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omments2.xml" ContentType="application/vnd.openxmlformats-officedocument.spreadsheetml.comments+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comments3.xml" ContentType="application/vnd.openxmlformats-officedocument.spreadsheetml.comments+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4.xml" ContentType="application/vnd.openxmlformats-officedocument.spreadsheetml.comments+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comments5.xml" ContentType="application/vnd.openxmlformats-officedocument.spreadsheetml.comments+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comments6.xml" ContentType="application/vnd.openxmlformats-officedocument.spreadsheetml.comments+xml"/>
  <Override PartName="/xl/drawings/drawing103.xml" ContentType="application/vnd.openxmlformats-officedocument.drawing+xml"/>
  <Override PartName="/xl/comments7.xml" ContentType="application/vnd.openxmlformats-officedocument.spreadsheetml.comments+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26614CA-9299-8FEA-EDB2-C8A7E91AD4E6}"/>
  <workbookPr codeName="ThisWorkbook"/>
  <mc:AlternateContent xmlns:mc="http://schemas.openxmlformats.org/markup-compatibility/2006">
    <mc:Choice Requires="x15">
      <x15ac:absPath xmlns:x15ac="http://schemas.microsoft.com/office/spreadsheetml/2010/11/ac" url="C:\Users\Standalone\Desktop\docs\"/>
    </mc:Choice>
  </mc:AlternateContent>
  <bookViews>
    <workbookView xWindow="0" yWindow="0" windowWidth="18384" windowHeight="6936" tabRatio="862"/>
  </bookViews>
  <sheets>
    <sheet name="Cover" sheetId="77" r:id="rId1"/>
    <sheet name="Contents" sheetId="14" r:id="rId2"/>
    <sheet name="User Parameters" sheetId="78" r:id="rId3"/>
    <sheet name="Default Pars" sheetId="79" state="hidden" r:id="rId4"/>
    <sheet name="Audit" sheetId="75" r:id="rId5"/>
    <sheet name="Development versions" sheetId="138" state="hidden" r:id="rId6"/>
    <sheet name="TAG1" sheetId="80" r:id="rId7"/>
    <sheet name="Annual Parameters" sheetId="9" r:id="rId8"/>
    <sheet name="Annual Parameters Source" sheetId="92" state="hidden" r:id="rId9"/>
    <sheet name="TABLE TEMPLATE" sheetId="76" state="hidden" r:id="rId10"/>
    <sheet name="Discount %" sheetId="71" state="hidden" r:id="rId11"/>
    <sheet name="A1.1.1" sheetId="94" r:id="rId12"/>
    <sheet name="Source VoT" sheetId="1" state="hidden" r:id="rId13"/>
    <sheet name="A1.3.1" sheetId="34" r:id="rId14"/>
    <sheet name="A1.3.2" sheetId="22" r:id="rId15"/>
    <sheet name="Indirect tax correction" sheetId="99" state="hidden" r:id="rId16"/>
    <sheet name="A1.3.3" sheetId="3" r:id="rId17"/>
    <sheet name="A1.3.3.2" sheetId="38" state="hidden" r:id="rId18"/>
    <sheet name="Forecast occupancies" sheetId="25" state="hidden" r:id="rId19"/>
    <sheet name="VoT2" sheetId="85" state="hidden" r:id="rId20"/>
    <sheet name="VoT3" sheetId="84" state="hidden" r:id="rId21"/>
    <sheet name="VoT4" sheetId="83" state="hidden" r:id="rId22"/>
    <sheet name="A1.3.4" sheetId="4" r:id="rId23"/>
    <sheet name="VoT5" sheetId="82" state="hidden" r:id="rId24"/>
    <sheet name="VoT6" sheetId="81" state="hidden" r:id="rId25"/>
    <sheet name="A1.3.5" sheetId="33" r:id="rId26"/>
    <sheet name="A1.3.6" sheetId="23" r:id="rId27"/>
    <sheet name="A1.3.7" sheetId="16" r:id="rId28"/>
    <sheet name="VoC Fuel" sheetId="90" state="hidden" r:id="rId29"/>
    <sheet name="Electricity" sheetId="132" state="hidden" r:id="rId30"/>
    <sheet name="A1.3.8" sheetId="17" r:id="rId31"/>
    <sheet name="Fuel consumption" sheetId="95" state="hidden" r:id="rId32"/>
    <sheet name="A1.3.9" sheetId="35" r:id="rId33"/>
    <sheet name="VoC Mileage %" sheetId="45" state="hidden" r:id="rId34"/>
    <sheet name="A1.3.10" sheetId="20" r:id="rId35"/>
    <sheet name="VoC Efficiency" sheetId="96" state="hidden" r:id="rId36"/>
    <sheet name="A1.3.11" sheetId="72" r:id="rId37"/>
    <sheet name="A1.3.12" sheetId="21" r:id="rId38"/>
    <sheet name="A1.3.13" sheetId="37" r:id="rId39"/>
    <sheet name="A1.3.14" sheetId="47" r:id="rId40"/>
    <sheet name="VoC Non-Fuel" sheetId="87" state="hidden" r:id="rId41"/>
    <sheet name="A1.3.15" sheetId="36" r:id="rId42"/>
    <sheet name="Bus Social Impacts" sheetId="142" state="hidden" r:id="rId43"/>
    <sheet name="A1.3.16" sheetId="141" r:id="rId44"/>
    <sheet name="A1.3.17" sheetId="140" r:id="rId45"/>
    <sheet name="A1.3.18" sheetId="139" r:id="rId46"/>
    <sheet name="A3.1" sheetId="30" r:id="rId47"/>
    <sheet name="Noise" sheetId="40" state="hidden" r:id="rId48"/>
    <sheet name="A3.2" sheetId="29" r:id="rId49"/>
    <sheet name="NOx damage" sheetId="41" state="hidden" r:id="rId50"/>
    <sheet name="PM Emissions" sheetId="162" state="hidden" r:id="rId51"/>
    <sheet name="NO2 concentration" sheetId="161" state="hidden" r:id="rId52"/>
    <sheet name="PM2.5 concentration" sheetId="88" state="hidden" r:id="rId53"/>
    <sheet name="NOx abatement" sheetId="93" state="hidden" r:id="rId54"/>
    <sheet name="PM conversion" sheetId="165" state="hidden" r:id="rId55"/>
    <sheet name="A3.3" sheetId="28" r:id="rId56"/>
    <sheet name="CO2" sheetId="91" state="hidden" r:id="rId57"/>
    <sheet name="A3.4" sheetId="49" r:id="rId58"/>
    <sheet name="A3.5" sheetId="168" r:id="rId59"/>
    <sheet name="AQ emits" sheetId="169" state="hidden" r:id="rId60"/>
    <sheet name="GHG" sheetId="42" state="hidden" r:id="rId61"/>
    <sheet name="Casualty data" sheetId="103" state="hidden" r:id="rId62"/>
    <sheet name="Casualty costs" sheetId="56" state="hidden" r:id="rId63"/>
    <sheet name="A4.1.1" sheetId="60" r:id="rId64"/>
    <sheet name="A4.1.2" sheetId="126" r:id="rId65"/>
    <sheet name="A4.1.3" sheetId="61" r:id="rId66"/>
    <sheet name="Accident data" sheetId="59" state="hidden" r:id="rId67"/>
    <sheet name="Accident costs" sheetId="57" state="hidden" r:id="rId68"/>
    <sheet name="A4.1.4" sheetId="107" r:id="rId69"/>
    <sheet name="A4.1.5" sheetId="70" r:id="rId70"/>
    <sheet name="Rail" sheetId="89" state="hidden" r:id="rId71"/>
    <sheet name="A4.1.6" sheetId="32" r:id="rId72"/>
    <sheet name="Cycling" sheetId="86" state="hidden" r:id="rId73"/>
    <sheet name="A4.1.7" sheetId="50" r:id="rId74"/>
    <sheet name="Walking" sheetId="39" state="hidden" r:id="rId75"/>
    <sheet name="A4.1.8" sheetId="27" r:id="rId76"/>
    <sheet name="Option values" sheetId="43" state="hidden" r:id="rId77"/>
    <sheet name="A5.3.1" sheetId="146" r:id="rId78"/>
    <sheet name="A5.3.2" sheetId="149" r:id="rId79"/>
    <sheet name="JP TT splits" sheetId="148" state="hidden" r:id="rId80"/>
    <sheet name="Cost and rev series" sheetId="145" state="hidden" r:id="rId81"/>
    <sheet name="A5.4.1" sheetId="125" r:id="rId82"/>
    <sheet name="Total - Traffic %" sheetId="110" state="hidden" r:id="rId83"/>
    <sheet name="A5.4.2" sheetId="124" r:id="rId84"/>
    <sheet name="All - MECs" sheetId="111" state="hidden" r:id="rId85"/>
    <sheet name="A5.4.3" sheetId="122" r:id="rId86"/>
    <sheet name="Car Traffic Shares" sheetId="113" state="hidden" r:id="rId87"/>
    <sheet name="A5.4.4" sheetId="123" r:id="rId88"/>
    <sheet name="MECs - time of day" sheetId="112" state="hidden" r:id="rId89"/>
    <sheet name="A5.4.5" sheetId="151" r:id="rId90"/>
    <sheet name="A5.4.6" sheetId="160" r:id="rId91"/>
    <sheet name="A5.4.7" sheetId="159" r:id="rId92"/>
    <sheet name="Diversion Factors" sheetId="150" state="hidden" r:id="rId93"/>
    <sheet name="M2.1" sheetId="130" r:id="rId94"/>
    <sheet name="M2.2" sheetId="137" r:id="rId95"/>
    <sheet name="Income segmented VTTS" sheetId="136" state="hidden" r:id="rId96"/>
    <sheet name="M3.2.1" sheetId="128" r:id="rId97"/>
    <sheet name="Soft bus" sheetId="127" state="hidden" r:id="rId98"/>
    <sheet name="M4.2.1" sheetId="31" r:id="rId99"/>
    <sheet name="Adjustment Factors" sheetId="98" state="hidden" r:id="rId100"/>
    <sheet name="M4.2.2" sheetId="135" r:id="rId101"/>
    <sheet name="Car costs (CPI)" sheetId="155" state="hidden" r:id="rId102"/>
    <sheet name="Car costs (RPI)" sheetId="157" state="hidden" r:id="rId103"/>
    <sheet name="M4.2.3" sheetId="144" r:id="rId104"/>
    <sheet name="Car and bus journey time" sheetId="143" state="hidden" r:id="rId105"/>
    <sheet name="M4.2.4" sheetId="156" r:id="rId106"/>
    <sheet name="M4.2.5" sheetId="163" r:id="rId107"/>
    <sheet name="Journeys per season" sheetId="164" state="hidden" r:id="rId108"/>
    <sheet name="COBALT 1" sheetId="114" r:id="rId109"/>
    <sheet name="COBALT 2" sheetId="115" r:id="rId110"/>
    <sheet name="COBALT 3" sheetId="119" r:id="rId111"/>
    <sheet name="COBALT 4" sheetId="116" r:id="rId112"/>
    <sheet name="COBALT 5" sheetId="121" r:id="rId113"/>
    <sheet name="COBALT 6" sheetId="117" r:id="rId114"/>
    <sheet name="COBALT 7" sheetId="118" r:id="rId115"/>
    <sheet name="COBALT 8" sheetId="131" r:id="rId116"/>
    <sheet name="COBALT 9" sheetId="120" r:id="rId117"/>
    <sheet name="Flow chart" sheetId="73" state="hidden" r:id="rId118"/>
  </sheets>
  <externalReferences>
    <externalReference r:id="rId119"/>
  </externalReferences>
  <definedNames>
    <definedName name="_ftnref1" localSheetId="55">'A3.3'!$A$23</definedName>
    <definedName name="_ftnref1" localSheetId="56">'CO2'!$A$23</definedName>
    <definedName name="_Ref146439190" localSheetId="75">'A4.1.8'!$A$23</definedName>
    <definedName name="_Ref153618364" localSheetId="71">'A4.1.6'!$A$23</definedName>
    <definedName name="_Ref153618555" localSheetId="71">'A4.1.6'!#REF!</definedName>
    <definedName name="_Ref285096250" localSheetId="48">'A3.2'!#REF!</definedName>
    <definedName name="_Ref285096274" localSheetId="48">'A3.2'!#REF!</definedName>
    <definedName name="_Ref309291343" localSheetId="12">'Source VoT'!$C$53</definedName>
    <definedName name="_Ref319071040" localSheetId="55">'A3.3'!$A$23</definedName>
    <definedName name="_Ref319071040" localSheetId="56">'CO2'!$A$23</definedName>
    <definedName name="_Ref531880143" localSheetId="31">'Fuel consumption'!$W$21</definedName>
    <definedName name="_Ref531880248" localSheetId="31">'Fuel consumption'!#REF!</definedName>
    <definedName name="Av_car_cost_CPI">'Car costs (CPI)'!$BF$28:$BQ$78</definedName>
    <definedName name="av_car_cost_nonwork">'A1.3.13'!$B$27:$S$106</definedName>
    <definedName name="Av_car_cost_work">'A1.3.12'!$B$27:$S$106</definedName>
    <definedName name="Electricity">Electricity!$B$24:$M$114</definedName>
    <definedName name="GDP_deflator_to_CPI_conversion" localSheetId="101">'Car costs (CPI)'!$AU$28:$AU$78</definedName>
    <definedName name="GDP_deflator_to_RPI_conversion" localSheetId="102">'Car costs (RPI)'!$AU$28:$AU$78</definedName>
    <definedName name="Init_Yr">'Default Pars'!$N$12:$N$20</definedName>
    <definedName name="IT_MEC_Urban_A">[1]Calcs!$D$261:$I$261</definedName>
    <definedName name="IT_MEC_Urban_Other">[1]Calcs!$D$262:$I$262</definedName>
    <definedName name="Non_fuel_op_cost">'A1.3.15'!$B$26:$E$51</definedName>
    <definedName name="Parameters">'Annual Parameters'!$B$33:$W$143</definedName>
    <definedName name="Price_Yr">'Default Pars'!$M$12:$M$62</definedName>
    <definedName name="_xlnm.Print_Area" localSheetId="14">'A1.3.2'!$A$1:$AY$109</definedName>
    <definedName name="_xlnm.Print_Area" localSheetId="26">'A1.3.6'!$A$1:$CP$108</definedName>
    <definedName name="_xlnm.Print_Area" localSheetId="77">'A5.3.1'!$A$1:$T$118</definedName>
    <definedName name="_xlnm.Print_Area" localSheetId="83">'A5.4.2'!$A$1:$CQ$110</definedName>
    <definedName name="_xlnm.Print_Area" localSheetId="87">'A5.4.4'!$A$1:$BH$66</definedName>
    <definedName name="_xlnm.Print_Area" localSheetId="100">'M4.2.2'!$A$1:$S$52</definedName>
    <definedName name="Repro_IT_MEC_Ave">[1]Calcs!$D$316:$I$316</definedName>
    <definedName name="Repro_IT_MEC_Con_A">[1]Calcs!$D$309:$I$309</definedName>
    <definedName name="Repro_IT_MEC_Con_Mway">[1]Calcs!$D$308:$I$308</definedName>
    <definedName name="Repro_IT_MEC_Con_Other">[1]Calcs!$D$310:$I$310</definedName>
    <definedName name="Repro_IT_MEC_Lon_A">[1]Calcs!$D$306:$I$306</definedName>
    <definedName name="Repro_IT_MEC_Lon_Mway">[1]Calcs!$D$305:$I$305</definedName>
    <definedName name="Repro_IT_MEC_Lon_Other">[1]Calcs!$D$307:$I$307</definedName>
    <definedName name="Repro_IT_MEC_Rural_A">[1]Calcs!$D$314:$I$314</definedName>
    <definedName name="Repro_IT_MEC_Rural_Mway">[1]Calcs!$D$313:$I$313</definedName>
    <definedName name="Repro_IT_MEC_Rural_Other">[1]Calcs!$D$315:$I$315</definedName>
    <definedName name="Repro_IT_MEC_Urban_A">[1]Calcs!$D$311:$I$311</definedName>
    <definedName name="Repro_IT_MEC_Urban_Other">[1]Calcs!$D$312:$I$312</definedName>
  </definedNames>
  <calcPr calcId="179017"/>
</workbook>
</file>

<file path=xl/calcChain.xml><?xml version="1.0" encoding="utf-8"?>
<calcChain xmlns="http://schemas.openxmlformats.org/spreadsheetml/2006/main">
  <c r="Y36" i="20" l="1"/>
  <c r="X36" i="20"/>
  <c r="W36" i="20"/>
  <c r="Y35" i="20" l="1"/>
  <c r="Y34" i="20" s="1"/>
  <c r="Y33" i="20" s="1"/>
  <c r="Y32" i="20" s="1"/>
  <c r="Y31" i="20" s="1"/>
  <c r="Y30" i="20" s="1"/>
  <c r="Y29" i="20" s="1"/>
  <c r="Y37" i="20"/>
  <c r="Y38" i="20" s="1"/>
  <c r="Y39" i="20" s="1"/>
  <c r="Y40" i="20" s="1"/>
  <c r="Y41" i="20" s="1"/>
  <c r="Y42" i="20" s="1"/>
  <c r="Y43" i="20" s="1"/>
  <c r="Y44" i="20" s="1"/>
  <c r="Y45" i="20" s="1"/>
  <c r="Y46" i="20" s="1"/>
  <c r="Y47" i="20" s="1"/>
  <c r="Y48" i="20" s="1"/>
  <c r="Y49" i="20" s="1"/>
  <c r="Y50" i="20" s="1"/>
  <c r="Y51" i="20" s="1"/>
  <c r="Y52" i="20" s="1"/>
  <c r="Y53" i="20" s="1"/>
  <c r="Y54" i="20" s="1"/>
  <c r="Y55" i="20" s="1"/>
  <c r="Y56" i="20" s="1"/>
  <c r="Y57" i="20" s="1"/>
  <c r="Y58" i="20" s="1"/>
  <c r="Y59" i="20" s="1"/>
  <c r="Y60" i="20" s="1"/>
  <c r="Y61" i="20" s="1"/>
  <c r="Y62" i="20" s="1"/>
  <c r="Y63" i="20" s="1"/>
  <c r="Y64" i="20" s="1"/>
  <c r="Y65" i="20" s="1"/>
  <c r="Y66" i="20" s="1"/>
  <c r="Y67" i="20" s="1"/>
  <c r="Y68" i="20" s="1"/>
  <c r="Y69" i="20" s="1"/>
  <c r="Y70" i="20" s="1"/>
  <c r="Y71" i="20" s="1"/>
  <c r="X35" i="20"/>
  <c r="X34" i="20" s="1"/>
  <c r="X33" i="20" s="1"/>
  <c r="X32" i="20" s="1"/>
  <c r="X31" i="20" s="1"/>
  <c r="X30" i="20" s="1"/>
  <c r="X29" i="20" s="1"/>
  <c r="X37" i="20"/>
  <c r="X38" i="20" s="1"/>
  <c r="X39" i="20" s="1"/>
  <c r="X40" i="20" s="1"/>
  <c r="X41" i="20" s="1"/>
  <c r="X42" i="20" s="1"/>
  <c r="X43" i="20" s="1"/>
  <c r="X44" i="20" s="1"/>
  <c r="X45" i="20" s="1"/>
  <c r="X46" i="20" s="1"/>
  <c r="X47" i="20" s="1"/>
  <c r="X48" i="20" s="1"/>
  <c r="X49" i="20" s="1"/>
  <c r="X50" i="20" s="1"/>
  <c r="X51" i="20" s="1"/>
  <c r="X52" i="20" s="1"/>
  <c r="X53" i="20" s="1"/>
  <c r="X54" i="20" s="1"/>
  <c r="X55" i="20" s="1"/>
  <c r="X56" i="20" s="1"/>
  <c r="X57" i="20" s="1"/>
  <c r="X58" i="20" s="1"/>
  <c r="X59" i="20" s="1"/>
  <c r="X60" i="20" s="1"/>
  <c r="X61" i="20" s="1"/>
  <c r="X62" i="20" s="1"/>
  <c r="X63" i="20" s="1"/>
  <c r="X64" i="20" s="1"/>
  <c r="X65" i="20" s="1"/>
  <c r="X66" i="20" s="1"/>
  <c r="X67" i="20" s="1"/>
  <c r="X68" i="20" s="1"/>
  <c r="X69" i="20" s="1"/>
  <c r="X70" i="20" s="1"/>
  <c r="X71" i="20" s="1"/>
  <c r="W35" i="20"/>
  <c r="W34" i="20" s="1"/>
  <c r="W33" i="20" s="1"/>
  <c r="W32" i="20" s="1"/>
  <c r="W31" i="20" s="1"/>
  <c r="W30" i="20" s="1"/>
  <c r="W29" i="20" s="1"/>
  <c r="W28" i="20" s="1"/>
  <c r="W37" i="20"/>
  <c r="W38" i="20" s="1"/>
  <c r="W39" i="20" s="1"/>
  <c r="W40" i="20" s="1"/>
  <c r="W41" i="20" s="1"/>
  <c r="W42" i="20" s="1"/>
  <c r="W43" i="20" s="1"/>
  <c r="W44" i="20" s="1"/>
  <c r="W45" i="20" s="1"/>
  <c r="W46" i="20" s="1"/>
  <c r="W47" i="20" s="1"/>
  <c r="W48" i="20" s="1"/>
  <c r="W49" i="20" s="1"/>
  <c r="W50" i="20" s="1"/>
  <c r="W51" i="20" s="1"/>
  <c r="W52" i="20" s="1"/>
  <c r="W53" i="20" s="1"/>
  <c r="W54" i="20" s="1"/>
  <c r="W55" i="20" s="1"/>
  <c r="W56" i="20" s="1"/>
  <c r="W57" i="20" s="1"/>
  <c r="W58" i="20" s="1"/>
  <c r="W59" i="20" s="1"/>
  <c r="W60" i="20" s="1"/>
  <c r="W61" i="20" s="1"/>
  <c r="W62" i="20" s="1"/>
  <c r="W63" i="20" s="1"/>
  <c r="W64" i="20" s="1"/>
  <c r="W65" i="20" s="1"/>
  <c r="W66" i="20" s="1"/>
  <c r="W67" i="20" s="1"/>
  <c r="W68" i="20" s="1"/>
  <c r="W69" i="20" s="1"/>
  <c r="W70" i="20" s="1"/>
  <c r="W71" i="20" s="1"/>
  <c r="G28" i="16"/>
  <c r="D28" i="16"/>
  <c r="B14" i="16" l="1"/>
  <c r="D23" i="90" l="1"/>
  <c r="C16" i="17" l="1"/>
  <c r="C15" i="17"/>
  <c r="H28" i="162" l="1"/>
  <c r="I28" i="162"/>
  <c r="J28" i="162"/>
  <c r="H29" i="162"/>
  <c r="I29" i="162"/>
  <c r="J29" i="162"/>
  <c r="H30" i="162"/>
  <c r="I30" i="162"/>
  <c r="J30" i="162"/>
  <c r="H31" i="162"/>
  <c r="I31" i="162"/>
  <c r="J31" i="162"/>
  <c r="H32" i="162"/>
  <c r="I32" i="162"/>
  <c r="J32" i="162"/>
  <c r="H33" i="162"/>
  <c r="I33" i="162"/>
  <c r="J33" i="162"/>
  <c r="H34" i="162"/>
  <c r="I34" i="162"/>
  <c r="J34" i="162"/>
  <c r="H35" i="162"/>
  <c r="I35" i="162"/>
  <c r="J35" i="162"/>
  <c r="H36" i="162"/>
  <c r="I36" i="162"/>
  <c r="J36" i="162"/>
  <c r="H37" i="162"/>
  <c r="I37" i="162"/>
  <c r="J37" i="162"/>
  <c r="H38" i="162"/>
  <c r="I38" i="162"/>
  <c r="J38" i="162"/>
  <c r="H39" i="162"/>
  <c r="I39" i="162"/>
  <c r="J39" i="162"/>
  <c r="H40" i="162"/>
  <c r="I40" i="162"/>
  <c r="J40" i="162"/>
  <c r="H41" i="162"/>
  <c r="I41" i="162"/>
  <c r="J41" i="162"/>
  <c r="I27" i="162"/>
  <c r="J27" i="162"/>
  <c r="H27" i="162"/>
  <c r="B14" i="124" l="1"/>
  <c r="A8" i="124"/>
  <c r="A7" i="124"/>
  <c r="D24" i="17" l="1"/>
  <c r="B15" i="16"/>
  <c r="L51" i="132"/>
  <c r="A7" i="120" l="1"/>
  <c r="A7" i="131"/>
  <c r="A7" i="118"/>
  <c r="A7" i="117"/>
  <c r="A7" i="121"/>
  <c r="A7" i="116"/>
  <c r="A7" i="119"/>
  <c r="A7" i="115"/>
  <c r="A7" i="114"/>
  <c r="A7" i="164"/>
  <c r="A7" i="163"/>
  <c r="A7" i="156"/>
  <c r="A7" i="143"/>
  <c r="A7" i="144"/>
  <c r="A7" i="157"/>
  <c r="A7" i="155"/>
  <c r="A7" i="135"/>
  <c r="A7" i="98"/>
  <c r="A7" i="31"/>
  <c r="A7" i="127"/>
  <c r="A7" i="128"/>
  <c r="A7" i="136"/>
  <c r="A7" i="137"/>
  <c r="A7" i="130"/>
  <c r="A7" i="150"/>
  <c r="A7" i="159"/>
  <c r="A7" i="160"/>
  <c r="A7" i="151"/>
  <c r="A7" i="112"/>
  <c r="A7" i="123"/>
  <c r="A7" i="113"/>
  <c r="A7" i="122"/>
  <c r="A7" i="111"/>
  <c r="A7" i="110"/>
  <c r="A7" i="125"/>
  <c r="A7" i="145"/>
  <c r="A7" i="148"/>
  <c r="A7" i="149"/>
  <c r="A7" i="146"/>
  <c r="A7" i="43"/>
  <c r="A7" i="27"/>
  <c r="A7" i="39"/>
  <c r="A7" i="50"/>
  <c r="A7" i="86"/>
  <c r="A7" i="32"/>
  <c r="A7" i="89"/>
  <c r="A7" i="70"/>
  <c r="A7" i="107"/>
  <c r="A7" i="57"/>
  <c r="A7" i="59"/>
  <c r="A7" i="61"/>
  <c r="A7" i="126"/>
  <c r="A7" i="60"/>
  <c r="A7" i="56"/>
  <c r="A7" i="103"/>
  <c r="A7" i="42"/>
  <c r="A7" i="169"/>
  <c r="A7" i="168"/>
  <c r="A7" i="49"/>
  <c r="A7" i="91"/>
  <c r="A7" i="28"/>
  <c r="A7" i="165"/>
  <c r="A7" i="93"/>
  <c r="A7" i="88"/>
  <c r="A7" i="161"/>
  <c r="A7" i="162"/>
  <c r="A7" i="41"/>
  <c r="A7" i="29"/>
  <c r="A7" i="40"/>
  <c r="A7" i="30"/>
  <c r="A7" i="139"/>
  <c r="A7" i="140"/>
  <c r="A7" i="141"/>
  <c r="A7" i="142"/>
  <c r="A7" i="36"/>
  <c r="A7" i="87"/>
  <c r="A7" i="47"/>
  <c r="A7" i="37"/>
  <c r="A7" i="21"/>
  <c r="A7" i="72"/>
  <c r="A7" i="96"/>
  <c r="A7" i="20"/>
  <c r="A7" i="45"/>
  <c r="A7" i="35"/>
  <c r="A7" i="95"/>
  <c r="A7" i="17"/>
  <c r="A7" i="132"/>
  <c r="A7" i="90"/>
  <c r="A7" i="16"/>
  <c r="A7" i="23"/>
  <c r="A7" i="33"/>
  <c r="A7" i="81"/>
  <c r="A7" i="82"/>
  <c r="A7" i="4"/>
  <c r="A7" i="83"/>
  <c r="A7" i="84"/>
  <c r="A7" i="85"/>
  <c r="A7" i="25"/>
  <c r="A7" i="38"/>
  <c r="A7" i="3"/>
  <c r="A7" i="99"/>
  <c r="A7" i="22"/>
  <c r="A7" i="34"/>
  <c r="A7" i="1"/>
  <c r="A7" i="94"/>
  <c r="A7" i="71"/>
  <c r="A7" i="76"/>
  <c r="A7" i="92"/>
  <c r="A7" i="9"/>
  <c r="B27" i="168" l="1"/>
  <c r="B15" i="169"/>
  <c r="B14" i="169"/>
  <c r="A8" i="169"/>
  <c r="B16" i="168"/>
  <c r="B14" i="168"/>
  <c r="A8" i="168"/>
  <c r="K64" i="29"/>
  <c r="K63" i="29"/>
  <c r="K62" i="29"/>
  <c r="K61" i="29"/>
  <c r="K60" i="29"/>
  <c r="K59" i="29"/>
  <c r="K58" i="29"/>
  <c r="K57" i="29"/>
  <c r="K56" i="29"/>
  <c r="K55" i="29"/>
  <c r="K54" i="29"/>
  <c r="K53" i="29"/>
  <c r="K52" i="29"/>
  <c r="K51" i="29"/>
  <c r="K50" i="29"/>
  <c r="K49" i="29"/>
  <c r="K48" i="29"/>
  <c r="K47" i="29"/>
  <c r="K46" i="29"/>
  <c r="A50" i="29"/>
  <c r="A22" i="29"/>
  <c r="A8" i="120" l="1"/>
  <c r="A8" i="131"/>
  <c r="A8" i="118"/>
  <c r="A8" i="117"/>
  <c r="A8" i="121"/>
  <c r="A8" i="116"/>
  <c r="A8" i="119"/>
  <c r="A8" i="115"/>
  <c r="A8" i="114"/>
  <c r="A8" i="164"/>
  <c r="A8" i="163"/>
  <c r="A8" i="156"/>
  <c r="A8" i="143"/>
  <c r="A8" i="144"/>
  <c r="A8" i="157"/>
  <c r="A8" i="155"/>
  <c r="A8" i="135"/>
  <c r="A8" i="98"/>
  <c r="A8" i="31"/>
  <c r="A8" i="127"/>
  <c r="A8" i="128"/>
  <c r="A8" i="136"/>
  <c r="A8" i="137"/>
  <c r="A8" i="130"/>
  <c r="A8" i="150"/>
  <c r="A8" i="159"/>
  <c r="A8" i="160"/>
  <c r="A8" i="151"/>
  <c r="A8" i="112"/>
  <c r="A8" i="123"/>
  <c r="A8" i="113"/>
  <c r="A8" i="122"/>
  <c r="A8" i="111"/>
  <c r="A8" i="110"/>
  <c r="A8" i="125"/>
  <c r="A8" i="145"/>
  <c r="A8" i="148"/>
  <c r="A8" i="149"/>
  <c r="A8" i="146"/>
  <c r="A8" i="43"/>
  <c r="A8" i="27"/>
  <c r="A8" i="39"/>
  <c r="A8" i="50"/>
  <c r="A8" i="86"/>
  <c r="A8" i="32"/>
  <c r="A8" i="89"/>
  <c r="A8" i="70"/>
  <c r="A8" i="107"/>
  <c r="A8" i="57"/>
  <c r="A8" i="59"/>
  <c r="A8" i="61"/>
  <c r="A8" i="126"/>
  <c r="A8" i="60"/>
  <c r="A8" i="56"/>
  <c r="A8" i="103"/>
  <c r="A8" i="42"/>
  <c r="A8" i="49"/>
  <c r="A8" i="91"/>
  <c r="A8" i="28"/>
  <c r="A8" i="165"/>
  <c r="A8" i="93"/>
  <c r="A8" i="88"/>
  <c r="A8" i="161"/>
  <c r="A8" i="162"/>
  <c r="A8" i="41"/>
  <c r="A8" i="29"/>
  <c r="A8" i="40"/>
  <c r="A8" i="30"/>
  <c r="A8" i="139"/>
  <c r="A8" i="140"/>
  <c r="A8" i="141"/>
  <c r="A8" i="142"/>
  <c r="A8" i="36"/>
  <c r="A8" i="87"/>
  <c r="A8" i="47"/>
  <c r="A8" i="37"/>
  <c r="A8" i="21"/>
  <c r="A8" i="72"/>
  <c r="A8" i="96"/>
  <c r="A8" i="20"/>
  <c r="A8" i="45"/>
  <c r="A8" i="35"/>
  <c r="A8" i="95"/>
  <c r="A8" i="17"/>
  <c r="A8" i="132"/>
  <c r="A8" i="90"/>
  <c r="A8" i="16"/>
  <c r="A8" i="23"/>
  <c r="A8" i="33"/>
  <c r="A8" i="81"/>
  <c r="A8" i="82"/>
  <c r="A8" i="4"/>
  <c r="A8" i="83"/>
  <c r="A8" i="84"/>
  <c r="A8" i="85"/>
  <c r="A8" i="25"/>
  <c r="A8" i="38"/>
  <c r="A8" i="3"/>
  <c r="A8" i="99"/>
  <c r="A8" i="22"/>
  <c r="A8" i="34"/>
  <c r="A8" i="1"/>
  <c r="A8" i="94"/>
  <c r="A8" i="71"/>
  <c r="A8" i="76"/>
  <c r="A8" i="92"/>
  <c r="A8" i="9"/>
  <c r="A4" i="77" l="1"/>
  <c r="B15" i="30" l="1"/>
  <c r="B14" i="30"/>
  <c r="K62" i="40"/>
  <c r="K63" i="40" s="1"/>
  <c r="K61" i="40"/>
  <c r="K60" i="40"/>
  <c r="K29" i="40"/>
  <c r="D24" i="165" l="1"/>
  <c r="K45" i="29" s="1"/>
  <c r="B15" i="165"/>
  <c r="B14" i="165"/>
  <c r="G33" i="17" l="1"/>
  <c r="F33" i="17"/>
  <c r="E33" i="17"/>
  <c r="D33" i="17"/>
  <c r="G32" i="17"/>
  <c r="F32" i="17"/>
  <c r="E32" i="17"/>
  <c r="D32" i="17"/>
  <c r="G31" i="17"/>
  <c r="F31" i="17"/>
  <c r="E31" i="17"/>
  <c r="D31" i="17"/>
  <c r="G30" i="17"/>
  <c r="F30" i="17"/>
  <c r="E30" i="17"/>
  <c r="D30" i="17"/>
  <c r="G29" i="17"/>
  <c r="F29" i="17"/>
  <c r="E29" i="17"/>
  <c r="D29" i="17"/>
  <c r="G28" i="17"/>
  <c r="F28" i="17"/>
  <c r="E28" i="17"/>
  <c r="D28" i="17"/>
  <c r="G27" i="17"/>
  <c r="F27" i="17"/>
  <c r="E27" i="17"/>
  <c r="D27" i="17"/>
  <c r="F77" i="45" l="1"/>
  <c r="F78" i="45" s="1"/>
  <c r="F79" i="45" s="1"/>
  <c r="F80" i="45" s="1"/>
  <c r="F81" i="45" s="1"/>
  <c r="F82" i="45" s="1"/>
  <c r="F83" i="45" s="1"/>
  <c r="F84" i="45" s="1"/>
  <c r="F85" i="45" s="1"/>
  <c r="F86" i="45" s="1"/>
  <c r="F87" i="45" s="1"/>
  <c r="F88" i="45" s="1"/>
  <c r="F89" i="45" s="1"/>
  <c r="F90" i="45" s="1"/>
  <c r="F91" i="45" s="1"/>
  <c r="F92" i="45" s="1"/>
  <c r="F93" i="45" s="1"/>
  <c r="F94" i="45" s="1"/>
  <c r="F95" i="45" s="1"/>
  <c r="F96" i="45" s="1"/>
  <c r="F97" i="45" s="1"/>
  <c r="F98" i="45" s="1"/>
  <c r="F99" i="45" s="1"/>
  <c r="F100" i="45" s="1"/>
  <c r="F101" i="45" s="1"/>
  <c r="F102" i="45" s="1"/>
  <c r="F103" i="45" s="1"/>
  <c r="F104" i="45" s="1"/>
  <c r="F105" i="45" s="1"/>
  <c r="F106" i="45" s="1"/>
  <c r="F107" i="45" s="1"/>
  <c r="F108" i="45" s="1"/>
  <c r="F109" i="45" s="1"/>
  <c r="F110" i="45" s="1"/>
  <c r="F111" i="45" s="1"/>
  <c r="F112" i="45" s="1"/>
  <c r="F113" i="45" s="1"/>
  <c r="F114" i="45" s="1"/>
  <c r="F115" i="45" s="1"/>
  <c r="F116" i="45" s="1"/>
  <c r="F117" i="45" s="1"/>
  <c r="F118" i="45" s="1"/>
  <c r="F119" i="45" s="1"/>
  <c r="F120" i="45" s="1"/>
  <c r="F121" i="45" s="1"/>
  <c r="F122" i="45" s="1"/>
  <c r="F123" i="45" s="1"/>
  <c r="F124" i="45" s="1"/>
  <c r="F125" i="45" s="1"/>
  <c r="F126" i="45" s="1"/>
  <c r="E77" i="45"/>
  <c r="E78" i="45" s="1"/>
  <c r="E79" i="45" s="1"/>
  <c r="E80" i="45" s="1"/>
  <c r="E81" i="45" s="1"/>
  <c r="E82" i="45" s="1"/>
  <c r="E83" i="45" s="1"/>
  <c r="E84" i="45" s="1"/>
  <c r="E85" i="45" s="1"/>
  <c r="E86" i="45" s="1"/>
  <c r="E87" i="45" s="1"/>
  <c r="E88" i="45" s="1"/>
  <c r="E89" i="45" s="1"/>
  <c r="E90" i="45" s="1"/>
  <c r="E91" i="45" s="1"/>
  <c r="E92" i="45" s="1"/>
  <c r="E93" i="45" s="1"/>
  <c r="E94" i="45" s="1"/>
  <c r="E95" i="45" s="1"/>
  <c r="E96" i="45" s="1"/>
  <c r="E97" i="45" s="1"/>
  <c r="E98" i="45" s="1"/>
  <c r="E99" i="45" s="1"/>
  <c r="E100" i="45" s="1"/>
  <c r="E101" i="45" s="1"/>
  <c r="E102" i="45" s="1"/>
  <c r="E103" i="45" s="1"/>
  <c r="E104" i="45" s="1"/>
  <c r="E105" i="45" s="1"/>
  <c r="E106" i="45" s="1"/>
  <c r="E107" i="45" s="1"/>
  <c r="E108" i="45" s="1"/>
  <c r="E109" i="45" s="1"/>
  <c r="E110" i="45" s="1"/>
  <c r="E111" i="45" s="1"/>
  <c r="E112" i="45" s="1"/>
  <c r="E113" i="45" s="1"/>
  <c r="E114" i="45" s="1"/>
  <c r="E115" i="45" s="1"/>
  <c r="E116" i="45" s="1"/>
  <c r="E117" i="45" s="1"/>
  <c r="E118" i="45" s="1"/>
  <c r="E119" i="45" s="1"/>
  <c r="E120" i="45" s="1"/>
  <c r="E121" i="45" s="1"/>
  <c r="E122" i="45" s="1"/>
  <c r="E123" i="45" s="1"/>
  <c r="E124" i="45" s="1"/>
  <c r="E125" i="45" s="1"/>
  <c r="E126" i="45" s="1"/>
  <c r="D77" i="45"/>
  <c r="D78" i="45" s="1"/>
  <c r="D79" i="45" s="1"/>
  <c r="D80" i="45" s="1"/>
  <c r="D81" i="45" s="1"/>
  <c r="D82" i="45" s="1"/>
  <c r="D83" i="45" s="1"/>
  <c r="D84" i="45" s="1"/>
  <c r="D85" i="45" s="1"/>
  <c r="D86" i="45" s="1"/>
  <c r="D87" i="45" s="1"/>
  <c r="D88" i="45" s="1"/>
  <c r="D89" i="45" s="1"/>
  <c r="D90" i="45" s="1"/>
  <c r="D91" i="45" s="1"/>
  <c r="D92" i="45" s="1"/>
  <c r="D93" i="45" s="1"/>
  <c r="D94" i="45" s="1"/>
  <c r="D95" i="45" s="1"/>
  <c r="D96" i="45" s="1"/>
  <c r="D97" i="45" s="1"/>
  <c r="D98" i="45" s="1"/>
  <c r="D99" i="45" s="1"/>
  <c r="D100" i="45" s="1"/>
  <c r="D101" i="45" s="1"/>
  <c r="D102" i="45" s="1"/>
  <c r="D103" i="45" s="1"/>
  <c r="D104" i="45" s="1"/>
  <c r="D105" i="45" s="1"/>
  <c r="D106" i="45" s="1"/>
  <c r="D107" i="45" s="1"/>
  <c r="D108" i="45" s="1"/>
  <c r="D109" i="45" s="1"/>
  <c r="D110" i="45" s="1"/>
  <c r="D111" i="45" s="1"/>
  <c r="D112" i="45" s="1"/>
  <c r="D113" i="45" s="1"/>
  <c r="D114" i="45" s="1"/>
  <c r="D115" i="45" s="1"/>
  <c r="D116" i="45" s="1"/>
  <c r="D117" i="45" s="1"/>
  <c r="D118" i="45" s="1"/>
  <c r="D119" i="45" s="1"/>
  <c r="D120" i="45" s="1"/>
  <c r="D121" i="45" s="1"/>
  <c r="D122" i="45" s="1"/>
  <c r="D123" i="45" s="1"/>
  <c r="D124" i="45" s="1"/>
  <c r="D125" i="45" s="1"/>
  <c r="D126" i="45" s="1"/>
  <c r="J45" i="45"/>
  <c r="K45" i="45"/>
  <c r="L45" i="45"/>
  <c r="M45" i="45"/>
  <c r="N45" i="45"/>
  <c r="O45" i="45"/>
  <c r="J47" i="45"/>
  <c r="K47" i="45"/>
  <c r="L47" i="45"/>
  <c r="M47" i="45"/>
  <c r="N47" i="45"/>
  <c r="O47" i="45"/>
  <c r="J48" i="45"/>
  <c r="K48" i="45"/>
  <c r="L48" i="45"/>
  <c r="M48" i="45"/>
  <c r="N48" i="45"/>
  <c r="O48" i="45"/>
  <c r="J49" i="45"/>
  <c r="K49" i="45"/>
  <c r="L49" i="45"/>
  <c r="M49" i="45"/>
  <c r="N49" i="45"/>
  <c r="O49" i="45"/>
  <c r="J50" i="45"/>
  <c r="K50" i="45"/>
  <c r="L50" i="45"/>
  <c r="M50" i="45"/>
  <c r="N50" i="45"/>
  <c r="O50" i="45"/>
  <c r="J52" i="45"/>
  <c r="K52" i="45"/>
  <c r="L52" i="45"/>
  <c r="M52" i="45"/>
  <c r="N52" i="45"/>
  <c r="O52" i="45"/>
  <c r="J53" i="45"/>
  <c r="K53" i="45"/>
  <c r="L53" i="45"/>
  <c r="M53" i="45"/>
  <c r="N53" i="45"/>
  <c r="O53" i="45"/>
  <c r="J54" i="45"/>
  <c r="K54" i="45"/>
  <c r="L54" i="45"/>
  <c r="M54" i="45"/>
  <c r="N54" i="45"/>
  <c r="O54" i="45"/>
  <c r="J55" i="45"/>
  <c r="K55" i="45"/>
  <c r="L55" i="45"/>
  <c r="M55" i="45"/>
  <c r="N55" i="45"/>
  <c r="O55" i="45"/>
  <c r="J57" i="45"/>
  <c r="J58" i="45" s="1"/>
  <c r="J59" i="45" s="1"/>
  <c r="J60" i="45" s="1"/>
  <c r="J61" i="45" s="1"/>
  <c r="J62" i="45" s="1"/>
  <c r="J63" i="45" s="1"/>
  <c r="J64" i="45" s="1"/>
  <c r="J65" i="45" s="1"/>
  <c r="J66" i="45" s="1"/>
  <c r="J67" i="45" s="1"/>
  <c r="J68" i="45" s="1"/>
  <c r="J69" i="45" s="1"/>
  <c r="J70" i="45" s="1"/>
  <c r="J71" i="45" s="1"/>
  <c r="J72" i="45" s="1"/>
  <c r="J73" i="45" s="1"/>
  <c r="J74" i="45" s="1"/>
  <c r="J75" i="45" s="1"/>
  <c r="J76" i="45" s="1"/>
  <c r="J77" i="45" s="1"/>
  <c r="J78" i="45" s="1"/>
  <c r="J79" i="45" s="1"/>
  <c r="J80" i="45" s="1"/>
  <c r="J81" i="45" s="1"/>
  <c r="J82" i="45" s="1"/>
  <c r="J83" i="45" s="1"/>
  <c r="J84" i="45" s="1"/>
  <c r="J85" i="45" s="1"/>
  <c r="J86" i="45" s="1"/>
  <c r="J87" i="45" s="1"/>
  <c r="J88" i="45" s="1"/>
  <c r="J89" i="45" s="1"/>
  <c r="J90" i="45" s="1"/>
  <c r="J91" i="45" s="1"/>
  <c r="J92" i="45" s="1"/>
  <c r="J93" i="45" s="1"/>
  <c r="J94" i="45" s="1"/>
  <c r="J95" i="45" s="1"/>
  <c r="J96" i="45" s="1"/>
  <c r="J97" i="45" s="1"/>
  <c r="J98" i="45" s="1"/>
  <c r="J99" i="45" s="1"/>
  <c r="J100" i="45" s="1"/>
  <c r="J101" i="45" s="1"/>
  <c r="J102" i="45" s="1"/>
  <c r="J103" i="45" s="1"/>
  <c r="J104" i="45" s="1"/>
  <c r="J105" i="45" s="1"/>
  <c r="J106" i="45" s="1"/>
  <c r="J107" i="45" s="1"/>
  <c r="J108" i="45" s="1"/>
  <c r="J109" i="45" s="1"/>
  <c r="J110" i="45" s="1"/>
  <c r="J111" i="45" s="1"/>
  <c r="J112" i="45" s="1"/>
  <c r="J113" i="45" s="1"/>
  <c r="J114" i="45" s="1"/>
  <c r="J115" i="45" s="1"/>
  <c r="J116" i="45" s="1"/>
  <c r="J117" i="45" s="1"/>
  <c r="J118" i="45" s="1"/>
  <c r="J119" i="45" s="1"/>
  <c r="J120" i="45" s="1"/>
  <c r="J121" i="45" s="1"/>
  <c r="J122" i="45" s="1"/>
  <c r="J123" i="45" s="1"/>
  <c r="J124" i="45" s="1"/>
  <c r="J125" i="45" s="1"/>
  <c r="J126" i="45" s="1"/>
  <c r="K57" i="45"/>
  <c r="K58" i="45" s="1"/>
  <c r="K59" i="45" s="1"/>
  <c r="K60" i="45" s="1"/>
  <c r="K61" i="45" s="1"/>
  <c r="K62" i="45" s="1"/>
  <c r="K63" i="45" s="1"/>
  <c r="K64" i="45" s="1"/>
  <c r="K65" i="45" s="1"/>
  <c r="K66" i="45" s="1"/>
  <c r="K67" i="45" s="1"/>
  <c r="K68" i="45" s="1"/>
  <c r="K69" i="45" s="1"/>
  <c r="K70" i="45" s="1"/>
  <c r="K71" i="45" s="1"/>
  <c r="K72" i="45" s="1"/>
  <c r="K73" i="45" s="1"/>
  <c r="K74" i="45" s="1"/>
  <c r="K75" i="45" s="1"/>
  <c r="K76" i="45" s="1"/>
  <c r="K77" i="45" s="1"/>
  <c r="K78" i="45" s="1"/>
  <c r="K79" i="45" s="1"/>
  <c r="K80" i="45" s="1"/>
  <c r="K81" i="45" s="1"/>
  <c r="K82" i="45" s="1"/>
  <c r="K83" i="45" s="1"/>
  <c r="K84" i="45" s="1"/>
  <c r="K85" i="45" s="1"/>
  <c r="K86" i="45" s="1"/>
  <c r="K87" i="45" s="1"/>
  <c r="K88" i="45" s="1"/>
  <c r="K89" i="45" s="1"/>
  <c r="K90" i="45" s="1"/>
  <c r="K91" i="45" s="1"/>
  <c r="K92" i="45" s="1"/>
  <c r="K93" i="45" s="1"/>
  <c r="K94" i="45" s="1"/>
  <c r="K95" i="45" s="1"/>
  <c r="K96" i="45" s="1"/>
  <c r="K97" i="45" s="1"/>
  <c r="K98" i="45" s="1"/>
  <c r="K99" i="45" s="1"/>
  <c r="K100" i="45" s="1"/>
  <c r="K101" i="45" s="1"/>
  <c r="K102" i="45" s="1"/>
  <c r="K103" i="45" s="1"/>
  <c r="K104" i="45" s="1"/>
  <c r="K105" i="45" s="1"/>
  <c r="K106" i="45" s="1"/>
  <c r="K107" i="45" s="1"/>
  <c r="K108" i="45" s="1"/>
  <c r="K109" i="45" s="1"/>
  <c r="K110" i="45" s="1"/>
  <c r="K111" i="45" s="1"/>
  <c r="K112" i="45" s="1"/>
  <c r="K113" i="45" s="1"/>
  <c r="K114" i="45" s="1"/>
  <c r="K115" i="45" s="1"/>
  <c r="K116" i="45" s="1"/>
  <c r="K117" i="45" s="1"/>
  <c r="K118" i="45" s="1"/>
  <c r="K119" i="45" s="1"/>
  <c r="K120" i="45" s="1"/>
  <c r="K121" i="45" s="1"/>
  <c r="K122" i="45" s="1"/>
  <c r="K123" i="45" s="1"/>
  <c r="K124" i="45" s="1"/>
  <c r="K125" i="45" s="1"/>
  <c r="K126" i="45" s="1"/>
  <c r="L57" i="45"/>
  <c r="L58" i="45" s="1"/>
  <c r="L59" i="45" s="1"/>
  <c r="L60" i="45" s="1"/>
  <c r="L61" i="45" s="1"/>
  <c r="L62" i="45" s="1"/>
  <c r="L63" i="45" s="1"/>
  <c r="L64" i="45" s="1"/>
  <c r="L65" i="45" s="1"/>
  <c r="L66" i="45" s="1"/>
  <c r="L67" i="45" s="1"/>
  <c r="L68" i="45" s="1"/>
  <c r="L69" i="45" s="1"/>
  <c r="L70" i="45" s="1"/>
  <c r="L71" i="45" s="1"/>
  <c r="L72" i="45" s="1"/>
  <c r="L73" i="45" s="1"/>
  <c r="L74" i="45" s="1"/>
  <c r="L75" i="45" s="1"/>
  <c r="L76" i="45" s="1"/>
  <c r="L77" i="45" s="1"/>
  <c r="L78" i="45" s="1"/>
  <c r="L79" i="45" s="1"/>
  <c r="L80" i="45" s="1"/>
  <c r="L81" i="45" s="1"/>
  <c r="L82" i="45" s="1"/>
  <c r="L83" i="45" s="1"/>
  <c r="L84" i="45" s="1"/>
  <c r="L85" i="45" s="1"/>
  <c r="L86" i="45" s="1"/>
  <c r="L87" i="45" s="1"/>
  <c r="L88" i="45" s="1"/>
  <c r="L89" i="45" s="1"/>
  <c r="L90" i="45" s="1"/>
  <c r="L91" i="45" s="1"/>
  <c r="L92" i="45" s="1"/>
  <c r="L93" i="45" s="1"/>
  <c r="L94" i="45" s="1"/>
  <c r="L95" i="45" s="1"/>
  <c r="L96" i="45" s="1"/>
  <c r="L97" i="45" s="1"/>
  <c r="L98" i="45" s="1"/>
  <c r="L99" i="45" s="1"/>
  <c r="L100" i="45" s="1"/>
  <c r="L101" i="45" s="1"/>
  <c r="L102" i="45" s="1"/>
  <c r="L103" i="45" s="1"/>
  <c r="L104" i="45" s="1"/>
  <c r="L105" i="45" s="1"/>
  <c r="L106" i="45" s="1"/>
  <c r="L107" i="45" s="1"/>
  <c r="L108" i="45" s="1"/>
  <c r="L109" i="45" s="1"/>
  <c r="L110" i="45" s="1"/>
  <c r="L111" i="45" s="1"/>
  <c r="L112" i="45" s="1"/>
  <c r="L113" i="45" s="1"/>
  <c r="L114" i="45" s="1"/>
  <c r="L115" i="45" s="1"/>
  <c r="L116" i="45" s="1"/>
  <c r="L117" i="45" s="1"/>
  <c r="L118" i="45" s="1"/>
  <c r="L119" i="45" s="1"/>
  <c r="L120" i="45" s="1"/>
  <c r="L121" i="45" s="1"/>
  <c r="L122" i="45" s="1"/>
  <c r="L123" i="45" s="1"/>
  <c r="L124" i="45" s="1"/>
  <c r="L125" i="45" s="1"/>
  <c r="L126" i="45" s="1"/>
  <c r="M57" i="45"/>
  <c r="M58" i="45" s="1"/>
  <c r="M59" i="45" s="1"/>
  <c r="M60" i="45" s="1"/>
  <c r="M61" i="45" s="1"/>
  <c r="M62" i="45" s="1"/>
  <c r="M63" i="45" s="1"/>
  <c r="M64" i="45" s="1"/>
  <c r="M65" i="45" s="1"/>
  <c r="M66" i="45" s="1"/>
  <c r="M67" i="45" s="1"/>
  <c r="M68" i="45" s="1"/>
  <c r="M69" i="45" s="1"/>
  <c r="M70" i="45" s="1"/>
  <c r="M71" i="45" s="1"/>
  <c r="M72" i="45" s="1"/>
  <c r="M73" i="45" s="1"/>
  <c r="M74" i="45" s="1"/>
  <c r="M75" i="45" s="1"/>
  <c r="M76" i="45" s="1"/>
  <c r="M77" i="45" s="1"/>
  <c r="M78" i="45" s="1"/>
  <c r="M79" i="45" s="1"/>
  <c r="M80" i="45" s="1"/>
  <c r="M81" i="45" s="1"/>
  <c r="M82" i="45" s="1"/>
  <c r="M83" i="45" s="1"/>
  <c r="M84" i="45" s="1"/>
  <c r="M85" i="45" s="1"/>
  <c r="M86" i="45" s="1"/>
  <c r="M87" i="45" s="1"/>
  <c r="M88" i="45" s="1"/>
  <c r="M89" i="45" s="1"/>
  <c r="M90" i="45" s="1"/>
  <c r="M91" i="45" s="1"/>
  <c r="M92" i="45" s="1"/>
  <c r="M93" i="45" s="1"/>
  <c r="M94" i="45" s="1"/>
  <c r="M95" i="45" s="1"/>
  <c r="M96" i="45" s="1"/>
  <c r="M97" i="45" s="1"/>
  <c r="M98" i="45" s="1"/>
  <c r="M99" i="45" s="1"/>
  <c r="M100" i="45" s="1"/>
  <c r="M101" i="45" s="1"/>
  <c r="M102" i="45" s="1"/>
  <c r="M103" i="45" s="1"/>
  <c r="M104" i="45" s="1"/>
  <c r="M105" i="45" s="1"/>
  <c r="M106" i="45" s="1"/>
  <c r="M107" i="45" s="1"/>
  <c r="M108" i="45" s="1"/>
  <c r="M109" i="45" s="1"/>
  <c r="M110" i="45" s="1"/>
  <c r="M111" i="45" s="1"/>
  <c r="M112" i="45" s="1"/>
  <c r="M113" i="45" s="1"/>
  <c r="M114" i="45" s="1"/>
  <c r="M115" i="45" s="1"/>
  <c r="M116" i="45" s="1"/>
  <c r="M117" i="45" s="1"/>
  <c r="M118" i="45" s="1"/>
  <c r="M119" i="45" s="1"/>
  <c r="M120" i="45" s="1"/>
  <c r="M121" i="45" s="1"/>
  <c r="M122" i="45" s="1"/>
  <c r="M123" i="45" s="1"/>
  <c r="M124" i="45" s="1"/>
  <c r="M125" i="45" s="1"/>
  <c r="M126" i="45" s="1"/>
  <c r="N57" i="45"/>
  <c r="N58" i="45" s="1"/>
  <c r="N59" i="45" s="1"/>
  <c r="N60" i="45" s="1"/>
  <c r="N61" i="45" s="1"/>
  <c r="N62" i="45" s="1"/>
  <c r="N63" i="45" s="1"/>
  <c r="N64" i="45" s="1"/>
  <c r="N65" i="45" s="1"/>
  <c r="N66" i="45" s="1"/>
  <c r="N67" i="45" s="1"/>
  <c r="N68" i="45" s="1"/>
  <c r="N69" i="45" s="1"/>
  <c r="N70" i="45" s="1"/>
  <c r="N71" i="45" s="1"/>
  <c r="N72" i="45" s="1"/>
  <c r="N73" i="45" s="1"/>
  <c r="N74" i="45" s="1"/>
  <c r="N75" i="45" s="1"/>
  <c r="N76" i="45" s="1"/>
  <c r="N77" i="45" s="1"/>
  <c r="N78" i="45" s="1"/>
  <c r="N79" i="45" s="1"/>
  <c r="N80" i="45" s="1"/>
  <c r="N81" i="45" s="1"/>
  <c r="N82" i="45" s="1"/>
  <c r="N83" i="45" s="1"/>
  <c r="N84" i="45" s="1"/>
  <c r="N85" i="45" s="1"/>
  <c r="N86" i="45" s="1"/>
  <c r="N87" i="45" s="1"/>
  <c r="N88" i="45" s="1"/>
  <c r="N89" i="45" s="1"/>
  <c r="N90" i="45" s="1"/>
  <c r="N91" i="45" s="1"/>
  <c r="N92" i="45" s="1"/>
  <c r="N93" i="45" s="1"/>
  <c r="N94" i="45" s="1"/>
  <c r="N95" i="45" s="1"/>
  <c r="N96" i="45" s="1"/>
  <c r="N97" i="45" s="1"/>
  <c r="N98" i="45" s="1"/>
  <c r="N99" i="45" s="1"/>
  <c r="N100" i="45" s="1"/>
  <c r="N101" i="45" s="1"/>
  <c r="N102" i="45" s="1"/>
  <c r="N103" i="45" s="1"/>
  <c r="N104" i="45" s="1"/>
  <c r="N105" i="45" s="1"/>
  <c r="N106" i="45" s="1"/>
  <c r="N107" i="45" s="1"/>
  <c r="N108" i="45" s="1"/>
  <c r="N109" i="45" s="1"/>
  <c r="N110" i="45" s="1"/>
  <c r="N111" i="45" s="1"/>
  <c r="N112" i="45" s="1"/>
  <c r="N113" i="45" s="1"/>
  <c r="N114" i="45" s="1"/>
  <c r="N115" i="45" s="1"/>
  <c r="N116" i="45" s="1"/>
  <c r="N117" i="45" s="1"/>
  <c r="N118" i="45" s="1"/>
  <c r="N119" i="45" s="1"/>
  <c r="N120" i="45" s="1"/>
  <c r="N121" i="45" s="1"/>
  <c r="N122" i="45" s="1"/>
  <c r="N123" i="45" s="1"/>
  <c r="N124" i="45" s="1"/>
  <c r="N125" i="45" s="1"/>
  <c r="N126" i="45" s="1"/>
  <c r="O57" i="45"/>
  <c r="O58" i="45" s="1"/>
  <c r="O59" i="45" s="1"/>
  <c r="O60" i="45" s="1"/>
  <c r="O61" i="45" s="1"/>
  <c r="O62" i="45" s="1"/>
  <c r="O63" i="45" s="1"/>
  <c r="O64" i="45" s="1"/>
  <c r="O65" i="45" s="1"/>
  <c r="O66" i="45" s="1"/>
  <c r="O67" i="45" s="1"/>
  <c r="O68" i="45" s="1"/>
  <c r="O69" i="45" s="1"/>
  <c r="O70" i="45" s="1"/>
  <c r="O71" i="45" s="1"/>
  <c r="O72" i="45" s="1"/>
  <c r="O73" i="45" s="1"/>
  <c r="O74" i="45" s="1"/>
  <c r="O75" i="45" s="1"/>
  <c r="O76" i="45" s="1"/>
  <c r="O77" i="45" s="1"/>
  <c r="O78" i="45" s="1"/>
  <c r="O79" i="45" s="1"/>
  <c r="O80" i="45" s="1"/>
  <c r="O81" i="45" s="1"/>
  <c r="O82" i="45" s="1"/>
  <c r="O83" i="45" s="1"/>
  <c r="O84" i="45" s="1"/>
  <c r="O85" i="45" s="1"/>
  <c r="O86" i="45" s="1"/>
  <c r="O87" i="45" s="1"/>
  <c r="O88" i="45" s="1"/>
  <c r="O89" i="45" s="1"/>
  <c r="O90" i="45" s="1"/>
  <c r="O91" i="45" s="1"/>
  <c r="O92" i="45" s="1"/>
  <c r="O93" i="45" s="1"/>
  <c r="O94" i="45" s="1"/>
  <c r="O95" i="45" s="1"/>
  <c r="O96" i="45" s="1"/>
  <c r="O97" i="45" s="1"/>
  <c r="O98" i="45" s="1"/>
  <c r="O99" i="45" s="1"/>
  <c r="O100" i="45" s="1"/>
  <c r="O101" i="45" s="1"/>
  <c r="O102" i="45" s="1"/>
  <c r="O103" i="45" s="1"/>
  <c r="O104" i="45" s="1"/>
  <c r="O105" i="45" s="1"/>
  <c r="O106" i="45" s="1"/>
  <c r="O107" i="45" s="1"/>
  <c r="O108" i="45" s="1"/>
  <c r="O109" i="45" s="1"/>
  <c r="O110" i="45" s="1"/>
  <c r="O111" i="45" s="1"/>
  <c r="O112" i="45" s="1"/>
  <c r="O113" i="45" s="1"/>
  <c r="O114" i="45" s="1"/>
  <c r="O115" i="45" s="1"/>
  <c r="O116" i="45" s="1"/>
  <c r="O117" i="45" s="1"/>
  <c r="O118" i="45" s="1"/>
  <c r="O119" i="45" s="1"/>
  <c r="O120" i="45" s="1"/>
  <c r="O121" i="45" s="1"/>
  <c r="O122" i="45" s="1"/>
  <c r="O123" i="45" s="1"/>
  <c r="O124" i="45" s="1"/>
  <c r="O125" i="45" s="1"/>
  <c r="O126" i="45" s="1"/>
  <c r="G77" i="45"/>
  <c r="G78" i="45" s="1"/>
  <c r="G79" i="45" s="1"/>
  <c r="G80" i="45" s="1"/>
  <c r="G81" i="45" s="1"/>
  <c r="G82" i="45" s="1"/>
  <c r="G83" i="45" s="1"/>
  <c r="G84" i="45" s="1"/>
  <c r="G85" i="45" s="1"/>
  <c r="G86" i="45" s="1"/>
  <c r="G87" i="45" s="1"/>
  <c r="G88" i="45" s="1"/>
  <c r="G89" i="45" s="1"/>
  <c r="G90" i="45" s="1"/>
  <c r="G91" i="45" s="1"/>
  <c r="G92" i="45" s="1"/>
  <c r="G93" i="45" s="1"/>
  <c r="G94" i="45" s="1"/>
  <c r="G95" i="45" s="1"/>
  <c r="G96" i="45" s="1"/>
  <c r="G97" i="45" s="1"/>
  <c r="G98" i="45" s="1"/>
  <c r="G99" i="45" s="1"/>
  <c r="G100" i="45" s="1"/>
  <c r="G101" i="45" s="1"/>
  <c r="G102" i="45" s="1"/>
  <c r="G103" i="45" s="1"/>
  <c r="G104" i="45" s="1"/>
  <c r="G105" i="45" s="1"/>
  <c r="G106" i="45" s="1"/>
  <c r="G107" i="45" s="1"/>
  <c r="G108" i="45" s="1"/>
  <c r="G109" i="45" s="1"/>
  <c r="G110" i="45" s="1"/>
  <c r="G111" i="45" s="1"/>
  <c r="G112" i="45" s="1"/>
  <c r="G113" i="45" s="1"/>
  <c r="G114" i="45" s="1"/>
  <c r="G115" i="45" s="1"/>
  <c r="G116" i="45" s="1"/>
  <c r="G117" i="45" s="1"/>
  <c r="G118" i="45" s="1"/>
  <c r="G119" i="45" s="1"/>
  <c r="G120" i="45" s="1"/>
  <c r="G121" i="45" s="1"/>
  <c r="G122" i="45" s="1"/>
  <c r="G123" i="45" s="1"/>
  <c r="G124" i="45" s="1"/>
  <c r="G125" i="45" s="1"/>
  <c r="G126" i="45" s="1"/>
  <c r="H77" i="45"/>
  <c r="H78" i="45" s="1"/>
  <c r="H79" i="45" s="1"/>
  <c r="H80" i="45" s="1"/>
  <c r="H81" i="45" s="1"/>
  <c r="H82" i="45" s="1"/>
  <c r="H83" i="45" s="1"/>
  <c r="H84" i="45" s="1"/>
  <c r="H85" i="45" s="1"/>
  <c r="H86" i="45" s="1"/>
  <c r="H87" i="45" s="1"/>
  <c r="H88" i="45" s="1"/>
  <c r="H89" i="45" s="1"/>
  <c r="H90" i="45" s="1"/>
  <c r="H91" i="45" s="1"/>
  <c r="H92" i="45" s="1"/>
  <c r="H93" i="45" s="1"/>
  <c r="H94" i="45" s="1"/>
  <c r="H95" i="45" s="1"/>
  <c r="H96" i="45" s="1"/>
  <c r="H97" i="45" s="1"/>
  <c r="H98" i="45" s="1"/>
  <c r="H99" i="45" s="1"/>
  <c r="H100" i="45" s="1"/>
  <c r="H101" i="45" s="1"/>
  <c r="H102" i="45" s="1"/>
  <c r="H103" i="45" s="1"/>
  <c r="H104" i="45" s="1"/>
  <c r="H105" i="45" s="1"/>
  <c r="H106" i="45" s="1"/>
  <c r="H107" i="45" s="1"/>
  <c r="H108" i="45" s="1"/>
  <c r="H109" i="45" s="1"/>
  <c r="H110" i="45" s="1"/>
  <c r="H111" i="45" s="1"/>
  <c r="H112" i="45" s="1"/>
  <c r="H113" i="45" s="1"/>
  <c r="H114" i="45" s="1"/>
  <c r="H115" i="45" s="1"/>
  <c r="H116" i="45" s="1"/>
  <c r="H117" i="45" s="1"/>
  <c r="H118" i="45" s="1"/>
  <c r="H119" i="45" s="1"/>
  <c r="H120" i="45" s="1"/>
  <c r="H121" i="45" s="1"/>
  <c r="H122" i="45" s="1"/>
  <c r="H123" i="45" s="1"/>
  <c r="H124" i="45" s="1"/>
  <c r="H125" i="45" s="1"/>
  <c r="H126" i="45" s="1"/>
  <c r="I77" i="45"/>
  <c r="I78" i="45" s="1"/>
  <c r="I79" i="45" s="1"/>
  <c r="I80" i="45" s="1"/>
  <c r="I81" i="45" s="1"/>
  <c r="I82" i="45" s="1"/>
  <c r="I83" i="45" s="1"/>
  <c r="I84" i="45" s="1"/>
  <c r="I85" i="45" s="1"/>
  <c r="I86" i="45" s="1"/>
  <c r="I87" i="45" s="1"/>
  <c r="I88" i="45" s="1"/>
  <c r="I89" i="45" s="1"/>
  <c r="I90" i="45" s="1"/>
  <c r="I91" i="45" s="1"/>
  <c r="I92" i="45" s="1"/>
  <c r="I93" i="45" s="1"/>
  <c r="I94" i="45" s="1"/>
  <c r="I95" i="45" s="1"/>
  <c r="I96" i="45" s="1"/>
  <c r="I97" i="45" s="1"/>
  <c r="I98" i="45" s="1"/>
  <c r="I99" i="45" s="1"/>
  <c r="I100" i="45" s="1"/>
  <c r="I101" i="45" s="1"/>
  <c r="I102" i="45" s="1"/>
  <c r="I103" i="45" s="1"/>
  <c r="I104" i="45" s="1"/>
  <c r="I105" i="45" s="1"/>
  <c r="I106" i="45" s="1"/>
  <c r="I107" i="45" s="1"/>
  <c r="I108" i="45" s="1"/>
  <c r="I109" i="45" s="1"/>
  <c r="I110" i="45" s="1"/>
  <c r="I111" i="45" s="1"/>
  <c r="I112" i="45" s="1"/>
  <c r="I113" i="45" s="1"/>
  <c r="I114" i="45" s="1"/>
  <c r="I115" i="45" s="1"/>
  <c r="I116" i="45" s="1"/>
  <c r="I117" i="45" s="1"/>
  <c r="I118" i="45" s="1"/>
  <c r="I119" i="45" s="1"/>
  <c r="I120" i="45" s="1"/>
  <c r="I121" i="45" s="1"/>
  <c r="I122" i="45" s="1"/>
  <c r="I123" i="45" s="1"/>
  <c r="I124" i="45" s="1"/>
  <c r="I125" i="45" s="1"/>
  <c r="I126" i="45" s="1"/>
  <c r="J44" i="45"/>
  <c r="K44" i="45"/>
  <c r="L44" i="45"/>
  <c r="M44" i="45"/>
  <c r="N44" i="45"/>
  <c r="O44" i="45"/>
  <c r="F62" i="92" l="1"/>
  <c r="F61" i="92"/>
  <c r="C45" i="163" l="1"/>
  <c r="D45" i="163"/>
  <c r="E45" i="163"/>
  <c r="C46" i="163"/>
  <c r="D46" i="163"/>
  <c r="E46" i="163"/>
  <c r="C47" i="163"/>
  <c r="D47" i="163"/>
  <c r="E47" i="163"/>
  <c r="C48" i="163"/>
  <c r="D48" i="163"/>
  <c r="E48" i="163"/>
  <c r="C49" i="163"/>
  <c r="D49" i="163"/>
  <c r="E49" i="163"/>
  <c r="D44" i="163"/>
  <c r="E44" i="163"/>
  <c r="C54" i="163"/>
  <c r="D54" i="163"/>
  <c r="E54" i="163"/>
  <c r="C55" i="163"/>
  <c r="D55" i="163"/>
  <c r="E55" i="163"/>
  <c r="C56" i="163"/>
  <c r="D56" i="163"/>
  <c r="E56" i="163"/>
  <c r="C57" i="163"/>
  <c r="D57" i="163"/>
  <c r="E57" i="163"/>
  <c r="C58" i="163"/>
  <c r="D58" i="163"/>
  <c r="E58" i="163"/>
  <c r="D53" i="163"/>
  <c r="E53" i="163"/>
  <c r="C53" i="163"/>
  <c r="C44" i="163"/>
  <c r="C35" i="163"/>
  <c r="D35" i="163"/>
  <c r="E35" i="163"/>
  <c r="C36" i="163"/>
  <c r="D36" i="163"/>
  <c r="E36" i="163"/>
  <c r="C37" i="163"/>
  <c r="D37" i="163"/>
  <c r="E37" i="163"/>
  <c r="C38" i="163"/>
  <c r="D38" i="163"/>
  <c r="E38" i="163"/>
  <c r="C39" i="163"/>
  <c r="D39" i="163"/>
  <c r="E39" i="163"/>
  <c r="D34" i="163"/>
  <c r="E34" i="163"/>
  <c r="C34" i="163"/>
  <c r="C28" i="163"/>
  <c r="C29" i="163"/>
  <c r="C27" i="163"/>
  <c r="B14" i="143" l="1"/>
  <c r="B14" i="42"/>
  <c r="B15" i="142"/>
  <c r="B14" i="142"/>
  <c r="B14" i="34"/>
  <c r="B15" i="107"/>
  <c r="B14" i="107"/>
  <c r="J28" i="29" l="1"/>
  <c r="J29" i="29"/>
  <c r="J30" i="29"/>
  <c r="J31" i="29"/>
  <c r="J32" i="29"/>
  <c r="J33" i="29"/>
  <c r="J34" i="29"/>
  <c r="J35" i="29"/>
  <c r="J36" i="29"/>
  <c r="J37" i="29"/>
  <c r="J38" i="29"/>
  <c r="J39" i="29"/>
  <c r="J40" i="29"/>
  <c r="J41" i="29"/>
  <c r="J27" i="29"/>
  <c r="B15" i="162"/>
  <c r="B15" i="88"/>
  <c r="B14" i="88"/>
  <c r="B15" i="161"/>
  <c r="B14" i="161"/>
  <c r="B14" i="162"/>
  <c r="B15" i="41"/>
  <c r="B14" i="41"/>
  <c r="A44" i="29"/>
  <c r="B15" i="93"/>
  <c r="B14" i="93"/>
  <c r="A22" i="162" l="1"/>
  <c r="H44" i="3"/>
  <c r="A24" i="161" l="1"/>
  <c r="J44" i="34" l="1"/>
  <c r="I44" i="34"/>
  <c r="J43" i="34"/>
  <c r="I43" i="34"/>
  <c r="O30" i="1"/>
  <c r="N31" i="1"/>
  <c r="H30" i="1"/>
  <c r="A23" i="59"/>
  <c r="I61" i="92"/>
  <c r="F27" i="59"/>
  <c r="F28" i="59"/>
  <c r="M28" i="59" s="1"/>
  <c r="F26" i="59"/>
  <c r="I27" i="59"/>
  <c r="I28" i="59"/>
  <c r="N28" i="59" s="1"/>
  <c r="I26" i="59"/>
  <c r="N26" i="59" s="1"/>
  <c r="L27" i="59"/>
  <c r="O27" i="59" s="1"/>
  <c r="L28" i="59"/>
  <c r="L26" i="59"/>
  <c r="O26" i="59" s="1"/>
  <c r="AR35" i="157"/>
  <c r="AR34" i="157"/>
  <c r="AR33" i="157"/>
  <c r="AR32" i="157"/>
  <c r="AR31" i="157"/>
  <c r="AR30" i="157"/>
  <c r="AR29" i="157"/>
  <c r="AR28" i="157"/>
  <c r="AR35" i="155"/>
  <c r="AR34" i="155"/>
  <c r="AR33" i="155"/>
  <c r="AR32" i="155"/>
  <c r="AR31" i="155"/>
  <c r="AR30" i="155"/>
  <c r="AR29" i="155"/>
  <c r="AR28" i="155"/>
  <c r="Q28" i="143"/>
  <c r="P28" i="143"/>
  <c r="O28" i="143"/>
  <c r="N28" i="143"/>
  <c r="AF27" i="143" s="1"/>
  <c r="W27" i="144" s="1"/>
  <c r="M28" i="143"/>
  <c r="M29" i="143" s="1"/>
  <c r="M30" i="143" s="1"/>
  <c r="AE29" i="143" s="1"/>
  <c r="V29" i="144" s="1"/>
  <c r="AE29" i="144" s="1"/>
  <c r="L28" i="143"/>
  <c r="L29" i="143" s="1"/>
  <c r="L30" i="143" s="1"/>
  <c r="AD29" i="143" s="1"/>
  <c r="U29" i="144" s="1"/>
  <c r="AC29" i="144" s="1"/>
  <c r="K28" i="143"/>
  <c r="J28" i="143"/>
  <c r="I28" i="143"/>
  <c r="X27" i="143" s="1"/>
  <c r="H28" i="143"/>
  <c r="H29" i="143" s="1"/>
  <c r="G28" i="143"/>
  <c r="F28" i="143"/>
  <c r="V27" i="143" s="1"/>
  <c r="F27" i="144" s="1"/>
  <c r="E28" i="143"/>
  <c r="E29" i="143" s="1"/>
  <c r="E30" i="143" s="1"/>
  <c r="D28" i="143"/>
  <c r="D29" i="143" s="1"/>
  <c r="D30" i="143" s="1"/>
  <c r="D31" i="143" s="1"/>
  <c r="T31" i="143" s="1"/>
  <c r="D31" i="144" s="1"/>
  <c r="D33" i="143"/>
  <c r="AS77" i="157"/>
  <c r="AS76" i="157"/>
  <c r="AS75" i="157"/>
  <c r="AS74" i="157"/>
  <c r="AS73" i="157"/>
  <c r="AS72" i="157"/>
  <c r="AS71" i="157"/>
  <c r="AS70" i="157"/>
  <c r="AS69" i="157"/>
  <c r="AS68" i="157"/>
  <c r="AS67" i="157"/>
  <c r="AS66" i="157"/>
  <c r="AS65" i="157"/>
  <c r="AS64" i="157"/>
  <c r="AS63" i="157"/>
  <c r="AS62" i="157"/>
  <c r="AS61" i="157"/>
  <c r="AS60" i="157"/>
  <c r="AS59" i="157"/>
  <c r="AS58" i="157"/>
  <c r="AS57" i="157"/>
  <c r="AS56" i="157"/>
  <c r="AS55" i="157"/>
  <c r="AS54" i="157"/>
  <c r="AS53" i="157"/>
  <c r="AS52" i="157"/>
  <c r="AS51" i="157"/>
  <c r="AS50" i="157"/>
  <c r="AS49" i="157"/>
  <c r="AS48" i="157"/>
  <c r="AS47" i="157"/>
  <c r="AS46" i="157"/>
  <c r="AS45" i="157"/>
  <c r="AS44" i="157"/>
  <c r="AS43" i="157"/>
  <c r="AS42" i="157"/>
  <c r="AS41" i="157"/>
  <c r="AS40" i="157"/>
  <c r="AS39" i="157"/>
  <c r="AS38" i="157"/>
  <c r="AS37" i="157"/>
  <c r="AS36" i="157"/>
  <c r="AS35" i="157"/>
  <c r="AS34" i="157"/>
  <c r="AS33" i="157"/>
  <c r="AS32" i="157"/>
  <c r="AS31" i="157"/>
  <c r="AS30" i="157"/>
  <c r="AS29" i="157"/>
  <c r="AS28" i="157"/>
  <c r="BF78" i="157"/>
  <c r="BF77" i="157"/>
  <c r="AQ77" i="157"/>
  <c r="BF76" i="157"/>
  <c r="AQ76" i="157"/>
  <c r="BF75" i="157"/>
  <c r="AQ75" i="157"/>
  <c r="BF74" i="157"/>
  <c r="AQ74" i="157"/>
  <c r="BF73" i="157"/>
  <c r="AQ73" i="157"/>
  <c r="BF72" i="157"/>
  <c r="AQ72" i="157"/>
  <c r="BF71" i="157"/>
  <c r="AQ71" i="157"/>
  <c r="BF70" i="157"/>
  <c r="AQ70" i="157"/>
  <c r="BF69" i="157"/>
  <c r="AQ69" i="157"/>
  <c r="J69" i="157"/>
  <c r="J70" i="157" s="1"/>
  <c r="J71" i="157" s="1"/>
  <c r="J72" i="157" s="1"/>
  <c r="J73" i="157" s="1"/>
  <c r="J74" i="157" s="1"/>
  <c r="J75" i="157" s="1"/>
  <c r="J76" i="157" s="1"/>
  <c r="J77" i="157" s="1"/>
  <c r="J78" i="157" s="1"/>
  <c r="I69" i="157"/>
  <c r="I70" i="157" s="1"/>
  <c r="H69" i="157"/>
  <c r="H70" i="157" s="1"/>
  <c r="G69" i="157"/>
  <c r="G70" i="157" s="1"/>
  <c r="G71" i="157" s="1"/>
  <c r="F69" i="157"/>
  <c r="F70" i="157" s="1"/>
  <c r="E69" i="157"/>
  <c r="E70" i="157" s="1"/>
  <c r="E71" i="157" s="1"/>
  <c r="E72" i="157" s="1"/>
  <c r="D69" i="157"/>
  <c r="D70" i="157" s="1"/>
  <c r="BF68" i="157"/>
  <c r="AQ68" i="157"/>
  <c r="BF67" i="157"/>
  <c r="AQ67" i="157"/>
  <c r="BF66" i="157"/>
  <c r="AQ66" i="157"/>
  <c r="BF65" i="157"/>
  <c r="AQ65" i="157"/>
  <c r="BF64" i="157"/>
  <c r="AQ64" i="157"/>
  <c r="J64" i="157"/>
  <c r="J65" i="157" s="1"/>
  <c r="J66" i="157" s="1"/>
  <c r="J67" i="157" s="1"/>
  <c r="I64" i="157"/>
  <c r="I65" i="157" s="1"/>
  <c r="H64" i="157"/>
  <c r="H65" i="157" s="1"/>
  <c r="G64" i="157"/>
  <c r="G65" i="157" s="1"/>
  <c r="F64" i="157"/>
  <c r="F65" i="157" s="1"/>
  <c r="E64" i="157"/>
  <c r="E65" i="157" s="1"/>
  <c r="E66" i="157" s="1"/>
  <c r="E67" i="157" s="1"/>
  <c r="D64" i="157"/>
  <c r="D65" i="157" s="1"/>
  <c r="BF63" i="157"/>
  <c r="AQ63" i="157"/>
  <c r="BF62" i="157"/>
  <c r="AQ62" i="157"/>
  <c r="BF61" i="157"/>
  <c r="AQ61" i="157"/>
  <c r="BF60" i="157"/>
  <c r="AQ60" i="157"/>
  <c r="BF59" i="157"/>
  <c r="AQ59" i="157"/>
  <c r="J59" i="157"/>
  <c r="J60" i="157" s="1"/>
  <c r="J61" i="157" s="1"/>
  <c r="I59" i="157"/>
  <c r="I60" i="157" s="1"/>
  <c r="H59" i="157"/>
  <c r="H60" i="157" s="1"/>
  <c r="H61" i="157" s="1"/>
  <c r="H62" i="157" s="1"/>
  <c r="G59" i="157"/>
  <c r="G60" i="157" s="1"/>
  <c r="F59" i="157"/>
  <c r="F60" i="157" s="1"/>
  <c r="F61" i="157" s="1"/>
  <c r="F62" i="157" s="1"/>
  <c r="E59" i="157"/>
  <c r="E60" i="157" s="1"/>
  <c r="E61" i="157" s="1"/>
  <c r="E62" i="157" s="1"/>
  <c r="D59" i="157"/>
  <c r="D60" i="157" s="1"/>
  <c r="D61" i="157" s="1"/>
  <c r="BF58" i="157"/>
  <c r="AQ58" i="157"/>
  <c r="BF57" i="157"/>
  <c r="AQ57" i="157"/>
  <c r="BF56" i="157"/>
  <c r="AQ56" i="157"/>
  <c r="BF55" i="157"/>
  <c r="AQ55" i="157"/>
  <c r="BF54" i="157"/>
  <c r="AQ54" i="157"/>
  <c r="J54" i="157"/>
  <c r="J55" i="157" s="1"/>
  <c r="J56" i="157" s="1"/>
  <c r="I54" i="157"/>
  <c r="I55" i="157" s="1"/>
  <c r="H54" i="157"/>
  <c r="H55" i="157" s="1"/>
  <c r="H56" i="157" s="1"/>
  <c r="H57" i="157" s="1"/>
  <c r="G54" i="157"/>
  <c r="G55" i="157" s="1"/>
  <c r="F54" i="157"/>
  <c r="F55" i="157" s="1"/>
  <c r="E54" i="157"/>
  <c r="E55" i="157" s="1"/>
  <c r="E56" i="157" s="1"/>
  <c r="E57" i="157" s="1"/>
  <c r="D54" i="157"/>
  <c r="D55" i="157" s="1"/>
  <c r="BF53" i="157"/>
  <c r="AQ53" i="157"/>
  <c r="BF52" i="157"/>
  <c r="AR52" i="157"/>
  <c r="AR53" i="157" s="1"/>
  <c r="AR54" i="157" s="1"/>
  <c r="AR55" i="157" s="1"/>
  <c r="AR56" i="157" s="1"/>
  <c r="AQ52" i="157"/>
  <c r="BF51" i="157"/>
  <c r="AR51" i="157"/>
  <c r="AQ51" i="157"/>
  <c r="BF50" i="157"/>
  <c r="AR50" i="157"/>
  <c r="AQ50" i="157"/>
  <c r="BF49" i="157"/>
  <c r="AR49" i="157"/>
  <c r="AQ49" i="157"/>
  <c r="J49" i="157"/>
  <c r="J50" i="157" s="1"/>
  <c r="I49" i="157"/>
  <c r="I50" i="157" s="1"/>
  <c r="I51" i="157" s="1"/>
  <c r="I52" i="157" s="1"/>
  <c r="H49" i="157"/>
  <c r="H50" i="157" s="1"/>
  <c r="H51" i="157" s="1"/>
  <c r="G49" i="157"/>
  <c r="G50" i="157" s="1"/>
  <c r="F49" i="157"/>
  <c r="F50" i="157" s="1"/>
  <c r="F51" i="157" s="1"/>
  <c r="E49" i="157"/>
  <c r="E50" i="157" s="1"/>
  <c r="D49" i="157"/>
  <c r="D50" i="157" s="1"/>
  <c r="D51" i="157" s="1"/>
  <c r="D52" i="157" s="1"/>
  <c r="BF48" i="157"/>
  <c r="AR48" i="157"/>
  <c r="AQ48" i="157"/>
  <c r="BF47" i="157"/>
  <c r="AR47" i="157"/>
  <c r="AQ47" i="157"/>
  <c r="BF46" i="157"/>
  <c r="AR46" i="157"/>
  <c r="AQ46" i="157"/>
  <c r="BF45" i="157"/>
  <c r="AR45" i="157"/>
  <c r="AQ45" i="157"/>
  <c r="BF44" i="157"/>
  <c r="AR44" i="157"/>
  <c r="AQ44" i="157"/>
  <c r="J44" i="157"/>
  <c r="J45" i="157" s="1"/>
  <c r="J46" i="157" s="1"/>
  <c r="J47" i="157" s="1"/>
  <c r="I44" i="157"/>
  <c r="I45" i="157" s="1"/>
  <c r="H44" i="157"/>
  <c r="H45" i="157" s="1"/>
  <c r="H46" i="157" s="1"/>
  <c r="H47" i="157" s="1"/>
  <c r="G44" i="157"/>
  <c r="G45" i="157" s="1"/>
  <c r="G46" i="157" s="1"/>
  <c r="G47" i="157" s="1"/>
  <c r="F44" i="157"/>
  <c r="F45" i="157" s="1"/>
  <c r="F46" i="157" s="1"/>
  <c r="F47" i="157" s="1"/>
  <c r="E44" i="157"/>
  <c r="E45" i="157" s="1"/>
  <c r="D44" i="157"/>
  <c r="D45" i="157" s="1"/>
  <c r="D46" i="157" s="1"/>
  <c r="D47" i="157" s="1"/>
  <c r="BF43" i="157"/>
  <c r="AR43" i="157"/>
  <c r="AQ43" i="157"/>
  <c r="BF42" i="157"/>
  <c r="AR42" i="157"/>
  <c r="AQ42" i="157"/>
  <c r="BF41" i="157"/>
  <c r="AR41" i="157"/>
  <c r="AQ41" i="157"/>
  <c r="BF40" i="157"/>
  <c r="AR40" i="157"/>
  <c r="AQ40" i="157"/>
  <c r="BF39" i="157"/>
  <c r="AR39" i="157"/>
  <c r="AQ39" i="157"/>
  <c r="J39" i="157"/>
  <c r="J40" i="157" s="1"/>
  <c r="J41" i="157" s="1"/>
  <c r="I39" i="157"/>
  <c r="I40" i="157" s="1"/>
  <c r="H39" i="157"/>
  <c r="H40" i="157" s="1"/>
  <c r="H41" i="157" s="1"/>
  <c r="H42" i="157" s="1"/>
  <c r="G39" i="157"/>
  <c r="G40" i="157" s="1"/>
  <c r="F39" i="157"/>
  <c r="F40" i="157" s="1"/>
  <c r="F41" i="157" s="1"/>
  <c r="F42" i="157" s="1"/>
  <c r="E39" i="157"/>
  <c r="E40" i="157" s="1"/>
  <c r="E41" i="157" s="1"/>
  <c r="E42" i="157" s="1"/>
  <c r="D39" i="157"/>
  <c r="D40" i="157" s="1"/>
  <c r="BF38" i="157"/>
  <c r="AR38" i="157"/>
  <c r="AQ38" i="157"/>
  <c r="BF37" i="157"/>
  <c r="AR37" i="157"/>
  <c r="AT37" i="157" s="1"/>
  <c r="AQ37" i="157"/>
  <c r="BF36" i="157"/>
  <c r="AR36" i="157"/>
  <c r="AQ36" i="157"/>
  <c r="BF35" i="157"/>
  <c r="AQ35" i="157"/>
  <c r="BF34" i="157"/>
  <c r="AQ34" i="157"/>
  <c r="J34" i="157"/>
  <c r="J35" i="157" s="1"/>
  <c r="J36" i="157" s="1"/>
  <c r="J37" i="157" s="1"/>
  <c r="I34" i="157"/>
  <c r="I35" i="157" s="1"/>
  <c r="H34" i="157"/>
  <c r="H35" i="157" s="1"/>
  <c r="G34" i="157"/>
  <c r="G35" i="157" s="1"/>
  <c r="F34" i="157"/>
  <c r="F35" i="157" s="1"/>
  <c r="E34" i="157"/>
  <c r="E35" i="157" s="1"/>
  <c r="D34" i="157"/>
  <c r="D35" i="157" s="1"/>
  <c r="D36" i="157" s="1"/>
  <c r="D37" i="157" s="1"/>
  <c r="BF33" i="157"/>
  <c r="AQ33" i="157"/>
  <c r="BF32" i="157"/>
  <c r="AQ32" i="157"/>
  <c r="BF31" i="157"/>
  <c r="AQ31" i="157"/>
  <c r="BF30" i="157"/>
  <c r="AQ30" i="157"/>
  <c r="BF29" i="157"/>
  <c r="AQ29" i="157"/>
  <c r="J29" i="157"/>
  <c r="J30" i="157" s="1"/>
  <c r="J31" i="157" s="1"/>
  <c r="J32" i="157" s="1"/>
  <c r="I29" i="157"/>
  <c r="I30" i="157" s="1"/>
  <c r="H29" i="157"/>
  <c r="H30" i="157" s="1"/>
  <c r="H31" i="157" s="1"/>
  <c r="G29" i="157"/>
  <c r="G30" i="157" s="1"/>
  <c r="F29" i="157"/>
  <c r="F30" i="157" s="1"/>
  <c r="F31" i="157" s="1"/>
  <c r="E29" i="157"/>
  <c r="E30" i="157" s="1"/>
  <c r="E31" i="157" s="1"/>
  <c r="E32" i="157" s="1"/>
  <c r="D29" i="157"/>
  <c r="D30" i="157" s="1"/>
  <c r="D31" i="157" s="1"/>
  <c r="BF28" i="157"/>
  <c r="AQ28" i="157"/>
  <c r="H14" i="157"/>
  <c r="H13" i="157" s="1"/>
  <c r="B14" i="157"/>
  <c r="K26" i="157" s="1"/>
  <c r="N13" i="157"/>
  <c r="AQ28" i="155"/>
  <c r="AS28" i="155"/>
  <c r="AT28" i="155" s="1"/>
  <c r="BF28" i="155"/>
  <c r="AQ29" i="155"/>
  <c r="AS29" i="155"/>
  <c r="AT29" i="155" s="1"/>
  <c r="BF29" i="155"/>
  <c r="AQ30" i="155"/>
  <c r="AS30" i="155"/>
  <c r="BF30" i="155"/>
  <c r="AQ31" i="155"/>
  <c r="AS31" i="155"/>
  <c r="BF31" i="155"/>
  <c r="AQ32" i="155"/>
  <c r="AS32" i="155"/>
  <c r="BF32" i="155"/>
  <c r="J29" i="155"/>
  <c r="J30" i="155" s="1"/>
  <c r="I29" i="155"/>
  <c r="I30" i="155" s="1"/>
  <c r="I31" i="155" s="1"/>
  <c r="I32" i="155" s="1"/>
  <c r="H29" i="155"/>
  <c r="H30" i="155" s="1"/>
  <c r="H31" i="155" s="1"/>
  <c r="H32" i="155" s="1"/>
  <c r="G29" i="155"/>
  <c r="G30" i="155" s="1"/>
  <c r="G31" i="155" s="1"/>
  <c r="G32" i="155" s="1"/>
  <c r="F29" i="155"/>
  <c r="F30" i="155" s="1"/>
  <c r="E29" i="155"/>
  <c r="E30" i="155" s="1"/>
  <c r="E31" i="155" s="1"/>
  <c r="E32" i="155" s="1"/>
  <c r="D29" i="155"/>
  <c r="D30" i="155" s="1"/>
  <c r="D34" i="155"/>
  <c r="D35" i="155" s="1"/>
  <c r="D36" i="155" s="1"/>
  <c r="D37" i="155" s="1"/>
  <c r="Q63" i="143"/>
  <c r="Q64" i="143" s="1"/>
  <c r="P63" i="143"/>
  <c r="O63" i="143"/>
  <c r="N63" i="143"/>
  <c r="N64" i="143" s="1"/>
  <c r="M63" i="143"/>
  <c r="M64" i="143" s="1"/>
  <c r="M65" i="143" s="1"/>
  <c r="M66" i="143" s="1"/>
  <c r="L63" i="143"/>
  <c r="AD62" i="143" s="1"/>
  <c r="U62" i="144" s="1"/>
  <c r="AC62" i="144" s="1"/>
  <c r="K63" i="143"/>
  <c r="K64" i="143" s="1"/>
  <c r="Q58" i="143"/>
  <c r="P58" i="143"/>
  <c r="AG57" i="143" s="1"/>
  <c r="O58" i="143"/>
  <c r="O59" i="143" s="1"/>
  <c r="N58" i="143"/>
  <c r="M58" i="143"/>
  <c r="M59" i="143" s="1"/>
  <c r="L58" i="143"/>
  <c r="L59" i="143" s="1"/>
  <c r="L60" i="143" s="1"/>
  <c r="L61" i="143" s="1"/>
  <c r="K58" i="143"/>
  <c r="K59" i="143" s="1"/>
  <c r="K60" i="143" s="1"/>
  <c r="AC59" i="143" s="1"/>
  <c r="T59" i="144" s="1"/>
  <c r="Q53" i="143"/>
  <c r="Q54" i="143" s="1"/>
  <c r="P53" i="143"/>
  <c r="O53" i="143"/>
  <c r="O54" i="143" s="1"/>
  <c r="N53" i="143"/>
  <c r="N54" i="143" s="1"/>
  <c r="M53" i="143"/>
  <c r="M54" i="143" s="1"/>
  <c r="L53" i="143"/>
  <c r="L54" i="143" s="1"/>
  <c r="K53" i="143"/>
  <c r="K54" i="143" s="1"/>
  <c r="K55" i="143" s="1"/>
  <c r="J63" i="143"/>
  <c r="AB62" i="143" s="1"/>
  <c r="K62" i="144" s="1"/>
  <c r="I63" i="143"/>
  <c r="H63" i="143"/>
  <c r="H64" i="143" s="1"/>
  <c r="G63" i="143"/>
  <c r="G64" i="143" s="1"/>
  <c r="G65" i="143" s="1"/>
  <c r="G66" i="143" s="1"/>
  <c r="F63" i="143"/>
  <c r="E63" i="143"/>
  <c r="E64" i="143" s="1"/>
  <c r="D63" i="143"/>
  <c r="D64" i="143" s="1"/>
  <c r="D58" i="143"/>
  <c r="D59" i="143" s="1"/>
  <c r="J58" i="143"/>
  <c r="J59" i="143" s="1"/>
  <c r="J60" i="143" s="1"/>
  <c r="I58" i="143"/>
  <c r="H58" i="143"/>
  <c r="G58" i="143"/>
  <c r="G59" i="143" s="1"/>
  <c r="F58" i="143"/>
  <c r="E58" i="143"/>
  <c r="D53" i="143"/>
  <c r="J53" i="143"/>
  <c r="AB52" i="143" s="1"/>
  <c r="K52" i="144" s="1"/>
  <c r="I53" i="143"/>
  <c r="X52" i="143" s="1"/>
  <c r="H53" i="143"/>
  <c r="G53" i="143"/>
  <c r="G54" i="143" s="1"/>
  <c r="G55" i="143" s="1"/>
  <c r="G56" i="143" s="1"/>
  <c r="W56" i="143" s="1"/>
  <c r="G56" i="144" s="1"/>
  <c r="F53" i="143"/>
  <c r="F54" i="143" s="1"/>
  <c r="E53" i="143"/>
  <c r="D48" i="143"/>
  <c r="AS77" i="155"/>
  <c r="AS76" i="155"/>
  <c r="AS75" i="155"/>
  <c r="AS74" i="155"/>
  <c r="AS73" i="155"/>
  <c r="AS72" i="155"/>
  <c r="AS71" i="155"/>
  <c r="AS70" i="155"/>
  <c r="AS69" i="155"/>
  <c r="AS68" i="155"/>
  <c r="AS67" i="155"/>
  <c r="AS66" i="155"/>
  <c r="AS65" i="155"/>
  <c r="AS64" i="155"/>
  <c r="AS63" i="155"/>
  <c r="AS62" i="155"/>
  <c r="AS61" i="155"/>
  <c r="AS60" i="155"/>
  <c r="AS59" i="155"/>
  <c r="AS58" i="155"/>
  <c r="AS57" i="155"/>
  <c r="AS56" i="155"/>
  <c r="AS55" i="155"/>
  <c r="AS54" i="155"/>
  <c r="AS53" i="155"/>
  <c r="AS52" i="155"/>
  <c r="AS51" i="155"/>
  <c r="AS50" i="155"/>
  <c r="AS49" i="155"/>
  <c r="AS48" i="155"/>
  <c r="AS47" i="155"/>
  <c r="AS46" i="155"/>
  <c r="AS45" i="155"/>
  <c r="AS44" i="155"/>
  <c r="AS43" i="155"/>
  <c r="AS42" i="155"/>
  <c r="AS41" i="155"/>
  <c r="AS40" i="155"/>
  <c r="AS39" i="155"/>
  <c r="AS38" i="155"/>
  <c r="AS37" i="155"/>
  <c r="AS36" i="155"/>
  <c r="AS35" i="155"/>
  <c r="AS34" i="155"/>
  <c r="AS33" i="155"/>
  <c r="E28" i="146"/>
  <c r="E29" i="146"/>
  <c r="E30" i="146"/>
  <c r="E31" i="146"/>
  <c r="E32" i="146"/>
  <c r="E33" i="146"/>
  <c r="E34" i="146"/>
  <c r="E35" i="146"/>
  <c r="E36" i="146"/>
  <c r="E37" i="146"/>
  <c r="E38" i="146"/>
  <c r="E39" i="146"/>
  <c r="E40" i="146"/>
  <c r="E41" i="146"/>
  <c r="E42" i="146"/>
  <c r="E43" i="146"/>
  <c r="E44" i="146"/>
  <c r="E45" i="146"/>
  <c r="E46" i="146"/>
  <c r="E47" i="146"/>
  <c r="E48" i="146"/>
  <c r="E49" i="146"/>
  <c r="E50" i="146"/>
  <c r="E51" i="146"/>
  <c r="E52" i="146"/>
  <c r="E53" i="146"/>
  <c r="E54" i="146"/>
  <c r="E55" i="146"/>
  <c r="E56" i="146"/>
  <c r="E57" i="146"/>
  <c r="E58" i="146"/>
  <c r="E59" i="146"/>
  <c r="E60" i="146"/>
  <c r="E61" i="146"/>
  <c r="E62" i="146"/>
  <c r="E63" i="146"/>
  <c r="E64" i="146"/>
  <c r="E65" i="146"/>
  <c r="E66" i="146"/>
  <c r="E67" i="146"/>
  <c r="E68" i="146"/>
  <c r="E69" i="146"/>
  <c r="E70" i="146"/>
  <c r="E71" i="146"/>
  <c r="E72" i="146"/>
  <c r="E73" i="146"/>
  <c r="E74" i="146"/>
  <c r="E75" i="146"/>
  <c r="E76" i="146"/>
  <c r="E77" i="146"/>
  <c r="E78" i="146"/>
  <c r="E79" i="146"/>
  <c r="E80" i="146"/>
  <c r="E81" i="146"/>
  <c r="E82" i="146"/>
  <c r="E83" i="146"/>
  <c r="E84" i="146"/>
  <c r="E85" i="146"/>
  <c r="E86" i="146"/>
  <c r="E87" i="146"/>
  <c r="E88" i="146"/>
  <c r="E89" i="146"/>
  <c r="E90" i="146"/>
  <c r="E91" i="146"/>
  <c r="E92" i="146"/>
  <c r="E93" i="146"/>
  <c r="E94" i="146"/>
  <c r="E95" i="146"/>
  <c r="E96" i="146"/>
  <c r="E97" i="146"/>
  <c r="E98" i="146"/>
  <c r="E99" i="146"/>
  <c r="E100" i="146"/>
  <c r="E101" i="146"/>
  <c r="E102" i="146"/>
  <c r="E103" i="146"/>
  <c r="E104" i="146"/>
  <c r="E105" i="146"/>
  <c r="E106" i="146"/>
  <c r="E107" i="146"/>
  <c r="E108" i="146"/>
  <c r="E109" i="146"/>
  <c r="E110" i="146"/>
  <c r="E111" i="146"/>
  <c r="E112" i="146"/>
  <c r="E113" i="146"/>
  <c r="E114" i="146"/>
  <c r="E115" i="146"/>
  <c r="E116" i="146"/>
  <c r="E27" i="146"/>
  <c r="BF78" i="155"/>
  <c r="BF77" i="155"/>
  <c r="AQ77" i="155"/>
  <c r="BF76" i="155"/>
  <c r="AQ76" i="155"/>
  <c r="BF75" i="155"/>
  <c r="AQ75" i="155"/>
  <c r="BF74" i="155"/>
  <c r="AQ74" i="155"/>
  <c r="BF73" i="155"/>
  <c r="AQ73" i="155"/>
  <c r="BF72" i="155"/>
  <c r="AQ72" i="155"/>
  <c r="BF71" i="155"/>
  <c r="AQ71" i="155"/>
  <c r="BF70" i="155"/>
  <c r="AQ70" i="155"/>
  <c r="BF69" i="155"/>
  <c r="AQ69" i="155"/>
  <c r="J69" i="155"/>
  <c r="J70" i="155" s="1"/>
  <c r="J71" i="155" s="1"/>
  <c r="J72" i="155" s="1"/>
  <c r="J73" i="155" s="1"/>
  <c r="J74" i="155" s="1"/>
  <c r="J75" i="155" s="1"/>
  <c r="J76" i="155" s="1"/>
  <c r="J77" i="155" s="1"/>
  <c r="J78" i="155" s="1"/>
  <c r="I69" i="155"/>
  <c r="I70" i="155" s="1"/>
  <c r="H69" i="155"/>
  <c r="H70" i="155" s="1"/>
  <c r="H71" i="155" s="1"/>
  <c r="H72" i="155" s="1"/>
  <c r="H73" i="155" s="1"/>
  <c r="H74" i="155" s="1"/>
  <c r="H75" i="155" s="1"/>
  <c r="H76" i="155" s="1"/>
  <c r="H77" i="155" s="1"/>
  <c r="H78" i="155" s="1"/>
  <c r="G69" i="155"/>
  <c r="G70" i="155" s="1"/>
  <c r="F69" i="155"/>
  <c r="F70" i="155" s="1"/>
  <c r="E69" i="155"/>
  <c r="E70" i="155" s="1"/>
  <c r="D69" i="155"/>
  <c r="D70" i="155" s="1"/>
  <c r="D71" i="155" s="1"/>
  <c r="D72" i="155" s="1"/>
  <c r="D73" i="155" s="1"/>
  <c r="D74" i="155" s="1"/>
  <c r="D75" i="155" s="1"/>
  <c r="D76" i="155" s="1"/>
  <c r="D77" i="155" s="1"/>
  <c r="D78" i="155" s="1"/>
  <c r="BF68" i="155"/>
  <c r="AQ68" i="155"/>
  <c r="BF67" i="155"/>
  <c r="AQ67" i="155"/>
  <c r="BF66" i="155"/>
  <c r="AQ66" i="155"/>
  <c r="BF65" i="155"/>
  <c r="AQ65" i="155"/>
  <c r="BF64" i="155"/>
  <c r="AQ64" i="155"/>
  <c r="J64" i="155"/>
  <c r="J65" i="155" s="1"/>
  <c r="J66" i="155" s="1"/>
  <c r="I64" i="155"/>
  <c r="I65" i="155" s="1"/>
  <c r="H64" i="155"/>
  <c r="H65" i="155" s="1"/>
  <c r="H66" i="155" s="1"/>
  <c r="G64" i="155"/>
  <c r="G65" i="155" s="1"/>
  <c r="G66" i="155" s="1"/>
  <c r="G67" i="155" s="1"/>
  <c r="F64" i="155"/>
  <c r="F65" i="155" s="1"/>
  <c r="F66" i="155" s="1"/>
  <c r="F67" i="155" s="1"/>
  <c r="E64" i="155"/>
  <c r="E65" i="155" s="1"/>
  <c r="D64" i="155"/>
  <c r="D65" i="155" s="1"/>
  <c r="D66" i="155" s="1"/>
  <c r="D67" i="155" s="1"/>
  <c r="BF63" i="155"/>
  <c r="AQ63" i="155"/>
  <c r="BF62" i="155"/>
  <c r="AQ62" i="155"/>
  <c r="BF61" i="155"/>
  <c r="AQ61" i="155"/>
  <c r="BF60" i="155"/>
  <c r="AQ60" i="155"/>
  <c r="BF59" i="155"/>
  <c r="AQ59" i="155"/>
  <c r="J59" i="155"/>
  <c r="J60" i="155" s="1"/>
  <c r="I59" i="155"/>
  <c r="I60" i="155" s="1"/>
  <c r="H59" i="155"/>
  <c r="H60" i="155" s="1"/>
  <c r="H61" i="155" s="1"/>
  <c r="H62" i="155" s="1"/>
  <c r="G59" i="155"/>
  <c r="G60" i="155" s="1"/>
  <c r="G61" i="155" s="1"/>
  <c r="G62" i="155" s="1"/>
  <c r="F59" i="155"/>
  <c r="F60" i="155" s="1"/>
  <c r="F61" i="155" s="1"/>
  <c r="F62" i="155" s="1"/>
  <c r="E59" i="155"/>
  <c r="E60" i="155" s="1"/>
  <c r="E61" i="155" s="1"/>
  <c r="E62" i="155" s="1"/>
  <c r="D59" i="155"/>
  <c r="D60" i="155" s="1"/>
  <c r="D61" i="155" s="1"/>
  <c r="D62" i="155" s="1"/>
  <c r="BF58" i="155"/>
  <c r="AQ58" i="155"/>
  <c r="BF57" i="155"/>
  <c r="AQ57" i="155"/>
  <c r="BF56" i="155"/>
  <c r="AQ56" i="155"/>
  <c r="BF55" i="155"/>
  <c r="AQ55" i="155"/>
  <c r="BF54" i="155"/>
  <c r="AQ54" i="155"/>
  <c r="J54" i="155"/>
  <c r="J55" i="155" s="1"/>
  <c r="I54" i="155"/>
  <c r="I55" i="155" s="1"/>
  <c r="I56" i="155" s="1"/>
  <c r="I57" i="155" s="1"/>
  <c r="H54" i="155"/>
  <c r="H55" i="155" s="1"/>
  <c r="H56" i="155" s="1"/>
  <c r="G54" i="155"/>
  <c r="G55" i="155" s="1"/>
  <c r="G56" i="155" s="1"/>
  <c r="G57" i="155" s="1"/>
  <c r="F54" i="155"/>
  <c r="F55" i="155" s="1"/>
  <c r="F56" i="155" s="1"/>
  <c r="F57" i="155" s="1"/>
  <c r="E54" i="155"/>
  <c r="E55" i="155" s="1"/>
  <c r="E56" i="155" s="1"/>
  <c r="E57" i="155" s="1"/>
  <c r="D54" i="155"/>
  <c r="D55" i="155" s="1"/>
  <c r="D56" i="155" s="1"/>
  <c r="BF53" i="155"/>
  <c r="AQ53" i="155"/>
  <c r="BF52" i="155"/>
  <c r="AR52" i="155"/>
  <c r="AR53" i="155" s="1"/>
  <c r="AR54" i="155" s="1"/>
  <c r="AR55" i="155" s="1"/>
  <c r="AR56" i="155" s="1"/>
  <c r="AR57" i="155" s="1"/>
  <c r="AR58" i="155" s="1"/>
  <c r="AR59" i="155" s="1"/>
  <c r="AR60" i="155" s="1"/>
  <c r="AQ52" i="155"/>
  <c r="BF51" i="155"/>
  <c r="AR51" i="155"/>
  <c r="AQ51" i="155"/>
  <c r="BF50" i="155"/>
  <c r="AR50" i="155"/>
  <c r="AQ50" i="155"/>
  <c r="BF49" i="155"/>
  <c r="AR49" i="155"/>
  <c r="AQ49" i="155"/>
  <c r="J49" i="155"/>
  <c r="J50" i="155" s="1"/>
  <c r="J51" i="155" s="1"/>
  <c r="J52" i="155" s="1"/>
  <c r="I49" i="155"/>
  <c r="I50" i="155" s="1"/>
  <c r="H49" i="155"/>
  <c r="H50" i="155" s="1"/>
  <c r="G49" i="155"/>
  <c r="G50" i="155" s="1"/>
  <c r="F49" i="155"/>
  <c r="F50" i="155" s="1"/>
  <c r="F51" i="155" s="1"/>
  <c r="F52" i="155" s="1"/>
  <c r="E49" i="155"/>
  <c r="E50" i="155" s="1"/>
  <c r="E51" i="155" s="1"/>
  <c r="E52" i="155" s="1"/>
  <c r="D49" i="155"/>
  <c r="D50" i="155" s="1"/>
  <c r="BF48" i="155"/>
  <c r="AR48" i="155"/>
  <c r="AT48" i="155" s="1"/>
  <c r="AQ48" i="155"/>
  <c r="BF47" i="155"/>
  <c r="AR47" i="155"/>
  <c r="AT47" i="155" s="1"/>
  <c r="AQ47" i="155"/>
  <c r="BF46" i="155"/>
  <c r="AR46" i="155"/>
  <c r="AQ46" i="155"/>
  <c r="BF45" i="155"/>
  <c r="AR45" i="155"/>
  <c r="AQ45" i="155"/>
  <c r="BF44" i="155"/>
  <c r="AR44" i="155"/>
  <c r="AQ44" i="155"/>
  <c r="J44" i="155"/>
  <c r="J45" i="155" s="1"/>
  <c r="I44" i="155"/>
  <c r="I45" i="155" s="1"/>
  <c r="I46" i="155" s="1"/>
  <c r="I47" i="155" s="1"/>
  <c r="H44" i="155"/>
  <c r="H45" i="155" s="1"/>
  <c r="H46" i="155" s="1"/>
  <c r="H47" i="155" s="1"/>
  <c r="G44" i="155"/>
  <c r="G45" i="155" s="1"/>
  <c r="F44" i="155"/>
  <c r="F45" i="155" s="1"/>
  <c r="F46" i="155" s="1"/>
  <c r="F47" i="155" s="1"/>
  <c r="E44" i="155"/>
  <c r="E45" i="155" s="1"/>
  <c r="D44" i="155"/>
  <c r="D45" i="155" s="1"/>
  <c r="D46" i="155" s="1"/>
  <c r="D47" i="155" s="1"/>
  <c r="BF43" i="155"/>
  <c r="AR43" i="155"/>
  <c r="AQ43" i="155"/>
  <c r="BF42" i="155"/>
  <c r="AR42" i="155"/>
  <c r="AT42" i="155" s="1"/>
  <c r="AQ42" i="155"/>
  <c r="BF41" i="155"/>
  <c r="AR41" i="155"/>
  <c r="AQ41" i="155"/>
  <c r="BF40" i="155"/>
  <c r="AR40" i="155"/>
  <c r="AQ40" i="155"/>
  <c r="BF39" i="155"/>
  <c r="AR39" i="155"/>
  <c r="AQ39" i="155"/>
  <c r="J39" i="155"/>
  <c r="J40" i="155" s="1"/>
  <c r="J41" i="155" s="1"/>
  <c r="J42" i="155" s="1"/>
  <c r="I39" i="155"/>
  <c r="I40" i="155" s="1"/>
  <c r="I41" i="155" s="1"/>
  <c r="I42" i="155" s="1"/>
  <c r="H39" i="155"/>
  <c r="H40" i="155" s="1"/>
  <c r="G39" i="155"/>
  <c r="G40" i="155" s="1"/>
  <c r="G41" i="155" s="1"/>
  <c r="G42" i="155" s="1"/>
  <c r="F39" i="155"/>
  <c r="F40" i="155" s="1"/>
  <c r="F41" i="155" s="1"/>
  <c r="F42" i="155" s="1"/>
  <c r="E39" i="155"/>
  <c r="E40" i="155" s="1"/>
  <c r="D39" i="155"/>
  <c r="D40" i="155" s="1"/>
  <c r="BF38" i="155"/>
  <c r="AR38" i="155"/>
  <c r="AQ38" i="155"/>
  <c r="BF37" i="155"/>
  <c r="AR37" i="155"/>
  <c r="AQ37" i="155"/>
  <c r="BF36" i="155"/>
  <c r="AR36" i="155"/>
  <c r="AQ36" i="155"/>
  <c r="BF35" i="155"/>
  <c r="AQ35" i="155"/>
  <c r="BF34" i="155"/>
  <c r="AQ34" i="155"/>
  <c r="J34" i="155"/>
  <c r="J35" i="155" s="1"/>
  <c r="I34" i="155"/>
  <c r="I35" i="155" s="1"/>
  <c r="H34" i="155"/>
  <c r="H35" i="155" s="1"/>
  <c r="H36" i="155" s="1"/>
  <c r="H37" i="155" s="1"/>
  <c r="G34" i="155"/>
  <c r="G35" i="155" s="1"/>
  <c r="F34" i="155"/>
  <c r="F35" i="155" s="1"/>
  <c r="F36" i="155" s="1"/>
  <c r="F37" i="155" s="1"/>
  <c r="E34" i="155"/>
  <c r="E35" i="155" s="1"/>
  <c r="E36" i="155" s="1"/>
  <c r="E37" i="155" s="1"/>
  <c r="BF33" i="155"/>
  <c r="AQ33" i="155"/>
  <c r="H14" i="155"/>
  <c r="I9" i="135" s="1"/>
  <c r="I10" i="135" s="1"/>
  <c r="B14" i="155"/>
  <c r="N13" i="155"/>
  <c r="P9" i="135" s="1"/>
  <c r="D6" i="73"/>
  <c r="B15" i="115"/>
  <c r="A26" i="115" s="1"/>
  <c r="B15" i="114"/>
  <c r="B16" i="114"/>
  <c r="D39" i="114"/>
  <c r="E39" i="114"/>
  <c r="F39" i="114"/>
  <c r="S32" i="143"/>
  <c r="B32" i="144" s="1"/>
  <c r="E33" i="143"/>
  <c r="E34" i="143" s="1"/>
  <c r="F33" i="143"/>
  <c r="G33" i="143"/>
  <c r="G34" i="143" s="1"/>
  <c r="G35" i="143" s="1"/>
  <c r="G36" i="143" s="1"/>
  <c r="W35" i="143" s="1"/>
  <c r="G35" i="144" s="1"/>
  <c r="H33" i="143"/>
  <c r="H34" i="143" s="1"/>
  <c r="H35" i="143" s="1"/>
  <c r="H36" i="143" s="1"/>
  <c r="I33" i="143"/>
  <c r="J33" i="143"/>
  <c r="AB32" i="143" s="1"/>
  <c r="K32" i="144" s="1"/>
  <c r="K33" i="143"/>
  <c r="L33" i="143"/>
  <c r="M33" i="143"/>
  <c r="N33" i="143"/>
  <c r="O33" i="143"/>
  <c r="P33" i="143"/>
  <c r="P34" i="143" s="1"/>
  <c r="Q33" i="143"/>
  <c r="Q34" i="143" s="1"/>
  <c r="Q35" i="143" s="1"/>
  <c r="AK34" i="143" s="1"/>
  <c r="AA34" i="144" s="1"/>
  <c r="S33" i="143"/>
  <c r="B33" i="144" s="1"/>
  <c r="S34" i="143"/>
  <c r="B34" i="144" s="1"/>
  <c r="S35" i="143"/>
  <c r="B35" i="144" s="1"/>
  <c r="S36" i="143"/>
  <c r="B36" i="144" s="1"/>
  <c r="S37" i="143"/>
  <c r="B37" i="144" s="1"/>
  <c r="D38" i="143"/>
  <c r="D39" i="143" s="1"/>
  <c r="E38" i="143"/>
  <c r="F38" i="143"/>
  <c r="F39" i="143" s="1"/>
  <c r="F40" i="143" s="1"/>
  <c r="F41" i="143" s="1"/>
  <c r="G38" i="143"/>
  <c r="G39" i="143" s="1"/>
  <c r="G40" i="143" s="1"/>
  <c r="H38" i="143"/>
  <c r="H39" i="143" s="1"/>
  <c r="I38" i="143"/>
  <c r="I39" i="143" s="1"/>
  <c r="J38" i="143"/>
  <c r="J39" i="143" s="1"/>
  <c r="K38" i="143"/>
  <c r="K39" i="143" s="1"/>
  <c r="K40" i="143" s="1"/>
  <c r="L38" i="143"/>
  <c r="M38" i="143"/>
  <c r="M39" i="143" s="1"/>
  <c r="N38" i="143"/>
  <c r="N39" i="143" s="1"/>
  <c r="O38" i="143"/>
  <c r="O39" i="143" s="1"/>
  <c r="O40" i="143" s="1"/>
  <c r="P38" i="143"/>
  <c r="Q38" i="143"/>
  <c r="S38" i="143"/>
  <c r="B38" i="144" s="1"/>
  <c r="S39" i="143"/>
  <c r="B39" i="144" s="1"/>
  <c r="S40" i="143"/>
  <c r="B40" i="144" s="1"/>
  <c r="S41" i="143"/>
  <c r="B41" i="144" s="1"/>
  <c r="S42" i="143"/>
  <c r="B42" i="144" s="1"/>
  <c r="D43" i="143"/>
  <c r="D44" i="143" s="1"/>
  <c r="D45" i="143" s="1"/>
  <c r="T44" i="143" s="1"/>
  <c r="D44" i="144" s="1"/>
  <c r="E43" i="143"/>
  <c r="F43" i="143"/>
  <c r="G43" i="143"/>
  <c r="H43" i="143"/>
  <c r="I43" i="143"/>
  <c r="X42" i="143" s="1"/>
  <c r="J43" i="143"/>
  <c r="J44" i="143" s="1"/>
  <c r="J45" i="143" s="1"/>
  <c r="J46" i="143" s="1"/>
  <c r="K43" i="143"/>
  <c r="K44" i="143" s="1"/>
  <c r="K45" i="143" s="1"/>
  <c r="AC44" i="143" s="1"/>
  <c r="T44" i="144" s="1"/>
  <c r="L43" i="143"/>
  <c r="L44" i="143" s="1"/>
  <c r="L45" i="143" s="1"/>
  <c r="L46" i="143" s="1"/>
  <c r="M43" i="143"/>
  <c r="M44" i="143" s="1"/>
  <c r="N43" i="143"/>
  <c r="O43" i="143"/>
  <c r="P43" i="143"/>
  <c r="P44" i="143" s="1"/>
  <c r="Q43" i="143"/>
  <c r="S43" i="143"/>
  <c r="B43" i="144" s="1"/>
  <c r="S44" i="143"/>
  <c r="B44" i="144" s="1"/>
  <c r="S45" i="143"/>
  <c r="B45" i="144" s="1"/>
  <c r="S46" i="143"/>
  <c r="B46" i="144" s="1"/>
  <c r="S47" i="143"/>
  <c r="E48" i="143"/>
  <c r="F48" i="143"/>
  <c r="F49" i="143" s="1"/>
  <c r="G48" i="143"/>
  <c r="W47" i="143" s="1"/>
  <c r="G47" i="144" s="1"/>
  <c r="H48" i="143"/>
  <c r="AA47" i="143" s="1"/>
  <c r="J47" i="144" s="1"/>
  <c r="N47" i="144" s="1"/>
  <c r="I48" i="143"/>
  <c r="J48" i="143"/>
  <c r="J49" i="143" s="1"/>
  <c r="K48" i="143"/>
  <c r="L48" i="143"/>
  <c r="M48" i="143"/>
  <c r="N48" i="143"/>
  <c r="N49" i="143" s="1"/>
  <c r="N50" i="143" s="1"/>
  <c r="O48" i="143"/>
  <c r="O49" i="143" s="1"/>
  <c r="P48" i="143"/>
  <c r="P49" i="143" s="1"/>
  <c r="Q48" i="143"/>
  <c r="Q49" i="143" s="1"/>
  <c r="Q50" i="143" s="1"/>
  <c r="AK49" i="143" s="1"/>
  <c r="AA49" i="144" s="1"/>
  <c r="S48" i="143"/>
  <c r="B48" i="144" s="1"/>
  <c r="S49" i="143"/>
  <c r="B49" i="144" s="1"/>
  <c r="S50" i="143"/>
  <c r="B50" i="145" s="1"/>
  <c r="B50" i="146" s="1"/>
  <c r="S51" i="143"/>
  <c r="B53" i="143"/>
  <c r="B54" i="143" s="1"/>
  <c r="S53" i="143" s="1"/>
  <c r="B53" i="145" s="1"/>
  <c r="B53" i="146" s="1"/>
  <c r="D68" i="143"/>
  <c r="D69" i="143" s="1"/>
  <c r="E68" i="143"/>
  <c r="F68" i="143"/>
  <c r="F69" i="143" s="1"/>
  <c r="G68" i="143"/>
  <c r="W67" i="143" s="1"/>
  <c r="G67" i="144" s="1"/>
  <c r="H68" i="143"/>
  <c r="I68" i="143"/>
  <c r="I69" i="143" s="1"/>
  <c r="I70" i="143" s="1"/>
  <c r="X69" i="143" s="1"/>
  <c r="J68" i="143"/>
  <c r="K68" i="143"/>
  <c r="AC67" i="143" s="1"/>
  <c r="T67" i="144" s="1"/>
  <c r="L68" i="143"/>
  <c r="L69" i="143" s="1"/>
  <c r="L70" i="143" s="1"/>
  <c r="L71" i="143" s="1"/>
  <c r="M68" i="143"/>
  <c r="M69" i="143" s="1"/>
  <c r="N68" i="143"/>
  <c r="N69" i="143" s="1"/>
  <c r="O68" i="143"/>
  <c r="AI67" i="143" s="1"/>
  <c r="Y67" i="144" s="1"/>
  <c r="P68" i="143"/>
  <c r="Q68" i="143"/>
  <c r="Q69" i="143" s="1"/>
  <c r="Q70" i="143" s="1"/>
  <c r="B15" i="98"/>
  <c r="B29" i="98" s="1"/>
  <c r="B30" i="98" s="1"/>
  <c r="B14" i="31"/>
  <c r="B28" i="31" s="1"/>
  <c r="B29" i="31" s="1"/>
  <c r="B30" i="31" s="1"/>
  <c r="B31" i="31" s="1"/>
  <c r="B32" i="31" s="1"/>
  <c r="B33" i="31" s="1"/>
  <c r="B34" i="31" s="1"/>
  <c r="B35" i="31" s="1"/>
  <c r="B36" i="31" s="1"/>
  <c r="B37" i="31" s="1"/>
  <c r="B38" i="31" s="1"/>
  <c r="B39" i="31" s="1"/>
  <c r="B40" i="31" s="1"/>
  <c r="B41" i="31" s="1"/>
  <c r="B42" i="31" s="1"/>
  <c r="B43" i="31" s="1"/>
  <c r="B44" i="31" s="1"/>
  <c r="B45" i="31" s="1"/>
  <c r="B46" i="31" s="1"/>
  <c r="B47" i="31" s="1"/>
  <c r="B48" i="31" s="1"/>
  <c r="B49" i="31" s="1"/>
  <c r="B50" i="31" s="1"/>
  <c r="B51" i="31" s="1"/>
  <c r="B52" i="31" s="1"/>
  <c r="B53" i="31" s="1"/>
  <c r="B54" i="31" s="1"/>
  <c r="B55" i="31" s="1"/>
  <c r="B56" i="31" s="1"/>
  <c r="B57" i="31" s="1"/>
  <c r="B58" i="31" s="1"/>
  <c r="B59" i="31" s="1"/>
  <c r="B60" i="31" s="1"/>
  <c r="B61" i="31" s="1"/>
  <c r="B62" i="31" s="1"/>
  <c r="B63" i="31" s="1"/>
  <c r="E20" i="31"/>
  <c r="D26" i="128"/>
  <c r="E26" i="128"/>
  <c r="F26" i="128"/>
  <c r="D27" i="128"/>
  <c r="E27" i="128"/>
  <c r="F27" i="128"/>
  <c r="D28" i="128"/>
  <c r="E28" i="128"/>
  <c r="F28" i="128"/>
  <c r="D29" i="128"/>
  <c r="E29" i="128"/>
  <c r="F29" i="128"/>
  <c r="D30" i="128"/>
  <c r="E30" i="128"/>
  <c r="F30" i="128"/>
  <c r="D31" i="128"/>
  <c r="E31" i="128"/>
  <c r="F31" i="128"/>
  <c r="D32" i="128"/>
  <c r="E32" i="128"/>
  <c r="F32" i="128"/>
  <c r="D33" i="128"/>
  <c r="E33" i="128"/>
  <c r="F33" i="128"/>
  <c r="D34" i="128"/>
  <c r="E34" i="128"/>
  <c r="F34" i="128"/>
  <c r="D35" i="128"/>
  <c r="E35" i="128"/>
  <c r="F35" i="128"/>
  <c r="D36" i="128"/>
  <c r="E36" i="128"/>
  <c r="F36" i="128"/>
  <c r="B14" i="136"/>
  <c r="B15" i="136"/>
  <c r="K27" i="136"/>
  <c r="K28" i="136"/>
  <c r="K29" i="136"/>
  <c r="D30" i="136"/>
  <c r="E30" i="136"/>
  <c r="G30" i="136"/>
  <c r="H30" i="136"/>
  <c r="K30" i="136" s="1"/>
  <c r="I30" i="136"/>
  <c r="B14" i="137"/>
  <c r="B15" i="137"/>
  <c r="B14" i="130"/>
  <c r="B15" i="130"/>
  <c r="B14" i="112"/>
  <c r="D23" i="112"/>
  <c r="L23" i="112"/>
  <c r="V23" i="112"/>
  <c r="AF23" i="112"/>
  <c r="AP23" i="112"/>
  <c r="AZ23" i="112"/>
  <c r="B14" i="123"/>
  <c r="B16" i="123"/>
  <c r="AP23" i="123" s="1"/>
  <c r="B16" i="122"/>
  <c r="D27" i="122"/>
  <c r="E27" i="122"/>
  <c r="F27" i="122"/>
  <c r="G27" i="122"/>
  <c r="H27" i="122"/>
  <c r="I27" i="122"/>
  <c r="J27" i="122"/>
  <c r="N27" i="122"/>
  <c r="O27" i="122"/>
  <c r="P27" i="122"/>
  <c r="Q27" i="122"/>
  <c r="R27" i="122"/>
  <c r="S27" i="122"/>
  <c r="T27" i="122"/>
  <c r="X27" i="122"/>
  <c r="Y27" i="122"/>
  <c r="Z27" i="122"/>
  <c r="AA27" i="122"/>
  <c r="AB27" i="122"/>
  <c r="AC27" i="122"/>
  <c r="AD27" i="122"/>
  <c r="AH27" i="122"/>
  <c r="AI27" i="122"/>
  <c r="AJ27" i="122"/>
  <c r="AK27" i="122"/>
  <c r="AL27" i="122"/>
  <c r="AM27" i="122"/>
  <c r="AN27" i="122"/>
  <c r="AR27" i="122"/>
  <c r="AS27" i="122"/>
  <c r="AT27" i="122"/>
  <c r="AU27" i="122"/>
  <c r="AV27" i="122"/>
  <c r="AW27" i="122"/>
  <c r="AX27" i="122"/>
  <c r="BB27" i="122"/>
  <c r="BC27" i="122"/>
  <c r="BD27" i="122"/>
  <c r="BE27" i="122"/>
  <c r="BF27" i="122"/>
  <c r="BG27" i="122"/>
  <c r="BH27" i="122"/>
  <c r="D28" i="122"/>
  <c r="E28" i="122"/>
  <c r="F28" i="122"/>
  <c r="G28" i="122"/>
  <c r="H28" i="122"/>
  <c r="I28" i="122"/>
  <c r="J28" i="122"/>
  <c r="N28" i="122"/>
  <c r="O28" i="122"/>
  <c r="P28" i="122"/>
  <c r="Q28" i="122"/>
  <c r="R28" i="122"/>
  <c r="S28" i="122"/>
  <c r="T28" i="122"/>
  <c r="X28" i="122"/>
  <c r="Y28" i="122"/>
  <c r="Z28" i="122"/>
  <c r="AA28" i="122"/>
  <c r="AB28" i="122"/>
  <c r="AC28" i="122"/>
  <c r="AD28" i="122"/>
  <c r="AH28" i="122"/>
  <c r="AI28" i="122"/>
  <c r="AJ28" i="122"/>
  <c r="AK28" i="122"/>
  <c r="AL28" i="122"/>
  <c r="AM28" i="122"/>
  <c r="AN28" i="122"/>
  <c r="AR28" i="122"/>
  <c r="AS28" i="122"/>
  <c r="AT28" i="122"/>
  <c r="AU28" i="122"/>
  <c r="AV28" i="122"/>
  <c r="AW28" i="122"/>
  <c r="AX28" i="122"/>
  <c r="BB28" i="122"/>
  <c r="BC28" i="122"/>
  <c r="BD28" i="122"/>
  <c r="BE28" i="122"/>
  <c r="BF28" i="122"/>
  <c r="BG28" i="122"/>
  <c r="BH28" i="122"/>
  <c r="D29" i="122"/>
  <c r="E29" i="122"/>
  <c r="F29" i="122"/>
  <c r="G29" i="122"/>
  <c r="H29" i="122"/>
  <c r="I29" i="122"/>
  <c r="J29" i="122"/>
  <c r="N29" i="122"/>
  <c r="O29" i="122"/>
  <c r="P29" i="122"/>
  <c r="Q29" i="122"/>
  <c r="R29" i="122"/>
  <c r="S29" i="122"/>
  <c r="T29" i="122"/>
  <c r="X29" i="122"/>
  <c r="Y29" i="122"/>
  <c r="Z29" i="122"/>
  <c r="AA29" i="122"/>
  <c r="AB29" i="122"/>
  <c r="AC29" i="122"/>
  <c r="AD29" i="122"/>
  <c r="AH29" i="122"/>
  <c r="AI29" i="122"/>
  <c r="AJ29" i="122"/>
  <c r="AK29" i="122"/>
  <c r="AL29" i="122"/>
  <c r="AM29" i="122"/>
  <c r="AN29" i="122"/>
  <c r="AR29" i="122"/>
  <c r="AS29" i="122"/>
  <c r="AT29" i="122"/>
  <c r="AU29" i="122"/>
  <c r="AV29" i="122"/>
  <c r="AW29" i="122"/>
  <c r="AX29" i="122"/>
  <c r="BB29" i="122"/>
  <c r="BC29" i="122"/>
  <c r="BD29" i="122"/>
  <c r="BE29" i="122"/>
  <c r="BF29" i="122"/>
  <c r="BG29" i="122"/>
  <c r="BH29" i="122"/>
  <c r="D30" i="122"/>
  <c r="E30" i="122"/>
  <c r="F30" i="122"/>
  <c r="G30" i="122"/>
  <c r="H30" i="122"/>
  <c r="I30" i="122"/>
  <c r="J30" i="122"/>
  <c r="N30" i="122"/>
  <c r="O30" i="122"/>
  <c r="P30" i="122"/>
  <c r="Q30" i="122"/>
  <c r="R30" i="122"/>
  <c r="S30" i="122"/>
  <c r="T30" i="122"/>
  <c r="X30" i="122"/>
  <c r="Y30" i="122"/>
  <c r="Z30" i="122"/>
  <c r="AA30" i="122"/>
  <c r="AB30" i="122"/>
  <c r="AC30" i="122"/>
  <c r="AD30" i="122"/>
  <c r="AH30" i="122"/>
  <c r="AI30" i="122"/>
  <c r="AJ30" i="122"/>
  <c r="AK30" i="122"/>
  <c r="AL30" i="122"/>
  <c r="AM30" i="122"/>
  <c r="AN30" i="122"/>
  <c r="AR30" i="122"/>
  <c r="AS30" i="122"/>
  <c r="AT30" i="122"/>
  <c r="AU30" i="122"/>
  <c r="AV30" i="122"/>
  <c r="AW30" i="122"/>
  <c r="AX30" i="122"/>
  <c r="BB30" i="122"/>
  <c r="BC30" i="122"/>
  <c r="BD30" i="122"/>
  <c r="BE30" i="122"/>
  <c r="BF30" i="122"/>
  <c r="BG30" i="122"/>
  <c r="BH30" i="122"/>
  <c r="D31" i="122"/>
  <c r="E31" i="122"/>
  <c r="F31" i="122"/>
  <c r="G31" i="122"/>
  <c r="H31" i="122"/>
  <c r="I31" i="122"/>
  <c r="J31" i="122"/>
  <c r="N31" i="122"/>
  <c r="O31" i="122"/>
  <c r="P31" i="122"/>
  <c r="Q31" i="122"/>
  <c r="R31" i="122"/>
  <c r="S31" i="122"/>
  <c r="T31" i="122"/>
  <c r="X31" i="122"/>
  <c r="Y31" i="122"/>
  <c r="Z31" i="122"/>
  <c r="AA31" i="122"/>
  <c r="AB31" i="122"/>
  <c r="AC31" i="122"/>
  <c r="AD31" i="122"/>
  <c r="AH31" i="122"/>
  <c r="AI31" i="122"/>
  <c r="AJ31" i="122"/>
  <c r="AK31" i="122"/>
  <c r="AL31" i="122"/>
  <c r="AM31" i="122"/>
  <c r="AN31" i="122"/>
  <c r="AR31" i="122"/>
  <c r="AS31" i="122"/>
  <c r="AT31" i="122"/>
  <c r="AU31" i="122"/>
  <c r="AV31" i="122"/>
  <c r="AW31" i="122"/>
  <c r="AX31" i="122"/>
  <c r="BB31" i="122"/>
  <c r="BC31" i="122"/>
  <c r="BD31" i="122"/>
  <c r="BE31" i="122"/>
  <c r="BF31" i="122"/>
  <c r="BG31" i="122"/>
  <c r="BH31" i="122"/>
  <c r="D32" i="122"/>
  <c r="E32" i="122"/>
  <c r="F32" i="122"/>
  <c r="G32" i="122"/>
  <c r="H32" i="122"/>
  <c r="I32" i="122"/>
  <c r="J32" i="122"/>
  <c r="N32" i="122"/>
  <c r="O32" i="122"/>
  <c r="P32" i="122"/>
  <c r="Q32" i="122"/>
  <c r="R32" i="122"/>
  <c r="S32" i="122"/>
  <c r="T32" i="122"/>
  <c r="X32" i="122"/>
  <c r="Y32" i="122"/>
  <c r="Z32" i="122"/>
  <c r="AA32" i="122"/>
  <c r="AB32" i="122"/>
  <c r="AC32" i="122"/>
  <c r="AD32" i="122"/>
  <c r="AH32" i="122"/>
  <c r="AI32" i="122"/>
  <c r="AJ32" i="122"/>
  <c r="AK32" i="122"/>
  <c r="AL32" i="122"/>
  <c r="AM32" i="122"/>
  <c r="AN32" i="122"/>
  <c r="AR32" i="122"/>
  <c r="AS32" i="122"/>
  <c r="AT32" i="122"/>
  <c r="AU32" i="122"/>
  <c r="AV32" i="122"/>
  <c r="AW32" i="122"/>
  <c r="AX32" i="122"/>
  <c r="BB32" i="122"/>
  <c r="BC32" i="122"/>
  <c r="BD32" i="122"/>
  <c r="BE32" i="122"/>
  <c r="BF32" i="122"/>
  <c r="BG32" i="122"/>
  <c r="BH32" i="122"/>
  <c r="D33" i="122"/>
  <c r="E33" i="122"/>
  <c r="F33" i="122"/>
  <c r="G33" i="122"/>
  <c r="H33" i="122"/>
  <c r="I33" i="122"/>
  <c r="J33" i="122"/>
  <c r="N33" i="122"/>
  <c r="O33" i="122"/>
  <c r="P33" i="122"/>
  <c r="Q33" i="122"/>
  <c r="R33" i="122"/>
  <c r="S33" i="122"/>
  <c r="T33" i="122"/>
  <c r="X33" i="122"/>
  <c r="Y33" i="122"/>
  <c r="Z33" i="122"/>
  <c r="AA33" i="122"/>
  <c r="AB33" i="122"/>
  <c r="AC33" i="122"/>
  <c r="AD33" i="122"/>
  <c r="AH33" i="122"/>
  <c r="AI33" i="122"/>
  <c r="AJ33" i="122"/>
  <c r="AK33" i="122"/>
  <c r="AL33" i="122"/>
  <c r="AM33" i="122"/>
  <c r="AN33" i="122"/>
  <c r="AR33" i="122"/>
  <c r="AS33" i="122"/>
  <c r="AT33" i="122"/>
  <c r="AU33" i="122"/>
  <c r="AV33" i="122"/>
  <c r="AW33" i="122"/>
  <c r="AX33" i="122"/>
  <c r="BB33" i="122"/>
  <c r="BC33" i="122"/>
  <c r="BD33" i="122"/>
  <c r="BE33" i="122"/>
  <c r="BF33" i="122"/>
  <c r="BG33" i="122"/>
  <c r="BH33" i="122"/>
  <c r="D34" i="122"/>
  <c r="E34" i="122"/>
  <c r="F34" i="122"/>
  <c r="G34" i="122"/>
  <c r="H34" i="122"/>
  <c r="I34" i="122"/>
  <c r="J34" i="122"/>
  <c r="N34" i="122"/>
  <c r="O34" i="122"/>
  <c r="P34" i="122"/>
  <c r="Q34" i="122"/>
  <c r="R34" i="122"/>
  <c r="S34" i="122"/>
  <c r="T34" i="122"/>
  <c r="X34" i="122"/>
  <c r="Y34" i="122"/>
  <c r="Z34" i="122"/>
  <c r="AA34" i="122"/>
  <c r="AB34" i="122"/>
  <c r="AC34" i="122"/>
  <c r="AD34" i="122"/>
  <c r="AH34" i="122"/>
  <c r="AI34" i="122"/>
  <c r="AJ34" i="122"/>
  <c r="AK34" i="122"/>
  <c r="AL34" i="122"/>
  <c r="AM34" i="122"/>
  <c r="AN34" i="122"/>
  <c r="AR34" i="122"/>
  <c r="AS34" i="122"/>
  <c r="AT34" i="122"/>
  <c r="AU34" i="122"/>
  <c r="AV34" i="122"/>
  <c r="AW34" i="122"/>
  <c r="AX34" i="122"/>
  <c r="BB34" i="122"/>
  <c r="BC34" i="122"/>
  <c r="BD34" i="122"/>
  <c r="BE34" i="122"/>
  <c r="BF34" i="122"/>
  <c r="BG34" i="122"/>
  <c r="BH34" i="122"/>
  <c r="D35" i="122"/>
  <c r="E35" i="122"/>
  <c r="F35" i="122"/>
  <c r="G35" i="122"/>
  <c r="H35" i="122"/>
  <c r="I35" i="122"/>
  <c r="J35" i="122"/>
  <c r="N35" i="122"/>
  <c r="O35" i="122"/>
  <c r="P35" i="122"/>
  <c r="Q35" i="122"/>
  <c r="R35" i="122"/>
  <c r="S35" i="122"/>
  <c r="T35" i="122"/>
  <c r="X35" i="122"/>
  <c r="Y35" i="122"/>
  <c r="Z35" i="122"/>
  <c r="AA35" i="122"/>
  <c r="AB35" i="122"/>
  <c r="AC35" i="122"/>
  <c r="AD35" i="122"/>
  <c r="AH35" i="122"/>
  <c r="AI35" i="122"/>
  <c r="AJ35" i="122"/>
  <c r="AK35" i="122"/>
  <c r="AL35" i="122"/>
  <c r="AM35" i="122"/>
  <c r="AN35" i="122"/>
  <c r="AR35" i="122"/>
  <c r="AS35" i="122"/>
  <c r="AT35" i="122"/>
  <c r="AU35" i="122"/>
  <c r="AV35" i="122"/>
  <c r="AW35" i="122"/>
  <c r="AX35" i="122"/>
  <c r="BB35" i="122"/>
  <c r="BC35" i="122"/>
  <c r="BD35" i="122"/>
  <c r="BE35" i="122"/>
  <c r="BF35" i="122"/>
  <c r="BG35" i="122"/>
  <c r="BH35" i="122"/>
  <c r="D36" i="122"/>
  <c r="E36" i="122"/>
  <c r="F36" i="122"/>
  <c r="G36" i="122"/>
  <c r="H36" i="122"/>
  <c r="I36" i="122"/>
  <c r="J36" i="122"/>
  <c r="N36" i="122"/>
  <c r="O36" i="122"/>
  <c r="P36" i="122"/>
  <c r="Q36" i="122"/>
  <c r="R36" i="122"/>
  <c r="S36" i="122"/>
  <c r="T36" i="122"/>
  <c r="X36" i="122"/>
  <c r="Y36" i="122"/>
  <c r="Z36" i="122"/>
  <c r="AA36" i="122"/>
  <c r="AB36" i="122"/>
  <c r="AC36" i="122"/>
  <c r="AD36" i="122"/>
  <c r="AH36" i="122"/>
  <c r="AI36" i="122"/>
  <c r="AJ36" i="122"/>
  <c r="AK36" i="122"/>
  <c r="AL36" i="122"/>
  <c r="AM36" i="122"/>
  <c r="AN36" i="122"/>
  <c r="AR36" i="122"/>
  <c r="AS36" i="122"/>
  <c r="AT36" i="122"/>
  <c r="AU36" i="122"/>
  <c r="AV36" i="122"/>
  <c r="AW36" i="122"/>
  <c r="AX36" i="122"/>
  <c r="BB36" i="122"/>
  <c r="BC36" i="122"/>
  <c r="BD36" i="122"/>
  <c r="BE36" i="122"/>
  <c r="BF36" i="122"/>
  <c r="BG36" i="122"/>
  <c r="BH36" i="122"/>
  <c r="D37" i="122"/>
  <c r="E37" i="122"/>
  <c r="F37" i="122"/>
  <c r="G37" i="122"/>
  <c r="H37" i="122"/>
  <c r="I37" i="122"/>
  <c r="J37" i="122"/>
  <c r="N37" i="122"/>
  <c r="O37" i="122"/>
  <c r="P37" i="122"/>
  <c r="Q37" i="122"/>
  <c r="R37" i="122"/>
  <c r="S37" i="122"/>
  <c r="T37" i="122"/>
  <c r="X37" i="122"/>
  <c r="Y37" i="122"/>
  <c r="Z37" i="122"/>
  <c r="AA37" i="122"/>
  <c r="AB37" i="122"/>
  <c r="AC37" i="122"/>
  <c r="AD37" i="122"/>
  <c r="AH37" i="122"/>
  <c r="AI37" i="122"/>
  <c r="AJ37" i="122"/>
  <c r="AK37" i="122"/>
  <c r="AL37" i="122"/>
  <c r="AM37" i="122"/>
  <c r="AN37" i="122"/>
  <c r="AR37" i="122"/>
  <c r="AS37" i="122"/>
  <c r="AT37" i="122"/>
  <c r="AU37" i="122"/>
  <c r="AV37" i="122"/>
  <c r="AW37" i="122"/>
  <c r="AX37" i="122"/>
  <c r="BB37" i="122"/>
  <c r="BC37" i="122"/>
  <c r="BD37" i="122"/>
  <c r="BE37" i="122"/>
  <c r="BF37" i="122"/>
  <c r="BG37" i="122"/>
  <c r="BH37" i="122"/>
  <c r="D38" i="122"/>
  <c r="E38" i="122"/>
  <c r="F38" i="122"/>
  <c r="G38" i="122"/>
  <c r="H38" i="122"/>
  <c r="I38" i="122"/>
  <c r="J38" i="122"/>
  <c r="N38" i="122"/>
  <c r="O38" i="122"/>
  <c r="P38" i="122"/>
  <c r="Q38" i="122"/>
  <c r="R38" i="122"/>
  <c r="S38" i="122"/>
  <c r="T38" i="122"/>
  <c r="X38" i="122"/>
  <c r="Y38" i="122"/>
  <c r="Z38" i="122"/>
  <c r="AA38" i="122"/>
  <c r="AB38" i="122"/>
  <c r="AC38" i="122"/>
  <c r="AD38" i="122"/>
  <c r="AH38" i="122"/>
  <c r="AI38" i="122"/>
  <c r="AJ38" i="122"/>
  <c r="AK38" i="122"/>
  <c r="AL38" i="122"/>
  <c r="AM38" i="122"/>
  <c r="AN38" i="122"/>
  <c r="AR38" i="122"/>
  <c r="AS38" i="122"/>
  <c r="AT38" i="122"/>
  <c r="AU38" i="122"/>
  <c r="AV38" i="122"/>
  <c r="AW38" i="122"/>
  <c r="AX38" i="122"/>
  <c r="BB38" i="122"/>
  <c r="BC38" i="122"/>
  <c r="BD38" i="122"/>
  <c r="BE38" i="122"/>
  <c r="BF38" i="122"/>
  <c r="BG38" i="122"/>
  <c r="BH38" i="122"/>
  <c r="D39" i="122"/>
  <c r="E39" i="122"/>
  <c r="F39" i="122"/>
  <c r="G39" i="122"/>
  <c r="H39" i="122"/>
  <c r="I39" i="122"/>
  <c r="J39" i="122"/>
  <c r="N39" i="122"/>
  <c r="O39" i="122"/>
  <c r="P39" i="122"/>
  <c r="Q39" i="122"/>
  <c r="R39" i="122"/>
  <c r="S39" i="122"/>
  <c r="T39" i="122"/>
  <c r="X39" i="122"/>
  <c r="Y39" i="122"/>
  <c r="Z39" i="122"/>
  <c r="AA39" i="122"/>
  <c r="AB39" i="122"/>
  <c r="AC39" i="122"/>
  <c r="AD39" i="122"/>
  <c r="AH39" i="122"/>
  <c r="AI39" i="122"/>
  <c r="AJ39" i="122"/>
  <c r="AK39" i="122"/>
  <c r="AL39" i="122"/>
  <c r="AM39" i="122"/>
  <c r="AN39" i="122"/>
  <c r="AR39" i="122"/>
  <c r="AS39" i="122"/>
  <c r="AT39" i="122"/>
  <c r="AU39" i="122"/>
  <c r="AV39" i="122"/>
  <c r="AW39" i="122"/>
  <c r="AX39" i="122"/>
  <c r="BB39" i="122"/>
  <c r="BC39" i="122"/>
  <c r="BD39" i="122"/>
  <c r="BE39" i="122"/>
  <c r="BF39" i="122"/>
  <c r="BG39" i="122"/>
  <c r="BH39" i="122"/>
  <c r="D40" i="122"/>
  <c r="E40" i="122"/>
  <c r="F40" i="122"/>
  <c r="G40" i="122"/>
  <c r="H40" i="122"/>
  <c r="I40" i="122"/>
  <c r="J40" i="122"/>
  <c r="N40" i="122"/>
  <c r="O40" i="122"/>
  <c r="P40" i="122"/>
  <c r="Q40" i="122"/>
  <c r="R40" i="122"/>
  <c r="S40" i="122"/>
  <c r="T40" i="122"/>
  <c r="X40" i="122"/>
  <c r="Y40" i="122"/>
  <c r="Z40" i="122"/>
  <c r="AA40" i="122"/>
  <c r="AB40" i="122"/>
  <c r="AC40" i="122"/>
  <c r="AD40" i="122"/>
  <c r="AH40" i="122"/>
  <c r="AI40" i="122"/>
  <c r="AJ40" i="122"/>
  <c r="AK40" i="122"/>
  <c r="AL40" i="122"/>
  <c r="AM40" i="122"/>
  <c r="AN40" i="122"/>
  <c r="AR40" i="122"/>
  <c r="AS40" i="122"/>
  <c r="AT40" i="122"/>
  <c r="AU40" i="122"/>
  <c r="AV40" i="122"/>
  <c r="AW40" i="122"/>
  <c r="AX40" i="122"/>
  <c r="BB40" i="122"/>
  <c r="BC40" i="122"/>
  <c r="BD40" i="122"/>
  <c r="BE40" i="122"/>
  <c r="BF40" i="122"/>
  <c r="BG40" i="122"/>
  <c r="BH40" i="122"/>
  <c r="B14" i="111"/>
  <c r="C23" i="149"/>
  <c r="D23" i="149"/>
  <c r="E23" i="149"/>
  <c r="F23" i="149"/>
  <c r="C24" i="149"/>
  <c r="D24" i="149"/>
  <c r="E24" i="149"/>
  <c r="F24" i="149"/>
  <c r="C25" i="149"/>
  <c r="D25" i="149"/>
  <c r="E25" i="149"/>
  <c r="F25" i="149"/>
  <c r="C26" i="149"/>
  <c r="D26" i="149"/>
  <c r="E26" i="149"/>
  <c r="F26" i="149"/>
  <c r="C27" i="149"/>
  <c r="D27" i="149"/>
  <c r="E27" i="149"/>
  <c r="F27" i="149"/>
  <c r="C28" i="149"/>
  <c r="D28" i="149"/>
  <c r="E28" i="149"/>
  <c r="F28" i="149"/>
  <c r="C29" i="149"/>
  <c r="D29" i="149"/>
  <c r="E29" i="149"/>
  <c r="F29" i="149"/>
  <c r="C30" i="149"/>
  <c r="D30" i="149"/>
  <c r="E30" i="149"/>
  <c r="F30" i="149"/>
  <c r="C31" i="149"/>
  <c r="D31" i="149"/>
  <c r="E31" i="149"/>
  <c r="F31" i="149"/>
  <c r="C32" i="149"/>
  <c r="D32" i="149"/>
  <c r="E32" i="149"/>
  <c r="F32" i="149"/>
  <c r="C33" i="149"/>
  <c r="D33" i="149"/>
  <c r="E33" i="149"/>
  <c r="F33" i="149"/>
  <c r="C34" i="149"/>
  <c r="D34" i="149"/>
  <c r="E34" i="149"/>
  <c r="F34" i="149"/>
  <c r="C35" i="149"/>
  <c r="D35" i="149"/>
  <c r="E35" i="149"/>
  <c r="F35" i="149"/>
  <c r="C36" i="149"/>
  <c r="D36" i="149"/>
  <c r="E36" i="149"/>
  <c r="F36" i="149"/>
  <c r="C37" i="149"/>
  <c r="D37" i="149"/>
  <c r="E37" i="149"/>
  <c r="F37" i="149"/>
  <c r="C38" i="149"/>
  <c r="D38" i="149"/>
  <c r="E38" i="149"/>
  <c r="F38" i="149"/>
  <c r="C39" i="149"/>
  <c r="D39" i="149"/>
  <c r="E39" i="149"/>
  <c r="F39" i="149"/>
  <c r="C40" i="149"/>
  <c r="D40" i="149"/>
  <c r="E40" i="149"/>
  <c r="F40" i="149"/>
  <c r="C41" i="149"/>
  <c r="D41" i="149"/>
  <c r="E41" i="149"/>
  <c r="F41" i="149"/>
  <c r="C42" i="149"/>
  <c r="D42" i="149"/>
  <c r="E42" i="149"/>
  <c r="F42" i="149"/>
  <c r="C43" i="149"/>
  <c r="D43" i="149"/>
  <c r="E43" i="149"/>
  <c r="F43" i="149"/>
  <c r="C44" i="149"/>
  <c r="D44" i="149"/>
  <c r="E44" i="149"/>
  <c r="F44" i="149"/>
  <c r="C45" i="149"/>
  <c r="D45" i="149"/>
  <c r="E45" i="149"/>
  <c r="F45" i="149"/>
  <c r="C46" i="149"/>
  <c r="D46" i="149"/>
  <c r="E46" i="149"/>
  <c r="F46" i="149"/>
  <c r="C47" i="149"/>
  <c r="D47" i="149"/>
  <c r="E47" i="149"/>
  <c r="F47" i="149"/>
  <c r="C48" i="149"/>
  <c r="D48" i="149"/>
  <c r="E48" i="149"/>
  <c r="F48" i="149"/>
  <c r="C49" i="149"/>
  <c r="D49" i="149"/>
  <c r="E49" i="149"/>
  <c r="F49" i="149"/>
  <c r="C50" i="149"/>
  <c r="D50" i="149"/>
  <c r="E50" i="149"/>
  <c r="F50" i="149"/>
  <c r="C51" i="149"/>
  <c r="D51" i="149"/>
  <c r="E51" i="149"/>
  <c r="F51" i="149"/>
  <c r="C52" i="149"/>
  <c r="D52" i="149"/>
  <c r="E52" i="149"/>
  <c r="F52" i="149"/>
  <c r="C53" i="149"/>
  <c r="D53" i="149"/>
  <c r="E53" i="149"/>
  <c r="F53" i="149"/>
  <c r="C54" i="149"/>
  <c r="D54" i="149"/>
  <c r="E54" i="149"/>
  <c r="F54" i="149"/>
  <c r="C55" i="149"/>
  <c r="D55" i="149"/>
  <c r="E55" i="149"/>
  <c r="F55" i="149"/>
  <c r="C56" i="149"/>
  <c r="D56" i="149"/>
  <c r="E56" i="149"/>
  <c r="F56" i="149"/>
  <c r="C57" i="149"/>
  <c r="D57" i="149"/>
  <c r="E57" i="149"/>
  <c r="F57" i="149"/>
  <c r="C58" i="149"/>
  <c r="D58" i="149"/>
  <c r="E58" i="149"/>
  <c r="F58" i="149"/>
  <c r="B27" i="146"/>
  <c r="D27" i="146"/>
  <c r="F27" i="146"/>
  <c r="B28" i="146"/>
  <c r="D28" i="146"/>
  <c r="F28" i="146"/>
  <c r="G28" i="146"/>
  <c r="B29" i="146"/>
  <c r="D29" i="146"/>
  <c r="F29" i="146"/>
  <c r="G29" i="146"/>
  <c r="B30" i="146"/>
  <c r="D30" i="146"/>
  <c r="F30" i="146"/>
  <c r="G30" i="146"/>
  <c r="B31" i="146"/>
  <c r="D31" i="146"/>
  <c r="F31" i="146"/>
  <c r="G31" i="146"/>
  <c r="B32" i="146"/>
  <c r="D32" i="146"/>
  <c r="F32" i="146"/>
  <c r="G32" i="146"/>
  <c r="B33" i="146"/>
  <c r="D33" i="146"/>
  <c r="F33" i="146"/>
  <c r="G33" i="146"/>
  <c r="B34" i="146"/>
  <c r="D34" i="146"/>
  <c r="F34" i="146"/>
  <c r="G34" i="146"/>
  <c r="B35" i="146"/>
  <c r="D35" i="146"/>
  <c r="F35" i="146"/>
  <c r="G35" i="146"/>
  <c r="B36" i="146"/>
  <c r="D36" i="146"/>
  <c r="F36" i="146"/>
  <c r="G36" i="146"/>
  <c r="B37" i="146"/>
  <c r="D37" i="146"/>
  <c r="F37" i="146"/>
  <c r="G37" i="146"/>
  <c r="B38" i="146"/>
  <c r="D38" i="146"/>
  <c r="F38" i="146"/>
  <c r="G38" i="146"/>
  <c r="B39" i="146"/>
  <c r="D39" i="146"/>
  <c r="F39" i="146"/>
  <c r="G39" i="146"/>
  <c r="B40" i="146"/>
  <c r="D40" i="146"/>
  <c r="F40" i="146"/>
  <c r="G40" i="146"/>
  <c r="B41" i="146"/>
  <c r="D41" i="146"/>
  <c r="F41" i="146"/>
  <c r="G41" i="146"/>
  <c r="B42" i="146"/>
  <c r="D42" i="146"/>
  <c r="F42" i="146"/>
  <c r="G42" i="146"/>
  <c r="B43" i="146"/>
  <c r="D43" i="146"/>
  <c r="F43" i="146"/>
  <c r="G43" i="146"/>
  <c r="B44" i="146"/>
  <c r="D44" i="146"/>
  <c r="F44" i="146"/>
  <c r="G44" i="146"/>
  <c r="D45" i="146"/>
  <c r="F45" i="146"/>
  <c r="G45" i="146"/>
  <c r="D46" i="146"/>
  <c r="F46" i="146"/>
  <c r="G46" i="146"/>
  <c r="D47" i="146"/>
  <c r="F47" i="146"/>
  <c r="G47" i="146"/>
  <c r="D48" i="146"/>
  <c r="F48" i="146"/>
  <c r="G48" i="146"/>
  <c r="D49" i="146"/>
  <c r="F49" i="146"/>
  <c r="G49" i="146"/>
  <c r="D50" i="146"/>
  <c r="F50" i="146"/>
  <c r="G50" i="146"/>
  <c r="D51" i="146"/>
  <c r="F51" i="146"/>
  <c r="G51" i="146"/>
  <c r="D52" i="146"/>
  <c r="F52" i="146"/>
  <c r="G52" i="146"/>
  <c r="D53" i="146"/>
  <c r="F53" i="146"/>
  <c r="G53" i="146"/>
  <c r="D54" i="146"/>
  <c r="F54" i="146"/>
  <c r="G54" i="146"/>
  <c r="D55" i="146"/>
  <c r="F55" i="146"/>
  <c r="G55" i="146"/>
  <c r="D56" i="146"/>
  <c r="F56" i="146"/>
  <c r="G56" i="146"/>
  <c r="D57" i="146"/>
  <c r="F57" i="146"/>
  <c r="G57" i="146"/>
  <c r="D58" i="146"/>
  <c r="F58" i="146"/>
  <c r="G58" i="146"/>
  <c r="D59" i="146"/>
  <c r="F59" i="146"/>
  <c r="G59" i="146"/>
  <c r="D60" i="146"/>
  <c r="F60" i="146"/>
  <c r="G60" i="146"/>
  <c r="D61" i="146"/>
  <c r="F61" i="146"/>
  <c r="G61" i="146"/>
  <c r="D62" i="146"/>
  <c r="F62" i="146"/>
  <c r="G62" i="146"/>
  <c r="D63" i="146"/>
  <c r="F63" i="146"/>
  <c r="G63" i="146"/>
  <c r="D64" i="146"/>
  <c r="F64" i="146"/>
  <c r="G64" i="146"/>
  <c r="D65" i="146"/>
  <c r="H65" i="146" s="1"/>
  <c r="F65" i="146"/>
  <c r="G65" i="146"/>
  <c r="D66" i="146"/>
  <c r="F66" i="146"/>
  <c r="G66" i="146"/>
  <c r="D67" i="146"/>
  <c r="F67" i="146"/>
  <c r="G67" i="146"/>
  <c r="D68" i="146"/>
  <c r="F68" i="146"/>
  <c r="G68" i="146"/>
  <c r="D69" i="146"/>
  <c r="F69" i="146"/>
  <c r="G69" i="146"/>
  <c r="D70" i="146"/>
  <c r="F70" i="146"/>
  <c r="G70" i="146"/>
  <c r="D71" i="146"/>
  <c r="F71" i="146"/>
  <c r="G71" i="146"/>
  <c r="H71" i="146" s="1"/>
  <c r="D72" i="146"/>
  <c r="F72" i="146"/>
  <c r="G72" i="146"/>
  <c r="D73" i="146"/>
  <c r="H73" i="146" s="1"/>
  <c r="F73" i="146"/>
  <c r="G73" i="146"/>
  <c r="D74" i="146"/>
  <c r="F74" i="146"/>
  <c r="G74" i="146"/>
  <c r="D75" i="146"/>
  <c r="F75" i="146"/>
  <c r="G75" i="146"/>
  <c r="D76" i="146"/>
  <c r="F76" i="146"/>
  <c r="G76" i="146"/>
  <c r="D77" i="146"/>
  <c r="F77" i="146"/>
  <c r="G77" i="146"/>
  <c r="D78" i="146"/>
  <c r="F78" i="146"/>
  <c r="G78" i="146"/>
  <c r="D79" i="146"/>
  <c r="F79" i="146"/>
  <c r="G79" i="146"/>
  <c r="H79" i="146" s="1"/>
  <c r="D80" i="146"/>
  <c r="F80" i="146"/>
  <c r="G80" i="146"/>
  <c r="D81" i="146"/>
  <c r="H81" i="146" s="1"/>
  <c r="F81" i="146"/>
  <c r="G81" i="146"/>
  <c r="D82" i="146"/>
  <c r="F82" i="146"/>
  <c r="G82" i="146"/>
  <c r="D83" i="146"/>
  <c r="F83" i="146"/>
  <c r="G83" i="146"/>
  <c r="D84" i="146"/>
  <c r="F84" i="146"/>
  <c r="G84" i="146"/>
  <c r="D85" i="146"/>
  <c r="F85" i="146"/>
  <c r="G85" i="146"/>
  <c r="D86" i="146"/>
  <c r="F86" i="146"/>
  <c r="G86" i="146"/>
  <c r="D87" i="146"/>
  <c r="F87" i="146"/>
  <c r="G87" i="146"/>
  <c r="H87" i="146" s="1"/>
  <c r="D88" i="146"/>
  <c r="F88" i="146"/>
  <c r="G88" i="146"/>
  <c r="D89" i="146"/>
  <c r="H89" i="146" s="1"/>
  <c r="F89" i="146"/>
  <c r="G89" i="146"/>
  <c r="D90" i="146"/>
  <c r="F90" i="146"/>
  <c r="G90" i="146"/>
  <c r="D91" i="146"/>
  <c r="F91" i="146"/>
  <c r="G91" i="146"/>
  <c r="D92" i="146"/>
  <c r="F92" i="146"/>
  <c r="G92" i="146"/>
  <c r="D93" i="146"/>
  <c r="F93" i="146"/>
  <c r="G93" i="146"/>
  <c r="D94" i="146"/>
  <c r="F94" i="146"/>
  <c r="G94" i="146"/>
  <c r="D95" i="146"/>
  <c r="F95" i="146"/>
  <c r="G95" i="146"/>
  <c r="D96" i="146"/>
  <c r="F96" i="146"/>
  <c r="G96" i="146"/>
  <c r="D97" i="146"/>
  <c r="H97" i="146" s="1"/>
  <c r="F97" i="146"/>
  <c r="G97" i="146"/>
  <c r="D98" i="146"/>
  <c r="F98" i="146"/>
  <c r="G98" i="146"/>
  <c r="D99" i="146"/>
  <c r="F99" i="146"/>
  <c r="G99" i="146"/>
  <c r="D100" i="146"/>
  <c r="F100" i="146"/>
  <c r="G100" i="146"/>
  <c r="D101" i="146"/>
  <c r="F101" i="146"/>
  <c r="G101" i="146"/>
  <c r="D102" i="146"/>
  <c r="F102" i="146"/>
  <c r="G102" i="146"/>
  <c r="D103" i="146"/>
  <c r="F103" i="146"/>
  <c r="G103" i="146"/>
  <c r="H103" i="146" s="1"/>
  <c r="D104" i="146"/>
  <c r="F104" i="146"/>
  <c r="G104" i="146"/>
  <c r="D105" i="146"/>
  <c r="F105" i="146"/>
  <c r="G105" i="146"/>
  <c r="D106" i="146"/>
  <c r="F106" i="146"/>
  <c r="G106" i="146"/>
  <c r="D107" i="146"/>
  <c r="F107" i="146"/>
  <c r="G107" i="146"/>
  <c r="D108" i="146"/>
  <c r="F108" i="146"/>
  <c r="G108" i="146"/>
  <c r="D109" i="146"/>
  <c r="F109" i="146"/>
  <c r="G109" i="146"/>
  <c r="D110" i="146"/>
  <c r="F110" i="146"/>
  <c r="G110" i="146"/>
  <c r="D111" i="146"/>
  <c r="F111" i="146"/>
  <c r="G111" i="146"/>
  <c r="H111" i="146" s="1"/>
  <c r="D112" i="146"/>
  <c r="F112" i="146"/>
  <c r="G112" i="146"/>
  <c r="D113" i="146"/>
  <c r="H113" i="146" s="1"/>
  <c r="F113" i="146"/>
  <c r="G113" i="146"/>
  <c r="D114" i="146"/>
  <c r="F114" i="146"/>
  <c r="G114" i="146"/>
  <c r="D115" i="146"/>
  <c r="F115" i="146"/>
  <c r="G115" i="146"/>
  <c r="D116" i="146"/>
  <c r="F116" i="146"/>
  <c r="G116" i="146"/>
  <c r="B14" i="43"/>
  <c r="B15" i="43"/>
  <c r="A34" i="43"/>
  <c r="A35" i="43"/>
  <c r="A36" i="43"/>
  <c r="B14" i="27"/>
  <c r="B15" i="27"/>
  <c r="C16" i="27"/>
  <c r="B14" i="39"/>
  <c r="A23" i="39" s="1"/>
  <c r="B14" i="50"/>
  <c r="B15" i="50"/>
  <c r="B16" i="125"/>
  <c r="D26" i="125"/>
  <c r="E26" i="125"/>
  <c r="F26" i="125"/>
  <c r="G26" i="125"/>
  <c r="H26" i="125"/>
  <c r="I26" i="125"/>
  <c r="J26" i="125"/>
  <c r="K26" i="125"/>
  <c r="L26" i="125"/>
  <c r="M26" i="125"/>
  <c r="N26" i="125"/>
  <c r="O26" i="125"/>
  <c r="S26" i="125"/>
  <c r="T26" i="125"/>
  <c r="U26" i="125"/>
  <c r="V26" i="125"/>
  <c r="W26" i="125"/>
  <c r="X26" i="125"/>
  <c r="Y26" i="125"/>
  <c r="Z26" i="125"/>
  <c r="AA26" i="125"/>
  <c r="AB26" i="125"/>
  <c r="AC26" i="125"/>
  <c r="AD26" i="125"/>
  <c r="AH26" i="125"/>
  <c r="AI26" i="125"/>
  <c r="AJ26" i="125"/>
  <c r="AK26" i="125"/>
  <c r="AL26" i="125"/>
  <c r="AM26" i="125"/>
  <c r="AN26" i="125"/>
  <c r="AO26" i="125"/>
  <c r="AP26" i="125"/>
  <c r="AQ26" i="125"/>
  <c r="AR26" i="125"/>
  <c r="AS26" i="125"/>
  <c r="AW26" i="125"/>
  <c r="AX26" i="125"/>
  <c r="AY26" i="125"/>
  <c r="AZ26" i="125"/>
  <c r="BA26" i="125"/>
  <c r="BB26" i="125"/>
  <c r="BC26" i="125"/>
  <c r="BD26" i="125"/>
  <c r="BE26" i="125"/>
  <c r="BF26" i="125"/>
  <c r="BG26" i="125"/>
  <c r="BH26" i="125"/>
  <c r="BL26" i="125"/>
  <c r="BM26" i="125"/>
  <c r="BN26" i="125"/>
  <c r="BO26" i="125"/>
  <c r="BP26" i="125"/>
  <c r="BQ26" i="125"/>
  <c r="BR26" i="125"/>
  <c r="BS26" i="125"/>
  <c r="BT26" i="125"/>
  <c r="BU26" i="125"/>
  <c r="BV26" i="125"/>
  <c r="BW26" i="125"/>
  <c r="CA26" i="125"/>
  <c r="CB26" i="125"/>
  <c r="CC26" i="125"/>
  <c r="CD26" i="125"/>
  <c r="CE26" i="125"/>
  <c r="CF26" i="125"/>
  <c r="CG26" i="125"/>
  <c r="CH26" i="125"/>
  <c r="CI26" i="125"/>
  <c r="CJ26" i="125"/>
  <c r="CK26" i="125"/>
  <c r="CL26" i="125"/>
  <c r="D27" i="125"/>
  <c r="E27" i="125"/>
  <c r="F27" i="125"/>
  <c r="G27" i="125"/>
  <c r="H27" i="125"/>
  <c r="I27" i="125"/>
  <c r="J27" i="125"/>
  <c r="K27" i="125"/>
  <c r="L27" i="125"/>
  <c r="M27" i="125"/>
  <c r="N27" i="125"/>
  <c r="O27" i="125"/>
  <c r="S27" i="125"/>
  <c r="T27" i="125"/>
  <c r="U27" i="125"/>
  <c r="V27" i="125"/>
  <c r="W27" i="125"/>
  <c r="X27" i="125"/>
  <c r="Y27" i="125"/>
  <c r="Z27" i="125"/>
  <c r="AA27" i="125"/>
  <c r="AB27" i="125"/>
  <c r="AC27" i="125"/>
  <c r="AD27" i="125"/>
  <c r="AH27" i="125"/>
  <c r="AI27" i="125"/>
  <c r="AJ27" i="125"/>
  <c r="AK27" i="125"/>
  <c r="AL27" i="125"/>
  <c r="AM27" i="125"/>
  <c r="AN27" i="125"/>
  <c r="AO27" i="125"/>
  <c r="AP27" i="125"/>
  <c r="AQ27" i="125"/>
  <c r="AR27" i="125"/>
  <c r="AS27" i="125"/>
  <c r="AW27" i="125"/>
  <c r="AX27" i="125"/>
  <c r="AY27" i="125"/>
  <c r="AZ27" i="125"/>
  <c r="BA27" i="125"/>
  <c r="BB27" i="125"/>
  <c r="BC27" i="125"/>
  <c r="BD27" i="125"/>
  <c r="BE27" i="125"/>
  <c r="BF27" i="125"/>
  <c r="BG27" i="125"/>
  <c r="BH27" i="125"/>
  <c r="BL27" i="125"/>
  <c r="BM27" i="125"/>
  <c r="BN27" i="125"/>
  <c r="BO27" i="125"/>
  <c r="BP27" i="125"/>
  <c r="BQ27" i="125"/>
  <c r="BR27" i="125"/>
  <c r="BS27" i="125"/>
  <c r="BT27" i="125"/>
  <c r="BU27" i="125"/>
  <c r="BV27" i="125"/>
  <c r="BW27" i="125"/>
  <c r="CA27" i="125"/>
  <c r="CB27" i="125"/>
  <c r="CC27" i="125"/>
  <c r="CD27" i="125"/>
  <c r="CE27" i="125"/>
  <c r="CF27" i="125"/>
  <c r="CG27" i="125"/>
  <c r="CH27" i="125"/>
  <c r="CI27" i="125"/>
  <c r="CJ27" i="125"/>
  <c r="CK27" i="125"/>
  <c r="CL27" i="125"/>
  <c r="D28" i="125"/>
  <c r="E28" i="125"/>
  <c r="F28" i="125"/>
  <c r="G28" i="125"/>
  <c r="H28" i="125"/>
  <c r="I28" i="125"/>
  <c r="J28" i="125"/>
  <c r="K28" i="125"/>
  <c r="L28" i="125"/>
  <c r="M28" i="125"/>
  <c r="N28" i="125"/>
  <c r="O28" i="125"/>
  <c r="S28" i="125"/>
  <c r="T28" i="125"/>
  <c r="U28" i="125"/>
  <c r="V28" i="125"/>
  <c r="W28" i="125"/>
  <c r="X28" i="125"/>
  <c r="Y28" i="125"/>
  <c r="Z28" i="125"/>
  <c r="AA28" i="125"/>
  <c r="AB28" i="125"/>
  <c r="AC28" i="125"/>
  <c r="AD28" i="125"/>
  <c r="AH28" i="125"/>
  <c r="AI28" i="125"/>
  <c r="AJ28" i="125"/>
  <c r="AK28" i="125"/>
  <c r="AL28" i="125"/>
  <c r="AM28" i="125"/>
  <c r="AN28" i="125"/>
  <c r="AO28" i="125"/>
  <c r="AP28" i="125"/>
  <c r="AQ28" i="125"/>
  <c r="AR28" i="125"/>
  <c r="AS28" i="125"/>
  <c r="AW28" i="125"/>
  <c r="AX28" i="125"/>
  <c r="AY28" i="125"/>
  <c r="AZ28" i="125"/>
  <c r="BA28" i="125"/>
  <c r="BB28" i="125"/>
  <c r="BC28" i="125"/>
  <c r="BD28" i="125"/>
  <c r="BE28" i="125"/>
  <c r="BF28" i="125"/>
  <c r="BG28" i="125"/>
  <c r="BH28" i="125"/>
  <c r="BL28" i="125"/>
  <c r="BM28" i="125"/>
  <c r="BN28" i="125"/>
  <c r="BO28" i="125"/>
  <c r="BP28" i="125"/>
  <c r="BQ28" i="125"/>
  <c r="BR28" i="125"/>
  <c r="BS28" i="125"/>
  <c r="BT28" i="125"/>
  <c r="BU28" i="125"/>
  <c r="BV28" i="125"/>
  <c r="BW28" i="125"/>
  <c r="CA28" i="125"/>
  <c r="CB28" i="125"/>
  <c r="CC28" i="125"/>
  <c r="CD28" i="125"/>
  <c r="CE28" i="125"/>
  <c r="CF28" i="125"/>
  <c r="CG28" i="125"/>
  <c r="CH28" i="125"/>
  <c r="CI28" i="125"/>
  <c r="CJ28" i="125"/>
  <c r="CK28" i="125"/>
  <c r="CL28" i="125"/>
  <c r="D29" i="125"/>
  <c r="E29" i="125"/>
  <c r="F29" i="125"/>
  <c r="G29" i="125"/>
  <c r="H29" i="125"/>
  <c r="I29" i="125"/>
  <c r="J29" i="125"/>
  <c r="K29" i="125"/>
  <c r="L29" i="125"/>
  <c r="M29" i="125"/>
  <c r="N29" i="125"/>
  <c r="O29" i="125"/>
  <c r="S29" i="125"/>
  <c r="T29" i="125"/>
  <c r="U29" i="125"/>
  <c r="V29" i="125"/>
  <c r="W29" i="125"/>
  <c r="X29" i="125"/>
  <c r="Y29" i="125"/>
  <c r="Z29" i="125"/>
  <c r="AA29" i="125"/>
  <c r="AB29" i="125"/>
  <c r="AC29" i="125"/>
  <c r="AD29" i="125"/>
  <c r="AH29" i="125"/>
  <c r="AI29" i="125"/>
  <c r="AJ29" i="125"/>
  <c r="AK29" i="125"/>
  <c r="AL29" i="125"/>
  <c r="AM29" i="125"/>
  <c r="AN29" i="125"/>
  <c r="AO29" i="125"/>
  <c r="AP29" i="125"/>
  <c r="AQ29" i="125"/>
  <c r="AR29" i="125"/>
  <c r="AS29" i="125"/>
  <c r="AW29" i="125"/>
  <c r="AX29" i="125"/>
  <c r="AY29" i="125"/>
  <c r="AZ29" i="125"/>
  <c r="BA29" i="125"/>
  <c r="BB29" i="125"/>
  <c r="BC29" i="125"/>
  <c r="BD29" i="125"/>
  <c r="BE29" i="125"/>
  <c r="BF29" i="125"/>
  <c r="BG29" i="125"/>
  <c r="BH29" i="125"/>
  <c r="BL29" i="125"/>
  <c r="BM29" i="125"/>
  <c r="BN29" i="125"/>
  <c r="BO29" i="125"/>
  <c r="BP29" i="125"/>
  <c r="BQ29" i="125"/>
  <c r="BR29" i="125"/>
  <c r="BS29" i="125"/>
  <c r="BT29" i="125"/>
  <c r="BU29" i="125"/>
  <c r="BV29" i="125"/>
  <c r="BW29" i="125"/>
  <c r="CA29" i="125"/>
  <c r="CB29" i="125"/>
  <c r="CC29" i="125"/>
  <c r="CD29" i="125"/>
  <c r="CE29" i="125"/>
  <c r="CF29" i="125"/>
  <c r="CG29" i="125"/>
  <c r="CH29" i="125"/>
  <c r="CI29" i="125"/>
  <c r="CJ29" i="125"/>
  <c r="CK29" i="125"/>
  <c r="CL29" i="125"/>
  <c r="D30" i="125"/>
  <c r="E30" i="125"/>
  <c r="F30" i="125"/>
  <c r="G30" i="125"/>
  <c r="H30" i="125"/>
  <c r="I30" i="125"/>
  <c r="J30" i="125"/>
  <c r="K30" i="125"/>
  <c r="L30" i="125"/>
  <c r="M30" i="125"/>
  <c r="N30" i="125"/>
  <c r="O30" i="125"/>
  <c r="S30" i="125"/>
  <c r="T30" i="125"/>
  <c r="U30" i="125"/>
  <c r="V30" i="125"/>
  <c r="W30" i="125"/>
  <c r="X30" i="125"/>
  <c r="Y30" i="125"/>
  <c r="Z30" i="125"/>
  <c r="AA30" i="125"/>
  <c r="AB30" i="125"/>
  <c r="AC30" i="125"/>
  <c r="AD30" i="125"/>
  <c r="AH30" i="125"/>
  <c r="AI30" i="125"/>
  <c r="AJ30" i="125"/>
  <c r="AK30" i="125"/>
  <c r="AL30" i="125"/>
  <c r="AM30" i="125"/>
  <c r="AN30" i="125"/>
  <c r="AO30" i="125"/>
  <c r="AP30" i="125"/>
  <c r="AQ30" i="125"/>
  <c r="AR30" i="125"/>
  <c r="AS30" i="125"/>
  <c r="AW30" i="125"/>
  <c r="AX30" i="125"/>
  <c r="AY30" i="125"/>
  <c r="AZ30" i="125"/>
  <c r="BA30" i="125"/>
  <c r="BB30" i="125"/>
  <c r="BC30" i="125"/>
  <c r="BD30" i="125"/>
  <c r="BE30" i="125"/>
  <c r="BF30" i="125"/>
  <c r="BG30" i="125"/>
  <c r="BH30" i="125"/>
  <c r="BL30" i="125"/>
  <c r="BM30" i="125"/>
  <c r="BN30" i="125"/>
  <c r="BO30" i="125"/>
  <c r="BP30" i="125"/>
  <c r="BQ30" i="125"/>
  <c r="BR30" i="125"/>
  <c r="BS30" i="125"/>
  <c r="BT30" i="125"/>
  <c r="BU30" i="125"/>
  <c r="BV30" i="125"/>
  <c r="BW30" i="125"/>
  <c r="CA30" i="125"/>
  <c r="CB30" i="125"/>
  <c r="CC30" i="125"/>
  <c r="CD30" i="125"/>
  <c r="CE30" i="125"/>
  <c r="CF30" i="125"/>
  <c r="CG30" i="125"/>
  <c r="CH30" i="125"/>
  <c r="CI30" i="125"/>
  <c r="CJ30" i="125"/>
  <c r="CK30" i="125"/>
  <c r="CL30" i="125"/>
  <c r="D31" i="125"/>
  <c r="E31" i="125"/>
  <c r="F31" i="125"/>
  <c r="G31" i="125"/>
  <c r="H31" i="125"/>
  <c r="I31" i="125"/>
  <c r="J31" i="125"/>
  <c r="K31" i="125"/>
  <c r="L31" i="125"/>
  <c r="M31" i="125"/>
  <c r="N31" i="125"/>
  <c r="O31" i="125"/>
  <c r="S31" i="125"/>
  <c r="T31" i="125"/>
  <c r="U31" i="125"/>
  <c r="V31" i="125"/>
  <c r="W31" i="125"/>
  <c r="X31" i="125"/>
  <c r="Y31" i="125"/>
  <c r="Z31" i="125"/>
  <c r="AA31" i="125"/>
  <c r="AB31" i="125"/>
  <c r="AC31" i="125"/>
  <c r="AD31" i="125"/>
  <c r="AH31" i="125"/>
  <c r="AI31" i="125"/>
  <c r="AJ31" i="125"/>
  <c r="AK31" i="125"/>
  <c r="AL31" i="125"/>
  <c r="AM31" i="125"/>
  <c r="AN31" i="125"/>
  <c r="AO31" i="125"/>
  <c r="AP31" i="125"/>
  <c r="AQ31" i="125"/>
  <c r="AR31" i="125"/>
  <c r="AS31" i="125"/>
  <c r="AW31" i="125"/>
  <c r="AX31" i="125"/>
  <c r="AY31" i="125"/>
  <c r="AZ31" i="125"/>
  <c r="BA31" i="125"/>
  <c r="BB31" i="125"/>
  <c r="BC31" i="125"/>
  <c r="BD31" i="125"/>
  <c r="BE31" i="125"/>
  <c r="BF31" i="125"/>
  <c r="BG31" i="125"/>
  <c r="BH31" i="125"/>
  <c r="BL31" i="125"/>
  <c r="BM31" i="125"/>
  <c r="BN31" i="125"/>
  <c r="BO31" i="125"/>
  <c r="BP31" i="125"/>
  <c r="BQ31" i="125"/>
  <c r="BR31" i="125"/>
  <c r="BS31" i="125"/>
  <c r="BT31" i="125"/>
  <c r="BU31" i="125"/>
  <c r="BV31" i="125"/>
  <c r="BW31" i="125"/>
  <c r="CA31" i="125"/>
  <c r="CB31" i="125"/>
  <c r="CC31" i="125"/>
  <c r="CD31" i="125"/>
  <c r="CE31" i="125"/>
  <c r="CF31" i="125"/>
  <c r="CG31" i="125"/>
  <c r="CH31" i="125"/>
  <c r="CI31" i="125"/>
  <c r="CJ31" i="125"/>
  <c r="CK31" i="125"/>
  <c r="CL31" i="125"/>
  <c r="D32" i="125"/>
  <c r="E32" i="125"/>
  <c r="F32" i="125"/>
  <c r="G32" i="125"/>
  <c r="H32" i="125"/>
  <c r="I32" i="125"/>
  <c r="J32" i="125"/>
  <c r="K32" i="125"/>
  <c r="L32" i="125"/>
  <c r="M32" i="125"/>
  <c r="N32" i="125"/>
  <c r="O32" i="125"/>
  <c r="S32" i="125"/>
  <c r="T32" i="125"/>
  <c r="U32" i="125"/>
  <c r="V32" i="125"/>
  <c r="W32" i="125"/>
  <c r="X32" i="125"/>
  <c r="Y32" i="125"/>
  <c r="Z32" i="125"/>
  <c r="AA32" i="125"/>
  <c r="AB32" i="125"/>
  <c r="AC32" i="125"/>
  <c r="AD32" i="125"/>
  <c r="AH32" i="125"/>
  <c r="AI32" i="125"/>
  <c r="AJ32" i="125"/>
  <c r="AK32" i="125"/>
  <c r="AL32" i="125"/>
  <c r="AM32" i="125"/>
  <c r="AN32" i="125"/>
  <c r="AO32" i="125"/>
  <c r="AP32" i="125"/>
  <c r="AQ32" i="125"/>
  <c r="AR32" i="125"/>
  <c r="AS32" i="125"/>
  <c r="AW32" i="125"/>
  <c r="AX32" i="125"/>
  <c r="AY32" i="125"/>
  <c r="AZ32" i="125"/>
  <c r="BA32" i="125"/>
  <c r="BB32" i="125"/>
  <c r="BC32" i="125"/>
  <c r="BD32" i="125"/>
  <c r="BE32" i="125"/>
  <c r="BF32" i="125"/>
  <c r="BG32" i="125"/>
  <c r="BH32" i="125"/>
  <c r="BL32" i="125"/>
  <c r="BM32" i="125"/>
  <c r="BN32" i="125"/>
  <c r="BO32" i="125"/>
  <c r="BP32" i="125"/>
  <c r="BQ32" i="125"/>
  <c r="BR32" i="125"/>
  <c r="BS32" i="125"/>
  <c r="BT32" i="125"/>
  <c r="BU32" i="125"/>
  <c r="BV32" i="125"/>
  <c r="BW32" i="125"/>
  <c r="CA32" i="125"/>
  <c r="CB32" i="125"/>
  <c r="CC32" i="125"/>
  <c r="CD32" i="125"/>
  <c r="CE32" i="125"/>
  <c r="CF32" i="125"/>
  <c r="CG32" i="125"/>
  <c r="CH32" i="125"/>
  <c r="CI32" i="125"/>
  <c r="CJ32" i="125"/>
  <c r="CK32" i="125"/>
  <c r="CL32" i="125"/>
  <c r="D33" i="125"/>
  <c r="E33" i="125"/>
  <c r="F33" i="125"/>
  <c r="G33" i="125"/>
  <c r="H33" i="125"/>
  <c r="I33" i="125"/>
  <c r="J33" i="125"/>
  <c r="K33" i="125"/>
  <c r="L33" i="125"/>
  <c r="M33" i="125"/>
  <c r="N33" i="125"/>
  <c r="O33" i="125"/>
  <c r="S33" i="125"/>
  <c r="T33" i="125"/>
  <c r="U33" i="125"/>
  <c r="V33" i="125"/>
  <c r="W33" i="125"/>
  <c r="X33" i="125"/>
  <c r="Y33" i="125"/>
  <c r="Z33" i="125"/>
  <c r="AA33" i="125"/>
  <c r="AB33" i="125"/>
  <c r="AC33" i="125"/>
  <c r="AD33" i="125"/>
  <c r="AH33" i="125"/>
  <c r="AI33" i="125"/>
  <c r="AJ33" i="125"/>
  <c r="AK33" i="125"/>
  <c r="AL33" i="125"/>
  <c r="AM33" i="125"/>
  <c r="AN33" i="125"/>
  <c r="AO33" i="125"/>
  <c r="AP33" i="125"/>
  <c r="AQ33" i="125"/>
  <c r="AR33" i="125"/>
  <c r="AS33" i="125"/>
  <c r="AW33" i="125"/>
  <c r="AX33" i="125"/>
  <c r="AY33" i="125"/>
  <c r="AZ33" i="125"/>
  <c r="BA33" i="125"/>
  <c r="BB33" i="125"/>
  <c r="BC33" i="125"/>
  <c r="BD33" i="125"/>
  <c r="BE33" i="125"/>
  <c r="BF33" i="125"/>
  <c r="BG33" i="125"/>
  <c r="BH33" i="125"/>
  <c r="BL33" i="125"/>
  <c r="BM33" i="125"/>
  <c r="BN33" i="125"/>
  <c r="BO33" i="125"/>
  <c r="BP33" i="125"/>
  <c r="BQ33" i="125"/>
  <c r="BR33" i="125"/>
  <c r="BS33" i="125"/>
  <c r="BT33" i="125"/>
  <c r="BU33" i="125"/>
  <c r="BV33" i="125"/>
  <c r="BW33" i="125"/>
  <c r="CA33" i="125"/>
  <c r="CB33" i="125"/>
  <c r="CC33" i="125"/>
  <c r="CD33" i="125"/>
  <c r="CE33" i="125"/>
  <c r="CF33" i="125"/>
  <c r="CG33" i="125"/>
  <c r="CH33" i="125"/>
  <c r="CI33" i="125"/>
  <c r="CJ33" i="125"/>
  <c r="CK33" i="125"/>
  <c r="CL33" i="125"/>
  <c r="D34" i="125"/>
  <c r="E34" i="125"/>
  <c r="F34" i="125"/>
  <c r="G34" i="125"/>
  <c r="H34" i="125"/>
  <c r="I34" i="125"/>
  <c r="J34" i="125"/>
  <c r="K34" i="125"/>
  <c r="L34" i="125"/>
  <c r="M34" i="125"/>
  <c r="N34" i="125"/>
  <c r="O34" i="125"/>
  <c r="S34" i="125"/>
  <c r="T34" i="125"/>
  <c r="U34" i="125"/>
  <c r="V34" i="125"/>
  <c r="W34" i="125"/>
  <c r="X34" i="125"/>
  <c r="Y34" i="125"/>
  <c r="Z34" i="125"/>
  <c r="AA34" i="125"/>
  <c r="AB34" i="125"/>
  <c r="AC34" i="125"/>
  <c r="AD34" i="125"/>
  <c r="AH34" i="125"/>
  <c r="AI34" i="125"/>
  <c r="AJ34" i="125"/>
  <c r="AK34" i="125"/>
  <c r="AL34" i="125"/>
  <c r="AM34" i="125"/>
  <c r="AN34" i="125"/>
  <c r="AO34" i="125"/>
  <c r="AP34" i="125"/>
  <c r="AQ34" i="125"/>
  <c r="AR34" i="125"/>
  <c r="AS34" i="125"/>
  <c r="AW34" i="125"/>
  <c r="AX34" i="125"/>
  <c r="AY34" i="125"/>
  <c r="AZ34" i="125"/>
  <c r="BA34" i="125"/>
  <c r="BB34" i="125"/>
  <c r="BC34" i="125"/>
  <c r="BD34" i="125"/>
  <c r="BE34" i="125"/>
  <c r="BF34" i="125"/>
  <c r="BG34" i="125"/>
  <c r="BH34" i="125"/>
  <c r="BL34" i="125"/>
  <c r="BM34" i="125"/>
  <c r="BN34" i="125"/>
  <c r="BO34" i="125"/>
  <c r="BP34" i="125"/>
  <c r="BQ34" i="125"/>
  <c r="BR34" i="125"/>
  <c r="BS34" i="125"/>
  <c r="BT34" i="125"/>
  <c r="BU34" i="125"/>
  <c r="BV34" i="125"/>
  <c r="BW34" i="125"/>
  <c r="CA34" i="125"/>
  <c r="CB34" i="125"/>
  <c r="CC34" i="125"/>
  <c r="CD34" i="125"/>
  <c r="CE34" i="125"/>
  <c r="CF34" i="125"/>
  <c r="CG34" i="125"/>
  <c r="CH34" i="125"/>
  <c r="CI34" i="125"/>
  <c r="CJ34" i="125"/>
  <c r="CK34" i="125"/>
  <c r="CL34" i="125"/>
  <c r="D35" i="125"/>
  <c r="E35" i="125"/>
  <c r="F35" i="125"/>
  <c r="G35" i="125"/>
  <c r="H35" i="125"/>
  <c r="I35" i="125"/>
  <c r="J35" i="125"/>
  <c r="K35" i="125"/>
  <c r="L35" i="125"/>
  <c r="M35" i="125"/>
  <c r="N35" i="125"/>
  <c r="O35" i="125"/>
  <c r="S35" i="125"/>
  <c r="T35" i="125"/>
  <c r="U35" i="125"/>
  <c r="V35" i="125"/>
  <c r="W35" i="125"/>
  <c r="X35" i="125"/>
  <c r="Y35" i="125"/>
  <c r="Z35" i="125"/>
  <c r="AA35" i="125"/>
  <c r="AB35" i="125"/>
  <c r="AC35" i="125"/>
  <c r="AD35" i="125"/>
  <c r="AH35" i="125"/>
  <c r="AI35" i="125"/>
  <c r="AJ35" i="125"/>
  <c r="AK35" i="125"/>
  <c r="AL35" i="125"/>
  <c r="AM35" i="125"/>
  <c r="AN35" i="125"/>
  <c r="AO35" i="125"/>
  <c r="AP35" i="125"/>
  <c r="AQ35" i="125"/>
  <c r="AR35" i="125"/>
  <c r="AS35" i="125"/>
  <c r="AW35" i="125"/>
  <c r="AX35" i="125"/>
  <c r="AY35" i="125"/>
  <c r="AZ35" i="125"/>
  <c r="BA35" i="125"/>
  <c r="BB35" i="125"/>
  <c r="BC35" i="125"/>
  <c r="BD35" i="125"/>
  <c r="BE35" i="125"/>
  <c r="BF35" i="125"/>
  <c r="BG35" i="125"/>
  <c r="BH35" i="125"/>
  <c r="BL35" i="125"/>
  <c r="BM35" i="125"/>
  <c r="BN35" i="125"/>
  <c r="BO35" i="125"/>
  <c r="BP35" i="125"/>
  <c r="BQ35" i="125"/>
  <c r="BR35" i="125"/>
  <c r="BS35" i="125"/>
  <c r="BT35" i="125"/>
  <c r="BU35" i="125"/>
  <c r="BV35" i="125"/>
  <c r="BW35" i="125"/>
  <c r="CA35" i="125"/>
  <c r="CB35" i="125"/>
  <c r="CC35" i="125"/>
  <c r="CD35" i="125"/>
  <c r="CE35" i="125"/>
  <c r="CF35" i="125"/>
  <c r="CG35" i="125"/>
  <c r="CH35" i="125"/>
  <c r="CI35" i="125"/>
  <c r="CJ35" i="125"/>
  <c r="CK35" i="125"/>
  <c r="CL35" i="125"/>
  <c r="D36" i="125"/>
  <c r="E36" i="125"/>
  <c r="F36" i="125"/>
  <c r="G36" i="125"/>
  <c r="H36" i="125"/>
  <c r="I36" i="125"/>
  <c r="J36" i="125"/>
  <c r="K36" i="125"/>
  <c r="L36" i="125"/>
  <c r="M36" i="125"/>
  <c r="N36" i="125"/>
  <c r="O36" i="125"/>
  <c r="S36" i="125"/>
  <c r="T36" i="125"/>
  <c r="U36" i="125"/>
  <c r="V36" i="125"/>
  <c r="W36" i="125"/>
  <c r="X36" i="125"/>
  <c r="Y36" i="125"/>
  <c r="Z36" i="125"/>
  <c r="AA36" i="125"/>
  <c r="AB36" i="125"/>
  <c r="AC36" i="125"/>
  <c r="AD36" i="125"/>
  <c r="AH36" i="125"/>
  <c r="AI36" i="125"/>
  <c r="AJ36" i="125"/>
  <c r="AK36" i="125"/>
  <c r="AL36" i="125"/>
  <c r="AM36" i="125"/>
  <c r="AN36" i="125"/>
  <c r="AO36" i="125"/>
  <c r="AP36" i="125"/>
  <c r="AQ36" i="125"/>
  <c r="AR36" i="125"/>
  <c r="AS36" i="125"/>
  <c r="AW36" i="125"/>
  <c r="AX36" i="125"/>
  <c r="AY36" i="125"/>
  <c r="AZ36" i="125"/>
  <c r="BA36" i="125"/>
  <c r="BB36" i="125"/>
  <c r="BC36" i="125"/>
  <c r="BD36" i="125"/>
  <c r="BE36" i="125"/>
  <c r="BF36" i="125"/>
  <c r="BG36" i="125"/>
  <c r="BH36" i="125"/>
  <c r="BL36" i="125"/>
  <c r="BM36" i="125"/>
  <c r="BN36" i="125"/>
  <c r="BO36" i="125"/>
  <c r="BP36" i="125"/>
  <c r="BQ36" i="125"/>
  <c r="BR36" i="125"/>
  <c r="BS36" i="125"/>
  <c r="BT36" i="125"/>
  <c r="BU36" i="125"/>
  <c r="BV36" i="125"/>
  <c r="BW36" i="125"/>
  <c r="CA36" i="125"/>
  <c r="CB36" i="125"/>
  <c r="CC36" i="125"/>
  <c r="CD36" i="125"/>
  <c r="CE36" i="125"/>
  <c r="CF36" i="125"/>
  <c r="CG36" i="125"/>
  <c r="CH36" i="125"/>
  <c r="CI36" i="125"/>
  <c r="CJ36" i="125"/>
  <c r="CK36" i="125"/>
  <c r="CL36" i="125"/>
  <c r="D37" i="125"/>
  <c r="E37" i="125"/>
  <c r="F37" i="125"/>
  <c r="G37" i="125"/>
  <c r="H37" i="125"/>
  <c r="I37" i="125"/>
  <c r="J37" i="125"/>
  <c r="K37" i="125"/>
  <c r="L37" i="125"/>
  <c r="M37" i="125"/>
  <c r="N37" i="125"/>
  <c r="O37" i="125"/>
  <c r="S37" i="125"/>
  <c r="T37" i="125"/>
  <c r="U37" i="125"/>
  <c r="V37" i="125"/>
  <c r="W37" i="125"/>
  <c r="X37" i="125"/>
  <c r="Y37" i="125"/>
  <c r="Z37" i="125"/>
  <c r="AA37" i="125"/>
  <c r="AB37" i="125"/>
  <c r="AC37" i="125"/>
  <c r="AD37" i="125"/>
  <c r="AH37" i="125"/>
  <c r="AI37" i="125"/>
  <c r="AJ37" i="125"/>
  <c r="AK37" i="125"/>
  <c r="AL37" i="125"/>
  <c r="AM37" i="125"/>
  <c r="AN37" i="125"/>
  <c r="AO37" i="125"/>
  <c r="AP37" i="125"/>
  <c r="AQ37" i="125"/>
  <c r="AR37" i="125"/>
  <c r="AS37" i="125"/>
  <c r="AW37" i="125"/>
  <c r="AX37" i="125"/>
  <c r="AY37" i="125"/>
  <c r="AZ37" i="125"/>
  <c r="BA37" i="125"/>
  <c r="BB37" i="125"/>
  <c r="BC37" i="125"/>
  <c r="BD37" i="125"/>
  <c r="BE37" i="125"/>
  <c r="BF37" i="125"/>
  <c r="BG37" i="125"/>
  <c r="BH37" i="125"/>
  <c r="BL37" i="125"/>
  <c r="BM37" i="125"/>
  <c r="BN37" i="125"/>
  <c r="BO37" i="125"/>
  <c r="BP37" i="125"/>
  <c r="BQ37" i="125"/>
  <c r="BR37" i="125"/>
  <c r="BS37" i="125"/>
  <c r="BT37" i="125"/>
  <c r="BU37" i="125"/>
  <c r="BV37" i="125"/>
  <c r="BW37" i="125"/>
  <c r="CA37" i="125"/>
  <c r="CB37" i="125"/>
  <c r="CC37" i="125"/>
  <c r="CD37" i="125"/>
  <c r="CE37" i="125"/>
  <c r="CF37" i="125"/>
  <c r="CG37" i="125"/>
  <c r="CH37" i="125"/>
  <c r="CI37" i="125"/>
  <c r="CJ37" i="125"/>
  <c r="CK37" i="125"/>
  <c r="CL37" i="125"/>
  <c r="D38" i="125"/>
  <c r="E38" i="125"/>
  <c r="F38" i="125"/>
  <c r="G38" i="125"/>
  <c r="H38" i="125"/>
  <c r="I38" i="125"/>
  <c r="J38" i="125"/>
  <c r="K38" i="125"/>
  <c r="L38" i="125"/>
  <c r="M38" i="125"/>
  <c r="N38" i="125"/>
  <c r="O38" i="125"/>
  <c r="S38" i="125"/>
  <c r="T38" i="125"/>
  <c r="U38" i="125"/>
  <c r="V38" i="125"/>
  <c r="W38" i="125"/>
  <c r="X38" i="125"/>
  <c r="Y38" i="125"/>
  <c r="Z38" i="125"/>
  <c r="AA38" i="125"/>
  <c r="AB38" i="125"/>
  <c r="AC38" i="125"/>
  <c r="AD38" i="125"/>
  <c r="AH38" i="125"/>
  <c r="AI38" i="125"/>
  <c r="AJ38" i="125"/>
  <c r="AK38" i="125"/>
  <c r="AL38" i="125"/>
  <c r="AM38" i="125"/>
  <c r="AN38" i="125"/>
  <c r="AO38" i="125"/>
  <c r="AP38" i="125"/>
  <c r="AQ38" i="125"/>
  <c r="AR38" i="125"/>
  <c r="AS38" i="125"/>
  <c r="AW38" i="125"/>
  <c r="AX38" i="125"/>
  <c r="AY38" i="125"/>
  <c r="AZ38" i="125"/>
  <c r="BA38" i="125"/>
  <c r="BB38" i="125"/>
  <c r="BC38" i="125"/>
  <c r="BD38" i="125"/>
  <c r="BE38" i="125"/>
  <c r="BF38" i="125"/>
  <c r="BG38" i="125"/>
  <c r="BH38" i="125"/>
  <c r="BL38" i="125"/>
  <c r="BM38" i="125"/>
  <c r="BN38" i="125"/>
  <c r="BO38" i="125"/>
  <c r="BP38" i="125"/>
  <c r="BQ38" i="125"/>
  <c r="BR38" i="125"/>
  <c r="BS38" i="125"/>
  <c r="BT38" i="125"/>
  <c r="BU38" i="125"/>
  <c r="BV38" i="125"/>
  <c r="BW38" i="125"/>
  <c r="CA38" i="125"/>
  <c r="CB38" i="125"/>
  <c r="CC38" i="125"/>
  <c r="CD38" i="125"/>
  <c r="CE38" i="125"/>
  <c r="CF38" i="125"/>
  <c r="CG38" i="125"/>
  <c r="CH38" i="125"/>
  <c r="CI38" i="125"/>
  <c r="CJ38" i="125"/>
  <c r="CK38" i="125"/>
  <c r="CL38" i="125"/>
  <c r="D39" i="125"/>
  <c r="E39" i="125"/>
  <c r="F39" i="125"/>
  <c r="G39" i="125"/>
  <c r="H39" i="125"/>
  <c r="I39" i="125"/>
  <c r="J39" i="125"/>
  <c r="K39" i="125"/>
  <c r="L39" i="125"/>
  <c r="M39" i="125"/>
  <c r="N39" i="125"/>
  <c r="O39" i="125"/>
  <c r="S39" i="125"/>
  <c r="T39" i="125"/>
  <c r="U39" i="125"/>
  <c r="V39" i="125"/>
  <c r="W39" i="125"/>
  <c r="X39" i="125"/>
  <c r="Y39" i="125"/>
  <c r="Z39" i="125"/>
  <c r="AA39" i="125"/>
  <c r="AB39" i="125"/>
  <c r="AC39" i="125"/>
  <c r="AD39" i="125"/>
  <c r="AH39" i="125"/>
  <c r="AI39" i="125"/>
  <c r="AJ39" i="125"/>
  <c r="AK39" i="125"/>
  <c r="AL39" i="125"/>
  <c r="AM39" i="125"/>
  <c r="AN39" i="125"/>
  <c r="AO39" i="125"/>
  <c r="AP39" i="125"/>
  <c r="AQ39" i="125"/>
  <c r="AR39" i="125"/>
  <c r="AS39" i="125"/>
  <c r="AW39" i="125"/>
  <c r="AX39" i="125"/>
  <c r="AY39" i="125"/>
  <c r="AZ39" i="125"/>
  <c r="BA39" i="125"/>
  <c r="BB39" i="125"/>
  <c r="BC39" i="125"/>
  <c r="BD39" i="125"/>
  <c r="BE39" i="125"/>
  <c r="BF39" i="125"/>
  <c r="BG39" i="125"/>
  <c r="BH39" i="125"/>
  <c r="BL39" i="125"/>
  <c r="BM39" i="125"/>
  <c r="BN39" i="125"/>
  <c r="BO39" i="125"/>
  <c r="BP39" i="125"/>
  <c r="BQ39" i="125"/>
  <c r="BR39" i="125"/>
  <c r="BS39" i="125"/>
  <c r="BT39" i="125"/>
  <c r="BU39" i="125"/>
  <c r="BV39" i="125"/>
  <c r="BW39" i="125"/>
  <c r="CA39" i="125"/>
  <c r="CB39" i="125"/>
  <c r="CC39" i="125"/>
  <c r="CD39" i="125"/>
  <c r="CE39" i="125"/>
  <c r="CF39" i="125"/>
  <c r="CG39" i="125"/>
  <c r="CH39" i="125"/>
  <c r="CI39" i="125"/>
  <c r="CJ39" i="125"/>
  <c r="CK39" i="125"/>
  <c r="CL39" i="125"/>
  <c r="D40" i="125"/>
  <c r="E40" i="125"/>
  <c r="F40" i="125"/>
  <c r="G40" i="125"/>
  <c r="H40" i="125"/>
  <c r="I40" i="125"/>
  <c r="J40" i="125"/>
  <c r="K40" i="125"/>
  <c r="L40" i="125"/>
  <c r="M40" i="125"/>
  <c r="N40" i="125"/>
  <c r="O40" i="125"/>
  <c r="S40" i="125"/>
  <c r="T40" i="125"/>
  <c r="U40" i="125"/>
  <c r="V40" i="125"/>
  <c r="W40" i="125"/>
  <c r="X40" i="125"/>
  <c r="Y40" i="125"/>
  <c r="Z40" i="125"/>
  <c r="AA40" i="125"/>
  <c r="AB40" i="125"/>
  <c r="AC40" i="125"/>
  <c r="AD40" i="125"/>
  <c r="AH40" i="125"/>
  <c r="AI40" i="125"/>
  <c r="AJ40" i="125"/>
  <c r="AK40" i="125"/>
  <c r="AL40" i="125"/>
  <c r="AM40" i="125"/>
  <c r="AN40" i="125"/>
  <c r="AO40" i="125"/>
  <c r="AP40" i="125"/>
  <c r="AQ40" i="125"/>
  <c r="AR40" i="125"/>
  <c r="AS40" i="125"/>
  <c r="AW40" i="125"/>
  <c r="AX40" i="125"/>
  <c r="AY40" i="125"/>
  <c r="AZ40" i="125"/>
  <c r="BA40" i="125"/>
  <c r="BB40" i="125"/>
  <c r="BC40" i="125"/>
  <c r="BD40" i="125"/>
  <c r="BE40" i="125"/>
  <c r="BF40" i="125"/>
  <c r="BG40" i="125"/>
  <c r="BH40" i="125"/>
  <c r="BL40" i="125"/>
  <c r="BM40" i="125"/>
  <c r="BN40" i="125"/>
  <c r="BO40" i="125"/>
  <c r="BP40" i="125"/>
  <c r="BQ40" i="125"/>
  <c r="BR40" i="125"/>
  <c r="BS40" i="125"/>
  <c r="BT40" i="125"/>
  <c r="BU40" i="125"/>
  <c r="BV40" i="125"/>
  <c r="BW40" i="125"/>
  <c r="CA40" i="125"/>
  <c r="CB40" i="125"/>
  <c r="CC40" i="125"/>
  <c r="CD40" i="125"/>
  <c r="CE40" i="125"/>
  <c r="CF40" i="125"/>
  <c r="CG40" i="125"/>
  <c r="CH40" i="125"/>
  <c r="CI40" i="125"/>
  <c r="CJ40" i="125"/>
  <c r="CK40" i="125"/>
  <c r="CL40" i="125"/>
  <c r="D41" i="125"/>
  <c r="E41" i="125"/>
  <c r="F41" i="125"/>
  <c r="G41" i="125"/>
  <c r="H41" i="125"/>
  <c r="I41" i="125"/>
  <c r="J41" i="125"/>
  <c r="K41" i="125"/>
  <c r="L41" i="125"/>
  <c r="M41" i="125"/>
  <c r="N41" i="125"/>
  <c r="O41" i="125"/>
  <c r="S41" i="125"/>
  <c r="T41" i="125"/>
  <c r="U41" i="125"/>
  <c r="V41" i="125"/>
  <c r="W41" i="125"/>
  <c r="X41" i="125"/>
  <c r="Y41" i="125"/>
  <c r="Z41" i="125"/>
  <c r="AA41" i="125"/>
  <c r="AB41" i="125"/>
  <c r="AC41" i="125"/>
  <c r="AD41" i="125"/>
  <c r="AH41" i="125"/>
  <c r="AI41" i="125"/>
  <c r="AJ41" i="125"/>
  <c r="AK41" i="125"/>
  <c r="AL41" i="125"/>
  <c r="AM41" i="125"/>
  <c r="AN41" i="125"/>
  <c r="AO41" i="125"/>
  <c r="AP41" i="125"/>
  <c r="AQ41" i="125"/>
  <c r="AR41" i="125"/>
  <c r="AS41" i="125"/>
  <c r="AW41" i="125"/>
  <c r="AX41" i="125"/>
  <c r="AY41" i="125"/>
  <c r="AZ41" i="125"/>
  <c r="BA41" i="125"/>
  <c r="BB41" i="125"/>
  <c r="BC41" i="125"/>
  <c r="BD41" i="125"/>
  <c r="BE41" i="125"/>
  <c r="BF41" i="125"/>
  <c r="BG41" i="125"/>
  <c r="BH41" i="125"/>
  <c r="BL41" i="125"/>
  <c r="BM41" i="125"/>
  <c r="BN41" i="125"/>
  <c r="BO41" i="125"/>
  <c r="BP41" i="125"/>
  <c r="BQ41" i="125"/>
  <c r="BR41" i="125"/>
  <c r="BS41" i="125"/>
  <c r="BT41" i="125"/>
  <c r="BU41" i="125"/>
  <c r="BV41" i="125"/>
  <c r="BW41" i="125"/>
  <c r="CA41" i="125"/>
  <c r="CB41" i="125"/>
  <c r="CC41" i="125"/>
  <c r="CD41" i="125"/>
  <c r="CE41" i="125"/>
  <c r="CF41" i="125"/>
  <c r="CG41" i="125"/>
  <c r="CH41" i="125"/>
  <c r="CI41" i="125"/>
  <c r="CJ41" i="125"/>
  <c r="CK41" i="125"/>
  <c r="CL41" i="125"/>
  <c r="D42" i="125"/>
  <c r="E42" i="125"/>
  <c r="F42" i="125"/>
  <c r="G42" i="125"/>
  <c r="H42" i="125"/>
  <c r="I42" i="125"/>
  <c r="J42" i="125"/>
  <c r="K42" i="125"/>
  <c r="L42" i="125"/>
  <c r="M42" i="125"/>
  <c r="N42" i="125"/>
  <c r="O42" i="125"/>
  <c r="S42" i="125"/>
  <c r="T42" i="125"/>
  <c r="U42" i="125"/>
  <c r="V42" i="125"/>
  <c r="W42" i="125"/>
  <c r="X42" i="125"/>
  <c r="Y42" i="125"/>
  <c r="Z42" i="125"/>
  <c r="AA42" i="125"/>
  <c r="AB42" i="125"/>
  <c r="AC42" i="125"/>
  <c r="AD42" i="125"/>
  <c r="AH42" i="125"/>
  <c r="AI42" i="125"/>
  <c r="AJ42" i="125"/>
  <c r="AK42" i="125"/>
  <c r="AL42" i="125"/>
  <c r="AM42" i="125"/>
  <c r="AN42" i="125"/>
  <c r="AO42" i="125"/>
  <c r="AP42" i="125"/>
  <c r="AQ42" i="125"/>
  <c r="AR42" i="125"/>
  <c r="AS42" i="125"/>
  <c r="AW42" i="125"/>
  <c r="AX42" i="125"/>
  <c r="AY42" i="125"/>
  <c r="AZ42" i="125"/>
  <c r="BA42" i="125"/>
  <c r="BB42" i="125"/>
  <c r="BC42" i="125"/>
  <c r="BD42" i="125"/>
  <c r="BE42" i="125"/>
  <c r="BF42" i="125"/>
  <c r="BG42" i="125"/>
  <c r="BH42" i="125"/>
  <c r="BL42" i="125"/>
  <c r="BM42" i="125"/>
  <c r="BN42" i="125"/>
  <c r="BO42" i="125"/>
  <c r="BP42" i="125"/>
  <c r="BQ42" i="125"/>
  <c r="BR42" i="125"/>
  <c r="BS42" i="125"/>
  <c r="BT42" i="125"/>
  <c r="BU42" i="125"/>
  <c r="BV42" i="125"/>
  <c r="BW42" i="125"/>
  <c r="CA42" i="125"/>
  <c r="CB42" i="125"/>
  <c r="CC42" i="125"/>
  <c r="CD42" i="125"/>
  <c r="CE42" i="125"/>
  <c r="CF42" i="125"/>
  <c r="CG42" i="125"/>
  <c r="CH42" i="125"/>
  <c r="CI42" i="125"/>
  <c r="CJ42" i="125"/>
  <c r="CK42" i="125"/>
  <c r="CL42" i="125"/>
  <c r="D43" i="125"/>
  <c r="E43" i="125"/>
  <c r="F43" i="125"/>
  <c r="G43" i="125"/>
  <c r="H43" i="125"/>
  <c r="I43" i="125"/>
  <c r="J43" i="125"/>
  <c r="K43" i="125"/>
  <c r="L43" i="125"/>
  <c r="M43" i="125"/>
  <c r="N43" i="125"/>
  <c r="O43" i="125"/>
  <c r="S43" i="125"/>
  <c r="T43" i="125"/>
  <c r="U43" i="125"/>
  <c r="V43" i="125"/>
  <c r="W43" i="125"/>
  <c r="X43" i="125"/>
  <c r="Y43" i="125"/>
  <c r="Z43" i="125"/>
  <c r="AA43" i="125"/>
  <c r="AB43" i="125"/>
  <c r="AC43" i="125"/>
  <c r="AD43" i="125"/>
  <c r="AH43" i="125"/>
  <c r="AI43" i="125"/>
  <c r="AJ43" i="125"/>
  <c r="AK43" i="125"/>
  <c r="AL43" i="125"/>
  <c r="AM43" i="125"/>
  <c r="AN43" i="125"/>
  <c r="AO43" i="125"/>
  <c r="AP43" i="125"/>
  <c r="AQ43" i="125"/>
  <c r="AR43" i="125"/>
  <c r="AS43" i="125"/>
  <c r="AW43" i="125"/>
  <c r="AX43" i="125"/>
  <c r="AY43" i="125"/>
  <c r="AZ43" i="125"/>
  <c r="BA43" i="125"/>
  <c r="BB43" i="125"/>
  <c r="BC43" i="125"/>
  <c r="BD43" i="125"/>
  <c r="BE43" i="125"/>
  <c r="BF43" i="125"/>
  <c r="BG43" i="125"/>
  <c r="BH43" i="125"/>
  <c r="BL43" i="125"/>
  <c r="BM43" i="125"/>
  <c r="BN43" i="125"/>
  <c r="BO43" i="125"/>
  <c r="BP43" i="125"/>
  <c r="BQ43" i="125"/>
  <c r="BR43" i="125"/>
  <c r="BS43" i="125"/>
  <c r="BT43" i="125"/>
  <c r="BU43" i="125"/>
  <c r="BV43" i="125"/>
  <c r="BW43" i="125"/>
  <c r="CA43" i="125"/>
  <c r="CB43" i="125"/>
  <c r="CC43" i="125"/>
  <c r="CD43" i="125"/>
  <c r="CE43" i="125"/>
  <c r="CF43" i="125"/>
  <c r="CG43" i="125"/>
  <c r="CH43" i="125"/>
  <c r="CI43" i="125"/>
  <c r="CJ43" i="125"/>
  <c r="CK43" i="125"/>
  <c r="CL43" i="125"/>
  <c r="D44" i="125"/>
  <c r="E44" i="125"/>
  <c r="F44" i="125"/>
  <c r="G44" i="125"/>
  <c r="H44" i="125"/>
  <c r="I44" i="125"/>
  <c r="J44" i="125"/>
  <c r="K44" i="125"/>
  <c r="L44" i="125"/>
  <c r="M44" i="125"/>
  <c r="N44" i="125"/>
  <c r="O44" i="125"/>
  <c r="S44" i="125"/>
  <c r="T44" i="125"/>
  <c r="U44" i="125"/>
  <c r="V44" i="125"/>
  <c r="W44" i="125"/>
  <c r="X44" i="125"/>
  <c r="Y44" i="125"/>
  <c r="Z44" i="125"/>
  <c r="AA44" i="125"/>
  <c r="AB44" i="125"/>
  <c r="AC44" i="125"/>
  <c r="AD44" i="125"/>
  <c r="AH44" i="125"/>
  <c r="AI44" i="125"/>
  <c r="AJ44" i="125"/>
  <c r="AK44" i="125"/>
  <c r="AL44" i="125"/>
  <c r="AM44" i="125"/>
  <c r="AN44" i="125"/>
  <c r="AO44" i="125"/>
  <c r="AP44" i="125"/>
  <c r="AQ44" i="125"/>
  <c r="AR44" i="125"/>
  <c r="AS44" i="125"/>
  <c r="AW44" i="125"/>
  <c r="AX44" i="125"/>
  <c r="AY44" i="125"/>
  <c r="AZ44" i="125"/>
  <c r="BA44" i="125"/>
  <c r="BB44" i="125"/>
  <c r="BC44" i="125"/>
  <c r="BD44" i="125"/>
  <c r="BE44" i="125"/>
  <c r="BF44" i="125"/>
  <c r="BG44" i="125"/>
  <c r="BH44" i="125"/>
  <c r="BL44" i="125"/>
  <c r="BM44" i="125"/>
  <c r="BN44" i="125"/>
  <c r="BO44" i="125"/>
  <c r="BP44" i="125"/>
  <c r="BQ44" i="125"/>
  <c r="BR44" i="125"/>
  <c r="BS44" i="125"/>
  <c r="BT44" i="125"/>
  <c r="BU44" i="125"/>
  <c r="BV44" i="125"/>
  <c r="BW44" i="125"/>
  <c r="CA44" i="125"/>
  <c r="CB44" i="125"/>
  <c r="CC44" i="125"/>
  <c r="CD44" i="125"/>
  <c r="CE44" i="125"/>
  <c r="CF44" i="125"/>
  <c r="CG44" i="125"/>
  <c r="CH44" i="125"/>
  <c r="CI44" i="125"/>
  <c r="CJ44" i="125"/>
  <c r="CK44" i="125"/>
  <c r="CL44" i="125"/>
  <c r="D45" i="125"/>
  <c r="E45" i="125"/>
  <c r="F45" i="125"/>
  <c r="G45" i="125"/>
  <c r="H45" i="125"/>
  <c r="I45" i="125"/>
  <c r="J45" i="125"/>
  <c r="K45" i="125"/>
  <c r="L45" i="125"/>
  <c r="M45" i="125"/>
  <c r="N45" i="125"/>
  <c r="O45" i="125"/>
  <c r="S45" i="125"/>
  <c r="T45" i="125"/>
  <c r="U45" i="125"/>
  <c r="V45" i="125"/>
  <c r="W45" i="125"/>
  <c r="X45" i="125"/>
  <c r="Y45" i="125"/>
  <c r="Z45" i="125"/>
  <c r="AA45" i="125"/>
  <c r="AB45" i="125"/>
  <c r="AC45" i="125"/>
  <c r="AD45" i="125"/>
  <c r="AH45" i="125"/>
  <c r="AI45" i="125"/>
  <c r="AJ45" i="125"/>
  <c r="AK45" i="125"/>
  <c r="AL45" i="125"/>
  <c r="AM45" i="125"/>
  <c r="AN45" i="125"/>
  <c r="AO45" i="125"/>
  <c r="AP45" i="125"/>
  <c r="AQ45" i="125"/>
  <c r="AR45" i="125"/>
  <c r="AS45" i="125"/>
  <c r="AW45" i="125"/>
  <c r="AX45" i="125"/>
  <c r="AY45" i="125"/>
  <c r="AZ45" i="125"/>
  <c r="BA45" i="125"/>
  <c r="BB45" i="125"/>
  <c r="BC45" i="125"/>
  <c r="BD45" i="125"/>
  <c r="BE45" i="125"/>
  <c r="BF45" i="125"/>
  <c r="BG45" i="125"/>
  <c r="BH45" i="125"/>
  <c r="BL45" i="125"/>
  <c r="BM45" i="125"/>
  <c r="BN45" i="125"/>
  <c r="BO45" i="125"/>
  <c r="BP45" i="125"/>
  <c r="BQ45" i="125"/>
  <c r="BR45" i="125"/>
  <c r="BS45" i="125"/>
  <c r="BT45" i="125"/>
  <c r="BU45" i="125"/>
  <c r="BV45" i="125"/>
  <c r="BW45" i="125"/>
  <c r="CA45" i="125"/>
  <c r="CB45" i="125"/>
  <c r="CC45" i="125"/>
  <c r="CD45" i="125"/>
  <c r="CE45" i="125"/>
  <c r="CF45" i="125"/>
  <c r="CG45" i="125"/>
  <c r="CH45" i="125"/>
  <c r="CI45" i="125"/>
  <c r="CJ45" i="125"/>
  <c r="CK45" i="125"/>
  <c r="CL45" i="125"/>
  <c r="D46" i="125"/>
  <c r="E46" i="125"/>
  <c r="F46" i="125"/>
  <c r="G46" i="125"/>
  <c r="H46" i="125"/>
  <c r="I46" i="125"/>
  <c r="J46" i="125"/>
  <c r="K46" i="125"/>
  <c r="L46" i="125"/>
  <c r="M46" i="125"/>
  <c r="N46" i="125"/>
  <c r="O46" i="125"/>
  <c r="S46" i="125"/>
  <c r="T46" i="125"/>
  <c r="U46" i="125"/>
  <c r="V46" i="125"/>
  <c r="W46" i="125"/>
  <c r="X46" i="125"/>
  <c r="Y46" i="125"/>
  <c r="Z46" i="125"/>
  <c r="AA46" i="125"/>
  <c r="AB46" i="125"/>
  <c r="AC46" i="125"/>
  <c r="AD46" i="125"/>
  <c r="AH46" i="125"/>
  <c r="AI46" i="125"/>
  <c r="AJ46" i="125"/>
  <c r="AK46" i="125"/>
  <c r="AL46" i="125"/>
  <c r="AM46" i="125"/>
  <c r="AN46" i="125"/>
  <c r="AO46" i="125"/>
  <c r="AP46" i="125"/>
  <c r="AQ46" i="125"/>
  <c r="AR46" i="125"/>
  <c r="AS46" i="125"/>
  <c r="AW46" i="125"/>
  <c r="AX46" i="125"/>
  <c r="AY46" i="125"/>
  <c r="AZ46" i="125"/>
  <c r="BA46" i="125"/>
  <c r="BB46" i="125"/>
  <c r="BC46" i="125"/>
  <c r="BD46" i="125"/>
  <c r="BE46" i="125"/>
  <c r="BF46" i="125"/>
  <c r="BG46" i="125"/>
  <c r="BH46" i="125"/>
  <c r="BL46" i="125"/>
  <c r="BM46" i="125"/>
  <c r="BN46" i="125"/>
  <c r="BO46" i="125"/>
  <c r="BP46" i="125"/>
  <c r="BQ46" i="125"/>
  <c r="BR46" i="125"/>
  <c r="BS46" i="125"/>
  <c r="BT46" i="125"/>
  <c r="BU46" i="125"/>
  <c r="BV46" i="125"/>
  <c r="BW46" i="125"/>
  <c r="CA46" i="125"/>
  <c r="CB46" i="125"/>
  <c r="CC46" i="125"/>
  <c r="CD46" i="125"/>
  <c r="CE46" i="125"/>
  <c r="CF46" i="125"/>
  <c r="CG46" i="125"/>
  <c r="CH46" i="125"/>
  <c r="CI46" i="125"/>
  <c r="CJ46" i="125"/>
  <c r="CK46" i="125"/>
  <c r="CL46" i="125"/>
  <c r="D47" i="125"/>
  <c r="E47" i="125"/>
  <c r="F47" i="125"/>
  <c r="G47" i="125"/>
  <c r="H47" i="125"/>
  <c r="I47" i="125"/>
  <c r="J47" i="125"/>
  <c r="K47" i="125"/>
  <c r="L47" i="125"/>
  <c r="M47" i="125"/>
  <c r="N47" i="125"/>
  <c r="O47" i="125"/>
  <c r="S47" i="125"/>
  <c r="T47" i="125"/>
  <c r="U47" i="125"/>
  <c r="V47" i="125"/>
  <c r="W47" i="125"/>
  <c r="X47" i="125"/>
  <c r="Y47" i="125"/>
  <c r="Z47" i="125"/>
  <c r="AA47" i="125"/>
  <c r="AB47" i="125"/>
  <c r="AC47" i="125"/>
  <c r="AD47" i="125"/>
  <c r="AH47" i="125"/>
  <c r="AI47" i="125"/>
  <c r="AJ47" i="125"/>
  <c r="AK47" i="125"/>
  <c r="AL47" i="125"/>
  <c r="AM47" i="125"/>
  <c r="AN47" i="125"/>
  <c r="AO47" i="125"/>
  <c r="AP47" i="125"/>
  <c r="AQ47" i="125"/>
  <c r="AR47" i="125"/>
  <c r="AS47" i="125"/>
  <c r="AW47" i="125"/>
  <c r="AX47" i="125"/>
  <c r="AY47" i="125"/>
  <c r="AZ47" i="125"/>
  <c r="BA47" i="125"/>
  <c r="BB47" i="125"/>
  <c r="BC47" i="125"/>
  <c r="BD47" i="125"/>
  <c r="BE47" i="125"/>
  <c r="BF47" i="125"/>
  <c r="BG47" i="125"/>
  <c r="BH47" i="125"/>
  <c r="BL47" i="125"/>
  <c r="BM47" i="125"/>
  <c r="BN47" i="125"/>
  <c r="BO47" i="125"/>
  <c r="BP47" i="125"/>
  <c r="BQ47" i="125"/>
  <c r="BR47" i="125"/>
  <c r="BS47" i="125"/>
  <c r="BT47" i="125"/>
  <c r="BU47" i="125"/>
  <c r="BV47" i="125"/>
  <c r="BW47" i="125"/>
  <c r="CA47" i="125"/>
  <c r="CB47" i="125"/>
  <c r="CC47" i="125"/>
  <c r="CD47" i="125"/>
  <c r="CE47" i="125"/>
  <c r="CF47" i="125"/>
  <c r="CG47" i="125"/>
  <c r="CH47" i="125"/>
  <c r="CI47" i="125"/>
  <c r="CJ47" i="125"/>
  <c r="CK47" i="125"/>
  <c r="CL47" i="125"/>
  <c r="D48" i="125"/>
  <c r="E48" i="125"/>
  <c r="F48" i="125"/>
  <c r="G48" i="125"/>
  <c r="H48" i="125"/>
  <c r="I48" i="125"/>
  <c r="J48" i="125"/>
  <c r="K48" i="125"/>
  <c r="L48" i="125"/>
  <c r="M48" i="125"/>
  <c r="N48" i="125"/>
  <c r="O48" i="125"/>
  <c r="S48" i="125"/>
  <c r="T48" i="125"/>
  <c r="U48" i="125"/>
  <c r="V48" i="125"/>
  <c r="W48" i="125"/>
  <c r="X48" i="125"/>
  <c r="Y48" i="125"/>
  <c r="Z48" i="125"/>
  <c r="AA48" i="125"/>
  <c r="AB48" i="125"/>
  <c r="AC48" i="125"/>
  <c r="AD48" i="125"/>
  <c r="AH48" i="125"/>
  <c r="AI48" i="125"/>
  <c r="AJ48" i="125"/>
  <c r="AK48" i="125"/>
  <c r="AL48" i="125"/>
  <c r="AM48" i="125"/>
  <c r="AN48" i="125"/>
  <c r="AO48" i="125"/>
  <c r="AP48" i="125"/>
  <c r="AQ48" i="125"/>
  <c r="AR48" i="125"/>
  <c r="AS48" i="125"/>
  <c r="AW48" i="125"/>
  <c r="AX48" i="125"/>
  <c r="AY48" i="125"/>
  <c r="AZ48" i="125"/>
  <c r="BA48" i="125"/>
  <c r="BB48" i="125"/>
  <c r="BC48" i="125"/>
  <c r="BD48" i="125"/>
  <c r="BE48" i="125"/>
  <c r="BF48" i="125"/>
  <c r="BG48" i="125"/>
  <c r="BH48" i="125"/>
  <c r="BL48" i="125"/>
  <c r="BM48" i="125"/>
  <c r="BN48" i="125"/>
  <c r="BO48" i="125"/>
  <c r="BP48" i="125"/>
  <c r="BQ48" i="125"/>
  <c r="BR48" i="125"/>
  <c r="BS48" i="125"/>
  <c r="BT48" i="125"/>
  <c r="BU48" i="125"/>
  <c r="BV48" i="125"/>
  <c r="BW48" i="125"/>
  <c r="CA48" i="125"/>
  <c r="CB48" i="125"/>
  <c r="CC48" i="125"/>
  <c r="CD48" i="125"/>
  <c r="CE48" i="125"/>
  <c r="CF48" i="125"/>
  <c r="CG48" i="125"/>
  <c r="CH48" i="125"/>
  <c r="CI48" i="125"/>
  <c r="CJ48" i="125"/>
  <c r="CK48" i="125"/>
  <c r="CL48" i="125"/>
  <c r="D49" i="125"/>
  <c r="E49" i="125"/>
  <c r="F49" i="125"/>
  <c r="G49" i="125"/>
  <c r="H49" i="125"/>
  <c r="I49" i="125"/>
  <c r="J49" i="125"/>
  <c r="K49" i="125"/>
  <c r="L49" i="125"/>
  <c r="M49" i="125"/>
  <c r="N49" i="125"/>
  <c r="O49" i="125"/>
  <c r="S49" i="125"/>
  <c r="T49" i="125"/>
  <c r="U49" i="125"/>
  <c r="V49" i="125"/>
  <c r="W49" i="125"/>
  <c r="X49" i="125"/>
  <c r="Y49" i="125"/>
  <c r="Z49" i="125"/>
  <c r="AA49" i="125"/>
  <c r="AB49" i="125"/>
  <c r="AC49" i="125"/>
  <c r="AD49" i="125"/>
  <c r="AH49" i="125"/>
  <c r="AI49" i="125"/>
  <c r="AJ49" i="125"/>
  <c r="AK49" i="125"/>
  <c r="AL49" i="125"/>
  <c r="AM49" i="125"/>
  <c r="AN49" i="125"/>
  <c r="AO49" i="125"/>
  <c r="AP49" i="125"/>
  <c r="AQ49" i="125"/>
  <c r="AR49" i="125"/>
  <c r="AS49" i="125"/>
  <c r="AW49" i="125"/>
  <c r="AX49" i="125"/>
  <c r="AY49" i="125"/>
  <c r="AZ49" i="125"/>
  <c r="BA49" i="125"/>
  <c r="BB49" i="125"/>
  <c r="BC49" i="125"/>
  <c r="BD49" i="125"/>
  <c r="BE49" i="125"/>
  <c r="BF49" i="125"/>
  <c r="BG49" i="125"/>
  <c r="BH49" i="125"/>
  <c r="BL49" i="125"/>
  <c r="BM49" i="125"/>
  <c r="BN49" i="125"/>
  <c r="BO49" i="125"/>
  <c r="BP49" i="125"/>
  <c r="BQ49" i="125"/>
  <c r="BR49" i="125"/>
  <c r="BS49" i="125"/>
  <c r="BT49" i="125"/>
  <c r="BU49" i="125"/>
  <c r="BV49" i="125"/>
  <c r="BW49" i="125"/>
  <c r="CA49" i="125"/>
  <c r="CB49" i="125"/>
  <c r="CC49" i="125"/>
  <c r="CD49" i="125"/>
  <c r="CE49" i="125"/>
  <c r="CF49" i="125"/>
  <c r="CG49" i="125"/>
  <c r="CH49" i="125"/>
  <c r="CI49" i="125"/>
  <c r="CJ49" i="125"/>
  <c r="CK49" i="125"/>
  <c r="CL49" i="125"/>
  <c r="D50" i="125"/>
  <c r="E50" i="125"/>
  <c r="F50" i="125"/>
  <c r="G50" i="125"/>
  <c r="H50" i="125"/>
  <c r="I50" i="125"/>
  <c r="J50" i="125"/>
  <c r="K50" i="125"/>
  <c r="L50" i="125"/>
  <c r="M50" i="125"/>
  <c r="N50" i="125"/>
  <c r="O50" i="125"/>
  <c r="S50" i="125"/>
  <c r="T50" i="125"/>
  <c r="U50" i="125"/>
  <c r="V50" i="125"/>
  <c r="W50" i="125"/>
  <c r="X50" i="125"/>
  <c r="Y50" i="125"/>
  <c r="Z50" i="125"/>
  <c r="AA50" i="125"/>
  <c r="AB50" i="125"/>
  <c r="AC50" i="125"/>
  <c r="AD50" i="125"/>
  <c r="AH50" i="125"/>
  <c r="AI50" i="125"/>
  <c r="AJ50" i="125"/>
  <c r="AK50" i="125"/>
  <c r="AL50" i="125"/>
  <c r="AM50" i="125"/>
  <c r="AN50" i="125"/>
  <c r="AO50" i="125"/>
  <c r="AP50" i="125"/>
  <c r="AQ50" i="125"/>
  <c r="AR50" i="125"/>
  <c r="AS50" i="125"/>
  <c r="AW50" i="125"/>
  <c r="AX50" i="125"/>
  <c r="AY50" i="125"/>
  <c r="AZ50" i="125"/>
  <c r="BA50" i="125"/>
  <c r="BB50" i="125"/>
  <c r="BC50" i="125"/>
  <c r="BD50" i="125"/>
  <c r="BE50" i="125"/>
  <c r="BF50" i="125"/>
  <c r="BG50" i="125"/>
  <c r="BH50" i="125"/>
  <c r="BL50" i="125"/>
  <c r="BM50" i="125"/>
  <c r="BN50" i="125"/>
  <c r="BO50" i="125"/>
  <c r="BP50" i="125"/>
  <c r="BQ50" i="125"/>
  <c r="BR50" i="125"/>
  <c r="BS50" i="125"/>
  <c r="BT50" i="125"/>
  <c r="BU50" i="125"/>
  <c r="BV50" i="125"/>
  <c r="BW50" i="125"/>
  <c r="CA50" i="125"/>
  <c r="CB50" i="125"/>
  <c r="CC50" i="125"/>
  <c r="CD50" i="125"/>
  <c r="CE50" i="125"/>
  <c r="CF50" i="125"/>
  <c r="CG50" i="125"/>
  <c r="CH50" i="125"/>
  <c r="CI50" i="125"/>
  <c r="CJ50" i="125"/>
  <c r="CK50" i="125"/>
  <c r="CL50" i="125"/>
  <c r="D51" i="125"/>
  <c r="E51" i="125"/>
  <c r="F51" i="125"/>
  <c r="G51" i="125"/>
  <c r="H51" i="125"/>
  <c r="I51" i="125"/>
  <c r="J51" i="125"/>
  <c r="K51" i="125"/>
  <c r="L51" i="125"/>
  <c r="M51" i="125"/>
  <c r="N51" i="125"/>
  <c r="O51" i="125"/>
  <c r="S51" i="125"/>
  <c r="T51" i="125"/>
  <c r="U51" i="125"/>
  <c r="V51" i="125"/>
  <c r="W51" i="125"/>
  <c r="X51" i="125"/>
  <c r="Y51" i="125"/>
  <c r="Z51" i="125"/>
  <c r="AA51" i="125"/>
  <c r="AB51" i="125"/>
  <c r="AC51" i="125"/>
  <c r="AD51" i="125"/>
  <c r="AH51" i="125"/>
  <c r="AI51" i="125"/>
  <c r="AJ51" i="125"/>
  <c r="AK51" i="125"/>
  <c r="AL51" i="125"/>
  <c r="AM51" i="125"/>
  <c r="AN51" i="125"/>
  <c r="AO51" i="125"/>
  <c r="AP51" i="125"/>
  <c r="AQ51" i="125"/>
  <c r="AR51" i="125"/>
  <c r="AS51" i="125"/>
  <c r="AW51" i="125"/>
  <c r="AX51" i="125"/>
  <c r="AY51" i="125"/>
  <c r="AZ51" i="125"/>
  <c r="BA51" i="125"/>
  <c r="BB51" i="125"/>
  <c r="BC51" i="125"/>
  <c r="BD51" i="125"/>
  <c r="BE51" i="125"/>
  <c r="BF51" i="125"/>
  <c r="BG51" i="125"/>
  <c r="BH51" i="125"/>
  <c r="BL51" i="125"/>
  <c r="BM51" i="125"/>
  <c r="BN51" i="125"/>
  <c r="BO51" i="125"/>
  <c r="BP51" i="125"/>
  <c r="BQ51" i="125"/>
  <c r="BR51" i="125"/>
  <c r="BS51" i="125"/>
  <c r="BT51" i="125"/>
  <c r="BU51" i="125"/>
  <c r="BV51" i="125"/>
  <c r="BW51" i="125"/>
  <c r="CA51" i="125"/>
  <c r="CB51" i="125"/>
  <c r="CC51" i="125"/>
  <c r="CD51" i="125"/>
  <c r="CE51" i="125"/>
  <c r="CF51" i="125"/>
  <c r="CG51" i="125"/>
  <c r="CH51" i="125"/>
  <c r="CI51" i="125"/>
  <c r="CJ51" i="125"/>
  <c r="CK51" i="125"/>
  <c r="CL51" i="125"/>
  <c r="D52" i="125"/>
  <c r="E52" i="125"/>
  <c r="F52" i="125"/>
  <c r="G52" i="125"/>
  <c r="H52" i="125"/>
  <c r="I52" i="125"/>
  <c r="J52" i="125"/>
  <c r="K52" i="125"/>
  <c r="L52" i="125"/>
  <c r="M52" i="125"/>
  <c r="N52" i="125"/>
  <c r="O52" i="125"/>
  <c r="S52" i="125"/>
  <c r="T52" i="125"/>
  <c r="U52" i="125"/>
  <c r="V52" i="125"/>
  <c r="W52" i="125"/>
  <c r="X52" i="125"/>
  <c r="Y52" i="125"/>
  <c r="Z52" i="125"/>
  <c r="AA52" i="125"/>
  <c r="AB52" i="125"/>
  <c r="AC52" i="125"/>
  <c r="AD52" i="125"/>
  <c r="AH52" i="125"/>
  <c r="AI52" i="125"/>
  <c r="AJ52" i="125"/>
  <c r="AK52" i="125"/>
  <c r="AL52" i="125"/>
  <c r="AM52" i="125"/>
  <c r="AN52" i="125"/>
  <c r="AO52" i="125"/>
  <c r="AP52" i="125"/>
  <c r="AQ52" i="125"/>
  <c r="AR52" i="125"/>
  <c r="AS52" i="125"/>
  <c r="AW52" i="125"/>
  <c r="AX52" i="125"/>
  <c r="AY52" i="125"/>
  <c r="AZ52" i="125"/>
  <c r="BA52" i="125"/>
  <c r="BB52" i="125"/>
  <c r="BC52" i="125"/>
  <c r="BD52" i="125"/>
  <c r="BE52" i="125"/>
  <c r="BF52" i="125"/>
  <c r="BG52" i="125"/>
  <c r="BH52" i="125"/>
  <c r="BL52" i="125"/>
  <c r="BM52" i="125"/>
  <c r="BN52" i="125"/>
  <c r="BO52" i="125"/>
  <c r="BP52" i="125"/>
  <c r="BQ52" i="125"/>
  <c r="BR52" i="125"/>
  <c r="BS52" i="125"/>
  <c r="BT52" i="125"/>
  <c r="BU52" i="125"/>
  <c r="BV52" i="125"/>
  <c r="BW52" i="125"/>
  <c r="CA52" i="125"/>
  <c r="CB52" i="125"/>
  <c r="CC52" i="125"/>
  <c r="CD52" i="125"/>
  <c r="CE52" i="125"/>
  <c r="CF52" i="125"/>
  <c r="CG52" i="125"/>
  <c r="CH52" i="125"/>
  <c r="CI52" i="125"/>
  <c r="CJ52" i="125"/>
  <c r="CK52" i="125"/>
  <c r="CL52" i="125"/>
  <c r="D53" i="125"/>
  <c r="E53" i="125"/>
  <c r="F53" i="125"/>
  <c r="G53" i="125"/>
  <c r="H53" i="125"/>
  <c r="I53" i="125"/>
  <c r="J53" i="125"/>
  <c r="K53" i="125"/>
  <c r="L53" i="125"/>
  <c r="M53" i="125"/>
  <c r="N53" i="125"/>
  <c r="O53" i="125"/>
  <c r="S53" i="125"/>
  <c r="T53" i="125"/>
  <c r="U53" i="125"/>
  <c r="V53" i="125"/>
  <c r="W53" i="125"/>
  <c r="X53" i="125"/>
  <c r="Y53" i="125"/>
  <c r="Z53" i="125"/>
  <c r="AA53" i="125"/>
  <c r="AB53" i="125"/>
  <c r="AC53" i="125"/>
  <c r="AD53" i="125"/>
  <c r="AH53" i="125"/>
  <c r="AI53" i="125"/>
  <c r="AJ53" i="125"/>
  <c r="AK53" i="125"/>
  <c r="AL53" i="125"/>
  <c r="AM53" i="125"/>
  <c r="AN53" i="125"/>
  <c r="AO53" i="125"/>
  <c r="AP53" i="125"/>
  <c r="AQ53" i="125"/>
  <c r="AR53" i="125"/>
  <c r="AS53" i="125"/>
  <c r="AW53" i="125"/>
  <c r="AX53" i="125"/>
  <c r="AY53" i="125"/>
  <c r="AZ53" i="125"/>
  <c r="BA53" i="125"/>
  <c r="BB53" i="125"/>
  <c r="BC53" i="125"/>
  <c r="BD53" i="125"/>
  <c r="BE53" i="125"/>
  <c r="BF53" i="125"/>
  <c r="BG53" i="125"/>
  <c r="BH53" i="125"/>
  <c r="BL53" i="125"/>
  <c r="BM53" i="125"/>
  <c r="BN53" i="125"/>
  <c r="BO53" i="125"/>
  <c r="BP53" i="125"/>
  <c r="BQ53" i="125"/>
  <c r="BR53" i="125"/>
  <c r="BS53" i="125"/>
  <c r="BT53" i="125"/>
  <c r="BU53" i="125"/>
  <c r="BV53" i="125"/>
  <c r="BW53" i="125"/>
  <c r="CA53" i="125"/>
  <c r="CB53" i="125"/>
  <c r="CC53" i="125"/>
  <c r="CD53" i="125"/>
  <c r="CE53" i="125"/>
  <c r="CF53" i="125"/>
  <c r="CG53" i="125"/>
  <c r="CH53" i="125"/>
  <c r="CI53" i="125"/>
  <c r="CJ53" i="125"/>
  <c r="CK53" i="125"/>
  <c r="CL53" i="125"/>
  <c r="D54" i="125"/>
  <c r="E54" i="125"/>
  <c r="F54" i="125"/>
  <c r="G54" i="125"/>
  <c r="H54" i="125"/>
  <c r="I54" i="125"/>
  <c r="J54" i="125"/>
  <c r="K54" i="125"/>
  <c r="L54" i="125"/>
  <c r="M54" i="125"/>
  <c r="N54" i="125"/>
  <c r="O54" i="125"/>
  <c r="S54" i="125"/>
  <c r="T54" i="125"/>
  <c r="U54" i="125"/>
  <c r="V54" i="125"/>
  <c r="W54" i="125"/>
  <c r="X54" i="125"/>
  <c r="Y54" i="125"/>
  <c r="Z54" i="125"/>
  <c r="AA54" i="125"/>
  <c r="AB54" i="125"/>
  <c r="AC54" i="125"/>
  <c r="AD54" i="125"/>
  <c r="AH54" i="125"/>
  <c r="AI54" i="125"/>
  <c r="AJ54" i="125"/>
  <c r="AK54" i="125"/>
  <c r="AL54" i="125"/>
  <c r="AM54" i="125"/>
  <c r="AN54" i="125"/>
  <c r="AO54" i="125"/>
  <c r="AP54" i="125"/>
  <c r="AQ54" i="125"/>
  <c r="AR54" i="125"/>
  <c r="AS54" i="125"/>
  <c r="AW54" i="125"/>
  <c r="AX54" i="125"/>
  <c r="AY54" i="125"/>
  <c r="AZ54" i="125"/>
  <c r="BA54" i="125"/>
  <c r="BB54" i="125"/>
  <c r="BC54" i="125"/>
  <c r="BD54" i="125"/>
  <c r="BE54" i="125"/>
  <c r="BF54" i="125"/>
  <c r="BG54" i="125"/>
  <c r="BH54" i="125"/>
  <c r="BL54" i="125"/>
  <c r="BM54" i="125"/>
  <c r="BN54" i="125"/>
  <c r="BO54" i="125"/>
  <c r="BP54" i="125"/>
  <c r="BQ54" i="125"/>
  <c r="BR54" i="125"/>
  <c r="BS54" i="125"/>
  <c r="BT54" i="125"/>
  <c r="BU54" i="125"/>
  <c r="BV54" i="125"/>
  <c r="BW54" i="125"/>
  <c r="CA54" i="125"/>
  <c r="CB54" i="125"/>
  <c r="CC54" i="125"/>
  <c r="CD54" i="125"/>
  <c r="CE54" i="125"/>
  <c r="CF54" i="125"/>
  <c r="CG54" i="125"/>
  <c r="CH54" i="125"/>
  <c r="CI54" i="125"/>
  <c r="CJ54" i="125"/>
  <c r="CK54" i="125"/>
  <c r="CL54" i="125"/>
  <c r="D55" i="125"/>
  <c r="E55" i="125"/>
  <c r="F55" i="125"/>
  <c r="G55" i="125"/>
  <c r="H55" i="125"/>
  <c r="I55" i="125"/>
  <c r="J55" i="125"/>
  <c r="K55" i="125"/>
  <c r="L55" i="125"/>
  <c r="M55" i="125"/>
  <c r="N55" i="125"/>
  <c r="O55" i="125"/>
  <c r="S55" i="125"/>
  <c r="T55" i="125"/>
  <c r="U55" i="125"/>
  <c r="V55" i="125"/>
  <c r="W55" i="125"/>
  <c r="X55" i="125"/>
  <c r="Y55" i="125"/>
  <c r="Z55" i="125"/>
  <c r="AA55" i="125"/>
  <c r="AB55" i="125"/>
  <c r="AC55" i="125"/>
  <c r="AD55" i="125"/>
  <c r="AH55" i="125"/>
  <c r="AI55" i="125"/>
  <c r="AJ55" i="125"/>
  <c r="AK55" i="125"/>
  <c r="AL55" i="125"/>
  <c r="AM55" i="125"/>
  <c r="AN55" i="125"/>
  <c r="AO55" i="125"/>
  <c r="AP55" i="125"/>
  <c r="AQ55" i="125"/>
  <c r="AR55" i="125"/>
  <c r="AS55" i="125"/>
  <c r="AW55" i="125"/>
  <c r="AX55" i="125"/>
  <c r="AY55" i="125"/>
  <c r="AZ55" i="125"/>
  <c r="BA55" i="125"/>
  <c r="BB55" i="125"/>
  <c r="BC55" i="125"/>
  <c r="BD55" i="125"/>
  <c r="BE55" i="125"/>
  <c r="BF55" i="125"/>
  <c r="BG55" i="125"/>
  <c r="BH55" i="125"/>
  <c r="BL55" i="125"/>
  <c r="BM55" i="125"/>
  <c r="BN55" i="125"/>
  <c r="BO55" i="125"/>
  <c r="BP55" i="125"/>
  <c r="BQ55" i="125"/>
  <c r="BR55" i="125"/>
  <c r="BS55" i="125"/>
  <c r="BT55" i="125"/>
  <c r="BU55" i="125"/>
  <c r="BV55" i="125"/>
  <c r="BW55" i="125"/>
  <c r="CA55" i="125"/>
  <c r="CB55" i="125"/>
  <c r="CC55" i="125"/>
  <c r="CD55" i="125"/>
  <c r="CE55" i="125"/>
  <c r="CF55" i="125"/>
  <c r="CG55" i="125"/>
  <c r="CH55" i="125"/>
  <c r="CI55" i="125"/>
  <c r="CJ55" i="125"/>
  <c r="CK55" i="125"/>
  <c r="CL55" i="125"/>
  <c r="D56" i="125"/>
  <c r="E56" i="125"/>
  <c r="F56" i="125"/>
  <c r="G56" i="125"/>
  <c r="H56" i="125"/>
  <c r="I56" i="125"/>
  <c r="J56" i="125"/>
  <c r="K56" i="125"/>
  <c r="L56" i="125"/>
  <c r="M56" i="125"/>
  <c r="N56" i="125"/>
  <c r="O56" i="125"/>
  <c r="S56" i="125"/>
  <c r="T56" i="125"/>
  <c r="U56" i="125"/>
  <c r="V56" i="125"/>
  <c r="W56" i="125"/>
  <c r="X56" i="125"/>
  <c r="Y56" i="125"/>
  <c r="Z56" i="125"/>
  <c r="AA56" i="125"/>
  <c r="AB56" i="125"/>
  <c r="AC56" i="125"/>
  <c r="AD56" i="125"/>
  <c r="AH56" i="125"/>
  <c r="AI56" i="125"/>
  <c r="AJ56" i="125"/>
  <c r="AK56" i="125"/>
  <c r="AL56" i="125"/>
  <c r="AM56" i="125"/>
  <c r="AN56" i="125"/>
  <c r="AO56" i="125"/>
  <c r="AP56" i="125"/>
  <c r="AQ56" i="125"/>
  <c r="AR56" i="125"/>
  <c r="AS56" i="125"/>
  <c r="AW56" i="125"/>
  <c r="AX56" i="125"/>
  <c r="AY56" i="125"/>
  <c r="AZ56" i="125"/>
  <c r="BA56" i="125"/>
  <c r="BB56" i="125"/>
  <c r="BC56" i="125"/>
  <c r="BD56" i="125"/>
  <c r="BE56" i="125"/>
  <c r="BF56" i="125"/>
  <c r="BG56" i="125"/>
  <c r="BH56" i="125"/>
  <c r="BL56" i="125"/>
  <c r="BM56" i="125"/>
  <c r="BN56" i="125"/>
  <c r="BO56" i="125"/>
  <c r="BP56" i="125"/>
  <c r="BQ56" i="125"/>
  <c r="BR56" i="125"/>
  <c r="BS56" i="125"/>
  <c r="BT56" i="125"/>
  <c r="BU56" i="125"/>
  <c r="BV56" i="125"/>
  <c r="BW56" i="125"/>
  <c r="CA56" i="125"/>
  <c r="CB56" i="125"/>
  <c r="CC56" i="125"/>
  <c r="CD56" i="125"/>
  <c r="CE56" i="125"/>
  <c r="CF56" i="125"/>
  <c r="CG56" i="125"/>
  <c r="CH56" i="125"/>
  <c r="CI56" i="125"/>
  <c r="CJ56" i="125"/>
  <c r="CK56" i="125"/>
  <c r="CL56" i="125"/>
  <c r="D57" i="125"/>
  <c r="E57" i="125"/>
  <c r="F57" i="125"/>
  <c r="G57" i="125"/>
  <c r="H57" i="125"/>
  <c r="I57" i="125"/>
  <c r="J57" i="125"/>
  <c r="K57" i="125"/>
  <c r="L57" i="125"/>
  <c r="M57" i="125"/>
  <c r="N57" i="125"/>
  <c r="O57" i="125"/>
  <c r="S57" i="125"/>
  <c r="T57" i="125"/>
  <c r="U57" i="125"/>
  <c r="V57" i="125"/>
  <c r="W57" i="125"/>
  <c r="X57" i="125"/>
  <c r="Y57" i="125"/>
  <c r="Z57" i="125"/>
  <c r="AA57" i="125"/>
  <c r="AB57" i="125"/>
  <c r="AC57" i="125"/>
  <c r="AD57" i="125"/>
  <c r="AH57" i="125"/>
  <c r="AI57" i="125"/>
  <c r="AJ57" i="125"/>
  <c r="AK57" i="125"/>
  <c r="AL57" i="125"/>
  <c r="AM57" i="125"/>
  <c r="AN57" i="125"/>
  <c r="AO57" i="125"/>
  <c r="AP57" i="125"/>
  <c r="AQ57" i="125"/>
  <c r="AR57" i="125"/>
  <c r="AS57" i="125"/>
  <c r="AW57" i="125"/>
  <c r="AX57" i="125"/>
  <c r="AY57" i="125"/>
  <c r="AZ57" i="125"/>
  <c r="BA57" i="125"/>
  <c r="BB57" i="125"/>
  <c r="BC57" i="125"/>
  <c r="BD57" i="125"/>
  <c r="BE57" i="125"/>
  <c r="BF57" i="125"/>
  <c r="BG57" i="125"/>
  <c r="BH57" i="125"/>
  <c r="BL57" i="125"/>
  <c r="BM57" i="125"/>
  <c r="BN57" i="125"/>
  <c r="BO57" i="125"/>
  <c r="BP57" i="125"/>
  <c r="BQ57" i="125"/>
  <c r="BR57" i="125"/>
  <c r="BS57" i="125"/>
  <c r="BT57" i="125"/>
  <c r="BU57" i="125"/>
  <c r="BV57" i="125"/>
  <c r="BW57" i="125"/>
  <c r="CA57" i="125"/>
  <c r="CB57" i="125"/>
  <c r="CC57" i="125"/>
  <c r="CD57" i="125"/>
  <c r="CE57" i="125"/>
  <c r="CF57" i="125"/>
  <c r="CG57" i="125"/>
  <c r="CH57" i="125"/>
  <c r="CI57" i="125"/>
  <c r="CJ57" i="125"/>
  <c r="CK57" i="125"/>
  <c r="CL57" i="125"/>
  <c r="D58" i="125"/>
  <c r="E58" i="125"/>
  <c r="F58" i="125"/>
  <c r="G58" i="125"/>
  <c r="H58" i="125"/>
  <c r="I58" i="125"/>
  <c r="J58" i="125"/>
  <c r="K58" i="125"/>
  <c r="L58" i="125"/>
  <c r="M58" i="125"/>
  <c r="N58" i="125"/>
  <c r="O58" i="125"/>
  <c r="S58" i="125"/>
  <c r="T58" i="125"/>
  <c r="U58" i="125"/>
  <c r="V58" i="125"/>
  <c r="W58" i="125"/>
  <c r="X58" i="125"/>
  <c r="Y58" i="125"/>
  <c r="Z58" i="125"/>
  <c r="AA58" i="125"/>
  <c r="AB58" i="125"/>
  <c r="AC58" i="125"/>
  <c r="AD58" i="125"/>
  <c r="AH58" i="125"/>
  <c r="AI58" i="125"/>
  <c r="AJ58" i="125"/>
  <c r="AK58" i="125"/>
  <c r="AL58" i="125"/>
  <c r="AM58" i="125"/>
  <c r="AN58" i="125"/>
  <c r="AO58" i="125"/>
  <c r="AP58" i="125"/>
  <c r="AQ58" i="125"/>
  <c r="AR58" i="125"/>
  <c r="AS58" i="125"/>
  <c r="AW58" i="125"/>
  <c r="AX58" i="125"/>
  <c r="AY58" i="125"/>
  <c r="AZ58" i="125"/>
  <c r="BA58" i="125"/>
  <c r="BB58" i="125"/>
  <c r="BC58" i="125"/>
  <c r="BD58" i="125"/>
  <c r="BE58" i="125"/>
  <c r="BF58" i="125"/>
  <c r="BG58" i="125"/>
  <c r="BH58" i="125"/>
  <c r="BL58" i="125"/>
  <c r="BM58" i="125"/>
  <c r="BN58" i="125"/>
  <c r="BO58" i="125"/>
  <c r="BP58" i="125"/>
  <c r="BQ58" i="125"/>
  <c r="BR58" i="125"/>
  <c r="BS58" i="125"/>
  <c r="BT58" i="125"/>
  <c r="BU58" i="125"/>
  <c r="BV58" i="125"/>
  <c r="BW58" i="125"/>
  <c r="CA58" i="125"/>
  <c r="CB58" i="125"/>
  <c r="CC58" i="125"/>
  <c r="CD58" i="125"/>
  <c r="CE58" i="125"/>
  <c r="CF58" i="125"/>
  <c r="CG58" i="125"/>
  <c r="CH58" i="125"/>
  <c r="CI58" i="125"/>
  <c r="CJ58" i="125"/>
  <c r="CK58" i="125"/>
  <c r="CL58" i="125"/>
  <c r="D59" i="125"/>
  <c r="E59" i="125"/>
  <c r="F59" i="125"/>
  <c r="G59" i="125"/>
  <c r="H59" i="125"/>
  <c r="I59" i="125"/>
  <c r="J59" i="125"/>
  <c r="K59" i="125"/>
  <c r="L59" i="125"/>
  <c r="M59" i="125"/>
  <c r="N59" i="125"/>
  <c r="O59" i="125"/>
  <c r="S59" i="125"/>
  <c r="T59" i="125"/>
  <c r="U59" i="125"/>
  <c r="V59" i="125"/>
  <c r="W59" i="125"/>
  <c r="X59" i="125"/>
  <c r="Y59" i="125"/>
  <c r="Z59" i="125"/>
  <c r="AA59" i="125"/>
  <c r="AB59" i="125"/>
  <c r="AC59" i="125"/>
  <c r="AD59" i="125"/>
  <c r="AH59" i="125"/>
  <c r="AI59" i="125"/>
  <c r="AJ59" i="125"/>
  <c r="AK59" i="125"/>
  <c r="AL59" i="125"/>
  <c r="AM59" i="125"/>
  <c r="AN59" i="125"/>
  <c r="AO59" i="125"/>
  <c r="AP59" i="125"/>
  <c r="AQ59" i="125"/>
  <c r="AR59" i="125"/>
  <c r="AS59" i="125"/>
  <c r="AW59" i="125"/>
  <c r="AX59" i="125"/>
  <c r="AY59" i="125"/>
  <c r="AZ59" i="125"/>
  <c r="BA59" i="125"/>
  <c r="BB59" i="125"/>
  <c r="BC59" i="125"/>
  <c r="BD59" i="125"/>
  <c r="BE59" i="125"/>
  <c r="BF59" i="125"/>
  <c r="BG59" i="125"/>
  <c r="BH59" i="125"/>
  <c r="BL59" i="125"/>
  <c r="BM59" i="125"/>
  <c r="BN59" i="125"/>
  <c r="BO59" i="125"/>
  <c r="BP59" i="125"/>
  <c r="BQ59" i="125"/>
  <c r="BR59" i="125"/>
  <c r="BS59" i="125"/>
  <c r="BT59" i="125"/>
  <c r="BU59" i="125"/>
  <c r="BV59" i="125"/>
  <c r="BW59" i="125"/>
  <c r="CA59" i="125"/>
  <c r="CB59" i="125"/>
  <c r="CC59" i="125"/>
  <c r="CD59" i="125"/>
  <c r="CE59" i="125"/>
  <c r="CF59" i="125"/>
  <c r="CG59" i="125"/>
  <c r="CH59" i="125"/>
  <c r="CI59" i="125"/>
  <c r="CJ59" i="125"/>
  <c r="CK59" i="125"/>
  <c r="CL59" i="125"/>
  <c r="D60" i="125"/>
  <c r="E60" i="125"/>
  <c r="F60" i="125"/>
  <c r="G60" i="125"/>
  <c r="H60" i="125"/>
  <c r="I60" i="125"/>
  <c r="J60" i="125"/>
  <c r="K60" i="125"/>
  <c r="L60" i="125"/>
  <c r="M60" i="125"/>
  <c r="N60" i="125"/>
  <c r="O60" i="125"/>
  <c r="S60" i="125"/>
  <c r="T60" i="125"/>
  <c r="U60" i="125"/>
  <c r="V60" i="125"/>
  <c r="W60" i="125"/>
  <c r="X60" i="125"/>
  <c r="Y60" i="125"/>
  <c r="Z60" i="125"/>
  <c r="AA60" i="125"/>
  <c r="AB60" i="125"/>
  <c r="AC60" i="125"/>
  <c r="AD60" i="125"/>
  <c r="AH60" i="125"/>
  <c r="AI60" i="125"/>
  <c r="AJ60" i="125"/>
  <c r="AK60" i="125"/>
  <c r="AL60" i="125"/>
  <c r="AM60" i="125"/>
  <c r="AN60" i="125"/>
  <c r="AO60" i="125"/>
  <c r="AP60" i="125"/>
  <c r="AQ60" i="125"/>
  <c r="AR60" i="125"/>
  <c r="AS60" i="125"/>
  <c r="AW60" i="125"/>
  <c r="AX60" i="125"/>
  <c r="AY60" i="125"/>
  <c r="AZ60" i="125"/>
  <c r="BA60" i="125"/>
  <c r="BB60" i="125"/>
  <c r="BC60" i="125"/>
  <c r="BD60" i="125"/>
  <c r="BE60" i="125"/>
  <c r="BF60" i="125"/>
  <c r="BG60" i="125"/>
  <c r="BH60" i="125"/>
  <c r="BL60" i="125"/>
  <c r="BM60" i="125"/>
  <c r="BN60" i="125"/>
  <c r="BO60" i="125"/>
  <c r="BP60" i="125"/>
  <c r="BQ60" i="125"/>
  <c r="BR60" i="125"/>
  <c r="BS60" i="125"/>
  <c r="BT60" i="125"/>
  <c r="BU60" i="125"/>
  <c r="BV60" i="125"/>
  <c r="BW60" i="125"/>
  <c r="CA60" i="125"/>
  <c r="CB60" i="125"/>
  <c r="CC60" i="125"/>
  <c r="CD60" i="125"/>
  <c r="CE60" i="125"/>
  <c r="CF60" i="125"/>
  <c r="CG60" i="125"/>
  <c r="CH60" i="125"/>
  <c r="CI60" i="125"/>
  <c r="CJ60" i="125"/>
  <c r="CK60" i="125"/>
  <c r="CL60" i="125"/>
  <c r="D61" i="125"/>
  <c r="E61" i="125"/>
  <c r="F61" i="125"/>
  <c r="G61" i="125"/>
  <c r="H61" i="125"/>
  <c r="I61" i="125"/>
  <c r="J61" i="125"/>
  <c r="K61" i="125"/>
  <c r="L61" i="125"/>
  <c r="M61" i="125"/>
  <c r="N61" i="125"/>
  <c r="O61" i="125"/>
  <c r="S61" i="125"/>
  <c r="T61" i="125"/>
  <c r="U61" i="125"/>
  <c r="V61" i="125"/>
  <c r="W61" i="125"/>
  <c r="X61" i="125"/>
  <c r="Y61" i="125"/>
  <c r="Z61" i="125"/>
  <c r="AA61" i="125"/>
  <c r="AB61" i="125"/>
  <c r="AC61" i="125"/>
  <c r="AD61" i="125"/>
  <c r="AH61" i="125"/>
  <c r="AI61" i="125"/>
  <c r="AJ61" i="125"/>
  <c r="AK61" i="125"/>
  <c r="AL61" i="125"/>
  <c r="AM61" i="125"/>
  <c r="AN61" i="125"/>
  <c r="AO61" i="125"/>
  <c r="AP61" i="125"/>
  <c r="AQ61" i="125"/>
  <c r="AR61" i="125"/>
  <c r="AS61" i="125"/>
  <c r="AW61" i="125"/>
  <c r="AX61" i="125"/>
  <c r="AY61" i="125"/>
  <c r="AZ61" i="125"/>
  <c r="BA61" i="125"/>
  <c r="BB61" i="125"/>
  <c r="BC61" i="125"/>
  <c r="BD61" i="125"/>
  <c r="BE61" i="125"/>
  <c r="BF61" i="125"/>
  <c r="BG61" i="125"/>
  <c r="BH61" i="125"/>
  <c r="BL61" i="125"/>
  <c r="BM61" i="125"/>
  <c r="BN61" i="125"/>
  <c r="BO61" i="125"/>
  <c r="BP61" i="125"/>
  <c r="BQ61" i="125"/>
  <c r="BR61" i="125"/>
  <c r="BS61" i="125"/>
  <c r="BT61" i="125"/>
  <c r="BU61" i="125"/>
  <c r="BV61" i="125"/>
  <c r="BW61" i="125"/>
  <c r="CA61" i="125"/>
  <c r="CB61" i="125"/>
  <c r="CC61" i="125"/>
  <c r="CD61" i="125"/>
  <c r="CE61" i="125"/>
  <c r="CF61" i="125"/>
  <c r="CG61" i="125"/>
  <c r="CH61" i="125"/>
  <c r="CI61" i="125"/>
  <c r="CJ61" i="125"/>
  <c r="CK61" i="125"/>
  <c r="CL61" i="125"/>
  <c r="D62" i="125"/>
  <c r="E62" i="125"/>
  <c r="F62" i="125"/>
  <c r="G62" i="125"/>
  <c r="H62" i="125"/>
  <c r="I62" i="125"/>
  <c r="J62" i="125"/>
  <c r="K62" i="125"/>
  <c r="L62" i="125"/>
  <c r="M62" i="125"/>
  <c r="N62" i="125"/>
  <c r="O62" i="125"/>
  <c r="S62" i="125"/>
  <c r="T62" i="125"/>
  <c r="U62" i="125"/>
  <c r="V62" i="125"/>
  <c r="W62" i="125"/>
  <c r="X62" i="125"/>
  <c r="Y62" i="125"/>
  <c r="Z62" i="125"/>
  <c r="AA62" i="125"/>
  <c r="AB62" i="125"/>
  <c r="AC62" i="125"/>
  <c r="AD62" i="125"/>
  <c r="AH62" i="125"/>
  <c r="AI62" i="125"/>
  <c r="AJ62" i="125"/>
  <c r="AK62" i="125"/>
  <c r="AL62" i="125"/>
  <c r="AM62" i="125"/>
  <c r="AN62" i="125"/>
  <c r="AO62" i="125"/>
  <c r="AP62" i="125"/>
  <c r="AQ62" i="125"/>
  <c r="AR62" i="125"/>
  <c r="AS62" i="125"/>
  <c r="AW62" i="125"/>
  <c r="AX62" i="125"/>
  <c r="AY62" i="125"/>
  <c r="AZ62" i="125"/>
  <c r="BA62" i="125"/>
  <c r="BB62" i="125"/>
  <c r="BC62" i="125"/>
  <c r="BD62" i="125"/>
  <c r="BE62" i="125"/>
  <c r="BF62" i="125"/>
  <c r="BG62" i="125"/>
  <c r="BH62" i="125"/>
  <c r="BL62" i="125"/>
  <c r="BM62" i="125"/>
  <c r="BN62" i="125"/>
  <c r="BO62" i="125"/>
  <c r="BP62" i="125"/>
  <c r="BQ62" i="125"/>
  <c r="BR62" i="125"/>
  <c r="BS62" i="125"/>
  <c r="BT62" i="125"/>
  <c r="BU62" i="125"/>
  <c r="BV62" i="125"/>
  <c r="BW62" i="125"/>
  <c r="CA62" i="125"/>
  <c r="CB62" i="125"/>
  <c r="CC62" i="125"/>
  <c r="CD62" i="125"/>
  <c r="CE62" i="125"/>
  <c r="CF62" i="125"/>
  <c r="CG62" i="125"/>
  <c r="CH62" i="125"/>
  <c r="CI62" i="125"/>
  <c r="CJ62" i="125"/>
  <c r="CK62" i="125"/>
  <c r="CL62" i="125"/>
  <c r="D63" i="125"/>
  <c r="E63" i="125"/>
  <c r="F63" i="125"/>
  <c r="G63" i="125"/>
  <c r="H63" i="125"/>
  <c r="I63" i="125"/>
  <c r="J63" i="125"/>
  <c r="K63" i="125"/>
  <c r="L63" i="125"/>
  <c r="M63" i="125"/>
  <c r="N63" i="125"/>
  <c r="O63" i="125"/>
  <c r="S63" i="125"/>
  <c r="T63" i="125"/>
  <c r="U63" i="125"/>
  <c r="V63" i="125"/>
  <c r="W63" i="125"/>
  <c r="X63" i="125"/>
  <c r="Y63" i="125"/>
  <c r="Z63" i="125"/>
  <c r="AA63" i="125"/>
  <c r="AB63" i="125"/>
  <c r="AC63" i="125"/>
  <c r="AD63" i="125"/>
  <c r="AH63" i="125"/>
  <c r="AI63" i="125"/>
  <c r="AJ63" i="125"/>
  <c r="AK63" i="125"/>
  <c r="AL63" i="125"/>
  <c r="AM63" i="125"/>
  <c r="AN63" i="125"/>
  <c r="AO63" i="125"/>
  <c r="AP63" i="125"/>
  <c r="AQ63" i="125"/>
  <c r="AR63" i="125"/>
  <c r="AS63" i="125"/>
  <c r="AW63" i="125"/>
  <c r="AX63" i="125"/>
  <c r="AY63" i="125"/>
  <c r="AZ63" i="125"/>
  <c r="BA63" i="125"/>
  <c r="BB63" i="125"/>
  <c r="BC63" i="125"/>
  <c r="BD63" i="125"/>
  <c r="BE63" i="125"/>
  <c r="BF63" i="125"/>
  <c r="BG63" i="125"/>
  <c r="BH63" i="125"/>
  <c r="BL63" i="125"/>
  <c r="BM63" i="125"/>
  <c r="BN63" i="125"/>
  <c r="BO63" i="125"/>
  <c r="BP63" i="125"/>
  <c r="BQ63" i="125"/>
  <c r="BR63" i="125"/>
  <c r="BS63" i="125"/>
  <c r="BT63" i="125"/>
  <c r="BU63" i="125"/>
  <c r="BV63" i="125"/>
  <c r="BW63" i="125"/>
  <c r="CA63" i="125"/>
  <c r="CB63" i="125"/>
  <c r="CC63" i="125"/>
  <c r="CD63" i="125"/>
  <c r="CE63" i="125"/>
  <c r="CF63" i="125"/>
  <c r="CG63" i="125"/>
  <c r="CH63" i="125"/>
  <c r="CI63" i="125"/>
  <c r="CJ63" i="125"/>
  <c r="CK63" i="125"/>
  <c r="CL63" i="125"/>
  <c r="D64" i="125"/>
  <c r="E64" i="125"/>
  <c r="F64" i="125"/>
  <c r="G64" i="125"/>
  <c r="H64" i="125"/>
  <c r="I64" i="125"/>
  <c r="J64" i="125"/>
  <c r="K64" i="125"/>
  <c r="L64" i="125"/>
  <c r="M64" i="125"/>
  <c r="N64" i="125"/>
  <c r="O64" i="125"/>
  <c r="S64" i="125"/>
  <c r="T64" i="125"/>
  <c r="U64" i="125"/>
  <c r="V64" i="125"/>
  <c r="W64" i="125"/>
  <c r="X64" i="125"/>
  <c r="Y64" i="125"/>
  <c r="Z64" i="125"/>
  <c r="AA64" i="125"/>
  <c r="AB64" i="125"/>
  <c r="AC64" i="125"/>
  <c r="AD64" i="125"/>
  <c r="AH64" i="125"/>
  <c r="AI64" i="125"/>
  <c r="AJ64" i="125"/>
  <c r="AK64" i="125"/>
  <c r="AL64" i="125"/>
  <c r="AM64" i="125"/>
  <c r="AN64" i="125"/>
  <c r="AO64" i="125"/>
  <c r="AP64" i="125"/>
  <c r="AQ64" i="125"/>
  <c r="AR64" i="125"/>
  <c r="AS64" i="125"/>
  <c r="AW64" i="125"/>
  <c r="AX64" i="125"/>
  <c r="AY64" i="125"/>
  <c r="AZ64" i="125"/>
  <c r="BA64" i="125"/>
  <c r="BB64" i="125"/>
  <c r="BC64" i="125"/>
  <c r="BD64" i="125"/>
  <c r="BE64" i="125"/>
  <c r="BF64" i="125"/>
  <c r="BG64" i="125"/>
  <c r="BH64" i="125"/>
  <c r="BL64" i="125"/>
  <c r="BM64" i="125"/>
  <c r="BN64" i="125"/>
  <c r="BO64" i="125"/>
  <c r="BP64" i="125"/>
  <c r="BQ64" i="125"/>
  <c r="BR64" i="125"/>
  <c r="BS64" i="125"/>
  <c r="BT64" i="125"/>
  <c r="BU64" i="125"/>
  <c r="BV64" i="125"/>
  <c r="BW64" i="125"/>
  <c r="CA64" i="125"/>
  <c r="CB64" i="125"/>
  <c r="CC64" i="125"/>
  <c r="CD64" i="125"/>
  <c r="CE64" i="125"/>
  <c r="CF64" i="125"/>
  <c r="CG64" i="125"/>
  <c r="CH64" i="125"/>
  <c r="CI64" i="125"/>
  <c r="CJ64" i="125"/>
  <c r="CK64" i="125"/>
  <c r="CL64" i="125"/>
  <c r="D65" i="125"/>
  <c r="E65" i="125"/>
  <c r="F65" i="125"/>
  <c r="G65" i="125"/>
  <c r="H65" i="125"/>
  <c r="I65" i="125"/>
  <c r="J65" i="125"/>
  <c r="K65" i="125"/>
  <c r="L65" i="125"/>
  <c r="M65" i="125"/>
  <c r="N65" i="125"/>
  <c r="O65" i="125"/>
  <c r="S65" i="125"/>
  <c r="T65" i="125"/>
  <c r="U65" i="125"/>
  <c r="V65" i="125"/>
  <c r="W65" i="125"/>
  <c r="X65" i="125"/>
  <c r="Y65" i="125"/>
  <c r="Z65" i="125"/>
  <c r="AA65" i="125"/>
  <c r="AB65" i="125"/>
  <c r="AC65" i="125"/>
  <c r="AD65" i="125"/>
  <c r="AH65" i="125"/>
  <c r="AI65" i="125"/>
  <c r="AJ65" i="125"/>
  <c r="AK65" i="125"/>
  <c r="AL65" i="125"/>
  <c r="AM65" i="125"/>
  <c r="AN65" i="125"/>
  <c r="AO65" i="125"/>
  <c r="AP65" i="125"/>
  <c r="AQ65" i="125"/>
  <c r="AR65" i="125"/>
  <c r="AS65" i="125"/>
  <c r="AW65" i="125"/>
  <c r="AX65" i="125"/>
  <c r="AY65" i="125"/>
  <c r="AZ65" i="125"/>
  <c r="BA65" i="125"/>
  <c r="BB65" i="125"/>
  <c r="BC65" i="125"/>
  <c r="BD65" i="125"/>
  <c r="BE65" i="125"/>
  <c r="BF65" i="125"/>
  <c r="BG65" i="125"/>
  <c r="BH65" i="125"/>
  <c r="BL65" i="125"/>
  <c r="BM65" i="125"/>
  <c r="BN65" i="125"/>
  <c r="BO65" i="125"/>
  <c r="BP65" i="125"/>
  <c r="BQ65" i="125"/>
  <c r="BR65" i="125"/>
  <c r="BS65" i="125"/>
  <c r="BT65" i="125"/>
  <c r="BU65" i="125"/>
  <c r="BV65" i="125"/>
  <c r="BW65" i="125"/>
  <c r="CA65" i="125"/>
  <c r="CB65" i="125"/>
  <c r="CC65" i="125"/>
  <c r="CD65" i="125"/>
  <c r="CE65" i="125"/>
  <c r="CF65" i="125"/>
  <c r="CG65" i="125"/>
  <c r="CH65" i="125"/>
  <c r="CI65" i="125"/>
  <c r="CJ65" i="125"/>
  <c r="CK65" i="125"/>
  <c r="CL65" i="125"/>
  <c r="D66" i="125"/>
  <c r="E66" i="125"/>
  <c r="F66" i="125"/>
  <c r="G66" i="125"/>
  <c r="H66" i="125"/>
  <c r="I66" i="125"/>
  <c r="J66" i="125"/>
  <c r="K66" i="125"/>
  <c r="L66" i="125"/>
  <c r="M66" i="125"/>
  <c r="N66" i="125"/>
  <c r="O66" i="125"/>
  <c r="S66" i="125"/>
  <c r="T66" i="125"/>
  <c r="U66" i="125"/>
  <c r="V66" i="125"/>
  <c r="W66" i="125"/>
  <c r="X66" i="125"/>
  <c r="Y66" i="125"/>
  <c r="Z66" i="125"/>
  <c r="AA66" i="125"/>
  <c r="AB66" i="125"/>
  <c r="AC66" i="125"/>
  <c r="AD66" i="125"/>
  <c r="AH66" i="125"/>
  <c r="AI66" i="125"/>
  <c r="AJ66" i="125"/>
  <c r="AK66" i="125"/>
  <c r="AL66" i="125"/>
  <c r="AM66" i="125"/>
  <c r="AN66" i="125"/>
  <c r="AO66" i="125"/>
  <c r="AP66" i="125"/>
  <c r="AQ66" i="125"/>
  <c r="AR66" i="125"/>
  <c r="AS66" i="125"/>
  <c r="AW66" i="125"/>
  <c r="AX66" i="125"/>
  <c r="AY66" i="125"/>
  <c r="AZ66" i="125"/>
  <c r="BA66" i="125"/>
  <c r="BB66" i="125"/>
  <c r="BC66" i="125"/>
  <c r="BD66" i="125"/>
  <c r="BE66" i="125"/>
  <c r="BF66" i="125"/>
  <c r="BG66" i="125"/>
  <c r="BH66" i="125"/>
  <c r="BL66" i="125"/>
  <c r="BM66" i="125"/>
  <c r="BN66" i="125"/>
  <c r="BO66" i="125"/>
  <c r="BP66" i="125"/>
  <c r="BQ66" i="125"/>
  <c r="BR66" i="125"/>
  <c r="BS66" i="125"/>
  <c r="BT66" i="125"/>
  <c r="BU66" i="125"/>
  <c r="BV66" i="125"/>
  <c r="BW66" i="125"/>
  <c r="CA66" i="125"/>
  <c r="CB66" i="125"/>
  <c r="CC66" i="125"/>
  <c r="CD66" i="125"/>
  <c r="CE66" i="125"/>
  <c r="CF66" i="125"/>
  <c r="CG66" i="125"/>
  <c r="CH66" i="125"/>
  <c r="CI66" i="125"/>
  <c r="CJ66" i="125"/>
  <c r="CK66" i="125"/>
  <c r="CL66" i="125"/>
  <c r="D67" i="125"/>
  <c r="E67" i="125"/>
  <c r="F67" i="125"/>
  <c r="G67" i="125"/>
  <c r="H67" i="125"/>
  <c r="I67" i="125"/>
  <c r="J67" i="125"/>
  <c r="K67" i="125"/>
  <c r="L67" i="125"/>
  <c r="M67" i="125"/>
  <c r="N67" i="125"/>
  <c r="O67" i="125"/>
  <c r="S67" i="125"/>
  <c r="T67" i="125"/>
  <c r="U67" i="125"/>
  <c r="V67" i="125"/>
  <c r="W67" i="125"/>
  <c r="X67" i="125"/>
  <c r="Y67" i="125"/>
  <c r="Z67" i="125"/>
  <c r="AA67" i="125"/>
  <c r="AB67" i="125"/>
  <c r="AC67" i="125"/>
  <c r="AD67" i="125"/>
  <c r="AH67" i="125"/>
  <c r="AI67" i="125"/>
  <c r="AJ67" i="125"/>
  <c r="AK67" i="125"/>
  <c r="AL67" i="125"/>
  <c r="AM67" i="125"/>
  <c r="AN67" i="125"/>
  <c r="AO67" i="125"/>
  <c r="AP67" i="125"/>
  <c r="AQ67" i="125"/>
  <c r="AR67" i="125"/>
  <c r="AS67" i="125"/>
  <c r="AW67" i="125"/>
  <c r="AX67" i="125"/>
  <c r="AY67" i="125"/>
  <c r="AZ67" i="125"/>
  <c r="BA67" i="125"/>
  <c r="BB67" i="125"/>
  <c r="BC67" i="125"/>
  <c r="BD67" i="125"/>
  <c r="BE67" i="125"/>
  <c r="BF67" i="125"/>
  <c r="BG67" i="125"/>
  <c r="BH67" i="125"/>
  <c r="BL67" i="125"/>
  <c r="BM67" i="125"/>
  <c r="BN67" i="125"/>
  <c r="BO67" i="125"/>
  <c r="BP67" i="125"/>
  <c r="BQ67" i="125"/>
  <c r="BR67" i="125"/>
  <c r="BS67" i="125"/>
  <c r="BT67" i="125"/>
  <c r="BU67" i="125"/>
  <c r="BV67" i="125"/>
  <c r="BW67" i="125"/>
  <c r="CA67" i="125"/>
  <c r="CB67" i="125"/>
  <c r="CC67" i="125"/>
  <c r="CD67" i="125"/>
  <c r="CE67" i="125"/>
  <c r="CF67" i="125"/>
  <c r="CG67" i="125"/>
  <c r="CH67" i="125"/>
  <c r="CI67" i="125"/>
  <c r="CJ67" i="125"/>
  <c r="CK67" i="125"/>
  <c r="CL67" i="125"/>
  <c r="D68" i="125"/>
  <c r="E68" i="125"/>
  <c r="F68" i="125"/>
  <c r="G68" i="125"/>
  <c r="H68" i="125"/>
  <c r="I68" i="125"/>
  <c r="J68" i="125"/>
  <c r="K68" i="125"/>
  <c r="L68" i="125"/>
  <c r="M68" i="125"/>
  <c r="N68" i="125"/>
  <c r="O68" i="125"/>
  <c r="S68" i="125"/>
  <c r="T68" i="125"/>
  <c r="U68" i="125"/>
  <c r="V68" i="125"/>
  <c r="W68" i="125"/>
  <c r="X68" i="125"/>
  <c r="Y68" i="125"/>
  <c r="Z68" i="125"/>
  <c r="AA68" i="125"/>
  <c r="AB68" i="125"/>
  <c r="AC68" i="125"/>
  <c r="AD68" i="125"/>
  <c r="AH68" i="125"/>
  <c r="AI68" i="125"/>
  <c r="AJ68" i="125"/>
  <c r="AK68" i="125"/>
  <c r="AL68" i="125"/>
  <c r="AM68" i="125"/>
  <c r="AN68" i="125"/>
  <c r="AO68" i="125"/>
  <c r="AP68" i="125"/>
  <c r="AQ68" i="125"/>
  <c r="AR68" i="125"/>
  <c r="AS68" i="125"/>
  <c r="AW68" i="125"/>
  <c r="AX68" i="125"/>
  <c r="AY68" i="125"/>
  <c r="AZ68" i="125"/>
  <c r="BA68" i="125"/>
  <c r="BB68" i="125"/>
  <c r="BC68" i="125"/>
  <c r="BD68" i="125"/>
  <c r="BE68" i="125"/>
  <c r="BF68" i="125"/>
  <c r="BG68" i="125"/>
  <c r="BH68" i="125"/>
  <c r="BL68" i="125"/>
  <c r="BM68" i="125"/>
  <c r="BN68" i="125"/>
  <c r="BO68" i="125"/>
  <c r="BP68" i="125"/>
  <c r="BQ68" i="125"/>
  <c r="BR68" i="125"/>
  <c r="BS68" i="125"/>
  <c r="BT68" i="125"/>
  <c r="BU68" i="125"/>
  <c r="BV68" i="125"/>
  <c r="BW68" i="125"/>
  <c r="CA68" i="125"/>
  <c r="CB68" i="125"/>
  <c r="CC68" i="125"/>
  <c r="CD68" i="125"/>
  <c r="CE68" i="125"/>
  <c r="CF68" i="125"/>
  <c r="CG68" i="125"/>
  <c r="CH68" i="125"/>
  <c r="CI68" i="125"/>
  <c r="CJ68" i="125"/>
  <c r="CK68" i="125"/>
  <c r="CL68" i="125"/>
  <c r="D69" i="125"/>
  <c r="E69" i="125"/>
  <c r="F69" i="125"/>
  <c r="G69" i="125"/>
  <c r="H69" i="125"/>
  <c r="I69" i="125"/>
  <c r="J69" i="125"/>
  <c r="K69" i="125"/>
  <c r="L69" i="125"/>
  <c r="M69" i="125"/>
  <c r="N69" i="125"/>
  <c r="O69" i="125"/>
  <c r="S69" i="125"/>
  <c r="T69" i="125"/>
  <c r="U69" i="125"/>
  <c r="V69" i="125"/>
  <c r="W69" i="125"/>
  <c r="X69" i="125"/>
  <c r="Y69" i="125"/>
  <c r="Z69" i="125"/>
  <c r="AA69" i="125"/>
  <c r="AB69" i="125"/>
  <c r="AC69" i="125"/>
  <c r="AD69" i="125"/>
  <c r="AH69" i="125"/>
  <c r="AI69" i="125"/>
  <c r="AJ69" i="125"/>
  <c r="AK69" i="125"/>
  <c r="AL69" i="125"/>
  <c r="AM69" i="125"/>
  <c r="AN69" i="125"/>
  <c r="AO69" i="125"/>
  <c r="AP69" i="125"/>
  <c r="AQ69" i="125"/>
  <c r="AR69" i="125"/>
  <c r="AS69" i="125"/>
  <c r="AW69" i="125"/>
  <c r="AX69" i="125"/>
  <c r="AY69" i="125"/>
  <c r="AZ69" i="125"/>
  <c r="BA69" i="125"/>
  <c r="BB69" i="125"/>
  <c r="BC69" i="125"/>
  <c r="BD69" i="125"/>
  <c r="BE69" i="125"/>
  <c r="BF69" i="125"/>
  <c r="BG69" i="125"/>
  <c r="BH69" i="125"/>
  <c r="BL69" i="125"/>
  <c r="BM69" i="125"/>
  <c r="BN69" i="125"/>
  <c r="BO69" i="125"/>
  <c r="BP69" i="125"/>
  <c r="BQ69" i="125"/>
  <c r="BR69" i="125"/>
  <c r="BS69" i="125"/>
  <c r="BT69" i="125"/>
  <c r="BU69" i="125"/>
  <c r="BV69" i="125"/>
  <c r="BW69" i="125"/>
  <c r="CA69" i="125"/>
  <c r="CB69" i="125"/>
  <c r="CC69" i="125"/>
  <c r="CD69" i="125"/>
  <c r="CE69" i="125"/>
  <c r="CF69" i="125"/>
  <c r="CG69" i="125"/>
  <c r="CH69" i="125"/>
  <c r="CI69" i="125"/>
  <c r="CJ69" i="125"/>
  <c r="CK69" i="125"/>
  <c r="CL69" i="125"/>
  <c r="D70" i="125"/>
  <c r="E70" i="125"/>
  <c r="F70" i="125"/>
  <c r="G70" i="125"/>
  <c r="H70" i="125"/>
  <c r="I70" i="125"/>
  <c r="J70" i="125"/>
  <c r="K70" i="125"/>
  <c r="L70" i="125"/>
  <c r="M70" i="125"/>
  <c r="N70" i="125"/>
  <c r="O70" i="125"/>
  <c r="S70" i="125"/>
  <c r="T70" i="125"/>
  <c r="U70" i="125"/>
  <c r="V70" i="125"/>
  <c r="W70" i="125"/>
  <c r="X70" i="125"/>
  <c r="Y70" i="125"/>
  <c r="Z70" i="125"/>
  <c r="AA70" i="125"/>
  <c r="AB70" i="125"/>
  <c r="AC70" i="125"/>
  <c r="AD70" i="125"/>
  <c r="AH70" i="125"/>
  <c r="AI70" i="125"/>
  <c r="AJ70" i="125"/>
  <c r="AK70" i="125"/>
  <c r="AL70" i="125"/>
  <c r="AM70" i="125"/>
  <c r="AN70" i="125"/>
  <c r="AO70" i="125"/>
  <c r="AP70" i="125"/>
  <c r="AQ70" i="125"/>
  <c r="AR70" i="125"/>
  <c r="AS70" i="125"/>
  <c r="AW70" i="125"/>
  <c r="AX70" i="125"/>
  <c r="AY70" i="125"/>
  <c r="AZ70" i="125"/>
  <c r="BA70" i="125"/>
  <c r="BB70" i="125"/>
  <c r="BC70" i="125"/>
  <c r="BD70" i="125"/>
  <c r="BE70" i="125"/>
  <c r="BF70" i="125"/>
  <c r="BG70" i="125"/>
  <c r="BH70" i="125"/>
  <c r="BL70" i="125"/>
  <c r="BM70" i="125"/>
  <c r="BN70" i="125"/>
  <c r="BO70" i="125"/>
  <c r="BP70" i="125"/>
  <c r="BQ70" i="125"/>
  <c r="BR70" i="125"/>
  <c r="BS70" i="125"/>
  <c r="BT70" i="125"/>
  <c r="BU70" i="125"/>
  <c r="BV70" i="125"/>
  <c r="BW70" i="125"/>
  <c r="CA70" i="125"/>
  <c r="CB70" i="125"/>
  <c r="CC70" i="125"/>
  <c r="CD70" i="125"/>
  <c r="CE70" i="125"/>
  <c r="CF70" i="125"/>
  <c r="CG70" i="125"/>
  <c r="CH70" i="125"/>
  <c r="CI70" i="125"/>
  <c r="CJ70" i="125"/>
  <c r="CK70" i="125"/>
  <c r="CL70" i="125"/>
  <c r="D71" i="125"/>
  <c r="E71" i="125"/>
  <c r="F71" i="125"/>
  <c r="G71" i="125"/>
  <c r="H71" i="125"/>
  <c r="I71" i="125"/>
  <c r="J71" i="125"/>
  <c r="K71" i="125"/>
  <c r="L71" i="125"/>
  <c r="M71" i="125"/>
  <c r="N71" i="125"/>
  <c r="O71" i="125"/>
  <c r="S71" i="125"/>
  <c r="T71" i="125"/>
  <c r="U71" i="125"/>
  <c r="V71" i="125"/>
  <c r="W71" i="125"/>
  <c r="X71" i="125"/>
  <c r="Y71" i="125"/>
  <c r="Z71" i="125"/>
  <c r="AA71" i="125"/>
  <c r="AB71" i="125"/>
  <c r="AC71" i="125"/>
  <c r="AD71" i="125"/>
  <c r="AH71" i="125"/>
  <c r="AI71" i="125"/>
  <c r="AJ71" i="125"/>
  <c r="AK71" i="125"/>
  <c r="AL71" i="125"/>
  <c r="AM71" i="125"/>
  <c r="AN71" i="125"/>
  <c r="AO71" i="125"/>
  <c r="AP71" i="125"/>
  <c r="AQ71" i="125"/>
  <c r="AR71" i="125"/>
  <c r="AS71" i="125"/>
  <c r="AW71" i="125"/>
  <c r="AX71" i="125"/>
  <c r="AY71" i="125"/>
  <c r="AZ71" i="125"/>
  <c r="BA71" i="125"/>
  <c r="BB71" i="125"/>
  <c r="BC71" i="125"/>
  <c r="BD71" i="125"/>
  <c r="BE71" i="125"/>
  <c r="BF71" i="125"/>
  <c r="BG71" i="125"/>
  <c r="BH71" i="125"/>
  <c r="BL71" i="125"/>
  <c r="BM71" i="125"/>
  <c r="BN71" i="125"/>
  <c r="BO71" i="125"/>
  <c r="BP71" i="125"/>
  <c r="BQ71" i="125"/>
  <c r="BR71" i="125"/>
  <c r="BS71" i="125"/>
  <c r="BT71" i="125"/>
  <c r="BU71" i="125"/>
  <c r="BV71" i="125"/>
  <c r="BW71" i="125"/>
  <c r="CA71" i="125"/>
  <c r="CB71" i="125"/>
  <c r="CC71" i="125"/>
  <c r="CD71" i="125"/>
  <c r="CE71" i="125"/>
  <c r="CF71" i="125"/>
  <c r="CG71" i="125"/>
  <c r="CH71" i="125"/>
  <c r="CI71" i="125"/>
  <c r="CJ71" i="125"/>
  <c r="CK71" i="125"/>
  <c r="CL71" i="125"/>
  <c r="D72" i="125"/>
  <c r="E72" i="125"/>
  <c r="F72" i="125"/>
  <c r="G72" i="125"/>
  <c r="H72" i="125"/>
  <c r="I72" i="125"/>
  <c r="J72" i="125"/>
  <c r="K72" i="125"/>
  <c r="L72" i="125"/>
  <c r="M72" i="125"/>
  <c r="N72" i="125"/>
  <c r="O72" i="125"/>
  <c r="S72" i="125"/>
  <c r="T72" i="125"/>
  <c r="U72" i="125"/>
  <c r="V72" i="125"/>
  <c r="W72" i="125"/>
  <c r="X72" i="125"/>
  <c r="Y72" i="125"/>
  <c r="Z72" i="125"/>
  <c r="AA72" i="125"/>
  <c r="AB72" i="125"/>
  <c r="AC72" i="125"/>
  <c r="AD72" i="125"/>
  <c r="AH72" i="125"/>
  <c r="AI72" i="125"/>
  <c r="AJ72" i="125"/>
  <c r="AK72" i="125"/>
  <c r="AL72" i="125"/>
  <c r="AM72" i="125"/>
  <c r="AN72" i="125"/>
  <c r="AO72" i="125"/>
  <c r="AP72" i="125"/>
  <c r="AQ72" i="125"/>
  <c r="AR72" i="125"/>
  <c r="AS72" i="125"/>
  <c r="AW72" i="125"/>
  <c r="AX72" i="125"/>
  <c r="AY72" i="125"/>
  <c r="AZ72" i="125"/>
  <c r="BA72" i="125"/>
  <c r="BB72" i="125"/>
  <c r="BC72" i="125"/>
  <c r="BD72" i="125"/>
  <c r="BE72" i="125"/>
  <c r="BF72" i="125"/>
  <c r="BG72" i="125"/>
  <c r="BH72" i="125"/>
  <c r="BL72" i="125"/>
  <c r="BM72" i="125"/>
  <c r="BN72" i="125"/>
  <c r="BO72" i="125"/>
  <c r="BP72" i="125"/>
  <c r="BQ72" i="125"/>
  <c r="BR72" i="125"/>
  <c r="BS72" i="125"/>
  <c r="BT72" i="125"/>
  <c r="BU72" i="125"/>
  <c r="BV72" i="125"/>
  <c r="BW72" i="125"/>
  <c r="CA72" i="125"/>
  <c r="CB72" i="125"/>
  <c r="CC72" i="125"/>
  <c r="CD72" i="125"/>
  <c r="CE72" i="125"/>
  <c r="CF72" i="125"/>
  <c r="CG72" i="125"/>
  <c r="CH72" i="125"/>
  <c r="CI72" i="125"/>
  <c r="CJ72" i="125"/>
  <c r="CK72" i="125"/>
  <c r="CL72" i="125"/>
  <c r="D73" i="125"/>
  <c r="E73" i="125"/>
  <c r="F73" i="125"/>
  <c r="G73" i="125"/>
  <c r="H73" i="125"/>
  <c r="I73" i="125"/>
  <c r="J73" i="125"/>
  <c r="K73" i="125"/>
  <c r="L73" i="125"/>
  <c r="M73" i="125"/>
  <c r="N73" i="125"/>
  <c r="O73" i="125"/>
  <c r="S73" i="125"/>
  <c r="T73" i="125"/>
  <c r="U73" i="125"/>
  <c r="V73" i="125"/>
  <c r="W73" i="125"/>
  <c r="X73" i="125"/>
  <c r="Y73" i="125"/>
  <c r="Z73" i="125"/>
  <c r="AA73" i="125"/>
  <c r="AB73" i="125"/>
  <c r="AC73" i="125"/>
  <c r="AD73" i="125"/>
  <c r="AH73" i="125"/>
  <c r="AI73" i="125"/>
  <c r="AJ73" i="125"/>
  <c r="AK73" i="125"/>
  <c r="AL73" i="125"/>
  <c r="AM73" i="125"/>
  <c r="AN73" i="125"/>
  <c r="AO73" i="125"/>
  <c r="AP73" i="125"/>
  <c r="AQ73" i="125"/>
  <c r="AR73" i="125"/>
  <c r="AS73" i="125"/>
  <c r="AW73" i="125"/>
  <c r="AX73" i="125"/>
  <c r="AY73" i="125"/>
  <c r="AZ73" i="125"/>
  <c r="BA73" i="125"/>
  <c r="BB73" i="125"/>
  <c r="BC73" i="125"/>
  <c r="BD73" i="125"/>
  <c r="BE73" i="125"/>
  <c r="BF73" i="125"/>
  <c r="BG73" i="125"/>
  <c r="BH73" i="125"/>
  <c r="BL73" i="125"/>
  <c r="BM73" i="125"/>
  <c r="BN73" i="125"/>
  <c r="BO73" i="125"/>
  <c r="BP73" i="125"/>
  <c r="BQ73" i="125"/>
  <c r="BR73" i="125"/>
  <c r="BS73" i="125"/>
  <c r="BT73" i="125"/>
  <c r="BU73" i="125"/>
  <c r="BV73" i="125"/>
  <c r="BW73" i="125"/>
  <c r="CA73" i="125"/>
  <c r="CB73" i="125"/>
  <c r="CC73" i="125"/>
  <c r="CD73" i="125"/>
  <c r="CE73" i="125"/>
  <c r="CF73" i="125"/>
  <c r="CG73" i="125"/>
  <c r="CH73" i="125"/>
  <c r="CI73" i="125"/>
  <c r="CJ73" i="125"/>
  <c r="CK73" i="125"/>
  <c r="CL73" i="125"/>
  <c r="D74" i="125"/>
  <c r="E74" i="125"/>
  <c r="F74" i="125"/>
  <c r="G74" i="125"/>
  <c r="H74" i="125"/>
  <c r="I74" i="125"/>
  <c r="J74" i="125"/>
  <c r="K74" i="125"/>
  <c r="L74" i="125"/>
  <c r="M74" i="125"/>
  <c r="N74" i="125"/>
  <c r="O74" i="125"/>
  <c r="S74" i="125"/>
  <c r="T74" i="125"/>
  <c r="U74" i="125"/>
  <c r="V74" i="125"/>
  <c r="W74" i="125"/>
  <c r="X74" i="125"/>
  <c r="Y74" i="125"/>
  <c r="Z74" i="125"/>
  <c r="AA74" i="125"/>
  <c r="AB74" i="125"/>
  <c r="AC74" i="125"/>
  <c r="AD74" i="125"/>
  <c r="AH74" i="125"/>
  <c r="AI74" i="125"/>
  <c r="AJ74" i="125"/>
  <c r="AK74" i="125"/>
  <c r="AL74" i="125"/>
  <c r="AM74" i="125"/>
  <c r="AN74" i="125"/>
  <c r="AO74" i="125"/>
  <c r="AP74" i="125"/>
  <c r="AQ74" i="125"/>
  <c r="AR74" i="125"/>
  <c r="AS74" i="125"/>
  <c r="AW74" i="125"/>
  <c r="AX74" i="125"/>
  <c r="AY74" i="125"/>
  <c r="AZ74" i="125"/>
  <c r="BA74" i="125"/>
  <c r="BB74" i="125"/>
  <c r="BC74" i="125"/>
  <c r="BD74" i="125"/>
  <c r="BE74" i="125"/>
  <c r="BF74" i="125"/>
  <c r="BG74" i="125"/>
  <c r="BH74" i="125"/>
  <c r="BL74" i="125"/>
  <c r="BM74" i="125"/>
  <c r="BN74" i="125"/>
  <c r="BO74" i="125"/>
  <c r="BP74" i="125"/>
  <c r="BQ74" i="125"/>
  <c r="BR74" i="125"/>
  <c r="BS74" i="125"/>
  <c r="BT74" i="125"/>
  <c r="BU74" i="125"/>
  <c r="BV74" i="125"/>
  <c r="BW74" i="125"/>
  <c r="CA74" i="125"/>
  <c r="CB74" i="125"/>
  <c r="CC74" i="125"/>
  <c r="CD74" i="125"/>
  <c r="CE74" i="125"/>
  <c r="CF74" i="125"/>
  <c r="CG74" i="125"/>
  <c r="CH74" i="125"/>
  <c r="CI74" i="125"/>
  <c r="CJ74" i="125"/>
  <c r="CK74" i="125"/>
  <c r="CL74" i="125"/>
  <c r="D75" i="125"/>
  <c r="E75" i="125"/>
  <c r="F75" i="125"/>
  <c r="G75" i="125"/>
  <c r="H75" i="125"/>
  <c r="I75" i="125"/>
  <c r="J75" i="125"/>
  <c r="K75" i="125"/>
  <c r="L75" i="125"/>
  <c r="M75" i="125"/>
  <c r="N75" i="125"/>
  <c r="O75" i="125"/>
  <c r="S75" i="125"/>
  <c r="T75" i="125"/>
  <c r="U75" i="125"/>
  <c r="V75" i="125"/>
  <c r="W75" i="125"/>
  <c r="X75" i="125"/>
  <c r="Y75" i="125"/>
  <c r="Z75" i="125"/>
  <c r="AA75" i="125"/>
  <c r="AB75" i="125"/>
  <c r="AC75" i="125"/>
  <c r="AD75" i="125"/>
  <c r="AH75" i="125"/>
  <c r="AI75" i="125"/>
  <c r="AJ75" i="125"/>
  <c r="AK75" i="125"/>
  <c r="AL75" i="125"/>
  <c r="AM75" i="125"/>
  <c r="AN75" i="125"/>
  <c r="AO75" i="125"/>
  <c r="AP75" i="125"/>
  <c r="AQ75" i="125"/>
  <c r="AR75" i="125"/>
  <c r="AS75" i="125"/>
  <c r="AW75" i="125"/>
  <c r="AX75" i="125"/>
  <c r="AY75" i="125"/>
  <c r="AZ75" i="125"/>
  <c r="BA75" i="125"/>
  <c r="BB75" i="125"/>
  <c r="BC75" i="125"/>
  <c r="BD75" i="125"/>
  <c r="BE75" i="125"/>
  <c r="BF75" i="125"/>
  <c r="BG75" i="125"/>
  <c r="BH75" i="125"/>
  <c r="BL75" i="125"/>
  <c r="BM75" i="125"/>
  <c r="BN75" i="125"/>
  <c r="BO75" i="125"/>
  <c r="BP75" i="125"/>
  <c r="BQ75" i="125"/>
  <c r="BR75" i="125"/>
  <c r="BS75" i="125"/>
  <c r="BT75" i="125"/>
  <c r="BU75" i="125"/>
  <c r="BV75" i="125"/>
  <c r="BW75" i="125"/>
  <c r="CA75" i="125"/>
  <c r="CB75" i="125"/>
  <c r="CC75" i="125"/>
  <c r="CD75" i="125"/>
  <c r="CE75" i="125"/>
  <c r="CF75" i="125"/>
  <c r="CG75" i="125"/>
  <c r="CH75" i="125"/>
  <c r="CI75" i="125"/>
  <c r="CJ75" i="125"/>
  <c r="CK75" i="125"/>
  <c r="CL75" i="125"/>
  <c r="D76" i="125"/>
  <c r="E76" i="125"/>
  <c r="F76" i="125"/>
  <c r="G76" i="125"/>
  <c r="H76" i="125"/>
  <c r="I76" i="125"/>
  <c r="J76" i="125"/>
  <c r="K76" i="125"/>
  <c r="L76" i="125"/>
  <c r="M76" i="125"/>
  <c r="N76" i="125"/>
  <c r="O76" i="125"/>
  <c r="S76" i="125"/>
  <c r="T76" i="125"/>
  <c r="U76" i="125"/>
  <c r="V76" i="125"/>
  <c r="W76" i="125"/>
  <c r="X76" i="125"/>
  <c r="Y76" i="125"/>
  <c r="Z76" i="125"/>
  <c r="AA76" i="125"/>
  <c r="AB76" i="125"/>
  <c r="AC76" i="125"/>
  <c r="AD76" i="125"/>
  <c r="AH76" i="125"/>
  <c r="AI76" i="125"/>
  <c r="AJ76" i="125"/>
  <c r="AK76" i="125"/>
  <c r="AL76" i="125"/>
  <c r="AM76" i="125"/>
  <c r="AN76" i="125"/>
  <c r="AO76" i="125"/>
  <c r="AP76" i="125"/>
  <c r="AQ76" i="125"/>
  <c r="AR76" i="125"/>
  <c r="AS76" i="125"/>
  <c r="AW76" i="125"/>
  <c r="AX76" i="125"/>
  <c r="AY76" i="125"/>
  <c r="AZ76" i="125"/>
  <c r="BA76" i="125"/>
  <c r="BB76" i="125"/>
  <c r="BC76" i="125"/>
  <c r="BD76" i="125"/>
  <c r="BE76" i="125"/>
  <c r="BF76" i="125"/>
  <c r="BG76" i="125"/>
  <c r="BH76" i="125"/>
  <c r="BL76" i="125"/>
  <c r="BM76" i="125"/>
  <c r="BN76" i="125"/>
  <c r="BO76" i="125"/>
  <c r="BP76" i="125"/>
  <c r="BQ76" i="125"/>
  <c r="BR76" i="125"/>
  <c r="BS76" i="125"/>
  <c r="BT76" i="125"/>
  <c r="BU76" i="125"/>
  <c r="BV76" i="125"/>
  <c r="BW76" i="125"/>
  <c r="CA76" i="125"/>
  <c r="CB76" i="125"/>
  <c r="CC76" i="125"/>
  <c r="CD76" i="125"/>
  <c r="CE76" i="125"/>
  <c r="CF76" i="125"/>
  <c r="CG76" i="125"/>
  <c r="CH76" i="125"/>
  <c r="CI76" i="125"/>
  <c r="CJ76" i="125"/>
  <c r="CK76" i="125"/>
  <c r="CL76" i="125"/>
  <c r="D77" i="125"/>
  <c r="E77" i="125"/>
  <c r="F77" i="125"/>
  <c r="G77" i="125"/>
  <c r="H77" i="125"/>
  <c r="I77" i="125"/>
  <c r="J77" i="125"/>
  <c r="K77" i="125"/>
  <c r="L77" i="125"/>
  <c r="M77" i="125"/>
  <c r="N77" i="125"/>
  <c r="O77" i="125"/>
  <c r="S77" i="125"/>
  <c r="T77" i="125"/>
  <c r="U77" i="125"/>
  <c r="V77" i="125"/>
  <c r="W77" i="125"/>
  <c r="X77" i="125"/>
  <c r="Y77" i="125"/>
  <c r="Z77" i="125"/>
  <c r="AA77" i="125"/>
  <c r="AB77" i="125"/>
  <c r="AC77" i="125"/>
  <c r="AD77" i="125"/>
  <c r="AH77" i="125"/>
  <c r="AI77" i="125"/>
  <c r="AJ77" i="125"/>
  <c r="AK77" i="125"/>
  <c r="AL77" i="125"/>
  <c r="AM77" i="125"/>
  <c r="AN77" i="125"/>
  <c r="AO77" i="125"/>
  <c r="AP77" i="125"/>
  <c r="AQ77" i="125"/>
  <c r="AR77" i="125"/>
  <c r="AS77" i="125"/>
  <c r="AW77" i="125"/>
  <c r="AX77" i="125"/>
  <c r="AY77" i="125"/>
  <c r="AZ77" i="125"/>
  <c r="BA77" i="125"/>
  <c r="BB77" i="125"/>
  <c r="BC77" i="125"/>
  <c r="BD77" i="125"/>
  <c r="BE77" i="125"/>
  <c r="BF77" i="125"/>
  <c r="BG77" i="125"/>
  <c r="BH77" i="125"/>
  <c r="BL77" i="125"/>
  <c r="BM77" i="125"/>
  <c r="BN77" i="125"/>
  <c r="BO77" i="125"/>
  <c r="BP77" i="125"/>
  <c r="BQ77" i="125"/>
  <c r="BR77" i="125"/>
  <c r="BS77" i="125"/>
  <c r="BT77" i="125"/>
  <c r="BU77" i="125"/>
  <c r="BV77" i="125"/>
  <c r="BW77" i="125"/>
  <c r="CA77" i="125"/>
  <c r="CB77" i="125"/>
  <c r="CC77" i="125"/>
  <c r="CD77" i="125"/>
  <c r="CE77" i="125"/>
  <c r="CF77" i="125"/>
  <c r="CG77" i="125"/>
  <c r="CH77" i="125"/>
  <c r="CI77" i="125"/>
  <c r="CJ77" i="125"/>
  <c r="CK77" i="125"/>
  <c r="CL77" i="125"/>
  <c r="D78" i="125"/>
  <c r="E78" i="125"/>
  <c r="F78" i="125"/>
  <c r="G78" i="125"/>
  <c r="H78" i="125"/>
  <c r="I78" i="125"/>
  <c r="J78" i="125"/>
  <c r="K78" i="125"/>
  <c r="L78" i="125"/>
  <c r="M78" i="125"/>
  <c r="N78" i="125"/>
  <c r="O78" i="125"/>
  <c r="S78" i="125"/>
  <c r="T78" i="125"/>
  <c r="U78" i="125"/>
  <c r="V78" i="125"/>
  <c r="W78" i="125"/>
  <c r="X78" i="125"/>
  <c r="Y78" i="125"/>
  <c r="Z78" i="125"/>
  <c r="AA78" i="125"/>
  <c r="AB78" i="125"/>
  <c r="AC78" i="125"/>
  <c r="AD78" i="125"/>
  <c r="AH78" i="125"/>
  <c r="AI78" i="125"/>
  <c r="AJ78" i="125"/>
  <c r="AK78" i="125"/>
  <c r="AL78" i="125"/>
  <c r="AM78" i="125"/>
  <c r="AN78" i="125"/>
  <c r="AO78" i="125"/>
  <c r="AP78" i="125"/>
  <c r="AQ78" i="125"/>
  <c r="AR78" i="125"/>
  <c r="AS78" i="125"/>
  <c r="AW78" i="125"/>
  <c r="AX78" i="125"/>
  <c r="AY78" i="125"/>
  <c r="AZ78" i="125"/>
  <c r="BA78" i="125"/>
  <c r="BB78" i="125"/>
  <c r="BC78" i="125"/>
  <c r="BD78" i="125"/>
  <c r="BE78" i="125"/>
  <c r="BF78" i="125"/>
  <c r="BG78" i="125"/>
  <c r="BH78" i="125"/>
  <c r="BL78" i="125"/>
  <c r="BM78" i="125"/>
  <c r="BN78" i="125"/>
  <c r="BO78" i="125"/>
  <c r="BP78" i="125"/>
  <c r="BQ78" i="125"/>
  <c r="BR78" i="125"/>
  <c r="BS78" i="125"/>
  <c r="BT78" i="125"/>
  <c r="BU78" i="125"/>
  <c r="BV78" i="125"/>
  <c r="BW78" i="125"/>
  <c r="CA78" i="125"/>
  <c r="CB78" i="125"/>
  <c r="CC78" i="125"/>
  <c r="CD78" i="125"/>
  <c r="CE78" i="125"/>
  <c r="CF78" i="125"/>
  <c r="CG78" i="125"/>
  <c r="CH78" i="125"/>
  <c r="CI78" i="125"/>
  <c r="CJ78" i="125"/>
  <c r="CK78" i="125"/>
  <c r="CL78" i="125"/>
  <c r="D79" i="125"/>
  <c r="E79" i="125"/>
  <c r="F79" i="125"/>
  <c r="G79" i="125"/>
  <c r="H79" i="125"/>
  <c r="I79" i="125"/>
  <c r="J79" i="125"/>
  <c r="K79" i="125"/>
  <c r="L79" i="125"/>
  <c r="M79" i="125"/>
  <c r="N79" i="125"/>
  <c r="O79" i="125"/>
  <c r="S79" i="125"/>
  <c r="T79" i="125"/>
  <c r="U79" i="125"/>
  <c r="V79" i="125"/>
  <c r="W79" i="125"/>
  <c r="X79" i="125"/>
  <c r="Y79" i="125"/>
  <c r="Z79" i="125"/>
  <c r="AA79" i="125"/>
  <c r="AB79" i="125"/>
  <c r="AC79" i="125"/>
  <c r="AD79" i="125"/>
  <c r="AH79" i="125"/>
  <c r="AI79" i="125"/>
  <c r="AJ79" i="125"/>
  <c r="AK79" i="125"/>
  <c r="AL79" i="125"/>
  <c r="AM79" i="125"/>
  <c r="AN79" i="125"/>
  <c r="AO79" i="125"/>
  <c r="AP79" i="125"/>
  <c r="AQ79" i="125"/>
  <c r="AR79" i="125"/>
  <c r="AS79" i="125"/>
  <c r="AW79" i="125"/>
  <c r="AX79" i="125"/>
  <c r="AY79" i="125"/>
  <c r="AZ79" i="125"/>
  <c r="BA79" i="125"/>
  <c r="BB79" i="125"/>
  <c r="BC79" i="125"/>
  <c r="BD79" i="125"/>
  <c r="BE79" i="125"/>
  <c r="BF79" i="125"/>
  <c r="BG79" i="125"/>
  <c r="BH79" i="125"/>
  <c r="BL79" i="125"/>
  <c r="BM79" i="125"/>
  <c r="BN79" i="125"/>
  <c r="BO79" i="125"/>
  <c r="BP79" i="125"/>
  <c r="BQ79" i="125"/>
  <c r="BR79" i="125"/>
  <c r="BS79" i="125"/>
  <c r="BT79" i="125"/>
  <c r="BU79" i="125"/>
  <c r="BV79" i="125"/>
  <c r="BW79" i="125"/>
  <c r="CA79" i="125"/>
  <c r="CB79" i="125"/>
  <c r="CC79" i="125"/>
  <c r="CD79" i="125"/>
  <c r="CE79" i="125"/>
  <c r="CF79" i="125"/>
  <c r="CG79" i="125"/>
  <c r="CH79" i="125"/>
  <c r="CI79" i="125"/>
  <c r="CJ79" i="125"/>
  <c r="CK79" i="125"/>
  <c r="CL79" i="125"/>
  <c r="D80" i="125"/>
  <c r="E80" i="125"/>
  <c r="F80" i="125"/>
  <c r="G80" i="125"/>
  <c r="H80" i="125"/>
  <c r="I80" i="125"/>
  <c r="J80" i="125"/>
  <c r="K80" i="125"/>
  <c r="L80" i="125"/>
  <c r="M80" i="125"/>
  <c r="N80" i="125"/>
  <c r="O80" i="125"/>
  <c r="S80" i="125"/>
  <c r="T80" i="125"/>
  <c r="U80" i="125"/>
  <c r="V80" i="125"/>
  <c r="W80" i="125"/>
  <c r="X80" i="125"/>
  <c r="Y80" i="125"/>
  <c r="Z80" i="125"/>
  <c r="AA80" i="125"/>
  <c r="AB80" i="125"/>
  <c r="AC80" i="125"/>
  <c r="AD80" i="125"/>
  <c r="AH80" i="125"/>
  <c r="AI80" i="125"/>
  <c r="AJ80" i="125"/>
  <c r="AK80" i="125"/>
  <c r="AL80" i="125"/>
  <c r="AM80" i="125"/>
  <c r="AN80" i="125"/>
  <c r="AO80" i="125"/>
  <c r="AP80" i="125"/>
  <c r="AQ80" i="125"/>
  <c r="AR80" i="125"/>
  <c r="AS80" i="125"/>
  <c r="AW80" i="125"/>
  <c r="AX80" i="125"/>
  <c r="AY80" i="125"/>
  <c r="AZ80" i="125"/>
  <c r="BA80" i="125"/>
  <c r="BB80" i="125"/>
  <c r="BC80" i="125"/>
  <c r="BD80" i="125"/>
  <c r="BE80" i="125"/>
  <c r="BF80" i="125"/>
  <c r="BG80" i="125"/>
  <c r="BH80" i="125"/>
  <c r="BL80" i="125"/>
  <c r="BM80" i="125"/>
  <c r="BN80" i="125"/>
  <c r="BO80" i="125"/>
  <c r="BP80" i="125"/>
  <c r="BQ80" i="125"/>
  <c r="BR80" i="125"/>
  <c r="BS80" i="125"/>
  <c r="BT80" i="125"/>
  <c r="BU80" i="125"/>
  <c r="BV80" i="125"/>
  <c r="BW80" i="125"/>
  <c r="CA80" i="125"/>
  <c r="CB80" i="125"/>
  <c r="CC80" i="125"/>
  <c r="CD80" i="125"/>
  <c r="CE80" i="125"/>
  <c r="CF80" i="125"/>
  <c r="CG80" i="125"/>
  <c r="CH80" i="125"/>
  <c r="CI80" i="125"/>
  <c r="CJ80" i="125"/>
  <c r="CK80" i="125"/>
  <c r="CL80" i="125"/>
  <c r="D81" i="125"/>
  <c r="E81" i="125"/>
  <c r="F81" i="125"/>
  <c r="G81" i="125"/>
  <c r="H81" i="125"/>
  <c r="I81" i="125"/>
  <c r="J81" i="125"/>
  <c r="K81" i="125"/>
  <c r="L81" i="125"/>
  <c r="M81" i="125"/>
  <c r="N81" i="125"/>
  <c r="O81" i="125"/>
  <c r="S81" i="125"/>
  <c r="T81" i="125"/>
  <c r="U81" i="125"/>
  <c r="V81" i="125"/>
  <c r="W81" i="125"/>
  <c r="X81" i="125"/>
  <c r="Y81" i="125"/>
  <c r="Z81" i="125"/>
  <c r="AA81" i="125"/>
  <c r="AB81" i="125"/>
  <c r="AC81" i="125"/>
  <c r="AD81" i="125"/>
  <c r="AH81" i="125"/>
  <c r="AI81" i="125"/>
  <c r="AJ81" i="125"/>
  <c r="AK81" i="125"/>
  <c r="AL81" i="125"/>
  <c r="AM81" i="125"/>
  <c r="AN81" i="125"/>
  <c r="AO81" i="125"/>
  <c r="AP81" i="125"/>
  <c r="AQ81" i="125"/>
  <c r="AR81" i="125"/>
  <c r="AS81" i="125"/>
  <c r="AW81" i="125"/>
  <c r="AX81" i="125"/>
  <c r="AY81" i="125"/>
  <c r="AZ81" i="125"/>
  <c r="BA81" i="125"/>
  <c r="BB81" i="125"/>
  <c r="BC81" i="125"/>
  <c r="BD81" i="125"/>
  <c r="BE81" i="125"/>
  <c r="BF81" i="125"/>
  <c r="BG81" i="125"/>
  <c r="BH81" i="125"/>
  <c r="BL81" i="125"/>
  <c r="BM81" i="125"/>
  <c r="BN81" i="125"/>
  <c r="BO81" i="125"/>
  <c r="BP81" i="125"/>
  <c r="BQ81" i="125"/>
  <c r="BR81" i="125"/>
  <c r="BS81" i="125"/>
  <c r="BT81" i="125"/>
  <c r="BU81" i="125"/>
  <c r="BV81" i="125"/>
  <c r="BW81" i="125"/>
  <c r="CA81" i="125"/>
  <c r="CB81" i="125"/>
  <c r="CC81" i="125"/>
  <c r="CD81" i="125"/>
  <c r="CE81" i="125"/>
  <c r="CF81" i="125"/>
  <c r="CG81" i="125"/>
  <c r="CH81" i="125"/>
  <c r="CI81" i="125"/>
  <c r="CJ81" i="125"/>
  <c r="CK81" i="125"/>
  <c r="CL81" i="125"/>
  <c r="D82" i="125"/>
  <c r="E82" i="125"/>
  <c r="F82" i="125"/>
  <c r="G82" i="125"/>
  <c r="H82" i="125"/>
  <c r="I82" i="125"/>
  <c r="J82" i="125"/>
  <c r="K82" i="125"/>
  <c r="L82" i="125"/>
  <c r="M82" i="125"/>
  <c r="N82" i="125"/>
  <c r="O82" i="125"/>
  <c r="S82" i="125"/>
  <c r="T82" i="125"/>
  <c r="U82" i="125"/>
  <c r="V82" i="125"/>
  <c r="W82" i="125"/>
  <c r="X82" i="125"/>
  <c r="Y82" i="125"/>
  <c r="Z82" i="125"/>
  <c r="AA82" i="125"/>
  <c r="AB82" i="125"/>
  <c r="AC82" i="125"/>
  <c r="AD82" i="125"/>
  <c r="AH82" i="125"/>
  <c r="AI82" i="125"/>
  <c r="AJ82" i="125"/>
  <c r="AK82" i="125"/>
  <c r="AL82" i="125"/>
  <c r="AM82" i="125"/>
  <c r="AN82" i="125"/>
  <c r="AO82" i="125"/>
  <c r="AP82" i="125"/>
  <c r="AQ82" i="125"/>
  <c r="AR82" i="125"/>
  <c r="AS82" i="125"/>
  <c r="AW82" i="125"/>
  <c r="AX82" i="125"/>
  <c r="AY82" i="125"/>
  <c r="AZ82" i="125"/>
  <c r="BA82" i="125"/>
  <c r="BB82" i="125"/>
  <c r="BC82" i="125"/>
  <c r="BD82" i="125"/>
  <c r="BE82" i="125"/>
  <c r="BF82" i="125"/>
  <c r="BG82" i="125"/>
  <c r="BH82" i="125"/>
  <c r="BL82" i="125"/>
  <c r="BM82" i="125"/>
  <c r="BN82" i="125"/>
  <c r="BO82" i="125"/>
  <c r="BP82" i="125"/>
  <c r="BQ82" i="125"/>
  <c r="BR82" i="125"/>
  <c r="BS82" i="125"/>
  <c r="BT82" i="125"/>
  <c r="BU82" i="125"/>
  <c r="BV82" i="125"/>
  <c r="BW82" i="125"/>
  <c r="CA82" i="125"/>
  <c r="CB82" i="125"/>
  <c r="CC82" i="125"/>
  <c r="CD82" i="125"/>
  <c r="CE82" i="125"/>
  <c r="CF82" i="125"/>
  <c r="CG82" i="125"/>
  <c r="CH82" i="125"/>
  <c r="CI82" i="125"/>
  <c r="CJ82" i="125"/>
  <c r="CK82" i="125"/>
  <c r="CL82" i="125"/>
  <c r="D83" i="125"/>
  <c r="E83" i="125"/>
  <c r="F83" i="125"/>
  <c r="G83" i="125"/>
  <c r="H83" i="125"/>
  <c r="I83" i="125"/>
  <c r="J83" i="125"/>
  <c r="K83" i="125"/>
  <c r="L83" i="125"/>
  <c r="M83" i="125"/>
  <c r="N83" i="125"/>
  <c r="O83" i="125"/>
  <c r="S83" i="125"/>
  <c r="T83" i="125"/>
  <c r="U83" i="125"/>
  <c r="V83" i="125"/>
  <c r="W83" i="125"/>
  <c r="X83" i="125"/>
  <c r="Y83" i="125"/>
  <c r="Z83" i="125"/>
  <c r="AA83" i="125"/>
  <c r="AB83" i="125"/>
  <c r="AC83" i="125"/>
  <c r="AD83" i="125"/>
  <c r="AH83" i="125"/>
  <c r="AI83" i="125"/>
  <c r="AJ83" i="125"/>
  <c r="AK83" i="125"/>
  <c r="AL83" i="125"/>
  <c r="AM83" i="125"/>
  <c r="AN83" i="125"/>
  <c r="AO83" i="125"/>
  <c r="AP83" i="125"/>
  <c r="AQ83" i="125"/>
  <c r="AR83" i="125"/>
  <c r="AS83" i="125"/>
  <c r="AW83" i="125"/>
  <c r="AX83" i="125"/>
  <c r="AY83" i="125"/>
  <c r="AZ83" i="125"/>
  <c r="BA83" i="125"/>
  <c r="BB83" i="125"/>
  <c r="BC83" i="125"/>
  <c r="BD83" i="125"/>
  <c r="BE83" i="125"/>
  <c r="BF83" i="125"/>
  <c r="BG83" i="125"/>
  <c r="BH83" i="125"/>
  <c r="BL83" i="125"/>
  <c r="BM83" i="125"/>
  <c r="BN83" i="125"/>
  <c r="BO83" i="125"/>
  <c r="BP83" i="125"/>
  <c r="BQ83" i="125"/>
  <c r="BR83" i="125"/>
  <c r="BS83" i="125"/>
  <c r="BT83" i="125"/>
  <c r="BU83" i="125"/>
  <c r="BV83" i="125"/>
  <c r="BW83" i="125"/>
  <c r="CA83" i="125"/>
  <c r="CB83" i="125"/>
  <c r="CC83" i="125"/>
  <c r="CD83" i="125"/>
  <c r="CE83" i="125"/>
  <c r="CF83" i="125"/>
  <c r="CG83" i="125"/>
  <c r="CH83" i="125"/>
  <c r="CI83" i="125"/>
  <c r="CJ83" i="125"/>
  <c r="CK83" i="125"/>
  <c r="CL83" i="125"/>
  <c r="D84" i="125"/>
  <c r="E84" i="125"/>
  <c r="F84" i="125"/>
  <c r="G84" i="125"/>
  <c r="H84" i="125"/>
  <c r="I84" i="125"/>
  <c r="J84" i="125"/>
  <c r="K84" i="125"/>
  <c r="L84" i="125"/>
  <c r="M84" i="125"/>
  <c r="N84" i="125"/>
  <c r="O84" i="125"/>
  <c r="S84" i="125"/>
  <c r="T84" i="125"/>
  <c r="U84" i="125"/>
  <c r="V84" i="125"/>
  <c r="W84" i="125"/>
  <c r="X84" i="125"/>
  <c r="Y84" i="125"/>
  <c r="Z84" i="125"/>
  <c r="AA84" i="125"/>
  <c r="AB84" i="125"/>
  <c r="AC84" i="125"/>
  <c r="AD84" i="125"/>
  <c r="AH84" i="125"/>
  <c r="AI84" i="125"/>
  <c r="AJ84" i="125"/>
  <c r="AK84" i="125"/>
  <c r="AL84" i="125"/>
  <c r="AM84" i="125"/>
  <c r="AN84" i="125"/>
  <c r="AO84" i="125"/>
  <c r="AP84" i="125"/>
  <c r="AQ84" i="125"/>
  <c r="AR84" i="125"/>
  <c r="AS84" i="125"/>
  <c r="AW84" i="125"/>
  <c r="AX84" i="125"/>
  <c r="AY84" i="125"/>
  <c r="AZ84" i="125"/>
  <c r="BA84" i="125"/>
  <c r="BB84" i="125"/>
  <c r="BC84" i="125"/>
  <c r="BD84" i="125"/>
  <c r="BE84" i="125"/>
  <c r="BF84" i="125"/>
  <c r="BG84" i="125"/>
  <c r="BH84" i="125"/>
  <c r="BL84" i="125"/>
  <c r="BM84" i="125"/>
  <c r="BN84" i="125"/>
  <c r="BO84" i="125"/>
  <c r="BP84" i="125"/>
  <c r="BQ84" i="125"/>
  <c r="BR84" i="125"/>
  <c r="BS84" i="125"/>
  <c r="BT84" i="125"/>
  <c r="BU84" i="125"/>
  <c r="BV84" i="125"/>
  <c r="BW84" i="125"/>
  <c r="CA84" i="125"/>
  <c r="CB84" i="125"/>
  <c r="CC84" i="125"/>
  <c r="CD84" i="125"/>
  <c r="CE84" i="125"/>
  <c r="CF84" i="125"/>
  <c r="CG84" i="125"/>
  <c r="CH84" i="125"/>
  <c r="CI84" i="125"/>
  <c r="CJ84" i="125"/>
  <c r="CK84" i="125"/>
  <c r="CL84" i="125"/>
  <c r="D85" i="125"/>
  <c r="E85" i="125"/>
  <c r="F85" i="125"/>
  <c r="G85" i="125"/>
  <c r="H85" i="125"/>
  <c r="I85" i="125"/>
  <c r="J85" i="125"/>
  <c r="K85" i="125"/>
  <c r="L85" i="125"/>
  <c r="M85" i="125"/>
  <c r="N85" i="125"/>
  <c r="O85" i="125"/>
  <c r="S85" i="125"/>
  <c r="T85" i="125"/>
  <c r="U85" i="125"/>
  <c r="V85" i="125"/>
  <c r="W85" i="125"/>
  <c r="X85" i="125"/>
  <c r="Y85" i="125"/>
  <c r="Z85" i="125"/>
  <c r="AA85" i="125"/>
  <c r="AB85" i="125"/>
  <c r="AC85" i="125"/>
  <c r="AD85" i="125"/>
  <c r="AH85" i="125"/>
  <c r="AI85" i="125"/>
  <c r="AJ85" i="125"/>
  <c r="AK85" i="125"/>
  <c r="AL85" i="125"/>
  <c r="AM85" i="125"/>
  <c r="AN85" i="125"/>
  <c r="AO85" i="125"/>
  <c r="AP85" i="125"/>
  <c r="AQ85" i="125"/>
  <c r="AR85" i="125"/>
  <c r="AS85" i="125"/>
  <c r="AW85" i="125"/>
  <c r="AX85" i="125"/>
  <c r="AY85" i="125"/>
  <c r="AZ85" i="125"/>
  <c r="BA85" i="125"/>
  <c r="BB85" i="125"/>
  <c r="BC85" i="125"/>
  <c r="BD85" i="125"/>
  <c r="BE85" i="125"/>
  <c r="BF85" i="125"/>
  <c r="BG85" i="125"/>
  <c r="BH85" i="125"/>
  <c r="BL85" i="125"/>
  <c r="BM85" i="125"/>
  <c r="BN85" i="125"/>
  <c r="BO85" i="125"/>
  <c r="BP85" i="125"/>
  <c r="BQ85" i="125"/>
  <c r="BR85" i="125"/>
  <c r="BS85" i="125"/>
  <c r="BT85" i="125"/>
  <c r="BU85" i="125"/>
  <c r="BV85" i="125"/>
  <c r="BW85" i="125"/>
  <c r="CA85" i="125"/>
  <c r="CB85" i="125"/>
  <c r="CC85" i="125"/>
  <c r="CD85" i="125"/>
  <c r="CE85" i="125"/>
  <c r="CF85" i="125"/>
  <c r="CG85" i="125"/>
  <c r="CH85" i="125"/>
  <c r="CI85" i="125"/>
  <c r="CJ85" i="125"/>
  <c r="CK85" i="125"/>
  <c r="CL85" i="125"/>
  <c r="D86" i="125"/>
  <c r="E86" i="125"/>
  <c r="F86" i="125"/>
  <c r="G86" i="125"/>
  <c r="H86" i="125"/>
  <c r="I86" i="125"/>
  <c r="J86" i="125"/>
  <c r="K86" i="125"/>
  <c r="L86" i="125"/>
  <c r="M86" i="125"/>
  <c r="N86" i="125"/>
  <c r="O86" i="125"/>
  <c r="S86" i="125"/>
  <c r="T86" i="125"/>
  <c r="U86" i="125"/>
  <c r="V86" i="125"/>
  <c r="W86" i="125"/>
  <c r="X86" i="125"/>
  <c r="Y86" i="125"/>
  <c r="Z86" i="125"/>
  <c r="AA86" i="125"/>
  <c r="AB86" i="125"/>
  <c r="AC86" i="125"/>
  <c r="AD86" i="125"/>
  <c r="AH86" i="125"/>
  <c r="AI86" i="125"/>
  <c r="AJ86" i="125"/>
  <c r="AK86" i="125"/>
  <c r="AL86" i="125"/>
  <c r="AM86" i="125"/>
  <c r="AN86" i="125"/>
  <c r="AO86" i="125"/>
  <c r="AP86" i="125"/>
  <c r="AQ86" i="125"/>
  <c r="AR86" i="125"/>
  <c r="AS86" i="125"/>
  <c r="AW86" i="125"/>
  <c r="AX86" i="125"/>
  <c r="AY86" i="125"/>
  <c r="AZ86" i="125"/>
  <c r="BA86" i="125"/>
  <c r="BB86" i="125"/>
  <c r="BC86" i="125"/>
  <c r="BD86" i="125"/>
  <c r="BE86" i="125"/>
  <c r="BF86" i="125"/>
  <c r="BG86" i="125"/>
  <c r="BH86" i="125"/>
  <c r="BL86" i="125"/>
  <c r="BM86" i="125"/>
  <c r="BN86" i="125"/>
  <c r="BO86" i="125"/>
  <c r="BP86" i="125"/>
  <c r="BQ86" i="125"/>
  <c r="BR86" i="125"/>
  <c r="BS86" i="125"/>
  <c r="BT86" i="125"/>
  <c r="BU86" i="125"/>
  <c r="BV86" i="125"/>
  <c r="BW86" i="125"/>
  <c r="CA86" i="125"/>
  <c r="CB86" i="125"/>
  <c r="CC86" i="125"/>
  <c r="CD86" i="125"/>
  <c r="CE86" i="125"/>
  <c r="CF86" i="125"/>
  <c r="CG86" i="125"/>
  <c r="CH86" i="125"/>
  <c r="CI86" i="125"/>
  <c r="CJ86" i="125"/>
  <c r="CK86" i="125"/>
  <c r="CL86" i="125"/>
  <c r="D87" i="125"/>
  <c r="E87" i="125"/>
  <c r="F87" i="125"/>
  <c r="G87" i="125"/>
  <c r="H87" i="125"/>
  <c r="I87" i="125"/>
  <c r="J87" i="125"/>
  <c r="K87" i="125"/>
  <c r="L87" i="125"/>
  <c r="M87" i="125"/>
  <c r="N87" i="125"/>
  <c r="O87" i="125"/>
  <c r="S87" i="125"/>
  <c r="T87" i="125"/>
  <c r="U87" i="125"/>
  <c r="V87" i="125"/>
  <c r="W87" i="125"/>
  <c r="X87" i="125"/>
  <c r="Y87" i="125"/>
  <c r="Z87" i="125"/>
  <c r="AA87" i="125"/>
  <c r="AB87" i="125"/>
  <c r="AC87" i="125"/>
  <c r="AD87" i="125"/>
  <c r="AH87" i="125"/>
  <c r="AI87" i="125"/>
  <c r="AJ87" i="125"/>
  <c r="AK87" i="125"/>
  <c r="AL87" i="125"/>
  <c r="AM87" i="125"/>
  <c r="AN87" i="125"/>
  <c r="AO87" i="125"/>
  <c r="AP87" i="125"/>
  <c r="AQ87" i="125"/>
  <c r="AR87" i="125"/>
  <c r="AS87" i="125"/>
  <c r="AW87" i="125"/>
  <c r="AX87" i="125"/>
  <c r="AY87" i="125"/>
  <c r="AZ87" i="125"/>
  <c r="BA87" i="125"/>
  <c r="BB87" i="125"/>
  <c r="BC87" i="125"/>
  <c r="BD87" i="125"/>
  <c r="BE87" i="125"/>
  <c r="BF87" i="125"/>
  <c r="BG87" i="125"/>
  <c r="BH87" i="125"/>
  <c r="BL87" i="125"/>
  <c r="BM87" i="125"/>
  <c r="BN87" i="125"/>
  <c r="BO87" i="125"/>
  <c r="BP87" i="125"/>
  <c r="BQ87" i="125"/>
  <c r="BR87" i="125"/>
  <c r="BS87" i="125"/>
  <c r="BT87" i="125"/>
  <c r="BU87" i="125"/>
  <c r="BV87" i="125"/>
  <c r="BW87" i="125"/>
  <c r="CA87" i="125"/>
  <c r="CB87" i="125"/>
  <c r="CC87" i="125"/>
  <c r="CD87" i="125"/>
  <c r="CE87" i="125"/>
  <c r="CF87" i="125"/>
  <c r="CG87" i="125"/>
  <c r="CH87" i="125"/>
  <c r="CI87" i="125"/>
  <c r="CJ87" i="125"/>
  <c r="CK87" i="125"/>
  <c r="CL87" i="125"/>
  <c r="D88" i="125"/>
  <c r="E88" i="125"/>
  <c r="F88" i="125"/>
  <c r="G88" i="125"/>
  <c r="H88" i="125"/>
  <c r="I88" i="125"/>
  <c r="J88" i="125"/>
  <c r="K88" i="125"/>
  <c r="L88" i="125"/>
  <c r="M88" i="125"/>
  <c r="N88" i="125"/>
  <c r="O88" i="125"/>
  <c r="S88" i="125"/>
  <c r="T88" i="125"/>
  <c r="U88" i="125"/>
  <c r="V88" i="125"/>
  <c r="W88" i="125"/>
  <c r="X88" i="125"/>
  <c r="Y88" i="125"/>
  <c r="Z88" i="125"/>
  <c r="AA88" i="125"/>
  <c r="AB88" i="125"/>
  <c r="AC88" i="125"/>
  <c r="AD88" i="125"/>
  <c r="AH88" i="125"/>
  <c r="AI88" i="125"/>
  <c r="AJ88" i="125"/>
  <c r="AK88" i="125"/>
  <c r="AL88" i="125"/>
  <c r="AM88" i="125"/>
  <c r="AN88" i="125"/>
  <c r="AO88" i="125"/>
  <c r="AP88" i="125"/>
  <c r="AQ88" i="125"/>
  <c r="AR88" i="125"/>
  <c r="AS88" i="125"/>
  <c r="AW88" i="125"/>
  <c r="AX88" i="125"/>
  <c r="AY88" i="125"/>
  <c r="AZ88" i="125"/>
  <c r="BA88" i="125"/>
  <c r="BB88" i="125"/>
  <c r="BC88" i="125"/>
  <c r="BD88" i="125"/>
  <c r="BE88" i="125"/>
  <c r="BF88" i="125"/>
  <c r="BG88" i="125"/>
  <c r="BH88" i="125"/>
  <c r="BL88" i="125"/>
  <c r="BM88" i="125"/>
  <c r="BN88" i="125"/>
  <c r="BO88" i="125"/>
  <c r="BP88" i="125"/>
  <c r="BQ88" i="125"/>
  <c r="BR88" i="125"/>
  <c r="BS88" i="125"/>
  <c r="BT88" i="125"/>
  <c r="BU88" i="125"/>
  <c r="BV88" i="125"/>
  <c r="BW88" i="125"/>
  <c r="CA88" i="125"/>
  <c r="CB88" i="125"/>
  <c r="CC88" i="125"/>
  <c r="CD88" i="125"/>
  <c r="CE88" i="125"/>
  <c r="CF88" i="125"/>
  <c r="CG88" i="125"/>
  <c r="CH88" i="125"/>
  <c r="CI88" i="125"/>
  <c r="CJ88" i="125"/>
  <c r="CK88" i="125"/>
  <c r="CL88" i="125"/>
  <c r="D89" i="125"/>
  <c r="E89" i="125"/>
  <c r="F89" i="125"/>
  <c r="G89" i="125"/>
  <c r="H89" i="125"/>
  <c r="I89" i="125"/>
  <c r="J89" i="125"/>
  <c r="K89" i="125"/>
  <c r="L89" i="125"/>
  <c r="M89" i="125"/>
  <c r="N89" i="125"/>
  <c r="O89" i="125"/>
  <c r="S89" i="125"/>
  <c r="T89" i="125"/>
  <c r="U89" i="125"/>
  <c r="V89" i="125"/>
  <c r="W89" i="125"/>
  <c r="X89" i="125"/>
  <c r="Y89" i="125"/>
  <c r="Z89" i="125"/>
  <c r="AA89" i="125"/>
  <c r="AB89" i="125"/>
  <c r="AC89" i="125"/>
  <c r="AD89" i="125"/>
  <c r="AH89" i="125"/>
  <c r="AI89" i="125"/>
  <c r="AJ89" i="125"/>
  <c r="AK89" i="125"/>
  <c r="AL89" i="125"/>
  <c r="AM89" i="125"/>
  <c r="AN89" i="125"/>
  <c r="AO89" i="125"/>
  <c r="AP89" i="125"/>
  <c r="AQ89" i="125"/>
  <c r="AR89" i="125"/>
  <c r="AS89" i="125"/>
  <c r="AW89" i="125"/>
  <c r="AX89" i="125"/>
  <c r="AY89" i="125"/>
  <c r="AZ89" i="125"/>
  <c r="BA89" i="125"/>
  <c r="BB89" i="125"/>
  <c r="BC89" i="125"/>
  <c r="BD89" i="125"/>
  <c r="BE89" i="125"/>
  <c r="BF89" i="125"/>
  <c r="BG89" i="125"/>
  <c r="BH89" i="125"/>
  <c r="BL89" i="125"/>
  <c r="BM89" i="125"/>
  <c r="BN89" i="125"/>
  <c r="BO89" i="125"/>
  <c r="BP89" i="125"/>
  <c r="BQ89" i="125"/>
  <c r="BR89" i="125"/>
  <c r="BS89" i="125"/>
  <c r="BT89" i="125"/>
  <c r="BU89" i="125"/>
  <c r="BV89" i="125"/>
  <c r="BW89" i="125"/>
  <c r="CA89" i="125"/>
  <c r="CB89" i="125"/>
  <c r="CC89" i="125"/>
  <c r="CD89" i="125"/>
  <c r="CE89" i="125"/>
  <c r="CF89" i="125"/>
  <c r="CG89" i="125"/>
  <c r="CH89" i="125"/>
  <c r="CI89" i="125"/>
  <c r="CJ89" i="125"/>
  <c r="CK89" i="125"/>
  <c r="CL89" i="125"/>
  <c r="D90" i="125"/>
  <c r="E90" i="125"/>
  <c r="F90" i="125"/>
  <c r="G90" i="125"/>
  <c r="H90" i="125"/>
  <c r="I90" i="125"/>
  <c r="J90" i="125"/>
  <c r="K90" i="125"/>
  <c r="L90" i="125"/>
  <c r="M90" i="125"/>
  <c r="N90" i="125"/>
  <c r="O90" i="125"/>
  <c r="S90" i="125"/>
  <c r="T90" i="125"/>
  <c r="U90" i="125"/>
  <c r="V90" i="125"/>
  <c r="W90" i="125"/>
  <c r="X90" i="125"/>
  <c r="Y90" i="125"/>
  <c r="Z90" i="125"/>
  <c r="AA90" i="125"/>
  <c r="AB90" i="125"/>
  <c r="AC90" i="125"/>
  <c r="AD90" i="125"/>
  <c r="AH90" i="125"/>
  <c r="AI90" i="125"/>
  <c r="AJ90" i="125"/>
  <c r="AK90" i="125"/>
  <c r="AL90" i="125"/>
  <c r="AM90" i="125"/>
  <c r="AN90" i="125"/>
  <c r="AO90" i="125"/>
  <c r="AP90" i="125"/>
  <c r="AQ90" i="125"/>
  <c r="AR90" i="125"/>
  <c r="AS90" i="125"/>
  <c r="AW90" i="125"/>
  <c r="AX90" i="125"/>
  <c r="AY90" i="125"/>
  <c r="AZ90" i="125"/>
  <c r="BA90" i="125"/>
  <c r="BB90" i="125"/>
  <c r="BC90" i="125"/>
  <c r="BD90" i="125"/>
  <c r="BE90" i="125"/>
  <c r="BF90" i="125"/>
  <c r="BG90" i="125"/>
  <c r="BH90" i="125"/>
  <c r="BL90" i="125"/>
  <c r="BM90" i="125"/>
  <c r="BN90" i="125"/>
  <c r="BO90" i="125"/>
  <c r="BP90" i="125"/>
  <c r="BQ90" i="125"/>
  <c r="BR90" i="125"/>
  <c r="BS90" i="125"/>
  <c r="BT90" i="125"/>
  <c r="BU90" i="125"/>
  <c r="BV90" i="125"/>
  <c r="BW90" i="125"/>
  <c r="CA90" i="125"/>
  <c r="CB90" i="125"/>
  <c r="CC90" i="125"/>
  <c r="CD90" i="125"/>
  <c r="CE90" i="125"/>
  <c r="CF90" i="125"/>
  <c r="CG90" i="125"/>
  <c r="CH90" i="125"/>
  <c r="CI90" i="125"/>
  <c r="CJ90" i="125"/>
  <c r="CK90" i="125"/>
  <c r="CL90" i="125"/>
  <c r="D91" i="125"/>
  <c r="E91" i="125"/>
  <c r="F91" i="125"/>
  <c r="G91" i="125"/>
  <c r="H91" i="125"/>
  <c r="I91" i="125"/>
  <c r="J91" i="125"/>
  <c r="K91" i="125"/>
  <c r="L91" i="125"/>
  <c r="M91" i="125"/>
  <c r="N91" i="125"/>
  <c r="O91" i="125"/>
  <c r="S91" i="125"/>
  <c r="T91" i="125"/>
  <c r="U91" i="125"/>
  <c r="V91" i="125"/>
  <c r="W91" i="125"/>
  <c r="X91" i="125"/>
  <c r="Y91" i="125"/>
  <c r="Z91" i="125"/>
  <c r="AA91" i="125"/>
  <c r="AB91" i="125"/>
  <c r="AC91" i="125"/>
  <c r="AD91" i="125"/>
  <c r="AH91" i="125"/>
  <c r="AI91" i="125"/>
  <c r="AJ91" i="125"/>
  <c r="AK91" i="125"/>
  <c r="AL91" i="125"/>
  <c r="AM91" i="125"/>
  <c r="AN91" i="125"/>
  <c r="AO91" i="125"/>
  <c r="AP91" i="125"/>
  <c r="AQ91" i="125"/>
  <c r="AR91" i="125"/>
  <c r="AS91" i="125"/>
  <c r="AW91" i="125"/>
  <c r="AX91" i="125"/>
  <c r="AY91" i="125"/>
  <c r="AZ91" i="125"/>
  <c r="BA91" i="125"/>
  <c r="BB91" i="125"/>
  <c r="BC91" i="125"/>
  <c r="BD91" i="125"/>
  <c r="BE91" i="125"/>
  <c r="BF91" i="125"/>
  <c r="BG91" i="125"/>
  <c r="BH91" i="125"/>
  <c r="BL91" i="125"/>
  <c r="BM91" i="125"/>
  <c r="BN91" i="125"/>
  <c r="BO91" i="125"/>
  <c r="BP91" i="125"/>
  <c r="BQ91" i="125"/>
  <c r="BR91" i="125"/>
  <c r="BS91" i="125"/>
  <c r="BT91" i="125"/>
  <c r="BU91" i="125"/>
  <c r="BV91" i="125"/>
  <c r="BW91" i="125"/>
  <c r="CA91" i="125"/>
  <c r="CB91" i="125"/>
  <c r="CC91" i="125"/>
  <c r="CD91" i="125"/>
  <c r="CE91" i="125"/>
  <c r="CF91" i="125"/>
  <c r="CG91" i="125"/>
  <c r="CH91" i="125"/>
  <c r="CI91" i="125"/>
  <c r="CJ91" i="125"/>
  <c r="CK91" i="125"/>
  <c r="CL91" i="125"/>
  <c r="D92" i="125"/>
  <c r="E92" i="125"/>
  <c r="F92" i="125"/>
  <c r="G92" i="125"/>
  <c r="H92" i="125"/>
  <c r="I92" i="125"/>
  <c r="J92" i="125"/>
  <c r="K92" i="125"/>
  <c r="L92" i="125"/>
  <c r="M92" i="125"/>
  <c r="N92" i="125"/>
  <c r="O92" i="125"/>
  <c r="S92" i="125"/>
  <c r="T92" i="125"/>
  <c r="U92" i="125"/>
  <c r="V92" i="125"/>
  <c r="W92" i="125"/>
  <c r="X92" i="125"/>
  <c r="Y92" i="125"/>
  <c r="Z92" i="125"/>
  <c r="AA92" i="125"/>
  <c r="AB92" i="125"/>
  <c r="AC92" i="125"/>
  <c r="AD92" i="125"/>
  <c r="AH92" i="125"/>
  <c r="AI92" i="125"/>
  <c r="AJ92" i="125"/>
  <c r="AK92" i="125"/>
  <c r="AL92" i="125"/>
  <c r="AM92" i="125"/>
  <c r="AN92" i="125"/>
  <c r="AO92" i="125"/>
  <c r="AP92" i="125"/>
  <c r="AQ92" i="125"/>
  <c r="AR92" i="125"/>
  <c r="AS92" i="125"/>
  <c r="AW92" i="125"/>
  <c r="AX92" i="125"/>
  <c r="AY92" i="125"/>
  <c r="AZ92" i="125"/>
  <c r="BA92" i="125"/>
  <c r="BB92" i="125"/>
  <c r="BC92" i="125"/>
  <c r="BD92" i="125"/>
  <c r="BE92" i="125"/>
  <c r="BF92" i="125"/>
  <c r="BG92" i="125"/>
  <c r="BH92" i="125"/>
  <c r="BL92" i="125"/>
  <c r="BM92" i="125"/>
  <c r="BN92" i="125"/>
  <c r="BO92" i="125"/>
  <c r="BP92" i="125"/>
  <c r="BQ92" i="125"/>
  <c r="BR92" i="125"/>
  <c r="BS92" i="125"/>
  <c r="BT92" i="125"/>
  <c r="BU92" i="125"/>
  <c r="BV92" i="125"/>
  <c r="BW92" i="125"/>
  <c r="CA92" i="125"/>
  <c r="CB92" i="125"/>
  <c r="CC92" i="125"/>
  <c r="CD92" i="125"/>
  <c r="CE92" i="125"/>
  <c r="CF92" i="125"/>
  <c r="CG92" i="125"/>
  <c r="CH92" i="125"/>
  <c r="CI92" i="125"/>
  <c r="CJ92" i="125"/>
  <c r="CK92" i="125"/>
  <c r="CL92" i="125"/>
  <c r="D93" i="125"/>
  <c r="E93" i="125"/>
  <c r="F93" i="125"/>
  <c r="G93" i="125"/>
  <c r="H93" i="125"/>
  <c r="I93" i="125"/>
  <c r="J93" i="125"/>
  <c r="K93" i="125"/>
  <c r="L93" i="125"/>
  <c r="M93" i="125"/>
  <c r="N93" i="125"/>
  <c r="O93" i="125"/>
  <c r="S93" i="125"/>
  <c r="T93" i="125"/>
  <c r="U93" i="125"/>
  <c r="V93" i="125"/>
  <c r="W93" i="125"/>
  <c r="X93" i="125"/>
  <c r="Y93" i="125"/>
  <c r="Z93" i="125"/>
  <c r="AA93" i="125"/>
  <c r="AB93" i="125"/>
  <c r="AC93" i="125"/>
  <c r="AD93" i="125"/>
  <c r="AH93" i="125"/>
  <c r="AI93" i="125"/>
  <c r="AJ93" i="125"/>
  <c r="AK93" i="125"/>
  <c r="AL93" i="125"/>
  <c r="AM93" i="125"/>
  <c r="AN93" i="125"/>
  <c r="AO93" i="125"/>
  <c r="AP93" i="125"/>
  <c r="AQ93" i="125"/>
  <c r="AR93" i="125"/>
  <c r="AS93" i="125"/>
  <c r="AW93" i="125"/>
  <c r="AX93" i="125"/>
  <c r="AY93" i="125"/>
  <c r="AZ93" i="125"/>
  <c r="BA93" i="125"/>
  <c r="BB93" i="125"/>
  <c r="BC93" i="125"/>
  <c r="BD93" i="125"/>
  <c r="BE93" i="125"/>
  <c r="BF93" i="125"/>
  <c r="BG93" i="125"/>
  <c r="BH93" i="125"/>
  <c r="BL93" i="125"/>
  <c r="BM93" i="125"/>
  <c r="BN93" i="125"/>
  <c r="BO93" i="125"/>
  <c r="BP93" i="125"/>
  <c r="BQ93" i="125"/>
  <c r="BR93" i="125"/>
  <c r="BS93" i="125"/>
  <c r="BT93" i="125"/>
  <c r="BU93" i="125"/>
  <c r="BV93" i="125"/>
  <c r="BW93" i="125"/>
  <c r="CA93" i="125"/>
  <c r="CB93" i="125"/>
  <c r="CC93" i="125"/>
  <c r="CD93" i="125"/>
  <c r="CE93" i="125"/>
  <c r="CF93" i="125"/>
  <c r="CG93" i="125"/>
  <c r="CH93" i="125"/>
  <c r="CI93" i="125"/>
  <c r="CJ93" i="125"/>
  <c r="CK93" i="125"/>
  <c r="CL93" i="125"/>
  <c r="D94" i="125"/>
  <c r="E94" i="125"/>
  <c r="F94" i="125"/>
  <c r="G94" i="125"/>
  <c r="H94" i="125"/>
  <c r="I94" i="125"/>
  <c r="J94" i="125"/>
  <c r="K94" i="125"/>
  <c r="L94" i="125"/>
  <c r="M94" i="125"/>
  <c r="N94" i="125"/>
  <c r="O94" i="125"/>
  <c r="S94" i="125"/>
  <c r="T94" i="125"/>
  <c r="U94" i="125"/>
  <c r="V94" i="125"/>
  <c r="W94" i="125"/>
  <c r="X94" i="125"/>
  <c r="Y94" i="125"/>
  <c r="Z94" i="125"/>
  <c r="AA94" i="125"/>
  <c r="AB94" i="125"/>
  <c r="AC94" i="125"/>
  <c r="AD94" i="125"/>
  <c r="AH94" i="125"/>
  <c r="AI94" i="125"/>
  <c r="AJ94" i="125"/>
  <c r="AK94" i="125"/>
  <c r="AL94" i="125"/>
  <c r="AM94" i="125"/>
  <c r="AN94" i="125"/>
  <c r="AO94" i="125"/>
  <c r="AP94" i="125"/>
  <c r="AQ94" i="125"/>
  <c r="AR94" i="125"/>
  <c r="AS94" i="125"/>
  <c r="AW94" i="125"/>
  <c r="AX94" i="125"/>
  <c r="AY94" i="125"/>
  <c r="AZ94" i="125"/>
  <c r="BA94" i="125"/>
  <c r="BB94" i="125"/>
  <c r="BC94" i="125"/>
  <c r="BD94" i="125"/>
  <c r="BE94" i="125"/>
  <c r="BF94" i="125"/>
  <c r="BG94" i="125"/>
  <c r="BH94" i="125"/>
  <c r="BL94" i="125"/>
  <c r="BM94" i="125"/>
  <c r="BN94" i="125"/>
  <c r="BO94" i="125"/>
  <c r="BP94" i="125"/>
  <c r="BQ94" i="125"/>
  <c r="BR94" i="125"/>
  <c r="BS94" i="125"/>
  <c r="BT94" i="125"/>
  <c r="BU94" i="125"/>
  <c r="BV94" i="125"/>
  <c r="BW94" i="125"/>
  <c r="CA94" i="125"/>
  <c r="CB94" i="125"/>
  <c r="CC94" i="125"/>
  <c r="CD94" i="125"/>
  <c r="CE94" i="125"/>
  <c r="CF94" i="125"/>
  <c r="CG94" i="125"/>
  <c r="CH94" i="125"/>
  <c r="CI94" i="125"/>
  <c r="CJ94" i="125"/>
  <c r="CK94" i="125"/>
  <c r="CL94" i="125"/>
  <c r="D95" i="125"/>
  <c r="E95" i="125"/>
  <c r="F95" i="125"/>
  <c r="G95" i="125"/>
  <c r="H95" i="125"/>
  <c r="I95" i="125"/>
  <c r="J95" i="125"/>
  <c r="K95" i="125"/>
  <c r="L95" i="125"/>
  <c r="M95" i="125"/>
  <c r="N95" i="125"/>
  <c r="O95" i="125"/>
  <c r="S95" i="125"/>
  <c r="T95" i="125"/>
  <c r="U95" i="125"/>
  <c r="V95" i="125"/>
  <c r="W95" i="125"/>
  <c r="X95" i="125"/>
  <c r="Y95" i="125"/>
  <c r="Z95" i="125"/>
  <c r="AA95" i="125"/>
  <c r="AB95" i="125"/>
  <c r="AC95" i="125"/>
  <c r="AD95" i="125"/>
  <c r="AH95" i="125"/>
  <c r="AI95" i="125"/>
  <c r="AJ95" i="125"/>
  <c r="AK95" i="125"/>
  <c r="AL95" i="125"/>
  <c r="AM95" i="125"/>
  <c r="AN95" i="125"/>
  <c r="AO95" i="125"/>
  <c r="AP95" i="125"/>
  <c r="AQ95" i="125"/>
  <c r="AR95" i="125"/>
  <c r="AS95" i="125"/>
  <c r="AW95" i="125"/>
  <c r="AX95" i="125"/>
  <c r="AY95" i="125"/>
  <c r="AZ95" i="125"/>
  <c r="BA95" i="125"/>
  <c r="BB95" i="125"/>
  <c r="BC95" i="125"/>
  <c r="BD95" i="125"/>
  <c r="BE95" i="125"/>
  <c r="BF95" i="125"/>
  <c r="BG95" i="125"/>
  <c r="BH95" i="125"/>
  <c r="BL95" i="125"/>
  <c r="BM95" i="125"/>
  <c r="BN95" i="125"/>
  <c r="BO95" i="125"/>
  <c r="BP95" i="125"/>
  <c r="BQ95" i="125"/>
  <c r="BR95" i="125"/>
  <c r="BS95" i="125"/>
  <c r="BT95" i="125"/>
  <c r="BU95" i="125"/>
  <c r="BV95" i="125"/>
  <c r="BW95" i="125"/>
  <c r="CA95" i="125"/>
  <c r="CB95" i="125"/>
  <c r="CC95" i="125"/>
  <c r="CD95" i="125"/>
  <c r="CE95" i="125"/>
  <c r="CF95" i="125"/>
  <c r="CG95" i="125"/>
  <c r="CH95" i="125"/>
  <c r="CI95" i="125"/>
  <c r="CJ95" i="125"/>
  <c r="CK95" i="125"/>
  <c r="CL95" i="125"/>
  <c r="D96" i="125"/>
  <c r="E96" i="125"/>
  <c r="F96" i="125"/>
  <c r="G96" i="125"/>
  <c r="H96" i="125"/>
  <c r="I96" i="125"/>
  <c r="J96" i="125"/>
  <c r="K96" i="125"/>
  <c r="L96" i="125"/>
  <c r="M96" i="125"/>
  <c r="N96" i="125"/>
  <c r="O96" i="125"/>
  <c r="S96" i="125"/>
  <c r="T96" i="125"/>
  <c r="U96" i="125"/>
  <c r="V96" i="125"/>
  <c r="W96" i="125"/>
  <c r="X96" i="125"/>
  <c r="Y96" i="125"/>
  <c r="Z96" i="125"/>
  <c r="AA96" i="125"/>
  <c r="AB96" i="125"/>
  <c r="AC96" i="125"/>
  <c r="AD96" i="125"/>
  <c r="AH96" i="125"/>
  <c r="AI96" i="125"/>
  <c r="AJ96" i="125"/>
  <c r="AK96" i="125"/>
  <c r="AL96" i="125"/>
  <c r="AM96" i="125"/>
  <c r="AN96" i="125"/>
  <c r="AO96" i="125"/>
  <c r="AP96" i="125"/>
  <c r="AQ96" i="125"/>
  <c r="AR96" i="125"/>
  <c r="AS96" i="125"/>
  <c r="AW96" i="125"/>
  <c r="AX96" i="125"/>
  <c r="AY96" i="125"/>
  <c r="AZ96" i="125"/>
  <c r="BA96" i="125"/>
  <c r="BB96" i="125"/>
  <c r="BC96" i="125"/>
  <c r="BD96" i="125"/>
  <c r="BE96" i="125"/>
  <c r="BF96" i="125"/>
  <c r="BG96" i="125"/>
  <c r="BH96" i="125"/>
  <c r="BL96" i="125"/>
  <c r="BM96" i="125"/>
  <c r="BN96" i="125"/>
  <c r="BO96" i="125"/>
  <c r="BP96" i="125"/>
  <c r="BQ96" i="125"/>
  <c r="BR96" i="125"/>
  <c r="BS96" i="125"/>
  <c r="BT96" i="125"/>
  <c r="BU96" i="125"/>
  <c r="BV96" i="125"/>
  <c r="BW96" i="125"/>
  <c r="CA96" i="125"/>
  <c r="CB96" i="125"/>
  <c r="CC96" i="125"/>
  <c r="CD96" i="125"/>
  <c r="CE96" i="125"/>
  <c r="CF96" i="125"/>
  <c r="CG96" i="125"/>
  <c r="CH96" i="125"/>
  <c r="CI96" i="125"/>
  <c r="CJ96" i="125"/>
  <c r="CK96" i="125"/>
  <c r="CL96" i="125"/>
  <c r="D97" i="125"/>
  <c r="E97" i="125"/>
  <c r="F97" i="125"/>
  <c r="G97" i="125"/>
  <c r="H97" i="125"/>
  <c r="I97" i="125"/>
  <c r="J97" i="125"/>
  <c r="K97" i="125"/>
  <c r="L97" i="125"/>
  <c r="M97" i="125"/>
  <c r="N97" i="125"/>
  <c r="O97" i="125"/>
  <c r="S97" i="125"/>
  <c r="T97" i="125"/>
  <c r="U97" i="125"/>
  <c r="V97" i="125"/>
  <c r="W97" i="125"/>
  <c r="X97" i="125"/>
  <c r="Y97" i="125"/>
  <c r="Z97" i="125"/>
  <c r="AA97" i="125"/>
  <c r="AB97" i="125"/>
  <c r="AC97" i="125"/>
  <c r="AD97" i="125"/>
  <c r="AH97" i="125"/>
  <c r="AI97" i="125"/>
  <c r="AJ97" i="125"/>
  <c r="AK97" i="125"/>
  <c r="AL97" i="125"/>
  <c r="AM97" i="125"/>
  <c r="AN97" i="125"/>
  <c r="AO97" i="125"/>
  <c r="AP97" i="125"/>
  <c r="AQ97" i="125"/>
  <c r="AR97" i="125"/>
  <c r="AS97" i="125"/>
  <c r="AW97" i="125"/>
  <c r="AX97" i="125"/>
  <c r="AY97" i="125"/>
  <c r="AZ97" i="125"/>
  <c r="BA97" i="125"/>
  <c r="BB97" i="125"/>
  <c r="BC97" i="125"/>
  <c r="BD97" i="125"/>
  <c r="BE97" i="125"/>
  <c r="BF97" i="125"/>
  <c r="BG97" i="125"/>
  <c r="BH97" i="125"/>
  <c r="BL97" i="125"/>
  <c r="BM97" i="125"/>
  <c r="BN97" i="125"/>
  <c r="BO97" i="125"/>
  <c r="BP97" i="125"/>
  <c r="BQ97" i="125"/>
  <c r="BR97" i="125"/>
  <c r="BS97" i="125"/>
  <c r="BT97" i="125"/>
  <c r="BU97" i="125"/>
  <c r="BV97" i="125"/>
  <c r="BW97" i="125"/>
  <c r="CA97" i="125"/>
  <c r="CB97" i="125"/>
  <c r="CC97" i="125"/>
  <c r="CD97" i="125"/>
  <c r="CE97" i="125"/>
  <c r="CF97" i="125"/>
  <c r="CG97" i="125"/>
  <c r="CH97" i="125"/>
  <c r="CI97" i="125"/>
  <c r="CJ97" i="125"/>
  <c r="CK97" i="125"/>
  <c r="CL97" i="125"/>
  <c r="D98" i="125"/>
  <c r="E98" i="125"/>
  <c r="F98" i="125"/>
  <c r="G98" i="125"/>
  <c r="H98" i="125"/>
  <c r="I98" i="125"/>
  <c r="J98" i="125"/>
  <c r="K98" i="125"/>
  <c r="L98" i="125"/>
  <c r="M98" i="125"/>
  <c r="N98" i="125"/>
  <c r="O98" i="125"/>
  <c r="S98" i="125"/>
  <c r="T98" i="125"/>
  <c r="U98" i="125"/>
  <c r="V98" i="125"/>
  <c r="W98" i="125"/>
  <c r="X98" i="125"/>
  <c r="Y98" i="125"/>
  <c r="Z98" i="125"/>
  <c r="AA98" i="125"/>
  <c r="AB98" i="125"/>
  <c r="AC98" i="125"/>
  <c r="AD98" i="125"/>
  <c r="AH98" i="125"/>
  <c r="AI98" i="125"/>
  <c r="AJ98" i="125"/>
  <c r="AK98" i="125"/>
  <c r="AL98" i="125"/>
  <c r="AM98" i="125"/>
  <c r="AN98" i="125"/>
  <c r="AO98" i="125"/>
  <c r="AP98" i="125"/>
  <c r="AQ98" i="125"/>
  <c r="AR98" i="125"/>
  <c r="AS98" i="125"/>
  <c r="AW98" i="125"/>
  <c r="AX98" i="125"/>
  <c r="AY98" i="125"/>
  <c r="AZ98" i="125"/>
  <c r="BA98" i="125"/>
  <c r="BB98" i="125"/>
  <c r="BC98" i="125"/>
  <c r="BD98" i="125"/>
  <c r="BE98" i="125"/>
  <c r="BF98" i="125"/>
  <c r="BG98" i="125"/>
  <c r="BH98" i="125"/>
  <c r="BL98" i="125"/>
  <c r="BM98" i="125"/>
  <c r="BN98" i="125"/>
  <c r="BO98" i="125"/>
  <c r="BP98" i="125"/>
  <c r="BQ98" i="125"/>
  <c r="BR98" i="125"/>
  <c r="BS98" i="125"/>
  <c r="BT98" i="125"/>
  <c r="BU98" i="125"/>
  <c r="BV98" i="125"/>
  <c r="BW98" i="125"/>
  <c r="CA98" i="125"/>
  <c r="CB98" i="125"/>
  <c r="CC98" i="125"/>
  <c r="CD98" i="125"/>
  <c r="CE98" i="125"/>
  <c r="CF98" i="125"/>
  <c r="CG98" i="125"/>
  <c r="CH98" i="125"/>
  <c r="CI98" i="125"/>
  <c r="CJ98" i="125"/>
  <c r="CK98" i="125"/>
  <c r="CL98" i="125"/>
  <c r="D99" i="125"/>
  <c r="E99" i="125"/>
  <c r="F99" i="125"/>
  <c r="G99" i="125"/>
  <c r="H99" i="125"/>
  <c r="I99" i="125"/>
  <c r="J99" i="125"/>
  <c r="K99" i="125"/>
  <c r="L99" i="125"/>
  <c r="M99" i="125"/>
  <c r="N99" i="125"/>
  <c r="O99" i="125"/>
  <c r="S99" i="125"/>
  <c r="T99" i="125"/>
  <c r="U99" i="125"/>
  <c r="V99" i="125"/>
  <c r="W99" i="125"/>
  <c r="X99" i="125"/>
  <c r="Y99" i="125"/>
  <c r="Z99" i="125"/>
  <c r="AA99" i="125"/>
  <c r="AB99" i="125"/>
  <c r="AC99" i="125"/>
  <c r="AD99" i="125"/>
  <c r="AH99" i="125"/>
  <c r="AI99" i="125"/>
  <c r="AJ99" i="125"/>
  <c r="AK99" i="125"/>
  <c r="AL99" i="125"/>
  <c r="AM99" i="125"/>
  <c r="AN99" i="125"/>
  <c r="AO99" i="125"/>
  <c r="AP99" i="125"/>
  <c r="AQ99" i="125"/>
  <c r="AR99" i="125"/>
  <c r="AS99" i="125"/>
  <c r="AW99" i="125"/>
  <c r="AX99" i="125"/>
  <c r="AY99" i="125"/>
  <c r="AZ99" i="125"/>
  <c r="BA99" i="125"/>
  <c r="BB99" i="125"/>
  <c r="BC99" i="125"/>
  <c r="BD99" i="125"/>
  <c r="BE99" i="125"/>
  <c r="BF99" i="125"/>
  <c r="BG99" i="125"/>
  <c r="BH99" i="125"/>
  <c r="BL99" i="125"/>
  <c r="BM99" i="125"/>
  <c r="BN99" i="125"/>
  <c r="BO99" i="125"/>
  <c r="BP99" i="125"/>
  <c r="BQ99" i="125"/>
  <c r="BR99" i="125"/>
  <c r="BS99" i="125"/>
  <c r="BT99" i="125"/>
  <c r="BU99" i="125"/>
  <c r="BV99" i="125"/>
  <c r="BW99" i="125"/>
  <c r="CA99" i="125"/>
  <c r="CB99" i="125"/>
  <c r="CC99" i="125"/>
  <c r="CD99" i="125"/>
  <c r="CE99" i="125"/>
  <c r="CF99" i="125"/>
  <c r="CG99" i="125"/>
  <c r="CH99" i="125"/>
  <c r="CI99" i="125"/>
  <c r="CJ99" i="125"/>
  <c r="CK99" i="125"/>
  <c r="CL99" i="125"/>
  <c r="D100" i="125"/>
  <c r="E100" i="125"/>
  <c r="F100" i="125"/>
  <c r="G100" i="125"/>
  <c r="H100" i="125"/>
  <c r="I100" i="125"/>
  <c r="J100" i="125"/>
  <c r="K100" i="125"/>
  <c r="L100" i="125"/>
  <c r="M100" i="125"/>
  <c r="N100" i="125"/>
  <c r="O100" i="125"/>
  <c r="S100" i="125"/>
  <c r="T100" i="125"/>
  <c r="U100" i="125"/>
  <c r="V100" i="125"/>
  <c r="W100" i="125"/>
  <c r="X100" i="125"/>
  <c r="Y100" i="125"/>
  <c r="Z100" i="125"/>
  <c r="AA100" i="125"/>
  <c r="AB100" i="125"/>
  <c r="AC100" i="125"/>
  <c r="AD100" i="125"/>
  <c r="AH100" i="125"/>
  <c r="AI100" i="125"/>
  <c r="AJ100" i="125"/>
  <c r="AK100" i="125"/>
  <c r="AL100" i="125"/>
  <c r="AM100" i="125"/>
  <c r="AN100" i="125"/>
  <c r="AO100" i="125"/>
  <c r="AP100" i="125"/>
  <c r="AQ100" i="125"/>
  <c r="AR100" i="125"/>
  <c r="AS100" i="125"/>
  <c r="AW100" i="125"/>
  <c r="AX100" i="125"/>
  <c r="AY100" i="125"/>
  <c r="AZ100" i="125"/>
  <c r="BA100" i="125"/>
  <c r="BB100" i="125"/>
  <c r="BC100" i="125"/>
  <c r="BD100" i="125"/>
  <c r="BE100" i="125"/>
  <c r="BF100" i="125"/>
  <c r="BG100" i="125"/>
  <c r="BH100" i="125"/>
  <c r="BL100" i="125"/>
  <c r="BM100" i="125"/>
  <c r="BN100" i="125"/>
  <c r="BO100" i="125"/>
  <c r="BP100" i="125"/>
  <c r="BQ100" i="125"/>
  <c r="BR100" i="125"/>
  <c r="BS100" i="125"/>
  <c r="BT100" i="125"/>
  <c r="BU100" i="125"/>
  <c r="BV100" i="125"/>
  <c r="BW100" i="125"/>
  <c r="CA100" i="125"/>
  <c r="CB100" i="125"/>
  <c r="CC100" i="125"/>
  <c r="CD100" i="125"/>
  <c r="CE100" i="125"/>
  <c r="CF100" i="125"/>
  <c r="CG100" i="125"/>
  <c r="CH100" i="125"/>
  <c r="CI100" i="125"/>
  <c r="CJ100" i="125"/>
  <c r="CK100" i="125"/>
  <c r="CL100" i="125"/>
  <c r="D101" i="125"/>
  <c r="E101" i="125"/>
  <c r="F101" i="125"/>
  <c r="G101" i="125"/>
  <c r="H101" i="125"/>
  <c r="I101" i="125"/>
  <c r="J101" i="125"/>
  <c r="K101" i="125"/>
  <c r="L101" i="125"/>
  <c r="M101" i="125"/>
  <c r="N101" i="125"/>
  <c r="O101" i="125"/>
  <c r="S101" i="125"/>
  <c r="T101" i="125"/>
  <c r="U101" i="125"/>
  <c r="V101" i="125"/>
  <c r="W101" i="125"/>
  <c r="X101" i="125"/>
  <c r="Y101" i="125"/>
  <c r="Z101" i="125"/>
  <c r="AA101" i="125"/>
  <c r="AB101" i="125"/>
  <c r="AC101" i="125"/>
  <c r="AD101" i="125"/>
  <c r="AH101" i="125"/>
  <c r="AI101" i="125"/>
  <c r="AJ101" i="125"/>
  <c r="AK101" i="125"/>
  <c r="AL101" i="125"/>
  <c r="AM101" i="125"/>
  <c r="AN101" i="125"/>
  <c r="AO101" i="125"/>
  <c r="AP101" i="125"/>
  <c r="AQ101" i="125"/>
  <c r="AR101" i="125"/>
  <c r="AS101" i="125"/>
  <c r="AW101" i="125"/>
  <c r="AX101" i="125"/>
  <c r="AY101" i="125"/>
  <c r="AZ101" i="125"/>
  <c r="BA101" i="125"/>
  <c r="BB101" i="125"/>
  <c r="BC101" i="125"/>
  <c r="BD101" i="125"/>
  <c r="BE101" i="125"/>
  <c r="BF101" i="125"/>
  <c r="BG101" i="125"/>
  <c r="BH101" i="125"/>
  <c r="BL101" i="125"/>
  <c r="BM101" i="125"/>
  <c r="BN101" i="125"/>
  <c r="BO101" i="125"/>
  <c r="BP101" i="125"/>
  <c r="BQ101" i="125"/>
  <c r="BR101" i="125"/>
  <c r="BS101" i="125"/>
  <c r="BT101" i="125"/>
  <c r="BU101" i="125"/>
  <c r="BV101" i="125"/>
  <c r="BW101" i="125"/>
  <c r="CA101" i="125"/>
  <c r="CB101" i="125"/>
  <c r="CC101" i="125"/>
  <c r="CD101" i="125"/>
  <c r="CE101" i="125"/>
  <c r="CF101" i="125"/>
  <c r="CG101" i="125"/>
  <c r="CH101" i="125"/>
  <c r="CI101" i="125"/>
  <c r="CJ101" i="125"/>
  <c r="CK101" i="125"/>
  <c r="CL101" i="125"/>
  <c r="D102" i="125"/>
  <c r="E102" i="125"/>
  <c r="F102" i="125"/>
  <c r="G102" i="125"/>
  <c r="H102" i="125"/>
  <c r="I102" i="125"/>
  <c r="J102" i="125"/>
  <c r="K102" i="125"/>
  <c r="L102" i="125"/>
  <c r="M102" i="125"/>
  <c r="N102" i="125"/>
  <c r="O102" i="125"/>
  <c r="S102" i="125"/>
  <c r="T102" i="125"/>
  <c r="U102" i="125"/>
  <c r="V102" i="125"/>
  <c r="W102" i="125"/>
  <c r="X102" i="125"/>
  <c r="Y102" i="125"/>
  <c r="Z102" i="125"/>
  <c r="AA102" i="125"/>
  <c r="AB102" i="125"/>
  <c r="AC102" i="125"/>
  <c r="AD102" i="125"/>
  <c r="AH102" i="125"/>
  <c r="AI102" i="125"/>
  <c r="AJ102" i="125"/>
  <c r="AK102" i="125"/>
  <c r="AL102" i="125"/>
  <c r="AM102" i="125"/>
  <c r="AN102" i="125"/>
  <c r="AO102" i="125"/>
  <c r="AP102" i="125"/>
  <c r="AQ102" i="125"/>
  <c r="AR102" i="125"/>
  <c r="AS102" i="125"/>
  <c r="AW102" i="125"/>
  <c r="AX102" i="125"/>
  <c r="AY102" i="125"/>
  <c r="AZ102" i="125"/>
  <c r="BA102" i="125"/>
  <c r="BB102" i="125"/>
  <c r="BC102" i="125"/>
  <c r="BD102" i="125"/>
  <c r="BE102" i="125"/>
  <c r="BF102" i="125"/>
  <c r="BG102" i="125"/>
  <c r="BH102" i="125"/>
  <c r="BL102" i="125"/>
  <c r="BM102" i="125"/>
  <c r="BN102" i="125"/>
  <c r="BO102" i="125"/>
  <c r="BP102" i="125"/>
  <c r="BQ102" i="125"/>
  <c r="BR102" i="125"/>
  <c r="BS102" i="125"/>
  <c r="BT102" i="125"/>
  <c r="BU102" i="125"/>
  <c r="BV102" i="125"/>
  <c r="BW102" i="125"/>
  <c r="CA102" i="125"/>
  <c r="CB102" i="125"/>
  <c r="CC102" i="125"/>
  <c r="CD102" i="125"/>
  <c r="CE102" i="125"/>
  <c r="CF102" i="125"/>
  <c r="CG102" i="125"/>
  <c r="CH102" i="125"/>
  <c r="CI102" i="125"/>
  <c r="CJ102" i="125"/>
  <c r="CK102" i="125"/>
  <c r="CL102" i="125"/>
  <c r="D103" i="125"/>
  <c r="E103" i="125"/>
  <c r="F103" i="125"/>
  <c r="G103" i="125"/>
  <c r="H103" i="125"/>
  <c r="I103" i="125"/>
  <c r="J103" i="125"/>
  <c r="K103" i="125"/>
  <c r="L103" i="125"/>
  <c r="M103" i="125"/>
  <c r="N103" i="125"/>
  <c r="O103" i="125"/>
  <c r="S103" i="125"/>
  <c r="T103" i="125"/>
  <c r="U103" i="125"/>
  <c r="V103" i="125"/>
  <c r="W103" i="125"/>
  <c r="X103" i="125"/>
  <c r="Y103" i="125"/>
  <c r="Z103" i="125"/>
  <c r="AA103" i="125"/>
  <c r="AB103" i="125"/>
  <c r="AC103" i="125"/>
  <c r="AD103" i="125"/>
  <c r="AH103" i="125"/>
  <c r="AI103" i="125"/>
  <c r="AJ103" i="125"/>
  <c r="AK103" i="125"/>
  <c r="AL103" i="125"/>
  <c r="AM103" i="125"/>
  <c r="AN103" i="125"/>
  <c r="AO103" i="125"/>
  <c r="AP103" i="125"/>
  <c r="AQ103" i="125"/>
  <c r="AR103" i="125"/>
  <c r="AS103" i="125"/>
  <c r="AW103" i="125"/>
  <c r="AX103" i="125"/>
  <c r="AY103" i="125"/>
  <c r="AZ103" i="125"/>
  <c r="BA103" i="125"/>
  <c r="BB103" i="125"/>
  <c r="BC103" i="125"/>
  <c r="BD103" i="125"/>
  <c r="BE103" i="125"/>
  <c r="BF103" i="125"/>
  <c r="BG103" i="125"/>
  <c r="BH103" i="125"/>
  <c r="BL103" i="125"/>
  <c r="BM103" i="125"/>
  <c r="BN103" i="125"/>
  <c r="BO103" i="125"/>
  <c r="BP103" i="125"/>
  <c r="BQ103" i="125"/>
  <c r="BR103" i="125"/>
  <c r="BS103" i="125"/>
  <c r="BT103" i="125"/>
  <c r="BU103" i="125"/>
  <c r="BV103" i="125"/>
  <c r="BW103" i="125"/>
  <c r="CA103" i="125"/>
  <c r="CB103" i="125"/>
  <c r="CC103" i="125"/>
  <c r="CD103" i="125"/>
  <c r="CE103" i="125"/>
  <c r="CF103" i="125"/>
  <c r="CG103" i="125"/>
  <c r="CH103" i="125"/>
  <c r="CI103" i="125"/>
  <c r="CJ103" i="125"/>
  <c r="CK103" i="125"/>
  <c r="CL103" i="125"/>
  <c r="D104" i="125"/>
  <c r="E104" i="125"/>
  <c r="F104" i="125"/>
  <c r="G104" i="125"/>
  <c r="H104" i="125"/>
  <c r="I104" i="125"/>
  <c r="J104" i="125"/>
  <c r="K104" i="125"/>
  <c r="L104" i="125"/>
  <c r="M104" i="125"/>
  <c r="N104" i="125"/>
  <c r="O104" i="125"/>
  <c r="S104" i="125"/>
  <c r="T104" i="125"/>
  <c r="U104" i="125"/>
  <c r="V104" i="125"/>
  <c r="W104" i="125"/>
  <c r="X104" i="125"/>
  <c r="Y104" i="125"/>
  <c r="Z104" i="125"/>
  <c r="AA104" i="125"/>
  <c r="AB104" i="125"/>
  <c r="AC104" i="125"/>
  <c r="AD104" i="125"/>
  <c r="AH104" i="125"/>
  <c r="AI104" i="125"/>
  <c r="AJ104" i="125"/>
  <c r="AK104" i="125"/>
  <c r="AL104" i="125"/>
  <c r="AM104" i="125"/>
  <c r="AN104" i="125"/>
  <c r="AO104" i="125"/>
  <c r="AP104" i="125"/>
  <c r="AQ104" i="125"/>
  <c r="AR104" i="125"/>
  <c r="AS104" i="125"/>
  <c r="AW104" i="125"/>
  <c r="AX104" i="125"/>
  <c r="AY104" i="125"/>
  <c r="AZ104" i="125"/>
  <c r="BA104" i="125"/>
  <c r="BB104" i="125"/>
  <c r="BC104" i="125"/>
  <c r="BD104" i="125"/>
  <c r="BE104" i="125"/>
  <c r="BF104" i="125"/>
  <c r="BG104" i="125"/>
  <c r="BH104" i="125"/>
  <c r="BL104" i="125"/>
  <c r="BM104" i="125"/>
  <c r="BN104" i="125"/>
  <c r="BO104" i="125"/>
  <c r="BP104" i="125"/>
  <c r="BQ104" i="125"/>
  <c r="BR104" i="125"/>
  <c r="BS104" i="125"/>
  <c r="BT104" i="125"/>
  <c r="BU104" i="125"/>
  <c r="BV104" i="125"/>
  <c r="BW104" i="125"/>
  <c r="CA104" i="125"/>
  <c r="CB104" i="125"/>
  <c r="CC104" i="125"/>
  <c r="CD104" i="125"/>
  <c r="CE104" i="125"/>
  <c r="CF104" i="125"/>
  <c r="CG104" i="125"/>
  <c r="CH104" i="125"/>
  <c r="CI104" i="125"/>
  <c r="CJ104" i="125"/>
  <c r="CK104" i="125"/>
  <c r="CL104" i="125"/>
  <c r="D105" i="125"/>
  <c r="E105" i="125"/>
  <c r="F105" i="125"/>
  <c r="G105" i="125"/>
  <c r="H105" i="125"/>
  <c r="I105" i="125"/>
  <c r="J105" i="125"/>
  <c r="K105" i="125"/>
  <c r="L105" i="125"/>
  <c r="M105" i="125"/>
  <c r="N105" i="125"/>
  <c r="O105" i="125"/>
  <c r="S105" i="125"/>
  <c r="T105" i="125"/>
  <c r="U105" i="125"/>
  <c r="V105" i="125"/>
  <c r="W105" i="125"/>
  <c r="X105" i="125"/>
  <c r="Y105" i="125"/>
  <c r="Z105" i="125"/>
  <c r="AA105" i="125"/>
  <c r="AB105" i="125"/>
  <c r="AC105" i="125"/>
  <c r="AD105" i="125"/>
  <c r="AH105" i="125"/>
  <c r="AI105" i="125"/>
  <c r="AJ105" i="125"/>
  <c r="AK105" i="125"/>
  <c r="AL105" i="125"/>
  <c r="AM105" i="125"/>
  <c r="AN105" i="125"/>
  <c r="AO105" i="125"/>
  <c r="AP105" i="125"/>
  <c r="AQ105" i="125"/>
  <c r="AR105" i="125"/>
  <c r="AS105" i="125"/>
  <c r="AW105" i="125"/>
  <c r="AX105" i="125"/>
  <c r="AY105" i="125"/>
  <c r="AZ105" i="125"/>
  <c r="BA105" i="125"/>
  <c r="BB105" i="125"/>
  <c r="BC105" i="125"/>
  <c r="BD105" i="125"/>
  <c r="BE105" i="125"/>
  <c r="BF105" i="125"/>
  <c r="BG105" i="125"/>
  <c r="BH105" i="125"/>
  <c r="BL105" i="125"/>
  <c r="BM105" i="125"/>
  <c r="BN105" i="125"/>
  <c r="BO105" i="125"/>
  <c r="BP105" i="125"/>
  <c r="BQ105" i="125"/>
  <c r="BR105" i="125"/>
  <c r="BS105" i="125"/>
  <c r="BT105" i="125"/>
  <c r="BU105" i="125"/>
  <c r="BV105" i="125"/>
  <c r="BW105" i="125"/>
  <c r="CA105" i="125"/>
  <c r="CB105" i="125"/>
  <c r="CC105" i="125"/>
  <c r="CD105" i="125"/>
  <c r="CE105" i="125"/>
  <c r="CF105" i="125"/>
  <c r="CG105" i="125"/>
  <c r="CH105" i="125"/>
  <c r="CI105" i="125"/>
  <c r="CJ105" i="125"/>
  <c r="CK105" i="125"/>
  <c r="CL105" i="125"/>
  <c r="D106" i="125"/>
  <c r="E106" i="125"/>
  <c r="F106" i="125"/>
  <c r="G106" i="125"/>
  <c r="H106" i="125"/>
  <c r="I106" i="125"/>
  <c r="J106" i="125"/>
  <c r="K106" i="125"/>
  <c r="L106" i="125"/>
  <c r="M106" i="125"/>
  <c r="N106" i="125"/>
  <c r="O106" i="125"/>
  <c r="S106" i="125"/>
  <c r="T106" i="125"/>
  <c r="U106" i="125"/>
  <c r="V106" i="125"/>
  <c r="W106" i="125"/>
  <c r="X106" i="125"/>
  <c r="Y106" i="125"/>
  <c r="Z106" i="125"/>
  <c r="AA106" i="125"/>
  <c r="AB106" i="125"/>
  <c r="AC106" i="125"/>
  <c r="AD106" i="125"/>
  <c r="AH106" i="125"/>
  <c r="AI106" i="125"/>
  <c r="AJ106" i="125"/>
  <c r="AK106" i="125"/>
  <c r="AL106" i="125"/>
  <c r="AM106" i="125"/>
  <c r="AN106" i="125"/>
  <c r="AO106" i="125"/>
  <c r="AP106" i="125"/>
  <c r="AQ106" i="125"/>
  <c r="AR106" i="125"/>
  <c r="AS106" i="125"/>
  <c r="AW106" i="125"/>
  <c r="AX106" i="125"/>
  <c r="AY106" i="125"/>
  <c r="AZ106" i="125"/>
  <c r="BA106" i="125"/>
  <c r="BB106" i="125"/>
  <c r="BC106" i="125"/>
  <c r="BD106" i="125"/>
  <c r="BE106" i="125"/>
  <c r="BF106" i="125"/>
  <c r="BG106" i="125"/>
  <c r="BH106" i="125"/>
  <c r="BL106" i="125"/>
  <c r="BM106" i="125"/>
  <c r="BN106" i="125"/>
  <c r="BO106" i="125"/>
  <c r="BP106" i="125"/>
  <c r="BQ106" i="125"/>
  <c r="BR106" i="125"/>
  <c r="BS106" i="125"/>
  <c r="BT106" i="125"/>
  <c r="BU106" i="125"/>
  <c r="BV106" i="125"/>
  <c r="BW106" i="125"/>
  <c r="CA106" i="125"/>
  <c r="CB106" i="125"/>
  <c r="CC106" i="125"/>
  <c r="CD106" i="125"/>
  <c r="CE106" i="125"/>
  <c r="CF106" i="125"/>
  <c r="CG106" i="125"/>
  <c r="CH106" i="125"/>
  <c r="CI106" i="125"/>
  <c r="CJ106" i="125"/>
  <c r="CK106" i="125"/>
  <c r="CL106" i="125"/>
  <c r="D107" i="125"/>
  <c r="E107" i="125"/>
  <c r="F107" i="125"/>
  <c r="G107" i="125"/>
  <c r="H107" i="125"/>
  <c r="I107" i="125"/>
  <c r="J107" i="125"/>
  <c r="K107" i="125"/>
  <c r="L107" i="125"/>
  <c r="M107" i="125"/>
  <c r="N107" i="125"/>
  <c r="O107" i="125"/>
  <c r="S107" i="125"/>
  <c r="T107" i="125"/>
  <c r="U107" i="125"/>
  <c r="V107" i="125"/>
  <c r="W107" i="125"/>
  <c r="X107" i="125"/>
  <c r="Y107" i="125"/>
  <c r="Z107" i="125"/>
  <c r="AA107" i="125"/>
  <c r="AB107" i="125"/>
  <c r="AC107" i="125"/>
  <c r="AD107" i="125"/>
  <c r="AH107" i="125"/>
  <c r="AI107" i="125"/>
  <c r="AJ107" i="125"/>
  <c r="AK107" i="125"/>
  <c r="AL107" i="125"/>
  <c r="AM107" i="125"/>
  <c r="AN107" i="125"/>
  <c r="AO107" i="125"/>
  <c r="AP107" i="125"/>
  <c r="AQ107" i="125"/>
  <c r="AR107" i="125"/>
  <c r="AS107" i="125"/>
  <c r="AW107" i="125"/>
  <c r="AX107" i="125"/>
  <c r="AY107" i="125"/>
  <c r="AZ107" i="125"/>
  <c r="BA107" i="125"/>
  <c r="BB107" i="125"/>
  <c r="BC107" i="125"/>
  <c r="BD107" i="125"/>
  <c r="BE107" i="125"/>
  <c r="BF107" i="125"/>
  <c r="BG107" i="125"/>
  <c r="BH107" i="125"/>
  <c r="BL107" i="125"/>
  <c r="BM107" i="125"/>
  <c r="BN107" i="125"/>
  <c r="BO107" i="125"/>
  <c r="BP107" i="125"/>
  <c r="BQ107" i="125"/>
  <c r="BR107" i="125"/>
  <c r="BS107" i="125"/>
  <c r="BT107" i="125"/>
  <c r="BU107" i="125"/>
  <c r="BV107" i="125"/>
  <c r="BW107" i="125"/>
  <c r="CA107" i="125"/>
  <c r="CB107" i="125"/>
  <c r="CC107" i="125"/>
  <c r="CD107" i="125"/>
  <c r="CE107" i="125"/>
  <c r="CF107" i="125"/>
  <c r="CG107" i="125"/>
  <c r="CH107" i="125"/>
  <c r="CI107" i="125"/>
  <c r="CJ107" i="125"/>
  <c r="CK107" i="125"/>
  <c r="CL107" i="125"/>
  <c r="D108" i="125"/>
  <c r="E108" i="125"/>
  <c r="F108" i="125"/>
  <c r="G108" i="125"/>
  <c r="H108" i="125"/>
  <c r="I108" i="125"/>
  <c r="J108" i="125"/>
  <c r="K108" i="125"/>
  <c r="L108" i="125"/>
  <c r="M108" i="125"/>
  <c r="N108" i="125"/>
  <c r="O108" i="125"/>
  <c r="S108" i="125"/>
  <c r="T108" i="125"/>
  <c r="U108" i="125"/>
  <c r="V108" i="125"/>
  <c r="W108" i="125"/>
  <c r="X108" i="125"/>
  <c r="Y108" i="125"/>
  <c r="Z108" i="125"/>
  <c r="AA108" i="125"/>
  <c r="AB108" i="125"/>
  <c r="AC108" i="125"/>
  <c r="AD108" i="125"/>
  <c r="AH108" i="125"/>
  <c r="AI108" i="125"/>
  <c r="AJ108" i="125"/>
  <c r="AK108" i="125"/>
  <c r="AL108" i="125"/>
  <c r="AM108" i="125"/>
  <c r="AN108" i="125"/>
  <c r="AO108" i="125"/>
  <c r="AP108" i="125"/>
  <c r="AQ108" i="125"/>
  <c r="AR108" i="125"/>
  <c r="AS108" i="125"/>
  <c r="AW108" i="125"/>
  <c r="AX108" i="125"/>
  <c r="AY108" i="125"/>
  <c r="AZ108" i="125"/>
  <c r="BA108" i="125"/>
  <c r="BB108" i="125"/>
  <c r="BC108" i="125"/>
  <c r="BD108" i="125"/>
  <c r="BE108" i="125"/>
  <c r="BF108" i="125"/>
  <c r="BG108" i="125"/>
  <c r="BH108" i="125"/>
  <c r="BL108" i="125"/>
  <c r="BM108" i="125"/>
  <c r="BN108" i="125"/>
  <c r="BO108" i="125"/>
  <c r="BP108" i="125"/>
  <c r="BQ108" i="125"/>
  <c r="BR108" i="125"/>
  <c r="BS108" i="125"/>
  <c r="BT108" i="125"/>
  <c r="BU108" i="125"/>
  <c r="BV108" i="125"/>
  <c r="BW108" i="125"/>
  <c r="CA108" i="125"/>
  <c r="CB108" i="125"/>
  <c r="CC108" i="125"/>
  <c r="CD108" i="125"/>
  <c r="CE108" i="125"/>
  <c r="CF108" i="125"/>
  <c r="CG108" i="125"/>
  <c r="CH108" i="125"/>
  <c r="CI108" i="125"/>
  <c r="CJ108" i="125"/>
  <c r="CK108" i="125"/>
  <c r="CL108" i="125"/>
  <c r="D109" i="125"/>
  <c r="E109" i="125"/>
  <c r="F109" i="125"/>
  <c r="G109" i="125"/>
  <c r="H109" i="125"/>
  <c r="I109" i="125"/>
  <c r="J109" i="125"/>
  <c r="K109" i="125"/>
  <c r="L109" i="125"/>
  <c r="M109" i="125"/>
  <c r="N109" i="125"/>
  <c r="O109" i="125"/>
  <c r="S109" i="125"/>
  <c r="T109" i="125"/>
  <c r="U109" i="125"/>
  <c r="V109" i="125"/>
  <c r="W109" i="125"/>
  <c r="X109" i="125"/>
  <c r="Y109" i="125"/>
  <c r="Z109" i="125"/>
  <c r="AA109" i="125"/>
  <c r="AB109" i="125"/>
  <c r="AC109" i="125"/>
  <c r="AD109" i="125"/>
  <c r="AH109" i="125"/>
  <c r="AI109" i="125"/>
  <c r="AJ109" i="125"/>
  <c r="AK109" i="125"/>
  <c r="AL109" i="125"/>
  <c r="AM109" i="125"/>
  <c r="AN109" i="125"/>
  <c r="AO109" i="125"/>
  <c r="AP109" i="125"/>
  <c r="AQ109" i="125"/>
  <c r="AR109" i="125"/>
  <c r="AS109" i="125"/>
  <c r="AW109" i="125"/>
  <c r="AX109" i="125"/>
  <c r="AY109" i="125"/>
  <c r="AZ109" i="125"/>
  <c r="BA109" i="125"/>
  <c r="BB109" i="125"/>
  <c r="BC109" i="125"/>
  <c r="BD109" i="125"/>
  <c r="BE109" i="125"/>
  <c r="BF109" i="125"/>
  <c r="BG109" i="125"/>
  <c r="BH109" i="125"/>
  <c r="BL109" i="125"/>
  <c r="BM109" i="125"/>
  <c r="BN109" i="125"/>
  <c r="BO109" i="125"/>
  <c r="BP109" i="125"/>
  <c r="BQ109" i="125"/>
  <c r="BR109" i="125"/>
  <c r="BS109" i="125"/>
  <c r="BT109" i="125"/>
  <c r="BU109" i="125"/>
  <c r="BV109" i="125"/>
  <c r="BW109" i="125"/>
  <c r="CA109" i="125"/>
  <c r="CB109" i="125"/>
  <c r="CC109" i="125"/>
  <c r="CD109" i="125"/>
  <c r="CE109" i="125"/>
  <c r="CF109" i="125"/>
  <c r="CG109" i="125"/>
  <c r="CH109" i="125"/>
  <c r="CI109" i="125"/>
  <c r="CJ109" i="125"/>
  <c r="CK109" i="125"/>
  <c r="CL109" i="125"/>
  <c r="B14" i="86"/>
  <c r="B15" i="86"/>
  <c r="A23" i="86"/>
  <c r="B14" i="32"/>
  <c r="B15" i="32"/>
  <c r="E20" i="32"/>
  <c r="D32" i="32"/>
  <c r="B16" i="89"/>
  <c r="B15" i="89" s="1"/>
  <c r="B14" i="70"/>
  <c r="B15" i="70"/>
  <c r="E20" i="70"/>
  <c r="Q26" i="70"/>
  <c r="Q27" i="70"/>
  <c r="Q28" i="70"/>
  <c r="Q30" i="70"/>
  <c r="Q31" i="70"/>
  <c r="Q32" i="70"/>
  <c r="B14" i="57"/>
  <c r="B15" i="57"/>
  <c r="P26" i="59"/>
  <c r="Q26" i="59"/>
  <c r="N27" i="59"/>
  <c r="P27" i="59"/>
  <c r="Q27" i="59"/>
  <c r="O28" i="59"/>
  <c r="P28" i="59"/>
  <c r="Q28" i="59"/>
  <c r="D29" i="59"/>
  <c r="E29" i="59"/>
  <c r="G29" i="59"/>
  <c r="H29" i="59"/>
  <c r="J29" i="59"/>
  <c r="K29" i="59"/>
  <c r="B14" i="61"/>
  <c r="B15" i="61"/>
  <c r="B14" i="126"/>
  <c r="B15" i="126"/>
  <c r="B14" i="60"/>
  <c r="B15" i="60"/>
  <c r="E20" i="60"/>
  <c r="B14" i="56"/>
  <c r="B15" i="56"/>
  <c r="A23" i="56"/>
  <c r="G27" i="56"/>
  <c r="R28" i="89" s="1"/>
  <c r="G28" i="56"/>
  <c r="G29" i="56"/>
  <c r="A23" i="103"/>
  <c r="G26" i="103"/>
  <c r="G27" i="103"/>
  <c r="D44" i="103" s="1"/>
  <c r="G28" i="103"/>
  <c r="D45" i="103" s="1"/>
  <c r="G29" i="103"/>
  <c r="D46" i="103" s="1"/>
  <c r="D30" i="103"/>
  <c r="E30" i="103"/>
  <c r="F30" i="103"/>
  <c r="G31" i="103"/>
  <c r="G32" i="103"/>
  <c r="E44" i="103" s="1"/>
  <c r="G33" i="103"/>
  <c r="E45" i="103" s="1"/>
  <c r="G34" i="103"/>
  <c r="E46" i="103" s="1"/>
  <c r="D35" i="103"/>
  <c r="E35" i="103"/>
  <c r="F35" i="103"/>
  <c r="G36" i="103"/>
  <c r="G37" i="103"/>
  <c r="F44" i="103" s="1"/>
  <c r="G38" i="103"/>
  <c r="F45" i="103" s="1"/>
  <c r="G39" i="103"/>
  <c r="F46" i="103" s="1"/>
  <c r="D40" i="103"/>
  <c r="E40" i="103"/>
  <c r="F40" i="103"/>
  <c r="A48" i="103"/>
  <c r="E50" i="103"/>
  <c r="A24" i="42"/>
  <c r="J24" i="42"/>
  <c r="B28" i="42"/>
  <c r="B29" i="42" s="1"/>
  <c r="B14" i="49"/>
  <c r="A23" i="49" s="1"/>
  <c r="B16" i="49"/>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H27" i="91"/>
  <c r="G24" i="132" s="1"/>
  <c r="B28" i="91"/>
  <c r="H28" i="91"/>
  <c r="H29" i="91"/>
  <c r="H30" i="91"/>
  <c r="H31" i="91"/>
  <c r="H32" i="91"/>
  <c r="H33" i="91"/>
  <c r="H34" i="91"/>
  <c r="H35" i="91"/>
  <c r="H36" i="91"/>
  <c r="H37" i="91"/>
  <c r="H38" i="91"/>
  <c r="H39" i="91"/>
  <c r="H40" i="91"/>
  <c r="H41" i="91"/>
  <c r="H42" i="91"/>
  <c r="H43" i="91"/>
  <c r="H44" i="91"/>
  <c r="H45" i="91"/>
  <c r="H46" i="91"/>
  <c r="H47" i="91"/>
  <c r="H48" i="91"/>
  <c r="H49" i="91"/>
  <c r="H50" i="91"/>
  <c r="H51" i="91"/>
  <c r="H52" i="91"/>
  <c r="H53" i="91"/>
  <c r="H54" i="91"/>
  <c r="H55" i="91"/>
  <c r="H56" i="91"/>
  <c r="H57" i="91"/>
  <c r="H58" i="91"/>
  <c r="H59" i="91"/>
  <c r="H60" i="91"/>
  <c r="H61" i="91"/>
  <c r="H62" i="91"/>
  <c r="H63" i="91"/>
  <c r="H64" i="91"/>
  <c r="H65" i="91"/>
  <c r="H66" i="91"/>
  <c r="H67" i="91"/>
  <c r="H68" i="91"/>
  <c r="B16" i="28"/>
  <c r="B27" i="28" s="1"/>
  <c r="A24" i="93"/>
  <c r="B14" i="29"/>
  <c r="B15" i="29"/>
  <c r="B14" i="40"/>
  <c r="B15" i="40"/>
  <c r="L29" i="40"/>
  <c r="M29" i="40"/>
  <c r="N29" i="40"/>
  <c r="O29" i="40"/>
  <c r="K30" i="40"/>
  <c r="L30" i="40"/>
  <c r="M30" i="40"/>
  <c r="N30" i="40"/>
  <c r="O30" i="40"/>
  <c r="K31" i="40"/>
  <c r="L31" i="40"/>
  <c r="M31" i="40"/>
  <c r="N31" i="40"/>
  <c r="O31" i="40"/>
  <c r="K32" i="40"/>
  <c r="L32" i="40"/>
  <c r="M32" i="40"/>
  <c r="N32" i="40"/>
  <c r="O32" i="40"/>
  <c r="K33" i="40"/>
  <c r="L33" i="40"/>
  <c r="M33" i="40"/>
  <c r="N33" i="40"/>
  <c r="O33" i="40"/>
  <c r="K34" i="40"/>
  <c r="L34" i="40"/>
  <c r="M34" i="40"/>
  <c r="N34" i="40"/>
  <c r="O34" i="40"/>
  <c r="K35" i="40"/>
  <c r="L35" i="40"/>
  <c r="M35" i="40"/>
  <c r="N35" i="40"/>
  <c r="O35" i="40"/>
  <c r="K36" i="40"/>
  <c r="L36" i="40"/>
  <c r="M36" i="40"/>
  <c r="N36" i="40"/>
  <c r="O36" i="40"/>
  <c r="K37" i="40"/>
  <c r="L37" i="40"/>
  <c r="M37" i="40"/>
  <c r="N37" i="40"/>
  <c r="O37" i="40"/>
  <c r="K38" i="40"/>
  <c r="L38" i="40"/>
  <c r="M38" i="40"/>
  <c r="N38" i="40"/>
  <c r="O38" i="40"/>
  <c r="K39" i="40"/>
  <c r="L39" i="40"/>
  <c r="M39" i="40"/>
  <c r="N39" i="40"/>
  <c r="O39" i="40"/>
  <c r="K40" i="40"/>
  <c r="L40" i="40"/>
  <c r="M40" i="40"/>
  <c r="N40" i="40"/>
  <c r="O40" i="40"/>
  <c r="K41" i="40"/>
  <c r="L41" i="40"/>
  <c r="M41" i="40"/>
  <c r="N41" i="40"/>
  <c r="O41" i="40"/>
  <c r="K42" i="40"/>
  <c r="L42" i="40"/>
  <c r="M42" i="40"/>
  <c r="N42" i="40"/>
  <c r="O42" i="40"/>
  <c r="K43" i="40"/>
  <c r="L43" i="40"/>
  <c r="M43" i="40"/>
  <c r="N43" i="40"/>
  <c r="O43" i="40"/>
  <c r="K44" i="40"/>
  <c r="L44" i="40"/>
  <c r="M44" i="40"/>
  <c r="N44" i="40"/>
  <c r="O44" i="40"/>
  <c r="K45" i="40"/>
  <c r="L45" i="40"/>
  <c r="M45" i="40"/>
  <c r="N45" i="40"/>
  <c r="O45" i="40"/>
  <c r="K46" i="40"/>
  <c r="L46" i="40"/>
  <c r="M46" i="40"/>
  <c r="N46" i="40"/>
  <c r="O46" i="40"/>
  <c r="K47" i="40"/>
  <c r="L47" i="40"/>
  <c r="M47" i="40"/>
  <c r="N47" i="40"/>
  <c r="O47" i="40"/>
  <c r="K48" i="40"/>
  <c r="L48" i="40"/>
  <c r="M48" i="40"/>
  <c r="N48" i="40"/>
  <c r="O48" i="40"/>
  <c r="K49" i="40"/>
  <c r="L49" i="40"/>
  <c r="M49" i="40"/>
  <c r="N49" i="40"/>
  <c r="O49" i="40"/>
  <c r="K50" i="40"/>
  <c r="L50" i="40"/>
  <c r="M50" i="40"/>
  <c r="N50" i="40"/>
  <c r="O50" i="40"/>
  <c r="K51" i="40"/>
  <c r="L51" i="40"/>
  <c r="M51" i="40"/>
  <c r="N51" i="40"/>
  <c r="O51" i="40"/>
  <c r="K52" i="40"/>
  <c r="L52" i="40"/>
  <c r="M52" i="40"/>
  <c r="N52" i="40"/>
  <c r="O52" i="40"/>
  <c r="K53" i="40"/>
  <c r="L53" i="40"/>
  <c r="M53" i="40"/>
  <c r="N53" i="40"/>
  <c r="O53" i="40"/>
  <c r="K54" i="40"/>
  <c r="L54" i="40"/>
  <c r="M54" i="40"/>
  <c r="N54" i="40"/>
  <c r="O54" i="40"/>
  <c r="K55" i="40"/>
  <c r="L55" i="40"/>
  <c r="M55" i="40"/>
  <c r="N55" i="40"/>
  <c r="O55" i="40"/>
  <c r="K56" i="40"/>
  <c r="L56" i="40"/>
  <c r="M56" i="40"/>
  <c r="N56" i="40"/>
  <c r="O56" i="40"/>
  <c r="K57" i="40"/>
  <c r="L57" i="40"/>
  <c r="M57" i="40"/>
  <c r="N57" i="40"/>
  <c r="O57" i="40"/>
  <c r="K58" i="40"/>
  <c r="L58" i="40"/>
  <c r="M58" i="40"/>
  <c r="N58" i="40"/>
  <c r="O58" i="40"/>
  <c r="K59" i="40"/>
  <c r="L59" i="40"/>
  <c r="M59" i="40"/>
  <c r="N59" i="40"/>
  <c r="O59" i="40"/>
  <c r="L60" i="40"/>
  <c r="M60" i="40"/>
  <c r="N60" i="40"/>
  <c r="O60" i="40"/>
  <c r="L61" i="40"/>
  <c r="M61" i="40"/>
  <c r="N61" i="40"/>
  <c r="O61" i="40"/>
  <c r="K64" i="40"/>
  <c r="K65" i="40" s="1"/>
  <c r="L62" i="40"/>
  <c r="L63" i="40" s="1"/>
  <c r="L64" i="40" s="1"/>
  <c r="L65" i="40" s="1"/>
  <c r="M62" i="40"/>
  <c r="M63" i="40" s="1"/>
  <c r="M64" i="40" s="1"/>
  <c r="M65" i="40" s="1"/>
  <c r="N62" i="40"/>
  <c r="N63" i="40" s="1"/>
  <c r="N64" i="40" s="1"/>
  <c r="N65" i="40" s="1"/>
  <c r="O62" i="40"/>
  <c r="O63" i="40" s="1"/>
  <c r="O64" i="40" s="1"/>
  <c r="O65" i="40" s="1"/>
  <c r="P65" i="40"/>
  <c r="Q65" i="40"/>
  <c r="R65" i="40"/>
  <c r="S65" i="40"/>
  <c r="T65" i="40"/>
  <c r="U65" i="40"/>
  <c r="V65" i="40"/>
  <c r="W65" i="40"/>
  <c r="Z65" i="40"/>
  <c r="AA65" i="40"/>
  <c r="AB65" i="40"/>
  <c r="E20" i="30"/>
  <c r="B14" i="139"/>
  <c r="B15" i="139"/>
  <c r="D28" i="140"/>
  <c r="D29" i="140"/>
  <c r="D30" i="140"/>
  <c r="D31" i="140"/>
  <c r="D32" i="140"/>
  <c r="D33" i="140"/>
  <c r="D34" i="140"/>
  <c r="D35" i="140"/>
  <c r="D36" i="140"/>
  <c r="D37" i="140"/>
  <c r="D38" i="140"/>
  <c r="D39" i="140"/>
  <c r="D40" i="140"/>
  <c r="D41" i="140"/>
  <c r="D42" i="140"/>
  <c r="D43" i="140"/>
  <c r="D44" i="140"/>
  <c r="D45" i="140"/>
  <c r="D46" i="140"/>
  <c r="D47" i="140"/>
  <c r="D48" i="140"/>
  <c r="D49" i="140"/>
  <c r="D50" i="140"/>
  <c r="D51" i="140"/>
  <c r="D52" i="140"/>
  <c r="D53" i="140"/>
  <c r="D54" i="140"/>
  <c r="D55" i="140"/>
  <c r="D56" i="140"/>
  <c r="D57" i="140"/>
  <c r="D58" i="140"/>
  <c r="D59" i="140"/>
  <c r="D60" i="140"/>
  <c r="D61" i="140"/>
  <c r="D62" i="140"/>
  <c r="D63" i="140"/>
  <c r="D64" i="140"/>
  <c r="D65" i="140"/>
  <c r="D66" i="140"/>
  <c r="D67" i="140"/>
  <c r="D68" i="140"/>
  <c r="D69" i="140"/>
  <c r="D28" i="141"/>
  <c r="E28" i="141"/>
  <c r="F28" i="141"/>
  <c r="G28" i="141"/>
  <c r="H28" i="141"/>
  <c r="I28" i="141"/>
  <c r="D29" i="141"/>
  <c r="E29" i="141"/>
  <c r="F29" i="141"/>
  <c r="G29" i="141"/>
  <c r="H29" i="141"/>
  <c r="I29" i="141"/>
  <c r="D30" i="141"/>
  <c r="E30" i="141"/>
  <c r="F30" i="141"/>
  <c r="G30" i="141"/>
  <c r="H30" i="141"/>
  <c r="I30" i="141"/>
  <c r="D31" i="141"/>
  <c r="E31" i="141"/>
  <c r="F31" i="141"/>
  <c r="G31" i="141"/>
  <c r="H31" i="141"/>
  <c r="I31" i="141"/>
  <c r="D32" i="141"/>
  <c r="E32" i="141"/>
  <c r="F32" i="141"/>
  <c r="G32" i="141"/>
  <c r="H32" i="141"/>
  <c r="I32" i="141"/>
  <c r="D33" i="141"/>
  <c r="E33" i="141"/>
  <c r="F33" i="141"/>
  <c r="G33" i="141"/>
  <c r="H33" i="141"/>
  <c r="I33" i="141"/>
  <c r="D34" i="141"/>
  <c r="E34" i="141"/>
  <c r="F34" i="141"/>
  <c r="G34" i="141"/>
  <c r="H34" i="141"/>
  <c r="I34" i="141"/>
  <c r="D35" i="141"/>
  <c r="E35" i="141"/>
  <c r="F35" i="141"/>
  <c r="G35" i="141"/>
  <c r="H35" i="141"/>
  <c r="I35" i="141"/>
  <c r="D36" i="141"/>
  <c r="E36" i="141"/>
  <c r="F36" i="141"/>
  <c r="G36" i="141"/>
  <c r="H36" i="141"/>
  <c r="I36" i="141"/>
  <c r="D37" i="141"/>
  <c r="E37" i="141"/>
  <c r="F37" i="141"/>
  <c r="G37" i="141"/>
  <c r="H37" i="141"/>
  <c r="I37" i="141"/>
  <c r="D38" i="141"/>
  <c r="E38" i="141"/>
  <c r="F38" i="141"/>
  <c r="G38" i="141"/>
  <c r="H38" i="141"/>
  <c r="I38" i="141"/>
  <c r="D39" i="141"/>
  <c r="E39" i="141"/>
  <c r="F39" i="141"/>
  <c r="G39" i="141"/>
  <c r="H39" i="141"/>
  <c r="I39" i="141"/>
  <c r="D40" i="141"/>
  <c r="E40" i="141"/>
  <c r="F40" i="141"/>
  <c r="G40" i="141"/>
  <c r="H40" i="141"/>
  <c r="I40" i="141"/>
  <c r="D41" i="141"/>
  <c r="E41" i="141"/>
  <c r="F41" i="141"/>
  <c r="G41" i="141"/>
  <c r="H41" i="141"/>
  <c r="I41" i="141"/>
  <c r="D42" i="141"/>
  <c r="E42" i="141"/>
  <c r="F42" i="141"/>
  <c r="G42" i="141"/>
  <c r="H42" i="141"/>
  <c r="I42" i="141"/>
  <c r="D43" i="141"/>
  <c r="E43" i="141"/>
  <c r="F43" i="141"/>
  <c r="G43" i="141"/>
  <c r="H43" i="141"/>
  <c r="I43" i="141"/>
  <c r="D44" i="141"/>
  <c r="E44" i="141"/>
  <c r="F44" i="141"/>
  <c r="G44" i="141"/>
  <c r="H44" i="141"/>
  <c r="I44" i="141"/>
  <c r="D45" i="141"/>
  <c r="E45" i="141"/>
  <c r="F45" i="141"/>
  <c r="G45" i="141"/>
  <c r="H45" i="141"/>
  <c r="I45" i="141"/>
  <c r="D46" i="141"/>
  <c r="E46" i="141"/>
  <c r="F46" i="141"/>
  <c r="G46" i="141"/>
  <c r="H46" i="141"/>
  <c r="I46" i="141"/>
  <c r="D47" i="141"/>
  <c r="E47" i="141"/>
  <c r="F47" i="141"/>
  <c r="G47" i="141"/>
  <c r="H47" i="141"/>
  <c r="I47" i="141"/>
  <c r="D48" i="141"/>
  <c r="E48" i="141"/>
  <c r="F48" i="141"/>
  <c r="G48" i="141"/>
  <c r="H48" i="141"/>
  <c r="I48" i="141"/>
  <c r="D49" i="141"/>
  <c r="E49" i="141"/>
  <c r="F49" i="141"/>
  <c r="G49" i="141"/>
  <c r="H49" i="141"/>
  <c r="I49" i="141"/>
  <c r="D50" i="141"/>
  <c r="E50" i="141"/>
  <c r="F50" i="141"/>
  <c r="G50" i="141"/>
  <c r="H50" i="141"/>
  <c r="I50" i="141"/>
  <c r="D51" i="141"/>
  <c r="E51" i="141"/>
  <c r="F51" i="141"/>
  <c r="G51" i="141"/>
  <c r="H51" i="141"/>
  <c r="I51" i="141"/>
  <c r="D52" i="141"/>
  <c r="E52" i="141"/>
  <c r="F52" i="141"/>
  <c r="G52" i="141"/>
  <c r="H52" i="141"/>
  <c r="I52" i="141"/>
  <c r="D53" i="141"/>
  <c r="E53" i="141"/>
  <c r="F53" i="141"/>
  <c r="G53" i="141"/>
  <c r="H53" i="141"/>
  <c r="I53" i="141"/>
  <c r="D54" i="141"/>
  <c r="E54" i="141"/>
  <c r="F54" i="141"/>
  <c r="G54" i="141"/>
  <c r="H54" i="141"/>
  <c r="I54" i="141"/>
  <c r="D55" i="141"/>
  <c r="E55" i="141"/>
  <c r="F55" i="141"/>
  <c r="G55" i="141"/>
  <c r="H55" i="141"/>
  <c r="I55" i="141"/>
  <c r="D56" i="141"/>
  <c r="E56" i="141"/>
  <c r="F56" i="141"/>
  <c r="G56" i="141"/>
  <c r="H56" i="141"/>
  <c r="I56" i="141"/>
  <c r="D57" i="141"/>
  <c r="E57" i="141"/>
  <c r="F57" i="141"/>
  <c r="G57" i="141"/>
  <c r="H57" i="141"/>
  <c r="I57" i="141"/>
  <c r="D58" i="141"/>
  <c r="E58" i="141"/>
  <c r="F58" i="141"/>
  <c r="G58" i="141"/>
  <c r="H58" i="141"/>
  <c r="I58" i="141"/>
  <c r="D59" i="141"/>
  <c r="E59" i="141"/>
  <c r="F59" i="141"/>
  <c r="G59" i="141"/>
  <c r="H59" i="141"/>
  <c r="I59" i="141"/>
  <c r="D60" i="141"/>
  <c r="E60" i="141"/>
  <c r="F60" i="141"/>
  <c r="G60" i="141"/>
  <c r="H60" i="141"/>
  <c r="I60" i="141"/>
  <c r="D61" i="141"/>
  <c r="E61" i="141"/>
  <c r="F61" i="141"/>
  <c r="G61" i="141"/>
  <c r="H61" i="141"/>
  <c r="I61" i="141"/>
  <c r="D62" i="141"/>
  <c r="E62" i="141"/>
  <c r="F62" i="141"/>
  <c r="G62" i="141"/>
  <c r="H62" i="141"/>
  <c r="I62" i="141"/>
  <c r="D63" i="141"/>
  <c r="E63" i="141"/>
  <c r="F63" i="141"/>
  <c r="G63" i="141"/>
  <c r="H63" i="141"/>
  <c r="I63" i="141"/>
  <c r="D64" i="141"/>
  <c r="E64" i="141"/>
  <c r="F64" i="141"/>
  <c r="G64" i="141"/>
  <c r="H64" i="141"/>
  <c r="I64" i="141"/>
  <c r="D65" i="141"/>
  <c r="E65" i="141"/>
  <c r="F65" i="141"/>
  <c r="G65" i="141"/>
  <c r="H65" i="141"/>
  <c r="I65" i="141"/>
  <c r="D66" i="141"/>
  <c r="E66" i="141"/>
  <c r="F66" i="141"/>
  <c r="G66" i="141"/>
  <c r="H66" i="141"/>
  <c r="I66" i="141"/>
  <c r="D67" i="141"/>
  <c r="E67" i="141"/>
  <c r="F67" i="141"/>
  <c r="G67" i="141"/>
  <c r="H67" i="141"/>
  <c r="I67" i="141"/>
  <c r="D68" i="141"/>
  <c r="E68" i="141"/>
  <c r="F68" i="141"/>
  <c r="G68" i="141"/>
  <c r="H68" i="141"/>
  <c r="I68" i="141"/>
  <c r="D69" i="141"/>
  <c r="E69" i="141"/>
  <c r="F69" i="141"/>
  <c r="G69" i="141"/>
  <c r="H69" i="141"/>
  <c r="I69" i="141"/>
  <c r="E7" i="36"/>
  <c r="E8" i="36"/>
  <c r="J8" i="36"/>
  <c r="E9" i="36"/>
  <c r="E10" i="36"/>
  <c r="E11" i="36"/>
  <c r="E12" i="36"/>
  <c r="E13" i="36"/>
  <c r="B14" i="36"/>
  <c r="D23" i="36" s="1"/>
  <c r="B15" i="36"/>
  <c r="B26" i="36" s="1"/>
  <c r="B27" i="36" s="1"/>
  <c r="B28" i="36" s="1"/>
  <c r="B29" i="36" s="1"/>
  <c r="B30" i="36" s="1"/>
  <c r="B31" i="36" s="1"/>
  <c r="B32" i="36" s="1"/>
  <c r="B33" i="36" s="1"/>
  <c r="B34" i="36" s="1"/>
  <c r="B35" i="36" s="1"/>
  <c r="B36" i="36" s="1"/>
  <c r="B37" i="36" s="1"/>
  <c r="B38" i="36" s="1"/>
  <c r="B39" i="36" s="1"/>
  <c r="B40" i="36" s="1"/>
  <c r="B41" i="36" s="1"/>
  <c r="B42" i="36" s="1"/>
  <c r="B43" i="36" s="1"/>
  <c r="B44" i="36" s="1"/>
  <c r="B45" i="36" s="1"/>
  <c r="B46" i="36" s="1"/>
  <c r="B47" i="36" s="1"/>
  <c r="B48" i="36" s="1"/>
  <c r="B49" i="36" s="1"/>
  <c r="B50" i="36" s="1"/>
  <c r="B51" i="36" s="1"/>
  <c r="B52" i="36" s="1"/>
  <c r="D52" i="36" s="1"/>
  <c r="E15" i="36"/>
  <c r="E16" i="36"/>
  <c r="B14" i="87"/>
  <c r="B15" i="87"/>
  <c r="E7" i="47"/>
  <c r="E8" i="47"/>
  <c r="J8" i="47"/>
  <c r="E9" i="47"/>
  <c r="E10" i="47"/>
  <c r="E11" i="47"/>
  <c r="E12" i="47"/>
  <c r="E13" i="47"/>
  <c r="B14" i="47"/>
  <c r="B15" i="47"/>
  <c r="E15" i="47"/>
  <c r="E16" i="47"/>
  <c r="E20" i="47"/>
  <c r="I8" i="37"/>
  <c r="B14" i="37"/>
  <c r="D23" i="37" s="1"/>
  <c r="B15" i="37"/>
  <c r="B27" i="37" s="1"/>
  <c r="B28" i="37" s="1"/>
  <c r="B29" i="37" s="1"/>
  <c r="B30" i="37" s="1"/>
  <c r="B31" i="37" s="1"/>
  <c r="B32" i="37" s="1"/>
  <c r="B33" i="37" s="1"/>
  <c r="B34" i="37" s="1"/>
  <c r="B35" i="37" s="1"/>
  <c r="B36" i="37" s="1"/>
  <c r="B37" i="37" s="1"/>
  <c r="B38" i="37" s="1"/>
  <c r="B39" i="37" s="1"/>
  <c r="B40" i="37" s="1"/>
  <c r="B41" i="37" s="1"/>
  <c r="B42" i="37" s="1"/>
  <c r="B43" i="37" s="1"/>
  <c r="B44" i="37" s="1"/>
  <c r="B45" i="37" s="1"/>
  <c r="B46" i="37" s="1"/>
  <c r="B47" i="37" s="1"/>
  <c r="B48" i="37" s="1"/>
  <c r="B49" i="37" s="1"/>
  <c r="B50" i="37" s="1"/>
  <c r="B51" i="37" s="1"/>
  <c r="B52" i="37" s="1"/>
  <c r="B53" i="37" s="1"/>
  <c r="B54" i="37" s="1"/>
  <c r="B55" i="37" s="1"/>
  <c r="B56" i="37" s="1"/>
  <c r="B57" i="37" s="1"/>
  <c r="B58" i="37" s="1"/>
  <c r="B59" i="37" s="1"/>
  <c r="B60" i="37" s="1"/>
  <c r="B61" i="37" s="1"/>
  <c r="B62" i="37" s="1"/>
  <c r="B63" i="37" s="1"/>
  <c r="B64" i="37" s="1"/>
  <c r="B65" i="37" s="1"/>
  <c r="B66" i="37" s="1"/>
  <c r="B67" i="37" s="1"/>
  <c r="B68" i="37" s="1"/>
  <c r="B69" i="37" s="1"/>
  <c r="B70" i="37" s="1"/>
  <c r="B71" i="37" s="1"/>
  <c r="B72" i="37" s="1"/>
  <c r="B73" i="37" s="1"/>
  <c r="B74" i="37" s="1"/>
  <c r="B75" i="37" s="1"/>
  <c r="B76" i="37" s="1"/>
  <c r="B77" i="37" s="1"/>
  <c r="B78" i="37" s="1"/>
  <c r="B79" i="37" s="1"/>
  <c r="B80" i="37" s="1"/>
  <c r="B81" i="37" s="1"/>
  <c r="B82" i="37" s="1"/>
  <c r="B83" i="37" s="1"/>
  <c r="B84" i="37" s="1"/>
  <c r="B85" i="37" s="1"/>
  <c r="B86" i="37" s="1"/>
  <c r="B87" i="37" s="1"/>
  <c r="B88" i="37" s="1"/>
  <c r="B89" i="37" s="1"/>
  <c r="B90" i="37" s="1"/>
  <c r="B91" i="37" s="1"/>
  <c r="B92" i="37" s="1"/>
  <c r="B93" i="37" s="1"/>
  <c r="B94" i="37" s="1"/>
  <c r="B95" i="37" s="1"/>
  <c r="B96" i="37" s="1"/>
  <c r="B97" i="37" s="1"/>
  <c r="B98" i="37" s="1"/>
  <c r="B99" i="37" s="1"/>
  <c r="B100" i="37" s="1"/>
  <c r="B101" i="37" s="1"/>
  <c r="B102" i="37" s="1"/>
  <c r="B103" i="37" s="1"/>
  <c r="B104" i="37" s="1"/>
  <c r="B105" i="37" s="1"/>
  <c r="B106" i="37" s="1"/>
  <c r="N27" i="37"/>
  <c r="AD27" i="37"/>
  <c r="N28" i="37"/>
  <c r="O28" i="37"/>
  <c r="AD28" i="37"/>
  <c r="N29" i="37"/>
  <c r="O29" i="37"/>
  <c r="AD29" i="37"/>
  <c r="N30" i="37"/>
  <c r="O30" i="37"/>
  <c r="AD30" i="37"/>
  <c r="N31" i="37"/>
  <c r="O31" i="37"/>
  <c r="AD31" i="37"/>
  <c r="N32" i="37"/>
  <c r="O32" i="37"/>
  <c r="AD32" i="37"/>
  <c r="N33" i="37"/>
  <c r="O33" i="37"/>
  <c r="AD33" i="37"/>
  <c r="N34" i="37"/>
  <c r="O34" i="37"/>
  <c r="AD34" i="37"/>
  <c r="N35" i="37"/>
  <c r="O35" i="37"/>
  <c r="AD35" i="37"/>
  <c r="N36" i="37"/>
  <c r="O36" i="37"/>
  <c r="AD36" i="37"/>
  <c r="N37" i="37"/>
  <c r="O37" i="37"/>
  <c r="AD37" i="37"/>
  <c r="N38" i="37"/>
  <c r="O38" i="37"/>
  <c r="AD38" i="37"/>
  <c r="N39" i="37"/>
  <c r="O39" i="37"/>
  <c r="AD39" i="37"/>
  <c r="N40" i="37"/>
  <c r="O40" i="37"/>
  <c r="AD40" i="37"/>
  <c r="N41" i="37"/>
  <c r="O41" i="37"/>
  <c r="AD41" i="37"/>
  <c r="N42" i="37"/>
  <c r="O42" i="37"/>
  <c r="AD42" i="37"/>
  <c r="N43" i="37"/>
  <c r="O43" i="37"/>
  <c r="AD43" i="37"/>
  <c r="N44" i="37"/>
  <c r="O44" i="37"/>
  <c r="AD44" i="37"/>
  <c r="N45" i="37"/>
  <c r="O45" i="37"/>
  <c r="AD45" i="37"/>
  <c r="N46" i="37"/>
  <c r="O46" i="37"/>
  <c r="AD46" i="37"/>
  <c r="N47" i="37"/>
  <c r="O47" i="37"/>
  <c r="AD47" i="37"/>
  <c r="N48" i="37"/>
  <c r="O48" i="37"/>
  <c r="AD48" i="37"/>
  <c r="N49" i="37"/>
  <c r="O49" i="37"/>
  <c r="I8" i="21"/>
  <c r="B14" i="21"/>
  <c r="D23" i="21" s="1"/>
  <c r="B15" i="21"/>
  <c r="B27" i="21" s="1"/>
  <c r="B28" i="21" s="1"/>
  <c r="B29" i="21" s="1"/>
  <c r="B30" i="21" s="1"/>
  <c r="B31" i="21" s="1"/>
  <c r="B32" i="21" s="1"/>
  <c r="B33" i="21" s="1"/>
  <c r="B34" i="21" s="1"/>
  <c r="B35" i="21" s="1"/>
  <c r="B36" i="21" s="1"/>
  <c r="B37" i="21" s="1"/>
  <c r="B38" i="21" s="1"/>
  <c r="B39" i="21" s="1"/>
  <c r="B40" i="21" s="1"/>
  <c r="B41" i="21" s="1"/>
  <c r="B42" i="21" s="1"/>
  <c r="B43" i="21" s="1"/>
  <c r="B44" i="21" s="1"/>
  <c r="B45" i="21" s="1"/>
  <c r="B46" i="21" s="1"/>
  <c r="B47" i="21" s="1"/>
  <c r="B48" i="21" s="1"/>
  <c r="B49" i="21" s="1"/>
  <c r="B50" i="21" s="1"/>
  <c r="B51" i="21" s="1"/>
  <c r="B52" i="21" s="1"/>
  <c r="B53" i="21" s="1"/>
  <c r="B54" i="21" s="1"/>
  <c r="B55" i="21" s="1"/>
  <c r="B56" i="21" s="1"/>
  <c r="B57" i="21" s="1"/>
  <c r="B58" i="21" s="1"/>
  <c r="B59" i="21" s="1"/>
  <c r="B60" i="21" s="1"/>
  <c r="B61" i="21" s="1"/>
  <c r="B62" i="21" s="1"/>
  <c r="B63" i="21" s="1"/>
  <c r="B64" i="21" s="1"/>
  <c r="B65" i="21" s="1"/>
  <c r="B66" i="21" s="1"/>
  <c r="B67" i="21" s="1"/>
  <c r="B68" i="21" s="1"/>
  <c r="B69" i="21" s="1"/>
  <c r="B70" i="21" s="1"/>
  <c r="B71" i="21" s="1"/>
  <c r="B72" i="21" s="1"/>
  <c r="B73" i="21" s="1"/>
  <c r="B74" i="21" s="1"/>
  <c r="B75" i="21" s="1"/>
  <c r="B76" i="21" s="1"/>
  <c r="B77" i="21" s="1"/>
  <c r="B78" i="21" s="1"/>
  <c r="B79" i="21" s="1"/>
  <c r="B80" i="21" s="1"/>
  <c r="B81" i="21" s="1"/>
  <c r="B82" i="21" s="1"/>
  <c r="B83" i="21" s="1"/>
  <c r="B84" i="21" s="1"/>
  <c r="B85" i="21" s="1"/>
  <c r="B86" i="21" s="1"/>
  <c r="B87" i="21" s="1"/>
  <c r="B88" i="21" s="1"/>
  <c r="B89" i="21" s="1"/>
  <c r="B90" i="21" s="1"/>
  <c r="B91" i="21" s="1"/>
  <c r="B92" i="21" s="1"/>
  <c r="B93" i="21" s="1"/>
  <c r="B94" i="21" s="1"/>
  <c r="B95" i="21" s="1"/>
  <c r="B96" i="21" s="1"/>
  <c r="B97" i="21" s="1"/>
  <c r="B98" i="21" s="1"/>
  <c r="B99" i="21" s="1"/>
  <c r="B100" i="21" s="1"/>
  <c r="B101" i="21" s="1"/>
  <c r="B102" i="21" s="1"/>
  <c r="B103" i="21" s="1"/>
  <c r="B104" i="21" s="1"/>
  <c r="B105" i="21" s="1"/>
  <c r="B106" i="21" s="1"/>
  <c r="L27" i="21"/>
  <c r="L27" i="37" s="1"/>
  <c r="O27" i="21"/>
  <c r="O27" i="37" s="1"/>
  <c r="AB27" i="21"/>
  <c r="AB27" i="37" s="1"/>
  <c r="AE27" i="21"/>
  <c r="AE27" i="37" s="1"/>
  <c r="AN27" i="21"/>
  <c r="AO27" i="21"/>
  <c r="AP27" i="21"/>
  <c r="AQ27" i="21"/>
  <c r="AZ27" i="21"/>
  <c r="BA27" i="21"/>
  <c r="BB27" i="21"/>
  <c r="BC27" i="21"/>
  <c r="BL27" i="21"/>
  <c r="BM27" i="21"/>
  <c r="BN27" i="21"/>
  <c r="BO27" i="21"/>
  <c r="L28" i="21"/>
  <c r="L28" i="37" s="1"/>
  <c r="AB28" i="21"/>
  <c r="AB28" i="37" s="1"/>
  <c r="AE28" i="21"/>
  <c r="AE28" i="37" s="1"/>
  <c r="AN28" i="21"/>
  <c r="AO28" i="21"/>
  <c r="AP28" i="21"/>
  <c r="AQ28" i="21"/>
  <c r="AZ28" i="21"/>
  <c r="BA28" i="21"/>
  <c r="BB28" i="21"/>
  <c r="BC28" i="21"/>
  <c r="BL28" i="21"/>
  <c r="BM28" i="21"/>
  <c r="BN28" i="21"/>
  <c r="BO28" i="21"/>
  <c r="L29" i="21"/>
  <c r="L29" i="37" s="1"/>
  <c r="AB29" i="21"/>
  <c r="AB29" i="37" s="1"/>
  <c r="AE29" i="21"/>
  <c r="AE29" i="37" s="1"/>
  <c r="AN29" i="21"/>
  <c r="AO29" i="21"/>
  <c r="AP29" i="21"/>
  <c r="AQ29" i="21"/>
  <c r="AZ29" i="21"/>
  <c r="BA29" i="21"/>
  <c r="BB29" i="21"/>
  <c r="BC29" i="21"/>
  <c r="BL29" i="21"/>
  <c r="BM29" i="21"/>
  <c r="BN29" i="21"/>
  <c r="BO29" i="21"/>
  <c r="L30" i="21"/>
  <c r="L30" i="37" s="1"/>
  <c r="AB30" i="21"/>
  <c r="AB30" i="37" s="1"/>
  <c r="AE30" i="21"/>
  <c r="AE30" i="37" s="1"/>
  <c r="AN30" i="21"/>
  <c r="AO30" i="21"/>
  <c r="AP30" i="21"/>
  <c r="AQ30" i="21"/>
  <c r="AZ30" i="21"/>
  <c r="BA30" i="21"/>
  <c r="BB30" i="21"/>
  <c r="BC30" i="21"/>
  <c r="BL30" i="21"/>
  <c r="BM30" i="21"/>
  <c r="BN30" i="21"/>
  <c r="BO30" i="21"/>
  <c r="L31" i="21"/>
  <c r="L31" i="37" s="1"/>
  <c r="AB31" i="21"/>
  <c r="AB31" i="37" s="1"/>
  <c r="AE31" i="21"/>
  <c r="AE31" i="37" s="1"/>
  <c r="AN31" i="21"/>
  <c r="AO31" i="21"/>
  <c r="AP31" i="21"/>
  <c r="AQ31" i="21"/>
  <c r="AZ31" i="21"/>
  <c r="BA31" i="21"/>
  <c r="BB31" i="21"/>
  <c r="BC31" i="21"/>
  <c r="BL31" i="21"/>
  <c r="BM31" i="21"/>
  <c r="BN31" i="21"/>
  <c r="BO31" i="21"/>
  <c r="L32" i="21"/>
  <c r="L32" i="37" s="1"/>
  <c r="AB32" i="21"/>
  <c r="AB32" i="37" s="1"/>
  <c r="AE32" i="21"/>
  <c r="AE32" i="37" s="1"/>
  <c r="AN32" i="21"/>
  <c r="AO32" i="21"/>
  <c r="AP32" i="21"/>
  <c r="AQ32" i="21"/>
  <c r="AZ32" i="21"/>
  <c r="BA32" i="21"/>
  <c r="BB32" i="21"/>
  <c r="BC32" i="21"/>
  <c r="BL32" i="21"/>
  <c r="BM32" i="21"/>
  <c r="BN32" i="21"/>
  <c r="BO32" i="21"/>
  <c r="L33" i="21"/>
  <c r="L33" i="37" s="1"/>
  <c r="AB33" i="21"/>
  <c r="AB33" i="37" s="1"/>
  <c r="AE33" i="21"/>
  <c r="AE33" i="37" s="1"/>
  <c r="AN33" i="21"/>
  <c r="AO33" i="21"/>
  <c r="AP33" i="21"/>
  <c r="AQ33" i="21"/>
  <c r="AZ33" i="21"/>
  <c r="BA33" i="21"/>
  <c r="BB33" i="21"/>
  <c r="BC33" i="21"/>
  <c r="BL33" i="21"/>
  <c r="BM33" i="21"/>
  <c r="BN33" i="21"/>
  <c r="BO33" i="21"/>
  <c r="L34" i="21"/>
  <c r="L34" i="37" s="1"/>
  <c r="AB34" i="21"/>
  <c r="AB34" i="37" s="1"/>
  <c r="AE34" i="21"/>
  <c r="AE34" i="37" s="1"/>
  <c r="AN34" i="21"/>
  <c r="AO34" i="21"/>
  <c r="AP34" i="21"/>
  <c r="AQ34" i="21"/>
  <c r="AZ34" i="21"/>
  <c r="BA34" i="21"/>
  <c r="BB34" i="21"/>
  <c r="BC34" i="21"/>
  <c r="BL34" i="21"/>
  <c r="BM34" i="21"/>
  <c r="BN34" i="21"/>
  <c r="BO34" i="21"/>
  <c r="L35" i="21"/>
  <c r="L35" i="37" s="1"/>
  <c r="AB35" i="21"/>
  <c r="AB35" i="37" s="1"/>
  <c r="AE35" i="21"/>
  <c r="AE35" i="37" s="1"/>
  <c r="AN35" i="21"/>
  <c r="AO35" i="21"/>
  <c r="AP35" i="21"/>
  <c r="AQ35" i="21"/>
  <c r="AZ35" i="21"/>
  <c r="BA35" i="21"/>
  <c r="BB35" i="21"/>
  <c r="BC35" i="21"/>
  <c r="BL35" i="21"/>
  <c r="BM35" i="21"/>
  <c r="BN35" i="21"/>
  <c r="BO35" i="21"/>
  <c r="L36" i="21"/>
  <c r="L36" i="37" s="1"/>
  <c r="AB36" i="21"/>
  <c r="AB36" i="37" s="1"/>
  <c r="AE36" i="21"/>
  <c r="AE36" i="37" s="1"/>
  <c r="AN36" i="21"/>
  <c r="AO36" i="21"/>
  <c r="AP36" i="21"/>
  <c r="AQ36" i="21"/>
  <c r="AZ36" i="21"/>
  <c r="BA36" i="21"/>
  <c r="BB36" i="21"/>
  <c r="BC36" i="21"/>
  <c r="BL36" i="21"/>
  <c r="BM36" i="21"/>
  <c r="BN36" i="21"/>
  <c r="BO36" i="21"/>
  <c r="L37" i="21"/>
  <c r="L37" i="37" s="1"/>
  <c r="AB37" i="21"/>
  <c r="AB37" i="37" s="1"/>
  <c r="AE37" i="21"/>
  <c r="AE37" i="37" s="1"/>
  <c r="AN37" i="21"/>
  <c r="AO37" i="21"/>
  <c r="AP37" i="21"/>
  <c r="AQ37" i="21"/>
  <c r="AZ37" i="21"/>
  <c r="BA37" i="21"/>
  <c r="BB37" i="21"/>
  <c r="BC37" i="21"/>
  <c r="BL37" i="21"/>
  <c r="BM37" i="21"/>
  <c r="BN37" i="21"/>
  <c r="BO37" i="21"/>
  <c r="L38" i="21"/>
  <c r="L38" i="37" s="1"/>
  <c r="AB38" i="21"/>
  <c r="AB38" i="37" s="1"/>
  <c r="AE38" i="21"/>
  <c r="AE38" i="37" s="1"/>
  <c r="AN38" i="21"/>
  <c r="AO38" i="21"/>
  <c r="AP38" i="21"/>
  <c r="AQ38" i="21"/>
  <c r="AZ38" i="21"/>
  <c r="BA38" i="21"/>
  <c r="BB38" i="21"/>
  <c r="BC38" i="21"/>
  <c r="BL38" i="21"/>
  <c r="BM38" i="21"/>
  <c r="BN38" i="21"/>
  <c r="BO38" i="21"/>
  <c r="L39" i="21"/>
  <c r="L39" i="37" s="1"/>
  <c r="AB39" i="21"/>
  <c r="AB39" i="37" s="1"/>
  <c r="AE39" i="21"/>
  <c r="AE39" i="37" s="1"/>
  <c r="AN39" i="21"/>
  <c r="AO39" i="21"/>
  <c r="AP39" i="21"/>
  <c r="AQ39" i="21"/>
  <c r="AZ39" i="21"/>
  <c r="BA39" i="21"/>
  <c r="BB39" i="21"/>
  <c r="BC39" i="21"/>
  <c r="BL39" i="21"/>
  <c r="BM39" i="21"/>
  <c r="BN39" i="21"/>
  <c r="BO39" i="21"/>
  <c r="L40" i="21"/>
  <c r="L40" i="37" s="1"/>
  <c r="AB40" i="21"/>
  <c r="AB40" i="37" s="1"/>
  <c r="AE40" i="21"/>
  <c r="AE40" i="37" s="1"/>
  <c r="AN40" i="21"/>
  <c r="AO40" i="21"/>
  <c r="AP40" i="21"/>
  <c r="AQ40" i="21"/>
  <c r="AZ40" i="21"/>
  <c r="BA40" i="21"/>
  <c r="BB40" i="21"/>
  <c r="BC40" i="21"/>
  <c r="BL40" i="21"/>
  <c r="BM40" i="21"/>
  <c r="BN40" i="21"/>
  <c r="BO40" i="21"/>
  <c r="L41" i="21"/>
  <c r="L41" i="37" s="1"/>
  <c r="AB41" i="21"/>
  <c r="AB41" i="37" s="1"/>
  <c r="AE41" i="21"/>
  <c r="AE41" i="37" s="1"/>
  <c r="AN41" i="21"/>
  <c r="AO41" i="21"/>
  <c r="AP41" i="21"/>
  <c r="AQ41" i="21"/>
  <c r="AZ41" i="21"/>
  <c r="BA41" i="21"/>
  <c r="BB41" i="21"/>
  <c r="BC41" i="21"/>
  <c r="BL41" i="21"/>
  <c r="BM41" i="21"/>
  <c r="BN41" i="21"/>
  <c r="BO41" i="21"/>
  <c r="L42" i="21"/>
  <c r="L42" i="37" s="1"/>
  <c r="AB42" i="21"/>
  <c r="AB42" i="37" s="1"/>
  <c r="AE42" i="21"/>
  <c r="AE42" i="37" s="1"/>
  <c r="AN42" i="21"/>
  <c r="AO42" i="21"/>
  <c r="AP42" i="21"/>
  <c r="AQ42" i="21"/>
  <c r="AZ42" i="21"/>
  <c r="BA42" i="21"/>
  <c r="BB42" i="21"/>
  <c r="BC42" i="21"/>
  <c r="BL42" i="21"/>
  <c r="BM42" i="21"/>
  <c r="BN42" i="21"/>
  <c r="BO42" i="21"/>
  <c r="L43" i="21"/>
  <c r="L43" i="37" s="1"/>
  <c r="AB43" i="21"/>
  <c r="AB43" i="37" s="1"/>
  <c r="AE43" i="21"/>
  <c r="AE43" i="37" s="1"/>
  <c r="AN43" i="21"/>
  <c r="AO43" i="21"/>
  <c r="AP43" i="21"/>
  <c r="AQ43" i="21"/>
  <c r="AZ43" i="21"/>
  <c r="BA43" i="21"/>
  <c r="BB43" i="21"/>
  <c r="BC43" i="21"/>
  <c r="BL43" i="21"/>
  <c r="BM43" i="21"/>
  <c r="BN43" i="21"/>
  <c r="BO43" i="21"/>
  <c r="L44" i="21"/>
  <c r="L44" i="37" s="1"/>
  <c r="AB44" i="21"/>
  <c r="AB44" i="37" s="1"/>
  <c r="AE44" i="21"/>
  <c r="AE44" i="37" s="1"/>
  <c r="AN44" i="21"/>
  <c r="AO44" i="21"/>
  <c r="AP44" i="21"/>
  <c r="AQ44" i="21"/>
  <c r="AZ44" i="21"/>
  <c r="BA44" i="21"/>
  <c r="BB44" i="21"/>
  <c r="BC44" i="21"/>
  <c r="BL44" i="21"/>
  <c r="BM44" i="21"/>
  <c r="BN44" i="21"/>
  <c r="BO44" i="21"/>
  <c r="L45" i="21"/>
  <c r="L45" i="37" s="1"/>
  <c r="AB45" i="21"/>
  <c r="AB45" i="37" s="1"/>
  <c r="AE45" i="21"/>
  <c r="AE45" i="37" s="1"/>
  <c r="AN45" i="21"/>
  <c r="AO45" i="21"/>
  <c r="AP45" i="21"/>
  <c r="AQ45" i="21"/>
  <c r="AZ45" i="21"/>
  <c r="BA45" i="21"/>
  <c r="BB45" i="21"/>
  <c r="BC45" i="21"/>
  <c r="BL45" i="21"/>
  <c r="BM45" i="21"/>
  <c r="BN45" i="21"/>
  <c r="BO45" i="21"/>
  <c r="L46" i="21"/>
  <c r="L46" i="37" s="1"/>
  <c r="AB46" i="21"/>
  <c r="AB46" i="37" s="1"/>
  <c r="AE46" i="21"/>
  <c r="AE46" i="37" s="1"/>
  <c r="AN46" i="21"/>
  <c r="AO46" i="21"/>
  <c r="AP46" i="21"/>
  <c r="AQ46" i="21"/>
  <c r="AZ46" i="21"/>
  <c r="BA46" i="21"/>
  <c r="BB46" i="21"/>
  <c r="BC46" i="21"/>
  <c r="BL46" i="21"/>
  <c r="BM46" i="21"/>
  <c r="BN46" i="21"/>
  <c r="BO46" i="21"/>
  <c r="L47" i="21"/>
  <c r="L47" i="37" s="1"/>
  <c r="AB47" i="21"/>
  <c r="AB47" i="37" s="1"/>
  <c r="AE47" i="21"/>
  <c r="AE47" i="37" s="1"/>
  <c r="AN47" i="21"/>
  <c r="AO47" i="21"/>
  <c r="AP47" i="21"/>
  <c r="AQ47" i="21"/>
  <c r="AZ47" i="21"/>
  <c r="BA47" i="21"/>
  <c r="BB47" i="21"/>
  <c r="BC47" i="21"/>
  <c r="BL47" i="21"/>
  <c r="BM47" i="21"/>
  <c r="BN47" i="21"/>
  <c r="BO47" i="21"/>
  <c r="L48" i="21"/>
  <c r="L48" i="37" s="1"/>
  <c r="AB48" i="21"/>
  <c r="AB48" i="37" s="1"/>
  <c r="AE48" i="21"/>
  <c r="AE48" i="37" s="1"/>
  <c r="AN48" i="21"/>
  <c r="AO48" i="21"/>
  <c r="AP48" i="21"/>
  <c r="AQ48" i="21"/>
  <c r="AZ48" i="21"/>
  <c r="BA48" i="21"/>
  <c r="BB48" i="21"/>
  <c r="BC48" i="21"/>
  <c r="BL48" i="21"/>
  <c r="BM48" i="21"/>
  <c r="BN48" i="21"/>
  <c r="BO48" i="21"/>
  <c r="L49" i="21"/>
  <c r="L49" i="37" s="1"/>
  <c r="AB49" i="21"/>
  <c r="AB49" i="37" s="1"/>
  <c r="AD49" i="21"/>
  <c r="AD49" i="37" s="1"/>
  <c r="AE49" i="21"/>
  <c r="AE49" i="37" s="1"/>
  <c r="AN49" i="21"/>
  <c r="AO49" i="21"/>
  <c r="AP49" i="21"/>
  <c r="AQ49" i="21"/>
  <c r="AZ49" i="21"/>
  <c r="BA49" i="21"/>
  <c r="BB49" i="21"/>
  <c r="BC49" i="21"/>
  <c r="BL49" i="21"/>
  <c r="BM49" i="21"/>
  <c r="BN49" i="21"/>
  <c r="BO49" i="21"/>
  <c r="L50" i="21"/>
  <c r="L50" i="37" s="1"/>
  <c r="N50" i="21"/>
  <c r="N50" i="37" s="1"/>
  <c r="O50" i="21"/>
  <c r="O50" i="37" s="1"/>
  <c r="AB50" i="21"/>
  <c r="AB50" i="37" s="1"/>
  <c r="AD50" i="21"/>
  <c r="AD50" i="37" s="1"/>
  <c r="AE50" i="21"/>
  <c r="AE50" i="37" s="1"/>
  <c r="AN50" i="21"/>
  <c r="AO50" i="21"/>
  <c r="AP50" i="21"/>
  <c r="AQ50" i="21"/>
  <c r="AZ50" i="21"/>
  <c r="BA50" i="21"/>
  <c r="BB50" i="21"/>
  <c r="BC50" i="21"/>
  <c r="BL50" i="21"/>
  <c r="BM50" i="21"/>
  <c r="BN50" i="21"/>
  <c r="BO50" i="21"/>
  <c r="L51" i="21"/>
  <c r="L51" i="37" s="1"/>
  <c r="N51" i="21"/>
  <c r="N51" i="37" s="1"/>
  <c r="O51" i="21"/>
  <c r="O51" i="37" s="1"/>
  <c r="AB51" i="21"/>
  <c r="AB51" i="37" s="1"/>
  <c r="AD51" i="21"/>
  <c r="AD51" i="37" s="1"/>
  <c r="AE51" i="21"/>
  <c r="AE51" i="37" s="1"/>
  <c r="AN51" i="21"/>
  <c r="AO51" i="21"/>
  <c r="AP51" i="21"/>
  <c r="AQ51" i="21"/>
  <c r="AZ51" i="21"/>
  <c r="BA51" i="21"/>
  <c r="BB51" i="21"/>
  <c r="BC51" i="21"/>
  <c r="BL51" i="21"/>
  <c r="BM51" i="21"/>
  <c r="BN51" i="21"/>
  <c r="BO51" i="21"/>
  <c r="L52" i="21"/>
  <c r="L52" i="37" s="1"/>
  <c r="N52" i="21"/>
  <c r="N52" i="37" s="1"/>
  <c r="O52" i="21"/>
  <c r="O52" i="37" s="1"/>
  <c r="AB52" i="21"/>
  <c r="AB52" i="37" s="1"/>
  <c r="AD52" i="21"/>
  <c r="AD52" i="37" s="1"/>
  <c r="AE52" i="21"/>
  <c r="AE52" i="37" s="1"/>
  <c r="AN52" i="21"/>
  <c r="AO52" i="21"/>
  <c r="AP52" i="21"/>
  <c r="AQ52" i="21"/>
  <c r="AZ52" i="21"/>
  <c r="BA52" i="21"/>
  <c r="BB52" i="21"/>
  <c r="BC52" i="21"/>
  <c r="BL52" i="21"/>
  <c r="BM52" i="21"/>
  <c r="BN52" i="21"/>
  <c r="BO52" i="21"/>
  <c r="L53" i="21"/>
  <c r="L53" i="37" s="1"/>
  <c r="N53" i="21"/>
  <c r="N53" i="37" s="1"/>
  <c r="O53" i="21"/>
  <c r="O53" i="37" s="1"/>
  <c r="AB53" i="21"/>
  <c r="AB53" i="37" s="1"/>
  <c r="AD53" i="21"/>
  <c r="AD53" i="37" s="1"/>
  <c r="AE53" i="21"/>
  <c r="AE53" i="37" s="1"/>
  <c r="AN53" i="21"/>
  <c r="AO53" i="21"/>
  <c r="AP53" i="21"/>
  <c r="AQ53" i="21"/>
  <c r="AZ53" i="21"/>
  <c r="BA53" i="21"/>
  <c r="BB53" i="21"/>
  <c r="BC53" i="21"/>
  <c r="BL53" i="21"/>
  <c r="BM53" i="21"/>
  <c r="BN53" i="21"/>
  <c r="BO53" i="21"/>
  <c r="L54" i="21"/>
  <c r="L54" i="37" s="1"/>
  <c r="N54" i="21"/>
  <c r="N54" i="37" s="1"/>
  <c r="O54" i="21"/>
  <c r="O54" i="37" s="1"/>
  <c r="AB54" i="21"/>
  <c r="AB54" i="37" s="1"/>
  <c r="AD54" i="21"/>
  <c r="AD54" i="37" s="1"/>
  <c r="AE54" i="21"/>
  <c r="AE54" i="37" s="1"/>
  <c r="AN54" i="21"/>
  <c r="AO54" i="21"/>
  <c r="AP54" i="21"/>
  <c r="AQ54" i="21"/>
  <c r="AZ54" i="21"/>
  <c r="BA54" i="21"/>
  <c r="BB54" i="21"/>
  <c r="BC54" i="21"/>
  <c r="BL54" i="21"/>
  <c r="BM54" i="21"/>
  <c r="BN54" i="21"/>
  <c r="BO54" i="21"/>
  <c r="L55" i="21"/>
  <c r="L55" i="37" s="1"/>
  <c r="N55" i="21"/>
  <c r="N55" i="37" s="1"/>
  <c r="O55" i="21"/>
  <c r="O55" i="37" s="1"/>
  <c r="AB55" i="21"/>
  <c r="AB55" i="37" s="1"/>
  <c r="AD55" i="21"/>
  <c r="AD55" i="37" s="1"/>
  <c r="AE55" i="21"/>
  <c r="AE55" i="37" s="1"/>
  <c r="AN55" i="21"/>
  <c r="AO55" i="21"/>
  <c r="AP55" i="21"/>
  <c r="AQ55" i="21"/>
  <c r="AZ55" i="21"/>
  <c r="BA55" i="21"/>
  <c r="BB55" i="21"/>
  <c r="BC55" i="21"/>
  <c r="BL55" i="21"/>
  <c r="BM55" i="21"/>
  <c r="BN55" i="21"/>
  <c r="BO55" i="21"/>
  <c r="L56" i="21"/>
  <c r="L56" i="37" s="1"/>
  <c r="N56" i="21"/>
  <c r="N56" i="37" s="1"/>
  <c r="O56" i="21"/>
  <c r="O56" i="37" s="1"/>
  <c r="AB56" i="21"/>
  <c r="AB56" i="37" s="1"/>
  <c r="AD56" i="21"/>
  <c r="AD56" i="37" s="1"/>
  <c r="AE56" i="21"/>
  <c r="AE56" i="37" s="1"/>
  <c r="AN56" i="21"/>
  <c r="AO56" i="21"/>
  <c r="AP56" i="21"/>
  <c r="AQ56" i="21"/>
  <c r="AZ56" i="21"/>
  <c r="BA56" i="21"/>
  <c r="BB56" i="21"/>
  <c r="BC56" i="21"/>
  <c r="BL56" i="21"/>
  <c r="BM56" i="21"/>
  <c r="BN56" i="21"/>
  <c r="BO56" i="21"/>
  <c r="L57" i="21"/>
  <c r="L57" i="37" s="1"/>
  <c r="N57" i="21"/>
  <c r="N57" i="37" s="1"/>
  <c r="O57" i="21"/>
  <c r="O57" i="37" s="1"/>
  <c r="AB57" i="21"/>
  <c r="AB57" i="37" s="1"/>
  <c r="AD57" i="21"/>
  <c r="AD57" i="37" s="1"/>
  <c r="AE57" i="21"/>
  <c r="AE57" i="37" s="1"/>
  <c r="AN57" i="21"/>
  <c r="AO57" i="21"/>
  <c r="AP57" i="21"/>
  <c r="AQ57" i="21"/>
  <c r="AZ57" i="21"/>
  <c r="BA57" i="21"/>
  <c r="BB57" i="21"/>
  <c r="BC57" i="21"/>
  <c r="BL57" i="21"/>
  <c r="BM57" i="21"/>
  <c r="BN57" i="21"/>
  <c r="BO57" i="21"/>
  <c r="L58" i="21"/>
  <c r="L58" i="37" s="1"/>
  <c r="N58" i="21"/>
  <c r="N58" i="37" s="1"/>
  <c r="O58" i="21"/>
  <c r="O58" i="37" s="1"/>
  <c r="AB58" i="21"/>
  <c r="AB58" i="37" s="1"/>
  <c r="AD58" i="21"/>
  <c r="AD58" i="37" s="1"/>
  <c r="AE58" i="21"/>
  <c r="AE58" i="37" s="1"/>
  <c r="AN58" i="21"/>
  <c r="AO58" i="21"/>
  <c r="AP58" i="21"/>
  <c r="AQ58" i="21"/>
  <c r="AZ58" i="21"/>
  <c r="BA58" i="21"/>
  <c r="BB58" i="21"/>
  <c r="BC58" i="21"/>
  <c r="BL58" i="21"/>
  <c r="BM58" i="21"/>
  <c r="BN58" i="21"/>
  <c r="BO58" i="21"/>
  <c r="L59" i="21"/>
  <c r="L59" i="37" s="1"/>
  <c r="N59" i="21"/>
  <c r="N59" i="37" s="1"/>
  <c r="O59" i="21"/>
  <c r="O59" i="37" s="1"/>
  <c r="AB59" i="21"/>
  <c r="AB59" i="37" s="1"/>
  <c r="AD59" i="21"/>
  <c r="AD59" i="37" s="1"/>
  <c r="AE59" i="21"/>
  <c r="AE59" i="37" s="1"/>
  <c r="AN59" i="21"/>
  <c r="AO59" i="21"/>
  <c r="AP59" i="21"/>
  <c r="AQ59" i="21"/>
  <c r="AZ59" i="21"/>
  <c r="BA59" i="21"/>
  <c r="BB59" i="21"/>
  <c r="BC59" i="21"/>
  <c r="BL59" i="21"/>
  <c r="BM59" i="21"/>
  <c r="BN59" i="21"/>
  <c r="BO59" i="21"/>
  <c r="L60" i="21"/>
  <c r="L60" i="37" s="1"/>
  <c r="N60" i="21"/>
  <c r="N60" i="37" s="1"/>
  <c r="O60" i="21"/>
  <c r="O60" i="37" s="1"/>
  <c r="AB60" i="21"/>
  <c r="AB60" i="37" s="1"/>
  <c r="AD60" i="21"/>
  <c r="AD60" i="37" s="1"/>
  <c r="AE60" i="21"/>
  <c r="AE60" i="37" s="1"/>
  <c r="AN60" i="21"/>
  <c r="AO60" i="21"/>
  <c r="AP60" i="21"/>
  <c r="AQ60" i="21"/>
  <c r="AZ60" i="21"/>
  <c r="BA60" i="21"/>
  <c r="BB60" i="21"/>
  <c r="BC60" i="21"/>
  <c r="BL60" i="21"/>
  <c r="BM60" i="21"/>
  <c r="BN60" i="21"/>
  <c r="BO60" i="21"/>
  <c r="L61" i="21"/>
  <c r="L61" i="37" s="1"/>
  <c r="N61" i="21"/>
  <c r="N61" i="37" s="1"/>
  <c r="O61" i="21"/>
  <c r="O61" i="37" s="1"/>
  <c r="AB61" i="21"/>
  <c r="AB61" i="37" s="1"/>
  <c r="AD61" i="21"/>
  <c r="AD61" i="37" s="1"/>
  <c r="AE61" i="21"/>
  <c r="AE61" i="37" s="1"/>
  <c r="AN61" i="21"/>
  <c r="AO61" i="21"/>
  <c r="AP61" i="21"/>
  <c r="AQ61" i="21"/>
  <c r="AZ61" i="21"/>
  <c r="BA61" i="21"/>
  <c r="BB61" i="21"/>
  <c r="BC61" i="21"/>
  <c r="BL61" i="21"/>
  <c r="BM61" i="21"/>
  <c r="BN61" i="21"/>
  <c r="BO61" i="21"/>
  <c r="L62" i="21"/>
  <c r="L62" i="37" s="1"/>
  <c r="N62" i="21"/>
  <c r="N62" i="37" s="1"/>
  <c r="O62" i="21"/>
  <c r="O62" i="37" s="1"/>
  <c r="AB62" i="21"/>
  <c r="AB62" i="37" s="1"/>
  <c r="AD62" i="21"/>
  <c r="AD62" i="37" s="1"/>
  <c r="AE62" i="21"/>
  <c r="AE62" i="37" s="1"/>
  <c r="AN62" i="21"/>
  <c r="AO62" i="21"/>
  <c r="AP62" i="21"/>
  <c r="AQ62" i="21"/>
  <c r="AZ62" i="21"/>
  <c r="BA62" i="21"/>
  <c r="BB62" i="21"/>
  <c r="BC62" i="21"/>
  <c r="BL62" i="21"/>
  <c r="BM62" i="21"/>
  <c r="BN62" i="21"/>
  <c r="BO62" i="21"/>
  <c r="L63" i="21"/>
  <c r="L63" i="37" s="1"/>
  <c r="N63" i="21"/>
  <c r="N63" i="37" s="1"/>
  <c r="O63" i="21"/>
  <c r="O63" i="37" s="1"/>
  <c r="AB63" i="21"/>
  <c r="AB63" i="37" s="1"/>
  <c r="AD63" i="21"/>
  <c r="AD63" i="37" s="1"/>
  <c r="AE63" i="21"/>
  <c r="AE63" i="37" s="1"/>
  <c r="AN63" i="21"/>
  <c r="AO63" i="21"/>
  <c r="AP63" i="21"/>
  <c r="AQ63" i="21"/>
  <c r="AZ63" i="21"/>
  <c r="BA63" i="21"/>
  <c r="BB63" i="21"/>
  <c r="BC63" i="21"/>
  <c r="BL63" i="21"/>
  <c r="BM63" i="21"/>
  <c r="BN63" i="21"/>
  <c r="BO63" i="21"/>
  <c r="L64" i="21"/>
  <c r="L64" i="37" s="1"/>
  <c r="N64" i="21"/>
  <c r="N64" i="37" s="1"/>
  <c r="O64" i="21"/>
  <c r="O64" i="37" s="1"/>
  <c r="AB64" i="21"/>
  <c r="AB64" i="37" s="1"/>
  <c r="AD64" i="21"/>
  <c r="AD64" i="37" s="1"/>
  <c r="AE64" i="21"/>
  <c r="AE64" i="37" s="1"/>
  <c r="AN64" i="21"/>
  <c r="AO64" i="21"/>
  <c r="AP64" i="21"/>
  <c r="AQ64" i="21"/>
  <c r="AZ64" i="21"/>
  <c r="BA64" i="21"/>
  <c r="BB64" i="21"/>
  <c r="BC64" i="21"/>
  <c r="BL64" i="21"/>
  <c r="BM64" i="21"/>
  <c r="BN64" i="21"/>
  <c r="BO64" i="21"/>
  <c r="L65" i="21"/>
  <c r="L65" i="37" s="1"/>
  <c r="N65" i="21"/>
  <c r="N65" i="37" s="1"/>
  <c r="O65" i="21"/>
  <c r="O65" i="37" s="1"/>
  <c r="AB65" i="21"/>
  <c r="AB65" i="37" s="1"/>
  <c r="AD65" i="21"/>
  <c r="AD65" i="37" s="1"/>
  <c r="AE65" i="21"/>
  <c r="AE65" i="37" s="1"/>
  <c r="AN65" i="21"/>
  <c r="AO65" i="21"/>
  <c r="AP65" i="21"/>
  <c r="AQ65" i="21"/>
  <c r="AZ65" i="21"/>
  <c r="BA65" i="21"/>
  <c r="BB65" i="21"/>
  <c r="BC65" i="21"/>
  <c r="BL65" i="21"/>
  <c r="BM65" i="21"/>
  <c r="BN65" i="21"/>
  <c r="BO65" i="21"/>
  <c r="L66" i="21"/>
  <c r="L66" i="37" s="1"/>
  <c r="N66" i="21"/>
  <c r="N66" i="37" s="1"/>
  <c r="O66" i="21"/>
  <c r="O66" i="37" s="1"/>
  <c r="AB66" i="21"/>
  <c r="AB66" i="37" s="1"/>
  <c r="AD66" i="21"/>
  <c r="AD66" i="37" s="1"/>
  <c r="AE66" i="21"/>
  <c r="AE66" i="37" s="1"/>
  <c r="AN66" i="21"/>
  <c r="AO66" i="21"/>
  <c r="AP66" i="21"/>
  <c r="AQ66" i="21"/>
  <c r="AZ66" i="21"/>
  <c r="BA66" i="21"/>
  <c r="BB66" i="21"/>
  <c r="BC66" i="21"/>
  <c r="BL66" i="21"/>
  <c r="BM66" i="21"/>
  <c r="BN66" i="21"/>
  <c r="BO66" i="21"/>
  <c r="L67" i="21"/>
  <c r="L67" i="37" s="1"/>
  <c r="N67" i="21"/>
  <c r="N67" i="37" s="1"/>
  <c r="O67" i="21"/>
  <c r="O67" i="37" s="1"/>
  <c r="AB67" i="21"/>
  <c r="AB67" i="37" s="1"/>
  <c r="AD67" i="21"/>
  <c r="AD67" i="37" s="1"/>
  <c r="AE67" i="21"/>
  <c r="AE67" i="37" s="1"/>
  <c r="AN67" i="21"/>
  <c r="AO67" i="21"/>
  <c r="AP67" i="21"/>
  <c r="AQ67" i="21"/>
  <c r="AZ67" i="21"/>
  <c r="BA67" i="21"/>
  <c r="BB67" i="21"/>
  <c r="BC67" i="21"/>
  <c r="BL67" i="21"/>
  <c r="BM67" i="21"/>
  <c r="BN67" i="21"/>
  <c r="BO67" i="21"/>
  <c r="L68" i="21"/>
  <c r="L68" i="37" s="1"/>
  <c r="N68" i="21"/>
  <c r="N68" i="37" s="1"/>
  <c r="O68" i="21"/>
  <c r="O68" i="37" s="1"/>
  <c r="AB68" i="21"/>
  <c r="AB68" i="37" s="1"/>
  <c r="AD68" i="21"/>
  <c r="AD68" i="37" s="1"/>
  <c r="AE68" i="21"/>
  <c r="AE68" i="37" s="1"/>
  <c r="AN68" i="21"/>
  <c r="AO68" i="21"/>
  <c r="AP68" i="21"/>
  <c r="AQ68" i="21"/>
  <c r="AZ68" i="21"/>
  <c r="BA68" i="21"/>
  <c r="BB68" i="21"/>
  <c r="BC68" i="21"/>
  <c r="BL68" i="21"/>
  <c r="BM68" i="21"/>
  <c r="BN68" i="21"/>
  <c r="BO68" i="21"/>
  <c r="L69" i="21"/>
  <c r="L69" i="37" s="1"/>
  <c r="N69" i="21"/>
  <c r="N69" i="37" s="1"/>
  <c r="O69" i="21"/>
  <c r="O69" i="37" s="1"/>
  <c r="AB69" i="21"/>
  <c r="AB69" i="37" s="1"/>
  <c r="AD69" i="21"/>
  <c r="AD69" i="37" s="1"/>
  <c r="AE69" i="21"/>
  <c r="AE69" i="37" s="1"/>
  <c r="AN69" i="21"/>
  <c r="AO69" i="21"/>
  <c r="AP69" i="21"/>
  <c r="AQ69" i="21"/>
  <c r="AZ69" i="21"/>
  <c r="BA69" i="21"/>
  <c r="BB69" i="21"/>
  <c r="BC69" i="21"/>
  <c r="BL69" i="21"/>
  <c r="BM69" i="21"/>
  <c r="BN69" i="21"/>
  <c r="BO69" i="21"/>
  <c r="L70" i="21"/>
  <c r="L70" i="37" s="1"/>
  <c r="N70" i="21"/>
  <c r="N70" i="37" s="1"/>
  <c r="O70" i="21"/>
  <c r="O70" i="37" s="1"/>
  <c r="AB70" i="21"/>
  <c r="AB70" i="37" s="1"/>
  <c r="AD70" i="21"/>
  <c r="AD70" i="37" s="1"/>
  <c r="AE70" i="21"/>
  <c r="AE70" i="37" s="1"/>
  <c r="AN70" i="21"/>
  <c r="AO70" i="21"/>
  <c r="AP70" i="21"/>
  <c r="AQ70" i="21"/>
  <c r="AZ70" i="21"/>
  <c r="BA70" i="21"/>
  <c r="BB70" i="21"/>
  <c r="BC70" i="21"/>
  <c r="BL70" i="21"/>
  <c r="BM70" i="21"/>
  <c r="BN70" i="21"/>
  <c r="BO70" i="21"/>
  <c r="L71" i="21"/>
  <c r="L71" i="37" s="1"/>
  <c r="N71" i="21"/>
  <c r="N71" i="37" s="1"/>
  <c r="O71" i="21"/>
  <c r="O71" i="37" s="1"/>
  <c r="AB71" i="21"/>
  <c r="AB71" i="37" s="1"/>
  <c r="AD71" i="21"/>
  <c r="AD71" i="37" s="1"/>
  <c r="AE71" i="21"/>
  <c r="AE71" i="37" s="1"/>
  <c r="AN71" i="21"/>
  <c r="AO71" i="21"/>
  <c r="AP71" i="21"/>
  <c r="AQ71" i="21"/>
  <c r="AZ71" i="21"/>
  <c r="BA71" i="21"/>
  <c r="BB71" i="21"/>
  <c r="BC71" i="21"/>
  <c r="BL71" i="21"/>
  <c r="BM71" i="21"/>
  <c r="BN71" i="21"/>
  <c r="BO71" i="21"/>
  <c r="L72" i="21"/>
  <c r="L72" i="37" s="1"/>
  <c r="N72" i="21"/>
  <c r="N72" i="37" s="1"/>
  <c r="O72" i="21"/>
  <c r="O72" i="37" s="1"/>
  <c r="AB72" i="21"/>
  <c r="AB72" i="37" s="1"/>
  <c r="AD72" i="21"/>
  <c r="AD72" i="37" s="1"/>
  <c r="AE72" i="21"/>
  <c r="AE72" i="37" s="1"/>
  <c r="AN72" i="21"/>
  <c r="AO72" i="21"/>
  <c r="AP72" i="21"/>
  <c r="AQ72" i="21"/>
  <c r="AZ72" i="21"/>
  <c r="BA72" i="21"/>
  <c r="BB72" i="21"/>
  <c r="BC72" i="21"/>
  <c r="BL72" i="21"/>
  <c r="BM72" i="21"/>
  <c r="BN72" i="21"/>
  <c r="BO72" i="21"/>
  <c r="L73" i="21"/>
  <c r="L73" i="37" s="1"/>
  <c r="N73" i="21"/>
  <c r="N73" i="37" s="1"/>
  <c r="O73" i="21"/>
  <c r="O73" i="37" s="1"/>
  <c r="AB73" i="21"/>
  <c r="AB73" i="37" s="1"/>
  <c r="AD73" i="21"/>
  <c r="AD73" i="37" s="1"/>
  <c r="AE73" i="21"/>
  <c r="AE73" i="37" s="1"/>
  <c r="AN73" i="21"/>
  <c r="AO73" i="21"/>
  <c r="AP73" i="21"/>
  <c r="AQ73" i="21"/>
  <c r="AZ73" i="21"/>
  <c r="BA73" i="21"/>
  <c r="BB73" i="21"/>
  <c r="BC73" i="21"/>
  <c r="BL73" i="21"/>
  <c r="BM73" i="21"/>
  <c r="BN73" i="21"/>
  <c r="BO73" i="21"/>
  <c r="L74" i="21"/>
  <c r="L74" i="37" s="1"/>
  <c r="N74" i="21"/>
  <c r="N74" i="37" s="1"/>
  <c r="O74" i="21"/>
  <c r="O74" i="37" s="1"/>
  <c r="AB74" i="21"/>
  <c r="AB74" i="37" s="1"/>
  <c r="AD74" i="21"/>
  <c r="AD74" i="37" s="1"/>
  <c r="AE74" i="21"/>
  <c r="AE74" i="37" s="1"/>
  <c r="AN74" i="21"/>
  <c r="AO74" i="21"/>
  <c r="AP74" i="21"/>
  <c r="AQ74" i="21"/>
  <c r="AZ74" i="21"/>
  <c r="BA74" i="21"/>
  <c r="BB74" i="21"/>
  <c r="BC74" i="21"/>
  <c r="BL74" i="21"/>
  <c r="BM74" i="21"/>
  <c r="BN74" i="21"/>
  <c r="BO74" i="21"/>
  <c r="L75" i="21"/>
  <c r="L75" i="37" s="1"/>
  <c r="N75" i="21"/>
  <c r="N75" i="37" s="1"/>
  <c r="O75" i="21"/>
  <c r="O75" i="37" s="1"/>
  <c r="AB75" i="21"/>
  <c r="AB75" i="37" s="1"/>
  <c r="AD75" i="21"/>
  <c r="AD75" i="37" s="1"/>
  <c r="AE75" i="21"/>
  <c r="AE75" i="37" s="1"/>
  <c r="AN75" i="21"/>
  <c r="AO75" i="21"/>
  <c r="AP75" i="21"/>
  <c r="AQ75" i="21"/>
  <c r="AZ75" i="21"/>
  <c r="BA75" i="21"/>
  <c r="BB75" i="21"/>
  <c r="BC75" i="21"/>
  <c r="BL75" i="21"/>
  <c r="BM75" i="21"/>
  <c r="BN75" i="21"/>
  <c r="BO75" i="21"/>
  <c r="L76" i="21"/>
  <c r="L76" i="37" s="1"/>
  <c r="N76" i="21"/>
  <c r="N76" i="37" s="1"/>
  <c r="O76" i="21"/>
  <c r="O76" i="37" s="1"/>
  <c r="AB76" i="21"/>
  <c r="AB76" i="37" s="1"/>
  <c r="AD76" i="21"/>
  <c r="AD76" i="37" s="1"/>
  <c r="AE76" i="21"/>
  <c r="AE76" i="37" s="1"/>
  <c r="AN76" i="21"/>
  <c r="AO76" i="21"/>
  <c r="AP76" i="21"/>
  <c r="AQ76" i="21"/>
  <c r="AZ76" i="21"/>
  <c r="BA76" i="21"/>
  <c r="BB76" i="21"/>
  <c r="BC76" i="21"/>
  <c r="BL76" i="21"/>
  <c r="BM76" i="21"/>
  <c r="BN76" i="21"/>
  <c r="BO76" i="21"/>
  <c r="L77" i="21"/>
  <c r="L77" i="37" s="1"/>
  <c r="N77" i="21"/>
  <c r="N77" i="37" s="1"/>
  <c r="O77" i="21"/>
  <c r="O77" i="37" s="1"/>
  <c r="AB77" i="21"/>
  <c r="AB77" i="37" s="1"/>
  <c r="AD77" i="21"/>
  <c r="AD77" i="37" s="1"/>
  <c r="AE77" i="21"/>
  <c r="AE77" i="37" s="1"/>
  <c r="AN77" i="21"/>
  <c r="AO77" i="21"/>
  <c r="AP77" i="21"/>
  <c r="AQ77" i="21"/>
  <c r="AZ77" i="21"/>
  <c r="BA77" i="21"/>
  <c r="BB77" i="21"/>
  <c r="BC77" i="21"/>
  <c r="BL77" i="21"/>
  <c r="BM77" i="21"/>
  <c r="BN77" i="21"/>
  <c r="BO77" i="21"/>
  <c r="L78" i="21"/>
  <c r="L78" i="37" s="1"/>
  <c r="N78" i="21"/>
  <c r="N78" i="37" s="1"/>
  <c r="O78" i="21"/>
  <c r="O78" i="37" s="1"/>
  <c r="AB78" i="21"/>
  <c r="AB78" i="37" s="1"/>
  <c r="AD78" i="21"/>
  <c r="AD78" i="37" s="1"/>
  <c r="AE78" i="21"/>
  <c r="AE78" i="37" s="1"/>
  <c r="AN78" i="21"/>
  <c r="AO78" i="21"/>
  <c r="AP78" i="21"/>
  <c r="AQ78" i="21"/>
  <c r="AZ78" i="21"/>
  <c r="BA78" i="21"/>
  <c r="BB78" i="21"/>
  <c r="BC78" i="21"/>
  <c r="BL78" i="21"/>
  <c r="BM78" i="21"/>
  <c r="BN78" i="21"/>
  <c r="BO78" i="21"/>
  <c r="L79" i="21"/>
  <c r="L79" i="37" s="1"/>
  <c r="N79" i="21"/>
  <c r="N79" i="37" s="1"/>
  <c r="O79" i="21"/>
  <c r="O79" i="37" s="1"/>
  <c r="AB79" i="21"/>
  <c r="AB79" i="37" s="1"/>
  <c r="AD79" i="21"/>
  <c r="AD79" i="37" s="1"/>
  <c r="AE79" i="21"/>
  <c r="AE79" i="37" s="1"/>
  <c r="AN79" i="21"/>
  <c r="AO79" i="21"/>
  <c r="AP79" i="21"/>
  <c r="AQ79" i="21"/>
  <c r="AZ79" i="21"/>
  <c r="BA79" i="21"/>
  <c r="BB79" i="21"/>
  <c r="BC79" i="21"/>
  <c r="BL79" i="21"/>
  <c r="BM79" i="21"/>
  <c r="BN79" i="21"/>
  <c r="BO79" i="21"/>
  <c r="L80" i="21"/>
  <c r="L80" i="37" s="1"/>
  <c r="N80" i="21"/>
  <c r="N80" i="37" s="1"/>
  <c r="O80" i="21"/>
  <c r="O80" i="37" s="1"/>
  <c r="AB80" i="21"/>
  <c r="AB80" i="37" s="1"/>
  <c r="AD80" i="21"/>
  <c r="AD80" i="37" s="1"/>
  <c r="AE80" i="21"/>
  <c r="AE80" i="37" s="1"/>
  <c r="AN80" i="21"/>
  <c r="AO80" i="21"/>
  <c r="AP80" i="21"/>
  <c r="AQ80" i="21"/>
  <c r="AZ80" i="21"/>
  <c r="BA80" i="21"/>
  <c r="BB80" i="21"/>
  <c r="BC80" i="21"/>
  <c r="BL80" i="21"/>
  <c r="BM80" i="21"/>
  <c r="BN80" i="21"/>
  <c r="BO80" i="21"/>
  <c r="L81" i="21"/>
  <c r="L81" i="37" s="1"/>
  <c r="N81" i="21"/>
  <c r="N81" i="37" s="1"/>
  <c r="O81" i="21"/>
  <c r="O81" i="37" s="1"/>
  <c r="AB81" i="21"/>
  <c r="AB81" i="37" s="1"/>
  <c r="AD81" i="21"/>
  <c r="AD81" i="37" s="1"/>
  <c r="AE81" i="21"/>
  <c r="AE81" i="37" s="1"/>
  <c r="AN81" i="21"/>
  <c r="AO81" i="21"/>
  <c r="AP81" i="21"/>
  <c r="AQ81" i="21"/>
  <c r="AZ81" i="21"/>
  <c r="BA81" i="21"/>
  <c r="BB81" i="21"/>
  <c r="BC81" i="21"/>
  <c r="BL81" i="21"/>
  <c r="BM81" i="21"/>
  <c r="BN81" i="21"/>
  <c r="BO81" i="21"/>
  <c r="L82" i="21"/>
  <c r="L82" i="37" s="1"/>
  <c r="N82" i="21"/>
  <c r="N82" i="37" s="1"/>
  <c r="O82" i="21"/>
  <c r="O82" i="37" s="1"/>
  <c r="AB82" i="21"/>
  <c r="AB82" i="37" s="1"/>
  <c r="AD82" i="21"/>
  <c r="AD82" i="37" s="1"/>
  <c r="AE82" i="21"/>
  <c r="AE82" i="37" s="1"/>
  <c r="AN82" i="21"/>
  <c r="AO82" i="21"/>
  <c r="AP82" i="21"/>
  <c r="AQ82" i="21"/>
  <c r="AZ82" i="21"/>
  <c r="BA82" i="21"/>
  <c r="BB82" i="21"/>
  <c r="BC82" i="21"/>
  <c r="BL82" i="21"/>
  <c r="BM82" i="21"/>
  <c r="BN82" i="21"/>
  <c r="BO82" i="21"/>
  <c r="L83" i="21"/>
  <c r="L83" i="37" s="1"/>
  <c r="N83" i="21"/>
  <c r="N83" i="37" s="1"/>
  <c r="O83" i="21"/>
  <c r="O83" i="37" s="1"/>
  <c r="AB83" i="21"/>
  <c r="AB83" i="37" s="1"/>
  <c r="AD83" i="21"/>
  <c r="AD83" i="37" s="1"/>
  <c r="AE83" i="21"/>
  <c r="AE83" i="37" s="1"/>
  <c r="AN83" i="21"/>
  <c r="AO83" i="21"/>
  <c r="AP83" i="21"/>
  <c r="AQ83" i="21"/>
  <c r="AZ83" i="21"/>
  <c r="BA83" i="21"/>
  <c r="BB83" i="21"/>
  <c r="BC83" i="21"/>
  <c r="BL83" i="21"/>
  <c r="BM83" i="21"/>
  <c r="BN83" i="21"/>
  <c r="BO83" i="21"/>
  <c r="L84" i="21"/>
  <c r="L84" i="37" s="1"/>
  <c r="N84" i="21"/>
  <c r="N84" i="37" s="1"/>
  <c r="O84" i="21"/>
  <c r="O84" i="37" s="1"/>
  <c r="AB84" i="21"/>
  <c r="AB84" i="37" s="1"/>
  <c r="AD84" i="21"/>
  <c r="AD84" i="37" s="1"/>
  <c r="AE84" i="21"/>
  <c r="AE84" i="37" s="1"/>
  <c r="AN84" i="21"/>
  <c r="AO84" i="21"/>
  <c r="AP84" i="21"/>
  <c r="AQ84" i="21"/>
  <c r="AZ84" i="21"/>
  <c r="BA84" i="21"/>
  <c r="BB84" i="21"/>
  <c r="BC84" i="21"/>
  <c r="BL84" i="21"/>
  <c r="BM84" i="21"/>
  <c r="BN84" i="21"/>
  <c r="BO84" i="21"/>
  <c r="L85" i="21"/>
  <c r="L85" i="37" s="1"/>
  <c r="N85" i="21"/>
  <c r="N85" i="37" s="1"/>
  <c r="O85" i="21"/>
  <c r="O85" i="37" s="1"/>
  <c r="AB85" i="21"/>
  <c r="AB85" i="37" s="1"/>
  <c r="AD85" i="21"/>
  <c r="AD85" i="37" s="1"/>
  <c r="AE85" i="21"/>
  <c r="AE85" i="37" s="1"/>
  <c r="AN85" i="21"/>
  <c r="AO85" i="21"/>
  <c r="AP85" i="21"/>
  <c r="AQ85" i="21"/>
  <c r="AZ85" i="21"/>
  <c r="BA85" i="21"/>
  <c r="BB85" i="21"/>
  <c r="BC85" i="21"/>
  <c r="BL85" i="21"/>
  <c r="BM85" i="21"/>
  <c r="BN85" i="21"/>
  <c r="BO85" i="21"/>
  <c r="L86" i="21"/>
  <c r="L86" i="37" s="1"/>
  <c r="N86" i="21"/>
  <c r="N86" i="37" s="1"/>
  <c r="O86" i="21"/>
  <c r="O86" i="37" s="1"/>
  <c r="AB86" i="21"/>
  <c r="AB86" i="37" s="1"/>
  <c r="AD86" i="21"/>
  <c r="AD86" i="37" s="1"/>
  <c r="AE86" i="21"/>
  <c r="AE86" i="37" s="1"/>
  <c r="AN86" i="21"/>
  <c r="AO86" i="21"/>
  <c r="AP86" i="21"/>
  <c r="AQ86" i="21"/>
  <c r="AZ86" i="21"/>
  <c r="BA86" i="21"/>
  <c r="BB86" i="21"/>
  <c r="BC86" i="21"/>
  <c r="BL86" i="21"/>
  <c r="BM86" i="21"/>
  <c r="BN86" i="21"/>
  <c r="BO86" i="21"/>
  <c r="L87" i="21"/>
  <c r="L87" i="37" s="1"/>
  <c r="N87" i="21"/>
  <c r="N87" i="37" s="1"/>
  <c r="O87" i="21"/>
  <c r="O87" i="37" s="1"/>
  <c r="AB87" i="21"/>
  <c r="AB87" i="37" s="1"/>
  <c r="AD87" i="21"/>
  <c r="AD87" i="37" s="1"/>
  <c r="AE87" i="21"/>
  <c r="AE87" i="37" s="1"/>
  <c r="AN87" i="21"/>
  <c r="AO87" i="21"/>
  <c r="AP87" i="21"/>
  <c r="AQ87" i="21"/>
  <c r="AZ87" i="21"/>
  <c r="BA87" i="21"/>
  <c r="BB87" i="21"/>
  <c r="BC87" i="21"/>
  <c r="BL87" i="21"/>
  <c r="BM87" i="21"/>
  <c r="BN87" i="21"/>
  <c r="BO87" i="21"/>
  <c r="L88" i="21"/>
  <c r="L88" i="37" s="1"/>
  <c r="N88" i="21"/>
  <c r="N88" i="37" s="1"/>
  <c r="O88" i="21"/>
  <c r="O88" i="37" s="1"/>
  <c r="AB88" i="21"/>
  <c r="AB88" i="37" s="1"/>
  <c r="AD88" i="21"/>
  <c r="AD88" i="37" s="1"/>
  <c r="AE88" i="21"/>
  <c r="AE88" i="37" s="1"/>
  <c r="AN88" i="21"/>
  <c r="AO88" i="21"/>
  <c r="AP88" i="21"/>
  <c r="AQ88" i="21"/>
  <c r="AZ88" i="21"/>
  <c r="BA88" i="21"/>
  <c r="BB88" i="21"/>
  <c r="BC88" i="21"/>
  <c r="BL88" i="21"/>
  <c r="BM88" i="21"/>
  <c r="BN88" i="21"/>
  <c r="BO88" i="21"/>
  <c r="L89" i="21"/>
  <c r="L89" i="37" s="1"/>
  <c r="N89" i="21"/>
  <c r="N89" i="37" s="1"/>
  <c r="O89" i="21"/>
  <c r="O89" i="37" s="1"/>
  <c r="AB89" i="21"/>
  <c r="AB89" i="37" s="1"/>
  <c r="AD89" i="21"/>
  <c r="AD89" i="37" s="1"/>
  <c r="AE89" i="21"/>
  <c r="AE89" i="37" s="1"/>
  <c r="AN89" i="21"/>
  <c r="AO89" i="21"/>
  <c r="AP89" i="21"/>
  <c r="AQ89" i="21"/>
  <c r="AZ89" i="21"/>
  <c r="BA89" i="21"/>
  <c r="BB89" i="21"/>
  <c r="BC89" i="21"/>
  <c r="BL89" i="21"/>
  <c r="BM89" i="21"/>
  <c r="BN89" i="21"/>
  <c r="BO89" i="21"/>
  <c r="L90" i="21"/>
  <c r="L90" i="37" s="1"/>
  <c r="N90" i="21"/>
  <c r="N90" i="37" s="1"/>
  <c r="O90" i="21"/>
  <c r="O90" i="37" s="1"/>
  <c r="AB90" i="21"/>
  <c r="AB90" i="37" s="1"/>
  <c r="AD90" i="21"/>
  <c r="AD90" i="37" s="1"/>
  <c r="AE90" i="21"/>
  <c r="AE90" i="37" s="1"/>
  <c r="AN90" i="21"/>
  <c r="AO90" i="21"/>
  <c r="AP90" i="21"/>
  <c r="AQ90" i="21"/>
  <c r="AZ90" i="21"/>
  <c r="BA90" i="21"/>
  <c r="BB90" i="21"/>
  <c r="BC90" i="21"/>
  <c r="BL90" i="21"/>
  <c r="BM90" i="21"/>
  <c r="BN90" i="21"/>
  <c r="BO90" i="21"/>
  <c r="L91" i="21"/>
  <c r="L91" i="37" s="1"/>
  <c r="N91" i="21"/>
  <c r="N91" i="37" s="1"/>
  <c r="O91" i="21"/>
  <c r="O91" i="37" s="1"/>
  <c r="AB91" i="21"/>
  <c r="AB91" i="37" s="1"/>
  <c r="AD91" i="21"/>
  <c r="AD91" i="37" s="1"/>
  <c r="AE91" i="21"/>
  <c r="AE91" i="37" s="1"/>
  <c r="AN91" i="21"/>
  <c r="AO91" i="21"/>
  <c r="AP91" i="21"/>
  <c r="AQ91" i="21"/>
  <c r="AZ91" i="21"/>
  <c r="BA91" i="21"/>
  <c r="BB91" i="21"/>
  <c r="BC91" i="21"/>
  <c r="BL91" i="21"/>
  <c r="BM91" i="21"/>
  <c r="BN91" i="21"/>
  <c r="BO91" i="21"/>
  <c r="L92" i="21"/>
  <c r="L92" i="37" s="1"/>
  <c r="N92" i="21"/>
  <c r="N92" i="37" s="1"/>
  <c r="O92" i="21"/>
  <c r="O92" i="37" s="1"/>
  <c r="AB92" i="21"/>
  <c r="AB92" i="37" s="1"/>
  <c r="AD92" i="21"/>
  <c r="AD92" i="37" s="1"/>
  <c r="AE92" i="21"/>
  <c r="AE92" i="37" s="1"/>
  <c r="AN92" i="21"/>
  <c r="AO92" i="21"/>
  <c r="AP92" i="21"/>
  <c r="AQ92" i="21"/>
  <c r="AZ92" i="21"/>
  <c r="BA92" i="21"/>
  <c r="BB92" i="21"/>
  <c r="BC92" i="21"/>
  <c r="BL92" i="21"/>
  <c r="BM92" i="21"/>
  <c r="BN92" i="21"/>
  <c r="BO92" i="21"/>
  <c r="L93" i="21"/>
  <c r="L93" i="37" s="1"/>
  <c r="N93" i="21"/>
  <c r="N93" i="37" s="1"/>
  <c r="O93" i="21"/>
  <c r="O93" i="37" s="1"/>
  <c r="AB93" i="21"/>
  <c r="AB93" i="37" s="1"/>
  <c r="AD93" i="21"/>
  <c r="AD93" i="37" s="1"/>
  <c r="AE93" i="21"/>
  <c r="AE93" i="37" s="1"/>
  <c r="AN93" i="21"/>
  <c r="AO93" i="21"/>
  <c r="AP93" i="21"/>
  <c r="AQ93" i="21"/>
  <c r="AZ93" i="21"/>
  <c r="BA93" i="21"/>
  <c r="BB93" i="21"/>
  <c r="BC93" i="21"/>
  <c r="BL93" i="21"/>
  <c r="BM93" i="21"/>
  <c r="BN93" i="21"/>
  <c r="BO93" i="21"/>
  <c r="L94" i="21"/>
  <c r="L94" i="37" s="1"/>
  <c r="N94" i="21"/>
  <c r="N94" i="37" s="1"/>
  <c r="O94" i="21"/>
  <c r="O94" i="37" s="1"/>
  <c r="AB94" i="21"/>
  <c r="AB94" i="37" s="1"/>
  <c r="AD94" i="21"/>
  <c r="AD94" i="37" s="1"/>
  <c r="AE94" i="21"/>
  <c r="AE94" i="37" s="1"/>
  <c r="AN94" i="21"/>
  <c r="AO94" i="21"/>
  <c r="AP94" i="21"/>
  <c r="AQ94" i="21"/>
  <c r="AZ94" i="21"/>
  <c r="BA94" i="21"/>
  <c r="BB94" i="21"/>
  <c r="BC94" i="21"/>
  <c r="BL94" i="21"/>
  <c r="BM94" i="21"/>
  <c r="BN94" i="21"/>
  <c r="BO94" i="21"/>
  <c r="L95" i="21"/>
  <c r="L95" i="37" s="1"/>
  <c r="N95" i="21"/>
  <c r="N95" i="37" s="1"/>
  <c r="O95" i="21"/>
  <c r="O95" i="37" s="1"/>
  <c r="AB95" i="21"/>
  <c r="AB95" i="37" s="1"/>
  <c r="AD95" i="21"/>
  <c r="AD95" i="37" s="1"/>
  <c r="AE95" i="21"/>
  <c r="AE95" i="37" s="1"/>
  <c r="AN95" i="21"/>
  <c r="AO95" i="21"/>
  <c r="AP95" i="21"/>
  <c r="AQ95" i="21"/>
  <c r="AZ95" i="21"/>
  <c r="BA95" i="21"/>
  <c r="BB95" i="21"/>
  <c r="BC95" i="21"/>
  <c r="BL95" i="21"/>
  <c r="BM95" i="21"/>
  <c r="BN95" i="21"/>
  <c r="BO95" i="21"/>
  <c r="L96" i="21"/>
  <c r="L96" i="37" s="1"/>
  <c r="N96" i="21"/>
  <c r="N96" i="37" s="1"/>
  <c r="O96" i="21"/>
  <c r="O96" i="37" s="1"/>
  <c r="AB96" i="21"/>
  <c r="AB96" i="37" s="1"/>
  <c r="AD96" i="21"/>
  <c r="AD96" i="37" s="1"/>
  <c r="AE96" i="21"/>
  <c r="AE96" i="37" s="1"/>
  <c r="AN96" i="21"/>
  <c r="AO96" i="21"/>
  <c r="AP96" i="21"/>
  <c r="AQ96" i="21"/>
  <c r="AZ96" i="21"/>
  <c r="BA96" i="21"/>
  <c r="BB96" i="21"/>
  <c r="BC96" i="21"/>
  <c r="BL96" i="21"/>
  <c r="BM96" i="21"/>
  <c r="BN96" i="21"/>
  <c r="BO96" i="21"/>
  <c r="L97" i="21"/>
  <c r="L97" i="37" s="1"/>
  <c r="N97" i="21"/>
  <c r="N97" i="37" s="1"/>
  <c r="O97" i="21"/>
  <c r="O97" i="37" s="1"/>
  <c r="AB97" i="21"/>
  <c r="AB97" i="37" s="1"/>
  <c r="AD97" i="21"/>
  <c r="AD97" i="37" s="1"/>
  <c r="AE97" i="21"/>
  <c r="AE97" i="37" s="1"/>
  <c r="AN97" i="21"/>
  <c r="AO97" i="21"/>
  <c r="AP97" i="21"/>
  <c r="AQ97" i="21"/>
  <c r="AZ97" i="21"/>
  <c r="BA97" i="21"/>
  <c r="BB97" i="21"/>
  <c r="BC97" i="21"/>
  <c r="BL97" i="21"/>
  <c r="BM97" i="21"/>
  <c r="BN97" i="21"/>
  <c r="BO97" i="21"/>
  <c r="L98" i="21"/>
  <c r="L98" i="37" s="1"/>
  <c r="N98" i="21"/>
  <c r="N98" i="37" s="1"/>
  <c r="O98" i="21"/>
  <c r="O98" i="37" s="1"/>
  <c r="AB98" i="21"/>
  <c r="AB98" i="37" s="1"/>
  <c r="AD98" i="21"/>
  <c r="AD98" i="37" s="1"/>
  <c r="AE98" i="21"/>
  <c r="AE98" i="37" s="1"/>
  <c r="AN98" i="21"/>
  <c r="AO98" i="21"/>
  <c r="AP98" i="21"/>
  <c r="AQ98" i="21"/>
  <c r="AZ98" i="21"/>
  <c r="BA98" i="21"/>
  <c r="BB98" i="21"/>
  <c r="BC98" i="21"/>
  <c r="BL98" i="21"/>
  <c r="BM98" i="21"/>
  <c r="BN98" i="21"/>
  <c r="BO98" i="21"/>
  <c r="L99" i="21"/>
  <c r="L99" i="37" s="1"/>
  <c r="N99" i="21"/>
  <c r="N99" i="37" s="1"/>
  <c r="O99" i="21"/>
  <c r="O99" i="37" s="1"/>
  <c r="AB99" i="21"/>
  <c r="AB99" i="37" s="1"/>
  <c r="AD99" i="21"/>
  <c r="AD99" i="37" s="1"/>
  <c r="AE99" i="21"/>
  <c r="AE99" i="37" s="1"/>
  <c r="AN99" i="21"/>
  <c r="AO99" i="21"/>
  <c r="AP99" i="21"/>
  <c r="AQ99" i="21"/>
  <c r="AZ99" i="21"/>
  <c r="BA99" i="21"/>
  <c r="BB99" i="21"/>
  <c r="BC99" i="21"/>
  <c r="BL99" i="21"/>
  <c r="BM99" i="21"/>
  <c r="BN99" i="21"/>
  <c r="BO99" i="21"/>
  <c r="L100" i="21"/>
  <c r="L100" i="37" s="1"/>
  <c r="N100" i="21"/>
  <c r="N100" i="37" s="1"/>
  <c r="O100" i="21"/>
  <c r="O100" i="37" s="1"/>
  <c r="AB100" i="21"/>
  <c r="AB100" i="37" s="1"/>
  <c r="AD100" i="21"/>
  <c r="AD100" i="37" s="1"/>
  <c r="AE100" i="21"/>
  <c r="AE100" i="37" s="1"/>
  <c r="AN100" i="21"/>
  <c r="AO100" i="21"/>
  <c r="AP100" i="21"/>
  <c r="AQ100" i="21"/>
  <c r="AZ100" i="21"/>
  <c r="BA100" i="21"/>
  <c r="BB100" i="21"/>
  <c r="BC100" i="21"/>
  <c r="BL100" i="21"/>
  <c r="BM100" i="21"/>
  <c r="BN100" i="21"/>
  <c r="BO100" i="21"/>
  <c r="L101" i="21"/>
  <c r="L101" i="37" s="1"/>
  <c r="N101" i="21"/>
  <c r="N101" i="37" s="1"/>
  <c r="O101" i="21"/>
  <c r="O101" i="37" s="1"/>
  <c r="AB101" i="21"/>
  <c r="AB101" i="37" s="1"/>
  <c r="AD101" i="21"/>
  <c r="AD101" i="37" s="1"/>
  <c r="AE101" i="21"/>
  <c r="AE101" i="37" s="1"/>
  <c r="AN101" i="21"/>
  <c r="AO101" i="21"/>
  <c r="AP101" i="21"/>
  <c r="AQ101" i="21"/>
  <c r="AZ101" i="21"/>
  <c r="BA101" i="21"/>
  <c r="BB101" i="21"/>
  <c r="BC101" i="21"/>
  <c r="BL101" i="21"/>
  <c r="BM101" i="21"/>
  <c r="BN101" i="21"/>
  <c r="BO101" i="21"/>
  <c r="L102" i="21"/>
  <c r="L102" i="37" s="1"/>
  <c r="N102" i="21"/>
  <c r="N102" i="37" s="1"/>
  <c r="O102" i="21"/>
  <c r="O102" i="37" s="1"/>
  <c r="AB102" i="21"/>
  <c r="AB102" i="37" s="1"/>
  <c r="AD102" i="21"/>
  <c r="AD102" i="37" s="1"/>
  <c r="AE102" i="21"/>
  <c r="AE102" i="37" s="1"/>
  <c r="AN102" i="21"/>
  <c r="AO102" i="21"/>
  <c r="AP102" i="21"/>
  <c r="AQ102" i="21"/>
  <c r="AZ102" i="21"/>
  <c r="BA102" i="21"/>
  <c r="BB102" i="21"/>
  <c r="BC102" i="21"/>
  <c r="BL102" i="21"/>
  <c r="BM102" i="21"/>
  <c r="BN102" i="21"/>
  <c r="BO102" i="21"/>
  <c r="L103" i="21"/>
  <c r="L103" i="37" s="1"/>
  <c r="N103" i="21"/>
  <c r="N103" i="37" s="1"/>
  <c r="O103" i="21"/>
  <c r="O103" i="37" s="1"/>
  <c r="AB103" i="21"/>
  <c r="AB103" i="37" s="1"/>
  <c r="AD103" i="21"/>
  <c r="AD103" i="37" s="1"/>
  <c r="AE103" i="21"/>
  <c r="AE103" i="37" s="1"/>
  <c r="AN103" i="21"/>
  <c r="AO103" i="21"/>
  <c r="AP103" i="21"/>
  <c r="AQ103" i="21"/>
  <c r="AZ103" i="21"/>
  <c r="BA103" i="21"/>
  <c r="BB103" i="21"/>
  <c r="BC103" i="21"/>
  <c r="BL103" i="21"/>
  <c r="BM103" i="21"/>
  <c r="BN103" i="21"/>
  <c r="BO103" i="21"/>
  <c r="L104" i="21"/>
  <c r="L104" i="37" s="1"/>
  <c r="N104" i="21"/>
  <c r="N104" i="37" s="1"/>
  <c r="O104" i="21"/>
  <c r="O104" i="37" s="1"/>
  <c r="AB104" i="21"/>
  <c r="AB104" i="37" s="1"/>
  <c r="AD104" i="21"/>
  <c r="AD104" i="37" s="1"/>
  <c r="AE104" i="21"/>
  <c r="AE104" i="37" s="1"/>
  <c r="AN104" i="21"/>
  <c r="AO104" i="21"/>
  <c r="AP104" i="21"/>
  <c r="AQ104" i="21"/>
  <c r="AZ104" i="21"/>
  <c r="BA104" i="21"/>
  <c r="BB104" i="21"/>
  <c r="BC104" i="21"/>
  <c r="BL104" i="21"/>
  <c r="BM104" i="21"/>
  <c r="BN104" i="21"/>
  <c r="BO104" i="21"/>
  <c r="L105" i="21"/>
  <c r="L105" i="37" s="1"/>
  <c r="N105" i="21"/>
  <c r="N105" i="37" s="1"/>
  <c r="O105" i="21"/>
  <c r="O105" i="37" s="1"/>
  <c r="AB105" i="21"/>
  <c r="AB105" i="37" s="1"/>
  <c r="AD105" i="21"/>
  <c r="AD105" i="37" s="1"/>
  <c r="AE105" i="21"/>
  <c r="AE105" i="37" s="1"/>
  <c r="AN105" i="21"/>
  <c r="AO105" i="21"/>
  <c r="AP105" i="21"/>
  <c r="AQ105" i="21"/>
  <c r="AZ105" i="21"/>
  <c r="BA105" i="21"/>
  <c r="BB105" i="21"/>
  <c r="BC105" i="21"/>
  <c r="BL105" i="21"/>
  <c r="BM105" i="21"/>
  <c r="BN105" i="21"/>
  <c r="BO105" i="21"/>
  <c r="L106" i="21"/>
  <c r="L106" i="37" s="1"/>
  <c r="N106" i="21"/>
  <c r="N106" i="37" s="1"/>
  <c r="O106" i="21"/>
  <c r="O106" i="37" s="1"/>
  <c r="AB106" i="21"/>
  <c r="AB106" i="37" s="1"/>
  <c r="AD106" i="21"/>
  <c r="AD106" i="37" s="1"/>
  <c r="AE106" i="21"/>
  <c r="AE106" i="37" s="1"/>
  <c r="AN106" i="21"/>
  <c r="AO106" i="21"/>
  <c r="AP106" i="21"/>
  <c r="AQ106" i="21"/>
  <c r="AZ106" i="21"/>
  <c r="BA106" i="21"/>
  <c r="BB106" i="21"/>
  <c r="BC106" i="21"/>
  <c r="BL106" i="21"/>
  <c r="BM106" i="21"/>
  <c r="BN106" i="21"/>
  <c r="BO106" i="21"/>
  <c r="E8" i="72"/>
  <c r="I8" i="72"/>
  <c r="E9" i="72"/>
  <c r="E10" i="72"/>
  <c r="E11" i="72"/>
  <c r="E12" i="72"/>
  <c r="B15" i="72"/>
  <c r="B26" i="72" s="1"/>
  <c r="C22" i="72"/>
  <c r="D22" i="72" s="1"/>
  <c r="E22" i="72" s="1"/>
  <c r="B27" i="96"/>
  <c r="C28" i="96"/>
  <c r="C14" i="20"/>
  <c r="C15" i="20"/>
  <c r="J31" i="45"/>
  <c r="J27" i="35" s="1"/>
  <c r="K31" i="45"/>
  <c r="K27" i="35" s="1"/>
  <c r="L31" i="45"/>
  <c r="L27" i="35" s="1"/>
  <c r="M31" i="45"/>
  <c r="M27" i="35" s="1"/>
  <c r="N31" i="45"/>
  <c r="N27" i="35" s="1"/>
  <c r="O31" i="45"/>
  <c r="O27" i="35" s="1"/>
  <c r="J32" i="45"/>
  <c r="J28" i="35" s="1"/>
  <c r="K32" i="45"/>
  <c r="K28" i="35" s="1"/>
  <c r="L32" i="45"/>
  <c r="L28" i="35" s="1"/>
  <c r="M32" i="45"/>
  <c r="M28" i="35" s="1"/>
  <c r="N32" i="45"/>
  <c r="N28" i="35" s="1"/>
  <c r="O32" i="45"/>
  <c r="O28" i="35" s="1"/>
  <c r="J33" i="45"/>
  <c r="J29" i="35" s="1"/>
  <c r="K33" i="45"/>
  <c r="K29" i="35" s="1"/>
  <c r="L33" i="45"/>
  <c r="L29" i="35" s="1"/>
  <c r="M33" i="45"/>
  <c r="M29" i="35" s="1"/>
  <c r="N33" i="45"/>
  <c r="N29" i="35" s="1"/>
  <c r="O33" i="45"/>
  <c r="O29" i="35" s="1"/>
  <c r="J34" i="45"/>
  <c r="J30" i="35" s="1"/>
  <c r="K34" i="45"/>
  <c r="K30" i="35" s="1"/>
  <c r="L34" i="45"/>
  <c r="L30" i="35" s="1"/>
  <c r="M34" i="45"/>
  <c r="M30" i="35" s="1"/>
  <c r="N34" i="45"/>
  <c r="N30" i="35" s="1"/>
  <c r="O34" i="45"/>
  <c r="O30" i="35" s="1"/>
  <c r="J35" i="45"/>
  <c r="J31" i="35" s="1"/>
  <c r="K35" i="45"/>
  <c r="K31" i="35" s="1"/>
  <c r="L35" i="45"/>
  <c r="L31" i="35" s="1"/>
  <c r="M35" i="45"/>
  <c r="M31" i="35" s="1"/>
  <c r="N35" i="45"/>
  <c r="N31" i="35" s="1"/>
  <c r="O35" i="45"/>
  <c r="O31" i="35" s="1"/>
  <c r="J37" i="45"/>
  <c r="J33" i="35" s="1"/>
  <c r="K37" i="45"/>
  <c r="K33" i="35" s="1"/>
  <c r="L37" i="45"/>
  <c r="L33" i="35" s="1"/>
  <c r="M37" i="45"/>
  <c r="M33" i="35" s="1"/>
  <c r="N37" i="45"/>
  <c r="N33" i="35" s="1"/>
  <c r="O37" i="45"/>
  <c r="O33" i="35" s="1"/>
  <c r="J38" i="45"/>
  <c r="J34" i="35" s="1"/>
  <c r="K38" i="45"/>
  <c r="K34" i="35" s="1"/>
  <c r="L38" i="45"/>
  <c r="L34" i="35" s="1"/>
  <c r="M38" i="45"/>
  <c r="M34" i="35" s="1"/>
  <c r="N38" i="45"/>
  <c r="N34" i="35" s="1"/>
  <c r="O38" i="45"/>
  <c r="O34" i="35" s="1"/>
  <c r="J39" i="45"/>
  <c r="J35" i="35" s="1"/>
  <c r="K39" i="45"/>
  <c r="K35" i="35" s="1"/>
  <c r="L39" i="45"/>
  <c r="L35" i="35" s="1"/>
  <c r="M39" i="45"/>
  <c r="M35" i="35" s="1"/>
  <c r="N39" i="45"/>
  <c r="N35" i="35" s="1"/>
  <c r="O39" i="45"/>
  <c r="O35" i="35" s="1"/>
  <c r="J40" i="45"/>
  <c r="J36" i="35" s="1"/>
  <c r="K40" i="45"/>
  <c r="K36" i="35" s="1"/>
  <c r="L40" i="45"/>
  <c r="L36" i="35" s="1"/>
  <c r="M40" i="45"/>
  <c r="M36" i="35" s="1"/>
  <c r="N40" i="45"/>
  <c r="N36" i="35" s="1"/>
  <c r="O40" i="45"/>
  <c r="O36" i="35" s="1"/>
  <c r="J42" i="45"/>
  <c r="J38" i="35" s="1"/>
  <c r="K42" i="45"/>
  <c r="K38" i="35" s="1"/>
  <c r="L42" i="45"/>
  <c r="L38" i="35" s="1"/>
  <c r="M42" i="45"/>
  <c r="M38" i="35" s="1"/>
  <c r="N42" i="45"/>
  <c r="N38" i="35" s="1"/>
  <c r="O42" i="45"/>
  <c r="O38" i="35" s="1"/>
  <c r="J43" i="45"/>
  <c r="J39" i="35" s="1"/>
  <c r="K43" i="45"/>
  <c r="K39" i="35" s="1"/>
  <c r="L43" i="45"/>
  <c r="L39" i="35" s="1"/>
  <c r="M43" i="45"/>
  <c r="M39" i="35" s="1"/>
  <c r="N43" i="45"/>
  <c r="N39" i="35" s="1"/>
  <c r="O43" i="45"/>
  <c r="O39" i="35" s="1"/>
  <c r="J40" i="35"/>
  <c r="K40" i="35"/>
  <c r="L40" i="35"/>
  <c r="N40" i="35"/>
  <c r="O40" i="35"/>
  <c r="K41" i="35"/>
  <c r="L41" i="35"/>
  <c r="M41" i="35"/>
  <c r="N41" i="35"/>
  <c r="J43" i="35"/>
  <c r="K43" i="35"/>
  <c r="L43" i="35"/>
  <c r="N43" i="35"/>
  <c r="O43" i="35"/>
  <c r="J44" i="35"/>
  <c r="L44" i="35"/>
  <c r="M44" i="35"/>
  <c r="N44" i="35"/>
  <c r="O44" i="35"/>
  <c r="M45" i="35"/>
  <c r="N45" i="35"/>
  <c r="O45" i="35"/>
  <c r="J46" i="35"/>
  <c r="M46" i="35"/>
  <c r="N46" i="35"/>
  <c r="O46" i="35"/>
  <c r="J48" i="35"/>
  <c r="K48" i="35"/>
  <c r="L48" i="35"/>
  <c r="M48" i="35"/>
  <c r="O48" i="35"/>
  <c r="J49" i="35"/>
  <c r="K49" i="35"/>
  <c r="L49" i="35"/>
  <c r="M49" i="35"/>
  <c r="N49" i="35"/>
  <c r="O49" i="35"/>
  <c r="J50" i="35"/>
  <c r="L50" i="35"/>
  <c r="M50" i="35"/>
  <c r="N50" i="35"/>
  <c r="J51" i="35"/>
  <c r="K51" i="35"/>
  <c r="L51" i="35"/>
  <c r="M51" i="35"/>
  <c r="N51" i="35"/>
  <c r="N54" i="35"/>
  <c r="B16" i="35"/>
  <c r="D26" i="35"/>
  <c r="E26" i="35"/>
  <c r="F26" i="35"/>
  <c r="G26" i="35"/>
  <c r="H26" i="35"/>
  <c r="I26" i="35"/>
  <c r="J26" i="35"/>
  <c r="K26" i="35"/>
  <c r="L26" i="35"/>
  <c r="M26" i="35"/>
  <c r="N26" i="35"/>
  <c r="O26" i="35"/>
  <c r="D27" i="35"/>
  <c r="E27" i="35"/>
  <c r="F27" i="35"/>
  <c r="G27" i="35"/>
  <c r="H27" i="35"/>
  <c r="I27" i="35"/>
  <c r="D28" i="35"/>
  <c r="E28" i="35"/>
  <c r="F28" i="35"/>
  <c r="G28" i="35"/>
  <c r="H28" i="35"/>
  <c r="I28" i="35"/>
  <c r="D29" i="35"/>
  <c r="E29" i="35"/>
  <c r="F29" i="35"/>
  <c r="G29" i="35"/>
  <c r="H29" i="35"/>
  <c r="I29" i="35"/>
  <c r="D30" i="35"/>
  <c r="E30" i="35"/>
  <c r="F30" i="35"/>
  <c r="G30" i="35"/>
  <c r="H30" i="35"/>
  <c r="I30" i="35"/>
  <c r="D31" i="35"/>
  <c r="E31" i="35"/>
  <c r="F31" i="35"/>
  <c r="G31" i="35"/>
  <c r="H31" i="35"/>
  <c r="I31" i="35"/>
  <c r="D32" i="35"/>
  <c r="E32" i="35"/>
  <c r="F32" i="35"/>
  <c r="G32" i="35"/>
  <c r="H32" i="35"/>
  <c r="I32" i="35"/>
  <c r="J32" i="35"/>
  <c r="K32" i="35"/>
  <c r="L32" i="35"/>
  <c r="M32" i="35"/>
  <c r="N32" i="35"/>
  <c r="O32" i="35"/>
  <c r="D33" i="35"/>
  <c r="E33" i="35"/>
  <c r="F33" i="35"/>
  <c r="G33" i="35"/>
  <c r="H33" i="35"/>
  <c r="I33" i="35"/>
  <c r="D34" i="35"/>
  <c r="E34" i="35"/>
  <c r="F34" i="35"/>
  <c r="G34" i="35"/>
  <c r="H34" i="35"/>
  <c r="I34" i="35"/>
  <c r="D35" i="35"/>
  <c r="E35" i="35"/>
  <c r="F35" i="35"/>
  <c r="G35" i="35"/>
  <c r="H35" i="35"/>
  <c r="I35" i="35"/>
  <c r="D36" i="35"/>
  <c r="E36" i="35"/>
  <c r="F36" i="35"/>
  <c r="G36" i="35"/>
  <c r="H36" i="35"/>
  <c r="I36" i="35"/>
  <c r="D37" i="35"/>
  <c r="E37" i="35"/>
  <c r="F37" i="35"/>
  <c r="G37" i="35"/>
  <c r="H37" i="35"/>
  <c r="I37" i="35"/>
  <c r="J37" i="35"/>
  <c r="K37" i="35"/>
  <c r="L37" i="35"/>
  <c r="M37" i="35"/>
  <c r="N37" i="35"/>
  <c r="O37" i="35"/>
  <c r="D38" i="35"/>
  <c r="E38" i="35"/>
  <c r="F38" i="35"/>
  <c r="G38" i="35"/>
  <c r="H38" i="35"/>
  <c r="I38" i="35"/>
  <c r="D39" i="35"/>
  <c r="E39" i="35"/>
  <c r="F39" i="35"/>
  <c r="G39" i="35"/>
  <c r="H39" i="35"/>
  <c r="I39" i="35"/>
  <c r="D40" i="35"/>
  <c r="E40" i="35"/>
  <c r="F40" i="35"/>
  <c r="G40" i="35"/>
  <c r="H40" i="35"/>
  <c r="I40" i="35"/>
  <c r="M40" i="35"/>
  <c r="D41" i="35"/>
  <c r="E41" i="35"/>
  <c r="F41" i="35"/>
  <c r="G41" i="35"/>
  <c r="H41" i="35"/>
  <c r="I41" i="35"/>
  <c r="J41" i="35"/>
  <c r="O41" i="35"/>
  <c r="D42" i="35"/>
  <c r="E42" i="35"/>
  <c r="F42" i="35"/>
  <c r="G42" i="35"/>
  <c r="H42" i="35"/>
  <c r="I42" i="35"/>
  <c r="J42" i="35"/>
  <c r="K42" i="35"/>
  <c r="L42" i="35"/>
  <c r="M42" i="35"/>
  <c r="N42" i="35"/>
  <c r="O42" i="35"/>
  <c r="D43" i="35"/>
  <c r="E43" i="35"/>
  <c r="F43" i="35"/>
  <c r="G43" i="35"/>
  <c r="H43" i="35"/>
  <c r="I43" i="35"/>
  <c r="M43" i="35"/>
  <c r="D44" i="35"/>
  <c r="E44" i="35"/>
  <c r="F44" i="35"/>
  <c r="G44" i="35"/>
  <c r="H44" i="35"/>
  <c r="I44" i="35"/>
  <c r="K44" i="35"/>
  <c r="D45" i="35"/>
  <c r="E45" i="35"/>
  <c r="F45" i="35"/>
  <c r="G45" i="35"/>
  <c r="H45" i="35"/>
  <c r="I45" i="35"/>
  <c r="J45" i="35"/>
  <c r="K45" i="35"/>
  <c r="L45" i="35"/>
  <c r="D46" i="35"/>
  <c r="E46" i="35"/>
  <c r="F46" i="35"/>
  <c r="G46" i="35"/>
  <c r="H46" i="35"/>
  <c r="I46" i="35"/>
  <c r="K46" i="35"/>
  <c r="L46" i="35"/>
  <c r="D47" i="35"/>
  <c r="E47" i="35"/>
  <c r="F47" i="35"/>
  <c r="G47" i="35"/>
  <c r="H47" i="35"/>
  <c r="I47" i="35"/>
  <c r="J47" i="35"/>
  <c r="K47" i="35"/>
  <c r="L47" i="35"/>
  <c r="M47" i="35"/>
  <c r="N47" i="35"/>
  <c r="O47" i="35"/>
  <c r="D48" i="35"/>
  <c r="E48" i="35"/>
  <c r="F48" i="35"/>
  <c r="G48" i="35"/>
  <c r="H48" i="35"/>
  <c r="I48" i="35"/>
  <c r="N48" i="35"/>
  <c r="D49" i="35"/>
  <c r="E49" i="35"/>
  <c r="F49" i="35"/>
  <c r="G49" i="35"/>
  <c r="H49" i="35"/>
  <c r="I49" i="35"/>
  <c r="D50" i="35"/>
  <c r="E50" i="35"/>
  <c r="F50" i="35"/>
  <c r="G50" i="35"/>
  <c r="H50" i="35"/>
  <c r="I50" i="35"/>
  <c r="K50" i="35"/>
  <c r="O50" i="35"/>
  <c r="D51" i="35"/>
  <c r="E51" i="35"/>
  <c r="F51" i="35"/>
  <c r="G51" i="35"/>
  <c r="H51" i="35"/>
  <c r="I51" i="35"/>
  <c r="O51" i="35"/>
  <c r="D52" i="35"/>
  <c r="E52" i="35"/>
  <c r="F52" i="35"/>
  <c r="G52" i="35"/>
  <c r="H52" i="35"/>
  <c r="I52" i="35"/>
  <c r="J52" i="35"/>
  <c r="K52" i="35"/>
  <c r="L52" i="35"/>
  <c r="M52" i="35"/>
  <c r="N52" i="35"/>
  <c r="O52" i="35"/>
  <c r="D53" i="35"/>
  <c r="E53" i="35"/>
  <c r="F53" i="35"/>
  <c r="G53" i="35"/>
  <c r="H53" i="35"/>
  <c r="I53" i="35"/>
  <c r="L53" i="35"/>
  <c r="N53" i="35"/>
  <c r="D54" i="35"/>
  <c r="E54" i="35"/>
  <c r="F54" i="35"/>
  <c r="G54" i="35"/>
  <c r="H54" i="35"/>
  <c r="I54" i="35"/>
  <c r="D55" i="35"/>
  <c r="E55" i="35"/>
  <c r="F55" i="35"/>
  <c r="G55" i="35"/>
  <c r="H55" i="35"/>
  <c r="I55" i="35"/>
  <c r="D56" i="35"/>
  <c r="E56" i="35"/>
  <c r="F56" i="35"/>
  <c r="G56" i="35"/>
  <c r="H56" i="35"/>
  <c r="I56" i="35"/>
  <c r="D57" i="35"/>
  <c r="E57" i="35"/>
  <c r="F57" i="35"/>
  <c r="G57" i="35"/>
  <c r="H57" i="35"/>
  <c r="I57" i="35"/>
  <c r="B58" i="35"/>
  <c r="B59" i="35" s="1"/>
  <c r="B60" i="35" s="1"/>
  <c r="B61" i="35" s="1"/>
  <c r="B62" i="35" s="1"/>
  <c r="B63" i="35" s="1"/>
  <c r="B64" i="35" s="1"/>
  <c r="B65" i="35" s="1"/>
  <c r="B66" i="35" s="1"/>
  <c r="B67" i="35" s="1"/>
  <c r="B68" i="35" s="1"/>
  <c r="B69" i="35" s="1"/>
  <c r="B70" i="35" s="1"/>
  <c r="B71" i="35" s="1"/>
  <c r="B72" i="35" s="1"/>
  <c r="D58" i="35"/>
  <c r="E58" i="35"/>
  <c r="F58" i="35"/>
  <c r="G58" i="35"/>
  <c r="H58" i="35"/>
  <c r="I58" i="35"/>
  <c r="D59" i="35"/>
  <c r="E59" i="35"/>
  <c r="F59" i="35"/>
  <c r="G59" i="35"/>
  <c r="H59" i="35"/>
  <c r="I59" i="35"/>
  <c r="D60" i="35"/>
  <c r="E60" i="35"/>
  <c r="F60" i="35"/>
  <c r="G60" i="35"/>
  <c r="H60" i="35"/>
  <c r="I60" i="35"/>
  <c r="D61" i="35"/>
  <c r="E61" i="35"/>
  <c r="F61" i="35"/>
  <c r="G61" i="35"/>
  <c r="H61" i="35"/>
  <c r="I61" i="35"/>
  <c r="D62" i="35"/>
  <c r="E62" i="35"/>
  <c r="F62" i="35"/>
  <c r="G62" i="35"/>
  <c r="H62" i="35"/>
  <c r="I62" i="35"/>
  <c r="D63" i="35"/>
  <c r="E63" i="35"/>
  <c r="F63" i="35"/>
  <c r="G63" i="35"/>
  <c r="H63" i="35"/>
  <c r="I63" i="35"/>
  <c r="D64" i="35"/>
  <c r="E64" i="35"/>
  <c r="F64" i="35"/>
  <c r="G64" i="35"/>
  <c r="H64" i="35"/>
  <c r="I64" i="35"/>
  <c r="D65" i="35"/>
  <c r="E65" i="35"/>
  <c r="F65" i="35"/>
  <c r="G65" i="35"/>
  <c r="H65" i="35"/>
  <c r="I65" i="35"/>
  <c r="D66" i="35"/>
  <c r="E66" i="35"/>
  <c r="F66" i="35"/>
  <c r="G66" i="35"/>
  <c r="H66" i="35"/>
  <c r="I66" i="35"/>
  <c r="D67" i="35"/>
  <c r="E67" i="35"/>
  <c r="F67" i="35"/>
  <c r="G67" i="35"/>
  <c r="H67" i="35"/>
  <c r="I67" i="35"/>
  <c r="D68" i="35"/>
  <c r="E68" i="35"/>
  <c r="F68" i="35"/>
  <c r="G68" i="35"/>
  <c r="H68" i="35"/>
  <c r="I68" i="35"/>
  <c r="D69" i="35"/>
  <c r="E69" i="35"/>
  <c r="F69" i="35"/>
  <c r="G69" i="35"/>
  <c r="H69" i="35"/>
  <c r="I69" i="35"/>
  <c r="D70" i="35"/>
  <c r="E70" i="35"/>
  <c r="F70" i="35"/>
  <c r="G70" i="35"/>
  <c r="H70" i="35"/>
  <c r="I70" i="35"/>
  <c r="D71" i="35"/>
  <c r="E71" i="35"/>
  <c r="F71" i="35"/>
  <c r="G71" i="35"/>
  <c r="H71" i="35"/>
  <c r="I71" i="35"/>
  <c r="D72" i="35"/>
  <c r="E72" i="35"/>
  <c r="F72" i="35"/>
  <c r="G72" i="35"/>
  <c r="H72" i="35"/>
  <c r="I72" i="35"/>
  <c r="D24" i="95"/>
  <c r="D35" i="95"/>
  <c r="D35" i="17"/>
  <c r="E36" i="17"/>
  <c r="E37" i="17"/>
  <c r="D19" i="132"/>
  <c r="D21" i="132"/>
  <c r="F24" i="132"/>
  <c r="H24" i="132"/>
  <c r="L24" i="132"/>
  <c r="M24" i="132"/>
  <c r="L25" i="132"/>
  <c r="M25" i="132"/>
  <c r="K25" i="132" s="1"/>
  <c r="L26" i="132"/>
  <c r="M26" i="132"/>
  <c r="K26" i="132" s="1"/>
  <c r="L27" i="132"/>
  <c r="M27" i="132"/>
  <c r="K27" i="132" s="1"/>
  <c r="L28" i="132"/>
  <c r="M28" i="132"/>
  <c r="K28" i="132" s="1"/>
  <c r="L29" i="132"/>
  <c r="M29" i="132"/>
  <c r="K29" i="132" s="1"/>
  <c r="L30" i="132"/>
  <c r="M30" i="132"/>
  <c r="K30" i="132" s="1"/>
  <c r="L31" i="132"/>
  <c r="M31" i="132"/>
  <c r="K31" i="132" s="1"/>
  <c r="L32" i="132"/>
  <c r="M32" i="132"/>
  <c r="K32" i="132" s="1"/>
  <c r="L33" i="132"/>
  <c r="M33" i="132"/>
  <c r="K33" i="132" s="1"/>
  <c r="L34" i="132"/>
  <c r="M34" i="132"/>
  <c r="K34" i="132" s="1"/>
  <c r="L35" i="132"/>
  <c r="M35" i="132"/>
  <c r="K35" i="132" s="1"/>
  <c r="L36" i="132"/>
  <c r="M36" i="132"/>
  <c r="K36" i="132" s="1"/>
  <c r="L37" i="132"/>
  <c r="M37" i="132"/>
  <c r="K37" i="132" s="1"/>
  <c r="L38" i="132"/>
  <c r="M38" i="132"/>
  <c r="K38" i="132" s="1"/>
  <c r="L39" i="132"/>
  <c r="M39" i="132"/>
  <c r="K39" i="132" s="1"/>
  <c r="L40" i="132"/>
  <c r="M40" i="132"/>
  <c r="K40" i="132" s="1"/>
  <c r="L41" i="132"/>
  <c r="M41" i="132"/>
  <c r="K41" i="132" s="1"/>
  <c r="L42" i="132"/>
  <c r="M42" i="132"/>
  <c r="K42" i="132" s="1"/>
  <c r="L43" i="132"/>
  <c r="M43" i="132"/>
  <c r="K43" i="132" s="1"/>
  <c r="L44" i="132"/>
  <c r="M44" i="132"/>
  <c r="K44" i="132" s="1"/>
  <c r="L45" i="132"/>
  <c r="L46" i="132"/>
  <c r="L47" i="132"/>
  <c r="L48" i="132"/>
  <c r="L49" i="132"/>
  <c r="L50" i="132"/>
  <c r="L52" i="132"/>
  <c r="L53" i="132"/>
  <c r="L54" i="132"/>
  <c r="L55" i="132"/>
  <c r="L56" i="132"/>
  <c r="L57" i="132"/>
  <c r="L58" i="132"/>
  <c r="L59" i="132"/>
  <c r="L60" i="132"/>
  <c r="L61" i="132"/>
  <c r="L62" i="132"/>
  <c r="L63" i="132"/>
  <c r="L64" i="132"/>
  <c r="L65" i="132"/>
  <c r="L66" i="132"/>
  <c r="L67" i="132"/>
  <c r="L68" i="132"/>
  <c r="L69" i="132"/>
  <c r="L70" i="132"/>
  <c r="L71" i="132"/>
  <c r="L72" i="132"/>
  <c r="L73" i="132"/>
  <c r="L74" i="132"/>
  <c r="L75" i="132"/>
  <c r="L76" i="132"/>
  <c r="L77" i="132"/>
  <c r="L78" i="132"/>
  <c r="L79" i="132"/>
  <c r="L80" i="132"/>
  <c r="L81" i="132"/>
  <c r="L82" i="132"/>
  <c r="L83" i="132"/>
  <c r="L84" i="132"/>
  <c r="L85" i="132"/>
  <c r="L86" i="132"/>
  <c r="L87" i="132"/>
  <c r="L88" i="132"/>
  <c r="L89" i="132"/>
  <c r="L90" i="132"/>
  <c r="L91" i="132"/>
  <c r="L92" i="132"/>
  <c r="L93" i="132"/>
  <c r="L94" i="132"/>
  <c r="L95" i="132"/>
  <c r="L96" i="132"/>
  <c r="L97" i="132"/>
  <c r="L98" i="132"/>
  <c r="L99" i="132"/>
  <c r="L100" i="132"/>
  <c r="L101" i="132"/>
  <c r="L102" i="132"/>
  <c r="L103" i="132"/>
  <c r="L104" i="132"/>
  <c r="L105" i="132"/>
  <c r="L106" i="132"/>
  <c r="L107" i="132"/>
  <c r="L108" i="132"/>
  <c r="L109" i="132"/>
  <c r="L110" i="132"/>
  <c r="L111" i="132"/>
  <c r="L112" i="132"/>
  <c r="L113" i="132"/>
  <c r="L114" i="132"/>
  <c r="D23" i="16"/>
  <c r="B28" i="16"/>
  <c r="CR5" i="23"/>
  <c r="B14" i="23"/>
  <c r="A23" i="23" s="1"/>
  <c r="B15" i="23"/>
  <c r="B28" i="23" s="1"/>
  <c r="B29" i="23" s="1"/>
  <c r="B30" i="23" s="1"/>
  <c r="B31" i="23" s="1"/>
  <c r="B32" i="23" s="1"/>
  <c r="B33" i="23" s="1"/>
  <c r="B34" i="23" s="1"/>
  <c r="B35" i="23" s="1"/>
  <c r="B36" i="23" s="1"/>
  <c r="B37" i="23" s="1"/>
  <c r="B38" i="23" s="1"/>
  <c r="B39" i="23" s="1"/>
  <c r="B40" i="23" s="1"/>
  <c r="B41" i="23" s="1"/>
  <c r="B42" i="23" s="1"/>
  <c r="B43" i="23" s="1"/>
  <c r="B44" i="23" s="1"/>
  <c r="B45" i="23" s="1"/>
  <c r="B46" i="23" s="1"/>
  <c r="B47" i="23" s="1"/>
  <c r="B48" i="23" s="1"/>
  <c r="B49" i="23" s="1"/>
  <c r="B50" i="23" s="1"/>
  <c r="B51" i="23" s="1"/>
  <c r="B52" i="23" s="1"/>
  <c r="B53" i="23" s="1"/>
  <c r="B54" i="23" s="1"/>
  <c r="B55" i="23" s="1"/>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B76" i="23" s="1"/>
  <c r="B77" i="23" s="1"/>
  <c r="B78" i="23" s="1"/>
  <c r="B79" i="23" s="1"/>
  <c r="B80" i="23" s="1"/>
  <c r="B81" i="23" s="1"/>
  <c r="B82" i="23" s="1"/>
  <c r="B83" i="23" s="1"/>
  <c r="B84" i="23" s="1"/>
  <c r="B85" i="23" s="1"/>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B106" i="23" s="1"/>
  <c r="B107" i="23" s="1"/>
  <c r="U5" i="33"/>
  <c r="B14" i="33"/>
  <c r="B15" i="33"/>
  <c r="B16" i="4"/>
  <c r="D27" i="4"/>
  <c r="E27" i="4"/>
  <c r="F27" i="4"/>
  <c r="G27" i="4"/>
  <c r="H27" i="4"/>
  <c r="I27" i="4"/>
  <c r="J27" i="4"/>
  <c r="AI78" i="155" s="1"/>
  <c r="K27" i="4"/>
  <c r="L27" i="4"/>
  <c r="M27" i="4"/>
  <c r="N27" i="4"/>
  <c r="O27" i="4"/>
  <c r="P27" i="4"/>
  <c r="Q27" i="4"/>
  <c r="D28" i="4"/>
  <c r="E28" i="4"/>
  <c r="F28" i="4"/>
  <c r="G28" i="4"/>
  <c r="H28" i="4"/>
  <c r="I28" i="4"/>
  <c r="J28" i="4"/>
  <c r="K28" i="4"/>
  <c r="L28" i="4"/>
  <c r="M28" i="4"/>
  <c r="N28" i="4"/>
  <c r="O28" i="4"/>
  <c r="P28" i="4"/>
  <c r="Q28" i="4"/>
  <c r="D29" i="4"/>
  <c r="E29" i="4"/>
  <c r="F29" i="4"/>
  <c r="G29" i="4"/>
  <c r="H29" i="4"/>
  <c r="I29" i="4"/>
  <c r="J29" i="4"/>
  <c r="K29" i="4"/>
  <c r="L29" i="4"/>
  <c r="M29" i="4"/>
  <c r="N29" i="4"/>
  <c r="O29" i="4"/>
  <c r="P29" i="4"/>
  <c r="Q29" i="4"/>
  <c r="D30" i="4"/>
  <c r="E30" i="4"/>
  <c r="F30" i="4"/>
  <c r="G30" i="4"/>
  <c r="H30" i="4"/>
  <c r="I30" i="4"/>
  <c r="J30" i="4"/>
  <c r="K30" i="4"/>
  <c r="L30" i="4"/>
  <c r="M30" i="4"/>
  <c r="N30" i="4"/>
  <c r="O30" i="4"/>
  <c r="P30" i="4"/>
  <c r="Q30" i="4"/>
  <c r="D31" i="4"/>
  <c r="E31" i="4"/>
  <c r="F31" i="4"/>
  <c r="G31" i="4"/>
  <c r="H31" i="4"/>
  <c r="I31" i="4"/>
  <c r="J31" i="4"/>
  <c r="K31" i="4"/>
  <c r="L31" i="4"/>
  <c r="M31" i="4"/>
  <c r="N31" i="4"/>
  <c r="O31" i="4"/>
  <c r="P31" i="4"/>
  <c r="Q31" i="4"/>
  <c r="D32" i="4"/>
  <c r="E32" i="4"/>
  <c r="F32" i="4"/>
  <c r="G32" i="4"/>
  <c r="H32" i="4"/>
  <c r="I32" i="4"/>
  <c r="J32" i="4"/>
  <c r="K32" i="4"/>
  <c r="L32" i="4"/>
  <c r="M32" i="4"/>
  <c r="N32" i="4"/>
  <c r="O32" i="4"/>
  <c r="P32" i="4"/>
  <c r="Q32" i="4"/>
  <c r="D33" i="4"/>
  <c r="E33" i="4"/>
  <c r="F33" i="4"/>
  <c r="G33" i="4"/>
  <c r="H33" i="4"/>
  <c r="I33" i="4"/>
  <c r="J33" i="4"/>
  <c r="K33" i="4"/>
  <c r="L33" i="4"/>
  <c r="M33" i="4"/>
  <c r="N33" i="4"/>
  <c r="O33" i="4"/>
  <c r="P33" i="4"/>
  <c r="Q33" i="4"/>
  <c r="D35" i="4"/>
  <c r="E35" i="4"/>
  <c r="F35" i="4"/>
  <c r="G35" i="4"/>
  <c r="H35" i="4"/>
  <c r="I35" i="4"/>
  <c r="J35" i="4"/>
  <c r="K35" i="4"/>
  <c r="L35" i="4"/>
  <c r="M35" i="4"/>
  <c r="N35" i="4"/>
  <c r="O35" i="4"/>
  <c r="P35" i="4"/>
  <c r="Q35" i="4"/>
  <c r="D36" i="4"/>
  <c r="E36" i="4"/>
  <c r="F36" i="4"/>
  <c r="G36" i="4"/>
  <c r="H36" i="4"/>
  <c r="I36" i="4"/>
  <c r="J36" i="4"/>
  <c r="K36" i="4"/>
  <c r="L36" i="4"/>
  <c r="M36" i="4"/>
  <c r="N36" i="4"/>
  <c r="O36" i="4"/>
  <c r="P36" i="4"/>
  <c r="Q36" i="4"/>
  <c r="D37" i="4"/>
  <c r="E37" i="4"/>
  <c r="F37" i="4"/>
  <c r="G37" i="4"/>
  <c r="H37" i="4"/>
  <c r="I37" i="4"/>
  <c r="J37" i="4"/>
  <c r="K37" i="4"/>
  <c r="L37" i="4"/>
  <c r="M37" i="4"/>
  <c r="N37" i="4"/>
  <c r="O37" i="4"/>
  <c r="P37" i="4"/>
  <c r="Q37" i="4"/>
  <c r="D38" i="4"/>
  <c r="E38" i="4"/>
  <c r="F38" i="4"/>
  <c r="G38" i="4"/>
  <c r="H38" i="4"/>
  <c r="I38" i="4"/>
  <c r="J38" i="4"/>
  <c r="K38" i="4"/>
  <c r="L38" i="4"/>
  <c r="M38" i="4"/>
  <c r="N38" i="4"/>
  <c r="O38" i="4"/>
  <c r="P38" i="4"/>
  <c r="Q38" i="4"/>
  <c r="D39" i="4"/>
  <c r="E39" i="4"/>
  <c r="F39" i="4"/>
  <c r="G39" i="4"/>
  <c r="H39" i="4"/>
  <c r="I39" i="4"/>
  <c r="J39" i="4"/>
  <c r="K39" i="4"/>
  <c r="L39" i="4"/>
  <c r="M39" i="4"/>
  <c r="N39" i="4"/>
  <c r="O39" i="4"/>
  <c r="P39" i="4"/>
  <c r="Q39" i="4"/>
  <c r="D40" i="4"/>
  <c r="E40" i="4"/>
  <c r="F40" i="4"/>
  <c r="G40" i="4"/>
  <c r="H40" i="4"/>
  <c r="I40" i="4"/>
  <c r="J40" i="4"/>
  <c r="K40" i="4"/>
  <c r="L40" i="4"/>
  <c r="M40" i="4"/>
  <c r="N40" i="4"/>
  <c r="O40" i="4"/>
  <c r="P40" i="4"/>
  <c r="Q40" i="4"/>
  <c r="D41" i="4"/>
  <c r="E41" i="4"/>
  <c r="F41" i="4"/>
  <c r="G41" i="4"/>
  <c r="H41" i="4"/>
  <c r="I41" i="4"/>
  <c r="J41" i="4"/>
  <c r="K41" i="4"/>
  <c r="L41" i="4"/>
  <c r="M41" i="4"/>
  <c r="N41" i="4"/>
  <c r="O41" i="4"/>
  <c r="P41" i="4"/>
  <c r="Q41" i="4"/>
  <c r="D42" i="4"/>
  <c r="E42" i="4"/>
  <c r="F42" i="4"/>
  <c r="G42" i="4"/>
  <c r="H42" i="4"/>
  <c r="I42" i="4"/>
  <c r="J42" i="4"/>
  <c r="K42" i="4"/>
  <c r="L42" i="4"/>
  <c r="M42" i="4"/>
  <c r="N42" i="4"/>
  <c r="O42" i="4"/>
  <c r="P42" i="4"/>
  <c r="Q42" i="4"/>
  <c r="D43" i="4"/>
  <c r="E43" i="4"/>
  <c r="F43" i="4"/>
  <c r="G43" i="4"/>
  <c r="H43" i="4"/>
  <c r="I43" i="4"/>
  <c r="J43" i="4"/>
  <c r="K43" i="4"/>
  <c r="L43" i="4"/>
  <c r="M43" i="4"/>
  <c r="N43" i="4"/>
  <c r="O43" i="4"/>
  <c r="P43" i="4"/>
  <c r="Q43" i="4"/>
  <c r="D44" i="4"/>
  <c r="E44" i="4"/>
  <c r="F44" i="4"/>
  <c r="G44" i="4"/>
  <c r="H44" i="4"/>
  <c r="I44" i="4"/>
  <c r="J44" i="4"/>
  <c r="K44" i="4"/>
  <c r="L44" i="4"/>
  <c r="M44" i="4"/>
  <c r="N44" i="4"/>
  <c r="O44" i="4"/>
  <c r="P44" i="4"/>
  <c r="Q44" i="4"/>
  <c r="D45" i="4"/>
  <c r="E45" i="4"/>
  <c r="F45" i="4"/>
  <c r="G45" i="4"/>
  <c r="H45" i="4"/>
  <c r="I45" i="4"/>
  <c r="J45" i="4"/>
  <c r="K45" i="4"/>
  <c r="L45" i="4"/>
  <c r="M45" i="4"/>
  <c r="N45" i="4"/>
  <c r="O45" i="4"/>
  <c r="P45" i="4"/>
  <c r="Q45" i="4"/>
  <c r="D46" i="4"/>
  <c r="E46" i="4"/>
  <c r="F46" i="4"/>
  <c r="G46" i="4"/>
  <c r="H46" i="4"/>
  <c r="I46" i="4"/>
  <c r="J46" i="4"/>
  <c r="K46" i="4"/>
  <c r="L46" i="4"/>
  <c r="M46" i="4"/>
  <c r="N46" i="4"/>
  <c r="O46" i="4"/>
  <c r="P46" i="4"/>
  <c r="Q46" i="4"/>
  <c r="A23" i="84"/>
  <c r="A23" i="85"/>
  <c r="E7" i="25"/>
  <c r="E7" i="38" s="1"/>
  <c r="B15" i="25"/>
  <c r="C28" i="25" s="1"/>
  <c r="D28" i="25"/>
  <c r="E28" i="25"/>
  <c r="F28" i="25"/>
  <c r="G28" i="25"/>
  <c r="H28" i="25"/>
  <c r="I28" i="25"/>
  <c r="K28" i="25"/>
  <c r="L28" i="25"/>
  <c r="M28" i="25"/>
  <c r="N28" i="25"/>
  <c r="O28" i="25"/>
  <c r="Q28" i="25"/>
  <c r="R28" i="25"/>
  <c r="S28" i="25"/>
  <c r="T28" i="25"/>
  <c r="U28" i="25"/>
  <c r="V28" i="25"/>
  <c r="W28" i="25" s="1"/>
  <c r="X28" i="25"/>
  <c r="Y28" i="25"/>
  <c r="Z28" i="25"/>
  <c r="AA28" i="25"/>
  <c r="AB28" i="25"/>
  <c r="AD28" i="25"/>
  <c r="AE28" i="25"/>
  <c r="AF28" i="25"/>
  <c r="AG28" i="25"/>
  <c r="AH28" i="25"/>
  <c r="AI28" i="25"/>
  <c r="AK28" i="25"/>
  <c r="AL28" i="25"/>
  <c r="AM28" i="25"/>
  <c r="AN28" i="25"/>
  <c r="AO28" i="25"/>
  <c r="F37" i="38" s="1"/>
  <c r="AQ28" i="25"/>
  <c r="AR28" i="25"/>
  <c r="AS28" i="25"/>
  <c r="AT28" i="25"/>
  <c r="AU28" i="25"/>
  <c r="AV28" i="25"/>
  <c r="AX28" i="25"/>
  <c r="AY28" i="25"/>
  <c r="AZ28" i="25"/>
  <c r="BA28" i="25"/>
  <c r="BB28" i="25"/>
  <c r="BD28" i="25"/>
  <c r="BE28" i="25"/>
  <c r="BF28" i="25"/>
  <c r="BG28" i="25"/>
  <c r="BH28" i="25"/>
  <c r="BI28" i="25"/>
  <c r="BK28" i="25"/>
  <c r="BL28" i="25"/>
  <c r="BM28" i="25"/>
  <c r="BN28" i="25"/>
  <c r="BO28" i="25"/>
  <c r="BQ28" i="25"/>
  <c r="BR28" i="25"/>
  <c r="BS28" i="25"/>
  <c r="BT28" i="25"/>
  <c r="BU28" i="25"/>
  <c r="BV28" i="25"/>
  <c r="BX28" i="25"/>
  <c r="BY28" i="25"/>
  <c r="BZ28" i="25"/>
  <c r="CA28" i="25"/>
  <c r="CB28" i="25"/>
  <c r="CD28" i="25"/>
  <c r="CE28" i="25"/>
  <c r="CF28" i="25"/>
  <c r="CG28" i="25"/>
  <c r="CH28" i="25"/>
  <c r="CI28" i="25"/>
  <c r="CK28" i="25"/>
  <c r="CL28" i="25"/>
  <c r="CM28" i="25"/>
  <c r="CN28" i="25"/>
  <c r="CO28" i="25"/>
  <c r="H29" i="25"/>
  <c r="I29" i="25"/>
  <c r="K29" i="25"/>
  <c r="L29" i="25"/>
  <c r="M29" i="25"/>
  <c r="N29" i="25"/>
  <c r="O29" i="25"/>
  <c r="U29" i="25"/>
  <c r="V29" i="25"/>
  <c r="X29" i="25"/>
  <c r="Y29" i="25"/>
  <c r="Z29" i="25"/>
  <c r="AA29" i="25"/>
  <c r="AB29" i="25"/>
  <c r="AH29" i="25"/>
  <c r="AI29" i="25"/>
  <c r="AK29" i="25"/>
  <c r="AL29" i="25"/>
  <c r="AM29" i="25"/>
  <c r="AN29" i="25"/>
  <c r="AO29" i="25"/>
  <c r="AU29" i="25"/>
  <c r="AV29" i="25"/>
  <c r="AX29" i="25"/>
  <c r="AY29" i="25"/>
  <c r="AZ29" i="25"/>
  <c r="BA29" i="25"/>
  <c r="BB29" i="25"/>
  <c r="BH29" i="25"/>
  <c r="BI29" i="25"/>
  <c r="BK29" i="25"/>
  <c r="BL29" i="25"/>
  <c r="BM29" i="25"/>
  <c r="BN29" i="25"/>
  <c r="BO29" i="25"/>
  <c r="BU29" i="25"/>
  <c r="BV29" i="25"/>
  <c r="BX29" i="25"/>
  <c r="BY29" i="25"/>
  <c r="BZ29" i="25"/>
  <c r="CA29" i="25"/>
  <c r="CB29" i="25"/>
  <c r="CH29" i="25"/>
  <c r="CI29" i="25"/>
  <c r="CK29" i="25"/>
  <c r="CL29" i="25"/>
  <c r="CM29" i="25"/>
  <c r="CN29" i="25"/>
  <c r="CO29" i="25"/>
  <c r="H30" i="25"/>
  <c r="I30" i="25"/>
  <c r="K30" i="25"/>
  <c r="L30" i="25"/>
  <c r="M30" i="25"/>
  <c r="N30" i="25"/>
  <c r="O30" i="25"/>
  <c r="U30" i="25"/>
  <c r="V30" i="25"/>
  <c r="X30" i="25"/>
  <c r="Y30" i="25"/>
  <c r="Z30" i="25"/>
  <c r="AA30" i="25"/>
  <c r="AB30" i="25"/>
  <c r="AH30" i="25"/>
  <c r="AI30" i="25"/>
  <c r="AK30" i="25"/>
  <c r="AL30" i="25"/>
  <c r="AM30" i="25"/>
  <c r="AN30" i="25"/>
  <c r="AO30" i="25"/>
  <c r="AU30" i="25"/>
  <c r="AV30" i="25"/>
  <c r="AX30" i="25"/>
  <c r="AY30" i="25"/>
  <c r="AZ30" i="25"/>
  <c r="BA30" i="25"/>
  <c r="BB30" i="25"/>
  <c r="BH30" i="25"/>
  <c r="BI30" i="25"/>
  <c r="BK30" i="25"/>
  <c r="BL30" i="25"/>
  <c r="BM30" i="25"/>
  <c r="BN30" i="25"/>
  <c r="BO30" i="25"/>
  <c r="BU30" i="25"/>
  <c r="BV30" i="25"/>
  <c r="BX30" i="25"/>
  <c r="BY30" i="25"/>
  <c r="BZ30" i="25"/>
  <c r="CA30" i="25"/>
  <c r="CB30" i="25"/>
  <c r="CH30" i="25"/>
  <c r="CI30" i="25"/>
  <c r="CK30" i="25"/>
  <c r="CL30" i="25"/>
  <c r="CM30" i="25"/>
  <c r="CN30" i="25"/>
  <c r="CO30" i="25"/>
  <c r="H31" i="25"/>
  <c r="I31" i="25"/>
  <c r="K31" i="25"/>
  <c r="L31" i="25"/>
  <c r="M31" i="25"/>
  <c r="N31" i="25"/>
  <c r="P31" i="25" s="1"/>
  <c r="O31" i="25"/>
  <c r="U31" i="25"/>
  <c r="V31" i="25"/>
  <c r="X31" i="25"/>
  <c r="Y31" i="25"/>
  <c r="Z31" i="25"/>
  <c r="AA31" i="25"/>
  <c r="AB31" i="25"/>
  <c r="AH31" i="25"/>
  <c r="AI31" i="25"/>
  <c r="AK31" i="25"/>
  <c r="AL31" i="25"/>
  <c r="AM31" i="25"/>
  <c r="AN31" i="25"/>
  <c r="AO31" i="25"/>
  <c r="AU31" i="25"/>
  <c r="AV31" i="25"/>
  <c r="AX31" i="25"/>
  <c r="AY31" i="25"/>
  <c r="AZ31" i="25"/>
  <c r="BA31" i="25"/>
  <c r="BB31" i="25"/>
  <c r="BH31" i="25"/>
  <c r="BI31" i="25"/>
  <c r="BK31" i="25"/>
  <c r="BL31" i="25"/>
  <c r="BM31" i="25"/>
  <c r="BN31" i="25"/>
  <c r="BO31" i="25"/>
  <c r="BU31" i="25"/>
  <c r="BV31" i="25"/>
  <c r="BX31" i="25"/>
  <c r="BY31" i="25"/>
  <c r="BZ31" i="25"/>
  <c r="CA31" i="25"/>
  <c r="CB31" i="25"/>
  <c r="CH31" i="25"/>
  <c r="CI31" i="25"/>
  <c r="CK31" i="25"/>
  <c r="CL31" i="25"/>
  <c r="CM31" i="25"/>
  <c r="CN31" i="25"/>
  <c r="CO31" i="25"/>
  <c r="H32" i="25"/>
  <c r="I32" i="25"/>
  <c r="K32" i="25"/>
  <c r="L32" i="25"/>
  <c r="M32" i="25"/>
  <c r="N32" i="25"/>
  <c r="O32" i="25"/>
  <c r="U32" i="25"/>
  <c r="V32" i="25"/>
  <c r="X32" i="25"/>
  <c r="Y32" i="25"/>
  <c r="Z32" i="25"/>
  <c r="AA32" i="25"/>
  <c r="AB32" i="25"/>
  <c r="AH32" i="25"/>
  <c r="AI32" i="25"/>
  <c r="AK32" i="25"/>
  <c r="AL32" i="25"/>
  <c r="AM32" i="25"/>
  <c r="AN32" i="25"/>
  <c r="AO32" i="25"/>
  <c r="AU32" i="25"/>
  <c r="AV32" i="25"/>
  <c r="AX32" i="25"/>
  <c r="AY32" i="25"/>
  <c r="AZ32" i="25"/>
  <c r="BA32" i="25"/>
  <c r="BB32" i="25"/>
  <c r="BH32" i="25"/>
  <c r="BI32" i="25"/>
  <c r="BK32" i="25"/>
  <c r="BL32" i="25"/>
  <c r="BM32" i="25"/>
  <c r="BN32" i="25"/>
  <c r="BO32" i="25"/>
  <c r="BU32" i="25"/>
  <c r="BV32" i="25"/>
  <c r="BW32" i="25" s="1"/>
  <c r="BX32" i="25"/>
  <c r="BY32" i="25"/>
  <c r="BZ32" i="25"/>
  <c r="CA32" i="25"/>
  <c r="CB32" i="25"/>
  <c r="CH32" i="25"/>
  <c r="CI32" i="25"/>
  <c r="CK32" i="25"/>
  <c r="CL32" i="25"/>
  <c r="CM32" i="25"/>
  <c r="CN32" i="25"/>
  <c r="CO32" i="25"/>
  <c r="H33" i="25"/>
  <c r="I33" i="25"/>
  <c r="K33" i="25"/>
  <c r="L33" i="25"/>
  <c r="M33" i="25"/>
  <c r="N33" i="25"/>
  <c r="O33" i="25"/>
  <c r="U33" i="25"/>
  <c r="V33" i="25"/>
  <c r="X33" i="25"/>
  <c r="Y33" i="25"/>
  <c r="Z33" i="25"/>
  <c r="AA33" i="25"/>
  <c r="AB33" i="25"/>
  <c r="AH33" i="25"/>
  <c r="AI33" i="25"/>
  <c r="AK33" i="25"/>
  <c r="AL33" i="25"/>
  <c r="AM33" i="25"/>
  <c r="AN33" i="25"/>
  <c r="AO33" i="25"/>
  <c r="AU33" i="25"/>
  <c r="AV33" i="25"/>
  <c r="AX33" i="25"/>
  <c r="AY33" i="25"/>
  <c r="AZ33" i="25"/>
  <c r="BA33" i="25"/>
  <c r="BB33" i="25"/>
  <c r="BH33" i="25"/>
  <c r="BI33" i="25"/>
  <c r="BK33" i="25"/>
  <c r="BL33" i="25"/>
  <c r="BM33" i="25"/>
  <c r="BN33" i="25"/>
  <c r="BO33" i="25"/>
  <c r="BU33" i="25"/>
  <c r="BV33" i="25"/>
  <c r="BX33" i="25"/>
  <c r="BY33" i="25"/>
  <c r="BZ33" i="25"/>
  <c r="CA33" i="25"/>
  <c r="CB33" i="25"/>
  <c r="CH33" i="25"/>
  <c r="CI33" i="25"/>
  <c r="CK33" i="25"/>
  <c r="CL33" i="25"/>
  <c r="CM33" i="25"/>
  <c r="CN33" i="25"/>
  <c r="CO33" i="25"/>
  <c r="H34" i="25"/>
  <c r="I34" i="25"/>
  <c r="K34" i="25"/>
  <c r="L34" i="25"/>
  <c r="M34" i="25"/>
  <c r="N34" i="25"/>
  <c r="O34" i="25"/>
  <c r="U34" i="25"/>
  <c r="V34" i="25"/>
  <c r="X34" i="25"/>
  <c r="Y34" i="25"/>
  <c r="Z34" i="25"/>
  <c r="AA34" i="25"/>
  <c r="AB34" i="25"/>
  <c r="AH34" i="25"/>
  <c r="AI34" i="25"/>
  <c r="AK34" i="25"/>
  <c r="AL34" i="25"/>
  <c r="AM34" i="25"/>
  <c r="AN34" i="25"/>
  <c r="AO34" i="25"/>
  <c r="AU34" i="25"/>
  <c r="AV34" i="25"/>
  <c r="AX34" i="25"/>
  <c r="AY34" i="25"/>
  <c r="AZ34" i="25"/>
  <c r="BA34" i="25"/>
  <c r="BB34" i="25"/>
  <c r="BH34" i="25"/>
  <c r="BI34" i="25"/>
  <c r="BK34" i="25"/>
  <c r="BL34" i="25"/>
  <c r="BM34" i="25"/>
  <c r="BN34" i="25"/>
  <c r="BO34" i="25"/>
  <c r="BU34" i="25"/>
  <c r="BV34" i="25"/>
  <c r="BX34" i="25"/>
  <c r="BY34" i="25"/>
  <c r="BZ34" i="25"/>
  <c r="CA34" i="25"/>
  <c r="CB34" i="25"/>
  <c r="CH34" i="25"/>
  <c r="CI34" i="25"/>
  <c r="CK34" i="25"/>
  <c r="CL34" i="25"/>
  <c r="CM34" i="25"/>
  <c r="CN34" i="25"/>
  <c r="CO34" i="25"/>
  <c r="H35" i="25"/>
  <c r="I35" i="25"/>
  <c r="K35" i="25"/>
  <c r="L35" i="25"/>
  <c r="M35" i="25"/>
  <c r="N35" i="25"/>
  <c r="O35" i="25"/>
  <c r="U35" i="25"/>
  <c r="V35" i="25"/>
  <c r="X35" i="25"/>
  <c r="Y35" i="25"/>
  <c r="Z35" i="25"/>
  <c r="AA35" i="25"/>
  <c r="AB35" i="25"/>
  <c r="AH35" i="25"/>
  <c r="AI35" i="25"/>
  <c r="AK35" i="25"/>
  <c r="AL35" i="25"/>
  <c r="AM35" i="25"/>
  <c r="AN35" i="25"/>
  <c r="AO35" i="25"/>
  <c r="AU35" i="25"/>
  <c r="AV35" i="25"/>
  <c r="AX35" i="25"/>
  <c r="AY35" i="25"/>
  <c r="AZ35" i="25"/>
  <c r="BA35" i="25"/>
  <c r="BB35" i="25"/>
  <c r="BH35" i="25"/>
  <c r="BI35" i="25"/>
  <c r="BK35" i="25"/>
  <c r="BL35" i="25"/>
  <c r="BM35" i="25"/>
  <c r="BN35" i="25"/>
  <c r="BO35" i="25"/>
  <c r="BU35" i="25"/>
  <c r="BV35" i="25"/>
  <c r="BX35" i="25"/>
  <c r="BY35" i="25"/>
  <c r="BZ35" i="25"/>
  <c r="CA35" i="25"/>
  <c r="CB35" i="25"/>
  <c r="CH35" i="25"/>
  <c r="CI35" i="25"/>
  <c r="CK35" i="25"/>
  <c r="CL35" i="25"/>
  <c r="CM35" i="25"/>
  <c r="CN35" i="25"/>
  <c r="CO35" i="25"/>
  <c r="H36" i="25"/>
  <c r="I36" i="25"/>
  <c r="K36" i="25"/>
  <c r="L36" i="25"/>
  <c r="M36" i="25"/>
  <c r="N36" i="25"/>
  <c r="O36" i="25"/>
  <c r="U36" i="25"/>
  <c r="V36" i="25"/>
  <c r="X36" i="25"/>
  <c r="Y36" i="25"/>
  <c r="Z36" i="25"/>
  <c r="AA36" i="25"/>
  <c r="AB36" i="25"/>
  <c r="AH36" i="25"/>
  <c r="AI36" i="25"/>
  <c r="AK36" i="25"/>
  <c r="AL36" i="25"/>
  <c r="AM36" i="25"/>
  <c r="AN36" i="25"/>
  <c r="AO36" i="25"/>
  <c r="AU36" i="25"/>
  <c r="AV36" i="25"/>
  <c r="AX36" i="25"/>
  <c r="AY36" i="25"/>
  <c r="AZ36" i="25"/>
  <c r="BA36" i="25"/>
  <c r="BB36" i="25"/>
  <c r="BH36" i="25"/>
  <c r="BI36" i="25"/>
  <c r="BK36" i="25"/>
  <c r="BL36" i="25"/>
  <c r="BM36" i="25"/>
  <c r="BN36" i="25"/>
  <c r="BO36" i="25"/>
  <c r="BU36" i="25"/>
  <c r="BV36" i="25"/>
  <c r="BX36" i="25"/>
  <c r="BY36" i="25"/>
  <c r="BZ36" i="25"/>
  <c r="CA36" i="25"/>
  <c r="CB36" i="25"/>
  <c r="CH36" i="25"/>
  <c r="CI36" i="25"/>
  <c r="CK36" i="25"/>
  <c r="CL36" i="25"/>
  <c r="CM36" i="25"/>
  <c r="CN36" i="25"/>
  <c r="CO36" i="25"/>
  <c r="H37" i="25"/>
  <c r="I37" i="25"/>
  <c r="J37" i="25" s="1"/>
  <c r="K37" i="25"/>
  <c r="L37" i="25"/>
  <c r="M37" i="25"/>
  <c r="N37" i="25"/>
  <c r="O37" i="25"/>
  <c r="U37" i="25"/>
  <c r="V37" i="25"/>
  <c r="X37" i="25"/>
  <c r="Y37" i="25"/>
  <c r="Z37" i="25"/>
  <c r="AA37" i="25"/>
  <c r="AB37" i="25"/>
  <c r="AH37" i="25"/>
  <c r="AI37" i="25"/>
  <c r="AK37" i="25"/>
  <c r="AL37" i="25"/>
  <c r="AM37" i="25"/>
  <c r="AN37" i="25"/>
  <c r="AO37" i="25"/>
  <c r="AU37" i="25"/>
  <c r="AV37" i="25"/>
  <c r="AX37" i="25"/>
  <c r="AY37" i="25"/>
  <c r="AZ37" i="25"/>
  <c r="BA37" i="25"/>
  <c r="BB37" i="25"/>
  <c r="BH37" i="25"/>
  <c r="BI37" i="25"/>
  <c r="BK37" i="25"/>
  <c r="BL37" i="25"/>
  <c r="BM37" i="25"/>
  <c r="BN37" i="25"/>
  <c r="BO37" i="25"/>
  <c r="BU37" i="25"/>
  <c r="BV37" i="25"/>
  <c r="BX37" i="25"/>
  <c r="BY37" i="25"/>
  <c r="BZ37" i="25"/>
  <c r="CA37" i="25"/>
  <c r="CB37" i="25"/>
  <c r="CH37" i="25"/>
  <c r="CI37" i="25"/>
  <c r="CK37" i="25"/>
  <c r="CL37" i="25"/>
  <c r="CM37" i="25"/>
  <c r="CN37" i="25"/>
  <c r="CO37" i="25"/>
  <c r="H38" i="25"/>
  <c r="I38" i="25"/>
  <c r="K38" i="25"/>
  <c r="L38" i="25"/>
  <c r="M38" i="25"/>
  <c r="N38" i="25"/>
  <c r="O38" i="25"/>
  <c r="U38" i="25"/>
  <c r="V38" i="25"/>
  <c r="X38" i="25"/>
  <c r="Y38" i="25"/>
  <c r="Z38" i="25"/>
  <c r="AA38" i="25"/>
  <c r="AB38" i="25"/>
  <c r="AH38" i="25"/>
  <c r="AI38" i="25"/>
  <c r="AK38" i="25"/>
  <c r="AL38" i="25"/>
  <c r="AM38" i="25"/>
  <c r="AN38" i="25"/>
  <c r="AO38" i="25"/>
  <c r="AU38" i="25"/>
  <c r="AV38" i="25"/>
  <c r="AX38" i="25"/>
  <c r="AY38" i="25"/>
  <c r="AZ38" i="25"/>
  <c r="BA38" i="25"/>
  <c r="BB38" i="25"/>
  <c r="BH38" i="25"/>
  <c r="BI38" i="25"/>
  <c r="BK38" i="25"/>
  <c r="BL38" i="25"/>
  <c r="BM38" i="25"/>
  <c r="BN38" i="25"/>
  <c r="BO38" i="25"/>
  <c r="BU38" i="25"/>
  <c r="BV38" i="25"/>
  <c r="BX38" i="25"/>
  <c r="BY38" i="25"/>
  <c r="BZ38" i="25"/>
  <c r="CA38" i="25"/>
  <c r="CB38" i="25"/>
  <c r="CH38" i="25"/>
  <c r="CI38" i="25"/>
  <c r="CK38" i="25"/>
  <c r="CL38" i="25"/>
  <c r="CM38" i="25"/>
  <c r="CN38" i="25"/>
  <c r="CO38" i="25"/>
  <c r="H39" i="25"/>
  <c r="I39" i="25"/>
  <c r="K39" i="25"/>
  <c r="L39" i="25"/>
  <c r="M39" i="25"/>
  <c r="N39" i="25"/>
  <c r="O39" i="25"/>
  <c r="U39" i="25"/>
  <c r="V39" i="25"/>
  <c r="X39" i="25"/>
  <c r="Y39" i="25"/>
  <c r="Z39" i="25"/>
  <c r="AA39" i="25"/>
  <c r="AB39" i="25"/>
  <c r="AH39" i="25"/>
  <c r="AI39" i="25"/>
  <c r="AK39" i="25"/>
  <c r="AL39" i="25"/>
  <c r="AM39" i="25"/>
  <c r="AN39" i="25"/>
  <c r="AO39" i="25"/>
  <c r="AU39" i="25"/>
  <c r="AV39" i="25"/>
  <c r="AX39" i="25"/>
  <c r="AY39" i="25"/>
  <c r="AZ39" i="25"/>
  <c r="BA39" i="25"/>
  <c r="BB39" i="25"/>
  <c r="BH39" i="25"/>
  <c r="BI39" i="25"/>
  <c r="BK39" i="25"/>
  <c r="BL39" i="25"/>
  <c r="BM39" i="25"/>
  <c r="BN39" i="25"/>
  <c r="BO39" i="25"/>
  <c r="BU39" i="25"/>
  <c r="BV39" i="25"/>
  <c r="BX39" i="25"/>
  <c r="BY39" i="25"/>
  <c r="BZ39" i="25"/>
  <c r="CA39" i="25"/>
  <c r="CB39" i="25"/>
  <c r="CH39" i="25"/>
  <c r="CI39" i="25"/>
  <c r="CK39" i="25"/>
  <c r="CL39" i="25"/>
  <c r="CM39" i="25"/>
  <c r="CN39" i="25"/>
  <c r="CO39" i="25"/>
  <c r="H40" i="25"/>
  <c r="I40" i="25"/>
  <c r="K40" i="25"/>
  <c r="L40" i="25"/>
  <c r="M40" i="25"/>
  <c r="P40" i="25" s="1"/>
  <c r="N40" i="25"/>
  <c r="O40" i="25"/>
  <c r="U40" i="25"/>
  <c r="V40" i="25"/>
  <c r="X40" i="25"/>
  <c r="Y40" i="25"/>
  <c r="Z40" i="25"/>
  <c r="AA40" i="25"/>
  <c r="AB40" i="25"/>
  <c r="AH40" i="25"/>
  <c r="AI40" i="25"/>
  <c r="AK40" i="25"/>
  <c r="AL40" i="25"/>
  <c r="AM40" i="25"/>
  <c r="AN40" i="25"/>
  <c r="AO40" i="25"/>
  <c r="AU40" i="25"/>
  <c r="AV40" i="25"/>
  <c r="AX40" i="25"/>
  <c r="AY40" i="25"/>
  <c r="AZ40" i="25"/>
  <c r="BA40" i="25"/>
  <c r="BB40" i="25"/>
  <c r="BH40" i="25"/>
  <c r="BJ40" i="25" s="1"/>
  <c r="BI40" i="25"/>
  <c r="BK40" i="25"/>
  <c r="BL40" i="25"/>
  <c r="BM40" i="25"/>
  <c r="BN40" i="25"/>
  <c r="BO40" i="25"/>
  <c r="BU40" i="25"/>
  <c r="BV40" i="25"/>
  <c r="BW40" i="25" s="1"/>
  <c r="BX40" i="25"/>
  <c r="BY40" i="25"/>
  <c r="BZ40" i="25"/>
  <c r="CA40" i="25"/>
  <c r="CB40" i="25"/>
  <c r="CH40" i="25"/>
  <c r="CI40" i="25"/>
  <c r="CK40" i="25"/>
  <c r="CL40" i="25"/>
  <c r="CM40" i="25"/>
  <c r="CN40" i="25"/>
  <c r="CO40" i="25"/>
  <c r="H41" i="25"/>
  <c r="I41" i="25"/>
  <c r="K41" i="25"/>
  <c r="L41" i="25"/>
  <c r="M41" i="25"/>
  <c r="N41" i="25"/>
  <c r="O41" i="25"/>
  <c r="U41" i="25"/>
  <c r="V41" i="25"/>
  <c r="X41" i="25"/>
  <c r="Y41" i="25"/>
  <c r="Z41" i="25"/>
  <c r="AA41" i="25"/>
  <c r="AB41" i="25"/>
  <c r="AH41" i="25"/>
  <c r="AI41" i="25"/>
  <c r="AK41" i="25"/>
  <c r="AL41" i="25"/>
  <c r="AM41" i="25"/>
  <c r="AN41" i="25"/>
  <c r="AO41" i="25"/>
  <c r="AU41" i="25"/>
  <c r="AV41" i="25"/>
  <c r="AX41" i="25"/>
  <c r="AY41" i="25"/>
  <c r="AZ41" i="25"/>
  <c r="BA41" i="25"/>
  <c r="BB41" i="25"/>
  <c r="BH41" i="25"/>
  <c r="BI41" i="25"/>
  <c r="BK41" i="25"/>
  <c r="BL41" i="25"/>
  <c r="BM41" i="25"/>
  <c r="BN41" i="25"/>
  <c r="BO41" i="25"/>
  <c r="BU41" i="25"/>
  <c r="BV41" i="25"/>
  <c r="BX41" i="25"/>
  <c r="BY41" i="25"/>
  <c r="BZ41" i="25"/>
  <c r="CA41" i="25"/>
  <c r="CB41" i="25"/>
  <c r="CH41" i="25"/>
  <c r="CI41" i="25"/>
  <c r="CK41" i="25"/>
  <c r="CL41" i="25"/>
  <c r="CM41" i="25"/>
  <c r="CN41" i="25"/>
  <c r="CO41" i="25"/>
  <c r="H42" i="25"/>
  <c r="I42" i="25"/>
  <c r="K42" i="25"/>
  <c r="L42" i="25"/>
  <c r="M42" i="25"/>
  <c r="N42" i="25"/>
  <c r="O42" i="25"/>
  <c r="U42" i="25"/>
  <c r="V42" i="25"/>
  <c r="X42" i="25"/>
  <c r="Y42" i="25"/>
  <c r="Z42" i="25"/>
  <c r="AA42" i="25"/>
  <c r="AB42" i="25"/>
  <c r="AH42" i="25"/>
  <c r="AI42" i="25"/>
  <c r="AK42" i="25"/>
  <c r="AL42" i="25"/>
  <c r="AM42" i="25"/>
  <c r="AN42" i="25"/>
  <c r="AO42" i="25"/>
  <c r="AU42" i="25"/>
  <c r="AV42" i="25"/>
  <c r="AX42" i="25"/>
  <c r="AY42" i="25"/>
  <c r="AZ42" i="25"/>
  <c r="BA42" i="25"/>
  <c r="BB42" i="25"/>
  <c r="BH42" i="25"/>
  <c r="BI42" i="25"/>
  <c r="BK42" i="25"/>
  <c r="BL42" i="25"/>
  <c r="BM42" i="25"/>
  <c r="BN42" i="25"/>
  <c r="BO42" i="25"/>
  <c r="BU42" i="25"/>
  <c r="BV42" i="25"/>
  <c r="BX42" i="25"/>
  <c r="BY42" i="25"/>
  <c r="BZ42" i="25"/>
  <c r="CA42" i="25"/>
  <c r="CB42" i="25"/>
  <c r="CH42" i="25"/>
  <c r="CI42" i="25"/>
  <c r="CK42" i="25"/>
  <c r="CL42" i="25"/>
  <c r="CM42" i="25"/>
  <c r="CN42" i="25"/>
  <c r="CO42" i="25"/>
  <c r="H43" i="25"/>
  <c r="I43" i="25"/>
  <c r="K43" i="25"/>
  <c r="L43" i="25"/>
  <c r="M43" i="25"/>
  <c r="N43" i="25"/>
  <c r="O43" i="25"/>
  <c r="U43" i="25"/>
  <c r="V43" i="25"/>
  <c r="X43" i="25"/>
  <c r="Y43" i="25"/>
  <c r="Z43" i="25"/>
  <c r="AA43" i="25"/>
  <c r="AB43" i="25"/>
  <c r="AH43" i="25"/>
  <c r="AI43" i="25"/>
  <c r="AK43" i="25"/>
  <c r="AL43" i="25"/>
  <c r="AM43" i="25"/>
  <c r="AN43" i="25"/>
  <c r="AO43" i="25"/>
  <c r="AU43" i="25"/>
  <c r="AV43" i="25"/>
  <c r="AX43" i="25"/>
  <c r="AY43" i="25"/>
  <c r="AZ43" i="25"/>
  <c r="BA43" i="25"/>
  <c r="BB43" i="25"/>
  <c r="BH43" i="25"/>
  <c r="BI43" i="25"/>
  <c r="BK43" i="25"/>
  <c r="BL43" i="25"/>
  <c r="BM43" i="25"/>
  <c r="BN43" i="25"/>
  <c r="BO43" i="25"/>
  <c r="BU43" i="25"/>
  <c r="BV43" i="25"/>
  <c r="BX43" i="25"/>
  <c r="BY43" i="25"/>
  <c r="BZ43" i="25"/>
  <c r="CA43" i="25"/>
  <c r="CB43" i="25"/>
  <c r="CH43" i="25"/>
  <c r="CI43" i="25"/>
  <c r="CK43" i="25"/>
  <c r="CL43" i="25"/>
  <c r="CM43" i="25"/>
  <c r="CN43" i="25"/>
  <c r="CO43" i="25"/>
  <c r="H44" i="25"/>
  <c r="I44" i="25"/>
  <c r="K44" i="25"/>
  <c r="L44" i="25"/>
  <c r="M44" i="25"/>
  <c r="N44" i="25"/>
  <c r="O44" i="25"/>
  <c r="U44" i="25"/>
  <c r="V44" i="25"/>
  <c r="X44" i="25"/>
  <c r="Y44" i="25"/>
  <c r="Z44" i="25"/>
  <c r="AA44" i="25"/>
  <c r="AB44" i="25"/>
  <c r="AH44" i="25"/>
  <c r="AI44" i="25"/>
  <c r="AK44" i="25"/>
  <c r="AL44" i="25"/>
  <c r="AM44" i="25"/>
  <c r="AN44" i="25"/>
  <c r="AO44" i="25"/>
  <c r="AU44" i="25"/>
  <c r="AV44" i="25"/>
  <c r="AX44" i="25"/>
  <c r="AY44" i="25"/>
  <c r="AZ44" i="25"/>
  <c r="BA44" i="25"/>
  <c r="BB44" i="25"/>
  <c r="BH44" i="25"/>
  <c r="BI44" i="25"/>
  <c r="BK44" i="25"/>
  <c r="BL44" i="25"/>
  <c r="BM44" i="25"/>
  <c r="BN44" i="25"/>
  <c r="BO44" i="25"/>
  <c r="BU44" i="25"/>
  <c r="BV44" i="25"/>
  <c r="BX44" i="25"/>
  <c r="BY44" i="25"/>
  <c r="BZ44" i="25"/>
  <c r="CA44" i="25"/>
  <c r="CB44" i="25"/>
  <c r="CH44" i="25"/>
  <c r="CI44" i="25"/>
  <c r="CK44" i="25"/>
  <c r="CL44" i="25"/>
  <c r="CM44" i="25"/>
  <c r="CN44" i="25"/>
  <c r="CO44" i="25"/>
  <c r="H45" i="25"/>
  <c r="I45" i="25"/>
  <c r="J45" i="25" s="1"/>
  <c r="K45" i="25"/>
  <c r="L45" i="25"/>
  <c r="M45" i="25"/>
  <c r="N45" i="25"/>
  <c r="O45" i="25"/>
  <c r="U45" i="25"/>
  <c r="V45" i="25"/>
  <c r="X45" i="25"/>
  <c r="Y45" i="25"/>
  <c r="Z45" i="25"/>
  <c r="AA45" i="25"/>
  <c r="AB45" i="25"/>
  <c r="AH45" i="25"/>
  <c r="AI45" i="25"/>
  <c r="AK45" i="25"/>
  <c r="AL45" i="25"/>
  <c r="AM45" i="25"/>
  <c r="AN45" i="25"/>
  <c r="AO45" i="25"/>
  <c r="AU45" i="25"/>
  <c r="AV45" i="25"/>
  <c r="AX45" i="25"/>
  <c r="AY45" i="25"/>
  <c r="AZ45" i="25"/>
  <c r="BA45" i="25"/>
  <c r="BB45" i="25"/>
  <c r="BH45" i="25"/>
  <c r="BI45" i="25"/>
  <c r="BK45" i="25"/>
  <c r="BL45" i="25"/>
  <c r="BM45" i="25"/>
  <c r="BN45" i="25"/>
  <c r="BO45" i="25"/>
  <c r="BU45" i="25"/>
  <c r="BV45" i="25"/>
  <c r="BX45" i="25"/>
  <c r="BY45" i="25"/>
  <c r="BZ45" i="25"/>
  <c r="CA45" i="25"/>
  <c r="CB45" i="25"/>
  <c r="CH45" i="25"/>
  <c r="CI45" i="25"/>
  <c r="CK45" i="25"/>
  <c r="CL45" i="25"/>
  <c r="CM45" i="25"/>
  <c r="CN45" i="25"/>
  <c r="CO45" i="25"/>
  <c r="H46" i="25"/>
  <c r="I46" i="25"/>
  <c r="K46" i="25"/>
  <c r="L46" i="25"/>
  <c r="M46" i="25"/>
  <c r="N46" i="25"/>
  <c r="O46" i="25"/>
  <c r="U46" i="25"/>
  <c r="V46" i="25"/>
  <c r="X46" i="25"/>
  <c r="Y46" i="25"/>
  <c r="Z46" i="25"/>
  <c r="AA46" i="25"/>
  <c r="AB46" i="25"/>
  <c r="AH46" i="25"/>
  <c r="AI46" i="25"/>
  <c r="AK46" i="25"/>
  <c r="AL46" i="25"/>
  <c r="AM46" i="25"/>
  <c r="AN46" i="25"/>
  <c r="AO46" i="25"/>
  <c r="AU46" i="25"/>
  <c r="AV46" i="25"/>
  <c r="AX46" i="25"/>
  <c r="AY46" i="25"/>
  <c r="AZ46" i="25"/>
  <c r="BA46" i="25"/>
  <c r="BB46" i="25"/>
  <c r="BH46" i="25"/>
  <c r="BI46" i="25"/>
  <c r="BK46" i="25"/>
  <c r="BL46" i="25"/>
  <c r="BM46" i="25"/>
  <c r="BN46" i="25"/>
  <c r="BO46" i="25"/>
  <c r="BU46" i="25"/>
  <c r="BV46" i="25"/>
  <c r="BX46" i="25"/>
  <c r="BY46" i="25"/>
  <c r="BZ46" i="25"/>
  <c r="CA46" i="25"/>
  <c r="CB46" i="25"/>
  <c r="CH46" i="25"/>
  <c r="CI46" i="25"/>
  <c r="CK46" i="25"/>
  <c r="CL46" i="25"/>
  <c r="CM46" i="25"/>
  <c r="CN46" i="25"/>
  <c r="CO46" i="25"/>
  <c r="H47" i="25"/>
  <c r="I47" i="25"/>
  <c r="K47" i="25"/>
  <c r="L47" i="25"/>
  <c r="M47" i="25"/>
  <c r="N47" i="25"/>
  <c r="O47" i="25"/>
  <c r="U47" i="25"/>
  <c r="V47" i="25"/>
  <c r="X47" i="25"/>
  <c r="Y47" i="25"/>
  <c r="Z47" i="25"/>
  <c r="AA47" i="25"/>
  <c r="AB47" i="25"/>
  <c r="AH47" i="25"/>
  <c r="AI47" i="25"/>
  <c r="AK47" i="25"/>
  <c r="AL47" i="25"/>
  <c r="AM47" i="25"/>
  <c r="AN47" i="25"/>
  <c r="AO47" i="25"/>
  <c r="AU47" i="25"/>
  <c r="AV47" i="25"/>
  <c r="AX47" i="25"/>
  <c r="AY47" i="25"/>
  <c r="AZ47" i="25"/>
  <c r="BA47" i="25"/>
  <c r="BB47" i="25"/>
  <c r="BH47" i="25"/>
  <c r="BI47" i="25"/>
  <c r="BK47" i="25"/>
  <c r="BL47" i="25"/>
  <c r="BM47" i="25"/>
  <c r="BN47" i="25"/>
  <c r="BO47" i="25"/>
  <c r="BU47" i="25"/>
  <c r="BV47" i="25"/>
  <c r="BX47" i="25"/>
  <c r="BY47" i="25"/>
  <c r="BZ47" i="25"/>
  <c r="CA47" i="25"/>
  <c r="CB47" i="25"/>
  <c r="CH47" i="25"/>
  <c r="CI47" i="25"/>
  <c r="CK47" i="25"/>
  <c r="CL47" i="25"/>
  <c r="CM47" i="25"/>
  <c r="CN47" i="25"/>
  <c r="CO47" i="25"/>
  <c r="H48" i="25"/>
  <c r="I48" i="25"/>
  <c r="K48" i="25"/>
  <c r="L48" i="25"/>
  <c r="M48" i="25"/>
  <c r="N48" i="25"/>
  <c r="O48" i="25"/>
  <c r="U48" i="25"/>
  <c r="V48" i="25"/>
  <c r="X48" i="25"/>
  <c r="Y48" i="25"/>
  <c r="Z48" i="25"/>
  <c r="AA48" i="25"/>
  <c r="AB48" i="25"/>
  <c r="AH48" i="25"/>
  <c r="AI48" i="25"/>
  <c r="AK48" i="25"/>
  <c r="AL48" i="25"/>
  <c r="AM48" i="25"/>
  <c r="AN48" i="25"/>
  <c r="AO48" i="25"/>
  <c r="AU48" i="25"/>
  <c r="AV48" i="25"/>
  <c r="AX48" i="25"/>
  <c r="AY48" i="25"/>
  <c r="AZ48" i="25"/>
  <c r="BA48" i="25"/>
  <c r="BB48" i="25"/>
  <c r="BH48" i="25"/>
  <c r="BI48" i="25"/>
  <c r="BK48" i="25"/>
  <c r="BL48" i="25"/>
  <c r="BM48" i="25"/>
  <c r="BN48" i="25"/>
  <c r="BO48" i="25"/>
  <c r="BU48" i="25"/>
  <c r="BV48" i="25"/>
  <c r="BX48" i="25"/>
  <c r="BY48" i="25"/>
  <c r="BZ48" i="25"/>
  <c r="CA48" i="25"/>
  <c r="CB48" i="25"/>
  <c r="CH48" i="25"/>
  <c r="CI48" i="25"/>
  <c r="CK48" i="25"/>
  <c r="CL48" i="25"/>
  <c r="CM48" i="25"/>
  <c r="CN48" i="25"/>
  <c r="CO48" i="25"/>
  <c r="H49" i="25"/>
  <c r="I49" i="25"/>
  <c r="K49" i="25"/>
  <c r="L49" i="25"/>
  <c r="M49" i="25"/>
  <c r="N49" i="25"/>
  <c r="O49" i="25"/>
  <c r="U49" i="25"/>
  <c r="V49" i="25"/>
  <c r="X49" i="25"/>
  <c r="Y49" i="25"/>
  <c r="Z49" i="25"/>
  <c r="AA49" i="25"/>
  <c r="AB49" i="25"/>
  <c r="AH49" i="25"/>
  <c r="AI49" i="25"/>
  <c r="AK49" i="25"/>
  <c r="AL49" i="25"/>
  <c r="AM49" i="25"/>
  <c r="AN49" i="25"/>
  <c r="AO49" i="25"/>
  <c r="AU49" i="25"/>
  <c r="AV49" i="25"/>
  <c r="AX49" i="25"/>
  <c r="AY49" i="25"/>
  <c r="AZ49" i="25"/>
  <c r="BA49" i="25"/>
  <c r="BB49" i="25"/>
  <c r="BH49" i="25"/>
  <c r="BI49" i="25"/>
  <c r="BK49" i="25"/>
  <c r="BL49" i="25"/>
  <c r="BM49" i="25"/>
  <c r="BN49" i="25"/>
  <c r="BO49" i="25"/>
  <c r="BU49" i="25"/>
  <c r="BV49" i="25"/>
  <c r="BX49" i="25"/>
  <c r="BY49" i="25"/>
  <c r="BZ49" i="25"/>
  <c r="CA49" i="25"/>
  <c r="CB49" i="25"/>
  <c r="CH49" i="25"/>
  <c r="CI49" i="25"/>
  <c r="CK49" i="25"/>
  <c r="CL49" i="25"/>
  <c r="CM49" i="25"/>
  <c r="CN49" i="25"/>
  <c r="CO49" i="25"/>
  <c r="H50" i="25"/>
  <c r="I50" i="25"/>
  <c r="K50" i="25"/>
  <c r="L50" i="25"/>
  <c r="M50" i="25"/>
  <c r="N50" i="25"/>
  <c r="O50" i="25"/>
  <c r="U50" i="25"/>
  <c r="V50" i="25"/>
  <c r="X50" i="25"/>
  <c r="Y50" i="25"/>
  <c r="Z50" i="25"/>
  <c r="AA50" i="25"/>
  <c r="AB50" i="25"/>
  <c r="AH50" i="25"/>
  <c r="AI50" i="25"/>
  <c r="AK50" i="25"/>
  <c r="AL50" i="25"/>
  <c r="AM50" i="25"/>
  <c r="AN50" i="25"/>
  <c r="AO50" i="25"/>
  <c r="AU50" i="25"/>
  <c r="AV50" i="25"/>
  <c r="AX50" i="25"/>
  <c r="AY50" i="25"/>
  <c r="AZ50" i="25"/>
  <c r="BA50" i="25"/>
  <c r="BB50" i="25"/>
  <c r="BH50" i="25"/>
  <c r="BI50" i="25"/>
  <c r="BK50" i="25"/>
  <c r="BL50" i="25"/>
  <c r="BM50" i="25"/>
  <c r="BN50" i="25"/>
  <c r="BO50" i="25"/>
  <c r="BU50" i="25"/>
  <c r="BV50" i="25"/>
  <c r="BX50" i="25"/>
  <c r="BY50" i="25"/>
  <c r="BZ50" i="25"/>
  <c r="CA50" i="25"/>
  <c r="CB50" i="25"/>
  <c r="CH50" i="25"/>
  <c r="CI50" i="25"/>
  <c r="CK50" i="25"/>
  <c r="CL50" i="25"/>
  <c r="CM50" i="25"/>
  <c r="CN50" i="25"/>
  <c r="CO50" i="25"/>
  <c r="H51" i="25"/>
  <c r="I51" i="25"/>
  <c r="K51" i="25"/>
  <c r="L51" i="25"/>
  <c r="M51" i="25"/>
  <c r="N51" i="25"/>
  <c r="O51" i="25"/>
  <c r="U51" i="25"/>
  <c r="V51" i="25"/>
  <c r="X51" i="25"/>
  <c r="Y51" i="25"/>
  <c r="Z51" i="25"/>
  <c r="AA51" i="25"/>
  <c r="AB51" i="25"/>
  <c r="AH51" i="25"/>
  <c r="AI51" i="25"/>
  <c r="AK51" i="25"/>
  <c r="AL51" i="25"/>
  <c r="AM51" i="25"/>
  <c r="AN51" i="25"/>
  <c r="AO51" i="25"/>
  <c r="AU51" i="25"/>
  <c r="AV51" i="25"/>
  <c r="AX51" i="25"/>
  <c r="AY51" i="25"/>
  <c r="AZ51" i="25"/>
  <c r="BA51" i="25"/>
  <c r="BB51" i="25"/>
  <c r="BH51" i="25"/>
  <c r="BI51" i="25"/>
  <c r="BK51" i="25"/>
  <c r="BL51" i="25"/>
  <c r="BM51" i="25"/>
  <c r="BN51" i="25"/>
  <c r="BO51" i="25"/>
  <c r="BU51" i="25"/>
  <c r="BV51" i="25"/>
  <c r="BX51" i="25"/>
  <c r="BY51" i="25"/>
  <c r="BZ51" i="25"/>
  <c r="CA51" i="25"/>
  <c r="CB51" i="25"/>
  <c r="CH51" i="25"/>
  <c r="CI51" i="25"/>
  <c r="CK51" i="25"/>
  <c r="CL51" i="25"/>
  <c r="CM51" i="25"/>
  <c r="CN51" i="25"/>
  <c r="CO51" i="25"/>
  <c r="H52" i="25"/>
  <c r="I52" i="25"/>
  <c r="K52" i="25"/>
  <c r="L52" i="25"/>
  <c r="M52" i="25"/>
  <c r="N52" i="25"/>
  <c r="O52" i="25"/>
  <c r="U52" i="25"/>
  <c r="V52" i="25"/>
  <c r="X52" i="25"/>
  <c r="Y52" i="25"/>
  <c r="Z52" i="25"/>
  <c r="AA52" i="25"/>
  <c r="AB52" i="25"/>
  <c r="AH52" i="25"/>
  <c r="AI52" i="25"/>
  <c r="AK52" i="25"/>
  <c r="AL52" i="25"/>
  <c r="AM52" i="25"/>
  <c r="AN52" i="25"/>
  <c r="AO52" i="25"/>
  <c r="AU52" i="25"/>
  <c r="AV52" i="25"/>
  <c r="AX52" i="25"/>
  <c r="AY52" i="25"/>
  <c r="AZ52" i="25"/>
  <c r="BA52" i="25"/>
  <c r="BB52" i="25"/>
  <c r="BH52" i="25"/>
  <c r="BI52" i="25"/>
  <c r="BK52" i="25"/>
  <c r="BL52" i="25"/>
  <c r="BM52" i="25"/>
  <c r="BN52" i="25"/>
  <c r="BO52" i="25"/>
  <c r="BU52" i="25"/>
  <c r="BV52" i="25"/>
  <c r="BX52" i="25"/>
  <c r="BY52" i="25"/>
  <c r="BZ52" i="25"/>
  <c r="CA52" i="25"/>
  <c r="CB52" i="25"/>
  <c r="CH52" i="25"/>
  <c r="CI52" i="25"/>
  <c r="CK52" i="25"/>
  <c r="CL52" i="25"/>
  <c r="CM52" i="25"/>
  <c r="CN52" i="25"/>
  <c r="CO52" i="25"/>
  <c r="H53" i="25"/>
  <c r="I53" i="25"/>
  <c r="K53" i="25"/>
  <c r="L53" i="25"/>
  <c r="M53" i="25"/>
  <c r="N53" i="25"/>
  <c r="O53" i="25"/>
  <c r="U53" i="25"/>
  <c r="V53" i="25"/>
  <c r="X53" i="25"/>
  <c r="Y53" i="25"/>
  <c r="Z53" i="25"/>
  <c r="AA53" i="25"/>
  <c r="AB53" i="25"/>
  <c r="AH53" i="25"/>
  <c r="AI53" i="25"/>
  <c r="AK53" i="25"/>
  <c r="AL53" i="25"/>
  <c r="AM53" i="25"/>
  <c r="AN53" i="25"/>
  <c r="AO53" i="25"/>
  <c r="AU53" i="25"/>
  <c r="AV53" i="25"/>
  <c r="AX53" i="25"/>
  <c r="AY53" i="25"/>
  <c r="AZ53" i="25"/>
  <c r="BA53" i="25"/>
  <c r="BB53" i="25"/>
  <c r="BH53" i="25"/>
  <c r="BI53" i="25"/>
  <c r="BK53" i="25"/>
  <c r="BL53" i="25"/>
  <c r="BM53" i="25"/>
  <c r="BN53" i="25"/>
  <c r="BO53" i="25"/>
  <c r="BU53" i="25"/>
  <c r="BV53" i="25"/>
  <c r="BX53" i="25"/>
  <c r="BY53" i="25"/>
  <c r="BZ53" i="25"/>
  <c r="CA53" i="25"/>
  <c r="CB53" i="25"/>
  <c r="CH53" i="25"/>
  <c r="CI53" i="25"/>
  <c r="CK53" i="25"/>
  <c r="CL53" i="25"/>
  <c r="CM53" i="25"/>
  <c r="CN53" i="25"/>
  <c r="CO53" i="25"/>
  <c r="H54" i="25"/>
  <c r="I54" i="25"/>
  <c r="K54" i="25"/>
  <c r="L54" i="25"/>
  <c r="M54" i="25"/>
  <c r="N54" i="25"/>
  <c r="O54" i="25"/>
  <c r="U54" i="25"/>
  <c r="V54" i="25"/>
  <c r="X54" i="25"/>
  <c r="Y54" i="25"/>
  <c r="Z54" i="25"/>
  <c r="AA54" i="25"/>
  <c r="AB54" i="25"/>
  <c r="AH54" i="25"/>
  <c r="AI54" i="25"/>
  <c r="AK54" i="25"/>
  <c r="AL54" i="25"/>
  <c r="AM54" i="25"/>
  <c r="AN54" i="25"/>
  <c r="AO54" i="25"/>
  <c r="AU54" i="25"/>
  <c r="AV54" i="25"/>
  <c r="AX54" i="25"/>
  <c r="AY54" i="25"/>
  <c r="AZ54" i="25"/>
  <c r="BA54" i="25"/>
  <c r="BB54" i="25"/>
  <c r="BH54" i="25"/>
  <c r="BI54" i="25"/>
  <c r="BK54" i="25"/>
  <c r="BL54" i="25"/>
  <c r="BM54" i="25"/>
  <c r="BN54" i="25"/>
  <c r="BO54" i="25"/>
  <c r="BU54" i="25"/>
  <c r="BV54" i="25"/>
  <c r="BX54" i="25"/>
  <c r="BY54" i="25"/>
  <c r="BZ54" i="25"/>
  <c r="CA54" i="25"/>
  <c r="CB54" i="25"/>
  <c r="CH54" i="25"/>
  <c r="CI54" i="25"/>
  <c r="CK54" i="25"/>
  <c r="CL54" i="25"/>
  <c r="CM54" i="25"/>
  <c r="CN54" i="25"/>
  <c r="CO54" i="25"/>
  <c r="H55" i="25"/>
  <c r="I55" i="25"/>
  <c r="K55" i="25"/>
  <c r="L55" i="25"/>
  <c r="M55" i="25"/>
  <c r="N55" i="25"/>
  <c r="O55" i="25"/>
  <c r="U55" i="25"/>
  <c r="V55" i="25"/>
  <c r="X55" i="25"/>
  <c r="Y55" i="25"/>
  <c r="Z55" i="25"/>
  <c r="AA55" i="25"/>
  <c r="AB55" i="25"/>
  <c r="AH55" i="25"/>
  <c r="AI55" i="25"/>
  <c r="AK55" i="25"/>
  <c r="AL55" i="25"/>
  <c r="AM55" i="25"/>
  <c r="AN55" i="25"/>
  <c r="AO55" i="25"/>
  <c r="AU55" i="25"/>
  <c r="AV55" i="25"/>
  <c r="AX55" i="25"/>
  <c r="AY55" i="25"/>
  <c r="AZ55" i="25"/>
  <c r="BA55" i="25"/>
  <c r="BB55" i="25"/>
  <c r="BH55" i="25"/>
  <c r="BI55" i="25"/>
  <c r="BK55" i="25"/>
  <c r="BL55" i="25"/>
  <c r="BM55" i="25"/>
  <c r="BN55" i="25"/>
  <c r="BO55" i="25"/>
  <c r="BU55" i="25"/>
  <c r="BV55" i="25"/>
  <c r="BX55" i="25"/>
  <c r="BY55" i="25"/>
  <c r="BZ55" i="25"/>
  <c r="CA55" i="25"/>
  <c r="CB55" i="25"/>
  <c r="CH55" i="25"/>
  <c r="CI55" i="25"/>
  <c r="CK55" i="25"/>
  <c r="CL55" i="25"/>
  <c r="CM55" i="25"/>
  <c r="CN55" i="25"/>
  <c r="CO55" i="25"/>
  <c r="H56" i="25"/>
  <c r="I56" i="25"/>
  <c r="K56" i="25"/>
  <c r="L56" i="25"/>
  <c r="M56" i="25"/>
  <c r="N56" i="25"/>
  <c r="O56" i="25"/>
  <c r="U56" i="25"/>
  <c r="V56" i="25"/>
  <c r="X56" i="25"/>
  <c r="Y56" i="25"/>
  <c r="Z56" i="25"/>
  <c r="AA56" i="25"/>
  <c r="AB56" i="25"/>
  <c r="AH56" i="25"/>
  <c r="AI56" i="25"/>
  <c r="AK56" i="25"/>
  <c r="AL56" i="25"/>
  <c r="AM56" i="25"/>
  <c r="AN56" i="25"/>
  <c r="AO56" i="25"/>
  <c r="AU56" i="25"/>
  <c r="AV56" i="25"/>
  <c r="AX56" i="25"/>
  <c r="AY56" i="25"/>
  <c r="AZ56" i="25"/>
  <c r="BA56" i="25"/>
  <c r="BB56" i="25"/>
  <c r="BH56" i="25"/>
  <c r="BI56" i="25"/>
  <c r="BK56" i="25"/>
  <c r="BL56" i="25"/>
  <c r="BM56" i="25"/>
  <c r="BN56" i="25"/>
  <c r="BO56" i="25"/>
  <c r="BU56" i="25"/>
  <c r="BV56" i="25"/>
  <c r="BX56" i="25"/>
  <c r="BY56" i="25"/>
  <c r="BZ56" i="25"/>
  <c r="CA56" i="25"/>
  <c r="CB56" i="25"/>
  <c r="CH56" i="25"/>
  <c r="CI56" i="25"/>
  <c r="CK56" i="25"/>
  <c r="CL56" i="25"/>
  <c r="CM56" i="25"/>
  <c r="CN56" i="25"/>
  <c r="CO56" i="25"/>
  <c r="H57" i="25"/>
  <c r="I57" i="25"/>
  <c r="K57" i="25"/>
  <c r="L57" i="25"/>
  <c r="M57" i="25"/>
  <c r="N57" i="25"/>
  <c r="O57" i="25"/>
  <c r="U57" i="25"/>
  <c r="V57" i="25"/>
  <c r="X57" i="25"/>
  <c r="Y57" i="25"/>
  <c r="Z57" i="25"/>
  <c r="AA57" i="25"/>
  <c r="AB57" i="25"/>
  <c r="AH57" i="25"/>
  <c r="AI57" i="25"/>
  <c r="AK57" i="25"/>
  <c r="AL57" i="25"/>
  <c r="AM57" i="25"/>
  <c r="AN57" i="25"/>
  <c r="AO57" i="25"/>
  <c r="AU57" i="25"/>
  <c r="AV57" i="25"/>
  <c r="AX57" i="25"/>
  <c r="AY57" i="25"/>
  <c r="AZ57" i="25"/>
  <c r="BA57" i="25"/>
  <c r="BB57" i="25"/>
  <c r="BH57" i="25"/>
  <c r="BI57" i="25"/>
  <c r="BK57" i="25"/>
  <c r="BL57" i="25"/>
  <c r="BM57" i="25"/>
  <c r="BN57" i="25"/>
  <c r="BO57" i="25"/>
  <c r="BU57" i="25"/>
  <c r="BV57" i="25"/>
  <c r="BX57" i="25"/>
  <c r="BY57" i="25"/>
  <c r="BZ57" i="25"/>
  <c r="CA57" i="25"/>
  <c r="CB57" i="25"/>
  <c r="CH57" i="25"/>
  <c r="CI57" i="25"/>
  <c r="CK57" i="25"/>
  <c r="CL57" i="25"/>
  <c r="CM57" i="25"/>
  <c r="CN57" i="25"/>
  <c r="CO57" i="25"/>
  <c r="H58" i="25"/>
  <c r="I58" i="25"/>
  <c r="K58" i="25"/>
  <c r="L58" i="25"/>
  <c r="M58" i="25"/>
  <c r="N58" i="25"/>
  <c r="O58" i="25"/>
  <c r="U58" i="25"/>
  <c r="V58" i="25"/>
  <c r="X58" i="25"/>
  <c r="Y58" i="25"/>
  <c r="Z58" i="25"/>
  <c r="AA58" i="25"/>
  <c r="AB58" i="25"/>
  <c r="AH58" i="25"/>
  <c r="AI58" i="25"/>
  <c r="AK58" i="25"/>
  <c r="AL58" i="25"/>
  <c r="AM58" i="25"/>
  <c r="AN58" i="25"/>
  <c r="AO58" i="25"/>
  <c r="AU58" i="25"/>
  <c r="AV58" i="25"/>
  <c r="AX58" i="25"/>
  <c r="AY58" i="25"/>
  <c r="AZ58" i="25"/>
  <c r="BA58" i="25"/>
  <c r="BB58" i="25"/>
  <c r="BH58" i="25"/>
  <c r="BI58" i="25"/>
  <c r="BK58" i="25"/>
  <c r="BL58" i="25"/>
  <c r="BM58" i="25"/>
  <c r="BN58" i="25"/>
  <c r="BO58" i="25"/>
  <c r="BU58" i="25"/>
  <c r="BV58" i="25"/>
  <c r="BX58" i="25"/>
  <c r="BY58" i="25"/>
  <c r="BZ58" i="25"/>
  <c r="CA58" i="25"/>
  <c r="CB58" i="25"/>
  <c r="CH58" i="25"/>
  <c r="CI58" i="25"/>
  <c r="CK58" i="25"/>
  <c r="CL58" i="25"/>
  <c r="CM58" i="25"/>
  <c r="CN58" i="25"/>
  <c r="CO58" i="25"/>
  <c r="H59" i="25"/>
  <c r="I59" i="25"/>
  <c r="J59" i="25" s="1"/>
  <c r="K59" i="25"/>
  <c r="L59" i="25"/>
  <c r="M59" i="25"/>
  <c r="N59" i="25"/>
  <c r="O59" i="25"/>
  <c r="U59" i="25"/>
  <c r="V59" i="25"/>
  <c r="X59" i="25"/>
  <c r="Y59" i="25"/>
  <c r="Z59" i="25"/>
  <c r="AA59" i="25"/>
  <c r="AB59" i="25"/>
  <c r="AH59" i="25"/>
  <c r="AI59" i="25"/>
  <c r="AK59" i="25"/>
  <c r="AL59" i="25"/>
  <c r="AM59" i="25"/>
  <c r="AN59" i="25"/>
  <c r="AO59" i="25"/>
  <c r="AU59" i="25"/>
  <c r="AV59" i="25"/>
  <c r="AX59" i="25"/>
  <c r="AY59" i="25"/>
  <c r="AZ59" i="25"/>
  <c r="BA59" i="25"/>
  <c r="BB59" i="25"/>
  <c r="BH59" i="25"/>
  <c r="BI59" i="25"/>
  <c r="BK59" i="25"/>
  <c r="BL59" i="25"/>
  <c r="BM59" i="25"/>
  <c r="BN59" i="25"/>
  <c r="BO59" i="25"/>
  <c r="BU59" i="25"/>
  <c r="BV59" i="25"/>
  <c r="BX59" i="25"/>
  <c r="BY59" i="25"/>
  <c r="BZ59" i="25"/>
  <c r="CA59" i="25"/>
  <c r="CB59" i="25"/>
  <c r="CH59" i="25"/>
  <c r="CI59" i="25"/>
  <c r="CK59" i="25"/>
  <c r="CL59" i="25"/>
  <c r="CM59" i="25"/>
  <c r="CN59" i="25"/>
  <c r="CO59" i="25"/>
  <c r="H60" i="25"/>
  <c r="I60" i="25"/>
  <c r="K60" i="25"/>
  <c r="L60" i="25"/>
  <c r="M60" i="25"/>
  <c r="N60" i="25"/>
  <c r="O60" i="25"/>
  <c r="U60" i="25"/>
  <c r="V60" i="25"/>
  <c r="X60" i="25"/>
  <c r="Y60" i="25"/>
  <c r="Z60" i="25"/>
  <c r="AA60" i="25"/>
  <c r="AB60" i="25"/>
  <c r="AH60" i="25"/>
  <c r="AI60" i="25"/>
  <c r="AK60" i="25"/>
  <c r="AL60" i="25"/>
  <c r="AM60" i="25"/>
  <c r="AN60" i="25"/>
  <c r="AO60" i="25"/>
  <c r="AU60" i="25"/>
  <c r="AV60" i="25"/>
  <c r="AX60" i="25"/>
  <c r="AY60" i="25"/>
  <c r="AZ60" i="25"/>
  <c r="BA60" i="25"/>
  <c r="BB60" i="25"/>
  <c r="BH60" i="25"/>
  <c r="BI60" i="25"/>
  <c r="BK60" i="25"/>
  <c r="BL60" i="25"/>
  <c r="BM60" i="25"/>
  <c r="BN60" i="25"/>
  <c r="BO60" i="25"/>
  <c r="BU60" i="25"/>
  <c r="BV60" i="25"/>
  <c r="BX60" i="25"/>
  <c r="BY60" i="25"/>
  <c r="BZ60" i="25"/>
  <c r="CA60" i="25"/>
  <c r="CC60" i="25" s="1"/>
  <c r="CB60" i="25"/>
  <c r="CH60" i="25"/>
  <c r="CI60" i="25"/>
  <c r="CK60" i="25"/>
  <c r="CL60" i="25"/>
  <c r="CM60" i="25"/>
  <c r="CN60" i="25"/>
  <c r="CO60" i="25"/>
  <c r="H61" i="25"/>
  <c r="I61" i="25"/>
  <c r="K61" i="25"/>
  <c r="L61" i="25"/>
  <c r="M61" i="25"/>
  <c r="N61" i="25"/>
  <c r="O61" i="25"/>
  <c r="U61" i="25"/>
  <c r="V61" i="25"/>
  <c r="X61" i="25"/>
  <c r="Y61" i="25"/>
  <c r="Z61" i="25"/>
  <c r="AA61" i="25"/>
  <c r="AB61" i="25"/>
  <c r="AH61" i="25"/>
  <c r="AI61" i="25"/>
  <c r="AK61" i="25"/>
  <c r="AL61" i="25"/>
  <c r="AM61" i="25"/>
  <c r="AN61" i="25"/>
  <c r="AO61" i="25"/>
  <c r="AU61" i="25"/>
  <c r="AV61" i="25"/>
  <c r="AX61" i="25"/>
  <c r="AY61" i="25"/>
  <c r="AZ61" i="25"/>
  <c r="BA61" i="25"/>
  <c r="BB61" i="25"/>
  <c r="BH61" i="25"/>
  <c r="BI61" i="25"/>
  <c r="BK61" i="25"/>
  <c r="BL61" i="25"/>
  <c r="BM61" i="25"/>
  <c r="BN61" i="25"/>
  <c r="BO61" i="25"/>
  <c r="BU61" i="25"/>
  <c r="BV61" i="25"/>
  <c r="BX61" i="25"/>
  <c r="BY61" i="25"/>
  <c r="BZ61" i="25"/>
  <c r="CA61" i="25"/>
  <c r="CB61" i="25"/>
  <c r="CH61" i="25"/>
  <c r="CI61" i="25"/>
  <c r="CK61" i="25"/>
  <c r="CL61" i="25"/>
  <c r="CM61" i="25"/>
  <c r="CN61" i="25"/>
  <c r="CO61" i="25"/>
  <c r="H62" i="25"/>
  <c r="I62" i="25"/>
  <c r="K62" i="25"/>
  <c r="L62" i="25"/>
  <c r="M62" i="25"/>
  <c r="N62" i="25"/>
  <c r="O62" i="25"/>
  <c r="U62" i="25"/>
  <c r="V62" i="25"/>
  <c r="X62" i="25"/>
  <c r="Y62" i="25"/>
  <c r="Z62" i="25"/>
  <c r="AA62" i="25"/>
  <c r="AB62" i="25"/>
  <c r="AH62" i="25"/>
  <c r="AI62" i="25"/>
  <c r="AK62" i="25"/>
  <c r="AL62" i="25"/>
  <c r="AM62" i="25"/>
  <c r="AN62" i="25"/>
  <c r="AO62" i="25"/>
  <c r="AU62" i="25"/>
  <c r="AV62" i="25"/>
  <c r="AX62" i="25"/>
  <c r="AY62" i="25"/>
  <c r="AZ62" i="25"/>
  <c r="BA62" i="25"/>
  <c r="BB62" i="25"/>
  <c r="BH62" i="25"/>
  <c r="BI62" i="25"/>
  <c r="BK62" i="25"/>
  <c r="BL62" i="25"/>
  <c r="BM62" i="25"/>
  <c r="BN62" i="25"/>
  <c r="BO62" i="25"/>
  <c r="BU62" i="25"/>
  <c r="BV62" i="25"/>
  <c r="BX62" i="25"/>
  <c r="BY62" i="25"/>
  <c r="BZ62" i="25"/>
  <c r="CA62" i="25"/>
  <c r="CB62" i="25"/>
  <c r="CH62" i="25"/>
  <c r="CI62" i="25"/>
  <c r="CK62" i="25"/>
  <c r="CL62" i="25"/>
  <c r="CM62" i="25"/>
  <c r="CN62" i="25"/>
  <c r="CO62" i="25"/>
  <c r="H63" i="25"/>
  <c r="I63" i="25"/>
  <c r="K63" i="25"/>
  <c r="L63" i="25"/>
  <c r="M63" i="25"/>
  <c r="N63" i="25"/>
  <c r="O63" i="25"/>
  <c r="U63" i="25"/>
  <c r="V63" i="25"/>
  <c r="X63" i="25"/>
  <c r="Y63" i="25"/>
  <c r="Z63" i="25"/>
  <c r="AA63" i="25"/>
  <c r="AB63" i="25"/>
  <c r="AH63" i="25"/>
  <c r="AI63" i="25"/>
  <c r="AK63" i="25"/>
  <c r="AL63" i="25"/>
  <c r="AM63" i="25"/>
  <c r="AN63" i="25"/>
  <c r="AO63" i="25"/>
  <c r="AU63" i="25"/>
  <c r="AV63" i="25"/>
  <c r="AX63" i="25"/>
  <c r="AY63" i="25"/>
  <c r="AZ63" i="25"/>
  <c r="BA63" i="25"/>
  <c r="BB63" i="25"/>
  <c r="BH63" i="25"/>
  <c r="BI63" i="25"/>
  <c r="BK63" i="25"/>
  <c r="BL63" i="25"/>
  <c r="BM63" i="25"/>
  <c r="BN63" i="25"/>
  <c r="BO63" i="25"/>
  <c r="BU63" i="25"/>
  <c r="BV63" i="25"/>
  <c r="BX63" i="25"/>
  <c r="BY63" i="25"/>
  <c r="BZ63" i="25"/>
  <c r="CA63" i="25"/>
  <c r="CB63" i="25"/>
  <c r="CH63" i="25"/>
  <c r="CI63" i="25"/>
  <c r="CK63" i="25"/>
  <c r="CL63" i="25"/>
  <c r="CM63" i="25"/>
  <c r="CN63" i="25"/>
  <c r="CO63" i="25"/>
  <c r="H64" i="25"/>
  <c r="I64" i="25"/>
  <c r="K64" i="25"/>
  <c r="L64" i="25"/>
  <c r="M64" i="25"/>
  <c r="N64" i="25"/>
  <c r="O64" i="25"/>
  <c r="U64" i="25"/>
  <c r="V64" i="25"/>
  <c r="X64" i="25"/>
  <c r="Y64" i="25"/>
  <c r="Z64" i="25"/>
  <c r="AA64" i="25"/>
  <c r="AB64" i="25"/>
  <c r="AH64" i="25"/>
  <c r="AI64" i="25"/>
  <c r="AK64" i="25"/>
  <c r="AL64" i="25"/>
  <c r="AM64" i="25"/>
  <c r="AN64" i="25"/>
  <c r="AO64" i="25"/>
  <c r="AU64" i="25"/>
  <c r="AV64" i="25"/>
  <c r="AW64" i="25" s="1"/>
  <c r="AX64" i="25"/>
  <c r="AY64" i="25"/>
  <c r="AZ64" i="25"/>
  <c r="BA64" i="25"/>
  <c r="BB64" i="25"/>
  <c r="BH64" i="25"/>
  <c r="BI64" i="25"/>
  <c r="BK64" i="25"/>
  <c r="BL64" i="25"/>
  <c r="BM64" i="25"/>
  <c r="BN64" i="25"/>
  <c r="BO64" i="25"/>
  <c r="BU64" i="25"/>
  <c r="BV64" i="25"/>
  <c r="BX64" i="25"/>
  <c r="BY64" i="25"/>
  <c r="BZ64" i="25"/>
  <c r="CA64" i="25"/>
  <c r="CB64" i="25"/>
  <c r="CH64" i="25"/>
  <c r="CI64" i="25"/>
  <c r="CK64" i="25"/>
  <c r="CL64" i="25"/>
  <c r="CM64" i="25"/>
  <c r="CN64" i="25"/>
  <c r="CO64" i="25"/>
  <c r="E9" i="38"/>
  <c r="E10" i="38"/>
  <c r="E11" i="38"/>
  <c r="E12" i="38"/>
  <c r="B15" i="38"/>
  <c r="E7" i="3"/>
  <c r="E8" i="3"/>
  <c r="D23" i="3"/>
  <c r="D27" i="3"/>
  <c r="E27" i="3"/>
  <c r="F27" i="3"/>
  <c r="G27" i="3"/>
  <c r="H27" i="3"/>
  <c r="I27" i="3"/>
  <c r="J27" i="3"/>
  <c r="D28" i="3"/>
  <c r="E28" i="3"/>
  <c r="F28" i="3"/>
  <c r="G28" i="3"/>
  <c r="H28" i="3"/>
  <c r="I28" i="3"/>
  <c r="J28" i="3"/>
  <c r="D29" i="3"/>
  <c r="E29" i="3"/>
  <c r="F29" i="3"/>
  <c r="G29" i="3"/>
  <c r="H29" i="3"/>
  <c r="I29" i="3"/>
  <c r="J29" i="3"/>
  <c r="D30" i="3"/>
  <c r="E30" i="3"/>
  <c r="F30" i="3"/>
  <c r="G30" i="3"/>
  <c r="H30" i="3"/>
  <c r="I30" i="3"/>
  <c r="J30" i="3"/>
  <c r="D32" i="3"/>
  <c r="E32" i="3"/>
  <c r="F32" i="3"/>
  <c r="G32" i="3"/>
  <c r="H32" i="3"/>
  <c r="I32" i="3"/>
  <c r="J32" i="3"/>
  <c r="D33" i="3"/>
  <c r="E33" i="3"/>
  <c r="F33" i="3"/>
  <c r="G33" i="3"/>
  <c r="H33" i="3"/>
  <c r="I33" i="3"/>
  <c r="J33" i="3"/>
  <c r="D34" i="3"/>
  <c r="E34" i="3"/>
  <c r="F34" i="3"/>
  <c r="G34" i="3"/>
  <c r="H34" i="3"/>
  <c r="I34" i="3"/>
  <c r="J34" i="3"/>
  <c r="D35" i="3"/>
  <c r="E35" i="3"/>
  <c r="F35" i="3"/>
  <c r="G35" i="3"/>
  <c r="H35" i="3"/>
  <c r="I35" i="3"/>
  <c r="J35" i="3"/>
  <c r="D36" i="3"/>
  <c r="H40" i="3"/>
  <c r="I40" i="3"/>
  <c r="J40" i="3"/>
  <c r="H41" i="3"/>
  <c r="I41" i="3"/>
  <c r="J41" i="3"/>
  <c r="H42" i="3"/>
  <c r="I42" i="3"/>
  <c r="J42" i="3"/>
  <c r="H43" i="3"/>
  <c r="I43" i="3"/>
  <c r="J43" i="3"/>
  <c r="I44" i="3"/>
  <c r="J44" i="3"/>
  <c r="H45" i="3"/>
  <c r="I45" i="3"/>
  <c r="J45" i="3"/>
  <c r="H46" i="3"/>
  <c r="I46" i="3"/>
  <c r="J46" i="3"/>
  <c r="D50" i="3"/>
  <c r="E50" i="3"/>
  <c r="F50" i="3"/>
  <c r="G50" i="3"/>
  <c r="H50" i="3"/>
  <c r="I50" i="3"/>
  <c r="J50" i="3"/>
  <c r="D51" i="3"/>
  <c r="E51" i="3"/>
  <c r="F51" i="3"/>
  <c r="G51" i="3"/>
  <c r="H51" i="3"/>
  <c r="I51" i="3"/>
  <c r="J51" i="3"/>
  <c r="B14" i="22"/>
  <c r="D23" i="22" s="1"/>
  <c r="B15" i="22"/>
  <c r="B27" i="22" s="1"/>
  <c r="B28" i="22" s="1"/>
  <c r="B29" i="22" s="1"/>
  <c r="B30" i="22" s="1"/>
  <c r="B31" i="22" s="1"/>
  <c r="B32" i="22" s="1"/>
  <c r="B33" i="22" s="1"/>
  <c r="B34" i="22" s="1"/>
  <c r="B35" i="22" s="1"/>
  <c r="B36" i="22" s="1"/>
  <c r="B37" i="22" s="1"/>
  <c r="B38" i="22" s="1"/>
  <c r="B39" i="22" s="1"/>
  <c r="B40" i="22" s="1"/>
  <c r="B41" i="22" s="1"/>
  <c r="B42" i="22" s="1"/>
  <c r="B43" i="22" s="1"/>
  <c r="B44" i="22" s="1"/>
  <c r="B45" i="22" s="1"/>
  <c r="B46" i="22" s="1"/>
  <c r="B47" i="22" s="1"/>
  <c r="B48" i="22" s="1"/>
  <c r="B49" i="22" s="1"/>
  <c r="B50" i="22" s="1"/>
  <c r="B51" i="22" s="1"/>
  <c r="B52" i="22" s="1"/>
  <c r="B53" i="22" s="1"/>
  <c r="B54" i="22" s="1"/>
  <c r="B55" i="22" s="1"/>
  <c r="B56" i="22" s="1"/>
  <c r="B57" i="22" s="1"/>
  <c r="B58" i="22" s="1"/>
  <c r="B59" i="22" s="1"/>
  <c r="B60" i="22" s="1"/>
  <c r="B61" i="22" s="1"/>
  <c r="B62" i="22" s="1"/>
  <c r="B63" i="22" s="1"/>
  <c r="B64" i="22" s="1"/>
  <c r="B65" i="22" s="1"/>
  <c r="B66" i="22" s="1"/>
  <c r="B67" i="22" s="1"/>
  <c r="B68" i="22" s="1"/>
  <c r="B69" i="22" s="1"/>
  <c r="B70" i="22" s="1"/>
  <c r="B71" i="22" s="1"/>
  <c r="B72" i="22" s="1"/>
  <c r="B73" i="22" s="1"/>
  <c r="B74" i="22" s="1"/>
  <c r="B75" i="22" s="1"/>
  <c r="B76" i="22" s="1"/>
  <c r="B77" i="22" s="1"/>
  <c r="B78" i="22" s="1"/>
  <c r="B79" i="22" s="1"/>
  <c r="B80" i="22" s="1"/>
  <c r="B81" i="22" s="1"/>
  <c r="B82" i="22" s="1"/>
  <c r="B83" i="22" s="1"/>
  <c r="B84" i="22" s="1"/>
  <c r="B85" i="22" s="1"/>
  <c r="B86" i="22" s="1"/>
  <c r="B87" i="22" s="1"/>
  <c r="B88" i="22" s="1"/>
  <c r="B89" i="22" s="1"/>
  <c r="B90" i="22" s="1"/>
  <c r="B91" i="22" s="1"/>
  <c r="B92" i="22" s="1"/>
  <c r="B93" i="22" s="1"/>
  <c r="B94" i="22" s="1"/>
  <c r="B95" i="22" s="1"/>
  <c r="B96" i="22" s="1"/>
  <c r="B97" i="22" s="1"/>
  <c r="B98" i="22" s="1"/>
  <c r="B99" i="22" s="1"/>
  <c r="B100" i="22" s="1"/>
  <c r="B101" i="22" s="1"/>
  <c r="B102" i="22" s="1"/>
  <c r="B103" i="22" s="1"/>
  <c r="B104" i="22" s="1"/>
  <c r="B105" i="22" s="1"/>
  <c r="B106" i="22" s="1"/>
  <c r="E20" i="22"/>
  <c r="C15" i="99"/>
  <c r="E20" i="99"/>
  <c r="B27" i="99"/>
  <c r="B28" i="99" s="1"/>
  <c r="B29" i="99" s="1"/>
  <c r="B30" i="99" s="1"/>
  <c r="B31" i="99" s="1"/>
  <c r="B32" i="99" s="1"/>
  <c r="B33" i="99" s="1"/>
  <c r="B34" i="99" s="1"/>
  <c r="B35" i="99" s="1"/>
  <c r="B36" i="99" s="1"/>
  <c r="B37" i="99" s="1"/>
  <c r="B38" i="99" s="1"/>
  <c r="B39" i="99" s="1"/>
  <c r="B40" i="99" s="1"/>
  <c r="B41" i="99" s="1"/>
  <c r="B42" i="99" s="1"/>
  <c r="B43" i="99" s="1"/>
  <c r="B44" i="99" s="1"/>
  <c r="B45" i="99" s="1"/>
  <c r="B46" i="99" s="1"/>
  <c r="B47" i="99" s="1"/>
  <c r="B48" i="99" s="1"/>
  <c r="B49" i="99" s="1"/>
  <c r="B50" i="99" s="1"/>
  <c r="B51" i="99" s="1"/>
  <c r="B52" i="99" s="1"/>
  <c r="B53" i="99" s="1"/>
  <c r="B54" i="99" s="1"/>
  <c r="B55" i="99" s="1"/>
  <c r="B56" i="99" s="1"/>
  <c r="B57" i="99" s="1"/>
  <c r="B58" i="99" s="1"/>
  <c r="B59" i="99" s="1"/>
  <c r="B60" i="99" s="1"/>
  <c r="B61" i="99" s="1"/>
  <c r="B62" i="99" s="1"/>
  <c r="B63" i="99" s="1"/>
  <c r="B64" i="99" s="1"/>
  <c r="B65" i="99" s="1"/>
  <c r="B66" i="99" s="1"/>
  <c r="B67" i="99" s="1"/>
  <c r="B68" i="99" s="1"/>
  <c r="B69" i="99" s="1"/>
  <c r="B70" i="99" s="1"/>
  <c r="B71" i="99" s="1"/>
  <c r="B72" i="99" s="1"/>
  <c r="B73" i="99" s="1"/>
  <c r="B74" i="99" s="1"/>
  <c r="B75" i="99" s="1"/>
  <c r="B76" i="99" s="1"/>
  <c r="B77" i="99" s="1"/>
  <c r="B78" i="99" s="1"/>
  <c r="B79" i="99" s="1"/>
  <c r="B80" i="99" s="1"/>
  <c r="B81" i="99" s="1"/>
  <c r="B82" i="99" s="1"/>
  <c r="B83" i="99" s="1"/>
  <c r="B84" i="99" s="1"/>
  <c r="B85" i="99" s="1"/>
  <c r="B86" i="99" s="1"/>
  <c r="B87" i="99" s="1"/>
  <c r="B88" i="99" s="1"/>
  <c r="B89" i="99" s="1"/>
  <c r="B90" i="99" s="1"/>
  <c r="B91" i="99" s="1"/>
  <c r="B92" i="99" s="1"/>
  <c r="B93" i="99" s="1"/>
  <c r="B94" i="99" s="1"/>
  <c r="B95" i="99" s="1"/>
  <c r="B96" i="99" s="1"/>
  <c r="B97" i="99" s="1"/>
  <c r="B98" i="99" s="1"/>
  <c r="B99" i="99" s="1"/>
  <c r="B100" i="99" s="1"/>
  <c r="B101" i="99" s="1"/>
  <c r="B102" i="99" s="1"/>
  <c r="B103" i="99" s="1"/>
  <c r="B104" i="99" s="1"/>
  <c r="B105" i="99" s="1"/>
  <c r="B106" i="99" s="1"/>
  <c r="B107" i="99" s="1"/>
  <c r="B108" i="99" s="1"/>
  <c r="B109" i="99" s="1"/>
  <c r="B110" i="99" s="1"/>
  <c r="B111" i="99" s="1"/>
  <c r="B112" i="99" s="1"/>
  <c r="B113" i="99" s="1"/>
  <c r="B114" i="99" s="1"/>
  <c r="B115" i="99" s="1"/>
  <c r="B116" i="99" s="1"/>
  <c r="B117" i="99" s="1"/>
  <c r="B118" i="99" s="1"/>
  <c r="B119" i="99" s="1"/>
  <c r="B120" i="99" s="1"/>
  <c r="B121" i="99" s="1"/>
  <c r="B122" i="99" s="1"/>
  <c r="B123" i="99" s="1"/>
  <c r="B124" i="99" s="1"/>
  <c r="B125" i="99" s="1"/>
  <c r="B126" i="99" s="1"/>
  <c r="B127" i="99" s="1"/>
  <c r="F27" i="99"/>
  <c r="I27" i="99"/>
  <c r="F28" i="99"/>
  <c r="I28" i="99"/>
  <c r="F29" i="99"/>
  <c r="I29" i="99"/>
  <c r="F30" i="99"/>
  <c r="I30" i="99"/>
  <c r="F31" i="99"/>
  <c r="I31" i="99"/>
  <c r="F32" i="99"/>
  <c r="I32" i="99"/>
  <c r="F33" i="99"/>
  <c r="I33" i="99"/>
  <c r="F34" i="99"/>
  <c r="I34" i="99"/>
  <c r="F35" i="99"/>
  <c r="I35" i="99"/>
  <c r="F36" i="99"/>
  <c r="I36" i="99"/>
  <c r="F37" i="99"/>
  <c r="I37" i="99"/>
  <c r="F38" i="99"/>
  <c r="I38" i="99"/>
  <c r="F39" i="99"/>
  <c r="I39" i="99"/>
  <c r="F40" i="99"/>
  <c r="I40" i="99"/>
  <c r="F41" i="99"/>
  <c r="I41" i="99"/>
  <c r="F42" i="99"/>
  <c r="I42" i="99"/>
  <c r="F43" i="99"/>
  <c r="I43" i="99"/>
  <c r="F44" i="99"/>
  <c r="I44" i="99"/>
  <c r="F45" i="99"/>
  <c r="I45" i="99"/>
  <c r="F46" i="99"/>
  <c r="I46" i="99"/>
  <c r="F47" i="99"/>
  <c r="I47" i="99"/>
  <c r="F48" i="99"/>
  <c r="I48" i="99"/>
  <c r="F49" i="99"/>
  <c r="I49" i="99"/>
  <c r="F50" i="99"/>
  <c r="I50" i="99"/>
  <c r="F51" i="99"/>
  <c r="I51" i="99"/>
  <c r="F52" i="99"/>
  <c r="I52" i="99"/>
  <c r="F53" i="99"/>
  <c r="I53" i="99"/>
  <c r="F54" i="99"/>
  <c r="I54" i="99"/>
  <c r="F55" i="99"/>
  <c r="I55" i="99"/>
  <c r="F56" i="99"/>
  <c r="I56" i="99"/>
  <c r="F57" i="99"/>
  <c r="I57" i="99"/>
  <c r="F58" i="99"/>
  <c r="I58" i="99"/>
  <c r="F59" i="99"/>
  <c r="I59" i="99"/>
  <c r="F60" i="99"/>
  <c r="I60" i="99"/>
  <c r="F61" i="99"/>
  <c r="I61" i="99"/>
  <c r="F62" i="99"/>
  <c r="I62" i="99"/>
  <c r="F63" i="99"/>
  <c r="I63" i="99"/>
  <c r="F64" i="99"/>
  <c r="I64" i="99"/>
  <c r="F65" i="99"/>
  <c r="I65" i="99"/>
  <c r="F66" i="99"/>
  <c r="I66" i="99"/>
  <c r="F67" i="99"/>
  <c r="I67" i="99"/>
  <c r="F68" i="99"/>
  <c r="I68" i="99"/>
  <c r="F69" i="99"/>
  <c r="I69" i="99"/>
  <c r="F70" i="99"/>
  <c r="I70" i="99"/>
  <c r="F71" i="99"/>
  <c r="I71" i="99"/>
  <c r="F72" i="99"/>
  <c r="I72" i="99"/>
  <c r="F73" i="99"/>
  <c r="I73" i="99"/>
  <c r="F74" i="99"/>
  <c r="I74" i="99"/>
  <c r="F75" i="99"/>
  <c r="I75" i="99"/>
  <c r="F76" i="99"/>
  <c r="I76" i="99"/>
  <c r="F77" i="99"/>
  <c r="I77" i="99"/>
  <c r="F78" i="99"/>
  <c r="I78" i="99"/>
  <c r="F79" i="99"/>
  <c r="I79" i="99"/>
  <c r="F80" i="99"/>
  <c r="I80" i="99"/>
  <c r="F81" i="99"/>
  <c r="I81" i="99"/>
  <c r="F82" i="99"/>
  <c r="I82" i="99"/>
  <c r="F83" i="99"/>
  <c r="I83" i="99"/>
  <c r="F84" i="99"/>
  <c r="I84" i="99"/>
  <c r="F85" i="99"/>
  <c r="I85" i="99"/>
  <c r="F86" i="99"/>
  <c r="I86" i="99"/>
  <c r="F87" i="99"/>
  <c r="I87" i="99"/>
  <c r="F88" i="99"/>
  <c r="I88" i="99"/>
  <c r="F89" i="99"/>
  <c r="I89" i="99"/>
  <c r="F90" i="99"/>
  <c r="I90" i="99"/>
  <c r="F91" i="99"/>
  <c r="I91" i="99"/>
  <c r="F92" i="99"/>
  <c r="I92" i="99"/>
  <c r="F93" i="99"/>
  <c r="I93" i="99"/>
  <c r="F94" i="99"/>
  <c r="I94" i="99"/>
  <c r="F95" i="99"/>
  <c r="I95" i="99"/>
  <c r="F96" i="99"/>
  <c r="I96" i="99"/>
  <c r="F97" i="99"/>
  <c r="I97" i="99"/>
  <c r="F98" i="99"/>
  <c r="I98" i="99"/>
  <c r="F99" i="99"/>
  <c r="I99" i="99"/>
  <c r="F100" i="99"/>
  <c r="I100" i="99"/>
  <c r="F101" i="99"/>
  <c r="I101" i="99"/>
  <c r="F102" i="99"/>
  <c r="I102" i="99"/>
  <c r="F103" i="99"/>
  <c r="I103" i="99"/>
  <c r="F104" i="99"/>
  <c r="I104" i="99"/>
  <c r="F105" i="99"/>
  <c r="I105" i="99"/>
  <c r="F106" i="99"/>
  <c r="I106" i="99"/>
  <c r="F107" i="99"/>
  <c r="I107" i="99"/>
  <c r="F108" i="99"/>
  <c r="I108" i="99"/>
  <c r="F109" i="99"/>
  <c r="I109" i="99"/>
  <c r="F110" i="99"/>
  <c r="I110" i="99"/>
  <c r="F111" i="99"/>
  <c r="I111" i="99"/>
  <c r="F112" i="99"/>
  <c r="I112" i="99"/>
  <c r="F113" i="99"/>
  <c r="I113" i="99"/>
  <c r="F114" i="99"/>
  <c r="I114" i="99"/>
  <c r="F115" i="99"/>
  <c r="I115" i="99"/>
  <c r="F116" i="99"/>
  <c r="I116" i="99"/>
  <c r="F117" i="99"/>
  <c r="I117" i="99"/>
  <c r="F118" i="99"/>
  <c r="I118" i="99"/>
  <c r="F119" i="99"/>
  <c r="I119" i="99"/>
  <c r="F120" i="99"/>
  <c r="I120" i="99"/>
  <c r="F121" i="99"/>
  <c r="I121" i="99"/>
  <c r="F122" i="99"/>
  <c r="I122" i="99"/>
  <c r="F123" i="99"/>
  <c r="I123" i="99"/>
  <c r="F124" i="99"/>
  <c r="I124" i="99"/>
  <c r="F125" i="99"/>
  <c r="I125" i="99"/>
  <c r="F126" i="99"/>
  <c r="I126" i="99"/>
  <c r="F127" i="99"/>
  <c r="I127" i="99"/>
  <c r="B15" i="34"/>
  <c r="A42" i="34" s="1"/>
  <c r="E20" i="34"/>
  <c r="B14" i="1"/>
  <c r="B15" i="1"/>
  <c r="G27" i="1"/>
  <c r="H27" i="1"/>
  <c r="N27" i="1"/>
  <c r="O27" i="1"/>
  <c r="G28" i="1"/>
  <c r="H28" i="1"/>
  <c r="N28" i="1"/>
  <c r="O28" i="1"/>
  <c r="G29" i="1"/>
  <c r="H29" i="1"/>
  <c r="N29" i="1"/>
  <c r="O29" i="1"/>
  <c r="G30" i="1"/>
  <c r="N30" i="1"/>
  <c r="G31" i="1"/>
  <c r="H31" i="1"/>
  <c r="O31" i="1"/>
  <c r="G32" i="1"/>
  <c r="H32" i="1"/>
  <c r="N32" i="1"/>
  <c r="O32" i="1"/>
  <c r="G33" i="1"/>
  <c r="H33" i="1"/>
  <c r="N33" i="1"/>
  <c r="O33" i="1"/>
  <c r="G34" i="1"/>
  <c r="H34" i="1"/>
  <c r="N34" i="1"/>
  <c r="O34" i="1"/>
  <c r="G35" i="1"/>
  <c r="H35" i="1"/>
  <c r="G36" i="1"/>
  <c r="H36" i="1"/>
  <c r="G37" i="1"/>
  <c r="H37" i="1"/>
  <c r="G38" i="1"/>
  <c r="H38" i="1"/>
  <c r="G39" i="1"/>
  <c r="H39" i="1"/>
  <c r="G40" i="1"/>
  <c r="H40" i="1"/>
  <c r="G45" i="1"/>
  <c r="H45" i="1"/>
  <c r="G46" i="1"/>
  <c r="H46" i="1"/>
  <c r="E20" i="94"/>
  <c r="D25" i="94"/>
  <c r="D26" i="94"/>
  <c r="D27" i="94"/>
  <c r="D28" i="94"/>
  <c r="D29" i="94"/>
  <c r="D30" i="94"/>
  <c r="B15" i="76"/>
  <c r="B27" i="76"/>
  <c r="B28" i="76" s="1"/>
  <c r="B29" i="76" s="1"/>
  <c r="B30" i="76" s="1"/>
  <c r="B31" i="76" s="1"/>
  <c r="B32" i="76" s="1"/>
  <c r="B33" i="76" s="1"/>
  <c r="B34" i="76" s="1"/>
  <c r="B35" i="76" s="1"/>
  <c r="B36" i="76" s="1"/>
  <c r="B37" i="76" s="1"/>
  <c r="B38" i="76" s="1"/>
  <c r="B39" i="76" s="1"/>
  <c r="B40" i="76" s="1"/>
  <c r="B41" i="76" s="1"/>
  <c r="B42" i="76" s="1"/>
  <c r="B43" i="76" s="1"/>
  <c r="B44" i="76" s="1"/>
  <c r="B45" i="76" s="1"/>
  <c r="B46" i="76" s="1"/>
  <c r="B47" i="76" s="1"/>
  <c r="B48" i="76" s="1"/>
  <c r="B49" i="76" s="1"/>
  <c r="B50" i="76" s="1"/>
  <c r="B51" i="76" s="1"/>
  <c r="B52" i="76" s="1"/>
  <c r="B53" i="76" s="1"/>
  <c r="B54" i="76" s="1"/>
  <c r="B55" i="76" s="1"/>
  <c r="B56" i="76" s="1"/>
  <c r="B57" i="76" s="1"/>
  <c r="B58" i="76" s="1"/>
  <c r="B59" i="76" s="1"/>
  <c r="B60" i="76" s="1"/>
  <c r="B61" i="76" s="1"/>
  <c r="B62" i="76" s="1"/>
  <c r="B63" i="76" s="1"/>
  <c r="B64" i="76" s="1"/>
  <c r="B65" i="76" s="1"/>
  <c r="B66" i="76" s="1"/>
  <c r="B67" i="76" s="1"/>
  <c r="B68" i="76" s="1"/>
  <c r="B69" i="76" s="1"/>
  <c r="B70" i="76" s="1"/>
  <c r="B71" i="76" s="1"/>
  <c r="B72" i="76" s="1"/>
  <c r="B73" i="76" s="1"/>
  <c r="B74" i="76" s="1"/>
  <c r="B75" i="76" s="1"/>
  <c r="B76" i="76" s="1"/>
  <c r="B77" i="76" s="1"/>
  <c r="B78" i="76" s="1"/>
  <c r="B79" i="76" s="1"/>
  <c r="B80" i="76" s="1"/>
  <c r="B81" i="76" s="1"/>
  <c r="B82" i="76" s="1"/>
  <c r="B83" i="76" s="1"/>
  <c r="B84" i="76" s="1"/>
  <c r="B85" i="76" s="1"/>
  <c r="B86" i="76" s="1"/>
  <c r="B87" i="76" s="1"/>
  <c r="B88" i="76" s="1"/>
  <c r="B89" i="76" s="1"/>
  <c r="B90" i="76" s="1"/>
  <c r="B91" i="76" s="1"/>
  <c r="B92" i="76" s="1"/>
  <c r="B93" i="76" s="1"/>
  <c r="B94" i="76" s="1"/>
  <c r="B95" i="76" s="1"/>
  <c r="B96" i="76" s="1"/>
  <c r="B97" i="76" s="1"/>
  <c r="B98" i="76" s="1"/>
  <c r="B99" i="76" s="1"/>
  <c r="B100" i="76" s="1"/>
  <c r="B101" i="76" s="1"/>
  <c r="B102" i="76" s="1"/>
  <c r="B103" i="76" s="1"/>
  <c r="B104" i="76" s="1"/>
  <c r="B105" i="76" s="1"/>
  <c r="B106" i="76" s="1"/>
  <c r="B107" i="76" s="1"/>
  <c r="B108" i="76" s="1"/>
  <c r="B109" i="76" s="1"/>
  <c r="B110" i="76" s="1"/>
  <c r="B111" i="76" s="1"/>
  <c r="B112" i="76" s="1"/>
  <c r="B113" i="76" s="1"/>
  <c r="B114" i="76" s="1"/>
  <c r="B115" i="76" s="1"/>
  <c r="B116" i="76" s="1"/>
  <c r="B117" i="76" s="1"/>
  <c r="B118" i="76" s="1"/>
  <c r="B119" i="76" s="1"/>
  <c r="B120" i="76" s="1"/>
  <c r="B121" i="76" s="1"/>
  <c r="B122" i="76" s="1"/>
  <c r="B123" i="76" s="1"/>
  <c r="B124" i="76" s="1"/>
  <c r="B125" i="76" s="1"/>
  <c r="B15" i="92"/>
  <c r="B16" i="92"/>
  <c r="N34" i="92"/>
  <c r="N33" i="9" s="1"/>
  <c r="F35" i="92"/>
  <c r="I35" i="92"/>
  <c r="J35" i="92" s="1"/>
  <c r="J34" i="9" s="1"/>
  <c r="N35" i="92"/>
  <c r="N34" i="9" s="1"/>
  <c r="F36" i="92"/>
  <c r="F35" i="9" s="1"/>
  <c r="I36" i="92"/>
  <c r="I35" i="9" s="1"/>
  <c r="N36" i="92"/>
  <c r="F37" i="92"/>
  <c r="F36" i="9" s="1"/>
  <c r="I37" i="92"/>
  <c r="I36" i="9" s="1"/>
  <c r="N37" i="92"/>
  <c r="N36" i="9" s="1"/>
  <c r="F38" i="92"/>
  <c r="F37" i="9" s="1"/>
  <c r="I38" i="92"/>
  <c r="I37" i="9" s="1"/>
  <c r="N38" i="92"/>
  <c r="F39" i="92"/>
  <c r="F38" i="9" s="1"/>
  <c r="I39" i="92"/>
  <c r="I38" i="9" s="1"/>
  <c r="N39" i="92"/>
  <c r="N38" i="9" s="1"/>
  <c r="F40" i="92"/>
  <c r="F39" i="9" s="1"/>
  <c r="I40" i="92"/>
  <c r="I39" i="9" s="1"/>
  <c r="N40" i="92"/>
  <c r="N39" i="9" s="1"/>
  <c r="Q40" i="92"/>
  <c r="Q39" i="9" s="1"/>
  <c r="F41" i="92"/>
  <c r="F40" i="9" s="1"/>
  <c r="I41" i="92"/>
  <c r="I40" i="9" s="1"/>
  <c r="L41" i="92"/>
  <c r="M41" i="92" s="1"/>
  <c r="M40" i="9" s="1"/>
  <c r="N41" i="92"/>
  <c r="N40" i="9" s="1"/>
  <c r="Q41" i="92"/>
  <c r="Q40" i="9" s="1"/>
  <c r="F42" i="92"/>
  <c r="F41" i="9" s="1"/>
  <c r="I42" i="92"/>
  <c r="I41" i="9" s="1"/>
  <c r="L42" i="92"/>
  <c r="L41" i="9" s="1"/>
  <c r="N42" i="92"/>
  <c r="N41" i="9" s="1"/>
  <c r="Q42" i="92"/>
  <c r="Q41" i="9" s="1"/>
  <c r="F43" i="92"/>
  <c r="F42" i="9" s="1"/>
  <c r="I43" i="92"/>
  <c r="I42" i="9" s="1"/>
  <c r="L43" i="92"/>
  <c r="L42" i="9" s="1"/>
  <c r="N43" i="92"/>
  <c r="N42" i="9" s="1"/>
  <c r="Q43" i="92"/>
  <c r="Q42" i="9" s="1"/>
  <c r="F44" i="92"/>
  <c r="F43" i="9" s="1"/>
  <c r="I44" i="92"/>
  <c r="I43" i="9" s="1"/>
  <c r="L44" i="92"/>
  <c r="L43" i="9" s="1"/>
  <c r="N44" i="92"/>
  <c r="N43" i="9" s="1"/>
  <c r="Q44" i="92"/>
  <c r="Q43" i="9" s="1"/>
  <c r="F45" i="92"/>
  <c r="F44" i="9" s="1"/>
  <c r="I45" i="92"/>
  <c r="I44" i="9" s="1"/>
  <c r="L45" i="92"/>
  <c r="L44" i="9" s="1"/>
  <c r="N45" i="92"/>
  <c r="N44" i="9" s="1"/>
  <c r="Q45" i="92"/>
  <c r="Q44" i="9" s="1"/>
  <c r="F46" i="92"/>
  <c r="F45" i="9" s="1"/>
  <c r="I46" i="92"/>
  <c r="I45" i="9" s="1"/>
  <c r="L46" i="92"/>
  <c r="N46" i="92"/>
  <c r="Q46" i="92"/>
  <c r="Q45" i="9" s="1"/>
  <c r="F47" i="92"/>
  <c r="F46" i="9" s="1"/>
  <c r="I47" i="92"/>
  <c r="I46" i="9" s="1"/>
  <c r="L47" i="92"/>
  <c r="N47" i="92"/>
  <c r="N46" i="9" s="1"/>
  <c r="Q47" i="92"/>
  <c r="Q46" i="9" s="1"/>
  <c r="F48" i="92"/>
  <c r="F47" i="9" s="1"/>
  <c r="I48" i="92"/>
  <c r="I47" i="9" s="1"/>
  <c r="L48" i="92"/>
  <c r="L47" i="9" s="1"/>
  <c r="N48" i="92"/>
  <c r="N47" i="9" s="1"/>
  <c r="Q48" i="92"/>
  <c r="Q47" i="9" s="1"/>
  <c r="F49" i="92"/>
  <c r="F48" i="9" s="1"/>
  <c r="I49" i="92"/>
  <c r="I48" i="9" s="1"/>
  <c r="L49" i="92"/>
  <c r="L48" i="9" s="1"/>
  <c r="N49" i="92"/>
  <c r="Q49" i="92"/>
  <c r="Q48" i="9" s="1"/>
  <c r="F50" i="92"/>
  <c r="F49" i="9" s="1"/>
  <c r="I50" i="92"/>
  <c r="I49" i="9" s="1"/>
  <c r="L50" i="92"/>
  <c r="L49" i="9" s="1"/>
  <c r="N50" i="92"/>
  <c r="N49" i="9" s="1"/>
  <c r="Q50" i="92"/>
  <c r="Q49" i="9" s="1"/>
  <c r="F51" i="92"/>
  <c r="F50" i="9" s="1"/>
  <c r="I51" i="92"/>
  <c r="I50" i="9" s="1"/>
  <c r="L51" i="92"/>
  <c r="L50" i="9" s="1"/>
  <c r="N51" i="92"/>
  <c r="Q51" i="92"/>
  <c r="Q50" i="9" s="1"/>
  <c r="F52" i="92"/>
  <c r="F51" i="9" s="1"/>
  <c r="I52" i="92"/>
  <c r="I51" i="9" s="1"/>
  <c r="L52" i="92"/>
  <c r="L51" i="9" s="1"/>
  <c r="N52" i="92"/>
  <c r="N51" i="9" s="1"/>
  <c r="Q52" i="92"/>
  <c r="Q51" i="9" s="1"/>
  <c r="F53" i="92"/>
  <c r="F52" i="9" s="1"/>
  <c r="I53" i="92"/>
  <c r="I52" i="9" s="1"/>
  <c r="L53" i="92"/>
  <c r="N53" i="92"/>
  <c r="Q53" i="92"/>
  <c r="Q52" i="9" s="1"/>
  <c r="F54" i="92"/>
  <c r="F53" i="9" s="1"/>
  <c r="I54" i="92"/>
  <c r="I53" i="9" s="1"/>
  <c r="L54" i="92"/>
  <c r="L53" i="9" s="1"/>
  <c r="N54" i="92"/>
  <c r="N53" i="9" s="1"/>
  <c r="Q54" i="92"/>
  <c r="Q53" i="9" s="1"/>
  <c r="F55" i="92"/>
  <c r="F54" i="9" s="1"/>
  <c r="I55" i="92"/>
  <c r="I54" i="9" s="1"/>
  <c r="L55" i="92"/>
  <c r="N55" i="92"/>
  <c r="N54" i="9" s="1"/>
  <c r="Q55" i="92"/>
  <c r="Q54" i="9" s="1"/>
  <c r="F56" i="92"/>
  <c r="F55" i="9" s="1"/>
  <c r="I56" i="92"/>
  <c r="I55" i="9" s="1"/>
  <c r="L56" i="92"/>
  <c r="N56" i="92"/>
  <c r="Q56" i="92"/>
  <c r="Q55" i="9" s="1"/>
  <c r="F57" i="92"/>
  <c r="I57" i="92"/>
  <c r="I56" i="9" s="1"/>
  <c r="L57" i="92"/>
  <c r="L56" i="9" s="1"/>
  <c r="N57" i="92"/>
  <c r="N56" i="9" s="1"/>
  <c r="Q57" i="92"/>
  <c r="Q56" i="9" s="1"/>
  <c r="F58" i="92"/>
  <c r="F57" i="9" s="1"/>
  <c r="I58" i="92"/>
  <c r="I57" i="9" s="1"/>
  <c r="L58" i="92"/>
  <c r="N58" i="92"/>
  <c r="Q58" i="92"/>
  <c r="Q57" i="9" s="1"/>
  <c r="F59" i="92"/>
  <c r="F58" i="9" s="1"/>
  <c r="I59" i="92"/>
  <c r="I58" i="9" s="1"/>
  <c r="L59" i="92"/>
  <c r="L58" i="9" s="1"/>
  <c r="N59" i="92"/>
  <c r="Q59" i="92"/>
  <c r="Q58" i="9" s="1"/>
  <c r="F60" i="92"/>
  <c r="I60" i="92"/>
  <c r="I59" i="9" s="1"/>
  <c r="L60" i="92"/>
  <c r="L59" i="9" s="1"/>
  <c r="N60" i="92"/>
  <c r="N59" i="9" s="1"/>
  <c r="Q60" i="92"/>
  <c r="Q59" i="9" s="1"/>
  <c r="L61" i="92"/>
  <c r="L60" i="9" s="1"/>
  <c r="N61" i="92"/>
  <c r="N60" i="9" s="1"/>
  <c r="Q61" i="92"/>
  <c r="Q60" i="9" s="1"/>
  <c r="N62" i="92"/>
  <c r="Q62" i="92"/>
  <c r="Q61" i="9" s="1"/>
  <c r="R62" i="92"/>
  <c r="R61" i="9" s="1"/>
  <c r="N63" i="92"/>
  <c r="O63" i="92" s="1"/>
  <c r="Q63" i="92"/>
  <c r="Q62" i="9" s="1"/>
  <c r="R63" i="92"/>
  <c r="R62" i="9" s="1"/>
  <c r="N64" i="92"/>
  <c r="O64" i="92" s="1"/>
  <c r="O63" i="9" s="1"/>
  <c r="Q64" i="92"/>
  <c r="Q63" i="9" s="1"/>
  <c r="R64" i="92"/>
  <c r="R63" i="9" s="1"/>
  <c r="N65" i="92"/>
  <c r="N64" i="9" s="1"/>
  <c r="Q65" i="92"/>
  <c r="Q64" i="9" s="1"/>
  <c r="R65" i="92"/>
  <c r="R64" i="9" s="1"/>
  <c r="N66" i="92"/>
  <c r="O66" i="92" s="1"/>
  <c r="O65" i="9" s="1"/>
  <c r="Q66" i="92"/>
  <c r="Q65" i="9" s="1"/>
  <c r="R66" i="92"/>
  <c r="R65" i="9" s="1"/>
  <c r="N67" i="92"/>
  <c r="Q67" i="92"/>
  <c r="Q66" i="9" s="1"/>
  <c r="R67" i="92"/>
  <c r="R66" i="9" s="1"/>
  <c r="N68" i="92"/>
  <c r="N67" i="9" s="1"/>
  <c r="Q68" i="92"/>
  <c r="Q67" i="9" s="1"/>
  <c r="R68" i="92"/>
  <c r="R67" i="9" s="1"/>
  <c r="N69" i="92"/>
  <c r="O69" i="92" s="1"/>
  <c r="Q69" i="92"/>
  <c r="Q68" i="9" s="1"/>
  <c r="R69" i="92"/>
  <c r="R68" i="9" s="1"/>
  <c r="N70" i="92"/>
  <c r="O70" i="92" s="1"/>
  <c r="O69" i="9" s="1"/>
  <c r="Q70" i="92"/>
  <c r="Q69" i="9" s="1"/>
  <c r="R70" i="92"/>
  <c r="R69" i="9" s="1"/>
  <c r="N71" i="92"/>
  <c r="Q71" i="92"/>
  <c r="Q70" i="9" s="1"/>
  <c r="R71" i="92"/>
  <c r="R70" i="9" s="1"/>
  <c r="N72" i="92"/>
  <c r="Q72" i="92"/>
  <c r="Q71" i="9" s="1"/>
  <c r="R72" i="92"/>
  <c r="R71" i="9" s="1"/>
  <c r="N73" i="92"/>
  <c r="N72" i="9" s="1"/>
  <c r="Q73" i="92"/>
  <c r="Q72" i="9" s="1"/>
  <c r="R73" i="92"/>
  <c r="R72" i="9" s="1"/>
  <c r="N74" i="92"/>
  <c r="Q74" i="92"/>
  <c r="Q73" i="9" s="1"/>
  <c r="R74" i="92"/>
  <c r="R73" i="9" s="1"/>
  <c r="N75" i="92"/>
  <c r="O75" i="92" s="1"/>
  <c r="Q75" i="92"/>
  <c r="Q74" i="9" s="1"/>
  <c r="R75" i="92"/>
  <c r="R74" i="9" s="1"/>
  <c r="N76" i="92"/>
  <c r="N75" i="9" s="1"/>
  <c r="Q76" i="92"/>
  <c r="Q75" i="9" s="1"/>
  <c r="R76" i="92"/>
  <c r="R75" i="9" s="1"/>
  <c r="N77" i="92"/>
  <c r="Q77" i="92"/>
  <c r="Q76" i="9" s="1"/>
  <c r="R77" i="92"/>
  <c r="R76" i="9" s="1"/>
  <c r="N78" i="92"/>
  <c r="Q78" i="92"/>
  <c r="Q77" i="9" s="1"/>
  <c r="R78" i="92"/>
  <c r="R77" i="9" s="1"/>
  <c r="N79" i="92"/>
  <c r="O79" i="92" s="1"/>
  <c r="Q79" i="92"/>
  <c r="Q78" i="9" s="1"/>
  <c r="R79" i="92"/>
  <c r="R78" i="9" s="1"/>
  <c r="N80" i="92"/>
  <c r="Q80" i="92"/>
  <c r="R80" i="92"/>
  <c r="R79" i="9" s="1"/>
  <c r="N81" i="92"/>
  <c r="O81" i="92" s="1"/>
  <c r="U81" i="92" s="1"/>
  <c r="U80" i="9" s="1"/>
  <c r="Q81" i="92"/>
  <c r="Q80" i="9" s="1"/>
  <c r="R81" i="92"/>
  <c r="R80" i="9" s="1"/>
  <c r="N82" i="92"/>
  <c r="O82" i="92" s="1"/>
  <c r="Q82" i="92"/>
  <c r="Q81" i="9" s="1"/>
  <c r="R82" i="92"/>
  <c r="R81" i="9" s="1"/>
  <c r="N83" i="92"/>
  <c r="O83" i="92" s="1"/>
  <c r="O82" i="9" s="1"/>
  <c r="Q83" i="92"/>
  <c r="Q82" i="9" s="1"/>
  <c r="R83" i="92"/>
  <c r="R82" i="9" s="1"/>
  <c r="N84" i="92"/>
  <c r="O84" i="92" s="1"/>
  <c r="O83" i="9" s="1"/>
  <c r="Q84" i="92"/>
  <c r="Q83" i="9" s="1"/>
  <c r="R84" i="92"/>
  <c r="R83" i="9" s="1"/>
  <c r="N85" i="92"/>
  <c r="N84" i="9" s="1"/>
  <c r="Q85" i="92"/>
  <c r="Q84" i="9" s="1"/>
  <c r="R85" i="92"/>
  <c r="R84" i="9" s="1"/>
  <c r="N86" i="92"/>
  <c r="O86" i="92" s="1"/>
  <c r="U86" i="92" s="1"/>
  <c r="U85" i="9" s="1"/>
  <c r="Q86" i="92"/>
  <c r="Q85" i="9" s="1"/>
  <c r="R86" i="92"/>
  <c r="R85" i="9" s="1"/>
  <c r="N87" i="92"/>
  <c r="Q87" i="92"/>
  <c r="Q86" i="9" s="1"/>
  <c r="R87" i="92"/>
  <c r="R86" i="9" s="1"/>
  <c r="N88" i="92"/>
  <c r="Q88" i="92"/>
  <c r="Q87" i="9" s="1"/>
  <c r="R88" i="92"/>
  <c r="R87" i="9" s="1"/>
  <c r="N89" i="92"/>
  <c r="O89" i="92" s="1"/>
  <c r="O88" i="9" s="1"/>
  <c r="Q89" i="92"/>
  <c r="Q88" i="9" s="1"/>
  <c r="R89" i="92"/>
  <c r="R88" i="9" s="1"/>
  <c r="N90" i="92"/>
  <c r="Q90" i="92"/>
  <c r="Q89" i="9" s="1"/>
  <c r="R90" i="92"/>
  <c r="R89" i="9" s="1"/>
  <c r="N91" i="92"/>
  <c r="O91" i="92" s="1"/>
  <c r="O90" i="9" s="1"/>
  <c r="Q91" i="92"/>
  <c r="Q90" i="9" s="1"/>
  <c r="R91" i="92"/>
  <c r="R90" i="9" s="1"/>
  <c r="N92" i="92"/>
  <c r="Q92" i="92"/>
  <c r="Q91" i="9" s="1"/>
  <c r="R92" i="92"/>
  <c r="R91" i="9" s="1"/>
  <c r="N93" i="92"/>
  <c r="Q93" i="92"/>
  <c r="Q92" i="9" s="1"/>
  <c r="R93" i="92"/>
  <c r="R92" i="9" s="1"/>
  <c r="N94" i="92"/>
  <c r="N93" i="9" s="1"/>
  <c r="Q94" i="92"/>
  <c r="Q93" i="9" s="1"/>
  <c r="R94" i="92"/>
  <c r="R93" i="9" s="1"/>
  <c r="N95" i="92"/>
  <c r="Q95" i="92"/>
  <c r="Q94" i="9" s="1"/>
  <c r="R95" i="92"/>
  <c r="R94" i="9" s="1"/>
  <c r="N96" i="92"/>
  <c r="N95" i="9" s="1"/>
  <c r="Q96" i="92"/>
  <c r="Q95" i="9" s="1"/>
  <c r="R96" i="92"/>
  <c r="R95" i="9" s="1"/>
  <c r="N97" i="92"/>
  <c r="N96" i="9" s="1"/>
  <c r="Q97" i="92"/>
  <c r="Q96" i="9" s="1"/>
  <c r="R97" i="92"/>
  <c r="R96" i="9" s="1"/>
  <c r="N98" i="92"/>
  <c r="O98" i="92" s="1"/>
  <c r="U98" i="92" s="1"/>
  <c r="U97" i="9" s="1"/>
  <c r="Q98" i="92"/>
  <c r="Q97" i="9" s="1"/>
  <c r="R98" i="92"/>
  <c r="R97" i="9" s="1"/>
  <c r="N99" i="92"/>
  <c r="O99" i="92" s="1"/>
  <c r="O98" i="9" s="1"/>
  <c r="Q99" i="92"/>
  <c r="Q98" i="9" s="1"/>
  <c r="R99" i="92"/>
  <c r="R98" i="9" s="1"/>
  <c r="N100" i="92"/>
  <c r="N99" i="9" s="1"/>
  <c r="Q100" i="92"/>
  <c r="Q99" i="9" s="1"/>
  <c r="R100" i="92"/>
  <c r="R99" i="9" s="1"/>
  <c r="N101" i="92"/>
  <c r="O101" i="92" s="1"/>
  <c r="Q101" i="92"/>
  <c r="Q100" i="9" s="1"/>
  <c r="R101" i="92"/>
  <c r="R100" i="9" s="1"/>
  <c r="N102" i="92"/>
  <c r="O102" i="92" s="1"/>
  <c r="Q102" i="92"/>
  <c r="Q101" i="9" s="1"/>
  <c r="R102" i="92"/>
  <c r="R101" i="9" s="1"/>
  <c r="N103" i="92"/>
  <c r="O103" i="92" s="1"/>
  <c r="O102" i="9" s="1"/>
  <c r="Q103" i="92"/>
  <c r="Q102" i="9" s="1"/>
  <c r="R103" i="92"/>
  <c r="R102" i="9" s="1"/>
  <c r="N104" i="92"/>
  <c r="O104" i="92" s="1"/>
  <c r="Q104" i="92"/>
  <c r="Q103" i="9" s="1"/>
  <c r="R104" i="92"/>
  <c r="R103" i="9" s="1"/>
  <c r="N105" i="92"/>
  <c r="O105" i="92" s="1"/>
  <c r="Q105" i="92"/>
  <c r="Q104" i="9" s="1"/>
  <c r="R105" i="92"/>
  <c r="R104" i="9" s="1"/>
  <c r="N106" i="92"/>
  <c r="N105" i="9" s="1"/>
  <c r="Q106" i="92"/>
  <c r="Q105" i="9" s="1"/>
  <c r="R106" i="92"/>
  <c r="R105" i="9" s="1"/>
  <c r="N107" i="92"/>
  <c r="Q107" i="92"/>
  <c r="Q106" i="9" s="1"/>
  <c r="R107" i="92"/>
  <c r="R106" i="9" s="1"/>
  <c r="N108" i="92"/>
  <c r="Q108" i="92"/>
  <c r="Q107" i="9" s="1"/>
  <c r="R108" i="92"/>
  <c r="R107" i="9" s="1"/>
  <c r="N109" i="92"/>
  <c r="N108" i="9" s="1"/>
  <c r="Q109" i="92"/>
  <c r="Q108" i="9" s="1"/>
  <c r="R109" i="92"/>
  <c r="R108" i="9" s="1"/>
  <c r="N110" i="92"/>
  <c r="Q110" i="92"/>
  <c r="Q109" i="9" s="1"/>
  <c r="R110" i="92"/>
  <c r="R109" i="9" s="1"/>
  <c r="N111" i="92"/>
  <c r="N110" i="9" s="1"/>
  <c r="Q111" i="92"/>
  <c r="Q110" i="9" s="1"/>
  <c r="R111" i="92"/>
  <c r="R110" i="9" s="1"/>
  <c r="N112" i="92"/>
  <c r="N111" i="9" s="1"/>
  <c r="Q112" i="92"/>
  <c r="Q111" i="9" s="1"/>
  <c r="R112" i="92"/>
  <c r="R111" i="9" s="1"/>
  <c r="N113" i="92"/>
  <c r="O113" i="92" s="1"/>
  <c r="Q113" i="92"/>
  <c r="Q112" i="9" s="1"/>
  <c r="R113" i="92"/>
  <c r="R112" i="9" s="1"/>
  <c r="N114" i="92"/>
  <c r="Q114" i="92"/>
  <c r="Q113" i="9" s="1"/>
  <c r="R114" i="92"/>
  <c r="R113" i="9" s="1"/>
  <c r="N115" i="92"/>
  <c r="O115" i="92" s="1"/>
  <c r="Q115" i="92"/>
  <c r="Q114" i="9" s="1"/>
  <c r="R115" i="92"/>
  <c r="R114" i="9" s="1"/>
  <c r="N116" i="92"/>
  <c r="O116" i="92" s="1"/>
  <c r="Q116" i="92"/>
  <c r="Q115" i="9" s="1"/>
  <c r="R116" i="92"/>
  <c r="R115" i="9" s="1"/>
  <c r="N117" i="92"/>
  <c r="O117" i="92" s="1"/>
  <c r="U117" i="92" s="1"/>
  <c r="U116" i="9" s="1"/>
  <c r="Q117" i="92"/>
  <c r="Q116" i="9" s="1"/>
  <c r="R117" i="92"/>
  <c r="R116" i="9" s="1"/>
  <c r="N118" i="92"/>
  <c r="N117" i="9" s="1"/>
  <c r="Q118" i="92"/>
  <c r="Q117" i="9" s="1"/>
  <c r="R118" i="92"/>
  <c r="R117" i="9" s="1"/>
  <c r="N119" i="92"/>
  <c r="N118" i="9" s="1"/>
  <c r="Q119" i="92"/>
  <c r="Q118" i="9" s="1"/>
  <c r="R119" i="92"/>
  <c r="R118" i="9" s="1"/>
  <c r="N120" i="92"/>
  <c r="Q120" i="92"/>
  <c r="Q119" i="9" s="1"/>
  <c r="R120" i="92"/>
  <c r="R119" i="9" s="1"/>
  <c r="N121" i="92"/>
  <c r="N120" i="9" s="1"/>
  <c r="Q121" i="92"/>
  <c r="Q120" i="9" s="1"/>
  <c r="R121" i="92"/>
  <c r="R120" i="9" s="1"/>
  <c r="N122" i="92"/>
  <c r="O122" i="92" s="1"/>
  <c r="Q122" i="92"/>
  <c r="Q121" i="9" s="1"/>
  <c r="R122" i="92"/>
  <c r="R121" i="9" s="1"/>
  <c r="N123" i="92"/>
  <c r="N122" i="9" s="1"/>
  <c r="Q123" i="92"/>
  <c r="Q122" i="9" s="1"/>
  <c r="R123" i="92"/>
  <c r="R122" i="9" s="1"/>
  <c r="N124" i="92"/>
  <c r="O124" i="92" s="1"/>
  <c r="O123" i="9" s="1"/>
  <c r="Q124" i="92"/>
  <c r="Q123" i="9" s="1"/>
  <c r="R124" i="92"/>
  <c r="R123" i="9" s="1"/>
  <c r="N125" i="92"/>
  <c r="Q125" i="92"/>
  <c r="Q124" i="9" s="1"/>
  <c r="R125" i="92"/>
  <c r="R124" i="9" s="1"/>
  <c r="N126" i="92"/>
  <c r="N125" i="9" s="1"/>
  <c r="Q126" i="92"/>
  <c r="Q125" i="9" s="1"/>
  <c r="R126" i="92"/>
  <c r="R125" i="9" s="1"/>
  <c r="N127" i="92"/>
  <c r="Q127" i="92"/>
  <c r="Q126" i="9" s="1"/>
  <c r="R127" i="92"/>
  <c r="R126" i="9" s="1"/>
  <c r="N128" i="92"/>
  <c r="O128" i="92" s="1"/>
  <c r="O127" i="9" s="1"/>
  <c r="Q128" i="92"/>
  <c r="Q127" i="9" s="1"/>
  <c r="R128" i="92"/>
  <c r="R127" i="9" s="1"/>
  <c r="N129" i="92"/>
  <c r="O129" i="92" s="1"/>
  <c r="O128" i="9" s="1"/>
  <c r="Q129" i="92"/>
  <c r="Q128" i="9" s="1"/>
  <c r="R129" i="92"/>
  <c r="R128" i="9" s="1"/>
  <c r="N130" i="92"/>
  <c r="O130" i="92" s="1"/>
  <c r="Q130" i="92"/>
  <c r="Q129" i="9" s="1"/>
  <c r="R130" i="92"/>
  <c r="R129" i="9" s="1"/>
  <c r="N131" i="92"/>
  <c r="Q131" i="92"/>
  <c r="R131" i="92"/>
  <c r="R130" i="9" s="1"/>
  <c r="N132" i="92"/>
  <c r="N131" i="9" s="1"/>
  <c r="Q132" i="92"/>
  <c r="Q131" i="9" s="1"/>
  <c r="R132" i="92"/>
  <c r="R131" i="9" s="1"/>
  <c r="N133" i="92"/>
  <c r="O133" i="92" s="1"/>
  <c r="Q133" i="92"/>
  <c r="Q132" i="9" s="1"/>
  <c r="R133" i="92"/>
  <c r="R132" i="9" s="1"/>
  <c r="N134" i="92"/>
  <c r="N133" i="9" s="1"/>
  <c r="Q134" i="92"/>
  <c r="Q133" i="9" s="1"/>
  <c r="R134" i="92"/>
  <c r="R133" i="9" s="1"/>
  <c r="N135" i="92"/>
  <c r="O135" i="92" s="1"/>
  <c r="U135" i="92" s="1"/>
  <c r="U134" i="9" s="1"/>
  <c r="Q135" i="92"/>
  <c r="Q134" i="9" s="1"/>
  <c r="R135" i="92"/>
  <c r="R134" i="9" s="1"/>
  <c r="N136" i="92"/>
  <c r="O136" i="92" s="1"/>
  <c r="U136" i="92" s="1"/>
  <c r="U135" i="9" s="1"/>
  <c r="Q136" i="92"/>
  <c r="Q135" i="9" s="1"/>
  <c r="R136" i="92"/>
  <c r="R135" i="9" s="1"/>
  <c r="N137" i="92"/>
  <c r="O137" i="92" s="1"/>
  <c r="U137" i="92" s="1"/>
  <c r="U136" i="9" s="1"/>
  <c r="Q137" i="92"/>
  <c r="Q136" i="9" s="1"/>
  <c r="R137" i="92"/>
  <c r="R136" i="9" s="1"/>
  <c r="N138" i="92"/>
  <c r="Q138" i="92"/>
  <c r="Q137" i="9" s="1"/>
  <c r="R138" i="92"/>
  <c r="R137" i="9" s="1"/>
  <c r="N139" i="92"/>
  <c r="O139" i="92" s="1"/>
  <c r="Q139" i="92"/>
  <c r="Q138" i="9" s="1"/>
  <c r="R139" i="92"/>
  <c r="R138" i="9" s="1"/>
  <c r="N140" i="92"/>
  <c r="O140" i="92" s="1"/>
  <c r="Q140" i="92"/>
  <c r="Q139" i="9" s="1"/>
  <c r="R140" i="92"/>
  <c r="R139" i="9" s="1"/>
  <c r="N141" i="92"/>
  <c r="Q141" i="92"/>
  <c r="Q140" i="9" s="1"/>
  <c r="R141" i="92"/>
  <c r="R140" i="9" s="1"/>
  <c r="N142" i="92"/>
  <c r="O142" i="92" s="1"/>
  <c r="O141" i="9" s="1"/>
  <c r="Q142" i="92"/>
  <c r="Q141" i="9" s="1"/>
  <c r="R142" i="92"/>
  <c r="R141" i="9" s="1"/>
  <c r="N143" i="92"/>
  <c r="Q143" i="92"/>
  <c r="Q142" i="9" s="1"/>
  <c r="R143" i="92"/>
  <c r="R142" i="9" s="1"/>
  <c r="N144" i="92"/>
  <c r="O144" i="92" s="1"/>
  <c r="Q144" i="92"/>
  <c r="R144" i="92"/>
  <c r="R143" i="9" s="1"/>
  <c r="B14" i="9"/>
  <c r="D114" i="9" s="1"/>
  <c r="E33" i="9"/>
  <c r="F33" i="9"/>
  <c r="G33" i="9"/>
  <c r="H33" i="9"/>
  <c r="I33" i="9"/>
  <c r="J33" i="9"/>
  <c r="K33" i="9"/>
  <c r="L33" i="9"/>
  <c r="M33" i="9"/>
  <c r="O33" i="9"/>
  <c r="P33" i="9"/>
  <c r="Q33" i="9"/>
  <c r="R33" i="9"/>
  <c r="S33" i="9"/>
  <c r="T33" i="9"/>
  <c r="U33" i="9"/>
  <c r="V33" i="9"/>
  <c r="W33" i="9"/>
  <c r="E34" i="9"/>
  <c r="H34" i="9"/>
  <c r="K34" i="9"/>
  <c r="L34" i="9"/>
  <c r="M34" i="9"/>
  <c r="Q34" i="9"/>
  <c r="R34" i="9"/>
  <c r="S34" i="9"/>
  <c r="T34" i="9"/>
  <c r="U34" i="9"/>
  <c r="V34" i="9"/>
  <c r="W34" i="9"/>
  <c r="E35" i="9"/>
  <c r="H35" i="9"/>
  <c r="K35" i="9"/>
  <c r="L35" i="9"/>
  <c r="M35" i="9"/>
  <c r="Q35" i="9"/>
  <c r="R35" i="9"/>
  <c r="S35" i="9"/>
  <c r="T35" i="9"/>
  <c r="U35" i="9"/>
  <c r="V35" i="9"/>
  <c r="W35" i="9"/>
  <c r="E36" i="9"/>
  <c r="H36" i="9"/>
  <c r="K36" i="9"/>
  <c r="L36" i="9"/>
  <c r="M36" i="9"/>
  <c r="Q36" i="9"/>
  <c r="R36" i="9"/>
  <c r="S36" i="9"/>
  <c r="T36" i="9"/>
  <c r="U36" i="9"/>
  <c r="V36" i="9"/>
  <c r="W36" i="9"/>
  <c r="E37" i="9"/>
  <c r="H37" i="9"/>
  <c r="K37" i="9"/>
  <c r="L37" i="9"/>
  <c r="M37" i="9"/>
  <c r="Q37" i="9"/>
  <c r="R37" i="9"/>
  <c r="S37" i="9"/>
  <c r="T37" i="9"/>
  <c r="U37" i="9"/>
  <c r="V37" i="9"/>
  <c r="W37" i="9"/>
  <c r="E38" i="9"/>
  <c r="H38" i="9"/>
  <c r="K38" i="9"/>
  <c r="L38" i="9"/>
  <c r="M38" i="9"/>
  <c r="Q38" i="9"/>
  <c r="R38" i="9"/>
  <c r="S38" i="9"/>
  <c r="T38" i="9"/>
  <c r="U38" i="9"/>
  <c r="V38" i="9"/>
  <c r="W38" i="9"/>
  <c r="E39" i="9"/>
  <c r="H39" i="9"/>
  <c r="K39" i="9"/>
  <c r="L39" i="9"/>
  <c r="M39" i="9"/>
  <c r="R39" i="9"/>
  <c r="S39" i="9"/>
  <c r="T39" i="9"/>
  <c r="U39" i="9"/>
  <c r="V39" i="9"/>
  <c r="W39" i="9"/>
  <c r="E40" i="9"/>
  <c r="H40" i="9"/>
  <c r="K40" i="9"/>
  <c r="T40" i="9"/>
  <c r="U40" i="9"/>
  <c r="V40" i="9"/>
  <c r="W40" i="9"/>
  <c r="E41" i="9"/>
  <c r="H41" i="9"/>
  <c r="K41" i="9"/>
  <c r="T41" i="9"/>
  <c r="U41" i="9"/>
  <c r="V41" i="9"/>
  <c r="W41" i="9"/>
  <c r="E42" i="9"/>
  <c r="H42" i="9"/>
  <c r="K42" i="9"/>
  <c r="T42" i="9"/>
  <c r="U42" i="9"/>
  <c r="V42" i="9"/>
  <c r="W42" i="9"/>
  <c r="E43" i="9"/>
  <c r="H43" i="9"/>
  <c r="K43" i="9"/>
  <c r="T43" i="9"/>
  <c r="U43" i="9"/>
  <c r="V43" i="9"/>
  <c r="W43" i="9"/>
  <c r="E44" i="9"/>
  <c r="H44" i="9"/>
  <c r="K44" i="9"/>
  <c r="T44" i="9"/>
  <c r="U44" i="9"/>
  <c r="V44" i="9"/>
  <c r="W44" i="9"/>
  <c r="E45" i="9"/>
  <c r="H45" i="9"/>
  <c r="K45" i="9"/>
  <c r="T45" i="9"/>
  <c r="U45" i="9"/>
  <c r="V45" i="9"/>
  <c r="W45" i="9"/>
  <c r="E46" i="9"/>
  <c r="H46" i="9"/>
  <c r="K46" i="9"/>
  <c r="E47" i="9"/>
  <c r="H47" i="9"/>
  <c r="K47" i="9"/>
  <c r="E48" i="9"/>
  <c r="H48" i="9"/>
  <c r="K48" i="9"/>
  <c r="E49" i="9"/>
  <c r="H49" i="9"/>
  <c r="K49" i="9"/>
  <c r="E50" i="9"/>
  <c r="H50" i="9"/>
  <c r="K50" i="9"/>
  <c r="E51" i="9"/>
  <c r="H51" i="9"/>
  <c r="K51" i="9"/>
  <c r="E52" i="9"/>
  <c r="H52" i="9"/>
  <c r="K52" i="9"/>
  <c r="E53" i="9"/>
  <c r="H53" i="9"/>
  <c r="K53" i="9"/>
  <c r="E54" i="9"/>
  <c r="H54" i="9"/>
  <c r="K54" i="9"/>
  <c r="E55" i="9"/>
  <c r="H55" i="9"/>
  <c r="K55" i="9"/>
  <c r="E56" i="9"/>
  <c r="H56" i="9"/>
  <c r="K56" i="9"/>
  <c r="E57" i="9"/>
  <c r="H57" i="9"/>
  <c r="K57" i="9"/>
  <c r="E58" i="9"/>
  <c r="H58" i="9"/>
  <c r="K58" i="9"/>
  <c r="E59" i="9"/>
  <c r="H59" i="9"/>
  <c r="K59" i="9"/>
  <c r="E60" i="9"/>
  <c r="F60" i="9"/>
  <c r="H60" i="9"/>
  <c r="I60" i="9"/>
  <c r="K60" i="9"/>
  <c r="E61" i="9"/>
  <c r="F61" i="9"/>
  <c r="H61" i="9"/>
  <c r="I61" i="9"/>
  <c r="K61" i="9"/>
  <c r="L61" i="9"/>
  <c r="E62" i="9"/>
  <c r="F62" i="9"/>
  <c r="H62" i="9"/>
  <c r="I62" i="9"/>
  <c r="K62" i="9"/>
  <c r="L62" i="9"/>
  <c r="E63" i="9"/>
  <c r="F63" i="9"/>
  <c r="H63" i="9"/>
  <c r="I63" i="9"/>
  <c r="K63" i="9"/>
  <c r="L63" i="9"/>
  <c r="E64" i="9"/>
  <c r="F64" i="9"/>
  <c r="H64" i="9"/>
  <c r="I64" i="9"/>
  <c r="K64" i="9"/>
  <c r="L64" i="9"/>
  <c r="E65" i="9"/>
  <c r="F65" i="9"/>
  <c r="H65" i="9"/>
  <c r="I65" i="9"/>
  <c r="K65" i="9"/>
  <c r="L65" i="9"/>
  <c r="N65" i="9"/>
  <c r="E66" i="9"/>
  <c r="F66" i="9"/>
  <c r="H66" i="9"/>
  <c r="I66" i="9"/>
  <c r="K66" i="9"/>
  <c r="L66" i="9"/>
  <c r="E67" i="9"/>
  <c r="F67" i="9"/>
  <c r="H67" i="9"/>
  <c r="I67" i="9"/>
  <c r="K67" i="9"/>
  <c r="L67" i="9"/>
  <c r="E68" i="9"/>
  <c r="F68" i="9"/>
  <c r="H68" i="9"/>
  <c r="I68" i="9"/>
  <c r="K68" i="9"/>
  <c r="L68" i="9"/>
  <c r="E69" i="9"/>
  <c r="F69" i="9"/>
  <c r="H69" i="9"/>
  <c r="I69" i="9"/>
  <c r="K69" i="9"/>
  <c r="L69" i="9"/>
  <c r="E70" i="9"/>
  <c r="F70" i="9"/>
  <c r="H70" i="9"/>
  <c r="I70" i="9"/>
  <c r="K70" i="9"/>
  <c r="L70" i="9"/>
  <c r="E71" i="9"/>
  <c r="F71" i="9"/>
  <c r="H71" i="9"/>
  <c r="I71" i="9"/>
  <c r="K71" i="9"/>
  <c r="L71" i="9"/>
  <c r="E72" i="9"/>
  <c r="F72" i="9"/>
  <c r="H72" i="9"/>
  <c r="I72" i="9"/>
  <c r="K72" i="9"/>
  <c r="L72" i="9"/>
  <c r="E73" i="9"/>
  <c r="F73" i="9"/>
  <c r="H73" i="9"/>
  <c r="I73" i="9"/>
  <c r="K73" i="9"/>
  <c r="L73" i="9"/>
  <c r="E74" i="9"/>
  <c r="F74" i="9"/>
  <c r="H74" i="9"/>
  <c r="I74" i="9"/>
  <c r="K74" i="9"/>
  <c r="L74" i="9"/>
  <c r="E75" i="9"/>
  <c r="F75" i="9"/>
  <c r="H75" i="9"/>
  <c r="I75" i="9"/>
  <c r="K75" i="9"/>
  <c r="L75" i="9"/>
  <c r="E76" i="9"/>
  <c r="F76" i="9"/>
  <c r="H76" i="9"/>
  <c r="I76" i="9"/>
  <c r="K76" i="9"/>
  <c r="L76" i="9"/>
  <c r="E77" i="9"/>
  <c r="F77" i="9"/>
  <c r="H77" i="9"/>
  <c r="I77" i="9"/>
  <c r="K77" i="9"/>
  <c r="L77" i="9"/>
  <c r="E78" i="9"/>
  <c r="F78" i="9"/>
  <c r="H78" i="9"/>
  <c r="I78" i="9"/>
  <c r="K78" i="9"/>
  <c r="L78" i="9"/>
  <c r="E79" i="9"/>
  <c r="F79" i="9"/>
  <c r="H79" i="9"/>
  <c r="I79" i="9"/>
  <c r="K79" i="9"/>
  <c r="L79" i="9"/>
  <c r="Q79" i="9"/>
  <c r="E80" i="9"/>
  <c r="F80" i="9"/>
  <c r="H80" i="9"/>
  <c r="I80" i="9"/>
  <c r="K80" i="9"/>
  <c r="L80" i="9"/>
  <c r="E81" i="9"/>
  <c r="F81" i="9"/>
  <c r="H81" i="9"/>
  <c r="I81" i="9"/>
  <c r="K81" i="9"/>
  <c r="L81" i="9"/>
  <c r="E82" i="9"/>
  <c r="F82" i="9"/>
  <c r="H82" i="9"/>
  <c r="I82" i="9"/>
  <c r="K82" i="9"/>
  <c r="L82" i="9"/>
  <c r="E83" i="9"/>
  <c r="F83" i="9"/>
  <c r="H83" i="9"/>
  <c r="I83" i="9"/>
  <c r="K83" i="9"/>
  <c r="L83" i="9"/>
  <c r="E84" i="9"/>
  <c r="F84" i="9"/>
  <c r="H84" i="9"/>
  <c r="I84" i="9"/>
  <c r="K84" i="9"/>
  <c r="L84" i="9"/>
  <c r="E85" i="9"/>
  <c r="F85" i="9"/>
  <c r="H85" i="9"/>
  <c r="I85" i="9"/>
  <c r="K85" i="9"/>
  <c r="L85" i="9"/>
  <c r="E86" i="9"/>
  <c r="F86" i="9"/>
  <c r="H86" i="9"/>
  <c r="I86" i="9"/>
  <c r="K86" i="9"/>
  <c r="L86" i="9"/>
  <c r="E87" i="9"/>
  <c r="F87" i="9"/>
  <c r="H87" i="9"/>
  <c r="I87" i="9"/>
  <c r="K87" i="9"/>
  <c r="L87" i="9"/>
  <c r="E88" i="9"/>
  <c r="F88" i="9"/>
  <c r="H88" i="9"/>
  <c r="I88" i="9"/>
  <c r="K88" i="9"/>
  <c r="L88" i="9"/>
  <c r="E89" i="9"/>
  <c r="F89" i="9"/>
  <c r="H89" i="9"/>
  <c r="I89" i="9"/>
  <c r="K89" i="9"/>
  <c r="L89" i="9"/>
  <c r="E90" i="9"/>
  <c r="F90" i="9"/>
  <c r="H90" i="9"/>
  <c r="I90" i="9"/>
  <c r="K90" i="9"/>
  <c r="L90" i="9"/>
  <c r="E91" i="9"/>
  <c r="F91" i="9"/>
  <c r="H91" i="9"/>
  <c r="I91" i="9"/>
  <c r="K91" i="9"/>
  <c r="L91" i="9"/>
  <c r="E92" i="9"/>
  <c r="F92" i="9"/>
  <c r="H92" i="9"/>
  <c r="I92" i="9"/>
  <c r="K92" i="9"/>
  <c r="L92" i="9"/>
  <c r="E93" i="9"/>
  <c r="F93" i="9"/>
  <c r="H93" i="9"/>
  <c r="I93" i="9"/>
  <c r="K93" i="9"/>
  <c r="L93" i="9"/>
  <c r="E94" i="9"/>
  <c r="F94" i="9"/>
  <c r="H94" i="9"/>
  <c r="I94" i="9"/>
  <c r="K94" i="9"/>
  <c r="L94" i="9"/>
  <c r="E95" i="9"/>
  <c r="F95" i="9"/>
  <c r="H95" i="9"/>
  <c r="I95" i="9"/>
  <c r="K95" i="9"/>
  <c r="L95" i="9"/>
  <c r="E96" i="9"/>
  <c r="F96" i="9"/>
  <c r="H96" i="9"/>
  <c r="I96" i="9"/>
  <c r="K96" i="9"/>
  <c r="L96" i="9"/>
  <c r="E97" i="9"/>
  <c r="F97" i="9"/>
  <c r="H97" i="9"/>
  <c r="I97" i="9"/>
  <c r="K97" i="9"/>
  <c r="L97" i="9"/>
  <c r="E98" i="9"/>
  <c r="F98" i="9"/>
  <c r="H98" i="9"/>
  <c r="I98" i="9"/>
  <c r="K98" i="9"/>
  <c r="L98" i="9"/>
  <c r="E99" i="9"/>
  <c r="F99" i="9"/>
  <c r="H99" i="9"/>
  <c r="I99" i="9"/>
  <c r="K99" i="9"/>
  <c r="L99" i="9"/>
  <c r="E100" i="9"/>
  <c r="F100" i="9"/>
  <c r="H100" i="9"/>
  <c r="I100" i="9"/>
  <c r="K100" i="9"/>
  <c r="L100" i="9"/>
  <c r="E101" i="9"/>
  <c r="F101" i="9"/>
  <c r="H101" i="9"/>
  <c r="I101" i="9"/>
  <c r="K101" i="9"/>
  <c r="L101" i="9"/>
  <c r="E102" i="9"/>
  <c r="F102" i="9"/>
  <c r="H102" i="9"/>
  <c r="I102" i="9"/>
  <c r="K102" i="9"/>
  <c r="L102" i="9"/>
  <c r="E103" i="9"/>
  <c r="F103" i="9"/>
  <c r="H103" i="9"/>
  <c r="I103" i="9"/>
  <c r="K103" i="9"/>
  <c r="L103" i="9"/>
  <c r="E104" i="9"/>
  <c r="F104" i="9"/>
  <c r="H104" i="9"/>
  <c r="I104" i="9"/>
  <c r="K104" i="9"/>
  <c r="L104" i="9"/>
  <c r="B105" i="9"/>
  <c r="B106" i="9" s="1"/>
  <c r="B107" i="9" s="1"/>
  <c r="B108" i="9" s="1"/>
  <c r="B109" i="9" s="1"/>
  <c r="B110" i="9" s="1"/>
  <c r="B111" i="9" s="1"/>
  <c r="B112" i="9" s="1"/>
  <c r="B113" i="9" s="1"/>
  <c r="B114" i="9" s="1"/>
  <c r="B115" i="9" s="1"/>
  <c r="B116" i="9" s="1"/>
  <c r="B117" i="9" s="1"/>
  <c r="B118" i="9" s="1"/>
  <c r="B119" i="9" s="1"/>
  <c r="B120" i="9" s="1"/>
  <c r="B121" i="9" s="1"/>
  <c r="B122" i="9" s="1"/>
  <c r="B123" i="9" s="1"/>
  <c r="B124" i="9" s="1"/>
  <c r="B125" i="9" s="1"/>
  <c r="B126" i="9" s="1"/>
  <c r="B127" i="9" s="1"/>
  <c r="B128" i="9" s="1"/>
  <c r="B129" i="9" s="1"/>
  <c r="B130" i="9" s="1"/>
  <c r="B131" i="9" s="1"/>
  <c r="B132" i="9" s="1"/>
  <c r="B133" i="9" s="1"/>
  <c r="B134" i="9" s="1"/>
  <c r="B135" i="9" s="1"/>
  <c r="B136" i="9" s="1"/>
  <c r="B137" i="9" s="1"/>
  <c r="B138" i="9" s="1"/>
  <c r="B139" i="9" s="1"/>
  <c r="B140" i="9" s="1"/>
  <c r="B141" i="9" s="1"/>
  <c r="B142" i="9" s="1"/>
  <c r="B143" i="9" s="1"/>
  <c r="E105" i="9"/>
  <c r="F105" i="9"/>
  <c r="H105" i="9"/>
  <c r="I105" i="9"/>
  <c r="K105" i="9"/>
  <c r="L105" i="9"/>
  <c r="E106" i="9"/>
  <c r="F106" i="9"/>
  <c r="H106" i="9"/>
  <c r="I106" i="9"/>
  <c r="K106" i="9"/>
  <c r="L106" i="9"/>
  <c r="E107" i="9"/>
  <c r="F107" i="9"/>
  <c r="H107" i="9"/>
  <c r="I107" i="9"/>
  <c r="K107" i="9"/>
  <c r="L107" i="9"/>
  <c r="E108" i="9"/>
  <c r="F108" i="9"/>
  <c r="H108" i="9"/>
  <c r="I108" i="9"/>
  <c r="K108" i="9"/>
  <c r="L108" i="9"/>
  <c r="E109" i="9"/>
  <c r="F109" i="9"/>
  <c r="H109" i="9"/>
  <c r="I109" i="9"/>
  <c r="K109" i="9"/>
  <c r="L109" i="9"/>
  <c r="E110" i="9"/>
  <c r="F110" i="9"/>
  <c r="H110" i="9"/>
  <c r="I110" i="9"/>
  <c r="K110" i="9"/>
  <c r="L110" i="9"/>
  <c r="E111" i="9"/>
  <c r="F111" i="9"/>
  <c r="H111" i="9"/>
  <c r="I111" i="9"/>
  <c r="K111" i="9"/>
  <c r="L111" i="9"/>
  <c r="E112" i="9"/>
  <c r="F112" i="9"/>
  <c r="H112" i="9"/>
  <c r="I112" i="9"/>
  <c r="K112" i="9"/>
  <c r="L112" i="9"/>
  <c r="D113" i="9"/>
  <c r="E113" i="9"/>
  <c r="F113" i="9"/>
  <c r="H113" i="9"/>
  <c r="I113" i="9"/>
  <c r="K113" i="9"/>
  <c r="L113" i="9"/>
  <c r="E114" i="9"/>
  <c r="F114" i="9"/>
  <c r="H114" i="9"/>
  <c r="I114" i="9"/>
  <c r="K114" i="9"/>
  <c r="L114" i="9"/>
  <c r="E115" i="9"/>
  <c r="F115" i="9"/>
  <c r="H115" i="9"/>
  <c r="I115" i="9"/>
  <c r="K115" i="9"/>
  <c r="L115" i="9"/>
  <c r="E116" i="9"/>
  <c r="F116" i="9"/>
  <c r="H116" i="9"/>
  <c r="I116" i="9"/>
  <c r="K116" i="9"/>
  <c r="L116" i="9"/>
  <c r="E117" i="9"/>
  <c r="F117" i="9"/>
  <c r="H117" i="9"/>
  <c r="I117" i="9"/>
  <c r="K117" i="9"/>
  <c r="L117" i="9"/>
  <c r="E118" i="9"/>
  <c r="F118" i="9"/>
  <c r="H118" i="9"/>
  <c r="I118" i="9"/>
  <c r="K118" i="9"/>
  <c r="L118" i="9"/>
  <c r="E119" i="9"/>
  <c r="F119" i="9"/>
  <c r="H119" i="9"/>
  <c r="I119" i="9"/>
  <c r="K119" i="9"/>
  <c r="L119" i="9"/>
  <c r="E120" i="9"/>
  <c r="F120" i="9"/>
  <c r="H120" i="9"/>
  <c r="I120" i="9"/>
  <c r="K120" i="9"/>
  <c r="L120" i="9"/>
  <c r="E121" i="9"/>
  <c r="F121" i="9"/>
  <c r="H121" i="9"/>
  <c r="I121" i="9"/>
  <c r="K121" i="9"/>
  <c r="L121" i="9"/>
  <c r="E122" i="9"/>
  <c r="F122" i="9"/>
  <c r="H122" i="9"/>
  <c r="I122" i="9"/>
  <c r="K122" i="9"/>
  <c r="L122" i="9"/>
  <c r="E123" i="9"/>
  <c r="F123" i="9"/>
  <c r="H123" i="9"/>
  <c r="I123" i="9"/>
  <c r="K123" i="9"/>
  <c r="L123" i="9"/>
  <c r="E124" i="9"/>
  <c r="F124" i="9"/>
  <c r="H124" i="9"/>
  <c r="I124" i="9"/>
  <c r="K124" i="9"/>
  <c r="L124" i="9"/>
  <c r="E125" i="9"/>
  <c r="F125" i="9"/>
  <c r="H125" i="9"/>
  <c r="I125" i="9"/>
  <c r="K125" i="9"/>
  <c r="L125" i="9"/>
  <c r="E126" i="9"/>
  <c r="F126" i="9"/>
  <c r="H126" i="9"/>
  <c r="I126" i="9"/>
  <c r="K126" i="9"/>
  <c r="L126" i="9"/>
  <c r="E127" i="9"/>
  <c r="F127" i="9"/>
  <c r="H127" i="9"/>
  <c r="I127" i="9"/>
  <c r="K127" i="9"/>
  <c r="L127" i="9"/>
  <c r="E128" i="9"/>
  <c r="F128" i="9"/>
  <c r="H128" i="9"/>
  <c r="I128" i="9"/>
  <c r="K128" i="9"/>
  <c r="L128" i="9"/>
  <c r="E129" i="9"/>
  <c r="F129" i="9"/>
  <c r="H129" i="9"/>
  <c r="I129" i="9"/>
  <c r="K129" i="9"/>
  <c r="L129" i="9"/>
  <c r="E130" i="9"/>
  <c r="F130" i="9"/>
  <c r="H130" i="9"/>
  <c r="I130" i="9"/>
  <c r="K130" i="9"/>
  <c r="L130" i="9"/>
  <c r="Q130" i="9"/>
  <c r="E131" i="9"/>
  <c r="F131" i="9"/>
  <c r="H131" i="9"/>
  <c r="I131" i="9"/>
  <c r="K131" i="9"/>
  <c r="L131" i="9"/>
  <c r="E132" i="9"/>
  <c r="F132" i="9"/>
  <c r="H132" i="9"/>
  <c r="I132" i="9"/>
  <c r="K132" i="9"/>
  <c r="L132" i="9"/>
  <c r="E133" i="9"/>
  <c r="F133" i="9"/>
  <c r="H133" i="9"/>
  <c r="I133" i="9"/>
  <c r="K133" i="9"/>
  <c r="L133" i="9"/>
  <c r="E134" i="9"/>
  <c r="F134" i="9"/>
  <c r="H134" i="9"/>
  <c r="I134" i="9"/>
  <c r="K134" i="9"/>
  <c r="L134" i="9"/>
  <c r="E135" i="9"/>
  <c r="F135" i="9"/>
  <c r="H135" i="9"/>
  <c r="I135" i="9"/>
  <c r="K135" i="9"/>
  <c r="L135" i="9"/>
  <c r="E136" i="9"/>
  <c r="F136" i="9"/>
  <c r="H136" i="9"/>
  <c r="I136" i="9"/>
  <c r="K136" i="9"/>
  <c r="L136" i="9"/>
  <c r="E137" i="9"/>
  <c r="F137" i="9"/>
  <c r="H137" i="9"/>
  <c r="I137" i="9"/>
  <c r="K137" i="9"/>
  <c r="L137" i="9"/>
  <c r="E138" i="9"/>
  <c r="F138" i="9"/>
  <c r="H138" i="9"/>
  <c r="I138" i="9"/>
  <c r="K138" i="9"/>
  <c r="L138" i="9"/>
  <c r="E139" i="9"/>
  <c r="F139" i="9"/>
  <c r="H139" i="9"/>
  <c r="I139" i="9"/>
  <c r="K139" i="9"/>
  <c r="L139" i="9"/>
  <c r="E140" i="9"/>
  <c r="F140" i="9"/>
  <c r="H140" i="9"/>
  <c r="I140" i="9"/>
  <c r="K140" i="9"/>
  <c r="L140" i="9"/>
  <c r="E141" i="9"/>
  <c r="F141" i="9"/>
  <c r="H141" i="9"/>
  <c r="I141" i="9"/>
  <c r="K141" i="9"/>
  <c r="L141" i="9"/>
  <c r="E142" i="9"/>
  <c r="F142" i="9"/>
  <c r="H142" i="9"/>
  <c r="I142" i="9"/>
  <c r="K142" i="9"/>
  <c r="L142" i="9"/>
  <c r="E143" i="9"/>
  <c r="F143" i="9"/>
  <c r="H143" i="9"/>
  <c r="I143" i="9"/>
  <c r="K143" i="9"/>
  <c r="L143" i="9"/>
  <c r="Q143" i="9"/>
  <c r="G80" i="14"/>
  <c r="P64" i="143"/>
  <c r="I59" i="143"/>
  <c r="B48" i="145"/>
  <c r="B48" i="146" s="1"/>
  <c r="P39" i="143"/>
  <c r="P40" i="143" s="1"/>
  <c r="F64" i="143"/>
  <c r="F65" i="143" s="1"/>
  <c r="E54" i="143"/>
  <c r="E55" i="143" s="1"/>
  <c r="E56" i="143" s="1"/>
  <c r="U56" i="143" s="1"/>
  <c r="E56" i="144" s="1"/>
  <c r="M56" i="144" s="1"/>
  <c r="G60" i="143"/>
  <c r="G61" i="143" s="1"/>
  <c r="J64" i="143"/>
  <c r="E69" i="143"/>
  <c r="E70" i="143" s="1"/>
  <c r="F59" i="143"/>
  <c r="F60" i="143" s="1"/>
  <c r="I64" i="143"/>
  <c r="Z63" i="143" s="1"/>
  <c r="I63" i="144" s="1"/>
  <c r="B51" i="144"/>
  <c r="B51" i="145"/>
  <c r="B51" i="146" s="1"/>
  <c r="P54" i="143"/>
  <c r="AG53" i="143" s="1"/>
  <c r="M70" i="143"/>
  <c r="M71" i="143" s="1"/>
  <c r="S52" i="143"/>
  <c r="B52" i="145" s="1"/>
  <c r="B52" i="146" s="1"/>
  <c r="K49" i="143"/>
  <c r="K50" i="143" s="1"/>
  <c r="N44" i="143"/>
  <c r="N45" i="143" s="1"/>
  <c r="F44" i="143"/>
  <c r="F45" i="143" s="1"/>
  <c r="Q39" i="143"/>
  <c r="Q40" i="143" s="1"/>
  <c r="Q41" i="143" s="1"/>
  <c r="E39" i="143"/>
  <c r="E40" i="143" s="1"/>
  <c r="O34" i="143"/>
  <c r="O35" i="143" s="1"/>
  <c r="O36" i="143" s="1"/>
  <c r="K34" i="143"/>
  <c r="P69" i="143"/>
  <c r="H69" i="143"/>
  <c r="H70" i="143" s="1"/>
  <c r="H71" i="143" s="1"/>
  <c r="H72" i="143" s="1"/>
  <c r="L49" i="143"/>
  <c r="L50" i="143" s="1"/>
  <c r="H49" i="143"/>
  <c r="H50" i="143" s="1"/>
  <c r="H51" i="143" s="1"/>
  <c r="H59" i="143"/>
  <c r="S26" i="157"/>
  <c r="BG26" i="157"/>
  <c r="O26" i="157"/>
  <c r="AT30" i="157"/>
  <c r="BK26" i="157"/>
  <c r="H69" i="146"/>
  <c r="H53" i="146"/>
  <c r="AT29" i="157"/>
  <c r="AT41" i="157"/>
  <c r="AT30" i="155"/>
  <c r="AT34" i="155"/>
  <c r="F56" i="9"/>
  <c r="L45" i="9"/>
  <c r="B28" i="28"/>
  <c r="B29" i="28" s="1"/>
  <c r="B30" i="28" s="1"/>
  <c r="B31" i="28" s="1"/>
  <c r="B32" i="28" s="1"/>
  <c r="B33" i="28" s="1"/>
  <c r="B34" i="28" s="1"/>
  <c r="B35" i="28" s="1"/>
  <c r="B36" i="28" s="1"/>
  <c r="B37" i="28" s="1"/>
  <c r="B38" i="28" s="1"/>
  <c r="B39" i="28" s="1"/>
  <c r="B40" i="28" s="1"/>
  <c r="B41" i="28" s="1"/>
  <c r="B42" i="28" s="1"/>
  <c r="H55" i="146"/>
  <c r="AT51" i="157"/>
  <c r="N138" i="9"/>
  <c r="N97" i="9"/>
  <c r="F59" i="9"/>
  <c r="O123" i="92"/>
  <c r="U123" i="92" s="1"/>
  <c r="U122" i="9" s="1"/>
  <c r="N52" i="9"/>
  <c r="O118" i="92"/>
  <c r="U118" i="92" s="1"/>
  <c r="U117" i="9" s="1"/>
  <c r="N98" i="9"/>
  <c r="N101" i="9"/>
  <c r="O126" i="92"/>
  <c r="U126" i="92" s="1"/>
  <c r="U125" i="9" s="1"/>
  <c r="O106" i="92"/>
  <c r="U106" i="92" s="1"/>
  <c r="U105" i="9" s="1"/>
  <c r="E27" i="99"/>
  <c r="H29" i="99" s="1"/>
  <c r="E43" i="99"/>
  <c r="E51" i="99"/>
  <c r="E55" i="99"/>
  <c r="E59" i="99"/>
  <c r="E75" i="99"/>
  <c r="E83" i="99"/>
  <c r="E87" i="99"/>
  <c r="E91" i="99"/>
  <c r="E107" i="99"/>
  <c r="E115" i="99"/>
  <c r="E119" i="99"/>
  <c r="E123" i="99"/>
  <c r="E34" i="99"/>
  <c r="E42" i="99"/>
  <c r="E46" i="99"/>
  <c r="E50" i="99"/>
  <c r="E66" i="99"/>
  <c r="E74" i="99"/>
  <c r="E78" i="99"/>
  <c r="E82" i="99"/>
  <c r="E98" i="99"/>
  <c r="E106" i="99"/>
  <c r="E110" i="99"/>
  <c r="E114" i="99"/>
  <c r="E29" i="99"/>
  <c r="E37" i="99"/>
  <c r="E41" i="99"/>
  <c r="E45" i="99"/>
  <c r="E61" i="99"/>
  <c r="E69" i="99"/>
  <c r="E73" i="99"/>
  <c r="E77" i="99"/>
  <c r="E93" i="99"/>
  <c r="E101" i="99"/>
  <c r="E105" i="99"/>
  <c r="E109" i="99"/>
  <c r="E125" i="99"/>
  <c r="J53" i="35"/>
  <c r="BP43" i="25"/>
  <c r="BP35" i="25"/>
  <c r="P39" i="25"/>
  <c r="W45" i="25"/>
  <c r="AC35" i="25"/>
  <c r="AW34" i="25"/>
  <c r="M54" i="35"/>
  <c r="B28" i="25"/>
  <c r="AI74" i="157"/>
  <c r="AI69" i="157"/>
  <c r="AI43" i="157"/>
  <c r="AI40" i="157"/>
  <c r="AI60" i="155"/>
  <c r="AI52" i="155"/>
  <c r="AI35" i="155"/>
  <c r="AI59" i="157"/>
  <c r="AI53" i="157"/>
  <c r="AI41" i="157"/>
  <c r="AI75" i="155"/>
  <c r="AI55" i="155"/>
  <c r="AI60" i="157"/>
  <c r="AI35" i="157"/>
  <c r="AI29" i="155"/>
  <c r="AI31" i="155"/>
  <c r="AI62" i="155"/>
  <c r="AI43" i="155"/>
  <c r="AI70" i="157"/>
  <c r="AI67" i="157"/>
  <c r="AI61" i="157"/>
  <c r="AI51" i="157"/>
  <c r="AI36" i="157"/>
  <c r="AI77" i="155"/>
  <c r="AI59" i="155"/>
  <c r="AI47" i="155"/>
  <c r="AI34" i="155"/>
  <c r="AI78" i="157"/>
  <c r="AI49" i="157"/>
  <c r="AI45" i="157"/>
  <c r="AI39" i="157"/>
  <c r="AI32" i="157"/>
  <c r="AI54" i="155"/>
  <c r="AI39" i="155"/>
  <c r="AI77" i="157"/>
  <c r="AI66" i="157"/>
  <c r="AI65" i="155"/>
  <c r="G11" i="135"/>
  <c r="AI37" i="157"/>
  <c r="AI32" i="155"/>
  <c r="AI48" i="155"/>
  <c r="AI44" i="155"/>
  <c r="AI28" i="157"/>
  <c r="AI30" i="155"/>
  <c r="AI73" i="155"/>
  <c r="AI61" i="155"/>
  <c r="AI72" i="157"/>
  <c r="AI46" i="157"/>
  <c r="AI50" i="155"/>
  <c r="AI36" i="155"/>
  <c r="AI62" i="157"/>
  <c r="AI75" i="157"/>
  <c r="AI33" i="155"/>
  <c r="L54" i="35"/>
  <c r="AG37" i="143"/>
  <c r="B46" i="145"/>
  <c r="B46" i="146" s="1"/>
  <c r="E49" i="143"/>
  <c r="E50" i="143" s="1"/>
  <c r="X37" i="143"/>
  <c r="I13" i="73"/>
  <c r="I48" i="73"/>
  <c r="I85" i="73"/>
  <c r="I25" i="73"/>
  <c r="B31" i="98"/>
  <c r="B32" i="98" s="1"/>
  <c r="B33" i="98" s="1"/>
  <c r="B34" i="98" s="1"/>
  <c r="B35" i="98" s="1"/>
  <c r="B36" i="98" s="1"/>
  <c r="B37" i="98" s="1"/>
  <c r="B38" i="98" s="1"/>
  <c r="B39" i="98" s="1"/>
  <c r="B40" i="98" s="1"/>
  <c r="B41" i="98" s="1"/>
  <c r="B42" i="98" s="1"/>
  <c r="B43" i="98" s="1"/>
  <c r="B44" i="98" s="1"/>
  <c r="B45" i="98" s="1"/>
  <c r="B46" i="98" s="1"/>
  <c r="B47" i="98" s="1"/>
  <c r="B48" i="98" s="1"/>
  <c r="B49" i="98" s="1"/>
  <c r="B50" i="98" s="1"/>
  <c r="B51" i="98" s="1"/>
  <c r="B52" i="98" s="1"/>
  <c r="B53" i="98" s="1"/>
  <c r="B54" i="98" s="1"/>
  <c r="B55" i="98" s="1"/>
  <c r="B56" i="98" s="1"/>
  <c r="B57" i="98" s="1"/>
  <c r="B58" i="98" s="1"/>
  <c r="B59" i="98" s="1"/>
  <c r="B60" i="98" s="1"/>
  <c r="B61" i="98" s="1"/>
  <c r="B62" i="98" s="1"/>
  <c r="B63" i="98" s="1"/>
  <c r="B64" i="98" s="1"/>
  <c r="B65" i="98" s="1"/>
  <c r="B66" i="98" s="1"/>
  <c r="B67" i="98" s="1"/>
  <c r="B68" i="98" s="1"/>
  <c r="B69" i="98" s="1"/>
  <c r="B70" i="98" s="1"/>
  <c r="B71" i="98" s="1"/>
  <c r="B72" i="98" s="1"/>
  <c r="B73" i="98" s="1"/>
  <c r="B74" i="98" s="1"/>
  <c r="B75" i="98" s="1"/>
  <c r="B76" i="98" s="1"/>
  <c r="B77" i="98" s="1"/>
  <c r="B78" i="98" s="1"/>
  <c r="B79" i="98" s="1"/>
  <c r="AJ67" i="143"/>
  <c r="Z67" i="144" s="1"/>
  <c r="AG32" i="143"/>
  <c r="AI62" i="143"/>
  <c r="Y62" i="144" s="1"/>
  <c r="B49" i="145"/>
  <c r="B49" i="146" s="1"/>
  <c r="B50" i="144"/>
  <c r="AG67" i="143"/>
  <c r="Z67" i="143"/>
  <c r="I67" i="144" s="1"/>
  <c r="Y37" i="143"/>
  <c r="H37" i="144" s="1"/>
  <c r="M34" i="143"/>
  <c r="Q59" i="143"/>
  <c r="Q60" i="143" s="1"/>
  <c r="AG62" i="143"/>
  <c r="AF32" i="143"/>
  <c r="W32" i="144" s="1"/>
  <c r="J69" i="143"/>
  <c r="J70" i="143" s="1"/>
  <c r="AG47" i="143"/>
  <c r="AC47" i="143"/>
  <c r="T47" i="144" s="1"/>
  <c r="E44" i="143"/>
  <c r="E45" i="143" s="1"/>
  <c r="E46" i="143" s="1"/>
  <c r="I49" i="143"/>
  <c r="Q44" i="143"/>
  <c r="AC32" i="143"/>
  <c r="T32" i="144" s="1"/>
  <c r="Y57" i="143"/>
  <c r="H57" i="144" s="1"/>
  <c r="AA57" i="143"/>
  <c r="J57" i="144" s="1"/>
  <c r="P57" i="144" s="1"/>
  <c r="Z57" i="143"/>
  <c r="I57" i="144" s="1"/>
  <c r="V52" i="143"/>
  <c r="F52" i="144" s="1"/>
  <c r="X57" i="143"/>
  <c r="Y27" i="143"/>
  <c r="H27" i="144" s="1"/>
  <c r="O29" i="143"/>
  <c r="O30" i="143" s="1"/>
  <c r="O31" i="143" s="1"/>
  <c r="AA27" i="143"/>
  <c r="J27" i="144" s="1"/>
  <c r="P27" i="144" s="1"/>
  <c r="Y62" i="143"/>
  <c r="H62" i="144" s="1"/>
  <c r="AA62" i="143"/>
  <c r="J62" i="144" s="1"/>
  <c r="Z62" i="143"/>
  <c r="I62" i="144" s="1"/>
  <c r="X62" i="143"/>
  <c r="AJ52" i="143"/>
  <c r="Z52" i="144" s="1"/>
  <c r="AD52" i="144" s="1"/>
  <c r="AI52" i="143"/>
  <c r="Y52" i="144" s="1"/>
  <c r="AH52" i="143"/>
  <c r="X52" i="144" s="1"/>
  <c r="Y52" i="143"/>
  <c r="H52" i="144" s="1"/>
  <c r="V57" i="143"/>
  <c r="F57" i="144" s="1"/>
  <c r="L57" i="144" s="1"/>
  <c r="AG52" i="143"/>
  <c r="N29" i="143"/>
  <c r="W52" i="143"/>
  <c r="G52" i="144" s="1"/>
  <c r="M55" i="35"/>
  <c r="E35" i="143"/>
  <c r="E36" i="143" s="1"/>
  <c r="L55" i="35"/>
  <c r="J54" i="35"/>
  <c r="H45" i="99"/>
  <c r="H65" i="99"/>
  <c r="G48" i="99"/>
  <c r="G80" i="99"/>
  <c r="G88" i="99"/>
  <c r="H52" i="99"/>
  <c r="H68" i="99"/>
  <c r="G47" i="99"/>
  <c r="G79" i="99"/>
  <c r="G103" i="99"/>
  <c r="H43" i="99"/>
  <c r="H71" i="99"/>
  <c r="G50" i="99"/>
  <c r="G66" i="99"/>
  <c r="G98" i="99"/>
  <c r="H50" i="99"/>
  <c r="H114" i="99"/>
  <c r="H30" i="99"/>
  <c r="H86" i="99"/>
  <c r="H118" i="99"/>
  <c r="G33" i="99"/>
  <c r="J56" i="35"/>
  <c r="J55" i="35"/>
  <c r="K65" i="143"/>
  <c r="AC63" i="143"/>
  <c r="T63" i="144" s="1"/>
  <c r="Q65" i="143"/>
  <c r="Q66" i="143" s="1"/>
  <c r="AK66" i="143" s="1"/>
  <c r="AA66" i="144" s="1"/>
  <c r="AK63" i="143"/>
  <c r="AA63" i="144" s="1"/>
  <c r="O60" i="143"/>
  <c r="AF52" i="143"/>
  <c r="W52" i="144" s="1"/>
  <c r="P59" i="143"/>
  <c r="AH58" i="143" s="1"/>
  <c r="X58" i="144" s="1"/>
  <c r="AI57" i="143"/>
  <c r="Y57" i="144" s="1"/>
  <c r="AJ57" i="143"/>
  <c r="Z57" i="144" s="1"/>
  <c r="AD57" i="144" s="1"/>
  <c r="AH57" i="143"/>
  <c r="X57" i="144" s="1"/>
  <c r="N55" i="143"/>
  <c r="AF54" i="143" s="1"/>
  <c r="W54" i="144" s="1"/>
  <c r="AF53" i="143"/>
  <c r="W53" i="144" s="1"/>
  <c r="Q55" i="143"/>
  <c r="Q56" i="143" s="1"/>
  <c r="L51" i="143"/>
  <c r="AC42" i="143"/>
  <c r="T42" i="144" s="1"/>
  <c r="M45" i="143"/>
  <c r="N40" i="143"/>
  <c r="AF39" i="143" s="1"/>
  <c r="W39" i="144" s="1"/>
  <c r="AK32" i="143"/>
  <c r="AA32" i="144" s="1"/>
  <c r="AG33" i="143"/>
  <c r="P35" i="143"/>
  <c r="P36" i="143" s="1"/>
  <c r="Q29" i="143"/>
  <c r="Q30" i="143" s="1"/>
  <c r="AC62" i="143"/>
  <c r="T62" i="144" s="1"/>
  <c r="AI27" i="143"/>
  <c r="Y27" i="144" s="1"/>
  <c r="K29" i="143"/>
  <c r="K30" i="143" s="1"/>
  <c r="K31" i="143" s="1"/>
  <c r="AH27" i="143"/>
  <c r="X27" i="144" s="1"/>
  <c r="AK27" i="143"/>
  <c r="AA27" i="144" s="1"/>
  <c r="AJ27" i="143"/>
  <c r="Z27" i="144" s="1"/>
  <c r="P29" i="143"/>
  <c r="P30" i="143" s="1"/>
  <c r="AG27" i="143"/>
  <c r="AC27" i="143"/>
  <c r="T27" i="144" s="1"/>
  <c r="F70" i="143"/>
  <c r="V69" i="143" s="1"/>
  <c r="H65" i="143"/>
  <c r="H66" i="143" s="1"/>
  <c r="F55" i="143"/>
  <c r="F56" i="143" s="1"/>
  <c r="V56" i="143" s="1"/>
  <c r="F56" i="144" s="1"/>
  <c r="V53" i="143"/>
  <c r="F53" i="144" s="1"/>
  <c r="O53" i="144" s="1"/>
  <c r="H54" i="143"/>
  <c r="I40" i="143"/>
  <c r="AB37" i="143"/>
  <c r="K37" i="144" s="1"/>
  <c r="J40" i="143"/>
  <c r="J41" i="143" s="1"/>
  <c r="AB40" i="143" s="1"/>
  <c r="K40" i="144" s="1"/>
  <c r="AB38" i="143"/>
  <c r="K38" i="144" s="1"/>
  <c r="G41" i="143"/>
  <c r="W41" i="143" s="1"/>
  <c r="G41" i="144" s="1"/>
  <c r="H40" i="143"/>
  <c r="H41" i="143" s="1"/>
  <c r="AA38" i="143"/>
  <c r="J38" i="144" s="1"/>
  <c r="P38" i="144" s="1"/>
  <c r="L27" i="144"/>
  <c r="O27" i="144"/>
  <c r="Q27" i="144"/>
  <c r="I34" i="143"/>
  <c r="X33" i="143" s="1"/>
  <c r="G29" i="143"/>
  <c r="W28" i="143" s="1"/>
  <c r="G28" i="144" s="1"/>
  <c r="W39" i="143"/>
  <c r="G39" i="144" s="1"/>
  <c r="W65" i="143"/>
  <c r="G65" i="144" s="1"/>
  <c r="W66" i="143"/>
  <c r="G66" i="144" s="1"/>
  <c r="W61" i="143"/>
  <c r="G61" i="144" s="1"/>
  <c r="W54" i="143"/>
  <c r="G54" i="144" s="1"/>
  <c r="W64" i="143"/>
  <c r="G64" i="144" s="1"/>
  <c r="W37" i="143"/>
  <c r="G37" i="144" s="1"/>
  <c r="W63" i="143"/>
  <c r="G63" i="144" s="1"/>
  <c r="W53" i="143"/>
  <c r="G53" i="144" s="1"/>
  <c r="W55" i="143"/>
  <c r="G55" i="144" s="1"/>
  <c r="W59" i="143"/>
  <c r="G59" i="144" s="1"/>
  <c r="W58" i="143"/>
  <c r="G58" i="144" s="1"/>
  <c r="W62" i="143"/>
  <c r="G62" i="144" s="1"/>
  <c r="W57" i="143"/>
  <c r="G57" i="144" s="1"/>
  <c r="W27" i="143"/>
  <c r="G27" i="144" s="1"/>
  <c r="H30" i="143"/>
  <c r="AB42" i="143"/>
  <c r="K42" i="144" s="1"/>
  <c r="AB67" i="143"/>
  <c r="K67" i="144" s="1"/>
  <c r="J29" i="143"/>
  <c r="AB28" i="143" s="1"/>
  <c r="K28" i="144" s="1"/>
  <c r="AB27" i="143"/>
  <c r="K27" i="144" s="1"/>
  <c r="R27" i="144"/>
  <c r="I29" i="143"/>
  <c r="AA28" i="143" s="1"/>
  <c r="J28" i="144" s="1"/>
  <c r="N28" i="144" s="1"/>
  <c r="F71" i="157"/>
  <c r="F72" i="157" s="1"/>
  <c r="F73" i="157" s="1"/>
  <c r="F74" i="157" s="1"/>
  <c r="F75" i="157" s="1"/>
  <c r="F76" i="157" s="1"/>
  <c r="F77" i="157" s="1"/>
  <c r="F78" i="157" s="1"/>
  <c r="G72" i="157"/>
  <c r="G73" i="157" s="1"/>
  <c r="G74" i="157" s="1"/>
  <c r="G75" i="157" s="1"/>
  <c r="G76" i="157" s="1"/>
  <c r="G77" i="157" s="1"/>
  <c r="G78" i="157" s="1"/>
  <c r="H71" i="157"/>
  <c r="H72" i="157" s="1"/>
  <c r="H73" i="157" s="1"/>
  <c r="H74" i="157" s="1"/>
  <c r="H75" i="157" s="1"/>
  <c r="H76" i="157" s="1"/>
  <c r="H77" i="157" s="1"/>
  <c r="H78" i="157" s="1"/>
  <c r="D71" i="157"/>
  <c r="D72" i="157" s="1"/>
  <c r="D73" i="157" s="1"/>
  <c r="D74" i="157" s="1"/>
  <c r="D75" i="157" s="1"/>
  <c r="D76" i="157" s="1"/>
  <c r="D77" i="157" s="1"/>
  <c r="D78" i="157" s="1"/>
  <c r="I71" i="157"/>
  <c r="I72" i="157" s="1"/>
  <c r="I73" i="157" s="1"/>
  <c r="I74" i="157" s="1"/>
  <c r="I75" i="157" s="1"/>
  <c r="I76" i="157" s="1"/>
  <c r="I77" i="157" s="1"/>
  <c r="I78" i="157" s="1"/>
  <c r="E73" i="157"/>
  <c r="E74" i="157" s="1"/>
  <c r="E75" i="157" s="1"/>
  <c r="E76" i="157" s="1"/>
  <c r="E77" i="157" s="1"/>
  <c r="E78" i="157" s="1"/>
  <c r="D66" i="157"/>
  <c r="D67" i="157" s="1"/>
  <c r="F66" i="157"/>
  <c r="F67" i="157" s="1"/>
  <c r="G66" i="157"/>
  <c r="G67" i="157" s="1"/>
  <c r="H66" i="157"/>
  <c r="H67" i="157" s="1"/>
  <c r="I66" i="157"/>
  <c r="I67" i="157" s="1"/>
  <c r="I61" i="157"/>
  <c r="I62" i="157" s="1"/>
  <c r="J62" i="157"/>
  <c r="G61" i="157"/>
  <c r="G62" i="157" s="1"/>
  <c r="D62" i="157"/>
  <c r="I56" i="157"/>
  <c r="I57" i="157" s="1"/>
  <c r="E51" i="157"/>
  <c r="E52" i="157" s="1"/>
  <c r="J57" i="157"/>
  <c r="G51" i="157"/>
  <c r="G52" i="157" s="1"/>
  <c r="D56" i="157"/>
  <c r="D57" i="157" s="1"/>
  <c r="F56" i="157"/>
  <c r="F57" i="157" s="1"/>
  <c r="G56" i="157"/>
  <c r="G57" i="157" s="1"/>
  <c r="H52" i="157"/>
  <c r="E46" i="157"/>
  <c r="E47" i="157" s="1"/>
  <c r="J51" i="157"/>
  <c r="J52" i="157" s="1"/>
  <c r="F52" i="157"/>
  <c r="I46" i="157"/>
  <c r="I47" i="157" s="1"/>
  <c r="D41" i="157"/>
  <c r="D42" i="157" s="1"/>
  <c r="I41" i="157"/>
  <c r="I42" i="157" s="1"/>
  <c r="J42" i="157"/>
  <c r="F36" i="157"/>
  <c r="F37" i="157" s="1"/>
  <c r="G41" i="157"/>
  <c r="G42" i="157" s="1"/>
  <c r="E36" i="157"/>
  <c r="E37" i="157" s="1"/>
  <c r="I31" i="157"/>
  <c r="F32" i="157"/>
  <c r="G36" i="157"/>
  <c r="G37" i="157" s="1"/>
  <c r="G31" i="157"/>
  <c r="G32" i="157" s="1"/>
  <c r="H36" i="157"/>
  <c r="H37" i="157" s="1"/>
  <c r="D32" i="157"/>
  <c r="H32" i="157"/>
  <c r="I36" i="157"/>
  <c r="I37" i="157" s="1"/>
  <c r="I71" i="155"/>
  <c r="I72" i="155" s="1"/>
  <c r="I73" i="155" s="1"/>
  <c r="I74" i="155" s="1"/>
  <c r="I75" i="155" s="1"/>
  <c r="I76" i="155" s="1"/>
  <c r="I77" i="155" s="1"/>
  <c r="I78" i="155" s="1"/>
  <c r="E71" i="155"/>
  <c r="E72" i="155" s="1"/>
  <c r="E73" i="155" s="1"/>
  <c r="E74" i="155" s="1"/>
  <c r="E75" i="155" s="1"/>
  <c r="E76" i="155" s="1"/>
  <c r="E77" i="155" s="1"/>
  <c r="E78" i="155" s="1"/>
  <c r="F71" i="155"/>
  <c r="F72" i="155" s="1"/>
  <c r="F73" i="155" s="1"/>
  <c r="F74" i="155" s="1"/>
  <c r="F75" i="155" s="1"/>
  <c r="F76" i="155" s="1"/>
  <c r="F77" i="155" s="1"/>
  <c r="F78" i="155" s="1"/>
  <c r="G71" i="155"/>
  <c r="G72" i="155" s="1"/>
  <c r="G73" i="155" s="1"/>
  <c r="G74" i="155" s="1"/>
  <c r="G75" i="155" s="1"/>
  <c r="G76" i="155" s="1"/>
  <c r="G77" i="155" s="1"/>
  <c r="G78" i="155" s="1"/>
  <c r="I66" i="155"/>
  <c r="I67" i="155" s="1"/>
  <c r="J67" i="155"/>
  <c r="E66" i="155"/>
  <c r="E67" i="155" s="1"/>
  <c r="H67" i="155"/>
  <c r="I61" i="155"/>
  <c r="I62" i="155" s="1"/>
  <c r="J61" i="155"/>
  <c r="J62" i="155" s="1"/>
  <c r="J56" i="155"/>
  <c r="J57" i="155" s="1"/>
  <c r="D57" i="155"/>
  <c r="H57" i="155"/>
  <c r="G51" i="155"/>
  <c r="G52" i="155" s="1"/>
  <c r="H51" i="155"/>
  <c r="H52" i="155" s="1"/>
  <c r="I51" i="155"/>
  <c r="I52" i="155" s="1"/>
  <c r="D51" i="155"/>
  <c r="D52" i="155" s="1"/>
  <c r="J46" i="155"/>
  <c r="J47" i="155" s="1"/>
  <c r="E46" i="155"/>
  <c r="E47" i="155" s="1"/>
  <c r="G46" i="155"/>
  <c r="G47" i="155" s="1"/>
  <c r="H41" i="155"/>
  <c r="H42" i="155" s="1"/>
  <c r="D41" i="155"/>
  <c r="D42" i="155" s="1"/>
  <c r="E41" i="155"/>
  <c r="E42" i="155" s="1"/>
  <c r="I36" i="155"/>
  <c r="F31" i="155"/>
  <c r="F32" i="155" s="1"/>
  <c r="J36" i="155"/>
  <c r="J37" i="155" s="1"/>
  <c r="J31" i="155"/>
  <c r="J32" i="155" s="1"/>
  <c r="G36" i="155"/>
  <c r="G37" i="155" s="1"/>
  <c r="D31" i="155"/>
  <c r="D32" i="155" s="1"/>
  <c r="R28" i="59"/>
  <c r="M27" i="59"/>
  <c r="M26" i="59"/>
  <c r="I32" i="157"/>
  <c r="I37" i="155"/>
  <c r="A24" i="107"/>
  <c r="H45" i="146"/>
  <c r="AF57" i="144"/>
  <c r="AG38" i="143"/>
  <c r="F34" i="38"/>
  <c r="C29" i="25"/>
  <c r="B29" i="25" s="1"/>
  <c r="E96" i="99"/>
  <c r="E64" i="99"/>
  <c r="K54" i="35"/>
  <c r="O54" i="35"/>
  <c r="M45" i="132"/>
  <c r="K45" i="132" s="1"/>
  <c r="O53" i="35"/>
  <c r="K53" i="35"/>
  <c r="B47" i="144"/>
  <c r="B47" i="145"/>
  <c r="B47" i="146" s="1"/>
  <c r="Z27" i="143"/>
  <c r="I27" i="144" s="1"/>
  <c r="O55" i="35"/>
  <c r="M46" i="132"/>
  <c r="K46" i="132" s="1"/>
  <c r="K55" i="35"/>
  <c r="G89" i="99" l="1"/>
  <c r="H34" i="99"/>
  <c r="G119" i="99"/>
  <c r="G124" i="99"/>
  <c r="AH47" i="143"/>
  <c r="X47" i="144" s="1"/>
  <c r="B14" i="89"/>
  <c r="A23" i="89" s="1"/>
  <c r="AI63" i="155"/>
  <c r="AI37" i="155"/>
  <c r="AI42" i="155"/>
  <c r="AI58" i="157"/>
  <c r="AI38" i="155"/>
  <c r="AI42" i="157"/>
  <c r="AI41" i="155"/>
  <c r="AI38" i="157"/>
  <c r="AI73" i="157"/>
  <c r="AI30" i="157"/>
  <c r="AI33" i="157"/>
  <c r="AI40" i="155"/>
  <c r="AI68" i="157"/>
  <c r="D89" i="9"/>
  <c r="Z47" i="143"/>
  <c r="I47" i="144" s="1"/>
  <c r="Z32" i="143"/>
  <c r="I32" i="144" s="1"/>
  <c r="AT37" i="155"/>
  <c r="AI34" i="157"/>
  <c r="AI67" i="155"/>
  <c r="AI46" i="155"/>
  <c r="AI51" i="155"/>
  <c r="AI45" i="155"/>
  <c r="AI48" i="157"/>
  <c r="AI57" i="155"/>
  <c r="AI54" i="157"/>
  <c r="AI53" i="155"/>
  <c r="AI44" i="157"/>
  <c r="AI47" i="157"/>
  <c r="AI58" i="155"/>
  <c r="AI71" i="157"/>
  <c r="AP63" i="25"/>
  <c r="BW61" i="25"/>
  <c r="P61" i="25"/>
  <c r="P60" i="25"/>
  <c r="W58" i="25"/>
  <c r="W57" i="25"/>
  <c r="CC56" i="25"/>
  <c r="BP56" i="25"/>
  <c r="BW54" i="25"/>
  <c r="BJ53" i="25"/>
  <c r="CJ47" i="25"/>
  <c r="AP46" i="25"/>
  <c r="AC46" i="25"/>
  <c r="AW43" i="25"/>
  <c r="AJ43" i="25"/>
  <c r="CP42" i="25"/>
  <c r="AJ42" i="25"/>
  <c r="CJ39" i="25"/>
  <c r="AC38" i="25"/>
  <c r="AW35" i="25"/>
  <c r="CP34" i="25"/>
  <c r="AJ34" i="25"/>
  <c r="CP33" i="25"/>
  <c r="BP32" i="25"/>
  <c r="AI32" i="143"/>
  <c r="Y32" i="144" s="1"/>
  <c r="AT49" i="157"/>
  <c r="AF49" i="143"/>
  <c r="W49" i="144" s="1"/>
  <c r="AB39" i="143"/>
  <c r="K39" i="144" s="1"/>
  <c r="O76" i="92"/>
  <c r="U76" i="92" s="1"/>
  <c r="U75" i="9" s="1"/>
  <c r="N57" i="144"/>
  <c r="G77" i="99"/>
  <c r="H119" i="99"/>
  <c r="H120" i="99"/>
  <c r="H125" i="99"/>
  <c r="AJ32" i="143"/>
  <c r="Z32" i="144" s="1"/>
  <c r="AI32" i="144" s="1"/>
  <c r="G15" i="155"/>
  <c r="AI76" i="155"/>
  <c r="AI28" i="155"/>
  <c r="AI49" i="155"/>
  <c r="AI71" i="155"/>
  <c r="AI68" i="155"/>
  <c r="AI50" i="157"/>
  <c r="AI64" i="155"/>
  <c r="AI63" i="157"/>
  <c r="AI66" i="155"/>
  <c r="AI65" i="157"/>
  <c r="AI55" i="157"/>
  <c r="AI70" i="155"/>
  <c r="D50" i="9"/>
  <c r="O100" i="92"/>
  <c r="D74" i="9"/>
  <c r="W60" i="143"/>
  <c r="G60" i="144" s="1"/>
  <c r="N80" i="9"/>
  <c r="N115" i="9"/>
  <c r="G53" i="99"/>
  <c r="H87" i="99"/>
  <c r="H100" i="99"/>
  <c r="H97" i="99"/>
  <c r="AC48" i="143"/>
  <c r="T48" i="144" s="1"/>
  <c r="AI52" i="157"/>
  <c r="G15" i="157"/>
  <c r="AI31" i="157"/>
  <c r="AI56" i="155"/>
  <c r="AI29" i="157"/>
  <c r="AI74" i="155"/>
  <c r="AI56" i="157"/>
  <c r="AI69" i="155"/>
  <c r="AI64" i="157"/>
  <c r="AI72" i="155"/>
  <c r="AI76" i="157"/>
  <c r="AI57" i="157"/>
  <c r="U63" i="92"/>
  <c r="U62" i="9" s="1"/>
  <c r="AJ64" i="25"/>
  <c r="CJ52" i="25"/>
  <c r="P48" i="25"/>
  <c r="CC45" i="25"/>
  <c r="AP42" i="25"/>
  <c r="AW41" i="25"/>
  <c r="CP38" i="25"/>
  <c r="AP34" i="25"/>
  <c r="G35" i="103"/>
  <c r="G30" i="103"/>
  <c r="P29" i="59"/>
  <c r="K24" i="132"/>
  <c r="T67" i="143"/>
  <c r="D67" i="144" s="1"/>
  <c r="B45" i="145"/>
  <c r="B45" i="146" s="1"/>
  <c r="AT36" i="155"/>
  <c r="AD61" i="143"/>
  <c r="U61" i="144" s="1"/>
  <c r="AC61" i="144" s="1"/>
  <c r="AT31" i="157"/>
  <c r="AA52" i="143"/>
  <c r="J52" i="144" s="1"/>
  <c r="S52" i="144" s="1"/>
  <c r="T57" i="143"/>
  <c r="D57" i="144" s="1"/>
  <c r="R27" i="59"/>
  <c r="AB44" i="143"/>
  <c r="K44" i="144" s="1"/>
  <c r="AH37" i="143"/>
  <c r="X37" i="144" s="1"/>
  <c r="AD51" i="143"/>
  <c r="U51" i="144" s="1"/>
  <c r="AC51" i="144" s="1"/>
  <c r="G69" i="143"/>
  <c r="AD27" i="143"/>
  <c r="U27" i="144" s="1"/>
  <c r="AC27" i="144" s="1"/>
  <c r="O119" i="92"/>
  <c r="U119" i="92" s="1"/>
  <c r="U118" i="9" s="1"/>
  <c r="L64" i="143"/>
  <c r="L65" i="143" s="1"/>
  <c r="L66" i="143" s="1"/>
  <c r="AD66" i="143" s="1"/>
  <c r="U66" i="144" s="1"/>
  <c r="AC66" i="144" s="1"/>
  <c r="I54" i="143"/>
  <c r="I55" i="143" s="1"/>
  <c r="I56" i="143" s="1"/>
  <c r="X56" i="143" s="1"/>
  <c r="AJ49" i="25"/>
  <c r="T52" i="143"/>
  <c r="D52" i="144" s="1"/>
  <c r="AD52" i="143"/>
  <c r="U52" i="144" s="1"/>
  <c r="AC52" i="144" s="1"/>
  <c r="B27" i="72"/>
  <c r="AD37" i="143"/>
  <c r="U37" i="144" s="1"/>
  <c r="AC37" i="144" s="1"/>
  <c r="T38" i="143"/>
  <c r="D38" i="144" s="1"/>
  <c r="AC57" i="143"/>
  <c r="T57" i="144" s="1"/>
  <c r="T28" i="143"/>
  <c r="D28" i="144" s="1"/>
  <c r="AD28" i="143"/>
  <c r="U28" i="144" s="1"/>
  <c r="AC28" i="144" s="1"/>
  <c r="T42" i="143"/>
  <c r="D42" i="144" s="1"/>
  <c r="AD43" i="143"/>
  <c r="U43" i="144" s="1"/>
  <c r="AC43" i="144" s="1"/>
  <c r="R57" i="92"/>
  <c r="R56" i="9" s="1"/>
  <c r="R55" i="92"/>
  <c r="R54" i="9" s="1"/>
  <c r="T27" i="143"/>
  <c r="D27" i="144" s="1"/>
  <c r="AD44" i="143"/>
  <c r="U44" i="144" s="1"/>
  <c r="AC44" i="144" s="1"/>
  <c r="AC58" i="143"/>
  <c r="T58" i="144" s="1"/>
  <c r="AH67" i="143"/>
  <c r="X67" i="144" s="1"/>
  <c r="AD42" i="143"/>
  <c r="U42" i="144" s="1"/>
  <c r="AC42" i="144" s="1"/>
  <c r="O69" i="143"/>
  <c r="J34" i="143"/>
  <c r="AB33" i="143" s="1"/>
  <c r="K33" i="144" s="1"/>
  <c r="I23" i="40"/>
  <c r="AD47" i="143"/>
  <c r="U47" i="144" s="1"/>
  <c r="AC47" i="144" s="1"/>
  <c r="AD32" i="143"/>
  <c r="U32" i="144" s="1"/>
  <c r="AC32" i="144" s="1"/>
  <c r="AJ37" i="143"/>
  <c r="Z37" i="144" s="1"/>
  <c r="AI37" i="144" s="1"/>
  <c r="W38" i="143"/>
  <c r="G38" i="144" s="1"/>
  <c r="AI37" i="143"/>
  <c r="Y37" i="144" s="1"/>
  <c r="D60" i="143"/>
  <c r="D61" i="143" s="1"/>
  <c r="T61" i="143" s="1"/>
  <c r="D61" i="144" s="1"/>
  <c r="T59" i="143"/>
  <c r="D59" i="144" s="1"/>
  <c r="AA32" i="143"/>
  <c r="J32" i="144" s="1"/>
  <c r="S32" i="144" s="1"/>
  <c r="V68" i="143"/>
  <c r="G81" i="99"/>
  <c r="G117" i="99"/>
  <c r="H82" i="99"/>
  <c r="G70" i="99"/>
  <c r="H107" i="99"/>
  <c r="H31" i="99"/>
  <c r="G51" i="99"/>
  <c r="H80" i="99"/>
  <c r="G112" i="99"/>
  <c r="G28" i="99"/>
  <c r="H57" i="99"/>
  <c r="AC52" i="143"/>
  <c r="T52" i="144" s="1"/>
  <c r="AA37" i="143"/>
  <c r="J37" i="144" s="1"/>
  <c r="D51" i="9"/>
  <c r="N104" i="9"/>
  <c r="L34" i="143"/>
  <c r="L35" i="143" s="1"/>
  <c r="L36" i="143" s="1"/>
  <c r="AD36" i="143" s="1"/>
  <c r="U36" i="144" s="1"/>
  <c r="AC36" i="144" s="1"/>
  <c r="D120" i="9"/>
  <c r="D88" i="9"/>
  <c r="J38" i="25"/>
  <c r="AK28" i="143"/>
  <c r="AA28" i="144" s="1"/>
  <c r="AG34" i="143"/>
  <c r="Y32" i="143"/>
  <c r="H32" i="144" s="1"/>
  <c r="Y39" i="143"/>
  <c r="H39" i="144" s="1"/>
  <c r="AH38" i="143"/>
  <c r="X38" i="144" s="1"/>
  <c r="AC43" i="143"/>
  <c r="T43" i="144" s="1"/>
  <c r="AC53" i="143"/>
  <c r="T53" i="144" s="1"/>
  <c r="G97" i="99"/>
  <c r="H102" i="99"/>
  <c r="G69" i="99"/>
  <c r="H42" i="99"/>
  <c r="G62" i="99"/>
  <c r="H79" i="99"/>
  <c r="G107" i="99"/>
  <c r="G43" i="99"/>
  <c r="H60" i="99"/>
  <c r="G84" i="99"/>
  <c r="H109" i="99"/>
  <c r="H37" i="99"/>
  <c r="J54" i="143"/>
  <c r="AB53" i="143" s="1"/>
  <c r="K53" i="144" s="1"/>
  <c r="Y47" i="143"/>
  <c r="H47" i="144" s="1"/>
  <c r="L54" i="9"/>
  <c r="T116" i="92"/>
  <c r="T115" i="9" s="1"/>
  <c r="F33" i="38"/>
  <c r="J36" i="25"/>
  <c r="CJ34" i="25"/>
  <c r="AT31" i="155"/>
  <c r="X32" i="143"/>
  <c r="D22" i="21"/>
  <c r="R49" i="92"/>
  <c r="R48" i="9" s="1"/>
  <c r="AD58" i="143"/>
  <c r="U58" i="144" s="1"/>
  <c r="AC58" i="144" s="1"/>
  <c r="G45" i="99"/>
  <c r="H67" i="99"/>
  <c r="G72" i="99"/>
  <c r="D55" i="9"/>
  <c r="N134" i="9"/>
  <c r="AD50" i="143"/>
  <c r="U50" i="144" s="1"/>
  <c r="AC50" i="144" s="1"/>
  <c r="G121" i="99"/>
  <c r="H70" i="99"/>
  <c r="G114" i="99"/>
  <c r="G42" i="99"/>
  <c r="G95" i="99"/>
  <c r="H116" i="99"/>
  <c r="H36" i="99"/>
  <c r="H93" i="99"/>
  <c r="Z69" i="143"/>
  <c r="U49" i="143"/>
  <c r="E49" i="144" s="1"/>
  <c r="M49" i="144" s="1"/>
  <c r="N102" i="9"/>
  <c r="S57" i="144"/>
  <c r="AF37" i="143"/>
  <c r="W37" i="144" s="1"/>
  <c r="AD59" i="143"/>
  <c r="U59" i="144" s="1"/>
  <c r="AC59" i="144" s="1"/>
  <c r="G113" i="99"/>
  <c r="H38" i="99"/>
  <c r="G29" i="99"/>
  <c r="G102" i="99"/>
  <c r="H127" i="99"/>
  <c r="H63" i="99"/>
  <c r="G83" i="99"/>
  <c r="H108" i="99"/>
  <c r="H28" i="99"/>
  <c r="G52" i="99"/>
  <c r="H85" i="99"/>
  <c r="AD57" i="143"/>
  <c r="U57" i="144" s="1"/>
  <c r="AC57" i="144" s="1"/>
  <c r="N136" i="9"/>
  <c r="N143" i="9"/>
  <c r="CP60" i="25"/>
  <c r="AC47" i="25"/>
  <c r="H109" i="146"/>
  <c r="H101" i="146"/>
  <c r="H93" i="146"/>
  <c r="H85" i="146"/>
  <c r="H77" i="146"/>
  <c r="H61" i="146"/>
  <c r="N62" i="9"/>
  <c r="AK48" i="143"/>
  <c r="AA48" i="144" s="1"/>
  <c r="G41" i="99"/>
  <c r="G125" i="99"/>
  <c r="H90" i="99"/>
  <c r="G90" i="99"/>
  <c r="H111" i="99"/>
  <c r="H35" i="99"/>
  <c r="G55" i="99"/>
  <c r="H92" i="99"/>
  <c r="G116" i="99"/>
  <c r="G32" i="99"/>
  <c r="H61" i="99"/>
  <c r="U35" i="143"/>
  <c r="E35" i="144" s="1"/>
  <c r="M35" i="144" s="1"/>
  <c r="Z37" i="143"/>
  <c r="I37" i="144" s="1"/>
  <c r="U53" i="143"/>
  <c r="E53" i="144" s="1"/>
  <c r="M53" i="144" s="1"/>
  <c r="L40" i="9"/>
  <c r="T100" i="92"/>
  <c r="T99" i="9" s="1"/>
  <c r="N69" i="9"/>
  <c r="D119" i="9"/>
  <c r="T69" i="92"/>
  <c r="T68" i="9" s="1"/>
  <c r="L72" i="143"/>
  <c r="AD71" i="143" s="1"/>
  <c r="U29" i="143"/>
  <c r="E29" i="144" s="1"/>
  <c r="M29" i="144" s="1"/>
  <c r="E31" i="143"/>
  <c r="U31" i="143" s="1"/>
  <c r="E31" i="144" s="1"/>
  <c r="M31" i="144" s="1"/>
  <c r="F61" i="143"/>
  <c r="V61" i="143" s="1"/>
  <c r="F61" i="144" s="1"/>
  <c r="AE27" i="143"/>
  <c r="V27" i="144" s="1"/>
  <c r="AG27" i="144" s="1"/>
  <c r="AE66" i="143"/>
  <c r="V66" i="144" s="1"/>
  <c r="AE66" i="144" s="1"/>
  <c r="AE57" i="143"/>
  <c r="V57" i="144" s="1"/>
  <c r="AE57" i="144" s="1"/>
  <c r="AE69" i="143"/>
  <c r="AE65" i="143"/>
  <c r="V65" i="144" s="1"/>
  <c r="AG65" i="144" s="1"/>
  <c r="R26" i="59"/>
  <c r="U27" i="143"/>
  <c r="E27" i="144" s="1"/>
  <c r="M27" i="144" s="1"/>
  <c r="AE28" i="143"/>
  <c r="V28" i="144" s="1"/>
  <c r="AH28" i="144" s="1"/>
  <c r="T37" i="143"/>
  <c r="D37" i="144" s="1"/>
  <c r="AD68" i="143"/>
  <c r="AH32" i="143"/>
  <c r="X32" i="144" s="1"/>
  <c r="AI47" i="143"/>
  <c r="Y47" i="144" s="1"/>
  <c r="U52" i="143"/>
  <c r="E52" i="144" s="1"/>
  <c r="M52" i="144" s="1"/>
  <c r="D54" i="143"/>
  <c r="G49" i="143"/>
  <c r="G50" i="143" s="1"/>
  <c r="W49" i="143" s="1"/>
  <c r="G49" i="144" s="1"/>
  <c r="H108" i="146"/>
  <c r="H100" i="146"/>
  <c r="H98" i="146"/>
  <c r="H82" i="146"/>
  <c r="H74" i="146"/>
  <c r="H66" i="146"/>
  <c r="H60" i="146"/>
  <c r="H58" i="146"/>
  <c r="H52" i="146"/>
  <c r="H44" i="146"/>
  <c r="H42" i="146"/>
  <c r="H40" i="146"/>
  <c r="H38" i="146"/>
  <c r="H36" i="146"/>
  <c r="H34" i="146"/>
  <c r="H32" i="146"/>
  <c r="H30" i="146"/>
  <c r="H28" i="146"/>
  <c r="I28" i="146" s="1"/>
  <c r="Y42" i="143"/>
  <c r="H42" i="144" s="1"/>
  <c r="AT44" i="155"/>
  <c r="AT46" i="155"/>
  <c r="R26" i="89"/>
  <c r="P28" i="144"/>
  <c r="U33" i="143"/>
  <c r="E33" i="144" s="1"/>
  <c r="M33" i="144" s="1"/>
  <c r="T62" i="143"/>
  <c r="D62" i="144" s="1"/>
  <c r="AD67" i="143"/>
  <c r="U67" i="144" s="1"/>
  <c r="AC67" i="144" s="1"/>
  <c r="AJ47" i="143"/>
  <c r="Z47" i="144" s="1"/>
  <c r="I44" i="143"/>
  <c r="X43" i="143" s="1"/>
  <c r="L39" i="143"/>
  <c r="L40" i="143" s="1"/>
  <c r="L41" i="143" s="1"/>
  <c r="AD41" i="143" s="1"/>
  <c r="U41" i="144" s="1"/>
  <c r="AC41" i="144" s="1"/>
  <c r="N90" i="9"/>
  <c r="G40" i="103"/>
  <c r="G46" i="103"/>
  <c r="A24" i="56"/>
  <c r="AE32" i="143"/>
  <c r="V32" i="144" s="1"/>
  <c r="D23" i="123"/>
  <c r="AE64" i="143"/>
  <c r="V64" i="144" s="1"/>
  <c r="AE62" i="143"/>
  <c r="V62" i="144" s="1"/>
  <c r="AB62" i="144" s="1"/>
  <c r="U67" i="143"/>
  <c r="E67" i="144" s="1"/>
  <c r="M67" i="144" s="1"/>
  <c r="R27" i="89"/>
  <c r="N85" i="9"/>
  <c r="D77" i="9"/>
  <c r="L23" i="123"/>
  <c r="U28" i="143"/>
  <c r="E28" i="144" s="1"/>
  <c r="M28" i="144" s="1"/>
  <c r="T29" i="143"/>
  <c r="D29" i="144" s="1"/>
  <c r="W32" i="143"/>
  <c r="G32" i="144" s="1"/>
  <c r="AJ33" i="143"/>
  <c r="Z33" i="144" s="1"/>
  <c r="AI33" i="144" s="1"/>
  <c r="AE44" i="143"/>
  <c r="V44" i="144" s="1"/>
  <c r="AE63" i="143"/>
  <c r="V63" i="144" s="1"/>
  <c r="AE42" i="143"/>
  <c r="V42" i="144" s="1"/>
  <c r="AB42" i="144" s="1"/>
  <c r="U42" i="143"/>
  <c r="E42" i="144" s="1"/>
  <c r="M42" i="144" s="1"/>
  <c r="AE68" i="143"/>
  <c r="N82" i="9"/>
  <c r="O96" i="92"/>
  <c r="O95" i="9" s="1"/>
  <c r="AT45" i="155"/>
  <c r="AT47" i="157"/>
  <c r="AE37" i="143"/>
  <c r="V37" i="144" s="1"/>
  <c r="R32" i="89"/>
  <c r="AK40" i="143"/>
  <c r="AA40" i="144" s="1"/>
  <c r="K46" i="143"/>
  <c r="U34" i="143"/>
  <c r="E34" i="144" s="1"/>
  <c r="M34" i="144" s="1"/>
  <c r="AJ36" i="143"/>
  <c r="Z36" i="144" s="1"/>
  <c r="AF36" i="144" s="1"/>
  <c r="AE43" i="143"/>
  <c r="V43" i="144" s="1"/>
  <c r="AE43" i="144" s="1"/>
  <c r="U37" i="143"/>
  <c r="E37" i="144" s="1"/>
  <c r="M37" i="144" s="1"/>
  <c r="AE67" i="143"/>
  <c r="V67" i="144" s="1"/>
  <c r="AB67" i="144" s="1"/>
  <c r="U32" i="143"/>
  <c r="E32" i="144" s="1"/>
  <c r="M32" i="144" s="1"/>
  <c r="N127" i="9"/>
  <c r="N114" i="9"/>
  <c r="D97" i="9"/>
  <c r="Q29" i="59"/>
  <c r="H110" i="146"/>
  <c r="AF23" i="123"/>
  <c r="Y28" i="143"/>
  <c r="H28" i="144" s="1"/>
  <c r="AD60" i="143"/>
  <c r="U60" i="144" s="1"/>
  <c r="AC60" i="144" s="1"/>
  <c r="C28" i="20"/>
  <c r="B28" i="20" s="1"/>
  <c r="T25" i="20"/>
  <c r="G30" i="38"/>
  <c r="I31" i="38"/>
  <c r="H24" i="34"/>
  <c r="A23" i="61"/>
  <c r="D35" i="38"/>
  <c r="G31" i="38"/>
  <c r="E29" i="38"/>
  <c r="E28" i="38"/>
  <c r="G37" i="38"/>
  <c r="J29" i="38"/>
  <c r="I33" i="38"/>
  <c r="H26" i="38"/>
  <c r="E36" i="38"/>
  <c r="G35" i="38"/>
  <c r="E37" i="38"/>
  <c r="D30" i="38"/>
  <c r="H29" i="38"/>
  <c r="H35" i="38"/>
  <c r="A24" i="34"/>
  <c r="J33" i="38"/>
  <c r="J30" i="38"/>
  <c r="F30" i="38"/>
  <c r="G36" i="38"/>
  <c r="I29" i="38"/>
  <c r="E27" i="38"/>
  <c r="I26" i="38"/>
  <c r="J26" i="38"/>
  <c r="H28" i="38"/>
  <c r="H36" i="38"/>
  <c r="J34" i="38"/>
  <c r="I37" i="38"/>
  <c r="H31" i="38"/>
  <c r="F29" i="38"/>
  <c r="E33" i="38"/>
  <c r="D36" i="38"/>
  <c r="D27" i="38"/>
  <c r="T60" i="143"/>
  <c r="D60" i="144" s="1"/>
  <c r="AD49" i="143"/>
  <c r="U49" i="144" s="1"/>
  <c r="AC49" i="144" s="1"/>
  <c r="V62" i="143"/>
  <c r="F62" i="144" s="1"/>
  <c r="O62" i="144" s="1"/>
  <c r="AA42" i="143"/>
  <c r="J42" i="144" s="1"/>
  <c r="N42" i="144" s="1"/>
  <c r="AF67" i="143"/>
  <c r="W67" i="144" s="1"/>
  <c r="I35" i="38"/>
  <c r="D26" i="38"/>
  <c r="F36" i="38"/>
  <c r="F35" i="38"/>
  <c r="G34" i="38"/>
  <c r="D52" i="9"/>
  <c r="D112" i="9"/>
  <c r="D82" i="9"/>
  <c r="D76" i="9"/>
  <c r="D61" i="9"/>
  <c r="J115" i="42" s="1"/>
  <c r="BC41" i="25"/>
  <c r="AW36" i="25"/>
  <c r="CC35" i="25"/>
  <c r="CC34" i="25"/>
  <c r="BP34" i="25"/>
  <c r="BJ29" i="25"/>
  <c r="E34" i="38"/>
  <c r="D28" i="38"/>
  <c r="AT32" i="157"/>
  <c r="AT40" i="157"/>
  <c r="AT48" i="157"/>
  <c r="D33" i="9"/>
  <c r="AE52" i="143"/>
  <c r="V52" i="144" s="1"/>
  <c r="AE52" i="144" s="1"/>
  <c r="AF63" i="143"/>
  <c r="W63" i="144" s="1"/>
  <c r="F28" i="38"/>
  <c r="H37" i="38"/>
  <c r="I36" i="38"/>
  <c r="D58" i="9"/>
  <c r="D31" i="9"/>
  <c r="D57" i="9"/>
  <c r="D37" i="9"/>
  <c r="O97" i="92"/>
  <c r="U97" i="92" s="1"/>
  <c r="U96" i="9" s="1"/>
  <c r="N128" i="9"/>
  <c r="K69" i="143"/>
  <c r="D121" i="9"/>
  <c r="D90" i="9"/>
  <c r="CC63" i="25"/>
  <c r="AJ50" i="25"/>
  <c r="AC29" i="25"/>
  <c r="AT34" i="157"/>
  <c r="D36" i="9"/>
  <c r="T43" i="143"/>
  <c r="D43" i="144" s="1"/>
  <c r="Y63" i="143"/>
  <c r="H63" i="144" s="1"/>
  <c r="AF48" i="143"/>
  <c r="W48" i="144" s="1"/>
  <c r="V37" i="143"/>
  <c r="F37" i="144" s="1"/>
  <c r="O37" i="144" s="1"/>
  <c r="AE53" i="143"/>
  <c r="V53" i="144" s="1"/>
  <c r="AE53" i="144" s="1"/>
  <c r="AF62" i="143"/>
  <c r="W62" i="144" s="1"/>
  <c r="I27" i="38"/>
  <c r="A4" i="38"/>
  <c r="G29" i="38"/>
  <c r="E26" i="38"/>
  <c r="G26" i="38"/>
  <c r="J37" i="38"/>
  <c r="D65" i="9"/>
  <c r="D39" i="9"/>
  <c r="D60" i="9"/>
  <c r="D45" i="9"/>
  <c r="K34" i="43" s="1"/>
  <c r="K35" i="43" s="1"/>
  <c r="N112" i="9"/>
  <c r="D84" i="9"/>
  <c r="BC36" i="25"/>
  <c r="V42" i="143"/>
  <c r="F42" i="144" s="1"/>
  <c r="U62" i="143"/>
  <c r="E62" i="144" s="1"/>
  <c r="M62" i="144" s="1"/>
  <c r="V67" i="143"/>
  <c r="F67" i="144" s="1"/>
  <c r="O67" i="144" s="1"/>
  <c r="B26" i="115"/>
  <c r="B27" i="115" s="1"/>
  <c r="B28" i="115" s="1"/>
  <c r="A28" i="115" s="1"/>
  <c r="J28" i="38"/>
  <c r="E32" i="38"/>
  <c r="H30" i="38"/>
  <c r="F27" i="38"/>
  <c r="H27" i="38"/>
  <c r="D44" i="9"/>
  <c r="D62" i="9"/>
  <c r="D56" i="9"/>
  <c r="D79" i="9"/>
  <c r="CP63" i="25"/>
  <c r="CC53" i="25"/>
  <c r="J53" i="25"/>
  <c r="CJ51" i="25"/>
  <c r="BW51" i="25"/>
  <c r="AP51" i="25"/>
  <c r="G25" i="132"/>
  <c r="V43" i="143"/>
  <c r="F43" i="144" s="1"/>
  <c r="L43" i="144" s="1"/>
  <c r="V58" i="143"/>
  <c r="F58" i="144" s="1"/>
  <c r="T58" i="143"/>
  <c r="D58" i="144" s="1"/>
  <c r="V47" i="143"/>
  <c r="F47" i="144" s="1"/>
  <c r="O47" i="144" s="1"/>
  <c r="Z42" i="143"/>
  <c r="I42" i="144" s="1"/>
  <c r="AG42" i="143"/>
  <c r="E31" i="38"/>
  <c r="D34" i="38"/>
  <c r="J31" i="38"/>
  <c r="D31" i="38"/>
  <c r="D66" i="9"/>
  <c r="H44" i="143"/>
  <c r="D143" i="9"/>
  <c r="D138" i="9"/>
  <c r="D129" i="9"/>
  <c r="D124" i="9"/>
  <c r="BW48" i="25"/>
  <c r="AF38" i="143"/>
  <c r="W38" i="144" s="1"/>
  <c r="V38" i="143"/>
  <c r="F38" i="144" s="1"/>
  <c r="L38" i="144" s="1"/>
  <c r="D46" i="143"/>
  <c r="T46" i="143" s="1"/>
  <c r="D46" i="144" s="1"/>
  <c r="U43" i="143"/>
  <c r="E43" i="144" s="1"/>
  <c r="M43" i="144" s="1"/>
  <c r="X63" i="143"/>
  <c r="F29" i="143"/>
  <c r="V28" i="143" s="1"/>
  <c r="F28" i="144" s="1"/>
  <c r="AF42" i="143"/>
  <c r="W42" i="144" s="1"/>
  <c r="AD48" i="143"/>
  <c r="U48" i="144" s="1"/>
  <c r="AC48" i="144" s="1"/>
  <c r="AF47" i="143"/>
  <c r="W47" i="144" s="1"/>
  <c r="AF68" i="143"/>
  <c r="G33" i="38"/>
  <c r="E35" i="38"/>
  <c r="D33" i="38"/>
  <c r="D139" i="9"/>
  <c r="D125" i="9"/>
  <c r="J36" i="38"/>
  <c r="J27" i="38"/>
  <c r="I30" i="38"/>
  <c r="H34" i="38"/>
  <c r="G28" i="38"/>
  <c r="AT46" i="157"/>
  <c r="AT33" i="157"/>
  <c r="AT39" i="157"/>
  <c r="H115" i="146"/>
  <c r="H99" i="146"/>
  <c r="H91" i="146"/>
  <c r="H83" i="146"/>
  <c r="H75" i="146"/>
  <c r="H67" i="146"/>
  <c r="H59" i="146"/>
  <c r="H51" i="146"/>
  <c r="H56" i="146"/>
  <c r="T128" i="92"/>
  <c r="T127" i="9" s="1"/>
  <c r="U128" i="92"/>
  <c r="U127" i="9" s="1"/>
  <c r="AE47" i="143"/>
  <c r="V47" i="144" s="1"/>
  <c r="M49" i="143"/>
  <c r="U47" i="143"/>
  <c r="E47" i="144" s="1"/>
  <c r="M47" i="144" s="1"/>
  <c r="U48" i="143"/>
  <c r="E48" i="144" s="1"/>
  <c r="M48" i="144" s="1"/>
  <c r="O44" i="143"/>
  <c r="AI43" i="143" s="1"/>
  <c r="Y43" i="144" s="1"/>
  <c r="AJ42" i="143"/>
  <c r="Z42" i="144" s="1"/>
  <c r="G44" i="143"/>
  <c r="W43" i="143" s="1"/>
  <c r="G43" i="144" s="1"/>
  <c r="L31" i="143"/>
  <c r="AD31" i="143" s="1"/>
  <c r="U31" i="144" s="1"/>
  <c r="AC31" i="144" s="1"/>
  <c r="N51" i="143"/>
  <c r="AF51" i="143" s="1"/>
  <c r="W51" i="144" s="1"/>
  <c r="U38" i="143"/>
  <c r="E38" i="144" s="1"/>
  <c r="M38" i="144" s="1"/>
  <c r="N129" i="9"/>
  <c r="X68" i="143"/>
  <c r="X67" i="143"/>
  <c r="AA67" i="143"/>
  <c r="J67" i="144" s="1"/>
  <c r="N67" i="144" s="1"/>
  <c r="Y67" i="143"/>
  <c r="H67" i="144" s="1"/>
  <c r="B29" i="91"/>
  <c r="F25" i="132"/>
  <c r="X39" i="143"/>
  <c r="I41" i="143"/>
  <c r="AA39" i="143"/>
  <c r="J39" i="144" s="1"/>
  <c r="P39" i="144" s="1"/>
  <c r="AH44" i="144"/>
  <c r="AG44" i="144"/>
  <c r="T30" i="143"/>
  <c r="D30" i="144" s="1"/>
  <c r="M46" i="143"/>
  <c r="AE46" i="143" s="1"/>
  <c r="V46" i="144" s="1"/>
  <c r="AK64" i="143"/>
  <c r="AA64" i="144" s="1"/>
  <c r="H55" i="143"/>
  <c r="AI42" i="143"/>
  <c r="Y42" i="144" s="1"/>
  <c r="D40" i="143"/>
  <c r="T39" i="143" s="1"/>
  <c r="D39" i="144" s="1"/>
  <c r="AE58" i="143"/>
  <c r="V58" i="144" s="1"/>
  <c r="AH58" i="144" s="1"/>
  <c r="M60" i="143"/>
  <c r="J65" i="143"/>
  <c r="AB63" i="143"/>
  <c r="K63" i="144" s="1"/>
  <c r="D70" i="143"/>
  <c r="D71" i="143" s="1"/>
  <c r="T68" i="143"/>
  <c r="V44" i="143"/>
  <c r="F44" i="144" s="1"/>
  <c r="R44" i="144" s="1"/>
  <c r="F46" i="143"/>
  <c r="V46" i="143" s="1"/>
  <c r="F46" i="144" s="1"/>
  <c r="G70" i="143"/>
  <c r="W69" i="143" s="1"/>
  <c r="W68" i="143"/>
  <c r="I60" i="143"/>
  <c r="X58" i="143"/>
  <c r="S38" i="144"/>
  <c r="AC54" i="143"/>
  <c r="T54" i="144" s="1"/>
  <c r="K56" i="143"/>
  <c r="AC56" i="143" s="1"/>
  <c r="T56" i="144" s="1"/>
  <c r="P60" i="143"/>
  <c r="P61" i="143" s="1"/>
  <c r="AG58" i="143"/>
  <c r="AI58" i="143"/>
  <c r="Y58" i="144" s="1"/>
  <c r="AC64" i="143"/>
  <c r="T64" i="144" s="1"/>
  <c r="K66" i="143"/>
  <c r="AC65" i="143" s="1"/>
  <c r="T65" i="144" s="1"/>
  <c r="I71" i="143"/>
  <c r="I72" i="143" s="1"/>
  <c r="I73" i="143" s="1"/>
  <c r="I74" i="143" s="1"/>
  <c r="X73" i="143" s="1"/>
  <c r="D65" i="143"/>
  <c r="T63" i="143"/>
  <c r="D63" i="144" s="1"/>
  <c r="W42" i="25"/>
  <c r="B29" i="16"/>
  <c r="N28" i="16"/>
  <c r="O93" i="92"/>
  <c r="T93" i="92" s="1"/>
  <c r="T92" i="9" s="1"/>
  <c r="N92" i="9"/>
  <c r="N87" i="9"/>
  <c r="O88" i="92"/>
  <c r="U88" i="92" s="1"/>
  <c r="U87" i="9" s="1"/>
  <c r="O80" i="92"/>
  <c r="T80" i="92" s="1"/>
  <c r="T79" i="9" s="1"/>
  <c r="N79" i="9"/>
  <c r="O72" i="92"/>
  <c r="O71" i="9" s="1"/>
  <c r="N71" i="9"/>
  <c r="AP54" i="25"/>
  <c r="BW53" i="25"/>
  <c r="AW51" i="25"/>
  <c r="AJ35" i="25"/>
  <c r="CJ31" i="25"/>
  <c r="AC30" i="25"/>
  <c r="L46" i="1"/>
  <c r="W40" i="143"/>
  <c r="G40" i="144" s="1"/>
  <c r="AH42" i="143"/>
  <c r="X42" i="144" s="1"/>
  <c r="W42" i="143"/>
  <c r="G42" i="144" s="1"/>
  <c r="M35" i="143"/>
  <c r="M36" i="143" s="1"/>
  <c r="AE33" i="143"/>
  <c r="V33" i="144" s="1"/>
  <c r="AH33" i="144" s="1"/>
  <c r="AA68" i="143"/>
  <c r="Z68" i="143"/>
  <c r="Y68" i="143"/>
  <c r="Y69" i="143"/>
  <c r="U39" i="143"/>
  <c r="E39" i="144" s="1"/>
  <c r="M39" i="144" s="1"/>
  <c r="E41" i="143"/>
  <c r="U41" i="143" s="1"/>
  <c r="E41" i="144" s="1"/>
  <c r="M41" i="144" s="1"/>
  <c r="N137" i="9"/>
  <c r="O138" i="92"/>
  <c r="O77" i="92"/>
  <c r="O76" i="9" s="1"/>
  <c r="N76" i="9"/>
  <c r="N34" i="143"/>
  <c r="AF33" i="143" s="1"/>
  <c r="W33" i="144" s="1"/>
  <c r="F34" i="143"/>
  <c r="V33" i="143" s="1"/>
  <c r="F33" i="144" s="1"/>
  <c r="R33" i="144" s="1"/>
  <c r="V32" i="143"/>
  <c r="F32" i="144" s="1"/>
  <c r="AT38" i="155"/>
  <c r="T47" i="143"/>
  <c r="D47" i="144" s="1"/>
  <c r="D49" i="143"/>
  <c r="U57" i="143"/>
  <c r="E57" i="144" s="1"/>
  <c r="M57" i="144" s="1"/>
  <c r="E59" i="143"/>
  <c r="E60" i="143" s="1"/>
  <c r="E61" i="143" s="1"/>
  <c r="U61" i="143" s="1"/>
  <c r="E61" i="144" s="1"/>
  <c r="M61" i="144" s="1"/>
  <c r="N59" i="143"/>
  <c r="AF58" i="143" s="1"/>
  <c r="W58" i="144" s="1"/>
  <c r="AF57" i="143"/>
  <c r="W57" i="144" s="1"/>
  <c r="O64" i="143"/>
  <c r="O65" i="143" s="1"/>
  <c r="O66" i="143" s="1"/>
  <c r="AH62" i="143"/>
  <c r="X62" i="144" s="1"/>
  <c r="AJ62" i="143"/>
  <c r="Z62" i="144" s="1"/>
  <c r="AT50" i="155"/>
  <c r="AT39" i="155"/>
  <c r="W34" i="143"/>
  <c r="G34" i="144" s="1"/>
  <c r="W33" i="143"/>
  <c r="G33" i="144" s="1"/>
  <c r="G105" i="99"/>
  <c r="H54" i="99"/>
  <c r="G61" i="99"/>
  <c r="H66" i="99"/>
  <c r="G94" i="99"/>
  <c r="G30" i="99"/>
  <c r="H75" i="99"/>
  <c r="G127" i="99"/>
  <c r="G63" i="99"/>
  <c r="H112" i="99"/>
  <c r="H56" i="99"/>
  <c r="G92" i="99"/>
  <c r="G40" i="99"/>
  <c r="H89" i="99"/>
  <c r="D131" i="9"/>
  <c r="D83" i="9"/>
  <c r="W49" i="25"/>
  <c r="W33" i="25"/>
  <c r="W32" i="25"/>
  <c r="J32" i="25"/>
  <c r="AP29" i="25"/>
  <c r="I28" i="38"/>
  <c r="BC28" i="25"/>
  <c r="G38" i="38" s="1"/>
  <c r="BP62" i="25"/>
  <c r="AC51" i="25"/>
  <c r="V59" i="143"/>
  <c r="F59" i="144" s="1"/>
  <c r="AJ63" i="25"/>
  <c r="AW55" i="25"/>
  <c r="CP48" i="25"/>
  <c r="AJ32" i="25"/>
  <c r="V23" i="123"/>
  <c r="AC56" i="25"/>
  <c r="CC29" i="25"/>
  <c r="L61" i="144"/>
  <c r="G57" i="99"/>
  <c r="H94" i="99"/>
  <c r="G109" i="99"/>
  <c r="H98" i="99"/>
  <c r="G106" i="99"/>
  <c r="G58" i="99"/>
  <c r="H103" i="99"/>
  <c r="H39" i="99"/>
  <c r="G87" i="99"/>
  <c r="G39" i="99"/>
  <c r="H76" i="99"/>
  <c r="G120" i="99"/>
  <c r="G64" i="99"/>
  <c r="H101" i="99"/>
  <c r="H53" i="99"/>
  <c r="T53" i="143"/>
  <c r="D53" i="144" s="1"/>
  <c r="D123" i="9"/>
  <c r="D122" i="9"/>
  <c r="N78" i="9"/>
  <c r="BJ61" i="25"/>
  <c r="AP33" i="25"/>
  <c r="BJ31" i="25"/>
  <c r="G45" i="103"/>
  <c r="L29" i="59"/>
  <c r="O29" i="59" s="1"/>
  <c r="H116" i="146"/>
  <c r="H104" i="146"/>
  <c r="H96" i="146"/>
  <c r="H88" i="146"/>
  <c r="H72" i="146"/>
  <c r="H64" i="146"/>
  <c r="H48" i="146"/>
  <c r="H43" i="146"/>
  <c r="H41" i="146"/>
  <c r="H39" i="146"/>
  <c r="H37" i="146"/>
  <c r="H35" i="146"/>
  <c r="H33" i="146"/>
  <c r="H31" i="146"/>
  <c r="H29" i="146"/>
  <c r="AT50" i="157"/>
  <c r="AT42" i="157"/>
  <c r="AT33" i="155"/>
  <c r="H102" i="146"/>
  <c r="H94" i="146"/>
  <c r="H86" i="146"/>
  <c r="H78" i="146"/>
  <c r="H70" i="146"/>
  <c r="O117" i="9"/>
  <c r="T118" i="92"/>
  <c r="T117" i="9" s="1"/>
  <c r="O97" i="9"/>
  <c r="U129" i="92"/>
  <c r="U128" i="9" s="1"/>
  <c r="R43" i="92"/>
  <c r="R42" i="9" s="1"/>
  <c r="O53" i="92"/>
  <c r="U53" i="92" s="1"/>
  <c r="U52" i="9" s="1"/>
  <c r="J36" i="92"/>
  <c r="J35" i="9" s="1"/>
  <c r="AG64" i="144"/>
  <c r="AE64" i="144"/>
  <c r="P41" i="143"/>
  <c r="AG41" i="143" s="1"/>
  <c r="AG39" i="143"/>
  <c r="T69" i="143"/>
  <c r="AD35" i="143"/>
  <c r="U35" i="144" s="1"/>
  <c r="AC35" i="144" s="1"/>
  <c r="AH36" i="143"/>
  <c r="X36" i="144" s="1"/>
  <c r="BC54" i="25"/>
  <c r="CP32" i="25"/>
  <c r="CC31" i="25"/>
  <c r="AI36" i="143"/>
  <c r="Y36" i="144" s="1"/>
  <c r="R46" i="92"/>
  <c r="R45" i="9" s="1"/>
  <c r="AP59" i="25"/>
  <c r="AJ57" i="25"/>
  <c r="CC55" i="25"/>
  <c r="BP55" i="25"/>
  <c r="J55" i="25"/>
  <c r="BJ47" i="25"/>
  <c r="AJ45" i="25"/>
  <c r="J43" i="25"/>
  <c r="W36" i="25"/>
  <c r="J35" i="25"/>
  <c r="AC33" i="25"/>
  <c r="J61" i="25"/>
  <c r="BP60" i="25"/>
  <c r="J54" i="25"/>
  <c r="P44" i="25"/>
  <c r="BC33" i="25"/>
  <c r="AW63" i="25"/>
  <c r="P63" i="25"/>
  <c r="W54" i="25"/>
  <c r="P36" i="25"/>
  <c r="AP32" i="25"/>
  <c r="AP31" i="25"/>
  <c r="BW63" i="25"/>
  <c r="BJ63" i="25"/>
  <c r="BJ62" i="25"/>
  <c r="BC58" i="25"/>
  <c r="J58" i="25"/>
  <c r="BW56" i="25"/>
  <c r="BW49" i="25"/>
  <c r="J46" i="25"/>
  <c r="BC45" i="25"/>
  <c r="AP45" i="25"/>
  <c r="AC43" i="25"/>
  <c r="AW42" i="25"/>
  <c r="P42" i="25"/>
  <c r="CC41" i="25"/>
  <c r="AJ41" i="25"/>
  <c r="W41" i="25"/>
  <c r="CP40" i="25"/>
  <c r="BP40" i="25"/>
  <c r="CJ38" i="25"/>
  <c r="BP38" i="25"/>
  <c r="AP38" i="25"/>
  <c r="BW37" i="25"/>
  <c r="BJ35" i="25"/>
  <c r="AJ39" i="143"/>
  <c r="Z39" i="144" s="1"/>
  <c r="AF39" i="144" s="1"/>
  <c r="J64" i="25"/>
  <c r="AJ58" i="25"/>
  <c r="CJ55" i="25"/>
  <c r="AW52" i="25"/>
  <c r="AJ52" i="25"/>
  <c r="AJ33" i="25"/>
  <c r="O125" i="9"/>
  <c r="I34" i="9"/>
  <c r="O40" i="92"/>
  <c r="O39" i="9" s="1"/>
  <c r="O44" i="92"/>
  <c r="O43" i="9" s="1"/>
  <c r="U124" i="92"/>
  <c r="U123" i="9" s="1"/>
  <c r="T66" i="92"/>
  <c r="T65" i="9" s="1"/>
  <c r="O115" i="9"/>
  <c r="T137" i="92"/>
  <c r="T136" i="9" s="1"/>
  <c r="R45" i="92"/>
  <c r="R44" i="9" s="1"/>
  <c r="AT51" i="155"/>
  <c r="AT32" i="155"/>
  <c r="AT36" i="157"/>
  <c r="AT44" i="157"/>
  <c r="AT52" i="157"/>
  <c r="AT53" i="157" s="1"/>
  <c r="AT54" i="157" s="1"/>
  <c r="AT55" i="157" s="1"/>
  <c r="AT56" i="157" s="1"/>
  <c r="AT57" i="157" s="1"/>
  <c r="AT58" i="157" s="1"/>
  <c r="AT59" i="157" s="1"/>
  <c r="AT60" i="157" s="1"/>
  <c r="AT61" i="157" s="1"/>
  <c r="AT62" i="157" s="1"/>
  <c r="AT63" i="157" s="1"/>
  <c r="AT64" i="157" s="1"/>
  <c r="AT65" i="157" s="1"/>
  <c r="AT66" i="157" s="1"/>
  <c r="AT67" i="157" s="1"/>
  <c r="AT68" i="157" s="1"/>
  <c r="AT69" i="157" s="1"/>
  <c r="AT70" i="157" s="1"/>
  <c r="AT71" i="157" s="1"/>
  <c r="AT72" i="157" s="1"/>
  <c r="AT73" i="157" s="1"/>
  <c r="AT74" i="157" s="1"/>
  <c r="AT75" i="157" s="1"/>
  <c r="AT76" i="157" s="1"/>
  <c r="AT77" i="157" s="1"/>
  <c r="O122" i="9"/>
  <c r="O105" i="9"/>
  <c r="T123" i="92"/>
  <c r="T122" i="9" s="1"/>
  <c r="H49" i="146"/>
  <c r="H63" i="146"/>
  <c r="R52" i="92"/>
  <c r="R51" i="9" s="1"/>
  <c r="U140" i="92"/>
  <c r="U139" i="9" s="1"/>
  <c r="O139" i="9"/>
  <c r="N116" i="9"/>
  <c r="O116" i="9"/>
  <c r="O112" i="92"/>
  <c r="T112" i="92" s="1"/>
  <c r="T111" i="9" s="1"/>
  <c r="U69" i="92"/>
  <c r="U68" i="9" s="1"/>
  <c r="T117" i="92"/>
  <c r="T116" i="9" s="1"/>
  <c r="O68" i="9"/>
  <c r="O85" i="92"/>
  <c r="O65" i="92"/>
  <c r="N121" i="9"/>
  <c r="N139" i="9"/>
  <c r="V41" i="143"/>
  <c r="F41" i="144" s="1"/>
  <c r="O41" i="144" s="1"/>
  <c r="V40" i="143"/>
  <c r="F40" i="144" s="1"/>
  <c r="O40" i="144" s="1"/>
  <c r="U46" i="143"/>
  <c r="E46" i="144" s="1"/>
  <c r="M46" i="144" s="1"/>
  <c r="U45" i="143"/>
  <c r="E45" i="144" s="1"/>
  <c r="M45" i="144" s="1"/>
  <c r="O143" i="9"/>
  <c r="U144" i="92"/>
  <c r="U143" i="9" s="1"/>
  <c r="O55" i="143"/>
  <c r="AJ53" i="143"/>
  <c r="Z53" i="144" s="1"/>
  <c r="Q61" i="143"/>
  <c r="AK60" i="143" s="1"/>
  <c r="AA60" i="144" s="1"/>
  <c r="E71" i="143"/>
  <c r="E72" i="143" s="1"/>
  <c r="E73" i="143" s="1"/>
  <c r="U69" i="143"/>
  <c r="O132" i="9"/>
  <c r="U133" i="92"/>
  <c r="U132" i="9" s="1"/>
  <c r="T133" i="92"/>
  <c r="T132" i="9" s="1"/>
  <c r="G26" i="132"/>
  <c r="P50" i="143"/>
  <c r="AG49" i="143" s="1"/>
  <c r="AG48" i="143"/>
  <c r="AH48" i="143"/>
  <c r="X48" i="144" s="1"/>
  <c r="AJ48" i="143"/>
  <c r="Z48" i="144" s="1"/>
  <c r="T115" i="92"/>
  <c r="T114" i="9" s="1"/>
  <c r="O114" i="9"/>
  <c r="U82" i="92"/>
  <c r="U81" i="9" s="1"/>
  <c r="O81" i="9"/>
  <c r="T82" i="92"/>
  <c r="T81" i="9" s="1"/>
  <c r="F50" i="143"/>
  <c r="F51" i="143" s="1"/>
  <c r="V50" i="143" s="1"/>
  <c r="F50" i="144" s="1"/>
  <c r="O50" i="144" s="1"/>
  <c r="V48" i="143"/>
  <c r="F48" i="144" s="1"/>
  <c r="Z33" i="143"/>
  <c r="I33" i="144" s="1"/>
  <c r="F71" i="143"/>
  <c r="V70" i="143" s="1"/>
  <c r="O41" i="143"/>
  <c r="AI40" i="143" s="1"/>
  <c r="Y40" i="144" s="1"/>
  <c r="AI39" i="143"/>
  <c r="Y39" i="144" s="1"/>
  <c r="O80" i="9"/>
  <c r="AA41" i="143"/>
  <c r="J41" i="144" s="1"/>
  <c r="N41" i="144" s="1"/>
  <c r="J35" i="143"/>
  <c r="AJ34" i="143"/>
  <c r="Z34" i="144" s="1"/>
  <c r="AF34" i="144" s="1"/>
  <c r="U91" i="92"/>
  <c r="U90" i="9" s="1"/>
  <c r="N88" i="9"/>
  <c r="R48" i="92"/>
  <c r="R47" i="9" s="1"/>
  <c r="N141" i="9"/>
  <c r="N123" i="9"/>
  <c r="CC64" i="25"/>
  <c r="W55" i="25"/>
  <c r="CP54" i="25"/>
  <c r="BP54" i="25"/>
  <c r="CJ48" i="25"/>
  <c r="AW47" i="25"/>
  <c r="AJ46" i="25"/>
  <c r="CJ42" i="25"/>
  <c r="BP42" i="25"/>
  <c r="BW41" i="25"/>
  <c r="P41" i="25"/>
  <c r="AW40" i="25"/>
  <c r="AC40" i="25"/>
  <c r="AJ39" i="25"/>
  <c r="W38" i="25"/>
  <c r="BP37" i="25"/>
  <c r="CJ28" i="25"/>
  <c r="J32" i="38" s="1"/>
  <c r="AW28" i="25"/>
  <c r="G32" i="38" s="1"/>
  <c r="F47" i="103"/>
  <c r="AZ23" i="123"/>
  <c r="S47" i="144"/>
  <c r="U100" i="92"/>
  <c r="U99" i="9" s="1"/>
  <c r="AI35" i="143"/>
  <c r="Y35" i="144" s="1"/>
  <c r="N52" i="144"/>
  <c r="AB58" i="143"/>
  <c r="K58" i="144" s="1"/>
  <c r="AF43" i="143"/>
  <c r="W43" i="144" s="1"/>
  <c r="AF44" i="143"/>
  <c r="W44" i="144" s="1"/>
  <c r="T124" i="92"/>
  <c r="T123" i="9" s="1"/>
  <c r="N74" i="9"/>
  <c r="N132" i="9"/>
  <c r="H25" i="132"/>
  <c r="X47" i="143"/>
  <c r="Z52" i="143"/>
  <c r="I52" i="144" s="1"/>
  <c r="AU29" i="157"/>
  <c r="AU30" i="157" s="1"/>
  <c r="AU31" i="157" s="1"/>
  <c r="AU32" i="157" s="1"/>
  <c r="AU33" i="157" s="1"/>
  <c r="AU34" i="157" s="1"/>
  <c r="AU35" i="157" s="1"/>
  <c r="AU36" i="157" s="1"/>
  <c r="AU37" i="157" s="1"/>
  <c r="AU38" i="157" s="1"/>
  <c r="AU39" i="157" s="1"/>
  <c r="AU40" i="157" s="1"/>
  <c r="AU41" i="157" s="1"/>
  <c r="AU42" i="157" s="1"/>
  <c r="AU43" i="157" s="1"/>
  <c r="AU44" i="157" s="1"/>
  <c r="AU45" i="157" s="1"/>
  <c r="AU46" i="157" s="1"/>
  <c r="AU47" i="157" s="1"/>
  <c r="AU48" i="157" s="1"/>
  <c r="AU49" i="157" s="1"/>
  <c r="AU50" i="157" s="1"/>
  <c r="AU51" i="157" s="1"/>
  <c r="AU52" i="157" s="1"/>
  <c r="AU53" i="157" s="1"/>
  <c r="AU54" i="157" s="1"/>
  <c r="AU55" i="157" s="1"/>
  <c r="AU56" i="157" s="1"/>
  <c r="AB57" i="143"/>
  <c r="K57" i="144" s="1"/>
  <c r="I35" i="143"/>
  <c r="Y34" i="143" s="1"/>
  <c r="H34" i="144" s="1"/>
  <c r="AH35" i="143"/>
  <c r="X35" i="144" s="1"/>
  <c r="AB43" i="143"/>
  <c r="K43" i="144" s="1"/>
  <c r="J55" i="143"/>
  <c r="J56" i="143" s="1"/>
  <c r="AB56" i="143" s="1"/>
  <c r="K56" i="144" s="1"/>
  <c r="N65" i="143"/>
  <c r="N66" i="143" s="1"/>
  <c r="AF66" i="143" s="1"/>
  <c r="W66" i="144" s="1"/>
  <c r="U68" i="143"/>
  <c r="R53" i="92"/>
  <c r="R52" i="9" s="1"/>
  <c r="O36" i="92"/>
  <c r="O35" i="9" s="1"/>
  <c r="CC59" i="25"/>
  <c r="P55" i="25"/>
  <c r="BP52" i="25"/>
  <c r="AW45" i="25"/>
  <c r="CC43" i="25"/>
  <c r="W43" i="25"/>
  <c r="BJ39" i="25"/>
  <c r="AP35" i="25"/>
  <c r="BW34" i="25"/>
  <c r="P34" i="25"/>
  <c r="AW33" i="25"/>
  <c r="AW30" i="25"/>
  <c r="AJ29" i="25"/>
  <c r="J28" i="25"/>
  <c r="D32" i="38" s="1"/>
  <c r="A24" i="86"/>
  <c r="H57" i="146"/>
  <c r="AJ35" i="143"/>
  <c r="Z35" i="144" s="1"/>
  <c r="AD35" i="144" s="1"/>
  <c r="AH28" i="143"/>
  <c r="X28" i="144" s="1"/>
  <c r="AG35" i="143"/>
  <c r="Q36" i="143"/>
  <c r="K61" i="143"/>
  <c r="AC61" i="143" s="1"/>
  <c r="T61" i="144" s="1"/>
  <c r="P52" i="144"/>
  <c r="AH33" i="143"/>
  <c r="X33" i="144" s="1"/>
  <c r="B29" i="115"/>
  <c r="B30" i="115" s="1"/>
  <c r="V63" i="143"/>
  <c r="F63" i="144" s="1"/>
  <c r="Q63" i="144" s="1"/>
  <c r="O94" i="92"/>
  <c r="U94" i="92" s="1"/>
  <c r="U93" i="9" s="1"/>
  <c r="N100" i="9"/>
  <c r="U99" i="92"/>
  <c r="U98" i="9" s="1"/>
  <c r="O52" i="92"/>
  <c r="U52" i="92" s="1"/>
  <c r="U51" i="9" s="1"/>
  <c r="AP62" i="25"/>
  <c r="AC62" i="25"/>
  <c r="CP59" i="25"/>
  <c r="W53" i="25"/>
  <c r="CC51" i="25"/>
  <c r="BP51" i="25"/>
  <c r="BC50" i="25"/>
  <c r="AP49" i="25"/>
  <c r="P49" i="25"/>
  <c r="BW46" i="25"/>
  <c r="AW44" i="25"/>
  <c r="AC44" i="25"/>
  <c r="CP36" i="25"/>
  <c r="AC31" i="25"/>
  <c r="I29" i="59"/>
  <c r="N29" i="59" s="1"/>
  <c r="H62" i="146"/>
  <c r="H54" i="146"/>
  <c r="AK33" i="143"/>
  <c r="AA33" i="144" s="1"/>
  <c r="N81" i="9"/>
  <c r="BJ64" i="25"/>
  <c r="J63" i="25"/>
  <c r="CJ61" i="25"/>
  <c r="AP61" i="25"/>
  <c r="AC61" i="25"/>
  <c r="BW60" i="25"/>
  <c r="BJ60" i="25"/>
  <c r="AW58" i="25"/>
  <c r="P54" i="25"/>
  <c r="AJ53" i="25"/>
  <c r="W52" i="25"/>
  <c r="W51" i="25"/>
  <c r="AJ48" i="25"/>
  <c r="J47" i="25"/>
  <c r="CJ46" i="25"/>
  <c r="BJ44" i="25"/>
  <c r="J41" i="25"/>
  <c r="BJ37" i="25"/>
  <c r="P37" i="25"/>
  <c r="AT38" i="157"/>
  <c r="AU29" i="155"/>
  <c r="AU30" i="155" s="1"/>
  <c r="AU31" i="155" s="1"/>
  <c r="AU32" i="155" s="1"/>
  <c r="AU33" i="155" s="1"/>
  <c r="AU34" i="155" s="1"/>
  <c r="AU35" i="155" s="1"/>
  <c r="AU36" i="155" s="1"/>
  <c r="AU37" i="155" s="1"/>
  <c r="AU38" i="155" s="1"/>
  <c r="AU39" i="155" s="1"/>
  <c r="AU40" i="155" s="1"/>
  <c r="AU41" i="155" s="1"/>
  <c r="AU42" i="155" s="1"/>
  <c r="AU43" i="155" s="1"/>
  <c r="AU44" i="155" s="1"/>
  <c r="AU45" i="155" s="1"/>
  <c r="AU46" i="155" s="1"/>
  <c r="AU47" i="155" s="1"/>
  <c r="AU48" i="155" s="1"/>
  <c r="AU49" i="155" s="1"/>
  <c r="AU50" i="155" s="1"/>
  <c r="AU51" i="155" s="1"/>
  <c r="AU52" i="155" s="1"/>
  <c r="AU53" i="155" s="1"/>
  <c r="AU54" i="155" s="1"/>
  <c r="AU55" i="155" s="1"/>
  <c r="AU56" i="155" s="1"/>
  <c r="AU57" i="155" s="1"/>
  <c r="AU58" i="155" s="1"/>
  <c r="AU59" i="155" s="1"/>
  <c r="AU60" i="155" s="1"/>
  <c r="AB68" i="143"/>
  <c r="P47" i="144"/>
  <c r="AI34" i="143"/>
  <c r="Y34" i="144" s="1"/>
  <c r="AJ58" i="143"/>
  <c r="Z58" i="144" s="1"/>
  <c r="U44" i="143"/>
  <c r="E44" i="144" s="1"/>
  <c r="M44" i="144" s="1"/>
  <c r="O136" i="9"/>
  <c r="O99" i="9"/>
  <c r="AC38" i="143"/>
  <c r="T38" i="144" s="1"/>
  <c r="N103" i="9"/>
  <c r="O35" i="92"/>
  <c r="O121" i="92"/>
  <c r="T121" i="92" s="1"/>
  <c r="T120" i="9" s="1"/>
  <c r="J62" i="25"/>
  <c r="BC60" i="25"/>
  <c r="BW59" i="25"/>
  <c r="W56" i="25"/>
  <c r="BP46" i="25"/>
  <c r="BP45" i="25"/>
  <c r="CJ44" i="25"/>
  <c r="BW43" i="25"/>
  <c r="BW36" i="25"/>
  <c r="CJ29" i="25"/>
  <c r="AC37" i="143"/>
  <c r="T37" i="144" s="1"/>
  <c r="AH34" i="143"/>
  <c r="X34" i="144" s="1"/>
  <c r="AJ28" i="143"/>
  <c r="Z28" i="144" s="1"/>
  <c r="AD28" i="144" s="1"/>
  <c r="T81" i="92"/>
  <c r="T80" i="9" s="1"/>
  <c r="F30" i="143"/>
  <c r="V29" i="143" s="1"/>
  <c r="F29" i="144" s="1"/>
  <c r="L29" i="144" s="1"/>
  <c r="W48" i="143"/>
  <c r="G48" i="144" s="1"/>
  <c r="AI33" i="143"/>
  <c r="Y33" i="144" s="1"/>
  <c r="O68" i="92"/>
  <c r="O67" i="9" s="1"/>
  <c r="N135" i="9"/>
  <c r="N83" i="9"/>
  <c r="N68" i="9"/>
  <c r="BC64" i="25"/>
  <c r="BC63" i="25"/>
  <c r="CP62" i="25"/>
  <c r="W62" i="25"/>
  <c r="CJ59" i="25"/>
  <c r="BP53" i="25"/>
  <c r="AJ47" i="25"/>
  <c r="P47" i="25"/>
  <c r="CC46" i="25"/>
  <c r="AP43" i="25"/>
  <c r="W34" i="25"/>
  <c r="BJ32" i="25"/>
  <c r="H68" i="146"/>
  <c r="AT43" i="155"/>
  <c r="S62" i="144"/>
  <c r="P62" i="144"/>
  <c r="N62" i="144"/>
  <c r="AC30" i="143"/>
  <c r="T30" i="144" s="1"/>
  <c r="AC31" i="143"/>
  <c r="T31" i="144" s="1"/>
  <c r="AD29" i="25"/>
  <c r="R29" i="25"/>
  <c r="O78" i="9"/>
  <c r="T79" i="92"/>
  <c r="T78" i="9" s="1"/>
  <c r="O52" i="144"/>
  <c r="L52" i="144"/>
  <c r="R52" i="144"/>
  <c r="Q52" i="144"/>
  <c r="AK65" i="143"/>
  <c r="AA65" i="144" s="1"/>
  <c r="U40" i="143"/>
  <c r="E40" i="144" s="1"/>
  <c r="M40" i="144" s="1"/>
  <c r="AG36" i="143"/>
  <c r="Z28" i="143"/>
  <c r="I28" i="144" s="1"/>
  <c r="S28" i="144"/>
  <c r="U36" i="143"/>
  <c r="E36" i="144" s="1"/>
  <c r="M36" i="144" s="1"/>
  <c r="AH37" i="144"/>
  <c r="AE37" i="144"/>
  <c r="AG37" i="144"/>
  <c r="AB37" i="144"/>
  <c r="J61" i="143"/>
  <c r="AB59" i="143"/>
  <c r="K59" i="144" s="1"/>
  <c r="O134" i="92"/>
  <c r="O132" i="92"/>
  <c r="T132" i="92" s="1"/>
  <c r="T131" i="9" s="1"/>
  <c r="Z38" i="143"/>
  <c r="I38" i="144" s="1"/>
  <c r="X38" i="143"/>
  <c r="Y38" i="143"/>
  <c r="H38" i="144" s="1"/>
  <c r="I30" i="143"/>
  <c r="Z29" i="143" s="1"/>
  <c r="I29" i="144" s="1"/>
  <c r="Z39" i="143"/>
  <c r="I39" i="144" s="1"/>
  <c r="O118" i="9"/>
  <c r="T119" i="92"/>
  <c r="T118" i="9" s="1"/>
  <c r="N46" i="143"/>
  <c r="AF46" i="143" s="1"/>
  <c r="W46" i="144" s="1"/>
  <c r="U130" i="92"/>
  <c r="U129" i="9" s="1"/>
  <c r="T130" i="92"/>
  <c r="T129" i="9" s="1"/>
  <c r="O127" i="92"/>
  <c r="T127" i="92" s="1"/>
  <c r="T126" i="9" s="1"/>
  <c r="N126" i="9"/>
  <c r="X28" i="143"/>
  <c r="AC28" i="143"/>
  <c r="T28" i="144" s="1"/>
  <c r="AH67" i="144"/>
  <c r="U105" i="92"/>
  <c r="U104" i="9" s="1"/>
  <c r="T105" i="92"/>
  <c r="T104" i="9" s="1"/>
  <c r="O104" i="9"/>
  <c r="O95" i="92"/>
  <c r="N94" i="9"/>
  <c r="O90" i="92"/>
  <c r="N89" i="9"/>
  <c r="F22" i="72"/>
  <c r="E22" i="21"/>
  <c r="M72" i="143"/>
  <c r="AE71" i="143" s="1"/>
  <c r="AE70" i="143"/>
  <c r="C30" i="25"/>
  <c r="AA40" i="143"/>
  <c r="J40" i="144" s="1"/>
  <c r="S40" i="144" s="1"/>
  <c r="W36" i="143"/>
  <c r="G36" i="144" s="1"/>
  <c r="Y41" i="143"/>
  <c r="H41" i="144" s="1"/>
  <c r="U75" i="92"/>
  <c r="U74" i="9" s="1"/>
  <c r="O74" i="9"/>
  <c r="N106" i="9"/>
  <c r="O107" i="92"/>
  <c r="U107" i="92" s="1"/>
  <c r="U106" i="9" s="1"/>
  <c r="U102" i="92"/>
  <c r="U101" i="9" s="1"/>
  <c r="T102" i="92"/>
  <c r="T101" i="9" s="1"/>
  <c r="O101" i="9"/>
  <c r="E52" i="36"/>
  <c r="F52" i="36"/>
  <c r="H52" i="36" s="1"/>
  <c r="G52" i="36"/>
  <c r="B53" i="36"/>
  <c r="AB45" i="143"/>
  <c r="K45" i="144" s="1"/>
  <c r="AB46" i="143"/>
  <c r="K46" i="144" s="1"/>
  <c r="Z48" i="143"/>
  <c r="I48" i="144" s="1"/>
  <c r="AA48" i="143"/>
  <c r="J48" i="144" s="1"/>
  <c r="N48" i="144" s="1"/>
  <c r="P55" i="143"/>
  <c r="AH53" i="143"/>
  <c r="X53" i="144" s="1"/>
  <c r="AI53" i="143"/>
  <c r="Y53" i="144" s="1"/>
  <c r="I65" i="143"/>
  <c r="Y64" i="143" s="1"/>
  <c r="H64" i="144" s="1"/>
  <c r="AA63" i="143"/>
  <c r="J63" i="144" s="1"/>
  <c r="AI38" i="143"/>
  <c r="Y38" i="144" s="1"/>
  <c r="AJ38" i="143"/>
  <c r="Z38" i="144" s="1"/>
  <c r="AD38" i="144" s="1"/>
  <c r="O109" i="92"/>
  <c r="O67" i="92"/>
  <c r="N66" i="9"/>
  <c r="B30" i="42"/>
  <c r="B31" i="42" s="1"/>
  <c r="B32" i="42" s="1"/>
  <c r="B33" i="42" s="1"/>
  <c r="B34" i="42" s="1"/>
  <c r="B35" i="42" s="1"/>
  <c r="B36" i="42" s="1"/>
  <c r="H26" i="132"/>
  <c r="P45" i="143"/>
  <c r="AG43" i="143"/>
  <c r="G51" i="143"/>
  <c r="W51" i="143" s="1"/>
  <c r="G51" i="144" s="1"/>
  <c r="O129" i="9"/>
  <c r="AF67" i="144"/>
  <c r="AD67" i="144"/>
  <c r="AI67" i="144"/>
  <c r="AE38" i="143"/>
  <c r="V38" i="144" s="1"/>
  <c r="AB38" i="144" s="1"/>
  <c r="M40" i="143"/>
  <c r="AD46" i="143"/>
  <c r="U46" i="144" s="1"/>
  <c r="AC46" i="144" s="1"/>
  <c r="AD45" i="143"/>
  <c r="U45" i="144" s="1"/>
  <c r="AC45" i="144" s="1"/>
  <c r="E65" i="143"/>
  <c r="E66" i="143" s="1"/>
  <c r="U66" i="143" s="1"/>
  <c r="E66" i="144" s="1"/>
  <c r="M66" i="144" s="1"/>
  <c r="U63" i="143"/>
  <c r="E63" i="144" s="1"/>
  <c r="M63" i="144" s="1"/>
  <c r="O111" i="92"/>
  <c r="O73" i="92"/>
  <c r="U73" i="92" s="1"/>
  <c r="U72" i="9" s="1"/>
  <c r="O125" i="92"/>
  <c r="N124" i="9"/>
  <c r="J30" i="143"/>
  <c r="V54" i="143"/>
  <c r="F54" i="144" s="1"/>
  <c r="Q54" i="144" s="1"/>
  <c r="L56" i="35"/>
  <c r="M56" i="35"/>
  <c r="T113" i="92"/>
  <c r="T112" i="9" s="1"/>
  <c r="O112" i="9"/>
  <c r="U113" i="92"/>
  <c r="U112" i="9" s="1"/>
  <c r="U84" i="92"/>
  <c r="U83" i="9" s="1"/>
  <c r="T84" i="92"/>
  <c r="T83" i="9" s="1"/>
  <c r="CJ63" i="25"/>
  <c r="AW60" i="25"/>
  <c r="BW57" i="25"/>
  <c r="AP57" i="25"/>
  <c r="BJ56" i="25"/>
  <c r="P56" i="25"/>
  <c r="CP55" i="25"/>
  <c r="AC53" i="25"/>
  <c r="J52" i="25"/>
  <c r="CP49" i="25"/>
  <c r="J49" i="25"/>
  <c r="CP46" i="25"/>
  <c r="CJ45" i="25"/>
  <c r="AC45" i="25"/>
  <c r="P45" i="25"/>
  <c r="AJ44" i="25"/>
  <c r="W44" i="25"/>
  <c r="BJ41" i="25"/>
  <c r="W39" i="25"/>
  <c r="BC37" i="25"/>
  <c r="W35" i="25"/>
  <c r="BC34" i="25"/>
  <c r="CJ33" i="25"/>
  <c r="CP30" i="25"/>
  <c r="B24" i="33"/>
  <c r="D23" i="70"/>
  <c r="A24" i="27"/>
  <c r="AB47" i="143"/>
  <c r="K47" i="144" s="1"/>
  <c r="P26" i="125"/>
  <c r="R42" i="92"/>
  <c r="R41" i="9" s="1"/>
  <c r="O54" i="92"/>
  <c r="T54" i="92" s="1"/>
  <c r="T53" i="9" s="1"/>
  <c r="CP64" i="25"/>
  <c r="AC60" i="25"/>
  <c r="W59" i="25"/>
  <c r="J57" i="25"/>
  <c r="BW55" i="25"/>
  <c r="CC54" i="25"/>
  <c r="CJ50" i="25"/>
  <c r="BW50" i="25"/>
  <c r="AW49" i="25"/>
  <c r="BP48" i="25"/>
  <c r="J48" i="25"/>
  <c r="CJ41" i="25"/>
  <c r="AJ37" i="25"/>
  <c r="W37" i="25"/>
  <c r="CJ36" i="25"/>
  <c r="AC36" i="25"/>
  <c r="CP35" i="25"/>
  <c r="AW32" i="25"/>
  <c r="O49" i="92"/>
  <c r="F26" i="38"/>
  <c r="BC61" i="25"/>
  <c r="BP33" i="25"/>
  <c r="M53" i="35"/>
  <c r="T106" i="92"/>
  <c r="T105" i="9" s="1"/>
  <c r="T126" i="92"/>
  <c r="T125" i="9" s="1"/>
  <c r="R41" i="92"/>
  <c r="T142" i="92"/>
  <c r="T141" i="9" s="1"/>
  <c r="T91" i="92"/>
  <c r="T90" i="9" s="1"/>
  <c r="BW62" i="25"/>
  <c r="BP61" i="25"/>
  <c r="AW59" i="25"/>
  <c r="P58" i="25"/>
  <c r="AW54" i="25"/>
  <c r="AJ54" i="25"/>
  <c r="BC52" i="25"/>
  <c r="AP52" i="25"/>
  <c r="CC48" i="25"/>
  <c r="AP47" i="25"/>
  <c r="BJ46" i="25"/>
  <c r="AP44" i="25"/>
  <c r="P43" i="25"/>
  <c r="BC40" i="25"/>
  <c r="AP39" i="25"/>
  <c r="BJ38" i="25"/>
  <c r="P38" i="25"/>
  <c r="AC37" i="25"/>
  <c r="BW35" i="25"/>
  <c r="CP31" i="25"/>
  <c r="BW28" i="25"/>
  <c r="I32" i="38" s="1"/>
  <c r="AC28" i="25"/>
  <c r="E38" i="38" s="1"/>
  <c r="AI28" i="143"/>
  <c r="Y28" i="144" s="1"/>
  <c r="AH39" i="143"/>
  <c r="X39" i="144" s="1"/>
  <c r="T140" i="92"/>
  <c r="T139" i="9" s="1"/>
  <c r="T144" i="92"/>
  <c r="T143" i="9" s="1"/>
  <c r="R54" i="92"/>
  <c r="R53" i="9" s="1"/>
  <c r="BW64" i="25"/>
  <c r="J60" i="25"/>
  <c r="BJ58" i="25"/>
  <c r="AJ56" i="25"/>
  <c r="BJ54" i="25"/>
  <c r="AJ51" i="25"/>
  <c r="CP47" i="25"/>
  <c r="CC40" i="25"/>
  <c r="J33" i="25"/>
  <c r="BC32" i="25"/>
  <c r="AC32" i="25"/>
  <c r="AJ31" i="25"/>
  <c r="J31" i="25"/>
  <c r="J30" i="25"/>
  <c r="O48" i="92"/>
  <c r="T48" i="92" s="1"/>
  <c r="T47" i="9" s="1"/>
  <c r="T99" i="92"/>
  <c r="T98" i="9" s="1"/>
  <c r="O59" i="92"/>
  <c r="AT45" i="157"/>
  <c r="T98" i="92"/>
  <c r="T97" i="9" s="1"/>
  <c r="T70" i="92"/>
  <c r="T69" i="9" s="1"/>
  <c r="AC64" i="25"/>
  <c r="BJ57" i="25"/>
  <c r="AC57" i="25"/>
  <c r="AW56" i="25"/>
  <c r="AC54" i="25"/>
  <c r="CP52" i="25"/>
  <c r="CP50" i="25"/>
  <c r="CC49" i="25"/>
  <c r="BJ48" i="25"/>
  <c r="J44" i="25"/>
  <c r="BC43" i="25"/>
  <c r="W40" i="25"/>
  <c r="CC39" i="25"/>
  <c r="J39" i="25"/>
  <c r="AJ36" i="25"/>
  <c r="CC30" i="25"/>
  <c r="A24" i="87"/>
  <c r="I24" i="132"/>
  <c r="J25" i="132"/>
  <c r="H84" i="146"/>
  <c r="H76" i="146"/>
  <c r="H80" i="146"/>
  <c r="AT28" i="157"/>
  <c r="H114" i="146"/>
  <c r="H106" i="146"/>
  <c r="H90" i="146"/>
  <c r="H50" i="146"/>
  <c r="H107" i="146"/>
  <c r="AT41" i="155"/>
  <c r="M42" i="92"/>
  <c r="L52" i="9"/>
  <c r="R60" i="92"/>
  <c r="R59" i="9" s="1"/>
  <c r="R50" i="92"/>
  <c r="R49" i="9" s="1"/>
  <c r="T76" i="92"/>
  <c r="T75" i="9" s="1"/>
  <c r="O75" i="9"/>
  <c r="O58" i="92"/>
  <c r="T58" i="92" s="1"/>
  <c r="T57" i="9" s="1"/>
  <c r="O47" i="92"/>
  <c r="O46" i="9" s="1"/>
  <c r="O56" i="92"/>
  <c r="U56" i="92" s="1"/>
  <c r="U55" i="9" s="1"/>
  <c r="O135" i="9"/>
  <c r="T135" i="92"/>
  <c r="T134" i="9" s="1"/>
  <c r="T136" i="92"/>
  <c r="T135" i="9" s="1"/>
  <c r="O62" i="9"/>
  <c r="O37" i="92"/>
  <c r="O36" i="9" s="1"/>
  <c r="R44" i="92"/>
  <c r="R43" i="9" s="1"/>
  <c r="O61" i="92"/>
  <c r="T63" i="92"/>
  <c r="T62" i="9" s="1"/>
  <c r="O55" i="92"/>
  <c r="R51" i="92"/>
  <c r="R50" i="9" s="1"/>
  <c r="N45" i="9"/>
  <c r="O50" i="92"/>
  <c r="O43" i="92"/>
  <c r="O42" i="9" s="1"/>
  <c r="N57" i="9"/>
  <c r="O51" i="92"/>
  <c r="O46" i="92"/>
  <c r="O45" i="9" s="1"/>
  <c r="N50" i="9"/>
  <c r="R59" i="92"/>
  <c r="R58" i="9" s="1"/>
  <c r="N58" i="9"/>
  <c r="O45" i="92"/>
  <c r="O44" i="9" s="1"/>
  <c r="N48" i="9"/>
  <c r="N35" i="9"/>
  <c r="O60" i="92"/>
  <c r="AD27" i="144"/>
  <c r="AF27" i="144"/>
  <c r="AG63" i="144"/>
  <c r="AB63" i="144"/>
  <c r="AH63" i="144"/>
  <c r="AE63" i="144"/>
  <c r="S29" i="25"/>
  <c r="BS29" i="25"/>
  <c r="BR29" i="25"/>
  <c r="AQ29" i="25"/>
  <c r="BQ29" i="25"/>
  <c r="D29" i="25"/>
  <c r="BE29" i="25"/>
  <c r="CD29" i="25"/>
  <c r="CF29" i="25"/>
  <c r="AS29" i="25"/>
  <c r="BD29" i="25"/>
  <c r="V45" i="143"/>
  <c r="F45" i="144" s="1"/>
  <c r="Q45" i="144" s="1"/>
  <c r="M47" i="132"/>
  <c r="K47" i="132" s="1"/>
  <c r="BF29" i="25"/>
  <c r="K41" i="1"/>
  <c r="X41" i="143"/>
  <c r="Z41" i="143"/>
  <c r="I41" i="144" s="1"/>
  <c r="AD30" i="143"/>
  <c r="U30" i="144" s="1"/>
  <c r="AC30" i="144" s="1"/>
  <c r="N41" i="143"/>
  <c r="AF41" i="143" s="1"/>
  <c r="W41" i="144" s="1"/>
  <c r="O61" i="143"/>
  <c r="AJ59" i="143"/>
  <c r="Z59" i="144" s="1"/>
  <c r="AD59" i="144" s="1"/>
  <c r="AF29" i="25"/>
  <c r="AE29" i="25"/>
  <c r="M48" i="132"/>
  <c r="K48" i="132" s="1"/>
  <c r="AC55" i="143"/>
  <c r="T55" i="144" s="1"/>
  <c r="L44" i="144"/>
  <c r="Q29" i="25"/>
  <c r="AG61" i="143"/>
  <c r="Z34" i="143"/>
  <c r="I34" i="144" s="1"/>
  <c r="AF37" i="144"/>
  <c r="Q51" i="143"/>
  <c r="AK51" i="143" s="1"/>
  <c r="AA51" i="144" s="1"/>
  <c r="CE29" i="25"/>
  <c r="E29" i="25"/>
  <c r="O56" i="35"/>
  <c r="AR29" i="25"/>
  <c r="F29" i="25"/>
  <c r="AI28" i="144"/>
  <c r="AC66" i="143"/>
  <c r="T66" i="144" s="1"/>
  <c r="AC46" i="143"/>
  <c r="T46" i="144" s="1"/>
  <c r="AC45" i="143"/>
  <c r="T45" i="144" s="1"/>
  <c r="N56" i="143"/>
  <c r="H60" i="143"/>
  <c r="AA58" i="143"/>
  <c r="J58" i="144" s="1"/>
  <c r="P58" i="144" s="1"/>
  <c r="Y58" i="143"/>
  <c r="H58" i="144" s="1"/>
  <c r="P70" i="143"/>
  <c r="P71" i="143" s="1"/>
  <c r="AG68" i="143"/>
  <c r="Y40" i="143"/>
  <c r="H40" i="144" s="1"/>
  <c r="AB41" i="143"/>
  <c r="K41" i="144" s="1"/>
  <c r="Y53" i="143"/>
  <c r="H53" i="144" s="1"/>
  <c r="Z58" i="143"/>
  <c r="I58" i="144" s="1"/>
  <c r="Q45" i="143"/>
  <c r="AK44" i="143" s="1"/>
  <c r="AA44" i="144" s="1"/>
  <c r="AH29" i="143"/>
  <c r="X29" i="144" s="1"/>
  <c r="Z40" i="143"/>
  <c r="I40" i="144" s="1"/>
  <c r="AA64" i="143"/>
  <c r="J64" i="144" s="1"/>
  <c r="AK54" i="143"/>
  <c r="AA54" i="144" s="1"/>
  <c r="A27" i="115"/>
  <c r="AK55" i="143"/>
  <c r="AA55" i="144" s="1"/>
  <c r="AK56" i="143"/>
  <c r="AA56" i="144" s="1"/>
  <c r="AB64" i="144"/>
  <c r="AH64" i="144"/>
  <c r="R28" i="144"/>
  <c r="Q28" i="144"/>
  <c r="R57" i="144"/>
  <c r="Q57" i="144"/>
  <c r="O57" i="144"/>
  <c r="L41" i="1"/>
  <c r="N32" i="144"/>
  <c r="U30" i="143"/>
  <c r="E30" i="144" s="1"/>
  <c r="M30" i="144" s="1"/>
  <c r="AJ40" i="143"/>
  <c r="Z40" i="144" s="1"/>
  <c r="AG28" i="143"/>
  <c r="AG62" i="144"/>
  <c r="AI57" i="144"/>
  <c r="E51" i="143"/>
  <c r="AI68" i="143"/>
  <c r="K46" i="1"/>
  <c r="AC29" i="143"/>
  <c r="T29" i="144" s="1"/>
  <c r="T75" i="92"/>
  <c r="T74" i="9" s="1"/>
  <c r="G65" i="99"/>
  <c r="H78" i="99"/>
  <c r="G93" i="99"/>
  <c r="H106" i="99"/>
  <c r="G126" i="99"/>
  <c r="G82" i="99"/>
  <c r="G38" i="99"/>
  <c r="H99" i="99"/>
  <c r="H55" i="99"/>
  <c r="G115" i="99"/>
  <c r="G75" i="99"/>
  <c r="G31" i="99"/>
  <c r="H88" i="99"/>
  <c r="H48" i="99"/>
  <c r="G104" i="99"/>
  <c r="G60" i="99"/>
  <c r="H121" i="99"/>
  <c r="H77" i="99"/>
  <c r="H33" i="99"/>
  <c r="T129" i="92"/>
  <c r="T128" i="9" s="1"/>
  <c r="K51" i="143"/>
  <c r="AC51" i="143" s="1"/>
  <c r="T51" i="144" s="1"/>
  <c r="AC49" i="143"/>
  <c r="T49" i="144" s="1"/>
  <c r="E32" i="99"/>
  <c r="E28" i="99"/>
  <c r="E40" i="99"/>
  <c r="E68" i="99"/>
  <c r="E80" i="99"/>
  <c r="E104" i="99"/>
  <c r="E35" i="99"/>
  <c r="E67" i="99"/>
  <c r="E99" i="99"/>
  <c r="C16" i="34"/>
  <c r="E58" i="99"/>
  <c r="E90" i="99"/>
  <c r="E122" i="99"/>
  <c r="E53" i="99"/>
  <c r="E85" i="99"/>
  <c r="E117" i="99"/>
  <c r="E39" i="99"/>
  <c r="E71" i="99"/>
  <c r="E103" i="99"/>
  <c r="E30" i="99"/>
  <c r="E62" i="99"/>
  <c r="E94" i="99"/>
  <c r="E126" i="99"/>
  <c r="E57" i="99"/>
  <c r="E89" i="99"/>
  <c r="E121" i="99"/>
  <c r="E72" i="99"/>
  <c r="E47" i="99"/>
  <c r="E79" i="99"/>
  <c r="E111" i="99"/>
  <c r="E38" i="99"/>
  <c r="E70" i="99"/>
  <c r="E102" i="99"/>
  <c r="E33" i="99"/>
  <c r="E65" i="99"/>
  <c r="E97" i="99"/>
  <c r="E116" i="99"/>
  <c r="E31" i="99"/>
  <c r="E63" i="99"/>
  <c r="E95" i="99"/>
  <c r="E127" i="99"/>
  <c r="E54" i="99"/>
  <c r="E86" i="99"/>
  <c r="E118" i="99"/>
  <c r="E49" i="99"/>
  <c r="E81" i="99"/>
  <c r="E113" i="99"/>
  <c r="G122" i="99"/>
  <c r="G74" i="99"/>
  <c r="G34" i="99"/>
  <c r="H95" i="99"/>
  <c r="H47" i="99"/>
  <c r="G111" i="99"/>
  <c r="G71" i="99"/>
  <c r="H124" i="99"/>
  <c r="H84" i="99"/>
  <c r="H44" i="99"/>
  <c r="G96" i="99"/>
  <c r="G56" i="99"/>
  <c r="H117" i="99"/>
  <c r="H69" i="99"/>
  <c r="X48" i="143"/>
  <c r="Y48" i="143"/>
  <c r="H48" i="144" s="1"/>
  <c r="I50" i="143"/>
  <c r="AG57" i="144"/>
  <c r="M55" i="143"/>
  <c r="AE54" i="143" s="1"/>
  <c r="V54" i="144" s="1"/>
  <c r="H49" i="99"/>
  <c r="H81" i="99"/>
  <c r="H113" i="99"/>
  <c r="G44" i="99"/>
  <c r="G76" i="99"/>
  <c r="G108" i="99"/>
  <c r="H40" i="99"/>
  <c r="H72" i="99"/>
  <c r="H104" i="99"/>
  <c r="G35" i="99"/>
  <c r="G67" i="99"/>
  <c r="G99" i="99"/>
  <c r="H27" i="99"/>
  <c r="H59" i="99"/>
  <c r="H91" i="99"/>
  <c r="H123" i="99"/>
  <c r="G54" i="99"/>
  <c r="G86" i="99"/>
  <c r="G118" i="99"/>
  <c r="H74" i="99"/>
  <c r="G37" i="99"/>
  <c r="G101" i="99"/>
  <c r="H62" i="99"/>
  <c r="H126" i="99"/>
  <c r="G73" i="99"/>
  <c r="H41" i="99"/>
  <c r="H73" i="99"/>
  <c r="H105" i="99"/>
  <c r="G36" i="99"/>
  <c r="G68" i="99"/>
  <c r="G100" i="99"/>
  <c r="H32" i="99"/>
  <c r="H64" i="99"/>
  <c r="H96" i="99"/>
  <c r="G27" i="99"/>
  <c r="G59" i="99"/>
  <c r="G91" i="99"/>
  <c r="G123" i="99"/>
  <c r="H51" i="99"/>
  <c r="H83" i="99"/>
  <c r="H115" i="99"/>
  <c r="G46" i="99"/>
  <c r="G78" i="99"/>
  <c r="G110" i="99"/>
  <c r="H58" i="99"/>
  <c r="H122" i="99"/>
  <c r="G85" i="99"/>
  <c r="H46" i="99"/>
  <c r="H110" i="99"/>
  <c r="G49" i="99"/>
  <c r="L46" i="9"/>
  <c r="R47" i="92"/>
  <c r="R46" i="9" s="1"/>
  <c r="N37" i="9"/>
  <c r="O38" i="92"/>
  <c r="O37" i="9" s="1"/>
  <c r="O39" i="92"/>
  <c r="O38" i="9" s="1"/>
  <c r="D41" i="143"/>
  <c r="O120" i="92"/>
  <c r="N119" i="9"/>
  <c r="O100" i="9"/>
  <c r="U101" i="92"/>
  <c r="U100" i="9" s="1"/>
  <c r="T101" i="92"/>
  <c r="T100" i="9" s="1"/>
  <c r="O87" i="92"/>
  <c r="N86" i="9"/>
  <c r="T83" i="92"/>
  <c r="T82" i="9" s="1"/>
  <c r="U83" i="92"/>
  <c r="U82" i="9" s="1"/>
  <c r="O42" i="92"/>
  <c r="O41" i="9" s="1"/>
  <c r="O41" i="92"/>
  <c r="O40" i="9" s="1"/>
  <c r="M31" i="143"/>
  <c r="AE31" i="143" s="1"/>
  <c r="V31" i="144" s="1"/>
  <c r="U103" i="92"/>
  <c r="U102" i="9" s="1"/>
  <c r="T103" i="92"/>
  <c r="T102" i="9" s="1"/>
  <c r="AA69" i="143"/>
  <c r="AJ68" i="143"/>
  <c r="O70" i="143"/>
  <c r="AH68" i="143"/>
  <c r="O74" i="92"/>
  <c r="N73" i="9"/>
  <c r="L57" i="9"/>
  <c r="R58" i="92"/>
  <c r="R57" i="9" s="1"/>
  <c r="C29" i="96"/>
  <c r="B28" i="96"/>
  <c r="P50" i="25"/>
  <c r="U89" i="92"/>
  <c r="U88" i="9" s="1"/>
  <c r="T89" i="92"/>
  <c r="T88" i="9" s="1"/>
  <c r="O131" i="92"/>
  <c r="N130" i="9"/>
  <c r="N55" i="9"/>
  <c r="O57" i="92"/>
  <c r="G35" i="92"/>
  <c r="F34" i="9"/>
  <c r="N70" i="143"/>
  <c r="O141" i="92"/>
  <c r="N140" i="9"/>
  <c r="N109" i="9"/>
  <c r="O110" i="92"/>
  <c r="D35" i="9"/>
  <c r="D34" i="9"/>
  <c r="D48" i="9"/>
  <c r="D111" i="9"/>
  <c r="D115" i="9"/>
  <c r="D116" i="9"/>
  <c r="D118" i="9"/>
  <c r="D137" i="9"/>
  <c r="D117" i="9"/>
  <c r="D136" i="9"/>
  <c r="D54" i="9"/>
  <c r="D134" i="9"/>
  <c r="D135" i="9"/>
  <c r="D63" i="9"/>
  <c r="D64" i="9"/>
  <c r="D73" i="9"/>
  <c r="D78" i="9"/>
  <c r="D130" i="9"/>
  <c r="D132" i="9"/>
  <c r="D133" i="9"/>
  <c r="D43" i="9"/>
  <c r="D40" i="9"/>
  <c r="D41" i="9"/>
  <c r="D42" i="9"/>
  <c r="D49" i="9"/>
  <c r="D75" i="9"/>
  <c r="D80" i="9"/>
  <c r="D81" i="9"/>
  <c r="D85" i="9"/>
  <c r="D86" i="9"/>
  <c r="D87" i="9"/>
  <c r="D91" i="9"/>
  <c r="D92" i="9"/>
  <c r="D100" i="9"/>
  <c r="D102" i="9"/>
  <c r="D104" i="9"/>
  <c r="D108" i="9"/>
  <c r="D109" i="9"/>
  <c r="D128" i="9"/>
  <c r="D46" i="9"/>
  <c r="D53" i="9"/>
  <c r="D93" i="9"/>
  <c r="D94" i="9"/>
  <c r="D95" i="9"/>
  <c r="D96" i="9"/>
  <c r="D98" i="9"/>
  <c r="D99" i="9"/>
  <c r="D101" i="9"/>
  <c r="D103" i="9"/>
  <c r="D105" i="9"/>
  <c r="D106" i="9"/>
  <c r="D107" i="9"/>
  <c r="D110" i="9"/>
  <c r="D126" i="9"/>
  <c r="D127" i="9"/>
  <c r="D140" i="9"/>
  <c r="D141" i="9"/>
  <c r="D142" i="9"/>
  <c r="O143" i="92"/>
  <c r="N142" i="9"/>
  <c r="O92" i="92"/>
  <c r="N91" i="9"/>
  <c r="U70" i="92"/>
  <c r="U69" i="9" s="1"/>
  <c r="U66" i="92"/>
  <c r="U65" i="9" s="1"/>
  <c r="AC59" i="25"/>
  <c r="P57" i="25"/>
  <c r="CC52" i="25"/>
  <c r="U116" i="92"/>
  <c r="U115" i="9" s="1"/>
  <c r="CC62" i="25"/>
  <c r="CC61" i="25"/>
  <c r="CJ56" i="25"/>
  <c r="P52" i="25"/>
  <c r="CP51" i="25"/>
  <c r="CJ49" i="25"/>
  <c r="BP49" i="25"/>
  <c r="AC48" i="25"/>
  <c r="AW46" i="25"/>
  <c r="CP45" i="25"/>
  <c r="BJ42" i="25"/>
  <c r="BP36" i="25"/>
  <c r="W64" i="25"/>
  <c r="CP61" i="25"/>
  <c r="AJ59" i="25"/>
  <c r="AC58" i="25"/>
  <c r="CJ54" i="25"/>
  <c r="AP53" i="25"/>
  <c r="P53" i="25"/>
  <c r="AW50" i="25"/>
  <c r="BC49" i="25"/>
  <c r="AC49" i="25"/>
  <c r="BC48" i="25"/>
  <c r="W47" i="25"/>
  <c r="BW44" i="25"/>
  <c r="BW42" i="25"/>
  <c r="BC42" i="25"/>
  <c r="BW39" i="25"/>
  <c r="AP37" i="25"/>
  <c r="BJ34" i="25"/>
  <c r="H47" i="146"/>
  <c r="AW61" i="25"/>
  <c r="W60" i="25"/>
  <c r="AJ55" i="25"/>
  <c r="AP50" i="25"/>
  <c r="AC50" i="25"/>
  <c r="BC44" i="25"/>
  <c r="AJ38" i="25"/>
  <c r="CC37" i="25"/>
  <c r="R61" i="92"/>
  <c r="R60" i="9" s="1"/>
  <c r="CJ64" i="25"/>
  <c r="P64" i="25"/>
  <c r="BP63" i="25"/>
  <c r="AJ62" i="25"/>
  <c r="AJ60" i="25"/>
  <c r="P59" i="25"/>
  <c r="CJ57" i="25"/>
  <c r="BP57" i="25"/>
  <c r="BJ51" i="25"/>
  <c r="BC47" i="25"/>
  <c r="BC46" i="25"/>
  <c r="CP44" i="25"/>
  <c r="BP44" i="25"/>
  <c r="AC41" i="25"/>
  <c r="AW38" i="25"/>
  <c r="CP37" i="25"/>
  <c r="CC32" i="25"/>
  <c r="AP55" i="25"/>
  <c r="U142" i="92"/>
  <c r="U141" i="9" s="1"/>
  <c r="BP64" i="25"/>
  <c r="AP64" i="25"/>
  <c r="W63" i="25"/>
  <c r="CJ62" i="25"/>
  <c r="CJ60" i="25"/>
  <c r="BC59" i="25"/>
  <c r="BC55" i="25"/>
  <c r="AC55" i="25"/>
  <c r="BJ52" i="25"/>
  <c r="AC52" i="25"/>
  <c r="BJ49" i="25"/>
  <c r="CC47" i="25"/>
  <c r="W46" i="25"/>
  <c r="AW37" i="25"/>
  <c r="P30" i="25"/>
  <c r="W61" i="25"/>
  <c r="CJ58" i="25"/>
  <c r="CC57" i="25"/>
  <c r="BC57" i="25"/>
  <c r="J56" i="25"/>
  <c r="BJ55" i="25"/>
  <c r="CP53" i="25"/>
  <c r="BJ50" i="25"/>
  <c r="W50" i="25"/>
  <c r="J50" i="25"/>
  <c r="BW45" i="25"/>
  <c r="BJ45" i="25"/>
  <c r="CC44" i="25"/>
  <c r="CP43" i="25"/>
  <c r="AP41" i="25"/>
  <c r="J40" i="25"/>
  <c r="BC39" i="25"/>
  <c r="CJ37" i="25"/>
  <c r="CJ35" i="25"/>
  <c r="J34" i="25"/>
  <c r="P32" i="25"/>
  <c r="BJ30" i="25"/>
  <c r="AJ30" i="25"/>
  <c r="BW29" i="25"/>
  <c r="CP28" i="25"/>
  <c r="J38" i="38" s="1"/>
  <c r="J24" i="132"/>
  <c r="F29" i="59"/>
  <c r="H105" i="146"/>
  <c r="H95" i="146"/>
  <c r="AT49" i="155"/>
  <c r="AT40" i="155"/>
  <c r="AT35" i="157"/>
  <c r="BJ43" i="25"/>
  <c r="AC42" i="25"/>
  <c r="CP41" i="25"/>
  <c r="BP41" i="25"/>
  <c r="AJ40" i="25"/>
  <c r="CP39" i="25"/>
  <c r="BC35" i="25"/>
  <c r="P33" i="25"/>
  <c r="AW31" i="25"/>
  <c r="CJ30" i="25"/>
  <c r="BW30" i="25"/>
  <c r="BC30" i="25"/>
  <c r="AJ28" i="25"/>
  <c r="F32" i="38" s="1"/>
  <c r="CP29" i="25"/>
  <c r="E47" i="103"/>
  <c r="H112" i="146"/>
  <c r="D28" i="31"/>
  <c r="CP58" i="25"/>
  <c r="CC58" i="25"/>
  <c r="AW57" i="25"/>
  <c r="BC56" i="25"/>
  <c r="AP56" i="25"/>
  <c r="CJ53" i="25"/>
  <c r="BW52" i="25"/>
  <c r="BC51" i="25"/>
  <c r="BP50" i="25"/>
  <c r="W48" i="25"/>
  <c r="BW47" i="25"/>
  <c r="P46" i="25"/>
  <c r="CJ43" i="25"/>
  <c r="CC42" i="25"/>
  <c r="CJ40" i="25"/>
  <c r="AW39" i="25"/>
  <c r="BW38" i="25"/>
  <c r="CC36" i="25"/>
  <c r="BW31" i="25"/>
  <c r="W31" i="25"/>
  <c r="BP30" i="25"/>
  <c r="AP30" i="25"/>
  <c r="CC28" i="25"/>
  <c r="I38" i="38" s="1"/>
  <c r="P28" i="25"/>
  <c r="D38" i="38" s="1"/>
  <c r="A24" i="50"/>
  <c r="H46" i="146"/>
  <c r="AT52" i="155"/>
  <c r="AT53" i="155" s="1"/>
  <c r="AT54" i="155" s="1"/>
  <c r="AT55" i="155" s="1"/>
  <c r="AT56" i="155" s="1"/>
  <c r="AT57" i="155" s="1"/>
  <c r="AT58" i="155" s="1"/>
  <c r="AT59" i="155" s="1"/>
  <c r="AT60" i="155" s="1"/>
  <c r="AT61" i="155" s="1"/>
  <c r="AT62" i="155" s="1"/>
  <c r="AT63" i="155" s="1"/>
  <c r="AT64" i="155" s="1"/>
  <c r="AT65" i="155" s="1"/>
  <c r="AT66" i="155" s="1"/>
  <c r="AT67" i="155" s="1"/>
  <c r="AT68" i="155" s="1"/>
  <c r="AT69" i="155" s="1"/>
  <c r="AT70" i="155" s="1"/>
  <c r="AT71" i="155" s="1"/>
  <c r="AT72" i="155" s="1"/>
  <c r="AT73" i="155" s="1"/>
  <c r="AT74" i="155" s="1"/>
  <c r="AT75" i="155" s="1"/>
  <c r="AT76" i="155" s="1"/>
  <c r="AT77" i="155" s="1"/>
  <c r="AC34" i="25"/>
  <c r="W29" i="25"/>
  <c r="AP28" i="25"/>
  <c r="F38" i="38" s="1"/>
  <c r="AT43" i="157"/>
  <c r="J42" i="25"/>
  <c r="BP39" i="25"/>
  <c r="CC38" i="25"/>
  <c r="P35" i="25"/>
  <c r="BW33" i="25"/>
  <c r="BJ33" i="25"/>
  <c r="CJ32" i="25"/>
  <c r="BP31" i="25"/>
  <c r="BC31" i="25"/>
  <c r="W30" i="25"/>
  <c r="AW29" i="25"/>
  <c r="P29" i="25"/>
  <c r="H92" i="146"/>
  <c r="BG26" i="155"/>
  <c r="S26" i="155"/>
  <c r="G31" i="123"/>
  <c r="AA39" i="123"/>
  <c r="S32" i="123"/>
  <c r="J27" i="123"/>
  <c r="E33" i="123"/>
  <c r="BF38" i="123"/>
  <c r="BG30" i="123"/>
  <c r="H33" i="123"/>
  <c r="O32" i="123"/>
  <c r="Q40" i="123"/>
  <c r="N34" i="123"/>
  <c r="AT28" i="123"/>
  <c r="AK29" i="123"/>
  <c r="X39" i="123"/>
  <c r="Q39" i="123"/>
  <c r="R31" i="123"/>
  <c r="X27" i="123"/>
  <c r="AI38" i="123"/>
  <c r="BG28" i="123"/>
  <c r="S29" i="123"/>
  <c r="S40" i="123"/>
  <c r="Q34" i="123"/>
  <c r="AC40" i="123"/>
  <c r="AM33" i="123"/>
  <c r="AJ40" i="123"/>
  <c r="AS27" i="123"/>
  <c r="AD27" i="123"/>
  <c r="S27" i="123"/>
  <c r="Q29" i="123"/>
  <c r="S39" i="123"/>
  <c r="AD35" i="123"/>
  <c r="AL35" i="123"/>
  <c r="AK33" i="123"/>
  <c r="AS33" i="123"/>
  <c r="Q35" i="123"/>
  <c r="O36" i="123"/>
  <c r="X36" i="123"/>
  <c r="AD34" i="123"/>
  <c r="X37" i="123"/>
  <c r="AV30" i="123"/>
  <c r="F37" i="123"/>
  <c r="D31" i="123"/>
  <c r="Y38" i="123"/>
  <c r="AX39" i="123"/>
  <c r="X38" i="123"/>
  <c r="G32" i="123"/>
  <c r="AV33" i="123"/>
  <c r="P38" i="123"/>
  <c r="F40" i="123"/>
  <c r="AX30" i="123"/>
  <c r="S28" i="123"/>
  <c r="BB39" i="123"/>
  <c r="AL38" i="123"/>
  <c r="E35" i="47"/>
  <c r="AB34" i="123"/>
  <c r="AV32" i="123"/>
  <c r="AK34" i="123"/>
  <c r="AJ39" i="123"/>
  <c r="P29" i="123"/>
  <c r="AA36" i="123"/>
  <c r="AH39" i="123"/>
  <c r="J36" i="123"/>
  <c r="AL27" i="123"/>
  <c r="AD28" i="123"/>
  <c r="I39" i="123"/>
  <c r="AU32" i="123"/>
  <c r="AT34" i="123"/>
  <c r="AH28" i="123"/>
  <c r="AR36" i="123"/>
  <c r="AL34" i="123"/>
  <c r="BB30" i="123"/>
  <c r="H36" i="123"/>
  <c r="Z36" i="123"/>
  <c r="R38" i="123"/>
  <c r="AB39" i="123"/>
  <c r="Y39" i="123"/>
  <c r="AX28" i="123"/>
  <c r="AK40" i="123"/>
  <c r="D27" i="47"/>
  <c r="T40" i="123"/>
  <c r="I32" i="123"/>
  <c r="Y37" i="123"/>
  <c r="AH27" i="123"/>
  <c r="D37" i="47"/>
  <c r="K26" i="155"/>
  <c r="T23" i="22"/>
  <c r="BK26" i="155"/>
  <c r="AJ23" i="22"/>
  <c r="O26" i="155"/>
  <c r="A51" i="29"/>
  <c r="A45" i="29"/>
  <c r="E47" i="29"/>
  <c r="F47" i="29"/>
  <c r="A24" i="32"/>
  <c r="D37" i="38"/>
  <c r="A24" i="139"/>
  <c r="H33" i="38"/>
  <c r="E30" i="38"/>
  <c r="D29" i="38"/>
  <c r="A24" i="126"/>
  <c r="Q24" i="30"/>
  <c r="A24" i="60"/>
  <c r="A33" i="57"/>
  <c r="A24" i="47"/>
  <c r="A23" i="41"/>
  <c r="A23" i="29"/>
  <c r="A24" i="88"/>
  <c r="O45" i="144"/>
  <c r="AR61" i="155"/>
  <c r="O57" i="35"/>
  <c r="AK29" i="143"/>
  <c r="AA29" i="144" s="1"/>
  <c r="Q31" i="143"/>
  <c r="AK31" i="143" s="1"/>
  <c r="AA31" i="144" s="1"/>
  <c r="AI29" i="143"/>
  <c r="Y29" i="144" s="1"/>
  <c r="P31" i="143"/>
  <c r="AI30" i="143" s="1"/>
  <c r="Y30" i="144" s="1"/>
  <c r="AJ29" i="143"/>
  <c r="Z29" i="144" s="1"/>
  <c r="AG29" i="143"/>
  <c r="L50" i="144"/>
  <c r="B43" i="28"/>
  <c r="R40" i="144"/>
  <c r="Q40" i="144"/>
  <c r="L40" i="144"/>
  <c r="K56" i="35"/>
  <c r="AR57" i="157"/>
  <c r="O56" i="144"/>
  <c r="Q56" i="144"/>
  <c r="R56" i="144"/>
  <c r="L56" i="144"/>
  <c r="AB44" i="144"/>
  <c r="AE44" i="144"/>
  <c r="AB46" i="144"/>
  <c r="AG46" i="144"/>
  <c r="Q43" i="144"/>
  <c r="N39" i="144"/>
  <c r="H31" i="143"/>
  <c r="AA34" i="143"/>
  <c r="J34" i="144" s="1"/>
  <c r="L53" i="144"/>
  <c r="AI27" i="144"/>
  <c r="N38" i="144"/>
  <c r="G44" i="103"/>
  <c r="G47" i="103" s="1"/>
  <c r="D47" i="103"/>
  <c r="AB55" i="143"/>
  <c r="K55" i="144" s="1"/>
  <c r="AB54" i="143"/>
  <c r="K54" i="144" s="1"/>
  <c r="U122" i="92"/>
  <c r="U121" i="9" s="1"/>
  <c r="O121" i="9"/>
  <c r="T122" i="92"/>
  <c r="T121" i="9" s="1"/>
  <c r="T86" i="92"/>
  <c r="T85" i="9" s="1"/>
  <c r="O85" i="9"/>
  <c r="X40" i="143"/>
  <c r="AI39" i="144"/>
  <c r="S27" i="144"/>
  <c r="N27" i="144"/>
  <c r="L55" i="143"/>
  <c r="AD54" i="143" s="1"/>
  <c r="U54" i="144" s="1"/>
  <c r="AC54" i="144" s="1"/>
  <c r="AD53" i="143"/>
  <c r="U53" i="144" s="1"/>
  <c r="AC53" i="144" s="1"/>
  <c r="AK69" i="143"/>
  <c r="Q71" i="143"/>
  <c r="AK70" i="143" s="1"/>
  <c r="J50" i="143"/>
  <c r="AB48" i="143"/>
  <c r="K48" i="144" s="1"/>
  <c r="P65" i="143"/>
  <c r="AH64" i="143" s="1"/>
  <c r="X64" i="144" s="1"/>
  <c r="AI63" i="143"/>
  <c r="Y63" i="144" s="1"/>
  <c r="AJ63" i="143"/>
  <c r="Z63" i="144" s="1"/>
  <c r="AH63" i="143"/>
  <c r="X63" i="144" s="1"/>
  <c r="AG63" i="143"/>
  <c r="U60" i="143"/>
  <c r="E60" i="144" s="1"/>
  <c r="M60" i="144" s="1"/>
  <c r="L73" i="143"/>
  <c r="AD72" i="143" s="1"/>
  <c r="L67" i="144"/>
  <c r="Q67" i="144"/>
  <c r="AE45" i="143"/>
  <c r="V45" i="144" s="1"/>
  <c r="P32" i="144"/>
  <c r="Q44" i="144"/>
  <c r="P46" i="143"/>
  <c r="AG45" i="143" s="1"/>
  <c r="R67" i="144"/>
  <c r="AF53" i="144"/>
  <c r="AI53" i="144"/>
  <c r="AD53" i="144"/>
  <c r="AG29" i="144"/>
  <c r="AH29" i="144"/>
  <c r="AB29" i="144"/>
  <c r="AC39" i="143"/>
  <c r="T39" i="144" s="1"/>
  <c r="K41" i="143"/>
  <c r="AC41" i="143" s="1"/>
  <c r="T41" i="144" s="1"/>
  <c r="Q53" i="144"/>
  <c r="AG44" i="143"/>
  <c r="AG33" i="144"/>
  <c r="AB33" i="144"/>
  <c r="AE33" i="144"/>
  <c r="V55" i="143"/>
  <c r="F55" i="144" s="1"/>
  <c r="Y33" i="143"/>
  <c r="H33" i="144" s="1"/>
  <c r="O44" i="144"/>
  <c r="R53" i="144"/>
  <c r="G30" i="143"/>
  <c r="AA33" i="143"/>
  <c r="J33" i="144" s="1"/>
  <c r="T32" i="143"/>
  <c r="D32" i="144" s="1"/>
  <c r="D34" i="143"/>
  <c r="T33" i="143" s="1"/>
  <c r="D33" i="144" s="1"/>
  <c r="AK47" i="143"/>
  <c r="AA47" i="144" s="1"/>
  <c r="AK41" i="143"/>
  <c r="AA41" i="144" s="1"/>
  <c r="AK42" i="143"/>
  <c r="AA42" i="144" s="1"/>
  <c r="AK52" i="143"/>
  <c r="AA52" i="144" s="1"/>
  <c r="AK62" i="143"/>
  <c r="AA62" i="144" s="1"/>
  <c r="AK57" i="143"/>
  <c r="AA57" i="144" s="1"/>
  <c r="AK37" i="143"/>
  <c r="AA37" i="144" s="1"/>
  <c r="AK68" i="143"/>
  <c r="AK58" i="143"/>
  <c r="AA58" i="144" s="1"/>
  <c r="AT35" i="155"/>
  <c r="M58" i="35"/>
  <c r="AK61" i="143"/>
  <c r="AA61" i="144" s="1"/>
  <c r="AK38" i="143"/>
  <c r="AA38" i="144" s="1"/>
  <c r="O138" i="9"/>
  <c r="U139" i="92"/>
  <c r="U138" i="9" s="1"/>
  <c r="T139" i="92"/>
  <c r="T138" i="9" s="1"/>
  <c r="D66" i="143"/>
  <c r="T64" i="143"/>
  <c r="D64" i="144" s="1"/>
  <c r="AF28" i="143"/>
  <c r="W28" i="144" s="1"/>
  <c r="N30" i="143"/>
  <c r="AF29" i="143" s="1"/>
  <c r="W29" i="144" s="1"/>
  <c r="AK53" i="143"/>
  <c r="AA53" i="144" s="1"/>
  <c r="AK59" i="143"/>
  <c r="AA59" i="144" s="1"/>
  <c r="J57" i="35"/>
  <c r="O28" i="144"/>
  <c r="L28" i="144"/>
  <c r="J71" i="143"/>
  <c r="AB69" i="143"/>
  <c r="P35" i="92"/>
  <c r="O34" i="9"/>
  <c r="AI52" i="144"/>
  <c r="AF52" i="144"/>
  <c r="AG70" i="143"/>
  <c r="AG69" i="143"/>
  <c r="AD69" i="143"/>
  <c r="AD70" i="143"/>
  <c r="AK43" i="143"/>
  <c r="AA43" i="144" s="1"/>
  <c r="AI48" i="143"/>
  <c r="Y48" i="144" s="1"/>
  <c r="O50" i="143"/>
  <c r="U54" i="143"/>
  <c r="E54" i="144" s="1"/>
  <c r="M54" i="144" s="1"/>
  <c r="U55" i="143"/>
  <c r="E55" i="144" s="1"/>
  <c r="M55" i="144" s="1"/>
  <c r="AK39" i="143"/>
  <c r="AA39" i="144" s="1"/>
  <c r="V64" i="143"/>
  <c r="F64" i="144" s="1"/>
  <c r="F66" i="143"/>
  <c r="U64" i="92"/>
  <c r="U63" i="9" s="1"/>
  <c r="T64" i="92"/>
  <c r="T63" i="9" s="1"/>
  <c r="N61" i="9"/>
  <c r="O62" i="92"/>
  <c r="L55" i="9"/>
  <c r="R56" i="92"/>
  <c r="R55" i="9" s="1"/>
  <c r="T104" i="92"/>
  <c r="T103" i="9" s="1"/>
  <c r="O103" i="9"/>
  <c r="U104" i="92"/>
  <c r="U103" i="9" s="1"/>
  <c r="AC50" i="143"/>
  <c r="T50" i="144" s="1"/>
  <c r="P72" i="143"/>
  <c r="AG71" i="143" s="1"/>
  <c r="K35" i="143"/>
  <c r="AC34" i="143" s="1"/>
  <c r="T34" i="144" s="1"/>
  <c r="AC33" i="143"/>
  <c r="T33" i="144" s="1"/>
  <c r="N77" i="9"/>
  <c r="O78" i="92"/>
  <c r="H73" i="143"/>
  <c r="O134" i="9"/>
  <c r="O71" i="92"/>
  <c r="N70" i="9"/>
  <c r="O108" i="92"/>
  <c r="N107" i="9"/>
  <c r="U79" i="92"/>
  <c r="U78" i="9" s="1"/>
  <c r="U115" i="92"/>
  <c r="U114" i="9" s="1"/>
  <c r="M57" i="35"/>
  <c r="AF64" i="143"/>
  <c r="W64" i="144" s="1"/>
  <c r="V39" i="143"/>
  <c r="F39" i="144" s="1"/>
  <c r="O47" i="9"/>
  <c r="T96" i="92"/>
  <c r="T95" i="9" s="1"/>
  <c r="O114" i="92"/>
  <c r="N113" i="9"/>
  <c r="B55" i="143"/>
  <c r="AC39" i="25"/>
  <c r="BP28" i="25"/>
  <c r="H38" i="38" s="1"/>
  <c r="E112" i="99"/>
  <c r="E56" i="99"/>
  <c r="BP59" i="25"/>
  <c r="D72" i="9"/>
  <c r="D71" i="9"/>
  <c r="D70" i="9"/>
  <c r="D69" i="9"/>
  <c r="D68" i="9"/>
  <c r="D67" i="9"/>
  <c r="N63" i="9"/>
  <c r="D59" i="9"/>
  <c r="E108" i="99"/>
  <c r="E44" i="99"/>
  <c r="BC62" i="25"/>
  <c r="AP60" i="25"/>
  <c r="P51" i="25"/>
  <c r="BJ36" i="25"/>
  <c r="E60" i="99"/>
  <c r="E100" i="99"/>
  <c r="E48" i="99"/>
  <c r="E84" i="99"/>
  <c r="E120" i="99"/>
  <c r="E52" i="99"/>
  <c r="E88" i="99"/>
  <c r="E124" i="99"/>
  <c r="BP47" i="25"/>
  <c r="BC29" i="25"/>
  <c r="E92" i="99"/>
  <c r="E36" i="99"/>
  <c r="AC63" i="25"/>
  <c r="CP57" i="25"/>
  <c r="AP40" i="25"/>
  <c r="D47" i="9"/>
  <c r="D38" i="9"/>
  <c r="E76" i="99"/>
  <c r="AW62" i="25"/>
  <c r="AP58" i="25"/>
  <c r="J51" i="25"/>
  <c r="M28" i="16"/>
  <c r="O28" i="16"/>
  <c r="F31" i="38"/>
  <c r="D23" i="38"/>
  <c r="I34" i="38"/>
  <c r="AJ61" i="25"/>
  <c r="BW58" i="25"/>
  <c r="CP56" i="25"/>
  <c r="CC50" i="25"/>
  <c r="BC38" i="25"/>
  <c r="AP36" i="25"/>
  <c r="J29" i="25"/>
  <c r="BJ28" i="25"/>
  <c r="H32" i="38" s="1"/>
  <c r="J35" i="38"/>
  <c r="P62" i="25"/>
  <c r="AW53" i="25"/>
  <c r="AP48" i="25"/>
  <c r="BP29" i="25"/>
  <c r="BP58" i="25"/>
  <c r="BC53" i="25"/>
  <c r="CC33" i="25"/>
  <c r="G27" i="38"/>
  <c r="BJ59" i="25"/>
  <c r="AW48" i="25"/>
  <c r="AK67" i="143"/>
  <c r="AA67" i="144" s="1"/>
  <c r="X24" i="40"/>
  <c r="D24" i="40"/>
  <c r="H13" i="155"/>
  <c r="AD64" i="143" l="1"/>
  <c r="U64" i="144" s="1"/>
  <c r="AC64" i="144" s="1"/>
  <c r="A29" i="115"/>
  <c r="AE58" i="144"/>
  <c r="AE62" i="144"/>
  <c r="G36" i="90"/>
  <c r="G40" i="90"/>
  <c r="S41" i="144"/>
  <c r="U96" i="92"/>
  <c r="U95" i="9" s="1"/>
  <c r="AH62" i="144"/>
  <c r="AI36" i="144"/>
  <c r="AD32" i="144"/>
  <c r="R43" i="144"/>
  <c r="J37" i="92"/>
  <c r="AD36" i="144"/>
  <c r="P41" i="144"/>
  <c r="AD33" i="144"/>
  <c r="AA53" i="143"/>
  <c r="J53" i="144" s="1"/>
  <c r="AD37" i="144"/>
  <c r="AF32" i="144"/>
  <c r="O43" i="144"/>
  <c r="AA43" i="143"/>
  <c r="J43" i="144" s="1"/>
  <c r="Z54" i="143"/>
  <c r="I54" i="144" s="1"/>
  <c r="AB65" i="144"/>
  <c r="AH43" i="143"/>
  <c r="X43" i="144" s="1"/>
  <c r="AH44" i="143"/>
  <c r="X44" i="144" s="1"/>
  <c r="X53" i="143"/>
  <c r="AE65" i="144"/>
  <c r="AH65" i="144"/>
  <c r="O45" i="143"/>
  <c r="AD63" i="143"/>
  <c r="U63" i="144" s="1"/>
  <c r="AC63" i="144" s="1"/>
  <c r="AC30" i="123"/>
  <c r="AS28" i="123"/>
  <c r="H28" i="123"/>
  <c r="F28" i="123"/>
  <c r="AH37" i="123"/>
  <c r="AN32" i="123"/>
  <c r="Y36" i="123"/>
  <c r="AB32" i="123"/>
  <c r="N32" i="123"/>
  <c r="X32" i="123"/>
  <c r="I34" i="43"/>
  <c r="F34" i="43"/>
  <c r="H34" i="43"/>
  <c r="G38" i="90"/>
  <c r="G47" i="90"/>
  <c r="K58" i="42"/>
  <c r="G42" i="90"/>
  <c r="G51" i="90"/>
  <c r="G37" i="90"/>
  <c r="G29" i="16" s="1"/>
  <c r="G46" i="90"/>
  <c r="G55" i="90"/>
  <c r="G41" i="90"/>
  <c r="G50" i="90"/>
  <c r="BH66" i="124"/>
  <c r="H126" i="90"/>
  <c r="H118" i="90"/>
  <c r="H110" i="90"/>
  <c r="H102" i="90"/>
  <c r="H125" i="90"/>
  <c r="H117" i="90"/>
  <c r="H109" i="90"/>
  <c r="H101" i="90"/>
  <c r="H93" i="90"/>
  <c r="H124" i="90"/>
  <c r="H116" i="90"/>
  <c r="H108" i="90"/>
  <c r="H100" i="90"/>
  <c r="H123" i="90"/>
  <c r="H115" i="90"/>
  <c r="H107" i="90"/>
  <c r="H99" i="90"/>
  <c r="H122" i="90"/>
  <c r="H114" i="90"/>
  <c r="H121" i="90"/>
  <c r="H113" i="90"/>
  <c r="H105" i="90"/>
  <c r="H97" i="90"/>
  <c r="H89" i="90"/>
  <c r="H120" i="90"/>
  <c r="H112" i="90"/>
  <c r="H104" i="90"/>
  <c r="H96" i="90"/>
  <c r="H119" i="90"/>
  <c r="H111" i="90"/>
  <c r="H92" i="90"/>
  <c r="H91" i="90"/>
  <c r="H58" i="90"/>
  <c r="H63" i="90"/>
  <c r="H90" i="90"/>
  <c r="H81" i="90"/>
  <c r="H73" i="90"/>
  <c r="H65" i="90"/>
  <c r="H57" i="90"/>
  <c r="H49" i="90"/>
  <c r="H41" i="90"/>
  <c r="H106" i="90"/>
  <c r="H88" i="90"/>
  <c r="H80" i="90"/>
  <c r="H72" i="90"/>
  <c r="H64" i="90"/>
  <c r="H56" i="90"/>
  <c r="H39" i="90"/>
  <c r="H103" i="90"/>
  <c r="H87" i="90"/>
  <c r="H79" i="90"/>
  <c r="H71" i="90"/>
  <c r="H98" i="90"/>
  <c r="H86" i="90"/>
  <c r="H78" i="90"/>
  <c r="H70" i="90"/>
  <c r="H62" i="90"/>
  <c r="H54" i="90"/>
  <c r="H46" i="90"/>
  <c r="H38" i="90"/>
  <c r="H59" i="90"/>
  <c r="H82" i="90"/>
  <c r="H50" i="90"/>
  <c r="H40" i="90"/>
  <c r="H95" i="90"/>
  <c r="H85" i="90"/>
  <c r="H77" i="90"/>
  <c r="H69" i="90"/>
  <c r="H61" i="90"/>
  <c r="H53" i="90"/>
  <c r="H45" i="90"/>
  <c r="H37" i="90"/>
  <c r="H29" i="16" s="1"/>
  <c r="H52" i="90"/>
  <c r="H83" i="90"/>
  <c r="H67" i="90"/>
  <c r="H43" i="90"/>
  <c r="H66" i="90"/>
  <c r="H48" i="90"/>
  <c r="H47" i="90"/>
  <c r="H94" i="90"/>
  <c r="H84" i="90"/>
  <c r="H76" i="90"/>
  <c r="H68" i="90"/>
  <c r="H60" i="90"/>
  <c r="H44" i="90"/>
  <c r="H36" i="90"/>
  <c r="H28" i="16" s="1"/>
  <c r="H75" i="90"/>
  <c r="H51" i="90"/>
  <c r="H74" i="90"/>
  <c r="H42" i="90"/>
  <c r="H55" i="90"/>
  <c r="G45" i="90"/>
  <c r="G54" i="90"/>
  <c r="G44" i="90"/>
  <c r="G49" i="90"/>
  <c r="G57" i="90"/>
  <c r="G48" i="90"/>
  <c r="G53" i="90"/>
  <c r="G39" i="90"/>
  <c r="G52" i="90"/>
  <c r="L28" i="16"/>
  <c r="L29" i="16"/>
  <c r="K29" i="16"/>
  <c r="K28" i="16"/>
  <c r="F28" i="16"/>
  <c r="J29" i="16"/>
  <c r="I29" i="16"/>
  <c r="J28" i="16"/>
  <c r="E28" i="16"/>
  <c r="F29" i="16"/>
  <c r="E29" i="16"/>
  <c r="I28" i="16"/>
  <c r="D29" i="16"/>
  <c r="G58" i="90"/>
  <c r="G43" i="90"/>
  <c r="G56" i="90"/>
  <c r="G60" i="90"/>
  <c r="G59" i="90"/>
  <c r="K77" i="42"/>
  <c r="L92" i="42"/>
  <c r="K29" i="42"/>
  <c r="J39" i="42"/>
  <c r="J84" i="42"/>
  <c r="J29" i="42"/>
  <c r="T50" i="124"/>
  <c r="BE51" i="124"/>
  <c r="AM31" i="124"/>
  <c r="AU53" i="124"/>
  <c r="E55" i="124"/>
  <c r="M50" i="124"/>
  <c r="BS74" i="124"/>
  <c r="Z52" i="124"/>
  <c r="AC89" i="124"/>
  <c r="W72" i="124"/>
  <c r="AM62" i="124"/>
  <c r="O51" i="9"/>
  <c r="BG33" i="123"/>
  <c r="AJ31" i="123"/>
  <c r="H38" i="123"/>
  <c r="D38" i="123"/>
  <c r="H29" i="123"/>
  <c r="AN34" i="123"/>
  <c r="AA40" i="123"/>
  <c r="Y34" i="123"/>
  <c r="L33" i="42"/>
  <c r="P33" i="123"/>
  <c r="AB29" i="123"/>
  <c r="BC33" i="123"/>
  <c r="Q38" i="144"/>
  <c r="BA70" i="124"/>
  <c r="AK67" i="124"/>
  <c r="AO72" i="124"/>
  <c r="G109" i="124"/>
  <c r="BI35" i="124"/>
  <c r="Y47" i="124"/>
  <c r="BK65" i="124"/>
  <c r="BG56" i="124"/>
  <c r="Z63" i="124"/>
  <c r="BG52" i="124"/>
  <c r="AA119" i="124"/>
  <c r="O29" i="16"/>
  <c r="S37" i="123"/>
  <c r="AW38" i="123"/>
  <c r="BE33" i="123"/>
  <c r="AU36" i="123"/>
  <c r="BF37" i="123"/>
  <c r="AU30" i="123"/>
  <c r="J30" i="123"/>
  <c r="L46" i="42"/>
  <c r="F35" i="123"/>
  <c r="S34" i="123"/>
  <c r="BC36" i="123"/>
  <c r="J29" i="123"/>
  <c r="K69" i="42"/>
  <c r="AH57" i="144"/>
  <c r="L37" i="144"/>
  <c r="AB58" i="144"/>
  <c r="T52" i="92"/>
  <c r="AI59" i="144"/>
  <c r="BG27" i="123"/>
  <c r="D35" i="47"/>
  <c r="BE38" i="123"/>
  <c r="BD28" i="123"/>
  <c r="Q36" i="123"/>
  <c r="AD38" i="123"/>
  <c r="AI29" i="123"/>
  <c r="AX36" i="123"/>
  <c r="Y32" i="123"/>
  <c r="T27" i="123"/>
  <c r="Z37" i="123"/>
  <c r="J38" i="123"/>
  <c r="Z35" i="123"/>
  <c r="G36" i="123"/>
  <c r="BE32" i="123"/>
  <c r="T31" i="123"/>
  <c r="T29" i="123"/>
  <c r="AX32" i="123"/>
  <c r="Y40" i="123"/>
  <c r="L77" i="42"/>
  <c r="AW39" i="123"/>
  <c r="J31" i="123"/>
  <c r="BH29" i="123"/>
  <c r="N39" i="123"/>
  <c r="D27" i="123"/>
  <c r="AM38" i="123"/>
  <c r="O37" i="123"/>
  <c r="L27" i="42"/>
  <c r="J78" i="42"/>
  <c r="AG60" i="143"/>
  <c r="R38" i="144"/>
  <c r="AB57" i="144"/>
  <c r="L62" i="144"/>
  <c r="Q62" i="144"/>
  <c r="BK73" i="124"/>
  <c r="AC52" i="124"/>
  <c r="BV62" i="124"/>
  <c r="D32" i="124"/>
  <c r="BX38" i="124"/>
  <c r="BF55" i="124"/>
  <c r="X26" i="124"/>
  <c r="F53" i="124"/>
  <c r="J116" i="124"/>
  <c r="CA63" i="124"/>
  <c r="O101" i="124"/>
  <c r="F39" i="123"/>
  <c r="AJ37" i="123"/>
  <c r="D32" i="47"/>
  <c r="AS37" i="123"/>
  <c r="AL40" i="123"/>
  <c r="G30" i="123"/>
  <c r="L113" i="42"/>
  <c r="K62" i="42"/>
  <c r="E37" i="47"/>
  <c r="R36" i="123"/>
  <c r="Z38" i="123"/>
  <c r="AI31" i="123"/>
  <c r="AT27" i="123"/>
  <c r="AF59" i="144"/>
  <c r="E39" i="47"/>
  <c r="D36" i="47"/>
  <c r="D39" i="47"/>
  <c r="AA38" i="123"/>
  <c r="AA35" i="123"/>
  <c r="BC38" i="123"/>
  <c r="L34" i="42"/>
  <c r="AN39" i="123"/>
  <c r="Q31" i="123"/>
  <c r="BB34" i="123"/>
  <c r="BD40" i="123"/>
  <c r="AB35" i="123"/>
  <c r="R32" i="123"/>
  <c r="AU27" i="123"/>
  <c r="E29" i="123"/>
  <c r="AW27" i="123"/>
  <c r="AX33" i="123"/>
  <c r="Z34" i="123"/>
  <c r="AU38" i="123"/>
  <c r="AS29" i="123"/>
  <c r="BC31" i="123"/>
  <c r="AD29" i="123"/>
  <c r="Z33" i="123"/>
  <c r="AN35" i="123"/>
  <c r="AM32" i="123"/>
  <c r="AK32" i="123"/>
  <c r="AM28" i="123"/>
  <c r="P37" i="123"/>
  <c r="E39" i="123"/>
  <c r="AD31" i="123"/>
  <c r="AT30" i="123"/>
  <c r="AX37" i="123"/>
  <c r="L84" i="42"/>
  <c r="J117" i="42"/>
  <c r="AI59" i="143"/>
  <c r="Y59" i="144" s="1"/>
  <c r="S67" i="144"/>
  <c r="P67" i="144"/>
  <c r="Q37" i="144"/>
  <c r="Z53" i="143"/>
  <c r="I53" i="144" s="1"/>
  <c r="X54" i="143"/>
  <c r="X70" i="124"/>
  <c r="BA31" i="124"/>
  <c r="BU47" i="124"/>
  <c r="BA27" i="124"/>
  <c r="T35" i="124"/>
  <c r="BY56" i="124"/>
  <c r="BI52" i="124"/>
  <c r="AJ71" i="124"/>
  <c r="N35" i="124"/>
  <c r="AR65" i="124"/>
  <c r="T91" i="124"/>
  <c r="AV31" i="123"/>
  <c r="G71" i="143"/>
  <c r="E32" i="47"/>
  <c r="E36" i="47"/>
  <c r="D34" i="47"/>
  <c r="O28" i="123"/>
  <c r="J47" i="42"/>
  <c r="G37" i="123"/>
  <c r="AR38" i="123"/>
  <c r="AR35" i="123"/>
  <c r="I40" i="123"/>
  <c r="I28" i="123"/>
  <c r="E28" i="47"/>
  <c r="Q37" i="123"/>
  <c r="T38" i="123"/>
  <c r="BG32" i="123"/>
  <c r="AX38" i="123"/>
  <c r="BB37" i="123"/>
  <c r="Q30" i="123"/>
  <c r="I35" i="123"/>
  <c r="AD30" i="123"/>
  <c r="Z28" i="123"/>
  <c r="AV40" i="123"/>
  <c r="O35" i="123"/>
  <c r="AD32" i="123"/>
  <c r="BF40" i="123"/>
  <c r="AU39" i="123"/>
  <c r="X31" i="123"/>
  <c r="AL39" i="123"/>
  <c r="AB27" i="123"/>
  <c r="AK39" i="123"/>
  <c r="I33" i="123"/>
  <c r="E38" i="123"/>
  <c r="AB36" i="123"/>
  <c r="K105" i="42"/>
  <c r="K27" i="42"/>
  <c r="AH59" i="143"/>
  <c r="X59" i="144" s="1"/>
  <c r="O38" i="144"/>
  <c r="R37" i="144"/>
  <c r="R62" i="144"/>
  <c r="AD34" i="143"/>
  <c r="U34" i="144" s="1"/>
  <c r="AC34" i="144" s="1"/>
  <c r="AP52" i="124"/>
  <c r="AJ123" i="124"/>
  <c r="J38" i="124"/>
  <c r="BF63" i="124"/>
  <c r="D38" i="124"/>
  <c r="BW32" i="124"/>
  <c r="BS64" i="124"/>
  <c r="M51" i="124"/>
  <c r="AR47" i="124"/>
  <c r="BE49" i="124"/>
  <c r="BK50" i="124"/>
  <c r="AB27" i="144"/>
  <c r="AD33" i="143"/>
  <c r="U33" i="144" s="1"/>
  <c r="AC33" i="144" s="1"/>
  <c r="BW34" i="124"/>
  <c r="AD45" i="124"/>
  <c r="AR38" i="124"/>
  <c r="W54" i="124"/>
  <c r="BF51" i="124"/>
  <c r="AE28" i="124"/>
  <c r="E83" i="124"/>
  <c r="AC29" i="124"/>
  <c r="AS45" i="124"/>
  <c r="O55" i="124"/>
  <c r="AS87" i="124"/>
  <c r="L45" i="144"/>
  <c r="D47" i="29"/>
  <c r="BH38" i="123"/>
  <c r="AT29" i="123"/>
  <c r="D31" i="47"/>
  <c r="H31" i="123"/>
  <c r="AA33" i="123"/>
  <c r="AN30" i="123"/>
  <c r="D40" i="123"/>
  <c r="BE30" i="123"/>
  <c r="AM39" i="123"/>
  <c r="D32" i="123"/>
  <c r="AR39" i="123"/>
  <c r="J37" i="123"/>
  <c r="BC40" i="123"/>
  <c r="D30" i="123"/>
  <c r="AI35" i="123"/>
  <c r="X30" i="123"/>
  <c r="AI34" i="123"/>
  <c r="F30" i="123"/>
  <c r="AL31" i="123"/>
  <c r="K35" i="42"/>
  <c r="BF32" i="123"/>
  <c r="AH33" i="123"/>
  <c r="G39" i="123"/>
  <c r="Q38" i="123"/>
  <c r="AW35" i="123"/>
  <c r="BG38" i="123"/>
  <c r="J40" i="123"/>
  <c r="N40" i="123"/>
  <c r="BH40" i="123"/>
  <c r="X29" i="123"/>
  <c r="AN37" i="123"/>
  <c r="G27" i="123"/>
  <c r="AN29" i="123"/>
  <c r="BH39" i="123"/>
  <c r="M29" i="16"/>
  <c r="AF28" i="144"/>
  <c r="AH60" i="143"/>
  <c r="X60" i="144" s="1"/>
  <c r="AG58" i="144"/>
  <c r="I29" i="146"/>
  <c r="I30" i="146" s="1"/>
  <c r="I45" i="143"/>
  <c r="BI31" i="124"/>
  <c r="BY63" i="124"/>
  <c r="AS46" i="124"/>
  <c r="BW49" i="124"/>
  <c r="BA37" i="124"/>
  <c r="AL56" i="124"/>
  <c r="J36" i="124"/>
  <c r="AO37" i="124"/>
  <c r="AO31" i="124"/>
  <c r="BS47" i="124"/>
  <c r="AS63" i="124"/>
  <c r="BE53" i="124"/>
  <c r="D104" i="124"/>
  <c r="AQ32" i="124"/>
  <c r="Z65" i="124"/>
  <c r="AM33" i="124"/>
  <c r="AA54" i="124"/>
  <c r="Z50" i="124"/>
  <c r="BH29" i="124"/>
  <c r="AE32" i="124"/>
  <c r="AQ46" i="124"/>
  <c r="AQ54" i="124"/>
  <c r="AE28" i="144"/>
  <c r="R45" i="144"/>
  <c r="N37" i="123"/>
  <c r="AW40" i="123"/>
  <c r="K64" i="42"/>
  <c r="Z40" i="123"/>
  <c r="J41" i="42"/>
  <c r="T32" i="123"/>
  <c r="O39" i="123"/>
  <c r="L95" i="42"/>
  <c r="AI69" i="143"/>
  <c r="AD40" i="143"/>
  <c r="U40" i="144" s="1"/>
  <c r="AC40" i="144" s="1"/>
  <c r="AG52" i="144"/>
  <c r="I56" i="124"/>
  <c r="AZ27" i="124"/>
  <c r="AN71" i="124"/>
  <c r="AS55" i="124"/>
  <c r="AE52" i="124"/>
  <c r="BW66" i="124"/>
  <c r="BR64" i="124"/>
  <c r="AN62" i="124"/>
  <c r="AN118" i="124"/>
  <c r="W36" i="124"/>
  <c r="N47" i="124"/>
  <c r="Y66" i="124"/>
  <c r="K32" i="124"/>
  <c r="BF52" i="124"/>
  <c r="BE63" i="124"/>
  <c r="BE36" i="124"/>
  <c r="F33" i="124"/>
  <c r="AZ31" i="124"/>
  <c r="K38" i="124"/>
  <c r="AU37" i="124"/>
  <c r="V47" i="124"/>
  <c r="BU70" i="124"/>
  <c r="BC55" i="124"/>
  <c r="AZ52" i="124"/>
  <c r="BI54" i="124"/>
  <c r="K56" i="124"/>
  <c r="BQ54" i="124"/>
  <c r="BI65" i="124"/>
  <c r="AM70" i="124"/>
  <c r="K103" i="124"/>
  <c r="CA29" i="124"/>
  <c r="O52" i="124"/>
  <c r="AQ28" i="124"/>
  <c r="BV68" i="124"/>
  <c r="BI45" i="124"/>
  <c r="BC36" i="124"/>
  <c r="BG46" i="124"/>
  <c r="BU33" i="124"/>
  <c r="AO47" i="124"/>
  <c r="AN27" i="124"/>
  <c r="CA37" i="124"/>
  <c r="W34" i="124"/>
  <c r="AT50" i="124"/>
  <c r="W49" i="124"/>
  <c r="H56" i="124"/>
  <c r="E53" i="124"/>
  <c r="BJ44" i="124"/>
  <c r="AZ49" i="124"/>
  <c r="I65" i="124"/>
  <c r="W67" i="124"/>
  <c r="Y32" i="124"/>
  <c r="BK26" i="124"/>
  <c r="AK45" i="124"/>
  <c r="BB67" i="124"/>
  <c r="AC31" i="124"/>
  <c r="BY73" i="124"/>
  <c r="Y116" i="124"/>
  <c r="BQ28" i="124"/>
  <c r="BI29" i="124"/>
  <c r="BX32" i="124"/>
  <c r="AQ36" i="124"/>
  <c r="AA44" i="124"/>
  <c r="AQ68" i="124"/>
  <c r="X85" i="124"/>
  <c r="H52" i="124"/>
  <c r="BT44" i="124"/>
  <c r="AS36" i="124"/>
  <c r="W38" i="124"/>
  <c r="AO68" i="124"/>
  <c r="BZ74" i="124"/>
  <c r="BJ72" i="124"/>
  <c r="J30" i="124"/>
  <c r="BH48" i="124"/>
  <c r="AP44" i="124"/>
  <c r="BR55" i="124"/>
  <c r="AC123" i="124"/>
  <c r="BJ63" i="124"/>
  <c r="AB116" i="124"/>
  <c r="AN55" i="124"/>
  <c r="AQ73" i="124"/>
  <c r="BA64" i="124"/>
  <c r="AM86" i="124"/>
  <c r="BA71" i="124"/>
  <c r="J52" i="124"/>
  <c r="I102" i="124"/>
  <c r="AB65" i="124"/>
  <c r="E122" i="124"/>
  <c r="O26" i="124"/>
  <c r="BJ29" i="124"/>
  <c r="E35" i="124"/>
  <c r="K46" i="124"/>
  <c r="BF28" i="124"/>
  <c r="M37" i="124"/>
  <c r="BZ36" i="124"/>
  <c r="AT30" i="124"/>
  <c r="M38" i="124"/>
  <c r="AD37" i="124"/>
  <c r="AL34" i="124"/>
  <c r="BE74" i="124"/>
  <c r="BJ31" i="124"/>
  <c r="M29" i="124"/>
  <c r="F45" i="124"/>
  <c r="BB27" i="124"/>
  <c r="M35" i="124"/>
  <c r="AU38" i="124"/>
  <c r="L26" i="124"/>
  <c r="AZ30" i="124"/>
  <c r="J33" i="124"/>
  <c r="BA36" i="124"/>
  <c r="Z27" i="124"/>
  <c r="BR31" i="124"/>
  <c r="CA103" i="124"/>
  <c r="BZ122" i="124"/>
  <c r="BB83" i="124"/>
  <c r="BQ84" i="124"/>
  <c r="BP103" i="124"/>
  <c r="CA121" i="124"/>
  <c r="BC82" i="124"/>
  <c r="BR83" i="124"/>
  <c r="BQ102" i="124"/>
  <c r="BP121" i="124"/>
  <c r="BD81" i="124"/>
  <c r="AL109" i="124"/>
  <c r="AS126" i="124"/>
  <c r="BG127" i="124"/>
  <c r="AU28" i="124"/>
  <c r="E52" i="124"/>
  <c r="AJ33" i="124"/>
  <c r="AK50" i="124"/>
  <c r="BA26" i="124"/>
  <c r="I35" i="124"/>
  <c r="BB34" i="124"/>
  <c r="CA118" i="124"/>
  <c r="BC110" i="124"/>
  <c r="BR80" i="124"/>
  <c r="BQ99" i="124"/>
  <c r="BP118" i="124"/>
  <c r="BD109" i="124"/>
  <c r="BC92" i="124"/>
  <c r="BR98" i="124"/>
  <c r="BQ117" i="124"/>
  <c r="BE108" i="124"/>
  <c r="BD91" i="124"/>
  <c r="AL124" i="124"/>
  <c r="AQ29" i="124"/>
  <c r="I53" i="124"/>
  <c r="AR33" i="124"/>
  <c r="AO55" i="124"/>
  <c r="BI26" i="124"/>
  <c r="M34" i="124"/>
  <c r="BJ34" i="124"/>
  <c r="BS118" i="124"/>
  <c r="BG109" i="124"/>
  <c r="BF92" i="124"/>
  <c r="BU98" i="124"/>
  <c r="BT117" i="124"/>
  <c r="BH108" i="124"/>
  <c r="BQ44" i="124"/>
  <c r="AT38" i="124"/>
  <c r="N26" i="124"/>
  <c r="J44" i="124"/>
  <c r="AL38" i="124"/>
  <c r="E38" i="124"/>
  <c r="BR34" i="124"/>
  <c r="AL26" i="124"/>
  <c r="AK54" i="124"/>
  <c r="AD33" i="124"/>
  <c r="AL28" i="124"/>
  <c r="G53" i="124"/>
  <c r="BJ27" i="124"/>
  <c r="I34" i="124"/>
  <c r="BV37" i="124"/>
  <c r="AL36" i="124"/>
  <c r="AU86" i="124"/>
  <c r="BC31" i="124"/>
  <c r="G34" i="124"/>
  <c r="BD35" i="124"/>
  <c r="F28" i="124"/>
  <c r="BU28" i="124"/>
  <c r="AD32" i="124"/>
  <c r="BV36" i="124"/>
  <c r="BW98" i="124"/>
  <c r="BV117" i="124"/>
  <c r="BJ108" i="124"/>
  <c r="BI91" i="124"/>
  <c r="BX92" i="124"/>
  <c r="BW116" i="124"/>
  <c r="BK107" i="124"/>
  <c r="BJ90" i="124"/>
  <c r="BY91" i="124"/>
  <c r="BX110" i="124"/>
  <c r="AZ107" i="124"/>
  <c r="AT103" i="124"/>
  <c r="AO121" i="124"/>
  <c r="BC122" i="124"/>
  <c r="AM34" i="124"/>
  <c r="BA47" i="124"/>
  <c r="AN38" i="124"/>
  <c r="F38" i="124"/>
  <c r="BE31" i="124"/>
  <c r="E30" i="124"/>
  <c r="BV26" i="124"/>
  <c r="BW108" i="124"/>
  <c r="BV127" i="124"/>
  <c r="BJ87" i="124"/>
  <c r="BY88" i="124"/>
  <c r="BX107" i="124"/>
  <c r="BW126" i="124"/>
  <c r="BK86" i="124"/>
  <c r="BZ87" i="124"/>
  <c r="BY106" i="124"/>
  <c r="BX125" i="124"/>
  <c r="AZ86" i="124"/>
  <c r="AT118" i="124"/>
  <c r="AU34" i="124"/>
  <c r="BE52" i="124"/>
  <c r="AZ26" i="124"/>
  <c r="J37" i="124"/>
  <c r="BA32" i="124"/>
  <c r="I29" i="124"/>
  <c r="BR27" i="124"/>
  <c r="CA107" i="124"/>
  <c r="BZ126" i="124"/>
  <c r="BB87" i="124"/>
  <c r="BQ88" i="124"/>
  <c r="BP107" i="124"/>
  <c r="CA125" i="124"/>
  <c r="BC86" i="124"/>
  <c r="BR87" i="124"/>
  <c r="BQ106" i="124"/>
  <c r="BP125" i="124"/>
  <c r="BD85" i="124"/>
  <c r="AL118" i="124"/>
  <c r="AE37" i="124"/>
  <c r="M46" i="124"/>
  <c r="AJ29" i="124"/>
  <c r="F52" i="124"/>
  <c r="AK35" i="124"/>
  <c r="BI53" i="124"/>
  <c r="BB30" i="124"/>
  <c r="CA122" i="124"/>
  <c r="BC83" i="124"/>
  <c r="BR84" i="124"/>
  <c r="G49" i="124"/>
  <c r="AP33" i="124"/>
  <c r="H26" i="124"/>
  <c r="BR36" i="124"/>
  <c r="AT32" i="124"/>
  <c r="J26" i="124"/>
  <c r="BR30" i="124"/>
  <c r="Z34" i="124"/>
  <c r="BR32" i="124"/>
  <c r="AD29" i="124"/>
  <c r="V37" i="124"/>
  <c r="J47" i="124"/>
  <c r="AP37" i="124"/>
  <c r="I38" i="124"/>
  <c r="BV35" i="124"/>
  <c r="AP31" i="124"/>
  <c r="D33" i="124"/>
  <c r="BG36" i="124"/>
  <c r="O28" i="124"/>
  <c r="BX27" i="124"/>
  <c r="U30" i="124"/>
  <c r="BY33" i="124"/>
  <c r="V38" i="124"/>
  <c r="D47" i="124"/>
  <c r="BS88" i="124"/>
  <c r="BR107" i="124"/>
  <c r="BQ126" i="124"/>
  <c r="BE86" i="124"/>
  <c r="BT87" i="124"/>
  <c r="BS106" i="124"/>
  <c r="BR125" i="124"/>
  <c r="BF85" i="124"/>
  <c r="BU86" i="124"/>
  <c r="BT105" i="124"/>
  <c r="BB102" i="124"/>
  <c r="AP98" i="124"/>
  <c r="AK116" i="124"/>
  <c r="BK116" i="124"/>
  <c r="BG26" i="124"/>
  <c r="O38" i="124"/>
  <c r="BH30" i="124"/>
  <c r="N32" i="124"/>
  <c r="BI36" i="124"/>
  <c r="V28" i="124"/>
  <c r="BZ31" i="124"/>
  <c r="BS103" i="124"/>
  <c r="BR122" i="124"/>
  <c r="BF82" i="124"/>
  <c r="BU83" i="124"/>
  <c r="BT102" i="124"/>
  <c r="BS121" i="124"/>
  <c r="BG81" i="124"/>
  <c r="BV82" i="124"/>
  <c r="BU101" i="124"/>
  <c r="BT120" i="124"/>
  <c r="BH80" i="124"/>
  <c r="AP108" i="124"/>
  <c r="BC27" i="124"/>
  <c r="G38" i="124"/>
  <c r="BD31" i="124"/>
  <c r="F32" i="124"/>
  <c r="BE37" i="124"/>
  <c r="AD28" i="124"/>
  <c r="BV32" i="124"/>
  <c r="BW102" i="124"/>
  <c r="BV121" i="124"/>
  <c r="BJ81" i="124"/>
  <c r="BY82" i="124"/>
  <c r="BX101" i="124"/>
  <c r="BW120" i="124"/>
  <c r="BK80" i="124"/>
  <c r="BZ81" i="124"/>
  <c r="BY100" i="124"/>
  <c r="BX119" i="124"/>
  <c r="AZ80" i="124"/>
  <c r="AT107" i="124"/>
  <c r="AM30" i="124"/>
  <c r="M54" i="124"/>
  <c r="AN34" i="124"/>
  <c r="BI47" i="124"/>
  <c r="BE27" i="124"/>
  <c r="E34" i="124"/>
  <c r="BF35" i="124"/>
  <c r="BW117" i="124"/>
  <c r="BK108" i="124"/>
  <c r="BJ91" i="124"/>
  <c r="BR38" i="124"/>
  <c r="AT28" i="124"/>
  <c r="D26" i="124"/>
  <c r="BV33" i="124"/>
  <c r="AP27" i="124"/>
  <c r="BE46" i="124"/>
  <c r="BZ26" i="124"/>
  <c r="Z28" i="124"/>
  <c r="BB35" i="124"/>
  <c r="I28" i="124"/>
  <c r="V33" i="124"/>
  <c r="BZ38" i="124"/>
  <c r="AT34" i="124"/>
  <c r="M26" i="124"/>
  <c r="BV31" i="124"/>
  <c r="AT26" i="124"/>
  <c r="L27" i="124"/>
  <c r="CA28" i="124"/>
  <c r="X29" i="124"/>
  <c r="BP33" i="124"/>
  <c r="Y35" i="124"/>
  <c r="E44" i="124"/>
  <c r="AP30" i="124"/>
  <c r="E56" i="124"/>
  <c r="CA82" i="124"/>
  <c r="BZ101" i="124"/>
  <c r="BY120" i="124"/>
  <c r="BA81" i="124"/>
  <c r="BP82" i="124"/>
  <c r="CA100" i="124"/>
  <c r="BZ119" i="124"/>
  <c r="BB80" i="124"/>
  <c r="BQ81" i="124"/>
  <c r="BP100" i="124"/>
  <c r="BJ127" i="124"/>
  <c r="V106" i="124"/>
  <c r="AS105" i="124"/>
  <c r="H38" i="124"/>
  <c r="BK31" i="124"/>
  <c r="K33" i="124"/>
  <c r="AZ36" i="124"/>
  <c r="J27" i="124"/>
  <c r="BQ29" i="124"/>
  <c r="Z33" i="124"/>
  <c r="BR37" i="124"/>
  <c r="CA92" i="124"/>
  <c r="BZ116" i="124"/>
  <c r="BB108" i="124"/>
  <c r="BA91" i="124"/>
  <c r="BP92" i="124"/>
  <c r="CA110" i="124"/>
  <c r="BC107" i="124"/>
  <c r="BB90" i="124"/>
  <c r="BQ91" i="124"/>
  <c r="BP110" i="124"/>
  <c r="BD106" i="124"/>
  <c r="D37" i="124"/>
  <c r="BG32" i="124"/>
  <c r="O32" i="124"/>
  <c r="BH36" i="124"/>
  <c r="U26" i="124"/>
  <c r="BY29" i="124"/>
  <c r="V34" i="124"/>
  <c r="BZ37" i="124"/>
  <c r="BS92" i="124"/>
  <c r="BR116" i="124"/>
  <c r="BF107" i="124"/>
  <c r="BE90" i="124"/>
  <c r="BT91" i="124"/>
  <c r="BS110" i="124"/>
  <c r="BG106" i="124"/>
  <c r="BF89" i="124"/>
  <c r="BU90" i="124"/>
  <c r="BT109" i="124"/>
  <c r="BB106" i="124"/>
  <c r="AP102" i="124"/>
  <c r="AQ35" i="124"/>
  <c r="BY44" i="124"/>
  <c r="BH26" i="124"/>
  <c r="N36" i="124"/>
  <c r="BI32" i="124"/>
  <c r="M28" i="124"/>
  <c r="BZ27" i="124"/>
  <c r="BS107" i="124"/>
  <c r="BR126" i="124"/>
  <c r="BF86" i="124"/>
  <c r="BZ32" i="124"/>
  <c r="Z36" i="124"/>
  <c r="BI51" i="124"/>
  <c r="BV29" i="124"/>
  <c r="AD35" i="124"/>
  <c r="AS48" i="124"/>
  <c r="BJ35" i="124"/>
  <c r="M27" i="124"/>
  <c r="BB29" i="124"/>
  <c r="E33" i="124"/>
  <c r="V29" i="124"/>
  <c r="BZ34" i="124"/>
  <c r="AL30" i="124"/>
  <c r="BV64" i="124"/>
  <c r="BR28" i="124"/>
  <c r="V35" i="124"/>
  <c r="AA30" i="124"/>
  <c r="BS34" i="124"/>
  <c r="AB34" i="124"/>
  <c r="BT38" i="124"/>
  <c r="AS27" i="124"/>
  <c r="I50" i="124"/>
  <c r="AT35" i="124"/>
  <c r="BZ48" i="124"/>
  <c r="BG90" i="124"/>
  <c r="BV91" i="124"/>
  <c r="BU110" i="124"/>
  <c r="BI106" i="124"/>
  <c r="BH89" i="124"/>
  <c r="BW90" i="124"/>
  <c r="BV109" i="124"/>
  <c r="BU128" i="124"/>
  <c r="BI88" i="124"/>
  <c r="BX89" i="124"/>
  <c r="BF122" i="124"/>
  <c r="BA104" i="124"/>
  <c r="AO100" i="124"/>
  <c r="H32" i="124"/>
  <c r="BC37" i="124"/>
  <c r="G28" i="124"/>
  <c r="BT28" i="124"/>
  <c r="AC30" i="124"/>
  <c r="BU34" i="124"/>
  <c r="AD38" i="124"/>
  <c r="O47" i="124"/>
  <c r="BW87" i="124"/>
  <c r="BV106" i="124"/>
  <c r="BU125" i="124"/>
  <c r="BI85" i="124"/>
  <c r="BX86" i="124"/>
  <c r="BW105" i="124"/>
  <c r="BV124" i="124"/>
  <c r="BJ84" i="124"/>
  <c r="BY85" i="124"/>
  <c r="BX104" i="124"/>
  <c r="BF101" i="124"/>
  <c r="L31" i="124"/>
  <c r="BK37" i="124"/>
  <c r="K27" i="124"/>
  <c r="BP29" i="124"/>
  <c r="Y31" i="124"/>
  <c r="BQ35" i="124"/>
  <c r="AP26" i="124"/>
  <c r="N48" i="124"/>
  <c r="CA86" i="124"/>
  <c r="BZ105" i="124"/>
  <c r="BY124" i="124"/>
  <c r="BA85" i="124"/>
  <c r="BP86" i="124"/>
  <c r="CA104" i="124"/>
  <c r="BZ123" i="124"/>
  <c r="BB84" i="124"/>
  <c r="BQ85" i="124"/>
  <c r="BP104" i="124"/>
  <c r="BJ100" i="124"/>
  <c r="V110" i="124"/>
  <c r="BK27" i="124"/>
  <c r="K37" i="124"/>
  <c r="AZ32" i="124"/>
  <c r="J31" i="124"/>
  <c r="BA38" i="124"/>
  <c r="Z29" i="124"/>
  <c r="BR33" i="124"/>
  <c r="CA101" i="124"/>
  <c r="BZ28" i="124"/>
  <c r="AD31" i="124"/>
  <c r="Y56" i="124"/>
  <c r="BV27" i="124"/>
  <c r="Z30" i="124"/>
  <c r="AC45" i="124"/>
  <c r="BB31" i="124"/>
  <c r="M31" i="124"/>
  <c r="AT36" i="124"/>
  <c r="F26" i="124"/>
  <c r="E29" i="124"/>
  <c r="BZ30" i="124"/>
  <c r="Z38" i="124"/>
  <c r="U51" i="124"/>
  <c r="BF38" i="124"/>
  <c r="V31" i="124"/>
  <c r="AE35" i="124"/>
  <c r="K44" i="124"/>
  <c r="AJ27" i="124"/>
  <c r="J49" i="124"/>
  <c r="AK33" i="124"/>
  <c r="AS50" i="124"/>
  <c r="BB28" i="124"/>
  <c r="CA124" i="124"/>
  <c r="BC85" i="124"/>
  <c r="BR86" i="124"/>
  <c r="BQ105" i="124"/>
  <c r="BP124" i="124"/>
  <c r="BD84" i="124"/>
  <c r="BS85" i="124"/>
  <c r="BR104" i="124"/>
  <c r="BQ123" i="124"/>
  <c r="BE83" i="124"/>
  <c r="BT84" i="124"/>
  <c r="BB117" i="124"/>
  <c r="BI98" i="124"/>
  <c r="U108" i="124"/>
  <c r="D27" i="124"/>
  <c r="BW29" i="124"/>
  <c r="T30" i="124"/>
  <c r="BX33" i="124"/>
  <c r="U36" i="124"/>
  <c r="M44" i="124"/>
  <c r="AL31" i="124"/>
  <c r="Y48" i="124"/>
  <c r="BS82" i="124"/>
  <c r="BR101" i="124"/>
  <c r="BQ120" i="124"/>
  <c r="BE80" i="124"/>
  <c r="BT81" i="124"/>
  <c r="BS100" i="124"/>
  <c r="BR119" i="124"/>
  <c r="BF110" i="124"/>
  <c r="BU80" i="124"/>
  <c r="BT99" i="124"/>
  <c r="BB127" i="124"/>
  <c r="AA26" i="124"/>
  <c r="BS30" i="124"/>
  <c r="AB30" i="124"/>
  <c r="BT34" i="124"/>
  <c r="AC36" i="124"/>
  <c r="I45" i="124"/>
  <c r="AT31" i="124"/>
  <c r="AC53" i="124"/>
  <c r="BW81" i="124"/>
  <c r="BV100" i="124"/>
  <c r="BU119" i="124"/>
  <c r="BI110" i="124"/>
  <c r="BX80" i="124"/>
  <c r="BW99" i="124"/>
  <c r="BV118" i="124"/>
  <c r="BJ109" i="124"/>
  <c r="BI92" i="124"/>
  <c r="BX98" i="124"/>
  <c r="BF126" i="124"/>
  <c r="H36" i="124"/>
  <c r="BC33" i="124"/>
  <c r="G32" i="124"/>
  <c r="BD37" i="124"/>
  <c r="AC26" i="124"/>
  <c r="BU30" i="124"/>
  <c r="AD34" i="124"/>
  <c r="BV38" i="124"/>
  <c r="BW91" i="124"/>
  <c r="BB37" i="124"/>
  <c r="V27" i="124"/>
  <c r="K54" i="124"/>
  <c r="BJ37" i="124"/>
  <c r="E27" i="124"/>
  <c r="D51" i="124"/>
  <c r="BF26" i="124"/>
  <c r="I36" i="124"/>
  <c r="AL32" i="124"/>
  <c r="K26" i="124"/>
  <c r="M33" i="124"/>
  <c r="BR26" i="124"/>
  <c r="Z32" i="124"/>
  <c r="O51" i="124"/>
  <c r="BJ33" i="124"/>
  <c r="Z26" i="124"/>
  <c r="AM28" i="124"/>
  <c r="E51" i="124"/>
  <c r="AN32" i="124"/>
  <c r="AS44" i="124"/>
  <c r="BF32" i="124"/>
  <c r="I30" i="124"/>
  <c r="F50" i="124"/>
  <c r="BB33" i="124"/>
  <c r="I32" i="124"/>
  <c r="N45" i="124"/>
  <c r="AP35" i="124"/>
  <c r="I37" i="124"/>
  <c r="AP29" i="124"/>
  <c r="BF36" i="124"/>
  <c r="E37" i="124"/>
  <c r="BF34" i="124"/>
  <c r="AD27" i="124"/>
  <c r="H48" i="124"/>
  <c r="BF30" i="124"/>
  <c r="E31" i="124"/>
  <c r="AQ33" i="124"/>
  <c r="AS54" i="124"/>
  <c r="AR37" i="124"/>
  <c r="N38" i="124"/>
  <c r="BI30" i="124"/>
  <c r="M30" i="124"/>
  <c r="BJ38" i="124"/>
  <c r="BS109" i="124"/>
  <c r="BR128" i="124"/>
  <c r="BF88" i="124"/>
  <c r="BU89" i="124"/>
  <c r="BT108" i="124"/>
  <c r="BS127" i="124"/>
  <c r="BG87" i="124"/>
  <c r="BV88" i="124"/>
  <c r="BU107" i="124"/>
  <c r="BT126" i="124"/>
  <c r="BH86" i="124"/>
  <c r="AP119" i="124"/>
  <c r="BA119" i="124"/>
  <c r="BK101" i="124"/>
  <c r="AA36" i="124"/>
  <c r="G45" i="124"/>
  <c r="AR27" i="124"/>
  <c r="H50" i="124"/>
  <c r="AS33" i="124"/>
  <c r="AK56" i="124"/>
  <c r="BJ28" i="124"/>
  <c r="BS124" i="124"/>
  <c r="BG84" i="124"/>
  <c r="BV85" i="124"/>
  <c r="BU104" i="124"/>
  <c r="BT123" i="124"/>
  <c r="BH83" i="124"/>
  <c r="BW84" i="124"/>
  <c r="BV103" i="124"/>
  <c r="BU122" i="124"/>
  <c r="BI82" i="124"/>
  <c r="BX83" i="124"/>
  <c r="BF116" i="124"/>
  <c r="W37" i="124"/>
  <c r="O45" i="124"/>
  <c r="AN28" i="124"/>
  <c r="G51" i="124"/>
  <c r="AO34" i="124"/>
  <c r="BE48" i="124"/>
  <c r="BF29" i="124"/>
  <c r="BW123" i="124"/>
  <c r="BK83" i="124"/>
  <c r="BZ84" i="124"/>
  <c r="BY103" i="124"/>
  <c r="BX122" i="124"/>
  <c r="AZ83" i="124"/>
  <c r="CA83" i="124"/>
  <c r="BZ102" i="124"/>
  <c r="BY121" i="124"/>
  <c r="BA82" i="124"/>
  <c r="BP83" i="124"/>
  <c r="AT128" i="124"/>
  <c r="W27" i="124"/>
  <c r="CA30" i="124"/>
  <c r="X31" i="124"/>
  <c r="BP35" i="124"/>
  <c r="Y37" i="124"/>
  <c r="F46" i="124"/>
  <c r="AP32" i="124"/>
  <c r="AK46" i="124"/>
  <c r="CA80" i="124"/>
  <c r="BZ99" i="124"/>
  <c r="AO38" i="124"/>
  <c r="AZ110" i="124"/>
  <c r="AC102" i="124"/>
  <c r="BB62" i="124"/>
  <c r="BY127" i="124"/>
  <c r="AK29" i="124"/>
  <c r="BD88" i="124"/>
  <c r="BI107" i="124"/>
  <c r="BS36" i="124"/>
  <c r="K53" i="124"/>
  <c r="BV110" i="124"/>
  <c r="BQ103" i="124"/>
  <c r="BP122" i="124"/>
  <c r="BD82" i="124"/>
  <c r="BS83" i="124"/>
  <c r="BR102" i="124"/>
  <c r="BQ121" i="124"/>
  <c r="BE81" i="124"/>
  <c r="BT82" i="124"/>
  <c r="AL128" i="124"/>
  <c r="BI127" i="124"/>
  <c r="U106" i="124"/>
  <c r="AE27" i="124"/>
  <c r="BW31" i="124"/>
  <c r="T32" i="124"/>
  <c r="BX35" i="124"/>
  <c r="U38" i="124"/>
  <c r="O46" i="124"/>
  <c r="AL33" i="124"/>
  <c r="AO51" i="124"/>
  <c r="BS80" i="124"/>
  <c r="BR99" i="124"/>
  <c r="AA28" i="124"/>
  <c r="BS32" i="124"/>
  <c r="AB32" i="124"/>
  <c r="BT36" i="124"/>
  <c r="AC38" i="124"/>
  <c r="M47" i="124"/>
  <c r="AT33" i="124"/>
  <c r="AS56" i="124"/>
  <c r="BG92" i="124"/>
  <c r="BV98" i="124"/>
  <c r="BU117" i="124"/>
  <c r="BI108" i="124"/>
  <c r="BH91" i="124"/>
  <c r="BW92" i="124"/>
  <c r="BV116" i="124"/>
  <c r="BJ107" i="124"/>
  <c r="BI90" i="124"/>
  <c r="BX91" i="124"/>
  <c r="BF124" i="124"/>
  <c r="W29" i="124"/>
  <c r="CA32" i="124"/>
  <c r="X33" i="124"/>
  <c r="BP37" i="124"/>
  <c r="AO26" i="124"/>
  <c r="M48" i="124"/>
  <c r="AP34" i="124"/>
  <c r="BA49" i="124"/>
  <c r="BK91" i="124"/>
  <c r="BZ92" i="124"/>
  <c r="BY116" i="124"/>
  <c r="BA108" i="124"/>
  <c r="AZ91" i="124"/>
  <c r="CA91" i="124"/>
  <c r="BZ110" i="124"/>
  <c r="BB107" i="124"/>
  <c r="BA90" i="124"/>
  <c r="BP91" i="124"/>
  <c r="BJ123" i="124"/>
  <c r="BK35" i="124"/>
  <c r="BZ107" i="124"/>
  <c r="BW82" i="124"/>
  <c r="BX81" i="124"/>
  <c r="AO125" i="124"/>
  <c r="AM125" i="124"/>
  <c r="BB116" i="124"/>
  <c r="BA99" i="124"/>
  <c r="BD119" i="124"/>
  <c r="L120" i="124"/>
  <c r="AJ116" i="124"/>
  <c r="BH118" i="124"/>
  <c r="I120" i="124"/>
  <c r="X121" i="124"/>
  <c r="AA124" i="124"/>
  <c r="V121" i="124"/>
  <c r="AC117" i="124"/>
  <c r="G80" i="124"/>
  <c r="E116" i="124"/>
  <c r="AC88" i="124"/>
  <c r="H70" i="124"/>
  <c r="G85" i="124"/>
  <c r="AT29" i="124"/>
  <c r="BP88" i="124"/>
  <c r="BQ87" i="124"/>
  <c r="BE101" i="124"/>
  <c r="BC101" i="124"/>
  <c r="BF100" i="124"/>
  <c r="AD109" i="124"/>
  <c r="AS110" i="124"/>
  <c r="T123" i="124"/>
  <c r="W108" i="124"/>
  <c r="AD116" i="124"/>
  <c r="AC122" i="124"/>
  <c r="AC107" i="124"/>
  <c r="AN100" i="124"/>
  <c r="AA107" i="124"/>
  <c r="W102" i="124"/>
  <c r="K100" i="124"/>
  <c r="J121" i="124"/>
  <c r="E73" i="124"/>
  <c r="L90" i="124"/>
  <c r="K105" i="124"/>
  <c r="AK27" i="124"/>
  <c r="BI83" i="124"/>
  <c r="BJ82" i="124"/>
  <c r="AP100" i="124"/>
  <c r="U110" i="124"/>
  <c r="AU102" i="124"/>
  <c r="AT106" i="124"/>
  <c r="AS125" i="124"/>
  <c r="V102" i="124"/>
  <c r="AN123" i="124"/>
  <c r="AD126" i="124"/>
  <c r="AC101" i="124"/>
  <c r="AR122" i="124"/>
  <c r="BD118" i="124"/>
  <c r="AM122" i="124"/>
  <c r="AN26" i="124"/>
  <c r="BU121" i="124"/>
  <c r="BV120" i="124"/>
  <c r="BF128" i="124"/>
  <c r="AO110" i="124"/>
  <c r="AU117" i="124"/>
  <c r="AT121" i="124"/>
  <c r="BI122" i="124"/>
  <c r="AU107" i="124"/>
  <c r="AZ106" i="124"/>
  <c r="T108" i="124"/>
  <c r="AM107" i="124"/>
  <c r="BD105" i="124"/>
  <c r="D127" i="124"/>
  <c r="BJ32" i="124"/>
  <c r="BD92" i="124"/>
  <c r="BE91" i="124"/>
  <c r="BE99" i="124"/>
  <c r="BG98" i="124"/>
  <c r="BF98" i="124"/>
  <c r="AD107" i="124"/>
  <c r="AS108" i="124"/>
  <c r="I31" i="124"/>
  <c r="BX103" i="124"/>
  <c r="BY102" i="124"/>
  <c r="BE105" i="124"/>
  <c r="BG104" i="124"/>
  <c r="BB103" i="124"/>
  <c r="AP99" i="124"/>
  <c r="AO118" i="124"/>
  <c r="AB125" i="124"/>
  <c r="AR99" i="124"/>
  <c r="Z119" i="124"/>
  <c r="Y125" i="124"/>
  <c r="AM99" i="124"/>
  <c r="BW104" i="124"/>
  <c r="BS119" i="124"/>
  <c r="BT118" i="124"/>
  <c r="BA121" i="124"/>
  <c r="BK120" i="124"/>
  <c r="BJ122" i="124"/>
  <c r="BI105" i="124"/>
  <c r="BC106" i="124"/>
  <c r="H127" i="124"/>
  <c r="E36" i="124"/>
  <c r="BK92" i="124"/>
  <c r="W31" i="124"/>
  <c r="BK89" i="124"/>
  <c r="BA88" i="124"/>
  <c r="G52" i="124"/>
  <c r="BS89" i="124"/>
  <c r="BT88" i="124"/>
  <c r="T26" i="124"/>
  <c r="AL27" i="124"/>
  <c r="BR105" i="124"/>
  <c r="BY92" i="124"/>
  <c r="BX116" i="124"/>
  <c r="AZ108" i="124"/>
  <c r="BK90" i="124"/>
  <c r="BZ91" i="124"/>
  <c r="BY110" i="124"/>
  <c r="BA107" i="124"/>
  <c r="AZ90" i="124"/>
  <c r="AT122" i="124"/>
  <c r="BE122" i="124"/>
  <c r="BC105" i="124"/>
  <c r="W33" i="124"/>
  <c r="CA36" i="124"/>
  <c r="X37" i="124"/>
  <c r="E46" i="124"/>
  <c r="AO30" i="124"/>
  <c r="I55" i="124"/>
  <c r="AP38" i="124"/>
  <c r="BW127" i="124"/>
  <c r="BK87" i="124"/>
  <c r="BZ88" i="124"/>
  <c r="AE33" i="124"/>
  <c r="BW37" i="124"/>
  <c r="T38" i="124"/>
  <c r="N46" i="124"/>
  <c r="AK31" i="124"/>
  <c r="AC47" i="124"/>
  <c r="BB26" i="124"/>
  <c r="CA126" i="124"/>
  <c r="BC87" i="124"/>
  <c r="BR88" i="124"/>
  <c r="BQ107" i="124"/>
  <c r="BP126" i="124"/>
  <c r="BD86" i="124"/>
  <c r="BS87" i="124"/>
  <c r="BR106" i="124"/>
  <c r="BQ125" i="124"/>
  <c r="BE85" i="124"/>
  <c r="BT86" i="124"/>
  <c r="BB119" i="124"/>
  <c r="AA34" i="124"/>
  <c r="BS38" i="124"/>
  <c r="AB38" i="124"/>
  <c r="L47" i="124"/>
  <c r="AS31" i="124"/>
  <c r="U53" i="124"/>
  <c r="BJ26" i="124"/>
  <c r="BS126" i="124"/>
  <c r="BG86" i="124"/>
  <c r="BV87" i="124"/>
  <c r="BU106" i="124"/>
  <c r="BT125" i="124"/>
  <c r="BH85" i="124"/>
  <c r="BW86" i="124"/>
  <c r="BV105" i="124"/>
  <c r="BU124" i="124"/>
  <c r="BI84" i="124"/>
  <c r="BX85" i="124"/>
  <c r="BF118" i="124"/>
  <c r="K29" i="124"/>
  <c r="BY128" i="124"/>
  <c r="BZ127" i="124"/>
  <c r="BJ104" i="124"/>
  <c r="AK118" i="124"/>
  <c r="AU119" i="124"/>
  <c r="AT123" i="124"/>
  <c r="BI124" i="124"/>
  <c r="AM118" i="124"/>
  <c r="H110" i="124"/>
  <c r="AM98" i="124"/>
  <c r="AQ117" i="124"/>
  <c r="E110" i="124"/>
  <c r="T116" i="124"/>
  <c r="W119" i="124"/>
  <c r="AZ101" i="124"/>
  <c r="I125" i="124"/>
  <c r="O69" i="124"/>
  <c r="E105" i="124"/>
  <c r="G128" i="124"/>
  <c r="D65" i="124"/>
  <c r="O74" i="124"/>
  <c r="O53" i="124"/>
  <c r="BH110" i="124"/>
  <c r="BI109" i="124"/>
  <c r="BI125" i="124"/>
  <c r="BK124" i="124"/>
  <c r="BB126" i="124"/>
  <c r="Z104" i="124"/>
  <c r="AO105" i="124"/>
  <c r="AB117" i="124"/>
  <c r="BH98" i="124"/>
  <c r="J124" i="124"/>
  <c r="Y117" i="124"/>
  <c r="X100" i="124"/>
  <c r="Y104" i="124"/>
  <c r="V100" i="124"/>
  <c r="AC127" i="124"/>
  <c r="G90" i="124"/>
  <c r="T102" i="124"/>
  <c r="M67" i="124"/>
  <c r="H85" i="124"/>
  <c r="G100" i="124"/>
  <c r="K49" i="124"/>
  <c r="BP116" i="124"/>
  <c r="BQ110" i="124"/>
  <c r="AD104" i="124"/>
  <c r="Y103" i="124"/>
  <c r="BB105" i="124"/>
  <c r="AP101" i="124"/>
  <c r="AO120" i="124"/>
  <c r="AB127" i="124"/>
  <c r="AJ104" i="124"/>
  <c r="Z121" i="124"/>
  <c r="Y127" i="124"/>
  <c r="AN103" i="124"/>
  <c r="AJ117" i="124"/>
  <c r="AJ103" i="124"/>
  <c r="K48" i="124"/>
  <c r="BF33" i="124"/>
  <c r="BZ98" i="124"/>
  <c r="CA34" i="124"/>
  <c r="BZ90" i="124"/>
  <c r="BP89" i="124"/>
  <c r="AL37" i="124"/>
  <c r="BG91" i="124"/>
  <c r="BH90" i="124"/>
  <c r="AB36" i="124"/>
  <c r="AT37" i="124"/>
  <c r="BV89" i="124"/>
  <c r="BU87" i="124"/>
  <c r="BT106" i="124"/>
  <c r="BS125" i="124"/>
  <c r="BG85" i="124"/>
  <c r="BV86" i="124"/>
  <c r="BU105" i="124"/>
  <c r="BT124" i="124"/>
  <c r="BH84" i="124"/>
  <c r="AP117" i="124"/>
  <c r="BA117" i="124"/>
  <c r="BK99" i="124"/>
  <c r="AA38" i="124"/>
  <c r="K47" i="124"/>
  <c r="AR29" i="124"/>
  <c r="J53" i="124"/>
  <c r="AS35" i="124"/>
  <c r="BZ46" i="124"/>
  <c r="BJ30" i="124"/>
  <c r="BS122" i="124"/>
  <c r="BG82" i="124"/>
  <c r="BV83" i="124"/>
  <c r="AM26" i="124"/>
  <c r="I48" i="124"/>
  <c r="AN30" i="124"/>
  <c r="N54" i="124"/>
  <c r="AO36" i="124"/>
  <c r="BV72" i="124"/>
  <c r="BF31" i="124"/>
  <c r="BW121" i="124"/>
  <c r="BK81" i="124"/>
  <c r="BZ82" i="124"/>
  <c r="BY101" i="124"/>
  <c r="BX120" i="124"/>
  <c r="AZ81" i="124"/>
  <c r="CA81" i="124"/>
  <c r="BZ100" i="124"/>
  <c r="BY119" i="124"/>
  <c r="BA80" i="124"/>
  <c r="BP81" i="124"/>
  <c r="AT126" i="124"/>
  <c r="AU26" i="124"/>
  <c r="I49" i="124"/>
  <c r="AJ31" i="124"/>
  <c r="U47" i="124"/>
  <c r="AK37" i="124"/>
  <c r="AQ81" i="124"/>
  <c r="BB32" i="124"/>
  <c r="CA120" i="124"/>
  <c r="BC81" i="124"/>
  <c r="BR82" i="124"/>
  <c r="BQ101" i="124"/>
  <c r="BP120" i="124"/>
  <c r="BD80" i="124"/>
  <c r="BS81" i="124"/>
  <c r="BR100" i="124"/>
  <c r="BQ119" i="124"/>
  <c r="BE110" i="124"/>
  <c r="BT80" i="124"/>
  <c r="AL126" i="124"/>
  <c r="BP27" i="124"/>
  <c r="BU102" i="124"/>
  <c r="BV101" i="124"/>
  <c r="AP127" i="124"/>
  <c r="AO106" i="124"/>
  <c r="AQ109" i="124"/>
  <c r="AP118" i="124"/>
  <c r="BE119" i="124"/>
  <c r="AU99" i="124"/>
  <c r="AZ128" i="124"/>
  <c r="AD102" i="124"/>
  <c r="AN99" i="124"/>
  <c r="BD127" i="124"/>
  <c r="AZ105" i="124"/>
  <c r="AZ127" i="124"/>
  <c r="BK117" i="124"/>
  <c r="G127" i="124"/>
  <c r="K64" i="124"/>
  <c r="M99" i="124"/>
  <c r="K118" i="124"/>
  <c r="AB90" i="124"/>
  <c r="H28" i="124"/>
  <c r="BW83" i="124"/>
  <c r="CA106" i="124"/>
  <c r="BP106" i="124"/>
  <c r="BE118" i="124"/>
  <c r="BC118" i="124"/>
  <c r="BJ120" i="124"/>
  <c r="BI103" i="124"/>
  <c r="BK100" i="124"/>
  <c r="H125" i="124"/>
  <c r="AN128" i="124"/>
  <c r="BC100" i="124"/>
  <c r="E125" i="124"/>
  <c r="T126" i="124"/>
  <c r="W98" i="124"/>
  <c r="AD125" i="124"/>
  <c r="Y122" i="124"/>
  <c r="O84" i="124"/>
  <c r="H122" i="124"/>
  <c r="I62" i="124"/>
  <c r="D80" i="124"/>
  <c r="O89" i="124"/>
  <c r="AL35" i="124"/>
  <c r="BX84" i="124"/>
  <c r="BY83" i="124"/>
  <c r="BI100" i="124"/>
  <c r="BG100" i="124"/>
  <c r="BJ99" i="124"/>
  <c r="V109" i="124"/>
  <c r="AK110" i="124"/>
  <c r="X122" i="124"/>
  <c r="U107" i="124"/>
  <c r="V116" i="124"/>
  <c r="U122" i="124"/>
  <c r="AB106" i="124"/>
  <c r="AJ99" i="124"/>
  <c r="Y106" i="124"/>
  <c r="AO32" i="124"/>
  <c r="BI81" i="124"/>
  <c r="BJ80" i="124"/>
  <c r="AL99" i="124"/>
  <c r="Y109" i="124"/>
  <c r="AM102" i="124"/>
  <c r="AL106" i="124"/>
  <c r="AK125" i="124"/>
  <c r="X101" i="124"/>
  <c r="AQ121" i="124"/>
  <c r="V126" i="124"/>
  <c r="U101" i="124"/>
  <c r="AU120" i="124"/>
  <c r="AQ27" i="124"/>
  <c r="BG80" i="124"/>
  <c r="BS98" i="124"/>
  <c r="BT92" i="124"/>
  <c r="AS128" i="124"/>
  <c r="AQ128" i="124"/>
  <c r="BJ118" i="124"/>
  <c r="BI101" i="124"/>
  <c r="BG126" i="124"/>
  <c r="CA109" i="124"/>
  <c r="BW122" i="124"/>
  <c r="BX121" i="124"/>
  <c r="BI121" i="124"/>
  <c r="BG121" i="124"/>
  <c r="BF123" i="124"/>
  <c r="AD101" i="124"/>
  <c r="AS102" i="124"/>
  <c r="D128" i="124"/>
  <c r="BG122" i="124"/>
  <c r="N121" i="124"/>
  <c r="M127" i="124"/>
  <c r="L37" i="124"/>
  <c r="BJ83" i="124"/>
  <c r="BG110" i="124"/>
  <c r="BH109" i="124"/>
  <c r="AK120" i="124"/>
  <c r="AM121" i="124"/>
  <c r="AL125" i="124"/>
  <c r="BA126" i="124"/>
  <c r="AR121" i="124"/>
  <c r="L116" i="124"/>
  <c r="BW119" i="124"/>
  <c r="BY117" i="124"/>
  <c r="X35" i="124"/>
  <c r="BY109" i="124"/>
  <c r="BJ121" i="124"/>
  <c r="CA128" i="124"/>
  <c r="BR108" i="124"/>
  <c r="BB121" i="124"/>
  <c r="BX29" i="124"/>
  <c r="L49" i="124"/>
  <c r="BB81" i="124"/>
  <c r="BQ82" i="124"/>
  <c r="BP101" i="124"/>
  <c r="CA119" i="124"/>
  <c r="BC80" i="124"/>
  <c r="BR81" i="124"/>
  <c r="BQ100" i="124"/>
  <c r="BP119" i="124"/>
  <c r="BD110" i="124"/>
  <c r="AL107" i="124"/>
  <c r="AS124" i="124"/>
  <c r="BG125" i="124"/>
  <c r="AU30" i="124"/>
  <c r="Y46" i="124"/>
  <c r="AJ35" i="124"/>
  <c r="BA53" i="124"/>
  <c r="BA28" i="124"/>
  <c r="I33" i="124"/>
  <c r="BB36" i="124"/>
  <c r="CA116" i="124"/>
  <c r="BC108" i="124"/>
  <c r="BB91" i="124"/>
  <c r="AQ31" i="124"/>
  <c r="AC51" i="124"/>
  <c r="AR35" i="124"/>
  <c r="BV45" i="124"/>
  <c r="BI28" i="124"/>
  <c r="M32" i="124"/>
  <c r="BJ36" i="124"/>
  <c r="BS116" i="124"/>
  <c r="BG107" i="124"/>
  <c r="BF90" i="124"/>
  <c r="BU91" i="124"/>
  <c r="BT110" i="124"/>
  <c r="BH106" i="124"/>
  <c r="BG89" i="124"/>
  <c r="BV90" i="124"/>
  <c r="BU109" i="124"/>
  <c r="BT128" i="124"/>
  <c r="BH88" i="124"/>
  <c r="AP121" i="124"/>
  <c r="AM32" i="124"/>
  <c r="AK44" i="124"/>
  <c r="AN36" i="124"/>
  <c r="BZ69" i="124"/>
  <c r="BE29" i="124"/>
  <c r="E32" i="124"/>
  <c r="BF37" i="124"/>
  <c r="BW110" i="124"/>
  <c r="BK106" i="124"/>
  <c r="BJ89" i="124"/>
  <c r="BY90" i="124"/>
  <c r="BX109" i="124"/>
  <c r="BW128" i="124"/>
  <c r="BK88" i="124"/>
  <c r="BZ89" i="124"/>
  <c r="BY108" i="124"/>
  <c r="BX127" i="124"/>
  <c r="AZ88" i="124"/>
  <c r="AT120" i="124"/>
  <c r="Y29" i="124"/>
  <c r="BA89" i="124"/>
  <c r="BB88" i="124"/>
  <c r="AL103" i="124"/>
  <c r="AK99" i="124"/>
  <c r="AM104" i="124"/>
  <c r="AL108" i="124"/>
  <c r="AK127" i="124"/>
  <c r="T104" i="124"/>
  <c r="AU126" i="124"/>
  <c r="V128" i="124"/>
  <c r="AB103" i="124"/>
  <c r="AM126" i="124"/>
  <c r="BK121" i="124"/>
  <c r="AR125" i="124"/>
  <c r="AR116" i="124"/>
  <c r="E118" i="124"/>
  <c r="W90" i="124"/>
  <c r="I89" i="124"/>
  <c r="D107" i="124"/>
  <c r="G126" i="124"/>
  <c r="BS28" i="124"/>
  <c r="BV102" i="124"/>
  <c r="BW80" i="124"/>
  <c r="BH92" i="124"/>
  <c r="AK124" i="124"/>
  <c r="AQ124" i="124"/>
  <c r="AP128" i="124"/>
  <c r="BE98" i="124"/>
  <c r="BH117" i="124"/>
  <c r="D120" i="124"/>
  <c r="AM109" i="124"/>
  <c r="AZ117" i="124"/>
  <c r="M119" i="124"/>
  <c r="AB120" i="124"/>
  <c r="AE123" i="124"/>
  <c r="Z120" i="124"/>
  <c r="U117" i="124"/>
  <c r="K74" i="124"/>
  <c r="F110" i="124"/>
  <c r="U88" i="124"/>
  <c r="L69" i="124"/>
  <c r="K84" i="124"/>
  <c r="BE54" i="124"/>
  <c r="BD107" i="124"/>
  <c r="BE106" i="124"/>
  <c r="BA125" i="124"/>
  <c r="BC124" i="124"/>
  <c r="BF125" i="124"/>
  <c r="AD103" i="124"/>
  <c r="AS104" i="124"/>
  <c r="T117" i="124"/>
  <c r="BK127" i="124"/>
  <c r="N123" i="124"/>
  <c r="AC116" i="124"/>
  <c r="AB99" i="124"/>
  <c r="X103" i="124"/>
  <c r="Z99" i="124"/>
  <c r="AO45" i="124"/>
  <c r="BP109" i="124"/>
  <c r="BQ108" i="124"/>
  <c r="Z103" i="124"/>
  <c r="U102" i="124"/>
  <c r="BF104" i="124"/>
  <c r="AT100" i="124"/>
  <c r="AS119" i="124"/>
  <c r="T127" i="124"/>
  <c r="AN102" i="124"/>
  <c r="AD120" i="124"/>
  <c r="AC126" i="124"/>
  <c r="AU101" i="124"/>
  <c r="G50" i="124"/>
  <c r="BV81" i="124"/>
  <c r="BK84" i="124"/>
  <c r="AZ84" i="124"/>
  <c r="AK122" i="124"/>
  <c r="AQ122" i="124"/>
  <c r="AP126" i="124"/>
  <c r="BE127" i="124"/>
  <c r="AU32" i="124"/>
  <c r="BZ128" i="124"/>
  <c r="BS91" i="124"/>
  <c r="BT90" i="124"/>
  <c r="AK128" i="124"/>
  <c r="AM127" i="124"/>
  <c r="BB118" i="124"/>
  <c r="BA101" i="124"/>
  <c r="BH124" i="124"/>
  <c r="L122" i="124"/>
  <c r="AN121" i="124"/>
  <c r="AZ124" i="124"/>
  <c r="I122" i="124"/>
  <c r="BD29" i="124"/>
  <c r="BY107" i="124"/>
  <c r="BZ106" i="124"/>
  <c r="BJ119" i="124"/>
  <c r="AS107" i="124"/>
  <c r="AU110" i="124"/>
  <c r="AT119" i="124"/>
  <c r="BI120" i="124"/>
  <c r="AQ102" i="124"/>
  <c r="BH100" i="124"/>
  <c r="AE104" i="124"/>
  <c r="AJ102" i="124"/>
  <c r="AZ100" i="124"/>
  <c r="D125" i="124"/>
  <c r="BG99" i="124"/>
  <c r="BD121" i="124"/>
  <c r="BI99" i="124"/>
  <c r="Y98" i="124"/>
  <c r="BH128" i="124"/>
  <c r="AC121" i="124"/>
  <c r="O65" i="124"/>
  <c r="I81" i="124"/>
  <c r="BK110" i="124"/>
  <c r="BA109" i="124"/>
  <c r="D44" i="124"/>
  <c r="BX128" i="124"/>
  <c r="AE31" i="124"/>
  <c r="BC89" i="124"/>
  <c r="BV92" i="124"/>
  <c r="AP123" i="124"/>
  <c r="H45" i="124"/>
  <c r="BS128" i="124"/>
  <c r="BJ106" i="124"/>
  <c r="BI89" i="124"/>
  <c r="BX90" i="124"/>
  <c r="BW109" i="124"/>
  <c r="BV128" i="124"/>
  <c r="BJ88" i="124"/>
  <c r="BY89" i="124"/>
  <c r="BX108" i="124"/>
  <c r="BF105" i="124"/>
  <c r="AT101" i="124"/>
  <c r="AO119" i="124"/>
  <c r="BC120" i="124"/>
  <c r="AM36" i="124"/>
  <c r="BR67" i="124"/>
  <c r="BD27" i="124"/>
  <c r="F36" i="124"/>
  <c r="BE33" i="124"/>
  <c r="E28" i="124"/>
  <c r="BV28" i="124"/>
  <c r="BW106" i="124"/>
  <c r="BV125" i="124"/>
  <c r="BJ85" i="124"/>
  <c r="AU36" i="124"/>
  <c r="AU65" i="124"/>
  <c r="AZ28" i="124"/>
  <c r="J35" i="124"/>
  <c r="BA34" i="124"/>
  <c r="I27" i="124"/>
  <c r="BR29" i="124"/>
  <c r="CA105" i="124"/>
  <c r="BZ124" i="124"/>
  <c r="BB85" i="124"/>
  <c r="BQ86" i="124"/>
  <c r="BP105" i="124"/>
  <c r="CA123" i="124"/>
  <c r="BC84" i="124"/>
  <c r="BR85" i="124"/>
  <c r="BQ104" i="124"/>
  <c r="BP123" i="124"/>
  <c r="BD83" i="124"/>
  <c r="AL116" i="124"/>
  <c r="AQ37" i="124"/>
  <c r="E26" i="124"/>
  <c r="BH28" i="124"/>
  <c r="N34" i="124"/>
  <c r="BI34" i="124"/>
  <c r="V26" i="124"/>
  <c r="BZ29" i="124"/>
  <c r="BS105" i="124"/>
  <c r="BR124" i="124"/>
  <c r="BF84" i="124"/>
  <c r="BU85" i="124"/>
  <c r="BT104" i="124"/>
  <c r="BS123" i="124"/>
  <c r="BG83" i="124"/>
  <c r="BV84" i="124"/>
  <c r="BU103" i="124"/>
  <c r="BT122" i="124"/>
  <c r="BH82" i="124"/>
  <c r="AP110" i="124"/>
  <c r="BQ33" i="124"/>
  <c r="BT121" i="124"/>
  <c r="BU120" i="124"/>
  <c r="AD106" i="124"/>
  <c r="AC104" i="124"/>
  <c r="AU98" i="124"/>
  <c r="AT102" i="124"/>
  <c r="AS121" i="124"/>
  <c r="T98" i="124"/>
  <c r="AR107" i="124"/>
  <c r="AD122" i="124"/>
  <c r="AC128" i="124"/>
  <c r="AJ107" i="124"/>
  <c r="AR120" i="124"/>
  <c r="AQ106" i="124"/>
  <c r="AR98" i="124"/>
  <c r="K106" i="124"/>
  <c r="AE102" i="124"/>
  <c r="E84" i="124"/>
  <c r="L101" i="124"/>
  <c r="K117" i="124"/>
  <c r="AB28" i="124"/>
  <c r="BY126" i="124"/>
  <c r="BZ125" i="124"/>
  <c r="BJ102" i="124"/>
  <c r="AO117" i="124"/>
  <c r="AM119" i="124"/>
  <c r="AL123" i="124"/>
  <c r="BA124" i="124"/>
  <c r="AN116" i="124"/>
  <c r="L109" i="124"/>
  <c r="W110" i="124"/>
  <c r="AR110" i="124"/>
  <c r="I109" i="124"/>
  <c r="H128" i="124"/>
  <c r="AA118" i="124"/>
  <c r="BD99" i="124"/>
  <c r="M124" i="124"/>
  <c r="G69" i="124"/>
  <c r="I104" i="124"/>
  <c r="K126" i="124"/>
  <c r="H64" i="124"/>
  <c r="AE29" i="124"/>
  <c r="BC91" i="124"/>
  <c r="BW103" i="124"/>
  <c r="BX102" i="124"/>
  <c r="BI117" i="124"/>
  <c r="BG117" i="124"/>
  <c r="BB120" i="124"/>
  <c r="BA103" i="124"/>
  <c r="AZ99" i="124"/>
  <c r="L124" i="124"/>
  <c r="AR126" i="124"/>
  <c r="BD98" i="124"/>
  <c r="I124" i="124"/>
  <c r="X125" i="124"/>
  <c r="AA128" i="124"/>
  <c r="V125" i="124"/>
  <c r="BF27" i="124"/>
  <c r="BX82" i="124"/>
  <c r="BY81" i="124"/>
  <c r="BA100" i="124"/>
  <c r="BC99" i="124"/>
  <c r="BB99" i="124"/>
  <c r="Z108" i="124"/>
  <c r="AO109" i="124"/>
  <c r="AB121" i="124"/>
  <c r="T106" i="124"/>
  <c r="J128" i="124"/>
  <c r="Y121" i="124"/>
  <c r="AB105" i="124"/>
  <c r="AR31" i="124"/>
  <c r="BQ118" i="124"/>
  <c r="BR117" i="124"/>
  <c r="BB125" i="124"/>
  <c r="AS109" i="124"/>
  <c r="AM117" i="124"/>
  <c r="AL121" i="124"/>
  <c r="BA122" i="124"/>
  <c r="AO49" i="124"/>
  <c r="BB89" i="124"/>
  <c r="BK82" i="124"/>
  <c r="AZ82" i="124"/>
  <c r="AS120" i="124"/>
  <c r="AU121" i="124"/>
  <c r="AT125" i="124"/>
  <c r="BI126" i="124"/>
  <c r="AQ123" i="124"/>
  <c r="H117" i="124"/>
  <c r="AK102" i="124"/>
  <c r="AU122" i="124"/>
  <c r="E117" i="124"/>
  <c r="F34" i="124"/>
  <c r="BU81" i="124"/>
  <c r="BV80" i="124"/>
  <c r="AP106" i="124"/>
  <c r="AK101" i="124"/>
  <c r="AQ105" i="124"/>
  <c r="AP109" i="124"/>
  <c r="AO128" i="124"/>
  <c r="BZ80" i="124"/>
  <c r="AZ92" i="124"/>
  <c r="AO28" i="124"/>
  <c r="AZ89" i="124"/>
  <c r="BW35" i="124"/>
  <c r="BR90" i="124"/>
  <c r="BQ127" i="124"/>
  <c r="D31" i="124"/>
  <c r="U32" i="124"/>
  <c r="BS86" i="124"/>
  <c r="BQ124" i="124"/>
  <c r="BE84" i="124"/>
  <c r="BT85" i="124"/>
  <c r="BS104" i="124"/>
  <c r="BR123" i="124"/>
  <c r="BF83" i="124"/>
  <c r="BU84" i="124"/>
  <c r="BT103" i="124"/>
  <c r="BB100" i="124"/>
  <c r="Z109" i="124"/>
  <c r="AK109" i="124"/>
  <c r="AU127" i="124"/>
  <c r="BG28" i="124"/>
  <c r="O36" i="124"/>
  <c r="BH32" i="124"/>
  <c r="N30" i="124"/>
  <c r="BI38" i="124"/>
  <c r="V30" i="124"/>
  <c r="BZ33" i="124"/>
  <c r="BS101" i="124"/>
  <c r="BR120" i="124"/>
  <c r="BF80" i="124"/>
  <c r="BC29" i="124"/>
  <c r="G36" i="124"/>
  <c r="BD33" i="124"/>
  <c r="F30" i="124"/>
  <c r="BU26" i="124"/>
  <c r="AD30" i="124"/>
  <c r="BV34" i="124"/>
  <c r="BW100" i="124"/>
  <c r="BV119" i="124"/>
  <c r="BJ110" i="124"/>
  <c r="BY80" i="124"/>
  <c r="BX99" i="124"/>
  <c r="BW118" i="124"/>
  <c r="BK109" i="124"/>
  <c r="BJ92" i="124"/>
  <c r="BY98" i="124"/>
  <c r="BX117" i="124"/>
  <c r="AZ109" i="124"/>
  <c r="AT105" i="124"/>
  <c r="BK29" i="124"/>
  <c r="K35" i="124"/>
  <c r="AZ34" i="124"/>
  <c r="J29" i="124"/>
  <c r="BQ27" i="124"/>
  <c r="Z31" i="124"/>
  <c r="BR35" i="124"/>
  <c r="CA99" i="124"/>
  <c r="BZ118" i="124"/>
  <c r="BB110" i="124"/>
  <c r="BQ80" i="124"/>
  <c r="BP99" i="124"/>
  <c r="CA117" i="124"/>
  <c r="BC109" i="124"/>
  <c r="BB92" i="124"/>
  <c r="BQ98" i="124"/>
  <c r="BP117" i="124"/>
  <c r="BD108" i="124"/>
  <c r="AL105" i="124"/>
  <c r="Z37" i="124"/>
  <c r="BP90" i="124"/>
  <c r="BQ89" i="124"/>
  <c r="BI102" i="124"/>
  <c r="BG102" i="124"/>
  <c r="BB101" i="124"/>
  <c r="Z110" i="124"/>
  <c r="AO116" i="124"/>
  <c r="AB123" i="124"/>
  <c r="W109" i="124"/>
  <c r="Z117" i="124"/>
  <c r="Y123" i="124"/>
  <c r="AE108" i="124"/>
  <c r="AR101" i="124"/>
  <c r="AA108" i="124"/>
  <c r="U103" i="124"/>
  <c r="G101" i="124"/>
  <c r="K122" i="124"/>
  <c r="M73" i="124"/>
  <c r="H91" i="124"/>
  <c r="G106" i="124"/>
  <c r="BT32" i="124"/>
  <c r="BU100" i="124"/>
  <c r="BV99" i="124"/>
  <c r="AP125" i="124"/>
  <c r="AK105" i="124"/>
  <c r="AU108" i="124"/>
  <c r="AT117" i="124"/>
  <c r="BI118" i="124"/>
  <c r="AQ98" i="124"/>
  <c r="BD126" i="124"/>
  <c r="AE101" i="124"/>
  <c r="AK98" i="124"/>
  <c r="BH125" i="124"/>
  <c r="BD103" i="124"/>
  <c r="BC125" i="124"/>
  <c r="AZ116" i="124"/>
  <c r="J125" i="124"/>
  <c r="O63" i="124"/>
  <c r="E99" i="124"/>
  <c r="L117" i="124"/>
  <c r="T90" i="124"/>
  <c r="BW33" i="124"/>
  <c r="BR92" i="124"/>
  <c r="BY99" i="124"/>
  <c r="AT124" i="124"/>
  <c r="I51" i="124"/>
  <c r="CA89" i="124"/>
  <c r="T36" i="124"/>
  <c r="BQ109" i="124"/>
  <c r="BU116" i="124"/>
  <c r="AA32" i="124"/>
  <c r="AS29" i="124"/>
  <c r="BG88" i="124"/>
  <c r="BY118" i="124"/>
  <c r="BA110" i="124"/>
  <c r="BP80" i="124"/>
  <c r="CA98" i="124"/>
  <c r="BZ117" i="124"/>
  <c r="BB109" i="124"/>
  <c r="BA92" i="124"/>
  <c r="BP98" i="124"/>
  <c r="BJ125" i="124"/>
  <c r="V104" i="124"/>
  <c r="AS103" i="124"/>
  <c r="L35" i="124"/>
  <c r="BK33" i="124"/>
  <c r="K31" i="124"/>
  <c r="AZ38" i="124"/>
  <c r="Y27" i="124"/>
  <c r="BQ31" i="124"/>
  <c r="Z35" i="124"/>
  <c r="F44" i="124"/>
  <c r="CA90" i="124"/>
  <c r="BZ109" i="124"/>
  <c r="D35" i="124"/>
  <c r="BG34" i="124"/>
  <c r="O30" i="124"/>
  <c r="BH38" i="124"/>
  <c r="U28" i="124"/>
  <c r="BY31" i="124"/>
  <c r="V36" i="124"/>
  <c r="N44" i="124"/>
  <c r="BS90" i="124"/>
  <c r="BR109" i="124"/>
  <c r="BQ128" i="124"/>
  <c r="BE88" i="124"/>
  <c r="BT89" i="124"/>
  <c r="BS108" i="124"/>
  <c r="BR127" i="124"/>
  <c r="BF87" i="124"/>
  <c r="BU88" i="124"/>
  <c r="BT107" i="124"/>
  <c r="BB104" i="124"/>
  <c r="H34" i="124"/>
  <c r="BC35" i="124"/>
  <c r="G30" i="124"/>
  <c r="BT26" i="124"/>
  <c r="AC28" i="124"/>
  <c r="BU32" i="124"/>
  <c r="AD36" i="124"/>
  <c r="J45" i="124"/>
  <c r="BW89" i="124"/>
  <c r="BV108" i="124"/>
  <c r="BU127" i="124"/>
  <c r="BI87" i="124"/>
  <c r="BX88" i="124"/>
  <c r="BW107" i="124"/>
  <c r="BV126" i="124"/>
  <c r="BJ86" i="124"/>
  <c r="BY87" i="124"/>
  <c r="BX106" i="124"/>
  <c r="BF103" i="124"/>
  <c r="AT99" i="124"/>
  <c r="G46" i="124"/>
  <c r="BH81" i="124"/>
  <c r="BI80" i="124"/>
  <c r="BE126" i="124"/>
  <c r="BC126" i="124"/>
  <c r="BJ126" i="124"/>
  <c r="V105" i="124"/>
  <c r="AK106" i="124"/>
  <c r="X118" i="124"/>
  <c r="BD100" i="124"/>
  <c r="F125" i="124"/>
  <c r="U118" i="124"/>
  <c r="T101" i="124"/>
  <c r="AA105" i="124"/>
  <c r="AD100" i="124"/>
  <c r="Y128" i="124"/>
  <c r="O90" i="124"/>
  <c r="G110" i="124"/>
  <c r="I68" i="124"/>
  <c r="D86" i="124"/>
  <c r="O100" i="124"/>
  <c r="AC34" i="124"/>
  <c r="BA87" i="124"/>
  <c r="BB86" i="124"/>
  <c r="AL101" i="124"/>
  <c r="AC110" i="124"/>
  <c r="AQ103" i="124"/>
  <c r="AP107" i="124"/>
  <c r="AO126" i="124"/>
  <c r="T103" i="124"/>
  <c r="AJ125" i="124"/>
  <c r="Z127" i="124"/>
  <c r="AB102" i="124"/>
  <c r="AN124" i="124"/>
  <c r="AZ120" i="124"/>
  <c r="AJ124" i="124"/>
  <c r="AU109" i="124"/>
  <c r="F117" i="124"/>
  <c r="AA89" i="124"/>
  <c r="M88" i="124"/>
  <c r="BX118" i="124"/>
  <c r="BE124" i="124"/>
  <c r="AP36" i="124"/>
  <c r="BZ108" i="124"/>
  <c r="L44" i="124"/>
  <c r="BP128" i="124"/>
  <c r="BE87" i="124"/>
  <c r="BG38" i="124"/>
  <c r="BY35" i="124"/>
  <c r="BZ120" i="124"/>
  <c r="BU108" i="124"/>
  <c r="BT127" i="124"/>
  <c r="BH87" i="124"/>
  <c r="BW88" i="124"/>
  <c r="BV107" i="124"/>
  <c r="BU126" i="124"/>
  <c r="BI86" i="124"/>
  <c r="BX87" i="124"/>
  <c r="BF120" i="124"/>
  <c r="BA102" i="124"/>
  <c r="AO98" i="124"/>
  <c r="H30" i="124"/>
  <c r="BS26" i="124"/>
  <c r="AB26" i="124"/>
  <c r="BT30" i="124"/>
  <c r="AC32" i="124"/>
  <c r="BU36" i="124"/>
  <c r="AT27" i="124"/>
  <c r="K50" i="124"/>
  <c r="BW85" i="124"/>
  <c r="BV104" i="124"/>
  <c r="L29" i="124"/>
  <c r="CA26" i="124"/>
  <c r="X27" i="124"/>
  <c r="BP31" i="124"/>
  <c r="Y33" i="124"/>
  <c r="BQ37" i="124"/>
  <c r="AP28" i="124"/>
  <c r="J51" i="124"/>
  <c r="CA84" i="124"/>
  <c r="BZ103" i="124"/>
  <c r="BY122" i="124"/>
  <c r="BA83" i="124"/>
  <c r="BP84" i="124"/>
  <c r="CA102" i="124"/>
  <c r="BZ121" i="124"/>
  <c r="BB82" i="124"/>
  <c r="BQ83" i="124"/>
  <c r="BP102" i="124"/>
  <c r="BJ98" i="124"/>
  <c r="D29" i="124"/>
  <c r="BW27" i="124"/>
  <c r="T28" i="124"/>
  <c r="BX31" i="124"/>
  <c r="U34" i="124"/>
  <c r="BY37" i="124"/>
  <c r="AL29" i="124"/>
  <c r="K52" i="124"/>
  <c r="BS84" i="124"/>
  <c r="BR103" i="124"/>
  <c r="BQ122" i="124"/>
  <c r="BE82" i="124"/>
  <c r="BT83" i="124"/>
  <c r="BS102" i="124"/>
  <c r="BR121" i="124"/>
  <c r="BF81" i="124"/>
  <c r="BU82" i="124"/>
  <c r="BT101" i="124"/>
  <c r="BB98" i="124"/>
  <c r="L33" i="124"/>
  <c r="CA88" i="124"/>
  <c r="CA108" i="124"/>
  <c r="BP108" i="124"/>
  <c r="BI119" i="124"/>
  <c r="BK118" i="124"/>
  <c r="BF121" i="124"/>
  <c r="BE104" i="124"/>
  <c r="BH102" i="124"/>
  <c r="D126" i="124"/>
  <c r="BC117" i="124"/>
  <c r="AZ102" i="124"/>
  <c r="M125" i="124"/>
  <c r="AB126" i="124"/>
  <c r="AE98" i="124"/>
  <c r="Z126" i="124"/>
  <c r="U123" i="124"/>
  <c r="K85" i="124"/>
  <c r="J123" i="124"/>
  <c r="E63" i="124"/>
  <c r="L80" i="124"/>
  <c r="K90" i="124"/>
  <c r="BU38" i="124"/>
  <c r="BT119" i="124"/>
  <c r="BU118" i="124"/>
  <c r="Z105" i="124"/>
  <c r="U104" i="124"/>
  <c r="BJ105" i="124"/>
  <c r="AL102" i="124"/>
  <c r="AK121" i="124"/>
  <c r="X128" i="124"/>
  <c r="AU105" i="124"/>
  <c r="V122" i="124"/>
  <c r="U128" i="124"/>
  <c r="AM105" i="124"/>
  <c r="AU118" i="124"/>
  <c r="AR104" i="124"/>
  <c r="AA110" i="124"/>
  <c r="O105" i="124"/>
  <c r="W128" i="124"/>
  <c r="I83" i="124"/>
  <c r="D101" i="124"/>
  <c r="M116" i="124"/>
  <c r="BX37" i="124"/>
  <c r="BQ92" i="124"/>
  <c r="BR91" i="124"/>
  <c r="AL122" i="124"/>
  <c r="AO104" i="124"/>
  <c r="AM108" i="124"/>
  <c r="AL117" i="124"/>
  <c r="BA118" i="124"/>
  <c r="Y110" i="124"/>
  <c r="BG124" i="124"/>
  <c r="V101" i="124"/>
  <c r="T110" i="124"/>
  <c r="BK123" i="124"/>
  <c r="BG101" i="124"/>
  <c r="BD123" i="124"/>
  <c r="CA38" i="124"/>
  <c r="BZ86" i="124"/>
  <c r="BC88" i="124"/>
  <c r="BD87" i="124"/>
  <c r="AS122" i="124"/>
  <c r="AM123" i="124"/>
  <c r="AL127" i="124"/>
  <c r="BA128" i="124"/>
  <c r="AJ127" i="124"/>
  <c r="L118" i="124"/>
  <c r="AR105" i="124"/>
  <c r="AN126" i="124"/>
  <c r="I118" i="124"/>
  <c r="X119" i="124"/>
  <c r="M36" i="124"/>
  <c r="BX105" i="124"/>
  <c r="BY104" i="124"/>
  <c r="BA106" i="124"/>
  <c r="H106" i="124"/>
  <c r="AO123" i="124"/>
  <c r="AU128" i="124"/>
  <c r="E119" i="124"/>
  <c r="BW125" i="124"/>
  <c r="AL120" i="124"/>
  <c r="BF119" i="124"/>
  <c r="X116" i="124"/>
  <c r="T109" i="124"/>
  <c r="AS37" i="124"/>
  <c r="AT116" i="124"/>
  <c r="AQ101" i="124"/>
  <c r="AO124" i="124"/>
  <c r="BY84" i="124"/>
  <c r="AT109" i="124"/>
  <c r="AM106" i="124"/>
  <c r="BA116" i="124"/>
  <c r="BC119" i="124"/>
  <c r="AE106" i="124"/>
  <c r="AD26" i="124"/>
  <c r="BU99" i="124"/>
  <c r="BK103" i="124"/>
  <c r="AT98" i="124"/>
  <c r="X99" i="124"/>
  <c r="BH120" i="124"/>
  <c r="BD122" i="124"/>
  <c r="I116" i="124"/>
  <c r="BD125" i="124"/>
  <c r="AJ110" i="124"/>
  <c r="CA85" i="124"/>
  <c r="AN109" i="124"/>
  <c r="AN122" i="124"/>
  <c r="X107" i="124"/>
  <c r="K72" i="124"/>
  <c r="M69" i="124"/>
  <c r="L67" i="124"/>
  <c r="G66" i="124"/>
  <c r="F85" i="124"/>
  <c r="L102" i="124"/>
  <c r="I80" i="124"/>
  <c r="AJ70" i="124"/>
  <c r="AA66" i="124"/>
  <c r="AT84" i="124"/>
  <c r="Y68" i="124"/>
  <c r="O34" i="124"/>
  <c r="AN125" i="124"/>
  <c r="M117" i="124"/>
  <c r="AO101" i="124"/>
  <c r="I127" i="124"/>
  <c r="W88" i="124"/>
  <c r="E69" i="124"/>
  <c r="D67" i="124"/>
  <c r="K65" i="124"/>
  <c r="J84" i="124"/>
  <c r="D102" i="124"/>
  <c r="M72" i="124"/>
  <c r="AN69" i="124"/>
  <c r="AE65" i="124"/>
  <c r="AL84" i="124"/>
  <c r="AC67" i="124"/>
  <c r="X62" i="124"/>
  <c r="N65" i="124"/>
  <c r="AQ67" i="124"/>
  <c r="BP69" i="124"/>
  <c r="K124" i="124"/>
  <c r="AS116" i="124"/>
  <c r="AR109" i="124"/>
  <c r="M108" i="124"/>
  <c r="BK85" i="124"/>
  <c r="BI123" i="124"/>
  <c r="AP116" i="124"/>
  <c r="D124" i="124"/>
  <c r="U116" i="124"/>
  <c r="BS120" i="124"/>
  <c r="AD110" i="124"/>
  <c r="BJ103" i="124"/>
  <c r="AK119" i="124"/>
  <c r="BE107" i="124"/>
  <c r="AD108" i="124"/>
  <c r="AU100" i="124"/>
  <c r="AS123" i="124"/>
  <c r="AJ118" i="124"/>
  <c r="AC99" i="124"/>
  <c r="BV30" i="124"/>
  <c r="BA86" i="124"/>
  <c r="BC128" i="124"/>
  <c r="Z106" i="124"/>
  <c r="T125" i="124"/>
  <c r="AQ119" i="124"/>
  <c r="AJ121" i="124"/>
  <c r="BH116" i="124"/>
  <c r="AM124" i="124"/>
  <c r="AB110" i="124"/>
  <c r="BP85" i="124"/>
  <c r="AR117" i="124"/>
  <c r="AA106" i="124"/>
  <c r="AC98" i="124"/>
  <c r="AE88" i="124"/>
  <c r="AC92" i="124"/>
  <c r="T92" i="124"/>
  <c r="AE91" i="124"/>
  <c r="N74" i="124"/>
  <c r="H92" i="124"/>
  <c r="T87" i="124"/>
  <c r="AR64" i="124"/>
  <c r="I103" i="124"/>
  <c r="AP74" i="124"/>
  <c r="U63" i="124"/>
  <c r="BF109" i="124"/>
  <c r="X126" i="124"/>
  <c r="AQ100" i="124"/>
  <c r="AD98" i="124"/>
  <c r="O128" i="124"/>
  <c r="O126" i="124"/>
  <c r="U92" i="124"/>
  <c r="X91" i="124"/>
  <c r="W91" i="124"/>
  <c r="F74" i="124"/>
  <c r="L91" i="124"/>
  <c r="AD85" i="124"/>
  <c r="AJ64" i="124"/>
  <c r="M100" i="124"/>
  <c r="AT73" i="124"/>
  <c r="Y62" i="124"/>
  <c r="AJ88" i="124"/>
  <c r="AE83" i="124"/>
  <c r="N101" i="124"/>
  <c r="BX63" i="124"/>
  <c r="BC65" i="124"/>
  <c r="AM73" i="124"/>
  <c r="AL119" i="124"/>
  <c r="AN119" i="124"/>
  <c r="AE121" i="124"/>
  <c r="U127" i="124"/>
  <c r="G71" i="124"/>
  <c r="M86" i="124"/>
  <c r="L84" i="124"/>
  <c r="G81" i="124"/>
  <c r="J99" i="124"/>
  <c r="F118" i="124"/>
  <c r="X90" i="124"/>
  <c r="AN84" i="124"/>
  <c r="AE80" i="124"/>
  <c r="V63" i="124"/>
  <c r="AC82" i="124"/>
  <c r="X72" i="124"/>
  <c r="BH68" i="124"/>
  <c r="AQ82" i="124"/>
  <c r="AZ66" i="124"/>
  <c r="AK81" i="124"/>
  <c r="CA45" i="124"/>
  <c r="AS99" i="124"/>
  <c r="T107" i="124"/>
  <c r="AR106" i="124"/>
  <c r="AR102" i="124"/>
  <c r="O88" i="124"/>
  <c r="M105" i="124"/>
  <c r="L103" i="124"/>
  <c r="O98" i="124"/>
  <c r="N109" i="124"/>
  <c r="AD87" i="124"/>
  <c r="H69" i="124"/>
  <c r="X63" i="124"/>
  <c r="J72" i="124"/>
  <c r="V73" i="124"/>
  <c r="BX124" i="124"/>
  <c r="T119" i="124"/>
  <c r="AA103" i="124"/>
  <c r="V127" i="124"/>
  <c r="K121" i="124"/>
  <c r="K120" i="124"/>
  <c r="U90" i="124"/>
  <c r="W126" i="124"/>
  <c r="W89" i="124"/>
  <c r="F72" i="124"/>
  <c r="L89" i="124"/>
  <c r="AB83" i="124"/>
  <c r="AJ62" i="124"/>
  <c r="M87" i="124"/>
  <c r="AT71" i="124"/>
  <c r="AO91" i="124"/>
  <c r="T34" i="124"/>
  <c r="AU123" i="124"/>
  <c r="H119" i="124"/>
  <c r="T120" i="124"/>
  <c r="BQ90" i="124"/>
  <c r="BE116" i="124"/>
  <c r="V103" i="124"/>
  <c r="BH122" i="124"/>
  <c r="M123" i="124"/>
  <c r="BY86" i="124"/>
  <c r="BA123" i="124"/>
  <c r="BB124" i="124"/>
  <c r="AO103" i="124"/>
  <c r="BD90" i="124"/>
  <c r="BA98" i="124"/>
  <c r="BJ128" i="124"/>
  <c r="AK108" i="124"/>
  <c r="BH105" i="124"/>
  <c r="U120" i="124"/>
  <c r="BV123" i="124"/>
  <c r="BP87" i="124"/>
  <c r="AQ126" i="124"/>
  <c r="BE100" i="124"/>
  <c r="AB119" i="124"/>
  <c r="AS100" i="124"/>
  <c r="AC105" i="124"/>
  <c r="AQ110" i="124"/>
  <c r="AJ105" i="124"/>
  <c r="X102" i="124"/>
  <c r="AK126" i="124"/>
  <c r="Z123" i="124"/>
  <c r="W125" i="124"/>
  <c r="E128" i="124"/>
  <c r="N128" i="124"/>
  <c r="W101" i="124"/>
  <c r="G123" i="124"/>
  <c r="AA86" i="124"/>
  <c r="J69" i="124"/>
  <c r="D87" i="124"/>
  <c r="T81" i="124"/>
  <c r="BD72" i="124"/>
  <c r="E72" i="124"/>
  <c r="AL69" i="124"/>
  <c r="AS88" i="124"/>
  <c r="BG108" i="124"/>
  <c r="D118" i="124"/>
  <c r="T124" i="124"/>
  <c r="V119" i="124"/>
  <c r="I110" i="124"/>
  <c r="F116" i="124"/>
  <c r="AE126" i="124"/>
  <c r="F122" i="124"/>
  <c r="AE85" i="124"/>
  <c r="N68" i="124"/>
  <c r="H86" i="124"/>
  <c r="X80" i="124"/>
  <c r="BH71" i="124"/>
  <c r="I69" i="124"/>
  <c r="AP68" i="124"/>
  <c r="AK88" i="124"/>
  <c r="AR82" i="124"/>
  <c r="AA73" i="124"/>
  <c r="Y69" i="124"/>
  <c r="BT53" i="124"/>
  <c r="CA72" i="124"/>
  <c r="AS62" i="124"/>
  <c r="BA120" i="124"/>
  <c r="U124" i="124"/>
  <c r="BK119" i="124"/>
  <c r="Y120" i="124"/>
  <c r="G63" i="124"/>
  <c r="E80" i="124"/>
  <c r="D73" i="124"/>
  <c r="G70" i="124"/>
  <c r="F89" i="124"/>
  <c r="L106" i="124"/>
  <c r="I101" i="124"/>
  <c r="AJ74" i="124"/>
  <c r="AA70" i="124"/>
  <c r="AT88" i="124"/>
  <c r="Y72" i="124"/>
  <c r="T67" i="124"/>
  <c r="J89" i="124"/>
  <c r="AM72" i="124"/>
  <c r="BX73" i="124"/>
  <c r="AO65" i="124"/>
  <c r="U74" i="124"/>
  <c r="AU104" i="124"/>
  <c r="N127" i="124"/>
  <c r="AE100" i="124"/>
  <c r="W104" i="124"/>
  <c r="G82" i="124"/>
  <c r="M92" i="124"/>
  <c r="D92" i="124"/>
  <c r="G87" i="124"/>
  <c r="F104" i="124"/>
  <c r="K125" i="124"/>
  <c r="D64" i="124"/>
  <c r="AJ89" i="124"/>
  <c r="AC85" i="124"/>
  <c r="AD67" i="124"/>
  <c r="BY123" i="124"/>
  <c r="BK98" i="124"/>
  <c r="AB118" i="124"/>
  <c r="BK102" i="124"/>
  <c r="O107" i="124"/>
  <c r="W117" i="124"/>
  <c r="N124" i="124"/>
  <c r="I119" i="124"/>
  <c r="AA125" i="124"/>
  <c r="N66" i="124"/>
  <c r="H84" i="124"/>
  <c r="X73" i="124"/>
  <c r="BH69" i="124"/>
  <c r="Y92" i="124"/>
  <c r="AP66" i="124"/>
  <c r="E108" i="124"/>
  <c r="AR80" i="124"/>
  <c r="BJ101" i="124"/>
  <c r="J122" i="124"/>
  <c r="AE127" i="124"/>
  <c r="AC100" i="124"/>
  <c r="O80" i="124"/>
  <c r="I91" i="124"/>
  <c r="H89" i="124"/>
  <c r="O85" i="124"/>
  <c r="N102" i="124"/>
  <c r="N122" i="124"/>
  <c r="L62" i="124"/>
  <c r="AR87" i="124"/>
  <c r="W84" i="124"/>
  <c r="Z66" i="124"/>
  <c r="X104" i="124"/>
  <c r="H62" i="124"/>
  <c r="Y90" i="124"/>
  <c r="N71" i="124"/>
  <c r="AJ69" i="124"/>
  <c r="AQ80" i="124"/>
  <c r="BT62" i="124"/>
  <c r="BW63" i="124"/>
  <c r="BZ68" i="124"/>
  <c r="BC70" i="124"/>
  <c r="AL83" i="124"/>
  <c r="BP47" i="124"/>
  <c r="CA65" i="124"/>
  <c r="BD44" i="124"/>
  <c r="AQ64" i="124"/>
  <c r="AA51" i="124"/>
  <c r="AL53" i="124"/>
  <c r="BZ65" i="124"/>
  <c r="U46" i="124"/>
  <c r="AN50" i="124"/>
  <c r="BG54" i="124"/>
  <c r="Z125" i="124"/>
  <c r="M101" i="124"/>
  <c r="W124" i="124"/>
  <c r="Z70" i="124"/>
  <c r="T69" i="124"/>
  <c r="W70" i="124"/>
  <c r="BG70" i="124"/>
  <c r="BC72" i="124"/>
  <c r="BB72" i="124"/>
  <c r="AU90" i="124"/>
  <c r="BU50" i="124"/>
  <c r="BT67" i="124"/>
  <c r="BC68" i="124"/>
  <c r="U100" i="124"/>
  <c r="O83" i="124"/>
  <c r="AJ87" i="124"/>
  <c r="AC71" i="124"/>
  <c r="AZ72" i="124"/>
  <c r="BU123" i="124"/>
  <c r="AQ118" i="124"/>
  <c r="D109" i="124"/>
  <c r="L127" i="124"/>
  <c r="CA127" i="124"/>
  <c r="AK103" i="124"/>
  <c r="BE102" i="124"/>
  <c r="AZ126" i="124"/>
  <c r="AZ122" i="124"/>
  <c r="BE109" i="124"/>
  <c r="AO102" i="124"/>
  <c r="AT110" i="124"/>
  <c r="AJ37" i="124"/>
  <c r="BR110" i="124"/>
  <c r="AO108" i="124"/>
  <c r="AP120" i="124"/>
  <c r="AN104" i="124"/>
  <c r="AE105" i="124"/>
  <c r="BH101" i="124"/>
  <c r="BX126" i="124"/>
  <c r="V108" i="124"/>
  <c r="AM100" i="124"/>
  <c r="AK123" i="124"/>
  <c r="D122" i="124"/>
  <c r="Z98" i="124"/>
  <c r="U99" i="124"/>
  <c r="AJ98" i="124"/>
  <c r="AB107" i="124"/>
  <c r="AD127" i="124"/>
  <c r="AU125" i="124"/>
  <c r="BG120" i="124"/>
  <c r="AN108" i="124"/>
  <c r="W118" i="124"/>
  <c r="D117" i="124"/>
  <c r="H120" i="124"/>
  <c r="E109" i="124"/>
  <c r="F126" i="124"/>
  <c r="F64" i="124"/>
  <c r="L81" i="124"/>
  <c r="AB70" i="124"/>
  <c r="O120" i="124"/>
  <c r="AB85" i="124"/>
  <c r="AT63" i="124"/>
  <c r="I92" i="124"/>
  <c r="BH107" i="124"/>
  <c r="AJ101" i="124"/>
  <c r="H124" i="124"/>
  <c r="BH119" i="124"/>
  <c r="G103" i="124"/>
  <c r="J120" i="124"/>
  <c r="J119" i="124"/>
  <c r="G108" i="124"/>
  <c r="G124" i="124"/>
  <c r="J63" i="124"/>
  <c r="D81" i="124"/>
  <c r="T70" i="124"/>
  <c r="H109" i="124"/>
  <c r="AD84" i="124"/>
  <c r="AL63" i="124"/>
  <c r="M89" i="124"/>
  <c r="AN72" i="124"/>
  <c r="W68" i="124"/>
  <c r="AL85" i="124"/>
  <c r="BP48" i="124"/>
  <c r="BW67" i="124"/>
  <c r="BH34" i="124"/>
  <c r="AJ120" i="124"/>
  <c r="M110" i="124"/>
  <c r="AK100" i="124"/>
  <c r="M126" i="124"/>
  <c r="AA87" i="124"/>
  <c r="E67" i="124"/>
  <c r="H66" i="124"/>
  <c r="O64" i="124"/>
  <c r="N83" i="124"/>
  <c r="H101" i="124"/>
  <c r="E70" i="124"/>
  <c r="AR68" i="124"/>
  <c r="W65" i="124"/>
  <c r="AP83" i="124"/>
  <c r="U67" i="124"/>
  <c r="AR92" i="124"/>
  <c r="F63" i="124"/>
  <c r="AU66" i="124"/>
  <c r="BT68" i="124"/>
  <c r="BF70" i="124"/>
  <c r="AQ87" i="124"/>
  <c r="AT108" i="124"/>
  <c r="AN105" i="124"/>
  <c r="W121" i="124"/>
  <c r="Y126" i="124"/>
  <c r="K70" i="124"/>
  <c r="E86" i="124"/>
  <c r="D84" i="124"/>
  <c r="K80" i="124"/>
  <c r="N98" i="124"/>
  <c r="G117" i="124"/>
  <c r="AB89" i="124"/>
  <c r="AR83" i="124"/>
  <c r="W80" i="124"/>
  <c r="Z62" i="124"/>
  <c r="Z107" i="124"/>
  <c r="BC102" i="124"/>
  <c r="BH123" i="124"/>
  <c r="AR123" i="124"/>
  <c r="O99" i="124"/>
  <c r="N117" i="124"/>
  <c r="D110" i="124"/>
  <c r="O104" i="124"/>
  <c r="D121" i="124"/>
  <c r="Z92" i="124"/>
  <c r="D74" i="124"/>
  <c r="T68" i="124"/>
  <c r="F101" i="124"/>
  <c r="AD82" i="124"/>
  <c r="J108" i="124"/>
  <c r="M81" i="124"/>
  <c r="AN70" i="124"/>
  <c r="AL98" i="124"/>
  <c r="AE107" i="124"/>
  <c r="BK104" i="124"/>
  <c r="U125" i="124"/>
  <c r="O67" i="124"/>
  <c r="M84" i="124"/>
  <c r="L82" i="124"/>
  <c r="K73" i="124"/>
  <c r="J92" i="124"/>
  <c r="J110" i="124"/>
  <c r="W99" i="124"/>
  <c r="AN82" i="124"/>
  <c r="AE73" i="124"/>
  <c r="AL92" i="124"/>
  <c r="AA109" i="124"/>
  <c r="O91" i="124"/>
  <c r="AN92" i="124"/>
  <c r="U80" i="124"/>
  <c r="BD73" i="124"/>
  <c r="AU68" i="124"/>
  <c r="BX50" i="124"/>
  <c r="BW50" i="124"/>
  <c r="BV63" i="124"/>
  <c r="BE64" i="124"/>
  <c r="AP67" i="124"/>
  <c r="V83" i="124"/>
  <c r="BW55" i="124"/>
  <c r="AJ52" i="124"/>
  <c r="BV66" i="124"/>
  <c r="W46" i="124"/>
  <c r="AT47" i="124"/>
  <c r="BU44" i="124"/>
  <c r="M53" i="124"/>
  <c r="AJ45" i="124"/>
  <c r="BC49" i="124"/>
  <c r="AJ119" i="124"/>
  <c r="M63" i="124"/>
  <c r="D98" i="124"/>
  <c r="AP81" i="124"/>
  <c r="AJ90" i="124"/>
  <c r="AA63" i="124"/>
  <c r="BD63" i="124"/>
  <c r="BC63" i="124"/>
  <c r="BJ65" i="124"/>
  <c r="BC90" i="124"/>
  <c r="AT127" i="124"/>
  <c r="AN107" i="124"/>
  <c r="W123" i="124"/>
  <c r="BW101" i="124"/>
  <c r="BG123" i="124"/>
  <c r="BE117" i="124"/>
  <c r="AU124" i="124"/>
  <c r="T99" i="124"/>
  <c r="BW124" i="124"/>
  <c r="AC108" i="124"/>
  <c r="AP105" i="124"/>
  <c r="AM71" i="124"/>
  <c r="BZ83" i="124"/>
  <c r="AS101" i="124"/>
  <c r="AL110" i="124"/>
  <c r="W107" i="124"/>
  <c r="V99" i="124"/>
  <c r="BG118" i="124"/>
  <c r="BT100" i="124"/>
  <c r="BI104" i="124"/>
  <c r="BF102" i="124"/>
  <c r="AS117" i="124"/>
  <c r="BD117" i="124"/>
  <c r="V124" i="124"/>
  <c r="AC124" i="124"/>
  <c r="AA102" i="124"/>
  <c r="W100" i="124"/>
  <c r="Z122" i="124"/>
  <c r="BJ116" i="124"/>
  <c r="E121" i="124"/>
  <c r="Z101" i="124"/>
  <c r="G116" i="124"/>
  <c r="I121" i="124"/>
  <c r="L105" i="124"/>
  <c r="G102" i="124"/>
  <c r="J117" i="124"/>
  <c r="AD89" i="124"/>
  <c r="H71" i="124"/>
  <c r="X65" i="124"/>
  <c r="J85" i="124"/>
  <c r="V80" i="124"/>
  <c r="N92" i="124"/>
  <c r="E66" i="124"/>
  <c r="AS118" i="124"/>
  <c r="AU103" i="124"/>
  <c r="AN110" i="124"/>
  <c r="AN106" i="124"/>
  <c r="K91" i="124"/>
  <c r="E107" i="124"/>
  <c r="D105" i="124"/>
  <c r="K101" i="124"/>
  <c r="K116" i="124"/>
  <c r="V89" i="124"/>
  <c r="L70" i="124"/>
  <c r="AB64" i="124"/>
  <c r="N82" i="124"/>
  <c r="Z74" i="124"/>
  <c r="F90" i="124"/>
  <c r="I63" i="124"/>
  <c r="AJ67" i="124"/>
  <c r="AE62" i="124"/>
  <c r="AP69" i="124"/>
  <c r="E68" i="124"/>
  <c r="BS62" i="124"/>
  <c r="BY105" i="124"/>
  <c r="X124" i="124"/>
  <c r="AE109" i="124"/>
  <c r="V98" i="124"/>
  <c r="L123" i="124"/>
  <c r="G125" i="124"/>
  <c r="Y91" i="124"/>
  <c r="X89" i="124"/>
  <c r="AA90" i="124"/>
  <c r="J73" i="124"/>
  <c r="D91" i="124"/>
  <c r="T85" i="124"/>
  <c r="AN63" i="124"/>
  <c r="E98" i="124"/>
  <c r="AL73" i="124"/>
  <c r="AS92" i="124"/>
  <c r="AN87" i="124"/>
  <c r="W83" i="124"/>
  <c r="F86" i="124"/>
  <c r="BP63" i="124"/>
  <c r="BG64" i="124"/>
  <c r="AU71" i="124"/>
  <c r="AS127" i="124"/>
  <c r="AC120" i="124"/>
  <c r="AZ118" i="124"/>
  <c r="AC119" i="124"/>
  <c r="K62" i="124"/>
  <c r="I74" i="124"/>
  <c r="H72" i="124"/>
  <c r="K69" i="124"/>
  <c r="J88" i="124"/>
  <c r="D106" i="124"/>
  <c r="M98" i="124"/>
  <c r="AN73" i="124"/>
  <c r="AE69" i="124"/>
  <c r="AL88" i="124"/>
  <c r="Y105" i="124"/>
  <c r="AC103" i="124"/>
  <c r="AM103" i="124"/>
  <c r="AN101" i="124"/>
  <c r="G88" i="124"/>
  <c r="M103" i="124"/>
  <c r="D103" i="124"/>
  <c r="G98" i="124"/>
  <c r="O108" i="124"/>
  <c r="V87" i="124"/>
  <c r="L68" i="124"/>
  <c r="AB62" i="124"/>
  <c r="N69" i="124"/>
  <c r="Z72" i="124"/>
  <c r="F82" i="124"/>
  <c r="AB87" i="124"/>
  <c r="AJ65" i="124"/>
  <c r="AK117" i="124"/>
  <c r="I128" i="124"/>
  <c r="AN120" i="124"/>
  <c r="Y118" i="124"/>
  <c r="W92" i="124"/>
  <c r="M71" i="124"/>
  <c r="D71" i="124"/>
  <c r="G68" i="124"/>
  <c r="F87" i="124"/>
  <c r="L104" i="124"/>
  <c r="I88" i="124"/>
  <c r="AJ72" i="124"/>
  <c r="AA68" i="124"/>
  <c r="BZ35" i="124"/>
  <c r="AE128" i="124"/>
  <c r="G62" i="124"/>
  <c r="AJ66" i="124"/>
  <c r="Y64" i="124"/>
  <c r="N107" i="124"/>
  <c r="J70" i="124"/>
  <c r="I99" i="124"/>
  <c r="J83" i="124"/>
  <c r="BR53" i="124"/>
  <c r="BQ72" i="124"/>
  <c r="BK71" i="124"/>
  <c r="AO90" i="124"/>
  <c r="BS50" i="124"/>
  <c r="AR46" i="124"/>
  <c r="BW44" i="124"/>
  <c r="V85" i="124"/>
  <c r="Z55" i="124"/>
  <c r="BA52" i="124"/>
  <c r="AS73" i="124"/>
  <c r="AB52" i="124"/>
  <c r="AU56" i="124"/>
  <c r="AB108" i="124"/>
  <c r="L99" i="124"/>
  <c r="L66" i="124"/>
  <c r="AP64" i="124"/>
  <c r="AN81" i="124"/>
  <c r="AQ86" i="124"/>
  <c r="BX69" i="124"/>
  <c r="BW69" i="124"/>
  <c r="BV73" i="124"/>
  <c r="BV122" i="124"/>
  <c r="AP122" i="124"/>
  <c r="U109" i="124"/>
  <c r="AE117" i="124"/>
  <c r="BR89" i="124"/>
  <c r="BC116" i="124"/>
  <c r="AK104" i="124"/>
  <c r="Z100" i="124"/>
  <c r="AB124" i="124"/>
  <c r="BZ85" i="124"/>
  <c r="BK105" i="124"/>
  <c r="AL100" i="124"/>
  <c r="BA30" i="124"/>
  <c r="BF106" i="124"/>
  <c r="Y107" i="124"/>
  <c r="AT104" i="124"/>
  <c r="T100" i="124"/>
  <c r="AD124" i="124"/>
  <c r="AN117" i="124"/>
  <c r="AZ87" i="124"/>
  <c r="BE128" i="124"/>
  <c r="BB128" i="124"/>
  <c r="AO107" i="124"/>
  <c r="AM116" i="124"/>
  <c r="AD118" i="124"/>
  <c r="Y119" i="124"/>
  <c r="T128" i="124"/>
  <c r="AE125" i="124"/>
  <c r="BH104" i="124"/>
  <c r="BC121" i="124"/>
  <c r="AR108" i="124"/>
  <c r="AD121" i="124"/>
  <c r="O103" i="124"/>
  <c r="M107" i="124"/>
  <c r="D99" i="124"/>
  <c r="G89" i="124"/>
  <c r="F106" i="124"/>
  <c r="AE118" i="124"/>
  <c r="D66" i="124"/>
  <c r="AJ91" i="124"/>
  <c r="V90" i="124"/>
  <c r="AD69" i="124"/>
  <c r="J66" i="124"/>
  <c r="T84" i="124"/>
  <c r="AQ120" i="124"/>
  <c r="V120" i="124"/>
  <c r="Y102" i="124"/>
  <c r="X106" i="124"/>
  <c r="K83" i="124"/>
  <c r="I100" i="124"/>
  <c r="H98" i="124"/>
  <c r="K88" i="124"/>
  <c r="J105" i="124"/>
  <c r="W116" i="124"/>
  <c r="H65" i="124"/>
  <c r="AN90" i="124"/>
  <c r="V88" i="124"/>
  <c r="V69" i="124"/>
  <c r="N63" i="124"/>
  <c r="X83" i="124"/>
  <c r="BH74" i="124"/>
  <c r="AQ88" i="124"/>
  <c r="BC73" i="124"/>
  <c r="AE63" i="124"/>
  <c r="CA51" i="124"/>
  <c r="BZ104" i="124"/>
  <c r="D116" i="124"/>
  <c r="X123" i="124"/>
  <c r="Z118" i="124"/>
  <c r="J109" i="124"/>
  <c r="AA127" i="124"/>
  <c r="AA121" i="124"/>
  <c r="F121" i="124"/>
  <c r="W85" i="124"/>
  <c r="F68" i="124"/>
  <c r="L85" i="124"/>
  <c r="AB74" i="124"/>
  <c r="AZ71" i="124"/>
  <c r="M66" i="124"/>
  <c r="AT67" i="124"/>
  <c r="K127" i="124"/>
  <c r="AJ82" i="124"/>
  <c r="AE72" i="124"/>
  <c r="AC66" i="124"/>
  <c r="BX52" i="124"/>
  <c r="BS72" i="124"/>
  <c r="N28" i="124"/>
  <c r="AJ106" i="124"/>
  <c r="BG103" i="124"/>
  <c r="AS98" i="124"/>
  <c r="E126" i="124"/>
  <c r="AE86" i="124"/>
  <c r="I66" i="124"/>
  <c r="L65" i="124"/>
  <c r="G64" i="124"/>
  <c r="F83" i="124"/>
  <c r="L100" i="124"/>
  <c r="I67" i="124"/>
  <c r="AJ68" i="124"/>
  <c r="AA64" i="124"/>
  <c r="AT82" i="124"/>
  <c r="AQ99" i="124"/>
  <c r="N125" i="124"/>
  <c r="AA99" i="124"/>
  <c r="Y101" i="124"/>
  <c r="K81" i="124"/>
  <c r="E92" i="124"/>
  <c r="D90" i="124"/>
  <c r="K86" i="124"/>
  <c r="J103" i="124"/>
  <c r="O123" i="124"/>
  <c r="H63" i="124"/>
  <c r="AN88" i="124"/>
  <c r="AE84" i="124"/>
  <c r="V67" i="124"/>
  <c r="AC87" i="124"/>
  <c r="X81" i="124"/>
  <c r="V32" i="124"/>
  <c r="X108" i="124"/>
  <c r="BD120" i="124"/>
  <c r="X105" i="124"/>
  <c r="AE103" i="124"/>
  <c r="AA85" i="124"/>
  <c r="E65" i="124"/>
  <c r="D63" i="124"/>
  <c r="O62" i="124"/>
  <c r="N81" i="124"/>
  <c r="H99" i="124"/>
  <c r="E62" i="124"/>
  <c r="AR66" i="124"/>
  <c r="E120" i="124"/>
  <c r="BK126" i="124"/>
  <c r="O86" i="124"/>
  <c r="J107" i="124"/>
  <c r="J64" i="124"/>
  <c r="M102" i="124"/>
  <c r="F71" i="124"/>
  <c r="AQ91" i="124"/>
  <c r="AL91" i="124"/>
  <c r="AU92" i="124"/>
  <c r="BZ47" i="124"/>
  <c r="BY66" i="124"/>
  <c r="BH65" i="124"/>
  <c r="AK74" i="124"/>
  <c r="AA62" i="124"/>
  <c r="X54" i="124"/>
  <c r="BC52" i="124"/>
  <c r="BJ69" i="124"/>
  <c r="V50" i="124"/>
  <c r="BI46" i="124"/>
  <c r="BQ71" i="124"/>
  <c r="X47" i="124"/>
  <c r="AQ51" i="124"/>
  <c r="W103" i="124"/>
  <c r="AB92" i="124"/>
  <c r="X88" i="124"/>
  <c r="F69" i="124"/>
  <c r="AN68" i="124"/>
  <c r="AU74" i="124"/>
  <c r="BX56" i="124"/>
  <c r="CA62" i="124"/>
  <c r="BR68" i="124"/>
  <c r="BE69" i="124"/>
  <c r="AT81" i="124"/>
  <c r="BT46" i="124"/>
  <c r="L126" i="124"/>
  <c r="N118" i="124"/>
  <c r="N70" i="124"/>
  <c r="I82" i="124"/>
  <c r="T82" i="124"/>
  <c r="BF99" i="124"/>
  <c r="BE123" i="124"/>
  <c r="AJ109" i="124"/>
  <c r="W35" i="124"/>
  <c r="BX100" i="124"/>
  <c r="BJ124" i="124"/>
  <c r="X109" i="124"/>
  <c r="BH127" i="124"/>
  <c r="Y52" i="124"/>
  <c r="BX123" i="124"/>
  <c r="AU106" i="124"/>
  <c r="BI116" i="124"/>
  <c r="BQ116" i="124"/>
  <c r="BB123" i="124"/>
  <c r="AQ116" i="124"/>
  <c r="BE121" i="124"/>
  <c r="BD102" i="124"/>
  <c r="AR103" i="124"/>
  <c r="BE35" i="124"/>
  <c r="BY125" i="124"/>
  <c r="AC106" i="124"/>
  <c r="AL104" i="124"/>
  <c r="W106" i="124"/>
  <c r="AZ104" i="124"/>
  <c r="BG105" i="124"/>
  <c r="M121" i="124"/>
  <c r="X117" i="124"/>
  <c r="BD116" i="124"/>
  <c r="BR118" i="124"/>
  <c r="H121" i="124"/>
  <c r="L125" i="124"/>
  <c r="AJ108" i="124"/>
  <c r="G84" i="124"/>
  <c r="E88" i="124"/>
  <c r="H74" i="124"/>
  <c r="K71" i="124"/>
  <c r="J90" i="124"/>
  <c r="D108" i="124"/>
  <c r="M106" i="124"/>
  <c r="AN80" i="124"/>
  <c r="AE71" i="124"/>
  <c r="AL90" i="124"/>
  <c r="AC73" i="124"/>
  <c r="X68" i="124"/>
  <c r="BE125" i="124"/>
  <c r="U126" i="124"/>
  <c r="BH121" i="124"/>
  <c r="U121" i="124"/>
  <c r="G65" i="124"/>
  <c r="M80" i="124"/>
  <c r="L73" i="124"/>
  <c r="O70" i="124"/>
  <c r="N89" i="124"/>
  <c r="H107" i="124"/>
  <c r="E104" i="124"/>
  <c r="AR74" i="124"/>
  <c r="W71" i="124"/>
  <c r="AP89" i="124"/>
  <c r="U73" i="124"/>
  <c r="AB67" i="124"/>
  <c r="F92" i="124"/>
  <c r="AU72" i="124"/>
  <c r="BT74" i="124"/>
  <c r="AS66" i="124"/>
  <c r="AC81" i="124"/>
  <c r="AK107" i="124"/>
  <c r="AO99" i="124"/>
  <c r="AQ108" i="124"/>
  <c r="AQ104" i="124"/>
  <c r="K89" i="124"/>
  <c r="I106" i="124"/>
  <c r="H104" i="124"/>
  <c r="K99" i="124"/>
  <c r="L110" i="124"/>
  <c r="Z88" i="124"/>
  <c r="D70" i="124"/>
  <c r="T64" i="124"/>
  <c r="F80" i="124"/>
  <c r="AD73" i="124"/>
  <c r="J87" i="124"/>
  <c r="AC91" i="124"/>
  <c r="AN66" i="124"/>
  <c r="W62" i="124"/>
  <c r="AL68" i="124"/>
  <c r="AB88" i="124"/>
  <c r="BW56" i="124"/>
  <c r="BF91" i="124"/>
  <c r="BC104" i="124"/>
  <c r="T122" i="124"/>
  <c r="AD117" i="124"/>
  <c r="K108" i="124"/>
  <c r="W122" i="124"/>
  <c r="V117" i="124"/>
  <c r="G120" i="124"/>
  <c r="AE99" i="124"/>
  <c r="J67" i="124"/>
  <c r="BD89" i="124"/>
  <c r="BH99" i="124"/>
  <c r="X120" i="124"/>
  <c r="J126" i="124"/>
  <c r="G92" i="124"/>
  <c r="W82" i="124"/>
  <c r="O71" i="124"/>
  <c r="AA81" i="124"/>
  <c r="BE71" i="124"/>
  <c r="AA101" i="124"/>
  <c r="L92" i="124"/>
  <c r="L64" i="124"/>
  <c r="V92" i="124"/>
  <c r="BE72" i="124"/>
  <c r="T105" i="124"/>
  <c r="M118" i="124"/>
  <c r="F62" i="124"/>
  <c r="BD70" i="124"/>
  <c r="AP103" i="124"/>
  <c r="AB109" i="124"/>
  <c r="I72" i="124"/>
  <c r="F98" i="124"/>
  <c r="M64" i="124"/>
  <c r="AP87" i="124"/>
  <c r="AJ86" i="124"/>
  <c r="AD99" i="124"/>
  <c r="AJ100" i="124"/>
  <c r="E103" i="124"/>
  <c r="K92" i="124"/>
  <c r="Z86" i="124"/>
  <c r="T62" i="124"/>
  <c r="AD71" i="124"/>
  <c r="H100" i="124"/>
  <c r="AL65" i="124"/>
  <c r="AM87" i="124"/>
  <c r="BS70" i="124"/>
  <c r="AK65" i="124"/>
  <c r="BT52" i="124"/>
  <c r="BH49" i="124"/>
  <c r="AE56" i="124"/>
  <c r="AM63" i="124"/>
  <c r="AR55" i="124"/>
  <c r="AB100" i="124"/>
  <c r="J80" i="124"/>
  <c r="AB84" i="124"/>
  <c r="AT70" i="124"/>
  <c r="AM69" i="124"/>
  <c r="BU71" i="124"/>
  <c r="BX72" i="124"/>
  <c r="BF127" i="124"/>
  <c r="Y87" i="124"/>
  <c r="X82" i="124"/>
  <c r="I84" i="124"/>
  <c r="AA69" i="124"/>
  <c r="BI69" i="124"/>
  <c r="BG69" i="124"/>
  <c r="BC71" i="124"/>
  <c r="AK89" i="124"/>
  <c r="BY49" i="124"/>
  <c r="BX66" i="124"/>
  <c r="BG67" i="124"/>
  <c r="BY46" i="124"/>
  <c r="H55" i="124"/>
  <c r="AM53" i="124"/>
  <c r="BJ54" i="124"/>
  <c r="F51" i="124"/>
  <c r="BS117" i="124"/>
  <c r="O118" i="124"/>
  <c r="W87" i="124"/>
  <c r="AZ73" i="124"/>
  <c r="AS90" i="124"/>
  <c r="N99" i="124"/>
  <c r="Y82" i="124"/>
  <c r="AD81" i="124"/>
  <c r="Y84" i="124"/>
  <c r="BR51" i="124"/>
  <c r="BQ70" i="124"/>
  <c r="BC69" i="124"/>
  <c r="AS85" i="124"/>
  <c r="BS48" i="124"/>
  <c r="AR44" i="124"/>
  <c r="BG55" i="124"/>
  <c r="AO85" i="124"/>
  <c r="Z53" i="124"/>
  <c r="BA50" i="124"/>
  <c r="BF72" i="124"/>
  <c r="AB50" i="124"/>
  <c r="AU54" i="124"/>
  <c r="BH126" i="124"/>
  <c r="N110" i="124"/>
  <c r="T72" i="124"/>
  <c r="Z85" i="124"/>
  <c r="AN64" i="124"/>
  <c r="AQ71" i="124"/>
  <c r="BX54" i="124"/>
  <c r="BW54" i="124"/>
  <c r="BR66" i="124"/>
  <c r="BA67" i="124"/>
  <c r="AT72" i="124"/>
  <c r="E89" i="124"/>
  <c r="BS63" i="124"/>
  <c r="AR54" i="124"/>
  <c r="BB64" i="124"/>
  <c r="BA105" i="124"/>
  <c r="K66" i="124"/>
  <c r="F91" i="124"/>
  <c r="AA72" i="124"/>
  <c r="M68" i="124"/>
  <c r="V86" i="124"/>
  <c r="AL81" i="124"/>
  <c r="AS83" i="124"/>
  <c r="AM82" i="124"/>
  <c r="M91" i="124"/>
  <c r="BU63" i="124"/>
  <c r="BD62" i="124"/>
  <c r="AO67" i="124"/>
  <c r="BC74" i="124"/>
  <c r="T51" i="124"/>
  <c r="BK48" i="124"/>
  <c r="BQ69" i="124"/>
  <c r="AD46" i="124"/>
  <c r="AO56" i="124"/>
  <c r="N90" i="124"/>
  <c r="AD68" i="124"/>
  <c r="AZ67" i="124"/>
  <c r="X50" i="124"/>
  <c r="BB48" i="124"/>
  <c r="AO44" i="124"/>
  <c r="AJ47" i="124"/>
  <c r="AM50" i="124"/>
  <c r="BF50" i="124"/>
  <c r="H31" i="124"/>
  <c r="BC38" i="124"/>
  <c r="AB27" i="124"/>
  <c r="BT31" i="124"/>
  <c r="U33" i="124"/>
  <c r="BY36" i="124"/>
  <c r="BU29" i="124"/>
  <c r="BG31" i="124"/>
  <c r="Z69" i="124"/>
  <c r="AB37" i="124"/>
  <c r="L107" i="124"/>
  <c r="AM89" i="124"/>
  <c r="AO66" i="124"/>
  <c r="BE67" i="124"/>
  <c r="AA47" i="124"/>
  <c r="BR46" i="124"/>
  <c r="BH54" i="124"/>
  <c r="BS44" i="124"/>
  <c r="BE65" i="124"/>
  <c r="V49" i="124"/>
  <c r="AU35" i="124"/>
  <c r="BV51" i="124"/>
  <c r="AZ29" i="124"/>
  <c r="F35" i="124"/>
  <c r="BE34" i="124"/>
  <c r="BK53" i="124"/>
  <c r="J32" i="124"/>
  <c r="F107" i="124"/>
  <c r="AU44" i="124"/>
  <c r="F37" i="124"/>
  <c r="BH64" i="124"/>
  <c r="BB50" i="124"/>
  <c r="AE51" i="124"/>
  <c r="K45" i="124"/>
  <c r="AK30" i="124"/>
  <c r="J86" i="124"/>
  <c r="AT74" i="124"/>
  <c r="BY62" i="124"/>
  <c r="BD50" i="124"/>
  <c r="BE73" i="124"/>
  <c r="BE47" i="124"/>
  <c r="BH46" i="124"/>
  <c r="BK49" i="124"/>
  <c r="BU49" i="124"/>
  <c r="F56" i="124"/>
  <c r="BK28" i="124"/>
  <c r="K34" i="124"/>
  <c r="AZ35" i="124"/>
  <c r="F29" i="124"/>
  <c r="BU27" i="124"/>
  <c r="AS32" i="124"/>
  <c r="L51" i="124"/>
  <c r="BU73" i="124"/>
  <c r="BC53" i="124"/>
  <c r="BD32" i="124"/>
  <c r="U65" i="124"/>
  <c r="AS86" i="124"/>
  <c r="AJ55" i="124"/>
  <c r="H37" i="124"/>
  <c r="BH27" i="124"/>
  <c r="BD104" i="124"/>
  <c r="X86" i="124"/>
  <c r="AQ74" i="124"/>
  <c r="AS64" i="124"/>
  <c r="BS45" i="124"/>
  <c r="Z49" i="124"/>
  <c r="BI128" i="124"/>
  <c r="BF108" i="124"/>
  <c r="F127" i="124"/>
  <c r="E127" i="124"/>
  <c r="E101" i="124"/>
  <c r="Z64" i="124"/>
  <c r="I87" i="124"/>
  <c r="AD63" i="124"/>
  <c r="BW46" i="124"/>
  <c r="AN127" i="124"/>
  <c r="K107" i="124"/>
  <c r="X69" i="124"/>
  <c r="E87" i="124"/>
  <c r="BT47" i="124"/>
  <c r="AA104" i="124"/>
  <c r="AC90" i="124"/>
  <c r="H90" i="124"/>
  <c r="N103" i="124"/>
  <c r="AO122" i="124"/>
  <c r="AC125" i="124"/>
  <c r="M65" i="124"/>
  <c r="N87" i="124"/>
  <c r="AJ83" i="124"/>
  <c r="AL82" i="124"/>
  <c r="BT98" i="124"/>
  <c r="AB101" i="124"/>
  <c r="M120" i="124"/>
  <c r="Y89" i="124"/>
  <c r="AA88" i="124"/>
  <c r="D89" i="124"/>
  <c r="BD74" i="124"/>
  <c r="U105" i="124"/>
  <c r="F81" i="124"/>
  <c r="Y85" i="124"/>
  <c r="AL72" i="124"/>
  <c r="AQ70" i="124"/>
  <c r="BU56" i="124"/>
  <c r="AO63" i="124"/>
  <c r="T49" i="124"/>
  <c r="BQ56" i="124"/>
  <c r="AO54" i="124"/>
  <c r="D55" i="124"/>
  <c r="Y108" i="124"/>
  <c r="AR91" i="124"/>
  <c r="BH72" i="124"/>
  <c r="BP50" i="124"/>
  <c r="BZ62" i="124"/>
  <c r="BQ66" i="124"/>
  <c r="BP62" i="124"/>
  <c r="BH103" i="124"/>
  <c r="L88" i="124"/>
  <c r="BH73" i="124"/>
  <c r="X66" i="124"/>
  <c r="AQ92" i="124"/>
  <c r="BH62" i="124"/>
  <c r="BG62" i="124"/>
  <c r="BB65" i="124"/>
  <c r="AK73" i="124"/>
  <c r="U87" i="124"/>
  <c r="BT56" i="124"/>
  <c r="BC62" i="124"/>
  <c r="BH53" i="124"/>
  <c r="D50" i="124"/>
  <c r="AU47" i="124"/>
  <c r="BF49" i="124"/>
  <c r="U83" i="124"/>
  <c r="BB122" i="124"/>
  <c r="G73" i="124"/>
  <c r="J101" i="124"/>
  <c r="AE82" i="124"/>
  <c r="E74" i="124"/>
  <c r="AD88" i="124"/>
  <c r="AP86" i="124"/>
  <c r="AO86" i="124"/>
  <c r="AU84" i="124"/>
  <c r="BZ45" i="124"/>
  <c r="BY64" i="124"/>
  <c r="BH63" i="124"/>
  <c r="AK70" i="124"/>
  <c r="AK71" i="124"/>
  <c r="X52" i="124"/>
  <c r="BC50" i="124"/>
  <c r="BU74" i="124"/>
  <c r="V48" i="124"/>
  <c r="BI44" i="124"/>
  <c r="BQ63" i="124"/>
  <c r="X45" i="124"/>
  <c r="AQ49" i="124"/>
  <c r="Y124" i="124"/>
  <c r="O72" i="124"/>
  <c r="AR81" i="124"/>
  <c r="AC69" i="124"/>
  <c r="BH70" i="124"/>
  <c r="AU64" i="124"/>
  <c r="BX46" i="124"/>
  <c r="CA47" i="124"/>
  <c r="BZ55" i="124"/>
  <c r="BY74" i="124"/>
  <c r="AP62" i="124"/>
  <c r="Z67" i="124"/>
  <c r="CA52" i="124"/>
  <c r="AN49" i="124"/>
  <c r="BZ50" i="124"/>
  <c r="AR119" i="124"/>
  <c r="O124" i="124"/>
  <c r="N64" i="124"/>
  <c r="AB86" i="124"/>
  <c r="X74" i="124"/>
  <c r="W74" i="124"/>
  <c r="AU62" i="124"/>
  <c r="AT62" i="124"/>
  <c r="AU63" i="124"/>
  <c r="V68" i="124"/>
  <c r="BQ53" i="124"/>
  <c r="BP70" i="124"/>
  <c r="BJ71" i="124"/>
  <c r="BU64" i="124"/>
  <c r="AB45" i="124"/>
  <c r="AQ56" i="124"/>
  <c r="BR45" i="124"/>
  <c r="J54" i="124"/>
  <c r="AK51" i="124"/>
  <c r="AT69" i="124"/>
  <c r="BW71" i="124"/>
  <c r="BX53" i="124"/>
  <c r="L50" i="124"/>
  <c r="AP50" i="124"/>
  <c r="U50" i="124"/>
  <c r="X53" i="124"/>
  <c r="AA56" i="124"/>
  <c r="BB45" i="124"/>
  <c r="AE26" i="124"/>
  <c r="BW30" i="124"/>
  <c r="T33" i="124"/>
  <c r="BX36" i="124"/>
  <c r="Y38" i="124"/>
  <c r="I47" i="124"/>
  <c r="E71" i="124"/>
  <c r="AN29" i="124"/>
  <c r="BR63" i="124"/>
  <c r="BX30" i="124"/>
  <c r="H118" i="124"/>
  <c r="V62" i="124"/>
  <c r="BU67" i="124"/>
  <c r="AZ51" i="124"/>
  <c r="AO64" i="124"/>
  <c r="BA48" i="124"/>
  <c r="BD47" i="124"/>
  <c r="BG50" i="124"/>
  <c r="BQ52" i="124"/>
  <c r="N56" i="124"/>
  <c r="BC28" i="124"/>
  <c r="G35" i="124"/>
  <c r="BD34" i="124"/>
  <c r="N29" i="124"/>
  <c r="BY26" i="124"/>
  <c r="BY67" i="124"/>
  <c r="AS28" i="124"/>
  <c r="V72" i="124"/>
  <c r="BQ65" i="124"/>
  <c r="AO29" i="124"/>
  <c r="F99" i="124"/>
  <c r="V44" i="124"/>
  <c r="BG71" i="124"/>
  <c r="BI49" i="124"/>
  <c r="BA33" i="124"/>
  <c r="M85" i="124"/>
  <c r="BP65" i="124"/>
  <c r="AT85" i="124"/>
  <c r="AJ48" i="124"/>
  <c r="BJ56" i="124"/>
  <c r="AS49" i="124"/>
  <c r="AN52" i="124"/>
  <c r="AQ55" i="124"/>
  <c r="BF54" i="124"/>
  <c r="H35" i="124"/>
  <c r="BC34" i="124"/>
  <c r="G29" i="124"/>
  <c r="BT27" i="124"/>
  <c r="U29" i="124"/>
  <c r="BY32" i="124"/>
  <c r="BE30" i="124"/>
  <c r="U31" i="124"/>
  <c r="BK64" i="124"/>
  <c r="AA52" i="124"/>
  <c r="N52" i="124"/>
  <c r="I117" i="124"/>
  <c r="D52" i="124"/>
  <c r="AB46" i="124"/>
  <c r="AM29" i="124"/>
  <c r="BD38" i="124"/>
  <c r="AU116" i="124"/>
  <c r="AR69" i="124"/>
  <c r="BV69" i="124"/>
  <c r="BW70" i="124"/>
  <c r="AU55" i="124"/>
  <c r="N51" i="124"/>
  <c r="AM128" i="124"/>
  <c r="BK122" i="124"/>
  <c r="AM38" i="124"/>
  <c r="AB122" i="124"/>
  <c r="H87" i="124"/>
  <c r="U84" i="124"/>
  <c r="L86" i="124"/>
  <c r="Y83" i="124"/>
  <c r="AL89" i="124"/>
  <c r="W105" i="124"/>
  <c r="O87" i="124"/>
  <c r="AR89" i="124"/>
  <c r="AB82" i="124"/>
  <c r="U62" i="124"/>
  <c r="BC127" i="124"/>
  <c r="O110" i="124"/>
  <c r="D85" i="124"/>
  <c r="I90" i="124"/>
  <c r="AM101" i="124"/>
  <c r="U119" i="124"/>
  <c r="H83" i="124"/>
  <c r="J82" i="124"/>
  <c r="AR72" i="124"/>
  <c r="Y81" i="124"/>
  <c r="BU92" i="124"/>
  <c r="T118" i="124"/>
  <c r="G107" i="124"/>
  <c r="I123" i="124"/>
  <c r="W120" i="124"/>
  <c r="L83" i="124"/>
  <c r="AZ69" i="124"/>
  <c r="AD128" i="124"/>
  <c r="AA98" i="124"/>
  <c r="AB69" i="124"/>
  <c r="BF71" i="124"/>
  <c r="BA73" i="124"/>
  <c r="BQ51" i="124"/>
  <c r="BB69" i="124"/>
  <c r="L56" i="124"/>
  <c r="BB56" i="124"/>
  <c r="AK49" i="124"/>
  <c r="AO88" i="124"/>
  <c r="AA123" i="124"/>
  <c r="AN65" i="124"/>
  <c r="F105" i="124"/>
  <c r="M83" i="124"/>
  <c r="BV52" i="124"/>
  <c r="BY55" i="124"/>
  <c r="BX51" i="124"/>
  <c r="X98" i="124"/>
  <c r="AE116" i="124"/>
  <c r="AA83" i="124"/>
  <c r="AN89" i="124"/>
  <c r="AU85" i="124"/>
  <c r="BX67" i="124"/>
  <c r="CA68" i="124"/>
  <c r="BZ72" i="124"/>
  <c r="AQ62" i="124"/>
  <c r="AO92" i="124"/>
  <c r="BP51" i="124"/>
  <c r="CA69" i="124"/>
  <c r="BD48" i="124"/>
  <c r="T86" i="124"/>
  <c r="AA55" i="124"/>
  <c r="BB44" i="124"/>
  <c r="BA69" i="124"/>
  <c r="H123" i="124"/>
  <c r="O117" i="124"/>
  <c r="F70" i="124"/>
  <c r="M74" i="124"/>
  <c r="AB80" i="124"/>
  <c r="AA80" i="124"/>
  <c r="AP65" i="124"/>
  <c r="AK68" i="124"/>
  <c r="AQ66" i="124"/>
  <c r="Z73" i="124"/>
  <c r="BU54" i="124"/>
  <c r="BT71" i="124"/>
  <c r="BG73" i="124"/>
  <c r="BY69" i="124"/>
  <c r="T47" i="124"/>
  <c r="BK44" i="124"/>
  <c r="BQ48" i="124"/>
  <c r="N55" i="124"/>
  <c r="AO52" i="124"/>
  <c r="BH56" i="124"/>
  <c r="D53" i="124"/>
  <c r="BA84" i="124"/>
  <c r="G105" i="124"/>
  <c r="AA116" i="124"/>
  <c r="BD68" i="124"/>
  <c r="AK90" i="124"/>
  <c r="N86" i="124"/>
  <c r="AC74" i="124"/>
  <c r="V74" i="124"/>
  <c r="Y71" i="124"/>
  <c r="BV50" i="124"/>
  <c r="BU69" i="124"/>
  <c r="BE68" i="124"/>
  <c r="AO84" i="124"/>
  <c r="BW47" i="124"/>
  <c r="AJ44" i="124"/>
  <c r="BK54" i="124"/>
  <c r="Y100" i="124"/>
  <c r="E82" i="124"/>
  <c r="L108" i="124"/>
  <c r="AT90" i="124"/>
  <c r="AB63" i="124"/>
  <c r="W66" i="124"/>
  <c r="BD67" i="124"/>
  <c r="BC67" i="124"/>
  <c r="BG68" i="124"/>
  <c r="AS84" i="124"/>
  <c r="BY47" i="124"/>
  <c r="BX64" i="124"/>
  <c r="BG65" i="124"/>
  <c r="BP44" i="124"/>
  <c r="H53" i="124"/>
  <c r="AM51" i="124"/>
  <c r="BJ52" i="124"/>
  <c r="F49" i="124"/>
  <c r="BA127" i="124"/>
  <c r="G118" i="124"/>
  <c r="U66" i="124"/>
  <c r="AS81" i="124"/>
  <c r="BR69" i="124"/>
  <c r="AD52" i="124"/>
  <c r="M55" i="124"/>
  <c r="T46" i="124"/>
  <c r="W51" i="124"/>
  <c r="AT52" i="124"/>
  <c r="W32" i="124"/>
  <c r="CA35" i="124"/>
  <c r="X38" i="124"/>
  <c r="G47" i="124"/>
  <c r="AS30" i="124"/>
  <c r="U45" i="124"/>
  <c r="BP64" i="124"/>
  <c r="U37" i="124"/>
  <c r="AZ56" i="124"/>
  <c r="F31" i="124"/>
  <c r="D72" i="124"/>
  <c r="BP71" i="124"/>
  <c r="U68" i="124"/>
  <c r="AN51" i="124"/>
  <c r="BV44" i="124"/>
  <c r="AO50" i="124"/>
  <c r="AJ53" i="124"/>
  <c r="AM56" i="124"/>
  <c r="BB55" i="124"/>
  <c r="D36" i="124"/>
  <c r="BG33" i="124"/>
  <c r="O29" i="124"/>
  <c r="BX26" i="124"/>
  <c r="Y28" i="124"/>
  <c r="BQ32" i="124"/>
  <c r="AL44" i="124"/>
  <c r="E45" i="124"/>
  <c r="L52" i="124"/>
  <c r="AT48" i="124"/>
  <c r="BE32" i="124"/>
  <c r="AK82" i="124"/>
  <c r="AS53" i="124"/>
  <c r="BB51" i="124"/>
  <c r="G31" i="124"/>
  <c r="BY30" i="124"/>
  <c r="AE67" i="124"/>
  <c r="AS74" i="124"/>
  <c r="BX74" i="124"/>
  <c r="X48" i="124"/>
  <c r="BB46" i="124"/>
  <c r="Y55" i="124"/>
  <c r="AR45" i="124"/>
  <c r="AM48" i="124"/>
  <c r="BB49" i="124"/>
  <c r="D30" i="124"/>
  <c r="BW26" i="124"/>
  <c r="AD119" i="124"/>
  <c r="Z102" i="124"/>
  <c r="CA87" i="124"/>
  <c r="AA120" i="124"/>
  <c r="K82" i="124"/>
  <c r="AB73" i="124"/>
  <c r="O81" i="124"/>
  <c r="T73" i="124"/>
  <c r="BJ117" i="124"/>
  <c r="K102" i="124"/>
  <c r="D123" i="124"/>
  <c r="J106" i="124"/>
  <c r="AR71" i="124"/>
  <c r="CA66" i="124"/>
  <c r="Z128" i="124"/>
  <c r="AA100" i="124"/>
  <c r="L74" i="124"/>
  <c r="E64" i="124"/>
  <c r="AR100" i="124"/>
  <c r="E124" i="124"/>
  <c r="L71" i="124"/>
  <c r="H116" i="124"/>
  <c r="AN67" i="124"/>
  <c r="U71" i="124"/>
  <c r="BE103" i="124"/>
  <c r="BG116" i="124"/>
  <c r="G99" i="124"/>
  <c r="F109" i="124"/>
  <c r="F120" i="124"/>
  <c r="H73" i="124"/>
  <c r="J98" i="124"/>
  <c r="AJ128" i="124"/>
  <c r="L98" i="124"/>
  <c r="AR90" i="124"/>
  <c r="AZ64" i="124"/>
  <c r="BF66" i="124"/>
  <c r="N80" i="124"/>
  <c r="BG63" i="124"/>
  <c r="H51" i="124"/>
  <c r="BJ50" i="124"/>
  <c r="AC56" i="124"/>
  <c r="BJ62" i="124"/>
  <c r="G86" i="124"/>
  <c r="AD92" i="124"/>
  <c r="J68" i="124"/>
  <c r="AQ89" i="124"/>
  <c r="BR47" i="124"/>
  <c r="F65" i="124"/>
  <c r="Z80" i="124"/>
  <c r="W127" i="124"/>
  <c r="AE87" i="124"/>
  <c r="AD65" i="124"/>
  <c r="AJ80" i="124"/>
  <c r="AM74" i="124"/>
  <c r="BP56" i="124"/>
  <c r="CA55" i="124"/>
  <c r="BV67" i="124"/>
  <c r="BF68" i="124"/>
  <c r="AP80" i="124"/>
  <c r="BX45" i="124"/>
  <c r="BW64" i="124"/>
  <c r="AJ56" i="124"/>
  <c r="BK69" i="124"/>
  <c r="W50" i="124"/>
  <c r="AT51" i="124"/>
  <c r="BV55" i="124"/>
  <c r="BK125" i="124"/>
  <c r="E90" i="124"/>
  <c r="N120" i="124"/>
  <c r="V65" i="124"/>
  <c r="T65" i="124"/>
  <c r="AE68" i="124"/>
  <c r="BJ68" i="124"/>
  <c r="BI68" i="124"/>
  <c r="BE70" i="124"/>
  <c r="AO87" i="124"/>
  <c r="BQ49" i="124"/>
  <c r="BP66" i="124"/>
  <c r="BK66" i="124"/>
  <c r="BU45" i="124"/>
  <c r="L54" i="124"/>
  <c r="AQ52" i="124"/>
  <c r="BB54" i="124"/>
  <c r="J50" i="124"/>
  <c r="AK47" i="124"/>
  <c r="BD51" i="124"/>
  <c r="AM67" i="124"/>
  <c r="AD105" i="124"/>
  <c r="G67" i="124"/>
  <c r="N91" i="124"/>
  <c r="W73" i="124"/>
  <c r="I71" i="124"/>
  <c r="Z87" i="124"/>
  <c r="AP82" i="124"/>
  <c r="AK85" i="124"/>
  <c r="AQ83" i="124"/>
  <c r="I107" i="124"/>
  <c r="BQ64" i="124"/>
  <c r="AZ63" i="124"/>
  <c r="AS68" i="124"/>
  <c r="AS65" i="124"/>
  <c r="AB51" i="124"/>
  <c r="BG49" i="124"/>
  <c r="H126" i="124"/>
  <c r="G121" i="124"/>
  <c r="H82" i="124"/>
  <c r="AP70" i="124"/>
  <c r="AN85" i="124"/>
  <c r="AQ90" i="124"/>
  <c r="BT72" i="124"/>
  <c r="BW73" i="124"/>
  <c r="BB63" i="124"/>
  <c r="AK69" i="124"/>
  <c r="Y73" i="124"/>
  <c r="BT54" i="124"/>
  <c r="BS73" i="124"/>
  <c r="BH51" i="124"/>
  <c r="D48" i="124"/>
  <c r="AU45" i="124"/>
  <c r="BF47" i="124"/>
  <c r="AM84" i="124"/>
  <c r="AR127" i="124"/>
  <c r="AR84" i="124"/>
  <c r="BF62" i="124"/>
  <c r="BK62" i="124"/>
  <c r="BC48" i="124"/>
  <c r="F55" i="124"/>
  <c r="AK84" i="124"/>
  <c r="F73" i="124"/>
  <c r="AE45" i="124"/>
  <c r="AP47" i="124"/>
  <c r="AA37" i="124"/>
  <c r="H46" i="124"/>
  <c r="AR30" i="124"/>
  <c r="Y44" i="124"/>
  <c r="AK36" i="124"/>
  <c r="BZ56" i="124"/>
  <c r="AQ50" i="124"/>
  <c r="BA51" i="124"/>
  <c r="BB68" i="124"/>
  <c r="BI27" i="124"/>
  <c r="F88" i="124"/>
  <c r="V66" i="124"/>
  <c r="BD66" i="124"/>
  <c r="AB49" i="124"/>
  <c r="BJ46" i="124"/>
  <c r="U56" i="124"/>
  <c r="AN46" i="124"/>
  <c r="AU48" i="124"/>
  <c r="BJ49" i="124"/>
  <c r="L30" i="124"/>
  <c r="BK38" i="124"/>
  <c r="X28" i="124"/>
  <c r="BP32" i="124"/>
  <c r="AC33" i="124"/>
  <c r="BU37" i="124"/>
  <c r="W30" i="124"/>
  <c r="K67" i="124"/>
  <c r="E102" i="124"/>
  <c r="H27" i="124"/>
  <c r="BU35" i="124"/>
  <c r="BT63" i="124"/>
  <c r="AC50" i="124"/>
  <c r="AD55" i="124"/>
  <c r="AN35" i="124"/>
  <c r="BE56" i="124"/>
  <c r="N84" i="124"/>
  <c r="CA64" i="124"/>
  <c r="BT48" i="124"/>
  <c r="L46" i="124"/>
  <c r="AP48" i="124"/>
  <c r="U48" i="124"/>
  <c r="X51" i="124"/>
  <c r="W55" i="124"/>
  <c r="AT56" i="124"/>
  <c r="W28" i="124"/>
  <c r="CA31" i="124"/>
  <c r="X34" i="124"/>
  <c r="BP38" i="124"/>
  <c r="BP127" i="124"/>
  <c r="BB38" i="124"/>
  <c r="AO127" i="124"/>
  <c r="BG30" i="124"/>
  <c r="N100" i="124"/>
  <c r="AP124" i="124"/>
  <c r="F100" i="124"/>
  <c r="BD69" i="124"/>
  <c r="AM110" i="124"/>
  <c r="O82" i="124"/>
  <c r="N104" i="124"/>
  <c r="AD86" i="124"/>
  <c r="AZ74" i="124"/>
  <c r="BS51" i="124"/>
  <c r="AQ125" i="124"/>
  <c r="O106" i="124"/>
  <c r="X84" i="124"/>
  <c r="Z83" i="124"/>
  <c r="AC118" i="124"/>
  <c r="K68" i="124"/>
  <c r="L63" i="124"/>
  <c r="H105" i="124"/>
  <c r="AA74" i="124"/>
  <c r="AC65" i="124"/>
  <c r="BC103" i="124"/>
  <c r="AE110" i="124"/>
  <c r="K87" i="124"/>
  <c r="H102" i="124"/>
  <c r="F108" i="124"/>
  <c r="D68" i="124"/>
  <c r="F67" i="124"/>
  <c r="AC109" i="124"/>
  <c r="H67" i="124"/>
  <c r="AN83" i="124"/>
  <c r="BT70" i="124"/>
  <c r="BR74" i="124"/>
  <c r="Y65" i="124"/>
  <c r="BS71" i="124"/>
  <c r="D46" i="124"/>
  <c r="BF45" i="124"/>
  <c r="Y51" i="124"/>
  <c r="BV49" i="124"/>
  <c r="AA117" i="124"/>
  <c r="E106" i="124"/>
  <c r="AE81" i="124"/>
  <c r="AS70" i="124"/>
  <c r="AD83" i="124"/>
  <c r="W63" i="124"/>
  <c r="AP88" i="124"/>
  <c r="AD123" i="124"/>
  <c r="F102" i="124"/>
  <c r="AT80" i="124"/>
  <c r="AR67" i="124"/>
  <c r="AM66" i="124"/>
  <c r="BT49" i="124"/>
  <c r="BS49" i="124"/>
  <c r="BR62" i="124"/>
  <c r="BA63" i="124"/>
  <c r="AT64" i="124"/>
  <c r="AD72" i="124"/>
  <c r="BS54" i="124"/>
  <c r="AR50" i="124"/>
  <c r="BR56" i="124"/>
  <c r="AE44" i="124"/>
  <c r="AP46" i="124"/>
  <c r="BA56" i="124"/>
  <c r="AB128" i="124"/>
  <c r="AC86" i="124"/>
  <c r="L87" i="124"/>
  <c r="AL80" i="124"/>
  <c r="AR88" i="124"/>
  <c r="AU91" i="124"/>
  <c r="AZ62" i="124"/>
  <c r="CA74" i="124"/>
  <c r="BF64" i="124"/>
  <c r="AS71" i="124"/>
  <c r="AC83" i="124"/>
  <c r="BX55" i="124"/>
  <c r="BW74" i="124"/>
  <c r="AZ53" i="124"/>
  <c r="H49" i="124"/>
  <c r="AM47" i="124"/>
  <c r="BJ48" i="124"/>
  <c r="Y67" i="124"/>
  <c r="AC54" i="124"/>
  <c r="AZ46" i="124"/>
  <c r="BZ67" i="124"/>
  <c r="AR128" i="124"/>
  <c r="N126" i="124"/>
  <c r="J65" i="124"/>
  <c r="T88" i="124"/>
  <c r="T80" i="124"/>
  <c r="AE74" i="124"/>
  <c r="AL64" i="124"/>
  <c r="AK64" i="124"/>
  <c r="AM65" i="124"/>
  <c r="AD70" i="124"/>
  <c r="BY53" i="124"/>
  <c r="BX70" i="124"/>
  <c r="BI72" i="124"/>
  <c r="BQ67" i="124"/>
  <c r="X46" i="124"/>
  <c r="BC44" i="124"/>
  <c r="BD101" i="124"/>
  <c r="H81" i="124"/>
  <c r="M109" i="124"/>
  <c r="J100" i="124"/>
  <c r="AJ73" i="124"/>
  <c r="AU83" i="124"/>
  <c r="BX65" i="124"/>
  <c r="BW65" i="124"/>
  <c r="BZ70" i="124"/>
  <c r="BK72" i="124"/>
  <c r="AL87" i="124"/>
  <c r="BP49" i="124"/>
  <c r="CA67" i="124"/>
  <c r="BD46" i="124"/>
  <c r="AQ85" i="124"/>
  <c r="AA53" i="124"/>
  <c r="AL55" i="124"/>
  <c r="BZ73" i="124"/>
  <c r="K98" i="124"/>
  <c r="J81" i="124"/>
  <c r="BR49" i="124"/>
  <c r="BS56" i="124"/>
  <c r="AQ48" i="124"/>
  <c r="AM90" i="124"/>
  <c r="BY65" i="124"/>
  <c r="BF65" i="124"/>
  <c r="AD74" i="124"/>
  <c r="V55" i="124"/>
  <c r="AU29" i="124"/>
  <c r="E54" i="124"/>
  <c r="AJ36" i="124"/>
  <c r="BR54" i="124"/>
  <c r="BE28" i="124"/>
  <c r="AO46" i="124"/>
  <c r="AK55" i="124"/>
  <c r="O66" i="124"/>
  <c r="AA46" i="124"/>
  <c r="G54" i="124"/>
  <c r="AT65" i="124"/>
  <c r="CA70" i="124"/>
  <c r="BP53" i="124"/>
  <c r="H47" i="124"/>
  <c r="AL49" i="124"/>
  <c r="AC48" i="124"/>
  <c r="T52" i="124"/>
  <c r="AE55" i="124"/>
  <c r="BF44" i="124"/>
  <c r="AA27" i="124"/>
  <c r="BS31" i="124"/>
  <c r="AB33" i="124"/>
  <c r="BT37" i="124"/>
  <c r="AK26" i="124"/>
  <c r="G48" i="124"/>
  <c r="BW28" i="124"/>
  <c r="AT86" i="124"/>
  <c r="Z45" i="124"/>
  <c r="AU33" i="124"/>
  <c r="E123" i="124"/>
  <c r="CA56" i="124"/>
  <c r="BU68" i="124"/>
  <c r="V45" i="124"/>
  <c r="AZ33" i="124"/>
  <c r="AS106" i="124"/>
  <c r="U89" i="124"/>
  <c r="AU80" i="124"/>
  <c r="AK66" i="124"/>
  <c r="BU46" i="124"/>
  <c r="AD50" i="124"/>
  <c r="I54" i="124"/>
  <c r="T44" i="124"/>
  <c r="AE49" i="124"/>
  <c r="AP51" i="124"/>
  <c r="AA33" i="124"/>
  <c r="BS37" i="124"/>
  <c r="AR26" i="124"/>
  <c r="D49" i="124"/>
  <c r="AQ107" i="124"/>
  <c r="BE89" i="124"/>
  <c r="BF117" i="124"/>
  <c r="AB98" i="124"/>
  <c r="O119" i="124"/>
  <c r="AR124" i="124"/>
  <c r="D119" i="124"/>
  <c r="AM83" i="124"/>
  <c r="X110" i="124"/>
  <c r="K119" i="124"/>
  <c r="N62" i="124"/>
  <c r="V84" i="124"/>
  <c r="AA67" i="124"/>
  <c r="BE92" i="124"/>
  <c r="M122" i="124"/>
  <c r="AE89" i="124"/>
  <c r="T74" i="124"/>
  <c r="AP72" i="124"/>
  <c r="BC98" i="124"/>
  <c r="AE92" i="124"/>
  <c r="G74" i="124"/>
  <c r="D100" i="124"/>
  <c r="W69" i="124"/>
  <c r="T71" i="124"/>
  <c r="L128" i="124"/>
  <c r="Z124" i="124"/>
  <c r="L119" i="124"/>
  <c r="AE120" i="124"/>
  <c r="J71" i="124"/>
  <c r="T83" i="124"/>
  <c r="E85" i="124"/>
  <c r="AE122" i="124"/>
  <c r="N108" i="124"/>
  <c r="AA82" i="124"/>
  <c r="AK72" i="124"/>
  <c r="X87" i="124"/>
  <c r="BT73" i="124"/>
  <c r="BI64" i="124"/>
  <c r="BK46" i="124"/>
  <c r="AD44" i="124"/>
  <c r="BQ46" i="124"/>
  <c r="AM46" i="124"/>
  <c r="G91" i="124"/>
  <c r="Y74" i="124"/>
  <c r="AM68" i="124"/>
  <c r="CA49" i="124"/>
  <c r="AO74" i="124"/>
  <c r="AL66" i="124"/>
  <c r="AS72" i="124"/>
  <c r="N119" i="124"/>
  <c r="L121" i="124"/>
  <c r="F119" i="124"/>
  <c r="J102" i="124"/>
  <c r="U85" i="124"/>
  <c r="Z84" i="124"/>
  <c r="Y88" i="124"/>
  <c r="BZ51" i="124"/>
  <c r="BY70" i="124"/>
  <c r="BB70" i="124"/>
  <c r="AK87" i="124"/>
  <c r="CA48" i="124"/>
  <c r="AN45" i="124"/>
  <c r="BC56" i="124"/>
  <c r="AS91" i="124"/>
  <c r="V54" i="124"/>
  <c r="BI50" i="124"/>
  <c r="AA126" i="124"/>
  <c r="D88" i="124"/>
  <c r="X92" i="124"/>
  <c r="N105" i="124"/>
  <c r="AN74" i="124"/>
  <c r="AM85" i="124"/>
  <c r="BP67" i="124"/>
  <c r="BS68" i="124"/>
  <c r="BR72" i="124"/>
  <c r="BI74" i="124"/>
  <c r="AP90" i="124"/>
  <c r="BT50" i="124"/>
  <c r="BS69" i="124"/>
  <c r="BH47" i="124"/>
  <c r="U70" i="124"/>
  <c r="AE54" i="124"/>
  <c r="AP56" i="124"/>
  <c r="BB66" i="124"/>
  <c r="Y49" i="124"/>
  <c r="AR53" i="124"/>
  <c r="CA44" i="124"/>
  <c r="AB104" i="124"/>
  <c r="M82" i="124"/>
  <c r="K109" i="124"/>
  <c r="AP91" i="124"/>
  <c r="X64" i="124"/>
  <c r="AE66" i="124"/>
  <c r="AZ68" i="124"/>
  <c r="BK67" i="124"/>
  <c r="BF69" i="124"/>
  <c r="AK86" i="124"/>
  <c r="BU48" i="124"/>
  <c r="BT65" i="124"/>
  <c r="BC66" i="124"/>
  <c r="BX44" i="124"/>
  <c r="D54" i="124"/>
  <c r="AU51" i="124"/>
  <c r="AZ125" i="124"/>
  <c r="O109" i="124"/>
  <c r="X71" i="124"/>
  <c r="AC84" i="124"/>
  <c r="AR63" i="124"/>
  <c r="AU70" i="124"/>
  <c r="BP54" i="124"/>
  <c r="CA53" i="124"/>
  <c r="BV65" i="124"/>
  <c r="BE66" i="124"/>
  <c r="AP71" i="124"/>
  <c r="I73" i="124"/>
  <c r="BW62" i="124"/>
  <c r="AJ54" i="124"/>
  <c r="BV74" i="124"/>
  <c r="W48" i="124"/>
  <c r="AT49" i="124"/>
  <c r="BV47" i="124"/>
  <c r="H108" i="124"/>
  <c r="AU89" i="124"/>
  <c r="AS67" i="124"/>
  <c r="BI70" i="124"/>
  <c r="AE48" i="124"/>
  <c r="BR50" i="124"/>
  <c r="BD55" i="124"/>
  <c r="BY45" i="124"/>
  <c r="BA68" i="124"/>
  <c r="AD49" i="124"/>
  <c r="AM35" i="124"/>
  <c r="BA55" i="124"/>
  <c r="BD28" i="124"/>
  <c r="F123" i="124"/>
  <c r="V107" i="124"/>
  <c r="AN98" i="124"/>
  <c r="BC123" i="124"/>
  <c r="AR85" i="124"/>
  <c r="U98" i="124"/>
  <c r="AJ85" i="124"/>
  <c r="AO82" i="124"/>
  <c r="AZ98" i="124"/>
  <c r="N116" i="124"/>
  <c r="H80" i="124"/>
  <c r="Z116" i="124"/>
  <c r="AT83" i="124"/>
  <c r="T121" i="124"/>
  <c r="K123" i="124"/>
  <c r="N72" i="124"/>
  <c r="AR62" i="124"/>
  <c r="BY27" i="124"/>
  <c r="AQ127" i="124"/>
  <c r="I85" i="124"/>
  <c r="K63" i="124"/>
  <c r="E91" i="124"/>
  <c r="AT92" i="124"/>
  <c r="AN91" i="124"/>
  <c r="BD124" i="124"/>
  <c r="AJ122" i="124"/>
  <c r="O116" i="124"/>
  <c r="G104" i="124"/>
  <c r="AD91" i="124"/>
  <c r="X67" i="124"/>
  <c r="V82" i="124"/>
  <c r="I64" i="124"/>
  <c r="AP85" i="124"/>
  <c r="W64" i="124"/>
  <c r="BK63" i="124"/>
  <c r="AS80" i="124"/>
  <c r="BX62" i="124"/>
  <c r="AZ55" i="124"/>
  <c r="AM49" i="124"/>
  <c r="F47" i="124"/>
  <c r="AZ48" i="124"/>
  <c r="BG119" i="124"/>
  <c r="N106" i="124"/>
  <c r="E100" i="124"/>
  <c r="AS89" i="124"/>
  <c r="AK91" i="124"/>
  <c r="BI63" i="124"/>
  <c r="AZ65" i="124"/>
  <c r="AZ85" i="124"/>
  <c r="M90" i="124"/>
  <c r="D62" i="124"/>
  <c r="AK92" i="124"/>
  <c r="W81" i="124"/>
  <c r="AT66" i="124"/>
  <c r="AO69" i="124"/>
  <c r="AU67" i="124"/>
  <c r="V81" i="124"/>
  <c r="BQ55" i="124"/>
  <c r="BP72" i="124"/>
  <c r="BF74" i="124"/>
  <c r="BU72" i="124"/>
  <c r="AB47" i="124"/>
  <c r="BG45" i="124"/>
  <c r="BY50" i="124"/>
  <c r="J56" i="124"/>
  <c r="AK53" i="124"/>
  <c r="Y99" i="124"/>
  <c r="G83" i="124"/>
  <c r="AN86" i="124"/>
  <c r="Y70" i="124"/>
  <c r="BD71" i="124"/>
  <c r="AQ65" i="124"/>
  <c r="BX48" i="124"/>
  <c r="BW48" i="124"/>
  <c r="BV56" i="124"/>
  <c r="BE62" i="124"/>
  <c r="AP63" i="124"/>
  <c r="V70" i="124"/>
  <c r="BW53" i="124"/>
  <c r="AJ50" i="124"/>
  <c r="BV53" i="124"/>
  <c r="W44" i="124"/>
  <c r="AT45" i="124"/>
  <c r="BE55" i="124"/>
  <c r="I86" i="124"/>
  <c r="T56" i="124"/>
  <c r="BC47" i="124"/>
  <c r="AZ103" i="124"/>
  <c r="D82" i="124"/>
  <c r="O121" i="124"/>
  <c r="F103" i="124"/>
  <c r="AR73" i="124"/>
  <c r="AQ84" i="124"/>
  <c r="BT66" i="124"/>
  <c r="BS66" i="124"/>
  <c r="BV71" i="124"/>
  <c r="BJ73" i="124"/>
  <c r="AU88" i="124"/>
  <c r="BX49" i="124"/>
  <c r="BW68" i="124"/>
  <c r="AZ47" i="124"/>
  <c r="AT91" i="124"/>
  <c r="BT116" i="124"/>
  <c r="K104" i="124"/>
  <c r="O127" i="124"/>
  <c r="AE124" i="124"/>
  <c r="AO89" i="124"/>
  <c r="F84" i="124"/>
  <c r="U72" i="124"/>
  <c r="Z71" i="124"/>
  <c r="AC68" i="124"/>
  <c r="BZ49" i="124"/>
  <c r="BY68" i="124"/>
  <c r="BH67" i="124"/>
  <c r="AK83" i="124"/>
  <c r="F124" i="124"/>
  <c r="X56" i="124"/>
  <c r="BC54" i="124"/>
  <c r="AS69" i="124"/>
  <c r="V52" i="124"/>
  <c r="BI48" i="124"/>
  <c r="L72" i="124"/>
  <c r="BX71" i="124"/>
  <c r="AC70" i="124"/>
  <c r="AR52" i="124"/>
  <c r="BS46" i="124"/>
  <c r="AS51" i="124"/>
  <c r="AN54" i="124"/>
  <c r="BG44" i="124"/>
  <c r="BJ55" i="124"/>
  <c r="L36" i="124"/>
  <c r="BK32" i="124"/>
  <c r="K30" i="124"/>
  <c r="BP26" i="124"/>
  <c r="AC27" i="124"/>
  <c r="BU31" i="124"/>
  <c r="N37" i="124"/>
  <c r="Z56" i="124"/>
  <c r="AN53" i="124"/>
  <c r="BS35" i="124"/>
  <c r="O92" i="124"/>
  <c r="N73" i="124"/>
  <c r="BV48" i="124"/>
  <c r="CA54" i="124"/>
  <c r="AM45" i="124"/>
  <c r="AU73" i="124"/>
  <c r="BU55" i="124"/>
  <c r="BR73" i="124"/>
  <c r="V64" i="124"/>
  <c r="Z54" i="124"/>
  <c r="AQ30" i="124"/>
  <c r="M56" i="124"/>
  <c r="AR36" i="124"/>
  <c r="BF67" i="124"/>
  <c r="BA29" i="124"/>
  <c r="AD56" i="124"/>
  <c r="BX34" i="124"/>
  <c r="BJ67" i="124"/>
  <c r="L53" i="124"/>
  <c r="BP30" i="124"/>
  <c r="AE64" i="124"/>
  <c r="AE50" i="124"/>
  <c r="BK51" i="124"/>
  <c r="BC32" i="124"/>
  <c r="U27" i="124"/>
  <c r="D69" i="124"/>
  <c r="AU81" i="124"/>
  <c r="BA72" i="124"/>
  <c r="BA62" i="124"/>
  <c r="AE46" i="124"/>
  <c r="L63" i="144"/>
  <c r="P42" i="144"/>
  <c r="AE42" i="144"/>
  <c r="BZ71" i="124"/>
  <c r="L32" i="124"/>
  <c r="BD26" i="124"/>
  <c r="BR71" i="124"/>
  <c r="AU69" i="124"/>
  <c r="U86" i="124"/>
  <c r="BW52" i="124"/>
  <c r="AC80" i="124"/>
  <c r="BE50" i="124"/>
  <c r="BF46" i="124"/>
  <c r="BF73" i="124"/>
  <c r="BY34" i="124"/>
  <c r="CA33" i="124"/>
  <c r="W53" i="124"/>
  <c r="BB52" i="124"/>
  <c r="AS38" i="124"/>
  <c r="AS52" i="124"/>
  <c r="AN33" i="124"/>
  <c r="M49" i="124"/>
  <c r="AM27" i="124"/>
  <c r="AT44" i="124"/>
  <c r="G56" i="124"/>
  <c r="AQ72" i="124"/>
  <c r="BA66" i="124"/>
  <c r="N49" i="124"/>
  <c r="AM55" i="124"/>
  <c r="BS67" i="124"/>
  <c r="BZ64" i="124"/>
  <c r="AJ63" i="124"/>
  <c r="AM120" i="124"/>
  <c r="BF56" i="124"/>
  <c r="Y26" i="124"/>
  <c r="AL54" i="124"/>
  <c r="BK52" i="124"/>
  <c r="Y36" i="124"/>
  <c r="D28" i="124"/>
  <c r="X55" i="124"/>
  <c r="AK38" i="124"/>
  <c r="BT33" i="124"/>
  <c r="AB29" i="124"/>
  <c r="BS27" i="124"/>
  <c r="H29" i="124"/>
  <c r="BF48" i="124"/>
  <c r="AQ47" i="124"/>
  <c r="AN44" i="124"/>
  <c r="U54" i="124"/>
  <c r="BI66" i="124"/>
  <c r="CA50" i="124"/>
  <c r="AO73" i="124"/>
  <c r="N85" i="124"/>
  <c r="F54" i="124"/>
  <c r="AL48" i="124"/>
  <c r="AD54" i="124"/>
  <c r="O122" i="124"/>
  <c r="O44" i="124"/>
  <c r="V56" i="124"/>
  <c r="BE26" i="124"/>
  <c r="O49" i="124"/>
  <c r="AK32" i="124"/>
  <c r="AN37" i="124"/>
  <c r="AE38" i="124"/>
  <c r="BV70" i="124"/>
  <c r="AQ44" i="124"/>
  <c r="AA91" i="124"/>
  <c r="BG51" i="124"/>
  <c r="BG66" i="124"/>
  <c r="AC49" i="124"/>
  <c r="AT46" i="124"/>
  <c r="N53" i="124"/>
  <c r="AJ84" i="124"/>
  <c r="W47" i="124"/>
  <c r="BH33" i="124"/>
  <c r="AK80" i="124"/>
  <c r="BR48" i="124"/>
  <c r="BP46" i="124"/>
  <c r="L48" i="124"/>
  <c r="BP73" i="124"/>
  <c r="AN48" i="124"/>
  <c r="M104" i="124"/>
  <c r="Y86" i="124"/>
  <c r="T53" i="124"/>
  <c r="AT87" i="124"/>
  <c r="N67" i="124"/>
  <c r="BU51" i="124"/>
  <c r="AB72" i="124"/>
  <c r="T89" i="124"/>
  <c r="AP104" i="124"/>
  <c r="AA122" i="124"/>
  <c r="H32" i="132"/>
  <c r="AG43" i="144"/>
  <c r="AG66" i="144"/>
  <c r="F72" i="143"/>
  <c r="R47" i="144"/>
  <c r="R63" i="144"/>
  <c r="AF50" i="143"/>
  <c r="W50" i="144" s="1"/>
  <c r="AF33" i="144"/>
  <c r="AG42" i="144"/>
  <c r="BC64" i="124"/>
  <c r="BR44" i="124"/>
  <c r="AQ38" i="124"/>
  <c r="J48" i="124"/>
  <c r="D56" i="124"/>
  <c r="BX68" i="124"/>
  <c r="BA74" i="124"/>
  <c r="AD80" i="124"/>
  <c r="BT35" i="124"/>
  <c r="O54" i="124"/>
  <c r="BD56" i="124"/>
  <c r="AK34" i="124"/>
  <c r="BK30" i="124"/>
  <c r="AU52" i="124"/>
  <c r="AO53" i="124"/>
  <c r="AO33" i="124"/>
  <c r="N50" i="124"/>
  <c r="AJ28" i="124"/>
  <c r="BW38" i="124"/>
  <c r="AE34" i="124"/>
  <c r="AL50" i="124"/>
  <c r="AA48" i="124"/>
  <c r="L55" i="124"/>
  <c r="I52" i="124"/>
  <c r="Z47" i="124"/>
  <c r="BK56" i="124"/>
  <c r="BK70" i="124"/>
  <c r="BJ74" i="124"/>
  <c r="AB71" i="124"/>
  <c r="AZ119" i="124"/>
  <c r="BC45" i="124"/>
  <c r="L45" i="124"/>
  <c r="AL62" i="124"/>
  <c r="AR56" i="124"/>
  <c r="BA45" i="124"/>
  <c r="AD51" i="124"/>
  <c r="AZ44" i="124"/>
  <c r="AO27" i="124"/>
  <c r="BP28" i="124"/>
  <c r="K28" i="124"/>
  <c r="BK34" i="124"/>
  <c r="L34" i="124"/>
  <c r="BJ53" i="124"/>
  <c r="AM54" i="124"/>
  <c r="AR51" i="124"/>
  <c r="AO48" i="124"/>
  <c r="AA45" i="124"/>
  <c r="BX47" i="124"/>
  <c r="BT64" i="124"/>
  <c r="H68" i="124"/>
  <c r="AJ30" i="124"/>
  <c r="BU62" i="124"/>
  <c r="BU53" i="124"/>
  <c r="AR70" i="124"/>
  <c r="BC26" i="124"/>
  <c r="W52" i="124"/>
  <c r="AZ37" i="124"/>
  <c r="J62" i="124"/>
  <c r="AS26" i="124"/>
  <c r="AJ32" i="124"/>
  <c r="Z48" i="124"/>
  <c r="AC64" i="124"/>
  <c r="BC46" i="124"/>
  <c r="AR118" i="124"/>
  <c r="BH55" i="124"/>
  <c r="AA65" i="124"/>
  <c r="F48" i="124"/>
  <c r="AL52" i="124"/>
  <c r="Z51" i="124"/>
  <c r="I105" i="124"/>
  <c r="AB54" i="124"/>
  <c r="O35" i="124"/>
  <c r="BD54" i="124"/>
  <c r="AR48" i="124"/>
  <c r="AM64" i="124"/>
  <c r="BD52" i="124"/>
  <c r="AM91" i="124"/>
  <c r="U44" i="124"/>
  <c r="AL74" i="124"/>
  <c r="AB81" i="124"/>
  <c r="AO81" i="124"/>
  <c r="Z91" i="124"/>
  <c r="AD90" i="124"/>
  <c r="BP68" i="124"/>
  <c r="F66" i="124"/>
  <c r="O68" i="124"/>
  <c r="AU87" i="124"/>
  <c r="AB91" i="124"/>
  <c r="O52" i="9"/>
  <c r="L47" i="144"/>
  <c r="Z43" i="143"/>
  <c r="I43" i="144" s="1"/>
  <c r="AH42" i="144"/>
  <c r="W26" i="124"/>
  <c r="BZ53" i="124"/>
  <c r="BR52" i="124"/>
  <c r="AP49" i="124"/>
  <c r="V46" i="124"/>
  <c r="AB55" i="124"/>
  <c r="AT68" i="124"/>
  <c r="BT51" i="124"/>
  <c r="T66" i="124"/>
  <c r="AR34" i="124"/>
  <c r="BK45" i="124"/>
  <c r="BI73" i="124"/>
  <c r="F27" i="124"/>
  <c r="AA35" i="124"/>
  <c r="BZ54" i="124"/>
  <c r="O50" i="124"/>
  <c r="AK28" i="124"/>
  <c r="H44" i="124"/>
  <c r="AB35" i="124"/>
  <c r="BS33" i="124"/>
  <c r="AA29" i="124"/>
  <c r="AP55" i="124"/>
  <c r="AE53" i="124"/>
  <c r="X49" i="124"/>
  <c r="AC46" i="124"/>
  <c r="AL45" i="124"/>
  <c r="AM80" i="124"/>
  <c r="M62" i="124"/>
  <c r="BS53" i="124"/>
  <c r="U82" i="124"/>
  <c r="BQ36" i="124"/>
  <c r="BD49" i="124"/>
  <c r="BH37" i="124"/>
  <c r="AM52" i="124"/>
  <c r="AD62" i="124"/>
  <c r="BT29" i="124"/>
  <c r="BB47" i="124"/>
  <c r="BP45" i="124"/>
  <c r="U35" i="124"/>
  <c r="BH35" i="124"/>
  <c r="O33" i="124"/>
  <c r="BG29" i="124"/>
  <c r="J55" i="124"/>
  <c r="CA46" i="124"/>
  <c r="BG48" i="124"/>
  <c r="BD45" i="124"/>
  <c r="BA46" i="124"/>
  <c r="W56" i="124"/>
  <c r="BP74" i="124"/>
  <c r="AP73" i="124"/>
  <c r="AE90" i="124"/>
  <c r="T27" i="124"/>
  <c r="M70" i="124"/>
  <c r="AU49" i="124"/>
  <c r="H103" i="124"/>
  <c r="AE30" i="124"/>
  <c r="T55" i="124"/>
  <c r="G27" i="124"/>
  <c r="AC55" i="124"/>
  <c r="Y34" i="124"/>
  <c r="T29" i="124"/>
  <c r="AD53" i="124"/>
  <c r="AZ54" i="124"/>
  <c r="BW51" i="124"/>
  <c r="BI55" i="124"/>
  <c r="AJ92" i="124"/>
  <c r="AJ34" i="124"/>
  <c r="AN31" i="124"/>
  <c r="W45" i="124"/>
  <c r="BG47" i="124"/>
  <c r="AJ126" i="124"/>
  <c r="T31" i="124"/>
  <c r="BG27" i="124"/>
  <c r="BQ68" i="124"/>
  <c r="BS52" i="124"/>
  <c r="AZ70" i="124"/>
  <c r="CA73" i="124"/>
  <c r="AR86" i="124"/>
  <c r="BZ52" i="124"/>
  <c r="BI67" i="124"/>
  <c r="F128" i="124"/>
  <c r="AO71" i="124"/>
  <c r="Z89" i="124"/>
  <c r="AC63" i="124"/>
  <c r="AP92" i="124"/>
  <c r="J118" i="124"/>
  <c r="W86" i="124"/>
  <c r="Z68" i="124"/>
  <c r="X127" i="124"/>
  <c r="AD39" i="143"/>
  <c r="U39" i="144" s="1"/>
  <c r="AC39" i="144" s="1"/>
  <c r="AD38" i="143"/>
  <c r="U38" i="144" s="1"/>
  <c r="AC38" i="144" s="1"/>
  <c r="AH66" i="144"/>
  <c r="H45" i="143"/>
  <c r="H46" i="143" s="1"/>
  <c r="S42" i="144"/>
  <c r="BJ45" i="124"/>
  <c r="I70" i="124"/>
  <c r="AD66" i="124"/>
  <c r="AE47" i="124"/>
  <c r="AP54" i="124"/>
  <c r="AZ45" i="124"/>
  <c r="BY51" i="124"/>
  <c r="BB74" i="124"/>
  <c r="Z90" i="124"/>
  <c r="O31" i="124"/>
  <c r="T48" i="124"/>
  <c r="BV54" i="124"/>
  <c r="D45" i="124"/>
  <c r="H33" i="124"/>
  <c r="H54" i="124"/>
  <c r="I44" i="124"/>
  <c r="AC35" i="124"/>
  <c r="BP34" i="124"/>
  <c r="X30" i="124"/>
  <c r="CA27" i="124"/>
  <c r="L28" i="124"/>
  <c r="BJ47" i="124"/>
  <c r="AU46" i="124"/>
  <c r="AB56" i="124"/>
  <c r="Y53" i="124"/>
  <c r="AT55" i="124"/>
  <c r="X44" i="124"/>
  <c r="BT69" i="124"/>
  <c r="BK74" i="124"/>
  <c r="Z81" i="124"/>
  <c r="AC37" i="124"/>
  <c r="N88" i="124"/>
  <c r="T37" i="124"/>
  <c r="BI71" i="124"/>
  <c r="AO83" i="124"/>
  <c r="X36" i="124"/>
  <c r="BZ44" i="124"/>
  <c r="Y45" i="124"/>
  <c r="J28" i="124"/>
  <c r="BD30" i="124"/>
  <c r="AC62" i="124"/>
  <c r="AM37" i="124"/>
  <c r="AD47" i="124"/>
  <c r="BQ73" i="124"/>
  <c r="BK55" i="124"/>
  <c r="BH52" i="124"/>
  <c r="BI56" i="124"/>
  <c r="J104" i="124"/>
  <c r="AP84" i="124"/>
  <c r="AM81" i="124"/>
  <c r="J46" i="124"/>
  <c r="K36" i="124"/>
  <c r="AU50" i="124"/>
  <c r="AM92" i="124"/>
  <c r="M45" i="124"/>
  <c r="V51" i="124"/>
  <c r="K110" i="124"/>
  <c r="L38" i="124"/>
  <c r="E49" i="124"/>
  <c r="J34" i="124"/>
  <c r="BJ64" i="124"/>
  <c r="AL46" i="124"/>
  <c r="BY52" i="124"/>
  <c r="CA71" i="124"/>
  <c r="BP36" i="124"/>
  <c r="AL86" i="124"/>
  <c r="AK52" i="124"/>
  <c r="AJ26" i="124"/>
  <c r="AA50" i="124"/>
  <c r="BZ63" i="124"/>
  <c r="BE120" i="124"/>
  <c r="AU27" i="124"/>
  <c r="Z44" i="124"/>
  <c r="U64" i="124"/>
  <c r="AD64" i="124"/>
  <c r="U69" i="124"/>
  <c r="BP55" i="124"/>
  <c r="AL71" i="124"/>
  <c r="AL51" i="124"/>
  <c r="BZ66" i="124"/>
  <c r="V123" i="124"/>
  <c r="BD64" i="124"/>
  <c r="H88" i="124"/>
  <c r="AA92" i="124"/>
  <c r="BB73" i="124"/>
  <c r="K128" i="124"/>
  <c r="AE119" i="124"/>
  <c r="J127" i="124"/>
  <c r="AZ123" i="124"/>
  <c r="AB66" i="144"/>
  <c r="AE34" i="143"/>
  <c r="V34" i="144" s="1"/>
  <c r="AE34" i="144" s="1"/>
  <c r="Q47" i="144"/>
  <c r="AH53" i="144"/>
  <c r="AM44" i="124"/>
  <c r="BQ30" i="124"/>
  <c r="AT53" i="124"/>
  <c r="AB48" i="124"/>
  <c r="BU66" i="124"/>
  <c r="BY48" i="124"/>
  <c r="BA65" i="124"/>
  <c r="AQ69" i="124"/>
  <c r="O102" i="124"/>
  <c r="BE44" i="124"/>
  <c r="AZ50" i="124"/>
  <c r="BT45" i="124"/>
  <c r="BH31" i="124"/>
  <c r="Z46" i="124"/>
  <c r="AR49" i="124"/>
  <c r="BQ34" i="124"/>
  <c r="Y30" i="124"/>
  <c r="BX28" i="124"/>
  <c r="O27" i="124"/>
  <c r="BG35" i="124"/>
  <c r="D34" i="124"/>
  <c r="BB53" i="124"/>
  <c r="AQ53" i="124"/>
  <c r="AJ51" i="124"/>
  <c r="AS47" i="124"/>
  <c r="BF53" i="124"/>
  <c r="AJ46" i="124"/>
  <c r="AL70" i="124"/>
  <c r="BP52" i="124"/>
  <c r="AB66" i="124"/>
  <c r="I46" i="124"/>
  <c r="AB53" i="124"/>
  <c r="G37" i="124"/>
  <c r="AN56" i="124"/>
  <c r="AQ63" i="124"/>
  <c r="O37" i="124"/>
  <c r="K55" i="124"/>
  <c r="BG53" i="124"/>
  <c r="N33" i="124"/>
  <c r="AJ38" i="124"/>
  <c r="Y54" i="124"/>
  <c r="AU31" i="124"/>
  <c r="V53" i="124"/>
  <c r="AS82" i="124"/>
  <c r="BR65" i="124"/>
  <c r="BQ50" i="124"/>
  <c r="BG72" i="124"/>
  <c r="T45" i="124"/>
  <c r="BQ62" i="124"/>
  <c r="AA84" i="124"/>
  <c r="BE38" i="124"/>
  <c r="M52" i="124"/>
  <c r="BQ47" i="124"/>
  <c r="J91" i="124"/>
  <c r="BI37" i="124"/>
  <c r="BJ51" i="124"/>
  <c r="BD65" i="124"/>
  <c r="AK48" i="124"/>
  <c r="BQ38" i="124"/>
  <c r="AC72" i="124"/>
  <c r="U49" i="124"/>
  <c r="BI62" i="124"/>
  <c r="AK63" i="124"/>
  <c r="E81" i="124"/>
  <c r="AQ34" i="124"/>
  <c r="AB31" i="124"/>
  <c r="BJ70" i="124"/>
  <c r="E47" i="124"/>
  <c r="Y80" i="124"/>
  <c r="BW72" i="124"/>
  <c r="AA31" i="124"/>
  <c r="BQ26" i="124"/>
  <c r="BY54" i="124"/>
  <c r="G119" i="124"/>
  <c r="BG74" i="124"/>
  <c r="AJ81" i="124"/>
  <c r="U81" i="124"/>
  <c r="D83" i="124"/>
  <c r="AA49" i="124"/>
  <c r="BS55" i="124"/>
  <c r="BE45" i="124"/>
  <c r="BU65" i="124"/>
  <c r="O73" i="124"/>
  <c r="BS99" i="124"/>
  <c r="AE70" i="124"/>
  <c r="BG128" i="124"/>
  <c r="AL67" i="124"/>
  <c r="I98" i="124"/>
  <c r="BK128" i="124"/>
  <c r="AG28" i="144"/>
  <c r="AB28" i="144"/>
  <c r="K85" i="42"/>
  <c r="BC30" i="123"/>
  <c r="J34" i="42"/>
  <c r="K60" i="42"/>
  <c r="L87" i="42"/>
  <c r="BH27" i="123"/>
  <c r="L39" i="42"/>
  <c r="E35" i="123"/>
  <c r="P48" i="144"/>
  <c r="S48" i="144"/>
  <c r="Y43" i="143"/>
  <c r="H43" i="144" s="1"/>
  <c r="I25" i="132"/>
  <c r="T54" i="124"/>
  <c r="N31" i="124"/>
  <c r="BS65" i="124"/>
  <c r="Z82" i="124"/>
  <c r="G55" i="124"/>
  <c r="U91" i="124"/>
  <c r="Y63" i="124"/>
  <c r="AA71" i="124"/>
  <c r="I108" i="124"/>
  <c r="BS29" i="124"/>
  <c r="U52" i="124"/>
  <c r="O125" i="124"/>
  <c r="AR28" i="124"/>
  <c r="AT54" i="124"/>
  <c r="BH50" i="124"/>
  <c r="BY28" i="124"/>
  <c r="N27" i="124"/>
  <c r="BD36" i="124"/>
  <c r="G33" i="124"/>
  <c r="BC30" i="124"/>
  <c r="I26" i="124"/>
  <c r="BW45" i="124"/>
  <c r="BK47" i="124"/>
  <c r="BH44" i="124"/>
  <c r="BA44" i="124"/>
  <c r="BY71" i="124"/>
  <c r="BH45" i="124"/>
  <c r="BU52" i="124"/>
  <c r="AK62" i="124"/>
  <c r="V91" i="124"/>
  <c r="X32" i="124"/>
  <c r="M128" i="124"/>
  <c r="BK36" i="124"/>
  <c r="AC44" i="124"/>
  <c r="I126" i="124"/>
  <c r="G44" i="124"/>
  <c r="AQ45" i="124"/>
  <c r="E50" i="124"/>
  <c r="G26" i="124"/>
  <c r="AR32" i="124"/>
  <c r="O48" i="124"/>
  <c r="AQ26" i="124"/>
  <c r="AP45" i="124"/>
  <c r="O56" i="124"/>
  <c r="AU82" i="124"/>
  <c r="BK68" i="124"/>
  <c r="AL47" i="124"/>
  <c r="AN47" i="124"/>
  <c r="BB71" i="124"/>
  <c r="J74" i="124"/>
  <c r="AO35" i="124"/>
  <c r="BG37" i="124"/>
  <c r="AT89" i="124"/>
  <c r="BY72" i="124"/>
  <c r="AS34" i="124"/>
  <c r="AJ49" i="124"/>
  <c r="T63" i="124"/>
  <c r="BY38" i="124"/>
  <c r="BA35" i="124"/>
  <c r="U55" i="124"/>
  <c r="E48" i="124"/>
  <c r="AM88" i="124"/>
  <c r="BQ45" i="124"/>
  <c r="BR70" i="124"/>
  <c r="AE36" i="124"/>
  <c r="K51" i="124"/>
  <c r="Y50" i="124"/>
  <c r="BW36" i="124"/>
  <c r="AB44" i="124"/>
  <c r="AO80" i="124"/>
  <c r="AP53" i="124"/>
  <c r="BI33" i="124"/>
  <c r="BC51" i="124"/>
  <c r="BA54" i="124"/>
  <c r="BQ74" i="124"/>
  <c r="G72" i="124"/>
  <c r="AO70" i="124"/>
  <c r="G122" i="124"/>
  <c r="BJ66" i="124"/>
  <c r="BT55" i="124"/>
  <c r="AD48" i="124"/>
  <c r="BV46" i="124"/>
  <c r="AO62" i="124"/>
  <c r="BD53" i="124"/>
  <c r="V71" i="124"/>
  <c r="AZ121" i="124"/>
  <c r="AB68" i="124"/>
  <c r="V118" i="124"/>
  <c r="BD128" i="124"/>
  <c r="P37" i="144"/>
  <c r="N37" i="144"/>
  <c r="S37" i="144"/>
  <c r="N43" i="144"/>
  <c r="P43" i="144"/>
  <c r="S43" i="144"/>
  <c r="R54" i="144"/>
  <c r="AE67" i="144"/>
  <c r="AJ43" i="143"/>
  <c r="Z43" i="144" s="1"/>
  <c r="AF43" i="144" s="1"/>
  <c r="AB32" i="144"/>
  <c r="AH32" i="144"/>
  <c r="AG32" i="144"/>
  <c r="AE32" i="144"/>
  <c r="AS31" i="123"/>
  <c r="BD34" i="123"/>
  <c r="AL29" i="123"/>
  <c r="K42" i="42"/>
  <c r="H35" i="123"/>
  <c r="K45" i="42"/>
  <c r="U72" i="92"/>
  <c r="U71" i="9" s="1"/>
  <c r="AG67" i="144"/>
  <c r="AE27" i="144"/>
  <c r="V60" i="143"/>
  <c r="F60" i="144" s="1"/>
  <c r="AH43" i="144"/>
  <c r="AB43" i="144"/>
  <c r="O61" i="144"/>
  <c r="R61" i="144"/>
  <c r="Q61" i="144"/>
  <c r="AF65" i="143"/>
  <c r="W65" i="144" s="1"/>
  <c r="U58" i="143"/>
  <c r="E58" i="144" s="1"/>
  <c r="M58" i="144" s="1"/>
  <c r="D55" i="143"/>
  <c r="T54" i="143" s="1"/>
  <c r="D54" i="144" s="1"/>
  <c r="BG36" i="123"/>
  <c r="BC37" i="123"/>
  <c r="AJ36" i="123"/>
  <c r="BF30" i="123"/>
  <c r="K71" i="42"/>
  <c r="AN38" i="123"/>
  <c r="K43" i="42"/>
  <c r="J71" i="42"/>
  <c r="T29" i="25"/>
  <c r="AD39" i="144"/>
  <c r="AH27" i="144"/>
  <c r="N35" i="143"/>
  <c r="AI47" i="144"/>
  <c r="AF47" i="144"/>
  <c r="AD47" i="144"/>
  <c r="S28" i="20"/>
  <c r="L28" i="20"/>
  <c r="D28" i="20"/>
  <c r="K28" i="20"/>
  <c r="F28" i="20"/>
  <c r="J28" i="20"/>
  <c r="Q28" i="20"/>
  <c r="I28" i="20"/>
  <c r="P28" i="20"/>
  <c r="H28" i="20"/>
  <c r="O28" i="20"/>
  <c r="G28" i="20"/>
  <c r="M28" i="20"/>
  <c r="E28" i="20"/>
  <c r="N28" i="20"/>
  <c r="C29" i="20"/>
  <c r="B30" i="16"/>
  <c r="E30" i="16" s="1"/>
  <c r="N29" i="16"/>
  <c r="T30" i="123"/>
  <c r="BD29" i="123"/>
  <c r="G34" i="43"/>
  <c r="AS32" i="123"/>
  <c r="AB30" i="123"/>
  <c r="AC27" i="123"/>
  <c r="G28" i="123"/>
  <c r="BF27" i="123"/>
  <c r="BC39" i="123"/>
  <c r="BG39" i="123"/>
  <c r="AC29" i="123"/>
  <c r="R29" i="123"/>
  <c r="AV28" i="123"/>
  <c r="AH69" i="143"/>
  <c r="X72" i="143"/>
  <c r="S39" i="144"/>
  <c r="Q50" i="144"/>
  <c r="U48" i="92"/>
  <c r="U47" i="9" s="1"/>
  <c r="Q33" i="144"/>
  <c r="T97" i="92"/>
  <c r="T96" i="9" s="1"/>
  <c r="V51" i="143"/>
  <c r="F51" i="144" s="1"/>
  <c r="AA70" i="143"/>
  <c r="U59" i="143"/>
  <c r="E59" i="144" s="1"/>
  <c r="M59" i="144" s="1"/>
  <c r="AA71" i="143"/>
  <c r="AI34" i="144"/>
  <c r="R50" i="144"/>
  <c r="M50" i="143"/>
  <c r="M51" i="143" s="1"/>
  <c r="AE51" i="143" s="1"/>
  <c r="V51" i="144" s="1"/>
  <c r="X71" i="143"/>
  <c r="O96" i="9"/>
  <c r="AG53" i="144"/>
  <c r="AB53" i="144"/>
  <c r="AB52" i="144"/>
  <c r="AH52" i="144"/>
  <c r="Y70" i="143"/>
  <c r="AE48" i="143"/>
  <c r="V48" i="144" s="1"/>
  <c r="R42" i="144"/>
  <c r="Q42" i="144"/>
  <c r="O42" i="144"/>
  <c r="L42" i="144"/>
  <c r="Y71" i="143"/>
  <c r="Z64" i="143"/>
  <c r="I64" i="144" s="1"/>
  <c r="Z70" i="143"/>
  <c r="AD34" i="144"/>
  <c r="X70" i="143"/>
  <c r="AG59" i="143"/>
  <c r="Q58" i="144"/>
  <c r="O58" i="144"/>
  <c r="L58" i="144"/>
  <c r="R58" i="144"/>
  <c r="U65" i="143"/>
  <c r="E65" i="144" s="1"/>
  <c r="M65" i="144" s="1"/>
  <c r="U71" i="143"/>
  <c r="L33" i="144"/>
  <c r="T45" i="143"/>
  <c r="D45" i="144" s="1"/>
  <c r="Z71" i="143"/>
  <c r="O33" i="144"/>
  <c r="K70" i="143"/>
  <c r="AC68" i="143"/>
  <c r="X55" i="143"/>
  <c r="U77" i="92"/>
  <c r="U76" i="9" s="1"/>
  <c r="T72" i="92"/>
  <c r="T71" i="9" s="1"/>
  <c r="O87" i="9"/>
  <c r="T77" i="92"/>
  <c r="T76" i="9" s="1"/>
  <c r="T88" i="92"/>
  <c r="T87" i="9" s="1"/>
  <c r="AA54" i="143"/>
  <c r="J54" i="144" s="1"/>
  <c r="Y54" i="143"/>
  <c r="H54" i="144" s="1"/>
  <c r="H56" i="143"/>
  <c r="T49" i="92"/>
  <c r="T48" i="9" s="1"/>
  <c r="U49" i="92"/>
  <c r="U48" i="9" s="1"/>
  <c r="I61" i="143"/>
  <c r="X61" i="143" s="1"/>
  <c r="X59" i="143"/>
  <c r="J66" i="143"/>
  <c r="AB64" i="143"/>
  <c r="K64" i="144" s="1"/>
  <c r="AD62" i="144"/>
  <c r="AI62" i="144"/>
  <c r="AF62" i="144"/>
  <c r="D50" i="143"/>
  <c r="T49" i="143" s="1"/>
  <c r="D49" i="144" s="1"/>
  <c r="T48" i="143"/>
  <c r="D48" i="144" s="1"/>
  <c r="M61" i="143"/>
  <c r="AE61" i="143" s="1"/>
  <c r="V61" i="144" s="1"/>
  <c r="AE59" i="143"/>
  <c r="V59" i="144" s="1"/>
  <c r="AB59" i="144" s="1"/>
  <c r="AH46" i="144"/>
  <c r="AE46" i="144"/>
  <c r="B30" i="91"/>
  <c r="G27" i="132" s="1"/>
  <c r="F26" i="132"/>
  <c r="L43" i="42"/>
  <c r="O34" i="123"/>
  <c r="I37" i="123"/>
  <c r="E32" i="123"/>
  <c r="P40" i="144"/>
  <c r="N40" i="144"/>
  <c r="D72" i="143"/>
  <c r="T71" i="143" s="1"/>
  <c r="T70" i="143"/>
  <c r="Q59" i="144"/>
  <c r="O59" i="144"/>
  <c r="L59" i="144"/>
  <c r="R59" i="144"/>
  <c r="O137" i="9"/>
  <c r="T138" i="92"/>
  <c r="T137" i="9" s="1"/>
  <c r="U138" i="92"/>
  <c r="U137" i="9" s="1"/>
  <c r="P28" i="123"/>
  <c r="O56" i="143"/>
  <c r="AI54" i="143"/>
  <c r="Y54" i="144" s="1"/>
  <c r="AJ54" i="143"/>
  <c r="Z54" i="144" s="1"/>
  <c r="AD54" i="144" s="1"/>
  <c r="L41" i="144"/>
  <c r="R41" i="144"/>
  <c r="Q41" i="144"/>
  <c r="AM36" i="123"/>
  <c r="E33" i="47"/>
  <c r="AR33" i="123"/>
  <c r="D29" i="123"/>
  <c r="AW36" i="123"/>
  <c r="J64" i="42"/>
  <c r="J104" i="42"/>
  <c r="E34" i="123"/>
  <c r="BE34" i="123"/>
  <c r="L30" i="42"/>
  <c r="K72" i="42"/>
  <c r="L76" i="42"/>
  <c r="K39" i="42"/>
  <c r="AU29" i="123"/>
  <c r="AN36" i="123"/>
  <c r="S31" i="123"/>
  <c r="K65" i="42"/>
  <c r="K74" i="42"/>
  <c r="L28" i="42"/>
  <c r="J95" i="42"/>
  <c r="AH30" i="123"/>
  <c r="AD37" i="123"/>
  <c r="F32" i="123"/>
  <c r="AW33" i="123"/>
  <c r="AK28" i="123"/>
  <c r="BH33" i="123"/>
  <c r="AW30" i="123"/>
  <c r="BB28" i="123"/>
  <c r="K68" i="42"/>
  <c r="BG35" i="123"/>
  <c r="AM27" i="123"/>
  <c r="BF28" i="123"/>
  <c r="P34" i="123"/>
  <c r="BG34" i="123"/>
  <c r="AC34" i="123"/>
  <c r="R39" i="123"/>
  <c r="N38" i="123"/>
  <c r="L70" i="42"/>
  <c r="AM37" i="123"/>
  <c r="S36" i="123"/>
  <c r="AW31" i="123"/>
  <c r="AV27" i="123"/>
  <c r="AD36" i="123"/>
  <c r="S33" i="123"/>
  <c r="BB31" i="123"/>
  <c r="AC33" i="123"/>
  <c r="J82" i="42"/>
  <c r="J46" i="42"/>
  <c r="R28" i="123"/>
  <c r="J109" i="42"/>
  <c r="L44" i="42"/>
  <c r="BH28" i="123"/>
  <c r="AK36" i="123"/>
  <c r="AT36" i="123"/>
  <c r="L72" i="42"/>
  <c r="K97" i="42"/>
  <c r="L111" i="42"/>
  <c r="K70" i="42"/>
  <c r="BB35" i="123"/>
  <c r="P35" i="123"/>
  <c r="L38" i="42"/>
  <c r="J36" i="42"/>
  <c r="K59" i="42"/>
  <c r="K102" i="42"/>
  <c r="L110" i="42"/>
  <c r="AL36" i="123"/>
  <c r="N28" i="123"/>
  <c r="J53" i="42"/>
  <c r="H32" i="123"/>
  <c r="AX40" i="123"/>
  <c r="AK31" i="123"/>
  <c r="BE37" i="123"/>
  <c r="N33" i="123"/>
  <c r="T37" i="123"/>
  <c r="BG37" i="123"/>
  <c r="AI32" i="123"/>
  <c r="AN40" i="123"/>
  <c r="I31" i="123"/>
  <c r="D36" i="123"/>
  <c r="AU35" i="123"/>
  <c r="BD31" i="123"/>
  <c r="L88" i="42"/>
  <c r="AC28" i="123"/>
  <c r="Z39" i="123"/>
  <c r="AM29" i="123"/>
  <c r="AH29" i="123"/>
  <c r="Q32" i="123"/>
  <c r="F34" i="123"/>
  <c r="Z32" i="123"/>
  <c r="X33" i="123"/>
  <c r="AS40" i="123"/>
  <c r="BF31" i="123"/>
  <c r="K100" i="42"/>
  <c r="BD38" i="123"/>
  <c r="BH37" i="123"/>
  <c r="H34" i="123"/>
  <c r="Z29" i="123"/>
  <c r="AD40" i="123"/>
  <c r="T35" i="123"/>
  <c r="D29" i="47"/>
  <c r="L108" i="42"/>
  <c r="J113" i="42"/>
  <c r="K117" i="42"/>
  <c r="K66" i="42"/>
  <c r="K28" i="42"/>
  <c r="BB29" i="123"/>
  <c r="J37" i="42"/>
  <c r="L97" i="42"/>
  <c r="K99" i="42"/>
  <c r="L94" i="42"/>
  <c r="AL30" i="123"/>
  <c r="BE35" i="123"/>
  <c r="AV36" i="123"/>
  <c r="H27" i="123"/>
  <c r="J27" i="42"/>
  <c r="J86" i="42"/>
  <c r="L65" i="42"/>
  <c r="L35" i="42"/>
  <c r="Y31" i="123"/>
  <c r="BF36" i="123"/>
  <c r="AK37" i="123"/>
  <c r="X28" i="123"/>
  <c r="J94" i="42"/>
  <c r="AX34" i="123"/>
  <c r="Q33" i="123"/>
  <c r="P27" i="123"/>
  <c r="N31" i="123"/>
  <c r="AU33" i="123"/>
  <c r="BG29" i="123"/>
  <c r="N30" i="123"/>
  <c r="AX27" i="123"/>
  <c r="I29" i="123"/>
  <c r="L54" i="42"/>
  <c r="AT40" i="123"/>
  <c r="BE27" i="123"/>
  <c r="AC39" i="123"/>
  <c r="J112" i="42"/>
  <c r="AT37" i="123"/>
  <c r="AR30" i="123"/>
  <c r="BH31" i="123"/>
  <c r="BC27" i="123"/>
  <c r="BH36" i="123"/>
  <c r="BH34" i="123"/>
  <c r="AJ28" i="123"/>
  <c r="AS39" i="123"/>
  <c r="X40" i="123"/>
  <c r="L71" i="42"/>
  <c r="AH31" i="123"/>
  <c r="BE40" i="123"/>
  <c r="AR32" i="123"/>
  <c r="J59" i="42"/>
  <c r="K106" i="42"/>
  <c r="K50" i="42"/>
  <c r="BB40" i="123"/>
  <c r="L89" i="42"/>
  <c r="L78" i="42"/>
  <c r="AC31" i="123"/>
  <c r="J72" i="42"/>
  <c r="J63" i="42"/>
  <c r="K86" i="42"/>
  <c r="L80" i="42"/>
  <c r="AS36" i="123"/>
  <c r="BD27" i="123"/>
  <c r="F29" i="123"/>
  <c r="J45" i="42"/>
  <c r="J30" i="42"/>
  <c r="J76" i="42"/>
  <c r="K103" i="42"/>
  <c r="K55" i="42"/>
  <c r="AK27" i="123"/>
  <c r="AA29" i="123"/>
  <c r="E27" i="123"/>
  <c r="AK30" i="123"/>
  <c r="L74" i="42"/>
  <c r="R40" i="123"/>
  <c r="H37" i="123"/>
  <c r="AR31" i="123"/>
  <c r="AH38" i="123"/>
  <c r="AB33" i="123"/>
  <c r="R37" i="123"/>
  <c r="AA37" i="123"/>
  <c r="F38" i="123"/>
  <c r="J89" i="42"/>
  <c r="BB36" i="123"/>
  <c r="S35" i="123"/>
  <c r="R30" i="123"/>
  <c r="I36" i="123"/>
  <c r="T36" i="123"/>
  <c r="AA30" i="123"/>
  <c r="BB38" i="123"/>
  <c r="AD39" i="123"/>
  <c r="AX29" i="123"/>
  <c r="AV37" i="123"/>
  <c r="AI28" i="123"/>
  <c r="AV38" i="123"/>
  <c r="J32" i="42"/>
  <c r="L86" i="42"/>
  <c r="J79" i="42"/>
  <c r="K114" i="42"/>
  <c r="J52" i="42"/>
  <c r="K115" i="42"/>
  <c r="AR27" i="123"/>
  <c r="AI30" i="123"/>
  <c r="Y35" i="123"/>
  <c r="K32" i="42"/>
  <c r="J114" i="42"/>
  <c r="K87" i="42"/>
  <c r="AN31" i="123"/>
  <c r="P32" i="123"/>
  <c r="AB37" i="123"/>
  <c r="F36" i="123"/>
  <c r="AA31" i="123"/>
  <c r="L61" i="42"/>
  <c r="J81" i="42"/>
  <c r="K92" i="42"/>
  <c r="J38" i="42"/>
  <c r="AA32" i="123"/>
  <c r="BH32" i="123"/>
  <c r="O38" i="123"/>
  <c r="E37" i="123"/>
  <c r="BB32" i="123"/>
  <c r="J65" i="42"/>
  <c r="BE39" i="123"/>
  <c r="BF34" i="123"/>
  <c r="AA27" i="123"/>
  <c r="L69" i="42"/>
  <c r="AW37" i="123"/>
  <c r="D35" i="123"/>
  <c r="BB33" i="123"/>
  <c r="Y30" i="123"/>
  <c r="D28" i="123"/>
  <c r="L63" i="42"/>
  <c r="BC28" i="123"/>
  <c r="AU37" i="123"/>
  <c r="AL33" i="123"/>
  <c r="AW28" i="123"/>
  <c r="K46" i="42"/>
  <c r="BD30" i="123"/>
  <c r="AM35" i="123"/>
  <c r="AV35" i="123"/>
  <c r="AB38" i="123"/>
  <c r="L68" i="42"/>
  <c r="L52" i="42"/>
  <c r="K37" i="42"/>
  <c r="AW34" i="123"/>
  <c r="O31" i="123"/>
  <c r="AI37" i="123"/>
  <c r="S30" i="123"/>
  <c r="K48" i="42"/>
  <c r="L105" i="42"/>
  <c r="J96" i="42"/>
  <c r="J70" i="42"/>
  <c r="AJ35" i="123"/>
  <c r="BG31" i="123"/>
  <c r="BC35" i="123"/>
  <c r="AX31" i="123"/>
  <c r="AN27" i="123"/>
  <c r="O29" i="123"/>
  <c r="H40" i="123"/>
  <c r="AN28" i="123"/>
  <c r="K80" i="42"/>
  <c r="AX35" i="123"/>
  <c r="R34" i="123"/>
  <c r="AU28" i="123"/>
  <c r="I34" i="123"/>
  <c r="AJ30" i="123"/>
  <c r="P30" i="123"/>
  <c r="Y27" i="123"/>
  <c r="G38" i="123"/>
  <c r="AT38" i="123"/>
  <c r="K113" i="42"/>
  <c r="AS38" i="123"/>
  <c r="D37" i="123"/>
  <c r="Z27" i="123"/>
  <c r="BH35" i="123"/>
  <c r="J33" i="123"/>
  <c r="F31" i="123"/>
  <c r="AD58" i="144"/>
  <c r="AI58" i="144"/>
  <c r="AF58" i="144"/>
  <c r="AK36" i="143"/>
  <c r="AA36" i="144" s="1"/>
  <c r="AK35" i="143"/>
  <c r="AA35" i="144" s="1"/>
  <c r="O79" i="9"/>
  <c r="U80" i="92"/>
  <c r="U79" i="9" s="1"/>
  <c r="AD42" i="144"/>
  <c r="AI42" i="144"/>
  <c r="AF42" i="144"/>
  <c r="L32" i="144"/>
  <c r="O32" i="144"/>
  <c r="R32" i="144"/>
  <c r="Q32" i="144"/>
  <c r="N60" i="143"/>
  <c r="AF59" i="143" s="1"/>
  <c r="W59" i="144" s="1"/>
  <c r="F35" i="143"/>
  <c r="V34" i="143" s="1"/>
  <c r="F34" i="144" s="1"/>
  <c r="O92" i="9"/>
  <c r="U93" i="92"/>
  <c r="U92" i="9" s="1"/>
  <c r="J26" i="132"/>
  <c r="G45" i="143"/>
  <c r="W44" i="143" s="1"/>
  <c r="G44" i="144" s="1"/>
  <c r="AG47" i="144"/>
  <c r="AE47" i="144"/>
  <c r="AH47" i="144"/>
  <c r="AB47" i="144"/>
  <c r="I31" i="146"/>
  <c r="I32" i="146" s="1"/>
  <c r="I33" i="146" s="1"/>
  <c r="I34" i="146" s="1"/>
  <c r="I35" i="146" s="1"/>
  <c r="I36" i="146" s="1"/>
  <c r="I37" i="146" s="1"/>
  <c r="I38" i="146" s="1"/>
  <c r="I39" i="146" s="1"/>
  <c r="I40" i="146" s="1"/>
  <c r="I41" i="146" s="1"/>
  <c r="I42" i="146" s="1"/>
  <c r="I43" i="146" s="1"/>
  <c r="I44" i="146" s="1"/>
  <c r="I45" i="146" s="1"/>
  <c r="I46" i="146" s="1"/>
  <c r="I47" i="146" s="1"/>
  <c r="I48" i="146" s="1"/>
  <c r="I49" i="146" s="1"/>
  <c r="I50" i="146" s="1"/>
  <c r="I51" i="146" s="1"/>
  <c r="I52" i="146" s="1"/>
  <c r="I53" i="146" s="1"/>
  <c r="I54" i="146" s="1"/>
  <c r="I55" i="146" s="1"/>
  <c r="I56" i="146" s="1"/>
  <c r="I57" i="146" s="1"/>
  <c r="I58" i="146" s="1"/>
  <c r="I59" i="146" s="1"/>
  <c r="I60" i="146" s="1"/>
  <c r="I61" i="146" s="1"/>
  <c r="I62" i="146" s="1"/>
  <c r="I63" i="146" s="1"/>
  <c r="I64" i="146" s="1"/>
  <c r="I65" i="146" s="1"/>
  <c r="I66" i="146" s="1"/>
  <c r="I67" i="146" s="1"/>
  <c r="I68" i="146" s="1"/>
  <c r="I69" i="146" s="1"/>
  <c r="I70" i="146" s="1"/>
  <c r="I71" i="146" s="1"/>
  <c r="I72" i="146" s="1"/>
  <c r="I73" i="146" s="1"/>
  <c r="T53" i="92"/>
  <c r="T52" i="9" s="1"/>
  <c r="O48" i="9"/>
  <c r="I26" i="132"/>
  <c r="AD65" i="143"/>
  <c r="U65" i="144" s="1"/>
  <c r="AC65" i="144" s="1"/>
  <c r="V49" i="143"/>
  <c r="F49" i="144" s="1"/>
  <c r="O49" i="144" s="1"/>
  <c r="AG40" i="143"/>
  <c r="H27" i="132"/>
  <c r="O63" i="144"/>
  <c r="H29" i="132"/>
  <c r="O131" i="9"/>
  <c r="T94" i="92"/>
  <c r="T93" i="9" s="1"/>
  <c r="U132" i="92"/>
  <c r="U131" i="9" s="1"/>
  <c r="O93" i="9"/>
  <c r="O53" i="9"/>
  <c r="U54" i="92"/>
  <c r="U53" i="9" s="1"/>
  <c r="K63" i="42"/>
  <c r="L117" i="42"/>
  <c r="AR37" i="123"/>
  <c r="J49" i="42"/>
  <c r="Z31" i="123"/>
  <c r="L75" i="42"/>
  <c r="L58" i="42"/>
  <c r="AN33" i="123"/>
  <c r="K57" i="42"/>
  <c r="BH30" i="123"/>
  <c r="K76" i="42"/>
  <c r="K33" i="42"/>
  <c r="J32" i="123"/>
  <c r="AM34" i="123"/>
  <c r="L115" i="42"/>
  <c r="AT39" i="123"/>
  <c r="L51" i="42"/>
  <c r="AU31" i="123"/>
  <c r="J85" i="42"/>
  <c r="L103" i="42"/>
  <c r="I27" i="123"/>
  <c r="F33" i="123"/>
  <c r="J116" i="42"/>
  <c r="AM40" i="123"/>
  <c r="K75" i="42"/>
  <c r="AM30" i="123"/>
  <c r="L40" i="42"/>
  <c r="J74" i="42"/>
  <c r="J103" i="42"/>
  <c r="K56" i="42"/>
  <c r="AW29" i="123"/>
  <c r="AV29" i="123"/>
  <c r="N27" i="123"/>
  <c r="L66" i="42"/>
  <c r="AA34" i="123"/>
  <c r="K34" i="42"/>
  <c r="P39" i="123"/>
  <c r="J55" i="42"/>
  <c r="AH36" i="123"/>
  <c r="U68" i="92"/>
  <c r="U67" i="9" s="1"/>
  <c r="T68" i="92"/>
  <c r="T67" i="9" s="1"/>
  <c r="O111" i="9"/>
  <c r="U112" i="92"/>
  <c r="U111" i="9" s="1"/>
  <c r="U47" i="92"/>
  <c r="U46" i="9" s="1"/>
  <c r="T56" i="92"/>
  <c r="T55" i="9" s="1"/>
  <c r="U65" i="92"/>
  <c r="U64" i="9" s="1"/>
  <c r="O64" i="9"/>
  <c r="T65" i="92"/>
  <c r="T64" i="9" s="1"/>
  <c r="O55" i="9"/>
  <c r="T85" i="92"/>
  <c r="T84" i="9" s="1"/>
  <c r="U85" i="92"/>
  <c r="U84" i="9" s="1"/>
  <c r="O84" i="9"/>
  <c r="R48" i="144"/>
  <c r="L48" i="144"/>
  <c r="O48" i="144"/>
  <c r="Q48" i="144"/>
  <c r="X34" i="143"/>
  <c r="H31" i="132"/>
  <c r="AF35" i="144"/>
  <c r="AI35" i="144"/>
  <c r="F31" i="143"/>
  <c r="V31" i="143" s="1"/>
  <c r="F31" i="144" s="1"/>
  <c r="O120" i="9"/>
  <c r="U121" i="92"/>
  <c r="U120" i="9" s="1"/>
  <c r="H28" i="132"/>
  <c r="X64" i="143"/>
  <c r="AF48" i="144"/>
  <c r="AI48" i="144"/>
  <c r="AD48" i="144"/>
  <c r="AB34" i="143"/>
  <c r="K34" i="144" s="1"/>
  <c r="J36" i="143"/>
  <c r="AB36" i="143" s="1"/>
  <c r="K36" i="144" s="1"/>
  <c r="I75" i="143"/>
  <c r="X74" i="143" s="1"/>
  <c r="AE30" i="143"/>
  <c r="V30" i="144" s="1"/>
  <c r="AH30" i="144" s="1"/>
  <c r="AI38" i="144"/>
  <c r="AC60" i="143"/>
  <c r="T60" i="144" s="1"/>
  <c r="AJ41" i="143"/>
  <c r="Z41" i="144" s="1"/>
  <c r="AH41" i="143"/>
  <c r="X41" i="144" s="1"/>
  <c r="AH40" i="143"/>
  <c r="X40" i="144" s="1"/>
  <c r="AI41" i="143"/>
  <c r="Y41" i="144" s="1"/>
  <c r="T47" i="92"/>
  <c r="R51" i="144"/>
  <c r="AF38" i="144"/>
  <c r="P51" i="143"/>
  <c r="AG51" i="143" s="1"/>
  <c r="U70" i="143"/>
  <c r="I36" i="143"/>
  <c r="AG29" i="25"/>
  <c r="I52" i="36"/>
  <c r="X29" i="143"/>
  <c r="I31" i="143"/>
  <c r="X31" i="143" s="1"/>
  <c r="AF40" i="143"/>
  <c r="W40" i="144" s="1"/>
  <c r="L57" i="35"/>
  <c r="U125" i="92"/>
  <c r="U124" i="9" s="1"/>
  <c r="O124" i="9"/>
  <c r="T125" i="92"/>
  <c r="T124" i="9" s="1"/>
  <c r="U64" i="143"/>
  <c r="E64" i="144" s="1"/>
  <c r="M64" i="144" s="1"/>
  <c r="P56" i="143"/>
  <c r="AH54" i="143"/>
  <c r="X54" i="144" s="1"/>
  <c r="E53" i="36"/>
  <c r="G53" i="36"/>
  <c r="B54" i="36"/>
  <c r="D53" i="36"/>
  <c r="F53" i="36"/>
  <c r="G22" i="72"/>
  <c r="F22" i="21"/>
  <c r="AB60" i="143"/>
  <c r="K60" i="144" s="1"/>
  <c r="AB61" i="143"/>
  <c r="K61" i="144" s="1"/>
  <c r="U127" i="92"/>
  <c r="U126" i="9" s="1"/>
  <c r="U59" i="92"/>
  <c r="U58" i="9" s="1"/>
  <c r="T59" i="92"/>
  <c r="T58" i="9" s="1"/>
  <c r="O58" i="9"/>
  <c r="O54" i="144"/>
  <c r="L54" i="144"/>
  <c r="W50" i="143"/>
  <c r="G50" i="144" s="1"/>
  <c r="O126" i="9"/>
  <c r="R40" i="9"/>
  <c r="S41" i="92"/>
  <c r="J31" i="143"/>
  <c r="AB31" i="143" s="1"/>
  <c r="K31" i="144" s="1"/>
  <c r="P63" i="144"/>
  <c r="S63" i="144"/>
  <c r="N63" i="144"/>
  <c r="T90" i="92"/>
  <c r="T89" i="9" s="1"/>
  <c r="O89" i="9"/>
  <c r="U90" i="92"/>
  <c r="U89" i="9" s="1"/>
  <c r="AF45" i="143"/>
  <c r="W45" i="144" s="1"/>
  <c r="O110" i="9"/>
  <c r="T111" i="92"/>
  <c r="T110" i="9" s="1"/>
  <c r="T109" i="92"/>
  <c r="T108" i="9" s="1"/>
  <c r="U109" i="92"/>
  <c r="U108" i="9" s="1"/>
  <c r="O108" i="9"/>
  <c r="B30" i="25"/>
  <c r="C31" i="25"/>
  <c r="AB29" i="143"/>
  <c r="K29" i="144" s="1"/>
  <c r="I66" i="143"/>
  <c r="X65" i="143" s="1"/>
  <c r="T95" i="92"/>
  <c r="T94" i="9" s="1"/>
  <c r="O94" i="9"/>
  <c r="U95" i="92"/>
  <c r="U94" i="9" s="1"/>
  <c r="AA29" i="143"/>
  <c r="J29" i="144" s="1"/>
  <c r="S29" i="144" s="1"/>
  <c r="AH30" i="143"/>
  <c r="X30" i="144" s="1"/>
  <c r="CG29" i="25"/>
  <c r="O106" i="9"/>
  <c r="AE39" i="143"/>
  <c r="V39" i="144" s="1"/>
  <c r="M41" i="143"/>
  <c r="U111" i="92"/>
  <c r="U110" i="9" s="1"/>
  <c r="Y29" i="143"/>
  <c r="H29" i="144" s="1"/>
  <c r="AJ60" i="143"/>
  <c r="Z60" i="144" s="1"/>
  <c r="AI60" i="144" s="1"/>
  <c r="T107" i="92"/>
  <c r="T106" i="9" s="1"/>
  <c r="O72" i="9"/>
  <c r="T73" i="92"/>
  <c r="T72" i="9" s="1"/>
  <c r="AH38" i="144"/>
  <c r="AG38" i="144"/>
  <c r="AE38" i="144"/>
  <c r="H30" i="132"/>
  <c r="U67" i="92"/>
  <c r="U66" i="9" s="1"/>
  <c r="T67" i="92"/>
  <c r="T66" i="9" s="1"/>
  <c r="O66" i="9"/>
  <c r="AG54" i="143"/>
  <c r="M73" i="143"/>
  <c r="AE72" i="143" s="1"/>
  <c r="O133" i="9"/>
  <c r="T134" i="92"/>
  <c r="T133" i="9" s="1"/>
  <c r="U134" i="92"/>
  <c r="U133" i="9" s="1"/>
  <c r="M43" i="92"/>
  <c r="M41" i="9"/>
  <c r="U58" i="92"/>
  <c r="U57" i="9" s="1"/>
  <c r="O57" i="9"/>
  <c r="T50" i="92"/>
  <c r="T49" i="9" s="1"/>
  <c r="O49" i="9"/>
  <c r="U50" i="92"/>
  <c r="U49" i="9" s="1"/>
  <c r="U60" i="92"/>
  <c r="U59" i="9" s="1"/>
  <c r="O59" i="9"/>
  <c r="T60" i="92"/>
  <c r="T59" i="9" s="1"/>
  <c r="T55" i="92"/>
  <c r="T54" i="9" s="1"/>
  <c r="U55" i="92"/>
  <c r="U54" i="9" s="1"/>
  <c r="O54" i="9"/>
  <c r="T51" i="92"/>
  <c r="T50" i="9" s="1"/>
  <c r="O50" i="9"/>
  <c r="U51" i="92"/>
  <c r="U50" i="9" s="1"/>
  <c r="U61" i="92"/>
  <c r="U60" i="9" s="1"/>
  <c r="T61" i="92"/>
  <c r="T60" i="9" s="1"/>
  <c r="O60" i="9"/>
  <c r="L112" i="42"/>
  <c r="J51" i="42"/>
  <c r="BF39" i="123"/>
  <c r="AK38" i="123"/>
  <c r="L67" i="42"/>
  <c r="J97" i="42"/>
  <c r="J54" i="42"/>
  <c r="J88" i="42"/>
  <c r="J43" i="42"/>
  <c r="Q28" i="123"/>
  <c r="BE29" i="123"/>
  <c r="P31" i="123"/>
  <c r="L50" i="42"/>
  <c r="J68" i="42"/>
  <c r="K98" i="42"/>
  <c r="R27" i="123"/>
  <c r="O30" i="123"/>
  <c r="J35" i="123"/>
  <c r="J93" i="42"/>
  <c r="K73" i="42"/>
  <c r="J66" i="42"/>
  <c r="K44" i="42"/>
  <c r="Y29" i="123"/>
  <c r="BF29" i="123"/>
  <c r="AJ34" i="123"/>
  <c r="D33" i="123"/>
  <c r="X35" i="123"/>
  <c r="L37" i="42"/>
  <c r="L47" i="42"/>
  <c r="L106" i="42"/>
  <c r="J50" i="42"/>
  <c r="K88" i="42"/>
  <c r="L107" i="42"/>
  <c r="T34" i="123"/>
  <c r="O33" i="123"/>
  <c r="AT35" i="123"/>
  <c r="E31" i="47"/>
  <c r="E38" i="47"/>
  <c r="D38" i="47"/>
  <c r="AH35" i="123"/>
  <c r="J77" i="42"/>
  <c r="K41" i="42"/>
  <c r="J44" i="42"/>
  <c r="J28" i="42"/>
  <c r="L104" i="42"/>
  <c r="K94" i="42"/>
  <c r="BD32" i="123"/>
  <c r="AC38" i="123"/>
  <c r="H39" i="123"/>
  <c r="BC29" i="123"/>
  <c r="J69" i="42"/>
  <c r="J110" i="42"/>
  <c r="L90" i="42"/>
  <c r="J87" i="42"/>
  <c r="Y33" i="123"/>
  <c r="AJ32" i="123"/>
  <c r="J28" i="123"/>
  <c r="I38" i="123"/>
  <c r="K109" i="42"/>
  <c r="J108" i="42"/>
  <c r="L99" i="42"/>
  <c r="L57" i="42"/>
  <c r="AC35" i="123"/>
  <c r="E36" i="123"/>
  <c r="G40" i="123"/>
  <c r="BE36" i="123"/>
  <c r="J56" i="42"/>
  <c r="K40" i="42"/>
  <c r="L79" i="42"/>
  <c r="K78" i="42"/>
  <c r="G29" i="123"/>
  <c r="BD33" i="123"/>
  <c r="AU34" i="123"/>
  <c r="G33" i="123"/>
  <c r="L64" i="42"/>
  <c r="L55" i="42"/>
  <c r="J106" i="42"/>
  <c r="AJ29" i="123"/>
  <c r="G34" i="123"/>
  <c r="BD37" i="123"/>
  <c r="K49" i="42"/>
  <c r="K84" i="42"/>
  <c r="AR40" i="123"/>
  <c r="E27" i="47"/>
  <c r="AB40" i="123"/>
  <c r="AH40" i="123"/>
  <c r="AL37" i="123"/>
  <c r="K93" i="42"/>
  <c r="J92" i="42"/>
  <c r="K61" i="42"/>
  <c r="BB27" i="123"/>
  <c r="AA28" i="123"/>
  <c r="AC32" i="123"/>
  <c r="H30" i="123"/>
  <c r="T33" i="123"/>
  <c r="J40" i="42"/>
  <c r="J62" i="42"/>
  <c r="K112" i="42"/>
  <c r="AW32" i="123"/>
  <c r="AV39" i="123"/>
  <c r="Z30" i="123"/>
  <c r="L101" i="42"/>
  <c r="J31" i="42"/>
  <c r="K31" i="42"/>
  <c r="K52" i="42"/>
  <c r="K111" i="42"/>
  <c r="AH32" i="123"/>
  <c r="BE28" i="123"/>
  <c r="AI39" i="123"/>
  <c r="AR34" i="123"/>
  <c r="J57" i="42"/>
  <c r="K81" i="42"/>
  <c r="J99" i="42"/>
  <c r="K91" i="42"/>
  <c r="N35" i="123"/>
  <c r="AU40" i="123"/>
  <c r="AI36" i="123"/>
  <c r="D30" i="47"/>
  <c r="F28" i="36" s="1"/>
  <c r="L85" i="42"/>
  <c r="L49" i="42"/>
  <c r="K108" i="42"/>
  <c r="J33" i="42"/>
  <c r="K79" i="42"/>
  <c r="BF33" i="123"/>
  <c r="AH34" i="123"/>
  <c r="E40" i="123"/>
  <c r="AJ38" i="123"/>
  <c r="BC34" i="123"/>
  <c r="J35" i="42"/>
  <c r="J105" i="42"/>
  <c r="K38" i="42"/>
  <c r="J111" i="42"/>
  <c r="K110" i="42"/>
  <c r="AJ27" i="123"/>
  <c r="AB31" i="123"/>
  <c r="AT32" i="123"/>
  <c r="F27" i="123"/>
  <c r="L48" i="42"/>
  <c r="J90" i="42"/>
  <c r="L116" i="42"/>
  <c r="L102" i="42"/>
  <c r="E28" i="123"/>
  <c r="AT31" i="123"/>
  <c r="N36" i="123"/>
  <c r="J101" i="42"/>
  <c r="L81" i="42"/>
  <c r="K30" i="42"/>
  <c r="J80" i="42"/>
  <c r="I30" i="123"/>
  <c r="AS30" i="123"/>
  <c r="AK35" i="123"/>
  <c r="D34" i="123"/>
  <c r="Y28" i="123"/>
  <c r="L45" i="42"/>
  <c r="L60" i="42"/>
  <c r="L114" i="42"/>
  <c r="K36" i="42"/>
  <c r="K104" i="42"/>
  <c r="G35" i="123"/>
  <c r="AV34" i="123"/>
  <c r="K82" i="42"/>
  <c r="L42" i="42"/>
  <c r="J58" i="42"/>
  <c r="K90" i="42"/>
  <c r="O27" i="123"/>
  <c r="AR28" i="123"/>
  <c r="P40" i="123"/>
  <c r="J34" i="123"/>
  <c r="K101" i="42"/>
  <c r="J100" i="42"/>
  <c r="L83" i="42"/>
  <c r="AL28" i="123"/>
  <c r="N29" i="123"/>
  <c r="AI33" i="123"/>
  <c r="AM31" i="123"/>
  <c r="X34" i="123"/>
  <c r="L29" i="42"/>
  <c r="L31" i="42"/>
  <c r="L98" i="42"/>
  <c r="L59" i="42"/>
  <c r="J107" i="42"/>
  <c r="L96" i="42"/>
  <c r="AJ33" i="123"/>
  <c r="AI40" i="123"/>
  <c r="BE31" i="123"/>
  <c r="L109" i="42"/>
  <c r="J42" i="42"/>
  <c r="K47" i="42"/>
  <c r="J83" i="42"/>
  <c r="K51" i="42"/>
  <c r="R33" i="123"/>
  <c r="AR29" i="123"/>
  <c r="AS35" i="123"/>
  <c r="Q27" i="123"/>
  <c r="J67" i="42"/>
  <c r="K89" i="42"/>
  <c r="L36" i="42"/>
  <c r="K83" i="42"/>
  <c r="K107" i="42"/>
  <c r="BF35" i="123"/>
  <c r="AI27" i="123"/>
  <c r="L53" i="42"/>
  <c r="L73" i="42"/>
  <c r="J75" i="42"/>
  <c r="D33" i="47"/>
  <c r="S38" i="123"/>
  <c r="O40" i="123"/>
  <c r="D28" i="47"/>
  <c r="AC36" i="123"/>
  <c r="AD33" i="123"/>
  <c r="J39" i="123"/>
  <c r="BG40" i="123"/>
  <c r="E30" i="47"/>
  <c r="J61" i="42"/>
  <c r="J102" i="42"/>
  <c r="L82" i="42"/>
  <c r="K54" i="42"/>
  <c r="L91" i="42"/>
  <c r="AL32" i="123"/>
  <c r="E31" i="123"/>
  <c r="BD36" i="123"/>
  <c r="L93" i="42"/>
  <c r="L62" i="42"/>
  <c r="K116" i="42"/>
  <c r="J60" i="42"/>
  <c r="K95" i="42"/>
  <c r="AS34" i="123"/>
  <c r="R35" i="123"/>
  <c r="T39" i="123"/>
  <c r="BD35" i="123"/>
  <c r="J48" i="42"/>
  <c r="J73" i="42"/>
  <c r="K53" i="42"/>
  <c r="J91" i="42"/>
  <c r="T28" i="123"/>
  <c r="BC32" i="123"/>
  <c r="AT33" i="123"/>
  <c r="E30" i="123"/>
  <c r="L56" i="42"/>
  <c r="L41" i="42"/>
  <c r="J98" i="42"/>
  <c r="AC37" i="123"/>
  <c r="K67" i="42"/>
  <c r="L32" i="42"/>
  <c r="D39" i="123"/>
  <c r="K96" i="42"/>
  <c r="L100" i="42"/>
  <c r="R29" i="59"/>
  <c r="M29" i="59"/>
  <c r="U143" i="92"/>
  <c r="U142" i="9" s="1"/>
  <c r="T143" i="92"/>
  <c r="T142" i="9" s="1"/>
  <c r="O142" i="9"/>
  <c r="O73" i="9"/>
  <c r="T74" i="92"/>
  <c r="T73" i="9" s="1"/>
  <c r="U74" i="92"/>
  <c r="U73" i="9" s="1"/>
  <c r="O86" i="9"/>
  <c r="T87" i="92"/>
  <c r="T86" i="9" s="1"/>
  <c r="U87" i="92"/>
  <c r="U86" i="9" s="1"/>
  <c r="AG54" i="144"/>
  <c r="AE54" i="144"/>
  <c r="AB54" i="144"/>
  <c r="AH54" i="144"/>
  <c r="H61" i="143"/>
  <c r="F73" i="143"/>
  <c r="V72" i="143" s="1"/>
  <c r="AG30" i="143"/>
  <c r="G36" i="92"/>
  <c r="G34" i="9"/>
  <c r="N36" i="143"/>
  <c r="AF36" i="143" s="1"/>
  <c r="W36" i="144" s="1"/>
  <c r="T41" i="143"/>
  <c r="D41" i="144" s="1"/>
  <c r="T40" i="143"/>
  <c r="D40" i="144" s="1"/>
  <c r="M56" i="143"/>
  <c r="AE56" i="143" s="1"/>
  <c r="V56" i="144" s="1"/>
  <c r="U51" i="143"/>
  <c r="E51" i="144" s="1"/>
  <c r="M51" i="144" s="1"/>
  <c r="U50" i="143"/>
  <c r="E50" i="144" s="1"/>
  <c r="M50" i="144" s="1"/>
  <c r="P64" i="144"/>
  <c r="N64" i="144"/>
  <c r="S64" i="144"/>
  <c r="N53" i="144"/>
  <c r="P53" i="144"/>
  <c r="S53" i="144"/>
  <c r="AK50" i="143"/>
  <c r="AA50" i="144" s="1"/>
  <c r="AB28" i="123"/>
  <c r="P36" i="123"/>
  <c r="E34" i="47"/>
  <c r="E29" i="47"/>
  <c r="BD39" i="123"/>
  <c r="O56" i="9"/>
  <c r="T57" i="92"/>
  <c r="T56" i="9" s="1"/>
  <c r="U57" i="92"/>
  <c r="U56" i="9" s="1"/>
  <c r="AF34" i="143"/>
  <c r="W34" i="144" s="1"/>
  <c r="O71" i="143"/>
  <c r="AJ69" i="143"/>
  <c r="AH31" i="144"/>
  <c r="AG31" i="144"/>
  <c r="AB31" i="144"/>
  <c r="AE31" i="144"/>
  <c r="Q46" i="143"/>
  <c r="AK46" i="143" s="1"/>
  <c r="AA46" i="144" s="1"/>
  <c r="AE36" i="143"/>
  <c r="V36" i="144" s="1"/>
  <c r="AE35" i="143"/>
  <c r="V35" i="144" s="1"/>
  <c r="AI54" i="144"/>
  <c r="O109" i="9"/>
  <c r="U110" i="92"/>
  <c r="U109" i="9" s="1"/>
  <c r="T110" i="92"/>
  <c r="T109" i="9" s="1"/>
  <c r="AG34" i="144"/>
  <c r="AB34" i="144"/>
  <c r="AH34" i="144"/>
  <c r="A30" i="115"/>
  <c r="B31" i="115"/>
  <c r="M49" i="132"/>
  <c r="K49" i="132" s="1"/>
  <c r="C30" i="96"/>
  <c r="B29" i="96"/>
  <c r="AA59" i="143"/>
  <c r="J59" i="144" s="1"/>
  <c r="BG29" i="25"/>
  <c r="AC40" i="143"/>
  <c r="T40" i="144" s="1"/>
  <c r="N55" i="35"/>
  <c r="O130" i="9"/>
  <c r="T131" i="92"/>
  <c r="T130" i="9" s="1"/>
  <c r="U131" i="92"/>
  <c r="U130" i="9" s="1"/>
  <c r="T120" i="92"/>
  <c r="T119" i="9" s="1"/>
  <c r="U120" i="92"/>
  <c r="U119" i="9" s="1"/>
  <c r="O119" i="9"/>
  <c r="Y59" i="143"/>
  <c r="H59" i="144" s="1"/>
  <c r="Z59" i="143"/>
  <c r="I59" i="144" s="1"/>
  <c r="AF55" i="143"/>
  <c r="W55" i="144" s="1"/>
  <c r="AF56" i="143"/>
  <c r="W56" i="144" s="1"/>
  <c r="AH61" i="143"/>
  <c r="X61" i="144" s="1"/>
  <c r="AI61" i="143"/>
  <c r="Y61" i="144" s="1"/>
  <c r="G29" i="25"/>
  <c r="O91" i="9"/>
  <c r="T92" i="92"/>
  <c r="T91" i="9" s="1"/>
  <c r="U92" i="92"/>
  <c r="U91" i="9" s="1"/>
  <c r="T141" i="92"/>
  <c r="T140" i="9" s="1"/>
  <c r="U141" i="92"/>
  <c r="U140" i="9" s="1"/>
  <c r="O140" i="9"/>
  <c r="Q29" i="144"/>
  <c r="R29" i="144"/>
  <c r="O29" i="144"/>
  <c r="T46" i="9"/>
  <c r="V47" i="92"/>
  <c r="L46" i="144"/>
  <c r="R46" i="144"/>
  <c r="Q46" i="144"/>
  <c r="O46" i="144"/>
  <c r="BT29" i="25"/>
  <c r="AG64" i="143"/>
  <c r="AF69" i="143"/>
  <c r="N71" i="143"/>
  <c r="I51" i="143"/>
  <c r="AA49" i="143"/>
  <c r="J49" i="144" s="1"/>
  <c r="Z49" i="143"/>
  <c r="I49" i="144" s="1"/>
  <c r="X49" i="143"/>
  <c r="Y49" i="143"/>
  <c r="H49" i="144" s="1"/>
  <c r="AD40" i="144"/>
  <c r="AI40" i="144"/>
  <c r="AF40" i="144"/>
  <c r="N58" i="144"/>
  <c r="S58" i="144"/>
  <c r="V71" i="143"/>
  <c r="AJ61" i="143"/>
  <c r="Z61" i="144" s="1"/>
  <c r="AI60" i="143"/>
  <c r="Y60" i="144" s="1"/>
  <c r="AT29" i="25"/>
  <c r="P33" i="144"/>
  <c r="N33" i="144"/>
  <c r="S33" i="144"/>
  <c r="AI63" i="144"/>
  <c r="AF63" i="144"/>
  <c r="AD63" i="144"/>
  <c r="J36" i="9"/>
  <c r="J38" i="92"/>
  <c r="AU61" i="155"/>
  <c r="AR62" i="155"/>
  <c r="H33" i="132"/>
  <c r="H74" i="143"/>
  <c r="AA73" i="143" s="1"/>
  <c r="Z72" i="143"/>
  <c r="Y72" i="143"/>
  <c r="AA72" i="143"/>
  <c r="G31" i="143"/>
  <c r="W31" i="143" s="1"/>
  <c r="G31" i="144" s="1"/>
  <c r="W29" i="143"/>
  <c r="G29" i="144" s="1"/>
  <c r="Q72" i="143"/>
  <c r="S34" i="144"/>
  <c r="N34" i="144"/>
  <c r="P34" i="144"/>
  <c r="AR58" i="157"/>
  <c r="AU57" i="157"/>
  <c r="R64" i="144"/>
  <c r="L64" i="144"/>
  <c r="O64" i="144"/>
  <c r="Q64" i="144"/>
  <c r="J72" i="143"/>
  <c r="AB71" i="143" s="1"/>
  <c r="AB70" i="143"/>
  <c r="O70" i="9"/>
  <c r="U71" i="92"/>
  <c r="U70" i="9" s="1"/>
  <c r="T71" i="92"/>
  <c r="T70" i="9" s="1"/>
  <c r="U78" i="92"/>
  <c r="U77" i="9" s="1"/>
  <c r="O77" i="9"/>
  <c r="T78" i="92"/>
  <c r="T77" i="9" s="1"/>
  <c r="P73" i="143"/>
  <c r="AG72" i="143" s="1"/>
  <c r="T51" i="9"/>
  <c r="Z31" i="143"/>
  <c r="I31" i="144" s="1"/>
  <c r="AJ30" i="143"/>
  <c r="Z30" i="144" s="1"/>
  <c r="T62" i="92"/>
  <c r="T61" i="9" s="1"/>
  <c r="O61" i="9"/>
  <c r="U62" i="92"/>
  <c r="U61" i="9" s="1"/>
  <c r="D35" i="143"/>
  <c r="G72" i="143"/>
  <c r="W71" i="143" s="1"/>
  <c r="L55" i="144"/>
  <c r="O55" i="144"/>
  <c r="R55" i="144"/>
  <c r="Q55" i="144"/>
  <c r="P66" i="143"/>
  <c r="AI65" i="143" s="1"/>
  <c r="Y65" i="144" s="1"/>
  <c r="B37" i="42"/>
  <c r="H34" i="132" s="1"/>
  <c r="T66" i="143"/>
  <c r="D66" i="144" s="1"/>
  <c r="T65" i="143"/>
  <c r="D65" i="144" s="1"/>
  <c r="W70" i="143"/>
  <c r="AI64" i="143"/>
  <c r="Y64" i="144" s="1"/>
  <c r="V65" i="143"/>
  <c r="F65" i="144" s="1"/>
  <c r="V66" i="143"/>
  <c r="F66" i="144" s="1"/>
  <c r="B56" i="143"/>
  <c r="S55" i="143" s="1"/>
  <c r="B55" i="145" s="1"/>
  <c r="B55" i="146" s="1"/>
  <c r="S54" i="143"/>
  <c r="B54" i="145" s="1"/>
  <c r="B54" i="146" s="1"/>
  <c r="O113" i="9"/>
  <c r="T114" i="92"/>
  <c r="T113" i="9" s="1"/>
  <c r="U114" i="92"/>
  <c r="U113" i="9" s="1"/>
  <c r="J58" i="35"/>
  <c r="M59" i="35"/>
  <c r="AG46" i="143"/>
  <c r="L74" i="143"/>
  <c r="AJ64" i="143"/>
  <c r="Z64" i="144" s="1"/>
  <c r="J51" i="143"/>
  <c r="AB51" i="143" s="1"/>
  <c r="K51" i="144" s="1"/>
  <c r="AB49" i="143"/>
  <c r="K49" i="144" s="1"/>
  <c r="L56" i="143"/>
  <c r="AD56" i="143" s="1"/>
  <c r="U56" i="144" s="1"/>
  <c r="AC56" i="144" s="1"/>
  <c r="K57" i="35"/>
  <c r="AF29" i="144"/>
  <c r="AD29" i="144"/>
  <c r="AI29" i="144"/>
  <c r="E74" i="143"/>
  <c r="U73" i="143" s="1"/>
  <c r="U72" i="143"/>
  <c r="L39" i="144"/>
  <c r="Q39" i="144"/>
  <c r="O39" i="144"/>
  <c r="R39" i="144"/>
  <c r="O107" i="9"/>
  <c r="T108" i="92"/>
  <c r="T107" i="9" s="1"/>
  <c r="U108" i="92"/>
  <c r="U107" i="9" s="1"/>
  <c r="K36" i="143"/>
  <c r="AC36" i="143" s="1"/>
  <c r="T36" i="144" s="1"/>
  <c r="O51" i="143"/>
  <c r="AI50" i="143" s="1"/>
  <c r="Y50" i="144" s="1"/>
  <c r="AI49" i="143"/>
  <c r="Y49" i="144" s="1"/>
  <c r="AJ49" i="143"/>
  <c r="Z49" i="144" s="1"/>
  <c r="AH49" i="143"/>
  <c r="X49" i="144" s="1"/>
  <c r="P34" i="9"/>
  <c r="P36" i="92"/>
  <c r="N31" i="143"/>
  <c r="AF31" i="143" s="1"/>
  <c r="W31" i="144" s="1"/>
  <c r="AG45" i="144"/>
  <c r="AE45" i="144"/>
  <c r="AB45" i="144"/>
  <c r="AH45" i="144"/>
  <c r="AH31" i="143"/>
  <c r="X31" i="144" s="1"/>
  <c r="AJ31" i="143"/>
  <c r="Z31" i="144" s="1"/>
  <c r="AG31" i="143"/>
  <c r="AI31" i="143"/>
  <c r="Y31" i="144" s="1"/>
  <c r="AK30" i="143"/>
  <c r="AA30" i="144" s="1"/>
  <c r="O58" i="35"/>
  <c r="B44" i="28"/>
  <c r="I30" i="16" l="1"/>
  <c r="F30" i="16"/>
  <c r="AG50" i="143"/>
  <c r="AF54" i="144"/>
  <c r="D30" i="16"/>
  <c r="L30" i="16"/>
  <c r="K30" i="16"/>
  <c r="AI56" i="143"/>
  <c r="Y56" i="144" s="1"/>
  <c r="J30" i="16"/>
  <c r="O46" i="143"/>
  <c r="AI44" i="143"/>
  <c r="Y44" i="144" s="1"/>
  <c r="AJ44" i="143"/>
  <c r="Z44" i="144" s="1"/>
  <c r="G30" i="16"/>
  <c r="H30" i="16"/>
  <c r="G61" i="90"/>
  <c r="Z44" i="143"/>
  <c r="I44" i="144" s="1"/>
  <c r="AA44" i="143"/>
  <c r="J44" i="144" s="1"/>
  <c r="B31" i="16"/>
  <c r="Y44" i="143"/>
  <c r="H44" i="144" s="1"/>
  <c r="AB30" i="144"/>
  <c r="W47" i="92"/>
  <c r="L49" i="144"/>
  <c r="AI43" i="144"/>
  <c r="X44" i="143"/>
  <c r="I46" i="143"/>
  <c r="AH55" i="143"/>
  <c r="X55" i="144" s="1"/>
  <c r="AD43" i="144"/>
  <c r="AG30" i="144"/>
  <c r="R49" i="144"/>
  <c r="Q49" i="144"/>
  <c r="AE30" i="144"/>
  <c r="Z60" i="143"/>
  <c r="I60" i="144" s="1"/>
  <c r="AI55" i="143"/>
  <c r="Y55" i="144" s="1"/>
  <c r="AJ56" i="143"/>
  <c r="Z56" i="144" s="1"/>
  <c r="AI56" i="144" s="1"/>
  <c r="AJ55" i="143"/>
  <c r="Z55" i="144" s="1"/>
  <c r="AI55" i="144" s="1"/>
  <c r="AH56" i="143"/>
  <c r="X56" i="144" s="1"/>
  <c r="AH59" i="144"/>
  <c r="AG59" i="144"/>
  <c r="D56" i="143"/>
  <c r="T56" i="143" s="1"/>
  <c r="D56" i="144" s="1"/>
  <c r="AE59" i="144"/>
  <c r="L60" i="144"/>
  <c r="Q60" i="144"/>
  <c r="O60" i="144"/>
  <c r="R60" i="144"/>
  <c r="S29" i="20"/>
  <c r="B29" i="20"/>
  <c r="C30" i="20"/>
  <c r="Y106" i="72"/>
  <c r="M30" i="16"/>
  <c r="N30" i="16"/>
  <c r="O30" i="16"/>
  <c r="AE50" i="143"/>
  <c r="V50" i="144" s="1"/>
  <c r="AE60" i="143"/>
  <c r="V60" i="144" s="1"/>
  <c r="AB60" i="144" s="1"/>
  <c r="X60" i="143"/>
  <c r="AB48" i="144"/>
  <c r="AE48" i="144"/>
  <c r="AG48" i="144"/>
  <c r="AH48" i="144"/>
  <c r="K71" i="143"/>
  <c r="K72" i="143" s="1"/>
  <c r="AC69" i="143"/>
  <c r="Q51" i="144"/>
  <c r="L51" i="144"/>
  <c r="O51" i="144"/>
  <c r="AE49" i="143"/>
  <c r="V49" i="144" s="1"/>
  <c r="O34" i="144"/>
  <c r="L34" i="144"/>
  <c r="R34" i="144"/>
  <c r="Q34" i="144"/>
  <c r="I74" i="146"/>
  <c r="I75" i="146" s="1"/>
  <c r="I76" i="146" s="1"/>
  <c r="I77" i="146" s="1"/>
  <c r="I78" i="146" s="1"/>
  <c r="I79" i="146" s="1"/>
  <c r="I80" i="146" s="1"/>
  <c r="I81" i="146" s="1"/>
  <c r="I82" i="146" s="1"/>
  <c r="I83" i="146" s="1"/>
  <c r="I84" i="146" s="1"/>
  <c r="I85" i="146" s="1"/>
  <c r="I86" i="146" s="1"/>
  <c r="I87" i="146" s="1"/>
  <c r="I88" i="146" s="1"/>
  <c r="I89" i="146" s="1"/>
  <c r="I90" i="146" s="1"/>
  <c r="I91" i="146" s="1"/>
  <c r="I92" i="146" s="1"/>
  <c r="I93" i="146" s="1"/>
  <c r="I94" i="146" s="1"/>
  <c r="I95" i="146" s="1"/>
  <c r="I96" i="146" s="1"/>
  <c r="I97" i="146" s="1"/>
  <c r="I98" i="146" s="1"/>
  <c r="I99" i="146" s="1"/>
  <c r="I100" i="146" s="1"/>
  <c r="I101" i="146" s="1"/>
  <c r="I102" i="146" s="1"/>
  <c r="I103" i="146" s="1"/>
  <c r="I104" i="146" s="1"/>
  <c r="I105" i="146" s="1"/>
  <c r="I106" i="146" s="1"/>
  <c r="I107" i="146" s="1"/>
  <c r="I108" i="146" s="1"/>
  <c r="I109" i="146" s="1"/>
  <c r="I110" i="146" s="1"/>
  <c r="I111" i="146" s="1"/>
  <c r="I112" i="146" s="1"/>
  <c r="I113" i="146" s="1"/>
  <c r="I114" i="146" s="1"/>
  <c r="I115" i="146" s="1"/>
  <c r="I116" i="146" s="1"/>
  <c r="N29" i="144"/>
  <c r="AH61" i="144"/>
  <c r="AE61" i="144"/>
  <c r="AB61" i="144"/>
  <c r="AG61" i="144"/>
  <c r="AB65" i="143"/>
  <c r="K65" i="144" s="1"/>
  <c r="AB66" i="143"/>
  <c r="K66" i="144" s="1"/>
  <c r="N61" i="143"/>
  <c r="AF61" i="143" s="1"/>
  <c r="W61" i="144" s="1"/>
  <c r="Z56" i="143"/>
  <c r="I56" i="144" s="1"/>
  <c r="AA56" i="143"/>
  <c r="J56" i="144" s="1"/>
  <c r="Y55" i="143"/>
  <c r="H55" i="144" s="1"/>
  <c r="AA55" i="143"/>
  <c r="J55" i="144" s="1"/>
  <c r="Y56" i="143"/>
  <c r="H56" i="144" s="1"/>
  <c r="D73" i="143"/>
  <c r="T72" i="143" s="1"/>
  <c r="AH60" i="144"/>
  <c r="P29" i="144"/>
  <c r="G46" i="143"/>
  <c r="W46" i="143" s="1"/>
  <c r="G46" i="144" s="1"/>
  <c r="F27" i="132"/>
  <c r="I27" i="132" s="1"/>
  <c r="B31" i="91"/>
  <c r="D51" i="143"/>
  <c r="T51" i="143" s="1"/>
  <c r="D51" i="144" s="1"/>
  <c r="Z55" i="143"/>
  <c r="I55" i="144" s="1"/>
  <c r="F36" i="143"/>
  <c r="V36" i="143" s="1"/>
  <c r="F36" i="144" s="1"/>
  <c r="N54" i="144"/>
  <c r="P54" i="144"/>
  <c r="S54" i="144"/>
  <c r="AA30" i="143"/>
  <c r="J30" i="144" s="1"/>
  <c r="S30" i="144" s="1"/>
  <c r="Y31" i="143"/>
  <c r="H31" i="144" s="1"/>
  <c r="AA31" i="143"/>
  <c r="J31" i="144" s="1"/>
  <c r="Y30" i="143"/>
  <c r="H30" i="144" s="1"/>
  <c r="J27" i="132"/>
  <c r="Z30" i="143"/>
  <c r="I30" i="144" s="1"/>
  <c r="AF60" i="144"/>
  <c r="AD60" i="144"/>
  <c r="AA36" i="143"/>
  <c r="J36" i="144" s="1"/>
  <c r="X35" i="143"/>
  <c r="Y35" i="143"/>
  <c r="H35" i="144" s="1"/>
  <c r="Z35" i="143"/>
  <c r="I35" i="144" s="1"/>
  <c r="X36" i="143"/>
  <c r="Y36" i="143"/>
  <c r="H36" i="144" s="1"/>
  <c r="AA35" i="143"/>
  <c r="J35" i="144" s="1"/>
  <c r="Z36" i="143"/>
  <c r="I36" i="144" s="1"/>
  <c r="AB35" i="143"/>
  <c r="K35" i="144" s="1"/>
  <c r="AC35" i="143"/>
  <c r="T35" i="144" s="1"/>
  <c r="AI41" i="144"/>
  <c r="AF41" i="144"/>
  <c r="AD41" i="144"/>
  <c r="V30" i="143"/>
  <c r="F30" i="144" s="1"/>
  <c r="G50" i="36"/>
  <c r="I76" i="143"/>
  <c r="X75" i="143" s="1"/>
  <c r="R31" i="144"/>
  <c r="O31" i="144"/>
  <c r="L31" i="144"/>
  <c r="Q31" i="144"/>
  <c r="H53" i="36"/>
  <c r="C32" i="25"/>
  <c r="B31" i="25"/>
  <c r="AD30" i="25"/>
  <c r="Q30" i="25"/>
  <c r="AE30" i="25"/>
  <c r="AQ30" i="25"/>
  <c r="D30" i="25"/>
  <c r="BE30" i="25"/>
  <c r="CF30" i="25"/>
  <c r="CE30" i="25"/>
  <c r="E30" i="25"/>
  <c r="S30" i="25"/>
  <c r="F30" i="25"/>
  <c r="BD30" i="25"/>
  <c r="CD30" i="25"/>
  <c r="BQ30" i="25"/>
  <c r="BS30" i="25"/>
  <c r="AF30" i="25"/>
  <c r="BF30" i="25"/>
  <c r="AS30" i="25"/>
  <c r="AR30" i="25"/>
  <c r="BR30" i="25"/>
  <c r="R30" i="25"/>
  <c r="S44" i="144"/>
  <c r="N44" i="144"/>
  <c r="P44" i="144"/>
  <c r="G54" i="36"/>
  <c r="E54" i="36"/>
  <c r="B55" i="36"/>
  <c r="F54" i="36"/>
  <c r="D54" i="36"/>
  <c r="S42" i="92"/>
  <c r="S40" i="9"/>
  <c r="AH65" i="143"/>
  <c r="X65" i="144" s="1"/>
  <c r="Z46" i="143"/>
  <c r="I46" i="144" s="1"/>
  <c r="AA45" i="143"/>
  <c r="J45" i="144" s="1"/>
  <c r="Z45" i="143"/>
  <c r="I45" i="144" s="1"/>
  <c r="AA46" i="143"/>
  <c r="J46" i="144" s="1"/>
  <c r="Y45" i="143"/>
  <c r="H45" i="144" s="1"/>
  <c r="Y46" i="143"/>
  <c r="H46" i="144" s="1"/>
  <c r="I53" i="36"/>
  <c r="AJ65" i="143"/>
  <c r="Z65" i="144" s="1"/>
  <c r="L58" i="35"/>
  <c r="AG65" i="143"/>
  <c r="AE41" i="143"/>
  <c r="V41" i="144" s="1"/>
  <c r="AE40" i="143"/>
  <c r="V40" i="144" s="1"/>
  <c r="M74" i="143"/>
  <c r="AE39" i="144"/>
  <c r="AH39" i="144"/>
  <c r="AB39" i="144"/>
  <c r="AG39" i="144"/>
  <c r="AG55" i="143"/>
  <c r="AG56" i="143"/>
  <c r="X30" i="143"/>
  <c r="AE55" i="143"/>
  <c r="V55" i="144" s="1"/>
  <c r="AB55" i="144" s="1"/>
  <c r="X66" i="143"/>
  <c r="Y66" i="143"/>
  <c r="H66" i="144" s="1"/>
  <c r="Y65" i="143"/>
  <c r="H65" i="144" s="1"/>
  <c r="Z66" i="143"/>
  <c r="I66" i="144" s="1"/>
  <c r="Z65" i="143"/>
  <c r="I65" i="144" s="1"/>
  <c r="AA65" i="143"/>
  <c r="J65" i="144" s="1"/>
  <c r="AA66" i="143"/>
  <c r="J66" i="144" s="1"/>
  <c r="AB30" i="143"/>
  <c r="K30" i="144" s="1"/>
  <c r="H22" i="72"/>
  <c r="G22" i="21"/>
  <c r="AB50" i="143"/>
  <c r="K50" i="144" s="1"/>
  <c r="G48" i="36"/>
  <c r="G32" i="36"/>
  <c r="G28" i="36"/>
  <c r="G26" i="36"/>
  <c r="G36" i="36"/>
  <c r="G37" i="36"/>
  <c r="M44" i="92"/>
  <c r="M42" i="9"/>
  <c r="F29" i="36"/>
  <c r="F49" i="36"/>
  <c r="G47" i="36"/>
  <c r="G41" i="36"/>
  <c r="G35" i="36"/>
  <c r="G33" i="36"/>
  <c r="G40" i="36"/>
  <c r="G51" i="36"/>
  <c r="G31" i="36"/>
  <c r="G43" i="36"/>
  <c r="G34" i="36"/>
  <c r="G39" i="36"/>
  <c r="F36" i="36"/>
  <c r="F47" i="36"/>
  <c r="F33" i="36"/>
  <c r="F46" i="36"/>
  <c r="F35" i="36"/>
  <c r="F50" i="36"/>
  <c r="F41" i="36"/>
  <c r="F45" i="36"/>
  <c r="F37" i="36"/>
  <c r="F42" i="36"/>
  <c r="F30" i="36"/>
  <c r="F40" i="36"/>
  <c r="F51" i="36"/>
  <c r="F32" i="36"/>
  <c r="F27" i="36"/>
  <c r="F26" i="36"/>
  <c r="F31" i="36"/>
  <c r="F39" i="36"/>
  <c r="F38" i="36"/>
  <c r="F48" i="36"/>
  <c r="F44" i="36"/>
  <c r="F34" i="36"/>
  <c r="F43" i="36"/>
  <c r="G44" i="36"/>
  <c r="G42" i="36"/>
  <c r="G46" i="36"/>
  <c r="G27" i="36"/>
  <c r="G29" i="36"/>
  <c r="D42" i="36"/>
  <c r="D36" i="36"/>
  <c r="D35" i="36"/>
  <c r="D47" i="36"/>
  <c r="D40" i="36"/>
  <c r="D27" i="36"/>
  <c r="D51" i="36"/>
  <c r="D48" i="36"/>
  <c r="D30" i="36"/>
  <c r="D32" i="36"/>
  <c r="D41" i="36"/>
  <c r="D39" i="36"/>
  <c r="D50" i="36"/>
  <c r="D38" i="36"/>
  <c r="D45" i="36"/>
  <c r="D49" i="36"/>
  <c r="D26" i="36"/>
  <c r="D44" i="36"/>
  <c r="D31" i="36"/>
  <c r="D28" i="36"/>
  <c r="D29" i="36"/>
  <c r="D46" i="36"/>
  <c r="D43" i="36"/>
  <c r="D37" i="36"/>
  <c r="D34" i="36"/>
  <c r="D33" i="36"/>
  <c r="G45" i="36"/>
  <c r="G38" i="36"/>
  <c r="G49" i="36"/>
  <c r="G30" i="36"/>
  <c r="X51" i="143"/>
  <c r="Z51" i="143"/>
  <c r="I51" i="144" s="1"/>
  <c r="Y51" i="143"/>
  <c r="H51" i="144" s="1"/>
  <c r="AA51" i="143"/>
  <c r="J51" i="144" s="1"/>
  <c r="Z50" i="143"/>
  <c r="I50" i="144" s="1"/>
  <c r="W48" i="92"/>
  <c r="W46" i="9"/>
  <c r="X50" i="143"/>
  <c r="AE35" i="144"/>
  <c r="AH35" i="144"/>
  <c r="AG35" i="144"/>
  <c r="AB35" i="144"/>
  <c r="AB56" i="144"/>
  <c r="AH56" i="144"/>
  <c r="AE56" i="144"/>
  <c r="AG56" i="144"/>
  <c r="AF35" i="143"/>
  <c r="W35" i="144" s="1"/>
  <c r="N72" i="143"/>
  <c r="AF71" i="143" s="1"/>
  <c r="AE36" i="144"/>
  <c r="AH36" i="144"/>
  <c r="AB36" i="144"/>
  <c r="AG36" i="144"/>
  <c r="E48" i="36"/>
  <c r="E31" i="36"/>
  <c r="E43" i="36"/>
  <c r="E50" i="36"/>
  <c r="E36" i="36"/>
  <c r="E29" i="36"/>
  <c r="E47" i="36"/>
  <c r="E51" i="36"/>
  <c r="E45" i="36"/>
  <c r="E35" i="36"/>
  <c r="E33" i="36"/>
  <c r="E39" i="36"/>
  <c r="E26" i="36"/>
  <c r="E46" i="36"/>
  <c r="E38" i="36"/>
  <c r="E28" i="36"/>
  <c r="E30" i="36"/>
  <c r="E40" i="36"/>
  <c r="E42" i="36"/>
  <c r="E34" i="36"/>
  <c r="E49" i="36"/>
  <c r="E41" i="36"/>
  <c r="E37" i="36"/>
  <c r="E44" i="36"/>
  <c r="E32" i="36"/>
  <c r="E27" i="36"/>
  <c r="AF70" i="143"/>
  <c r="Y50" i="143"/>
  <c r="H50" i="144" s="1"/>
  <c r="S59" i="144"/>
  <c r="N59" i="144"/>
  <c r="P59" i="144"/>
  <c r="M50" i="132"/>
  <c r="K50" i="132" s="1"/>
  <c r="G35" i="9"/>
  <c r="G37" i="92"/>
  <c r="F74" i="143"/>
  <c r="V46" i="9"/>
  <c r="V48" i="92"/>
  <c r="B32" i="115"/>
  <c r="A31" i="115"/>
  <c r="AK45" i="143"/>
  <c r="AA45" i="144" s="1"/>
  <c r="AD61" i="144"/>
  <c r="AF61" i="144"/>
  <c r="AI61" i="144"/>
  <c r="N31" i="16"/>
  <c r="B30" i="96"/>
  <c r="C31" i="96"/>
  <c r="O72" i="143"/>
  <c r="AJ71" i="143" s="1"/>
  <c r="AJ70" i="143"/>
  <c r="AI70" i="143"/>
  <c r="AH70" i="143"/>
  <c r="Z61" i="143"/>
  <c r="I61" i="144" s="1"/>
  <c r="AA61" i="143"/>
  <c r="J61" i="144" s="1"/>
  <c r="Y61" i="143"/>
  <c r="H61" i="144" s="1"/>
  <c r="N56" i="35"/>
  <c r="AF55" i="144"/>
  <c r="AA60" i="143"/>
  <c r="J60" i="144" s="1"/>
  <c r="N49" i="144"/>
  <c r="S49" i="144"/>
  <c r="P49" i="144"/>
  <c r="Y60" i="143"/>
  <c r="H60" i="144" s="1"/>
  <c r="AA50" i="143"/>
  <c r="J50" i="144" s="1"/>
  <c r="B45" i="28"/>
  <c r="J37" i="9"/>
  <c r="J39" i="92"/>
  <c r="AD55" i="143"/>
  <c r="U55" i="144" s="1"/>
  <c r="AC55" i="144" s="1"/>
  <c r="Q65" i="144"/>
  <c r="L65" i="144"/>
  <c r="O65" i="144"/>
  <c r="R65" i="144"/>
  <c r="B38" i="42"/>
  <c r="H35" i="132" s="1"/>
  <c r="AB51" i="144"/>
  <c r="AE51" i="144"/>
  <c r="AG51" i="144"/>
  <c r="AH51" i="144"/>
  <c r="P74" i="143"/>
  <c r="AG73" i="143" s="1"/>
  <c r="W30" i="143"/>
  <c r="G30" i="144" s="1"/>
  <c r="D36" i="143"/>
  <c r="T36" i="143" s="1"/>
  <c r="D36" i="144" s="1"/>
  <c r="AF31" i="144"/>
  <c r="AI31" i="144"/>
  <c r="AD31" i="144"/>
  <c r="M60" i="35"/>
  <c r="AB50" i="144"/>
  <c r="AE50" i="144"/>
  <c r="AG50" i="144"/>
  <c r="AH50" i="144"/>
  <c r="S31" i="144"/>
  <c r="P31" i="144"/>
  <c r="N31" i="144"/>
  <c r="J73" i="143"/>
  <c r="AB72" i="143" s="1"/>
  <c r="H75" i="143"/>
  <c r="AA74" i="143" s="1"/>
  <c r="AI51" i="143"/>
  <c r="Y51" i="144" s="1"/>
  <c r="AH51" i="143"/>
  <c r="X51" i="144" s="1"/>
  <c r="AJ51" i="143"/>
  <c r="Z51" i="144" s="1"/>
  <c r="L66" i="144"/>
  <c r="Q66" i="144"/>
  <c r="O66" i="144"/>
  <c r="R66" i="144"/>
  <c r="B28" i="72"/>
  <c r="B29" i="72" s="1"/>
  <c r="AI65" i="144"/>
  <c r="AF65" i="144"/>
  <c r="AD65" i="144"/>
  <c r="AU62" i="155"/>
  <c r="AR63" i="155"/>
  <c r="O59" i="35"/>
  <c r="AJ50" i="143"/>
  <c r="Z50" i="144" s="1"/>
  <c r="E75" i="143"/>
  <c r="U74" i="143" s="1"/>
  <c r="J59" i="35"/>
  <c r="Q73" i="143"/>
  <c r="AH50" i="143"/>
  <c r="X50" i="144" s="1"/>
  <c r="K58" i="35"/>
  <c r="B57" i="143"/>
  <c r="S56" i="143" s="1"/>
  <c r="B56" i="145" s="1"/>
  <c r="B56" i="146" s="1"/>
  <c r="AH66" i="143"/>
  <c r="X66" i="144" s="1"/>
  <c r="AG66" i="143"/>
  <c r="AI66" i="143"/>
  <c r="Y66" i="144" s="1"/>
  <c r="AJ66" i="143"/>
  <c r="Z66" i="144" s="1"/>
  <c r="G73" i="143"/>
  <c r="W72" i="143" s="1"/>
  <c r="AR59" i="157"/>
  <c r="AU58" i="157"/>
  <c r="AK71" i="143"/>
  <c r="P37" i="92"/>
  <c r="P35" i="9"/>
  <c r="L75" i="143"/>
  <c r="AD74" i="143" s="1"/>
  <c r="AF30" i="143"/>
  <c r="W30" i="144" s="1"/>
  <c r="AI49" i="144"/>
  <c r="AF49" i="144"/>
  <c r="AD49" i="144"/>
  <c r="AD64" i="144"/>
  <c r="AI64" i="144"/>
  <c r="AF64" i="144"/>
  <c r="Z73" i="143"/>
  <c r="AD73" i="143"/>
  <c r="T34" i="143"/>
  <c r="D34" i="144" s="1"/>
  <c r="AF30" i="144"/>
  <c r="AD30" i="144"/>
  <c r="AI30" i="144"/>
  <c r="Y73" i="143"/>
  <c r="L31" i="16" l="1"/>
  <c r="D31" i="16"/>
  <c r="F31" i="16"/>
  <c r="I31" i="16"/>
  <c r="E31" i="16"/>
  <c r="J31" i="16"/>
  <c r="K31" i="16"/>
  <c r="O31" i="16"/>
  <c r="G31" i="16"/>
  <c r="B32" i="16"/>
  <c r="AF44" i="144"/>
  <c r="AI44" i="144"/>
  <c r="AD44" i="144"/>
  <c r="N30" i="144"/>
  <c r="AJ45" i="143"/>
  <c r="Z45" i="144" s="1"/>
  <c r="AJ46" i="143"/>
  <c r="Z46" i="144" s="1"/>
  <c r="AH45" i="143"/>
  <c r="X45" i="144" s="1"/>
  <c r="AI46" i="143"/>
  <c r="Y46" i="144" s="1"/>
  <c r="AI45" i="143"/>
  <c r="Y45" i="144" s="1"/>
  <c r="AH46" i="143"/>
  <c r="X46" i="144" s="1"/>
  <c r="H31" i="16"/>
  <c r="M31" i="16"/>
  <c r="G62" i="90"/>
  <c r="AD55" i="144"/>
  <c r="AF56" i="144"/>
  <c r="AD56" i="144"/>
  <c r="P30" i="144"/>
  <c r="X45" i="143"/>
  <c r="X46" i="143"/>
  <c r="AG60" i="144"/>
  <c r="AE60" i="144"/>
  <c r="Y28" i="20"/>
  <c r="X28" i="20"/>
  <c r="AF60" i="143"/>
  <c r="W60" i="144" s="1"/>
  <c r="T55" i="143"/>
  <c r="D55" i="144" s="1"/>
  <c r="S30" i="20"/>
  <c r="B30" i="20"/>
  <c r="C31" i="20"/>
  <c r="N29" i="20"/>
  <c r="F29" i="20"/>
  <c r="M29" i="20"/>
  <c r="E29" i="20"/>
  <c r="L29" i="20"/>
  <c r="D29" i="20"/>
  <c r="K29" i="20"/>
  <c r="J29" i="20"/>
  <c r="H29" i="20"/>
  <c r="Q29" i="20"/>
  <c r="I29" i="20"/>
  <c r="P29" i="20"/>
  <c r="O29" i="20"/>
  <c r="G29" i="20"/>
  <c r="V35" i="143"/>
  <c r="F35" i="144" s="1"/>
  <c r="O35" i="144" s="1"/>
  <c r="AC71" i="143"/>
  <c r="K73" i="143"/>
  <c r="AC72" i="143" s="1"/>
  <c r="AB49" i="144"/>
  <c r="AE49" i="144"/>
  <c r="AH49" i="144"/>
  <c r="AG49" i="144"/>
  <c r="AC70" i="143"/>
  <c r="AG30" i="25"/>
  <c r="W45" i="143"/>
  <c r="G45" i="144" s="1"/>
  <c r="D74" i="143"/>
  <c r="D75" i="143" s="1"/>
  <c r="Q35" i="144"/>
  <c r="O36" i="144"/>
  <c r="R36" i="144"/>
  <c r="L36" i="144"/>
  <c r="Q36" i="144"/>
  <c r="P55" i="144"/>
  <c r="N55" i="144"/>
  <c r="S55" i="144"/>
  <c r="T50" i="143"/>
  <c r="D50" i="144" s="1"/>
  <c r="N56" i="144"/>
  <c r="S56" i="144"/>
  <c r="P56" i="144"/>
  <c r="F28" i="132"/>
  <c r="I28" i="132" s="1"/>
  <c r="G28" i="132"/>
  <c r="J28" i="132" s="1"/>
  <c r="B32" i="91"/>
  <c r="I32" i="36"/>
  <c r="AI71" i="143"/>
  <c r="I47" i="36"/>
  <c r="L30" i="144"/>
  <c r="R30" i="144"/>
  <c r="Q30" i="144"/>
  <c r="O30" i="144"/>
  <c r="AG55" i="144"/>
  <c r="S35" i="144"/>
  <c r="N35" i="144"/>
  <c r="P35" i="144"/>
  <c r="P36" i="144"/>
  <c r="S36" i="144"/>
  <c r="N36" i="144"/>
  <c r="Z74" i="143"/>
  <c r="AE55" i="144"/>
  <c r="AH55" i="144"/>
  <c r="I77" i="143"/>
  <c r="X76" i="143" s="1"/>
  <c r="BT30" i="25"/>
  <c r="H54" i="36"/>
  <c r="I54" i="36"/>
  <c r="S43" i="92"/>
  <c r="S41" i="9"/>
  <c r="N65" i="144"/>
  <c r="P65" i="144"/>
  <c r="S65" i="144"/>
  <c r="AG40" i="144"/>
  <c r="AH40" i="144"/>
  <c r="AB40" i="144"/>
  <c r="AE40" i="144"/>
  <c r="CG30" i="25"/>
  <c r="G30" i="25"/>
  <c r="S66" i="144"/>
  <c r="N66" i="144"/>
  <c r="P66" i="144"/>
  <c r="M75" i="143"/>
  <c r="AE74" i="143" s="1"/>
  <c r="AB41" i="144"/>
  <c r="AH41" i="144"/>
  <c r="AG41" i="144"/>
  <c r="AE41" i="144"/>
  <c r="S46" i="144"/>
  <c r="N46" i="144"/>
  <c r="P46" i="144"/>
  <c r="BG30" i="25"/>
  <c r="AT30" i="25"/>
  <c r="F55" i="36"/>
  <c r="G55" i="36"/>
  <c r="E55" i="36"/>
  <c r="B56" i="36"/>
  <c r="D55" i="36"/>
  <c r="L59" i="35"/>
  <c r="P45" i="144"/>
  <c r="N45" i="144"/>
  <c r="S45" i="144"/>
  <c r="T30" i="25"/>
  <c r="H22" i="21"/>
  <c r="I22" i="72"/>
  <c r="BQ31" i="25"/>
  <c r="R31" i="25"/>
  <c r="BE31" i="25"/>
  <c r="AF31" i="25"/>
  <c r="BR31" i="25"/>
  <c r="BD31" i="25"/>
  <c r="E31" i="25"/>
  <c r="AS31" i="25"/>
  <c r="CF31" i="25"/>
  <c r="CD31" i="25"/>
  <c r="F31" i="25"/>
  <c r="BF31" i="25"/>
  <c r="AR31" i="25"/>
  <c r="AE31" i="25"/>
  <c r="CE31" i="25"/>
  <c r="Q31" i="25"/>
  <c r="BS31" i="25"/>
  <c r="D31" i="25"/>
  <c r="AQ31" i="25"/>
  <c r="AD31" i="25"/>
  <c r="S31" i="25"/>
  <c r="AE73" i="143"/>
  <c r="B32" i="25"/>
  <c r="C33" i="25"/>
  <c r="M45" i="92"/>
  <c r="M43" i="9"/>
  <c r="I44" i="36"/>
  <c r="I51" i="36"/>
  <c r="I30" i="36"/>
  <c r="S40" i="155"/>
  <c r="H38" i="36"/>
  <c r="S40" i="157"/>
  <c r="S31" i="157"/>
  <c r="S31" i="155"/>
  <c r="H29" i="36"/>
  <c r="S52" i="157"/>
  <c r="S52" i="155"/>
  <c r="H50" i="36"/>
  <c r="S42" i="157"/>
  <c r="S42" i="155"/>
  <c r="H40" i="36"/>
  <c r="H28" i="36"/>
  <c r="S30" i="157"/>
  <c r="S30" i="155"/>
  <c r="S41" i="157"/>
  <c r="H39" i="36"/>
  <c r="S41" i="155"/>
  <c r="H47" i="36"/>
  <c r="S49" i="155"/>
  <c r="S49" i="157"/>
  <c r="S33" i="155"/>
  <c r="S33" i="157"/>
  <c r="H31" i="36"/>
  <c r="H41" i="36"/>
  <c r="S43" i="155"/>
  <c r="S43" i="157"/>
  <c r="S37" i="157"/>
  <c r="H35" i="36"/>
  <c r="S37" i="155"/>
  <c r="S35" i="155"/>
  <c r="H33" i="36"/>
  <c r="S35" i="157"/>
  <c r="S46" i="155"/>
  <c r="S46" i="157"/>
  <c r="H44" i="36"/>
  <c r="H32" i="36"/>
  <c r="S34" i="155"/>
  <c r="S34" i="157"/>
  <c r="S38" i="155"/>
  <c r="S38" i="157"/>
  <c r="H36" i="36"/>
  <c r="S48" i="157"/>
  <c r="S48" i="155"/>
  <c r="H46" i="36"/>
  <c r="H34" i="36"/>
  <c r="S36" i="155"/>
  <c r="S36" i="157"/>
  <c r="S28" i="155"/>
  <c r="H26" i="36"/>
  <c r="S28" i="157"/>
  <c r="S32" i="155"/>
  <c r="S32" i="157"/>
  <c r="H30" i="36"/>
  <c r="H42" i="36"/>
  <c r="S44" i="155"/>
  <c r="S44" i="157"/>
  <c r="S39" i="157"/>
  <c r="S39" i="155"/>
  <c r="H37" i="36"/>
  <c r="S51" i="157"/>
  <c r="S51" i="155"/>
  <c r="H49" i="36"/>
  <c r="S50" i="155"/>
  <c r="S50" i="157"/>
  <c r="H48" i="36"/>
  <c r="S29" i="157"/>
  <c r="S29" i="155"/>
  <c r="H27" i="36"/>
  <c r="H43" i="36"/>
  <c r="S45" i="155"/>
  <c r="S45" i="157"/>
  <c r="S47" i="157"/>
  <c r="H45" i="36"/>
  <c r="S47" i="155"/>
  <c r="S53" i="155"/>
  <c r="S54" i="155" s="1"/>
  <c r="S55" i="155" s="1"/>
  <c r="S56" i="155" s="1"/>
  <c r="S57" i="155" s="1"/>
  <c r="S58" i="155" s="1"/>
  <c r="S59" i="155" s="1"/>
  <c r="S60" i="155" s="1"/>
  <c r="S61" i="155" s="1"/>
  <c r="S62" i="155" s="1"/>
  <c r="S63" i="155" s="1"/>
  <c r="S64" i="155" s="1"/>
  <c r="S65" i="155" s="1"/>
  <c r="S66" i="155" s="1"/>
  <c r="S67" i="155" s="1"/>
  <c r="S68" i="155" s="1"/>
  <c r="S69" i="155" s="1"/>
  <c r="S70" i="155" s="1"/>
  <c r="S71" i="155" s="1"/>
  <c r="S72" i="155" s="1"/>
  <c r="S73" i="155" s="1"/>
  <c r="S74" i="155" s="1"/>
  <c r="S75" i="155" s="1"/>
  <c r="S76" i="155" s="1"/>
  <c r="S77" i="155" s="1"/>
  <c r="S78" i="155" s="1"/>
  <c r="H51" i="36"/>
  <c r="S53" i="157"/>
  <c r="S54" i="157" s="1"/>
  <c r="S55" i="157" s="1"/>
  <c r="S56" i="157" s="1"/>
  <c r="S57" i="157" s="1"/>
  <c r="S58" i="157" s="1"/>
  <c r="S59" i="157" s="1"/>
  <c r="S60" i="157" s="1"/>
  <c r="S61" i="157" s="1"/>
  <c r="S62" i="157" s="1"/>
  <c r="S63" i="157" s="1"/>
  <c r="S64" i="157" s="1"/>
  <c r="S65" i="157" s="1"/>
  <c r="S66" i="157" s="1"/>
  <c r="S67" i="157" s="1"/>
  <c r="S68" i="157" s="1"/>
  <c r="S69" i="157" s="1"/>
  <c r="S70" i="157" s="1"/>
  <c r="S71" i="157" s="1"/>
  <c r="S72" i="157" s="1"/>
  <c r="S73" i="157" s="1"/>
  <c r="S74" i="157" s="1"/>
  <c r="S75" i="157" s="1"/>
  <c r="S76" i="157" s="1"/>
  <c r="S77" i="157" s="1"/>
  <c r="S78" i="157" s="1"/>
  <c r="M32" i="16"/>
  <c r="N32" i="16"/>
  <c r="O32" i="16"/>
  <c r="B33" i="16"/>
  <c r="G38" i="92"/>
  <c r="G36" i="9"/>
  <c r="T41" i="157"/>
  <c r="T41" i="155"/>
  <c r="W47" i="9"/>
  <c r="W49" i="92"/>
  <c r="T44" i="155"/>
  <c r="T44" i="157"/>
  <c r="I42" i="36"/>
  <c r="T35" i="155"/>
  <c r="T35" i="157"/>
  <c r="I33" i="36"/>
  <c r="T45" i="157"/>
  <c r="I43" i="36"/>
  <c r="T45" i="155"/>
  <c r="N73" i="143"/>
  <c r="AF72" i="143" s="1"/>
  <c r="T51" i="157"/>
  <c r="T51" i="155"/>
  <c r="T36" i="157"/>
  <c r="I34" i="36"/>
  <c r="T36" i="155"/>
  <c r="T52" i="157"/>
  <c r="T52" i="155"/>
  <c r="I50" i="36"/>
  <c r="P60" i="144"/>
  <c r="N60" i="144"/>
  <c r="S60" i="144"/>
  <c r="O73" i="143"/>
  <c r="AH72" i="143" s="1"/>
  <c r="AH71" i="143"/>
  <c r="M51" i="132"/>
  <c r="I27" i="36"/>
  <c r="T29" i="157"/>
  <c r="T29" i="155"/>
  <c r="T42" i="157"/>
  <c r="T42" i="155"/>
  <c r="T37" i="155"/>
  <c r="I35" i="36"/>
  <c r="T37" i="157"/>
  <c r="T33" i="157"/>
  <c r="I31" i="36"/>
  <c r="T33" i="155"/>
  <c r="I39" i="36"/>
  <c r="P61" i="144"/>
  <c r="S61" i="144"/>
  <c r="N61" i="144"/>
  <c r="C32" i="96"/>
  <c r="B31" i="96"/>
  <c r="B33" i="115"/>
  <c r="A32" i="115"/>
  <c r="T34" i="155"/>
  <c r="T34" i="157"/>
  <c r="T32" i="157"/>
  <c r="T32" i="155"/>
  <c r="T47" i="155"/>
  <c r="T47" i="157"/>
  <c r="I45" i="36"/>
  <c r="T50" i="157"/>
  <c r="T50" i="155"/>
  <c r="S51" i="144"/>
  <c r="P51" i="144"/>
  <c r="N51" i="144"/>
  <c r="I48" i="36"/>
  <c r="V47" i="9"/>
  <c r="V49" i="92"/>
  <c r="T46" i="155"/>
  <c r="T46" i="157"/>
  <c r="I28" i="36"/>
  <c r="T30" i="155"/>
  <c r="T30" i="157"/>
  <c r="T53" i="157"/>
  <c r="T54" i="157" s="1"/>
  <c r="T55" i="157" s="1"/>
  <c r="T56" i="157" s="1"/>
  <c r="T57" i="157" s="1"/>
  <c r="T58" i="157" s="1"/>
  <c r="T59" i="157" s="1"/>
  <c r="T60" i="157" s="1"/>
  <c r="T61" i="157" s="1"/>
  <c r="T62" i="157" s="1"/>
  <c r="T63" i="157" s="1"/>
  <c r="T64" i="157" s="1"/>
  <c r="T65" i="157" s="1"/>
  <c r="T66" i="157" s="1"/>
  <c r="T67" i="157" s="1"/>
  <c r="T68" i="157" s="1"/>
  <c r="T69" i="157" s="1"/>
  <c r="T70" i="157" s="1"/>
  <c r="T71" i="157" s="1"/>
  <c r="T72" i="157" s="1"/>
  <c r="T73" i="157" s="1"/>
  <c r="T74" i="157" s="1"/>
  <c r="T75" i="157" s="1"/>
  <c r="T76" i="157" s="1"/>
  <c r="T77" i="157" s="1"/>
  <c r="T78" i="157" s="1"/>
  <c r="T53" i="155"/>
  <c r="T54" i="155" s="1"/>
  <c r="T55" i="155" s="1"/>
  <c r="T56" i="155" s="1"/>
  <c r="T57" i="155" s="1"/>
  <c r="T58" i="155" s="1"/>
  <c r="T59" i="155" s="1"/>
  <c r="T60" i="155" s="1"/>
  <c r="T61" i="155" s="1"/>
  <c r="T62" i="155" s="1"/>
  <c r="T63" i="155" s="1"/>
  <c r="T64" i="155" s="1"/>
  <c r="T65" i="155" s="1"/>
  <c r="T66" i="155" s="1"/>
  <c r="T67" i="155" s="1"/>
  <c r="T68" i="155" s="1"/>
  <c r="T69" i="155" s="1"/>
  <c r="T70" i="155" s="1"/>
  <c r="T71" i="155" s="1"/>
  <c r="T72" i="155" s="1"/>
  <c r="T73" i="155" s="1"/>
  <c r="T74" i="155" s="1"/>
  <c r="T75" i="155" s="1"/>
  <c r="T76" i="155" s="1"/>
  <c r="T77" i="155" s="1"/>
  <c r="T78" i="155" s="1"/>
  <c r="T28" i="157"/>
  <c r="I26" i="36"/>
  <c r="T28" i="155"/>
  <c r="T39" i="155"/>
  <c r="T39" i="157"/>
  <c r="I37" i="36"/>
  <c r="T40" i="155"/>
  <c r="T40" i="157"/>
  <c r="I38" i="36"/>
  <c r="T49" i="157"/>
  <c r="T49" i="155"/>
  <c r="F75" i="143"/>
  <c r="V74" i="143" s="1"/>
  <c r="S50" i="144"/>
  <c r="P50" i="144"/>
  <c r="N50" i="144"/>
  <c r="N57" i="35"/>
  <c r="I49" i="36"/>
  <c r="V73" i="143"/>
  <c r="I41" i="36"/>
  <c r="T43" i="155"/>
  <c r="T43" i="157"/>
  <c r="T48" i="155"/>
  <c r="T48" i="157"/>
  <c r="I46" i="36"/>
  <c r="T31" i="155"/>
  <c r="I29" i="36"/>
  <c r="T31" i="157"/>
  <c r="I40" i="36"/>
  <c r="T38" i="157"/>
  <c r="T38" i="155"/>
  <c r="I36" i="36"/>
  <c r="AF50" i="144"/>
  <c r="AI50" i="144"/>
  <c r="AD50" i="144"/>
  <c r="K59" i="35"/>
  <c r="O60" i="35"/>
  <c r="P75" i="143"/>
  <c r="J40" i="92"/>
  <c r="J38" i="9"/>
  <c r="AR60" i="157"/>
  <c r="AU59" i="157"/>
  <c r="J60" i="35"/>
  <c r="H76" i="143"/>
  <c r="AA75" i="143" s="1"/>
  <c r="Q74" i="143"/>
  <c r="AK73" i="143" s="1"/>
  <c r="AU63" i="155"/>
  <c r="AR64" i="155"/>
  <c r="M61" i="35"/>
  <c r="L76" i="143"/>
  <c r="AF51" i="144"/>
  <c r="AI51" i="144"/>
  <c r="AD51" i="144"/>
  <c r="J74" i="143"/>
  <c r="AB73" i="143" s="1"/>
  <c r="B46" i="28"/>
  <c r="P38" i="92"/>
  <c r="P36" i="9"/>
  <c r="G74" i="143"/>
  <c r="W73" i="143" s="1"/>
  <c r="B58" i="143"/>
  <c r="S57" i="143" s="1"/>
  <c r="B57" i="145" s="1"/>
  <c r="B57" i="146" s="1"/>
  <c r="E76" i="143"/>
  <c r="U75" i="143" s="1"/>
  <c r="AF66" i="144"/>
  <c r="AI66" i="144"/>
  <c r="AD66" i="144"/>
  <c r="AK72" i="143"/>
  <c r="Y74" i="143"/>
  <c r="T35" i="143"/>
  <c r="D35" i="144" s="1"/>
  <c r="B39" i="42"/>
  <c r="AD45" i="144" l="1"/>
  <c r="AF45" i="144"/>
  <c r="AI45" i="144"/>
  <c r="T73" i="143"/>
  <c r="E32" i="16"/>
  <c r="F32" i="16"/>
  <c r="I32" i="16"/>
  <c r="J32" i="16"/>
  <c r="K32" i="16"/>
  <c r="D32" i="16"/>
  <c r="L32" i="16"/>
  <c r="H32" i="16"/>
  <c r="G32" i="16"/>
  <c r="K33" i="16"/>
  <c r="F33" i="16"/>
  <c r="I33" i="16"/>
  <c r="J33" i="16"/>
  <c r="D33" i="16"/>
  <c r="L33" i="16"/>
  <c r="E33" i="16"/>
  <c r="H33" i="16"/>
  <c r="G33" i="16"/>
  <c r="AI46" i="144"/>
  <c r="AF46" i="144"/>
  <c r="AD46" i="144"/>
  <c r="R35" i="144"/>
  <c r="K51" i="132"/>
  <c r="B31" i="20"/>
  <c r="C32" i="20"/>
  <c r="S31" i="20"/>
  <c r="K30" i="20"/>
  <c r="F30" i="20"/>
  <c r="Q30" i="20"/>
  <c r="H30" i="20"/>
  <c r="I30" i="20"/>
  <c r="O30" i="20"/>
  <c r="M30" i="20"/>
  <c r="N30" i="20"/>
  <c r="D30" i="20"/>
  <c r="G30" i="20"/>
  <c r="L30" i="20"/>
  <c r="J30" i="20"/>
  <c r="E30" i="20"/>
  <c r="P30" i="20"/>
  <c r="L35" i="144"/>
  <c r="K74" i="143"/>
  <c r="K75" i="143" s="1"/>
  <c r="B33" i="91"/>
  <c r="F30" i="132" s="1"/>
  <c r="I30" i="132" s="1"/>
  <c r="G29" i="132"/>
  <c r="J29" i="132" s="1"/>
  <c r="G30" i="132"/>
  <c r="J30" i="132" s="1"/>
  <c r="T74" i="143"/>
  <c r="D76" i="143"/>
  <c r="F29" i="132"/>
  <c r="I29" i="132" s="1"/>
  <c r="BG31" i="25"/>
  <c r="I78" i="143"/>
  <c r="I79" i="143" s="1"/>
  <c r="AT31" i="25"/>
  <c r="G31" i="25"/>
  <c r="CG31" i="25"/>
  <c r="I55" i="36"/>
  <c r="BT31" i="25"/>
  <c r="L60" i="35"/>
  <c r="M76" i="143"/>
  <c r="C34" i="25"/>
  <c r="B33" i="25"/>
  <c r="J22" i="72"/>
  <c r="I22" i="21"/>
  <c r="H55" i="36"/>
  <c r="AD32" i="25"/>
  <c r="AF32" i="25"/>
  <c r="AS32" i="25"/>
  <c r="CD32" i="25"/>
  <c r="BS32" i="25"/>
  <c r="S32" i="25"/>
  <c r="BE32" i="25"/>
  <c r="BD32" i="25"/>
  <c r="E32" i="25"/>
  <c r="CF32" i="25"/>
  <c r="BR32" i="25"/>
  <c r="CE32" i="25"/>
  <c r="D32" i="25"/>
  <c r="AE32" i="25"/>
  <c r="AQ32" i="25"/>
  <c r="BQ32" i="25"/>
  <c r="Q32" i="25"/>
  <c r="R32" i="25"/>
  <c r="F32" i="25"/>
  <c r="BF32" i="25"/>
  <c r="AR32" i="25"/>
  <c r="B57" i="36"/>
  <c r="D56" i="36"/>
  <c r="G56" i="36"/>
  <c r="E56" i="36"/>
  <c r="F56" i="36"/>
  <c r="T31" i="25"/>
  <c r="AG31" i="25"/>
  <c r="S44" i="92"/>
  <c r="S42" i="9"/>
  <c r="M46" i="92"/>
  <c r="M44" i="9"/>
  <c r="C33" i="96"/>
  <c r="B32" i="96"/>
  <c r="N74" i="143"/>
  <c r="AF73" i="143" s="1"/>
  <c r="G37" i="9"/>
  <c r="G39" i="92"/>
  <c r="O74" i="143"/>
  <c r="AJ72" i="143"/>
  <c r="AI72" i="143"/>
  <c r="F76" i="143"/>
  <c r="W50" i="92"/>
  <c r="W48" i="9"/>
  <c r="N58" i="35"/>
  <c r="V50" i="92"/>
  <c r="V48" i="9"/>
  <c r="B34" i="115"/>
  <c r="A33" i="115"/>
  <c r="M52" i="132"/>
  <c r="K52" i="132" s="1"/>
  <c r="O33" i="16"/>
  <c r="N33" i="16"/>
  <c r="M33" i="16"/>
  <c r="B34" i="16"/>
  <c r="B30" i="72"/>
  <c r="AU64" i="155"/>
  <c r="AR65" i="155"/>
  <c r="O61" i="35"/>
  <c r="L77" i="143"/>
  <c r="Y75" i="143"/>
  <c r="AR61" i="157"/>
  <c r="AU60" i="157"/>
  <c r="P76" i="143"/>
  <c r="AG75" i="143" s="1"/>
  <c r="K60" i="35"/>
  <c r="B40" i="42"/>
  <c r="H37" i="132" s="1"/>
  <c r="H36" i="132"/>
  <c r="G75" i="143"/>
  <c r="W74" i="143" s="1"/>
  <c r="AD75" i="143"/>
  <c r="Z75" i="143"/>
  <c r="AG74" i="143"/>
  <c r="E77" i="143"/>
  <c r="B47" i="28"/>
  <c r="H77" i="143"/>
  <c r="AA76" i="143" s="1"/>
  <c r="J41" i="92"/>
  <c r="J39" i="9"/>
  <c r="J61" i="35"/>
  <c r="B59" i="143"/>
  <c r="P39" i="92"/>
  <c r="P37" i="9"/>
  <c r="J75" i="143"/>
  <c r="AB74" i="143" s="1"/>
  <c r="M62" i="35"/>
  <c r="Q75" i="143"/>
  <c r="AK74" i="143" s="1"/>
  <c r="F34" i="16" l="1"/>
  <c r="D34" i="16"/>
  <c r="I34" i="16"/>
  <c r="J34" i="16"/>
  <c r="E34" i="16"/>
  <c r="L34" i="16"/>
  <c r="K34" i="16"/>
  <c r="G34" i="16"/>
  <c r="H34" i="16"/>
  <c r="G64" i="90"/>
  <c r="G63" i="90"/>
  <c r="G32" i="25"/>
  <c r="AC73" i="143"/>
  <c r="AG31" i="20"/>
  <c r="AC31" i="20"/>
  <c r="AE31" i="20"/>
  <c r="V31" i="20"/>
  <c r="AA31" i="20"/>
  <c r="S32" i="20"/>
  <c r="C33" i="20"/>
  <c r="B32" i="20"/>
  <c r="N31" i="20"/>
  <c r="E31" i="20"/>
  <c r="G31" i="20"/>
  <c r="Q31" i="20"/>
  <c r="I31" i="20"/>
  <c r="O31" i="20"/>
  <c r="J31" i="20"/>
  <c r="H31" i="20"/>
  <c r="K31" i="20"/>
  <c r="L31" i="20"/>
  <c r="D31" i="20"/>
  <c r="P31" i="20"/>
  <c r="F31" i="20"/>
  <c r="M31" i="20"/>
  <c r="AC74" i="143"/>
  <c r="K76" i="143"/>
  <c r="T75" i="143"/>
  <c r="D77" i="143"/>
  <c r="B34" i="91"/>
  <c r="X77" i="143"/>
  <c r="Z76" i="143"/>
  <c r="X78" i="143"/>
  <c r="I80" i="143"/>
  <c r="I56" i="36"/>
  <c r="CG32" i="25"/>
  <c r="M77" i="143"/>
  <c r="S43" i="9"/>
  <c r="S45" i="92"/>
  <c r="T32" i="25"/>
  <c r="AG32" i="25"/>
  <c r="AE75" i="143"/>
  <c r="B34" i="25"/>
  <c r="C35" i="25"/>
  <c r="BT32" i="25"/>
  <c r="BG32" i="25"/>
  <c r="BE33" i="25"/>
  <c r="CE33" i="25"/>
  <c r="AS33" i="25"/>
  <c r="E33" i="25"/>
  <c r="BD33" i="25"/>
  <c r="AR33" i="25"/>
  <c r="S33" i="25"/>
  <c r="AE33" i="25"/>
  <c r="D33" i="25"/>
  <c r="BR33" i="25"/>
  <c r="R33" i="25"/>
  <c r="AF33" i="25"/>
  <c r="F33" i="25"/>
  <c r="CF33" i="25"/>
  <c r="BQ33" i="25"/>
  <c r="BF33" i="25"/>
  <c r="Q33" i="25"/>
  <c r="CD33" i="25"/>
  <c r="AD33" i="25"/>
  <c r="BS33" i="25"/>
  <c r="AQ33" i="25"/>
  <c r="H56" i="36"/>
  <c r="AT32" i="25"/>
  <c r="L61" i="35"/>
  <c r="F57" i="36"/>
  <c r="E57" i="36"/>
  <c r="D57" i="36"/>
  <c r="B58" i="36"/>
  <c r="G57" i="36"/>
  <c r="J22" i="21"/>
  <c r="K22" i="72"/>
  <c r="M45" i="9"/>
  <c r="M47" i="92"/>
  <c r="V49" i="9"/>
  <c r="V51" i="92"/>
  <c r="F77" i="143"/>
  <c r="F78" i="143" s="1"/>
  <c r="Y76" i="143"/>
  <c r="N75" i="143"/>
  <c r="AF74" i="143" s="1"/>
  <c r="M53" i="132"/>
  <c r="K53" i="132" s="1"/>
  <c r="N59" i="35"/>
  <c r="O75" i="143"/>
  <c r="AI73" i="143"/>
  <c r="AH73" i="143"/>
  <c r="AJ73" i="143"/>
  <c r="C34" i="96"/>
  <c r="B33" i="96"/>
  <c r="B35" i="115"/>
  <c r="A34" i="115"/>
  <c r="W51" i="92"/>
  <c r="W49" i="9"/>
  <c r="O34" i="16"/>
  <c r="M34" i="16"/>
  <c r="N34" i="16"/>
  <c r="B35" i="16"/>
  <c r="V75" i="143"/>
  <c r="G40" i="92"/>
  <c r="G38" i="9"/>
  <c r="J76" i="143"/>
  <c r="J62" i="35"/>
  <c r="J40" i="9"/>
  <c r="J42" i="92"/>
  <c r="B48" i="28"/>
  <c r="P77" i="143"/>
  <c r="AG76" i="143" s="1"/>
  <c r="Q76" i="143"/>
  <c r="AK75" i="143" s="1"/>
  <c r="E78" i="143"/>
  <c r="U77" i="143" s="1"/>
  <c r="AR62" i="157"/>
  <c r="AU61" i="157"/>
  <c r="O62" i="35"/>
  <c r="P38" i="9"/>
  <c r="P40" i="92"/>
  <c r="H78" i="143"/>
  <c r="AA77" i="143" s="1"/>
  <c r="U76" i="143"/>
  <c r="G76" i="143"/>
  <c r="W75" i="143" s="1"/>
  <c r="AU65" i="155"/>
  <c r="AR66" i="155"/>
  <c r="B41" i="42"/>
  <c r="M63" i="35"/>
  <c r="B60" i="143"/>
  <c r="K61" i="35"/>
  <c r="L78" i="143"/>
  <c r="S58" i="143"/>
  <c r="B58" i="145" s="1"/>
  <c r="B58" i="146" s="1"/>
  <c r="AD76" i="143"/>
  <c r="B31" i="72"/>
  <c r="J35" i="16" l="1"/>
  <c r="F35" i="16"/>
  <c r="D35" i="16"/>
  <c r="K35" i="16"/>
  <c r="I35" i="16"/>
  <c r="E35" i="16"/>
  <c r="L35" i="16"/>
  <c r="G35" i="16"/>
  <c r="H35" i="16"/>
  <c r="G65" i="90"/>
  <c r="V30" i="20"/>
  <c r="V29" i="20" s="1"/>
  <c r="V28" i="20" s="1"/>
  <c r="AA30" i="20"/>
  <c r="AA29" i="20" s="1"/>
  <c r="AA28" i="20" s="1"/>
  <c r="AE30" i="20"/>
  <c r="AE29" i="20" s="1"/>
  <c r="AE28" i="20" s="1"/>
  <c r="AC30" i="20"/>
  <c r="AC29" i="20" s="1"/>
  <c r="AC28" i="20" s="1"/>
  <c r="AG30" i="20"/>
  <c r="AG29" i="20" s="1"/>
  <c r="AG28" i="20" s="1"/>
  <c r="M32" i="20"/>
  <c r="AC32" i="20" s="1"/>
  <c r="N32" i="20"/>
  <c r="P32" i="20"/>
  <c r="D32" i="20"/>
  <c r="I32" i="20"/>
  <c r="G32" i="20"/>
  <c r="J32" i="20"/>
  <c r="Q32" i="20"/>
  <c r="AG32" i="20" s="1"/>
  <c r="F32" i="20"/>
  <c r="V32" i="20" s="1"/>
  <c r="H32" i="20"/>
  <c r="O32" i="20"/>
  <c r="AE32" i="20" s="1"/>
  <c r="K32" i="20"/>
  <c r="AA32" i="20" s="1"/>
  <c r="L32" i="20"/>
  <c r="E32" i="20"/>
  <c r="S33" i="20"/>
  <c r="C34" i="20"/>
  <c r="B33" i="20"/>
  <c r="AC75" i="143"/>
  <c r="K77" i="143"/>
  <c r="B35" i="91"/>
  <c r="F32" i="132" s="1"/>
  <c r="I32" i="132" s="1"/>
  <c r="G31" i="132"/>
  <c r="J31" i="132" s="1"/>
  <c r="F31" i="132"/>
  <c r="I31" i="132" s="1"/>
  <c r="T76" i="143"/>
  <c r="D78" i="143"/>
  <c r="T33" i="25"/>
  <c r="V76" i="143"/>
  <c r="X79" i="143"/>
  <c r="I81" i="143"/>
  <c r="CG33" i="25"/>
  <c r="H57" i="36"/>
  <c r="I57" i="36"/>
  <c r="AG33" i="25"/>
  <c r="G33" i="25"/>
  <c r="S44" i="9"/>
  <c r="S46" i="92"/>
  <c r="L22" i="72"/>
  <c r="K22" i="21"/>
  <c r="L62" i="35"/>
  <c r="BT33" i="25"/>
  <c r="M78" i="143"/>
  <c r="AE77" i="143" s="1"/>
  <c r="B35" i="25"/>
  <c r="C36" i="25"/>
  <c r="AE76" i="143"/>
  <c r="E58" i="36"/>
  <c r="D58" i="36"/>
  <c r="B59" i="36"/>
  <c r="F58" i="36"/>
  <c r="G58" i="36"/>
  <c r="AT33" i="25"/>
  <c r="BG33" i="25"/>
  <c r="BS34" i="25"/>
  <c r="E34" i="25"/>
  <c r="R34" i="25"/>
  <c r="CD34" i="25"/>
  <c r="AS34" i="25"/>
  <c r="AQ34" i="25"/>
  <c r="AE34" i="25"/>
  <c r="S34" i="25"/>
  <c r="AD34" i="25"/>
  <c r="BR34" i="25"/>
  <c r="CE34" i="25"/>
  <c r="AR34" i="25"/>
  <c r="F34" i="25"/>
  <c r="CF34" i="25"/>
  <c r="Q34" i="25"/>
  <c r="BE34" i="25"/>
  <c r="BQ34" i="25"/>
  <c r="BF34" i="25"/>
  <c r="BD34" i="25"/>
  <c r="D34" i="25"/>
  <c r="AF34" i="25"/>
  <c r="M48" i="92"/>
  <c r="M46" i="9"/>
  <c r="G41" i="92"/>
  <c r="G39" i="9"/>
  <c r="N76" i="143"/>
  <c r="AF75" i="143" s="1"/>
  <c r="W50" i="9"/>
  <c r="W52" i="92"/>
  <c r="O35" i="16"/>
  <c r="M35" i="16"/>
  <c r="B36" i="16"/>
  <c r="N35" i="16"/>
  <c r="O76" i="143"/>
  <c r="AJ75" i="143" s="1"/>
  <c r="AI74" i="143"/>
  <c r="AJ74" i="143"/>
  <c r="AH74" i="143"/>
  <c r="B36" i="115"/>
  <c r="A35" i="115"/>
  <c r="N60" i="35"/>
  <c r="V77" i="143"/>
  <c r="F79" i="143"/>
  <c r="F80" i="143" s="1"/>
  <c r="C35" i="96"/>
  <c r="B34" i="96"/>
  <c r="V50" i="9"/>
  <c r="V52" i="92"/>
  <c r="M54" i="132"/>
  <c r="K54" i="132" s="1"/>
  <c r="J41" i="9"/>
  <c r="J43" i="92"/>
  <c r="J77" i="143"/>
  <c r="AB76" i="143" s="1"/>
  <c r="AR67" i="155"/>
  <c r="AU66" i="155"/>
  <c r="G77" i="143"/>
  <c r="W76" i="143" s="1"/>
  <c r="E79" i="143"/>
  <c r="U78" i="143" s="1"/>
  <c r="M64" i="35"/>
  <c r="H79" i="143"/>
  <c r="Y78" i="143" s="1"/>
  <c r="O63" i="35"/>
  <c r="P78" i="143"/>
  <c r="AG77" i="143" s="1"/>
  <c r="H38" i="132"/>
  <c r="Z77" i="143"/>
  <c r="B49" i="28"/>
  <c r="J63" i="35"/>
  <c r="B42" i="42"/>
  <c r="L79" i="143"/>
  <c r="AD78" i="143" s="1"/>
  <c r="B61" i="143"/>
  <c r="S60" i="143" s="1"/>
  <c r="B60" i="145" s="1"/>
  <c r="B60" i="146" s="1"/>
  <c r="Y77" i="143"/>
  <c r="AR63" i="157"/>
  <c r="AU62" i="157"/>
  <c r="B32" i="72"/>
  <c r="AD77" i="143"/>
  <c r="S59" i="143"/>
  <c r="B59" i="145" s="1"/>
  <c r="B59" i="146" s="1"/>
  <c r="P39" i="9"/>
  <c r="P41" i="92"/>
  <c r="K62" i="35"/>
  <c r="Q77" i="143"/>
  <c r="AK76" i="143" s="1"/>
  <c r="AB75" i="143"/>
  <c r="L36" i="16" l="1"/>
  <c r="D36" i="16"/>
  <c r="K36" i="16"/>
  <c r="J36" i="16"/>
  <c r="E36" i="16"/>
  <c r="F36" i="16"/>
  <c r="I36" i="16"/>
  <c r="G36" i="16"/>
  <c r="H36" i="16"/>
  <c r="G66" i="90"/>
  <c r="B34" i="20"/>
  <c r="P34" i="20" s="1"/>
  <c r="C35" i="20"/>
  <c r="S34" i="20"/>
  <c r="N33" i="20"/>
  <c r="K33" i="20"/>
  <c r="AA33" i="20" s="1"/>
  <c r="H33" i="20"/>
  <c r="O33" i="20"/>
  <c r="AE33" i="20" s="1"/>
  <c r="L33" i="20"/>
  <c r="I33" i="20"/>
  <c r="D33" i="20"/>
  <c r="M33" i="20"/>
  <c r="AC33" i="20" s="1"/>
  <c r="G33" i="20"/>
  <c r="J33" i="20"/>
  <c r="P33" i="20"/>
  <c r="F33" i="20"/>
  <c r="V33" i="20" s="1"/>
  <c r="Q33" i="20"/>
  <c r="AG33" i="20" s="1"/>
  <c r="E33" i="20"/>
  <c r="AC76" i="143"/>
  <c r="K78" i="143"/>
  <c r="T77" i="143"/>
  <c r="D79" i="143"/>
  <c r="G32" i="132"/>
  <c r="J32" i="132" s="1"/>
  <c r="B36" i="91"/>
  <c r="BG34" i="25"/>
  <c r="G34" i="25"/>
  <c r="V78" i="143"/>
  <c r="X80" i="143"/>
  <c r="I82" i="143"/>
  <c r="I83" i="143" s="1"/>
  <c r="I58" i="36"/>
  <c r="H58" i="36"/>
  <c r="L63" i="35"/>
  <c r="BT34" i="25"/>
  <c r="AG34" i="25"/>
  <c r="B36" i="25"/>
  <c r="C37" i="25"/>
  <c r="L22" i="21"/>
  <c r="M22" i="72"/>
  <c r="T34" i="25"/>
  <c r="F35" i="25"/>
  <c r="AE35" i="25"/>
  <c r="Q35" i="25"/>
  <c r="E35" i="25"/>
  <c r="AS35" i="25"/>
  <c r="CE35" i="25"/>
  <c r="BS35" i="25"/>
  <c r="AQ35" i="25"/>
  <c r="R35" i="25"/>
  <c r="CF35" i="25"/>
  <c r="S35" i="25"/>
  <c r="CD35" i="25"/>
  <c r="BR35" i="25"/>
  <c r="BE35" i="25"/>
  <c r="BD35" i="25"/>
  <c r="AR35" i="25"/>
  <c r="AD35" i="25"/>
  <c r="D35" i="25"/>
  <c r="AF35" i="25"/>
  <c r="BF35" i="25"/>
  <c r="BQ35" i="25"/>
  <c r="S47" i="92"/>
  <c r="S45" i="9"/>
  <c r="K36" i="43" s="1"/>
  <c r="AT34" i="25"/>
  <c r="M79" i="143"/>
  <c r="CG34" i="25"/>
  <c r="F59" i="36"/>
  <c r="D59" i="36"/>
  <c r="E59" i="36"/>
  <c r="B60" i="36"/>
  <c r="G59" i="36"/>
  <c r="M49" i="92"/>
  <c r="M47" i="9"/>
  <c r="N61" i="35"/>
  <c r="O36" i="16"/>
  <c r="N36" i="16"/>
  <c r="M36" i="16"/>
  <c r="B37" i="16"/>
  <c r="W51" i="9"/>
  <c r="W53" i="92"/>
  <c r="V51" i="9"/>
  <c r="V53" i="92"/>
  <c r="O77" i="143"/>
  <c r="AH76" i="143" s="1"/>
  <c r="AH75" i="143"/>
  <c r="A36" i="115"/>
  <c r="B37" i="115"/>
  <c r="N77" i="143"/>
  <c r="AF76" i="143" s="1"/>
  <c r="C36" i="96"/>
  <c r="B35" i="96"/>
  <c r="AI75" i="143"/>
  <c r="M55" i="132"/>
  <c r="K55" i="132" s="1"/>
  <c r="V79" i="143"/>
  <c r="F81" i="143"/>
  <c r="F82" i="143" s="1"/>
  <c r="G40" i="9"/>
  <c r="G42" i="92"/>
  <c r="B50" i="28"/>
  <c r="AA78" i="143"/>
  <c r="AR68" i="155"/>
  <c r="AU67" i="155"/>
  <c r="P79" i="143"/>
  <c r="AG78" i="143" s="1"/>
  <c r="Z78" i="143"/>
  <c r="J78" i="143"/>
  <c r="B33" i="72"/>
  <c r="B62" i="143"/>
  <c r="M65" i="35"/>
  <c r="J42" i="9"/>
  <c r="J44" i="92"/>
  <c r="AR64" i="157"/>
  <c r="AU63" i="157"/>
  <c r="O64" i="35"/>
  <c r="G78" i="143"/>
  <c r="W77" i="143" s="1"/>
  <c r="K63" i="35"/>
  <c r="B43" i="42"/>
  <c r="Q78" i="143"/>
  <c r="AK77" i="143" s="1"/>
  <c r="J64" i="35"/>
  <c r="P42" i="92"/>
  <c r="P40" i="9"/>
  <c r="L80" i="143"/>
  <c r="H80" i="143"/>
  <c r="E80" i="143"/>
  <c r="U79" i="143" s="1"/>
  <c r="L37" i="16" l="1"/>
  <c r="K37" i="16"/>
  <c r="F37" i="16"/>
  <c r="I37" i="16"/>
  <c r="D37" i="16"/>
  <c r="J37" i="16"/>
  <c r="E37" i="16"/>
  <c r="H37" i="16"/>
  <c r="G37" i="16"/>
  <c r="G67" i="90"/>
  <c r="X81" i="143"/>
  <c r="C36" i="20"/>
  <c r="S35" i="20"/>
  <c r="B35" i="20"/>
  <c r="G34" i="20"/>
  <c r="J34" i="20"/>
  <c r="D34" i="20"/>
  <c r="I34" i="20"/>
  <c r="L34" i="20"/>
  <c r="K34" i="20"/>
  <c r="AA34" i="20" s="1"/>
  <c r="F34" i="20"/>
  <c r="V34" i="20" s="1"/>
  <c r="Q34" i="20"/>
  <c r="AG34" i="20" s="1"/>
  <c r="H34" i="20"/>
  <c r="M34" i="20"/>
  <c r="AC34" i="20" s="1"/>
  <c r="E34" i="20"/>
  <c r="N34" i="20"/>
  <c r="O34" i="20"/>
  <c r="AE34" i="20" s="1"/>
  <c r="AC77" i="143"/>
  <c r="K79" i="143"/>
  <c r="B37" i="91"/>
  <c r="G34" i="132" s="1"/>
  <c r="J34" i="132" s="1"/>
  <c r="G33" i="132"/>
  <c r="J33" i="132" s="1"/>
  <c r="F33" i="132"/>
  <c r="I33" i="132" s="1"/>
  <c r="T78" i="143"/>
  <c r="D80" i="143"/>
  <c r="AJ76" i="143"/>
  <c r="AI76" i="143"/>
  <c r="BG35" i="25"/>
  <c r="CG35" i="25"/>
  <c r="X82" i="143"/>
  <c r="I84" i="143"/>
  <c r="I59" i="36"/>
  <c r="S48" i="92"/>
  <c r="S46" i="9"/>
  <c r="F60" i="36"/>
  <c r="B61" i="36"/>
  <c r="E60" i="36"/>
  <c r="D60" i="36"/>
  <c r="G60" i="36"/>
  <c r="M22" i="21"/>
  <c r="N22" i="72"/>
  <c r="H59" i="36"/>
  <c r="BT35" i="25"/>
  <c r="B37" i="25"/>
  <c r="C38" i="25"/>
  <c r="CE36" i="25"/>
  <c r="CD36" i="25"/>
  <c r="R36" i="25"/>
  <c r="BQ36" i="25"/>
  <c r="D36" i="25"/>
  <c r="AF36" i="25"/>
  <c r="BE36" i="25"/>
  <c r="F36" i="25"/>
  <c r="BD36" i="25"/>
  <c r="AE36" i="25"/>
  <c r="CF36" i="25"/>
  <c r="Q36" i="25"/>
  <c r="AD36" i="25"/>
  <c r="S36" i="25"/>
  <c r="E36" i="25"/>
  <c r="BF36" i="25"/>
  <c r="AQ36" i="25"/>
  <c r="AS36" i="25"/>
  <c r="BS36" i="25"/>
  <c r="BR36" i="25"/>
  <c r="AR36" i="25"/>
  <c r="T35" i="25"/>
  <c r="M80" i="143"/>
  <c r="AE79" i="143" s="1"/>
  <c r="G35" i="25"/>
  <c r="AE78" i="143"/>
  <c r="AG35" i="25"/>
  <c r="AT35" i="25"/>
  <c r="L64" i="35"/>
  <c r="M48" i="9"/>
  <c r="M50" i="92"/>
  <c r="V52" i="9"/>
  <c r="V54" i="92"/>
  <c r="M56" i="132"/>
  <c r="K56" i="132" s="1"/>
  <c r="N78" i="143"/>
  <c r="N79" i="143" s="1"/>
  <c r="W52" i="9"/>
  <c r="W54" i="92"/>
  <c r="N62" i="35"/>
  <c r="B38" i="115"/>
  <c r="A37" i="115"/>
  <c r="G41" i="9"/>
  <c r="G43" i="92"/>
  <c r="O37" i="16"/>
  <c r="B38" i="16"/>
  <c r="N37" i="16"/>
  <c r="M37" i="16"/>
  <c r="V81" i="143"/>
  <c r="F83" i="143"/>
  <c r="C37" i="96"/>
  <c r="B36" i="96"/>
  <c r="V80" i="143"/>
  <c r="O78" i="143"/>
  <c r="AH77" i="143" s="1"/>
  <c r="O65" i="35"/>
  <c r="L81" i="143"/>
  <c r="B44" i="42"/>
  <c r="G79" i="143"/>
  <c r="W78" i="143" s="1"/>
  <c r="P41" i="9"/>
  <c r="P43" i="92"/>
  <c r="Q79" i="143"/>
  <c r="AK78" i="143" s="1"/>
  <c r="B34" i="72"/>
  <c r="J79" i="143"/>
  <c r="AB78" i="143" s="1"/>
  <c r="P80" i="143"/>
  <c r="AG79" i="143" s="1"/>
  <c r="AR69" i="155"/>
  <c r="AU68" i="155"/>
  <c r="J43" i="9"/>
  <c r="J45" i="92"/>
  <c r="AB77" i="143"/>
  <c r="H81" i="143"/>
  <c r="Y80" i="143" s="1"/>
  <c r="K64" i="35"/>
  <c r="M66" i="35"/>
  <c r="B63" i="143"/>
  <c r="S62" i="143" s="1"/>
  <c r="B62" i="145" s="1"/>
  <c r="B62" i="146" s="1"/>
  <c r="S61" i="143"/>
  <c r="B61" i="145" s="1"/>
  <c r="B61" i="146" s="1"/>
  <c r="AA79" i="143"/>
  <c r="AR65" i="157"/>
  <c r="AU64" i="157"/>
  <c r="Y79" i="143"/>
  <c r="E81" i="143"/>
  <c r="Z79" i="143"/>
  <c r="AD79" i="143"/>
  <c r="J65" i="35"/>
  <c r="B51" i="28"/>
  <c r="L38" i="16" l="1"/>
  <c r="J38" i="16"/>
  <c r="I38" i="16"/>
  <c r="D38" i="16"/>
  <c r="E38" i="16"/>
  <c r="K38" i="16"/>
  <c r="F38" i="16"/>
  <c r="G38" i="16"/>
  <c r="H38" i="16"/>
  <c r="G68" i="90"/>
  <c r="H35" i="20"/>
  <c r="N35" i="20"/>
  <c r="E35" i="20"/>
  <c r="J35" i="20"/>
  <c r="I35" i="20"/>
  <c r="Q35" i="20"/>
  <c r="AG35" i="20" s="1"/>
  <c r="P35" i="20"/>
  <c r="M35" i="20"/>
  <c r="AC35" i="20" s="1"/>
  <c r="G35" i="20"/>
  <c r="O35" i="20"/>
  <c r="AE35" i="20" s="1"/>
  <c r="D35" i="20"/>
  <c r="K35" i="20"/>
  <c r="AA35" i="20" s="1"/>
  <c r="L35" i="20"/>
  <c r="F35" i="20"/>
  <c r="V35" i="20" s="1"/>
  <c r="C37" i="20"/>
  <c r="S36" i="20"/>
  <c r="B36" i="20"/>
  <c r="AC78" i="143"/>
  <c r="K80" i="143"/>
  <c r="T79" i="143"/>
  <c r="D81" i="143"/>
  <c r="B38" i="91"/>
  <c r="F35" i="132" s="1"/>
  <c r="I35" i="132" s="1"/>
  <c r="F34" i="132"/>
  <c r="I34" i="132" s="1"/>
  <c r="CG36" i="25"/>
  <c r="AA80" i="143"/>
  <c r="X83" i="143"/>
  <c r="I85" i="143"/>
  <c r="AT36" i="25"/>
  <c r="BG36" i="25"/>
  <c r="H60" i="36"/>
  <c r="AF77" i="143"/>
  <c r="C39" i="25"/>
  <c r="B38" i="25"/>
  <c r="I60" i="36"/>
  <c r="M81" i="143"/>
  <c r="CD37" i="25"/>
  <c r="BE37" i="25"/>
  <c r="BR37" i="25"/>
  <c r="AR37" i="25"/>
  <c r="CF37" i="25"/>
  <c r="BF37" i="25"/>
  <c r="CE37" i="25"/>
  <c r="AQ37" i="25"/>
  <c r="BD37" i="25"/>
  <c r="E37" i="25"/>
  <c r="Q37" i="25"/>
  <c r="F37" i="25"/>
  <c r="AD37" i="25"/>
  <c r="S37" i="25"/>
  <c r="BQ37" i="25"/>
  <c r="BS37" i="25"/>
  <c r="AS37" i="25"/>
  <c r="R37" i="25"/>
  <c r="D37" i="25"/>
  <c r="AF37" i="25"/>
  <c r="AE37" i="25"/>
  <c r="E61" i="36"/>
  <c r="D61" i="36"/>
  <c r="F61" i="36"/>
  <c r="G61" i="36"/>
  <c r="L65" i="35"/>
  <c r="AG36" i="25"/>
  <c r="G36" i="25"/>
  <c r="Z80" i="143"/>
  <c r="T36" i="25"/>
  <c r="BT36" i="25"/>
  <c r="O22" i="72"/>
  <c r="N22" i="21"/>
  <c r="S47" i="9"/>
  <c r="S49" i="92"/>
  <c r="M49" i="9"/>
  <c r="M51" i="92"/>
  <c r="F84" i="143"/>
  <c r="M38" i="16"/>
  <c r="O38" i="16"/>
  <c r="B39" i="16"/>
  <c r="N38" i="16"/>
  <c r="G44" i="92"/>
  <c r="G42" i="9"/>
  <c r="O79" i="143"/>
  <c r="AJ77" i="143"/>
  <c r="AI77" i="143"/>
  <c r="AF78" i="143"/>
  <c r="N80" i="143"/>
  <c r="N81" i="143" s="1"/>
  <c r="N82" i="143" s="1"/>
  <c r="AF81" i="143" s="1"/>
  <c r="M57" i="132"/>
  <c r="K57" i="132" s="1"/>
  <c r="A38" i="115"/>
  <c r="B39" i="115"/>
  <c r="N63" i="35"/>
  <c r="C38" i="96"/>
  <c r="B37" i="96"/>
  <c r="V53" i="9"/>
  <c r="V55" i="92"/>
  <c r="V82" i="143"/>
  <c r="W53" i="9"/>
  <c r="W55" i="92"/>
  <c r="K65" i="35"/>
  <c r="L82" i="143"/>
  <c r="B64" i="143"/>
  <c r="S63" i="143" s="1"/>
  <c r="B63" i="145" s="1"/>
  <c r="B63" i="146" s="1"/>
  <c r="AD80" i="143"/>
  <c r="O66" i="35"/>
  <c r="AU65" i="157"/>
  <c r="AR66" i="157"/>
  <c r="M67" i="35"/>
  <c r="B45" i="42"/>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E82" i="143"/>
  <c r="U81" i="143" s="1"/>
  <c r="U80" i="143"/>
  <c r="B52" i="28"/>
  <c r="H82" i="143"/>
  <c r="P81" i="143"/>
  <c r="AG80" i="143" s="1"/>
  <c r="B35" i="72"/>
  <c r="Q80" i="143"/>
  <c r="AK79" i="143" s="1"/>
  <c r="J44" i="9"/>
  <c r="J46" i="92"/>
  <c r="P44" i="92"/>
  <c r="P42" i="9"/>
  <c r="J66" i="35"/>
  <c r="AR70" i="155"/>
  <c r="AU69" i="155"/>
  <c r="J80" i="143"/>
  <c r="AB79" i="143" s="1"/>
  <c r="G80" i="143"/>
  <c r="W79" i="143" s="1"/>
  <c r="E39" i="16" l="1"/>
  <c r="L39" i="16"/>
  <c r="J39" i="16"/>
  <c r="D39" i="16"/>
  <c r="K39" i="16"/>
  <c r="F39" i="16"/>
  <c r="I39" i="16"/>
  <c r="H39" i="16"/>
  <c r="G39" i="16"/>
  <c r="G69" i="90"/>
  <c r="AF36" i="20"/>
  <c r="AD36" i="20"/>
  <c r="AB36" i="20"/>
  <c r="Z36" i="20"/>
  <c r="U36" i="20"/>
  <c r="T36" i="20"/>
  <c r="O36" i="20"/>
  <c r="AE36" i="20" s="1"/>
  <c r="P36" i="20"/>
  <c r="D36" i="20"/>
  <c r="Q36" i="20"/>
  <c r="AG36" i="20" s="1"/>
  <c r="I36" i="20"/>
  <c r="G36" i="20"/>
  <c r="H36" i="20"/>
  <c r="K36" i="20"/>
  <c r="AA36" i="20" s="1"/>
  <c r="N36" i="20"/>
  <c r="L36" i="20"/>
  <c r="F36" i="20"/>
  <c r="V36" i="20" s="1"/>
  <c r="J36" i="20"/>
  <c r="M36" i="20"/>
  <c r="AC36" i="20" s="1"/>
  <c r="E36" i="20"/>
  <c r="S37" i="20"/>
  <c r="B37" i="20"/>
  <c r="C38" i="20"/>
  <c r="AC79" i="143"/>
  <c r="K81" i="143"/>
  <c r="B39" i="91"/>
  <c r="F36" i="132" s="1"/>
  <c r="I36" i="132" s="1"/>
  <c r="T80" i="143"/>
  <c r="D82" i="143"/>
  <c r="BG37" i="25"/>
  <c r="AF80" i="143"/>
  <c r="BT37" i="25"/>
  <c r="X84" i="143"/>
  <c r="I86" i="143"/>
  <c r="H61" i="36"/>
  <c r="I61" i="36"/>
  <c r="M82" i="143"/>
  <c r="AG37" i="25"/>
  <c r="E38" i="25"/>
  <c r="AQ38" i="25"/>
  <c r="BR38" i="25"/>
  <c r="BE38" i="25"/>
  <c r="Q38" i="25"/>
  <c r="CD38" i="25"/>
  <c r="AR38" i="25"/>
  <c r="AF38" i="25"/>
  <c r="BS38" i="25"/>
  <c r="F38" i="25"/>
  <c r="BD38" i="25"/>
  <c r="BF38" i="25"/>
  <c r="R38" i="25"/>
  <c r="AD38" i="25"/>
  <c r="S38" i="25"/>
  <c r="CF38" i="25"/>
  <c r="AE38" i="25"/>
  <c r="CE38" i="25"/>
  <c r="BQ38" i="25"/>
  <c r="D38" i="25"/>
  <c r="AS38" i="25"/>
  <c r="S48" i="9"/>
  <c r="S50" i="92"/>
  <c r="B39" i="25"/>
  <c r="C40" i="25"/>
  <c r="AF79" i="143"/>
  <c r="L66" i="35"/>
  <c r="G37" i="25"/>
  <c r="T37" i="25"/>
  <c r="D70" i="49"/>
  <c r="P22" i="72"/>
  <c r="O22" i="21"/>
  <c r="CG37" i="25"/>
  <c r="AT37" i="25"/>
  <c r="AE80" i="143"/>
  <c r="M52" i="92"/>
  <c r="M50" i="9"/>
  <c r="E52" i="49"/>
  <c r="N64" i="35"/>
  <c r="W54" i="9"/>
  <c r="W56" i="92"/>
  <c r="H59" i="132"/>
  <c r="E29" i="130"/>
  <c r="E30" i="137"/>
  <c r="F29" i="137"/>
  <c r="H30" i="137"/>
  <c r="E45" i="34"/>
  <c r="AX27" i="22"/>
  <c r="G29" i="137"/>
  <c r="E27" i="137"/>
  <c r="D46" i="34"/>
  <c r="D29" i="137"/>
  <c r="D27" i="130"/>
  <c r="H28" i="137"/>
  <c r="G30" i="137"/>
  <c r="D29" i="130"/>
  <c r="E27" i="130"/>
  <c r="F30" i="137"/>
  <c r="F28" i="137"/>
  <c r="R27" i="22"/>
  <c r="AH27" i="22"/>
  <c r="F45" i="34"/>
  <c r="H27" i="137"/>
  <c r="AI27" i="22"/>
  <c r="G28" i="137"/>
  <c r="E46" i="34"/>
  <c r="F27" i="137"/>
  <c r="D30" i="137"/>
  <c r="G27" i="137"/>
  <c r="E28" i="130"/>
  <c r="D30" i="130"/>
  <c r="F28" i="130"/>
  <c r="D28" i="130"/>
  <c r="D27" i="137"/>
  <c r="E30" i="130"/>
  <c r="E28" i="137"/>
  <c r="F27" i="130"/>
  <c r="F46" i="34"/>
  <c r="H29" i="137"/>
  <c r="F30" i="130"/>
  <c r="S27" i="22"/>
  <c r="F29" i="130"/>
  <c r="D45" i="34"/>
  <c r="E29" i="137"/>
  <c r="AY27" i="22"/>
  <c r="D28" i="137"/>
  <c r="A39" i="115"/>
  <c r="B40" i="115"/>
  <c r="B38" i="96"/>
  <c r="C39" i="96"/>
  <c r="F54" i="49"/>
  <c r="O80" i="143"/>
  <c r="AJ79" i="143" s="1"/>
  <c r="AH78" i="143"/>
  <c r="AJ78" i="143"/>
  <c r="AI78" i="143"/>
  <c r="E56" i="49"/>
  <c r="V54" i="9"/>
  <c r="V56" i="92"/>
  <c r="M58" i="132"/>
  <c r="K58" i="132" s="1"/>
  <c r="F63" i="49"/>
  <c r="E27" i="22"/>
  <c r="Q27" i="22"/>
  <c r="E33" i="34"/>
  <c r="F30" i="34"/>
  <c r="E40" i="34"/>
  <c r="I52" i="34"/>
  <c r="H27" i="22"/>
  <c r="K52" i="34"/>
  <c r="D37" i="34"/>
  <c r="F36" i="34"/>
  <c r="G27" i="22"/>
  <c r="J58" i="34"/>
  <c r="D38" i="34"/>
  <c r="J40" i="34"/>
  <c r="J42" i="34" s="1"/>
  <c r="V27" i="22"/>
  <c r="J41" i="34"/>
  <c r="E31" i="34"/>
  <c r="AV27" i="22"/>
  <c r="K59" i="34"/>
  <c r="D35" i="34"/>
  <c r="M27" i="22"/>
  <c r="D27" i="22"/>
  <c r="L27" i="22"/>
  <c r="F31" i="34"/>
  <c r="E37" i="34"/>
  <c r="AU27" i="22"/>
  <c r="F40" i="34"/>
  <c r="K56" i="34"/>
  <c r="E39" i="34"/>
  <c r="F29" i="34"/>
  <c r="E38" i="34"/>
  <c r="I46" i="34"/>
  <c r="AD27" i="22"/>
  <c r="J27" i="22"/>
  <c r="I27" i="22"/>
  <c r="D27" i="34"/>
  <c r="N27" i="22"/>
  <c r="I53" i="34"/>
  <c r="K55" i="34"/>
  <c r="AO27" i="22"/>
  <c r="Y27" i="22"/>
  <c r="AT27" i="22"/>
  <c r="I41" i="34"/>
  <c r="J45" i="34"/>
  <c r="J47" i="34" s="1"/>
  <c r="I55" i="34"/>
  <c r="D31" i="34"/>
  <c r="J56" i="34"/>
  <c r="AC27" i="22"/>
  <c r="AM27" i="22"/>
  <c r="E28" i="34"/>
  <c r="AG27" i="22"/>
  <c r="J57" i="34"/>
  <c r="E29" i="34"/>
  <c r="AP27" i="22"/>
  <c r="J46" i="34"/>
  <c r="X27" i="22"/>
  <c r="AL27" i="22"/>
  <c r="E34" i="34"/>
  <c r="J53" i="34"/>
  <c r="W27" i="22"/>
  <c r="J55" i="34"/>
  <c r="AS27" i="22"/>
  <c r="F37" i="34"/>
  <c r="AJ27" i="22"/>
  <c r="J52" i="34"/>
  <c r="J59" i="34"/>
  <c r="AK27" i="22"/>
  <c r="E27" i="34"/>
  <c r="E36" i="34"/>
  <c r="Z27" i="22"/>
  <c r="D28" i="34"/>
  <c r="E30" i="34"/>
  <c r="K53" i="34"/>
  <c r="D33" i="34"/>
  <c r="AQ27" i="22"/>
  <c r="D34" i="34"/>
  <c r="F35" i="34"/>
  <c r="D29" i="34"/>
  <c r="I58" i="34"/>
  <c r="E35" i="34"/>
  <c r="AN27" i="22"/>
  <c r="AE27" i="22"/>
  <c r="F28" i="34"/>
  <c r="F27" i="34"/>
  <c r="AR27" i="22"/>
  <c r="I56" i="34"/>
  <c r="I54" i="34"/>
  <c r="F27" i="22"/>
  <c r="F39" i="34"/>
  <c r="F38" i="34"/>
  <c r="I59" i="34"/>
  <c r="T27" i="22"/>
  <c r="I45" i="34"/>
  <c r="I47" i="34" s="1"/>
  <c r="AA27" i="22"/>
  <c r="U27" i="22"/>
  <c r="F34" i="34"/>
  <c r="F33" i="34"/>
  <c r="D30" i="34"/>
  <c r="D32" i="34"/>
  <c r="E32" i="34"/>
  <c r="I40" i="34"/>
  <c r="I42" i="34" s="1"/>
  <c r="K57" i="34"/>
  <c r="F32" i="34"/>
  <c r="O27" i="22"/>
  <c r="P27" i="22"/>
  <c r="D39" i="34"/>
  <c r="I57" i="34"/>
  <c r="AB27" i="22"/>
  <c r="K54" i="34"/>
  <c r="K27" i="22"/>
  <c r="D40" i="34"/>
  <c r="D36" i="34"/>
  <c r="AF27" i="22"/>
  <c r="J54" i="34"/>
  <c r="K58" i="34"/>
  <c r="G43" i="9"/>
  <c r="G45" i="92"/>
  <c r="N39" i="16"/>
  <c r="M39" i="16"/>
  <c r="O39" i="16"/>
  <c r="B40" i="16"/>
  <c r="F85" i="143"/>
  <c r="V84" i="143" s="1"/>
  <c r="F55" i="49"/>
  <c r="V83" i="143"/>
  <c r="J67" i="35"/>
  <c r="P82" i="143"/>
  <c r="E83" i="143"/>
  <c r="U82" i="143" s="1"/>
  <c r="B65" i="143"/>
  <c r="S64" i="143" s="1"/>
  <c r="B64" i="145" s="1"/>
  <c r="B64" i="146" s="1"/>
  <c r="M68" i="35"/>
  <c r="O67" i="35"/>
  <c r="AU70" i="155"/>
  <c r="AR71" i="155"/>
  <c r="H83" i="143"/>
  <c r="B53" i="28"/>
  <c r="E30" i="49"/>
  <c r="D33" i="49"/>
  <c r="D29" i="49"/>
  <c r="D27" i="49"/>
  <c r="F27" i="49"/>
  <c r="E31" i="49"/>
  <c r="F31" i="49"/>
  <c r="D25" i="49"/>
  <c r="D32" i="49"/>
  <c r="D28" i="49"/>
  <c r="E26" i="49"/>
  <c r="E32" i="49"/>
  <c r="D31" i="49"/>
  <c r="F29" i="49"/>
  <c r="D30" i="49"/>
  <c r="F32" i="49"/>
  <c r="E25" i="49"/>
  <c r="F26" i="49"/>
  <c r="F33" i="49"/>
  <c r="F25" i="49"/>
  <c r="F30" i="49"/>
  <c r="D26" i="49"/>
  <c r="E28" i="49"/>
  <c r="F28" i="49"/>
  <c r="B74" i="42"/>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E33" i="49"/>
  <c r="E29" i="49"/>
  <c r="E27" i="49"/>
  <c r="E35" i="49"/>
  <c r="F34" i="49"/>
  <c r="D34" i="49"/>
  <c r="E34" i="49"/>
  <c r="D36" i="49"/>
  <c r="E36" i="49"/>
  <c r="D35" i="49"/>
  <c r="F35" i="49"/>
  <c r="F36" i="49"/>
  <c r="E37" i="49"/>
  <c r="F37" i="49"/>
  <c r="D37" i="49"/>
  <c r="F38" i="49"/>
  <c r="D38" i="49"/>
  <c r="E38" i="49"/>
  <c r="D39" i="49"/>
  <c r="F39" i="49"/>
  <c r="E40" i="49"/>
  <c r="F40" i="49"/>
  <c r="AR67" i="157"/>
  <c r="AU66" i="157"/>
  <c r="Q81" i="143"/>
  <c r="Y81" i="143"/>
  <c r="J47" i="92"/>
  <c r="J45" i="9"/>
  <c r="AA81" i="143"/>
  <c r="L83" i="143"/>
  <c r="AD82" i="143" s="1"/>
  <c r="G81" i="143"/>
  <c r="W80" i="143" s="1"/>
  <c r="Z81" i="143"/>
  <c r="AD81" i="143"/>
  <c r="K66" i="35"/>
  <c r="P43" i="9"/>
  <c r="P45" i="92"/>
  <c r="J81" i="143"/>
  <c r="B36" i="72"/>
  <c r="N83" i="143"/>
  <c r="AF82" i="143" s="1"/>
  <c r="D40" i="16" l="1"/>
  <c r="E40" i="16"/>
  <c r="L40" i="16"/>
  <c r="I40" i="16"/>
  <c r="F40" i="16"/>
  <c r="J40" i="16"/>
  <c r="K40" i="16"/>
  <c r="G40" i="16"/>
  <c r="H40" i="16"/>
  <c r="G70" i="90"/>
  <c r="Z35" i="20"/>
  <c r="Z34" i="20" s="1"/>
  <c r="Z33" i="20" s="1"/>
  <c r="Z32" i="20" s="1"/>
  <c r="Z31" i="20" s="1"/>
  <c r="Z30" i="20" s="1"/>
  <c r="Z29" i="20" s="1"/>
  <c r="Z28" i="20" s="1"/>
  <c r="AB35" i="20"/>
  <c r="AB34" i="20" s="1"/>
  <c r="AB33" i="20" s="1"/>
  <c r="AB32" i="20" s="1"/>
  <c r="AB31" i="20" s="1"/>
  <c r="AB30" i="20" s="1"/>
  <c r="AB29" i="20" s="1"/>
  <c r="AB28" i="20" s="1"/>
  <c r="AD35" i="20"/>
  <c r="AD34" i="20" s="1"/>
  <c r="AD33" i="20" s="1"/>
  <c r="AD32" i="20" s="1"/>
  <c r="AD31" i="20" s="1"/>
  <c r="AD30" i="20" s="1"/>
  <c r="AD29" i="20" s="1"/>
  <c r="AD28" i="20" s="1"/>
  <c r="AF35" i="20"/>
  <c r="AF34" i="20" s="1"/>
  <c r="AF33" i="20" s="1"/>
  <c r="AF32" i="20" s="1"/>
  <c r="AF31" i="20" s="1"/>
  <c r="AF30" i="20" s="1"/>
  <c r="AF29" i="20" s="1"/>
  <c r="AF28" i="20" s="1"/>
  <c r="T35" i="20"/>
  <c r="T34" i="20" s="1"/>
  <c r="T33" i="20" s="1"/>
  <c r="T32" i="20" s="1"/>
  <c r="T31" i="20" s="1"/>
  <c r="U35" i="20"/>
  <c r="U34" i="20" s="1"/>
  <c r="U33" i="20" s="1"/>
  <c r="U32" i="20" s="1"/>
  <c r="U31" i="20" s="1"/>
  <c r="U30" i="20" s="1"/>
  <c r="U29" i="20" s="1"/>
  <c r="U28" i="20" s="1"/>
  <c r="I37" i="20"/>
  <c r="N37" i="20"/>
  <c r="AD37" i="20" s="1"/>
  <c r="O37" i="20"/>
  <c r="AE37" i="20" s="1"/>
  <c r="D37" i="20"/>
  <c r="T37" i="20" s="1"/>
  <c r="J37" i="20"/>
  <c r="Z37" i="20" s="1"/>
  <c r="H37" i="20"/>
  <c r="M37" i="20"/>
  <c r="AC37" i="20" s="1"/>
  <c r="K37" i="20"/>
  <c r="AA37" i="20" s="1"/>
  <c r="L37" i="20"/>
  <c r="AB37" i="20" s="1"/>
  <c r="G37" i="20"/>
  <c r="E37" i="20"/>
  <c r="U37" i="20" s="1"/>
  <c r="F37" i="20"/>
  <c r="V37" i="20" s="1"/>
  <c r="P37" i="20"/>
  <c r="AF37" i="20" s="1"/>
  <c r="Q37" i="20"/>
  <c r="AG37" i="20" s="1"/>
  <c r="S38" i="20"/>
  <c r="C39" i="20"/>
  <c r="B38" i="20"/>
  <c r="BT38" i="25"/>
  <c r="AC80" i="143"/>
  <c r="K82" i="143"/>
  <c r="T81" i="143"/>
  <c r="D83" i="143"/>
  <c r="B40" i="91"/>
  <c r="F37" i="132" s="1"/>
  <c r="I37" i="132" s="1"/>
  <c r="G36" i="132"/>
  <c r="J36" i="132" s="1"/>
  <c r="BG38" i="25"/>
  <c r="AT38" i="25"/>
  <c r="I87" i="143"/>
  <c r="X85" i="143"/>
  <c r="C41" i="25"/>
  <c r="B40" i="25"/>
  <c r="T22" i="21"/>
  <c r="Q22" i="72"/>
  <c r="S39" i="25"/>
  <c r="Q39" i="25"/>
  <c r="BE39" i="25"/>
  <c r="D39" i="25"/>
  <c r="AD39" i="25"/>
  <c r="CE39" i="25"/>
  <c r="CD39" i="25"/>
  <c r="BQ39" i="25"/>
  <c r="BS39" i="25"/>
  <c r="AQ39" i="25"/>
  <c r="BF39" i="25"/>
  <c r="AE39" i="25"/>
  <c r="BD39" i="25"/>
  <c r="BR39" i="25"/>
  <c r="AS39" i="25"/>
  <c r="F39" i="25"/>
  <c r="CF39" i="25"/>
  <c r="E39" i="25"/>
  <c r="R39" i="25"/>
  <c r="AR39" i="25"/>
  <c r="AF39" i="25"/>
  <c r="S51" i="92"/>
  <c r="S49" i="9"/>
  <c r="AG38" i="25"/>
  <c r="CG38" i="25"/>
  <c r="M83" i="143"/>
  <c r="AE82" i="143" s="1"/>
  <c r="T38" i="25"/>
  <c r="AE81" i="143"/>
  <c r="L67" i="35"/>
  <c r="G38" i="25"/>
  <c r="M51" i="9"/>
  <c r="M53" i="92"/>
  <c r="B39" i="96"/>
  <c r="C40" i="96"/>
  <c r="M40" i="16"/>
  <c r="B41" i="16"/>
  <c r="O40" i="16"/>
  <c r="N40" i="16"/>
  <c r="W57" i="92"/>
  <c r="W55" i="9"/>
  <c r="AF28" i="22"/>
  <c r="AN28" i="22"/>
  <c r="H28" i="22"/>
  <c r="Y28" i="22"/>
  <c r="P28" i="22"/>
  <c r="X28" i="22"/>
  <c r="AC28" i="22"/>
  <c r="AE28" i="22"/>
  <c r="U28" i="22"/>
  <c r="D28" i="22"/>
  <c r="O28" i="22"/>
  <c r="G28" i="22"/>
  <c r="T28" i="22"/>
  <c r="AU28" i="22"/>
  <c r="AM28" i="22"/>
  <c r="Q28" i="22"/>
  <c r="AD28" i="22"/>
  <c r="AQ28" i="22"/>
  <c r="I28" i="22"/>
  <c r="K28" i="22"/>
  <c r="J28" i="22"/>
  <c r="AJ28" i="22"/>
  <c r="L28" i="22"/>
  <c r="F28" i="22"/>
  <c r="N28" i="22"/>
  <c r="E28" i="22"/>
  <c r="AG28" i="22"/>
  <c r="AA28" i="22"/>
  <c r="AR28" i="22"/>
  <c r="AT28" i="22"/>
  <c r="AK28" i="22"/>
  <c r="AO28" i="22"/>
  <c r="AW28" i="22"/>
  <c r="W28" i="22"/>
  <c r="AS28" i="22"/>
  <c r="Z28" i="22"/>
  <c r="AV28" i="22"/>
  <c r="M28" i="22"/>
  <c r="V28" i="22"/>
  <c r="AB28" i="22"/>
  <c r="AL28" i="22"/>
  <c r="AP28" i="22"/>
  <c r="A40" i="115"/>
  <c r="B41" i="115"/>
  <c r="AH28" i="22"/>
  <c r="AY28" i="22"/>
  <c r="S28" i="22"/>
  <c r="R28" i="22"/>
  <c r="AX28" i="22"/>
  <c r="AI28" i="22"/>
  <c r="G44" i="9"/>
  <c r="G46" i="92"/>
  <c r="M59" i="132"/>
  <c r="K59" i="132" s="1"/>
  <c r="N65" i="35"/>
  <c r="F86" i="143"/>
  <c r="V85" i="143" s="1"/>
  <c r="V57" i="92"/>
  <c r="V55" i="9"/>
  <c r="O81" i="143"/>
  <c r="AH80" i="143" s="1"/>
  <c r="AH79" i="143"/>
  <c r="AI79" i="143"/>
  <c r="Q82" i="143"/>
  <c r="H84" i="143"/>
  <c r="AA83" i="143" s="1"/>
  <c r="J68" i="35"/>
  <c r="P44" i="9"/>
  <c r="P46" i="92"/>
  <c r="AA82" i="143"/>
  <c r="AU71" i="155"/>
  <c r="AR72" i="155"/>
  <c r="B54" i="28"/>
  <c r="J82" i="143"/>
  <c r="AB81" i="143" s="1"/>
  <c r="G82" i="143"/>
  <c r="AB80" i="143"/>
  <c r="K67" i="35"/>
  <c r="N84" i="143"/>
  <c r="AF83" i="143" s="1"/>
  <c r="B37" i="72"/>
  <c r="B66" i="143"/>
  <c r="S65" i="143" s="1"/>
  <c r="B65" i="145" s="1"/>
  <c r="B65" i="146" s="1"/>
  <c r="P83" i="143"/>
  <c r="AG82" i="143" s="1"/>
  <c r="L84" i="143"/>
  <c r="AD83" i="143" s="1"/>
  <c r="Z82" i="143"/>
  <c r="O68" i="35"/>
  <c r="E84" i="143"/>
  <c r="U83" i="143" s="1"/>
  <c r="AR68" i="157"/>
  <c r="AU67" i="157"/>
  <c r="J48" i="92"/>
  <c r="J46" i="9"/>
  <c r="AK80" i="143"/>
  <c r="H39" i="132"/>
  <c r="D111" i="49"/>
  <c r="D66" i="49"/>
  <c r="D77" i="49"/>
  <c r="E44" i="49"/>
  <c r="H74" i="132"/>
  <c r="D63" i="49"/>
  <c r="D102" i="49"/>
  <c r="F97" i="49"/>
  <c r="D69" i="49"/>
  <c r="F67" i="49"/>
  <c r="E74" i="49"/>
  <c r="H112" i="132"/>
  <c r="F85" i="49"/>
  <c r="E88" i="49"/>
  <c r="D73" i="49"/>
  <c r="H83" i="132"/>
  <c r="E50" i="49"/>
  <c r="E86" i="49"/>
  <c r="F47" i="49"/>
  <c r="E39" i="49"/>
  <c r="E62" i="49"/>
  <c r="F77" i="49"/>
  <c r="E68" i="49"/>
  <c r="E110" i="49"/>
  <c r="D44" i="49"/>
  <c r="D96" i="49"/>
  <c r="H88" i="132"/>
  <c r="D92" i="49"/>
  <c r="F75" i="49"/>
  <c r="D51" i="49"/>
  <c r="E105" i="49"/>
  <c r="D47" i="49"/>
  <c r="F107" i="49"/>
  <c r="H41" i="132"/>
  <c r="H73" i="132"/>
  <c r="H91" i="132"/>
  <c r="F68" i="49"/>
  <c r="D106" i="49"/>
  <c r="F96" i="49"/>
  <c r="D56" i="49"/>
  <c r="D81" i="49"/>
  <c r="F58" i="49"/>
  <c r="E90" i="49"/>
  <c r="H77" i="132"/>
  <c r="F44" i="49"/>
  <c r="F76" i="49"/>
  <c r="D79" i="49"/>
  <c r="E43" i="49"/>
  <c r="F80" i="49"/>
  <c r="D94" i="49"/>
  <c r="F93" i="49"/>
  <c r="D93" i="49"/>
  <c r="F66" i="49"/>
  <c r="F51" i="49"/>
  <c r="H52" i="132"/>
  <c r="D41" i="49"/>
  <c r="E106" i="49"/>
  <c r="E111" i="49"/>
  <c r="H57" i="132"/>
  <c r="E54" i="49"/>
  <c r="H84" i="132"/>
  <c r="E76" i="49"/>
  <c r="E77" i="49"/>
  <c r="F73" i="49"/>
  <c r="E64" i="49"/>
  <c r="D49" i="49"/>
  <c r="H56" i="132"/>
  <c r="H43" i="132"/>
  <c r="H86" i="132"/>
  <c r="F103" i="49"/>
  <c r="E113" i="49"/>
  <c r="H48" i="132"/>
  <c r="F82" i="49"/>
  <c r="D60" i="49"/>
  <c r="D62" i="49"/>
  <c r="F95" i="49"/>
  <c r="E55" i="49"/>
  <c r="F41" i="49"/>
  <c r="F57" i="49"/>
  <c r="H111" i="132"/>
  <c r="D42" i="49"/>
  <c r="E112" i="49"/>
  <c r="H51" i="132"/>
  <c r="H62" i="132"/>
  <c r="F78" i="49"/>
  <c r="H107" i="132"/>
  <c r="E72" i="49"/>
  <c r="F79" i="49"/>
  <c r="D113" i="49"/>
  <c r="E58" i="49"/>
  <c r="H89" i="132"/>
  <c r="E92" i="49"/>
  <c r="D45" i="49"/>
  <c r="F70" i="49"/>
  <c r="H42" i="132"/>
  <c r="H76" i="132"/>
  <c r="H103" i="132"/>
  <c r="H100" i="132"/>
  <c r="F83" i="49"/>
  <c r="H82" i="132"/>
  <c r="D84" i="49"/>
  <c r="E95" i="49"/>
  <c r="F72" i="49"/>
  <c r="H44" i="132"/>
  <c r="D105" i="49"/>
  <c r="D87" i="49"/>
  <c r="D100" i="49"/>
  <c r="D95" i="49"/>
  <c r="D82" i="49"/>
  <c r="D89" i="49"/>
  <c r="H67" i="132"/>
  <c r="E89" i="49"/>
  <c r="E73" i="49"/>
  <c r="F112" i="49"/>
  <c r="H94" i="132"/>
  <c r="D114" i="49"/>
  <c r="E51" i="49"/>
  <c r="E104" i="49"/>
  <c r="F92" i="49"/>
  <c r="H114" i="132"/>
  <c r="D110" i="49"/>
  <c r="E60" i="49"/>
  <c r="D54" i="49"/>
  <c r="D103" i="49"/>
  <c r="E102" i="49"/>
  <c r="D57" i="49"/>
  <c r="D101" i="49"/>
  <c r="E48" i="49"/>
  <c r="D109" i="49"/>
  <c r="F113" i="49"/>
  <c r="F81" i="49"/>
  <c r="H72" i="132"/>
  <c r="D58" i="49"/>
  <c r="F100" i="49"/>
  <c r="H66" i="132"/>
  <c r="F111" i="49"/>
  <c r="H53" i="132"/>
  <c r="E61" i="49"/>
  <c r="E97" i="49"/>
  <c r="E46" i="49"/>
  <c r="H99" i="132"/>
  <c r="E107" i="49"/>
  <c r="D99" i="49"/>
  <c r="H79" i="132"/>
  <c r="H101" i="132"/>
  <c r="H40" i="132"/>
  <c r="H45" i="132"/>
  <c r="F48" i="49"/>
  <c r="F50" i="49"/>
  <c r="E93" i="49"/>
  <c r="D112" i="49"/>
  <c r="F46" i="49"/>
  <c r="E87" i="49"/>
  <c r="H109" i="132"/>
  <c r="H106" i="132"/>
  <c r="F115" i="49"/>
  <c r="D86" i="49"/>
  <c r="D72" i="49"/>
  <c r="E82" i="49"/>
  <c r="D115" i="49"/>
  <c r="D91" i="49"/>
  <c r="H80" i="132"/>
  <c r="F102" i="49"/>
  <c r="E53" i="49"/>
  <c r="H60" i="132"/>
  <c r="H69" i="132"/>
  <c r="H90" i="132"/>
  <c r="E59" i="49"/>
  <c r="E100" i="49"/>
  <c r="D55" i="49"/>
  <c r="F87" i="49"/>
  <c r="D61" i="49"/>
  <c r="D48" i="49"/>
  <c r="D88" i="49"/>
  <c r="H55" i="132"/>
  <c r="H63" i="132"/>
  <c r="D85" i="49"/>
  <c r="H95" i="132"/>
  <c r="F88" i="49"/>
  <c r="D50" i="49"/>
  <c r="E42" i="49"/>
  <c r="E101" i="49"/>
  <c r="E45" i="49"/>
  <c r="H61" i="132"/>
  <c r="E91" i="49"/>
  <c r="H65" i="132"/>
  <c r="D40" i="49"/>
  <c r="E65" i="49"/>
  <c r="D80" i="49"/>
  <c r="F106" i="49"/>
  <c r="D59" i="49"/>
  <c r="E85" i="49"/>
  <c r="H78" i="132"/>
  <c r="H70" i="132"/>
  <c r="H105" i="132"/>
  <c r="D43" i="49"/>
  <c r="H64" i="132"/>
  <c r="H46" i="132"/>
  <c r="E98" i="49"/>
  <c r="F59" i="49"/>
  <c r="F98" i="49"/>
  <c r="E83" i="49"/>
  <c r="F71" i="49"/>
  <c r="F108" i="49"/>
  <c r="F90" i="49"/>
  <c r="E63" i="49"/>
  <c r="D65" i="49"/>
  <c r="E99" i="49"/>
  <c r="E41" i="49"/>
  <c r="D52" i="49"/>
  <c r="E108" i="49"/>
  <c r="H47" i="132"/>
  <c r="E115" i="49"/>
  <c r="H98" i="132"/>
  <c r="H54" i="132"/>
  <c r="H110" i="132"/>
  <c r="D67" i="49"/>
  <c r="F101" i="49"/>
  <c r="E71" i="49"/>
  <c r="D53" i="49"/>
  <c r="F43" i="49"/>
  <c r="F52" i="49"/>
  <c r="D68" i="49"/>
  <c r="E57" i="49"/>
  <c r="E69" i="49"/>
  <c r="D83" i="49"/>
  <c r="F104" i="49"/>
  <c r="D74" i="49"/>
  <c r="F74" i="49"/>
  <c r="F84" i="49"/>
  <c r="F64" i="49"/>
  <c r="H87" i="132"/>
  <c r="F49" i="49"/>
  <c r="D108" i="49"/>
  <c r="E47" i="49"/>
  <c r="D78" i="49"/>
  <c r="F56" i="49"/>
  <c r="D97" i="49"/>
  <c r="D107" i="49"/>
  <c r="H108" i="132"/>
  <c r="H49" i="132"/>
  <c r="E84" i="49"/>
  <c r="F62" i="49"/>
  <c r="H85" i="132"/>
  <c r="F53" i="49"/>
  <c r="H71" i="132"/>
  <c r="F91" i="49"/>
  <c r="E103" i="49"/>
  <c r="E109" i="49"/>
  <c r="H58" i="132"/>
  <c r="H68" i="132"/>
  <c r="D46" i="49"/>
  <c r="E67" i="49"/>
  <c r="E49" i="49"/>
  <c r="H81" i="132"/>
  <c r="H96" i="132"/>
  <c r="E66" i="49"/>
  <c r="F105" i="49"/>
  <c r="F94" i="49"/>
  <c r="H93" i="132"/>
  <c r="F109" i="49"/>
  <c r="E70" i="49"/>
  <c r="D90" i="49"/>
  <c r="F99" i="49"/>
  <c r="H50" i="132"/>
  <c r="D104" i="49"/>
  <c r="H102" i="132"/>
  <c r="H104" i="132"/>
  <c r="H113" i="132"/>
  <c r="F60" i="49"/>
  <c r="F110" i="49"/>
  <c r="F69" i="49"/>
  <c r="E114" i="49"/>
  <c r="E79" i="49"/>
  <c r="F61" i="49"/>
  <c r="H97" i="132"/>
  <c r="D75" i="49"/>
  <c r="F45" i="49"/>
  <c r="D98" i="49"/>
  <c r="F114" i="49"/>
  <c r="E96" i="49"/>
  <c r="D64" i="49"/>
  <c r="D76" i="49"/>
  <c r="F86" i="49"/>
  <c r="F42" i="49"/>
  <c r="E94" i="49"/>
  <c r="E81" i="49"/>
  <c r="E80" i="49"/>
  <c r="E75" i="49"/>
  <c r="E78" i="49"/>
  <c r="F65" i="49"/>
  <c r="F89" i="49"/>
  <c r="D71" i="49"/>
  <c r="H92" i="132"/>
  <c r="H75" i="132"/>
  <c r="Y82" i="143"/>
  <c r="M69" i="35"/>
  <c r="AG81" i="143"/>
  <c r="F41" i="16" l="1"/>
  <c r="D41" i="16"/>
  <c r="I41" i="16"/>
  <c r="E41" i="16"/>
  <c r="J41" i="16"/>
  <c r="K41" i="16"/>
  <c r="L41" i="16"/>
  <c r="G41" i="16"/>
  <c r="H41" i="16"/>
  <c r="G71" i="90"/>
  <c r="F38" i="20"/>
  <c r="V38" i="20" s="1"/>
  <c r="P38" i="20"/>
  <c r="AF38" i="20" s="1"/>
  <c r="K38" i="20"/>
  <c r="AA38" i="20" s="1"/>
  <c r="J38" i="20"/>
  <c r="Z38" i="20" s="1"/>
  <c r="M38" i="20"/>
  <c r="AC38" i="20" s="1"/>
  <c r="N38" i="20"/>
  <c r="AD38" i="20" s="1"/>
  <c r="I38" i="20"/>
  <c r="D38" i="20"/>
  <c r="T38" i="20" s="1"/>
  <c r="E38" i="20"/>
  <c r="U38" i="20" s="1"/>
  <c r="L38" i="20"/>
  <c r="AB38" i="20" s="1"/>
  <c r="O38" i="20"/>
  <c r="AE38" i="20" s="1"/>
  <c r="G38" i="20"/>
  <c r="H38" i="20"/>
  <c r="Q38" i="20"/>
  <c r="AG38" i="20" s="1"/>
  <c r="S39" i="20"/>
  <c r="C40" i="20"/>
  <c r="B39" i="20"/>
  <c r="BG39" i="25"/>
  <c r="AC81" i="143"/>
  <c r="K83" i="143"/>
  <c r="T82" i="143"/>
  <c r="D84" i="143"/>
  <c r="B41" i="91"/>
  <c r="G38" i="132" s="1"/>
  <c r="J38" i="132" s="1"/>
  <c r="AJ80" i="143"/>
  <c r="G39" i="25"/>
  <c r="X86" i="143"/>
  <c r="I88" i="143"/>
  <c r="I89" i="143" s="1"/>
  <c r="X88" i="143" s="1"/>
  <c r="M84" i="143"/>
  <c r="AE83" i="143" s="1"/>
  <c r="AT39" i="25"/>
  <c r="T39" i="25"/>
  <c r="BT39" i="25"/>
  <c r="R22" i="72"/>
  <c r="U22" i="21"/>
  <c r="Y83" i="143"/>
  <c r="CG39" i="25"/>
  <c r="L68" i="35"/>
  <c r="S50" i="9"/>
  <c r="S52" i="92"/>
  <c r="E40" i="25"/>
  <c r="AQ40" i="25"/>
  <c r="BF40" i="25"/>
  <c r="R40" i="25"/>
  <c r="CF40" i="25"/>
  <c r="AE40" i="25"/>
  <c r="BQ40" i="25"/>
  <c r="BE40" i="25"/>
  <c r="BS40" i="25"/>
  <c r="BR40" i="25"/>
  <c r="AS40" i="25"/>
  <c r="CE40" i="25"/>
  <c r="AR40" i="25"/>
  <c r="AD40" i="25"/>
  <c r="F40" i="25"/>
  <c r="AF40" i="25"/>
  <c r="S40" i="25"/>
  <c r="CD40" i="25"/>
  <c r="Q40" i="25"/>
  <c r="D40" i="25"/>
  <c r="BD40" i="25"/>
  <c r="AG39" i="25"/>
  <c r="C42" i="25"/>
  <c r="B41" i="25"/>
  <c r="M54" i="92"/>
  <c r="M52" i="9"/>
  <c r="AO29" i="22"/>
  <c r="AQ29" i="22"/>
  <c r="O29" i="22"/>
  <c r="AD29" i="22"/>
  <c r="P29" i="22"/>
  <c r="AB29" i="22"/>
  <c r="AM29" i="22"/>
  <c r="AS29" i="22"/>
  <c r="AP29" i="22"/>
  <c r="T29" i="22"/>
  <c r="AA29" i="22"/>
  <c r="AG29" i="22"/>
  <c r="AW29" i="22"/>
  <c r="AV29" i="22"/>
  <c r="V29" i="22"/>
  <c r="AJ29" i="22"/>
  <c r="E29" i="22"/>
  <c r="K29" i="22"/>
  <c r="U29" i="22"/>
  <c r="I29" i="22"/>
  <c r="AC29" i="22"/>
  <c r="AE29" i="22"/>
  <c r="W29" i="22"/>
  <c r="AK29" i="22"/>
  <c r="AT29" i="22"/>
  <c r="L29" i="22"/>
  <c r="F29" i="22"/>
  <c r="Z29" i="22"/>
  <c r="Y29" i="22"/>
  <c r="Q29" i="22"/>
  <c r="H29" i="22"/>
  <c r="N29" i="22"/>
  <c r="J29" i="22"/>
  <c r="AN29" i="22"/>
  <c r="M29" i="22"/>
  <c r="D29" i="22"/>
  <c r="AF29" i="22"/>
  <c r="AL29" i="22"/>
  <c r="X29" i="22"/>
  <c r="AR29" i="22"/>
  <c r="G29" i="22"/>
  <c r="AU29" i="22"/>
  <c r="G45" i="9"/>
  <c r="G47" i="92"/>
  <c r="B42" i="115"/>
  <c r="A41" i="115"/>
  <c r="W56" i="9"/>
  <c r="W58" i="92"/>
  <c r="V56" i="9"/>
  <c r="V58" i="92"/>
  <c r="F87" i="143"/>
  <c r="F88" i="143" s="1"/>
  <c r="N41" i="16"/>
  <c r="M41" i="16"/>
  <c r="B42" i="16"/>
  <c r="O41" i="16"/>
  <c r="N66" i="35"/>
  <c r="B40" i="96"/>
  <c r="C41" i="96"/>
  <c r="O82" i="143"/>
  <c r="AI81" i="143" s="1"/>
  <c r="AI80" i="143"/>
  <c r="M60" i="132"/>
  <c r="K60" i="132" s="1"/>
  <c r="AH29" i="22"/>
  <c r="AY29" i="22"/>
  <c r="S29" i="22"/>
  <c r="AX29" i="22"/>
  <c r="AI29" i="22"/>
  <c r="R29" i="22"/>
  <c r="J47" i="9"/>
  <c r="J49" i="92"/>
  <c r="B38" i="72"/>
  <c r="E85" i="143"/>
  <c r="K68" i="35"/>
  <c r="H85" i="143"/>
  <c r="Z84" i="143" s="1"/>
  <c r="AR69" i="157"/>
  <c r="AU68" i="157"/>
  <c r="P84" i="143"/>
  <c r="AG83" i="143" s="1"/>
  <c r="B67" i="143"/>
  <c r="N85" i="143"/>
  <c r="AF84" i="143" s="1"/>
  <c r="J83" i="143"/>
  <c r="AB82" i="143" s="1"/>
  <c r="I90" i="143"/>
  <c r="P47" i="92"/>
  <c r="P45" i="9"/>
  <c r="Z83" i="143"/>
  <c r="Q83" i="143"/>
  <c r="AK82" i="143" s="1"/>
  <c r="G83" i="143"/>
  <c r="W82" i="143" s="1"/>
  <c r="O69" i="35"/>
  <c r="AK81" i="143"/>
  <c r="M70" i="35"/>
  <c r="B55" i="28"/>
  <c r="J69" i="35"/>
  <c r="L85" i="143"/>
  <c r="AD84" i="143" s="1"/>
  <c r="W81" i="143"/>
  <c r="AU72" i="155"/>
  <c r="AR73" i="155"/>
  <c r="L42" i="16" l="1"/>
  <c r="I42" i="16"/>
  <c r="J42" i="16"/>
  <c r="F42" i="16"/>
  <c r="D42" i="16"/>
  <c r="K42" i="16"/>
  <c r="E42" i="16"/>
  <c r="H42" i="16"/>
  <c r="G42" i="16"/>
  <c r="G72" i="90"/>
  <c r="L39" i="20"/>
  <c r="AB39" i="20" s="1"/>
  <c r="N39" i="20"/>
  <c r="AD39" i="20" s="1"/>
  <c r="O39" i="20"/>
  <c r="AE39" i="20" s="1"/>
  <c r="J39" i="20"/>
  <c r="Z39" i="20" s="1"/>
  <c r="E39" i="20"/>
  <c r="U39" i="20" s="1"/>
  <c r="F39" i="20"/>
  <c r="V39" i="20" s="1"/>
  <c r="G39" i="20"/>
  <c r="I39" i="20"/>
  <c r="P39" i="20"/>
  <c r="AF39" i="20" s="1"/>
  <c r="M39" i="20"/>
  <c r="AC39" i="20" s="1"/>
  <c r="Q39" i="20"/>
  <c r="AG39" i="20" s="1"/>
  <c r="H39" i="20"/>
  <c r="D39" i="20"/>
  <c r="T39" i="20" s="1"/>
  <c r="K39" i="20"/>
  <c r="AA39" i="20" s="1"/>
  <c r="B40" i="20"/>
  <c r="S40" i="20"/>
  <c r="C41" i="20"/>
  <c r="AC82" i="143"/>
  <c r="K84" i="143"/>
  <c r="B42" i="91"/>
  <c r="F38" i="132"/>
  <c r="I38" i="132" s="1"/>
  <c r="T83" i="143"/>
  <c r="D85" i="143"/>
  <c r="G40" i="25"/>
  <c r="T40" i="25"/>
  <c r="X87" i="143"/>
  <c r="CG40" i="25"/>
  <c r="AT40" i="25"/>
  <c r="S22" i="72"/>
  <c r="V22" i="21"/>
  <c r="CE41" i="25"/>
  <c r="AF41" i="25"/>
  <c r="AR41" i="25"/>
  <c r="AE41" i="25"/>
  <c r="E41" i="25"/>
  <c r="BS41" i="25"/>
  <c r="D41" i="25"/>
  <c r="AD41" i="25"/>
  <c r="BQ41" i="25"/>
  <c r="F41" i="25"/>
  <c r="AS41" i="25"/>
  <c r="BF41" i="25"/>
  <c r="BE41" i="25"/>
  <c r="BR41" i="25"/>
  <c r="CD41" i="25"/>
  <c r="Q41" i="25"/>
  <c r="AQ41" i="25"/>
  <c r="S41" i="25"/>
  <c r="BD41" i="25"/>
  <c r="R41" i="25"/>
  <c r="CF41" i="25"/>
  <c r="S51" i="9"/>
  <c r="S53" i="92"/>
  <c r="C43" i="25"/>
  <c r="B42" i="25"/>
  <c r="BT40" i="25"/>
  <c r="AG40" i="25"/>
  <c r="L69" i="35"/>
  <c r="BG40" i="25"/>
  <c r="M85" i="143"/>
  <c r="AE84" i="143" s="1"/>
  <c r="M53" i="9"/>
  <c r="M55" i="92"/>
  <c r="N67" i="35"/>
  <c r="W59" i="92"/>
  <c r="W57" i="9"/>
  <c r="M61" i="132"/>
  <c r="K61" i="132" s="1"/>
  <c r="V86" i="143"/>
  <c r="R30" i="22"/>
  <c r="AX30" i="22"/>
  <c r="S30" i="22"/>
  <c r="AI30" i="22"/>
  <c r="AH30" i="22"/>
  <c r="AY30" i="22"/>
  <c r="B43" i="115"/>
  <c r="A42" i="115"/>
  <c r="V87" i="143"/>
  <c r="F89" i="143"/>
  <c r="G48" i="92"/>
  <c r="G46" i="9"/>
  <c r="O83" i="143"/>
  <c r="AJ82" i="143" s="1"/>
  <c r="AJ81" i="143"/>
  <c r="AH81" i="143"/>
  <c r="N42" i="16"/>
  <c r="M42" i="16"/>
  <c r="O42" i="16"/>
  <c r="B43" i="16"/>
  <c r="B41" i="96"/>
  <c r="C42" i="96"/>
  <c r="V59" i="92"/>
  <c r="V57" i="9"/>
  <c r="AA30" i="22"/>
  <c r="O30" i="22"/>
  <c r="H30" i="22"/>
  <c r="AQ30" i="22"/>
  <c r="G30" i="22"/>
  <c r="U30" i="22"/>
  <c r="V30" i="22"/>
  <c r="AR30" i="22"/>
  <c r="L30" i="22"/>
  <c r="Y30" i="22"/>
  <c r="Q30" i="22"/>
  <c r="P30" i="22"/>
  <c r="AW30" i="22"/>
  <c r="AD30" i="22"/>
  <c r="I30" i="22"/>
  <c r="AL30" i="22"/>
  <c r="AJ30" i="22"/>
  <c r="Z30" i="22"/>
  <c r="X30" i="22"/>
  <c r="M30" i="22"/>
  <c r="N30" i="22"/>
  <c r="AP30" i="22"/>
  <c r="AO30" i="22"/>
  <c r="J30" i="22"/>
  <c r="E30" i="22"/>
  <c r="AS30" i="22"/>
  <c r="AE30" i="22"/>
  <c r="AN30" i="22"/>
  <c r="W30" i="22"/>
  <c r="AT30" i="22"/>
  <c r="AF30" i="22"/>
  <c r="AM30" i="22"/>
  <c r="F30" i="22"/>
  <c r="AU30" i="22"/>
  <c r="T30" i="22"/>
  <c r="D30" i="22"/>
  <c r="K30" i="22"/>
  <c r="AC30" i="22"/>
  <c r="AV30" i="22"/>
  <c r="AK30" i="22"/>
  <c r="AG30" i="22"/>
  <c r="AB30" i="22"/>
  <c r="B68" i="143"/>
  <c r="S67" i="143" s="1"/>
  <c r="B67" i="145" s="1"/>
  <c r="B67" i="146" s="1"/>
  <c r="E86" i="143"/>
  <c r="U85" i="143" s="1"/>
  <c r="J70" i="35"/>
  <c r="J84" i="143"/>
  <c r="AB83" i="143" s="1"/>
  <c r="U84" i="143"/>
  <c r="M71" i="35"/>
  <c r="G84" i="143"/>
  <c r="W83" i="143" s="1"/>
  <c r="P48" i="92"/>
  <c r="P46" i="9"/>
  <c r="P85" i="143"/>
  <c r="AG84" i="143" s="1"/>
  <c r="H86" i="143"/>
  <c r="AA85" i="143" s="1"/>
  <c r="AA84" i="143"/>
  <c r="B39" i="72"/>
  <c r="Q84" i="143"/>
  <c r="Y84" i="143"/>
  <c r="J48" i="9"/>
  <c r="J50" i="92"/>
  <c r="AR74" i="155"/>
  <c r="AU73" i="155"/>
  <c r="L86" i="143"/>
  <c r="AD85" i="143" s="1"/>
  <c r="O70" i="35"/>
  <c r="I91" i="143"/>
  <c r="X90" i="143" s="1"/>
  <c r="N86" i="143"/>
  <c r="K69" i="35"/>
  <c r="B56" i="28"/>
  <c r="X89" i="143"/>
  <c r="S66" i="143"/>
  <c r="B66" i="145" s="1"/>
  <c r="B66" i="146" s="1"/>
  <c r="AR70" i="157"/>
  <c r="AU69" i="157"/>
  <c r="I43" i="16" l="1"/>
  <c r="E43" i="16"/>
  <c r="J43" i="16"/>
  <c r="K43" i="16"/>
  <c r="F43" i="16"/>
  <c r="D43" i="16"/>
  <c r="L43" i="16"/>
  <c r="G43" i="16"/>
  <c r="H43" i="16"/>
  <c r="G73" i="90"/>
  <c r="F40" i="20"/>
  <c r="V40" i="20" s="1"/>
  <c r="L40" i="20"/>
  <c r="AB40" i="20" s="1"/>
  <c r="N40" i="20"/>
  <c r="AD40" i="20" s="1"/>
  <c r="E40" i="20"/>
  <c r="U40" i="20" s="1"/>
  <c r="H40" i="20"/>
  <c r="J40" i="20"/>
  <c r="Z40" i="20" s="1"/>
  <c r="G40" i="20"/>
  <c r="O40" i="20"/>
  <c r="AE40" i="20" s="1"/>
  <c r="P40" i="20"/>
  <c r="AF40" i="20" s="1"/>
  <c r="D40" i="20"/>
  <c r="T40" i="20" s="1"/>
  <c r="M40" i="20"/>
  <c r="AC40" i="20" s="1"/>
  <c r="Q40" i="20"/>
  <c r="AG40" i="20" s="1"/>
  <c r="I40" i="20"/>
  <c r="K40" i="20"/>
  <c r="AA40" i="20" s="1"/>
  <c r="B41" i="20"/>
  <c r="S41" i="20"/>
  <c r="C42" i="20"/>
  <c r="AC83" i="143"/>
  <c r="K85" i="143"/>
  <c r="B43" i="91"/>
  <c r="D86" i="143"/>
  <c r="T84" i="143"/>
  <c r="AT41" i="25"/>
  <c r="BT41" i="25"/>
  <c r="Z85" i="143"/>
  <c r="BG41" i="25"/>
  <c r="AD42" i="25"/>
  <c r="BR42" i="25"/>
  <c r="CD42" i="25"/>
  <c r="BD42" i="25"/>
  <c r="BE42" i="25"/>
  <c r="AF42" i="25"/>
  <c r="AQ42" i="25"/>
  <c r="S42" i="25"/>
  <c r="CE42" i="25"/>
  <c r="Q42" i="25"/>
  <c r="D42" i="25"/>
  <c r="BQ42" i="25"/>
  <c r="E42" i="25"/>
  <c r="AS42" i="25"/>
  <c r="BF42" i="25"/>
  <c r="CF42" i="25"/>
  <c r="AR42" i="25"/>
  <c r="R42" i="25"/>
  <c r="AE42" i="25"/>
  <c r="F42" i="25"/>
  <c r="BS42" i="25"/>
  <c r="C44" i="25"/>
  <c r="B43" i="25"/>
  <c r="T41" i="25"/>
  <c r="AG41" i="25"/>
  <c r="M86" i="143"/>
  <c r="AE85" i="143" s="1"/>
  <c r="S54" i="92"/>
  <c r="S52" i="9"/>
  <c r="CG41" i="25"/>
  <c r="G41" i="25"/>
  <c r="W22" i="21"/>
  <c r="T22" i="72"/>
  <c r="L70" i="35"/>
  <c r="M54" i="9"/>
  <c r="M56" i="92"/>
  <c r="C43" i="96"/>
  <c r="B42" i="96"/>
  <c r="A43" i="115"/>
  <c r="B44" i="115"/>
  <c r="M62" i="132"/>
  <c r="K62" i="132" s="1"/>
  <c r="O84" i="143"/>
  <c r="AJ83" i="143" s="1"/>
  <c r="AI82" i="143"/>
  <c r="AH82" i="143"/>
  <c r="N43" i="16"/>
  <c r="B44" i="16"/>
  <c r="M43" i="16"/>
  <c r="O43" i="16"/>
  <c r="G49" i="92"/>
  <c r="G47" i="9"/>
  <c r="S31" i="22"/>
  <c r="AI31" i="22"/>
  <c r="AH31" i="22"/>
  <c r="R31" i="22"/>
  <c r="AY31" i="22"/>
  <c r="AX31" i="22"/>
  <c r="V88" i="143"/>
  <c r="F90" i="143"/>
  <c r="W58" i="9"/>
  <c r="W60" i="92"/>
  <c r="V31" i="22"/>
  <c r="AK31" i="22"/>
  <c r="P31" i="22"/>
  <c r="K31" i="22"/>
  <c r="AT31" i="22"/>
  <c r="AR31" i="22"/>
  <c r="AV31" i="22"/>
  <c r="AE31" i="22"/>
  <c r="X31" i="22"/>
  <c r="AW31" i="22"/>
  <c r="W31" i="22"/>
  <c r="AN31" i="22"/>
  <c r="H31" i="22"/>
  <c r="Z31" i="22"/>
  <c r="Y31" i="22"/>
  <c r="AP31" i="22"/>
  <c r="Q31" i="22"/>
  <c r="J31" i="22"/>
  <c r="T31" i="22"/>
  <c r="L31" i="22"/>
  <c r="E31" i="22"/>
  <c r="M31" i="22"/>
  <c r="AU31" i="22"/>
  <c r="AG31" i="22"/>
  <c r="AL31" i="22"/>
  <c r="I31" i="22"/>
  <c r="G31" i="22"/>
  <c r="AC31" i="22"/>
  <c r="U31" i="22"/>
  <c r="AA31" i="22"/>
  <c r="D31" i="22"/>
  <c r="AM31" i="22"/>
  <c r="AO31" i="22"/>
  <c r="F31" i="22"/>
  <c r="AS31" i="22"/>
  <c r="O31" i="22"/>
  <c r="AJ31" i="22"/>
  <c r="N31" i="22"/>
  <c r="AQ31" i="22"/>
  <c r="AD31" i="22"/>
  <c r="AF31" i="22"/>
  <c r="AB31" i="22"/>
  <c r="V58" i="9"/>
  <c r="V60" i="92"/>
  <c r="N68" i="35"/>
  <c r="K70" i="35"/>
  <c r="Q85" i="143"/>
  <c r="AK84" i="143" s="1"/>
  <c r="O71" i="35"/>
  <c r="B40" i="72"/>
  <c r="J49" i="9"/>
  <c r="J51" i="92"/>
  <c r="B57" i="28"/>
  <c r="I92" i="143"/>
  <c r="X91" i="143" s="1"/>
  <c r="H87" i="143"/>
  <c r="Y86" i="143" s="1"/>
  <c r="J71" i="35"/>
  <c r="N87" i="143"/>
  <c r="AF86" i="143" s="1"/>
  <c r="AU74" i="155"/>
  <c r="AR75" i="155"/>
  <c r="Y85" i="143"/>
  <c r="G85" i="143"/>
  <c r="W84" i="143" s="1"/>
  <c r="J85" i="143"/>
  <c r="AB84" i="143" s="1"/>
  <c r="M72" i="35"/>
  <c r="AR71" i="157"/>
  <c r="AU70" i="157"/>
  <c r="AK83" i="143"/>
  <c r="E87" i="143"/>
  <c r="U86" i="143" s="1"/>
  <c r="P86" i="143"/>
  <c r="AG85" i="143" s="1"/>
  <c r="P47" i="9"/>
  <c r="P49" i="92"/>
  <c r="AF85" i="143"/>
  <c r="L87" i="143"/>
  <c r="AD86" i="143" s="1"/>
  <c r="B69" i="143"/>
  <c r="K44" i="16" l="1"/>
  <c r="I44" i="16"/>
  <c r="E44" i="16"/>
  <c r="L44" i="16"/>
  <c r="D44" i="16"/>
  <c r="J44" i="16"/>
  <c r="F44" i="16"/>
  <c r="G44" i="16"/>
  <c r="H44" i="16"/>
  <c r="G74" i="90"/>
  <c r="P41" i="20"/>
  <c r="AF41" i="20" s="1"/>
  <c r="N41" i="20"/>
  <c r="AD41" i="20" s="1"/>
  <c r="J41" i="20"/>
  <c r="Z41" i="20" s="1"/>
  <c r="F41" i="20"/>
  <c r="V41" i="20" s="1"/>
  <c r="K41" i="20"/>
  <c r="AA41" i="20" s="1"/>
  <c r="I41" i="20"/>
  <c r="D41" i="20"/>
  <c r="T41" i="20" s="1"/>
  <c r="G41" i="20"/>
  <c r="Q41" i="20"/>
  <c r="AG41" i="20" s="1"/>
  <c r="M41" i="20"/>
  <c r="AC41" i="20" s="1"/>
  <c r="H41" i="20"/>
  <c r="E41" i="20"/>
  <c r="U41" i="20" s="1"/>
  <c r="L41" i="20"/>
  <c r="AB41" i="20" s="1"/>
  <c r="O41" i="20"/>
  <c r="AE41" i="20" s="1"/>
  <c r="B42" i="20"/>
  <c r="C43" i="20"/>
  <c r="S42" i="20"/>
  <c r="AC84" i="143"/>
  <c r="K86" i="143"/>
  <c r="T85" i="143"/>
  <c r="D87" i="143"/>
  <c r="B44" i="91"/>
  <c r="BG42" i="25"/>
  <c r="AG42" i="25"/>
  <c r="F43" i="25"/>
  <c r="AS43" i="25"/>
  <c r="BR43" i="25"/>
  <c r="S43" i="25"/>
  <c r="BD43" i="25"/>
  <c r="AD43" i="25"/>
  <c r="Q43" i="25"/>
  <c r="BF43" i="25"/>
  <c r="E43" i="25"/>
  <c r="BQ43" i="25"/>
  <c r="AF43" i="25"/>
  <c r="D43" i="25"/>
  <c r="AR43" i="25"/>
  <c r="CD43" i="25"/>
  <c r="BS43" i="25"/>
  <c r="BE43" i="25"/>
  <c r="AE43" i="25"/>
  <c r="AQ43" i="25"/>
  <c r="R43" i="25"/>
  <c r="CF43" i="25"/>
  <c r="CE43" i="25"/>
  <c r="AT42" i="25"/>
  <c r="C45" i="25"/>
  <c r="B44" i="25"/>
  <c r="S53" i="9"/>
  <c r="S55" i="92"/>
  <c r="BT42" i="25"/>
  <c r="L71" i="35"/>
  <c r="G42" i="25"/>
  <c r="CG42" i="25"/>
  <c r="M87" i="143"/>
  <c r="AE86" i="143" s="1"/>
  <c r="T42" i="25"/>
  <c r="U22" i="72"/>
  <c r="X22" i="21"/>
  <c r="M55" i="9"/>
  <c r="M57" i="92"/>
  <c r="N69" i="35"/>
  <c r="N44" i="16"/>
  <c r="O44" i="16"/>
  <c r="B45" i="16"/>
  <c r="M44" i="16"/>
  <c r="O85" i="143"/>
  <c r="AI83" i="143"/>
  <c r="V61" i="92"/>
  <c r="V59" i="9"/>
  <c r="W61" i="92"/>
  <c r="W59" i="9"/>
  <c r="N32" i="22"/>
  <c r="AN32" i="22"/>
  <c r="H32" i="22"/>
  <c r="AA32" i="22"/>
  <c r="AP32" i="22"/>
  <c r="M32" i="22"/>
  <c r="P32" i="22"/>
  <c r="AK32" i="22"/>
  <c r="X32" i="22"/>
  <c r="Y32" i="22"/>
  <c r="AO32" i="22"/>
  <c r="I32" i="22"/>
  <c r="J32" i="22"/>
  <c r="AU32" i="22"/>
  <c r="T32" i="22"/>
  <c r="U32" i="22"/>
  <c r="AR32" i="22"/>
  <c r="AV32" i="22"/>
  <c r="AT32" i="22"/>
  <c r="L32" i="22"/>
  <c r="AG32" i="22"/>
  <c r="AJ32" i="22"/>
  <c r="Q32" i="22"/>
  <c r="AM32" i="22"/>
  <c r="K32" i="22"/>
  <c r="V32" i="22"/>
  <c r="O32" i="22"/>
  <c r="Z32" i="22"/>
  <c r="AF32" i="22"/>
  <c r="AS32" i="22"/>
  <c r="AD32" i="22"/>
  <c r="AL32" i="22"/>
  <c r="D32" i="22"/>
  <c r="E32" i="22"/>
  <c r="AB32" i="22"/>
  <c r="G32" i="22"/>
  <c r="AW32" i="22"/>
  <c r="AE32" i="22"/>
  <c r="W32" i="22"/>
  <c r="F32" i="22"/>
  <c r="AQ32" i="22"/>
  <c r="AC32" i="22"/>
  <c r="AH32" i="22"/>
  <c r="S32" i="22"/>
  <c r="R32" i="22"/>
  <c r="AI32" i="22"/>
  <c r="AX32" i="22"/>
  <c r="AY32" i="22"/>
  <c r="M63" i="132"/>
  <c r="K63" i="132" s="1"/>
  <c r="V89" i="143"/>
  <c r="F91" i="143"/>
  <c r="B45" i="115"/>
  <c r="A44" i="115"/>
  <c r="G48" i="9"/>
  <c r="G50" i="92"/>
  <c r="AH83" i="143"/>
  <c r="C44" i="96"/>
  <c r="B43" i="96"/>
  <c r="L88" i="143"/>
  <c r="AD87" i="143" s="1"/>
  <c r="B70" i="143"/>
  <c r="S69" i="143" s="1"/>
  <c r="B69" i="145" s="1"/>
  <c r="B69" i="146" s="1"/>
  <c r="P50" i="92"/>
  <c r="P48" i="9"/>
  <c r="S68" i="143"/>
  <c r="B68" i="145" s="1"/>
  <c r="B68" i="146" s="1"/>
  <c r="AR72" i="157"/>
  <c r="AU71" i="157"/>
  <c r="B58" i="28"/>
  <c r="B41" i="72"/>
  <c r="E88" i="143"/>
  <c r="U87" i="143" s="1"/>
  <c r="AU75" i="155"/>
  <c r="AR76" i="155"/>
  <c r="AA86" i="143"/>
  <c r="J86" i="143"/>
  <c r="AB85" i="143" s="1"/>
  <c r="Z86" i="143"/>
  <c r="I93" i="143"/>
  <c r="X92" i="143" s="1"/>
  <c r="J52" i="92"/>
  <c r="J50" i="9"/>
  <c r="O72" i="35"/>
  <c r="N88" i="143"/>
  <c r="H88" i="143"/>
  <c r="AA87" i="143" s="1"/>
  <c r="Q86" i="143"/>
  <c r="G86" i="143"/>
  <c r="W85" i="143" s="1"/>
  <c r="P87" i="143"/>
  <c r="AG86" i="143" s="1"/>
  <c r="J72" i="35"/>
  <c r="K71" i="35"/>
  <c r="L45" i="16" l="1"/>
  <c r="E45" i="16"/>
  <c r="J45" i="16"/>
  <c r="F45" i="16"/>
  <c r="K45" i="16"/>
  <c r="I45" i="16"/>
  <c r="D45" i="16"/>
  <c r="H45" i="16"/>
  <c r="G45" i="16"/>
  <c r="G75" i="90"/>
  <c r="C44" i="20"/>
  <c r="B43" i="20"/>
  <c r="S43" i="20"/>
  <c r="P42" i="20"/>
  <c r="AF42" i="20" s="1"/>
  <c r="K42" i="20"/>
  <c r="AA42" i="20" s="1"/>
  <c r="F42" i="20"/>
  <c r="V42" i="20" s="1"/>
  <c r="D42" i="20"/>
  <c r="T42" i="20" s="1"/>
  <c r="Q42" i="20"/>
  <c r="AG42" i="20" s="1"/>
  <c r="L42" i="20"/>
  <c r="AB42" i="20" s="1"/>
  <c r="J42" i="20"/>
  <c r="Z42" i="20" s="1"/>
  <c r="M42" i="20"/>
  <c r="AC42" i="20" s="1"/>
  <c r="N42" i="20"/>
  <c r="AD42" i="20" s="1"/>
  <c r="E42" i="20"/>
  <c r="U42" i="20" s="1"/>
  <c r="I42" i="20"/>
  <c r="G42" i="20"/>
  <c r="O42" i="20"/>
  <c r="AE42" i="20" s="1"/>
  <c r="H42" i="20"/>
  <c r="AC85" i="143"/>
  <c r="K87" i="143"/>
  <c r="B45" i="91"/>
  <c r="T86" i="143"/>
  <c r="D88" i="143"/>
  <c r="D89" i="143" s="1"/>
  <c r="D90" i="143" s="1"/>
  <c r="T89" i="143" s="1"/>
  <c r="BG43" i="25"/>
  <c r="AT43" i="25"/>
  <c r="BT43" i="25"/>
  <c r="CD44" i="25"/>
  <c r="BE44" i="25"/>
  <c r="AF44" i="25"/>
  <c r="AD44" i="25"/>
  <c r="BS44" i="25"/>
  <c r="Q44" i="25"/>
  <c r="AR44" i="25"/>
  <c r="CE44" i="25"/>
  <c r="AS44" i="25"/>
  <c r="E44" i="25"/>
  <c r="BQ44" i="25"/>
  <c r="AQ44" i="25"/>
  <c r="D44" i="25"/>
  <c r="S44" i="25"/>
  <c r="AE44" i="25"/>
  <c r="R44" i="25"/>
  <c r="BR44" i="25"/>
  <c r="CF44" i="25"/>
  <c r="BF44" i="25"/>
  <c r="BD44" i="25"/>
  <c r="F44" i="25"/>
  <c r="Y22" i="21"/>
  <c r="V22" i="72"/>
  <c r="B45" i="25"/>
  <c r="C46" i="25"/>
  <c r="T43" i="25"/>
  <c r="CG43" i="25"/>
  <c r="AG43" i="25"/>
  <c r="L72" i="35"/>
  <c r="G43" i="25"/>
  <c r="M88" i="143"/>
  <c r="M89" i="143" s="1"/>
  <c r="S56" i="92"/>
  <c r="S54" i="9"/>
  <c r="D30" i="98" s="1"/>
  <c r="D29" i="31" s="1"/>
  <c r="E54" i="29"/>
  <c r="D58" i="29"/>
  <c r="F54" i="29"/>
  <c r="E57" i="29"/>
  <c r="F58" i="29"/>
  <c r="F57" i="29"/>
  <c r="E58" i="29"/>
  <c r="D29" i="139"/>
  <c r="D54" i="29"/>
  <c r="D55" i="29"/>
  <c r="D28" i="139"/>
  <c r="D57" i="29"/>
  <c r="F55" i="29"/>
  <c r="D30" i="27"/>
  <c r="E55" i="29"/>
  <c r="M56" i="9"/>
  <c r="M58" i="92"/>
  <c r="V90" i="143"/>
  <c r="F92" i="143"/>
  <c r="AB33" i="22"/>
  <c r="AK33" i="22"/>
  <c r="AC33" i="22"/>
  <c r="AD33" i="22"/>
  <c r="AW33" i="22"/>
  <c r="AO33" i="22"/>
  <c r="E33" i="22"/>
  <c r="N33" i="22"/>
  <c r="K33" i="22"/>
  <c r="D33" i="22"/>
  <c r="Q33" i="22"/>
  <c r="AE33" i="22"/>
  <c r="AN33" i="22"/>
  <c r="F33" i="22"/>
  <c r="J33" i="22"/>
  <c r="P33" i="22"/>
  <c r="Y33" i="22"/>
  <c r="W33" i="22"/>
  <c r="AQ33" i="22"/>
  <c r="O33" i="22"/>
  <c r="AU33" i="22"/>
  <c r="AM33" i="22"/>
  <c r="AA33" i="22"/>
  <c r="AT33" i="22"/>
  <c r="M33" i="22"/>
  <c r="I33" i="22"/>
  <c r="AJ33" i="22"/>
  <c r="AV33" i="22"/>
  <c r="AF33" i="22"/>
  <c r="AL33" i="22"/>
  <c r="Z33" i="22"/>
  <c r="T33" i="22"/>
  <c r="L33" i="22"/>
  <c r="U33" i="22"/>
  <c r="AS33" i="22"/>
  <c r="AR33" i="22"/>
  <c r="AP33" i="22"/>
  <c r="X33" i="22"/>
  <c r="AG33" i="22"/>
  <c r="G33" i="22"/>
  <c r="H33" i="22"/>
  <c r="V33" i="22"/>
  <c r="W62" i="92"/>
  <c r="W60" i="9"/>
  <c r="B44" i="96"/>
  <c r="C45" i="96"/>
  <c r="V60" i="9"/>
  <c r="V62" i="92"/>
  <c r="CM33" i="23"/>
  <c r="BZ33" i="23"/>
  <c r="AZ33" i="23"/>
  <c r="BM33" i="23"/>
  <c r="Z33" i="23"/>
  <c r="AM33" i="23"/>
  <c r="M33" i="23"/>
  <c r="O45" i="16"/>
  <c r="B46" i="16"/>
  <c r="M45" i="16"/>
  <c r="N45" i="16"/>
  <c r="N70" i="35"/>
  <c r="M64" i="132"/>
  <c r="K64" i="132" s="1"/>
  <c r="A45" i="115"/>
  <c r="B46" i="115"/>
  <c r="AS33" i="23"/>
  <c r="AB33" i="23"/>
  <c r="CO33" i="23"/>
  <c r="CF33" i="23"/>
  <c r="S33" i="23"/>
  <c r="BS33" i="23"/>
  <c r="F33" i="23"/>
  <c r="CB33" i="23"/>
  <c r="AF33" i="23"/>
  <c r="BF33" i="23"/>
  <c r="BB33" i="23"/>
  <c r="O33" i="23"/>
  <c r="AO33" i="23"/>
  <c r="BO33" i="23"/>
  <c r="BH33" i="23"/>
  <c r="U33" i="23"/>
  <c r="CH33" i="23"/>
  <c r="AH33" i="23"/>
  <c r="H33" i="23"/>
  <c r="AU33" i="23"/>
  <c r="BU33" i="23"/>
  <c r="BX33" i="23"/>
  <c r="X33" i="23"/>
  <c r="AY33" i="23"/>
  <c r="L33" i="23"/>
  <c r="BL33" i="23"/>
  <c r="AX33" i="23"/>
  <c r="K33" i="23"/>
  <c r="CK33" i="23"/>
  <c r="Y33" i="23"/>
  <c r="AK33" i="23"/>
  <c r="BK33" i="23"/>
  <c r="AL33" i="23"/>
  <c r="CL33" i="23"/>
  <c r="BY33" i="23"/>
  <c r="AD33" i="23"/>
  <c r="D33" i="23"/>
  <c r="Q33" i="23"/>
  <c r="BD33" i="23"/>
  <c r="CD33" i="23"/>
  <c r="AQ33" i="23"/>
  <c r="BQ33" i="23"/>
  <c r="O86" i="143"/>
  <c r="AH84" i="143"/>
  <c r="AI84" i="143"/>
  <c r="AJ84" i="143"/>
  <c r="G51" i="92"/>
  <c r="G49" i="9"/>
  <c r="E33" i="23"/>
  <c r="CN33" i="23"/>
  <c r="AE33" i="23"/>
  <c r="AV33" i="23"/>
  <c r="R33" i="23"/>
  <c r="BA33" i="23"/>
  <c r="CA33" i="23"/>
  <c r="AA33" i="23"/>
  <c r="BI33" i="23"/>
  <c r="V33" i="23"/>
  <c r="BV33" i="23"/>
  <c r="I33" i="23"/>
  <c r="AI33" i="23"/>
  <c r="BN33" i="23"/>
  <c r="AR33" i="23"/>
  <c r="N33" i="23"/>
  <c r="BE33" i="23"/>
  <c r="AN33" i="23"/>
  <c r="CI33" i="23"/>
  <c r="BR33" i="23"/>
  <c r="CE33" i="23"/>
  <c r="AX33" i="22"/>
  <c r="S33" i="22"/>
  <c r="R33" i="22"/>
  <c r="AH33" i="22"/>
  <c r="AY33" i="22"/>
  <c r="AI33" i="22"/>
  <c r="AU72" i="157"/>
  <c r="AR73" i="157"/>
  <c r="J53" i="92"/>
  <c r="J51" i="9"/>
  <c r="H89" i="143"/>
  <c r="Y88" i="143" s="1"/>
  <c r="B59" i="28"/>
  <c r="P51" i="92"/>
  <c r="P49" i="9"/>
  <c r="P88" i="143"/>
  <c r="AG87" i="143" s="1"/>
  <c r="Z87" i="143"/>
  <c r="E89" i="143"/>
  <c r="B71" i="143"/>
  <c r="S70" i="143" s="1"/>
  <c r="B70" i="145" s="1"/>
  <c r="B70" i="146" s="1"/>
  <c r="I94" i="143"/>
  <c r="X93" i="143" s="1"/>
  <c r="Y87" i="143"/>
  <c r="Q87" i="143"/>
  <c r="AK86" i="143" s="1"/>
  <c r="N89" i="143"/>
  <c r="AF88" i="143" s="1"/>
  <c r="AU76" i="155"/>
  <c r="AR77" i="155"/>
  <c r="B42" i="72"/>
  <c r="K72" i="35"/>
  <c r="G87" i="143"/>
  <c r="AK85" i="143"/>
  <c r="AF87" i="143"/>
  <c r="J87" i="143"/>
  <c r="L89" i="143"/>
  <c r="AD88" i="143" s="1"/>
  <c r="D46" i="16" l="1"/>
  <c r="F46" i="16"/>
  <c r="K46" i="16"/>
  <c r="I46" i="16"/>
  <c r="L46" i="16"/>
  <c r="J46" i="16"/>
  <c r="E46" i="16"/>
  <c r="H46" i="16"/>
  <c r="G46" i="16"/>
  <c r="G76" i="90"/>
  <c r="J43" i="20"/>
  <c r="Z43" i="20" s="1"/>
  <c r="L43" i="20"/>
  <c r="AB43" i="20" s="1"/>
  <c r="D43" i="20"/>
  <c r="T43" i="20" s="1"/>
  <c r="M43" i="20"/>
  <c r="AC43" i="20" s="1"/>
  <c r="G43" i="20"/>
  <c r="H43" i="20"/>
  <c r="E43" i="20"/>
  <c r="U43" i="20" s="1"/>
  <c r="O43" i="20"/>
  <c r="AE43" i="20" s="1"/>
  <c r="I43" i="20"/>
  <c r="F43" i="20"/>
  <c r="V43" i="20" s="1"/>
  <c r="K43" i="20"/>
  <c r="AA43" i="20" s="1"/>
  <c r="P43" i="20"/>
  <c r="AF43" i="20" s="1"/>
  <c r="Q43" i="20"/>
  <c r="AG43" i="20" s="1"/>
  <c r="N43" i="20"/>
  <c r="AD43" i="20" s="1"/>
  <c r="C45" i="20"/>
  <c r="S44" i="20"/>
  <c r="B44" i="20"/>
  <c r="T87" i="143"/>
  <c r="AC86" i="143"/>
  <c r="K88" i="143"/>
  <c r="T88" i="143"/>
  <c r="B46" i="91"/>
  <c r="BT44" i="25"/>
  <c r="AE87" i="143"/>
  <c r="AE88" i="143"/>
  <c r="M90" i="143"/>
  <c r="AE89" i="143" s="1"/>
  <c r="S45" i="25"/>
  <c r="AS45" i="25"/>
  <c r="Q45" i="25"/>
  <c r="E45" i="25"/>
  <c r="F45" i="25"/>
  <c r="AQ45" i="25"/>
  <c r="AE45" i="25"/>
  <c r="BQ45" i="25"/>
  <c r="BD45" i="25"/>
  <c r="D45" i="25"/>
  <c r="CE45" i="25"/>
  <c r="AD45" i="25"/>
  <c r="BE45" i="25"/>
  <c r="R45" i="25"/>
  <c r="BR45" i="25"/>
  <c r="BS45" i="25"/>
  <c r="AR45" i="25"/>
  <c r="CF45" i="25"/>
  <c r="AF45" i="25"/>
  <c r="BF45" i="25"/>
  <c r="CD45" i="25"/>
  <c r="Z22" i="21"/>
  <c r="W22" i="72"/>
  <c r="T44" i="25"/>
  <c r="G44" i="25"/>
  <c r="BG44" i="25"/>
  <c r="AT44" i="25"/>
  <c r="AG44" i="25"/>
  <c r="S55" i="9"/>
  <c r="D31" i="98" s="1"/>
  <c r="D30" i="31" s="1"/>
  <c r="S57" i="92"/>
  <c r="D32" i="27"/>
  <c r="E32" i="27" s="1"/>
  <c r="E30" i="27"/>
  <c r="CH31" i="23"/>
  <c r="D36" i="33"/>
  <c r="L30" i="23"/>
  <c r="CD30" i="23"/>
  <c r="AA30" i="23"/>
  <c r="G35" i="33"/>
  <c r="BU29" i="23"/>
  <c r="AR30" i="23"/>
  <c r="D28" i="33"/>
  <c r="AM29" i="23"/>
  <c r="CD28" i="23"/>
  <c r="BM29" i="23"/>
  <c r="BK29" i="23"/>
  <c r="I29" i="23"/>
  <c r="AF28" i="23"/>
  <c r="CO28" i="23"/>
  <c r="CN31" i="23"/>
  <c r="S30" i="23"/>
  <c r="K29" i="23"/>
  <c r="AI30" i="23"/>
  <c r="BS28" i="23"/>
  <c r="U31" i="23"/>
  <c r="AV29" i="23"/>
  <c r="Q28" i="23"/>
  <c r="AK31" i="23"/>
  <c r="CM30" i="23"/>
  <c r="AB30" i="23"/>
  <c r="O30" i="23"/>
  <c r="BL32" i="23"/>
  <c r="H32" i="23"/>
  <c r="CM29" i="23"/>
  <c r="AD31" i="23"/>
  <c r="AO29" i="23"/>
  <c r="BH29" i="23"/>
  <c r="BQ28" i="23"/>
  <c r="G28" i="33"/>
  <c r="BV29" i="23"/>
  <c r="U28" i="23"/>
  <c r="O28" i="23"/>
  <c r="AM30" i="23"/>
  <c r="X30" i="23"/>
  <c r="CH30" i="23"/>
  <c r="E34" i="33"/>
  <c r="AE32" i="23"/>
  <c r="AD30" i="23"/>
  <c r="F37" i="33"/>
  <c r="E30" i="23"/>
  <c r="AS31" i="23"/>
  <c r="S28" i="23"/>
  <c r="G27" i="33"/>
  <c r="AK30" i="23"/>
  <c r="AO28" i="23"/>
  <c r="BX29" i="23"/>
  <c r="AQ29" i="23"/>
  <c r="BK30" i="23"/>
  <c r="CA31" i="23"/>
  <c r="R30" i="23"/>
  <c r="AR28" i="23"/>
  <c r="D29" i="33"/>
  <c r="BQ31" i="23"/>
  <c r="BH31" i="23"/>
  <c r="AV30" i="23"/>
  <c r="AE28" i="23"/>
  <c r="S31" i="23"/>
  <c r="L28" i="23"/>
  <c r="B46" i="25"/>
  <c r="BX31" i="23"/>
  <c r="BA31" i="23"/>
  <c r="AE29" i="23"/>
  <c r="AB31" i="23"/>
  <c r="D28" i="23"/>
  <c r="BU30" i="23"/>
  <c r="F29" i="33"/>
  <c r="J35" i="33"/>
  <c r="AQ31" i="23"/>
  <c r="V28" i="23"/>
  <c r="J28" i="33"/>
  <c r="G31" i="33"/>
  <c r="Z31" i="23"/>
  <c r="BR29" i="23"/>
  <c r="BH30" i="23"/>
  <c r="BQ30" i="23"/>
  <c r="CE28" i="23"/>
  <c r="H30" i="23"/>
  <c r="N28" i="23"/>
  <c r="I28" i="23"/>
  <c r="CI28" i="23"/>
  <c r="BY31" i="23"/>
  <c r="E38" i="33"/>
  <c r="BK28" i="23"/>
  <c r="E32" i="23"/>
  <c r="F30" i="23"/>
  <c r="AN29" i="23"/>
  <c r="G38" i="33"/>
  <c r="BF28" i="23"/>
  <c r="BR31" i="23"/>
  <c r="CA29" i="23"/>
  <c r="K30" i="23"/>
  <c r="H29" i="33"/>
  <c r="D31" i="33"/>
  <c r="G29" i="33"/>
  <c r="AR32" i="23"/>
  <c r="V30" i="23"/>
  <c r="AA32" i="23"/>
  <c r="CE29" i="23"/>
  <c r="R29" i="23"/>
  <c r="AL28" i="23"/>
  <c r="BD29" i="23"/>
  <c r="CI29" i="23"/>
  <c r="BF31" i="23"/>
  <c r="AA29" i="23"/>
  <c r="Q29" i="23"/>
  <c r="BY28" i="23"/>
  <c r="I35" i="33"/>
  <c r="CE30" i="23"/>
  <c r="CA28" i="23"/>
  <c r="Y28" i="23"/>
  <c r="AL31" i="23"/>
  <c r="BE32" i="23"/>
  <c r="AS29" i="23"/>
  <c r="I37" i="33"/>
  <c r="F29" i="23"/>
  <c r="BE29" i="23"/>
  <c r="AX29" i="23"/>
  <c r="AB28" i="23"/>
  <c r="J37" i="33"/>
  <c r="AL29" i="23"/>
  <c r="U29" i="23"/>
  <c r="AY31" i="23"/>
  <c r="R31" i="23"/>
  <c r="D37" i="33"/>
  <c r="BI28" i="23"/>
  <c r="CL28" i="23"/>
  <c r="AE30" i="23"/>
  <c r="BM30" i="23"/>
  <c r="BF29" i="23"/>
  <c r="M30" i="23"/>
  <c r="J34" i="33"/>
  <c r="AX28" i="23"/>
  <c r="D34" i="33"/>
  <c r="BL30" i="23"/>
  <c r="BA32" i="23"/>
  <c r="CI30" i="23"/>
  <c r="BL29" i="23"/>
  <c r="Q31" i="23"/>
  <c r="BK31" i="23"/>
  <c r="I38" i="33"/>
  <c r="BI30" i="23"/>
  <c r="BL31" i="23"/>
  <c r="AZ29" i="23"/>
  <c r="H32" i="33"/>
  <c r="AU28" i="23"/>
  <c r="CH28" i="23"/>
  <c r="Z30" i="23"/>
  <c r="AR31" i="23"/>
  <c r="I28" i="33"/>
  <c r="E29" i="33"/>
  <c r="I36" i="33"/>
  <c r="AB29" i="23"/>
  <c r="BA28" i="23"/>
  <c r="N30" i="23"/>
  <c r="CI31" i="23"/>
  <c r="CK32" i="23"/>
  <c r="AH31" i="23"/>
  <c r="BN31" i="23"/>
  <c r="BB29" i="23"/>
  <c r="CB30" i="23"/>
  <c r="E37" i="33"/>
  <c r="AN28" i="23"/>
  <c r="J36" i="33"/>
  <c r="O29" i="23"/>
  <c r="CA30" i="23"/>
  <c r="AI31" i="23"/>
  <c r="CN28" i="23"/>
  <c r="I32" i="33"/>
  <c r="I34" i="33"/>
  <c r="AM28" i="23"/>
  <c r="Y30" i="23"/>
  <c r="AU30" i="23"/>
  <c r="BY30" i="23"/>
  <c r="CN29" i="23"/>
  <c r="K28" i="23"/>
  <c r="AK29" i="23"/>
  <c r="AV31" i="23"/>
  <c r="AA28" i="23"/>
  <c r="AH29" i="23"/>
  <c r="BM31" i="23"/>
  <c r="L29" i="23"/>
  <c r="BZ29" i="23"/>
  <c r="X29" i="23"/>
  <c r="BN32" i="23"/>
  <c r="BD30" i="23"/>
  <c r="BI31" i="23"/>
  <c r="AU31" i="23"/>
  <c r="AY28" i="23"/>
  <c r="CF29" i="23"/>
  <c r="N29" i="23"/>
  <c r="R32" i="23"/>
  <c r="H38" i="33"/>
  <c r="CM31" i="23"/>
  <c r="J38" i="33"/>
  <c r="BY32" i="23"/>
  <c r="AH30" i="23"/>
  <c r="BN28" i="23"/>
  <c r="AK28" i="23"/>
  <c r="BS31" i="23"/>
  <c r="AI29" i="23"/>
  <c r="J27" i="33"/>
  <c r="CF30" i="23"/>
  <c r="CO29" i="23"/>
  <c r="BV31" i="23"/>
  <c r="BL28" i="23"/>
  <c r="I31" i="23"/>
  <c r="V31" i="23"/>
  <c r="CB29" i="23"/>
  <c r="AD28" i="23"/>
  <c r="AN30" i="23"/>
  <c r="BO31" i="23"/>
  <c r="CE32" i="23"/>
  <c r="BA30" i="23"/>
  <c r="CO30" i="23"/>
  <c r="I27" i="33"/>
  <c r="H27" i="33"/>
  <c r="I29" i="33"/>
  <c r="F28" i="33"/>
  <c r="BR28" i="23"/>
  <c r="AF30" i="23"/>
  <c r="H29" i="23"/>
  <c r="E36" i="33"/>
  <c r="AZ28" i="23"/>
  <c r="BZ31" i="23"/>
  <c r="G37" i="33"/>
  <c r="V29" i="23"/>
  <c r="AL30" i="23"/>
  <c r="H35" i="33"/>
  <c r="AX31" i="23"/>
  <c r="CB28" i="23"/>
  <c r="R28" i="23"/>
  <c r="CN32" i="23"/>
  <c r="BO28" i="23"/>
  <c r="CD29" i="23"/>
  <c r="CF31" i="23"/>
  <c r="F36" i="33"/>
  <c r="H28" i="23"/>
  <c r="BU28" i="23"/>
  <c r="BF30" i="23"/>
  <c r="CN30" i="23"/>
  <c r="AF29" i="23"/>
  <c r="I31" i="33"/>
  <c r="BO30" i="23"/>
  <c r="F38" i="33"/>
  <c r="BV30" i="23"/>
  <c r="G34" i="33"/>
  <c r="Q30" i="23"/>
  <c r="AF31" i="23"/>
  <c r="AS30" i="23"/>
  <c r="J31" i="33"/>
  <c r="J32" i="33"/>
  <c r="CH29" i="23"/>
  <c r="BN30" i="23"/>
  <c r="BS30" i="23"/>
  <c r="E31" i="33"/>
  <c r="BE31" i="23"/>
  <c r="D31" i="23"/>
  <c r="AN31" i="23"/>
  <c r="AR29" i="23"/>
  <c r="X28" i="23"/>
  <c r="CK30" i="23"/>
  <c r="M28" i="23"/>
  <c r="P28" i="23" s="1"/>
  <c r="AN32" i="23"/>
  <c r="Z29" i="23"/>
  <c r="AC29" i="23" s="1"/>
  <c r="BQ29" i="23"/>
  <c r="CB31" i="23"/>
  <c r="AQ30" i="23"/>
  <c r="BU31" i="23"/>
  <c r="BW31" i="23" s="1"/>
  <c r="H28" i="33"/>
  <c r="F31" i="23"/>
  <c r="C47" i="25"/>
  <c r="CO31" i="23"/>
  <c r="AX30" i="23"/>
  <c r="F27" i="33"/>
  <c r="F30" i="33" s="1"/>
  <c r="CK29" i="23"/>
  <c r="N32" i="23"/>
  <c r="BI29" i="23"/>
  <c r="BE30" i="23"/>
  <c r="F28" i="23"/>
  <c r="CL29" i="23"/>
  <c r="D38" i="33"/>
  <c r="BR30" i="23"/>
  <c r="BD31" i="23"/>
  <c r="CK28" i="23"/>
  <c r="CA32" i="23"/>
  <c r="CD31" i="23"/>
  <c r="H36" i="33"/>
  <c r="E27" i="33"/>
  <c r="BZ30" i="23"/>
  <c r="U30" i="23"/>
  <c r="E31" i="23"/>
  <c r="BR32" i="23"/>
  <c r="AO31" i="23"/>
  <c r="M29" i="23"/>
  <c r="H31" i="33"/>
  <c r="BZ28" i="23"/>
  <c r="CK31" i="23"/>
  <c r="BY29" i="23"/>
  <c r="AI28" i="23"/>
  <c r="CM28" i="23"/>
  <c r="O31" i="23"/>
  <c r="AS28" i="23"/>
  <c r="AZ31" i="23"/>
  <c r="CF28" i="23"/>
  <c r="BB30" i="23"/>
  <c r="F35" i="33"/>
  <c r="D27" i="33"/>
  <c r="BX30" i="23"/>
  <c r="E28" i="23"/>
  <c r="BE28" i="23"/>
  <c r="S29" i="23"/>
  <c r="Y29" i="23"/>
  <c r="E28" i="33"/>
  <c r="AU29" i="23"/>
  <c r="BD28" i="23"/>
  <c r="AV28" i="23"/>
  <c r="AE31" i="23"/>
  <c r="F34" i="33"/>
  <c r="H37" i="33"/>
  <c r="BB28" i="23"/>
  <c r="I30" i="23"/>
  <c r="K31" i="23"/>
  <c r="BH28" i="23"/>
  <c r="D35" i="33"/>
  <c r="BV28" i="23"/>
  <c r="CL31" i="23"/>
  <c r="AY30" i="23"/>
  <c r="BS29" i="23"/>
  <c r="H31" i="23"/>
  <c r="E35" i="33"/>
  <c r="BA29" i="23"/>
  <c r="X31" i="23"/>
  <c r="BB31" i="23"/>
  <c r="Y31" i="23"/>
  <c r="G36" i="33"/>
  <c r="AD29" i="23"/>
  <c r="H34" i="33"/>
  <c r="BO29" i="23"/>
  <c r="AM31" i="23"/>
  <c r="D30" i="23"/>
  <c r="M31" i="23"/>
  <c r="BX28" i="23"/>
  <c r="N31" i="23"/>
  <c r="D29" i="23"/>
  <c r="BM28" i="23"/>
  <c r="L31" i="23"/>
  <c r="AZ30" i="23"/>
  <c r="J29" i="33"/>
  <c r="BN29" i="23"/>
  <c r="CL30" i="23"/>
  <c r="Z28" i="23"/>
  <c r="AQ28" i="23"/>
  <c r="F31" i="33"/>
  <c r="AO30" i="23"/>
  <c r="E29" i="23"/>
  <c r="AA31" i="23"/>
  <c r="AH28" i="23"/>
  <c r="AY29" i="23"/>
  <c r="CE31" i="23"/>
  <c r="CD32" i="23"/>
  <c r="Y32" i="23"/>
  <c r="CM32" i="23"/>
  <c r="K32" i="23"/>
  <c r="BD32" i="23"/>
  <c r="AS32" i="23"/>
  <c r="BB32" i="23"/>
  <c r="S32" i="23"/>
  <c r="CH32" i="23"/>
  <c r="BK32" i="23"/>
  <c r="BS32" i="23"/>
  <c r="BV32" i="23"/>
  <c r="BQ32" i="23"/>
  <c r="AQ32" i="23"/>
  <c r="AD32" i="23"/>
  <c r="BZ32" i="23"/>
  <c r="AZ32" i="23"/>
  <c r="BI32" i="23"/>
  <c r="CI32" i="23"/>
  <c r="BF32" i="23"/>
  <c r="BO32" i="23"/>
  <c r="AH32" i="23"/>
  <c r="BH32" i="23"/>
  <c r="V32" i="23"/>
  <c r="O32" i="23"/>
  <c r="AI32" i="23"/>
  <c r="D32" i="23"/>
  <c r="BM32" i="23"/>
  <c r="M32" i="23"/>
  <c r="AU32" i="23"/>
  <c r="F32" i="23"/>
  <c r="I32" i="23"/>
  <c r="J32" i="23" s="1"/>
  <c r="BU32" i="23"/>
  <c r="AY32" i="23"/>
  <c r="CL32" i="23"/>
  <c r="AK32" i="23"/>
  <c r="AL32" i="23"/>
  <c r="BX32" i="23"/>
  <c r="AB32" i="23"/>
  <c r="AX32" i="23"/>
  <c r="U32" i="23"/>
  <c r="L32" i="23"/>
  <c r="CB32" i="23"/>
  <c r="AO32" i="23"/>
  <c r="AV32" i="23"/>
  <c r="AM32" i="23"/>
  <c r="Z32" i="23"/>
  <c r="X32" i="23"/>
  <c r="CF32" i="23"/>
  <c r="AF32" i="23"/>
  <c r="CO32" i="23"/>
  <c r="Q32" i="23"/>
  <c r="CG44" i="25"/>
  <c r="BW33" i="23"/>
  <c r="M59" i="92"/>
  <c r="M57" i="9"/>
  <c r="G33" i="23"/>
  <c r="BT33" i="23"/>
  <c r="AJ33" i="23"/>
  <c r="BJ33" i="23"/>
  <c r="J33" i="23"/>
  <c r="AP33" i="23"/>
  <c r="C46" i="96"/>
  <c r="B45" i="96"/>
  <c r="AU34" i="23"/>
  <c r="AH34" i="23"/>
  <c r="H34" i="23"/>
  <c r="CH34" i="23"/>
  <c r="U34" i="23"/>
  <c r="BU34" i="23"/>
  <c r="BH34" i="23"/>
  <c r="M34" i="23"/>
  <c r="BM34" i="23"/>
  <c r="AM34" i="23"/>
  <c r="Z34" i="23"/>
  <c r="AZ34" i="23"/>
  <c r="BZ34" i="23"/>
  <c r="CM34" i="23"/>
  <c r="AT33" i="23"/>
  <c r="CJ33" i="23"/>
  <c r="AC33" i="23"/>
  <c r="BY34" i="23"/>
  <c r="Y34" i="23"/>
  <c r="K34" i="23"/>
  <c r="CK34" i="23"/>
  <c r="L34" i="23"/>
  <c r="BK34" i="23"/>
  <c r="AY34" i="23"/>
  <c r="CL34" i="23"/>
  <c r="AX34" i="23"/>
  <c r="AK34" i="23"/>
  <c r="AL34" i="23"/>
  <c r="BX34" i="23"/>
  <c r="X34" i="23"/>
  <c r="BL34" i="23"/>
  <c r="CG33" i="23"/>
  <c r="W33" i="23"/>
  <c r="A46" i="115"/>
  <c r="B47" i="115"/>
  <c r="BP33" i="23"/>
  <c r="AH34" i="22"/>
  <c r="S34" i="22"/>
  <c r="AY34" i="22"/>
  <c r="AI34" i="22"/>
  <c r="AX34" i="22"/>
  <c r="R34" i="22"/>
  <c r="G52" i="92"/>
  <c r="G50" i="9"/>
  <c r="BG33" i="23"/>
  <c r="BC33" i="23"/>
  <c r="W63" i="92"/>
  <c r="W61" i="9"/>
  <c r="AS34" i="23"/>
  <c r="AB34" i="23"/>
  <c r="O34" i="23"/>
  <c r="BB34" i="23"/>
  <c r="CO34" i="23"/>
  <c r="BO34" i="23"/>
  <c r="AO34" i="23"/>
  <c r="F34" i="23"/>
  <c r="CB34" i="23"/>
  <c r="S34" i="23"/>
  <c r="AF34" i="23"/>
  <c r="CF34" i="23"/>
  <c r="BF34" i="23"/>
  <c r="BS34" i="23"/>
  <c r="AE34" i="23"/>
  <c r="AI34" i="23"/>
  <c r="BN34" i="23"/>
  <c r="R34" i="23"/>
  <c r="AV34" i="23"/>
  <c r="BI34" i="23"/>
  <c r="BR34" i="23"/>
  <c r="BE34" i="23"/>
  <c r="CI34" i="23"/>
  <c r="AR34" i="23"/>
  <c r="E34" i="23"/>
  <c r="V34" i="23"/>
  <c r="I34" i="23"/>
  <c r="CA34" i="23"/>
  <c r="BA34" i="23"/>
  <c r="AA34" i="23"/>
  <c r="AN34" i="23"/>
  <c r="CE34" i="23"/>
  <c r="N34" i="23"/>
  <c r="CN34" i="23"/>
  <c r="BV34" i="23"/>
  <c r="T33" i="23"/>
  <c r="M65" i="132"/>
  <c r="K65" i="132" s="1"/>
  <c r="CC33" i="23"/>
  <c r="AD34" i="23"/>
  <c r="BQ34" i="23"/>
  <c r="AQ34" i="23"/>
  <c r="CD34" i="23"/>
  <c r="D34" i="23"/>
  <c r="Q34" i="23"/>
  <c r="BD34" i="23"/>
  <c r="CP33" i="23"/>
  <c r="AG33" i="23"/>
  <c r="AW33" i="23"/>
  <c r="V61" i="9"/>
  <c r="V63" i="92"/>
  <c r="V91" i="143"/>
  <c r="F93" i="143"/>
  <c r="N71" i="35"/>
  <c r="O87" i="143"/>
  <c r="AH85" i="143"/>
  <c r="AJ85" i="143"/>
  <c r="AI85" i="143"/>
  <c r="M46" i="16"/>
  <c r="N46" i="16"/>
  <c r="O46" i="16"/>
  <c r="B47" i="16"/>
  <c r="P33" i="23"/>
  <c r="E34" i="22"/>
  <c r="AR34" i="22"/>
  <c r="AF34" i="22"/>
  <c r="AL34" i="22"/>
  <c r="AP34" i="22"/>
  <c r="AQ34" i="22"/>
  <c r="AE34" i="22"/>
  <c r="L34" i="22"/>
  <c r="D34" i="22"/>
  <c r="AT34" i="22"/>
  <c r="Y34" i="22"/>
  <c r="AB34" i="22"/>
  <c r="AN34" i="22"/>
  <c r="H34" i="22"/>
  <c r="AA34" i="22"/>
  <c r="AM34" i="22"/>
  <c r="AJ34" i="22"/>
  <c r="AS34" i="22"/>
  <c r="Q34" i="22"/>
  <c r="Z34" i="22"/>
  <c r="AW34" i="22"/>
  <c r="F34" i="22"/>
  <c r="T34" i="22"/>
  <c r="AV34" i="22"/>
  <c r="AU34" i="22"/>
  <c r="O34" i="22"/>
  <c r="M34" i="22"/>
  <c r="W34" i="22"/>
  <c r="P34" i="22"/>
  <c r="AC34" i="22"/>
  <c r="I34" i="22"/>
  <c r="AK34" i="22"/>
  <c r="X34" i="22"/>
  <c r="N34" i="22"/>
  <c r="J34" i="22"/>
  <c r="AG34" i="22"/>
  <c r="G34" i="22"/>
  <c r="K34" i="22"/>
  <c r="U34" i="22"/>
  <c r="AO34" i="22"/>
  <c r="V34" i="22"/>
  <c r="AD34" i="22"/>
  <c r="G88" i="143"/>
  <c r="W87" i="143" s="1"/>
  <c r="E90" i="143"/>
  <c r="B43" i="72"/>
  <c r="J88" i="143"/>
  <c r="AB87" i="143" s="1"/>
  <c r="Q88" i="143"/>
  <c r="AK87" i="143" s="1"/>
  <c r="I95" i="143"/>
  <c r="X94" i="143" s="1"/>
  <c r="H90" i="143"/>
  <c r="AA89" i="143" s="1"/>
  <c r="AB86" i="143"/>
  <c r="AA88" i="143"/>
  <c r="J54" i="92"/>
  <c r="J52" i="9"/>
  <c r="P50" i="9"/>
  <c r="P52" i="92"/>
  <c r="B60" i="28"/>
  <c r="Z88" i="143"/>
  <c r="B72" i="143"/>
  <c r="S71" i="143" s="1"/>
  <c r="B71" i="145" s="1"/>
  <c r="B71" i="146" s="1"/>
  <c r="P89" i="143"/>
  <c r="D91" i="143"/>
  <c r="T90" i="143" s="1"/>
  <c r="AU73" i="157"/>
  <c r="AR74" i="157"/>
  <c r="L90" i="143"/>
  <c r="AD89" i="143" s="1"/>
  <c r="W86" i="143"/>
  <c r="AU77" i="155"/>
  <c r="N90" i="143"/>
  <c r="AF89" i="143" s="1"/>
  <c r="U88" i="143"/>
  <c r="K47" i="16" l="1"/>
  <c r="L47" i="16"/>
  <c r="E47" i="16"/>
  <c r="J47" i="16"/>
  <c r="F47" i="16"/>
  <c r="D47" i="16"/>
  <c r="I47" i="16"/>
  <c r="G47" i="16"/>
  <c r="H47" i="16"/>
  <c r="G77" i="90"/>
  <c r="S45" i="20"/>
  <c r="B45" i="20"/>
  <c r="C46" i="20"/>
  <c r="G44" i="20"/>
  <c r="E44" i="20"/>
  <c r="U44" i="20" s="1"/>
  <c r="M44" i="20"/>
  <c r="AC44" i="20" s="1"/>
  <c r="Q44" i="20"/>
  <c r="AG44" i="20" s="1"/>
  <c r="J44" i="20"/>
  <c r="Z44" i="20" s="1"/>
  <c r="O44" i="20"/>
  <c r="AE44" i="20" s="1"/>
  <c r="H44" i="20"/>
  <c r="F44" i="20"/>
  <c r="V44" i="20" s="1"/>
  <c r="I44" i="20"/>
  <c r="L44" i="20"/>
  <c r="AB44" i="20" s="1"/>
  <c r="P44" i="20"/>
  <c r="AF44" i="20" s="1"/>
  <c r="N44" i="20"/>
  <c r="AD44" i="20" s="1"/>
  <c r="D44" i="20"/>
  <c r="T44" i="20" s="1"/>
  <c r="K44" i="20"/>
  <c r="AA44" i="20" s="1"/>
  <c r="AT32" i="23"/>
  <c r="J29" i="23"/>
  <c r="AW30" i="23"/>
  <c r="AC87" i="143"/>
  <c r="K89" i="143"/>
  <c r="AC32" i="23"/>
  <c r="CP28" i="23"/>
  <c r="AW29" i="23"/>
  <c r="W30" i="23"/>
  <c r="B47" i="91"/>
  <c r="J28" i="23"/>
  <c r="AT30" i="23"/>
  <c r="AW31" i="23"/>
  <c r="G39" i="33"/>
  <c r="D30" i="33"/>
  <c r="AC30" i="23"/>
  <c r="CG32" i="23"/>
  <c r="P29" i="23"/>
  <c r="E39" i="33"/>
  <c r="T32" i="23"/>
  <c r="T45" i="25"/>
  <c r="AG29" i="23"/>
  <c r="CJ29" i="23"/>
  <c r="AC28" i="23"/>
  <c r="BP32" i="23"/>
  <c r="BG28" i="23"/>
  <c r="CP32" i="23"/>
  <c r="BC32" i="23"/>
  <c r="I39" i="33"/>
  <c r="I33" i="33"/>
  <c r="CJ28" i="23"/>
  <c r="J31" i="23"/>
  <c r="AG28" i="23"/>
  <c r="H33" i="33"/>
  <c r="W32" i="23"/>
  <c r="P31" i="23"/>
  <c r="BT32" i="23"/>
  <c r="BW32" i="23"/>
  <c r="AT28" i="23"/>
  <c r="G29" i="23"/>
  <c r="E30" i="33"/>
  <c r="CC31" i="23"/>
  <c r="T30" i="23"/>
  <c r="CG45" i="25"/>
  <c r="AP32" i="23"/>
  <c r="AJ28" i="23"/>
  <c r="AJ31" i="23"/>
  <c r="BG29" i="23"/>
  <c r="J30" i="23"/>
  <c r="BT31" i="23"/>
  <c r="CG30" i="23"/>
  <c r="AG45" i="25"/>
  <c r="AG32" i="23"/>
  <c r="CG31" i="23"/>
  <c r="BW28" i="23"/>
  <c r="CC29" i="23"/>
  <c r="BJ31" i="23"/>
  <c r="AG30" i="23"/>
  <c r="AW32" i="23"/>
  <c r="P32" i="23"/>
  <c r="BG32" i="23"/>
  <c r="G30" i="23"/>
  <c r="F39" i="33"/>
  <c r="AJ30" i="23"/>
  <c r="BP31" i="23"/>
  <c r="AT31" i="23"/>
  <c r="BT28" i="23"/>
  <c r="CG28" i="23"/>
  <c r="BC30" i="23"/>
  <c r="AP31" i="23"/>
  <c r="BJ28" i="23"/>
  <c r="BG31" i="23"/>
  <c r="AJ29" i="23"/>
  <c r="J39" i="33"/>
  <c r="BT30" i="23"/>
  <c r="CF46" i="25"/>
  <c r="AD46" i="25"/>
  <c r="BD46" i="25"/>
  <c r="CD46" i="25"/>
  <c r="Q46" i="25"/>
  <c r="BF46" i="25"/>
  <c r="F46" i="25"/>
  <c r="R46" i="25"/>
  <c r="E46" i="25"/>
  <c r="AE46" i="25"/>
  <c r="BQ46" i="25"/>
  <c r="AS46" i="25"/>
  <c r="AR46" i="25"/>
  <c r="BS46" i="25"/>
  <c r="BR46" i="25"/>
  <c r="AF46" i="25"/>
  <c r="S46" i="25"/>
  <c r="CE46" i="25"/>
  <c r="AQ46" i="25"/>
  <c r="D46" i="25"/>
  <c r="BE46" i="25"/>
  <c r="G30" i="33"/>
  <c r="CJ30" i="23"/>
  <c r="BJ29" i="23"/>
  <c r="CP30" i="23"/>
  <c r="AP29" i="23"/>
  <c r="D39" i="33"/>
  <c r="G45" i="25"/>
  <c r="BP29" i="23"/>
  <c r="Y89" i="143"/>
  <c r="G32" i="23"/>
  <c r="CJ32" i="23"/>
  <c r="J33" i="33"/>
  <c r="CG29" i="23"/>
  <c r="AP28" i="23"/>
  <c r="T31" i="23"/>
  <c r="P30" i="23"/>
  <c r="BJ30" i="23"/>
  <c r="CJ31" i="23"/>
  <c r="BG45" i="25"/>
  <c r="Z89" i="143"/>
  <c r="AJ32" i="23"/>
  <c r="BJ32" i="23"/>
  <c r="BP28" i="23"/>
  <c r="CC30" i="23"/>
  <c r="BT29" i="23"/>
  <c r="G31" i="23"/>
  <c r="J30" i="33"/>
  <c r="CP31" i="23"/>
  <c r="BG30" i="23"/>
  <c r="AW28" i="23"/>
  <c r="W29" i="23"/>
  <c r="T29" i="23"/>
  <c r="BW30" i="23"/>
  <c r="AP30" i="23"/>
  <c r="AG31" i="23"/>
  <c r="T28" i="23"/>
  <c r="BT45" i="25"/>
  <c r="CC28" i="23"/>
  <c r="H30" i="33"/>
  <c r="E32" i="33"/>
  <c r="E33" i="33" s="1"/>
  <c r="G32" i="33"/>
  <c r="G33" i="33" s="1"/>
  <c r="F32" i="33"/>
  <c r="F33" i="33" s="1"/>
  <c r="D32" i="33"/>
  <c r="D33" i="33" s="1"/>
  <c r="BP30" i="23"/>
  <c r="AC31" i="23"/>
  <c r="G28" i="23"/>
  <c r="CP29" i="23"/>
  <c r="BW29" i="23"/>
  <c r="X22" i="72"/>
  <c r="AA22" i="21"/>
  <c r="M91" i="143"/>
  <c r="AE90" i="143" s="1"/>
  <c r="CC32" i="23"/>
  <c r="BC31" i="23"/>
  <c r="H39" i="33"/>
  <c r="C48" i="25"/>
  <c r="B47" i="25"/>
  <c r="BC28" i="23"/>
  <c r="I30" i="33"/>
  <c r="BC29" i="23"/>
  <c r="AT29" i="23"/>
  <c r="W28" i="23"/>
  <c r="W31" i="23"/>
  <c r="S58" i="92"/>
  <c r="S56" i="9"/>
  <c r="D32" i="98" s="1"/>
  <c r="D31" i="31" s="1"/>
  <c r="AT45" i="25"/>
  <c r="M60" i="92"/>
  <c r="M58" i="9"/>
  <c r="AT34" i="23"/>
  <c r="T34" i="23"/>
  <c r="AG34" i="23"/>
  <c r="G34" i="23"/>
  <c r="CC34" i="23"/>
  <c r="W34" i="23"/>
  <c r="CG34" i="23"/>
  <c r="AU35" i="22"/>
  <c r="Y35" i="22"/>
  <c r="AO35" i="22"/>
  <c r="E35" i="22"/>
  <c r="L35" i="22"/>
  <c r="M35" i="22"/>
  <c r="AW35" i="22"/>
  <c r="AQ35" i="22"/>
  <c r="N35" i="22"/>
  <c r="AR35" i="22"/>
  <c r="D35" i="22"/>
  <c r="T35" i="22"/>
  <c r="AT35" i="22"/>
  <c r="AC35" i="22"/>
  <c r="I35" i="22"/>
  <c r="AP35" i="22"/>
  <c r="AB35" i="22"/>
  <c r="AJ35" i="22"/>
  <c r="AK35" i="22"/>
  <c r="K35" i="22"/>
  <c r="X35" i="22"/>
  <c r="J35" i="22"/>
  <c r="AG35" i="22"/>
  <c r="Z35" i="22"/>
  <c r="U35" i="22"/>
  <c r="AM35" i="22"/>
  <c r="Q35" i="22"/>
  <c r="V35" i="22"/>
  <c r="W35" i="22"/>
  <c r="H35" i="22"/>
  <c r="AL35" i="22"/>
  <c r="AE35" i="22"/>
  <c r="AN35" i="22"/>
  <c r="AS35" i="22"/>
  <c r="AV35" i="22"/>
  <c r="AD35" i="22"/>
  <c r="AF35" i="22"/>
  <c r="P35" i="22"/>
  <c r="O35" i="22"/>
  <c r="F35" i="22"/>
  <c r="G35" i="22"/>
  <c r="AA35" i="22"/>
  <c r="BC34" i="23"/>
  <c r="CJ34" i="23"/>
  <c r="G53" i="92"/>
  <c r="G51" i="9"/>
  <c r="B48" i="115"/>
  <c r="A47" i="115"/>
  <c r="AC34" i="23"/>
  <c r="J34" i="23"/>
  <c r="CH35" i="23"/>
  <c r="U35" i="23"/>
  <c r="AU35" i="23"/>
  <c r="BH35" i="23"/>
  <c r="AH35" i="23"/>
  <c r="H35" i="23"/>
  <c r="BU35" i="23"/>
  <c r="AP34" i="23"/>
  <c r="AJ34" i="23"/>
  <c r="M66" i="132"/>
  <c r="K66" i="132" s="1"/>
  <c r="N72" i="35"/>
  <c r="BT34" i="23"/>
  <c r="CI35" i="23"/>
  <c r="I35" i="23"/>
  <c r="BN35" i="23"/>
  <c r="AR35" i="23"/>
  <c r="BI35" i="23"/>
  <c r="CA35" i="23"/>
  <c r="AA35" i="23"/>
  <c r="AN35" i="23"/>
  <c r="BR35" i="23"/>
  <c r="AE35" i="23"/>
  <c r="CE35" i="23"/>
  <c r="E35" i="23"/>
  <c r="V35" i="23"/>
  <c r="AI35" i="23"/>
  <c r="BE35" i="23"/>
  <c r="BA35" i="23"/>
  <c r="R35" i="23"/>
  <c r="CN35" i="23"/>
  <c r="N35" i="23"/>
  <c r="AV35" i="23"/>
  <c r="BP34" i="23"/>
  <c r="AW34" i="23"/>
  <c r="O88" i="143"/>
  <c r="AI87" i="143" s="1"/>
  <c r="AH86" i="143"/>
  <c r="AJ86" i="143"/>
  <c r="AI86" i="143"/>
  <c r="F94" i="143"/>
  <c r="V92" i="143"/>
  <c r="AY35" i="22"/>
  <c r="S35" i="22"/>
  <c r="AX35" i="22"/>
  <c r="AH35" i="22"/>
  <c r="R35" i="22"/>
  <c r="AI35" i="22"/>
  <c r="P34" i="23"/>
  <c r="N47" i="16"/>
  <c r="M47" i="16"/>
  <c r="O47" i="16"/>
  <c r="B48" i="16"/>
  <c r="W64" i="92"/>
  <c r="W62" i="9"/>
  <c r="BV35" i="23"/>
  <c r="AF35" i="23"/>
  <c r="AS35" i="23"/>
  <c r="BS35" i="23"/>
  <c r="CO35" i="23"/>
  <c r="BO35" i="23"/>
  <c r="BB35" i="23"/>
  <c r="S35" i="23"/>
  <c r="AO35" i="23"/>
  <c r="O35" i="23"/>
  <c r="CB35" i="23"/>
  <c r="CF35" i="23"/>
  <c r="F35" i="23"/>
  <c r="AB35" i="23"/>
  <c r="BF35" i="23"/>
  <c r="BJ34" i="23"/>
  <c r="C47" i="96"/>
  <c r="B46" i="96"/>
  <c r="CM35" i="23"/>
  <c r="Z35" i="23"/>
  <c r="BZ35" i="23"/>
  <c r="BM35" i="23"/>
  <c r="M35" i="23"/>
  <c r="AZ35" i="23"/>
  <c r="AM35" i="23"/>
  <c r="D35" i="23"/>
  <c r="CD35" i="23"/>
  <c r="BD35" i="23"/>
  <c r="AQ35" i="23"/>
  <c r="Q35" i="23"/>
  <c r="AD35" i="23"/>
  <c r="BQ35" i="23"/>
  <c r="AX35" i="23"/>
  <c r="AY35" i="23"/>
  <c r="CL35" i="23"/>
  <c r="AK35" i="23"/>
  <c r="CK35" i="23"/>
  <c r="X35" i="23"/>
  <c r="Y35" i="23"/>
  <c r="BY35" i="23"/>
  <c r="K35" i="23"/>
  <c r="AL35" i="23"/>
  <c r="L35" i="23"/>
  <c r="BK35" i="23"/>
  <c r="BL35" i="23"/>
  <c r="BX35" i="23"/>
  <c r="V62" i="9"/>
  <c r="V64" i="92"/>
  <c r="BG34" i="23"/>
  <c r="CP34" i="23"/>
  <c r="BW34" i="23"/>
  <c r="E91" i="143"/>
  <c r="U90" i="143" s="1"/>
  <c r="D92" i="143"/>
  <c r="T91" i="143" s="1"/>
  <c r="J89" i="143"/>
  <c r="AB88" i="143" s="1"/>
  <c r="N91" i="143"/>
  <c r="AF90" i="143" s="1"/>
  <c r="L91" i="143"/>
  <c r="AD90" i="143" s="1"/>
  <c r="B73" i="143"/>
  <c r="B61" i="28"/>
  <c r="I96" i="143"/>
  <c r="X95" i="143" s="1"/>
  <c r="P51" i="9"/>
  <c r="P53" i="92"/>
  <c r="G89" i="143"/>
  <c r="W88" i="143" s="1"/>
  <c r="P90" i="143"/>
  <c r="AG88" i="143"/>
  <c r="Q89" i="143"/>
  <c r="AK88" i="143" s="1"/>
  <c r="B44" i="72"/>
  <c r="AU74" i="157"/>
  <c r="AR75" i="157"/>
  <c r="J55" i="92"/>
  <c r="J53" i="9"/>
  <c r="H91" i="143"/>
  <c r="U89" i="143"/>
  <c r="F48" i="16" l="1"/>
  <c r="D48" i="16"/>
  <c r="K48" i="16"/>
  <c r="I48" i="16"/>
  <c r="L48" i="16"/>
  <c r="E48" i="16"/>
  <c r="J48" i="16"/>
  <c r="G48" i="16"/>
  <c r="H48" i="16"/>
  <c r="G78" i="90"/>
  <c r="C47" i="20"/>
  <c r="B46" i="20"/>
  <c r="S46" i="20"/>
  <c r="E45" i="20"/>
  <c r="U45" i="20" s="1"/>
  <c r="L45" i="20"/>
  <c r="AB45" i="20" s="1"/>
  <c r="H45" i="20"/>
  <c r="Q45" i="20"/>
  <c r="AG45" i="20" s="1"/>
  <c r="G45" i="20"/>
  <c r="M45" i="20"/>
  <c r="AC45" i="20" s="1"/>
  <c r="N45" i="20"/>
  <c r="AD45" i="20" s="1"/>
  <c r="D45" i="20"/>
  <c r="T45" i="20" s="1"/>
  <c r="F45" i="20"/>
  <c r="V45" i="20" s="1"/>
  <c r="O45" i="20"/>
  <c r="AE45" i="20" s="1"/>
  <c r="J45" i="20"/>
  <c r="Z45" i="20" s="1"/>
  <c r="K45" i="20"/>
  <c r="AA45" i="20" s="1"/>
  <c r="P45" i="20"/>
  <c r="AF45" i="20" s="1"/>
  <c r="I45" i="20"/>
  <c r="AH87" i="143"/>
  <c r="AC88" i="143"/>
  <c r="K90" i="143"/>
  <c r="B48" i="91"/>
  <c r="G46" i="25"/>
  <c r="M92" i="143"/>
  <c r="M93" i="143" s="1"/>
  <c r="BR47" i="25"/>
  <c r="AQ47" i="25"/>
  <c r="BE47" i="25"/>
  <c r="D47" i="25"/>
  <c r="BS47" i="25"/>
  <c r="BD47" i="25"/>
  <c r="Q47" i="25"/>
  <c r="BQ47" i="25"/>
  <c r="AR47" i="25"/>
  <c r="AS47" i="25"/>
  <c r="F47" i="25"/>
  <c r="E47" i="25"/>
  <c r="R47" i="25"/>
  <c r="BF47" i="25"/>
  <c r="AF47" i="25"/>
  <c r="S47" i="25"/>
  <c r="AD47" i="25"/>
  <c r="CF47" i="25"/>
  <c r="AE47" i="25"/>
  <c r="CD47" i="25"/>
  <c r="CE47" i="25"/>
  <c r="AB22" i="21"/>
  <c r="Y22" i="72"/>
  <c r="S59" i="92"/>
  <c r="S57" i="9"/>
  <c r="D33" i="98" s="1"/>
  <c r="D32" i="31" s="1"/>
  <c r="B48" i="25"/>
  <c r="C49" i="25"/>
  <c r="T46" i="25"/>
  <c r="CG46" i="25"/>
  <c r="AT46" i="25"/>
  <c r="BT46" i="25"/>
  <c r="BG46" i="25"/>
  <c r="AG46" i="25"/>
  <c r="M61" i="92"/>
  <c r="M59" i="9"/>
  <c r="BP35" i="23"/>
  <c r="CP35" i="23"/>
  <c r="AC35" i="23"/>
  <c r="AG35" i="23"/>
  <c r="P35" i="23"/>
  <c r="BT35" i="23"/>
  <c r="CC35" i="23"/>
  <c r="BG35" i="23"/>
  <c r="J35" i="23"/>
  <c r="BC35" i="23"/>
  <c r="AW35" i="23"/>
  <c r="W35" i="23"/>
  <c r="AU36" i="23"/>
  <c r="U36" i="23"/>
  <c r="AH36" i="23"/>
  <c r="BH36" i="23"/>
  <c r="H36" i="23"/>
  <c r="CH36" i="23"/>
  <c r="BU36" i="23"/>
  <c r="AA36" i="22"/>
  <c r="P36" i="22"/>
  <c r="AT36" i="22"/>
  <c r="J36" i="22"/>
  <c r="Q36" i="22"/>
  <c r="AF36" i="22"/>
  <c r="AN36" i="22"/>
  <c r="AE36" i="22"/>
  <c r="AD36" i="22"/>
  <c r="D36" i="22"/>
  <c r="M36" i="22"/>
  <c r="V36" i="22"/>
  <c r="AC36" i="22"/>
  <c r="Z36" i="22"/>
  <c r="AL36" i="22"/>
  <c r="AQ36" i="22"/>
  <c r="AP36" i="22"/>
  <c r="T36" i="22"/>
  <c r="W36" i="22"/>
  <c r="H36" i="22"/>
  <c r="AU36" i="22"/>
  <c r="AS36" i="22"/>
  <c r="AV36" i="22"/>
  <c r="O36" i="22"/>
  <c r="AB36" i="22"/>
  <c r="AK36" i="22"/>
  <c r="U36" i="22"/>
  <c r="L36" i="22"/>
  <c r="G36" i="22"/>
  <c r="AM36" i="22"/>
  <c r="AW36" i="22"/>
  <c r="AR36" i="22"/>
  <c r="X36" i="22"/>
  <c r="AO36" i="22"/>
  <c r="F36" i="22"/>
  <c r="Y36" i="22"/>
  <c r="AG36" i="22"/>
  <c r="N36" i="22"/>
  <c r="E36" i="22"/>
  <c r="K36" i="22"/>
  <c r="I36" i="22"/>
  <c r="AJ36" i="22"/>
  <c r="W63" i="9"/>
  <c r="W65" i="92"/>
  <c r="CJ35" i="23"/>
  <c r="T35" i="23"/>
  <c r="AT35" i="23"/>
  <c r="AI36" i="23"/>
  <c r="AE36" i="23"/>
  <c r="BV36" i="23"/>
  <c r="AA36" i="23"/>
  <c r="R36" i="23"/>
  <c r="AN36" i="23"/>
  <c r="BR36" i="23"/>
  <c r="CE36" i="23"/>
  <c r="BE36" i="23"/>
  <c r="V36" i="23"/>
  <c r="AV36" i="23"/>
  <c r="AW36" i="23" s="1"/>
  <c r="BN36" i="23"/>
  <c r="CI36" i="23"/>
  <c r="I36" i="23"/>
  <c r="CA36" i="23"/>
  <c r="AR36" i="23"/>
  <c r="BA36" i="23"/>
  <c r="BI36" i="23"/>
  <c r="CN36" i="23"/>
  <c r="E36" i="23"/>
  <c r="N36" i="23"/>
  <c r="BW35" i="23"/>
  <c r="R36" i="22"/>
  <c r="AY36" i="22"/>
  <c r="AI36" i="22"/>
  <c r="AH36" i="22"/>
  <c r="AX36" i="22"/>
  <c r="S36" i="22"/>
  <c r="Q36" i="23"/>
  <c r="BQ36" i="23"/>
  <c r="D36" i="23"/>
  <c r="CD36" i="23"/>
  <c r="BD36" i="23"/>
  <c r="AQ36" i="23"/>
  <c r="AD36" i="23"/>
  <c r="AM36" i="23"/>
  <c r="BM36" i="23"/>
  <c r="Z36" i="23"/>
  <c r="CM36" i="23"/>
  <c r="M36" i="23"/>
  <c r="AZ36" i="23"/>
  <c r="BZ36" i="23"/>
  <c r="V65" i="92"/>
  <c r="V63" i="9"/>
  <c r="CG35" i="23"/>
  <c r="N48" i="16"/>
  <c r="O48" i="16"/>
  <c r="B49" i="16"/>
  <c r="M48" i="16"/>
  <c r="CF36" i="23"/>
  <c r="CO36" i="23"/>
  <c r="AF36" i="23"/>
  <c r="CB36" i="23"/>
  <c r="BB36" i="23"/>
  <c r="S36" i="23"/>
  <c r="BF36" i="23"/>
  <c r="AO36" i="23"/>
  <c r="F36" i="23"/>
  <c r="BO36" i="23"/>
  <c r="O36" i="23"/>
  <c r="BS36" i="23"/>
  <c r="AB36" i="23"/>
  <c r="AS36" i="23"/>
  <c r="O89" i="143"/>
  <c r="AH88" i="143" s="1"/>
  <c r="AJ35" i="23"/>
  <c r="A48" i="115"/>
  <c r="B49" i="115"/>
  <c r="K36" i="23"/>
  <c r="BY36" i="23"/>
  <c r="Y36" i="23"/>
  <c r="CK36" i="23"/>
  <c r="AY36" i="23"/>
  <c r="L36" i="23"/>
  <c r="AL36" i="23"/>
  <c r="BK36" i="23"/>
  <c r="AK36" i="23"/>
  <c r="BX36" i="23"/>
  <c r="BL36" i="23"/>
  <c r="X36" i="23"/>
  <c r="AX36" i="23"/>
  <c r="CL36" i="23"/>
  <c r="G35" i="23"/>
  <c r="BJ35" i="23"/>
  <c r="AP35" i="23"/>
  <c r="C48" i="96"/>
  <c r="B47" i="96"/>
  <c r="F95" i="143"/>
  <c r="V93" i="143"/>
  <c r="M67" i="132"/>
  <c r="K67" i="132" s="1"/>
  <c r="G54" i="92"/>
  <c r="G52" i="9"/>
  <c r="AJ87" i="143"/>
  <c r="H92" i="143"/>
  <c r="Y91" i="143" s="1"/>
  <c r="P91" i="143"/>
  <c r="AG90" i="143" s="1"/>
  <c r="B62" i="28"/>
  <c r="G90" i="143"/>
  <c r="W89" i="143" s="1"/>
  <c r="I97" i="143"/>
  <c r="X96" i="143" s="1"/>
  <c r="L92" i="143"/>
  <c r="J90" i="143"/>
  <c r="AB89" i="143" s="1"/>
  <c r="AR76" i="157"/>
  <c r="AU75" i="157"/>
  <c r="B74" i="143"/>
  <c r="N92" i="143"/>
  <c r="AF91" i="143" s="1"/>
  <c r="D93" i="143"/>
  <c r="T92" i="143" s="1"/>
  <c r="AA90" i="143"/>
  <c r="S72" i="143"/>
  <c r="B72" i="145" s="1"/>
  <c r="B72" i="146" s="1"/>
  <c r="B45" i="72"/>
  <c r="Z90" i="143"/>
  <c r="J54" i="9"/>
  <c r="J56" i="92"/>
  <c r="Q90" i="143"/>
  <c r="AK89" i="143" s="1"/>
  <c r="P54" i="92"/>
  <c r="P52" i="9"/>
  <c r="Y90" i="143"/>
  <c r="AG89" i="143"/>
  <c r="E92" i="143"/>
  <c r="U91" i="143" s="1"/>
  <c r="E49" i="16" l="1"/>
  <c r="F49" i="16"/>
  <c r="D49" i="16"/>
  <c r="L49" i="16"/>
  <c r="I49" i="16"/>
  <c r="J49" i="16"/>
  <c r="K49" i="16"/>
  <c r="G49" i="16"/>
  <c r="H49" i="16"/>
  <c r="G79" i="90"/>
  <c r="K46" i="20"/>
  <c r="AA46" i="20" s="1"/>
  <c r="H46" i="20"/>
  <c r="E46" i="20"/>
  <c r="U46" i="20" s="1"/>
  <c r="D46" i="20"/>
  <c r="T46" i="20" s="1"/>
  <c r="L46" i="20"/>
  <c r="AB46" i="20" s="1"/>
  <c r="O46" i="20"/>
  <c r="AE46" i="20" s="1"/>
  <c r="G46" i="20"/>
  <c r="I46" i="20"/>
  <c r="M46" i="20"/>
  <c r="AC46" i="20" s="1"/>
  <c r="Q46" i="20"/>
  <c r="AG46" i="20" s="1"/>
  <c r="N46" i="20"/>
  <c r="AD46" i="20" s="1"/>
  <c r="J46" i="20"/>
  <c r="Z46" i="20" s="1"/>
  <c r="F46" i="20"/>
  <c r="V46" i="20" s="1"/>
  <c r="P46" i="20"/>
  <c r="AF46" i="20" s="1"/>
  <c r="B47" i="20"/>
  <c r="C48" i="20"/>
  <c r="S47" i="20"/>
  <c r="CG47" i="25"/>
  <c r="AC89" i="143"/>
  <c r="K91" i="143"/>
  <c r="H45" i="28"/>
  <c r="D35" i="28"/>
  <c r="E32" i="28"/>
  <c r="F38" i="28"/>
  <c r="F40" i="28"/>
  <c r="H39" i="28"/>
  <c r="G28" i="28"/>
  <c r="E31" i="28"/>
  <c r="G34" i="28"/>
  <c r="D34" i="28"/>
  <c r="F41" i="28"/>
  <c r="H44" i="28"/>
  <c r="D45" i="28"/>
  <c r="G46" i="28"/>
  <c r="H27" i="28"/>
  <c r="G42" i="28"/>
  <c r="E30" i="28"/>
  <c r="F43" i="28"/>
  <c r="G45" i="28"/>
  <c r="E35" i="28"/>
  <c r="F37" i="28"/>
  <c r="F33" i="28"/>
  <c r="D27" i="28"/>
  <c r="G40" i="28"/>
  <c r="E27" i="28"/>
  <c r="H36" i="28"/>
  <c r="G41" i="28"/>
  <c r="E37" i="28"/>
  <c r="D33" i="28"/>
  <c r="D28" i="28"/>
  <c r="G39" i="28"/>
  <c r="G29" i="28"/>
  <c r="H42" i="28"/>
  <c r="E44" i="28"/>
  <c r="F46" i="28"/>
  <c r="E45" i="28"/>
  <c r="H37" i="28"/>
  <c r="D43" i="28"/>
  <c r="G27" i="28"/>
  <c r="H41" i="28"/>
  <c r="D46" i="28"/>
  <c r="E29" i="28"/>
  <c r="G33" i="28"/>
  <c r="F28" i="28"/>
  <c r="D41" i="28"/>
  <c r="F36" i="28"/>
  <c r="D38" i="28"/>
  <c r="E39" i="28"/>
  <c r="H33" i="28"/>
  <c r="E33" i="28"/>
  <c r="E42" i="28"/>
  <c r="G44" i="28"/>
  <c r="E46" i="28"/>
  <c r="G32" i="28"/>
  <c r="E36" i="28"/>
  <c r="H35" i="28"/>
  <c r="E40" i="28"/>
  <c r="F44" i="28"/>
  <c r="G35" i="28"/>
  <c r="E34" i="28"/>
  <c r="D32" i="28"/>
  <c r="D37" i="28"/>
  <c r="D42" i="28"/>
  <c r="F45" i="28"/>
  <c r="D31" i="28"/>
  <c r="E41" i="28"/>
  <c r="H30" i="28"/>
  <c r="D40" i="28"/>
  <c r="F31" i="28"/>
  <c r="F27" i="28"/>
  <c r="F30" i="28"/>
  <c r="F32" i="28"/>
  <c r="E43" i="28"/>
  <c r="H40" i="28"/>
  <c r="H31" i="28"/>
  <c r="H34" i="28"/>
  <c r="F34" i="28"/>
  <c r="G37" i="28"/>
  <c r="D30" i="28"/>
  <c r="F29" i="28"/>
  <c r="F35" i="28"/>
  <c r="G38" i="28"/>
  <c r="G31" i="28"/>
  <c r="D39" i="28"/>
  <c r="D44" i="28"/>
  <c r="D29" i="28"/>
  <c r="F39" i="28"/>
  <c r="E38" i="28"/>
  <c r="D36" i="28"/>
  <c r="H29" i="28"/>
  <c r="E28" i="28"/>
  <c r="B49" i="91"/>
  <c r="E48" i="28" s="1"/>
  <c r="H38" i="28"/>
  <c r="G30" i="28"/>
  <c r="G36" i="28"/>
  <c r="H28" i="28"/>
  <c r="H32" i="28"/>
  <c r="F42" i="28"/>
  <c r="H43" i="28"/>
  <c r="H46" i="28"/>
  <c r="G43" i="28"/>
  <c r="H47" i="28"/>
  <c r="D47" i="28"/>
  <c r="G47" i="28"/>
  <c r="F47" i="28"/>
  <c r="E47" i="28"/>
  <c r="F48" i="28"/>
  <c r="AJ36" i="23"/>
  <c r="AE91" i="143"/>
  <c r="Z91" i="143"/>
  <c r="AA91" i="143"/>
  <c r="BG47" i="25"/>
  <c r="G47" i="25"/>
  <c r="C50" i="25"/>
  <c r="B49" i="25"/>
  <c r="Q48" i="25"/>
  <c r="CD48" i="25"/>
  <c r="BE48" i="25"/>
  <c r="AE48" i="25"/>
  <c r="R48" i="25"/>
  <c r="AF48" i="25"/>
  <c r="BF48" i="25"/>
  <c r="BD48" i="25"/>
  <c r="D48" i="25"/>
  <c r="F48" i="25"/>
  <c r="S48" i="25"/>
  <c r="AD48" i="25"/>
  <c r="AQ48" i="25"/>
  <c r="CE48" i="25"/>
  <c r="CF48" i="25"/>
  <c r="BQ48" i="25"/>
  <c r="BS48" i="25"/>
  <c r="BR48" i="25"/>
  <c r="E48" i="25"/>
  <c r="AS48" i="25"/>
  <c r="AR48" i="25"/>
  <c r="AT47" i="25"/>
  <c r="AG47" i="25"/>
  <c r="S60" i="92"/>
  <c r="S58" i="9"/>
  <c r="D34" i="98" s="1"/>
  <c r="D33" i="31" s="1"/>
  <c r="BT47" i="25"/>
  <c r="AC22" i="21"/>
  <c r="Z22" i="72"/>
  <c r="T47" i="25"/>
  <c r="AE92" i="143"/>
  <c r="M94" i="143"/>
  <c r="W36" i="23"/>
  <c r="M62" i="92"/>
  <c r="M60" i="9"/>
  <c r="BJ36" i="23"/>
  <c r="J36" i="23"/>
  <c r="AP36" i="23"/>
  <c r="BW36" i="23"/>
  <c r="CG36" i="23"/>
  <c r="P36" i="23"/>
  <c r="AC36" i="23"/>
  <c r="CP36" i="23"/>
  <c r="G36" i="23"/>
  <c r="AB37" i="23"/>
  <c r="O37" i="23"/>
  <c r="BO37" i="23"/>
  <c r="CF37" i="23"/>
  <c r="BF37" i="23"/>
  <c r="AS37" i="23"/>
  <c r="S37" i="23"/>
  <c r="CB37" i="23"/>
  <c r="AF37" i="23"/>
  <c r="BS37" i="23"/>
  <c r="BB37" i="23"/>
  <c r="CO37" i="23"/>
  <c r="F37" i="23"/>
  <c r="AO37" i="23"/>
  <c r="G53" i="9"/>
  <c r="G55" i="92"/>
  <c r="BT36" i="23"/>
  <c r="H37" i="23"/>
  <c r="AU37" i="23"/>
  <c r="AH37" i="23"/>
  <c r="U37" i="23"/>
  <c r="BU37" i="23"/>
  <c r="CH37" i="23"/>
  <c r="BH37" i="23"/>
  <c r="M68" i="132"/>
  <c r="K68" i="132" s="1"/>
  <c r="A49" i="115"/>
  <c r="B50" i="115"/>
  <c r="BP36" i="23"/>
  <c r="T36" i="23"/>
  <c r="CL37" i="23"/>
  <c r="K37" i="23"/>
  <c r="BY37" i="23"/>
  <c r="AY37" i="23"/>
  <c r="AL37" i="23"/>
  <c r="BK37" i="23"/>
  <c r="Y37" i="23"/>
  <c r="BX37" i="23"/>
  <c r="CK37" i="23"/>
  <c r="AK37" i="23"/>
  <c r="AX37" i="23"/>
  <c r="L37" i="23"/>
  <c r="X37" i="23"/>
  <c r="BL37" i="23"/>
  <c r="C49" i="96"/>
  <c r="B48" i="96"/>
  <c r="AP37" i="22"/>
  <c r="AM37" i="22"/>
  <c r="AK37" i="22"/>
  <c r="N37" i="22"/>
  <c r="Q37" i="22"/>
  <c r="H37" i="22"/>
  <c r="F37" i="22"/>
  <c r="AF37" i="22"/>
  <c r="L37" i="22"/>
  <c r="D37" i="22"/>
  <c r="U37" i="22"/>
  <c r="AV37" i="22"/>
  <c r="AJ37" i="22"/>
  <c r="AO37" i="22"/>
  <c r="AT37" i="22"/>
  <c r="AD37" i="22"/>
  <c r="G37" i="22"/>
  <c r="X37" i="22"/>
  <c r="AR37" i="22"/>
  <c r="AE37" i="22"/>
  <c r="V37" i="22"/>
  <c r="AS37" i="22"/>
  <c r="Z37" i="22"/>
  <c r="AQ37" i="22"/>
  <c r="AN37" i="22"/>
  <c r="T37" i="22"/>
  <c r="AB37" i="22"/>
  <c r="W37" i="22"/>
  <c r="AU37" i="22"/>
  <c r="AA37" i="22"/>
  <c r="E37" i="22"/>
  <c r="K37" i="22"/>
  <c r="J37" i="22"/>
  <c r="Y37" i="22"/>
  <c r="M37" i="22"/>
  <c r="O37" i="22"/>
  <c r="AG37" i="22"/>
  <c r="AL37" i="22"/>
  <c r="AW37" i="22"/>
  <c r="P37" i="22"/>
  <c r="I37" i="22"/>
  <c r="AC37" i="22"/>
  <c r="V66" i="92"/>
  <c r="V64" i="9"/>
  <c r="AG36" i="23"/>
  <c r="AR37" i="23"/>
  <c r="BR37" i="23"/>
  <c r="BE37" i="23"/>
  <c r="CN37" i="23"/>
  <c r="CE37" i="23"/>
  <c r="E37" i="23"/>
  <c r="AA37" i="23"/>
  <c r="BV37" i="23"/>
  <c r="N37" i="23"/>
  <c r="R37" i="23"/>
  <c r="AN37" i="23"/>
  <c r="AI37" i="23"/>
  <c r="AV37" i="23"/>
  <c r="AE37" i="23"/>
  <c r="BI37" i="23"/>
  <c r="V37" i="23"/>
  <c r="BA37" i="23"/>
  <c r="I37" i="23"/>
  <c r="CA37" i="23"/>
  <c r="BN37" i="23"/>
  <c r="CI37" i="23"/>
  <c r="CJ36" i="23"/>
  <c r="W64" i="9"/>
  <c r="W66" i="92"/>
  <c r="V94" i="143"/>
  <c r="F96" i="143"/>
  <c r="V95" i="143" s="1"/>
  <c r="CC36" i="23"/>
  <c r="AT36" i="23"/>
  <c r="R37" i="22"/>
  <c r="AH37" i="22"/>
  <c r="AX37" i="22"/>
  <c r="AI37" i="22"/>
  <c r="S37" i="22"/>
  <c r="AY37" i="22"/>
  <c r="O90" i="143"/>
  <c r="AI88" i="143"/>
  <c r="AJ88" i="143"/>
  <c r="N49" i="16"/>
  <c r="M49" i="16"/>
  <c r="B50" i="16"/>
  <c r="O49" i="16"/>
  <c r="BC36" i="23"/>
  <c r="BG36" i="23"/>
  <c r="Z37" i="23"/>
  <c r="AM37" i="23"/>
  <c r="BZ37" i="23"/>
  <c r="BM37" i="23"/>
  <c r="CM37" i="23"/>
  <c r="AZ37" i="23"/>
  <c r="M37" i="23"/>
  <c r="AQ37" i="23"/>
  <c r="Q37" i="23"/>
  <c r="BD37" i="23"/>
  <c r="D37" i="23"/>
  <c r="CD37" i="23"/>
  <c r="AD37" i="23"/>
  <c r="BQ37" i="23"/>
  <c r="Q91" i="143"/>
  <c r="AK90" i="143" s="1"/>
  <c r="J91" i="143"/>
  <c r="AB90" i="143" s="1"/>
  <c r="P92" i="143"/>
  <c r="E93" i="143"/>
  <c r="U92" i="143" s="1"/>
  <c r="J55" i="9"/>
  <c r="J57" i="92"/>
  <c r="D94" i="143"/>
  <c r="T93" i="143" s="1"/>
  <c r="B75" i="143"/>
  <c r="S74" i="143" s="1"/>
  <c r="B74" i="145" s="1"/>
  <c r="B74" i="146" s="1"/>
  <c r="L93" i="143"/>
  <c r="B46" i="72"/>
  <c r="I98" i="143"/>
  <c r="X97" i="143" s="1"/>
  <c r="P55" i="92"/>
  <c r="P53" i="9"/>
  <c r="H93" i="143"/>
  <c r="N93" i="143"/>
  <c r="AF92" i="143" s="1"/>
  <c r="AR77" i="157"/>
  <c r="AU76" i="157"/>
  <c r="G91" i="143"/>
  <c r="B63" i="28"/>
  <c r="S73" i="143"/>
  <c r="B73" i="145" s="1"/>
  <c r="B73" i="146" s="1"/>
  <c r="AD91" i="143"/>
  <c r="I50" i="16" l="1"/>
  <c r="E50" i="16"/>
  <c r="J50" i="16"/>
  <c r="K50" i="16"/>
  <c r="D50" i="16"/>
  <c r="F50" i="16"/>
  <c r="L50" i="16"/>
  <c r="G50" i="16"/>
  <c r="H50" i="16"/>
  <c r="G48" i="28"/>
  <c r="G80" i="90"/>
  <c r="C49" i="20"/>
  <c r="S48" i="20"/>
  <c r="B48" i="20"/>
  <c r="L47" i="20"/>
  <c r="AB47" i="20" s="1"/>
  <c r="G47" i="20"/>
  <c r="I47" i="20"/>
  <c r="Q47" i="20"/>
  <c r="AG47" i="20" s="1"/>
  <c r="N47" i="20"/>
  <c r="AD47" i="20" s="1"/>
  <c r="E47" i="20"/>
  <c r="U47" i="20" s="1"/>
  <c r="J47" i="20"/>
  <c r="Z47" i="20" s="1"/>
  <c r="H47" i="20"/>
  <c r="F47" i="20"/>
  <c r="V47" i="20" s="1"/>
  <c r="K47" i="20"/>
  <c r="AA47" i="20" s="1"/>
  <c r="P47" i="20"/>
  <c r="AF47" i="20" s="1"/>
  <c r="M47" i="20"/>
  <c r="AC47" i="20" s="1"/>
  <c r="D47" i="20"/>
  <c r="T47" i="20" s="1"/>
  <c r="O47" i="20"/>
  <c r="AE47" i="20" s="1"/>
  <c r="AC90" i="143"/>
  <c r="K92" i="143"/>
  <c r="D48" i="28"/>
  <c r="H48" i="28"/>
  <c r="F46" i="132"/>
  <c r="I46" i="132" s="1"/>
  <c r="B50" i="91"/>
  <c r="B51" i="91" s="1"/>
  <c r="W37" i="23"/>
  <c r="AG48" i="25"/>
  <c r="CG48" i="25"/>
  <c r="G48" i="25"/>
  <c r="T48" i="25"/>
  <c r="S61" i="92"/>
  <c r="S59" i="9"/>
  <c r="D35" i="98" s="1"/>
  <c r="D34" i="31" s="1"/>
  <c r="BT48" i="25"/>
  <c r="BG48" i="25"/>
  <c r="F49" i="25"/>
  <c r="BD49" i="25"/>
  <c r="E49" i="25"/>
  <c r="AS49" i="25"/>
  <c r="AR49" i="25"/>
  <c r="R49" i="25"/>
  <c r="AD49" i="25"/>
  <c r="AQ49" i="25"/>
  <c r="BS49" i="25"/>
  <c r="BF49" i="25"/>
  <c r="BR49" i="25"/>
  <c r="CE49" i="25"/>
  <c r="Q49" i="25"/>
  <c r="AE49" i="25"/>
  <c r="D49" i="25"/>
  <c r="CD49" i="25"/>
  <c r="AF49" i="25"/>
  <c r="CF49" i="25"/>
  <c r="BE49" i="25"/>
  <c r="BQ49" i="25"/>
  <c r="S49" i="25"/>
  <c r="BJ37" i="23"/>
  <c r="AE93" i="143"/>
  <c r="M95" i="143"/>
  <c r="B50" i="25"/>
  <c r="C51" i="25"/>
  <c r="AT48" i="25"/>
  <c r="AD22" i="21"/>
  <c r="AA22" i="72"/>
  <c r="M63" i="92"/>
  <c r="M61" i="9"/>
  <c r="AW37" i="23"/>
  <c r="G37" i="23"/>
  <c r="CG37" i="23"/>
  <c r="BP37" i="23"/>
  <c r="J37" i="23"/>
  <c r="BW37" i="23"/>
  <c r="P37" i="23"/>
  <c r="BC37" i="23"/>
  <c r="AG37" i="23"/>
  <c r="CP37" i="23"/>
  <c r="T37" i="23"/>
  <c r="AC37" i="23"/>
  <c r="G27" i="29"/>
  <c r="G38" i="29"/>
  <c r="G35" i="29"/>
  <c r="G31" i="29"/>
  <c r="G34" i="29"/>
  <c r="G39" i="29"/>
  <c r="G28" i="29"/>
  <c r="G32" i="29"/>
  <c r="G36" i="29"/>
  <c r="G40" i="29"/>
  <c r="G29" i="29"/>
  <c r="G33" i="29"/>
  <c r="G37" i="29"/>
  <c r="G41" i="29"/>
  <c r="G30" i="29"/>
  <c r="CJ37" i="23"/>
  <c r="BT37" i="23"/>
  <c r="AT37" i="23"/>
  <c r="V67" i="92"/>
  <c r="V65" i="9"/>
  <c r="AQ38" i="23"/>
  <c r="BD38" i="23"/>
  <c r="CD38" i="23"/>
  <c r="BQ38" i="23"/>
  <c r="AD38" i="23"/>
  <c r="Q38" i="23"/>
  <c r="D38" i="23"/>
  <c r="M69" i="132"/>
  <c r="K69" i="132" s="1"/>
  <c r="O91" i="143"/>
  <c r="AH90" i="143" s="1"/>
  <c r="AI89" i="143"/>
  <c r="AH89" i="143"/>
  <c r="AJ89" i="143"/>
  <c r="CL38" i="23"/>
  <c r="BK38" i="23"/>
  <c r="AY38" i="23"/>
  <c r="AK38" i="23"/>
  <c r="Y38" i="23"/>
  <c r="X38" i="23"/>
  <c r="BL38" i="23"/>
  <c r="L38" i="23"/>
  <c r="CK38" i="23"/>
  <c r="AL38" i="23"/>
  <c r="AX38" i="23"/>
  <c r="K38" i="23"/>
  <c r="BX38" i="23"/>
  <c r="BY38" i="23"/>
  <c r="AU77" i="157"/>
  <c r="CB38" i="23"/>
  <c r="AS38" i="23"/>
  <c r="BS38" i="23"/>
  <c r="O38" i="23"/>
  <c r="BB38" i="23"/>
  <c r="AO38" i="23"/>
  <c r="BF38" i="23"/>
  <c r="CO38" i="23"/>
  <c r="AF38" i="23"/>
  <c r="AB38" i="23"/>
  <c r="BO38" i="23"/>
  <c r="S38" i="23"/>
  <c r="CF38" i="23"/>
  <c r="F38" i="23"/>
  <c r="F97" i="143"/>
  <c r="F98" i="143" s="1"/>
  <c r="AJ37" i="23"/>
  <c r="AX38" i="22"/>
  <c r="AY38" i="22"/>
  <c r="R38" i="22"/>
  <c r="S38" i="22"/>
  <c r="AH38" i="22"/>
  <c r="AI38" i="22"/>
  <c r="H34" i="29"/>
  <c r="M28" i="29"/>
  <c r="H35" i="29"/>
  <c r="K27" i="29"/>
  <c r="L35" i="29"/>
  <c r="M33" i="29"/>
  <c r="I37" i="29"/>
  <c r="I38" i="29"/>
  <c r="F30" i="29"/>
  <c r="E27" i="29"/>
  <c r="F27" i="29"/>
  <c r="E32" i="29"/>
  <c r="E33" i="29"/>
  <c r="F41" i="29"/>
  <c r="L28" i="29"/>
  <c r="M32" i="29"/>
  <c r="I27" i="29"/>
  <c r="K38" i="29"/>
  <c r="M37" i="29"/>
  <c r="M34" i="29"/>
  <c r="L31" i="29"/>
  <c r="F34" i="29"/>
  <c r="E31" i="29"/>
  <c r="F31" i="29"/>
  <c r="E36" i="29"/>
  <c r="E37" i="29"/>
  <c r="D35" i="29"/>
  <c r="L32" i="29"/>
  <c r="M36" i="29"/>
  <c r="I35" i="29"/>
  <c r="H40" i="29"/>
  <c r="M41" i="29"/>
  <c r="L34" i="29"/>
  <c r="M38" i="29"/>
  <c r="K30" i="29"/>
  <c r="L27" i="29"/>
  <c r="L39" i="29"/>
  <c r="F38" i="29"/>
  <c r="E35" i="29"/>
  <c r="F35" i="29"/>
  <c r="E40" i="29"/>
  <c r="E41" i="29"/>
  <c r="E30" i="29"/>
  <c r="M27" i="29"/>
  <c r="L36" i="29"/>
  <c r="M40" i="29"/>
  <c r="L29" i="29"/>
  <c r="H28" i="29"/>
  <c r="K39" i="29"/>
  <c r="K35" i="29"/>
  <c r="L38" i="29"/>
  <c r="K29" i="29"/>
  <c r="H32" i="29"/>
  <c r="I31" i="29"/>
  <c r="I39" i="29"/>
  <c r="D27" i="29"/>
  <c r="D29" i="29"/>
  <c r="E39" i="29"/>
  <c r="F39" i="29"/>
  <c r="D32" i="29"/>
  <c r="D34" i="29"/>
  <c r="D36" i="29"/>
  <c r="M31" i="29"/>
  <c r="L40" i="29"/>
  <c r="K33" i="29"/>
  <c r="L33" i="29"/>
  <c r="H36" i="29"/>
  <c r="H41" i="29"/>
  <c r="I28" i="29"/>
  <c r="K28" i="29"/>
  <c r="K37" i="29"/>
  <c r="I40" i="29"/>
  <c r="K31" i="29"/>
  <c r="D37" i="29"/>
  <c r="D30" i="29"/>
  <c r="D31" i="29"/>
  <c r="D40" i="29"/>
  <c r="E38" i="29"/>
  <c r="M35" i="29"/>
  <c r="K32" i="29"/>
  <c r="K41" i="29"/>
  <c r="L37" i="29"/>
  <c r="I41" i="29"/>
  <c r="I36" i="29"/>
  <c r="I29" i="29"/>
  <c r="I30" i="29"/>
  <c r="I32" i="29"/>
  <c r="F32" i="29"/>
  <c r="D38" i="29"/>
  <c r="D39" i="29"/>
  <c r="F28" i="29"/>
  <c r="F29" i="29"/>
  <c r="M39" i="29"/>
  <c r="K40" i="29"/>
  <c r="I34" i="29"/>
  <c r="L41" i="29"/>
  <c r="H29" i="29"/>
  <c r="H30" i="29"/>
  <c r="H31" i="29"/>
  <c r="L30" i="29"/>
  <c r="D33" i="29"/>
  <c r="F36" i="29"/>
  <c r="D28" i="29"/>
  <c r="F40" i="29"/>
  <c r="F33" i="29"/>
  <c r="H33" i="29"/>
  <c r="I33" i="29"/>
  <c r="H27" i="29"/>
  <c r="K34" i="29"/>
  <c r="M29" i="29"/>
  <c r="H37" i="29"/>
  <c r="H38" i="29"/>
  <c r="H39" i="29"/>
  <c r="K36" i="29"/>
  <c r="M30" i="29"/>
  <c r="E34" i="29"/>
  <c r="D41" i="29"/>
  <c r="E28" i="29"/>
  <c r="E29" i="29"/>
  <c r="F37" i="29"/>
  <c r="CC37" i="23"/>
  <c r="BI38" i="23"/>
  <c r="AI38" i="23"/>
  <c r="BR38" i="23"/>
  <c r="AN38" i="23"/>
  <c r="AV38" i="23"/>
  <c r="BV38" i="23"/>
  <c r="N38" i="23"/>
  <c r="R38" i="23"/>
  <c r="AA38" i="23"/>
  <c r="AR38" i="23"/>
  <c r="V38" i="23"/>
  <c r="CE38" i="23"/>
  <c r="BE38" i="23"/>
  <c r="CA38" i="23"/>
  <c r="E38" i="23"/>
  <c r="BN38" i="23"/>
  <c r="I38" i="23"/>
  <c r="CN38" i="23"/>
  <c r="AE38" i="23"/>
  <c r="BA38" i="23"/>
  <c r="CI38" i="23"/>
  <c r="CH38" i="23"/>
  <c r="BU38" i="23"/>
  <c r="BH38" i="23"/>
  <c r="AU38" i="23"/>
  <c r="U38" i="23"/>
  <c r="H38" i="23"/>
  <c r="AH38" i="23"/>
  <c r="AM38" i="23"/>
  <c r="M38" i="23"/>
  <c r="BZ38" i="23"/>
  <c r="Z38" i="23"/>
  <c r="BM38" i="23"/>
  <c r="AZ38" i="23"/>
  <c r="CM38" i="23"/>
  <c r="C50" i="96"/>
  <c r="B49" i="96"/>
  <c r="G54" i="9"/>
  <c r="G56" i="92"/>
  <c r="AU38" i="22"/>
  <c r="I38" i="22"/>
  <c r="N38" i="22"/>
  <c r="AS38" i="22"/>
  <c r="AP38" i="22"/>
  <c r="K38" i="22"/>
  <c r="F38" i="22"/>
  <c r="M38" i="22"/>
  <c r="H38" i="22"/>
  <c r="AD38" i="22"/>
  <c r="AJ38" i="22"/>
  <c r="G38" i="22"/>
  <c r="AT38" i="22"/>
  <c r="AK38" i="22"/>
  <c r="O38" i="22"/>
  <c r="E38" i="22"/>
  <c r="J38" i="22"/>
  <c r="AF38" i="22"/>
  <c r="AV38" i="22"/>
  <c r="AW38" i="22"/>
  <c r="V38" i="22"/>
  <c r="Z38" i="22"/>
  <c r="L38" i="22"/>
  <c r="P38" i="22"/>
  <c r="AM38" i="22"/>
  <c r="T38" i="22"/>
  <c r="AQ38" i="22"/>
  <c r="Y38" i="22"/>
  <c r="AR38" i="22"/>
  <c r="W38" i="22"/>
  <c r="AG38" i="22"/>
  <c r="AE38" i="22"/>
  <c r="AA38" i="22"/>
  <c r="AN38" i="22"/>
  <c r="X38" i="22"/>
  <c r="AC38" i="22"/>
  <c r="AO38" i="22"/>
  <c r="D38" i="22"/>
  <c r="AL38" i="22"/>
  <c r="AB38" i="22"/>
  <c r="U38" i="22"/>
  <c r="Q38" i="22"/>
  <c r="BG37" i="23"/>
  <c r="AP37" i="23"/>
  <c r="B51" i="16"/>
  <c r="O50" i="16"/>
  <c r="N50" i="16"/>
  <c r="M50" i="16"/>
  <c r="W65" i="9"/>
  <c r="W67" i="92"/>
  <c r="A50" i="115"/>
  <c r="B51" i="115"/>
  <c r="G92" i="143"/>
  <c r="W91" i="143" s="1"/>
  <c r="F99" i="143"/>
  <c r="V98" i="143" s="1"/>
  <c r="D39" i="57"/>
  <c r="E38" i="57"/>
  <c r="D31" i="32"/>
  <c r="H36" i="57"/>
  <c r="I32" i="114" s="1"/>
  <c r="E28" i="60"/>
  <c r="E36" i="57"/>
  <c r="G39" i="57"/>
  <c r="R28" i="70"/>
  <c r="J36" i="57"/>
  <c r="J39" i="57"/>
  <c r="D33" i="32"/>
  <c r="D26" i="50"/>
  <c r="E27" i="60"/>
  <c r="D27" i="32"/>
  <c r="F36" i="57"/>
  <c r="D31" i="50"/>
  <c r="D27" i="50"/>
  <c r="H38" i="57"/>
  <c r="I34" i="114" s="1"/>
  <c r="E39" i="57"/>
  <c r="D28" i="60"/>
  <c r="F38" i="57"/>
  <c r="F39" i="57"/>
  <c r="I36" i="57"/>
  <c r="J32" i="114" s="1"/>
  <c r="I38" i="57"/>
  <c r="J34" i="114" s="1"/>
  <c r="D37" i="57"/>
  <c r="E37" i="57"/>
  <c r="G37" i="57"/>
  <c r="D29" i="32"/>
  <c r="D29" i="60"/>
  <c r="I39" i="57"/>
  <c r="J35" i="114" s="1"/>
  <c r="F37" i="57"/>
  <c r="D29" i="50"/>
  <c r="I37" i="57"/>
  <c r="J33" i="114" s="1"/>
  <c r="J37" i="57"/>
  <c r="D28" i="50"/>
  <c r="D30" i="50"/>
  <c r="J38" i="57"/>
  <c r="D27" i="60"/>
  <c r="F27" i="60"/>
  <c r="D32" i="50"/>
  <c r="H39" i="57"/>
  <c r="I35" i="114" s="1"/>
  <c r="D34" i="32"/>
  <c r="F28" i="60"/>
  <c r="G38" i="57"/>
  <c r="D28" i="32"/>
  <c r="D38" i="57"/>
  <c r="D30" i="32"/>
  <c r="R27" i="70"/>
  <c r="D36" i="57"/>
  <c r="H37" i="57"/>
  <c r="I33" i="114" s="1"/>
  <c r="R32" i="70"/>
  <c r="G36" i="57"/>
  <c r="F29" i="60"/>
  <c r="E29" i="60"/>
  <c r="R26" i="70"/>
  <c r="C20" i="43"/>
  <c r="B47" i="72"/>
  <c r="E94" i="143"/>
  <c r="U93" i="143" s="1"/>
  <c r="P56" i="92"/>
  <c r="P54" i="9"/>
  <c r="D26" i="115" s="1"/>
  <c r="I99" i="143"/>
  <c r="X98" i="143" s="1"/>
  <c r="L94" i="143"/>
  <c r="AD93" i="143" s="1"/>
  <c r="P93" i="143"/>
  <c r="AG92" i="143" s="1"/>
  <c r="H94" i="143"/>
  <c r="Y93" i="143" s="1"/>
  <c r="AD92" i="143"/>
  <c r="D95" i="143"/>
  <c r="AG91" i="143"/>
  <c r="B64" i="28"/>
  <c r="AA92" i="143"/>
  <c r="Z92" i="143"/>
  <c r="B76" i="143"/>
  <c r="J92" i="143"/>
  <c r="AB91" i="143" s="1"/>
  <c r="J58" i="92"/>
  <c r="J56" i="9"/>
  <c r="W90" i="143"/>
  <c r="N94" i="143"/>
  <c r="AF93" i="143" s="1"/>
  <c r="Y92" i="143"/>
  <c r="V97" i="143"/>
  <c r="Q92" i="143"/>
  <c r="AK91" i="143" s="1"/>
  <c r="J51" i="16" l="1"/>
  <c r="K51" i="16"/>
  <c r="L51" i="16"/>
  <c r="E51" i="16"/>
  <c r="I51" i="16"/>
  <c r="F51" i="16"/>
  <c r="D51" i="16"/>
  <c r="H51" i="16"/>
  <c r="G51" i="16"/>
  <c r="G81" i="90"/>
  <c r="F48" i="20"/>
  <c r="V48" i="20" s="1"/>
  <c r="Q48" i="20"/>
  <c r="AG48" i="20" s="1"/>
  <c r="G48" i="20"/>
  <c r="J48" i="20"/>
  <c r="Z48" i="20" s="1"/>
  <c r="N48" i="20"/>
  <c r="AD48" i="20" s="1"/>
  <c r="P48" i="20"/>
  <c r="AF48" i="20" s="1"/>
  <c r="H48" i="20"/>
  <c r="M48" i="20"/>
  <c r="AC48" i="20" s="1"/>
  <c r="I48" i="20"/>
  <c r="L48" i="20"/>
  <c r="AB48" i="20" s="1"/>
  <c r="O48" i="20"/>
  <c r="AE48" i="20" s="1"/>
  <c r="K48" i="20"/>
  <c r="AA48" i="20" s="1"/>
  <c r="D48" i="20"/>
  <c r="T48" i="20" s="1"/>
  <c r="E48" i="20"/>
  <c r="U48" i="20" s="1"/>
  <c r="B49" i="20"/>
  <c r="S49" i="20"/>
  <c r="C50" i="20"/>
  <c r="AC91" i="143"/>
  <c r="K93" i="143"/>
  <c r="G48" i="132"/>
  <c r="J48" i="132" s="1"/>
  <c r="B52" i="91"/>
  <c r="B53" i="91" s="1"/>
  <c r="V96" i="143"/>
  <c r="AI90" i="143"/>
  <c r="AT49" i="25"/>
  <c r="G49" i="25"/>
  <c r="BG49" i="25"/>
  <c r="Z93" i="143"/>
  <c r="AQ50" i="25"/>
  <c r="AF50" i="25"/>
  <c r="CD50" i="25"/>
  <c r="AS50" i="25"/>
  <c r="D50" i="25"/>
  <c r="R50" i="25"/>
  <c r="BS50" i="25"/>
  <c r="CF50" i="25"/>
  <c r="BE50" i="25"/>
  <c r="BF50" i="25"/>
  <c r="Q50" i="25"/>
  <c r="BQ50" i="25"/>
  <c r="BD50" i="25"/>
  <c r="BR50" i="25"/>
  <c r="AR50" i="25"/>
  <c r="E50" i="25"/>
  <c r="AD50" i="25"/>
  <c r="S50" i="25"/>
  <c r="CE50" i="25"/>
  <c r="F50" i="25"/>
  <c r="AE50" i="25"/>
  <c r="AE94" i="143"/>
  <c r="M96" i="143"/>
  <c r="CG49" i="25"/>
  <c r="AG49" i="25"/>
  <c r="AB22" i="72"/>
  <c r="AE22" i="21"/>
  <c r="T49" i="25"/>
  <c r="S62" i="92"/>
  <c r="S60" i="9"/>
  <c r="D36" i="98" s="1"/>
  <c r="D35" i="31" s="1"/>
  <c r="C52" i="25"/>
  <c r="B51" i="25"/>
  <c r="BT49" i="25"/>
  <c r="M62" i="9"/>
  <c r="M64" i="92"/>
  <c r="CC38" i="23"/>
  <c r="AG38" i="23"/>
  <c r="J38" i="23"/>
  <c r="BJ38" i="23"/>
  <c r="CJ38" i="23"/>
  <c r="W66" i="9"/>
  <c r="W68" i="92"/>
  <c r="CP38" i="23"/>
  <c r="W38" i="23"/>
  <c r="BT38" i="23"/>
  <c r="BZ39" i="23"/>
  <c r="BM39" i="23"/>
  <c r="M39" i="23"/>
  <c r="AZ39" i="23"/>
  <c r="CM39" i="23"/>
  <c r="AM39" i="23"/>
  <c r="Z39" i="23"/>
  <c r="BC38" i="23"/>
  <c r="BP38" i="23"/>
  <c r="AE39" i="23"/>
  <c r="V39" i="23"/>
  <c r="AV39" i="23"/>
  <c r="I39" i="23"/>
  <c r="AA39" i="23"/>
  <c r="BE39" i="23"/>
  <c r="AN39" i="23"/>
  <c r="N39" i="23"/>
  <c r="AI39" i="23"/>
  <c r="CN39" i="23"/>
  <c r="BA39" i="23"/>
  <c r="AR39" i="23"/>
  <c r="CE39" i="23"/>
  <c r="BR39" i="23"/>
  <c r="R39" i="23"/>
  <c r="CA39" i="23"/>
  <c r="BN39" i="23"/>
  <c r="BV39" i="23"/>
  <c r="CI39" i="23"/>
  <c r="BI39" i="23"/>
  <c r="E39" i="23"/>
  <c r="O92" i="143"/>
  <c r="AI91" i="143" s="1"/>
  <c r="BG38" i="23"/>
  <c r="AF39" i="23"/>
  <c r="AS39" i="23"/>
  <c r="BB39" i="23"/>
  <c r="CB39" i="23"/>
  <c r="BO39" i="23"/>
  <c r="S39" i="23"/>
  <c r="F39" i="23"/>
  <c r="BS39" i="23"/>
  <c r="CO39" i="23"/>
  <c r="AB39" i="23"/>
  <c r="O39" i="23"/>
  <c r="BF39" i="23"/>
  <c r="CF39" i="23"/>
  <c r="AO39" i="23"/>
  <c r="CG38" i="23"/>
  <c r="L39" i="23"/>
  <c r="CK39" i="23"/>
  <c r="AX39" i="23"/>
  <c r="BL39" i="23"/>
  <c r="AL39" i="23"/>
  <c r="AK39" i="23"/>
  <c r="X39" i="23"/>
  <c r="Y39" i="23"/>
  <c r="K39" i="23"/>
  <c r="BK39" i="23"/>
  <c r="BY39" i="23"/>
  <c r="BX39" i="23"/>
  <c r="CL39" i="23"/>
  <c r="AY39" i="23"/>
  <c r="AC38" i="23"/>
  <c r="AT38" i="23"/>
  <c r="AJ38" i="23"/>
  <c r="G57" i="92"/>
  <c r="G55" i="9"/>
  <c r="M70" i="132"/>
  <c r="K70" i="132" s="1"/>
  <c r="AK39" i="22"/>
  <c r="L39" i="22"/>
  <c r="U39" i="22"/>
  <c r="AA39" i="22"/>
  <c r="N39" i="22"/>
  <c r="AN39" i="22"/>
  <c r="AD39" i="22"/>
  <c r="AM39" i="22"/>
  <c r="I39" i="22"/>
  <c r="AQ39" i="22"/>
  <c r="M39" i="22"/>
  <c r="AB39" i="22"/>
  <c r="AV39" i="22"/>
  <c r="AP39" i="22"/>
  <c r="X39" i="22"/>
  <c r="P39" i="22"/>
  <c r="J39" i="22"/>
  <c r="T39" i="22"/>
  <c r="AS39" i="22"/>
  <c r="K39" i="22"/>
  <c r="D39" i="22"/>
  <c r="AE39" i="22"/>
  <c r="AJ39" i="22"/>
  <c r="V39" i="22"/>
  <c r="Q39" i="22"/>
  <c r="AU39" i="22"/>
  <c r="O39" i="22"/>
  <c r="E39" i="22"/>
  <c r="F39" i="22"/>
  <c r="W39" i="22"/>
  <c r="AL39" i="22"/>
  <c r="AO39" i="22"/>
  <c r="G39" i="22"/>
  <c r="AT39" i="22"/>
  <c r="AR39" i="22"/>
  <c r="AG39" i="22"/>
  <c r="AF39" i="22"/>
  <c r="Y39" i="22"/>
  <c r="H39" i="22"/>
  <c r="AC39" i="22"/>
  <c r="Z39" i="22"/>
  <c r="AW39" i="22"/>
  <c r="AU39" i="23"/>
  <c r="CH39" i="23"/>
  <c r="BU39" i="23"/>
  <c r="AH39" i="23"/>
  <c r="BH39" i="23"/>
  <c r="U39" i="23"/>
  <c r="H39" i="23"/>
  <c r="P38" i="23"/>
  <c r="BW38" i="23"/>
  <c r="AJ90" i="143"/>
  <c r="G38" i="23"/>
  <c r="V68" i="92"/>
  <c r="V66" i="9"/>
  <c r="C51" i="96"/>
  <c r="B50" i="96"/>
  <c r="AY39" i="22"/>
  <c r="AX39" i="22"/>
  <c r="R39" i="22"/>
  <c r="AH39" i="22"/>
  <c r="S39" i="22"/>
  <c r="AI39" i="22"/>
  <c r="A51" i="115"/>
  <c r="B52" i="115"/>
  <c r="O51" i="16"/>
  <c r="B52" i="16"/>
  <c r="N51" i="16"/>
  <c r="M51" i="16"/>
  <c r="Q39" i="23"/>
  <c r="CD39" i="23"/>
  <c r="D39" i="23"/>
  <c r="BQ39" i="23"/>
  <c r="AD39" i="23"/>
  <c r="AQ39" i="23"/>
  <c r="BD39" i="23"/>
  <c r="AP38" i="23"/>
  <c r="AW38" i="23"/>
  <c r="T38" i="23"/>
  <c r="B77" i="143"/>
  <c r="S76" i="143" s="1"/>
  <c r="B76" i="145" s="1"/>
  <c r="B76" i="146" s="1"/>
  <c r="D96" i="143"/>
  <c r="T95" i="143" s="1"/>
  <c r="B48" i="72"/>
  <c r="S75" i="143"/>
  <c r="B75" i="145" s="1"/>
  <c r="B75" i="146" s="1"/>
  <c r="T94" i="143"/>
  <c r="E28" i="107"/>
  <c r="F33" i="114"/>
  <c r="F31" i="107"/>
  <c r="G35" i="114"/>
  <c r="AA93" i="143"/>
  <c r="L95" i="143"/>
  <c r="AD94" i="143" s="1"/>
  <c r="G35" i="43"/>
  <c r="G36" i="43" s="1"/>
  <c r="D31" i="27" s="1"/>
  <c r="I35" i="43"/>
  <c r="I36" i="43" s="1"/>
  <c r="E32" i="114"/>
  <c r="H27" i="61"/>
  <c r="D27" i="107"/>
  <c r="G28" i="60"/>
  <c r="D26" i="114" s="1"/>
  <c r="F29" i="107"/>
  <c r="G34" i="114"/>
  <c r="N95" i="143"/>
  <c r="AF94" i="143" s="1"/>
  <c r="E95" i="143"/>
  <c r="H32" i="114"/>
  <c r="G27" i="61"/>
  <c r="H34" i="114"/>
  <c r="G29" i="61"/>
  <c r="I31" i="61"/>
  <c r="D35" i="114"/>
  <c r="E29" i="107"/>
  <c r="F34" i="114"/>
  <c r="F100" i="143"/>
  <c r="V99" i="143" s="1"/>
  <c r="I28" i="61"/>
  <c r="D33" i="114"/>
  <c r="F28" i="61"/>
  <c r="F29" i="61"/>
  <c r="F27" i="61"/>
  <c r="F30" i="60"/>
  <c r="E31" i="107"/>
  <c r="F35" i="114"/>
  <c r="D32" i="114"/>
  <c r="I27" i="61"/>
  <c r="E35" i="114"/>
  <c r="H31" i="61"/>
  <c r="D31" i="107"/>
  <c r="H95" i="143"/>
  <c r="Z94" i="143" s="1"/>
  <c r="H29" i="61"/>
  <c r="D29" i="107"/>
  <c r="E34" i="114"/>
  <c r="G27" i="60"/>
  <c r="D29" i="61"/>
  <c r="D30" i="60"/>
  <c r="D27" i="61"/>
  <c r="D28" i="61"/>
  <c r="F27" i="107"/>
  <c r="G32" i="114"/>
  <c r="I100" i="143"/>
  <c r="X99" i="143" s="1"/>
  <c r="Q93" i="143"/>
  <c r="B65" i="28"/>
  <c r="P94" i="143"/>
  <c r="P57" i="92"/>
  <c r="P55" i="9"/>
  <c r="D27" i="115" s="1"/>
  <c r="I29" i="61"/>
  <c r="D34" i="114"/>
  <c r="H35" i="114"/>
  <c r="G31" i="61"/>
  <c r="G93" i="143"/>
  <c r="G29" i="60"/>
  <c r="D27" i="114" s="1"/>
  <c r="D28" i="107"/>
  <c r="E33" i="114"/>
  <c r="H28" i="61"/>
  <c r="J93" i="143"/>
  <c r="AB92" i="143" s="1"/>
  <c r="J59" i="92"/>
  <c r="J57" i="9"/>
  <c r="G33" i="114"/>
  <c r="F28" i="107"/>
  <c r="G28" i="61"/>
  <c r="H33" i="114"/>
  <c r="E28" i="61"/>
  <c r="E29" i="61"/>
  <c r="E27" i="61"/>
  <c r="E30" i="60"/>
  <c r="E27" i="107"/>
  <c r="F32" i="114"/>
  <c r="J52" i="16" l="1"/>
  <c r="F52" i="16"/>
  <c r="D52" i="16"/>
  <c r="K52" i="16"/>
  <c r="L52" i="16"/>
  <c r="I52" i="16"/>
  <c r="E52" i="16"/>
  <c r="G52" i="16"/>
  <c r="H52" i="16"/>
  <c r="G82" i="90"/>
  <c r="I49" i="20"/>
  <c r="E49" i="20"/>
  <c r="U49" i="20" s="1"/>
  <c r="M49" i="20"/>
  <c r="AC49" i="20" s="1"/>
  <c r="D49" i="20"/>
  <c r="T49" i="20" s="1"/>
  <c r="L49" i="20"/>
  <c r="AB49" i="20" s="1"/>
  <c r="K49" i="20"/>
  <c r="AA49" i="20" s="1"/>
  <c r="N49" i="20"/>
  <c r="AD49" i="20" s="1"/>
  <c r="H49" i="20"/>
  <c r="J49" i="20"/>
  <c r="Z49" i="20" s="1"/>
  <c r="Q49" i="20"/>
  <c r="AG49" i="20" s="1"/>
  <c r="O49" i="20"/>
  <c r="AE49" i="20" s="1"/>
  <c r="G49" i="20"/>
  <c r="P49" i="20"/>
  <c r="AF49" i="20" s="1"/>
  <c r="F49" i="20"/>
  <c r="V49" i="20" s="1"/>
  <c r="B50" i="20"/>
  <c r="C51" i="20"/>
  <c r="S50" i="20"/>
  <c r="AC92" i="143"/>
  <c r="K94" i="143"/>
  <c r="F50" i="132"/>
  <c r="I50" i="132" s="1"/>
  <c r="B54" i="91"/>
  <c r="B55" i="91" s="1"/>
  <c r="B56" i="91" s="1"/>
  <c r="B57" i="91" s="1"/>
  <c r="B58" i="91" s="1"/>
  <c r="B59" i="91" s="1"/>
  <c r="AG50" i="25"/>
  <c r="AH91" i="143"/>
  <c r="G50" i="25"/>
  <c r="S63" i="92"/>
  <c r="S61" i="9"/>
  <c r="D37" i="98" s="1"/>
  <c r="D36" i="31" s="1"/>
  <c r="BG50" i="25"/>
  <c r="BT50" i="25"/>
  <c r="T50" i="25"/>
  <c r="CG50" i="25"/>
  <c r="AJ22" i="21"/>
  <c r="AC22" i="72"/>
  <c r="AT50" i="25"/>
  <c r="BD51" i="25"/>
  <c r="CE51" i="25"/>
  <c r="R51" i="25"/>
  <c r="AE51" i="25"/>
  <c r="AD51" i="25"/>
  <c r="F51" i="25"/>
  <c r="BE51" i="25"/>
  <c r="Q51" i="25"/>
  <c r="AF51" i="25"/>
  <c r="AS51" i="25"/>
  <c r="BS51" i="25"/>
  <c r="AR51" i="25"/>
  <c r="D51" i="25"/>
  <c r="CD51" i="25"/>
  <c r="BR51" i="25"/>
  <c r="AQ51" i="25"/>
  <c r="E51" i="25"/>
  <c r="BQ51" i="25"/>
  <c r="BF51" i="25"/>
  <c r="CF51" i="25"/>
  <c r="S51" i="25"/>
  <c r="C53" i="25"/>
  <c r="B52" i="25"/>
  <c r="AE95" i="143"/>
  <c r="M97" i="143"/>
  <c r="M63" i="9"/>
  <c r="M65" i="92"/>
  <c r="G39" i="23"/>
  <c r="CG39" i="23"/>
  <c r="BG39" i="23"/>
  <c r="BW39" i="23"/>
  <c r="P39" i="23"/>
  <c r="AJ39" i="23"/>
  <c r="G56" i="9"/>
  <c r="G58" i="92"/>
  <c r="CP39" i="23"/>
  <c r="W39" i="23"/>
  <c r="C52" i="96"/>
  <c r="B51" i="96"/>
  <c r="AG39" i="23"/>
  <c r="BP39" i="23"/>
  <c r="AR40" i="22"/>
  <c r="N40" i="22"/>
  <c r="AK40" i="22"/>
  <c r="U40" i="22"/>
  <c r="AV40" i="22"/>
  <c r="AF40" i="22"/>
  <c r="L40" i="22"/>
  <c r="W40" i="22"/>
  <c r="AQ40" i="22"/>
  <c r="AL40" i="22"/>
  <c r="E40" i="22"/>
  <c r="D40" i="22"/>
  <c r="AG40" i="22"/>
  <c r="V40" i="22"/>
  <c r="AJ40" i="22"/>
  <c r="Q40" i="22"/>
  <c r="H40" i="22"/>
  <c r="AP40" i="22"/>
  <c r="J40" i="22"/>
  <c r="AT40" i="22"/>
  <c r="AN40" i="22"/>
  <c r="AU40" i="22"/>
  <c r="AO40" i="22"/>
  <c r="F40" i="22"/>
  <c r="Z40" i="22"/>
  <c r="AW40" i="22"/>
  <c r="K40" i="22"/>
  <c r="AC40" i="22"/>
  <c r="G40" i="22"/>
  <c r="X40" i="22"/>
  <c r="AS40" i="22"/>
  <c r="P40" i="22"/>
  <c r="AD40" i="22"/>
  <c r="T40" i="22"/>
  <c r="AE40" i="22"/>
  <c r="O40" i="22"/>
  <c r="AM40" i="22"/>
  <c r="AA40" i="22"/>
  <c r="M40" i="22"/>
  <c r="I40" i="22"/>
  <c r="Y40" i="22"/>
  <c r="AB40" i="22"/>
  <c r="BQ40" i="23"/>
  <c r="D40" i="23"/>
  <c r="AQ40" i="23"/>
  <c r="BD40" i="23"/>
  <c r="AD40" i="23"/>
  <c r="CD40" i="23"/>
  <c r="Q40" i="23"/>
  <c r="CC39" i="23"/>
  <c r="V69" i="92"/>
  <c r="V67" i="9"/>
  <c r="BZ40" i="23"/>
  <c r="AM40" i="23"/>
  <c r="AZ40" i="23"/>
  <c r="CM40" i="23"/>
  <c r="M40" i="23"/>
  <c r="BM40" i="23"/>
  <c r="Z40" i="23"/>
  <c r="K40" i="23"/>
  <c r="CL40" i="23"/>
  <c r="AK40" i="23"/>
  <c r="AX40" i="23"/>
  <c r="BK40" i="23"/>
  <c r="BX40" i="23"/>
  <c r="BY40" i="23"/>
  <c r="Y40" i="23"/>
  <c r="CK40" i="23"/>
  <c r="L40" i="23"/>
  <c r="AY40" i="23"/>
  <c r="AL40" i="23"/>
  <c r="BL40" i="23"/>
  <c r="X40" i="23"/>
  <c r="M71" i="132"/>
  <c r="K71" i="132" s="1"/>
  <c r="T39" i="23"/>
  <c r="AP39" i="23"/>
  <c r="O52" i="16"/>
  <c r="B53" i="16"/>
  <c r="N52" i="16"/>
  <c r="M52" i="16"/>
  <c r="AU40" i="23"/>
  <c r="BU40" i="23"/>
  <c r="BH40" i="23"/>
  <c r="H40" i="23"/>
  <c r="AH40" i="23"/>
  <c r="U40" i="23"/>
  <c r="CH40" i="23"/>
  <c r="O93" i="143"/>
  <c r="AJ92" i="143" s="1"/>
  <c r="AJ91" i="143"/>
  <c r="AC39" i="23"/>
  <c r="BT39" i="23"/>
  <c r="BN40" i="23"/>
  <c r="AA40" i="23"/>
  <c r="BI40" i="23"/>
  <c r="BA40" i="23"/>
  <c r="CA40" i="23"/>
  <c r="CE40" i="23"/>
  <c r="AV40" i="23"/>
  <c r="AI40" i="23"/>
  <c r="V40" i="23"/>
  <c r="CI40" i="23"/>
  <c r="AN40" i="23"/>
  <c r="R40" i="23"/>
  <c r="E40" i="23"/>
  <c r="AR40" i="23"/>
  <c r="I40" i="23"/>
  <c r="N40" i="23"/>
  <c r="BR40" i="23"/>
  <c r="BV40" i="23"/>
  <c r="CN40" i="23"/>
  <c r="AE40" i="23"/>
  <c r="BE40" i="23"/>
  <c r="BJ39" i="23"/>
  <c r="AT39" i="23"/>
  <c r="J39" i="23"/>
  <c r="W69" i="92"/>
  <c r="W67" i="9"/>
  <c r="B53" i="115"/>
  <c r="A52" i="115"/>
  <c r="CO40" i="23"/>
  <c r="AS40" i="23"/>
  <c r="F40" i="23"/>
  <c r="CB40" i="23"/>
  <c r="BB40" i="23"/>
  <c r="BF40" i="23"/>
  <c r="O40" i="23"/>
  <c r="CF40" i="23"/>
  <c r="AB40" i="23"/>
  <c r="AF40" i="23"/>
  <c r="BS40" i="23"/>
  <c r="AO40" i="23"/>
  <c r="BO40" i="23"/>
  <c r="S40" i="23"/>
  <c r="CJ39" i="23"/>
  <c r="AW39" i="23"/>
  <c r="BC39" i="23"/>
  <c r="AX40" i="22"/>
  <c r="AH40" i="22"/>
  <c r="R40" i="22"/>
  <c r="S40" i="22"/>
  <c r="AY40" i="22"/>
  <c r="AI40" i="22"/>
  <c r="E30" i="107"/>
  <c r="E32" i="107" s="1"/>
  <c r="J29" i="61"/>
  <c r="E30" i="61"/>
  <c r="Q94" i="143"/>
  <c r="AK93" i="143" s="1"/>
  <c r="J28" i="61"/>
  <c r="G30" i="61"/>
  <c r="G28" i="107"/>
  <c r="D30" i="61"/>
  <c r="J27" i="61"/>
  <c r="H96" i="143"/>
  <c r="Y95" i="143" s="1"/>
  <c r="N96" i="143"/>
  <c r="F32" i="27"/>
  <c r="E31" i="27"/>
  <c r="I101" i="143"/>
  <c r="X100" i="143" s="1"/>
  <c r="G31" i="107"/>
  <c r="F30" i="61"/>
  <c r="F101" i="143"/>
  <c r="L96" i="143"/>
  <c r="AD95" i="143" s="1"/>
  <c r="B49" i="72"/>
  <c r="J58" i="9"/>
  <c r="J60" i="92"/>
  <c r="G94" i="143"/>
  <c r="W93" i="143" s="1"/>
  <c r="P95" i="143"/>
  <c r="AG94" i="143" s="1"/>
  <c r="B66" i="28"/>
  <c r="G30" i="60"/>
  <c r="D25" i="114"/>
  <c r="D30" i="126"/>
  <c r="D27" i="126"/>
  <c r="D28" i="126"/>
  <c r="D29" i="126"/>
  <c r="D26" i="126"/>
  <c r="D31" i="126"/>
  <c r="D33" i="126"/>
  <c r="E96" i="143"/>
  <c r="U95" i="143" s="1"/>
  <c r="D97" i="143"/>
  <c r="T96" i="143" s="1"/>
  <c r="P58" i="92"/>
  <c r="P56" i="9"/>
  <c r="D28" i="115" s="1"/>
  <c r="W92" i="143"/>
  <c r="AG93" i="143"/>
  <c r="I30" i="61"/>
  <c r="U94" i="143"/>
  <c r="G27" i="107"/>
  <c r="D30" i="107"/>
  <c r="D33" i="107" s="1"/>
  <c r="J94" i="143"/>
  <c r="J31" i="61"/>
  <c r="G29" i="107"/>
  <c r="AA94" i="143"/>
  <c r="H30" i="61"/>
  <c r="B78" i="143"/>
  <c r="S77" i="143" s="1"/>
  <c r="B77" i="145" s="1"/>
  <c r="B77" i="146" s="1"/>
  <c r="AK92" i="143"/>
  <c r="F30" i="107"/>
  <c r="Y94" i="143"/>
  <c r="L53" i="16" l="1"/>
  <c r="J53" i="16"/>
  <c r="F53" i="16"/>
  <c r="I53" i="16"/>
  <c r="K53" i="16"/>
  <c r="E53" i="16"/>
  <c r="D53" i="16"/>
  <c r="H53" i="16"/>
  <c r="G53" i="16"/>
  <c r="G83" i="90"/>
  <c r="AI92" i="143"/>
  <c r="B51" i="20"/>
  <c r="C52" i="20"/>
  <c r="S51" i="20"/>
  <c r="J50" i="20"/>
  <c r="Z50" i="20" s="1"/>
  <c r="Q50" i="20"/>
  <c r="AG50" i="20" s="1"/>
  <c r="M50" i="20"/>
  <c r="AC50" i="20" s="1"/>
  <c r="G50" i="20"/>
  <c r="L50" i="20"/>
  <c r="AB50" i="20" s="1"/>
  <c r="N50" i="20"/>
  <c r="AD50" i="20" s="1"/>
  <c r="I50" i="20"/>
  <c r="F50" i="20"/>
  <c r="V50" i="20" s="1"/>
  <c r="P50" i="20"/>
  <c r="AF50" i="20" s="1"/>
  <c r="K50" i="20"/>
  <c r="AA50" i="20" s="1"/>
  <c r="H50" i="20"/>
  <c r="D50" i="20"/>
  <c r="T50" i="20" s="1"/>
  <c r="O50" i="20"/>
  <c r="AE50" i="20" s="1"/>
  <c r="E50" i="20"/>
  <c r="U50" i="20" s="1"/>
  <c r="AC93" i="143"/>
  <c r="K95" i="143"/>
  <c r="CG51" i="25"/>
  <c r="G51" i="28"/>
  <c r="B60" i="91"/>
  <c r="B61" i="91" s="1"/>
  <c r="B62" i="91" s="1"/>
  <c r="B63" i="91" s="1"/>
  <c r="B64" i="91" s="1"/>
  <c r="D61" i="28" s="1"/>
  <c r="H61" i="28"/>
  <c r="H49" i="28"/>
  <c r="G50" i="28"/>
  <c r="H53" i="28"/>
  <c r="H54" i="28"/>
  <c r="G56" i="28"/>
  <c r="E57" i="28"/>
  <c r="F49" i="28"/>
  <c r="H60" i="28"/>
  <c r="D51" i="28"/>
  <c r="E50" i="28"/>
  <c r="F53" i="28"/>
  <c r="E54" i="28"/>
  <c r="H56" i="28"/>
  <c r="H58" i="28"/>
  <c r="G60" i="28"/>
  <c r="D52" i="28"/>
  <c r="H57" i="28"/>
  <c r="D49" i="28"/>
  <c r="H50" i="28"/>
  <c r="D53" i="28"/>
  <c r="F55" i="28"/>
  <c r="D56" i="28"/>
  <c r="F58" i="28"/>
  <c r="F54" i="28"/>
  <c r="E58" i="28"/>
  <c r="D50" i="28"/>
  <c r="H52" i="28"/>
  <c r="G53" i="28"/>
  <c r="H55" i="28"/>
  <c r="F56" i="28"/>
  <c r="D58" i="28"/>
  <c r="E60" i="28"/>
  <c r="E51" i="28"/>
  <c r="G55" i="28"/>
  <c r="F51" i="28"/>
  <c r="F50" i="28"/>
  <c r="E53" i="28"/>
  <c r="E55" i="28"/>
  <c r="D57" i="28"/>
  <c r="G58" i="28"/>
  <c r="F62" i="28"/>
  <c r="G52" i="28"/>
  <c r="E49" i="28"/>
  <c r="H51" i="28"/>
  <c r="D54" i="28"/>
  <c r="D55" i="28"/>
  <c r="F57" i="28"/>
  <c r="F59" i="28"/>
  <c r="F60" i="28"/>
  <c r="G49" i="28"/>
  <c r="F52" i="28"/>
  <c r="E52" i="28"/>
  <c r="G54" i="28"/>
  <c r="E56" i="28"/>
  <c r="G57" i="28"/>
  <c r="H59" i="28"/>
  <c r="F63" i="28"/>
  <c r="H63" i="28"/>
  <c r="D63" i="28"/>
  <c r="BG51" i="25"/>
  <c r="AE52" i="25"/>
  <c r="AQ52" i="25"/>
  <c r="CF52" i="25"/>
  <c r="BD52" i="25"/>
  <c r="D52" i="25"/>
  <c r="BF52" i="25"/>
  <c r="BQ52" i="25"/>
  <c r="R52" i="25"/>
  <c r="E52" i="25"/>
  <c r="BR52" i="25"/>
  <c r="CD52" i="25"/>
  <c r="Q52" i="25"/>
  <c r="AF52" i="25"/>
  <c r="F52" i="25"/>
  <c r="CE52" i="25"/>
  <c r="AD52" i="25"/>
  <c r="BE52" i="25"/>
  <c r="BS52" i="25"/>
  <c r="AS52" i="25"/>
  <c r="AR52" i="25"/>
  <c r="S52" i="25"/>
  <c r="AD22" i="72"/>
  <c r="AK22" i="21"/>
  <c r="B53" i="25"/>
  <c r="C54" i="25"/>
  <c r="G51" i="25"/>
  <c r="AG51" i="25"/>
  <c r="BT51" i="25"/>
  <c r="AE96" i="143"/>
  <c r="M98" i="143"/>
  <c r="AT51" i="25"/>
  <c r="T51" i="25"/>
  <c r="S62" i="9"/>
  <c r="D38" i="98" s="1"/>
  <c r="D37" i="31" s="1"/>
  <c r="S64" i="92"/>
  <c r="M66" i="92"/>
  <c r="M64" i="9"/>
  <c r="CP40" i="23"/>
  <c r="BJ40" i="23"/>
  <c r="CJ40" i="23"/>
  <c r="AT40" i="23"/>
  <c r="G40" i="23"/>
  <c r="BT40" i="23"/>
  <c r="W40" i="23"/>
  <c r="J40" i="23"/>
  <c r="E33" i="107"/>
  <c r="AA95" i="143"/>
  <c r="BG40" i="23"/>
  <c r="CC40" i="23"/>
  <c r="N53" i="16"/>
  <c r="O53" i="16"/>
  <c r="M53" i="16"/>
  <c r="B54" i="16"/>
  <c r="AP40" i="23"/>
  <c r="CG40" i="23"/>
  <c r="AG40" i="23"/>
  <c r="BZ41" i="23"/>
  <c r="Z41" i="23"/>
  <c r="AZ41" i="23"/>
  <c r="BM41" i="23"/>
  <c r="AM41" i="23"/>
  <c r="CM41" i="23"/>
  <c r="M41" i="23"/>
  <c r="AF41" i="23"/>
  <c r="BB41" i="23"/>
  <c r="CB41" i="23"/>
  <c r="O41" i="23"/>
  <c r="AS41" i="23"/>
  <c r="BS41" i="23"/>
  <c r="AO41" i="23"/>
  <c r="S41" i="23"/>
  <c r="BO41" i="23"/>
  <c r="CO41" i="23"/>
  <c r="BF41" i="23"/>
  <c r="CF41" i="23"/>
  <c r="AB41" i="23"/>
  <c r="F41" i="23"/>
  <c r="AX41" i="22"/>
  <c r="S41" i="22"/>
  <c r="AY41" i="22"/>
  <c r="AH41" i="22"/>
  <c r="R41" i="22"/>
  <c r="AI41" i="22"/>
  <c r="BW40" i="23"/>
  <c r="AC40" i="23"/>
  <c r="V70" i="92"/>
  <c r="V68" i="9"/>
  <c r="BK41" i="23"/>
  <c r="AX41" i="23"/>
  <c r="Y41" i="23"/>
  <c r="BX41" i="23"/>
  <c r="AK41" i="23"/>
  <c r="CK41" i="23"/>
  <c r="L41" i="23"/>
  <c r="CL41" i="23"/>
  <c r="AL41" i="23"/>
  <c r="X41" i="23"/>
  <c r="BY41" i="23"/>
  <c r="AY41" i="23"/>
  <c r="K41" i="23"/>
  <c r="BL41" i="23"/>
  <c r="B52" i="96"/>
  <c r="C53" i="96"/>
  <c r="W70" i="92"/>
  <c r="W68" i="9"/>
  <c r="O94" i="143"/>
  <c r="AH92" i="143"/>
  <c r="M72" i="132"/>
  <c r="K72" i="132" s="1"/>
  <c r="BP40" i="23"/>
  <c r="I41" i="22"/>
  <c r="AR41" i="22"/>
  <c r="AF41" i="22"/>
  <c r="AV41" i="22"/>
  <c r="AD41" i="22"/>
  <c r="E41" i="22"/>
  <c r="AT41" i="22"/>
  <c r="W41" i="22"/>
  <c r="G41" i="22"/>
  <c r="AJ41" i="22"/>
  <c r="AB41" i="22"/>
  <c r="X41" i="22"/>
  <c r="Z41" i="22"/>
  <c r="AS41" i="22"/>
  <c r="AG41" i="22"/>
  <c r="J41" i="22"/>
  <c r="AM41" i="22"/>
  <c r="AE41" i="22"/>
  <c r="U41" i="22"/>
  <c r="AA41" i="22"/>
  <c r="AQ41" i="22"/>
  <c r="H41" i="22"/>
  <c r="AW41" i="22"/>
  <c r="P41" i="22"/>
  <c r="F41" i="22"/>
  <c r="Q41" i="22"/>
  <c r="AP41" i="22"/>
  <c r="AL41" i="22"/>
  <c r="D41" i="22"/>
  <c r="AO41" i="22"/>
  <c r="M41" i="22"/>
  <c r="AU41" i="22"/>
  <c r="AK41" i="22"/>
  <c r="T41" i="22"/>
  <c r="N41" i="22"/>
  <c r="L41" i="22"/>
  <c r="AC41" i="22"/>
  <c r="AN41" i="22"/>
  <c r="K41" i="22"/>
  <c r="Y41" i="22"/>
  <c r="V41" i="22"/>
  <c r="O41" i="22"/>
  <c r="AJ40" i="23"/>
  <c r="P40" i="23"/>
  <c r="AD41" i="23"/>
  <c r="CD41" i="23"/>
  <c r="D41" i="23"/>
  <c r="Q41" i="23"/>
  <c r="BQ41" i="23"/>
  <c r="AQ41" i="23"/>
  <c r="BD41" i="23"/>
  <c r="A53" i="115"/>
  <c r="B54" i="115"/>
  <c r="AW40" i="23"/>
  <c r="H41" i="23"/>
  <c r="AU41" i="23"/>
  <c r="AH41" i="23"/>
  <c r="U41" i="23"/>
  <c r="BH41" i="23"/>
  <c r="CH41" i="23"/>
  <c r="BU41" i="23"/>
  <c r="G57" i="9"/>
  <c r="G59" i="92"/>
  <c r="BN41" i="23"/>
  <c r="CA41" i="23"/>
  <c r="AE41" i="23"/>
  <c r="V41" i="23"/>
  <c r="AR41" i="23"/>
  <c r="I41" i="23"/>
  <c r="BA41" i="23"/>
  <c r="BI41" i="23"/>
  <c r="N41" i="23"/>
  <c r="CI41" i="23"/>
  <c r="CE41" i="23"/>
  <c r="BV41" i="23"/>
  <c r="R41" i="23"/>
  <c r="AI41" i="23"/>
  <c r="BE41" i="23"/>
  <c r="E41" i="23"/>
  <c r="CN41" i="23"/>
  <c r="AN41" i="23"/>
  <c r="BR41" i="23"/>
  <c r="AV41" i="23"/>
  <c r="AA41" i="23"/>
  <c r="BC40" i="23"/>
  <c r="T40" i="23"/>
  <c r="F102" i="143"/>
  <c r="N97" i="143"/>
  <c r="AF96" i="143" s="1"/>
  <c r="Z95" i="143"/>
  <c r="P57" i="9"/>
  <c r="D65" i="30" s="1"/>
  <c r="P59" i="92"/>
  <c r="L97" i="143"/>
  <c r="AD96" i="143" s="1"/>
  <c r="B79" i="143"/>
  <c r="S78" i="143" s="1"/>
  <c r="B78" i="145" s="1"/>
  <c r="B78" i="146" s="1"/>
  <c r="D98" i="143"/>
  <c r="B67" i="28"/>
  <c r="G95" i="143"/>
  <c r="J30" i="61"/>
  <c r="Q95" i="143"/>
  <c r="AK94" i="143" s="1"/>
  <c r="H97" i="143"/>
  <c r="Y96" i="143" s="1"/>
  <c r="D32" i="107"/>
  <c r="G30" i="107"/>
  <c r="G33" i="107"/>
  <c r="I102" i="143"/>
  <c r="X101" i="143" s="1"/>
  <c r="J61" i="92"/>
  <c r="J59" i="9"/>
  <c r="F33" i="107"/>
  <c r="F32" i="107"/>
  <c r="J95" i="143"/>
  <c r="AB93" i="143"/>
  <c r="E97" i="143"/>
  <c r="U96" i="143" s="1"/>
  <c r="D32" i="126"/>
  <c r="P96" i="143"/>
  <c r="B50" i="72"/>
  <c r="V100" i="143"/>
  <c r="AF95" i="143"/>
  <c r="D54" i="16" l="1"/>
  <c r="J54" i="16"/>
  <c r="L54" i="16"/>
  <c r="F54" i="16"/>
  <c r="K54" i="16"/>
  <c r="I54" i="16"/>
  <c r="E54" i="16"/>
  <c r="H54" i="16"/>
  <c r="G54" i="16"/>
  <c r="G84" i="90"/>
  <c r="G59" i="28"/>
  <c r="E63" i="28"/>
  <c r="E62" i="28"/>
  <c r="G63" i="28"/>
  <c r="D59" i="28"/>
  <c r="F61" i="28"/>
  <c r="D60" i="28"/>
  <c r="B52" i="20"/>
  <c r="C53" i="20"/>
  <c r="S52" i="20"/>
  <c r="P51" i="20"/>
  <c r="AF51" i="20" s="1"/>
  <c r="G51" i="20"/>
  <c r="H51" i="20"/>
  <c r="Q51" i="20"/>
  <c r="AG51" i="20" s="1"/>
  <c r="I51" i="20"/>
  <c r="D51" i="20"/>
  <c r="T51" i="20" s="1"/>
  <c r="F51" i="20"/>
  <c r="V51" i="20" s="1"/>
  <c r="L51" i="20"/>
  <c r="AB51" i="20" s="1"/>
  <c r="K51" i="20"/>
  <c r="AA51" i="20" s="1"/>
  <c r="M51" i="20"/>
  <c r="AC51" i="20" s="1"/>
  <c r="J51" i="20"/>
  <c r="Z51" i="20" s="1"/>
  <c r="O51" i="20"/>
  <c r="AE51" i="20" s="1"/>
  <c r="N51" i="20"/>
  <c r="AD51" i="20" s="1"/>
  <c r="E51" i="20"/>
  <c r="U51" i="20" s="1"/>
  <c r="AC94" i="143"/>
  <c r="K96" i="143"/>
  <c r="G62" i="28"/>
  <c r="E59" i="28"/>
  <c r="G61" i="28"/>
  <c r="H62" i="28"/>
  <c r="E61" i="28"/>
  <c r="D62" i="28"/>
  <c r="B65" i="91"/>
  <c r="Z96" i="143"/>
  <c r="BT52" i="25"/>
  <c r="G52" i="25"/>
  <c r="BQ53" i="25"/>
  <c r="BR53" i="25"/>
  <c r="F53" i="25"/>
  <c r="CE53" i="25"/>
  <c r="D53" i="25"/>
  <c r="E53" i="25"/>
  <c r="CD53" i="25"/>
  <c r="CF53" i="25"/>
  <c r="Q53" i="25"/>
  <c r="R53" i="25"/>
  <c r="S53" i="25"/>
  <c r="AQ53" i="25"/>
  <c r="AR53" i="25"/>
  <c r="BD53" i="25"/>
  <c r="BF53" i="25"/>
  <c r="BS53" i="25"/>
  <c r="AD53" i="25"/>
  <c r="AF53" i="25"/>
  <c r="AE53" i="25"/>
  <c r="AS53" i="25"/>
  <c r="BE53" i="25"/>
  <c r="AG52" i="25"/>
  <c r="AE97" i="143"/>
  <c r="M99" i="143"/>
  <c r="AE22" i="72"/>
  <c r="AL22" i="21"/>
  <c r="T52" i="25"/>
  <c r="BG52" i="25"/>
  <c r="CG52" i="25"/>
  <c r="S63" i="9"/>
  <c r="D39" i="98" s="1"/>
  <c r="D38" i="31" s="1"/>
  <c r="S65" i="92"/>
  <c r="AT52" i="25"/>
  <c r="C55" i="25"/>
  <c r="B54" i="25"/>
  <c r="M67" i="92"/>
  <c r="M65" i="9"/>
  <c r="AJ41" i="23"/>
  <c r="AW41" i="23"/>
  <c r="BW41" i="23"/>
  <c r="W41" i="23"/>
  <c r="BG41" i="23"/>
  <c r="AT41" i="23"/>
  <c r="T41" i="23"/>
  <c r="CH42" i="23"/>
  <c r="U42" i="23"/>
  <c r="BU42" i="23"/>
  <c r="H42" i="23"/>
  <c r="BH42" i="23"/>
  <c r="AH42" i="23"/>
  <c r="AU42" i="23"/>
  <c r="O95" i="143"/>
  <c r="AJ94" i="143" s="1"/>
  <c r="AH93" i="143"/>
  <c r="AI93" i="143"/>
  <c r="AJ93" i="143"/>
  <c r="AC41" i="23"/>
  <c r="AH42" i="22"/>
  <c r="AX42" i="22"/>
  <c r="R42" i="22"/>
  <c r="AI42" i="22"/>
  <c r="AY42" i="22"/>
  <c r="S42" i="22"/>
  <c r="CC41" i="23"/>
  <c r="CJ41" i="23"/>
  <c r="W69" i="9"/>
  <c r="W71" i="92"/>
  <c r="AB42" i="23"/>
  <c r="BO42" i="23"/>
  <c r="CB42" i="23"/>
  <c r="BB42" i="23"/>
  <c r="CF42" i="23"/>
  <c r="AF42" i="23"/>
  <c r="BF42" i="23"/>
  <c r="CO42" i="23"/>
  <c r="BS42" i="23"/>
  <c r="F42" i="23"/>
  <c r="O42" i="23"/>
  <c r="S42" i="23"/>
  <c r="AO42" i="23"/>
  <c r="AS42" i="23"/>
  <c r="BT41" i="23"/>
  <c r="AD42" i="23"/>
  <c r="D42" i="23"/>
  <c r="CD42" i="23"/>
  <c r="BD42" i="23"/>
  <c r="BQ42" i="23"/>
  <c r="Q42" i="23"/>
  <c r="AQ42" i="23"/>
  <c r="AY42" i="23"/>
  <c r="CK42" i="23"/>
  <c r="K42" i="23"/>
  <c r="BL42" i="23"/>
  <c r="CL42" i="23"/>
  <c r="X42" i="23"/>
  <c r="AX42" i="23"/>
  <c r="BX42" i="23"/>
  <c r="L42" i="23"/>
  <c r="BY42" i="23"/>
  <c r="AK42" i="23"/>
  <c r="AL42" i="23"/>
  <c r="BK42" i="23"/>
  <c r="Y42" i="23"/>
  <c r="C54" i="96"/>
  <c r="B53" i="96"/>
  <c r="W42" i="22"/>
  <c r="Z42" i="22"/>
  <c r="P42" i="22"/>
  <c r="X42" i="22"/>
  <c r="AQ42" i="22"/>
  <c r="H42" i="22"/>
  <c r="AR42" i="22"/>
  <c r="T42" i="22"/>
  <c r="D42" i="22"/>
  <c r="Q42" i="22"/>
  <c r="V42" i="22"/>
  <c r="AO42" i="22"/>
  <c r="AG42" i="22"/>
  <c r="AW42" i="22"/>
  <c r="G42" i="22"/>
  <c r="AF42" i="22"/>
  <c r="AJ42" i="22"/>
  <c r="AC42" i="22"/>
  <c r="AV42" i="22"/>
  <c r="I42" i="22"/>
  <c r="N42" i="22"/>
  <c r="F42" i="22"/>
  <c r="AA42" i="22"/>
  <c r="AN42" i="22"/>
  <c r="Y42" i="22"/>
  <c r="L42" i="22"/>
  <c r="U42" i="22"/>
  <c r="AS42" i="22"/>
  <c r="AE42" i="22"/>
  <c r="O42" i="22"/>
  <c r="AL42" i="22"/>
  <c r="AM42" i="22"/>
  <c r="E42" i="22"/>
  <c r="AD42" i="22"/>
  <c r="AT42" i="22"/>
  <c r="AU42" i="22"/>
  <c r="M42" i="22"/>
  <c r="K42" i="22"/>
  <c r="J42" i="22"/>
  <c r="AK42" i="22"/>
  <c r="AB42" i="22"/>
  <c r="AP42" i="22"/>
  <c r="P41" i="23"/>
  <c r="BJ41" i="23"/>
  <c r="V71" i="92"/>
  <c r="V69" i="9"/>
  <c r="E42" i="23"/>
  <c r="BI42" i="23"/>
  <c r="R42" i="23"/>
  <c r="N42" i="23"/>
  <c r="I42" i="23"/>
  <c r="CA42" i="23"/>
  <c r="CE42" i="23"/>
  <c r="AN42" i="23"/>
  <c r="BN42" i="23"/>
  <c r="AE42" i="23"/>
  <c r="CN42" i="23"/>
  <c r="AR42" i="23"/>
  <c r="BV42" i="23"/>
  <c r="AI42" i="23"/>
  <c r="BE42" i="23"/>
  <c r="CI42" i="23"/>
  <c r="V42" i="23"/>
  <c r="AV42" i="23"/>
  <c r="AA42" i="23"/>
  <c r="BA42" i="23"/>
  <c r="BR42" i="23"/>
  <c r="CP41" i="23"/>
  <c r="G60" i="92"/>
  <c r="G58" i="9"/>
  <c r="G41" i="23"/>
  <c r="AP41" i="23"/>
  <c r="J41" i="23"/>
  <c r="CG41" i="23"/>
  <c r="CM42" i="23"/>
  <c r="AM42" i="23"/>
  <c r="AZ42" i="23"/>
  <c r="M42" i="23"/>
  <c r="Z42" i="23"/>
  <c r="BM42" i="23"/>
  <c r="BZ42" i="23"/>
  <c r="M73" i="132"/>
  <c r="K73" i="132" s="1"/>
  <c r="BP41" i="23"/>
  <c r="B55" i="115"/>
  <c r="A54" i="115"/>
  <c r="AG41" i="23"/>
  <c r="BC41" i="23"/>
  <c r="B55" i="16"/>
  <c r="O54" i="16"/>
  <c r="M54" i="16"/>
  <c r="N54" i="16"/>
  <c r="G32" i="107"/>
  <c r="P97" i="143"/>
  <c r="AG96" i="143" s="1"/>
  <c r="I103" i="143"/>
  <c r="X102" i="143" s="1"/>
  <c r="G96" i="143"/>
  <c r="W95" i="143" s="1"/>
  <c r="D99" i="143"/>
  <c r="T98" i="143" s="1"/>
  <c r="N98" i="143"/>
  <c r="D29" i="115"/>
  <c r="G56" i="30"/>
  <c r="D36" i="30"/>
  <c r="F35" i="30"/>
  <c r="U49" i="30"/>
  <c r="D51" i="30"/>
  <c r="L64" i="30"/>
  <c r="L43" i="30"/>
  <c r="O35" i="30"/>
  <c r="T47" i="30"/>
  <c r="K47" i="30"/>
  <c r="O31" i="30"/>
  <c r="G40" i="30"/>
  <c r="J45" i="30"/>
  <c r="I46" i="30"/>
  <c r="M50" i="30"/>
  <c r="N35" i="30"/>
  <c r="G30" i="30"/>
  <c r="T64" i="30"/>
  <c r="F60" i="30"/>
  <c r="L57" i="30"/>
  <c r="D55" i="30"/>
  <c r="I50" i="30"/>
  <c r="O33" i="30"/>
  <c r="P31" i="30"/>
  <c r="M41" i="30"/>
  <c r="G47" i="30"/>
  <c r="P37" i="30"/>
  <c r="J37" i="30"/>
  <c r="E55" i="30"/>
  <c r="O49" i="30"/>
  <c r="O55" i="30"/>
  <c r="T45" i="30"/>
  <c r="H65" i="30"/>
  <c r="P29" i="30"/>
  <c r="D53" i="30"/>
  <c r="P56" i="30"/>
  <c r="E30" i="30"/>
  <c r="O30" i="30"/>
  <c r="K53" i="30"/>
  <c r="P58" i="30"/>
  <c r="N56" i="30"/>
  <c r="E35" i="30"/>
  <c r="M46" i="30"/>
  <c r="K32" i="30"/>
  <c r="M52" i="30"/>
  <c r="T65" i="30"/>
  <c r="D49" i="30"/>
  <c r="T42" i="30"/>
  <c r="O52" i="30"/>
  <c r="K62" i="30"/>
  <c r="J46" i="30"/>
  <c r="G33" i="30"/>
  <c r="L31" i="30"/>
  <c r="H38" i="30"/>
  <c r="P51" i="30"/>
  <c r="K42" i="30"/>
  <c r="M44" i="30"/>
  <c r="S55" i="30"/>
  <c r="J65" i="30"/>
  <c r="D64" i="30"/>
  <c r="L30" i="30"/>
  <c r="F53" i="30"/>
  <c r="S36" i="30"/>
  <c r="M58" i="30"/>
  <c r="F42" i="30"/>
  <c r="J64" i="30"/>
  <c r="E62" i="30"/>
  <c r="D43" i="30"/>
  <c r="H35" i="30"/>
  <c r="L48" i="30"/>
  <c r="E44" i="30"/>
  <c r="F50" i="30"/>
  <c r="T34" i="30"/>
  <c r="T49" i="30"/>
  <c r="D35" i="30"/>
  <c r="D39" i="30"/>
  <c r="N55" i="30"/>
  <c r="U59" i="30"/>
  <c r="T53" i="30"/>
  <c r="N58" i="30"/>
  <c r="K54" i="30"/>
  <c r="U51" i="30"/>
  <c r="M53" i="30"/>
  <c r="P52" i="30"/>
  <c r="P45" i="30"/>
  <c r="L34" i="30"/>
  <c r="I30" i="30"/>
  <c r="P42" i="30"/>
  <c r="N38" i="30"/>
  <c r="G59" i="30"/>
  <c r="E42" i="30"/>
  <c r="O45" i="30"/>
  <c r="N32" i="30"/>
  <c r="F47" i="30"/>
  <c r="S45" i="30"/>
  <c r="J32" i="30"/>
  <c r="D57" i="30"/>
  <c r="L45" i="30"/>
  <c r="N48" i="30"/>
  <c r="N57" i="30"/>
  <c r="D34" i="30"/>
  <c r="F62" i="30"/>
  <c r="K55" i="30"/>
  <c r="K49" i="30"/>
  <c r="G57" i="30"/>
  <c r="G38" i="30"/>
  <c r="M63" i="30"/>
  <c r="G58" i="30"/>
  <c r="L37" i="30"/>
  <c r="H34" i="30"/>
  <c r="U53" i="30"/>
  <c r="D40" i="30"/>
  <c r="S53" i="30"/>
  <c r="E37" i="30"/>
  <c r="H47" i="30"/>
  <c r="M37" i="30"/>
  <c r="U56" i="30"/>
  <c r="G53" i="30"/>
  <c r="L54" i="30"/>
  <c r="U47" i="30"/>
  <c r="O51" i="30"/>
  <c r="O44" i="30"/>
  <c r="H52" i="30"/>
  <c r="H51" i="30"/>
  <c r="T39" i="30"/>
  <c r="E45" i="30"/>
  <c r="S52" i="30"/>
  <c r="M35" i="30"/>
  <c r="F30" i="30"/>
  <c r="U50" i="30"/>
  <c r="I60" i="30"/>
  <c r="F44" i="30"/>
  <c r="S41" i="30"/>
  <c r="I61" i="30"/>
  <c r="F31" i="30"/>
  <c r="J55" i="30"/>
  <c r="I64" i="30"/>
  <c r="M31" i="30"/>
  <c r="I40" i="30"/>
  <c r="S51" i="30"/>
  <c r="L29" i="30"/>
  <c r="E58" i="30"/>
  <c r="L52" i="30"/>
  <c r="P47" i="30"/>
  <c r="T61" i="30"/>
  <c r="H48" i="30"/>
  <c r="M40" i="30"/>
  <c r="H55" i="30"/>
  <c r="L46" i="30"/>
  <c r="P35" i="30"/>
  <c r="S63" i="30"/>
  <c r="O61" i="30"/>
  <c r="D62" i="30"/>
  <c r="L39" i="30"/>
  <c r="U33" i="30"/>
  <c r="N36" i="30"/>
  <c r="K30" i="30"/>
  <c r="K37" i="30"/>
  <c r="L56" i="30"/>
  <c r="H62" i="30"/>
  <c r="T58" i="30"/>
  <c r="S29" i="30"/>
  <c r="L41" i="30"/>
  <c r="P53" i="30"/>
  <c r="E59" i="30"/>
  <c r="H63" i="30"/>
  <c r="E52" i="30"/>
  <c r="M55" i="30"/>
  <c r="E33" i="30"/>
  <c r="I41" i="30"/>
  <c r="D44" i="30"/>
  <c r="F54" i="30"/>
  <c r="U52" i="30"/>
  <c r="L40" i="30"/>
  <c r="K29" i="30"/>
  <c r="U57" i="30"/>
  <c r="F61" i="30"/>
  <c r="G41" i="30"/>
  <c r="S57" i="30"/>
  <c r="M32" i="30"/>
  <c r="G51" i="30"/>
  <c r="H32" i="30"/>
  <c r="M61" i="30"/>
  <c r="L42" i="30"/>
  <c r="S49" i="30"/>
  <c r="O50" i="30"/>
  <c r="F65" i="30"/>
  <c r="O65" i="30"/>
  <c r="P54" i="30"/>
  <c r="K43" i="30"/>
  <c r="O56" i="30"/>
  <c r="U45" i="30"/>
  <c r="F34" i="30"/>
  <c r="N64" i="30"/>
  <c r="U30" i="30"/>
  <c r="N44" i="30"/>
  <c r="I54" i="30"/>
  <c r="N42" i="30"/>
  <c r="K56" i="30"/>
  <c r="O60" i="30"/>
  <c r="I37" i="30"/>
  <c r="M33" i="30"/>
  <c r="U35" i="30"/>
  <c r="U58" i="30"/>
  <c r="M57" i="30"/>
  <c r="T50" i="30"/>
  <c r="K52" i="30"/>
  <c r="S59" i="30"/>
  <c r="M42" i="30"/>
  <c r="G29" i="30"/>
  <c r="S62" i="30"/>
  <c r="H58" i="30"/>
  <c r="P34" i="30"/>
  <c r="T43" i="30"/>
  <c r="U54" i="30"/>
  <c r="S50" i="30"/>
  <c r="U39" i="30"/>
  <c r="J60" i="30"/>
  <c r="K50" i="30"/>
  <c r="T60" i="30"/>
  <c r="O58" i="30"/>
  <c r="K36" i="30"/>
  <c r="D45" i="30"/>
  <c r="I48" i="30"/>
  <c r="N30" i="30"/>
  <c r="S44" i="30"/>
  <c r="E63" i="30"/>
  <c r="N51" i="30"/>
  <c r="M64" i="30"/>
  <c r="S65" i="30"/>
  <c r="U40" i="30"/>
  <c r="N59" i="30"/>
  <c r="I38" i="30"/>
  <c r="F57" i="30"/>
  <c r="H39" i="30"/>
  <c r="D33" i="30"/>
  <c r="N37" i="30"/>
  <c r="L53" i="30"/>
  <c r="L51" i="30"/>
  <c r="M34" i="30"/>
  <c r="M39" i="30"/>
  <c r="G44" i="30"/>
  <c r="H46" i="30"/>
  <c r="O46" i="30"/>
  <c r="L55" i="30"/>
  <c r="S35" i="30"/>
  <c r="M45" i="30"/>
  <c r="U38" i="30"/>
  <c r="M36" i="30"/>
  <c r="U34" i="30"/>
  <c r="P39" i="30"/>
  <c r="K40" i="30"/>
  <c r="O54" i="30"/>
  <c r="M60" i="30"/>
  <c r="F59" i="30"/>
  <c r="I43" i="30"/>
  <c r="E31" i="30"/>
  <c r="J33" i="30"/>
  <c r="L65" i="30"/>
  <c r="M43" i="30"/>
  <c r="P40" i="30"/>
  <c r="J58" i="30"/>
  <c r="K39" i="30"/>
  <c r="G36" i="30"/>
  <c r="K41" i="30"/>
  <c r="M48" i="30"/>
  <c r="F45" i="30"/>
  <c r="F64" i="30"/>
  <c r="S43" i="30"/>
  <c r="O48" i="30"/>
  <c r="T35" i="30"/>
  <c r="D32" i="30"/>
  <c r="L59" i="30"/>
  <c r="P61" i="30"/>
  <c r="J59" i="30"/>
  <c r="K44" i="30"/>
  <c r="S31" i="30"/>
  <c r="G42" i="30"/>
  <c r="J63" i="30"/>
  <c r="J38" i="30"/>
  <c r="H31" i="30"/>
  <c r="E41" i="30"/>
  <c r="U48" i="30"/>
  <c r="J52" i="30"/>
  <c r="S60" i="30"/>
  <c r="D52" i="30"/>
  <c r="S56" i="30"/>
  <c r="L44" i="30"/>
  <c r="T62" i="30"/>
  <c r="U46" i="30"/>
  <c r="F52" i="30"/>
  <c r="F36" i="30"/>
  <c r="J50" i="30"/>
  <c r="M38" i="30"/>
  <c r="T48" i="30"/>
  <c r="T59" i="30"/>
  <c r="I45" i="30"/>
  <c r="G55" i="30"/>
  <c r="K31" i="30"/>
  <c r="T32" i="30"/>
  <c r="P32" i="30"/>
  <c r="S54" i="30"/>
  <c r="T44" i="30"/>
  <c r="J54" i="30"/>
  <c r="E29" i="30"/>
  <c r="D37" i="30"/>
  <c r="M47" i="30"/>
  <c r="T41" i="30"/>
  <c r="D42" i="30"/>
  <c r="J61" i="30"/>
  <c r="O36" i="30"/>
  <c r="G49" i="30"/>
  <c r="S34" i="30"/>
  <c r="J49" i="30"/>
  <c r="P49" i="30"/>
  <c r="P48" i="30"/>
  <c r="T36" i="30"/>
  <c r="G50" i="30"/>
  <c r="J35" i="30"/>
  <c r="E53" i="30"/>
  <c r="M62" i="30"/>
  <c r="E46" i="30"/>
  <c r="N46" i="30"/>
  <c r="P33" i="30"/>
  <c r="J51" i="30"/>
  <c r="U55" i="30"/>
  <c r="E65" i="30"/>
  <c r="P65" i="30"/>
  <c r="P63" i="30"/>
  <c r="L61" i="30"/>
  <c r="F38" i="30"/>
  <c r="H37" i="30"/>
  <c r="K46" i="30"/>
  <c r="E50" i="30"/>
  <c r="G45" i="30"/>
  <c r="S39" i="30"/>
  <c r="I39" i="30"/>
  <c r="L32" i="30"/>
  <c r="S32" i="30"/>
  <c r="L58" i="30"/>
  <c r="P57" i="30"/>
  <c r="F46" i="30"/>
  <c r="P43" i="30"/>
  <c r="F33" i="30"/>
  <c r="I56" i="30"/>
  <c r="K45" i="30"/>
  <c r="D50" i="30"/>
  <c r="E57" i="30"/>
  <c r="M49" i="30"/>
  <c r="H30" i="30"/>
  <c r="I32" i="30"/>
  <c r="D58" i="30"/>
  <c r="K35" i="30"/>
  <c r="T55" i="30"/>
  <c r="G37" i="30"/>
  <c r="K33" i="30"/>
  <c r="S40" i="30"/>
  <c r="U65" i="30"/>
  <c r="E40" i="30"/>
  <c r="H44" i="30"/>
  <c r="I29" i="30"/>
  <c r="I59" i="30"/>
  <c r="T51" i="30"/>
  <c r="U64" i="30"/>
  <c r="P64" i="30"/>
  <c r="I34" i="30"/>
  <c r="L60" i="30"/>
  <c r="S33" i="30"/>
  <c r="O47" i="30"/>
  <c r="T37" i="30"/>
  <c r="N29" i="30"/>
  <c r="O57" i="30"/>
  <c r="O42" i="30"/>
  <c r="F39" i="30"/>
  <c r="H53" i="30"/>
  <c r="D63" i="30"/>
  <c r="O32" i="30"/>
  <c r="K63" i="30"/>
  <c r="J47" i="30"/>
  <c r="J30" i="30"/>
  <c r="U62" i="30"/>
  <c r="F58" i="30"/>
  <c r="S58" i="30"/>
  <c r="G54" i="30"/>
  <c r="J56" i="30"/>
  <c r="U29" i="30"/>
  <c r="I53" i="30"/>
  <c r="E43" i="30"/>
  <c r="I31" i="30"/>
  <c r="O40" i="30"/>
  <c r="E51" i="30"/>
  <c r="G43" i="30"/>
  <c r="O39" i="30"/>
  <c r="G63" i="30"/>
  <c r="O41" i="30"/>
  <c r="D38" i="30"/>
  <c r="G61" i="30"/>
  <c r="G34" i="30"/>
  <c r="K65" i="30"/>
  <c r="U42" i="30"/>
  <c r="H45" i="30"/>
  <c r="T46" i="30"/>
  <c r="D54" i="30"/>
  <c r="U32" i="30"/>
  <c r="T40" i="30"/>
  <c r="D46" i="30"/>
  <c r="E56" i="30"/>
  <c r="T30" i="30"/>
  <c r="M54" i="30"/>
  <c r="F51" i="30"/>
  <c r="F49" i="30"/>
  <c r="U44" i="30"/>
  <c r="F55" i="30"/>
  <c r="H60" i="30"/>
  <c r="U43" i="30"/>
  <c r="F29" i="30"/>
  <c r="G39" i="30"/>
  <c r="I62" i="30"/>
  <c r="S37" i="30"/>
  <c r="T33" i="30"/>
  <c r="H36" i="30"/>
  <c r="L35" i="30"/>
  <c r="I33" i="30"/>
  <c r="P44" i="30"/>
  <c r="O34" i="30"/>
  <c r="T57" i="30"/>
  <c r="P41" i="30"/>
  <c r="H43" i="30"/>
  <c r="I51" i="30"/>
  <c r="J39" i="30"/>
  <c r="F63" i="30"/>
  <c r="E60" i="30"/>
  <c r="O37" i="30"/>
  <c r="S61" i="30"/>
  <c r="P55" i="30"/>
  <c r="M29" i="30"/>
  <c r="O59" i="30"/>
  <c r="N60" i="30"/>
  <c r="E54" i="30"/>
  <c r="G35" i="30"/>
  <c r="H57" i="30"/>
  <c r="H29" i="30"/>
  <c r="K38" i="30"/>
  <c r="N53" i="30"/>
  <c r="M59" i="30"/>
  <c r="G48" i="30"/>
  <c r="L49" i="30"/>
  <c r="D61" i="30"/>
  <c r="J34" i="30"/>
  <c r="H40" i="30"/>
  <c r="K60" i="30"/>
  <c r="U60" i="30"/>
  <c r="O43" i="30"/>
  <c r="G31" i="30"/>
  <c r="T54" i="30"/>
  <c r="T29" i="30"/>
  <c r="U36" i="30"/>
  <c r="I58" i="30"/>
  <c r="D41" i="30"/>
  <c r="U41" i="30"/>
  <c r="T38" i="30"/>
  <c r="G62" i="30"/>
  <c r="U37" i="30"/>
  <c r="E47" i="30"/>
  <c r="F41" i="30"/>
  <c r="K34" i="30"/>
  <c r="M30" i="30"/>
  <c r="J48" i="30"/>
  <c r="H50" i="30"/>
  <c r="S42" i="30"/>
  <c r="L38" i="30"/>
  <c r="P60" i="30"/>
  <c r="J29" i="30"/>
  <c r="F43" i="30"/>
  <c r="H42" i="30"/>
  <c r="O29" i="30"/>
  <c r="P36" i="30"/>
  <c r="P50" i="30"/>
  <c r="M65" i="30"/>
  <c r="N41" i="30"/>
  <c r="M56" i="30"/>
  <c r="D31" i="30"/>
  <c r="D30" i="30"/>
  <c r="N52" i="30"/>
  <c r="I36" i="30"/>
  <c r="T31" i="30"/>
  <c r="S47" i="30"/>
  <c r="T56" i="30"/>
  <c r="N33" i="30"/>
  <c r="N31" i="30"/>
  <c r="K59" i="30"/>
  <c r="O63" i="30"/>
  <c r="J43" i="30"/>
  <c r="N61" i="30"/>
  <c r="E36" i="30"/>
  <c r="O38" i="30"/>
  <c r="N34" i="30"/>
  <c r="S38" i="30"/>
  <c r="I55" i="30"/>
  <c r="L63" i="30"/>
  <c r="P38" i="30"/>
  <c r="S46" i="30"/>
  <c r="U31" i="30"/>
  <c r="J41" i="30"/>
  <c r="E34" i="30"/>
  <c r="K57" i="30"/>
  <c r="L36" i="30"/>
  <c r="H61" i="30"/>
  <c r="J36" i="30"/>
  <c r="J31" i="30"/>
  <c r="P59" i="30"/>
  <c r="O62" i="30"/>
  <c r="N49" i="30"/>
  <c r="N50" i="30"/>
  <c r="O64" i="30"/>
  <c r="I44" i="30"/>
  <c r="K64" i="30"/>
  <c r="I52" i="30"/>
  <c r="D48" i="30"/>
  <c r="E64" i="30"/>
  <c r="I65" i="30"/>
  <c r="E61" i="30"/>
  <c r="N62" i="30"/>
  <c r="N47" i="30"/>
  <c r="T63" i="30"/>
  <c r="L47" i="30"/>
  <c r="K48" i="30"/>
  <c r="M51" i="30"/>
  <c r="J53" i="30"/>
  <c r="S48" i="30"/>
  <c r="G52" i="30"/>
  <c r="J62" i="30"/>
  <c r="H41" i="30"/>
  <c r="N39" i="30"/>
  <c r="H54" i="30"/>
  <c r="I57" i="30"/>
  <c r="G32" i="30"/>
  <c r="P62" i="30"/>
  <c r="U61" i="30"/>
  <c r="I35" i="30"/>
  <c r="N43" i="30"/>
  <c r="D59" i="30"/>
  <c r="I63" i="30"/>
  <c r="S30" i="30"/>
  <c r="N54" i="30"/>
  <c r="P30" i="30"/>
  <c r="N40" i="30"/>
  <c r="F40" i="30"/>
  <c r="H56" i="30"/>
  <c r="G64" i="30"/>
  <c r="S64" i="30"/>
  <c r="D56" i="30"/>
  <c r="J44" i="30"/>
  <c r="H49" i="30"/>
  <c r="I42" i="30"/>
  <c r="K51" i="30"/>
  <c r="N65" i="30"/>
  <c r="H64" i="30"/>
  <c r="O53" i="30"/>
  <c r="F32" i="30"/>
  <c r="F48" i="30"/>
  <c r="I49" i="30"/>
  <c r="E49" i="30"/>
  <c r="L62" i="30"/>
  <c r="N63" i="30"/>
  <c r="L50" i="30"/>
  <c r="J57" i="30"/>
  <c r="P46" i="30"/>
  <c r="J42" i="30"/>
  <c r="L33" i="30"/>
  <c r="I47" i="30"/>
  <c r="E39" i="30"/>
  <c r="D60" i="30"/>
  <c r="G46" i="30"/>
  <c r="E48" i="30"/>
  <c r="G65" i="30"/>
  <c r="K58" i="30"/>
  <c r="H33" i="30"/>
  <c r="E38" i="30"/>
  <c r="T52" i="30"/>
  <c r="G60" i="30"/>
  <c r="N45" i="30"/>
  <c r="J40" i="30"/>
  <c r="E32" i="30"/>
  <c r="U63" i="30"/>
  <c r="H59" i="30"/>
  <c r="F37" i="30"/>
  <c r="K61" i="30"/>
  <c r="F56" i="30"/>
  <c r="D47" i="30"/>
  <c r="E98" i="143"/>
  <c r="U97" i="143" s="1"/>
  <c r="J62" i="92"/>
  <c r="J60" i="9"/>
  <c r="W94" i="143"/>
  <c r="T97" i="143"/>
  <c r="F103" i="143"/>
  <c r="V102" i="143" s="1"/>
  <c r="J96" i="143"/>
  <c r="V101" i="143"/>
  <c r="B51" i="72"/>
  <c r="AB94" i="143"/>
  <c r="H98" i="143"/>
  <c r="Z97" i="143" s="1"/>
  <c r="L98" i="143"/>
  <c r="AD97" i="143" s="1"/>
  <c r="Q96" i="143"/>
  <c r="AK95" i="143" s="1"/>
  <c r="AG95" i="143"/>
  <c r="AA96" i="143"/>
  <c r="B68" i="28"/>
  <c r="B80" i="143"/>
  <c r="S79" i="143" s="1"/>
  <c r="B79" i="145" s="1"/>
  <c r="B79" i="146" s="1"/>
  <c r="P60" i="92"/>
  <c r="P58" i="9"/>
  <c r="D30" i="115" s="1"/>
  <c r="E55" i="16" l="1"/>
  <c r="I55" i="16"/>
  <c r="L55" i="16"/>
  <c r="J55" i="16"/>
  <c r="D55" i="16"/>
  <c r="F55" i="16"/>
  <c r="K55" i="16"/>
  <c r="H55" i="16"/>
  <c r="G55" i="16"/>
  <c r="BJ42" i="23"/>
  <c r="G85" i="90"/>
  <c r="B53" i="20"/>
  <c r="C54" i="20"/>
  <c r="S53" i="20"/>
  <c r="G52" i="20"/>
  <c r="P52" i="20"/>
  <c r="AF52" i="20" s="1"/>
  <c r="Q52" i="20"/>
  <c r="AG52" i="20" s="1"/>
  <c r="N52" i="20"/>
  <c r="AD52" i="20" s="1"/>
  <c r="H52" i="20"/>
  <c r="J52" i="20"/>
  <c r="Z52" i="20" s="1"/>
  <c r="O52" i="20"/>
  <c r="AE52" i="20" s="1"/>
  <c r="M52" i="20"/>
  <c r="AC52" i="20" s="1"/>
  <c r="F52" i="20"/>
  <c r="V52" i="20" s="1"/>
  <c r="D52" i="20"/>
  <c r="T52" i="20" s="1"/>
  <c r="K52" i="20"/>
  <c r="AA52" i="20" s="1"/>
  <c r="I52" i="20"/>
  <c r="E52" i="20"/>
  <c r="U52" i="20" s="1"/>
  <c r="L52" i="20"/>
  <c r="AB52" i="20" s="1"/>
  <c r="AC95" i="143"/>
  <c r="K97" i="143"/>
  <c r="B66" i="91"/>
  <c r="B67" i="91" s="1"/>
  <c r="H68" i="28" s="1"/>
  <c r="H64" i="28"/>
  <c r="F64" i="28"/>
  <c r="G64" i="28"/>
  <c r="E64" i="28"/>
  <c r="D64" i="28"/>
  <c r="AW42" i="23"/>
  <c r="W42" i="23"/>
  <c r="CJ42" i="23"/>
  <c r="G53" i="25"/>
  <c r="BW42" i="23"/>
  <c r="AE98" i="143"/>
  <c r="M100" i="143"/>
  <c r="M101" i="143" s="1"/>
  <c r="AE100" i="143" s="1"/>
  <c r="S64" i="9"/>
  <c r="D40" i="98" s="1"/>
  <c r="D39" i="31" s="1"/>
  <c r="S66" i="92"/>
  <c r="CG53" i="25"/>
  <c r="BG53" i="25"/>
  <c r="AT53" i="25"/>
  <c r="AT42" i="23"/>
  <c r="S54" i="25"/>
  <c r="Q54" i="25"/>
  <c r="CF54" i="25"/>
  <c r="BF54" i="25"/>
  <c r="BR54" i="25"/>
  <c r="AE54" i="25"/>
  <c r="AQ54" i="25"/>
  <c r="E54" i="25"/>
  <c r="BS54" i="25"/>
  <c r="R54" i="25"/>
  <c r="AD54" i="25"/>
  <c r="CE54" i="25"/>
  <c r="BE54" i="25"/>
  <c r="AF54" i="25"/>
  <c r="D54" i="25"/>
  <c r="BQ54" i="25"/>
  <c r="F54" i="25"/>
  <c r="AS54" i="25"/>
  <c r="CD54" i="25"/>
  <c r="BD54" i="25"/>
  <c r="AR54" i="25"/>
  <c r="B55" i="25"/>
  <c r="C56" i="25"/>
  <c r="AM22" i="21"/>
  <c r="AF22" i="72"/>
  <c r="AG53" i="25"/>
  <c r="T53" i="25"/>
  <c r="BT53" i="25"/>
  <c r="BG42" i="23"/>
  <c r="AJ42" i="23"/>
  <c r="M66" i="9"/>
  <c r="M68" i="92"/>
  <c r="P42" i="23"/>
  <c r="AG42" i="23"/>
  <c r="AP42" i="23"/>
  <c r="CG42" i="23"/>
  <c r="J42" i="23"/>
  <c r="BP42" i="23"/>
  <c r="G42" i="23"/>
  <c r="O96" i="143"/>
  <c r="AI94" i="143"/>
  <c r="AH94" i="143"/>
  <c r="W72" i="92"/>
  <c r="W70" i="9"/>
  <c r="N43" i="23"/>
  <c r="BI43" i="23"/>
  <c r="CE43" i="23"/>
  <c r="BR43" i="23"/>
  <c r="I43" i="23"/>
  <c r="E43" i="23"/>
  <c r="AA43" i="23"/>
  <c r="R43" i="23"/>
  <c r="AE43" i="23"/>
  <c r="AI43" i="23"/>
  <c r="BN43" i="23"/>
  <c r="BE43" i="23"/>
  <c r="CA43" i="23"/>
  <c r="V43" i="23"/>
  <c r="AN43" i="23"/>
  <c r="BV43" i="23"/>
  <c r="AV43" i="23"/>
  <c r="CN43" i="23"/>
  <c r="AR43" i="23"/>
  <c r="CI43" i="23"/>
  <c r="BA43" i="23"/>
  <c r="Y97" i="143"/>
  <c r="AC42" i="23"/>
  <c r="CP42" i="23"/>
  <c r="R43" i="22"/>
  <c r="S43" i="22"/>
  <c r="AY43" i="22"/>
  <c r="AX43" i="22"/>
  <c r="AI43" i="22"/>
  <c r="AH43" i="22"/>
  <c r="AA97" i="143"/>
  <c r="BD43" i="23"/>
  <c r="AQ43" i="23"/>
  <c r="Q43" i="23"/>
  <c r="BQ43" i="23"/>
  <c r="D43" i="23"/>
  <c r="AD43" i="23"/>
  <c r="CD43" i="23"/>
  <c r="AK43" i="23"/>
  <c r="BL43" i="23"/>
  <c r="BY43" i="23"/>
  <c r="BX43" i="23"/>
  <c r="CK43" i="23"/>
  <c r="AL43" i="23"/>
  <c r="L43" i="23"/>
  <c r="Y43" i="23"/>
  <c r="X43" i="23"/>
  <c r="AY43" i="23"/>
  <c r="AX43" i="23"/>
  <c r="BK43" i="23"/>
  <c r="K43" i="23"/>
  <c r="CL43" i="23"/>
  <c r="A55" i="115"/>
  <c r="B56" i="115"/>
  <c r="BC42" i="23"/>
  <c r="AU43" i="23"/>
  <c r="BU43" i="23"/>
  <c r="U43" i="23"/>
  <c r="BH43" i="23"/>
  <c r="H43" i="23"/>
  <c r="AH43" i="23"/>
  <c r="CH43" i="23"/>
  <c r="B54" i="96"/>
  <c r="C55" i="96"/>
  <c r="T42" i="23"/>
  <c r="AO43" i="22"/>
  <c r="X43" i="22"/>
  <c r="AQ43" i="22"/>
  <c r="AS43" i="22"/>
  <c r="AU43" i="22"/>
  <c r="AD43" i="22"/>
  <c r="V43" i="22"/>
  <c r="AR43" i="22"/>
  <c r="AB43" i="22"/>
  <c r="D43" i="22"/>
  <c r="T43" i="22"/>
  <c r="Y43" i="22"/>
  <c r="AT43" i="22"/>
  <c r="G43" i="22"/>
  <c r="P43" i="22"/>
  <c r="AC43" i="22"/>
  <c r="M43" i="22"/>
  <c r="AP43" i="22"/>
  <c r="U43" i="22"/>
  <c r="J43" i="22"/>
  <c r="AA43" i="22"/>
  <c r="N43" i="22"/>
  <c r="AN43" i="22"/>
  <c r="AJ43" i="22"/>
  <c r="E43" i="22"/>
  <c r="F43" i="22"/>
  <c r="AG43" i="22"/>
  <c r="AV43" i="22"/>
  <c r="Z43" i="22"/>
  <c r="O43" i="22"/>
  <c r="AM43" i="22"/>
  <c r="L43" i="22"/>
  <c r="AL43" i="22"/>
  <c r="AF43" i="22"/>
  <c r="AK43" i="22"/>
  <c r="AW43" i="22"/>
  <c r="H43" i="22"/>
  <c r="I43" i="22"/>
  <c r="Q43" i="22"/>
  <c r="W43" i="22"/>
  <c r="K43" i="22"/>
  <c r="AE43" i="22"/>
  <c r="BT42" i="23"/>
  <c r="M74" i="132"/>
  <c r="K74" i="132" s="1"/>
  <c r="G59" i="9"/>
  <c r="G61" i="92"/>
  <c r="G62" i="92" s="1"/>
  <c r="V70" i="9"/>
  <c r="V72" i="92"/>
  <c r="AB43" i="23"/>
  <c r="AF43" i="23"/>
  <c r="F43" i="23"/>
  <c r="O43" i="23"/>
  <c r="CO43" i="23"/>
  <c r="CF43" i="23"/>
  <c r="AS43" i="23"/>
  <c r="BF43" i="23"/>
  <c r="S43" i="23"/>
  <c r="BS43" i="23"/>
  <c r="CB43" i="23"/>
  <c r="AO43" i="23"/>
  <c r="BB43" i="23"/>
  <c r="BO43" i="23"/>
  <c r="O55" i="16"/>
  <c r="N55" i="16"/>
  <c r="M55" i="16"/>
  <c r="B56" i="16"/>
  <c r="CC42" i="23"/>
  <c r="AM43" i="23"/>
  <c r="BM43" i="23"/>
  <c r="M43" i="23"/>
  <c r="Z43" i="23"/>
  <c r="CM43" i="23"/>
  <c r="AZ43" i="23"/>
  <c r="BZ43" i="23"/>
  <c r="J97" i="143"/>
  <c r="P59" i="9"/>
  <c r="D31" i="115" s="1"/>
  <c r="P61" i="92"/>
  <c r="Q97" i="143"/>
  <c r="AK96" i="143" s="1"/>
  <c r="L99" i="143"/>
  <c r="AD98" i="143" s="1"/>
  <c r="F104" i="143"/>
  <c r="V103" i="143" s="1"/>
  <c r="D100" i="143"/>
  <c r="T99" i="143" s="1"/>
  <c r="I104" i="143"/>
  <c r="X103" i="143" s="1"/>
  <c r="B69" i="28"/>
  <c r="G97" i="143"/>
  <c r="H99" i="143"/>
  <c r="AA98" i="143" s="1"/>
  <c r="N99" i="143"/>
  <c r="B52" i="72"/>
  <c r="J63" i="92"/>
  <c r="J61" i="9"/>
  <c r="E99" i="143"/>
  <c r="AF97" i="143"/>
  <c r="B81" i="143"/>
  <c r="S80" i="143" s="1"/>
  <c r="B80" i="145" s="1"/>
  <c r="B80" i="146" s="1"/>
  <c r="AB95" i="143"/>
  <c r="P98" i="143"/>
  <c r="AG97" i="143" s="1"/>
  <c r="G68" i="28" l="1"/>
  <c r="F68" i="28"/>
  <c r="L56" i="16"/>
  <c r="F56" i="16"/>
  <c r="D56" i="16"/>
  <c r="J56" i="16"/>
  <c r="K56" i="16"/>
  <c r="E56" i="16"/>
  <c r="I56" i="16"/>
  <c r="H56" i="16"/>
  <c r="G56" i="16"/>
  <c r="E68" i="28"/>
  <c r="D68" i="28"/>
  <c r="G86" i="90"/>
  <c r="C55" i="20"/>
  <c r="S54" i="20"/>
  <c r="B54" i="20"/>
  <c r="O53" i="20"/>
  <c r="AE53" i="20" s="1"/>
  <c r="D53" i="20"/>
  <c r="T53" i="20" s="1"/>
  <c r="Q53" i="20"/>
  <c r="AG53" i="20" s="1"/>
  <c r="N53" i="20"/>
  <c r="AD53" i="20" s="1"/>
  <c r="I53" i="20"/>
  <c r="L53" i="20"/>
  <c r="AB53" i="20" s="1"/>
  <c r="H53" i="20"/>
  <c r="E53" i="20"/>
  <c r="U53" i="20" s="1"/>
  <c r="P53" i="20"/>
  <c r="AF53" i="20" s="1"/>
  <c r="J53" i="20"/>
  <c r="Z53" i="20" s="1"/>
  <c r="M53" i="20"/>
  <c r="AC53" i="20" s="1"/>
  <c r="G53" i="20"/>
  <c r="K53" i="20"/>
  <c r="AA53" i="20" s="1"/>
  <c r="F53" i="20"/>
  <c r="V53" i="20" s="1"/>
  <c r="M102" i="143"/>
  <c r="AE101" i="143" s="1"/>
  <c r="AC96" i="143"/>
  <c r="K98" i="143"/>
  <c r="G35" i="132"/>
  <c r="J35" i="132" s="1"/>
  <c r="G37" i="132"/>
  <c r="J37" i="132" s="1"/>
  <c r="G44" i="132"/>
  <c r="J44" i="132" s="1"/>
  <c r="G39" i="132"/>
  <c r="J39" i="132" s="1"/>
  <c r="G45" i="132"/>
  <c r="J45" i="132" s="1"/>
  <c r="F45" i="132"/>
  <c r="I45" i="132" s="1"/>
  <c r="F39" i="132"/>
  <c r="I39" i="132" s="1"/>
  <c r="G40" i="132"/>
  <c r="J40" i="132" s="1"/>
  <c r="F47" i="132"/>
  <c r="I47" i="132" s="1"/>
  <c r="F41" i="132"/>
  <c r="I41" i="132" s="1"/>
  <c r="G47" i="132"/>
  <c r="J47" i="132" s="1"/>
  <c r="F44" i="132"/>
  <c r="I44" i="132" s="1"/>
  <c r="F43" i="132"/>
  <c r="I43" i="132" s="1"/>
  <c r="F40" i="132"/>
  <c r="I40" i="132" s="1"/>
  <c r="F42" i="132"/>
  <c r="I42" i="132" s="1"/>
  <c r="G49" i="132"/>
  <c r="J49" i="132" s="1"/>
  <c r="G43" i="132"/>
  <c r="J43" i="132" s="1"/>
  <c r="G42" i="132"/>
  <c r="J42" i="132" s="1"/>
  <c r="F49" i="132"/>
  <c r="I49" i="132" s="1"/>
  <c r="G41" i="132"/>
  <c r="J41" i="132" s="1"/>
  <c r="G46" i="132"/>
  <c r="J46" i="132" s="1"/>
  <c r="F48" i="132"/>
  <c r="I48" i="132" s="1"/>
  <c r="G51" i="132"/>
  <c r="J51" i="132" s="1"/>
  <c r="G58" i="132"/>
  <c r="J58" i="132" s="1"/>
  <c r="G62" i="132"/>
  <c r="J62" i="132" s="1"/>
  <c r="G53" i="132"/>
  <c r="J53" i="132" s="1"/>
  <c r="G52" i="132"/>
  <c r="J52" i="132" s="1"/>
  <c r="G63" i="132"/>
  <c r="J63" i="132" s="1"/>
  <c r="G56" i="132"/>
  <c r="J56" i="132" s="1"/>
  <c r="G60" i="132"/>
  <c r="J60" i="132" s="1"/>
  <c r="F61" i="132"/>
  <c r="I61" i="132" s="1"/>
  <c r="F58" i="132"/>
  <c r="I58" i="132" s="1"/>
  <c r="F54" i="132"/>
  <c r="I54" i="132" s="1"/>
  <c r="G50" i="132"/>
  <c r="J50" i="132" s="1"/>
  <c r="F62" i="132"/>
  <c r="I62" i="132" s="1"/>
  <c r="F56" i="132"/>
  <c r="I56" i="132" s="1"/>
  <c r="F60" i="132"/>
  <c r="I60" i="132" s="1"/>
  <c r="G57" i="132"/>
  <c r="J57" i="132" s="1"/>
  <c r="F59" i="132"/>
  <c r="I59" i="132" s="1"/>
  <c r="G59" i="132"/>
  <c r="J59" i="132" s="1"/>
  <c r="G55" i="132"/>
  <c r="J55" i="132" s="1"/>
  <c r="F51" i="132"/>
  <c r="I51" i="132" s="1"/>
  <c r="F53" i="132"/>
  <c r="I53" i="132" s="1"/>
  <c r="F52" i="132"/>
  <c r="I52" i="132" s="1"/>
  <c r="G61" i="132"/>
  <c r="J61" i="132" s="1"/>
  <c r="F63" i="132"/>
  <c r="I63" i="132" s="1"/>
  <c r="F57" i="132"/>
  <c r="I57" i="132" s="1"/>
  <c r="G54" i="132"/>
  <c r="J54" i="132" s="1"/>
  <c r="F64" i="132"/>
  <c r="G64" i="132"/>
  <c r="F55" i="132"/>
  <c r="I55" i="132" s="1"/>
  <c r="F66" i="28"/>
  <c r="G66" i="28"/>
  <c r="D66" i="28"/>
  <c r="E66" i="28"/>
  <c r="H66" i="28"/>
  <c r="E65" i="28"/>
  <c r="H67" i="28"/>
  <c r="H65" i="28"/>
  <c r="E67" i="28"/>
  <c r="G65" i="28"/>
  <c r="F65" i="28"/>
  <c r="F67" i="28"/>
  <c r="D65" i="28"/>
  <c r="G67" i="28"/>
  <c r="D67" i="28"/>
  <c r="CG54" i="25"/>
  <c r="AG54" i="25"/>
  <c r="G54" i="25"/>
  <c r="AT54" i="25"/>
  <c r="C57" i="25"/>
  <c r="B56" i="25"/>
  <c r="Z98" i="143"/>
  <c r="BP43" i="23"/>
  <c r="F55" i="25"/>
  <c r="BS55" i="25"/>
  <c r="CE55" i="25"/>
  <c r="E55" i="25"/>
  <c r="CD55" i="25"/>
  <c r="AS55" i="25"/>
  <c r="CF55" i="25"/>
  <c r="R55" i="25"/>
  <c r="BR55" i="25"/>
  <c r="S55" i="25"/>
  <c r="Q55" i="25"/>
  <c r="BF55" i="25"/>
  <c r="BD55" i="25"/>
  <c r="AE55" i="25"/>
  <c r="AQ55" i="25"/>
  <c r="AR55" i="25"/>
  <c r="BQ55" i="25"/>
  <c r="BE55" i="25"/>
  <c r="D55" i="25"/>
  <c r="AD55" i="25"/>
  <c r="AF55" i="25"/>
  <c r="BG54" i="25"/>
  <c r="S65" i="9"/>
  <c r="D41" i="98" s="1"/>
  <c r="D40" i="31" s="1"/>
  <c r="S67" i="92"/>
  <c r="T54" i="25"/>
  <c r="AE99" i="143"/>
  <c r="AV22" i="21"/>
  <c r="AG22" i="72"/>
  <c r="Y98" i="143"/>
  <c r="BT54" i="25"/>
  <c r="M67" i="9"/>
  <c r="M69" i="92"/>
  <c r="CC43" i="23"/>
  <c r="AC43" i="23"/>
  <c r="BC43" i="23"/>
  <c r="AW43" i="23"/>
  <c r="P43" i="23"/>
  <c r="CJ43" i="23"/>
  <c r="AP43" i="23"/>
  <c r="M56" i="16"/>
  <c r="B57" i="16"/>
  <c r="O56" i="16"/>
  <c r="N56" i="16"/>
  <c r="M75" i="132"/>
  <c r="K75" i="132" s="1"/>
  <c r="CG43" i="23"/>
  <c r="AJ43" i="23"/>
  <c r="BJ43" i="23"/>
  <c r="AQ44" i="23"/>
  <c r="D44" i="23"/>
  <c r="Q44" i="23"/>
  <c r="BD44" i="23"/>
  <c r="CD44" i="23"/>
  <c r="AD44" i="23"/>
  <c r="BQ44" i="23"/>
  <c r="AG43" i="23"/>
  <c r="CP43" i="23"/>
  <c r="G43" i="23"/>
  <c r="BW43" i="23"/>
  <c r="AI44" i="22"/>
  <c r="S44" i="22"/>
  <c r="AY44" i="22"/>
  <c r="AX44" i="22"/>
  <c r="R44" i="22"/>
  <c r="AH44" i="22"/>
  <c r="V73" i="92"/>
  <c r="V71" i="9"/>
  <c r="CH44" i="23"/>
  <c r="H44" i="23"/>
  <c r="AU44" i="23"/>
  <c r="AH44" i="23"/>
  <c r="U44" i="23"/>
  <c r="BH44" i="23"/>
  <c r="BU44" i="23"/>
  <c r="BM44" i="23"/>
  <c r="Z44" i="23"/>
  <c r="AZ44" i="23"/>
  <c r="AM44" i="23"/>
  <c r="BZ44" i="23"/>
  <c r="M44" i="23"/>
  <c r="CM44" i="23"/>
  <c r="BT43" i="23"/>
  <c r="V44" i="23"/>
  <c r="N44" i="23"/>
  <c r="CI44" i="23"/>
  <c r="BE44" i="23"/>
  <c r="AV44" i="23"/>
  <c r="CE44" i="23"/>
  <c r="BA44" i="23"/>
  <c r="AA44" i="23"/>
  <c r="CN44" i="23"/>
  <c r="BI44" i="23"/>
  <c r="BN44" i="23"/>
  <c r="R44" i="23"/>
  <c r="AR44" i="23"/>
  <c r="BR44" i="23"/>
  <c r="BV44" i="23"/>
  <c r="AE44" i="23"/>
  <c r="CA44" i="23"/>
  <c r="AN44" i="23"/>
  <c r="I44" i="23"/>
  <c r="J44" i="23" s="1"/>
  <c r="AI44" i="23"/>
  <c r="E44" i="23"/>
  <c r="W73" i="92"/>
  <c r="W71" i="9"/>
  <c r="E44" i="22"/>
  <c r="AE44" i="22"/>
  <c r="AU44" i="22"/>
  <c r="G44" i="22"/>
  <c r="N44" i="22"/>
  <c r="W44" i="22"/>
  <c r="M44" i="22"/>
  <c r="AC44" i="22"/>
  <c r="Z44" i="22"/>
  <c r="AA44" i="22"/>
  <c r="D44" i="22"/>
  <c r="AL44" i="22"/>
  <c r="AV44" i="22"/>
  <c r="AD44" i="22"/>
  <c r="AP44" i="22"/>
  <c r="AO44" i="22"/>
  <c r="AT44" i="22"/>
  <c r="U44" i="22"/>
  <c r="AF44" i="22"/>
  <c r="AM44" i="22"/>
  <c r="AG44" i="22"/>
  <c r="AK44" i="22"/>
  <c r="T44" i="22"/>
  <c r="L44" i="22"/>
  <c r="AR44" i="22"/>
  <c r="AN44" i="22"/>
  <c r="AQ44" i="22"/>
  <c r="J44" i="22"/>
  <c r="AB44" i="22"/>
  <c r="X44" i="22"/>
  <c r="K44" i="22"/>
  <c r="AW44" i="22"/>
  <c r="F44" i="22"/>
  <c r="AS44" i="22"/>
  <c r="V44" i="22"/>
  <c r="Y44" i="22"/>
  <c r="AJ44" i="22"/>
  <c r="I44" i="22"/>
  <c r="P44" i="22"/>
  <c r="O44" i="22"/>
  <c r="Q44" i="22"/>
  <c r="H44" i="22"/>
  <c r="T43" i="23"/>
  <c r="CF44" i="23"/>
  <c r="BO44" i="23"/>
  <c r="F44" i="23"/>
  <c r="BB44" i="23"/>
  <c r="CO44" i="23"/>
  <c r="AB44" i="23"/>
  <c r="AO44" i="23"/>
  <c r="AF44" i="23"/>
  <c r="AS44" i="23"/>
  <c r="BF44" i="23"/>
  <c r="O44" i="23"/>
  <c r="CB44" i="23"/>
  <c r="S44" i="23"/>
  <c r="BS44" i="23"/>
  <c r="W43" i="23"/>
  <c r="G60" i="9"/>
  <c r="CL44" i="23"/>
  <c r="AL44" i="23"/>
  <c r="L44" i="23"/>
  <c r="K44" i="23"/>
  <c r="CK44" i="23"/>
  <c r="BX44" i="23"/>
  <c r="AY44" i="23"/>
  <c r="X44" i="23"/>
  <c r="AK44" i="23"/>
  <c r="BL44" i="23"/>
  <c r="AX44" i="23"/>
  <c r="BY44" i="23"/>
  <c r="Y44" i="23"/>
  <c r="BK44" i="23"/>
  <c r="B55" i="96"/>
  <c r="C56" i="96"/>
  <c r="AT43" i="23"/>
  <c r="J43" i="23"/>
  <c r="BG43" i="23"/>
  <c r="O97" i="143"/>
  <c r="AH96" i="143" s="1"/>
  <c r="AH95" i="143"/>
  <c r="AJ95" i="143"/>
  <c r="AI95" i="143"/>
  <c r="B57" i="115"/>
  <c r="A56" i="115"/>
  <c r="N100" i="143"/>
  <c r="B70" i="28"/>
  <c r="F69" i="28"/>
  <c r="H69" i="28"/>
  <c r="G69" i="28"/>
  <c r="E69" i="28"/>
  <c r="D69" i="28"/>
  <c r="E100" i="143"/>
  <c r="U99" i="143" s="1"/>
  <c r="M103" i="143"/>
  <c r="AE102" i="143" s="1"/>
  <c r="I105" i="143"/>
  <c r="F105" i="143"/>
  <c r="V104" i="143" s="1"/>
  <c r="U98" i="143"/>
  <c r="L100" i="143"/>
  <c r="AD99" i="143" s="1"/>
  <c r="J98" i="143"/>
  <c r="AB97" i="143" s="1"/>
  <c r="G98" i="143"/>
  <c r="W97" i="143" s="1"/>
  <c r="D101" i="143"/>
  <c r="Q98" i="143"/>
  <c r="AK97" i="143" s="1"/>
  <c r="AB96" i="143"/>
  <c r="P99" i="143"/>
  <c r="AG98" i="143" s="1"/>
  <c r="B82" i="143"/>
  <c r="S81" i="143" s="1"/>
  <c r="B81" i="145" s="1"/>
  <c r="B81" i="146" s="1"/>
  <c r="B53" i="72"/>
  <c r="H100" i="143"/>
  <c r="Y99" i="143" s="1"/>
  <c r="W96" i="143"/>
  <c r="J64" i="92"/>
  <c r="J62" i="9"/>
  <c r="AF98" i="143"/>
  <c r="P62" i="92"/>
  <c r="P60" i="9"/>
  <c r="D32" i="115" s="1"/>
  <c r="I57" i="16" l="1"/>
  <c r="E57" i="16"/>
  <c r="L57" i="16"/>
  <c r="F57" i="16"/>
  <c r="D57" i="16"/>
  <c r="J57" i="16"/>
  <c r="K57" i="16"/>
  <c r="H57" i="16"/>
  <c r="G57" i="16"/>
  <c r="G87" i="90"/>
  <c r="L54" i="20"/>
  <c r="AB54" i="20" s="1"/>
  <c r="O54" i="20"/>
  <c r="AE54" i="20" s="1"/>
  <c r="M54" i="20"/>
  <c r="AC54" i="20" s="1"/>
  <c r="Q54" i="20"/>
  <c r="AG54" i="20" s="1"/>
  <c r="E54" i="20"/>
  <c r="U54" i="20" s="1"/>
  <c r="F54" i="20"/>
  <c r="V54" i="20" s="1"/>
  <c r="D54" i="20"/>
  <c r="T54" i="20" s="1"/>
  <c r="K54" i="20"/>
  <c r="AA54" i="20" s="1"/>
  <c r="G54" i="20"/>
  <c r="I54" i="20"/>
  <c r="J54" i="20"/>
  <c r="Z54" i="20" s="1"/>
  <c r="P54" i="20"/>
  <c r="AF54" i="20" s="1"/>
  <c r="H54" i="20"/>
  <c r="N54" i="20"/>
  <c r="AD54" i="20" s="1"/>
  <c r="B55" i="20"/>
  <c r="C56" i="20"/>
  <c r="S55" i="20"/>
  <c r="AC97" i="143"/>
  <c r="K99" i="143"/>
  <c r="AG55" i="25"/>
  <c r="G72" i="132"/>
  <c r="J72" i="132" s="1"/>
  <c r="G98" i="132"/>
  <c r="J98" i="132" s="1"/>
  <c r="G83" i="132"/>
  <c r="J83" i="132" s="1"/>
  <c r="G74" i="132"/>
  <c r="J74" i="132" s="1"/>
  <c r="G81" i="132"/>
  <c r="J81" i="132" s="1"/>
  <c r="G76" i="132"/>
  <c r="J76" i="132" s="1"/>
  <c r="G114" i="132"/>
  <c r="J114" i="132" s="1"/>
  <c r="G68" i="132"/>
  <c r="J68" i="132" s="1"/>
  <c r="G75" i="132"/>
  <c r="J75" i="132" s="1"/>
  <c r="G113" i="132"/>
  <c r="J113" i="132" s="1"/>
  <c r="G82" i="132"/>
  <c r="J82" i="132" s="1"/>
  <c r="G111" i="132"/>
  <c r="J111" i="132" s="1"/>
  <c r="G100" i="132"/>
  <c r="J100" i="132" s="1"/>
  <c r="G85" i="132"/>
  <c r="J85" i="132" s="1"/>
  <c r="G88" i="132"/>
  <c r="J88" i="132" s="1"/>
  <c r="G70" i="132"/>
  <c r="J70" i="132" s="1"/>
  <c r="G106" i="132"/>
  <c r="J106" i="132" s="1"/>
  <c r="G107" i="132"/>
  <c r="J107" i="132" s="1"/>
  <c r="G90" i="132"/>
  <c r="J90" i="132" s="1"/>
  <c r="G105" i="132"/>
  <c r="J105" i="132" s="1"/>
  <c r="G96" i="132"/>
  <c r="J96" i="132" s="1"/>
  <c r="G104" i="132"/>
  <c r="J104" i="132" s="1"/>
  <c r="G86" i="132"/>
  <c r="J86" i="132" s="1"/>
  <c r="G77" i="132"/>
  <c r="J77" i="132" s="1"/>
  <c r="G73" i="132"/>
  <c r="J73" i="132" s="1"/>
  <c r="G69" i="132"/>
  <c r="J69" i="132" s="1"/>
  <c r="G112" i="132"/>
  <c r="J112" i="132" s="1"/>
  <c r="G102" i="132"/>
  <c r="J102" i="132" s="1"/>
  <c r="J64" i="132"/>
  <c r="G101" i="132"/>
  <c r="J101" i="132" s="1"/>
  <c r="G80" i="132"/>
  <c r="J80" i="132" s="1"/>
  <c r="G94" i="132"/>
  <c r="J94" i="132" s="1"/>
  <c r="G93" i="132"/>
  <c r="J93" i="132" s="1"/>
  <c r="G71" i="132"/>
  <c r="J71" i="132" s="1"/>
  <c r="G89" i="132"/>
  <c r="J89" i="132" s="1"/>
  <c r="G87" i="132"/>
  <c r="J87" i="132" s="1"/>
  <c r="G67" i="132"/>
  <c r="J67" i="132" s="1"/>
  <c r="G84" i="132"/>
  <c r="J84" i="132" s="1"/>
  <c r="G110" i="132"/>
  <c r="J110" i="132" s="1"/>
  <c r="G78" i="132"/>
  <c r="J78" i="132" s="1"/>
  <c r="G95" i="132"/>
  <c r="J95" i="132" s="1"/>
  <c r="G97" i="132"/>
  <c r="J97" i="132" s="1"/>
  <c r="G91" i="132"/>
  <c r="J91" i="132" s="1"/>
  <c r="G66" i="132"/>
  <c r="J66" i="132" s="1"/>
  <c r="G65" i="132"/>
  <c r="J65" i="132" s="1"/>
  <c r="G109" i="132"/>
  <c r="J109" i="132" s="1"/>
  <c r="G103" i="132"/>
  <c r="J103" i="132" s="1"/>
  <c r="G92" i="132"/>
  <c r="J92" i="132" s="1"/>
  <c r="G79" i="132"/>
  <c r="J79" i="132" s="1"/>
  <c r="G108" i="132"/>
  <c r="J108" i="132" s="1"/>
  <c r="G99" i="132"/>
  <c r="J99" i="132" s="1"/>
  <c r="F69" i="132"/>
  <c r="I69" i="132" s="1"/>
  <c r="F91" i="132"/>
  <c r="I91" i="132" s="1"/>
  <c r="F109" i="132"/>
  <c r="I109" i="132" s="1"/>
  <c r="F78" i="132"/>
  <c r="I78" i="132" s="1"/>
  <c r="F90" i="132"/>
  <c r="I90" i="132" s="1"/>
  <c r="F68" i="132"/>
  <c r="I68" i="132" s="1"/>
  <c r="F103" i="132"/>
  <c r="I103" i="132" s="1"/>
  <c r="F101" i="132"/>
  <c r="I101" i="132" s="1"/>
  <c r="F92" i="132"/>
  <c r="I92" i="132" s="1"/>
  <c r="F107" i="132"/>
  <c r="I107" i="132" s="1"/>
  <c r="F112" i="132"/>
  <c r="I112" i="132" s="1"/>
  <c r="F88" i="132"/>
  <c r="I88" i="132" s="1"/>
  <c r="F81" i="132"/>
  <c r="I81" i="132" s="1"/>
  <c r="F71" i="132"/>
  <c r="I71" i="132" s="1"/>
  <c r="F97" i="132"/>
  <c r="I97" i="132" s="1"/>
  <c r="F100" i="132"/>
  <c r="I100" i="132" s="1"/>
  <c r="F77" i="132"/>
  <c r="I77" i="132" s="1"/>
  <c r="F89" i="132"/>
  <c r="I89" i="132" s="1"/>
  <c r="F82" i="132"/>
  <c r="I82" i="132" s="1"/>
  <c r="F110" i="132"/>
  <c r="I110" i="132" s="1"/>
  <c r="F114" i="132"/>
  <c r="I114" i="132" s="1"/>
  <c r="F84" i="132"/>
  <c r="I84" i="132" s="1"/>
  <c r="F73" i="132"/>
  <c r="I73" i="132" s="1"/>
  <c r="F83" i="132"/>
  <c r="I83" i="132" s="1"/>
  <c r="F108" i="132"/>
  <c r="I108" i="132" s="1"/>
  <c r="F104" i="132"/>
  <c r="I104" i="132" s="1"/>
  <c r="F75" i="132"/>
  <c r="I75" i="132" s="1"/>
  <c r="F102" i="132"/>
  <c r="I102" i="132" s="1"/>
  <c r="F98" i="132"/>
  <c r="I98" i="132" s="1"/>
  <c r="F76" i="132"/>
  <c r="I76" i="132" s="1"/>
  <c r="F80" i="132"/>
  <c r="I80" i="132" s="1"/>
  <c r="F106" i="132"/>
  <c r="I106" i="132" s="1"/>
  <c r="F65" i="132"/>
  <c r="I65" i="132" s="1"/>
  <c r="F85" i="132"/>
  <c r="I85" i="132" s="1"/>
  <c r="F111" i="132"/>
  <c r="I111" i="132" s="1"/>
  <c r="F70" i="132"/>
  <c r="I70" i="132" s="1"/>
  <c r="F74" i="132"/>
  <c r="I74" i="132" s="1"/>
  <c r="I64" i="132"/>
  <c r="F86" i="132"/>
  <c r="I86" i="132" s="1"/>
  <c r="F72" i="132"/>
  <c r="I72" i="132" s="1"/>
  <c r="F113" i="132"/>
  <c r="I113" i="132" s="1"/>
  <c r="F99" i="132"/>
  <c r="I99" i="132" s="1"/>
  <c r="F96" i="132"/>
  <c r="I96" i="132" s="1"/>
  <c r="F67" i="132"/>
  <c r="I67" i="132" s="1"/>
  <c r="F94" i="132"/>
  <c r="I94" i="132" s="1"/>
  <c r="F105" i="132"/>
  <c r="I105" i="132" s="1"/>
  <c r="F87" i="132"/>
  <c r="I87" i="132" s="1"/>
  <c r="F66" i="132"/>
  <c r="I66" i="132" s="1"/>
  <c r="F93" i="132"/>
  <c r="I93" i="132" s="1"/>
  <c r="F95" i="132"/>
  <c r="I95" i="132" s="1"/>
  <c r="F79" i="132"/>
  <c r="I79" i="132" s="1"/>
  <c r="BT55" i="25"/>
  <c r="CG55" i="25"/>
  <c r="AW22" i="21"/>
  <c r="AH22" i="72"/>
  <c r="G55" i="25"/>
  <c r="T55" i="25"/>
  <c r="S68" i="92"/>
  <c r="S66" i="9"/>
  <c r="D42" i="98" s="1"/>
  <c r="D41" i="31" s="1"/>
  <c r="AT55" i="25"/>
  <c r="CD56" i="25"/>
  <c r="F56" i="25"/>
  <c r="CF56" i="25"/>
  <c r="AD56" i="25"/>
  <c r="BF56" i="25"/>
  <c r="S56" i="25"/>
  <c r="BD56" i="25"/>
  <c r="CE56" i="25"/>
  <c r="AF56" i="25"/>
  <c r="BE56" i="25"/>
  <c r="BS56" i="25"/>
  <c r="E56" i="25"/>
  <c r="BQ56" i="25"/>
  <c r="BR56" i="25"/>
  <c r="D56" i="25"/>
  <c r="AE56" i="25"/>
  <c r="AR56" i="25"/>
  <c r="Q56" i="25"/>
  <c r="AQ56" i="25"/>
  <c r="R56" i="25"/>
  <c r="AS56" i="25"/>
  <c r="BG55" i="25"/>
  <c r="B57" i="25"/>
  <c r="C58" i="25"/>
  <c r="M70" i="92"/>
  <c r="M68" i="9"/>
  <c r="BW44" i="23"/>
  <c r="BJ44" i="23"/>
  <c r="AW44" i="23"/>
  <c r="AJ44" i="23"/>
  <c r="AP44" i="23"/>
  <c r="P44" i="23"/>
  <c r="AC44" i="23"/>
  <c r="BT44" i="23"/>
  <c r="CC44" i="23"/>
  <c r="W44" i="23"/>
  <c r="AQ45" i="22"/>
  <c r="AL45" i="22"/>
  <c r="AF45" i="22"/>
  <c r="U45" i="22"/>
  <c r="J45" i="22"/>
  <c r="AE45" i="22"/>
  <c r="AB45" i="22"/>
  <c r="V45" i="22"/>
  <c r="AA45" i="22"/>
  <c r="P45" i="22"/>
  <c r="AT45" i="22"/>
  <c r="O45" i="22"/>
  <c r="AD45" i="22"/>
  <c r="W45" i="22"/>
  <c r="Q45" i="22"/>
  <c r="L45" i="22"/>
  <c r="AG45" i="22"/>
  <c r="T45" i="22"/>
  <c r="AO45" i="22"/>
  <c r="H45" i="22"/>
  <c r="AU45" i="22"/>
  <c r="D45" i="22"/>
  <c r="X45" i="22"/>
  <c r="E45" i="22"/>
  <c r="N45" i="22"/>
  <c r="F45" i="22"/>
  <c r="AP45" i="22"/>
  <c r="AJ45" i="22"/>
  <c r="Z45" i="22"/>
  <c r="M45" i="22"/>
  <c r="AC45" i="22"/>
  <c r="G45" i="22"/>
  <c r="AR45" i="22"/>
  <c r="I45" i="22"/>
  <c r="AW45" i="22"/>
  <c r="AM45" i="22"/>
  <c r="AK45" i="22"/>
  <c r="AS45" i="22"/>
  <c r="K45" i="22"/>
  <c r="Y45" i="22"/>
  <c r="AV45" i="22"/>
  <c r="AN45" i="22"/>
  <c r="O98" i="143"/>
  <c r="AI96" i="143"/>
  <c r="AG44" i="23"/>
  <c r="V74" i="92"/>
  <c r="V72" i="9"/>
  <c r="AJ96" i="143"/>
  <c r="AM45" i="23"/>
  <c r="AZ45" i="23"/>
  <c r="BM45" i="23"/>
  <c r="Z45" i="23"/>
  <c r="BZ45" i="23"/>
  <c r="CM45" i="23"/>
  <c r="M45" i="23"/>
  <c r="AY45" i="22"/>
  <c r="R45" i="22"/>
  <c r="AI45" i="22"/>
  <c r="S45" i="22"/>
  <c r="AH45" i="22"/>
  <c r="AX45" i="22"/>
  <c r="BC44" i="23"/>
  <c r="CP44" i="23"/>
  <c r="M76" i="132"/>
  <c r="K76" i="132" s="1"/>
  <c r="O57" i="16"/>
  <c r="B58" i="16"/>
  <c r="N57" i="16"/>
  <c r="M57" i="16"/>
  <c r="W74" i="92"/>
  <c r="W72" i="9"/>
  <c r="CG44" i="23"/>
  <c r="T44" i="23"/>
  <c r="B58" i="115"/>
  <c r="A57" i="115"/>
  <c r="D45" i="23"/>
  <c r="CD45" i="23"/>
  <c r="AD45" i="23"/>
  <c r="BD45" i="23"/>
  <c r="Q45" i="23"/>
  <c r="AQ45" i="23"/>
  <c r="BQ45" i="23"/>
  <c r="G44" i="23"/>
  <c r="AT44" i="23"/>
  <c r="AA45" i="23"/>
  <c r="V45" i="23"/>
  <c r="AN45" i="23"/>
  <c r="AR45" i="23"/>
  <c r="N45" i="23"/>
  <c r="CI45" i="23"/>
  <c r="R45" i="23"/>
  <c r="CE45" i="23"/>
  <c r="CN45" i="23"/>
  <c r="AE45" i="23"/>
  <c r="BV45" i="23"/>
  <c r="BE45" i="23"/>
  <c r="BN45" i="23"/>
  <c r="AV45" i="23"/>
  <c r="I45" i="23"/>
  <c r="BI45" i="23"/>
  <c r="CA45" i="23"/>
  <c r="BA45" i="23"/>
  <c r="E45" i="23"/>
  <c r="AI45" i="23"/>
  <c r="BR45" i="23"/>
  <c r="AA99" i="143"/>
  <c r="C57" i="96"/>
  <c r="B56" i="96"/>
  <c r="G63" i="92"/>
  <c r="G61" i="9"/>
  <c r="BG44" i="23"/>
  <c r="CO45" i="23"/>
  <c r="BS45" i="23"/>
  <c r="AS45" i="23"/>
  <c r="F45" i="23"/>
  <c r="BB45" i="23"/>
  <c r="BF45" i="23"/>
  <c r="CF45" i="23"/>
  <c r="AB45" i="23"/>
  <c r="AF45" i="23"/>
  <c r="S45" i="23"/>
  <c r="O45" i="23"/>
  <c r="BO45" i="23"/>
  <c r="AO45" i="23"/>
  <c r="CB45" i="23"/>
  <c r="Z99" i="143"/>
  <c r="Y45" i="23"/>
  <c r="L45" i="23"/>
  <c r="X45" i="23"/>
  <c r="AK45" i="23"/>
  <c r="BK45" i="23"/>
  <c r="BY45" i="23"/>
  <c r="CL45" i="23"/>
  <c r="AX45" i="23"/>
  <c r="BL45" i="23"/>
  <c r="AY45" i="23"/>
  <c r="K45" i="23"/>
  <c r="CK45" i="23"/>
  <c r="AL45" i="23"/>
  <c r="BX45" i="23"/>
  <c r="U45" i="23"/>
  <c r="BU45" i="23"/>
  <c r="CH45" i="23"/>
  <c r="AH45" i="23"/>
  <c r="AU45" i="23"/>
  <c r="H45" i="23"/>
  <c r="BH45" i="23"/>
  <c r="BP44" i="23"/>
  <c r="CJ44" i="23"/>
  <c r="I106" i="143"/>
  <c r="X105" i="143" s="1"/>
  <c r="J65" i="92"/>
  <c r="J63" i="9"/>
  <c r="D102" i="143"/>
  <c r="H101" i="143"/>
  <c r="AA100" i="143" s="1"/>
  <c r="M104" i="143"/>
  <c r="B83" i="143"/>
  <c r="P100" i="143"/>
  <c r="AG99" i="143" s="1"/>
  <c r="G99" i="143"/>
  <c r="W98" i="143" s="1"/>
  <c r="N101" i="143"/>
  <c r="AF100" i="143" s="1"/>
  <c r="J99" i="143"/>
  <c r="E101" i="143"/>
  <c r="G70" i="28"/>
  <c r="B71" i="28"/>
  <c r="D70" i="28"/>
  <c r="F70" i="28"/>
  <c r="E70" i="28"/>
  <c r="H70" i="28"/>
  <c r="AF99" i="143"/>
  <c r="P61" i="9"/>
  <c r="D33" i="115" s="1"/>
  <c r="P63" i="92"/>
  <c r="Q99" i="143"/>
  <c r="AK98" i="143" s="1"/>
  <c r="F106" i="143"/>
  <c r="V105" i="143" s="1"/>
  <c r="B54" i="72"/>
  <c r="T100" i="143"/>
  <c r="L101" i="143"/>
  <c r="AD100" i="143" s="1"/>
  <c r="X104" i="143"/>
  <c r="F58" i="16" l="1"/>
  <c r="I58" i="16"/>
  <c r="E58" i="16"/>
  <c r="K58" i="16"/>
  <c r="D58" i="16"/>
  <c r="L58" i="16"/>
  <c r="J58" i="16"/>
  <c r="H58" i="16"/>
  <c r="G58" i="16"/>
  <c r="G88" i="90"/>
  <c r="G56" i="25"/>
  <c r="S56" i="20"/>
  <c r="B56" i="20"/>
  <c r="C57" i="20"/>
  <c r="N55" i="20"/>
  <c r="AD55" i="20" s="1"/>
  <c r="P55" i="20"/>
  <c r="AF55" i="20" s="1"/>
  <c r="H55" i="20"/>
  <c r="E55" i="20"/>
  <c r="U55" i="20" s="1"/>
  <c r="I55" i="20"/>
  <c r="K55" i="20"/>
  <c r="AA55" i="20" s="1"/>
  <c r="L55" i="20"/>
  <c r="AB55" i="20" s="1"/>
  <c r="M55" i="20"/>
  <c r="AC55" i="20" s="1"/>
  <c r="O55" i="20"/>
  <c r="AE55" i="20" s="1"/>
  <c r="J55" i="20"/>
  <c r="Z55" i="20" s="1"/>
  <c r="D55" i="20"/>
  <c r="T55" i="20" s="1"/>
  <c r="Q55" i="20"/>
  <c r="AG55" i="20" s="1"/>
  <c r="F55" i="20"/>
  <c r="V55" i="20" s="1"/>
  <c r="G55" i="20"/>
  <c r="AC98" i="143"/>
  <c r="K100" i="143"/>
  <c r="T56" i="25"/>
  <c r="CG56" i="25"/>
  <c r="Y100" i="143"/>
  <c r="C59" i="25"/>
  <c r="B58" i="25"/>
  <c r="AE57" i="25"/>
  <c r="BE57" i="25"/>
  <c r="CF57" i="25"/>
  <c r="CD57" i="25"/>
  <c r="Q57" i="25"/>
  <c r="E57" i="25"/>
  <c r="BD57" i="25"/>
  <c r="F57" i="25"/>
  <c r="AF57" i="25"/>
  <c r="BS57" i="25"/>
  <c r="AR57" i="25"/>
  <c r="CE57" i="25"/>
  <c r="AS57" i="25"/>
  <c r="S57" i="25"/>
  <c r="BF57" i="25"/>
  <c r="R57" i="25"/>
  <c r="BQ57" i="25"/>
  <c r="D57" i="25"/>
  <c r="AD57" i="25"/>
  <c r="AQ57" i="25"/>
  <c r="BR57" i="25"/>
  <c r="BG56" i="25"/>
  <c r="S67" i="9"/>
  <c r="D43" i="98" s="1"/>
  <c r="D42" i="31" s="1"/>
  <c r="S69" i="92"/>
  <c r="BT56" i="25"/>
  <c r="AG56" i="25"/>
  <c r="AT56" i="25"/>
  <c r="AX22" i="21"/>
  <c r="AI22" i="72"/>
  <c r="M69" i="9"/>
  <c r="M71" i="92"/>
  <c r="AJ45" i="23"/>
  <c r="T45" i="23"/>
  <c r="M77" i="132"/>
  <c r="K77" i="132" s="1"/>
  <c r="BP45" i="23"/>
  <c r="O99" i="143"/>
  <c r="AI98" i="143" s="1"/>
  <c r="AJ97" i="143"/>
  <c r="AI97" i="143"/>
  <c r="AH97" i="143"/>
  <c r="BQ46" i="23"/>
  <c r="Q46" i="23"/>
  <c r="BD46" i="23"/>
  <c r="D46" i="23"/>
  <c r="CD46" i="23"/>
  <c r="AQ46" i="23"/>
  <c r="AD46" i="23"/>
  <c r="BW45" i="23"/>
  <c r="BG45" i="23"/>
  <c r="AY46" i="22"/>
  <c r="AI46" i="22"/>
  <c r="S46" i="22"/>
  <c r="R46" i="22"/>
  <c r="AX46" i="22"/>
  <c r="AH46" i="22"/>
  <c r="BC45" i="23"/>
  <c r="BY46" i="23"/>
  <c r="AL46" i="23"/>
  <c r="K46" i="23"/>
  <c r="AX46" i="23"/>
  <c r="L46" i="23"/>
  <c r="BL46" i="23"/>
  <c r="BK46" i="23"/>
  <c r="X46" i="23"/>
  <c r="BX46" i="23"/>
  <c r="Y46" i="23"/>
  <c r="CK46" i="23"/>
  <c r="CL46" i="23"/>
  <c r="AY46" i="23"/>
  <c r="AK46" i="23"/>
  <c r="G64" i="92"/>
  <c r="G62" i="9"/>
  <c r="W45" i="23"/>
  <c r="AG45" i="23"/>
  <c r="W73" i="9"/>
  <c r="W75" i="92"/>
  <c r="AP45" i="23"/>
  <c r="AM46" i="23"/>
  <c r="Z46" i="23"/>
  <c r="M46" i="23"/>
  <c r="BM46" i="23"/>
  <c r="CM46" i="23"/>
  <c r="BZ46" i="23"/>
  <c r="AZ46" i="23"/>
  <c r="CG45" i="23"/>
  <c r="O58" i="16"/>
  <c r="B59" i="16"/>
  <c r="M58" i="16"/>
  <c r="N58" i="16"/>
  <c r="F46" i="23"/>
  <c r="BB46" i="23"/>
  <c r="BF46" i="23"/>
  <c r="CO46" i="23"/>
  <c r="S46" i="23"/>
  <c r="O46" i="23"/>
  <c r="AF46" i="23"/>
  <c r="AO46" i="23"/>
  <c r="BS46" i="23"/>
  <c r="BO46" i="23"/>
  <c r="AS46" i="23"/>
  <c r="CB46" i="23"/>
  <c r="CF46" i="23"/>
  <c r="AB46" i="23"/>
  <c r="BH46" i="23"/>
  <c r="BU46" i="23"/>
  <c r="AH46" i="23"/>
  <c r="CH46" i="23"/>
  <c r="AU46" i="23"/>
  <c r="H46" i="23"/>
  <c r="U46" i="23"/>
  <c r="B57" i="96"/>
  <c r="C58" i="96"/>
  <c r="BJ45" i="23"/>
  <c r="G45" i="23"/>
  <c r="P45" i="23"/>
  <c r="AD46" i="22"/>
  <c r="T46" i="22"/>
  <c r="AU46" i="22"/>
  <c r="AG46" i="22"/>
  <c r="Y46" i="22"/>
  <c r="AT46" i="22"/>
  <c r="AP46" i="22"/>
  <c r="D46" i="22"/>
  <c r="W46" i="22"/>
  <c r="M46" i="22"/>
  <c r="AK46" i="22"/>
  <c r="P46" i="22"/>
  <c r="V46" i="22"/>
  <c r="J46" i="22"/>
  <c r="AC46" i="22"/>
  <c r="AF46" i="22"/>
  <c r="AL46" i="22"/>
  <c r="F46" i="22"/>
  <c r="AQ46" i="22"/>
  <c r="AE46" i="22"/>
  <c r="AB46" i="22"/>
  <c r="AJ46" i="22"/>
  <c r="G46" i="22"/>
  <c r="H46" i="22"/>
  <c r="U46" i="22"/>
  <c r="Q46" i="22"/>
  <c r="E46" i="22"/>
  <c r="O46" i="22"/>
  <c r="AN46" i="22"/>
  <c r="AW46" i="22"/>
  <c r="K46" i="22"/>
  <c r="Z46" i="22"/>
  <c r="AV46" i="22"/>
  <c r="AR46" i="22"/>
  <c r="AO46" i="22"/>
  <c r="N46" i="22"/>
  <c r="AS46" i="22"/>
  <c r="L46" i="22"/>
  <c r="I46" i="22"/>
  <c r="X46" i="22"/>
  <c r="AM46" i="22"/>
  <c r="AA46" i="22"/>
  <c r="J45" i="23"/>
  <c r="CP45" i="23"/>
  <c r="V75" i="92"/>
  <c r="V73" i="9"/>
  <c r="AW45" i="23"/>
  <c r="CJ45" i="23"/>
  <c r="BT45" i="23"/>
  <c r="B59" i="115"/>
  <c r="A58" i="115"/>
  <c r="CI46" i="23"/>
  <c r="BE46" i="23"/>
  <c r="AN46" i="23"/>
  <c r="AV46" i="23"/>
  <c r="CE46" i="23"/>
  <c r="BN46" i="23"/>
  <c r="CN46" i="23"/>
  <c r="BR46" i="23"/>
  <c r="BV46" i="23"/>
  <c r="N46" i="23"/>
  <c r="AR46" i="23"/>
  <c r="V46" i="23"/>
  <c r="BA46" i="23"/>
  <c r="AE46" i="23"/>
  <c r="AI46" i="23"/>
  <c r="I46" i="23"/>
  <c r="R46" i="23"/>
  <c r="CA46" i="23"/>
  <c r="AA46" i="23"/>
  <c r="BI46" i="23"/>
  <c r="E46" i="23"/>
  <c r="CC45" i="23"/>
  <c r="AT45" i="23"/>
  <c r="AC45" i="23"/>
  <c r="M105" i="143"/>
  <c r="AE104" i="143" s="1"/>
  <c r="D103" i="143"/>
  <c r="T102" i="143" s="1"/>
  <c r="H102" i="143"/>
  <c r="G100" i="143"/>
  <c r="W99" i="143" s="1"/>
  <c r="B84" i="143"/>
  <c r="S83" i="143" s="1"/>
  <c r="B83" i="145" s="1"/>
  <c r="B83" i="146" s="1"/>
  <c r="E102" i="143"/>
  <c r="U101" i="143" s="1"/>
  <c r="F107" i="143"/>
  <c r="V106" i="143" s="1"/>
  <c r="U100" i="143"/>
  <c r="J66" i="92"/>
  <c r="J64" i="9"/>
  <c r="I107" i="143"/>
  <c r="X106" i="143" s="1"/>
  <c r="B55" i="72"/>
  <c r="J100" i="143"/>
  <c r="AB99" i="143" s="1"/>
  <c r="AB98" i="143"/>
  <c r="P64" i="92"/>
  <c r="P62" i="9"/>
  <c r="D34" i="115" s="1"/>
  <c r="H71" i="28"/>
  <c r="B72" i="28"/>
  <c r="E71" i="28"/>
  <c r="F71" i="28"/>
  <c r="G71" i="28"/>
  <c r="D71" i="28"/>
  <c r="N102" i="143"/>
  <c r="AF101" i="143" s="1"/>
  <c r="P101" i="143"/>
  <c r="L102" i="143"/>
  <c r="AD101" i="143" s="1"/>
  <c r="Q100" i="143"/>
  <c r="AK99" i="143" s="1"/>
  <c r="S82" i="143"/>
  <c r="B82" i="145" s="1"/>
  <c r="B82" i="146" s="1"/>
  <c r="AE103" i="143"/>
  <c r="Z100" i="143"/>
  <c r="T101" i="143"/>
  <c r="J59" i="16" l="1"/>
  <c r="F59" i="16"/>
  <c r="K59" i="16"/>
  <c r="D59" i="16"/>
  <c r="L59" i="16"/>
  <c r="E59" i="16"/>
  <c r="I59" i="16"/>
  <c r="H59" i="16"/>
  <c r="G59" i="16"/>
  <c r="G89" i="90"/>
  <c r="C58" i="20"/>
  <c r="S57" i="20"/>
  <c r="B57" i="20"/>
  <c r="E56" i="20"/>
  <c r="U56" i="20" s="1"/>
  <c r="Q56" i="20"/>
  <c r="AG56" i="20" s="1"/>
  <c r="K56" i="20"/>
  <c r="AA56" i="20" s="1"/>
  <c r="D56" i="20"/>
  <c r="T56" i="20" s="1"/>
  <c r="O56" i="20"/>
  <c r="AE56" i="20" s="1"/>
  <c r="N56" i="20"/>
  <c r="AD56" i="20" s="1"/>
  <c r="M56" i="20"/>
  <c r="AC56" i="20" s="1"/>
  <c r="L56" i="20"/>
  <c r="AB56" i="20" s="1"/>
  <c r="P56" i="20"/>
  <c r="AF56" i="20" s="1"/>
  <c r="I56" i="20"/>
  <c r="F56" i="20"/>
  <c r="V56" i="20" s="1"/>
  <c r="H56" i="20"/>
  <c r="G56" i="20"/>
  <c r="J56" i="20"/>
  <c r="Z56" i="20" s="1"/>
  <c r="W46" i="23"/>
  <c r="AC99" i="143"/>
  <c r="K101" i="143"/>
  <c r="AW46" i="23"/>
  <c r="G57" i="25"/>
  <c r="BW46" i="23"/>
  <c r="T57" i="25"/>
  <c r="AT57" i="25"/>
  <c r="CG57" i="25"/>
  <c r="S68" i="9"/>
  <c r="D44" i="98" s="1"/>
  <c r="D43" i="31" s="1"/>
  <c r="S70" i="92"/>
  <c r="AG57" i="25"/>
  <c r="BT57" i="25"/>
  <c r="BG57" i="25"/>
  <c r="AR58" i="25"/>
  <c r="AD58" i="25"/>
  <c r="S58" i="25"/>
  <c r="E58" i="25"/>
  <c r="BQ58" i="25"/>
  <c r="BE58" i="25"/>
  <c r="BF58" i="25"/>
  <c r="AS58" i="25"/>
  <c r="CF58" i="25"/>
  <c r="BS58" i="25"/>
  <c r="AE58" i="25"/>
  <c r="AQ58" i="25"/>
  <c r="BD58" i="25"/>
  <c r="D58" i="25"/>
  <c r="F58" i="25"/>
  <c r="CE58" i="25"/>
  <c r="Q58" i="25"/>
  <c r="BR58" i="25"/>
  <c r="R58" i="25"/>
  <c r="AF58" i="25"/>
  <c r="CD58" i="25"/>
  <c r="AY22" i="21"/>
  <c r="AJ22" i="72"/>
  <c r="C60" i="25"/>
  <c r="B59" i="25"/>
  <c r="BJ46" i="23"/>
  <c r="M72" i="92"/>
  <c r="M70" i="9"/>
  <c r="J46" i="23"/>
  <c r="CJ46" i="23"/>
  <c r="CP46" i="23"/>
  <c r="AS47" i="23"/>
  <c r="F47" i="23"/>
  <c r="CB47" i="23"/>
  <c r="O47" i="23"/>
  <c r="BS47" i="23"/>
  <c r="S47" i="23"/>
  <c r="CF47" i="23"/>
  <c r="AB47" i="23"/>
  <c r="AO47" i="23"/>
  <c r="BB47" i="23"/>
  <c r="AF47" i="23"/>
  <c r="BF47" i="23"/>
  <c r="BO47" i="23"/>
  <c r="CO47" i="23"/>
  <c r="T46" i="23"/>
  <c r="BM47" i="23"/>
  <c r="BZ47" i="23"/>
  <c r="M47" i="23"/>
  <c r="CM47" i="23"/>
  <c r="AZ47" i="23"/>
  <c r="Z47" i="23"/>
  <c r="AM47" i="23"/>
  <c r="AQ47" i="23"/>
  <c r="CD47" i="23"/>
  <c r="BQ47" i="23"/>
  <c r="D47" i="23"/>
  <c r="BD47" i="23"/>
  <c r="Q47" i="23"/>
  <c r="AD47" i="23"/>
  <c r="O59" i="16"/>
  <c r="M59" i="16"/>
  <c r="N59" i="16"/>
  <c r="B60" i="16"/>
  <c r="BP46" i="23"/>
  <c r="BT46" i="23"/>
  <c r="M78" i="132"/>
  <c r="K78" i="132" s="1"/>
  <c r="AJ46" i="23"/>
  <c r="B60" i="115"/>
  <c r="A59" i="115"/>
  <c r="P46" i="23"/>
  <c r="BK47" i="23"/>
  <c r="AL47" i="23"/>
  <c r="AK47" i="23"/>
  <c r="L47" i="23"/>
  <c r="AY47" i="23"/>
  <c r="X47" i="23"/>
  <c r="AX47" i="23"/>
  <c r="CL47" i="23"/>
  <c r="Y47" i="23"/>
  <c r="CK47" i="23"/>
  <c r="BL47" i="23"/>
  <c r="BY47" i="23"/>
  <c r="K47" i="23"/>
  <c r="BX47" i="23"/>
  <c r="CH47" i="23"/>
  <c r="AH47" i="23"/>
  <c r="U47" i="23"/>
  <c r="BU47" i="23"/>
  <c r="H47" i="23"/>
  <c r="AU47" i="23"/>
  <c r="BH47" i="23"/>
  <c r="AC46" i="23"/>
  <c r="G65" i="92"/>
  <c r="G63" i="9"/>
  <c r="AG46" i="23"/>
  <c r="AP46" i="23"/>
  <c r="I47" i="23"/>
  <c r="J47" i="23" s="1"/>
  <c r="CE47" i="23"/>
  <c r="AR47" i="23"/>
  <c r="AN47" i="23"/>
  <c r="E47" i="23"/>
  <c r="CA47" i="23"/>
  <c r="BI47" i="23"/>
  <c r="R47" i="23"/>
  <c r="BV47" i="23"/>
  <c r="BE47" i="23"/>
  <c r="CN47" i="23"/>
  <c r="AI47" i="23"/>
  <c r="AE47" i="23"/>
  <c r="CI47" i="23"/>
  <c r="BN47" i="23"/>
  <c r="V47" i="23"/>
  <c r="BA47" i="23"/>
  <c r="N47" i="23"/>
  <c r="AV47" i="23"/>
  <c r="BR47" i="23"/>
  <c r="AA47" i="23"/>
  <c r="AT46" i="23"/>
  <c r="CG46" i="23"/>
  <c r="F47" i="22"/>
  <c r="AE47" i="22"/>
  <c r="E47" i="22"/>
  <c r="J47" i="22"/>
  <c r="P47" i="22"/>
  <c r="AM47" i="22"/>
  <c r="Z47" i="22"/>
  <c r="AR47" i="22"/>
  <c r="G47" i="22"/>
  <c r="D47" i="22"/>
  <c r="AW47" i="22"/>
  <c r="AO47" i="22"/>
  <c r="K47" i="22"/>
  <c r="U47" i="22"/>
  <c r="O47" i="22"/>
  <c r="AG47" i="22"/>
  <c r="AU47" i="22"/>
  <c r="AD47" i="22"/>
  <c r="Q47" i="22"/>
  <c r="AK47" i="22"/>
  <c r="AQ47" i="22"/>
  <c r="AT47" i="22"/>
  <c r="AN47" i="22"/>
  <c r="T47" i="22"/>
  <c r="X47" i="22"/>
  <c r="AJ47" i="22"/>
  <c r="AP47" i="22"/>
  <c r="L47" i="22"/>
  <c r="Y47" i="22"/>
  <c r="AL47" i="22"/>
  <c r="M47" i="22"/>
  <c r="AB47" i="22"/>
  <c r="N47" i="22"/>
  <c r="AC47" i="22"/>
  <c r="I47" i="22"/>
  <c r="AV47" i="22"/>
  <c r="H47" i="22"/>
  <c r="AF47" i="22"/>
  <c r="W47" i="22"/>
  <c r="AA47" i="22"/>
  <c r="AS47" i="22"/>
  <c r="V47" i="22"/>
  <c r="BC46" i="23"/>
  <c r="W74" i="9"/>
  <c r="W76" i="92"/>
  <c r="G46" i="23"/>
  <c r="O100" i="143"/>
  <c r="AI99" i="143" s="1"/>
  <c r="AH98" i="143"/>
  <c r="AJ98" i="143"/>
  <c r="V74" i="9"/>
  <c r="V76" i="92"/>
  <c r="C59" i="96"/>
  <c r="B58" i="96"/>
  <c r="CC46" i="23"/>
  <c r="R47" i="22"/>
  <c r="AX47" i="22"/>
  <c r="AY47" i="22"/>
  <c r="S47" i="22"/>
  <c r="AI47" i="22"/>
  <c r="AH47" i="22"/>
  <c r="BG46" i="23"/>
  <c r="H103" i="143"/>
  <c r="Z102" i="143" s="1"/>
  <c r="P65" i="92"/>
  <c r="P63" i="9"/>
  <c r="D35" i="115" s="1"/>
  <c r="G101" i="143"/>
  <c r="W100" i="143" s="1"/>
  <c r="Y101" i="143"/>
  <c r="N103" i="143"/>
  <c r="AF102" i="143" s="1"/>
  <c r="J101" i="143"/>
  <c r="AB100" i="143" s="1"/>
  <c r="Z101" i="143"/>
  <c r="D104" i="143"/>
  <c r="I108" i="143"/>
  <c r="X107" i="143" s="1"/>
  <c r="F108" i="143"/>
  <c r="V107" i="143" s="1"/>
  <c r="M106" i="143"/>
  <c r="AE105" i="143" s="1"/>
  <c r="Q101" i="143"/>
  <c r="L103" i="143"/>
  <c r="AG100" i="143"/>
  <c r="E72" i="28"/>
  <c r="G72" i="28"/>
  <c r="B73" i="28"/>
  <c r="D72" i="28"/>
  <c r="F72" i="28"/>
  <c r="H72" i="28"/>
  <c r="B56" i="72"/>
  <c r="J65" i="9"/>
  <c r="J67" i="92"/>
  <c r="P102" i="143"/>
  <c r="E103" i="143"/>
  <c r="U102" i="143" s="1"/>
  <c r="B85" i="143"/>
  <c r="AA101" i="143"/>
  <c r="K60" i="16" l="1"/>
  <c r="L60" i="16"/>
  <c r="E60" i="16"/>
  <c r="I60" i="16"/>
  <c r="F60" i="16"/>
  <c r="D60" i="16"/>
  <c r="J60" i="16"/>
  <c r="H60" i="16"/>
  <c r="G60" i="16"/>
  <c r="G90" i="90"/>
  <c r="E57" i="20"/>
  <c r="U57" i="20" s="1"/>
  <c r="P57" i="20"/>
  <c r="AF57" i="20" s="1"/>
  <c r="G57" i="20"/>
  <c r="D57" i="20"/>
  <c r="T57" i="20" s="1"/>
  <c r="K57" i="20"/>
  <c r="AA57" i="20" s="1"/>
  <c r="F57" i="20"/>
  <c r="V57" i="20" s="1"/>
  <c r="Q57" i="20"/>
  <c r="AG57" i="20" s="1"/>
  <c r="H57" i="20"/>
  <c r="J57" i="20"/>
  <c r="Z57" i="20" s="1"/>
  <c r="M57" i="20"/>
  <c r="AC57" i="20" s="1"/>
  <c r="O57" i="20"/>
  <c r="AE57" i="20" s="1"/>
  <c r="I57" i="20"/>
  <c r="N57" i="20"/>
  <c r="AD57" i="20" s="1"/>
  <c r="L57" i="20"/>
  <c r="AB57" i="20" s="1"/>
  <c r="B58" i="20"/>
  <c r="C59" i="20"/>
  <c r="S58" i="20"/>
  <c r="AC100" i="143"/>
  <c r="K102" i="143"/>
  <c r="BT58" i="25"/>
  <c r="AG47" i="23"/>
  <c r="AT47" i="23"/>
  <c r="AG58" i="25"/>
  <c r="G58" i="25"/>
  <c r="CC47" i="23"/>
  <c r="T58" i="25"/>
  <c r="N51" i="72"/>
  <c r="R59" i="25"/>
  <c r="BF59" i="25"/>
  <c r="D59" i="25"/>
  <c r="AE59" i="25"/>
  <c r="AR59" i="25"/>
  <c r="CE59" i="25"/>
  <c r="AF59" i="25"/>
  <c r="BS59" i="25"/>
  <c r="BR59" i="25"/>
  <c r="BE59" i="25"/>
  <c r="AD59" i="25"/>
  <c r="E59" i="25"/>
  <c r="AS59" i="25"/>
  <c r="AQ59" i="25"/>
  <c r="F59" i="25"/>
  <c r="Q59" i="25"/>
  <c r="BD59" i="25"/>
  <c r="CD59" i="25"/>
  <c r="S59" i="25"/>
  <c r="CF59" i="25"/>
  <c r="BQ59" i="25"/>
  <c r="C61" i="25"/>
  <c r="B60" i="25"/>
  <c r="BH22" i="21"/>
  <c r="AK22" i="72"/>
  <c r="P47" i="23"/>
  <c r="CG58" i="25"/>
  <c r="BG58" i="25"/>
  <c r="S69" i="9"/>
  <c r="D45" i="98" s="1"/>
  <c r="D44" i="31" s="1"/>
  <c r="S71" i="92"/>
  <c r="AT58" i="25"/>
  <c r="G47" i="23"/>
  <c r="BC47" i="23"/>
  <c r="M73" i="92"/>
  <c r="M71" i="9"/>
  <c r="BT47" i="23"/>
  <c r="CJ47" i="23"/>
  <c r="W47" i="23"/>
  <c r="T47" i="23"/>
  <c r="AJ47" i="23"/>
  <c r="AW47" i="23"/>
  <c r="CP47" i="23"/>
  <c r="BG47" i="23"/>
  <c r="BW47" i="23"/>
  <c r="BP47" i="23"/>
  <c r="AA48" i="23"/>
  <c r="AN48" i="23"/>
  <c r="CI48" i="23"/>
  <c r="V48" i="23"/>
  <c r="AR48" i="23"/>
  <c r="N48" i="23"/>
  <c r="CE48" i="23"/>
  <c r="AV48" i="23"/>
  <c r="CA48" i="23"/>
  <c r="CN48" i="23"/>
  <c r="I48" i="23"/>
  <c r="BA48" i="23"/>
  <c r="E48" i="23"/>
  <c r="BR48" i="23"/>
  <c r="BN48" i="23"/>
  <c r="BI48" i="23"/>
  <c r="AE48" i="23"/>
  <c r="R48" i="23"/>
  <c r="AI48" i="23"/>
  <c r="BV48" i="23"/>
  <c r="BE48" i="23"/>
  <c r="B61" i="115"/>
  <c r="A60" i="115"/>
  <c r="O60" i="16"/>
  <c r="B61" i="16"/>
  <c r="N60" i="16"/>
  <c r="M60" i="16"/>
  <c r="X48" i="22"/>
  <c r="Z48" i="22"/>
  <c r="AN48" i="22"/>
  <c r="AD48" i="22"/>
  <c r="AT48" i="22"/>
  <c r="N48" i="22"/>
  <c r="AS48" i="22"/>
  <c r="AM48" i="22"/>
  <c r="D48" i="22"/>
  <c r="K48" i="22"/>
  <c r="Y48" i="22"/>
  <c r="AL48" i="22"/>
  <c r="AQ48" i="22"/>
  <c r="AA48" i="22"/>
  <c r="AW48" i="22"/>
  <c r="F48" i="22"/>
  <c r="AF48" i="22"/>
  <c r="W48" i="22"/>
  <c r="H48" i="22"/>
  <c r="AC48" i="22"/>
  <c r="E48" i="22"/>
  <c r="AG48" i="22"/>
  <c r="P48" i="22"/>
  <c r="I48" i="22"/>
  <c r="J48" i="22"/>
  <c r="AK48" i="22"/>
  <c r="AO48" i="22"/>
  <c r="AR48" i="22"/>
  <c r="AV48" i="22"/>
  <c r="V48" i="22"/>
  <c r="AJ48" i="22"/>
  <c r="AB48" i="22"/>
  <c r="M48" i="22"/>
  <c r="G48" i="22"/>
  <c r="L48" i="22"/>
  <c r="T48" i="22"/>
  <c r="O48" i="22"/>
  <c r="U48" i="22"/>
  <c r="Q48" i="22"/>
  <c r="AE48" i="22"/>
  <c r="AU48" i="22"/>
  <c r="AP48" i="22"/>
  <c r="CG47" i="23"/>
  <c r="M79" i="132"/>
  <c r="K79" i="132" s="1"/>
  <c r="AP47" i="23"/>
  <c r="AQ48" i="23"/>
  <c r="CD48" i="23"/>
  <c r="BD48" i="23"/>
  <c r="D48" i="23"/>
  <c r="BQ48" i="23"/>
  <c r="Q48" i="23"/>
  <c r="AD48" i="23"/>
  <c r="AC47" i="23"/>
  <c r="AH99" i="143"/>
  <c r="BJ47" i="23"/>
  <c r="R48" i="22"/>
  <c r="S48" i="22"/>
  <c r="AY48" i="22"/>
  <c r="AX48" i="22"/>
  <c r="AH48" i="22"/>
  <c r="AI48" i="22"/>
  <c r="O101" i="143"/>
  <c r="AJ99" i="143"/>
  <c r="C60" i="96"/>
  <c r="B59" i="96"/>
  <c r="H48" i="23"/>
  <c r="U48" i="23"/>
  <c r="AH48" i="23"/>
  <c r="BH48" i="23"/>
  <c r="CH48" i="23"/>
  <c r="AU48" i="23"/>
  <c r="BU48" i="23"/>
  <c r="AK48" i="23"/>
  <c r="Y48" i="23"/>
  <c r="BL48" i="23"/>
  <c r="CL48" i="23"/>
  <c r="AL48" i="23"/>
  <c r="AY48" i="23"/>
  <c r="X48" i="23"/>
  <c r="L48" i="23"/>
  <c r="CK48" i="23"/>
  <c r="AX48" i="23"/>
  <c r="BY48" i="23"/>
  <c r="BK48" i="23"/>
  <c r="K48" i="23"/>
  <c r="BX48" i="23"/>
  <c r="BM48" i="23"/>
  <c r="CM48" i="23"/>
  <c r="M48" i="23"/>
  <c r="Z48" i="23"/>
  <c r="AM48" i="23"/>
  <c r="BZ48" i="23"/>
  <c r="AZ48" i="23"/>
  <c r="O48" i="23"/>
  <c r="AF48" i="23"/>
  <c r="AB48" i="23"/>
  <c r="F48" i="23"/>
  <c r="AO48" i="23"/>
  <c r="BS48" i="23"/>
  <c r="CO48" i="23"/>
  <c r="AS48" i="23"/>
  <c r="S48" i="23"/>
  <c r="BO48" i="23"/>
  <c r="CB48" i="23"/>
  <c r="BB48" i="23"/>
  <c r="CF48" i="23"/>
  <c r="BF48" i="23"/>
  <c r="V77" i="92"/>
  <c r="V75" i="9"/>
  <c r="W77" i="92"/>
  <c r="W75" i="9"/>
  <c r="G64" i="9"/>
  <c r="G66" i="92"/>
  <c r="Q102" i="143"/>
  <c r="AK101" i="143" s="1"/>
  <c r="B57" i="72"/>
  <c r="AK100" i="143"/>
  <c r="F109" i="143"/>
  <c r="V108" i="143" s="1"/>
  <c r="D105" i="143"/>
  <c r="T104" i="143" s="1"/>
  <c r="H104" i="143"/>
  <c r="Z103" i="143" s="1"/>
  <c r="T103" i="143"/>
  <c r="P66" i="92"/>
  <c r="P64" i="9"/>
  <c r="D36" i="115" s="1"/>
  <c r="G102" i="143"/>
  <c r="W101" i="143" s="1"/>
  <c r="AG101" i="143"/>
  <c r="M107" i="143"/>
  <c r="AE106" i="143" s="1"/>
  <c r="I109" i="143"/>
  <c r="J66" i="9"/>
  <c r="J68" i="92"/>
  <c r="H73" i="28"/>
  <c r="E73" i="28"/>
  <c r="G73" i="28"/>
  <c r="B74" i="28"/>
  <c r="F73" i="28"/>
  <c r="D73" i="28"/>
  <c r="N104" i="143"/>
  <c r="AF103" i="143" s="1"/>
  <c r="Y102" i="143"/>
  <c r="B86" i="143"/>
  <c r="S85" i="143" s="1"/>
  <c r="B85" i="145" s="1"/>
  <c r="B85" i="146" s="1"/>
  <c r="E104" i="143"/>
  <c r="U103" i="143" s="1"/>
  <c r="P103" i="143"/>
  <c r="AG102" i="143" s="1"/>
  <c r="L104" i="143"/>
  <c r="AD103" i="143" s="1"/>
  <c r="S84" i="143"/>
  <c r="B84" i="145" s="1"/>
  <c r="B84" i="146" s="1"/>
  <c r="AD102" i="143"/>
  <c r="J102" i="143"/>
  <c r="AA102" i="143"/>
  <c r="K61" i="16" l="1"/>
  <c r="I61" i="16"/>
  <c r="E61" i="16"/>
  <c r="L61" i="16"/>
  <c r="D61" i="16"/>
  <c r="J61" i="16"/>
  <c r="F61" i="16"/>
  <c r="H61" i="16"/>
  <c r="G61" i="16"/>
  <c r="G91" i="90"/>
  <c r="M51" i="72"/>
  <c r="D26" i="72"/>
  <c r="L51" i="72"/>
  <c r="O51" i="72"/>
  <c r="L52" i="72"/>
  <c r="O52" i="72"/>
  <c r="N52" i="72"/>
  <c r="M52" i="72"/>
  <c r="M53" i="21" s="1"/>
  <c r="M53" i="37" s="1"/>
  <c r="B59" i="20"/>
  <c r="C60" i="20"/>
  <c r="S59" i="20"/>
  <c r="N58" i="20"/>
  <c r="AD58" i="20" s="1"/>
  <c r="D58" i="20"/>
  <c r="T58" i="20" s="1"/>
  <c r="L58" i="20"/>
  <c r="AB58" i="20" s="1"/>
  <c r="K58" i="20"/>
  <c r="AA58" i="20" s="1"/>
  <c r="J58" i="20"/>
  <c r="Z58" i="20" s="1"/>
  <c r="E58" i="20"/>
  <c r="U58" i="20" s="1"/>
  <c r="G58" i="20"/>
  <c r="I58" i="20"/>
  <c r="Y51" i="72" s="1"/>
  <c r="Y52" i="72" s="1"/>
  <c r="Y53" i="72" s="1"/>
  <c r="Y54" i="72" s="1"/>
  <c r="Y55" i="72" s="1"/>
  <c r="P58" i="20"/>
  <c r="AF58" i="20" s="1"/>
  <c r="Q58" i="20"/>
  <c r="AG58" i="20" s="1"/>
  <c r="O58" i="20"/>
  <c r="AE58" i="20" s="1"/>
  <c r="H58" i="20"/>
  <c r="F58" i="20"/>
  <c r="M58" i="20"/>
  <c r="AC58" i="20" s="1"/>
  <c r="L26" i="72"/>
  <c r="N39" i="72"/>
  <c r="N30" i="72"/>
  <c r="N41" i="72"/>
  <c r="O32" i="72"/>
  <c r="L43" i="72"/>
  <c r="O36" i="72"/>
  <c r="Y33" i="72"/>
  <c r="O31" i="72"/>
  <c r="O26" i="72"/>
  <c r="L36" i="72"/>
  <c r="Y35" i="72"/>
  <c r="AC36" i="21" s="1"/>
  <c r="AC36" i="37" s="1"/>
  <c r="O47" i="72"/>
  <c r="M43" i="72"/>
  <c r="M45" i="72"/>
  <c r="M46" i="21" s="1"/>
  <c r="M46" i="37" s="1"/>
  <c r="N44" i="72"/>
  <c r="O28" i="72"/>
  <c r="M40" i="72"/>
  <c r="Y31" i="72"/>
  <c r="M44" i="72"/>
  <c r="M33" i="72"/>
  <c r="Y43" i="72"/>
  <c r="AC44" i="21" s="1"/>
  <c r="AC44" i="37" s="1"/>
  <c r="Y37" i="72"/>
  <c r="AC38" i="21" s="1"/>
  <c r="AC38" i="37" s="1"/>
  <c r="O34" i="72"/>
  <c r="Y34" i="72"/>
  <c r="M27" i="72"/>
  <c r="Y38" i="72"/>
  <c r="O35" i="72"/>
  <c r="L44" i="72"/>
  <c r="O45" i="72"/>
  <c r="M47" i="72"/>
  <c r="Y44" i="72"/>
  <c r="AC45" i="21" s="1"/>
  <c r="AC45" i="37" s="1"/>
  <c r="O29" i="72"/>
  <c r="M42" i="72"/>
  <c r="M43" i="21" s="1"/>
  <c r="M43" i="37" s="1"/>
  <c r="M32" i="72"/>
  <c r="Y45" i="72"/>
  <c r="N34" i="72"/>
  <c r="Y27" i="72"/>
  <c r="O37" i="72"/>
  <c r="M35" i="72"/>
  <c r="N35" i="72"/>
  <c r="N27" i="72"/>
  <c r="L38" i="72"/>
  <c r="M36" i="72"/>
  <c r="N46" i="72"/>
  <c r="M46" i="72"/>
  <c r="O48" i="72"/>
  <c r="Y46" i="72"/>
  <c r="AC47" i="21" s="1"/>
  <c r="AC47" i="37" s="1"/>
  <c r="Y32" i="72"/>
  <c r="O44" i="72"/>
  <c r="Y36" i="72"/>
  <c r="AC37" i="21" s="1"/>
  <c r="AC37" i="37" s="1"/>
  <c r="L45" i="72"/>
  <c r="L35" i="72"/>
  <c r="L29" i="72"/>
  <c r="O41" i="72"/>
  <c r="N36" i="72"/>
  <c r="N42" i="72"/>
  <c r="M28" i="72"/>
  <c r="L39" i="72"/>
  <c r="N38" i="72"/>
  <c r="Y47" i="72"/>
  <c r="O46" i="72"/>
  <c r="L47" i="72"/>
  <c r="O49" i="72"/>
  <c r="N33" i="72"/>
  <c r="M26" i="72"/>
  <c r="N37" i="72"/>
  <c r="Y26" i="72"/>
  <c r="M37" i="72"/>
  <c r="M30" i="72"/>
  <c r="M41" i="72"/>
  <c r="O39" i="72"/>
  <c r="Y42" i="72"/>
  <c r="Y29" i="72"/>
  <c r="M39" i="72"/>
  <c r="M40" i="21" s="1"/>
  <c r="M40" i="37" s="1"/>
  <c r="Y39" i="72"/>
  <c r="M48" i="72"/>
  <c r="M49" i="21" s="1"/>
  <c r="M49" i="37" s="1"/>
  <c r="N47" i="72"/>
  <c r="L48" i="72"/>
  <c r="M49" i="72"/>
  <c r="M34" i="72"/>
  <c r="M35" i="21" s="1"/>
  <c r="M35" i="37" s="1"/>
  <c r="L27" i="72"/>
  <c r="O38" i="72"/>
  <c r="M29" i="72"/>
  <c r="O40" i="72"/>
  <c r="N31" i="72"/>
  <c r="O42" i="72"/>
  <c r="Y41" i="72"/>
  <c r="N43" i="72"/>
  <c r="L30" i="72"/>
  <c r="L41" i="72"/>
  <c r="O50" i="72"/>
  <c r="Y48" i="72"/>
  <c r="N49" i="72"/>
  <c r="N50" i="72"/>
  <c r="L37" i="72"/>
  <c r="N28" i="72"/>
  <c r="Y40" i="72"/>
  <c r="O30" i="72"/>
  <c r="L40" i="72"/>
  <c r="M31" i="72"/>
  <c r="Y30" i="72"/>
  <c r="Y28" i="72"/>
  <c r="N45" i="72"/>
  <c r="N32" i="72"/>
  <c r="O27" i="72"/>
  <c r="O43" i="72"/>
  <c r="L49" i="72"/>
  <c r="M50" i="72"/>
  <c r="N48" i="72"/>
  <c r="M38" i="72"/>
  <c r="N29" i="72"/>
  <c r="N40" i="72"/>
  <c r="L31" i="72"/>
  <c r="L42" i="72"/>
  <c r="L33" i="72"/>
  <c r="L32" i="72"/>
  <c r="L28" i="72"/>
  <c r="N26" i="72"/>
  <c r="O33" i="72"/>
  <c r="L34" i="72"/>
  <c r="L46" i="72"/>
  <c r="L50" i="72"/>
  <c r="Y50" i="72"/>
  <c r="AC51" i="21" s="1"/>
  <c r="AC51" i="37" s="1"/>
  <c r="Y49" i="72"/>
  <c r="AC50" i="21" s="1"/>
  <c r="AC50" i="37" s="1"/>
  <c r="AC101" i="143"/>
  <c r="K103" i="143"/>
  <c r="BT59" i="25"/>
  <c r="BG59" i="25"/>
  <c r="T59" i="25"/>
  <c r="S70" i="9"/>
  <c r="D46" i="98" s="1"/>
  <c r="D45" i="31" s="1"/>
  <c r="S72" i="92"/>
  <c r="C62" i="25"/>
  <c r="B61" i="25"/>
  <c r="AT59" i="25"/>
  <c r="CD60" i="25"/>
  <c r="AR60" i="25"/>
  <c r="S60" i="25"/>
  <c r="AS60" i="25"/>
  <c r="AQ60" i="25"/>
  <c r="E60" i="25"/>
  <c r="AD60" i="25"/>
  <c r="BQ60" i="25"/>
  <c r="D60" i="25"/>
  <c r="BR60" i="25"/>
  <c r="Q60" i="25"/>
  <c r="BD60" i="25"/>
  <c r="BS60" i="25"/>
  <c r="CE60" i="25"/>
  <c r="AE60" i="25"/>
  <c r="AF60" i="25"/>
  <c r="BF60" i="25"/>
  <c r="F60" i="25"/>
  <c r="BE60" i="25"/>
  <c r="R60" i="25"/>
  <c r="CF60" i="25"/>
  <c r="AG59" i="25"/>
  <c r="G59" i="25"/>
  <c r="CG59" i="25"/>
  <c r="AL22" i="72"/>
  <c r="BI22" i="21"/>
  <c r="M72" i="9"/>
  <c r="M74" i="92"/>
  <c r="P48" i="23"/>
  <c r="CG48" i="23"/>
  <c r="Y103" i="143"/>
  <c r="AO49" i="22"/>
  <c r="AW49" i="22"/>
  <c r="Q49" i="22"/>
  <c r="H49" i="22"/>
  <c r="AC49" i="22"/>
  <c r="AP49" i="22"/>
  <c r="AN49" i="22"/>
  <c r="AD49" i="22"/>
  <c r="AS49" i="22"/>
  <c r="G49" i="22"/>
  <c r="AJ49" i="22"/>
  <c r="AV49" i="22"/>
  <c r="V49" i="22"/>
  <c r="AA49" i="22"/>
  <c r="AG49" i="22"/>
  <c r="X49" i="22"/>
  <c r="U49" i="22"/>
  <c r="F49" i="22"/>
  <c r="J49" i="22"/>
  <c r="Y49" i="22"/>
  <c r="AU49" i="22"/>
  <c r="AM49" i="22"/>
  <c r="N49" i="22"/>
  <c r="M49" i="22"/>
  <c r="L49" i="22"/>
  <c r="O49" i="22"/>
  <c r="E49" i="22"/>
  <c r="AF49" i="22"/>
  <c r="Z49" i="22"/>
  <c r="W49" i="22"/>
  <c r="AB49" i="22"/>
  <c r="D49" i="22"/>
  <c r="AL49" i="22"/>
  <c r="AR49" i="22"/>
  <c r="AK49" i="22"/>
  <c r="AQ49" i="22"/>
  <c r="AT49" i="22"/>
  <c r="I49" i="22"/>
  <c r="T49" i="22"/>
  <c r="P49" i="22"/>
  <c r="AE49" i="22"/>
  <c r="K49" i="22"/>
  <c r="Z49" i="23"/>
  <c r="CM49" i="23"/>
  <c r="AZ49" i="23"/>
  <c r="AM49" i="23"/>
  <c r="BM49" i="23"/>
  <c r="M49" i="23"/>
  <c r="BZ49" i="23"/>
  <c r="BP48" i="23"/>
  <c r="V78" i="92"/>
  <c r="V76" i="9"/>
  <c r="AQ49" i="23"/>
  <c r="BQ49" i="23"/>
  <c r="CD49" i="23"/>
  <c r="Q49" i="23"/>
  <c r="BD49" i="23"/>
  <c r="D49" i="23"/>
  <c r="AD49" i="23"/>
  <c r="B62" i="115"/>
  <c r="A61" i="115"/>
  <c r="BT48" i="23"/>
  <c r="BE49" i="23"/>
  <c r="AA49" i="23"/>
  <c r="E49" i="23"/>
  <c r="I49" i="23"/>
  <c r="CN49" i="23"/>
  <c r="BI49" i="23"/>
  <c r="AE49" i="23"/>
  <c r="AI49" i="23"/>
  <c r="V49" i="23"/>
  <c r="AR49" i="23"/>
  <c r="N49" i="23"/>
  <c r="AN49" i="23"/>
  <c r="R49" i="23"/>
  <c r="BA49" i="23"/>
  <c r="AV49" i="23"/>
  <c r="CA49" i="23"/>
  <c r="BN49" i="23"/>
  <c r="BR49" i="23"/>
  <c r="BV49" i="23"/>
  <c r="CI49" i="23"/>
  <c r="CE49" i="23"/>
  <c r="AT48" i="23"/>
  <c r="M61" i="16"/>
  <c r="B62" i="16"/>
  <c r="N61" i="16"/>
  <c r="O61" i="16"/>
  <c r="BG48" i="23"/>
  <c r="O49" i="23"/>
  <c r="BF49" i="23"/>
  <c r="F49" i="23"/>
  <c r="AB49" i="23"/>
  <c r="AF49" i="23"/>
  <c r="CO49" i="23"/>
  <c r="CB49" i="23"/>
  <c r="S49" i="23"/>
  <c r="AS49" i="23"/>
  <c r="AO49" i="23"/>
  <c r="BO49" i="23"/>
  <c r="BB49" i="23"/>
  <c r="CF49" i="23"/>
  <c r="BS49" i="23"/>
  <c r="AX49" i="23"/>
  <c r="AY49" i="23"/>
  <c r="AK49" i="23"/>
  <c r="CK49" i="23"/>
  <c r="AL49" i="23"/>
  <c r="CL49" i="23"/>
  <c r="BK49" i="23"/>
  <c r="BX49" i="23"/>
  <c r="BY49" i="23"/>
  <c r="K49" i="23"/>
  <c r="L49" i="23"/>
  <c r="Y49" i="23"/>
  <c r="X49" i="23"/>
  <c r="BL49" i="23"/>
  <c r="BW48" i="23"/>
  <c r="BC48" i="23"/>
  <c r="W48" i="23"/>
  <c r="G67" i="92"/>
  <c r="G65" i="9"/>
  <c r="AJ48" i="23"/>
  <c r="J48" i="23"/>
  <c r="CJ48" i="23"/>
  <c r="CP48" i="23"/>
  <c r="B60" i="96"/>
  <c r="C61" i="96"/>
  <c r="M80" i="132"/>
  <c r="K80" i="132" s="1"/>
  <c r="T48" i="23"/>
  <c r="AP48" i="23"/>
  <c r="R49" i="22"/>
  <c r="AH49" i="22"/>
  <c r="AY49" i="22"/>
  <c r="S49" i="22"/>
  <c r="AX49" i="22"/>
  <c r="AI49" i="22"/>
  <c r="AG48" i="23"/>
  <c r="CC48" i="23"/>
  <c r="AC48" i="23"/>
  <c r="AA103" i="143"/>
  <c r="W78" i="92"/>
  <c r="W76" i="9"/>
  <c r="O102" i="143"/>
  <c r="AJ100" i="143"/>
  <c r="AI100" i="143"/>
  <c r="G48" i="23"/>
  <c r="BH49" i="23"/>
  <c r="AU49" i="23"/>
  <c r="AH49" i="23"/>
  <c r="BU49" i="23"/>
  <c r="CH49" i="23"/>
  <c r="H49" i="23"/>
  <c r="U49" i="23"/>
  <c r="BJ48" i="23"/>
  <c r="AW48" i="23"/>
  <c r="AH100" i="143"/>
  <c r="I110" i="143"/>
  <c r="X108" i="143"/>
  <c r="P104" i="143"/>
  <c r="AG103" i="143" s="1"/>
  <c r="D106" i="143"/>
  <c r="T105" i="143" s="1"/>
  <c r="H105" i="143"/>
  <c r="Z104" i="143" s="1"/>
  <c r="B58" i="72"/>
  <c r="G103" i="143"/>
  <c r="J67" i="9"/>
  <c r="J69" i="92"/>
  <c r="Q103" i="143"/>
  <c r="AK102" i="143" s="1"/>
  <c r="J103" i="143"/>
  <c r="AB101" i="143"/>
  <c r="L105" i="143"/>
  <c r="AD104" i="143" s="1"/>
  <c r="N105" i="143"/>
  <c r="E74" i="28"/>
  <c r="D74" i="28"/>
  <c r="F74" i="28"/>
  <c r="G74" i="28"/>
  <c r="B75" i="28"/>
  <c r="H74" i="28"/>
  <c r="E105" i="143"/>
  <c r="B87" i="143"/>
  <c r="S86" i="143" s="1"/>
  <c r="B86" i="145" s="1"/>
  <c r="B86" i="146" s="1"/>
  <c r="F110" i="143"/>
  <c r="V109" i="143" s="1"/>
  <c r="M108" i="143"/>
  <c r="AE107" i="143" s="1"/>
  <c r="P67" i="92"/>
  <c r="P65" i="9"/>
  <c r="D37" i="115" s="1"/>
  <c r="K62" i="16" l="1"/>
  <c r="I62" i="16"/>
  <c r="D62" i="16"/>
  <c r="J62" i="16"/>
  <c r="F62" i="16"/>
  <c r="L62" i="16"/>
  <c r="E62" i="16"/>
  <c r="H62" i="16"/>
  <c r="G62" i="16"/>
  <c r="G92" i="90"/>
  <c r="V58" i="20"/>
  <c r="L53" i="72" s="1"/>
  <c r="L54" i="72" s="1"/>
  <c r="L55" i="72" s="1"/>
  <c r="L56" i="72" s="1"/>
  <c r="L57" i="72" s="1"/>
  <c r="L58" i="72" s="1"/>
  <c r="AC56" i="21"/>
  <c r="AC56" i="37" s="1"/>
  <c r="Y56" i="72"/>
  <c r="Y57" i="72" s="1"/>
  <c r="AC58" i="21" s="1"/>
  <c r="AC58" i="37" s="1"/>
  <c r="B60" i="20"/>
  <c r="S60" i="20"/>
  <c r="C61" i="20"/>
  <c r="N59" i="20"/>
  <c r="AD59" i="20" s="1"/>
  <c r="G59" i="20"/>
  <c r="D59" i="20"/>
  <c r="T59" i="20" s="1"/>
  <c r="I59" i="20"/>
  <c r="Q59" i="20"/>
  <c r="AG59" i="20" s="1"/>
  <c r="H59" i="20"/>
  <c r="F59" i="20"/>
  <c r="E59" i="20"/>
  <c r="U59" i="20" s="1"/>
  <c r="J59" i="20"/>
  <c r="Z59" i="20" s="1"/>
  <c r="O59" i="20"/>
  <c r="AE59" i="20" s="1"/>
  <c r="M59" i="20"/>
  <c r="AC59" i="20" s="1"/>
  <c r="L59" i="20"/>
  <c r="AB59" i="20" s="1"/>
  <c r="P59" i="20"/>
  <c r="AF59" i="20" s="1"/>
  <c r="K59" i="20"/>
  <c r="AA59" i="20" s="1"/>
  <c r="AC102" i="143"/>
  <c r="K104" i="143"/>
  <c r="BT60" i="25"/>
  <c r="BG60" i="25"/>
  <c r="AG60" i="25"/>
  <c r="Y104" i="143"/>
  <c r="B62" i="25"/>
  <c r="C63" i="25"/>
  <c r="AF61" i="25"/>
  <c r="CD61" i="25"/>
  <c r="S61" i="25"/>
  <c r="CF61" i="25"/>
  <c r="BQ61" i="25"/>
  <c r="BE61" i="25"/>
  <c r="Q61" i="25"/>
  <c r="BR61" i="25"/>
  <c r="CE61" i="25"/>
  <c r="AS61" i="25"/>
  <c r="BF61" i="25"/>
  <c r="AE61" i="25"/>
  <c r="AD61" i="25"/>
  <c r="BS61" i="25"/>
  <c r="D61" i="25"/>
  <c r="AQ61" i="25"/>
  <c r="R61" i="25"/>
  <c r="E61" i="25"/>
  <c r="F61" i="25"/>
  <c r="AR61" i="25"/>
  <c r="BD61" i="25"/>
  <c r="AT60" i="25"/>
  <c r="S73" i="92"/>
  <c r="S71" i="9"/>
  <c r="D47" i="98" s="1"/>
  <c r="D46" i="31" s="1"/>
  <c r="T60" i="25"/>
  <c r="BJ22" i="21"/>
  <c r="AM22" i="72"/>
  <c r="BK22" i="21" s="1"/>
  <c r="G60" i="25"/>
  <c r="CG60" i="25"/>
  <c r="M73" i="9"/>
  <c r="M75" i="92"/>
  <c r="CJ49" i="23"/>
  <c r="G49" i="23"/>
  <c r="W49" i="23"/>
  <c r="CG49" i="23"/>
  <c r="BP49" i="23"/>
  <c r="AJ49" i="23"/>
  <c r="BT49" i="23"/>
  <c r="AP49" i="23"/>
  <c r="L50" i="23"/>
  <c r="AX50" i="23"/>
  <c r="Y50" i="23"/>
  <c r="X50" i="23"/>
  <c r="CK50" i="23"/>
  <c r="CL50" i="23"/>
  <c r="BL50" i="23"/>
  <c r="AY50" i="23"/>
  <c r="BY50" i="23"/>
  <c r="K50" i="23"/>
  <c r="AL50" i="23"/>
  <c r="BX50" i="23"/>
  <c r="AK50" i="23"/>
  <c r="BK50" i="23"/>
  <c r="M81" i="132"/>
  <c r="K81" i="132" s="1"/>
  <c r="AW49" i="23"/>
  <c r="AT49" i="23"/>
  <c r="BC49" i="23"/>
  <c r="O103" i="143"/>
  <c r="AH101" i="143"/>
  <c r="AJ101" i="143"/>
  <c r="AI101" i="143"/>
  <c r="I50" i="23"/>
  <c r="CA50" i="23"/>
  <c r="AE50" i="23"/>
  <c r="N50" i="23"/>
  <c r="AR50" i="23"/>
  <c r="CE50" i="23"/>
  <c r="BR50" i="23"/>
  <c r="BE50" i="23"/>
  <c r="CI50" i="23"/>
  <c r="BV50" i="23"/>
  <c r="BA50" i="23"/>
  <c r="AN50" i="23"/>
  <c r="BI50" i="23"/>
  <c r="AV50" i="23"/>
  <c r="R50" i="23"/>
  <c r="BN50" i="23"/>
  <c r="AA50" i="23"/>
  <c r="CN50" i="23"/>
  <c r="AI50" i="23"/>
  <c r="E50" i="23"/>
  <c r="V50" i="23"/>
  <c r="G66" i="9"/>
  <c r="G68" i="92"/>
  <c r="BJ49" i="23"/>
  <c r="A62" i="115"/>
  <c r="B63" i="115"/>
  <c r="N50" i="22"/>
  <c r="AL50" i="22"/>
  <c r="AS50" i="22"/>
  <c r="U50" i="22"/>
  <c r="I50" i="22"/>
  <c r="AA50" i="22"/>
  <c r="AW50" i="22"/>
  <c r="AR50" i="22"/>
  <c r="Y50" i="22"/>
  <c r="AU50" i="22"/>
  <c r="AK50" i="22"/>
  <c r="AP50" i="22"/>
  <c r="AO50" i="22"/>
  <c r="AF50" i="22"/>
  <c r="AD50" i="22"/>
  <c r="AT50" i="22"/>
  <c r="AM50" i="22"/>
  <c r="X50" i="22"/>
  <c r="K50" i="22"/>
  <c r="Q50" i="22"/>
  <c r="M50" i="22"/>
  <c r="G50" i="22"/>
  <c r="AC50" i="22"/>
  <c r="W50" i="22"/>
  <c r="P50" i="22"/>
  <c r="T50" i="22"/>
  <c r="V50" i="22"/>
  <c r="E50" i="22"/>
  <c r="D50" i="22"/>
  <c r="L50" i="22"/>
  <c r="AG50" i="22"/>
  <c r="AB50" i="22"/>
  <c r="AN50" i="22"/>
  <c r="O50" i="22"/>
  <c r="F50" i="22"/>
  <c r="AQ50" i="22"/>
  <c r="AV50" i="22"/>
  <c r="J50" i="22"/>
  <c r="Z50" i="22"/>
  <c r="AE50" i="22"/>
  <c r="H50" i="22"/>
  <c r="AJ50" i="22"/>
  <c r="CP49" i="23"/>
  <c r="S50" i="22"/>
  <c r="AY50" i="22"/>
  <c r="AI50" i="22"/>
  <c r="AX50" i="22"/>
  <c r="R50" i="22"/>
  <c r="AH50" i="22"/>
  <c r="B61" i="96"/>
  <c r="C62" i="96"/>
  <c r="AG49" i="23"/>
  <c r="V79" i="92"/>
  <c r="V77" i="9"/>
  <c r="AC49" i="23"/>
  <c r="BQ50" i="23"/>
  <c r="BD50" i="23"/>
  <c r="Q50" i="23"/>
  <c r="CD50" i="23"/>
  <c r="D50" i="23"/>
  <c r="AQ50" i="23"/>
  <c r="AD50" i="23"/>
  <c r="W77" i="9"/>
  <c r="W79" i="92"/>
  <c r="S50" i="23"/>
  <c r="BF50" i="23"/>
  <c r="AF50" i="23"/>
  <c r="AS50" i="23"/>
  <c r="O50" i="23"/>
  <c r="AB50" i="23"/>
  <c r="CB50" i="23"/>
  <c r="CF50" i="23"/>
  <c r="BB50" i="23"/>
  <c r="BO50" i="23"/>
  <c r="F50" i="23"/>
  <c r="CO50" i="23"/>
  <c r="BS50" i="23"/>
  <c r="AO50" i="23"/>
  <c r="O62" i="16"/>
  <c r="B63" i="16"/>
  <c r="N62" i="16"/>
  <c r="M62" i="16"/>
  <c r="J49" i="23"/>
  <c r="BW49" i="23"/>
  <c r="BG49" i="23"/>
  <c r="CC49" i="23"/>
  <c r="BU50" i="23"/>
  <c r="H50" i="23"/>
  <c r="CH50" i="23"/>
  <c r="AH50" i="23"/>
  <c r="U50" i="23"/>
  <c r="BH50" i="23"/>
  <c r="AU50" i="23"/>
  <c r="Z50" i="23"/>
  <c r="BZ50" i="23"/>
  <c r="AM50" i="23"/>
  <c r="M50" i="23"/>
  <c r="CM50" i="23"/>
  <c r="BM50" i="23"/>
  <c r="AZ50" i="23"/>
  <c r="T49" i="23"/>
  <c r="P49" i="23"/>
  <c r="E106" i="143"/>
  <c r="U105" i="143" s="1"/>
  <c r="G104" i="143"/>
  <c r="D75" i="28"/>
  <c r="H75" i="28"/>
  <c r="B76" i="28"/>
  <c r="E75" i="28"/>
  <c r="G75" i="28"/>
  <c r="F75" i="28"/>
  <c r="P66" i="9"/>
  <c r="D38" i="115" s="1"/>
  <c r="P68" i="92"/>
  <c r="F111" i="143"/>
  <c r="V110" i="143" s="1"/>
  <c r="I111" i="143"/>
  <c r="X110" i="143" s="1"/>
  <c r="L106" i="143"/>
  <c r="AD105" i="143" s="1"/>
  <c r="X109" i="143"/>
  <c r="J104" i="143"/>
  <c r="AB102" i="143"/>
  <c r="Q104" i="143"/>
  <c r="AK103" i="143" s="1"/>
  <c r="H106" i="143"/>
  <c r="Y105" i="143" s="1"/>
  <c r="P105" i="143"/>
  <c r="B88" i="143"/>
  <c r="M109" i="143"/>
  <c r="AE108" i="143" s="1"/>
  <c r="N106" i="143"/>
  <c r="AF105" i="143" s="1"/>
  <c r="B59" i="72"/>
  <c r="AA104" i="143"/>
  <c r="D107" i="143"/>
  <c r="T106" i="143" s="1"/>
  <c r="AF104" i="143"/>
  <c r="U104" i="143"/>
  <c r="J68" i="9"/>
  <c r="J70" i="92"/>
  <c r="W102" i="143"/>
  <c r="D63" i="16" l="1"/>
  <c r="E63" i="16"/>
  <c r="L63" i="16"/>
  <c r="K63" i="16"/>
  <c r="I63" i="16"/>
  <c r="J63" i="16"/>
  <c r="F63" i="16"/>
  <c r="H63" i="16"/>
  <c r="G63" i="16"/>
  <c r="G93" i="90"/>
  <c r="M53" i="72"/>
  <c r="M54" i="21" s="1"/>
  <c r="M54" i="37" s="1"/>
  <c r="N53" i="72"/>
  <c r="N54" i="72" s="1"/>
  <c r="N55" i="72" s="1"/>
  <c r="N56" i="72" s="1"/>
  <c r="N57" i="72" s="1"/>
  <c r="N58" i="72" s="1"/>
  <c r="N59" i="72" s="1"/>
  <c r="O53" i="72"/>
  <c r="O54" i="72" s="1"/>
  <c r="O55" i="72" s="1"/>
  <c r="O56" i="72" s="1"/>
  <c r="O57" i="72" s="1"/>
  <c r="O58" i="72" s="1"/>
  <c r="O59" i="72" s="1"/>
  <c r="V59" i="20"/>
  <c r="Y58" i="72"/>
  <c r="Y59" i="72" s="1"/>
  <c r="AC60" i="21" s="1"/>
  <c r="AC60" i="37" s="1"/>
  <c r="S61" i="20"/>
  <c r="B61" i="20"/>
  <c r="C62" i="20"/>
  <c r="D60" i="20"/>
  <c r="T60" i="20" s="1"/>
  <c r="O60" i="20"/>
  <c r="AE60" i="20" s="1"/>
  <c r="K60" i="20"/>
  <c r="AA60" i="20" s="1"/>
  <c r="H60" i="20"/>
  <c r="L60" i="20"/>
  <c r="AB60" i="20" s="1"/>
  <c r="M60" i="20"/>
  <c r="AC60" i="20" s="1"/>
  <c r="I60" i="20"/>
  <c r="P60" i="20"/>
  <c r="AF60" i="20" s="1"/>
  <c r="Q60" i="20"/>
  <c r="AG60" i="20" s="1"/>
  <c r="J60" i="20"/>
  <c r="Z60" i="20" s="1"/>
  <c r="E60" i="20"/>
  <c r="U60" i="20" s="1"/>
  <c r="F60" i="20"/>
  <c r="G60" i="20"/>
  <c r="N60" i="20"/>
  <c r="AD60" i="20" s="1"/>
  <c r="AC103" i="143"/>
  <c r="K105" i="143"/>
  <c r="BG61" i="25"/>
  <c r="AG61" i="25"/>
  <c r="BT61" i="25"/>
  <c r="CG61" i="25"/>
  <c r="AT61" i="25"/>
  <c r="B63" i="25"/>
  <c r="C64" i="25"/>
  <c r="B64" i="25" s="1"/>
  <c r="S74" i="92"/>
  <c r="S72" i="9"/>
  <c r="D48" i="98" s="1"/>
  <c r="D47" i="31" s="1"/>
  <c r="G61" i="25"/>
  <c r="T61" i="25"/>
  <c r="AF62" i="25"/>
  <c r="CE62" i="25"/>
  <c r="D62" i="25"/>
  <c r="BD62" i="25"/>
  <c r="E62" i="25"/>
  <c r="BF62" i="25"/>
  <c r="AQ62" i="25"/>
  <c r="S62" i="25"/>
  <c r="BS62" i="25"/>
  <c r="F62" i="25"/>
  <c r="AR62" i="25"/>
  <c r="CF62" i="25"/>
  <c r="AE62" i="25"/>
  <c r="BR62" i="25"/>
  <c r="R62" i="25"/>
  <c r="AD62" i="25"/>
  <c r="BQ62" i="25"/>
  <c r="AS62" i="25"/>
  <c r="BE62" i="25"/>
  <c r="Q62" i="25"/>
  <c r="CD62" i="25"/>
  <c r="M76" i="92"/>
  <c r="M74" i="9"/>
  <c r="AP50" i="23"/>
  <c r="V51" i="22"/>
  <c r="U51" i="22"/>
  <c r="AM51" i="22"/>
  <c r="F51" i="22"/>
  <c r="AV51" i="22"/>
  <c r="G51" i="22"/>
  <c r="X51" i="22"/>
  <c r="H51" i="22"/>
  <c r="AW51" i="22"/>
  <c r="AA51" i="22"/>
  <c r="AN51" i="22"/>
  <c r="AJ51" i="22"/>
  <c r="AB51" i="22"/>
  <c r="M51" i="22"/>
  <c r="AP51" i="22"/>
  <c r="AS51" i="22"/>
  <c r="AU51" i="22"/>
  <c r="O51" i="22"/>
  <c r="AK51" i="22"/>
  <c r="D51" i="22"/>
  <c r="AQ51" i="22"/>
  <c r="AR51" i="22"/>
  <c r="L51" i="22"/>
  <c r="Y51" i="22"/>
  <c r="Q51" i="22"/>
  <c r="Z51" i="22"/>
  <c r="AG51" i="22"/>
  <c r="AF51" i="22"/>
  <c r="AD51" i="22"/>
  <c r="W51" i="22"/>
  <c r="I51" i="22"/>
  <c r="E51" i="22"/>
  <c r="J51" i="22"/>
  <c r="K51" i="22"/>
  <c r="AT51" i="22"/>
  <c r="N51" i="22"/>
  <c r="AO51" i="22"/>
  <c r="P51" i="22"/>
  <c r="AL51" i="22"/>
  <c r="AE51" i="22"/>
  <c r="T51" i="22"/>
  <c r="AC51" i="22"/>
  <c r="CP50" i="23"/>
  <c r="BW50" i="23"/>
  <c r="CC50" i="23"/>
  <c r="V78" i="9"/>
  <c r="V80" i="92"/>
  <c r="BO51" i="23"/>
  <c r="BF51" i="23"/>
  <c r="CO51" i="23"/>
  <c r="AF51" i="23"/>
  <c r="O51" i="23"/>
  <c r="AB51" i="23"/>
  <c r="AO51" i="23"/>
  <c r="BS51" i="23"/>
  <c r="BB51" i="23"/>
  <c r="CB51" i="23"/>
  <c r="AS51" i="23"/>
  <c r="F51" i="23"/>
  <c r="S51" i="23"/>
  <c r="CF51" i="23"/>
  <c r="BZ51" i="23"/>
  <c r="CM51" i="23"/>
  <c r="BM51" i="23"/>
  <c r="AM51" i="23"/>
  <c r="Z51" i="23"/>
  <c r="AZ51" i="23"/>
  <c r="M51" i="23"/>
  <c r="AC50" i="23"/>
  <c r="CJ50" i="23"/>
  <c r="J50" i="23"/>
  <c r="BP50" i="23"/>
  <c r="BG50" i="23"/>
  <c r="M82" i="132"/>
  <c r="K82" i="132" s="1"/>
  <c r="N63" i="16"/>
  <c r="O63" i="16"/>
  <c r="B64" i="16"/>
  <c r="M63" i="16"/>
  <c r="B62" i="96"/>
  <c r="C63" i="96"/>
  <c r="BQ51" i="23"/>
  <c r="AQ51" i="23"/>
  <c r="BD51" i="23"/>
  <c r="AD51" i="23"/>
  <c r="Q51" i="23"/>
  <c r="CD51" i="23"/>
  <c r="D51" i="23"/>
  <c r="G67" i="9"/>
  <c r="G69" i="92"/>
  <c r="T50" i="23"/>
  <c r="BT50" i="23"/>
  <c r="AH51" i="23"/>
  <c r="AU51" i="23"/>
  <c r="H51" i="23"/>
  <c r="BU51" i="23"/>
  <c r="CH51" i="23"/>
  <c r="U51" i="23"/>
  <c r="BH51" i="23"/>
  <c r="AW50" i="23"/>
  <c r="CG50" i="23"/>
  <c r="BL51" i="23"/>
  <c r="BK51" i="23"/>
  <c r="CK51" i="23"/>
  <c r="AL51" i="23"/>
  <c r="AK51" i="23"/>
  <c r="BX51" i="23"/>
  <c r="K51" i="23"/>
  <c r="X51" i="23"/>
  <c r="BY51" i="23"/>
  <c r="AX51" i="23"/>
  <c r="CL51" i="23"/>
  <c r="Y51" i="23"/>
  <c r="L51" i="23"/>
  <c r="AY51" i="23"/>
  <c r="W50" i="23"/>
  <c r="BJ50" i="23"/>
  <c r="AT50" i="23"/>
  <c r="O104" i="143"/>
  <c r="AI103" i="143" s="1"/>
  <c r="AJ102" i="143"/>
  <c r="AI102" i="143"/>
  <c r="AH102" i="143"/>
  <c r="W78" i="9"/>
  <c r="W80" i="92"/>
  <c r="B64" i="115"/>
  <c r="A63" i="115"/>
  <c r="G50" i="23"/>
  <c r="P50" i="23"/>
  <c r="AY51" i="22"/>
  <c r="AH51" i="22"/>
  <c r="AX51" i="22"/>
  <c r="AI51" i="22"/>
  <c r="R51" i="22"/>
  <c r="S51" i="22"/>
  <c r="BI51" i="23"/>
  <c r="AR51" i="23"/>
  <c r="CA51" i="23"/>
  <c r="CN51" i="23"/>
  <c r="AN51" i="23"/>
  <c r="I51" i="23"/>
  <c r="BR51" i="23"/>
  <c r="AI51" i="23"/>
  <c r="BE51" i="23"/>
  <c r="N51" i="23"/>
  <c r="CE51" i="23"/>
  <c r="BA51" i="23"/>
  <c r="AE51" i="23"/>
  <c r="R51" i="23"/>
  <c r="BV51" i="23"/>
  <c r="AV51" i="23"/>
  <c r="CI51" i="23"/>
  <c r="E51" i="23"/>
  <c r="V51" i="23"/>
  <c r="BN51" i="23"/>
  <c r="AA51" i="23"/>
  <c r="AJ50" i="23"/>
  <c r="BC50" i="23"/>
  <c r="AG50" i="23"/>
  <c r="B89" i="143"/>
  <c r="M110" i="143"/>
  <c r="AE109" i="143" s="1"/>
  <c r="S87" i="143"/>
  <c r="B87" i="145" s="1"/>
  <c r="B87" i="146" s="1"/>
  <c r="F112" i="143"/>
  <c r="P106" i="143"/>
  <c r="AG105" i="143" s="1"/>
  <c r="J69" i="9"/>
  <c r="J71" i="92"/>
  <c r="AG104" i="143"/>
  <c r="E76" i="28"/>
  <c r="G76" i="28"/>
  <c r="F76" i="28"/>
  <c r="B77" i="28"/>
  <c r="D76" i="28"/>
  <c r="H76" i="28"/>
  <c r="H107" i="143"/>
  <c r="AA106" i="143" s="1"/>
  <c r="N107" i="143"/>
  <c r="AF106" i="143" s="1"/>
  <c r="I112" i="143"/>
  <c r="X111" i="143" s="1"/>
  <c r="J105" i="143"/>
  <c r="AB104" i="143" s="1"/>
  <c r="G105" i="143"/>
  <c r="W104" i="143" s="1"/>
  <c r="D108" i="143"/>
  <c r="T107" i="143" s="1"/>
  <c r="B60" i="72"/>
  <c r="L59" i="72"/>
  <c r="Z105" i="143"/>
  <c r="AB103" i="143"/>
  <c r="P69" i="92"/>
  <c r="P67" i="9"/>
  <c r="D39" i="115" s="1"/>
  <c r="W103" i="143"/>
  <c r="AA105" i="143"/>
  <c r="Q105" i="143"/>
  <c r="AK104" i="143" s="1"/>
  <c r="L107" i="143"/>
  <c r="AD106" i="143" s="1"/>
  <c r="E107" i="143"/>
  <c r="U106" i="143" s="1"/>
  <c r="F64" i="16" l="1"/>
  <c r="L64" i="16"/>
  <c r="E64" i="16"/>
  <c r="J64" i="16"/>
  <c r="D64" i="16"/>
  <c r="K64" i="16"/>
  <c r="I64" i="16"/>
  <c r="H64" i="16"/>
  <c r="G64" i="16"/>
  <c r="G94" i="90"/>
  <c r="M54" i="72"/>
  <c r="V60" i="20"/>
  <c r="S62" i="20"/>
  <c r="C63" i="20"/>
  <c r="B62" i="20"/>
  <c r="J61" i="20"/>
  <c r="Z61" i="20" s="1"/>
  <c r="Q61" i="20"/>
  <c r="AG61" i="20" s="1"/>
  <c r="D61" i="20"/>
  <c r="T61" i="20" s="1"/>
  <c r="N61" i="20"/>
  <c r="AD61" i="20" s="1"/>
  <c r="L61" i="20"/>
  <c r="AB61" i="20" s="1"/>
  <c r="F61" i="20"/>
  <c r="E61" i="20"/>
  <c r="U61" i="20" s="1"/>
  <c r="O61" i="20"/>
  <c r="AE61" i="20" s="1"/>
  <c r="I61" i="20"/>
  <c r="H61" i="20"/>
  <c r="P61" i="20"/>
  <c r="AF61" i="20" s="1"/>
  <c r="K61" i="20"/>
  <c r="AA61" i="20" s="1"/>
  <c r="M61" i="20"/>
  <c r="AC61" i="20" s="1"/>
  <c r="G61" i="20"/>
  <c r="AC104" i="143"/>
  <c r="K106" i="143"/>
  <c r="W51" i="23"/>
  <c r="CG62" i="25"/>
  <c r="AH103" i="143"/>
  <c r="BT62" i="25"/>
  <c r="AG62" i="25"/>
  <c r="AT62" i="25"/>
  <c r="S73" i="9"/>
  <c r="D49" i="98" s="1"/>
  <c r="D48" i="31" s="1"/>
  <c r="S75" i="92"/>
  <c r="T62" i="25"/>
  <c r="BG62" i="25"/>
  <c r="AR64" i="25"/>
  <c r="BD64" i="25"/>
  <c r="AS64" i="25"/>
  <c r="Q64" i="25"/>
  <c r="BF64" i="25"/>
  <c r="BQ64" i="25"/>
  <c r="AQ64" i="25"/>
  <c r="F64" i="25"/>
  <c r="BR64" i="25"/>
  <c r="CE64" i="25"/>
  <c r="BE64" i="25"/>
  <c r="S64" i="25"/>
  <c r="CF64" i="25"/>
  <c r="CD64" i="25"/>
  <c r="BS64" i="25"/>
  <c r="AD64" i="25"/>
  <c r="E64" i="25"/>
  <c r="R64" i="25"/>
  <c r="AE64" i="25"/>
  <c r="AF64" i="25"/>
  <c r="D64" i="25"/>
  <c r="G62" i="25"/>
  <c r="AD63" i="25"/>
  <c r="S63" i="25"/>
  <c r="CE63" i="25"/>
  <c r="AQ63" i="25"/>
  <c r="AS63" i="25"/>
  <c r="BQ63" i="25"/>
  <c r="BR63" i="25"/>
  <c r="D63" i="25"/>
  <c r="R63" i="25"/>
  <c r="BF63" i="25"/>
  <c r="AE63" i="25"/>
  <c r="CF63" i="25"/>
  <c r="Q63" i="25"/>
  <c r="AR63" i="25"/>
  <c r="E63" i="25"/>
  <c r="CD63" i="25"/>
  <c r="AF63" i="25"/>
  <c r="BD63" i="25"/>
  <c r="BS63" i="25"/>
  <c r="F63" i="25"/>
  <c r="BE63" i="25"/>
  <c r="BJ51" i="23"/>
  <c r="J51" i="23"/>
  <c r="M77" i="92"/>
  <c r="M75" i="9"/>
  <c r="CJ51" i="23"/>
  <c r="BW51" i="23"/>
  <c r="AW51" i="23"/>
  <c r="AJ51" i="23"/>
  <c r="CN52" i="23"/>
  <c r="AI52" i="23"/>
  <c r="E52" i="23"/>
  <c r="BE52" i="23"/>
  <c r="CA52" i="23"/>
  <c r="AR52" i="23"/>
  <c r="I52" i="23"/>
  <c r="AE52" i="23"/>
  <c r="BI52" i="23"/>
  <c r="V52" i="23"/>
  <c r="AN52" i="23"/>
  <c r="BA52" i="23"/>
  <c r="AV52" i="23"/>
  <c r="CI52" i="23"/>
  <c r="N52" i="23"/>
  <c r="BN52" i="23"/>
  <c r="R52" i="23"/>
  <c r="BR52" i="23"/>
  <c r="CE52" i="23"/>
  <c r="AA52" i="23"/>
  <c r="BV52" i="23"/>
  <c r="AH52" i="22"/>
  <c r="AI52" i="22"/>
  <c r="AX52" i="22"/>
  <c r="AY52" i="22"/>
  <c r="S52" i="22"/>
  <c r="R52" i="22"/>
  <c r="AG51" i="23"/>
  <c r="BP51" i="23"/>
  <c r="Z106" i="143"/>
  <c r="BG51" i="23"/>
  <c r="CP51" i="23"/>
  <c r="V81" i="92"/>
  <c r="V79" i="9"/>
  <c r="CH52" i="23"/>
  <c r="AU52" i="23"/>
  <c r="H52" i="23"/>
  <c r="BH52" i="23"/>
  <c r="U52" i="23"/>
  <c r="AH52" i="23"/>
  <c r="BU52" i="23"/>
  <c r="BB52" i="23"/>
  <c r="BS52" i="23"/>
  <c r="S52" i="23"/>
  <c r="O52" i="23"/>
  <c r="AO52" i="23"/>
  <c r="AF52" i="23"/>
  <c r="F52" i="23"/>
  <c r="CB52" i="23"/>
  <c r="BO52" i="23"/>
  <c r="BF52" i="23"/>
  <c r="CF52" i="23"/>
  <c r="AS52" i="23"/>
  <c r="AB52" i="23"/>
  <c r="CO52" i="23"/>
  <c r="AT51" i="23"/>
  <c r="CC51" i="23"/>
  <c r="AP52" i="22"/>
  <c r="K52" i="22"/>
  <c r="AL52" i="22"/>
  <c r="L52" i="22"/>
  <c r="AR52" i="22"/>
  <c r="AG52" i="22"/>
  <c r="M52" i="22"/>
  <c r="F52" i="22"/>
  <c r="H52" i="22"/>
  <c r="AC52" i="22"/>
  <c r="P52" i="22"/>
  <c r="Z52" i="22"/>
  <c r="AT52" i="22"/>
  <c r="AA52" i="22"/>
  <c r="D52" i="22"/>
  <c r="AM52" i="22"/>
  <c r="G52" i="22"/>
  <c r="AJ52" i="22"/>
  <c r="AE52" i="22"/>
  <c r="AW52" i="22"/>
  <c r="AS52" i="22"/>
  <c r="I52" i="22"/>
  <c r="AB52" i="22"/>
  <c r="AO52" i="22"/>
  <c r="AD52" i="22"/>
  <c r="W52" i="22"/>
  <c r="T52" i="22"/>
  <c r="AU52" i="22"/>
  <c r="V52" i="22"/>
  <c r="AK52" i="22"/>
  <c r="AQ52" i="22"/>
  <c r="AN52" i="22"/>
  <c r="E52" i="22"/>
  <c r="U52" i="22"/>
  <c r="AV52" i="22"/>
  <c r="J52" i="22"/>
  <c r="N52" i="22"/>
  <c r="AF52" i="22"/>
  <c r="O52" i="22"/>
  <c r="Q52" i="22"/>
  <c r="X52" i="22"/>
  <c r="Y52" i="22"/>
  <c r="G70" i="92"/>
  <c r="G68" i="9"/>
  <c r="BT51" i="23"/>
  <c r="M83" i="132"/>
  <c r="K83" i="132" s="1"/>
  <c r="M52" i="23"/>
  <c r="AM52" i="23"/>
  <c r="BM52" i="23"/>
  <c r="Z52" i="23"/>
  <c r="CM52" i="23"/>
  <c r="BZ52" i="23"/>
  <c r="AZ52" i="23"/>
  <c r="B63" i="96"/>
  <c r="C64" i="96"/>
  <c r="P51" i="23"/>
  <c r="G51" i="23"/>
  <c r="BC51" i="23"/>
  <c r="D52" i="23"/>
  <c r="BD52" i="23"/>
  <c r="Q52" i="23"/>
  <c r="AD52" i="23"/>
  <c r="BQ52" i="23"/>
  <c r="AQ52" i="23"/>
  <c r="CD52" i="23"/>
  <c r="K52" i="23"/>
  <c r="BK52" i="23"/>
  <c r="X52" i="23"/>
  <c r="Y52" i="23"/>
  <c r="AL52" i="23"/>
  <c r="BY52" i="23"/>
  <c r="BX52" i="23"/>
  <c r="L52" i="23"/>
  <c r="AX52" i="23"/>
  <c r="CK52" i="23"/>
  <c r="CL52" i="23"/>
  <c r="AY52" i="23"/>
  <c r="BL52" i="23"/>
  <c r="AK52" i="23"/>
  <c r="Y106" i="143"/>
  <c r="B65" i="115"/>
  <c r="A64" i="115"/>
  <c r="O105" i="143"/>
  <c r="AJ103" i="143"/>
  <c r="CG51" i="23"/>
  <c r="B65" i="16"/>
  <c r="N64" i="16"/>
  <c r="M64" i="16"/>
  <c r="O64" i="16"/>
  <c r="AC51" i="23"/>
  <c r="W81" i="92"/>
  <c r="W79" i="9"/>
  <c r="T51" i="23"/>
  <c r="AP51" i="23"/>
  <c r="P68" i="9"/>
  <c r="D40" i="115" s="1"/>
  <c r="P70" i="92"/>
  <c r="J72" i="92"/>
  <c r="J70" i="9"/>
  <c r="L108" i="143"/>
  <c r="AD107" i="143" s="1"/>
  <c r="H108" i="143"/>
  <c r="Z107" i="143" s="1"/>
  <c r="E77" i="28"/>
  <c r="G77" i="28"/>
  <c r="B78" i="28"/>
  <c r="F77" i="28"/>
  <c r="D77" i="28"/>
  <c r="H77" i="28"/>
  <c r="P107" i="143"/>
  <c r="F113" i="143"/>
  <c r="M111" i="143"/>
  <c r="AE110" i="143" s="1"/>
  <c r="B90" i="143"/>
  <c r="S89" i="143" s="1"/>
  <c r="B89" i="145" s="1"/>
  <c r="B89" i="146" s="1"/>
  <c r="E108" i="143"/>
  <c r="U107" i="143" s="1"/>
  <c r="G106" i="143"/>
  <c r="W105" i="143" s="1"/>
  <c r="J106" i="143"/>
  <c r="V111" i="143"/>
  <c r="S88" i="143"/>
  <c r="B88" i="145" s="1"/>
  <c r="B88" i="146" s="1"/>
  <c r="B61" i="72"/>
  <c r="L60" i="72"/>
  <c r="N60" i="72"/>
  <c r="O60" i="72"/>
  <c r="Y60" i="72"/>
  <c r="AC61" i="21" s="1"/>
  <c r="AC61" i="37" s="1"/>
  <c r="I113" i="143"/>
  <c r="X112" i="143" s="1"/>
  <c r="N108" i="143"/>
  <c r="AF107" i="143" s="1"/>
  <c r="Q106" i="143"/>
  <c r="AK105" i="143" s="1"/>
  <c r="D109" i="143"/>
  <c r="T108" i="143" s="1"/>
  <c r="F65" i="16" l="1"/>
  <c r="K65" i="16"/>
  <c r="E65" i="16"/>
  <c r="L65" i="16"/>
  <c r="J65" i="16"/>
  <c r="I65" i="16"/>
  <c r="D65" i="16"/>
  <c r="H65" i="16"/>
  <c r="G65" i="16"/>
  <c r="G95" i="90"/>
  <c r="M55" i="21"/>
  <c r="M55" i="37" s="1"/>
  <c r="M55" i="72"/>
  <c r="M56" i="72" s="1"/>
  <c r="M57" i="72" s="1"/>
  <c r="M58" i="72" s="1"/>
  <c r="M59" i="72" s="1"/>
  <c r="M60" i="72" s="1"/>
  <c r="V61" i="20"/>
  <c r="H62" i="20"/>
  <c r="Q62" i="20"/>
  <c r="AG62" i="20" s="1"/>
  <c r="O62" i="20"/>
  <c r="AE62" i="20" s="1"/>
  <c r="D62" i="20"/>
  <c r="T62" i="20" s="1"/>
  <c r="J62" i="20"/>
  <c r="Z62" i="20" s="1"/>
  <c r="K62" i="20"/>
  <c r="AA62" i="20" s="1"/>
  <c r="N62" i="20"/>
  <c r="AD62" i="20" s="1"/>
  <c r="I62" i="20"/>
  <c r="M62" i="20"/>
  <c r="AC62" i="20" s="1"/>
  <c r="E62" i="20"/>
  <c r="U62" i="20" s="1"/>
  <c r="G62" i="20"/>
  <c r="L62" i="20"/>
  <c r="AB62" i="20" s="1"/>
  <c r="P62" i="20"/>
  <c r="AF62" i="20" s="1"/>
  <c r="F62" i="20"/>
  <c r="C64" i="20"/>
  <c r="B63" i="20"/>
  <c r="S63" i="20"/>
  <c r="K107" i="143"/>
  <c r="AC105" i="143"/>
  <c r="BP52" i="23"/>
  <c r="AG52" i="23"/>
  <c r="AT64" i="25"/>
  <c r="G64" i="25"/>
  <c r="AT52" i="23"/>
  <c r="Y107" i="143"/>
  <c r="CC52" i="23"/>
  <c r="BT63" i="25"/>
  <c r="T64" i="25"/>
  <c r="T63" i="25"/>
  <c r="AT63" i="25"/>
  <c r="BG64" i="25"/>
  <c r="BG63" i="25"/>
  <c r="AG64" i="25"/>
  <c r="AG63" i="25"/>
  <c r="CG63" i="25"/>
  <c r="G63" i="25"/>
  <c r="CG64" i="25"/>
  <c r="BT64" i="25"/>
  <c r="S76" i="92"/>
  <c r="S74" i="9"/>
  <c r="D50" i="98" s="1"/>
  <c r="D49" i="31" s="1"/>
  <c r="P52" i="23"/>
  <c r="M78" i="92"/>
  <c r="M76" i="9"/>
  <c r="CG52" i="23"/>
  <c r="T52" i="23"/>
  <c r="BG52" i="23"/>
  <c r="G52" i="23"/>
  <c r="CP52" i="23"/>
  <c r="AC52" i="23"/>
  <c r="AP52" i="23"/>
  <c r="BC52" i="23"/>
  <c r="BT52" i="23"/>
  <c r="AA107" i="143"/>
  <c r="B66" i="16"/>
  <c r="M65" i="16"/>
  <c r="O65" i="16"/>
  <c r="N65" i="16"/>
  <c r="M84" i="132"/>
  <c r="K84" i="132" s="1"/>
  <c r="I53" i="23"/>
  <c r="AE53" i="23"/>
  <c r="AA53" i="23"/>
  <c r="E53" i="23"/>
  <c r="BI53" i="23"/>
  <c r="BR53" i="23"/>
  <c r="CN53" i="23"/>
  <c r="V53" i="23"/>
  <c r="R53" i="23"/>
  <c r="AN53" i="23"/>
  <c r="AI53" i="23"/>
  <c r="BN53" i="23"/>
  <c r="CE53" i="23"/>
  <c r="BV53" i="23"/>
  <c r="CI53" i="23"/>
  <c r="AR53" i="23"/>
  <c r="AV53" i="23"/>
  <c r="N53" i="23"/>
  <c r="CA53" i="23"/>
  <c r="BA53" i="23"/>
  <c r="BE53" i="23"/>
  <c r="R53" i="22"/>
  <c r="AH53" i="22"/>
  <c r="S53" i="22"/>
  <c r="AI53" i="22"/>
  <c r="AX53" i="22"/>
  <c r="AY53" i="22"/>
  <c r="Q53" i="23"/>
  <c r="AQ53" i="23"/>
  <c r="BQ53" i="23"/>
  <c r="D53" i="23"/>
  <c r="BD53" i="23"/>
  <c r="AD53" i="23"/>
  <c r="CD53" i="23"/>
  <c r="J52" i="23"/>
  <c r="W82" i="92"/>
  <c r="W80" i="9"/>
  <c r="CJ52" i="23"/>
  <c r="O106" i="143"/>
  <c r="AH104" i="143"/>
  <c r="AJ104" i="143"/>
  <c r="AI104" i="143"/>
  <c r="BW52" i="23"/>
  <c r="AW52" i="23"/>
  <c r="G69" i="9"/>
  <c r="G71" i="92"/>
  <c r="H53" i="23"/>
  <c r="BU53" i="23"/>
  <c r="CH53" i="23"/>
  <c r="U53" i="23"/>
  <c r="AU53" i="23"/>
  <c r="BH53" i="23"/>
  <c r="AH53" i="23"/>
  <c r="A65" i="115"/>
  <c r="B66" i="115"/>
  <c r="AE53" i="22"/>
  <c r="AG53" i="22"/>
  <c r="X53" i="22"/>
  <c r="AR53" i="22"/>
  <c r="AQ53" i="22"/>
  <c r="AA53" i="22"/>
  <c r="AU53" i="22"/>
  <c r="D53" i="22"/>
  <c r="AP53" i="22"/>
  <c r="G53" i="22"/>
  <c r="K53" i="22"/>
  <c r="F53" i="22"/>
  <c r="AC53" i="22"/>
  <c r="AW53" i="22"/>
  <c r="W53" i="22"/>
  <c r="AD53" i="22"/>
  <c r="I53" i="22"/>
  <c r="AF53" i="22"/>
  <c r="AV53" i="22"/>
  <c r="AJ53" i="22"/>
  <c r="N53" i="22"/>
  <c r="AB53" i="22"/>
  <c r="AN53" i="22"/>
  <c r="AO53" i="22"/>
  <c r="AT53" i="22"/>
  <c r="L53" i="22"/>
  <c r="E53" i="22"/>
  <c r="AS53" i="22"/>
  <c r="M53" i="22"/>
  <c r="U53" i="22"/>
  <c r="H53" i="22"/>
  <c r="P53" i="22"/>
  <c r="J53" i="22"/>
  <c r="T53" i="22"/>
  <c r="AK53" i="22"/>
  <c r="Z53" i="22"/>
  <c r="V53" i="22"/>
  <c r="O53" i="22"/>
  <c r="Y53" i="22"/>
  <c r="Q53" i="22"/>
  <c r="AM53" i="22"/>
  <c r="AL53" i="22"/>
  <c r="W52" i="23"/>
  <c r="AJ52" i="23"/>
  <c r="C65" i="96"/>
  <c r="B64" i="96"/>
  <c r="AZ53" i="23"/>
  <c r="AM53" i="23"/>
  <c r="Z53" i="23"/>
  <c r="BZ53" i="23"/>
  <c r="M53" i="23"/>
  <c r="BM53" i="23"/>
  <c r="CM53" i="23"/>
  <c r="BK53" i="23"/>
  <c r="X53" i="23"/>
  <c r="BL53" i="23"/>
  <c r="AL53" i="23"/>
  <c r="K53" i="23"/>
  <c r="AK53" i="23"/>
  <c r="Y53" i="23"/>
  <c r="CL53" i="23"/>
  <c r="CK53" i="23"/>
  <c r="BX53" i="23"/>
  <c r="AX53" i="23"/>
  <c r="L53" i="23"/>
  <c r="AY53" i="23"/>
  <c r="BY53" i="23"/>
  <c r="V80" i="9"/>
  <c r="V82" i="92"/>
  <c r="AB53" i="23"/>
  <c r="CF53" i="23"/>
  <c r="BS53" i="23"/>
  <c r="AS53" i="23"/>
  <c r="S53" i="23"/>
  <c r="BF53" i="23"/>
  <c r="O53" i="23"/>
  <c r="BO53" i="23"/>
  <c r="BB53" i="23"/>
  <c r="AF53" i="23"/>
  <c r="CO53" i="23"/>
  <c r="CB53" i="23"/>
  <c r="F53" i="23"/>
  <c r="AO53" i="23"/>
  <c r="BJ52" i="23"/>
  <c r="J107" i="143"/>
  <c r="AB106" i="143" s="1"/>
  <c r="N109" i="143"/>
  <c r="AF108" i="143" s="1"/>
  <c r="B91" i="143"/>
  <c r="S90" i="143" s="1"/>
  <c r="B90" i="145" s="1"/>
  <c r="B90" i="146" s="1"/>
  <c r="Q107" i="143"/>
  <c r="AK106" i="143" s="1"/>
  <c r="G107" i="143"/>
  <c r="W106" i="143" s="1"/>
  <c r="I114" i="143"/>
  <c r="X113" i="143" s="1"/>
  <c r="F114" i="143"/>
  <c r="V113" i="143" s="1"/>
  <c r="P69" i="9"/>
  <c r="D41" i="115" s="1"/>
  <c r="P71" i="92"/>
  <c r="B62" i="72"/>
  <c r="L61" i="72"/>
  <c r="M61" i="72"/>
  <c r="N61" i="72"/>
  <c r="Y61" i="72"/>
  <c r="AC62" i="21" s="1"/>
  <c r="AC62" i="37" s="1"/>
  <c r="O61" i="72"/>
  <c r="V112" i="143"/>
  <c r="H109" i="143"/>
  <c r="Y108" i="143" s="1"/>
  <c r="AA108" i="143"/>
  <c r="L109" i="143"/>
  <c r="AD108" i="143" s="1"/>
  <c r="D110" i="143"/>
  <c r="T109" i="143" s="1"/>
  <c r="M112" i="143"/>
  <c r="AE111" i="143" s="1"/>
  <c r="J73" i="92"/>
  <c r="J71" i="9"/>
  <c r="E109" i="143"/>
  <c r="U108" i="143" s="1"/>
  <c r="AG106" i="143"/>
  <c r="AB105" i="143"/>
  <c r="P108" i="143"/>
  <c r="AG107" i="143" s="1"/>
  <c r="B79" i="28"/>
  <c r="E78" i="28"/>
  <c r="D78" i="28"/>
  <c r="H78" i="28"/>
  <c r="F78" i="28"/>
  <c r="G78" i="28"/>
  <c r="J66" i="16" l="1"/>
  <c r="F66" i="16"/>
  <c r="D66" i="16"/>
  <c r="L66" i="16"/>
  <c r="I66" i="16"/>
  <c r="K66" i="16"/>
  <c r="E66" i="16"/>
  <c r="H66" i="16"/>
  <c r="G66" i="16"/>
  <c r="G96" i="90"/>
  <c r="Z108" i="143"/>
  <c r="V62" i="20"/>
  <c r="J63" i="20"/>
  <c r="Z63" i="20" s="1"/>
  <c r="F63" i="20"/>
  <c r="L63" i="20"/>
  <c r="AB63" i="20" s="1"/>
  <c r="P63" i="20"/>
  <c r="AF63" i="20" s="1"/>
  <c r="D63" i="20"/>
  <c r="T63" i="20" s="1"/>
  <c r="N63" i="20"/>
  <c r="AD63" i="20" s="1"/>
  <c r="O63" i="20"/>
  <c r="AE63" i="20" s="1"/>
  <c r="G63" i="20"/>
  <c r="M63" i="20"/>
  <c r="AC63" i="20" s="1"/>
  <c r="I63" i="20"/>
  <c r="Q63" i="20"/>
  <c r="AG63" i="20" s="1"/>
  <c r="H63" i="20"/>
  <c r="E63" i="20"/>
  <c r="U63" i="20" s="1"/>
  <c r="K63" i="20"/>
  <c r="AA63" i="20" s="1"/>
  <c r="B64" i="20"/>
  <c r="C65" i="20"/>
  <c r="S64" i="20"/>
  <c r="AC106" i="143"/>
  <c r="K108" i="143"/>
  <c r="S77" i="92"/>
  <c r="S75" i="9"/>
  <c r="D51" i="98" s="1"/>
  <c r="D50" i="31" s="1"/>
  <c r="M79" i="92"/>
  <c r="M77" i="9"/>
  <c r="P53" i="23"/>
  <c r="V81" i="9"/>
  <c r="V83" i="92"/>
  <c r="C66" i="96"/>
  <c r="B65" i="96"/>
  <c r="G72" i="92"/>
  <c r="G70" i="9"/>
  <c r="W53" i="23"/>
  <c r="L54" i="22"/>
  <c r="W54" i="22"/>
  <c r="AG54" i="22"/>
  <c r="M54" i="22"/>
  <c r="N54" i="22"/>
  <c r="AQ54" i="22"/>
  <c r="Z54" i="22"/>
  <c r="V54" i="22"/>
  <c r="AL54" i="22"/>
  <c r="E54" i="22"/>
  <c r="J54" i="22"/>
  <c r="AA54" i="22"/>
  <c r="H54" i="22"/>
  <c r="AS54" i="22"/>
  <c r="G54" i="22"/>
  <c r="AW54" i="22"/>
  <c r="AT54" i="22"/>
  <c r="AE54" i="22"/>
  <c r="T54" i="22"/>
  <c r="AK54" i="22"/>
  <c r="AP54" i="22"/>
  <c r="AO54" i="22"/>
  <c r="P54" i="22"/>
  <c r="AJ54" i="22"/>
  <c r="K54" i="22"/>
  <c r="AC54" i="22"/>
  <c r="AD54" i="22"/>
  <c r="O54" i="22"/>
  <c r="AR54" i="22"/>
  <c r="X54" i="22"/>
  <c r="F54" i="22"/>
  <c r="AF54" i="22"/>
  <c r="Y54" i="22"/>
  <c r="D54" i="22"/>
  <c r="AB54" i="22"/>
  <c r="AV54" i="22"/>
  <c r="AN54" i="22"/>
  <c r="U54" i="22"/>
  <c r="AU54" i="22"/>
  <c r="I54" i="22"/>
  <c r="AM54" i="22"/>
  <c r="Q54" i="22"/>
  <c r="BP53" i="23"/>
  <c r="O107" i="143"/>
  <c r="AI105" i="143"/>
  <c r="AH105" i="143"/>
  <c r="G53" i="23"/>
  <c r="CJ53" i="23"/>
  <c r="CP53" i="23"/>
  <c r="M85" i="132"/>
  <c r="K85" i="132" s="1"/>
  <c r="Q54" i="23"/>
  <c r="AD54" i="23"/>
  <c r="AQ54" i="23"/>
  <c r="CD54" i="23"/>
  <c r="BQ54" i="23"/>
  <c r="D54" i="23"/>
  <c r="BD54" i="23"/>
  <c r="BT53" i="23"/>
  <c r="BW53" i="23"/>
  <c r="CC53" i="23"/>
  <c r="AU54" i="23"/>
  <c r="H54" i="23"/>
  <c r="BH54" i="23"/>
  <c r="AH54" i="23"/>
  <c r="BU54" i="23"/>
  <c r="U54" i="23"/>
  <c r="CH54" i="23"/>
  <c r="AX54" i="22"/>
  <c r="AI54" i="22"/>
  <c r="AH54" i="22"/>
  <c r="S54" i="22"/>
  <c r="AY54" i="22"/>
  <c r="R54" i="22"/>
  <c r="AT53" i="23"/>
  <c r="BG53" i="23"/>
  <c r="CG53" i="23"/>
  <c r="BJ53" i="23"/>
  <c r="BL54" i="23"/>
  <c r="K54" i="23"/>
  <c r="CK54" i="23"/>
  <c r="AL54" i="23"/>
  <c r="AX54" i="23"/>
  <c r="BX54" i="23"/>
  <c r="CL54" i="23"/>
  <c r="X54" i="23"/>
  <c r="BY54" i="23"/>
  <c r="Y54" i="23"/>
  <c r="AY54" i="23"/>
  <c r="L54" i="23"/>
  <c r="AK54" i="23"/>
  <c r="BK54" i="23"/>
  <c r="W81" i="9"/>
  <c r="W83" i="92"/>
  <c r="AP53" i="23"/>
  <c r="Z54" i="23"/>
  <c r="CM54" i="23"/>
  <c r="AM54" i="23"/>
  <c r="BZ54" i="23"/>
  <c r="M54" i="23"/>
  <c r="AZ54" i="23"/>
  <c r="BM54" i="23"/>
  <c r="S54" i="23"/>
  <c r="F54" i="23"/>
  <c r="BB54" i="23"/>
  <c r="BO54" i="23"/>
  <c r="AB54" i="23"/>
  <c r="CF54" i="23"/>
  <c r="CB54" i="23"/>
  <c r="BF54" i="23"/>
  <c r="AO54" i="23"/>
  <c r="O54" i="23"/>
  <c r="AS54" i="23"/>
  <c r="CO54" i="23"/>
  <c r="BS54" i="23"/>
  <c r="AF54" i="23"/>
  <c r="AJ53" i="23"/>
  <c r="AC53" i="23"/>
  <c r="BC53" i="23"/>
  <c r="AR54" i="23"/>
  <c r="AN54" i="23"/>
  <c r="AV54" i="23"/>
  <c r="BN54" i="23"/>
  <c r="BI54" i="23"/>
  <c r="AE54" i="23"/>
  <c r="V54" i="23"/>
  <c r="BV54" i="23"/>
  <c r="CI54" i="23"/>
  <c r="R54" i="23"/>
  <c r="AI54" i="23"/>
  <c r="BE54" i="23"/>
  <c r="CE54" i="23"/>
  <c r="CN54" i="23"/>
  <c r="E54" i="23"/>
  <c r="BA54" i="23"/>
  <c r="N54" i="23"/>
  <c r="AA54" i="23"/>
  <c r="I54" i="23"/>
  <c r="BR54" i="23"/>
  <c r="CA54" i="23"/>
  <c r="B67" i="16"/>
  <c r="O66" i="16"/>
  <c r="M66" i="16"/>
  <c r="N66" i="16"/>
  <c r="A66" i="115"/>
  <c r="B67" i="115"/>
  <c r="AJ105" i="143"/>
  <c r="AG53" i="23"/>
  <c r="AW53" i="23"/>
  <c r="T53" i="23"/>
  <c r="J53" i="23"/>
  <c r="L110" i="143"/>
  <c r="B63" i="72"/>
  <c r="O62" i="72"/>
  <c r="N62" i="72"/>
  <c r="L62" i="72"/>
  <c r="Y62" i="72"/>
  <c r="M62" i="72"/>
  <c r="M63" i="21" s="1"/>
  <c r="M63" i="37" s="1"/>
  <c r="F115" i="143"/>
  <c r="V114" i="143" s="1"/>
  <c r="G108" i="143"/>
  <c r="B92" i="143"/>
  <c r="S91" i="143" s="1"/>
  <c r="B91" i="145" s="1"/>
  <c r="B91" i="146" s="1"/>
  <c r="D79" i="28"/>
  <c r="H79" i="28"/>
  <c r="B80" i="28"/>
  <c r="E79" i="28"/>
  <c r="G79" i="28"/>
  <c r="F79" i="28"/>
  <c r="J74" i="92"/>
  <c r="J72" i="9"/>
  <c r="I115" i="143"/>
  <c r="X114" i="143" s="1"/>
  <c r="M113" i="143"/>
  <c r="AE112" i="143" s="1"/>
  <c r="H110" i="143"/>
  <c r="Z109" i="143" s="1"/>
  <c r="N110" i="143"/>
  <c r="J108" i="143"/>
  <c r="AB107" i="143" s="1"/>
  <c r="P109" i="143"/>
  <c r="P70" i="9"/>
  <c r="D42" i="115" s="1"/>
  <c r="P72" i="92"/>
  <c r="Q108" i="143"/>
  <c r="AK107" i="143" s="1"/>
  <c r="E110" i="143"/>
  <c r="U109" i="143" s="1"/>
  <c r="D111" i="143"/>
  <c r="I67" i="16" l="1"/>
  <c r="J67" i="16"/>
  <c r="F67" i="16"/>
  <c r="E67" i="16"/>
  <c r="L67" i="16"/>
  <c r="D67" i="16"/>
  <c r="K67" i="16"/>
  <c r="H67" i="16"/>
  <c r="G67" i="16"/>
  <c r="G97" i="90"/>
  <c r="V63" i="20"/>
  <c r="C66" i="20"/>
  <c r="S65" i="20"/>
  <c r="B65" i="20"/>
  <c r="O64" i="20"/>
  <c r="AE64" i="20" s="1"/>
  <c r="G64" i="20"/>
  <c r="H64" i="20"/>
  <c r="K64" i="20"/>
  <c r="AA64" i="20" s="1"/>
  <c r="P64" i="20"/>
  <c r="AF64" i="20" s="1"/>
  <c r="I64" i="20"/>
  <c r="F64" i="20"/>
  <c r="M64" i="20"/>
  <c r="AC64" i="20" s="1"/>
  <c r="J64" i="20"/>
  <c r="Z64" i="20" s="1"/>
  <c r="N64" i="20"/>
  <c r="AD64" i="20" s="1"/>
  <c r="D64" i="20"/>
  <c r="T64" i="20" s="1"/>
  <c r="L64" i="20"/>
  <c r="AB64" i="20" s="1"/>
  <c r="E64" i="20"/>
  <c r="U64" i="20" s="1"/>
  <c r="Q64" i="20"/>
  <c r="AG64" i="20" s="1"/>
  <c r="K109" i="143"/>
  <c r="AC107" i="143"/>
  <c r="AW54" i="23"/>
  <c r="AJ54" i="23"/>
  <c r="CJ54" i="23"/>
  <c r="W54" i="23"/>
  <c r="BW54" i="23"/>
  <c r="S76" i="9"/>
  <c r="D52" i="98" s="1"/>
  <c r="D51" i="31" s="1"/>
  <c r="S78" i="92"/>
  <c r="M80" i="92"/>
  <c r="M78" i="9"/>
  <c r="BJ54" i="23"/>
  <c r="J54" i="23"/>
  <c r="CP54" i="23"/>
  <c r="BO55" i="23"/>
  <c r="BF55" i="23"/>
  <c r="CB55" i="23"/>
  <c r="AS55" i="23"/>
  <c r="AO55" i="23"/>
  <c r="S55" i="23"/>
  <c r="BB55" i="23"/>
  <c r="AF55" i="23"/>
  <c r="AB55" i="23"/>
  <c r="BS55" i="23"/>
  <c r="O55" i="23"/>
  <c r="CF55" i="23"/>
  <c r="CO55" i="23"/>
  <c r="F55" i="23"/>
  <c r="G54" i="23"/>
  <c r="K55" i="23"/>
  <c r="AX55" i="23"/>
  <c r="AK55" i="23"/>
  <c r="AL55" i="23"/>
  <c r="CL55" i="23"/>
  <c r="Y55" i="23"/>
  <c r="BY55" i="23"/>
  <c r="CK55" i="23"/>
  <c r="BX55" i="23"/>
  <c r="AY55" i="23"/>
  <c r="BL55" i="23"/>
  <c r="L55" i="23"/>
  <c r="BK55" i="23"/>
  <c r="X55" i="23"/>
  <c r="BU55" i="23"/>
  <c r="AU55" i="23"/>
  <c r="H55" i="23"/>
  <c r="BH55" i="23"/>
  <c r="CH55" i="23"/>
  <c r="U55" i="23"/>
  <c r="AH55" i="23"/>
  <c r="AC54" i="23"/>
  <c r="BT54" i="23"/>
  <c r="M67" i="16"/>
  <c r="N67" i="16"/>
  <c r="O67" i="16"/>
  <c r="B68" i="16"/>
  <c r="CG54" i="23"/>
  <c r="BP54" i="23"/>
  <c r="W84" i="92"/>
  <c r="W82" i="9"/>
  <c r="AT54" i="23"/>
  <c r="BZ55" i="23"/>
  <c r="AM55" i="23"/>
  <c r="BM55" i="23"/>
  <c r="M55" i="23"/>
  <c r="CM55" i="23"/>
  <c r="Z55" i="23"/>
  <c r="AZ55" i="23"/>
  <c r="G73" i="92"/>
  <c r="G71" i="9"/>
  <c r="B68" i="115"/>
  <c r="A67" i="115"/>
  <c r="BC54" i="23"/>
  <c r="AI55" i="22"/>
  <c r="AY55" i="22"/>
  <c r="R55" i="22"/>
  <c r="S55" i="22"/>
  <c r="AH55" i="22"/>
  <c r="AX55" i="22"/>
  <c r="BN55" i="23"/>
  <c r="E55" i="23"/>
  <c r="AI55" i="23"/>
  <c r="N55" i="23"/>
  <c r="BE55" i="23"/>
  <c r="I55" i="23"/>
  <c r="V55" i="23"/>
  <c r="CE55" i="23"/>
  <c r="BI55" i="23"/>
  <c r="CI55" i="23"/>
  <c r="R55" i="23"/>
  <c r="AA55" i="23"/>
  <c r="BV55" i="23"/>
  <c r="AR55" i="23"/>
  <c r="CN55" i="23"/>
  <c r="AN55" i="23"/>
  <c r="AV55" i="23"/>
  <c r="CA55" i="23"/>
  <c r="BA55" i="23"/>
  <c r="AE55" i="23"/>
  <c r="AG54" i="23"/>
  <c r="P54" i="23"/>
  <c r="T54" i="23"/>
  <c r="O108" i="143"/>
  <c r="AI107" i="143" s="1"/>
  <c r="AI106" i="143"/>
  <c r="AH106" i="143"/>
  <c r="AJ106" i="143"/>
  <c r="D55" i="23"/>
  <c r="Q55" i="23"/>
  <c r="BQ55" i="23"/>
  <c r="BD55" i="23"/>
  <c r="AD55" i="23"/>
  <c r="AQ55" i="23"/>
  <c r="CD55" i="23"/>
  <c r="C67" i="96"/>
  <c r="B66" i="96"/>
  <c r="CC54" i="23"/>
  <c r="M86" i="132"/>
  <c r="K86" i="132" s="1"/>
  <c r="V82" i="9"/>
  <c r="V84" i="92"/>
  <c r="AP54" i="23"/>
  <c r="BG54" i="23"/>
  <c r="W55" i="22"/>
  <c r="AL55" i="22"/>
  <c r="D55" i="22"/>
  <c r="V55" i="22"/>
  <c r="AC55" i="22"/>
  <c r="P55" i="22"/>
  <c r="AR55" i="22"/>
  <c r="AQ55" i="22"/>
  <c r="AO55" i="22"/>
  <c r="L55" i="22"/>
  <c r="T55" i="22"/>
  <c r="AE55" i="22"/>
  <c r="J55" i="22"/>
  <c r="AV55" i="22"/>
  <c r="E55" i="22"/>
  <c r="AG55" i="22"/>
  <c r="AJ55" i="22"/>
  <c r="AW55" i="22"/>
  <c r="AM55" i="22"/>
  <c r="Y55" i="22"/>
  <c r="N55" i="22"/>
  <c r="K55" i="22"/>
  <c r="AA55" i="22"/>
  <c r="AS55" i="22"/>
  <c r="AP55" i="22"/>
  <c r="U55" i="22"/>
  <c r="H55" i="22"/>
  <c r="G55" i="22"/>
  <c r="Q55" i="22"/>
  <c r="AU55" i="22"/>
  <c r="F55" i="22"/>
  <c r="AB55" i="22"/>
  <c r="AN55" i="22"/>
  <c r="AT55" i="22"/>
  <c r="Z55" i="22"/>
  <c r="O55" i="22"/>
  <c r="AK55" i="22"/>
  <c r="AF55" i="22"/>
  <c r="I55" i="22"/>
  <c r="M55" i="22"/>
  <c r="X55" i="22"/>
  <c r="AD55" i="22"/>
  <c r="F116" i="143"/>
  <c r="V115" i="143" s="1"/>
  <c r="D112" i="143"/>
  <c r="P110" i="143"/>
  <c r="AG109" i="143" s="1"/>
  <c r="E111" i="143"/>
  <c r="U110" i="143" s="1"/>
  <c r="M114" i="143"/>
  <c r="AE113" i="143" s="1"/>
  <c r="E80" i="28"/>
  <c r="G80" i="28"/>
  <c r="B81" i="28"/>
  <c r="H80" i="28"/>
  <c r="F80" i="28"/>
  <c r="D80" i="28"/>
  <c r="P71" i="9"/>
  <c r="D43" i="115" s="1"/>
  <c r="P73" i="92"/>
  <c r="B64" i="72"/>
  <c r="N63" i="72"/>
  <c r="O63" i="72"/>
  <c r="L63" i="72"/>
  <c r="M63" i="72"/>
  <c r="Y63" i="72"/>
  <c r="N111" i="143"/>
  <c r="AF110" i="143" s="1"/>
  <c r="AA109" i="143"/>
  <c r="I116" i="143"/>
  <c r="L111" i="143"/>
  <c r="AF109" i="143"/>
  <c r="J75" i="92"/>
  <c r="J73" i="9"/>
  <c r="B93" i="143"/>
  <c r="S92" i="143" s="1"/>
  <c r="B92" i="145" s="1"/>
  <c r="B92" i="146" s="1"/>
  <c r="G109" i="143"/>
  <c r="W108" i="143" s="1"/>
  <c r="AD109" i="143"/>
  <c r="H111" i="143"/>
  <c r="Y110" i="143" s="1"/>
  <c r="T110" i="143"/>
  <c r="Q109" i="143"/>
  <c r="AK108" i="143" s="1"/>
  <c r="AG108" i="143"/>
  <c r="J109" i="143"/>
  <c r="AB108" i="143" s="1"/>
  <c r="Y109" i="143"/>
  <c r="W107" i="143"/>
  <c r="Z110" i="143" l="1"/>
  <c r="K68" i="16"/>
  <c r="I68" i="16"/>
  <c r="L68" i="16"/>
  <c r="J68" i="16"/>
  <c r="E68" i="16"/>
  <c r="F68" i="16"/>
  <c r="D68" i="16"/>
  <c r="H68" i="16"/>
  <c r="G68" i="16"/>
  <c r="J55" i="23"/>
  <c r="G98" i="90"/>
  <c r="V64" i="20"/>
  <c r="J65" i="20"/>
  <c r="Z65" i="20" s="1"/>
  <c r="O65" i="20"/>
  <c r="AE65" i="20" s="1"/>
  <c r="Q65" i="20"/>
  <c r="AG65" i="20" s="1"/>
  <c r="F65" i="20"/>
  <c r="E65" i="20"/>
  <c r="U65" i="20" s="1"/>
  <c r="P65" i="20"/>
  <c r="AF65" i="20" s="1"/>
  <c r="L65" i="20"/>
  <c r="AB65" i="20" s="1"/>
  <c r="G65" i="20"/>
  <c r="N65" i="20"/>
  <c r="AD65" i="20" s="1"/>
  <c r="I65" i="20"/>
  <c r="D65" i="20"/>
  <c r="T65" i="20" s="1"/>
  <c r="H65" i="20"/>
  <c r="M65" i="20"/>
  <c r="AC65" i="20" s="1"/>
  <c r="K65" i="20"/>
  <c r="AA65" i="20" s="1"/>
  <c r="S66" i="20"/>
  <c r="B66" i="20"/>
  <c r="C67" i="20"/>
  <c r="AC108" i="143"/>
  <c r="K110" i="143"/>
  <c r="AJ55" i="23"/>
  <c r="AW55" i="23"/>
  <c r="CG55" i="23"/>
  <c r="AA110" i="143"/>
  <c r="T55" i="23"/>
  <c r="BW55" i="23"/>
  <c r="G55" i="23"/>
  <c r="S79" i="92"/>
  <c r="S77" i="9"/>
  <c r="D53" i="98" s="1"/>
  <c r="D52" i="31" s="1"/>
  <c r="M81" i="92"/>
  <c r="M79" i="9"/>
  <c r="W55" i="23"/>
  <c r="CJ55" i="23"/>
  <c r="BJ55" i="23"/>
  <c r="AT55" i="23"/>
  <c r="P55" i="23"/>
  <c r="AG55" i="23"/>
  <c r="BG55" i="23"/>
  <c r="CP55" i="23"/>
  <c r="V85" i="92"/>
  <c r="V83" i="9"/>
  <c r="BQ56" i="23"/>
  <c r="AQ56" i="23"/>
  <c r="CD56" i="23"/>
  <c r="BD56" i="23"/>
  <c r="D56" i="23"/>
  <c r="Q56" i="23"/>
  <c r="AD56" i="23"/>
  <c r="E56" i="22"/>
  <c r="U56" i="22"/>
  <c r="N56" i="22"/>
  <c r="K56" i="22"/>
  <c r="D56" i="22"/>
  <c r="G56" i="22"/>
  <c r="AV56" i="22"/>
  <c r="O56" i="22"/>
  <c r="AP56" i="22"/>
  <c r="V56" i="22"/>
  <c r="L56" i="22"/>
  <c r="AK56" i="22"/>
  <c r="AC56" i="22"/>
  <c r="AQ56" i="22"/>
  <c r="AA56" i="22"/>
  <c r="Q56" i="22"/>
  <c r="Z56" i="22"/>
  <c r="AM56" i="22"/>
  <c r="AT56" i="22"/>
  <c r="AO56" i="22"/>
  <c r="AN56" i="22"/>
  <c r="AD56" i="22"/>
  <c r="AL56" i="22"/>
  <c r="Y56" i="22"/>
  <c r="T56" i="22"/>
  <c r="AG56" i="22"/>
  <c r="AR56" i="22"/>
  <c r="I56" i="22"/>
  <c r="AJ56" i="22"/>
  <c r="AB56" i="22"/>
  <c r="AF56" i="22"/>
  <c r="AE56" i="22"/>
  <c r="M56" i="22"/>
  <c r="F56" i="22"/>
  <c r="AW56" i="22"/>
  <c r="W56" i="22"/>
  <c r="H56" i="22"/>
  <c r="AS56" i="22"/>
  <c r="P56" i="22"/>
  <c r="X56" i="22"/>
  <c r="J56" i="22"/>
  <c r="AU56" i="22"/>
  <c r="BP55" i="23"/>
  <c r="B69" i="16"/>
  <c r="M68" i="16"/>
  <c r="O68" i="16"/>
  <c r="N68" i="16"/>
  <c r="M87" i="132"/>
  <c r="K87" i="132" s="1"/>
  <c r="O109" i="143"/>
  <c r="AH107" i="143"/>
  <c r="AJ107" i="143"/>
  <c r="CE56" i="23"/>
  <c r="E56" i="23"/>
  <c r="CN56" i="23"/>
  <c r="BR56" i="23"/>
  <c r="BV56" i="23"/>
  <c r="AI56" i="23"/>
  <c r="AE56" i="23"/>
  <c r="AA56" i="23"/>
  <c r="I56" i="23"/>
  <c r="BI56" i="23"/>
  <c r="CI56" i="23"/>
  <c r="BA56" i="23"/>
  <c r="BN56" i="23"/>
  <c r="CA56" i="23"/>
  <c r="AN56" i="23"/>
  <c r="AV56" i="23"/>
  <c r="R56" i="23"/>
  <c r="N56" i="23"/>
  <c r="BE56" i="23"/>
  <c r="AR56" i="23"/>
  <c r="V56" i="23"/>
  <c r="A68" i="115"/>
  <c r="B69" i="115"/>
  <c r="AP55" i="23"/>
  <c r="AY56" i="23"/>
  <c r="L56" i="23"/>
  <c r="X56" i="23"/>
  <c r="AL56" i="23"/>
  <c r="CL56" i="23"/>
  <c r="CK56" i="23"/>
  <c r="AX56" i="23"/>
  <c r="Y56" i="23"/>
  <c r="BL56" i="23"/>
  <c r="AK56" i="23"/>
  <c r="BK56" i="23"/>
  <c r="BX56" i="23"/>
  <c r="K56" i="23"/>
  <c r="BY56" i="23"/>
  <c r="CC55" i="23"/>
  <c r="AU56" i="23"/>
  <c r="BU56" i="23"/>
  <c r="AH56" i="23"/>
  <c r="CH56" i="23"/>
  <c r="U56" i="23"/>
  <c r="BH56" i="23"/>
  <c r="H56" i="23"/>
  <c r="G72" i="9"/>
  <c r="G74" i="92"/>
  <c r="Z56" i="23"/>
  <c r="AZ56" i="23"/>
  <c r="BM56" i="23"/>
  <c r="M56" i="23"/>
  <c r="AM56" i="23"/>
  <c r="CM56" i="23"/>
  <c r="BZ56" i="23"/>
  <c r="BC55" i="23"/>
  <c r="S56" i="22"/>
  <c r="AH56" i="22"/>
  <c r="AY56" i="22"/>
  <c r="AI56" i="22"/>
  <c r="AX56" i="22"/>
  <c r="R56" i="22"/>
  <c r="B67" i="96"/>
  <c r="C68" i="96"/>
  <c r="CO56" i="23"/>
  <c r="BB56" i="23"/>
  <c r="BS56" i="23"/>
  <c r="AO56" i="23"/>
  <c r="O56" i="23"/>
  <c r="S56" i="23"/>
  <c r="CB56" i="23"/>
  <c r="CF56" i="23"/>
  <c r="AF56" i="23"/>
  <c r="BO56" i="23"/>
  <c r="AS56" i="23"/>
  <c r="F56" i="23"/>
  <c r="AB56" i="23"/>
  <c r="BF56" i="23"/>
  <c r="AC55" i="23"/>
  <c r="W83" i="9"/>
  <c r="W85" i="92"/>
  <c r="Q110" i="143"/>
  <c r="L112" i="143"/>
  <c r="E81" i="28"/>
  <c r="G81" i="28"/>
  <c r="B82" i="28"/>
  <c r="D81" i="28"/>
  <c r="H81" i="28"/>
  <c r="F81" i="28"/>
  <c r="D113" i="143"/>
  <c r="T112" i="143" s="1"/>
  <c r="F117" i="143"/>
  <c r="V116" i="143" s="1"/>
  <c r="AD110" i="143"/>
  <c r="B65" i="72"/>
  <c r="N64" i="72"/>
  <c r="O64" i="72"/>
  <c r="L64" i="72"/>
  <c r="Y64" i="72"/>
  <c r="AC65" i="21" s="1"/>
  <c r="AC65" i="37" s="1"/>
  <c r="M64" i="72"/>
  <c r="E112" i="143"/>
  <c r="T111" i="143"/>
  <c r="J76" i="92"/>
  <c r="J74" i="9"/>
  <c r="I117" i="143"/>
  <c r="X116" i="143" s="1"/>
  <c r="G110" i="143"/>
  <c r="N112" i="143"/>
  <c r="AF111" i="143" s="1"/>
  <c r="M115" i="143"/>
  <c r="AE114" i="143" s="1"/>
  <c r="J110" i="143"/>
  <c r="AB109" i="143" s="1"/>
  <c r="B94" i="143"/>
  <c r="S93" i="143" s="1"/>
  <c r="B93" i="145" s="1"/>
  <c r="B93" i="146" s="1"/>
  <c r="P74" i="92"/>
  <c r="P72" i="9"/>
  <c r="D44" i="115" s="1"/>
  <c r="H112" i="143"/>
  <c r="Z111" i="143" s="1"/>
  <c r="X115" i="143"/>
  <c r="P111" i="143"/>
  <c r="AG110" i="143" s="1"/>
  <c r="K69" i="16" l="1"/>
  <c r="L69" i="16"/>
  <c r="F69" i="16"/>
  <c r="D69" i="16"/>
  <c r="J69" i="16"/>
  <c r="I69" i="16"/>
  <c r="E69" i="16"/>
  <c r="H69" i="16"/>
  <c r="G69" i="16"/>
  <c r="G99" i="90"/>
  <c r="V65" i="20"/>
  <c r="J66" i="20"/>
  <c r="Z66" i="20" s="1"/>
  <c r="L66" i="20"/>
  <c r="AB66" i="20" s="1"/>
  <c r="G66" i="20"/>
  <c r="K66" i="20"/>
  <c r="AA66" i="20" s="1"/>
  <c r="D66" i="20"/>
  <c r="T66" i="20" s="1"/>
  <c r="O66" i="20"/>
  <c r="AE66" i="20" s="1"/>
  <c r="Q66" i="20"/>
  <c r="AG66" i="20" s="1"/>
  <c r="I66" i="20"/>
  <c r="N66" i="20"/>
  <c r="AD66" i="20" s="1"/>
  <c r="E66" i="20"/>
  <c r="U66" i="20" s="1"/>
  <c r="H66" i="20"/>
  <c r="P66" i="20"/>
  <c r="AF66" i="20" s="1"/>
  <c r="M66" i="20"/>
  <c r="AC66" i="20" s="1"/>
  <c r="F66" i="20"/>
  <c r="B67" i="20"/>
  <c r="S67" i="20"/>
  <c r="C68" i="20"/>
  <c r="K111" i="143"/>
  <c r="AC109" i="143"/>
  <c r="S80" i="92"/>
  <c r="S78" i="9"/>
  <c r="D54" i="98" s="1"/>
  <c r="D53" i="31" s="1"/>
  <c r="M82" i="92"/>
  <c r="M80" i="9"/>
  <c r="AP56" i="23"/>
  <c r="W56" i="23"/>
  <c r="W84" i="9"/>
  <c r="W86" i="92"/>
  <c r="AC56" i="23"/>
  <c r="J56" i="23"/>
  <c r="G56" i="23"/>
  <c r="AY57" i="22"/>
  <c r="S57" i="22"/>
  <c r="R57" i="22"/>
  <c r="AI57" i="22"/>
  <c r="AX57" i="22"/>
  <c r="AH57" i="22"/>
  <c r="B68" i="96"/>
  <c r="C69" i="96"/>
  <c r="G75" i="92"/>
  <c r="G73" i="9"/>
  <c r="AW56" i="23"/>
  <c r="BG56" i="23"/>
  <c r="CC56" i="23"/>
  <c r="B70" i="115"/>
  <c r="A69" i="115"/>
  <c r="M57" i="23"/>
  <c r="Z57" i="23"/>
  <c r="CM57" i="23"/>
  <c r="AZ57" i="23"/>
  <c r="AM57" i="23"/>
  <c r="BZ57" i="23"/>
  <c r="BM57" i="23"/>
  <c r="D57" i="23"/>
  <c r="BQ57" i="23"/>
  <c r="Q57" i="23"/>
  <c r="BD57" i="23"/>
  <c r="AD57" i="23"/>
  <c r="AQ57" i="23"/>
  <c r="CD57" i="23"/>
  <c r="CG56" i="23"/>
  <c r="CP56" i="23"/>
  <c r="AJ56" i="23"/>
  <c r="O110" i="143"/>
  <c r="AI109" i="143" s="1"/>
  <c r="AI108" i="143"/>
  <c r="AH108" i="143"/>
  <c r="AJ108" i="143"/>
  <c r="AT56" i="23"/>
  <c r="AI57" i="23"/>
  <c r="E57" i="23"/>
  <c r="V57" i="23"/>
  <c r="CE57" i="23"/>
  <c r="CA57" i="23"/>
  <c r="BE57" i="23"/>
  <c r="BI57" i="23"/>
  <c r="CI57" i="23"/>
  <c r="CN57" i="23"/>
  <c r="AN57" i="23"/>
  <c r="AV57" i="23"/>
  <c r="N57" i="23"/>
  <c r="BR57" i="23"/>
  <c r="AR57" i="23"/>
  <c r="BV57" i="23"/>
  <c r="R57" i="23"/>
  <c r="AE57" i="23"/>
  <c r="AA57" i="23"/>
  <c r="BN57" i="23"/>
  <c r="I57" i="23"/>
  <c r="BA57" i="23"/>
  <c r="BW56" i="23"/>
  <c r="M69" i="16"/>
  <c r="N69" i="16"/>
  <c r="O69" i="16"/>
  <c r="B70" i="16"/>
  <c r="Y57" i="23"/>
  <c r="BL57" i="23"/>
  <c r="CK57" i="23"/>
  <c r="CL57" i="23"/>
  <c r="AX57" i="23"/>
  <c r="L57" i="23"/>
  <c r="AK57" i="23"/>
  <c r="BK57" i="23"/>
  <c r="AL57" i="23"/>
  <c r="AY57" i="23"/>
  <c r="K57" i="23"/>
  <c r="BX57" i="23"/>
  <c r="X57" i="23"/>
  <c r="BY57" i="23"/>
  <c r="BT56" i="23"/>
  <c r="P56" i="23"/>
  <c r="M88" i="132"/>
  <c r="K88" i="132" s="1"/>
  <c r="J57" i="22"/>
  <c r="Y57" i="22"/>
  <c r="D57" i="22"/>
  <c r="AW57" i="22"/>
  <c r="AL57" i="22"/>
  <c r="O57" i="22"/>
  <c r="AN57" i="22"/>
  <c r="F57" i="22"/>
  <c r="Z57" i="22"/>
  <c r="M57" i="22"/>
  <c r="AP57" i="22"/>
  <c r="AC57" i="22"/>
  <c r="X57" i="22"/>
  <c r="Q57" i="22"/>
  <c r="U57" i="22"/>
  <c r="T57" i="22"/>
  <c r="AQ57" i="22"/>
  <c r="H57" i="22"/>
  <c r="AE57" i="22"/>
  <c r="AM57" i="22"/>
  <c r="AG57" i="22"/>
  <c r="P57" i="22"/>
  <c r="I57" i="22"/>
  <c r="AF57" i="22"/>
  <c r="L57" i="22"/>
  <c r="AV57" i="22"/>
  <c r="AR57" i="22"/>
  <c r="AO57" i="22"/>
  <c r="AA57" i="22"/>
  <c r="K57" i="22"/>
  <c r="N57" i="22"/>
  <c r="AD57" i="22"/>
  <c r="G57" i="22"/>
  <c r="E57" i="22"/>
  <c r="W57" i="22"/>
  <c r="AT57" i="22"/>
  <c r="V57" i="22"/>
  <c r="AK57" i="22"/>
  <c r="AU57" i="22"/>
  <c r="AS57" i="22"/>
  <c r="AB57" i="22"/>
  <c r="AJ57" i="22"/>
  <c r="BB57" i="23"/>
  <c r="AS57" i="23"/>
  <c r="AB57" i="23"/>
  <c r="CB57" i="23"/>
  <c r="AF57" i="23"/>
  <c r="O57" i="23"/>
  <c r="F57" i="23"/>
  <c r="AO57" i="23"/>
  <c r="S57" i="23"/>
  <c r="BS57" i="23"/>
  <c r="BO57" i="23"/>
  <c r="BF57" i="23"/>
  <c r="CO57" i="23"/>
  <c r="CF57" i="23"/>
  <c r="BP56" i="23"/>
  <c r="CJ56" i="23"/>
  <c r="AG56" i="23"/>
  <c r="V86" i="92"/>
  <c r="V84" i="9"/>
  <c r="BC56" i="23"/>
  <c r="BJ56" i="23"/>
  <c r="U57" i="23"/>
  <c r="BU57" i="23"/>
  <c r="CH57" i="23"/>
  <c r="AH57" i="23"/>
  <c r="BH57" i="23"/>
  <c r="H57" i="23"/>
  <c r="AU57" i="23"/>
  <c r="T56" i="23"/>
  <c r="Q111" i="143"/>
  <c r="AK110" i="143" s="1"/>
  <c r="M116" i="143"/>
  <c r="J77" i="92"/>
  <c r="J75" i="9"/>
  <c r="E113" i="143"/>
  <c r="D114" i="143"/>
  <c r="T113" i="143" s="1"/>
  <c r="G82" i="28"/>
  <c r="B83" i="28"/>
  <c r="D82" i="28"/>
  <c r="H82" i="28"/>
  <c r="F82" i="28"/>
  <c r="E82" i="28"/>
  <c r="H113" i="143"/>
  <c r="B95" i="143"/>
  <c r="S94" i="143" s="1"/>
  <c r="B94" i="145" s="1"/>
  <c r="B94" i="146" s="1"/>
  <c r="U111" i="143"/>
  <c r="L113" i="143"/>
  <c r="AD112" i="143" s="1"/>
  <c r="AD111" i="143"/>
  <c r="J111" i="143"/>
  <c r="AB110" i="143" s="1"/>
  <c r="N113" i="143"/>
  <c r="AA111" i="143"/>
  <c r="G111" i="143"/>
  <c r="W110" i="143" s="1"/>
  <c r="P75" i="92"/>
  <c r="P73" i="9"/>
  <c r="D45" i="115" s="1"/>
  <c r="P112" i="143"/>
  <c r="Y111" i="143"/>
  <c r="W109" i="143"/>
  <c r="B66" i="72"/>
  <c r="O65" i="72"/>
  <c r="N65" i="72"/>
  <c r="L65" i="72"/>
  <c r="Y65" i="72"/>
  <c r="M65" i="72"/>
  <c r="M66" i="21" s="1"/>
  <c r="M66" i="37" s="1"/>
  <c r="AK109" i="143"/>
  <c r="L70" i="16" l="1"/>
  <c r="J70" i="16"/>
  <c r="F70" i="16"/>
  <c r="D70" i="16"/>
  <c r="I70" i="16"/>
  <c r="E70" i="16"/>
  <c r="K70" i="16"/>
  <c r="H70" i="16"/>
  <c r="G70" i="16"/>
  <c r="G100" i="90"/>
  <c r="V66" i="20"/>
  <c r="G67" i="20"/>
  <c r="O67" i="20"/>
  <c r="AE67" i="20" s="1"/>
  <c r="F67" i="20"/>
  <c r="I67" i="20"/>
  <c r="E67" i="20"/>
  <c r="U67" i="20" s="1"/>
  <c r="J67" i="20"/>
  <c r="Z67" i="20" s="1"/>
  <c r="P67" i="20"/>
  <c r="AF67" i="20" s="1"/>
  <c r="K67" i="20"/>
  <c r="AA67" i="20" s="1"/>
  <c r="M67" i="20"/>
  <c r="AC67" i="20" s="1"/>
  <c r="H67" i="20"/>
  <c r="N67" i="20"/>
  <c r="AD67" i="20" s="1"/>
  <c r="D67" i="20"/>
  <c r="T67" i="20" s="1"/>
  <c r="Q67" i="20"/>
  <c r="AG67" i="20" s="1"/>
  <c r="L67" i="20"/>
  <c r="AB67" i="20" s="1"/>
  <c r="S68" i="20"/>
  <c r="B68" i="20"/>
  <c r="C69" i="20"/>
  <c r="AC110" i="143"/>
  <c r="K112" i="143"/>
  <c r="AH109" i="143"/>
  <c r="S79" i="9"/>
  <c r="D55" i="98" s="1"/>
  <c r="D54" i="31" s="1"/>
  <c r="S81" i="92"/>
  <c r="M83" i="92"/>
  <c r="M81" i="9"/>
  <c r="V58" i="22"/>
  <c r="AN58" i="22"/>
  <c r="J58" i="22"/>
  <c r="Q58" i="22"/>
  <c r="X58" i="22"/>
  <c r="M58" i="22"/>
  <c r="AM58" i="22"/>
  <c r="AE58" i="22"/>
  <c r="N58" i="22"/>
  <c r="AQ58" i="22"/>
  <c r="AO58" i="22"/>
  <c r="AB58" i="22"/>
  <c r="AK58" i="22"/>
  <c r="AW58" i="22"/>
  <c r="AF58" i="22"/>
  <c r="AT58" i="22"/>
  <c r="AL58" i="22"/>
  <c r="AA58" i="22"/>
  <c r="AC58" i="22"/>
  <c r="U58" i="22"/>
  <c r="O58" i="22"/>
  <c r="F58" i="22"/>
  <c r="AJ58" i="22"/>
  <c r="L58" i="22"/>
  <c r="AR58" i="22"/>
  <c r="AP58" i="22"/>
  <c r="D58" i="22"/>
  <c r="T58" i="22"/>
  <c r="Z58" i="22"/>
  <c r="AS58" i="22"/>
  <c r="I58" i="22"/>
  <c r="E58" i="22"/>
  <c r="H58" i="22"/>
  <c r="W58" i="22"/>
  <c r="K58" i="22"/>
  <c r="G58" i="22"/>
  <c r="P58" i="22"/>
  <c r="AG58" i="22"/>
  <c r="Y58" i="22"/>
  <c r="AV58" i="22"/>
  <c r="AD58" i="22"/>
  <c r="AU58" i="22"/>
  <c r="M89" i="132"/>
  <c r="K89" i="132" s="1"/>
  <c r="J57" i="23"/>
  <c r="AG57" i="23"/>
  <c r="BC57" i="23"/>
  <c r="V85" i="9"/>
  <c r="V87" i="92"/>
  <c r="Q58" i="23"/>
  <c r="AD58" i="23"/>
  <c r="BD58" i="23"/>
  <c r="AQ58" i="23"/>
  <c r="CD58" i="23"/>
  <c r="D58" i="23"/>
  <c r="BQ58" i="23"/>
  <c r="AW57" i="23"/>
  <c r="W57" i="23"/>
  <c r="BG57" i="23"/>
  <c r="CP57" i="23"/>
  <c r="H58" i="23"/>
  <c r="BU58" i="23"/>
  <c r="AU58" i="23"/>
  <c r="U58" i="23"/>
  <c r="AH58" i="23"/>
  <c r="BH58" i="23"/>
  <c r="CH58" i="23"/>
  <c r="O111" i="143"/>
  <c r="AJ109" i="143"/>
  <c r="T57" i="23"/>
  <c r="AC57" i="23"/>
  <c r="G76" i="92"/>
  <c r="G74" i="9"/>
  <c r="AB58" i="23"/>
  <c r="BO58" i="23"/>
  <c r="AF58" i="23"/>
  <c r="AS58" i="23"/>
  <c r="CB58" i="23"/>
  <c r="BB58" i="23"/>
  <c r="S58" i="23"/>
  <c r="CO58" i="23"/>
  <c r="F58" i="23"/>
  <c r="BF58" i="23"/>
  <c r="BS58" i="23"/>
  <c r="CF58" i="23"/>
  <c r="AO58" i="23"/>
  <c r="O58" i="23"/>
  <c r="Z58" i="23"/>
  <c r="CM58" i="23"/>
  <c r="AM58" i="23"/>
  <c r="AZ58" i="23"/>
  <c r="BZ58" i="23"/>
  <c r="M58" i="23"/>
  <c r="BM58" i="23"/>
  <c r="CK58" i="23"/>
  <c r="AX58" i="23"/>
  <c r="AL58" i="23"/>
  <c r="BK58" i="23"/>
  <c r="AY58" i="23"/>
  <c r="CL58" i="23"/>
  <c r="BY58" i="23"/>
  <c r="K58" i="23"/>
  <c r="AK58" i="23"/>
  <c r="Y58" i="23"/>
  <c r="X58" i="23"/>
  <c r="BL58" i="23"/>
  <c r="BX58" i="23"/>
  <c r="L58" i="23"/>
  <c r="N70" i="16"/>
  <c r="B71" i="16"/>
  <c r="O70" i="16"/>
  <c r="M70" i="16"/>
  <c r="AJ57" i="23"/>
  <c r="BT57" i="23"/>
  <c r="P57" i="23"/>
  <c r="B69" i="96"/>
  <c r="C70" i="96"/>
  <c r="B70" i="96" s="1"/>
  <c r="CJ57" i="23"/>
  <c r="G57" i="23"/>
  <c r="BW57" i="23"/>
  <c r="BJ57" i="23"/>
  <c r="BP57" i="23"/>
  <c r="B71" i="115"/>
  <c r="A70" i="115"/>
  <c r="CG57" i="23"/>
  <c r="CC57" i="23"/>
  <c r="BI58" i="23"/>
  <c r="R58" i="23"/>
  <c r="AA58" i="23"/>
  <c r="BA58" i="23"/>
  <c r="CI58" i="23"/>
  <c r="AI58" i="23"/>
  <c r="BR58" i="23"/>
  <c r="E58" i="23"/>
  <c r="V58" i="23"/>
  <c r="I58" i="23"/>
  <c r="BV58" i="23"/>
  <c r="BN58" i="23"/>
  <c r="AN58" i="23"/>
  <c r="BE58" i="23"/>
  <c r="CN58" i="23"/>
  <c r="AE58" i="23"/>
  <c r="AV58" i="23"/>
  <c r="N58" i="23"/>
  <c r="CE58" i="23"/>
  <c r="AR58" i="23"/>
  <c r="CA58" i="23"/>
  <c r="W87" i="92"/>
  <c r="W85" i="9"/>
  <c r="AT57" i="23"/>
  <c r="AP57" i="23"/>
  <c r="AY58" i="22"/>
  <c r="AX58" i="22"/>
  <c r="S58" i="22"/>
  <c r="AH58" i="22"/>
  <c r="AI58" i="22"/>
  <c r="R58" i="22"/>
  <c r="N114" i="143"/>
  <c r="J76" i="9"/>
  <c r="J78" i="92"/>
  <c r="M117" i="143"/>
  <c r="AE116" i="143" s="1"/>
  <c r="B67" i="72"/>
  <c r="O66" i="72"/>
  <c r="N66" i="72"/>
  <c r="L66" i="72"/>
  <c r="Y66" i="72"/>
  <c r="M66" i="72"/>
  <c r="AF112" i="143"/>
  <c r="B84" i="28"/>
  <c r="H83" i="28"/>
  <c r="E83" i="28"/>
  <c r="G83" i="28"/>
  <c r="D83" i="28"/>
  <c r="F83" i="28"/>
  <c r="P76" i="92"/>
  <c r="P74" i="9"/>
  <c r="D46" i="115" s="1"/>
  <c r="G112" i="143"/>
  <c r="B96" i="143"/>
  <c r="S95" i="143" s="1"/>
  <c r="B95" i="145" s="1"/>
  <c r="B95" i="146" s="1"/>
  <c r="H114" i="143"/>
  <c r="Y113" i="143" s="1"/>
  <c r="D115" i="143"/>
  <c r="T114" i="143" s="1"/>
  <c r="Q112" i="143"/>
  <c r="AK111" i="143" s="1"/>
  <c r="Z112" i="143"/>
  <c r="E114" i="143"/>
  <c r="AG111" i="143"/>
  <c r="L114" i="143"/>
  <c r="AD113" i="143" s="1"/>
  <c r="Y112" i="143"/>
  <c r="U112" i="143"/>
  <c r="P113" i="143"/>
  <c r="AG112" i="143" s="1"/>
  <c r="J112" i="143"/>
  <c r="AA112" i="143"/>
  <c r="AE115" i="143"/>
  <c r="L71" i="16" l="1"/>
  <c r="J71" i="16"/>
  <c r="D71" i="16"/>
  <c r="E71" i="16"/>
  <c r="K71" i="16"/>
  <c r="I71" i="16"/>
  <c r="F71" i="16"/>
  <c r="H71" i="16"/>
  <c r="G71" i="16"/>
  <c r="W58" i="23"/>
  <c r="G101" i="90"/>
  <c r="V67" i="20"/>
  <c r="I68" i="20"/>
  <c r="F68" i="20"/>
  <c r="H68" i="20"/>
  <c r="N68" i="20"/>
  <c r="AD68" i="20" s="1"/>
  <c r="P68" i="20"/>
  <c r="AF68" i="20" s="1"/>
  <c r="O68" i="20"/>
  <c r="AE68" i="20" s="1"/>
  <c r="G68" i="20"/>
  <c r="J68" i="20"/>
  <c r="Z68" i="20" s="1"/>
  <c r="M68" i="20"/>
  <c r="AC68" i="20" s="1"/>
  <c r="K68" i="20"/>
  <c r="AA68" i="20" s="1"/>
  <c r="L68" i="20"/>
  <c r="AB68" i="20" s="1"/>
  <c r="E68" i="20"/>
  <c r="U68" i="20" s="1"/>
  <c r="D68" i="20"/>
  <c r="T68" i="20" s="1"/>
  <c r="Q68" i="20"/>
  <c r="AG68" i="20" s="1"/>
  <c r="C70" i="20"/>
  <c r="B69" i="20"/>
  <c r="S69" i="20"/>
  <c r="AC111" i="143"/>
  <c r="K113" i="143"/>
  <c r="AW58" i="23"/>
  <c r="BJ58" i="23"/>
  <c r="AA113" i="143"/>
  <c r="S80" i="9"/>
  <c r="D56" i="98" s="1"/>
  <c r="D55" i="31" s="1"/>
  <c r="S82" i="92"/>
  <c r="BW58" i="23"/>
  <c r="M84" i="92"/>
  <c r="M82" i="9"/>
  <c r="J58" i="23"/>
  <c r="CJ58" i="23"/>
  <c r="AJ58" i="23"/>
  <c r="W88" i="92"/>
  <c r="W86" i="9"/>
  <c r="AC58" i="23"/>
  <c r="G77" i="92"/>
  <c r="G75" i="9"/>
  <c r="BT58" i="23"/>
  <c r="AD59" i="22"/>
  <c r="AS59" i="22"/>
  <c r="AO59" i="22"/>
  <c r="AA59" i="22"/>
  <c r="AT59" i="22"/>
  <c r="AN59" i="22"/>
  <c r="W59" i="22"/>
  <c r="Q59" i="22"/>
  <c r="H59" i="22"/>
  <c r="AB59" i="22"/>
  <c r="AG59" i="22"/>
  <c r="E59" i="22"/>
  <c r="AL59" i="22"/>
  <c r="AV59" i="22"/>
  <c r="AK59" i="22"/>
  <c r="T59" i="22"/>
  <c r="D59" i="22"/>
  <c r="V59" i="22"/>
  <c r="AE59" i="22"/>
  <c r="AU59" i="22"/>
  <c r="AC59" i="22"/>
  <c r="AM59" i="22"/>
  <c r="AW59" i="22"/>
  <c r="AJ59" i="22"/>
  <c r="O59" i="22"/>
  <c r="I59" i="22"/>
  <c r="AP59" i="22"/>
  <c r="N59" i="22"/>
  <c r="P59" i="22"/>
  <c r="U59" i="22"/>
  <c r="AQ59" i="22"/>
  <c r="X59" i="22"/>
  <c r="AR59" i="22"/>
  <c r="Y59" i="22"/>
  <c r="J59" i="22"/>
  <c r="G59" i="22"/>
  <c r="Z59" i="22"/>
  <c r="K59" i="22"/>
  <c r="F59" i="22"/>
  <c r="AF59" i="22"/>
  <c r="M59" i="22"/>
  <c r="L59" i="22"/>
  <c r="B72" i="115"/>
  <c r="A71" i="115"/>
  <c r="G58" i="23"/>
  <c r="CL59" i="23"/>
  <c r="K59" i="23"/>
  <c r="AL59" i="23"/>
  <c r="BK59" i="23"/>
  <c r="L59" i="23"/>
  <c r="CK59" i="23"/>
  <c r="X59" i="23"/>
  <c r="BY59" i="23"/>
  <c r="AK59" i="23"/>
  <c r="BX59" i="23"/>
  <c r="Y59" i="23"/>
  <c r="AY59" i="23"/>
  <c r="AX59" i="23"/>
  <c r="BL59" i="23"/>
  <c r="BP58" i="23"/>
  <c r="CG58" i="23"/>
  <c r="AR59" i="23"/>
  <c r="AA59" i="23"/>
  <c r="BN59" i="23"/>
  <c r="AN59" i="23"/>
  <c r="CN59" i="23"/>
  <c r="BV59" i="23"/>
  <c r="CI59" i="23"/>
  <c r="CA59" i="23"/>
  <c r="I59" i="23"/>
  <c r="N59" i="23"/>
  <c r="AV59" i="23"/>
  <c r="BI59" i="23"/>
  <c r="AI59" i="23"/>
  <c r="V59" i="23"/>
  <c r="BA59" i="23"/>
  <c r="P58" i="23"/>
  <c r="AT58" i="23"/>
  <c r="D59" i="23"/>
  <c r="AD59" i="23"/>
  <c r="BQ59" i="23"/>
  <c r="Q59" i="23"/>
  <c r="CO59" i="23"/>
  <c r="BO59" i="23"/>
  <c r="AO59" i="23"/>
  <c r="CB59" i="23"/>
  <c r="AB59" i="23"/>
  <c r="BB59" i="23"/>
  <c r="O59" i="23"/>
  <c r="CC58" i="23"/>
  <c r="O112" i="143"/>
  <c r="AJ110" i="143"/>
  <c r="AH110" i="143"/>
  <c r="AI110" i="143"/>
  <c r="BG58" i="23"/>
  <c r="BC58" i="23"/>
  <c r="AG58" i="23"/>
  <c r="M90" i="132"/>
  <c r="K90" i="132" s="1"/>
  <c r="CM59" i="23"/>
  <c r="M59" i="23"/>
  <c r="Z59" i="23"/>
  <c r="AZ59" i="23"/>
  <c r="BZ59" i="23"/>
  <c r="BM59" i="23"/>
  <c r="AM59" i="23"/>
  <c r="AP58" i="23"/>
  <c r="T58" i="23"/>
  <c r="R59" i="22"/>
  <c r="AY59" i="22"/>
  <c r="AX59" i="22"/>
  <c r="AI59" i="22"/>
  <c r="AH59" i="22"/>
  <c r="S59" i="22"/>
  <c r="N71" i="16"/>
  <c r="B72" i="16"/>
  <c r="O71" i="16"/>
  <c r="M71" i="16"/>
  <c r="CP58" i="23"/>
  <c r="V86" i="9"/>
  <c r="V88" i="92"/>
  <c r="AU59" i="23"/>
  <c r="BU59" i="23"/>
  <c r="BH59" i="23"/>
  <c r="H59" i="23"/>
  <c r="CH59" i="23"/>
  <c r="AH59" i="23"/>
  <c r="U59" i="23"/>
  <c r="E115" i="143"/>
  <c r="G113" i="143"/>
  <c r="H115" i="143"/>
  <c r="Y114" i="143" s="1"/>
  <c r="J113" i="143"/>
  <c r="AB112" i="143" s="1"/>
  <c r="Q113" i="143"/>
  <c r="AK112" i="143" s="1"/>
  <c r="AB111" i="143"/>
  <c r="L115" i="143"/>
  <c r="AD114" i="143" s="1"/>
  <c r="B97" i="143"/>
  <c r="S96" i="143" s="1"/>
  <c r="B96" i="145" s="1"/>
  <c r="B96" i="146" s="1"/>
  <c r="J77" i="9"/>
  <c r="J79" i="92"/>
  <c r="B68" i="72"/>
  <c r="N67" i="72"/>
  <c r="O67" i="72"/>
  <c r="L67" i="72"/>
  <c r="Y67" i="72"/>
  <c r="M67" i="72"/>
  <c r="U113" i="143"/>
  <c r="D116" i="143"/>
  <c r="T115" i="143" s="1"/>
  <c r="W111" i="143"/>
  <c r="P75" i="9"/>
  <c r="D47" i="115" s="1"/>
  <c r="P77" i="92"/>
  <c r="H84" i="28"/>
  <c r="F84" i="28"/>
  <c r="G84" i="28"/>
  <c r="E84" i="28"/>
  <c r="B85" i="28"/>
  <c r="D84" i="28"/>
  <c r="N115" i="143"/>
  <c r="AF113" i="143"/>
  <c r="P114" i="143"/>
  <c r="Z113" i="143"/>
  <c r="E72" i="16" l="1"/>
  <c r="F72" i="16"/>
  <c r="D72" i="16"/>
  <c r="L72" i="16"/>
  <c r="J72" i="16"/>
  <c r="I72" i="16"/>
  <c r="K72" i="16"/>
  <c r="H72" i="16"/>
  <c r="G72" i="16"/>
  <c r="G102" i="90"/>
  <c r="V68" i="20"/>
  <c r="I69" i="20"/>
  <c r="G69" i="20"/>
  <c r="L69" i="20"/>
  <c r="AB69" i="20" s="1"/>
  <c r="O69" i="20"/>
  <c r="AE69" i="20" s="1"/>
  <c r="K69" i="20"/>
  <c r="AA69" i="20" s="1"/>
  <c r="P69" i="20"/>
  <c r="AF69" i="20" s="1"/>
  <c r="F69" i="20"/>
  <c r="M69" i="20"/>
  <c r="AC69" i="20" s="1"/>
  <c r="D69" i="20"/>
  <c r="T69" i="20" s="1"/>
  <c r="Q69" i="20"/>
  <c r="AG69" i="20" s="1"/>
  <c r="N69" i="20"/>
  <c r="AD69" i="20" s="1"/>
  <c r="H69" i="20"/>
  <c r="E69" i="20"/>
  <c r="U69" i="20" s="1"/>
  <c r="J69" i="20"/>
  <c r="Z69" i="20" s="1"/>
  <c r="C71" i="20"/>
  <c r="B70" i="20"/>
  <c r="S70" i="20"/>
  <c r="AC112" i="143"/>
  <c r="K114" i="143"/>
  <c r="AP59" i="23"/>
  <c r="Z114" i="143"/>
  <c r="AA114" i="143"/>
  <c r="S81" i="9"/>
  <c r="D57" i="98" s="1"/>
  <c r="D56" i="31" s="1"/>
  <c r="S83" i="92"/>
  <c r="CP59" i="23"/>
  <c r="M83" i="9"/>
  <c r="M85" i="92"/>
  <c r="AC59" i="23"/>
  <c r="BP59" i="23"/>
  <c r="BJ59" i="23"/>
  <c r="AW59" i="23"/>
  <c r="BN60" i="23"/>
  <c r="AN60" i="23"/>
  <c r="CI60" i="23"/>
  <c r="CN60" i="23"/>
  <c r="AA60" i="23"/>
  <c r="BA60" i="23"/>
  <c r="V60" i="23"/>
  <c r="I60" i="23"/>
  <c r="BV60" i="23"/>
  <c r="CA60" i="23"/>
  <c r="AI60" i="23"/>
  <c r="AV60" i="23"/>
  <c r="N60" i="23"/>
  <c r="BI60" i="23"/>
  <c r="P59" i="23"/>
  <c r="CO60" i="23"/>
  <c r="AB60" i="23"/>
  <c r="CB60" i="23"/>
  <c r="BB60" i="23"/>
  <c r="BO60" i="23"/>
  <c r="O60" i="23"/>
  <c r="AO60" i="23"/>
  <c r="J59" i="23"/>
  <c r="BQ60" i="23"/>
  <c r="AQ60" i="23"/>
  <c r="AD60" i="23"/>
  <c r="CD60" i="23"/>
  <c r="BD60" i="23"/>
  <c r="D60" i="23"/>
  <c r="Q60" i="23"/>
  <c r="CC59" i="23"/>
  <c r="K60" i="23"/>
  <c r="L60" i="23"/>
  <c r="AY60" i="23"/>
  <c r="AL60" i="23"/>
  <c r="AK60" i="23"/>
  <c r="BY60" i="23"/>
  <c r="X60" i="23"/>
  <c r="CK60" i="23"/>
  <c r="AX60" i="23"/>
  <c r="BL60" i="23"/>
  <c r="CL60" i="23"/>
  <c r="BK60" i="23"/>
  <c r="Y60" i="23"/>
  <c r="BX60" i="23"/>
  <c r="G76" i="9"/>
  <c r="G78" i="92"/>
  <c r="V89" i="92"/>
  <c r="V87" i="9"/>
  <c r="BC59" i="23"/>
  <c r="CJ59" i="23"/>
  <c r="BH60" i="23"/>
  <c r="U60" i="23"/>
  <c r="H60" i="23"/>
  <c r="AU60" i="23"/>
  <c r="CH60" i="23"/>
  <c r="AH60" i="23"/>
  <c r="BU60" i="23"/>
  <c r="K60" i="22"/>
  <c r="AU60" i="22"/>
  <c r="D60" i="22"/>
  <c r="G60" i="22"/>
  <c r="Z60" i="22"/>
  <c r="T60" i="22"/>
  <c r="AQ60" i="22"/>
  <c r="AP60" i="22"/>
  <c r="AD60" i="22"/>
  <c r="X60" i="22"/>
  <c r="F60" i="22"/>
  <c r="AT60" i="22"/>
  <c r="AS60" i="22"/>
  <c r="E60" i="22"/>
  <c r="AE60" i="22"/>
  <c r="AW60" i="22"/>
  <c r="AN60" i="22"/>
  <c r="AM60" i="22"/>
  <c r="O60" i="22"/>
  <c r="W60" i="22"/>
  <c r="N60" i="22"/>
  <c r="M60" i="22"/>
  <c r="AK60" i="22"/>
  <c r="AR60" i="22"/>
  <c r="Y60" i="22"/>
  <c r="V60" i="22"/>
  <c r="J60" i="22"/>
  <c r="AJ60" i="22"/>
  <c r="AL60" i="22"/>
  <c r="I60" i="22"/>
  <c r="AV60" i="22"/>
  <c r="AO60" i="22"/>
  <c r="P60" i="22"/>
  <c r="AG60" i="22"/>
  <c r="AF60" i="22"/>
  <c r="AC60" i="22"/>
  <c r="Q60" i="22"/>
  <c r="AB60" i="22"/>
  <c r="AA60" i="22"/>
  <c r="L60" i="22"/>
  <c r="U60" i="22"/>
  <c r="H60" i="22"/>
  <c r="M91" i="132"/>
  <c r="K91" i="132" s="1"/>
  <c r="O113" i="143"/>
  <c r="AI112" i="143" s="1"/>
  <c r="AJ111" i="143"/>
  <c r="AI111" i="143"/>
  <c r="AH111" i="143"/>
  <c r="W59" i="23"/>
  <c r="BW59" i="23"/>
  <c r="A72" i="115"/>
  <c r="B73" i="115"/>
  <c r="AH60" i="22"/>
  <c r="R60" i="22"/>
  <c r="AX60" i="22"/>
  <c r="S60" i="22"/>
  <c r="AY60" i="22"/>
  <c r="AI60" i="22"/>
  <c r="O72" i="16"/>
  <c r="M72" i="16"/>
  <c r="B73" i="16"/>
  <c r="N72" i="16"/>
  <c r="AJ59" i="23"/>
  <c r="AZ60" i="23"/>
  <c r="CM60" i="23"/>
  <c r="BZ60" i="23"/>
  <c r="BM60" i="23"/>
  <c r="M60" i="23"/>
  <c r="P60" i="23" s="1"/>
  <c r="Z60" i="23"/>
  <c r="AM60" i="23"/>
  <c r="W89" i="92"/>
  <c r="W87" i="9"/>
  <c r="B69" i="72"/>
  <c r="L68" i="72"/>
  <c r="O68" i="72"/>
  <c r="N68" i="72"/>
  <c r="Y68" i="72"/>
  <c r="M68" i="72"/>
  <c r="M69" i="21" s="1"/>
  <c r="M69" i="37" s="1"/>
  <c r="N116" i="143"/>
  <c r="J80" i="92"/>
  <c r="J78" i="9"/>
  <c r="AF114" i="143"/>
  <c r="G114" i="143"/>
  <c r="W113" i="143" s="1"/>
  <c r="P76" i="9"/>
  <c r="D48" i="115" s="1"/>
  <c r="P78" i="92"/>
  <c r="Q114" i="143"/>
  <c r="AK113" i="143" s="1"/>
  <c r="W112" i="143"/>
  <c r="B98" i="143"/>
  <c r="S97" i="143" s="1"/>
  <c r="B97" i="145" s="1"/>
  <c r="B97" i="146" s="1"/>
  <c r="E116" i="143"/>
  <c r="U115" i="143" s="1"/>
  <c r="P115" i="143"/>
  <c r="AG114" i="143" s="1"/>
  <c r="J114" i="143"/>
  <c r="AB113" i="143" s="1"/>
  <c r="U114" i="143"/>
  <c r="H85" i="28"/>
  <c r="E85" i="28"/>
  <c r="B86" i="28"/>
  <c r="G85" i="28"/>
  <c r="F85" i="28"/>
  <c r="D85" i="28"/>
  <c r="L116" i="143"/>
  <c r="AD115" i="143" s="1"/>
  <c r="H116" i="143"/>
  <c r="Z115" i="143" s="1"/>
  <c r="AG113" i="143"/>
  <c r="D117" i="143"/>
  <c r="T116" i="143" s="1"/>
  <c r="AC60" i="23" l="1"/>
  <c r="I73" i="16"/>
  <c r="F73" i="16"/>
  <c r="E73" i="16"/>
  <c r="D73" i="16"/>
  <c r="K73" i="16"/>
  <c r="J73" i="16"/>
  <c r="L73" i="16"/>
  <c r="H73" i="16"/>
  <c r="G73" i="16"/>
  <c r="G103" i="90"/>
  <c r="AP60" i="23"/>
  <c r="AH112" i="143"/>
  <c r="V69" i="20"/>
  <c r="J70" i="20"/>
  <c r="Z70" i="20" s="1"/>
  <c r="Q70" i="20"/>
  <c r="AG70" i="20" s="1"/>
  <c r="G70" i="20"/>
  <c r="H70" i="20"/>
  <c r="P70" i="20"/>
  <c r="AF70" i="20" s="1"/>
  <c r="N70" i="20"/>
  <c r="AD70" i="20" s="1"/>
  <c r="D70" i="20"/>
  <c r="T70" i="20" s="1"/>
  <c r="I70" i="20"/>
  <c r="M70" i="20"/>
  <c r="AC70" i="20" s="1"/>
  <c r="O70" i="20"/>
  <c r="AE70" i="20" s="1"/>
  <c r="K70" i="20"/>
  <c r="AA70" i="20" s="1"/>
  <c r="L70" i="20"/>
  <c r="AB70" i="20" s="1"/>
  <c r="F70" i="20"/>
  <c r="E70" i="20"/>
  <c r="U70" i="20" s="1"/>
  <c r="S71" i="20"/>
  <c r="B71" i="20"/>
  <c r="AC113" i="143"/>
  <c r="K115" i="143"/>
  <c r="CC60" i="23"/>
  <c r="BC60" i="23"/>
  <c r="CP60" i="23"/>
  <c r="S84" i="92"/>
  <c r="S82" i="9"/>
  <c r="D58" i="98" s="1"/>
  <c r="D57" i="31" s="1"/>
  <c r="M84" i="9"/>
  <c r="M86" i="92"/>
  <c r="BP60" i="23"/>
  <c r="W90" i="92"/>
  <c r="W88" i="9"/>
  <c r="AS61" i="23"/>
  <c r="BB61" i="23"/>
  <c r="CO61" i="23"/>
  <c r="BF61" i="23"/>
  <c r="CF61" i="23"/>
  <c r="AO61" i="23"/>
  <c r="AB61" i="23"/>
  <c r="BO61" i="23"/>
  <c r="BS61" i="23"/>
  <c r="CB61" i="23"/>
  <c r="F61" i="23"/>
  <c r="O61" i="23"/>
  <c r="K61" i="23"/>
  <c r="AX61" i="23"/>
  <c r="BL61" i="23"/>
  <c r="CK61" i="23"/>
  <c r="AY61" i="23"/>
  <c r="BY61" i="23"/>
  <c r="AL61" i="23"/>
  <c r="L61" i="23"/>
  <c r="CL61" i="23"/>
  <c r="Y61" i="23"/>
  <c r="BX61" i="23"/>
  <c r="X61" i="23"/>
  <c r="AK61" i="23"/>
  <c r="BK61" i="23"/>
  <c r="BJ60" i="23"/>
  <c r="R61" i="23"/>
  <c r="AV61" i="23"/>
  <c r="BE61" i="23"/>
  <c r="CN61" i="23"/>
  <c r="V61" i="23"/>
  <c r="AR61" i="23"/>
  <c r="CI61" i="23"/>
  <c r="CE61" i="23"/>
  <c r="BN61" i="23"/>
  <c r="BA61" i="23"/>
  <c r="BI61" i="23"/>
  <c r="AN61" i="23"/>
  <c r="CA61" i="23"/>
  <c r="BV61" i="23"/>
  <c r="I61" i="23"/>
  <c r="BR61" i="23"/>
  <c r="AA61" i="23"/>
  <c r="AE61" i="23"/>
  <c r="E61" i="23"/>
  <c r="AI61" i="23"/>
  <c r="N61" i="23"/>
  <c r="BM61" i="23"/>
  <c r="AM61" i="23"/>
  <c r="CM61" i="23"/>
  <c r="BZ61" i="23"/>
  <c r="Z61" i="23"/>
  <c r="AZ61" i="23"/>
  <c r="M61" i="23"/>
  <c r="AW60" i="23"/>
  <c r="D61" i="23"/>
  <c r="BD61" i="23"/>
  <c r="AD61" i="23"/>
  <c r="Q61" i="23"/>
  <c r="AQ61" i="23"/>
  <c r="BQ61" i="23"/>
  <c r="AJ60" i="23"/>
  <c r="CJ60" i="23"/>
  <c r="A73" i="115"/>
  <c r="B74" i="115"/>
  <c r="O114" i="143"/>
  <c r="AJ112" i="143"/>
  <c r="BH61" i="23"/>
  <c r="U61" i="23"/>
  <c r="AU61" i="23"/>
  <c r="BU61" i="23"/>
  <c r="H61" i="23"/>
  <c r="AH61" i="23"/>
  <c r="CH61" i="23"/>
  <c r="Z61" i="22"/>
  <c r="D61" i="22"/>
  <c r="AA61" i="22"/>
  <c r="K61" i="22"/>
  <c r="X61" i="22"/>
  <c r="W61" i="22"/>
  <c r="AB61" i="22"/>
  <c r="AM61" i="22"/>
  <c r="N61" i="22"/>
  <c r="AL61" i="22"/>
  <c r="H61" i="22"/>
  <c r="L61" i="22"/>
  <c r="Y61" i="22"/>
  <c r="AF61" i="22"/>
  <c r="AV61" i="22"/>
  <c r="AR61" i="22"/>
  <c r="P61" i="22"/>
  <c r="V61" i="22"/>
  <c r="T61" i="22"/>
  <c r="Q61" i="22"/>
  <c r="AD61" i="22"/>
  <c r="G61" i="22"/>
  <c r="AK61" i="22"/>
  <c r="AE61" i="22"/>
  <c r="AQ61" i="22"/>
  <c r="AP61" i="22"/>
  <c r="AJ61" i="22"/>
  <c r="F61" i="22"/>
  <c r="AW61" i="22"/>
  <c r="O61" i="22"/>
  <c r="AG61" i="22"/>
  <c r="AT61" i="22"/>
  <c r="M61" i="22"/>
  <c r="AN61" i="22"/>
  <c r="AC61" i="22"/>
  <c r="AS61" i="22"/>
  <c r="J61" i="22"/>
  <c r="AU61" i="22"/>
  <c r="AO61" i="22"/>
  <c r="I61" i="22"/>
  <c r="U61" i="22"/>
  <c r="E61" i="22"/>
  <c r="BW60" i="23"/>
  <c r="N73" i="16"/>
  <c r="B74" i="16"/>
  <c r="O73" i="16"/>
  <c r="M73" i="16"/>
  <c r="V90" i="92"/>
  <c r="V88" i="9"/>
  <c r="J60" i="23"/>
  <c r="AH61" i="22"/>
  <c r="R61" i="22"/>
  <c r="AX61" i="22"/>
  <c r="S61" i="22"/>
  <c r="AI61" i="22"/>
  <c r="AY61" i="22"/>
  <c r="M92" i="132"/>
  <c r="K92" i="132" s="1"/>
  <c r="G79" i="92"/>
  <c r="G77" i="9"/>
  <c r="W60" i="23"/>
  <c r="L117" i="143"/>
  <c r="AD116" i="143" s="1"/>
  <c r="J115" i="143"/>
  <c r="P116" i="143"/>
  <c r="G115" i="143"/>
  <c r="W114" i="143" s="1"/>
  <c r="B70" i="72"/>
  <c r="N69" i="72"/>
  <c r="O69" i="72"/>
  <c r="L69" i="72"/>
  <c r="M69" i="72"/>
  <c r="Y69" i="72"/>
  <c r="P79" i="92"/>
  <c r="P77" i="9"/>
  <c r="D49" i="115" s="1"/>
  <c r="J81" i="92"/>
  <c r="J79" i="9"/>
  <c r="H117" i="143"/>
  <c r="Y116" i="143" s="1"/>
  <c r="N117" i="143"/>
  <c r="AF116" i="143" s="1"/>
  <c r="AF115" i="143"/>
  <c r="AA115" i="143"/>
  <c r="Q115" i="143"/>
  <c r="AK114" i="143" s="1"/>
  <c r="F86" i="28"/>
  <c r="D86" i="28"/>
  <c r="E86" i="28"/>
  <c r="G86" i="28"/>
  <c r="H86" i="28"/>
  <c r="B87" i="28"/>
  <c r="Y115" i="143"/>
  <c r="E117" i="143"/>
  <c r="U116" i="143" s="1"/>
  <c r="B99" i="143"/>
  <c r="S98" i="143" s="1"/>
  <c r="B98" i="145" s="1"/>
  <c r="B98" i="146" s="1"/>
  <c r="I74" i="16" l="1"/>
  <c r="E74" i="16"/>
  <c r="L74" i="16"/>
  <c r="D74" i="16"/>
  <c r="J74" i="16"/>
  <c r="K74" i="16"/>
  <c r="F74" i="16"/>
  <c r="H74" i="16"/>
  <c r="G74" i="16"/>
  <c r="G104" i="90"/>
  <c r="V70" i="20"/>
  <c r="D71" i="20"/>
  <c r="T71" i="20" s="1"/>
  <c r="J71" i="20"/>
  <c r="Z71" i="20" s="1"/>
  <c r="H71" i="20"/>
  <c r="K71" i="20"/>
  <c r="AA71" i="20" s="1"/>
  <c r="I71" i="20"/>
  <c r="P71" i="20"/>
  <c r="AF71" i="20" s="1"/>
  <c r="E71" i="20"/>
  <c r="U71" i="20" s="1"/>
  <c r="O71" i="20"/>
  <c r="AE71" i="20" s="1"/>
  <c r="G71" i="20"/>
  <c r="Q71" i="20"/>
  <c r="AG71" i="20" s="1"/>
  <c r="L71" i="20"/>
  <c r="AB71" i="20" s="1"/>
  <c r="N71" i="20"/>
  <c r="AD71" i="20" s="1"/>
  <c r="F71" i="20"/>
  <c r="M71" i="20"/>
  <c r="AC71" i="20" s="1"/>
  <c r="AC114" i="143"/>
  <c r="K116" i="143"/>
  <c r="S85" i="92"/>
  <c r="S83" i="9"/>
  <c r="D59" i="98" s="1"/>
  <c r="D58" i="31" s="1"/>
  <c r="P61" i="23"/>
  <c r="M87" i="92"/>
  <c r="M85" i="9"/>
  <c r="AO62" i="23"/>
  <c r="CB62" i="23"/>
  <c r="AB62" i="23"/>
  <c r="CO62" i="23"/>
  <c r="BO62" i="23"/>
  <c r="BB62" i="23"/>
  <c r="O62" i="23"/>
  <c r="V89" i="9"/>
  <c r="V91" i="92"/>
  <c r="G61" i="23"/>
  <c r="BJ61" i="23"/>
  <c r="BG61" i="23"/>
  <c r="AA116" i="143"/>
  <c r="B75" i="16"/>
  <c r="O74" i="16"/>
  <c r="N74" i="16"/>
  <c r="M74" i="16"/>
  <c r="BX62" i="23"/>
  <c r="AY62" i="23"/>
  <c r="AK62" i="23"/>
  <c r="CL62" i="23"/>
  <c r="BY62" i="23"/>
  <c r="K62" i="23"/>
  <c r="AL62" i="23"/>
  <c r="X62" i="23"/>
  <c r="CK62" i="23"/>
  <c r="Y62" i="23"/>
  <c r="BK62" i="23"/>
  <c r="BL62" i="23"/>
  <c r="L62" i="23"/>
  <c r="AX62" i="23"/>
  <c r="O115" i="143"/>
  <c r="AJ114" i="143" s="1"/>
  <c r="AH113" i="143"/>
  <c r="AJ113" i="143"/>
  <c r="AI113" i="143"/>
  <c r="BC61" i="23"/>
  <c r="AW61" i="23"/>
  <c r="Z116" i="143"/>
  <c r="AZ62" i="23"/>
  <c r="AM62" i="23"/>
  <c r="Z62" i="23"/>
  <c r="BM62" i="23"/>
  <c r="M62" i="23"/>
  <c r="CM62" i="23"/>
  <c r="BZ62" i="23"/>
  <c r="A74" i="115"/>
  <c r="B75" i="115"/>
  <c r="AC61" i="23"/>
  <c r="BP61" i="23"/>
  <c r="AI62" i="23"/>
  <c r="I62" i="23"/>
  <c r="AN62" i="23"/>
  <c r="V62" i="23"/>
  <c r="BN62" i="23"/>
  <c r="AA62" i="23"/>
  <c r="CN62" i="23"/>
  <c r="BA62" i="23"/>
  <c r="AV62" i="23"/>
  <c r="BI62" i="23"/>
  <c r="CA62" i="23"/>
  <c r="CI62" i="23"/>
  <c r="N62" i="23"/>
  <c r="BV62" i="23"/>
  <c r="BT61" i="23"/>
  <c r="J61" i="23"/>
  <c r="CJ61" i="23"/>
  <c r="G80" i="92"/>
  <c r="G78" i="9"/>
  <c r="BW61" i="23"/>
  <c r="AT61" i="23"/>
  <c r="CC61" i="23"/>
  <c r="W61" i="23"/>
  <c r="R62" i="22"/>
  <c r="AY62" i="22"/>
  <c r="AH62" i="22"/>
  <c r="S62" i="22"/>
  <c r="AI62" i="22"/>
  <c r="AX62" i="22"/>
  <c r="BR63" i="23" s="1"/>
  <c r="M93" i="132"/>
  <c r="K93" i="132" s="1"/>
  <c r="U62" i="22"/>
  <c r="AM62" i="22"/>
  <c r="H62" i="22"/>
  <c r="J62" i="22"/>
  <c r="Z62" i="22"/>
  <c r="F62" i="22"/>
  <c r="N62" i="22"/>
  <c r="AN62" i="22"/>
  <c r="AQ62" i="22"/>
  <c r="AG62" i="22"/>
  <c r="AF62" i="22"/>
  <c r="AC62" i="22"/>
  <c r="AD62" i="22"/>
  <c r="L62" i="22"/>
  <c r="AJ62" i="22"/>
  <c r="O62" i="22"/>
  <c r="G62" i="22"/>
  <c r="T62" i="22"/>
  <c r="AA62" i="22"/>
  <c r="D62" i="22"/>
  <c r="AW62" i="22"/>
  <c r="I62" i="22"/>
  <c r="E62" i="22"/>
  <c r="AT62" i="22"/>
  <c r="K62" i="22"/>
  <c r="AB62" i="22"/>
  <c r="AV62" i="22"/>
  <c r="X62" i="22"/>
  <c r="AU62" i="22"/>
  <c r="W62" i="22"/>
  <c r="AK62" i="22"/>
  <c r="AS62" i="22"/>
  <c r="AR62" i="22"/>
  <c r="M62" i="22"/>
  <c r="AP62" i="22"/>
  <c r="AO62" i="22"/>
  <c r="P62" i="22"/>
  <c r="Q62" i="22"/>
  <c r="Y62" i="22"/>
  <c r="AE62" i="22"/>
  <c r="AL62" i="22"/>
  <c r="V62" i="22"/>
  <c r="AU62" i="23"/>
  <c r="BU62" i="23"/>
  <c r="AH62" i="23"/>
  <c r="U62" i="23"/>
  <c r="BH62" i="23"/>
  <c r="H62" i="23"/>
  <c r="CH62" i="23"/>
  <c r="AJ61" i="23"/>
  <c r="AP61" i="23"/>
  <c r="CP61" i="23"/>
  <c r="W89" i="9"/>
  <c r="W91" i="92"/>
  <c r="P78" i="9"/>
  <c r="D50" i="115" s="1"/>
  <c r="P80" i="92"/>
  <c r="B71" i="72"/>
  <c r="O70" i="72"/>
  <c r="N70" i="72"/>
  <c r="L70" i="72"/>
  <c r="M70" i="72"/>
  <c r="Y70" i="72"/>
  <c r="J116" i="143"/>
  <c r="Q116" i="143"/>
  <c r="AK115" i="143" s="1"/>
  <c r="G116" i="143"/>
  <c r="W115" i="143" s="1"/>
  <c r="P117" i="143"/>
  <c r="J82" i="92"/>
  <c r="J80" i="9"/>
  <c r="AG115" i="143"/>
  <c r="H87" i="28"/>
  <c r="D87" i="28"/>
  <c r="E87" i="28"/>
  <c r="B88" i="28"/>
  <c r="F87" i="28"/>
  <c r="G87" i="28"/>
  <c r="B100" i="143"/>
  <c r="S99" i="143" s="1"/>
  <c r="B99" i="145" s="1"/>
  <c r="B99" i="146" s="1"/>
  <c r="AB114" i="143"/>
  <c r="K75" i="16" l="1"/>
  <c r="I75" i="16"/>
  <c r="E75" i="16"/>
  <c r="F75" i="16"/>
  <c r="L75" i="16"/>
  <c r="D75" i="16"/>
  <c r="J75" i="16"/>
  <c r="H75" i="16"/>
  <c r="G75" i="16"/>
  <c r="G105" i="90"/>
  <c r="V71" i="20"/>
  <c r="AC115" i="143"/>
  <c r="K117" i="143"/>
  <c r="AC116" i="143" s="1"/>
  <c r="S86" i="92"/>
  <c r="S84" i="9"/>
  <c r="D60" i="98" s="1"/>
  <c r="D59" i="31" s="1"/>
  <c r="M88" i="92"/>
  <c r="M86" i="9"/>
  <c r="AC62" i="23"/>
  <c r="AC63" i="22"/>
  <c r="AB63" i="22"/>
  <c r="AF63" i="22"/>
  <c r="AJ63" i="22"/>
  <c r="V63" i="22"/>
  <c r="G63" i="22"/>
  <c r="K63" i="22"/>
  <c r="T63" i="22"/>
  <c r="I63" i="22"/>
  <c r="AS63" i="22"/>
  <c r="J63" i="22"/>
  <c r="AL63" i="22"/>
  <c r="Q63" i="22"/>
  <c r="M63" i="22"/>
  <c r="AK63" i="22"/>
  <c r="W63" i="22"/>
  <c r="O63" i="22"/>
  <c r="AD63" i="22"/>
  <c r="AW63" i="22"/>
  <c r="AR63" i="22"/>
  <c r="AV63" i="22"/>
  <c r="E63" i="22"/>
  <c r="AE63" i="22"/>
  <c r="H63" i="22"/>
  <c r="AM63" i="22"/>
  <c r="U63" i="22"/>
  <c r="Y63" i="22"/>
  <c r="N63" i="22"/>
  <c r="AU63" i="22"/>
  <c r="Z63" i="22"/>
  <c r="AP63" i="22"/>
  <c r="AO63" i="22"/>
  <c r="D63" i="22"/>
  <c r="X63" i="22"/>
  <c r="P63" i="22"/>
  <c r="L63" i="22"/>
  <c r="AG63" i="22"/>
  <c r="AN63" i="22"/>
  <c r="F63" i="22"/>
  <c r="AT63" i="22"/>
  <c r="AA63" i="22"/>
  <c r="AQ63" i="22"/>
  <c r="CJ62" i="23"/>
  <c r="W62" i="23"/>
  <c r="CC62" i="23"/>
  <c r="CP62" i="23"/>
  <c r="G79" i="9"/>
  <c r="G81" i="92"/>
  <c r="BJ62" i="23"/>
  <c r="J62" i="23"/>
  <c r="P62" i="23"/>
  <c r="AW62" i="23"/>
  <c r="AJ62" i="23"/>
  <c r="BP62" i="23"/>
  <c r="M94" i="132"/>
  <c r="K94" i="132" s="1"/>
  <c r="W90" i="9"/>
  <c r="W92" i="92"/>
  <c r="AP62" i="23"/>
  <c r="AX63" i="22"/>
  <c r="AH63" i="22"/>
  <c r="S63" i="22"/>
  <c r="R63" i="22"/>
  <c r="AI63" i="22"/>
  <c r="AY63" i="22"/>
  <c r="BW62" i="23"/>
  <c r="A75" i="115"/>
  <c r="B76" i="115"/>
  <c r="BC62" i="23"/>
  <c r="O116" i="143"/>
  <c r="AJ115" i="143" s="1"/>
  <c r="AI114" i="143"/>
  <c r="AH114" i="143"/>
  <c r="O75" i="16"/>
  <c r="N75" i="16"/>
  <c r="M75" i="16"/>
  <c r="B76" i="16"/>
  <c r="V90" i="9"/>
  <c r="V92" i="92"/>
  <c r="AG116" i="143"/>
  <c r="J117" i="143"/>
  <c r="AB116" i="143" s="1"/>
  <c r="B101" i="143"/>
  <c r="S100" i="143"/>
  <c r="B100" i="145" s="1"/>
  <c r="B100" i="146" s="1"/>
  <c r="J83" i="92"/>
  <c r="J81" i="9"/>
  <c r="B72" i="72"/>
  <c r="L71" i="72"/>
  <c r="N71" i="72"/>
  <c r="O71" i="72"/>
  <c r="M71" i="72"/>
  <c r="Y71" i="72"/>
  <c r="P79" i="9"/>
  <c r="D51" i="115" s="1"/>
  <c r="P81" i="92"/>
  <c r="H88" i="28"/>
  <c r="B89" i="28"/>
  <c r="G88" i="28"/>
  <c r="D88" i="28"/>
  <c r="F88" i="28"/>
  <c r="E88" i="28"/>
  <c r="Q117" i="143"/>
  <c r="AK116" i="143" s="1"/>
  <c r="G117" i="143"/>
  <c r="W116" i="143" s="1"/>
  <c r="AB115" i="143"/>
  <c r="J76" i="16" l="1"/>
  <c r="F76" i="16"/>
  <c r="K76" i="16"/>
  <c r="I76" i="16"/>
  <c r="D76" i="16"/>
  <c r="L76" i="16"/>
  <c r="E76" i="16"/>
  <c r="H76" i="16"/>
  <c r="G76" i="16"/>
  <c r="G106" i="90"/>
  <c r="S85" i="9"/>
  <c r="D61" i="98" s="1"/>
  <c r="D60" i="31" s="1"/>
  <c r="S87" i="92"/>
  <c r="M87" i="9"/>
  <c r="M89" i="92"/>
  <c r="M95" i="132"/>
  <c r="K95" i="132" s="1"/>
  <c r="AD64" i="23"/>
  <c r="AQ64" i="23"/>
  <c r="D64" i="23"/>
  <c r="CD64" i="23"/>
  <c r="BQ64" i="23"/>
  <c r="Q64" i="23"/>
  <c r="BD64" i="23"/>
  <c r="B77" i="115"/>
  <c r="A76" i="115"/>
  <c r="CE64" i="23"/>
  <c r="AR64" i="23"/>
  <c r="BE64" i="23"/>
  <c r="BR64" i="23"/>
  <c r="AE64" i="23"/>
  <c r="E64" i="23"/>
  <c r="R64" i="23"/>
  <c r="V91" i="9"/>
  <c r="V93" i="92"/>
  <c r="O76" i="16"/>
  <c r="N76" i="16"/>
  <c r="B77" i="16"/>
  <c r="M76" i="16"/>
  <c r="W91" i="9"/>
  <c r="W93" i="92"/>
  <c r="AP64" i="22"/>
  <c r="AF64" i="22"/>
  <c r="AS64" i="22"/>
  <c r="Q64" i="22"/>
  <c r="AB64" i="22"/>
  <c r="AJ64" i="22"/>
  <c r="AW64" i="22"/>
  <c r="AE64" i="22"/>
  <c r="AR64" i="22"/>
  <c r="AQ64" i="22"/>
  <c r="D64" i="22"/>
  <c r="U64" i="22"/>
  <c r="AT64" i="22"/>
  <c r="J64" i="22"/>
  <c r="W64" i="22"/>
  <c r="AO64" i="22"/>
  <c r="G64" i="22"/>
  <c r="AM64" i="22"/>
  <c r="AU64" i="22"/>
  <c r="O64" i="22"/>
  <c r="Z64" i="22"/>
  <c r="V64" i="22"/>
  <c r="AV64" i="22"/>
  <c r="AN64" i="22"/>
  <c r="AA64" i="22"/>
  <c r="Y64" i="22"/>
  <c r="X64" i="22"/>
  <c r="P64" i="22"/>
  <c r="AC64" i="22"/>
  <c r="AL64" i="22"/>
  <c r="F64" i="22"/>
  <c r="T64" i="22"/>
  <c r="E64" i="22"/>
  <c r="M64" i="22"/>
  <c r="N64" i="22"/>
  <c r="I64" i="22"/>
  <c r="AK64" i="22"/>
  <c r="H64" i="22"/>
  <c r="K64" i="22"/>
  <c r="AD64" i="22"/>
  <c r="L64" i="22"/>
  <c r="AG64" i="22"/>
  <c r="F64" i="23"/>
  <c r="AF64" i="23"/>
  <c r="BF64" i="23"/>
  <c r="AS64" i="23"/>
  <c r="S64" i="23"/>
  <c r="BS64" i="23"/>
  <c r="CF64" i="23"/>
  <c r="S64" i="22"/>
  <c r="AY64" i="22"/>
  <c r="AI64" i="22"/>
  <c r="R64" i="22"/>
  <c r="AX64" i="22"/>
  <c r="AH64" i="22"/>
  <c r="O117" i="143"/>
  <c r="AJ116" i="143" s="1"/>
  <c r="AH115" i="143"/>
  <c r="AI115" i="143"/>
  <c r="G80" i="9"/>
  <c r="G82" i="92"/>
  <c r="P82" i="92"/>
  <c r="P80" i="9"/>
  <c r="D52" i="115" s="1"/>
  <c r="J84" i="92"/>
  <c r="J82" i="9"/>
  <c r="B73" i="72"/>
  <c r="L72" i="72"/>
  <c r="O72" i="72"/>
  <c r="N72" i="72"/>
  <c r="Y72" i="72"/>
  <c r="M72" i="72"/>
  <c r="M73" i="21" s="1"/>
  <c r="M73" i="37" s="1"/>
  <c r="B102" i="143"/>
  <c r="S101" i="143" s="1"/>
  <c r="B101" i="145" s="1"/>
  <c r="B101" i="146" s="1"/>
  <c r="E89" i="28"/>
  <c r="B90" i="28"/>
  <c r="F89" i="28"/>
  <c r="G89" i="28"/>
  <c r="D89" i="28"/>
  <c r="H89" i="28"/>
  <c r="L77" i="16" l="1"/>
  <c r="J77" i="16"/>
  <c r="E77" i="16"/>
  <c r="I77" i="16"/>
  <c r="D77" i="16"/>
  <c r="F77" i="16"/>
  <c r="K77" i="16"/>
  <c r="H77" i="16"/>
  <c r="G77" i="16"/>
  <c r="G107" i="90"/>
  <c r="S86" i="9"/>
  <c r="D62" i="98" s="1"/>
  <c r="D61" i="31" s="1"/>
  <c r="S88" i="92"/>
  <c r="M90" i="92"/>
  <c r="M88" i="9"/>
  <c r="AF65" i="23"/>
  <c r="AS65" i="23"/>
  <c r="S65" i="23"/>
  <c r="BS65" i="23"/>
  <c r="BF65" i="23"/>
  <c r="CF65" i="23"/>
  <c r="F65" i="23"/>
  <c r="T64" i="23"/>
  <c r="BT64" i="23"/>
  <c r="CG64" i="23"/>
  <c r="AI116" i="143"/>
  <c r="AH116" i="143"/>
  <c r="W94" i="92"/>
  <c r="W92" i="9"/>
  <c r="N77" i="16"/>
  <c r="O77" i="16"/>
  <c r="B78" i="16"/>
  <c r="M77" i="16"/>
  <c r="G64" i="23"/>
  <c r="S65" i="22"/>
  <c r="AY65" i="22"/>
  <c r="AH65" i="22"/>
  <c r="AX65" i="22"/>
  <c r="R65" i="22"/>
  <c r="AI65" i="22"/>
  <c r="V92" i="9"/>
  <c r="V94" i="92"/>
  <c r="AT64" i="23"/>
  <c r="AE65" i="23"/>
  <c r="E65" i="23"/>
  <c r="BR65" i="23"/>
  <c r="AR65" i="23"/>
  <c r="CE65" i="23"/>
  <c r="BE65" i="23"/>
  <c r="R65" i="23"/>
  <c r="V65" i="22"/>
  <c r="E65" i="22"/>
  <c r="P65" i="22"/>
  <c r="AQ65" i="22"/>
  <c r="N65" i="22"/>
  <c r="AA65" i="22"/>
  <c r="Z65" i="22"/>
  <c r="AE65" i="22"/>
  <c r="O65" i="22"/>
  <c r="AW65" i="22"/>
  <c r="AK65" i="22"/>
  <c r="AV65" i="22"/>
  <c r="M65" i="22"/>
  <c r="AL65" i="22"/>
  <c r="AF65" i="22"/>
  <c r="AR65" i="22"/>
  <c r="AG65" i="22"/>
  <c r="H65" i="22"/>
  <c r="AO65" i="22"/>
  <c r="AD65" i="22"/>
  <c r="Q65" i="22"/>
  <c r="AM65" i="22"/>
  <c r="U65" i="22"/>
  <c r="AU65" i="22"/>
  <c r="AB65" i="22"/>
  <c r="K65" i="22"/>
  <c r="I65" i="22"/>
  <c r="AJ65" i="22"/>
  <c r="G65" i="22"/>
  <c r="AP65" i="22"/>
  <c r="X65" i="22"/>
  <c r="F65" i="22"/>
  <c r="AS65" i="22"/>
  <c r="AT65" i="22"/>
  <c r="W65" i="22"/>
  <c r="T65" i="22"/>
  <c r="D65" i="22"/>
  <c r="AN65" i="22"/>
  <c r="J65" i="22"/>
  <c r="AC65" i="22"/>
  <c r="Y65" i="22"/>
  <c r="L65" i="22"/>
  <c r="AG64" i="23"/>
  <c r="AD65" i="23"/>
  <c r="D65" i="23"/>
  <c r="BQ65" i="23"/>
  <c r="BD65" i="23"/>
  <c r="CD65" i="23"/>
  <c r="Q65" i="23"/>
  <c r="AQ65" i="23"/>
  <c r="A77" i="115"/>
  <c r="B78" i="115"/>
  <c r="G81" i="9"/>
  <c r="G83" i="92"/>
  <c r="BG64" i="23"/>
  <c r="M96" i="132"/>
  <c r="K96" i="132" s="1"/>
  <c r="F90" i="28"/>
  <c r="H90" i="28"/>
  <c r="B91" i="28"/>
  <c r="D90" i="28"/>
  <c r="E90" i="28"/>
  <c r="G90" i="28"/>
  <c r="P83" i="92"/>
  <c r="P81" i="9"/>
  <c r="D53" i="115" s="1"/>
  <c r="B103" i="143"/>
  <c r="S102" i="143" s="1"/>
  <c r="B102" i="145" s="1"/>
  <c r="B102" i="146" s="1"/>
  <c r="J85" i="92"/>
  <c r="J83" i="9"/>
  <c r="B74" i="72"/>
  <c r="O73" i="72"/>
  <c r="N73" i="72"/>
  <c r="L73" i="72"/>
  <c r="M73" i="72"/>
  <c r="Y73" i="72"/>
  <c r="L78" i="16" l="1"/>
  <c r="D78" i="16"/>
  <c r="K78" i="16"/>
  <c r="J78" i="16"/>
  <c r="E78" i="16"/>
  <c r="I78" i="16"/>
  <c r="F78" i="16"/>
  <c r="H78" i="16"/>
  <c r="G78" i="16"/>
  <c r="G108" i="90"/>
  <c r="AT65" i="23"/>
  <c r="T65" i="23"/>
  <c r="S87" i="9"/>
  <c r="D63" i="98" s="1"/>
  <c r="D62" i="31" s="1"/>
  <c r="S89" i="92"/>
  <c r="BG65" i="23"/>
  <c r="M91" i="92"/>
  <c r="M89" i="9"/>
  <c r="BT65" i="23"/>
  <c r="AG65" i="23"/>
  <c r="CE66" i="23"/>
  <c r="BR66" i="23"/>
  <c r="AR66" i="23"/>
  <c r="BE66" i="23"/>
  <c r="AE66" i="23"/>
  <c r="R66" i="23"/>
  <c r="E66" i="23"/>
  <c r="AD66" i="23"/>
  <c r="CD66" i="23"/>
  <c r="AQ66" i="23"/>
  <c r="D66" i="23"/>
  <c r="Q66" i="23"/>
  <c r="BQ66" i="23"/>
  <c r="BD66" i="23"/>
  <c r="M97" i="132"/>
  <c r="K97" i="132" s="1"/>
  <c r="AS66" i="23"/>
  <c r="BF66" i="23"/>
  <c r="CF66" i="23"/>
  <c r="F66" i="23"/>
  <c r="BS66" i="23"/>
  <c r="S66" i="23"/>
  <c r="AF66" i="23"/>
  <c r="AI66" i="22"/>
  <c r="AY66" i="22"/>
  <c r="S66" i="22"/>
  <c r="AX66" i="22"/>
  <c r="R66" i="22"/>
  <c r="AH66" i="22"/>
  <c r="B79" i="16"/>
  <c r="O78" i="16"/>
  <c r="N78" i="16"/>
  <c r="M78" i="16"/>
  <c r="W93" i="9"/>
  <c r="W95" i="92"/>
  <c r="G82" i="9"/>
  <c r="G84" i="92"/>
  <c r="CG65" i="23"/>
  <c r="V93" i="9"/>
  <c r="V95" i="92"/>
  <c r="AD66" i="22"/>
  <c r="AF66" i="22"/>
  <c r="F66" i="22"/>
  <c r="H66" i="22"/>
  <c r="V66" i="22"/>
  <c r="J66" i="22"/>
  <c r="Q66" i="22"/>
  <c r="I66" i="22"/>
  <c r="T66" i="22"/>
  <c r="AJ66" i="22"/>
  <c r="D66" i="22"/>
  <c r="X66" i="22"/>
  <c r="AT66" i="22"/>
  <c r="K66" i="22"/>
  <c r="AW66" i="22"/>
  <c r="P66" i="22"/>
  <c r="AU66" i="22"/>
  <c r="AV66" i="22"/>
  <c r="Z66" i="22"/>
  <c r="AO66" i="22"/>
  <c r="AL66" i="22"/>
  <c r="AB66" i="22"/>
  <c r="AS66" i="22"/>
  <c r="N66" i="22"/>
  <c r="AP66" i="22"/>
  <c r="Y66" i="22"/>
  <c r="G66" i="22"/>
  <c r="M66" i="22"/>
  <c r="W66" i="22"/>
  <c r="L66" i="22"/>
  <c r="AC66" i="22"/>
  <c r="AQ66" i="22"/>
  <c r="E66" i="22"/>
  <c r="U66" i="22"/>
  <c r="O66" i="22"/>
  <c r="AR66" i="22"/>
  <c r="AK66" i="22"/>
  <c r="AG66" i="22"/>
  <c r="AE66" i="22"/>
  <c r="AA66" i="22"/>
  <c r="AM66" i="22"/>
  <c r="AN66" i="22"/>
  <c r="B79" i="115"/>
  <c r="A78" i="115"/>
  <c r="G65" i="23"/>
  <c r="J84" i="9"/>
  <c r="J86" i="92"/>
  <c r="B75" i="72"/>
  <c r="O74" i="72"/>
  <c r="N74" i="72"/>
  <c r="L74" i="72"/>
  <c r="Y74" i="72"/>
  <c r="AC75" i="21" s="1"/>
  <c r="AC75" i="37" s="1"/>
  <c r="M74" i="72"/>
  <c r="H91" i="28"/>
  <c r="B92" i="28"/>
  <c r="F91" i="28"/>
  <c r="E91" i="28"/>
  <c r="G91" i="28"/>
  <c r="D91" i="28"/>
  <c r="P82" i="9"/>
  <c r="D54" i="115" s="1"/>
  <c r="P84" i="92"/>
  <c r="B104" i="143"/>
  <c r="S103" i="143" s="1"/>
  <c r="B103" i="145" s="1"/>
  <c r="B103" i="146" s="1"/>
  <c r="K79" i="16" l="1"/>
  <c r="I79" i="16"/>
  <c r="D79" i="16"/>
  <c r="E79" i="16"/>
  <c r="F79" i="16"/>
  <c r="J79" i="16"/>
  <c r="L79" i="16"/>
  <c r="H79" i="16"/>
  <c r="G79" i="16"/>
  <c r="G109" i="90"/>
  <c r="S88" i="9"/>
  <c r="D64" i="98" s="1"/>
  <c r="D63" i="31" s="1"/>
  <c r="S90" i="92"/>
  <c r="M90" i="9"/>
  <c r="M92" i="92"/>
  <c r="AG66" i="23"/>
  <c r="T66" i="23"/>
  <c r="Q67" i="23"/>
  <c r="BD67" i="23"/>
  <c r="AQ67" i="23"/>
  <c r="BQ67" i="23"/>
  <c r="CD67" i="23"/>
  <c r="AD67" i="23"/>
  <c r="D67" i="23"/>
  <c r="G85" i="92"/>
  <c r="G83" i="9"/>
  <c r="BG66" i="23"/>
  <c r="W94" i="9"/>
  <c r="W96" i="92"/>
  <c r="BT66" i="23"/>
  <c r="AH67" i="22"/>
  <c r="AY67" i="22"/>
  <c r="S67" i="22"/>
  <c r="AX67" i="22"/>
  <c r="R67" i="22"/>
  <c r="AI67" i="22"/>
  <c r="R67" i="23"/>
  <c r="BR67" i="23"/>
  <c r="CE67" i="23"/>
  <c r="E67" i="23"/>
  <c r="AE67" i="23"/>
  <c r="AR67" i="23"/>
  <c r="BE67" i="23"/>
  <c r="G66" i="23"/>
  <c r="A79" i="115"/>
  <c r="B80" i="115"/>
  <c r="AT66" i="23"/>
  <c r="V96" i="92"/>
  <c r="V94" i="9"/>
  <c r="S67" i="23"/>
  <c r="CF67" i="23"/>
  <c r="AS67" i="23"/>
  <c r="BS67" i="23"/>
  <c r="BF67" i="23"/>
  <c r="AF67" i="23"/>
  <c r="F67" i="23"/>
  <c r="CG66" i="23"/>
  <c r="AJ67" i="22"/>
  <c r="J67" i="22"/>
  <c r="AQ67" i="22"/>
  <c r="K67" i="22"/>
  <c r="U67" i="22"/>
  <c r="AV67" i="22"/>
  <c r="H67" i="22"/>
  <c r="AW67" i="22"/>
  <c r="AM67" i="22"/>
  <c r="AT67" i="22"/>
  <c r="P67" i="22"/>
  <c r="X67" i="22"/>
  <c r="T67" i="22"/>
  <c r="N67" i="22"/>
  <c r="AA67" i="22"/>
  <c r="AR67" i="22"/>
  <c r="AG67" i="22"/>
  <c r="AE67" i="22"/>
  <c r="L67" i="22"/>
  <c r="AP67" i="22"/>
  <c r="AK67" i="22"/>
  <c r="D67" i="22"/>
  <c r="AL67" i="22"/>
  <c r="AN67" i="22"/>
  <c r="I67" i="22"/>
  <c r="AF67" i="22"/>
  <c r="W67" i="22"/>
  <c r="AU67" i="22"/>
  <c r="AD67" i="22"/>
  <c r="Z67" i="22"/>
  <c r="AO67" i="22"/>
  <c r="AS67" i="22"/>
  <c r="Y67" i="22"/>
  <c r="V67" i="22"/>
  <c r="O67" i="22"/>
  <c r="M67" i="22"/>
  <c r="G67" i="22"/>
  <c r="AC67" i="22"/>
  <c r="AB67" i="22"/>
  <c r="Q67" i="22"/>
  <c r="E67" i="22"/>
  <c r="F67" i="22"/>
  <c r="B80" i="16"/>
  <c r="O79" i="16"/>
  <c r="N79" i="16"/>
  <c r="M79" i="16"/>
  <c r="M98" i="132"/>
  <c r="K98" i="132" s="1"/>
  <c r="P85" i="92"/>
  <c r="P83" i="9"/>
  <c r="D55" i="115" s="1"/>
  <c r="B105" i="143"/>
  <c r="S104" i="143" s="1"/>
  <c r="B104" i="145" s="1"/>
  <c r="B104" i="146" s="1"/>
  <c r="B76" i="72"/>
  <c r="N75" i="72"/>
  <c r="O75" i="72"/>
  <c r="L75" i="72"/>
  <c r="Y75" i="72"/>
  <c r="AC76" i="21" s="1"/>
  <c r="AC76" i="37" s="1"/>
  <c r="M75" i="72"/>
  <c r="J87" i="92"/>
  <c r="J85" i="9"/>
  <c r="E92" i="28"/>
  <c r="H92" i="28"/>
  <c r="B93" i="28"/>
  <c r="F92" i="28"/>
  <c r="G92" i="28"/>
  <c r="D92" i="28"/>
  <c r="D80" i="16" l="1"/>
  <c r="K80" i="16"/>
  <c r="E80" i="16"/>
  <c r="F80" i="16"/>
  <c r="L80" i="16"/>
  <c r="J80" i="16"/>
  <c r="I80" i="16"/>
  <c r="H80" i="16"/>
  <c r="G80" i="16"/>
  <c r="G110" i="90"/>
  <c r="S91" i="92"/>
  <c r="S89" i="9"/>
  <c r="D65" i="98" s="1"/>
  <c r="M91" i="9"/>
  <c r="M93" i="92"/>
  <c r="AG67" i="23"/>
  <c r="G86" i="92"/>
  <c r="G84" i="9"/>
  <c r="O80" i="16"/>
  <c r="B81" i="16"/>
  <c r="M80" i="16"/>
  <c r="N80" i="16"/>
  <c r="CD68" i="23"/>
  <c r="BQ68" i="23"/>
  <c r="D68" i="23"/>
  <c r="Q68" i="23"/>
  <c r="BD68" i="23"/>
  <c r="AQ68" i="23"/>
  <c r="AD68" i="23"/>
  <c r="A80" i="115"/>
  <c r="B81" i="115"/>
  <c r="G67" i="23"/>
  <c r="W95" i="9"/>
  <c r="W97" i="92"/>
  <c r="AX68" i="22"/>
  <c r="S68" i="22"/>
  <c r="AI68" i="22"/>
  <c r="AH68" i="22"/>
  <c r="AY68" i="22"/>
  <c r="R68" i="22"/>
  <c r="CG67" i="23"/>
  <c r="BT67" i="23"/>
  <c r="AE68" i="23"/>
  <c r="CE68" i="23"/>
  <c r="AR68" i="23"/>
  <c r="E68" i="23"/>
  <c r="BE68" i="23"/>
  <c r="BR68" i="23"/>
  <c r="R68" i="23"/>
  <c r="AT67" i="23"/>
  <c r="M99" i="132"/>
  <c r="K99" i="132" s="1"/>
  <c r="AS68" i="22"/>
  <c r="AW68" i="22"/>
  <c r="Z68" i="22"/>
  <c r="D68" i="22"/>
  <c r="O68" i="22"/>
  <c r="U68" i="22"/>
  <c r="AM68" i="22"/>
  <c r="AR68" i="22"/>
  <c r="W68" i="22"/>
  <c r="X68" i="22"/>
  <c r="N68" i="22"/>
  <c r="AT68" i="22"/>
  <c r="AQ68" i="22"/>
  <c r="AO68" i="22"/>
  <c r="AJ68" i="22"/>
  <c r="G68" i="22"/>
  <c r="P68" i="22"/>
  <c r="AG68" i="22"/>
  <c r="AD68" i="22"/>
  <c r="AN68" i="22"/>
  <c r="T68" i="22"/>
  <c r="Q68" i="22"/>
  <c r="AC68" i="22"/>
  <c r="V68" i="22"/>
  <c r="AA68" i="22"/>
  <c r="AE68" i="22"/>
  <c r="Y68" i="22"/>
  <c r="F68" i="22"/>
  <c r="AP68" i="22"/>
  <c r="AK68" i="22"/>
  <c r="M68" i="22"/>
  <c r="H68" i="22"/>
  <c r="AL68" i="22"/>
  <c r="K68" i="22"/>
  <c r="AU68" i="22"/>
  <c r="I68" i="22"/>
  <c r="AV68" i="22"/>
  <c r="E68" i="22"/>
  <c r="AF68" i="22"/>
  <c r="AB68" i="22"/>
  <c r="J68" i="22"/>
  <c r="L68" i="22"/>
  <c r="BG67" i="23"/>
  <c r="V97" i="92"/>
  <c r="V95" i="9"/>
  <c r="BF68" i="23"/>
  <c r="AS68" i="23"/>
  <c r="BS68" i="23"/>
  <c r="AF68" i="23"/>
  <c r="F68" i="23"/>
  <c r="S68" i="23"/>
  <c r="CF68" i="23"/>
  <c r="T67" i="23"/>
  <c r="J88" i="92"/>
  <c r="J86" i="9"/>
  <c r="P86" i="92"/>
  <c r="P84" i="9"/>
  <c r="D56" i="115" s="1"/>
  <c r="D93" i="28"/>
  <c r="E93" i="28"/>
  <c r="B94" i="28"/>
  <c r="H93" i="28"/>
  <c r="F93" i="28"/>
  <c r="G93" i="28"/>
  <c r="B77" i="72"/>
  <c r="N76" i="72"/>
  <c r="O76" i="72"/>
  <c r="L76" i="72"/>
  <c r="Y76" i="72"/>
  <c r="M76" i="72"/>
  <c r="B106" i="143"/>
  <c r="S105" i="143" s="1"/>
  <c r="B105" i="145" s="1"/>
  <c r="B105" i="146" s="1"/>
  <c r="F81" i="16" l="1"/>
  <c r="D81" i="16"/>
  <c r="I81" i="16"/>
  <c r="L81" i="16"/>
  <c r="E81" i="16"/>
  <c r="K81" i="16"/>
  <c r="J81" i="16"/>
  <c r="H81" i="16"/>
  <c r="G81" i="16"/>
  <c r="G111" i="90"/>
  <c r="S92" i="92"/>
  <c r="S90" i="9"/>
  <c r="D66" i="98" s="1"/>
  <c r="M94" i="92"/>
  <c r="M92" i="9"/>
  <c r="CG68" i="23"/>
  <c r="M100" i="132"/>
  <c r="K100" i="132" s="1"/>
  <c r="AG68" i="23"/>
  <c r="AD69" i="23"/>
  <c r="D69" i="23"/>
  <c r="AQ69" i="23"/>
  <c r="CD69" i="23"/>
  <c r="Q69" i="23"/>
  <c r="BD69" i="23"/>
  <c r="BQ69" i="23"/>
  <c r="AT68" i="23"/>
  <c r="N81" i="16"/>
  <c r="O81" i="16"/>
  <c r="B82" i="16"/>
  <c r="M81" i="16"/>
  <c r="S69" i="23"/>
  <c r="AS69" i="23"/>
  <c r="BS69" i="23"/>
  <c r="F69" i="23"/>
  <c r="CF69" i="23"/>
  <c r="AF69" i="23"/>
  <c r="BF69" i="23"/>
  <c r="AE69" i="22"/>
  <c r="T69" i="22"/>
  <c r="M69" i="22"/>
  <c r="X69" i="22"/>
  <c r="AD69" i="22"/>
  <c r="AS69" i="22"/>
  <c r="AK69" i="22"/>
  <c r="E69" i="22"/>
  <c r="K69" i="22"/>
  <c r="AA69" i="22"/>
  <c r="AO69" i="22"/>
  <c r="AB69" i="22"/>
  <c r="AU69" i="22"/>
  <c r="AN69" i="22"/>
  <c r="N69" i="22"/>
  <c r="AL69" i="22"/>
  <c r="D69" i="22"/>
  <c r="Q69" i="22"/>
  <c r="J69" i="22"/>
  <c r="AR69" i="22"/>
  <c r="P69" i="22"/>
  <c r="AT69" i="22"/>
  <c r="Y69" i="22"/>
  <c r="AM69" i="22"/>
  <c r="AF69" i="22"/>
  <c r="AP69" i="22"/>
  <c r="W69" i="22"/>
  <c r="Z69" i="22"/>
  <c r="G69" i="22"/>
  <c r="I69" i="22"/>
  <c r="AV69" i="22"/>
  <c r="O69" i="22"/>
  <c r="V69" i="22"/>
  <c r="F69" i="22"/>
  <c r="AJ69" i="22"/>
  <c r="AQ69" i="22"/>
  <c r="H69" i="22"/>
  <c r="U69" i="22"/>
  <c r="L69" i="22"/>
  <c r="AW69" i="22"/>
  <c r="AC69" i="22"/>
  <c r="AG69" i="22"/>
  <c r="E69" i="23"/>
  <c r="BR69" i="23"/>
  <c r="CE69" i="23"/>
  <c r="BE69" i="23"/>
  <c r="AR69" i="23"/>
  <c r="AE69" i="23"/>
  <c r="R69" i="23"/>
  <c r="BG68" i="23"/>
  <c r="V98" i="92"/>
  <c r="V96" i="9"/>
  <c r="W98" i="92"/>
  <c r="W96" i="9"/>
  <c r="T68" i="23"/>
  <c r="AX69" i="22"/>
  <c r="AH69" i="22"/>
  <c r="R69" i="22"/>
  <c r="S69" i="22"/>
  <c r="AY69" i="22"/>
  <c r="AI69" i="22"/>
  <c r="G68" i="23"/>
  <c r="A81" i="115"/>
  <c r="B82" i="115"/>
  <c r="BT68" i="23"/>
  <c r="G85" i="9"/>
  <c r="G87" i="92"/>
  <c r="P87" i="92"/>
  <c r="P85" i="9"/>
  <c r="D57" i="115" s="1"/>
  <c r="B78" i="72"/>
  <c r="N77" i="72"/>
  <c r="O77" i="72"/>
  <c r="L77" i="72"/>
  <c r="M77" i="72"/>
  <c r="Y77" i="72"/>
  <c r="B95" i="28"/>
  <c r="F94" i="28"/>
  <c r="E94" i="28"/>
  <c r="G94" i="28"/>
  <c r="D94" i="28"/>
  <c r="H94" i="28"/>
  <c r="J89" i="92"/>
  <c r="J87" i="9"/>
  <c r="B107" i="143"/>
  <c r="J82" i="16" l="1"/>
  <c r="F82" i="16"/>
  <c r="L82" i="16"/>
  <c r="K82" i="16"/>
  <c r="I82" i="16"/>
  <c r="E82" i="16"/>
  <c r="D82" i="16"/>
  <c r="H82" i="16"/>
  <c r="G82" i="16"/>
  <c r="G112" i="90"/>
  <c r="S93" i="92"/>
  <c r="S91" i="9"/>
  <c r="D67" i="98" s="1"/>
  <c r="M95" i="92"/>
  <c r="M93" i="9"/>
  <c r="CG69" i="23"/>
  <c r="T69" i="23"/>
  <c r="S70" i="22"/>
  <c r="AH70" i="22"/>
  <c r="AY70" i="22"/>
  <c r="AX70" i="22"/>
  <c r="R70" i="22"/>
  <c r="AI70" i="22"/>
  <c r="B83" i="16"/>
  <c r="O82" i="16"/>
  <c r="M82" i="16"/>
  <c r="N82" i="16"/>
  <c r="W99" i="92"/>
  <c r="W97" i="9"/>
  <c r="CD70" i="23"/>
  <c r="Q70" i="23"/>
  <c r="AQ70" i="23"/>
  <c r="D70" i="23"/>
  <c r="BQ70" i="23"/>
  <c r="AD70" i="23"/>
  <c r="BD70" i="23"/>
  <c r="AT69" i="23"/>
  <c r="BF70" i="23"/>
  <c r="F70" i="23"/>
  <c r="AS70" i="23"/>
  <c r="S70" i="23"/>
  <c r="CF70" i="23"/>
  <c r="BS70" i="23"/>
  <c r="AF70" i="23"/>
  <c r="G69" i="23"/>
  <c r="G88" i="92"/>
  <c r="G86" i="9"/>
  <c r="AG69" i="23"/>
  <c r="AL70" i="22"/>
  <c r="AE70" i="22"/>
  <c r="J70" i="22"/>
  <c r="AT70" i="22"/>
  <c r="AW70" i="22"/>
  <c r="AM70" i="22"/>
  <c r="F70" i="22"/>
  <c r="Q70" i="22"/>
  <c r="L70" i="22"/>
  <c r="AF70" i="22"/>
  <c r="AK70" i="22"/>
  <c r="AS70" i="22"/>
  <c r="I70" i="22"/>
  <c r="AB70" i="22"/>
  <c r="H70" i="22"/>
  <c r="AU70" i="22"/>
  <c r="AP70" i="22"/>
  <c r="Y70" i="22"/>
  <c r="AA70" i="22"/>
  <c r="Z70" i="22"/>
  <c r="AR70" i="22"/>
  <c r="AQ70" i="22"/>
  <c r="W70" i="22"/>
  <c r="AJ70" i="22"/>
  <c r="M70" i="22"/>
  <c r="N70" i="22"/>
  <c r="P70" i="22"/>
  <c r="U70" i="22"/>
  <c r="T70" i="22"/>
  <c r="AV70" i="22"/>
  <c r="AG70" i="22"/>
  <c r="AC70" i="22"/>
  <c r="D70" i="22"/>
  <c r="V70" i="22"/>
  <c r="AD70" i="22"/>
  <c r="G70" i="22"/>
  <c r="O70" i="22"/>
  <c r="X70" i="22"/>
  <c r="AO70" i="22"/>
  <c r="E70" i="22"/>
  <c r="AN70" i="22"/>
  <c r="K70" i="22"/>
  <c r="V99" i="92"/>
  <c r="V97" i="9"/>
  <c r="BT69" i="23"/>
  <c r="A82" i="115"/>
  <c r="B83" i="115"/>
  <c r="AR70" i="23"/>
  <c r="CE70" i="23"/>
  <c r="AE70" i="23"/>
  <c r="BR70" i="23"/>
  <c r="R70" i="23"/>
  <c r="E70" i="23"/>
  <c r="BE70" i="23"/>
  <c r="BG69" i="23"/>
  <c r="M101" i="132"/>
  <c r="K101" i="132" s="1"/>
  <c r="B108" i="143"/>
  <c r="S107" i="143" s="1"/>
  <c r="B107" i="145" s="1"/>
  <c r="B107" i="146" s="1"/>
  <c r="S106" i="143"/>
  <c r="B106" i="145" s="1"/>
  <c r="B106" i="146" s="1"/>
  <c r="J88" i="9"/>
  <c r="J90" i="92"/>
  <c r="B79" i="72"/>
  <c r="O78" i="72"/>
  <c r="N78" i="72"/>
  <c r="L78" i="72"/>
  <c r="Y78" i="72"/>
  <c r="AC79" i="21" s="1"/>
  <c r="AC79" i="37" s="1"/>
  <c r="M78" i="72"/>
  <c r="E95" i="28"/>
  <c r="B96" i="28"/>
  <c r="F95" i="28"/>
  <c r="G95" i="28"/>
  <c r="H95" i="28"/>
  <c r="D95" i="28"/>
  <c r="P86" i="9"/>
  <c r="D58" i="115" s="1"/>
  <c r="P88" i="92"/>
  <c r="J83" i="16" l="1"/>
  <c r="K83" i="16"/>
  <c r="I83" i="16"/>
  <c r="L83" i="16"/>
  <c r="F83" i="16"/>
  <c r="E83" i="16"/>
  <c r="D83" i="16"/>
  <c r="H83" i="16"/>
  <c r="G83" i="16"/>
  <c r="G113" i="90"/>
  <c r="G70" i="23"/>
  <c r="S92" i="9"/>
  <c r="D68" i="98" s="1"/>
  <c r="S94" i="92"/>
  <c r="M94" i="9"/>
  <c r="M96" i="92"/>
  <c r="BT70" i="23"/>
  <c r="T70" i="23"/>
  <c r="D71" i="22"/>
  <c r="M71" i="22"/>
  <c r="AN71" i="22"/>
  <c r="H71" i="22"/>
  <c r="AF71" i="22"/>
  <c r="AO71" i="22"/>
  <c r="X71" i="22"/>
  <c r="L71" i="22"/>
  <c r="F71" i="22"/>
  <c r="AB71" i="22"/>
  <c r="N71" i="22"/>
  <c r="V71" i="22"/>
  <c r="AJ71" i="22"/>
  <c r="I71" i="22"/>
  <c r="P71" i="22"/>
  <c r="AU71" i="22"/>
  <c r="Q71" i="22"/>
  <c r="AA71" i="22"/>
  <c r="Y71" i="22"/>
  <c r="AS71" i="22"/>
  <c r="AC71" i="22"/>
  <c r="AV71" i="22"/>
  <c r="AD71" i="22"/>
  <c r="AT71" i="22"/>
  <c r="O71" i="22"/>
  <c r="U71" i="22"/>
  <c r="AR71" i="22"/>
  <c r="AL71" i="22"/>
  <c r="AE71" i="22"/>
  <c r="AQ71" i="22"/>
  <c r="W71" i="22"/>
  <c r="K71" i="22"/>
  <c r="AM71" i="22"/>
  <c r="J71" i="22"/>
  <c r="AW71" i="22"/>
  <c r="Z71" i="22"/>
  <c r="T71" i="22"/>
  <c r="AG71" i="22"/>
  <c r="E71" i="22"/>
  <c r="AK71" i="22"/>
  <c r="G71" i="22"/>
  <c r="AP71" i="22"/>
  <c r="G89" i="92"/>
  <c r="G87" i="9"/>
  <c r="CG70" i="23"/>
  <c r="V100" i="92"/>
  <c r="V98" i="9"/>
  <c r="CD71" i="23"/>
  <c r="AQ71" i="23"/>
  <c r="BQ71" i="23"/>
  <c r="BD71" i="23"/>
  <c r="Q71" i="23"/>
  <c r="AD71" i="23"/>
  <c r="D71" i="23"/>
  <c r="AX71" i="22"/>
  <c r="S71" i="22"/>
  <c r="AH71" i="22"/>
  <c r="AI71" i="22"/>
  <c r="R71" i="22"/>
  <c r="AY71" i="22"/>
  <c r="O83" i="16"/>
  <c r="B84" i="16"/>
  <c r="N83" i="16"/>
  <c r="M83" i="16"/>
  <c r="BG70" i="23"/>
  <c r="W100" i="92"/>
  <c r="W98" i="9"/>
  <c r="BE71" i="23"/>
  <c r="AE71" i="23"/>
  <c r="AR71" i="23"/>
  <c r="BR71" i="23"/>
  <c r="CE71" i="23"/>
  <c r="E71" i="23"/>
  <c r="R71" i="23"/>
  <c r="M102" i="132"/>
  <c r="K102" i="132" s="1"/>
  <c r="AG70" i="23"/>
  <c r="AS71" i="23"/>
  <c r="F71" i="23"/>
  <c r="CF71" i="23"/>
  <c r="AF71" i="23"/>
  <c r="BS71" i="23"/>
  <c r="BF71" i="23"/>
  <c r="S71" i="23"/>
  <c r="B84" i="115"/>
  <c r="A83" i="115"/>
  <c r="AT70" i="23"/>
  <c r="B80" i="72"/>
  <c r="L79" i="72"/>
  <c r="N79" i="72"/>
  <c r="O79" i="72"/>
  <c r="M79" i="72"/>
  <c r="Y79" i="72"/>
  <c r="AC80" i="21" s="1"/>
  <c r="AC80" i="37" s="1"/>
  <c r="P89" i="92"/>
  <c r="P87" i="9"/>
  <c r="D59" i="115" s="1"/>
  <c r="F96" i="28"/>
  <c r="G96" i="28"/>
  <c r="E96" i="28"/>
  <c r="H96" i="28"/>
  <c r="B97" i="28"/>
  <c r="D96" i="28"/>
  <c r="B109" i="143"/>
  <c r="S108" i="143" s="1"/>
  <c r="B108" i="145" s="1"/>
  <c r="B108" i="146" s="1"/>
  <c r="J89" i="9"/>
  <c r="J91" i="92"/>
  <c r="L84" i="16" l="1"/>
  <c r="J84" i="16"/>
  <c r="F84" i="16"/>
  <c r="D84" i="16"/>
  <c r="I84" i="16"/>
  <c r="K84" i="16"/>
  <c r="E84" i="16"/>
  <c r="H84" i="16"/>
  <c r="G84" i="16"/>
  <c r="G114" i="90"/>
  <c r="S95" i="92"/>
  <c r="S93" i="9"/>
  <c r="D69" i="98" s="1"/>
  <c r="M97" i="92"/>
  <c r="M95" i="9"/>
  <c r="BT71" i="23"/>
  <c r="B85" i="115"/>
  <c r="A84" i="115"/>
  <c r="G71" i="23"/>
  <c r="V99" i="9"/>
  <c r="V101" i="92"/>
  <c r="AG71" i="23"/>
  <c r="AR72" i="23"/>
  <c r="BE72" i="23"/>
  <c r="E72" i="23"/>
  <c r="BR72" i="23"/>
  <c r="R72" i="23"/>
  <c r="AE72" i="23"/>
  <c r="CE72" i="23"/>
  <c r="V72" i="22"/>
  <c r="AD72" i="22"/>
  <c r="AM72" i="22"/>
  <c r="M72" i="22"/>
  <c r="AK72" i="22"/>
  <c r="O72" i="22"/>
  <c r="N72" i="22"/>
  <c r="I72" i="22"/>
  <c r="AU72" i="22"/>
  <c r="L72" i="22"/>
  <c r="Q72" i="22"/>
  <c r="AO72" i="22"/>
  <c r="AT72" i="22"/>
  <c r="F72" i="22"/>
  <c r="AJ72" i="22"/>
  <c r="P72" i="22"/>
  <c r="K72" i="22"/>
  <c r="AN72" i="22"/>
  <c r="AB72" i="22"/>
  <c r="D72" i="22"/>
  <c r="AE72" i="22"/>
  <c r="W72" i="22"/>
  <c r="U72" i="22"/>
  <c r="AL72" i="22"/>
  <c r="X72" i="22"/>
  <c r="AR72" i="22"/>
  <c r="Z72" i="22"/>
  <c r="Y72" i="22"/>
  <c r="AS72" i="22"/>
  <c r="J72" i="22"/>
  <c r="AW72" i="22"/>
  <c r="E72" i="22"/>
  <c r="AG72" i="22"/>
  <c r="H72" i="22"/>
  <c r="AQ72" i="22"/>
  <c r="AA72" i="22"/>
  <c r="AV72" i="22"/>
  <c r="T72" i="22"/>
  <c r="AP72" i="22"/>
  <c r="G72" i="22"/>
  <c r="AF72" i="22"/>
  <c r="AC72" i="22"/>
  <c r="M103" i="132"/>
  <c r="K103" i="132" s="1"/>
  <c r="AI72" i="22"/>
  <c r="AX72" i="22"/>
  <c r="R72" i="22"/>
  <c r="S72" i="22"/>
  <c r="AY72" i="22"/>
  <c r="AH72" i="22"/>
  <c r="M84" i="16"/>
  <c r="B85" i="16"/>
  <c r="O84" i="16"/>
  <c r="N84" i="16"/>
  <c r="AS72" i="23"/>
  <c r="CF72" i="23"/>
  <c r="AF72" i="23"/>
  <c r="BF72" i="23"/>
  <c r="S72" i="23"/>
  <c r="BS72" i="23"/>
  <c r="F72" i="23"/>
  <c r="T71" i="23"/>
  <c r="W99" i="9"/>
  <c r="W101" i="92"/>
  <c r="BG71" i="23"/>
  <c r="G88" i="9"/>
  <c r="G90" i="92"/>
  <c r="AT71" i="23"/>
  <c r="CG71" i="23"/>
  <c r="D72" i="23"/>
  <c r="AQ72" i="23"/>
  <c r="Q72" i="23"/>
  <c r="CD72" i="23"/>
  <c r="BQ72" i="23"/>
  <c r="BD72" i="23"/>
  <c r="AD72" i="23"/>
  <c r="B110" i="143"/>
  <c r="S109" i="143" s="1"/>
  <c r="B109" i="145" s="1"/>
  <c r="B109" i="146" s="1"/>
  <c r="J90" i="9"/>
  <c r="J92" i="92"/>
  <c r="P90" i="92"/>
  <c r="P88" i="9"/>
  <c r="D60" i="115" s="1"/>
  <c r="D97" i="28"/>
  <c r="B98" i="28"/>
  <c r="H97" i="28"/>
  <c r="F97" i="28"/>
  <c r="G97" i="28"/>
  <c r="E97" i="28"/>
  <c r="B81" i="72"/>
  <c r="L80" i="72"/>
  <c r="N80" i="72"/>
  <c r="O80" i="72"/>
  <c r="Y80" i="72"/>
  <c r="AC81" i="21" s="1"/>
  <c r="AC81" i="37" s="1"/>
  <c r="M80" i="72"/>
  <c r="K85" i="16" l="1"/>
  <c r="I85" i="16"/>
  <c r="L85" i="16"/>
  <c r="J85" i="16"/>
  <c r="E85" i="16"/>
  <c r="D85" i="16"/>
  <c r="F85" i="16"/>
  <c r="H85" i="16"/>
  <c r="G85" i="16"/>
  <c r="G115" i="90"/>
  <c r="CG72" i="23"/>
  <c r="S94" i="9"/>
  <c r="D70" i="98" s="1"/>
  <c r="S96" i="92"/>
  <c r="BT72" i="23"/>
  <c r="M98" i="92"/>
  <c r="M96" i="9"/>
  <c r="AT72" i="23"/>
  <c r="T72" i="23"/>
  <c r="M104" i="132"/>
  <c r="K104" i="132" s="1"/>
  <c r="G72" i="23"/>
  <c r="W102" i="92"/>
  <c r="W100" i="9"/>
  <c r="BF73" i="23"/>
  <c r="CF73" i="23"/>
  <c r="S73" i="23"/>
  <c r="F73" i="23"/>
  <c r="AF73" i="23"/>
  <c r="AS73" i="23"/>
  <c r="BS73" i="23"/>
  <c r="AH73" i="22"/>
  <c r="AI73" i="22"/>
  <c r="S73" i="22"/>
  <c r="R73" i="22"/>
  <c r="AX73" i="22"/>
  <c r="AY73" i="22"/>
  <c r="V102" i="92"/>
  <c r="V100" i="9"/>
  <c r="AG72" i="23"/>
  <c r="M85" i="16"/>
  <c r="N85" i="16"/>
  <c r="B86" i="16"/>
  <c r="O85" i="16"/>
  <c r="AM73" i="22"/>
  <c r="W73" i="22"/>
  <c r="N73" i="22"/>
  <c r="AQ73" i="22"/>
  <c r="AT73" i="22"/>
  <c r="AA73" i="22"/>
  <c r="AB73" i="22"/>
  <c r="I73" i="22"/>
  <c r="AN73" i="22"/>
  <c r="AL73" i="22"/>
  <c r="AJ73" i="22"/>
  <c r="M73" i="22"/>
  <c r="T73" i="22"/>
  <c r="E73" i="22"/>
  <c r="J73" i="22"/>
  <c r="U73" i="22"/>
  <c r="AC73" i="22"/>
  <c r="AV73" i="22"/>
  <c r="AE73" i="22"/>
  <c r="Y73" i="22"/>
  <c r="AU73" i="22"/>
  <c r="O73" i="22"/>
  <c r="AO73" i="22"/>
  <c r="AK73" i="22"/>
  <c r="P73" i="22"/>
  <c r="AW73" i="22"/>
  <c r="L73" i="22"/>
  <c r="AF73" i="22"/>
  <c r="D73" i="22"/>
  <c r="X73" i="22"/>
  <c r="AD73" i="22"/>
  <c r="Q73" i="22"/>
  <c r="AS73" i="22"/>
  <c r="AP73" i="22"/>
  <c r="K73" i="22"/>
  <c r="G73" i="22"/>
  <c r="H73" i="22"/>
  <c r="AR73" i="22"/>
  <c r="AG73" i="22"/>
  <c r="V73" i="22"/>
  <c r="Z73" i="22"/>
  <c r="F73" i="22"/>
  <c r="BG72" i="23"/>
  <c r="AE73" i="23"/>
  <c r="BR73" i="23"/>
  <c r="R73" i="23"/>
  <c r="BE73" i="23"/>
  <c r="AR73" i="23"/>
  <c r="E73" i="23"/>
  <c r="CE73" i="23"/>
  <c r="D73" i="23"/>
  <c r="CD73" i="23"/>
  <c r="Q73" i="23"/>
  <c r="BD73" i="23"/>
  <c r="BQ73" i="23"/>
  <c r="AD73" i="23"/>
  <c r="AQ73" i="23"/>
  <c r="G89" i="9"/>
  <c r="G91" i="92"/>
  <c r="B86" i="115"/>
  <c r="A85" i="115"/>
  <c r="B111" i="143"/>
  <c r="S110" i="143" s="1"/>
  <c r="B110" i="145" s="1"/>
  <c r="B110" i="146" s="1"/>
  <c r="D98" i="28"/>
  <c r="F98" i="28"/>
  <c r="G98" i="28"/>
  <c r="E98" i="28"/>
  <c r="H98" i="28"/>
  <c r="B99" i="28"/>
  <c r="P91" i="92"/>
  <c r="P89" i="9"/>
  <c r="D61" i="115" s="1"/>
  <c r="B82" i="72"/>
  <c r="O81" i="72"/>
  <c r="L81" i="72"/>
  <c r="N81" i="72"/>
  <c r="Y81" i="72"/>
  <c r="AC82" i="21" s="1"/>
  <c r="AC82" i="37" s="1"/>
  <c r="M81" i="72"/>
  <c r="J91" i="9"/>
  <c r="J93" i="92"/>
  <c r="K86" i="16" l="1"/>
  <c r="D86" i="16"/>
  <c r="F86" i="16"/>
  <c r="L86" i="16"/>
  <c r="E86" i="16"/>
  <c r="I86" i="16"/>
  <c r="J86" i="16"/>
  <c r="H86" i="16"/>
  <c r="G86" i="16"/>
  <c r="G116" i="90"/>
  <c r="S95" i="9"/>
  <c r="D71" i="98" s="1"/>
  <c r="S97" i="92"/>
  <c r="M99" i="92"/>
  <c r="M97" i="9"/>
  <c r="BT73" i="23"/>
  <c r="CG73" i="23"/>
  <c r="G73" i="23"/>
  <c r="G90" i="9"/>
  <c r="G92" i="92"/>
  <c r="A86" i="115"/>
  <c r="B87" i="115"/>
  <c r="AT73" i="23"/>
  <c r="M86" i="16"/>
  <c r="B87" i="16"/>
  <c r="O86" i="16"/>
  <c r="N86" i="16"/>
  <c r="AX74" i="22"/>
  <c r="AH74" i="22"/>
  <c r="R74" i="22"/>
  <c r="AI74" i="22"/>
  <c r="AY74" i="22"/>
  <c r="S74" i="22"/>
  <c r="AG73" i="23"/>
  <c r="AP74" i="22"/>
  <c r="W74" i="22"/>
  <c r="O74" i="22"/>
  <c r="H74" i="22"/>
  <c r="I74" i="22"/>
  <c r="D74" i="22"/>
  <c r="AD74" i="22"/>
  <c r="AB74" i="22"/>
  <c r="J74" i="22"/>
  <c r="M74" i="22"/>
  <c r="AV74" i="22"/>
  <c r="Z74" i="22"/>
  <c r="F74" i="22"/>
  <c r="N74" i="22"/>
  <c r="T74" i="22"/>
  <c r="AT74" i="22"/>
  <c r="AU74" i="22"/>
  <c r="AG74" i="22"/>
  <c r="Y74" i="22"/>
  <c r="AC74" i="22"/>
  <c r="U74" i="22"/>
  <c r="AF74" i="22"/>
  <c r="V74" i="22"/>
  <c r="AS74" i="22"/>
  <c r="G74" i="22"/>
  <c r="AK74" i="22"/>
  <c r="AM74" i="22"/>
  <c r="K74" i="22"/>
  <c r="AQ74" i="22"/>
  <c r="AE74" i="22"/>
  <c r="AW74" i="22"/>
  <c r="L74" i="22"/>
  <c r="Q74" i="22"/>
  <c r="AN74" i="22"/>
  <c r="X74" i="22"/>
  <c r="P74" i="22"/>
  <c r="E74" i="22"/>
  <c r="AL74" i="22"/>
  <c r="AA74" i="22"/>
  <c r="AO74" i="22"/>
  <c r="AJ74" i="22"/>
  <c r="AR74" i="22"/>
  <c r="W101" i="9"/>
  <c r="W103" i="92"/>
  <c r="V103" i="92"/>
  <c r="V101" i="9"/>
  <c r="BG73" i="23"/>
  <c r="D74" i="23"/>
  <c r="AQ74" i="23"/>
  <c r="Q74" i="23"/>
  <c r="AD74" i="23"/>
  <c r="CD74" i="23"/>
  <c r="BQ74" i="23"/>
  <c r="BD74" i="23"/>
  <c r="BF74" i="23"/>
  <c r="AF74" i="23"/>
  <c r="AS74" i="23"/>
  <c r="S74" i="23"/>
  <c r="BS74" i="23"/>
  <c r="CF74" i="23"/>
  <c r="F74" i="23"/>
  <c r="T73" i="23"/>
  <c r="CE74" i="23"/>
  <c r="AE74" i="23"/>
  <c r="AR74" i="23"/>
  <c r="BE74" i="23"/>
  <c r="BR74" i="23"/>
  <c r="R74" i="23"/>
  <c r="E74" i="23"/>
  <c r="M105" i="132"/>
  <c r="K105" i="132" s="1"/>
  <c r="J92" i="9"/>
  <c r="J94" i="92"/>
  <c r="B83" i="72"/>
  <c r="L82" i="72"/>
  <c r="O82" i="72"/>
  <c r="N82" i="72"/>
  <c r="Y82" i="72"/>
  <c r="M82" i="72"/>
  <c r="M83" i="21" s="1"/>
  <c r="M83" i="37" s="1"/>
  <c r="P92" i="92"/>
  <c r="P90" i="9"/>
  <c r="D62" i="115" s="1"/>
  <c r="B112" i="143"/>
  <c r="S111" i="143" s="1"/>
  <c r="B111" i="145" s="1"/>
  <c r="B111" i="146" s="1"/>
  <c r="H99" i="28"/>
  <c r="G99" i="28"/>
  <c r="B100" i="28"/>
  <c r="F99" i="28"/>
  <c r="D99" i="28"/>
  <c r="E99" i="28"/>
  <c r="D87" i="16" l="1"/>
  <c r="E87" i="16"/>
  <c r="I87" i="16"/>
  <c r="F87" i="16"/>
  <c r="L87" i="16"/>
  <c r="J87" i="16"/>
  <c r="K87" i="16"/>
  <c r="H87" i="16"/>
  <c r="G87" i="16"/>
  <c r="G117" i="90"/>
  <c r="S96" i="9"/>
  <c r="D72" i="98" s="1"/>
  <c r="S98" i="92"/>
  <c r="M98" i="9"/>
  <c r="M100" i="92"/>
  <c r="BT74" i="23"/>
  <c r="CG74" i="23"/>
  <c r="W104" i="92"/>
  <c r="W102" i="9"/>
  <c r="AG74" i="23"/>
  <c r="AI75" i="22"/>
  <c r="AH75" i="22"/>
  <c r="AX75" i="22"/>
  <c r="R75" i="22"/>
  <c r="AY75" i="22"/>
  <c r="S75" i="22"/>
  <c r="B88" i="115"/>
  <c r="A87" i="115"/>
  <c r="V102" i="9"/>
  <c r="V104" i="92"/>
  <c r="T74" i="23"/>
  <c r="Q75" i="23"/>
  <c r="BQ75" i="23"/>
  <c r="AQ75" i="23"/>
  <c r="BD75" i="23"/>
  <c r="AD75" i="23"/>
  <c r="CD75" i="23"/>
  <c r="D75" i="23"/>
  <c r="AE75" i="23"/>
  <c r="E75" i="23"/>
  <c r="BR75" i="23"/>
  <c r="AR75" i="23"/>
  <c r="R75" i="23"/>
  <c r="CE75" i="23"/>
  <c r="BE75" i="23"/>
  <c r="B88" i="16"/>
  <c r="N87" i="16"/>
  <c r="O87" i="16"/>
  <c r="M87" i="16"/>
  <c r="AT74" i="23"/>
  <c r="G74" i="23"/>
  <c r="G91" i="9"/>
  <c r="G93" i="92"/>
  <c r="M106" i="132"/>
  <c r="K106" i="132" s="1"/>
  <c r="BG74" i="23"/>
  <c r="X75" i="22"/>
  <c r="AE75" i="22"/>
  <c r="P75" i="22"/>
  <c r="F75" i="22"/>
  <c r="H75" i="22"/>
  <c r="AC75" i="22"/>
  <c r="V75" i="22"/>
  <c r="AK75" i="22"/>
  <c r="AL75" i="22"/>
  <c r="E75" i="22"/>
  <c r="AV75" i="22"/>
  <c r="Z75" i="22"/>
  <c r="AO75" i="22"/>
  <c r="W75" i="22"/>
  <c r="AS75" i="22"/>
  <c r="AA75" i="22"/>
  <c r="AU75" i="22"/>
  <c r="AW75" i="22"/>
  <c r="AG75" i="22"/>
  <c r="J75" i="22"/>
  <c r="O75" i="22"/>
  <c r="AR75" i="22"/>
  <c r="AM75" i="22"/>
  <c r="D75" i="22"/>
  <c r="N75" i="22"/>
  <c r="AB75" i="22"/>
  <c r="AF75" i="22"/>
  <c r="AN75" i="22"/>
  <c r="I75" i="22"/>
  <c r="M75" i="22"/>
  <c r="Q75" i="22"/>
  <c r="U75" i="22"/>
  <c r="AD75" i="22"/>
  <c r="AP75" i="22"/>
  <c r="AT75" i="22"/>
  <c r="G75" i="22"/>
  <c r="L75" i="22"/>
  <c r="T75" i="22"/>
  <c r="AQ75" i="22"/>
  <c r="AJ75" i="22"/>
  <c r="K75" i="22"/>
  <c r="Y75" i="22"/>
  <c r="F75" i="23"/>
  <c r="AS75" i="23"/>
  <c r="BS75" i="23"/>
  <c r="BF75" i="23"/>
  <c r="CF75" i="23"/>
  <c r="AF75" i="23"/>
  <c r="S75" i="23"/>
  <c r="B84" i="72"/>
  <c r="N83" i="72"/>
  <c r="O83" i="72"/>
  <c r="L83" i="72"/>
  <c r="M83" i="72"/>
  <c r="Y83" i="72"/>
  <c r="AC84" i="21" s="1"/>
  <c r="AC84" i="37" s="1"/>
  <c r="J95" i="92"/>
  <c r="J93" i="9"/>
  <c r="B113" i="143"/>
  <c r="S112" i="143" s="1"/>
  <c r="B112" i="145" s="1"/>
  <c r="B112" i="146" s="1"/>
  <c r="G100" i="28"/>
  <c r="D100" i="28"/>
  <c r="H100" i="28"/>
  <c r="B101" i="28"/>
  <c r="E100" i="28"/>
  <c r="F100" i="28"/>
  <c r="P91" i="9"/>
  <c r="D63" i="115" s="1"/>
  <c r="P93" i="92"/>
  <c r="L88" i="16" l="1"/>
  <c r="J88" i="16"/>
  <c r="D88" i="16"/>
  <c r="E88" i="16"/>
  <c r="F88" i="16"/>
  <c r="I88" i="16"/>
  <c r="K88" i="16"/>
  <c r="H88" i="16"/>
  <c r="G88" i="16"/>
  <c r="G118" i="90"/>
  <c r="S99" i="92"/>
  <c r="S97" i="9"/>
  <c r="D73" i="98" s="1"/>
  <c r="M101" i="92"/>
  <c r="M99" i="9"/>
  <c r="G92" i="9"/>
  <c r="G94" i="92"/>
  <c r="B89" i="16"/>
  <c r="O88" i="16"/>
  <c r="M88" i="16"/>
  <c r="N88" i="16"/>
  <c r="AG75" i="23"/>
  <c r="R76" i="23"/>
  <c r="AE76" i="23"/>
  <c r="BE76" i="23"/>
  <c r="E76" i="23"/>
  <c r="AR76" i="23"/>
  <c r="CE76" i="23"/>
  <c r="BR76" i="23"/>
  <c r="G75" i="23"/>
  <c r="V103" i="9"/>
  <c r="V105" i="92"/>
  <c r="CG75" i="23"/>
  <c r="AD76" i="22"/>
  <c r="AS76" i="22"/>
  <c r="V76" i="22"/>
  <c r="L76" i="22"/>
  <c r="AF76" i="22"/>
  <c r="AN76" i="22"/>
  <c r="AM76" i="22"/>
  <c r="T76" i="22"/>
  <c r="J76" i="22"/>
  <c r="F76" i="22"/>
  <c r="AE76" i="22"/>
  <c r="E76" i="22"/>
  <c r="H76" i="22"/>
  <c r="G76" i="22"/>
  <c r="AG76" i="22"/>
  <c r="K76" i="22"/>
  <c r="AQ76" i="22"/>
  <c r="N76" i="22"/>
  <c r="Y76" i="22"/>
  <c r="U76" i="22"/>
  <c r="Z76" i="22"/>
  <c r="D76" i="22"/>
  <c r="AA76" i="22"/>
  <c r="I76" i="22"/>
  <c r="AU76" i="22"/>
  <c r="AR76" i="22"/>
  <c r="AB76" i="22"/>
  <c r="M76" i="22"/>
  <c r="O76" i="22"/>
  <c r="P76" i="22"/>
  <c r="AP76" i="22"/>
  <c r="AC76" i="22"/>
  <c r="AT76" i="22"/>
  <c r="AL76" i="22"/>
  <c r="AJ76" i="22"/>
  <c r="Q76" i="22"/>
  <c r="AV76" i="22"/>
  <c r="X76" i="22"/>
  <c r="AW76" i="22"/>
  <c r="W76" i="22"/>
  <c r="AK76" i="22"/>
  <c r="AO76" i="22"/>
  <c r="BQ76" i="23"/>
  <c r="AQ76" i="23"/>
  <c r="AD76" i="23"/>
  <c r="D76" i="23"/>
  <c r="BD76" i="23"/>
  <c r="Q76" i="23"/>
  <c r="CD76" i="23"/>
  <c r="T75" i="23"/>
  <c r="BG75" i="23"/>
  <c r="B89" i="115"/>
  <c r="A88" i="115"/>
  <c r="S76" i="22"/>
  <c r="AX76" i="22"/>
  <c r="AY76" i="22"/>
  <c r="R76" i="22"/>
  <c r="AI76" i="22"/>
  <c r="AH76" i="22"/>
  <c r="M107" i="132"/>
  <c r="K107" i="132" s="1"/>
  <c r="AT75" i="23"/>
  <c r="W103" i="9"/>
  <c r="W105" i="92"/>
  <c r="BT75" i="23"/>
  <c r="AF76" i="23"/>
  <c r="F76" i="23"/>
  <c r="AS76" i="23"/>
  <c r="S76" i="23"/>
  <c r="BF76" i="23"/>
  <c r="BS76" i="23"/>
  <c r="CF76" i="23"/>
  <c r="J94" i="9"/>
  <c r="J96" i="92"/>
  <c r="B85" i="72"/>
  <c r="N84" i="72"/>
  <c r="O84" i="72"/>
  <c r="L84" i="72"/>
  <c r="M84" i="72"/>
  <c r="Y84" i="72"/>
  <c r="E101" i="28"/>
  <c r="B102" i="28"/>
  <c r="D101" i="28"/>
  <c r="H101" i="28"/>
  <c r="G101" i="28"/>
  <c r="F101" i="28"/>
  <c r="B114" i="143"/>
  <c r="P92" i="9"/>
  <c r="D64" i="115" s="1"/>
  <c r="P94" i="92"/>
  <c r="E89" i="16" l="1"/>
  <c r="L89" i="16"/>
  <c r="F89" i="16"/>
  <c r="I89" i="16"/>
  <c r="D89" i="16"/>
  <c r="K89" i="16"/>
  <c r="J89" i="16"/>
  <c r="H89" i="16"/>
  <c r="G89" i="16"/>
  <c r="G119" i="90"/>
  <c r="S98" i="9"/>
  <c r="D74" i="98" s="1"/>
  <c r="S100" i="92"/>
  <c r="M100" i="9"/>
  <c r="M102" i="92"/>
  <c r="BT76" i="23"/>
  <c r="AQ77" i="23"/>
  <c r="AD77" i="23"/>
  <c r="CD77" i="23"/>
  <c r="BD77" i="23"/>
  <c r="Q77" i="23"/>
  <c r="BQ77" i="23"/>
  <c r="D77" i="23"/>
  <c r="CG76" i="23"/>
  <c r="W104" i="9"/>
  <c r="W106" i="92"/>
  <c r="CF77" i="23"/>
  <c r="BS77" i="23"/>
  <c r="S77" i="23"/>
  <c r="AS77" i="23"/>
  <c r="AF77" i="23"/>
  <c r="BF77" i="23"/>
  <c r="F77" i="23"/>
  <c r="T76" i="23"/>
  <c r="AX77" i="22"/>
  <c r="AH77" i="22"/>
  <c r="AY77" i="22"/>
  <c r="R77" i="22"/>
  <c r="AI77" i="22"/>
  <c r="S77" i="22"/>
  <c r="AR77" i="23"/>
  <c r="R77" i="23"/>
  <c r="CE77" i="23"/>
  <c r="CG77" i="23" s="1"/>
  <c r="BR77" i="23"/>
  <c r="E77" i="23"/>
  <c r="BE77" i="23"/>
  <c r="AE77" i="23"/>
  <c r="BG76" i="23"/>
  <c r="V106" i="92"/>
  <c r="V104" i="9"/>
  <c r="G76" i="23"/>
  <c r="O77" i="22"/>
  <c r="G77" i="22"/>
  <c r="AF77" i="22"/>
  <c r="AQ77" i="22"/>
  <c r="AC77" i="22"/>
  <c r="J77" i="22"/>
  <c r="AB77" i="22"/>
  <c r="AS77" i="22"/>
  <c r="Z77" i="22"/>
  <c r="Q77" i="22"/>
  <c r="AK77" i="22"/>
  <c r="M77" i="22"/>
  <c r="AD77" i="22"/>
  <c r="I77" i="22"/>
  <c r="L77" i="22"/>
  <c r="AR77" i="22"/>
  <c r="H77" i="22"/>
  <c r="K77" i="22"/>
  <c r="Y77" i="22"/>
  <c r="AE77" i="22"/>
  <c r="T77" i="22"/>
  <c r="AJ77" i="22"/>
  <c r="AP77" i="22"/>
  <c r="F77" i="22"/>
  <c r="AN77" i="22"/>
  <c r="D77" i="22"/>
  <c r="P77" i="22"/>
  <c r="AO77" i="22"/>
  <c r="AV77" i="22"/>
  <c r="W77" i="22"/>
  <c r="AG77" i="22"/>
  <c r="N77" i="22"/>
  <c r="AM77" i="22"/>
  <c r="AU77" i="22"/>
  <c r="U77" i="22"/>
  <c r="AT77" i="22"/>
  <c r="V77" i="22"/>
  <c r="AW77" i="22"/>
  <c r="E77" i="22"/>
  <c r="AL77" i="22"/>
  <c r="X77" i="22"/>
  <c r="AA77" i="22"/>
  <c r="O89" i="16"/>
  <c r="M89" i="16"/>
  <c r="B90" i="16"/>
  <c r="N89" i="16"/>
  <c r="M108" i="132"/>
  <c r="K108" i="132" s="1"/>
  <c r="AG76" i="23"/>
  <c r="G95" i="92"/>
  <c r="G93" i="9"/>
  <c r="B90" i="115"/>
  <c r="A89" i="115"/>
  <c r="AT76" i="23"/>
  <c r="B115" i="143"/>
  <c r="S114" i="143" s="1"/>
  <c r="B114" i="145" s="1"/>
  <c r="B114" i="146" s="1"/>
  <c r="S113" i="143"/>
  <c r="B113" i="145" s="1"/>
  <c r="B113" i="146" s="1"/>
  <c r="H102" i="28"/>
  <c r="B103" i="28"/>
  <c r="D102" i="28"/>
  <c r="E102" i="28"/>
  <c r="F102" i="28"/>
  <c r="G102" i="28"/>
  <c r="P95" i="92"/>
  <c r="P93" i="9"/>
  <c r="D65" i="115" s="1"/>
  <c r="B86" i="72"/>
  <c r="N85" i="72"/>
  <c r="O85" i="72"/>
  <c r="L85" i="72"/>
  <c r="Y85" i="72"/>
  <c r="M85" i="72"/>
  <c r="J95" i="9"/>
  <c r="J97" i="92"/>
  <c r="I90" i="16" l="1"/>
  <c r="E90" i="16"/>
  <c r="J90" i="16"/>
  <c r="F90" i="16"/>
  <c r="D90" i="16"/>
  <c r="L90" i="16"/>
  <c r="K90" i="16"/>
  <c r="H90" i="16"/>
  <c r="G90" i="16"/>
  <c r="G120" i="90"/>
  <c r="S101" i="92"/>
  <c r="S99" i="9"/>
  <c r="D75" i="98" s="1"/>
  <c r="M103" i="92"/>
  <c r="M101" i="9"/>
  <c r="T77" i="23"/>
  <c r="G77" i="23"/>
  <c r="BF78" i="23"/>
  <c r="BS78" i="23"/>
  <c r="S78" i="23"/>
  <c r="AS78" i="23"/>
  <c r="F78" i="23"/>
  <c r="AF78" i="23"/>
  <c r="CF78" i="23"/>
  <c r="M109" i="132"/>
  <c r="K109" i="132" s="1"/>
  <c r="BG77" i="23"/>
  <c r="M90" i="16"/>
  <c r="N90" i="16"/>
  <c r="O90" i="16"/>
  <c r="B91" i="16"/>
  <c r="R78" i="23"/>
  <c r="BE78" i="23"/>
  <c r="AR78" i="23"/>
  <c r="CE78" i="23"/>
  <c r="E78" i="23"/>
  <c r="AE78" i="23"/>
  <c r="BR78" i="23"/>
  <c r="AJ78" i="22"/>
  <c r="AS78" i="22"/>
  <c r="AD78" i="22"/>
  <c r="I78" i="22"/>
  <c r="K78" i="22"/>
  <c r="N78" i="22"/>
  <c r="AT78" i="22"/>
  <c r="D78" i="22"/>
  <c r="AC78" i="22"/>
  <c r="AU78" i="22"/>
  <c r="AM78" i="22"/>
  <c r="X78" i="22"/>
  <c r="AV78" i="22"/>
  <c r="T78" i="22"/>
  <c r="AO78" i="22"/>
  <c r="Y78" i="22"/>
  <c r="AA78" i="22"/>
  <c r="U78" i="22"/>
  <c r="AG78" i="22"/>
  <c r="J78" i="22"/>
  <c r="H78" i="22"/>
  <c r="AW78" i="22"/>
  <c r="M78" i="22"/>
  <c r="P78" i="22"/>
  <c r="AR78" i="22"/>
  <c r="AN78" i="22"/>
  <c r="E78" i="22"/>
  <c r="L78" i="22"/>
  <c r="W78" i="22"/>
  <c r="G78" i="22"/>
  <c r="V78" i="22"/>
  <c r="AF78" i="22"/>
  <c r="AL78" i="22"/>
  <c r="F78" i="22"/>
  <c r="AB78" i="22"/>
  <c r="Q78" i="22"/>
  <c r="AE78" i="22"/>
  <c r="Z78" i="22"/>
  <c r="O78" i="22"/>
  <c r="AP78" i="22"/>
  <c r="AK78" i="22"/>
  <c r="AQ78" i="22"/>
  <c r="W105" i="9"/>
  <c r="W107" i="92"/>
  <c r="AG77" i="23"/>
  <c r="V107" i="92"/>
  <c r="V105" i="9"/>
  <c r="S78" i="22"/>
  <c r="AY78" i="22"/>
  <c r="R78" i="22"/>
  <c r="AI78" i="22"/>
  <c r="AH78" i="22"/>
  <c r="AX78" i="22"/>
  <c r="AT77" i="23"/>
  <c r="B91" i="115"/>
  <c r="A90" i="115"/>
  <c r="G96" i="92"/>
  <c r="G94" i="9"/>
  <c r="BQ78" i="23"/>
  <c r="AD78" i="23"/>
  <c r="AQ78" i="23"/>
  <c r="D78" i="23"/>
  <c r="BD78" i="23"/>
  <c r="Q78" i="23"/>
  <c r="CD78" i="23"/>
  <c r="BT77" i="23"/>
  <c r="B87" i="72"/>
  <c r="O86" i="72"/>
  <c r="N86" i="72"/>
  <c r="L86" i="72"/>
  <c r="Y86" i="72"/>
  <c r="M86" i="72"/>
  <c r="H103" i="28"/>
  <c r="E103" i="28"/>
  <c r="B104" i="28"/>
  <c r="D103" i="28"/>
  <c r="G103" i="28"/>
  <c r="F103" i="28"/>
  <c r="J96" i="9"/>
  <c r="J98" i="92"/>
  <c r="P96" i="92"/>
  <c r="P94" i="9"/>
  <c r="D66" i="115" s="1"/>
  <c r="B116" i="143"/>
  <c r="S115" i="143" s="1"/>
  <c r="B115" i="145" s="1"/>
  <c r="B115" i="146" s="1"/>
  <c r="K91" i="16" l="1"/>
  <c r="I91" i="16"/>
  <c r="F91" i="16"/>
  <c r="D91" i="16"/>
  <c r="E91" i="16"/>
  <c r="J91" i="16"/>
  <c r="L91" i="16"/>
  <c r="H91" i="16"/>
  <c r="G91" i="16"/>
  <c r="G121" i="90"/>
  <c r="CG78" i="23"/>
  <c r="T78" i="23"/>
  <c r="AT78" i="23"/>
  <c r="BT78" i="23"/>
  <c r="S100" i="9"/>
  <c r="D76" i="98" s="1"/>
  <c r="S102" i="92"/>
  <c r="G78" i="23"/>
  <c r="AG78" i="23"/>
  <c r="BG78" i="23"/>
  <c r="M102" i="9"/>
  <c r="M104" i="92"/>
  <c r="AS79" i="23"/>
  <c r="CF79" i="23"/>
  <c r="AF79" i="23"/>
  <c r="S79" i="23"/>
  <c r="BS79" i="23"/>
  <c r="F79" i="23"/>
  <c r="BF79" i="23"/>
  <c r="AD79" i="23"/>
  <c r="BD79" i="23"/>
  <c r="D79" i="23"/>
  <c r="BQ79" i="23"/>
  <c r="Q79" i="23"/>
  <c r="AQ79" i="23"/>
  <c r="CD79" i="23"/>
  <c r="A91" i="115"/>
  <c r="B92" i="115"/>
  <c r="V79" i="22"/>
  <c r="AS79" i="22"/>
  <c r="M79" i="22"/>
  <c r="AO79" i="22"/>
  <c r="AN79" i="22"/>
  <c r="K79" i="22"/>
  <c r="F79" i="22"/>
  <c r="AR79" i="22"/>
  <c r="Z79" i="22"/>
  <c r="AT79" i="22"/>
  <c r="AW79" i="22"/>
  <c r="U79" i="22"/>
  <c r="AU79" i="22"/>
  <c r="AD79" i="22"/>
  <c r="X79" i="22"/>
  <c r="J79" i="22"/>
  <c r="AE79" i="22"/>
  <c r="AM79" i="22"/>
  <c r="AL79" i="22"/>
  <c r="AF79" i="22"/>
  <c r="P79" i="22"/>
  <c r="E79" i="22"/>
  <c r="N79" i="22"/>
  <c r="H79" i="22"/>
  <c r="AK79" i="22"/>
  <c r="L79" i="22"/>
  <c r="O79" i="22"/>
  <c r="T79" i="22"/>
  <c r="G79" i="22"/>
  <c r="Y79" i="22"/>
  <c r="AQ79" i="22"/>
  <c r="AC79" i="22"/>
  <c r="AA79" i="22"/>
  <c r="AV79" i="22"/>
  <c r="AB79" i="22"/>
  <c r="I79" i="22"/>
  <c r="AP79" i="22"/>
  <c r="Q79" i="22"/>
  <c r="AG79" i="22"/>
  <c r="D79" i="22"/>
  <c r="AJ79" i="22"/>
  <c r="W79" i="22"/>
  <c r="N91" i="16"/>
  <c r="M91" i="16"/>
  <c r="O91" i="16"/>
  <c r="B92" i="16"/>
  <c r="V108" i="92"/>
  <c r="V106" i="9"/>
  <c r="CE79" i="23"/>
  <c r="AR79" i="23"/>
  <c r="BE79" i="23"/>
  <c r="R79" i="23"/>
  <c r="E79" i="23"/>
  <c r="BR79" i="23"/>
  <c r="AE79" i="23"/>
  <c r="W108" i="92"/>
  <c r="W106" i="9"/>
  <c r="G97" i="92"/>
  <c r="G95" i="9"/>
  <c r="AY79" i="22"/>
  <c r="S79" i="22"/>
  <c r="AI79" i="22"/>
  <c r="AX79" i="22"/>
  <c r="AH79" i="22"/>
  <c r="R79" i="22"/>
  <c r="M110" i="132"/>
  <c r="K110" i="132" s="1"/>
  <c r="B117" i="143"/>
  <c r="S116" i="143" s="1"/>
  <c r="B116" i="145" s="1"/>
  <c r="B116" i="146" s="1"/>
  <c r="B88" i="72"/>
  <c r="L87" i="72"/>
  <c r="N87" i="72"/>
  <c r="O87" i="72"/>
  <c r="Y87" i="72"/>
  <c r="M87" i="72"/>
  <c r="M88" i="21" s="1"/>
  <c r="M88" i="37" s="1"/>
  <c r="B105" i="28"/>
  <c r="F104" i="28"/>
  <c r="D104" i="28"/>
  <c r="G104" i="28"/>
  <c r="E104" i="28"/>
  <c r="H104" i="28"/>
  <c r="J99" i="92"/>
  <c r="J97" i="9"/>
  <c r="P97" i="92"/>
  <c r="P95" i="9"/>
  <c r="D67" i="115" s="1"/>
  <c r="K92" i="16" l="1"/>
  <c r="L92" i="16"/>
  <c r="I92" i="16"/>
  <c r="E92" i="16"/>
  <c r="F92" i="16"/>
  <c r="D92" i="16"/>
  <c r="J92" i="16"/>
  <c r="H92" i="16"/>
  <c r="G92" i="16"/>
  <c r="G122" i="90"/>
  <c r="T79" i="23"/>
  <c r="S103" i="92"/>
  <c r="S101" i="9"/>
  <c r="D77" i="98" s="1"/>
  <c r="AG79" i="23"/>
  <c r="BT79" i="23"/>
  <c r="M105" i="92"/>
  <c r="M103" i="9"/>
  <c r="O92" i="16"/>
  <c r="N92" i="16"/>
  <c r="M92" i="16"/>
  <c r="B93" i="16"/>
  <c r="CG79" i="23"/>
  <c r="AF80" i="23"/>
  <c r="BF80" i="23"/>
  <c r="F80" i="23"/>
  <c r="S80" i="23"/>
  <c r="AS80" i="23"/>
  <c r="CF80" i="23"/>
  <c r="BS80" i="23"/>
  <c r="AT79" i="23"/>
  <c r="M111" i="132"/>
  <c r="K111" i="132" s="1"/>
  <c r="G98" i="92"/>
  <c r="G96" i="9"/>
  <c r="AY80" i="22"/>
  <c r="AH80" i="22"/>
  <c r="AX80" i="22"/>
  <c r="S80" i="22"/>
  <c r="AI80" i="22"/>
  <c r="R80" i="22"/>
  <c r="G79" i="23"/>
  <c r="W107" i="9"/>
  <c r="W109" i="92"/>
  <c r="N80" i="22"/>
  <c r="AQ80" i="22"/>
  <c r="H80" i="22"/>
  <c r="AE80" i="22"/>
  <c r="AP80" i="22"/>
  <c r="AG80" i="22"/>
  <c r="Z80" i="22"/>
  <c r="AN80" i="22"/>
  <c r="Q80" i="22"/>
  <c r="AW80" i="22"/>
  <c r="G80" i="22"/>
  <c r="M80" i="22"/>
  <c r="L80" i="22"/>
  <c r="F80" i="22"/>
  <c r="AC80" i="22"/>
  <c r="J80" i="22"/>
  <c r="AO80" i="22"/>
  <c r="D80" i="22"/>
  <c r="AT80" i="22"/>
  <c r="AA80" i="22"/>
  <c r="P80" i="22"/>
  <c r="AD80" i="22"/>
  <c r="E80" i="22"/>
  <c r="V80" i="22"/>
  <c r="AJ80" i="22"/>
  <c r="X80" i="22"/>
  <c r="AR80" i="22"/>
  <c r="AU80" i="22"/>
  <c r="U80" i="22"/>
  <c r="Y80" i="22"/>
  <c r="T80" i="22"/>
  <c r="AL80" i="22"/>
  <c r="AK80" i="22"/>
  <c r="AM80" i="22"/>
  <c r="O80" i="22"/>
  <c r="I80" i="22"/>
  <c r="K80" i="22"/>
  <c r="AB80" i="22"/>
  <c r="AS80" i="22"/>
  <c r="AF80" i="22"/>
  <c r="W80" i="22"/>
  <c r="AV80" i="22"/>
  <c r="D80" i="23"/>
  <c r="AD80" i="23"/>
  <c r="AQ80" i="23"/>
  <c r="BD80" i="23"/>
  <c r="BQ80" i="23"/>
  <c r="CD80" i="23"/>
  <c r="Q80" i="23"/>
  <c r="BG79" i="23"/>
  <c r="CE80" i="23"/>
  <c r="R80" i="23"/>
  <c r="AE80" i="23"/>
  <c r="BR80" i="23"/>
  <c r="AR80" i="23"/>
  <c r="BE80" i="23"/>
  <c r="E80" i="23"/>
  <c r="V109" i="92"/>
  <c r="V107" i="9"/>
  <c r="A92" i="115"/>
  <c r="B93" i="115"/>
  <c r="P98" i="92"/>
  <c r="P96" i="9"/>
  <c r="D68" i="115" s="1"/>
  <c r="H105" i="28"/>
  <c r="E105" i="28"/>
  <c r="F105" i="28"/>
  <c r="G105" i="28"/>
  <c r="B106" i="28"/>
  <c r="D105" i="28"/>
  <c r="B89" i="72"/>
  <c r="L88" i="72"/>
  <c r="N88" i="72"/>
  <c r="O88" i="72"/>
  <c r="Y88" i="72"/>
  <c r="AC89" i="21" s="1"/>
  <c r="AC89" i="37" s="1"/>
  <c r="M88" i="72"/>
  <c r="J100" i="92"/>
  <c r="J98" i="9"/>
  <c r="K93" i="16" l="1"/>
  <c r="I93" i="16"/>
  <c r="L93" i="16"/>
  <c r="E93" i="16"/>
  <c r="D93" i="16"/>
  <c r="J93" i="16"/>
  <c r="F93" i="16"/>
  <c r="H93" i="16"/>
  <c r="G93" i="16"/>
  <c r="G123" i="90"/>
  <c r="S104" i="92"/>
  <c r="S102" i="9"/>
  <c r="D78" i="98" s="1"/>
  <c r="M104" i="9"/>
  <c r="M106" i="92"/>
  <c r="BT80" i="23"/>
  <c r="G80" i="23"/>
  <c r="BG80" i="23"/>
  <c r="B94" i="115"/>
  <c r="A93" i="115"/>
  <c r="AG80" i="23"/>
  <c r="AT80" i="23"/>
  <c r="M112" i="132"/>
  <c r="K112" i="132" s="1"/>
  <c r="AC81" i="22"/>
  <c r="H81" i="22"/>
  <c r="O81" i="22"/>
  <c r="AF81" i="22"/>
  <c r="AK81" i="22"/>
  <c r="Q81" i="22"/>
  <c r="J81" i="22"/>
  <c r="M81" i="22"/>
  <c r="Z81" i="22"/>
  <c r="X81" i="22"/>
  <c r="P81" i="22"/>
  <c r="AM81" i="22"/>
  <c r="Y81" i="22"/>
  <c r="AN81" i="22"/>
  <c r="N81" i="22"/>
  <c r="AG81" i="22"/>
  <c r="AB81" i="22"/>
  <c r="T81" i="22"/>
  <c r="L81" i="22"/>
  <c r="V81" i="22"/>
  <c r="AR81" i="22"/>
  <c r="AL81" i="22"/>
  <c r="AS81" i="22"/>
  <c r="AW81" i="22"/>
  <c r="AE81" i="22"/>
  <c r="U81" i="22"/>
  <c r="G81" i="22"/>
  <c r="F81" i="22"/>
  <c r="W81" i="22"/>
  <c r="I81" i="22"/>
  <c r="AV81" i="22"/>
  <c r="E81" i="22"/>
  <c r="AO81" i="22"/>
  <c r="K81" i="22"/>
  <c r="AT81" i="22"/>
  <c r="AQ81" i="22"/>
  <c r="AJ81" i="22"/>
  <c r="AA81" i="22"/>
  <c r="D81" i="22"/>
  <c r="AU81" i="22"/>
  <c r="AD81" i="22"/>
  <c r="AP81" i="22"/>
  <c r="V108" i="9"/>
  <c r="V110" i="92"/>
  <c r="BR81" i="23"/>
  <c r="CE81" i="23"/>
  <c r="BE81" i="23"/>
  <c r="R81" i="23"/>
  <c r="AR81" i="23"/>
  <c r="AE81" i="23"/>
  <c r="E81" i="23"/>
  <c r="T80" i="23"/>
  <c r="AQ81" i="23"/>
  <c r="Q81" i="23"/>
  <c r="D81" i="23"/>
  <c r="BQ81" i="23"/>
  <c r="BD81" i="23"/>
  <c r="AD81" i="23"/>
  <c r="CD81" i="23"/>
  <c r="B94" i="16"/>
  <c r="N93" i="16"/>
  <c r="O93" i="16"/>
  <c r="M93" i="16"/>
  <c r="CG80" i="23"/>
  <c r="W110" i="92"/>
  <c r="W108" i="9"/>
  <c r="CF81" i="23"/>
  <c r="AF81" i="23"/>
  <c r="S81" i="23"/>
  <c r="BF81" i="23"/>
  <c r="BS81" i="23"/>
  <c r="AS81" i="23"/>
  <c r="F81" i="23"/>
  <c r="AH81" i="22"/>
  <c r="AI81" i="22"/>
  <c r="R81" i="22"/>
  <c r="AX81" i="22"/>
  <c r="AY81" i="22"/>
  <c r="S81" i="22"/>
  <c r="G97" i="9"/>
  <c r="G99" i="92"/>
  <c r="B90" i="72"/>
  <c r="O89" i="72"/>
  <c r="L89" i="72"/>
  <c r="N89" i="72"/>
  <c r="Y89" i="72"/>
  <c r="M89" i="72"/>
  <c r="B107" i="28"/>
  <c r="F106" i="28"/>
  <c r="G106" i="28"/>
  <c r="H106" i="28"/>
  <c r="E106" i="28"/>
  <c r="D106" i="28"/>
  <c r="J101" i="92"/>
  <c r="J99" i="9"/>
  <c r="P97" i="9"/>
  <c r="D69" i="115" s="1"/>
  <c r="P99" i="92"/>
  <c r="D94" i="16" l="1"/>
  <c r="L94" i="16"/>
  <c r="J94" i="16"/>
  <c r="K94" i="16"/>
  <c r="F94" i="16"/>
  <c r="E94" i="16"/>
  <c r="I94" i="16"/>
  <c r="H94" i="16"/>
  <c r="G94" i="16"/>
  <c r="G124" i="90"/>
  <c r="S105" i="92"/>
  <c r="S103" i="9"/>
  <c r="D79" i="98" s="1"/>
  <c r="M107" i="92"/>
  <c r="M105" i="9"/>
  <c r="W111" i="92"/>
  <c r="W109" i="9"/>
  <c r="AG81" i="23"/>
  <c r="BT81" i="23"/>
  <c r="F82" i="23"/>
  <c r="CF82" i="23"/>
  <c r="BS82" i="23"/>
  <c r="AF82" i="23"/>
  <c r="S82" i="23"/>
  <c r="BF82" i="23"/>
  <c r="AS82" i="23"/>
  <c r="G81" i="23"/>
  <c r="BG81" i="23"/>
  <c r="M114" i="132"/>
  <c r="K114" i="132" s="1"/>
  <c r="M113" i="132"/>
  <c r="K113" i="132" s="1"/>
  <c r="R82" i="23"/>
  <c r="BE82" i="23"/>
  <c r="BR82" i="23"/>
  <c r="E82" i="23"/>
  <c r="AR82" i="23"/>
  <c r="CE82" i="23"/>
  <c r="AE82" i="23"/>
  <c r="T81" i="23"/>
  <c r="AT81" i="23"/>
  <c r="Q82" i="23"/>
  <c r="CD82" i="23"/>
  <c r="D82" i="23"/>
  <c r="AD82" i="23"/>
  <c r="BQ82" i="23"/>
  <c r="BD82" i="23"/>
  <c r="AQ82" i="23"/>
  <c r="G98" i="9"/>
  <c r="G100" i="92"/>
  <c r="N94" i="16"/>
  <c r="M94" i="16"/>
  <c r="O94" i="16"/>
  <c r="B95" i="16"/>
  <c r="V109" i="9"/>
  <c r="V111" i="92"/>
  <c r="AX82" i="22"/>
  <c r="S82" i="22"/>
  <c r="AH82" i="22"/>
  <c r="AY82" i="22"/>
  <c r="AI82" i="22"/>
  <c r="R82" i="22"/>
  <c r="CG81" i="23"/>
  <c r="Y82" i="22"/>
  <c r="M82" i="22"/>
  <c r="H82" i="22"/>
  <c r="AT82" i="22"/>
  <c r="X82" i="22"/>
  <c r="O82" i="22"/>
  <c r="AG82" i="22"/>
  <c r="Z82" i="22"/>
  <c r="AA82" i="22"/>
  <c r="AD82" i="22"/>
  <c r="L82" i="22"/>
  <c r="AP82" i="22"/>
  <c r="K82" i="22"/>
  <c r="AR82" i="22"/>
  <c r="AW82" i="22"/>
  <c r="G82" i="22"/>
  <c r="Q82" i="22"/>
  <c r="AC82" i="22"/>
  <c r="P82" i="22"/>
  <c r="AU82" i="22"/>
  <c r="T82" i="22"/>
  <c r="AS82" i="22"/>
  <c r="AK82" i="22"/>
  <c r="AE82" i="22"/>
  <c r="AF82" i="22"/>
  <c r="AO82" i="22"/>
  <c r="F82" i="22"/>
  <c r="V82" i="22"/>
  <c r="E82" i="22"/>
  <c r="W82" i="22"/>
  <c r="AN82" i="22"/>
  <c r="AM82" i="22"/>
  <c r="AJ82" i="22"/>
  <c r="N82" i="22"/>
  <c r="U82" i="22"/>
  <c r="D82" i="22"/>
  <c r="AQ82" i="22"/>
  <c r="AL82" i="22"/>
  <c r="AV82" i="22"/>
  <c r="J82" i="22"/>
  <c r="AB82" i="22"/>
  <c r="I82" i="22"/>
  <c r="B95" i="115"/>
  <c r="A94" i="115"/>
  <c r="P98" i="9"/>
  <c r="D70" i="115" s="1"/>
  <c r="P100" i="92"/>
  <c r="B91" i="72"/>
  <c r="L90" i="72"/>
  <c r="N90" i="72"/>
  <c r="O90" i="72"/>
  <c r="M90" i="72"/>
  <c r="M91" i="21" s="1"/>
  <c r="M91" i="37" s="1"/>
  <c r="Y90" i="72"/>
  <c r="G107" i="28"/>
  <c r="E107" i="28"/>
  <c r="F107" i="28"/>
  <c r="D107" i="28"/>
  <c r="H107" i="28"/>
  <c r="B108" i="28"/>
  <c r="J102" i="92"/>
  <c r="J100" i="9"/>
  <c r="L95" i="16" l="1"/>
  <c r="D95" i="16"/>
  <c r="K95" i="16"/>
  <c r="I95" i="16"/>
  <c r="F95" i="16"/>
  <c r="J95" i="16"/>
  <c r="E95" i="16"/>
  <c r="H95" i="16"/>
  <c r="G95" i="16"/>
  <c r="G125" i="90"/>
  <c r="G126" i="90"/>
  <c r="S104" i="9"/>
  <c r="S106" i="92"/>
  <c r="M106" i="9"/>
  <c r="M108" i="92"/>
  <c r="BT82" i="23"/>
  <c r="BG82" i="23"/>
  <c r="T82" i="23"/>
  <c r="G82" i="23"/>
  <c r="AT82" i="23"/>
  <c r="CG82" i="23"/>
  <c r="AQ83" i="23"/>
  <c r="D83" i="23"/>
  <c r="BD83" i="23"/>
  <c r="Q83" i="23"/>
  <c r="CD83" i="23"/>
  <c r="AD83" i="23"/>
  <c r="BQ83" i="23"/>
  <c r="B96" i="16"/>
  <c r="M95" i="16"/>
  <c r="O95" i="16"/>
  <c r="N95" i="16"/>
  <c r="BF83" i="23"/>
  <c r="AF83" i="23"/>
  <c r="CF83" i="23"/>
  <c r="F83" i="23"/>
  <c r="AS83" i="23"/>
  <c r="BS83" i="23"/>
  <c r="S83" i="23"/>
  <c r="AG82" i="23"/>
  <c r="B96" i="115"/>
  <c r="A95" i="115"/>
  <c r="AI83" i="22"/>
  <c r="AH83" i="22"/>
  <c r="S83" i="22"/>
  <c r="AX83" i="22"/>
  <c r="AY83" i="22"/>
  <c r="R83" i="22"/>
  <c r="BE83" i="23"/>
  <c r="R83" i="23"/>
  <c r="E83" i="23"/>
  <c r="BR83" i="23"/>
  <c r="CE83" i="23"/>
  <c r="AE83" i="23"/>
  <c r="AR83" i="23"/>
  <c r="G101" i="92"/>
  <c r="G99" i="9"/>
  <c r="W110" i="9"/>
  <c r="W112" i="92"/>
  <c r="V110" i="9"/>
  <c r="V112" i="92"/>
  <c r="G83" i="22"/>
  <c r="AS83" i="22"/>
  <c r="M83" i="22"/>
  <c r="AG83" i="22"/>
  <c r="N83" i="22"/>
  <c r="AR83" i="22"/>
  <c r="T83" i="22"/>
  <c r="E83" i="22"/>
  <c r="W83" i="22"/>
  <c r="Z83" i="22"/>
  <c r="V83" i="22"/>
  <c r="D83" i="22"/>
  <c r="X83" i="22"/>
  <c r="P83" i="22"/>
  <c r="AP83" i="22"/>
  <c r="H83" i="22"/>
  <c r="AO83" i="22"/>
  <c r="AK83" i="22"/>
  <c r="AJ83" i="22"/>
  <c r="F83" i="22"/>
  <c r="AF83" i="22"/>
  <c r="AN83" i="22"/>
  <c r="AV83" i="22"/>
  <c r="AM83" i="22"/>
  <c r="AB83" i="22"/>
  <c r="U83" i="22"/>
  <c r="AW83" i="22"/>
  <c r="L83" i="22"/>
  <c r="AU83" i="22"/>
  <c r="AQ83" i="22"/>
  <c r="AC83" i="22"/>
  <c r="Q83" i="22"/>
  <c r="Y83" i="22"/>
  <c r="AL83" i="22"/>
  <c r="AT83" i="22"/>
  <c r="J83" i="22"/>
  <c r="AE83" i="22"/>
  <c r="I83" i="22"/>
  <c r="AD83" i="22"/>
  <c r="O83" i="22"/>
  <c r="AA83" i="22"/>
  <c r="K83" i="22"/>
  <c r="B92" i="72"/>
  <c r="N91" i="72"/>
  <c r="O91" i="72"/>
  <c r="L91" i="72"/>
  <c r="Y91" i="72"/>
  <c r="AC92" i="21" s="1"/>
  <c r="AC92" i="37" s="1"/>
  <c r="M91" i="72"/>
  <c r="B109" i="28"/>
  <c r="F108" i="28"/>
  <c r="D108" i="28"/>
  <c r="E108" i="28"/>
  <c r="H108" i="28"/>
  <c r="G108" i="28"/>
  <c r="J103" i="92"/>
  <c r="J101" i="9"/>
  <c r="P101" i="92"/>
  <c r="P99" i="9"/>
  <c r="D71" i="115" s="1"/>
  <c r="E96" i="16" l="1"/>
  <c r="F96" i="16"/>
  <c r="J96" i="16"/>
  <c r="I96" i="16"/>
  <c r="K96" i="16"/>
  <c r="D96" i="16"/>
  <c r="L96" i="16"/>
  <c r="H96" i="16"/>
  <c r="G96" i="16"/>
  <c r="S107" i="92"/>
  <c r="S105" i="9"/>
  <c r="M107" i="9"/>
  <c r="M109" i="92"/>
  <c r="AG83" i="23"/>
  <c r="N84" i="22"/>
  <c r="AU84" i="22"/>
  <c r="AL84" i="22"/>
  <c r="J84" i="22"/>
  <c r="M84" i="22"/>
  <c r="AS84" i="22"/>
  <c r="X84" i="22"/>
  <c r="AB84" i="22"/>
  <c r="AW84" i="22"/>
  <c r="G84" i="22"/>
  <c r="AN84" i="22"/>
  <c r="AM84" i="22"/>
  <c r="Y84" i="22"/>
  <c r="AG84" i="22"/>
  <c r="AT84" i="22"/>
  <c r="AC84" i="22"/>
  <c r="K84" i="22"/>
  <c r="L84" i="22"/>
  <c r="Z84" i="22"/>
  <c r="AP84" i="22"/>
  <c r="W84" i="22"/>
  <c r="AO84" i="22"/>
  <c r="AK84" i="22"/>
  <c r="I84" i="22"/>
  <c r="E84" i="22"/>
  <c r="T84" i="22"/>
  <c r="D84" i="22"/>
  <c r="AD84" i="22"/>
  <c r="F84" i="22"/>
  <c r="AF84" i="22"/>
  <c r="P84" i="22"/>
  <c r="H84" i="22"/>
  <c r="U84" i="22"/>
  <c r="AE84" i="22"/>
  <c r="V84" i="22"/>
  <c r="O84" i="22"/>
  <c r="AQ84" i="22"/>
  <c r="Q84" i="22"/>
  <c r="AR84" i="22"/>
  <c r="AJ84" i="22"/>
  <c r="AV84" i="22"/>
  <c r="AA84" i="22"/>
  <c r="W111" i="9"/>
  <c r="W113" i="92"/>
  <c r="BT83" i="23"/>
  <c r="R84" i="22"/>
  <c r="AH84" i="22"/>
  <c r="AY84" i="22"/>
  <c r="S84" i="22"/>
  <c r="AI84" i="22"/>
  <c r="AX84" i="22"/>
  <c r="D84" i="23"/>
  <c r="CD84" i="23"/>
  <c r="BD84" i="23"/>
  <c r="Q84" i="23"/>
  <c r="AD84" i="23"/>
  <c r="AQ84" i="23"/>
  <c r="BQ84" i="23"/>
  <c r="B97" i="115"/>
  <c r="A96" i="115"/>
  <c r="N96" i="16"/>
  <c r="O96" i="16"/>
  <c r="M96" i="16"/>
  <c r="B97" i="16"/>
  <c r="CG83" i="23"/>
  <c r="G102" i="92"/>
  <c r="G100" i="9"/>
  <c r="T83" i="23"/>
  <c r="AS84" i="23"/>
  <c r="AF84" i="23"/>
  <c r="BF84" i="23"/>
  <c r="CF84" i="23"/>
  <c r="F84" i="23"/>
  <c r="S84" i="23"/>
  <c r="BS84" i="23"/>
  <c r="BG83" i="23"/>
  <c r="AR84" i="23"/>
  <c r="CE84" i="23"/>
  <c r="AE84" i="23"/>
  <c r="BR84" i="23"/>
  <c r="R84" i="23"/>
  <c r="E84" i="23"/>
  <c r="BE84" i="23"/>
  <c r="G83" i="23"/>
  <c r="V113" i="92"/>
  <c r="V111" i="9"/>
  <c r="AT83" i="23"/>
  <c r="B93" i="72"/>
  <c r="L92" i="72"/>
  <c r="N92" i="72"/>
  <c r="O92" i="72"/>
  <c r="Y92" i="72"/>
  <c r="M92" i="72"/>
  <c r="J102" i="9"/>
  <c r="J104" i="92"/>
  <c r="E109" i="28"/>
  <c r="D109" i="28"/>
  <c r="G109" i="28"/>
  <c r="B110" i="28"/>
  <c r="H109" i="28"/>
  <c r="F109" i="28"/>
  <c r="P100" i="9"/>
  <c r="D72" i="115" s="1"/>
  <c r="P102" i="92"/>
  <c r="K97" i="16" l="1"/>
  <c r="E97" i="16"/>
  <c r="F97" i="16"/>
  <c r="I97" i="16"/>
  <c r="J97" i="16"/>
  <c r="L97" i="16"/>
  <c r="D97" i="16"/>
  <c r="H97" i="16"/>
  <c r="G97" i="16"/>
  <c r="S106" i="9"/>
  <c r="S108" i="92"/>
  <c r="M110" i="92"/>
  <c r="M108" i="9"/>
  <c r="V112" i="9"/>
  <c r="V114" i="92"/>
  <c r="AG84" i="23"/>
  <c r="AS85" i="23"/>
  <c r="BF85" i="23"/>
  <c r="S85" i="23"/>
  <c r="F85" i="23"/>
  <c r="BS85" i="23"/>
  <c r="AF85" i="23"/>
  <c r="CF85" i="23"/>
  <c r="T84" i="23"/>
  <c r="Q85" i="23"/>
  <c r="BD85" i="23"/>
  <c r="AQ85" i="23"/>
  <c r="BQ85" i="23"/>
  <c r="AD85" i="23"/>
  <c r="D85" i="23"/>
  <c r="CD85" i="23"/>
  <c r="BG84" i="23"/>
  <c r="M97" i="16"/>
  <c r="N97" i="16"/>
  <c r="B98" i="16"/>
  <c r="O97" i="16"/>
  <c r="CG84" i="23"/>
  <c r="G84" i="23"/>
  <c r="W112" i="9"/>
  <c r="W114" i="92"/>
  <c r="G101" i="9"/>
  <c r="G103" i="92"/>
  <c r="B98" i="115"/>
  <c r="A97" i="115"/>
  <c r="BE85" i="23"/>
  <c r="E85" i="23"/>
  <c r="AR85" i="23"/>
  <c r="BR85" i="23"/>
  <c r="CE85" i="23"/>
  <c r="AE85" i="23"/>
  <c r="R85" i="23"/>
  <c r="AX85" i="22"/>
  <c r="S85" i="22"/>
  <c r="R85" i="22"/>
  <c r="AI85" i="22"/>
  <c r="AH85" i="22"/>
  <c r="AY85" i="22"/>
  <c r="BT84" i="23"/>
  <c r="L85" i="22"/>
  <c r="W85" i="22"/>
  <c r="AB85" i="22"/>
  <c r="I85" i="22"/>
  <c r="AW85" i="22"/>
  <c r="AJ85" i="22"/>
  <c r="AU85" i="22"/>
  <c r="M85" i="22"/>
  <c r="H85" i="22"/>
  <c r="AK85" i="22"/>
  <c r="K85" i="22"/>
  <c r="AG85" i="22"/>
  <c r="AE85" i="22"/>
  <c r="AC85" i="22"/>
  <c r="U85" i="22"/>
  <c r="D85" i="22"/>
  <c r="AM85" i="22"/>
  <c r="AD85" i="22"/>
  <c r="AV85" i="22"/>
  <c r="AN85" i="22"/>
  <c r="Z85" i="22"/>
  <c r="T85" i="22"/>
  <c r="E85" i="22"/>
  <c r="X85" i="22"/>
  <c r="O85" i="22"/>
  <c r="Y85" i="22"/>
  <c r="P85" i="22"/>
  <c r="AL85" i="22"/>
  <c r="F85" i="22"/>
  <c r="AF85" i="22"/>
  <c r="AP85" i="22"/>
  <c r="J85" i="22"/>
  <c r="AO85" i="22"/>
  <c r="G85" i="22"/>
  <c r="AR85" i="22"/>
  <c r="AA85" i="22"/>
  <c r="Q85" i="22"/>
  <c r="V85" i="22"/>
  <c r="AQ85" i="22"/>
  <c r="AT85" i="22"/>
  <c r="N85" i="22"/>
  <c r="AS85" i="22"/>
  <c r="AT84" i="23"/>
  <c r="E110" i="28"/>
  <c r="D110" i="28"/>
  <c r="B111" i="28"/>
  <c r="H110" i="28"/>
  <c r="F110" i="28"/>
  <c r="G110" i="28"/>
  <c r="J105" i="92"/>
  <c r="J103" i="9"/>
  <c r="P103" i="92"/>
  <c r="P101" i="9"/>
  <c r="D73" i="115" s="1"/>
  <c r="B94" i="72"/>
  <c r="L93" i="72"/>
  <c r="N93" i="72"/>
  <c r="O93" i="72"/>
  <c r="Y93" i="72"/>
  <c r="AC94" i="21" s="1"/>
  <c r="AC94" i="37" s="1"/>
  <c r="M93" i="72"/>
  <c r="F98" i="16" l="1"/>
  <c r="D98" i="16"/>
  <c r="I98" i="16"/>
  <c r="J98" i="16"/>
  <c r="L98" i="16"/>
  <c r="E98" i="16"/>
  <c r="K98" i="16"/>
  <c r="H98" i="16"/>
  <c r="G98" i="16"/>
  <c r="S109" i="92"/>
  <c r="S107" i="9"/>
  <c r="M111" i="92"/>
  <c r="M109" i="9"/>
  <c r="AT85" i="23"/>
  <c r="G102" i="9"/>
  <c r="G104" i="92"/>
  <c r="AS86" i="23"/>
  <c r="BS86" i="23"/>
  <c r="S86" i="23"/>
  <c r="AF86" i="23"/>
  <c r="F86" i="23"/>
  <c r="CF86" i="23"/>
  <c r="BF86" i="23"/>
  <c r="BG85" i="23"/>
  <c r="W115" i="92"/>
  <c r="W113" i="9"/>
  <c r="T85" i="23"/>
  <c r="AH86" i="22"/>
  <c r="AX86" i="22"/>
  <c r="AY86" i="22"/>
  <c r="R86" i="22"/>
  <c r="S86" i="22"/>
  <c r="AI86" i="22"/>
  <c r="N98" i="16"/>
  <c r="B99" i="16"/>
  <c r="O98" i="16"/>
  <c r="M98" i="16"/>
  <c r="CG85" i="23"/>
  <c r="G85" i="23"/>
  <c r="BQ86" i="23"/>
  <c r="D86" i="23"/>
  <c r="AQ86" i="23"/>
  <c r="CD86" i="23"/>
  <c r="BD86" i="23"/>
  <c r="Q86" i="23"/>
  <c r="AD86" i="23"/>
  <c r="BR86" i="23"/>
  <c r="E86" i="23"/>
  <c r="AR86" i="23"/>
  <c r="R86" i="23"/>
  <c r="CE86" i="23"/>
  <c r="AE86" i="23"/>
  <c r="BE86" i="23"/>
  <c r="AG85" i="23"/>
  <c r="V113" i="9"/>
  <c r="V115" i="92"/>
  <c r="A98" i="115"/>
  <c r="B99" i="115"/>
  <c r="BT85" i="23"/>
  <c r="AW86" i="22"/>
  <c r="AQ86" i="22"/>
  <c r="O86" i="22"/>
  <c r="AD86" i="22"/>
  <c r="L86" i="22"/>
  <c r="J86" i="22"/>
  <c r="AK86" i="22"/>
  <c r="AN86" i="22"/>
  <c r="T86" i="22"/>
  <c r="AA86" i="22"/>
  <c r="AO86" i="22"/>
  <c r="AB86" i="22"/>
  <c r="Q86" i="22"/>
  <c r="Y86" i="22"/>
  <c r="AF86" i="22"/>
  <c r="P86" i="22"/>
  <c r="H86" i="22"/>
  <c r="AE86" i="22"/>
  <c r="AJ86" i="22"/>
  <c r="M86" i="22"/>
  <c r="Z86" i="22"/>
  <c r="E86" i="22"/>
  <c r="F86" i="22"/>
  <c r="AP86" i="22"/>
  <c r="AV86" i="22"/>
  <c r="AT86" i="22"/>
  <c r="D86" i="22"/>
  <c r="AS86" i="22"/>
  <c r="AG86" i="22"/>
  <c r="X86" i="22"/>
  <c r="AU86" i="22"/>
  <c r="AC86" i="22"/>
  <c r="W86" i="22"/>
  <c r="G86" i="22"/>
  <c r="I86" i="22"/>
  <c r="N86" i="22"/>
  <c r="AR86" i="22"/>
  <c r="V86" i="22"/>
  <c r="AM86" i="22"/>
  <c r="U86" i="22"/>
  <c r="AL86" i="22"/>
  <c r="K86" i="22"/>
  <c r="B95" i="72"/>
  <c r="O94" i="72"/>
  <c r="N94" i="72"/>
  <c r="L94" i="72"/>
  <c r="Y94" i="72"/>
  <c r="M94" i="72"/>
  <c r="D111" i="28"/>
  <c r="H111" i="28"/>
  <c r="G111" i="28"/>
  <c r="E111" i="28"/>
  <c r="F111" i="28"/>
  <c r="B112" i="28"/>
  <c r="P102" i="9"/>
  <c r="D74" i="115" s="1"/>
  <c r="P104" i="92"/>
  <c r="J104" i="9"/>
  <c r="J106" i="92"/>
  <c r="J99" i="16" l="1"/>
  <c r="F99" i="16"/>
  <c r="D99" i="16"/>
  <c r="K99" i="16"/>
  <c r="I99" i="16"/>
  <c r="E99" i="16"/>
  <c r="L99" i="16"/>
  <c r="H99" i="16"/>
  <c r="G99" i="16"/>
  <c r="S110" i="92"/>
  <c r="S108" i="9"/>
  <c r="M112" i="92"/>
  <c r="M110" i="9"/>
  <c r="BT86" i="23"/>
  <c r="AT86" i="23"/>
  <c r="CG86" i="23"/>
  <c r="S87" i="23"/>
  <c r="F87" i="23"/>
  <c r="BF87" i="23"/>
  <c r="AF87" i="23"/>
  <c r="BS87" i="23"/>
  <c r="CF87" i="23"/>
  <c r="AS87" i="23"/>
  <c r="D87" i="23"/>
  <c r="CD87" i="23"/>
  <c r="AD87" i="23"/>
  <c r="BD87" i="23"/>
  <c r="BQ87" i="23"/>
  <c r="Q87" i="23"/>
  <c r="AQ87" i="23"/>
  <c r="A99" i="115"/>
  <c r="B100" i="115"/>
  <c r="R87" i="23"/>
  <c r="CE87" i="23"/>
  <c r="AR87" i="23"/>
  <c r="BR87" i="23"/>
  <c r="BE87" i="23"/>
  <c r="E87" i="23"/>
  <c r="AE87" i="23"/>
  <c r="G86" i="23"/>
  <c r="V114" i="9"/>
  <c r="V116" i="92"/>
  <c r="AM87" i="22"/>
  <c r="T87" i="22"/>
  <c r="Z87" i="22"/>
  <c r="J87" i="22"/>
  <c r="I87" i="22"/>
  <c r="Q87" i="22"/>
  <c r="AO87" i="22"/>
  <c r="X87" i="22"/>
  <c r="AR87" i="22"/>
  <c r="E87" i="22"/>
  <c r="AW87" i="22"/>
  <c r="V87" i="22"/>
  <c r="AS87" i="22"/>
  <c r="AL87" i="22"/>
  <c r="U87" i="22"/>
  <c r="AU87" i="22"/>
  <c r="K87" i="22"/>
  <c r="AP87" i="22"/>
  <c r="P87" i="22"/>
  <c r="AE87" i="22"/>
  <c r="AF87" i="22"/>
  <c r="AB87" i="22"/>
  <c r="AV87" i="22"/>
  <c r="D87" i="22"/>
  <c r="N87" i="22"/>
  <c r="G87" i="22"/>
  <c r="H87" i="22"/>
  <c r="AC87" i="22"/>
  <c r="AD87" i="22"/>
  <c r="M87" i="22"/>
  <c r="AA87" i="22"/>
  <c r="AK87" i="22"/>
  <c r="AQ87" i="22"/>
  <c r="AJ87" i="22"/>
  <c r="AN87" i="22"/>
  <c r="Y87" i="22"/>
  <c r="L87" i="22"/>
  <c r="O87" i="22"/>
  <c r="F87" i="22"/>
  <c r="W87" i="22"/>
  <c r="AT87" i="22"/>
  <c r="AG87" i="22"/>
  <c r="O99" i="16"/>
  <c r="N99" i="16"/>
  <c r="M99" i="16"/>
  <c r="B100" i="16"/>
  <c r="AI87" i="22"/>
  <c r="AX87" i="22"/>
  <c r="AY87" i="22"/>
  <c r="AH87" i="22"/>
  <c r="R87" i="22"/>
  <c r="S87" i="22"/>
  <c r="AG86" i="23"/>
  <c r="W114" i="9"/>
  <c r="W116" i="92"/>
  <c r="T86" i="23"/>
  <c r="G105" i="92"/>
  <c r="G103" i="9"/>
  <c r="BG86" i="23"/>
  <c r="P105" i="92"/>
  <c r="P103" i="9"/>
  <c r="D75" i="115" s="1"/>
  <c r="B96" i="72"/>
  <c r="N95" i="72"/>
  <c r="O95" i="72"/>
  <c r="L95" i="72"/>
  <c r="M95" i="72"/>
  <c r="Y95" i="72"/>
  <c r="J107" i="92"/>
  <c r="J105" i="9"/>
  <c r="H112" i="28"/>
  <c r="B113" i="28"/>
  <c r="G112" i="28"/>
  <c r="D112" i="28"/>
  <c r="E112" i="28"/>
  <c r="F112" i="28"/>
  <c r="L100" i="16" l="1"/>
  <c r="K100" i="16"/>
  <c r="E100" i="16"/>
  <c r="J100" i="16"/>
  <c r="I100" i="16"/>
  <c r="F100" i="16"/>
  <c r="D100" i="16"/>
  <c r="H100" i="16"/>
  <c r="G100" i="16"/>
  <c r="S109" i="9"/>
  <c r="S111" i="92"/>
  <c r="M111" i="9"/>
  <c r="M113" i="92"/>
  <c r="BT87" i="23"/>
  <c r="AT87" i="23"/>
  <c r="CG87" i="23"/>
  <c r="AG87" i="23"/>
  <c r="G106" i="92"/>
  <c r="G104" i="9"/>
  <c r="B101" i="16"/>
  <c r="M100" i="16"/>
  <c r="N100" i="16"/>
  <c r="O100" i="16"/>
  <c r="T87" i="23"/>
  <c r="W115" i="9"/>
  <c r="W117" i="92"/>
  <c r="BF88" i="23"/>
  <c r="BS88" i="23"/>
  <c r="AS88" i="23"/>
  <c r="CF88" i="23"/>
  <c r="F88" i="23"/>
  <c r="AF88" i="23"/>
  <c r="S88" i="23"/>
  <c r="R88" i="22"/>
  <c r="S88" i="22"/>
  <c r="AY88" i="22"/>
  <c r="AH88" i="22"/>
  <c r="AI88" i="22"/>
  <c r="AX88" i="22"/>
  <c r="BE88" i="23"/>
  <c r="CE88" i="23"/>
  <c r="E88" i="23"/>
  <c r="R88" i="23"/>
  <c r="AE88" i="23"/>
  <c r="AR88" i="23"/>
  <c r="BR88" i="23"/>
  <c r="BG87" i="23"/>
  <c r="D88" i="23"/>
  <c r="AD88" i="23"/>
  <c r="CD88" i="23"/>
  <c r="BD88" i="23"/>
  <c r="AQ88" i="23"/>
  <c r="BQ88" i="23"/>
  <c r="Q88" i="23"/>
  <c r="V117" i="92"/>
  <c r="V115" i="9"/>
  <c r="H88" i="22"/>
  <c r="U88" i="22"/>
  <c r="AN88" i="22"/>
  <c r="D88" i="22"/>
  <c r="X88" i="22"/>
  <c r="AQ88" i="22"/>
  <c r="K88" i="22"/>
  <c r="M88" i="22"/>
  <c r="G88" i="22"/>
  <c r="V88" i="22"/>
  <c r="AB88" i="22"/>
  <c r="AF88" i="22"/>
  <c r="AG88" i="22"/>
  <c r="AL88" i="22"/>
  <c r="AM88" i="22"/>
  <c r="AV88" i="22"/>
  <c r="AC88" i="22"/>
  <c r="AO88" i="22"/>
  <c r="AJ88" i="22"/>
  <c r="AU88" i="22"/>
  <c r="F88" i="22"/>
  <c r="J88" i="22"/>
  <c r="E88" i="22"/>
  <c r="AW88" i="22"/>
  <c r="AS88" i="22"/>
  <c r="AA88" i="22"/>
  <c r="AP88" i="22"/>
  <c r="AE88" i="22"/>
  <c r="AD88" i="22"/>
  <c r="Q88" i="22"/>
  <c r="T88" i="22"/>
  <c r="I88" i="22"/>
  <c r="L88" i="22"/>
  <c r="Z88" i="22"/>
  <c r="O88" i="22"/>
  <c r="Y88" i="22"/>
  <c r="W88" i="22"/>
  <c r="AR88" i="22"/>
  <c r="N88" i="22"/>
  <c r="AT88" i="22"/>
  <c r="P88" i="22"/>
  <c r="AK88" i="22"/>
  <c r="A100" i="115"/>
  <c r="B101" i="115"/>
  <c r="G87" i="23"/>
  <c r="F113" i="28"/>
  <c r="H113" i="28"/>
  <c r="B114" i="28"/>
  <c r="D113" i="28"/>
  <c r="E113" i="28"/>
  <c r="G113" i="28"/>
  <c r="J108" i="92"/>
  <c r="J106" i="9"/>
  <c r="B97" i="72"/>
  <c r="N96" i="72"/>
  <c r="O96" i="72"/>
  <c r="L96" i="72"/>
  <c r="M96" i="72"/>
  <c r="M97" i="21" s="1"/>
  <c r="M97" i="37" s="1"/>
  <c r="Y96" i="72"/>
  <c r="P106" i="92"/>
  <c r="P104" i="9"/>
  <c r="D76" i="115" s="1"/>
  <c r="L101" i="16" l="1"/>
  <c r="F101" i="16"/>
  <c r="K101" i="16"/>
  <c r="J101" i="16"/>
  <c r="I101" i="16"/>
  <c r="D101" i="16"/>
  <c r="E101" i="16"/>
  <c r="H101" i="16"/>
  <c r="G101" i="16"/>
  <c r="BG88" i="23"/>
  <c r="S112" i="92"/>
  <c r="S110" i="9"/>
  <c r="M112" i="9"/>
  <c r="M114" i="92"/>
  <c r="AG88" i="23"/>
  <c r="G88" i="23"/>
  <c r="T88" i="23"/>
  <c r="BT88" i="23"/>
  <c r="AT88" i="23"/>
  <c r="CG88" i="23"/>
  <c r="CE89" i="23"/>
  <c r="BE89" i="23"/>
  <c r="AR89" i="23"/>
  <c r="BR89" i="23"/>
  <c r="R89" i="23"/>
  <c r="AE89" i="23"/>
  <c r="E89" i="23"/>
  <c r="A101" i="115"/>
  <c r="B102" i="115"/>
  <c r="D89" i="23"/>
  <c r="BQ89" i="23"/>
  <c r="Q89" i="23"/>
  <c r="AQ89" i="23"/>
  <c r="AD89" i="23"/>
  <c r="BD89" i="23"/>
  <c r="CD89" i="23"/>
  <c r="BS89" i="23"/>
  <c r="S89" i="23"/>
  <c r="BF89" i="23"/>
  <c r="F89" i="23"/>
  <c r="CF89" i="23"/>
  <c r="AF89" i="23"/>
  <c r="AS89" i="23"/>
  <c r="B102" i="16"/>
  <c r="M101" i="16"/>
  <c r="O101" i="16"/>
  <c r="N101" i="16"/>
  <c r="AJ89" i="22"/>
  <c r="K89" i="22"/>
  <c r="T89" i="22"/>
  <c r="AV89" i="22"/>
  <c r="AG89" i="22"/>
  <c r="AC89" i="22"/>
  <c r="H89" i="22"/>
  <c r="AK89" i="22"/>
  <c r="AD89" i="22"/>
  <c r="Y89" i="22"/>
  <c r="M89" i="22"/>
  <c r="AS89" i="22"/>
  <c r="J89" i="22"/>
  <c r="W89" i="22"/>
  <c r="U89" i="22"/>
  <c r="N89" i="22"/>
  <c r="I89" i="22"/>
  <c r="X89" i="22"/>
  <c r="AM89" i="22"/>
  <c r="AU89" i="22"/>
  <c r="Q89" i="22"/>
  <c r="AE89" i="22"/>
  <c r="P89" i="22"/>
  <c r="AO89" i="22"/>
  <c r="F89" i="22"/>
  <c r="V89" i="22"/>
  <c r="AA89" i="22"/>
  <c r="AW89" i="22"/>
  <c r="AB89" i="22"/>
  <c r="AP89" i="22"/>
  <c r="AR89" i="22"/>
  <c r="AF89" i="22"/>
  <c r="O89" i="22"/>
  <c r="AN89" i="22"/>
  <c r="D89" i="22"/>
  <c r="Z89" i="22"/>
  <c r="AL89" i="22"/>
  <c r="AT89" i="22"/>
  <c r="E89" i="22"/>
  <c r="L89" i="22"/>
  <c r="AQ89" i="22"/>
  <c r="G89" i="22"/>
  <c r="W116" i="9"/>
  <c r="W118" i="92"/>
  <c r="V118" i="92"/>
  <c r="V116" i="9"/>
  <c r="AY89" i="22"/>
  <c r="S89" i="22"/>
  <c r="R89" i="22"/>
  <c r="AI89" i="22"/>
  <c r="AX89" i="22"/>
  <c r="AH89" i="22"/>
  <c r="G105" i="9"/>
  <c r="G107" i="92"/>
  <c r="G114" i="28"/>
  <c r="E114" i="28"/>
  <c r="F114" i="28"/>
  <c r="B115" i="28"/>
  <c r="H114" i="28"/>
  <c r="D114" i="28"/>
  <c r="B98" i="72"/>
  <c r="O97" i="72"/>
  <c r="N97" i="72"/>
  <c r="L97" i="72"/>
  <c r="M97" i="72"/>
  <c r="Y97" i="72"/>
  <c r="P105" i="9"/>
  <c r="D77" i="115" s="1"/>
  <c r="P107" i="92"/>
  <c r="J109" i="92"/>
  <c r="J107" i="9"/>
  <c r="L102" i="16" l="1"/>
  <c r="J102" i="16"/>
  <c r="I102" i="16"/>
  <c r="K102" i="16"/>
  <c r="E102" i="16"/>
  <c r="F102" i="16"/>
  <c r="D102" i="16"/>
  <c r="H102" i="16"/>
  <c r="G102" i="16"/>
  <c r="S113" i="92"/>
  <c r="S111" i="9"/>
  <c r="M115" i="92"/>
  <c r="M113" i="9"/>
  <c r="AG89" i="23"/>
  <c r="BQ90" i="23"/>
  <c r="AD90" i="23"/>
  <c r="CD90" i="23"/>
  <c r="Q90" i="23"/>
  <c r="AQ90" i="23"/>
  <c r="BD90" i="23"/>
  <c r="D90" i="23"/>
  <c r="T89" i="23"/>
  <c r="BT89" i="23"/>
  <c r="AS90" i="23"/>
  <c r="S90" i="23"/>
  <c r="BF90" i="23"/>
  <c r="BS90" i="23"/>
  <c r="AF90" i="23"/>
  <c r="CF90" i="23"/>
  <c r="F90" i="23"/>
  <c r="AT89" i="23"/>
  <c r="G108" i="92"/>
  <c r="G106" i="9"/>
  <c r="AE90" i="22"/>
  <c r="J90" i="22"/>
  <c r="O90" i="22"/>
  <c r="AL90" i="22"/>
  <c r="AG90" i="22"/>
  <c r="H90" i="22"/>
  <c r="Y90" i="22"/>
  <c r="AF90" i="22"/>
  <c r="AC90" i="22"/>
  <c r="Z90" i="22"/>
  <c r="AN90" i="22"/>
  <c r="AR90" i="22"/>
  <c r="AK90" i="22"/>
  <c r="T90" i="22"/>
  <c r="AU90" i="22"/>
  <c r="K90" i="22"/>
  <c r="E90" i="22"/>
  <c r="AP90" i="22"/>
  <c r="AS90" i="22"/>
  <c r="L90" i="22"/>
  <c r="I90" i="22"/>
  <c r="U90" i="22"/>
  <c r="G90" i="22"/>
  <c r="N90" i="22"/>
  <c r="X90" i="22"/>
  <c r="AA90" i="22"/>
  <c r="AT90" i="22"/>
  <c r="AO90" i="22"/>
  <c r="AD90" i="22"/>
  <c r="AJ90" i="22"/>
  <c r="V90" i="22"/>
  <c r="AB90" i="22"/>
  <c r="AQ90" i="22"/>
  <c r="AV90" i="22"/>
  <c r="F90" i="22"/>
  <c r="Q90" i="22"/>
  <c r="AW90" i="22"/>
  <c r="M90" i="22"/>
  <c r="W90" i="22"/>
  <c r="P90" i="22"/>
  <c r="AM90" i="22"/>
  <c r="D90" i="22"/>
  <c r="G89" i="23"/>
  <c r="V117" i="9"/>
  <c r="V119" i="92"/>
  <c r="A102" i="115"/>
  <c r="B103" i="115"/>
  <c r="CG89" i="23"/>
  <c r="W119" i="92"/>
  <c r="W117" i="9"/>
  <c r="M102" i="16"/>
  <c r="N102" i="16"/>
  <c r="O102" i="16"/>
  <c r="B103" i="16"/>
  <c r="CE90" i="23"/>
  <c r="E90" i="23"/>
  <c r="BE90" i="23"/>
  <c r="BR90" i="23"/>
  <c r="AR90" i="23"/>
  <c r="R90" i="23"/>
  <c r="AE90" i="23"/>
  <c r="AX90" i="22"/>
  <c r="S90" i="22"/>
  <c r="R90" i="22"/>
  <c r="AI90" i="22"/>
  <c r="AY90" i="22"/>
  <c r="AH90" i="22"/>
  <c r="BG89" i="23"/>
  <c r="P108" i="92"/>
  <c r="P106" i="9"/>
  <c r="D78" i="115" s="1"/>
  <c r="B99" i="72"/>
  <c r="O98" i="72"/>
  <c r="N98" i="72"/>
  <c r="L98" i="72"/>
  <c r="Y98" i="72"/>
  <c r="M98" i="72"/>
  <c r="G115" i="28"/>
  <c r="E115" i="28"/>
  <c r="F115" i="28"/>
  <c r="D115" i="28"/>
  <c r="B116" i="28"/>
  <c r="H115" i="28"/>
  <c r="J110" i="92"/>
  <c r="J108" i="9"/>
  <c r="E103" i="16" l="1"/>
  <c r="K103" i="16"/>
  <c r="L103" i="16"/>
  <c r="D103" i="16"/>
  <c r="F103" i="16"/>
  <c r="I103" i="16"/>
  <c r="J103" i="16"/>
  <c r="H103" i="16"/>
  <c r="G103" i="16"/>
  <c r="S114" i="92"/>
  <c r="S112" i="9"/>
  <c r="M114" i="9"/>
  <c r="M116" i="92"/>
  <c r="AU91" i="22"/>
  <c r="AJ91" i="22"/>
  <c r="AC91" i="22"/>
  <c r="AP91" i="22"/>
  <c r="Y91" i="22"/>
  <c r="AM91" i="22"/>
  <c r="J91" i="22"/>
  <c r="G91" i="22"/>
  <c r="I91" i="22"/>
  <c r="X91" i="22"/>
  <c r="O91" i="22"/>
  <c r="U91" i="22"/>
  <c r="AB91" i="22"/>
  <c r="K91" i="22"/>
  <c r="M91" i="22"/>
  <c r="AK91" i="22"/>
  <c r="AQ91" i="22"/>
  <c r="AR91" i="22"/>
  <c r="AD91" i="22"/>
  <c r="W91" i="22"/>
  <c r="E91" i="22"/>
  <c r="D91" i="22"/>
  <c r="AG91" i="22"/>
  <c r="AW91" i="22"/>
  <c r="AL91" i="22"/>
  <c r="H91" i="22"/>
  <c r="AT91" i="22"/>
  <c r="AS91" i="22"/>
  <c r="L91" i="22"/>
  <c r="AV91" i="22"/>
  <c r="AF91" i="22"/>
  <c r="AO91" i="22"/>
  <c r="N91" i="22"/>
  <c r="P91" i="22"/>
  <c r="AA91" i="22"/>
  <c r="AN91" i="22"/>
  <c r="AE91" i="22"/>
  <c r="Z91" i="22"/>
  <c r="F91" i="22"/>
  <c r="V91" i="22"/>
  <c r="Q91" i="22"/>
  <c r="T91" i="22"/>
  <c r="G90" i="23"/>
  <c r="CF91" i="23"/>
  <c r="BF91" i="23"/>
  <c r="S91" i="23"/>
  <c r="AS91" i="23"/>
  <c r="F91" i="23"/>
  <c r="AF91" i="23"/>
  <c r="BS91" i="23"/>
  <c r="O103" i="16"/>
  <c r="N103" i="16"/>
  <c r="B104" i="16"/>
  <c r="M103" i="16"/>
  <c r="BG90" i="23"/>
  <c r="AH91" i="22"/>
  <c r="S91" i="22"/>
  <c r="AY91" i="22"/>
  <c r="AI91" i="22"/>
  <c r="AX91" i="22"/>
  <c r="R91" i="22"/>
  <c r="AT90" i="23"/>
  <c r="W120" i="92"/>
  <c r="W118" i="9"/>
  <c r="T90" i="23"/>
  <c r="CG90" i="23"/>
  <c r="R91" i="23"/>
  <c r="BE91" i="23"/>
  <c r="AE91" i="23"/>
  <c r="BR91" i="23"/>
  <c r="AR91" i="23"/>
  <c r="CE91" i="23"/>
  <c r="E91" i="23"/>
  <c r="A103" i="115"/>
  <c r="B104" i="115"/>
  <c r="G109" i="92"/>
  <c r="G107" i="9"/>
  <c r="AG90" i="23"/>
  <c r="BT90" i="23"/>
  <c r="V120" i="92"/>
  <c r="V118" i="9"/>
  <c r="Q91" i="23"/>
  <c r="D91" i="23"/>
  <c r="BQ91" i="23"/>
  <c r="AD91" i="23"/>
  <c r="AQ91" i="23"/>
  <c r="CD91" i="23"/>
  <c r="BD91" i="23"/>
  <c r="H116" i="28"/>
  <c r="D116" i="28"/>
  <c r="F116" i="28"/>
  <c r="G116" i="28"/>
  <c r="B117" i="28"/>
  <c r="E116" i="28"/>
  <c r="J111" i="92"/>
  <c r="J109" i="9"/>
  <c r="B100" i="72"/>
  <c r="N99" i="72"/>
  <c r="O99" i="72"/>
  <c r="L99" i="72"/>
  <c r="M99" i="72"/>
  <c r="Y99" i="72"/>
  <c r="P107" i="9"/>
  <c r="D79" i="115" s="1"/>
  <c r="P109" i="92"/>
  <c r="D104" i="16" l="1"/>
  <c r="E104" i="16"/>
  <c r="I104" i="16"/>
  <c r="L104" i="16"/>
  <c r="J104" i="16"/>
  <c r="F104" i="16"/>
  <c r="K104" i="16"/>
  <c r="H104" i="16"/>
  <c r="G104" i="16"/>
  <c r="BG91" i="23"/>
  <c r="CG91" i="23"/>
  <c r="S115" i="92"/>
  <c r="S113" i="9"/>
  <c r="M115" i="9"/>
  <c r="M117" i="92"/>
  <c r="BT91" i="23"/>
  <c r="AG91" i="23"/>
  <c r="T91" i="23"/>
  <c r="W119" i="9"/>
  <c r="W121" i="92"/>
  <c r="Q92" i="23"/>
  <c r="BD92" i="23"/>
  <c r="D92" i="23"/>
  <c r="CD92" i="23"/>
  <c r="BQ92" i="23"/>
  <c r="AD92" i="23"/>
  <c r="AQ92" i="23"/>
  <c r="G91" i="23"/>
  <c r="M104" i="16"/>
  <c r="O104" i="16"/>
  <c r="N104" i="16"/>
  <c r="B105" i="16"/>
  <c r="G110" i="92"/>
  <c r="G108" i="9"/>
  <c r="R92" i="23"/>
  <c r="AR92" i="23"/>
  <c r="E92" i="23"/>
  <c r="BR92" i="23"/>
  <c r="BE92" i="23"/>
  <c r="AE92" i="23"/>
  <c r="CE92" i="23"/>
  <c r="AO92" i="22"/>
  <c r="AE92" i="22"/>
  <c r="L92" i="22"/>
  <c r="AG92" i="22"/>
  <c r="AQ92" i="22"/>
  <c r="AD92" i="22"/>
  <c r="M92" i="22"/>
  <c r="Y92" i="22"/>
  <c r="F92" i="22"/>
  <c r="X92" i="22"/>
  <c r="AM92" i="22"/>
  <c r="I92" i="22"/>
  <c r="AU92" i="22"/>
  <c r="AS92" i="22"/>
  <c r="AB92" i="22"/>
  <c r="N92" i="22"/>
  <c r="AL92" i="22"/>
  <c r="AK92" i="22"/>
  <c r="U92" i="22"/>
  <c r="AR92" i="22"/>
  <c r="Q92" i="22"/>
  <c r="K92" i="22"/>
  <c r="T92" i="22"/>
  <c r="AP92" i="22"/>
  <c r="O92" i="22"/>
  <c r="Z92" i="22"/>
  <c r="E92" i="22"/>
  <c r="D92" i="22"/>
  <c r="AC92" i="22"/>
  <c r="AN92" i="22"/>
  <c r="AF92" i="22"/>
  <c r="J92" i="22"/>
  <c r="P92" i="22"/>
  <c r="AW92" i="22"/>
  <c r="H92" i="22"/>
  <c r="G92" i="22"/>
  <c r="AT92" i="22"/>
  <c r="AA92" i="22"/>
  <c r="W92" i="22"/>
  <c r="AV92" i="22"/>
  <c r="AJ92" i="22"/>
  <c r="V92" i="22"/>
  <c r="A104" i="115"/>
  <c r="B105" i="115"/>
  <c r="V121" i="92"/>
  <c r="V119" i="9"/>
  <c r="F92" i="23"/>
  <c r="S92" i="23"/>
  <c r="AS92" i="23"/>
  <c r="AF92" i="23"/>
  <c r="BF92" i="23"/>
  <c r="CF92" i="23"/>
  <c r="BS92" i="23"/>
  <c r="AT91" i="23"/>
  <c r="AX92" i="22"/>
  <c r="AH92" i="22"/>
  <c r="AI92" i="22"/>
  <c r="AY92" i="22"/>
  <c r="S92" i="22"/>
  <c r="R92" i="22"/>
  <c r="B101" i="72"/>
  <c r="L100" i="72"/>
  <c r="N100" i="72"/>
  <c r="O100" i="72"/>
  <c r="Y100" i="72"/>
  <c r="M100" i="72"/>
  <c r="J112" i="92"/>
  <c r="J110" i="9"/>
  <c r="P110" i="92"/>
  <c r="P108" i="9"/>
  <c r="D80" i="115" s="1"/>
  <c r="D117" i="28"/>
  <c r="H117" i="28"/>
  <c r="G117" i="28"/>
  <c r="F117" i="28"/>
  <c r="E117" i="28"/>
  <c r="F105" i="16" l="1"/>
  <c r="D105" i="16"/>
  <c r="I105" i="16"/>
  <c r="J105" i="16"/>
  <c r="E105" i="16"/>
  <c r="K105" i="16"/>
  <c r="L105" i="16"/>
  <c r="H105" i="16"/>
  <c r="G105" i="16"/>
  <c r="S114" i="9"/>
  <c r="S116" i="92"/>
  <c r="M118" i="92"/>
  <c r="M116" i="9"/>
  <c r="CG92" i="23"/>
  <c r="G109" i="9"/>
  <c r="G111" i="92"/>
  <c r="AG92" i="23"/>
  <c r="O93" i="22"/>
  <c r="AG93" i="22"/>
  <c r="Y93" i="22"/>
  <c r="AK93" i="22"/>
  <c r="AM93" i="22"/>
  <c r="AJ93" i="22"/>
  <c r="AP93" i="22"/>
  <c r="W93" i="22"/>
  <c r="K93" i="22"/>
  <c r="AE93" i="22"/>
  <c r="V93" i="22"/>
  <c r="AV93" i="22"/>
  <c r="AW93" i="22"/>
  <c r="AL93" i="22"/>
  <c r="L93" i="22"/>
  <c r="U93" i="22"/>
  <c r="D93" i="22"/>
  <c r="J93" i="22"/>
  <c r="X93" i="22"/>
  <c r="AU93" i="22"/>
  <c r="N93" i="22"/>
  <c r="AF93" i="22"/>
  <c r="F93" i="22"/>
  <c r="AN93" i="22"/>
  <c r="AR93" i="22"/>
  <c r="P93" i="22"/>
  <c r="E93" i="22"/>
  <c r="AQ93" i="22"/>
  <c r="Z93" i="22"/>
  <c r="AS93" i="22"/>
  <c r="M93" i="22"/>
  <c r="I93" i="22"/>
  <c r="H93" i="22"/>
  <c r="T93" i="22"/>
  <c r="G93" i="22"/>
  <c r="AC93" i="22"/>
  <c r="AO93" i="22"/>
  <c r="AB93" i="22"/>
  <c r="Q93" i="22"/>
  <c r="AT93" i="22"/>
  <c r="AD93" i="22"/>
  <c r="AA93" i="22"/>
  <c r="BG92" i="23"/>
  <c r="V120" i="9"/>
  <c r="V122" i="92"/>
  <c r="BT92" i="23"/>
  <c r="AF93" i="23"/>
  <c r="BF93" i="23"/>
  <c r="F93" i="23"/>
  <c r="AS93" i="23"/>
  <c r="S93" i="23"/>
  <c r="BS93" i="23"/>
  <c r="CF93" i="23"/>
  <c r="A105" i="115"/>
  <c r="B106" i="115"/>
  <c r="G92" i="23"/>
  <c r="B106" i="16"/>
  <c r="O105" i="16"/>
  <c r="M105" i="16"/>
  <c r="N105" i="16"/>
  <c r="AT92" i="23"/>
  <c r="D93" i="23"/>
  <c r="AQ93" i="23"/>
  <c r="Q93" i="23"/>
  <c r="BQ93" i="23"/>
  <c r="AD93" i="23"/>
  <c r="BD93" i="23"/>
  <c r="CD93" i="23"/>
  <c r="T92" i="23"/>
  <c r="W120" i="9"/>
  <c r="W122" i="92"/>
  <c r="E93" i="23"/>
  <c r="AR93" i="23"/>
  <c r="AE93" i="23"/>
  <c r="CE93" i="23"/>
  <c r="BE93" i="23"/>
  <c r="BR93" i="23"/>
  <c r="R93" i="23"/>
  <c r="AH93" i="22"/>
  <c r="AY93" i="22"/>
  <c r="AX93" i="22"/>
  <c r="R93" i="22"/>
  <c r="S93" i="22"/>
  <c r="AI93" i="22"/>
  <c r="P111" i="92"/>
  <c r="P109" i="9"/>
  <c r="D81" i="115" s="1"/>
  <c r="J111" i="9"/>
  <c r="J113" i="92"/>
  <c r="B102" i="72"/>
  <c r="N101" i="72"/>
  <c r="O101" i="72"/>
  <c r="L101" i="72"/>
  <c r="M101" i="72"/>
  <c r="Y101" i="72"/>
  <c r="L106" i="16" l="1"/>
  <c r="F106" i="16"/>
  <c r="I106" i="16"/>
  <c r="J106" i="16"/>
  <c r="K106" i="16"/>
  <c r="E106" i="16"/>
  <c r="D106" i="16"/>
  <c r="H106" i="16"/>
  <c r="G106" i="16"/>
  <c r="S115" i="9"/>
  <c r="S117" i="92"/>
  <c r="M117" i="9"/>
  <c r="M119" i="92"/>
  <c r="BG93" i="23"/>
  <c r="T93" i="23"/>
  <c r="CG93" i="23"/>
  <c r="BE94" i="23"/>
  <c r="AR94" i="23"/>
  <c r="AE94" i="23"/>
  <c r="E94" i="23"/>
  <c r="R94" i="23"/>
  <c r="BR94" i="23"/>
  <c r="CE94" i="23"/>
  <c r="AS94" i="23"/>
  <c r="BS94" i="23"/>
  <c r="F94" i="23"/>
  <c r="S94" i="23"/>
  <c r="BF94" i="23"/>
  <c r="CF94" i="23"/>
  <c r="AF94" i="23"/>
  <c r="W121" i="9"/>
  <c r="W123" i="92"/>
  <c r="AT93" i="23"/>
  <c r="R94" i="22"/>
  <c r="AH94" i="22"/>
  <c r="AI94" i="22"/>
  <c r="S94" i="22"/>
  <c r="AX94" i="22"/>
  <c r="AY94" i="22"/>
  <c r="A106" i="115"/>
  <c r="B107" i="115"/>
  <c r="G112" i="92"/>
  <c r="G110" i="9"/>
  <c r="G93" i="23"/>
  <c r="BT93" i="23"/>
  <c r="V123" i="92"/>
  <c r="V121" i="9"/>
  <c r="M106" i="16"/>
  <c r="N106" i="16"/>
  <c r="O106" i="16"/>
  <c r="B107" i="16"/>
  <c r="AS94" i="22"/>
  <c r="AE94" i="22"/>
  <c r="Q94" i="22"/>
  <c r="AL94" i="22"/>
  <c r="AA94" i="22"/>
  <c r="L94" i="22"/>
  <c r="AP94" i="22"/>
  <c r="AJ94" i="22"/>
  <c r="AR94" i="22"/>
  <c r="AC94" i="22"/>
  <c r="AK94" i="22"/>
  <c r="H94" i="22"/>
  <c r="AQ94" i="22"/>
  <c r="X94" i="22"/>
  <c r="N94" i="22"/>
  <c r="M94" i="22"/>
  <c r="AU94" i="22"/>
  <c r="AW94" i="22"/>
  <c r="F94" i="22"/>
  <c r="AV94" i="22"/>
  <c r="AD94" i="22"/>
  <c r="D94" i="22"/>
  <c r="AO94" i="22"/>
  <c r="AN94" i="22"/>
  <c r="AF94" i="22"/>
  <c r="AM94" i="22"/>
  <c r="U94" i="22"/>
  <c r="J94" i="22"/>
  <c r="E94" i="22"/>
  <c r="Z94" i="22"/>
  <c r="AT94" i="22"/>
  <c r="T94" i="22"/>
  <c r="O94" i="22"/>
  <c r="G94" i="22"/>
  <c r="K94" i="22"/>
  <c r="AB94" i="22"/>
  <c r="AG94" i="22"/>
  <c r="V94" i="22"/>
  <c r="W94" i="22"/>
  <c r="P94" i="22"/>
  <c r="I94" i="22"/>
  <c r="Y94" i="22"/>
  <c r="BD94" i="23"/>
  <c r="BQ94" i="23"/>
  <c r="AD94" i="23"/>
  <c r="Q94" i="23"/>
  <c r="AQ94" i="23"/>
  <c r="CD94" i="23"/>
  <c r="D94" i="23"/>
  <c r="AG93" i="23"/>
  <c r="P110" i="9"/>
  <c r="D82" i="115" s="1"/>
  <c r="P112" i="92"/>
  <c r="B103" i="72"/>
  <c r="O102" i="72"/>
  <c r="N102" i="72"/>
  <c r="L102" i="72"/>
  <c r="Y102" i="72"/>
  <c r="M102" i="72"/>
  <c r="J112" i="9"/>
  <c r="J114" i="92"/>
  <c r="I107" i="16" l="1"/>
  <c r="E107" i="16"/>
  <c r="L107" i="16"/>
  <c r="J107" i="16"/>
  <c r="K107" i="16"/>
  <c r="F107" i="16"/>
  <c r="D107" i="16"/>
  <c r="H107" i="16"/>
  <c r="G107" i="16"/>
  <c r="CG94" i="23"/>
  <c r="BT94" i="23"/>
  <c r="S118" i="92"/>
  <c r="S116" i="9"/>
  <c r="T94" i="23"/>
  <c r="AG94" i="23"/>
  <c r="BG94" i="23"/>
  <c r="G94" i="23"/>
  <c r="M120" i="92"/>
  <c r="M118" i="9"/>
  <c r="D95" i="23"/>
  <c r="AD95" i="23"/>
  <c r="CD95" i="23"/>
  <c r="BQ95" i="23"/>
  <c r="AQ95" i="23"/>
  <c r="Q95" i="23"/>
  <c r="BD95" i="23"/>
  <c r="AF95" i="22"/>
  <c r="AB95" i="22"/>
  <c r="U95" i="22"/>
  <c r="AE95" i="22"/>
  <c r="AA95" i="22"/>
  <c r="Q95" i="22"/>
  <c r="V95" i="22"/>
  <c r="Z95" i="22"/>
  <c r="T95" i="22"/>
  <c r="AR95" i="22"/>
  <c r="X95" i="22"/>
  <c r="AT95" i="22"/>
  <c r="AQ95" i="22"/>
  <c r="P95" i="22"/>
  <c r="AJ95" i="22"/>
  <c r="G95" i="22"/>
  <c r="AO95" i="22"/>
  <c r="W95" i="22"/>
  <c r="AG95" i="22"/>
  <c r="AL95" i="22"/>
  <c r="H95" i="22"/>
  <c r="AN95" i="22"/>
  <c r="K95" i="22"/>
  <c r="N95" i="22"/>
  <c r="F95" i="22"/>
  <c r="L95" i="22"/>
  <c r="M95" i="22"/>
  <c r="AS95" i="22"/>
  <c r="AC95" i="22"/>
  <c r="AK95" i="22"/>
  <c r="AU95" i="22"/>
  <c r="E95" i="22"/>
  <c r="AV95" i="22"/>
  <c r="O95" i="22"/>
  <c r="AP95" i="22"/>
  <c r="AW95" i="22"/>
  <c r="J95" i="22"/>
  <c r="AM95" i="22"/>
  <c r="D95" i="22"/>
  <c r="Y95" i="22"/>
  <c r="I95" i="22"/>
  <c r="AD95" i="22"/>
  <c r="AS95" i="23"/>
  <c r="BF95" i="23"/>
  <c r="F95" i="23"/>
  <c r="BS95" i="23"/>
  <c r="S95" i="23"/>
  <c r="CF95" i="23"/>
  <c r="AF95" i="23"/>
  <c r="R95" i="22"/>
  <c r="AI95" i="22"/>
  <c r="S95" i="22"/>
  <c r="AH95" i="22"/>
  <c r="AX95" i="22"/>
  <c r="AY95" i="22"/>
  <c r="W124" i="92"/>
  <c r="W122" i="9"/>
  <c r="V124" i="92"/>
  <c r="V122" i="9"/>
  <c r="CE95" i="23"/>
  <c r="BE95" i="23"/>
  <c r="E95" i="23"/>
  <c r="AE95" i="23"/>
  <c r="AR95" i="23"/>
  <c r="R95" i="23"/>
  <c r="BR95" i="23"/>
  <c r="AT94" i="23"/>
  <c r="G113" i="92"/>
  <c r="G111" i="9"/>
  <c r="O107" i="16"/>
  <c r="B108" i="16"/>
  <c r="N107" i="16"/>
  <c r="M107" i="16"/>
  <c r="B108" i="115"/>
  <c r="A107" i="115"/>
  <c r="B104" i="72"/>
  <c r="L103" i="72"/>
  <c r="N103" i="72"/>
  <c r="O103" i="72"/>
  <c r="M103" i="72"/>
  <c r="Y103" i="72"/>
  <c r="AC104" i="21" s="1"/>
  <c r="AC104" i="37" s="1"/>
  <c r="P113" i="92"/>
  <c r="P111" i="9"/>
  <c r="D83" i="115" s="1"/>
  <c r="J113" i="9"/>
  <c r="J115" i="92"/>
  <c r="K108" i="16" l="1"/>
  <c r="I108" i="16"/>
  <c r="E108" i="16"/>
  <c r="L108" i="16"/>
  <c r="J108" i="16"/>
  <c r="F108" i="16"/>
  <c r="D108" i="16"/>
  <c r="H108" i="16"/>
  <c r="G108" i="16"/>
  <c r="S119" i="92"/>
  <c r="S117" i="9"/>
  <c r="G95" i="23"/>
  <c r="M119" i="9"/>
  <c r="M121" i="92"/>
  <c r="BG95" i="23"/>
  <c r="AT95" i="23"/>
  <c r="T95" i="23"/>
  <c r="BT95" i="23"/>
  <c r="E96" i="23"/>
  <c r="AE96" i="23"/>
  <c r="BE96" i="23"/>
  <c r="AR96" i="23"/>
  <c r="R96" i="23"/>
  <c r="BR96" i="23"/>
  <c r="CE96" i="23"/>
  <c r="AD96" i="23"/>
  <c r="AQ96" i="23"/>
  <c r="D96" i="23"/>
  <c r="CD96" i="23"/>
  <c r="BD96" i="23"/>
  <c r="BQ96" i="23"/>
  <c r="Q96" i="23"/>
  <c r="G114" i="92"/>
  <c r="G112" i="9"/>
  <c r="CG95" i="23"/>
  <c r="B109" i="115"/>
  <c r="A108" i="115"/>
  <c r="O108" i="16"/>
  <c r="M108" i="16"/>
  <c r="B109" i="16"/>
  <c r="N108" i="16"/>
  <c r="J96" i="22"/>
  <c r="M96" i="22"/>
  <c r="AV96" i="22"/>
  <c r="AN96" i="22"/>
  <c r="G96" i="22"/>
  <c r="AG96" i="22"/>
  <c r="AW96" i="22"/>
  <c r="X96" i="22"/>
  <c r="P96" i="22"/>
  <c r="AD96" i="22"/>
  <c r="N96" i="22"/>
  <c r="AF96" i="22"/>
  <c r="AC96" i="22"/>
  <c r="L96" i="22"/>
  <c r="AB96" i="22"/>
  <c r="AM96" i="22"/>
  <c r="W96" i="22"/>
  <c r="AQ96" i="22"/>
  <c r="I96" i="22"/>
  <c r="AP96" i="22"/>
  <c r="K96" i="22"/>
  <c r="V96" i="22"/>
  <c r="U96" i="22"/>
  <c r="T96" i="22"/>
  <c r="H96" i="22"/>
  <c r="F96" i="22"/>
  <c r="AA96" i="22"/>
  <c r="AT96" i="22"/>
  <c r="AL96" i="22"/>
  <c r="E96" i="22"/>
  <c r="AR96" i="22"/>
  <c r="AO96" i="22"/>
  <c r="O96" i="22"/>
  <c r="Q96" i="22"/>
  <c r="AE96" i="22"/>
  <c r="D96" i="22"/>
  <c r="Y96" i="22"/>
  <c r="Z96" i="22"/>
  <c r="AJ96" i="22"/>
  <c r="AS96" i="22"/>
  <c r="AU96" i="22"/>
  <c r="AK96" i="22"/>
  <c r="AG95" i="23"/>
  <c r="V123" i="9"/>
  <c r="V125" i="92"/>
  <c r="BF96" i="23"/>
  <c r="CF96" i="23"/>
  <c r="AS96" i="23"/>
  <c r="AF96" i="23"/>
  <c r="F96" i="23"/>
  <c r="S96" i="23"/>
  <c r="BS96" i="23"/>
  <c r="R96" i="22"/>
  <c r="AX96" i="22"/>
  <c r="AH96" i="22"/>
  <c r="AI96" i="22"/>
  <c r="S96" i="22"/>
  <c r="AY96" i="22"/>
  <c r="W125" i="92"/>
  <c r="W123" i="9"/>
  <c r="P114" i="92"/>
  <c r="P112" i="9"/>
  <c r="D84" i="115" s="1"/>
  <c r="B105" i="72"/>
  <c r="L104" i="72"/>
  <c r="N104" i="72"/>
  <c r="O104" i="72"/>
  <c r="M104" i="72"/>
  <c r="Y104" i="72"/>
  <c r="AC105" i="21" s="1"/>
  <c r="AC105" i="37" s="1"/>
  <c r="J116" i="92"/>
  <c r="J114" i="9"/>
  <c r="L109" i="16" l="1"/>
  <c r="K109" i="16"/>
  <c r="I109" i="16"/>
  <c r="E109" i="16"/>
  <c r="F109" i="16"/>
  <c r="J109" i="16"/>
  <c r="D109" i="16"/>
  <c r="H109" i="16"/>
  <c r="G109" i="16"/>
  <c r="S120" i="92"/>
  <c r="S118" i="9"/>
  <c r="M122" i="92"/>
  <c r="M120" i="9"/>
  <c r="T96" i="23"/>
  <c r="AX97" i="22"/>
  <c r="R97" i="22"/>
  <c r="S97" i="22"/>
  <c r="AI97" i="22"/>
  <c r="AH97" i="22"/>
  <c r="AY97" i="22"/>
  <c r="BT96" i="23"/>
  <c r="AF97" i="22"/>
  <c r="AG97" i="22"/>
  <c r="AC97" i="22"/>
  <c r="AW97" i="22"/>
  <c r="AA97" i="22"/>
  <c r="O97" i="22"/>
  <c r="AL97" i="22"/>
  <c r="AD97" i="22"/>
  <c r="P97" i="22"/>
  <c r="AT97" i="22"/>
  <c r="K97" i="22"/>
  <c r="G97" i="22"/>
  <c r="AS97" i="22"/>
  <c r="Y97" i="22"/>
  <c r="AO97" i="22"/>
  <c r="I97" i="22"/>
  <c r="X97" i="22"/>
  <c r="E97" i="22"/>
  <c r="AR97" i="22"/>
  <c r="AP97" i="22"/>
  <c r="AE97" i="22"/>
  <c r="AQ97" i="22"/>
  <c r="L97" i="22"/>
  <c r="N97" i="22"/>
  <c r="V97" i="22"/>
  <c r="AB97" i="22"/>
  <c r="U97" i="22"/>
  <c r="AK97" i="22"/>
  <c r="T97" i="22"/>
  <c r="F97" i="22"/>
  <c r="AJ97" i="22"/>
  <c r="AV97" i="22"/>
  <c r="H97" i="22"/>
  <c r="W97" i="22"/>
  <c r="AN97" i="22"/>
  <c r="Z97" i="22"/>
  <c r="M97" i="22"/>
  <c r="J97" i="22"/>
  <c r="AM97" i="22"/>
  <c r="AU97" i="22"/>
  <c r="Q97" i="22"/>
  <c r="D97" i="22"/>
  <c r="BG96" i="23"/>
  <c r="AR97" i="23"/>
  <c r="R97" i="23"/>
  <c r="BR97" i="23"/>
  <c r="CE97" i="23"/>
  <c r="E97" i="23"/>
  <c r="AE97" i="23"/>
  <c r="BE97" i="23"/>
  <c r="CG96" i="23"/>
  <c r="W126" i="92"/>
  <c r="W124" i="9"/>
  <c r="V124" i="9"/>
  <c r="V126" i="92"/>
  <c r="AF97" i="23"/>
  <c r="CF97" i="23"/>
  <c r="F97" i="23"/>
  <c r="S97" i="23"/>
  <c r="BS97" i="23"/>
  <c r="AS97" i="23"/>
  <c r="BF97" i="23"/>
  <c r="Q97" i="23"/>
  <c r="CD97" i="23"/>
  <c r="BQ97" i="23"/>
  <c r="D97" i="23"/>
  <c r="AQ97" i="23"/>
  <c r="BD97" i="23"/>
  <c r="AD97" i="23"/>
  <c r="A109" i="115"/>
  <c r="B110" i="115"/>
  <c r="G96" i="23"/>
  <c r="AT96" i="23"/>
  <c r="N109" i="16"/>
  <c r="B110" i="16"/>
  <c r="O109" i="16"/>
  <c r="M109" i="16"/>
  <c r="AG96" i="23"/>
  <c r="G113" i="9"/>
  <c r="G115" i="92"/>
  <c r="J115" i="9"/>
  <c r="J117" i="92"/>
  <c r="O105" i="72"/>
  <c r="N105" i="72"/>
  <c r="L105" i="72"/>
  <c r="Y105" i="72"/>
  <c r="AC106" i="21" s="1"/>
  <c r="AC106" i="37" s="1"/>
  <c r="M105" i="72"/>
  <c r="D23" i="72"/>
  <c r="P115" i="92"/>
  <c r="P113" i="9"/>
  <c r="D85" i="115" s="1"/>
  <c r="D110" i="16" l="1"/>
  <c r="I110" i="16"/>
  <c r="K110" i="16"/>
  <c r="E110" i="16"/>
  <c r="L110" i="16"/>
  <c r="J110" i="16"/>
  <c r="F110" i="16"/>
  <c r="H110" i="16"/>
  <c r="G110" i="16"/>
  <c r="S119" i="9"/>
  <c r="S121" i="92"/>
  <c r="T97" i="23"/>
  <c r="M123" i="92"/>
  <c r="M121" i="9"/>
  <c r="AT97" i="23"/>
  <c r="AG97" i="23"/>
  <c r="G97" i="23"/>
  <c r="BG97" i="23"/>
  <c r="BT97" i="23"/>
  <c r="CG97" i="23"/>
  <c r="A110" i="115"/>
  <c r="B111" i="115"/>
  <c r="V127" i="92"/>
  <c r="V125" i="9"/>
  <c r="T98" i="22"/>
  <c r="AF98" i="22"/>
  <c r="AU98" i="22"/>
  <c r="AL98" i="22"/>
  <c r="X98" i="22"/>
  <c r="E98" i="22"/>
  <c r="O98" i="22"/>
  <c r="P98" i="22"/>
  <c r="AJ98" i="22"/>
  <c r="K98" i="22"/>
  <c r="H98" i="22"/>
  <c r="AV98" i="22"/>
  <c r="U98" i="22"/>
  <c r="AR98" i="22"/>
  <c r="W98" i="22"/>
  <c r="Q98" i="22"/>
  <c r="G98" i="22"/>
  <c r="AO98" i="22"/>
  <c r="AT98" i="22"/>
  <c r="AG98" i="22"/>
  <c r="AM98" i="22"/>
  <c r="V98" i="22"/>
  <c r="AD98" i="22"/>
  <c r="AA98" i="22"/>
  <c r="AW98" i="22"/>
  <c r="AP98" i="22"/>
  <c r="L98" i="22"/>
  <c r="I98" i="22"/>
  <c r="D98" i="22"/>
  <c r="M98" i="22"/>
  <c r="J98" i="22"/>
  <c r="Z98" i="22"/>
  <c r="F98" i="22"/>
  <c r="N98" i="22"/>
  <c r="AS98" i="22"/>
  <c r="Y98" i="22"/>
  <c r="AB98" i="22"/>
  <c r="AN98" i="22"/>
  <c r="AC98" i="22"/>
  <c r="AE98" i="22"/>
  <c r="AQ98" i="22"/>
  <c r="AK98" i="22"/>
  <c r="AI98" i="22"/>
  <c r="S98" i="22"/>
  <c r="R98" i="22"/>
  <c r="AX98" i="22"/>
  <c r="AH98" i="22"/>
  <c r="AY98" i="22"/>
  <c r="AS98" i="23"/>
  <c r="CF98" i="23"/>
  <c r="BS98" i="23"/>
  <c r="BF98" i="23"/>
  <c r="AF98" i="23"/>
  <c r="F98" i="23"/>
  <c r="S98" i="23"/>
  <c r="W125" i="9"/>
  <c r="W127" i="92"/>
  <c r="BD98" i="23"/>
  <c r="CD98" i="23"/>
  <c r="D98" i="23"/>
  <c r="Q98" i="23"/>
  <c r="BQ98" i="23"/>
  <c r="AQ98" i="23"/>
  <c r="AD98" i="23"/>
  <c r="N110" i="16"/>
  <c r="M110" i="16"/>
  <c r="O110" i="16"/>
  <c r="B111" i="16"/>
  <c r="G114" i="9"/>
  <c r="G116" i="92"/>
  <c r="AE98" i="23"/>
  <c r="CE98" i="23"/>
  <c r="E98" i="23"/>
  <c r="AR98" i="23"/>
  <c r="R98" i="23"/>
  <c r="BE98" i="23"/>
  <c r="BR98" i="23"/>
  <c r="J118" i="92"/>
  <c r="J116" i="9"/>
  <c r="P114" i="9"/>
  <c r="D86" i="115" s="1"/>
  <c r="P116" i="92"/>
  <c r="M82" i="21"/>
  <c r="M82" i="37" s="1"/>
  <c r="M99" i="21"/>
  <c r="M99" i="37" s="1"/>
  <c r="AC49" i="21"/>
  <c r="AC49" i="37" s="1"/>
  <c r="AC43" i="21"/>
  <c r="AC43" i="37" s="1"/>
  <c r="AC55" i="21"/>
  <c r="AC55" i="37" s="1"/>
  <c r="M75" i="21"/>
  <c r="M75" i="37" s="1"/>
  <c r="M58" i="21"/>
  <c r="M58" i="37" s="1"/>
  <c r="AC98" i="21"/>
  <c r="AC98" i="37" s="1"/>
  <c r="M72" i="21"/>
  <c r="M72" i="37" s="1"/>
  <c r="M74" i="21"/>
  <c r="M74" i="37" s="1"/>
  <c r="M36" i="21"/>
  <c r="M36" i="37" s="1"/>
  <c r="M60" i="21"/>
  <c r="M60" i="37" s="1"/>
  <c r="M84" i="21"/>
  <c r="M84" i="37" s="1"/>
  <c r="M57" i="21"/>
  <c r="M57" i="37" s="1"/>
  <c r="M96" i="21"/>
  <c r="M96" i="37" s="1"/>
  <c r="AC69" i="21"/>
  <c r="AC69" i="37" s="1"/>
  <c r="AC59" i="21"/>
  <c r="AC59" i="37" s="1"/>
  <c r="AC88" i="21"/>
  <c r="AC88" i="37" s="1"/>
  <c r="M48" i="21"/>
  <c r="M48" i="37" s="1"/>
  <c r="M94" i="21"/>
  <c r="M94" i="37" s="1"/>
  <c r="M65" i="21"/>
  <c r="M65" i="37" s="1"/>
  <c r="AC87" i="21"/>
  <c r="AC87" i="37" s="1"/>
  <c r="M39" i="21"/>
  <c r="M39" i="37" s="1"/>
  <c r="M79" i="21"/>
  <c r="M79" i="37" s="1"/>
  <c r="AC57" i="21"/>
  <c r="AC57" i="37" s="1"/>
  <c r="M64" i="21"/>
  <c r="M64" i="37" s="1"/>
  <c r="AC73" i="21"/>
  <c r="AC73" i="37" s="1"/>
  <c r="AC53" i="21"/>
  <c r="AC53" i="37" s="1"/>
  <c r="M68" i="21"/>
  <c r="M68" i="37" s="1"/>
  <c r="M51" i="21"/>
  <c r="M51" i="37" s="1"/>
  <c r="AC85" i="21"/>
  <c r="AC85" i="37" s="1"/>
  <c r="AC64" i="21"/>
  <c r="AC64" i="37" s="1"/>
  <c r="M101" i="21"/>
  <c r="M101" i="37" s="1"/>
  <c r="M62" i="21"/>
  <c r="M62" i="37" s="1"/>
  <c r="M85" i="21"/>
  <c r="M85" i="37" s="1"/>
  <c r="AC103" i="21"/>
  <c r="AC103" i="37" s="1"/>
  <c r="AC48" i="21"/>
  <c r="AC48" i="37" s="1"/>
  <c r="M100" i="21"/>
  <c r="M100" i="37" s="1"/>
  <c r="M80" i="21"/>
  <c r="M80" i="37" s="1"/>
  <c r="AC96" i="21"/>
  <c r="AC96" i="37" s="1"/>
  <c r="M56" i="21"/>
  <c r="M56" i="37" s="1"/>
  <c r="M41" i="21"/>
  <c r="M41" i="37" s="1"/>
  <c r="M81" i="21"/>
  <c r="M81" i="37" s="1"/>
  <c r="AC83" i="21"/>
  <c r="AC83" i="37" s="1"/>
  <c r="AC39" i="21"/>
  <c r="AC39" i="37" s="1"/>
  <c r="AC42" i="21"/>
  <c r="AC42" i="37" s="1"/>
  <c r="M47" i="21"/>
  <c r="M47" i="37" s="1"/>
  <c r="M42" i="21"/>
  <c r="M42" i="37" s="1"/>
  <c r="M89" i="21"/>
  <c r="M89" i="37" s="1"/>
  <c r="M90" i="21"/>
  <c r="M90" i="37" s="1"/>
  <c r="M98" i="21"/>
  <c r="M98" i="37" s="1"/>
  <c r="M44" i="21"/>
  <c r="M44" i="37" s="1"/>
  <c r="AC66" i="21"/>
  <c r="AC66" i="37" s="1"/>
  <c r="AC100" i="21"/>
  <c r="AC100" i="37" s="1"/>
  <c r="M61" i="21"/>
  <c r="M61" i="37" s="1"/>
  <c r="AC46" i="21"/>
  <c r="AC46" i="37" s="1"/>
  <c r="M70" i="21"/>
  <c r="M70" i="37" s="1"/>
  <c r="M105" i="21"/>
  <c r="M105" i="37" s="1"/>
  <c r="AC102" i="21"/>
  <c r="AC102" i="37" s="1"/>
  <c r="M92" i="21"/>
  <c r="M92" i="37" s="1"/>
  <c r="AC99" i="21"/>
  <c r="AC99" i="37" s="1"/>
  <c r="AC67" i="21"/>
  <c r="AC67" i="37" s="1"/>
  <c r="M78" i="21"/>
  <c r="M78" i="37" s="1"/>
  <c r="M102" i="21"/>
  <c r="M102" i="37" s="1"/>
  <c r="M45" i="21"/>
  <c r="M45" i="37" s="1"/>
  <c r="AC95" i="21"/>
  <c r="AC95" i="37" s="1"/>
  <c r="M93" i="21"/>
  <c r="M93" i="37" s="1"/>
  <c r="M37" i="21"/>
  <c r="M37" i="37" s="1"/>
  <c r="M106" i="21"/>
  <c r="M106" i="37" s="1"/>
  <c r="AC63" i="21"/>
  <c r="AC63" i="37" s="1"/>
  <c r="AC72" i="21"/>
  <c r="AC72" i="37" s="1"/>
  <c r="AC40" i="21"/>
  <c r="AC40" i="37" s="1"/>
  <c r="M95" i="21"/>
  <c r="M95" i="37" s="1"/>
  <c r="M87" i="21"/>
  <c r="M87" i="37" s="1"/>
  <c r="AC97" i="21"/>
  <c r="AC97" i="37" s="1"/>
  <c r="AC77" i="21"/>
  <c r="AC77" i="37" s="1"/>
  <c r="AC101" i="21"/>
  <c r="AC101" i="37" s="1"/>
  <c r="M67" i="21"/>
  <c r="M67" i="37" s="1"/>
  <c r="M71" i="21"/>
  <c r="M71" i="37" s="1"/>
  <c r="M76" i="21"/>
  <c r="M76" i="37" s="1"/>
  <c r="AC91" i="21"/>
  <c r="AC91" i="37" s="1"/>
  <c r="M38" i="21"/>
  <c r="M38" i="37" s="1"/>
  <c r="M59" i="21"/>
  <c r="M59" i="37" s="1"/>
  <c r="AC93" i="21"/>
  <c r="AC93" i="37" s="1"/>
  <c r="AC70" i="21"/>
  <c r="AC70" i="37" s="1"/>
  <c r="AC78" i="21"/>
  <c r="AC78" i="37" s="1"/>
  <c r="M86" i="21"/>
  <c r="M86" i="37" s="1"/>
  <c r="M52" i="21"/>
  <c r="M52" i="37" s="1"/>
  <c r="AC90" i="21"/>
  <c r="AC90" i="37" s="1"/>
  <c r="M103" i="21"/>
  <c r="M103" i="37" s="1"/>
  <c r="AC41" i="21"/>
  <c r="AC41" i="37" s="1"/>
  <c r="AC86" i="21"/>
  <c r="AC86" i="37" s="1"/>
  <c r="AC54" i="21"/>
  <c r="AC54" i="37" s="1"/>
  <c r="M77" i="21"/>
  <c r="M77" i="37" s="1"/>
  <c r="M104" i="21"/>
  <c r="M104" i="37" s="1"/>
  <c r="AC74" i="21"/>
  <c r="AC74" i="37" s="1"/>
  <c r="AC68" i="21"/>
  <c r="AC68" i="37" s="1"/>
  <c r="AC52" i="21"/>
  <c r="AC52" i="37" s="1"/>
  <c r="M50" i="21"/>
  <c r="M50" i="37" s="1"/>
  <c r="AC71" i="21"/>
  <c r="AC71" i="37" s="1"/>
  <c r="AC35" i="21"/>
  <c r="AC35" i="37" s="1"/>
  <c r="D111" i="16" l="1"/>
  <c r="K111" i="16"/>
  <c r="J111" i="16"/>
  <c r="E111" i="16"/>
  <c r="L111" i="16"/>
  <c r="F111" i="16"/>
  <c r="I111" i="16"/>
  <c r="H111" i="16"/>
  <c r="G111" i="16"/>
  <c r="S120" i="9"/>
  <c r="S122" i="92"/>
  <c r="M124" i="92"/>
  <c r="M122" i="9"/>
  <c r="G98" i="23"/>
  <c r="B112" i="16"/>
  <c r="O111" i="16"/>
  <c r="M111" i="16"/>
  <c r="N111" i="16"/>
  <c r="CG98" i="23"/>
  <c r="BG98" i="23"/>
  <c r="CD99" i="23"/>
  <c r="D99" i="23"/>
  <c r="AQ99" i="23"/>
  <c r="AD99" i="23"/>
  <c r="BD99" i="23"/>
  <c r="Q99" i="23"/>
  <c r="BQ99" i="23"/>
  <c r="W126" i="9"/>
  <c r="W128" i="92"/>
  <c r="AG98" i="23"/>
  <c r="AY99" i="22"/>
  <c r="AX99" i="22"/>
  <c r="AH99" i="22"/>
  <c r="AI99" i="22"/>
  <c r="R99" i="22"/>
  <c r="S99" i="22"/>
  <c r="BF99" i="23"/>
  <c r="F99" i="23"/>
  <c r="AF99" i="23"/>
  <c r="S99" i="23"/>
  <c r="AS99" i="23"/>
  <c r="BS99" i="23"/>
  <c r="CF99" i="23"/>
  <c r="N99" i="22"/>
  <c r="AM99" i="22"/>
  <c r="AW99" i="22"/>
  <c r="AN99" i="22"/>
  <c r="AK99" i="22"/>
  <c r="L99" i="22"/>
  <c r="AV99" i="22"/>
  <c r="D99" i="22"/>
  <c r="K99" i="22"/>
  <c r="U99" i="22"/>
  <c r="H99" i="22"/>
  <c r="AE99" i="22"/>
  <c r="M99" i="22"/>
  <c r="I99" i="22"/>
  <c r="T99" i="22"/>
  <c r="AO99" i="22"/>
  <c r="AR99" i="22"/>
  <c r="V99" i="22"/>
  <c r="F99" i="22"/>
  <c r="Z99" i="22"/>
  <c r="AG99" i="22"/>
  <c r="Q99" i="22"/>
  <c r="AU99" i="22"/>
  <c r="E99" i="22"/>
  <c r="W99" i="22"/>
  <c r="G99" i="22"/>
  <c r="AQ99" i="22"/>
  <c r="AP99" i="22"/>
  <c r="AS99" i="22"/>
  <c r="AF99" i="22"/>
  <c r="AT99" i="22"/>
  <c r="P99" i="22"/>
  <c r="X99" i="22"/>
  <c r="AC99" i="22"/>
  <c r="J99" i="22"/>
  <c r="Y99" i="22"/>
  <c r="AB99" i="22"/>
  <c r="AL99" i="22"/>
  <c r="O99" i="22"/>
  <c r="AD99" i="22"/>
  <c r="AA99" i="22"/>
  <c r="AJ99" i="22"/>
  <c r="G117" i="92"/>
  <c r="G115" i="9"/>
  <c r="AT98" i="23"/>
  <c r="V128" i="92"/>
  <c r="V126" i="9"/>
  <c r="BT98" i="23"/>
  <c r="BR99" i="23"/>
  <c r="AE99" i="23"/>
  <c r="R99" i="23"/>
  <c r="AR99" i="23"/>
  <c r="CE99" i="23"/>
  <c r="E99" i="23"/>
  <c r="BE99" i="23"/>
  <c r="B112" i="115"/>
  <c r="A111" i="115"/>
  <c r="T98" i="23"/>
  <c r="J119" i="92"/>
  <c r="J117" i="9"/>
  <c r="P115" i="9"/>
  <c r="D87" i="115" s="1"/>
  <c r="P117" i="92"/>
  <c r="F112" i="16" l="1"/>
  <c r="L112" i="16"/>
  <c r="D112" i="16"/>
  <c r="K112" i="16"/>
  <c r="I112" i="16"/>
  <c r="J112" i="16"/>
  <c r="E112" i="16"/>
  <c r="H112" i="16"/>
  <c r="G112" i="16"/>
  <c r="AG99" i="23"/>
  <c r="S121" i="9"/>
  <c r="S123" i="92"/>
  <c r="M125" i="92"/>
  <c r="M123" i="9"/>
  <c r="BT99" i="23"/>
  <c r="N100" i="22"/>
  <c r="P100" i="22"/>
  <c r="AD100" i="22"/>
  <c r="AT100" i="22"/>
  <c r="AF100" i="22"/>
  <c r="AA100" i="22"/>
  <c r="Z100" i="22"/>
  <c r="AN100" i="22"/>
  <c r="V100" i="22"/>
  <c r="AV100" i="22"/>
  <c r="AG100" i="22"/>
  <c r="U100" i="22"/>
  <c r="AW100" i="22"/>
  <c r="G100" i="22"/>
  <c r="AP100" i="22"/>
  <c r="M100" i="22"/>
  <c r="J100" i="22"/>
  <c r="AO100" i="22"/>
  <c r="K100" i="22"/>
  <c r="E100" i="22"/>
  <c r="AU100" i="22"/>
  <c r="AS100" i="22"/>
  <c r="L100" i="22"/>
  <c r="X100" i="22"/>
  <c r="T100" i="22"/>
  <c r="Y100" i="22"/>
  <c r="AL100" i="22"/>
  <c r="AC100" i="22"/>
  <c r="F100" i="22"/>
  <c r="O100" i="22"/>
  <c r="Q100" i="22"/>
  <c r="AQ100" i="22"/>
  <c r="AR100" i="22"/>
  <c r="AK100" i="22"/>
  <c r="D100" i="22"/>
  <c r="I100" i="22"/>
  <c r="AE100" i="22"/>
  <c r="AJ100" i="22"/>
  <c r="AB100" i="22"/>
  <c r="W100" i="22"/>
  <c r="AM100" i="22"/>
  <c r="H100" i="22"/>
  <c r="V127" i="9"/>
  <c r="V129" i="92"/>
  <c r="AQ100" i="23"/>
  <c r="D100" i="23"/>
  <c r="AD100" i="23"/>
  <c r="Q100" i="23"/>
  <c r="BD100" i="23"/>
  <c r="BQ100" i="23"/>
  <c r="CD100" i="23"/>
  <c r="AR100" i="23"/>
  <c r="BR100" i="23"/>
  <c r="E100" i="23"/>
  <c r="BE100" i="23"/>
  <c r="AE100" i="23"/>
  <c r="CE100" i="23"/>
  <c r="R100" i="23"/>
  <c r="T99" i="23"/>
  <c r="S100" i="23"/>
  <c r="AF100" i="23"/>
  <c r="BS100" i="23"/>
  <c r="AS100" i="23"/>
  <c r="F100" i="23"/>
  <c r="BF100" i="23"/>
  <c r="CF100" i="23"/>
  <c r="BG99" i="23"/>
  <c r="G118" i="92"/>
  <c r="G116" i="9"/>
  <c r="W127" i="9"/>
  <c r="W129" i="92"/>
  <c r="AT99" i="23"/>
  <c r="B113" i="16"/>
  <c r="O112" i="16"/>
  <c r="N112" i="16"/>
  <c r="M112" i="16"/>
  <c r="S100" i="22"/>
  <c r="AY100" i="22"/>
  <c r="AX100" i="22"/>
  <c r="AH100" i="22"/>
  <c r="R100" i="22"/>
  <c r="AI100" i="22"/>
  <c r="G99" i="23"/>
  <c r="B113" i="115"/>
  <c r="A112" i="115"/>
  <c r="CG99" i="23"/>
  <c r="J118" i="9"/>
  <c r="J120" i="92"/>
  <c r="P118" i="92"/>
  <c r="P116" i="9"/>
  <c r="D88" i="115" s="1"/>
  <c r="E113" i="16" l="1"/>
  <c r="F113" i="16"/>
  <c r="D113" i="16"/>
  <c r="I113" i="16"/>
  <c r="J113" i="16"/>
  <c r="K113" i="16"/>
  <c r="L113" i="16"/>
  <c r="H113" i="16"/>
  <c r="G113" i="16"/>
  <c r="S122" i="9"/>
  <c r="S124" i="92"/>
  <c r="M124" i="9"/>
  <c r="M126" i="92"/>
  <c r="BT100" i="23"/>
  <c r="CG100" i="23"/>
  <c r="AI101" i="22"/>
  <c r="AX101" i="22"/>
  <c r="S101" i="22"/>
  <c r="AH101" i="22"/>
  <c r="AY101" i="22"/>
  <c r="R101" i="22"/>
  <c r="G100" i="23"/>
  <c r="A113" i="115"/>
  <c r="B114" i="115"/>
  <c r="G117" i="9"/>
  <c r="G119" i="92"/>
  <c r="AT100" i="23"/>
  <c r="V130" i="92"/>
  <c r="V128" i="9"/>
  <c r="M113" i="16"/>
  <c r="N113" i="16"/>
  <c r="O113" i="16"/>
  <c r="B114" i="16"/>
  <c r="AQ101" i="22"/>
  <c r="U101" i="22"/>
  <c r="N101" i="22"/>
  <c r="J101" i="22"/>
  <c r="L101" i="22"/>
  <c r="H101" i="22"/>
  <c r="AT101" i="22"/>
  <c r="F101" i="22"/>
  <c r="G101" i="22"/>
  <c r="AN101" i="22"/>
  <c r="Y101" i="22"/>
  <c r="D101" i="22"/>
  <c r="AL101" i="22"/>
  <c r="K101" i="22"/>
  <c r="T101" i="22"/>
  <c r="AP101" i="22"/>
  <c r="AU101" i="22"/>
  <c r="AD101" i="22"/>
  <c r="AR101" i="22"/>
  <c r="X101" i="22"/>
  <c r="AV101" i="22"/>
  <c r="AO101" i="22"/>
  <c r="Q101" i="22"/>
  <c r="AJ101" i="22"/>
  <c r="AC101" i="22"/>
  <c r="O101" i="22"/>
  <c r="AS101" i="22"/>
  <c r="W101" i="22"/>
  <c r="M101" i="22"/>
  <c r="AG101" i="22"/>
  <c r="E101" i="22"/>
  <c r="AE101" i="22"/>
  <c r="P101" i="22"/>
  <c r="AM101" i="22"/>
  <c r="AF101" i="22"/>
  <c r="I101" i="22"/>
  <c r="Z101" i="22"/>
  <c r="AA101" i="22"/>
  <c r="V101" i="22"/>
  <c r="AW101" i="22"/>
  <c r="AB101" i="22"/>
  <c r="AK101" i="22"/>
  <c r="T100" i="23"/>
  <c r="R101" i="23"/>
  <c r="AE101" i="23"/>
  <c r="AR101" i="23"/>
  <c r="BE101" i="23"/>
  <c r="BR101" i="23"/>
  <c r="CE101" i="23"/>
  <c r="E101" i="23"/>
  <c r="AG100" i="23"/>
  <c r="BD101" i="23"/>
  <c r="CD101" i="23"/>
  <c r="AD101" i="23"/>
  <c r="AQ101" i="23"/>
  <c r="D101" i="23"/>
  <c r="Q101" i="23"/>
  <c r="BQ101" i="23"/>
  <c r="BS101" i="23"/>
  <c r="BF101" i="23"/>
  <c r="CF101" i="23"/>
  <c r="S101" i="23"/>
  <c r="F101" i="23"/>
  <c r="AF101" i="23"/>
  <c r="AS101" i="23"/>
  <c r="W130" i="92"/>
  <c r="W128" i="9"/>
  <c r="BG100" i="23"/>
  <c r="P117" i="9"/>
  <c r="D89" i="115" s="1"/>
  <c r="P119" i="92"/>
  <c r="J119" i="9"/>
  <c r="J121" i="92"/>
  <c r="F114" i="16" l="1"/>
  <c r="I114" i="16"/>
  <c r="E114" i="16"/>
  <c r="J114" i="16"/>
  <c r="K114" i="16"/>
  <c r="L114" i="16"/>
  <c r="D114" i="16"/>
  <c r="H114" i="16"/>
  <c r="G114" i="16"/>
  <c r="S125" i="92"/>
  <c r="S123" i="9"/>
  <c r="M127" i="92"/>
  <c r="M125" i="9"/>
  <c r="BT101" i="23"/>
  <c r="AX102" i="22"/>
  <c r="AY102" i="22"/>
  <c r="AI102" i="22"/>
  <c r="R102" i="22"/>
  <c r="AH102" i="22"/>
  <c r="S102" i="22"/>
  <c r="W129" i="9"/>
  <c r="W131" i="92"/>
  <c r="T101" i="23"/>
  <c r="AC102" i="22"/>
  <c r="Q102" i="22"/>
  <c r="AG102" i="22"/>
  <c r="U102" i="22"/>
  <c r="O102" i="22"/>
  <c r="L102" i="22"/>
  <c r="AE102" i="22"/>
  <c r="AS102" i="22"/>
  <c r="AM102" i="22"/>
  <c r="X102" i="22"/>
  <c r="AJ102" i="22"/>
  <c r="AB102" i="22"/>
  <c r="D102" i="22"/>
  <c r="AO102" i="22"/>
  <c r="AW102" i="22"/>
  <c r="T102" i="22"/>
  <c r="V102" i="22"/>
  <c r="AU102" i="22"/>
  <c r="AK102" i="22"/>
  <c r="AQ102" i="22"/>
  <c r="G102" i="22"/>
  <c r="F102" i="22"/>
  <c r="AP102" i="22"/>
  <c r="N102" i="22"/>
  <c r="H102" i="22"/>
  <c r="P102" i="22"/>
  <c r="M102" i="22"/>
  <c r="W102" i="22"/>
  <c r="AL102" i="22"/>
  <c r="I102" i="22"/>
  <c r="K102" i="22"/>
  <c r="AN102" i="22"/>
  <c r="Z102" i="22"/>
  <c r="E102" i="22"/>
  <c r="AR102" i="22"/>
  <c r="AD102" i="22"/>
  <c r="AF102" i="22"/>
  <c r="AT102" i="22"/>
  <c r="Y102" i="22"/>
  <c r="AV102" i="22"/>
  <c r="J102" i="22"/>
  <c r="AA102" i="22"/>
  <c r="G101" i="23"/>
  <c r="BQ102" i="23"/>
  <c r="CD102" i="23"/>
  <c r="AD102" i="23"/>
  <c r="D102" i="23"/>
  <c r="BD102" i="23"/>
  <c r="AQ102" i="23"/>
  <c r="Q102" i="23"/>
  <c r="V131" i="92"/>
  <c r="V129" i="9"/>
  <c r="BS102" i="23"/>
  <c r="AS102" i="23"/>
  <c r="F102" i="23"/>
  <c r="CF102" i="23"/>
  <c r="S102" i="23"/>
  <c r="BF102" i="23"/>
  <c r="AF102" i="23"/>
  <c r="AT101" i="23"/>
  <c r="AG101" i="23"/>
  <c r="G120" i="92"/>
  <c r="G118" i="9"/>
  <c r="CG101" i="23"/>
  <c r="N114" i="16"/>
  <c r="O114" i="16"/>
  <c r="B115" i="16"/>
  <c r="M114" i="16"/>
  <c r="AR102" i="23"/>
  <c r="BE102" i="23"/>
  <c r="E102" i="23"/>
  <c r="CE102" i="23"/>
  <c r="AE102" i="23"/>
  <c r="R102" i="23"/>
  <c r="BR102" i="23"/>
  <c r="BG101" i="23"/>
  <c r="A114" i="115"/>
  <c r="B115" i="115"/>
  <c r="A115" i="115" s="1"/>
  <c r="J120" i="9"/>
  <c r="J122" i="92"/>
  <c r="P118" i="9"/>
  <c r="D90" i="115" s="1"/>
  <c r="P120" i="92"/>
  <c r="I115" i="16" l="1"/>
  <c r="J115" i="16"/>
  <c r="K115" i="16"/>
  <c r="L115" i="16"/>
  <c r="F115" i="16"/>
  <c r="E115" i="16"/>
  <c r="D115" i="16"/>
  <c r="H115" i="16"/>
  <c r="G115" i="16"/>
  <c r="S126" i="92"/>
  <c r="S124" i="9"/>
  <c r="M126" i="9"/>
  <c r="M128" i="92"/>
  <c r="AG102" i="23"/>
  <c r="CG102" i="23"/>
  <c r="W130" i="9"/>
  <c r="W132" i="92"/>
  <c r="P103" i="22"/>
  <c r="AF103" i="22"/>
  <c r="D103" i="22"/>
  <c r="V103" i="22"/>
  <c r="AJ103" i="22"/>
  <c r="AN103" i="22"/>
  <c r="H103" i="22"/>
  <c r="AA103" i="22"/>
  <c r="AW103" i="22"/>
  <c r="I103" i="22"/>
  <c r="L103" i="22"/>
  <c r="AQ103" i="22"/>
  <c r="K103" i="22"/>
  <c r="AP103" i="22"/>
  <c r="M103" i="22"/>
  <c r="AL103" i="22"/>
  <c r="AU103" i="22"/>
  <c r="Q103" i="22"/>
  <c r="AC103" i="22"/>
  <c r="AT103" i="22"/>
  <c r="AB103" i="22"/>
  <c r="Y103" i="22"/>
  <c r="AS103" i="22"/>
  <c r="W103" i="22"/>
  <c r="AV103" i="22"/>
  <c r="AE103" i="22"/>
  <c r="J103" i="22"/>
  <c r="G103" i="22"/>
  <c r="T103" i="22"/>
  <c r="AK103" i="22"/>
  <c r="E103" i="22"/>
  <c r="AO103" i="22"/>
  <c r="AG103" i="22"/>
  <c r="AM103" i="22"/>
  <c r="AD103" i="22"/>
  <c r="AR103" i="22"/>
  <c r="N103" i="22"/>
  <c r="F103" i="22"/>
  <c r="O103" i="22"/>
  <c r="Z103" i="22"/>
  <c r="X103" i="22"/>
  <c r="U103" i="22"/>
  <c r="BT102" i="23"/>
  <c r="AY103" i="22"/>
  <c r="R103" i="22"/>
  <c r="AH103" i="22"/>
  <c r="AI103" i="22"/>
  <c r="AX103" i="22"/>
  <c r="S103" i="22"/>
  <c r="V130" i="9"/>
  <c r="V132" i="92"/>
  <c r="Q103" i="23"/>
  <c r="AQ103" i="23"/>
  <c r="BQ103" i="23"/>
  <c r="D103" i="23"/>
  <c r="AD103" i="23"/>
  <c r="BD103" i="23"/>
  <c r="CD103" i="23"/>
  <c r="T102" i="23"/>
  <c r="O115" i="16"/>
  <c r="N115" i="16"/>
  <c r="B116" i="16"/>
  <c r="M115" i="16"/>
  <c r="AT102" i="23"/>
  <c r="BG102" i="23"/>
  <c r="G102" i="23"/>
  <c r="AS103" i="23"/>
  <c r="F103" i="23"/>
  <c r="S103" i="23"/>
  <c r="AF103" i="23"/>
  <c r="BF103" i="23"/>
  <c r="BS103" i="23"/>
  <c r="CF103" i="23"/>
  <c r="G121" i="92"/>
  <c r="G119" i="9"/>
  <c r="AE103" i="23"/>
  <c r="BR103" i="23"/>
  <c r="CE103" i="23"/>
  <c r="E103" i="23"/>
  <c r="BE103" i="23"/>
  <c r="AR103" i="23"/>
  <c r="R103" i="23"/>
  <c r="J121" i="9"/>
  <c r="J123" i="92"/>
  <c r="P119" i="9"/>
  <c r="D91" i="115" s="1"/>
  <c r="P121" i="92"/>
  <c r="J116" i="16" l="1"/>
  <c r="F116" i="16"/>
  <c r="D116" i="16"/>
  <c r="K116" i="16"/>
  <c r="L116" i="16"/>
  <c r="I116" i="16"/>
  <c r="E116" i="16"/>
  <c r="H116" i="16"/>
  <c r="G116" i="16"/>
  <c r="S125" i="9"/>
  <c r="S127" i="92"/>
  <c r="M127" i="9"/>
  <c r="M129" i="92"/>
  <c r="AT103" i="23"/>
  <c r="T103" i="23"/>
  <c r="AF104" i="23"/>
  <c r="BS104" i="23"/>
  <c r="AS104" i="23"/>
  <c r="S104" i="23"/>
  <c r="CF104" i="23"/>
  <c r="F104" i="23"/>
  <c r="BF104" i="23"/>
  <c r="G120" i="9"/>
  <c r="G122" i="92"/>
  <c r="V131" i="9"/>
  <c r="V133" i="92"/>
  <c r="B117" i="16"/>
  <c r="N116" i="16"/>
  <c r="M116" i="16"/>
  <c r="O116" i="16"/>
  <c r="CG103" i="23"/>
  <c r="AU104" i="22"/>
  <c r="AD104" i="22"/>
  <c r="D104" i="22"/>
  <c r="AE104" i="22"/>
  <c r="AA104" i="22"/>
  <c r="AN104" i="22"/>
  <c r="V104" i="22"/>
  <c r="AK104" i="22"/>
  <c r="Z104" i="22"/>
  <c r="E104" i="22"/>
  <c r="AW104" i="22"/>
  <c r="AV104" i="22"/>
  <c r="K104" i="22"/>
  <c r="O104" i="22"/>
  <c r="AQ104" i="22"/>
  <c r="AF104" i="22"/>
  <c r="AM104" i="22"/>
  <c r="CK105" i="23" s="1"/>
  <c r="AS104" i="22"/>
  <c r="AL104" i="22"/>
  <c r="CH105" i="23" s="1"/>
  <c r="F104" i="22"/>
  <c r="P104" i="22"/>
  <c r="N104" i="22"/>
  <c r="AR104" i="22"/>
  <c r="M104" i="22"/>
  <c r="I104" i="22"/>
  <c r="J104" i="22"/>
  <c r="AT104" i="22"/>
  <c r="U104" i="22"/>
  <c r="G104" i="22"/>
  <c r="AC104" i="22"/>
  <c r="AO104" i="22"/>
  <c r="W104" i="22"/>
  <c r="AB104" i="22"/>
  <c r="AP104" i="22"/>
  <c r="Y104" i="22"/>
  <c r="AJ104" i="22"/>
  <c r="X104" i="22"/>
  <c r="L104" i="22"/>
  <c r="H104" i="22"/>
  <c r="T104" i="22"/>
  <c r="AG104" i="22"/>
  <c r="Q104" i="22"/>
  <c r="BG103" i="23"/>
  <c r="AG103" i="23"/>
  <c r="R104" i="23"/>
  <c r="BE104" i="23"/>
  <c r="AR104" i="23"/>
  <c r="BR104" i="23"/>
  <c r="CE104" i="23"/>
  <c r="E104" i="23"/>
  <c r="AE104" i="23"/>
  <c r="W133" i="92"/>
  <c r="W131" i="9"/>
  <c r="G103" i="23"/>
  <c r="AH104" i="22"/>
  <c r="S104" i="22"/>
  <c r="AX104" i="22"/>
  <c r="BN105" i="23" s="1"/>
  <c r="R104" i="22"/>
  <c r="AY104" i="22"/>
  <c r="AI104" i="22"/>
  <c r="BT103" i="23"/>
  <c r="AD104" i="23"/>
  <c r="AQ104" i="23"/>
  <c r="BQ104" i="23"/>
  <c r="Q104" i="23"/>
  <c r="D104" i="23"/>
  <c r="BD104" i="23"/>
  <c r="CD104" i="23"/>
  <c r="BR55" i="23"/>
  <c r="BT55" i="23" s="1"/>
  <c r="CF59" i="23"/>
  <c r="BD59" i="23"/>
  <c r="BS59" i="23"/>
  <c r="S59" i="23"/>
  <c r="CE59" i="23"/>
  <c r="AE59" i="23"/>
  <c r="CD59" i="23"/>
  <c r="AF59" i="23"/>
  <c r="AQ59" i="23"/>
  <c r="BE59" i="23"/>
  <c r="AS59" i="23"/>
  <c r="BF59" i="23"/>
  <c r="E59" i="23"/>
  <c r="R59" i="23"/>
  <c r="F59" i="23"/>
  <c r="BR59" i="23"/>
  <c r="BF60" i="23"/>
  <c r="AF60" i="23"/>
  <c r="E60" i="23"/>
  <c r="AE60" i="23"/>
  <c r="CE60" i="23"/>
  <c r="CF60" i="23"/>
  <c r="BE60" i="23"/>
  <c r="BS60" i="23"/>
  <c r="AS60" i="23"/>
  <c r="R60" i="23"/>
  <c r="F60" i="23"/>
  <c r="S60" i="23"/>
  <c r="BR60" i="23"/>
  <c r="AR60" i="23"/>
  <c r="CA71" i="23"/>
  <c r="AF61" i="23"/>
  <c r="AG61" i="23" s="1"/>
  <c r="S61" i="23"/>
  <c r="T61" i="23" s="1"/>
  <c r="I89" i="23"/>
  <c r="CD61" i="23"/>
  <c r="CG61" i="23" s="1"/>
  <c r="Z77" i="23"/>
  <c r="AL82" i="23"/>
  <c r="Z104" i="23"/>
  <c r="CK73" i="23"/>
  <c r="AF62" i="23"/>
  <c r="AQ62" i="23"/>
  <c r="Z83" i="23"/>
  <c r="CM103" i="23"/>
  <c r="BB88" i="23"/>
  <c r="BN70" i="23"/>
  <c r="BZ93" i="23"/>
  <c r="CN81" i="23"/>
  <c r="X72" i="23"/>
  <c r="AN69" i="23"/>
  <c r="BN97" i="23"/>
  <c r="CN79" i="23"/>
  <c r="I84" i="23"/>
  <c r="AX87" i="23"/>
  <c r="AO99" i="23"/>
  <c r="AN73" i="23"/>
  <c r="AB101" i="23"/>
  <c r="BL81" i="23"/>
  <c r="CM65" i="23"/>
  <c r="H102" i="23"/>
  <c r="E63" i="23"/>
  <c r="BA71" i="23"/>
  <c r="AM100" i="23"/>
  <c r="BM89" i="23"/>
  <c r="AV102" i="23"/>
  <c r="BB79" i="23"/>
  <c r="BO98" i="23"/>
  <c r="AU70" i="23"/>
  <c r="AI92" i="23"/>
  <c r="CK104" i="23"/>
  <c r="K89" i="23"/>
  <c r="I77" i="23"/>
  <c r="AY67" i="23"/>
  <c r="AY90" i="23"/>
  <c r="CK63" i="23"/>
  <c r="BK72" i="23"/>
  <c r="M102" i="23"/>
  <c r="AU89" i="23"/>
  <c r="Z88" i="23"/>
  <c r="N72" i="23"/>
  <c r="BY94" i="23"/>
  <c r="Z87" i="23"/>
  <c r="BU88" i="23"/>
  <c r="AX97" i="23"/>
  <c r="AL99" i="23"/>
  <c r="BZ63" i="23"/>
  <c r="AN89" i="23"/>
  <c r="AH77" i="23"/>
  <c r="AK78" i="23"/>
  <c r="H96" i="23"/>
  <c r="AK77" i="23"/>
  <c r="AV70" i="23"/>
  <c r="CA92" i="23"/>
  <c r="CB85" i="23"/>
  <c r="CM96" i="23"/>
  <c r="V69" i="23"/>
  <c r="AH95" i="23"/>
  <c r="BY85" i="23"/>
  <c r="M86" i="23"/>
  <c r="Z92" i="23"/>
  <c r="BL77" i="23"/>
  <c r="AV87" i="23"/>
  <c r="BB76" i="23"/>
  <c r="CI83" i="23"/>
  <c r="CA93" i="23"/>
  <c r="AB84" i="23"/>
  <c r="AX104" i="23"/>
  <c r="BN66" i="23"/>
  <c r="BZ102" i="23"/>
  <c r="AU94" i="23"/>
  <c r="CI73" i="23"/>
  <c r="M80" i="23"/>
  <c r="V98" i="23"/>
  <c r="Y78" i="23"/>
  <c r="BV85" i="23"/>
  <c r="BI76" i="23"/>
  <c r="N89" i="23"/>
  <c r="AL87" i="23"/>
  <c r="BA102" i="23"/>
  <c r="BH98" i="23"/>
  <c r="BA100" i="23"/>
  <c r="Y86" i="23"/>
  <c r="BK75" i="23"/>
  <c r="AB76" i="23"/>
  <c r="L82" i="23"/>
  <c r="AY66" i="23"/>
  <c r="K72" i="23"/>
  <c r="BU78" i="23"/>
  <c r="BB73" i="23"/>
  <c r="AU103" i="23"/>
  <c r="AK97" i="23"/>
  <c r="CL84" i="23"/>
  <c r="L86" i="23"/>
  <c r="BI95" i="23"/>
  <c r="BI66" i="23"/>
  <c r="CO71" i="23"/>
  <c r="CL98" i="23"/>
  <c r="BL101" i="23"/>
  <c r="Z94" i="23"/>
  <c r="BA75" i="23"/>
  <c r="BK104" i="23"/>
  <c r="AK68" i="23"/>
  <c r="AU63" i="23"/>
  <c r="K86" i="23"/>
  <c r="AI66" i="23"/>
  <c r="K87" i="23"/>
  <c r="U84" i="23"/>
  <c r="BX88" i="23"/>
  <c r="AZ68" i="23"/>
  <c r="Y70" i="23"/>
  <c r="BO69" i="23"/>
  <c r="L101" i="23"/>
  <c r="Z75" i="23"/>
  <c r="H94" i="23"/>
  <c r="AN84" i="23"/>
  <c r="CH67" i="23"/>
  <c r="X68" i="23"/>
  <c r="Y84" i="23"/>
  <c r="CA79" i="23"/>
  <c r="AI90" i="23"/>
  <c r="AK72" i="23"/>
  <c r="BB86" i="23"/>
  <c r="AM82" i="23"/>
  <c r="BV67" i="23"/>
  <c r="K98" i="23"/>
  <c r="H90" i="23"/>
  <c r="CL83" i="23"/>
  <c r="BB96" i="23"/>
  <c r="AZ91" i="23"/>
  <c r="N73" i="23"/>
  <c r="F63" i="23"/>
  <c r="AM71" i="23"/>
  <c r="BV93" i="23"/>
  <c r="V76" i="23"/>
  <c r="AZ101" i="23"/>
  <c r="H70" i="23"/>
  <c r="AK76" i="23"/>
  <c r="BM77" i="23"/>
  <c r="L64" i="23"/>
  <c r="AO73" i="23"/>
  <c r="CL103" i="23"/>
  <c r="CO77" i="23"/>
  <c r="BL96" i="23"/>
  <c r="AH103" i="23"/>
  <c r="H83" i="23"/>
  <c r="AO103" i="23"/>
  <c r="V104" i="23"/>
  <c r="V102" i="23"/>
  <c r="BL103" i="23"/>
  <c r="AZ94" i="23"/>
  <c r="AK69" i="23"/>
  <c r="AM93" i="23"/>
  <c r="O69" i="23"/>
  <c r="AO85" i="23"/>
  <c r="Z64" i="23"/>
  <c r="CK95" i="23"/>
  <c r="BN101" i="23"/>
  <c r="AA77" i="23"/>
  <c r="BI70" i="23"/>
  <c r="I64" i="23"/>
  <c r="BK73" i="23"/>
  <c r="U75" i="23"/>
  <c r="CH78" i="23"/>
  <c r="CI70" i="23"/>
  <c r="N99" i="23"/>
  <c r="O68" i="23"/>
  <c r="K82" i="23"/>
  <c r="Z76" i="23"/>
  <c r="M90" i="23"/>
  <c r="AH63" i="23"/>
  <c r="CM91" i="23"/>
  <c r="Z101" i="23"/>
  <c r="AK91" i="23"/>
  <c r="BY67" i="23"/>
  <c r="BI87" i="23"/>
  <c r="BH97" i="23"/>
  <c r="BN88" i="23"/>
  <c r="Z89" i="23"/>
  <c r="CK91" i="23"/>
  <c r="BO68" i="23"/>
  <c r="CN90" i="23"/>
  <c r="BM87" i="23"/>
  <c r="L73" i="23"/>
  <c r="CA69" i="23"/>
  <c r="V80" i="23"/>
  <c r="BY63" i="23"/>
  <c r="BU70" i="23"/>
  <c r="BA90" i="23"/>
  <c r="AX95" i="23"/>
  <c r="CN68" i="23"/>
  <c r="BU80" i="23"/>
  <c r="CH84" i="23"/>
  <c r="M65" i="23"/>
  <c r="CB71" i="23"/>
  <c r="BB74" i="23"/>
  <c r="U92" i="23"/>
  <c r="BI75" i="23"/>
  <c r="CM87" i="23"/>
  <c r="AL88" i="23"/>
  <c r="AK99" i="23"/>
  <c r="BV68" i="23"/>
  <c r="AY87" i="23"/>
  <c r="U65" i="23"/>
  <c r="AY72" i="23"/>
  <c r="CK88" i="23"/>
  <c r="CH99" i="23"/>
  <c r="CM89" i="23"/>
  <c r="L85" i="23"/>
  <c r="CI95" i="23"/>
  <c r="BN85" i="23"/>
  <c r="AZ66" i="23"/>
  <c r="CM69" i="23"/>
  <c r="AU84" i="23"/>
  <c r="AA92" i="23"/>
  <c r="BZ73" i="23"/>
  <c r="CN104" i="23"/>
  <c r="AV75" i="23"/>
  <c r="CA81" i="23"/>
  <c r="AI71" i="23"/>
  <c r="AZ75" i="23"/>
  <c r="AI68" i="23"/>
  <c r="BZ101" i="23"/>
  <c r="AU90" i="23"/>
  <c r="AN65" i="23"/>
  <c r="BV89" i="23"/>
  <c r="AA103" i="23"/>
  <c r="AN78" i="23"/>
  <c r="AM101" i="23"/>
  <c r="BA81" i="23"/>
  <c r="K99" i="23"/>
  <c r="CA99" i="23"/>
  <c r="BN90" i="23"/>
  <c r="BA86" i="23"/>
  <c r="BV88" i="23"/>
  <c r="AV71" i="23"/>
  <c r="M85" i="23"/>
  <c r="AY96" i="23"/>
  <c r="CK75" i="23"/>
  <c r="BM96" i="23"/>
  <c r="CH89" i="23"/>
  <c r="BA89" i="23"/>
  <c r="N83" i="23"/>
  <c r="CA90" i="23"/>
  <c r="CK92" i="23"/>
  <c r="AH85" i="23"/>
  <c r="AB91" i="23"/>
  <c r="AB90" i="23"/>
  <c r="BN63" i="23"/>
  <c r="R62" i="23"/>
  <c r="CF62" i="23"/>
  <c r="BV72" i="23"/>
  <c r="BX84" i="23"/>
  <c r="BU79" i="23"/>
  <c r="BN98" i="23"/>
  <c r="K78" i="23"/>
  <c r="U89" i="23"/>
  <c r="CM101" i="23"/>
  <c r="BY69" i="23"/>
  <c r="Y90" i="23"/>
  <c r="AM102" i="23"/>
  <c r="D63" i="23"/>
  <c r="CA67" i="23"/>
  <c r="H80" i="23"/>
  <c r="I102" i="23"/>
  <c r="BI78" i="23"/>
  <c r="BZ68" i="23"/>
  <c r="BH79" i="23"/>
  <c r="AK104" i="23"/>
  <c r="BH73" i="23"/>
  <c r="AY80" i="23"/>
  <c r="BL66" i="23"/>
  <c r="CK98" i="23"/>
  <c r="AH78" i="23"/>
  <c r="AB81" i="23"/>
  <c r="AB78" i="23"/>
  <c r="CB82" i="23"/>
  <c r="CO78" i="23"/>
  <c r="BA70" i="23"/>
  <c r="AX91" i="23"/>
  <c r="CN99" i="23"/>
  <c r="CL89" i="23"/>
  <c r="AX69" i="23"/>
  <c r="AO87" i="23"/>
  <c r="AH97" i="23"/>
  <c r="CH87" i="23"/>
  <c r="U71" i="23"/>
  <c r="CH80" i="23"/>
  <c r="BM102" i="23"/>
  <c r="N63" i="23"/>
  <c r="BN99" i="23"/>
  <c r="BO72" i="23"/>
  <c r="AZ71" i="23"/>
  <c r="AO78" i="23"/>
  <c r="AK71" i="23"/>
  <c r="BO104" i="23"/>
  <c r="AA88" i="23"/>
  <c r="BN69" i="23"/>
  <c r="BY100" i="23"/>
  <c r="AI81" i="23"/>
  <c r="BH67" i="23"/>
  <c r="AH68" i="23"/>
  <c r="BO64" i="23"/>
  <c r="AN72" i="23"/>
  <c r="CB76" i="23"/>
  <c r="CL102" i="23"/>
  <c r="CL95" i="23"/>
  <c r="K66" i="23"/>
  <c r="M68" i="23"/>
  <c r="BK96" i="23"/>
  <c r="U86" i="23"/>
  <c r="BV96" i="23"/>
  <c r="AN103" i="23"/>
  <c r="AO89" i="23"/>
  <c r="O82" i="23"/>
  <c r="BX67" i="23"/>
  <c r="BA98" i="23"/>
  <c r="AK85" i="23"/>
  <c r="BZ90" i="23"/>
  <c r="AM103" i="23"/>
  <c r="H69" i="23"/>
  <c r="AA73" i="23"/>
  <c r="M96" i="23"/>
  <c r="BU91" i="23"/>
  <c r="CO83" i="23"/>
  <c r="BK94" i="23"/>
  <c r="BL88" i="23"/>
  <c r="M101" i="23"/>
  <c r="AM76" i="23"/>
  <c r="N85" i="23"/>
  <c r="AK94" i="23"/>
  <c r="V77" i="23"/>
  <c r="CO97" i="23"/>
  <c r="BN64" i="23"/>
  <c r="BK81" i="23"/>
  <c r="BB70" i="23"/>
  <c r="CM79" i="23"/>
  <c r="V94" i="23"/>
  <c r="O79" i="23"/>
  <c r="AU80" i="23"/>
  <c r="AU75" i="23"/>
  <c r="AI102" i="23"/>
  <c r="BF62" i="23"/>
  <c r="BQ62" i="23"/>
  <c r="CL73" i="23"/>
  <c r="I73" i="23"/>
  <c r="AL100" i="23"/>
  <c r="BL84" i="23"/>
  <c r="AO95" i="23"/>
  <c r="K102" i="23"/>
  <c r="BH72" i="23"/>
  <c r="AO104" i="23"/>
  <c r="CL81" i="23"/>
  <c r="L83" i="23"/>
  <c r="I68" i="23"/>
  <c r="AU71" i="23"/>
  <c r="CI78" i="23"/>
  <c r="BZ103" i="23"/>
  <c r="AA72" i="23"/>
  <c r="N91" i="23"/>
  <c r="AY70" i="23"/>
  <c r="CA101" i="23"/>
  <c r="BA80" i="23"/>
  <c r="CK99" i="23"/>
  <c r="BN74" i="23"/>
  <c r="BL72" i="23"/>
  <c r="AN70" i="23"/>
  <c r="CA75" i="23"/>
  <c r="BH65" i="23"/>
  <c r="AO102" i="23"/>
  <c r="BB63" i="23"/>
  <c r="H85" i="23"/>
  <c r="AO63" i="23"/>
  <c r="X85" i="23"/>
  <c r="I98" i="23"/>
  <c r="Y98" i="23"/>
  <c r="CN73" i="23"/>
  <c r="BZ92" i="23"/>
  <c r="V70" i="23"/>
  <c r="BN92" i="23"/>
  <c r="BA92" i="23"/>
  <c r="X73" i="23"/>
  <c r="U73" i="23"/>
  <c r="K101" i="23"/>
  <c r="Y74" i="23"/>
  <c r="O93" i="23"/>
  <c r="CA97" i="23"/>
  <c r="AZ82" i="23"/>
  <c r="BA94" i="23"/>
  <c r="CB96" i="23"/>
  <c r="AO64" i="23"/>
  <c r="BK67" i="23"/>
  <c r="X82" i="23"/>
  <c r="BU87" i="23"/>
  <c r="M98" i="23"/>
  <c r="N67" i="23"/>
  <c r="V97" i="23"/>
  <c r="I76" i="23"/>
  <c r="CH79" i="23"/>
  <c r="BL91" i="23"/>
  <c r="CB100" i="23"/>
  <c r="BA76" i="23"/>
  <c r="CO96" i="23"/>
  <c r="CH103" i="23"/>
  <c r="AU65" i="23"/>
  <c r="AM75" i="23"/>
  <c r="AA93" i="23"/>
  <c r="O76" i="23"/>
  <c r="M89" i="23"/>
  <c r="BM73" i="23"/>
  <c r="AL104" i="23"/>
  <c r="X81" i="23"/>
  <c r="H93" i="23"/>
  <c r="Y66" i="23"/>
  <c r="BY74" i="23"/>
  <c r="O100" i="23"/>
  <c r="BU100" i="23"/>
  <c r="BM76" i="23"/>
  <c r="BX81" i="23"/>
  <c r="BO63" i="23"/>
  <c r="AM86" i="23"/>
  <c r="V87" i="23"/>
  <c r="AZ70" i="23"/>
  <c r="CB65" i="23"/>
  <c r="CI74" i="23"/>
  <c r="AV67" i="23"/>
  <c r="V91" i="23"/>
  <c r="AB65" i="23"/>
  <c r="BM99" i="23"/>
  <c r="CB92" i="23"/>
  <c r="BO77" i="23"/>
  <c r="H68" i="23"/>
  <c r="X102" i="23"/>
  <c r="AL71" i="23"/>
  <c r="AZ86" i="23"/>
  <c r="CM98" i="23"/>
  <c r="AL83" i="23"/>
  <c r="CI88" i="23"/>
  <c r="N103" i="23"/>
  <c r="BU63" i="23"/>
  <c r="BI68" i="23"/>
  <c r="BO102" i="23"/>
  <c r="AZ78" i="23"/>
  <c r="BB93" i="23"/>
  <c r="AN66" i="23"/>
  <c r="CN97" i="23"/>
  <c r="Z93" i="23"/>
  <c r="BB65" i="23"/>
  <c r="BX65" i="23"/>
  <c r="AB86" i="23"/>
  <c r="BB104" i="23"/>
  <c r="L80" i="23"/>
  <c r="AA71" i="23"/>
  <c r="AH89" i="23"/>
  <c r="CH102" i="23"/>
  <c r="AA67" i="23"/>
  <c r="N70" i="23"/>
  <c r="CO98" i="23"/>
  <c r="AN81" i="23"/>
  <c r="Z73" i="23"/>
  <c r="CL86" i="23"/>
  <c r="L93" i="23"/>
  <c r="CH96" i="23"/>
  <c r="CA100" i="23"/>
  <c r="U67" i="23"/>
  <c r="BO82" i="23"/>
  <c r="CL97" i="23"/>
  <c r="BO92" i="23"/>
  <c r="M64" i="23"/>
  <c r="M78" i="23"/>
  <c r="CO64" i="23"/>
  <c r="X77" i="23"/>
  <c r="AI82" i="23"/>
  <c r="AK95" i="23"/>
  <c r="AK64" i="23"/>
  <c r="AB95" i="23"/>
  <c r="BB68" i="23"/>
  <c r="L91" i="23"/>
  <c r="AI65" i="23"/>
  <c r="CN89" i="23"/>
  <c r="BY90" i="23"/>
  <c r="I97" i="23"/>
  <c r="BN77" i="23"/>
  <c r="AU76" i="23"/>
  <c r="X65" i="23"/>
  <c r="AO88" i="23"/>
  <c r="AB96" i="23"/>
  <c r="N102" i="23"/>
  <c r="CL63" i="23"/>
  <c r="BK87" i="23"/>
  <c r="CN88" i="23"/>
  <c r="BX99" i="23"/>
  <c r="AM88" i="23"/>
  <c r="BV101" i="23"/>
  <c r="CK96" i="23"/>
  <c r="BQ63" i="23"/>
  <c r="X63" i="23"/>
  <c r="AV68" i="23"/>
  <c r="BU96" i="23"/>
  <c r="AA96" i="23"/>
  <c r="I69" i="23"/>
  <c r="O63" i="23"/>
  <c r="AZ98" i="23"/>
  <c r="Z65" i="23"/>
  <c r="BH93" i="23"/>
  <c r="M83" i="23"/>
  <c r="L98" i="23"/>
  <c r="H88" i="23"/>
  <c r="BN95" i="23"/>
  <c r="Z81" i="23"/>
  <c r="Y89" i="23"/>
  <c r="X88" i="23"/>
  <c r="AN75" i="23"/>
  <c r="AL80" i="23"/>
  <c r="BM78" i="23"/>
  <c r="CO86" i="23"/>
  <c r="K76" i="23"/>
  <c r="BI92" i="23"/>
  <c r="BM68" i="23"/>
  <c r="I66" i="23"/>
  <c r="AZ92" i="23"/>
  <c r="U76" i="23"/>
  <c r="AB104" i="23"/>
  <c r="BN79" i="23"/>
  <c r="CB75" i="23"/>
  <c r="BM91" i="23"/>
  <c r="BA84" i="23"/>
  <c r="BO86" i="23"/>
  <c r="CH74" i="23"/>
  <c r="BO89" i="23"/>
  <c r="AZ103" i="23"/>
  <c r="AX70" i="23"/>
  <c r="BK99" i="23"/>
  <c r="BV103" i="23"/>
  <c r="CI89" i="23"/>
  <c r="CO79" i="23"/>
  <c r="CN63" i="23"/>
  <c r="Y65" i="23"/>
  <c r="AN97" i="23"/>
  <c r="BK100" i="23"/>
  <c r="AU67" i="23"/>
  <c r="Z95" i="23"/>
  <c r="AY95" i="23"/>
  <c r="X100" i="23"/>
  <c r="BI73" i="23"/>
  <c r="BV76" i="23"/>
  <c r="K88" i="23"/>
  <c r="CN102" i="23"/>
  <c r="AX80" i="23"/>
  <c r="U64" i="23"/>
  <c r="AU100" i="23"/>
  <c r="AM104" i="23"/>
  <c r="BX86" i="23"/>
  <c r="M92" i="23"/>
  <c r="AM91" i="23"/>
  <c r="BI88" i="23"/>
  <c r="L77" i="23"/>
  <c r="X70" i="23"/>
  <c r="Y95" i="23"/>
  <c r="CK90" i="23"/>
  <c r="CB70" i="23"/>
  <c r="CE63" i="23"/>
  <c r="CI86" i="23"/>
  <c r="CN64" i="23"/>
  <c r="CM64" i="23"/>
  <c r="O104" i="23"/>
  <c r="AU78" i="23"/>
  <c r="CB87" i="23"/>
  <c r="BH90" i="23"/>
  <c r="AL65" i="23"/>
  <c r="M77" i="23"/>
  <c r="AY71" i="23"/>
  <c r="CO85" i="23"/>
  <c r="BI81" i="23"/>
  <c r="O73" i="23"/>
  <c r="U85" i="23"/>
  <c r="I79" i="23"/>
  <c r="CB99" i="23"/>
  <c r="AB82" i="23"/>
  <c r="X95" i="23"/>
  <c r="BA97" i="23"/>
  <c r="AZ104" i="23"/>
  <c r="BX75" i="23"/>
  <c r="AM92" i="23"/>
  <c r="BZ79" i="23"/>
  <c r="CI102" i="23"/>
  <c r="CI92" i="23"/>
  <c r="BK77" i="23"/>
  <c r="AN98" i="23"/>
  <c r="CK77" i="23"/>
  <c r="AY89" i="23"/>
  <c r="BN71" i="23"/>
  <c r="BB82" i="23"/>
  <c r="AH70" i="23"/>
  <c r="Y63" i="23"/>
  <c r="M99" i="23"/>
  <c r="BY71" i="23"/>
  <c r="BV84" i="23"/>
  <c r="CH68" i="23"/>
  <c r="BU74" i="23"/>
  <c r="I67" i="23"/>
  <c r="CK103" i="23"/>
  <c r="H77" i="23"/>
  <c r="U69" i="23"/>
  <c r="CI77" i="23"/>
  <c r="BL86" i="23"/>
  <c r="BY91" i="23"/>
  <c r="V72" i="23"/>
  <c r="CA104" i="23"/>
  <c r="V103" i="23"/>
  <c r="AU83" i="23"/>
  <c r="AH82" i="23"/>
  <c r="AV73" i="23"/>
  <c r="AS62" i="23"/>
  <c r="BN83" i="23"/>
  <c r="BY83" i="23"/>
  <c r="AO81" i="23"/>
  <c r="M74" i="23"/>
  <c r="AA79" i="23"/>
  <c r="AI69" i="23"/>
  <c r="AV80" i="23"/>
  <c r="CH100" i="23"/>
  <c r="AI75" i="23"/>
  <c r="CM70" i="23"/>
  <c r="BX80" i="23"/>
  <c r="M67" i="23"/>
  <c r="N79" i="23"/>
  <c r="BU76" i="23"/>
  <c r="K79" i="23"/>
  <c r="BU66" i="23"/>
  <c r="BH80" i="23"/>
  <c r="BO88" i="23"/>
  <c r="AN79" i="23"/>
  <c r="BU65" i="23"/>
  <c r="CA68" i="23"/>
  <c r="BV100" i="23"/>
  <c r="X97" i="23"/>
  <c r="AK101" i="23"/>
  <c r="CH92" i="23"/>
  <c r="BI80" i="23"/>
  <c r="BK64" i="23"/>
  <c r="AA76" i="23"/>
  <c r="AX78" i="23"/>
  <c r="BZ91" i="23"/>
  <c r="AY86" i="23"/>
  <c r="CM94" i="23"/>
  <c r="AL67" i="23"/>
  <c r="I81" i="23"/>
  <c r="AY65" i="23"/>
  <c r="BB92" i="23"/>
  <c r="AH84" i="23"/>
  <c r="AO75" i="23"/>
  <c r="O87" i="23"/>
  <c r="L99" i="23"/>
  <c r="CN86" i="23"/>
  <c r="U98" i="23"/>
  <c r="BK69" i="23"/>
  <c r="CN76" i="23"/>
  <c r="BH101" i="23"/>
  <c r="CA65" i="23"/>
  <c r="BN72" i="23"/>
  <c r="BM75" i="23"/>
  <c r="E62" i="23"/>
  <c r="F62" i="23"/>
  <c r="BY98" i="23"/>
  <c r="BO66" i="23"/>
  <c r="AN92" i="23"/>
  <c r="AK73" i="23"/>
  <c r="AB103" i="23"/>
  <c r="AV94" i="23"/>
  <c r="AN100" i="23"/>
  <c r="AU85" i="23"/>
  <c r="AI79" i="23"/>
  <c r="BH77" i="23"/>
  <c r="AI85" i="23"/>
  <c r="BK85" i="23"/>
  <c r="CB98" i="23"/>
  <c r="AK74" i="23"/>
  <c r="N78" i="23"/>
  <c r="AL68" i="23"/>
  <c r="BX66" i="23"/>
  <c r="CL82" i="23"/>
  <c r="CI91" i="23"/>
  <c r="AB92" i="23"/>
  <c r="CL72" i="23"/>
  <c r="BX64" i="23"/>
  <c r="AB73" i="23"/>
  <c r="AO90" i="23"/>
  <c r="N95" i="23"/>
  <c r="AZ84" i="23"/>
  <c r="BX76" i="23"/>
  <c r="M69" i="23"/>
  <c r="AY88" i="23"/>
  <c r="CN80" i="23"/>
  <c r="N81" i="23"/>
  <c r="CA63" i="23"/>
  <c r="N82" i="23"/>
  <c r="AH81" i="23"/>
  <c r="AV103" i="23"/>
  <c r="X92" i="23"/>
  <c r="AH72" i="23"/>
  <c r="CL65" i="23"/>
  <c r="M97" i="23"/>
  <c r="AI94" i="23"/>
  <c r="Z74" i="23"/>
  <c r="X93" i="23"/>
  <c r="BM66" i="23"/>
  <c r="BO101" i="23"/>
  <c r="BL73" i="23"/>
  <c r="AY79" i="23"/>
  <c r="AI67" i="23"/>
  <c r="AH66" i="23"/>
  <c r="BA72" i="23"/>
  <c r="CB67" i="23"/>
  <c r="AA66" i="23"/>
  <c r="I92" i="23"/>
  <c r="BV77" i="23"/>
  <c r="BH82" i="23"/>
  <c r="AL72" i="23"/>
  <c r="AQ63" i="23"/>
  <c r="CK102" i="23"/>
  <c r="AM63" i="23"/>
  <c r="BH68" i="23"/>
  <c r="BM67" i="23"/>
  <c r="X64" i="23"/>
  <c r="BZ99" i="23"/>
  <c r="AU88" i="23"/>
  <c r="BU85" i="23"/>
  <c r="BW85" i="23" s="1"/>
  <c r="CA91" i="23"/>
  <c r="BB72" i="23"/>
  <c r="AO69" i="23"/>
  <c r="AH67" i="23"/>
  <c r="BM81" i="23"/>
  <c r="AO96" i="23"/>
  <c r="I94" i="23"/>
  <c r="H86" i="23"/>
  <c r="BA96" i="23"/>
  <c r="AN76" i="23"/>
  <c r="CA72" i="23"/>
  <c r="AB74" i="23"/>
  <c r="AV100" i="23"/>
  <c r="AZ90" i="23"/>
  <c r="AB97" i="23"/>
  <c r="BL94" i="23"/>
  <c r="BK97" i="23"/>
  <c r="AL93" i="23"/>
  <c r="AA102" i="23"/>
  <c r="BL79" i="23"/>
  <c r="K68" i="23"/>
  <c r="AA80" i="23"/>
  <c r="BH102" i="23"/>
  <c r="K81" i="23"/>
  <c r="BH78" i="23"/>
  <c r="AV95" i="23"/>
  <c r="O91" i="23"/>
  <c r="CI99" i="23"/>
  <c r="AZ81" i="23"/>
  <c r="CL85" i="23"/>
  <c r="CH83" i="23"/>
  <c r="CB80" i="23"/>
  <c r="BY72" i="23"/>
  <c r="U83" i="23"/>
  <c r="CL92" i="23"/>
  <c r="CL101" i="23"/>
  <c r="BN76" i="23"/>
  <c r="CN105" i="23"/>
  <c r="AU104" i="23"/>
  <c r="CL87" i="23"/>
  <c r="BO81" i="23"/>
  <c r="AO77" i="23"/>
  <c r="AI97" i="23"/>
  <c r="Y100" i="23"/>
  <c r="N75" i="23"/>
  <c r="BH81" i="23"/>
  <c r="AU96" i="23"/>
  <c r="CI75" i="23"/>
  <c r="CO95" i="23"/>
  <c r="BU83" i="23"/>
  <c r="Z90" i="23"/>
  <c r="U88" i="23"/>
  <c r="BA88" i="23"/>
  <c r="BX101" i="23"/>
  <c r="AH76" i="23"/>
  <c r="BK102" i="23"/>
  <c r="AO101" i="23"/>
  <c r="BU101" i="23"/>
  <c r="CK93" i="23"/>
  <c r="AV76" i="23"/>
  <c r="BH76" i="23"/>
  <c r="BU95" i="23"/>
  <c r="CH69" i="23"/>
  <c r="AH83" i="23"/>
  <c r="CK69" i="23"/>
  <c r="AU87" i="23"/>
  <c r="BX90" i="23"/>
  <c r="K69" i="23"/>
  <c r="L70" i="23"/>
  <c r="AL78" i="23"/>
  <c r="CO92" i="23"/>
  <c r="BX63" i="23"/>
  <c r="BN65" i="23"/>
  <c r="BD63" i="23"/>
  <c r="AY77" i="23"/>
  <c r="Y81" i="23"/>
  <c r="BO95" i="23"/>
  <c r="BH91" i="23"/>
  <c r="AX99" i="23"/>
  <c r="O88" i="23"/>
  <c r="BB91" i="23"/>
  <c r="Z103" i="23"/>
  <c r="AV90" i="23"/>
  <c r="K100" i="23"/>
  <c r="O97" i="23"/>
  <c r="BB85" i="23"/>
  <c r="CH82" i="23"/>
  <c r="AY94" i="23"/>
  <c r="BO96" i="23"/>
  <c r="N94" i="23"/>
  <c r="Z84" i="23"/>
  <c r="BV78" i="23"/>
  <c r="AU99" i="23"/>
  <c r="K83" i="23"/>
  <c r="O78" i="23"/>
  <c r="M84" i="23"/>
  <c r="CL68" i="23"/>
  <c r="M87" i="23"/>
  <c r="BV91" i="23"/>
  <c r="AA98" i="23"/>
  <c r="BL71" i="23"/>
  <c r="BH66" i="23"/>
  <c r="I95" i="23"/>
  <c r="CI90" i="23"/>
  <c r="AL102" i="23"/>
  <c r="BY75" i="23"/>
  <c r="Z100" i="23"/>
  <c r="I100" i="23"/>
  <c r="H78" i="23"/>
  <c r="AN67" i="23"/>
  <c r="AL90" i="23"/>
  <c r="CM88" i="23"/>
  <c r="BZ86" i="23"/>
  <c r="BM82" i="23"/>
  <c r="BO65" i="23"/>
  <c r="CL88" i="23"/>
  <c r="L103" i="23"/>
  <c r="K74" i="23"/>
  <c r="AA63" i="23"/>
  <c r="N101" i="23"/>
  <c r="AK63" i="23"/>
  <c r="CK86" i="23"/>
  <c r="BY92" i="23"/>
  <c r="AB100" i="23"/>
  <c r="K75" i="23"/>
  <c r="BO103" i="23"/>
  <c r="AK89" i="23"/>
  <c r="X67" i="23"/>
  <c r="CM80" i="23"/>
  <c r="AR63" i="23"/>
  <c r="CK68" i="23"/>
  <c r="CK64" i="23"/>
  <c r="AV88" i="23"/>
  <c r="X71" i="23"/>
  <c r="AX85" i="23"/>
  <c r="CA70" i="23"/>
  <c r="BH100" i="23"/>
  <c r="O101" i="23"/>
  <c r="L95" i="23"/>
  <c r="AA97" i="23"/>
  <c r="Z63" i="23"/>
  <c r="BM83" i="23"/>
  <c r="CA73" i="23"/>
  <c r="CA96" i="23"/>
  <c r="AY98" i="23"/>
  <c r="H76" i="23"/>
  <c r="AH88" i="23"/>
  <c r="V96" i="23"/>
  <c r="AL77" i="23"/>
  <c r="N87" i="23"/>
  <c r="CI98" i="23"/>
  <c r="Z99" i="23"/>
  <c r="BZ88" i="23"/>
  <c r="V71" i="23"/>
  <c r="AD63" i="23"/>
  <c r="AU95" i="23"/>
  <c r="CB73" i="23"/>
  <c r="AN91" i="23"/>
  <c r="U104" i="23"/>
  <c r="AY99" i="23"/>
  <c r="BL92" i="23"/>
  <c r="AH74" i="23"/>
  <c r="L81" i="23"/>
  <c r="BO70" i="23"/>
  <c r="CM72" i="23"/>
  <c r="AU81" i="23"/>
  <c r="BA74" i="23"/>
  <c r="AL64" i="23"/>
  <c r="Y69" i="23"/>
  <c r="BV99" i="23"/>
  <c r="AK88" i="23"/>
  <c r="BH64" i="23"/>
  <c r="BK83" i="23"/>
  <c r="CH98" i="23"/>
  <c r="CK66" i="23"/>
  <c r="CA98" i="23"/>
  <c r="AL95" i="23"/>
  <c r="BI89" i="23"/>
  <c r="CL94" i="23"/>
  <c r="BZ78" i="23"/>
  <c r="U81" i="23"/>
  <c r="H71" i="23"/>
  <c r="AI88" i="23"/>
  <c r="AI83" i="23"/>
  <c r="BV92" i="23"/>
  <c r="BK91" i="23"/>
  <c r="V93" i="23"/>
  <c r="BX69" i="23"/>
  <c r="CM93" i="23"/>
  <c r="X87" i="23"/>
  <c r="AM96" i="23"/>
  <c r="CO104" i="23"/>
  <c r="AM64" i="23"/>
  <c r="O80" i="23"/>
  <c r="X86" i="23"/>
  <c r="Y76" i="23"/>
  <c r="CB86" i="23"/>
  <c r="AH91" i="23"/>
  <c r="BU81" i="23"/>
  <c r="BB66" i="23"/>
  <c r="CN87" i="23"/>
  <c r="AL73" i="23"/>
  <c r="K63" i="23"/>
  <c r="AB87" i="23"/>
  <c r="X96" i="23"/>
  <c r="BL76" i="23"/>
  <c r="BA82" i="23"/>
  <c r="CK70" i="23"/>
  <c r="O64" i="23"/>
  <c r="Y101" i="23"/>
  <c r="AO76" i="23"/>
  <c r="AN74" i="23"/>
  <c r="AU93" i="23"/>
  <c r="BN89" i="23"/>
  <c r="M73" i="23"/>
  <c r="BN87" i="23"/>
  <c r="AM89" i="23"/>
  <c r="CM95" i="23"/>
  <c r="BI102" i="23"/>
  <c r="AZ64" i="23"/>
  <c r="I91" i="23"/>
  <c r="BB103" i="23"/>
  <c r="AK67" i="23"/>
  <c r="M66" i="23"/>
  <c r="AX92" i="23"/>
  <c r="K84" i="23"/>
  <c r="CA84" i="23"/>
  <c r="CB79" i="23"/>
  <c r="N90" i="23"/>
  <c r="BX73" i="23"/>
  <c r="BE62" i="23"/>
  <c r="BR62" i="23"/>
  <c r="Z69" i="23"/>
  <c r="AL69" i="23"/>
  <c r="O103" i="23"/>
  <c r="CM102" i="23"/>
  <c r="CH97" i="23"/>
  <c r="AH98" i="23"/>
  <c r="H95" i="23"/>
  <c r="AM83" i="23"/>
  <c r="X103" i="23"/>
  <c r="CM73" i="23"/>
  <c r="BB64" i="23"/>
  <c r="AY100" i="23"/>
  <c r="CI81" i="23"/>
  <c r="AX65" i="23"/>
  <c r="U100" i="23"/>
  <c r="BX79" i="23"/>
  <c r="BY66" i="23"/>
  <c r="V88" i="23"/>
  <c r="BM85" i="23"/>
  <c r="CM100" i="23"/>
  <c r="BO85" i="23"/>
  <c r="X94" i="23"/>
  <c r="BA101" i="23"/>
  <c r="CA102" i="23"/>
  <c r="BM65" i="23"/>
  <c r="AI64" i="23"/>
  <c r="AH99" i="23"/>
  <c r="K104" i="23"/>
  <c r="N64" i="23"/>
  <c r="BV69" i="23"/>
  <c r="BZ97" i="23"/>
  <c r="BU84" i="23"/>
  <c r="BK66" i="23"/>
  <c r="L71" i="23"/>
  <c r="CA78" i="23"/>
  <c r="Z66" i="23"/>
  <c r="AO100" i="23"/>
  <c r="CH77" i="23"/>
  <c r="CK80" i="23"/>
  <c r="U72" i="23"/>
  <c r="BN80" i="23"/>
  <c r="AN95" i="23"/>
  <c r="AL101" i="23"/>
  <c r="AI98" i="23"/>
  <c r="CB77" i="23"/>
  <c r="BM95" i="23"/>
  <c r="Y85" i="23"/>
  <c r="CA82" i="23"/>
  <c r="AV79" i="23"/>
  <c r="AN99" i="23"/>
  <c r="BM101" i="23"/>
  <c r="AA78" i="23"/>
  <c r="AX75" i="23"/>
  <c r="AV86" i="23"/>
  <c r="AX90" i="23"/>
  <c r="Y68" i="23"/>
  <c r="AK102" i="23"/>
  <c r="AU101" i="23"/>
  <c r="CN103" i="23"/>
  <c r="BH63" i="23"/>
  <c r="BZ75" i="23"/>
  <c r="BU69" i="23"/>
  <c r="AL84" i="23"/>
  <c r="BO100" i="23"/>
  <c r="CM84" i="23"/>
  <c r="AA86" i="23"/>
  <c r="BN94" i="23"/>
  <c r="CH63" i="23"/>
  <c r="U80" i="23"/>
  <c r="AA85" i="23"/>
  <c r="Y87" i="23"/>
  <c r="AI86" i="23"/>
  <c r="BO76" i="23"/>
  <c r="H97" i="23"/>
  <c r="CB63" i="23"/>
  <c r="CO73" i="23"/>
  <c r="AA75" i="23"/>
  <c r="N84" i="23"/>
  <c r="CO84" i="23"/>
  <c r="AV74" i="23"/>
  <c r="U96" i="23"/>
  <c r="BV81" i="23"/>
  <c r="I78" i="23"/>
  <c r="Y99" i="23"/>
  <c r="CN74" i="23"/>
  <c r="BI101" i="23"/>
  <c r="BB102" i="23"/>
  <c r="L75" i="23"/>
  <c r="CI96" i="23"/>
  <c r="AH79" i="23"/>
  <c r="BA104" i="23"/>
  <c r="AL94" i="23"/>
  <c r="BN73" i="23"/>
  <c r="CO82" i="23"/>
  <c r="AA83" i="23"/>
  <c r="BK92" i="23"/>
  <c r="BM79" i="23"/>
  <c r="N98" i="23"/>
  <c r="BX95" i="23"/>
  <c r="BL102" i="23"/>
  <c r="AY92" i="23"/>
  <c r="BI74" i="23"/>
  <c r="CI65" i="23"/>
  <c r="CO76" i="23"/>
  <c r="BV65" i="23"/>
  <c r="Z67" i="23"/>
  <c r="BK65" i="23"/>
  <c r="Y93" i="23"/>
  <c r="AA94" i="23"/>
  <c r="AU77" i="23"/>
  <c r="AN101" i="23"/>
  <c r="BM88" i="23"/>
  <c r="CB74" i="23"/>
  <c r="CA87" i="23"/>
  <c r="BV66" i="23"/>
  <c r="BY77" i="23"/>
  <c r="AN71" i="23"/>
  <c r="Z80" i="23"/>
  <c r="R63" i="23"/>
  <c r="AL86" i="23"/>
  <c r="AV98" i="23"/>
  <c r="BV74" i="23"/>
  <c r="BA65" i="23"/>
  <c r="BI99" i="23"/>
  <c r="I88" i="23"/>
  <c r="AA89" i="23"/>
  <c r="K90" i="23"/>
  <c r="AK98" i="23"/>
  <c r="AH104" i="23"/>
  <c r="AV91" i="23"/>
  <c r="AB94" i="23"/>
  <c r="AV82" i="23"/>
  <c r="BH94" i="23"/>
  <c r="CI103" i="23"/>
  <c r="K80" i="23"/>
  <c r="U91" i="23"/>
  <c r="Z102" i="23"/>
  <c r="BO93" i="23"/>
  <c r="AM95" i="23"/>
  <c r="AN85" i="23"/>
  <c r="BI67" i="23"/>
  <c r="BU99" i="23"/>
  <c r="O72" i="23"/>
  <c r="AZ100" i="23"/>
  <c r="Z68" i="23"/>
  <c r="CO63" i="23"/>
  <c r="CO94" i="23"/>
  <c r="N80" i="23"/>
  <c r="CN71" i="23"/>
  <c r="BI86" i="23"/>
  <c r="Y77" i="23"/>
  <c r="AO94" i="23"/>
  <c r="BL99" i="23"/>
  <c r="BM93" i="23"/>
  <c r="BZ65" i="23"/>
  <c r="BV98" i="23"/>
  <c r="V92" i="23"/>
  <c r="M94" i="23"/>
  <c r="I82" i="23"/>
  <c r="I83" i="23"/>
  <c r="M93" i="23"/>
  <c r="AY82" i="23"/>
  <c r="AZ97" i="23"/>
  <c r="BK90" i="23"/>
  <c r="AB64" i="23"/>
  <c r="CO87" i="23"/>
  <c r="CA94" i="23"/>
  <c r="AI87" i="23"/>
  <c r="O74" i="23"/>
  <c r="AV89" i="23"/>
  <c r="X99" i="23"/>
  <c r="BZ98" i="23"/>
  <c r="BM63" i="23"/>
  <c r="AU69" i="23"/>
  <c r="AM67" i="23"/>
  <c r="CI94" i="23"/>
  <c r="V63" i="23"/>
  <c r="AU68" i="23"/>
  <c r="AZ95" i="23"/>
  <c r="AZ76" i="23"/>
  <c r="AZ73" i="23"/>
  <c r="CK79" i="23"/>
  <c r="L102" i="23"/>
  <c r="CH81" i="23"/>
  <c r="O89" i="23"/>
  <c r="X74" i="23"/>
  <c r="S63" i="23"/>
  <c r="Y94" i="23"/>
  <c r="AU73" i="23"/>
  <c r="AS63" i="23"/>
  <c r="BH75" i="23"/>
  <c r="BI94" i="23"/>
  <c r="Y75" i="23"/>
  <c r="BY97" i="23"/>
  <c r="N76" i="23"/>
  <c r="BM98" i="23"/>
  <c r="Z96" i="23"/>
  <c r="CM68" i="23"/>
  <c r="BV95" i="23"/>
  <c r="CN82" i="23"/>
  <c r="V90" i="23"/>
  <c r="X104" i="23"/>
  <c r="CL79" i="23"/>
  <c r="AH102" i="23"/>
  <c r="AA84" i="23"/>
  <c r="CB64" i="23"/>
  <c r="BL95" i="23"/>
  <c r="BN100" i="23"/>
  <c r="CN69" i="23"/>
  <c r="AK84" i="23"/>
  <c r="BK63" i="23"/>
  <c r="BM70" i="23"/>
  <c r="BO80" i="23"/>
  <c r="CO81" i="23"/>
  <c r="BH85" i="23"/>
  <c r="CB78" i="23"/>
  <c r="BB80" i="23"/>
  <c r="AO91" i="23"/>
  <c r="BN96" i="23"/>
  <c r="U77" i="23"/>
  <c r="AH92" i="23"/>
  <c r="AB80" i="23"/>
  <c r="I93" i="23"/>
  <c r="BL80" i="23"/>
  <c r="BU67" i="23"/>
  <c r="O65" i="23"/>
  <c r="CK74" i="23"/>
  <c r="BZ72" i="23"/>
  <c r="CM66" i="23"/>
  <c r="CB88" i="23"/>
  <c r="AL89" i="23"/>
  <c r="BA95" i="23"/>
  <c r="CB68" i="23"/>
  <c r="I80" i="23"/>
  <c r="AB67" i="23"/>
  <c r="BH96" i="23"/>
  <c r="AX94" i="23"/>
  <c r="BY64" i="23"/>
  <c r="X91" i="23"/>
  <c r="AB66" i="23"/>
  <c r="CA88" i="23"/>
  <c r="CO93" i="23"/>
  <c r="O85" i="23"/>
  <c r="AZ83" i="23"/>
  <c r="CI104" i="23"/>
  <c r="BD62" i="23"/>
  <c r="CD62" i="23"/>
  <c r="AO70" i="23"/>
  <c r="CI84" i="23"/>
  <c r="CA64" i="23"/>
  <c r="AU91" i="23"/>
  <c r="AO67" i="23"/>
  <c r="CM99" i="23"/>
  <c r="AM80" i="23"/>
  <c r="BU90" i="23"/>
  <c r="CO90" i="23"/>
  <c r="CO65" i="23"/>
  <c r="AO71" i="23"/>
  <c r="AK80" i="23"/>
  <c r="AI78" i="23"/>
  <c r="H64" i="23"/>
  <c r="BX97" i="23"/>
  <c r="V100" i="23"/>
  <c r="CN65" i="23"/>
  <c r="M100" i="23"/>
  <c r="V81" i="23"/>
  <c r="X98" i="23"/>
  <c r="BZ85" i="23"/>
  <c r="N93" i="23"/>
  <c r="AY91" i="23"/>
  <c r="N97" i="23"/>
  <c r="BO67" i="23"/>
  <c r="CO103" i="23"/>
  <c r="AK103" i="23"/>
  <c r="AK75" i="23"/>
  <c r="BV80" i="23"/>
  <c r="BZ84" i="23"/>
  <c r="CA66" i="23"/>
  <c r="AO74" i="23"/>
  <c r="AA70" i="23"/>
  <c r="CO70" i="23"/>
  <c r="U82" i="23"/>
  <c r="AK96" i="23"/>
  <c r="AB68" i="23"/>
  <c r="CK83" i="23"/>
  <c r="BA73" i="23"/>
  <c r="V82" i="23"/>
  <c r="CN77" i="23"/>
  <c r="AN102" i="23"/>
  <c r="BZ76" i="23"/>
  <c r="H66" i="23"/>
  <c r="CH85" i="23"/>
  <c r="CK84" i="23"/>
  <c r="AX86" i="23"/>
  <c r="Z72" i="23"/>
  <c r="AM87" i="23"/>
  <c r="BB67" i="23"/>
  <c r="BH89" i="23"/>
  <c r="BJ89" i="23" s="1"/>
  <c r="AL81" i="23"/>
  <c r="CB94" i="23"/>
  <c r="CM83" i="23"/>
  <c r="BA83" i="23"/>
  <c r="AX71" i="23"/>
  <c r="BB84" i="23"/>
  <c r="AA74" i="23"/>
  <c r="BY88" i="23"/>
  <c r="BI63" i="23"/>
  <c r="L66" i="23"/>
  <c r="AH100" i="23"/>
  <c r="BX89" i="23"/>
  <c r="CN96" i="23"/>
  <c r="U87" i="23"/>
  <c r="H99" i="23"/>
  <c r="AI101" i="23"/>
  <c r="AK81" i="23"/>
  <c r="M91" i="23"/>
  <c r="P91" i="23" s="1"/>
  <c r="CA103" i="23"/>
  <c r="CL99" i="23"/>
  <c r="BY87" i="23"/>
  <c r="L96" i="23"/>
  <c r="BI96" i="23"/>
  <c r="BL87" i="23"/>
  <c r="I86" i="23"/>
  <c r="CK97" i="23"/>
  <c r="CM81" i="23"/>
  <c r="CB95" i="23"/>
  <c r="AY63" i="23"/>
  <c r="AB89" i="23"/>
  <c r="BY70" i="23"/>
  <c r="BB71" i="23"/>
  <c r="BL63" i="23"/>
  <c r="I96" i="23"/>
  <c r="Y83" i="23"/>
  <c r="Z86" i="23"/>
  <c r="CI64" i="23"/>
  <c r="CI79" i="23"/>
  <c r="BM97" i="23"/>
  <c r="CB66" i="23"/>
  <c r="BO97" i="23"/>
  <c r="BV104" i="23"/>
  <c r="BA77" i="23"/>
  <c r="L92" i="23"/>
  <c r="CH73" i="23"/>
  <c r="M76" i="23"/>
  <c r="M88" i="23"/>
  <c r="X79" i="23"/>
  <c r="AB69" i="23"/>
  <c r="BL65" i="23"/>
  <c r="Z85" i="23"/>
  <c r="N69" i="23"/>
  <c r="AA100" i="23"/>
  <c r="BO74" i="23"/>
  <c r="CH76" i="23"/>
  <c r="CM92" i="23"/>
  <c r="AV64" i="23"/>
  <c r="M79" i="23"/>
  <c r="BZ82" i="23"/>
  <c r="BX94" i="23"/>
  <c r="BI77" i="23"/>
  <c r="M63" i="23"/>
  <c r="BI83" i="23"/>
  <c r="AK90" i="23"/>
  <c r="CK82" i="23"/>
  <c r="H84" i="23"/>
  <c r="AM73" i="23"/>
  <c r="CB91" i="23"/>
  <c r="N65" i="23"/>
  <c r="CI97" i="23"/>
  <c r="AI76" i="23"/>
  <c r="BY103" i="23"/>
  <c r="V86" i="23"/>
  <c r="AX88" i="23"/>
  <c r="K64" i="23"/>
  <c r="AX77" i="23"/>
  <c r="AN87" i="23"/>
  <c r="CK94" i="23"/>
  <c r="BZ89" i="23"/>
  <c r="AU72" i="23"/>
  <c r="AY74" i="23"/>
  <c r="M95" i="23"/>
  <c r="AH87" i="23"/>
  <c r="AM81" i="23"/>
  <c r="BH86" i="23"/>
  <c r="CO74" i="23"/>
  <c r="Y103" i="23"/>
  <c r="U94" i="23"/>
  <c r="W94" i="23" s="1"/>
  <c r="CB90" i="23"/>
  <c r="AL103" i="23"/>
  <c r="Y88" i="23"/>
  <c r="BO79" i="23"/>
  <c r="BL89" i="23"/>
  <c r="BM92" i="23"/>
  <c r="O71" i="23"/>
  <c r="K77" i="23"/>
  <c r="AH80" i="23"/>
  <c r="V78" i="23"/>
  <c r="CN67" i="23"/>
  <c r="BN67" i="23"/>
  <c r="AZ88" i="23"/>
  <c r="AH94" i="23"/>
  <c r="BV83" i="23"/>
  <c r="BY76" i="23"/>
  <c r="BX72" i="23"/>
  <c r="CN91" i="23"/>
  <c r="CN95" i="23"/>
  <c r="O84" i="23"/>
  <c r="BX91" i="23"/>
  <c r="BV87" i="23"/>
  <c r="AV77" i="23"/>
  <c r="M104" i="23"/>
  <c r="L88" i="23"/>
  <c r="BZ104" i="23"/>
  <c r="AH64" i="23"/>
  <c r="BI93" i="23"/>
  <c r="BV94" i="23"/>
  <c r="I70" i="23"/>
  <c r="AX101" i="23"/>
  <c r="BH74" i="23"/>
  <c r="BL83" i="23"/>
  <c r="BN82" i="23"/>
  <c r="AY85" i="23"/>
  <c r="Y72" i="23"/>
  <c r="BA87" i="23"/>
  <c r="AX68" i="23"/>
  <c r="AV84" i="23"/>
  <c r="CH104" i="23"/>
  <c r="AB88" i="23"/>
  <c r="BE63" i="23"/>
  <c r="CN78" i="23"/>
  <c r="I63" i="23"/>
  <c r="AO80" i="23"/>
  <c r="CH91" i="23"/>
  <c r="AV99" i="23"/>
  <c r="H81" i="23"/>
  <c r="BN81" i="23"/>
  <c r="CL104" i="23"/>
  <c r="Y102" i="23"/>
  <c r="BV63" i="23"/>
  <c r="CI93" i="23"/>
  <c r="AO82" i="23"/>
  <c r="AN96" i="23"/>
  <c r="BL93" i="23"/>
  <c r="AI72" i="23"/>
  <c r="CN92" i="23"/>
  <c r="CK89" i="23"/>
  <c r="BL78" i="23"/>
  <c r="BM90" i="23"/>
  <c r="Z71" i="23"/>
  <c r="BV71" i="23"/>
  <c r="V83" i="23"/>
  <c r="AY93" i="23"/>
  <c r="U66" i="23"/>
  <c r="AU92" i="23"/>
  <c r="BI91" i="23"/>
  <c r="AI74" i="23"/>
  <c r="AB102" i="23"/>
  <c r="AU66" i="23"/>
  <c r="BU64" i="23"/>
  <c r="CM74" i="23"/>
  <c r="AX83" i="23"/>
  <c r="BM86" i="23"/>
  <c r="CK81" i="23"/>
  <c r="AZ74" i="23"/>
  <c r="O98" i="23"/>
  <c r="AL66" i="23"/>
  <c r="CO66" i="23"/>
  <c r="CL93" i="23"/>
  <c r="I104" i="23"/>
  <c r="BU68" i="23"/>
  <c r="BN78" i="23"/>
  <c r="BN103" i="23"/>
  <c r="BI100" i="23"/>
  <c r="V66" i="23"/>
  <c r="O70" i="23"/>
  <c r="CD63" i="23"/>
  <c r="AM78" i="23"/>
  <c r="CL67" i="23"/>
  <c r="BY78" i="23"/>
  <c r="BZ100" i="23"/>
  <c r="CI68" i="23"/>
  <c r="AA65" i="23"/>
  <c r="CN101" i="23"/>
  <c r="AY84" i="23"/>
  <c r="AZ80" i="23"/>
  <c r="AK82" i="23"/>
  <c r="CM82" i="23"/>
  <c r="BI98" i="23"/>
  <c r="BK78" i="23"/>
  <c r="AU64" i="23"/>
  <c r="BA64" i="23"/>
  <c r="CL64" i="23"/>
  <c r="BZ80" i="23"/>
  <c r="BO91" i="23"/>
  <c r="O67" i="23"/>
  <c r="BZ81" i="23"/>
  <c r="AE63" i="23"/>
  <c r="AO79" i="23"/>
  <c r="BB83" i="23"/>
  <c r="H67" i="23"/>
  <c r="BH84" i="23"/>
  <c r="BH71" i="23"/>
  <c r="L89" i="23"/>
  <c r="CA77" i="23"/>
  <c r="BY104" i="23"/>
  <c r="AL96" i="23"/>
  <c r="BL67" i="23"/>
  <c r="BU97" i="23"/>
  <c r="BI104" i="23"/>
  <c r="BV75" i="23"/>
  <c r="BB99" i="23"/>
  <c r="Y96" i="23"/>
  <c r="CB72" i="23"/>
  <c r="H63" i="23"/>
  <c r="O66" i="23"/>
  <c r="I99" i="23"/>
  <c r="BN75" i="23"/>
  <c r="CI85" i="23"/>
  <c r="BY79" i="23"/>
  <c r="CK76" i="23"/>
  <c r="BY84" i="23"/>
  <c r="CL90" i="23"/>
  <c r="AH71" i="23"/>
  <c r="BV90" i="23"/>
  <c r="BB95" i="23"/>
  <c r="BI64" i="23"/>
  <c r="BS62" i="23"/>
  <c r="D62" i="23"/>
  <c r="M82" i="23"/>
  <c r="AA69" i="23"/>
  <c r="AM84" i="23"/>
  <c r="AX84" i="23"/>
  <c r="L94" i="23"/>
  <c r="AX102" i="23"/>
  <c r="BI69" i="23"/>
  <c r="AH75" i="23"/>
  <c r="BK82" i="23"/>
  <c r="H74" i="23"/>
  <c r="CN72" i="23"/>
  <c r="CH86" i="23"/>
  <c r="CJ86" i="23" s="1"/>
  <c r="CA76" i="23"/>
  <c r="L104" i="23"/>
  <c r="BU98" i="23"/>
  <c r="Y79" i="23"/>
  <c r="BM94" i="23"/>
  <c r="AU98" i="23"/>
  <c r="L100" i="23"/>
  <c r="AV65" i="23"/>
  <c r="Y67" i="23"/>
  <c r="X66" i="23"/>
  <c r="AI96" i="23"/>
  <c r="AV69" i="23"/>
  <c r="BY102" i="23"/>
  <c r="AX79" i="23"/>
  <c r="AX63" i="23"/>
  <c r="AX93" i="23"/>
  <c r="K93" i="23"/>
  <c r="AA82" i="23"/>
  <c r="CH93" i="23"/>
  <c r="CH90" i="23"/>
  <c r="AY64" i="23"/>
  <c r="AK70" i="23"/>
  <c r="H91" i="23"/>
  <c r="CA95" i="23"/>
  <c r="BX102" i="23"/>
  <c r="CI67" i="23"/>
  <c r="BK98" i="23"/>
  <c r="BZ96" i="23"/>
  <c r="AU79" i="23"/>
  <c r="Z70" i="23"/>
  <c r="BB101" i="23"/>
  <c r="L72" i="23"/>
  <c r="CK101" i="23"/>
  <c r="N92" i="23"/>
  <c r="CK67" i="23"/>
  <c r="BA79" i="23"/>
  <c r="BO87" i="23"/>
  <c r="BX83" i="23"/>
  <c r="AI84" i="23"/>
  <c r="BM71" i="23"/>
  <c r="O94" i="23"/>
  <c r="BI79" i="23"/>
  <c r="BU102" i="23"/>
  <c r="BL75" i="23"/>
  <c r="Q63" i="23"/>
  <c r="BU72" i="23"/>
  <c r="U93" i="23"/>
  <c r="AI104" i="23"/>
  <c r="CB81" i="23"/>
  <c r="U97" i="23"/>
  <c r="BU82" i="23"/>
  <c r="CI101" i="23"/>
  <c r="CM67" i="23"/>
  <c r="BI65" i="23"/>
  <c r="Z82" i="23"/>
  <c r="BN91" i="23"/>
  <c r="U101" i="23"/>
  <c r="BY93" i="23"/>
  <c r="BK93" i="23"/>
  <c r="AI91" i="23"/>
  <c r="BZ69" i="23"/>
  <c r="AN77" i="23"/>
  <c r="AB70" i="23"/>
  <c r="BH92" i="23"/>
  <c r="CK72" i="23"/>
  <c r="L79" i="23"/>
  <c r="AI77" i="23"/>
  <c r="BL90" i="23"/>
  <c r="X80" i="23"/>
  <c r="AF63" i="23"/>
  <c r="BA69" i="23"/>
  <c r="AX96" i="23"/>
  <c r="BU86" i="23"/>
  <c r="AY101" i="23"/>
  <c r="BO84" i="23"/>
  <c r="AV83" i="23"/>
  <c r="CI76" i="23"/>
  <c r="H65" i="23"/>
  <c r="BB98" i="23"/>
  <c r="AY68" i="23"/>
  <c r="I74" i="23"/>
  <c r="CH94" i="23"/>
  <c r="BB81" i="23"/>
  <c r="BZ66" i="23"/>
  <c r="H89" i="23"/>
  <c r="J89" i="23" s="1"/>
  <c r="BX68" i="23"/>
  <c r="AA99" i="23"/>
  <c r="AL75" i="23"/>
  <c r="AN104" i="23"/>
  <c r="M71" i="23"/>
  <c r="AV85" i="23"/>
  <c r="CB83" i="23"/>
  <c r="BY65" i="23"/>
  <c r="BO94" i="23"/>
  <c r="BA103" i="23"/>
  <c r="K92" i="23"/>
  <c r="CI87" i="23"/>
  <c r="BX87" i="23"/>
  <c r="AN90" i="23"/>
  <c r="BM84" i="23"/>
  <c r="V101" i="23"/>
  <c r="CI69" i="23"/>
  <c r="BX70" i="23"/>
  <c r="BM72" i="23"/>
  <c r="BI85" i="23"/>
  <c r="V74" i="23"/>
  <c r="BN68" i="23"/>
  <c r="Y97" i="23"/>
  <c r="AH96" i="23"/>
  <c r="AB93" i="23"/>
  <c r="AH93" i="23"/>
  <c r="AU74" i="23"/>
  <c r="BB94" i="23"/>
  <c r="AY104" i="23"/>
  <c r="BY99" i="23"/>
  <c r="M81" i="23"/>
  <c r="AV101" i="23"/>
  <c r="AH86" i="23"/>
  <c r="I103" i="23"/>
  <c r="CM104" i="23"/>
  <c r="CP104" i="23" s="1"/>
  <c r="AB83" i="23"/>
  <c r="AB77" i="23"/>
  <c r="U74" i="23"/>
  <c r="BX93" i="23"/>
  <c r="N100" i="23"/>
  <c r="BU77" i="23"/>
  <c r="BK86" i="23"/>
  <c r="AK79" i="23"/>
  <c r="BO83" i="23"/>
  <c r="BY95" i="23"/>
  <c r="AA91" i="23"/>
  <c r="AY83" i="23"/>
  <c r="AY76" i="23"/>
  <c r="BX78" i="23"/>
  <c r="CM90" i="23"/>
  <c r="AI99" i="23"/>
  <c r="BZ94" i="23"/>
  <c r="CL75" i="23"/>
  <c r="CN98" i="23"/>
  <c r="BY101" i="23"/>
  <c r="V73" i="23"/>
  <c r="CA74" i="23"/>
  <c r="V68" i="23"/>
  <c r="CO69" i="23"/>
  <c r="H79" i="23"/>
  <c r="BL74" i="23"/>
  <c r="BZ64" i="23"/>
  <c r="AA104" i="23"/>
  <c r="AB63" i="23"/>
  <c r="AM65" i="23"/>
  <c r="I65" i="23"/>
  <c r="AX67" i="23"/>
  <c r="X69" i="23"/>
  <c r="L78" i="23"/>
  <c r="CO89" i="23"/>
  <c r="CL80" i="23"/>
  <c r="CM78" i="23"/>
  <c r="CL66" i="23"/>
  <c r="AN80" i="23"/>
  <c r="AZ67" i="23"/>
  <c r="I101" i="23"/>
  <c r="CH64" i="23"/>
  <c r="BH83" i="23"/>
  <c r="BZ83" i="23"/>
  <c r="Z97" i="23"/>
  <c r="CN66" i="23"/>
  <c r="AB98" i="23"/>
  <c r="O83" i="23"/>
  <c r="AX76" i="23"/>
  <c r="Y104" i="23"/>
  <c r="AI95" i="23"/>
  <c r="M75" i="23"/>
  <c r="BA68" i="23"/>
  <c r="CL69" i="23"/>
  <c r="BH95" i="23"/>
  <c r="AH90" i="23"/>
  <c r="BX103" i="23"/>
  <c r="BU73" i="23"/>
  <c r="CA80" i="23"/>
  <c r="AM77" i="23"/>
  <c r="CL78" i="23"/>
  <c r="BN104" i="23"/>
  <c r="AB85" i="23"/>
  <c r="BL82" i="23"/>
  <c r="N88" i="23"/>
  <c r="H100" i="23"/>
  <c r="AY81" i="23"/>
  <c r="AX72" i="23"/>
  <c r="BO71" i="23"/>
  <c r="V67" i="23"/>
  <c r="BK101" i="23"/>
  <c r="BM103" i="23"/>
  <c r="AI89" i="23"/>
  <c r="BX92" i="23"/>
  <c r="BH70" i="23"/>
  <c r="BJ70" i="23" s="1"/>
  <c r="H104" i="23"/>
  <c r="CM86" i="23"/>
  <c r="CB93" i="23"/>
  <c r="AH101" i="23"/>
  <c r="L65" i="23"/>
  <c r="L90" i="23"/>
  <c r="H73" i="23"/>
  <c r="AB75" i="23"/>
  <c r="BY89" i="23"/>
  <c r="AZ69" i="23"/>
  <c r="AM97" i="23"/>
  <c r="Y91" i="23"/>
  <c r="BX85" i="23"/>
  <c r="BX74" i="23"/>
  <c r="BH104" i="23"/>
  <c r="V79" i="23"/>
  <c r="BX98" i="23"/>
  <c r="BV70" i="23"/>
  <c r="V95" i="23"/>
  <c r="BV97" i="23"/>
  <c r="CH66" i="23"/>
  <c r="AH65" i="23"/>
  <c r="AJ65" i="23" s="1"/>
  <c r="CO91" i="23"/>
  <c r="O77" i="23"/>
  <c r="AK92" i="23"/>
  <c r="V64" i="23"/>
  <c r="BB78" i="23"/>
  <c r="CB102" i="23"/>
  <c r="CH72" i="23"/>
  <c r="BN86" i="23"/>
  <c r="BK76" i="23"/>
  <c r="AA68" i="23"/>
  <c r="CK65" i="23"/>
  <c r="AZ79" i="23"/>
  <c r="BK103" i="23"/>
  <c r="AB71" i="23"/>
  <c r="CL77" i="23"/>
  <c r="X89" i="23"/>
  <c r="U78" i="23"/>
  <c r="CL70" i="23"/>
  <c r="CM97" i="23"/>
  <c r="Y73" i="23"/>
  <c r="AO93" i="23"/>
  <c r="X78" i="23"/>
  <c r="BO99" i="23"/>
  <c r="CO102" i="23"/>
  <c r="AN64" i="23"/>
  <c r="CL96" i="23"/>
  <c r="CN93" i="23"/>
  <c r="AU86" i="23"/>
  <c r="AZ93" i="23"/>
  <c r="H92" i="23"/>
  <c r="AI103" i="23"/>
  <c r="AM99" i="23"/>
  <c r="BM80" i="23"/>
  <c r="H105" i="23"/>
  <c r="CO99" i="23"/>
  <c r="BB69" i="23"/>
  <c r="BK88" i="23"/>
  <c r="CM76" i="23"/>
  <c r="AI63" i="23"/>
  <c r="CL71" i="23"/>
  <c r="AD62" i="23"/>
  <c r="AE62" i="23"/>
  <c r="CK100" i="23"/>
  <c r="AI73" i="23"/>
  <c r="CK87" i="23"/>
  <c r="BM104" i="23"/>
  <c r="N68" i="23"/>
  <c r="BH99" i="23"/>
  <c r="CB69" i="23"/>
  <c r="AA95" i="23"/>
  <c r="Y82" i="23"/>
  <c r="CK71" i="23"/>
  <c r="AI80" i="23"/>
  <c r="AL74" i="23"/>
  <c r="K70" i="23"/>
  <c r="AY75" i="23"/>
  <c r="AB79" i="23"/>
  <c r="CN94" i="23"/>
  <c r="BU103" i="23"/>
  <c r="BH69" i="23"/>
  <c r="BA93" i="23"/>
  <c r="BK68" i="23"/>
  <c r="CM85" i="23"/>
  <c r="BB87" i="23"/>
  <c r="Y80" i="23"/>
  <c r="BN84" i="23"/>
  <c r="AA87" i="23"/>
  <c r="L74" i="23"/>
  <c r="AO97" i="23"/>
  <c r="CO72" i="23"/>
  <c r="BA99" i="23"/>
  <c r="AA101" i="23"/>
  <c r="AK93" i="23"/>
  <c r="H82" i="23"/>
  <c r="AY78" i="23"/>
  <c r="AL97" i="23"/>
  <c r="AN86" i="23"/>
  <c r="AB99" i="23"/>
  <c r="O86" i="23"/>
  <c r="AX100" i="23"/>
  <c r="BK70" i="23"/>
  <c r="AR62" i="23"/>
  <c r="S62" i="23"/>
  <c r="CE62" i="23"/>
  <c r="Q62" i="23"/>
  <c r="K96" i="23"/>
  <c r="AV97" i="23"/>
  <c r="AM66" i="23"/>
  <c r="BY80" i="23"/>
  <c r="CO68" i="23"/>
  <c r="K103" i="23"/>
  <c r="AI70" i="23"/>
  <c r="BI71" i="23"/>
  <c r="BL100" i="23"/>
  <c r="AL92" i="23"/>
  <c r="AM68" i="23"/>
  <c r="X75" i="23"/>
  <c r="BX77" i="23"/>
  <c r="BZ95" i="23"/>
  <c r="CM77" i="23"/>
  <c r="Y64" i="23"/>
  <c r="AI100" i="23"/>
  <c r="BB97" i="23"/>
  <c r="CB101" i="23"/>
  <c r="AV96" i="23"/>
  <c r="N86" i="23"/>
  <c r="CN83" i="23"/>
  <c r="CA83" i="23"/>
  <c r="N74" i="23"/>
  <c r="H87" i="23"/>
  <c r="CL91" i="23"/>
  <c r="BL98" i="23"/>
  <c r="N66" i="23"/>
  <c r="AM85" i="23"/>
  <c r="U68" i="23"/>
  <c r="Z98" i="23"/>
  <c r="AV92" i="23"/>
  <c r="I90" i="23"/>
  <c r="BK79" i="23"/>
  <c r="CI66" i="23"/>
  <c r="AK87" i="23"/>
  <c r="BK71" i="23"/>
  <c r="CK78" i="23"/>
  <c r="BM64" i="23"/>
  <c r="BM100" i="23"/>
  <c r="X90" i="23"/>
  <c r="BO75" i="23"/>
  <c r="H101" i="23"/>
  <c r="CH71" i="23"/>
  <c r="BL70" i="23"/>
  <c r="AA81" i="23"/>
  <c r="BX82" i="23"/>
  <c r="BU94" i="23"/>
  <c r="BU92" i="23"/>
  <c r="AU97" i="23"/>
  <c r="BB77" i="23"/>
  <c r="V99" i="23"/>
  <c r="AM69" i="23"/>
  <c r="K91" i="23"/>
  <c r="BI90" i="23"/>
  <c r="K67" i="23"/>
  <c r="I75" i="23"/>
  <c r="U90" i="23"/>
  <c r="BA67" i="23"/>
  <c r="H72" i="23"/>
  <c r="CA86" i="23"/>
  <c r="AN63" i="23"/>
  <c r="N71" i="23"/>
  <c r="L97" i="23"/>
  <c r="BK89" i="23"/>
  <c r="BV86" i="23"/>
  <c r="AV78" i="23"/>
  <c r="BL68" i="23"/>
  <c r="H103" i="23"/>
  <c r="CM63" i="23"/>
  <c r="CI72" i="23"/>
  <c r="L84" i="23"/>
  <c r="BK84" i="23"/>
  <c r="AO72" i="23"/>
  <c r="CO88" i="23"/>
  <c r="BX71" i="23"/>
  <c r="L63" i="23"/>
  <c r="BI72" i="23"/>
  <c r="AY73" i="23"/>
  <c r="AO68" i="23"/>
  <c r="AO92" i="23"/>
  <c r="AY97" i="23"/>
  <c r="AV81" i="23"/>
  <c r="N104" i="23"/>
  <c r="AZ89" i="23"/>
  <c r="AH69" i="23"/>
  <c r="CB89" i="23"/>
  <c r="BL69" i="23"/>
  <c r="CO100" i="23"/>
  <c r="CI71" i="23"/>
  <c r="CO80" i="23"/>
  <c r="V89" i="23"/>
  <c r="U95" i="23"/>
  <c r="CH75" i="23"/>
  <c r="AU82" i="23"/>
  <c r="CI63" i="23"/>
  <c r="BL97" i="23"/>
  <c r="Z78" i="23"/>
  <c r="CN84" i="23"/>
  <c r="L87" i="23"/>
  <c r="AA64" i="23"/>
  <c r="BK74" i="23"/>
  <c r="BZ71" i="23"/>
  <c r="BZ87" i="23"/>
  <c r="AM72" i="23"/>
  <c r="K71" i="23"/>
  <c r="AX82" i="23"/>
  <c r="AX66" i="23"/>
  <c r="BN102" i="23"/>
  <c r="BV64" i="23"/>
  <c r="BA66" i="23"/>
  <c r="O92" i="23"/>
  <c r="AI93" i="23"/>
  <c r="U102" i="23"/>
  <c r="AL76" i="23"/>
  <c r="CO101" i="23"/>
  <c r="AO98" i="23"/>
  <c r="BA78" i="23"/>
  <c r="BU104" i="23"/>
  <c r="BW104" i="23" s="1"/>
  <c r="CL76" i="23"/>
  <c r="BO90" i="23"/>
  <c r="AO65" i="23"/>
  <c r="AU102" i="23"/>
  <c r="AZ72" i="23"/>
  <c r="BZ77" i="23"/>
  <c r="L76" i="23"/>
  <c r="CO67" i="23"/>
  <c r="U70" i="23"/>
  <c r="BX100" i="23"/>
  <c r="K73" i="23"/>
  <c r="AK66" i="23"/>
  <c r="AM70" i="23"/>
  <c r="CM75" i="23"/>
  <c r="AN82" i="23"/>
  <c r="H75" i="23"/>
  <c r="AZ65" i="23"/>
  <c r="N105" i="23"/>
  <c r="CN70" i="23"/>
  <c r="BO78" i="23"/>
  <c r="N96" i="23"/>
  <c r="BK80" i="23"/>
  <c r="BL85" i="23"/>
  <c r="AZ99" i="23"/>
  <c r="BY81" i="23"/>
  <c r="Y92" i="23"/>
  <c r="CN75" i="23"/>
  <c r="AV72" i="23"/>
  <c r="O96" i="23"/>
  <c r="U103" i="23"/>
  <c r="AO83" i="23"/>
  <c r="O81" i="23"/>
  <c r="BU71" i="23"/>
  <c r="AX103" i="23"/>
  <c r="CI82" i="23"/>
  <c r="BU75" i="23"/>
  <c r="V65" i="23"/>
  <c r="O90" i="23"/>
  <c r="V85" i="23"/>
  <c r="BM69" i="23"/>
  <c r="AV104" i="23"/>
  <c r="AN88" i="23"/>
  <c r="Z79" i="23"/>
  <c r="BI84" i="23"/>
  <c r="BH88" i="23"/>
  <c r="BJ88" i="23" s="1"/>
  <c r="CF63" i="23"/>
  <c r="CH70" i="23"/>
  <c r="BZ74" i="23"/>
  <c r="BV102" i="23"/>
  <c r="BU93" i="23"/>
  <c r="BF63" i="23"/>
  <c r="CB104" i="23"/>
  <c r="U99" i="23"/>
  <c r="BY96" i="23"/>
  <c r="BV82" i="23"/>
  <c r="AK83" i="23"/>
  <c r="BO73" i="23"/>
  <c r="BI82" i="23"/>
  <c r="I85" i="23"/>
  <c r="BB75" i="23"/>
  <c r="BH103" i="23"/>
  <c r="M70" i="23"/>
  <c r="CN85" i="23"/>
  <c r="CN100" i="23"/>
  <c r="BK95" i="23"/>
  <c r="K95" i="23"/>
  <c r="AZ85" i="23"/>
  <c r="BY73" i="23"/>
  <c r="AN93" i="23"/>
  <c r="BV73" i="23"/>
  <c r="AN68" i="23"/>
  <c r="Z91" i="23"/>
  <c r="BL64" i="23"/>
  <c r="BX104" i="23"/>
  <c r="I71" i="23"/>
  <c r="AZ63" i="23"/>
  <c r="X83" i="23"/>
  <c r="CH65" i="23"/>
  <c r="AZ102" i="23"/>
  <c r="O102" i="23"/>
  <c r="AX98" i="23"/>
  <c r="BS63" i="23"/>
  <c r="I87" i="23"/>
  <c r="AN94" i="23"/>
  <c r="AM79" i="23"/>
  <c r="AN83" i="23"/>
  <c r="BX96" i="23"/>
  <c r="BM74" i="23"/>
  <c r="AK65" i="23"/>
  <c r="X84" i="23"/>
  <c r="CH88" i="23"/>
  <c r="BZ67" i="23"/>
  <c r="I72" i="23"/>
  <c r="AL98" i="23"/>
  <c r="CI80" i="23"/>
  <c r="BN93" i="23"/>
  <c r="AL85" i="23"/>
  <c r="AX89" i="23"/>
  <c r="X101" i="23"/>
  <c r="L69" i="23"/>
  <c r="AL70" i="23"/>
  <c r="M72" i="23"/>
  <c r="CB84" i="23"/>
  <c r="CA89" i="23"/>
  <c r="L67" i="23"/>
  <c r="AY102" i="23"/>
  <c r="BU89" i="23"/>
  <c r="BW89" i="23" s="1"/>
  <c r="BY82" i="23"/>
  <c r="O95" i="23"/>
  <c r="O99" i="23"/>
  <c r="CH95" i="23"/>
  <c r="CJ95" i="23" s="1"/>
  <c r="Y71" i="23"/>
  <c r="AK86" i="23"/>
  <c r="BA85" i="23"/>
  <c r="AX81" i="23"/>
  <c r="AM74" i="23"/>
  <c r="AO66" i="23"/>
  <c r="AZ96" i="23"/>
  <c r="AH73" i="23"/>
  <c r="AV63" i="23"/>
  <c r="X76" i="23"/>
  <c r="AA90" i="23"/>
  <c r="V75" i="23"/>
  <c r="CL100" i="23"/>
  <c r="AV66" i="23"/>
  <c r="AX74" i="23"/>
  <c r="BB100" i="23"/>
  <c r="M103" i="23"/>
  <c r="CB97" i="23"/>
  <c r="AY103" i="23"/>
  <c r="AK100" i="23"/>
  <c r="BB90" i="23"/>
  <c r="BI97" i="23"/>
  <c r="BA91" i="23"/>
  <c r="AX73" i="23"/>
  <c r="AM90" i="23"/>
  <c r="BI103" i="23"/>
  <c r="AY69" i="23"/>
  <c r="K97" i="23"/>
  <c r="N77" i="23"/>
  <c r="BV79" i="23"/>
  <c r="CK85" i="23"/>
  <c r="AM94" i="23"/>
  <c r="L68" i="23"/>
  <c r="AV93" i="23"/>
  <c r="AB72" i="23"/>
  <c r="BY68" i="23"/>
  <c r="K94" i="23"/>
  <c r="AL79" i="23"/>
  <c r="AL91" i="23"/>
  <c r="AZ77" i="23"/>
  <c r="BL104" i="23"/>
  <c r="K85" i="23"/>
  <c r="BZ70" i="23"/>
  <c r="BH87" i="23"/>
  <c r="BJ87" i="23" s="1"/>
  <c r="H98" i="23"/>
  <c r="BY86" i="23"/>
  <c r="AZ87" i="23"/>
  <c r="AO86" i="23"/>
  <c r="U63" i="23"/>
  <c r="V84" i="23"/>
  <c r="K65" i="23"/>
  <c r="CI100" i="23"/>
  <c r="U79" i="23"/>
  <c r="O75" i="23"/>
  <c r="CB103" i="23"/>
  <c r="CL74" i="23"/>
  <c r="CM71" i="23"/>
  <c r="BB89" i="23"/>
  <c r="AM98" i="23"/>
  <c r="BA63" i="23"/>
  <c r="AL63" i="23"/>
  <c r="CO75" i="23"/>
  <c r="AX64" i="23"/>
  <c r="CH101" i="23"/>
  <c r="CA85" i="23"/>
  <c r="AO84" i="23"/>
  <c r="P122" i="92"/>
  <c r="P120" i="9"/>
  <c r="D92" i="115" s="1"/>
  <c r="J122" i="9"/>
  <c r="J124" i="92"/>
  <c r="W103" i="23" l="1"/>
  <c r="J73" i="23"/>
  <c r="BW68" i="23"/>
  <c r="CC67" i="23"/>
  <c r="BC86" i="23"/>
  <c r="L117" i="16"/>
  <c r="J117" i="16"/>
  <c r="F117" i="16"/>
  <c r="D117" i="16"/>
  <c r="E117" i="16"/>
  <c r="I117" i="16"/>
  <c r="K117" i="16"/>
  <c r="H117" i="16"/>
  <c r="G117" i="16"/>
  <c r="AJ66" i="23"/>
  <c r="AC96" i="23"/>
  <c r="BP98" i="23"/>
  <c r="G104" i="23"/>
  <c r="CJ77" i="23"/>
  <c r="BJ68" i="23"/>
  <c r="CC74" i="23"/>
  <c r="BM105" i="23"/>
  <c r="W102" i="23"/>
  <c r="BJ74" i="23"/>
  <c r="AW86" i="23"/>
  <c r="P63" i="23"/>
  <c r="W87" i="23"/>
  <c r="AZ105" i="23"/>
  <c r="BW101" i="23"/>
  <c r="CM105" i="23"/>
  <c r="CP105" i="23" s="1"/>
  <c r="AJ69" i="23"/>
  <c r="BZ105" i="23"/>
  <c r="M105" i="23"/>
  <c r="BW99" i="23"/>
  <c r="CJ88" i="23"/>
  <c r="AJ64" i="23"/>
  <c r="AJ92" i="23"/>
  <c r="CC75" i="23"/>
  <c r="AM105" i="23"/>
  <c r="BW103" i="23"/>
  <c r="J92" i="23"/>
  <c r="Z105" i="23"/>
  <c r="BJ92" i="23"/>
  <c r="J84" i="23"/>
  <c r="BW93" i="23"/>
  <c r="CC65" i="23"/>
  <c r="BJ76" i="23"/>
  <c r="AA105" i="23"/>
  <c r="BJ95" i="23"/>
  <c r="BY105" i="23"/>
  <c r="AX105" i="23"/>
  <c r="CL105" i="23"/>
  <c r="BJ75" i="23"/>
  <c r="AL105" i="23"/>
  <c r="BW72" i="23"/>
  <c r="W77" i="23"/>
  <c r="BL105" i="23"/>
  <c r="AY105" i="23"/>
  <c r="Y105" i="23"/>
  <c r="K105" i="23"/>
  <c r="W70" i="23"/>
  <c r="BK105" i="23"/>
  <c r="AN105" i="23"/>
  <c r="BJ83" i="23"/>
  <c r="BX105" i="23"/>
  <c r="CA105" i="23"/>
  <c r="AK105" i="23"/>
  <c r="BA105" i="23"/>
  <c r="X105" i="23"/>
  <c r="L105" i="23"/>
  <c r="V105" i="23"/>
  <c r="BJ99" i="23"/>
  <c r="BJ66" i="23"/>
  <c r="CJ73" i="23"/>
  <c r="AW82" i="23"/>
  <c r="CC82" i="23"/>
  <c r="BP69" i="23"/>
  <c r="CP97" i="23"/>
  <c r="AP85" i="23"/>
  <c r="BC76" i="23"/>
  <c r="CJ90" i="23"/>
  <c r="CJ83" i="23"/>
  <c r="AW102" i="23"/>
  <c r="CJ74" i="23"/>
  <c r="W97" i="23"/>
  <c r="AJ90" i="23"/>
  <c r="BC96" i="23"/>
  <c r="BP64" i="23"/>
  <c r="CP71" i="23"/>
  <c r="CJ75" i="23"/>
  <c r="CJ104" i="23"/>
  <c r="CJ91" i="23"/>
  <c r="BP80" i="23"/>
  <c r="CJ101" i="23"/>
  <c r="BW92" i="23"/>
  <c r="P79" i="23"/>
  <c r="BU105" i="23"/>
  <c r="BH105" i="23"/>
  <c r="BC87" i="23"/>
  <c r="BP74" i="23"/>
  <c r="BV105" i="23"/>
  <c r="AP81" i="23"/>
  <c r="I105" i="23"/>
  <c r="J105" i="23" s="1"/>
  <c r="AH105" i="23"/>
  <c r="AU105" i="23"/>
  <c r="BI105" i="23"/>
  <c r="CJ70" i="23"/>
  <c r="BB105" i="23"/>
  <c r="BC105" i="23" s="1"/>
  <c r="J67" i="23"/>
  <c r="BG62" i="23"/>
  <c r="AB105" i="23"/>
  <c r="J98" i="23"/>
  <c r="CI105" i="23"/>
  <c r="CJ105" i="23" s="1"/>
  <c r="O105" i="23"/>
  <c r="U105" i="23"/>
  <c r="AO105" i="23"/>
  <c r="AP79" i="23"/>
  <c r="CB105" i="23"/>
  <c r="P82" i="23"/>
  <c r="AV105" i="23"/>
  <c r="AW87" i="23"/>
  <c r="J79" i="23"/>
  <c r="CO105" i="23"/>
  <c r="BO105" i="23"/>
  <c r="AP95" i="23"/>
  <c r="AJ94" i="23"/>
  <c r="BP92" i="23"/>
  <c r="AW68" i="23"/>
  <c r="J91" i="23"/>
  <c r="AP78" i="23"/>
  <c r="CC87" i="23"/>
  <c r="AJ71" i="23"/>
  <c r="AP73" i="23"/>
  <c r="BP88" i="23"/>
  <c r="P72" i="23"/>
  <c r="CC71" i="23"/>
  <c r="CJ64" i="23"/>
  <c r="BW94" i="23"/>
  <c r="CC96" i="23"/>
  <c r="J81" i="23"/>
  <c r="BP63" i="23"/>
  <c r="BW75" i="23"/>
  <c r="AP70" i="23"/>
  <c r="J77" i="23"/>
  <c r="BC74" i="23"/>
  <c r="CJ81" i="23"/>
  <c r="S126" i="9"/>
  <c r="S128" i="92"/>
  <c r="CJ94" i="23"/>
  <c r="AJ75" i="23"/>
  <c r="G62" i="23"/>
  <c r="J103" i="23"/>
  <c r="W68" i="23"/>
  <c r="J104" i="23"/>
  <c r="P73" i="23"/>
  <c r="BP95" i="23"/>
  <c r="CP78" i="23"/>
  <c r="BC88" i="23"/>
  <c r="AJ87" i="23"/>
  <c r="CC66" i="23"/>
  <c r="AW98" i="23"/>
  <c r="BW71" i="23"/>
  <c r="J101" i="23"/>
  <c r="AP90" i="23"/>
  <c r="BP104" i="23"/>
  <c r="M128" i="9"/>
  <c r="M130" i="92"/>
  <c r="P76" i="23"/>
  <c r="BW96" i="23"/>
  <c r="AI105" i="23"/>
  <c r="AJ96" i="23"/>
  <c r="G63" i="23"/>
  <c r="BJ69" i="23"/>
  <c r="CP90" i="23"/>
  <c r="W76" i="23"/>
  <c r="CC94" i="23"/>
  <c r="J100" i="23"/>
  <c r="BJ81" i="23"/>
  <c r="AP99" i="23"/>
  <c r="J63" i="23"/>
  <c r="BP65" i="23"/>
  <c r="CJ98" i="23"/>
  <c r="T104" i="23"/>
  <c r="BJ86" i="23"/>
  <c r="CC99" i="23"/>
  <c r="W134" i="92"/>
  <c r="W132" i="9"/>
  <c r="W91" i="23"/>
  <c r="J97" i="23"/>
  <c r="BS105" i="23"/>
  <c r="AF105" i="23"/>
  <c r="AS105" i="23"/>
  <c r="F105" i="23"/>
  <c r="BF105" i="23"/>
  <c r="CF105" i="23"/>
  <c r="S105" i="23"/>
  <c r="AC91" i="23"/>
  <c r="T63" i="23"/>
  <c r="J66" i="23"/>
  <c r="AW95" i="23"/>
  <c r="E105" i="23"/>
  <c r="BR105" i="23"/>
  <c r="AE105" i="23"/>
  <c r="R105" i="23"/>
  <c r="CE105" i="23"/>
  <c r="BE105" i="23"/>
  <c r="AR105" i="23"/>
  <c r="CG104" i="23"/>
  <c r="BT104" i="23"/>
  <c r="V134" i="92"/>
  <c r="V132" i="9"/>
  <c r="AC98" i="23"/>
  <c r="AW74" i="23"/>
  <c r="CP82" i="23"/>
  <c r="BP70" i="23"/>
  <c r="AT104" i="23"/>
  <c r="AL105" i="22"/>
  <c r="Y105" i="22"/>
  <c r="N105" i="22"/>
  <c r="H105" i="22"/>
  <c r="L105" i="22"/>
  <c r="O105" i="22"/>
  <c r="Z105" i="22"/>
  <c r="AW105" i="22"/>
  <c r="F105" i="22"/>
  <c r="G105" i="22"/>
  <c r="I105" i="22"/>
  <c r="AO105" i="22"/>
  <c r="AB105" i="22"/>
  <c r="E105" i="22"/>
  <c r="Q105" i="22"/>
  <c r="W105" i="22"/>
  <c r="AA105" i="22"/>
  <c r="AU105" i="22"/>
  <c r="U105" i="22"/>
  <c r="AQ105" i="22"/>
  <c r="J105" i="22"/>
  <c r="AM105" i="22"/>
  <c r="AC105" i="22"/>
  <c r="AP105" i="22"/>
  <c r="AD105" i="22"/>
  <c r="AR105" i="22"/>
  <c r="X105" i="22"/>
  <c r="AF105" i="22"/>
  <c r="AS105" i="22"/>
  <c r="AE105" i="22"/>
  <c r="AJ105" i="22"/>
  <c r="AK105" i="22"/>
  <c r="V105" i="22"/>
  <c r="K105" i="22"/>
  <c r="T105" i="22"/>
  <c r="D105" i="22"/>
  <c r="AN105" i="22"/>
  <c r="AV105" i="22"/>
  <c r="M105" i="22"/>
  <c r="P105" i="22"/>
  <c r="AG105" i="22"/>
  <c r="AT105" i="22"/>
  <c r="W99" i="23"/>
  <c r="AP72" i="23"/>
  <c r="CC95" i="23"/>
  <c r="W80" i="23"/>
  <c r="BW69" i="23"/>
  <c r="BC70" i="23"/>
  <c r="AG104" i="23"/>
  <c r="BG104" i="23"/>
  <c r="BQ105" i="23"/>
  <c r="AD105" i="23"/>
  <c r="AQ105" i="23"/>
  <c r="D105" i="23"/>
  <c r="Q105" i="23"/>
  <c r="CD105" i="23"/>
  <c r="BD105" i="23"/>
  <c r="G121" i="9"/>
  <c r="G123" i="92"/>
  <c r="AJ101" i="23"/>
  <c r="AI105" i="22"/>
  <c r="R105" i="22"/>
  <c r="AX105" i="22"/>
  <c r="AH105" i="22"/>
  <c r="AY105" i="22"/>
  <c r="S105" i="22"/>
  <c r="N117" i="16"/>
  <c r="B118" i="16"/>
  <c r="M117" i="16"/>
  <c r="O117" i="16"/>
  <c r="AJ68" i="23"/>
  <c r="AW64" i="23"/>
  <c r="AJ67" i="23"/>
  <c r="BP85" i="23"/>
  <c r="CC64" i="23"/>
  <c r="CJ93" i="23"/>
  <c r="BC80" i="23"/>
  <c r="P103" i="23"/>
  <c r="BC72" i="23"/>
  <c r="CC98" i="23"/>
  <c r="AJ79" i="23"/>
  <c r="CP86" i="23"/>
  <c r="BJ78" i="23"/>
  <c r="J82" i="23"/>
  <c r="CP76" i="23"/>
  <c r="BC65" i="23"/>
  <c r="W95" i="23"/>
  <c r="CC100" i="23"/>
  <c r="AP94" i="23"/>
  <c r="AP74" i="23"/>
  <c r="CP63" i="23"/>
  <c r="CP77" i="23"/>
  <c r="T62" i="23"/>
  <c r="BC79" i="23"/>
  <c r="AW79" i="23"/>
  <c r="AW91" i="23"/>
  <c r="W69" i="23"/>
  <c r="J68" i="23"/>
  <c r="AW71" i="23"/>
  <c r="AT59" i="23"/>
  <c r="CP64" i="23"/>
  <c r="BT59" i="23"/>
  <c r="AC79" i="23"/>
  <c r="BW105" i="23"/>
  <c r="CP74" i="23"/>
  <c r="BW67" i="23"/>
  <c r="W93" i="23"/>
  <c r="W96" i="23"/>
  <c r="AP89" i="23"/>
  <c r="BJ104" i="23"/>
  <c r="J64" i="23"/>
  <c r="AC82" i="23"/>
  <c r="CJ92" i="23"/>
  <c r="BJ80" i="23"/>
  <c r="BP97" i="23"/>
  <c r="AJ98" i="23"/>
  <c r="AP103" i="23"/>
  <c r="AP68" i="23"/>
  <c r="P81" i="23"/>
  <c r="J65" i="23"/>
  <c r="BW64" i="23"/>
  <c r="CP83" i="23"/>
  <c r="AP80" i="23"/>
  <c r="CG62" i="23"/>
  <c r="P94" i="23"/>
  <c r="P66" i="23"/>
  <c r="CP93" i="23"/>
  <c r="W81" i="23"/>
  <c r="CP72" i="23"/>
  <c r="BP83" i="23"/>
  <c r="AJ83" i="23"/>
  <c r="BW74" i="23"/>
  <c r="CC79" i="23"/>
  <c r="BC92" i="23"/>
  <c r="CP79" i="23"/>
  <c r="BT60" i="23"/>
  <c r="G59" i="23"/>
  <c r="J87" i="23"/>
  <c r="CJ72" i="23"/>
  <c r="CP67" i="23"/>
  <c r="CC81" i="23"/>
  <c r="CC104" i="23"/>
  <c r="P95" i="23"/>
  <c r="AC85" i="23"/>
  <c r="J99" i="23"/>
  <c r="AP64" i="23"/>
  <c r="J78" i="23"/>
  <c r="BJ91" i="23"/>
  <c r="AJ76" i="23"/>
  <c r="AW96" i="23"/>
  <c r="AW104" i="23"/>
  <c r="BJ102" i="23"/>
  <c r="P92" i="23"/>
  <c r="BP91" i="23"/>
  <c r="BP68" i="23"/>
  <c r="BC98" i="23"/>
  <c r="W67" i="23"/>
  <c r="P101" i="23"/>
  <c r="AP102" i="23"/>
  <c r="AJ85" i="23"/>
  <c r="AW90" i="23"/>
  <c r="CC73" i="23"/>
  <c r="AC76" i="23"/>
  <c r="W82" i="23"/>
  <c r="BP66" i="23"/>
  <c r="T60" i="23"/>
  <c r="T59" i="23"/>
  <c r="AG59" i="23"/>
  <c r="P69" i="23"/>
  <c r="BC77" i="23"/>
  <c r="CJ65" i="23"/>
  <c r="P70" i="23"/>
  <c r="J75" i="23"/>
  <c r="AC78" i="23"/>
  <c r="BW73" i="23"/>
  <c r="CC83" i="23"/>
  <c r="P71" i="23"/>
  <c r="BW82" i="23"/>
  <c r="BW102" i="23"/>
  <c r="J74" i="23"/>
  <c r="BJ84" i="23"/>
  <c r="BP90" i="23"/>
  <c r="P104" i="23"/>
  <c r="AW72" i="23"/>
  <c r="CP92" i="23"/>
  <c r="AC86" i="23"/>
  <c r="BJ96" i="23"/>
  <c r="CC72" i="23"/>
  <c r="CP68" i="23"/>
  <c r="AP67" i="23"/>
  <c r="CP100" i="23"/>
  <c r="CP102" i="23"/>
  <c r="AW93" i="23"/>
  <c r="AJ91" i="23"/>
  <c r="J76" i="23"/>
  <c r="BP82" i="23"/>
  <c r="AC100" i="23"/>
  <c r="BC81" i="23"/>
  <c r="BC90" i="23"/>
  <c r="AJ81" i="23"/>
  <c r="BC84" i="23"/>
  <c r="BJ77" i="23"/>
  <c r="BJ101" i="23"/>
  <c r="AJ84" i="23"/>
  <c r="AW83" i="23"/>
  <c r="P99" i="23"/>
  <c r="AP104" i="23"/>
  <c r="BC103" i="23"/>
  <c r="AP88" i="23"/>
  <c r="CJ96" i="23"/>
  <c r="BW63" i="23"/>
  <c r="BW100" i="23"/>
  <c r="BP73" i="23"/>
  <c r="P98" i="23"/>
  <c r="J85" i="23"/>
  <c r="AJ78" i="23"/>
  <c r="CC68" i="23"/>
  <c r="P85" i="23"/>
  <c r="AP101" i="23"/>
  <c r="AW84" i="23"/>
  <c r="BP87" i="23"/>
  <c r="AP93" i="23"/>
  <c r="J83" i="23"/>
  <c r="J94" i="23"/>
  <c r="W84" i="23"/>
  <c r="AJ95" i="23"/>
  <c r="AC88" i="23"/>
  <c r="BP89" i="23"/>
  <c r="AT62" i="23"/>
  <c r="AP77" i="23"/>
  <c r="AC80" i="23"/>
  <c r="J123" i="9"/>
  <c r="J125" i="92"/>
  <c r="BJ103" i="23"/>
  <c r="AG62" i="23"/>
  <c r="AP97" i="23"/>
  <c r="BP103" i="23"/>
  <c r="AJ93" i="23"/>
  <c r="BP72" i="23"/>
  <c r="BW86" i="23"/>
  <c r="BP94" i="23"/>
  <c r="BW97" i="23"/>
  <c r="BP86" i="23"/>
  <c r="AW92" i="23"/>
  <c r="CC89" i="23"/>
  <c r="CJ76" i="23"/>
  <c r="AP87" i="23"/>
  <c r="P100" i="23"/>
  <c r="AJ102" i="23"/>
  <c r="AW73" i="23"/>
  <c r="BC73" i="23"/>
  <c r="AW69" i="23"/>
  <c r="BP93" i="23"/>
  <c r="AJ99" i="23"/>
  <c r="BC64" i="23"/>
  <c r="AP96" i="23"/>
  <c r="CC88" i="23"/>
  <c r="BJ100" i="23"/>
  <c r="CP80" i="23"/>
  <c r="CC86" i="23"/>
  <c r="AC84" i="23"/>
  <c r="W88" i="23"/>
  <c r="AT63" i="23"/>
  <c r="AC74" i="23"/>
  <c r="BW65" i="23"/>
  <c r="P67" i="23"/>
  <c r="P74" i="23"/>
  <c r="AW100" i="23"/>
  <c r="J88" i="23"/>
  <c r="P78" i="23"/>
  <c r="CJ102" i="23"/>
  <c r="AC93" i="23"/>
  <c r="P89" i="23"/>
  <c r="BW87" i="23"/>
  <c r="AW80" i="23"/>
  <c r="W86" i="23"/>
  <c r="BP102" i="23"/>
  <c r="CP101" i="23"/>
  <c r="BC75" i="23"/>
  <c r="CP69" i="23"/>
  <c r="W92" i="23"/>
  <c r="AJ103" i="23"/>
  <c r="J70" i="23"/>
  <c r="BC91" i="23"/>
  <c r="AC75" i="23"/>
  <c r="AC94" i="23"/>
  <c r="AW94" i="23"/>
  <c r="J96" i="23"/>
  <c r="BW88" i="23"/>
  <c r="AW89" i="23"/>
  <c r="AP100" i="23"/>
  <c r="CJ66" i="23"/>
  <c r="BP84" i="23"/>
  <c r="CC85" i="23"/>
  <c r="P123" i="92"/>
  <c r="P121" i="9"/>
  <c r="D93" i="115" s="1"/>
  <c r="BC63" i="23"/>
  <c r="CP75" i="23"/>
  <c r="CC77" i="23"/>
  <c r="AP69" i="23"/>
  <c r="CP85" i="23"/>
  <c r="BC69" i="23"/>
  <c r="BW77" i="23"/>
  <c r="AJ86" i="23"/>
  <c r="W101" i="23"/>
  <c r="CC80" i="23"/>
  <c r="W66" i="23"/>
  <c r="CP81" i="23"/>
  <c r="AC72" i="23"/>
  <c r="CJ63" i="23"/>
  <c r="CP73" i="23"/>
  <c r="AC99" i="23"/>
  <c r="CP88" i="23"/>
  <c r="P87" i="23"/>
  <c r="AC103" i="23"/>
  <c r="BG63" i="23"/>
  <c r="AC90" i="23"/>
  <c r="AW88" i="23"/>
  <c r="AJ70" i="23"/>
  <c r="P77" i="23"/>
  <c r="W64" i="23"/>
  <c r="BP78" i="23"/>
  <c r="P64" i="23"/>
  <c r="AJ89" i="23"/>
  <c r="CC92" i="23"/>
  <c r="BW91" i="23"/>
  <c r="CJ80" i="23"/>
  <c r="W89" i="23"/>
  <c r="BC66" i="23"/>
  <c r="W65" i="23"/>
  <c r="AC101" i="23"/>
  <c r="BC94" i="23"/>
  <c r="AW103" i="23"/>
  <c r="CC102" i="23"/>
  <c r="P102" i="23"/>
  <c r="BG60" i="23"/>
  <c r="CG59" i="23"/>
  <c r="BC67" i="23"/>
  <c r="AP98" i="23"/>
  <c r="W79" i="23"/>
  <c r="BC85" i="23"/>
  <c r="J72" i="23"/>
  <c r="CJ71" i="23"/>
  <c r="W78" i="23"/>
  <c r="BP71" i="23"/>
  <c r="BW98" i="23"/>
  <c r="CG63" i="23"/>
  <c r="P88" i="23"/>
  <c r="BW90" i="23"/>
  <c r="BC95" i="23"/>
  <c r="AC68" i="23"/>
  <c r="AC102" i="23"/>
  <c r="AJ104" i="23"/>
  <c r="AC67" i="23"/>
  <c r="BJ63" i="23"/>
  <c r="W72" i="23"/>
  <c r="BW84" i="23"/>
  <c r="AC69" i="23"/>
  <c r="CP95" i="23"/>
  <c r="J71" i="23"/>
  <c r="AW81" i="23"/>
  <c r="W104" i="23"/>
  <c r="BW83" i="23"/>
  <c r="W83" i="23"/>
  <c r="BJ82" i="23"/>
  <c r="P97" i="23"/>
  <c r="AW85" i="23"/>
  <c r="W98" i="23"/>
  <c r="CP70" i="23"/>
  <c r="P83" i="23"/>
  <c r="AW76" i="23"/>
  <c r="AC73" i="23"/>
  <c r="BP99" i="23"/>
  <c r="AP86" i="23"/>
  <c r="CJ79" i="23"/>
  <c r="BJ65" i="23"/>
  <c r="P96" i="23"/>
  <c r="P68" i="23"/>
  <c r="BJ67" i="23"/>
  <c r="W71" i="23"/>
  <c r="J80" i="23"/>
  <c r="CJ89" i="23"/>
  <c r="BW70" i="23"/>
  <c r="CP91" i="23"/>
  <c r="CJ78" i="23"/>
  <c r="AC64" i="23"/>
  <c r="BC101" i="23"/>
  <c r="CP96" i="23"/>
  <c r="AC87" i="23"/>
  <c r="AW70" i="23"/>
  <c r="CC93" i="23"/>
  <c r="AC104" i="23"/>
  <c r="AT60" i="23"/>
  <c r="CC97" i="23"/>
  <c r="AP83" i="23"/>
  <c r="P84" i="23"/>
  <c r="BP81" i="23"/>
  <c r="BJ90" i="23"/>
  <c r="AC95" i="23"/>
  <c r="BJ93" i="23"/>
  <c r="CP98" i="23"/>
  <c r="AP75" i="23"/>
  <c r="BT62" i="23"/>
  <c r="CJ87" i="23"/>
  <c r="BP96" i="23"/>
  <c r="P65" i="23"/>
  <c r="AC89" i="23"/>
  <c r="AJ63" i="23"/>
  <c r="W75" i="23"/>
  <c r="J90" i="23"/>
  <c r="BW78" i="23"/>
  <c r="AJ77" i="23"/>
  <c r="J102" i="23"/>
  <c r="CG60" i="23"/>
  <c r="AJ100" i="23"/>
  <c r="BC100" i="23"/>
  <c r="BP79" i="23"/>
  <c r="CC70" i="23"/>
  <c r="AJ73" i="23"/>
  <c r="W90" i="23"/>
  <c r="AW97" i="23"/>
  <c r="AP66" i="23"/>
  <c r="W74" i="23"/>
  <c r="CC69" i="23"/>
  <c r="AW66" i="23"/>
  <c r="CJ85" i="23"/>
  <c r="CC84" i="23"/>
  <c r="CP99" i="23"/>
  <c r="BJ85" i="23"/>
  <c r="BC97" i="23"/>
  <c r="CP84" i="23"/>
  <c r="AW101" i="23"/>
  <c r="W100" i="23"/>
  <c r="J95" i="23"/>
  <c r="CC78" i="23"/>
  <c r="BJ64" i="23"/>
  <c r="AC63" i="23"/>
  <c r="CJ82" i="23"/>
  <c r="CJ69" i="23"/>
  <c r="BP67" i="23"/>
  <c r="AJ72" i="23"/>
  <c r="BP75" i="23"/>
  <c r="CP94" i="23"/>
  <c r="BW66" i="23"/>
  <c r="CJ100" i="23"/>
  <c r="CJ68" i="23"/>
  <c r="AP92" i="23"/>
  <c r="W85" i="23"/>
  <c r="AP91" i="23"/>
  <c r="AW67" i="23"/>
  <c r="AC65" i="23"/>
  <c r="BT63" i="23"/>
  <c r="BC78" i="23"/>
  <c r="J93" i="23"/>
  <c r="AW65" i="23"/>
  <c r="W73" i="23"/>
  <c r="BJ72" i="23"/>
  <c r="AP76" i="23"/>
  <c r="J69" i="23"/>
  <c r="BC71" i="23"/>
  <c r="AJ97" i="23"/>
  <c r="BJ73" i="23"/>
  <c r="CJ84" i="23"/>
  <c r="P90" i="23"/>
  <c r="AW63" i="23"/>
  <c r="AC92" i="23"/>
  <c r="CP65" i="23"/>
  <c r="AC77" i="23"/>
  <c r="AG60" i="23"/>
  <c r="CJ103" i="23"/>
  <c r="CC103" i="23"/>
  <c r="BW79" i="23"/>
  <c r="CP89" i="23"/>
  <c r="BW80" i="23"/>
  <c r="BJ97" i="23"/>
  <c r="AP71" i="23"/>
  <c r="CJ67" i="23"/>
  <c r="BC68" i="23"/>
  <c r="BJ98" i="23"/>
  <c r="P86" i="23"/>
  <c r="CC63" i="23"/>
  <c r="CP103" i="23"/>
  <c r="G60" i="23"/>
  <c r="BW95" i="23"/>
  <c r="W63" i="23"/>
  <c r="BC102" i="23"/>
  <c r="BC99" i="23"/>
  <c r="BC89" i="23"/>
  <c r="BP100" i="23"/>
  <c r="BC93" i="23"/>
  <c r="P75" i="23"/>
  <c r="AC97" i="23"/>
  <c r="AP65" i="23"/>
  <c r="AC70" i="23"/>
  <c r="AP84" i="23"/>
  <c r="BJ71" i="23"/>
  <c r="AC71" i="23"/>
  <c r="AJ80" i="23"/>
  <c r="CC76" i="23"/>
  <c r="BC83" i="23"/>
  <c r="CP66" i="23"/>
  <c r="P93" i="23"/>
  <c r="BJ94" i="23"/>
  <c r="AW77" i="23"/>
  <c r="BP101" i="23"/>
  <c r="AC66" i="23"/>
  <c r="CJ97" i="23"/>
  <c r="BW81" i="23"/>
  <c r="AJ74" i="23"/>
  <c r="AG63" i="23"/>
  <c r="AJ88" i="23"/>
  <c r="AW99" i="23"/>
  <c r="J86" i="23"/>
  <c r="AP63" i="23"/>
  <c r="CC91" i="23"/>
  <c r="BW76" i="23"/>
  <c r="AJ82" i="23"/>
  <c r="BC104" i="23"/>
  <c r="AW78" i="23"/>
  <c r="AC81" i="23"/>
  <c r="BP76" i="23"/>
  <c r="BC82" i="23"/>
  <c r="AW75" i="23"/>
  <c r="CC90" i="23"/>
  <c r="BJ79" i="23"/>
  <c r="CC101" i="23"/>
  <c r="CJ99" i="23"/>
  <c r="CP87" i="23"/>
  <c r="BP77" i="23"/>
  <c r="AP82" i="23"/>
  <c r="P80" i="23"/>
  <c r="AC83" i="23"/>
  <c r="BG59" i="23"/>
  <c r="D118" i="16" l="1"/>
  <c r="E118" i="16"/>
  <c r="F118" i="16"/>
  <c r="K118" i="16"/>
  <c r="J118" i="16"/>
  <c r="I118" i="16"/>
  <c r="L118" i="16"/>
  <c r="H118" i="16"/>
  <c r="G118" i="16"/>
  <c r="BP105" i="23"/>
  <c r="M34" i="21"/>
  <c r="M34" i="37" s="1"/>
  <c r="AC105" i="23"/>
  <c r="AP105" i="23"/>
  <c r="P105" i="23"/>
  <c r="CC105" i="23"/>
  <c r="W105" i="23"/>
  <c r="AW105" i="23"/>
  <c r="AT105" i="23"/>
  <c r="BJ105" i="23"/>
  <c r="AJ105" i="23"/>
  <c r="S129" i="92"/>
  <c r="S127" i="9"/>
  <c r="CG105" i="23"/>
  <c r="M131" i="92"/>
  <c r="M129" i="9"/>
  <c r="AG105" i="23"/>
  <c r="T105" i="23"/>
  <c r="CM106" i="23"/>
  <c r="M106" i="23"/>
  <c r="Z106" i="23"/>
  <c r="AM106" i="23"/>
  <c r="BM106" i="23"/>
  <c r="BZ106" i="23"/>
  <c r="AZ106" i="23"/>
  <c r="G122" i="9"/>
  <c r="G124" i="92"/>
  <c r="G106" i="22"/>
  <c r="J106" i="22"/>
  <c r="Q106" i="22"/>
  <c r="AA106" i="22"/>
  <c r="I106" i="22"/>
  <c r="AQ106" i="22"/>
  <c r="AO106" i="22"/>
  <c r="U106" i="22"/>
  <c r="V106" i="22"/>
  <c r="AS106" i="22"/>
  <c r="T106" i="22"/>
  <c r="AN106" i="22"/>
  <c r="AT106" i="22"/>
  <c r="H106" i="22"/>
  <c r="AL106" i="22"/>
  <c r="AV106" i="22"/>
  <c r="Y106" i="22"/>
  <c r="Z106" i="22"/>
  <c r="AU106" i="22"/>
  <c r="F106" i="22"/>
  <c r="AW106" i="22"/>
  <c r="AB106" i="22"/>
  <c r="M106" i="22"/>
  <c r="P106" i="22"/>
  <c r="AG106" i="22"/>
  <c r="L106" i="22"/>
  <c r="AM106" i="22"/>
  <c r="N106" i="22"/>
  <c r="AF106" i="22"/>
  <c r="W106" i="22"/>
  <c r="E106" i="22"/>
  <c r="O106" i="22"/>
  <c r="AC106" i="22"/>
  <c r="K106" i="22"/>
  <c r="D106" i="22"/>
  <c r="AP106" i="22"/>
  <c r="AE106" i="22"/>
  <c r="AD106" i="22"/>
  <c r="AK106" i="22"/>
  <c r="AR106" i="22"/>
  <c r="AJ106" i="22"/>
  <c r="X106" i="22"/>
  <c r="V133" i="9"/>
  <c r="V135" i="92"/>
  <c r="CF106" i="23"/>
  <c r="BS106" i="23"/>
  <c r="F106" i="23"/>
  <c r="S106" i="23"/>
  <c r="BF106" i="23"/>
  <c r="AS106" i="23"/>
  <c r="AF106" i="23"/>
  <c r="O106" i="23"/>
  <c r="AB106" i="23"/>
  <c r="BO106" i="23"/>
  <c r="CO106" i="23"/>
  <c r="CB106" i="23"/>
  <c r="AO106" i="23"/>
  <c r="BB106" i="23"/>
  <c r="BG105" i="23"/>
  <c r="AU106" i="23"/>
  <c r="BH106" i="23"/>
  <c r="CH106" i="23"/>
  <c r="AH106" i="23"/>
  <c r="U106" i="23"/>
  <c r="H106" i="23"/>
  <c r="BU106" i="23"/>
  <c r="M118" i="16"/>
  <c r="O118" i="16"/>
  <c r="N118" i="16"/>
  <c r="CD106" i="23"/>
  <c r="AQ106" i="23"/>
  <c r="BQ106" i="23"/>
  <c r="Q106" i="23"/>
  <c r="AD106" i="23"/>
  <c r="BD106" i="23"/>
  <c r="D106" i="23"/>
  <c r="BT105" i="23"/>
  <c r="AX106" i="22"/>
  <c r="R106" i="22"/>
  <c r="AH106" i="22"/>
  <c r="AI106" i="22"/>
  <c r="S106" i="22"/>
  <c r="AY106" i="22"/>
  <c r="R106" i="23"/>
  <c r="AE106" i="23"/>
  <c r="E106" i="23"/>
  <c r="BE106" i="23"/>
  <c r="BR106" i="23"/>
  <c r="CE106" i="23"/>
  <c r="AR106" i="23"/>
  <c r="BV106" i="23"/>
  <c r="AV106" i="23"/>
  <c r="AA106" i="23"/>
  <c r="BA106" i="23"/>
  <c r="I106" i="23"/>
  <c r="BN106" i="23"/>
  <c r="V106" i="23"/>
  <c r="AI106" i="23"/>
  <c r="CA106" i="23"/>
  <c r="CI106" i="23"/>
  <c r="BI106" i="23"/>
  <c r="CN106" i="23"/>
  <c r="AN106" i="23"/>
  <c r="N106" i="23"/>
  <c r="G105" i="23"/>
  <c r="W133" i="9"/>
  <c r="W135" i="92"/>
  <c r="CL106" i="23"/>
  <c r="K106" i="23"/>
  <c r="CK106" i="23"/>
  <c r="AL106" i="23"/>
  <c r="BK106" i="23"/>
  <c r="AY106" i="23"/>
  <c r="BX106" i="23"/>
  <c r="AX106" i="23"/>
  <c r="X106" i="23"/>
  <c r="AK106" i="23"/>
  <c r="Y106" i="23"/>
  <c r="BY106" i="23"/>
  <c r="L106" i="23"/>
  <c r="BL106" i="23"/>
  <c r="J126" i="92"/>
  <c r="J124" i="9"/>
  <c r="P122" i="9"/>
  <c r="D94" i="115" s="1"/>
  <c r="P124" i="92"/>
  <c r="AC30" i="21" l="1"/>
  <c r="AC30" i="37" s="1"/>
  <c r="AC29" i="21"/>
  <c r="AC29" i="37" s="1"/>
  <c r="M29" i="21"/>
  <c r="M29" i="37" s="1"/>
  <c r="M31" i="21"/>
  <c r="M31" i="37" s="1"/>
  <c r="AC27" i="21"/>
  <c r="AC27" i="37" s="1"/>
  <c r="M28" i="21"/>
  <c r="M28" i="37" s="1"/>
  <c r="M27" i="21"/>
  <c r="M27" i="37" s="1"/>
  <c r="M32" i="21"/>
  <c r="M32" i="37" s="1"/>
  <c r="AC31" i="21"/>
  <c r="AC31" i="37" s="1"/>
  <c r="AC32" i="21"/>
  <c r="AC32" i="37" s="1"/>
  <c r="M33" i="21"/>
  <c r="M33" i="37" s="1"/>
  <c r="AC33" i="21"/>
  <c r="AC33" i="37" s="1"/>
  <c r="AC28" i="21"/>
  <c r="AC28" i="37" s="1"/>
  <c r="M30" i="21"/>
  <c r="M30" i="37" s="1"/>
  <c r="AC34" i="21"/>
  <c r="AC34" i="37" s="1"/>
  <c r="S130" i="92"/>
  <c r="S128" i="9"/>
  <c r="M130" i="9"/>
  <c r="M132" i="92"/>
  <c r="CG106" i="23"/>
  <c r="AJ106" i="23"/>
  <c r="T106" i="23"/>
  <c r="CE107" i="23"/>
  <c r="R107" i="23"/>
  <c r="BN107" i="23"/>
  <c r="AA107" i="23"/>
  <c r="AN107" i="23"/>
  <c r="BR107" i="23"/>
  <c r="BA107" i="23"/>
  <c r="BV107" i="23"/>
  <c r="E107" i="23"/>
  <c r="N107" i="23"/>
  <c r="CN107" i="23"/>
  <c r="AV107" i="23"/>
  <c r="BE107" i="23"/>
  <c r="BI107" i="23"/>
  <c r="AE107" i="23"/>
  <c r="V107" i="23"/>
  <c r="CI107" i="23"/>
  <c r="I107" i="23"/>
  <c r="AI107" i="23"/>
  <c r="AR107" i="23"/>
  <c r="CA107" i="23"/>
  <c r="BD107" i="23"/>
  <c r="AD107" i="23"/>
  <c r="BQ107" i="23"/>
  <c r="AQ107" i="23"/>
  <c r="Q107" i="23"/>
  <c r="CD107" i="23"/>
  <c r="D107" i="23"/>
  <c r="AH107" i="23"/>
  <c r="BU107" i="23"/>
  <c r="BH107" i="23"/>
  <c r="U107" i="23"/>
  <c r="CH107" i="23"/>
  <c r="AU107" i="23"/>
  <c r="H107" i="23"/>
  <c r="W134" i="9"/>
  <c r="W136" i="92"/>
  <c r="CJ106" i="23"/>
  <c r="BC106" i="23"/>
  <c r="Z107" i="23"/>
  <c r="M107" i="23"/>
  <c r="AM107" i="23"/>
  <c r="CM107" i="23"/>
  <c r="BZ107" i="23"/>
  <c r="AZ107" i="23"/>
  <c r="BM107" i="23"/>
  <c r="G106" i="23"/>
  <c r="BJ106" i="23"/>
  <c r="CC106" i="23"/>
  <c r="AB107" i="23"/>
  <c r="CB107" i="23"/>
  <c r="BB107" i="23"/>
  <c r="AS107" i="23"/>
  <c r="BF107" i="23"/>
  <c r="BO107" i="23"/>
  <c r="CO107" i="23"/>
  <c r="F107" i="23"/>
  <c r="S107" i="23"/>
  <c r="O107" i="23"/>
  <c r="AO107" i="23"/>
  <c r="CF107" i="23"/>
  <c r="AF107" i="23"/>
  <c r="BS107" i="23"/>
  <c r="BG106" i="23"/>
  <c r="AW106" i="23"/>
  <c r="V134" i="9"/>
  <c r="V136" i="92"/>
  <c r="BP106" i="23"/>
  <c r="AG106" i="23"/>
  <c r="AX107" i="23"/>
  <c r="AY107" i="23"/>
  <c r="Y107" i="23"/>
  <c r="CK107" i="23"/>
  <c r="AL107" i="23"/>
  <c r="BX107" i="23"/>
  <c r="X107" i="23"/>
  <c r="L107" i="23"/>
  <c r="CL107" i="23"/>
  <c r="BK107" i="23"/>
  <c r="AK107" i="23"/>
  <c r="K107" i="23"/>
  <c r="BY107" i="23"/>
  <c r="BL107" i="23"/>
  <c r="AP106" i="23"/>
  <c r="BW106" i="23"/>
  <c r="AC106" i="23"/>
  <c r="BT106" i="23"/>
  <c r="J106" i="23"/>
  <c r="P106" i="23"/>
  <c r="AT106" i="23"/>
  <c r="W106" i="23"/>
  <c r="G125" i="92"/>
  <c r="G123" i="9"/>
  <c r="CP106" i="23"/>
  <c r="J125" i="9"/>
  <c r="J127" i="92"/>
  <c r="P125" i="92"/>
  <c r="P123" i="9"/>
  <c r="D95" i="115" s="1"/>
  <c r="S129" i="9" l="1"/>
  <c r="S131" i="92"/>
  <c r="M131" i="9"/>
  <c r="M133" i="92"/>
  <c r="AJ107" i="23"/>
  <c r="AW107" i="23"/>
  <c r="CJ107" i="23"/>
  <c r="AP107" i="23"/>
  <c r="J107" i="23"/>
  <c r="AC107" i="23"/>
  <c r="BT107" i="23"/>
  <c r="BJ107" i="23"/>
  <c r="W107" i="23"/>
  <c r="AG107" i="23"/>
  <c r="G126" i="92"/>
  <c r="G124" i="9"/>
  <c r="BP107" i="23"/>
  <c r="BW107" i="23"/>
  <c r="BG107" i="23"/>
  <c r="BC107" i="23"/>
  <c r="W137" i="92"/>
  <c r="W135" i="9"/>
  <c r="CC107" i="23"/>
  <c r="G107" i="23"/>
  <c r="V137" i="92"/>
  <c r="V135" i="9"/>
  <c r="CP107" i="23"/>
  <c r="CG107" i="23"/>
  <c r="T107" i="23"/>
  <c r="P107" i="23"/>
  <c r="AT107" i="23"/>
  <c r="J128" i="92"/>
  <c r="J126" i="9"/>
  <c r="P126" i="92"/>
  <c r="P124" i="9"/>
  <c r="D96" i="115" s="1"/>
  <c r="S132" i="92" l="1"/>
  <c r="S130" i="9"/>
  <c r="M134" i="92"/>
  <c r="M132" i="9"/>
  <c r="V136" i="9"/>
  <c r="V138" i="92"/>
  <c r="W138" i="92"/>
  <c r="W136" i="9"/>
  <c r="G125" i="9"/>
  <c r="G127" i="92"/>
  <c r="J129" i="92"/>
  <c r="J127" i="9"/>
  <c r="P125" i="9"/>
  <c r="D97" i="115" s="1"/>
  <c r="P127" i="92"/>
  <c r="S133" i="92" l="1"/>
  <c r="S131" i="9"/>
  <c r="M135" i="92"/>
  <c r="M133" i="9"/>
  <c r="G126" i="9"/>
  <c r="G128" i="92"/>
  <c r="W139" i="92"/>
  <c r="W137" i="9"/>
  <c r="V139" i="92"/>
  <c r="V137" i="9"/>
  <c r="P128" i="92"/>
  <c r="P126" i="9"/>
  <c r="D98" i="115" s="1"/>
  <c r="J130" i="92"/>
  <c r="J128" i="9"/>
  <c r="S132" i="9" l="1"/>
  <c r="S134" i="92"/>
  <c r="M134" i="9"/>
  <c r="M136" i="92"/>
  <c r="V138" i="9"/>
  <c r="V140" i="92"/>
  <c r="W140" i="92"/>
  <c r="W138" i="9"/>
  <c r="G127" i="9"/>
  <c r="G129" i="92"/>
  <c r="P129" i="92"/>
  <c r="P127" i="9"/>
  <c r="D99" i="115" s="1"/>
  <c r="J131" i="92"/>
  <c r="J129" i="9"/>
  <c r="S133" i="9" l="1"/>
  <c r="S135" i="92"/>
  <c r="M137" i="92"/>
  <c r="M135" i="9"/>
  <c r="V141" i="92"/>
  <c r="V139" i="9"/>
  <c r="G130" i="92"/>
  <c r="G128" i="9"/>
  <c r="W139" i="9"/>
  <c r="W141" i="92"/>
  <c r="J132" i="92"/>
  <c r="J130" i="9"/>
  <c r="P130" i="92"/>
  <c r="P128" i="9"/>
  <c r="D100" i="115" s="1"/>
  <c r="S136" i="92" l="1"/>
  <c r="S134" i="9"/>
  <c r="M138" i="92"/>
  <c r="M136" i="9"/>
  <c r="G131" i="92"/>
  <c r="G129" i="9"/>
  <c r="W140" i="9"/>
  <c r="W142" i="92"/>
  <c r="V142" i="92"/>
  <c r="V140" i="9"/>
  <c r="P131" i="92"/>
  <c r="P129" i="9"/>
  <c r="D101" i="115" s="1"/>
  <c r="J131" i="9"/>
  <c r="J133" i="92"/>
  <c r="S135" i="9" l="1"/>
  <c r="S137" i="92"/>
  <c r="M139" i="92"/>
  <c r="M137" i="9"/>
  <c r="G130" i="9"/>
  <c r="G132" i="92"/>
  <c r="V143" i="92"/>
  <c r="V141" i="9"/>
  <c r="W141" i="9"/>
  <c r="W143" i="92"/>
  <c r="J134" i="92"/>
  <c r="J132" i="9"/>
  <c r="P132" i="92"/>
  <c r="P130" i="9"/>
  <c r="D102" i="115" s="1"/>
  <c r="S136" i="9" l="1"/>
  <c r="S138" i="92"/>
  <c r="M140" i="92"/>
  <c r="M138" i="9"/>
  <c r="W142" i="9"/>
  <c r="W144" i="92"/>
  <c r="W143" i="9" s="1"/>
  <c r="V144" i="92"/>
  <c r="V143" i="9" s="1"/>
  <c r="V142" i="9"/>
  <c r="G133" i="92"/>
  <c r="G131" i="9"/>
  <c r="P133" i="92"/>
  <c r="P131" i="9"/>
  <c r="D103" i="115" s="1"/>
  <c r="J135" i="92"/>
  <c r="J133" i="9"/>
  <c r="S139" i="92" l="1"/>
  <c r="S137" i="9"/>
  <c r="M141" i="92"/>
  <c r="M139" i="9"/>
  <c r="G132" i="9"/>
  <c r="G134" i="92"/>
  <c r="P134" i="92"/>
  <c r="P132" i="9"/>
  <c r="D104" i="115" s="1"/>
  <c r="J134" i="9"/>
  <c r="J136" i="92"/>
  <c r="S138" i="9" l="1"/>
  <c r="S140" i="92"/>
  <c r="M142" i="92"/>
  <c r="M140" i="9"/>
  <c r="G135" i="92"/>
  <c r="G133" i="9"/>
  <c r="J137" i="92"/>
  <c r="J135" i="9"/>
  <c r="P133" i="9"/>
  <c r="D105" i="115" s="1"/>
  <c r="P135" i="92"/>
  <c r="S139" i="9" l="1"/>
  <c r="S141" i="92"/>
  <c r="M141" i="9"/>
  <c r="M143" i="92"/>
  <c r="G134" i="9"/>
  <c r="G136" i="92"/>
  <c r="J136" i="9"/>
  <c r="J138" i="92"/>
  <c r="P134" i="9"/>
  <c r="D106" i="115" s="1"/>
  <c r="P136" i="92"/>
  <c r="S140" i="9" l="1"/>
  <c r="S142" i="92"/>
  <c r="M144" i="92"/>
  <c r="M143" i="9" s="1"/>
  <c r="M142" i="9"/>
  <c r="G137" i="92"/>
  <c r="G135" i="9"/>
  <c r="P135" i="9"/>
  <c r="D107" i="115" s="1"/>
  <c r="P137" i="92"/>
  <c r="J137" i="9"/>
  <c r="J139" i="92"/>
  <c r="S143" i="92" l="1"/>
  <c r="S141" i="9"/>
  <c r="G138" i="92"/>
  <c r="G136" i="9"/>
  <c r="J140" i="92"/>
  <c r="J138" i="9"/>
  <c r="P138" i="92"/>
  <c r="P136" i="9"/>
  <c r="D108" i="115" s="1"/>
  <c r="S144" i="92" l="1"/>
  <c r="S143" i="9" s="1"/>
  <c r="S142" i="9"/>
  <c r="G139" i="92"/>
  <c r="G137" i="9"/>
  <c r="P139" i="92"/>
  <c r="P137" i="9"/>
  <c r="D109" i="115" s="1"/>
  <c r="J141" i="92"/>
  <c r="J139" i="9"/>
  <c r="G138" i="9" l="1"/>
  <c r="G140" i="92"/>
  <c r="J142" i="92"/>
  <c r="J140" i="9"/>
  <c r="P140" i="92"/>
  <c r="P138" i="9"/>
  <c r="D110" i="115" s="1"/>
  <c r="G141" i="92" l="1"/>
  <c r="G139" i="9"/>
  <c r="J143" i="92"/>
  <c r="J141" i="9"/>
  <c r="P139" i="9"/>
  <c r="D111" i="115" s="1"/>
  <c r="P141" i="92"/>
  <c r="G142" i="92" l="1"/>
  <c r="G140" i="9"/>
  <c r="P140" i="9"/>
  <c r="D112" i="115" s="1"/>
  <c r="P142" i="92"/>
  <c r="J142" i="9"/>
  <c r="J144" i="92"/>
  <c r="J143" i="9" s="1"/>
  <c r="G143" i="92" l="1"/>
  <c r="G141" i="9"/>
  <c r="P141" i="9"/>
  <c r="D113" i="115" s="1"/>
  <c r="P143" i="92"/>
  <c r="G144" i="92" l="1"/>
  <c r="G143" i="9" s="1"/>
  <c r="G142" i="9"/>
  <c r="P142" i="9"/>
  <c r="D114" i="115" s="1"/>
  <c r="P144" i="92"/>
  <c r="P143" i="9" s="1"/>
  <c r="D29" i="30" s="1"/>
  <c r="D115" i="115" l="1"/>
  <c r="T30" i="20" l="1"/>
  <c r="T29" i="20" s="1"/>
  <c r="AL27" i="72"/>
  <c r="BJ28" i="21" s="1"/>
  <c r="BR28" i="21" s="1"/>
  <c r="AM27" i="72"/>
  <c r="BK28" i="21" s="1"/>
  <c r="BS28" i="21" s="1"/>
  <c r="AK27" i="72"/>
  <c r="BI28" i="21" s="1"/>
  <c r="BQ28" i="21" s="1"/>
  <c r="AJ27" i="72"/>
  <c r="BH28" i="21" s="1"/>
  <c r="BP28" i="21" s="1"/>
  <c r="AF33" i="72"/>
  <c r="AV34" i="21" s="1"/>
  <c r="BD34" i="21" s="1"/>
  <c r="AI33" i="72"/>
  <c r="AY34" i="21" s="1"/>
  <c r="BG34" i="21" s="1"/>
  <c r="AH33" i="72"/>
  <c r="AX34" i="21" s="1"/>
  <c r="BF34" i="21" s="1"/>
  <c r="AG33" i="72"/>
  <c r="AW34" i="21" s="1"/>
  <c r="BE34" i="21" s="1"/>
  <c r="AL32" i="72"/>
  <c r="BJ33" i="21" s="1"/>
  <c r="BR33" i="21" s="1"/>
  <c r="AK32" i="72"/>
  <c r="BI33" i="21" s="1"/>
  <c r="BQ33" i="21" s="1"/>
  <c r="AJ32" i="72"/>
  <c r="BH33" i="21" s="1"/>
  <c r="BP33" i="21" s="1"/>
  <c r="AM32" i="72"/>
  <c r="BK33" i="21" s="1"/>
  <c r="BS33" i="21" s="1"/>
  <c r="AD32" i="72"/>
  <c r="AL33" i="21" s="1"/>
  <c r="AT33" i="21" s="1"/>
  <c r="AB32" i="72"/>
  <c r="AJ33" i="21" s="1"/>
  <c r="AR33" i="21" s="1"/>
  <c r="AC32" i="72"/>
  <c r="AK33" i="21" s="1"/>
  <c r="AS33" i="21" s="1"/>
  <c r="AE32" i="72"/>
  <c r="AM33" i="21" s="1"/>
  <c r="AU33" i="21" s="1"/>
  <c r="J33" i="72"/>
  <c r="J34" i="21" s="1"/>
  <c r="J34" i="37" s="1"/>
  <c r="I33" i="72"/>
  <c r="I34" i="21" s="1"/>
  <c r="I34" i="37" s="1"/>
  <c r="H33" i="72"/>
  <c r="H34" i="21" s="1"/>
  <c r="H34" i="37" s="1"/>
  <c r="K33" i="72"/>
  <c r="K34" i="21" s="1"/>
  <c r="K34" i="37" s="1"/>
  <c r="AG29" i="72"/>
  <c r="AW30" i="21" s="1"/>
  <c r="BE30" i="21" s="1"/>
  <c r="AH29" i="72"/>
  <c r="AX30" i="21" s="1"/>
  <c r="BF30" i="21" s="1"/>
  <c r="AF29" i="72"/>
  <c r="AV30" i="21" s="1"/>
  <c r="BD30" i="21" s="1"/>
  <c r="AI29" i="72"/>
  <c r="AY30" i="21" s="1"/>
  <c r="BG30" i="21" s="1"/>
  <c r="Q34" i="72"/>
  <c r="U35" i="21" s="1"/>
  <c r="P34" i="72"/>
  <c r="T35" i="21" s="1"/>
  <c r="S34" i="72"/>
  <c r="W35" i="21" s="1"/>
  <c r="R34" i="72"/>
  <c r="V35" i="21" s="1"/>
  <c r="AE29" i="72"/>
  <c r="AM30" i="21" s="1"/>
  <c r="AU30" i="21" s="1"/>
  <c r="AB29" i="72"/>
  <c r="AJ30" i="21" s="1"/>
  <c r="AR30" i="21" s="1"/>
  <c r="AC29" i="72"/>
  <c r="AK30" i="21" s="1"/>
  <c r="AS30" i="21" s="1"/>
  <c r="AD29" i="72"/>
  <c r="AL30" i="21" s="1"/>
  <c r="AT30" i="21" s="1"/>
  <c r="AF28" i="72"/>
  <c r="AV29" i="21" s="1"/>
  <c r="BD29" i="21" s="1"/>
  <c r="AI28" i="72"/>
  <c r="AY29" i="21" s="1"/>
  <c r="BG29" i="21" s="1"/>
  <c r="AG28" i="72"/>
  <c r="AW29" i="21" s="1"/>
  <c r="BE29" i="21" s="1"/>
  <c r="AH28" i="72"/>
  <c r="AX29" i="21" s="1"/>
  <c r="BF29" i="21" s="1"/>
  <c r="J30" i="72"/>
  <c r="J31" i="21" s="1"/>
  <c r="J31" i="37" s="1"/>
  <c r="H30" i="72"/>
  <c r="H31" i="21" s="1"/>
  <c r="H31" i="37" s="1"/>
  <c r="I30" i="72"/>
  <c r="I31" i="21" s="1"/>
  <c r="I31" i="37" s="1"/>
  <c r="K30" i="72"/>
  <c r="K31" i="21" s="1"/>
  <c r="K31" i="37" s="1"/>
  <c r="I29" i="72"/>
  <c r="I30" i="21" s="1"/>
  <c r="I30" i="37" s="1"/>
  <c r="K29" i="72"/>
  <c r="K30" i="21" s="1"/>
  <c r="K30" i="37" s="1"/>
  <c r="J29" i="72"/>
  <c r="J30" i="21" s="1"/>
  <c r="J30" i="37" s="1"/>
  <c r="H29" i="72"/>
  <c r="H30" i="21" s="1"/>
  <c r="H30" i="37" s="1"/>
  <c r="P32" i="72"/>
  <c r="T33" i="21" s="1"/>
  <c r="R32" i="72"/>
  <c r="V33" i="21" s="1"/>
  <c r="Q32" i="72"/>
  <c r="U33" i="21" s="1"/>
  <c r="S32" i="72"/>
  <c r="W33" i="21" s="1"/>
  <c r="P35" i="72"/>
  <c r="T36" i="21" s="1"/>
  <c r="S35" i="72"/>
  <c r="W36" i="21" s="1"/>
  <c r="R35" i="72"/>
  <c r="V36" i="21" s="1"/>
  <c r="Q35" i="72"/>
  <c r="U36" i="21" s="1"/>
  <c r="AL28" i="72"/>
  <c r="BJ29" i="21" s="1"/>
  <c r="BR29" i="21" s="1"/>
  <c r="AK28" i="72"/>
  <c r="BI29" i="21" s="1"/>
  <c r="BQ29" i="21" s="1"/>
  <c r="AM28" i="72"/>
  <c r="BK29" i="21" s="1"/>
  <c r="BS29" i="21" s="1"/>
  <c r="AJ28" i="72"/>
  <c r="BH29" i="21" s="1"/>
  <c r="BP29" i="21" s="1"/>
  <c r="J31" i="72"/>
  <c r="J32" i="21" s="1"/>
  <c r="J32" i="37" s="1"/>
  <c r="I31" i="72"/>
  <c r="I32" i="21" s="1"/>
  <c r="I32" i="37" s="1"/>
  <c r="H31" i="72"/>
  <c r="H32" i="21" s="1"/>
  <c r="H32" i="37" s="1"/>
  <c r="K31" i="72"/>
  <c r="K32" i="21" s="1"/>
  <c r="K32" i="37" s="1"/>
  <c r="S33" i="72"/>
  <c r="W34" i="21" s="1"/>
  <c r="P33" i="72"/>
  <c r="T34" i="21" s="1"/>
  <c r="Q33" i="72"/>
  <c r="U34" i="21" s="1"/>
  <c r="R33" i="72"/>
  <c r="V34" i="21" s="1"/>
  <c r="AB28" i="72"/>
  <c r="AJ29" i="21" s="1"/>
  <c r="AR29" i="21" s="1"/>
  <c r="AE28" i="72"/>
  <c r="AM29" i="21" s="1"/>
  <c r="AU29" i="21" s="1"/>
  <c r="AC28" i="72"/>
  <c r="AK29" i="21" s="1"/>
  <c r="AS29" i="21" s="1"/>
  <c r="AD28" i="72"/>
  <c r="AL29" i="21" s="1"/>
  <c r="AT29" i="21" s="1"/>
  <c r="I28" i="72"/>
  <c r="I29" i="21" s="1"/>
  <c r="I29" i="37" s="1"/>
  <c r="K28" i="72"/>
  <c r="K29" i="21" s="1"/>
  <c r="K29" i="37" s="1"/>
  <c r="H28" i="72"/>
  <c r="H29" i="21" s="1"/>
  <c r="H29" i="37" s="1"/>
  <c r="J28" i="72"/>
  <c r="J29" i="21" s="1"/>
  <c r="J29" i="37" s="1"/>
  <c r="Q31" i="72"/>
  <c r="U32" i="21" s="1"/>
  <c r="R31" i="72"/>
  <c r="V32" i="21" s="1"/>
  <c r="P31" i="72"/>
  <c r="T32" i="21" s="1"/>
  <c r="S31" i="72"/>
  <c r="W32" i="21" s="1"/>
  <c r="AE30" i="72"/>
  <c r="AM31" i="21" s="1"/>
  <c r="AU31" i="21" s="1"/>
  <c r="AD30" i="72"/>
  <c r="AL31" i="21" s="1"/>
  <c r="AT31" i="21" s="1"/>
  <c r="AB30" i="72"/>
  <c r="AJ31" i="21" s="1"/>
  <c r="AR31" i="21" s="1"/>
  <c r="AC30" i="72"/>
  <c r="AK31" i="21" s="1"/>
  <c r="AS31" i="21" s="1"/>
  <c r="AH32" i="72"/>
  <c r="AX33" i="21" s="1"/>
  <c r="BF33" i="21" s="1"/>
  <c r="AF32" i="72"/>
  <c r="AV33" i="21" s="1"/>
  <c r="BD33" i="21" s="1"/>
  <c r="AG32" i="72"/>
  <c r="AW33" i="21" s="1"/>
  <c r="BE33" i="21" s="1"/>
  <c r="AI32" i="72"/>
  <c r="AY33" i="21" s="1"/>
  <c r="BG33" i="21" s="1"/>
  <c r="I27" i="72"/>
  <c r="I28" i="21" s="1"/>
  <c r="I28" i="37" s="1"/>
  <c r="H27" i="72"/>
  <c r="H28" i="21" s="1"/>
  <c r="H28" i="37" s="1"/>
  <c r="J27" i="72"/>
  <c r="J28" i="21" s="1"/>
  <c r="J28" i="37" s="1"/>
  <c r="K27" i="72"/>
  <c r="K28" i="21" s="1"/>
  <c r="K28" i="37" s="1"/>
  <c r="P29" i="72"/>
  <c r="T30" i="21" s="1"/>
  <c r="R29" i="72"/>
  <c r="V30" i="21" s="1"/>
  <c r="S29" i="72"/>
  <c r="W30" i="21" s="1"/>
  <c r="Q29" i="72"/>
  <c r="U30" i="21" s="1"/>
  <c r="AM30" i="72"/>
  <c r="BK31" i="21" s="1"/>
  <c r="BS31" i="21" s="1"/>
  <c r="AJ30" i="72"/>
  <c r="BH31" i="21" s="1"/>
  <c r="BP31" i="21" s="1"/>
  <c r="AL30" i="72"/>
  <c r="BJ31" i="21" s="1"/>
  <c r="BR31" i="21" s="1"/>
  <c r="AK30" i="72"/>
  <c r="BI31" i="21" s="1"/>
  <c r="BQ31" i="21" s="1"/>
  <c r="AL31" i="72"/>
  <c r="BJ32" i="21" s="1"/>
  <c r="BR32" i="21" s="1"/>
  <c r="AK31" i="72"/>
  <c r="BI32" i="21" s="1"/>
  <c r="BQ32" i="21" s="1"/>
  <c r="AJ31" i="72"/>
  <c r="BH32" i="21" s="1"/>
  <c r="BP32" i="21" s="1"/>
  <c r="AM31" i="72"/>
  <c r="BK32" i="21" s="1"/>
  <c r="BS32" i="21" s="1"/>
  <c r="AF31" i="72"/>
  <c r="AV32" i="21" s="1"/>
  <c r="BD32" i="21" s="1"/>
  <c r="AH31" i="72"/>
  <c r="AX32" i="21" s="1"/>
  <c r="BF32" i="21" s="1"/>
  <c r="AI31" i="72"/>
  <c r="AY32" i="21" s="1"/>
  <c r="BG32" i="21" s="1"/>
  <c r="AG31" i="72"/>
  <c r="AW32" i="21" s="1"/>
  <c r="BE32" i="21" s="1"/>
  <c r="AE31" i="72"/>
  <c r="AM32" i="21" s="1"/>
  <c r="AU32" i="21" s="1"/>
  <c r="AD31" i="72"/>
  <c r="AL32" i="21" s="1"/>
  <c r="AT32" i="21" s="1"/>
  <c r="AC31" i="72"/>
  <c r="AK32" i="21" s="1"/>
  <c r="AS32" i="21" s="1"/>
  <c r="AB31" i="72"/>
  <c r="AJ32" i="21" s="1"/>
  <c r="AR32" i="21" s="1"/>
  <c r="S28" i="72"/>
  <c r="W29" i="21" s="1"/>
  <c r="R28" i="72"/>
  <c r="V29" i="21" s="1"/>
  <c r="Q28" i="72"/>
  <c r="U29" i="21" s="1"/>
  <c r="P28" i="72"/>
  <c r="T29" i="21" s="1"/>
  <c r="AK29" i="72"/>
  <c r="BI30" i="21" s="1"/>
  <c r="BQ30" i="21" s="1"/>
  <c r="AJ29" i="72"/>
  <c r="BH30" i="21" s="1"/>
  <c r="BP30" i="21" s="1"/>
  <c r="AM29" i="72"/>
  <c r="BK30" i="21" s="1"/>
  <c r="BS30" i="21" s="1"/>
  <c r="AL29" i="72"/>
  <c r="BJ30" i="21" s="1"/>
  <c r="BR30" i="21" s="1"/>
  <c r="S27" i="72"/>
  <c r="W28" i="21" s="1"/>
  <c r="Q27" i="72"/>
  <c r="U28" i="21" s="1"/>
  <c r="P27" i="72"/>
  <c r="T28" i="21" s="1"/>
  <c r="R27" i="72"/>
  <c r="V28" i="21" s="1"/>
  <c r="AI30" i="72"/>
  <c r="AY31" i="21" s="1"/>
  <c r="BG31" i="21" s="1"/>
  <c r="AH30" i="72"/>
  <c r="AX31" i="21" s="1"/>
  <c r="BF31" i="21" s="1"/>
  <c r="AF30" i="72"/>
  <c r="AV31" i="21" s="1"/>
  <c r="BD31" i="21" s="1"/>
  <c r="AG30" i="72"/>
  <c r="AW31" i="21" s="1"/>
  <c r="BE31" i="21" s="1"/>
  <c r="H32" i="72"/>
  <c r="H33" i="21" s="1"/>
  <c r="H33" i="37" s="1"/>
  <c r="K32" i="72"/>
  <c r="K33" i="21" s="1"/>
  <c r="K33" i="37" s="1"/>
  <c r="I32" i="72"/>
  <c r="I33" i="21" s="1"/>
  <c r="I33" i="37" s="1"/>
  <c r="J32" i="72"/>
  <c r="J33" i="21" s="1"/>
  <c r="J33" i="37" s="1"/>
  <c r="S30" i="72"/>
  <c r="W31" i="21" s="1"/>
  <c r="P30" i="72"/>
  <c r="T31" i="21" s="1"/>
  <c r="R30" i="72"/>
  <c r="V31" i="21" s="1"/>
  <c r="Q30" i="72"/>
  <c r="U31" i="21" s="1"/>
  <c r="D27" i="72"/>
  <c r="D28" i="21" s="1"/>
  <c r="F27" i="72"/>
  <c r="F28" i="21" s="1"/>
  <c r="E27" i="72"/>
  <c r="E28" i="21" s="1"/>
  <c r="G27" i="72"/>
  <c r="G28" i="21" s="1"/>
  <c r="F28" i="72"/>
  <c r="F29" i="21" s="1"/>
  <c r="D28" i="72"/>
  <c r="D29" i="21" s="1"/>
  <c r="E28" i="72"/>
  <c r="E29" i="21" s="1"/>
  <c r="G28" i="72"/>
  <c r="G29" i="21" s="1"/>
  <c r="F29" i="72"/>
  <c r="F30" i="21" s="1"/>
  <c r="E29" i="72"/>
  <c r="E30" i="21" s="1"/>
  <c r="G29" i="72"/>
  <c r="G30" i="21" s="1"/>
  <c r="D29" i="72"/>
  <c r="D30" i="21" s="1"/>
  <c r="E31" i="72"/>
  <c r="E32" i="21" s="1"/>
  <c r="F31" i="72"/>
  <c r="F32" i="21" s="1"/>
  <c r="D31" i="72"/>
  <c r="D32" i="21" s="1"/>
  <c r="G31" i="72"/>
  <c r="G32" i="21" s="1"/>
  <c r="D30" i="72"/>
  <c r="D31" i="21" s="1"/>
  <c r="G30" i="72"/>
  <c r="G31" i="21" s="1"/>
  <c r="E30" i="72"/>
  <c r="E31" i="21" s="1"/>
  <c r="F30" i="72"/>
  <c r="F31" i="21" s="1"/>
  <c r="V31" i="72"/>
  <c r="Z32" i="21" s="1"/>
  <c r="Z32" i="37" s="1"/>
  <c r="W31" i="72"/>
  <c r="AA32" i="21" s="1"/>
  <c r="AA32" i="37" s="1"/>
  <c r="T31" i="72"/>
  <c r="X32" i="21" s="1"/>
  <c r="X32" i="37" s="1"/>
  <c r="W30" i="72"/>
  <c r="AA31" i="21" s="1"/>
  <c r="AA31" i="37" s="1"/>
  <c r="U30" i="72"/>
  <c r="Y31" i="21" s="1"/>
  <c r="Y31" i="37" s="1"/>
  <c r="V30" i="72"/>
  <c r="Z31" i="21" s="1"/>
  <c r="Z31" i="37" s="1"/>
  <c r="T30" i="72"/>
  <c r="X31" i="21" s="1"/>
  <c r="X31" i="37" s="1"/>
  <c r="W29" i="72"/>
  <c r="AA30" i="21" s="1"/>
  <c r="AA30" i="37" s="1"/>
  <c r="V29" i="72"/>
  <c r="Z30" i="21" s="1"/>
  <c r="Z30" i="37" s="1"/>
  <c r="T29" i="72"/>
  <c r="X30" i="21" s="1"/>
  <c r="X30" i="37" s="1"/>
  <c r="U29" i="72"/>
  <c r="Y30" i="21" s="1"/>
  <c r="Y30" i="37" s="1"/>
  <c r="T28" i="72"/>
  <c r="X29" i="21" s="1"/>
  <c r="X29" i="37" s="1"/>
  <c r="W28" i="72"/>
  <c r="AA29" i="21" s="1"/>
  <c r="AA29" i="37" s="1"/>
  <c r="U28" i="72"/>
  <c r="Y29" i="21" s="1"/>
  <c r="Y29" i="37" s="1"/>
  <c r="T28" i="20" l="1"/>
  <c r="F30" i="37"/>
  <c r="R30" i="37" s="1"/>
  <c r="R30" i="21"/>
  <c r="D28" i="37"/>
  <c r="P28" i="37" s="1"/>
  <c r="P28" i="21"/>
  <c r="T28" i="37"/>
  <c r="U29" i="37"/>
  <c r="AG29" i="37" s="1"/>
  <c r="AG29" i="21"/>
  <c r="J26" i="72"/>
  <c r="J27" i="21" s="1"/>
  <c r="J27" i="37" s="1"/>
  <c r="K26" i="72"/>
  <c r="K27" i="21" s="1"/>
  <c r="K27" i="37" s="1"/>
  <c r="I26" i="72"/>
  <c r="I27" i="21" s="1"/>
  <c r="I27" i="37" s="1"/>
  <c r="H26" i="72"/>
  <c r="H27" i="21" s="1"/>
  <c r="H27" i="37" s="1"/>
  <c r="U32" i="37"/>
  <c r="V36" i="37"/>
  <c r="W35" i="37"/>
  <c r="G32" i="37"/>
  <c r="S32" i="37" s="1"/>
  <c r="S32" i="21"/>
  <c r="S29" i="21"/>
  <c r="G29" i="37"/>
  <c r="S29" i="37" s="1"/>
  <c r="D27" i="21"/>
  <c r="E26" i="72"/>
  <c r="E27" i="21" s="1"/>
  <c r="F26" i="72"/>
  <c r="F27" i="21" s="1"/>
  <c r="G26" i="72"/>
  <c r="G27" i="21" s="1"/>
  <c r="U28" i="37"/>
  <c r="V29" i="37"/>
  <c r="W36" i="37"/>
  <c r="T35" i="37"/>
  <c r="AJ33" i="72"/>
  <c r="BH34" i="21" s="1"/>
  <c r="BP34" i="21" s="1"/>
  <c r="AM33" i="72"/>
  <c r="BK34" i="21" s="1"/>
  <c r="BS34" i="21" s="1"/>
  <c r="AL33" i="72"/>
  <c r="BJ34" i="21" s="1"/>
  <c r="BR34" i="21" s="1"/>
  <c r="AK33" i="72"/>
  <c r="BI34" i="21" s="1"/>
  <c r="BQ34" i="21" s="1"/>
  <c r="D32" i="37"/>
  <c r="P32" i="37" s="1"/>
  <c r="P32" i="21"/>
  <c r="Q29" i="21"/>
  <c r="E29" i="37"/>
  <c r="Q29" i="37" s="1"/>
  <c r="AG31" i="21"/>
  <c r="U31" i="37"/>
  <c r="AG31" i="37" s="1"/>
  <c r="W28" i="37"/>
  <c r="W29" i="37"/>
  <c r="AI29" i="37" s="1"/>
  <c r="AI29" i="21"/>
  <c r="T36" i="37"/>
  <c r="U35" i="37"/>
  <c r="F32" i="37"/>
  <c r="R32" i="37" s="1"/>
  <c r="R32" i="21"/>
  <c r="P29" i="21"/>
  <c r="D29" i="37"/>
  <c r="P29" i="37" s="1"/>
  <c r="AH31" i="21"/>
  <c r="V31" i="37"/>
  <c r="AH31" i="37" s="1"/>
  <c r="P36" i="72"/>
  <c r="T37" i="21" s="1"/>
  <c r="Q36" i="72"/>
  <c r="U37" i="21" s="1"/>
  <c r="R36" i="72"/>
  <c r="V37" i="21" s="1"/>
  <c r="S36" i="72"/>
  <c r="W37" i="21" s="1"/>
  <c r="V34" i="37"/>
  <c r="W33" i="37"/>
  <c r="AK26" i="72"/>
  <c r="BI27" i="21" s="1"/>
  <c r="BQ27" i="21" s="1"/>
  <c r="AJ26" i="72"/>
  <c r="BH27" i="21" s="1"/>
  <c r="BP27" i="21" s="1"/>
  <c r="AL26" i="72"/>
  <c r="BJ27" i="21" s="1"/>
  <c r="BR27" i="21" s="1"/>
  <c r="AM26" i="72"/>
  <c r="BK27" i="21" s="1"/>
  <c r="BS27" i="21" s="1"/>
  <c r="T27" i="72"/>
  <c r="X28" i="21" s="1"/>
  <c r="X28" i="37" s="1"/>
  <c r="W27" i="72"/>
  <c r="AA28" i="21" s="1"/>
  <c r="AA28" i="37" s="1"/>
  <c r="U27" i="72"/>
  <c r="Y28" i="21" s="1"/>
  <c r="Y28" i="37" s="1"/>
  <c r="V27" i="72"/>
  <c r="Z28" i="21" s="1"/>
  <c r="Z28" i="37" s="1"/>
  <c r="F31" i="37"/>
  <c r="R31" i="37" s="1"/>
  <c r="R31" i="21"/>
  <c r="E32" i="37"/>
  <c r="Q32" i="37" s="1"/>
  <c r="Q32" i="21"/>
  <c r="F29" i="37"/>
  <c r="R29" i="37" s="1"/>
  <c r="R29" i="21"/>
  <c r="T31" i="37"/>
  <c r="AF31" i="37" s="1"/>
  <c r="AF31" i="21"/>
  <c r="AG30" i="21"/>
  <c r="U30" i="37"/>
  <c r="AG30" i="37" s="1"/>
  <c r="U34" i="37"/>
  <c r="U33" i="37"/>
  <c r="AB33" i="72"/>
  <c r="AJ34" i="21" s="1"/>
  <c r="AR34" i="21" s="1"/>
  <c r="AD33" i="72"/>
  <c r="AL34" i="21" s="1"/>
  <c r="AT34" i="21" s="1"/>
  <c r="AC33" i="72"/>
  <c r="AK34" i="21" s="1"/>
  <c r="AS34" i="21" s="1"/>
  <c r="AE33" i="72"/>
  <c r="AM34" i="21" s="1"/>
  <c r="AU34" i="21" s="1"/>
  <c r="V32" i="72"/>
  <c r="Z33" i="21" s="1"/>
  <c r="Z33" i="37" s="1"/>
  <c r="T32" i="72"/>
  <c r="X33" i="21" s="1"/>
  <c r="X33" i="37" s="1"/>
  <c r="W32" i="72"/>
  <c r="AA33" i="21" s="1"/>
  <c r="AA33" i="37" s="1"/>
  <c r="U32" i="72"/>
  <c r="Y33" i="21" s="1"/>
  <c r="Y33" i="37" s="1"/>
  <c r="G32" i="72"/>
  <c r="G33" i="21" s="1"/>
  <c r="D32" i="72"/>
  <c r="D33" i="21" s="1"/>
  <c r="E32" i="72"/>
  <c r="E33" i="21" s="1"/>
  <c r="F32" i="72"/>
  <c r="F33" i="21" s="1"/>
  <c r="E31" i="37"/>
  <c r="Q31" i="37" s="1"/>
  <c r="Q31" i="21"/>
  <c r="D30" i="37"/>
  <c r="P30" i="37" s="1"/>
  <c r="P30" i="21"/>
  <c r="S28" i="21"/>
  <c r="G28" i="37"/>
  <c r="S28" i="37" s="1"/>
  <c r="W31" i="37"/>
  <c r="AI31" i="37" s="1"/>
  <c r="AI31" i="21"/>
  <c r="AI30" i="21"/>
  <c r="W30" i="37"/>
  <c r="AI30" i="37" s="1"/>
  <c r="W32" i="37"/>
  <c r="AI32" i="37" s="1"/>
  <c r="AI32" i="21"/>
  <c r="AE27" i="72"/>
  <c r="AM28" i="21" s="1"/>
  <c r="AU28" i="21" s="1"/>
  <c r="AC27" i="72"/>
  <c r="AK28" i="21" s="1"/>
  <c r="AS28" i="21" s="1"/>
  <c r="AB27" i="72"/>
  <c r="AJ28" i="21" s="1"/>
  <c r="AR28" i="21" s="1"/>
  <c r="AD27" i="72"/>
  <c r="AL28" i="21" s="1"/>
  <c r="AT28" i="21" s="1"/>
  <c r="T34" i="37"/>
  <c r="V33" i="37"/>
  <c r="G31" i="37"/>
  <c r="S31" i="37" s="1"/>
  <c r="S31" i="21"/>
  <c r="G30" i="37"/>
  <c r="S30" i="37" s="1"/>
  <c r="S30" i="21"/>
  <c r="E28" i="37"/>
  <c r="Q28" i="37" s="1"/>
  <c r="Q28" i="21"/>
  <c r="P26" i="72"/>
  <c r="T27" i="21" s="1"/>
  <c r="Q26" i="72"/>
  <c r="U27" i="21" s="1"/>
  <c r="R26" i="72"/>
  <c r="V27" i="21" s="1"/>
  <c r="S26" i="72"/>
  <c r="W27" i="21" s="1"/>
  <c r="V30" i="37"/>
  <c r="AH30" i="37" s="1"/>
  <c r="AH30" i="21"/>
  <c r="AF32" i="21"/>
  <c r="T32" i="37"/>
  <c r="AF32" i="37" s="1"/>
  <c r="AG27" i="72"/>
  <c r="AW28" i="21" s="1"/>
  <c r="BE28" i="21" s="1"/>
  <c r="AH27" i="72"/>
  <c r="AX28" i="21" s="1"/>
  <c r="BF28" i="21" s="1"/>
  <c r="AF27" i="72"/>
  <c r="AV28" i="21" s="1"/>
  <c r="BD28" i="21" s="1"/>
  <c r="AI27" i="72"/>
  <c r="AY28" i="21" s="1"/>
  <c r="BG28" i="21" s="1"/>
  <c r="W34" i="37"/>
  <c r="T33" i="37"/>
  <c r="AF34" i="72"/>
  <c r="AV35" i="21" s="1"/>
  <c r="BD35" i="21" s="1"/>
  <c r="AG34" i="72"/>
  <c r="AW35" i="21" s="1"/>
  <c r="BE35" i="21" s="1"/>
  <c r="AH34" i="72"/>
  <c r="AX35" i="21" s="1"/>
  <c r="BF35" i="21" s="1"/>
  <c r="AI34" i="72"/>
  <c r="AY35" i="21" s="1"/>
  <c r="BG35" i="21" s="1"/>
  <c r="D31" i="37"/>
  <c r="P31" i="37" s="1"/>
  <c r="P31" i="21"/>
  <c r="E30" i="37"/>
  <c r="Q30" i="37" s="1"/>
  <c r="Q30" i="21"/>
  <c r="F28" i="37"/>
  <c r="R28" i="37" s="1"/>
  <c r="R28" i="21"/>
  <c r="V28" i="37"/>
  <c r="T29" i="37"/>
  <c r="AF29" i="37" s="1"/>
  <c r="AF29" i="21"/>
  <c r="T30" i="37"/>
  <c r="AF30" i="37" s="1"/>
  <c r="AF30" i="21"/>
  <c r="V32" i="37"/>
  <c r="AH32" i="37" s="1"/>
  <c r="AH32" i="21"/>
  <c r="U36" i="37"/>
  <c r="V35" i="37"/>
  <c r="H34" i="72"/>
  <c r="H35" i="21" s="1"/>
  <c r="H35" i="37" s="1"/>
  <c r="J34" i="72"/>
  <c r="J35" i="21" s="1"/>
  <c r="J35" i="37" s="1"/>
  <c r="I34" i="72"/>
  <c r="I35" i="21" s="1"/>
  <c r="I35" i="37" s="1"/>
  <c r="K34" i="72"/>
  <c r="K35" i="21" s="1"/>
  <c r="K35" i="37" s="1"/>
  <c r="AF28" i="37" l="1"/>
  <c r="AH28" i="21"/>
  <c r="AH33" i="21"/>
  <c r="AH33" i="37"/>
  <c r="AI28" i="37"/>
  <c r="AI33" i="21"/>
  <c r="AG33" i="37"/>
  <c r="AI28" i="21"/>
  <c r="AG26" i="72"/>
  <c r="AW27" i="21" s="1"/>
  <c r="BE27" i="21" s="1"/>
  <c r="AH26" i="72"/>
  <c r="AX27" i="21" s="1"/>
  <c r="BF27" i="21" s="1"/>
  <c r="AI26" i="72"/>
  <c r="AY27" i="21" s="1"/>
  <c r="BG27" i="21" s="1"/>
  <c r="AF26" i="72"/>
  <c r="AV27" i="21" s="1"/>
  <c r="BD27" i="21" s="1"/>
  <c r="N31" i="157"/>
  <c r="N31" i="155"/>
  <c r="O31" i="155"/>
  <c r="O31" i="157"/>
  <c r="V33" i="72"/>
  <c r="Z34" i="21" s="1"/>
  <c r="T33" i="72"/>
  <c r="X34" i="21" s="1"/>
  <c r="W33" i="72"/>
  <c r="AA34" i="21" s="1"/>
  <c r="U33" i="72"/>
  <c r="Y34" i="21" s="1"/>
  <c r="AH28" i="37"/>
  <c r="V37" i="37"/>
  <c r="Q33" i="155"/>
  <c r="Q33" i="157"/>
  <c r="P27" i="21"/>
  <c r="D27" i="37"/>
  <c r="P27" i="37" s="1"/>
  <c r="I35" i="72"/>
  <c r="I36" i="21" s="1"/>
  <c r="I36" i="37" s="1"/>
  <c r="K35" i="72"/>
  <c r="K36" i="21" s="1"/>
  <c r="K36" i="37" s="1"/>
  <c r="J35" i="72"/>
  <c r="J36" i="21" s="1"/>
  <c r="J36" i="37" s="1"/>
  <c r="H35" i="72"/>
  <c r="H36" i="21" s="1"/>
  <c r="H36" i="37" s="1"/>
  <c r="Q29" i="157"/>
  <c r="Q29" i="155"/>
  <c r="R31" i="157"/>
  <c r="R31" i="155"/>
  <c r="L32" i="157"/>
  <c r="L32" i="155"/>
  <c r="AG28" i="37"/>
  <c r="U37" i="37"/>
  <c r="R30" i="155"/>
  <c r="R30" i="157"/>
  <c r="L31" i="157"/>
  <c r="L31" i="155"/>
  <c r="W27" i="37"/>
  <c r="N32" i="155"/>
  <c r="N32" i="157"/>
  <c r="AE26" i="72"/>
  <c r="AM27" i="21" s="1"/>
  <c r="AU27" i="21" s="1"/>
  <c r="AD26" i="72"/>
  <c r="AL27" i="21" s="1"/>
  <c r="AT27" i="21" s="1"/>
  <c r="AB26" i="72"/>
  <c r="AJ27" i="21" s="1"/>
  <c r="AR27" i="21" s="1"/>
  <c r="AC26" i="72"/>
  <c r="AK27" i="21" s="1"/>
  <c r="AS27" i="21" s="1"/>
  <c r="P32" i="155"/>
  <c r="P32" i="157"/>
  <c r="AG33" i="21"/>
  <c r="M30" i="157"/>
  <c r="M30" i="155"/>
  <c r="AI33" i="37"/>
  <c r="T37" i="37"/>
  <c r="AG28" i="21"/>
  <c r="N30" i="157"/>
  <c r="N30" i="155"/>
  <c r="AF28" i="21"/>
  <c r="F33" i="37"/>
  <c r="R33" i="37" s="1"/>
  <c r="R33" i="21"/>
  <c r="P30" i="155"/>
  <c r="P30" i="157"/>
  <c r="N33" i="155"/>
  <c r="N33" i="157"/>
  <c r="P31" i="155"/>
  <c r="P31" i="157"/>
  <c r="K32" i="157"/>
  <c r="K32" i="155"/>
  <c r="AF33" i="21"/>
  <c r="U27" i="37"/>
  <c r="Q33" i="21"/>
  <c r="E33" i="37"/>
  <c r="Q33" i="37" s="1"/>
  <c r="L33" i="157"/>
  <c r="L33" i="155"/>
  <c r="U31" i="72"/>
  <c r="Y32" i="21" s="1"/>
  <c r="T26" i="72"/>
  <c r="X27" i="21" s="1"/>
  <c r="X27" i="37" s="1"/>
  <c r="W26" i="72"/>
  <c r="AA27" i="21" s="1"/>
  <c r="AA27" i="37" s="1"/>
  <c r="U26" i="72"/>
  <c r="Y27" i="21" s="1"/>
  <c r="Y27" i="37" s="1"/>
  <c r="V26" i="72"/>
  <c r="Z27" i="21" s="1"/>
  <c r="Z27" i="37" s="1"/>
  <c r="L30" i="155"/>
  <c r="L30" i="157"/>
  <c r="R33" i="155"/>
  <c r="R33" i="157"/>
  <c r="K29" i="155"/>
  <c r="K29" i="157"/>
  <c r="AI35" i="72"/>
  <c r="AY36" i="21" s="1"/>
  <c r="BG36" i="21" s="1"/>
  <c r="AF35" i="72"/>
  <c r="AV36" i="21" s="1"/>
  <c r="BD36" i="21" s="1"/>
  <c r="AH35" i="72"/>
  <c r="AX36" i="21" s="1"/>
  <c r="BF36" i="21" s="1"/>
  <c r="AG35" i="72"/>
  <c r="AW36" i="21" s="1"/>
  <c r="BE36" i="21" s="1"/>
  <c r="M29" i="157"/>
  <c r="M29" i="155"/>
  <c r="Q30" i="155"/>
  <c r="Q30" i="157"/>
  <c r="O32" i="157"/>
  <c r="O32" i="155"/>
  <c r="AF33" i="37"/>
  <c r="T27" i="37"/>
  <c r="R29" i="157"/>
  <c r="R29" i="155"/>
  <c r="D33" i="37"/>
  <c r="P33" i="37" s="1"/>
  <c r="P33" i="21"/>
  <c r="AC34" i="72"/>
  <c r="AK35" i="21" s="1"/>
  <c r="AS35" i="21" s="1"/>
  <c r="AE34" i="72"/>
  <c r="AM35" i="21" s="1"/>
  <c r="AU35" i="21" s="1"/>
  <c r="AB34" i="72"/>
  <c r="AJ35" i="21" s="1"/>
  <c r="AR35" i="21" s="1"/>
  <c r="AD34" i="72"/>
  <c r="AL35" i="21" s="1"/>
  <c r="AT35" i="21" s="1"/>
  <c r="P33" i="157"/>
  <c r="P33" i="155"/>
  <c r="O30" i="155"/>
  <c r="O30" i="157"/>
  <c r="K33" i="155"/>
  <c r="K33" i="157"/>
  <c r="S27" i="21"/>
  <c r="G27" i="37"/>
  <c r="S27" i="37" s="1"/>
  <c r="O29" i="157"/>
  <c r="O29" i="155"/>
  <c r="V27" i="37"/>
  <c r="R32" i="157"/>
  <c r="R32" i="155"/>
  <c r="L29" i="157"/>
  <c r="L29" i="155"/>
  <c r="N29" i="157"/>
  <c r="N29" i="155"/>
  <c r="G33" i="37"/>
  <c r="S33" i="37" s="1"/>
  <c r="S33" i="21"/>
  <c r="M32" i="157"/>
  <c r="M32" i="155"/>
  <c r="W37" i="37"/>
  <c r="K30" i="155"/>
  <c r="K30" i="157"/>
  <c r="O33" i="157"/>
  <c r="O33" i="155"/>
  <c r="R27" i="21"/>
  <c r="F27" i="37"/>
  <c r="R27" i="37" s="1"/>
  <c r="M31" i="155"/>
  <c r="M31" i="157"/>
  <c r="P29" i="157"/>
  <c r="P29" i="155"/>
  <c r="K31" i="157"/>
  <c r="K31" i="155"/>
  <c r="F33" i="72"/>
  <c r="F34" i="21" s="1"/>
  <c r="E33" i="72"/>
  <c r="E34" i="21" s="1"/>
  <c r="G33" i="72"/>
  <c r="G34" i="21" s="1"/>
  <c r="D33" i="72"/>
  <c r="D34" i="21" s="1"/>
  <c r="Q32" i="155"/>
  <c r="Q32" i="157"/>
  <c r="S37" i="72"/>
  <c r="W38" i="21" s="1"/>
  <c r="P37" i="72"/>
  <c r="T38" i="21" s="1"/>
  <c r="R37" i="72"/>
  <c r="V38" i="21" s="1"/>
  <c r="Q37" i="72"/>
  <c r="U38" i="21" s="1"/>
  <c r="M33" i="155"/>
  <c r="M33" i="157"/>
  <c r="AL34" i="72"/>
  <c r="BJ35" i="21" s="1"/>
  <c r="BR35" i="21" s="1"/>
  <c r="AK34" i="72"/>
  <c r="BI35" i="21" s="1"/>
  <c r="BQ35" i="21" s="1"/>
  <c r="AM34" i="72"/>
  <c r="BK35" i="21" s="1"/>
  <c r="BS35" i="21" s="1"/>
  <c r="AJ34" i="72"/>
  <c r="BH35" i="21" s="1"/>
  <c r="BP35" i="21" s="1"/>
  <c r="E27" i="37"/>
  <c r="Q27" i="37" s="1"/>
  <c r="Q27" i="21"/>
  <c r="Q31" i="155"/>
  <c r="Q31" i="157"/>
  <c r="AH27" i="21" l="1"/>
  <c r="BM31" i="157"/>
  <c r="BN32" i="155"/>
  <c r="BL31" i="155"/>
  <c r="BM31" i="155"/>
  <c r="AI27" i="37"/>
  <c r="AF27" i="21"/>
  <c r="BN32" i="157"/>
  <c r="BI32" i="155"/>
  <c r="BI30" i="157"/>
  <c r="AG27" i="21"/>
  <c r="BH31" i="155"/>
  <c r="BH31" i="157"/>
  <c r="BN30" i="157"/>
  <c r="AG31" i="155"/>
  <c r="AH31" i="155"/>
  <c r="BK31" i="155"/>
  <c r="AD31" i="155"/>
  <c r="AF31" i="155"/>
  <c r="AC31" i="155"/>
  <c r="AE31" i="155"/>
  <c r="AB31" i="155"/>
  <c r="BM32" i="155"/>
  <c r="AH33" i="157"/>
  <c r="AG33" i="157"/>
  <c r="AF33" i="157"/>
  <c r="AC33" i="157"/>
  <c r="AD33" i="157"/>
  <c r="AE33" i="157"/>
  <c r="AB33" i="157"/>
  <c r="R34" i="157"/>
  <c r="BN33" i="157" s="1"/>
  <c r="R34" i="155"/>
  <c r="BN33" i="155" s="1"/>
  <c r="Z33" i="157"/>
  <c r="V33" i="157"/>
  <c r="W33" i="157"/>
  <c r="X33" i="157"/>
  <c r="U33" i="157"/>
  <c r="Y33" i="157"/>
  <c r="AA33" i="157"/>
  <c r="AF27" i="37"/>
  <c r="BJ30" i="155"/>
  <c r="BJ32" i="157"/>
  <c r="BN30" i="155"/>
  <c r="BN31" i="155"/>
  <c r="BJ31" i="155"/>
  <c r="N34" i="157"/>
  <c r="BJ33" i="157" s="1"/>
  <c r="N34" i="155"/>
  <c r="BJ33" i="155" s="1"/>
  <c r="L28" i="155"/>
  <c r="BH28" i="155" s="1"/>
  <c r="L28" i="157"/>
  <c r="BH28" i="157" s="1"/>
  <c r="U33" i="155"/>
  <c r="X33" i="155"/>
  <c r="W33" i="155"/>
  <c r="V33" i="155"/>
  <c r="Y33" i="155"/>
  <c r="AA33" i="155"/>
  <c r="Z33" i="155"/>
  <c r="AI36" i="72"/>
  <c r="AY37" i="21" s="1"/>
  <c r="BG37" i="21" s="1"/>
  <c r="AG36" i="72"/>
  <c r="AW37" i="21" s="1"/>
  <c r="BE37" i="21" s="1"/>
  <c r="AH36" i="72"/>
  <c r="AX37" i="21" s="1"/>
  <c r="BF37" i="21" s="1"/>
  <c r="AF36" i="72"/>
  <c r="AV37" i="21" s="1"/>
  <c r="BD37" i="21" s="1"/>
  <c r="Y32" i="37"/>
  <c r="AG32" i="37" s="1"/>
  <c r="AG32" i="21"/>
  <c r="BL30" i="157"/>
  <c r="BJ30" i="157"/>
  <c r="BL32" i="157"/>
  <c r="BJ32" i="155"/>
  <c r="BN31" i="157"/>
  <c r="Y34" i="37"/>
  <c r="AG34" i="37" s="1"/>
  <c r="AG34" i="21"/>
  <c r="BJ31" i="157"/>
  <c r="AG33" i="155"/>
  <c r="AB33" i="155"/>
  <c r="AE33" i="155"/>
  <c r="AD33" i="155"/>
  <c r="AC33" i="155"/>
  <c r="AF33" i="155"/>
  <c r="AH33" i="155"/>
  <c r="W29" i="155"/>
  <c r="Z29" i="155"/>
  <c r="Y29" i="155"/>
  <c r="V29" i="155"/>
  <c r="AA29" i="155"/>
  <c r="X29" i="155"/>
  <c r="U29" i="155"/>
  <c r="D34" i="37"/>
  <c r="P34" i="37" s="1"/>
  <c r="P34" i="21"/>
  <c r="Z30" i="157"/>
  <c r="W30" i="157"/>
  <c r="AA30" i="157"/>
  <c r="X30" i="157"/>
  <c r="U30" i="157"/>
  <c r="Y30" i="157"/>
  <c r="V30" i="157"/>
  <c r="BG30" i="157"/>
  <c r="P28" i="157"/>
  <c r="BL28" i="157" s="1"/>
  <c r="P28" i="155"/>
  <c r="BL28" i="155" s="1"/>
  <c r="R38" i="72"/>
  <c r="V39" i="21" s="1"/>
  <c r="Q38" i="72"/>
  <c r="U39" i="21" s="1"/>
  <c r="S38" i="72"/>
  <c r="W39" i="21" s="1"/>
  <c r="P38" i="72"/>
  <c r="T39" i="21" s="1"/>
  <c r="S34" i="21"/>
  <c r="G34" i="37"/>
  <c r="S34" i="37" s="1"/>
  <c r="BI31" i="157"/>
  <c r="AA30" i="155"/>
  <c r="Z30" i="155"/>
  <c r="V30" i="155"/>
  <c r="X30" i="155"/>
  <c r="Y30" i="155"/>
  <c r="U30" i="155"/>
  <c r="W30" i="155"/>
  <c r="BG30" i="155"/>
  <c r="AG29" i="155"/>
  <c r="AC29" i="155"/>
  <c r="AB29" i="155"/>
  <c r="AE29" i="155"/>
  <c r="AD29" i="155"/>
  <c r="AH29" i="155"/>
  <c r="AF29" i="155"/>
  <c r="AD30" i="157"/>
  <c r="AF30" i="157"/>
  <c r="AB30" i="157"/>
  <c r="AE30" i="157"/>
  <c r="AC30" i="157"/>
  <c r="AH30" i="157"/>
  <c r="AG30" i="157"/>
  <c r="BK30" i="157"/>
  <c r="BH30" i="157"/>
  <c r="Y32" i="155"/>
  <c r="V32" i="155"/>
  <c r="W32" i="155"/>
  <c r="BG32" i="155"/>
  <c r="Z32" i="155"/>
  <c r="AA32" i="155"/>
  <c r="X32" i="155"/>
  <c r="U32" i="155"/>
  <c r="BL30" i="155"/>
  <c r="BL32" i="155"/>
  <c r="AI27" i="21"/>
  <c r="O28" i="157"/>
  <c r="BK29" i="157" s="1"/>
  <c r="O28" i="155"/>
  <c r="U34" i="72"/>
  <c r="Y35" i="21" s="1"/>
  <c r="V34" i="72"/>
  <c r="Z35" i="21" s="1"/>
  <c r="T34" i="72"/>
  <c r="X35" i="21" s="1"/>
  <c r="W34" i="72"/>
  <c r="AA35" i="21" s="1"/>
  <c r="BG31" i="157"/>
  <c r="Y31" i="157"/>
  <c r="V31" i="157"/>
  <c r="W31" i="157"/>
  <c r="U31" i="157"/>
  <c r="Z31" i="157"/>
  <c r="X31" i="157"/>
  <c r="AA31" i="157"/>
  <c r="U38" i="37"/>
  <c r="E34" i="37"/>
  <c r="Q34" i="37" s="1"/>
  <c r="Q34" i="21"/>
  <c r="BI31" i="155"/>
  <c r="AG29" i="157"/>
  <c r="AB29" i="157"/>
  <c r="AF29" i="157"/>
  <c r="AD29" i="157"/>
  <c r="AC29" i="157"/>
  <c r="AE29" i="157"/>
  <c r="AH29" i="157"/>
  <c r="AD30" i="155"/>
  <c r="AF30" i="155"/>
  <c r="AG30" i="155"/>
  <c r="AH30" i="155"/>
  <c r="AC30" i="155"/>
  <c r="AE30" i="155"/>
  <c r="AB30" i="155"/>
  <c r="BK30" i="155"/>
  <c r="AB32" i="155"/>
  <c r="AF32" i="155"/>
  <c r="AC32" i="155"/>
  <c r="AD32" i="155"/>
  <c r="AG32" i="155"/>
  <c r="BK32" i="155"/>
  <c r="AH32" i="155"/>
  <c r="AE32" i="155"/>
  <c r="BH30" i="155"/>
  <c r="W32" i="157"/>
  <c r="V32" i="157"/>
  <c r="X32" i="157"/>
  <c r="AA32" i="157"/>
  <c r="Y32" i="157"/>
  <c r="BG32" i="157"/>
  <c r="Z32" i="157"/>
  <c r="U32" i="157"/>
  <c r="K28" i="155"/>
  <c r="K28" i="157"/>
  <c r="BG29" i="157" s="1"/>
  <c r="AA34" i="37"/>
  <c r="AI34" i="37" s="1"/>
  <c r="AI34" i="21"/>
  <c r="AJ35" i="72"/>
  <c r="BH36" i="21" s="1"/>
  <c r="BP36" i="21" s="1"/>
  <c r="AK35" i="72"/>
  <c r="BI36" i="21" s="1"/>
  <c r="BQ36" i="21" s="1"/>
  <c r="AM35" i="72"/>
  <c r="BK36" i="21" s="1"/>
  <c r="BS36" i="21" s="1"/>
  <c r="AL35" i="72"/>
  <c r="BJ36" i="21" s="1"/>
  <c r="BR36" i="21" s="1"/>
  <c r="V38" i="37"/>
  <c r="E34" i="72"/>
  <c r="E35" i="21" s="1"/>
  <c r="F34" i="72"/>
  <c r="F35" i="21" s="1"/>
  <c r="G34" i="72"/>
  <c r="G35" i="21" s="1"/>
  <c r="D34" i="72"/>
  <c r="D35" i="21" s="1"/>
  <c r="Q28" i="155"/>
  <c r="BM28" i="155" s="1"/>
  <c r="Q28" i="157"/>
  <c r="BM28" i="157" s="1"/>
  <c r="K34" i="155"/>
  <c r="BG33" i="155" s="1"/>
  <c r="K34" i="157"/>
  <c r="AB32" i="157"/>
  <c r="AF32" i="157"/>
  <c r="AD32" i="157"/>
  <c r="AC32" i="157"/>
  <c r="BK32" i="157"/>
  <c r="AE32" i="157"/>
  <c r="AH32" i="157"/>
  <c r="AG32" i="157"/>
  <c r="V28" i="72"/>
  <c r="Z29" i="21" s="1"/>
  <c r="M34" i="157"/>
  <c r="M34" i="155"/>
  <c r="I36" i="72"/>
  <c r="I37" i="21" s="1"/>
  <c r="I37" i="37" s="1"/>
  <c r="H36" i="72"/>
  <c r="H37" i="21" s="1"/>
  <c r="H37" i="37" s="1"/>
  <c r="K36" i="72"/>
  <c r="K37" i="21" s="1"/>
  <c r="K37" i="37" s="1"/>
  <c r="J36" i="72"/>
  <c r="J37" i="21" s="1"/>
  <c r="J37" i="37" s="1"/>
  <c r="X34" i="37"/>
  <c r="AF34" i="37" s="1"/>
  <c r="AF34" i="21"/>
  <c r="BM32" i="157"/>
  <c r="R34" i="21"/>
  <c r="F34" i="37"/>
  <c r="R34" i="37" s="1"/>
  <c r="M28" i="155"/>
  <c r="BI28" i="155" s="1"/>
  <c r="M28" i="157"/>
  <c r="BI28" i="157" s="1"/>
  <c r="R28" i="157"/>
  <c r="BN28" i="157" s="1"/>
  <c r="R28" i="155"/>
  <c r="BN28" i="155" s="1"/>
  <c r="O34" i="157"/>
  <c r="O34" i="155"/>
  <c r="BK33" i="155" s="1"/>
  <c r="BM30" i="157"/>
  <c r="AH27" i="37"/>
  <c r="P34" i="155"/>
  <c r="P34" i="157"/>
  <c r="BL31" i="157"/>
  <c r="Q34" i="155"/>
  <c r="BM33" i="155" s="1"/>
  <c r="Q34" i="157"/>
  <c r="BM33" i="157" s="1"/>
  <c r="BH32" i="155"/>
  <c r="Z34" i="37"/>
  <c r="AH34" i="37" s="1"/>
  <c r="AH34" i="21"/>
  <c r="AB35" i="72"/>
  <c r="AJ36" i="21" s="1"/>
  <c r="AR36" i="21" s="1"/>
  <c r="AD35" i="72"/>
  <c r="AL36" i="21" s="1"/>
  <c r="AT36" i="21" s="1"/>
  <c r="AC35" i="72"/>
  <c r="AK36" i="21" s="1"/>
  <c r="AS36" i="21" s="1"/>
  <c r="AE35" i="72"/>
  <c r="AM36" i="21" s="1"/>
  <c r="AU36" i="21" s="1"/>
  <c r="T38" i="37"/>
  <c r="W38" i="37"/>
  <c r="Z31" i="155"/>
  <c r="AA31" i="155"/>
  <c r="W31" i="155"/>
  <c r="Y31" i="155"/>
  <c r="V31" i="155"/>
  <c r="BG31" i="155"/>
  <c r="X31" i="155"/>
  <c r="AM31" i="155" s="1"/>
  <c r="U31" i="155"/>
  <c r="BI32" i="157"/>
  <c r="N28" i="155"/>
  <c r="BJ28" i="155" s="1"/>
  <c r="N28" i="157"/>
  <c r="BJ28" i="157" s="1"/>
  <c r="BM30" i="155"/>
  <c r="X29" i="157"/>
  <c r="AA29" i="157"/>
  <c r="Y29" i="157"/>
  <c r="W29" i="157"/>
  <c r="V29" i="157"/>
  <c r="Z29" i="157"/>
  <c r="U29" i="157"/>
  <c r="AG27" i="37"/>
  <c r="L34" i="157"/>
  <c r="L34" i="155"/>
  <c r="BI30" i="155"/>
  <c r="BH32" i="157"/>
  <c r="AE31" i="157"/>
  <c r="AH31" i="157"/>
  <c r="AD31" i="157"/>
  <c r="AF31" i="157"/>
  <c r="AC31" i="157"/>
  <c r="AB31" i="157"/>
  <c r="AG31" i="157"/>
  <c r="BK31" i="157"/>
  <c r="AJ31" i="155" l="1"/>
  <c r="AK29" i="157"/>
  <c r="AN31" i="155"/>
  <c r="AK31" i="155"/>
  <c r="AO31" i="155"/>
  <c r="AP31" i="155"/>
  <c r="AM29" i="157"/>
  <c r="AP29" i="157"/>
  <c r="AL29" i="157"/>
  <c r="AO29" i="157"/>
  <c r="BH29" i="155"/>
  <c r="AO33" i="157"/>
  <c r="AN29" i="157"/>
  <c r="AL31" i="155"/>
  <c r="BP31" i="157"/>
  <c r="AP33" i="157"/>
  <c r="BH29" i="157"/>
  <c r="BO31" i="155"/>
  <c r="AL33" i="157"/>
  <c r="AK33" i="157"/>
  <c r="AJ29" i="157"/>
  <c r="BN29" i="155"/>
  <c r="BO31" i="157"/>
  <c r="BQ31" i="157" s="1"/>
  <c r="AM32" i="157"/>
  <c r="AM29" i="155"/>
  <c r="AJ33" i="157"/>
  <c r="AM33" i="157"/>
  <c r="AL30" i="155"/>
  <c r="BP32" i="155"/>
  <c r="AK30" i="157"/>
  <c r="AO33" i="155"/>
  <c r="W28" i="157"/>
  <c r="X28" i="157"/>
  <c r="AA28" i="157"/>
  <c r="Z28" i="157"/>
  <c r="Y28" i="157"/>
  <c r="V28" i="157"/>
  <c r="U28" i="157"/>
  <c r="BG28" i="157"/>
  <c r="BO28" i="157" s="1"/>
  <c r="AP32" i="157"/>
  <c r="L35" i="155"/>
  <c r="BH34" i="155" s="1"/>
  <c r="L35" i="157"/>
  <c r="BH34" i="157" s="1"/>
  <c r="AJ31" i="157"/>
  <c r="Z35" i="37"/>
  <c r="AH35" i="37" s="1"/>
  <c r="AH35" i="21"/>
  <c r="AJ32" i="155"/>
  <c r="BH33" i="155"/>
  <c r="AK30" i="155"/>
  <c r="W39" i="37"/>
  <c r="AJ30" i="157"/>
  <c r="AJ29" i="155"/>
  <c r="BJ29" i="155"/>
  <c r="BN29" i="157"/>
  <c r="Z28" i="155"/>
  <c r="W28" i="155"/>
  <c r="Y28" i="155"/>
  <c r="U28" i="155"/>
  <c r="V28" i="155"/>
  <c r="X28" i="155"/>
  <c r="AA28" i="155"/>
  <c r="BG28" i="155"/>
  <c r="BO28" i="155" s="1"/>
  <c r="P35" i="157"/>
  <c r="P35" i="155"/>
  <c r="BL34" i="155" s="1"/>
  <c r="AL31" i="157"/>
  <c r="Y35" i="37"/>
  <c r="AG35" i="37" s="1"/>
  <c r="AG35" i="21"/>
  <c r="AM32" i="155"/>
  <c r="AO30" i="155"/>
  <c r="U39" i="37"/>
  <c r="AM30" i="157"/>
  <c r="BL29" i="157"/>
  <c r="J37" i="72"/>
  <c r="J38" i="21" s="1"/>
  <c r="J38" i="37" s="1"/>
  <c r="I37" i="72"/>
  <c r="I38" i="21" s="1"/>
  <c r="I38" i="37" s="1"/>
  <c r="K37" i="72"/>
  <c r="K38" i="21" s="1"/>
  <c r="K38" i="37" s="1"/>
  <c r="H37" i="72"/>
  <c r="H38" i="21" s="1"/>
  <c r="H38" i="37" s="1"/>
  <c r="D35" i="37"/>
  <c r="P35" i="37" s="1"/>
  <c r="P35" i="21"/>
  <c r="BM29" i="157"/>
  <c r="AK32" i="157"/>
  <c r="AK31" i="157"/>
  <c r="AH28" i="155"/>
  <c r="AD28" i="155"/>
  <c r="AE28" i="155"/>
  <c r="AF28" i="155"/>
  <c r="AG28" i="155"/>
  <c r="AC28" i="155"/>
  <c r="AB28" i="155"/>
  <c r="BK28" i="155"/>
  <c r="BP28" i="155" s="1"/>
  <c r="AP32" i="155"/>
  <c r="BP30" i="157"/>
  <c r="BJ29" i="157"/>
  <c r="AP30" i="155"/>
  <c r="V39" i="37"/>
  <c r="AP30" i="157"/>
  <c r="AP29" i="155"/>
  <c r="AP33" i="155"/>
  <c r="BI33" i="155"/>
  <c r="Z29" i="37"/>
  <c r="AH29" i="37" s="1"/>
  <c r="AH29" i="21"/>
  <c r="G35" i="37"/>
  <c r="S35" i="37" s="1"/>
  <c r="S35" i="21"/>
  <c r="AK36" i="72"/>
  <c r="BI37" i="21" s="1"/>
  <c r="BQ37" i="21" s="1"/>
  <c r="AJ36" i="72"/>
  <c r="BH37" i="21" s="1"/>
  <c r="BP37" i="21" s="1"/>
  <c r="AL36" i="72"/>
  <c r="BJ37" i="21" s="1"/>
  <c r="BR37" i="21" s="1"/>
  <c r="AM36" i="72"/>
  <c r="BK37" i="21" s="1"/>
  <c r="BS37" i="21" s="1"/>
  <c r="AL32" i="157"/>
  <c r="AN31" i="157"/>
  <c r="AH28" i="157"/>
  <c r="AD28" i="157"/>
  <c r="AF28" i="157"/>
  <c r="AC28" i="157"/>
  <c r="AE28" i="157"/>
  <c r="AG28" i="157"/>
  <c r="AB28" i="157"/>
  <c r="BK28" i="157"/>
  <c r="BP28" i="157" s="1"/>
  <c r="AO32" i="155"/>
  <c r="BO30" i="155"/>
  <c r="AL30" i="157"/>
  <c r="BG29" i="155"/>
  <c r="AN33" i="155"/>
  <c r="BI29" i="157"/>
  <c r="Q35" i="157"/>
  <c r="BM34" i="157" s="1"/>
  <c r="Q35" i="155"/>
  <c r="BM34" i="155" s="1"/>
  <c r="Z34" i="157"/>
  <c r="V34" i="157"/>
  <c r="Y34" i="157"/>
  <c r="AA34" i="157"/>
  <c r="W34" i="157"/>
  <c r="X34" i="157"/>
  <c r="U34" i="157"/>
  <c r="F35" i="72"/>
  <c r="F36" i="21" s="1"/>
  <c r="E35" i="72"/>
  <c r="E36" i="21" s="1"/>
  <c r="G35" i="72"/>
  <c r="G36" i="21" s="1"/>
  <c r="D35" i="72"/>
  <c r="D36" i="21" s="1"/>
  <c r="AJ32" i="157"/>
  <c r="BH33" i="157"/>
  <c r="BI29" i="155"/>
  <c r="BM29" i="155"/>
  <c r="BO32" i="155"/>
  <c r="R35" i="155"/>
  <c r="BN34" i="155" s="1"/>
  <c r="R35" i="157"/>
  <c r="BN34" i="157" s="1"/>
  <c r="AO30" i="157"/>
  <c r="AK29" i="155"/>
  <c r="AK33" i="155"/>
  <c r="BG33" i="157"/>
  <c r="BP31" i="155"/>
  <c r="BL33" i="157"/>
  <c r="AG34" i="155"/>
  <c r="AD34" i="155"/>
  <c r="AB34" i="155"/>
  <c r="AE34" i="155"/>
  <c r="AC34" i="155"/>
  <c r="AF34" i="155"/>
  <c r="AH34" i="155"/>
  <c r="M35" i="157"/>
  <c r="M35" i="155"/>
  <c r="U34" i="155"/>
  <c r="W34" i="155"/>
  <c r="Y34" i="155"/>
  <c r="X34" i="155"/>
  <c r="V34" i="155"/>
  <c r="Z34" i="155"/>
  <c r="AA34" i="155"/>
  <c r="R35" i="21"/>
  <c r="F35" i="37"/>
  <c r="R35" i="37" s="1"/>
  <c r="AO32" i="157"/>
  <c r="AP31" i="157"/>
  <c r="U35" i="72"/>
  <c r="Y36" i="21" s="1"/>
  <c r="W35" i="72"/>
  <c r="AA36" i="21" s="1"/>
  <c r="V35" i="72"/>
  <c r="Z36" i="21" s="1"/>
  <c r="T35" i="72"/>
  <c r="X36" i="21" s="1"/>
  <c r="AL32" i="155"/>
  <c r="AJ30" i="155"/>
  <c r="N35" i="155"/>
  <c r="N35" i="157"/>
  <c r="BO30" i="157"/>
  <c r="K35" i="155"/>
  <c r="K35" i="157"/>
  <c r="AN29" i="155"/>
  <c r="AF37" i="72"/>
  <c r="AV38" i="21" s="1"/>
  <c r="BD38" i="21" s="1"/>
  <c r="AH37" i="72"/>
  <c r="AX38" i="21" s="1"/>
  <c r="BF38" i="21" s="1"/>
  <c r="AI37" i="72"/>
  <c r="AY38" i="21" s="1"/>
  <c r="BG38" i="21" s="1"/>
  <c r="AG37" i="72"/>
  <c r="AW38" i="21" s="1"/>
  <c r="BE38" i="21" s="1"/>
  <c r="AL33" i="155"/>
  <c r="BL29" i="155"/>
  <c r="AG34" i="157"/>
  <c r="AB34" i="157"/>
  <c r="AH34" i="157"/>
  <c r="AC34" i="157"/>
  <c r="AD34" i="157"/>
  <c r="AE34" i="157"/>
  <c r="AF34" i="157"/>
  <c r="Q35" i="21"/>
  <c r="E35" i="37"/>
  <c r="Q35" i="37" s="1"/>
  <c r="BO32" i="157"/>
  <c r="BP30" i="155"/>
  <c r="AM31" i="157"/>
  <c r="AA35" i="37"/>
  <c r="AI35" i="37" s="1"/>
  <c r="AI35" i="21"/>
  <c r="AK32" i="155"/>
  <c r="AN30" i="155"/>
  <c r="Q39" i="72"/>
  <c r="U40" i="21" s="1"/>
  <c r="R39" i="72"/>
  <c r="V40" i="21" s="1"/>
  <c r="S39" i="72"/>
  <c r="W40" i="21" s="1"/>
  <c r="P39" i="72"/>
  <c r="T40" i="21" s="1"/>
  <c r="O35" i="157"/>
  <c r="BK34" i="157" s="1"/>
  <c r="O35" i="155"/>
  <c r="AO29" i="155"/>
  <c r="AM33" i="155"/>
  <c r="BI33" i="157"/>
  <c r="AN33" i="157"/>
  <c r="BK33" i="157"/>
  <c r="AB36" i="72"/>
  <c r="AJ37" i="21" s="1"/>
  <c r="AR37" i="21" s="1"/>
  <c r="AE36" i="72"/>
  <c r="AM37" i="21" s="1"/>
  <c r="AU37" i="21" s="1"/>
  <c r="AD36" i="72"/>
  <c r="AL37" i="21" s="1"/>
  <c r="AT37" i="21" s="1"/>
  <c r="AC36" i="72"/>
  <c r="AK37" i="21" s="1"/>
  <c r="AS37" i="21" s="1"/>
  <c r="BL33" i="155"/>
  <c r="BP33" i="155" s="1"/>
  <c r="BP32" i="157"/>
  <c r="AN32" i="157"/>
  <c r="AO31" i="157"/>
  <c r="X35" i="37"/>
  <c r="AF35" i="37" s="1"/>
  <c r="AF35" i="21"/>
  <c r="AN32" i="155"/>
  <c r="BK29" i="155"/>
  <c r="AM30" i="155"/>
  <c r="T39" i="37"/>
  <c r="AN30" i="157"/>
  <c r="AL29" i="155"/>
  <c r="AJ33" i="155"/>
  <c r="BQ30" i="157" l="1"/>
  <c r="BP29" i="157"/>
  <c r="BQ31" i="155"/>
  <c r="BP33" i="157"/>
  <c r="AJ34" i="155"/>
  <c r="BQ32" i="155"/>
  <c r="BO29" i="157"/>
  <c r="AM34" i="155"/>
  <c r="BQ32" i="157"/>
  <c r="AM28" i="155"/>
  <c r="AY28" i="155" s="1"/>
  <c r="AA27" i="135" s="1"/>
  <c r="BO33" i="155"/>
  <c r="BQ33" i="155" s="1"/>
  <c r="AP34" i="155"/>
  <c r="AK34" i="155"/>
  <c r="W40" i="37"/>
  <c r="X35" i="157"/>
  <c r="U35" i="157"/>
  <c r="AA35" i="157"/>
  <c r="V35" i="157"/>
  <c r="Y35" i="157"/>
  <c r="Z35" i="157"/>
  <c r="W35" i="157"/>
  <c r="X36" i="37"/>
  <c r="AF36" i="37" s="1"/>
  <c r="AF36" i="21"/>
  <c r="S36" i="21"/>
  <c r="G36" i="37"/>
  <c r="S36" i="37" s="1"/>
  <c r="AN34" i="157"/>
  <c r="N36" i="157"/>
  <c r="BJ35" i="157" s="1"/>
  <c r="N36" i="155"/>
  <c r="BJ35" i="155" s="1"/>
  <c r="AL28" i="157"/>
  <c r="AX32" i="157" s="1"/>
  <c r="F31" i="135" s="1"/>
  <c r="V40" i="37"/>
  <c r="X35" i="155"/>
  <c r="W35" i="155"/>
  <c r="V35" i="155"/>
  <c r="Z35" i="155"/>
  <c r="U35" i="155"/>
  <c r="Y35" i="155"/>
  <c r="AA35" i="155"/>
  <c r="Z36" i="37"/>
  <c r="AH36" i="37" s="1"/>
  <c r="AH36" i="21"/>
  <c r="BG34" i="155"/>
  <c r="E36" i="37"/>
  <c r="Q36" i="37" s="1"/>
  <c r="Q36" i="21"/>
  <c r="BG34" i="157"/>
  <c r="R36" i="157"/>
  <c r="BN35" i="157" s="1"/>
  <c r="R36" i="155"/>
  <c r="BN35" i="155" s="1"/>
  <c r="AK28" i="155"/>
  <c r="AW28" i="155" s="1"/>
  <c r="Y27" i="135" s="1"/>
  <c r="AG27" i="135" s="1"/>
  <c r="BQ28" i="157"/>
  <c r="U40" i="37"/>
  <c r="P36" i="155"/>
  <c r="BL35" i="155" s="1"/>
  <c r="P36" i="157"/>
  <c r="BL35" i="157" s="1"/>
  <c r="AI38" i="72"/>
  <c r="AY39" i="21" s="1"/>
  <c r="BG39" i="21" s="1"/>
  <c r="AG38" i="72"/>
  <c r="AW39" i="21" s="1"/>
  <c r="BE39" i="21" s="1"/>
  <c r="AF38" i="72"/>
  <c r="AV39" i="21" s="1"/>
  <c r="BD39" i="21" s="1"/>
  <c r="AH38" i="72"/>
  <c r="AX39" i="21" s="1"/>
  <c r="BF39" i="21" s="1"/>
  <c r="AA36" i="37"/>
  <c r="AI36" i="37" s="1"/>
  <c r="AI36" i="21"/>
  <c r="AO34" i="155"/>
  <c r="BO33" i="157"/>
  <c r="F36" i="72"/>
  <c r="F37" i="21" s="1"/>
  <c r="G36" i="72"/>
  <c r="G37" i="21" s="1"/>
  <c r="D36" i="72"/>
  <c r="D37" i="21" s="1"/>
  <c r="E36" i="72"/>
  <c r="E37" i="21" s="1"/>
  <c r="AK34" i="157"/>
  <c r="AJ28" i="155"/>
  <c r="AV29" i="155" s="1"/>
  <c r="X28" i="135" s="1"/>
  <c r="AJ28" i="157"/>
  <c r="AV31" i="157" s="1"/>
  <c r="D30" i="135" s="1"/>
  <c r="BI34" i="155"/>
  <c r="Y36" i="37"/>
  <c r="AG36" i="37" s="1"/>
  <c r="AG36" i="21"/>
  <c r="F36" i="37"/>
  <c r="R36" i="37" s="1"/>
  <c r="R36" i="21"/>
  <c r="AO34" i="157"/>
  <c r="AK37" i="72"/>
  <c r="BI38" i="21" s="1"/>
  <c r="BQ38" i="21" s="1"/>
  <c r="AM37" i="72"/>
  <c r="BK38" i="21" s="1"/>
  <c r="BS38" i="21" s="1"/>
  <c r="AL37" i="72"/>
  <c r="BJ38" i="21" s="1"/>
  <c r="BR38" i="21" s="1"/>
  <c r="AJ37" i="72"/>
  <c r="BH38" i="21" s="1"/>
  <c r="BP38" i="21" s="1"/>
  <c r="AN28" i="155"/>
  <c r="AK28" i="157"/>
  <c r="AW31" i="157" s="1"/>
  <c r="E30" i="135" s="1"/>
  <c r="M30" i="135" s="1"/>
  <c r="AG35" i="155"/>
  <c r="AF35" i="155"/>
  <c r="AE35" i="155"/>
  <c r="AC35" i="155"/>
  <c r="AB35" i="155"/>
  <c r="AD35" i="155"/>
  <c r="AH35" i="155"/>
  <c r="AJ34" i="157"/>
  <c r="BO29" i="155"/>
  <c r="AL28" i="155"/>
  <c r="AN28" i="157"/>
  <c r="AG35" i="157"/>
  <c r="AF35" i="157"/>
  <c r="AH35" i="157"/>
  <c r="AB35" i="157"/>
  <c r="AE35" i="157"/>
  <c r="AC35" i="157"/>
  <c r="AD35" i="157"/>
  <c r="AN34" i="155"/>
  <c r="BK34" i="155"/>
  <c r="BP34" i="155" s="1"/>
  <c r="AM34" i="157"/>
  <c r="K36" i="157"/>
  <c r="K36" i="155"/>
  <c r="BG35" i="155" s="1"/>
  <c r="AO28" i="155"/>
  <c r="AZ28" i="155" s="1"/>
  <c r="AO28" i="157"/>
  <c r="AZ31" i="157" s="1"/>
  <c r="L36" i="155"/>
  <c r="BH35" i="155" s="1"/>
  <c r="L36" i="157"/>
  <c r="S40" i="72"/>
  <c r="W41" i="21" s="1"/>
  <c r="Q40" i="72"/>
  <c r="U41" i="21" s="1"/>
  <c r="R40" i="72"/>
  <c r="V41" i="21" s="1"/>
  <c r="P40" i="72"/>
  <c r="T41" i="21" s="1"/>
  <c r="Q36" i="155"/>
  <c r="Q36" i="157"/>
  <c r="AL34" i="155"/>
  <c r="AL34" i="157"/>
  <c r="BQ30" i="155"/>
  <c r="O36" i="157"/>
  <c r="O36" i="155"/>
  <c r="BQ28" i="155"/>
  <c r="E29" i="98" s="1"/>
  <c r="E28" i="31" s="1"/>
  <c r="BI34" i="157"/>
  <c r="AP28" i="157"/>
  <c r="BD28" i="157" s="1"/>
  <c r="K27" i="135" s="1"/>
  <c r="AE37" i="72"/>
  <c r="AM38" i="21" s="1"/>
  <c r="AU38" i="21" s="1"/>
  <c r="AD37" i="72"/>
  <c r="AL38" i="21" s="1"/>
  <c r="AT38" i="21" s="1"/>
  <c r="AB37" i="72"/>
  <c r="AJ38" i="21" s="1"/>
  <c r="AR38" i="21" s="1"/>
  <c r="AC37" i="72"/>
  <c r="AK38" i="21" s="1"/>
  <c r="AS38" i="21" s="1"/>
  <c r="BP29" i="155"/>
  <c r="T40" i="37"/>
  <c r="T36" i="72"/>
  <c r="X37" i="21" s="1"/>
  <c r="U36" i="72"/>
  <c r="Y37" i="21" s="1"/>
  <c r="W36" i="72"/>
  <c r="AA37" i="21" s="1"/>
  <c r="V36" i="72"/>
  <c r="Z37" i="21" s="1"/>
  <c r="M36" i="155"/>
  <c r="M36" i="157"/>
  <c r="P36" i="21"/>
  <c r="D36" i="37"/>
  <c r="P36" i="37" s="1"/>
  <c r="AP34" i="157"/>
  <c r="BJ34" i="157"/>
  <c r="I38" i="72"/>
  <c r="I39" i="21" s="1"/>
  <c r="I39" i="37" s="1"/>
  <c r="J38" i="72"/>
  <c r="J39" i="21" s="1"/>
  <c r="J39" i="37" s="1"/>
  <c r="H38" i="72"/>
  <c r="H39" i="21" s="1"/>
  <c r="H39" i="37" s="1"/>
  <c r="K38" i="72"/>
  <c r="K39" i="21" s="1"/>
  <c r="K39" i="37" s="1"/>
  <c r="BJ34" i="155"/>
  <c r="AY32" i="155"/>
  <c r="AA31" i="135" s="1"/>
  <c r="AP28" i="155"/>
  <c r="BL34" i="157"/>
  <c r="BP34" i="157" s="1"/>
  <c r="AM28" i="157"/>
  <c r="AY31" i="157" s="1"/>
  <c r="G30" i="135" s="1"/>
  <c r="AX30" i="157" l="1"/>
  <c r="F29" i="135" s="1"/>
  <c r="O29" i="135" s="1"/>
  <c r="BQ29" i="157"/>
  <c r="AY29" i="155"/>
  <c r="AA28" i="135" s="1"/>
  <c r="BQ33" i="157"/>
  <c r="AX31" i="157"/>
  <c r="F30" i="135" s="1"/>
  <c r="Q30" i="135" s="1"/>
  <c r="AW29" i="155"/>
  <c r="Y28" i="135" s="1"/>
  <c r="AG28" i="135" s="1"/>
  <c r="BB33" i="157"/>
  <c r="I32" i="135" s="1"/>
  <c r="BC29" i="155"/>
  <c r="AD28" i="135" s="1"/>
  <c r="AM28" i="135" s="1"/>
  <c r="BA29" i="155"/>
  <c r="AB28" i="135" s="1"/>
  <c r="AX33" i="155"/>
  <c r="Z32" i="135" s="1"/>
  <c r="AF32" i="135" s="1"/>
  <c r="AY31" i="155"/>
  <c r="AA30" i="135" s="1"/>
  <c r="AW31" i="155"/>
  <c r="Y30" i="135" s="1"/>
  <c r="AG30" i="135" s="1"/>
  <c r="AW32" i="155"/>
  <c r="Y31" i="135" s="1"/>
  <c r="AG31" i="135" s="1"/>
  <c r="AZ30" i="155"/>
  <c r="BC32" i="157"/>
  <c r="J31" i="135" s="1"/>
  <c r="S31" i="135" s="1"/>
  <c r="BA30" i="155"/>
  <c r="AB29" i="135" s="1"/>
  <c r="BA33" i="157"/>
  <c r="H32" i="135" s="1"/>
  <c r="BB29" i="157"/>
  <c r="I28" i="135" s="1"/>
  <c r="BC30" i="157"/>
  <c r="J29" i="135" s="1"/>
  <c r="P29" i="135" s="1"/>
  <c r="AV32" i="157"/>
  <c r="D31" i="135" s="1"/>
  <c r="BB30" i="157"/>
  <c r="I29" i="135" s="1"/>
  <c r="BB29" i="155"/>
  <c r="AC28" i="135" s="1"/>
  <c r="AV30" i="157"/>
  <c r="D29" i="135" s="1"/>
  <c r="BC33" i="157"/>
  <c r="J32" i="135" s="1"/>
  <c r="P32" i="135" s="1"/>
  <c r="BB30" i="155"/>
  <c r="AC29" i="135" s="1"/>
  <c r="AW33" i="155"/>
  <c r="Y32" i="135" s="1"/>
  <c r="AG32" i="135" s="1"/>
  <c r="BC32" i="155"/>
  <c r="AD31" i="135" s="1"/>
  <c r="AM31" i="135" s="1"/>
  <c r="AZ32" i="155"/>
  <c r="AY33" i="155"/>
  <c r="AA32" i="135" s="1"/>
  <c r="BB32" i="155"/>
  <c r="AC31" i="135" s="1"/>
  <c r="BA30" i="157"/>
  <c r="H29" i="135" s="1"/>
  <c r="BC33" i="155"/>
  <c r="AD32" i="135" s="1"/>
  <c r="AJ32" i="135" s="1"/>
  <c r="BB32" i="157"/>
  <c r="I31" i="135" s="1"/>
  <c r="AY30" i="155"/>
  <c r="AA29" i="135" s="1"/>
  <c r="BA32" i="155"/>
  <c r="AB31" i="135" s="1"/>
  <c r="BA33" i="155"/>
  <c r="AB32" i="135" s="1"/>
  <c r="AV30" i="155"/>
  <c r="X29" i="135" s="1"/>
  <c r="AW32" i="157"/>
  <c r="E31" i="135" s="1"/>
  <c r="M31" i="135" s="1"/>
  <c r="BB33" i="155"/>
  <c r="AC32" i="135" s="1"/>
  <c r="AV33" i="155"/>
  <c r="X32" i="135" s="1"/>
  <c r="BA31" i="157"/>
  <c r="H30" i="135" s="1"/>
  <c r="BC30" i="155"/>
  <c r="AD29" i="135" s="1"/>
  <c r="AH29" i="135" s="1"/>
  <c r="U41" i="37"/>
  <c r="V36" i="157"/>
  <c r="Z36" i="157"/>
  <c r="X36" i="157"/>
  <c r="AA36" i="157"/>
  <c r="Y36" i="157"/>
  <c r="U36" i="157"/>
  <c r="W36" i="157"/>
  <c r="BD29" i="157"/>
  <c r="K28" i="135" s="1"/>
  <c r="AV33" i="157"/>
  <c r="D32" i="135" s="1"/>
  <c r="BB31" i="155"/>
  <c r="AC30" i="135" s="1"/>
  <c r="AV28" i="155"/>
  <c r="X27" i="135" s="1"/>
  <c r="AV31" i="155"/>
  <c r="X30" i="135" s="1"/>
  <c r="Q37" i="21"/>
  <c r="E37" i="37"/>
  <c r="Q37" i="37" s="1"/>
  <c r="AP35" i="155"/>
  <c r="AJ35" i="157"/>
  <c r="AV34" i="157" s="1"/>
  <c r="D33" i="135" s="1"/>
  <c r="W41" i="37"/>
  <c r="AZ28" i="157"/>
  <c r="AZ29" i="157"/>
  <c r="BA28" i="157"/>
  <c r="H27" i="135" s="1"/>
  <c r="BC28" i="157"/>
  <c r="J27" i="135" s="1"/>
  <c r="BB28" i="157"/>
  <c r="I27" i="135" s="1"/>
  <c r="BC29" i="157"/>
  <c r="J28" i="135" s="1"/>
  <c r="BA29" i="157"/>
  <c r="H28" i="135" s="1"/>
  <c r="AY30" i="157"/>
  <c r="G29" i="135" s="1"/>
  <c r="D37" i="37"/>
  <c r="P37" i="37" s="1"/>
  <c r="P37" i="21"/>
  <c r="AF39" i="72"/>
  <c r="AV40" i="21" s="1"/>
  <c r="BD40" i="21" s="1"/>
  <c r="AH39" i="72"/>
  <c r="AX40" i="21" s="1"/>
  <c r="BF40" i="21" s="1"/>
  <c r="AG39" i="72"/>
  <c r="AW40" i="21" s="1"/>
  <c r="BE40" i="21" s="1"/>
  <c r="AI39" i="72"/>
  <c r="AY40" i="21" s="1"/>
  <c r="BG40" i="21" s="1"/>
  <c r="BO34" i="157"/>
  <c r="BQ34" i="157" s="1"/>
  <c r="AN35" i="155"/>
  <c r="BB31" i="157"/>
  <c r="I30" i="135" s="1"/>
  <c r="AM35" i="157"/>
  <c r="AY34" i="157" s="1"/>
  <c r="G33" i="135" s="1"/>
  <c r="AB36" i="155"/>
  <c r="AG36" i="155"/>
  <c r="AH36" i="155"/>
  <c r="AC36" i="155"/>
  <c r="AE36" i="155"/>
  <c r="AF36" i="155"/>
  <c r="AD36" i="155"/>
  <c r="BM35" i="157"/>
  <c r="S37" i="21"/>
  <c r="G37" i="37"/>
  <c r="S37" i="37" s="1"/>
  <c r="AZ29" i="155"/>
  <c r="L37" i="155"/>
  <c r="BH36" i="155" s="1"/>
  <c r="L37" i="157"/>
  <c r="BH36" i="157" s="1"/>
  <c r="AJ35" i="155"/>
  <c r="BC31" i="157"/>
  <c r="J30" i="135" s="1"/>
  <c r="BG35" i="157"/>
  <c r="X37" i="37"/>
  <c r="AF37" i="37" s="1"/>
  <c r="AF37" i="21"/>
  <c r="T37" i="72"/>
  <c r="X38" i="21" s="1"/>
  <c r="W37" i="72"/>
  <c r="AA38" i="21" s="1"/>
  <c r="V37" i="72"/>
  <c r="Z38" i="21" s="1"/>
  <c r="U37" i="72"/>
  <c r="Y38" i="21" s="1"/>
  <c r="AC36" i="157"/>
  <c r="AB36" i="157"/>
  <c r="AG36" i="157"/>
  <c r="AE36" i="157"/>
  <c r="AF36" i="157"/>
  <c r="AH36" i="157"/>
  <c r="AD36" i="157"/>
  <c r="AY33" i="157"/>
  <c r="G32" i="135" s="1"/>
  <c r="AX28" i="155"/>
  <c r="Z27" i="135" s="1"/>
  <c r="AX31" i="155"/>
  <c r="Z30" i="135" s="1"/>
  <c r="AX30" i="155"/>
  <c r="Z29" i="135" s="1"/>
  <c r="BD31" i="157"/>
  <c r="K30" i="135" s="1"/>
  <c r="BD30" i="157"/>
  <c r="K29" i="135" s="1"/>
  <c r="R37" i="21"/>
  <c r="F37" i="37"/>
  <c r="R37" i="37" s="1"/>
  <c r="P37" i="155"/>
  <c r="BL36" i="155" s="1"/>
  <c r="P37" i="157"/>
  <c r="BL36" i="157" s="1"/>
  <c r="AO35" i="155"/>
  <c r="AX28" i="157"/>
  <c r="F27" i="135" s="1"/>
  <c r="AX29" i="157"/>
  <c r="F28" i="135" s="1"/>
  <c r="AL35" i="157"/>
  <c r="AX34" i="157" s="1"/>
  <c r="F33" i="135" s="1"/>
  <c r="O37" i="155"/>
  <c r="O37" i="157"/>
  <c r="BD28" i="155"/>
  <c r="AE27" i="135" s="1"/>
  <c r="BD31" i="155"/>
  <c r="AE30" i="135" s="1"/>
  <c r="AC38" i="72"/>
  <c r="AK39" i="21" s="1"/>
  <c r="AS39" i="21" s="1"/>
  <c r="AB38" i="72"/>
  <c r="AJ39" i="21" s="1"/>
  <c r="AR39" i="21" s="1"/>
  <c r="AE38" i="72"/>
  <c r="AM39" i="21" s="1"/>
  <c r="AU39" i="21" s="1"/>
  <c r="AD38" i="72"/>
  <c r="AL39" i="21" s="1"/>
  <c r="AT39" i="21" s="1"/>
  <c r="H39" i="72"/>
  <c r="H40" i="21" s="1"/>
  <c r="H40" i="37" s="1"/>
  <c r="K39" i="72"/>
  <c r="K40" i="21" s="1"/>
  <c r="K40" i="37" s="1"/>
  <c r="J39" i="72"/>
  <c r="J40" i="21" s="1"/>
  <c r="J40" i="37" s="1"/>
  <c r="I39" i="72"/>
  <c r="I40" i="21" s="1"/>
  <c r="I40" i="37" s="1"/>
  <c r="BD33" i="157"/>
  <c r="K32" i="135" s="1"/>
  <c r="Z37" i="37"/>
  <c r="AH37" i="37" s="1"/>
  <c r="AH37" i="21"/>
  <c r="AX29" i="155"/>
  <c r="Z28" i="135" s="1"/>
  <c r="BD30" i="155"/>
  <c r="AE29" i="135" s="1"/>
  <c r="AX32" i="155"/>
  <c r="Z31" i="135" s="1"/>
  <c r="AZ30" i="157"/>
  <c r="BA32" i="157"/>
  <c r="H31" i="135" s="1"/>
  <c r="AK38" i="72"/>
  <c r="BI39" i="21" s="1"/>
  <c r="BQ39" i="21" s="1"/>
  <c r="AJ38" i="72"/>
  <c r="BH39" i="21" s="1"/>
  <c r="BP39" i="21" s="1"/>
  <c r="AM38" i="72"/>
  <c r="BK39" i="21" s="1"/>
  <c r="BS39" i="21" s="1"/>
  <c r="AL38" i="72"/>
  <c r="BJ39" i="21" s="1"/>
  <c r="BR39" i="21" s="1"/>
  <c r="AZ33" i="157"/>
  <c r="BD29" i="155"/>
  <c r="AE28" i="135" s="1"/>
  <c r="BI35" i="157"/>
  <c r="BD32" i="157"/>
  <c r="K31" i="135" s="1"/>
  <c r="R37" i="155"/>
  <c r="BN36" i="155" s="1"/>
  <c r="R37" i="157"/>
  <c r="AO35" i="157"/>
  <c r="AZ34" i="157" s="1"/>
  <c r="AA37" i="37"/>
  <c r="AI37" i="37" s="1"/>
  <c r="AI37" i="21"/>
  <c r="S41" i="72"/>
  <c r="W42" i="21" s="1"/>
  <c r="R41" i="72"/>
  <c r="V42" i="21" s="1"/>
  <c r="P41" i="72"/>
  <c r="T42" i="21" s="1"/>
  <c r="Q41" i="72"/>
  <c r="U42" i="21" s="1"/>
  <c r="BK35" i="157"/>
  <c r="M37" i="157"/>
  <c r="M37" i="155"/>
  <c r="BI36" i="155" s="1"/>
  <c r="L31" i="135"/>
  <c r="Q31" i="135"/>
  <c r="O31" i="135"/>
  <c r="R31" i="135"/>
  <c r="BC31" i="155"/>
  <c r="AD30" i="135" s="1"/>
  <c r="BD32" i="155"/>
  <c r="AE31" i="135" s="1"/>
  <c r="BO34" i="155"/>
  <c r="BQ34" i="155" s="1"/>
  <c r="AK35" i="155"/>
  <c r="AW30" i="155"/>
  <c r="Y29" i="135" s="1"/>
  <c r="AG29" i="135" s="1"/>
  <c r="N37" i="155"/>
  <c r="BJ36" i="155" s="1"/>
  <c r="N37" i="157"/>
  <c r="BJ36" i="157" s="1"/>
  <c r="AN35" i="157"/>
  <c r="AZ31" i="155"/>
  <c r="AY28" i="157"/>
  <c r="G27" i="135" s="1"/>
  <c r="AY29" i="157"/>
  <c r="G28" i="135" s="1"/>
  <c r="AY32" i="157"/>
  <c r="G31" i="135" s="1"/>
  <c r="K37" i="157"/>
  <c r="BG36" i="157" s="1"/>
  <c r="K37" i="155"/>
  <c r="Y37" i="37"/>
  <c r="AG37" i="37" s="1"/>
  <c r="AG37" i="21"/>
  <c r="BH35" i="157"/>
  <c r="AX33" i="157"/>
  <c r="F32" i="135" s="1"/>
  <c r="T41" i="37"/>
  <c r="BQ29" i="155"/>
  <c r="E30" i="98" s="1"/>
  <c r="E29" i="31" s="1"/>
  <c r="BK35" i="155"/>
  <c r="AW28" i="157"/>
  <c r="E27" i="135" s="1"/>
  <c r="M27" i="135" s="1"/>
  <c r="AW29" i="157"/>
  <c r="E28" i="135" s="1"/>
  <c r="M28" i="135" s="1"/>
  <c r="AW30" i="157"/>
  <c r="E29" i="135" s="1"/>
  <c r="M29" i="135" s="1"/>
  <c r="Q37" i="157"/>
  <c r="Q37" i="155"/>
  <c r="BM36" i="155" s="1"/>
  <c r="AV28" i="157"/>
  <c r="D27" i="135" s="1"/>
  <c r="AV29" i="157"/>
  <c r="D28" i="135" s="1"/>
  <c r="AW33" i="157"/>
  <c r="E32" i="135" s="1"/>
  <c r="M32" i="135" s="1"/>
  <c r="AZ33" i="155"/>
  <c r="BD33" i="155"/>
  <c r="AE32" i="135" s="1"/>
  <c r="AL35" i="155"/>
  <c r="BI35" i="155"/>
  <c r="BO35" i="155" s="1"/>
  <c r="AK35" i="157"/>
  <c r="V41" i="37"/>
  <c r="W36" i="155"/>
  <c r="Y36" i="155"/>
  <c r="AN36" i="155" s="1"/>
  <c r="U36" i="155"/>
  <c r="AA36" i="155"/>
  <c r="V36" i="155"/>
  <c r="Z36" i="155"/>
  <c r="X36" i="155"/>
  <c r="AZ32" i="157"/>
  <c r="BM35" i="155"/>
  <c r="BC28" i="155"/>
  <c r="AD27" i="135" s="1"/>
  <c r="BB28" i="155"/>
  <c r="AC27" i="135" s="1"/>
  <c r="BA28" i="155"/>
  <c r="AB27" i="135" s="1"/>
  <c r="AV32" i="155"/>
  <c r="X31" i="135" s="1"/>
  <c r="E37" i="72"/>
  <c r="E38" i="21" s="1"/>
  <c r="D37" i="72"/>
  <c r="D38" i="21" s="1"/>
  <c r="F37" i="72"/>
  <c r="F38" i="21" s="1"/>
  <c r="G37" i="72"/>
  <c r="G38" i="21" s="1"/>
  <c r="AM35" i="155"/>
  <c r="AP35" i="157"/>
  <c r="BA31" i="155"/>
  <c r="AB30" i="135" s="1"/>
  <c r="R29" i="135" l="1"/>
  <c r="Q29" i="135"/>
  <c r="L29" i="135"/>
  <c r="L30" i="135"/>
  <c r="R30" i="135"/>
  <c r="O30" i="135"/>
  <c r="AJ28" i="135"/>
  <c r="AJ36" i="155"/>
  <c r="AV35" i="155" s="1"/>
  <c r="X34" i="135" s="1"/>
  <c r="AH28" i="135"/>
  <c r="AH31" i="135"/>
  <c r="AO36" i="155"/>
  <c r="BB35" i="155" s="1"/>
  <c r="AC34" i="135" s="1"/>
  <c r="AP36" i="155"/>
  <c r="BD35" i="155" s="1"/>
  <c r="AE34" i="135" s="1"/>
  <c r="E31" i="98"/>
  <c r="AK32" i="135"/>
  <c r="AI32" i="135"/>
  <c r="AL32" i="135"/>
  <c r="BB34" i="155"/>
  <c r="AC33" i="135" s="1"/>
  <c r="BP35" i="157"/>
  <c r="S32" i="135"/>
  <c r="AM36" i="155"/>
  <c r="AY35" i="155" s="1"/>
  <c r="AA34" i="135" s="1"/>
  <c r="N32" i="135"/>
  <c r="N31" i="135"/>
  <c r="P31" i="135"/>
  <c r="AM32" i="135"/>
  <c r="AL36" i="155"/>
  <c r="AX35" i="155" s="1"/>
  <c r="Z34" i="135" s="1"/>
  <c r="AH32" i="135"/>
  <c r="AJ31" i="135"/>
  <c r="AZ34" i="155"/>
  <c r="BA34" i="155"/>
  <c r="AB33" i="135" s="1"/>
  <c r="N29" i="135"/>
  <c r="AK36" i="155"/>
  <c r="AW35" i="155" s="1"/>
  <c r="Y34" i="135" s="1"/>
  <c r="AG34" i="135" s="1"/>
  <c r="S29" i="135"/>
  <c r="BC34" i="155"/>
  <c r="AD33" i="135" s="1"/>
  <c r="AJ33" i="135" s="1"/>
  <c r="AM29" i="135"/>
  <c r="AJ29" i="135"/>
  <c r="AL36" i="157"/>
  <c r="P38" i="21"/>
  <c r="D38" i="37"/>
  <c r="P38" i="37" s="1"/>
  <c r="U42" i="37"/>
  <c r="AM39" i="72"/>
  <c r="BK40" i="21" s="1"/>
  <c r="BS40" i="21" s="1"/>
  <c r="AK39" i="72"/>
  <c r="BI40" i="21" s="1"/>
  <c r="BQ40" i="21" s="1"/>
  <c r="AL39" i="72"/>
  <c r="BJ40" i="21" s="1"/>
  <c r="BR40" i="21" s="1"/>
  <c r="AJ39" i="72"/>
  <c r="BH40" i="21" s="1"/>
  <c r="BP40" i="21" s="1"/>
  <c r="AL31" i="135"/>
  <c r="AF31" i="135"/>
  <c r="AI31" i="135"/>
  <c r="AK31" i="135"/>
  <c r="BC34" i="157"/>
  <c r="J33" i="135" s="1"/>
  <c r="M38" i="155"/>
  <c r="M38" i="157"/>
  <c r="AA38" i="37"/>
  <c r="AI38" i="37" s="1"/>
  <c r="AI38" i="21"/>
  <c r="S27" i="135"/>
  <c r="N27" i="135"/>
  <c r="P27" i="135"/>
  <c r="BD34" i="155"/>
  <c r="AE33" i="135" s="1"/>
  <c r="AO36" i="157"/>
  <c r="AZ35" i="157" s="1"/>
  <c r="T42" i="37"/>
  <c r="BA34" i="157"/>
  <c r="H33" i="135" s="1"/>
  <c r="X38" i="37"/>
  <c r="AF38" i="37" s="1"/>
  <c r="AF38" i="21"/>
  <c r="BN36" i="157"/>
  <c r="AK36" i="157"/>
  <c r="AW35" i="157" s="1"/>
  <c r="E34" i="135" s="1"/>
  <c r="M34" i="135" s="1"/>
  <c r="E38" i="37"/>
  <c r="Q38" i="37" s="1"/>
  <c r="Q38" i="21"/>
  <c r="U37" i="155"/>
  <c r="Z37" i="155"/>
  <c r="Y37" i="155"/>
  <c r="X37" i="155"/>
  <c r="W37" i="155"/>
  <c r="V37" i="155"/>
  <c r="AA37" i="155"/>
  <c r="V42" i="37"/>
  <c r="AL28" i="135"/>
  <c r="AF28" i="135"/>
  <c r="AK28" i="135"/>
  <c r="AI28" i="135"/>
  <c r="Q28" i="135"/>
  <c r="O28" i="135"/>
  <c r="L28" i="135"/>
  <c r="R28" i="135"/>
  <c r="R38" i="155"/>
  <c r="BN37" i="155" s="1"/>
  <c r="R38" i="157"/>
  <c r="BN37" i="157" s="1"/>
  <c r="AX34" i="155"/>
  <c r="Z33" i="135" s="1"/>
  <c r="E38" i="72"/>
  <c r="E39" i="21" s="1"/>
  <c r="D38" i="72"/>
  <c r="D39" i="21" s="1"/>
  <c r="G38" i="72"/>
  <c r="G39" i="21" s="1"/>
  <c r="F38" i="72"/>
  <c r="F39" i="21" s="1"/>
  <c r="O27" i="135"/>
  <c r="Q27" i="135"/>
  <c r="R27" i="135"/>
  <c r="L27" i="135"/>
  <c r="AK29" i="135"/>
  <c r="AF29" i="135"/>
  <c r="AL29" i="135"/>
  <c r="AI29" i="135"/>
  <c r="N38" i="155"/>
  <c r="N38" i="157"/>
  <c r="K38" i="157"/>
  <c r="K38" i="155"/>
  <c r="BG37" i="155" s="1"/>
  <c r="P38" i="155"/>
  <c r="BL37" i="155" s="1"/>
  <c r="P38" i="157"/>
  <c r="BL37" i="157" s="1"/>
  <c r="Z37" i="157"/>
  <c r="V37" i="157"/>
  <c r="U37" i="157"/>
  <c r="X37" i="157"/>
  <c r="AA37" i="157"/>
  <c r="W37" i="157"/>
  <c r="Y37" i="157"/>
  <c r="AW34" i="155"/>
  <c r="Y33" i="135" s="1"/>
  <c r="AG33" i="135" s="1"/>
  <c r="AC39" i="72"/>
  <c r="AK40" i="21" s="1"/>
  <c r="AS40" i="21" s="1"/>
  <c r="AB39" i="72"/>
  <c r="AJ40" i="21" s="1"/>
  <c r="AR40" i="21" s="1"/>
  <c r="AD39" i="72"/>
  <c r="AL40" i="21" s="1"/>
  <c r="AT40" i="21" s="1"/>
  <c r="AE39" i="72"/>
  <c r="AM40" i="21" s="1"/>
  <c r="AU40" i="21" s="1"/>
  <c r="AF37" i="157"/>
  <c r="AD37" i="157"/>
  <c r="AC37" i="157"/>
  <c r="AB37" i="157"/>
  <c r="AE37" i="157"/>
  <c r="AH37" i="157"/>
  <c r="AG37" i="157"/>
  <c r="AF30" i="135"/>
  <c r="AK30" i="135"/>
  <c r="AI30" i="135"/>
  <c r="AL30" i="135"/>
  <c r="BO35" i="157"/>
  <c r="O38" i="157"/>
  <c r="O38" i="155"/>
  <c r="BK37" i="155" s="1"/>
  <c r="L38" i="157"/>
  <c r="BH37" i="157" s="1"/>
  <c r="L38" i="155"/>
  <c r="AJ36" i="157"/>
  <c r="AV35" i="157" s="1"/>
  <c r="D34" i="135" s="1"/>
  <c r="AY34" i="155"/>
  <c r="AA33" i="135" s="1"/>
  <c r="S38" i="21"/>
  <c r="G38" i="37"/>
  <c r="S38" i="37" s="1"/>
  <c r="L32" i="135"/>
  <c r="R32" i="135"/>
  <c r="O32" i="135"/>
  <c r="Q32" i="135"/>
  <c r="AH37" i="155"/>
  <c r="AE37" i="155"/>
  <c r="AF37" i="155"/>
  <c r="AB37" i="155"/>
  <c r="AD37" i="155"/>
  <c r="AG37" i="155"/>
  <c r="AC37" i="155"/>
  <c r="AL27" i="135"/>
  <c r="AI27" i="135"/>
  <c r="AF27" i="135"/>
  <c r="AK27" i="135"/>
  <c r="BK36" i="157"/>
  <c r="V38" i="72"/>
  <c r="Z39" i="21" s="1"/>
  <c r="U38" i="72"/>
  <c r="Y39" i="21" s="1"/>
  <c r="T38" i="72"/>
  <c r="X39" i="21" s="1"/>
  <c r="W38" i="72"/>
  <c r="AA39" i="21" s="1"/>
  <c r="S30" i="135"/>
  <c r="P30" i="135"/>
  <c r="N30" i="135"/>
  <c r="BM36" i="157"/>
  <c r="AN36" i="157"/>
  <c r="W42" i="37"/>
  <c r="AM27" i="135"/>
  <c r="AJ27" i="135"/>
  <c r="AH27" i="135"/>
  <c r="F38" i="37"/>
  <c r="R38" i="37" s="1"/>
  <c r="R38" i="21"/>
  <c r="BG36" i="155"/>
  <c r="BO36" i="155" s="1"/>
  <c r="AW34" i="157"/>
  <c r="E33" i="135" s="1"/>
  <c r="M33" i="135" s="1"/>
  <c r="BP35" i="155"/>
  <c r="BQ35" i="155" s="1"/>
  <c r="Q33" i="135"/>
  <c r="O33" i="135"/>
  <c r="R33" i="135"/>
  <c r="L33" i="135"/>
  <c r="BD34" i="157"/>
  <c r="K33" i="135" s="1"/>
  <c r="AX35" i="157"/>
  <c r="F34" i="135" s="1"/>
  <c r="Y38" i="37"/>
  <c r="AG38" i="37" s="1"/>
  <c r="AG38" i="21"/>
  <c r="AV34" i="155"/>
  <c r="X33" i="135" s="1"/>
  <c r="BK36" i="155"/>
  <c r="BP36" i="155" s="1"/>
  <c r="AI40" i="72"/>
  <c r="AY41" i="21" s="1"/>
  <c r="BG41" i="21" s="1"/>
  <c r="AF40" i="72"/>
  <c r="AV41" i="21" s="1"/>
  <c r="BD41" i="21" s="1"/>
  <c r="AH40" i="72"/>
  <c r="AX41" i="21" s="1"/>
  <c r="BF41" i="21" s="1"/>
  <c r="AG40" i="72"/>
  <c r="AW41" i="21" s="1"/>
  <c r="BE41" i="21" s="1"/>
  <c r="P28" i="135"/>
  <c r="S28" i="135"/>
  <c r="N28" i="135"/>
  <c r="BI36" i="157"/>
  <c r="BO36" i="157" s="1"/>
  <c r="AP36" i="157"/>
  <c r="BD35" i="157" s="1"/>
  <c r="K34" i="135" s="1"/>
  <c r="AM30" i="135"/>
  <c r="AH30" i="135"/>
  <c r="AJ30" i="135"/>
  <c r="P42" i="72"/>
  <c r="T43" i="21" s="1"/>
  <c r="S42" i="72"/>
  <c r="W43" i="21" s="1"/>
  <c r="Q42" i="72"/>
  <c r="U43" i="21" s="1"/>
  <c r="R42" i="72"/>
  <c r="V43" i="21" s="1"/>
  <c r="H40" i="72"/>
  <c r="H41" i="21" s="1"/>
  <c r="H41" i="37" s="1"/>
  <c r="K40" i="72"/>
  <c r="K41" i="21" s="1"/>
  <c r="K41" i="37" s="1"/>
  <c r="J40" i="72"/>
  <c r="J41" i="21" s="1"/>
  <c r="J41" i="37" s="1"/>
  <c r="I40" i="72"/>
  <c r="I41" i="21" s="1"/>
  <c r="I41" i="37" s="1"/>
  <c r="BB34" i="157"/>
  <c r="I33" i="135" s="1"/>
  <c r="Q38" i="155"/>
  <c r="Q38" i="157"/>
  <c r="BM37" i="157" s="1"/>
  <c r="Z38" i="37"/>
  <c r="AH38" i="37" s="1"/>
  <c r="AH38" i="21"/>
  <c r="AM36" i="157"/>
  <c r="AZ35" i="155" l="1"/>
  <c r="AM33" i="135"/>
  <c r="AH33" i="135"/>
  <c r="BC35" i="155"/>
  <c r="AD34" i="135" s="1"/>
  <c r="AJ34" i="135" s="1"/>
  <c r="BQ35" i="157"/>
  <c r="BA35" i="155"/>
  <c r="AB34" i="135" s="1"/>
  <c r="E30" i="31"/>
  <c r="E32" i="98"/>
  <c r="BB35" i="157"/>
  <c r="I34" i="135" s="1"/>
  <c r="AM37" i="157"/>
  <c r="AY36" i="157" s="1"/>
  <c r="G35" i="135" s="1"/>
  <c r="AJ37" i="157"/>
  <c r="AV36" i="157" s="1"/>
  <c r="D35" i="135" s="1"/>
  <c r="BC35" i="157"/>
  <c r="J34" i="135" s="1"/>
  <c r="P34" i="135" s="1"/>
  <c r="AK37" i="157"/>
  <c r="AW36" i="157" s="1"/>
  <c r="E35" i="135" s="1"/>
  <c r="M35" i="135" s="1"/>
  <c r="AJ37" i="155"/>
  <c r="AV36" i="155" s="1"/>
  <c r="X35" i="135" s="1"/>
  <c r="AY35" i="157"/>
  <c r="G34" i="135" s="1"/>
  <c r="Q39" i="155"/>
  <c r="BM38" i="155" s="1"/>
  <c r="Q39" i="157"/>
  <c r="BM38" i="157" s="1"/>
  <c r="X39" i="37"/>
  <c r="AF39" i="37" s="1"/>
  <c r="AF39" i="21"/>
  <c r="AM34" i="135"/>
  <c r="Z38" i="157"/>
  <c r="X38" i="157"/>
  <c r="AA38" i="157"/>
  <c r="Y38" i="157"/>
  <c r="V38" i="157"/>
  <c r="U38" i="157"/>
  <c r="W38" i="157"/>
  <c r="D39" i="37"/>
  <c r="P39" i="37" s="1"/>
  <c r="P39" i="21"/>
  <c r="I41" i="72"/>
  <c r="I42" i="21" s="1"/>
  <c r="I42" i="37" s="1"/>
  <c r="H41" i="72"/>
  <c r="H42" i="21" s="1"/>
  <c r="H42" i="37" s="1"/>
  <c r="J41" i="72"/>
  <c r="J42" i="21" s="1"/>
  <c r="J42" i="37" s="1"/>
  <c r="K41" i="72"/>
  <c r="K42" i="21" s="1"/>
  <c r="K42" i="37" s="1"/>
  <c r="Y39" i="37"/>
  <c r="AG39" i="37" s="1"/>
  <c r="AG39" i="21"/>
  <c r="BI37" i="157"/>
  <c r="AE40" i="72"/>
  <c r="AM41" i="21" s="1"/>
  <c r="AU41" i="21" s="1"/>
  <c r="AD40" i="72"/>
  <c r="AL41" i="21" s="1"/>
  <c r="AT41" i="21" s="1"/>
  <c r="AC40" i="72"/>
  <c r="AK41" i="21" s="1"/>
  <c r="AS41" i="21" s="1"/>
  <c r="AB40" i="72"/>
  <c r="AJ41" i="21" s="1"/>
  <c r="AR41" i="21" s="1"/>
  <c r="AO37" i="157"/>
  <c r="E39" i="37"/>
  <c r="Q39" i="37" s="1"/>
  <c r="Q39" i="21"/>
  <c r="AP37" i="155"/>
  <c r="BJ37" i="157"/>
  <c r="P33" i="135"/>
  <c r="S33" i="135"/>
  <c r="N33" i="135"/>
  <c r="AF34" i="135"/>
  <c r="AI34" i="135"/>
  <c r="AK34" i="135"/>
  <c r="AL34" i="135"/>
  <c r="AA39" i="37"/>
  <c r="AI39" i="37" s="1"/>
  <c r="AI39" i="21"/>
  <c r="W43" i="37"/>
  <c r="Z39" i="37"/>
  <c r="AH39" i="37" s="1"/>
  <c r="AH39" i="21"/>
  <c r="R39" i="155"/>
  <c r="BN38" i="155" s="1"/>
  <c r="R39" i="157"/>
  <c r="BN38" i="157" s="1"/>
  <c r="BG37" i="157"/>
  <c r="G39" i="72"/>
  <c r="G40" i="21" s="1"/>
  <c r="E39" i="72"/>
  <c r="E40" i="21" s="1"/>
  <c r="F39" i="72"/>
  <c r="F40" i="21" s="1"/>
  <c r="D39" i="72"/>
  <c r="D40" i="21" s="1"/>
  <c r="AK37" i="155"/>
  <c r="L39" i="157"/>
  <c r="BH38" i="157" s="1"/>
  <c r="L39" i="155"/>
  <c r="BH38" i="155" s="1"/>
  <c r="U43" i="37"/>
  <c r="AE38" i="157"/>
  <c r="AG38" i="157"/>
  <c r="AC38" i="157"/>
  <c r="AD38" i="157"/>
  <c r="AB38" i="157"/>
  <c r="AF38" i="157"/>
  <c r="AH38" i="157"/>
  <c r="BP36" i="157"/>
  <c r="BQ36" i="157" s="1"/>
  <c r="N39" i="155"/>
  <c r="BJ38" i="155" s="1"/>
  <c r="N39" i="157"/>
  <c r="BJ38" i="157" s="1"/>
  <c r="AN37" i="157"/>
  <c r="AK33" i="135"/>
  <c r="AI33" i="135"/>
  <c r="AL33" i="135"/>
  <c r="AF33" i="135"/>
  <c r="AL37" i="155"/>
  <c r="P39" i="155"/>
  <c r="BL38" i="155" s="1"/>
  <c r="P39" i="157"/>
  <c r="BL38" i="157" s="1"/>
  <c r="O39" i="155"/>
  <c r="BK38" i="155" s="1"/>
  <c r="O39" i="157"/>
  <c r="G39" i="37"/>
  <c r="S39" i="37" s="1"/>
  <c r="S39" i="21"/>
  <c r="BK37" i="157"/>
  <c r="BP37" i="157" s="1"/>
  <c r="AL37" i="157"/>
  <c r="AM37" i="155"/>
  <c r="BH37" i="155"/>
  <c r="K39" i="157"/>
  <c r="BG38" i="157" s="1"/>
  <c r="K39" i="155"/>
  <c r="BG38" i="155" s="1"/>
  <c r="V38" i="155"/>
  <c r="U38" i="155"/>
  <c r="AA38" i="155"/>
  <c r="Z38" i="155"/>
  <c r="X38" i="155"/>
  <c r="W38" i="155"/>
  <c r="Y38" i="155"/>
  <c r="T43" i="37"/>
  <c r="AF41" i="72"/>
  <c r="AV42" i="21" s="1"/>
  <c r="BD42" i="21" s="1"/>
  <c r="AH41" i="72"/>
  <c r="AX42" i="21" s="1"/>
  <c r="BF42" i="21" s="1"/>
  <c r="AG41" i="72"/>
  <c r="AW42" i="21" s="1"/>
  <c r="BE42" i="21" s="1"/>
  <c r="AI41" i="72"/>
  <c r="AY42" i="21" s="1"/>
  <c r="BG42" i="21" s="1"/>
  <c r="S43" i="72"/>
  <c r="W44" i="21" s="1"/>
  <c r="P43" i="72"/>
  <c r="T44" i="21" s="1"/>
  <c r="R43" i="72"/>
  <c r="V44" i="21" s="1"/>
  <c r="Q43" i="72"/>
  <c r="U44" i="21" s="1"/>
  <c r="L34" i="135"/>
  <c r="R34" i="135"/>
  <c r="O34" i="135"/>
  <c r="Q34" i="135"/>
  <c r="BQ36" i="155"/>
  <c r="BJ37" i="155"/>
  <c r="AP37" i="157"/>
  <c r="AN37" i="155"/>
  <c r="V43" i="37"/>
  <c r="M39" i="157"/>
  <c r="M39" i="155"/>
  <c r="BM37" i="155"/>
  <c r="BP37" i="155" s="1"/>
  <c r="U39" i="72"/>
  <c r="Y40" i="21" s="1"/>
  <c r="W39" i="72"/>
  <c r="AA40" i="21" s="1"/>
  <c r="T39" i="72"/>
  <c r="X40" i="21" s="1"/>
  <c r="V39" i="72"/>
  <c r="Z40" i="21" s="1"/>
  <c r="AF38" i="155"/>
  <c r="AC38" i="155"/>
  <c r="AD38" i="155"/>
  <c r="AB38" i="155"/>
  <c r="AH38" i="155"/>
  <c r="AE38" i="155"/>
  <c r="AG38" i="155"/>
  <c r="BI37" i="155"/>
  <c r="F39" i="37"/>
  <c r="R39" i="37" s="1"/>
  <c r="R39" i="21"/>
  <c r="AO37" i="155"/>
  <c r="AM40" i="72"/>
  <c r="BK41" i="21" s="1"/>
  <c r="BS41" i="21" s="1"/>
  <c r="AL40" i="72"/>
  <c r="BJ41" i="21" s="1"/>
  <c r="BR41" i="21" s="1"/>
  <c r="AK40" i="72"/>
  <c r="BI41" i="21" s="1"/>
  <c r="BQ41" i="21" s="1"/>
  <c r="AJ40" i="72"/>
  <c r="BH41" i="21" s="1"/>
  <c r="BP41" i="21" s="1"/>
  <c r="BA35" i="157"/>
  <c r="H34" i="135" s="1"/>
  <c r="AH34" i="135" l="1"/>
  <c r="N34" i="135"/>
  <c r="S34" i="135"/>
  <c r="BC36" i="157"/>
  <c r="J35" i="135" s="1"/>
  <c r="S35" i="135" s="1"/>
  <c r="AZ36" i="157"/>
  <c r="BA36" i="157"/>
  <c r="H35" i="135" s="1"/>
  <c r="E31" i="31"/>
  <c r="E33" i="98"/>
  <c r="BO37" i="157"/>
  <c r="BQ37" i="157" s="1"/>
  <c r="BP38" i="155"/>
  <c r="BO37" i="155"/>
  <c r="BQ37" i="155" s="1"/>
  <c r="AA40" i="37"/>
  <c r="AI40" i="37" s="1"/>
  <c r="AI40" i="21"/>
  <c r="AF42" i="72"/>
  <c r="AV43" i="21" s="1"/>
  <c r="BD43" i="21" s="1"/>
  <c r="AG42" i="72"/>
  <c r="AW43" i="21" s="1"/>
  <c r="BE43" i="21" s="1"/>
  <c r="AH42" i="72"/>
  <c r="AX43" i="21" s="1"/>
  <c r="BF43" i="21" s="1"/>
  <c r="AI42" i="72"/>
  <c r="AY43" i="21" s="1"/>
  <c r="BG43" i="21" s="1"/>
  <c r="AK38" i="155"/>
  <c r="AW37" i="155" s="1"/>
  <c r="Y36" i="135" s="1"/>
  <c r="AG36" i="135" s="1"/>
  <c r="R40" i="155"/>
  <c r="R40" i="157"/>
  <c r="BN39" i="157" s="1"/>
  <c r="D40" i="37"/>
  <c r="P40" i="37" s="1"/>
  <c r="P40" i="21"/>
  <c r="P40" i="157"/>
  <c r="BL39" i="157" s="1"/>
  <c r="P40" i="155"/>
  <c r="BL39" i="155" s="1"/>
  <c r="BI38" i="155"/>
  <c r="BO38" i="155" s="1"/>
  <c r="AP38" i="157"/>
  <c r="BD37" i="157" s="1"/>
  <c r="K36" i="135" s="1"/>
  <c r="BD36" i="157"/>
  <c r="K35" i="135" s="1"/>
  <c r="AX36" i="157"/>
  <c r="F35" i="135" s="1"/>
  <c r="AH39" i="157"/>
  <c r="AC39" i="157"/>
  <c r="AB39" i="157"/>
  <c r="AE39" i="157"/>
  <c r="AG39" i="157"/>
  <c r="AD39" i="157"/>
  <c r="AF39" i="157"/>
  <c r="F40" i="37"/>
  <c r="R40" i="37" s="1"/>
  <c r="R40" i="21"/>
  <c r="AM38" i="157"/>
  <c r="Z40" i="37"/>
  <c r="AH40" i="37" s="1"/>
  <c r="AH40" i="21"/>
  <c r="R44" i="72"/>
  <c r="V45" i="21" s="1"/>
  <c r="Q44" i="72"/>
  <c r="U45" i="21" s="1"/>
  <c r="P44" i="72"/>
  <c r="T45" i="21" s="1"/>
  <c r="S44" i="72"/>
  <c r="W45" i="21" s="1"/>
  <c r="AN38" i="155"/>
  <c r="U39" i="155"/>
  <c r="V39" i="155"/>
  <c r="AA39" i="155"/>
  <c r="W39" i="155"/>
  <c r="X39" i="155"/>
  <c r="Z39" i="155"/>
  <c r="Y39" i="155"/>
  <c r="AG39" i="155"/>
  <c r="AC39" i="155"/>
  <c r="AD39" i="155"/>
  <c r="AF39" i="155"/>
  <c r="AH39" i="155"/>
  <c r="AE39" i="155"/>
  <c r="AB39" i="155"/>
  <c r="Q40" i="21"/>
  <c r="E40" i="37"/>
  <c r="Q40" i="37" s="1"/>
  <c r="K40" i="155"/>
  <c r="BG39" i="155" s="1"/>
  <c r="K40" i="157"/>
  <c r="BG39" i="157" s="1"/>
  <c r="BI38" i="157"/>
  <c r="BO38" i="157" s="1"/>
  <c r="X40" i="37"/>
  <c r="AF40" i="37" s="1"/>
  <c r="AF40" i="21"/>
  <c r="U44" i="37"/>
  <c r="AL38" i="155"/>
  <c r="AX37" i="155" s="1"/>
  <c r="Z36" i="135" s="1"/>
  <c r="Z39" i="157"/>
  <c r="V39" i="157"/>
  <c r="U39" i="157"/>
  <c r="W39" i="157"/>
  <c r="Y39" i="157"/>
  <c r="X39" i="157"/>
  <c r="AA39" i="157"/>
  <c r="G40" i="37"/>
  <c r="S40" i="37" s="1"/>
  <c r="S40" i="21"/>
  <c r="AB41" i="72"/>
  <c r="AJ42" i="21" s="1"/>
  <c r="AR42" i="21" s="1"/>
  <c r="AE41" i="72"/>
  <c r="AM42" i="21" s="1"/>
  <c r="AU42" i="21" s="1"/>
  <c r="AC41" i="72"/>
  <c r="AK42" i="21" s="1"/>
  <c r="AS42" i="21" s="1"/>
  <c r="AD41" i="72"/>
  <c r="AL42" i="21" s="1"/>
  <c r="AT42" i="21" s="1"/>
  <c r="K42" i="72"/>
  <c r="K43" i="21" s="1"/>
  <c r="K43" i="37" s="1"/>
  <c r="H42" i="72"/>
  <c r="H43" i="21" s="1"/>
  <c r="H43" i="37" s="1"/>
  <c r="J42" i="72"/>
  <c r="J43" i="21" s="1"/>
  <c r="J43" i="37" s="1"/>
  <c r="I42" i="72"/>
  <c r="I43" i="21" s="1"/>
  <c r="I43" i="37" s="1"/>
  <c r="O40" i="157"/>
  <c r="O40" i="155"/>
  <c r="BK39" i="155" s="1"/>
  <c r="AO38" i="157"/>
  <c r="V44" i="37"/>
  <c r="AM38" i="155"/>
  <c r="AY37" i="155" s="1"/>
  <c r="AA36" i="135" s="1"/>
  <c r="AL38" i="157"/>
  <c r="AX37" i="157" s="1"/>
  <c r="F36" i="135" s="1"/>
  <c r="T44" i="37"/>
  <c r="AO38" i="155"/>
  <c r="AX36" i="155"/>
  <c r="Z35" i="135" s="1"/>
  <c r="AJ38" i="157"/>
  <c r="T40" i="72"/>
  <c r="X41" i="21" s="1"/>
  <c r="W40" i="72"/>
  <c r="AA41" i="21" s="1"/>
  <c r="V40" i="72"/>
  <c r="Z41" i="21" s="1"/>
  <c r="U40" i="72"/>
  <c r="Y41" i="21" s="1"/>
  <c r="AK41" i="72"/>
  <c r="BI42" i="21" s="1"/>
  <c r="BQ42" i="21" s="1"/>
  <c r="AL41" i="72"/>
  <c r="BJ42" i="21" s="1"/>
  <c r="BR42" i="21" s="1"/>
  <c r="AM41" i="72"/>
  <c r="BK42" i="21" s="1"/>
  <c r="BS42" i="21" s="1"/>
  <c r="AJ41" i="72"/>
  <c r="BH42" i="21" s="1"/>
  <c r="BP42" i="21" s="1"/>
  <c r="Q40" i="157"/>
  <c r="BM39" i="157" s="1"/>
  <c r="Q40" i="155"/>
  <c r="BM39" i="155" s="1"/>
  <c r="Y40" i="37"/>
  <c r="AG40" i="37" s="1"/>
  <c r="AG40" i="21"/>
  <c r="BA36" i="155"/>
  <c r="AB35" i="135" s="1"/>
  <c r="BC36" i="155"/>
  <c r="AD35" i="135" s="1"/>
  <c r="BB36" i="155"/>
  <c r="AC35" i="135" s="1"/>
  <c r="W44" i="37"/>
  <c r="BB36" i="157"/>
  <c r="I35" i="135" s="1"/>
  <c r="AP38" i="155"/>
  <c r="BK38" i="157"/>
  <c r="BP38" i="157" s="1"/>
  <c r="AW36" i="155"/>
  <c r="Y35" i="135" s="1"/>
  <c r="AG35" i="135" s="1"/>
  <c r="BD36" i="155"/>
  <c r="AE35" i="135" s="1"/>
  <c r="AK38" i="157"/>
  <c r="AZ36" i="155"/>
  <c r="M40" i="157"/>
  <c r="M40" i="155"/>
  <c r="BI39" i="155" s="1"/>
  <c r="AJ38" i="155"/>
  <c r="AY36" i="155"/>
  <c r="AA35" i="135" s="1"/>
  <c r="N40" i="155"/>
  <c r="BJ39" i="155" s="1"/>
  <c r="N40" i="157"/>
  <c r="E40" i="72"/>
  <c r="E41" i="21" s="1"/>
  <c r="F40" i="72"/>
  <c r="F41" i="21" s="1"/>
  <c r="G40" i="72"/>
  <c r="G41" i="21" s="1"/>
  <c r="D40" i="72"/>
  <c r="D41" i="21" s="1"/>
  <c r="BN39" i="155"/>
  <c r="L40" i="157"/>
  <c r="L40" i="155"/>
  <c r="BH39" i="155" s="1"/>
  <c r="AN38" i="157"/>
  <c r="BQ38" i="155" l="1"/>
  <c r="P35" i="135"/>
  <c r="N35" i="135"/>
  <c r="BB37" i="157"/>
  <c r="I36" i="135" s="1"/>
  <c r="E32" i="31"/>
  <c r="E34" i="98"/>
  <c r="AJ39" i="155"/>
  <c r="AV38" i="155" s="1"/>
  <c r="X37" i="135" s="1"/>
  <c r="AL39" i="157"/>
  <c r="AX38" i="157" s="1"/>
  <c r="F37" i="135" s="1"/>
  <c r="AP39" i="157"/>
  <c r="BD38" i="157" s="1"/>
  <c r="K37" i="135" s="1"/>
  <c r="BB37" i="155"/>
  <c r="AC36" i="135" s="1"/>
  <c r="BA37" i="155"/>
  <c r="AB36" i="135" s="1"/>
  <c r="AM39" i="157"/>
  <c r="AY38" i="157" s="1"/>
  <c r="G37" i="135" s="1"/>
  <c r="AZ37" i="155"/>
  <c r="AJ39" i="157"/>
  <c r="AV38" i="157" s="1"/>
  <c r="D37" i="135" s="1"/>
  <c r="BC37" i="155"/>
  <c r="AD36" i="135" s="1"/>
  <c r="AH36" i="135" s="1"/>
  <c r="BP39" i="155"/>
  <c r="BQ38" i="157"/>
  <c r="AP39" i="155"/>
  <c r="BD38" i="155" s="1"/>
  <c r="AE37" i="135" s="1"/>
  <c r="AK39" i="157"/>
  <c r="AW38" i="157" s="1"/>
  <c r="E37" i="135" s="1"/>
  <c r="M37" i="135" s="1"/>
  <c r="Q36" i="135"/>
  <c r="O36" i="135"/>
  <c r="L36" i="135"/>
  <c r="R36" i="135"/>
  <c r="X41" i="37"/>
  <c r="AF41" i="37" s="1"/>
  <c r="AF41" i="21"/>
  <c r="BA37" i="157"/>
  <c r="H36" i="135" s="1"/>
  <c r="BO39" i="155"/>
  <c r="V45" i="37"/>
  <c r="N41" i="155"/>
  <c r="BJ40" i="155" s="1"/>
  <c r="N41" i="157"/>
  <c r="BJ40" i="157" s="1"/>
  <c r="BC37" i="157"/>
  <c r="J36" i="135" s="1"/>
  <c r="AK39" i="155"/>
  <c r="AW38" i="155" s="1"/>
  <c r="Y37" i="135" s="1"/>
  <c r="AG37" i="135" s="1"/>
  <c r="K41" i="157"/>
  <c r="BG40" i="157" s="1"/>
  <c r="K41" i="155"/>
  <c r="BG40" i="155" s="1"/>
  <c r="AV37" i="157"/>
  <c r="D36" i="135" s="1"/>
  <c r="R41" i="155"/>
  <c r="BN40" i="155" s="1"/>
  <c r="R41" i="157"/>
  <c r="BN40" i="157" s="1"/>
  <c r="AL42" i="72"/>
  <c r="BJ43" i="21" s="1"/>
  <c r="BR43" i="21" s="1"/>
  <c r="AJ42" i="72"/>
  <c r="BH43" i="21" s="1"/>
  <c r="BP43" i="21" s="1"/>
  <c r="AM42" i="72"/>
  <c r="BK43" i="21" s="1"/>
  <c r="BS43" i="21" s="1"/>
  <c r="AK42" i="72"/>
  <c r="BI43" i="21" s="1"/>
  <c r="BQ43" i="21" s="1"/>
  <c r="R41" i="21"/>
  <c r="F41" i="37"/>
  <c r="R41" i="37" s="1"/>
  <c r="AE42" i="72"/>
  <c r="AM43" i="21" s="1"/>
  <c r="AU43" i="21" s="1"/>
  <c r="AB42" i="72"/>
  <c r="AJ43" i="21" s="1"/>
  <c r="AR43" i="21" s="1"/>
  <c r="AC42" i="72"/>
  <c r="AK43" i="21" s="1"/>
  <c r="AS43" i="21" s="1"/>
  <c r="AD42" i="72"/>
  <c r="AL43" i="21" s="1"/>
  <c r="AT43" i="21" s="1"/>
  <c r="AO39" i="157"/>
  <c r="AZ38" i="157" s="1"/>
  <c r="AA40" i="155"/>
  <c r="W40" i="155"/>
  <c r="Z40" i="155"/>
  <c r="Y40" i="155"/>
  <c r="X40" i="155"/>
  <c r="V40" i="155"/>
  <c r="U40" i="155"/>
  <c r="AN39" i="155"/>
  <c r="S41" i="21"/>
  <c r="G41" i="37"/>
  <c r="S41" i="37" s="1"/>
  <c r="Y40" i="157"/>
  <c r="X40" i="157"/>
  <c r="W40" i="157"/>
  <c r="Z40" i="157"/>
  <c r="U40" i="157"/>
  <c r="V40" i="157"/>
  <c r="AA40" i="157"/>
  <c r="O41" i="155"/>
  <c r="O41" i="157"/>
  <c r="BK40" i="157" s="1"/>
  <c r="Q41" i="21"/>
  <c r="E41" i="37"/>
  <c r="Q41" i="37" s="1"/>
  <c r="BD37" i="155"/>
  <c r="AE36" i="135" s="1"/>
  <c r="T41" i="72"/>
  <c r="X42" i="21" s="1"/>
  <c r="U41" i="72"/>
  <c r="Y42" i="21" s="1"/>
  <c r="W41" i="72"/>
  <c r="AA42" i="21" s="1"/>
  <c r="V41" i="72"/>
  <c r="Z42" i="21" s="1"/>
  <c r="BH39" i="157"/>
  <c r="AF40" i="155"/>
  <c r="AB40" i="155"/>
  <c r="AH40" i="155"/>
  <c r="AG40" i="155"/>
  <c r="AC40" i="155"/>
  <c r="AE40" i="155"/>
  <c r="AD40" i="155"/>
  <c r="AZ37" i="157"/>
  <c r="AO39" i="155"/>
  <c r="S45" i="72"/>
  <c r="W46" i="21" s="1"/>
  <c r="Q45" i="72"/>
  <c r="U46" i="21" s="1"/>
  <c r="P45" i="72"/>
  <c r="T46" i="21" s="1"/>
  <c r="R45" i="72"/>
  <c r="V46" i="21" s="1"/>
  <c r="AY37" i="157"/>
  <c r="G36" i="135" s="1"/>
  <c r="BI39" i="157"/>
  <c r="D41" i="37"/>
  <c r="P41" i="37" s="1"/>
  <c r="P41" i="21"/>
  <c r="AV37" i="155"/>
  <c r="X36" i="135" s="1"/>
  <c r="AW37" i="157"/>
  <c r="E36" i="135" s="1"/>
  <c r="M36" i="135" s="1"/>
  <c r="D41" i="72"/>
  <c r="D42" i="21" s="1"/>
  <c r="F41" i="72"/>
  <c r="F42" i="21" s="1"/>
  <c r="E41" i="72"/>
  <c r="E42" i="21" s="1"/>
  <c r="G41" i="72"/>
  <c r="G42" i="21" s="1"/>
  <c r="Y41" i="37"/>
  <c r="AG41" i="37" s="1"/>
  <c r="AG41" i="21"/>
  <c r="AC40" i="157"/>
  <c r="AF40" i="157"/>
  <c r="AH40" i="157"/>
  <c r="AB40" i="157"/>
  <c r="AD40" i="157"/>
  <c r="AE40" i="157"/>
  <c r="AG40" i="157"/>
  <c r="P41" i="155"/>
  <c r="BL40" i="155" s="1"/>
  <c r="P41" i="157"/>
  <c r="BL40" i="157" s="1"/>
  <c r="AM39" i="155"/>
  <c r="W45" i="37"/>
  <c r="M41" i="157"/>
  <c r="M41" i="155"/>
  <c r="AJ35" i="135"/>
  <c r="AH35" i="135"/>
  <c r="AM35" i="135"/>
  <c r="Z41" i="37"/>
  <c r="AH41" i="37" s="1"/>
  <c r="AH41" i="21"/>
  <c r="AL35" i="135"/>
  <c r="AF35" i="135"/>
  <c r="AK35" i="135"/>
  <c r="AI35" i="135"/>
  <c r="BJ39" i="157"/>
  <c r="J43" i="72"/>
  <c r="J44" i="21" s="1"/>
  <c r="J44" i="37" s="1"/>
  <c r="K43" i="72"/>
  <c r="K44" i="21" s="1"/>
  <c r="K44" i="37" s="1"/>
  <c r="I43" i="72"/>
  <c r="I44" i="21" s="1"/>
  <c r="I44" i="37" s="1"/>
  <c r="H43" i="72"/>
  <c r="H44" i="21" s="1"/>
  <c r="H44" i="37" s="1"/>
  <c r="AN39" i="157"/>
  <c r="L41" i="157"/>
  <c r="BH40" i="157" s="1"/>
  <c r="L41" i="155"/>
  <c r="BH40" i="155" s="1"/>
  <c r="AL39" i="155"/>
  <c r="AX38" i="155" s="1"/>
  <c r="Z37" i="135" s="1"/>
  <c r="T45" i="37"/>
  <c r="Q41" i="155"/>
  <c r="Q41" i="157"/>
  <c r="BM40" i="157" s="1"/>
  <c r="AH43" i="72"/>
  <c r="AX44" i="21" s="1"/>
  <c r="BF44" i="21" s="1"/>
  <c r="AF43" i="72"/>
  <c r="AV44" i="21" s="1"/>
  <c r="BD44" i="21" s="1"/>
  <c r="AG43" i="72"/>
  <c r="AW44" i="21" s="1"/>
  <c r="BE44" i="21" s="1"/>
  <c r="AI43" i="72"/>
  <c r="AY44" i="21" s="1"/>
  <c r="BG44" i="21" s="1"/>
  <c r="AA41" i="37"/>
  <c r="AI41" i="37" s="1"/>
  <c r="AI41" i="21"/>
  <c r="AL36" i="135"/>
  <c r="AK36" i="135"/>
  <c r="AI36" i="135"/>
  <c r="AF36" i="135"/>
  <c r="U45" i="37"/>
  <c r="BK39" i="157"/>
  <c r="BP39" i="157" s="1"/>
  <c r="Q35" i="135"/>
  <c r="L35" i="135"/>
  <c r="O35" i="135"/>
  <c r="R35" i="135"/>
  <c r="BC38" i="157" l="1"/>
  <c r="J37" i="135" s="1"/>
  <c r="N37" i="135" s="1"/>
  <c r="E33" i="31"/>
  <c r="E35" i="98"/>
  <c r="BQ39" i="155"/>
  <c r="AJ36" i="135"/>
  <c r="AM36" i="135"/>
  <c r="AN40" i="155"/>
  <c r="BB38" i="155"/>
  <c r="AC37" i="135" s="1"/>
  <c r="AL40" i="155"/>
  <c r="AX39" i="155" s="1"/>
  <c r="Z38" i="135" s="1"/>
  <c r="AL40" i="157"/>
  <c r="AX39" i="157" s="1"/>
  <c r="F38" i="135" s="1"/>
  <c r="L38" i="135" s="1"/>
  <c r="BO39" i="157"/>
  <c r="BQ39" i="157" s="1"/>
  <c r="AM40" i="155"/>
  <c r="AY39" i="155" s="1"/>
  <c r="AA38" i="135" s="1"/>
  <c r="Y42" i="37"/>
  <c r="AG42" i="37" s="1"/>
  <c r="AG42" i="21"/>
  <c r="AN40" i="157"/>
  <c r="AP40" i="155"/>
  <c r="AK37" i="135"/>
  <c r="AL37" i="135"/>
  <c r="AI37" i="135"/>
  <c r="AF37" i="135"/>
  <c r="X42" i="37"/>
  <c r="AF42" i="37" s="1"/>
  <c r="AF42" i="21"/>
  <c r="AP40" i="157"/>
  <c r="Q42" i="157"/>
  <c r="BM41" i="157" s="1"/>
  <c r="Q42" i="155"/>
  <c r="BI40" i="157"/>
  <c r="BO40" i="157" s="1"/>
  <c r="S36" i="135"/>
  <c r="P36" i="135"/>
  <c r="N36" i="135"/>
  <c r="AA42" i="37"/>
  <c r="AI42" i="37" s="1"/>
  <c r="AI42" i="21"/>
  <c r="AH44" i="72"/>
  <c r="AX45" i="21" s="1"/>
  <c r="BF45" i="21" s="1"/>
  <c r="AG44" i="72"/>
  <c r="AW45" i="21" s="1"/>
  <c r="BE45" i="21" s="1"/>
  <c r="AF44" i="72"/>
  <c r="AV45" i="21" s="1"/>
  <c r="BD45" i="21" s="1"/>
  <c r="AI44" i="72"/>
  <c r="AY45" i="21" s="1"/>
  <c r="BG45" i="21" s="1"/>
  <c r="BB38" i="157"/>
  <c r="I37" i="135" s="1"/>
  <c r="BA38" i="157"/>
  <c r="H37" i="135" s="1"/>
  <c r="BM40" i="155"/>
  <c r="P46" i="72"/>
  <c r="T47" i="21" s="1"/>
  <c r="S46" i="72"/>
  <c r="W47" i="21" s="1"/>
  <c r="Q46" i="72"/>
  <c r="U47" i="21" s="1"/>
  <c r="R46" i="72"/>
  <c r="V47" i="21" s="1"/>
  <c r="AK40" i="157"/>
  <c r="AJ40" i="155"/>
  <c r="M42" i="155"/>
  <c r="M42" i="157"/>
  <c r="F42" i="72"/>
  <c r="F43" i="21" s="1"/>
  <c r="G42" i="72"/>
  <c r="G43" i="21" s="1"/>
  <c r="D42" i="72"/>
  <c r="D43" i="21" s="1"/>
  <c r="E42" i="72"/>
  <c r="E43" i="21" s="1"/>
  <c r="AD41" i="155"/>
  <c r="AE41" i="155"/>
  <c r="AF41" i="155"/>
  <c r="AH41" i="155"/>
  <c r="AC41" i="155"/>
  <c r="AG41" i="155"/>
  <c r="AB41" i="155"/>
  <c r="BC38" i="155"/>
  <c r="AD37" i="135" s="1"/>
  <c r="X41" i="157"/>
  <c r="AA41" i="157"/>
  <c r="Z41" i="157"/>
  <c r="Y41" i="157"/>
  <c r="U41" i="157"/>
  <c r="W41" i="157"/>
  <c r="V41" i="157"/>
  <c r="AZ38" i="155"/>
  <c r="G42" i="37"/>
  <c r="S42" i="37" s="1"/>
  <c r="S42" i="21"/>
  <c r="V46" i="37"/>
  <c r="BK40" i="155"/>
  <c r="R37" i="135"/>
  <c r="O37" i="135"/>
  <c r="Q37" i="135"/>
  <c r="L37" i="135"/>
  <c r="AJ40" i="157"/>
  <c r="R42" i="155"/>
  <c r="BN41" i="155" s="1"/>
  <c r="R42" i="157"/>
  <c r="BN41" i="157" s="1"/>
  <c r="AK40" i="155"/>
  <c r="AD43" i="72"/>
  <c r="AL44" i="21" s="1"/>
  <c r="AT44" i="21" s="1"/>
  <c r="AE43" i="72"/>
  <c r="AM44" i="21" s="1"/>
  <c r="AU44" i="21" s="1"/>
  <c r="AB43" i="72"/>
  <c r="AJ44" i="21" s="1"/>
  <c r="AR44" i="21" s="1"/>
  <c r="AC43" i="72"/>
  <c r="AK44" i="21" s="1"/>
  <c r="AS44" i="21" s="1"/>
  <c r="E42" i="37"/>
  <c r="Q42" i="37" s="1"/>
  <c r="Q42" i="21"/>
  <c r="K42" i="157"/>
  <c r="K42" i="155"/>
  <c r="BG41" i="155" s="1"/>
  <c r="T46" i="37"/>
  <c r="P42" i="155"/>
  <c r="BL41" i="155" s="1"/>
  <c r="P42" i="157"/>
  <c r="AO40" i="157"/>
  <c r="AZ39" i="157" s="1"/>
  <c r="N42" i="157"/>
  <c r="N42" i="155"/>
  <c r="BJ41" i="155" s="1"/>
  <c r="AL43" i="72"/>
  <c r="BJ44" i="21" s="1"/>
  <c r="BR44" i="21" s="1"/>
  <c r="AM43" i="72"/>
  <c r="BK44" i="21" s="1"/>
  <c r="BS44" i="21" s="1"/>
  <c r="AJ43" i="72"/>
  <c r="BH44" i="21" s="1"/>
  <c r="BP44" i="21" s="1"/>
  <c r="AK43" i="72"/>
  <c r="BI44" i="21" s="1"/>
  <c r="BQ44" i="21" s="1"/>
  <c r="R42" i="21"/>
  <c r="F42" i="37"/>
  <c r="R42" i="37" s="1"/>
  <c r="O42" i="155"/>
  <c r="O42" i="157"/>
  <c r="U46" i="37"/>
  <c r="T42" i="72"/>
  <c r="X43" i="21" s="1"/>
  <c r="U42" i="72"/>
  <c r="Y43" i="21" s="1"/>
  <c r="V42" i="72"/>
  <c r="Z43" i="21" s="1"/>
  <c r="W42" i="72"/>
  <c r="AA43" i="21" s="1"/>
  <c r="L42" i="157"/>
  <c r="BH41" i="157" s="1"/>
  <c r="L42" i="155"/>
  <c r="H44" i="72"/>
  <c r="H45" i="21" s="1"/>
  <c r="H45" i="37" s="1"/>
  <c r="J44" i="72"/>
  <c r="J45" i="21" s="1"/>
  <c r="J45" i="37" s="1"/>
  <c r="I44" i="72"/>
  <c r="I45" i="21" s="1"/>
  <c r="I45" i="37" s="1"/>
  <c r="K44" i="72"/>
  <c r="K45" i="21" s="1"/>
  <c r="K45" i="37" s="1"/>
  <c r="BI40" i="155"/>
  <c r="BO40" i="155" s="1"/>
  <c r="BP40" i="157"/>
  <c r="D42" i="37"/>
  <c r="P42" i="37" s="1"/>
  <c r="P42" i="21"/>
  <c r="W46" i="37"/>
  <c r="Z42" i="37"/>
  <c r="AH42" i="37" s="1"/>
  <c r="AH42" i="21"/>
  <c r="AF41" i="157"/>
  <c r="AB41" i="157"/>
  <c r="AH41" i="157"/>
  <c r="AE41" i="157"/>
  <c r="AG41" i="157"/>
  <c r="AD41" i="157"/>
  <c r="AC41" i="157"/>
  <c r="AM40" i="157"/>
  <c r="BA38" i="155"/>
  <c r="AB37" i="135" s="1"/>
  <c r="AO40" i="155"/>
  <c r="W41" i="155"/>
  <c r="Z41" i="155"/>
  <c r="AA41" i="155"/>
  <c r="V41" i="155"/>
  <c r="X41" i="155"/>
  <c r="U41" i="155"/>
  <c r="Y41" i="155"/>
  <c r="AY38" i="155"/>
  <c r="AA37" i="135" s="1"/>
  <c r="R38" i="135" l="1"/>
  <c r="AM41" i="155"/>
  <c r="AY40" i="155" s="1"/>
  <c r="AA39" i="135" s="1"/>
  <c r="AP41" i="155"/>
  <c r="BD40" i="155" s="1"/>
  <c r="AE39" i="135" s="1"/>
  <c r="AK41" i="155"/>
  <c r="S37" i="135"/>
  <c r="P37" i="135"/>
  <c r="AN41" i="155"/>
  <c r="BC39" i="155"/>
  <c r="AD38" i="135" s="1"/>
  <c r="AH38" i="135" s="1"/>
  <c r="E34" i="31"/>
  <c r="E36" i="98"/>
  <c r="AJ41" i="155"/>
  <c r="BB39" i="157"/>
  <c r="I38" i="135" s="1"/>
  <c r="O38" i="135"/>
  <c r="Q38" i="135"/>
  <c r="AO41" i="155"/>
  <c r="AL41" i="155"/>
  <c r="AX40" i="155" s="1"/>
  <c r="Z39" i="135" s="1"/>
  <c r="BA39" i="157"/>
  <c r="H38" i="135" s="1"/>
  <c r="BP40" i="155"/>
  <c r="BQ40" i="155" s="1"/>
  <c r="BC39" i="157"/>
  <c r="J38" i="135" s="1"/>
  <c r="P38" i="135" s="1"/>
  <c r="AK41" i="157"/>
  <c r="AW40" i="157" s="1"/>
  <c r="E39" i="135" s="1"/>
  <c r="M39" i="135" s="1"/>
  <c r="AM37" i="135"/>
  <c r="AH37" i="135"/>
  <c r="AJ37" i="135"/>
  <c r="V47" i="37"/>
  <c r="BD39" i="155"/>
  <c r="AE38" i="135" s="1"/>
  <c r="H45" i="72"/>
  <c r="H46" i="21" s="1"/>
  <c r="H46" i="37" s="1"/>
  <c r="J45" i="72"/>
  <c r="J46" i="21" s="1"/>
  <c r="J46" i="37" s="1"/>
  <c r="I45" i="72"/>
  <c r="I46" i="21" s="1"/>
  <c r="I46" i="37" s="1"/>
  <c r="K45" i="72"/>
  <c r="K46" i="21" s="1"/>
  <c r="K46" i="37" s="1"/>
  <c r="AB44" i="72"/>
  <c r="AJ45" i="21" s="1"/>
  <c r="AR45" i="21" s="1"/>
  <c r="AE44" i="72"/>
  <c r="AM45" i="21" s="1"/>
  <c r="AU45" i="21" s="1"/>
  <c r="AC44" i="72"/>
  <c r="AK45" i="21" s="1"/>
  <c r="AS45" i="21" s="1"/>
  <c r="AD44" i="72"/>
  <c r="AL45" i="21" s="1"/>
  <c r="AT45" i="21" s="1"/>
  <c r="AV39" i="157"/>
  <c r="D38" i="135" s="1"/>
  <c r="N43" i="155"/>
  <c r="BJ42" i="155" s="1"/>
  <c r="N43" i="157"/>
  <c r="BJ42" i="157" s="1"/>
  <c r="AL41" i="157"/>
  <c r="AZ39" i="155"/>
  <c r="U47" i="37"/>
  <c r="BQ40" i="157"/>
  <c r="Z42" i="155"/>
  <c r="AA42" i="155"/>
  <c r="X42" i="155"/>
  <c r="V42" i="155"/>
  <c r="Y42" i="155"/>
  <c r="U42" i="155"/>
  <c r="W42" i="155"/>
  <c r="R43" i="155"/>
  <c r="BN42" i="155" s="1"/>
  <c r="R43" i="157"/>
  <c r="BN42" i="157" s="1"/>
  <c r="AJ41" i="157"/>
  <c r="AV40" i="157" s="1"/>
  <c r="D39" i="135" s="1"/>
  <c r="Q43" i="21"/>
  <c r="E43" i="37"/>
  <c r="Q43" i="37" s="1"/>
  <c r="W47" i="37"/>
  <c r="U42" i="157"/>
  <c r="AA42" i="157"/>
  <c r="W42" i="157"/>
  <c r="Y42" i="157"/>
  <c r="V42" i="157"/>
  <c r="Z42" i="157"/>
  <c r="X42" i="157"/>
  <c r="BH41" i="155"/>
  <c r="AN41" i="157"/>
  <c r="D43" i="37"/>
  <c r="P43" i="37" s="1"/>
  <c r="P43" i="21"/>
  <c r="T47" i="37"/>
  <c r="BA39" i="155"/>
  <c r="AB38" i="135" s="1"/>
  <c r="X43" i="37"/>
  <c r="AF43" i="37" s="1"/>
  <c r="AF43" i="21"/>
  <c r="AB42" i="157"/>
  <c r="AH42" i="157"/>
  <c r="AG42" i="157"/>
  <c r="AC42" i="157"/>
  <c r="AD42" i="157"/>
  <c r="AF42" i="157"/>
  <c r="AE42" i="157"/>
  <c r="T43" i="72"/>
  <c r="X44" i="21" s="1"/>
  <c r="V43" i="72"/>
  <c r="Z44" i="21" s="1"/>
  <c r="U43" i="72"/>
  <c r="Y44" i="21" s="1"/>
  <c r="W43" i="72"/>
  <c r="AA44" i="21" s="1"/>
  <c r="AB42" i="155"/>
  <c r="AC42" i="155"/>
  <c r="AH42" i="155"/>
  <c r="AE42" i="155"/>
  <c r="AF42" i="155"/>
  <c r="AG42" i="155"/>
  <c r="AD42" i="155"/>
  <c r="L43" i="157"/>
  <c r="BH42" i="157" s="1"/>
  <c r="L43" i="155"/>
  <c r="BH42" i="155" s="1"/>
  <c r="AO41" i="157"/>
  <c r="BK41" i="155"/>
  <c r="S43" i="21"/>
  <c r="G43" i="37"/>
  <c r="S43" i="37" s="1"/>
  <c r="AI45" i="72"/>
  <c r="AY46" i="21" s="1"/>
  <c r="BG46" i="21" s="1"/>
  <c r="AG45" i="72"/>
  <c r="AW46" i="21" s="1"/>
  <c r="BE46" i="21" s="1"/>
  <c r="AH45" i="72"/>
  <c r="AX46" i="21" s="1"/>
  <c r="BF46" i="21" s="1"/>
  <c r="AF45" i="72"/>
  <c r="AV46" i="21" s="1"/>
  <c r="BD46" i="21" s="1"/>
  <c r="BB39" i="155"/>
  <c r="AC38" i="135" s="1"/>
  <c r="BI41" i="157"/>
  <c r="AA43" i="37"/>
  <c r="AI43" i="37" s="1"/>
  <c r="AI43" i="21"/>
  <c r="Q43" i="157"/>
  <c r="BM42" i="157" s="1"/>
  <c r="Q43" i="155"/>
  <c r="BM42" i="155" s="1"/>
  <c r="AL44" i="72"/>
  <c r="BJ45" i="21" s="1"/>
  <c r="BR45" i="21" s="1"/>
  <c r="AK44" i="72"/>
  <c r="BI45" i="21" s="1"/>
  <c r="BQ45" i="21" s="1"/>
  <c r="AJ44" i="72"/>
  <c r="BH45" i="21" s="1"/>
  <c r="BP45" i="21" s="1"/>
  <c r="AM44" i="72"/>
  <c r="BK45" i="21" s="1"/>
  <c r="BS45" i="21" s="1"/>
  <c r="P43" i="155"/>
  <c r="BL42" i="155" s="1"/>
  <c r="P43" i="157"/>
  <c r="BL42" i="157" s="1"/>
  <c r="AP41" i="157"/>
  <c r="R43" i="21"/>
  <c r="F43" i="37"/>
  <c r="R43" i="37" s="1"/>
  <c r="AV40" i="155"/>
  <c r="X39" i="135" s="1"/>
  <c r="AV39" i="155"/>
  <c r="X38" i="135" s="1"/>
  <c r="BK41" i="157"/>
  <c r="O43" i="157"/>
  <c r="O43" i="155"/>
  <c r="Z43" i="37"/>
  <c r="AH43" i="37" s="1"/>
  <c r="AH43" i="21"/>
  <c r="M43" i="155"/>
  <c r="M43" i="157"/>
  <c r="BI42" i="157" s="1"/>
  <c r="BL41" i="157"/>
  <c r="AW40" i="155"/>
  <c r="Y39" i="135" s="1"/>
  <c r="AG39" i="135" s="1"/>
  <c r="AM41" i="157"/>
  <c r="AY40" i="157" s="1"/>
  <c r="G39" i="135" s="1"/>
  <c r="E43" i="72"/>
  <c r="E44" i="21" s="1"/>
  <c r="G43" i="72"/>
  <c r="G44" i="21" s="1"/>
  <c r="F43" i="72"/>
  <c r="F44" i="21" s="1"/>
  <c r="D43" i="72"/>
  <c r="D44" i="21" s="1"/>
  <c r="AW39" i="157"/>
  <c r="E38" i="135" s="1"/>
  <c r="M38" i="135" s="1"/>
  <c r="AK38" i="135"/>
  <c r="AL38" i="135"/>
  <c r="AI38" i="135"/>
  <c r="AF38" i="135"/>
  <c r="BD39" i="157"/>
  <c r="K38" i="135" s="1"/>
  <c r="BM41" i="155"/>
  <c r="K43" i="157"/>
  <c r="BG42" i="157" s="1"/>
  <c r="K43" i="155"/>
  <c r="AY39" i="157"/>
  <c r="G38" i="135" s="1"/>
  <c r="Y43" i="37"/>
  <c r="AG43" i="37" s="1"/>
  <c r="AG43" i="21"/>
  <c r="BJ41" i="157"/>
  <c r="BG41" i="157"/>
  <c r="BI41" i="155"/>
  <c r="Q47" i="72"/>
  <c r="U48" i="21" s="1"/>
  <c r="S47" i="72"/>
  <c r="W48" i="21" s="1"/>
  <c r="R47" i="72"/>
  <c r="V48" i="21" s="1"/>
  <c r="P47" i="72"/>
  <c r="T48" i="21" s="1"/>
  <c r="AW39" i="155"/>
  <c r="Y38" i="135" s="1"/>
  <c r="AG38" i="135" s="1"/>
  <c r="BC40" i="155" l="1"/>
  <c r="AD39" i="135" s="1"/>
  <c r="AH39" i="135" s="1"/>
  <c r="AJ38" i="135"/>
  <c r="AM38" i="135"/>
  <c r="BA40" i="155"/>
  <c r="AB39" i="135" s="1"/>
  <c r="BB40" i="155"/>
  <c r="AC39" i="135" s="1"/>
  <c r="AZ40" i="155"/>
  <c r="E35" i="31"/>
  <c r="E37" i="98"/>
  <c r="BC40" i="157"/>
  <c r="J39" i="135" s="1"/>
  <c r="P39" i="135" s="1"/>
  <c r="BO41" i="155"/>
  <c r="AZ40" i="157"/>
  <c r="AP42" i="157"/>
  <c r="BD41" i="157" s="1"/>
  <c r="K40" i="135" s="1"/>
  <c r="N38" i="135"/>
  <c r="S38" i="135"/>
  <c r="BD40" i="157"/>
  <c r="K39" i="135" s="1"/>
  <c r="BA40" i="157"/>
  <c r="H39" i="135" s="1"/>
  <c r="AM42" i="157"/>
  <c r="AY41" i="157" s="1"/>
  <c r="G40" i="135" s="1"/>
  <c r="BO42" i="157"/>
  <c r="V48" i="37"/>
  <c r="G44" i="37"/>
  <c r="S44" i="37" s="1"/>
  <c r="S44" i="21"/>
  <c r="BP41" i="157"/>
  <c r="AA44" i="37"/>
  <c r="AI44" i="37" s="1"/>
  <c r="AI44" i="21"/>
  <c r="AL42" i="155"/>
  <c r="BB40" i="157"/>
  <c r="I39" i="135" s="1"/>
  <c r="AX40" i="157"/>
  <c r="F39" i="135" s="1"/>
  <c r="R44" i="21"/>
  <c r="F44" i="37"/>
  <c r="R44" i="37" s="1"/>
  <c r="Z43" i="155"/>
  <c r="X43" i="155"/>
  <c r="Y43" i="155"/>
  <c r="W43" i="155"/>
  <c r="AA43" i="155"/>
  <c r="U43" i="155"/>
  <c r="V43" i="155"/>
  <c r="BO41" i="157"/>
  <c r="U43" i="157"/>
  <c r="W43" i="157"/>
  <c r="Y43" i="157"/>
  <c r="X43" i="157"/>
  <c r="V43" i="157"/>
  <c r="AA43" i="157"/>
  <c r="Z43" i="157"/>
  <c r="AL45" i="72"/>
  <c r="BJ46" i="21" s="1"/>
  <c r="BR46" i="21" s="1"/>
  <c r="AK45" i="72"/>
  <c r="BI46" i="21" s="1"/>
  <c r="BQ46" i="21" s="1"/>
  <c r="AM45" i="72"/>
  <c r="BK46" i="21" s="1"/>
  <c r="BS46" i="21" s="1"/>
  <c r="AJ45" i="72"/>
  <c r="BH46" i="21" s="1"/>
  <c r="BP46" i="21" s="1"/>
  <c r="R44" i="157"/>
  <c r="BN43" i="157" s="1"/>
  <c r="R44" i="155"/>
  <c r="BN43" i="155" s="1"/>
  <c r="T44" i="72"/>
  <c r="X45" i="21" s="1"/>
  <c r="W44" i="72"/>
  <c r="AA45" i="21" s="1"/>
  <c r="U44" i="72"/>
  <c r="Y45" i="21" s="1"/>
  <c r="V44" i="72"/>
  <c r="Z45" i="21" s="1"/>
  <c r="AO42" i="157"/>
  <c r="AZ41" i="157" s="1"/>
  <c r="AJ42" i="155"/>
  <c r="U48" i="37"/>
  <c r="AK39" i="135"/>
  <c r="AI39" i="135"/>
  <c r="AF39" i="135"/>
  <c r="AL39" i="135"/>
  <c r="G44" i="72"/>
  <c r="G45" i="21" s="1"/>
  <c r="D44" i="72"/>
  <c r="D45" i="21" s="1"/>
  <c r="F44" i="72"/>
  <c r="F45" i="21" s="1"/>
  <c r="E44" i="72"/>
  <c r="E45" i="21" s="1"/>
  <c r="R48" i="72"/>
  <c r="V49" i="21" s="1"/>
  <c r="Q48" i="72"/>
  <c r="U49" i="21" s="1"/>
  <c r="P48" i="72"/>
  <c r="T49" i="21" s="1"/>
  <c r="S48" i="72"/>
  <c r="W49" i="21" s="1"/>
  <c r="AH43" i="155"/>
  <c r="AC43" i="155"/>
  <c r="AD43" i="155"/>
  <c r="AG43" i="155"/>
  <c r="AE43" i="155"/>
  <c r="AF43" i="155"/>
  <c r="AB43" i="155"/>
  <c r="N44" i="157"/>
  <c r="N44" i="155"/>
  <c r="Y44" i="37"/>
  <c r="AG44" i="37" s="1"/>
  <c r="AG44" i="21"/>
  <c r="BI42" i="155"/>
  <c r="AK42" i="157"/>
  <c r="AW41" i="157" s="1"/>
  <c r="E40" i="135" s="1"/>
  <c r="M40" i="135" s="1"/>
  <c r="AN42" i="155"/>
  <c r="T48" i="37"/>
  <c r="AD43" i="157"/>
  <c r="AE43" i="157"/>
  <c r="AC43" i="157"/>
  <c r="AG43" i="157"/>
  <c r="AB43" i="157"/>
  <c r="AF43" i="157"/>
  <c r="AH43" i="157"/>
  <c r="Q44" i="155"/>
  <c r="Q44" i="157"/>
  <c r="BM43" i="157" s="1"/>
  <c r="BP41" i="155"/>
  <c r="Z44" i="37"/>
  <c r="AH44" i="37" s="1"/>
  <c r="AH44" i="21"/>
  <c r="BK42" i="157"/>
  <c r="BP42" i="157" s="1"/>
  <c r="K44" i="157"/>
  <c r="K44" i="155"/>
  <c r="AN42" i="157"/>
  <c r="P44" i="155"/>
  <c r="BL43" i="155" s="1"/>
  <c r="P44" i="157"/>
  <c r="BL43" i="157" s="1"/>
  <c r="AK42" i="155"/>
  <c r="K46" i="72"/>
  <c r="K47" i="21" s="1"/>
  <c r="K47" i="37" s="1"/>
  <c r="I46" i="72"/>
  <c r="I47" i="21" s="1"/>
  <c r="I47" i="37" s="1"/>
  <c r="J46" i="72"/>
  <c r="J47" i="21" s="1"/>
  <c r="J47" i="37" s="1"/>
  <c r="H46" i="72"/>
  <c r="H47" i="21" s="1"/>
  <c r="H47" i="37" s="1"/>
  <c r="P44" i="21"/>
  <c r="D44" i="37"/>
  <c r="P44" i="37" s="1"/>
  <c r="M44" i="155"/>
  <c r="M44" i="157"/>
  <c r="BI43" i="157" s="1"/>
  <c r="AF46" i="72"/>
  <c r="AV47" i="21" s="1"/>
  <c r="BD47" i="21" s="1"/>
  <c r="AG46" i="72"/>
  <c r="AW47" i="21" s="1"/>
  <c r="BE47" i="21" s="1"/>
  <c r="AI46" i="72"/>
  <c r="AY47" i="21" s="1"/>
  <c r="BG47" i="21" s="1"/>
  <c r="AH46" i="72"/>
  <c r="AX47" i="21" s="1"/>
  <c r="BF47" i="21" s="1"/>
  <c r="BK42" i="155"/>
  <c r="BP42" i="155" s="1"/>
  <c r="X44" i="37"/>
  <c r="AF44" i="37" s="1"/>
  <c r="AF44" i="21"/>
  <c r="O44" i="157"/>
  <c r="O44" i="155"/>
  <c r="AL42" i="157"/>
  <c r="AX41" i="157" s="1"/>
  <c r="F40" i="135" s="1"/>
  <c r="L44" i="155"/>
  <c r="BH43" i="155" s="1"/>
  <c r="L44" i="157"/>
  <c r="BH43" i="157" s="1"/>
  <c r="AM42" i="155"/>
  <c r="AP42" i="155"/>
  <c r="AD45" i="72"/>
  <c r="AL46" i="21" s="1"/>
  <c r="AT46" i="21" s="1"/>
  <c r="AE45" i="72"/>
  <c r="AM46" i="21" s="1"/>
  <c r="AU46" i="21" s="1"/>
  <c r="AB45" i="72"/>
  <c r="AJ46" i="21" s="1"/>
  <c r="AR46" i="21" s="1"/>
  <c r="AC45" i="72"/>
  <c r="AK46" i="21" s="1"/>
  <c r="AS46" i="21" s="1"/>
  <c r="AJ42" i="157"/>
  <c r="AO42" i="155"/>
  <c r="W48" i="37"/>
  <c r="E44" i="37"/>
  <c r="Q44" i="37" s="1"/>
  <c r="Q44" i="21"/>
  <c r="BG42" i="155"/>
  <c r="AM39" i="135" l="1"/>
  <c r="AJ39" i="135"/>
  <c r="BQ41" i="155"/>
  <c r="BQ41" i="157"/>
  <c r="S39" i="135"/>
  <c r="E36" i="31"/>
  <c r="E38" i="98"/>
  <c r="N39" i="135"/>
  <c r="BO42" i="155"/>
  <c r="BQ42" i="155" s="1"/>
  <c r="BC41" i="157"/>
  <c r="J40" i="135" s="1"/>
  <c r="P40" i="135" s="1"/>
  <c r="AN43" i="157"/>
  <c r="AN43" i="155"/>
  <c r="BA41" i="157"/>
  <c r="H40" i="135" s="1"/>
  <c r="AC44" i="155"/>
  <c r="AG44" i="155"/>
  <c r="AE44" i="155"/>
  <c r="AB44" i="155"/>
  <c r="AD44" i="155"/>
  <c r="AF44" i="155"/>
  <c r="AH44" i="155"/>
  <c r="W44" i="155"/>
  <c r="AA44" i="155"/>
  <c r="Z44" i="155"/>
  <c r="AO44" i="155" s="1"/>
  <c r="X44" i="155"/>
  <c r="Y44" i="155"/>
  <c r="U44" i="155"/>
  <c r="V44" i="155"/>
  <c r="R45" i="21"/>
  <c r="F45" i="37"/>
  <c r="R45" i="37" s="1"/>
  <c r="Y45" i="37"/>
  <c r="AG45" i="37" s="1"/>
  <c r="AG45" i="21"/>
  <c r="AL43" i="157"/>
  <c r="AX42" i="157" s="1"/>
  <c r="F41" i="135" s="1"/>
  <c r="AM43" i="155"/>
  <c r="R45" i="155"/>
  <c r="BN44" i="155" s="1"/>
  <c r="R45" i="157"/>
  <c r="BN44" i="157" s="1"/>
  <c r="AF44" i="157"/>
  <c r="AD44" i="157"/>
  <c r="AE44" i="157"/>
  <c r="AC44" i="157"/>
  <c r="AB44" i="157"/>
  <c r="AH44" i="157"/>
  <c r="AG44" i="157"/>
  <c r="D45" i="37"/>
  <c r="P45" i="37" s="1"/>
  <c r="P45" i="21"/>
  <c r="AA45" i="37"/>
  <c r="AI45" i="37" s="1"/>
  <c r="AI45" i="21"/>
  <c r="AJ43" i="157"/>
  <c r="AV42" i="157" s="1"/>
  <c r="D41" i="135" s="1"/>
  <c r="BG43" i="155"/>
  <c r="AX41" i="155"/>
  <c r="Z40" i="135" s="1"/>
  <c r="K47" i="72"/>
  <c r="K48" i="21" s="1"/>
  <c r="K48" i="37" s="1"/>
  <c r="H47" i="72"/>
  <c r="H48" i="21" s="1"/>
  <c r="H48" i="37" s="1"/>
  <c r="I47" i="72"/>
  <c r="I48" i="21" s="1"/>
  <c r="I48" i="37" s="1"/>
  <c r="J47" i="72"/>
  <c r="J48" i="21" s="1"/>
  <c r="J48" i="37" s="1"/>
  <c r="U45" i="72"/>
  <c r="Y46" i="21" s="1"/>
  <c r="T45" i="72"/>
  <c r="X46" i="21" s="1"/>
  <c r="W45" i="72"/>
  <c r="AA46" i="21" s="1"/>
  <c r="V45" i="72"/>
  <c r="Z46" i="21" s="1"/>
  <c r="Q40" i="135"/>
  <c r="R40" i="135"/>
  <c r="L40" i="135"/>
  <c r="O40" i="135"/>
  <c r="BK43" i="157"/>
  <c r="BP43" i="157" s="1"/>
  <c r="BJ43" i="155"/>
  <c r="Q49" i="72"/>
  <c r="U50" i="21" s="1"/>
  <c r="R49" i="72"/>
  <c r="V50" i="21" s="1"/>
  <c r="P49" i="72"/>
  <c r="T50" i="21" s="1"/>
  <c r="S49" i="72"/>
  <c r="W50" i="21" s="1"/>
  <c r="S45" i="21"/>
  <c r="G45" i="37"/>
  <c r="S45" i="37" s="1"/>
  <c r="X45" i="37"/>
  <c r="AF45" i="37" s="1"/>
  <c r="AF45" i="21"/>
  <c r="AO43" i="157"/>
  <c r="AO43" i="155"/>
  <c r="X44" i="157"/>
  <c r="W44" i="157"/>
  <c r="U44" i="157"/>
  <c r="Y44" i="157"/>
  <c r="AA44" i="157"/>
  <c r="V44" i="157"/>
  <c r="Z44" i="157"/>
  <c r="L45" i="157"/>
  <c r="BH44" i="157" s="1"/>
  <c r="L45" i="155"/>
  <c r="BM43" i="155"/>
  <c r="P45" i="155"/>
  <c r="BL44" i="155" s="1"/>
  <c r="P45" i="157"/>
  <c r="BL44" i="157" s="1"/>
  <c r="BD41" i="155"/>
  <c r="AE40" i="135" s="1"/>
  <c r="AY42" i="155"/>
  <c r="AA41" i="135" s="1"/>
  <c r="AY41" i="155"/>
  <c r="AA40" i="135" s="1"/>
  <c r="BB41" i="155"/>
  <c r="AC40" i="135" s="1"/>
  <c r="BA41" i="155"/>
  <c r="AB40" i="135" s="1"/>
  <c r="BC41" i="155"/>
  <c r="AD40" i="135" s="1"/>
  <c r="W49" i="37"/>
  <c r="G45" i="72"/>
  <c r="G46" i="21" s="1"/>
  <c r="D45" i="72"/>
  <c r="D46" i="21" s="1"/>
  <c r="E45" i="72"/>
  <c r="E46" i="21" s="1"/>
  <c r="F45" i="72"/>
  <c r="F46" i="21" s="1"/>
  <c r="BJ43" i="157"/>
  <c r="AP43" i="157"/>
  <c r="AK43" i="155"/>
  <c r="BI43" i="155"/>
  <c r="BQ42" i="157"/>
  <c r="N45" i="155"/>
  <c r="BJ44" i="155" s="1"/>
  <c r="N45" i="157"/>
  <c r="BJ44" i="157" s="1"/>
  <c r="AV41" i="157"/>
  <c r="D40" i="135" s="1"/>
  <c r="AW41" i="155"/>
  <c r="Y40" i="135" s="1"/>
  <c r="AG40" i="135" s="1"/>
  <c r="BK43" i="155"/>
  <c r="T49" i="37"/>
  <c r="AV41" i="155"/>
  <c r="X40" i="135" s="1"/>
  <c r="BG43" i="157"/>
  <c r="AJ43" i="155"/>
  <c r="Q45" i="157"/>
  <c r="BM44" i="157" s="1"/>
  <c r="Q45" i="155"/>
  <c r="Q45" i="21"/>
  <c r="E45" i="37"/>
  <c r="Q45" i="37" s="1"/>
  <c r="AD46" i="72"/>
  <c r="AL47" i="21" s="1"/>
  <c r="AT47" i="21" s="1"/>
  <c r="AE46" i="72"/>
  <c r="AM47" i="21" s="1"/>
  <c r="AU47" i="21" s="1"/>
  <c r="AB46" i="72"/>
  <c r="AJ47" i="21" s="1"/>
  <c r="AR47" i="21" s="1"/>
  <c r="AC46" i="72"/>
  <c r="AK47" i="21" s="1"/>
  <c r="AS47" i="21" s="1"/>
  <c r="AG47" i="72"/>
  <c r="AW48" i="21" s="1"/>
  <c r="BE48" i="21" s="1"/>
  <c r="AH47" i="72"/>
  <c r="AX48" i="21" s="1"/>
  <c r="BF48" i="21" s="1"/>
  <c r="AI47" i="72"/>
  <c r="AY48" i="21" s="1"/>
  <c r="BG48" i="21" s="1"/>
  <c r="AF47" i="72"/>
  <c r="AV48" i="21" s="1"/>
  <c r="BD48" i="21" s="1"/>
  <c r="O45" i="155"/>
  <c r="O45" i="157"/>
  <c r="BK44" i="157" s="1"/>
  <c r="U49" i="37"/>
  <c r="AM46" i="72"/>
  <c r="BK47" i="21" s="1"/>
  <c r="BS47" i="21" s="1"/>
  <c r="AL46" i="72"/>
  <c r="BJ47" i="21" s="1"/>
  <c r="BR47" i="21" s="1"/>
  <c r="AJ46" i="72"/>
  <c r="BH47" i="21" s="1"/>
  <c r="BP47" i="21" s="1"/>
  <c r="AK46" i="72"/>
  <c r="BI47" i="21" s="1"/>
  <c r="BQ47" i="21" s="1"/>
  <c r="AK43" i="157"/>
  <c r="AP43" i="155"/>
  <c r="M45" i="155"/>
  <c r="BI44" i="155" s="1"/>
  <c r="M45" i="157"/>
  <c r="AZ41" i="155"/>
  <c r="BB41" i="157"/>
  <c r="I40" i="135" s="1"/>
  <c r="K45" i="155"/>
  <c r="K45" i="157"/>
  <c r="BG44" i="157" s="1"/>
  <c r="V49" i="37"/>
  <c r="Z45" i="37"/>
  <c r="AH45" i="37" s="1"/>
  <c r="AH45" i="21"/>
  <c r="AM43" i="157"/>
  <c r="AL43" i="155"/>
  <c r="O39" i="135"/>
  <c r="L39" i="135"/>
  <c r="R39" i="135"/>
  <c r="Q39" i="135"/>
  <c r="AM44" i="157" l="1"/>
  <c r="AY43" i="157" s="1"/>
  <c r="G42" i="135" s="1"/>
  <c r="AP44" i="157"/>
  <c r="BD43" i="157" s="1"/>
  <c r="K42" i="135" s="1"/>
  <c r="AZ43" i="155"/>
  <c r="AJ44" i="157"/>
  <c r="AV43" i="157" s="1"/>
  <c r="D42" i="135" s="1"/>
  <c r="AM44" i="155"/>
  <c r="AY43" i="155" s="1"/>
  <c r="AA42" i="135" s="1"/>
  <c r="BB42" i="155"/>
  <c r="AC41" i="135" s="1"/>
  <c r="BO43" i="157"/>
  <c r="BQ43" i="157" s="1"/>
  <c r="S40" i="135"/>
  <c r="BB42" i="157"/>
  <c r="I41" i="135" s="1"/>
  <c r="N40" i="135"/>
  <c r="E37" i="31"/>
  <c r="E39" i="98"/>
  <c r="AJ44" i="155"/>
  <c r="AV43" i="155" s="1"/>
  <c r="X42" i="135" s="1"/>
  <c r="AN44" i="157"/>
  <c r="AO44" i="157"/>
  <c r="AZ43" i="157" s="1"/>
  <c r="AZ42" i="155"/>
  <c r="AZ42" i="157"/>
  <c r="BA42" i="155"/>
  <c r="AB41" i="135" s="1"/>
  <c r="AK44" i="155"/>
  <c r="AW43" i="155" s="1"/>
  <c r="Y42" i="135" s="1"/>
  <c r="AG42" i="135" s="1"/>
  <c r="AL44" i="157"/>
  <c r="AX43" i="157" s="1"/>
  <c r="F42" i="135" s="1"/>
  <c r="AV42" i="155"/>
  <c r="X41" i="135" s="1"/>
  <c r="T50" i="37"/>
  <c r="BP44" i="157"/>
  <c r="AY42" i="157"/>
  <c r="G41" i="135" s="1"/>
  <c r="L46" i="157"/>
  <c r="BH45" i="157" s="1"/>
  <c r="L46" i="155"/>
  <c r="BH45" i="155" s="1"/>
  <c r="V50" i="37"/>
  <c r="BA42" i="157"/>
  <c r="H41" i="135" s="1"/>
  <c r="AI40" i="135"/>
  <c r="AF40" i="135"/>
  <c r="AK40" i="135"/>
  <c r="AL40" i="135"/>
  <c r="Q46" i="157"/>
  <c r="Q46" i="155"/>
  <c r="AP44" i="155"/>
  <c r="U45" i="157"/>
  <c r="W45" i="157"/>
  <c r="X45" i="157"/>
  <c r="V45" i="157"/>
  <c r="Z45" i="157"/>
  <c r="Y45" i="157"/>
  <c r="AA45" i="157"/>
  <c r="P46" i="157"/>
  <c r="BL45" i="157" s="1"/>
  <c r="P46" i="155"/>
  <c r="BL45" i="155" s="1"/>
  <c r="BD42" i="157"/>
  <c r="K41" i="135" s="1"/>
  <c r="O46" i="157"/>
  <c r="O46" i="155"/>
  <c r="BK45" i="155" s="1"/>
  <c r="Z45" i="155"/>
  <c r="W45" i="155"/>
  <c r="V45" i="155"/>
  <c r="X45" i="155"/>
  <c r="AA45" i="155"/>
  <c r="Y45" i="155"/>
  <c r="U45" i="155"/>
  <c r="O41" i="135"/>
  <c r="R41" i="135"/>
  <c r="Q41" i="135"/>
  <c r="L41" i="135"/>
  <c r="AJ47" i="72"/>
  <c r="BH48" i="21" s="1"/>
  <c r="BP48" i="21" s="1"/>
  <c r="AM47" i="72"/>
  <c r="BK48" i="21" s="1"/>
  <c r="BS48" i="21" s="1"/>
  <c r="AL47" i="72"/>
  <c r="BJ48" i="21" s="1"/>
  <c r="BR48" i="21" s="1"/>
  <c r="AK47" i="72"/>
  <c r="BI48" i="21" s="1"/>
  <c r="BQ48" i="21" s="1"/>
  <c r="BH44" i="155"/>
  <c r="AH40" i="135"/>
  <c r="AM40" i="135"/>
  <c r="AJ40" i="135"/>
  <c r="U50" i="37"/>
  <c r="BC42" i="157"/>
  <c r="J41" i="135" s="1"/>
  <c r="AX42" i="155"/>
  <c r="Z41" i="135" s="1"/>
  <c r="M46" i="155"/>
  <c r="BI45" i="155" s="1"/>
  <c r="M46" i="157"/>
  <c r="AL44" i="155"/>
  <c r="AH45" i="157"/>
  <c r="AD45" i="157"/>
  <c r="AE45" i="157"/>
  <c r="AF45" i="157"/>
  <c r="AC45" i="157"/>
  <c r="AB45" i="157"/>
  <c r="AG45" i="157"/>
  <c r="AC47" i="72"/>
  <c r="AK48" i="21" s="1"/>
  <c r="AS48" i="21" s="1"/>
  <c r="AE47" i="72"/>
  <c r="AM48" i="21" s="1"/>
  <c r="AU48" i="21" s="1"/>
  <c r="AB47" i="72"/>
  <c r="AJ48" i="21" s="1"/>
  <c r="AR48" i="21" s="1"/>
  <c r="AD47" i="72"/>
  <c r="AL48" i="21" s="1"/>
  <c r="AT48" i="21" s="1"/>
  <c r="BP43" i="155"/>
  <c r="F46" i="37"/>
  <c r="R46" i="37" s="1"/>
  <c r="R46" i="21"/>
  <c r="AK44" i="157"/>
  <c r="AW43" i="157" s="1"/>
  <c r="E42" i="135" s="1"/>
  <c r="M42" i="135" s="1"/>
  <c r="W46" i="72"/>
  <c r="AA47" i="21" s="1"/>
  <c r="T46" i="72"/>
  <c r="X47" i="21" s="1"/>
  <c r="U46" i="72"/>
  <c r="Y47" i="21" s="1"/>
  <c r="V46" i="72"/>
  <c r="Z47" i="21" s="1"/>
  <c r="H48" i="72"/>
  <c r="H49" i="21" s="1"/>
  <c r="H49" i="37" s="1"/>
  <c r="K48" i="72"/>
  <c r="K49" i="21" s="1"/>
  <c r="K49" i="37" s="1"/>
  <c r="I48" i="72"/>
  <c r="I49" i="21" s="1"/>
  <c r="I49" i="37" s="1"/>
  <c r="J48" i="72"/>
  <c r="J49" i="21" s="1"/>
  <c r="J49" i="37" s="1"/>
  <c r="BO43" i="155"/>
  <c r="BG44" i="155"/>
  <c r="AH45" i="155"/>
  <c r="AC45" i="155"/>
  <c r="AD45" i="155"/>
  <c r="AG45" i="155"/>
  <c r="AE45" i="155"/>
  <c r="AF45" i="155"/>
  <c r="AB45" i="155"/>
  <c r="AW42" i="157"/>
  <c r="E41" i="135" s="1"/>
  <c r="M41" i="135" s="1"/>
  <c r="E46" i="37"/>
  <c r="Q46" i="37" s="1"/>
  <c r="Q46" i="21"/>
  <c r="BD42" i="155"/>
  <c r="AE41" i="135" s="1"/>
  <c r="R46" i="155"/>
  <c r="BN45" i="155" s="1"/>
  <c r="R46" i="157"/>
  <c r="BN45" i="157" s="1"/>
  <c r="Z46" i="37"/>
  <c r="AH46" i="37" s="1"/>
  <c r="AH46" i="21"/>
  <c r="BM44" i="155"/>
  <c r="D46" i="37"/>
  <c r="P46" i="37" s="1"/>
  <c r="P46" i="21"/>
  <c r="N46" i="157"/>
  <c r="BJ45" i="157" s="1"/>
  <c r="N46" i="155"/>
  <c r="BJ45" i="155" s="1"/>
  <c r="BI44" i="157"/>
  <c r="BO44" i="157" s="1"/>
  <c r="AA46" i="37"/>
  <c r="AI46" i="37" s="1"/>
  <c r="AI46" i="21"/>
  <c r="AW42" i="155"/>
  <c r="Y41" i="135" s="1"/>
  <c r="AG41" i="135" s="1"/>
  <c r="S46" i="21"/>
  <c r="G46" i="37"/>
  <c r="S46" i="37" s="1"/>
  <c r="BC42" i="155"/>
  <c r="AD41" i="135" s="1"/>
  <c r="R50" i="72"/>
  <c r="V51" i="21" s="1"/>
  <c r="S50" i="72"/>
  <c r="W51" i="21" s="1"/>
  <c r="Q50" i="72"/>
  <c r="U51" i="21" s="1"/>
  <c r="P50" i="72"/>
  <c r="T51" i="21" s="1"/>
  <c r="X46" i="37"/>
  <c r="AF46" i="37" s="1"/>
  <c r="AF46" i="21"/>
  <c r="AN44" i="155"/>
  <c r="BK44" i="155"/>
  <c r="AI48" i="72"/>
  <c r="AY49" i="21" s="1"/>
  <c r="BG49" i="21" s="1"/>
  <c r="AF48" i="72"/>
  <c r="AV49" i="21" s="1"/>
  <c r="BD49" i="21" s="1"/>
  <c r="AH48" i="72"/>
  <c r="AX49" i="21" s="1"/>
  <c r="BF49" i="21" s="1"/>
  <c r="AG48" i="72"/>
  <c r="AW49" i="21" s="1"/>
  <c r="BE49" i="21" s="1"/>
  <c r="D46" i="72"/>
  <c r="D47" i="21" s="1"/>
  <c r="F46" i="72"/>
  <c r="F47" i="21" s="1"/>
  <c r="G46" i="72"/>
  <c r="G47" i="21" s="1"/>
  <c r="E46" i="72"/>
  <c r="E47" i="21" s="1"/>
  <c r="W50" i="37"/>
  <c r="Y46" i="37"/>
  <c r="AG46" i="37" s="1"/>
  <c r="AG46" i="21"/>
  <c r="K46" i="155"/>
  <c r="BG45" i="155" s="1"/>
  <c r="K46" i="157"/>
  <c r="BG45" i="157" s="1"/>
  <c r="BQ44" i="157" l="1"/>
  <c r="BC43" i="157"/>
  <c r="J42" i="135" s="1"/>
  <c r="P42" i="135" s="1"/>
  <c r="BB43" i="157"/>
  <c r="I42" i="135" s="1"/>
  <c r="E38" i="31"/>
  <c r="E40" i="98"/>
  <c r="BP44" i="155"/>
  <c r="BA43" i="157"/>
  <c r="H42" i="135" s="1"/>
  <c r="BO44" i="155"/>
  <c r="AJ45" i="157"/>
  <c r="AV44" i="157" s="1"/>
  <c r="D43" i="135" s="1"/>
  <c r="BO45" i="155"/>
  <c r="AP45" i="157"/>
  <c r="BD44" i="157" s="1"/>
  <c r="K43" i="135" s="1"/>
  <c r="D47" i="37"/>
  <c r="P47" i="37" s="1"/>
  <c r="P47" i="21"/>
  <c r="V51" i="37"/>
  <c r="L47" i="157"/>
  <c r="BH46" i="157" s="1"/>
  <c r="L47" i="155"/>
  <c r="J49" i="72"/>
  <c r="J50" i="21" s="1"/>
  <c r="J50" i="37" s="1"/>
  <c r="I49" i="72"/>
  <c r="I50" i="21" s="1"/>
  <c r="I50" i="37" s="1"/>
  <c r="K49" i="72"/>
  <c r="K50" i="21" s="1"/>
  <c r="K50" i="37" s="1"/>
  <c r="H49" i="72"/>
  <c r="H50" i="21" s="1"/>
  <c r="H50" i="37" s="1"/>
  <c r="X47" i="37"/>
  <c r="AF47" i="37" s="1"/>
  <c r="AF47" i="21"/>
  <c r="AB48" i="72"/>
  <c r="AJ49" i="21" s="1"/>
  <c r="AR49" i="21" s="1"/>
  <c r="AC48" i="72"/>
  <c r="AK49" i="21" s="1"/>
  <c r="AS49" i="21" s="1"/>
  <c r="AE48" i="72"/>
  <c r="AM49" i="21" s="1"/>
  <c r="AU49" i="21" s="1"/>
  <c r="AD48" i="72"/>
  <c r="AL49" i="21" s="1"/>
  <c r="AT49" i="21" s="1"/>
  <c r="AO45" i="155"/>
  <c r="BB43" i="155"/>
  <c r="AC42" i="135" s="1"/>
  <c r="BC43" i="155"/>
  <c r="AD42" i="135" s="1"/>
  <c r="BA43" i="155"/>
  <c r="AB42" i="135" s="1"/>
  <c r="P47" i="155"/>
  <c r="BL46" i="155" s="1"/>
  <c r="P47" i="157"/>
  <c r="BL46" i="157" s="1"/>
  <c r="AA47" i="37"/>
  <c r="AI47" i="37" s="1"/>
  <c r="AI47" i="21"/>
  <c r="AJ45" i="155"/>
  <c r="AN45" i="155"/>
  <c r="AG46" i="155"/>
  <c r="AD46" i="155"/>
  <c r="AF46" i="155"/>
  <c r="AC46" i="155"/>
  <c r="AE46" i="155"/>
  <c r="AB46" i="155"/>
  <c r="AH46" i="155"/>
  <c r="AF49" i="72"/>
  <c r="AV50" i="21" s="1"/>
  <c r="BD50" i="21" s="1"/>
  <c r="AG49" i="72"/>
  <c r="AW50" i="21" s="1"/>
  <c r="BE50" i="21" s="1"/>
  <c r="AI49" i="72"/>
  <c r="AY50" i="21" s="1"/>
  <c r="BG50" i="21" s="1"/>
  <c r="AH49" i="72"/>
  <c r="AX50" i="21" s="1"/>
  <c r="BF50" i="21" s="1"/>
  <c r="M47" i="155"/>
  <c r="BI46" i="155" s="1"/>
  <c r="M47" i="157"/>
  <c r="AP45" i="155"/>
  <c r="BD44" i="155" s="1"/>
  <c r="AE43" i="135" s="1"/>
  <c r="AH46" i="157"/>
  <c r="AG46" i="157"/>
  <c r="AE46" i="157"/>
  <c r="AC46" i="157"/>
  <c r="AB46" i="157"/>
  <c r="AD46" i="157"/>
  <c r="AF46" i="157"/>
  <c r="AN45" i="157"/>
  <c r="P51" i="72"/>
  <c r="T52" i="21" s="1"/>
  <c r="S51" i="72"/>
  <c r="W52" i="21" s="1"/>
  <c r="Q51" i="72"/>
  <c r="U52" i="21" s="1"/>
  <c r="R51" i="72"/>
  <c r="V52" i="21" s="1"/>
  <c r="AM41" i="135"/>
  <c r="AJ41" i="135"/>
  <c r="AH41" i="135"/>
  <c r="K47" i="157"/>
  <c r="K47" i="155"/>
  <c r="BG46" i="155" s="1"/>
  <c r="Q47" i="155"/>
  <c r="Q47" i="157"/>
  <c r="AI41" i="135"/>
  <c r="AL41" i="135"/>
  <c r="AF41" i="135"/>
  <c r="AK41" i="135"/>
  <c r="AM45" i="155"/>
  <c r="AO45" i="157"/>
  <c r="Q47" i="21"/>
  <c r="E47" i="37"/>
  <c r="Q47" i="37" s="1"/>
  <c r="T51" i="37"/>
  <c r="R47" i="155"/>
  <c r="BN46" i="155" s="1"/>
  <c r="R47" i="157"/>
  <c r="BN46" i="157" s="1"/>
  <c r="O47" i="157"/>
  <c r="O47" i="155"/>
  <c r="Z47" i="37"/>
  <c r="AH47" i="37" s="1"/>
  <c r="AH47" i="21"/>
  <c r="BK45" i="157"/>
  <c r="S41" i="135"/>
  <c r="P41" i="135"/>
  <c r="N41" i="135"/>
  <c r="BM45" i="155"/>
  <c r="BP45" i="155" s="1"/>
  <c r="AK45" i="155"/>
  <c r="AK45" i="157"/>
  <c r="AW44" i="157" s="1"/>
  <c r="E43" i="135" s="1"/>
  <c r="M43" i="135" s="1"/>
  <c r="BD43" i="155"/>
  <c r="AE42" i="135" s="1"/>
  <c r="Q42" i="135"/>
  <c r="O42" i="135"/>
  <c r="L42" i="135"/>
  <c r="R42" i="135"/>
  <c r="U51" i="37"/>
  <c r="N47" i="157"/>
  <c r="BJ46" i="157" s="1"/>
  <c r="N47" i="155"/>
  <c r="BJ46" i="155" s="1"/>
  <c r="Y47" i="37"/>
  <c r="AG47" i="37" s="1"/>
  <c r="AG47" i="21"/>
  <c r="AM45" i="157"/>
  <c r="AX43" i="155"/>
  <c r="Z42" i="135" s="1"/>
  <c r="D47" i="72"/>
  <c r="D48" i="21" s="1"/>
  <c r="F47" i="72"/>
  <c r="F48" i="21" s="1"/>
  <c r="E47" i="72"/>
  <c r="E48" i="21" s="1"/>
  <c r="G47" i="72"/>
  <c r="G48" i="21" s="1"/>
  <c r="Z46" i="157"/>
  <c r="V46" i="157"/>
  <c r="Y46" i="157"/>
  <c r="AA46" i="157"/>
  <c r="X46" i="157"/>
  <c r="W46" i="157"/>
  <c r="U46" i="157"/>
  <c r="G47" i="37"/>
  <c r="S47" i="37" s="1"/>
  <c r="S47" i="21"/>
  <c r="V46" i="155"/>
  <c r="AA46" i="155"/>
  <c r="Z46" i="155"/>
  <c r="W46" i="155"/>
  <c r="U46" i="155"/>
  <c r="Y46" i="155"/>
  <c r="X46" i="155"/>
  <c r="F47" i="37"/>
  <c r="R47" i="37" s="1"/>
  <c r="R47" i="21"/>
  <c r="W51" i="37"/>
  <c r="BQ43" i="155"/>
  <c r="W47" i="72"/>
  <c r="AA48" i="21" s="1"/>
  <c r="T47" i="72"/>
  <c r="X48" i="21" s="1"/>
  <c r="V47" i="72"/>
  <c r="Z48" i="21" s="1"/>
  <c r="U47" i="72"/>
  <c r="Y48" i="21" s="1"/>
  <c r="BM45" i="157"/>
  <c r="BI45" i="157"/>
  <c r="BO45" i="157" s="1"/>
  <c r="AK48" i="72"/>
  <c r="BI49" i="21" s="1"/>
  <c r="BQ49" i="21" s="1"/>
  <c r="AL48" i="72"/>
  <c r="BJ49" i="21" s="1"/>
  <c r="BR49" i="21" s="1"/>
  <c r="AJ48" i="72"/>
  <c r="BH49" i="21" s="1"/>
  <c r="BP49" i="21" s="1"/>
  <c r="AM48" i="72"/>
  <c r="BK49" i="21" s="1"/>
  <c r="BS49" i="21" s="1"/>
  <c r="AL45" i="155"/>
  <c r="AX44" i="155" s="1"/>
  <c r="Z43" i="135" s="1"/>
  <c r="AL45" i="157"/>
  <c r="BQ44" i="155" l="1"/>
  <c r="S42" i="135"/>
  <c r="N42" i="135"/>
  <c r="AJ46" i="157"/>
  <c r="AV45" i="157" s="1"/>
  <c r="D44" i="135" s="1"/>
  <c r="AL46" i="157"/>
  <c r="AX45" i="157" s="1"/>
  <c r="F44" i="135" s="1"/>
  <c r="BQ45" i="155"/>
  <c r="E39" i="31"/>
  <c r="E41" i="98"/>
  <c r="AJ46" i="155"/>
  <c r="AV45" i="155" s="1"/>
  <c r="X44" i="135" s="1"/>
  <c r="AK46" i="155"/>
  <c r="AW45" i="155" s="1"/>
  <c r="Y44" i="135" s="1"/>
  <c r="AG44" i="135" s="1"/>
  <c r="AO46" i="155"/>
  <c r="AZ45" i="155" s="1"/>
  <c r="AP46" i="157"/>
  <c r="BD45" i="157" s="1"/>
  <c r="K44" i="135" s="1"/>
  <c r="AN46" i="157"/>
  <c r="AL46" i="155"/>
  <c r="AX45" i="155" s="1"/>
  <c r="Z44" i="135" s="1"/>
  <c r="AO46" i="157"/>
  <c r="AZ45" i="157" s="1"/>
  <c r="AK46" i="157"/>
  <c r="AW45" i="157" s="1"/>
  <c r="E44" i="135" s="1"/>
  <c r="M44" i="135" s="1"/>
  <c r="AM46" i="155"/>
  <c r="AY45" i="155" s="1"/>
  <c r="AA44" i="135" s="1"/>
  <c r="AN46" i="155"/>
  <c r="AI43" i="135"/>
  <c r="AK43" i="135"/>
  <c r="AL43" i="135"/>
  <c r="AF43" i="135"/>
  <c r="S48" i="21"/>
  <c r="G48" i="37"/>
  <c r="S48" i="37" s="1"/>
  <c r="E48" i="37"/>
  <c r="Q48" i="37" s="1"/>
  <c r="Q48" i="21"/>
  <c r="P48" i="155"/>
  <c r="BL47" i="155" s="1"/>
  <c r="P48" i="157"/>
  <c r="BL47" i="157" s="1"/>
  <c r="P52" i="72"/>
  <c r="T53" i="21" s="1"/>
  <c r="S52" i="72"/>
  <c r="W53" i="21" s="1"/>
  <c r="R52" i="72"/>
  <c r="V53" i="21" s="1"/>
  <c r="Q52" i="72"/>
  <c r="U53" i="21" s="1"/>
  <c r="R48" i="21"/>
  <c r="F48" i="37"/>
  <c r="R48" i="37" s="1"/>
  <c r="AH47" i="155"/>
  <c r="AE47" i="155"/>
  <c r="AB47" i="155"/>
  <c r="AG47" i="155"/>
  <c r="AD47" i="155"/>
  <c r="AF47" i="155"/>
  <c r="AC47" i="155"/>
  <c r="L48" i="157"/>
  <c r="L48" i="155"/>
  <c r="V52" i="37"/>
  <c r="BM46" i="157"/>
  <c r="BK46" i="155"/>
  <c r="AZ44" i="155"/>
  <c r="AM46" i="157"/>
  <c r="AY45" i="157" s="1"/>
  <c r="G44" i="135" s="1"/>
  <c r="AP46" i="155"/>
  <c r="BD45" i="155" s="1"/>
  <c r="AE44" i="135" s="1"/>
  <c r="G48" i="72"/>
  <c r="G49" i="21" s="1"/>
  <c r="E48" i="72"/>
  <c r="E49" i="21" s="1"/>
  <c r="F48" i="72"/>
  <c r="F49" i="21" s="1"/>
  <c r="D48" i="72"/>
  <c r="D49" i="21" s="1"/>
  <c r="AE47" i="157"/>
  <c r="AG47" i="157"/>
  <c r="AD47" i="157"/>
  <c r="AH47" i="157"/>
  <c r="AB47" i="157"/>
  <c r="AF47" i="157"/>
  <c r="AC47" i="157"/>
  <c r="AZ44" i="157"/>
  <c r="U52" i="37"/>
  <c r="BC44" i="157"/>
  <c r="J43" i="135" s="1"/>
  <c r="BA44" i="157"/>
  <c r="H43" i="135" s="1"/>
  <c r="BB44" i="157"/>
  <c r="I43" i="135" s="1"/>
  <c r="BK46" i="157"/>
  <c r="AM42" i="135"/>
  <c r="AJ42" i="135"/>
  <c r="AH42" i="135"/>
  <c r="K50" i="72"/>
  <c r="K51" i="21" s="1"/>
  <c r="K51" i="37" s="1"/>
  <c r="H50" i="72"/>
  <c r="H51" i="21" s="1"/>
  <c r="H51" i="37" s="1"/>
  <c r="J50" i="72"/>
  <c r="J51" i="21" s="1"/>
  <c r="J51" i="37" s="1"/>
  <c r="I50" i="72"/>
  <c r="I51" i="21" s="1"/>
  <c r="I51" i="37" s="1"/>
  <c r="AX44" i="157"/>
  <c r="F43" i="135" s="1"/>
  <c r="V48" i="72"/>
  <c r="Z49" i="21" s="1"/>
  <c r="T48" i="72"/>
  <c r="X49" i="21" s="1"/>
  <c r="U48" i="72"/>
  <c r="Y49" i="21" s="1"/>
  <c r="W48" i="72"/>
  <c r="AA49" i="21" s="1"/>
  <c r="M48" i="157"/>
  <c r="BI47" i="157" s="1"/>
  <c r="M48" i="155"/>
  <c r="BI47" i="155" s="1"/>
  <c r="D48" i="37"/>
  <c r="P48" i="37" s="1"/>
  <c r="P48" i="21"/>
  <c r="AY44" i="155"/>
  <c r="AA43" i="135" s="1"/>
  <c r="Z47" i="155"/>
  <c r="X47" i="155"/>
  <c r="V47" i="155"/>
  <c r="AA47" i="155"/>
  <c r="U47" i="155"/>
  <c r="Y47" i="155"/>
  <c r="W47" i="155"/>
  <c r="W52" i="37"/>
  <c r="AV44" i="155"/>
  <c r="X43" i="135" s="1"/>
  <c r="AD49" i="72"/>
  <c r="AL50" i="21" s="1"/>
  <c r="AT50" i="21" s="1"/>
  <c r="AC49" i="72"/>
  <c r="AK50" i="21" s="1"/>
  <c r="AS50" i="21" s="1"/>
  <c r="AE49" i="72"/>
  <c r="AM50" i="21" s="1"/>
  <c r="AU50" i="21" s="1"/>
  <c r="AB49" i="72"/>
  <c r="AJ50" i="21" s="1"/>
  <c r="AR50" i="21" s="1"/>
  <c r="K48" i="155"/>
  <c r="K48" i="157"/>
  <c r="AL49" i="72"/>
  <c r="BJ50" i="21" s="1"/>
  <c r="BR50" i="21" s="1"/>
  <c r="AJ49" i="72"/>
  <c r="BH50" i="21" s="1"/>
  <c r="BP50" i="21" s="1"/>
  <c r="AM49" i="72"/>
  <c r="BK50" i="21" s="1"/>
  <c r="BS50" i="21" s="1"/>
  <c r="AK49" i="72"/>
  <c r="BI50" i="21" s="1"/>
  <c r="BQ50" i="21" s="1"/>
  <c r="Y48" i="37"/>
  <c r="AG48" i="37" s="1"/>
  <c r="AG48" i="21"/>
  <c r="Q48" i="155"/>
  <c r="Q48" i="157"/>
  <c r="BM47" i="157" s="1"/>
  <c r="AK42" i="135"/>
  <c r="AI42" i="135"/>
  <c r="AL42" i="135"/>
  <c r="AF42" i="135"/>
  <c r="BP45" i="157"/>
  <c r="BQ45" i="157" s="1"/>
  <c r="X47" i="157"/>
  <c r="Y47" i="157"/>
  <c r="U47" i="157"/>
  <c r="Z47" i="157"/>
  <c r="W47" i="157"/>
  <c r="AA47" i="157"/>
  <c r="V47" i="157"/>
  <c r="T52" i="37"/>
  <c r="BI46" i="157"/>
  <c r="BB44" i="155"/>
  <c r="AC43" i="135" s="1"/>
  <c r="O48" i="155"/>
  <c r="BK47" i="155" s="1"/>
  <c r="O48" i="157"/>
  <c r="BK47" i="157" s="1"/>
  <c r="Z48" i="37"/>
  <c r="AH48" i="37" s="1"/>
  <c r="AH48" i="21"/>
  <c r="N48" i="157"/>
  <c r="N48" i="155"/>
  <c r="BJ47" i="155" s="1"/>
  <c r="BH46" i="155"/>
  <c r="BO46" i="155" s="1"/>
  <c r="BM46" i="155"/>
  <c r="BC44" i="155"/>
  <c r="AD43" i="135" s="1"/>
  <c r="AA48" i="37"/>
  <c r="AI48" i="37" s="1"/>
  <c r="AI48" i="21"/>
  <c r="AW44" i="155"/>
  <c r="Y43" i="135" s="1"/>
  <c r="AG43" i="135" s="1"/>
  <c r="X48" i="37"/>
  <c r="AF48" i="37" s="1"/>
  <c r="AF48" i="21"/>
  <c r="R48" i="157"/>
  <c r="BN47" i="157" s="1"/>
  <c r="R48" i="155"/>
  <c r="BN47" i="155" s="1"/>
  <c r="BG46" i="157"/>
  <c r="AY44" i="157"/>
  <c r="G43" i="135" s="1"/>
  <c r="AG50" i="72"/>
  <c r="AW51" i="21" s="1"/>
  <c r="BE51" i="21" s="1"/>
  <c r="AF50" i="72"/>
  <c r="AV51" i="21" s="1"/>
  <c r="BD51" i="21" s="1"/>
  <c r="AI50" i="72"/>
  <c r="AY51" i="21" s="1"/>
  <c r="BG51" i="21" s="1"/>
  <c r="AH50" i="72"/>
  <c r="AX51" i="21" s="1"/>
  <c r="BF51" i="21" s="1"/>
  <c r="BA44" i="155"/>
  <c r="AB43" i="135" s="1"/>
  <c r="AN47" i="157" l="1"/>
  <c r="BB45" i="157"/>
  <c r="I44" i="135" s="1"/>
  <c r="AO47" i="157"/>
  <c r="AZ46" i="157" s="1"/>
  <c r="BC45" i="155"/>
  <c r="AD44" i="135" s="1"/>
  <c r="AM44" i="135" s="1"/>
  <c r="AP47" i="157"/>
  <c r="BD46" i="157" s="1"/>
  <c r="K45" i="135" s="1"/>
  <c r="AJ47" i="157"/>
  <c r="AV46" i="157" s="1"/>
  <c r="D45" i="135" s="1"/>
  <c r="E40" i="31"/>
  <c r="E42" i="98"/>
  <c r="BC45" i="157"/>
  <c r="J44" i="135" s="1"/>
  <c r="P44" i="135" s="1"/>
  <c r="BA45" i="157"/>
  <c r="H44" i="135" s="1"/>
  <c r="AO47" i="155"/>
  <c r="AJ47" i="155"/>
  <c r="AV46" i="155" s="1"/>
  <c r="X45" i="135" s="1"/>
  <c r="BA45" i="155"/>
  <c r="AB44" i="135" s="1"/>
  <c r="AK47" i="157"/>
  <c r="AW46" i="157" s="1"/>
  <c r="E45" i="135" s="1"/>
  <c r="M45" i="135" s="1"/>
  <c r="AN47" i="155"/>
  <c r="BB45" i="155"/>
  <c r="AC44" i="135" s="1"/>
  <c r="AL47" i="155"/>
  <c r="AX46" i="155" s="1"/>
  <c r="Z45" i="135" s="1"/>
  <c r="AK47" i="155"/>
  <c r="AW46" i="155" s="1"/>
  <c r="Y45" i="135" s="1"/>
  <c r="AG45" i="135" s="1"/>
  <c r="AM47" i="157"/>
  <c r="AY46" i="157" s="1"/>
  <c r="G45" i="135" s="1"/>
  <c r="BP46" i="157"/>
  <c r="BO46" i="157"/>
  <c r="AP47" i="155"/>
  <c r="BD46" i="155" s="1"/>
  <c r="AE45" i="135" s="1"/>
  <c r="BP47" i="157"/>
  <c r="AA48" i="155"/>
  <c r="U48" i="155"/>
  <c r="V48" i="155"/>
  <c r="Z48" i="155"/>
  <c r="W48" i="155"/>
  <c r="Y48" i="155"/>
  <c r="X48" i="155"/>
  <c r="AM47" i="155"/>
  <c r="X49" i="37"/>
  <c r="AF49" i="37" s="1"/>
  <c r="AF49" i="21"/>
  <c r="W53" i="37"/>
  <c r="R49" i="155"/>
  <c r="BN48" i="155" s="1"/>
  <c r="R49" i="157"/>
  <c r="BN48" i="157" s="1"/>
  <c r="AK50" i="72"/>
  <c r="BI51" i="21" s="1"/>
  <c r="BQ51" i="21" s="1"/>
  <c r="AJ50" i="72"/>
  <c r="BH51" i="21" s="1"/>
  <c r="BP51" i="21" s="1"/>
  <c r="AM50" i="72"/>
  <c r="BK51" i="21" s="1"/>
  <c r="BS51" i="21" s="1"/>
  <c r="AL50" i="72"/>
  <c r="BJ51" i="21" s="1"/>
  <c r="BR51" i="21" s="1"/>
  <c r="AD50" i="72"/>
  <c r="AL51" i="21" s="1"/>
  <c r="AT51" i="21" s="1"/>
  <c r="AB50" i="72"/>
  <c r="AJ51" i="21" s="1"/>
  <c r="AR51" i="21" s="1"/>
  <c r="AC50" i="72"/>
  <c r="AK51" i="21" s="1"/>
  <c r="AS51" i="21" s="1"/>
  <c r="AE50" i="72"/>
  <c r="AM51" i="21" s="1"/>
  <c r="AU51" i="21" s="1"/>
  <c r="Z49" i="37"/>
  <c r="AH49" i="37" s="1"/>
  <c r="AH49" i="21"/>
  <c r="Q49" i="155"/>
  <c r="BM48" i="155" s="1"/>
  <c r="Q49" i="157"/>
  <c r="BM48" i="157" s="1"/>
  <c r="T53" i="37"/>
  <c r="N49" i="155"/>
  <c r="BJ48" i="155" s="1"/>
  <c r="N49" i="157"/>
  <c r="BJ48" i="157" s="1"/>
  <c r="H51" i="72"/>
  <c r="H52" i="21" s="1"/>
  <c r="H52" i="37" s="1"/>
  <c r="K51" i="72"/>
  <c r="K52" i="21" s="1"/>
  <c r="K52" i="37" s="1"/>
  <c r="J51" i="72"/>
  <c r="J52" i="21" s="1"/>
  <c r="J52" i="37" s="1"/>
  <c r="I51" i="72"/>
  <c r="I52" i="21" s="1"/>
  <c r="I52" i="37" s="1"/>
  <c r="BG47" i="155"/>
  <c r="AK44" i="135"/>
  <c r="AF44" i="135"/>
  <c r="AI44" i="135"/>
  <c r="AL44" i="135"/>
  <c r="P43" i="135"/>
  <c r="N43" i="135"/>
  <c r="S43" i="135"/>
  <c r="D49" i="37"/>
  <c r="P49" i="37" s="1"/>
  <c r="P49" i="21"/>
  <c r="BP46" i="155"/>
  <c r="BQ46" i="155" s="1"/>
  <c r="M49" i="155"/>
  <c r="BI48" i="155" s="1"/>
  <c r="M49" i="157"/>
  <c r="X48" i="157"/>
  <c r="AA48" i="157"/>
  <c r="Z48" i="157"/>
  <c r="Y48" i="157"/>
  <c r="V48" i="157"/>
  <c r="U48" i="157"/>
  <c r="W48" i="157"/>
  <c r="R43" i="135"/>
  <c r="O43" i="135"/>
  <c r="L43" i="135"/>
  <c r="Q43" i="135"/>
  <c r="F49" i="37"/>
  <c r="R49" i="37" s="1"/>
  <c r="R49" i="21"/>
  <c r="BH47" i="157"/>
  <c r="Y49" i="37"/>
  <c r="AG49" i="37" s="1"/>
  <c r="AG49" i="21"/>
  <c r="AI51" i="72"/>
  <c r="AY52" i="21" s="1"/>
  <c r="BG52" i="21" s="1"/>
  <c r="AF51" i="72"/>
  <c r="AV52" i="21" s="1"/>
  <c r="BD52" i="21" s="1"/>
  <c r="AH51" i="72"/>
  <c r="AX52" i="21" s="1"/>
  <c r="BF52" i="21" s="1"/>
  <c r="AG51" i="72"/>
  <c r="AW52" i="21" s="1"/>
  <c r="BE52" i="21" s="1"/>
  <c r="BJ47" i="157"/>
  <c r="AH48" i="155"/>
  <c r="AF48" i="155"/>
  <c r="AC48" i="155"/>
  <c r="AB48" i="155"/>
  <c r="AG48" i="155"/>
  <c r="AE48" i="155"/>
  <c r="AD48" i="155"/>
  <c r="BG47" i="157"/>
  <c r="R44" i="135"/>
  <c r="L44" i="135"/>
  <c r="Q44" i="135"/>
  <c r="O44" i="135"/>
  <c r="E49" i="37"/>
  <c r="Q49" i="37" s="1"/>
  <c r="Q49" i="21"/>
  <c r="AM43" i="135"/>
  <c r="AJ43" i="135"/>
  <c r="AH43" i="135"/>
  <c r="AE48" i="157"/>
  <c r="AG48" i="157"/>
  <c r="AH48" i="157"/>
  <c r="AC48" i="157"/>
  <c r="AB48" i="157"/>
  <c r="AD48" i="157"/>
  <c r="AF48" i="157"/>
  <c r="K49" i="157"/>
  <c r="K49" i="155"/>
  <c r="AA49" i="37"/>
  <c r="AI49" i="37" s="1"/>
  <c r="AI49" i="21"/>
  <c r="G49" i="37"/>
  <c r="S49" i="37" s="1"/>
  <c r="S49" i="21"/>
  <c r="BH47" i="155"/>
  <c r="P53" i="72"/>
  <c r="Q53" i="72"/>
  <c r="R53" i="72"/>
  <c r="S53" i="72"/>
  <c r="L49" i="155"/>
  <c r="L49" i="157"/>
  <c r="BH48" i="157" s="1"/>
  <c r="V53" i="37"/>
  <c r="AL47" i="157"/>
  <c r="O49" i="155"/>
  <c r="BK48" i="155" s="1"/>
  <c r="O49" i="157"/>
  <c r="BK48" i="157" s="1"/>
  <c r="T49" i="72"/>
  <c r="X50" i="21" s="1"/>
  <c r="U49" i="72"/>
  <c r="Y50" i="21" s="1"/>
  <c r="W49" i="72"/>
  <c r="AA50" i="21" s="1"/>
  <c r="V49" i="72"/>
  <c r="Z50" i="21" s="1"/>
  <c r="F49" i="72"/>
  <c r="F50" i="21" s="1"/>
  <c r="G49" i="72"/>
  <c r="G50" i="21" s="1"/>
  <c r="E49" i="72"/>
  <c r="E50" i="21" s="1"/>
  <c r="D49" i="72"/>
  <c r="D50" i="21" s="1"/>
  <c r="BM47" i="155"/>
  <c r="BP47" i="155" s="1"/>
  <c r="U53" i="37"/>
  <c r="P49" i="155"/>
  <c r="P49" i="157"/>
  <c r="BL48" i="157" s="1"/>
  <c r="AJ44" i="135" l="1"/>
  <c r="AH44" i="135"/>
  <c r="BB46" i="155"/>
  <c r="AC45" i="135" s="1"/>
  <c r="BC46" i="157"/>
  <c r="J45" i="135" s="1"/>
  <c r="P45" i="135" s="1"/>
  <c r="BB46" i="157"/>
  <c r="I45" i="135" s="1"/>
  <c r="BA46" i="157"/>
  <c r="H45" i="135" s="1"/>
  <c r="N44" i="135"/>
  <c r="BA46" i="155"/>
  <c r="AB45" i="135" s="1"/>
  <c r="S44" i="135"/>
  <c r="AZ46" i="155"/>
  <c r="E41" i="31"/>
  <c r="E43" i="98"/>
  <c r="BC46" i="155"/>
  <c r="AD45" i="135" s="1"/>
  <c r="AM45" i="135" s="1"/>
  <c r="BQ46" i="157"/>
  <c r="BP48" i="157"/>
  <c r="BO47" i="155"/>
  <c r="BQ47" i="155" s="1"/>
  <c r="AL48" i="157"/>
  <c r="AX47" i="157" s="1"/>
  <c r="F46" i="135" s="1"/>
  <c r="AN48" i="155"/>
  <c r="AO48" i="157"/>
  <c r="AZ47" i="157" s="1"/>
  <c r="O50" i="155"/>
  <c r="BK49" i="155" s="1"/>
  <c r="O50" i="157"/>
  <c r="BK49" i="157" s="1"/>
  <c r="E50" i="37"/>
  <c r="Q50" i="37" s="1"/>
  <c r="Q50" i="21"/>
  <c r="AA50" i="37"/>
  <c r="AI50" i="37" s="1"/>
  <c r="AI50" i="21"/>
  <c r="N50" i="157"/>
  <c r="BJ49" i="157" s="1"/>
  <c r="N50" i="155"/>
  <c r="BJ49" i="155" s="1"/>
  <c r="Z49" i="155"/>
  <c r="X49" i="155"/>
  <c r="Y49" i="155"/>
  <c r="V49" i="155"/>
  <c r="W49" i="155"/>
  <c r="AA49" i="155"/>
  <c r="U49" i="155"/>
  <c r="AI45" i="135"/>
  <c r="AL45" i="135"/>
  <c r="AF45" i="135"/>
  <c r="AK45" i="135"/>
  <c r="AN48" i="157"/>
  <c r="K50" i="155"/>
  <c r="BG49" i="155" s="1"/>
  <c r="K50" i="157"/>
  <c r="BG49" i="157" s="1"/>
  <c r="K52" i="72"/>
  <c r="K53" i="21" s="1"/>
  <c r="K53" i="37" s="1"/>
  <c r="H52" i="72"/>
  <c r="H53" i="21" s="1"/>
  <c r="H53" i="37" s="1"/>
  <c r="J52" i="72"/>
  <c r="J53" i="21" s="1"/>
  <c r="J53" i="37" s="1"/>
  <c r="I52" i="72"/>
  <c r="I53" i="21" s="1"/>
  <c r="I53" i="37" s="1"/>
  <c r="AC51" i="72"/>
  <c r="AK52" i="21" s="1"/>
  <c r="AS52" i="21" s="1"/>
  <c r="AD51" i="72"/>
  <c r="AL52" i="21" s="1"/>
  <c r="AT52" i="21" s="1"/>
  <c r="AE51" i="72"/>
  <c r="AM52" i="21" s="1"/>
  <c r="AU52" i="21" s="1"/>
  <c r="AB51" i="72"/>
  <c r="AJ52" i="21" s="1"/>
  <c r="AR52" i="21" s="1"/>
  <c r="AM48" i="155"/>
  <c r="AY47" i="155" s="1"/>
  <c r="AA46" i="135" s="1"/>
  <c r="AP48" i="157"/>
  <c r="AL48" i="155"/>
  <c r="Y50" i="37"/>
  <c r="AG50" i="37" s="1"/>
  <c r="AG50" i="21"/>
  <c r="X49" i="157"/>
  <c r="Y49" i="157"/>
  <c r="AA49" i="157"/>
  <c r="V49" i="157"/>
  <c r="U49" i="157"/>
  <c r="W49" i="157"/>
  <c r="Z49" i="157"/>
  <c r="X50" i="37"/>
  <c r="AF50" i="37" s="1"/>
  <c r="AF50" i="21"/>
  <c r="M50" i="157"/>
  <c r="BI49" i="157" s="1"/>
  <c r="M50" i="155"/>
  <c r="BI49" i="155" s="1"/>
  <c r="AM48" i="157"/>
  <c r="AO48" i="155"/>
  <c r="BH48" i="155"/>
  <c r="S54" i="72"/>
  <c r="W54" i="21"/>
  <c r="R54" i="72"/>
  <c r="V54" i="21"/>
  <c r="AC49" i="155"/>
  <c r="AB49" i="155"/>
  <c r="AG49" i="155"/>
  <c r="AH49" i="155"/>
  <c r="AE49" i="155"/>
  <c r="AF49" i="155"/>
  <c r="AD49" i="155"/>
  <c r="AX46" i="157"/>
  <c r="F45" i="135" s="1"/>
  <c r="Q50" i="155"/>
  <c r="Q50" i="157"/>
  <c r="AK48" i="155"/>
  <c r="P50" i="157"/>
  <c r="BL49" i="157" s="1"/>
  <c r="P50" i="155"/>
  <c r="BL49" i="155" s="1"/>
  <c r="BG48" i="157"/>
  <c r="AJ48" i="155"/>
  <c r="D50" i="72"/>
  <c r="D51" i="21" s="1"/>
  <c r="G50" i="72"/>
  <c r="G51" i="21" s="1"/>
  <c r="F50" i="72"/>
  <c r="F51" i="21" s="1"/>
  <c r="E50" i="72"/>
  <c r="E51" i="21" s="1"/>
  <c r="L50" i="157"/>
  <c r="BH49" i="157" s="1"/>
  <c r="L50" i="155"/>
  <c r="AF52" i="72"/>
  <c r="AV53" i="21" s="1"/>
  <c r="BD53" i="21" s="1"/>
  <c r="AG52" i="72"/>
  <c r="AW53" i="21" s="1"/>
  <c r="BE53" i="21" s="1"/>
  <c r="AI52" i="72"/>
  <c r="AY53" i="21" s="1"/>
  <c r="BG53" i="21" s="1"/>
  <c r="AH52" i="72"/>
  <c r="AX53" i="21" s="1"/>
  <c r="BF53" i="21" s="1"/>
  <c r="G50" i="37"/>
  <c r="S50" i="37" s="1"/>
  <c r="S50" i="21"/>
  <c r="Q54" i="72"/>
  <c r="U54" i="21"/>
  <c r="BO47" i="157"/>
  <c r="BQ47" i="157" s="1"/>
  <c r="R50" i="21"/>
  <c r="F50" i="37"/>
  <c r="R50" i="37" s="1"/>
  <c r="T54" i="21"/>
  <c r="P54" i="72"/>
  <c r="T50" i="72"/>
  <c r="X51" i="21" s="1"/>
  <c r="V50" i="72"/>
  <c r="Z51" i="21" s="1"/>
  <c r="W50" i="72"/>
  <c r="AA51" i="21" s="1"/>
  <c r="U50" i="72"/>
  <c r="Y51" i="21" s="1"/>
  <c r="AJ48" i="157"/>
  <c r="N45" i="135"/>
  <c r="AP48" i="155"/>
  <c r="R50" i="155"/>
  <c r="R50" i="157"/>
  <c r="BN49" i="157" s="1"/>
  <c r="P50" i="21"/>
  <c r="D50" i="37"/>
  <c r="P50" i="37" s="1"/>
  <c r="AD49" i="157"/>
  <c r="AF49" i="157"/>
  <c r="AG49" i="157"/>
  <c r="AC49" i="157"/>
  <c r="AH49" i="157"/>
  <c r="AE49" i="157"/>
  <c r="AB49" i="157"/>
  <c r="Z50" i="37"/>
  <c r="AH50" i="37" s="1"/>
  <c r="AH50" i="21"/>
  <c r="BL48" i="155"/>
  <c r="BP48" i="155" s="1"/>
  <c r="BI48" i="157"/>
  <c r="AK48" i="157"/>
  <c r="AK51" i="72"/>
  <c r="BI52" i="21" s="1"/>
  <c r="BQ52" i="21" s="1"/>
  <c r="AJ51" i="72"/>
  <c r="BH52" i="21" s="1"/>
  <c r="BP52" i="21" s="1"/>
  <c r="AL51" i="72"/>
  <c r="BJ52" i="21" s="1"/>
  <c r="BR52" i="21" s="1"/>
  <c r="AM51" i="72"/>
  <c r="BK52" i="21" s="1"/>
  <c r="BS52" i="21" s="1"/>
  <c r="AY46" i="155"/>
  <c r="AA45" i="135" s="1"/>
  <c r="BG48" i="155"/>
  <c r="S45" i="135" l="1"/>
  <c r="AJ45" i="135"/>
  <c r="AH45" i="135"/>
  <c r="E42" i="31"/>
  <c r="E44" i="98"/>
  <c r="BO48" i="155"/>
  <c r="BQ48" i="155" s="1"/>
  <c r="BA47" i="155"/>
  <c r="AB46" i="135" s="1"/>
  <c r="Y51" i="37"/>
  <c r="AG51" i="37" s="1"/>
  <c r="AG51" i="21"/>
  <c r="Q51" i="155"/>
  <c r="BM50" i="155" s="1"/>
  <c r="Q51" i="157"/>
  <c r="BM50" i="157" s="1"/>
  <c r="D51" i="37"/>
  <c r="P51" i="37" s="1"/>
  <c r="P51" i="21"/>
  <c r="AW47" i="155"/>
  <c r="Y46" i="135" s="1"/>
  <c r="AG46" i="135" s="1"/>
  <c r="R55" i="72"/>
  <c r="V55" i="21"/>
  <c r="AP49" i="157"/>
  <c r="BD48" i="157" s="1"/>
  <c r="K47" i="135" s="1"/>
  <c r="BD47" i="157"/>
  <c r="K46" i="135" s="1"/>
  <c r="K53" i="72"/>
  <c r="H53" i="72"/>
  <c r="I53" i="72"/>
  <c r="J53" i="72"/>
  <c r="AK49" i="155"/>
  <c r="AW48" i="155" s="1"/>
  <c r="Y47" i="135" s="1"/>
  <c r="AG47" i="135" s="1"/>
  <c r="AA51" i="37"/>
  <c r="AI51" i="37" s="1"/>
  <c r="AI51" i="21"/>
  <c r="M51" i="157"/>
  <c r="BI50" i="157" s="1"/>
  <c r="M51" i="155"/>
  <c r="BI50" i="155" s="1"/>
  <c r="AV47" i="155"/>
  <c r="X46" i="135" s="1"/>
  <c r="W54" i="37"/>
  <c r="AN49" i="157"/>
  <c r="AN49" i="155"/>
  <c r="AW47" i="157"/>
  <c r="E46" i="135" s="1"/>
  <c r="M46" i="135" s="1"/>
  <c r="AJ52" i="72"/>
  <c r="BH53" i="21" s="1"/>
  <c r="BP53" i="21" s="1"/>
  <c r="AK52" i="72"/>
  <c r="BI53" i="21" s="1"/>
  <c r="BQ53" i="21" s="1"/>
  <c r="AL52" i="72"/>
  <c r="BJ53" i="21" s="1"/>
  <c r="BR53" i="21" s="1"/>
  <c r="AM52" i="72"/>
  <c r="BK53" i="21" s="1"/>
  <c r="BS53" i="21" s="1"/>
  <c r="BD47" i="155"/>
  <c r="AE46" i="135" s="1"/>
  <c r="V51" i="72"/>
  <c r="Z52" i="21" s="1"/>
  <c r="U51" i="72"/>
  <c r="Y52" i="21" s="1"/>
  <c r="W51" i="72"/>
  <c r="AA52" i="21" s="1"/>
  <c r="T51" i="72"/>
  <c r="X52" i="21" s="1"/>
  <c r="W55" i="21"/>
  <c r="S55" i="72"/>
  <c r="AM49" i="157"/>
  <c r="BN49" i="155"/>
  <c r="AM49" i="155"/>
  <c r="AY48" i="155" s="1"/>
  <c r="AA47" i="135" s="1"/>
  <c r="L51" i="155"/>
  <c r="BH50" i="155" s="1"/>
  <c r="L51" i="157"/>
  <c r="BH50" i="157" s="1"/>
  <c r="Z51" i="37"/>
  <c r="AH51" i="37" s="1"/>
  <c r="AH51" i="21"/>
  <c r="U54" i="37"/>
  <c r="BO48" i="157"/>
  <c r="BQ48" i="157" s="1"/>
  <c r="AO49" i="157"/>
  <c r="AD52" i="72"/>
  <c r="AL53" i="21" s="1"/>
  <c r="AT53" i="21" s="1"/>
  <c r="AE52" i="72"/>
  <c r="AM53" i="21" s="1"/>
  <c r="AU53" i="21" s="1"/>
  <c r="AB52" i="72"/>
  <c r="AJ53" i="21" s="1"/>
  <c r="AR53" i="21" s="1"/>
  <c r="AC52" i="72"/>
  <c r="AK53" i="21" s="1"/>
  <c r="AS53" i="21" s="1"/>
  <c r="P51" i="157"/>
  <c r="BL50" i="157" s="1"/>
  <c r="P51" i="155"/>
  <c r="BL50" i="155" s="1"/>
  <c r="X51" i="37"/>
  <c r="AF51" i="37" s="1"/>
  <c r="AF51" i="21"/>
  <c r="Q55" i="72"/>
  <c r="U55" i="21"/>
  <c r="E51" i="37"/>
  <c r="Q51" i="37" s="1"/>
  <c r="Q51" i="21"/>
  <c r="Q45" i="135"/>
  <c r="O45" i="135"/>
  <c r="R45" i="135"/>
  <c r="L45" i="135"/>
  <c r="AZ47" i="155"/>
  <c r="BC47" i="155"/>
  <c r="AD46" i="135" s="1"/>
  <c r="BO49" i="157"/>
  <c r="AO49" i="155"/>
  <c r="AB50" i="157"/>
  <c r="AH50" i="157"/>
  <c r="AG50" i="157"/>
  <c r="AF50" i="157"/>
  <c r="AE50" i="157"/>
  <c r="AC50" i="157"/>
  <c r="AD50" i="157"/>
  <c r="O51" i="155"/>
  <c r="BK50" i="155" s="1"/>
  <c r="O51" i="157"/>
  <c r="BK50" i="157" s="1"/>
  <c r="N51" i="157"/>
  <c r="BJ50" i="157" s="1"/>
  <c r="N51" i="155"/>
  <c r="BJ50" i="155" s="1"/>
  <c r="AF53" i="72"/>
  <c r="AI53" i="72"/>
  <c r="AH53" i="72"/>
  <c r="AG53" i="72"/>
  <c r="R51" i="21"/>
  <c r="F51" i="37"/>
  <c r="R51" i="37" s="1"/>
  <c r="R46" i="135"/>
  <c r="Q46" i="135"/>
  <c r="O46" i="135"/>
  <c r="L46" i="135"/>
  <c r="BM49" i="155"/>
  <c r="AL49" i="157"/>
  <c r="AX47" i="155"/>
  <c r="Z46" i="135" s="1"/>
  <c r="W50" i="157"/>
  <c r="U50" i="157"/>
  <c r="Z50" i="157"/>
  <c r="X50" i="157"/>
  <c r="Y50" i="157"/>
  <c r="AA50" i="157"/>
  <c r="V50" i="157"/>
  <c r="AJ49" i="155"/>
  <c r="AV48" i="155" s="1"/>
  <c r="X47" i="135" s="1"/>
  <c r="AG50" i="155"/>
  <c r="AB50" i="155"/>
  <c r="AC50" i="155"/>
  <c r="AD50" i="155"/>
  <c r="AE50" i="155"/>
  <c r="AH50" i="155"/>
  <c r="AF50" i="155"/>
  <c r="K51" i="155"/>
  <c r="BG50" i="155" s="1"/>
  <c r="K51" i="157"/>
  <c r="BG50" i="157" s="1"/>
  <c r="AV47" i="157"/>
  <c r="D46" i="135" s="1"/>
  <c r="P55" i="72"/>
  <c r="T55" i="21"/>
  <c r="R51" i="155"/>
  <c r="R51" i="157"/>
  <c r="BN50" i="157" s="1"/>
  <c r="S51" i="21"/>
  <c r="G51" i="37"/>
  <c r="S51" i="37" s="1"/>
  <c r="AY47" i="157"/>
  <c r="G46" i="135" s="1"/>
  <c r="AJ49" i="157"/>
  <c r="BM49" i="157"/>
  <c r="BP49" i="157" s="1"/>
  <c r="Z50" i="155"/>
  <c r="W50" i="155"/>
  <c r="AA50" i="155"/>
  <c r="U50" i="155"/>
  <c r="Y50" i="155"/>
  <c r="V50" i="155"/>
  <c r="X50" i="155"/>
  <c r="AP49" i="155"/>
  <c r="BD48" i="155" s="1"/>
  <c r="AE47" i="135" s="1"/>
  <c r="T54" i="37"/>
  <c r="G51" i="72"/>
  <c r="G52" i="21" s="1"/>
  <c r="D51" i="72"/>
  <c r="D52" i="21" s="1"/>
  <c r="E51" i="72"/>
  <c r="E52" i="21" s="1"/>
  <c r="F51" i="72"/>
  <c r="F52" i="21" s="1"/>
  <c r="V54" i="37"/>
  <c r="AK49" i="157"/>
  <c r="BB47" i="157"/>
  <c r="I46" i="135" s="1"/>
  <c r="BC47" i="157"/>
  <c r="J46" i="135" s="1"/>
  <c r="BA47" i="157"/>
  <c r="H46" i="135" s="1"/>
  <c r="AL49" i="155"/>
  <c r="BH49" i="155"/>
  <c r="BO49" i="155" s="1"/>
  <c r="BB47" i="155"/>
  <c r="AC46" i="135" s="1"/>
  <c r="AJ50" i="157" l="1"/>
  <c r="AV49" i="157" s="1"/>
  <c r="D48" i="135" s="1"/>
  <c r="AN50" i="155"/>
  <c r="E43" i="31"/>
  <c r="E45" i="98"/>
  <c r="BP49" i="155"/>
  <c r="BQ49" i="155" s="1"/>
  <c r="AP50" i="157"/>
  <c r="BD49" i="157" s="1"/>
  <c r="K48" i="135" s="1"/>
  <c r="BC48" i="157"/>
  <c r="J47" i="135" s="1"/>
  <c r="N47" i="135" s="1"/>
  <c r="BA48" i="157"/>
  <c r="H47" i="135" s="1"/>
  <c r="BB48" i="157"/>
  <c r="I47" i="135" s="1"/>
  <c r="AK50" i="155"/>
  <c r="AW49" i="155" s="1"/>
  <c r="Y48" i="135" s="1"/>
  <c r="AG48" i="135" s="1"/>
  <c r="AO50" i="155"/>
  <c r="AK50" i="157"/>
  <c r="AW49" i="157" s="1"/>
  <c r="E48" i="135" s="1"/>
  <c r="M48" i="135" s="1"/>
  <c r="AM50" i="157"/>
  <c r="AY49" i="157" s="1"/>
  <c r="G48" i="135" s="1"/>
  <c r="AL50" i="155"/>
  <c r="AX49" i="155" s="1"/>
  <c r="Z48" i="135" s="1"/>
  <c r="V51" i="157"/>
  <c r="AA51" i="157"/>
  <c r="X51" i="157"/>
  <c r="U51" i="157"/>
  <c r="Y51" i="157"/>
  <c r="Z51" i="157"/>
  <c r="W51" i="157"/>
  <c r="AG54" i="72"/>
  <c r="AW54" i="21"/>
  <c r="BE54" i="21" s="1"/>
  <c r="F52" i="37"/>
  <c r="R52" i="37" s="1"/>
  <c r="R52" i="21"/>
  <c r="N52" i="157"/>
  <c r="BJ51" i="157" s="1"/>
  <c r="N52" i="155"/>
  <c r="BJ51" i="155" s="1"/>
  <c r="AA51" i="155"/>
  <c r="Y51" i="155"/>
  <c r="X51" i="155"/>
  <c r="Z51" i="155"/>
  <c r="V51" i="155"/>
  <c r="U51" i="155"/>
  <c r="W51" i="155"/>
  <c r="AO50" i="157"/>
  <c r="AH54" i="72"/>
  <c r="AX54" i="21"/>
  <c r="BF54" i="21" s="1"/>
  <c r="AZ48" i="157"/>
  <c r="AJ53" i="72"/>
  <c r="AL53" i="72"/>
  <c r="AK53" i="72"/>
  <c r="AM53" i="72"/>
  <c r="BB48" i="155"/>
  <c r="AC47" i="135" s="1"/>
  <c r="BA48" i="155"/>
  <c r="AB47" i="135" s="1"/>
  <c r="BC48" i="155"/>
  <c r="AD47" i="135" s="1"/>
  <c r="K54" i="21"/>
  <c r="K54" i="37" s="1"/>
  <c r="K54" i="72"/>
  <c r="G52" i="37"/>
  <c r="S52" i="37" s="1"/>
  <c r="S52" i="21"/>
  <c r="N46" i="135"/>
  <c r="S46" i="135"/>
  <c r="P46" i="135"/>
  <c r="AP50" i="155"/>
  <c r="BO50" i="157"/>
  <c r="H54" i="72"/>
  <c r="H54" i="21"/>
  <c r="H54" i="37" s="1"/>
  <c r="E52" i="37"/>
  <c r="Q52" i="37" s="1"/>
  <c r="Q52" i="21"/>
  <c r="BO50" i="155"/>
  <c r="AI54" i="72"/>
  <c r="AY54" i="21"/>
  <c r="BG54" i="21" s="1"/>
  <c r="X52" i="37"/>
  <c r="AF52" i="37" s="1"/>
  <c r="AF52" i="21"/>
  <c r="K52" i="155"/>
  <c r="BG51" i="155" s="1"/>
  <c r="K52" i="157"/>
  <c r="T55" i="37"/>
  <c r="AV48" i="157"/>
  <c r="D47" i="135" s="1"/>
  <c r="R52" i="155"/>
  <c r="BN51" i="155" s="1"/>
  <c r="R52" i="157"/>
  <c r="BN51" i="157" s="1"/>
  <c r="AW48" i="157"/>
  <c r="E47" i="135" s="1"/>
  <c r="M47" i="135" s="1"/>
  <c r="D52" i="37"/>
  <c r="P52" i="37" s="1"/>
  <c r="P52" i="21"/>
  <c r="AM50" i="155"/>
  <c r="AY49" i="155" s="1"/>
  <c r="AA48" i="135" s="1"/>
  <c r="AL50" i="157"/>
  <c r="AV54" i="21"/>
  <c r="BD54" i="21" s="1"/>
  <c r="AF54" i="72"/>
  <c r="BQ49" i="157"/>
  <c r="L52" i="155"/>
  <c r="L52" i="157"/>
  <c r="BH51" i="157" s="1"/>
  <c r="U52" i="72"/>
  <c r="Y53" i="21" s="1"/>
  <c r="V52" i="72"/>
  <c r="Z53" i="21" s="1"/>
  <c r="T52" i="72"/>
  <c r="X53" i="21" s="1"/>
  <c r="W52" i="72"/>
  <c r="AA53" i="21" s="1"/>
  <c r="O52" i="157"/>
  <c r="O52" i="155"/>
  <c r="AL46" i="135"/>
  <c r="AF46" i="135"/>
  <c r="AI46" i="135"/>
  <c r="AK46" i="135"/>
  <c r="AJ46" i="135"/>
  <c r="AM46" i="135"/>
  <c r="AH46" i="135"/>
  <c r="P52" i="155"/>
  <c r="P52" i="157"/>
  <c r="BL51" i="157" s="1"/>
  <c r="AC53" i="72"/>
  <c r="AB53" i="72"/>
  <c r="AE53" i="72"/>
  <c r="AD53" i="72"/>
  <c r="AA52" i="37"/>
  <c r="AI52" i="37" s="1"/>
  <c r="AI52" i="21"/>
  <c r="E52" i="72"/>
  <c r="E53" i="21" s="1"/>
  <c r="F52" i="72"/>
  <c r="F53" i="21" s="1"/>
  <c r="D52" i="72"/>
  <c r="D53" i="21" s="1"/>
  <c r="G52" i="72"/>
  <c r="G53" i="21" s="1"/>
  <c r="T56" i="21"/>
  <c r="P56" i="72"/>
  <c r="Q52" i="155"/>
  <c r="BM51" i="155" s="1"/>
  <c r="Q52" i="157"/>
  <c r="AX48" i="155"/>
  <c r="Z47" i="135" s="1"/>
  <c r="U55" i="37"/>
  <c r="Y52" i="37"/>
  <c r="AG52" i="37" s="1"/>
  <c r="AG52" i="21"/>
  <c r="AJ50" i="155"/>
  <c r="AV49" i="155" s="1"/>
  <c r="X48" i="135" s="1"/>
  <c r="AY48" i="157"/>
  <c r="G47" i="135" s="1"/>
  <c r="AN50" i="157"/>
  <c r="AX48" i="157"/>
  <c r="F47" i="135" s="1"/>
  <c r="M52" i="157"/>
  <c r="M52" i="155"/>
  <c r="AB51" i="157"/>
  <c r="AH51" i="157"/>
  <c r="AG51" i="157"/>
  <c r="AF51" i="157"/>
  <c r="AD51" i="157"/>
  <c r="AE51" i="157"/>
  <c r="AC51" i="157"/>
  <c r="AZ48" i="155"/>
  <c r="Q56" i="72"/>
  <c r="U56" i="21"/>
  <c r="S56" i="72"/>
  <c r="W56" i="21"/>
  <c r="Z52" i="37"/>
  <c r="AH52" i="37" s="1"/>
  <c r="AH52" i="21"/>
  <c r="BN50" i="155"/>
  <c r="BP50" i="155" s="1"/>
  <c r="J54" i="21"/>
  <c r="J54" i="37" s="1"/>
  <c r="J54" i="72"/>
  <c r="V55" i="37"/>
  <c r="AE51" i="155"/>
  <c r="AH51" i="155"/>
  <c r="AF51" i="155"/>
  <c r="AG51" i="155"/>
  <c r="AB51" i="155"/>
  <c r="AD51" i="155"/>
  <c r="AC51" i="155"/>
  <c r="BP50" i="157"/>
  <c r="W55" i="37"/>
  <c r="I54" i="21"/>
  <c r="I54" i="37" s="1"/>
  <c r="I54" i="72"/>
  <c r="V56" i="21"/>
  <c r="R56" i="72"/>
  <c r="BB49" i="155" l="1"/>
  <c r="AC48" i="135" s="1"/>
  <c r="P47" i="135"/>
  <c r="S47" i="135"/>
  <c r="E44" i="31"/>
  <c r="E46" i="98"/>
  <c r="AZ49" i="155"/>
  <c r="BA49" i="155"/>
  <c r="AB48" i="135" s="1"/>
  <c r="BC49" i="155"/>
  <c r="AD48" i="135" s="1"/>
  <c r="AH48" i="135" s="1"/>
  <c r="AK48" i="135"/>
  <c r="AF48" i="135"/>
  <c r="AL48" i="135"/>
  <c r="AI48" i="135"/>
  <c r="AP51" i="157"/>
  <c r="BD50" i="157" s="1"/>
  <c r="K49" i="135" s="1"/>
  <c r="AM47" i="135"/>
  <c r="AH47" i="135"/>
  <c r="AJ47" i="135"/>
  <c r="AX55" i="21"/>
  <c r="BF55" i="21" s="1"/>
  <c r="AH55" i="72"/>
  <c r="AF52" i="155"/>
  <c r="AG52" i="155"/>
  <c r="AC52" i="155"/>
  <c r="AD52" i="155"/>
  <c r="AE52" i="155"/>
  <c r="AH52" i="155"/>
  <c r="AB52" i="155"/>
  <c r="AY55" i="21"/>
  <c r="BG55" i="21" s="1"/>
  <c r="AI55" i="72"/>
  <c r="AX49" i="157"/>
  <c r="F48" i="135" s="1"/>
  <c r="AH52" i="157"/>
  <c r="AE52" i="157"/>
  <c r="AB52" i="157"/>
  <c r="AC52" i="157"/>
  <c r="AF52" i="157"/>
  <c r="AD52" i="157"/>
  <c r="AG52" i="157"/>
  <c r="Y53" i="37"/>
  <c r="AG53" i="37" s="1"/>
  <c r="AG53" i="21"/>
  <c r="Z52" i="155"/>
  <c r="U52" i="155"/>
  <c r="W52" i="155"/>
  <c r="AA52" i="155"/>
  <c r="X52" i="155"/>
  <c r="Y52" i="155"/>
  <c r="V52" i="155"/>
  <c r="BQ50" i="157"/>
  <c r="BH54" i="21"/>
  <c r="BP54" i="21" s="1"/>
  <c r="AJ54" i="72"/>
  <c r="AL51" i="155"/>
  <c r="AL51" i="157"/>
  <c r="X53" i="37"/>
  <c r="AF53" i="37" s="1"/>
  <c r="AF53" i="21"/>
  <c r="P53" i="21"/>
  <c r="D53" i="37"/>
  <c r="P53" i="37" s="1"/>
  <c r="Z52" i="157"/>
  <c r="U52" i="157"/>
  <c r="X52" i="157"/>
  <c r="AA52" i="157"/>
  <c r="V52" i="157"/>
  <c r="Y52" i="157"/>
  <c r="W52" i="157"/>
  <c r="AW55" i="21"/>
  <c r="BE55" i="21" s="1"/>
  <c r="AG55" i="72"/>
  <c r="R53" i="21"/>
  <c r="F53" i="37"/>
  <c r="R53" i="37" s="1"/>
  <c r="V57" i="21"/>
  <c r="R57" i="72"/>
  <c r="G53" i="72"/>
  <c r="F53" i="72"/>
  <c r="E53" i="72"/>
  <c r="D53" i="72"/>
  <c r="AD54" i="72"/>
  <c r="AL54" i="21"/>
  <c r="AT54" i="21" s="1"/>
  <c r="BA49" i="157"/>
  <c r="H48" i="135" s="1"/>
  <c r="N53" i="155"/>
  <c r="N53" i="157"/>
  <c r="AJ51" i="155"/>
  <c r="AV50" i="155" s="1"/>
  <c r="X49" i="135" s="1"/>
  <c r="BG51" i="157"/>
  <c r="W56" i="37"/>
  <c r="L47" i="135"/>
  <c r="R47" i="135"/>
  <c r="O47" i="135"/>
  <c r="Q47" i="135"/>
  <c r="BJ54" i="21"/>
  <c r="BR54" i="21" s="1"/>
  <c r="AL54" i="72"/>
  <c r="V56" i="37"/>
  <c r="J55" i="72"/>
  <c r="J55" i="21"/>
  <c r="J55" i="37" s="1"/>
  <c r="U56" i="37"/>
  <c r="AK47" i="135"/>
  <c r="AL47" i="135"/>
  <c r="AI47" i="135"/>
  <c r="AF47" i="135"/>
  <c r="Q53" i="21"/>
  <c r="E53" i="37"/>
  <c r="Q53" i="37" s="1"/>
  <c r="AE54" i="72"/>
  <c r="AM54" i="21"/>
  <c r="AU54" i="21" s="1"/>
  <c r="BB49" i="157"/>
  <c r="I48" i="135" s="1"/>
  <c r="BQ50" i="155"/>
  <c r="R53" i="155"/>
  <c r="BN52" i="155" s="1"/>
  <c r="R53" i="157"/>
  <c r="BN52" i="157" s="1"/>
  <c r="AK51" i="155"/>
  <c r="AO51" i="157"/>
  <c r="Z53" i="37"/>
  <c r="AH53" i="37" s="1"/>
  <c r="AH53" i="21"/>
  <c r="H55" i="21"/>
  <c r="H55" i="37" s="1"/>
  <c r="H55" i="72"/>
  <c r="AK51" i="157"/>
  <c r="S57" i="72"/>
  <c r="W57" i="21"/>
  <c r="I55" i="72"/>
  <c r="I55" i="21"/>
  <c r="I55" i="37" s="1"/>
  <c r="Q57" i="72"/>
  <c r="U57" i="21"/>
  <c r="BM51" i="157"/>
  <c r="AJ54" i="21"/>
  <c r="AR54" i="21" s="1"/>
  <c r="AB54" i="72"/>
  <c r="BC49" i="157"/>
  <c r="J48" i="135" s="1"/>
  <c r="K53" i="155"/>
  <c r="K53" i="157"/>
  <c r="BG52" i="157" s="1"/>
  <c r="BH51" i="155"/>
  <c r="BD49" i="155"/>
  <c r="AE48" i="135" s="1"/>
  <c r="K55" i="21"/>
  <c r="K55" i="37" s="1"/>
  <c r="K55" i="72"/>
  <c r="AZ49" i="157"/>
  <c r="AO51" i="155"/>
  <c r="M53" i="155"/>
  <c r="BI52" i="155" s="1"/>
  <c r="M53" i="157"/>
  <c r="AN51" i="157"/>
  <c r="S53" i="21"/>
  <c r="G53" i="37"/>
  <c r="S53" i="37" s="1"/>
  <c r="BK51" i="155"/>
  <c r="P57" i="72"/>
  <c r="T57" i="21"/>
  <c r="AK54" i="21"/>
  <c r="AS54" i="21" s="1"/>
  <c r="AC54" i="72"/>
  <c r="O53" i="155"/>
  <c r="BK52" i="155" s="1"/>
  <c r="O53" i="157"/>
  <c r="L53" i="155"/>
  <c r="L53" i="157"/>
  <c r="BH52" i="157" s="1"/>
  <c r="BL51" i="155"/>
  <c r="AM51" i="155"/>
  <c r="Q53" i="155"/>
  <c r="BM52" i="155" s="1"/>
  <c r="Q53" i="157"/>
  <c r="BM52" i="157" s="1"/>
  <c r="AJ51" i="157"/>
  <c r="AK54" i="72"/>
  <c r="BI54" i="21"/>
  <c r="BQ54" i="21" s="1"/>
  <c r="AP51" i="155"/>
  <c r="BD50" i="155" s="1"/>
  <c r="AE49" i="135" s="1"/>
  <c r="AA53" i="37"/>
  <c r="AI53" i="37" s="1"/>
  <c r="AI53" i="21"/>
  <c r="BK51" i="157"/>
  <c r="T56" i="37"/>
  <c r="W53" i="72"/>
  <c r="U53" i="72"/>
  <c r="T53" i="72"/>
  <c r="V53" i="72"/>
  <c r="AF55" i="72"/>
  <c r="AV55" i="21"/>
  <c r="BD55" i="21" s="1"/>
  <c r="P53" i="155"/>
  <c r="BL52" i="155" s="1"/>
  <c r="P53" i="157"/>
  <c r="BI51" i="157"/>
  <c r="BK54" i="21"/>
  <c r="BS54" i="21" s="1"/>
  <c r="AM54" i="72"/>
  <c r="AN51" i="155"/>
  <c r="BI51" i="155"/>
  <c r="AM51" i="157"/>
  <c r="AJ52" i="157" l="1"/>
  <c r="AM52" i="155"/>
  <c r="AY51" i="155" s="1"/>
  <c r="AA50" i="135" s="1"/>
  <c r="AJ48" i="135"/>
  <c r="AM48" i="135"/>
  <c r="E45" i="31"/>
  <c r="E47" i="98"/>
  <c r="AK52" i="155"/>
  <c r="AW51" i="155" s="1"/>
  <c r="Y50" i="135" s="1"/>
  <c r="AG50" i="135" s="1"/>
  <c r="AP52" i="157"/>
  <c r="BD51" i="157" s="1"/>
  <c r="K50" i="135" s="1"/>
  <c r="AL52" i="155"/>
  <c r="AX51" i="155" s="1"/>
  <c r="Z50" i="135" s="1"/>
  <c r="AO52" i="155"/>
  <c r="AK52" i="157"/>
  <c r="AW51" i="157" s="1"/>
  <c r="E50" i="135" s="1"/>
  <c r="M50" i="135" s="1"/>
  <c r="BO51" i="155"/>
  <c r="AL52" i="157"/>
  <c r="AX51" i="157" s="1"/>
  <c r="F50" i="135" s="1"/>
  <c r="AN52" i="157"/>
  <c r="AN52" i="155"/>
  <c r="AF56" i="72"/>
  <c r="AV56" i="21"/>
  <c r="BD56" i="21" s="1"/>
  <c r="I56" i="21"/>
  <c r="I56" i="37" s="1"/>
  <c r="I56" i="72"/>
  <c r="J56" i="72"/>
  <c r="J56" i="21"/>
  <c r="J56" i="37" s="1"/>
  <c r="F54" i="21"/>
  <c r="F54" i="72"/>
  <c r="Q54" i="157"/>
  <c r="BM53" i="157" s="1"/>
  <c r="Q54" i="155"/>
  <c r="BM53" i="155" s="1"/>
  <c r="AX56" i="21"/>
  <c r="BF56" i="21" s="1"/>
  <c r="AH56" i="72"/>
  <c r="BI55" i="21"/>
  <c r="BQ55" i="21" s="1"/>
  <c r="AK55" i="72"/>
  <c r="N54" i="155"/>
  <c r="N54" i="157"/>
  <c r="BJ53" i="157" s="1"/>
  <c r="BC50" i="155"/>
  <c r="AD49" i="135" s="1"/>
  <c r="BA50" i="155"/>
  <c r="AB49" i="135" s="1"/>
  <c r="BB50" i="155"/>
  <c r="AC49" i="135" s="1"/>
  <c r="W57" i="37"/>
  <c r="AW50" i="155"/>
  <c r="Y49" i="135" s="1"/>
  <c r="AG49" i="135" s="1"/>
  <c r="AY50" i="155"/>
  <c r="AA49" i="135" s="1"/>
  <c r="G54" i="72"/>
  <c r="G54" i="21"/>
  <c r="M54" i="157"/>
  <c r="M54" i="155"/>
  <c r="BI53" i="155" s="1"/>
  <c r="AM52" i="157"/>
  <c r="Q48" i="135"/>
  <c r="L48" i="135"/>
  <c r="R48" i="135"/>
  <c r="O48" i="135"/>
  <c r="AY50" i="157"/>
  <c r="G49" i="135" s="1"/>
  <c r="R54" i="157"/>
  <c r="BN53" i="157" s="1"/>
  <c r="R54" i="155"/>
  <c r="BN53" i="155" s="1"/>
  <c r="AB55" i="72"/>
  <c r="AJ55" i="21"/>
  <c r="AR55" i="21" s="1"/>
  <c r="V57" i="37"/>
  <c r="BP52" i="155"/>
  <c r="AB53" i="157"/>
  <c r="AG53" i="157"/>
  <c r="AF53" i="157"/>
  <c r="AD53" i="157"/>
  <c r="AC53" i="157"/>
  <c r="AE53" i="157"/>
  <c r="AH53" i="157"/>
  <c r="Z54" i="21"/>
  <c r="V54" i="72"/>
  <c r="AV51" i="157"/>
  <c r="D50" i="135" s="1"/>
  <c r="AV50" i="157"/>
  <c r="D49" i="135" s="1"/>
  <c r="AG53" i="155"/>
  <c r="AD53" i="155"/>
  <c r="AH53" i="155"/>
  <c r="AC53" i="155"/>
  <c r="AE53" i="155"/>
  <c r="AB53" i="155"/>
  <c r="AF53" i="155"/>
  <c r="BK55" i="21"/>
  <c r="BS55" i="21" s="1"/>
  <c r="AM55" i="72"/>
  <c r="BP51" i="157"/>
  <c r="AC55" i="72"/>
  <c r="AK55" i="21"/>
  <c r="AS55" i="21" s="1"/>
  <c r="W58" i="21"/>
  <c r="S58" i="72"/>
  <c r="BB50" i="157"/>
  <c r="I49" i="135" s="1"/>
  <c r="BJ52" i="155"/>
  <c r="AP52" i="155"/>
  <c r="BD51" i="155" s="1"/>
  <c r="AE50" i="135" s="1"/>
  <c r="X54" i="21"/>
  <c r="T54" i="72"/>
  <c r="Z53" i="157"/>
  <c r="V53" i="157"/>
  <c r="W53" i="157"/>
  <c r="X53" i="157"/>
  <c r="AA53" i="157"/>
  <c r="Y53" i="157"/>
  <c r="U53" i="157"/>
  <c r="AW50" i="157"/>
  <c r="E49" i="135" s="1"/>
  <c r="M49" i="135" s="1"/>
  <c r="AL55" i="72"/>
  <c r="BJ55" i="21"/>
  <c r="BR55" i="21" s="1"/>
  <c r="BA50" i="157"/>
  <c r="H49" i="135" s="1"/>
  <c r="AW56" i="21"/>
  <c r="BE56" i="21" s="1"/>
  <c r="AG56" i="72"/>
  <c r="AX50" i="155"/>
  <c r="Z49" i="135" s="1"/>
  <c r="BK52" i="157"/>
  <c r="AZ50" i="157"/>
  <c r="L54" i="155"/>
  <c r="BH53" i="155" s="1"/>
  <c r="L54" i="157"/>
  <c r="BH53" i="157" s="1"/>
  <c r="Y54" i="21"/>
  <c r="U54" i="72"/>
  <c r="T57" i="37"/>
  <c r="AZ50" i="155"/>
  <c r="X53" i="155"/>
  <c r="AA53" i="155"/>
  <c r="Z53" i="155"/>
  <c r="V53" i="155"/>
  <c r="W53" i="155"/>
  <c r="Y53" i="155"/>
  <c r="U53" i="155"/>
  <c r="H56" i="72"/>
  <c r="H56" i="21"/>
  <c r="H56" i="37" s="1"/>
  <c r="BO51" i="157"/>
  <c r="AD55" i="72"/>
  <c r="AL55" i="21"/>
  <c r="AT55" i="21" s="1"/>
  <c r="BC50" i="157"/>
  <c r="J49" i="135" s="1"/>
  <c r="AO52" i="157"/>
  <c r="AZ51" i="157" s="1"/>
  <c r="AJ55" i="72"/>
  <c r="BH55" i="21"/>
  <c r="BP55" i="21" s="1"/>
  <c r="AJ52" i="155"/>
  <c r="AV51" i="155" s="1"/>
  <c r="X50" i="135" s="1"/>
  <c r="AY56" i="21"/>
  <c r="BG56" i="21" s="1"/>
  <c r="AI56" i="72"/>
  <c r="T58" i="21"/>
  <c r="P58" i="72"/>
  <c r="U57" i="37"/>
  <c r="AE55" i="72"/>
  <c r="AM55" i="21"/>
  <c r="AU55" i="21" s="1"/>
  <c r="BJ52" i="157"/>
  <c r="D54" i="72"/>
  <c r="D54" i="21"/>
  <c r="O54" i="157"/>
  <c r="BK53" i="157" s="1"/>
  <c r="O54" i="155"/>
  <c r="AA54" i="21"/>
  <c r="W54" i="72"/>
  <c r="BH52" i="155"/>
  <c r="BL52" i="157"/>
  <c r="BP51" i="155"/>
  <c r="K56" i="72"/>
  <c r="K56" i="21"/>
  <c r="K56" i="37" s="1"/>
  <c r="P48" i="135"/>
  <c r="S48" i="135"/>
  <c r="N48" i="135"/>
  <c r="Q58" i="72"/>
  <c r="U58" i="21"/>
  <c r="P54" i="157"/>
  <c r="P54" i="155"/>
  <c r="E54" i="72"/>
  <c r="E54" i="21"/>
  <c r="V58" i="21"/>
  <c r="R58" i="72"/>
  <c r="K54" i="155"/>
  <c r="BG53" i="155" s="1"/>
  <c r="K54" i="157"/>
  <c r="BG53" i="157" s="1"/>
  <c r="BG52" i="155"/>
  <c r="AX50" i="157"/>
  <c r="F49" i="135" s="1"/>
  <c r="BI52" i="157"/>
  <c r="BQ51" i="155" l="1"/>
  <c r="BA51" i="155"/>
  <c r="AB50" i="135" s="1"/>
  <c r="BB51" i="155"/>
  <c r="AC50" i="135" s="1"/>
  <c r="E46" i="31"/>
  <c r="E48" i="98"/>
  <c r="AP53" i="155"/>
  <c r="BD52" i="155" s="1"/>
  <c r="AE51" i="135" s="1"/>
  <c r="BC51" i="155"/>
  <c r="AD50" i="135" s="1"/>
  <c r="AH50" i="135" s="1"/>
  <c r="AZ51" i="155"/>
  <c r="AJ53" i="155"/>
  <c r="AV52" i="155" s="1"/>
  <c r="X51" i="135" s="1"/>
  <c r="BQ51" i="157"/>
  <c r="AL53" i="155"/>
  <c r="AX52" i="155" s="1"/>
  <c r="Z51" i="135" s="1"/>
  <c r="AN53" i="155"/>
  <c r="AO53" i="157"/>
  <c r="AZ52" i="157" s="1"/>
  <c r="AL53" i="157"/>
  <c r="AX52" i="157" s="1"/>
  <c r="F51" i="135" s="1"/>
  <c r="O51" i="135" s="1"/>
  <c r="BO52" i="157"/>
  <c r="AM53" i="157"/>
  <c r="AY52" i="157" s="1"/>
  <c r="G51" i="135" s="1"/>
  <c r="AM53" i="155"/>
  <c r="AY52" i="155" s="1"/>
  <c r="AA51" i="135" s="1"/>
  <c r="BB51" i="157"/>
  <c r="I50" i="135" s="1"/>
  <c r="AA55" i="21"/>
  <c r="W55" i="72"/>
  <c r="D54" i="37"/>
  <c r="P54" i="37" s="1"/>
  <c r="P54" i="21"/>
  <c r="T59" i="21"/>
  <c r="P59" i="72"/>
  <c r="BP52" i="157"/>
  <c r="AC56" i="72"/>
  <c r="AK56" i="21"/>
  <c r="AS56" i="21" s="1"/>
  <c r="G54" i="37"/>
  <c r="S54" i="37" s="1"/>
  <c r="S54" i="21"/>
  <c r="AK56" i="72"/>
  <c r="BI56" i="21"/>
  <c r="BQ56" i="21" s="1"/>
  <c r="I57" i="72"/>
  <c r="I57" i="21"/>
  <c r="I57" i="37" s="1"/>
  <c r="AA54" i="37"/>
  <c r="AI54" i="37" s="1"/>
  <c r="AI54" i="21"/>
  <c r="D55" i="72"/>
  <c r="D55" i="21"/>
  <c r="T58" i="37"/>
  <c r="N49" i="135"/>
  <c r="S49" i="135"/>
  <c r="P49" i="135"/>
  <c r="AL56" i="72"/>
  <c r="BJ56" i="21"/>
  <c r="BR56" i="21" s="1"/>
  <c r="G55" i="21"/>
  <c r="G55" i="72"/>
  <c r="K57" i="72"/>
  <c r="K57" i="21"/>
  <c r="K57" i="37" s="1"/>
  <c r="V59" i="21"/>
  <c r="R59" i="72"/>
  <c r="BL53" i="157"/>
  <c r="BP53" i="157" s="1"/>
  <c r="AK53" i="155"/>
  <c r="AL49" i="135"/>
  <c r="AF49" i="135"/>
  <c r="AK49" i="135"/>
  <c r="AI49" i="135"/>
  <c r="AK53" i="157"/>
  <c r="Z55" i="21"/>
  <c r="V55" i="72"/>
  <c r="AB56" i="72"/>
  <c r="AJ56" i="21"/>
  <c r="AR56" i="21" s="1"/>
  <c r="AH49" i="135"/>
  <c r="AM49" i="135"/>
  <c r="AJ49" i="135"/>
  <c r="AH57" i="72"/>
  <c r="AX57" i="21"/>
  <c r="BF57" i="21" s="1"/>
  <c r="F55" i="21"/>
  <c r="F55" i="72"/>
  <c r="BH56" i="21"/>
  <c r="BP56" i="21" s="1"/>
  <c r="AJ56" i="72"/>
  <c r="U58" i="37"/>
  <c r="AI50" i="135"/>
  <c r="AL50" i="135"/>
  <c r="AF50" i="135"/>
  <c r="AK50" i="135"/>
  <c r="F54" i="37"/>
  <c r="R54" i="37" s="1"/>
  <c r="R54" i="21"/>
  <c r="AV57" i="21"/>
  <c r="BD57" i="21" s="1"/>
  <c r="AF57" i="72"/>
  <c r="V58" i="37"/>
  <c r="AI57" i="72"/>
  <c r="AY57" i="21"/>
  <c r="BG57" i="21" s="1"/>
  <c r="AL56" i="21"/>
  <c r="AT56" i="21" s="1"/>
  <c r="AD56" i="72"/>
  <c r="U55" i="72"/>
  <c r="Y55" i="21"/>
  <c r="AM56" i="72"/>
  <c r="BK56" i="21"/>
  <c r="BS56" i="21" s="1"/>
  <c r="BO52" i="155"/>
  <c r="BQ52" i="155" s="1"/>
  <c r="E54" i="37"/>
  <c r="Q54" i="37" s="1"/>
  <c r="Q54" i="21"/>
  <c r="U59" i="21"/>
  <c r="Q59" i="72"/>
  <c r="AM56" i="21"/>
  <c r="AU56" i="21" s="1"/>
  <c r="AE56" i="72"/>
  <c r="Y54" i="37"/>
  <c r="AG54" i="37" s="1"/>
  <c r="AG54" i="21"/>
  <c r="AJ53" i="157"/>
  <c r="W59" i="21"/>
  <c r="S59" i="72"/>
  <c r="Q50" i="135"/>
  <c r="O50" i="135"/>
  <c r="R50" i="135"/>
  <c r="L50" i="135"/>
  <c r="BJ53" i="155"/>
  <c r="BO53" i="155" s="1"/>
  <c r="AO53" i="155"/>
  <c r="Z54" i="37"/>
  <c r="AH54" i="37" s="1"/>
  <c r="AH54" i="21"/>
  <c r="AA54" i="157"/>
  <c r="Z54" i="157"/>
  <c r="U54" i="157"/>
  <c r="Y54" i="157"/>
  <c r="X54" i="157"/>
  <c r="V54" i="157"/>
  <c r="W54" i="157"/>
  <c r="E55" i="72"/>
  <c r="E55" i="21"/>
  <c r="AD54" i="155"/>
  <c r="AC54" i="155"/>
  <c r="AF54" i="155"/>
  <c r="AH54" i="155"/>
  <c r="AB54" i="155"/>
  <c r="AE54" i="155"/>
  <c r="AG54" i="155"/>
  <c r="AG57" i="72"/>
  <c r="AW57" i="21"/>
  <c r="BE57" i="21" s="1"/>
  <c r="AN53" i="157"/>
  <c r="W58" i="37"/>
  <c r="BC51" i="157"/>
  <c r="J50" i="135" s="1"/>
  <c r="BK53" i="155"/>
  <c r="X54" i="37"/>
  <c r="AF54" i="37" s="1"/>
  <c r="AF54" i="21"/>
  <c r="L49" i="135"/>
  <c r="Q49" i="135"/>
  <c r="O49" i="135"/>
  <c r="R49" i="135"/>
  <c r="X54" i="155"/>
  <c r="Z54" i="155"/>
  <c r="V54" i="155"/>
  <c r="W54" i="155"/>
  <c r="AA54" i="155"/>
  <c r="Y54" i="155"/>
  <c r="U54" i="155"/>
  <c r="BL53" i="155"/>
  <c r="AH54" i="157"/>
  <c r="AB54" i="157"/>
  <c r="AD54" i="157"/>
  <c r="AG54" i="157"/>
  <c r="AC54" i="157"/>
  <c r="AE54" i="157"/>
  <c r="AF54" i="157"/>
  <c r="H57" i="21"/>
  <c r="H57" i="37" s="1"/>
  <c r="H57" i="72"/>
  <c r="AP53" i="157"/>
  <c r="X55" i="21"/>
  <c r="T55" i="72"/>
  <c r="BI53" i="157"/>
  <c r="BO53" i="157" s="1"/>
  <c r="BA51" i="157"/>
  <c r="H50" i="135" s="1"/>
  <c r="AY51" i="157"/>
  <c r="G50" i="135" s="1"/>
  <c r="J57" i="21"/>
  <c r="J57" i="37" s="1"/>
  <c r="J57" i="72"/>
  <c r="BA52" i="155" l="1"/>
  <c r="AB51" i="135" s="1"/>
  <c r="AJ50" i="135"/>
  <c r="AM50" i="135"/>
  <c r="AO54" i="155"/>
  <c r="AZ53" i="155" s="1"/>
  <c r="AL54" i="155"/>
  <c r="AX53" i="155" s="1"/>
  <c r="Z52" i="135" s="1"/>
  <c r="AI52" i="135" s="1"/>
  <c r="E47" i="31"/>
  <c r="E49" i="98"/>
  <c r="Q51" i="135"/>
  <c r="BQ52" i="157"/>
  <c r="R51" i="135"/>
  <c r="L51" i="135"/>
  <c r="BC52" i="155"/>
  <c r="AD51" i="135" s="1"/>
  <c r="AJ51" i="135" s="1"/>
  <c r="BB52" i="155"/>
  <c r="AC51" i="135" s="1"/>
  <c r="AP54" i="155"/>
  <c r="BD53" i="155" s="1"/>
  <c r="AE52" i="135" s="1"/>
  <c r="AK54" i="155"/>
  <c r="AW53" i="155" s="1"/>
  <c r="Y52" i="135" s="1"/>
  <c r="AG52" i="135" s="1"/>
  <c r="AO54" i="157"/>
  <c r="AZ53" i="157" s="1"/>
  <c r="AP54" i="157"/>
  <c r="BD53" i="157" s="1"/>
  <c r="K52" i="135" s="1"/>
  <c r="W59" i="37"/>
  <c r="AD57" i="72"/>
  <c r="AL57" i="21"/>
  <c r="AT57" i="21" s="1"/>
  <c r="BQ53" i="157"/>
  <c r="E56" i="72"/>
  <c r="E56" i="21"/>
  <c r="AV52" i="157"/>
  <c r="D51" i="135" s="1"/>
  <c r="P55" i="155"/>
  <c r="P55" i="157"/>
  <c r="Q55" i="155"/>
  <c r="Q55" i="157"/>
  <c r="BH57" i="21"/>
  <c r="BP57" i="21" s="1"/>
  <c r="AJ57" i="72"/>
  <c r="K58" i="21"/>
  <c r="K58" i="37" s="1"/>
  <c r="K58" i="72"/>
  <c r="BJ57" i="21"/>
  <c r="BR57" i="21" s="1"/>
  <c r="AL57" i="72"/>
  <c r="D55" i="37"/>
  <c r="P55" i="37" s="1"/>
  <c r="P55" i="21"/>
  <c r="I58" i="21"/>
  <c r="I58" i="37" s="1"/>
  <c r="I58" i="72"/>
  <c r="AK57" i="21"/>
  <c r="AS57" i="21" s="1"/>
  <c r="AC57" i="72"/>
  <c r="T60" i="21"/>
  <c r="P60" i="72"/>
  <c r="L55" i="155"/>
  <c r="L55" i="157"/>
  <c r="AF51" i="135"/>
  <c r="AI51" i="135"/>
  <c r="AK51" i="135"/>
  <c r="AL51" i="135"/>
  <c r="D56" i="72"/>
  <c r="D56" i="21"/>
  <c r="T59" i="37"/>
  <c r="E55" i="37"/>
  <c r="Q55" i="37" s="1"/>
  <c r="Q55" i="21"/>
  <c r="M55" i="155"/>
  <c r="M55" i="157"/>
  <c r="F56" i="72"/>
  <c r="F56" i="21"/>
  <c r="AJ57" i="21"/>
  <c r="AR57" i="21" s="1"/>
  <c r="AB57" i="72"/>
  <c r="K55" i="155"/>
  <c r="K55" i="157"/>
  <c r="AM54" i="155"/>
  <c r="AW58" i="21"/>
  <c r="BE58" i="21" s="1"/>
  <c r="AG58" i="72"/>
  <c r="AM54" i="157"/>
  <c r="AZ52" i="155"/>
  <c r="AM57" i="21"/>
  <c r="AU57" i="21" s="1"/>
  <c r="AE57" i="72"/>
  <c r="BK57" i="21"/>
  <c r="BS57" i="21" s="1"/>
  <c r="AM57" i="72"/>
  <c r="R55" i="21"/>
  <c r="F55" i="37"/>
  <c r="R55" i="37" s="1"/>
  <c r="V56" i="72"/>
  <c r="Z56" i="21"/>
  <c r="AW52" i="155"/>
  <c r="Y51" i="135" s="1"/>
  <c r="AG51" i="135" s="1"/>
  <c r="AK57" i="72"/>
  <c r="BI57" i="21"/>
  <c r="BQ57" i="21" s="1"/>
  <c r="O55" i="157"/>
  <c r="O55" i="155"/>
  <c r="AK54" i="157"/>
  <c r="AW53" i="157" s="1"/>
  <c r="E52" i="135" s="1"/>
  <c r="M52" i="135" s="1"/>
  <c r="Z55" i="37"/>
  <c r="AH55" i="37" s="1"/>
  <c r="AH55" i="21"/>
  <c r="G56" i="72"/>
  <c r="G56" i="21"/>
  <c r="N55" i="157"/>
  <c r="N55" i="155"/>
  <c r="W56" i="72"/>
  <c r="AA56" i="21"/>
  <c r="AL54" i="157"/>
  <c r="X56" i="21"/>
  <c r="T56" i="72"/>
  <c r="Y55" i="37"/>
  <c r="AG55" i="37" s="1"/>
  <c r="AG55" i="21"/>
  <c r="AV58" i="21"/>
  <c r="BD58" i="21" s="1"/>
  <c r="AF58" i="72"/>
  <c r="AX58" i="21"/>
  <c r="BF58" i="21" s="1"/>
  <c r="AH58" i="72"/>
  <c r="AW52" i="157"/>
  <c r="E51" i="135" s="1"/>
  <c r="M51" i="135" s="1"/>
  <c r="V60" i="21"/>
  <c r="R60" i="72"/>
  <c r="G55" i="37"/>
  <c r="S55" i="37" s="1"/>
  <c r="S55" i="21"/>
  <c r="R55" i="157"/>
  <c r="R55" i="155"/>
  <c r="AA55" i="37"/>
  <c r="AI55" i="37" s="1"/>
  <c r="AI55" i="21"/>
  <c r="H58" i="21"/>
  <c r="H58" i="37" s="1"/>
  <c r="H58" i="72"/>
  <c r="BB52" i="157"/>
  <c r="I51" i="135" s="1"/>
  <c r="BC52" i="157"/>
  <c r="J51" i="135" s="1"/>
  <c r="BA52" i="157"/>
  <c r="H51" i="135" s="1"/>
  <c r="AY58" i="21"/>
  <c r="BG58" i="21" s="1"/>
  <c r="AI58" i="72"/>
  <c r="J58" i="21"/>
  <c r="J58" i="37" s="1"/>
  <c r="J58" i="72"/>
  <c r="X55" i="37"/>
  <c r="AF55" i="37" s="1"/>
  <c r="AF55" i="21"/>
  <c r="AJ54" i="155"/>
  <c r="BP53" i="155"/>
  <c r="BQ53" i="155" s="1"/>
  <c r="AN54" i="157"/>
  <c r="Q60" i="72"/>
  <c r="U60" i="21"/>
  <c r="BD52" i="157"/>
  <c r="K51" i="135" s="1"/>
  <c r="AN54" i="155"/>
  <c r="P50" i="135"/>
  <c r="N50" i="135"/>
  <c r="S50" i="135"/>
  <c r="AJ54" i="157"/>
  <c r="W60" i="21"/>
  <c r="S60" i="72"/>
  <c r="U59" i="37"/>
  <c r="U56" i="72"/>
  <c r="Y56" i="21"/>
  <c r="V59" i="37"/>
  <c r="AL52" i="135" l="1"/>
  <c r="BB53" i="157"/>
  <c r="I52" i="135" s="1"/>
  <c r="AF52" i="135"/>
  <c r="AK52" i="135"/>
  <c r="AM51" i="135"/>
  <c r="E48" i="31"/>
  <c r="E50" i="98"/>
  <c r="AH51" i="135"/>
  <c r="BC53" i="157"/>
  <c r="J52" i="135" s="1"/>
  <c r="S52" i="135" s="1"/>
  <c r="BA53" i="157"/>
  <c r="H52" i="135" s="1"/>
  <c r="X56" i="37"/>
  <c r="AF56" i="37" s="1"/>
  <c r="AF56" i="21"/>
  <c r="BJ54" i="155"/>
  <c r="AC55" i="155"/>
  <c r="AF55" i="155"/>
  <c r="AD55" i="155"/>
  <c r="AB55" i="155"/>
  <c r="AH55" i="155"/>
  <c r="AG55" i="155"/>
  <c r="AE55" i="155"/>
  <c r="BK54" i="155"/>
  <c r="Q56" i="157"/>
  <c r="Q56" i="155"/>
  <c r="BM55" i="155" s="1"/>
  <c r="AY53" i="157"/>
  <c r="G52" i="135" s="1"/>
  <c r="W55" i="155"/>
  <c r="V55" i="155"/>
  <c r="X55" i="155"/>
  <c r="Z55" i="155"/>
  <c r="AA55" i="155"/>
  <c r="U55" i="155"/>
  <c r="Y55" i="155"/>
  <c r="AN55" i="155" s="1"/>
  <c r="BG54" i="155"/>
  <c r="F57" i="72"/>
  <c r="F57" i="21"/>
  <c r="D57" i="21"/>
  <c r="D57" i="72"/>
  <c r="BH54" i="155"/>
  <c r="K56" i="155"/>
  <c r="BG55" i="155" s="1"/>
  <c r="K56" i="157"/>
  <c r="BG55" i="157" s="1"/>
  <c r="BM54" i="157"/>
  <c r="E57" i="72"/>
  <c r="E57" i="21"/>
  <c r="BN54" i="155"/>
  <c r="AX59" i="21"/>
  <c r="BF59" i="21" s="1"/>
  <c r="AH59" i="72"/>
  <c r="BJ54" i="157"/>
  <c r="AC55" i="157"/>
  <c r="AB55" i="157"/>
  <c r="AD55" i="157"/>
  <c r="AF55" i="157"/>
  <c r="AG55" i="157"/>
  <c r="AH55" i="157"/>
  <c r="AE55" i="157"/>
  <c r="BK54" i="157"/>
  <c r="M56" i="157"/>
  <c r="M56" i="155"/>
  <c r="BI55" i="155" s="1"/>
  <c r="AW59" i="21"/>
  <c r="BE59" i="21" s="1"/>
  <c r="AG59" i="72"/>
  <c r="BI54" i="157"/>
  <c r="O56" i="155"/>
  <c r="O56" i="157"/>
  <c r="BK55" i="157" s="1"/>
  <c r="BM54" i="155"/>
  <c r="BN54" i="157"/>
  <c r="AX53" i="157"/>
  <c r="F52" i="135" s="1"/>
  <c r="G56" i="37"/>
  <c r="S56" i="37" s="1"/>
  <c r="S56" i="21"/>
  <c r="BK58" i="21"/>
  <c r="BS58" i="21" s="1"/>
  <c r="AM58" i="72"/>
  <c r="BI54" i="155"/>
  <c r="T61" i="21"/>
  <c r="P61" i="72"/>
  <c r="BJ58" i="21"/>
  <c r="BR58" i="21" s="1"/>
  <c r="AL58" i="72"/>
  <c r="BL54" i="157"/>
  <c r="U60" i="37"/>
  <c r="N56" i="155"/>
  <c r="N56" i="157"/>
  <c r="AF59" i="72"/>
  <c r="AV59" i="21"/>
  <c r="BD59" i="21" s="1"/>
  <c r="G57" i="72"/>
  <c r="G57" i="21"/>
  <c r="BI58" i="21"/>
  <c r="BQ58" i="21" s="1"/>
  <c r="AK58" i="72"/>
  <c r="L56" i="155"/>
  <c r="BH55" i="155" s="1"/>
  <c r="L56" i="157"/>
  <c r="BH55" i="157" s="1"/>
  <c r="U61" i="21"/>
  <c r="Q61" i="72"/>
  <c r="R56" i="157"/>
  <c r="R56" i="155"/>
  <c r="BN55" i="155" s="1"/>
  <c r="AM58" i="21"/>
  <c r="AU58" i="21" s="1"/>
  <c r="AE58" i="72"/>
  <c r="P56" i="155"/>
  <c r="P56" i="157"/>
  <c r="BL55" i="157" s="1"/>
  <c r="AK58" i="21"/>
  <c r="AS58" i="21" s="1"/>
  <c r="AC58" i="72"/>
  <c r="K59" i="21"/>
  <c r="K59" i="37" s="1"/>
  <c r="K59" i="72"/>
  <c r="AL58" i="21"/>
  <c r="AT58" i="21" s="1"/>
  <c r="AD58" i="72"/>
  <c r="P51" i="135"/>
  <c r="N51" i="135"/>
  <c r="S51" i="135"/>
  <c r="W60" i="37"/>
  <c r="T60" i="37"/>
  <c r="BL54" i="155"/>
  <c r="AY59" i="21"/>
  <c r="BG59" i="21" s="1"/>
  <c r="AI59" i="72"/>
  <c r="H59" i="21"/>
  <c r="H59" i="37" s="1"/>
  <c r="H59" i="72"/>
  <c r="V61" i="21"/>
  <c r="R61" i="72"/>
  <c r="AJ58" i="21"/>
  <c r="AR58" i="21" s="1"/>
  <c r="AB58" i="72"/>
  <c r="AV53" i="157"/>
  <c r="D52" i="135" s="1"/>
  <c r="AV53" i="155"/>
  <c r="X52" i="135" s="1"/>
  <c r="W61" i="21"/>
  <c r="S61" i="72"/>
  <c r="J59" i="21"/>
  <c r="J59" i="37" s="1"/>
  <c r="J59" i="72"/>
  <c r="V60" i="37"/>
  <c r="AA56" i="37"/>
  <c r="AI56" i="37" s="1"/>
  <c r="AI56" i="21"/>
  <c r="Z56" i="37"/>
  <c r="AH56" i="37" s="1"/>
  <c r="AH56" i="21"/>
  <c r="AY53" i="155"/>
  <c r="AA52" i="135" s="1"/>
  <c r="I59" i="21"/>
  <c r="I59" i="37" s="1"/>
  <c r="I59" i="72"/>
  <c r="BH58" i="21"/>
  <c r="BP58" i="21" s="1"/>
  <c r="AJ58" i="72"/>
  <c r="BA53" i="155"/>
  <c r="AB52" i="135" s="1"/>
  <c r="BC53" i="155"/>
  <c r="AD52" i="135" s="1"/>
  <c r="BB53" i="155"/>
  <c r="AC52" i="135" s="1"/>
  <c r="Y56" i="37"/>
  <c r="AG56" i="37" s="1"/>
  <c r="AG56" i="21"/>
  <c r="U57" i="72"/>
  <c r="Y57" i="21"/>
  <c r="T57" i="72"/>
  <c r="X57" i="21"/>
  <c r="W57" i="72"/>
  <c r="AA57" i="21"/>
  <c r="V57" i="72"/>
  <c r="Z57" i="21"/>
  <c r="X55" i="157"/>
  <c r="U55" i="157"/>
  <c r="W55" i="157"/>
  <c r="Z55" i="157"/>
  <c r="V55" i="157"/>
  <c r="Y55" i="157"/>
  <c r="AA55" i="157"/>
  <c r="BG54" i="157"/>
  <c r="F56" i="37"/>
  <c r="R56" i="37" s="1"/>
  <c r="R56" i="21"/>
  <c r="P56" i="21"/>
  <c r="D56" i="37"/>
  <c r="P56" i="37" s="1"/>
  <c r="BH54" i="157"/>
  <c r="Q56" i="21"/>
  <c r="E56" i="37"/>
  <c r="Q56" i="37" s="1"/>
  <c r="AK55" i="157" l="1"/>
  <c r="AW54" i="157" s="1"/>
  <c r="E53" i="135" s="1"/>
  <c r="M53" i="135" s="1"/>
  <c r="AL55" i="157"/>
  <c r="P52" i="135"/>
  <c r="AN55" i="157"/>
  <c r="N52" i="135"/>
  <c r="AJ55" i="155"/>
  <c r="AV54" i="155" s="1"/>
  <c r="X53" i="135" s="1"/>
  <c r="E49" i="31"/>
  <c r="E51" i="98"/>
  <c r="AP55" i="155"/>
  <c r="BD54" i="155" s="1"/>
  <c r="AE53" i="135" s="1"/>
  <c r="AM55" i="157"/>
  <c r="AY54" i="157" s="1"/>
  <c r="G53" i="135" s="1"/>
  <c r="AP55" i="157"/>
  <c r="BD54" i="157" s="1"/>
  <c r="K53" i="135" s="1"/>
  <c r="AO55" i="157"/>
  <c r="BA54" i="157" s="1"/>
  <c r="H53" i="135" s="1"/>
  <c r="AM55" i="155"/>
  <c r="AY54" i="155" s="1"/>
  <c r="AA53" i="135" s="1"/>
  <c r="AJ55" i="157"/>
  <c r="AV54" i="157" s="1"/>
  <c r="D53" i="135" s="1"/>
  <c r="AL55" i="155"/>
  <c r="AX54" i="155" s="1"/>
  <c r="Z53" i="135" s="1"/>
  <c r="AO55" i="155"/>
  <c r="AZ54" i="155" s="1"/>
  <c r="Z58" i="21"/>
  <c r="V58" i="72"/>
  <c r="BH59" i="21"/>
  <c r="BP59" i="21" s="1"/>
  <c r="AJ59" i="72"/>
  <c r="H60" i="21"/>
  <c r="H60" i="37" s="1"/>
  <c r="H60" i="72"/>
  <c r="BL55" i="155"/>
  <c r="AD59" i="72"/>
  <c r="AL59" i="21"/>
  <c r="AT59" i="21" s="1"/>
  <c r="AM59" i="21"/>
  <c r="AU59" i="21" s="1"/>
  <c r="AE59" i="72"/>
  <c r="BJ59" i="21"/>
  <c r="BR59" i="21" s="1"/>
  <c r="AL59" i="72"/>
  <c r="N57" i="157"/>
  <c r="N57" i="155"/>
  <c r="BJ56" i="155" s="1"/>
  <c r="Q57" i="21"/>
  <c r="E57" i="37"/>
  <c r="Q57" i="37" s="1"/>
  <c r="D58" i="72"/>
  <c r="D58" i="21"/>
  <c r="AA57" i="37"/>
  <c r="AI57" i="37" s="1"/>
  <c r="AI57" i="21"/>
  <c r="K57" i="155"/>
  <c r="BG56" i="155" s="1"/>
  <c r="K57" i="157"/>
  <c r="BG56" i="157" s="1"/>
  <c r="AA58" i="21"/>
  <c r="W58" i="72"/>
  <c r="AJ52" i="135"/>
  <c r="AH52" i="135"/>
  <c r="AM52" i="135"/>
  <c r="I60" i="72"/>
  <c r="I60" i="21"/>
  <c r="I60" i="37" s="1"/>
  <c r="AY60" i="21"/>
  <c r="BG60" i="21" s="1"/>
  <c r="AI60" i="72"/>
  <c r="K60" i="72"/>
  <c r="K60" i="21"/>
  <c r="K60" i="37" s="1"/>
  <c r="BI59" i="21"/>
  <c r="BQ59" i="21" s="1"/>
  <c r="AK59" i="72"/>
  <c r="R57" i="155"/>
  <c r="BN56" i="155" s="1"/>
  <c r="R57" i="157"/>
  <c r="BN56" i="157" s="1"/>
  <c r="AB56" i="157"/>
  <c r="AE56" i="157"/>
  <c r="AD56" i="157"/>
  <c r="AH56" i="157"/>
  <c r="AC56" i="157"/>
  <c r="AF56" i="157"/>
  <c r="AG56" i="157"/>
  <c r="BP54" i="157"/>
  <c r="E58" i="72"/>
  <c r="E58" i="21"/>
  <c r="P57" i="21"/>
  <c r="D57" i="37"/>
  <c r="P57" i="37" s="1"/>
  <c r="BP54" i="155"/>
  <c r="O57" i="155"/>
  <c r="BK56" i="155" s="1"/>
  <c r="O57" i="157"/>
  <c r="BK56" i="157" s="1"/>
  <c r="T62" i="21"/>
  <c r="P62" i="72"/>
  <c r="L52" i="135"/>
  <c r="Q52" i="135"/>
  <c r="O52" i="135"/>
  <c r="R52" i="135"/>
  <c r="AG56" i="155"/>
  <c r="AE56" i="155"/>
  <c r="AC56" i="155"/>
  <c r="AD56" i="155"/>
  <c r="AB56" i="155"/>
  <c r="AF56" i="155"/>
  <c r="AH56" i="155"/>
  <c r="R57" i="21"/>
  <c r="F57" i="37"/>
  <c r="R57" i="37" s="1"/>
  <c r="AK55" i="155"/>
  <c r="X57" i="37"/>
  <c r="AF57" i="37" s="1"/>
  <c r="AF57" i="21"/>
  <c r="Q57" i="157"/>
  <c r="Q57" i="155"/>
  <c r="T58" i="72"/>
  <c r="X58" i="21"/>
  <c r="J60" i="21"/>
  <c r="J60" i="37" s="1"/>
  <c r="J60" i="72"/>
  <c r="AB59" i="72"/>
  <c r="AJ59" i="21"/>
  <c r="AR59" i="21" s="1"/>
  <c r="AK59" i="21"/>
  <c r="AS59" i="21" s="1"/>
  <c r="AC59" i="72"/>
  <c r="U62" i="21"/>
  <c r="Q62" i="72"/>
  <c r="S57" i="21"/>
  <c r="G57" i="37"/>
  <c r="S57" i="37" s="1"/>
  <c r="T61" i="37"/>
  <c r="AX54" i="157"/>
  <c r="F53" i="135" s="1"/>
  <c r="BJ55" i="157"/>
  <c r="BM55" i="157"/>
  <c r="F58" i="21"/>
  <c r="F58" i="72"/>
  <c r="BJ55" i="155"/>
  <c r="BO55" i="155" s="1"/>
  <c r="W61" i="37"/>
  <c r="AV60" i="21"/>
  <c r="BD60" i="21" s="1"/>
  <c r="AF60" i="72"/>
  <c r="P57" i="155"/>
  <c r="P57" i="157"/>
  <c r="BL56" i="157" s="1"/>
  <c r="BO54" i="157"/>
  <c r="Y57" i="37"/>
  <c r="AG57" i="37" s="1"/>
  <c r="AG57" i="21"/>
  <c r="U61" i="37"/>
  <c r="G58" i="21"/>
  <c r="G58" i="72"/>
  <c r="BI55" i="157"/>
  <c r="AX60" i="21"/>
  <c r="BF60" i="21" s="1"/>
  <c r="AH60" i="72"/>
  <c r="U56" i="157"/>
  <c r="Y56" i="157"/>
  <c r="W56" i="157"/>
  <c r="V56" i="157"/>
  <c r="AA56" i="157"/>
  <c r="Z56" i="157"/>
  <c r="X56" i="157"/>
  <c r="BO54" i="155"/>
  <c r="V61" i="37"/>
  <c r="BK59" i="21"/>
  <c r="BS59" i="21" s="1"/>
  <c r="AM59" i="72"/>
  <c r="M57" i="155"/>
  <c r="M57" i="157"/>
  <c r="BI56" i="157" s="1"/>
  <c r="L57" i="157"/>
  <c r="BH56" i="157" s="1"/>
  <c r="L57" i="155"/>
  <c r="BH56" i="155" s="1"/>
  <c r="Z57" i="37"/>
  <c r="AH57" i="37" s="1"/>
  <c r="AH57" i="21"/>
  <c r="Y58" i="21"/>
  <c r="U58" i="72"/>
  <c r="W62" i="21"/>
  <c r="S62" i="72"/>
  <c r="V62" i="21"/>
  <c r="R62" i="72"/>
  <c r="BN55" i="157"/>
  <c r="AW60" i="21"/>
  <c r="BE60" i="21" s="1"/>
  <c r="AG60" i="72"/>
  <c r="AA56" i="155"/>
  <c r="W56" i="155"/>
  <c r="U56" i="155"/>
  <c r="V56" i="155"/>
  <c r="Z56" i="155"/>
  <c r="Y56" i="155"/>
  <c r="X56" i="155"/>
  <c r="BK55" i="155"/>
  <c r="AN56" i="155" l="1"/>
  <c r="AZ54" i="157"/>
  <c r="BC54" i="157"/>
  <c r="J53" i="135" s="1"/>
  <c r="S53" i="135" s="1"/>
  <c r="AL56" i="155"/>
  <c r="AX55" i="155" s="1"/>
  <c r="Z54" i="135" s="1"/>
  <c r="AI54" i="135" s="1"/>
  <c r="BB54" i="157"/>
  <c r="I53" i="135" s="1"/>
  <c r="E50" i="31"/>
  <c r="E52" i="98"/>
  <c r="AJ56" i="157"/>
  <c r="AV55" i="157" s="1"/>
  <c r="D54" i="135" s="1"/>
  <c r="AJ56" i="155"/>
  <c r="AV55" i="155" s="1"/>
  <c r="X54" i="135" s="1"/>
  <c r="AO56" i="157"/>
  <c r="AZ55" i="157" s="1"/>
  <c r="AM56" i="155"/>
  <c r="AY55" i="155" s="1"/>
  <c r="AA54" i="135" s="1"/>
  <c r="AO56" i="155"/>
  <c r="AN56" i="157"/>
  <c r="BP55" i="155"/>
  <c r="BQ55" i="155" s="1"/>
  <c r="BQ54" i="155"/>
  <c r="AK56" i="157"/>
  <c r="AW55" i="157" s="1"/>
  <c r="E54" i="135" s="1"/>
  <c r="M54" i="135" s="1"/>
  <c r="AL56" i="157"/>
  <c r="AX55" i="157" s="1"/>
  <c r="F54" i="135" s="1"/>
  <c r="AM56" i="157"/>
  <c r="AY55" i="157" s="1"/>
  <c r="G54" i="135" s="1"/>
  <c r="BO55" i="157"/>
  <c r="AP56" i="157"/>
  <c r="BD55" i="157" s="1"/>
  <c r="K54" i="135" s="1"/>
  <c r="AP56" i="155"/>
  <c r="BD55" i="155" s="1"/>
  <c r="AE54" i="135" s="1"/>
  <c r="BQ54" i="157"/>
  <c r="BP55" i="157"/>
  <c r="BC54" i="155"/>
  <c r="AD53" i="135" s="1"/>
  <c r="BB54" i="155"/>
  <c r="AC53" i="135" s="1"/>
  <c r="BA54" i="155"/>
  <c r="AB53" i="135" s="1"/>
  <c r="V63" i="21"/>
  <c r="R63" i="72"/>
  <c r="AW54" i="155"/>
  <c r="Y53" i="135" s="1"/>
  <c r="AG53" i="135" s="1"/>
  <c r="T62" i="37"/>
  <c r="O58" i="155"/>
  <c r="BK57" i="155" s="1"/>
  <c r="O58" i="157"/>
  <c r="BK57" i="157" s="1"/>
  <c r="V57" i="155"/>
  <c r="AA57" i="155"/>
  <c r="W57" i="155"/>
  <c r="Y57" i="155"/>
  <c r="U57" i="155"/>
  <c r="Z57" i="155"/>
  <c r="X57" i="155"/>
  <c r="D59" i="21"/>
  <c r="D59" i="72"/>
  <c r="BH60" i="21"/>
  <c r="BP60" i="21" s="1"/>
  <c r="AJ60" i="72"/>
  <c r="AM60" i="72"/>
  <c r="BK60" i="21"/>
  <c r="BS60" i="21" s="1"/>
  <c r="G59" i="21"/>
  <c r="G59" i="72"/>
  <c r="AL53" i="135"/>
  <c r="AK53" i="135"/>
  <c r="AI53" i="135"/>
  <c r="AF53" i="135"/>
  <c r="Q58" i="155"/>
  <c r="Q58" i="157"/>
  <c r="BM57" i="157" s="1"/>
  <c r="K58" i="155"/>
  <c r="BG57" i="155" s="1"/>
  <c r="K58" i="157"/>
  <c r="BG57" i="157" s="1"/>
  <c r="P58" i="155"/>
  <c r="BL57" i="155" s="1"/>
  <c r="P58" i="157"/>
  <c r="AM60" i="21"/>
  <c r="AU60" i="21" s="1"/>
  <c r="AE60" i="72"/>
  <c r="AG61" i="72"/>
  <c r="AW61" i="21"/>
  <c r="BE61" i="21" s="1"/>
  <c r="E58" i="37"/>
  <c r="Q58" i="37" s="1"/>
  <c r="Q58" i="21"/>
  <c r="L58" i="155"/>
  <c r="BH57" i="155" s="1"/>
  <c r="L58" i="157"/>
  <c r="BH57" i="157" s="1"/>
  <c r="V62" i="37"/>
  <c r="W63" i="21"/>
  <c r="S63" i="72"/>
  <c r="G58" i="37"/>
  <c r="S58" i="37" s="1"/>
  <c r="S58" i="21"/>
  <c r="R58" i="157"/>
  <c r="BN57" i="157" s="1"/>
  <c r="R58" i="155"/>
  <c r="BN57" i="155" s="1"/>
  <c r="M58" i="155"/>
  <c r="BI57" i="155" s="1"/>
  <c r="M58" i="157"/>
  <c r="AK56" i="155"/>
  <c r="F59" i="21"/>
  <c r="F59" i="72"/>
  <c r="N58" i="155"/>
  <c r="BJ57" i="155" s="1"/>
  <c r="N58" i="157"/>
  <c r="BJ57" i="157" s="1"/>
  <c r="AJ60" i="21"/>
  <c r="AR60" i="21" s="1"/>
  <c r="AB60" i="72"/>
  <c r="E59" i="21"/>
  <c r="E59" i="72"/>
  <c r="K61" i="21"/>
  <c r="K61" i="37" s="1"/>
  <c r="K61" i="72"/>
  <c r="W59" i="72"/>
  <c r="AA59" i="21"/>
  <c r="BM56" i="155"/>
  <c r="W62" i="37"/>
  <c r="AV61" i="21"/>
  <c r="BD61" i="21" s="1"/>
  <c r="AF61" i="72"/>
  <c r="F58" i="37"/>
  <c r="R58" i="37" s="1"/>
  <c r="R58" i="21"/>
  <c r="Q63" i="72"/>
  <c r="U63" i="21"/>
  <c r="J61" i="21"/>
  <c r="J61" i="37" s="1"/>
  <c r="J61" i="72"/>
  <c r="AH57" i="157"/>
  <c r="AB57" i="157"/>
  <c r="AC57" i="157"/>
  <c r="AG57" i="157"/>
  <c r="AF57" i="157"/>
  <c r="AD57" i="157"/>
  <c r="AE57" i="157"/>
  <c r="AY61" i="21"/>
  <c r="BG61" i="21" s="1"/>
  <c r="AI61" i="72"/>
  <c r="AA58" i="37"/>
  <c r="AI58" i="37" s="1"/>
  <c r="AI58" i="21"/>
  <c r="BM56" i="157"/>
  <c r="BP56" i="157" s="1"/>
  <c r="AL60" i="21"/>
  <c r="AT60" i="21" s="1"/>
  <c r="AD60" i="72"/>
  <c r="BL56" i="155"/>
  <c r="U62" i="37"/>
  <c r="AH57" i="155"/>
  <c r="AC57" i="155"/>
  <c r="AG57" i="155"/>
  <c r="AB57" i="155"/>
  <c r="AD57" i="155"/>
  <c r="AF57" i="155"/>
  <c r="AE57" i="155"/>
  <c r="Z59" i="21"/>
  <c r="V59" i="72"/>
  <c r="U59" i="72"/>
  <c r="Y59" i="21"/>
  <c r="AX61" i="21"/>
  <c r="BF61" i="21" s="1"/>
  <c r="AH61" i="72"/>
  <c r="AK60" i="21"/>
  <c r="AS60" i="21" s="1"/>
  <c r="AC60" i="72"/>
  <c r="X58" i="37"/>
  <c r="AF58" i="37" s="1"/>
  <c r="AF58" i="21"/>
  <c r="BI56" i="155"/>
  <c r="BO56" i="155" s="1"/>
  <c r="H61" i="21"/>
  <c r="H61" i="37" s="1"/>
  <c r="H61" i="72"/>
  <c r="Z58" i="37"/>
  <c r="AH58" i="37" s="1"/>
  <c r="AH58" i="21"/>
  <c r="Y58" i="37"/>
  <c r="AG58" i="37" s="1"/>
  <c r="AG58" i="21"/>
  <c r="O53" i="135"/>
  <c r="L53" i="135"/>
  <c r="R53" i="135"/>
  <c r="Q53" i="135"/>
  <c r="X59" i="21"/>
  <c r="T59" i="72"/>
  <c r="T63" i="21"/>
  <c r="P63" i="72"/>
  <c r="BI60" i="21"/>
  <c r="BQ60" i="21" s="1"/>
  <c r="AK60" i="72"/>
  <c r="I61" i="21"/>
  <c r="I61" i="37" s="1"/>
  <c r="I61" i="72"/>
  <c r="AA57" i="157"/>
  <c r="Z57" i="157"/>
  <c r="Y57" i="157"/>
  <c r="U57" i="157"/>
  <c r="X57" i="157"/>
  <c r="V57" i="157"/>
  <c r="W57" i="157"/>
  <c r="P58" i="21"/>
  <c r="D58" i="37"/>
  <c r="P58" i="37" s="1"/>
  <c r="BJ60" i="21"/>
  <c r="BR60" i="21" s="1"/>
  <c r="AL60" i="72"/>
  <c r="BJ56" i="157"/>
  <c r="BO56" i="157" s="1"/>
  <c r="P53" i="135" l="1"/>
  <c r="N53" i="135"/>
  <c r="AL54" i="135"/>
  <c r="BA55" i="155"/>
  <c r="AB54" i="135" s="1"/>
  <c r="BB55" i="155"/>
  <c r="AC54" i="135" s="1"/>
  <c r="AF54" i="135"/>
  <c r="AK54" i="135"/>
  <c r="BC55" i="157"/>
  <c r="J54" i="135" s="1"/>
  <c r="N54" i="135" s="1"/>
  <c r="BC55" i="155"/>
  <c r="AD54" i="135" s="1"/>
  <c r="AJ54" i="135" s="1"/>
  <c r="AZ55" i="155"/>
  <c r="BB55" i="157"/>
  <c r="I54" i="135" s="1"/>
  <c r="BA55" i="157"/>
  <c r="H54" i="135" s="1"/>
  <c r="E51" i="31"/>
  <c r="E53" i="98"/>
  <c r="AK57" i="157"/>
  <c r="AW56" i="157" s="1"/>
  <c r="E55" i="135" s="1"/>
  <c r="M55" i="135" s="1"/>
  <c r="AJ57" i="157"/>
  <c r="AV56" i="157" s="1"/>
  <c r="D55" i="135" s="1"/>
  <c r="BP56" i="155"/>
  <c r="BQ56" i="155" s="1"/>
  <c r="BQ55" i="157"/>
  <c r="AN57" i="157"/>
  <c r="AP57" i="157"/>
  <c r="BD56" i="157" s="1"/>
  <c r="K55" i="135" s="1"/>
  <c r="BQ56" i="157"/>
  <c r="AL57" i="157"/>
  <c r="AX56" i="157" s="1"/>
  <c r="F55" i="135" s="1"/>
  <c r="L55" i="135" s="1"/>
  <c r="AJ57" i="155"/>
  <c r="AV56" i="155" s="1"/>
  <c r="X55" i="135" s="1"/>
  <c r="AH53" i="135"/>
  <c r="AM53" i="135"/>
  <c r="AJ53" i="135"/>
  <c r="AO57" i="157"/>
  <c r="AZ56" i="157" s="1"/>
  <c r="AK57" i="155"/>
  <c r="AW56" i="155" s="1"/>
  <c r="Y55" i="135" s="1"/>
  <c r="AG55" i="135" s="1"/>
  <c r="BO57" i="155"/>
  <c r="R59" i="157"/>
  <c r="BN58" i="157" s="1"/>
  <c r="R59" i="155"/>
  <c r="BN58" i="155" s="1"/>
  <c r="AL61" i="21"/>
  <c r="AT61" i="21" s="1"/>
  <c r="AD61" i="72"/>
  <c r="AA59" i="37"/>
  <c r="AI59" i="37" s="1"/>
  <c r="AI59" i="21"/>
  <c r="S64" i="72"/>
  <c r="W64" i="21"/>
  <c r="AM57" i="155"/>
  <c r="AB58" i="157"/>
  <c r="AE58" i="157"/>
  <c r="AD58" i="157"/>
  <c r="AF58" i="157"/>
  <c r="AC58" i="157"/>
  <c r="AG58" i="157"/>
  <c r="AH58" i="157"/>
  <c r="AB61" i="72"/>
  <c r="AJ61" i="21"/>
  <c r="AR61" i="21" s="1"/>
  <c r="U63" i="37"/>
  <c r="AA60" i="21"/>
  <c r="W60" i="72"/>
  <c r="W63" i="37"/>
  <c r="Y58" i="157"/>
  <c r="Z58" i="157"/>
  <c r="W58" i="157"/>
  <c r="X58" i="157"/>
  <c r="U58" i="157"/>
  <c r="AA58" i="157"/>
  <c r="V58" i="157"/>
  <c r="AO57" i="155"/>
  <c r="AB58" i="155"/>
  <c r="AE58" i="155"/>
  <c r="AG58" i="155"/>
  <c r="AF58" i="155"/>
  <c r="AC58" i="155"/>
  <c r="AD58" i="155"/>
  <c r="AH58" i="155"/>
  <c r="V64" i="21"/>
  <c r="R64" i="72"/>
  <c r="P59" i="155"/>
  <c r="BL58" i="155" s="1"/>
  <c r="P59" i="157"/>
  <c r="BL58" i="157" s="1"/>
  <c r="Y59" i="37"/>
  <c r="AG59" i="37" s="1"/>
  <c r="AG59" i="21"/>
  <c r="T64" i="21"/>
  <c r="P64" i="72"/>
  <c r="Y60" i="21"/>
  <c r="U60" i="72"/>
  <c r="M59" i="155"/>
  <c r="BI58" i="155" s="1"/>
  <c r="M59" i="157"/>
  <c r="BI58" i="157" s="1"/>
  <c r="F60" i="72"/>
  <c r="F60" i="21"/>
  <c r="G60" i="72"/>
  <c r="G60" i="21"/>
  <c r="AN57" i="155"/>
  <c r="Z59" i="37"/>
  <c r="AH59" i="37" s="1"/>
  <c r="AH59" i="21"/>
  <c r="AM61" i="72"/>
  <c r="BK61" i="21"/>
  <c r="BS61" i="21" s="1"/>
  <c r="AM57" i="157"/>
  <c r="V63" i="37"/>
  <c r="T63" i="37"/>
  <c r="H62" i="21"/>
  <c r="H62" i="37" s="1"/>
  <c r="H62" i="72"/>
  <c r="Q59" i="155"/>
  <c r="BM58" i="155" s="1"/>
  <c r="Q59" i="157"/>
  <c r="BM58" i="157" s="1"/>
  <c r="E60" i="72"/>
  <c r="E60" i="21"/>
  <c r="R59" i="21"/>
  <c r="F59" i="37"/>
  <c r="R59" i="37" s="1"/>
  <c r="AW62" i="21"/>
  <c r="BE62" i="21" s="1"/>
  <c r="AG62" i="72"/>
  <c r="G59" i="37"/>
  <c r="S59" i="37" s="1"/>
  <c r="S59" i="21"/>
  <c r="BH61" i="21"/>
  <c r="BP61" i="21" s="1"/>
  <c r="AJ61" i="72"/>
  <c r="D59" i="37"/>
  <c r="P59" i="37" s="1"/>
  <c r="P59" i="21"/>
  <c r="BI61" i="21"/>
  <c r="BQ61" i="21" s="1"/>
  <c r="AK61" i="72"/>
  <c r="AL61" i="72"/>
  <c r="BJ61" i="21"/>
  <c r="BR61" i="21" s="1"/>
  <c r="U58" i="155"/>
  <c r="Y58" i="155"/>
  <c r="AA58" i="155"/>
  <c r="X58" i="155"/>
  <c r="Z58" i="155"/>
  <c r="V58" i="155"/>
  <c r="W58" i="155"/>
  <c r="O59" i="155"/>
  <c r="BK58" i="155" s="1"/>
  <c r="O59" i="157"/>
  <c r="BK58" i="157" s="1"/>
  <c r="AM54" i="135"/>
  <c r="K59" i="155"/>
  <c r="BG58" i="155" s="1"/>
  <c r="K59" i="157"/>
  <c r="AK61" i="21"/>
  <c r="AS61" i="21" s="1"/>
  <c r="AC61" i="72"/>
  <c r="AY62" i="21"/>
  <c r="BG62" i="21" s="1"/>
  <c r="AI62" i="72"/>
  <c r="AF62" i="72"/>
  <c r="AV62" i="21"/>
  <c r="BD62" i="21" s="1"/>
  <c r="Q59" i="21"/>
  <c r="E59" i="37"/>
  <c r="Q59" i="37" s="1"/>
  <c r="AM61" i="21"/>
  <c r="AU61" i="21" s="1"/>
  <c r="AE61" i="72"/>
  <c r="BM57" i="155"/>
  <c r="BP57" i="155" s="1"/>
  <c r="AL57" i="155"/>
  <c r="AW55" i="155"/>
  <c r="Y54" i="135" s="1"/>
  <c r="AG54" i="135" s="1"/>
  <c r="X59" i="37"/>
  <c r="AF59" i="37" s="1"/>
  <c r="AF59" i="21"/>
  <c r="AX62" i="21"/>
  <c r="BF62" i="21" s="1"/>
  <c r="AH62" i="72"/>
  <c r="J62" i="21"/>
  <c r="J62" i="37" s="1"/>
  <c r="J62" i="72"/>
  <c r="U64" i="21"/>
  <c r="Q64" i="72"/>
  <c r="K62" i="72"/>
  <c r="K62" i="21"/>
  <c r="K62" i="37" s="1"/>
  <c r="BL57" i="157"/>
  <c r="BP57" i="157" s="1"/>
  <c r="I62" i="21"/>
  <c r="I62" i="37" s="1"/>
  <c r="I62" i="72"/>
  <c r="T60" i="72"/>
  <c r="X60" i="21"/>
  <c r="BI57" i="157"/>
  <c r="BO57" i="157" s="1"/>
  <c r="Z60" i="21"/>
  <c r="V60" i="72"/>
  <c r="L54" i="135"/>
  <c r="Q54" i="135"/>
  <c r="O54" i="135"/>
  <c r="R54" i="135"/>
  <c r="N59" i="157"/>
  <c r="N59" i="155"/>
  <c r="L59" i="155"/>
  <c r="BH58" i="155" s="1"/>
  <c r="L59" i="157"/>
  <c r="D60" i="21"/>
  <c r="D60" i="72"/>
  <c r="AP57" i="155"/>
  <c r="AL58" i="155" l="1"/>
  <c r="AH54" i="135"/>
  <c r="AM58" i="155"/>
  <c r="AY57" i="155" s="1"/>
  <c r="AA56" i="135" s="1"/>
  <c r="S54" i="135"/>
  <c r="P54" i="135"/>
  <c r="Q55" i="135"/>
  <c r="E52" i="31"/>
  <c r="E54" i="98"/>
  <c r="AJ58" i="155"/>
  <c r="AV57" i="155" s="1"/>
  <c r="X56" i="135" s="1"/>
  <c r="AL58" i="157"/>
  <c r="AX57" i="157" s="1"/>
  <c r="F56" i="135" s="1"/>
  <c r="O55" i="135"/>
  <c r="R55" i="135"/>
  <c r="AJ58" i="157"/>
  <c r="AV57" i="157" s="1"/>
  <c r="D56" i="135" s="1"/>
  <c r="AM58" i="157"/>
  <c r="AY57" i="157" s="1"/>
  <c r="G56" i="135" s="1"/>
  <c r="AK58" i="155"/>
  <c r="AW57" i="155" s="1"/>
  <c r="Y56" i="135" s="1"/>
  <c r="AG56" i="135" s="1"/>
  <c r="BQ57" i="157"/>
  <c r="AP58" i="155"/>
  <c r="AN58" i="155"/>
  <c r="AO58" i="155"/>
  <c r="AZ57" i="155" s="1"/>
  <c r="BP58" i="155"/>
  <c r="BA56" i="157"/>
  <c r="H55" i="135" s="1"/>
  <c r="AN58" i="157"/>
  <c r="BC56" i="157"/>
  <c r="J55" i="135" s="1"/>
  <c r="AP58" i="157"/>
  <c r="BD57" i="157" s="1"/>
  <c r="K56" i="135" s="1"/>
  <c r="BB56" i="157"/>
  <c r="I55" i="135" s="1"/>
  <c r="BP58" i="157"/>
  <c r="Y61" i="21"/>
  <c r="U61" i="72"/>
  <c r="Z60" i="37"/>
  <c r="AH60" i="37" s="1"/>
  <c r="AH60" i="21"/>
  <c r="AX63" i="21"/>
  <c r="BF63" i="21" s="1"/>
  <c r="AH63" i="72"/>
  <c r="AM62" i="21"/>
  <c r="AU62" i="21" s="1"/>
  <c r="AE62" i="72"/>
  <c r="AY63" i="21"/>
  <c r="BG63" i="21" s="1"/>
  <c r="AI63" i="72"/>
  <c r="BJ62" i="21"/>
  <c r="BR62" i="21" s="1"/>
  <c r="AL62" i="72"/>
  <c r="N60" i="157"/>
  <c r="BJ59" i="157" s="1"/>
  <c r="N60" i="155"/>
  <c r="BJ59" i="155" s="1"/>
  <c r="M60" i="155"/>
  <c r="BI59" i="155" s="1"/>
  <c r="M60" i="157"/>
  <c r="BI59" i="157" s="1"/>
  <c r="H63" i="21"/>
  <c r="H63" i="37" s="1"/>
  <c r="H63" i="72"/>
  <c r="BK62" i="21"/>
  <c r="BS62" i="21" s="1"/>
  <c r="AM62" i="72"/>
  <c r="Y60" i="37"/>
  <c r="AG60" i="37" s="1"/>
  <c r="AG60" i="21"/>
  <c r="V64" i="37"/>
  <c r="AO58" i="157"/>
  <c r="W64" i="37"/>
  <c r="E60" i="37"/>
  <c r="Q60" i="37" s="1"/>
  <c r="Q60" i="21"/>
  <c r="T65" i="21"/>
  <c r="P65" i="72"/>
  <c r="AZ56" i="155"/>
  <c r="W65" i="21"/>
  <c r="S65" i="72"/>
  <c r="AV63" i="21"/>
  <c r="BD63" i="21" s="1"/>
  <c r="AF63" i="72"/>
  <c r="Q60" i="155"/>
  <c r="BM59" i="155" s="1"/>
  <c r="Q60" i="157"/>
  <c r="R60" i="157"/>
  <c r="BN59" i="157" s="1"/>
  <c r="R60" i="155"/>
  <c r="BN59" i="155" s="1"/>
  <c r="BD57" i="155"/>
  <c r="AE56" i="135" s="1"/>
  <c r="BD56" i="155"/>
  <c r="AE55" i="135" s="1"/>
  <c r="X60" i="37"/>
  <c r="AF60" i="37" s="1"/>
  <c r="AF60" i="21"/>
  <c r="AK62" i="21"/>
  <c r="AS62" i="21" s="1"/>
  <c r="AC62" i="72"/>
  <c r="BI62" i="21"/>
  <c r="BQ62" i="21" s="1"/>
  <c r="AK62" i="72"/>
  <c r="E61" i="72"/>
  <c r="E61" i="21"/>
  <c r="T64" i="37"/>
  <c r="AK58" i="157"/>
  <c r="AA60" i="37"/>
  <c r="AI60" i="37" s="1"/>
  <c r="AI60" i="21"/>
  <c r="AW63" i="21"/>
  <c r="BE63" i="21" s="1"/>
  <c r="AG63" i="72"/>
  <c r="R60" i="21"/>
  <c r="F60" i="37"/>
  <c r="R60" i="37" s="1"/>
  <c r="BQ57" i="155"/>
  <c r="G61" i="72"/>
  <c r="G61" i="21"/>
  <c r="V65" i="21"/>
  <c r="R65" i="72"/>
  <c r="P60" i="21"/>
  <c r="D60" i="37"/>
  <c r="P60" i="37" s="1"/>
  <c r="I63" i="21"/>
  <c r="I63" i="37" s="1"/>
  <c r="I63" i="72"/>
  <c r="K63" i="21"/>
  <c r="K63" i="37" s="1"/>
  <c r="K63" i="72"/>
  <c r="P60" i="155"/>
  <c r="BL59" i="155" s="1"/>
  <c r="P60" i="157"/>
  <c r="BL59" i="157" s="1"/>
  <c r="AC59" i="155"/>
  <c r="AB59" i="155"/>
  <c r="AD59" i="155"/>
  <c r="AF59" i="155"/>
  <c r="AE59" i="155"/>
  <c r="AH59" i="155"/>
  <c r="AG59" i="155"/>
  <c r="K60" i="157"/>
  <c r="BG59" i="157" s="1"/>
  <c r="K60" i="155"/>
  <c r="F61" i="72"/>
  <c r="F61" i="21"/>
  <c r="AJ62" i="21"/>
  <c r="AR62" i="21" s="1"/>
  <c r="AB62" i="72"/>
  <c r="Z61" i="21"/>
  <c r="V61" i="72"/>
  <c r="AE59" i="157"/>
  <c r="AC59" i="157"/>
  <c r="AH59" i="157"/>
  <c r="AB59" i="157"/>
  <c r="AG59" i="157"/>
  <c r="AF59" i="157"/>
  <c r="AD59" i="157"/>
  <c r="U65" i="21"/>
  <c r="Q65" i="72"/>
  <c r="AX57" i="155"/>
  <c r="Z56" i="135" s="1"/>
  <c r="AX56" i="155"/>
  <c r="Z55" i="135" s="1"/>
  <c r="L60" i="155"/>
  <c r="L60" i="157"/>
  <c r="V59" i="157"/>
  <c r="Z59" i="157"/>
  <c r="Y59" i="157"/>
  <c r="U59" i="157"/>
  <c r="X59" i="157"/>
  <c r="AA59" i="157"/>
  <c r="AP59" i="157" s="1"/>
  <c r="W59" i="157"/>
  <c r="O60" i="157"/>
  <c r="BK59" i="157" s="1"/>
  <c r="O60" i="155"/>
  <c r="BK59" i="155" s="1"/>
  <c r="BH58" i="157"/>
  <c r="BC56" i="155"/>
  <c r="AD55" i="135" s="1"/>
  <c r="BB56" i="155"/>
  <c r="AC55" i="135" s="1"/>
  <c r="BA56" i="155"/>
  <c r="AB55" i="135" s="1"/>
  <c r="BG58" i="157"/>
  <c r="BJ58" i="157"/>
  <c r="D61" i="72"/>
  <c r="D61" i="21"/>
  <c r="X61" i="21"/>
  <c r="T61" i="72"/>
  <c r="U64" i="37"/>
  <c r="J63" i="72"/>
  <c r="J63" i="21"/>
  <c r="J63" i="37" s="1"/>
  <c r="AA59" i="155"/>
  <c r="Y59" i="155"/>
  <c r="X59" i="155"/>
  <c r="U59" i="155"/>
  <c r="W59" i="155"/>
  <c r="V59" i="155"/>
  <c r="Z59" i="155"/>
  <c r="BJ58" i="155"/>
  <c r="BO58" i="155" s="1"/>
  <c r="BH62" i="21"/>
  <c r="BP62" i="21" s="1"/>
  <c r="AJ62" i="72"/>
  <c r="AY56" i="157"/>
  <c r="G55" i="135" s="1"/>
  <c r="S60" i="21"/>
  <c r="G60" i="37"/>
  <c r="S60" i="37" s="1"/>
  <c r="AA61" i="21"/>
  <c r="W61" i="72"/>
  <c r="AY56" i="155"/>
  <c r="AA55" i="135" s="1"/>
  <c r="AL62" i="21"/>
  <c r="AT62" i="21" s="1"/>
  <c r="AD62" i="72"/>
  <c r="AJ59" i="155" l="1"/>
  <c r="AV58" i="155" s="1"/>
  <c r="X57" i="135" s="1"/>
  <c r="BC57" i="155"/>
  <c r="AD56" i="135" s="1"/>
  <c r="AJ56" i="135" s="1"/>
  <c r="BB57" i="155"/>
  <c r="AC56" i="135" s="1"/>
  <c r="E53" i="31"/>
  <c r="E55" i="98"/>
  <c r="AP59" i="155"/>
  <c r="BD58" i="155" s="1"/>
  <c r="AE57" i="135" s="1"/>
  <c r="BA57" i="155"/>
  <c r="AB56" i="135" s="1"/>
  <c r="BQ58" i="155"/>
  <c r="AO59" i="155"/>
  <c r="AZ58" i="155" s="1"/>
  <c r="AO59" i="157"/>
  <c r="AZ58" i="157" s="1"/>
  <c r="AM59" i="155"/>
  <c r="AY58" i="155" s="1"/>
  <c r="AA57" i="135" s="1"/>
  <c r="AM59" i="157"/>
  <c r="AY58" i="157" s="1"/>
  <c r="G57" i="135" s="1"/>
  <c r="AK59" i="155"/>
  <c r="AW58" i="155" s="1"/>
  <c r="Y57" i="135" s="1"/>
  <c r="AG57" i="135" s="1"/>
  <c r="AL59" i="157"/>
  <c r="AX58" i="157" s="1"/>
  <c r="F57" i="135" s="1"/>
  <c r="AL59" i="155"/>
  <c r="AX58" i="155" s="1"/>
  <c r="Z57" i="135" s="1"/>
  <c r="BP59" i="155"/>
  <c r="P55" i="135"/>
  <c r="S55" i="135"/>
  <c r="N55" i="135"/>
  <c r="D62" i="21"/>
  <c r="D62" i="72"/>
  <c r="U60" i="155"/>
  <c r="X60" i="155"/>
  <c r="AA60" i="155"/>
  <c r="W60" i="155"/>
  <c r="V60" i="155"/>
  <c r="Z60" i="155"/>
  <c r="Y60" i="155"/>
  <c r="E61" i="37"/>
  <c r="Q61" i="37" s="1"/>
  <c r="Q61" i="21"/>
  <c r="BO58" i="157"/>
  <c r="BQ58" i="157" s="1"/>
  <c r="AI55" i="135"/>
  <c r="AL55" i="135"/>
  <c r="AK55" i="135"/>
  <c r="AF55" i="135"/>
  <c r="AJ63" i="21"/>
  <c r="AR63" i="21" s="1"/>
  <c r="AB63" i="72"/>
  <c r="E62" i="72"/>
  <c r="E62" i="21"/>
  <c r="H64" i="21"/>
  <c r="H64" i="37" s="1"/>
  <c r="H64" i="72"/>
  <c r="N61" i="157"/>
  <c r="BJ60" i="157" s="1"/>
  <c r="N61" i="155"/>
  <c r="BJ60" i="155" s="1"/>
  <c r="Z61" i="37"/>
  <c r="AH61" i="37" s="1"/>
  <c r="AH61" i="21"/>
  <c r="I64" i="21"/>
  <c r="I64" i="37" s="1"/>
  <c r="I64" i="72"/>
  <c r="W62" i="72"/>
  <c r="AA62" i="21"/>
  <c r="AA61" i="37"/>
  <c r="AI61" i="37" s="1"/>
  <c r="AI61" i="21"/>
  <c r="BH63" i="21"/>
  <c r="BP63" i="21" s="1"/>
  <c r="AJ63" i="72"/>
  <c r="L56" i="135"/>
  <c r="R56" i="135"/>
  <c r="O56" i="135"/>
  <c r="Q56" i="135"/>
  <c r="AJ59" i="157"/>
  <c r="AF56" i="135"/>
  <c r="AL56" i="135"/>
  <c r="AI56" i="135"/>
  <c r="AK56" i="135"/>
  <c r="O61" i="157"/>
  <c r="BK60" i="157" s="1"/>
  <c r="O61" i="155"/>
  <c r="BK60" i="155" s="1"/>
  <c r="BD58" i="157"/>
  <c r="K57" i="135" s="1"/>
  <c r="AK63" i="72"/>
  <c r="BI63" i="21"/>
  <c r="BQ63" i="21" s="1"/>
  <c r="BC57" i="157"/>
  <c r="J56" i="135" s="1"/>
  <c r="BA57" i="157"/>
  <c r="H56" i="135" s="1"/>
  <c r="BB57" i="157"/>
  <c r="I56" i="135" s="1"/>
  <c r="AZ57" i="157"/>
  <c r="AY64" i="21"/>
  <c r="BG64" i="21" s="1"/>
  <c r="AI64" i="72"/>
  <c r="AN59" i="155"/>
  <c r="BH59" i="155"/>
  <c r="U66" i="21"/>
  <c r="Q66" i="72"/>
  <c r="K61" i="157"/>
  <c r="BG60" i="157" s="1"/>
  <c r="K61" i="155"/>
  <c r="BG60" i="155" s="1"/>
  <c r="Q61" i="155"/>
  <c r="BM60" i="155" s="1"/>
  <c r="Q61" i="157"/>
  <c r="BM60" i="157" s="1"/>
  <c r="W66" i="21"/>
  <c r="S66" i="72"/>
  <c r="T66" i="21"/>
  <c r="P66" i="72"/>
  <c r="Z62" i="21"/>
  <c r="V62" i="72"/>
  <c r="BK63" i="21"/>
  <c r="BS63" i="21" s="1"/>
  <c r="AM63" i="72"/>
  <c r="Z60" i="157"/>
  <c r="V60" i="157"/>
  <c r="X60" i="157"/>
  <c r="W60" i="157"/>
  <c r="AA60" i="157"/>
  <c r="U60" i="157"/>
  <c r="Y60" i="157"/>
  <c r="X62" i="21"/>
  <c r="T62" i="72"/>
  <c r="AC60" i="155"/>
  <c r="AB60" i="155"/>
  <c r="AF60" i="155"/>
  <c r="AD60" i="155"/>
  <c r="AG60" i="155"/>
  <c r="AH60" i="155"/>
  <c r="AE60" i="155"/>
  <c r="AN59" i="157"/>
  <c r="U65" i="37"/>
  <c r="R61" i="21"/>
  <c r="F61" i="37"/>
  <c r="R61" i="37" s="1"/>
  <c r="V66" i="21"/>
  <c r="R66" i="72"/>
  <c r="M61" i="157"/>
  <c r="BI60" i="157" s="1"/>
  <c r="M61" i="155"/>
  <c r="BI60" i="155" s="1"/>
  <c r="W65" i="37"/>
  <c r="T65" i="37"/>
  <c r="AM63" i="21"/>
  <c r="AU63" i="21" s="1"/>
  <c r="AE63" i="72"/>
  <c r="U62" i="72"/>
  <c r="Y62" i="21"/>
  <c r="G62" i="72"/>
  <c r="G62" i="21"/>
  <c r="AW64" i="21"/>
  <c r="BE64" i="21" s="1"/>
  <c r="AG64" i="72"/>
  <c r="AV64" i="21"/>
  <c r="BD64" i="21" s="1"/>
  <c r="AF64" i="72"/>
  <c r="BJ63" i="21"/>
  <c r="BR63" i="21" s="1"/>
  <c r="AL63" i="72"/>
  <c r="AL63" i="21"/>
  <c r="AT63" i="21" s="1"/>
  <c r="AD63" i="72"/>
  <c r="BG59" i="155"/>
  <c r="X61" i="37"/>
  <c r="AF61" i="37" s="1"/>
  <c r="AF61" i="21"/>
  <c r="AF60" i="157"/>
  <c r="AE60" i="157"/>
  <c r="AH60" i="157"/>
  <c r="AB60" i="157"/>
  <c r="AD60" i="157"/>
  <c r="AC60" i="157"/>
  <c r="AG60" i="157"/>
  <c r="BH59" i="157"/>
  <c r="BO59" i="157" s="1"/>
  <c r="F62" i="21"/>
  <c r="F62" i="72"/>
  <c r="V65" i="37"/>
  <c r="AW57" i="157"/>
  <c r="E56" i="135" s="1"/>
  <c r="M56" i="135" s="1"/>
  <c r="AK63" i="21"/>
  <c r="AS63" i="21" s="1"/>
  <c r="AC63" i="72"/>
  <c r="L61" i="155"/>
  <c r="BH60" i="155" s="1"/>
  <c r="L61" i="157"/>
  <c r="BH60" i="157" s="1"/>
  <c r="Y61" i="37"/>
  <c r="AG61" i="37" s="1"/>
  <c r="AG61" i="21"/>
  <c r="J64" i="21"/>
  <c r="J64" i="37" s="1"/>
  <c r="J64" i="72"/>
  <c r="R61" i="157"/>
  <c r="R61" i="155"/>
  <c r="P61" i="21"/>
  <c r="D61" i="37"/>
  <c r="P61" i="37" s="1"/>
  <c r="AH55" i="135"/>
  <c r="AJ55" i="135"/>
  <c r="AM55" i="135"/>
  <c r="AK59" i="157"/>
  <c r="AW58" i="157" s="1"/>
  <c r="E57" i="135" s="1"/>
  <c r="M57" i="135" s="1"/>
  <c r="K64" i="21"/>
  <c r="K64" i="37" s="1"/>
  <c r="K64" i="72"/>
  <c r="S61" i="21"/>
  <c r="G61" i="37"/>
  <c r="S61" i="37" s="1"/>
  <c r="BM59" i="157"/>
  <c r="BP59" i="157" s="1"/>
  <c r="P61" i="157"/>
  <c r="P61" i="155"/>
  <c r="AX64" i="21"/>
  <c r="BF64" i="21" s="1"/>
  <c r="AH64" i="72"/>
  <c r="AM56" i="135" l="1"/>
  <c r="AH56" i="135"/>
  <c r="E54" i="31"/>
  <c r="E56" i="98"/>
  <c r="BO59" i="155"/>
  <c r="BQ59" i="155" s="1"/>
  <c r="AK60" i="157"/>
  <c r="AW59" i="157" s="1"/>
  <c r="E58" i="135" s="1"/>
  <c r="M58" i="135" s="1"/>
  <c r="BQ59" i="157"/>
  <c r="AK64" i="21"/>
  <c r="AS64" i="21" s="1"/>
  <c r="AC64" i="72"/>
  <c r="BL60" i="155"/>
  <c r="AK57" i="135"/>
  <c r="AF57" i="135"/>
  <c r="AI57" i="135"/>
  <c r="AL57" i="135"/>
  <c r="F63" i="72"/>
  <c r="F63" i="21"/>
  <c r="AL64" i="21"/>
  <c r="AT64" i="21" s="1"/>
  <c r="AD64" i="72"/>
  <c r="R67" i="72"/>
  <c r="V67" i="21"/>
  <c r="X63" i="21"/>
  <c r="T63" i="72"/>
  <c r="AM60" i="157"/>
  <c r="BN60" i="155"/>
  <c r="AA63" i="21"/>
  <c r="W63" i="72"/>
  <c r="H65" i="21"/>
  <c r="H65" i="37" s="1"/>
  <c r="H65" i="72"/>
  <c r="AP60" i="155"/>
  <c r="V66" i="37"/>
  <c r="BA58" i="155"/>
  <c r="AB57" i="135" s="1"/>
  <c r="BB58" i="155"/>
  <c r="AC57" i="135" s="1"/>
  <c r="BC58" i="155"/>
  <c r="AD57" i="135" s="1"/>
  <c r="I65" i="72"/>
  <c r="I65" i="21"/>
  <c r="I65" i="37" s="1"/>
  <c r="BO60" i="155"/>
  <c r="R62" i="157"/>
  <c r="R62" i="155"/>
  <c r="BN61" i="155" s="1"/>
  <c r="G63" i="21"/>
  <c r="G63" i="72"/>
  <c r="BL60" i="157"/>
  <c r="AO60" i="157"/>
  <c r="AJ64" i="72"/>
  <c r="BH64" i="21"/>
  <c r="BP64" i="21" s="1"/>
  <c r="L62" i="155"/>
  <c r="BH61" i="155" s="1"/>
  <c r="L62" i="157"/>
  <c r="BH61" i="157" s="1"/>
  <c r="AM60" i="155"/>
  <c r="F62" i="37"/>
  <c r="R62" i="37" s="1"/>
  <c r="R62" i="21"/>
  <c r="S56" i="135"/>
  <c r="N56" i="135"/>
  <c r="P56" i="135"/>
  <c r="Y62" i="37"/>
  <c r="AG62" i="37" s="1"/>
  <c r="AG62" i="21"/>
  <c r="Q62" i="155"/>
  <c r="Q62" i="157"/>
  <c r="BM61" i="157" s="1"/>
  <c r="AN60" i="157"/>
  <c r="BK64" i="21"/>
  <c r="BS64" i="21" s="1"/>
  <c r="AM64" i="72"/>
  <c r="E62" i="37"/>
  <c r="Q62" i="37" s="1"/>
  <c r="Q62" i="21"/>
  <c r="P62" i="155"/>
  <c r="P62" i="157"/>
  <c r="AJ60" i="155"/>
  <c r="O57" i="135"/>
  <c r="Q57" i="135"/>
  <c r="L57" i="135"/>
  <c r="R57" i="135"/>
  <c r="K65" i="72"/>
  <c r="K65" i="21"/>
  <c r="K65" i="37" s="1"/>
  <c r="O62" i="157"/>
  <c r="BK61" i="157" s="1"/>
  <c r="O62" i="155"/>
  <c r="Y63" i="21"/>
  <c r="U63" i="72"/>
  <c r="BN60" i="157"/>
  <c r="M62" i="157"/>
  <c r="BI61" i="157" s="1"/>
  <c r="M62" i="155"/>
  <c r="BI61" i="155" s="1"/>
  <c r="AJ60" i="157"/>
  <c r="AV59" i="157" s="1"/>
  <c r="D58" i="135" s="1"/>
  <c r="P67" i="72"/>
  <c r="T67" i="21"/>
  <c r="X61" i="155"/>
  <c r="Z61" i="155"/>
  <c r="W61" i="155"/>
  <c r="V61" i="155"/>
  <c r="AA61" i="155"/>
  <c r="Y61" i="155"/>
  <c r="U61" i="155"/>
  <c r="AY65" i="21"/>
  <c r="BG65" i="21" s="1"/>
  <c r="AI65" i="72"/>
  <c r="BI64" i="21"/>
  <c r="BQ64" i="21" s="1"/>
  <c r="AK64" i="72"/>
  <c r="AV58" i="157"/>
  <c r="D57" i="135" s="1"/>
  <c r="E63" i="21"/>
  <c r="E63" i="72"/>
  <c r="AN60" i="155"/>
  <c r="D63" i="21"/>
  <c r="D63" i="72"/>
  <c r="J65" i="21"/>
  <c r="J65" i="37" s="1"/>
  <c r="J65" i="72"/>
  <c r="K62" i="157"/>
  <c r="K62" i="155"/>
  <c r="BO60" i="157"/>
  <c r="T66" i="37"/>
  <c r="AA61" i="157"/>
  <c r="W61" i="157"/>
  <c r="V61" i="157"/>
  <c r="Y61" i="157"/>
  <c r="X61" i="157"/>
  <c r="Z61" i="157"/>
  <c r="U61" i="157"/>
  <c r="AJ64" i="21"/>
  <c r="AR64" i="21" s="1"/>
  <c r="AB64" i="72"/>
  <c r="AO60" i="155"/>
  <c r="P62" i="21"/>
  <c r="D62" i="37"/>
  <c r="P62" i="37" s="1"/>
  <c r="S62" i="21"/>
  <c r="G62" i="37"/>
  <c r="S62" i="37" s="1"/>
  <c r="N62" i="157"/>
  <c r="BJ61" i="157" s="1"/>
  <c r="N62" i="155"/>
  <c r="BJ61" i="155" s="1"/>
  <c r="BJ64" i="21"/>
  <c r="BR64" i="21" s="1"/>
  <c r="AL64" i="72"/>
  <c r="AP60" i="157"/>
  <c r="Z63" i="21"/>
  <c r="V63" i="72"/>
  <c r="W67" i="21"/>
  <c r="S67" i="72"/>
  <c r="U67" i="21"/>
  <c r="Q67" i="72"/>
  <c r="AH61" i="155"/>
  <c r="AG61" i="155"/>
  <c r="AB61" i="155"/>
  <c r="AF61" i="155"/>
  <c r="AE61" i="155"/>
  <c r="AC61" i="155"/>
  <c r="AD61" i="155"/>
  <c r="AK60" i="155"/>
  <c r="X62" i="37"/>
  <c r="AF62" i="37" s="1"/>
  <c r="AF62" i="21"/>
  <c r="AX65" i="21"/>
  <c r="BF65" i="21" s="1"/>
  <c r="AH65" i="72"/>
  <c r="AV65" i="21"/>
  <c r="BD65" i="21" s="1"/>
  <c r="AF65" i="72"/>
  <c r="AE64" i="72"/>
  <c r="AM64" i="21"/>
  <c r="AU64" i="21" s="1"/>
  <c r="AW65" i="21"/>
  <c r="BE65" i="21" s="1"/>
  <c r="AG65" i="72"/>
  <c r="BA58" i="157"/>
  <c r="H57" i="135" s="1"/>
  <c r="BC58" i="157"/>
  <c r="J57" i="135" s="1"/>
  <c r="BB58" i="157"/>
  <c r="I57" i="135" s="1"/>
  <c r="AL60" i="157"/>
  <c r="Z62" i="37"/>
  <c r="AH62" i="37" s="1"/>
  <c r="AH62" i="21"/>
  <c r="W66" i="37"/>
  <c r="U66" i="37"/>
  <c r="AE61" i="157"/>
  <c r="AH61" i="157"/>
  <c r="AG61" i="157"/>
  <c r="AC61" i="157"/>
  <c r="AF61" i="157"/>
  <c r="AB61" i="157"/>
  <c r="AD61" i="157"/>
  <c r="AA62" i="37"/>
  <c r="AI62" i="37" s="1"/>
  <c r="AI62" i="21"/>
  <c r="AL60" i="155"/>
  <c r="BC59" i="157" l="1"/>
  <c r="J58" i="135" s="1"/>
  <c r="S58" i="135" s="1"/>
  <c r="E55" i="31"/>
  <c r="E57" i="98"/>
  <c r="BC59" i="155"/>
  <c r="AD58" i="135" s="1"/>
  <c r="AH58" i="135" s="1"/>
  <c r="BP60" i="157"/>
  <c r="BQ60" i="157" s="1"/>
  <c r="AK61" i="157"/>
  <c r="AW60" i="157" s="1"/>
  <c r="E59" i="135" s="1"/>
  <c r="M59" i="135" s="1"/>
  <c r="BP60" i="155"/>
  <c r="BQ60" i="155" s="1"/>
  <c r="AJ61" i="155"/>
  <c r="AV60" i="155" s="1"/>
  <c r="X59" i="135" s="1"/>
  <c r="N58" i="135"/>
  <c r="U62" i="155"/>
  <c r="X62" i="155"/>
  <c r="Z62" i="155"/>
  <c r="W62" i="155"/>
  <c r="Y62" i="155"/>
  <c r="AA62" i="155"/>
  <c r="V62" i="155"/>
  <c r="E64" i="72"/>
  <c r="E64" i="21"/>
  <c r="BA59" i="157"/>
  <c r="H58" i="135" s="1"/>
  <c r="AW59" i="155"/>
  <c r="Y58" i="135" s="1"/>
  <c r="AG58" i="135" s="1"/>
  <c r="BD59" i="157"/>
  <c r="K58" i="135" s="1"/>
  <c r="AX59" i="155"/>
  <c r="Z58" i="135" s="1"/>
  <c r="AM65" i="21"/>
  <c r="AU65" i="21" s="1"/>
  <c r="AE65" i="72"/>
  <c r="O63" i="155"/>
  <c r="BK62" i="155" s="1"/>
  <c r="O63" i="157"/>
  <c r="BK62" i="157" s="1"/>
  <c r="AN61" i="157"/>
  <c r="AM61" i="155"/>
  <c r="AY60" i="155" s="1"/>
  <c r="AA59" i="135" s="1"/>
  <c r="Y63" i="37"/>
  <c r="AG63" i="37" s="1"/>
  <c r="AG63" i="21"/>
  <c r="AJ65" i="72"/>
  <c r="BH65" i="21"/>
  <c r="BP65" i="21" s="1"/>
  <c r="BA59" i="155"/>
  <c r="AB58" i="135" s="1"/>
  <c r="AA63" i="37"/>
  <c r="AI63" i="37" s="1"/>
  <c r="AI63" i="21"/>
  <c r="AL65" i="21"/>
  <c r="AT65" i="21" s="1"/>
  <c r="AD65" i="72"/>
  <c r="U67" i="37"/>
  <c r="BJ65" i="21"/>
  <c r="BR65" i="21" s="1"/>
  <c r="AL65" i="72"/>
  <c r="AZ59" i="155"/>
  <c r="AL61" i="157"/>
  <c r="AX60" i="157" s="1"/>
  <c r="F59" i="135" s="1"/>
  <c r="U62" i="157"/>
  <c r="Z62" i="157"/>
  <c r="AA62" i="157"/>
  <c r="Y62" i="157"/>
  <c r="V62" i="157"/>
  <c r="W62" i="157"/>
  <c r="X62" i="157"/>
  <c r="Q63" i="21"/>
  <c r="E63" i="37"/>
  <c r="Q63" i="37" s="1"/>
  <c r="AN61" i="155"/>
  <c r="P68" i="72"/>
  <c r="T68" i="21"/>
  <c r="AB62" i="157"/>
  <c r="AF62" i="157"/>
  <c r="AC62" i="157"/>
  <c r="AE62" i="157"/>
  <c r="AH62" i="157"/>
  <c r="AD62" i="157"/>
  <c r="AG62" i="157"/>
  <c r="M63" i="155"/>
  <c r="BI62" i="155" s="1"/>
  <c r="M63" i="157"/>
  <c r="BI62" i="157" s="1"/>
  <c r="AZ59" i="157"/>
  <c r="AY59" i="157"/>
  <c r="G58" i="135" s="1"/>
  <c r="R63" i="21"/>
  <c r="F63" i="37"/>
  <c r="R63" i="37" s="1"/>
  <c r="K63" i="155"/>
  <c r="K63" i="157"/>
  <c r="AX66" i="21"/>
  <c r="BF66" i="21" s="1"/>
  <c r="AH66" i="72"/>
  <c r="W68" i="21"/>
  <c r="S68" i="72"/>
  <c r="AJ65" i="21"/>
  <c r="AR65" i="21" s="1"/>
  <c r="AB65" i="72"/>
  <c r="BG61" i="157"/>
  <c r="BO61" i="157" s="1"/>
  <c r="AP61" i="155"/>
  <c r="BD60" i="155" s="1"/>
  <c r="AE59" i="135" s="1"/>
  <c r="Q63" i="155"/>
  <c r="BM62" i="155" s="1"/>
  <c r="Q63" i="157"/>
  <c r="I66" i="21"/>
  <c r="I66" i="37" s="1"/>
  <c r="I66" i="72"/>
  <c r="T64" i="72"/>
  <c r="X64" i="21"/>
  <c r="F64" i="72"/>
  <c r="F64" i="21"/>
  <c r="BL61" i="157"/>
  <c r="U68" i="21"/>
  <c r="Q68" i="72"/>
  <c r="L63" i="155"/>
  <c r="BH62" i="155" s="1"/>
  <c r="L63" i="157"/>
  <c r="BH62" i="157" s="1"/>
  <c r="AY59" i="155"/>
  <c r="AA58" i="135" s="1"/>
  <c r="AM57" i="135"/>
  <c r="AJ57" i="135"/>
  <c r="AH57" i="135"/>
  <c r="BD59" i="155"/>
  <c r="AE58" i="135" s="1"/>
  <c r="X63" i="37"/>
  <c r="AF63" i="37" s="1"/>
  <c r="AF63" i="21"/>
  <c r="BN61" i="157"/>
  <c r="BL61" i="155"/>
  <c r="T67" i="37"/>
  <c r="AV59" i="155"/>
  <c r="X58" i="135" s="1"/>
  <c r="AX59" i="157"/>
  <c r="F58" i="135" s="1"/>
  <c r="AW66" i="21"/>
  <c r="BE66" i="21" s="1"/>
  <c r="AG66" i="72"/>
  <c r="N57" i="135"/>
  <c r="P57" i="135"/>
  <c r="S57" i="135"/>
  <c r="J66" i="21"/>
  <c r="J66" i="37" s="1"/>
  <c r="J66" i="72"/>
  <c r="AK61" i="155"/>
  <c r="K66" i="21"/>
  <c r="K66" i="37" s="1"/>
  <c r="K66" i="72"/>
  <c r="Z64" i="21"/>
  <c r="V64" i="72"/>
  <c r="AJ61" i="157"/>
  <c r="BI65" i="21"/>
  <c r="BQ65" i="21" s="1"/>
  <c r="AK65" i="72"/>
  <c r="AL61" i="155"/>
  <c r="P63" i="155"/>
  <c r="P63" i="157"/>
  <c r="G64" i="72"/>
  <c r="G64" i="21"/>
  <c r="H66" i="72"/>
  <c r="H66" i="21"/>
  <c r="H66" i="37" s="1"/>
  <c r="V67" i="37"/>
  <c r="AV66" i="21"/>
  <c r="BD66" i="21" s="1"/>
  <c r="AF66" i="72"/>
  <c r="AH62" i="155"/>
  <c r="AD62" i="155"/>
  <c r="AF62" i="155"/>
  <c r="AC62" i="155"/>
  <c r="AG62" i="155"/>
  <c r="AB62" i="155"/>
  <c r="AE62" i="155"/>
  <c r="W67" i="37"/>
  <c r="AP61" i="157"/>
  <c r="BB59" i="157"/>
  <c r="I58" i="135" s="1"/>
  <c r="BK61" i="155"/>
  <c r="Z63" i="37"/>
  <c r="AH63" i="37" s="1"/>
  <c r="AH63" i="21"/>
  <c r="R63" i="155"/>
  <c r="BN62" i="155" s="1"/>
  <c r="R63" i="157"/>
  <c r="AO61" i="157"/>
  <c r="AZ60" i="157" s="1"/>
  <c r="D64" i="72"/>
  <c r="D64" i="21"/>
  <c r="AO61" i="155"/>
  <c r="AZ60" i="155" s="1"/>
  <c r="BM61" i="155"/>
  <c r="S63" i="21"/>
  <c r="G63" i="37"/>
  <c r="S63" i="37" s="1"/>
  <c r="V68" i="21"/>
  <c r="R68" i="72"/>
  <c r="AK65" i="21"/>
  <c r="AS65" i="21" s="1"/>
  <c r="AC65" i="72"/>
  <c r="N63" i="157"/>
  <c r="BJ62" i="157" s="1"/>
  <c r="N63" i="155"/>
  <c r="BJ62" i="155" s="1"/>
  <c r="AM61" i="157"/>
  <c r="D63" i="37"/>
  <c r="P63" i="37" s="1"/>
  <c r="P63" i="21"/>
  <c r="AY66" i="21"/>
  <c r="BG66" i="21" s="1"/>
  <c r="AI66" i="72"/>
  <c r="BG61" i="155"/>
  <c r="BO61" i="155" s="1"/>
  <c r="Y64" i="21"/>
  <c r="U64" i="72"/>
  <c r="BK65" i="21"/>
  <c r="BS65" i="21" s="1"/>
  <c r="AM65" i="72"/>
  <c r="BB59" i="155"/>
  <c r="AC58" i="135" s="1"/>
  <c r="AA64" i="21"/>
  <c r="W64" i="72"/>
  <c r="AM58" i="135" l="1"/>
  <c r="AJ58" i="135"/>
  <c r="P58" i="135"/>
  <c r="E56" i="31"/>
  <c r="E58" i="98"/>
  <c r="AO62" i="157"/>
  <c r="AZ61" i="157" s="1"/>
  <c r="AL62" i="157"/>
  <c r="AX61" i="157" s="1"/>
  <c r="F60" i="135" s="1"/>
  <c r="BC60" i="155"/>
  <c r="AD59" i="135" s="1"/>
  <c r="AH59" i="135" s="1"/>
  <c r="BC60" i="157"/>
  <c r="J59" i="135" s="1"/>
  <c r="P59" i="135" s="1"/>
  <c r="BB60" i="157"/>
  <c r="I59" i="135" s="1"/>
  <c r="BP61" i="157"/>
  <c r="BQ61" i="157" s="1"/>
  <c r="Y64" i="37"/>
  <c r="AG64" i="37" s="1"/>
  <c r="AG64" i="21"/>
  <c r="V69" i="21"/>
  <c r="R69" i="72"/>
  <c r="D65" i="72"/>
  <c r="D65" i="21"/>
  <c r="V65" i="72"/>
  <c r="Z65" i="21"/>
  <c r="I67" i="21"/>
  <c r="I67" i="37" s="1"/>
  <c r="I67" i="72"/>
  <c r="V63" i="155"/>
  <c r="Y63" i="155"/>
  <c r="X63" i="155"/>
  <c r="Z63" i="155"/>
  <c r="AA63" i="155"/>
  <c r="U63" i="155"/>
  <c r="W63" i="155"/>
  <c r="AM62" i="157"/>
  <c r="AY61" i="157" s="1"/>
  <c r="G60" i="135" s="1"/>
  <c r="AE66" i="72"/>
  <c r="AM66" i="21"/>
  <c r="AU66" i="21" s="1"/>
  <c r="AL62" i="155"/>
  <c r="AX61" i="155" s="1"/>
  <c r="Z60" i="135" s="1"/>
  <c r="K64" i="155"/>
  <c r="BG63" i="155" s="1"/>
  <c r="K64" i="157"/>
  <c r="BG63" i="157" s="1"/>
  <c r="Z64" i="37"/>
  <c r="AH64" i="37" s="1"/>
  <c r="AH64" i="21"/>
  <c r="U69" i="21"/>
  <c r="Q69" i="72"/>
  <c r="AJ66" i="21"/>
  <c r="AR66" i="21" s="1"/>
  <c r="AB66" i="72"/>
  <c r="Q64" i="155"/>
  <c r="BM63" i="155" s="1"/>
  <c r="Q64" i="157"/>
  <c r="AO62" i="155"/>
  <c r="AZ61" i="155" s="1"/>
  <c r="BP61" i="155"/>
  <c r="BQ61" i="155" s="1"/>
  <c r="V68" i="37"/>
  <c r="BK66" i="21"/>
  <c r="BS66" i="21" s="1"/>
  <c r="AM66" i="72"/>
  <c r="O64" i="155"/>
  <c r="BK63" i="155" s="1"/>
  <c r="O64" i="157"/>
  <c r="BK63" i="157" s="1"/>
  <c r="R64" i="155"/>
  <c r="BN63" i="155" s="1"/>
  <c r="R64" i="157"/>
  <c r="BN63" i="157" s="1"/>
  <c r="U68" i="37"/>
  <c r="M64" i="155"/>
  <c r="BI63" i="155" s="1"/>
  <c r="M64" i="157"/>
  <c r="BL62" i="157"/>
  <c r="AK62" i="157"/>
  <c r="BA60" i="155"/>
  <c r="AB59" i="135" s="1"/>
  <c r="AI58" i="135"/>
  <c r="AL58" i="135"/>
  <c r="AK58" i="135"/>
  <c r="AF58" i="135"/>
  <c r="AM62" i="155"/>
  <c r="P64" i="21"/>
  <c r="D64" i="37"/>
  <c r="P64" i="37" s="1"/>
  <c r="AV67" i="21"/>
  <c r="BD67" i="21" s="1"/>
  <c r="AF67" i="72"/>
  <c r="Q59" i="135"/>
  <c r="R59" i="135"/>
  <c r="L59" i="135"/>
  <c r="O59" i="135"/>
  <c r="N64" i="155"/>
  <c r="BJ63" i="155" s="1"/>
  <c r="N64" i="157"/>
  <c r="BJ63" i="157" s="1"/>
  <c r="K67" i="21"/>
  <c r="K67" i="37" s="1"/>
  <c r="K67" i="72"/>
  <c r="W69" i="21"/>
  <c r="S69" i="72"/>
  <c r="T68" i="37"/>
  <c r="AN62" i="157"/>
  <c r="BA61" i="157" s="1"/>
  <c r="H60" i="135" s="1"/>
  <c r="AL66" i="72"/>
  <c r="BJ66" i="21"/>
  <c r="BR66" i="21" s="1"/>
  <c r="BB60" i="155"/>
  <c r="AC59" i="135" s="1"/>
  <c r="AX60" i="155"/>
  <c r="Z59" i="135" s="1"/>
  <c r="Q64" i="21"/>
  <c r="E64" i="37"/>
  <c r="Q64" i="37" s="1"/>
  <c r="AJ62" i="155"/>
  <c r="Y65" i="21"/>
  <c r="U65" i="72"/>
  <c r="H67" i="21"/>
  <c r="H67" i="37" s="1"/>
  <c r="H67" i="72"/>
  <c r="BI66" i="21"/>
  <c r="BQ66" i="21" s="1"/>
  <c r="AK66" i="72"/>
  <c r="AW67" i="21"/>
  <c r="BE67" i="21" s="1"/>
  <c r="AG67" i="72"/>
  <c r="F64" i="37"/>
  <c r="R64" i="37" s="1"/>
  <c r="R64" i="21"/>
  <c r="BM62" i="157"/>
  <c r="W68" i="37"/>
  <c r="AY60" i="157"/>
  <c r="G59" i="135" s="1"/>
  <c r="T69" i="21"/>
  <c r="P69" i="72"/>
  <c r="AP62" i="157"/>
  <c r="BN62" i="157"/>
  <c r="E65" i="21"/>
  <c r="E65" i="72"/>
  <c r="BG62" i="155"/>
  <c r="BO62" i="155" s="1"/>
  <c r="G64" i="37"/>
  <c r="S64" i="37" s="1"/>
  <c r="S64" i="21"/>
  <c r="BL62" i="155"/>
  <c r="BP62" i="155" s="1"/>
  <c r="AX67" i="21"/>
  <c r="BF67" i="21" s="1"/>
  <c r="AH67" i="72"/>
  <c r="BD60" i="157"/>
  <c r="K59" i="135" s="1"/>
  <c r="AK62" i="155"/>
  <c r="AW61" i="155" s="1"/>
  <c r="Y60" i="135" s="1"/>
  <c r="AG60" i="135" s="1"/>
  <c r="F65" i="21"/>
  <c r="F65" i="72"/>
  <c r="AA65" i="21"/>
  <c r="W65" i="72"/>
  <c r="AK66" i="21"/>
  <c r="AS66" i="21" s="1"/>
  <c r="AC66" i="72"/>
  <c r="G65" i="72"/>
  <c r="G65" i="21"/>
  <c r="J67" i="72"/>
  <c r="J67" i="21"/>
  <c r="J67" i="37" s="1"/>
  <c r="O58" i="135"/>
  <c r="R58" i="135"/>
  <c r="L58" i="135"/>
  <c r="Q58" i="135"/>
  <c r="BA60" i="157"/>
  <c r="H59" i="135" s="1"/>
  <c r="X64" i="37"/>
  <c r="AF64" i="37" s="1"/>
  <c r="AF64" i="21"/>
  <c r="AV60" i="157"/>
  <c r="D59" i="135" s="1"/>
  <c r="P64" i="157"/>
  <c r="P64" i="155"/>
  <c r="BL63" i="155" s="1"/>
  <c r="AJ62" i="157"/>
  <c r="AV61" i="157" s="1"/>
  <c r="D60" i="135" s="1"/>
  <c r="BH66" i="21"/>
  <c r="BP66" i="21" s="1"/>
  <c r="AJ66" i="72"/>
  <c r="AH63" i="157"/>
  <c r="AB63" i="157"/>
  <c r="AC63" i="157"/>
  <c r="AE63" i="157"/>
  <c r="AF63" i="157"/>
  <c r="AG63" i="157"/>
  <c r="AD63" i="157"/>
  <c r="AP62" i="155"/>
  <c r="AA64" i="37"/>
  <c r="AI64" i="37" s="1"/>
  <c r="AI64" i="21"/>
  <c r="AI67" i="72"/>
  <c r="AY67" i="21"/>
  <c r="BG67" i="21" s="1"/>
  <c r="X65" i="21"/>
  <c r="T65" i="72"/>
  <c r="X63" i="157"/>
  <c r="W63" i="157"/>
  <c r="Y63" i="157"/>
  <c r="U63" i="157"/>
  <c r="Z63" i="157"/>
  <c r="V63" i="157"/>
  <c r="AA63" i="157"/>
  <c r="L64" i="155"/>
  <c r="L64" i="157"/>
  <c r="BH63" i="157" s="1"/>
  <c r="BG62" i="157"/>
  <c r="BO62" i="157" s="1"/>
  <c r="AD66" i="72"/>
  <c r="AL66" i="21"/>
  <c r="AT66" i="21" s="1"/>
  <c r="AG63" i="155"/>
  <c r="AF63" i="155"/>
  <c r="AC63" i="155"/>
  <c r="AH63" i="155"/>
  <c r="AB63" i="155"/>
  <c r="AD63" i="155"/>
  <c r="AE63" i="155"/>
  <c r="AW60" i="155"/>
  <c r="Y59" i="135" s="1"/>
  <c r="AG59" i="135" s="1"/>
  <c r="AN62" i="155"/>
  <c r="N59" i="135" l="1"/>
  <c r="S59" i="135"/>
  <c r="E57" i="31"/>
  <c r="E59" i="98"/>
  <c r="AM59" i="135"/>
  <c r="BB61" i="157"/>
  <c r="I60" i="135" s="1"/>
  <c r="BC61" i="157"/>
  <c r="J60" i="135" s="1"/>
  <c r="P60" i="135" s="1"/>
  <c r="AJ59" i="135"/>
  <c r="AO63" i="157"/>
  <c r="AZ62" i="157" s="1"/>
  <c r="AJ63" i="157"/>
  <c r="AV62" i="157" s="1"/>
  <c r="D61" i="135" s="1"/>
  <c r="O60" i="135"/>
  <c r="L60" i="135"/>
  <c r="R60" i="135"/>
  <c r="Q60" i="135"/>
  <c r="BP62" i="157"/>
  <c r="BQ62" i="157" s="1"/>
  <c r="AL63" i="157"/>
  <c r="AX62" i="157" s="1"/>
  <c r="F61" i="135" s="1"/>
  <c r="Q61" i="135" s="1"/>
  <c r="AM63" i="157"/>
  <c r="AK63" i="157"/>
  <c r="AW62" i="157" s="1"/>
  <c r="E61" i="135" s="1"/>
  <c r="M61" i="135" s="1"/>
  <c r="E66" i="72"/>
  <c r="E66" i="21"/>
  <c r="H68" i="21"/>
  <c r="H68" i="37" s="1"/>
  <c r="H68" i="72"/>
  <c r="BJ67" i="21"/>
  <c r="BR67" i="21" s="1"/>
  <c r="AL67" i="72"/>
  <c r="BK67" i="21"/>
  <c r="BS67" i="21" s="1"/>
  <c r="AM67" i="72"/>
  <c r="BH63" i="155"/>
  <c r="BO63" i="155" s="1"/>
  <c r="AL63" i="155"/>
  <c r="AX62" i="155" s="1"/>
  <c r="Z61" i="135" s="1"/>
  <c r="D66" i="72"/>
  <c r="D66" i="21"/>
  <c r="AP63" i="157"/>
  <c r="BD62" i="157" s="1"/>
  <c r="K61" i="135" s="1"/>
  <c r="BD61" i="155"/>
  <c r="AE60" i="135" s="1"/>
  <c r="AJ67" i="72"/>
  <c r="BH67" i="21"/>
  <c r="BP67" i="21" s="1"/>
  <c r="J68" i="72"/>
  <c r="J68" i="21"/>
  <c r="J68" i="37" s="1"/>
  <c r="W66" i="72"/>
  <c r="AA66" i="21"/>
  <c r="Q65" i="21"/>
  <c r="E65" i="37"/>
  <c r="Q65" i="37" s="1"/>
  <c r="AI60" i="135"/>
  <c r="AF60" i="135"/>
  <c r="AL60" i="135"/>
  <c r="AK60" i="135"/>
  <c r="AV68" i="21"/>
  <c r="BD68" i="21" s="1"/>
  <c r="AF68" i="72"/>
  <c r="AM67" i="21"/>
  <c r="AU67" i="21" s="1"/>
  <c r="AE67" i="72"/>
  <c r="AJ63" i="155"/>
  <c r="AV62" i="155" s="1"/>
  <c r="X61" i="135" s="1"/>
  <c r="I68" i="21"/>
  <c r="I68" i="37" s="1"/>
  <c r="I68" i="72"/>
  <c r="V70" i="21"/>
  <c r="R70" i="72"/>
  <c r="M65" i="157"/>
  <c r="BI64" i="157" s="1"/>
  <c r="M65" i="155"/>
  <c r="BI64" i="155" s="1"/>
  <c r="AV61" i="155"/>
  <c r="X60" i="135" s="1"/>
  <c r="AP63" i="155"/>
  <c r="BD62" i="155" s="1"/>
  <c r="AE61" i="135" s="1"/>
  <c r="V69" i="37"/>
  <c r="AA65" i="37"/>
  <c r="AI65" i="37" s="1"/>
  <c r="AI65" i="21"/>
  <c r="X65" i="37"/>
  <c r="AF65" i="37" s="1"/>
  <c r="AF65" i="21"/>
  <c r="S65" i="21"/>
  <c r="G65" i="37"/>
  <c r="S65" i="37" s="1"/>
  <c r="F66" i="72"/>
  <c r="F66" i="21"/>
  <c r="Q65" i="155"/>
  <c r="BM64" i="155" s="1"/>
  <c r="Q65" i="157"/>
  <c r="BM64" i="157" s="1"/>
  <c r="P65" i="155"/>
  <c r="BL64" i="155" s="1"/>
  <c r="P65" i="157"/>
  <c r="BL64" i="157" s="1"/>
  <c r="O65" i="157"/>
  <c r="BK64" i="157" s="1"/>
  <c r="O65" i="155"/>
  <c r="BK64" i="155" s="1"/>
  <c r="AW61" i="157"/>
  <c r="E60" i="135" s="1"/>
  <c r="M60" i="135" s="1"/>
  <c r="AO63" i="155"/>
  <c r="AZ62" i="155" s="1"/>
  <c r="X66" i="21"/>
  <c r="T66" i="72"/>
  <c r="G66" i="21"/>
  <c r="G66" i="72"/>
  <c r="F65" i="37"/>
  <c r="R65" i="37" s="1"/>
  <c r="R65" i="21"/>
  <c r="BA61" i="155"/>
  <c r="AB60" i="135" s="1"/>
  <c r="T70" i="21"/>
  <c r="P70" i="72"/>
  <c r="AW68" i="21"/>
  <c r="BE68" i="21" s="1"/>
  <c r="AG68" i="72"/>
  <c r="L65" i="157"/>
  <c r="BH64" i="157" s="1"/>
  <c r="L65" i="155"/>
  <c r="BH64" i="155" s="1"/>
  <c r="W70" i="21"/>
  <c r="S70" i="72"/>
  <c r="K65" i="157"/>
  <c r="K65" i="155"/>
  <c r="BG64" i="155" s="1"/>
  <c r="AJ67" i="21"/>
  <c r="AR67" i="21" s="1"/>
  <c r="AB67" i="72"/>
  <c r="BD61" i="157"/>
  <c r="K60" i="135" s="1"/>
  <c r="AM63" i="155"/>
  <c r="Z65" i="37"/>
  <c r="AH65" i="37" s="1"/>
  <c r="AH65" i="21"/>
  <c r="AD67" i="72"/>
  <c r="AL67" i="21"/>
  <c r="AT67" i="21" s="1"/>
  <c r="AY68" i="21"/>
  <c r="BG68" i="21" s="1"/>
  <c r="AI68" i="72"/>
  <c r="N65" i="157"/>
  <c r="N65" i="155"/>
  <c r="Y66" i="21"/>
  <c r="U66" i="72"/>
  <c r="AF59" i="135"/>
  <c r="AK59" i="135"/>
  <c r="AL59" i="135"/>
  <c r="AI59" i="135"/>
  <c r="W69" i="37"/>
  <c r="AY62" i="155"/>
  <c r="AA61" i="135" s="1"/>
  <c r="W64" i="157"/>
  <c r="Z64" i="157"/>
  <c r="X64" i="157"/>
  <c r="V64" i="157"/>
  <c r="Y64" i="157"/>
  <c r="AA64" i="157"/>
  <c r="U64" i="157"/>
  <c r="V66" i="72"/>
  <c r="Z66" i="21"/>
  <c r="BC61" i="155"/>
  <c r="AD60" i="135" s="1"/>
  <c r="T69" i="37"/>
  <c r="BP63" i="155"/>
  <c r="AN63" i="157"/>
  <c r="AC67" i="72"/>
  <c r="AK67" i="21"/>
  <c r="AS67" i="21" s="1"/>
  <c r="BB61" i="155"/>
  <c r="AC60" i="135" s="1"/>
  <c r="R65" i="157"/>
  <c r="R65" i="155"/>
  <c r="BI67" i="21"/>
  <c r="BQ67" i="21" s="1"/>
  <c r="AK67" i="72"/>
  <c r="Y65" i="37"/>
  <c r="AG65" i="37" s="1"/>
  <c r="AG65" i="21"/>
  <c r="AG64" i="157"/>
  <c r="AC64" i="157"/>
  <c r="AF64" i="157"/>
  <c r="AH64" i="157"/>
  <c r="AB64" i="157"/>
  <c r="AD64" i="157"/>
  <c r="AE64" i="157"/>
  <c r="U70" i="21"/>
  <c r="Q70" i="72"/>
  <c r="X64" i="155"/>
  <c r="V64" i="155"/>
  <c r="W64" i="155"/>
  <c r="AA64" i="155"/>
  <c r="Y64" i="155"/>
  <c r="Z64" i="155"/>
  <c r="U64" i="155"/>
  <c r="AY62" i="157"/>
  <c r="G61" i="135" s="1"/>
  <c r="AN63" i="155"/>
  <c r="BL63" i="157"/>
  <c r="AH68" i="72"/>
  <c r="AX68" i="21"/>
  <c r="BF68" i="21" s="1"/>
  <c r="BQ62" i="155"/>
  <c r="K68" i="72"/>
  <c r="K68" i="21"/>
  <c r="K68" i="37" s="1"/>
  <c r="BM63" i="157"/>
  <c r="AH64" i="155"/>
  <c r="AF64" i="155"/>
  <c r="AB64" i="155"/>
  <c r="AG64" i="155"/>
  <c r="AE64" i="155"/>
  <c r="AD64" i="155"/>
  <c r="AC64" i="155"/>
  <c r="AY61" i="155"/>
  <c r="AA60" i="135" s="1"/>
  <c r="U69" i="37"/>
  <c r="BI63" i="157"/>
  <c r="BO63" i="157" s="1"/>
  <c r="AK63" i="155"/>
  <c r="AW62" i="155" s="1"/>
  <c r="Y61" i="135" s="1"/>
  <c r="AG61" i="135" s="1"/>
  <c r="D65" i="37"/>
  <c r="P65" i="37" s="1"/>
  <c r="P65" i="21"/>
  <c r="S60" i="135" l="1"/>
  <c r="E58" i="31"/>
  <c r="E60" i="98"/>
  <c r="N60" i="135"/>
  <c r="AK64" i="157"/>
  <c r="AW63" i="157" s="1"/>
  <c r="E62" i="135" s="1"/>
  <c r="M62" i="135" s="1"/>
  <c r="AL64" i="155"/>
  <c r="AO64" i="157"/>
  <c r="AZ63" i="157" s="1"/>
  <c r="R61" i="135"/>
  <c r="L61" i="135"/>
  <c r="O61" i="135"/>
  <c r="BP63" i="157"/>
  <c r="BQ63" i="157" s="1"/>
  <c r="BQ63" i="155"/>
  <c r="AP64" i="155"/>
  <c r="BD63" i="155" s="1"/>
  <c r="AE62" i="135" s="1"/>
  <c r="AN64" i="157"/>
  <c r="Y66" i="37"/>
  <c r="AG66" i="37" s="1"/>
  <c r="AG66" i="21"/>
  <c r="U65" i="155"/>
  <c r="V65" i="155"/>
  <c r="W65" i="155"/>
  <c r="Z65" i="155"/>
  <c r="Y65" i="155"/>
  <c r="AA65" i="155"/>
  <c r="X65" i="155"/>
  <c r="I69" i="72"/>
  <c r="I69" i="21"/>
  <c r="I69" i="37" s="1"/>
  <c r="L66" i="155"/>
  <c r="BH65" i="155" s="1"/>
  <c r="L66" i="157"/>
  <c r="BH65" i="157" s="1"/>
  <c r="W65" i="157"/>
  <c r="Y65" i="157"/>
  <c r="AA65" i="157"/>
  <c r="X65" i="157"/>
  <c r="Z65" i="157"/>
  <c r="V65" i="157"/>
  <c r="U65" i="157"/>
  <c r="T71" i="21"/>
  <c r="P71" i="72"/>
  <c r="AB65" i="155"/>
  <c r="AF65" i="155"/>
  <c r="AG65" i="155"/>
  <c r="AC65" i="155"/>
  <c r="AE65" i="155"/>
  <c r="AH65" i="155"/>
  <c r="AD65" i="155"/>
  <c r="R66" i="21"/>
  <c r="F66" i="37"/>
  <c r="R66" i="37" s="1"/>
  <c r="AA66" i="37"/>
  <c r="AI66" i="37" s="1"/>
  <c r="AI66" i="21"/>
  <c r="D66" i="37"/>
  <c r="P66" i="37" s="1"/>
  <c r="P66" i="21"/>
  <c r="H69" i="21"/>
  <c r="H69" i="37" s="1"/>
  <c r="H69" i="72"/>
  <c r="K66" i="157"/>
  <c r="BG65" i="157" s="1"/>
  <c r="K66" i="155"/>
  <c r="AK64" i="155"/>
  <c r="AK68" i="21"/>
  <c r="AS68" i="21" s="1"/>
  <c r="AC68" i="72"/>
  <c r="AM64" i="157"/>
  <c r="BJ64" i="155"/>
  <c r="BO64" i="155" s="1"/>
  <c r="T70" i="37"/>
  <c r="X67" i="21"/>
  <c r="T67" i="72"/>
  <c r="AG65" i="157"/>
  <c r="AH65" i="157"/>
  <c r="AB65" i="157"/>
  <c r="AC65" i="157"/>
  <c r="AF65" i="157"/>
  <c r="AE65" i="157"/>
  <c r="AD65" i="157"/>
  <c r="F67" i="21"/>
  <c r="F67" i="72"/>
  <c r="AA67" i="21"/>
  <c r="W67" i="72"/>
  <c r="D67" i="21"/>
  <c r="D67" i="72"/>
  <c r="O66" i="157"/>
  <c r="BK65" i="157" s="1"/>
  <c r="O66" i="155"/>
  <c r="K69" i="21"/>
  <c r="K69" i="37" s="1"/>
  <c r="K69" i="72"/>
  <c r="AM64" i="155"/>
  <c r="BI68" i="21"/>
  <c r="BQ68" i="21" s="1"/>
  <c r="AK68" i="72"/>
  <c r="AY69" i="21"/>
  <c r="BG69" i="21" s="1"/>
  <c r="AI69" i="72"/>
  <c r="W71" i="21"/>
  <c r="S71" i="72"/>
  <c r="X66" i="37"/>
  <c r="AF66" i="37" s="1"/>
  <c r="AF66" i="21"/>
  <c r="BJ64" i="157"/>
  <c r="R66" i="155"/>
  <c r="R66" i="157"/>
  <c r="BA62" i="155"/>
  <c r="AB61" i="135" s="1"/>
  <c r="AM68" i="21"/>
  <c r="AU68" i="21" s="1"/>
  <c r="AE68" i="72"/>
  <c r="AX63" i="155"/>
  <c r="Z62" i="135" s="1"/>
  <c r="E66" i="37"/>
  <c r="Q66" i="37" s="1"/>
  <c r="Q66" i="21"/>
  <c r="Z66" i="37"/>
  <c r="AH66" i="37" s="1"/>
  <c r="AH66" i="21"/>
  <c r="AL64" i="157"/>
  <c r="AJ68" i="21"/>
  <c r="AR68" i="21" s="1"/>
  <c r="AB68" i="72"/>
  <c r="W70" i="37"/>
  <c r="M66" i="155"/>
  <c r="M66" i="157"/>
  <c r="BI65" i="157" s="1"/>
  <c r="N66" i="157"/>
  <c r="N66" i="155"/>
  <c r="BC62" i="155"/>
  <c r="AD61" i="135" s="1"/>
  <c r="BA62" i="157"/>
  <c r="H61" i="135" s="1"/>
  <c r="J69" i="21"/>
  <c r="J69" i="37" s="1"/>
  <c r="J69" i="72"/>
  <c r="E67" i="21"/>
  <c r="E67" i="72"/>
  <c r="AJ64" i="155"/>
  <c r="Q71" i="72"/>
  <c r="U71" i="21"/>
  <c r="Z67" i="21"/>
  <c r="V67" i="72"/>
  <c r="BG64" i="157"/>
  <c r="Q66" i="157"/>
  <c r="BM65" i="157" s="1"/>
  <c r="Q66" i="155"/>
  <c r="BB62" i="155"/>
  <c r="AC61" i="135" s="1"/>
  <c r="BC62" i="157"/>
  <c r="J61" i="135" s="1"/>
  <c r="BK68" i="21"/>
  <c r="BS68" i="21" s="1"/>
  <c r="AM68" i="72"/>
  <c r="AI61" i="135"/>
  <c r="AL61" i="135"/>
  <c r="AK61" i="135"/>
  <c r="AF61" i="135"/>
  <c r="U70" i="37"/>
  <c r="AJ64" i="157"/>
  <c r="BN64" i="155"/>
  <c r="BP64" i="155" s="1"/>
  <c r="G67" i="72"/>
  <c r="G67" i="21"/>
  <c r="V71" i="21"/>
  <c r="R71" i="72"/>
  <c r="AV69" i="21"/>
  <c r="BD69" i="21" s="1"/>
  <c r="AF69" i="72"/>
  <c r="BB62" i="157"/>
  <c r="I61" i="135" s="1"/>
  <c r="BH68" i="21"/>
  <c r="BP68" i="21" s="1"/>
  <c r="AJ68" i="72"/>
  <c r="AM60" i="135"/>
  <c r="AH60" i="135"/>
  <c r="AJ60" i="135"/>
  <c r="AO64" i="155"/>
  <c r="AH69" i="72"/>
  <c r="AX69" i="21"/>
  <c r="BF69" i="21" s="1"/>
  <c r="AN64" i="155"/>
  <c r="AP64" i="157"/>
  <c r="BD63" i="157" s="1"/>
  <c r="K62" i="135" s="1"/>
  <c r="U67" i="72"/>
  <c r="Y67" i="21"/>
  <c r="AL68" i="21"/>
  <c r="AT68" i="21" s="1"/>
  <c r="AD68" i="72"/>
  <c r="BN64" i="157"/>
  <c r="BP64" i="157" s="1"/>
  <c r="AW69" i="21"/>
  <c r="BE69" i="21" s="1"/>
  <c r="AG69" i="72"/>
  <c r="S66" i="21"/>
  <c r="G66" i="37"/>
  <c r="S66" i="37" s="1"/>
  <c r="V70" i="37"/>
  <c r="P66" i="157"/>
  <c r="P66" i="155"/>
  <c r="BJ68" i="21"/>
  <c r="BR68" i="21" s="1"/>
  <c r="AL68" i="72"/>
  <c r="BB63" i="155" l="1"/>
  <c r="AC62" i="135" s="1"/>
  <c r="BC63" i="157"/>
  <c r="J62" i="135" s="1"/>
  <c r="P62" i="135" s="1"/>
  <c r="BA63" i="157"/>
  <c r="H62" i="135" s="1"/>
  <c r="BB63" i="157"/>
  <c r="I62" i="135" s="1"/>
  <c r="E59" i="31"/>
  <c r="E61" i="98"/>
  <c r="BO64" i="157"/>
  <c r="BQ64" i="157" s="1"/>
  <c r="AJ65" i="155"/>
  <c r="AV64" i="155" s="1"/>
  <c r="X63" i="135" s="1"/>
  <c r="AN65" i="157"/>
  <c r="AO65" i="155"/>
  <c r="AZ64" i="155" s="1"/>
  <c r="AZ63" i="155"/>
  <c r="W71" i="37"/>
  <c r="BC63" i="155"/>
  <c r="AD62" i="135" s="1"/>
  <c r="D68" i="72"/>
  <c r="D68" i="21"/>
  <c r="R67" i="21"/>
  <c r="F67" i="37"/>
  <c r="R67" i="37" s="1"/>
  <c r="AY63" i="157"/>
  <c r="G62" i="135" s="1"/>
  <c r="T72" i="21"/>
  <c r="P72" i="72"/>
  <c r="AK65" i="155"/>
  <c r="AW64" i="155" s="1"/>
  <c r="Y63" i="135" s="1"/>
  <c r="AG63" i="135" s="1"/>
  <c r="G68" i="21"/>
  <c r="G68" i="72"/>
  <c r="U71" i="37"/>
  <c r="AJ61" i="135"/>
  <c r="AM61" i="135"/>
  <c r="AH61" i="135"/>
  <c r="AY70" i="21"/>
  <c r="BG70" i="21" s="1"/>
  <c r="AI70" i="72"/>
  <c r="P67" i="21"/>
  <c r="D67" i="37"/>
  <c r="P67" i="37" s="1"/>
  <c r="T68" i="72"/>
  <c r="X68" i="21"/>
  <c r="AK69" i="21"/>
  <c r="AS69" i="21" s="1"/>
  <c r="AC69" i="72"/>
  <c r="K67" i="157"/>
  <c r="BG66" i="157" s="1"/>
  <c r="K67" i="155"/>
  <c r="BG66" i="155" s="1"/>
  <c r="T71" i="37"/>
  <c r="AL65" i="157"/>
  <c r="AX64" i="157" s="1"/>
  <c r="F63" i="135" s="1"/>
  <c r="I70" i="21"/>
  <c r="I70" i="37" s="1"/>
  <c r="I70" i="72"/>
  <c r="AF70" i="72"/>
  <c r="AV70" i="21"/>
  <c r="BD70" i="21" s="1"/>
  <c r="Q72" i="72"/>
  <c r="U72" i="21"/>
  <c r="K70" i="72"/>
  <c r="K70" i="21"/>
  <c r="K70" i="37" s="1"/>
  <c r="AA68" i="21"/>
  <c r="W68" i="72"/>
  <c r="X67" i="37"/>
  <c r="AF67" i="37" s="1"/>
  <c r="AF67" i="21"/>
  <c r="O67" i="155"/>
  <c r="BK66" i="155" s="1"/>
  <c r="O67" i="157"/>
  <c r="BK66" i="157" s="1"/>
  <c r="AJ65" i="157"/>
  <c r="AV64" i="157" s="1"/>
  <c r="D63" i="135" s="1"/>
  <c r="AM65" i="155"/>
  <c r="AY64" i="155" s="1"/>
  <c r="AA63" i="135" s="1"/>
  <c r="AV63" i="157"/>
  <c r="D62" i="135" s="1"/>
  <c r="AM69" i="72"/>
  <c r="BK69" i="21"/>
  <c r="BS69" i="21" s="1"/>
  <c r="AB69" i="72"/>
  <c r="AJ69" i="21"/>
  <c r="AR69" i="21" s="1"/>
  <c r="BQ64" i="155"/>
  <c r="AA67" i="37"/>
  <c r="AI67" i="37" s="1"/>
  <c r="AI67" i="21"/>
  <c r="AK65" i="157"/>
  <c r="AP65" i="155"/>
  <c r="BD64" i="155" s="1"/>
  <c r="AE63" i="135" s="1"/>
  <c r="AX70" i="21"/>
  <c r="BF70" i="21" s="1"/>
  <c r="AH70" i="72"/>
  <c r="AL69" i="21"/>
  <c r="AT69" i="21" s="1"/>
  <c r="AD69" i="72"/>
  <c r="BM65" i="155"/>
  <c r="Y67" i="37"/>
  <c r="AG67" i="37" s="1"/>
  <c r="AG67" i="21"/>
  <c r="V72" i="21"/>
  <c r="R72" i="72"/>
  <c r="BN65" i="157"/>
  <c r="E68" i="21"/>
  <c r="E68" i="72"/>
  <c r="L67" i="155"/>
  <c r="BH66" i="155" s="1"/>
  <c r="L67" i="157"/>
  <c r="BH66" i="157" s="1"/>
  <c r="BI69" i="21"/>
  <c r="BQ69" i="21" s="1"/>
  <c r="AK69" i="72"/>
  <c r="AV63" i="155"/>
  <c r="X62" i="135" s="1"/>
  <c r="BJ65" i="155"/>
  <c r="AO65" i="157"/>
  <c r="AN65" i="155"/>
  <c r="R67" i="157"/>
  <c r="BN66" i="157" s="1"/>
  <c r="R67" i="155"/>
  <c r="BN66" i="155" s="1"/>
  <c r="U68" i="72"/>
  <c r="Y68" i="21"/>
  <c r="V71" i="37"/>
  <c r="N61" i="135"/>
  <c r="P61" i="135"/>
  <c r="S61" i="135"/>
  <c r="Z68" i="21"/>
  <c r="V68" i="72"/>
  <c r="Q67" i="21"/>
  <c r="E67" i="37"/>
  <c r="Q67" i="37" s="1"/>
  <c r="BL65" i="157"/>
  <c r="AX63" i="157"/>
  <c r="F62" i="135" s="1"/>
  <c r="P67" i="157"/>
  <c r="BL66" i="157" s="1"/>
  <c r="P67" i="155"/>
  <c r="BL66" i="155" s="1"/>
  <c r="AW63" i="155"/>
  <c r="Y62" i="135" s="1"/>
  <c r="AG62" i="135" s="1"/>
  <c r="V66" i="155"/>
  <c r="U66" i="155"/>
  <c r="AA66" i="155"/>
  <c r="Z66" i="155"/>
  <c r="Y66" i="155"/>
  <c r="W66" i="155"/>
  <c r="X66" i="155"/>
  <c r="BI65" i="155"/>
  <c r="BJ69" i="21"/>
  <c r="BR69" i="21" s="1"/>
  <c r="AL69" i="72"/>
  <c r="N67" i="155"/>
  <c r="N67" i="157"/>
  <c r="BJ66" i="157" s="1"/>
  <c r="Z67" i="37"/>
  <c r="AH67" i="37" s="1"/>
  <c r="AH67" i="21"/>
  <c r="J70" i="72"/>
  <c r="J70" i="21"/>
  <c r="J70" i="37" s="1"/>
  <c r="AL62" i="135"/>
  <c r="AF62" i="135"/>
  <c r="AI62" i="135"/>
  <c r="AK62" i="135"/>
  <c r="AB66" i="155"/>
  <c r="AE66" i="155"/>
  <c r="AH66" i="155"/>
  <c r="AD66" i="155"/>
  <c r="AC66" i="155"/>
  <c r="AG66" i="155"/>
  <c r="AF66" i="155"/>
  <c r="AY63" i="155"/>
  <c r="AA62" i="135" s="1"/>
  <c r="W66" i="157"/>
  <c r="U66" i="157"/>
  <c r="Z66" i="157"/>
  <c r="V66" i="157"/>
  <c r="X66" i="157"/>
  <c r="AA66" i="157"/>
  <c r="Y66" i="157"/>
  <c r="Q67" i="157"/>
  <c r="Q67" i="155"/>
  <c r="BK65" i="155"/>
  <c r="AM65" i="157"/>
  <c r="AY64" i="157" s="1"/>
  <c r="G63" i="135" s="1"/>
  <c r="BG65" i="155"/>
  <c r="AW70" i="21"/>
  <c r="BE70" i="21" s="1"/>
  <c r="AG70" i="72"/>
  <c r="BH69" i="21"/>
  <c r="BP69" i="21" s="1"/>
  <c r="AJ69" i="72"/>
  <c r="G67" i="37"/>
  <c r="S67" i="37" s="1"/>
  <c r="S67" i="21"/>
  <c r="BL65" i="155"/>
  <c r="BN65" i="155"/>
  <c r="AE69" i="72"/>
  <c r="AM69" i="21"/>
  <c r="AU69" i="21" s="1"/>
  <c r="W72" i="21"/>
  <c r="S72" i="72"/>
  <c r="BA63" i="155"/>
  <c r="AB62" i="135" s="1"/>
  <c r="AD66" i="157"/>
  <c r="AC66" i="157"/>
  <c r="AE66" i="157"/>
  <c r="AF66" i="157"/>
  <c r="AH66" i="157"/>
  <c r="AB66" i="157"/>
  <c r="AG66" i="157"/>
  <c r="F68" i="21"/>
  <c r="F68" i="72"/>
  <c r="BJ65" i="157"/>
  <c r="BO65" i="157" s="1"/>
  <c r="H70" i="72"/>
  <c r="H70" i="21"/>
  <c r="H70" i="37" s="1"/>
  <c r="M67" i="157"/>
  <c r="M67" i="155"/>
  <c r="BI66" i="155" s="1"/>
  <c r="AP65" i="157"/>
  <c r="AL65" i="155"/>
  <c r="BP65" i="157" l="1"/>
  <c r="S62" i="135"/>
  <c r="N62" i="135"/>
  <c r="BC64" i="157"/>
  <c r="J63" i="135" s="1"/>
  <c r="P63" i="135" s="1"/>
  <c r="BB64" i="155"/>
  <c r="AC63" i="135" s="1"/>
  <c r="BC64" i="155"/>
  <c r="AD63" i="135" s="1"/>
  <c r="AJ63" i="135" s="1"/>
  <c r="E60" i="31"/>
  <c r="E62" i="98"/>
  <c r="BQ65" i="157"/>
  <c r="BA64" i="155"/>
  <c r="AB63" i="135" s="1"/>
  <c r="AL66" i="155"/>
  <c r="AX65" i="155" s="1"/>
  <c r="Z64" i="135" s="1"/>
  <c r="BA64" i="157"/>
  <c r="H63" i="135" s="1"/>
  <c r="AN66" i="157"/>
  <c r="AO66" i="155"/>
  <c r="AZ65" i="155" s="1"/>
  <c r="AM66" i="157"/>
  <c r="AY65" i="157" s="1"/>
  <c r="G64" i="135" s="1"/>
  <c r="BB64" i="157"/>
  <c r="I63" i="135" s="1"/>
  <c r="AP66" i="155"/>
  <c r="BD65" i="155" s="1"/>
  <c r="AE64" i="135" s="1"/>
  <c r="AL66" i="157"/>
  <c r="AX65" i="157" s="1"/>
  <c r="F64" i="135" s="1"/>
  <c r="W73" i="21"/>
  <c r="S73" i="72"/>
  <c r="BM66" i="157"/>
  <c r="BP66" i="157" s="1"/>
  <c r="AX64" i="155"/>
  <c r="Z63" i="135" s="1"/>
  <c r="F69" i="72"/>
  <c r="F69" i="21"/>
  <c r="BP65" i="155"/>
  <c r="AO66" i="157"/>
  <c r="AZ65" i="157" s="1"/>
  <c r="O62" i="135"/>
  <c r="Q62" i="135"/>
  <c r="L62" i="135"/>
  <c r="R62" i="135"/>
  <c r="W69" i="72"/>
  <c r="AA69" i="21"/>
  <c r="O68" i="155"/>
  <c r="O68" i="157"/>
  <c r="BK67" i="157" s="1"/>
  <c r="T73" i="21"/>
  <c r="P73" i="72"/>
  <c r="AH62" i="135"/>
  <c r="AM62" i="135"/>
  <c r="AJ62" i="135"/>
  <c r="F68" i="37"/>
  <c r="R68" i="37" s="1"/>
  <c r="R68" i="21"/>
  <c r="AW71" i="21"/>
  <c r="BE71" i="21" s="1"/>
  <c r="AG71" i="72"/>
  <c r="AJ66" i="157"/>
  <c r="AV65" i="157" s="1"/>
  <c r="D64" i="135" s="1"/>
  <c r="BJ70" i="21"/>
  <c r="BR70" i="21" s="1"/>
  <c r="AL70" i="72"/>
  <c r="L63" i="135"/>
  <c r="R63" i="135"/>
  <c r="Q63" i="135"/>
  <c r="O63" i="135"/>
  <c r="AK70" i="72"/>
  <c r="BI70" i="21"/>
  <c r="BQ70" i="21" s="1"/>
  <c r="AX71" i="21"/>
  <c r="BF71" i="21" s="1"/>
  <c r="AH71" i="72"/>
  <c r="AA68" i="37"/>
  <c r="AI68" i="37" s="1"/>
  <c r="AI68" i="21"/>
  <c r="AF71" i="72"/>
  <c r="AV71" i="21"/>
  <c r="BD71" i="21" s="1"/>
  <c r="Z67" i="155"/>
  <c r="W67" i="155"/>
  <c r="X67" i="155"/>
  <c r="AA67" i="155"/>
  <c r="Y67" i="155"/>
  <c r="V67" i="155"/>
  <c r="U67" i="155"/>
  <c r="K68" i="155"/>
  <c r="BG67" i="155" s="1"/>
  <c r="K68" i="157"/>
  <c r="BM66" i="155"/>
  <c r="BP66" i="155" s="1"/>
  <c r="T72" i="37"/>
  <c r="J71" i="21"/>
  <c r="J71" i="37" s="1"/>
  <c r="J71" i="72"/>
  <c r="V73" i="21"/>
  <c r="R73" i="72"/>
  <c r="Z67" i="157"/>
  <c r="AA67" i="157"/>
  <c r="V67" i="157"/>
  <c r="U67" i="157"/>
  <c r="X67" i="157"/>
  <c r="Y67" i="157"/>
  <c r="W67" i="157"/>
  <c r="AY71" i="21"/>
  <c r="BG71" i="21" s="1"/>
  <c r="AI71" i="72"/>
  <c r="G69" i="72"/>
  <c r="G69" i="21"/>
  <c r="AJ66" i="155"/>
  <c r="P68" i="155"/>
  <c r="BL67" i="155" s="1"/>
  <c r="P68" i="157"/>
  <c r="BL67" i="157" s="1"/>
  <c r="V72" i="37"/>
  <c r="K71" i="21"/>
  <c r="K71" i="37" s="1"/>
  <c r="K71" i="72"/>
  <c r="AK70" i="21"/>
  <c r="AS70" i="21" s="1"/>
  <c r="AC70" i="72"/>
  <c r="S68" i="21"/>
  <c r="G68" i="37"/>
  <c r="S68" i="37" s="1"/>
  <c r="N68" i="157"/>
  <c r="BJ67" i="157" s="1"/>
  <c r="N68" i="155"/>
  <c r="BJ67" i="155" s="1"/>
  <c r="R68" i="157"/>
  <c r="BN67" i="157" s="1"/>
  <c r="R68" i="155"/>
  <c r="BN67" i="155" s="1"/>
  <c r="AK66" i="155"/>
  <c r="L68" i="157"/>
  <c r="L68" i="155"/>
  <c r="Y68" i="37"/>
  <c r="AG68" i="37" s="1"/>
  <c r="AG68" i="21"/>
  <c r="AJ70" i="21"/>
  <c r="AR70" i="21" s="1"/>
  <c r="AB70" i="72"/>
  <c r="AG67" i="157"/>
  <c r="AB67" i="157"/>
  <c r="AD67" i="157"/>
  <c r="AC67" i="157"/>
  <c r="AF67" i="157"/>
  <c r="AE67" i="157"/>
  <c r="AH67" i="157"/>
  <c r="I71" i="21"/>
  <c r="I71" i="37" s="1"/>
  <c r="I71" i="72"/>
  <c r="AW65" i="155"/>
  <c r="Y64" i="135" s="1"/>
  <c r="AG64" i="135" s="1"/>
  <c r="Q68" i="155"/>
  <c r="Q68" i="157"/>
  <c r="BO65" i="155"/>
  <c r="AP66" i="157"/>
  <c r="AM66" i="155"/>
  <c r="AY65" i="155" s="1"/>
  <c r="AA64" i="135" s="1"/>
  <c r="Z69" i="21"/>
  <c r="V69" i="72"/>
  <c r="Y69" i="21"/>
  <c r="U69" i="72"/>
  <c r="AZ64" i="157"/>
  <c r="AW64" i="157"/>
  <c r="E63" i="135" s="1"/>
  <c r="M63" i="135" s="1"/>
  <c r="BJ66" i="155"/>
  <c r="BO66" i="155" s="1"/>
  <c r="BK67" i="155"/>
  <c r="AE67" i="155"/>
  <c r="AD67" i="155"/>
  <c r="AH67" i="155"/>
  <c r="AG67" i="155"/>
  <c r="AF67" i="155"/>
  <c r="AB67" i="155"/>
  <c r="AC67" i="155"/>
  <c r="X68" i="37"/>
  <c r="AF68" i="37" s="1"/>
  <c r="AF68" i="21"/>
  <c r="M68" i="155"/>
  <c r="M68" i="157"/>
  <c r="BI67" i="157" s="1"/>
  <c r="W72" i="37"/>
  <c r="BH70" i="21"/>
  <c r="BP70" i="21" s="1"/>
  <c r="AJ70" i="72"/>
  <c r="H71" i="21"/>
  <c r="H71" i="37" s="1"/>
  <c r="H71" i="72"/>
  <c r="AE70" i="72"/>
  <c r="AM70" i="21"/>
  <c r="AU70" i="21" s="1"/>
  <c r="Z68" i="37"/>
  <c r="AH68" i="37" s="1"/>
  <c r="AH68" i="21"/>
  <c r="E69" i="72"/>
  <c r="E69" i="21"/>
  <c r="U72" i="37"/>
  <c r="X69" i="21"/>
  <c r="T69" i="72"/>
  <c r="D68" i="37"/>
  <c r="P68" i="37" s="1"/>
  <c r="P68" i="21"/>
  <c r="BD64" i="157"/>
  <c r="K63" i="135" s="1"/>
  <c r="BI66" i="157"/>
  <c r="BO66" i="157" s="1"/>
  <c r="AK66" i="157"/>
  <c r="AW65" i="157" s="1"/>
  <c r="E64" i="135" s="1"/>
  <c r="M64" i="135" s="1"/>
  <c r="AN66" i="155"/>
  <c r="E68" i="37"/>
  <c r="Q68" i="37" s="1"/>
  <c r="Q68" i="21"/>
  <c r="AD70" i="72"/>
  <c r="AL70" i="21"/>
  <c r="AT70" i="21" s="1"/>
  <c r="BK70" i="21"/>
  <c r="BS70" i="21" s="1"/>
  <c r="AM70" i="72"/>
  <c r="U73" i="21"/>
  <c r="Q73" i="72"/>
  <c r="D69" i="21"/>
  <c r="D69" i="72"/>
  <c r="N63" i="135" l="1"/>
  <c r="S63" i="135"/>
  <c r="AM63" i="135"/>
  <c r="AH63" i="135"/>
  <c r="E61" i="31"/>
  <c r="E63" i="98"/>
  <c r="BQ65" i="155"/>
  <c r="BQ66" i="157"/>
  <c r="BA65" i="157"/>
  <c r="H64" i="135" s="1"/>
  <c r="BC65" i="157"/>
  <c r="J64" i="135" s="1"/>
  <c r="N64" i="135" s="1"/>
  <c r="BB65" i="157"/>
  <c r="I64" i="135" s="1"/>
  <c r="AP67" i="157"/>
  <c r="BD66" i="157" s="1"/>
  <c r="K65" i="135" s="1"/>
  <c r="BQ66" i="155"/>
  <c r="H72" i="72"/>
  <c r="H72" i="21"/>
  <c r="H72" i="37" s="1"/>
  <c r="BI67" i="155"/>
  <c r="AV65" i="155"/>
  <c r="X64" i="135" s="1"/>
  <c r="AY72" i="21"/>
  <c r="BG72" i="21" s="1"/>
  <c r="AI72" i="72"/>
  <c r="AP67" i="155"/>
  <c r="M69" i="157"/>
  <c r="BI68" i="157" s="1"/>
  <c r="M69" i="155"/>
  <c r="AE68" i="157"/>
  <c r="AD68" i="157"/>
  <c r="AH68" i="157"/>
  <c r="AF68" i="157"/>
  <c r="AG68" i="157"/>
  <c r="AB68" i="157"/>
  <c r="AC68" i="157"/>
  <c r="R69" i="21"/>
  <c r="F69" i="37"/>
  <c r="R69" i="37" s="1"/>
  <c r="D70" i="21"/>
  <c r="D70" i="72"/>
  <c r="AL71" i="21"/>
  <c r="AT71" i="21" s="1"/>
  <c r="AD71" i="72"/>
  <c r="U70" i="72"/>
  <c r="Y70" i="21"/>
  <c r="BD65" i="157"/>
  <c r="K64" i="135" s="1"/>
  <c r="R69" i="155"/>
  <c r="BN68" i="155" s="1"/>
  <c r="R69" i="157"/>
  <c r="BN68" i="157" s="1"/>
  <c r="AO67" i="157"/>
  <c r="AZ66" i="157" s="1"/>
  <c r="AM67" i="155"/>
  <c r="AY66" i="155" s="1"/>
  <c r="AA65" i="135" s="1"/>
  <c r="AH72" i="72"/>
  <c r="AX72" i="21"/>
  <c r="BF72" i="21" s="1"/>
  <c r="Q69" i="157"/>
  <c r="BM68" i="157" s="1"/>
  <c r="Q69" i="155"/>
  <c r="AF68" i="155"/>
  <c r="AE68" i="155"/>
  <c r="AD68" i="155"/>
  <c r="AB68" i="155"/>
  <c r="AH68" i="155"/>
  <c r="AC68" i="155"/>
  <c r="AG68" i="155"/>
  <c r="F70" i="21"/>
  <c r="F70" i="72"/>
  <c r="K69" i="157"/>
  <c r="BG68" i="157" s="1"/>
  <c r="K69" i="155"/>
  <c r="P69" i="21"/>
  <c r="D69" i="37"/>
  <c r="P69" i="37" s="1"/>
  <c r="L69" i="155"/>
  <c r="BH68" i="155" s="1"/>
  <c r="L69" i="157"/>
  <c r="Y69" i="37"/>
  <c r="AG69" i="37" s="1"/>
  <c r="AG69" i="21"/>
  <c r="BH67" i="155"/>
  <c r="N69" i="157"/>
  <c r="BJ68" i="157" s="1"/>
  <c r="N69" i="155"/>
  <c r="BJ68" i="155" s="1"/>
  <c r="BH67" i="157"/>
  <c r="AL67" i="157"/>
  <c r="BJ71" i="21"/>
  <c r="BR71" i="21" s="1"/>
  <c r="AL71" i="72"/>
  <c r="AK63" i="135"/>
  <c r="AF63" i="135"/>
  <c r="AI63" i="135"/>
  <c r="AL63" i="135"/>
  <c r="BK71" i="21"/>
  <c r="BS71" i="21" s="1"/>
  <c r="AM71" i="72"/>
  <c r="O69" i="157"/>
  <c r="BK68" i="157" s="1"/>
  <c r="O69" i="155"/>
  <c r="V70" i="72"/>
  <c r="Z70" i="21"/>
  <c r="BA65" i="155"/>
  <c r="AB64" i="135" s="1"/>
  <c r="AK71" i="21"/>
  <c r="AS71" i="21" s="1"/>
  <c r="AC71" i="72"/>
  <c r="AN67" i="157"/>
  <c r="V74" i="21"/>
  <c r="R74" i="72"/>
  <c r="X68" i="157"/>
  <c r="AA68" i="157"/>
  <c r="W68" i="157"/>
  <c r="V68" i="157"/>
  <c r="Z68" i="157"/>
  <c r="U68" i="157"/>
  <c r="Y68" i="157"/>
  <c r="AL67" i="155"/>
  <c r="AA69" i="37"/>
  <c r="AI69" i="37" s="1"/>
  <c r="AI69" i="21"/>
  <c r="AK64" i="135"/>
  <c r="AF64" i="135"/>
  <c r="AI64" i="135"/>
  <c r="AL64" i="135"/>
  <c r="E69" i="37"/>
  <c r="Q69" i="37" s="1"/>
  <c r="Q69" i="21"/>
  <c r="E70" i="21"/>
  <c r="E70" i="72"/>
  <c r="AJ71" i="72"/>
  <c r="BH71" i="21"/>
  <c r="BP71" i="21" s="1"/>
  <c r="U74" i="21"/>
  <c r="Q74" i="72"/>
  <c r="Z69" i="37"/>
  <c r="AH69" i="37" s="1"/>
  <c r="AH69" i="21"/>
  <c r="BB65" i="155"/>
  <c r="AC64" i="135" s="1"/>
  <c r="AM67" i="157"/>
  <c r="V73" i="37"/>
  <c r="X68" i="155"/>
  <c r="W68" i="155"/>
  <c r="Z68" i="155"/>
  <c r="Y68" i="155"/>
  <c r="V68" i="155"/>
  <c r="AA68" i="155"/>
  <c r="U68" i="155"/>
  <c r="BG68" i="155"/>
  <c r="AO67" i="155"/>
  <c r="BI71" i="21"/>
  <c r="BQ71" i="21" s="1"/>
  <c r="AK71" i="72"/>
  <c r="AA70" i="21"/>
  <c r="W70" i="72"/>
  <c r="P69" i="157"/>
  <c r="BL68" i="157" s="1"/>
  <c r="P69" i="155"/>
  <c r="BL68" i="155" s="1"/>
  <c r="X70" i="21"/>
  <c r="T70" i="72"/>
  <c r="X69" i="37"/>
  <c r="AF69" i="37" s="1"/>
  <c r="AF69" i="21"/>
  <c r="U73" i="37"/>
  <c r="L64" i="135"/>
  <c r="O64" i="135"/>
  <c r="R64" i="135"/>
  <c r="Q64" i="135"/>
  <c r="I72" i="21"/>
  <c r="I72" i="37" s="1"/>
  <c r="I72" i="72"/>
  <c r="BC65" i="155"/>
  <c r="AD64" i="135" s="1"/>
  <c r="K72" i="21"/>
  <c r="K72" i="37" s="1"/>
  <c r="K72" i="72"/>
  <c r="AJ67" i="157"/>
  <c r="J72" i="21"/>
  <c r="J72" i="37" s="1"/>
  <c r="J72" i="72"/>
  <c r="AJ67" i="155"/>
  <c r="BM67" i="155"/>
  <c r="BP67" i="155" s="1"/>
  <c r="T74" i="21"/>
  <c r="P74" i="72"/>
  <c r="W74" i="21"/>
  <c r="S74" i="72"/>
  <c r="G69" i="37"/>
  <c r="S69" i="37" s="1"/>
  <c r="S69" i="21"/>
  <c r="AK67" i="157"/>
  <c r="AK67" i="155"/>
  <c r="AF72" i="72"/>
  <c r="AV72" i="21"/>
  <c r="BD72" i="21" s="1"/>
  <c r="AW72" i="21"/>
  <c r="BE72" i="21" s="1"/>
  <c r="AG72" i="72"/>
  <c r="T73" i="37"/>
  <c r="W73" i="37"/>
  <c r="AM71" i="21"/>
  <c r="AU71" i="21" s="1"/>
  <c r="AE71" i="72"/>
  <c r="AB71" i="72"/>
  <c r="AJ71" i="21"/>
  <c r="AR71" i="21" s="1"/>
  <c r="G70" i="21"/>
  <c r="G70" i="72"/>
  <c r="BG67" i="157"/>
  <c r="AN67" i="155"/>
  <c r="BM67" i="157"/>
  <c r="BP67" i="157" s="1"/>
  <c r="BO67" i="157" l="1"/>
  <c r="BQ67" i="157" s="1"/>
  <c r="P64" i="135"/>
  <c r="S64" i="135"/>
  <c r="AL68" i="155"/>
  <c r="AX67" i="155" s="1"/>
  <c r="Z66" i="135" s="1"/>
  <c r="AO68" i="157"/>
  <c r="AZ67" i="157" s="1"/>
  <c r="E62" i="31"/>
  <c r="E64" i="98"/>
  <c r="AM68" i="157"/>
  <c r="AY67" i="157" s="1"/>
  <c r="G66" i="135" s="1"/>
  <c r="AN68" i="157"/>
  <c r="AJ68" i="155"/>
  <c r="AV67" i="155" s="1"/>
  <c r="X66" i="135" s="1"/>
  <c r="AL68" i="157"/>
  <c r="AX67" i="157" s="1"/>
  <c r="F66" i="135" s="1"/>
  <c r="BA66" i="155"/>
  <c r="AB65" i="135" s="1"/>
  <c r="AJ68" i="157"/>
  <c r="AV67" i="157" s="1"/>
  <c r="D66" i="135" s="1"/>
  <c r="AK68" i="155"/>
  <c r="AW67" i="155" s="1"/>
  <c r="Y66" i="135" s="1"/>
  <c r="AG66" i="135" s="1"/>
  <c r="AP68" i="157"/>
  <c r="BD67" i="157" s="1"/>
  <c r="K66" i="135" s="1"/>
  <c r="BB66" i="155"/>
  <c r="AC65" i="135" s="1"/>
  <c r="BP68" i="157"/>
  <c r="AN68" i="155"/>
  <c r="AO68" i="155"/>
  <c r="AZ67" i="155" s="1"/>
  <c r="BO67" i="155"/>
  <c r="BQ67" i="155" s="1"/>
  <c r="AM68" i="155"/>
  <c r="AY67" i="155" s="1"/>
  <c r="AA66" i="135" s="1"/>
  <c r="U75" i="21"/>
  <c r="Q75" i="72"/>
  <c r="V75" i="21"/>
  <c r="R75" i="72"/>
  <c r="V71" i="72"/>
  <c r="Z71" i="21"/>
  <c r="T74" i="37"/>
  <c r="AZ66" i="155"/>
  <c r="U74" i="37"/>
  <c r="V74" i="37"/>
  <c r="BC66" i="155"/>
  <c r="AD65" i="135" s="1"/>
  <c r="Y71" i="21"/>
  <c r="U71" i="72"/>
  <c r="AX73" i="21"/>
  <c r="BF73" i="21" s="1"/>
  <c r="AH73" i="72"/>
  <c r="AM64" i="135"/>
  <c r="AH64" i="135"/>
  <c r="AJ64" i="135"/>
  <c r="BC66" i="157"/>
  <c r="J65" i="135" s="1"/>
  <c r="BA66" i="157"/>
  <c r="H65" i="135" s="1"/>
  <c r="BB66" i="157"/>
  <c r="I65" i="135" s="1"/>
  <c r="AL72" i="21"/>
  <c r="AT72" i="21" s="1"/>
  <c r="AD72" i="72"/>
  <c r="BD66" i="155"/>
  <c r="AE65" i="135" s="1"/>
  <c r="AM72" i="21"/>
  <c r="AU72" i="21" s="1"/>
  <c r="AE72" i="72"/>
  <c r="T75" i="21"/>
  <c r="P75" i="72"/>
  <c r="AX66" i="157"/>
  <c r="F65" i="135" s="1"/>
  <c r="N70" i="155"/>
  <c r="N70" i="157"/>
  <c r="AW66" i="157"/>
  <c r="E65" i="135" s="1"/>
  <c r="M65" i="135" s="1"/>
  <c r="AJ72" i="21"/>
  <c r="AR72" i="21" s="1"/>
  <c r="AB72" i="72"/>
  <c r="R70" i="157"/>
  <c r="R70" i="155"/>
  <c r="BN69" i="155" s="1"/>
  <c r="I73" i="72"/>
  <c r="I73" i="21"/>
  <c r="I73" i="37" s="1"/>
  <c r="BH72" i="21"/>
  <c r="BP72" i="21" s="1"/>
  <c r="AJ72" i="72"/>
  <c r="AK68" i="157"/>
  <c r="AC72" i="72"/>
  <c r="AK72" i="21"/>
  <c r="AS72" i="21" s="1"/>
  <c r="F71" i="72"/>
  <c r="F71" i="21"/>
  <c r="Y70" i="37"/>
  <c r="AG70" i="37" s="1"/>
  <c r="AG70" i="21"/>
  <c r="AW73" i="21"/>
  <c r="BE73" i="21" s="1"/>
  <c r="AG73" i="72"/>
  <c r="J73" i="72"/>
  <c r="J73" i="21"/>
  <c r="J73" i="37" s="1"/>
  <c r="AA71" i="21"/>
  <c r="W71" i="72"/>
  <c r="AP68" i="155"/>
  <c r="BD67" i="155" s="1"/>
  <c r="AE66" i="135" s="1"/>
  <c r="AY66" i="157"/>
  <c r="G65" i="135" s="1"/>
  <c r="E71" i="72"/>
  <c r="E71" i="21"/>
  <c r="AW66" i="155"/>
  <c r="Y65" i="135" s="1"/>
  <c r="AG65" i="135" s="1"/>
  <c r="O70" i="155"/>
  <c r="BK69" i="155" s="1"/>
  <c r="O70" i="157"/>
  <c r="BK69" i="157" s="1"/>
  <c r="R70" i="21"/>
  <c r="F70" i="37"/>
  <c r="R70" i="37" s="1"/>
  <c r="D71" i="72"/>
  <c r="D71" i="21"/>
  <c r="AI73" i="72"/>
  <c r="AY73" i="21"/>
  <c r="BG73" i="21" s="1"/>
  <c r="BI68" i="155"/>
  <c r="BO68" i="155" s="1"/>
  <c r="AA70" i="37"/>
  <c r="AI70" i="37" s="1"/>
  <c r="AI70" i="21"/>
  <c r="Q70" i="21"/>
  <c r="E70" i="37"/>
  <c r="Q70" i="37" s="1"/>
  <c r="AB69" i="155"/>
  <c r="AF69" i="155"/>
  <c r="AD69" i="155"/>
  <c r="AC69" i="155"/>
  <c r="AE69" i="155"/>
  <c r="AH69" i="155"/>
  <c r="AG69" i="155"/>
  <c r="AL72" i="72"/>
  <c r="BJ72" i="21"/>
  <c r="BR72" i="21" s="1"/>
  <c r="K70" i="155"/>
  <c r="BG69" i="155" s="1"/>
  <c r="K70" i="157"/>
  <c r="P70" i="21"/>
  <c r="D70" i="37"/>
  <c r="P70" i="37" s="1"/>
  <c r="G71" i="21"/>
  <c r="G71" i="72"/>
  <c r="W75" i="21"/>
  <c r="S75" i="72"/>
  <c r="T71" i="72"/>
  <c r="X71" i="21"/>
  <c r="AV66" i="157"/>
  <c r="D65" i="135" s="1"/>
  <c r="L70" i="157"/>
  <c r="BH69" i="157" s="1"/>
  <c r="L70" i="155"/>
  <c r="BH69" i="155" s="1"/>
  <c r="BM68" i="155"/>
  <c r="AH69" i="157"/>
  <c r="AG69" i="157"/>
  <c r="AF69" i="157"/>
  <c r="AC69" i="157"/>
  <c r="AB69" i="157"/>
  <c r="AD69" i="157"/>
  <c r="AE69" i="157"/>
  <c r="V69" i="155"/>
  <c r="Y69" i="155"/>
  <c r="Z69" i="155"/>
  <c r="W69" i="155"/>
  <c r="X69" i="155"/>
  <c r="U69" i="155"/>
  <c r="AA69" i="155"/>
  <c r="BK68" i="155"/>
  <c r="BH68" i="157"/>
  <c r="BO68" i="157" s="1"/>
  <c r="Q70" i="157"/>
  <c r="Q70" i="155"/>
  <c r="BM69" i="155" s="1"/>
  <c r="H73" i="72"/>
  <c r="H73" i="21"/>
  <c r="H73" i="37" s="1"/>
  <c r="S70" i="21"/>
  <c r="G70" i="37"/>
  <c r="S70" i="37" s="1"/>
  <c r="AF73" i="72"/>
  <c r="AV73" i="21"/>
  <c r="BD73" i="21" s="1"/>
  <c r="W74" i="37"/>
  <c r="K73" i="72"/>
  <c r="K73" i="21"/>
  <c r="K73" i="37" s="1"/>
  <c r="X70" i="37"/>
  <c r="AF70" i="37" s="1"/>
  <c r="AF70" i="21"/>
  <c r="AK72" i="72"/>
  <c r="BI72" i="21"/>
  <c r="BQ72" i="21" s="1"/>
  <c r="P70" i="155"/>
  <c r="BL69" i="155" s="1"/>
  <c r="P70" i="157"/>
  <c r="AX66" i="155"/>
  <c r="Z65" i="135" s="1"/>
  <c r="Z70" i="37"/>
  <c r="AH70" i="37" s="1"/>
  <c r="AH70" i="21"/>
  <c r="BK72" i="21"/>
  <c r="BS72" i="21" s="1"/>
  <c r="AM72" i="72"/>
  <c r="X69" i="157"/>
  <c r="AA69" i="157"/>
  <c r="U69" i="157"/>
  <c r="W69" i="157"/>
  <c r="Z69" i="157"/>
  <c r="V69" i="157"/>
  <c r="Y69" i="157"/>
  <c r="M70" i="155"/>
  <c r="M70" i="157"/>
  <c r="AV66" i="155"/>
  <c r="X65" i="135" s="1"/>
  <c r="BQ68" i="157" l="1"/>
  <c r="BC67" i="157"/>
  <c r="J66" i="135" s="1"/>
  <c r="P66" i="135" s="1"/>
  <c r="BA67" i="157"/>
  <c r="H66" i="135" s="1"/>
  <c r="BB67" i="157"/>
  <c r="I66" i="135" s="1"/>
  <c r="BB67" i="155"/>
  <c r="AC66" i="135" s="1"/>
  <c r="AN69" i="157"/>
  <c r="BC67" i="155"/>
  <c r="AD66" i="135" s="1"/>
  <c r="AM66" i="135" s="1"/>
  <c r="BA67" i="155"/>
  <c r="AB66" i="135" s="1"/>
  <c r="E63" i="31"/>
  <c r="E65" i="98"/>
  <c r="E66" i="98" s="1"/>
  <c r="E67" i="98" s="1"/>
  <c r="E68" i="98" s="1"/>
  <c r="AK69" i="155"/>
  <c r="AW68" i="155" s="1"/>
  <c r="Y67" i="135" s="1"/>
  <c r="AG67" i="135" s="1"/>
  <c r="AJ69" i="157"/>
  <c r="AV68" i="157" s="1"/>
  <c r="D67" i="135" s="1"/>
  <c r="AL69" i="157"/>
  <c r="AX68" i="157" s="1"/>
  <c r="F67" i="135" s="1"/>
  <c r="Q67" i="135" s="1"/>
  <c r="AP69" i="155"/>
  <c r="BD68" i="155" s="1"/>
  <c r="AE67" i="135" s="1"/>
  <c r="AK69" i="157"/>
  <c r="AW68" i="157" s="1"/>
  <c r="E67" i="135" s="1"/>
  <c r="M67" i="135" s="1"/>
  <c r="AO69" i="157"/>
  <c r="AZ68" i="157" s="1"/>
  <c r="AJ69" i="155"/>
  <c r="AV68" i="155" s="1"/>
  <c r="X67" i="135" s="1"/>
  <c r="AL69" i="155"/>
  <c r="AX68" i="155" s="1"/>
  <c r="Z67" i="135" s="1"/>
  <c r="AP69" i="157"/>
  <c r="BD68" i="157" s="1"/>
  <c r="K67" i="135" s="1"/>
  <c r="AN69" i="155"/>
  <c r="X71" i="37"/>
  <c r="AF71" i="37" s="1"/>
  <c r="AF71" i="21"/>
  <c r="K71" i="155"/>
  <c r="BG70" i="155" s="1"/>
  <c r="K71" i="157"/>
  <c r="BG70" i="157" s="1"/>
  <c r="P71" i="155"/>
  <c r="BL70" i="155" s="1"/>
  <c r="P71" i="157"/>
  <c r="BL70" i="157" s="1"/>
  <c r="D71" i="37"/>
  <c r="P71" i="37" s="1"/>
  <c r="P71" i="21"/>
  <c r="L67" i="135"/>
  <c r="AK73" i="21"/>
  <c r="AS73" i="21" s="1"/>
  <c r="AC73" i="72"/>
  <c r="P65" i="135"/>
  <c r="S65" i="135"/>
  <c r="N65" i="135"/>
  <c r="AW67" i="157"/>
  <c r="E66" i="135" s="1"/>
  <c r="M66" i="135" s="1"/>
  <c r="Y72" i="21"/>
  <c r="U72" i="72"/>
  <c r="Z71" i="37"/>
  <c r="AH71" i="37" s="1"/>
  <c r="AH71" i="21"/>
  <c r="T72" i="72"/>
  <c r="X72" i="21"/>
  <c r="L71" i="157"/>
  <c r="BH70" i="157" s="1"/>
  <c r="L71" i="155"/>
  <c r="BH70" i="155" s="1"/>
  <c r="D72" i="72"/>
  <c r="D72" i="21"/>
  <c r="E71" i="37"/>
  <c r="Q71" i="37" s="1"/>
  <c r="Q71" i="21"/>
  <c r="J74" i="21"/>
  <c r="J74" i="37" s="1"/>
  <c r="J74" i="72"/>
  <c r="Y71" i="37"/>
  <c r="AG71" i="37" s="1"/>
  <c r="AG71" i="21"/>
  <c r="V72" i="72"/>
  <c r="Z72" i="21"/>
  <c r="AM69" i="157"/>
  <c r="K74" i="21"/>
  <c r="K74" i="37" s="1"/>
  <c r="K74" i="72"/>
  <c r="H74" i="21"/>
  <c r="H74" i="37" s="1"/>
  <c r="H74" i="72"/>
  <c r="AM69" i="155"/>
  <c r="S76" i="72"/>
  <c r="W76" i="21"/>
  <c r="BN69" i="157"/>
  <c r="E72" i="21"/>
  <c r="E72" i="72"/>
  <c r="AG74" i="72"/>
  <c r="AW74" i="21"/>
  <c r="BE74" i="21" s="1"/>
  <c r="BH73" i="21"/>
  <c r="BP73" i="21" s="1"/>
  <c r="AJ73" i="72"/>
  <c r="L65" i="135"/>
  <c r="R65" i="135"/>
  <c r="O65" i="135"/>
  <c r="Q65" i="135"/>
  <c r="AL73" i="21"/>
  <c r="AT73" i="21" s="1"/>
  <c r="AD73" i="72"/>
  <c r="AX74" i="21"/>
  <c r="BF74" i="21" s="1"/>
  <c r="AH74" i="72"/>
  <c r="V76" i="21"/>
  <c r="R76" i="72"/>
  <c r="AL66" i="135"/>
  <c r="AI66" i="135"/>
  <c r="AF66" i="135"/>
  <c r="AK66" i="135"/>
  <c r="V70" i="157"/>
  <c r="AA70" i="157"/>
  <c r="X70" i="157"/>
  <c r="U70" i="157"/>
  <c r="W70" i="157"/>
  <c r="Y70" i="157"/>
  <c r="Z70" i="157"/>
  <c r="Q71" i="155"/>
  <c r="Q71" i="157"/>
  <c r="BM70" i="157" s="1"/>
  <c r="F71" i="37"/>
  <c r="R71" i="37" s="1"/>
  <c r="R71" i="21"/>
  <c r="AJ73" i="21"/>
  <c r="AR73" i="21" s="1"/>
  <c r="AB73" i="72"/>
  <c r="L66" i="135"/>
  <c r="R66" i="135"/>
  <c r="Q66" i="135"/>
  <c r="O66" i="135"/>
  <c r="AJ65" i="135"/>
  <c r="AM65" i="135"/>
  <c r="AH65" i="135"/>
  <c r="V75" i="37"/>
  <c r="BK73" i="21"/>
  <c r="BS73" i="21" s="1"/>
  <c r="AM73" i="72"/>
  <c r="W75" i="37"/>
  <c r="AO69" i="155"/>
  <c r="G72" i="21"/>
  <c r="G72" i="72"/>
  <c r="W70" i="155"/>
  <c r="X70" i="155"/>
  <c r="Y70" i="155"/>
  <c r="V70" i="155"/>
  <c r="Z70" i="155"/>
  <c r="U70" i="155"/>
  <c r="AA70" i="155"/>
  <c r="M71" i="157"/>
  <c r="M71" i="155"/>
  <c r="BI70" i="155" s="1"/>
  <c r="F72" i="21"/>
  <c r="F72" i="72"/>
  <c r="T76" i="21"/>
  <c r="P76" i="72"/>
  <c r="BL69" i="157"/>
  <c r="U76" i="21"/>
  <c r="Q76" i="72"/>
  <c r="AL65" i="135"/>
  <c r="AK65" i="135"/>
  <c r="AF65" i="135"/>
  <c r="AI65" i="135"/>
  <c r="BP69" i="155"/>
  <c r="AD70" i="157"/>
  <c r="AF70" i="157"/>
  <c r="AC70" i="157"/>
  <c r="AE70" i="157"/>
  <c r="AB70" i="157"/>
  <c r="AG70" i="157"/>
  <c r="AH70" i="157"/>
  <c r="T75" i="37"/>
  <c r="BJ69" i="155"/>
  <c r="U75" i="37"/>
  <c r="N71" i="157"/>
  <c r="BJ70" i="157" s="1"/>
  <c r="N71" i="155"/>
  <c r="G71" i="37"/>
  <c r="S71" i="37" s="1"/>
  <c r="S71" i="21"/>
  <c r="BI73" i="21"/>
  <c r="BQ73" i="21" s="1"/>
  <c r="AK73" i="72"/>
  <c r="AF74" i="72"/>
  <c r="AV74" i="21"/>
  <c r="BD74" i="21" s="1"/>
  <c r="BM69" i="157"/>
  <c r="BJ73" i="21"/>
  <c r="BR73" i="21" s="1"/>
  <c r="AL73" i="72"/>
  <c r="AH70" i="155"/>
  <c r="AF70" i="155"/>
  <c r="AB70" i="155"/>
  <c r="AC70" i="155"/>
  <c r="AG70" i="155"/>
  <c r="AE70" i="155"/>
  <c r="AD70" i="155"/>
  <c r="AA72" i="21"/>
  <c r="W72" i="72"/>
  <c r="BJ69" i="157"/>
  <c r="AE73" i="72"/>
  <c r="AM73" i="21"/>
  <c r="AU73" i="21" s="1"/>
  <c r="BG69" i="157"/>
  <c r="R71" i="155"/>
  <c r="R71" i="157"/>
  <c r="BN70" i="157" s="1"/>
  <c r="BP68" i="155"/>
  <c r="BQ68" i="155" s="1"/>
  <c r="O71" i="155"/>
  <c r="BK70" i="155" s="1"/>
  <c r="O71" i="157"/>
  <c r="BK70" i="157" s="1"/>
  <c r="AI74" i="72"/>
  <c r="AY74" i="21"/>
  <c r="BG74" i="21" s="1"/>
  <c r="AA71" i="37"/>
  <c r="AI71" i="37" s="1"/>
  <c r="AI71" i="21"/>
  <c r="I74" i="21"/>
  <c r="I74" i="37" s="1"/>
  <c r="I74" i="72"/>
  <c r="BI69" i="157"/>
  <c r="BI69" i="155"/>
  <c r="N66" i="135" l="1"/>
  <c r="BC68" i="157"/>
  <c r="J67" i="135" s="1"/>
  <c r="N67" i="135" s="1"/>
  <c r="S66" i="135"/>
  <c r="AJ66" i="135"/>
  <c r="AH66" i="135"/>
  <c r="O67" i="135"/>
  <c r="E69" i="98"/>
  <c r="BA68" i="157"/>
  <c r="H67" i="135" s="1"/>
  <c r="BC68" i="155"/>
  <c r="AD67" i="135" s="1"/>
  <c r="AH67" i="135" s="1"/>
  <c r="R67" i="135"/>
  <c r="BO69" i="155"/>
  <c r="BQ69" i="155" s="1"/>
  <c r="BB68" i="155"/>
  <c r="AC67" i="135" s="1"/>
  <c r="BB68" i="157"/>
  <c r="I67" i="135" s="1"/>
  <c r="BP69" i="157"/>
  <c r="AL70" i="157"/>
  <c r="AX69" i="157" s="1"/>
  <c r="BO69" i="157"/>
  <c r="AK70" i="155"/>
  <c r="AW69" i="155" s="1"/>
  <c r="BP70" i="157"/>
  <c r="Y72" i="37"/>
  <c r="AG72" i="37" s="1"/>
  <c r="AG72" i="21"/>
  <c r="U77" i="21"/>
  <c r="Q77" i="72"/>
  <c r="I75" i="72"/>
  <c r="I75" i="21"/>
  <c r="I75" i="37" s="1"/>
  <c r="AH71" i="155"/>
  <c r="AC71" i="155"/>
  <c r="AG71" i="155"/>
  <c r="AD71" i="155"/>
  <c r="AF71" i="155"/>
  <c r="AB71" i="155"/>
  <c r="AE71" i="155"/>
  <c r="W73" i="72"/>
  <c r="AA73" i="21"/>
  <c r="AV75" i="21"/>
  <c r="BD75" i="21" s="1"/>
  <c r="AF75" i="72"/>
  <c r="T76" i="37"/>
  <c r="AO70" i="155"/>
  <c r="AZ69" i="155" s="1"/>
  <c r="AB74" i="72"/>
  <c r="AJ74" i="21"/>
  <c r="AR74" i="21" s="1"/>
  <c r="AN70" i="157"/>
  <c r="W76" i="37"/>
  <c r="Y73" i="21"/>
  <c r="U73" i="72"/>
  <c r="AC74" i="72"/>
  <c r="AK74" i="21"/>
  <c r="AS74" i="21" s="1"/>
  <c r="F72" i="37"/>
  <c r="R72" i="37" s="1"/>
  <c r="R72" i="21"/>
  <c r="AN70" i="155"/>
  <c r="M72" i="157"/>
  <c r="BI71" i="157" s="1"/>
  <c r="M72" i="155"/>
  <c r="BI71" i="155" s="1"/>
  <c r="AJ70" i="157"/>
  <c r="T73" i="72"/>
  <c r="X73" i="21"/>
  <c r="Z71" i="157"/>
  <c r="U71" i="157"/>
  <c r="V71" i="157"/>
  <c r="AA71" i="157"/>
  <c r="X71" i="157"/>
  <c r="Y71" i="157"/>
  <c r="W71" i="157"/>
  <c r="AA72" i="37"/>
  <c r="AI72" i="37" s="1"/>
  <c r="AI72" i="21"/>
  <c r="X72" i="37"/>
  <c r="AF72" i="37" s="1"/>
  <c r="AF72" i="21"/>
  <c r="U76" i="37"/>
  <c r="AM70" i="155"/>
  <c r="Q72" i="157"/>
  <c r="BM71" i="157" s="1"/>
  <c r="Q72" i="155"/>
  <c r="BM71" i="155" s="1"/>
  <c r="AM70" i="157"/>
  <c r="AY69" i="157" s="1"/>
  <c r="AD74" i="72"/>
  <c r="AL74" i="21"/>
  <c r="AT74" i="21" s="1"/>
  <c r="AY68" i="155"/>
  <c r="AA67" i="135" s="1"/>
  <c r="Z72" i="37"/>
  <c r="AH72" i="37" s="1"/>
  <c r="AH72" i="21"/>
  <c r="L72" i="155"/>
  <c r="BH71" i="155" s="1"/>
  <c r="L72" i="157"/>
  <c r="AA71" i="155"/>
  <c r="X71" i="155"/>
  <c r="V71" i="155"/>
  <c r="Y71" i="155"/>
  <c r="Z71" i="155"/>
  <c r="W71" i="155"/>
  <c r="U71" i="155"/>
  <c r="AL74" i="72"/>
  <c r="BJ74" i="21"/>
  <c r="BR74" i="21" s="1"/>
  <c r="N72" i="155"/>
  <c r="BJ71" i="155" s="1"/>
  <c r="N72" i="157"/>
  <c r="BJ71" i="157" s="1"/>
  <c r="AL70" i="155"/>
  <c r="AP70" i="157"/>
  <c r="V77" i="21"/>
  <c r="R77" i="72"/>
  <c r="AW75" i="21"/>
  <c r="BE75" i="21" s="1"/>
  <c r="AG75" i="72"/>
  <c r="H75" i="21"/>
  <c r="H75" i="37" s="1"/>
  <c r="H75" i="72"/>
  <c r="V73" i="72"/>
  <c r="Z73" i="21"/>
  <c r="P72" i="157"/>
  <c r="BL71" i="157" s="1"/>
  <c r="P72" i="155"/>
  <c r="BL71" i="155" s="1"/>
  <c r="BI70" i="157"/>
  <c r="BO70" i="157" s="1"/>
  <c r="W77" i="21"/>
  <c r="S77" i="72"/>
  <c r="J75" i="72"/>
  <c r="J75" i="21"/>
  <c r="J75" i="37" s="1"/>
  <c r="R72" i="157"/>
  <c r="BN71" i="157" s="1"/>
  <c r="R72" i="155"/>
  <c r="BN71" i="155" s="1"/>
  <c r="AP70" i="155"/>
  <c r="G73" i="21"/>
  <c r="G73" i="72"/>
  <c r="BK74" i="21"/>
  <c r="BS74" i="21" s="1"/>
  <c r="AM74" i="72"/>
  <c r="AK70" i="157"/>
  <c r="V76" i="37"/>
  <c r="E73" i="72"/>
  <c r="E73" i="21"/>
  <c r="P72" i="21"/>
  <c r="D72" i="37"/>
  <c r="P72" i="37" s="1"/>
  <c r="BI74" i="21"/>
  <c r="BQ74" i="21" s="1"/>
  <c r="AK74" i="72"/>
  <c r="F73" i="21"/>
  <c r="F73" i="72"/>
  <c r="AJ74" i="72"/>
  <c r="BH74" i="21"/>
  <c r="BP74" i="21" s="1"/>
  <c r="AY68" i="157"/>
  <c r="G67" i="135" s="1"/>
  <c r="AI75" i="72"/>
  <c r="AY75" i="21"/>
  <c r="BG75" i="21" s="1"/>
  <c r="AJ70" i="155"/>
  <c r="S72" i="21"/>
  <c r="G72" i="37"/>
  <c r="S72" i="37" s="1"/>
  <c r="BM70" i="155"/>
  <c r="AX75" i="21"/>
  <c r="BF75" i="21" s="1"/>
  <c r="AH75" i="72"/>
  <c r="E72" i="37"/>
  <c r="Q72" i="37" s="1"/>
  <c r="Q72" i="21"/>
  <c r="K75" i="21"/>
  <c r="K75" i="37" s="1"/>
  <c r="K75" i="72"/>
  <c r="D73" i="21"/>
  <c r="D73" i="72"/>
  <c r="K72" i="155"/>
  <c r="BG71" i="155" s="1"/>
  <c r="K72" i="157"/>
  <c r="AF67" i="135"/>
  <c r="AL67" i="135"/>
  <c r="AK67" i="135"/>
  <c r="AI67" i="135"/>
  <c r="AM74" i="21"/>
  <c r="AU74" i="21" s="1"/>
  <c r="AE74" i="72"/>
  <c r="AG71" i="157"/>
  <c r="AC71" i="157"/>
  <c r="AB71" i="157"/>
  <c r="AE71" i="157"/>
  <c r="AH71" i="157"/>
  <c r="AF71" i="157"/>
  <c r="AD71" i="157"/>
  <c r="T77" i="21"/>
  <c r="P77" i="72"/>
  <c r="AZ68" i="155"/>
  <c r="AO70" i="157"/>
  <c r="BJ70" i="155"/>
  <c r="BO70" i="155" s="1"/>
  <c r="BN70" i="155"/>
  <c r="O72" i="155"/>
  <c r="BK71" i="155" s="1"/>
  <c r="O72" i="157"/>
  <c r="BK71" i="157" s="1"/>
  <c r="BA68" i="155"/>
  <c r="AB67" i="135" s="1"/>
  <c r="P67" i="135" l="1"/>
  <c r="S67" i="135"/>
  <c r="AM67" i="135"/>
  <c r="AJ67" i="135"/>
  <c r="E70" i="98"/>
  <c r="AM71" i="155"/>
  <c r="AY70" i="155" s="1"/>
  <c r="BQ70" i="157"/>
  <c r="AO71" i="155"/>
  <c r="AZ70" i="155" s="1"/>
  <c r="AL71" i="155"/>
  <c r="AX70" i="155" s="1"/>
  <c r="BQ69" i="157"/>
  <c r="AN71" i="155"/>
  <c r="AJ71" i="155"/>
  <c r="AV70" i="155" s="1"/>
  <c r="BP71" i="157"/>
  <c r="BP71" i="155"/>
  <c r="BP70" i="155"/>
  <c r="BQ70" i="155" s="1"/>
  <c r="O73" i="155"/>
  <c r="BK72" i="155" s="1"/>
  <c r="O73" i="157"/>
  <c r="BK72" i="157" s="1"/>
  <c r="AX69" i="155"/>
  <c r="AK71" i="155"/>
  <c r="AY69" i="155"/>
  <c r="AN71" i="157"/>
  <c r="AV69" i="157"/>
  <c r="AC75" i="72"/>
  <c r="AK75" i="21"/>
  <c r="AS75" i="21" s="1"/>
  <c r="AJ75" i="21"/>
  <c r="AR75" i="21" s="1"/>
  <c r="AB75" i="72"/>
  <c r="L73" i="157"/>
  <c r="BH72" i="157" s="1"/>
  <c r="L73" i="155"/>
  <c r="BH72" i="155" s="1"/>
  <c r="BD69" i="157"/>
  <c r="Z74" i="21"/>
  <c r="V74" i="72"/>
  <c r="K73" i="155"/>
  <c r="BG72" i="155" s="1"/>
  <c r="K73" i="157"/>
  <c r="BG72" i="157" s="1"/>
  <c r="Q73" i="21"/>
  <c r="E73" i="37"/>
  <c r="Q73" i="37" s="1"/>
  <c r="AF72" i="157"/>
  <c r="AC72" i="157"/>
  <c r="AE72" i="157"/>
  <c r="AB72" i="157"/>
  <c r="AH72" i="157"/>
  <c r="AD72" i="157"/>
  <c r="AG72" i="157"/>
  <c r="D74" i="72"/>
  <c r="D74" i="21"/>
  <c r="BH75" i="21"/>
  <c r="BP75" i="21" s="1"/>
  <c r="AJ75" i="72"/>
  <c r="E74" i="21"/>
  <c r="E74" i="72"/>
  <c r="S73" i="21"/>
  <c r="G73" i="37"/>
  <c r="S73" i="37" s="1"/>
  <c r="W77" i="37"/>
  <c r="AG76" i="72"/>
  <c r="AW76" i="21"/>
  <c r="BE76" i="21" s="1"/>
  <c r="AL75" i="72"/>
  <c r="BJ75" i="21"/>
  <c r="BR75" i="21" s="1"/>
  <c r="AM71" i="157"/>
  <c r="AY70" i="157" s="1"/>
  <c r="U74" i="72"/>
  <c r="Y74" i="21"/>
  <c r="I76" i="21"/>
  <c r="I76" i="37" s="1"/>
  <c r="I76" i="72"/>
  <c r="BO71" i="155"/>
  <c r="BK75" i="21"/>
  <c r="BS75" i="21" s="1"/>
  <c r="AM75" i="72"/>
  <c r="AM75" i="21"/>
  <c r="AU75" i="21" s="1"/>
  <c r="AE75" i="72"/>
  <c r="Y72" i="155"/>
  <c r="AA72" i="155"/>
  <c r="V72" i="155"/>
  <c r="Z72" i="155"/>
  <c r="U72" i="155"/>
  <c r="W72" i="155"/>
  <c r="X72" i="155"/>
  <c r="W78" i="21"/>
  <c r="S78" i="72"/>
  <c r="AH72" i="155"/>
  <c r="AG72" i="155"/>
  <c r="AB72" i="155"/>
  <c r="AC72" i="155"/>
  <c r="AF72" i="155"/>
  <c r="AE72" i="155"/>
  <c r="AD72" i="155"/>
  <c r="F74" i="21"/>
  <c r="F74" i="72"/>
  <c r="BD69" i="155"/>
  <c r="AP71" i="155"/>
  <c r="BD70" i="155" s="1"/>
  <c r="AL75" i="21"/>
  <c r="AT75" i="21" s="1"/>
  <c r="AD75" i="72"/>
  <c r="AP71" i="157"/>
  <c r="BD70" i="157" s="1"/>
  <c r="Y73" i="37"/>
  <c r="AG73" i="37" s="1"/>
  <c r="AG73" i="21"/>
  <c r="Q78" i="72"/>
  <c r="U78" i="21"/>
  <c r="AX76" i="21"/>
  <c r="BF76" i="21" s="1"/>
  <c r="AH76" i="72"/>
  <c r="P73" i="21"/>
  <c r="D73" i="37"/>
  <c r="P73" i="37" s="1"/>
  <c r="T78" i="21"/>
  <c r="P78" i="72"/>
  <c r="K76" i="72"/>
  <c r="K76" i="21"/>
  <c r="K76" i="37" s="1"/>
  <c r="R73" i="155"/>
  <c r="BN72" i="155" s="1"/>
  <c r="R73" i="157"/>
  <c r="BN72" i="157" s="1"/>
  <c r="AY76" i="21"/>
  <c r="BG76" i="21" s="1"/>
  <c r="AI76" i="72"/>
  <c r="R73" i="21"/>
  <c r="F73" i="37"/>
  <c r="R73" i="37" s="1"/>
  <c r="V78" i="21"/>
  <c r="R78" i="72"/>
  <c r="AK71" i="157"/>
  <c r="AW70" i="157" s="1"/>
  <c r="BC69" i="155"/>
  <c r="BA69" i="155"/>
  <c r="BB69" i="155"/>
  <c r="BH71" i="157"/>
  <c r="U77" i="37"/>
  <c r="AZ69" i="157"/>
  <c r="V72" i="157"/>
  <c r="U72" i="157"/>
  <c r="Y72" i="157"/>
  <c r="X72" i="157"/>
  <c r="Z72" i="157"/>
  <c r="W72" i="157"/>
  <c r="AA72" i="157"/>
  <c r="G74" i="21"/>
  <c r="G74" i="72"/>
  <c r="T77" i="37"/>
  <c r="N73" i="155"/>
  <c r="BJ72" i="155" s="1"/>
  <c r="N73" i="157"/>
  <c r="AK75" i="72"/>
  <c r="BI75" i="21"/>
  <c r="BQ75" i="21" s="1"/>
  <c r="AW69" i="157"/>
  <c r="V77" i="37"/>
  <c r="AJ71" i="157"/>
  <c r="M73" i="157"/>
  <c r="M73" i="155"/>
  <c r="AV76" i="21"/>
  <c r="BD76" i="21" s="1"/>
  <c r="AF76" i="72"/>
  <c r="Z73" i="37"/>
  <c r="AH73" i="37" s="1"/>
  <c r="AH73" i="21"/>
  <c r="AO71" i="157"/>
  <c r="Q73" i="155"/>
  <c r="BM72" i="155" s="1"/>
  <c r="Q73" i="157"/>
  <c r="BM72" i="157" s="1"/>
  <c r="AV69" i="155"/>
  <c r="BG71" i="157"/>
  <c r="X73" i="37"/>
  <c r="AF73" i="37" s="1"/>
  <c r="AF73" i="21"/>
  <c r="BA69" i="157"/>
  <c r="BB69" i="157"/>
  <c r="BC69" i="157"/>
  <c r="AA73" i="37"/>
  <c r="AI73" i="37" s="1"/>
  <c r="AI73" i="21"/>
  <c r="P73" i="157"/>
  <c r="P73" i="155"/>
  <c r="BL72" i="155" s="1"/>
  <c r="J76" i="72"/>
  <c r="J76" i="21"/>
  <c r="J76" i="37" s="1"/>
  <c r="H76" i="72"/>
  <c r="H76" i="21"/>
  <c r="H76" i="37" s="1"/>
  <c r="AL71" i="157"/>
  <c r="T74" i="72"/>
  <c r="X74" i="21"/>
  <c r="W74" i="72"/>
  <c r="AA74" i="21"/>
  <c r="BQ71" i="155" l="1"/>
  <c r="BA70" i="155"/>
  <c r="BC70" i="155"/>
  <c r="BB70" i="155"/>
  <c r="E71" i="98"/>
  <c r="AO72" i="157"/>
  <c r="AZ71" i="157" s="1"/>
  <c r="BB70" i="157"/>
  <c r="BA70" i="157"/>
  <c r="AM72" i="157"/>
  <c r="AY71" i="157" s="1"/>
  <c r="AN72" i="157"/>
  <c r="AJ72" i="157"/>
  <c r="AV71" i="157" s="1"/>
  <c r="AP72" i="157"/>
  <c r="BD71" i="157" s="1"/>
  <c r="AL72" i="157"/>
  <c r="AX71" i="157" s="1"/>
  <c r="AK72" i="157"/>
  <c r="AW71" i="157" s="1"/>
  <c r="BC70" i="157"/>
  <c r="BO71" i="157"/>
  <c r="BQ71" i="157" s="1"/>
  <c r="AM72" i="155"/>
  <c r="AY71" i="155" s="1"/>
  <c r="AJ72" i="155"/>
  <c r="AV71" i="155" s="1"/>
  <c r="AZ70" i="157"/>
  <c r="AP72" i="155"/>
  <c r="R79" i="72"/>
  <c r="V79" i="21"/>
  <c r="AL76" i="21"/>
  <c r="AT76" i="21" s="1"/>
  <c r="AD76" i="72"/>
  <c r="AA74" i="37"/>
  <c r="AI74" i="37" s="1"/>
  <c r="AI74" i="21"/>
  <c r="G75" i="72"/>
  <c r="G75" i="21"/>
  <c r="M74" i="155"/>
  <c r="BI73" i="155" s="1"/>
  <c r="M74" i="157"/>
  <c r="T78" i="37"/>
  <c r="AO72" i="155"/>
  <c r="D75" i="21"/>
  <c r="D75" i="72"/>
  <c r="AV70" i="157"/>
  <c r="AA75" i="21"/>
  <c r="W75" i="72"/>
  <c r="H77" i="21"/>
  <c r="H77" i="37" s="1"/>
  <c r="H77" i="72"/>
  <c r="G74" i="37"/>
  <c r="S74" i="37" s="1"/>
  <c r="S74" i="21"/>
  <c r="AY77" i="21"/>
  <c r="BG77" i="21" s="1"/>
  <c r="AI77" i="72"/>
  <c r="O74" i="157"/>
  <c r="BK73" i="157" s="1"/>
  <c r="O74" i="155"/>
  <c r="BK73" i="155" s="1"/>
  <c r="BI72" i="157"/>
  <c r="F75" i="21"/>
  <c r="F75" i="72"/>
  <c r="AK72" i="155"/>
  <c r="AW71" i="155" s="1"/>
  <c r="R74" i="155"/>
  <c r="BN73" i="155" s="1"/>
  <c r="R74" i="157"/>
  <c r="BN73" i="157" s="1"/>
  <c r="P74" i="157"/>
  <c r="BL73" i="157" s="1"/>
  <c r="P74" i="155"/>
  <c r="BL73" i="155" s="1"/>
  <c r="J77" i="21"/>
  <c r="J77" i="37" s="1"/>
  <c r="J77" i="72"/>
  <c r="X74" i="37"/>
  <c r="AF74" i="37" s="1"/>
  <c r="AF74" i="21"/>
  <c r="K74" i="155"/>
  <c r="BG73" i="155" s="1"/>
  <c r="K74" i="157"/>
  <c r="BG73" i="157" s="1"/>
  <c r="R74" i="21"/>
  <c r="F74" i="37"/>
  <c r="R74" i="37" s="1"/>
  <c r="I77" i="21"/>
  <c r="I77" i="37" s="1"/>
  <c r="I77" i="72"/>
  <c r="N74" i="157"/>
  <c r="BJ73" i="157" s="1"/>
  <c r="N74" i="155"/>
  <c r="BJ73" i="155" s="1"/>
  <c r="L74" i="155"/>
  <c r="BH73" i="155" s="1"/>
  <c r="L74" i="157"/>
  <c r="BH73" i="157" s="1"/>
  <c r="E75" i="72"/>
  <c r="E75" i="21"/>
  <c r="Y73" i="157"/>
  <c r="W73" i="157"/>
  <c r="V73" i="157"/>
  <c r="U73" i="157"/>
  <c r="X73" i="157"/>
  <c r="AA73" i="157"/>
  <c r="Z73" i="157"/>
  <c r="AJ76" i="21"/>
  <c r="AR76" i="21" s="1"/>
  <c r="AB76" i="72"/>
  <c r="AW70" i="155"/>
  <c r="T75" i="72"/>
  <c r="X75" i="21"/>
  <c r="AV77" i="21"/>
  <c r="BD77" i="21" s="1"/>
  <c r="AF77" i="72"/>
  <c r="BJ72" i="157"/>
  <c r="V78" i="37"/>
  <c r="W78" i="37"/>
  <c r="AN72" i="155"/>
  <c r="BJ76" i="21"/>
  <c r="BR76" i="21" s="1"/>
  <c r="AL76" i="72"/>
  <c r="E74" i="37"/>
  <c r="Q74" i="37" s="1"/>
  <c r="Q74" i="21"/>
  <c r="AA73" i="155"/>
  <c r="V73" i="155"/>
  <c r="Y73" i="155"/>
  <c r="X73" i="155"/>
  <c r="Z73" i="155"/>
  <c r="W73" i="155"/>
  <c r="U73" i="155"/>
  <c r="AX70" i="157"/>
  <c r="U78" i="37"/>
  <c r="BD71" i="155"/>
  <c r="AM76" i="21"/>
  <c r="AU76" i="21" s="1"/>
  <c r="AE76" i="72"/>
  <c r="Y74" i="37"/>
  <c r="AG74" i="37" s="1"/>
  <c r="AG74" i="21"/>
  <c r="BH76" i="21"/>
  <c r="BP76" i="21" s="1"/>
  <c r="AJ76" i="72"/>
  <c r="V75" i="72"/>
  <c r="Z75" i="21"/>
  <c r="K77" i="21"/>
  <c r="K77" i="37" s="1"/>
  <c r="K77" i="72"/>
  <c r="U79" i="21"/>
  <c r="Q79" i="72"/>
  <c r="BP72" i="155"/>
  <c r="AL72" i="155"/>
  <c r="U75" i="72"/>
  <c r="Y75" i="21"/>
  <c r="AG77" i="72"/>
  <c r="AW77" i="21"/>
  <c r="BE77" i="21" s="1"/>
  <c r="Z74" i="37"/>
  <c r="AH74" i="37" s="1"/>
  <c r="AH74" i="21"/>
  <c r="AK76" i="21"/>
  <c r="AS76" i="21" s="1"/>
  <c r="AC76" i="72"/>
  <c r="AD73" i="157"/>
  <c r="AC73" i="157"/>
  <c r="AF73" i="157"/>
  <c r="AH73" i="157"/>
  <c r="AG73" i="157"/>
  <c r="AB73" i="157"/>
  <c r="AE73" i="157"/>
  <c r="AK76" i="72"/>
  <c r="BI76" i="21"/>
  <c r="BQ76" i="21" s="1"/>
  <c r="AX77" i="21"/>
  <c r="BF77" i="21" s="1"/>
  <c r="AH77" i="72"/>
  <c r="W79" i="21"/>
  <c r="S79" i="72"/>
  <c r="BL72" i="157"/>
  <c r="BP72" i="157" s="1"/>
  <c r="Q74" i="157"/>
  <c r="BM73" i="157" s="1"/>
  <c r="Q74" i="155"/>
  <c r="BM73" i="155" s="1"/>
  <c r="P79" i="72"/>
  <c r="T79" i="21"/>
  <c r="AM76" i="72"/>
  <c r="BK76" i="21"/>
  <c r="BS76" i="21" s="1"/>
  <c r="BI72" i="155"/>
  <c r="BO72" i="155" s="1"/>
  <c r="P74" i="21"/>
  <c r="D74" i="37"/>
  <c r="P74" i="37" s="1"/>
  <c r="AB73" i="155"/>
  <c r="AH73" i="155"/>
  <c r="AE73" i="155"/>
  <c r="AD73" i="155"/>
  <c r="AG73" i="155"/>
  <c r="AC73" i="155"/>
  <c r="AF73" i="155"/>
  <c r="E72" i="98" l="1"/>
  <c r="BA71" i="157"/>
  <c r="BB71" i="157"/>
  <c r="BC71" i="157"/>
  <c r="BO72" i="157"/>
  <c r="BQ72" i="157" s="1"/>
  <c r="BQ72" i="155"/>
  <c r="AN73" i="157"/>
  <c r="AO73" i="155"/>
  <c r="AZ72" i="155" s="1"/>
  <c r="BO73" i="155"/>
  <c r="AP73" i="155"/>
  <c r="BD72" i="155" s="1"/>
  <c r="I78" i="72"/>
  <c r="I78" i="21"/>
  <c r="I78" i="37" s="1"/>
  <c r="H78" i="21"/>
  <c r="H78" i="37" s="1"/>
  <c r="H78" i="72"/>
  <c r="AZ71" i="155"/>
  <c r="BK77" i="21"/>
  <c r="BS77" i="21" s="1"/>
  <c r="AM77" i="72"/>
  <c r="BI77" i="21"/>
  <c r="BQ77" i="21" s="1"/>
  <c r="AK77" i="72"/>
  <c r="U76" i="72"/>
  <c r="Y76" i="21"/>
  <c r="AM77" i="21"/>
  <c r="AU77" i="21" s="1"/>
  <c r="AE77" i="72"/>
  <c r="AJ73" i="155"/>
  <c r="E75" i="37"/>
  <c r="Q75" i="37" s="1"/>
  <c r="Q75" i="21"/>
  <c r="AH74" i="155"/>
  <c r="AF74" i="155"/>
  <c r="AE74" i="155"/>
  <c r="AC74" i="155"/>
  <c r="AD74" i="155"/>
  <c r="AB74" i="155"/>
  <c r="AG74" i="155"/>
  <c r="Y75" i="37"/>
  <c r="AG75" i="37" s="1"/>
  <c r="AG75" i="21"/>
  <c r="L75" i="155"/>
  <c r="BH74" i="155" s="1"/>
  <c r="L75" i="157"/>
  <c r="BH74" i="157" s="1"/>
  <c r="AK77" i="21"/>
  <c r="AS77" i="21" s="1"/>
  <c r="AC77" i="72"/>
  <c r="AX71" i="155"/>
  <c r="AL73" i="155"/>
  <c r="AX72" i="155" s="1"/>
  <c r="P75" i="157"/>
  <c r="P75" i="155"/>
  <c r="BL74" i="155" s="1"/>
  <c r="AO73" i="157"/>
  <c r="E76" i="72"/>
  <c r="E76" i="21"/>
  <c r="AF74" i="157"/>
  <c r="AB74" i="157"/>
  <c r="AG74" i="157"/>
  <c r="AE74" i="157"/>
  <c r="AH74" i="157"/>
  <c r="AC74" i="157"/>
  <c r="AD74" i="157"/>
  <c r="AA76" i="21"/>
  <c r="W76" i="72"/>
  <c r="AL77" i="21"/>
  <c r="AT77" i="21" s="1"/>
  <c r="AD77" i="72"/>
  <c r="X75" i="37"/>
  <c r="AF75" i="37" s="1"/>
  <c r="AF75" i="21"/>
  <c r="AP73" i="157"/>
  <c r="Q75" i="155"/>
  <c r="BM74" i="155" s="1"/>
  <c r="Q75" i="157"/>
  <c r="BM74" i="157" s="1"/>
  <c r="J78" i="72"/>
  <c r="J78" i="21"/>
  <c r="J78" i="37" s="1"/>
  <c r="AI78" i="72"/>
  <c r="AY78" i="21"/>
  <c r="BG78" i="21" s="1"/>
  <c r="AA75" i="37"/>
  <c r="AI75" i="37" s="1"/>
  <c r="AI75" i="21"/>
  <c r="BJ77" i="21"/>
  <c r="BR77" i="21" s="1"/>
  <c r="AL77" i="72"/>
  <c r="X76" i="21"/>
  <c r="T76" i="72"/>
  <c r="AM73" i="157"/>
  <c r="M75" i="155"/>
  <c r="BI74" i="155" s="1"/>
  <c r="M75" i="157"/>
  <c r="V79" i="37"/>
  <c r="T79" i="37"/>
  <c r="O75" i="155"/>
  <c r="BK74" i="155" s="1"/>
  <c r="O75" i="157"/>
  <c r="T80" i="21"/>
  <c r="P80" i="72"/>
  <c r="W80" i="21"/>
  <c r="S80" i="72"/>
  <c r="U80" i="21"/>
  <c r="Q80" i="72"/>
  <c r="Z76" i="21"/>
  <c r="V76" i="72"/>
  <c r="AM73" i="155"/>
  <c r="BP73" i="155"/>
  <c r="BQ73" i="155" s="1"/>
  <c r="K75" i="155"/>
  <c r="BG74" i="155" s="1"/>
  <c r="K75" i="157"/>
  <c r="BG74" i="157" s="1"/>
  <c r="W79" i="37"/>
  <c r="U79" i="37"/>
  <c r="BH77" i="21"/>
  <c r="BP77" i="21" s="1"/>
  <c r="AJ77" i="72"/>
  <c r="BC71" i="155"/>
  <c r="BA71" i="155"/>
  <c r="BB71" i="155"/>
  <c r="AJ73" i="157"/>
  <c r="D76" i="72"/>
  <c r="D76" i="21"/>
  <c r="V80" i="21"/>
  <c r="R80" i="72"/>
  <c r="BP73" i="157"/>
  <c r="K78" i="21"/>
  <c r="K78" i="37" s="1"/>
  <c r="K78" i="72"/>
  <c r="AN73" i="155"/>
  <c r="AK73" i="157"/>
  <c r="X74" i="157"/>
  <c r="W74" i="157"/>
  <c r="U74" i="157"/>
  <c r="AA74" i="157"/>
  <c r="Y74" i="157"/>
  <c r="Z74" i="157"/>
  <c r="V74" i="157"/>
  <c r="F76" i="21"/>
  <c r="F76" i="72"/>
  <c r="N75" i="157"/>
  <c r="BJ74" i="157" s="1"/>
  <c r="N75" i="155"/>
  <c r="BJ74" i="155" s="1"/>
  <c r="D75" i="37"/>
  <c r="P75" i="37" s="1"/>
  <c r="P75" i="21"/>
  <c r="G75" i="37"/>
  <c r="S75" i="37" s="1"/>
  <c r="S75" i="21"/>
  <c r="BI73" i="157"/>
  <c r="BO73" i="157" s="1"/>
  <c r="Z75" i="37"/>
  <c r="AH75" i="37" s="1"/>
  <c r="AH75" i="21"/>
  <c r="AX78" i="21"/>
  <c r="BF78" i="21" s="1"/>
  <c r="AH78" i="72"/>
  <c r="AW78" i="21"/>
  <c r="BE78" i="21" s="1"/>
  <c r="AG78" i="72"/>
  <c r="AK73" i="155"/>
  <c r="AV78" i="21"/>
  <c r="BD78" i="21" s="1"/>
  <c r="AF78" i="72"/>
  <c r="AB77" i="72"/>
  <c r="AJ77" i="21"/>
  <c r="AR77" i="21" s="1"/>
  <c r="AL73" i="157"/>
  <c r="Z74" i="155"/>
  <c r="Y74" i="155"/>
  <c r="U74" i="155"/>
  <c r="AA74" i="155"/>
  <c r="W74" i="155"/>
  <c r="V74" i="155"/>
  <c r="AK74" i="155" s="1"/>
  <c r="X74" i="155"/>
  <c r="R75" i="21"/>
  <c r="F75" i="37"/>
  <c r="R75" i="37" s="1"/>
  <c r="R75" i="157"/>
  <c r="BN74" i="157" s="1"/>
  <c r="R75" i="155"/>
  <c r="BN74" i="155" s="1"/>
  <c r="G76" i="72"/>
  <c r="G76" i="21"/>
  <c r="E73" i="98" l="1"/>
  <c r="E74" i="98" s="1"/>
  <c r="AL74" i="157"/>
  <c r="AX73" i="157" s="1"/>
  <c r="AL74" i="155"/>
  <c r="BA72" i="157"/>
  <c r="AJ74" i="155"/>
  <c r="AV73" i="155" s="1"/>
  <c r="AM74" i="155"/>
  <c r="AY73" i="155" s="1"/>
  <c r="AJ74" i="157"/>
  <c r="AV73" i="157" s="1"/>
  <c r="AP74" i="157"/>
  <c r="BD73" i="157" s="1"/>
  <c r="AP74" i="155"/>
  <c r="BD73" i="155" s="1"/>
  <c r="AO74" i="157"/>
  <c r="AZ73" i="157" s="1"/>
  <c r="AN74" i="157"/>
  <c r="AM74" i="157"/>
  <c r="AY73" i="157" s="1"/>
  <c r="BQ73" i="157"/>
  <c r="AN74" i="155"/>
  <c r="BC72" i="157"/>
  <c r="BP74" i="155"/>
  <c r="BO74" i="155"/>
  <c r="AW73" i="155"/>
  <c r="X76" i="37"/>
  <c r="AF76" i="37" s="1"/>
  <c r="AF76" i="21"/>
  <c r="E77" i="72"/>
  <c r="E77" i="21"/>
  <c r="AO74" i="155"/>
  <c r="F76" i="37"/>
  <c r="R76" i="37" s="1"/>
  <c r="R76" i="21"/>
  <c r="V81" i="21"/>
  <c r="R81" i="72"/>
  <c r="AY72" i="155"/>
  <c r="T80" i="37"/>
  <c r="BJ78" i="21"/>
  <c r="BR78" i="21" s="1"/>
  <c r="AL78" i="72"/>
  <c r="AY79" i="21"/>
  <c r="BG79" i="21" s="1"/>
  <c r="AI79" i="72"/>
  <c r="AZ72" i="157"/>
  <c r="L76" i="157"/>
  <c r="BH75" i="157" s="1"/>
  <c r="L76" i="155"/>
  <c r="BH75" i="155" s="1"/>
  <c r="BI78" i="21"/>
  <c r="BQ78" i="21" s="1"/>
  <c r="AK78" i="72"/>
  <c r="V80" i="37"/>
  <c r="Z77" i="21"/>
  <c r="V77" i="72"/>
  <c r="AF75" i="157"/>
  <c r="AH75" i="157"/>
  <c r="AG75" i="157"/>
  <c r="AE75" i="157"/>
  <c r="AD75" i="157"/>
  <c r="AC75" i="157"/>
  <c r="AB75" i="157"/>
  <c r="AD78" i="72"/>
  <c r="AL78" i="21"/>
  <c r="AT78" i="21" s="1"/>
  <c r="P76" i="157"/>
  <c r="BL75" i="157" s="1"/>
  <c r="P76" i="155"/>
  <c r="BL75" i="155" s="1"/>
  <c r="I79" i="21"/>
  <c r="I79" i="37" s="1"/>
  <c r="I79" i="72"/>
  <c r="Q76" i="157"/>
  <c r="BM75" i="157" s="1"/>
  <c r="Q76" i="155"/>
  <c r="BM75" i="155" s="1"/>
  <c r="T81" i="21"/>
  <c r="P81" i="72"/>
  <c r="Z76" i="37"/>
  <c r="AH76" i="37" s="1"/>
  <c r="AH76" i="21"/>
  <c r="AG75" i="155"/>
  <c r="AF75" i="155"/>
  <c r="AC75" i="155"/>
  <c r="AD75" i="155"/>
  <c r="AB75" i="155"/>
  <c r="AH75" i="155"/>
  <c r="AE75" i="155"/>
  <c r="BK78" i="21"/>
  <c r="BS78" i="21" s="1"/>
  <c r="AM78" i="72"/>
  <c r="F77" i="72"/>
  <c r="F77" i="21"/>
  <c r="AV72" i="157"/>
  <c r="AK78" i="21"/>
  <c r="AS78" i="21" s="1"/>
  <c r="AC78" i="72"/>
  <c r="M76" i="157"/>
  <c r="BI75" i="157" s="1"/>
  <c r="M76" i="155"/>
  <c r="BI75" i="155" s="1"/>
  <c r="AG79" i="72"/>
  <c r="AW79" i="21"/>
  <c r="BE79" i="21" s="1"/>
  <c r="AK74" i="157"/>
  <c r="AW73" i="157" s="1"/>
  <c r="R76" i="155"/>
  <c r="BN75" i="155" s="1"/>
  <c r="R76" i="157"/>
  <c r="BN75" i="157" s="1"/>
  <c r="AW72" i="157"/>
  <c r="P76" i="21"/>
  <c r="D76" i="37"/>
  <c r="P76" i="37" s="1"/>
  <c r="BB72" i="155"/>
  <c r="Q81" i="72"/>
  <c r="U81" i="21"/>
  <c r="BB72" i="157"/>
  <c r="J79" i="21"/>
  <c r="J79" i="37" s="1"/>
  <c r="J79" i="72"/>
  <c r="AA77" i="21"/>
  <c r="W77" i="72"/>
  <c r="AV72" i="155"/>
  <c r="N76" i="155"/>
  <c r="BJ75" i="155" s="1"/>
  <c r="N76" i="157"/>
  <c r="BJ75" i="157" s="1"/>
  <c r="AX72" i="157"/>
  <c r="S76" i="21"/>
  <c r="G76" i="37"/>
  <c r="S76" i="37" s="1"/>
  <c r="K76" i="157"/>
  <c r="BG75" i="157" s="1"/>
  <c r="K76" i="155"/>
  <c r="BG75" i="155" s="1"/>
  <c r="O76" i="155"/>
  <c r="O76" i="157"/>
  <c r="D77" i="21"/>
  <c r="D77" i="72"/>
  <c r="BC72" i="155"/>
  <c r="U80" i="37"/>
  <c r="BI74" i="157"/>
  <c r="BO74" i="157" s="1"/>
  <c r="AA76" i="37"/>
  <c r="AI76" i="37" s="1"/>
  <c r="AI76" i="21"/>
  <c r="AX73" i="155"/>
  <c r="AE78" i="72"/>
  <c r="AM78" i="21"/>
  <c r="AU78" i="21" s="1"/>
  <c r="Y77" i="21"/>
  <c r="U77" i="72"/>
  <c r="AX79" i="21"/>
  <c r="BF79" i="21" s="1"/>
  <c r="AH79" i="72"/>
  <c r="G77" i="21"/>
  <c r="G77" i="72"/>
  <c r="AJ78" i="21"/>
  <c r="AR78" i="21" s="1"/>
  <c r="AB78" i="72"/>
  <c r="AV79" i="21"/>
  <c r="BD79" i="21" s="1"/>
  <c r="AF79" i="72"/>
  <c r="K79" i="21"/>
  <c r="K79" i="37" s="1"/>
  <c r="K79" i="72"/>
  <c r="AW72" i="155"/>
  <c r="BA72" i="155"/>
  <c r="Z75" i="157"/>
  <c r="X75" i="157"/>
  <c r="W75" i="157"/>
  <c r="AA75" i="157"/>
  <c r="U75" i="157"/>
  <c r="Y75" i="157"/>
  <c r="V75" i="157"/>
  <c r="W81" i="21"/>
  <c r="S81" i="72"/>
  <c r="AY72" i="157"/>
  <c r="BK74" i="157"/>
  <c r="BL74" i="157"/>
  <c r="BH78" i="21"/>
  <c r="BP78" i="21" s="1"/>
  <c r="AJ78" i="72"/>
  <c r="W75" i="155"/>
  <c r="Z75" i="155"/>
  <c r="AA75" i="155"/>
  <c r="Y75" i="155"/>
  <c r="U75" i="155"/>
  <c r="V75" i="155"/>
  <c r="X75" i="155"/>
  <c r="W80" i="37"/>
  <c r="X77" i="21"/>
  <c r="T77" i="72"/>
  <c r="BD72" i="157"/>
  <c r="Q76" i="21"/>
  <c r="E76" i="37"/>
  <c r="Q76" i="37" s="1"/>
  <c r="Y76" i="37"/>
  <c r="AG76" i="37" s="1"/>
  <c r="AG76" i="21"/>
  <c r="H79" i="21"/>
  <c r="H79" i="37" s="1"/>
  <c r="H79" i="72"/>
  <c r="AK75" i="155" l="1"/>
  <c r="AW74" i="155" s="1"/>
  <c r="AM75" i="157"/>
  <c r="AY74" i="157" s="1"/>
  <c r="AJ75" i="155"/>
  <c r="AV74" i="155" s="1"/>
  <c r="BC73" i="157"/>
  <c r="BA73" i="157"/>
  <c r="AM75" i="155"/>
  <c r="AY74" i="155" s="1"/>
  <c r="AP75" i="157"/>
  <c r="BD74" i="157" s="1"/>
  <c r="BB73" i="157"/>
  <c r="AN75" i="157"/>
  <c r="BB73" i="155"/>
  <c r="AO75" i="155"/>
  <c r="AZ74" i="155" s="1"/>
  <c r="BA73" i="155"/>
  <c r="BC73" i="155"/>
  <c r="AO75" i="157"/>
  <c r="AZ74" i="157" s="1"/>
  <c r="AN75" i="155"/>
  <c r="AL75" i="157"/>
  <c r="AX74" i="157" s="1"/>
  <c r="BQ74" i="155"/>
  <c r="E75" i="98" s="1"/>
  <c r="AK75" i="157"/>
  <c r="AW74" i="157" s="1"/>
  <c r="AP75" i="155"/>
  <c r="BD74" i="155" s="1"/>
  <c r="AJ75" i="157"/>
  <c r="AV74" i="157" s="1"/>
  <c r="AL75" i="155"/>
  <c r="AX74" i="155" s="1"/>
  <c r="BO75" i="155"/>
  <c r="W82" i="21"/>
  <c r="S82" i="72"/>
  <c r="AV80" i="21"/>
  <c r="BD80" i="21" s="1"/>
  <c r="AF80" i="72"/>
  <c r="BP74" i="157"/>
  <c r="BQ74" i="157" s="1"/>
  <c r="BO75" i="157"/>
  <c r="K80" i="72"/>
  <c r="K80" i="21"/>
  <c r="K80" i="37" s="1"/>
  <c r="AJ79" i="21"/>
  <c r="AR79" i="21" s="1"/>
  <c r="AB79" i="72"/>
  <c r="AH80" i="72"/>
  <c r="AX80" i="21"/>
  <c r="BF80" i="21" s="1"/>
  <c r="P77" i="21"/>
  <c r="D77" i="37"/>
  <c r="P77" i="37" s="1"/>
  <c r="N77" i="157"/>
  <c r="BJ76" i="157" s="1"/>
  <c r="N77" i="155"/>
  <c r="BJ76" i="155" s="1"/>
  <c r="BI79" i="21"/>
  <c r="BQ79" i="21" s="1"/>
  <c r="AK79" i="72"/>
  <c r="BJ79" i="21"/>
  <c r="BR79" i="21" s="1"/>
  <c r="AL79" i="72"/>
  <c r="R77" i="21"/>
  <c r="F77" i="37"/>
  <c r="R77" i="37" s="1"/>
  <c r="M77" i="157"/>
  <c r="M77" i="155"/>
  <c r="BI76" i="155" s="1"/>
  <c r="U81" i="37"/>
  <c r="AW80" i="21"/>
  <c r="BE80" i="21" s="1"/>
  <c r="AG80" i="72"/>
  <c r="L77" i="155"/>
  <c r="BH76" i="155" s="1"/>
  <c r="L77" i="157"/>
  <c r="BH76" i="157" s="1"/>
  <c r="AJ79" i="72"/>
  <c r="BH79" i="21"/>
  <c r="BP79" i="21" s="1"/>
  <c r="Y78" i="21"/>
  <c r="U78" i="72"/>
  <c r="AB76" i="157"/>
  <c r="AE76" i="157"/>
  <c r="AD76" i="157"/>
  <c r="AC76" i="157"/>
  <c r="AF76" i="157"/>
  <c r="AH76" i="157"/>
  <c r="AG76" i="157"/>
  <c r="Q82" i="72"/>
  <c r="U82" i="21"/>
  <c r="F78" i="21"/>
  <c r="F78" i="72"/>
  <c r="AD79" i="72"/>
  <c r="AL79" i="21"/>
  <c r="AT79" i="21" s="1"/>
  <c r="Q77" i="157"/>
  <c r="Q77" i="155"/>
  <c r="BM76" i="155" s="1"/>
  <c r="G78" i="72"/>
  <c r="G78" i="21"/>
  <c r="Y77" i="37"/>
  <c r="AG77" i="37" s="1"/>
  <c r="AG77" i="21"/>
  <c r="AH76" i="155"/>
  <c r="AC76" i="155"/>
  <c r="AB76" i="155"/>
  <c r="AE76" i="155"/>
  <c r="AG76" i="155"/>
  <c r="AF76" i="155"/>
  <c r="AD76" i="155"/>
  <c r="W78" i="72"/>
  <c r="AA78" i="21"/>
  <c r="Z78" i="21"/>
  <c r="V78" i="72"/>
  <c r="AZ73" i="155"/>
  <c r="P77" i="155"/>
  <c r="BL76" i="155" s="1"/>
  <c r="P77" i="157"/>
  <c r="BL76" i="157" s="1"/>
  <c r="U76" i="155"/>
  <c r="V76" i="155"/>
  <c r="AA76" i="155"/>
  <c r="Z76" i="155"/>
  <c r="Y76" i="155"/>
  <c r="X76" i="155"/>
  <c r="W76" i="155"/>
  <c r="AA77" i="37"/>
  <c r="AI77" i="37" s="1"/>
  <c r="AI77" i="21"/>
  <c r="BK75" i="157"/>
  <c r="BP75" i="157" s="1"/>
  <c r="Z77" i="37"/>
  <c r="AH77" i="37" s="1"/>
  <c r="AH77" i="21"/>
  <c r="Q77" i="21"/>
  <c r="E77" i="37"/>
  <c r="Q77" i="37" s="1"/>
  <c r="G77" i="37"/>
  <c r="S77" i="37" s="1"/>
  <c r="S77" i="21"/>
  <c r="H80" i="21"/>
  <c r="H80" i="37" s="1"/>
  <c r="H80" i="72"/>
  <c r="X78" i="21"/>
  <c r="T78" i="72"/>
  <c r="W81" i="37"/>
  <c r="AM79" i="21"/>
  <c r="AU79" i="21" s="1"/>
  <c r="AE79" i="72"/>
  <c r="Z76" i="157"/>
  <c r="U76" i="157"/>
  <c r="X76" i="157"/>
  <c r="W76" i="157"/>
  <c r="V76" i="157"/>
  <c r="Y76" i="157"/>
  <c r="AA76" i="157"/>
  <c r="J80" i="21"/>
  <c r="J80" i="37" s="1"/>
  <c r="J80" i="72"/>
  <c r="O77" i="157"/>
  <c r="O77" i="155"/>
  <c r="AK79" i="21"/>
  <c r="AS79" i="21" s="1"/>
  <c r="AC79" i="72"/>
  <c r="T82" i="21"/>
  <c r="P82" i="72"/>
  <c r="I80" i="21"/>
  <c r="I80" i="37" s="1"/>
  <c r="I80" i="72"/>
  <c r="E78" i="21"/>
  <c r="E78" i="72"/>
  <c r="X77" i="37"/>
  <c r="AF77" i="37" s="1"/>
  <c r="AF77" i="21"/>
  <c r="K77" i="155"/>
  <c r="BG76" i="155" s="1"/>
  <c r="K77" i="157"/>
  <c r="BK79" i="21"/>
  <c r="BS79" i="21" s="1"/>
  <c r="AM79" i="72"/>
  <c r="T81" i="37"/>
  <c r="AY80" i="21"/>
  <c r="BG80" i="21" s="1"/>
  <c r="AI80" i="72"/>
  <c r="V82" i="21"/>
  <c r="R82" i="72"/>
  <c r="D78" i="21"/>
  <c r="D78" i="72"/>
  <c r="R77" i="155"/>
  <c r="BN76" i="155" s="1"/>
  <c r="R77" i="157"/>
  <c r="BK75" i="155"/>
  <c r="BP75" i="155" s="1"/>
  <c r="V81" i="37"/>
  <c r="BQ75" i="155" l="1"/>
  <c r="E76" i="98" s="1"/>
  <c r="BC74" i="157"/>
  <c r="AL76" i="157"/>
  <c r="AX75" i="157" s="1"/>
  <c r="BA74" i="157"/>
  <c r="BB74" i="157"/>
  <c r="BC74" i="155"/>
  <c r="AN76" i="157"/>
  <c r="BA74" i="155"/>
  <c r="AP76" i="157"/>
  <c r="BD75" i="157" s="1"/>
  <c r="AM76" i="157"/>
  <c r="AY75" i="157" s="1"/>
  <c r="BB74" i="155"/>
  <c r="AJ76" i="157"/>
  <c r="AV75" i="157" s="1"/>
  <c r="AM76" i="155"/>
  <c r="AY75" i="155" s="1"/>
  <c r="AK76" i="157"/>
  <c r="AW75" i="157" s="1"/>
  <c r="AL76" i="155"/>
  <c r="AX75" i="155" s="1"/>
  <c r="AK76" i="155"/>
  <c r="AW75" i="155" s="1"/>
  <c r="BO76" i="155"/>
  <c r="AO76" i="157"/>
  <c r="AZ75" i="157" s="1"/>
  <c r="AP76" i="155"/>
  <c r="BD75" i="155" s="1"/>
  <c r="AJ76" i="155"/>
  <c r="AV75" i="155" s="1"/>
  <c r="P78" i="21"/>
  <c r="D78" i="37"/>
  <c r="P78" i="37" s="1"/>
  <c r="T82" i="37"/>
  <c r="R78" i="157"/>
  <c r="BN78" i="157" s="1"/>
  <c r="R78" i="155"/>
  <c r="BN78" i="155" s="1"/>
  <c r="Q83" i="72"/>
  <c r="U83" i="21"/>
  <c r="K78" i="157"/>
  <c r="BG77" i="157" s="1"/>
  <c r="K78" i="155"/>
  <c r="BG77" i="155" s="1"/>
  <c r="V82" i="37"/>
  <c r="BK80" i="21"/>
  <c r="BS80" i="21" s="1"/>
  <c r="AM80" i="72"/>
  <c r="AK80" i="21"/>
  <c r="AS80" i="21" s="1"/>
  <c r="AC80" i="72"/>
  <c r="P78" i="157"/>
  <c r="BL78" i="157" s="1"/>
  <c r="P78" i="155"/>
  <c r="BL78" i="155" s="1"/>
  <c r="Y79" i="21"/>
  <c r="U79" i="72"/>
  <c r="BI80" i="21"/>
  <c r="BQ80" i="21" s="1"/>
  <c r="AK80" i="72"/>
  <c r="AV81" i="21"/>
  <c r="BD81" i="21" s="1"/>
  <c r="AF81" i="72"/>
  <c r="Z79" i="21"/>
  <c r="V79" i="72"/>
  <c r="Y78" i="37"/>
  <c r="AG78" i="37" s="1"/>
  <c r="AG78" i="21"/>
  <c r="AW81" i="21"/>
  <c r="BE81" i="21" s="1"/>
  <c r="AG81" i="72"/>
  <c r="AX81" i="21"/>
  <c r="BF81" i="21" s="1"/>
  <c r="AH81" i="72"/>
  <c r="AM80" i="21"/>
  <c r="AU80" i="21" s="1"/>
  <c r="AE80" i="72"/>
  <c r="D79" i="72"/>
  <c r="D79" i="21"/>
  <c r="V83" i="21"/>
  <c r="R83" i="72"/>
  <c r="E79" i="72"/>
  <c r="E79" i="21"/>
  <c r="BN76" i="157"/>
  <c r="X79" i="21"/>
  <c r="T79" i="72"/>
  <c r="Z78" i="37"/>
  <c r="AH78" i="37" s="1"/>
  <c r="AH78" i="21"/>
  <c r="S78" i="21"/>
  <c r="G78" i="37"/>
  <c r="S78" i="37" s="1"/>
  <c r="AL80" i="21"/>
  <c r="AT80" i="21" s="1"/>
  <c r="AD80" i="72"/>
  <c r="AJ80" i="21"/>
  <c r="AR80" i="21" s="1"/>
  <c r="AB80" i="72"/>
  <c r="E78" i="37"/>
  <c r="Q78" i="37" s="1"/>
  <c r="Q78" i="21"/>
  <c r="AH77" i="155"/>
  <c r="AC77" i="155"/>
  <c r="AD77" i="155"/>
  <c r="AB77" i="155"/>
  <c r="AF77" i="155"/>
  <c r="AE77" i="155"/>
  <c r="AG77" i="155"/>
  <c r="X78" i="37"/>
  <c r="AF78" i="37" s="1"/>
  <c r="AF78" i="21"/>
  <c r="BK76" i="155"/>
  <c r="BP76" i="155" s="1"/>
  <c r="BQ76" i="155" s="1"/>
  <c r="G79" i="21"/>
  <c r="G79" i="72"/>
  <c r="F79" i="21"/>
  <c r="F79" i="72"/>
  <c r="Q78" i="155"/>
  <c r="BM78" i="155" s="1"/>
  <c r="Q78" i="157"/>
  <c r="BM78" i="157" s="1"/>
  <c r="W83" i="21"/>
  <c r="S83" i="72"/>
  <c r="W77" i="155"/>
  <c r="AA77" i="155"/>
  <c r="Y77" i="155"/>
  <c r="U77" i="155"/>
  <c r="V77" i="155"/>
  <c r="X77" i="155"/>
  <c r="Z77" i="155"/>
  <c r="R78" i="21"/>
  <c r="F78" i="37"/>
  <c r="R78" i="37" s="1"/>
  <c r="M78" i="157"/>
  <c r="BI78" i="157" s="1"/>
  <c r="M78" i="155"/>
  <c r="BI78" i="155" s="1"/>
  <c r="W82" i="37"/>
  <c r="L78" i="155"/>
  <c r="BH78" i="155" s="1"/>
  <c r="L78" i="157"/>
  <c r="BH78" i="157" s="1"/>
  <c r="AE77" i="157"/>
  <c r="AD77" i="157"/>
  <c r="AC77" i="157"/>
  <c r="AH77" i="157"/>
  <c r="AF77" i="157"/>
  <c r="AG77" i="157"/>
  <c r="AB77" i="157"/>
  <c r="H81" i="21"/>
  <c r="H81" i="37" s="1"/>
  <c r="H81" i="72"/>
  <c r="J81" i="21"/>
  <c r="J81" i="37" s="1"/>
  <c r="J81" i="72"/>
  <c r="BM76" i="157"/>
  <c r="AN76" i="155"/>
  <c r="AA78" i="37"/>
  <c r="AI78" i="37" s="1"/>
  <c r="AI78" i="21"/>
  <c r="BH80" i="21"/>
  <c r="BP80" i="21" s="1"/>
  <c r="AJ80" i="72"/>
  <c r="K81" i="72"/>
  <c r="K81" i="21"/>
  <c r="K81" i="37" s="1"/>
  <c r="V77" i="157"/>
  <c r="W77" i="157"/>
  <c r="Y77" i="157"/>
  <c r="U77" i="157"/>
  <c r="X77" i="157"/>
  <c r="AA77" i="157"/>
  <c r="Z77" i="157"/>
  <c r="AY81" i="21"/>
  <c r="BG81" i="21" s="1"/>
  <c r="AI81" i="72"/>
  <c r="I81" i="21"/>
  <c r="I81" i="37" s="1"/>
  <c r="I81" i="72"/>
  <c r="T83" i="21"/>
  <c r="P83" i="72"/>
  <c r="BG76" i="157"/>
  <c r="N78" i="157"/>
  <c r="BJ78" i="157" s="1"/>
  <c r="N78" i="155"/>
  <c r="BJ78" i="155" s="1"/>
  <c r="BI76" i="157"/>
  <c r="AO76" i="155"/>
  <c r="AA79" i="21"/>
  <c r="W79" i="72"/>
  <c r="U82" i="37"/>
  <c r="BK76" i="157"/>
  <c r="BJ80" i="21"/>
  <c r="BR80" i="21" s="1"/>
  <c r="AL80" i="72"/>
  <c r="O78" i="157"/>
  <c r="O78" i="155"/>
  <c r="BQ75" i="157"/>
  <c r="BN77" i="155" l="1"/>
  <c r="BC75" i="157"/>
  <c r="BB75" i="157"/>
  <c r="E77" i="98"/>
  <c r="BL77" i="157"/>
  <c r="AM77" i="155"/>
  <c r="AY76" i="155" s="1"/>
  <c r="AL77" i="155"/>
  <c r="BL77" i="155"/>
  <c r="AM77" i="157"/>
  <c r="AY76" i="157" s="1"/>
  <c r="AP77" i="155"/>
  <c r="BD76" i="155" s="1"/>
  <c r="BM77" i="155"/>
  <c r="BP76" i="157"/>
  <c r="AL77" i="157"/>
  <c r="AX76" i="157" s="1"/>
  <c r="AN77" i="155"/>
  <c r="BO76" i="157"/>
  <c r="AP77" i="157"/>
  <c r="BD76" i="157" s="1"/>
  <c r="AJ77" i="157"/>
  <c r="AV76" i="157" s="1"/>
  <c r="AO77" i="157"/>
  <c r="AZ76" i="157" s="1"/>
  <c r="AK77" i="155"/>
  <c r="AW76" i="155" s="1"/>
  <c r="BA75" i="157"/>
  <c r="R79" i="21"/>
  <c r="F79" i="37"/>
  <c r="R79" i="37" s="1"/>
  <c r="E80" i="21"/>
  <c r="E80" i="72"/>
  <c r="AX82" i="21"/>
  <c r="BF82" i="21" s="1"/>
  <c r="AH82" i="72"/>
  <c r="Z79" i="37"/>
  <c r="AH79" i="37" s="1"/>
  <c r="AH79" i="21"/>
  <c r="BG78" i="155"/>
  <c r="BO78" i="155" s="1"/>
  <c r="Z78" i="155"/>
  <c r="W78" i="155"/>
  <c r="X78" i="155"/>
  <c r="AA78" i="155"/>
  <c r="U78" i="155"/>
  <c r="V78" i="155"/>
  <c r="Y78" i="155"/>
  <c r="AB78" i="157"/>
  <c r="AH78" i="157"/>
  <c r="AE78" i="157"/>
  <c r="AD78" i="157"/>
  <c r="AC78" i="157"/>
  <c r="AG78" i="157"/>
  <c r="AF78" i="157"/>
  <c r="BK78" i="157"/>
  <c r="BP78" i="157" s="1"/>
  <c r="AK77" i="157"/>
  <c r="AO77" i="155"/>
  <c r="BC76" i="155" s="1"/>
  <c r="W84" i="21"/>
  <c r="S84" i="72"/>
  <c r="G80" i="21"/>
  <c r="G80" i="72"/>
  <c r="V84" i="21"/>
  <c r="R84" i="72"/>
  <c r="BI77" i="155"/>
  <c r="AK81" i="21"/>
  <c r="AS81" i="21" s="1"/>
  <c r="AC81" i="72"/>
  <c r="Y78" i="157"/>
  <c r="V78" i="157"/>
  <c r="Z78" i="157"/>
  <c r="AA78" i="157"/>
  <c r="W78" i="157"/>
  <c r="X78" i="157"/>
  <c r="BG78" i="157"/>
  <c r="BO78" i="157" s="1"/>
  <c r="U78" i="157"/>
  <c r="AC78" i="155"/>
  <c r="AG78" i="155"/>
  <c r="AD78" i="155"/>
  <c r="AE78" i="155"/>
  <c r="AF78" i="155"/>
  <c r="AB78" i="155"/>
  <c r="AH78" i="155"/>
  <c r="BK78" i="155"/>
  <c r="BP78" i="155" s="1"/>
  <c r="W80" i="72"/>
  <c r="AA80" i="21"/>
  <c r="W83" i="37"/>
  <c r="G79" i="37"/>
  <c r="S79" i="37" s="1"/>
  <c r="S79" i="21"/>
  <c r="AJ81" i="21"/>
  <c r="AR81" i="21" s="1"/>
  <c r="AB81" i="72"/>
  <c r="AX76" i="155"/>
  <c r="V83" i="37"/>
  <c r="BI77" i="157"/>
  <c r="BH77" i="155"/>
  <c r="BH77" i="157"/>
  <c r="BK77" i="157"/>
  <c r="BJ77" i="155"/>
  <c r="T80" i="72"/>
  <c r="X80" i="21"/>
  <c r="P79" i="21"/>
  <c r="D79" i="37"/>
  <c r="P79" i="37" s="1"/>
  <c r="AG82" i="72"/>
  <c r="AW82" i="21"/>
  <c r="BE82" i="21" s="1"/>
  <c r="Y80" i="21"/>
  <c r="U80" i="72"/>
  <c r="BK81" i="21"/>
  <c r="BS81" i="21" s="1"/>
  <c r="AM81" i="72"/>
  <c r="U83" i="37"/>
  <c r="AA79" i="37"/>
  <c r="AI79" i="37" s="1"/>
  <c r="AI79" i="21"/>
  <c r="K82" i="72"/>
  <c r="K82" i="21"/>
  <c r="K82" i="37" s="1"/>
  <c r="BC75" i="155"/>
  <c r="BA75" i="155"/>
  <c r="BB75" i="155"/>
  <c r="H82" i="21"/>
  <c r="H82" i="37" s="1"/>
  <c r="H82" i="72"/>
  <c r="AL81" i="21"/>
  <c r="AT81" i="21" s="1"/>
  <c r="AD81" i="72"/>
  <c r="X79" i="37"/>
  <c r="AF79" i="37" s="1"/>
  <c r="AF79" i="21"/>
  <c r="D80" i="72"/>
  <c r="D80" i="21"/>
  <c r="Y79" i="37"/>
  <c r="AG79" i="37" s="1"/>
  <c r="AG79" i="21"/>
  <c r="U84" i="21"/>
  <c r="Q84" i="72"/>
  <c r="T83" i="37"/>
  <c r="AZ75" i="155"/>
  <c r="BJ77" i="157"/>
  <c r="AJ77" i="155"/>
  <c r="BK77" i="155"/>
  <c r="AV82" i="21"/>
  <c r="BD82" i="21" s="1"/>
  <c r="AF82" i="72"/>
  <c r="BN77" i="157"/>
  <c r="BM77" i="157"/>
  <c r="I82" i="21"/>
  <c r="I82" i="37" s="1"/>
  <c r="I82" i="72"/>
  <c r="AM81" i="21"/>
  <c r="AU81" i="21" s="1"/>
  <c r="AE81" i="72"/>
  <c r="AY82" i="21"/>
  <c r="BG82" i="21" s="1"/>
  <c r="AI82" i="72"/>
  <c r="AL81" i="72"/>
  <c r="BJ81" i="21"/>
  <c r="BR81" i="21" s="1"/>
  <c r="T84" i="21"/>
  <c r="P84" i="72"/>
  <c r="AN77" i="157"/>
  <c r="BH81" i="21"/>
  <c r="BP81" i="21" s="1"/>
  <c r="AJ81" i="72"/>
  <c r="J82" i="72"/>
  <c r="J82" i="21"/>
  <c r="J82" i="37" s="1"/>
  <c r="F80" i="21"/>
  <c r="F80" i="72"/>
  <c r="E79" i="37"/>
  <c r="Q79" i="37" s="1"/>
  <c r="Q79" i="21"/>
  <c r="V80" i="72"/>
  <c r="Z80" i="21"/>
  <c r="AK81" i="72"/>
  <c r="BI81" i="21"/>
  <c r="BQ81" i="21" s="1"/>
  <c r="BQ76" i="157" l="1"/>
  <c r="BP77" i="155"/>
  <c r="BQ78" i="157"/>
  <c r="BA76" i="155"/>
  <c r="BB76" i="155"/>
  <c r="AJ78" i="157"/>
  <c r="AV77" i="157" s="1"/>
  <c r="AL78" i="155"/>
  <c r="AX77" i="155" s="1"/>
  <c r="AP78" i="157"/>
  <c r="BD77" i="157" s="1"/>
  <c r="AM78" i="155"/>
  <c r="AY77" i="155" s="1"/>
  <c r="AL78" i="157"/>
  <c r="AX77" i="157" s="1"/>
  <c r="BO77" i="157"/>
  <c r="BO77" i="155"/>
  <c r="AK78" i="157"/>
  <c r="AW77" i="157" s="1"/>
  <c r="AJ78" i="155"/>
  <c r="AV77" i="155" s="1"/>
  <c r="AV83" i="21"/>
  <c r="BD83" i="21" s="1"/>
  <c r="AF83" i="72"/>
  <c r="V81" i="72"/>
  <c r="Z81" i="21"/>
  <c r="J83" i="21"/>
  <c r="J83" i="37" s="1"/>
  <c r="J83" i="72"/>
  <c r="BJ82" i="21"/>
  <c r="BR82" i="21" s="1"/>
  <c r="AL82" i="72"/>
  <c r="BH82" i="21"/>
  <c r="BP82" i="21" s="1"/>
  <c r="AJ82" i="72"/>
  <c r="AY83" i="21"/>
  <c r="BG83" i="21" s="1"/>
  <c r="AI83" i="72"/>
  <c r="Q85" i="72"/>
  <c r="U85" i="21"/>
  <c r="AL82" i="21"/>
  <c r="AT82" i="21" s="1"/>
  <c r="AD82" i="72"/>
  <c r="AW83" i="21"/>
  <c r="BE83" i="21" s="1"/>
  <c r="AG83" i="72"/>
  <c r="AA80" i="37"/>
  <c r="AI80" i="37" s="1"/>
  <c r="AI80" i="21"/>
  <c r="AO78" i="157"/>
  <c r="AZ77" i="157" s="1"/>
  <c r="G81" i="21"/>
  <c r="G81" i="72"/>
  <c r="AK78" i="155"/>
  <c r="AW77" i="155" s="1"/>
  <c r="I83" i="72"/>
  <c r="I83" i="21"/>
  <c r="I83" i="37" s="1"/>
  <c r="AV76" i="155"/>
  <c r="U84" i="37"/>
  <c r="W81" i="72"/>
  <c r="AA81" i="21"/>
  <c r="S80" i="21"/>
  <c r="G80" i="37"/>
  <c r="S80" i="37" s="1"/>
  <c r="AX83" i="21"/>
  <c r="BF83" i="21" s="1"/>
  <c r="AH83" i="72"/>
  <c r="BA76" i="157"/>
  <c r="BC76" i="157"/>
  <c r="BB76" i="157"/>
  <c r="AN78" i="157"/>
  <c r="W85" i="21"/>
  <c r="S85" i="72"/>
  <c r="AP78" i="155"/>
  <c r="BD77" i="155" s="1"/>
  <c r="X80" i="37"/>
  <c r="AF80" i="37" s="1"/>
  <c r="AF80" i="21"/>
  <c r="AK82" i="21"/>
  <c r="AS82" i="21" s="1"/>
  <c r="AC82" i="72"/>
  <c r="W84" i="37"/>
  <c r="E81" i="21"/>
  <c r="E81" i="72"/>
  <c r="F81" i="21"/>
  <c r="F81" i="72"/>
  <c r="H83" i="21"/>
  <c r="H83" i="37" s="1"/>
  <c r="H83" i="72"/>
  <c r="P80" i="21"/>
  <c r="D80" i="37"/>
  <c r="P80" i="37" s="1"/>
  <c r="T81" i="72"/>
  <c r="X81" i="21"/>
  <c r="Q80" i="21"/>
  <c r="E80" i="37"/>
  <c r="Q80" i="37" s="1"/>
  <c r="BK82" i="21"/>
  <c r="BS82" i="21" s="1"/>
  <c r="AM82" i="72"/>
  <c r="R80" i="21"/>
  <c r="F80" i="37"/>
  <c r="R80" i="37" s="1"/>
  <c r="T85" i="21"/>
  <c r="P85" i="72"/>
  <c r="AE82" i="72"/>
  <c r="AM82" i="21"/>
  <c r="AU82" i="21" s="1"/>
  <c r="K83" i="21"/>
  <c r="K83" i="37" s="1"/>
  <c r="K83" i="72"/>
  <c r="AK82" i="72"/>
  <c r="BI82" i="21"/>
  <c r="BQ82" i="21" s="1"/>
  <c r="T84" i="37"/>
  <c r="AZ76" i="155"/>
  <c r="D81" i="21"/>
  <c r="D81" i="72"/>
  <c r="Y81" i="21"/>
  <c r="U81" i="72"/>
  <c r="AM78" i="157"/>
  <c r="AY77" i="157" s="1"/>
  <c r="AW76" i="157"/>
  <c r="AO78" i="155"/>
  <c r="AZ77" i="155" s="1"/>
  <c r="Y80" i="37"/>
  <c r="AG80" i="37" s="1"/>
  <c r="AG80" i="21"/>
  <c r="V85" i="21"/>
  <c r="R85" i="72"/>
  <c r="BQ78" i="155"/>
  <c r="Z80" i="37"/>
  <c r="AH80" i="37" s="1"/>
  <c r="AH80" i="21"/>
  <c r="BP77" i="157"/>
  <c r="AJ82" i="21"/>
  <c r="AR82" i="21" s="1"/>
  <c r="AB82" i="72"/>
  <c r="V84" i="37"/>
  <c r="AN78" i="155"/>
  <c r="BQ77" i="155" l="1"/>
  <c r="E78" i="98" s="1"/>
  <c r="E79" i="98" s="1"/>
  <c r="BQ77" i="157"/>
  <c r="BA77" i="157"/>
  <c r="BB77" i="157"/>
  <c r="Q81" i="21"/>
  <c r="E81" i="37"/>
  <c r="Q81" i="37" s="1"/>
  <c r="W86" i="21"/>
  <c r="S86" i="72"/>
  <c r="S81" i="21"/>
  <c r="G81" i="37"/>
  <c r="S81" i="37" s="1"/>
  <c r="U85" i="37"/>
  <c r="P81" i="21"/>
  <c r="D81" i="37"/>
  <c r="P81" i="37" s="1"/>
  <c r="H84" i="21"/>
  <c r="H84" i="37" s="1"/>
  <c r="H84" i="72"/>
  <c r="Y81" i="37"/>
  <c r="AG81" i="37" s="1"/>
  <c r="AG81" i="21"/>
  <c r="W85" i="37"/>
  <c r="BC77" i="157"/>
  <c r="U86" i="21"/>
  <c r="Q86" i="72"/>
  <c r="J84" i="21"/>
  <c r="J84" i="37" s="1"/>
  <c r="J84" i="72"/>
  <c r="V85" i="37"/>
  <c r="Y82" i="21"/>
  <c r="U82" i="72"/>
  <c r="BI83" i="21"/>
  <c r="BQ83" i="21" s="1"/>
  <c r="AK83" i="72"/>
  <c r="X82" i="21"/>
  <c r="T82" i="72"/>
  <c r="AJ83" i="21"/>
  <c r="AR83" i="21" s="1"/>
  <c r="AB83" i="72"/>
  <c r="D82" i="21"/>
  <c r="D82" i="72"/>
  <c r="K84" i="21"/>
  <c r="K84" i="37" s="1"/>
  <c r="K84" i="72"/>
  <c r="BK83" i="21"/>
  <c r="BS83" i="21" s="1"/>
  <c r="AM83" i="72"/>
  <c r="AX84" i="21"/>
  <c r="BF84" i="21" s="1"/>
  <c r="AH84" i="72"/>
  <c r="AY84" i="21"/>
  <c r="BG84" i="21" s="1"/>
  <c r="AI84" i="72"/>
  <c r="AK83" i="21"/>
  <c r="AS83" i="21" s="1"/>
  <c r="AC83" i="72"/>
  <c r="Z81" i="37"/>
  <c r="AH81" i="37" s="1"/>
  <c r="AH81" i="21"/>
  <c r="AW84" i="21"/>
  <c r="BE84" i="21" s="1"/>
  <c r="AG84" i="72"/>
  <c r="BH83" i="21"/>
  <c r="BP83" i="21" s="1"/>
  <c r="AJ83" i="72"/>
  <c r="V82" i="72"/>
  <c r="Z82" i="21"/>
  <c r="AE83" i="72"/>
  <c r="AM83" i="21"/>
  <c r="AU83" i="21" s="1"/>
  <c r="F82" i="21"/>
  <c r="F82" i="72"/>
  <c r="I84" i="72"/>
  <c r="I84" i="21"/>
  <c r="I84" i="37" s="1"/>
  <c r="AF84" i="72"/>
  <c r="AV84" i="21"/>
  <c r="BD84" i="21" s="1"/>
  <c r="T86" i="21"/>
  <c r="P86" i="72"/>
  <c r="F81" i="37"/>
  <c r="R81" i="37" s="1"/>
  <c r="R81" i="21"/>
  <c r="AA81" i="37"/>
  <c r="AI81" i="37" s="1"/>
  <c r="AI81" i="21"/>
  <c r="AL83" i="21"/>
  <c r="AT83" i="21" s="1"/>
  <c r="AD83" i="72"/>
  <c r="BA77" i="155"/>
  <c r="BB77" i="155"/>
  <c r="BC77" i="155"/>
  <c r="V86" i="21"/>
  <c r="R86" i="72"/>
  <c r="T85" i="37"/>
  <c r="X81" i="37"/>
  <c r="AF81" i="37" s="1"/>
  <c r="AF81" i="21"/>
  <c r="E82" i="21"/>
  <c r="E82" i="72"/>
  <c r="AA82" i="21"/>
  <c r="W82" i="72"/>
  <c r="G82" i="21"/>
  <c r="G82" i="72"/>
  <c r="AL83" i="72"/>
  <c r="BJ83" i="21"/>
  <c r="BR83" i="21" s="1"/>
  <c r="R82" i="21" l="1"/>
  <c r="F82" i="37"/>
  <c r="R82" i="37" s="1"/>
  <c r="AJ84" i="21"/>
  <c r="AR84" i="21" s="1"/>
  <c r="AB84" i="72"/>
  <c r="P87" i="72"/>
  <c r="T87" i="21"/>
  <c r="BJ84" i="21"/>
  <c r="BR84" i="21" s="1"/>
  <c r="AL84" i="72"/>
  <c r="T86" i="37"/>
  <c r="G83" i="72"/>
  <c r="G83" i="21"/>
  <c r="AD84" i="72"/>
  <c r="AL84" i="21"/>
  <c r="AT84" i="21" s="1"/>
  <c r="AM84" i="21"/>
  <c r="AU84" i="21" s="1"/>
  <c r="AE84" i="72"/>
  <c r="BK84" i="21"/>
  <c r="BS84" i="21" s="1"/>
  <c r="AM84" i="72"/>
  <c r="T83" i="72"/>
  <c r="X83" i="21"/>
  <c r="J85" i="21"/>
  <c r="J85" i="37" s="1"/>
  <c r="J85" i="72"/>
  <c r="V86" i="37"/>
  <c r="Z82" i="37"/>
  <c r="AH82" i="37" s="1"/>
  <c r="AH82" i="21"/>
  <c r="AC84" i="72"/>
  <c r="AK84" i="21"/>
  <c r="AS84" i="21" s="1"/>
  <c r="X82" i="37"/>
  <c r="AF82" i="37" s="1"/>
  <c r="AF82" i="21"/>
  <c r="S82" i="21"/>
  <c r="G82" i="37"/>
  <c r="S82" i="37" s="1"/>
  <c r="W83" i="72"/>
  <c r="AA83" i="21"/>
  <c r="V87" i="21"/>
  <c r="R87" i="72"/>
  <c r="AV85" i="21"/>
  <c r="BD85" i="21" s="1"/>
  <c r="AF85" i="72"/>
  <c r="V83" i="72"/>
  <c r="Z83" i="21"/>
  <c r="K85" i="72"/>
  <c r="K85" i="21"/>
  <c r="K85" i="37" s="1"/>
  <c r="BI84" i="21"/>
  <c r="BQ84" i="21" s="1"/>
  <c r="AK84" i="72"/>
  <c r="Q87" i="72"/>
  <c r="U87" i="21"/>
  <c r="H85" i="72"/>
  <c r="H85" i="21"/>
  <c r="H85" i="37" s="1"/>
  <c r="W87" i="21"/>
  <c r="S87" i="72"/>
  <c r="W86" i="37"/>
  <c r="BH84" i="21"/>
  <c r="BP84" i="21" s="1"/>
  <c r="AJ84" i="72"/>
  <c r="AY85" i="21"/>
  <c r="BG85" i="21" s="1"/>
  <c r="AI85" i="72"/>
  <c r="U86" i="37"/>
  <c r="E83" i="21"/>
  <c r="E83" i="72"/>
  <c r="I85" i="72"/>
  <c r="I85" i="21"/>
  <c r="I85" i="37" s="1"/>
  <c r="D83" i="21"/>
  <c r="D83" i="72"/>
  <c r="Y83" i="21"/>
  <c r="U83" i="72"/>
  <c r="AA82" i="37"/>
  <c r="AI82" i="37" s="1"/>
  <c r="AI82" i="21"/>
  <c r="E82" i="37"/>
  <c r="Q82" i="37" s="1"/>
  <c r="Q82" i="21"/>
  <c r="F83" i="21"/>
  <c r="F83" i="72"/>
  <c r="AW85" i="21"/>
  <c r="BE85" i="21" s="1"/>
  <c r="AG85" i="72"/>
  <c r="AX85" i="21"/>
  <c r="BF85" i="21" s="1"/>
  <c r="AH85" i="72"/>
  <c r="P82" i="21"/>
  <c r="D82" i="37"/>
  <c r="P82" i="37" s="1"/>
  <c r="Y82" i="37"/>
  <c r="AG82" i="37" s="1"/>
  <c r="AG82" i="21"/>
  <c r="E84" i="21" l="1"/>
  <c r="E84" i="72"/>
  <c r="BI85" i="21"/>
  <c r="BQ85" i="21" s="1"/>
  <c r="AK85" i="72"/>
  <c r="V88" i="21"/>
  <c r="R88" i="72"/>
  <c r="AL85" i="21"/>
  <c r="AT85" i="21" s="1"/>
  <c r="AD85" i="72"/>
  <c r="E83" i="37"/>
  <c r="Q83" i="37" s="1"/>
  <c r="Q83" i="21"/>
  <c r="V87" i="37"/>
  <c r="X83" i="37"/>
  <c r="AF83" i="37" s="1"/>
  <c r="AF83" i="21"/>
  <c r="S83" i="21"/>
  <c r="G83" i="37"/>
  <c r="S83" i="37" s="1"/>
  <c r="T87" i="37"/>
  <c r="AG86" i="72"/>
  <c r="AW86" i="21"/>
  <c r="BE86" i="21" s="1"/>
  <c r="Y84" i="21"/>
  <c r="U84" i="72"/>
  <c r="W88" i="21"/>
  <c r="S88" i="72"/>
  <c r="AA83" i="37"/>
  <c r="AI83" i="37" s="1"/>
  <c r="AI83" i="21"/>
  <c r="AK85" i="21"/>
  <c r="AS85" i="21" s="1"/>
  <c r="AC85" i="72"/>
  <c r="X84" i="21"/>
  <c r="T84" i="72"/>
  <c r="G84" i="21"/>
  <c r="G84" i="72"/>
  <c r="T88" i="21"/>
  <c r="P88" i="72"/>
  <c r="W87" i="37"/>
  <c r="K86" i="21"/>
  <c r="K86" i="37" s="1"/>
  <c r="K86" i="72"/>
  <c r="AA84" i="21"/>
  <c r="W84" i="72"/>
  <c r="BK85" i="21"/>
  <c r="BS85" i="21" s="1"/>
  <c r="AM85" i="72"/>
  <c r="Y83" i="37"/>
  <c r="AG83" i="37" s="1"/>
  <c r="AG83" i="21"/>
  <c r="F84" i="21"/>
  <c r="F84" i="72"/>
  <c r="D84" i="21"/>
  <c r="D84" i="72"/>
  <c r="AY86" i="21"/>
  <c r="BG86" i="21" s="1"/>
  <c r="AI86" i="72"/>
  <c r="Z83" i="37"/>
  <c r="AH83" i="37" s="1"/>
  <c r="AH83" i="21"/>
  <c r="AJ85" i="21"/>
  <c r="AR85" i="21" s="1"/>
  <c r="AB85" i="72"/>
  <c r="F83" i="37"/>
  <c r="R83" i="37" s="1"/>
  <c r="R83" i="21"/>
  <c r="P83" i="21"/>
  <c r="D83" i="37"/>
  <c r="P83" i="37" s="1"/>
  <c r="H86" i="21"/>
  <c r="H86" i="37" s="1"/>
  <c r="H86" i="72"/>
  <c r="V84" i="72"/>
  <c r="Z84" i="21"/>
  <c r="AM85" i="21"/>
  <c r="AU85" i="21" s="1"/>
  <c r="AE85" i="72"/>
  <c r="AH86" i="72"/>
  <c r="AX86" i="21"/>
  <c r="BF86" i="21" s="1"/>
  <c r="BH85" i="21"/>
  <c r="BP85" i="21" s="1"/>
  <c r="AJ85" i="72"/>
  <c r="U87" i="37"/>
  <c r="AV86" i="21"/>
  <c r="BD86" i="21" s="1"/>
  <c r="AF86" i="72"/>
  <c r="I86" i="21"/>
  <c r="I86" i="37" s="1"/>
  <c r="I86" i="72"/>
  <c r="Q88" i="72"/>
  <c r="U88" i="21"/>
  <c r="J86" i="21"/>
  <c r="J86" i="37" s="1"/>
  <c r="J86" i="72"/>
  <c r="BJ85" i="21"/>
  <c r="BR85" i="21" s="1"/>
  <c r="AL85" i="72"/>
  <c r="AB86" i="72" l="1"/>
  <c r="AJ86" i="21"/>
  <c r="AR86" i="21" s="1"/>
  <c r="AA84" i="37"/>
  <c r="AI84" i="37" s="1"/>
  <c r="AI84" i="21"/>
  <c r="W88" i="37"/>
  <c r="AL86" i="21"/>
  <c r="AT86" i="21" s="1"/>
  <c r="AD86" i="72"/>
  <c r="Q89" i="72"/>
  <c r="U89" i="21"/>
  <c r="BH86" i="21"/>
  <c r="BP86" i="21" s="1"/>
  <c r="AJ86" i="72"/>
  <c r="H87" i="72"/>
  <c r="H87" i="21"/>
  <c r="H87" i="37" s="1"/>
  <c r="R84" i="21"/>
  <c r="F84" i="37"/>
  <c r="R84" i="37" s="1"/>
  <c r="K87" i="21"/>
  <c r="K87" i="37" s="1"/>
  <c r="K87" i="72"/>
  <c r="T85" i="72"/>
  <c r="X85" i="21"/>
  <c r="U85" i="72"/>
  <c r="Y85" i="21"/>
  <c r="Z84" i="37"/>
  <c r="AH84" i="37" s="1"/>
  <c r="AH84" i="21"/>
  <c r="S84" i="21"/>
  <c r="G84" i="37"/>
  <c r="S84" i="37" s="1"/>
  <c r="I87" i="72"/>
  <c r="I87" i="21"/>
  <c r="I87" i="37" s="1"/>
  <c r="X84" i="37"/>
  <c r="AF84" i="37" s="1"/>
  <c r="AF84" i="21"/>
  <c r="Y84" i="37"/>
  <c r="AG84" i="37" s="1"/>
  <c r="AG84" i="21"/>
  <c r="V89" i="21"/>
  <c r="R89" i="72"/>
  <c r="AK86" i="21"/>
  <c r="AS86" i="21" s="1"/>
  <c r="AC86" i="72"/>
  <c r="V88" i="37"/>
  <c r="U88" i="37"/>
  <c r="Z85" i="21"/>
  <c r="V85" i="72"/>
  <c r="F85" i="72"/>
  <c r="F85" i="21"/>
  <c r="BJ86" i="21"/>
  <c r="BR86" i="21" s="1"/>
  <c r="AL86" i="72"/>
  <c r="AX87" i="21"/>
  <c r="BF87" i="21" s="1"/>
  <c r="AH87" i="72"/>
  <c r="AY87" i="21"/>
  <c r="BG87" i="21" s="1"/>
  <c r="AI87" i="72"/>
  <c r="AW87" i="21"/>
  <c r="BE87" i="21" s="1"/>
  <c r="AG87" i="72"/>
  <c r="BI86" i="21"/>
  <c r="BQ86" i="21" s="1"/>
  <c r="AK86" i="72"/>
  <c r="AV87" i="21"/>
  <c r="BD87" i="21" s="1"/>
  <c r="AF87" i="72"/>
  <c r="AM86" i="21"/>
  <c r="AU86" i="21" s="1"/>
  <c r="AE86" i="72"/>
  <c r="AM86" i="72"/>
  <c r="BK86" i="21"/>
  <c r="BS86" i="21" s="1"/>
  <c r="P89" i="72"/>
  <c r="T89" i="21"/>
  <c r="J87" i="72"/>
  <c r="J87" i="21"/>
  <c r="J87" i="37" s="1"/>
  <c r="D85" i="21"/>
  <c r="D85" i="72"/>
  <c r="T88" i="37"/>
  <c r="E85" i="21"/>
  <c r="E85" i="72"/>
  <c r="P84" i="21"/>
  <c r="D84" i="37"/>
  <c r="P84" i="37" s="1"/>
  <c r="AA85" i="21"/>
  <c r="W85" i="72"/>
  <c r="G85" i="72"/>
  <c r="G85" i="21"/>
  <c r="W89" i="21"/>
  <c r="S89" i="72"/>
  <c r="Q84" i="21"/>
  <c r="E84" i="37"/>
  <c r="Q84" i="37" s="1"/>
  <c r="G85" i="37" l="1"/>
  <c r="S85" i="37" s="1"/>
  <c r="S85" i="21"/>
  <c r="T90" i="21"/>
  <c r="P90" i="72"/>
  <c r="AL87" i="21"/>
  <c r="AT87" i="21" s="1"/>
  <c r="AD87" i="72"/>
  <c r="AA86" i="21"/>
  <c r="W86" i="72"/>
  <c r="BK87" i="21"/>
  <c r="BS87" i="21" s="1"/>
  <c r="AM87" i="72"/>
  <c r="AW88" i="21"/>
  <c r="BE88" i="21" s="1"/>
  <c r="AG88" i="72"/>
  <c r="Y85" i="37"/>
  <c r="AG85" i="37" s="1"/>
  <c r="AG85" i="21"/>
  <c r="BJ87" i="21"/>
  <c r="BR87" i="21" s="1"/>
  <c r="AL87" i="72"/>
  <c r="AA85" i="37"/>
  <c r="AI85" i="37" s="1"/>
  <c r="AI85" i="21"/>
  <c r="D86" i="21"/>
  <c r="D86" i="72"/>
  <c r="AM87" i="21"/>
  <c r="AU87" i="21" s="1"/>
  <c r="AE87" i="72"/>
  <c r="F85" i="37"/>
  <c r="R85" i="37" s="1"/>
  <c r="R85" i="21"/>
  <c r="AK87" i="21"/>
  <c r="AS87" i="21" s="1"/>
  <c r="AC87" i="72"/>
  <c r="Y86" i="21"/>
  <c r="U86" i="72"/>
  <c r="H88" i="72"/>
  <c r="H88" i="21"/>
  <c r="H88" i="37" s="1"/>
  <c r="D85" i="37"/>
  <c r="P85" i="37" s="1"/>
  <c r="P85" i="21"/>
  <c r="F86" i="21"/>
  <c r="F86" i="72"/>
  <c r="I88" i="21"/>
  <c r="I88" i="37" s="1"/>
  <c r="I88" i="72"/>
  <c r="X85" i="37"/>
  <c r="AF85" i="37" s="1"/>
  <c r="AF85" i="21"/>
  <c r="AJ87" i="72"/>
  <c r="BH87" i="21"/>
  <c r="BP87" i="21" s="1"/>
  <c r="G86" i="21"/>
  <c r="G86" i="72"/>
  <c r="AF88" i="72"/>
  <c r="AV88" i="21"/>
  <c r="BD88" i="21" s="1"/>
  <c r="AY88" i="21"/>
  <c r="BG88" i="21" s="1"/>
  <c r="AI88" i="72"/>
  <c r="Z86" i="21"/>
  <c r="V86" i="72"/>
  <c r="V90" i="21"/>
  <c r="R90" i="72"/>
  <c r="X86" i="21"/>
  <c r="T86" i="72"/>
  <c r="S90" i="72"/>
  <c r="W90" i="21"/>
  <c r="E86" i="21"/>
  <c r="E86" i="72"/>
  <c r="J88" i="21"/>
  <c r="J88" i="37" s="1"/>
  <c r="J88" i="72"/>
  <c r="Z85" i="37"/>
  <c r="AH85" i="37" s="1"/>
  <c r="AH85" i="21"/>
  <c r="V89" i="37"/>
  <c r="K88" i="21"/>
  <c r="K88" i="37" s="1"/>
  <c r="K88" i="72"/>
  <c r="U89" i="37"/>
  <c r="W89" i="37"/>
  <c r="Q85" i="21"/>
  <c r="E85" i="37"/>
  <c r="Q85" i="37" s="1"/>
  <c r="T89" i="37"/>
  <c r="BI87" i="21"/>
  <c r="BQ87" i="21" s="1"/>
  <c r="AK87" i="72"/>
  <c r="AX88" i="21"/>
  <c r="BF88" i="21" s="1"/>
  <c r="AH88" i="72"/>
  <c r="Q90" i="72"/>
  <c r="U90" i="21"/>
  <c r="AB87" i="72"/>
  <c r="AJ87" i="21"/>
  <c r="AR87" i="21" s="1"/>
  <c r="H89" i="21" l="1"/>
  <c r="H89" i="37" s="1"/>
  <c r="H89" i="72"/>
  <c r="X86" i="37"/>
  <c r="AF86" i="37" s="1"/>
  <c r="AF86" i="21"/>
  <c r="AF89" i="72"/>
  <c r="AV89" i="21"/>
  <c r="BD89" i="21" s="1"/>
  <c r="U87" i="72"/>
  <c r="Y87" i="21"/>
  <c r="D87" i="72"/>
  <c r="D87" i="21"/>
  <c r="AL88" i="21"/>
  <c r="AT88" i="21" s="1"/>
  <c r="AD88" i="72"/>
  <c r="W91" i="21"/>
  <c r="S91" i="72"/>
  <c r="AH89" i="72"/>
  <c r="AX89" i="21"/>
  <c r="BF89" i="21" s="1"/>
  <c r="X87" i="21"/>
  <c r="T87" i="72"/>
  <c r="I89" i="21"/>
  <c r="I89" i="37" s="1"/>
  <c r="I89" i="72"/>
  <c r="AA86" i="37"/>
  <c r="AI86" i="37" s="1"/>
  <c r="AI86" i="21"/>
  <c r="AK88" i="72"/>
  <c r="BI88" i="21"/>
  <c r="BQ88" i="21" s="1"/>
  <c r="J89" i="21"/>
  <c r="J89" i="37" s="1"/>
  <c r="J89" i="72"/>
  <c r="V91" i="21"/>
  <c r="R91" i="72"/>
  <c r="G87" i="72"/>
  <c r="G87" i="21"/>
  <c r="F87" i="21"/>
  <c r="F87" i="72"/>
  <c r="Y86" i="37"/>
  <c r="AG86" i="37" s="1"/>
  <c r="AG86" i="21"/>
  <c r="P86" i="21"/>
  <c r="D86" i="37"/>
  <c r="P86" i="37" s="1"/>
  <c r="Q91" i="72"/>
  <c r="U91" i="21"/>
  <c r="V90" i="37"/>
  <c r="S86" i="21"/>
  <c r="G86" i="37"/>
  <c r="S86" i="37" s="1"/>
  <c r="F86" i="37"/>
  <c r="R86" i="37" s="1"/>
  <c r="R86" i="21"/>
  <c r="AK88" i="21"/>
  <c r="AS88" i="21" s="1"/>
  <c r="AC88" i="72"/>
  <c r="AW89" i="21"/>
  <c r="BE89" i="21" s="1"/>
  <c r="AG89" i="72"/>
  <c r="K89" i="21"/>
  <c r="K89" i="37" s="1"/>
  <c r="K89" i="72"/>
  <c r="E87" i="21"/>
  <c r="E87" i="72"/>
  <c r="Z87" i="21"/>
  <c r="V87" i="72"/>
  <c r="T91" i="21"/>
  <c r="P91" i="72"/>
  <c r="Z86" i="37"/>
  <c r="AH86" i="37" s="1"/>
  <c r="AH86" i="21"/>
  <c r="BJ88" i="21"/>
  <c r="BR88" i="21" s="1"/>
  <c r="AL88" i="72"/>
  <c r="BK88" i="21"/>
  <c r="BS88" i="21" s="1"/>
  <c r="AM88" i="72"/>
  <c r="T90" i="37"/>
  <c r="AB88" i="72"/>
  <c r="AJ88" i="21"/>
  <c r="AR88" i="21" s="1"/>
  <c r="E86" i="37"/>
  <c r="Q86" i="37" s="1"/>
  <c r="Q86" i="21"/>
  <c r="BH88" i="21"/>
  <c r="BP88" i="21" s="1"/>
  <c r="AJ88" i="72"/>
  <c r="U90" i="37"/>
  <c r="W90" i="37"/>
  <c r="AY89" i="21"/>
  <c r="BG89" i="21" s="1"/>
  <c r="AI89" i="72"/>
  <c r="AM88" i="21"/>
  <c r="AU88" i="21" s="1"/>
  <c r="AE88" i="72"/>
  <c r="AA87" i="21"/>
  <c r="W87" i="72"/>
  <c r="BJ89" i="21" l="1"/>
  <c r="BR89" i="21" s="1"/>
  <c r="AL89" i="72"/>
  <c r="E88" i="21"/>
  <c r="E88" i="72"/>
  <c r="U92" i="21"/>
  <c r="Q92" i="72"/>
  <c r="G88" i="21"/>
  <c r="G88" i="72"/>
  <c r="W92" i="21"/>
  <c r="S92" i="72"/>
  <c r="U91" i="37"/>
  <c r="BI89" i="21"/>
  <c r="BQ89" i="21" s="1"/>
  <c r="AK89" i="72"/>
  <c r="AX90" i="21"/>
  <c r="BF90" i="21" s="1"/>
  <c r="AH90" i="72"/>
  <c r="Q87" i="21"/>
  <c r="E87" i="37"/>
  <c r="Q87" i="37" s="1"/>
  <c r="V92" i="21"/>
  <c r="R92" i="72"/>
  <c r="W91" i="37"/>
  <c r="AV90" i="21"/>
  <c r="BD90" i="21" s="1"/>
  <c r="AF90" i="72"/>
  <c r="S87" i="21"/>
  <c r="G87" i="37"/>
  <c r="S87" i="37" s="1"/>
  <c r="Y88" i="21"/>
  <c r="U88" i="72"/>
  <c r="K90" i="21"/>
  <c r="K90" i="37" s="1"/>
  <c r="K90" i="72"/>
  <c r="V91" i="37"/>
  <c r="I90" i="21"/>
  <c r="I90" i="37" s="1"/>
  <c r="I90" i="72"/>
  <c r="AL89" i="21"/>
  <c r="AT89" i="21" s="1"/>
  <c r="AD89" i="72"/>
  <c r="BK89" i="21"/>
  <c r="BS89" i="21" s="1"/>
  <c r="AM89" i="72"/>
  <c r="V88" i="72"/>
  <c r="Z88" i="21"/>
  <c r="AK89" i="21"/>
  <c r="AS89" i="21" s="1"/>
  <c r="AC89" i="72"/>
  <c r="J90" i="21"/>
  <c r="J90" i="37" s="1"/>
  <c r="J90" i="72"/>
  <c r="R87" i="21"/>
  <c r="F87" i="37"/>
  <c r="R87" i="37" s="1"/>
  <c r="AY90" i="21"/>
  <c r="BG90" i="21" s="1"/>
  <c r="AI90" i="72"/>
  <c r="Z87" i="37"/>
  <c r="AH87" i="37" s="1"/>
  <c r="AH87" i="21"/>
  <c r="W88" i="72"/>
  <c r="AA88" i="21"/>
  <c r="AJ89" i="21"/>
  <c r="AR89" i="21" s="1"/>
  <c r="AB89" i="72"/>
  <c r="AA87" i="37"/>
  <c r="AI87" i="37" s="1"/>
  <c r="AI87" i="21"/>
  <c r="P92" i="72"/>
  <c r="T92" i="21"/>
  <c r="AW90" i="21"/>
  <c r="BE90" i="21" s="1"/>
  <c r="AG90" i="72"/>
  <c r="T88" i="72"/>
  <c r="X88" i="21"/>
  <c r="P87" i="21"/>
  <c r="D87" i="37"/>
  <c r="P87" i="37" s="1"/>
  <c r="BH89" i="21"/>
  <c r="BP89" i="21" s="1"/>
  <c r="AJ89" i="72"/>
  <c r="T91" i="37"/>
  <c r="F88" i="21"/>
  <c r="F88" i="72"/>
  <c r="X87" i="37"/>
  <c r="AF87" i="37" s="1"/>
  <c r="AF87" i="21"/>
  <c r="D88" i="72"/>
  <c r="D88" i="21"/>
  <c r="H90" i="21"/>
  <c r="H90" i="37" s="1"/>
  <c r="H90" i="72"/>
  <c r="AM89" i="21"/>
  <c r="AU89" i="21" s="1"/>
  <c r="AE89" i="72"/>
  <c r="Y87" i="37"/>
  <c r="AG87" i="37" s="1"/>
  <c r="AG87" i="21"/>
  <c r="R88" i="21" l="1"/>
  <c r="F88" i="37"/>
  <c r="R88" i="37" s="1"/>
  <c r="X89" i="21"/>
  <c r="T89" i="72"/>
  <c r="H91" i="21"/>
  <c r="H91" i="37" s="1"/>
  <c r="H91" i="72"/>
  <c r="V89" i="72"/>
  <c r="Z89" i="21"/>
  <c r="AV91" i="21"/>
  <c r="BD91" i="21" s="1"/>
  <c r="AF91" i="72"/>
  <c r="AX91" i="21"/>
  <c r="BF91" i="21" s="1"/>
  <c r="AH91" i="72"/>
  <c r="G89" i="21"/>
  <c r="G89" i="72"/>
  <c r="BI90" i="21"/>
  <c r="BQ90" i="21" s="1"/>
  <c r="AK90" i="72"/>
  <c r="U93" i="21"/>
  <c r="Q93" i="72"/>
  <c r="S88" i="21"/>
  <c r="G88" i="37"/>
  <c r="S88" i="37" s="1"/>
  <c r="D89" i="21"/>
  <c r="D89" i="72"/>
  <c r="AA88" i="37"/>
  <c r="AI88" i="37" s="1"/>
  <c r="AI88" i="21"/>
  <c r="J91" i="72"/>
  <c r="J91" i="21"/>
  <c r="J91" i="37" s="1"/>
  <c r="AL90" i="21"/>
  <c r="AT90" i="21" s="1"/>
  <c r="AD90" i="72"/>
  <c r="U92" i="37"/>
  <c r="AM90" i="72"/>
  <c r="BK90" i="21"/>
  <c r="BS90" i="21" s="1"/>
  <c r="K91" i="72"/>
  <c r="K91" i="21"/>
  <c r="K91" i="37" s="1"/>
  <c r="T92" i="37"/>
  <c r="T93" i="21"/>
  <c r="P93" i="72"/>
  <c r="AA89" i="21"/>
  <c r="W89" i="72"/>
  <c r="Y89" i="21"/>
  <c r="U89" i="72"/>
  <c r="V93" i="21"/>
  <c r="R93" i="72"/>
  <c r="E89" i="72"/>
  <c r="E89" i="21"/>
  <c r="AG91" i="72"/>
  <c r="AW91" i="21"/>
  <c r="BE91" i="21" s="1"/>
  <c r="AK90" i="21"/>
  <c r="AS90" i="21" s="1"/>
  <c r="AC90" i="72"/>
  <c r="I91" i="21"/>
  <c r="I91" i="37" s="1"/>
  <c r="I91" i="72"/>
  <c r="Y88" i="37"/>
  <c r="AG88" i="37" s="1"/>
  <c r="AG88" i="21"/>
  <c r="V92" i="37"/>
  <c r="Q88" i="21"/>
  <c r="E88" i="37"/>
  <c r="Q88" i="37" s="1"/>
  <c r="AJ90" i="21"/>
  <c r="AR90" i="21" s="1"/>
  <c r="AB90" i="72"/>
  <c r="P88" i="21"/>
  <c r="D88" i="37"/>
  <c r="P88" i="37" s="1"/>
  <c r="AJ90" i="72"/>
  <c r="BH90" i="21"/>
  <c r="BP90" i="21" s="1"/>
  <c r="AM90" i="21"/>
  <c r="AU90" i="21" s="1"/>
  <c r="AE90" i="72"/>
  <c r="F89" i="21"/>
  <c r="F89" i="72"/>
  <c r="X88" i="37"/>
  <c r="AF88" i="37" s="1"/>
  <c r="AF88" i="21"/>
  <c r="W93" i="21"/>
  <c r="S93" i="72"/>
  <c r="BJ90" i="21"/>
  <c r="BR90" i="21" s="1"/>
  <c r="AL90" i="72"/>
  <c r="AY91" i="21"/>
  <c r="BG91" i="21" s="1"/>
  <c r="AI91" i="72"/>
  <c r="Z88" i="37"/>
  <c r="AH88" i="37" s="1"/>
  <c r="AH88" i="21"/>
  <c r="W92" i="37"/>
  <c r="AY92" i="21" l="1"/>
  <c r="BG92" i="21" s="1"/>
  <c r="AI92" i="72"/>
  <c r="F90" i="21"/>
  <c r="F90" i="72"/>
  <c r="AB91" i="72"/>
  <c r="AJ91" i="21"/>
  <c r="AR91" i="21" s="1"/>
  <c r="E90" i="21"/>
  <c r="E90" i="72"/>
  <c r="T93" i="37"/>
  <c r="D90" i="21"/>
  <c r="D90" i="72"/>
  <c r="Z89" i="37"/>
  <c r="AH89" i="37" s="1"/>
  <c r="AH89" i="21"/>
  <c r="R89" i="21"/>
  <c r="F89" i="37"/>
  <c r="R89" i="37" s="1"/>
  <c r="I92" i="72"/>
  <c r="I92" i="21"/>
  <c r="I92" i="37" s="1"/>
  <c r="V94" i="21"/>
  <c r="R94" i="72"/>
  <c r="P89" i="21"/>
  <c r="D89" i="37"/>
  <c r="P89" i="37" s="1"/>
  <c r="G90" i="21"/>
  <c r="G90" i="72"/>
  <c r="V90" i="72"/>
  <c r="Z90" i="21"/>
  <c r="AL91" i="72"/>
  <c r="BJ91" i="21"/>
  <c r="BR91" i="21" s="1"/>
  <c r="AE91" i="72"/>
  <c r="AM91" i="21"/>
  <c r="AU91" i="21" s="1"/>
  <c r="V93" i="37"/>
  <c r="AL91" i="21"/>
  <c r="AT91" i="21" s="1"/>
  <c r="AD91" i="72"/>
  <c r="S89" i="21"/>
  <c r="G89" i="37"/>
  <c r="S89" i="37" s="1"/>
  <c r="H92" i="21"/>
  <c r="H92" i="37" s="1"/>
  <c r="H92" i="72"/>
  <c r="AK91" i="21"/>
  <c r="AS91" i="21" s="1"/>
  <c r="AC91" i="72"/>
  <c r="Y90" i="21"/>
  <c r="U90" i="72"/>
  <c r="AX92" i="21"/>
  <c r="BF92" i="21" s="1"/>
  <c r="AH92" i="72"/>
  <c r="Y89" i="37"/>
  <c r="AG89" i="37" s="1"/>
  <c r="AG89" i="21"/>
  <c r="K92" i="72"/>
  <c r="K92" i="21"/>
  <c r="K92" i="37" s="1"/>
  <c r="T90" i="72"/>
  <c r="X90" i="21"/>
  <c r="W93" i="37"/>
  <c r="BH91" i="21"/>
  <c r="BP91" i="21" s="1"/>
  <c r="AJ91" i="72"/>
  <c r="W90" i="72"/>
  <c r="AA90" i="21"/>
  <c r="J92" i="72"/>
  <c r="J92" i="21"/>
  <c r="J92" i="37" s="1"/>
  <c r="U94" i="21"/>
  <c r="Q94" i="72"/>
  <c r="AV92" i="21"/>
  <c r="BD92" i="21" s="1"/>
  <c r="AF92" i="72"/>
  <c r="X89" i="37"/>
  <c r="AF89" i="37" s="1"/>
  <c r="AF89" i="21"/>
  <c r="W94" i="21"/>
  <c r="S94" i="72"/>
  <c r="AA89" i="37"/>
  <c r="AI89" i="37" s="1"/>
  <c r="AI89" i="21"/>
  <c r="BK91" i="21"/>
  <c r="BS91" i="21" s="1"/>
  <c r="AM91" i="72"/>
  <c r="U93" i="37"/>
  <c r="AW92" i="21"/>
  <c r="BE92" i="21" s="1"/>
  <c r="AG92" i="72"/>
  <c r="Q89" i="21"/>
  <c r="E89" i="37"/>
  <c r="Q89" i="37" s="1"/>
  <c r="T94" i="21"/>
  <c r="P94" i="72"/>
  <c r="AK91" i="72"/>
  <c r="BI91" i="21"/>
  <c r="BQ91" i="21" s="1"/>
  <c r="BI92" i="21" l="1"/>
  <c r="BQ92" i="21" s="1"/>
  <c r="AK92" i="72"/>
  <c r="T94" i="37"/>
  <c r="BK92" i="21"/>
  <c r="BS92" i="21" s="1"/>
  <c r="AM92" i="72"/>
  <c r="AA91" i="21"/>
  <c r="W91" i="72"/>
  <c r="K93" i="72"/>
  <c r="K93" i="21"/>
  <c r="K93" i="37" s="1"/>
  <c r="G91" i="21"/>
  <c r="G91" i="72"/>
  <c r="E91" i="72"/>
  <c r="E91" i="21"/>
  <c r="AV93" i="21"/>
  <c r="BD93" i="21" s="1"/>
  <c r="AF93" i="72"/>
  <c r="BH92" i="21"/>
  <c r="BP92" i="21" s="1"/>
  <c r="AJ92" i="72"/>
  <c r="H93" i="21"/>
  <c r="H93" i="37" s="1"/>
  <c r="H93" i="72"/>
  <c r="S90" i="21"/>
  <c r="G90" i="37"/>
  <c r="S90" i="37" s="1"/>
  <c r="E90" i="37"/>
  <c r="Q90" i="37" s="1"/>
  <c r="Q90" i="21"/>
  <c r="AW93" i="21"/>
  <c r="BE93" i="21" s="1"/>
  <c r="AG93" i="72"/>
  <c r="U95" i="21"/>
  <c r="Q95" i="72"/>
  <c r="AX93" i="21"/>
  <c r="BF93" i="21" s="1"/>
  <c r="AH93" i="72"/>
  <c r="AM92" i="21"/>
  <c r="AU92" i="21" s="1"/>
  <c r="AE92" i="72"/>
  <c r="AJ92" i="21"/>
  <c r="AR92" i="21" s="1"/>
  <c r="AB92" i="72"/>
  <c r="U94" i="37"/>
  <c r="V95" i="21"/>
  <c r="R95" i="72"/>
  <c r="D91" i="21"/>
  <c r="D91" i="72"/>
  <c r="F91" i="21"/>
  <c r="F91" i="72"/>
  <c r="X90" i="37"/>
  <c r="AF90" i="37" s="1"/>
  <c r="AF90" i="21"/>
  <c r="Y91" i="21"/>
  <c r="U91" i="72"/>
  <c r="AL92" i="21"/>
  <c r="AT92" i="21" s="1"/>
  <c r="AD92" i="72"/>
  <c r="AL92" i="72"/>
  <c r="BJ92" i="21"/>
  <c r="BR92" i="21" s="1"/>
  <c r="V94" i="37"/>
  <c r="P90" i="21"/>
  <c r="D90" i="37"/>
  <c r="P90" i="37" s="1"/>
  <c r="F90" i="37"/>
  <c r="R90" i="37" s="1"/>
  <c r="R90" i="21"/>
  <c r="W95" i="21"/>
  <c r="S95" i="72"/>
  <c r="Y90" i="37"/>
  <c r="AG90" i="37" s="1"/>
  <c r="AG90" i="21"/>
  <c r="Z90" i="37"/>
  <c r="AH90" i="37" s="1"/>
  <c r="AH90" i="21"/>
  <c r="AI93" i="72"/>
  <c r="AY93" i="21"/>
  <c r="BG93" i="21" s="1"/>
  <c r="W94" i="37"/>
  <c r="J93" i="21"/>
  <c r="J93" i="37" s="1"/>
  <c r="J93" i="72"/>
  <c r="T91" i="72"/>
  <c r="X91" i="21"/>
  <c r="T95" i="21"/>
  <c r="P95" i="72"/>
  <c r="AA90" i="37"/>
  <c r="AI90" i="37" s="1"/>
  <c r="AI90" i="21"/>
  <c r="AK92" i="21"/>
  <c r="AS92" i="21" s="1"/>
  <c r="AC92" i="72"/>
  <c r="V91" i="72"/>
  <c r="Z91" i="21"/>
  <c r="I93" i="21"/>
  <c r="I93" i="37" s="1"/>
  <c r="I93" i="72"/>
  <c r="V95" i="37" l="1"/>
  <c r="AX94" i="21"/>
  <c r="BF94" i="21" s="1"/>
  <c r="AH94" i="72"/>
  <c r="AA91" i="37"/>
  <c r="AI91" i="37" s="1"/>
  <c r="AI91" i="21"/>
  <c r="I94" i="72"/>
  <c r="I94" i="21"/>
  <c r="I94" i="37" s="1"/>
  <c r="E91" i="37"/>
  <c r="Q91" i="37" s="1"/>
  <c r="Q91" i="21"/>
  <c r="AM93" i="72"/>
  <c r="BK93" i="21"/>
  <c r="BS93" i="21" s="1"/>
  <c r="P96" i="72"/>
  <c r="T96" i="21"/>
  <c r="AK93" i="21"/>
  <c r="AS93" i="21" s="1"/>
  <c r="AC93" i="72"/>
  <c r="J94" i="21"/>
  <c r="J94" i="37" s="1"/>
  <c r="J94" i="72"/>
  <c r="U96" i="21"/>
  <c r="Q96" i="72"/>
  <c r="E92" i="21"/>
  <c r="E92" i="72"/>
  <c r="Y91" i="37"/>
  <c r="AG91" i="37" s="1"/>
  <c r="AG91" i="21"/>
  <c r="W96" i="21"/>
  <c r="S96" i="72"/>
  <c r="F92" i="21"/>
  <c r="F92" i="72"/>
  <c r="U95" i="37"/>
  <c r="H94" i="21"/>
  <c r="H94" i="37" s="1"/>
  <c r="H94" i="72"/>
  <c r="G92" i="21"/>
  <c r="G92" i="72"/>
  <c r="W95" i="37"/>
  <c r="BJ93" i="21"/>
  <c r="BR93" i="21" s="1"/>
  <c r="AL93" i="72"/>
  <c r="R91" i="21"/>
  <c r="F91" i="37"/>
  <c r="R91" i="37" s="1"/>
  <c r="AJ93" i="21"/>
  <c r="AR93" i="21" s="1"/>
  <c r="AB93" i="72"/>
  <c r="AW94" i="21"/>
  <c r="BE94" i="21" s="1"/>
  <c r="AG94" i="72"/>
  <c r="S91" i="21"/>
  <c r="G91" i="37"/>
  <c r="S91" i="37" s="1"/>
  <c r="T95" i="37"/>
  <c r="AI94" i="72"/>
  <c r="AY94" i="21"/>
  <c r="BG94" i="21" s="1"/>
  <c r="AL93" i="21"/>
  <c r="AT93" i="21" s="1"/>
  <c r="AD93" i="72"/>
  <c r="D92" i="21"/>
  <c r="D92" i="72"/>
  <c r="BH93" i="21"/>
  <c r="BP93" i="21" s="1"/>
  <c r="AJ93" i="72"/>
  <c r="X91" i="37"/>
  <c r="AF91" i="37" s="1"/>
  <c r="AF91" i="21"/>
  <c r="D91" i="37"/>
  <c r="P91" i="37" s="1"/>
  <c r="P91" i="21"/>
  <c r="AE93" i="72"/>
  <c r="AM93" i="21"/>
  <c r="AU93" i="21" s="1"/>
  <c r="K94" i="21"/>
  <c r="K94" i="37" s="1"/>
  <c r="K94" i="72"/>
  <c r="BI93" i="21"/>
  <c r="BQ93" i="21" s="1"/>
  <c r="AK93" i="72"/>
  <c r="Z91" i="37"/>
  <c r="AH91" i="37" s="1"/>
  <c r="AH91" i="21"/>
  <c r="Z92" i="21"/>
  <c r="V92" i="72"/>
  <c r="X92" i="21"/>
  <c r="T92" i="72"/>
  <c r="U92" i="72"/>
  <c r="Y92" i="21"/>
  <c r="V96" i="21"/>
  <c r="R96" i="72"/>
  <c r="AV94" i="21"/>
  <c r="BD94" i="21" s="1"/>
  <c r="AF94" i="72"/>
  <c r="AA92" i="21"/>
  <c r="W92" i="72"/>
  <c r="AA92" i="37" l="1"/>
  <c r="AI92" i="37" s="1"/>
  <c r="AI92" i="21"/>
  <c r="Z92" i="37"/>
  <c r="AH92" i="37" s="1"/>
  <c r="AH92" i="21"/>
  <c r="AM94" i="21"/>
  <c r="AU94" i="21" s="1"/>
  <c r="AE94" i="72"/>
  <c r="V97" i="21"/>
  <c r="R97" i="72"/>
  <c r="AD94" i="72"/>
  <c r="AL94" i="21"/>
  <c r="AT94" i="21" s="1"/>
  <c r="AW95" i="21"/>
  <c r="BE95" i="21" s="1"/>
  <c r="AG95" i="72"/>
  <c r="AC94" i="72"/>
  <c r="AK94" i="21"/>
  <c r="AS94" i="21" s="1"/>
  <c r="E93" i="21"/>
  <c r="E93" i="72"/>
  <c r="I95" i="72"/>
  <c r="I95" i="21"/>
  <c r="I95" i="37" s="1"/>
  <c r="Y92" i="37"/>
  <c r="AG92" i="37" s="1"/>
  <c r="AG92" i="21"/>
  <c r="AK94" i="72"/>
  <c r="BI94" i="21"/>
  <c r="BQ94" i="21" s="1"/>
  <c r="AB94" i="72"/>
  <c r="AJ94" i="21"/>
  <c r="AR94" i="21" s="1"/>
  <c r="F93" i="21"/>
  <c r="F93" i="72"/>
  <c r="Q92" i="21"/>
  <c r="E92" i="37"/>
  <c r="Q92" i="37" s="1"/>
  <c r="T96" i="37"/>
  <c r="Y93" i="21"/>
  <c r="U93" i="72"/>
  <c r="AY95" i="21"/>
  <c r="BG95" i="21" s="1"/>
  <c r="AI95" i="72"/>
  <c r="G93" i="21"/>
  <c r="G93" i="72"/>
  <c r="R92" i="21"/>
  <c r="F92" i="37"/>
  <c r="R92" i="37" s="1"/>
  <c r="Q97" i="72"/>
  <c r="U97" i="21"/>
  <c r="P97" i="72"/>
  <c r="T97" i="21"/>
  <c r="V96" i="37"/>
  <c r="W93" i="72"/>
  <c r="AA93" i="21"/>
  <c r="X93" i="21"/>
  <c r="T93" i="72"/>
  <c r="K95" i="72"/>
  <c r="K95" i="21"/>
  <c r="K95" i="37" s="1"/>
  <c r="AJ94" i="72"/>
  <c r="BH94" i="21"/>
  <c r="BP94" i="21" s="1"/>
  <c r="S92" i="21"/>
  <c r="G92" i="37"/>
  <c r="S92" i="37" s="1"/>
  <c r="W97" i="21"/>
  <c r="S97" i="72"/>
  <c r="U96" i="37"/>
  <c r="AH95" i="72"/>
  <c r="AX95" i="21"/>
  <c r="BF95" i="21" s="1"/>
  <c r="H95" i="21"/>
  <c r="H95" i="37" s="1"/>
  <c r="H95" i="72"/>
  <c r="W96" i="37"/>
  <c r="BK94" i="21"/>
  <c r="BS94" i="21" s="1"/>
  <c r="AM94" i="72"/>
  <c r="X92" i="37"/>
  <c r="AF92" i="37" s="1"/>
  <c r="AF92" i="21"/>
  <c r="AV95" i="21"/>
  <c r="BD95" i="21" s="1"/>
  <c r="AF95" i="72"/>
  <c r="V93" i="72"/>
  <c r="Z93" i="21"/>
  <c r="D93" i="72"/>
  <c r="D93" i="21"/>
  <c r="BJ94" i="21"/>
  <c r="BR94" i="21" s="1"/>
  <c r="AL94" i="72"/>
  <c r="J95" i="72"/>
  <c r="J95" i="21"/>
  <c r="J95" i="37" s="1"/>
  <c r="P92" i="21"/>
  <c r="D92" i="37"/>
  <c r="P92" i="37" s="1"/>
  <c r="AA93" i="37" l="1"/>
  <c r="AI93" i="37" s="1"/>
  <c r="AI93" i="21"/>
  <c r="W94" i="72"/>
  <c r="AA94" i="21"/>
  <c r="AK95" i="72"/>
  <c r="BI95" i="21"/>
  <c r="BQ95" i="21" s="1"/>
  <c r="V97" i="37"/>
  <c r="AX96" i="21"/>
  <c r="BF96" i="21" s="1"/>
  <c r="AH96" i="72"/>
  <c r="G94" i="72"/>
  <c r="G94" i="21"/>
  <c r="AC95" i="72"/>
  <c r="AK95" i="21"/>
  <c r="AS95" i="21" s="1"/>
  <c r="AM95" i="21"/>
  <c r="AU95" i="21" s="1"/>
  <c r="AE95" i="72"/>
  <c r="V98" i="21"/>
  <c r="R98" i="72"/>
  <c r="BJ95" i="21"/>
  <c r="BR95" i="21" s="1"/>
  <c r="AL95" i="72"/>
  <c r="D93" i="37"/>
  <c r="P93" i="37" s="1"/>
  <c r="P93" i="21"/>
  <c r="BK95" i="21"/>
  <c r="BS95" i="21" s="1"/>
  <c r="AM95" i="72"/>
  <c r="AJ95" i="72"/>
  <c r="BH95" i="21"/>
  <c r="BP95" i="21" s="1"/>
  <c r="S93" i="21"/>
  <c r="G93" i="37"/>
  <c r="S93" i="37" s="1"/>
  <c r="D94" i="21"/>
  <c r="D94" i="72"/>
  <c r="T97" i="37"/>
  <c r="AY96" i="21"/>
  <c r="BG96" i="21" s="1"/>
  <c r="AI96" i="72"/>
  <c r="F94" i="21"/>
  <c r="F94" i="72"/>
  <c r="AG96" i="72"/>
  <c r="AW96" i="21"/>
  <c r="BE96" i="21" s="1"/>
  <c r="Z93" i="37"/>
  <c r="AH93" i="37" s="1"/>
  <c r="AH93" i="21"/>
  <c r="W98" i="21"/>
  <c r="S98" i="72"/>
  <c r="K96" i="72"/>
  <c r="K96" i="21"/>
  <c r="K96" i="37" s="1"/>
  <c r="T98" i="21"/>
  <c r="P98" i="72"/>
  <c r="F93" i="37"/>
  <c r="R93" i="37" s="1"/>
  <c r="R93" i="21"/>
  <c r="I96" i="72"/>
  <c r="I96" i="21"/>
  <c r="I96" i="37" s="1"/>
  <c r="J96" i="72"/>
  <c r="J96" i="21"/>
  <c r="J96" i="37" s="1"/>
  <c r="Z94" i="21"/>
  <c r="V94" i="72"/>
  <c r="W97" i="37"/>
  <c r="X94" i="21"/>
  <c r="T94" i="72"/>
  <c r="U97" i="37"/>
  <c r="Y94" i="21"/>
  <c r="U94" i="72"/>
  <c r="E94" i="72"/>
  <c r="E94" i="21"/>
  <c r="AF96" i="72"/>
  <c r="AV96" i="21"/>
  <c r="BD96" i="21" s="1"/>
  <c r="H96" i="72"/>
  <c r="H96" i="21"/>
  <c r="H96" i="37" s="1"/>
  <c r="X93" i="37"/>
  <c r="AF93" i="37" s="1"/>
  <c r="AF93" i="21"/>
  <c r="U98" i="21"/>
  <c r="Q98" i="72"/>
  <c r="Y93" i="37"/>
  <c r="AG93" i="37" s="1"/>
  <c r="AG93" i="21"/>
  <c r="AJ95" i="21"/>
  <c r="AR95" i="21" s="1"/>
  <c r="AB95" i="72"/>
  <c r="Q93" i="21"/>
  <c r="E93" i="37"/>
  <c r="Q93" i="37" s="1"/>
  <c r="AD95" i="72"/>
  <c r="AL95" i="21"/>
  <c r="AT95" i="21" s="1"/>
  <c r="P94" i="21" l="1"/>
  <c r="D94" i="37"/>
  <c r="P94" i="37" s="1"/>
  <c r="H97" i="72"/>
  <c r="H97" i="21"/>
  <c r="H97" i="37" s="1"/>
  <c r="F95" i="72"/>
  <c r="F95" i="21"/>
  <c r="X95" i="21"/>
  <c r="T95" i="72"/>
  <c r="J97" i="72"/>
  <c r="J97" i="21"/>
  <c r="J97" i="37" s="1"/>
  <c r="K97" i="72"/>
  <c r="K97" i="21"/>
  <c r="K97" i="37" s="1"/>
  <c r="R94" i="21"/>
  <c r="F94" i="37"/>
  <c r="R94" i="37" s="1"/>
  <c r="AK96" i="21"/>
  <c r="AS96" i="21" s="1"/>
  <c r="AC96" i="72"/>
  <c r="AK96" i="72"/>
  <c r="BI96" i="21"/>
  <c r="BQ96" i="21" s="1"/>
  <c r="Z94" i="37"/>
  <c r="AH94" i="37" s="1"/>
  <c r="AH94" i="21"/>
  <c r="G94" i="37"/>
  <c r="S94" i="37" s="1"/>
  <c r="S94" i="21"/>
  <c r="Q94" i="21"/>
  <c r="E94" i="37"/>
  <c r="Q94" i="37" s="1"/>
  <c r="I97" i="21"/>
  <c r="I97" i="37" s="1"/>
  <c r="I97" i="72"/>
  <c r="W98" i="37"/>
  <c r="G95" i="21"/>
  <c r="G95" i="72"/>
  <c r="AA94" i="37"/>
  <c r="AI94" i="37" s="1"/>
  <c r="AI94" i="21"/>
  <c r="AV97" i="21"/>
  <c r="BD97" i="21" s="1"/>
  <c r="AF97" i="72"/>
  <c r="AI97" i="72"/>
  <c r="AY97" i="21"/>
  <c r="BG97" i="21" s="1"/>
  <c r="Q99" i="72"/>
  <c r="U99" i="21"/>
  <c r="AD96" i="72"/>
  <c r="AL96" i="21"/>
  <c r="AT96" i="21" s="1"/>
  <c r="E95" i="21"/>
  <c r="E95" i="72"/>
  <c r="V99" i="21"/>
  <c r="R99" i="72"/>
  <c r="AH97" i="72"/>
  <c r="AX97" i="21"/>
  <c r="BF97" i="21" s="1"/>
  <c r="W95" i="72"/>
  <c r="AA95" i="21"/>
  <c r="T98" i="37"/>
  <c r="AW97" i="21"/>
  <c r="BE97" i="21" s="1"/>
  <c r="AG97" i="72"/>
  <c r="D95" i="21"/>
  <c r="D95" i="72"/>
  <c r="X94" i="37"/>
  <c r="AF94" i="37" s="1"/>
  <c r="AF94" i="21"/>
  <c r="W99" i="21"/>
  <c r="S99" i="72"/>
  <c r="BJ96" i="21"/>
  <c r="BR96" i="21" s="1"/>
  <c r="AL96" i="72"/>
  <c r="U98" i="37"/>
  <c r="U95" i="72"/>
  <c r="Y95" i="21"/>
  <c r="AJ96" i="72"/>
  <c r="BH96" i="21"/>
  <c r="BP96" i="21" s="1"/>
  <c r="V98" i="37"/>
  <c r="AJ96" i="21"/>
  <c r="AR96" i="21" s="1"/>
  <c r="AB96" i="72"/>
  <c r="Y94" i="37"/>
  <c r="AG94" i="37" s="1"/>
  <c r="AG94" i="21"/>
  <c r="Z95" i="21"/>
  <c r="V95" i="72"/>
  <c r="T99" i="21"/>
  <c r="P99" i="72"/>
  <c r="AM96" i="72"/>
  <c r="BK96" i="21"/>
  <c r="BS96" i="21" s="1"/>
  <c r="AE96" i="72"/>
  <c r="AM96" i="21"/>
  <c r="AU96" i="21" s="1"/>
  <c r="W99" i="37" l="1"/>
  <c r="AA95" i="37"/>
  <c r="AI95" i="37" s="1"/>
  <c r="AI95" i="21"/>
  <c r="AA96" i="21"/>
  <c r="W96" i="72"/>
  <c r="AL97" i="21"/>
  <c r="AT97" i="21" s="1"/>
  <c r="AD97" i="72"/>
  <c r="X95" i="37"/>
  <c r="AF95" i="37" s="1"/>
  <c r="AF95" i="21"/>
  <c r="Q95" i="21"/>
  <c r="E95" i="37"/>
  <c r="Q95" i="37" s="1"/>
  <c r="BK97" i="21"/>
  <c r="BS97" i="21" s="1"/>
  <c r="AM97" i="72"/>
  <c r="AB97" i="72"/>
  <c r="AJ97" i="21"/>
  <c r="AR97" i="21" s="1"/>
  <c r="Y96" i="21"/>
  <c r="U96" i="72"/>
  <c r="AC97" i="72"/>
  <c r="AK97" i="21"/>
  <c r="AS97" i="21" s="1"/>
  <c r="T96" i="72"/>
  <c r="X96" i="21"/>
  <c r="T100" i="21"/>
  <c r="P100" i="72"/>
  <c r="U99" i="37"/>
  <c r="G96" i="72"/>
  <c r="G96" i="21"/>
  <c r="R95" i="21"/>
  <c r="F95" i="37"/>
  <c r="R95" i="37" s="1"/>
  <c r="T99" i="37"/>
  <c r="D96" i="21"/>
  <c r="D96" i="72"/>
  <c r="V96" i="72"/>
  <c r="Z96" i="21"/>
  <c r="D95" i="37"/>
  <c r="P95" i="37" s="1"/>
  <c r="P95" i="21"/>
  <c r="AX98" i="21"/>
  <c r="BF98" i="21" s="1"/>
  <c r="AH98" i="72"/>
  <c r="U100" i="21"/>
  <c r="Q100" i="72"/>
  <c r="S95" i="21"/>
  <c r="G95" i="37"/>
  <c r="S95" i="37" s="1"/>
  <c r="F96" i="21"/>
  <c r="F96" i="72"/>
  <c r="Z95" i="37"/>
  <c r="AH95" i="37" s="1"/>
  <c r="AH95" i="21"/>
  <c r="BJ97" i="21"/>
  <c r="BR97" i="21" s="1"/>
  <c r="AL97" i="72"/>
  <c r="AG98" i="72"/>
  <c r="AW98" i="21"/>
  <c r="BE98" i="21" s="1"/>
  <c r="V100" i="21"/>
  <c r="R100" i="72"/>
  <c r="V99" i="37"/>
  <c r="AY98" i="21"/>
  <c r="BG98" i="21" s="1"/>
  <c r="AI98" i="72"/>
  <c r="K98" i="72"/>
  <c r="K98" i="21"/>
  <c r="K98" i="37" s="1"/>
  <c r="H98" i="21"/>
  <c r="H98" i="37" s="1"/>
  <c r="H98" i="72"/>
  <c r="AJ97" i="72"/>
  <c r="BH97" i="21"/>
  <c r="BP97" i="21" s="1"/>
  <c r="AE97" i="72"/>
  <c r="AM97" i="21"/>
  <c r="AU97" i="21" s="1"/>
  <c r="W100" i="21"/>
  <c r="S100" i="72"/>
  <c r="E96" i="72"/>
  <c r="E96" i="21"/>
  <c r="AF98" i="72"/>
  <c r="AV98" i="21"/>
  <c r="BD98" i="21" s="1"/>
  <c r="I98" i="72"/>
  <c r="I98" i="21"/>
  <c r="I98" i="37" s="1"/>
  <c r="Y95" i="37"/>
  <c r="AG95" i="37" s="1"/>
  <c r="AG95" i="21"/>
  <c r="AK97" i="72"/>
  <c r="BI97" i="21"/>
  <c r="BQ97" i="21" s="1"/>
  <c r="J98" i="21"/>
  <c r="J98" i="37" s="1"/>
  <c r="J98" i="72"/>
  <c r="AK98" i="72" l="1"/>
  <c r="BI98" i="21"/>
  <c r="BQ98" i="21" s="1"/>
  <c r="E97" i="21"/>
  <c r="E97" i="72"/>
  <c r="H99" i="21"/>
  <c r="H99" i="37" s="1"/>
  <c r="H99" i="72"/>
  <c r="V101" i="21"/>
  <c r="R101" i="72"/>
  <c r="F97" i="72"/>
  <c r="F97" i="21"/>
  <c r="T101" i="21"/>
  <c r="P101" i="72"/>
  <c r="AD98" i="72"/>
  <c r="AL98" i="21"/>
  <c r="AT98" i="21" s="1"/>
  <c r="V100" i="37"/>
  <c r="F96" i="37"/>
  <c r="R96" i="37" s="1"/>
  <c r="R96" i="21"/>
  <c r="T100" i="37"/>
  <c r="AB98" i="72"/>
  <c r="AJ98" i="21"/>
  <c r="AR98" i="21" s="1"/>
  <c r="W100" i="37"/>
  <c r="X96" i="37"/>
  <c r="AF96" i="37" s="1"/>
  <c r="AF96" i="21"/>
  <c r="BK98" i="21"/>
  <c r="BS98" i="21" s="1"/>
  <c r="AM98" i="72"/>
  <c r="AA97" i="21"/>
  <c r="W97" i="72"/>
  <c r="W101" i="21"/>
  <c r="S101" i="72"/>
  <c r="K99" i="21"/>
  <c r="K99" i="37" s="1"/>
  <c r="K99" i="72"/>
  <c r="AW99" i="21"/>
  <c r="BE99" i="21" s="1"/>
  <c r="AG99" i="72"/>
  <c r="X97" i="21"/>
  <c r="T97" i="72"/>
  <c r="AA96" i="37"/>
  <c r="AI96" i="37" s="1"/>
  <c r="AI96" i="21"/>
  <c r="S96" i="21"/>
  <c r="G96" i="37"/>
  <c r="S96" i="37" s="1"/>
  <c r="U100" i="37"/>
  <c r="Z97" i="21"/>
  <c r="V97" i="72"/>
  <c r="G97" i="72"/>
  <c r="G97" i="21"/>
  <c r="AK98" i="21"/>
  <c r="AS98" i="21" s="1"/>
  <c r="AC98" i="72"/>
  <c r="J99" i="21"/>
  <c r="J99" i="37" s="1"/>
  <c r="J99" i="72"/>
  <c r="I99" i="21"/>
  <c r="I99" i="37" s="1"/>
  <c r="I99" i="72"/>
  <c r="AM98" i="21"/>
  <c r="AU98" i="21" s="1"/>
  <c r="AE98" i="72"/>
  <c r="AY99" i="21"/>
  <c r="BG99" i="21" s="1"/>
  <c r="AI99" i="72"/>
  <c r="BJ98" i="21"/>
  <c r="BR98" i="21" s="1"/>
  <c r="AL98" i="72"/>
  <c r="Q101" i="72"/>
  <c r="U101" i="21"/>
  <c r="AV99" i="21"/>
  <c r="BD99" i="21" s="1"/>
  <c r="AF99" i="72"/>
  <c r="BH98" i="21"/>
  <c r="BP98" i="21" s="1"/>
  <c r="AJ98" i="72"/>
  <c r="AH99" i="72"/>
  <c r="AX99" i="21"/>
  <c r="BF99" i="21" s="1"/>
  <c r="D97" i="21"/>
  <c r="D97" i="72"/>
  <c r="Y97" i="21"/>
  <c r="U97" i="72"/>
  <c r="Z96" i="37"/>
  <c r="AH96" i="37" s="1"/>
  <c r="AH96" i="21"/>
  <c r="E96" i="37"/>
  <c r="Q96" i="37" s="1"/>
  <c r="Q96" i="21"/>
  <c r="D96" i="37"/>
  <c r="P96" i="37" s="1"/>
  <c r="P96" i="21"/>
  <c r="Y96" i="37"/>
  <c r="AG96" i="37" s="1"/>
  <c r="AG96" i="21"/>
  <c r="U101" i="37" l="1"/>
  <c r="I100" i="21"/>
  <c r="I100" i="37" s="1"/>
  <c r="I100" i="72"/>
  <c r="Z98" i="21"/>
  <c r="V98" i="72"/>
  <c r="T98" i="72"/>
  <c r="X98" i="21"/>
  <c r="W98" i="72"/>
  <c r="AA98" i="21"/>
  <c r="V101" i="37"/>
  <c r="Z97" i="37"/>
  <c r="AH97" i="37" s="1"/>
  <c r="AH97" i="21"/>
  <c r="X97" i="37"/>
  <c r="AF97" i="37" s="1"/>
  <c r="AF97" i="21"/>
  <c r="AA97" i="37"/>
  <c r="AI97" i="37" s="1"/>
  <c r="AI97" i="21"/>
  <c r="AB99" i="72"/>
  <c r="AJ99" i="21"/>
  <c r="AR99" i="21" s="1"/>
  <c r="AL99" i="21"/>
  <c r="AT99" i="21" s="1"/>
  <c r="AD99" i="72"/>
  <c r="H100" i="21"/>
  <c r="H100" i="37" s="1"/>
  <c r="H100" i="72"/>
  <c r="V102" i="21"/>
  <c r="R102" i="72"/>
  <c r="D98" i="21"/>
  <c r="D98" i="72"/>
  <c r="P97" i="21"/>
  <c r="D97" i="37"/>
  <c r="P97" i="37" s="1"/>
  <c r="U102" i="21"/>
  <c r="Q102" i="72"/>
  <c r="BJ99" i="21"/>
  <c r="BR99" i="21" s="1"/>
  <c r="AL99" i="72"/>
  <c r="J100" i="21"/>
  <c r="J100" i="37" s="1"/>
  <c r="J100" i="72"/>
  <c r="AW100" i="21"/>
  <c r="BE100" i="21" s="1"/>
  <c r="AG100" i="72"/>
  <c r="BK99" i="21"/>
  <c r="BS99" i="21" s="1"/>
  <c r="AM99" i="72"/>
  <c r="T102" i="21"/>
  <c r="P102" i="72"/>
  <c r="T101" i="37"/>
  <c r="E98" i="72"/>
  <c r="E98" i="21"/>
  <c r="G98" i="21"/>
  <c r="G98" i="72"/>
  <c r="AJ99" i="72"/>
  <c r="BH99" i="21"/>
  <c r="BP99" i="21" s="1"/>
  <c r="AY100" i="21"/>
  <c r="BG100" i="21" s="1"/>
  <c r="AI100" i="72"/>
  <c r="AK99" i="21"/>
  <c r="AS99" i="21" s="1"/>
  <c r="AC99" i="72"/>
  <c r="K100" i="21"/>
  <c r="K100" i="37" s="1"/>
  <c r="K100" i="72"/>
  <c r="Q97" i="21"/>
  <c r="E97" i="37"/>
  <c r="Q97" i="37" s="1"/>
  <c r="Y97" i="37"/>
  <c r="AG97" i="37" s="1"/>
  <c r="AG97" i="21"/>
  <c r="R97" i="21"/>
  <c r="F97" i="37"/>
  <c r="R97" i="37" s="1"/>
  <c r="W101" i="37"/>
  <c r="AX100" i="21"/>
  <c r="BF100" i="21" s="1"/>
  <c r="AH100" i="72"/>
  <c r="U98" i="72"/>
  <c r="Y98" i="21"/>
  <c r="AF100" i="72"/>
  <c r="AV100" i="21"/>
  <c r="BD100" i="21" s="1"/>
  <c r="AM99" i="21"/>
  <c r="AU99" i="21" s="1"/>
  <c r="AE99" i="72"/>
  <c r="S97" i="21"/>
  <c r="G97" i="37"/>
  <c r="S97" i="37" s="1"/>
  <c r="W102" i="21"/>
  <c r="S102" i="72"/>
  <c r="F98" i="72"/>
  <c r="F98" i="21"/>
  <c r="BI99" i="21"/>
  <c r="BQ99" i="21" s="1"/>
  <c r="AK99" i="72"/>
  <c r="W103" i="21" l="1"/>
  <c r="S103" i="72"/>
  <c r="AY101" i="21"/>
  <c r="BG101" i="21" s="1"/>
  <c r="AI101" i="72"/>
  <c r="AL100" i="21"/>
  <c r="AT100" i="21" s="1"/>
  <c r="AD100" i="72"/>
  <c r="X99" i="21"/>
  <c r="T99" i="72"/>
  <c r="Y98" i="37"/>
  <c r="AG98" i="37" s="1"/>
  <c r="AG98" i="21"/>
  <c r="E99" i="21"/>
  <c r="E99" i="72"/>
  <c r="W102" i="37"/>
  <c r="J101" i="21"/>
  <c r="J101" i="37" s="1"/>
  <c r="J101" i="72"/>
  <c r="D99" i="72"/>
  <c r="D99" i="21"/>
  <c r="V99" i="72"/>
  <c r="Z99" i="21"/>
  <c r="BH100" i="21"/>
  <c r="BP100" i="21" s="1"/>
  <c r="AJ100" i="72"/>
  <c r="P98" i="21"/>
  <c r="D98" i="37"/>
  <c r="P98" i="37" s="1"/>
  <c r="Z98" i="37"/>
  <c r="AH98" i="37" s="1"/>
  <c r="AH98" i="21"/>
  <c r="AG101" i="72"/>
  <c r="AW101" i="21"/>
  <c r="BE101" i="21" s="1"/>
  <c r="X98" i="37"/>
  <c r="AF98" i="37" s="1"/>
  <c r="AF98" i="21"/>
  <c r="Y99" i="21"/>
  <c r="U99" i="72"/>
  <c r="AX101" i="21"/>
  <c r="BF101" i="21" s="1"/>
  <c r="AH101" i="72"/>
  <c r="BI100" i="21"/>
  <c r="BQ100" i="21" s="1"/>
  <c r="AK100" i="72"/>
  <c r="AE100" i="72"/>
  <c r="AM100" i="21"/>
  <c r="AU100" i="21" s="1"/>
  <c r="K101" i="21"/>
  <c r="K101" i="37" s="1"/>
  <c r="K101" i="72"/>
  <c r="P103" i="72"/>
  <c r="T103" i="21"/>
  <c r="BJ100" i="21"/>
  <c r="BR100" i="21" s="1"/>
  <c r="AL100" i="72"/>
  <c r="V103" i="21"/>
  <c r="R103" i="72"/>
  <c r="AJ100" i="21"/>
  <c r="AR100" i="21" s="1"/>
  <c r="AB100" i="72"/>
  <c r="I101" i="21"/>
  <c r="I101" i="37" s="1"/>
  <c r="I101" i="72"/>
  <c r="T102" i="37"/>
  <c r="V102" i="37"/>
  <c r="F98" i="37"/>
  <c r="R98" i="37" s="1"/>
  <c r="R98" i="21"/>
  <c r="AC100" i="72"/>
  <c r="AK100" i="21"/>
  <c r="AS100" i="21" s="1"/>
  <c r="G98" i="37"/>
  <c r="S98" i="37" s="1"/>
  <c r="S98" i="21"/>
  <c r="AM100" i="72"/>
  <c r="BK100" i="21"/>
  <c r="BS100" i="21" s="1"/>
  <c r="U103" i="21"/>
  <c r="Q103" i="72"/>
  <c r="AA98" i="37"/>
  <c r="AI98" i="37" s="1"/>
  <c r="AI98" i="21"/>
  <c r="G99" i="21"/>
  <c r="G99" i="72"/>
  <c r="F99" i="21"/>
  <c r="F99" i="72"/>
  <c r="AV101" i="21"/>
  <c r="BD101" i="21" s="1"/>
  <c r="AF101" i="72"/>
  <c r="Q98" i="21"/>
  <c r="E98" i="37"/>
  <c r="Q98" i="37" s="1"/>
  <c r="U102" i="37"/>
  <c r="H101" i="21"/>
  <c r="H101" i="37" s="1"/>
  <c r="H101" i="72"/>
  <c r="W99" i="72"/>
  <c r="AA99" i="21"/>
  <c r="V103" i="37" l="1"/>
  <c r="BH101" i="21"/>
  <c r="BP101" i="21" s="1"/>
  <c r="AJ101" i="72"/>
  <c r="X99" i="37"/>
  <c r="AF99" i="37" s="1"/>
  <c r="AF99" i="21"/>
  <c r="Y99" i="37"/>
  <c r="AG99" i="37" s="1"/>
  <c r="AG99" i="21"/>
  <c r="T100" i="72"/>
  <c r="X100" i="21"/>
  <c r="G100" i="21"/>
  <c r="G100" i="72"/>
  <c r="G99" i="37"/>
  <c r="S99" i="37" s="1"/>
  <c r="S99" i="21"/>
  <c r="BJ101" i="21"/>
  <c r="BR101" i="21" s="1"/>
  <c r="AL101" i="72"/>
  <c r="AE101" i="72"/>
  <c r="AM101" i="21"/>
  <c r="AU101" i="21" s="1"/>
  <c r="AL101" i="21"/>
  <c r="AT101" i="21" s="1"/>
  <c r="AD101" i="72"/>
  <c r="AM101" i="72"/>
  <c r="BK101" i="21"/>
  <c r="BS101" i="21" s="1"/>
  <c r="BI101" i="21"/>
  <c r="BQ101" i="21" s="1"/>
  <c r="AK101" i="72"/>
  <c r="Z99" i="37"/>
  <c r="AH99" i="37" s="1"/>
  <c r="AH99" i="21"/>
  <c r="AK101" i="21"/>
  <c r="AS101" i="21" s="1"/>
  <c r="AC101" i="72"/>
  <c r="I102" i="21"/>
  <c r="I102" i="37" s="1"/>
  <c r="I102" i="72"/>
  <c r="T103" i="37"/>
  <c r="AW102" i="21"/>
  <c r="BE102" i="21" s="1"/>
  <c r="AG102" i="72"/>
  <c r="Z100" i="21"/>
  <c r="V100" i="72"/>
  <c r="E100" i="21"/>
  <c r="E100" i="72"/>
  <c r="AY102" i="21"/>
  <c r="BG102" i="21" s="1"/>
  <c r="AI102" i="72"/>
  <c r="R99" i="21"/>
  <c r="F99" i="37"/>
  <c r="R99" i="37" s="1"/>
  <c r="V104" i="21"/>
  <c r="R104" i="72"/>
  <c r="AV102" i="21"/>
  <c r="BD102" i="21" s="1"/>
  <c r="AF102" i="72"/>
  <c r="Q104" i="72"/>
  <c r="U104" i="21"/>
  <c r="P104" i="72"/>
  <c r="T104" i="21"/>
  <c r="AX102" i="21"/>
  <c r="BF102" i="21" s="1"/>
  <c r="AH102" i="72"/>
  <c r="P99" i="21"/>
  <c r="D99" i="37"/>
  <c r="P99" i="37" s="1"/>
  <c r="Q99" i="21"/>
  <c r="E99" i="37"/>
  <c r="Q99" i="37" s="1"/>
  <c r="AA99" i="37"/>
  <c r="AI99" i="37" s="1"/>
  <c r="AI99" i="21"/>
  <c r="W100" i="72"/>
  <c r="AA100" i="21"/>
  <c r="U103" i="37"/>
  <c r="AJ101" i="21"/>
  <c r="AR101" i="21" s="1"/>
  <c r="AB101" i="72"/>
  <c r="K102" i="21"/>
  <c r="K102" i="37" s="1"/>
  <c r="K102" i="72"/>
  <c r="D100" i="72"/>
  <c r="D100" i="21"/>
  <c r="W104" i="21"/>
  <c r="S104" i="72"/>
  <c r="H102" i="21"/>
  <c r="H102" i="37" s="1"/>
  <c r="H102" i="72"/>
  <c r="F100" i="72"/>
  <c r="F100" i="21"/>
  <c r="Y100" i="21"/>
  <c r="U100" i="72"/>
  <c r="J102" i="21"/>
  <c r="J102" i="37" s="1"/>
  <c r="J102" i="72"/>
  <c r="W103" i="37"/>
  <c r="P100" i="21" l="1"/>
  <c r="D100" i="37"/>
  <c r="P100" i="37" s="1"/>
  <c r="AA100" i="37"/>
  <c r="AI100" i="37" s="1"/>
  <c r="AI100" i="21"/>
  <c r="AH103" i="72"/>
  <c r="AX103" i="21"/>
  <c r="BF103" i="21" s="1"/>
  <c r="V105" i="21"/>
  <c r="R105" i="72"/>
  <c r="V106" i="21" s="1"/>
  <c r="Z101" i="21"/>
  <c r="V101" i="72"/>
  <c r="AK102" i="21"/>
  <c r="AS102" i="21" s="1"/>
  <c r="AC102" i="72"/>
  <c r="Y101" i="21"/>
  <c r="U101" i="72"/>
  <c r="V104" i="37"/>
  <c r="Z100" i="37"/>
  <c r="AH100" i="37" s="1"/>
  <c r="AH100" i="21"/>
  <c r="AM102" i="72"/>
  <c r="BK102" i="21"/>
  <c r="BS102" i="21" s="1"/>
  <c r="R100" i="21"/>
  <c r="F100" i="37"/>
  <c r="R100" i="37" s="1"/>
  <c r="K103" i="21"/>
  <c r="K103" i="37" s="1"/>
  <c r="K103" i="72"/>
  <c r="T104" i="37"/>
  <c r="AW103" i="21"/>
  <c r="BE103" i="21" s="1"/>
  <c r="AG103" i="72"/>
  <c r="AD102" i="72"/>
  <c r="AL102" i="21"/>
  <c r="AT102" i="21" s="1"/>
  <c r="W104" i="37"/>
  <c r="P105" i="72"/>
  <c r="T106" i="21" s="1"/>
  <c r="T105" i="21"/>
  <c r="G101" i="21"/>
  <c r="G101" i="72"/>
  <c r="BH102" i="21"/>
  <c r="BP102" i="21" s="1"/>
  <c r="AJ102" i="72"/>
  <c r="Y100" i="37"/>
  <c r="AG100" i="37" s="1"/>
  <c r="AG100" i="21"/>
  <c r="D101" i="72"/>
  <c r="D101" i="21"/>
  <c r="W101" i="72"/>
  <c r="AA101" i="21"/>
  <c r="F101" i="21"/>
  <c r="F101" i="72"/>
  <c r="H103" i="21"/>
  <c r="H103" i="37" s="1"/>
  <c r="H103" i="72"/>
  <c r="AB102" i="72"/>
  <c r="AJ102" i="21"/>
  <c r="AR102" i="21" s="1"/>
  <c r="AY103" i="21"/>
  <c r="BG103" i="21" s="1"/>
  <c r="AI103" i="72"/>
  <c r="S100" i="21"/>
  <c r="G100" i="37"/>
  <c r="S100" i="37" s="1"/>
  <c r="BI102" i="21"/>
  <c r="BQ102" i="21" s="1"/>
  <c r="AK102" i="72"/>
  <c r="AM102" i="21"/>
  <c r="AU102" i="21" s="1"/>
  <c r="AE102" i="72"/>
  <c r="X100" i="37"/>
  <c r="AF100" i="37" s="1"/>
  <c r="AF100" i="21"/>
  <c r="U104" i="37"/>
  <c r="U105" i="21"/>
  <c r="Q105" i="72"/>
  <c r="U106" i="21" s="1"/>
  <c r="J103" i="21"/>
  <c r="J103" i="37" s="1"/>
  <c r="J103" i="72"/>
  <c r="W105" i="21"/>
  <c r="S105" i="72"/>
  <c r="W106" i="21" s="1"/>
  <c r="AF103" i="72"/>
  <c r="AV103" i="21"/>
  <c r="BD103" i="21" s="1"/>
  <c r="E101" i="72"/>
  <c r="E101" i="21"/>
  <c r="I103" i="21"/>
  <c r="I103" i="37" s="1"/>
  <c r="I103" i="72"/>
  <c r="AL102" i="72"/>
  <c r="BJ102" i="21"/>
  <c r="BR102" i="21" s="1"/>
  <c r="X101" i="21"/>
  <c r="T101" i="72"/>
  <c r="Q100" i="21"/>
  <c r="E100" i="37"/>
  <c r="Q100" i="37" s="1"/>
  <c r="X101" i="37" l="1"/>
  <c r="AF101" i="37" s="1"/>
  <c r="AF101" i="21"/>
  <c r="AV104" i="21"/>
  <c r="BD104" i="21" s="1"/>
  <c r="AF104" i="72"/>
  <c r="V106" i="37"/>
  <c r="W106" i="37"/>
  <c r="F102" i="72"/>
  <c r="F102" i="21"/>
  <c r="AJ103" i="72"/>
  <c r="BH103" i="21"/>
  <c r="BP103" i="21" s="1"/>
  <c r="U102" i="72"/>
  <c r="Y102" i="21"/>
  <c r="W105" i="37"/>
  <c r="AL103" i="21"/>
  <c r="AT103" i="21" s="1"/>
  <c r="AD103" i="72"/>
  <c r="Y101" i="37"/>
  <c r="AG101" i="37" s="1"/>
  <c r="AG101" i="21"/>
  <c r="V105" i="37"/>
  <c r="BJ103" i="21"/>
  <c r="BR103" i="21" s="1"/>
  <c r="AL103" i="72"/>
  <c r="F101" i="37"/>
  <c r="R101" i="37" s="1"/>
  <c r="R101" i="21"/>
  <c r="I104" i="21"/>
  <c r="I104" i="37" s="1"/>
  <c r="I104" i="72"/>
  <c r="J104" i="21"/>
  <c r="J104" i="37" s="1"/>
  <c r="J104" i="72"/>
  <c r="AM103" i="21"/>
  <c r="AU103" i="21" s="1"/>
  <c r="AE103" i="72"/>
  <c r="AY104" i="21"/>
  <c r="BG104" i="21" s="1"/>
  <c r="AI104" i="72"/>
  <c r="AA101" i="37"/>
  <c r="AI101" i="37" s="1"/>
  <c r="AI101" i="21"/>
  <c r="G102" i="21"/>
  <c r="G102" i="72"/>
  <c r="AW104" i="21"/>
  <c r="BE104" i="21" s="1"/>
  <c r="AG104" i="72"/>
  <c r="AX104" i="21"/>
  <c r="BF104" i="21" s="1"/>
  <c r="AH104" i="72"/>
  <c r="W102" i="72"/>
  <c r="AA102" i="21"/>
  <c r="S101" i="21"/>
  <c r="G101" i="37"/>
  <c r="S101" i="37" s="1"/>
  <c r="BK103" i="21"/>
  <c r="BS103" i="21" s="1"/>
  <c r="AM103" i="72"/>
  <c r="AK103" i="21"/>
  <c r="AS103" i="21" s="1"/>
  <c r="AC103" i="72"/>
  <c r="T105" i="37"/>
  <c r="Q101" i="21"/>
  <c r="E101" i="37"/>
  <c r="Q101" i="37" s="1"/>
  <c r="P101" i="21"/>
  <c r="D101" i="37"/>
  <c r="P101" i="37" s="1"/>
  <c r="E102" i="72"/>
  <c r="E102" i="21"/>
  <c r="AB103" i="72"/>
  <c r="AJ103" i="21"/>
  <c r="AR103" i="21" s="1"/>
  <c r="D102" i="72"/>
  <c r="D102" i="21"/>
  <c r="T106" i="37"/>
  <c r="Z102" i="21"/>
  <c r="V102" i="72"/>
  <c r="U106" i="37"/>
  <c r="BI103" i="21"/>
  <c r="BQ103" i="21" s="1"/>
  <c r="AK103" i="72"/>
  <c r="U105" i="37"/>
  <c r="T102" i="72"/>
  <c r="X102" i="21"/>
  <c r="H104" i="21"/>
  <c r="H104" i="37" s="1"/>
  <c r="H104" i="72"/>
  <c r="K104" i="21"/>
  <c r="K104" i="37" s="1"/>
  <c r="K104" i="72"/>
  <c r="Z101" i="37"/>
  <c r="AH101" i="37" s="1"/>
  <c r="AH101" i="21"/>
  <c r="BI104" i="21" l="1"/>
  <c r="BQ104" i="21" s="1"/>
  <c r="AK104" i="72"/>
  <c r="D103" i="72"/>
  <c r="D103" i="21"/>
  <c r="G103" i="72"/>
  <c r="G103" i="21"/>
  <c r="J105" i="21"/>
  <c r="J105" i="37" s="1"/>
  <c r="J105" i="72"/>
  <c r="J106" i="21" s="1"/>
  <c r="J106" i="37" s="1"/>
  <c r="Y102" i="37"/>
  <c r="AG102" i="37" s="1"/>
  <c r="AG102" i="21"/>
  <c r="S102" i="21"/>
  <c r="G102" i="37"/>
  <c r="S102" i="37" s="1"/>
  <c r="Y103" i="21"/>
  <c r="U103" i="72"/>
  <c r="AB104" i="72"/>
  <c r="AJ104" i="21"/>
  <c r="AR104" i="21" s="1"/>
  <c r="AA102" i="37"/>
  <c r="AI102" i="37" s="1"/>
  <c r="AI102" i="21"/>
  <c r="I105" i="21"/>
  <c r="I105" i="37" s="1"/>
  <c r="I105" i="72"/>
  <c r="I106" i="21" s="1"/>
  <c r="I106" i="37" s="1"/>
  <c r="H105" i="72"/>
  <c r="H106" i="21" s="1"/>
  <c r="H106" i="37" s="1"/>
  <c r="H105" i="21"/>
  <c r="H105" i="37" s="1"/>
  <c r="Q102" i="21"/>
  <c r="E102" i="37"/>
  <c r="Q102" i="37" s="1"/>
  <c r="BH104" i="21"/>
  <c r="BP104" i="21" s="1"/>
  <c r="AJ104" i="72"/>
  <c r="P102" i="21"/>
  <c r="D102" i="37"/>
  <c r="P102" i="37" s="1"/>
  <c r="X102" i="37"/>
  <c r="AF102" i="37" s="1"/>
  <c r="AF102" i="21"/>
  <c r="V103" i="72"/>
  <c r="Z103" i="21"/>
  <c r="AA103" i="21"/>
  <c r="W103" i="72"/>
  <c r="T103" i="72"/>
  <c r="X103" i="21"/>
  <c r="Z102" i="37"/>
  <c r="AH102" i="37" s="1"/>
  <c r="AH102" i="21"/>
  <c r="E103" i="21"/>
  <c r="E103" i="72"/>
  <c r="AK104" i="21"/>
  <c r="AS104" i="21" s="1"/>
  <c r="AC104" i="72"/>
  <c r="AX105" i="21"/>
  <c r="BF105" i="21" s="1"/>
  <c r="AH105" i="72"/>
  <c r="AX106" i="21" s="1"/>
  <c r="BF106" i="21" s="1"/>
  <c r="AY105" i="21"/>
  <c r="BG105" i="21" s="1"/>
  <c r="AI105" i="72"/>
  <c r="AY106" i="21" s="1"/>
  <c r="BG106" i="21" s="1"/>
  <c r="AL104" i="21"/>
  <c r="AT104" i="21" s="1"/>
  <c r="AD104" i="72"/>
  <c r="R102" i="21"/>
  <c r="F102" i="37"/>
  <c r="R102" i="37" s="1"/>
  <c r="AF105" i="72"/>
  <c r="AV106" i="21" s="1"/>
  <c r="BD106" i="21" s="1"/>
  <c r="AV105" i="21"/>
  <c r="BD105" i="21" s="1"/>
  <c r="F103" i="72"/>
  <c r="F103" i="21"/>
  <c r="K105" i="21"/>
  <c r="K105" i="37" s="1"/>
  <c r="K105" i="72"/>
  <c r="K106" i="21" s="1"/>
  <c r="K106" i="37" s="1"/>
  <c r="BK104" i="21"/>
  <c r="BS104" i="21" s="1"/>
  <c r="AM104" i="72"/>
  <c r="AW105" i="21"/>
  <c r="BE105" i="21" s="1"/>
  <c r="AG105" i="72"/>
  <c r="AW106" i="21" s="1"/>
  <c r="BE106" i="21" s="1"/>
  <c r="AE104" i="72"/>
  <c r="AM104" i="21"/>
  <c r="AU104" i="21" s="1"/>
  <c r="AL104" i="72"/>
  <c r="BJ104" i="21"/>
  <c r="BR104" i="21" s="1"/>
  <c r="X104" i="21" l="1"/>
  <c r="T104" i="72"/>
  <c r="Y104" i="21"/>
  <c r="U104" i="72"/>
  <c r="Y103" i="37"/>
  <c r="AG103" i="37" s="1"/>
  <c r="AG103" i="21"/>
  <c r="S103" i="21"/>
  <c r="G103" i="37"/>
  <c r="S103" i="37" s="1"/>
  <c r="X103" i="37"/>
  <c r="AF103" i="37" s="1"/>
  <c r="AF103" i="21"/>
  <c r="AK105" i="21"/>
  <c r="AS105" i="21" s="1"/>
  <c r="AC105" i="72"/>
  <c r="AK106" i="21" s="1"/>
  <c r="AS106" i="21" s="1"/>
  <c r="W104" i="72"/>
  <c r="AA104" i="21"/>
  <c r="BJ105" i="21"/>
  <c r="BR105" i="21" s="1"/>
  <c r="AL105" i="72"/>
  <c r="BJ106" i="21" s="1"/>
  <c r="BR106" i="21" s="1"/>
  <c r="AA103" i="37"/>
  <c r="AI103" i="37" s="1"/>
  <c r="AI103" i="21"/>
  <c r="AJ105" i="72"/>
  <c r="BH106" i="21" s="1"/>
  <c r="BP106" i="21" s="1"/>
  <c r="BH105" i="21"/>
  <c r="BP105" i="21" s="1"/>
  <c r="G104" i="72"/>
  <c r="G104" i="21"/>
  <c r="AD105" i="72"/>
  <c r="AL106" i="21" s="1"/>
  <c r="AT106" i="21" s="1"/>
  <c r="AL105" i="21"/>
  <c r="AT105" i="21" s="1"/>
  <c r="E104" i="21"/>
  <c r="E104" i="72"/>
  <c r="P103" i="21"/>
  <c r="D103" i="37"/>
  <c r="P103" i="37" s="1"/>
  <c r="AE105" i="72"/>
  <c r="AM106" i="21" s="1"/>
  <c r="AU106" i="21" s="1"/>
  <c r="AM105" i="21"/>
  <c r="AU105" i="21" s="1"/>
  <c r="Q103" i="21"/>
  <c r="E103" i="37"/>
  <c r="Q103" i="37" s="1"/>
  <c r="Z103" i="37"/>
  <c r="AH103" i="37" s="1"/>
  <c r="AH103" i="21"/>
  <c r="D104" i="72"/>
  <c r="D104" i="21"/>
  <c r="AM105" i="72"/>
  <c r="BK106" i="21" s="1"/>
  <c r="BS106" i="21" s="1"/>
  <c r="BK105" i="21"/>
  <c r="BS105" i="21" s="1"/>
  <c r="R103" i="21"/>
  <c r="F103" i="37"/>
  <c r="R103" i="37" s="1"/>
  <c r="Z104" i="21"/>
  <c r="V104" i="72"/>
  <c r="AB105" i="72"/>
  <c r="AJ106" i="21" s="1"/>
  <c r="AR106" i="21" s="1"/>
  <c r="AJ105" i="21"/>
  <c r="AR105" i="21" s="1"/>
  <c r="AK105" i="72"/>
  <c r="BI106" i="21" s="1"/>
  <c r="BQ106" i="21" s="1"/>
  <c r="BI105" i="21"/>
  <c r="BQ105" i="21" s="1"/>
  <c r="F104" i="21"/>
  <c r="F104" i="72"/>
  <c r="G104" i="37" l="1"/>
  <c r="S104" i="37" s="1"/>
  <c r="S104" i="21"/>
  <c r="AA104" i="37"/>
  <c r="AI104" i="37" s="1"/>
  <c r="AI104" i="21"/>
  <c r="F105" i="72"/>
  <c r="F106" i="21" s="1"/>
  <c r="F105" i="21"/>
  <c r="G105" i="21"/>
  <c r="G105" i="72"/>
  <c r="G106" i="21" s="1"/>
  <c r="AA105" i="21"/>
  <c r="W105" i="72"/>
  <c r="AA106" i="21" s="1"/>
  <c r="U105" i="72"/>
  <c r="Y106" i="21" s="1"/>
  <c r="Y105" i="21"/>
  <c r="P104" i="21"/>
  <c r="D104" i="37"/>
  <c r="P104" i="37" s="1"/>
  <c r="Y104" i="37"/>
  <c r="AG104" i="37" s="1"/>
  <c r="AG104" i="21"/>
  <c r="D105" i="72"/>
  <c r="D106" i="21" s="1"/>
  <c r="D105" i="21"/>
  <c r="Z105" i="21"/>
  <c r="V105" i="72"/>
  <c r="Z106" i="21" s="1"/>
  <c r="E105" i="21"/>
  <c r="E105" i="72"/>
  <c r="E106" i="21" s="1"/>
  <c r="X105" i="21"/>
  <c r="T105" i="72"/>
  <c r="X106" i="21" s="1"/>
  <c r="R104" i="21"/>
  <c r="F104" i="37"/>
  <c r="R104" i="37" s="1"/>
  <c r="Z104" i="37"/>
  <c r="AH104" i="37" s="1"/>
  <c r="AH104" i="21"/>
  <c r="E104" i="37"/>
  <c r="Q104" i="37" s="1"/>
  <c r="Q104" i="21"/>
  <c r="X104" i="37"/>
  <c r="AF104" i="37" s="1"/>
  <c r="AF104" i="21"/>
  <c r="X106" i="37" l="1"/>
  <c r="AF106" i="37" s="1"/>
  <c r="AF106" i="21"/>
  <c r="S106" i="21"/>
  <c r="G106" i="37"/>
  <c r="S106" i="37" s="1"/>
  <c r="X105" i="37"/>
  <c r="AF105" i="37" s="1"/>
  <c r="AF105" i="21"/>
  <c r="S105" i="21"/>
  <c r="G105" i="37"/>
  <c r="S105" i="37" s="1"/>
  <c r="Q106" i="21"/>
  <c r="E106" i="37"/>
  <c r="Q106" i="37" s="1"/>
  <c r="R105" i="21"/>
  <c r="F105" i="37"/>
  <c r="R105" i="37" s="1"/>
  <c r="E105" i="37"/>
  <c r="Q105" i="37" s="1"/>
  <c r="Q105" i="21"/>
  <c r="R106" i="21"/>
  <c r="F106" i="37"/>
  <c r="R106" i="37" s="1"/>
  <c r="Z106" i="37"/>
  <c r="AH106" i="37" s="1"/>
  <c r="AH106" i="21"/>
  <c r="Y105" i="37"/>
  <c r="AG105" i="37" s="1"/>
  <c r="AG105" i="21"/>
  <c r="Z105" i="37"/>
  <c r="AH105" i="37" s="1"/>
  <c r="AH105" i="21"/>
  <c r="Y106" i="37"/>
  <c r="AG106" i="37" s="1"/>
  <c r="AG106" i="21"/>
  <c r="D105" i="37"/>
  <c r="P105" i="37" s="1"/>
  <c r="P105" i="21"/>
  <c r="AA106" i="37"/>
  <c r="AI106" i="37" s="1"/>
  <c r="AI106" i="21"/>
  <c r="P106" i="21"/>
  <c r="D106" i="37"/>
  <c r="P106" i="37" s="1"/>
  <c r="AA105" i="37"/>
  <c r="AI105" i="37" s="1"/>
  <c r="AI105" i="21"/>
</calcChain>
</file>

<file path=xl/comments1.xml><?xml version="1.0" encoding="utf-8"?>
<comments xmlns="http://schemas.openxmlformats.org/spreadsheetml/2006/main">
  <authors>
    <author>Philip Sumner</author>
    <author>jcumming</author>
  </authors>
  <commentList>
    <comment ref="A7" authorId="0" shapeId="0">
      <text>
        <r>
          <rPr>
            <b/>
            <sz val="8"/>
            <color indexed="81"/>
            <rFont val="Tahoma"/>
            <family val="2"/>
          </rPr>
          <t>Philip Sumner:</t>
        </r>
        <r>
          <rPr>
            <sz val="8"/>
            <color indexed="81"/>
            <rFont val="Tahoma"/>
            <family val="2"/>
          </rPr>
          <t xml:space="preserve">
This cell and the cell below refer directly to audit sheet.
</t>
        </r>
      </text>
    </comment>
    <comment ref="B14" authorId="0" shapeId="0">
      <text>
        <r>
          <rPr>
            <b/>
            <sz val="8"/>
            <color indexed="81"/>
            <rFont val="Tahoma"/>
            <family val="2"/>
          </rPr>
          <t>Philip Sumner:</t>
        </r>
        <r>
          <rPr>
            <sz val="8"/>
            <color indexed="81"/>
            <rFont val="Tahoma"/>
            <family val="2"/>
          </rPr>
          <t xml:space="preserve">
This cell and the cell directly below map to user parameters.</t>
        </r>
      </text>
    </comment>
    <comment ref="B27" authorId="1" shapeId="0">
      <text>
        <r>
          <rPr>
            <b/>
            <sz val="8"/>
            <color indexed="81"/>
            <rFont val="Tahoma"/>
            <family val="2"/>
          </rPr>
          <t>JSC: Source value year</t>
        </r>
        <r>
          <rPr>
            <sz val="8"/>
            <color indexed="81"/>
            <rFont val="Tahoma"/>
            <family val="2"/>
          </rPr>
          <t xml:space="preserve">
</t>
        </r>
      </text>
    </comment>
  </commentList>
</comments>
</file>

<file path=xl/comments2.xml><?xml version="1.0" encoding="utf-8"?>
<comments xmlns="http://schemas.openxmlformats.org/spreadsheetml/2006/main">
  <authors>
    <author>Philip Sumner</author>
  </authors>
  <commentList>
    <comment ref="A7" authorId="0" shapeId="0">
      <text>
        <r>
          <rPr>
            <b/>
            <sz val="8"/>
            <color indexed="81"/>
            <rFont val="Tahoma"/>
            <family val="2"/>
          </rPr>
          <t>Philip Sumner:</t>
        </r>
        <r>
          <rPr>
            <sz val="8"/>
            <color indexed="81"/>
            <rFont val="Tahoma"/>
            <family val="2"/>
          </rPr>
          <t xml:space="preserve">
This cell and the cell below refer directly to audit sheet.
</t>
        </r>
      </text>
    </comment>
  </commentList>
</comments>
</file>

<file path=xl/comments3.xml><?xml version="1.0" encoding="utf-8"?>
<comments xmlns="http://schemas.openxmlformats.org/spreadsheetml/2006/main">
  <authors>
    <author>jcumming</author>
  </authors>
  <commentList>
    <comment ref="S33" authorId="0" shapeId="0">
      <text>
        <r>
          <rPr>
            <b/>
            <sz val="8"/>
            <color indexed="81"/>
            <rFont val="Tahoma"/>
            <family val="2"/>
          </rPr>
          <t>Picks up year in column C.</t>
        </r>
        <r>
          <rPr>
            <sz val="8"/>
            <color indexed="81"/>
            <rFont val="Tahoma"/>
            <family val="2"/>
          </rPr>
          <t xml:space="preserve">
</t>
        </r>
      </text>
    </comment>
  </commentList>
</comments>
</file>

<file path=xl/comments4.xml><?xml version="1.0" encoding="utf-8"?>
<comments xmlns="http://schemas.openxmlformats.org/spreadsheetml/2006/main">
  <authors>
    <author>Philip Sumner</author>
  </authors>
  <commentList>
    <comment ref="A7" authorId="0" shapeId="0">
      <text>
        <r>
          <rPr>
            <b/>
            <sz val="8"/>
            <color indexed="81"/>
            <rFont val="Tahoma"/>
            <family val="2"/>
          </rPr>
          <t>Philip Sumner:</t>
        </r>
        <r>
          <rPr>
            <sz val="8"/>
            <color indexed="81"/>
            <rFont val="Tahoma"/>
            <family val="2"/>
          </rPr>
          <t xml:space="preserve">
This cell and the cell below refer directly to audit sheet.
</t>
        </r>
      </text>
    </comment>
  </commentList>
</comments>
</file>

<file path=xl/comments5.xml><?xml version="1.0" encoding="utf-8"?>
<comments xmlns="http://schemas.openxmlformats.org/spreadsheetml/2006/main">
  <authors>
    <author>Philip Sumner</author>
  </authors>
  <commentList>
    <comment ref="A7" authorId="0" shapeId="0">
      <text>
        <r>
          <rPr>
            <sz val="8"/>
            <color indexed="81"/>
            <rFont val="Tahoma"/>
            <family val="2"/>
          </rPr>
          <t xml:space="preserve">This cell and the cell below refer directly to audit sheet.
</t>
        </r>
      </text>
    </comment>
  </commentList>
</comments>
</file>

<file path=xl/comments6.xml><?xml version="1.0" encoding="utf-8"?>
<comments xmlns="http://schemas.openxmlformats.org/spreadsheetml/2006/main">
  <authors>
    <author>Philip Sumner</author>
  </authors>
  <commentList>
    <comment ref="A7" authorId="0" shapeId="0">
      <text>
        <r>
          <rPr>
            <b/>
            <sz val="8"/>
            <color indexed="81"/>
            <rFont val="Tahoma"/>
            <family val="2"/>
          </rPr>
          <t>Philip Sumner:</t>
        </r>
        <r>
          <rPr>
            <sz val="8"/>
            <color indexed="81"/>
            <rFont val="Tahoma"/>
            <family val="2"/>
          </rPr>
          <t xml:space="preserve">
This cell and the cell below refer directly to audit sheet.
</t>
        </r>
      </text>
    </comment>
  </commentList>
</comments>
</file>

<file path=xl/comments7.xml><?xml version="1.0" encoding="utf-8"?>
<comments xmlns="http://schemas.openxmlformats.org/spreadsheetml/2006/main">
  <authors>
    <author>Philip Sumner</author>
  </authors>
  <commentList>
    <comment ref="A7" authorId="0" shapeId="0">
      <text>
        <r>
          <rPr>
            <b/>
            <sz val="8"/>
            <color indexed="81"/>
            <rFont val="Tahoma"/>
            <family val="2"/>
          </rPr>
          <t>Philip Sumner:</t>
        </r>
        <r>
          <rPr>
            <sz val="8"/>
            <color indexed="81"/>
            <rFont val="Tahoma"/>
            <family val="2"/>
          </rPr>
          <t xml:space="preserve">
This cell and the cell below refer directly to audit sheet.
</t>
        </r>
      </text>
    </comment>
  </commentList>
</comments>
</file>

<file path=xl/sharedStrings.xml><?xml version="1.0" encoding="utf-8"?>
<sst xmlns="http://schemas.openxmlformats.org/spreadsheetml/2006/main" count="12115" uniqueCount="2505">
  <si>
    <t>RoC to/from LTA</t>
  </si>
  <si>
    <t>Average work and non-work</t>
  </si>
  <si>
    <t>Average work %:</t>
  </si>
  <si>
    <t>from A1.3.4</t>
  </si>
  <si>
    <t>RoSE to RoSE</t>
  </si>
  <si>
    <t>Non-London Inter-urban</t>
  </si>
  <si>
    <t>Urban areas</t>
  </si>
  <si>
    <t>2010/11</t>
  </si>
  <si>
    <t>2011/12</t>
  </si>
  <si>
    <t>Previous versions (in reverse date order)</t>
  </si>
  <si>
    <t>This version:</t>
  </si>
  <si>
    <t xml:space="preserve">Sources: </t>
  </si>
  <si>
    <t>Starting year:</t>
  </si>
  <si>
    <t>Table template</t>
  </si>
  <si>
    <t>Links:</t>
  </si>
  <si>
    <t>Measure</t>
  </si>
  <si>
    <t>Evenness</t>
  </si>
  <si>
    <t>Kerbs</t>
  </si>
  <si>
    <t>Lighting</t>
  </si>
  <si>
    <t>Signs</t>
  </si>
  <si>
    <t>Info panels</t>
  </si>
  <si>
    <t>"Valuing Walking: Evaluating Improvements to the Public Realm"</t>
  </si>
  <si>
    <t>Casualty type</t>
  </si>
  <si>
    <t xml:space="preserve">Daniel Heuman, Paul Buchanan, Martin Wedderburn and Rob Sheldon, </t>
  </si>
  <si>
    <t>Colin Buchanan and Accent MR</t>
  </si>
  <si>
    <t>Assume 2005 prices</t>
  </si>
  <si>
    <t>Annoyance response relationships for road &amp; rail traffic noise, &amp; Monetary valuation of changes in noise level (per household)</t>
  </si>
  <si>
    <t>Damage cost and marginal abatement cost values</t>
  </si>
  <si>
    <t>In cell C21, column P in Annual parameters picks up population; column S for Households</t>
  </si>
  <si>
    <t>Road and rail electricity prices &amp; carbon components</t>
  </si>
  <si>
    <t>Segmented values of bus quality interventions</t>
  </si>
  <si>
    <t xml:space="preserve">Sarah Robson (Principal Consultant, AECOM) (Oct. 2009) "The Role of Soft Measures in Influencing Patronage Growth and Modal Split in the Bus Market in England", DfT </t>
  </si>
  <si>
    <t xml:space="preserve">http://assets.dft.gov.uk/publications/role-of-soft-factors-in-the-bus-market-in-england/report.pdf </t>
  </si>
  <si>
    <t>1 Only overall figures have been presented for audio announcements, climate control and new bus shelters because the segmented bus and car user figures obtained from the models were not significantly different. Overall valuations obtained from an unsegmented model are also presented (they are an average of the bus and car user figures).</t>
  </si>
  <si>
    <t>Soft Measure</t>
  </si>
  <si>
    <r>
      <t xml:space="preserve">Audio Announcements </t>
    </r>
    <r>
      <rPr>
        <vertAlign val="superscript"/>
        <sz val="10"/>
        <color indexed="8"/>
        <rFont val="Arial"/>
        <family val="2"/>
      </rPr>
      <t>1</t>
    </r>
  </si>
  <si>
    <t xml:space="preserve">CCTV at Bus Stops </t>
  </si>
  <si>
    <t xml:space="preserve">CCTV on Buses </t>
  </si>
  <si>
    <t>Flow Chart on Tables connections</t>
  </si>
  <si>
    <t>Section</t>
  </si>
  <si>
    <t>Table</t>
  </si>
  <si>
    <t>Title</t>
  </si>
  <si>
    <t>1 &amp; 2</t>
  </si>
  <si>
    <t>Survey year (study base year)</t>
  </si>
  <si>
    <t>Population unit</t>
  </si>
  <si>
    <t>Mode</t>
  </si>
  <si>
    <t>Bus</t>
  </si>
  <si>
    <t>Forecast values of time per person</t>
  </si>
  <si>
    <t>Forecast values of time per vehicle</t>
  </si>
  <si>
    <t>Fuel &amp; electricity price forecasts</t>
  </si>
  <si>
    <t>VoT elasticities are set in Default Pars.</t>
  </si>
  <si>
    <t>Elasticity of in-work-time value of time to GDP/head (Used in Annual Parameters Source)</t>
  </si>
  <si>
    <t>Elasticity of non-work-time value of time to GDP/head (Used in Annual Parameters Source)</t>
  </si>
  <si>
    <t>Price base year for presentation of values.</t>
  </si>
  <si>
    <t>Value year:</t>
  </si>
  <si>
    <t>DfT-defined default parameters</t>
  </si>
  <si>
    <t>Base year for valuations presented in single-year tables.</t>
  </si>
  <si>
    <t>Defaults</t>
  </si>
  <si>
    <t>Reset all defaults</t>
  </si>
  <si>
    <t>Reset</t>
  </si>
  <si>
    <t>Average of all working persons</t>
  </si>
  <si>
    <t>Casualty costs</t>
  </si>
  <si>
    <t>Accident costs</t>
  </si>
  <si>
    <t>COBALT 1</t>
  </si>
  <si>
    <t>COBALT 2</t>
  </si>
  <si>
    <t>COBALT 3</t>
  </si>
  <si>
    <t>COBALT 4</t>
  </si>
  <si>
    <t>GB x London</t>
  </si>
  <si>
    <r>
      <t xml:space="preserve">This table feeds into A 1.3.8, 1.3.10, 1.3.11, 1.3.12, 1.3.13.  </t>
    </r>
    <r>
      <rPr>
        <sz val="10"/>
        <color indexed="10"/>
        <rFont val="Arial"/>
        <family val="2"/>
      </rPr>
      <t>If C15 is changed, Notes in VoC Efficiency need changing.</t>
    </r>
  </si>
  <si>
    <t>Fuel costs are estimated using a function of the form:</t>
  </si>
  <si>
    <t>L = costs, expressed in pence per kilometre;</t>
  </si>
  <si>
    <t>Table M 4.2.2</t>
  </si>
  <si>
    <t>All GB</t>
  </si>
  <si>
    <t>A range named "Parameters" is defined to cover all of "Annual Parameters" values.</t>
  </si>
  <si>
    <r>
      <t xml:space="preserve">Range names:  </t>
    </r>
    <r>
      <rPr>
        <sz val="10"/>
        <rFont val="Arial"/>
        <family val="2"/>
      </rPr>
      <t>Av_car_cost_work</t>
    </r>
  </si>
  <si>
    <t>Av_car_cost_nonwork</t>
  </si>
  <si>
    <t>This tab feeds Tables: Adjustment factors, M 4.2.1,  M 4.2.2</t>
  </si>
  <si>
    <t>2a</t>
  </si>
  <si>
    <t>2b</t>
  </si>
  <si>
    <t>4a</t>
  </si>
  <si>
    <t>4b</t>
  </si>
  <si>
    <t>4c</t>
  </si>
  <si>
    <t xml:space="preserve"> Table No.</t>
  </si>
  <si>
    <t>10a</t>
  </si>
  <si>
    <t>10b</t>
  </si>
  <si>
    <t>TAG1</t>
  </si>
  <si>
    <t>Kg CO2e/l</t>
  </si>
  <si>
    <t>Kg CO2e/kWh</t>
  </si>
  <si>
    <t>Junction only: Accident Change Factors</t>
  </si>
  <si>
    <t>Junction only: Accident Beta Factor Changes over Time</t>
  </si>
  <si>
    <t>Link only: Accident Rates and Change Factors</t>
  </si>
  <si>
    <t>Link only and Combined Link / Junction: Accident Beta Factor Changes over Time</t>
  </si>
  <si>
    <t>Link only: Accident Proportions</t>
  </si>
  <si>
    <t>Link only: Casualty Rates</t>
  </si>
  <si>
    <t>Table 4.1.7: Values of aspects in pedestrian environment</t>
  </si>
  <si>
    <t>Costs per Accident / Casualty</t>
  </si>
  <si>
    <t>Junction only: Accident Parameters</t>
  </si>
  <si>
    <t>A  4.1.5</t>
  </si>
  <si>
    <t>Forecast fuel / energy consumption parameters</t>
  </si>
  <si>
    <t>A 1.3.12</t>
  </si>
  <si>
    <t>Forecast vehicle fuel / energy cost formulae parameters (work)</t>
  </si>
  <si>
    <t>A 1.3.13</t>
  </si>
  <si>
    <t>Forecast vehicle fuel / energy cost formulae parameters (non-work)</t>
  </si>
  <si>
    <t>A 1.3.14</t>
  </si>
  <si>
    <t>A 1.3.15</t>
  </si>
  <si>
    <t>A 1.1</t>
  </si>
  <si>
    <t>A 1.3</t>
  </si>
  <si>
    <t>A 3.1</t>
  </si>
  <si>
    <t>A 5.4</t>
  </si>
  <si>
    <t>M 4.2</t>
  </si>
  <si>
    <t>M 2.1</t>
  </si>
  <si>
    <t>M 2.2</t>
  </si>
  <si>
    <t>M 3.2.1</t>
  </si>
  <si>
    <t>Segmented values of bus quality interventions (generalised minutes)</t>
  </si>
  <si>
    <t>Average value of prevention per road accident by severity &amp; class of road: all hours</t>
  </si>
  <si>
    <t>Value of journey quality benefit of cycle facilities, relative to no facilities</t>
  </si>
  <si>
    <t>Values of aspects of pedestrian environment, used in valuation of London Strategic Walk Network</t>
  </si>
  <si>
    <t>Proportion of total traffic by region, congestion band, area type &amp; road type</t>
  </si>
  <si>
    <t>A 4.1.1</t>
  </si>
  <si>
    <t>A 4.1.2</t>
  </si>
  <si>
    <t>A 4.1.3</t>
  </si>
  <si>
    <t>A 4.1.4</t>
  </si>
  <si>
    <t>A 4.1.5</t>
  </si>
  <si>
    <t>A 4.1.6</t>
  </si>
  <si>
    <t>A 4.1.7</t>
  </si>
  <si>
    <t>A 4.1</t>
  </si>
  <si>
    <t>A 4.1.8</t>
  </si>
  <si>
    <t>M 3.2</t>
  </si>
  <si>
    <t>Petrol / Diesel</t>
  </si>
  <si>
    <t>Fuel / energy consumption parameter values</t>
  </si>
  <si>
    <t>Fuel consumption</t>
  </si>
  <si>
    <t>Fuel / energy consumption parameter values, source: DfT (2010 / 2011 respectively)</t>
  </si>
  <si>
    <r>
      <t>1</t>
    </r>
    <r>
      <rPr>
        <sz val="10"/>
        <rFont val="Arial"/>
        <family val="2"/>
      </rPr>
      <t xml:space="preserve"> Electric cars are treated as not existing before 2011. </t>
    </r>
  </si>
  <si>
    <t>Forecast fuel consumption parameters</t>
  </si>
  <si>
    <r>
      <t>Forecast traded &amp; non-traded, £ per tonne of CO</t>
    </r>
    <r>
      <rPr>
        <vertAlign val="subscript"/>
        <sz val="10"/>
        <rFont val="Arial"/>
        <family val="2"/>
      </rPr>
      <t>2</t>
    </r>
    <r>
      <rPr>
        <sz val="10"/>
        <rFont val="Arial"/>
        <family val="2"/>
      </rPr>
      <t>e (2010-2050)</t>
    </r>
  </si>
  <si>
    <r>
      <t>Forecast traded &amp; non-traded, £ per tonne of CO</t>
    </r>
    <r>
      <rPr>
        <vertAlign val="subscript"/>
        <sz val="10"/>
        <rFont val="Arial"/>
        <family val="2"/>
      </rPr>
      <t>2</t>
    </r>
    <r>
      <rPr>
        <sz val="10"/>
        <rFont val="Arial"/>
        <family val="2"/>
      </rPr>
      <t>e (2050-2100)</t>
    </r>
  </si>
  <si>
    <t>Costs are calculated by multiplying the source year costs by the ratio of the price year to the source price year deflator and the ratio of the GDP per head for value year to the source value year.</t>
  </si>
  <si>
    <t>Proportion non-use value</t>
  </si>
  <si>
    <t>Proportion non-use value:</t>
  </si>
  <si>
    <t>Used for old 3.14.1 Table 5 “Values of aspects in pedestrian environment” (New A 3.8.2)</t>
  </si>
  <si>
    <r>
      <t>Laird J, Batley R &amp; Nash C (2006), "</t>
    </r>
    <r>
      <rPr>
        <i/>
        <sz val="10"/>
        <rFont val="Arial"/>
        <family val="2"/>
      </rPr>
      <t>Option values, non-use values &amp; transport appraisal</t>
    </r>
    <r>
      <rPr>
        <sz val="10"/>
        <rFont val="Arial"/>
        <family val="2"/>
      </rPr>
      <t>", Institute for Transport Studies, University of Leeds (Report to DfT)</t>
    </r>
  </si>
  <si>
    <r>
      <t xml:space="preserve">R M Humphreys and A S Fowkes (2006), "The significance of indirect use and non-use values in transport appraisal", </t>
    </r>
    <r>
      <rPr>
        <i/>
        <sz val="10"/>
        <rFont val="Arial"/>
        <family val="2"/>
      </rPr>
      <t>International Journal of Transport Economics</t>
    </r>
    <r>
      <rPr>
        <sz val="10"/>
        <rFont val="Arial"/>
        <family val="2"/>
      </rPr>
      <t>, Vol.</t>
    </r>
    <r>
      <rPr>
        <b/>
        <sz val="10"/>
        <rFont val="Arial"/>
        <family val="2"/>
      </rPr>
      <t>33</t>
    </r>
    <r>
      <rPr>
        <sz val="10"/>
        <rFont val="Arial"/>
        <family val="2"/>
      </rPr>
      <t>(1), pp17-36,</t>
    </r>
  </si>
  <si>
    <t>Other types of electric vehicle are included for future use, but no data exist at present.</t>
  </si>
  <si>
    <t>This table omits average cars, because electric units (kWh) are different from petrol (litres).</t>
  </si>
  <si>
    <t>Contact:</t>
  </si>
  <si>
    <t>Transport Appraisal and Strategic Modelling (TASM) Division</t>
  </si>
  <si>
    <t>Department for Transport</t>
  </si>
  <si>
    <t>Click here to email TASM</t>
  </si>
  <si>
    <t>User-defined parameters</t>
  </si>
  <si>
    <t>Parameter</t>
  </si>
  <si>
    <t>Parameter description</t>
  </si>
  <si>
    <t>In forecasting sheets (in which values are presented over a series of years), this is the first year for which values are displayed.</t>
  </si>
  <si>
    <t>Values are usually presented over a period of 80 years where possible.</t>
  </si>
  <si>
    <t>Greenhouse Gas Values</t>
  </si>
  <si>
    <t>Indirect tax conversion factors</t>
  </si>
  <si>
    <t>Factors to convert from Perceived value of time</t>
  </si>
  <si>
    <t>To Market Value</t>
  </si>
  <si>
    <t>Indirect tax correction</t>
  </si>
  <si>
    <t>Currently this sheet assumes a common indirect tax correction factor for all years.</t>
  </si>
  <si>
    <t>Air Quality</t>
  </si>
  <si>
    <t>Option values</t>
  </si>
  <si>
    <t>GHG</t>
  </si>
  <si>
    <t>Source Data</t>
  </si>
  <si>
    <t>Years from current year</t>
  </si>
  <si>
    <t>Discount rate</t>
  </si>
  <si>
    <t>0-30</t>
  </si>
  <si>
    <t>31-75</t>
  </si>
  <si>
    <t>76-125</t>
  </si>
  <si>
    <t>126-200</t>
  </si>
  <si>
    <t>201-300</t>
  </si>
  <si>
    <t>301 and over</t>
  </si>
  <si>
    <t>Discount %</t>
  </si>
  <si>
    <t>Accident severity</t>
  </si>
  <si>
    <t>v0.10</t>
  </si>
  <si>
    <t>v0.9</t>
  </si>
  <si>
    <t>Development versions</t>
  </si>
  <si>
    <t>Forecast values of time per person (working and non-working)</t>
  </si>
  <si>
    <r>
      <t>(New)</t>
    </r>
    <r>
      <rPr>
        <sz val="10"/>
        <rFont val="Arial"/>
        <family val="2"/>
      </rPr>
      <t xml:space="preserve"> Forecast values of time per person (working and non-working)</t>
    </r>
  </si>
  <si>
    <t>onwards</t>
  </si>
  <si>
    <t>(%pa)</t>
  </si>
  <si>
    <t>Growth</t>
  </si>
  <si>
    <t>(% pa)</t>
  </si>
  <si>
    <t xml:space="preserve">£ Benefit / </t>
  </si>
  <si>
    <t>b1 p / hr</t>
  </si>
  <si>
    <t>a1 p / km</t>
  </si>
  <si>
    <t xml:space="preserve">   ←</t>
  </si>
  <si>
    <t xml:space="preserve">  ← </t>
  </si>
  <si>
    <t>Totals are not always exact to 1dp, due to rounding errors.</t>
  </si>
  <si>
    <t>Includes updated values of time for work and non-work purposes, segmented values of time in M2.1 and M2.2 and adjusted MECs in A5.4.2 and A5.4.4</t>
  </si>
  <si>
    <t>The congestion element of the MECs has been adjusted on the basis of the change in the average value of time per vehicle following updates to the values of time</t>
  </si>
  <si>
    <t>Changes made to reflect "in draft" changes in TAG 2013 - includes DECC IAG 2012 carbon values and fuel prices (including gas oil and separate electricity for road and rail)</t>
  </si>
  <si>
    <t>Updated and automated TEMPRO adjustment factors (M4.2.1) and introduced car cost series for rail forecasting (M4.2.2)</t>
  </si>
  <si>
    <t>Updated GDP and GDP deflator historic series (July ONS/HMT releases) and forecasts (based on Budget 2013 and July 2013 OBR Fiscal Sustainability Report)</t>
  </si>
  <si>
    <t>Roundabout (Mini, 3 Arm)</t>
  </si>
  <si>
    <t>73, 75</t>
  </si>
  <si>
    <t>78, 80</t>
  </si>
  <si>
    <t>Roundabout (Mini, 4 Arm)</t>
  </si>
  <si>
    <t>77, 79</t>
  </si>
  <si>
    <t>82, 84</t>
  </si>
  <si>
    <t>Roundabout (Mini, 5/6 Arm)</t>
  </si>
  <si>
    <t>81, 83</t>
  </si>
  <si>
    <t>86, 88</t>
  </si>
  <si>
    <t>Roundabouts (Signalised, 3 Arm)</t>
  </si>
  <si>
    <t>85, 87</t>
  </si>
  <si>
    <t>90, 92</t>
  </si>
  <si>
    <t>Roundabouts (Signalised, 4 Arm)</t>
  </si>
  <si>
    <t>89, 91</t>
  </si>
  <si>
    <t>94, 96</t>
  </si>
  <si>
    <t>Roundabouts (Signalised, 5/6 Arm)</t>
  </si>
  <si>
    <t>93, 95</t>
  </si>
  <si>
    <t>Road Description</t>
  </si>
  <si>
    <t>(mph)</t>
  </si>
  <si>
    <t>1-3</t>
  </si>
  <si>
    <t>&gt;40</t>
  </si>
  <si>
    <t>These tables feed Annual Parameters, and hence: 1.3.1,  1.3.2,  1.3.6,  1.3.7,  1.3.12,  1.3.13,  1.3.14,  1.3.15,  3.1,  3.2,  3.4,  4.1.1,  4.1.2,  4.1.4,  4.1.5,  4.1.6,  4.1.7,  4.1.8,  5.4.2,  5.4.4,  COBALT1, COBALT2.</t>
  </si>
  <si>
    <t>6, 8</t>
  </si>
  <si>
    <t>Priority (4 Arm)</t>
  </si>
  <si>
    <t>5, 7</t>
  </si>
  <si>
    <t>10, 12</t>
  </si>
  <si>
    <t>Priority (5 Arm)</t>
  </si>
  <si>
    <t>9, 11</t>
  </si>
  <si>
    <t>14, 16</t>
  </si>
  <si>
    <t>Priority w Ghost Island (3 Arm)</t>
  </si>
  <si>
    <t>13, 15</t>
  </si>
  <si>
    <t>18, 20</t>
  </si>
  <si>
    <t>Priority w Ghost Island (4 Arm)</t>
  </si>
  <si>
    <t>17, 19</t>
  </si>
  <si>
    <t>22, 24</t>
  </si>
  <si>
    <t>Priority w Ghost Island (5 Arm)</t>
  </si>
  <si>
    <t>21, 23</t>
  </si>
  <si>
    <t>26, 28</t>
  </si>
  <si>
    <t>Priority w Single Lane Dualling (3 Arm)</t>
  </si>
  <si>
    <t>25, 27</t>
  </si>
  <si>
    <t>30, 32</t>
  </si>
  <si>
    <t>Priority w Single Lane Dualling (4 Arm)</t>
  </si>
  <si>
    <t>29, 31</t>
  </si>
  <si>
    <t>34, 36</t>
  </si>
  <si>
    <t>Priority w Single Lane Dualling (5 Arm)</t>
  </si>
  <si>
    <t>33, 35</t>
  </si>
  <si>
    <t>38, 40</t>
  </si>
  <si>
    <t>Traffic Signals (3 Arm)</t>
  </si>
  <si>
    <t>37, 39</t>
  </si>
  <si>
    <t>42, 44</t>
  </si>
  <si>
    <t>Traffic Signals (4 Arm)</t>
  </si>
  <si>
    <t>41, 43</t>
  </si>
  <si>
    <t>46, 48</t>
  </si>
  <si>
    <t>Traffic Signals (5 Arm)</t>
  </si>
  <si>
    <t>45, 47</t>
  </si>
  <si>
    <t>Main data headers (add extra copies if necessary; if you merge cells to improve navigation it should be in this row only)</t>
  </si>
  <si>
    <t>Sub headers row 1</t>
  </si>
  <si>
    <t>Sub headers row 2</t>
  </si>
  <si>
    <t>Sub headers row 3</t>
  </si>
  <si>
    <t>Parameters:</t>
  </si>
  <si>
    <t>Sheet Navigation:</t>
  </si>
  <si>
    <t>Non-Working</t>
  </si>
  <si>
    <t>Notes</t>
  </si>
  <si>
    <t>Non-work</t>
  </si>
  <si>
    <t>AM peak 7am - 10am</t>
  </si>
  <si>
    <t>IP 10am - 4pm</t>
  </si>
  <si>
    <t>PM peak 4pm - 7pm</t>
  </si>
  <si>
    <t>Night 7pm - 7am</t>
  </si>
  <si>
    <t>Weekdays</t>
  </si>
  <si>
    <t>7am –</t>
  </si>
  <si>
    <t>10am</t>
  </si>
  <si>
    <t>10am –</t>
  </si>
  <si>
    <t>4pm</t>
  </si>
  <si>
    <t>4pm –</t>
  </si>
  <si>
    <t>7pm</t>
  </si>
  <si>
    <t>7pm –</t>
  </si>
  <si>
    <t>7am</t>
  </si>
  <si>
    <t xml:space="preserve">Weekday </t>
  </si>
  <si>
    <t>Non Work</t>
  </si>
  <si>
    <t>After 2036, car passengers are assumed to remain constant.</t>
  </si>
  <si>
    <t>Difference from source year</t>
  </si>
  <si>
    <t>Value</t>
  </si>
  <si>
    <t>3.6.1</t>
  </si>
  <si>
    <t>10am-4pm</t>
  </si>
  <si>
    <t>4-7pm</t>
  </si>
  <si>
    <t>7pm-7am</t>
  </si>
  <si>
    <t>"</t>
  </si>
  <si>
    <t>Beyond 2036, car passenger occupancies are assumed to remain constant.</t>
  </si>
  <si>
    <r>
      <t>Average vehicle fuel / energy cost formulae parameter values (</t>
    </r>
    <r>
      <rPr>
        <b/>
        <sz val="10"/>
        <rFont val="Arial"/>
        <family val="2"/>
      </rPr>
      <t>Work</t>
    </r>
    <r>
      <rPr>
        <sz val="10"/>
        <rFont val="Arial"/>
        <family val="2"/>
      </rPr>
      <t>)</t>
    </r>
  </si>
  <si>
    <r>
      <t>Average vehicle fuel / energy cost formulae parameter values (</t>
    </r>
    <r>
      <rPr>
        <b/>
        <sz val="10"/>
        <rFont val="Arial"/>
        <family val="2"/>
      </rPr>
      <t>Non-work</t>
    </r>
    <r>
      <rPr>
        <sz val="10"/>
        <rFont val="Arial"/>
        <family val="2"/>
      </rPr>
      <t>)</t>
    </r>
  </si>
  <si>
    <t>Fuel costs</t>
  </si>
  <si>
    <t>Duty</t>
  </si>
  <si>
    <t>VAT rate</t>
  </si>
  <si>
    <t>MECC values revised following QA - This was the Octoer 2013 release version</t>
  </si>
  <si>
    <t>January 2014 release v1.1</t>
  </si>
  <si>
    <t>v1.1</t>
  </si>
  <si>
    <t>Roundabouts (Small)</t>
  </si>
  <si>
    <t>Roundabouts (Mini)</t>
  </si>
  <si>
    <t>RAS 30001</t>
  </si>
  <si>
    <t>Priority (3 Arm)</t>
  </si>
  <si>
    <t>1, 3</t>
  </si>
  <si>
    <t>Notes:</t>
  </si>
  <si>
    <r>
      <t xml:space="preserve">Reported accidents and casualties are based upon police form STATS19. It is assumed that all accidents involving a fatality are reported. However, the less severe the injuries, the more likely that accidents are not reported. It is assumed, though, that the rate of non-fatal injuries per accident type is the same for reported and unreported incidents, so non-reporting does not affect the </t>
    </r>
    <r>
      <rPr>
        <i/>
        <sz val="10"/>
        <rFont val="Arial"/>
        <family val="2"/>
      </rPr>
      <t xml:space="preserve">rates </t>
    </r>
    <r>
      <rPr>
        <sz val="10"/>
        <rFont val="Arial"/>
        <family val="2"/>
      </rPr>
      <t>of injuries per accident.</t>
    </r>
  </si>
  <si>
    <t>3 KSI  Killed or seriously injured</t>
  </si>
  <si>
    <t xml:space="preserve">The ‘Major’ values of β are held as default within the program and are assumed to apply for all years from 1995 to 2010. As with links, the number of casualties per accident post 2010 is held constant at the 2010 level. But between 2011 and </t>
  </si>
  <si>
    <t>2020 and 2021 and 2030 the accident rate reduction is assumed to be one half and one quarter respectively of the 1995 to 2010 reduction. Zero change is assumed post 2030.</t>
  </si>
  <si>
    <t>Rail Accident Impacts</t>
  </si>
  <si>
    <t>VoC Fuel</t>
  </si>
  <si>
    <t>VoT 2</t>
  </si>
  <si>
    <t>VoT 3</t>
  </si>
  <si>
    <t>VoT  4</t>
  </si>
  <si>
    <t>VoT 5</t>
  </si>
  <si>
    <t>VoT 6</t>
  </si>
  <si>
    <t>Default price year, initial forecast year and value year</t>
  </si>
  <si>
    <t>Motorised two-wheeler rider and passengers</t>
  </si>
  <si>
    <t>All motor vehicle users</t>
  </si>
  <si>
    <t>Average, all road users</t>
  </si>
  <si>
    <t>Formula on table M3.2.1 has been edited to report blanks where there is no cost in the source table. This will report a zero in table M3.2.1 if zero is entered in this source table.</t>
  </si>
  <si>
    <t>Table 5/3, pgs 5/5-6, COBA Manual</t>
  </si>
  <si>
    <r>
      <t>A</t>
    </r>
    <r>
      <rPr>
        <vertAlign val="subscript"/>
        <sz val="10"/>
        <rFont val="Arial"/>
        <family val="2"/>
      </rPr>
      <t>N</t>
    </r>
    <r>
      <rPr>
        <sz val="10"/>
        <rFont val="Arial"/>
        <family val="2"/>
      </rPr>
      <t xml:space="preserve"> = A0x β</t>
    </r>
    <r>
      <rPr>
        <vertAlign val="superscript"/>
        <sz val="10"/>
        <rFont val="Arial"/>
        <family val="2"/>
      </rPr>
      <t>N</t>
    </r>
  </si>
  <si>
    <r>
      <t>Where: A</t>
    </r>
    <r>
      <rPr>
        <vertAlign val="subscript"/>
        <sz val="10"/>
        <rFont val="Arial"/>
        <family val="2"/>
      </rPr>
      <t>N</t>
    </r>
    <r>
      <rPr>
        <sz val="10"/>
        <rFont val="Arial"/>
        <family val="2"/>
      </rPr>
      <t xml:space="preserve"> = the accident rate or number of casualties per accident N years after base year</t>
    </r>
  </si>
  <si>
    <r>
      <t>A</t>
    </r>
    <r>
      <rPr>
        <vertAlign val="subscript"/>
        <sz val="10"/>
        <rFont val="Arial"/>
        <family val="2"/>
      </rPr>
      <t>0</t>
    </r>
    <r>
      <rPr>
        <sz val="10"/>
        <rFont val="Arial"/>
        <family val="2"/>
      </rPr>
      <t xml:space="preserve"> = the accident rate or number of casualties per accident in the base year;</t>
    </r>
  </si>
  <si>
    <t>Accidents / Casualties</t>
  </si>
  <si>
    <t>Modern WS2 Roads</t>
  </si>
  <si>
    <t>Modern WS2 Roads with HS</t>
  </si>
  <si>
    <t>Modern WS2 Roads w. HS</t>
  </si>
  <si>
    <t>Older S2 A Roads</t>
  </si>
  <si>
    <t>Modern D2 Roads</t>
  </si>
  <si>
    <t>This feeds Tables A 1.3.1 and A 1.3.2</t>
  </si>
  <si>
    <t>This feeds into Tables A 1.3.6 and A 1.3.3.2.</t>
  </si>
  <si>
    <t>This feeds Table A 1.3.3</t>
  </si>
  <si>
    <t>This feeds into A 1.3.3 and Forecast occupancies</t>
  </si>
  <si>
    <t>This feeds Table A 1.3.4 and 1.3.5.</t>
  </si>
  <si>
    <t>This feeds Table A 1.3.4.</t>
  </si>
  <si>
    <t xml:space="preserve">These values were calculated by multiplication of the appropriate figures from A 1.3.2 and A 1.3.3. Average car, average LGV and average PSV values also use the journey purpose split data from A 1.3.4 as weights. </t>
  </si>
  <si>
    <t>R_af111 Central speeds</t>
  </si>
  <si>
    <t>Accident related costs, by severity, road type and cost element, £ (Source year values)</t>
  </si>
  <si>
    <t>“Modern” roads designed and built to geometric standards relevant post 1980,</t>
  </si>
  <si>
    <t>“Older” the majority of the major road network which was not built to recent standards. For single carriageways this description refers to ‘A’ roads only, and</t>
  </si>
  <si>
    <t>“Other” ‘B’, ‘C’ and ‘unclassified’ single carriageway links.</t>
  </si>
  <si>
    <t>Cost Benefit Analysis</t>
  </si>
  <si>
    <t>Air Quality Impacts</t>
  </si>
  <si>
    <t>Central value</t>
  </si>
  <si>
    <t>OGV1 (Diesel)</t>
  </si>
  <si>
    <t>OGV2 (Diesel)</t>
  </si>
  <si>
    <t>PSV (Diesel)</t>
  </si>
  <si>
    <r>
      <t>Wardman M, Tight M &amp; Page M (2007), "</t>
    </r>
    <r>
      <rPr>
        <i/>
        <sz val="10"/>
        <rFont val="Arial"/>
        <family val="2"/>
      </rPr>
      <t>Factors influencing the propensity to cycle to work</t>
    </r>
    <r>
      <rPr>
        <sz val="10"/>
        <rFont val="Arial"/>
        <family val="2"/>
      </rPr>
      <t>", Leeds: Institute of Transport Studies (ITS), University of Leeds</t>
    </r>
  </si>
  <si>
    <t>Cycling</t>
  </si>
  <si>
    <t xml:space="preserve">Range name: </t>
  </si>
  <si>
    <t>Monetary valuation of changes in noise level (per household)</t>
  </si>
  <si>
    <t>Carbon emissions per litre of fuel burnt / kWh used</t>
  </si>
  <si>
    <t>2a &amp; b</t>
  </si>
  <si>
    <t>Traded &amp; non-traded £ / tonne carbon (2010-2100)</t>
  </si>
  <si>
    <t xml:space="preserve">Injury </t>
  </si>
  <si>
    <t xml:space="preserve">Description </t>
  </si>
  <si>
    <t xml:space="preserve">Weight </t>
  </si>
  <si>
    <t xml:space="preserve">Fatality </t>
  </si>
  <si>
    <t xml:space="preserve">Fatality within one year of the causal accident </t>
  </si>
  <si>
    <t>Option Value + Non-Use Value</t>
  </si>
  <si>
    <t>(average of user and non-user values)</t>
  </si>
  <si>
    <t>Absolute</t>
  </si>
  <si>
    <t>(No alternative PT service)</t>
  </si>
  <si>
    <t>(half hourly bus service)</t>
  </si>
  <si>
    <t>Incremental</t>
  </si>
  <si>
    <t>Humphreys &amp; Fowkes</t>
  </si>
  <si>
    <t xml:space="preserve">Probably household </t>
  </si>
  <si>
    <t xml:space="preserve">Individual </t>
  </si>
  <si>
    <t xml:space="preserve">Household </t>
  </si>
  <si>
    <t xml:space="preserve">Mixed HH &amp; individual </t>
  </si>
  <si>
    <t>(2006)</t>
  </si>
  <si>
    <t>(Existing buses &amp; alternative rail line/train station)</t>
  </si>
  <si>
    <t xml:space="preserve">Crockett </t>
  </si>
  <si>
    <t>(1992)</t>
  </si>
  <si>
    <t xml:space="preserve">Probably </t>
  </si>
  <si>
    <t xml:space="preserve">household </t>
  </si>
  <si>
    <t>Geurs</t>
  </si>
  <si>
    <t>Converted to GBP with PPP exchange rates for study year</t>
  </si>
  <si>
    <t>Source year:</t>
  </si>
  <si>
    <t>Walking</t>
  </si>
  <si>
    <t>Rail injury classification, weights and values, source DfT (2010 values and prices)</t>
  </si>
  <si>
    <t/>
  </si>
  <si>
    <t>This tab feeds Table</t>
  </si>
  <si>
    <t>Household data are not available before 1996.</t>
  </si>
  <si>
    <t xml:space="preserve">London </t>
  </si>
  <si>
    <t xml:space="preserve">South East </t>
  </si>
  <si>
    <t>Rest of GB</t>
  </si>
  <si>
    <t>Trnk &amp; Princ</t>
  </si>
  <si>
    <t>Trunk</t>
  </si>
  <si>
    <t>Car cost series for rail demand forecasting</t>
  </si>
  <si>
    <t>Speeds Kph, by region and road type</t>
  </si>
  <si>
    <t xml:space="preserve"> Journey Purpose</t>
  </si>
  <si>
    <t>Years</t>
  </si>
  <si>
    <r>
      <t xml:space="preserve">The Reset cells in column M of the User Parameters tab uses </t>
    </r>
    <r>
      <rPr>
        <sz val="10"/>
        <color indexed="10"/>
        <rFont val="Arial"/>
        <family val="2"/>
      </rPr>
      <t>macros</t>
    </r>
    <r>
      <rPr>
        <sz val="10"/>
        <color indexed="8"/>
        <rFont val="Arial"/>
        <family val="2"/>
      </rPr>
      <t xml:space="preserve"> to reset to the values in column L of this tab.</t>
    </r>
  </si>
  <si>
    <t>Weekday Average</t>
  </si>
  <si>
    <t>All Week Average</t>
  </si>
  <si>
    <t>Annual percentage change in car passenger occupancy to 2036</t>
  </si>
  <si>
    <t>Car and vehicle occupancies (2000); Annual percentage change in car passenger occupancy up to 2036</t>
  </si>
  <si>
    <t>Annual percentage change in car passenger occupancy up to 2036, source: DfT (2000)</t>
  </si>
  <si>
    <t>Source VoT</t>
  </si>
  <si>
    <t>Indirect tax</t>
  </si>
  <si>
    <t>Forecast values of time per person, (work &amp; non-work)</t>
  </si>
  <si>
    <t>Fuel &amp; energy prices &amp; components, 2010 - 2089</t>
  </si>
  <si>
    <t>To calculate forecast non-work PSV occupancies, multiply the passenger occupancy by the percentage of distance travelled by passengers to non-work purpose.</t>
  </si>
  <si>
    <t>Noise Impacts</t>
  </si>
  <si>
    <t>Greenhouse Gases</t>
  </si>
  <si>
    <t>Proportion of travel and trips in work and non-work time</t>
  </si>
  <si>
    <t>Annoyance response relationships for road and rail traffic noise and</t>
  </si>
  <si>
    <t>Rail injury classification, weights and values</t>
  </si>
  <si>
    <t>Forecast occupancies</t>
  </si>
  <si>
    <t>Intermediate calculations for vehicle operating costs: Forecast vehicle occupancies</t>
  </si>
  <si>
    <t>All injury casualty related costs are calculated from the total cost of all accidents and the total number of accidents.</t>
  </si>
  <si>
    <t>'Annual Parameters'!$B$29:$W$139</t>
  </si>
  <si>
    <t>Weekday average</t>
  </si>
  <si>
    <t>Weekend average</t>
  </si>
  <si>
    <t>All week average</t>
  </si>
  <si>
    <t>7am-10am</t>
  </si>
  <si>
    <r>
      <t>Electric Car</t>
    </r>
    <r>
      <rPr>
        <b/>
        <vertAlign val="superscript"/>
        <sz val="10"/>
        <color indexed="8"/>
        <rFont val="Arial"/>
        <family val="2"/>
      </rPr>
      <t>1</t>
    </r>
  </si>
  <si>
    <t>VAT rates by year</t>
  </si>
  <si>
    <t>No. of Fatal Accidents</t>
  </si>
  <si>
    <t>No. of Serious Accidents</t>
  </si>
  <si>
    <t>No. of Slight Accidents</t>
  </si>
  <si>
    <t>All Roads</t>
  </si>
  <si>
    <t>Non built-up</t>
  </si>
  <si>
    <t>Administration</t>
  </si>
  <si>
    <t>Damage</t>
  </si>
  <si>
    <t>Range of Years</t>
  </si>
  <si>
    <t>Road Type</t>
  </si>
  <si>
    <t>Speed Limit</t>
  </si>
  <si>
    <t>Accident Proportions</t>
  </si>
  <si>
    <t>(£/hour, resource costs)</t>
  </si>
  <si>
    <t>Table M 2.2 - Values of time by income band for work purposes</t>
  </si>
  <si>
    <t>As the segmented values are primarily intended to be used in modelling, they are presented in perceived costs (the market price unit of account)</t>
  </si>
  <si>
    <t>Values for all purposes and income bands should be assumed to grow over time in line with the growth rates for the average values provided in the 'Annual Parameters' tab.</t>
  </si>
  <si>
    <t>However, the values may also be used in appraisal, for comparison with results from using the average values.</t>
  </si>
  <si>
    <t>As the segmented values are primarily intended to be used in modelling, they are presented in perceived costs (the resource cost unit of account)</t>
  </si>
  <si>
    <t>However, the values may also be used in appraisal, for comparison with results from using the average values. For appraisal purposes the values should be converted to</t>
  </si>
  <si>
    <t>market prices using the indirect tax correction factor in Table A1.3.1.</t>
  </si>
  <si>
    <t>VoC efficiency</t>
  </si>
  <si>
    <t>Values of Time per person</t>
  </si>
  <si>
    <t>Values of Working (Employers' Business) Time by mode per person</t>
  </si>
  <si>
    <t>Values of Non-Working Time by trip purpose per person</t>
  </si>
  <si>
    <t>Values of time per person (working and non-working)</t>
  </si>
  <si>
    <t>Values of time per person (working and non-working), source: DfT (2000)</t>
  </si>
  <si>
    <t>Source year</t>
  </si>
  <si>
    <t xml:space="preserve">Medical &amp; </t>
  </si>
  <si>
    <t>Lost</t>
  </si>
  <si>
    <t>output</t>
  </si>
  <si>
    <t>Human</t>
  </si>
  <si>
    <t>costs</t>
  </si>
  <si>
    <r>
      <t>Marginal abatement cost values for NO</t>
    </r>
    <r>
      <rPr>
        <b/>
        <vertAlign val="subscript"/>
        <sz val="10"/>
        <color indexed="9"/>
        <rFont val="Arial"/>
        <family val="2"/>
      </rPr>
      <t>x</t>
    </r>
  </si>
  <si>
    <t>Pre-1996 data is converted to 1996 values first, based on the assumption that the ratio between change in GDP/household and GDP/person between 1996 and 2010 applies during this period also.</t>
  </si>
  <si>
    <t>Average value of prevention per casualty by severity and element of cost</t>
  </si>
  <si>
    <t>Average value of prevention per road casualty by class of road user</t>
  </si>
  <si>
    <t>and admin</t>
  </si>
  <si>
    <t>3.14.1</t>
  </si>
  <si>
    <t>Value of journey ambience for different types of cycle facility</t>
  </si>
  <si>
    <t xml:space="preserve">Price base year for presentation of values. </t>
  </si>
  <si>
    <t>Drop down menus</t>
  </si>
  <si>
    <t>Price Yr</t>
  </si>
  <si>
    <t>Initial Yr</t>
  </si>
  <si>
    <t>These act as hyperlinks. Click once on these to navigate directly, without scrolling.</t>
  </si>
  <si>
    <r>
      <t>NO</t>
    </r>
    <r>
      <rPr>
        <vertAlign val="subscript"/>
        <sz val="10"/>
        <rFont val="Arial"/>
        <family val="2"/>
      </rPr>
      <t>x</t>
    </r>
    <r>
      <rPr>
        <sz val="10"/>
        <rFont val="Arial"/>
        <family val="2"/>
      </rPr>
      <t xml:space="preserve"> abatement cost values are calculated from the value in source year multiplied by deflator ratio for current and source years. They are assumed not to increase in real terms.</t>
    </r>
  </si>
  <si>
    <t>Proportion of travel in work and non-work time</t>
  </si>
  <si>
    <t>Proportion of trips made in work and non-work time</t>
  </si>
  <si>
    <t>and beyond</t>
  </si>
  <si>
    <t>(0700-1000)</t>
  </si>
  <si>
    <t>(1000-1600)</t>
  </si>
  <si>
    <t>(1600-1900)</t>
  </si>
  <si>
    <t>(1900-0600)</t>
  </si>
  <si>
    <t>Table 3/1, COBA Manual</t>
  </si>
  <si>
    <t>COBALT Discount rates, costs per accident / casualty, number of damage only accidents (2002)</t>
  </si>
  <si>
    <t>COBALT Compound annual rates of growth of accident values, 2002-2061+</t>
  </si>
  <si>
    <t>Values of Time</t>
  </si>
  <si>
    <t>Roundabouts (Signalled)</t>
  </si>
  <si>
    <t>Classification</t>
  </si>
  <si>
    <t>Beta</t>
  </si>
  <si>
    <t>Change to Beta Factor</t>
  </si>
  <si>
    <t>Factor</t>
  </si>
  <si>
    <t>Major</t>
  </si>
  <si>
    <t>1995-2010</t>
  </si>
  <si>
    <t>2011-2020</t>
  </si>
  <si>
    <t>Minor</t>
  </si>
  <si>
    <t>2021-2030</t>
  </si>
  <si>
    <t>2031+</t>
  </si>
  <si>
    <t>Accident</t>
  </si>
  <si>
    <t>Rate</t>
  </si>
  <si>
    <t>50/60/70</t>
  </si>
  <si>
    <t>Modern S2 Roads</t>
  </si>
  <si>
    <t>Modern S2 Roads with HS</t>
  </si>
  <si>
    <r>
      <t>Police</t>
    </r>
    <r>
      <rPr>
        <b/>
        <vertAlign val="superscript"/>
        <sz val="10"/>
        <rFont val="Arial"/>
        <family val="2"/>
      </rPr>
      <t>3</t>
    </r>
  </si>
  <si>
    <t>Smoothed fuel cost parameters - work</t>
  </si>
  <si>
    <t>Smoothed fuel cost parameters - non-work</t>
  </si>
  <si>
    <t>Fluctuations in historic fuel prices have been smoothed.</t>
  </si>
  <si>
    <t>Roundabouts (Small, 4 Arm)</t>
  </si>
  <si>
    <t>65, 67</t>
  </si>
  <si>
    <t>70, 72</t>
  </si>
  <si>
    <t>Roundabouts (Small, 5/6 Arm)</t>
  </si>
  <si>
    <t>69, 71</t>
  </si>
  <si>
    <t>74, 76</t>
  </si>
  <si>
    <t>Electric OGV1</t>
  </si>
  <si>
    <t>Electric PSV</t>
  </si>
  <si>
    <t>From</t>
  </si>
  <si>
    <t>Electric OGV2</t>
  </si>
  <si>
    <t>Marginal annual air quality cost (per 1µg/m³)</t>
  </si>
  <si>
    <r>
      <t>Annual health cost (</t>
    </r>
    <r>
      <rPr>
        <b/>
        <sz val="10"/>
        <color indexed="10"/>
        <rFont val="Arial"/>
        <family val="2"/>
      </rPr>
      <t>£ per household</t>
    </r>
    <r>
      <rPr>
        <b/>
        <sz val="10"/>
        <rFont val="Arial"/>
        <family val="2"/>
      </rPr>
      <t>)</t>
    </r>
  </si>
  <si>
    <t>evaluate London Strategic Walk Network, p/km (2010 prices)</t>
  </si>
  <si>
    <t>Total Cost</t>
  </si>
  <si>
    <t>(£000)</t>
  </si>
  <si>
    <t>Total Benefit</t>
  </si>
  <si>
    <t xml:space="preserve"> (£000)</t>
  </si>
  <si>
    <t>Benefit-Cost</t>
  </si>
  <si>
    <t>Ratio</t>
  </si>
  <si>
    <t>km walked</t>
  </si>
  <si>
    <r>
      <t xml:space="preserve">Wardman </t>
    </r>
    <r>
      <rPr>
        <i/>
        <sz val="10"/>
        <rFont val="Arial"/>
        <family val="2"/>
      </rPr>
      <t>et al</t>
    </r>
    <r>
      <rPr>
        <sz val="10"/>
        <rFont val="Arial"/>
        <family val="2"/>
      </rPr>
      <t>.</t>
    </r>
  </si>
  <si>
    <r>
      <t xml:space="preserve">Wardman </t>
    </r>
    <r>
      <rPr>
        <i/>
        <sz val="10"/>
        <rFont val="Arial"/>
        <family val="2"/>
      </rPr>
      <t>et al.</t>
    </r>
  </si>
  <si>
    <t>Proportion of Travel in Work and Non-Work Time</t>
  </si>
  <si>
    <r>
      <t>Percentage of Distance Travelled</t>
    </r>
    <r>
      <rPr>
        <b/>
        <sz val="10"/>
        <color indexed="10"/>
        <rFont val="Arial"/>
        <family val="2"/>
      </rPr>
      <t xml:space="preserve"> </t>
    </r>
    <r>
      <rPr>
        <b/>
        <sz val="10"/>
        <rFont val="Arial"/>
        <family val="2"/>
      </rPr>
      <t xml:space="preserve">by </t>
    </r>
    <r>
      <rPr>
        <b/>
        <sz val="10"/>
        <color indexed="10"/>
        <rFont val="Arial"/>
        <family val="2"/>
      </rPr>
      <t>Vehicles</t>
    </r>
  </si>
  <si>
    <t>Commuting and Other</t>
  </si>
  <si>
    <t>This feeds into hidden tab 'Car speeds'.</t>
  </si>
  <si>
    <t>This table adds the fuel cost and duty in Table A 1.3.7, multiplies by the parameters in Table A 1.3.8, and adjusts for forecast fuel efficiency from Table A 1.3.10.</t>
  </si>
  <si>
    <t>This feeds into Table A 1.3.12</t>
  </si>
  <si>
    <t>Carbon Emissions</t>
  </si>
  <si>
    <t>Accident Impacts</t>
  </si>
  <si>
    <t>ambulance</t>
  </si>
  <si>
    <t>Medical &amp;</t>
  </si>
  <si>
    <t>Damage to</t>
  </si>
  <si>
    <t>property</t>
  </si>
  <si>
    <t>&amp; admin</t>
  </si>
  <si>
    <t xml:space="preserve">For workforce, any injury resulting in more than 3 days off work, which is not a major injury. For passengers and members of the public, any injury that leads to a person being taken from the site of </t>
  </si>
  <si>
    <t xml:space="preserve">the accident to hospital for treatment, which is not a major injury </t>
  </si>
  <si>
    <t>value, £</t>
  </si>
  <si>
    <t>Options &amp; Non-Use Values</t>
  </si>
  <si>
    <t>Use of Tempro data</t>
  </si>
  <si>
    <t>VoT Vehicle occupancies</t>
  </si>
  <si>
    <t>Non–Work (Commuting &amp; Other)</t>
  </si>
  <si>
    <t>Green Book Discount Rates</t>
  </si>
  <si>
    <t>Spreadsheet 1</t>
  </si>
  <si>
    <t>Spreadsheet 2</t>
  </si>
  <si>
    <t>Spreadsheet 3</t>
  </si>
  <si>
    <t>Car &amp; Vehicle Occupancies</t>
  </si>
  <si>
    <t xml:space="preserve">Shock/trauma injuries due to physical and verbal assaults, witnessing non-fatal incidents of: near misses, assaults, trespasser and workers struck by train; and all other miscellaneous events </t>
  </si>
  <si>
    <t>Proportion of travel &amp; trips in work &amp; non-work time</t>
  </si>
  <si>
    <t>3.5.6</t>
  </si>
  <si>
    <t>M 4.2.1</t>
  </si>
  <si>
    <r>
      <t xml:space="preserve">Heuman, D. (2005)" </t>
    </r>
    <r>
      <rPr>
        <i/>
        <sz val="10"/>
        <rFont val="Arial"/>
        <family val="2"/>
      </rPr>
      <t>Investment in the Strategic Walks - Economic Evaluation with WAVES"</t>
    </r>
    <r>
      <rPr>
        <sz val="10"/>
        <rFont val="Arial"/>
        <family val="2"/>
      </rPr>
      <t>, Strategic Walk Network. London: Colin Buchanan and Partners Ltd.</t>
    </r>
  </si>
  <si>
    <t>Casualty data</t>
  </si>
  <si>
    <t>Accident data</t>
  </si>
  <si>
    <t>User Parameters</t>
  </si>
  <si>
    <t>Default Pars</t>
  </si>
  <si>
    <t>Audit</t>
  </si>
  <si>
    <t>Unit</t>
  </si>
  <si>
    <t>TAG Unit</t>
  </si>
  <si>
    <t>3.5.4</t>
  </si>
  <si>
    <t>3a</t>
  </si>
  <si>
    <t>VoC Non-Fuel</t>
  </si>
  <si>
    <t>3b</t>
  </si>
  <si>
    <t>Car occupancies (2000)</t>
  </si>
  <si>
    <t>Vehicle occupancies (2000)</t>
  </si>
  <si>
    <t>11a</t>
  </si>
  <si>
    <t>11b</t>
  </si>
  <si>
    <t>Annual percentage change in car passenger occupancies (% pa) up to 2036</t>
  </si>
  <si>
    <t>Journey  Purpose</t>
  </si>
  <si>
    <t>Mode /</t>
  </si>
  <si>
    <t xml:space="preserve">Mode / </t>
  </si>
  <si>
    <r>
      <t xml:space="preserve">Wardman </t>
    </r>
    <r>
      <rPr>
        <i/>
        <sz val="10"/>
        <rFont val="Arial"/>
        <family val="2"/>
      </rPr>
      <t>et al.</t>
    </r>
    <r>
      <rPr>
        <sz val="10"/>
        <rFont val="Arial"/>
        <family val="2"/>
      </rPr>
      <t xml:space="preserve"> (2007)</t>
    </r>
  </si>
  <si>
    <t>Work &amp; Non-Work VoT</t>
  </si>
  <si>
    <r>
      <t xml:space="preserve">Percentage of </t>
    </r>
    <r>
      <rPr>
        <b/>
        <sz val="10"/>
        <color indexed="10"/>
        <rFont val="Arial"/>
        <family val="2"/>
      </rPr>
      <t>Vehicle Trips</t>
    </r>
  </si>
  <si>
    <r>
      <t xml:space="preserve">Percentage of </t>
    </r>
    <r>
      <rPr>
        <b/>
        <sz val="10"/>
        <color indexed="10"/>
        <rFont val="Arial"/>
        <family val="2"/>
      </rPr>
      <t>Person Trips</t>
    </r>
  </si>
  <si>
    <t xml:space="preserve"> Electric</t>
  </si>
  <si>
    <t>PSVs</t>
  </si>
  <si>
    <t>Income year:</t>
  </si>
  <si>
    <t>Low value</t>
  </si>
  <si>
    <t>High value</t>
  </si>
  <si>
    <r>
      <t xml:space="preserve">Percentage of Distance Travelled  by </t>
    </r>
    <r>
      <rPr>
        <b/>
        <sz val="10"/>
        <color indexed="10"/>
        <rFont val="Arial"/>
        <family val="2"/>
      </rPr>
      <t>Occupants</t>
    </r>
  </si>
  <si>
    <t>(commuting and other)</t>
  </si>
  <si>
    <t>Vehicle Category</t>
  </si>
  <si>
    <t>a</t>
  </si>
  <si>
    <t>b</t>
  </si>
  <si>
    <t>c</t>
  </si>
  <si>
    <t>d</t>
  </si>
  <si>
    <t>Petrol Car</t>
  </si>
  <si>
    <t>Diesel Car</t>
  </si>
  <si>
    <t>Electric Car</t>
  </si>
  <si>
    <t>Petrol LGV</t>
  </si>
  <si>
    <t>Diesel LGV</t>
  </si>
  <si>
    <t>Resource Cost</t>
  </si>
  <si>
    <t>Petrol</t>
  </si>
  <si>
    <t>Diesel</t>
  </si>
  <si>
    <t>Electricity</t>
  </si>
  <si>
    <t>Electric</t>
  </si>
  <si>
    <t>Road</t>
  </si>
  <si>
    <t>Rail</t>
  </si>
  <si>
    <t>(p/litre)</t>
  </si>
  <si>
    <t>(p/kWh)</t>
  </si>
  <si>
    <t>(%)</t>
  </si>
  <si>
    <t>Parameter Values</t>
  </si>
  <si>
    <t>a1 p/km</t>
  </si>
  <si>
    <t>Work Petrol</t>
  </si>
  <si>
    <t>Work Diesel</t>
  </si>
  <si>
    <t>Work Electric</t>
  </si>
  <si>
    <t>Non-Work Petrol</t>
  </si>
  <si>
    <t>Non-Work Diesel</t>
  </si>
  <si>
    <t>Non-Work Electric</t>
  </si>
  <si>
    <t>Non-Work</t>
  </si>
  <si>
    <t>Work Car</t>
  </si>
  <si>
    <t>Non-work Car</t>
  </si>
  <si>
    <t>Vehicle Operating Costs</t>
  </si>
  <si>
    <t>Resource cost values</t>
  </si>
  <si>
    <t>Perceived cost = Resource costs for working time. For non-working time, Perceived costs = Market costs.</t>
  </si>
  <si>
    <t>Indirect taxation factor</t>
  </si>
  <si>
    <t xml:space="preserve">Values of Non-Working Time by Trip Purpose </t>
  </si>
  <si>
    <t>Trip Purpose</t>
  </si>
  <si>
    <t>Audit sheet</t>
  </si>
  <si>
    <t>Version</t>
  </si>
  <si>
    <t>Date</t>
  </si>
  <si>
    <t>This version</t>
  </si>
  <si>
    <t>Changes from previous version</t>
  </si>
  <si>
    <t xml:space="preserve">The elements making up non-fuel vehicle operating costs include oil, tyres, maintenance, depreciation and vehicle capital saving (only for vehicles in working time). </t>
  </si>
  <si>
    <t>The non-fuel elements of VOC are combined in a formula of the form:</t>
  </si>
  <si>
    <t>based on a similar methodology. First, the fatal and serious proportion is forecast by applying the ‘accident rate change coefficient’. The sum of these is subtracted from unity to determine slight proportion.</t>
  </si>
  <si>
    <t>Table 5/1, COBA Manual</t>
  </si>
  <si>
    <t>A = a (f)b,</t>
  </si>
  <si>
    <t>where A is the annual number of accidents, f is a function of traffic flow and a and b vary among junction types. They have been estimated by reference to accidents and flows at existing junctions.</t>
  </si>
  <si>
    <t xml:space="preserve">In the Cross Product (C) model, (f) is the value produced by multiplying the combined inflow from the two major opposing links by the sum of the inflows on the other one or two minor links. </t>
  </si>
  <si>
    <t>Inflows are measured in thousands of vehicles per annual average day. In the inflow (I) model, (f) is the value of the total inflow from all links in thousands of vehicles per annual average day.</t>
  </si>
  <si>
    <t>S/D</t>
  </si>
  <si>
    <t>Single/Dual</t>
  </si>
  <si>
    <t>Table 5/4, pg 5/7, COBA Manual</t>
  </si>
  <si>
    <t>β = change coefficient; and</t>
  </si>
  <si>
    <t>N = the number of years after base year.</t>
  </si>
  <si>
    <t>Junction</t>
  </si>
  <si>
    <t>Coefficient</t>
  </si>
  <si>
    <t>Power</t>
  </si>
  <si>
    <t>Arms</t>
  </si>
  <si>
    <t>Highest</t>
  </si>
  <si>
    <t>Formula</t>
  </si>
  <si>
    <t>Type</t>
  </si>
  <si>
    <t>'a'</t>
  </si>
  <si>
    <t>'b'</t>
  </si>
  <si>
    <t>Link (S/D)</t>
  </si>
  <si>
    <t xml:space="preserve"> type</t>
  </si>
  <si>
    <t>S</t>
  </si>
  <si>
    <t>C</t>
  </si>
  <si>
    <t>Priority</t>
  </si>
  <si>
    <t>Table A 5.4.1:</t>
  </si>
  <si>
    <t>This feeds into Table A 5.4.1</t>
  </si>
  <si>
    <t>This feeds into Table A 5.4.2</t>
  </si>
  <si>
    <t>Table A 5.4.3:</t>
  </si>
  <si>
    <t>Table A 5.4.4:</t>
  </si>
  <si>
    <t>This feeds into Table A 5.4.4</t>
  </si>
  <si>
    <r>
      <t>PM</t>
    </r>
    <r>
      <rPr>
        <b/>
        <vertAlign val="subscript"/>
        <sz val="10"/>
        <rFont val="Arial"/>
        <family val="2"/>
      </rPr>
      <t>10</t>
    </r>
    <r>
      <rPr>
        <b/>
        <sz val="10"/>
        <rFont val="Arial"/>
        <family val="2"/>
      </rPr>
      <t xml:space="preserve"> damage</t>
    </r>
  </si>
  <si>
    <t>Fuel price and income forecast adjustment factors, source: DfT (2010)</t>
  </si>
  <si>
    <t>Forecast assumed vehicle fuel efficiency improvements to 2035</t>
  </si>
  <si>
    <t>Forecast assumed vehicle fuel efficiency improvements to 2035, source: DfT (2010)</t>
  </si>
  <si>
    <t>Non-fuel costs</t>
  </si>
  <si>
    <t>These parameters exclude indirect taxation.</t>
  </si>
  <si>
    <t>The parameters by fuel type are assumed to be constant through time; however, parameters for an average car vary through time (owing to changes in the proportion of electric vehicles).</t>
  </si>
  <si>
    <t>C = a1 + b1/V</t>
  </si>
  <si>
    <t>where:</t>
  </si>
  <si>
    <t>C = cost in pence per kilometre travelled,</t>
  </si>
  <si>
    <t>V = average link speed in kilometres per hour,</t>
  </si>
  <si>
    <t>a1 is a parameter for distance related costs defined for each vehicle category,</t>
  </si>
  <si>
    <t>b1 is a parameter for vehicle capital saving defined for each vehicle category (this parameter is only relevant to working vehicles).</t>
  </si>
  <si>
    <t>Central</t>
  </si>
  <si>
    <t>11a &amp; b</t>
  </si>
  <si>
    <t>10a&amp;b, 14</t>
  </si>
  <si>
    <t>7 &amp; 8</t>
  </si>
  <si>
    <t>Traded</t>
  </si>
  <si>
    <t>Non-traded</t>
  </si>
  <si>
    <t>COBALT 5</t>
  </si>
  <si>
    <t>COBALT 6</t>
  </si>
  <si>
    <t>COBALT 7</t>
  </si>
  <si>
    <t>COBALT 8</t>
  </si>
  <si>
    <t>Environment</t>
  </si>
  <si>
    <t>Social</t>
  </si>
  <si>
    <t>COBALT Accidents</t>
  </si>
  <si>
    <t>A 1.1.1</t>
  </si>
  <si>
    <t>Fuel / energy consumption formulae parameter values, 2010/11 (litres / km)</t>
  </si>
  <si>
    <t>Forecast market price values of time per vehicle based on distance travelled</t>
  </si>
  <si>
    <t>Forecast non-fuel resource car operating costs</t>
  </si>
  <si>
    <t>Car &amp; vehicle occupancies, 2000; Annual % change in car passenger occupancy</t>
  </si>
  <si>
    <t>Forecast average vehicle fuel / energy cost formulae parameters, p/km: WORK</t>
  </si>
  <si>
    <t>Forecast average vehicle fuel / energy cost formulae parameters, p/km: NON-WORK</t>
  </si>
  <si>
    <t>Section Title</t>
  </si>
  <si>
    <t>Unit Title</t>
  </si>
  <si>
    <t>Impacts</t>
  </si>
  <si>
    <t xml:space="preserve">Social &amp; </t>
  </si>
  <si>
    <t>Distributional</t>
  </si>
  <si>
    <t xml:space="preserve">Marginal External </t>
  </si>
  <si>
    <t>Congestion Costs</t>
  </si>
  <si>
    <t>Uni-Modal</t>
  </si>
  <si>
    <t>Variable Demand Modelling</t>
  </si>
  <si>
    <t>Assignment Modelling</t>
  </si>
  <si>
    <t>Model Forecasting &amp; Uncertainty</t>
  </si>
  <si>
    <t>Link only: Casualty Change Factors</t>
  </si>
  <si>
    <t xml:space="preserve">Link only and Combined Link / Junction: </t>
  </si>
  <si>
    <t>Junction only: Accident Proportions</t>
  </si>
  <si>
    <t>Casualty rates and change factors (Junction only)</t>
  </si>
  <si>
    <t>Junction only: Casualty Rates</t>
  </si>
  <si>
    <t>Junction only: Casualty Change Factors</t>
  </si>
  <si>
    <t>Junction only: Casualty Beta Factor Changes over Time</t>
  </si>
  <si>
    <t xml:space="preserve">The proportions are based on 1999–2001 data. Accident rates and severity have been reducing over recent years and this trend is expected to continue into the future. The forecasting of the proportion of fatal / serious / slight accidents is </t>
  </si>
  <si>
    <t>Severity rates (Junction only)</t>
  </si>
  <si>
    <t>Link &amp; Combined Link / Junction: accident rates &amp; change factors</t>
  </si>
  <si>
    <t>Link &amp; Combined Link / Junction: casualty rates &amp; change factors</t>
  </si>
  <si>
    <t>Severity rates (Link / Combined)</t>
  </si>
  <si>
    <t>Forecast fuel efficiency improvements</t>
  </si>
  <si>
    <t>Per annum</t>
  </si>
  <si>
    <t>Assumed Vehicle Fuel Efficiency Improvements</t>
  </si>
  <si>
    <t>Change in Vehicle Efficiency (% pa)</t>
  </si>
  <si>
    <r>
      <t>Forecast non-traded, £ per tonne of CO</t>
    </r>
    <r>
      <rPr>
        <vertAlign val="subscript"/>
        <sz val="10"/>
        <rFont val="Arial"/>
        <family val="2"/>
      </rPr>
      <t>2</t>
    </r>
    <r>
      <rPr>
        <sz val="10"/>
        <rFont val="Arial"/>
        <family val="2"/>
      </rPr>
      <t>e</t>
    </r>
  </si>
  <si>
    <t xml:space="preserve">COBALT </t>
  </si>
  <si>
    <t xml:space="preserve">Table A 1.3.1: Values of Working (Employers' Business) Time by Mode </t>
  </si>
  <si>
    <t>Table A 1.3.3:</t>
  </si>
  <si>
    <t>Table A 1.3.4:</t>
  </si>
  <si>
    <t>Table A 1.3.5:  Market  Price Values of Time per Vehicle based on distance travelled</t>
  </si>
  <si>
    <t>Table A 1.3.7:</t>
  </si>
  <si>
    <t>Table A 1.3.8:</t>
  </si>
  <si>
    <t>Table A 1.3.11:</t>
  </si>
  <si>
    <t xml:space="preserve">Table A 1.3.9: </t>
  </si>
  <si>
    <t>Table A 1.3.10:</t>
  </si>
  <si>
    <t>Table A 1.3.12:</t>
  </si>
  <si>
    <t>Table A 1.3.13:</t>
  </si>
  <si>
    <t>Table A 1.3.14:  Non-Fuel Resource Vehicle Operating Costs</t>
  </si>
  <si>
    <t xml:space="preserve">Table A 1.3.15: </t>
  </si>
  <si>
    <t>Calculated from value for source year multiplied by growth in GDP/household multiplied by deflator for current price year and divided by deflator for source year.</t>
  </si>
  <si>
    <t>B15 &amp; B16 should pick up current values, not those of source table.</t>
  </si>
  <si>
    <t>Value per household per annum</t>
  </si>
  <si>
    <r>
      <t xml:space="preserve">The values in column D are currently all in </t>
    </r>
    <r>
      <rPr>
        <sz val="10"/>
        <color indexed="12"/>
        <rFont val="Arial"/>
        <family val="2"/>
      </rPr>
      <t>2010</t>
    </r>
    <r>
      <rPr>
        <sz val="10"/>
        <rFont val="Arial"/>
        <family val="2"/>
      </rPr>
      <t xml:space="preserve"> prices and values.</t>
    </r>
  </si>
  <si>
    <t>Value of journey ambience benefit of cycle facilities</t>
  </si>
  <si>
    <t>Value of journey ambience benefit of cycle facilities, source: various papers (2010 prices and values)</t>
  </si>
  <si>
    <t>COBALT Accident proportions (junction, link and combined)</t>
  </si>
  <si>
    <t>COBALT Accident rates and change factors (link and link and junction combined)</t>
  </si>
  <si>
    <t>COBALT Accident parameters (junction only)</t>
  </si>
  <si>
    <t>COBALT Accident change factors (junction only)</t>
  </si>
  <si>
    <t>COBALT Casualty rates and change factors (junction only)</t>
  </si>
  <si>
    <t xml:space="preserve">Major injury </t>
  </si>
  <si>
    <t>High </t>
  </si>
  <si>
    <t>Mode / Package</t>
  </si>
  <si>
    <t>Sensitivity tests</t>
  </si>
  <si>
    <t>Excluding non-use value</t>
  </si>
  <si>
    <t>Value of mixed mode package</t>
  </si>
  <si>
    <t>---</t>
  </si>
  <si>
    <t>Option value &amp; non-use value</t>
  </si>
  <si>
    <t xml:space="preserve"> Train</t>
  </si>
  <si>
    <t xml:space="preserve"> Bus</t>
  </si>
  <si>
    <t xml:space="preserve"> Train &amp; bus</t>
  </si>
  <si>
    <t>Scheme type</t>
  </si>
  <si>
    <t>Source</t>
  </si>
  <si>
    <t>Off-road segregated cycle track</t>
  </si>
  <si>
    <t>Hopkinson &amp; Wardman (1996)</t>
  </si>
  <si>
    <t>On-road segregated cycle lane</t>
  </si>
  <si>
    <t>On-road non-segregated cycle lane</t>
  </si>
  <si>
    <t>Wider lane</t>
  </si>
  <si>
    <t>Values are calculated by multiplying the source year values by the ratio of the price year to the source price year deflator and dividing by the ratio of the GDP per head for value year to the source value year.</t>
  </si>
  <si>
    <t>Average value of prevention per road accident by severity and class of road: all hours</t>
  </si>
  <si>
    <t>Average value of prevention per road accident by severity and class of road: daylight hours</t>
  </si>
  <si>
    <t>Average value of prevention per road accident by severity and class of road: darkness hours</t>
  </si>
  <si>
    <t>Initial fc year:</t>
  </si>
  <si>
    <t>This feeds Table A 1.1.1</t>
  </si>
  <si>
    <t>Green Book, HMT</t>
  </si>
  <si>
    <t>Total injuries by type of road accident, by severity, source: Police (2010)</t>
  </si>
  <si>
    <t>Option and non-use values, source: various papers, source: various papers (2002)</t>
  </si>
  <si>
    <t>Reported accidents by daylight / darkness, road type and severity, source: DfT (2011)</t>
  </si>
  <si>
    <t>Values of aspects in pedestrian environment, source: Heuman (2005)</t>
  </si>
  <si>
    <t>Built-up</t>
  </si>
  <si>
    <t>By road type</t>
  </si>
  <si>
    <t>Pedestrians</t>
  </si>
  <si>
    <t>Seriously injured</t>
  </si>
  <si>
    <t>Slightly injured</t>
  </si>
  <si>
    <t>All casualties</t>
  </si>
  <si>
    <t xml:space="preserve">Pedal cyclists </t>
  </si>
  <si>
    <t>Motorcycle users</t>
  </si>
  <si>
    <t>Car occupants</t>
  </si>
  <si>
    <t>Bus and coach occupants</t>
  </si>
  <si>
    <t>Goods vehicle occupants</t>
  </si>
  <si>
    <t>Casualty costs by road user class</t>
  </si>
  <si>
    <t>Pedestrian</t>
  </si>
  <si>
    <t>Pedal cyclist</t>
  </si>
  <si>
    <t>Car and taxi occupants</t>
  </si>
  <si>
    <r>
      <t>Bristow A, Hopkinson P, Nash C &amp; Wardman M (1991b), "</t>
    </r>
    <r>
      <rPr>
        <i/>
        <sz val="10"/>
        <rFont val="Arial"/>
        <family val="2"/>
      </rPr>
      <t>Evaluation of the use &amp; non-use benefits of public transport: Report No. 2 - Application of the method</t>
    </r>
    <r>
      <rPr>
        <sz val="10"/>
        <rFont val="Arial"/>
        <family val="2"/>
      </rPr>
      <t xml:space="preserve">". Institute of Transport Studies, University of Leeds, Working Paper 310. </t>
    </r>
    <r>
      <rPr>
        <sz val="10"/>
        <color indexed="12"/>
        <rFont val="Arial"/>
        <family val="2"/>
      </rPr>
      <t>http://eprints.whiterose.ac.uk/2248/1/ITS48_WP310_uploadable.pdf</t>
    </r>
  </si>
  <si>
    <t>Annual Parameters</t>
  </si>
  <si>
    <t>Index</t>
  </si>
  <si>
    <t>1990 = 100</t>
  </si>
  <si>
    <t>OGV</t>
  </si>
  <si>
    <t>Sources:</t>
  </si>
  <si>
    <t>Value p/km</t>
  </si>
  <si>
    <t>Lost output</t>
  </si>
  <si>
    <t>Human costs</t>
  </si>
  <si>
    <t>Fatal</t>
  </si>
  <si>
    <t>Serious</t>
  </si>
  <si>
    <t>Slight</t>
  </si>
  <si>
    <t>Price year</t>
  </si>
  <si>
    <t>Value year</t>
  </si>
  <si>
    <t>Motorway</t>
  </si>
  <si>
    <t>Urban</t>
  </si>
  <si>
    <t>Rural</t>
  </si>
  <si>
    <t>driver</t>
  </si>
  <si>
    <t>passenger</t>
  </si>
  <si>
    <t>occupant</t>
  </si>
  <si>
    <t xml:space="preserve">PSV </t>
  </si>
  <si>
    <t>Taxi</t>
  </si>
  <si>
    <t>Underground</t>
  </si>
  <si>
    <t>Motorcycle</t>
  </si>
  <si>
    <t>Perceived cost values</t>
  </si>
  <si>
    <t>Market price values</t>
  </si>
  <si>
    <t>Price year:</t>
  </si>
  <si>
    <t>Insurance</t>
  </si>
  <si>
    <t>Casualty severity</t>
  </si>
  <si>
    <t>However, the sheet is set up such that the factor for individual years can be overridden if this facility is needed in future.</t>
  </si>
  <si>
    <t>Forecast Assumed Vehicle Fuel Efficiency Improvements to 2035</t>
  </si>
  <si>
    <t>Modern D2 Roads with HS</t>
  </si>
  <si>
    <t>Older D2 Roads</t>
  </si>
  <si>
    <t>Modern D3+ Roads</t>
  </si>
  <si>
    <t>Modern D3+ Roads with HS</t>
  </si>
  <si>
    <t>Modern D3+ Roads w. HS</t>
  </si>
  <si>
    <t>Older D3+ Roads</t>
  </si>
  <si>
    <t>Casualties per P.I.A.</t>
  </si>
  <si>
    <t>Beta Factor</t>
  </si>
  <si>
    <t>2011+</t>
  </si>
  <si>
    <t>1 - 3</t>
  </si>
  <si>
    <t>50 / 60 / 70</t>
  </si>
  <si>
    <t>4 - 8</t>
  </si>
  <si>
    <t>30 / 40</t>
  </si>
  <si>
    <t>1 Roads with speed limits of 40pmh or less, excluding motorways and A(M) roads</t>
  </si>
  <si>
    <t>2 Roads with speed limits greater than 40mph, excluding motorways and A(M) roads</t>
  </si>
  <si>
    <t>Gas Oil</t>
  </si>
  <si>
    <t>Roads</t>
  </si>
  <si>
    <t>Junction only: accident change factors</t>
  </si>
  <si>
    <t>Junction only: casualty rates &amp; change factors</t>
  </si>
  <si>
    <t>Deleted</t>
  </si>
  <si>
    <t>Cumulative</t>
  </si>
  <si>
    <t>Shared bus lane</t>
  </si>
  <si>
    <t>Secure cycle parking facilities</t>
  </si>
  <si>
    <t>Changing and shower facilities</t>
  </si>
  <si>
    <t>Street lighting</t>
  </si>
  <si>
    <t>Heuman (2005)</t>
  </si>
  <si>
    <t>Crowding</t>
  </si>
  <si>
    <t>Kerb level</t>
  </si>
  <si>
    <t>Information panels</t>
  </si>
  <si>
    <t>Pavement evenness</t>
  </si>
  <si>
    <t>Directional signage</t>
  </si>
  <si>
    <t>Benches</t>
  </si>
  <si>
    <t>2002 = 100</t>
  </si>
  <si>
    <t>Forecast growth in real GDP, population and households</t>
  </si>
  <si>
    <t>Forecast growth in working and non-working values of time</t>
  </si>
  <si>
    <t>Annual Parameters Source</t>
  </si>
  <si>
    <t>Vehicle Occupancies</t>
  </si>
  <si>
    <t>Car Occupancies</t>
  </si>
  <si>
    <t>Car passenger occupancies</t>
  </si>
  <si>
    <t>v0.11</t>
  </si>
  <si>
    <t>Occupancy per Vehicle Kilometre travelled</t>
  </si>
  <si>
    <t>Occupancy per Trip</t>
  </si>
  <si>
    <r>
      <t>Occupancy per</t>
    </r>
    <r>
      <rPr>
        <b/>
        <sz val="10"/>
        <color indexed="10"/>
        <rFont val="Arial"/>
        <family val="2"/>
      </rPr>
      <t xml:space="preserve"> Trip</t>
    </r>
  </si>
  <si>
    <r>
      <t xml:space="preserve">Occupancy per </t>
    </r>
    <r>
      <rPr>
        <b/>
        <sz val="10"/>
        <color indexed="10"/>
        <rFont val="Arial"/>
        <family val="2"/>
      </rPr>
      <t>Vehicle Kilometre</t>
    </r>
    <r>
      <rPr>
        <b/>
        <sz val="10"/>
        <color indexed="8"/>
        <rFont val="Arial"/>
        <family val="2"/>
      </rPr>
      <t xml:space="preserve"> travelled</t>
    </r>
  </si>
  <si>
    <t>Proportion of cars, LGV &amp; other vehicle kilometres using petrol, diesel or electricity</t>
  </si>
  <si>
    <t>Proportions of vehicle kilometres by fuel type</t>
  </si>
  <si>
    <t>Proportion of car, LGV and other vehicle kilometres using petrol, diesel or electricity</t>
  </si>
  <si>
    <r>
      <t>NO</t>
    </r>
    <r>
      <rPr>
        <vertAlign val="subscript"/>
        <sz val="10"/>
        <rFont val="Arial"/>
        <family val="2"/>
      </rPr>
      <t>x</t>
    </r>
    <r>
      <rPr>
        <sz val="10"/>
        <rFont val="Arial"/>
        <family val="2"/>
      </rPr>
      <t xml:space="preserve"> marginal abatement costs (£/tonne)</t>
    </r>
  </si>
  <si>
    <t>Damage cost and marginal abatement cost values by pollutant</t>
  </si>
  <si>
    <t>NOx damage</t>
  </si>
  <si>
    <t>NOx abatement</t>
  </si>
  <si>
    <r>
      <t>Marginal abatement cost values for NO</t>
    </r>
    <r>
      <rPr>
        <vertAlign val="subscript"/>
        <sz val="10"/>
        <rFont val="Arial"/>
        <family val="2"/>
      </rPr>
      <t>x</t>
    </r>
    <r>
      <rPr>
        <sz val="10"/>
        <rFont val="Arial"/>
        <family val="2"/>
      </rPr>
      <t>, source: DfT (2010 values and prices)</t>
    </r>
  </si>
  <si>
    <t>Great Britain</t>
  </si>
  <si>
    <t>England and Wales</t>
  </si>
  <si>
    <t>England</t>
  </si>
  <si>
    <t>Scotland</t>
  </si>
  <si>
    <t>Wales</t>
  </si>
  <si>
    <t>Accident proportions (link and combined)</t>
  </si>
  <si>
    <t>Accident parameters (Link only and Combined)</t>
  </si>
  <si>
    <t>Accident change factors (Link only and Combined)</t>
  </si>
  <si>
    <t>Accident parameters (Junction only)</t>
  </si>
  <si>
    <t>COBALT 9</t>
  </si>
  <si>
    <t>Absolute or incremental value</t>
  </si>
  <si>
    <t>USD 56</t>
  </si>
  <si>
    <t>EUR 242</t>
  </si>
  <si>
    <t>http://eprints.whiterose.ac.uk/2448/</t>
  </si>
  <si>
    <t>p/min</t>
  </si>
  <si>
    <t>pence</t>
  </si>
  <si>
    <t>CO2 Emission Factors</t>
  </si>
  <si>
    <t>The Annual Percentage Change in Car Passenger Occupancy values are for car passengers excluding the driver.</t>
  </si>
  <si>
    <t>http://www.defra.gov.uk/environment/quality/air/air-quality/economic/abatement/</t>
  </si>
  <si>
    <r>
      <t>NO</t>
    </r>
    <r>
      <rPr>
        <vertAlign val="subscript"/>
        <sz val="10"/>
        <rFont val="Arial"/>
        <family val="2"/>
      </rPr>
      <t>x</t>
    </r>
    <r>
      <rPr>
        <sz val="10"/>
        <rFont val="Arial"/>
        <family val="2"/>
      </rPr>
      <t xml:space="preserve"> abatement costs:</t>
    </r>
  </si>
  <si>
    <t>PM10 damage</t>
  </si>
  <si>
    <t>3.13.2</t>
  </si>
  <si>
    <t>LGVs</t>
  </si>
  <si>
    <t>Cars</t>
  </si>
  <si>
    <t>Electric LGV</t>
  </si>
  <si>
    <t>OGV1 Diesel</t>
  </si>
  <si>
    <t>OGV2 Diesel</t>
  </si>
  <si>
    <t>PSV Diesel</t>
  </si>
  <si>
    <t>OGV1 Electric</t>
  </si>
  <si>
    <t>Average OGV1</t>
  </si>
  <si>
    <t>OGV2 Electric</t>
  </si>
  <si>
    <t>Average OGV2</t>
  </si>
  <si>
    <t>PSV Electric</t>
  </si>
  <si>
    <t>Average PSV</t>
  </si>
  <si>
    <t>and multiplied by 100 to convert from pounds to pence.</t>
  </si>
  <si>
    <t>Values based on individuals, rather than households, should be grown using GDP/population rather than GDP/household, and so should be handled separately with a different formula.</t>
  </si>
  <si>
    <t>Car speeds</t>
  </si>
  <si>
    <t>This feeds into Table A 1.3.13, and hidden tab 'Car speeds'.</t>
  </si>
  <si>
    <t>This table adds the fuel cost and duty in Table A 1.3.7, multiplies by the parameters in Table A 1.3.8, adjusts for forecast fuel efficiency from Table A 1.3.10, then adds VAT.</t>
  </si>
  <si>
    <t>This feeds into hidden tab ' Car speeds'.</t>
  </si>
  <si>
    <t>Property damage</t>
  </si>
  <si>
    <t>Environmental</t>
  </si>
  <si>
    <t>Appraisal</t>
  </si>
  <si>
    <t>Social Impact</t>
  </si>
  <si>
    <t>Cover</t>
  </si>
  <si>
    <t>Reset macro re-added to user parameters; correction to table M3.2.1 - bus quality factors</t>
  </si>
  <si>
    <t>Correction to resets on user parameters tab; and bus quality factors in table M3.2.1</t>
  </si>
  <si>
    <t>This feeds Tables A 4.1.2, 4.1.3 and 4.1.4</t>
  </si>
  <si>
    <t>This feeds Table A 4.1.2 and 4.1.4</t>
  </si>
  <si>
    <t>This feeds Table A 4.1.5</t>
  </si>
  <si>
    <t>This feeds into Table A 4.1.6</t>
  </si>
  <si>
    <t>This feeds Table A 4.1.7</t>
  </si>
  <si>
    <t>This feeds tab A 4.1.8</t>
  </si>
  <si>
    <t>This feeds into Table M 3.2.1</t>
  </si>
  <si>
    <t>This feeds Table A 4.1.2 &amp; COBALT 1.</t>
  </si>
  <si>
    <t>This feeds Table A 4.1.2, A 4.1.4 &amp; COBALT 1.</t>
  </si>
  <si>
    <t>Discount rates, costs per accident / casualty, number of damage only accidents (2002)</t>
  </si>
  <si>
    <t>Compound annual rates of growth of accident values, 2002-2061+</t>
  </si>
  <si>
    <t>Data from the National Travel Survey (1999 – 2001) has been used to produce journey purpose splits for work and non-work travel (commuting and other), based on distance travelled and trips made.</t>
  </si>
  <si>
    <t>The shaded figures in the table indicate a small sample, hence these figures should be treated with caution.</t>
  </si>
  <si>
    <t>Proportion of Trips Made in Work and Non-Work Time</t>
  </si>
  <si>
    <t>A1.3.12!$B$27:$S$106</t>
  </si>
  <si>
    <t>A1.3.13!$B$27:$S$106</t>
  </si>
  <si>
    <t>LTA</t>
  </si>
  <si>
    <t>RoSE to/from LTA</t>
  </si>
  <si>
    <t>Non-Fuel Resource Vehicle Operating Costs</t>
  </si>
  <si>
    <t>Non-fuel resource vehicle operating costs, source: DfT (2010 prices and values)</t>
  </si>
  <si>
    <t>Monetary valuation of changes in noise level, source: DfT (2002 prices and values)</t>
  </si>
  <si>
    <t>Average value of prevention per casualty by severity and element of cost, source: DfT (2010 prices and values)</t>
  </si>
  <si>
    <t>Accident related costs, by severity, road type and cost element, source: DfT (2010 prices and values)</t>
  </si>
  <si>
    <t xml:space="preserve"> Proportion of travel in work and non-work time</t>
  </si>
  <si>
    <t>Values are calculated from source year values and the forecast proportion of travel by fuel type for the value year.</t>
  </si>
  <si>
    <t>Forecast non-fuel resource car operating costs to 2035</t>
  </si>
  <si>
    <t>This feeds Table A 3.2</t>
  </si>
  <si>
    <t>Table A 3.3:  Carbon dioxide emissions per litre of fuel burnt / kWh used</t>
  </si>
  <si>
    <t>Table A 4.1.1: Average value of prevention per casualty by severity and element of cost</t>
  </si>
  <si>
    <t>Table A 4.1.2: Average value of prevention per road casualty by class of road user</t>
  </si>
  <si>
    <t>Table A 4.1.4: Average value of prevention per road accident by severity &amp; road class</t>
  </si>
  <si>
    <t>Table 4.1.6: Value of journey ambience benefit of cycle facilities</t>
  </si>
  <si>
    <t>4-8</t>
  </si>
  <si>
    <t>30/40</t>
  </si>
  <si>
    <t>S2 A Roads</t>
  </si>
  <si>
    <t>9</t>
  </si>
  <si>
    <t>Other S2 Roads</t>
  </si>
  <si>
    <t>10-15</t>
  </si>
  <si>
    <t>Dual Carriageways</t>
  </si>
  <si>
    <t>Junction Type</t>
  </si>
  <si>
    <t>Junction Description</t>
  </si>
  <si>
    <t>2, 4</t>
  </si>
  <si>
    <r>
      <t xml:space="preserve">Climate Control </t>
    </r>
    <r>
      <rPr>
        <vertAlign val="superscript"/>
        <sz val="10"/>
        <color indexed="8"/>
        <rFont val="Arial"/>
        <family val="2"/>
      </rPr>
      <t>1</t>
    </r>
  </si>
  <si>
    <r>
      <t xml:space="preserve">New Bus Shelters </t>
    </r>
    <r>
      <rPr>
        <vertAlign val="superscript"/>
        <sz val="10"/>
        <color indexed="8"/>
        <rFont val="Arial"/>
        <family val="2"/>
      </rPr>
      <t>1</t>
    </r>
  </si>
  <si>
    <t xml:space="preserve">New Bus with Low Floor </t>
  </si>
  <si>
    <t xml:space="preserve">New Interchange Facilities </t>
  </si>
  <si>
    <t xml:space="preserve">On-Screen Displays </t>
  </si>
  <si>
    <t xml:space="preserve">RTPI (at bus stops) </t>
  </si>
  <si>
    <t xml:space="preserve">Simplified Ticketing </t>
  </si>
  <si>
    <t xml:space="preserve">Trained Drivers </t>
  </si>
  <si>
    <t>Bus Users</t>
  </si>
  <si>
    <t>Car Users</t>
  </si>
  <si>
    <t>Overall</t>
  </si>
  <si>
    <t>(generalised minutes)</t>
  </si>
  <si>
    <t xml:space="preserve">Table M 3.2.1:  </t>
  </si>
  <si>
    <t>Segmented values of soft bus interventions</t>
  </si>
  <si>
    <t>A 3.2</t>
  </si>
  <si>
    <t>A 3.3</t>
  </si>
  <si>
    <t>A 3.4</t>
  </si>
  <si>
    <t>Fuel / Energy consumption parameters</t>
  </si>
  <si>
    <t>Forecast non-fuel resource vehicle operating costs</t>
  </si>
  <si>
    <t>Traffic by region, congestion band, area type &amp; road type</t>
  </si>
  <si>
    <t>Average value of prevention per casualty</t>
  </si>
  <si>
    <t>A 1.3.1</t>
  </si>
  <si>
    <t>A 1.3.2</t>
  </si>
  <si>
    <t>A 1.3.3</t>
  </si>
  <si>
    <t>A 1.3.3.2</t>
  </si>
  <si>
    <t>A 1.3.4</t>
  </si>
  <si>
    <t>A 1.3.5</t>
  </si>
  <si>
    <t>A 1.3.6</t>
  </si>
  <si>
    <t>A 1.3.7</t>
  </si>
  <si>
    <t>A 1.3.8</t>
  </si>
  <si>
    <t>A 1.3.9</t>
  </si>
  <si>
    <t>A 1.3.10</t>
  </si>
  <si>
    <t>A 1.3.11</t>
  </si>
  <si>
    <t>(based on 1996-2010 data):</t>
  </si>
  <si>
    <t>Household data start year</t>
  </si>
  <si>
    <t>A separate conversion is done for pre-1996 and post-1996 values (rows 37 and 38), due to the lack of reliable pre-1996 household data.</t>
  </si>
  <si>
    <t xml:space="preserve">Diesel </t>
  </si>
  <si>
    <t xml:space="preserve">Electric </t>
  </si>
  <si>
    <t>Roundabouts (Standard, 4 Arm)</t>
  </si>
  <si>
    <t>53, 55</t>
  </si>
  <si>
    <t>58, 60</t>
  </si>
  <si>
    <t>Roundabouts (Standard, 5/6 Arm)</t>
  </si>
  <si>
    <t>57, 59</t>
  </si>
  <si>
    <t>62, 64</t>
  </si>
  <si>
    <t>Roundabouts (Small, 3 Arm)</t>
  </si>
  <si>
    <t>61, 63</t>
  </si>
  <si>
    <t>66, 68</t>
  </si>
  <si>
    <t>Total injuries by type of road accident, by severity</t>
  </si>
  <si>
    <t xml:space="preserve">Mode / Vehicle Type </t>
  </si>
  <si>
    <t>&amp; Journey Purpose</t>
  </si>
  <si>
    <t>Values of Time per vehicle</t>
  </si>
  <si>
    <t>Commuting &amp; Other</t>
  </si>
  <si>
    <t>(Occupants)</t>
  </si>
  <si>
    <t xml:space="preserve">Vehicle </t>
  </si>
  <si>
    <t>Source Year</t>
  </si>
  <si>
    <t>Hopkinson &amp; Wardman</t>
  </si>
  <si>
    <t>Annual Percentage Change in Car Passenger Occupancy (% pa) up to 2036</t>
  </si>
  <si>
    <t>This feeds into Table A 5.4.3</t>
  </si>
  <si>
    <t>This feeds Table M 4.2.1</t>
  </si>
  <si>
    <t>Total traffic %</t>
  </si>
  <si>
    <t>Car MECs</t>
  </si>
  <si>
    <t>MECs Time of day</t>
  </si>
  <si>
    <t>Combined Link / Junction: Accident Rates and Change Factors</t>
  </si>
  <si>
    <t>Link &amp; Combined Link / Junction: Accident rates &amp; Change factors</t>
  </si>
  <si>
    <t>Combined Link / Junction: Accident Proportions</t>
  </si>
  <si>
    <t>Accident proportions (Junction only)</t>
  </si>
  <si>
    <t>Accident proportions (Link &amp; Combined Link / Junction)</t>
  </si>
  <si>
    <t>Link &amp; Combined Link / Junction: Casualty rates &amp; Change factors</t>
  </si>
  <si>
    <t>Combined Link / Junction: Casualty Rates</t>
  </si>
  <si>
    <t>Combined Link / Junction: Casualty Change Factors</t>
  </si>
  <si>
    <t>Accident change factors (Junction only)</t>
  </si>
  <si>
    <t>COBALT Casualty rates and change factors (link and link and junction combined)</t>
  </si>
  <si>
    <t>Proportion of Total Traffic by congestion band, region, area and road types</t>
  </si>
  <si>
    <t>Worksheet</t>
  </si>
  <si>
    <t>Annoyance response relationships for road and rail traffic noise</t>
  </si>
  <si>
    <r>
      <t xml:space="preserve">Hopkinson P &amp; Wardman M (1996), "Evaluating demand for new cycle facilities", </t>
    </r>
    <r>
      <rPr>
        <i/>
        <sz val="10"/>
        <rFont val="Arial"/>
        <family val="2"/>
      </rPr>
      <t>Transport Policy</t>
    </r>
    <r>
      <rPr>
        <sz val="10"/>
        <rFont val="Arial"/>
        <family val="2"/>
      </rPr>
      <t xml:space="preserve"> </t>
    </r>
    <r>
      <rPr>
        <b/>
        <sz val="10"/>
        <rFont val="Arial"/>
        <family val="2"/>
      </rPr>
      <t>3</t>
    </r>
    <r>
      <rPr>
        <sz val="10"/>
        <rFont val="Arial"/>
        <family val="2"/>
      </rPr>
      <t>(4), 241-249</t>
    </r>
  </si>
  <si>
    <t>Accidents &amp; Casualties</t>
  </si>
  <si>
    <t xml:space="preserve">The values are calculated by multiplying the source data by the GDP deflator for the price year divided by the GDP deflator for source year; multiplying by the GDP/head for the value year divided by GDP/head for the source year; </t>
  </si>
  <si>
    <t>Costs are converted to the specified price base by multiplying by the GDP deflatorvalue in the price year and dividing by the GDP deflator value for the source year.</t>
  </si>
  <si>
    <t>A 5.4.1</t>
  </si>
  <si>
    <t>A 5.4.2</t>
  </si>
  <si>
    <t>A 5.4.3</t>
  </si>
  <si>
    <t>A 5.4.4</t>
  </si>
  <si>
    <t>Marginal external costs</t>
  </si>
  <si>
    <t>Total - Traffic %</t>
  </si>
  <si>
    <t>Car - MECs</t>
  </si>
  <si>
    <t>Car Traffic Shares</t>
  </si>
  <si>
    <t>Proportion of Total Traffic in each congestion band for different regions, area types and road types</t>
  </si>
  <si>
    <t>Marginal External Costs &amp; Indirect Tax - Cars</t>
  </si>
  <si>
    <t>Car Traffic Shares %</t>
  </si>
  <si>
    <t>MECs - time of day</t>
  </si>
  <si>
    <t>This feeds Table A 3.3, Electricity and VoC Fuel</t>
  </si>
  <si>
    <t>User - defined price year and initial forecast year</t>
  </si>
  <si>
    <t>Initial forecast year</t>
  </si>
  <si>
    <t>Market price values of time per vehicle based on distance travelled</t>
  </si>
  <si>
    <t>Option and non-use values</t>
  </si>
  <si>
    <t>Car occupancies, source: DfT (2000)</t>
  </si>
  <si>
    <t>Vehicle occupancies, source: DfT (2000)</t>
  </si>
  <si>
    <t>Cost £</t>
  </si>
  <si>
    <t xml:space="preserve"> (% p.a.)</t>
  </si>
  <si>
    <t xml:space="preserve"> Growth Rate</t>
  </si>
  <si>
    <r>
      <t>(New)</t>
    </r>
    <r>
      <rPr>
        <sz val="10"/>
        <rFont val="Arial"/>
        <family val="2"/>
      </rPr>
      <t xml:space="preserve"> Forecast fuel / energy consumption parameter values</t>
    </r>
  </si>
  <si>
    <r>
      <t xml:space="preserve">1 </t>
    </r>
    <r>
      <rPr>
        <sz val="10"/>
        <rFont val="Arial"/>
        <family val="2"/>
      </rPr>
      <t xml:space="preserve">Electric cars are treated as not existing before 2011. </t>
    </r>
  </si>
  <si>
    <t>Non-fuel resource vehicle operating costs</t>
  </si>
  <si>
    <t>Proportion of travel in work and non-work time, source: DfT (2000)</t>
  </si>
  <si>
    <t>Proportion of trips in work and non-work time, source: DfT (2000)</t>
  </si>
  <si>
    <t>Fuel price and income forecast adjustment factors</t>
  </si>
  <si>
    <t>Cycling Schemes</t>
  </si>
  <si>
    <t>Walking Schemes</t>
  </si>
  <si>
    <t>The "Source Year" in column G is for reference to the original papers only.</t>
  </si>
  <si>
    <t>Traffic proportions are taken from traffic levels in National Transport Model traffic database and forecasts.</t>
  </si>
  <si>
    <t>Annual Rates of Growth of Accident Values</t>
  </si>
  <si>
    <t>All casualty severities</t>
  </si>
  <si>
    <t>Motorways</t>
  </si>
  <si>
    <t>Built-up roads</t>
  </si>
  <si>
    <t>Non built-up roads</t>
  </si>
  <si>
    <t>All roads</t>
  </si>
  <si>
    <t>Daylight</t>
  </si>
  <si>
    <t>Darkness</t>
  </si>
  <si>
    <t>Average, all casualties</t>
  </si>
  <si>
    <t>Casualty related costs</t>
  </si>
  <si>
    <t>Accident related costs</t>
  </si>
  <si>
    <t>Police cost</t>
  </si>
  <si>
    <t>TOTAL</t>
  </si>
  <si>
    <t>All injury</t>
  </si>
  <si>
    <t>Damage only</t>
  </si>
  <si>
    <t>VoT</t>
  </si>
  <si>
    <t>VoC Efficiency</t>
  </si>
  <si>
    <t>VoC Mileage %</t>
  </si>
  <si>
    <t>Noise</t>
  </si>
  <si>
    <t>10 - 15</t>
  </si>
  <si>
    <r>
      <t>Bristow A, Hopkinson P, Nash C &amp; Wardman M (1991b), "</t>
    </r>
    <r>
      <rPr>
        <i/>
        <sz val="10"/>
        <rFont val="Arial"/>
        <family val="2"/>
      </rPr>
      <t>Evaluation of the use &amp; non-use benefits of public transport: Report No. 2 - Application of the method</t>
    </r>
    <r>
      <rPr>
        <sz val="10"/>
        <rFont val="Arial"/>
        <family val="2"/>
      </rPr>
      <t xml:space="preserve">". Institute of Transport Studies, </t>
    </r>
  </si>
  <si>
    <t>Cost per Casualty</t>
  </si>
  <si>
    <t>Severity</t>
  </si>
  <si>
    <t>Cost per Accident</t>
  </si>
  <si>
    <t>Damage to Property</t>
  </si>
  <si>
    <t>Police Cost</t>
  </si>
  <si>
    <t>Region</t>
  </si>
  <si>
    <t>England + Wales</t>
  </si>
  <si>
    <t>Mon-Fri</t>
  </si>
  <si>
    <t>Sat-Sun</t>
  </si>
  <si>
    <t>AM Peak</t>
  </si>
  <si>
    <t>Inter-Peak</t>
  </si>
  <si>
    <t>PM Peak</t>
  </si>
  <si>
    <t>Inner and Outer Conurbations</t>
  </si>
  <si>
    <t>Weighted Average</t>
  </si>
  <si>
    <t>A roads</t>
  </si>
  <si>
    <t>Other Rds</t>
  </si>
  <si>
    <t>Cost type</t>
  </si>
  <si>
    <t>Congestion*</t>
  </si>
  <si>
    <t>Infrastructure</t>
  </si>
  <si>
    <t>All</t>
  </si>
  <si>
    <t>Local Air Quality</t>
  </si>
  <si>
    <t>Indirect Taxation</t>
  </si>
  <si>
    <t>Road Class</t>
  </si>
  <si>
    <t>Value of prevention per road accident</t>
  </si>
  <si>
    <t>1 Built-up roads are those roads other than motorways with speed limits of 40mph or less</t>
  </si>
  <si>
    <t>2 Non Built-up roads are those roads other than motorways with speed limits greater than 40mph</t>
  </si>
  <si>
    <t>Killed</t>
  </si>
  <si>
    <t>Casualties</t>
  </si>
  <si>
    <t>Forecast proportion of car, LGV and other vehicle kilometres using petrol / diesel / electricity, 2000-2030, source: DfT</t>
  </si>
  <si>
    <t>Forecast proportion of car, LGV and other vehicle kilometres using petrol / diesel / electricity</t>
  </si>
  <si>
    <t>Forecast proportion of cars, LGV and other vehicle kilometres using petrol / diesel / electricity</t>
  </si>
  <si>
    <t>Common data for scrolling (e.g. year)</t>
  </si>
  <si>
    <t>Occupancy per Vehicle km Travelled</t>
  </si>
  <si>
    <t>Autumn 2013 release</t>
  </si>
  <si>
    <t>Sources</t>
  </si>
  <si>
    <t>Casualty Beta Factor Changes over Time</t>
  </si>
  <si>
    <t>3.15.2</t>
  </si>
  <si>
    <t>This feeds into Table A 1.3.7</t>
  </si>
  <si>
    <t>Table A 1.3.7 has already adjusted for deflators, so these are automatically included here.</t>
  </si>
  <si>
    <t>Multiplies forecast work parameters in A 1.3.12 by forecast duty rates in Table A 1.3.7 for years where this exists.</t>
  </si>
  <si>
    <t>This feeds into A 1.3.15</t>
  </si>
  <si>
    <t>This feeds Table A 1.3.14</t>
  </si>
  <si>
    <t>Department for Transport contact information</t>
  </si>
  <si>
    <t>Version log</t>
  </si>
  <si>
    <t>Forecast annual economic and demographic parameters</t>
  </si>
  <si>
    <t>East Anglia</t>
  </si>
  <si>
    <t>East Midlands</t>
  </si>
  <si>
    <t>North East</t>
  </si>
  <si>
    <t>North West</t>
  </si>
  <si>
    <t>South East</t>
  </si>
  <si>
    <t>South West</t>
  </si>
  <si>
    <t>West Midlands</t>
  </si>
  <si>
    <t>Yorks &amp; Humber</t>
  </si>
  <si>
    <t>Congestion band</t>
  </si>
  <si>
    <t>Traffic includes all road traffic except motorcycles (which are not included in NTM).</t>
  </si>
  <si>
    <t>Other Urban</t>
  </si>
  <si>
    <t>Grand Total</t>
  </si>
  <si>
    <t>A Roads</t>
  </si>
  <si>
    <t>Other Roads</t>
  </si>
  <si>
    <r>
      <t>NO</t>
    </r>
    <r>
      <rPr>
        <vertAlign val="subscript"/>
        <sz val="10"/>
        <rFont val="Arial"/>
        <family val="2"/>
      </rPr>
      <t>x</t>
    </r>
    <r>
      <rPr>
        <sz val="10"/>
        <rFont val="Arial"/>
        <family val="2"/>
      </rPr>
      <t xml:space="preserve"> damage cost values, source: Defra (2010 values and prices)</t>
    </r>
  </si>
  <si>
    <t>Table A 1.1.1:  Green Book Discount Rates</t>
  </si>
  <si>
    <t>Discount rates</t>
  </si>
  <si>
    <t>Discount rates, source: Green Book, HMT (2010)</t>
  </si>
  <si>
    <t>VoT Proportion of travel</t>
  </si>
  <si>
    <t>VoT Proportion of trips</t>
  </si>
  <si>
    <t>Source year (electric):</t>
  </si>
  <si>
    <t xml:space="preserve">Source year (fuel):  </t>
  </si>
  <si>
    <t>Source year (electric)</t>
  </si>
  <si>
    <t>Table Title</t>
  </si>
  <si>
    <t>Households</t>
  </si>
  <si>
    <r>
      <t xml:space="preserve">     University of Leeds, Working Paper 310. </t>
    </r>
    <r>
      <rPr>
        <sz val="10"/>
        <color indexed="12"/>
        <rFont val="Arial"/>
        <family val="2"/>
      </rPr>
      <t>http://eprints.whiterose.ac.uk/2248/1/ITS48_WP310_uploadable.pdf</t>
    </r>
  </si>
  <si>
    <t>Go to 'User Parameters' tab to change Price year or Initial forecast year.</t>
  </si>
  <si>
    <t>Links</t>
  </si>
  <si>
    <t>Accident related costs are calculated from the total source year cost of all accidents by severity and the total number of accidents by severity. They are then multiplied by the ratio of the price year to the source price year deflator and the</t>
  </si>
  <si>
    <r>
      <t>Built-up</t>
    </r>
    <r>
      <rPr>
        <vertAlign val="superscript"/>
        <sz val="10"/>
        <color indexed="10"/>
        <rFont val="Arial"/>
        <family val="2"/>
      </rPr>
      <t>1</t>
    </r>
    <r>
      <rPr>
        <sz val="10"/>
        <color indexed="10"/>
        <rFont val="Arial"/>
        <family val="2"/>
      </rPr>
      <t xml:space="preserve"> </t>
    </r>
    <r>
      <rPr>
        <sz val="10"/>
        <rFont val="Arial"/>
        <family val="2"/>
      </rPr>
      <t>roads</t>
    </r>
  </si>
  <si>
    <r>
      <t>Non built-up</t>
    </r>
    <r>
      <rPr>
        <vertAlign val="superscript"/>
        <sz val="10"/>
        <color indexed="10"/>
        <rFont val="Arial"/>
        <family val="2"/>
      </rPr>
      <t>2</t>
    </r>
  </si>
  <si>
    <r>
      <t>KSI</t>
    </r>
    <r>
      <rPr>
        <vertAlign val="superscript"/>
        <sz val="10"/>
        <color indexed="10"/>
        <rFont val="Arial"/>
        <family val="2"/>
      </rPr>
      <t>3</t>
    </r>
  </si>
  <si>
    <t>PIA = Personal Injury Accident (excludes damage-only)</t>
  </si>
  <si>
    <t>Estimated damage-only accidents</t>
  </si>
  <si>
    <r>
      <t>Damage-only accidents per PIA</t>
    </r>
    <r>
      <rPr>
        <vertAlign val="superscript"/>
        <sz val="10"/>
        <color indexed="10"/>
        <rFont val="Arial"/>
        <family val="2"/>
      </rPr>
      <t>1</t>
    </r>
  </si>
  <si>
    <r>
      <t>Built-up</t>
    </r>
    <r>
      <rPr>
        <vertAlign val="superscript"/>
        <sz val="10"/>
        <color indexed="10"/>
        <rFont val="Arial"/>
        <family val="2"/>
      </rPr>
      <t>1</t>
    </r>
  </si>
  <si>
    <r>
      <t>Non Built-up</t>
    </r>
    <r>
      <rPr>
        <vertAlign val="superscript"/>
        <sz val="10"/>
        <color indexed="10"/>
        <rFont val="Arial"/>
        <family val="2"/>
      </rPr>
      <t>2</t>
    </r>
  </si>
  <si>
    <r>
      <t>Police</t>
    </r>
    <r>
      <rPr>
        <b/>
        <vertAlign val="superscript"/>
        <sz val="10"/>
        <color indexed="10"/>
        <rFont val="Arial"/>
        <family val="2"/>
      </rPr>
      <t>3</t>
    </r>
  </si>
  <si>
    <r>
      <t>Damage-only</t>
    </r>
    <r>
      <rPr>
        <vertAlign val="superscript"/>
        <sz val="10"/>
        <color indexed="10"/>
        <rFont val="Arial"/>
        <family val="2"/>
      </rPr>
      <t>4</t>
    </r>
  </si>
  <si>
    <t>Injury costs are calculated as weights on the value of a prevented fatality (VPF).</t>
  </si>
  <si>
    <r>
      <t xml:space="preserve">Hopkinson P &amp; Wardman M (1996), "Evaluating demand for new cycle facilities", </t>
    </r>
    <r>
      <rPr>
        <i/>
        <sz val="10"/>
        <rFont val="Arial"/>
        <family val="2"/>
      </rPr>
      <t>Transport Policy</t>
    </r>
    <r>
      <rPr>
        <sz val="10"/>
        <rFont val="Arial"/>
        <family val="2"/>
      </rPr>
      <t xml:space="preserve"> </t>
    </r>
    <r>
      <rPr>
        <b/>
        <sz val="10"/>
        <rFont val="Arial"/>
        <family val="2"/>
      </rPr>
      <t>3</t>
    </r>
    <r>
      <rPr>
        <sz val="10"/>
        <rFont val="Arial"/>
        <family val="2"/>
      </rPr>
      <t>(4), 241-249.</t>
    </r>
  </si>
  <si>
    <r>
      <t>Wardman M, Tight M &amp; Page M (2007), "</t>
    </r>
    <r>
      <rPr>
        <i/>
        <sz val="10"/>
        <rFont val="Arial"/>
        <family val="2"/>
      </rPr>
      <t>Factors influencing the propensity to cycle to work</t>
    </r>
    <r>
      <rPr>
        <sz val="10"/>
        <rFont val="Arial"/>
        <family val="2"/>
      </rPr>
      <t>", Leeds: Institute of Transport Studies (ITS), University of Leeds.</t>
    </r>
  </si>
  <si>
    <r>
      <t xml:space="preserve">Wardman M, Hatfield R &amp; Page M (1997), "UK national cycling strategy: Can improved facilities meet the targets?", </t>
    </r>
    <r>
      <rPr>
        <i/>
        <sz val="10"/>
        <rFont val="Arial"/>
        <family val="2"/>
      </rPr>
      <t>Transport Policy</t>
    </r>
    <r>
      <rPr>
        <sz val="10"/>
        <rFont val="Arial"/>
        <family val="2"/>
      </rPr>
      <t xml:space="preserve"> </t>
    </r>
    <r>
      <rPr>
        <b/>
        <sz val="10"/>
        <rFont val="Arial"/>
        <family val="2"/>
      </rPr>
      <t>4</t>
    </r>
    <r>
      <rPr>
        <sz val="10"/>
        <rFont val="Arial"/>
        <family val="2"/>
      </rPr>
      <t>(2), 123-133.</t>
    </r>
  </si>
  <si>
    <r>
      <t xml:space="preserve">Wardman M, Hatfield R &amp; Page M (1997), "UK national cycling strategy: Can improved facilities meet the targets?", </t>
    </r>
    <r>
      <rPr>
        <i/>
        <sz val="10"/>
        <rFont val="Arial"/>
        <family val="2"/>
      </rPr>
      <t>Transport Policy</t>
    </r>
    <r>
      <rPr>
        <sz val="10"/>
        <rFont val="Arial"/>
        <family val="2"/>
      </rPr>
      <t xml:space="preserve"> </t>
    </r>
    <r>
      <rPr>
        <b/>
        <sz val="10"/>
        <rFont val="Arial"/>
        <family val="2"/>
      </rPr>
      <t>4</t>
    </r>
    <r>
      <rPr>
        <sz val="10"/>
        <rFont val="Arial"/>
        <family val="2"/>
      </rPr>
      <t>(2), 123-133</t>
    </r>
  </si>
  <si>
    <t>Forecast fuel consumption parameters are calculated from the source year parameters and the cumulative fuel efficiency factors for each year.</t>
  </si>
  <si>
    <t>Values for average vehicles are calculated using the proportions of vehicle kilometres in Table A 1.3.9.</t>
  </si>
  <si>
    <t>kgCO2e/kWh</t>
  </si>
  <si>
    <t>2 Non Built-up roads are those roads other than motorways with speed limits greater than 40 mph.</t>
  </si>
  <si>
    <t>1 Built-up roads are those roads other than motorways with speed limits of 40 mph or less.</t>
  </si>
  <si>
    <t>This feeds into Table M 4.2.2, and hidden tab 'Car speeds'.</t>
  </si>
  <si>
    <t>M 4.2.2</t>
  </si>
  <si>
    <t>Table M 2.2</t>
  </si>
  <si>
    <t>Initial year:</t>
  </si>
  <si>
    <t>Post-2035, car speeds and fuel efficiency are assumed to be constant, so the only impact on fuel cost is real increases in fuel duty.</t>
  </si>
  <si>
    <r>
      <t xml:space="preserve">Annual health cost </t>
    </r>
    <r>
      <rPr>
        <b/>
        <sz val="10"/>
        <color indexed="10"/>
        <rFont val="Arial"/>
        <family val="2"/>
      </rPr>
      <t>(£ per tonne)</t>
    </r>
  </si>
  <si>
    <t>Fuel / energy consumption formulae parameter values, 2010 - 89 (litres / km)</t>
  </si>
  <si>
    <t xml:space="preserve">Shock/trauma injuries due to witnessing all fatal incidents, attempted suicides, passengers struck by trains, train accidents (except ‘Collision of train with object on line (not resulting in derailment)’) </t>
  </si>
  <si>
    <t xml:space="preserve">Class 2 shock/trauma injury </t>
  </si>
  <si>
    <t>Forecast proportions of cars / LGV vehicle kilometres using petrol / diesel / electricity</t>
  </si>
  <si>
    <t>See Flow chart to see which tabs are affected by these cells.</t>
  </si>
  <si>
    <t>NOTE: Users can change parameter values in the "Value" column L (using drop-down menus), or reset default values using buttons in column M.</t>
  </si>
  <si>
    <t>This feeds Table A 3.1</t>
  </si>
  <si>
    <t>This feeds Tables A 4.1.1 and 4.1.4, and Rail.</t>
  </si>
  <si>
    <t>Road user class</t>
  </si>
  <si>
    <t>All road users</t>
  </si>
  <si>
    <t>Average value</t>
  </si>
  <si>
    <t>3 Police costs were revised in 2009, from previous 1997 values.</t>
  </si>
  <si>
    <t>Differential rate of GDP/person and GDP/HH per year</t>
  </si>
  <si>
    <t>All costs are in 2010 undiscounted market prices.</t>
  </si>
  <si>
    <t>These only include the congestion costs of car kilometres.</t>
  </si>
  <si>
    <t>2010 Car Traffic Shares % (1 d.p.)</t>
  </si>
  <si>
    <t>2015 Car Traffic Shares % (1 d.p.)</t>
  </si>
  <si>
    <t>2020 Car Traffic Shares % (1 d.p.)</t>
  </si>
  <si>
    <t>2025 Car Traffic Shares % (1 d.p.)</t>
  </si>
  <si>
    <t>2030 Car Traffic Shares % (1 d.p.)</t>
  </si>
  <si>
    <t>2035 Car Traffic Shares % (1 d.p.)</t>
  </si>
  <si>
    <t>2010 Proportion of Total Traffic in each congestion band for different regions, area types and road types (1 d.p.)</t>
  </si>
  <si>
    <t>2015 Proportion of Total Traffic in each congestion band for different regions, area types and road types (1 d.p.)</t>
  </si>
  <si>
    <t>2020 Proportion of Total Traffic in each congestion band for different regions, area types and road types (1 d.p.)</t>
  </si>
  <si>
    <t>2025 Proportion of Total Traffic in each congestion band for different regions, area types and road types (1 d.p.)</t>
  </si>
  <si>
    <t>2030 Proportion of Total Traffic in each congestion band for different regions, area types and road types (1 d.p.)</t>
  </si>
  <si>
    <t>2035 Proportion of Total Traffic in each congestion band for different regions, area types and road types (1 d.p.)</t>
  </si>
  <si>
    <t>Car vehicle kilometres increase with GDP / Household with an elasticity of :</t>
  </si>
  <si>
    <t>Car vehicle kilometres increase with fuel costs (accounting for efficiency improvements) with an elasticity of :</t>
  </si>
  <si>
    <t>from A 1.3.4</t>
  </si>
  <si>
    <t>RoSE = Rest of South East</t>
  </si>
  <si>
    <t>P.I.A. = Personal Injury Accident (excludes Damage-only).</t>
  </si>
  <si>
    <t>Table A 1.3.3.2</t>
  </si>
  <si>
    <t xml:space="preserve">Table A 4.1.5: </t>
  </si>
  <si>
    <t xml:space="preserve">Table A 4.1.8:  </t>
  </si>
  <si>
    <t>Option and Non-Use Values</t>
  </si>
  <si>
    <t>Table M 3.2.1: Segmented values of soft bus interventions</t>
  </si>
  <si>
    <t>Table M 4.2.1: Forecast fuel price and income adjustment</t>
  </si>
  <si>
    <t>Forecast fuel price and income adjustment factors</t>
  </si>
  <si>
    <t>Costs per accident / casualty</t>
  </si>
  <si>
    <t>Annual rates of growth of accident values</t>
  </si>
  <si>
    <t>Junction only: accident parameters</t>
  </si>
  <si>
    <t>Non-work (commuting and other) LGV values of time are based on non-work (commuting and other) all-week average values for cars, as insufficient data exists for LGVs by time of day.</t>
  </si>
  <si>
    <t>PSV (occupants)</t>
  </si>
  <si>
    <r>
      <t>(New)</t>
    </r>
    <r>
      <rPr>
        <sz val="10"/>
        <rFont val="Arial"/>
        <family val="2"/>
      </rPr>
      <t xml:space="preserve"> Forecast market price values of time per vehicle based on distance travelled</t>
    </r>
  </si>
  <si>
    <t>Energy consumption parameter values</t>
  </si>
  <si>
    <t>Fuel consumption parameter values</t>
  </si>
  <si>
    <t>Proportions of Travel and Trips</t>
  </si>
  <si>
    <t>Fuel consumption parameters</t>
  </si>
  <si>
    <t>Fuel consumption is estimated using a function of the form:</t>
  </si>
  <si>
    <t>L = a/v + b + c.v + d.v2</t>
  </si>
  <si>
    <t>Where:</t>
  </si>
  <si>
    <t>L = consumption, expressed in litres per kilometre;</t>
  </si>
  <si>
    <t>v = average speed in kilometres per hour; and</t>
  </si>
  <si>
    <t>a, b, c, d are parameters defined for each vehicle category.</t>
  </si>
  <si>
    <r>
      <t>Average Car / LGV fuel cost formulae parameter values (</t>
    </r>
    <r>
      <rPr>
        <b/>
        <sz val="10"/>
        <rFont val="Arial"/>
        <family val="2"/>
      </rPr>
      <t>Work</t>
    </r>
    <r>
      <rPr>
        <sz val="10"/>
        <rFont val="Arial"/>
        <family val="2"/>
      </rPr>
      <t>)</t>
    </r>
  </si>
  <si>
    <r>
      <t>Average Car / LGV fuel cost formulae parameter values (</t>
    </r>
    <r>
      <rPr>
        <b/>
        <sz val="10"/>
        <rFont val="Arial"/>
        <family val="2"/>
      </rPr>
      <t>Non-work</t>
    </r>
    <r>
      <rPr>
        <sz val="10"/>
        <rFont val="Arial"/>
        <family val="2"/>
      </rPr>
      <t>)</t>
    </r>
  </si>
  <si>
    <t xml:space="preserve"> Average</t>
  </si>
  <si>
    <r>
      <t>OGV1</t>
    </r>
    <r>
      <rPr>
        <sz val="10"/>
        <color indexed="8"/>
        <rFont val="Arial"/>
        <family val="2"/>
      </rPr>
      <t xml:space="preserve">  </t>
    </r>
  </si>
  <si>
    <t>Work only</t>
  </si>
  <si>
    <t xml:space="preserve">OGV2 </t>
  </si>
  <si>
    <t>Vehicle</t>
  </si>
  <si>
    <t>Taxi / Minicab passenger</t>
  </si>
  <si>
    <t>VoT2</t>
  </si>
  <si>
    <t>VoT3</t>
  </si>
  <si>
    <t>VoT4</t>
  </si>
  <si>
    <t>VoT5</t>
  </si>
  <si>
    <t>VoT6</t>
  </si>
  <si>
    <r>
      <t xml:space="preserve">Wardman </t>
    </r>
    <r>
      <rPr>
        <i/>
        <sz val="10"/>
        <rFont val="Arial"/>
        <family val="2"/>
      </rPr>
      <t>et al</t>
    </r>
    <r>
      <rPr>
        <sz val="10"/>
        <rFont val="Arial"/>
        <family val="2"/>
      </rPr>
      <t>. (1997)</t>
    </r>
  </si>
  <si>
    <t>OR:</t>
  </si>
  <si>
    <r>
      <t xml:space="preserve">Daniel Heuman, Paul Buchanan, Martin Wedderburn and Rob Sheldon, (2005), </t>
    </r>
    <r>
      <rPr>
        <i/>
        <sz val="10"/>
        <rFont val="Arial"/>
        <family val="2"/>
      </rPr>
      <t xml:space="preserve">"Valuing Walking: Evaluating Improvements to the Public Realm", </t>
    </r>
    <r>
      <rPr>
        <sz val="10"/>
        <rFont val="Arial"/>
        <family val="2"/>
      </rPr>
      <t>Colin Buchanan and Accent MR</t>
    </r>
  </si>
  <si>
    <t>Type of road accident</t>
  </si>
  <si>
    <t>Reported road accidents by road type and time of day</t>
  </si>
  <si>
    <t>Study values</t>
  </si>
  <si>
    <t>2012/13</t>
  </si>
  <si>
    <t>2013/14</t>
  </si>
  <si>
    <t>2014/15</t>
  </si>
  <si>
    <t>2015/16</t>
  </si>
  <si>
    <t>2016/17</t>
  </si>
  <si>
    <t>2017/18</t>
  </si>
  <si>
    <t>2018/19</t>
  </si>
  <si>
    <t>2019/20</t>
  </si>
  <si>
    <t>2020/21</t>
  </si>
  <si>
    <t>2021/22</t>
  </si>
  <si>
    <t>2022/23</t>
  </si>
  <si>
    <t>2023/24</t>
  </si>
  <si>
    <t>2024/25</t>
  </si>
  <si>
    <t>2025/26</t>
  </si>
  <si>
    <t>2026/27</t>
  </si>
  <si>
    <t>2027/28</t>
  </si>
  <si>
    <t>2028/29</t>
  </si>
  <si>
    <t>2029/30</t>
  </si>
  <si>
    <t>2030/31</t>
  </si>
  <si>
    <t>2031/32</t>
  </si>
  <si>
    <t>2032/33</t>
  </si>
  <si>
    <t>2033/34</t>
  </si>
  <si>
    <t>b1 p/hr</t>
  </si>
  <si>
    <t>Calculates average of work and non-work perceived car costs per km</t>
  </si>
  <si>
    <t>Non-work: fuel costs inc VAT calculated with:</t>
  </si>
  <si>
    <t>where v=speed in kph</t>
  </si>
  <si>
    <t>Average value of prevention of casualties by class of road user</t>
  </si>
  <si>
    <t>Average value of prevention per road accident by severity &amp; road class</t>
  </si>
  <si>
    <t>Traffic by congestion band</t>
  </si>
  <si>
    <t>Marginal External Costs and Indirect Tax</t>
  </si>
  <si>
    <t>Marginal External Congestion Costs by time of day</t>
  </si>
  <si>
    <t>Marginal External Costs by region and time of day</t>
  </si>
  <si>
    <t>Marginal External Costs by road type and congestion band</t>
  </si>
  <si>
    <t>Car traffic shares by time of day</t>
  </si>
  <si>
    <t>Car traffic shares by time of day and region</t>
  </si>
  <si>
    <t xml:space="preserve">An injury as defined in schedule 1 of RIDDOR 1995, or where the injury resulted in hospital attendance for more than 24 hours </t>
  </si>
  <si>
    <t xml:space="preserve">Reportable minor injury </t>
  </si>
  <si>
    <t xml:space="preserve">Non-reportable minor injury </t>
  </si>
  <si>
    <t xml:space="preserve">Any other physical injury that is not a fatality, major or reportable minor injury </t>
  </si>
  <si>
    <t xml:space="preserve">Class 1 shock/trauma injury </t>
  </si>
  <si>
    <t>Price Year</t>
  </si>
  <si>
    <t>Initial forecast</t>
  </si>
  <si>
    <t>Value Year</t>
  </si>
  <si>
    <t>The Drop down menus in columns M and N of this tab are used in column L of the User Parameters tab.</t>
  </si>
  <si>
    <t>£ per hour</t>
  </si>
  <si>
    <t>p per min</t>
  </si>
  <si>
    <t>Use drop-down menu to select £ per hour or p per min</t>
  </si>
  <si>
    <t>The values are based on distance travelled.</t>
  </si>
  <si>
    <t>This feeds into Table A 1.3.10</t>
  </si>
  <si>
    <t>Values of aspects in pedestrian environment</t>
  </si>
  <si>
    <t>Forecast vehicle occupancies, per vehicle km travelled</t>
  </si>
  <si>
    <t>4 &amp; 5 &amp; 6</t>
  </si>
  <si>
    <r>
      <t>(</t>
    </r>
    <r>
      <rPr>
        <b/>
        <sz val="10"/>
        <rFont val="Arial"/>
        <family val="2"/>
      </rPr>
      <t>New</t>
    </r>
    <r>
      <rPr>
        <sz val="10"/>
        <rFont val="Arial"/>
        <family val="2"/>
      </rPr>
      <t>) Vehicle occupancies based on vehicle kilometres travelled</t>
    </r>
  </si>
  <si>
    <t>Work (freight)</t>
  </si>
  <si>
    <t>Average Weekday</t>
  </si>
  <si>
    <t>Contents</t>
  </si>
  <si>
    <t>3.3.2</t>
  </si>
  <si>
    <t>3.3.3</t>
  </si>
  <si>
    <t>3.3.5</t>
  </si>
  <si>
    <t>3.4.1</t>
  </si>
  <si>
    <t>Average value of prevention per casualty, by severity &amp; cost element</t>
  </si>
  <si>
    <t>Rail injury classification, weights &amp; values</t>
  </si>
  <si>
    <t>Green book discount rates</t>
  </si>
  <si>
    <t>Marginal annual air quality cost, source: DfT (2010 values and prices)</t>
  </si>
  <si>
    <t>Carbon dioxide emissions per litre of fuel burnt / kWh used</t>
  </si>
  <si>
    <t>CO2</t>
  </si>
  <si>
    <r>
      <t>Sources:</t>
    </r>
    <r>
      <rPr>
        <sz val="10"/>
        <rFont val="Arial"/>
        <family val="2"/>
      </rPr>
      <t xml:space="preserve"> source files for values updated in 2013 can be found in:</t>
    </r>
  </si>
  <si>
    <t>G:\AFP\TASMAll\TASM\005 GUIDANCE\002 PROJECT APPRAISAL\0002 ECONOMIC IMPACTS\Value of Travel Time Savings Research Programme\VTTS 2012 update\gdp update - FINAL VALUES</t>
  </si>
  <si>
    <t>Values of time per income group (£/hr)</t>
  </si>
  <si>
    <t>Non-work purposes (market prices)</t>
  </si>
  <si>
    <t>Work purposes (resource costs)</t>
  </si>
  <si>
    <t>Car Driver</t>
  </si>
  <si>
    <t>Car User</t>
  </si>
  <si>
    <t>&lt;£20,000</t>
  </si>
  <si>
    <t>£20,000-£40,000</t>
  </si>
  <si>
    <t>&gt;£40,000</t>
  </si>
  <si>
    <t>Average Value</t>
  </si>
  <si>
    <t>Income band</t>
  </si>
  <si>
    <t>non-work</t>
  </si>
  <si>
    <t>This table feeds into M2.1 and M2.2</t>
  </si>
  <si>
    <t>Values of time per income group (non-work and work)</t>
  </si>
  <si>
    <t>These values have been calculated consistently with the average values given in Table A1.3.1</t>
  </si>
  <si>
    <t>Values of time by income band (non-work)</t>
  </si>
  <si>
    <t>Values of time by income band (work)</t>
  </si>
  <si>
    <t>(£/hour, market prices)</t>
  </si>
  <si>
    <t>Table M 2.1 - Values of time by income band for non-work purposes</t>
  </si>
  <si>
    <t>Perceived cost = Resource costs for working time. For non-working time, Perceived costs = Market prices.</t>
  </si>
  <si>
    <t>Table 4.2</t>
  </si>
  <si>
    <t>Painter et al. (2002)</t>
  </si>
  <si>
    <t>Bristow et al. (1991b)</t>
  </si>
  <si>
    <t>4 Damage only accidents were not included in the project to update police costs. They have been estimated based on the proportionate increase in damage only accidents resulting from that study.</t>
  </si>
  <si>
    <r>
      <t>Traded and Non Traded Values, £ per Tonne of CO</t>
    </r>
    <r>
      <rPr>
        <b/>
        <vertAlign val="subscript"/>
        <sz val="10"/>
        <color indexed="9"/>
        <rFont val="Arial"/>
        <family val="2"/>
      </rPr>
      <t>2</t>
    </r>
    <r>
      <rPr>
        <b/>
        <sz val="10"/>
        <color indexed="9"/>
        <rFont val="Arial"/>
        <family val="2"/>
      </rPr>
      <t>e for use in Appraisal (2010-2050)</t>
    </r>
  </si>
  <si>
    <r>
      <t>Forecast traded &amp; non-traded, £ per tonne of CO</t>
    </r>
    <r>
      <rPr>
        <vertAlign val="subscript"/>
        <sz val="10"/>
        <rFont val="Arial"/>
        <family val="2"/>
      </rPr>
      <t>2</t>
    </r>
    <r>
      <rPr>
        <sz val="10"/>
        <rFont val="Arial"/>
        <family val="2"/>
      </rPr>
      <t>e, 2009-2100, source: DECC (2010 prices)</t>
    </r>
  </si>
  <si>
    <t>Values for both working and non-working time are assumed to increase with real GDP/capita with an elasticity of 1.0.</t>
  </si>
  <si>
    <t>Values for all modes and income bands should be assumed to grow over time in line with the growth rates for the average values provided in the 'Annual Parameters' tab.</t>
  </si>
  <si>
    <t>Values of time by income band for non-work purposes (£/hr)</t>
  </si>
  <si>
    <t>Values of time by income band for work purposes (£/hr)</t>
  </si>
  <si>
    <t>Casualty related costs are calculated from the total cost in the price and value year for all casualties by severity and the total number of accidents by severity.</t>
  </si>
  <si>
    <t>ratio of the GDP per head for value year to the source value year.</t>
  </si>
  <si>
    <t>Average value of prevention of road accidents by severity and element of cost</t>
  </si>
  <si>
    <t>(£ per hour)</t>
  </si>
  <si>
    <t>year</t>
  </si>
  <si>
    <t>Average GDP per household</t>
  </si>
  <si>
    <t>Elasticities of value of time to GDP/person:</t>
  </si>
  <si>
    <t>Work:</t>
  </si>
  <si>
    <t>Non-work:</t>
  </si>
  <si>
    <t>Work VOT elasticity</t>
  </si>
  <si>
    <t>Non-work VOT elasticity</t>
  </si>
  <si>
    <t>Source Values of Time per person</t>
  </si>
  <si>
    <t>Source Indirect taxation factor</t>
  </si>
  <si>
    <t>Click on cells in columns E/F to go to the desired table.</t>
  </si>
  <si>
    <t>Grey cells</t>
  </si>
  <si>
    <r>
      <t>IMPORTANT NOTE</t>
    </r>
    <r>
      <rPr>
        <sz val="10"/>
        <color indexed="8"/>
        <rFont val="Arial"/>
        <family val="2"/>
      </rPr>
      <t xml:space="preserve"> - this can be overridden for individual years in the following sheet:</t>
    </r>
  </si>
  <si>
    <t>Start year:</t>
  </si>
  <si>
    <t>Average GDP per person</t>
  </si>
  <si>
    <t>Historic</t>
  </si>
  <si>
    <t>Annual</t>
  </si>
  <si>
    <r>
      <t>Growth</t>
    </r>
    <r>
      <rPr>
        <b/>
        <vertAlign val="superscript"/>
        <sz val="10"/>
        <rFont val="Arial"/>
        <family val="2"/>
      </rPr>
      <t>1,2</t>
    </r>
  </si>
  <si>
    <t>Real GDP</t>
  </si>
  <si>
    <r>
      <t>Growth</t>
    </r>
    <r>
      <rPr>
        <b/>
        <vertAlign val="superscript"/>
        <sz val="10"/>
        <rFont val="Arial"/>
        <family val="2"/>
      </rPr>
      <t>3</t>
    </r>
  </si>
  <si>
    <t>1996 = 100</t>
  </si>
  <si>
    <r>
      <t>Growth</t>
    </r>
    <r>
      <rPr>
        <b/>
        <vertAlign val="superscript"/>
        <sz val="10"/>
        <rFont val="Arial"/>
        <family val="2"/>
      </rPr>
      <t>4</t>
    </r>
  </si>
  <si>
    <t>Average speeds, and Car cost series for rail demand forecasting</t>
  </si>
  <si>
    <t>Generation</t>
  </si>
  <si>
    <t>based</t>
  </si>
  <si>
    <t xml:space="preserve">The values for the change coefficient β found by the research are given in Table 5/4 for ‘Major’ and ‘Minor’ junctions in Built-up (BU = 30 or 40 mph speed limits) and Non Built-up (NBU = above 40 mph speed limit) locations. </t>
  </si>
  <si>
    <t xml:space="preserve">They are the same for each junction type. ‘Major’ means that a motorway or A Road is the highest link standard approaching the junction while ‘Minor’ means that only lower class roads approach the junction. </t>
  </si>
  <si>
    <t>Forecast fuel cost parameters - Work</t>
  </si>
  <si>
    <t>Fuel cost parameters - Non-Work</t>
  </si>
  <si>
    <t>To calculate forecast car occupancies, subtract 1 for driver from value for base year; multiply by vehicle occupancy growth raised to number of years from the source year and add 1 driver back in.</t>
  </si>
  <si>
    <t>To calculate average car occupancies weight by percentage of distance travelled.</t>
  </si>
  <si>
    <t>To calculate forecast work PSV occupancies, multiply the passenger occupancy by the percentage of distance travelled by passengers to work and add 1 for the driver.</t>
  </si>
  <si>
    <t>http://www.defra.gov.uk/environment/quality/air/air-quality/economic/damage/</t>
  </si>
  <si>
    <t>Sensitivities</t>
  </si>
  <si>
    <t>(1) This estimate is intended for use only where a single point estimate is necessary and should always be accompanied by the central range.</t>
  </si>
  <si>
    <t>Work: fuel costs excluding VAT calculated with:</t>
  </si>
  <si>
    <t>and non-fuel costs calculated by:</t>
  </si>
  <si>
    <t>non_fuel_op_cost</t>
  </si>
  <si>
    <t>A1.3.15!$B$26:$E$46</t>
  </si>
  <si>
    <t>non-fuel costs calculated by:</t>
  </si>
  <si>
    <t>Fuel and electricity prices and components</t>
  </si>
  <si>
    <t>Fuel and electricity prices and components, source: DfT (2010 prices)</t>
  </si>
  <si>
    <t xml:space="preserve">Values of aspects of pedestrian environment used to  </t>
  </si>
  <si>
    <t>factors</t>
  </si>
  <si>
    <t>Fuel price and income forecast adjustment</t>
  </si>
  <si>
    <t>Income adjustment factor</t>
  </si>
  <si>
    <t>Fuel cost adjustment factor</t>
  </si>
  <si>
    <t>Adjustment Factors</t>
  </si>
  <si>
    <t>Parameters</t>
  </si>
  <si>
    <t>OGVs</t>
  </si>
  <si>
    <t>Resource</t>
  </si>
  <si>
    <t>Cost</t>
  </si>
  <si>
    <t>Perceived</t>
  </si>
  <si>
    <t>Market</t>
  </si>
  <si>
    <t>Price</t>
  </si>
  <si>
    <t>Car driver</t>
  </si>
  <si>
    <t>Car passenger</t>
  </si>
  <si>
    <t>LGV (driver or passenger)</t>
  </si>
  <si>
    <t>OGV (driver or passenger)</t>
  </si>
  <si>
    <t>PSV driver</t>
  </si>
  <si>
    <t>PSV passenger</t>
  </si>
  <si>
    <t>Taxi driver</t>
  </si>
  <si>
    <t>Rail passenger</t>
  </si>
  <si>
    <t>Underground passenger</t>
  </si>
  <si>
    <t xml:space="preserve">Walker </t>
  </si>
  <si>
    <t>Cyclist</t>
  </si>
  <si>
    <t>Motorcyclist</t>
  </si>
  <si>
    <t>Commuting</t>
  </si>
  <si>
    <t>Other</t>
  </si>
  <si>
    <t>Weekday</t>
  </si>
  <si>
    <t>Weekend</t>
  </si>
  <si>
    <t>Average</t>
  </si>
  <si>
    <t>All Week</t>
  </si>
  <si>
    <t>10am – 4pm</t>
  </si>
  <si>
    <t>4pm – 7pm</t>
  </si>
  <si>
    <t>7pm – 7am</t>
  </si>
  <si>
    <t xml:space="preserve">Work </t>
  </si>
  <si>
    <t xml:space="preserve">Other </t>
  </si>
  <si>
    <t>Average Car</t>
  </si>
  <si>
    <t>Weekend Average</t>
  </si>
  <si>
    <t>LGV</t>
  </si>
  <si>
    <t>Work  (freight)</t>
  </si>
  <si>
    <t>Average LGV</t>
  </si>
  <si>
    <t>PSV</t>
  </si>
  <si>
    <t>Driver</t>
  </si>
  <si>
    <t>Passenger</t>
  </si>
  <si>
    <t>7am – 10am</t>
  </si>
  <si>
    <t>Non – Work</t>
  </si>
  <si>
    <t>Car</t>
  </si>
  <si>
    <t xml:space="preserve">Commuting </t>
  </si>
  <si>
    <t>Work</t>
  </si>
  <si>
    <t xml:space="preserve"> </t>
  </si>
  <si>
    <t>OGV1</t>
  </si>
  <si>
    <t>OGV2</t>
  </si>
  <si>
    <t>Heavy Rail</t>
  </si>
  <si>
    <t>Light Rail</t>
  </si>
  <si>
    <t>Vehicle Type</t>
  </si>
  <si>
    <t>Working</t>
  </si>
  <si>
    <t>Total</t>
  </si>
  <si>
    <t>Year</t>
  </si>
  <si>
    <t>Source:</t>
  </si>
  <si>
    <t>Population</t>
  </si>
  <si>
    <t>Journey Purpose</t>
  </si>
  <si>
    <t>20/30/40</t>
  </si>
  <si>
    <t>D</t>
  </si>
  <si>
    <t>I</t>
  </si>
  <si>
    <t>Priority w Ghost Island</t>
  </si>
  <si>
    <t>Priority w Single Lane Dualling</t>
  </si>
  <si>
    <t>Signals</t>
  </si>
  <si>
    <t>5 / 6</t>
  </si>
  <si>
    <t>Roundabouts (Standard)</t>
  </si>
  <si>
    <t>50, 52</t>
  </si>
  <si>
    <t>Roundabouts (Standard, 3 Arm)</t>
  </si>
  <si>
    <t>49, 51</t>
  </si>
  <si>
    <t>54, 56</t>
  </si>
  <si>
    <t xml:space="preserve">Petrol </t>
  </si>
  <si>
    <t>Tables 3/2 and 3/3, COBA Manual</t>
  </si>
  <si>
    <t xml:space="preserve">Source year:  </t>
  </si>
  <si>
    <t>Unit A 1.3:</t>
  </si>
  <si>
    <t>This tab feeds VoC Fuel</t>
  </si>
  <si>
    <t>Road &amp; Rail electricity costs</t>
  </si>
  <si>
    <t>VAT</t>
  </si>
  <si>
    <t>CO2 Emissions</t>
  </si>
  <si>
    <t>£ per tonne</t>
  </si>
  <si>
    <t>traded</t>
  </si>
  <si>
    <t>Carbon price</t>
  </si>
  <si>
    <t>Source tabs: CO2, GHG, VoC Fuel</t>
  </si>
  <si>
    <t>Av_car_cost</t>
  </si>
  <si>
    <t>&lt;45</t>
  </si>
  <si>
    <t>&gt;81</t>
  </si>
  <si>
    <t>Low</t>
  </si>
  <si>
    <t>High</t>
  </si>
  <si>
    <t>Central Value</t>
  </si>
  <si>
    <t>Source year (fuel):</t>
  </si>
  <si>
    <t>Zone 2/25 Great Minster House</t>
  </si>
  <si>
    <t>33 Horseferry Road</t>
  </si>
  <si>
    <t>London</t>
  </si>
  <si>
    <t>SW1P 4DR</t>
  </si>
  <si>
    <t>Top</t>
  </si>
  <si>
    <t>Values of time</t>
  </si>
  <si>
    <t>Operating costs</t>
  </si>
  <si>
    <t>Provider</t>
  </si>
  <si>
    <t xml:space="preserve">User &amp; </t>
  </si>
  <si>
    <t>v1.2</t>
  </si>
  <si>
    <t>Each cost takes respective value from the source data; firstly controls for inflation by multiplying by GDP deflator for current price year and dividing by index of GDP deflator for source year and secondly multiplies by</t>
  </si>
  <si>
    <t>index of GDP/capita for current value year and divides by index of GDP / capita for value year.</t>
  </si>
  <si>
    <t>Electric cars should only be included in models/appraisals from 2011 onwards.</t>
  </si>
  <si>
    <t>Evidence of the energy consumption of electric cars is currently limited. At present, it should be assumed that energy consumption is proportional to distance but independent of speed (i.e., equivalent to a</t>
  </si>
  <si>
    <t>“b” parameter in the fuel consumption formula with the a, c and d parameters all zero). The appraisal of electric cars is a developing area and we expect to develop speed-related curves in the future.</t>
  </si>
  <si>
    <t>Updated population series and projections (ONS, 2013)</t>
  </si>
  <si>
    <t>Updated price year to include up to 2014</t>
  </si>
  <si>
    <t>Growth from 2010- 2011 corresponds with growth in 2011 as given in the Annual Parameters table</t>
  </si>
  <si>
    <t>Real GDP per capita growth forecasts are taken from the Annual Parameters table</t>
  </si>
  <si>
    <t>Notes updated and initial forecast year control added to COBALT2 tab</t>
  </si>
  <si>
    <t>RoC = Rest of Country</t>
  </si>
  <si>
    <t>LTA= London Travelcard Area</t>
  </si>
  <si>
    <t>Fuel cost parameters - work</t>
  </si>
  <si>
    <t>Fuel cost parameters - non-work</t>
  </si>
  <si>
    <t>work</t>
  </si>
  <si>
    <t>average work car</t>
  </si>
  <si>
    <t>% work</t>
  </si>
  <si>
    <t>average</t>
  </si>
  <si>
    <t>cost per km</t>
  </si>
  <si>
    <t>prices</t>
  </si>
  <si>
    <t>All costs are on a per km basis</t>
  </si>
  <si>
    <t>Separate all GB series uses a smoothed set of fuel cost parameters to generate NTEM adjustment factors. Parameter in year t = (t-1)*0.25+t*0.5+(t+1)*0.25</t>
  </si>
  <si>
    <t>Car costs, p/km</t>
  </si>
  <si>
    <t>travel</t>
  </si>
  <si>
    <t>Fuel costs per km</t>
  </si>
  <si>
    <t>Correction to treatment of non-fuel costs in Table M4.2.2, re-structured calculations with use of cagr interpolation and added additional flow categories</t>
  </si>
  <si>
    <t>Gatwick</t>
  </si>
  <si>
    <t>Heathrow</t>
  </si>
  <si>
    <t>Manchester</t>
  </si>
  <si>
    <t>Stansted</t>
  </si>
  <si>
    <t>Birmingham</t>
  </si>
  <si>
    <t>Luton</t>
  </si>
  <si>
    <t>Cardiff</t>
  </si>
  <si>
    <t>Car costs, average cars: Index 2010/11 = 100</t>
  </si>
  <si>
    <t>Airport flows</t>
  </si>
  <si>
    <t>South-</t>
  </si>
  <si>
    <t>ampton</t>
  </si>
  <si>
    <t>Airport flows are matched to the most relevant general flow category.</t>
  </si>
  <si>
    <t>Proportion of bus trips by car ownership, trip purpose and concessionary travel pass status.</t>
  </si>
  <si>
    <t xml:space="preserve">HH car </t>
  </si>
  <si>
    <t>Trip purpose</t>
  </si>
  <si>
    <t>Concession-</t>
  </si>
  <si>
    <t>Metropolitan</t>
  </si>
  <si>
    <t xml:space="preserve">Large and </t>
  </si>
  <si>
    <t>Small urban</t>
  </si>
  <si>
    <t>All areas</t>
  </si>
  <si>
    <t>ownership</t>
  </si>
  <si>
    <t>ary pass</t>
  </si>
  <si>
    <t>Boroughs</t>
  </si>
  <si>
    <t>built-up</t>
  </si>
  <si>
    <t>medium</t>
  </si>
  <si>
    <t>and rural</t>
  </si>
  <si>
    <t>(exc London)</t>
  </si>
  <si>
    <t>(inc London)</t>
  </si>
  <si>
    <t>status</t>
  </si>
  <si>
    <t>areas</t>
  </si>
  <si>
    <t>urban areas</t>
  </si>
  <si>
    <t>(&lt;10k popn)</t>
  </si>
  <si>
    <t>Shopping</t>
  </si>
  <si>
    <t>Holder</t>
  </si>
  <si>
    <t>EB</t>
  </si>
  <si>
    <t>Education</t>
  </si>
  <si>
    <t>Health</t>
  </si>
  <si>
    <t>PB</t>
  </si>
  <si>
    <t>VFR</t>
  </si>
  <si>
    <t>2+</t>
  </si>
  <si>
    <t>Non holder</t>
  </si>
  <si>
    <t>Table A 1.3.16: Proportion of bus trips by car ownership, trip purpose and concessionary travel pass status.</t>
  </si>
  <si>
    <t>Trip</t>
  </si>
  <si>
    <t>purpose</t>
  </si>
  <si>
    <t>A 1.3.16</t>
  </si>
  <si>
    <t>A 1.3.17</t>
  </si>
  <si>
    <t>A 1.3.18</t>
  </si>
  <si>
    <t>Social Impact of buses</t>
  </si>
  <si>
    <t>Proportion of bus trips by that would “not go” if bus not available.</t>
  </si>
  <si>
    <t>"not go" if bus not available</t>
  </si>
  <si>
    <t>Proportion</t>
  </si>
  <si>
    <t>"not go"</t>
  </si>
  <si>
    <t>Value of the social impact per return bus trip</t>
  </si>
  <si>
    <t>Concessionary travel pass status</t>
  </si>
  <si>
    <t>Value of social impact</t>
  </si>
  <si>
    <t>per return bus trip</t>
  </si>
  <si>
    <t>Non-holder</t>
  </si>
  <si>
    <t>Table A 1.3.17: Proportion of bus trips by that would</t>
  </si>
  <si>
    <t>Table A 1.3.18: Value of the social impact per return bus trip</t>
  </si>
  <si>
    <t>Bus Social Impacts</t>
  </si>
  <si>
    <t>Bus Social Impact tables added (A1.3.16-18)</t>
  </si>
  <si>
    <t>Social Impacts of buses</t>
  </si>
  <si>
    <t xml:space="preserve">Proportion of bus trips by car ownership, trip purpose and </t>
  </si>
  <si>
    <t>concessionary travel pass status.</t>
  </si>
  <si>
    <t>£ per return</t>
  </si>
  <si>
    <t>bus trip</t>
  </si>
  <si>
    <t>Estimated damage only accidents per pia</t>
  </si>
  <si>
    <t>Damage only per pia</t>
  </si>
  <si>
    <t>M'way</t>
  </si>
  <si>
    <t>Damage only accidents per pia added to COBALT1 tab</t>
  </si>
  <si>
    <t>DECC IAG 2013 electricity prices</t>
  </si>
  <si>
    <t>DECC IAG emission factors</t>
  </si>
  <si>
    <r>
      <t>GDP deflator</t>
    </r>
    <r>
      <rPr>
        <b/>
        <vertAlign val="superscript"/>
        <sz val="10"/>
        <rFont val="Arial"/>
        <family val="2"/>
      </rPr>
      <t>1</t>
    </r>
  </si>
  <si>
    <r>
      <t>Real GDP</t>
    </r>
    <r>
      <rPr>
        <b/>
        <vertAlign val="superscript"/>
        <sz val="10"/>
        <rFont val="Arial"/>
        <family val="2"/>
      </rPr>
      <t>2</t>
    </r>
  </si>
  <si>
    <t>3. Population</t>
  </si>
  <si>
    <r>
      <t>Population</t>
    </r>
    <r>
      <rPr>
        <b/>
        <vertAlign val="superscript"/>
        <sz val="10"/>
        <rFont val="Arial"/>
        <family val="2"/>
      </rPr>
      <t>3</t>
    </r>
  </si>
  <si>
    <r>
      <t>Households</t>
    </r>
    <r>
      <rPr>
        <b/>
        <vertAlign val="superscript"/>
        <sz val="10"/>
        <rFont val="Arial"/>
        <family val="2"/>
      </rPr>
      <t>4</t>
    </r>
  </si>
  <si>
    <t>4. Households</t>
  </si>
  <si>
    <t>Updated GDP deflator series and forecasts, including basing index on specified price year (HMT, Dec 2013, and OBR Mar 2014, July 2013)</t>
  </si>
  <si>
    <t xml:space="preserve">Updated historic household series (ONS, 2013) </t>
  </si>
  <si>
    <t>Beta factors for junction accidents on COBALT7 corrected</t>
  </si>
  <si>
    <t>Fuel price forecasts from v2.8 of DfT fuel price model, using IAG 2013 fossil fuel prices and Budget 2014 duty announcements</t>
  </si>
  <si>
    <t>Updated GDP deflator series and forecasts (HMT, Dec 2013, and OBR Mar 2014, July 2013)</t>
  </si>
  <si>
    <t>Updated fuel price forecasts, using IAG 2013 fossil fuel prices and Budget 2014 duty announcements</t>
  </si>
  <si>
    <t>Updated emission factors (A3.3), carbon values (A3.4) and electricity prices (A1.3.7) from DECC IAG 2013 guidance</t>
  </si>
  <si>
    <t>Updated emission factors (A3.3) and carbon values (A3.4) from DECC IAG 2013 guidance on valuing energy and GHG emissions</t>
  </si>
  <si>
    <t>Updated GDP series and forecasts (Final estimate for Q4 2013 ABMI, Mar 2014 and July 2013 OBR forecasts)</t>
  </si>
  <si>
    <t>Updated GDP series and forecasts (Final estimate for Q4 2103 ABMI, Mar 2014 OBR forecasts for 2014-2018)</t>
  </si>
  <si>
    <t>kg CO2e/l</t>
  </si>
  <si>
    <t>kg CO2e/kWh</t>
  </si>
  <si>
    <t>Table 3 - carbon prices and sensitivities</t>
  </si>
  <si>
    <t>Tables 1 (electricity emission factors) and 2b (converting road and rail fuels to CO2e emission factors)</t>
  </si>
  <si>
    <t>Source: Valuing the Social Impacts of Public Transport (Mott MacDonald, 2013)</t>
  </si>
  <si>
    <t>https://www.gov.uk/government/publications/social-benefits-of-buses-valuing-the-social-impacts</t>
  </si>
  <si>
    <t>This table provides the proportion of bus trips made by car ownership, purpose and concessionary pass holding, for different area types, for use in estimaing the social impact of bus projects described in TAG Unit A1.3 Appendix B.</t>
  </si>
  <si>
    <t>This table provides the proportion of bus trips by car ownership, purpose and concessionary pass holding that would "not go" if bus were not available, for use in estimaing the social impact of bus projects described in</t>
  </si>
  <si>
    <t>TAG Unit A1.3 Appendix B.</t>
  </si>
  <si>
    <t>This table provides the social value of bus trips (per return trip) that would "not go" if bus were unavailable, for use in estimaing the social impact of bus projects described in TAG Unit A1.3 Appendix B.</t>
  </si>
  <si>
    <t xml:space="preserve">Benefits calculated using these values are not additional to the user benefits calculated following the standard appraisal approach, but provide additional detail on the proportion of benefits relating to trips that would otherwise not </t>
  </si>
  <si>
    <t>have taken place.</t>
  </si>
  <si>
    <t>May 2014 release v1.2</t>
  </si>
  <si>
    <t>Car and bus journey times</t>
  </si>
  <si>
    <t>Car journey time series for rail demand forecasting</t>
  </si>
  <si>
    <t>RoSE to/from</t>
  </si>
  <si>
    <t>Roc</t>
  </si>
  <si>
    <t>to/from</t>
  </si>
  <si>
    <t>Non-London</t>
  </si>
  <si>
    <t>Inter-urban</t>
  </si>
  <si>
    <t>Bus journey time series for rail demand forecasting</t>
  </si>
  <si>
    <t>Financial year</t>
  </si>
  <si>
    <t>Car and bus journey time series for rail demand forecasting</t>
  </si>
  <si>
    <t>Car journey times: Index 2010/11 = 100</t>
  </si>
  <si>
    <t>Bus journey times: Index 2010/11 = 100</t>
  </si>
  <si>
    <t>The series use forecast car and bus speeds from the National Transport Model (NTM), matched to PDFH flow categories.</t>
  </si>
  <si>
    <t>Forecast changes in speed (v) are taken from the National Transport Model (NTM), matched to PDFH flow categories.</t>
  </si>
  <si>
    <t>The speeds are expressed in seconds / km so that increases in the series represent an increase in journey times.</t>
  </si>
  <si>
    <t>Financial Year</t>
  </si>
  <si>
    <t>Rail operating cost and revenue forecasting series</t>
  </si>
  <si>
    <t>GDP deflator</t>
  </si>
  <si>
    <t>RPI</t>
  </si>
  <si>
    <t>earnings</t>
  </si>
  <si>
    <t>Earnings</t>
  </si>
  <si>
    <t>annual</t>
  </si>
  <si>
    <t>growth</t>
  </si>
  <si>
    <t>index</t>
  </si>
  <si>
    <t xml:space="preserve">Nominal </t>
  </si>
  <si>
    <t>10/11=100</t>
  </si>
  <si>
    <t>Real</t>
  </si>
  <si>
    <t>Real earnings</t>
  </si>
  <si>
    <t>Real average earnings index</t>
  </si>
  <si>
    <t>Forecasting</t>
  </si>
  <si>
    <t>v1.3</t>
  </si>
  <si>
    <t>Car and bus JT for rail forecasting</t>
  </si>
  <si>
    <t>Inflation factors for rail revenue and op cost forecasting</t>
  </si>
  <si>
    <t>% increase</t>
  </si>
  <si>
    <t>growth %pa</t>
  </si>
  <si>
    <t>Table A5.3.1</t>
  </si>
  <si>
    <t>Table M 4.2.3</t>
  </si>
  <si>
    <t>A5.3</t>
  </si>
  <si>
    <t>Rail Appraisal</t>
  </si>
  <si>
    <t>A 5.3.1</t>
  </si>
  <si>
    <t>M 4.2.3</t>
  </si>
  <si>
    <t>This tab feeds Table M4.2.3</t>
  </si>
  <si>
    <t>Rail Diesel</t>
  </si>
  <si>
    <t>Non-London core</t>
  </si>
  <si>
    <t>Non-London major</t>
  </si>
  <si>
    <t>Non-London other</t>
  </si>
  <si>
    <t>Financial</t>
  </si>
  <si>
    <t>Car costs, index 2010/11=100. Average work and non-work</t>
  </si>
  <si>
    <t>%from urban areas:</t>
  </si>
  <si>
    <t>%from non-London inter-urban:</t>
  </si>
  <si>
    <t>core</t>
  </si>
  <si>
    <t>major</t>
  </si>
  <si>
    <t>other</t>
  </si>
  <si>
    <t>Correspondence from PDFH 5.0 to 5.1 flow categories for non-London flows</t>
  </si>
  <si>
    <t>PDFH 5.1 flows</t>
  </si>
  <si>
    <t>PDFH 5.0 flows</t>
  </si>
  <si>
    <t>Non-London inter-urban</t>
  </si>
  <si>
    <t>non-London</t>
  </si>
  <si>
    <t>2034/35</t>
  </si>
  <si>
    <t xml:space="preserve">This table is based on data from 2008-2010. There are fifteen accident types relating to the type of road which are further subdivided by speed limit. In the following tables many cells in the table are at present identical; </t>
  </si>
  <si>
    <t>when available data permit separate rates to be calculated users will be advised. The “Modern”, “Older” and “Other” link descriptions used in the tables are defined as:</t>
  </si>
  <si>
    <t xml:space="preserve">The values for the accident rate change coefficient β incorporated in COBALT are given below. The rates of change vary for ‘Link Only’ and ‘Link and Junction Combined’ analyses and should be </t>
  </si>
  <si>
    <t xml:space="preserve">applied from any year from 2004 until year 2019. Between 2020 and 2029 and 2030 and 2039 the accident rate change is assumed to be one half and one quarter respectively of the 2004 to 2019 reduction. </t>
  </si>
  <si>
    <t>For example, if the coefficient β is 0.9 for 2004 to 2019 then it is 0.95 each year for 2020 to 2029 (or [1 - (1 + β)/2]) and 0.975 for 2030 to 2039 (or [1 - (1 + β)/4]). Zero change is assumed post 2039 (β=1).</t>
  </si>
  <si>
    <t>2004-2019</t>
  </si>
  <si>
    <t>2020-2029</t>
  </si>
  <si>
    <t>2030-2039</t>
  </si>
  <si>
    <t>2040+</t>
  </si>
  <si>
    <t xml:space="preserve">The proportions are based on 2008–2010 data. Accident rates and severity have been reducing over recent years and this trend is expected to continue into the future. The forecasting of the proportion of fatal / serious / slight accidents is </t>
  </si>
  <si>
    <t>Update of Highway Accident Rates for Use in Scheme Appraisal - TRL 2012 (Table 7-5 Overall Results - accident severity ratios)</t>
  </si>
  <si>
    <t>Based on data for 2008 - 2010.</t>
  </si>
  <si>
    <t>Sources: Update of Highway Accident Rates for Use in Scheme Appraisal - TRL 2012 (Tables 4/2 &amp; 4/3)</t>
  </si>
  <si>
    <t>Table 4-3</t>
  </si>
  <si>
    <t>1995-2019</t>
  </si>
  <si>
    <t>2020+</t>
  </si>
  <si>
    <t>The updated curves are consistent with the latest fleet composition and projections and methods used in the National Atmospheric Emissions Inventory (NAEI).</t>
  </si>
  <si>
    <t>kph</t>
  </si>
  <si>
    <t>Operating cost and revenue forecasting series</t>
  </si>
  <si>
    <t>These series were primarily developed for use in forecasting real increases in rail fares (measured against the GDP deflator) from applying the RPI+X% formula and staff-related rail operating costs.</t>
  </si>
  <si>
    <t>The series can equally be used to forecast real increase in fares for other public transport modes, or any other costs or prices, where these are expected to increase with a similar RPI+X% relationship.</t>
  </si>
  <si>
    <t xml:space="preserve">When using the series in this context, analystys should refer to TAG Unit A5.3, particualrly section 2.4, which provides specific guidance on how growth in fares and various cost elements should be treated beyond the year in which </t>
  </si>
  <si>
    <t xml:space="preserve">demand is capped. For forecast values beyond the final year in the table, see section 2.4 of TAG Unit A5.3   </t>
  </si>
  <si>
    <t>Source : Update of Highway Accident Rates for Use in Scheme Appraisal - TRL 2012 (Table 7-2 for Overall Accident Rates (2008-2010); pg.26 and Table 4/1 for Accident Rate Reduction Factor (β) (personal injury accidents pmvk - 2009 Base); pg.42)</t>
  </si>
  <si>
    <t>Extend user parameters price and value year series to 2040.</t>
  </si>
  <si>
    <t>In line with Defra guidance, translations between noise metrics for Rail and Aviation are unreliable so assume equivalence between different Laeq daytime measures</t>
  </si>
  <si>
    <t>noise measures.</t>
  </si>
  <si>
    <t>Table A 3.1: Monetary valuation of</t>
  </si>
  <si>
    <t>Values for noise metrics given in Defra noise modelling tool</t>
  </si>
  <si>
    <t>Sleep disturbance values against Lnight</t>
  </si>
  <si>
    <t>changes in noise level</t>
  </si>
  <si>
    <r>
      <t>L</t>
    </r>
    <r>
      <rPr>
        <b/>
        <vertAlign val="subscript"/>
        <sz val="10"/>
        <rFont val="Arial"/>
        <family val="2"/>
      </rPr>
      <t>A10</t>
    </r>
    <r>
      <rPr>
        <b/>
        <sz val="10"/>
        <rFont val="Arial"/>
        <family val="2"/>
      </rPr>
      <t xml:space="preserve">, </t>
    </r>
    <r>
      <rPr>
        <b/>
        <vertAlign val="subscript"/>
        <sz val="10"/>
        <rFont val="Arial"/>
        <family val="2"/>
      </rPr>
      <t xml:space="preserve">18hr </t>
    </r>
    <r>
      <rPr>
        <b/>
        <sz val="10"/>
        <rFont val="Arial"/>
        <family val="2"/>
      </rPr>
      <t>dB(A)</t>
    </r>
  </si>
  <si>
    <r>
      <t>L</t>
    </r>
    <r>
      <rPr>
        <b/>
        <vertAlign val="subscript"/>
        <sz val="10"/>
        <rFont val="Arial"/>
        <family val="2"/>
      </rPr>
      <t>Aeq</t>
    </r>
    <r>
      <rPr>
        <b/>
        <sz val="10"/>
        <rFont val="Arial"/>
        <family val="2"/>
      </rPr>
      <t xml:space="preserve">, </t>
    </r>
    <r>
      <rPr>
        <b/>
        <vertAlign val="subscript"/>
        <sz val="10"/>
        <rFont val="Arial"/>
        <family val="2"/>
      </rPr>
      <t xml:space="preserve">16hr </t>
    </r>
    <r>
      <rPr>
        <b/>
        <sz val="10"/>
        <rFont val="Arial"/>
        <family val="2"/>
      </rPr>
      <t>dB(A)</t>
    </r>
  </si>
  <si>
    <t>Aviation</t>
  </si>
  <si>
    <r>
      <t>L</t>
    </r>
    <r>
      <rPr>
        <b/>
        <vertAlign val="subscript"/>
        <sz val="10"/>
        <rFont val="Arial"/>
        <family val="2"/>
      </rPr>
      <t xml:space="preserve">night </t>
    </r>
    <r>
      <rPr>
        <b/>
        <sz val="10"/>
        <rFont val="Arial"/>
        <family val="2"/>
      </rPr>
      <t>dB(A)</t>
    </r>
  </si>
  <si>
    <t>Sleep disturbance</t>
  </si>
  <si>
    <t>Sleep</t>
  </si>
  <si>
    <t>Amenity</t>
  </si>
  <si>
    <t>Direct AMI</t>
  </si>
  <si>
    <t>Stroke</t>
  </si>
  <si>
    <t>Dementia</t>
  </si>
  <si>
    <t>disturbance</t>
  </si>
  <si>
    <t>Inclusion of defra noise values on health-basis (noise and A3.1)</t>
  </si>
  <si>
    <t xml:space="preserve">These values are based on Defra research and guidance, published here: </t>
  </si>
  <si>
    <t>https://www.gov.uk/guidance/noise-pollution-economic-analysis</t>
  </si>
  <si>
    <t>Values are taken from the "Transport noise modelling tool" spreadsheet. "Marginal values" sheet with central QALY and DW assumptions, and high sleep disturbance and annoyance functions.</t>
  </si>
  <si>
    <t xml:space="preserve">Defra values are given in LA10, 18hr. In line with Defra guidance, for road, these have been translated to LAeq, 16hr by -2dB(A). </t>
  </si>
  <si>
    <t>Sleep disturbance values taken from "sleep disturbance" sheet and are against Lnight. For road, the translation between daytime and nighttime measures is sufficiently reliable for sleep disturbance impacts to be estimated from daytime</t>
  </si>
  <si>
    <t xml:space="preserve">These values are sourced from Defra research and guidance, embodied in their "Transport Noise Modelling Tool" spreadsheet, available here: </t>
  </si>
  <si>
    <t>Values for daytime noise impacts are sourced from the "Marginal values" sheet, based on central QALY valuation and Disability Weight assumptions, and the highly annoyed response function.</t>
  </si>
  <si>
    <t>Values have been converted from a 2014 to 2010 price base and, for road values, converted from LA10, 18hr to LAeq, 16hr by a factor of -2dB(A). In line with Defra guidance, daytime measures for rail and aviation noise are assumed to be equivalent.</t>
  </si>
  <si>
    <t xml:space="preserve">Values for sleep disturbance are sourced from the "Sleep disturbance summ" sheet, and are given against the Lnight metric. </t>
  </si>
  <si>
    <t>For road-based sleep disturbance only, the translation between daytime and nighttime noise measures is sufficiently reliable for sleep disturbance impacts to be estimated from daytime noise measures. Therefore, for road only, sleep disturbance values are also given</t>
  </si>
  <si>
    <t>against the LAeq, 16hr metric, sourced from the "Marginal values" sheet and converted from LA10, 18hr.</t>
  </si>
  <si>
    <t>Valuation of changes in noise level is calculated by multiplying the value for the source year by the ratio of GDP deflators and the growth in GDP per capita.</t>
  </si>
  <si>
    <t>Adjustment from GDP deflator to RPI real terms</t>
  </si>
  <si>
    <t>Annual GDP</t>
  </si>
  <si>
    <t>Annual RPI</t>
  </si>
  <si>
    <t>Difference</t>
  </si>
  <si>
    <t>Adjustment</t>
  </si>
  <si>
    <t>deflator growth</t>
  </si>
  <si>
    <t>Car speeds'!$BE$28:$BP$78</t>
  </si>
  <si>
    <t>Revise calculation of car cost series to be in real terms against RPI, consistent with elasticities used in forecasting (car speeds, M4.2.2 and Adjustment Factors</t>
  </si>
  <si>
    <t>Inflation measures</t>
  </si>
  <si>
    <t>Updated population series with 2014 ONS MY estimate and principal ONS projections, consistent with latest OBR GDP forecasts.</t>
  </si>
  <si>
    <t>Updated household series with 2014 (and back series) from LFS</t>
  </si>
  <si>
    <t>Updated accident and casualty data (affecting A4.1 tables) with latest data from Road Safety team from RRCGB 2014</t>
  </si>
  <si>
    <t>Updates to GDP and GDP deflator series in Annual Parameters with latest OBR forecasts (2015 summer Budget and FSR)</t>
  </si>
  <si>
    <t>Updates to cost and rev series (table A5.3.1) with latest OBR forecasts for the GDP deflator, RPI and average earnings. (2015 summer budget and FSR)</t>
  </si>
  <si>
    <t>Monetary valuation of changes in noise</t>
  </si>
  <si>
    <t>Traded values in:</t>
  </si>
  <si>
    <t xml:space="preserve">2. Real GDP </t>
  </si>
  <si>
    <t>Updated forecasts of GDP, GDP deflator and RPI (OBR and ONS, 2015)</t>
  </si>
  <si>
    <t>Updated population and household projections (ONS and DCLG, 2015)</t>
  </si>
  <si>
    <t>Updated road fuel and electricity price projections, GHG value projections and emissions factor projections (DECC, 2015)</t>
  </si>
  <si>
    <t>Autumn 2015 release v1.4</t>
  </si>
  <si>
    <t>Table 7 (central scenario, Industrial series)</t>
  </si>
  <si>
    <t>Table 8 (central scenario)</t>
  </si>
  <si>
    <t>Corrected hard-coding of price base year in tables A1.3.7 and A3.4, corrected references in 'VOC fuel', 'Electricity' and 'A1.3.7' tabs.</t>
  </si>
  <si>
    <t>Updates to GDP and GDP deflator series in Annual Parameters with latest OBR forecasts (2016 Budget)</t>
  </si>
  <si>
    <t>Updated OGV 1 and OGV 2 Fuel Consumption Parameters.</t>
  </si>
  <si>
    <t>Updated forecasts of GDP, GDP deflator and RPI (OBR and ONS, 2016)</t>
  </si>
  <si>
    <t xml:space="preserve">v1.4 </t>
  </si>
  <si>
    <r>
      <t>GDP Deflator</t>
    </r>
    <r>
      <rPr>
        <b/>
        <vertAlign val="superscript"/>
        <sz val="10"/>
        <rFont val="Arial"/>
        <family val="2"/>
      </rPr>
      <t>1</t>
    </r>
  </si>
  <si>
    <t>1. GDP Deflator</t>
  </si>
  <si>
    <t>DfT,Environmental Analysis</t>
  </si>
  <si>
    <t>Updated Average Earnings Data with latest OBR Outturn and Forecast data</t>
  </si>
  <si>
    <t>Values of Working (Employers' Business) Time by mode per person(all distances)</t>
  </si>
  <si>
    <t>Car(driver or passenger) 0-50km</t>
  </si>
  <si>
    <t>Car(driver or passenger) 50-100km</t>
  </si>
  <si>
    <t>Car(driver or passenger) 100-200km</t>
  </si>
  <si>
    <t>Car(driver or passenger) 200km+</t>
  </si>
  <si>
    <t>Rail Passenger 0-50km</t>
  </si>
  <si>
    <t>Rail Passenger 50-100km</t>
  </si>
  <si>
    <t>Rail Passenger 100-200km</t>
  </si>
  <si>
    <t>Rail Passenger 200km+</t>
  </si>
  <si>
    <t>Values of Working (Employers' Business) Time by mode per person (Distance Banded)</t>
  </si>
  <si>
    <t>Car (driver or passenger) 0-50km</t>
  </si>
  <si>
    <t>Car (driver or passenger) 50-100km</t>
  </si>
  <si>
    <t>Car (driver or passenger) 100-200km</t>
  </si>
  <si>
    <t>Car (driver or passenger) 200km+</t>
  </si>
  <si>
    <t>Rail passenger 0-50km</t>
  </si>
  <si>
    <t>Rail passenger 50-100km</t>
  </si>
  <si>
    <t>Rail passenger 100-200km</t>
  </si>
  <si>
    <t>Rail passenger 200km+</t>
  </si>
  <si>
    <t>Values of Working (Employers' Business) Time by mode per person (distance banded)</t>
  </si>
  <si>
    <t>Commute</t>
  </si>
  <si>
    <t>Updated Car MECs to reflect indirect tax correction and new values of time</t>
  </si>
  <si>
    <t>Formula for employers' business value of time by mode (car and rail only)</t>
  </si>
  <si>
    <t>Description</t>
  </si>
  <si>
    <t>distance (km)</t>
  </si>
  <si>
    <t>upper limit (asymptote) of function</t>
  </si>
  <si>
    <r>
      <t xml:space="preserve">distance at the inflexion point of the curve (where </t>
    </r>
    <r>
      <rPr>
        <i/>
        <sz val="11"/>
        <rFont val="Calibri"/>
        <family val="2"/>
      </rPr>
      <t>VTTS</t>
    </r>
    <r>
      <rPr>
        <sz val="11"/>
        <rFont val="Calibri"/>
        <family val="2"/>
      </rPr>
      <t xml:space="preserve"> = </t>
    </r>
    <r>
      <rPr>
        <i/>
        <sz val="11"/>
        <rFont val="Calibri"/>
        <family val="2"/>
      </rPr>
      <t>U</t>
    </r>
    <r>
      <rPr>
        <sz val="11"/>
        <rFont val="Calibri"/>
        <family val="2"/>
      </rPr>
      <t>/2 )</t>
    </r>
  </si>
  <si>
    <t>scale parameter (iversely proportional to the steepness of the curve)</t>
  </si>
  <si>
    <t>VTTS</t>
  </si>
  <si>
    <t>U</t>
  </si>
  <si>
    <t>Xmid</t>
  </si>
  <si>
    <t>k</t>
  </si>
  <si>
    <t>Parameter values for employers' business value of time by mode</t>
  </si>
  <si>
    <t>Parameter defintions for employers' business value of time by mode</t>
  </si>
  <si>
    <t>value of time</t>
  </si>
  <si>
    <t>To Factor Cost</t>
  </si>
  <si>
    <r>
      <rPr>
        <i/>
        <sz val="10"/>
        <rFont val="Arial"/>
        <family val="2"/>
      </rPr>
      <t>U</t>
    </r>
    <r>
      <rPr>
        <sz val="10"/>
        <rFont val="Arial"/>
        <family val="2"/>
      </rPr>
      <t xml:space="preserve"> (perceived cost)</t>
    </r>
  </si>
  <si>
    <r>
      <rPr>
        <i/>
        <sz val="10"/>
        <rFont val="Arial"/>
        <family val="2"/>
      </rPr>
      <t xml:space="preserve">U </t>
    </r>
    <r>
      <rPr>
        <sz val="10"/>
        <rFont val="Arial"/>
        <family val="2"/>
      </rPr>
      <t>(factor cost)</t>
    </r>
  </si>
  <si>
    <r>
      <rPr>
        <i/>
        <sz val="10"/>
        <rFont val="Arial"/>
        <family val="2"/>
      </rPr>
      <t xml:space="preserve">U </t>
    </r>
    <r>
      <rPr>
        <sz val="10"/>
        <rFont val="Arial"/>
        <family val="2"/>
      </rPr>
      <t>(market price)</t>
    </r>
  </si>
  <si>
    <t>Spring 2016 release v1.6</t>
  </si>
  <si>
    <r>
      <rPr>
        <i/>
        <sz val="10"/>
        <rFont val="Arial"/>
        <family val="2"/>
      </rPr>
      <t xml:space="preserve">VTTS </t>
    </r>
    <r>
      <rPr>
        <sz val="10"/>
        <rFont val="Arial"/>
        <family val="2"/>
      </rPr>
      <t>where</t>
    </r>
    <r>
      <rPr>
        <i/>
        <sz val="10"/>
        <rFont val="Arial"/>
        <family val="2"/>
      </rPr>
      <t xml:space="preserve"> D=0</t>
    </r>
    <r>
      <rPr>
        <sz val="10"/>
        <rFont val="Arial"/>
        <family val="2"/>
      </rPr>
      <t xml:space="preserve"> (factor cost)</t>
    </r>
  </si>
  <si>
    <r>
      <rPr>
        <i/>
        <sz val="10"/>
        <rFont val="Arial"/>
        <family val="2"/>
      </rPr>
      <t xml:space="preserve">VTTS </t>
    </r>
    <r>
      <rPr>
        <sz val="10"/>
        <rFont val="Arial"/>
        <family val="2"/>
      </rPr>
      <t>where</t>
    </r>
    <r>
      <rPr>
        <i/>
        <sz val="10"/>
        <rFont val="Arial"/>
        <family val="2"/>
      </rPr>
      <t xml:space="preserve"> D=0</t>
    </r>
    <r>
      <rPr>
        <sz val="10"/>
        <rFont val="Arial"/>
        <family val="2"/>
      </rPr>
      <t xml:space="preserve"> (perceived cost)</t>
    </r>
  </si>
  <si>
    <r>
      <rPr>
        <i/>
        <sz val="10"/>
        <rFont val="Arial"/>
        <family val="2"/>
      </rPr>
      <t xml:space="preserve">VTTS </t>
    </r>
    <r>
      <rPr>
        <sz val="10"/>
        <rFont val="Arial"/>
        <family val="2"/>
      </rPr>
      <t>where</t>
    </r>
    <r>
      <rPr>
        <i/>
        <sz val="10"/>
        <rFont val="Arial"/>
        <family val="2"/>
      </rPr>
      <t xml:space="preserve"> D=0</t>
    </r>
    <r>
      <rPr>
        <sz val="10"/>
        <rFont val="Arial"/>
        <family val="2"/>
      </rPr>
      <t xml:space="preserve"> (market price)</t>
    </r>
  </si>
  <si>
    <t>Updated accident and casualty data based on RRCGB 2015 publication</t>
  </si>
  <si>
    <t>All accidents</t>
  </si>
  <si>
    <r>
      <t>Average cost per personal injury accident (PIA)</t>
    </r>
    <r>
      <rPr>
        <vertAlign val="superscript"/>
        <sz val="10"/>
        <rFont val="Arial"/>
        <family val="2"/>
      </rPr>
      <t>3</t>
    </r>
  </si>
  <si>
    <t>These are the values which are effectively used in the Department's COBALT software tool for accident appraisal.</t>
  </si>
  <si>
    <t xml:space="preserve">3 Includes apportionment for damage-only accidents i.e. this shows the expected cost per reported injury accident, based on the assumed number of damage only accidents per PIA as set out in the 'Accident data' tab. </t>
  </si>
  <si>
    <t>Updated table A4.1.4 to include average cost across all accidents</t>
  </si>
  <si>
    <t>Updated 'Fuel consumption' tab to reflect calibration of base year fuel consumption curves to DUKES fuel sales data in the NTM.</t>
  </si>
  <si>
    <t>Updated 'VoC efficiency' tab to reflect revised fuel efficiency assumed improvements, based on ICCT analysis of the gap between test cycle and 'real world' emissions</t>
  </si>
  <si>
    <t>Updated 'Annual parameters source' tab to include revised economic and demographic outturns in line with the latest available ONS data.</t>
  </si>
  <si>
    <t>Updated 'Annual parameters source' tab to include revised economic and demographic projections in line with OBR data from the January 2017 FSR and March 2017 EFO.</t>
  </si>
  <si>
    <t>Table 4 (road values are from the 'Domestic' central series whereas rail values are from the 'Industrial' central series)</t>
  </si>
  <si>
    <t>1) All values represent annual averages</t>
  </si>
  <si>
    <t>Price base year:</t>
  </si>
  <si>
    <t>5) Resource costs for petrol and diesel are assumed by BEIS to flat-line from 2030 onwards</t>
  </si>
  <si>
    <t>Transmission uplift</t>
  </si>
  <si>
    <t>Updated 'VoC fuel', 'Electricity', 'CO2' and 'GHG' tabs to reflect BEIS's March 2017 update of the IAG tables</t>
  </si>
  <si>
    <r>
      <t>Updated the 'car speeds' and 'car and bus journey time' tabs to be consistent with RTF Scenario 1 (</t>
    </r>
    <r>
      <rPr>
        <u/>
        <sz val="10"/>
        <color indexed="8"/>
        <rFont val="Arial"/>
        <family val="2"/>
      </rPr>
      <t>including</t>
    </r>
    <r>
      <rPr>
        <sz val="10"/>
        <color indexed="8"/>
        <rFont val="Arial"/>
        <family val="2"/>
      </rPr>
      <t xml:space="preserve"> the RIS 1 package of schemes)</t>
    </r>
  </si>
  <si>
    <t>PTE Internal</t>
  </si>
  <si>
    <t>PTE</t>
  </si>
  <si>
    <t>Internal</t>
  </si>
  <si>
    <t>Updated the 'car speeds' and 'car and bus journey time' tabs to include a new PDFH flow group 'PTE internal' based on the 'GB x London - Urban' NTM outputs</t>
  </si>
  <si>
    <t>A 5.4.5</t>
  </si>
  <si>
    <t>Marginal external costs by road type and congestion band</t>
  </si>
  <si>
    <t>Marginal external costs by region and time of day</t>
  </si>
  <si>
    <t>A 5.3.2</t>
  </si>
  <si>
    <t>Car diversion factors by PDFH flow category</t>
  </si>
  <si>
    <t>Full</t>
  </si>
  <si>
    <t>Reduced</t>
  </si>
  <si>
    <t>Season</t>
  </si>
  <si>
    <t>Within London Travelcard Area</t>
  </si>
  <si>
    <t>Business</t>
  </si>
  <si>
    <t>Rest of South East to/from London Travelcard Area</t>
  </si>
  <si>
    <t>Within the South East (excl London Travelcard Area)</t>
  </si>
  <si>
    <t>Outside South East to/from London &lt; 100 miles</t>
  </si>
  <si>
    <t>Outside South East to/from London 100 + miles</t>
  </si>
  <si>
    <t>Outside South East &lt;25 miles</t>
  </si>
  <si>
    <t>Outside South East 25 to 100 miles</t>
  </si>
  <si>
    <t>Outside South East  100 + miles - adjusted</t>
  </si>
  <si>
    <t>Within Passenger Transport Executive area</t>
  </si>
  <si>
    <t>Journey Purpose / Ticket Type Splits by Flow Category</t>
  </si>
  <si>
    <t>Journey purpose / ticket type splits by flow category</t>
  </si>
  <si>
    <t>(1)</t>
  </si>
  <si>
    <t>As part of the Rail Demand Forecasting Elasticities (RDFE) study (available on the DfT .GOV website at XXX), JP splits were estimated from NTS data</t>
  </si>
  <si>
    <t>(2)</t>
  </si>
  <si>
    <t>The NTS data used for this table covers the period 2005-2014</t>
  </si>
  <si>
    <t>(3)</t>
  </si>
  <si>
    <t>Ticket type information is constrained to Lennon data (more info available at https://www.gov.uk/government/publications/rail-passenger-miles)</t>
  </si>
  <si>
    <t>Flow category description</t>
  </si>
  <si>
    <t>Rail flow category description</t>
  </si>
  <si>
    <t>London Travelcard Area</t>
  </si>
  <si>
    <t>South East To London</t>
  </si>
  <si>
    <t>South East From London</t>
  </si>
  <si>
    <t>South East Non-London</t>
  </si>
  <si>
    <t>Non-London Inter-Urban</t>
  </si>
  <si>
    <t>Rest of Country To London 20-100 miles</t>
  </si>
  <si>
    <t>Rest of Country From London 20-100 miles</t>
  </si>
  <si>
    <t>Rest of Country To London 100-200 miles</t>
  </si>
  <si>
    <t>Rest of Country From London 100-200 miles</t>
  </si>
  <si>
    <t>Rest of Country To London 200 miles +</t>
  </si>
  <si>
    <t>Rest of Country From London 200 miles +</t>
  </si>
  <si>
    <t>Rest of Country To South East 20-100 miles</t>
  </si>
  <si>
    <t>Rest of Country From South East 20-100 miles</t>
  </si>
  <si>
    <t>Rest of Country To South East 100-200 miles</t>
  </si>
  <si>
    <t>Rest of Country From South East 100-200 miles</t>
  </si>
  <si>
    <t>Rest of Country To South East 200 miles +</t>
  </si>
  <si>
    <t>Rest of Country From South East 200 miles +</t>
  </si>
  <si>
    <t>Non-London Short Distance &lt;20 miles within PTE</t>
  </si>
  <si>
    <t>Non-London Short Distance &lt;20 miles non-PTE</t>
  </si>
  <si>
    <t>Car vehicle kilometres diversion factor</t>
  </si>
  <si>
    <t>Car Diversion Factors by Flow Category</t>
  </si>
  <si>
    <t>ITS (XXXX) 'Fares Conditional Elasticity Study', carried out on behalf of PDFC</t>
  </si>
  <si>
    <t>These results are based on a ticket-type diversion technical survey from 2011, which asked people how they would divert from rail if a ticket type was unavailable.</t>
  </si>
  <si>
    <t>We have used the answers from this as a proxy for diverting to/from rail, for any reason.</t>
  </si>
  <si>
    <t>Introduced new rail tabs A5.3.2 and A5.4.5, reflecting recommended default journey purpose / ticket type splits and car diversion factors by flow category</t>
  </si>
  <si>
    <t>Updated the MEC tables (A5.4.2 and A5.4.4) to correct a minor error identified in the uprating over time, and reflect the latest fuel price projections from BEIS</t>
  </si>
  <si>
    <t>Post-2036, household growth is assumed to equal population growth</t>
  </si>
  <si>
    <t>Reported road casualties by road user type and severity:</t>
  </si>
  <si>
    <t>Reported accidents</t>
  </si>
  <si>
    <t>RAS 10005</t>
  </si>
  <si>
    <t>Damage only accidents by PIA</t>
  </si>
  <si>
    <t>COBA manual, Part 2, page 3/1</t>
  </si>
  <si>
    <t>Updated the 'Cost and rev series' tabs to incorporate revised OBR projections (from the March 2017 EFO) and ONS outturn data</t>
  </si>
  <si>
    <t>Average earnings: as above</t>
  </si>
  <si>
    <t>Diversion factors were estimated for each flow category/ticket type combination, then aggregated using Lennon data</t>
  </si>
  <si>
    <t xml:space="preserve"> (more info available at https://www.gov.uk/government/publications/rail-passenger-miles)</t>
  </si>
  <si>
    <t>Updated traffic weights underpinning MECs in A5.4.2 to be consistent with NTM traffic forecasts, which has a minor effect on all values</t>
  </si>
  <si>
    <t>Link to EEP publication</t>
  </si>
  <si>
    <t xml:space="preserve">      (i.e. including "planned" policies)</t>
  </si>
  <si>
    <t xml:space="preserve">Updated fleet fuel mix splits in tab A1.3.9, to reflect the latest EEP policy reference scenario </t>
  </si>
  <si>
    <t>ITS (2016) 'Fares Conditional Elasticity Study', carried out on behalf of PDFC. Available on the PDFC website.</t>
  </si>
  <si>
    <t>As part of the Rail Demand Forecasting Estimation (RDFE) study published in April 2017, JP splits were estimated from NTS data</t>
  </si>
  <si>
    <t>Link to RDFE reports</t>
  </si>
  <si>
    <t>Link to PDFC website.</t>
  </si>
  <si>
    <t>Link to report</t>
  </si>
  <si>
    <t xml:space="preserve">Vehicle types are as defined in the DfT Road Traffic Statistics: </t>
  </si>
  <si>
    <t>https://www.gov.uk/government/uploads/system/uploads/attachment_data/file/527807/road-traffic-notes-definitions.pdf</t>
  </si>
  <si>
    <t>OGVs refers to all goods vehicles over 3.5 tonnes in weight.</t>
  </si>
  <si>
    <t>Link to traffic stats definitions</t>
  </si>
  <si>
    <t>Corrected price and value updating formula in tabs M2.1 and M2.2</t>
  </si>
  <si>
    <t>July 2017 release v1.8</t>
  </si>
  <si>
    <t>March 2017 release v1.7</t>
  </si>
  <si>
    <t>(3) They represent the current Government policy reference scenario, meaning that they reflect all agreed policies where decisions on policy design are sufficiently advanced to allow robust estimates of impact</t>
  </si>
  <si>
    <t>(5) At present, it is assumed there are no OGVs or PSVs using electricity. These columns are for possible future use.</t>
  </si>
  <si>
    <t>Updated table A1.3.1 to reflect updated values of time. This also affects tables A1.3.5 and A1.3.6.</t>
  </si>
  <si>
    <t>Updated table A1.3.3 with new refreshed occupancy data for 2010, and a new assumption of 0% change per annum in occupancy from 2010 onwards.</t>
  </si>
  <si>
    <t>These figures were derived from 4 combined NTS survey years (2009-12) and show the sum of driver occupancy (always 1) and passenger occupancy.</t>
  </si>
  <si>
    <t>Occupancy per vehicle kilometre is calculated by finding the sum of all passener miles (trip distance * number of car occupants) and dividing by the sum of car trip distance.</t>
  </si>
  <si>
    <t>Occupancy per trip is the sum of all car driver/passengers divided by the total number of car trips.</t>
  </si>
  <si>
    <t>Updated table A1.3.4 with new journey purpose splits.</t>
  </si>
  <si>
    <t>These figures were derived from 4 combined NTS survey years (2009-12).</t>
  </si>
  <si>
    <t>Spring 2016 release</t>
  </si>
  <si>
    <t>Updated tables M2.1 and M2.2 to reflect new values of time.</t>
  </si>
  <si>
    <t>Updated table A1.3.1 to reflect new values of time. This also affects tables A1.3.5 and A1.3.6.</t>
  </si>
  <si>
    <t>(2) Values for an average car are no longer provided as petrol and diesel cars no longer have common units.</t>
  </si>
  <si>
    <t>(3) Petrol and diesel car values include biofuel energy penalty.</t>
  </si>
  <si>
    <t>(4) DVLA new car data used up to 2008, repeated from previous version of this unit.</t>
  </si>
  <si>
    <t>(6) Car values for 2009 onwards are based on EU emission targets up to 2020, with adjustments applied to account for the estimated gap between 'real world' and test cycle fuel efficiencies.</t>
  </si>
  <si>
    <t>(5) Outturn values for OGVs and PSVs from 2006-10 are repeated from the previous version of this unit. No change is assumed from 2010 onwards.</t>
  </si>
  <si>
    <t xml:space="preserve">(7) LGV values for 2009 onwards are assumed to improve due to technology transferred from cars to LGV. </t>
  </si>
  <si>
    <t>(8) Values for growth prior to 2011 are shaded, as they are provided only for the purpose of back-casting for older models. Table A 1.3.10 now gives fuel consumption formulae in 2010 values.</t>
  </si>
  <si>
    <t>(9) The year 2010 above is picked up in A 1.3.10 from Fuel Consumption C15.  If the year for shading is changed, the notes above need amending.</t>
  </si>
  <si>
    <t>(10) The rail gas oil series reflects the increased fuel consumption resulting from forecast increased biofuel use (as biodiesel has lower energy density) and is consistent with the GHG factors in table A3.3</t>
  </si>
  <si>
    <t>(11) These figures show changes in fuel consumption and therefore negative figures indicate an improvement in vehicle efficiency.</t>
  </si>
  <si>
    <t xml:space="preserve">(1) Roads emissions factors are taken from the long-run marginal 'Domestic' series. </t>
  </si>
  <si>
    <t>(4) Rail emission factors are from the long-run marginal 'Generation-based' series, plus a mark-up of 1.5% for transmission</t>
  </si>
  <si>
    <t>(2) Rail emissions factors are based on long-run marginal 'Generation-based' series, plus a mark-up of 1.5% to acccount for transmission losses.</t>
  </si>
  <si>
    <t>(3) Liquid fuel emissions factors include non-carbon GHG and account for forecast biofuel blending rates.</t>
  </si>
  <si>
    <t>Electric cars/LGVs should only be included in models/appraisals from 2011 onwards.</t>
  </si>
  <si>
    <t>“b” parameter in the fuel consumption formula with the a, c and d parameters all zero). The appraisal of electric cars/LGVs is a developing area and we expect to develop speed-related curves in the future.</t>
  </si>
  <si>
    <t>Evidence of the energy consumption of electric cars/LGVs is currently limited. At present, it should be assumed that energy consumption is proportional to distance but independent of speed (i.e., equivalent to a</t>
  </si>
  <si>
    <t>Non-Work Electic</t>
  </si>
  <si>
    <t>(correction to July 2017 release)</t>
  </si>
  <si>
    <t>August 2017 release v1.8.1</t>
  </si>
  <si>
    <t>Updated electric car and LGV consumption parameters in table A1.3.8</t>
  </si>
  <si>
    <t>Updated electric car and LGV forecast efficiency improvements in table A1.3.10</t>
  </si>
  <si>
    <t>Added non-fuel VOCs for electric LGVs in table A1.3.14</t>
  </si>
  <si>
    <t>Updated table A1.3.10 to reflect revised fuel efficiency assumed improvements, based on ICCT analysis of the gap between test cycle and 'real world' emissions</t>
  </si>
  <si>
    <t>Updated table A1.3.8 to reflect calibration of base year fuel consumption curves to DUKES fuel sales data in the NTM.</t>
  </si>
  <si>
    <t>Updated 'Annual parameters' tab to include revised economic and demographic projections in line with OBR data from the January 2017 FSR and March 2017 EFO.</t>
  </si>
  <si>
    <t>Updated 'Annual parameters' tab to include revised economic and demographic outturns in line with the latest available ONS data.</t>
  </si>
  <si>
    <t>October 2017 release 1.8.2</t>
  </si>
  <si>
    <t>Added forecast fuel cost parameters for electric LGVs to tables A1.3.11, A1.3.12 and A1.3.13, in line with the update to electric LGV fuel consumption &amp; efficiency parameters in  v1.8.1</t>
  </si>
  <si>
    <t>(correction to August  2017 release)</t>
  </si>
  <si>
    <t>October 2017 release v1.8.2</t>
  </si>
  <si>
    <t>1996-2016 from Labour Force Survey (UK households, '000s) published 08/11/2017</t>
  </si>
  <si>
    <t>2017-2036 uses 2014-based projections of UK households, published by DCLG in live table 401, last updated 12/07/2016</t>
  </si>
  <si>
    <t>Updated 'Annual parameters' tab to include revised economic and demographic projections in line with OBR data from the November 2017 EFO</t>
  </si>
  <si>
    <t>1) BEIS domestic electricity prices include VAT at 5%. Resource costs are net of VAT, using the formula: Resource cost = Retail price / (1 + VAT rate) .</t>
  </si>
  <si>
    <t>2) Retail electricity prices are assumed by BEIS to flat-line from 2030 onwards</t>
  </si>
  <si>
    <t>3) Emissions factors are assumed by BEIS to flat-line from 2050 onwards</t>
  </si>
  <si>
    <t>4) Electricity prices are assumed by BEIS to flat-line (in real terms) after 2030</t>
  </si>
  <si>
    <t>Updated inputs in the 'VoC fuel', 'Electricity', 'CO2' and 'GHG' tabs to reflect BEIS's Forthcoming January 2018 update of the IAG tables</t>
  </si>
  <si>
    <t>Updated accident and casualty data based on RRCGB 2016 publication</t>
  </si>
  <si>
    <t>Table A 5.4.2c:</t>
  </si>
  <si>
    <t>Added rigid, artic and PSV MECs in hidden tabs, as well as updates to car MECs to reflect the latest CO2 and fuel price projections from BEIS</t>
  </si>
  <si>
    <t>RAS 40002</t>
  </si>
  <si>
    <t>December 2017 release v1.9.1</t>
  </si>
  <si>
    <t>Table A 5.4.2b:</t>
  </si>
  <si>
    <t>Table A 5.4.2d:</t>
  </si>
  <si>
    <t>2023/24 onwards:</t>
  </si>
  <si>
    <t>2010/11-2016/17:</t>
  </si>
  <si>
    <t>2017/18-2022/23:</t>
  </si>
  <si>
    <t xml:space="preserve">When using the series in this context, analysts should refer to TAG Unit A5.3, particualrly section 2.4, which provides specific guidance on how growth in fares and various cost elements should be treated beyond the year in which </t>
  </si>
  <si>
    <t>Adoption of data from the March 2018 EFO and accompanying updated long-term economic determinants. Updates to annual parameters and cost &amp; rev series tabs.</t>
  </si>
  <si>
    <t>Average earnings: OBR EFO Mar 2018, Economy Supplementary table 1.6, published 13/03/2018</t>
  </si>
  <si>
    <t>(1) Values are assumed to be constant post 2050</t>
  </si>
  <si>
    <t>(2) These data are in line with the assumptions made for the road emissions component of BEIS's Energy and Emissions Projections, last updated 02/01/2018.</t>
  </si>
  <si>
    <t>(1) No electric cars are assumed until 2011, so efficiency change factors are applied only from 2012 onwards. No vans are assumed until 2012, so the efficiency changes for vans only apply from 2013 onwards.</t>
  </si>
  <si>
    <t>Updated tables A1.3.8, A1.3.9 and A1.3.10 with updated fleet forecasts from the Environmental Analysis team, reflecting the assumptions used in the latest EEP publication.</t>
  </si>
  <si>
    <t>2035/36</t>
  </si>
  <si>
    <t>2036/37</t>
  </si>
  <si>
    <t>2037/38</t>
  </si>
  <si>
    <t>2038/39</t>
  </si>
  <si>
    <t>2039/40</t>
  </si>
  <si>
    <t>2040/41</t>
  </si>
  <si>
    <t>2041/42</t>
  </si>
  <si>
    <t>2042/43</t>
  </si>
  <si>
    <t>2043/44</t>
  </si>
  <si>
    <t>2044/45</t>
  </si>
  <si>
    <t>2045/46</t>
  </si>
  <si>
    <t>2046/47</t>
  </si>
  <si>
    <t>2047/48</t>
  </si>
  <si>
    <t>2048/49</t>
  </si>
  <si>
    <t>2049/50</t>
  </si>
  <si>
    <t>2050/51</t>
  </si>
  <si>
    <t>Adjustment from GDP deflator to CPI real terms</t>
  </si>
  <si>
    <t>CPI</t>
  </si>
  <si>
    <t>Annual CPI</t>
  </si>
  <si>
    <t>Car cost series for rail demand forecasting (RPI based)</t>
  </si>
  <si>
    <t>Car cost series for rail demand forecasting (CPI based)</t>
  </si>
  <si>
    <t>M 4.2.4</t>
  </si>
  <si>
    <t>Rail forecasting parameters</t>
  </si>
  <si>
    <t>These parameters should be implemented in conjunction with the guidance contained in TAG Unit M4, section 8</t>
  </si>
  <si>
    <t>These tables come from the recommendations of the Rail Demand Forecasting study phase 2 recommendations, published in April 2017. In particular they are copies of tables 6.2, 6.3, 6.4 and 6.5.</t>
  </si>
  <si>
    <t>https://www.gov.uk/government/publications/rail-demand-forecasting-estimation-study-phase-reports</t>
  </si>
  <si>
    <t xml:space="preserve">Ticket type </t>
  </si>
  <si>
    <t xml:space="preserve">Flow </t>
  </si>
  <si>
    <t xml:space="preserve">Population (POP_INDEXSE) elasticity </t>
  </si>
  <si>
    <t xml:space="preserve">Employment (EMP_INDEXSE) elasticity </t>
  </si>
  <si>
    <t xml:space="preserve">Participation rate semi-elasticity </t>
  </si>
  <si>
    <t>Population Measures for PopIndex Variable</t>
  </si>
  <si>
    <t>Non London</t>
  </si>
  <si>
    <t>To or from London</t>
  </si>
  <si>
    <t>Employment Measures for EmpIndex Variable</t>
  </si>
  <si>
    <t>Other Purpose</t>
  </si>
  <si>
    <t>Work Purpose</t>
  </si>
  <si>
    <t xml:space="preserve">Base Trip Rate </t>
  </si>
  <si>
    <t xml:space="preserve">Ordinary </t>
  </si>
  <si>
    <t xml:space="preserve">Rest of Country to/from London </t>
  </si>
  <si>
    <t xml:space="preserve">Share of population aged </t>
  </si>
  <si>
    <t xml:space="preserve">0-14 </t>
  </si>
  <si>
    <t>N/A</t>
  </si>
  <si>
    <t xml:space="preserve">Network Area to/from London </t>
  </si>
  <si>
    <t xml:space="preserve">15-29 </t>
  </si>
  <si>
    <t xml:space="preserve">Non-London, &gt;20 miles </t>
  </si>
  <si>
    <t xml:space="preserve">30-44 </t>
  </si>
  <si>
    <t xml:space="preserve">Non-London, PTE areas, &lt;20 miles </t>
  </si>
  <si>
    <t xml:space="preserve">45-64 </t>
  </si>
  <si>
    <t xml:space="preserve">Non-London, non-PTE, &lt;20 miles </t>
  </si>
  <si>
    <t xml:space="preserve">65+ </t>
  </si>
  <si>
    <t xml:space="preserve">Season </t>
  </si>
  <si>
    <t xml:space="preserve">To/from London </t>
  </si>
  <si>
    <t xml:space="preserve">Share of employed population employed as/in </t>
  </si>
  <si>
    <t xml:space="preserve">managers, directors and senior officials </t>
  </si>
  <si>
    <t xml:space="preserve">Non-London, non-Core, &lt; 20 miles </t>
  </si>
  <si>
    <t xml:space="preserve">professional occupations </t>
  </si>
  <si>
    <t xml:space="preserve">Non-London, to/from core, &lt; 20 miles </t>
  </si>
  <si>
    <t xml:space="preserve">associate professional and technical occupations </t>
  </si>
  <si>
    <t xml:space="preserve">Non-London, non-Core, &gt; 20 miles </t>
  </si>
  <si>
    <t xml:space="preserve">administrative and secretarial occupations </t>
  </si>
  <si>
    <t xml:space="preserve">Non-London, to/from core, &gt; 20 miles </t>
  </si>
  <si>
    <t xml:space="preserve">skilled trades occupations </t>
  </si>
  <si>
    <t xml:space="preserve">caring, leisure and other service occupations </t>
  </si>
  <si>
    <t xml:space="preserve">Income elasticity </t>
  </si>
  <si>
    <t xml:space="preserve">sales and customer service occupations </t>
  </si>
  <si>
    <t xml:space="preserve">process, plant and machine operatives </t>
  </si>
  <si>
    <t xml:space="preserve">Network Area to London </t>
  </si>
  <si>
    <t xml:space="preserve">elementary occupations </t>
  </si>
  <si>
    <t xml:space="preserve">Network Area from London </t>
  </si>
  <si>
    <t xml:space="preserve">Share of employed population employed in </t>
  </si>
  <si>
    <t xml:space="preserve">manufacturing </t>
  </si>
  <si>
    <t xml:space="preserve">Non-London, &gt;20 miles, between core cities </t>
  </si>
  <si>
    <t xml:space="preserve">construction </t>
  </si>
  <si>
    <t xml:space="preserve">Non-London, &gt;20 miles, other flows </t>
  </si>
  <si>
    <t xml:space="preserve">wholesale, retail &amp; repair of motor vehicles, accommodation </t>
  </si>
  <si>
    <t xml:space="preserve">Non-London, PTE areas, &lt;20 miles, to or from core city or major centre </t>
  </si>
  <si>
    <t xml:space="preserve">finance or insurance; real estate; professional, scientific or technical activities; administrative or support services </t>
  </si>
  <si>
    <t xml:space="preserve">Non-London, PTE areas, &lt;20 miles, other flows </t>
  </si>
  <si>
    <t xml:space="preserve">public admin or defence; social security; education; human health; social work </t>
  </si>
  <si>
    <t xml:space="preserve">Non-London, non-PTE, &lt;20 miles, to or from core city or major centre </t>
  </si>
  <si>
    <t xml:space="preserve">Other services </t>
  </si>
  <si>
    <t xml:space="preserve">Non-London, non-PTE, &lt;20 miles, other flows </t>
  </si>
  <si>
    <t xml:space="preserve">Share of population living in a household with </t>
  </si>
  <si>
    <t xml:space="preserve">No car </t>
  </si>
  <si>
    <t xml:space="preserve">1 car </t>
  </si>
  <si>
    <t xml:space="preserve">Non-London </t>
  </si>
  <si>
    <t xml:space="preserve">2 cars </t>
  </si>
  <si>
    <t xml:space="preserve">3 or more cars </t>
  </si>
  <si>
    <t>Added table M4.2.4 containing rail demand forecasting parameters</t>
  </si>
  <si>
    <t>GDP deflator, CPI and RPI: OBR EFO Mar 2018, Supplementary Economy Table 1.7, published 13/03/2018</t>
  </si>
  <si>
    <t>2023 onwards: all series based on March 2018 OBR Long-term economic determinants published 13/03/2018</t>
  </si>
  <si>
    <t>Added CPI based car costs to table M4.2.2, along with forecast CPI growth in table A5.3.1</t>
  </si>
  <si>
    <t>Table M 4.2.2a</t>
  </si>
  <si>
    <t>Table M 4.2.2b</t>
  </si>
  <si>
    <t>May 2018 v1.10</t>
  </si>
  <si>
    <t>Updated tables A1.3.8, A1.3.9 and A1.3.10 with updated fleet forecasts from the Environmental Analysis team, reflecting the assumptions used in the latest BEIS EEP publication.</t>
  </si>
  <si>
    <t>Added table M4.2.4 containing rail demand forecasting parameters.</t>
  </si>
  <si>
    <t>Added CPI based car costs to table M4.2.2, along with forecast CPI growth in table A5.3.1.</t>
  </si>
  <si>
    <t>4) An adjustment has been made to the BEIS data to ensure the figures presented in this table are consistent with the latest GDP deflator data (as per 'Annual Parameters' tab) and RPI data (as per table A5.3.1)</t>
  </si>
  <si>
    <t>GDP deflator: ONS time series L8GG released 25/05/2018</t>
  </si>
  <si>
    <t>RPI: ONS CHAW series, released 23/05/2018</t>
  </si>
  <si>
    <t>CPI: ONS D7BT series, published 23/05/2018</t>
  </si>
  <si>
    <t>Cycling diversion factors by recipient/source mode</t>
  </si>
  <si>
    <t>These diversion factors have been produced by a study carried out by RAND Europe and Systra for Department for Transport.</t>
  </si>
  <si>
    <t>The diversion factors indicate how passenger trips on other modes would be affected if an intervention lead to an increase or decrease in bus patronage.</t>
  </si>
  <si>
    <t>Dunkerley et al (2018) 'Bus fare and journey time elasticities and diversion factors for all modes', carried out by RAND on behalf of DfT.</t>
  </si>
  <si>
    <t>Report to be published on GOV.UK shortly</t>
  </si>
  <si>
    <t>Recipient/source mode</t>
  </si>
  <si>
    <t>rail</t>
  </si>
  <si>
    <t>light rail</t>
  </si>
  <si>
    <t>walk</t>
  </si>
  <si>
    <t>taxi</t>
  </si>
  <si>
    <t>no travel</t>
  </si>
  <si>
    <t>Metropolitan (limited choice set)</t>
  </si>
  <si>
    <t>Walk</t>
  </si>
  <si>
    <t>No Travel</t>
  </si>
  <si>
    <t>Please refer to TAG Unit A5.1 for advice on their application.</t>
  </si>
  <si>
    <t>Bus diversion factors by recipient/source mode</t>
  </si>
  <si>
    <t>National weighted mean</t>
  </si>
  <si>
    <t>Metropolitan (no light rail)</t>
  </si>
  <si>
    <t>Metropolitan  commute</t>
  </si>
  <si>
    <t xml:space="preserve">car </t>
  </si>
  <si>
    <t>cycle</t>
  </si>
  <si>
    <t>N</t>
  </si>
  <si>
    <t>N (number of studies)</t>
  </si>
  <si>
    <t>Please refer to TAG Unit A5.4 for advice on their application.</t>
  </si>
  <si>
    <t>The diversion factors indicate how passenger trips on other modes would be affected if an intervention lead to an increase or decrease in cycling.</t>
  </si>
  <si>
    <t>For example with a full choice set, if there are 100 new cycle trips, there would be 11 fewer car person trips.</t>
  </si>
  <si>
    <t>For example with a full choice set, if there are 100 new bus passenger trips, there would be 24 fewer car person trips (using the national weighted mean diversion factor)</t>
  </si>
  <si>
    <t>Data for metropoles (e.g. London) are combined with metropolitan.</t>
  </si>
  <si>
    <t>(4)</t>
  </si>
  <si>
    <t>(5)</t>
  </si>
  <si>
    <t>There are no light rail data for urban conurbations.</t>
  </si>
  <si>
    <t>Light rail includes metro.</t>
  </si>
  <si>
    <t>Urban-conurbation</t>
  </si>
  <si>
    <t>A5.4.6</t>
  </si>
  <si>
    <t>A5.4.7</t>
  </si>
  <si>
    <t>Updated car cost, car time and bus time series’ based on updated projections from the Department’s National Transport Model.</t>
  </si>
  <si>
    <t>Added of tables A5.4.6 and A5.4.7 containing recommended diversion factors for bus and cycling interventions.</t>
  </si>
  <si>
    <t>Updated MECs to reflect new economic parameters, fuel costs, fleet mix data and minor processing errors related to indirect tax.</t>
  </si>
  <si>
    <t>N.B: Always unprotect for unhiding, and hide before protecting</t>
  </si>
  <si>
    <t xml:space="preserve">These values were calculated by multiplication of the appropriate figures from tables A1.3.1. and A1.3.3. Average car, average LGV and average PSV values also use the journey purpose split data from A 1.2.4 as weights. </t>
  </si>
  <si>
    <t>June 2018 v1.10.1</t>
  </si>
  <si>
    <t>(correction to May 2018 release)</t>
  </si>
  <si>
    <t>Corrected explanatory text in notes for table A1.3.5.</t>
  </si>
  <si>
    <t>Corrected table M4.2.1 to add fuel cost adjustment factor series, which was omitted due to a processing error.</t>
  </si>
  <si>
    <t>November 2018 release v1.11</t>
  </si>
  <si>
    <t>Updated accident and casualty data based on RRCGB 2018 publication</t>
  </si>
  <si>
    <t>1990-2017 from mid-year population estimates - UKPOP series (all ages, '000s), published 28/06/2018</t>
  </si>
  <si>
    <t>Projections from 2018 onwards: based on ONS 2016 based principal population projection, published 26/10/2017</t>
  </si>
  <si>
    <t>2010/11-2017/18:</t>
  </si>
  <si>
    <t>CPI: ONS D7BT series, published 14/11/2018</t>
  </si>
  <si>
    <t>2018/19-2023/24:</t>
  </si>
  <si>
    <t>2024/25 onwards:</t>
  </si>
  <si>
    <t>Accidents and casualties by accident severity and road type:</t>
  </si>
  <si>
    <t>(from RRCGB 2018, published 27/09/2018)</t>
  </si>
  <si>
    <t>Updated 'Annual parameters' tab to include revised economic and demographic projections in line with OBR EFO October 2018 and outturn ONS data</t>
  </si>
  <si>
    <t>Updated the 'Cost and rev series' tabs in line with OBR EFO October 2018 and outturn ONS data</t>
  </si>
  <si>
    <t xml:space="preserve">Corrected formulae for 'Car costs (CPI)', 'Car costs (RPI)' and 'Car and bus journey time' tabs </t>
  </si>
  <si>
    <t>Updated 'VoC' fuel tab to adjust for revisions to the GDP deflator index</t>
  </si>
  <si>
    <t>Nov 2018 v1.11</t>
  </si>
  <si>
    <t>BEIS, 2019</t>
  </si>
  <si>
    <t>2) Values up to 2017 are observed, whereas values from 2018 onwards are forecasts based on Department for Business, Energy and Industrial Strategy (BEIS) energy modelling</t>
  </si>
  <si>
    <t>3) Values for fuel duty and VAT take account of all changes announced as of the October 2018 budget and are grown in line with RPI data (as per table A5.3.1)</t>
  </si>
  <si>
    <t xml:space="preserve">NOX National </t>
  </si>
  <si>
    <t xml:space="preserve">NOx Aircraft </t>
  </si>
  <si>
    <t xml:space="preserve">NOx Rail </t>
  </si>
  <si>
    <t xml:space="preserve">NOx Ships </t>
  </si>
  <si>
    <t xml:space="preserve">NOx Road Transport Central London </t>
  </si>
  <si>
    <t xml:space="preserve">NOx Road Transport Inner London </t>
  </si>
  <si>
    <t xml:space="preserve">NOx Road Transport Outer London </t>
  </si>
  <si>
    <t xml:space="preserve">NOx Road Transport Inner Conurbation </t>
  </si>
  <si>
    <t xml:space="preserve">NOx Road Transport Outer Conurbation </t>
  </si>
  <si>
    <t xml:space="preserve">NOx Road Transport Urban Big </t>
  </si>
  <si>
    <t xml:space="preserve">NOx Road Transport Urban Large </t>
  </si>
  <si>
    <t xml:space="preserve">NOx Road Transport Urban Medium </t>
  </si>
  <si>
    <t xml:space="preserve">NOx Road Transport Urban Small </t>
  </si>
  <si>
    <t xml:space="preserve">NOx Road Transport Rural </t>
  </si>
  <si>
    <t>Other impacts (£ per tonne)</t>
  </si>
  <si>
    <t>PM2.5 marginal annual air quality cost (per 1µg/m³)</t>
  </si>
  <si>
    <t xml:space="preserve">NOx Road Transport </t>
  </si>
  <si>
    <t xml:space="preserve">Road Transport </t>
  </si>
  <si>
    <t xml:space="preserve">Road Transport Rural </t>
  </si>
  <si>
    <t xml:space="preserve">Road Transport Urban Small </t>
  </si>
  <si>
    <t xml:space="preserve">Road Transport Urban Medium </t>
  </si>
  <si>
    <t xml:space="preserve">Road Transport Urban Large </t>
  </si>
  <si>
    <t xml:space="preserve">Road Transport Urban Big </t>
  </si>
  <si>
    <t xml:space="preserve">Road Transport Outer Conurbation </t>
  </si>
  <si>
    <t xml:space="preserve">Road Transport Inner Conurbation </t>
  </si>
  <si>
    <t xml:space="preserve">Road Transport Outer London </t>
  </si>
  <si>
    <t xml:space="preserve">Road Transport Inner London </t>
  </si>
  <si>
    <t xml:space="preserve">Road Transport Central London </t>
  </si>
  <si>
    <t xml:space="preserve">Ships </t>
  </si>
  <si>
    <t xml:space="preserve">Rail </t>
  </si>
  <si>
    <t xml:space="preserve">Aircraft </t>
  </si>
  <si>
    <t xml:space="preserve">National </t>
  </si>
  <si>
    <t>PM2.5</t>
  </si>
  <si>
    <t>PM10</t>
  </si>
  <si>
    <t xml:space="preserve">Central </t>
  </si>
  <si>
    <t>Conversion factors</t>
  </si>
  <si>
    <t>Nox (£/tonne)</t>
  </si>
  <si>
    <t>PM2.5 (£/tonne)</t>
  </si>
  <si>
    <t>PM10 (£/tonne)</t>
  </si>
  <si>
    <t>Annual health cost (£/household/1μg/m³)</t>
  </si>
  <si>
    <t xml:space="preserve">NO2: </t>
  </si>
  <si>
    <t>Other impacts (£/tonne)</t>
  </si>
  <si>
    <t>For NOx and PM emissions, the different sensitivites correspond to different included impact pathways. A full explanation of which pathways are included can be found in the sources above.</t>
  </si>
  <si>
    <t>NOx and PM damage cost values are calculated from the value in source year multiplied by deflator ratio for current and source years and divided by ratio for current and source GDP per capita.</t>
  </si>
  <si>
    <t>NO2 and PM2.5 concentration values are calculated from the value in source year multiplied by deflator ratio for current and source years and divided by ratio for current and source GDP per capita.</t>
  </si>
  <si>
    <r>
      <t>Nox and PM</t>
    </r>
    <r>
      <rPr>
        <sz val="10"/>
        <rFont val="Arial"/>
        <family val="2"/>
      </rPr>
      <t xml:space="preserve"> damage costs and NO2 and PM impact pathway costs:</t>
    </r>
  </si>
  <si>
    <t>The values were adjusted from source sheet in 2017 prices to 2010 values before inputting here.</t>
  </si>
  <si>
    <t>(2) Variation between the central values reflects uncertainty about impacts. Full explanation of which pathways are included in each sensitivity is in the source.</t>
  </si>
  <si>
    <t>Variation between the central values reflects uncertainty about impacts. Full explanation of which pathways are included in each sensitivity is in the source.</t>
  </si>
  <si>
    <t>This is a new table, which was not in versions preceeding TAG Data Book November 2019</t>
  </si>
  <si>
    <t>Weekly</t>
  </si>
  <si>
    <t>Monthly</t>
  </si>
  <si>
    <t>Distance Band</t>
  </si>
  <si>
    <t>Flow Category</t>
  </si>
  <si>
    <t>&lt;20 Miles</t>
  </si>
  <si>
    <t>20-100 Miles</t>
  </si>
  <si>
    <t>&gt;100 Miles</t>
  </si>
  <si>
    <t>London South East</t>
  </si>
  <si>
    <t>London Rest of the Country</t>
  </si>
  <si>
    <t>South East Inter Urban</t>
  </si>
  <si>
    <t>Non-South East Inter Urban</t>
  </si>
  <si>
    <t>These tables come from the recommendations of the publication of 'Journeys per Season Ticket' research publication that is published at the link below:</t>
  </si>
  <si>
    <t>https://www.gov.uk/government/publications/rail-journeys-per-ticket-study</t>
  </si>
  <si>
    <t>National Journeys per Season Ticket</t>
  </si>
  <si>
    <t xml:space="preserve">National Journeys per Season </t>
  </si>
  <si>
    <t xml:space="preserve">National Journeys per Season Ticket </t>
  </si>
  <si>
    <t>TAG Table M 4.2.4</t>
  </si>
  <si>
    <t>TAG Unit M 4</t>
  </si>
  <si>
    <t>TAG1 table look-up</t>
  </si>
  <si>
    <t>Note that at present, TAG recommends presentation of monetary values in 2010 prices.</t>
  </si>
  <si>
    <t>This is the first release, as part of the restructured TAG guidance.</t>
  </si>
  <si>
    <t xml:space="preserve">TAG1 Look-up </t>
  </si>
  <si>
    <t>TAG Unit 3.5.6</t>
  </si>
  <si>
    <t>TAG Unit A 1.3</t>
  </si>
  <si>
    <t>TAG1: Unit 3.5.6 (Table 3)</t>
  </si>
  <si>
    <t xml:space="preserve">TAG Table A  </t>
  </si>
  <si>
    <t>TAG Unit XXX</t>
  </si>
  <si>
    <t xml:space="preserve">TAG1: Unit </t>
  </si>
  <si>
    <t>TAG Unit A 1.1</t>
  </si>
  <si>
    <t>TAG Unit 3.5.4</t>
  </si>
  <si>
    <t>TAG1: Unit 3.5.4 (Table 1)</t>
  </si>
  <si>
    <t>TAG Table A 1.1.1</t>
  </si>
  <si>
    <t>TAG1: Unit 3.5.6 (Tables 1 and 2)</t>
  </si>
  <si>
    <t xml:space="preserve">TAG Table A 1.3.1 </t>
  </si>
  <si>
    <t xml:space="preserve">TAG Table A 1.3.2 </t>
  </si>
  <si>
    <t>TAG Table A 1.3.3</t>
  </si>
  <si>
    <t>TAG1: Unit 3.5.6 (Tables 4, 5 and 6)</t>
  </si>
  <si>
    <t>TAG Table A 1.3.3.2</t>
  </si>
  <si>
    <t>TAG 1: Unit 3.5.6 (Tables 4 &amp; 5)</t>
  </si>
  <si>
    <t>TAG1: Unit 3.5.6 (Table 4)</t>
  </si>
  <si>
    <t>TAG1: Unit 3.5.6 (Table 5)</t>
  </si>
  <si>
    <t>TAG1: Unit 3.5.6 (Table 6)</t>
  </si>
  <si>
    <t>TAG Table A 1.3.4</t>
  </si>
  <si>
    <t>TAG 1: Unit 3.5.6 (Tables 7 and 8)</t>
  </si>
  <si>
    <t>TAG1: Unit 3.5.6 (Table 7)</t>
  </si>
  <si>
    <t>TAG1: Unit 3.5.6 (Table 8)</t>
  </si>
  <si>
    <t>TAG Table A 1.3.5</t>
  </si>
  <si>
    <t>TAG 1: Unit 3.5.6 (Table 9)</t>
  </si>
  <si>
    <t>TAG Table A 1.3.6</t>
  </si>
  <si>
    <t>TAG Table A 1.3.7</t>
  </si>
  <si>
    <t>TAG1: Unit 3.5.6 (Tables 11a and 11b)</t>
  </si>
  <si>
    <t>TAG Table A 1.3.8</t>
  </si>
  <si>
    <t>TAG 1: Unit 3.5.6 (Table 10)</t>
  </si>
  <si>
    <t>TAG Table A 1.3.9</t>
  </si>
  <si>
    <t>TAG 1: Unit 3.5.6 (Table 12)</t>
  </si>
  <si>
    <t>TAG Table A 1.3.10</t>
  </si>
  <si>
    <t>TAG 1: Unit 3.5.6 (Table 13)</t>
  </si>
  <si>
    <t>TAG Table A 1.3.11</t>
  </si>
  <si>
    <t>TAG Table A 1.3.12</t>
  </si>
  <si>
    <t>TAG 1: Unit 3.5.6 (Tables 10a, 10b and 14)</t>
  </si>
  <si>
    <t>TAG Table A 1.3.13</t>
  </si>
  <si>
    <t>TAG Table A 1.3.14</t>
  </si>
  <si>
    <t>TAG 1: Unit 3.5.6 (Table 15)</t>
  </si>
  <si>
    <t>TAG Table A 1.3.15</t>
  </si>
  <si>
    <t>TAG 1: Unit 3.5.6 (Table 16)</t>
  </si>
  <si>
    <t>TAG Table A 1.3.16-18</t>
  </si>
  <si>
    <t>TAG Table A 1.3.16</t>
  </si>
  <si>
    <t>TAG Table A 1.3.17</t>
  </si>
  <si>
    <t>TAG Table A 1.3.18</t>
  </si>
  <si>
    <t>TAG Table A 3.1</t>
  </si>
  <si>
    <t>TAG Unit 3.3.2</t>
  </si>
  <si>
    <t>TAG Unit A 3</t>
  </si>
  <si>
    <t>TAG 1: Unit 3.3.2 (Tables 1 and 2)</t>
  </si>
  <si>
    <t>TAG Table A 3.2</t>
  </si>
  <si>
    <t>TAG Unit 3.3.3</t>
  </si>
  <si>
    <t>TAG 1: Unit 3.3.3 (Tables 4 and 5)</t>
  </si>
  <si>
    <t>TAG 1: Unit 3.3.3 (Table 4)</t>
  </si>
  <si>
    <t>TAG 1: Unit 3.3.3 (Table 5)</t>
  </si>
  <si>
    <t>TAG 1: Unit 3.3.3 (Table 2)</t>
  </si>
  <si>
    <t>TAG Table A 3.3</t>
  </si>
  <si>
    <t>TAG Unit 3.3.5</t>
  </si>
  <si>
    <t>TAG 1: Unit 3.3.5 (Table 1)</t>
  </si>
  <si>
    <t>TAG Table A 3.4</t>
  </si>
  <si>
    <t>TAG 1: Unit 3.3.5 (Tables 2a &amp; 2b)</t>
  </si>
  <si>
    <t>Current values in TAG</t>
  </si>
  <si>
    <t>TAG Unit A 4.1</t>
  </si>
  <si>
    <t>TAG Unit 3.4.1</t>
  </si>
  <si>
    <t>TAG1 Unit 3.4.1 Table 2</t>
  </si>
  <si>
    <t>TAG 1: Unit 3.4.1 (Table 1)</t>
  </si>
  <si>
    <t xml:space="preserve">TAG Table A 4.1.1 </t>
  </si>
  <si>
    <t>TAG Table A 4.1.2</t>
  </si>
  <si>
    <t>TAG 1: Unit 3.4.1 (Table 2)</t>
  </si>
  <si>
    <t>TAG Table A 4.1.3</t>
  </si>
  <si>
    <t>TAG 1: Unit 3.4.1 (Table 3)</t>
  </si>
  <si>
    <t>TAG1: Unit 3.4.1, Annex A</t>
  </si>
  <si>
    <t>TAG Table A 4.1.4</t>
  </si>
  <si>
    <t>TAG1 Unit 3.4.1 Table 4a</t>
  </si>
  <si>
    <t>TAG Table A 4.1.5</t>
  </si>
  <si>
    <t>TAG1: Unit 3.4.1 (Table 5)</t>
  </si>
  <si>
    <t>TAG Table A 4.1.6</t>
  </si>
  <si>
    <t>TAG Unit 3.14.1</t>
  </si>
  <si>
    <t>TAG Table 4.1.6</t>
  </si>
  <si>
    <t xml:space="preserve">G:\AFP\TASMAll\TASM\005 GUIDANCE\003 GOVERNANCE\0001 GOVERNANCE\TAG2\Papers </t>
  </si>
  <si>
    <t>TAG 1: Unit 3.14.1 (Table 4)</t>
  </si>
  <si>
    <t>TAG Table A 4.1.7</t>
  </si>
  <si>
    <t>TAG 1: Unit 3.14.1 (Table 5)</t>
  </si>
  <si>
    <t>TAG Table 4.1.7</t>
  </si>
  <si>
    <t>G:\AFP\TASMAll\TASM\005 GUIDANCE\003 GOVERNANCE\0001 GOVERNANCE\TAG2\Papers (August, 2005)</t>
  </si>
  <si>
    <t>TAG 1: Unit 3.14.1 (Tables 4 &amp; 5)</t>
  </si>
  <si>
    <t>TAG1 version</t>
  </si>
  <si>
    <t>TAG Table A 4.1.8</t>
  </si>
  <si>
    <t>TAG Unit 3.6.1</t>
  </si>
  <si>
    <t>TAG 1: Unit 3.6.1 (Table 2)</t>
  </si>
  <si>
    <t>TAG Table 4.1.8</t>
  </si>
  <si>
    <t>However, as in practice none of them are actually used in TAG, we haven't converted them to 2002 values here.</t>
  </si>
  <si>
    <t>TAG Table A5.3.1</t>
  </si>
  <si>
    <t>TAG Unit A 5.3</t>
  </si>
  <si>
    <t>TAG1: This is a new table which was not included in TAG1</t>
  </si>
  <si>
    <t>TAG Table A5.3.2</t>
  </si>
  <si>
    <t>TAG Table A 5.4.1</t>
  </si>
  <si>
    <t>TAG Unit 3.13.2</t>
  </si>
  <si>
    <t>TAG Unit A 5.4</t>
  </si>
  <si>
    <t>TAG 1: Unit 3.13.2 (Spreadsheet 1)</t>
  </si>
  <si>
    <t>TAG Table 5.4.1</t>
  </si>
  <si>
    <t>TAG 1: Unit 3.13.2 (Spreadsheet 2)</t>
  </si>
  <si>
    <t>TAG Table 5.4.2</t>
  </si>
  <si>
    <t>TAG Table A 5.4.3</t>
  </si>
  <si>
    <t>TAG 1: Unit 3.13.2 (Spreadsheet 3)</t>
  </si>
  <si>
    <t>TAG Table 5.4.3</t>
  </si>
  <si>
    <t>TAG Table A 5.4.4</t>
  </si>
  <si>
    <t>TAG Table A5.4.5</t>
  </si>
  <si>
    <t>TAG Table A5.4.6</t>
  </si>
  <si>
    <t>TAG Table A5.4.7</t>
  </si>
  <si>
    <t xml:space="preserve">TAG Table M 2.1  </t>
  </si>
  <si>
    <t>TAG Unit M2</t>
  </si>
  <si>
    <t>TAG1: Unit 3.10.2</t>
  </si>
  <si>
    <t>TAG Table M 2.2</t>
  </si>
  <si>
    <t xml:space="preserve">TAG Tables M2.1 and M2.2  </t>
  </si>
  <si>
    <t xml:space="preserve">TAG Table M 3.2.1 </t>
  </si>
  <si>
    <t>TAG Unit M 3.2</t>
  </si>
  <si>
    <t>TAG Table M 4.2.1</t>
  </si>
  <si>
    <t>TAG1 Unit 3.15.2</t>
  </si>
  <si>
    <t>TAG Unit 3.15.2</t>
  </si>
  <si>
    <t>TAG Unit M 4.2</t>
  </si>
  <si>
    <t>TAG 1: Unit 3.15.2 (Table 1)</t>
  </si>
  <si>
    <t>TAG Table M 4.2.2</t>
  </si>
  <si>
    <t>This is a new table, which was not in TAG1.</t>
  </si>
  <si>
    <t>TAG Table M 4.2.3</t>
  </si>
  <si>
    <t>TAG Table M4.2.3</t>
  </si>
  <si>
    <t>TAG: COBALT</t>
  </si>
  <si>
    <t>TAG Data Book</t>
  </si>
  <si>
    <t>This Data Book has been prepared for transport modelling and appraisal purposes, and should be applied in accordance with wider guidance in TAG. It may not be appropriate for other purposes. Whilst every effort is made to ensure this data is correct, use of any part of the data comprising this Data Book is at the user’s sole risk and the DfT cannot be held liable for any loss or damage (including but not limited to, loss of profits, revenue or data) resulting from the use, or misuse, of the data, howsoever caused. For the avoidance of any doubt, the offer by the DfT of this data for use by third parties does not create a contractual relationship between the DfT and any party using it.</t>
  </si>
  <si>
    <t>Data Book Contents</t>
  </si>
  <si>
    <t>DISCLAIMER: In general, all values in the Data Book are liable to minor revisions with each version of the Data Book, as whenever the data in the Annual Parameters tab</t>
  </si>
  <si>
    <t>is updated this flows through into price and value base adjustments. Please refer to the hidden tab 'Flow chart' for details of inter-dependencies within the Data Book.</t>
  </si>
  <si>
    <t>Please make sure you are using the most up to date version of the Data Book, available at: https://www.gov.uk/guidance/transport-analysis-guidance-TAG#TAG-data-book</t>
  </si>
  <si>
    <t xml:space="preserve">Data Book </t>
  </si>
  <si>
    <t>Data Book source tab:</t>
  </si>
  <si>
    <t>Data Book source tab: Discount %</t>
  </si>
  <si>
    <t>Data Book source worksheets: User Parameters, Default Pars, Annual Parameters, Source VoT, Indirect tax correction</t>
  </si>
  <si>
    <t>Data Book source worksheets: User Parameters, Annual Parameters, Source VoT, Indirect tax correction</t>
  </si>
  <si>
    <t>Data Book source worksheets: VoT2, VoT3 and VoT4</t>
  </si>
  <si>
    <t>Data Book source worksheet: Forecast occupancies</t>
  </si>
  <si>
    <t>Data Book source worksheets: VoT2, VoT3, VoT4 and VoT5.</t>
  </si>
  <si>
    <t>Data Book source worksheets: VoT5 and VoT6</t>
  </si>
  <si>
    <t>Data Book source worksheets: A 1.3.2, Forecast occupancies, VoT5.</t>
  </si>
  <si>
    <t>Data Book Source worksheets: VoC Mileage %. This table feeds into Tables A 1.3.12, A 1.3.13 and A 1.3.15.</t>
  </si>
  <si>
    <t>Data Book source worksheets: Fuel consumption and A 1.3.10</t>
  </si>
  <si>
    <t>Data Book source worksheets: Fuel consumption, A 1.3.7, A 1.3.8, A 1.3.9 and A 1.3.11.</t>
  </si>
  <si>
    <t>Data Book source worksheets: Fuel consumption, A 1.3.7, A 1.3.9 and A 1.3.12.</t>
  </si>
  <si>
    <t>Data Book source worksheet: User Parameters, Default Para, Annual Parameters, VoC Non-Fuel</t>
  </si>
  <si>
    <t>Data Book Source Worksheets: A 1.3.9, A 1.3.14.</t>
  </si>
  <si>
    <t>Data Book source worksheet: Bus Social Impacts</t>
  </si>
  <si>
    <t>Data Book source worksheets: User Parameters, Default Parameters, Annual Parameters, Noise</t>
  </si>
  <si>
    <t>Data Book source worksheets: User Parameters, Default Para, Annual Parameters, NOx damage, PM Emissions, NO2 concentration, PM2.5 concentration, NOx abatement</t>
  </si>
  <si>
    <t>Data Book source worksheets: User Parameters, Default Para, Annual Parameters, GHG</t>
  </si>
  <si>
    <t>Data Book source tabs: User Parameters, Default Para, Annual Parameters, Casualty costs, Casualty data</t>
  </si>
  <si>
    <t>Data Book source tabs: A 4.1.1, Casualty data</t>
  </si>
  <si>
    <t>Data Book source worksheets: User Parameters, Default Para, Casualty data, Accident costs, Accident data</t>
  </si>
  <si>
    <t>Data Book source tabs: User Parameters, Default Para, Annual Parameters, Casualty costs, Casualty data, Accident costs, Accident data</t>
  </si>
  <si>
    <t>Data Book source worksheets: User Parameters, Default Para, Annual Parameters, Rail</t>
  </si>
  <si>
    <t>Data Book source worksheet: Casualty costs.</t>
  </si>
  <si>
    <t>Data Book source worksheets: User Parameters, Default Para, Annual Parameters, Cycling</t>
  </si>
  <si>
    <t>Data Book source worksheet: Walking, Annual Parameters</t>
  </si>
  <si>
    <t>Original: Used for TAG2 Data Book</t>
  </si>
  <si>
    <t>Data Book source worksheets: Option values, Annual parameters</t>
  </si>
  <si>
    <t>Data Book source tab: 'Cost and rev series'</t>
  </si>
  <si>
    <t>Data Book source tabs: Total - Traffic %</t>
  </si>
  <si>
    <t>Data Book source tabs: Car Traffic Shares</t>
  </si>
  <si>
    <t>Data Book source tabs: MECs - time of day, Annual Parameters</t>
  </si>
  <si>
    <t>Data Book source tab: Income segmented VTTS</t>
  </si>
  <si>
    <t>Data Book source tabs: Soft bus.</t>
  </si>
  <si>
    <t>Data Book source tabs: Adjustment Factors, Car speeds</t>
  </si>
  <si>
    <t>Data Book source tab: Car speeds, Annual parameters</t>
  </si>
  <si>
    <t>Data Book source tabs: A1.3.4, 1.3.12, 1.3.13</t>
  </si>
  <si>
    <t>Data Book source tabs: A1.3.4,  A 1.3.12,  A 1.3.13 and A 1.3.15.</t>
  </si>
  <si>
    <t>Data Book source tabs: Car and bus journey times</t>
  </si>
  <si>
    <t>Data Book source tabs: Journeys per season</t>
  </si>
  <si>
    <t>Data Book source tabs: A 4.1.1, Accident costs</t>
  </si>
  <si>
    <t>Data Book Output</t>
  </si>
  <si>
    <t>Data Book</t>
  </si>
  <si>
    <t>e</t>
  </si>
  <si>
    <t>f</t>
  </si>
  <si>
    <t>g</t>
  </si>
  <si>
    <t>Max speed</t>
  </si>
  <si>
    <t>Min speed</t>
  </si>
  <si>
    <t>(grams per km)</t>
  </si>
  <si>
    <t>Exhaust NOx emissions parameter values: petrol cars</t>
  </si>
  <si>
    <t>Exhaust NOx emissions parameter values: diesel cars</t>
  </si>
  <si>
    <t>Exhaust NOx emissions parameter values: petrol LGV</t>
  </si>
  <si>
    <t>Exhaust NOx emissions parameter values: diesel LGV</t>
  </si>
  <si>
    <t>Exhaust NOx emissions parameter values: rigid HGV</t>
  </si>
  <si>
    <t>Exhaust NOx emissions parameter values: artic HGV</t>
  </si>
  <si>
    <t>Exhaust NOx emissions parameter values: bus</t>
  </si>
  <si>
    <t>Exhaust NOx emissions parameter values: coach</t>
  </si>
  <si>
    <t>NOx</t>
  </si>
  <si>
    <t>Petrol cars</t>
  </si>
  <si>
    <t>Diesel cars</t>
  </si>
  <si>
    <t>Petrol LGVs</t>
  </si>
  <si>
    <t>Diesel LGVs</t>
  </si>
  <si>
    <t>Exhaust PM10 emissions parameter values: petrol cars</t>
  </si>
  <si>
    <t>Exhaust PM10 emissions parameter values: diesel cars</t>
  </si>
  <si>
    <t>Exhaust PM10 emissions parameter values: petrol LGV</t>
  </si>
  <si>
    <t>Exhaust PM10 emissions parameter values: diesel LGV</t>
  </si>
  <si>
    <t>Exhaust PM10 emissions parameter values: rigid HGV</t>
  </si>
  <si>
    <t>Exhaust PM10 emissions parameter values: artic HGV</t>
  </si>
  <si>
    <t>Exhaust PM10 emissions parameter values: bus</t>
  </si>
  <si>
    <t>Exhaust PM10 emissions parameter values: coach</t>
  </si>
  <si>
    <t>Rigid HGVs</t>
  </si>
  <si>
    <t>Artic HGVs</t>
  </si>
  <si>
    <t>Buses</t>
  </si>
  <si>
    <t>Motorcycles</t>
  </si>
  <si>
    <t>Road abrasion</t>
  </si>
  <si>
    <t>Tyre wear</t>
  </si>
  <si>
    <t>Brake wear</t>
  </si>
  <si>
    <t>HGVs</t>
  </si>
  <si>
    <t>Table A 1.3.8a:</t>
  </si>
  <si>
    <t>Table A 1.3.8b:</t>
  </si>
  <si>
    <t>Table A 1.3.8c:</t>
  </si>
  <si>
    <t>Table A 1.3.8d:</t>
  </si>
  <si>
    <t xml:space="preserve">Exhaust cold start emissions </t>
  </si>
  <si>
    <t>(g/trip)</t>
  </si>
  <si>
    <t>(g/km)</t>
  </si>
  <si>
    <t>Table A 1.3.8e:</t>
  </si>
  <si>
    <t>Table A 1.3.8f:</t>
  </si>
  <si>
    <t>Non-exhaust PM10 emissions</t>
  </si>
  <si>
    <t>Non-exhaust PM10 emissions by road type</t>
  </si>
  <si>
    <t>GDP deflator: ONS time series L8GG released 29/03/2019</t>
  </si>
  <si>
    <t>RPI: ONS CHAW series, released 17/04/2019</t>
  </si>
  <si>
    <t>Average earnings: OBR EFO Mar 19, Economy Supplementary table 1.6, published13/03/2019</t>
  </si>
  <si>
    <t>GDP deflator, CPI and RPI: OBR EFO Mar 19, Economy Supplementary table 1.7, published 13/03/2019</t>
  </si>
  <si>
    <t>2023 onwards: all series based on March 2019 OBR Long-term economic determinants published 13/03/2019, consistent with FSR 19</t>
  </si>
  <si>
    <t>1990-2018 from ONS MNF2 series, published 29/03/2019</t>
  </si>
  <si>
    <t>2018-2023 from EFO Mar 19 supplementary economy table 1.7, published 13/03/2019</t>
  </si>
  <si>
    <t>2023 onwards: based on March 2019 OBR Long-term economic determinants published 13/03/2019, and consistent with FSR 19</t>
  </si>
  <si>
    <t>1990-2017 from ONS ABMI series, published 29/03/2019 (£m, chained volume measure with a 2016 base)</t>
  </si>
  <si>
    <t>2018-2022 from EFO Oct 19 table T1.1, published 13/03/2019</t>
  </si>
  <si>
    <t>Ricardo-AEA (2018) 'Production of Updated Emission Curves for Use in the NTM and WebTAG'</t>
  </si>
  <si>
    <t>(4) Forecasts of vehicle-kilometre proportions for diesel and petrol vehicles based on DfT 2019 fleet models for both cars. For other vehicles, these are unchanged form previous forecasts.</t>
  </si>
  <si>
    <t>(6) OGV 1 comprises rigids up to 26 tonnes, whereas OGV 2 comprises rigids over 26 tonnes, and artics. Rigids and artics are as defined in the DfT Traffic Statistics.</t>
  </si>
  <si>
    <t>Updated 'Annual parameters' tab to include revised economic and demographic projections in line with OBR EFO March 2019 and outturn ONS data</t>
  </si>
  <si>
    <t>Updated the 'Cost and rev series' tabs in line with OBR EFO March 2019 and outturn ONS data</t>
  </si>
  <si>
    <t>Updated inputs in the 'VoC fuel' tab to reflect BEIS's update of the IAG tables covering forecast road fuel prices</t>
  </si>
  <si>
    <t>Inclusion of new journeys per season ticket assumptions following the publication release by the Department.</t>
  </si>
  <si>
    <t>Updated with Defra's published damage costs and impact pathways for Nox, PM and NO2. Fixed user parameters lookups in certain sheets</t>
  </si>
  <si>
    <t>Updated the fuel consumption parameter values following the publication of the update by Ricardo AEA. Emissions curves for Nox and PM are now included in the source sheet.</t>
  </si>
  <si>
    <t>Update to the car vehicle kilometre projections following internal modelling</t>
  </si>
  <si>
    <t>The values in A3.4 differ because they are expressed in 2010 prices.</t>
  </si>
  <si>
    <t>Aircraft</t>
  </si>
  <si>
    <t>Ships</t>
  </si>
  <si>
    <t>Road Transport (RT)</t>
  </si>
  <si>
    <t>RT Central London</t>
  </si>
  <si>
    <t>RT Inner London</t>
  </si>
  <si>
    <t>RT Outer London</t>
  </si>
  <si>
    <t>RT Inner Conurbation</t>
  </si>
  <si>
    <t>RT Outer Conurbation</t>
  </si>
  <si>
    <t>RT Urban Big</t>
  </si>
  <si>
    <t>RT Urban Large</t>
  </si>
  <si>
    <t>RT Urban Medium</t>
  </si>
  <si>
    <t>RT Urban Small</t>
  </si>
  <si>
    <t>RT Rural</t>
  </si>
  <si>
    <t>National (transport)</t>
  </si>
  <si>
    <t>National (all sectors)</t>
  </si>
  <si>
    <t>RT Exhaust</t>
  </si>
  <si>
    <t>RT Brake</t>
  </si>
  <si>
    <t>RT Tyre</t>
  </si>
  <si>
    <t>RT Road Abrasion</t>
  </si>
  <si>
    <t>PM10 to PM2.5 conversion factors</t>
  </si>
  <si>
    <t>Table A3.2.4: PM10 to PM2.5 conversion factors</t>
  </si>
  <si>
    <t>TAG Table A 3.5</t>
  </si>
  <si>
    <t>Air quality emission factors</t>
  </si>
  <si>
    <t>Table A 3.5c:</t>
  </si>
  <si>
    <t>Table A 3.5d:</t>
  </si>
  <si>
    <t>Table A 3.5e:</t>
  </si>
  <si>
    <t>Table A 3.5b:</t>
  </si>
  <si>
    <t>Table A 3.5a:</t>
  </si>
  <si>
    <t>Average rail journeys per season ticket</t>
  </si>
  <si>
    <t>May 2019 v1.12</t>
  </si>
  <si>
    <r>
      <t xml:space="preserve">Source: </t>
    </r>
    <r>
      <rPr>
        <sz val="10"/>
        <rFont val="Arial"/>
        <family val="2"/>
      </rPr>
      <t xml:space="preserve">Ricardo-AEA (2018) 'Production of Updated Emission Curves for Use in the National Transport Model and WebTAG',currently unpublished. </t>
    </r>
  </si>
  <si>
    <t xml:space="preserve"> Forecast Assumed Vehicle Fuel Efficiency Improvements to 2050</t>
  </si>
  <si>
    <t>Table A 1.3.10a:  Forecast Assumed Vehicle Fuel Efficiency Improvements to 2050</t>
  </si>
  <si>
    <t>Updated with BEIS's updates of traded &amp; non-traded carbon values and emissions factors (from road fuel and electricity)</t>
  </si>
  <si>
    <t>Table A 5.4.2a:</t>
  </si>
  <si>
    <t>Marginal External Costs &amp; Indirect Tax - Cars (pence per vehicle km, 2010 prices, 1 d.p.)</t>
  </si>
  <si>
    <t>Marginal External Costs &amp; Indirect Tax - LGVs (pence per vehicle km, 2010 prices, 1 d.p.)</t>
  </si>
  <si>
    <t>Marginal External Costs &amp; Indirect Tax - Rigids (pence per vehicle km, 2010 prices, 1 d.p.)</t>
  </si>
  <si>
    <t>Marginal External Costs &amp; Indirect Tax - Artics (pence per vehicle km, 2010 prices, 1 d.p.)</t>
  </si>
  <si>
    <t>Marginal External Costs &amp; Indirect Tax - PSVs (pence per vehicle km, 2010 prices, 1 d.p.)</t>
  </si>
  <si>
    <t>Price year (fuel):</t>
  </si>
  <si>
    <t>Price year (electric):</t>
  </si>
  <si>
    <t>Source year (electricity):</t>
  </si>
</sst>
</file>

<file path=xl/styles.xml><?xml version="1.0" encoding="utf-8"?>
<styleSheet xmlns="http://schemas.openxmlformats.org/spreadsheetml/2006/main" xmlns:mc="http://schemas.openxmlformats.org/markup-compatibility/2006" xmlns:x14ac="http://schemas.microsoft.com/office/spreadsheetml/2009/9/ac" mc:Ignorable="x14ac">
  <numFmts count="138">
    <numFmt numFmtId="6" formatCode="&quot;£&quot;#,##0;[Red]\-&quot;£&quot;#,##0"/>
    <numFmt numFmtId="7" formatCode="&quot;£&quot;#,##0.00;\-&quot;£&quot;#,##0.00"/>
    <numFmt numFmtId="8" formatCode="&quot;£&quot;#,##0.00;[Red]\-&quot;£&quot;#,##0.00"/>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0.0000000"/>
    <numFmt numFmtId="166" formatCode="0.000000"/>
    <numFmt numFmtId="167" formatCode="0.00000"/>
    <numFmt numFmtId="168" formatCode="0.0000"/>
    <numFmt numFmtId="169" formatCode="0.000"/>
    <numFmt numFmtId="170" formatCode="0.0%"/>
    <numFmt numFmtId="171" formatCode="0.0"/>
    <numFmt numFmtId="172" formatCode="#,##0.0"/>
    <numFmt numFmtId="173" formatCode="0.000%"/>
    <numFmt numFmtId="174" formatCode="0.0000%"/>
    <numFmt numFmtId="175" formatCode="#,##0_ ;[Red]\-#,##0\ "/>
    <numFmt numFmtId="176" formatCode="_-* #,##0_-;\-* #,##0_-;_-* &quot;-&quot;??_-;_-@_-"/>
    <numFmt numFmtId="177" formatCode="&quot;£&quot;#,##0"/>
    <numFmt numFmtId="178" formatCode="&quot;notes&quot;"/>
    <numFmt numFmtId="179" formatCode="_(* #,##0.0_);_(* \(#,##0.0\);_(* &quot;-&quot;??_);_(@_)"/>
    <numFmt numFmtId="180" formatCode="_(* #,##0_);_(* \(#,##0\);_(* &quot;-&quot;??_);_(@_)"/>
    <numFmt numFmtId="181" formatCode="&quot;£&quot;#,##0.00"/>
    <numFmt numFmtId="182" formatCode="0.00000000000"/>
    <numFmt numFmtId="183" formatCode="&quot;£&quot;#,##0.00000000;[Red]\-&quot;£&quot;#,##0.00000000"/>
    <numFmt numFmtId="184" formatCode="#,##0.000_ ;[Red]\-#,##0.000\ "/>
    <numFmt numFmtId="185" formatCode="#,##0_);\(#,##0\);&quot;-&quot;_)"/>
    <numFmt numFmtId="186" formatCode="_-[$€-2]* #,##0.000_-;\-[$€-2]* #,##0.000_-;_-[$€-2]* &quot;-&quot;??_-"/>
    <numFmt numFmtId="187" formatCode="General_)"/>
    <numFmt numFmtId="188" formatCode="_(* #,##0_);_(* \(#,##0\);_(* &quot; - &quot;_);_(@_)"/>
    <numFmt numFmtId="189" formatCode="_-[$€-2]* #,##0.00_-;\-[$€-2]* #,##0.00_-;_-[$€-2]* &quot;-&quot;??_-"/>
    <numFmt numFmtId="190" formatCode="&quot;$&quot;#,##0.0;[Red]\-&quot;$&quot;#,##0.0"/>
    <numFmt numFmtId="191" formatCode="#,##0;\-#,##0;\-"/>
    <numFmt numFmtId="192" formatCode="_-[$€-2]* #,##0.0_-;\-[$€-2]* #,##0.0_-;_-[$€-2]* &quot;-&quot;??_-"/>
    <numFmt numFmtId="193" formatCode="#,##0.0_-;\(#,##0.0\);_-* &quot;-&quot;??_-"/>
    <numFmt numFmtId="194" formatCode="&quot;$&quot;#,##0_);\(&quot;$&quot;#,##0\)"/>
    <numFmt numFmtId="195" formatCode="#,##0_);[Red]\(#,##0\);&quot;-&quot;_);[Blue]&quot;Error-&quot;@"/>
    <numFmt numFmtId="196" formatCode="#,##0.0_);[Red]\(#,##0.0\);&quot;-&quot;_);[Blue]&quot;Error-&quot;@"/>
    <numFmt numFmtId="197" formatCode="#,##0.00_);[Red]\(#,##0.00\);&quot;-&quot;_);[Blue]&quot;Error-&quot;@"/>
    <numFmt numFmtId="198" formatCode="&quot;£&quot;* #,##0_);[Red]&quot;£&quot;* \(#,##0\);&quot;£&quot;* &quot;-&quot;_);[Blue]&quot;Error-&quot;@"/>
    <numFmt numFmtId="199" formatCode="&quot;£&quot;* #,##0.0_);[Red]&quot;£&quot;* \(#,##0.0\);&quot;£&quot;* &quot;-&quot;_);[Blue]&quot;Error-&quot;@"/>
    <numFmt numFmtId="200" formatCode="&quot;£&quot;* #,##0.00_);[Red]&quot;£&quot;* \(#,##0.00\);&quot;£&quot;* &quot;-&quot;_);[Blue]&quot;Error-&quot;@"/>
    <numFmt numFmtId="201" formatCode="dd\ mmm\ yyyy_)"/>
    <numFmt numFmtId="202" formatCode="dd/mm/yy_)"/>
    <numFmt numFmtId="203" formatCode="0%_);[Red]\-0%_);0%_);[Blue]&quot;Error-&quot;@"/>
    <numFmt numFmtId="204" formatCode="0.0%_);[Red]\-0.0%_);0.0%_);[Blue]&quot;Error-&quot;@"/>
    <numFmt numFmtId="205" formatCode="0.00%_);[Red]\-0.00%_);0.00%_);[Blue]&quot;Error-&quot;@"/>
    <numFmt numFmtId="206" formatCode="0;0;\-"/>
    <numFmt numFmtId="207" formatCode="[Red]&quot;Err&quot;;[Red]&quot;Err&quot;;&quot;OK&quot;"/>
    <numFmt numFmtId="208" formatCode="&quot;to &quot;0.0000;&quot;to &quot;\-0.0000;&quot;to 0&quot;"/>
    <numFmt numFmtId="209" formatCode="#,##0;\(#,##0\)"/>
    <numFmt numFmtId="210" formatCode="#,##0.0;\(#,##0.0\)"/>
    <numFmt numFmtId="211" formatCode="#,##0.00;\(#,##0.00\)"/>
    <numFmt numFmtId="212" formatCode="#,##0.000;[Red]\(#,##0.000\)"/>
    <numFmt numFmtId="213" formatCode="#,##0_%_);\(#,##0\)_%;**;@_%_)"/>
    <numFmt numFmtId="214" formatCode="#,##0_%_);\(#,##0\)_%;#,##0_%_);@_%_)"/>
    <numFmt numFmtId="215" formatCode="#,##0.00_%_);\(#,##0.00\)_%;**;@_%_)"/>
    <numFmt numFmtId="216" formatCode="#,##0.00_%_);\(#,##0.00\)_%;#,##0.00_%_);@_%_)"/>
    <numFmt numFmtId="217" formatCode="#,##0.000_%_);\(#,##0.000\)_%;**;@_%_)"/>
    <numFmt numFmtId="218" formatCode="#,##0.0_%_);\(#,##0.0\)_%;**;@_%_)"/>
    <numFmt numFmtId="219" formatCode="&quot;$&quot;#,##0_);[Red]\(&quot;$&quot;#,##0\)"/>
    <numFmt numFmtId="220" formatCode="[$¥-411]#,##0"/>
    <numFmt numFmtId="221" formatCode="_(&quot;$&quot;* #,##0.00_);_(&quot;$&quot;* \(#,##0.00\);_(&quot;$&quot;* &quot;-&quot;??_);_(@_)"/>
    <numFmt numFmtId="222" formatCode="&quot;$&quot;#,##0.00_%_);\(&quot;$&quot;#,##0.00\)_%;**;@_%_)"/>
    <numFmt numFmtId="223" formatCode="&quot;$&quot;#,##0.000_%_);\(&quot;$&quot;#,##0.000\)_%;**;@_%_)"/>
    <numFmt numFmtId="224" formatCode="&quot;$&quot;#,##0.0_%_);\(&quot;$&quot;#,##0.0\)_%;**;@_%_)"/>
    <numFmt numFmtId="225" formatCode="#,##0_);\(#,##0.0\)"/>
    <numFmt numFmtId="226" formatCode="0_ ;\-0\ "/>
    <numFmt numFmtId="227" formatCode="###0.00_)"/>
    <numFmt numFmtId="228" formatCode="000"/>
    <numFmt numFmtId="229" formatCode="m/d/yy_%_);;**"/>
    <numFmt numFmtId="230" formatCode="m/d/yy_%_)"/>
    <numFmt numFmtId="231" formatCode="m/d/yy\ h:mm"/>
    <numFmt numFmtId="232" formatCode="#,###.00;\-#,##0.00;\-"/>
    <numFmt numFmtId="233" formatCode="000.00"/>
    <numFmt numFmtId="234" formatCode="_(* #,##0_);_(* \(#,##0\);_(* &quot;&quot;\ \-\ &quot;&quot;_);_(@_)"/>
    <numFmt numFmtId="235" formatCode="_-* #,##0\ _D_M_-;\-* #,##0\ _D_M_-;_-* &quot;-&quot;\ _D_M_-;_-@_-"/>
    <numFmt numFmtId="236" formatCode="_-* #,##0.00\ _D_M_-;\-* #,##0.00\ _D_M_-;_-* &quot;-&quot;??\ _D_M_-;_-@_-"/>
    <numFmt numFmtId="237" formatCode="_([$€]* #,##0.00_);_([$€]* \(#,##0.00\);_([$€]* &quot;-&quot;??_);_(@_)"/>
    <numFmt numFmtId="238" formatCode="[Magenta]&quot;Err&quot;;[Magenta]&quot;Err&quot;;[Blue]&quot;OK&quot;"/>
    <numFmt numFmtId="239" formatCode="[Blue]&quot;P&quot;;;[Red]&quot;O&quot;"/>
    <numFmt numFmtId="240" formatCode="General\ &quot;.&quot;"/>
    <numFmt numFmtId="241" formatCode="#,##0_);[Red]\(#,##0\);\-_)"/>
    <numFmt numFmtId="242" formatCode="0.0_)%;[Red]\(0.0%\);0.0_)%"/>
    <numFmt numFmtId="243" formatCode="[Red][&gt;1]&quot;&gt;100 %&quot;;[Red]\(0.0%\);0.0_)%"/>
    <numFmt numFmtId="244" formatCode="[&gt;0.5]#,##0;[&lt;-0.5]\-#,##0;\-"/>
    <numFmt numFmtId="245" formatCode="_-[$$-409]* #,##0.0_ ;_-[$$-409]* \-#,##0.0\ ;_-[$$-409]* &quot;-&quot;??_ ;_-@_ "/>
    <numFmt numFmtId="246" formatCode="#,##0.0_);\(#,##0.0\)"/>
    <numFmt numFmtId="247" formatCode="0.0;\(0.0\)"/>
    <numFmt numFmtId="248" formatCode="0.0;;&quot;TBD&quot;"/>
    <numFmt numFmtId="249" formatCode="_-* #,##0\ _F_-;\-* #,##0\ _F_-;_-* &quot;-&quot;\ _F_-;_-@_-"/>
    <numFmt numFmtId="250" formatCode="_-* #,##0.00\ _F_-;\-* #,##0.00\ _F_-;_-* &quot;-&quot;??\ _F_-;_-@_-"/>
    <numFmt numFmtId="251" formatCode="_(&quot;$&quot;* #,##0_);_(&quot;$&quot;* \(#,##0\);_(&quot;$&quot;* &quot;-&quot;_);_(@_)"/>
    <numFmt numFmtId="252" formatCode="_-* #,##0\ &quot;F&quot;_-;\-* #,##0\ &quot;F&quot;_-;_-* &quot;-&quot;\ &quot;F&quot;_-;_-@_-"/>
    <numFmt numFmtId="253" formatCode="_-* #,##0.00\ &quot;F&quot;_-;\-* #,##0.00\ &quot;F&quot;_-;_-* &quot;-&quot;??\ &quot;F&quot;_-;_-@_-"/>
    <numFmt numFmtId="254" formatCode="#,##0.0_x_)_);&quot;NM&quot;_x_)_);#,##0.0_x_)_);@_x_)_)"/>
    <numFmt numFmtId="255" formatCode="#,##0.0000\ ;[Red]\(#,##0.0000\)"/>
    <numFmt numFmtId="256" formatCode="[$$-C09]#,##0.0"/>
    <numFmt numFmtId="257" formatCode="#,##0.0_ ;\-#,##0.0\ "/>
    <numFmt numFmtId="258" formatCode="#,##0.0,,_);\(#,##0.0,,\);\-_)"/>
    <numFmt numFmtId="259" formatCode="#,##0_);\(#,##0\);\-_)"/>
    <numFmt numFmtId="260" formatCode="#,##0.0,_);\(#,##0.0,\);\-_)"/>
    <numFmt numFmtId="261" formatCode="#,##0.00_);\(#,##0.00\);\-_)"/>
    <numFmt numFmtId="262" formatCode="_(#,##0.0_);\(#,##0.0\);_(&quot;-&quot;_)"/>
    <numFmt numFmtId="263" formatCode="#,##0.0_);\(#,##0.0\);&quot;-&quot;;@"/>
    <numFmt numFmtId="264" formatCode="[&lt;0.0001]&quot;&lt;0.0001&quot;;0.0000"/>
    <numFmt numFmtId="265" formatCode="#,##0.0000"/>
    <numFmt numFmtId="266" formatCode="0.0%_);\(0.0%\);**;@_%_)"/>
    <numFmt numFmtId="267" formatCode="%#."/>
    <numFmt numFmtId="268" formatCode="##0.0"/>
    <numFmt numFmtId="269" formatCode="##0.0\ \e"/>
    <numFmt numFmtId="270" formatCode="###.0"/>
    <numFmt numFmtId="271" formatCode="##.0"/>
    <numFmt numFmtId="272" formatCode="mmm\ dd\,\ yyyy"/>
    <numFmt numFmtId="273" formatCode="mmm\-yyyy"/>
    <numFmt numFmtId="274" formatCode="yyyy"/>
    <numFmt numFmtId="275" formatCode="&quot;$&quot;#,##0.00_);[Red]\(&quot;$&quot;#,##0.00\)"/>
    <numFmt numFmtId="276" formatCode="\+#,##0.00;[Red]\-#,##0.00"/>
    <numFmt numFmtId="277" formatCode="_-* #,##0.000_-;\-* #,##0.000_-;_-* &quot;-&quot;???_-;_-@_-"/>
    <numFmt numFmtId="278" formatCode="_-* #,##0.00000_-;\-* #,##0.00000_-;_-* &quot;-&quot;?????_-;_-@_-"/>
    <numFmt numFmtId="279" formatCode="00000"/>
    <numFmt numFmtId="280" formatCode="#,##0.000"/>
    <numFmt numFmtId="281" formatCode="#,##0.0,,;\-#,##0.0,,;\-"/>
    <numFmt numFmtId="282" formatCode="#,##0,;\-#,##0,;\-"/>
    <numFmt numFmtId="283" formatCode="0.0%;\-0.0%;\-"/>
    <numFmt numFmtId="284" formatCode="#,##0.0,,;\-#,##0.0,,"/>
    <numFmt numFmtId="285" formatCode="#,##0,;\-#,##0,"/>
    <numFmt numFmtId="286" formatCode="0.0%;\-0.0%"/>
    <numFmt numFmtId="287" formatCode="&quot;$&quot;#,##0.0_);\(&quot;$&quot;#,##0.00\)"/>
    <numFmt numFmtId="288" formatCode="dd\ mmm\ yy"/>
    <numFmt numFmtId="289" formatCode="#,###,##0"/>
    <numFmt numFmtId="290" formatCode="_-&quot;€&quot;\ * #,##0.00_-;\-&quot;€&quot;\ * #,##0.00_-;_-&quot;€&quot;\ * &quot;-&quot;??_-;_-@_-"/>
    <numFmt numFmtId="291" formatCode="_-* #,##0\ &quot;DM&quot;_-;\-* #,##0\ &quot;DM&quot;_-;_-* &quot;-&quot;\ &quot;DM&quot;_-;_-@_-"/>
    <numFmt numFmtId="292" formatCode="_-* #,##0.00\ &quot;DM&quot;_-;\-* #,##0.00\ &quot;DM&quot;_-;_-* &quot;-&quot;??\ &quot;DM&quot;_-;_-@_-"/>
    <numFmt numFmtId="293" formatCode="####_)"/>
    <numFmt numFmtId="294" formatCode="0.000E+00"/>
  </numFmts>
  <fonts count="375">
    <font>
      <sz val="10"/>
      <name val="Arial"/>
    </font>
    <font>
      <sz val="11"/>
      <color theme="1"/>
      <name val="Calibri"/>
      <family val="2"/>
      <scheme val="minor"/>
    </font>
    <font>
      <sz val="10"/>
      <name val="Arial"/>
      <family val="2"/>
    </font>
    <font>
      <sz val="10"/>
      <name val="Arial"/>
      <family val="2"/>
    </font>
    <font>
      <b/>
      <sz val="10"/>
      <name val="Arial"/>
      <family val="2"/>
    </font>
    <font>
      <b/>
      <sz val="10"/>
      <color indexed="8"/>
      <name val="Arial"/>
      <family val="2"/>
    </font>
    <font>
      <sz val="10"/>
      <color indexed="8"/>
      <name val="Arial"/>
      <family val="2"/>
    </font>
    <font>
      <b/>
      <sz val="10"/>
      <color indexed="9"/>
      <name val="Arial"/>
      <family val="2"/>
    </font>
    <font>
      <sz val="8"/>
      <name val="Arial"/>
      <family val="2"/>
    </font>
    <font>
      <b/>
      <sz val="12"/>
      <name val="Arial"/>
      <family val="2"/>
    </font>
    <font>
      <u/>
      <sz val="10"/>
      <color indexed="12"/>
      <name val="Arial"/>
      <family val="2"/>
    </font>
    <font>
      <sz val="10"/>
      <color indexed="9"/>
      <name val="Arial"/>
      <family val="2"/>
    </font>
    <font>
      <b/>
      <sz val="10"/>
      <color indexed="10"/>
      <name val="Arial"/>
      <family val="2"/>
    </font>
    <font>
      <b/>
      <sz val="14"/>
      <name val="Arial"/>
      <family val="2"/>
    </font>
    <font>
      <sz val="10"/>
      <color indexed="10"/>
      <name val="Arial"/>
      <family val="2"/>
    </font>
    <font>
      <sz val="8"/>
      <color indexed="81"/>
      <name val="Tahoma"/>
      <family val="2"/>
    </font>
    <font>
      <b/>
      <sz val="8"/>
      <color indexed="81"/>
      <name val="Tahoma"/>
      <family val="2"/>
    </font>
    <font>
      <vertAlign val="subscript"/>
      <sz val="10"/>
      <name val="Arial"/>
      <family val="2"/>
    </font>
    <font>
      <vertAlign val="superscript"/>
      <sz val="10"/>
      <name val="Arial"/>
      <family val="2"/>
    </font>
    <font>
      <i/>
      <sz val="10"/>
      <name val="Arial"/>
      <family val="2"/>
    </font>
    <font>
      <b/>
      <i/>
      <sz val="10"/>
      <color indexed="10"/>
      <name val="Arial"/>
      <family val="2"/>
    </font>
    <font>
      <u/>
      <sz val="10"/>
      <name val="Arial"/>
      <family val="2"/>
    </font>
    <font>
      <sz val="14"/>
      <name val="Arial"/>
      <family val="2"/>
    </font>
    <font>
      <u/>
      <sz val="14"/>
      <name val="Arial"/>
      <family val="2"/>
    </font>
    <font>
      <sz val="10"/>
      <color indexed="9"/>
      <name val="Arial"/>
      <family val="2"/>
    </font>
    <font>
      <b/>
      <sz val="8"/>
      <color indexed="8"/>
      <name val="Arial"/>
      <family val="2"/>
    </font>
    <font>
      <sz val="16"/>
      <name val="Arial"/>
      <family val="2"/>
    </font>
    <font>
      <b/>
      <sz val="18"/>
      <color indexed="17"/>
      <name val="Arial"/>
      <family val="2"/>
    </font>
    <font>
      <b/>
      <u/>
      <sz val="14"/>
      <name val="Arial"/>
      <family val="2"/>
    </font>
    <font>
      <sz val="10"/>
      <color indexed="12"/>
      <name val="Arial"/>
      <family val="2"/>
    </font>
    <font>
      <b/>
      <sz val="10"/>
      <color indexed="12"/>
      <name val="Arial"/>
      <family val="2"/>
    </font>
    <font>
      <b/>
      <sz val="10"/>
      <color indexed="57"/>
      <name val="Arial"/>
      <family val="2"/>
    </font>
    <font>
      <sz val="10"/>
      <color indexed="57"/>
      <name val="Arial"/>
      <family val="2"/>
    </font>
    <font>
      <b/>
      <sz val="9"/>
      <name val="Arial"/>
      <family val="2"/>
    </font>
    <font>
      <b/>
      <vertAlign val="superscript"/>
      <sz val="10"/>
      <name val="Arial"/>
      <family val="2"/>
    </font>
    <font>
      <b/>
      <vertAlign val="superscript"/>
      <sz val="10"/>
      <color indexed="8"/>
      <name val="Arial"/>
      <family val="2"/>
    </font>
    <font>
      <b/>
      <sz val="10"/>
      <name val="Arial"/>
      <family val="2"/>
    </font>
    <font>
      <sz val="10"/>
      <name val="Arial"/>
      <family val="2"/>
    </font>
    <font>
      <sz val="10"/>
      <name val="Arial"/>
      <family val="2"/>
    </font>
    <font>
      <b/>
      <sz val="10"/>
      <color indexed="9"/>
      <name val="Arial"/>
      <family val="2"/>
    </font>
    <font>
      <sz val="9"/>
      <color indexed="8"/>
      <name val="Arial"/>
      <family val="2"/>
    </font>
    <font>
      <sz val="9"/>
      <name val="Arial"/>
      <family val="2"/>
    </font>
    <font>
      <b/>
      <vertAlign val="subscript"/>
      <sz val="10"/>
      <name val="Arial"/>
      <family val="2"/>
    </font>
    <font>
      <vertAlign val="superscript"/>
      <sz val="10"/>
      <color indexed="10"/>
      <name val="Arial"/>
      <family val="2"/>
    </font>
    <font>
      <sz val="10"/>
      <color indexed="10"/>
      <name val="Arial"/>
      <family val="2"/>
    </font>
    <font>
      <sz val="10"/>
      <color indexed="8"/>
      <name val="Arial"/>
      <family val="2"/>
    </font>
    <font>
      <sz val="10"/>
      <name val="Arial"/>
      <family val="2"/>
    </font>
    <font>
      <sz val="10"/>
      <color indexed="12"/>
      <name val="Arial"/>
      <family val="2"/>
    </font>
    <font>
      <sz val="10"/>
      <name val="Arial"/>
      <family val="2"/>
    </font>
    <font>
      <b/>
      <sz val="9"/>
      <color indexed="9"/>
      <name val="Arial"/>
      <family val="2"/>
    </font>
    <font>
      <b/>
      <sz val="10"/>
      <color indexed="46"/>
      <name val="Arial"/>
      <family val="2"/>
    </font>
    <font>
      <b/>
      <sz val="10"/>
      <color indexed="50"/>
      <name val="Arial"/>
      <family val="2"/>
    </font>
    <font>
      <b/>
      <sz val="10"/>
      <color indexed="49"/>
      <name val="Arial"/>
      <family val="2"/>
    </font>
    <font>
      <b/>
      <sz val="10"/>
      <color indexed="47"/>
      <name val="Arial"/>
      <family val="2"/>
    </font>
    <font>
      <b/>
      <vertAlign val="subscript"/>
      <sz val="10"/>
      <color indexed="9"/>
      <name val="Arial"/>
      <family val="2"/>
    </font>
    <font>
      <sz val="10"/>
      <name val="Symbol"/>
      <family val="1"/>
      <charset val="2"/>
    </font>
    <font>
      <b/>
      <sz val="8"/>
      <name val="Arial"/>
      <family val="2"/>
    </font>
    <font>
      <sz val="10"/>
      <name val="Courier"/>
    </font>
    <font>
      <sz val="11"/>
      <name val="Arial"/>
      <family val="2"/>
    </font>
    <font>
      <b/>
      <sz val="10"/>
      <color indexed="15"/>
      <name val="Arial"/>
      <family val="2"/>
    </font>
    <font>
      <sz val="10"/>
      <color indexed="17"/>
      <name val="Arial"/>
      <family val="2"/>
    </font>
    <font>
      <vertAlign val="superscript"/>
      <sz val="10"/>
      <color indexed="8"/>
      <name val="Arial"/>
      <family val="2"/>
    </font>
    <font>
      <sz val="12"/>
      <color indexed="12"/>
      <name val="Times New Roman"/>
      <family val="1"/>
    </font>
    <font>
      <b/>
      <vertAlign val="superscript"/>
      <sz val="10"/>
      <color indexed="10"/>
      <name val="Arial"/>
      <family val="2"/>
    </font>
    <font>
      <u/>
      <sz val="10"/>
      <color indexed="12"/>
      <name val="Arial"/>
      <family val="2"/>
    </font>
    <font>
      <b/>
      <sz val="10"/>
      <color indexed="21"/>
      <name val="Arial"/>
      <family val="2"/>
    </font>
    <font>
      <sz val="10"/>
      <color indexed="8"/>
      <name val="Calibri"/>
      <family val="2"/>
    </font>
    <font>
      <sz val="11"/>
      <name val="Calibri"/>
      <family val="2"/>
    </font>
    <font>
      <i/>
      <sz val="11"/>
      <name val="Calibri"/>
      <family val="2"/>
    </font>
    <font>
      <u/>
      <sz val="10"/>
      <color indexed="8"/>
      <name val="Arial"/>
      <family val="2"/>
    </font>
    <font>
      <sz val="9"/>
      <name val="Futura Std Book"/>
      <family val="2"/>
    </font>
    <font>
      <b/>
      <sz val="10"/>
      <color indexed="9"/>
      <name val="Arial"/>
      <family val="2"/>
    </font>
    <font>
      <b/>
      <sz val="10"/>
      <color indexed="49"/>
      <name val="Arial"/>
      <family val="2"/>
    </font>
    <font>
      <b/>
      <sz val="10"/>
      <color indexed="62"/>
      <name val="Arial"/>
      <family val="2"/>
    </font>
    <font>
      <b/>
      <sz val="10"/>
      <color indexed="51"/>
      <name val="Arial"/>
      <family val="2"/>
    </font>
    <font>
      <sz val="10"/>
      <color indexed="8"/>
      <name val="Arial"/>
      <family val="2"/>
    </font>
    <font>
      <sz val="10"/>
      <color indexed="30"/>
      <name val="Arial"/>
      <family val="2"/>
    </font>
    <font>
      <sz val="11"/>
      <name val="Calibri"/>
      <family val="2"/>
    </font>
    <font>
      <i/>
      <sz val="11"/>
      <name val="Calibri"/>
      <family val="2"/>
    </font>
    <font>
      <sz val="11"/>
      <color indexed="8"/>
      <name val="Calibri"/>
      <family val="2"/>
    </font>
    <font>
      <sz val="10"/>
      <color indexed="49"/>
      <name val="Arial"/>
      <family val="2"/>
    </font>
    <font>
      <sz val="10"/>
      <color indexed="9"/>
      <name val="Arial"/>
      <family val="2"/>
    </font>
    <font>
      <sz val="10"/>
      <color indexed="8"/>
      <name val="Arial"/>
      <family val="2"/>
    </font>
    <font>
      <b/>
      <sz val="10"/>
      <color indexed="8"/>
      <name val="Arial"/>
      <family val="2"/>
    </font>
    <font>
      <sz val="8"/>
      <color indexed="8"/>
      <name val="Arial"/>
      <family val="2"/>
    </font>
    <font>
      <sz val="11"/>
      <color theme="1"/>
      <name val="Calibri"/>
      <family val="2"/>
      <scheme val="minor"/>
    </font>
    <font>
      <u/>
      <sz val="10"/>
      <color rgb="FF0000FF"/>
      <name val="Arial"/>
      <family val="2"/>
    </font>
    <font>
      <sz val="10"/>
      <color rgb="FF000000"/>
      <name val="Arial"/>
      <family val="2"/>
    </font>
    <font>
      <sz val="18"/>
      <color theme="3"/>
      <name val="Calibri Light"/>
      <family val="2"/>
      <scheme val="major"/>
    </font>
    <font>
      <b/>
      <sz val="10"/>
      <color theme="0"/>
      <name val="Arial"/>
      <family val="2"/>
    </font>
    <font>
      <sz val="10"/>
      <color theme="4"/>
      <name val="Arial"/>
      <family val="2"/>
    </font>
    <font>
      <u/>
      <sz val="10"/>
      <color rgb="FF0070C0"/>
      <name val="Arial"/>
      <family val="2"/>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theme="0"/>
      <name val="Calibri"/>
      <family val="2"/>
      <scheme val="minor"/>
    </font>
    <font>
      <sz val="10"/>
      <color theme="1"/>
      <name val="Arial"/>
      <family val="2"/>
    </font>
    <font>
      <sz val="11"/>
      <color rgb="FF9C6500"/>
      <name val="Calibri"/>
      <family val="2"/>
      <scheme val="minor"/>
    </font>
    <font>
      <u/>
      <sz val="10"/>
      <color theme="10"/>
      <name val="Arial"/>
      <family val="2"/>
    </font>
    <font>
      <i/>
      <sz val="10"/>
      <color indexed="8"/>
      <name val="Arial"/>
      <family val="2"/>
    </font>
    <font>
      <b/>
      <sz val="10"/>
      <color theme="1"/>
      <name val="Arial"/>
      <family val="2"/>
    </font>
    <font>
      <sz val="10"/>
      <name val="Times New Roman"/>
      <family val="1"/>
    </font>
    <font>
      <sz val="10"/>
      <color rgb="FFFF0000"/>
      <name val="Arial"/>
      <family val="2"/>
    </font>
    <font>
      <sz val="12"/>
      <name val="Arial"/>
      <family val="2"/>
    </font>
    <font>
      <b/>
      <i/>
      <sz val="10"/>
      <name val="Arial"/>
      <family val="2"/>
    </font>
    <font>
      <sz val="8"/>
      <color indexed="12"/>
      <name val="Arial"/>
      <family val="2"/>
    </font>
    <font>
      <sz val="10"/>
      <color indexed="8"/>
      <name val="MS Sans Serif"/>
      <family val="2"/>
    </font>
    <font>
      <sz val="10"/>
      <name val="Helv"/>
      <charset val="204"/>
    </font>
    <font>
      <b/>
      <sz val="10"/>
      <color indexed="18"/>
      <name val="Arial"/>
      <family val="2"/>
    </font>
    <font>
      <sz val="10"/>
      <name val="Courier"/>
      <family val="3"/>
    </font>
    <font>
      <sz val="12"/>
      <color indexed="8"/>
      <name val="Arial"/>
      <family val="2"/>
    </font>
    <font>
      <sz val="11"/>
      <color indexed="63"/>
      <name val="Calibri"/>
      <family val="2"/>
    </font>
    <font>
      <sz val="10"/>
      <color theme="1"/>
      <name val="Gill Sans MT"/>
      <family val="2"/>
    </font>
    <font>
      <sz val="9"/>
      <color theme="1"/>
      <name val="Arial"/>
      <family val="2"/>
    </font>
    <font>
      <sz val="10"/>
      <name val="Arial Cyr"/>
      <charset val="204"/>
    </font>
    <font>
      <sz val="9"/>
      <name val="Times New Roman"/>
      <family val="1"/>
    </font>
    <font>
      <sz val="11"/>
      <color indexed="9"/>
      <name val="Calibri"/>
      <family val="2"/>
    </font>
    <font>
      <sz val="12"/>
      <color indexed="9"/>
      <name val="Arial"/>
      <family val="2"/>
    </font>
    <font>
      <sz val="10"/>
      <color theme="0"/>
      <name val="Gill Sans MT"/>
      <family val="2"/>
    </font>
    <font>
      <sz val="10"/>
      <color theme="0"/>
      <name val="Arial"/>
      <family val="2"/>
    </font>
    <font>
      <sz val="9"/>
      <color theme="0"/>
      <name val="Arial"/>
      <family val="2"/>
    </font>
    <font>
      <sz val="8"/>
      <color indexed="12"/>
      <name val="Palatino"/>
      <family val="1"/>
    </font>
    <font>
      <sz val="10"/>
      <name val="Gill Sans MT"/>
      <family val="2"/>
    </font>
    <font>
      <sz val="7"/>
      <name val="Arial"/>
      <family val="2"/>
    </font>
    <font>
      <sz val="10"/>
      <color indexed="56"/>
      <name val="Arial"/>
      <family val="2"/>
    </font>
    <font>
      <sz val="8"/>
      <name val="Calibri"/>
      <family val="2"/>
      <scheme val="minor"/>
    </font>
    <font>
      <sz val="11"/>
      <color indexed="20"/>
      <name val="Calibri"/>
      <family val="2"/>
    </font>
    <font>
      <sz val="12"/>
      <color indexed="20"/>
      <name val="Arial"/>
      <family val="2"/>
    </font>
    <font>
      <sz val="10"/>
      <color indexed="63"/>
      <name val="Gill Sans MT"/>
      <family val="2"/>
    </font>
    <font>
      <sz val="10"/>
      <color rgb="FF9C0006"/>
      <name val="Arial"/>
      <family val="2"/>
    </font>
    <font>
      <sz val="9"/>
      <color rgb="FF9C0006"/>
      <name val="Arial"/>
      <family val="2"/>
    </font>
    <font>
      <sz val="12"/>
      <name val="Abadi MT Condensed"/>
    </font>
    <font>
      <u/>
      <sz val="10"/>
      <color indexed="20"/>
      <name val="Arial"/>
      <family val="2"/>
    </font>
    <font>
      <sz val="8"/>
      <color indexed="18"/>
      <name val="Helv"/>
    </font>
    <font>
      <b/>
      <sz val="9"/>
      <name val="Times New Roman"/>
      <family val="1"/>
    </font>
    <font>
      <b/>
      <sz val="10"/>
      <name val="MS Sans Serif"/>
      <family val="2"/>
    </font>
    <font>
      <b/>
      <sz val="8"/>
      <color indexed="24"/>
      <name val="Arial"/>
      <family val="2"/>
    </font>
    <font>
      <b/>
      <sz val="9"/>
      <color indexed="24"/>
      <name val="Arial"/>
      <family val="2"/>
    </font>
    <font>
      <b/>
      <sz val="11"/>
      <color indexed="24"/>
      <name val="Arial"/>
      <family val="2"/>
    </font>
    <font>
      <b/>
      <sz val="11"/>
      <color indexed="28"/>
      <name val="Calibri"/>
      <family val="2"/>
    </font>
    <font>
      <b/>
      <sz val="11"/>
      <color indexed="52"/>
      <name val="Calibri"/>
      <family val="2"/>
    </font>
    <font>
      <b/>
      <sz val="12"/>
      <color indexed="52"/>
      <name val="Arial"/>
      <family val="2"/>
    </font>
    <font>
      <b/>
      <sz val="11"/>
      <color indexed="29"/>
      <name val="Calibri"/>
      <family val="2"/>
    </font>
    <font>
      <b/>
      <sz val="10"/>
      <color rgb="FFFA7D00"/>
      <name val="Gill Sans MT"/>
      <family val="2"/>
    </font>
    <font>
      <b/>
      <sz val="11"/>
      <color indexed="10"/>
      <name val="Calibri"/>
      <family val="2"/>
    </font>
    <font>
      <b/>
      <sz val="10"/>
      <color rgb="FFFA7D00"/>
      <name val="Arial"/>
      <family val="2"/>
    </font>
    <font>
      <b/>
      <sz val="9"/>
      <color rgb="FFFA7D00"/>
      <name val="Arial"/>
      <family val="2"/>
    </font>
    <font>
      <sz val="8"/>
      <name val="Tahoma"/>
      <family val="2"/>
    </font>
    <font>
      <sz val="11"/>
      <color indexed="28"/>
      <name val="Calibri"/>
      <family val="2"/>
    </font>
    <font>
      <b/>
      <sz val="11"/>
      <color indexed="9"/>
      <name val="Calibri"/>
      <family val="2"/>
    </font>
    <font>
      <b/>
      <sz val="12"/>
      <color indexed="9"/>
      <name val="Arial"/>
      <family val="2"/>
    </font>
    <font>
      <b/>
      <sz val="11"/>
      <color theme="0"/>
      <name val="Calibri"/>
      <family val="2"/>
    </font>
    <font>
      <b/>
      <sz val="10"/>
      <color theme="0"/>
      <name val="Gill Sans MT"/>
      <family val="2"/>
    </font>
    <font>
      <b/>
      <sz val="9"/>
      <color theme="0"/>
      <name val="Arial"/>
      <family val="2"/>
    </font>
    <font>
      <b/>
      <sz val="10"/>
      <color indexed="22"/>
      <name val="Tahoma"/>
      <family val="2"/>
    </font>
    <font>
      <b/>
      <i/>
      <sz val="10"/>
      <color theme="0"/>
      <name val="Gill Sans MT"/>
      <family val="2"/>
    </font>
    <font>
      <b/>
      <i/>
      <sz val="10"/>
      <name val="Gill Sans MT"/>
      <family val="2"/>
    </font>
    <font>
      <sz val="11"/>
      <name val="Tms Rmn"/>
    </font>
    <font>
      <sz val="13"/>
      <name val="Tms Rmn"/>
    </font>
    <font>
      <sz val="13"/>
      <name val="Tms Rmn"/>
      <family val="2"/>
    </font>
    <font>
      <b/>
      <i/>
      <sz val="12"/>
      <color indexed="12"/>
      <name val="Arial"/>
      <family val="2"/>
    </font>
    <font>
      <sz val="12"/>
      <name val="Tms Rmn"/>
    </font>
    <font>
      <sz val="12"/>
      <name val="Tms Rmn"/>
      <family val="2"/>
    </font>
    <font>
      <sz val="8"/>
      <name val="Palatino"/>
      <family val="1"/>
    </font>
    <font>
      <sz val="12"/>
      <color theme="1"/>
      <name val="Arial"/>
      <family val="2"/>
    </font>
    <font>
      <sz val="8"/>
      <color theme="1"/>
      <name val="Arial"/>
      <family val="2"/>
    </font>
    <font>
      <sz val="10"/>
      <color indexed="24"/>
      <name val="Arial"/>
      <family val="2"/>
    </font>
    <font>
      <sz val="10"/>
      <name val="BERNHARD"/>
    </font>
    <font>
      <sz val="10"/>
      <name val="Helv"/>
    </font>
    <font>
      <sz val="8"/>
      <name val="BERNHARD"/>
    </font>
    <font>
      <sz val="12"/>
      <color indexed="14"/>
      <name val="Arial"/>
      <family val="2"/>
    </font>
    <font>
      <sz val="10"/>
      <name val="MS Sans Serif"/>
      <family val="2"/>
    </font>
    <font>
      <sz val="8"/>
      <color indexed="16"/>
      <name val="Palatino"/>
      <family val="1"/>
    </font>
    <font>
      <sz val="10"/>
      <color theme="1"/>
      <name val="Calibri"/>
      <family val="1"/>
      <scheme val="minor"/>
    </font>
    <font>
      <sz val="10"/>
      <color theme="1"/>
      <name val="Calibri"/>
      <family val="2"/>
    </font>
    <font>
      <sz val="10"/>
      <color indexed="62"/>
      <name val="Book Antiqua"/>
      <family val="1"/>
    </font>
    <font>
      <sz val="10"/>
      <name val="Tms Rmn"/>
    </font>
    <font>
      <sz val="11"/>
      <name val="??"/>
      <family val="3"/>
      <charset val="129"/>
    </font>
    <font>
      <sz val="10"/>
      <name val="Tahoma"/>
      <family val="2"/>
    </font>
    <font>
      <b/>
      <sz val="11"/>
      <color indexed="55"/>
      <name val="Arial"/>
      <family val="2"/>
    </font>
    <font>
      <sz val="10"/>
      <color indexed="18"/>
      <name val="Arial"/>
      <family val="2"/>
    </font>
    <font>
      <b/>
      <u val="double"/>
      <sz val="9"/>
      <name val="Arial"/>
      <family val="2"/>
    </font>
    <font>
      <sz val="11"/>
      <color rgb="FF002F5F"/>
      <name val="Calibri"/>
      <family val="2"/>
    </font>
    <font>
      <b/>
      <i/>
      <sz val="11"/>
      <color theme="0"/>
      <name val="Calibri"/>
      <family val="2"/>
    </font>
    <font>
      <i/>
      <sz val="28"/>
      <color rgb="FF002F5F"/>
      <name val="Arial"/>
      <family val="2"/>
    </font>
    <font>
      <i/>
      <sz val="14"/>
      <color rgb="FF002F5F"/>
      <name val="Arial"/>
      <family val="2"/>
    </font>
    <font>
      <i/>
      <sz val="28"/>
      <color theme="3"/>
      <name val="Arial"/>
      <family val="2"/>
    </font>
    <font>
      <i/>
      <sz val="11"/>
      <color indexed="23"/>
      <name val="Calibri"/>
      <family val="2"/>
    </font>
    <font>
      <i/>
      <sz val="12"/>
      <color indexed="23"/>
      <name val="Arial"/>
      <family val="2"/>
    </font>
    <font>
      <i/>
      <sz val="10"/>
      <color rgb="FF7F7F7F"/>
      <name val="Gill Sans MT"/>
      <family val="2"/>
    </font>
    <font>
      <i/>
      <sz val="10"/>
      <color rgb="FF7F7F7F"/>
      <name val="Arial"/>
      <family val="2"/>
    </font>
    <font>
      <i/>
      <sz val="9"/>
      <color rgb="FF7F7F7F"/>
      <name val="Arial"/>
      <family val="2"/>
    </font>
    <font>
      <sz val="12"/>
      <name val="Times New Roman"/>
      <family val="1"/>
    </font>
    <font>
      <sz val="9"/>
      <color indexed="12"/>
      <name val="Arial"/>
      <family val="2"/>
    </font>
    <font>
      <b/>
      <sz val="8"/>
      <color indexed="12"/>
      <name val="Arial"/>
      <family val="2"/>
    </font>
    <font>
      <b/>
      <sz val="10"/>
      <color indexed="8"/>
      <name val="Wingdings 2"/>
      <family val="1"/>
    </font>
    <font>
      <b/>
      <sz val="12"/>
      <color indexed="8"/>
      <name val="Arial"/>
      <family val="2"/>
    </font>
    <font>
      <b/>
      <sz val="8"/>
      <name val="Tahoma"/>
      <family val="2"/>
    </font>
    <font>
      <sz val="11"/>
      <color indexed="10"/>
      <name val="Arial"/>
      <family val="2"/>
    </font>
    <font>
      <sz val="9.5"/>
      <color indexed="23"/>
      <name val="Helvetica-Black"/>
    </font>
    <font>
      <sz val="8"/>
      <name val="Times New Roman"/>
      <family val="1"/>
    </font>
    <font>
      <sz val="7"/>
      <name val="Palatino"/>
      <family val="1"/>
    </font>
    <font>
      <i/>
      <sz val="8"/>
      <name val="Times New Roman"/>
      <family val="1"/>
    </font>
    <font>
      <sz val="11"/>
      <color indexed="17"/>
      <name val="Calibri"/>
      <family val="2"/>
    </font>
    <font>
      <sz val="12"/>
      <color indexed="17"/>
      <name val="Arial"/>
      <family val="2"/>
    </font>
    <font>
      <sz val="10"/>
      <color rgb="FF006100"/>
      <name val="Gill Sans MT"/>
      <family val="2"/>
    </font>
    <font>
      <sz val="10"/>
      <color rgb="FF006100"/>
      <name val="Arial"/>
      <family val="2"/>
    </font>
    <font>
      <sz val="9"/>
      <color rgb="FF006100"/>
      <name val="Arial"/>
      <family val="2"/>
    </font>
    <font>
      <b/>
      <i/>
      <sz val="11"/>
      <name val="IQE Hlv Narrow"/>
      <family val="2"/>
    </font>
    <font>
      <i/>
      <sz val="11"/>
      <name val="IQE Hlv Narrow"/>
      <family val="2"/>
    </font>
    <font>
      <sz val="11"/>
      <name val="IQE Hlv Narrow"/>
      <family val="2"/>
    </font>
    <font>
      <b/>
      <sz val="14"/>
      <name val="IQE Hlv Narrow"/>
      <family val="2"/>
    </font>
    <font>
      <b/>
      <sz val="11"/>
      <name val="IQE Hlv Narrow"/>
      <family val="2"/>
    </font>
    <font>
      <sz val="6"/>
      <color indexed="16"/>
      <name val="Palatino"/>
      <family val="1"/>
    </font>
    <font>
      <sz val="6"/>
      <name val="Palatino"/>
      <family val="1"/>
    </font>
    <font>
      <b/>
      <sz val="9"/>
      <color indexed="18"/>
      <name val="Arial"/>
      <family val="2"/>
    </font>
    <font>
      <b/>
      <sz val="9"/>
      <color indexed="8"/>
      <name val="Arial"/>
      <family val="2"/>
    </font>
    <font>
      <b/>
      <sz val="15"/>
      <color indexed="56"/>
      <name val="Calibri"/>
      <family val="2"/>
    </font>
    <font>
      <b/>
      <sz val="15"/>
      <color theme="3"/>
      <name val="Arial"/>
      <family val="2"/>
    </font>
    <font>
      <b/>
      <sz val="15"/>
      <color indexed="56"/>
      <name val="Arial"/>
      <family val="2"/>
    </font>
    <font>
      <b/>
      <sz val="15"/>
      <name val="Arial"/>
      <family val="2"/>
    </font>
    <font>
      <b/>
      <sz val="12"/>
      <color indexed="12"/>
      <name val="Arial"/>
      <family val="2"/>
    </font>
    <font>
      <b/>
      <sz val="15"/>
      <color indexed="62"/>
      <name val="Gill Sans MT"/>
      <family val="2"/>
    </font>
    <font>
      <sz val="10"/>
      <name val="Helvetica-Black"/>
    </font>
    <font>
      <b/>
      <sz val="10"/>
      <name val="Calibri Light"/>
      <family val="2"/>
      <scheme val="major"/>
    </font>
    <font>
      <b/>
      <i/>
      <sz val="13"/>
      <color indexed="9"/>
      <name val="IQE Garamond I Cd"/>
      <family val="2"/>
    </font>
    <font>
      <b/>
      <sz val="13"/>
      <color indexed="56"/>
      <name val="Calibri"/>
      <family val="2"/>
    </font>
    <font>
      <b/>
      <sz val="13"/>
      <color theme="3"/>
      <name val="Arial"/>
      <family val="2"/>
    </font>
    <font>
      <b/>
      <sz val="13"/>
      <color indexed="56"/>
      <name val="Arial"/>
      <family val="2"/>
    </font>
    <font>
      <sz val="11"/>
      <color indexed="8"/>
      <name val="Arial"/>
      <family val="2"/>
    </font>
    <font>
      <b/>
      <sz val="13"/>
      <color indexed="62"/>
      <name val="Gill Sans MT"/>
      <family val="2"/>
    </font>
    <font>
      <sz val="10"/>
      <name val="Palatino"/>
    </font>
    <font>
      <b/>
      <sz val="9"/>
      <name val="Calibri Light"/>
      <family val="2"/>
      <scheme val="major"/>
    </font>
    <font>
      <b/>
      <sz val="11"/>
      <color indexed="56"/>
      <name val="Calibri"/>
      <family val="2"/>
    </font>
    <font>
      <b/>
      <sz val="11"/>
      <color theme="3"/>
      <name val="Arial"/>
      <family val="2"/>
    </font>
    <font>
      <b/>
      <sz val="11"/>
      <color indexed="56"/>
      <name val="Arial"/>
      <family val="2"/>
    </font>
    <font>
      <b/>
      <i/>
      <sz val="12"/>
      <name val="Arial"/>
      <family val="2"/>
    </font>
    <font>
      <b/>
      <sz val="11"/>
      <color indexed="62"/>
      <name val="Gill Sans MT"/>
      <family val="2"/>
    </font>
    <font>
      <b/>
      <sz val="8"/>
      <name val="Calibri Light"/>
      <family val="2"/>
      <scheme val="major"/>
    </font>
    <font>
      <i/>
      <sz val="14"/>
      <name val="Palatino"/>
      <family val="1"/>
    </font>
    <font>
      <b/>
      <sz val="11"/>
      <color indexed="48"/>
      <name val="Calibri"/>
      <family val="2"/>
    </font>
    <font>
      <sz val="8"/>
      <name val="Calibri Light"/>
      <family val="2"/>
      <scheme val="major"/>
    </font>
    <font>
      <b/>
      <sz val="18"/>
      <name val="Arial"/>
      <family val="2"/>
    </font>
    <font>
      <b/>
      <sz val="12"/>
      <name val="Times New Roman"/>
      <family val="1"/>
    </font>
    <font>
      <u/>
      <sz val="9"/>
      <color indexed="12"/>
      <name val="Geneva"/>
    </font>
    <font>
      <u/>
      <sz val="12"/>
      <color indexed="12"/>
      <name val="Arial"/>
      <family val="2"/>
    </font>
    <font>
      <u/>
      <sz val="12"/>
      <color theme="10"/>
      <name val="Arial"/>
      <family val="2"/>
    </font>
    <font>
      <u/>
      <sz val="11"/>
      <color indexed="12"/>
      <name val="Calibri"/>
      <family val="2"/>
    </font>
    <font>
      <i/>
      <u/>
      <sz val="9"/>
      <color indexed="12"/>
      <name val="Arial"/>
      <family val="2"/>
    </font>
    <font>
      <u/>
      <sz val="11"/>
      <color theme="10"/>
      <name val="Calibri"/>
      <family val="2"/>
    </font>
    <font>
      <u/>
      <sz val="7.5"/>
      <color indexed="12"/>
      <name val="Courier"/>
      <family val="3"/>
    </font>
    <font>
      <u/>
      <sz val="11"/>
      <color theme="10"/>
      <name val="Calibri"/>
      <family val="2"/>
      <scheme val="minor"/>
    </font>
    <font>
      <u/>
      <sz val="7.5"/>
      <color indexed="12"/>
      <name val="Arial"/>
      <family val="2"/>
    </font>
    <font>
      <u/>
      <sz val="8.5"/>
      <color indexed="12"/>
      <name val="Arial"/>
      <family val="2"/>
    </font>
    <font>
      <b/>
      <sz val="10"/>
      <color indexed="56"/>
      <name val="Wingdings"/>
      <charset val="2"/>
    </font>
    <font>
      <b/>
      <u/>
      <sz val="8"/>
      <color indexed="56"/>
      <name val="Calibri"/>
      <family val="2"/>
      <scheme val="minor"/>
    </font>
    <font>
      <sz val="11"/>
      <color indexed="62"/>
      <name val="Calibri"/>
      <family val="2"/>
    </font>
    <font>
      <sz val="12"/>
      <color indexed="62"/>
      <name val="Arial"/>
      <family val="2"/>
    </font>
    <font>
      <sz val="11"/>
      <color indexed="48"/>
      <name val="Calibri"/>
      <family val="2"/>
    </font>
    <font>
      <sz val="10"/>
      <color rgb="FF3F3F76"/>
      <name val="Gill Sans MT"/>
      <family val="2"/>
    </font>
    <font>
      <sz val="10"/>
      <color rgb="FF3F3F76"/>
      <name val="Arial"/>
      <family val="2"/>
    </font>
    <font>
      <sz val="9"/>
      <color rgb="FF3F3F76"/>
      <name val="Arial"/>
      <family val="2"/>
    </font>
    <font>
      <sz val="9"/>
      <name val="Arial MT"/>
    </font>
    <font>
      <i/>
      <sz val="8"/>
      <color indexed="18"/>
      <name val="Arial"/>
      <family val="2"/>
    </font>
    <font>
      <sz val="9"/>
      <color indexed="20"/>
      <name val="Arial MT"/>
    </font>
    <font>
      <sz val="9"/>
      <color indexed="20"/>
      <name val="Arial MT"/>
      <family val="2"/>
    </font>
    <font>
      <sz val="11"/>
      <color indexed="52"/>
      <name val="Calibri"/>
      <family val="2"/>
    </font>
    <font>
      <sz val="12"/>
      <color indexed="52"/>
      <name val="Arial"/>
      <family val="2"/>
    </font>
    <font>
      <sz val="11"/>
      <color indexed="10"/>
      <name val="Calibri"/>
      <family val="2"/>
    </font>
    <font>
      <sz val="10"/>
      <color rgb="FFFA7D00"/>
      <name val="Gill Sans MT"/>
      <family val="2"/>
    </font>
    <font>
      <sz val="10"/>
      <color rgb="FFFA7D00"/>
      <name val="Arial"/>
      <family val="2"/>
    </font>
    <font>
      <sz val="9"/>
      <color rgb="FFFA7D00"/>
      <name val="Arial"/>
      <family val="2"/>
    </font>
    <font>
      <i/>
      <sz val="10"/>
      <color theme="0"/>
      <name val="Gill Sans MT"/>
      <family val="2"/>
    </font>
    <font>
      <i/>
      <sz val="10"/>
      <color indexed="40"/>
      <name val="Arial"/>
      <family val="2"/>
    </font>
    <font>
      <b/>
      <sz val="12"/>
      <name val="Calibri Light"/>
      <family val="2"/>
      <scheme val="major"/>
    </font>
    <font>
      <b/>
      <u val="singleAccounting"/>
      <sz val="9"/>
      <color indexed="9"/>
      <name val="Arial"/>
      <family val="2"/>
    </font>
    <font>
      <sz val="11"/>
      <color indexed="60"/>
      <name val="Calibri"/>
      <family val="2"/>
    </font>
    <font>
      <sz val="12"/>
      <color indexed="60"/>
      <name val="Arial"/>
      <family val="2"/>
    </font>
    <font>
      <sz val="11"/>
      <color indexed="19"/>
      <name val="Calibri"/>
      <family val="2"/>
    </font>
    <font>
      <sz val="10"/>
      <color rgb="FF9C6500"/>
      <name val="Gill Sans MT"/>
      <family val="2"/>
    </font>
    <font>
      <sz val="10"/>
      <color rgb="FF9C6500"/>
      <name val="Arial"/>
      <family val="2"/>
    </font>
    <font>
      <sz val="9"/>
      <color rgb="FF9C6500"/>
      <name val="Arial"/>
      <family val="2"/>
    </font>
    <font>
      <sz val="7"/>
      <name val="Small Fonts"/>
      <family val="2"/>
    </font>
    <font>
      <sz val="12"/>
      <color indexed="10"/>
      <name val="Arial"/>
      <family val="2"/>
    </font>
    <font>
      <sz val="10"/>
      <name val="Tms Rmn"/>
      <family val="2"/>
    </font>
    <font>
      <sz val="12"/>
      <name val="Helv"/>
    </font>
    <font>
      <b/>
      <i/>
      <sz val="16"/>
      <name val="Helv"/>
    </font>
    <font>
      <sz val="11"/>
      <color indexed="8"/>
      <name val="宋体"/>
      <charset val="134"/>
    </font>
    <font>
      <sz val="11"/>
      <color theme="1"/>
      <name val="Arial"/>
      <family val="2"/>
    </font>
    <font>
      <sz val="8"/>
      <name val="Helvetica"/>
      <family val="2"/>
    </font>
    <font>
      <sz val="10"/>
      <color indexed="8"/>
      <name val="Gill Sans MT"/>
      <family val="2"/>
    </font>
    <font>
      <sz val="8"/>
      <name val="Number"/>
    </font>
    <font>
      <sz val="8"/>
      <name val="Calibri"/>
      <family val="1"/>
      <scheme val="minor"/>
    </font>
    <font>
      <sz val="9"/>
      <name val="Geneva"/>
    </font>
    <font>
      <sz val="9"/>
      <name val="Geneva"/>
      <family val="2"/>
    </font>
    <font>
      <b/>
      <sz val="11"/>
      <color indexed="63"/>
      <name val="Calibri"/>
      <family val="2"/>
    </font>
    <font>
      <b/>
      <sz val="12"/>
      <color indexed="63"/>
      <name val="Arial"/>
      <family val="2"/>
    </font>
    <font>
      <b/>
      <sz val="10"/>
      <color indexed="8"/>
      <name val="Gill Sans MT"/>
      <family val="2"/>
    </font>
    <font>
      <b/>
      <sz val="10"/>
      <color rgb="FF3F3F3F"/>
      <name val="Arial"/>
      <family val="2"/>
    </font>
    <font>
      <b/>
      <sz val="9"/>
      <color rgb="FF3F3F3F"/>
      <name val="Arial"/>
      <family val="2"/>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sz val="10"/>
      <color indexed="16"/>
      <name val="Helvetica-Black"/>
    </font>
    <font>
      <sz val="10"/>
      <name val="Helvetica"/>
    </font>
    <font>
      <sz val="1"/>
      <color indexed="8"/>
      <name val="Courier"/>
      <family val="3"/>
    </font>
    <font>
      <b/>
      <sz val="6"/>
      <name val="Frutiger sc65 bold"/>
      <family val="2"/>
    </font>
    <font>
      <b/>
      <sz val="8"/>
      <name val="Frutiger sc65 bold"/>
      <family val="2"/>
    </font>
    <font>
      <sz val="8"/>
      <color indexed="52"/>
      <name val="Arial"/>
      <family val="2"/>
    </font>
    <font>
      <sz val="8"/>
      <color indexed="51"/>
      <name val="Arial"/>
      <family val="2"/>
    </font>
    <font>
      <b/>
      <sz val="10"/>
      <color indexed="58"/>
      <name val="Arial"/>
      <family val="2"/>
    </font>
    <font>
      <sz val="10"/>
      <color indexed="62"/>
      <name val="Arial"/>
      <family val="2"/>
    </font>
    <font>
      <sz val="10"/>
      <color indexed="39"/>
      <name val="Arial"/>
      <family val="2"/>
    </font>
    <font>
      <b/>
      <sz val="16"/>
      <color indexed="23"/>
      <name val="Arial"/>
      <family val="2"/>
    </font>
    <font>
      <b/>
      <sz val="18"/>
      <color theme="1"/>
      <name val="Calibri Light"/>
      <family val="2"/>
      <scheme val="major"/>
    </font>
    <font>
      <b/>
      <sz val="14"/>
      <name val="Calibri Light"/>
      <family val="2"/>
      <scheme val="major"/>
    </font>
    <font>
      <u/>
      <sz val="9"/>
      <name val="Arial"/>
      <family val="2"/>
    </font>
    <font>
      <i/>
      <sz val="12"/>
      <name val="Times New Roman"/>
      <family val="1"/>
    </font>
    <font>
      <sz val="8"/>
      <name val="Helv"/>
    </font>
    <font>
      <sz val="10"/>
      <name val="Frutiger sc75 Black"/>
      <family val="2"/>
    </font>
    <font>
      <sz val="8"/>
      <color indexed="9"/>
      <name val="Arial"/>
      <family val="2"/>
    </font>
    <font>
      <b/>
      <sz val="10"/>
      <name val="Tahoma"/>
      <family val="2"/>
    </font>
    <font>
      <b/>
      <sz val="10"/>
      <color indexed="9"/>
      <name val="Verdana"/>
      <family val="2"/>
    </font>
    <font>
      <sz val="10"/>
      <color indexed="8"/>
      <name val="Verdana"/>
      <family val="2"/>
    </font>
    <font>
      <b/>
      <sz val="12"/>
      <color theme="4" tint="-0.499984740745262"/>
      <name val="Calibri"/>
      <family val="1"/>
      <scheme val="minor"/>
    </font>
    <font>
      <sz val="9"/>
      <name val="SwitzerlandNarrow"/>
      <family val="2"/>
    </font>
    <font>
      <sz val="9"/>
      <color indexed="12"/>
      <name val="SwitzerlandNarrow"/>
      <family val="2"/>
    </font>
    <font>
      <i/>
      <sz val="7"/>
      <name val="Arial"/>
      <family val="2"/>
    </font>
    <font>
      <b/>
      <sz val="10"/>
      <color indexed="9"/>
      <name val="Frutiger sc75 Black"/>
      <family val="2"/>
    </font>
    <font>
      <b/>
      <sz val="9"/>
      <name val="Palatino"/>
      <family val="1"/>
    </font>
    <font>
      <sz val="9"/>
      <color indexed="21"/>
      <name val="Helvetica-Black"/>
    </font>
    <font>
      <b/>
      <sz val="10"/>
      <name val="Palatino"/>
      <family val="1"/>
    </font>
    <font>
      <b/>
      <sz val="9"/>
      <color theme="1"/>
      <name val="Calibri Light"/>
      <family val="1"/>
      <scheme val="major"/>
    </font>
    <font>
      <i/>
      <sz val="8"/>
      <color indexed="12"/>
      <name val="Arial"/>
      <family val="2"/>
    </font>
    <font>
      <sz val="9"/>
      <name val="Frutiger SC45 Light"/>
      <family val="2"/>
    </font>
    <font>
      <sz val="9"/>
      <color indexed="10"/>
      <name val="Frutiger SC45 Light"/>
      <family val="2"/>
    </font>
    <font>
      <b/>
      <sz val="9"/>
      <name val="Frutiger sc65 bold"/>
      <family val="2"/>
    </font>
    <font>
      <sz val="9"/>
      <color indexed="8"/>
      <name val="Frutiger SC45 Light"/>
      <family val="2"/>
    </font>
    <font>
      <sz val="9"/>
      <name val="Frutiger sc65 bold"/>
      <family val="2"/>
    </font>
    <font>
      <i/>
      <sz val="8"/>
      <name val="Arial"/>
      <family val="2"/>
    </font>
    <font>
      <sz val="11"/>
      <color indexed="16"/>
      <name val="Calibri"/>
      <family val="2"/>
    </font>
    <font>
      <i/>
      <sz val="11"/>
      <color indexed="38"/>
      <name val="Calibri"/>
      <family val="2"/>
    </font>
    <font>
      <i/>
      <sz val="8"/>
      <name val="Tms Rmn"/>
    </font>
    <font>
      <sz val="12"/>
      <name val="Palatino"/>
      <family val="1"/>
    </font>
    <font>
      <b/>
      <sz val="8"/>
      <color indexed="10"/>
      <name val="Arial"/>
      <family val="2"/>
    </font>
    <font>
      <b/>
      <sz val="11"/>
      <name val="Times New Roman"/>
      <family val="1"/>
    </font>
    <font>
      <b/>
      <sz val="12"/>
      <color indexed="20"/>
      <name val="Arial"/>
      <family val="2"/>
    </font>
    <font>
      <b/>
      <sz val="18"/>
      <color indexed="56"/>
      <name val="Cambria"/>
      <family val="1"/>
    </font>
    <font>
      <b/>
      <sz val="18"/>
      <color indexed="56"/>
      <name val="Cambria"/>
      <family val="2"/>
    </font>
    <font>
      <b/>
      <sz val="18"/>
      <color indexed="48"/>
      <name val="Cambria"/>
      <family val="2"/>
    </font>
    <font>
      <b/>
      <sz val="18"/>
      <color indexed="62"/>
      <name val="Cambria"/>
      <family val="1"/>
    </font>
    <font>
      <b/>
      <sz val="18"/>
      <color theme="3"/>
      <name val="Calibri Light"/>
      <family val="1"/>
      <scheme val="major"/>
    </font>
    <font>
      <b/>
      <sz val="14"/>
      <name val="Helv"/>
    </font>
    <font>
      <b/>
      <sz val="12"/>
      <name val="Helv"/>
    </font>
    <font>
      <b/>
      <sz val="18"/>
      <color indexed="62"/>
      <name val="Cambria"/>
      <family val="2"/>
    </font>
    <font>
      <b/>
      <sz val="15"/>
      <color indexed="62"/>
      <name val="Calibri"/>
      <family val="2"/>
    </font>
    <font>
      <b/>
      <sz val="13"/>
      <color indexed="62"/>
      <name val="Calibri"/>
      <family val="2"/>
    </font>
    <font>
      <b/>
      <sz val="11"/>
      <color indexed="62"/>
      <name val="Calibri"/>
      <family val="2"/>
    </font>
    <font>
      <b/>
      <sz val="8"/>
      <name val="Tms Rmn"/>
    </font>
    <font>
      <sz val="11"/>
      <name val="Calibri"/>
      <family val="2"/>
      <scheme val="minor"/>
    </font>
    <font>
      <b/>
      <sz val="11"/>
      <color indexed="8"/>
      <name val="Calibri"/>
      <family val="2"/>
    </font>
    <font>
      <b/>
      <sz val="10"/>
      <color theme="1"/>
      <name val="Gill Sans MT"/>
      <family val="2"/>
    </font>
    <font>
      <b/>
      <sz val="9"/>
      <color theme="1"/>
      <name val="Arial"/>
      <family val="2"/>
    </font>
    <font>
      <b/>
      <sz val="8"/>
      <name val="Palatino"/>
      <family val="1"/>
    </font>
    <font>
      <sz val="11"/>
      <color indexed="59"/>
      <name val="Calibri"/>
      <family val="2"/>
    </font>
    <font>
      <sz val="11"/>
      <color rgb="FFFF0000"/>
      <name val="Calibri"/>
      <family val="2"/>
    </font>
    <font>
      <sz val="10"/>
      <color rgb="FFFF0000"/>
      <name val="Gill Sans MT"/>
      <family val="2"/>
    </font>
    <font>
      <sz val="9"/>
      <color rgb="FFFF0000"/>
      <name val="Arial"/>
      <family val="2"/>
    </font>
    <font>
      <sz val="12"/>
      <name val="宋体"/>
      <charset val="134"/>
    </font>
    <font>
      <sz val="10"/>
      <color rgb="FF0070C0"/>
      <name val="Arial"/>
      <family val="2"/>
    </font>
  </fonts>
  <fills count="169">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9"/>
        <bgColor indexed="64"/>
      </patternFill>
    </fill>
    <fill>
      <patternFill patternType="solid">
        <fgColor indexed="10"/>
        <bgColor indexed="64"/>
      </patternFill>
    </fill>
    <fill>
      <patternFill patternType="solid">
        <fgColor indexed="45"/>
        <bgColor indexed="64"/>
      </patternFill>
    </fill>
    <fill>
      <patternFill patternType="solid">
        <fgColor indexed="22"/>
        <bgColor indexed="64"/>
      </patternFill>
    </fill>
    <fill>
      <patternFill patternType="gray0625"/>
    </fill>
    <fill>
      <patternFill patternType="solid">
        <fgColor indexed="65"/>
        <bgColor indexed="64"/>
      </patternFill>
    </fill>
    <fill>
      <patternFill patternType="solid">
        <fgColor indexed="12"/>
        <bgColor indexed="64"/>
      </patternFill>
    </fill>
    <fill>
      <patternFill patternType="lightGray"/>
    </fill>
    <fill>
      <patternFill patternType="solid">
        <fgColor indexed="9"/>
        <bgColor indexed="9"/>
      </patternFill>
    </fill>
    <fill>
      <patternFill patternType="solid">
        <fgColor indexed="5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indexed="31"/>
        <bgColor indexed="64"/>
      </patternFill>
    </fill>
    <fill>
      <patternFill patternType="solid">
        <fgColor indexed="31"/>
      </patternFill>
    </fill>
    <fill>
      <patternFill patternType="solid">
        <fgColor theme="4" tint="0.79985961485641044"/>
        <bgColor indexed="64"/>
      </patternFill>
    </fill>
    <fill>
      <patternFill patternType="solid">
        <fgColor indexed="26"/>
      </patternFill>
    </fill>
    <fill>
      <patternFill patternType="solid">
        <fgColor indexed="44"/>
      </patternFill>
    </fill>
    <fill>
      <patternFill patternType="solid">
        <fgColor indexed="45"/>
      </patternFill>
    </fill>
    <fill>
      <patternFill patternType="solid">
        <fgColor theme="5" tint="0.79985961485641044"/>
        <bgColor indexed="64"/>
      </patternFill>
    </fill>
    <fill>
      <patternFill patternType="solid">
        <fgColor indexed="53"/>
      </patternFill>
    </fill>
    <fill>
      <patternFill patternType="solid">
        <fgColor indexed="29"/>
      </patternFill>
    </fill>
    <fill>
      <patternFill patternType="solid">
        <fgColor indexed="47"/>
        <bgColor indexed="64"/>
      </patternFill>
    </fill>
    <fill>
      <patternFill patternType="solid">
        <fgColor indexed="42"/>
      </patternFill>
    </fill>
    <fill>
      <patternFill patternType="solid">
        <fgColor theme="6" tint="0.79985961485641044"/>
        <bgColor indexed="64"/>
      </patternFill>
    </fill>
    <fill>
      <patternFill patternType="solid">
        <fgColor indexed="22"/>
      </patternFill>
    </fill>
    <fill>
      <patternFill patternType="solid">
        <fgColor indexed="26"/>
        <bgColor indexed="64"/>
      </patternFill>
    </fill>
    <fill>
      <patternFill patternType="solid">
        <fgColor indexed="46"/>
        <bgColor indexed="64"/>
      </patternFill>
    </fill>
    <fill>
      <patternFill patternType="solid">
        <fgColor indexed="46"/>
      </patternFill>
    </fill>
    <fill>
      <patternFill patternType="solid">
        <fgColor theme="7" tint="0.79985961485641044"/>
        <bgColor indexed="64"/>
      </patternFill>
    </fill>
    <fill>
      <patternFill patternType="solid">
        <fgColor indexed="23"/>
      </patternFill>
    </fill>
    <fill>
      <patternFill patternType="solid">
        <fgColor indexed="47"/>
      </patternFill>
    </fill>
    <fill>
      <patternFill patternType="solid">
        <fgColor indexed="27"/>
        <bgColor indexed="64"/>
      </patternFill>
    </fill>
    <fill>
      <patternFill patternType="solid">
        <fgColor indexed="27"/>
      </patternFill>
    </fill>
    <fill>
      <patternFill patternType="solid">
        <fgColor theme="8" tint="0.79985961485641044"/>
        <bgColor indexed="64"/>
      </patternFill>
    </fill>
    <fill>
      <patternFill patternType="solid">
        <fgColor indexed="15"/>
      </patternFill>
    </fill>
    <fill>
      <patternFill patternType="solid">
        <fgColor theme="9" tint="0.79985961485641044"/>
        <bgColor indexed="64"/>
      </patternFill>
    </fill>
    <fill>
      <patternFill patternType="solid">
        <fgColor indexed="43"/>
      </patternFill>
    </fill>
    <fill>
      <patternFill patternType="solid">
        <fgColor indexed="41"/>
      </patternFill>
    </fill>
    <fill>
      <patternFill patternType="solid">
        <fgColor indexed="41"/>
        <bgColor indexed="64"/>
      </patternFill>
    </fill>
    <fill>
      <patternFill patternType="solid">
        <fgColor indexed="44"/>
        <bgColor indexed="64"/>
      </patternFill>
    </fill>
    <fill>
      <patternFill patternType="solid">
        <fgColor theme="4" tint="0.59974974822229687"/>
        <bgColor indexed="64"/>
      </patternFill>
    </fill>
    <fill>
      <patternFill patternType="solid">
        <fgColor indexed="29"/>
        <bgColor indexed="64"/>
      </patternFill>
    </fill>
    <fill>
      <patternFill patternType="solid">
        <fgColor theme="5" tint="0.59974974822229687"/>
        <bgColor indexed="64"/>
      </patternFill>
    </fill>
    <fill>
      <patternFill patternType="solid">
        <fgColor indexed="11"/>
        <bgColor indexed="64"/>
      </patternFill>
    </fill>
    <fill>
      <patternFill patternType="solid">
        <fgColor indexed="11"/>
      </patternFill>
    </fill>
    <fill>
      <patternFill patternType="solid">
        <fgColor theme="6" tint="0.59974974822229687"/>
        <bgColor indexed="64"/>
      </patternFill>
    </fill>
    <fill>
      <patternFill patternType="solid">
        <fgColor indexed="43"/>
        <bgColor indexed="64"/>
      </patternFill>
    </fill>
    <fill>
      <patternFill patternType="solid">
        <fgColor theme="7" tint="0.59974974822229687"/>
        <bgColor indexed="64"/>
      </patternFill>
    </fill>
    <fill>
      <patternFill patternType="solid">
        <fgColor theme="8" tint="0.59974974822229687"/>
        <bgColor indexed="64"/>
      </patternFill>
    </fill>
    <fill>
      <patternFill patternType="solid">
        <fgColor indexed="51"/>
        <bgColor indexed="64"/>
      </patternFill>
    </fill>
    <fill>
      <patternFill patternType="solid">
        <fgColor indexed="51"/>
      </patternFill>
    </fill>
    <fill>
      <patternFill patternType="solid">
        <fgColor theme="9" tint="0.59974974822229687"/>
        <bgColor indexed="64"/>
      </patternFill>
    </fill>
    <fill>
      <patternFill patternType="solid">
        <fgColor indexed="15"/>
        <bgColor indexed="64"/>
      </patternFill>
    </fill>
    <fill>
      <patternFill patternType="solid">
        <fgColor indexed="30"/>
        <bgColor indexed="64"/>
      </patternFill>
    </fill>
    <fill>
      <patternFill patternType="solid">
        <fgColor indexed="30"/>
      </patternFill>
    </fill>
    <fill>
      <patternFill patternType="solid">
        <fgColor theme="4" tint="0.39997558519241921"/>
        <bgColor indexed="64"/>
      </patternFill>
    </fill>
    <fill>
      <patternFill patternType="solid">
        <fgColor indexed="49"/>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indexed="36"/>
        <bgColor indexed="64"/>
      </patternFill>
    </fill>
    <fill>
      <patternFill patternType="solid">
        <fgColor indexed="36"/>
      </patternFill>
    </fill>
    <fill>
      <patternFill patternType="solid">
        <fgColor theme="7" tint="0.39997558519241921"/>
        <bgColor indexed="64"/>
      </patternFill>
    </fill>
    <fill>
      <patternFill patternType="solid">
        <fgColor indexed="20"/>
        <bgColor indexed="64"/>
      </patternFill>
    </fill>
    <fill>
      <patternFill patternType="solid">
        <fgColor indexed="49"/>
      </patternFill>
    </fill>
    <fill>
      <patternFill patternType="solid">
        <fgColor theme="8" tint="0.39997558519241921"/>
        <bgColor indexed="64"/>
      </patternFill>
    </fill>
    <fill>
      <patternFill patternType="solid">
        <fgColor indexed="52"/>
        <bgColor indexed="64"/>
      </patternFill>
    </fill>
    <fill>
      <patternFill patternType="solid">
        <fgColor indexed="52"/>
      </patternFill>
    </fill>
    <fill>
      <patternFill patternType="solid">
        <fgColor theme="9" tint="0.39997558519241921"/>
        <bgColor indexed="64"/>
      </patternFill>
    </fill>
    <fill>
      <patternFill patternType="solid">
        <fgColor indexed="25"/>
      </patternFill>
    </fill>
    <fill>
      <patternFill patternType="solid">
        <fgColor indexed="25"/>
        <bgColor indexed="64"/>
      </patternFill>
    </fill>
    <fill>
      <patternFill patternType="solid">
        <fgColor indexed="10"/>
      </patternFill>
    </fill>
    <fill>
      <patternFill patternType="solid">
        <fgColor indexed="62"/>
        <bgColor indexed="64"/>
      </patternFill>
    </fill>
    <fill>
      <patternFill patternType="solid">
        <fgColor indexed="62"/>
      </patternFill>
    </fill>
    <fill>
      <patternFill patternType="solid">
        <fgColor theme="4"/>
        <bgColor indexed="64"/>
      </patternFill>
    </fill>
    <fill>
      <patternFill patternType="solid">
        <fgColor indexed="48"/>
      </patternFill>
    </fill>
    <fill>
      <patternFill patternType="solid">
        <fgColor indexed="56"/>
      </patternFill>
    </fill>
    <fill>
      <patternFill patternType="solid">
        <fgColor theme="5"/>
        <bgColor indexed="64"/>
      </patternFill>
    </fill>
    <fill>
      <patternFill patternType="solid">
        <fgColor indexed="57"/>
        <bgColor indexed="64"/>
      </patternFill>
    </fill>
    <fill>
      <patternFill patternType="solid">
        <fgColor indexed="57"/>
      </patternFill>
    </fill>
    <fill>
      <patternFill patternType="solid">
        <fgColor theme="6"/>
        <bgColor indexed="64"/>
      </patternFill>
    </fill>
    <fill>
      <patternFill patternType="solid">
        <fgColor theme="7"/>
        <bgColor indexed="64"/>
      </patternFill>
    </fill>
    <fill>
      <patternFill patternType="solid">
        <fgColor indexed="54"/>
      </patternFill>
    </fill>
    <fill>
      <patternFill patternType="solid">
        <fgColor indexed="54"/>
        <bgColor indexed="64"/>
      </patternFill>
    </fill>
    <fill>
      <patternFill patternType="solid">
        <fgColor theme="8"/>
        <bgColor indexed="64"/>
      </patternFill>
    </fill>
    <fill>
      <patternFill patternType="solid">
        <fgColor indexed="28"/>
      </patternFill>
    </fill>
    <fill>
      <patternFill patternType="solid">
        <fgColor indexed="53"/>
        <bgColor indexed="64"/>
      </patternFill>
    </fill>
    <fill>
      <patternFill patternType="solid">
        <fgColor theme="9"/>
        <bgColor indexed="64"/>
      </patternFill>
    </fill>
    <fill>
      <patternFill patternType="solid">
        <fgColor theme="9" tint="0.59996337778862885"/>
        <bgColor indexed="64"/>
      </patternFill>
    </fill>
    <fill>
      <patternFill patternType="solid">
        <fgColor indexed="18"/>
        <bgColor indexed="64"/>
      </patternFill>
    </fill>
    <fill>
      <patternFill patternType="solid">
        <fgColor rgb="FFFFC7CE"/>
        <bgColor indexed="64"/>
      </patternFill>
    </fill>
    <fill>
      <patternFill patternType="solid">
        <fgColor indexed="9"/>
      </patternFill>
    </fill>
    <fill>
      <patternFill patternType="solid">
        <fgColor rgb="FFF2F2F2"/>
        <bgColor indexed="64"/>
      </patternFill>
    </fill>
    <fill>
      <patternFill patternType="solid">
        <fgColor indexed="55"/>
      </patternFill>
    </fill>
    <fill>
      <patternFill patternType="solid">
        <fgColor rgb="FFA5A5A5"/>
        <bgColor indexed="64"/>
      </patternFill>
    </fill>
    <fill>
      <patternFill patternType="solid">
        <fgColor theme="1"/>
        <bgColor indexed="64"/>
      </patternFill>
    </fill>
    <fill>
      <patternFill patternType="solid">
        <fgColor indexed="14"/>
      </patternFill>
    </fill>
    <fill>
      <patternFill patternType="solid">
        <fgColor indexed="14"/>
        <bgColor indexed="64"/>
      </patternFill>
    </fill>
    <fill>
      <patternFill patternType="solid">
        <fgColor indexed="38"/>
      </patternFill>
    </fill>
    <fill>
      <patternFill patternType="solid">
        <fgColor indexed="38"/>
        <bgColor indexed="64"/>
      </patternFill>
    </fill>
    <fill>
      <patternFill patternType="solid">
        <fgColor rgb="FFC00000"/>
        <bgColor indexed="64"/>
      </patternFill>
    </fill>
    <fill>
      <patternFill patternType="solid">
        <fgColor indexed="23"/>
        <bgColor indexed="64"/>
      </patternFill>
    </fill>
    <fill>
      <patternFill patternType="solid">
        <fgColor rgb="FF7BD0E2"/>
        <bgColor indexed="64"/>
      </patternFill>
    </fill>
    <fill>
      <patternFill patternType="solid">
        <fgColor rgb="FF00A3C7"/>
        <bgColor indexed="64"/>
      </patternFill>
    </fill>
    <fill>
      <patternFill patternType="solid">
        <fgColor indexed="40"/>
      </patternFill>
    </fill>
    <fill>
      <patternFill patternType="solid">
        <fgColor theme="3" tint="0.59974974822229687"/>
        <bgColor indexed="64"/>
      </patternFill>
    </fill>
    <fill>
      <patternFill patternType="solid">
        <fgColor rgb="FFC6EFCE"/>
        <bgColor indexed="64"/>
      </patternFill>
    </fill>
    <fill>
      <patternFill patternType="solid">
        <fgColor rgb="FF33CCCC"/>
        <bgColor indexed="64"/>
      </patternFill>
    </fill>
    <fill>
      <patternFill patternType="solid">
        <fgColor indexed="8"/>
        <bgColor indexed="64"/>
      </patternFill>
    </fill>
    <fill>
      <patternFill patternType="solid">
        <fgColor rgb="FFFFCC99"/>
        <bgColor indexed="64"/>
      </patternFill>
    </fill>
    <fill>
      <patternFill patternType="solid">
        <fgColor theme="8" tint="0.39994506668294322"/>
        <bgColor indexed="64"/>
      </patternFill>
    </fill>
    <fill>
      <patternFill patternType="solid">
        <fgColor rgb="FFFFFF99"/>
        <bgColor indexed="64"/>
      </patternFill>
    </fill>
    <fill>
      <patternFill patternType="solid">
        <fgColor theme="5" tint="0.39994506668294322"/>
        <bgColor indexed="64"/>
      </patternFill>
    </fill>
    <fill>
      <patternFill patternType="solid">
        <fgColor indexed="8"/>
      </patternFill>
    </fill>
    <fill>
      <patternFill patternType="solid">
        <fgColor rgb="FFFFEB9C"/>
        <bgColor indexed="64"/>
      </patternFill>
    </fill>
    <fill>
      <patternFill patternType="solid">
        <fgColor indexed="13"/>
        <bgColor indexed="64"/>
      </patternFill>
    </fill>
    <fill>
      <patternFill patternType="solid">
        <fgColor rgb="FFFFFFCC"/>
        <bgColor indexed="64"/>
      </patternFill>
    </fill>
    <fill>
      <patternFill patternType="darkTrellis"/>
    </fill>
    <fill>
      <patternFill patternType="solid">
        <fgColor indexed="22"/>
        <bgColor indexed="22"/>
      </patternFill>
    </fill>
    <fill>
      <patternFill patternType="solid">
        <fgColor theme="0" tint="-0.34809411908322396"/>
        <bgColor indexed="64"/>
      </patternFill>
    </fill>
    <fill>
      <patternFill patternType="solid">
        <fgColor indexed="50"/>
        <bgColor indexed="64"/>
      </patternFill>
    </fill>
    <fill>
      <patternFill patternType="lightUp">
        <fgColor indexed="22"/>
        <bgColor indexed="35"/>
      </patternFill>
    </fill>
    <fill>
      <patternFill patternType="solid">
        <fgColor indexed="35"/>
        <bgColor indexed="64"/>
      </patternFill>
    </fill>
    <fill>
      <patternFill patternType="solid">
        <fgColor theme="6" tint="0.39994506668294322"/>
        <bgColor indexed="64"/>
      </patternFill>
    </fill>
    <fill>
      <patternFill patternType="solid">
        <fgColor indexed="31"/>
        <bgColor indexed="8"/>
      </patternFill>
    </fill>
    <fill>
      <patternFill patternType="solid">
        <fgColor indexed="63"/>
        <bgColor indexed="64"/>
      </patternFill>
    </fill>
    <fill>
      <patternFill patternType="solid">
        <fgColor indexed="43"/>
        <bgColor indexed="8"/>
      </patternFill>
    </fill>
    <fill>
      <patternFill patternType="solid">
        <fgColor indexed="61"/>
        <bgColor indexed="64"/>
      </patternFill>
    </fill>
    <fill>
      <patternFill patternType="solid">
        <fgColor indexed="60"/>
        <bgColor indexed="64"/>
      </patternFill>
    </fill>
    <fill>
      <patternFill patternType="solid">
        <fgColor indexed="16"/>
        <bgColor indexed="64"/>
      </patternFill>
    </fill>
    <fill>
      <patternFill patternType="solid">
        <fgColor indexed="24"/>
        <bgColor indexed="64"/>
      </patternFill>
    </fill>
    <fill>
      <patternFill patternType="lightGray">
        <fgColor indexed="9"/>
      </patternFill>
    </fill>
    <fill>
      <patternFill patternType="solid">
        <fgColor rgb="FFFFCC66"/>
        <bgColor indexed="64"/>
      </patternFill>
    </fill>
    <fill>
      <patternFill patternType="gray0625">
        <fgColor indexed="9"/>
      </patternFill>
    </fill>
    <fill>
      <patternFill patternType="solid">
        <fgColor theme="0"/>
        <bgColor indexed="64"/>
      </patternFill>
    </fill>
  </fills>
  <borders count="315">
    <border>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double">
        <color indexed="64"/>
      </left>
      <right style="double">
        <color indexed="64"/>
      </right>
      <top/>
      <bottom style="double">
        <color indexed="64"/>
      </bottom>
      <diagonal/>
    </border>
    <border>
      <left style="double">
        <color indexed="64"/>
      </left>
      <right/>
      <top/>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bottom/>
      <diagonal/>
    </border>
    <border>
      <left style="double">
        <color indexed="64"/>
      </left>
      <right/>
      <top style="double">
        <color indexed="64"/>
      </top>
      <bottom style="double">
        <color indexed="64"/>
      </bottom>
      <diagonal/>
    </border>
    <border>
      <left style="double">
        <color indexed="64"/>
      </left>
      <right/>
      <top style="double">
        <color indexed="64"/>
      </top>
      <bottom/>
      <diagonal/>
    </border>
    <border>
      <left/>
      <right/>
      <top style="double">
        <color indexed="64"/>
      </top>
      <bottom/>
      <diagonal/>
    </border>
    <border>
      <left/>
      <right/>
      <top/>
      <bottom style="thick">
        <color indexed="17"/>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diagonal/>
    </border>
    <border>
      <left style="thin">
        <color indexed="64"/>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right style="double">
        <color indexed="64"/>
      </right>
      <top/>
      <bottom style="medium">
        <color indexed="64"/>
      </bottom>
      <diagonal/>
    </border>
    <border>
      <left/>
      <right/>
      <top style="thick">
        <color indexed="17"/>
      </top>
      <bottom style="double">
        <color indexed="64"/>
      </bottom>
      <diagonal/>
    </border>
    <border>
      <left/>
      <right/>
      <top/>
      <bottom style="medium">
        <color indexed="64"/>
      </bottom>
      <diagonal/>
    </border>
    <border>
      <left/>
      <right style="double">
        <color indexed="64"/>
      </right>
      <top/>
      <bottom style="thin">
        <color indexed="64"/>
      </bottom>
      <diagonal/>
    </border>
    <border>
      <left/>
      <right/>
      <top style="medium">
        <color indexed="64"/>
      </top>
      <bottom style="thin">
        <color indexed="64"/>
      </bottom>
      <diagonal/>
    </border>
    <border>
      <left style="double">
        <color indexed="64"/>
      </left>
      <right/>
      <top/>
      <bottom style="medium">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double">
        <color indexed="64"/>
      </right>
      <top style="double">
        <color indexed="64"/>
      </top>
      <bottom style="medium">
        <color indexed="64"/>
      </bottom>
      <diagonal/>
    </border>
    <border>
      <left/>
      <right style="double">
        <color indexed="64"/>
      </right>
      <top style="medium">
        <color indexed="64"/>
      </top>
      <bottom style="thin">
        <color indexed="64"/>
      </bottom>
      <diagonal/>
    </border>
    <border>
      <left/>
      <right style="thin">
        <color indexed="64"/>
      </right>
      <top style="double">
        <color indexed="64"/>
      </top>
      <bottom/>
      <diagonal/>
    </border>
    <border>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top/>
      <bottom style="thin">
        <color indexed="64"/>
      </bottom>
      <diagonal/>
    </border>
    <border>
      <left style="thin">
        <color indexed="64"/>
      </left>
      <right style="double">
        <color indexed="64"/>
      </right>
      <top/>
      <bottom style="double">
        <color indexed="64"/>
      </bottom>
      <diagonal/>
    </border>
    <border>
      <left/>
      <right style="thin">
        <color indexed="64"/>
      </right>
      <top/>
      <bottom/>
      <diagonal/>
    </border>
    <border>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double">
        <color indexed="64"/>
      </left>
      <right style="thin">
        <color indexed="64"/>
      </right>
      <top/>
      <bottom style="double">
        <color indexed="64"/>
      </bottom>
      <diagonal/>
    </border>
    <border>
      <left style="double">
        <color indexed="64"/>
      </left>
      <right style="double">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Dashed">
        <color indexed="64"/>
      </right>
      <top/>
      <bottom/>
      <diagonal/>
    </border>
    <border>
      <left/>
      <right style="medium">
        <color indexed="64"/>
      </right>
      <top/>
      <bottom/>
      <diagonal/>
    </border>
    <border>
      <left style="mediumDashed">
        <color indexed="64"/>
      </left>
      <right style="mediumDashed">
        <color indexed="64"/>
      </right>
      <top/>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Dashed">
        <color indexed="64"/>
      </left>
      <right style="mediumDashed">
        <color indexed="64"/>
      </right>
      <top style="thin">
        <color indexed="64"/>
      </top>
      <bottom/>
      <diagonal/>
    </border>
    <border>
      <left style="mediumDashed">
        <color indexed="64"/>
      </left>
      <right/>
      <top style="thin">
        <color indexed="64"/>
      </top>
      <bottom/>
      <diagonal/>
    </border>
    <border>
      <left/>
      <right style="mediumDashed">
        <color indexed="64"/>
      </right>
      <top style="thin">
        <color indexed="64"/>
      </top>
      <bottom/>
      <diagonal/>
    </border>
    <border>
      <left style="mediumDashed">
        <color indexed="64"/>
      </left>
      <right/>
      <top/>
      <bottom/>
      <diagonal/>
    </border>
    <border>
      <left/>
      <right style="mediumDashed">
        <color indexed="64"/>
      </right>
      <top style="thin">
        <color indexed="64"/>
      </top>
      <bottom style="thin">
        <color indexed="64"/>
      </bottom>
      <diagonal/>
    </border>
    <border>
      <left/>
      <right style="mediumDashed">
        <color indexed="64"/>
      </right>
      <top/>
      <bottom style="thin">
        <color indexed="64"/>
      </bottom>
      <diagonal/>
    </border>
    <border>
      <left style="mediumDashed">
        <color indexed="64"/>
      </left>
      <right/>
      <top style="thin">
        <color indexed="64"/>
      </top>
      <bottom style="thin">
        <color indexed="64"/>
      </bottom>
      <diagonal/>
    </border>
    <border>
      <left style="mediumDashed">
        <color indexed="64"/>
      </left>
      <right/>
      <top/>
      <bottom style="thin">
        <color indexed="64"/>
      </bottom>
      <diagonal/>
    </border>
    <border>
      <left style="thin">
        <color indexed="64"/>
      </left>
      <right style="mediumDashed">
        <color indexed="64"/>
      </right>
      <top/>
      <bottom style="double">
        <color indexed="64"/>
      </bottom>
      <diagonal/>
    </border>
    <border>
      <left style="mediumDashed">
        <color indexed="64"/>
      </left>
      <right style="thin">
        <color indexed="64"/>
      </right>
      <top/>
      <bottom style="double">
        <color indexed="64"/>
      </bottom>
      <diagonal/>
    </border>
    <border>
      <left style="thin">
        <color indexed="64"/>
      </left>
      <right style="mediumDashed">
        <color indexed="64"/>
      </right>
      <top style="thin">
        <color indexed="64"/>
      </top>
      <bottom style="double">
        <color indexed="64"/>
      </bottom>
      <diagonal/>
    </border>
    <border>
      <left style="mediumDashed">
        <color indexed="64"/>
      </left>
      <right style="thin">
        <color indexed="64"/>
      </right>
      <top style="thin">
        <color indexed="64"/>
      </top>
      <bottom style="double">
        <color indexed="64"/>
      </bottom>
      <diagonal/>
    </border>
    <border>
      <left style="mediumDashed">
        <color indexed="64"/>
      </left>
      <right style="mediumDashed">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mediumDashed">
        <color indexed="64"/>
      </left>
      <right/>
      <top style="thin">
        <color indexed="64"/>
      </top>
      <bottom style="double">
        <color indexed="64"/>
      </bottom>
      <diagonal/>
    </border>
    <border>
      <left style="mediumDashed">
        <color indexed="64"/>
      </left>
      <right style="double">
        <color indexed="64"/>
      </right>
      <top style="thin">
        <color indexed="64"/>
      </top>
      <bottom style="double">
        <color indexed="64"/>
      </bottom>
      <diagonal/>
    </border>
    <border>
      <left/>
      <right style="double">
        <color indexed="64"/>
      </right>
      <top style="thin">
        <color indexed="64"/>
      </top>
      <bottom/>
      <diagonal/>
    </border>
    <border>
      <left/>
      <right style="thin">
        <color indexed="8"/>
      </right>
      <top style="thin">
        <color indexed="8"/>
      </top>
      <bottom style="thin">
        <color indexed="8"/>
      </bottom>
      <diagonal/>
    </border>
    <border>
      <left style="thin">
        <color indexed="8"/>
      </left>
      <right style="double">
        <color indexed="64"/>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double">
        <color indexed="64"/>
      </bottom>
      <diagonal/>
    </border>
    <border>
      <left style="thin">
        <color indexed="8"/>
      </left>
      <right style="double">
        <color indexed="64"/>
      </right>
      <top style="thin">
        <color indexed="8"/>
      </top>
      <bottom style="double">
        <color indexed="64"/>
      </bottom>
      <diagonal/>
    </border>
    <border>
      <left style="thin">
        <color indexed="8"/>
      </left>
      <right style="thin">
        <color indexed="8"/>
      </right>
      <top style="thin">
        <color indexed="8"/>
      </top>
      <bottom style="double">
        <color indexed="64"/>
      </bottom>
      <diagonal/>
    </border>
    <border>
      <left/>
      <right style="thin">
        <color indexed="8"/>
      </right>
      <top/>
      <bottom style="thin">
        <color indexed="8"/>
      </bottom>
      <diagonal/>
    </border>
    <border>
      <left style="thin">
        <color indexed="8"/>
      </left>
      <right style="double">
        <color indexed="64"/>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bottom/>
      <diagonal/>
    </border>
    <border>
      <left style="thin">
        <color indexed="64"/>
      </left>
      <right style="double">
        <color indexed="64"/>
      </right>
      <top style="double">
        <color indexed="64"/>
      </top>
      <bottom/>
      <diagonal/>
    </border>
    <border>
      <left style="thin">
        <color indexed="64"/>
      </left>
      <right style="double">
        <color indexed="64"/>
      </right>
      <top style="double">
        <color indexed="64"/>
      </top>
      <bottom style="medium">
        <color indexed="64"/>
      </bottom>
      <diagonal/>
    </border>
    <border>
      <left style="double">
        <color indexed="64"/>
      </left>
      <right style="thin">
        <color indexed="64"/>
      </right>
      <top/>
      <bottom/>
      <diagonal/>
    </border>
    <border>
      <left style="thin">
        <color indexed="64"/>
      </left>
      <right style="double">
        <color indexed="64"/>
      </right>
      <top/>
      <bottom/>
      <diagonal/>
    </border>
    <border>
      <left/>
      <right style="double">
        <color indexed="64"/>
      </right>
      <top style="thin">
        <color indexed="64"/>
      </top>
      <bottom style="double">
        <color indexed="64"/>
      </bottom>
      <diagonal/>
    </border>
    <border>
      <left style="thin">
        <color indexed="64"/>
      </left>
      <right style="thin">
        <color indexed="64"/>
      </right>
      <top/>
      <bottom style="medium">
        <color indexed="64"/>
      </bottom>
      <diagonal/>
    </border>
    <border>
      <left style="double">
        <color indexed="64"/>
      </left>
      <right/>
      <top style="thin">
        <color indexed="64"/>
      </top>
      <bottom style="medium">
        <color indexed="64"/>
      </bottom>
      <diagonal/>
    </border>
    <border>
      <left style="thin">
        <color indexed="64"/>
      </left>
      <right/>
      <top style="double">
        <color indexed="64"/>
      </top>
      <bottom style="double">
        <color indexed="64"/>
      </bottom>
      <diagonal/>
    </border>
    <border>
      <left style="thin">
        <color indexed="64"/>
      </left>
      <right/>
      <top style="double">
        <color indexed="64"/>
      </top>
      <bottom/>
      <diagonal/>
    </border>
    <border>
      <left style="double">
        <color indexed="64"/>
      </left>
      <right style="thin">
        <color indexed="64"/>
      </right>
      <top style="double">
        <color indexed="64"/>
      </top>
      <bottom style="double">
        <color indexed="64"/>
      </bottom>
      <diagonal/>
    </border>
    <border>
      <left/>
      <right style="thin">
        <color indexed="8"/>
      </right>
      <top style="double">
        <color indexed="64"/>
      </top>
      <bottom style="double">
        <color indexed="64"/>
      </bottom>
      <diagonal/>
    </border>
    <border>
      <left style="thin">
        <color indexed="8"/>
      </left>
      <right style="double">
        <color indexed="64"/>
      </right>
      <top style="double">
        <color indexed="64"/>
      </top>
      <bottom style="double">
        <color indexed="64"/>
      </bottom>
      <diagonal/>
    </border>
    <border>
      <left/>
      <right/>
      <top/>
      <bottom style="thin">
        <color indexed="8"/>
      </bottom>
      <diagonal/>
    </border>
    <border>
      <left style="double">
        <color indexed="64"/>
      </left>
      <right/>
      <top/>
      <bottom style="thin">
        <color indexed="8"/>
      </bottom>
      <diagonal/>
    </border>
    <border>
      <left/>
      <right style="double">
        <color indexed="64"/>
      </right>
      <top/>
      <bottom style="thin">
        <color indexed="8"/>
      </bottom>
      <diagonal/>
    </border>
    <border>
      <left style="thin">
        <color indexed="8"/>
      </left>
      <right/>
      <top style="thin">
        <color indexed="8"/>
      </top>
      <bottom style="double">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double">
        <color indexed="64"/>
      </left>
      <right/>
      <top style="thin">
        <color indexed="64"/>
      </top>
      <bottom style="thin">
        <color indexed="64"/>
      </bottom>
      <diagonal/>
    </border>
    <border>
      <left style="double">
        <color indexed="64"/>
      </left>
      <right/>
      <top style="medium">
        <color indexed="64"/>
      </top>
      <bottom style="thin">
        <color indexed="64"/>
      </bottom>
      <diagonal/>
    </border>
    <border>
      <left style="mediumDashed">
        <color indexed="64"/>
      </left>
      <right style="medium">
        <color indexed="64"/>
      </right>
      <top/>
      <bottom/>
      <diagonal/>
    </border>
    <border>
      <left style="thin">
        <color indexed="64"/>
      </left>
      <right style="double">
        <color indexed="64"/>
      </right>
      <top style="double">
        <color indexed="64"/>
      </top>
      <bottom style="thin">
        <color indexed="64"/>
      </bottom>
      <diagonal/>
    </border>
    <border>
      <left/>
      <right style="double">
        <color indexed="64"/>
      </right>
      <top style="medium">
        <color indexed="64"/>
      </top>
      <bottom/>
      <diagonal/>
    </border>
    <border>
      <left style="double">
        <color indexed="64"/>
      </left>
      <right style="double">
        <color indexed="64"/>
      </right>
      <top style="medium">
        <color indexed="64"/>
      </top>
      <bottom/>
      <diagonal/>
    </border>
    <border>
      <left/>
      <right/>
      <top style="thin">
        <color indexed="64"/>
      </top>
      <bottom style="double">
        <color indexed="64"/>
      </bottom>
      <diagonal/>
    </border>
    <border>
      <left style="mediumDashed">
        <color indexed="64"/>
      </left>
      <right style="medium">
        <color indexed="64"/>
      </right>
      <top style="thin">
        <color indexed="64"/>
      </top>
      <bottom style="double">
        <color indexed="64"/>
      </bottom>
      <diagonal/>
    </border>
    <border>
      <left style="mediumDashed">
        <color indexed="64"/>
      </left>
      <right/>
      <top/>
      <bottom style="double">
        <color indexed="64"/>
      </bottom>
      <diagonal/>
    </border>
    <border>
      <left style="mediumDashed">
        <color indexed="64"/>
      </left>
      <right style="double">
        <color indexed="64"/>
      </right>
      <top/>
      <bottom/>
      <diagonal/>
    </border>
    <border>
      <left style="mediumDashed">
        <color indexed="64"/>
      </left>
      <right style="double">
        <color indexed="64"/>
      </right>
      <top style="double">
        <color indexed="64"/>
      </top>
      <bottom/>
      <diagonal/>
    </border>
    <border>
      <left/>
      <right style="mediumDashed">
        <color indexed="64"/>
      </right>
      <top style="double">
        <color indexed="64"/>
      </top>
      <bottom/>
      <diagonal/>
    </border>
    <border>
      <left style="mediumDashed">
        <color indexed="64"/>
      </left>
      <right style="mediumDashed">
        <color indexed="64"/>
      </right>
      <top style="double">
        <color indexed="64"/>
      </top>
      <bottom/>
      <diagonal/>
    </border>
    <border>
      <left/>
      <right style="double">
        <color indexed="64"/>
      </right>
      <top style="double">
        <color indexed="64"/>
      </top>
      <bottom style="thin">
        <color indexed="64"/>
      </bottom>
      <diagonal/>
    </border>
    <border>
      <left style="double">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double">
        <color indexed="64"/>
      </top>
      <bottom/>
      <diagonal/>
    </border>
    <border>
      <left/>
      <right style="double">
        <color indexed="64"/>
      </right>
      <top style="thin">
        <color indexed="64"/>
      </top>
      <bottom style="thin">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style="double">
        <color indexed="64"/>
      </right>
      <top style="medium">
        <color indexed="64"/>
      </top>
      <bottom style="medium">
        <color indexed="64"/>
      </bottom>
      <diagonal/>
    </border>
    <border>
      <left style="medium">
        <color indexed="64"/>
      </left>
      <right style="double">
        <color indexed="64"/>
      </right>
      <top style="medium">
        <color indexed="64"/>
      </top>
      <bottom style="medium">
        <color indexed="64"/>
      </bottom>
      <diagonal/>
    </border>
    <border>
      <left style="double">
        <color indexed="64"/>
      </left>
      <right style="double">
        <color indexed="64"/>
      </right>
      <top style="medium">
        <color indexed="64"/>
      </top>
      <bottom style="double">
        <color indexed="64"/>
      </bottom>
      <diagonal/>
    </border>
    <border>
      <left style="medium">
        <color indexed="64"/>
      </left>
      <right/>
      <top style="medium">
        <color indexed="64"/>
      </top>
      <bottom/>
      <diagonal/>
    </border>
    <border>
      <left style="double">
        <color indexed="64"/>
      </left>
      <right/>
      <top style="thin">
        <color indexed="64"/>
      </top>
      <bottom style="double">
        <color indexed="64"/>
      </bottom>
      <diagonal/>
    </border>
    <border>
      <left/>
      <right/>
      <top style="thin">
        <color indexed="64"/>
      </top>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diagonal/>
    </border>
    <border>
      <left style="medium">
        <color indexed="64"/>
      </left>
      <right/>
      <top/>
      <bottom/>
      <diagonal/>
    </border>
    <border>
      <left/>
      <right/>
      <top style="thin">
        <color indexed="64"/>
      </top>
      <bottom style="medium">
        <color indexed="64"/>
      </bottom>
      <diagonal/>
    </border>
    <border>
      <left style="double">
        <color indexed="64"/>
      </left>
      <right/>
      <top style="medium">
        <color indexed="64"/>
      </top>
      <bottom/>
      <diagonal/>
    </border>
    <border>
      <left/>
      <right/>
      <top style="medium">
        <color indexed="64"/>
      </top>
      <bottom/>
      <diagonal/>
    </border>
    <border>
      <left/>
      <right style="double">
        <color indexed="64"/>
      </right>
      <top style="thin">
        <color indexed="64"/>
      </top>
      <bottom style="medium">
        <color indexed="64"/>
      </bottom>
      <diagonal/>
    </border>
    <border>
      <left style="double">
        <color indexed="64"/>
      </left>
      <right style="double">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double">
        <color indexed="64"/>
      </left>
      <right/>
      <top style="thin">
        <color indexed="64"/>
      </top>
      <bottom/>
      <diagonal/>
    </border>
    <border>
      <left/>
      <right style="thin">
        <color indexed="64"/>
      </right>
      <top/>
      <bottom style="thin">
        <color indexed="64"/>
      </bottom>
      <diagonal/>
    </border>
    <border>
      <left/>
      <right style="mediumDashed">
        <color indexed="64"/>
      </right>
      <top/>
      <bottom style="double">
        <color indexed="64"/>
      </bottom>
      <diagonal/>
    </border>
    <border>
      <left style="mediumDashed">
        <color indexed="64"/>
      </left>
      <right style="mediumDashed">
        <color indexed="64"/>
      </right>
      <top/>
      <bottom style="double">
        <color indexed="64"/>
      </bottom>
      <diagonal/>
    </border>
    <border>
      <left style="mediumDashed">
        <color indexed="64"/>
      </left>
      <right style="double">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double">
        <color indexed="64"/>
      </left>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style="medium">
        <color indexed="64"/>
      </right>
      <top/>
      <bottom style="thin">
        <color indexed="64"/>
      </bottom>
      <diagonal/>
    </border>
    <border>
      <left style="double">
        <color indexed="64"/>
      </left>
      <right style="thin">
        <color indexed="64"/>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style="thin">
        <color indexed="64"/>
      </right>
      <top style="medium">
        <color indexed="64"/>
      </top>
      <bottom/>
      <diagonal/>
    </border>
    <border>
      <left style="thin">
        <color indexed="64"/>
      </left>
      <right style="double">
        <color indexed="64"/>
      </right>
      <top style="medium">
        <color indexed="64"/>
      </top>
      <bottom/>
      <diagonal/>
    </border>
    <border>
      <left style="thin">
        <color indexed="64"/>
      </left>
      <right/>
      <top style="thin">
        <color indexed="64"/>
      </top>
      <bottom style="double">
        <color indexed="64"/>
      </bottom>
      <diagonal/>
    </border>
    <border>
      <left style="thin">
        <color indexed="64"/>
      </left>
      <right/>
      <top style="thin">
        <color indexed="64"/>
      </top>
      <bottom/>
      <diagonal/>
    </border>
    <border>
      <left style="thin">
        <color indexed="64"/>
      </left>
      <right style="double">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medium">
        <color indexed="64"/>
      </top>
      <bottom style="medium">
        <color indexed="64"/>
      </bottom>
      <diagonal/>
    </border>
    <border>
      <left style="medium">
        <color indexed="64"/>
      </left>
      <right style="medium">
        <color indexed="64"/>
      </right>
      <top/>
      <bottom/>
      <diagonal/>
    </border>
    <border>
      <left/>
      <right/>
      <top/>
      <bottom style="thick">
        <color indexed="64"/>
      </bottom>
      <diagonal/>
    </border>
    <border>
      <left style="double">
        <color indexed="64"/>
      </left>
      <right/>
      <top/>
      <bottom style="thick">
        <color indexed="64"/>
      </bottom>
      <diagonal/>
    </border>
    <border>
      <left style="medium">
        <color indexed="64"/>
      </left>
      <right/>
      <top/>
      <bottom style="double">
        <color indexed="64"/>
      </bottom>
      <diagonal/>
    </border>
    <border>
      <left style="thin">
        <color indexed="8"/>
      </left>
      <right/>
      <top/>
      <bottom style="thin">
        <color indexed="8"/>
      </bottom>
      <diagonal/>
    </border>
    <border>
      <left/>
      <right style="double">
        <color indexed="64"/>
      </right>
      <top style="thin">
        <color indexed="8"/>
      </top>
      <bottom style="double">
        <color indexed="64"/>
      </bottom>
      <diagonal/>
    </border>
    <border>
      <left/>
      <right style="double">
        <color indexed="64"/>
      </right>
      <top style="thin">
        <color indexed="8"/>
      </top>
      <bottom style="thin">
        <color indexed="8"/>
      </bottom>
      <diagonal/>
    </border>
    <border>
      <left style="thin">
        <color indexed="8"/>
      </left>
      <right/>
      <top/>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style="thin">
        <color indexed="64"/>
      </bottom>
      <diagonal/>
    </border>
    <border>
      <left/>
      <right/>
      <top style="thin">
        <color indexed="8"/>
      </top>
      <bottom style="thin">
        <color indexed="8"/>
      </bottom>
      <diagonal/>
    </border>
    <border>
      <left style="thin">
        <color indexed="8"/>
      </left>
      <right/>
      <top/>
      <bottom style="double">
        <color indexed="64"/>
      </bottom>
      <diagonal/>
    </border>
    <border>
      <left style="thin">
        <color indexed="8"/>
      </left>
      <right style="thin">
        <color indexed="8"/>
      </right>
      <top style="double">
        <color indexed="64"/>
      </top>
      <bottom style="thin">
        <color indexed="64"/>
      </bottom>
      <diagonal/>
    </border>
    <border>
      <left/>
      <right/>
      <top style="thick">
        <color indexed="17"/>
      </top>
      <bottom/>
      <diagonal/>
    </border>
    <border>
      <left/>
      <right style="double">
        <color indexed="64"/>
      </right>
      <top style="double">
        <color indexed="64"/>
      </top>
      <bottom style="thin">
        <color indexed="8"/>
      </bottom>
      <diagonal/>
    </border>
    <border>
      <left style="double">
        <color indexed="64"/>
      </left>
      <right style="thin">
        <color indexed="64"/>
      </right>
      <top style="thin">
        <color indexed="8"/>
      </top>
      <bottom style="double">
        <color indexed="64"/>
      </bottom>
      <diagonal/>
    </border>
    <border>
      <left style="thin">
        <color indexed="8"/>
      </left>
      <right style="double">
        <color indexed="64"/>
      </right>
      <top style="thin">
        <color indexed="8"/>
      </top>
      <bottom/>
      <diagonal/>
    </border>
    <border>
      <left/>
      <right style="thin">
        <color indexed="8"/>
      </right>
      <top style="thin">
        <color indexed="8"/>
      </top>
      <bottom/>
      <diagonal/>
    </border>
    <border>
      <left/>
      <right/>
      <top style="medium">
        <color indexed="64"/>
      </top>
      <bottom style="double">
        <color indexed="64"/>
      </bottom>
      <diagonal/>
    </border>
    <border>
      <left style="double">
        <color indexed="64"/>
      </left>
      <right style="thin">
        <color indexed="8"/>
      </right>
      <top style="thin">
        <color indexed="8"/>
      </top>
      <bottom/>
      <diagonal/>
    </border>
    <border>
      <left style="thin">
        <color indexed="8"/>
      </left>
      <right/>
      <top style="thin">
        <color indexed="8"/>
      </top>
      <bottom/>
      <diagonal/>
    </border>
    <border>
      <left style="medium">
        <color indexed="64"/>
      </left>
      <right style="double">
        <color indexed="64"/>
      </right>
      <top style="double">
        <color indexed="64"/>
      </top>
      <bottom style="medium">
        <color indexed="64"/>
      </bottom>
      <diagonal/>
    </border>
    <border>
      <left style="thin">
        <color indexed="64"/>
      </left>
      <right style="thin">
        <color indexed="64"/>
      </right>
      <top/>
      <bottom style="thin">
        <color indexed="64"/>
      </bottom>
      <diagonal/>
    </border>
    <border>
      <left style="double">
        <color indexed="64"/>
      </left>
      <right style="double">
        <color indexed="64"/>
      </right>
      <top style="double">
        <color indexed="64"/>
      </top>
      <bottom style="medium">
        <color indexed="64"/>
      </bottom>
      <diagonal/>
    </border>
    <border>
      <left style="medium">
        <color indexed="64"/>
      </left>
      <right/>
      <top/>
      <bottom style="thin">
        <color indexed="64"/>
      </bottom>
      <diagonal/>
    </border>
    <border>
      <left/>
      <right style="thin">
        <color indexed="64"/>
      </right>
      <top/>
      <bottom style="thin">
        <color indexed="8"/>
      </bottom>
      <diagonal/>
    </border>
    <border>
      <left style="thin">
        <color indexed="8"/>
      </left>
      <right style="double">
        <color indexed="8"/>
      </right>
      <top style="thin">
        <color indexed="8"/>
      </top>
      <bottom style="double">
        <color indexed="64"/>
      </bottom>
      <diagonal/>
    </border>
    <border>
      <left/>
      <right style="thin">
        <color indexed="64"/>
      </right>
      <top/>
      <bottom style="medium">
        <color indexed="64"/>
      </bottom>
      <diagonal/>
    </border>
    <border>
      <left/>
      <right style="thin">
        <color indexed="64"/>
      </right>
      <top style="thin">
        <color indexed="64"/>
      </top>
      <bottom/>
      <diagonal/>
    </border>
    <border>
      <left style="thick">
        <color indexed="10"/>
      </left>
      <right/>
      <top style="thick">
        <color indexed="10"/>
      </top>
      <bottom/>
      <diagonal/>
    </border>
    <border>
      <left/>
      <right/>
      <top style="thick">
        <color indexed="10"/>
      </top>
      <bottom/>
      <diagonal/>
    </border>
    <border>
      <left/>
      <right style="thick">
        <color indexed="10"/>
      </right>
      <top style="thick">
        <color indexed="10"/>
      </top>
      <bottom/>
      <diagonal/>
    </border>
    <border>
      <left style="thick">
        <color indexed="10"/>
      </left>
      <right/>
      <top/>
      <bottom style="thick">
        <color indexed="10"/>
      </bottom>
      <diagonal/>
    </border>
    <border>
      <left/>
      <right style="thick">
        <color indexed="10"/>
      </right>
      <top/>
      <bottom style="thick">
        <color indexed="10"/>
      </bottom>
      <diagonal/>
    </border>
    <border>
      <left style="thick">
        <color indexed="10"/>
      </left>
      <right/>
      <top/>
      <bottom/>
      <diagonal/>
    </border>
    <border>
      <left/>
      <right style="thick">
        <color indexed="10"/>
      </right>
      <top/>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bottom style="thick">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thick">
        <color indexed="17"/>
      </left>
      <right/>
      <top style="thick">
        <color indexed="17"/>
      </top>
      <bottom/>
      <diagonal/>
    </border>
    <border>
      <left/>
      <right style="thick">
        <color indexed="17"/>
      </right>
      <top style="thick">
        <color indexed="17"/>
      </top>
      <bottom/>
      <diagonal/>
    </border>
    <border>
      <left style="thick">
        <color indexed="17"/>
      </left>
      <right/>
      <top/>
      <bottom/>
      <diagonal/>
    </border>
    <border>
      <left/>
      <right style="thick">
        <color indexed="17"/>
      </right>
      <top/>
      <bottom/>
      <diagonal/>
    </border>
    <border>
      <left style="thick">
        <color indexed="17"/>
      </left>
      <right/>
      <top/>
      <bottom style="thick">
        <color indexed="17"/>
      </bottom>
      <diagonal/>
    </border>
    <border>
      <left/>
      <right style="thick">
        <color indexed="17"/>
      </right>
      <top/>
      <bottom style="thick">
        <color indexed="17"/>
      </bottom>
      <diagonal/>
    </border>
    <border>
      <left style="mediumDashed">
        <color indexed="64"/>
      </left>
      <right style="thin">
        <color indexed="64"/>
      </right>
      <top style="thin">
        <color indexed="64"/>
      </top>
      <bottom style="thin">
        <color indexed="64"/>
      </bottom>
      <diagonal/>
    </border>
    <border>
      <left style="thin">
        <color indexed="64"/>
      </left>
      <right style="mediumDashed">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Dashed">
        <color indexed="64"/>
      </right>
      <top/>
      <bottom style="thin">
        <color indexed="64"/>
      </bottom>
      <diagonal/>
    </border>
    <border>
      <left style="mediumDashed">
        <color indexed="64"/>
      </left>
      <right style="thin">
        <color indexed="64"/>
      </right>
      <top/>
      <bottom style="thin">
        <color indexed="64"/>
      </bottom>
      <diagonal/>
    </border>
    <border>
      <left style="double">
        <color indexed="64"/>
      </left>
      <right style="thin">
        <color indexed="64"/>
      </right>
      <top/>
      <bottom style="medium">
        <color indexed="64"/>
      </bottom>
      <diagonal/>
    </border>
    <border>
      <left style="double">
        <color indexed="64"/>
      </left>
      <right style="thin">
        <color indexed="64"/>
      </right>
      <top style="double">
        <color indexed="64"/>
      </top>
      <bottom style="thin">
        <color indexed="64"/>
      </bottom>
      <diagonal/>
    </border>
    <border>
      <left/>
      <right style="thin">
        <color indexed="64"/>
      </right>
      <top style="medium">
        <color indexed="64"/>
      </top>
      <bottom/>
      <diagonal/>
    </border>
    <border>
      <left style="double">
        <color indexed="64"/>
      </left>
      <right/>
      <top style="double">
        <color indexed="64"/>
      </top>
      <bottom style="thick">
        <color indexed="17"/>
      </bottom>
      <diagonal/>
    </border>
    <border>
      <left style="medium">
        <color indexed="64"/>
      </left>
      <right style="double">
        <color indexed="64"/>
      </right>
      <top style="medium">
        <color indexed="64"/>
      </top>
      <bottom/>
      <diagonal/>
    </border>
    <border>
      <left style="medium">
        <color indexed="64"/>
      </left>
      <right style="double">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9"/>
      </left>
      <right style="thin">
        <color indexed="9"/>
      </right>
      <top style="thin">
        <color indexed="9"/>
      </top>
      <bottom style="thin">
        <color indexed="9"/>
      </bottom>
      <diagonal/>
    </border>
    <border>
      <left/>
      <right/>
      <top/>
      <bottom style="medium">
        <color indexed="18"/>
      </bottom>
      <diagonal/>
    </border>
    <border>
      <left style="double">
        <color indexed="64"/>
      </left>
      <right/>
      <top/>
      <bottom style="hair">
        <color indexed="64"/>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right/>
      <top/>
      <bottom style="medium">
        <color indexed="24"/>
      </bottom>
      <diagonal/>
    </border>
    <border>
      <left style="thin">
        <color indexed="38"/>
      </left>
      <right style="thin">
        <color indexed="38"/>
      </right>
      <top style="thin">
        <color indexed="38"/>
      </top>
      <bottom style="thin">
        <color indexed="38"/>
      </bottom>
      <diagonal/>
    </border>
    <border>
      <left style="thin">
        <color indexed="23"/>
      </left>
      <right style="thin">
        <color indexed="23"/>
      </right>
      <top style="thin">
        <color indexed="23"/>
      </top>
      <bottom style="thin">
        <color indexed="23"/>
      </bottom>
      <diagonal/>
    </border>
    <border>
      <left/>
      <right/>
      <top/>
      <bottom style="double">
        <color indexed="28"/>
      </bottom>
      <diagonal/>
    </border>
    <border>
      <left style="double">
        <color indexed="63"/>
      </left>
      <right style="double">
        <color indexed="63"/>
      </right>
      <top style="double">
        <color indexed="63"/>
      </top>
      <bottom style="double">
        <color indexed="63"/>
      </bottom>
      <diagonal/>
    </border>
    <border>
      <left style="double">
        <color indexed="8"/>
      </left>
      <right style="double">
        <color indexed="8"/>
      </right>
      <top style="double">
        <color indexed="8"/>
      </top>
      <bottom style="double">
        <color indexed="8"/>
      </bottom>
      <diagonal/>
    </border>
    <border>
      <left style="thin">
        <color theme="0" tint="-0.14807580797753839"/>
      </left>
      <right style="thin">
        <color theme="0" tint="-0.14807580797753839"/>
      </right>
      <top style="thin">
        <color theme="0" tint="-0.14807580797753839"/>
      </top>
      <bottom style="thin">
        <color theme="0" tint="-0.14807580797753839"/>
      </bottom>
      <diagonal/>
    </border>
    <border>
      <left style="thin">
        <color theme="0" tint="-0.14807580797753839"/>
      </left>
      <right style="thin">
        <color theme="0" tint="-0.14807580797753839"/>
      </right>
      <top/>
      <bottom style="thick">
        <color theme="0"/>
      </bottom>
      <diagonal/>
    </border>
    <border>
      <left/>
      <right/>
      <top style="medium">
        <color theme="1"/>
      </top>
      <bottom style="thin">
        <color theme="1"/>
      </bottom>
      <diagonal/>
    </border>
    <border>
      <left/>
      <right/>
      <top/>
      <bottom style="thin">
        <color indexed="22"/>
      </bottom>
      <diagonal/>
    </border>
    <border>
      <left style="hair">
        <color indexed="64"/>
      </left>
      <right style="hair">
        <color indexed="64"/>
      </right>
      <top style="hair">
        <color indexed="64"/>
      </top>
      <bottom style="hair">
        <color indexed="64"/>
      </bottom>
      <diagonal/>
    </border>
    <border>
      <left style="thin">
        <color auto="1"/>
      </left>
      <right style="thin">
        <color auto="1"/>
      </right>
      <top style="thin">
        <color auto="1"/>
      </top>
      <bottom style="thin">
        <color auto="1"/>
      </bottom>
      <diagonal/>
    </border>
    <border>
      <left/>
      <right/>
      <top/>
      <bottom style="dotted">
        <color indexed="64"/>
      </bottom>
      <diagonal/>
    </border>
    <border>
      <left style="thin">
        <color theme="0"/>
      </left>
      <right style="thin">
        <color theme="0"/>
      </right>
      <top style="thin">
        <color theme="0"/>
      </top>
      <bottom style="thin">
        <color theme="0"/>
      </bottom>
      <diagonal/>
    </border>
    <border>
      <left/>
      <right/>
      <top style="thin">
        <color auto="1"/>
      </top>
      <bottom style="thin">
        <color auto="1"/>
      </bottom>
      <diagonal/>
    </border>
    <border>
      <left/>
      <right/>
      <top style="thin">
        <color indexed="8"/>
      </top>
      <bottom style="double">
        <color indexed="8"/>
      </bottom>
      <diagonal/>
    </border>
    <border>
      <left style="thin">
        <color indexed="22"/>
      </left>
      <right style="thin">
        <color indexed="22"/>
      </right>
      <top style="thin">
        <color indexed="64"/>
      </top>
      <bottom style="thin">
        <color indexed="64"/>
      </bottom>
      <diagonal/>
    </border>
    <border>
      <left/>
      <right style="medium">
        <color indexed="8"/>
      </right>
      <top/>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thick">
        <color theme="4" tint="0.49967955565050204"/>
      </bottom>
      <diagonal/>
    </border>
    <border>
      <left/>
      <right/>
      <top/>
      <bottom style="medium">
        <color indexed="30"/>
      </bottom>
      <diagonal/>
    </border>
    <border>
      <left/>
      <right/>
      <top/>
      <bottom style="medium">
        <color indexed="49"/>
      </bottom>
      <diagonal/>
    </border>
    <border>
      <left/>
      <right style="medium">
        <color indexed="8"/>
      </right>
      <top/>
      <bottom style="medium">
        <color indexed="8"/>
      </bottom>
      <diagonal/>
    </border>
    <border>
      <left/>
      <right/>
      <top/>
      <bottom style="medium">
        <color indexed="8"/>
      </bottom>
      <diagonal/>
    </border>
    <border>
      <left/>
      <right/>
      <top/>
      <bottom style="double">
        <color indexed="52"/>
      </bottom>
      <diagonal/>
    </border>
    <border>
      <left/>
      <right/>
      <top/>
      <bottom style="double">
        <color indexed="10"/>
      </bottom>
      <diagonal/>
    </border>
    <border>
      <left style="thin">
        <color indexed="31"/>
      </left>
      <right style="thin">
        <color indexed="31"/>
      </right>
      <top style="thin">
        <color indexed="31"/>
      </top>
      <bottom style="thin">
        <color indexed="31"/>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style="thin">
        <color indexed="9"/>
      </left>
      <right/>
      <top style="thin">
        <color indexed="9"/>
      </top>
      <bottom style="thin">
        <color indexed="9"/>
      </bottom>
      <diagonal/>
    </border>
    <border>
      <left style="thin">
        <color indexed="22"/>
      </left>
      <right style="thin">
        <color indexed="22"/>
      </right>
      <top/>
      <bottom style="thin">
        <color indexed="22"/>
      </bottom>
      <diagonal/>
    </border>
    <border>
      <left style="thin">
        <color indexed="22"/>
      </left>
      <right style="thin">
        <color indexed="22"/>
      </right>
      <top style="thin">
        <color indexed="64"/>
      </top>
      <bottom style="thin">
        <color indexed="22"/>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style="thin">
        <color indexed="8"/>
      </top>
      <bottom style="thin">
        <color indexed="8"/>
      </bottom>
      <diagonal/>
    </border>
    <border>
      <left/>
      <right style="thin">
        <color indexed="8"/>
      </right>
      <top/>
      <bottom/>
      <diagonal/>
    </border>
    <border>
      <left style="thin">
        <color indexed="8"/>
      </left>
      <right style="thin">
        <color indexed="8"/>
      </right>
      <top style="thin">
        <color indexed="8"/>
      </top>
      <bottom/>
      <diagonal/>
    </border>
    <border>
      <left/>
      <right/>
      <top style="thin">
        <color indexed="8"/>
      </top>
      <bottom/>
      <diagonal/>
    </border>
    <border>
      <left style="thin">
        <color indexed="63"/>
      </left>
      <right style="thin">
        <color indexed="63"/>
      </right>
      <top style="thin">
        <color indexed="64"/>
      </top>
      <bottom style="thin">
        <color indexed="63"/>
      </bottom>
      <diagonal/>
    </border>
    <border>
      <left style="thin">
        <color indexed="48"/>
      </left>
      <right style="thin">
        <color indexed="48"/>
      </right>
      <top style="thin">
        <color indexed="48"/>
      </top>
      <bottom style="thin">
        <color indexed="48"/>
      </bottom>
      <diagonal/>
    </border>
    <border>
      <left/>
      <right/>
      <top/>
      <bottom style="thick">
        <color indexed="48"/>
      </bottom>
      <diagonal/>
    </border>
    <border>
      <left/>
      <right/>
      <top style="thick">
        <color indexed="48"/>
      </top>
      <bottom/>
      <diagonal/>
    </border>
    <border>
      <left/>
      <right/>
      <top/>
      <bottom style="thick">
        <color auto="1"/>
      </bottom>
      <diagonal/>
    </border>
    <border>
      <left/>
      <right/>
      <top style="medium">
        <color indexed="39"/>
      </top>
      <bottom/>
      <diagonal/>
    </border>
    <border>
      <left style="medium">
        <color indexed="39"/>
      </left>
      <right/>
      <top style="medium">
        <color indexed="39"/>
      </top>
      <bottom/>
      <diagonal/>
    </border>
    <border>
      <left style="dotted">
        <color auto="1"/>
      </left>
      <right style="dotted">
        <color auto="1"/>
      </right>
      <top style="dotted">
        <color auto="1"/>
      </top>
      <bottom style="dotted">
        <color auto="1"/>
      </bottom>
      <diagonal/>
    </border>
    <border>
      <left style="double">
        <color auto="1"/>
      </left>
      <right style="double">
        <color auto="1"/>
      </right>
      <top style="hair">
        <color auto="1"/>
      </top>
      <bottom style="hair">
        <color auto="1"/>
      </bottom>
      <diagonal/>
    </border>
    <border>
      <left/>
      <right/>
      <top/>
      <bottom style="hair">
        <color auto="1"/>
      </bottom>
      <diagonal/>
    </border>
    <border>
      <left/>
      <right/>
      <top style="thin">
        <color indexed="12"/>
      </top>
      <bottom style="thin">
        <color indexed="12"/>
      </bottom>
      <diagonal/>
    </border>
    <border>
      <left/>
      <right/>
      <top/>
      <bottom style="thin">
        <color indexed="12"/>
      </bottom>
      <diagonal/>
    </border>
    <border>
      <left style="thick">
        <color indexed="9"/>
      </left>
      <right style="medium">
        <color indexed="8"/>
      </right>
      <top style="thick">
        <color indexed="9"/>
      </top>
      <bottom/>
      <diagonal/>
    </border>
    <border>
      <left style="thick">
        <color indexed="9"/>
      </left>
      <right style="medium">
        <color indexed="8"/>
      </right>
      <top/>
      <bottom/>
      <diagonal/>
    </border>
    <border>
      <left style="thick">
        <color indexed="9"/>
      </left>
      <right style="medium">
        <color indexed="8"/>
      </right>
      <top style="hair">
        <color indexed="9"/>
      </top>
      <bottom style="hair">
        <color indexed="9"/>
      </bottom>
      <diagonal/>
    </border>
    <border>
      <left/>
      <right/>
      <top/>
      <bottom style="thick">
        <color indexed="25"/>
      </bottom>
      <diagonal/>
    </border>
    <border>
      <left/>
      <right/>
      <top/>
      <bottom style="thick">
        <color indexed="15"/>
      </bottom>
      <diagonal/>
    </border>
    <border>
      <left/>
      <right/>
      <top/>
      <bottom style="medium">
        <color indexed="25"/>
      </bottom>
      <diagonal/>
    </border>
    <border>
      <left/>
      <right/>
      <top style="thin">
        <color indexed="62"/>
      </top>
      <bottom style="double">
        <color indexed="62"/>
      </bottom>
      <diagonal/>
    </border>
    <border>
      <left/>
      <right/>
      <top style="thin">
        <color indexed="48"/>
      </top>
      <bottom style="double">
        <color indexed="48"/>
      </bottom>
      <diagonal/>
    </border>
    <border>
      <left/>
      <right/>
      <top style="thin">
        <color indexed="32"/>
      </top>
      <bottom style="double">
        <color indexed="32"/>
      </bottom>
      <diagonal/>
    </border>
    <border>
      <left/>
      <right/>
      <top style="thin">
        <color indexed="49"/>
      </top>
      <bottom style="double">
        <color indexed="49"/>
      </bottom>
      <diagonal/>
    </border>
    <border>
      <left/>
      <right/>
      <top style="thin">
        <color indexed="25"/>
      </top>
      <bottom style="double">
        <color indexed="25"/>
      </bottom>
      <diagonal/>
    </border>
  </borders>
  <cellStyleXfs count="37860">
    <xf numFmtId="0" fontId="0" fillId="0" borderId="0"/>
    <xf numFmtId="164" fontId="2" fillId="0" borderId="0" applyFont="0" applyFill="0" applyBorder="0" applyAlignment="0" applyProtection="0"/>
    <xf numFmtId="43" fontId="2" fillId="0" borderId="0" applyFont="0" applyFill="0" applyBorder="0" applyAlignment="0" applyProtection="0"/>
    <xf numFmtId="0" fontId="10" fillId="0" borderId="0" applyNumberFormat="0" applyFill="0" applyBorder="0" applyAlignment="0" applyProtection="0">
      <alignment vertical="top"/>
      <protection locked="0"/>
    </xf>
    <xf numFmtId="0" fontId="86" fillId="0" borderId="0" applyNumberFormat="0" applyFill="0" applyBorder="0" applyAlignment="0" applyProtection="0"/>
    <xf numFmtId="0" fontId="85" fillId="0" borderId="0"/>
    <xf numFmtId="0" fontId="2" fillId="0" borderId="0"/>
    <xf numFmtId="0" fontId="87" fillId="0" borderId="0"/>
    <xf numFmtId="0" fontId="2" fillId="0" borderId="0"/>
    <xf numFmtId="0" fontId="2" fillId="0" borderId="0"/>
    <xf numFmtId="0" fontId="57" fillId="0" borderId="0"/>
    <xf numFmtId="9" fontId="2" fillId="0" borderId="0" applyFont="0" applyFill="0" applyBorder="0" applyAlignment="0" applyProtection="0"/>
    <xf numFmtId="0" fontId="2" fillId="0" borderId="0"/>
    <xf numFmtId="0" fontId="88" fillId="0" borderId="0" applyNumberFormat="0" applyFill="0" applyBorder="0" applyAlignment="0" applyProtection="0"/>
    <xf numFmtId="0" fontId="100" fillId="0" borderId="0"/>
    <xf numFmtId="9" fontId="100" fillId="0" borderId="0" applyFont="0" applyFill="0" applyBorder="0" applyAlignment="0" applyProtection="0"/>
    <xf numFmtId="0" fontId="102" fillId="0" borderId="0" applyNumberFormat="0" applyFill="0" applyBorder="0" applyAlignment="0" applyProtection="0">
      <alignment vertical="top"/>
      <protection locked="0"/>
    </xf>
    <xf numFmtId="0" fontId="1" fillId="0" borderId="0"/>
    <xf numFmtId="0" fontId="2" fillId="0" borderId="0"/>
    <xf numFmtId="9" fontId="109" fillId="0" borderId="0">
      <alignment horizontal="right"/>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5" fontId="2" fillId="0" borderId="0" applyFill="0" applyBorder="0" applyAlignment="0" applyProtection="0"/>
    <xf numFmtId="0" fontId="2" fillId="0" borderId="0"/>
    <xf numFmtId="0" fontId="2" fillId="0" borderId="0"/>
    <xf numFmtId="0" fontId="2" fillId="0" borderId="0"/>
    <xf numFmtId="0" fontId="2" fillId="0" borderId="0"/>
    <xf numFmtId="0" fontId="2" fillId="0" borderId="0"/>
    <xf numFmtId="186" fontId="2" fillId="0" borderId="0"/>
    <xf numFmtId="0" fontId="2" fillId="0" borderId="0"/>
    <xf numFmtId="186" fontId="2" fillId="0" borderId="0"/>
    <xf numFmtId="0" fontId="2" fillId="0" borderId="0"/>
    <xf numFmtId="186" fontId="2" fillId="0" borderId="0"/>
    <xf numFmtId="0" fontId="2" fillId="0" borderId="0"/>
    <xf numFmtId="186" fontId="2" fillId="0" borderId="0"/>
    <xf numFmtId="186"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 fillId="0" borderId="0">
      <alignment vertical="top"/>
    </xf>
    <xf numFmtId="0" fontId="6" fillId="0" borderId="0">
      <alignment vertical="top"/>
    </xf>
    <xf numFmtId="0" fontId="6" fillId="0" borderId="0">
      <alignment vertical="top"/>
    </xf>
    <xf numFmtId="0" fontId="6" fillId="0" borderId="0">
      <alignment vertical="top"/>
    </xf>
    <xf numFmtId="0" fontId="6" fillId="0" borderId="0">
      <alignment vertical="top"/>
    </xf>
    <xf numFmtId="0" fontId="110" fillId="0" borderId="0"/>
    <xf numFmtId="0" fontId="111" fillId="0" borderId="0"/>
    <xf numFmtId="0" fontId="11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horizontal="left" wrapText="1"/>
    </xf>
    <xf numFmtId="0" fontId="2" fillId="0" borderId="0">
      <alignment horizontal="left" wrapText="1"/>
    </xf>
    <xf numFmtId="0" fontId="111" fillId="0" borderId="0"/>
    <xf numFmtId="0" fontId="2" fillId="0" borderId="0"/>
    <xf numFmtId="0" fontId="2" fillId="0" borderId="0"/>
    <xf numFmtId="0" fontId="2" fillId="0" borderId="0"/>
    <xf numFmtId="0" fontId="111" fillId="0" borderId="0"/>
    <xf numFmtId="0" fontId="2" fillId="0" borderId="0"/>
    <xf numFmtId="0" fontId="2" fillId="0" borderId="0"/>
    <xf numFmtId="0" fontId="2" fillId="0" borderId="0"/>
    <xf numFmtId="0" fontId="2" fillId="0" borderId="0"/>
    <xf numFmtId="0" fontId="2" fillId="0" borderId="0"/>
    <xf numFmtId="0" fontId="110" fillId="0" borderId="0"/>
    <xf numFmtId="0" fontId="110" fillId="0" borderId="0"/>
    <xf numFmtId="0" fontId="11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lignment horizontal="left" wrapText="1"/>
    </xf>
    <xf numFmtId="0" fontId="2" fillId="0" borderId="0"/>
    <xf numFmtId="0" fontId="2" fillId="0" borderId="0"/>
    <xf numFmtId="0" fontId="112" fillId="0" borderId="247" applyNumberFormat="0" applyFill="0" applyProtection="0">
      <alignment horizontal="center"/>
    </xf>
    <xf numFmtId="0" fontId="2" fillId="0" borderId="0"/>
    <xf numFmtId="0" fontId="110" fillId="0" borderId="0"/>
    <xf numFmtId="0" fontId="2" fillId="0" borderId="0"/>
    <xf numFmtId="0" fontId="2" fillId="0" borderId="0"/>
    <xf numFmtId="187" fontId="113" fillId="0" borderId="0"/>
    <xf numFmtId="186"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6"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86" fontId="2" fillId="0" borderId="0"/>
    <xf numFmtId="0" fontId="2" fillId="0" borderId="0"/>
    <xf numFmtId="0" fontId="2" fillId="0" borderId="0"/>
    <xf numFmtId="186" fontId="2" fillId="0" borderId="0"/>
    <xf numFmtId="0" fontId="2" fillId="0" borderId="0"/>
    <xf numFmtId="186" fontId="2" fillId="0" borderId="0"/>
    <xf numFmtId="0" fontId="2" fillId="0" borderId="0"/>
    <xf numFmtId="186" fontId="2" fillId="0" borderId="0"/>
    <xf numFmtId="0" fontId="2" fillId="0" borderId="0"/>
    <xf numFmtId="186" fontId="2" fillId="0" borderId="0"/>
    <xf numFmtId="186" fontId="2" fillId="0" borderId="0"/>
    <xf numFmtId="0" fontId="2" fillId="0" borderId="0"/>
    <xf numFmtId="0" fontId="2" fillId="0" borderId="0"/>
    <xf numFmtId="188" fontId="40" fillId="0" borderId="0">
      <alignment horizontal="right" vertical="top"/>
    </xf>
    <xf numFmtId="171" fontId="2" fillId="0" borderId="0" applyFont="0" applyFill="0" applyBorder="0" applyProtection="0">
      <alignment horizontal="right"/>
    </xf>
    <xf numFmtId="171" fontId="2" fillId="0" borderId="0" applyFont="0" applyFill="0" applyBorder="0" applyProtection="0">
      <alignment horizontal="right"/>
    </xf>
    <xf numFmtId="171" fontId="2" fillId="0" borderId="0" applyFont="0" applyFill="0" applyBorder="0" applyProtection="0">
      <alignment horizontal="right"/>
    </xf>
    <xf numFmtId="171" fontId="2" fillId="0" borderId="0" applyFont="0" applyFill="0" applyBorder="0" applyProtection="0">
      <alignment horizontal="right"/>
    </xf>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114" fillId="48" borderId="0" applyNumberFormat="0" applyBorder="0" applyAlignment="0" applyProtection="0"/>
    <xf numFmtId="0" fontId="79" fillId="48" borderId="0" applyNumberFormat="0" applyBorder="0" applyAlignment="0" applyProtection="0"/>
    <xf numFmtId="0" fontId="114" fillId="47" borderId="0" applyNumberFormat="0" applyBorder="0" applyAlignment="0" applyProtection="0"/>
    <xf numFmtId="0" fontId="114" fillId="47" borderId="0" applyNumberFormat="0" applyBorder="0" applyAlignment="0" applyProtection="0"/>
    <xf numFmtId="0" fontId="1" fillId="49" borderId="0"/>
    <xf numFmtId="0" fontId="1" fillId="49" borderId="0"/>
    <xf numFmtId="0" fontId="1" fillId="49" borderId="0"/>
    <xf numFmtId="0" fontId="1" fillId="49" borderId="0"/>
    <xf numFmtId="0" fontId="1" fillId="49" borderId="0"/>
    <xf numFmtId="0" fontId="79" fillId="47" borderId="0"/>
    <xf numFmtId="0" fontId="79" fillId="48" borderId="0" applyNumberFormat="0" applyBorder="0" applyAlignment="0" applyProtection="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8" borderId="0" applyNumberFormat="0" applyBorder="0" applyAlignment="0" applyProtection="0"/>
    <xf numFmtId="0" fontId="115" fillId="50" borderId="0" applyNumberFormat="0" applyBorder="0" applyAlignment="0" applyProtection="0"/>
    <xf numFmtId="0" fontId="79" fillId="51" borderId="0" applyNumberFormat="0" applyBorder="0" applyAlignment="0" applyProtection="0"/>
    <xf numFmtId="0" fontId="79" fillId="47" borderId="0"/>
    <xf numFmtId="0" fontId="79" fillId="47" borderId="0"/>
    <xf numFmtId="0" fontId="79" fillId="47" borderId="0"/>
    <xf numFmtId="0" fontId="79" fillId="47" borderId="0"/>
    <xf numFmtId="0" fontId="79" fillId="47" borderId="0"/>
    <xf numFmtId="0" fontId="116" fillId="4" borderId="0"/>
    <xf numFmtId="0" fontId="79" fillId="47" borderId="0"/>
    <xf numFmtId="0" fontId="116" fillId="4" borderId="0"/>
    <xf numFmtId="0" fontId="79" fillId="47" borderId="0"/>
    <xf numFmtId="0" fontId="116" fillId="4" borderId="0"/>
    <xf numFmtId="0" fontId="79" fillId="47" borderId="0"/>
    <xf numFmtId="0" fontId="116" fillId="4" borderId="0"/>
    <xf numFmtId="0" fontId="116" fillId="4" borderId="0"/>
    <xf numFmtId="0" fontId="79" fillId="47" borderId="0"/>
    <xf numFmtId="0" fontId="79" fillId="47" borderId="0"/>
    <xf numFmtId="0" fontId="79" fillId="47" borderId="0"/>
    <xf numFmtId="0" fontId="79" fillId="47" borderId="0"/>
    <xf numFmtId="0" fontId="79" fillId="47" borderId="0"/>
    <xf numFmtId="0" fontId="79" fillId="48" borderId="0" applyNumberFormat="0" applyBorder="0" applyAlignment="0" applyProtection="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79" fillId="47" borderId="0"/>
    <xf numFmtId="0" fontId="116" fillId="4" borderId="0"/>
    <xf numFmtId="0" fontId="79" fillId="47" borderId="0"/>
    <xf numFmtId="0" fontId="116" fillId="4" borderId="0"/>
    <xf numFmtId="0" fontId="79" fillId="47" borderId="0"/>
    <xf numFmtId="0" fontId="116" fillId="4" borderId="0"/>
    <xf numFmtId="0" fontId="116" fillId="4" borderId="0"/>
    <xf numFmtId="0" fontId="79" fillId="47" borderId="0"/>
    <xf numFmtId="0" fontId="79" fillId="47" borderId="0"/>
    <xf numFmtId="0" fontId="100" fillId="49" borderId="0"/>
    <xf numFmtId="0" fontId="79" fillId="47" borderId="0"/>
    <xf numFmtId="0" fontId="117" fillId="22" borderId="0" applyNumberFormat="0" applyBorder="0" applyAlignment="0" applyProtection="0"/>
    <xf numFmtId="0" fontId="79" fillId="47" borderId="0"/>
    <xf numFmtId="0" fontId="79" fillId="47" borderId="0"/>
    <xf numFmtId="0" fontId="79" fillId="47"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114" fillId="52" borderId="0" applyNumberFormat="0" applyBorder="0" applyAlignment="0" applyProtection="0"/>
    <xf numFmtId="0" fontId="79" fillId="52" borderId="0" applyNumberFormat="0" applyBorder="0" applyAlignment="0" applyProtection="0"/>
    <xf numFmtId="0" fontId="114" fillId="6" borderId="0" applyNumberFormat="0" applyBorder="0" applyAlignment="0" applyProtection="0"/>
    <xf numFmtId="0" fontId="114" fillId="6" borderId="0" applyNumberFormat="0" applyBorder="0" applyAlignment="0" applyProtection="0"/>
    <xf numFmtId="0" fontId="1" fillId="53" borderId="0"/>
    <xf numFmtId="0" fontId="1" fillId="53" borderId="0"/>
    <xf numFmtId="0" fontId="1" fillId="53" borderId="0"/>
    <xf numFmtId="0" fontId="1" fillId="53" borderId="0"/>
    <xf numFmtId="0" fontId="1" fillId="53" borderId="0"/>
    <xf numFmtId="0" fontId="79" fillId="6" borderId="0"/>
    <xf numFmtId="0" fontId="79" fillId="52" borderId="0" applyNumberFormat="0" applyBorder="0" applyAlignment="0" applyProtection="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52" borderId="0" applyNumberFormat="0" applyBorder="0" applyAlignment="0" applyProtection="0"/>
    <xf numFmtId="0" fontId="115" fillId="54" borderId="0" applyNumberFormat="0" applyBorder="0" applyAlignment="0" applyProtection="0"/>
    <xf numFmtId="0" fontId="79" fillId="55" borderId="0" applyNumberFormat="0" applyBorder="0" applyAlignment="0" applyProtection="0"/>
    <xf numFmtId="0" fontId="79" fillId="6" borderId="0"/>
    <xf numFmtId="0" fontId="79" fillId="6" borderId="0"/>
    <xf numFmtId="0" fontId="79" fillId="6" borderId="0"/>
    <xf numFmtId="0" fontId="79" fillId="6" borderId="0"/>
    <xf numFmtId="0" fontId="79" fillId="6" borderId="0"/>
    <xf numFmtId="0" fontId="116" fillId="56" borderId="0"/>
    <xf numFmtId="0" fontId="79" fillId="6" borderId="0"/>
    <xf numFmtId="0" fontId="116" fillId="56" borderId="0"/>
    <xf numFmtId="0" fontId="79" fillId="6" borderId="0"/>
    <xf numFmtId="0" fontId="116" fillId="56" borderId="0"/>
    <xf numFmtId="0" fontId="79" fillId="6" borderId="0"/>
    <xf numFmtId="0" fontId="116" fillId="56" borderId="0"/>
    <xf numFmtId="0" fontId="116" fillId="56" borderId="0"/>
    <xf numFmtId="0" fontId="79" fillId="6" borderId="0"/>
    <xf numFmtId="0" fontId="79" fillId="6" borderId="0"/>
    <xf numFmtId="0" fontId="79" fillId="6" borderId="0"/>
    <xf numFmtId="0" fontId="79" fillId="6" borderId="0"/>
    <xf numFmtId="0" fontId="79" fillId="6" borderId="0"/>
    <xf numFmtId="0" fontId="79" fillId="52" borderId="0" applyNumberFormat="0" applyBorder="0" applyAlignment="0" applyProtection="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79" fillId="6" borderId="0"/>
    <xf numFmtId="0" fontId="116" fillId="56" borderId="0"/>
    <xf numFmtId="0" fontId="79" fillId="6" borderId="0"/>
    <xf numFmtId="0" fontId="116" fillId="56" borderId="0"/>
    <xf numFmtId="0" fontId="79" fillId="6" borderId="0"/>
    <xf numFmtId="0" fontId="116" fillId="56" borderId="0"/>
    <xf numFmtId="0" fontId="116" fillId="56" borderId="0"/>
    <xf numFmtId="0" fontId="79" fillId="6" borderId="0"/>
    <xf numFmtId="0" fontId="79" fillId="6" borderId="0"/>
    <xf numFmtId="0" fontId="100" fillId="53" borderId="0"/>
    <xf numFmtId="0" fontId="79" fillId="6" borderId="0"/>
    <xf numFmtId="0" fontId="117" fillId="26" borderId="0" applyNumberFormat="0" applyBorder="0" applyAlignment="0" applyProtection="0"/>
    <xf numFmtId="0" fontId="79" fillId="6" borderId="0"/>
    <xf numFmtId="0" fontId="79" fillId="6" borderId="0"/>
    <xf numFmtId="0" fontId="79" fillId="6"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114" fillId="57" borderId="0" applyNumberFormat="0" applyBorder="0" applyAlignment="0" applyProtection="0"/>
    <xf numFmtId="0" fontId="79" fillId="57" borderId="0" applyNumberFormat="0" applyBorder="0" applyAlignment="0" applyProtection="0"/>
    <xf numFmtId="0" fontId="114" fillId="2" borderId="0" applyNumberFormat="0" applyBorder="0" applyAlignment="0" applyProtection="0"/>
    <xf numFmtId="0" fontId="114" fillId="2" borderId="0" applyNumberFormat="0" applyBorder="0" applyAlignment="0" applyProtection="0"/>
    <xf numFmtId="0" fontId="1" fillId="58" borderId="0"/>
    <xf numFmtId="0" fontId="1" fillId="58" borderId="0"/>
    <xf numFmtId="0" fontId="1" fillId="58" borderId="0"/>
    <xf numFmtId="0" fontId="1" fillId="58" borderId="0"/>
    <xf numFmtId="0" fontId="1" fillId="58" borderId="0"/>
    <xf numFmtId="0" fontId="79" fillId="2" borderId="0"/>
    <xf numFmtId="0" fontId="79" fillId="57" borderId="0" applyNumberFormat="0" applyBorder="0" applyAlignment="0" applyProtection="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57" borderId="0" applyNumberFormat="0" applyBorder="0" applyAlignment="0" applyProtection="0"/>
    <xf numFmtId="0" fontId="115" fillId="59" borderId="0" applyNumberFormat="0" applyBorder="0" applyAlignment="0" applyProtection="0"/>
    <xf numFmtId="0" fontId="79" fillId="50" borderId="0" applyNumberFormat="0" applyBorder="0" applyAlignment="0" applyProtection="0"/>
    <xf numFmtId="0" fontId="79" fillId="2" borderId="0"/>
    <xf numFmtId="0" fontId="79" fillId="2" borderId="0"/>
    <xf numFmtId="0" fontId="79" fillId="2" borderId="0"/>
    <xf numFmtId="0" fontId="79" fillId="2" borderId="0"/>
    <xf numFmtId="0" fontId="79" fillId="2" borderId="0"/>
    <xf numFmtId="0" fontId="116" fillId="60" borderId="0"/>
    <xf numFmtId="0" fontId="79" fillId="2" borderId="0"/>
    <xf numFmtId="0" fontId="116" fillId="60" borderId="0"/>
    <xf numFmtId="0" fontId="79" fillId="2" borderId="0"/>
    <xf numFmtId="0" fontId="116" fillId="60" borderId="0"/>
    <xf numFmtId="0" fontId="79" fillId="2" borderId="0"/>
    <xf numFmtId="0" fontId="116" fillId="60" borderId="0"/>
    <xf numFmtId="0" fontId="116" fillId="60" borderId="0"/>
    <xf numFmtId="0" fontId="79" fillId="2" borderId="0"/>
    <xf numFmtId="0" fontId="79" fillId="2" borderId="0"/>
    <xf numFmtId="0" fontId="79" fillId="2" borderId="0"/>
    <xf numFmtId="0" fontId="79" fillId="2" borderId="0"/>
    <xf numFmtId="0" fontId="79" fillId="2" borderId="0"/>
    <xf numFmtId="0" fontId="79" fillId="57" borderId="0" applyNumberFormat="0" applyBorder="0" applyAlignment="0" applyProtection="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79" fillId="2" borderId="0"/>
    <xf numFmtId="0" fontId="116" fillId="60" borderId="0"/>
    <xf numFmtId="0" fontId="79" fillId="2" borderId="0"/>
    <xf numFmtId="0" fontId="116" fillId="60" borderId="0"/>
    <xf numFmtId="0" fontId="79" fillId="2" borderId="0"/>
    <xf numFmtId="0" fontId="116" fillId="60" borderId="0"/>
    <xf numFmtId="0" fontId="116" fillId="60" borderId="0"/>
    <xf numFmtId="0" fontId="79" fillId="2" borderId="0"/>
    <xf numFmtId="0" fontId="79" fillId="2" borderId="0"/>
    <xf numFmtId="0" fontId="100" fillId="58" borderId="0"/>
    <xf numFmtId="0" fontId="79" fillId="2" borderId="0"/>
    <xf numFmtId="0" fontId="117" fillId="30" borderId="0" applyNumberFormat="0" applyBorder="0" applyAlignment="0" applyProtection="0"/>
    <xf numFmtId="0" fontId="79" fillId="2" borderId="0"/>
    <xf numFmtId="0" fontId="79" fillId="2" borderId="0"/>
    <xf numFmtId="0" fontId="79" fillId="2"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114" fillId="62" borderId="0" applyNumberFormat="0" applyBorder="0" applyAlignment="0" applyProtection="0"/>
    <xf numFmtId="0" fontId="79" fillId="62" borderId="0" applyNumberFormat="0" applyBorder="0" applyAlignment="0" applyProtection="0"/>
    <xf numFmtId="0" fontId="114" fillId="61" borderId="0" applyNumberFormat="0" applyBorder="0" applyAlignment="0" applyProtection="0"/>
    <xf numFmtId="0" fontId="114" fillId="61" borderId="0" applyNumberFormat="0" applyBorder="0" applyAlignment="0" applyProtection="0"/>
    <xf numFmtId="0" fontId="1" fillId="63" borderId="0"/>
    <xf numFmtId="0" fontId="1" fillId="63" borderId="0"/>
    <xf numFmtId="0" fontId="1" fillId="63" borderId="0"/>
    <xf numFmtId="0" fontId="1" fillId="63" borderId="0"/>
    <xf numFmtId="0" fontId="1" fillId="63" borderId="0"/>
    <xf numFmtId="0" fontId="79" fillId="61" borderId="0"/>
    <xf numFmtId="0" fontId="79" fillId="62" borderId="0" applyNumberFormat="0" applyBorder="0" applyAlignment="0" applyProtection="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2" borderId="0" applyNumberFormat="0" applyBorder="0" applyAlignment="0" applyProtection="0"/>
    <xf numFmtId="0" fontId="115" fillId="64" borderId="0" applyNumberFormat="0" applyBorder="0" applyAlignment="0" applyProtection="0"/>
    <xf numFmtId="0" fontId="79" fillId="65" borderId="0" applyNumberFormat="0" applyBorder="0" applyAlignment="0" applyProtection="0"/>
    <xf numFmtId="0" fontId="79" fillId="61" borderId="0"/>
    <xf numFmtId="0" fontId="79" fillId="61" borderId="0"/>
    <xf numFmtId="0" fontId="79" fillId="61" borderId="0"/>
    <xf numFmtId="0" fontId="79" fillId="61" borderId="0"/>
    <xf numFmtId="0" fontId="79" fillId="61" borderId="0"/>
    <xf numFmtId="0" fontId="116" fillId="4" borderId="0"/>
    <xf numFmtId="0" fontId="79" fillId="61" borderId="0"/>
    <xf numFmtId="0" fontId="116" fillId="4" borderId="0"/>
    <xf numFmtId="0" fontId="79" fillId="61" borderId="0"/>
    <xf numFmtId="0" fontId="116" fillId="4" borderId="0"/>
    <xf numFmtId="0" fontId="79" fillId="61" borderId="0"/>
    <xf numFmtId="0" fontId="116" fillId="4" borderId="0"/>
    <xf numFmtId="0" fontId="116" fillId="4" borderId="0"/>
    <xf numFmtId="0" fontId="79" fillId="61" borderId="0"/>
    <xf numFmtId="0" fontId="79" fillId="61" borderId="0"/>
    <xf numFmtId="0" fontId="79" fillId="61" borderId="0"/>
    <xf numFmtId="0" fontId="79" fillId="61" borderId="0"/>
    <xf numFmtId="0" fontId="79" fillId="61" borderId="0"/>
    <xf numFmtId="0" fontId="79" fillId="62" borderId="0" applyNumberFormat="0" applyBorder="0" applyAlignment="0" applyProtection="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116" fillId="4" borderId="0"/>
    <xf numFmtId="0" fontId="79" fillId="61" borderId="0"/>
    <xf numFmtId="0" fontId="116" fillId="4" borderId="0"/>
    <xf numFmtId="0" fontId="79" fillId="61" borderId="0"/>
    <xf numFmtId="0" fontId="116" fillId="4" borderId="0"/>
    <xf numFmtId="0" fontId="116" fillId="4" borderId="0"/>
    <xf numFmtId="0" fontId="79" fillId="61" borderId="0"/>
    <xf numFmtId="0" fontId="79" fillId="61" borderId="0"/>
    <xf numFmtId="0" fontId="100" fillId="63" borderId="0"/>
    <xf numFmtId="0" fontId="79" fillId="61" borderId="0"/>
    <xf numFmtId="0" fontId="117" fillId="34" borderId="0" applyNumberFormat="0" applyBorder="0" applyAlignment="0" applyProtection="0"/>
    <xf numFmtId="0" fontId="79" fillId="61" borderId="0"/>
    <xf numFmtId="0" fontId="79" fillId="61" borderId="0"/>
    <xf numFmtId="0" fontId="79" fillId="61"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114" fillId="67" borderId="0" applyNumberFormat="0" applyBorder="0" applyAlignment="0" applyProtection="0"/>
    <xf numFmtId="0" fontId="79" fillId="67" borderId="0" applyNumberFormat="0" applyBorder="0" applyAlignment="0" applyProtection="0"/>
    <xf numFmtId="0" fontId="114" fillId="66" borderId="0" applyNumberFormat="0" applyBorder="0" applyAlignment="0" applyProtection="0"/>
    <xf numFmtId="0" fontId="114" fillId="66" borderId="0" applyNumberFormat="0" applyBorder="0" applyAlignment="0" applyProtection="0"/>
    <xf numFmtId="0" fontId="1" fillId="68" borderId="0"/>
    <xf numFmtId="0" fontId="1" fillId="68" borderId="0"/>
    <xf numFmtId="0" fontId="1" fillId="68" borderId="0"/>
    <xf numFmtId="0" fontId="1" fillId="68" borderId="0"/>
    <xf numFmtId="0" fontId="1" fillId="68" borderId="0"/>
    <xf numFmtId="0" fontId="79" fillId="66" borderId="0"/>
    <xf numFmtId="0" fontId="79" fillId="67" borderId="0" applyNumberFormat="0" applyBorder="0" applyAlignment="0" applyProtection="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7" borderId="0" applyNumberFormat="0" applyBorder="0" applyAlignment="0" applyProtection="0"/>
    <xf numFmtId="0" fontId="115" fillId="69" borderId="0" applyNumberFormat="0" applyBorder="0" applyAlignment="0" applyProtection="0"/>
    <xf numFmtId="0" fontId="79" fillId="66" borderId="0"/>
    <xf numFmtId="0" fontId="79" fillId="66" borderId="0"/>
    <xf numFmtId="0" fontId="79" fillId="66" borderId="0"/>
    <xf numFmtId="0" fontId="79" fillId="66" borderId="0"/>
    <xf numFmtId="0" fontId="79" fillId="66" borderId="0"/>
    <xf numFmtId="0" fontId="116" fillId="68" borderId="0"/>
    <xf numFmtId="0" fontId="79" fillId="66" borderId="0"/>
    <xf numFmtId="0" fontId="116" fillId="68" borderId="0"/>
    <xf numFmtId="0" fontId="79" fillId="66" borderId="0"/>
    <xf numFmtId="0" fontId="116" fillId="68" borderId="0"/>
    <xf numFmtId="0" fontId="79" fillId="66" borderId="0"/>
    <xf numFmtId="0" fontId="116" fillId="68" borderId="0"/>
    <xf numFmtId="0" fontId="116" fillId="68" borderId="0"/>
    <xf numFmtId="0" fontId="79" fillId="66" borderId="0"/>
    <xf numFmtId="0" fontId="79" fillId="66" borderId="0"/>
    <xf numFmtId="0" fontId="79" fillId="66" borderId="0"/>
    <xf numFmtId="0" fontId="79" fillId="66" borderId="0"/>
    <xf numFmtId="0" fontId="79" fillId="66" borderId="0"/>
    <xf numFmtId="0" fontId="79" fillId="67" borderId="0" applyNumberFormat="0" applyBorder="0" applyAlignment="0" applyProtection="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79" fillId="66" borderId="0"/>
    <xf numFmtId="0" fontId="116" fillId="68" borderId="0"/>
    <xf numFmtId="0" fontId="79" fillId="66" borderId="0"/>
    <xf numFmtId="0" fontId="79" fillId="66" borderId="0"/>
    <xf numFmtId="0" fontId="116" fillId="68" borderId="0"/>
    <xf numFmtId="0" fontId="116" fillId="68" borderId="0"/>
    <xf numFmtId="0" fontId="79" fillId="66" borderId="0"/>
    <xf numFmtId="0" fontId="79" fillId="66" borderId="0"/>
    <xf numFmtId="0" fontId="100" fillId="68" borderId="0"/>
    <xf numFmtId="0" fontId="79" fillId="66" borderId="0"/>
    <xf numFmtId="0" fontId="117" fillId="38" borderId="0" applyNumberFormat="0" applyBorder="0" applyAlignment="0" applyProtection="0"/>
    <xf numFmtId="0" fontId="79" fillId="66" borderId="0"/>
    <xf numFmtId="0" fontId="79" fillId="66" borderId="0"/>
    <xf numFmtId="0" fontId="79" fillId="6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114" fillId="65" borderId="0" applyNumberFormat="0" applyBorder="0" applyAlignment="0" applyProtection="0"/>
    <xf numFmtId="0" fontId="79" fillId="65" borderId="0" applyNumberFormat="0" applyBorder="0" applyAlignment="0" applyProtection="0"/>
    <xf numFmtId="0" fontId="114" fillId="56" borderId="0" applyNumberFormat="0" applyBorder="0" applyAlignment="0" applyProtection="0"/>
    <xf numFmtId="0" fontId="114" fillId="56" borderId="0" applyNumberFormat="0" applyBorder="0" applyAlignment="0" applyProtection="0"/>
    <xf numFmtId="0" fontId="1" fillId="70" borderId="0"/>
    <xf numFmtId="0" fontId="1" fillId="70" borderId="0"/>
    <xf numFmtId="0" fontId="1" fillId="70" borderId="0"/>
    <xf numFmtId="0" fontId="1" fillId="70" borderId="0"/>
    <xf numFmtId="0" fontId="1" fillId="70" borderId="0"/>
    <xf numFmtId="0" fontId="79" fillId="56" borderId="0"/>
    <xf numFmtId="0" fontId="79" fillId="65" borderId="0" applyNumberFormat="0" applyBorder="0" applyAlignment="0" applyProtection="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65" borderId="0" applyNumberFormat="0" applyBorder="0" applyAlignment="0" applyProtection="0"/>
    <xf numFmtId="0" fontId="115" fillId="71" borderId="0" applyNumberFormat="0" applyBorder="0" applyAlignment="0" applyProtection="0"/>
    <xf numFmtId="0" fontId="79" fillId="50" borderId="0" applyNumberFormat="0" applyBorder="0" applyAlignment="0" applyProtection="0"/>
    <xf numFmtId="0" fontId="79" fillId="56" borderId="0"/>
    <xf numFmtId="0" fontId="79" fillId="56" borderId="0"/>
    <xf numFmtId="0" fontId="79" fillId="56" borderId="0"/>
    <xf numFmtId="0" fontId="79" fillId="56" borderId="0"/>
    <xf numFmtId="0" fontId="79" fillId="56" borderId="0"/>
    <xf numFmtId="0" fontId="116" fillId="70" borderId="0"/>
    <xf numFmtId="0" fontId="79" fillId="56" borderId="0"/>
    <xf numFmtId="0" fontId="116" fillId="70" borderId="0"/>
    <xf numFmtId="0" fontId="79" fillId="56" borderId="0"/>
    <xf numFmtId="0" fontId="116" fillId="70" borderId="0"/>
    <xf numFmtId="0" fontId="79" fillId="56" borderId="0"/>
    <xf numFmtId="0" fontId="116" fillId="70" borderId="0"/>
    <xf numFmtId="0" fontId="116" fillId="70" borderId="0"/>
    <xf numFmtId="0" fontId="79" fillId="56" borderId="0"/>
    <xf numFmtId="0" fontId="79" fillId="56" borderId="0"/>
    <xf numFmtId="0" fontId="79" fillId="56" borderId="0"/>
    <xf numFmtId="0" fontId="79" fillId="56" borderId="0"/>
    <xf numFmtId="0" fontId="79" fillId="56" borderId="0"/>
    <xf numFmtId="0" fontId="79" fillId="65" borderId="0" applyNumberFormat="0" applyBorder="0" applyAlignment="0" applyProtection="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79" fillId="56" borderId="0"/>
    <xf numFmtId="0" fontId="116" fillId="70" borderId="0"/>
    <xf numFmtId="0" fontId="79" fillId="56" borderId="0"/>
    <xf numFmtId="0" fontId="79" fillId="56" borderId="0"/>
    <xf numFmtId="0" fontId="116" fillId="70" borderId="0"/>
    <xf numFmtId="0" fontId="116" fillId="70" borderId="0"/>
    <xf numFmtId="0" fontId="79" fillId="56" borderId="0"/>
    <xf numFmtId="0" fontId="79" fillId="56" borderId="0"/>
    <xf numFmtId="0" fontId="100" fillId="70" borderId="0"/>
    <xf numFmtId="0" fontId="79" fillId="56" borderId="0"/>
    <xf numFmtId="0" fontId="117" fillId="42" borderId="0" applyNumberFormat="0" applyBorder="0" applyAlignment="0" applyProtection="0"/>
    <xf numFmtId="0" fontId="79" fillId="56" borderId="0"/>
    <xf numFmtId="0" fontId="79" fillId="56" borderId="0"/>
    <xf numFmtId="0" fontId="79" fillId="56" borderId="0"/>
    <xf numFmtId="0" fontId="79" fillId="72" borderId="0" applyNumberFormat="0" applyBorder="0" applyAlignment="0" applyProtection="0"/>
    <xf numFmtId="0" fontId="79" fillId="73" borderId="0"/>
    <xf numFmtId="0" fontId="79" fillId="65" borderId="0" applyNumberFormat="0" applyBorder="0" applyAlignment="0" applyProtection="0"/>
    <xf numFmtId="0" fontId="79" fillId="56" borderId="0"/>
    <xf numFmtId="0" fontId="79" fillId="57" borderId="0" applyNumberFormat="0" applyBorder="0" applyAlignment="0" applyProtection="0"/>
    <xf numFmtId="0" fontId="79" fillId="2" borderId="0"/>
    <xf numFmtId="0" fontId="79" fillId="59" borderId="0" applyNumberFormat="0" applyBorder="0" applyAlignment="0" applyProtection="0"/>
    <xf numFmtId="0" fontId="79" fillId="7" borderId="0"/>
    <xf numFmtId="0" fontId="79" fillId="72" borderId="0" applyNumberFormat="0" applyBorder="0" applyAlignment="0" applyProtection="0"/>
    <xf numFmtId="0" fontId="79" fillId="73" borderId="0"/>
    <xf numFmtId="0" fontId="79" fillId="65" borderId="0" applyNumberFormat="0" applyBorder="0" applyAlignment="0" applyProtection="0"/>
    <xf numFmtId="0" fontId="79" fillId="56" borderId="0"/>
    <xf numFmtId="169" fontId="2" fillId="0" borderId="0" applyFont="0" applyFill="0" applyBorder="0" applyProtection="0">
      <alignment horizontal="right"/>
    </xf>
    <xf numFmtId="169" fontId="2" fillId="0" borderId="0" applyFont="0" applyFill="0" applyBorder="0" applyProtection="0">
      <alignment horizontal="right"/>
    </xf>
    <xf numFmtId="169" fontId="2" fillId="0" borderId="0" applyFont="0" applyFill="0" applyBorder="0" applyProtection="0">
      <alignment horizontal="right"/>
    </xf>
    <xf numFmtId="169" fontId="2" fillId="0" borderId="0" applyFont="0" applyFill="0" applyBorder="0" applyProtection="0">
      <alignment horizontal="right"/>
    </xf>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114" fillId="51" borderId="0" applyNumberFormat="0" applyBorder="0" applyAlignment="0" applyProtection="0"/>
    <xf numFmtId="0" fontId="79" fillId="51" borderId="0" applyNumberFormat="0" applyBorder="0" applyAlignment="0" applyProtection="0"/>
    <xf numFmtId="0" fontId="114" fillId="74" borderId="0" applyNumberFormat="0" applyBorder="0" applyAlignment="0" applyProtection="0"/>
    <xf numFmtId="0" fontId="114" fillId="74" borderId="0" applyNumberFormat="0" applyBorder="0" applyAlignment="0" applyProtection="0"/>
    <xf numFmtId="0" fontId="1" fillId="75" borderId="0"/>
    <xf numFmtId="0" fontId="1" fillId="75" borderId="0"/>
    <xf numFmtId="0" fontId="1" fillId="75" borderId="0"/>
    <xf numFmtId="0" fontId="1" fillId="75" borderId="0"/>
    <xf numFmtId="0" fontId="1" fillId="75" borderId="0"/>
    <xf numFmtId="0" fontId="79" fillId="74" borderId="0"/>
    <xf numFmtId="0" fontId="79" fillId="51" borderId="0" applyNumberFormat="0" applyBorder="0" applyAlignment="0" applyProtection="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51" borderId="0" applyNumberFormat="0" applyBorder="0" applyAlignment="0" applyProtection="0"/>
    <xf numFmtId="0" fontId="115" fillId="50" borderId="0" applyNumberFormat="0" applyBorder="0" applyAlignment="0" applyProtection="0"/>
    <xf numFmtId="0" fontId="79" fillId="67" borderId="0" applyNumberFormat="0" applyBorder="0" applyAlignment="0" applyProtection="0"/>
    <xf numFmtId="0" fontId="79" fillId="74" borderId="0"/>
    <xf numFmtId="0" fontId="79" fillId="74" borderId="0"/>
    <xf numFmtId="0" fontId="79" fillId="74" borderId="0"/>
    <xf numFmtId="0" fontId="79" fillId="74" borderId="0"/>
    <xf numFmtId="0" fontId="79" fillId="74" borderId="0"/>
    <xf numFmtId="0" fontId="116" fillId="7" borderId="0"/>
    <xf numFmtId="0" fontId="79" fillId="74" borderId="0"/>
    <xf numFmtId="0" fontId="116" fillId="7" borderId="0"/>
    <xf numFmtId="0" fontId="79" fillId="74" borderId="0"/>
    <xf numFmtId="0" fontId="116" fillId="7" borderId="0"/>
    <xf numFmtId="0" fontId="79" fillId="74" borderId="0"/>
    <xf numFmtId="0" fontId="116" fillId="7" borderId="0"/>
    <xf numFmtId="0" fontId="116" fillId="7" borderId="0"/>
    <xf numFmtId="0" fontId="79" fillId="74" borderId="0"/>
    <xf numFmtId="0" fontId="79" fillId="74" borderId="0"/>
    <xf numFmtId="0" fontId="79" fillId="74" borderId="0"/>
    <xf numFmtId="0" fontId="79" fillId="74" borderId="0"/>
    <xf numFmtId="0" fontId="79" fillId="74" borderId="0"/>
    <xf numFmtId="0" fontId="79" fillId="51" borderId="0" applyNumberFormat="0" applyBorder="0" applyAlignment="0" applyProtection="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116" fillId="7" borderId="0"/>
    <xf numFmtId="0" fontId="79" fillId="74" borderId="0"/>
    <xf numFmtId="0" fontId="116" fillId="7" borderId="0"/>
    <xf numFmtId="0" fontId="79" fillId="74" borderId="0"/>
    <xf numFmtId="0" fontId="116" fillId="7" borderId="0"/>
    <xf numFmtId="0" fontId="116" fillId="7" borderId="0"/>
    <xf numFmtId="0" fontId="79" fillId="74" borderId="0"/>
    <xf numFmtId="0" fontId="79" fillId="74" borderId="0"/>
    <xf numFmtId="0" fontId="100" fillId="75" borderId="0"/>
    <xf numFmtId="0" fontId="79" fillId="74" borderId="0"/>
    <xf numFmtId="0" fontId="117" fillId="23" borderId="0" applyNumberFormat="0" applyBorder="0" applyAlignment="0" applyProtection="0"/>
    <xf numFmtId="0" fontId="79" fillId="74" borderId="0"/>
    <xf numFmtId="0" fontId="79" fillId="74" borderId="0"/>
    <xf numFmtId="0" fontId="79" fillId="74"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114" fillId="55" borderId="0" applyNumberFormat="0" applyBorder="0" applyAlignment="0" applyProtection="0"/>
    <xf numFmtId="0" fontId="79" fillId="55" borderId="0" applyNumberFormat="0" applyBorder="0" applyAlignment="0" applyProtection="0"/>
    <xf numFmtId="0" fontId="114" fillId="76" borderId="0" applyNumberFormat="0" applyBorder="0" applyAlignment="0" applyProtection="0"/>
    <xf numFmtId="0" fontId="114" fillId="76" borderId="0" applyNumberFormat="0" applyBorder="0" applyAlignment="0" applyProtection="0"/>
    <xf numFmtId="0" fontId="1" fillId="77" borderId="0"/>
    <xf numFmtId="0" fontId="1" fillId="77" borderId="0"/>
    <xf numFmtId="0" fontId="1" fillId="77" borderId="0"/>
    <xf numFmtId="0" fontId="1" fillId="77" borderId="0"/>
    <xf numFmtId="0" fontId="1" fillId="77" borderId="0"/>
    <xf numFmtId="0" fontId="79" fillId="76" borderId="0"/>
    <xf numFmtId="0" fontId="79" fillId="55" borderId="0" applyNumberFormat="0" applyBorder="0" applyAlignment="0" applyProtection="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55" borderId="0" applyNumberFormat="0" applyBorder="0" applyAlignment="0" applyProtection="0"/>
    <xf numFmtId="0" fontId="115" fillId="54" borderId="0" applyNumberFormat="0" applyBorder="0" applyAlignment="0" applyProtection="0"/>
    <xf numFmtId="0" fontId="79" fillId="76" borderId="0"/>
    <xf numFmtId="0" fontId="79" fillId="76" borderId="0"/>
    <xf numFmtId="0" fontId="79" fillId="76" borderId="0"/>
    <xf numFmtId="0" fontId="79" fillId="76" borderId="0"/>
    <xf numFmtId="0" fontId="79" fillId="76" borderId="0"/>
    <xf numFmtId="0" fontId="116" fillId="77" borderId="0"/>
    <xf numFmtId="0" fontId="79" fillId="76" borderId="0"/>
    <xf numFmtId="0" fontId="116" fillId="77" borderId="0"/>
    <xf numFmtId="0" fontId="79" fillId="76" borderId="0"/>
    <xf numFmtId="0" fontId="116" fillId="77" borderId="0"/>
    <xf numFmtId="0" fontId="79" fillId="76" borderId="0"/>
    <xf numFmtId="0" fontId="116" fillId="77" borderId="0"/>
    <xf numFmtId="0" fontId="116" fillId="77" borderId="0"/>
    <xf numFmtId="0" fontId="79" fillId="76" borderId="0"/>
    <xf numFmtId="0" fontId="79" fillId="76" borderId="0"/>
    <xf numFmtId="0" fontId="79" fillId="76" borderId="0"/>
    <xf numFmtId="0" fontId="79" fillId="76" borderId="0"/>
    <xf numFmtId="0" fontId="79" fillId="76" borderId="0"/>
    <xf numFmtId="0" fontId="79" fillId="55" borderId="0" applyNumberFormat="0" applyBorder="0" applyAlignment="0" applyProtection="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79" fillId="76" borderId="0"/>
    <xf numFmtId="0" fontId="116" fillId="77" borderId="0"/>
    <xf numFmtId="0" fontId="79" fillId="76" borderId="0"/>
    <xf numFmtId="0" fontId="79" fillId="76" borderId="0"/>
    <xf numFmtId="0" fontId="116" fillId="77" borderId="0"/>
    <xf numFmtId="0" fontId="116" fillId="77" borderId="0"/>
    <xf numFmtId="0" fontId="79" fillId="76" borderId="0"/>
    <xf numFmtId="0" fontId="79" fillId="76" borderId="0"/>
    <xf numFmtId="0" fontId="100" fillId="77" borderId="0"/>
    <xf numFmtId="0" fontId="79" fillId="76" borderId="0"/>
    <xf numFmtId="0" fontId="117" fillId="27" borderId="0" applyNumberFormat="0" applyBorder="0" applyAlignment="0" applyProtection="0"/>
    <xf numFmtId="0" fontId="79" fillId="76" borderId="0"/>
    <xf numFmtId="0" fontId="79" fillId="76" borderId="0"/>
    <xf numFmtId="0" fontId="79" fillId="76"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114" fillId="79" borderId="0" applyNumberFormat="0" applyBorder="0" applyAlignment="0" applyProtection="0"/>
    <xf numFmtId="0" fontId="79" fillId="79" borderId="0" applyNumberFormat="0" applyBorder="0" applyAlignment="0" applyProtection="0"/>
    <xf numFmtId="0" fontId="114" fillId="78" borderId="0" applyNumberFormat="0" applyBorder="0" applyAlignment="0" applyProtection="0"/>
    <xf numFmtId="0" fontId="114" fillId="78" borderId="0" applyNumberFormat="0" applyBorder="0" applyAlignment="0" applyProtection="0"/>
    <xf numFmtId="0" fontId="1" fillId="80" borderId="0"/>
    <xf numFmtId="0" fontId="1" fillId="80" borderId="0"/>
    <xf numFmtId="0" fontId="1" fillId="80" borderId="0"/>
    <xf numFmtId="0" fontId="1" fillId="80" borderId="0"/>
    <xf numFmtId="0" fontId="1" fillId="80" borderId="0"/>
    <xf numFmtId="0" fontId="79" fillId="78" borderId="0"/>
    <xf numFmtId="0" fontId="79" fillId="79" borderId="0" applyNumberFormat="0" applyBorder="0" applyAlignment="0" applyProtection="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9" borderId="0" applyNumberFormat="0" applyBorder="0" applyAlignment="0" applyProtection="0"/>
    <xf numFmtId="0" fontId="115" fillId="59" borderId="0" applyNumberFormat="0" applyBorder="0" applyAlignment="0" applyProtection="0"/>
    <xf numFmtId="0" fontId="79" fillId="71" borderId="0" applyNumberFormat="0" applyBorder="0" applyAlignment="0" applyProtection="0"/>
    <xf numFmtId="0" fontId="79" fillId="78" borderId="0"/>
    <xf numFmtId="0" fontId="79" fillId="78" borderId="0"/>
    <xf numFmtId="0" fontId="79" fillId="78" borderId="0"/>
    <xf numFmtId="0" fontId="79" fillId="78" borderId="0"/>
    <xf numFmtId="0" fontId="79" fillId="78" borderId="0"/>
    <xf numFmtId="0" fontId="116" fillId="81" borderId="0"/>
    <xf numFmtId="0" fontId="79" fillId="78" borderId="0"/>
    <xf numFmtId="0" fontId="116" fillId="81" borderId="0"/>
    <xf numFmtId="0" fontId="79" fillId="78" borderId="0"/>
    <xf numFmtId="0" fontId="116" fillId="81" borderId="0"/>
    <xf numFmtId="0" fontId="79" fillId="78" borderId="0"/>
    <xf numFmtId="0" fontId="116" fillId="81" borderId="0"/>
    <xf numFmtId="0" fontId="116" fillId="81" borderId="0"/>
    <xf numFmtId="0" fontId="79" fillId="78" borderId="0"/>
    <xf numFmtId="0" fontId="79" fillId="78" borderId="0"/>
    <xf numFmtId="0" fontId="79" fillId="78" borderId="0"/>
    <xf numFmtId="0" fontId="79" fillId="78" borderId="0"/>
    <xf numFmtId="0" fontId="79" fillId="78" borderId="0"/>
    <xf numFmtId="0" fontId="79" fillId="79" borderId="0" applyNumberFormat="0" applyBorder="0" applyAlignment="0" applyProtection="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79" fillId="78" borderId="0"/>
    <xf numFmtId="0" fontId="116" fillId="81" borderId="0"/>
    <xf numFmtId="0" fontId="79" fillId="78" borderId="0"/>
    <xf numFmtId="0" fontId="116" fillId="81" borderId="0"/>
    <xf numFmtId="0" fontId="79" fillId="78" borderId="0"/>
    <xf numFmtId="0" fontId="116" fillId="81" borderId="0"/>
    <xf numFmtId="0" fontId="116" fillId="81" borderId="0"/>
    <xf numFmtId="0" fontId="79" fillId="78" borderId="0"/>
    <xf numFmtId="0" fontId="79" fillId="78" borderId="0"/>
    <xf numFmtId="0" fontId="100" fillId="80" borderId="0"/>
    <xf numFmtId="0" fontId="79" fillId="78" borderId="0"/>
    <xf numFmtId="0" fontId="117" fillId="31" borderId="0" applyNumberFormat="0" applyBorder="0" applyAlignment="0" applyProtection="0"/>
    <xf numFmtId="0" fontId="79" fillId="78" borderId="0"/>
    <xf numFmtId="0" fontId="79" fillId="78" borderId="0"/>
    <xf numFmtId="0" fontId="79" fillId="78"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114" fillId="62" borderId="0" applyNumberFormat="0" applyBorder="0" applyAlignment="0" applyProtection="0"/>
    <xf numFmtId="0" fontId="79" fillId="62" borderId="0" applyNumberFormat="0" applyBorder="0" applyAlignment="0" applyProtection="0"/>
    <xf numFmtId="0" fontId="114" fillId="61" borderId="0" applyNumberFormat="0" applyBorder="0" applyAlignment="0" applyProtection="0"/>
    <xf numFmtId="0" fontId="114" fillId="61" borderId="0" applyNumberFormat="0" applyBorder="0" applyAlignment="0" applyProtection="0"/>
    <xf numFmtId="0" fontId="1" fillId="82" borderId="0"/>
    <xf numFmtId="0" fontId="1" fillId="82" borderId="0"/>
    <xf numFmtId="0" fontId="1" fillId="82" borderId="0"/>
    <xf numFmtId="0" fontId="1" fillId="82" borderId="0"/>
    <xf numFmtId="0" fontId="1" fillId="82" borderId="0"/>
    <xf numFmtId="0" fontId="79" fillId="61" borderId="0"/>
    <xf numFmtId="0" fontId="79" fillId="62" borderId="0" applyNumberFormat="0" applyBorder="0" applyAlignment="0" applyProtection="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2" borderId="0" applyNumberFormat="0" applyBorder="0" applyAlignment="0" applyProtection="0"/>
    <xf numFmtId="0" fontId="115" fillId="64" borderId="0" applyNumberFormat="0" applyBorder="0" applyAlignment="0" applyProtection="0"/>
    <xf numFmtId="0" fontId="79" fillId="52" borderId="0" applyNumberFormat="0" applyBorder="0" applyAlignment="0" applyProtection="0"/>
    <xf numFmtId="0" fontId="79" fillId="61" borderId="0"/>
    <xf numFmtId="0" fontId="79" fillId="61" borderId="0"/>
    <xf numFmtId="0" fontId="79" fillId="61" borderId="0"/>
    <xf numFmtId="0" fontId="79" fillId="61" borderId="0"/>
    <xf numFmtId="0" fontId="79" fillId="61" borderId="0"/>
    <xf numFmtId="0" fontId="116" fillId="7" borderId="0"/>
    <xf numFmtId="0" fontId="79" fillId="61" borderId="0"/>
    <xf numFmtId="0" fontId="116" fillId="7" borderId="0"/>
    <xf numFmtId="0" fontId="79" fillId="61" borderId="0"/>
    <xf numFmtId="0" fontId="116" fillId="7" borderId="0"/>
    <xf numFmtId="0" fontId="79" fillId="61" borderId="0"/>
    <xf numFmtId="0" fontId="116" fillId="7" borderId="0"/>
    <xf numFmtId="0" fontId="116" fillId="7" borderId="0"/>
    <xf numFmtId="0" fontId="79" fillId="61" borderId="0"/>
    <xf numFmtId="0" fontId="79" fillId="61" borderId="0"/>
    <xf numFmtId="0" fontId="79" fillId="61" borderId="0"/>
    <xf numFmtId="0" fontId="79" fillId="61" borderId="0"/>
    <xf numFmtId="0" fontId="79" fillId="61" borderId="0"/>
    <xf numFmtId="0" fontId="79" fillId="62" borderId="0" applyNumberFormat="0" applyBorder="0" applyAlignment="0" applyProtection="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79" fillId="61" borderId="0"/>
    <xf numFmtId="0" fontId="116" fillId="7" borderId="0"/>
    <xf numFmtId="0" fontId="79" fillId="61" borderId="0"/>
    <xf numFmtId="0" fontId="116" fillId="7" borderId="0"/>
    <xf numFmtId="0" fontId="79" fillId="61" borderId="0"/>
    <xf numFmtId="0" fontId="116" fillId="7" borderId="0"/>
    <xf numFmtId="0" fontId="116" fillId="7" borderId="0"/>
    <xf numFmtId="0" fontId="79" fillId="61" borderId="0"/>
    <xf numFmtId="0" fontId="79" fillId="61" borderId="0"/>
    <xf numFmtId="0" fontId="100" fillId="82" borderId="0"/>
    <xf numFmtId="0" fontId="79" fillId="61" borderId="0"/>
    <xf numFmtId="0" fontId="117" fillId="35" borderId="0" applyNumberFormat="0" applyBorder="0" applyAlignment="0" applyProtection="0"/>
    <xf numFmtId="0" fontId="79" fillId="61" borderId="0"/>
    <xf numFmtId="0" fontId="79" fillId="61" borderId="0"/>
    <xf numFmtId="0" fontId="79" fillId="61"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114" fillId="51" borderId="0" applyNumberFormat="0" applyBorder="0" applyAlignment="0" applyProtection="0"/>
    <xf numFmtId="0" fontId="79" fillId="51" borderId="0" applyNumberFormat="0" applyBorder="0" applyAlignment="0" applyProtection="0"/>
    <xf numFmtId="0" fontId="114" fillId="74" borderId="0" applyNumberFormat="0" applyBorder="0" applyAlignment="0" applyProtection="0"/>
    <xf numFmtId="0" fontId="114" fillId="74" borderId="0" applyNumberFormat="0" applyBorder="0" applyAlignment="0" applyProtection="0"/>
    <xf numFmtId="0" fontId="1" fillId="83" borderId="0"/>
    <xf numFmtId="0" fontId="1" fillId="83" borderId="0"/>
    <xf numFmtId="0" fontId="1" fillId="83" borderId="0"/>
    <xf numFmtId="0" fontId="1" fillId="83" borderId="0"/>
    <xf numFmtId="0" fontId="1" fillId="83" borderId="0"/>
    <xf numFmtId="0" fontId="79" fillId="74" borderId="0"/>
    <xf numFmtId="0" fontId="79" fillId="51" borderId="0" applyNumberFormat="0" applyBorder="0" applyAlignment="0" applyProtection="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51" borderId="0" applyNumberFormat="0" applyBorder="0" applyAlignment="0" applyProtection="0"/>
    <xf numFmtId="0" fontId="115" fillId="69" borderId="0" applyNumberFormat="0" applyBorder="0" applyAlignment="0" applyProtection="0"/>
    <xf numFmtId="0" fontId="79" fillId="67" borderId="0" applyNumberFormat="0" applyBorder="0" applyAlignment="0" applyProtection="0"/>
    <xf numFmtId="0" fontId="79" fillId="74" borderId="0"/>
    <xf numFmtId="0" fontId="79" fillId="74" borderId="0"/>
    <xf numFmtId="0" fontId="79" fillId="74" borderId="0"/>
    <xf numFmtId="0" fontId="79" fillId="74" borderId="0"/>
    <xf numFmtId="0" fontId="79" fillId="74" borderId="0"/>
    <xf numFmtId="0" fontId="116" fillId="83" borderId="0"/>
    <xf numFmtId="0" fontId="79" fillId="74" borderId="0"/>
    <xf numFmtId="0" fontId="116" fillId="83" borderId="0"/>
    <xf numFmtId="0" fontId="79" fillId="74" borderId="0"/>
    <xf numFmtId="0" fontId="116" fillId="83" borderId="0"/>
    <xf numFmtId="0" fontId="79" fillId="74" borderId="0"/>
    <xf numFmtId="0" fontId="116" fillId="83" borderId="0"/>
    <xf numFmtId="0" fontId="116" fillId="83" borderId="0"/>
    <xf numFmtId="0" fontId="79" fillId="74" borderId="0"/>
    <xf numFmtId="0" fontId="79" fillId="74" borderId="0"/>
    <xf numFmtId="0" fontId="79" fillId="74" borderId="0"/>
    <xf numFmtId="0" fontId="79" fillId="74" borderId="0"/>
    <xf numFmtId="0" fontId="79" fillId="74" borderId="0"/>
    <xf numFmtId="0" fontId="79" fillId="51" borderId="0" applyNumberFormat="0" applyBorder="0" applyAlignment="0" applyProtection="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79" fillId="74" borderId="0"/>
    <xf numFmtId="0" fontId="116" fillId="83" borderId="0"/>
    <xf numFmtId="0" fontId="79" fillId="74" borderId="0"/>
    <xf numFmtId="0" fontId="79" fillId="74" borderId="0"/>
    <xf numFmtId="0" fontId="116" fillId="83" borderId="0"/>
    <xf numFmtId="0" fontId="116" fillId="83" borderId="0"/>
    <xf numFmtId="0" fontId="79" fillId="74" borderId="0"/>
    <xf numFmtId="0" fontId="79" fillId="74" borderId="0"/>
    <xf numFmtId="0" fontId="100" fillId="83" borderId="0"/>
    <xf numFmtId="0" fontId="79" fillId="74" borderId="0"/>
    <xf numFmtId="0" fontId="117" fillId="39" borderId="0" applyNumberFormat="0" applyBorder="0" applyAlignment="0" applyProtection="0"/>
    <xf numFmtId="0" fontId="79" fillId="74" borderId="0"/>
    <xf numFmtId="0" fontId="79" fillId="74" borderId="0"/>
    <xf numFmtId="0" fontId="79" fillId="7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114" fillId="85" borderId="0" applyNumberFormat="0" applyBorder="0" applyAlignment="0" applyProtection="0"/>
    <xf numFmtId="0" fontId="79" fillId="85" borderId="0" applyNumberFormat="0" applyBorder="0" applyAlignment="0" applyProtection="0"/>
    <xf numFmtId="0" fontId="114" fillId="84" borderId="0" applyNumberFormat="0" applyBorder="0" applyAlignment="0" applyProtection="0"/>
    <xf numFmtId="0" fontId="114" fillId="84" borderId="0" applyNumberFormat="0" applyBorder="0" applyAlignment="0" applyProtection="0"/>
    <xf numFmtId="0" fontId="1" fillId="86" borderId="0"/>
    <xf numFmtId="0" fontId="1" fillId="86" borderId="0"/>
    <xf numFmtId="0" fontId="1" fillId="86" borderId="0"/>
    <xf numFmtId="0" fontId="1" fillId="86" borderId="0"/>
    <xf numFmtId="0" fontId="1" fillId="86" borderId="0"/>
    <xf numFmtId="0" fontId="79" fillId="84" borderId="0"/>
    <xf numFmtId="0" fontId="79" fillId="85" borderId="0" applyNumberFormat="0" applyBorder="0" applyAlignment="0" applyProtection="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5" borderId="0" applyNumberFormat="0" applyBorder="0" applyAlignment="0" applyProtection="0"/>
    <xf numFmtId="0" fontId="115" fillId="71" borderId="0" applyNumberFormat="0" applyBorder="0" applyAlignment="0" applyProtection="0"/>
    <xf numFmtId="0" fontId="79" fillId="50" borderId="0" applyNumberFormat="0" applyBorder="0" applyAlignment="0" applyProtection="0"/>
    <xf numFmtId="0" fontId="79" fillId="84" borderId="0"/>
    <xf numFmtId="0" fontId="79" fillId="84" borderId="0"/>
    <xf numFmtId="0" fontId="79" fillId="84" borderId="0"/>
    <xf numFmtId="0" fontId="79" fillId="84" borderId="0"/>
    <xf numFmtId="0" fontId="79" fillId="84" borderId="0"/>
    <xf numFmtId="0" fontId="116" fillId="56" borderId="0"/>
    <xf numFmtId="0" fontId="79" fillId="84" borderId="0"/>
    <xf numFmtId="0" fontId="116" fillId="56" borderId="0"/>
    <xf numFmtId="0" fontId="79" fillId="84" borderId="0"/>
    <xf numFmtId="0" fontId="116" fillId="56" borderId="0"/>
    <xf numFmtId="0" fontId="79" fillId="84" borderId="0"/>
    <xf numFmtId="0" fontId="116" fillId="56" borderId="0"/>
    <xf numFmtId="0" fontId="116" fillId="56" borderId="0"/>
    <xf numFmtId="0" fontId="79" fillId="84" borderId="0"/>
    <xf numFmtId="0" fontId="79" fillId="84" borderId="0"/>
    <xf numFmtId="0" fontId="79" fillId="84" borderId="0"/>
    <xf numFmtId="0" fontId="79" fillId="84" borderId="0"/>
    <xf numFmtId="0" fontId="79" fillId="84" borderId="0"/>
    <xf numFmtId="0" fontId="79" fillId="85" borderId="0" applyNumberFormat="0" applyBorder="0" applyAlignment="0" applyProtection="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79" fillId="84" borderId="0"/>
    <xf numFmtId="0" fontId="116" fillId="56" borderId="0"/>
    <xf numFmtId="0" fontId="79" fillId="84" borderId="0"/>
    <xf numFmtId="0" fontId="116" fillId="56" borderId="0"/>
    <xf numFmtId="0" fontId="79" fillId="84" borderId="0"/>
    <xf numFmtId="0" fontId="116" fillId="56" borderId="0"/>
    <xf numFmtId="0" fontId="116" fillId="56" borderId="0"/>
    <xf numFmtId="0" fontId="79" fillId="84" borderId="0"/>
    <xf numFmtId="0" fontId="79" fillId="84" borderId="0"/>
    <xf numFmtId="0" fontId="100" fillId="86" borderId="0"/>
    <xf numFmtId="0" fontId="79" fillId="84" borderId="0"/>
    <xf numFmtId="0" fontId="117" fillId="43" borderId="0" applyNumberFormat="0" applyBorder="0" applyAlignment="0" applyProtection="0"/>
    <xf numFmtId="0" fontId="79" fillId="84" borderId="0"/>
    <xf numFmtId="0" fontId="79" fillId="84" borderId="0"/>
    <xf numFmtId="0" fontId="79" fillId="84" borderId="0"/>
    <xf numFmtId="0" fontId="79" fillId="69" borderId="0" applyNumberFormat="0" applyBorder="0" applyAlignment="0" applyProtection="0"/>
    <xf numFmtId="0" fontId="79" fillId="87" borderId="0"/>
    <xf numFmtId="0" fontId="79" fillId="65" borderId="0" applyNumberFormat="0" applyBorder="0" applyAlignment="0" applyProtection="0"/>
    <xf numFmtId="0" fontId="79" fillId="56" borderId="0"/>
    <xf numFmtId="0" fontId="79" fillId="57" borderId="0" applyNumberFormat="0" applyBorder="0" applyAlignment="0" applyProtection="0"/>
    <xf numFmtId="0" fontId="79" fillId="2" borderId="0"/>
    <xf numFmtId="0" fontId="79" fillId="59" borderId="0" applyNumberFormat="0" applyBorder="0" applyAlignment="0" applyProtection="0"/>
    <xf numFmtId="0" fontId="79" fillId="7" borderId="0"/>
    <xf numFmtId="0" fontId="79" fillId="69" borderId="0" applyNumberFormat="0" applyBorder="0" applyAlignment="0" applyProtection="0"/>
    <xf numFmtId="0" fontId="79" fillId="87" borderId="0"/>
    <xf numFmtId="0" fontId="79" fillId="65" borderId="0" applyNumberFormat="0" applyBorder="0" applyAlignment="0" applyProtection="0"/>
    <xf numFmtId="0" fontId="79" fillId="56" borderId="0"/>
    <xf numFmtId="168" fontId="2" fillId="0" borderId="0" applyFont="0" applyFill="0" applyBorder="0" applyProtection="0">
      <alignment horizontal="right"/>
    </xf>
    <xf numFmtId="168" fontId="2" fillId="0" borderId="0" applyFont="0" applyFill="0" applyBorder="0" applyProtection="0">
      <alignment horizontal="right"/>
    </xf>
    <xf numFmtId="168" fontId="2" fillId="0" borderId="0" applyFont="0" applyFill="0" applyBorder="0" applyProtection="0">
      <alignment horizontal="right"/>
    </xf>
    <xf numFmtId="168" fontId="2" fillId="0" borderId="0" applyFont="0" applyFill="0" applyBorder="0" applyProtection="0">
      <alignment horizontal="right"/>
    </xf>
    <xf numFmtId="0" fontId="118" fillId="0" borderId="0" applyNumberFormat="0" applyFont="0" applyFill="0" applyBorder="0" applyProtection="0">
      <alignment horizontal="left" vertical="center" indent="5"/>
    </xf>
    <xf numFmtId="0" fontId="118" fillId="0" borderId="0" applyNumberFormat="0" applyFont="0" applyFill="0" applyBorder="0" applyProtection="0">
      <alignment horizontal="left" vertical="center" indent="5"/>
    </xf>
    <xf numFmtId="49" fontId="119" fillId="0" borderId="226">
      <alignment horizontal="left" vertical="center" indent="5"/>
    </xf>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1" fillId="89" borderId="0" applyNumberFormat="0" applyBorder="0" applyAlignment="0" applyProtection="0"/>
    <xf numFmtId="0" fontId="120" fillId="89" borderId="0" applyNumberFormat="0" applyBorder="0" applyAlignment="0" applyProtection="0"/>
    <xf numFmtId="0" fontId="121" fillId="88" borderId="0" applyNumberFormat="0" applyBorder="0" applyAlignment="0" applyProtection="0"/>
    <xf numFmtId="0" fontId="121" fillId="88" borderId="0" applyNumberFormat="0" applyBorder="0" applyAlignment="0" applyProtection="0"/>
    <xf numFmtId="0" fontId="99" fillId="90" borderId="0"/>
    <xf numFmtId="0" fontId="120" fillId="88" borderId="0"/>
    <xf numFmtId="0" fontId="120" fillId="89" borderId="0" applyNumberFormat="0" applyBorder="0" applyAlignment="0" applyProtection="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9" borderId="0" applyNumberFormat="0" applyBorder="0" applyAlignment="0" applyProtection="0"/>
    <xf numFmtId="0" fontId="120" fillId="50" borderId="0" applyNumberFormat="0" applyBorder="0" applyAlignment="0" applyProtection="0"/>
    <xf numFmtId="0" fontId="120" fillId="67" borderId="0" applyNumberFormat="0" applyBorder="0" applyAlignment="0" applyProtection="0"/>
    <xf numFmtId="0" fontId="120" fillId="88" borderId="0"/>
    <xf numFmtId="0" fontId="120" fillId="88" borderId="0"/>
    <xf numFmtId="0" fontId="120" fillId="88" borderId="0"/>
    <xf numFmtId="0" fontId="120" fillId="88" borderId="0"/>
    <xf numFmtId="0" fontId="120" fillId="88" borderId="0"/>
    <xf numFmtId="0" fontId="122" fillId="91" borderId="0"/>
    <xf numFmtId="0" fontId="120" fillId="88" borderId="0"/>
    <xf numFmtId="0" fontId="122" fillId="91" borderId="0"/>
    <xf numFmtId="0" fontId="120" fillId="88" borderId="0"/>
    <xf numFmtId="0" fontId="120" fillId="88" borderId="0"/>
    <xf numFmtId="0" fontId="122" fillId="91" borderId="0"/>
    <xf numFmtId="0" fontId="120" fillId="88" borderId="0"/>
    <xf numFmtId="0" fontId="120" fillId="88" borderId="0"/>
    <xf numFmtId="0" fontId="120" fillId="88" borderId="0"/>
    <xf numFmtId="0" fontId="120" fillId="88" borderId="0"/>
    <xf numFmtId="0" fontId="120" fillId="88" borderId="0"/>
    <xf numFmtId="0" fontId="120" fillId="89" borderId="0" applyNumberFormat="0" applyBorder="0" applyAlignment="0" applyProtection="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0" fillId="88" borderId="0"/>
    <xf numFmtId="0" fontId="122" fillId="91" borderId="0"/>
    <xf numFmtId="0" fontId="120" fillId="88" borderId="0"/>
    <xf numFmtId="0" fontId="122" fillId="91" borderId="0"/>
    <xf numFmtId="0" fontId="120" fillId="88" borderId="0"/>
    <xf numFmtId="0" fontId="122" fillId="91" borderId="0"/>
    <xf numFmtId="0" fontId="120" fillId="88" borderId="0"/>
    <xf numFmtId="0" fontId="120" fillId="88" borderId="0"/>
    <xf numFmtId="0" fontId="123" fillId="90" borderId="0"/>
    <xf numFmtId="0" fontId="120" fillId="88" borderId="0"/>
    <xf numFmtId="0" fontId="124" fillId="24" borderId="0" applyNumberFormat="0" applyBorder="0" applyAlignment="0" applyProtection="0"/>
    <xf numFmtId="0" fontId="120" fillId="88" borderId="0"/>
    <xf numFmtId="0" fontId="120" fillId="88" borderId="0"/>
    <xf numFmtId="0" fontId="120" fillId="88"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1" fillId="55" borderId="0" applyNumberFormat="0" applyBorder="0" applyAlignment="0" applyProtection="0"/>
    <xf numFmtId="0" fontId="120" fillId="55" borderId="0" applyNumberFormat="0" applyBorder="0" applyAlignment="0" applyProtection="0"/>
    <xf numFmtId="0" fontId="121" fillId="76" borderId="0" applyNumberFormat="0" applyBorder="0" applyAlignment="0" applyProtection="0"/>
    <xf numFmtId="0" fontId="121" fillId="76" borderId="0" applyNumberFormat="0" applyBorder="0" applyAlignment="0" applyProtection="0"/>
    <xf numFmtId="0" fontId="99" fillId="92" borderId="0"/>
    <xf numFmtId="0" fontId="120" fillId="76" borderId="0"/>
    <xf numFmtId="0" fontId="120" fillId="55" borderId="0" applyNumberFormat="0" applyBorder="0" applyAlignment="0" applyProtection="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55" borderId="0" applyNumberFormat="0" applyBorder="0" applyAlignment="0" applyProtection="0"/>
    <xf numFmtId="0" fontId="120" fillId="54" borderId="0" applyNumberFormat="0" applyBorder="0" applyAlignment="0" applyProtection="0"/>
    <xf numFmtId="0" fontId="120" fillId="76" borderId="0"/>
    <xf numFmtId="0" fontId="120" fillId="76" borderId="0"/>
    <xf numFmtId="0" fontId="120" fillId="76" borderId="0"/>
    <xf numFmtId="0" fontId="120" fillId="76" borderId="0"/>
    <xf numFmtId="0" fontId="120" fillId="76" borderId="0"/>
    <xf numFmtId="0" fontId="122" fillId="92" borderId="0"/>
    <xf numFmtId="0" fontId="120" fillId="76" borderId="0"/>
    <xf numFmtId="0" fontId="122" fillId="92" borderId="0"/>
    <xf numFmtId="0" fontId="120" fillId="76" borderId="0"/>
    <xf numFmtId="0" fontId="120" fillId="76" borderId="0"/>
    <xf numFmtId="0" fontId="122" fillId="92" borderId="0"/>
    <xf numFmtId="0" fontId="120" fillId="76" borderId="0"/>
    <xf numFmtId="0" fontId="120" fillId="76" borderId="0"/>
    <xf numFmtId="0" fontId="120" fillId="76" borderId="0"/>
    <xf numFmtId="0" fontId="120" fillId="76" borderId="0"/>
    <xf numFmtId="0" fontId="120" fillId="76" borderId="0"/>
    <xf numFmtId="0" fontId="120" fillId="55" borderId="0" applyNumberFormat="0" applyBorder="0" applyAlignment="0" applyProtection="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0" fillId="76" borderId="0"/>
    <xf numFmtId="0" fontId="122" fillId="92" borderId="0"/>
    <xf numFmtId="0" fontId="120" fillId="76" borderId="0"/>
    <xf numFmtId="0" fontId="120" fillId="76" borderId="0"/>
    <xf numFmtId="0" fontId="122" fillId="92" borderId="0"/>
    <xf numFmtId="0" fontId="120" fillId="76" borderId="0"/>
    <xf numFmtId="0" fontId="120" fillId="76" borderId="0"/>
    <xf numFmtId="0" fontId="123" fillId="92" borderId="0"/>
    <xf numFmtId="0" fontId="120" fillId="76" borderId="0"/>
    <xf numFmtId="0" fontId="124" fillId="28" borderId="0" applyNumberFormat="0" applyBorder="0" applyAlignment="0" applyProtection="0"/>
    <xf numFmtId="0" fontId="120" fillId="76" borderId="0"/>
    <xf numFmtId="0" fontId="120" fillId="76" borderId="0"/>
    <xf numFmtId="0" fontId="120" fillId="76"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1" fillId="79" borderId="0" applyNumberFormat="0" applyBorder="0" applyAlignment="0" applyProtection="0"/>
    <xf numFmtId="0" fontId="120" fillId="79" borderId="0" applyNumberFormat="0" applyBorder="0" applyAlignment="0" applyProtection="0"/>
    <xf numFmtId="0" fontId="121" fillId="78" borderId="0" applyNumberFormat="0" applyBorder="0" applyAlignment="0" applyProtection="0"/>
    <xf numFmtId="0" fontId="121" fillId="78" borderId="0" applyNumberFormat="0" applyBorder="0" applyAlignment="0" applyProtection="0"/>
    <xf numFmtId="0" fontId="99" fillId="93" borderId="0"/>
    <xf numFmtId="0" fontId="120" fillId="78" borderId="0"/>
    <xf numFmtId="0" fontId="120" fillId="79" borderId="0" applyNumberFormat="0" applyBorder="0" applyAlignment="0" applyProtection="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9" borderId="0" applyNumberFormat="0" applyBorder="0" applyAlignment="0" applyProtection="0"/>
    <xf numFmtId="0" fontId="120" fillId="79" borderId="0" applyNumberFormat="0" applyBorder="0" applyAlignment="0" applyProtection="0"/>
    <xf numFmtId="0" fontId="120" fillId="85" borderId="0" applyNumberFormat="0" applyBorder="0" applyAlignment="0" applyProtection="0"/>
    <xf numFmtId="0" fontId="120" fillId="78" borderId="0"/>
    <xf numFmtId="0" fontId="120" fillId="78" borderId="0"/>
    <xf numFmtId="0" fontId="120" fillId="78" borderId="0"/>
    <xf numFmtId="0" fontId="120" fillId="78" borderId="0"/>
    <xf numFmtId="0" fontId="120" fillId="78" borderId="0"/>
    <xf numFmtId="0" fontId="122" fillId="81" borderId="0"/>
    <xf numFmtId="0" fontId="120" fillId="78" borderId="0"/>
    <xf numFmtId="0" fontId="122" fillId="81" borderId="0"/>
    <xf numFmtId="0" fontId="120" fillId="78" borderId="0"/>
    <xf numFmtId="0" fontId="120" fillId="78" borderId="0"/>
    <xf numFmtId="0" fontId="122" fillId="81"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0" fillId="78" borderId="0"/>
    <xf numFmtId="0" fontId="122" fillId="81" borderId="0"/>
    <xf numFmtId="0" fontId="120" fillId="78" borderId="0"/>
    <xf numFmtId="0" fontId="122" fillId="81" borderId="0"/>
    <xf numFmtId="0" fontId="120" fillId="78" borderId="0"/>
    <xf numFmtId="0" fontId="122" fillId="81" borderId="0"/>
    <xf numFmtId="0" fontId="120" fillId="78" borderId="0"/>
    <xf numFmtId="0" fontId="120" fillId="78" borderId="0"/>
    <xf numFmtId="0" fontId="123" fillId="93" borderId="0"/>
    <xf numFmtId="0" fontId="120" fillId="78" borderId="0"/>
    <xf numFmtId="0" fontId="124" fillId="32" borderId="0" applyNumberFormat="0" applyBorder="0" applyAlignment="0" applyProtection="0"/>
    <xf numFmtId="0" fontId="120" fillId="78" borderId="0"/>
    <xf numFmtId="0" fontId="120" fillId="78" borderId="0"/>
    <xf numFmtId="0" fontId="120" fillId="78"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1" fillId="95" borderId="0" applyNumberFormat="0" applyBorder="0" applyAlignment="0" applyProtection="0"/>
    <xf numFmtId="0" fontId="120" fillId="95"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99" fillId="96" borderId="0"/>
    <xf numFmtId="0" fontId="120" fillId="97" borderId="0"/>
    <xf numFmtId="0" fontId="120" fillId="95" borderId="0" applyNumberFormat="0" applyBorder="0" applyAlignment="0" applyProtection="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5" borderId="0" applyNumberFormat="0" applyBorder="0" applyAlignment="0" applyProtection="0"/>
    <xf numFmtId="0" fontId="120" fillId="89" borderId="0" applyNumberFormat="0" applyBorder="0" applyAlignment="0" applyProtection="0"/>
    <xf numFmtId="0" fontId="120" fillId="52" borderId="0" applyNumberFormat="0" applyBorder="0" applyAlignment="0" applyProtection="0"/>
    <xf numFmtId="0" fontId="120" fillId="94" borderId="0"/>
    <xf numFmtId="0" fontId="120" fillId="94" borderId="0"/>
    <xf numFmtId="0" fontId="120" fillId="94" borderId="0"/>
    <xf numFmtId="0" fontId="120" fillId="94" borderId="0"/>
    <xf numFmtId="0" fontId="120" fillId="94" borderId="0"/>
    <xf numFmtId="0" fontId="122" fillId="7" borderId="0"/>
    <xf numFmtId="0" fontId="120" fillId="94" borderId="0"/>
    <xf numFmtId="0" fontId="122" fillId="7" borderId="0"/>
    <xf numFmtId="0" fontId="120" fillId="94" borderId="0"/>
    <xf numFmtId="0" fontId="120" fillId="94" borderId="0"/>
    <xf numFmtId="0" fontId="122" fillId="7" borderId="0"/>
    <xf numFmtId="0" fontId="120" fillId="94" borderId="0"/>
    <xf numFmtId="0" fontId="120" fillId="94" borderId="0"/>
    <xf numFmtId="0" fontId="120" fillId="94" borderId="0"/>
    <xf numFmtId="0" fontId="120" fillId="94" borderId="0"/>
    <xf numFmtId="0" fontId="120" fillId="94" borderId="0"/>
    <xf numFmtId="0" fontId="120" fillId="95" borderId="0" applyNumberFormat="0" applyBorder="0" applyAlignment="0" applyProtection="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2" fillId="7" borderId="0"/>
    <xf numFmtId="0" fontId="120" fillId="94" borderId="0"/>
    <xf numFmtId="0" fontId="122" fillId="7" borderId="0"/>
    <xf numFmtId="0" fontId="120" fillId="94" borderId="0"/>
    <xf numFmtId="0" fontId="122" fillId="7" borderId="0"/>
    <xf numFmtId="0" fontId="120" fillId="94" borderId="0"/>
    <xf numFmtId="0" fontId="120" fillId="94" borderId="0"/>
    <xf numFmtId="0" fontId="123" fillId="96" borderId="0"/>
    <xf numFmtId="0" fontId="120" fillId="94" borderId="0"/>
    <xf numFmtId="0" fontId="124" fillId="36" borderId="0" applyNumberFormat="0" applyBorder="0" applyAlignment="0" applyProtection="0"/>
    <xf numFmtId="0" fontId="120" fillId="94" borderId="0"/>
    <xf numFmtId="0" fontId="120" fillId="94" borderId="0"/>
    <xf numFmtId="0" fontId="120" fillId="94"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1" fillId="98" borderId="0" applyNumberFormat="0" applyBorder="0" applyAlignment="0" applyProtection="0"/>
    <xf numFmtId="0" fontId="120" fillId="98" borderId="0" applyNumberFormat="0" applyBorder="0" applyAlignment="0" applyProtection="0"/>
    <xf numFmtId="0" fontId="121" fillId="91" borderId="0" applyNumberFormat="0" applyBorder="0" applyAlignment="0" applyProtection="0"/>
    <xf numFmtId="0" fontId="121" fillId="91" borderId="0" applyNumberFormat="0" applyBorder="0" applyAlignment="0" applyProtection="0"/>
    <xf numFmtId="0" fontId="99" fillId="99" borderId="0"/>
    <xf numFmtId="0" fontId="120" fillId="91" borderId="0"/>
    <xf numFmtId="0" fontId="120" fillId="98" borderId="0" applyNumberFormat="0" applyBorder="0" applyAlignment="0" applyProtection="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8" borderId="0" applyNumberFormat="0" applyBorder="0" applyAlignment="0" applyProtection="0"/>
    <xf numFmtId="0" fontId="120" fillId="69" borderId="0" applyNumberFormat="0" applyBorder="0" applyAlignment="0" applyProtection="0"/>
    <xf numFmtId="0" fontId="120" fillId="67" borderId="0" applyNumberFormat="0" applyBorder="0" applyAlignment="0" applyProtection="0"/>
    <xf numFmtId="0" fontId="120" fillId="91" borderId="0"/>
    <xf numFmtId="0" fontId="120" fillId="91" borderId="0"/>
    <xf numFmtId="0" fontId="120" fillId="91" borderId="0"/>
    <xf numFmtId="0" fontId="120" fillId="91" borderId="0"/>
    <xf numFmtId="0" fontId="120" fillId="91" borderId="0"/>
    <xf numFmtId="0" fontId="122" fillId="99" borderId="0"/>
    <xf numFmtId="0" fontId="120" fillId="91" borderId="0"/>
    <xf numFmtId="0" fontId="122" fillId="99" borderId="0"/>
    <xf numFmtId="0" fontId="120" fillId="91" borderId="0"/>
    <xf numFmtId="0" fontId="120" fillId="91" borderId="0"/>
    <xf numFmtId="0" fontId="122" fillId="99" borderId="0"/>
    <xf numFmtId="0" fontId="120" fillId="91" borderId="0"/>
    <xf numFmtId="0" fontId="120" fillId="91" borderId="0"/>
    <xf numFmtId="0" fontId="120" fillId="91" borderId="0"/>
    <xf numFmtId="0" fontId="120" fillId="91" borderId="0"/>
    <xf numFmtId="0" fontId="120" fillId="91" borderId="0"/>
    <xf numFmtId="0" fontId="120" fillId="98" borderId="0" applyNumberFormat="0" applyBorder="0" applyAlignment="0" applyProtection="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2" fillId="99" borderId="0"/>
    <xf numFmtId="0" fontId="120" fillId="91" borderId="0"/>
    <xf numFmtId="0" fontId="120" fillId="91" borderId="0"/>
    <xf numFmtId="0" fontId="122" fillId="99" borderId="0"/>
    <xf numFmtId="0" fontId="120" fillId="91" borderId="0"/>
    <xf numFmtId="0" fontId="120" fillId="91" borderId="0"/>
    <xf numFmtId="0" fontId="123" fillId="99" borderId="0"/>
    <xf numFmtId="0" fontId="120" fillId="91" borderId="0"/>
    <xf numFmtId="0" fontId="124" fillId="40" borderId="0" applyNumberFormat="0" applyBorder="0" applyAlignment="0" applyProtection="0"/>
    <xf numFmtId="0" fontId="120" fillId="91" borderId="0"/>
    <xf numFmtId="0" fontId="120" fillId="91" borderId="0"/>
    <xf numFmtId="0" fontId="120" fillId="91"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1" fillId="101" borderId="0" applyNumberFormat="0" applyBorder="0" applyAlignment="0" applyProtection="0"/>
    <xf numFmtId="0" fontId="120" fillId="101" borderId="0" applyNumberFormat="0" applyBorder="0" applyAlignment="0" applyProtection="0"/>
    <xf numFmtId="0" fontId="121" fillId="100" borderId="0" applyNumberFormat="0" applyBorder="0" applyAlignment="0" applyProtection="0"/>
    <xf numFmtId="0" fontId="121" fillId="100" borderId="0" applyNumberFormat="0" applyBorder="0" applyAlignment="0" applyProtection="0"/>
    <xf numFmtId="0" fontId="99" fillId="102" borderId="0"/>
    <xf numFmtId="0" fontId="120" fillId="100" borderId="0"/>
    <xf numFmtId="0" fontId="120" fillId="101" borderId="0" applyNumberFormat="0" applyBorder="0" applyAlignment="0" applyProtection="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1" borderId="0" applyNumberFormat="0" applyBorder="0" applyAlignment="0" applyProtection="0"/>
    <xf numFmtId="0" fontId="120" fillId="57" borderId="0" applyNumberFormat="0" applyBorder="0" applyAlignment="0" applyProtection="0"/>
    <xf numFmtId="0" fontId="120" fillId="55" borderId="0" applyNumberFormat="0" applyBorder="0" applyAlignment="0" applyProtection="0"/>
    <xf numFmtId="0" fontId="120" fillId="100" borderId="0"/>
    <xf numFmtId="0" fontId="120" fillId="100" borderId="0"/>
    <xf numFmtId="0" fontId="120" fillId="100" borderId="0"/>
    <xf numFmtId="0" fontId="120" fillId="100" borderId="0"/>
    <xf numFmtId="0" fontId="120" fillId="100" borderId="0"/>
    <xf numFmtId="0" fontId="122" fillId="56" borderId="0"/>
    <xf numFmtId="0" fontId="120" fillId="100" borderId="0"/>
    <xf numFmtId="0" fontId="122" fillId="56" borderId="0"/>
    <xf numFmtId="0" fontId="120" fillId="100" borderId="0"/>
    <xf numFmtId="0" fontId="120" fillId="100" borderId="0"/>
    <xf numFmtId="0" fontId="122" fillId="56" borderId="0"/>
    <xf numFmtId="0" fontId="120" fillId="100" borderId="0"/>
    <xf numFmtId="0" fontId="120" fillId="100" borderId="0"/>
    <xf numFmtId="0" fontId="120" fillId="100" borderId="0"/>
    <xf numFmtId="0" fontId="120" fillId="100" borderId="0"/>
    <xf numFmtId="0" fontId="120" fillId="100" borderId="0"/>
    <xf numFmtId="0" fontId="120" fillId="101" borderId="0" applyNumberFormat="0" applyBorder="0" applyAlignment="0" applyProtection="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0" fillId="100" borderId="0"/>
    <xf numFmtId="0" fontId="122" fillId="56" borderId="0"/>
    <xf numFmtId="0" fontId="120" fillId="100" borderId="0"/>
    <xf numFmtId="0" fontId="122" fillId="56" borderId="0"/>
    <xf numFmtId="0" fontId="120" fillId="100" borderId="0"/>
    <xf numFmtId="0" fontId="122" fillId="56" borderId="0"/>
    <xf numFmtId="0" fontId="120" fillId="100" borderId="0"/>
    <xf numFmtId="0" fontId="120" fillId="100" borderId="0"/>
    <xf numFmtId="0" fontId="123" fillId="102" borderId="0"/>
    <xf numFmtId="0" fontId="120" fillId="100" borderId="0"/>
    <xf numFmtId="0" fontId="124" fillId="44" borderId="0" applyNumberFormat="0" applyBorder="0" applyAlignment="0" applyProtection="0"/>
    <xf numFmtId="0" fontId="120" fillId="100" borderId="0"/>
    <xf numFmtId="0" fontId="120" fillId="100" borderId="0"/>
    <xf numFmtId="0" fontId="120" fillId="100" borderId="0"/>
    <xf numFmtId="0" fontId="120" fillId="103" borderId="0" applyNumberFormat="0" applyBorder="0" applyAlignment="0" applyProtection="0"/>
    <xf numFmtId="0" fontId="120" fillId="104" borderId="0"/>
    <xf numFmtId="0" fontId="120" fillId="105" borderId="0" applyNumberFormat="0" applyBorder="0" applyAlignment="0" applyProtection="0"/>
    <xf numFmtId="0" fontId="120" fillId="5" borderId="0"/>
    <xf numFmtId="0" fontId="120" fillId="52" borderId="0" applyNumberFormat="0" applyBorder="0" applyAlignment="0" applyProtection="0"/>
    <xf numFmtId="0" fontId="120" fillId="6" borderId="0"/>
    <xf numFmtId="0" fontId="120" fillId="48" borderId="0" applyNumberFormat="0" applyBorder="0" applyAlignment="0" applyProtection="0"/>
    <xf numFmtId="0" fontId="120" fillId="47" borderId="0"/>
    <xf numFmtId="0" fontId="120" fillId="103" borderId="0" applyNumberFormat="0" applyBorder="0" applyAlignment="0" applyProtection="0"/>
    <xf numFmtId="0" fontId="120" fillId="104" borderId="0"/>
    <xf numFmtId="0" fontId="120" fillId="65" borderId="0" applyNumberFormat="0" applyBorder="0" applyAlignment="0" applyProtection="0"/>
    <xf numFmtId="0" fontId="120" fillId="56" borderId="0"/>
    <xf numFmtId="186" fontId="41" fillId="0" borderId="0"/>
    <xf numFmtId="186" fontId="41" fillId="0" borderId="0"/>
    <xf numFmtId="186" fontId="41" fillId="0" borderId="0"/>
    <xf numFmtId="186" fontId="41" fillId="0" borderId="0"/>
    <xf numFmtId="186" fontId="41" fillId="0" borderId="0"/>
    <xf numFmtId="186" fontId="41" fillId="0" borderId="0"/>
    <xf numFmtId="186" fontId="41" fillId="0" borderId="0"/>
    <xf numFmtId="186" fontId="41" fillId="0" borderId="0"/>
    <xf numFmtId="189" fontId="41" fillId="0"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1" fillId="107" borderId="0" applyNumberFormat="0" applyBorder="0" applyAlignment="0" applyProtection="0"/>
    <xf numFmtId="0" fontId="120" fillId="107" borderId="0" applyNumberFormat="0" applyBorder="0" applyAlignment="0" applyProtection="0"/>
    <xf numFmtId="0" fontId="121" fillId="106" borderId="0" applyNumberFormat="0" applyBorder="0" applyAlignment="0" applyProtection="0"/>
    <xf numFmtId="0" fontId="121" fillId="106" borderId="0" applyNumberFormat="0" applyBorder="0" applyAlignment="0" applyProtection="0"/>
    <xf numFmtId="0" fontId="99" fillId="108" borderId="0"/>
    <xf numFmtId="0" fontId="120" fillId="106" borderId="0"/>
    <xf numFmtId="0" fontId="120" fillId="107" borderId="0" applyNumberFormat="0" applyBorder="0" applyAlignment="0" applyProtection="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7" borderId="0" applyNumberFormat="0" applyBorder="0" applyAlignment="0" applyProtection="0"/>
    <xf numFmtId="0" fontId="120" fillId="109" borderId="0" applyNumberFormat="0" applyBorder="0" applyAlignment="0" applyProtection="0"/>
    <xf numFmtId="0" fontId="120" fillId="110" borderId="0" applyNumberFormat="0" applyBorder="0" applyAlignment="0" applyProtection="0"/>
    <xf numFmtId="0" fontId="120" fillId="106" borderId="0"/>
    <xf numFmtId="0" fontId="120" fillId="106" borderId="0"/>
    <xf numFmtId="0" fontId="120" fillId="106" borderId="0"/>
    <xf numFmtId="0" fontId="120" fillId="106" borderId="0"/>
    <xf numFmtId="0" fontId="120" fillId="106" borderId="0"/>
    <xf numFmtId="0" fontId="122" fillId="91" borderId="0"/>
    <xf numFmtId="0" fontId="120" fillId="106" borderId="0"/>
    <xf numFmtId="0" fontId="122" fillId="91" borderId="0"/>
    <xf numFmtId="0" fontId="120" fillId="106" borderId="0"/>
    <xf numFmtId="0" fontId="120" fillId="106" borderId="0"/>
    <xf numFmtId="0" fontId="122" fillId="91" borderId="0"/>
    <xf numFmtId="0" fontId="120" fillId="106" borderId="0"/>
    <xf numFmtId="0" fontId="120" fillId="106" borderId="0"/>
    <xf numFmtId="0" fontId="120" fillId="106" borderId="0"/>
    <xf numFmtId="0" fontId="120" fillId="106" borderId="0"/>
    <xf numFmtId="0" fontId="120" fillId="106" borderId="0"/>
    <xf numFmtId="0" fontId="120" fillId="107" borderId="0" applyNumberFormat="0" applyBorder="0" applyAlignment="0" applyProtection="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0" fillId="106" borderId="0"/>
    <xf numFmtId="0" fontId="122" fillId="91" borderId="0"/>
    <xf numFmtId="0" fontId="120" fillId="106" borderId="0"/>
    <xf numFmtId="0" fontId="122" fillId="91" borderId="0"/>
    <xf numFmtId="0" fontId="120" fillId="106" borderId="0"/>
    <xf numFmtId="0" fontId="122" fillId="91" borderId="0"/>
    <xf numFmtId="0" fontId="120" fillId="106" borderId="0"/>
    <xf numFmtId="0" fontId="120" fillId="106" borderId="0"/>
    <xf numFmtId="0" fontId="123" fillId="108" borderId="0"/>
    <xf numFmtId="0" fontId="120" fillId="106" borderId="0"/>
    <xf numFmtId="0" fontId="124" fillId="21" borderId="0" applyNumberFormat="0" applyBorder="0" applyAlignment="0" applyProtection="0"/>
    <xf numFmtId="0" fontId="120" fillId="106" borderId="0"/>
    <xf numFmtId="0" fontId="120" fillId="106" borderId="0"/>
    <xf numFmtId="0" fontId="120" fillId="106"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1" fillId="105" borderId="0" applyNumberFormat="0" applyBorder="0" applyAlignment="0" applyProtection="0"/>
    <xf numFmtId="0" fontId="120" fillId="105" borderId="0" applyNumberFormat="0" applyBorder="0" applyAlignment="0" applyProtection="0"/>
    <xf numFmtId="0" fontId="121" fillId="5" borderId="0" applyNumberFormat="0" applyBorder="0" applyAlignment="0" applyProtection="0"/>
    <xf numFmtId="0" fontId="121" fillId="5" borderId="0" applyNumberFormat="0" applyBorder="0" applyAlignment="0" applyProtection="0"/>
    <xf numFmtId="0" fontId="99" fillId="111" borderId="0"/>
    <xf numFmtId="0" fontId="120" fillId="5" borderId="0"/>
    <xf numFmtId="0" fontId="120" fillId="105" borderId="0" applyNumberFormat="0" applyBorder="0" applyAlignment="0" applyProtection="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105" borderId="0" applyNumberFormat="0" applyBorder="0" applyAlignment="0" applyProtection="0"/>
    <xf numFmtId="0" fontId="120" fillId="67" borderId="0" applyNumberFormat="0" applyBorder="0" applyAlignment="0" applyProtection="0"/>
    <xf numFmtId="0" fontId="120" fillId="54" borderId="0" applyNumberFormat="0" applyBorder="0" applyAlignment="0" applyProtection="0"/>
    <xf numFmtId="0" fontId="120" fillId="5" borderId="0"/>
    <xf numFmtId="0" fontId="120" fillId="5" borderId="0"/>
    <xf numFmtId="0" fontId="120" fillId="5" borderId="0"/>
    <xf numFmtId="0" fontId="120" fillId="5" borderId="0"/>
    <xf numFmtId="0" fontId="120" fillId="5" borderId="0"/>
    <xf numFmtId="0" fontId="122" fillId="111" borderId="0"/>
    <xf numFmtId="0" fontId="120" fillId="5" borderId="0"/>
    <xf numFmtId="0" fontId="122" fillId="111" borderId="0"/>
    <xf numFmtId="0" fontId="120" fillId="5" borderId="0"/>
    <xf numFmtId="0" fontId="120" fillId="5" borderId="0"/>
    <xf numFmtId="0" fontId="122" fillId="111" borderId="0"/>
    <xf numFmtId="0" fontId="120" fillId="5" borderId="0"/>
    <xf numFmtId="0" fontId="120" fillId="5" borderId="0"/>
    <xf numFmtId="0" fontId="120" fillId="5" borderId="0"/>
    <xf numFmtId="0" fontId="120" fillId="5" borderId="0"/>
    <xf numFmtId="0" fontId="120" fillId="5" borderId="0"/>
    <xf numFmtId="0" fontId="120" fillId="105" borderId="0" applyNumberFormat="0" applyBorder="0" applyAlignment="0" applyProtection="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0" fillId="5" borderId="0"/>
    <xf numFmtId="0" fontId="122" fillId="111" borderId="0"/>
    <xf numFmtId="0" fontId="120" fillId="5" borderId="0"/>
    <xf numFmtId="0" fontId="120" fillId="5" borderId="0"/>
    <xf numFmtId="0" fontId="122" fillId="111" borderId="0"/>
    <xf numFmtId="0" fontId="120" fillId="5" borderId="0"/>
    <xf numFmtId="0" fontId="120" fillId="5" borderId="0"/>
    <xf numFmtId="0" fontId="123" fillId="111" borderId="0"/>
    <xf numFmtId="0" fontId="120" fillId="5" borderId="0"/>
    <xf numFmtId="0" fontId="124" fillId="25" borderId="0" applyNumberFormat="0" applyBorder="0" applyAlignment="0" applyProtection="0"/>
    <xf numFmtId="0" fontId="120" fillId="5" borderId="0"/>
    <xf numFmtId="0" fontId="120" fillId="5" borderId="0"/>
    <xf numFmtId="0" fontId="120" fillId="5"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1" fillId="113" borderId="0" applyNumberFormat="0" applyBorder="0" applyAlignment="0" applyProtection="0"/>
    <xf numFmtId="0" fontId="120" fillId="113" borderId="0" applyNumberFormat="0" applyBorder="0" applyAlignment="0" applyProtection="0"/>
    <xf numFmtId="0" fontId="121" fillId="112" borderId="0" applyNumberFormat="0" applyBorder="0" applyAlignment="0" applyProtection="0"/>
    <xf numFmtId="0" fontId="121" fillId="112" borderId="0" applyNumberFormat="0" applyBorder="0" applyAlignment="0" applyProtection="0"/>
    <xf numFmtId="0" fontId="99" fillId="114" borderId="0"/>
    <xf numFmtId="0" fontId="120" fillId="112" borderId="0"/>
    <xf numFmtId="0" fontId="120" fillId="113" borderId="0" applyNumberFormat="0" applyBorder="0" applyAlignment="0" applyProtection="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3" borderId="0" applyNumberFormat="0" applyBorder="0" applyAlignment="0" applyProtection="0"/>
    <xf numFmtId="0" fontId="120" fillId="79" borderId="0" applyNumberFormat="0" applyBorder="0" applyAlignment="0" applyProtection="0"/>
    <xf numFmtId="0" fontId="120" fillId="85" borderId="0" applyNumberFormat="0" applyBorder="0" applyAlignment="0" applyProtection="0"/>
    <xf numFmtId="0" fontId="120" fillId="112" borderId="0"/>
    <xf numFmtId="0" fontId="120" fillId="112" borderId="0"/>
    <xf numFmtId="0" fontId="120" fillId="112" borderId="0"/>
    <xf numFmtId="0" fontId="120" fillId="112" borderId="0"/>
    <xf numFmtId="0" fontId="120" fillId="112" borderId="0"/>
    <xf numFmtId="0" fontId="122" fillId="114" borderId="0"/>
    <xf numFmtId="0" fontId="120" fillId="112" borderId="0"/>
    <xf numFmtId="0" fontId="122" fillId="114" borderId="0"/>
    <xf numFmtId="0" fontId="120" fillId="112" borderId="0"/>
    <xf numFmtId="0" fontId="120" fillId="112" borderId="0"/>
    <xf numFmtId="0" fontId="122" fillId="114" borderId="0"/>
    <xf numFmtId="0" fontId="120" fillId="112" borderId="0"/>
    <xf numFmtId="0" fontId="120" fillId="112" borderId="0"/>
    <xf numFmtId="0" fontId="120" fillId="112" borderId="0"/>
    <xf numFmtId="0" fontId="120" fillId="112" borderId="0"/>
    <xf numFmtId="0" fontId="120" fillId="112" borderId="0"/>
    <xf numFmtId="0" fontId="120" fillId="113" borderId="0" applyNumberFormat="0" applyBorder="0" applyAlignment="0" applyProtection="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0" fillId="112" borderId="0"/>
    <xf numFmtId="0" fontId="122" fillId="114" borderId="0"/>
    <xf numFmtId="0" fontId="120" fillId="112" borderId="0"/>
    <xf numFmtId="0" fontId="120" fillId="112" borderId="0"/>
    <xf numFmtId="0" fontId="122" fillId="114" borderId="0"/>
    <xf numFmtId="0" fontId="120" fillId="112" borderId="0"/>
    <xf numFmtId="0" fontId="120" fillId="112" borderId="0"/>
    <xf numFmtId="0" fontId="123" fillId="114" borderId="0"/>
    <xf numFmtId="0" fontId="120" fillId="112" borderId="0"/>
    <xf numFmtId="0" fontId="124" fillId="29" borderId="0" applyNumberFormat="0" applyBorder="0" applyAlignment="0" applyProtection="0"/>
    <xf numFmtId="0" fontId="120" fillId="112" borderId="0"/>
    <xf numFmtId="0" fontId="120" fillId="112" borderId="0"/>
    <xf numFmtId="0" fontId="120" fillId="112"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1" fillId="95" borderId="0" applyNumberFormat="0" applyBorder="0" applyAlignment="0" applyProtection="0"/>
    <xf numFmtId="0" fontId="120" fillId="95" borderId="0" applyNumberFormat="0" applyBorder="0" applyAlignment="0" applyProtection="0"/>
    <xf numFmtId="0" fontId="121" fillId="94" borderId="0" applyNumberFormat="0" applyBorder="0" applyAlignment="0" applyProtection="0"/>
    <xf numFmtId="0" fontId="121" fillId="94" borderId="0" applyNumberFormat="0" applyBorder="0" applyAlignment="0" applyProtection="0"/>
    <xf numFmtId="0" fontId="99" fillId="115" borderId="0"/>
    <xf numFmtId="0" fontId="120" fillId="97" borderId="0"/>
    <xf numFmtId="0" fontId="120" fillId="95" borderId="0" applyNumberFormat="0" applyBorder="0" applyAlignment="0" applyProtection="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5" borderId="0" applyNumberFormat="0" applyBorder="0" applyAlignment="0" applyProtection="0"/>
    <xf numFmtId="0" fontId="120" fillId="89" borderId="0" applyNumberFormat="0" applyBorder="0" applyAlignment="0" applyProtection="0"/>
    <xf numFmtId="0" fontId="120" fillId="116" borderId="0" applyNumberFormat="0" applyBorder="0" applyAlignment="0" applyProtection="0"/>
    <xf numFmtId="0" fontId="120" fillId="94" borderId="0"/>
    <xf numFmtId="0" fontId="120" fillId="94" borderId="0"/>
    <xf numFmtId="0" fontId="120" fillId="94" borderId="0"/>
    <xf numFmtId="0" fontId="120" fillId="94" borderId="0"/>
    <xf numFmtId="0" fontId="120" fillId="94" borderId="0"/>
    <xf numFmtId="0" fontId="122" fillId="117" borderId="0"/>
    <xf numFmtId="0" fontId="120" fillId="94" borderId="0"/>
    <xf numFmtId="0" fontId="122" fillId="117" borderId="0"/>
    <xf numFmtId="0" fontId="120" fillId="94" borderId="0"/>
    <xf numFmtId="0" fontId="120" fillId="94" borderId="0"/>
    <xf numFmtId="0" fontId="122" fillId="117" borderId="0"/>
    <xf numFmtId="0" fontId="120" fillId="94" borderId="0"/>
    <xf numFmtId="0" fontId="120" fillId="94" borderId="0"/>
    <xf numFmtId="0" fontId="120" fillId="94" borderId="0"/>
    <xf numFmtId="0" fontId="120" fillId="94" borderId="0"/>
    <xf numFmtId="0" fontId="120" fillId="94" borderId="0"/>
    <xf numFmtId="0" fontId="120" fillId="95" borderId="0" applyNumberFormat="0" applyBorder="0" applyAlignment="0" applyProtection="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0" fillId="94" borderId="0"/>
    <xf numFmtId="0" fontId="122" fillId="117" borderId="0"/>
    <xf numFmtId="0" fontId="120" fillId="94" borderId="0"/>
    <xf numFmtId="0" fontId="122" fillId="117" borderId="0"/>
    <xf numFmtId="0" fontId="120" fillId="94" borderId="0"/>
    <xf numFmtId="0" fontId="122" fillId="117" borderId="0"/>
    <xf numFmtId="0" fontId="120" fillId="94" borderId="0"/>
    <xf numFmtId="0" fontId="120" fillId="94" borderId="0"/>
    <xf numFmtId="0" fontId="123" fillId="115" borderId="0"/>
    <xf numFmtId="0" fontId="120" fillId="94" borderId="0"/>
    <xf numFmtId="0" fontId="124" fillId="33" borderId="0" applyNumberFormat="0" applyBorder="0" applyAlignment="0" applyProtection="0"/>
    <xf numFmtId="0" fontId="120" fillId="94" borderId="0"/>
    <xf numFmtId="0" fontId="120" fillId="94" borderId="0"/>
    <xf numFmtId="0" fontId="120" fillId="94"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1" fillId="98" borderId="0" applyNumberFormat="0" applyBorder="0" applyAlignment="0" applyProtection="0"/>
    <xf numFmtId="0" fontId="120" fillId="98" borderId="0" applyNumberFormat="0" applyBorder="0" applyAlignment="0" applyProtection="0"/>
    <xf numFmtId="0" fontId="121" fillId="91" borderId="0" applyNumberFormat="0" applyBorder="0" applyAlignment="0" applyProtection="0"/>
    <xf numFmtId="0" fontId="121" fillId="91" borderId="0" applyNumberFormat="0" applyBorder="0" applyAlignment="0" applyProtection="0"/>
    <xf numFmtId="0" fontId="99" fillId="118" borderId="0"/>
    <xf numFmtId="0" fontId="120" fillId="91" borderId="0"/>
    <xf numFmtId="0" fontId="120" fillId="98" borderId="0" applyNumberFormat="0" applyBorder="0" applyAlignment="0" applyProtection="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8" borderId="0" applyNumberFormat="0" applyBorder="0" applyAlignment="0" applyProtection="0"/>
    <xf numFmtId="0" fontId="120" fillId="119" borderId="0" applyNumberFormat="0" applyBorder="0" applyAlignment="0" applyProtection="0"/>
    <xf numFmtId="0" fontId="120" fillId="91" borderId="0"/>
    <xf numFmtId="0" fontId="120" fillId="91" borderId="0"/>
    <xf numFmtId="0" fontId="120" fillId="91" borderId="0"/>
    <xf numFmtId="0" fontId="120" fillId="91" borderId="0"/>
    <xf numFmtId="0" fontId="120" fillId="91" borderId="0"/>
    <xf numFmtId="0" fontId="122" fillId="118" borderId="0"/>
    <xf numFmtId="0" fontId="120" fillId="91" borderId="0"/>
    <xf numFmtId="0" fontId="122" fillId="118" borderId="0"/>
    <xf numFmtId="0" fontId="120" fillId="91" borderId="0"/>
    <xf numFmtId="0" fontId="120" fillId="91" borderId="0"/>
    <xf numFmtId="0" fontId="122" fillId="118" borderId="0"/>
    <xf numFmtId="0" fontId="120" fillId="91" borderId="0"/>
    <xf numFmtId="0" fontId="120" fillId="91" borderId="0"/>
    <xf numFmtId="0" fontId="120" fillId="91" borderId="0"/>
    <xf numFmtId="0" fontId="120" fillId="91" borderId="0"/>
    <xf numFmtId="0" fontId="120" fillId="91" borderId="0"/>
    <xf numFmtId="0" fontId="120" fillId="98" borderId="0" applyNumberFormat="0" applyBorder="0" applyAlignment="0" applyProtection="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0" fillId="91" borderId="0"/>
    <xf numFmtId="0" fontId="122" fillId="118" borderId="0"/>
    <xf numFmtId="0" fontId="120" fillId="91" borderId="0"/>
    <xf numFmtId="0" fontId="120" fillId="91" borderId="0"/>
    <xf numFmtId="0" fontId="122" fillId="118" borderId="0"/>
    <xf numFmtId="0" fontId="120" fillId="91" borderId="0"/>
    <xf numFmtId="0" fontId="120" fillId="91" borderId="0"/>
    <xf numFmtId="0" fontId="123" fillId="118" borderId="0"/>
    <xf numFmtId="0" fontId="120" fillId="91" borderId="0"/>
    <xf numFmtId="0" fontId="124" fillId="37" borderId="0" applyNumberFormat="0" applyBorder="0" applyAlignment="0" applyProtection="0"/>
    <xf numFmtId="0" fontId="120" fillId="91" borderId="0"/>
    <xf numFmtId="0" fontId="120" fillId="91" borderId="0"/>
    <xf numFmtId="0" fontId="120" fillId="91"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1" fillId="54" borderId="0" applyNumberFormat="0" applyBorder="0" applyAlignment="0" applyProtection="0"/>
    <xf numFmtId="0" fontId="120" fillId="54" borderId="0" applyNumberFormat="0" applyBorder="0" applyAlignment="0" applyProtection="0"/>
    <xf numFmtId="0" fontId="121" fillId="120" borderId="0" applyNumberFormat="0" applyBorder="0" applyAlignment="0" applyProtection="0"/>
    <xf numFmtId="0" fontId="121" fillId="120" borderId="0" applyNumberFormat="0" applyBorder="0" applyAlignment="0" applyProtection="0"/>
    <xf numFmtId="0" fontId="99" fillId="121" borderId="0"/>
    <xf numFmtId="0" fontId="120" fillId="120" borderId="0"/>
    <xf numFmtId="0" fontId="120" fillId="54" borderId="0" applyNumberFormat="0" applyBorder="0" applyAlignment="0" applyProtection="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54" borderId="0" applyNumberFormat="0" applyBorder="0" applyAlignment="0" applyProtection="0"/>
    <xf numFmtId="0" fontId="120" fillId="55" borderId="0" applyNumberFormat="0" applyBorder="0" applyAlignment="0" applyProtection="0"/>
    <xf numFmtId="0" fontId="120" fillId="105" borderId="0" applyNumberFormat="0" applyBorder="0" applyAlignment="0" applyProtection="0"/>
    <xf numFmtId="0" fontId="120" fillId="120" borderId="0"/>
    <xf numFmtId="0" fontId="120" fillId="120" borderId="0"/>
    <xf numFmtId="0" fontId="120" fillId="120" borderId="0"/>
    <xf numFmtId="0" fontId="120" fillId="120" borderId="0"/>
    <xf numFmtId="0" fontId="120" fillId="120" borderId="0"/>
    <xf numFmtId="0" fontId="122" fillId="121" borderId="0"/>
    <xf numFmtId="0" fontId="120" fillId="120" borderId="0"/>
    <xf numFmtId="0" fontId="122" fillId="121" borderId="0"/>
    <xf numFmtId="0" fontId="120" fillId="120" borderId="0"/>
    <xf numFmtId="0" fontId="120" fillId="120" borderId="0"/>
    <xf numFmtId="0" fontId="122" fillId="121" borderId="0"/>
    <xf numFmtId="0" fontId="120" fillId="120" borderId="0"/>
    <xf numFmtId="0" fontId="120" fillId="120" borderId="0"/>
    <xf numFmtId="0" fontId="120" fillId="120" borderId="0"/>
    <xf numFmtId="0" fontId="120" fillId="120" borderId="0"/>
    <xf numFmtId="0" fontId="120" fillId="120" borderId="0"/>
    <xf numFmtId="0" fontId="120" fillId="54" borderId="0" applyNumberFormat="0" applyBorder="0" applyAlignment="0" applyProtection="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0" fillId="120" borderId="0"/>
    <xf numFmtId="0" fontId="122" fillId="121" borderId="0"/>
    <xf numFmtId="0" fontId="120" fillId="120" borderId="0"/>
    <xf numFmtId="0" fontId="120" fillId="120" borderId="0"/>
    <xf numFmtId="0" fontId="122" fillId="121" borderId="0"/>
    <xf numFmtId="0" fontId="120" fillId="120" borderId="0"/>
    <xf numFmtId="0" fontId="120" fillId="120" borderId="0"/>
    <xf numFmtId="0" fontId="123" fillId="121" borderId="0"/>
    <xf numFmtId="0" fontId="120" fillId="120" borderId="0"/>
    <xf numFmtId="0" fontId="124" fillId="41" borderId="0" applyNumberFormat="0" applyBorder="0" applyAlignment="0" applyProtection="0"/>
    <xf numFmtId="0" fontId="120" fillId="120" borderId="0"/>
    <xf numFmtId="0" fontId="120" fillId="120" borderId="0"/>
    <xf numFmtId="0" fontId="120" fillId="120" borderId="0"/>
    <xf numFmtId="190" fontId="105" fillId="74" borderId="248">
      <alignment horizontal="center" vertical="center"/>
    </xf>
    <xf numFmtId="0" fontId="125" fillId="0" borderId="0" applyNumberFormat="0" applyFill="0" applyBorder="0" applyAlignment="0">
      <protection locked="0"/>
    </xf>
    <xf numFmtId="0" fontId="126" fillId="0" borderId="0"/>
    <xf numFmtId="4" fontId="119" fillId="66" borderId="19">
      <alignment horizontal="right" vertical="center"/>
    </xf>
    <xf numFmtId="0" fontId="4" fillId="81" borderId="0" applyNumberFormat="0" applyFont="0" applyAlignment="0">
      <alignment vertical="top"/>
    </xf>
    <xf numFmtId="0" fontId="2" fillId="81" borderId="0" applyNumberFormat="0" applyFont="0" applyAlignment="0">
      <alignment vertical="top" wrapText="1"/>
    </xf>
    <xf numFmtId="0" fontId="2" fillId="81" borderId="0" applyNumberFormat="0" applyFont="0" applyAlignment="0">
      <alignment vertical="top" wrapText="1"/>
    </xf>
    <xf numFmtId="0" fontId="2" fillId="81" borderId="0" applyNumberFormat="0" applyFont="0" applyAlignment="0">
      <alignment vertical="top" wrapText="1"/>
    </xf>
    <xf numFmtId="0" fontId="2" fillId="81" borderId="0" applyNumberFormat="0" applyFont="0" applyAlignment="0">
      <alignment vertical="top" wrapText="1"/>
    </xf>
    <xf numFmtId="0" fontId="2" fillId="81" borderId="0" applyNumberFormat="0" applyFont="0" applyAlignment="0">
      <alignment vertical="top" wrapText="1"/>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127" fillId="0" borderId="0" applyNumberFormat="0" applyFill="0" applyBorder="0" applyAlignment="0" applyProtection="0"/>
    <xf numFmtId="0" fontId="105" fillId="0" borderId="53">
      <alignment horizontal="center" vertical="center"/>
    </xf>
    <xf numFmtId="171" fontId="107" fillId="3" borderId="0"/>
    <xf numFmtId="191" fontId="128" fillId="122" borderId="249" applyNumberFormat="0" applyFont="0" applyAlignment="0" applyProtection="0">
      <protection locked="0"/>
    </xf>
    <xf numFmtId="0" fontId="129" fillId="0" borderId="250">
      <alignment vertical="center"/>
      <protection locked="0"/>
    </xf>
    <xf numFmtId="186" fontId="41" fillId="0" borderId="0"/>
    <xf numFmtId="0" fontId="41" fillId="0" borderId="0"/>
    <xf numFmtId="186" fontId="41" fillId="0" borderId="0"/>
    <xf numFmtId="186" fontId="41" fillId="0" borderId="0"/>
    <xf numFmtId="189" fontId="41" fillId="0" borderId="0"/>
    <xf numFmtId="186" fontId="41" fillId="0" borderId="0"/>
    <xf numFmtId="186" fontId="41" fillId="0" borderId="0"/>
    <xf numFmtId="186" fontId="41" fillId="0" borderId="0"/>
    <xf numFmtId="186" fontId="41" fillId="0" borderId="0"/>
    <xf numFmtId="186" fontId="41" fillId="0" borderId="0"/>
    <xf numFmtId="186" fontId="41" fillId="0" borderId="0"/>
    <xf numFmtId="186" fontId="41" fillId="0" borderId="0"/>
    <xf numFmtId="186" fontId="41" fillId="0" borderId="0"/>
    <xf numFmtId="1" fontId="2" fillId="123"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1" fillId="52" borderId="0" applyNumberFormat="0" applyBorder="0" applyAlignment="0" applyProtection="0"/>
    <xf numFmtId="0" fontId="130" fillId="52" borderId="0" applyNumberFormat="0" applyBorder="0" applyAlignment="0" applyProtection="0"/>
    <xf numFmtId="0" fontId="131" fillId="6" borderId="0" applyNumberFormat="0" applyBorder="0" applyAlignment="0" applyProtection="0"/>
    <xf numFmtId="0" fontId="131" fillId="6" borderId="0" applyNumberFormat="0" applyBorder="0" applyAlignment="0" applyProtection="0"/>
    <xf numFmtId="0" fontId="95" fillId="124" borderId="0"/>
    <xf numFmtId="0" fontId="130" fillId="6" borderId="0"/>
    <xf numFmtId="0" fontId="130" fillId="52" borderId="0" applyNumberFormat="0" applyBorder="0" applyAlignment="0" applyProtection="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52" borderId="0" applyNumberFormat="0" applyBorder="0" applyAlignment="0" applyProtection="0"/>
    <xf numFmtId="0" fontId="130" fillId="52" borderId="0" applyNumberFormat="0" applyBorder="0" applyAlignment="0" applyProtection="0"/>
    <xf numFmtId="0" fontId="130" fillId="62" borderId="0" applyNumberFormat="0" applyBorder="0" applyAlignment="0" applyProtection="0"/>
    <xf numFmtId="0" fontId="130" fillId="6" borderId="0"/>
    <xf numFmtId="0" fontId="130" fillId="6" borderId="0"/>
    <xf numFmtId="0" fontId="130" fillId="6" borderId="0"/>
    <xf numFmtId="0" fontId="130" fillId="6" borderId="0"/>
    <xf numFmtId="0" fontId="130" fillId="6" borderId="0"/>
    <xf numFmtId="0" fontId="132" fillId="124" borderId="0"/>
    <xf numFmtId="0" fontId="130" fillId="6" borderId="0"/>
    <xf numFmtId="0" fontId="132" fillId="124" borderId="0"/>
    <xf numFmtId="0" fontId="130" fillId="6" borderId="0"/>
    <xf numFmtId="0" fontId="130" fillId="6" borderId="0"/>
    <xf numFmtId="0" fontId="132" fillId="124"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0" fillId="6" borderId="0"/>
    <xf numFmtId="0" fontId="132" fillId="124" borderId="0"/>
    <xf numFmtId="0" fontId="130" fillId="6" borderId="0"/>
    <xf numFmtId="0" fontId="132" fillId="124" borderId="0"/>
    <xf numFmtId="0" fontId="130" fillId="6" borderId="0"/>
    <xf numFmtId="0" fontId="132" fillId="124" borderId="0"/>
    <xf numFmtId="0" fontId="130" fillId="6" borderId="0"/>
    <xf numFmtId="0" fontId="130" fillId="6" borderId="0"/>
    <xf numFmtId="0" fontId="133" fillId="124" borderId="0"/>
    <xf numFmtId="0" fontId="130" fillId="6" borderId="0"/>
    <xf numFmtId="0" fontId="134" fillId="15" borderId="0" applyNumberFormat="0" applyBorder="0" applyAlignment="0" applyProtection="0"/>
    <xf numFmtId="0" fontId="130" fillId="6" borderId="0"/>
    <xf numFmtId="0" fontId="130" fillId="6" borderId="0"/>
    <xf numFmtId="0" fontId="130" fillId="6" borderId="0"/>
    <xf numFmtId="192" fontId="135" fillId="51" borderId="0" applyNumberFormat="0" applyBorder="0" applyAlignment="0">
      <protection locked="0"/>
    </xf>
    <xf numFmtId="0" fontId="136" fillId="0" borderId="0">
      <alignment vertical="top"/>
      <protection locked="0"/>
    </xf>
    <xf numFmtId="193" fontId="2" fillId="0" borderId="0" applyBorder="0"/>
    <xf numFmtId="193" fontId="2" fillId="0" borderId="0" applyBorder="0"/>
    <xf numFmtId="0" fontId="8" fillId="91" borderId="0">
      <alignment vertical="top"/>
    </xf>
    <xf numFmtId="0" fontId="137" fillId="0" borderId="0" applyNumberFormat="0" applyAlignment="0">
      <alignment horizontal="left"/>
    </xf>
    <xf numFmtId="4" fontId="138" fillId="0" borderId="196" applyFill="0" applyBorder="0" applyProtection="0">
      <alignment horizontal="right" vertical="center"/>
    </xf>
    <xf numFmtId="4" fontId="138" fillId="0" borderId="196">
      <alignment horizontal="right" vertical="center"/>
    </xf>
    <xf numFmtId="194" fontId="139" fillId="0" borderId="135" applyAlignment="0" applyProtection="0"/>
    <xf numFmtId="49" fontId="140" fillId="0" borderId="0" applyFont="0" applyFill="0" applyBorder="0" applyAlignment="0" applyProtection="0">
      <alignment horizontal="left"/>
    </xf>
    <xf numFmtId="3" fontId="41" fillId="0" borderId="0" applyAlignment="0" applyProtection="0"/>
    <xf numFmtId="170" fontId="8" fillId="0" borderId="0" applyFill="0" applyBorder="0" applyAlignment="0" applyProtection="0"/>
    <xf numFmtId="49" fontId="8" fillId="0" borderId="0" applyNumberFormat="0" applyAlignment="0" applyProtection="0">
      <alignment horizontal="left"/>
    </xf>
    <xf numFmtId="49" fontId="141" fillId="0" borderId="251" applyNumberFormat="0" applyAlignment="0" applyProtection="0">
      <alignment horizontal="left" wrapText="1"/>
    </xf>
    <xf numFmtId="49" fontId="141" fillId="0" borderId="0" applyNumberFormat="0" applyAlignment="0" applyProtection="0">
      <alignment horizontal="left" wrapText="1"/>
    </xf>
    <xf numFmtId="49" fontId="142" fillId="0" borderId="0" applyAlignment="0" applyProtection="0">
      <alignment horizontal="left"/>
    </xf>
    <xf numFmtId="195" fontId="41" fillId="0" borderId="0"/>
    <xf numFmtId="196" fontId="41" fillId="0" borderId="0"/>
    <xf numFmtId="196" fontId="41" fillId="0" borderId="0"/>
    <xf numFmtId="196" fontId="41" fillId="0" borderId="0"/>
    <xf numFmtId="196" fontId="41" fillId="0" borderId="0"/>
    <xf numFmtId="196" fontId="41" fillId="0" borderId="0"/>
    <xf numFmtId="196" fontId="41" fillId="0" borderId="0"/>
    <xf numFmtId="196" fontId="41" fillId="0" borderId="0"/>
    <xf numFmtId="196" fontId="41" fillId="0" borderId="0"/>
    <xf numFmtId="197" fontId="41" fillId="0" borderId="0"/>
    <xf numFmtId="197" fontId="41" fillId="0" borderId="0"/>
    <xf numFmtId="197" fontId="41" fillId="0" borderId="0"/>
    <xf numFmtId="197" fontId="41" fillId="0" borderId="0"/>
    <xf numFmtId="197" fontId="41" fillId="0" borderId="0"/>
    <xf numFmtId="197" fontId="41" fillId="0" borderId="0"/>
    <xf numFmtId="197" fontId="41" fillId="0" borderId="0"/>
    <xf numFmtId="197" fontId="41" fillId="0" borderId="0"/>
    <xf numFmtId="195" fontId="41" fillId="0" borderId="0"/>
    <xf numFmtId="195" fontId="41" fillId="0" borderId="0"/>
    <xf numFmtId="195" fontId="41" fillId="0" borderId="0"/>
    <xf numFmtId="195" fontId="41" fillId="0" borderId="0"/>
    <xf numFmtId="195" fontId="41" fillId="0" borderId="0"/>
    <xf numFmtId="195" fontId="41" fillId="0" borderId="0"/>
    <xf numFmtId="195" fontId="41" fillId="0" borderId="0"/>
    <xf numFmtId="195" fontId="41" fillId="0" borderId="135"/>
    <xf numFmtId="196" fontId="41" fillId="0" borderId="135"/>
    <xf numFmtId="196" fontId="41" fillId="0" borderId="135"/>
    <xf numFmtId="196" fontId="41" fillId="0" borderId="135"/>
    <xf numFmtId="196" fontId="41" fillId="0" borderId="135"/>
    <xf numFmtId="196" fontId="41" fillId="0" borderId="135"/>
    <xf numFmtId="196" fontId="41" fillId="0" borderId="135"/>
    <xf numFmtId="196" fontId="41" fillId="0" borderId="135"/>
    <xf numFmtId="196" fontId="41" fillId="0" borderId="135"/>
    <xf numFmtId="196" fontId="41" fillId="0" borderId="135"/>
    <xf numFmtId="196" fontId="41" fillId="0" borderId="135"/>
    <xf numFmtId="196" fontId="41" fillId="0" borderId="135"/>
    <xf numFmtId="197" fontId="41" fillId="0" borderId="135"/>
    <xf numFmtId="197" fontId="41" fillId="0" borderId="135"/>
    <xf numFmtId="197" fontId="41" fillId="0" borderId="135"/>
    <xf numFmtId="197" fontId="41" fillId="0" borderId="135"/>
    <xf numFmtId="197" fontId="41" fillId="0" borderId="135"/>
    <xf numFmtId="197" fontId="41" fillId="0" borderId="135"/>
    <xf numFmtId="197" fontId="41" fillId="0" borderId="135"/>
    <xf numFmtId="197" fontId="41" fillId="0" borderId="135"/>
    <xf numFmtId="197" fontId="41" fillId="0" borderId="135"/>
    <xf numFmtId="197" fontId="41" fillId="0" borderId="135"/>
    <xf numFmtId="197"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5" fontId="41" fillId="0" borderId="135"/>
    <xf numFmtId="198" fontId="41" fillId="0" borderId="0"/>
    <xf numFmtId="199" fontId="41" fillId="0" borderId="0"/>
    <xf numFmtId="199" fontId="41" fillId="0" borderId="0"/>
    <xf numFmtId="199" fontId="41" fillId="0" borderId="0"/>
    <xf numFmtId="199" fontId="41" fillId="0" borderId="0"/>
    <xf numFmtId="199" fontId="41" fillId="0" borderId="0"/>
    <xf numFmtId="199" fontId="41" fillId="0" borderId="0"/>
    <xf numFmtId="199" fontId="41" fillId="0" borderId="0"/>
    <xf numFmtId="199" fontId="41" fillId="0" borderId="0"/>
    <xf numFmtId="200" fontId="41" fillId="0" borderId="0"/>
    <xf numFmtId="200" fontId="41" fillId="0" borderId="0"/>
    <xf numFmtId="200" fontId="41" fillId="0" borderId="0"/>
    <xf numFmtId="200" fontId="41" fillId="0" borderId="0"/>
    <xf numFmtId="200" fontId="41" fillId="0" borderId="0"/>
    <xf numFmtId="200" fontId="41" fillId="0" borderId="0"/>
    <xf numFmtId="200" fontId="41" fillId="0" borderId="0"/>
    <xf numFmtId="200" fontId="41" fillId="0" borderId="0"/>
    <xf numFmtId="198" fontId="41" fillId="0" borderId="0"/>
    <xf numFmtId="198" fontId="41" fillId="0" borderId="0"/>
    <xf numFmtId="198" fontId="41" fillId="0" borderId="0"/>
    <xf numFmtId="198" fontId="41" fillId="0" borderId="0"/>
    <xf numFmtId="198" fontId="41" fillId="0" borderId="0"/>
    <xf numFmtId="198" fontId="41" fillId="0" borderId="0"/>
    <xf numFmtId="198" fontId="41" fillId="0" borderId="0"/>
    <xf numFmtId="198" fontId="41" fillId="0" borderId="135"/>
    <xf numFmtId="199" fontId="41" fillId="0" borderId="135"/>
    <xf numFmtId="199" fontId="41" fillId="0" borderId="135"/>
    <xf numFmtId="199" fontId="41" fillId="0" borderId="135"/>
    <xf numFmtId="199" fontId="41" fillId="0" borderId="135"/>
    <xf numFmtId="199" fontId="41" fillId="0" borderId="135"/>
    <xf numFmtId="199" fontId="41" fillId="0" borderId="135"/>
    <xf numFmtId="199" fontId="41" fillId="0" borderId="135"/>
    <xf numFmtId="199" fontId="41" fillId="0" borderId="135"/>
    <xf numFmtId="199" fontId="41" fillId="0" borderId="135"/>
    <xf numFmtId="199" fontId="41" fillId="0" borderId="135"/>
    <xf numFmtId="199" fontId="41" fillId="0" borderId="135"/>
    <xf numFmtId="200" fontId="41" fillId="0" borderId="135"/>
    <xf numFmtId="200" fontId="41" fillId="0" borderId="135"/>
    <xf numFmtId="200" fontId="41" fillId="0" borderId="135"/>
    <xf numFmtId="200" fontId="41" fillId="0" borderId="135"/>
    <xf numFmtId="200" fontId="41" fillId="0" borderId="135"/>
    <xf numFmtId="200" fontId="41" fillId="0" borderId="135"/>
    <xf numFmtId="200" fontId="41" fillId="0" borderId="135"/>
    <xf numFmtId="200" fontId="41" fillId="0" borderId="135"/>
    <xf numFmtId="200" fontId="41" fillId="0" borderId="135"/>
    <xf numFmtId="200" fontId="41" fillId="0" borderId="135"/>
    <xf numFmtId="200"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198" fontId="41" fillId="0" borderId="135"/>
    <xf numFmtId="201" fontId="41" fillId="0" borderId="0">
      <alignment horizontal="right"/>
      <protection locked="0"/>
    </xf>
    <xf numFmtId="201" fontId="41" fillId="0" borderId="0">
      <alignment horizontal="right"/>
      <protection locked="0"/>
    </xf>
    <xf numFmtId="201" fontId="41" fillId="0" borderId="0">
      <alignment horizontal="right"/>
      <protection locked="0"/>
    </xf>
    <xf numFmtId="201" fontId="41" fillId="0" borderId="0">
      <alignment horizontal="right"/>
      <protection locked="0"/>
    </xf>
    <xf numFmtId="201" fontId="41" fillId="0" borderId="0">
      <alignment horizontal="right"/>
      <protection locked="0"/>
    </xf>
    <xf numFmtId="201" fontId="41" fillId="0" borderId="0">
      <alignment horizontal="right"/>
      <protection locked="0"/>
    </xf>
    <xf numFmtId="201" fontId="41" fillId="0" borderId="0">
      <alignment horizontal="right"/>
      <protection locked="0"/>
    </xf>
    <xf numFmtId="201" fontId="41" fillId="0" borderId="0">
      <alignment horizontal="right"/>
      <protection locked="0"/>
    </xf>
    <xf numFmtId="202" fontId="41" fillId="0" borderId="0">
      <alignment horizontal="right"/>
      <protection locked="0"/>
    </xf>
    <xf numFmtId="202" fontId="41" fillId="0" borderId="0">
      <alignment horizontal="right"/>
      <protection locked="0"/>
    </xf>
    <xf numFmtId="202" fontId="41" fillId="0" borderId="0">
      <alignment horizontal="right"/>
      <protection locked="0"/>
    </xf>
    <xf numFmtId="202" fontId="41" fillId="0" borderId="0">
      <alignment horizontal="right"/>
      <protection locked="0"/>
    </xf>
    <xf numFmtId="202" fontId="41" fillId="0" borderId="0">
      <alignment horizontal="right"/>
      <protection locked="0"/>
    </xf>
    <xf numFmtId="202" fontId="41" fillId="0" borderId="0">
      <alignment horizontal="right"/>
      <protection locked="0"/>
    </xf>
    <xf numFmtId="202" fontId="41" fillId="0" borderId="0">
      <alignment horizontal="right"/>
      <protection locked="0"/>
    </xf>
    <xf numFmtId="202" fontId="41" fillId="0" borderId="0">
      <alignment horizontal="right"/>
      <protection locked="0"/>
    </xf>
    <xf numFmtId="203" fontId="41" fillId="0" borderId="0"/>
    <xf numFmtId="204" fontId="41" fillId="0" borderId="0"/>
    <xf numFmtId="204" fontId="41" fillId="0" borderId="0"/>
    <xf numFmtId="204" fontId="41" fillId="0" borderId="0"/>
    <xf numFmtId="204" fontId="41" fillId="0" borderId="0"/>
    <xf numFmtId="204" fontId="41" fillId="0" borderId="0"/>
    <xf numFmtId="204" fontId="41" fillId="0" borderId="0"/>
    <xf numFmtId="204" fontId="41" fillId="0" borderId="0"/>
    <xf numFmtId="204" fontId="41" fillId="0" borderId="0"/>
    <xf numFmtId="205" fontId="41" fillId="0" borderId="0"/>
    <xf numFmtId="205" fontId="41" fillId="0" borderId="0"/>
    <xf numFmtId="205" fontId="41" fillId="0" borderId="0"/>
    <xf numFmtId="205" fontId="41" fillId="0" borderId="0"/>
    <xf numFmtId="205" fontId="41" fillId="0" borderId="0"/>
    <xf numFmtId="205" fontId="41" fillId="0" borderId="0"/>
    <xf numFmtId="205" fontId="41" fillId="0" borderId="0"/>
    <xf numFmtId="205" fontId="41" fillId="0" borderId="0"/>
    <xf numFmtId="203" fontId="41" fillId="0" borderId="0"/>
    <xf numFmtId="203" fontId="41" fillId="0" borderId="0"/>
    <xf numFmtId="203" fontId="41" fillId="0" borderId="0"/>
    <xf numFmtId="203" fontId="41" fillId="0" borderId="0"/>
    <xf numFmtId="203" fontId="41" fillId="0" borderId="0"/>
    <xf numFmtId="203" fontId="41" fillId="0" borderId="0"/>
    <xf numFmtId="203" fontId="41" fillId="0" borderId="0"/>
    <xf numFmtId="203" fontId="41" fillId="0" borderId="135"/>
    <xf numFmtId="204" fontId="41" fillId="0" borderId="135"/>
    <xf numFmtId="204" fontId="41" fillId="0" borderId="135"/>
    <xf numFmtId="204" fontId="41" fillId="0" borderId="135"/>
    <xf numFmtId="204" fontId="41" fillId="0" borderId="135"/>
    <xf numFmtId="204" fontId="41" fillId="0" borderId="135"/>
    <xf numFmtId="204" fontId="41" fillId="0" borderId="135"/>
    <xf numFmtId="204" fontId="41" fillId="0" borderId="135"/>
    <xf numFmtId="204" fontId="41" fillId="0" borderId="135"/>
    <xf numFmtId="204" fontId="41" fillId="0" borderId="135"/>
    <xf numFmtId="204" fontId="41" fillId="0" borderId="135"/>
    <xf numFmtId="204" fontId="41" fillId="0" borderId="135"/>
    <xf numFmtId="205" fontId="41" fillId="0" borderId="135"/>
    <xf numFmtId="205" fontId="41" fillId="0" borderId="135"/>
    <xf numFmtId="205" fontId="41" fillId="0" borderId="135"/>
    <xf numFmtId="205" fontId="41" fillId="0" borderId="135"/>
    <xf numFmtId="205" fontId="41" fillId="0" borderId="135"/>
    <xf numFmtId="205" fontId="41" fillId="0" borderId="135"/>
    <xf numFmtId="205" fontId="41" fillId="0" borderId="135"/>
    <xf numFmtId="205" fontId="41" fillId="0" borderId="135"/>
    <xf numFmtId="205" fontId="41" fillId="0" borderId="135"/>
    <xf numFmtId="205" fontId="41" fillId="0" borderId="135"/>
    <xf numFmtId="205"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203" fontId="41" fillId="0" borderId="135"/>
    <xf numFmtId="0" fontId="143" fillId="125" borderId="252" applyNumberFormat="0" applyAlignment="0" applyProtection="0"/>
    <xf numFmtId="0" fontId="143" fillId="125" borderId="252" applyNumberFormat="0" applyAlignment="0" applyProtection="0"/>
    <xf numFmtId="0" fontId="143" fillId="125" borderId="252" applyNumberFormat="0" applyAlignment="0" applyProtection="0"/>
    <xf numFmtId="0" fontId="143" fillId="125" borderId="252" applyNumberFormat="0" applyAlignment="0" applyProtection="0"/>
    <xf numFmtId="191" fontId="128" fillId="45" borderId="249" applyNumberFormat="0" applyFont="0" applyAlignment="0" applyProtection="0">
      <protection locked="0"/>
    </xf>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5" fillId="59" borderId="253" applyNumberFormat="0" applyAlignment="0" applyProtection="0"/>
    <xf numFmtId="0" fontId="144" fillId="7" borderId="253"/>
    <xf numFmtId="0" fontId="144" fillId="59" borderId="253" applyNumberFormat="0" applyAlignment="0" applyProtection="0"/>
    <xf numFmtId="0" fontId="144" fillId="59" borderId="253" applyNumberFormat="0" applyAlignment="0" applyProtection="0"/>
    <xf numFmtId="0" fontId="145" fillId="7" borderId="253" applyNumberFormat="0" applyAlignment="0" applyProtection="0"/>
    <xf numFmtId="186" fontId="144" fillId="64" borderId="253" applyNumberFormat="0" applyAlignment="0" applyProtection="0"/>
    <xf numFmtId="0" fontId="144" fillId="7" borderId="253"/>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4" fillId="59" borderId="253" applyNumberFormat="0" applyAlignment="0" applyProtection="0"/>
    <xf numFmtId="0" fontId="144" fillId="59" borderId="253" applyNumberFormat="0" applyAlignment="0" applyProtection="0"/>
    <xf numFmtId="0" fontId="144" fillId="59" borderId="253" applyNumberFormat="0" applyAlignment="0" applyProtection="0"/>
    <xf numFmtId="0" fontId="145" fillId="7" borderId="253" applyNumberFormat="0" applyAlignment="0" applyProtection="0"/>
    <xf numFmtId="0" fontId="145" fillId="7" borderId="253" applyNumberFormat="0" applyAlignment="0" applyProtection="0"/>
    <xf numFmtId="186" fontId="144" fillId="64"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186" fontId="144" fillId="64"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0" fontId="145" fillId="7" borderId="253" applyNumberFormat="0" applyAlignment="0" applyProtection="0"/>
    <xf numFmtId="186" fontId="144" fillId="64" borderId="253" applyNumberFormat="0" applyAlignment="0" applyProtection="0"/>
    <xf numFmtId="186" fontId="144" fillId="64" borderId="253" applyNumberFormat="0" applyAlignment="0" applyProtection="0"/>
    <xf numFmtId="186" fontId="144" fillId="64" borderId="253" applyNumberFormat="0" applyAlignment="0" applyProtection="0"/>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59" borderId="253" applyNumberFormat="0" applyAlignment="0" applyProtection="0"/>
    <xf numFmtId="0" fontId="144" fillId="64" borderId="253" applyNumberFormat="0" applyAlignment="0" applyProtection="0"/>
    <xf numFmtId="0" fontId="144" fillId="59" borderId="253" applyNumberFormat="0" applyAlignment="0" applyProtection="0"/>
    <xf numFmtId="186" fontId="146" fillId="125" borderId="253" applyNumberFormat="0" applyAlignment="0" applyProtection="0"/>
    <xf numFmtId="186" fontId="146" fillId="125" borderId="253" applyNumberFormat="0" applyAlignment="0" applyProtection="0"/>
    <xf numFmtId="186" fontId="146" fillId="125" borderId="253" applyNumberFormat="0" applyAlignment="0" applyProtection="0"/>
    <xf numFmtId="186" fontId="146" fillId="125" borderId="253" applyNumberFormat="0" applyAlignment="0" applyProtection="0"/>
    <xf numFmtId="186" fontId="146" fillId="125" borderId="253" applyNumberFormat="0" applyAlignment="0" applyProtection="0"/>
    <xf numFmtId="186" fontId="146" fillId="125" borderId="253" applyNumberFormat="0" applyAlignment="0" applyProtection="0"/>
    <xf numFmtId="0" fontId="144" fillId="64" borderId="253" applyNumberFormat="0" applyAlignment="0" applyProtection="0"/>
    <xf numFmtId="0" fontId="144" fillId="64" borderId="253" applyNumberFormat="0" applyAlignment="0" applyProtection="0"/>
    <xf numFmtId="0" fontId="144" fillId="7" borderId="253"/>
    <xf numFmtId="0" fontId="144" fillId="7" borderId="253"/>
    <xf numFmtId="0" fontId="144" fillId="7" borderId="253"/>
    <xf numFmtId="0" fontId="144" fillId="7" borderId="253"/>
    <xf numFmtId="0" fontId="144" fillId="7" borderId="253"/>
    <xf numFmtId="0" fontId="147" fillId="4" borderId="240"/>
    <xf numFmtId="0" fontId="144" fillId="7" borderId="253"/>
    <xf numFmtId="0" fontId="147" fillId="4" borderId="240"/>
    <xf numFmtId="0" fontId="144" fillId="7" borderId="253"/>
    <xf numFmtId="0" fontId="144" fillId="7" borderId="253"/>
    <xf numFmtId="0" fontId="147" fillId="4" borderId="240"/>
    <xf numFmtId="0" fontId="144" fillId="7" borderId="253"/>
    <xf numFmtId="0" fontId="144" fillId="7" borderId="253"/>
    <xf numFmtId="0" fontId="144" fillId="7" borderId="253"/>
    <xf numFmtId="0" fontId="144" fillId="7" borderId="253"/>
    <xf numFmtId="0" fontId="144" fillId="59" borderId="253" applyNumberFormat="0" applyAlignment="0" applyProtection="0"/>
    <xf numFmtId="0" fontId="144" fillId="59" borderId="253" applyNumberFormat="0" applyAlignment="0" applyProtection="0"/>
    <xf numFmtId="0" fontId="144" fillId="59" borderId="253" applyNumberFormat="0" applyAlignment="0" applyProtection="0"/>
    <xf numFmtId="0" fontId="144" fillId="59" borderId="253" applyNumberFormat="0" applyAlignment="0" applyProtection="0"/>
    <xf numFmtId="0" fontId="148" fillId="125" borderId="253" applyNumberFormat="0" applyAlignment="0" applyProtection="0"/>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9" fillId="126" borderId="240"/>
    <xf numFmtId="0" fontId="149" fillId="18" borderId="240" applyNumberFormat="0" applyAlignment="0" applyProtection="0"/>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4" fillId="7" borderId="253"/>
    <xf numFmtId="0" fontId="147" fillId="4" borderId="240"/>
    <xf numFmtId="0" fontId="144" fillId="7" borderId="253"/>
    <xf numFmtId="0" fontId="147" fillId="4" borderId="240"/>
    <xf numFmtId="0" fontId="144" fillId="7" borderId="253"/>
    <xf numFmtId="0" fontId="147" fillId="4" borderId="240"/>
    <xf numFmtId="0" fontId="144" fillId="7" borderId="253"/>
    <xf numFmtId="0" fontId="144" fillId="7" borderId="253"/>
    <xf numFmtId="0" fontId="149" fillId="126" borderId="240"/>
    <xf numFmtId="0" fontId="144" fillId="7" borderId="253"/>
    <xf numFmtId="0" fontId="144" fillId="7" borderId="253"/>
    <xf numFmtId="0" fontId="144" fillId="7" borderId="253" applyNumberFormat="0" applyAlignment="0" applyProtection="0"/>
    <xf numFmtId="0" fontId="96" fillId="126" borderId="240" applyNumberFormat="0" applyAlignment="0" applyProtection="0"/>
    <xf numFmtId="0" fontId="96" fillId="126" borderId="240" applyNumberFormat="0" applyAlignment="0" applyProtection="0"/>
    <xf numFmtId="0" fontId="144" fillId="59" borderId="253" applyNumberFormat="0" applyAlignment="0" applyProtection="0"/>
    <xf numFmtId="0" fontId="96" fillId="18" borderId="240" applyNumberFormat="0" applyAlignment="0" applyProtection="0"/>
    <xf numFmtId="0" fontId="144" fillId="7" borderId="253"/>
    <xf numFmtId="0" fontId="150" fillId="18" borderId="240" applyNumberFormat="0" applyAlignment="0" applyProtection="0"/>
    <xf numFmtId="0" fontId="144" fillId="7" borderId="253"/>
    <xf numFmtId="0" fontId="144" fillId="7" borderId="253"/>
    <xf numFmtId="0" fontId="151" fillId="0" borderId="0" applyNumberFormat="0" applyFont="0" applyFill="0" applyBorder="0">
      <alignment horizontal="center" vertical="center"/>
      <protection locked="0"/>
    </xf>
    <xf numFmtId="0" fontId="152" fillId="0" borderId="254" applyNumberFormat="0" applyFill="0" applyAlignment="0" applyProtection="0"/>
    <xf numFmtId="0" fontId="152" fillId="0" borderId="254"/>
    <xf numFmtId="0" fontId="153" fillId="48" borderId="255" applyNumberFormat="0" applyAlignment="0" applyProtection="0"/>
    <xf numFmtId="0" fontId="153" fillId="47" borderId="255"/>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4" fillId="127" borderId="255" applyNumberFormat="0" applyAlignment="0" applyProtection="0"/>
    <xf numFmtId="0" fontId="153" fillId="127" borderId="255" applyNumberFormat="0" applyAlignment="0" applyProtection="0"/>
    <xf numFmtId="0" fontId="154" fillId="13" borderId="255" applyNumberFormat="0" applyAlignment="0" applyProtection="0"/>
    <xf numFmtId="0" fontId="154" fillId="13" borderId="255" applyNumberFormat="0" applyAlignment="0" applyProtection="0"/>
    <xf numFmtId="0" fontId="155" fillId="128" borderId="243"/>
    <xf numFmtId="0" fontId="153" fillId="13" borderId="255"/>
    <xf numFmtId="0" fontId="153" fillId="127" borderId="255" applyNumberFormat="0" applyAlignment="0" applyProtection="0"/>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27" borderId="255" applyNumberFormat="0" applyAlignment="0" applyProtection="0"/>
    <xf numFmtId="0" fontId="153" fillId="64" borderId="255" applyNumberFormat="0" applyAlignment="0" applyProtection="0"/>
    <xf numFmtId="0" fontId="153" fillId="13" borderId="255"/>
    <xf numFmtId="0" fontId="153" fillId="13" borderId="255"/>
    <xf numFmtId="0" fontId="153" fillId="13" borderId="255"/>
    <xf numFmtId="0" fontId="153" fillId="13" borderId="255"/>
    <xf numFmtId="0" fontId="153" fillId="13" borderId="255"/>
    <xf numFmtId="0" fontId="156" fillId="128" borderId="256"/>
    <xf numFmtId="0" fontId="153" fillId="13" borderId="255"/>
    <xf numFmtId="0" fontId="156" fillId="128" borderId="256"/>
    <xf numFmtId="0" fontId="153" fillId="13" borderId="255"/>
    <xf numFmtId="0" fontId="153" fillId="13" borderId="255"/>
    <xf numFmtId="0" fontId="156" fillId="128" borderId="256"/>
    <xf numFmtId="0" fontId="153" fillId="13" borderId="255"/>
    <xf numFmtId="0" fontId="153" fillId="13" borderId="255"/>
    <xf numFmtId="0" fontId="153" fillId="13" borderId="255"/>
    <xf numFmtId="0" fontId="153" fillId="13" borderId="255"/>
    <xf numFmtId="0" fontId="153" fillId="13" borderId="255"/>
    <xf numFmtId="0" fontId="153" fillId="127" borderId="255" applyNumberFormat="0" applyAlignment="0" applyProtection="0"/>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3" fillId="13" borderId="255"/>
    <xf numFmtId="0" fontId="156" fillId="128" borderId="256"/>
    <xf numFmtId="0" fontId="153" fillId="13" borderId="255"/>
    <xf numFmtId="0" fontId="156" fillId="128" borderId="256"/>
    <xf numFmtId="0" fontId="153" fillId="13" borderId="255"/>
    <xf numFmtId="0" fontId="156" fillId="128" borderId="256"/>
    <xf numFmtId="0" fontId="153" fillId="13" borderId="255"/>
    <xf numFmtId="0" fontId="153" fillId="13" borderId="255"/>
    <xf numFmtId="0" fontId="89" fillId="128" borderId="243"/>
    <xf numFmtId="0" fontId="153" fillId="13" borderId="255"/>
    <xf numFmtId="0" fontId="157" fillId="19" borderId="243" applyNumberFormat="0" applyAlignment="0" applyProtection="0"/>
    <xf numFmtId="0" fontId="153" fillId="13" borderId="255"/>
    <xf numFmtId="0" fontId="153" fillId="13" borderId="255"/>
    <xf numFmtId="0" fontId="153" fillId="13" borderId="255"/>
    <xf numFmtId="206" fontId="6" fillId="78" borderId="253">
      <alignment horizontal="center" vertical="center" shrinkToFit="1"/>
    </xf>
    <xf numFmtId="206" fontId="6" fillId="100" borderId="253">
      <alignment horizontal="center" vertical="center" shrinkToFit="1"/>
    </xf>
    <xf numFmtId="206" fontId="6" fillId="5" borderId="253">
      <alignment horizontal="center" vertical="center" shrinkToFit="1"/>
    </xf>
    <xf numFmtId="207" fontId="158" fillId="0" borderId="249"/>
    <xf numFmtId="0" fontId="122" fillId="129" borderId="257"/>
    <xf numFmtId="0" fontId="159" fillId="129" borderId="257"/>
    <xf numFmtId="168" fontId="41" fillId="0" borderId="0" applyFont="0" applyFill="0" applyBorder="0" applyProtection="0">
      <alignment horizontal="right"/>
    </xf>
    <xf numFmtId="208" fontId="41" fillId="0" borderId="0" applyFont="0" applyFill="0" applyBorder="0" applyProtection="0">
      <alignment horizontal="left"/>
    </xf>
    <xf numFmtId="0" fontId="160" fillId="81" borderId="257"/>
    <xf numFmtId="0" fontId="120" fillId="103" borderId="0" applyNumberFormat="0" applyBorder="0" applyAlignment="0" applyProtection="0"/>
    <xf numFmtId="0" fontId="120" fillId="104" borderId="0"/>
    <xf numFmtId="0" fontId="120" fillId="55" borderId="0" applyNumberFormat="0" applyBorder="0" applyAlignment="0" applyProtection="0"/>
    <xf numFmtId="0" fontId="120" fillId="76" borderId="0"/>
    <xf numFmtId="0" fontId="120" fillId="130" borderId="0" applyNumberFormat="0" applyBorder="0" applyAlignment="0" applyProtection="0"/>
    <xf numFmtId="0" fontId="120" fillId="131" borderId="0"/>
    <xf numFmtId="0" fontId="120" fillId="132" borderId="0" applyNumberFormat="0" applyBorder="0" applyAlignment="0" applyProtection="0"/>
    <xf numFmtId="0" fontId="120" fillId="133" borderId="0"/>
    <xf numFmtId="0" fontId="120" fillId="113" borderId="0" applyNumberFormat="0" applyBorder="0" applyAlignment="0" applyProtection="0"/>
    <xf numFmtId="0" fontId="120" fillId="112" borderId="0"/>
    <xf numFmtId="0" fontId="120" fillId="55" borderId="0" applyNumberFormat="0" applyBorder="0" applyAlignment="0" applyProtection="0"/>
    <xf numFmtId="0" fontId="120" fillId="76" borderId="0"/>
    <xf numFmtId="0" fontId="159" fillId="134" borderId="258">
      <alignment horizontal="center" vertical="center"/>
    </xf>
    <xf numFmtId="209" fontId="5" fillId="74" borderId="141"/>
    <xf numFmtId="3" fontId="161" fillId="0" borderId="0"/>
    <xf numFmtId="3" fontId="161" fillId="0" borderId="0"/>
    <xf numFmtId="3" fontId="161" fillId="0" borderId="0"/>
    <xf numFmtId="3" fontId="161" fillId="0" borderId="0"/>
    <xf numFmtId="3" fontId="161" fillId="0" borderId="0"/>
    <xf numFmtId="3" fontId="161" fillId="0" borderId="0"/>
    <xf numFmtId="3" fontId="161" fillId="0" borderId="0"/>
    <xf numFmtId="3" fontId="161" fillId="0" borderId="0"/>
    <xf numFmtId="41" fontId="2" fillId="0" borderId="0"/>
    <xf numFmtId="41" fontId="6" fillId="0" borderId="0" applyFont="0" applyFill="0" applyBorder="0" applyAlignment="0" applyProtection="0"/>
    <xf numFmtId="210" fontId="162" fillId="0" borderId="0" applyFont="0" applyFill="0" applyBorder="0" applyAlignment="0" applyProtection="0"/>
    <xf numFmtId="210" fontId="163" fillId="0" borderId="0"/>
    <xf numFmtId="211" fontId="162" fillId="0" borderId="0" applyFont="0" applyFill="0" applyBorder="0" applyAlignment="0" applyProtection="0"/>
    <xf numFmtId="4" fontId="164" fillId="0" borderId="135" applyFont="0" applyFill="0" applyBorder="0" applyAlignment="0">
      <alignment horizontal="center" vertical="center"/>
    </xf>
    <xf numFmtId="212" fontId="165" fillId="0" borderId="0" applyFont="0" applyFill="0" applyBorder="0" applyAlignment="0" applyProtection="0"/>
    <xf numFmtId="212" fontId="166" fillId="0" borderId="0"/>
    <xf numFmtId="0" fontId="167" fillId="0" borderId="0" applyFont="0" applyFill="0" applyBorder="0" applyAlignment="0" applyProtection="0">
      <alignment horizontal="right"/>
    </xf>
    <xf numFmtId="213" fontId="167" fillId="0" borderId="0" applyFont="0" applyFill="0" applyBorder="0" applyAlignment="0" applyProtection="0"/>
    <xf numFmtId="214" fontId="167" fillId="0" borderId="0" applyFont="0" applyFill="0" applyBorder="0" applyAlignment="0" applyProtection="0">
      <alignment horizontal="right"/>
    </xf>
    <xf numFmtId="43" fontId="116" fillId="0" borderId="0"/>
    <xf numFmtId="43" fontId="2" fillId="0" borderId="0"/>
    <xf numFmtId="43" fontId="2" fillId="0" borderId="0" applyFont="0" applyFill="0" applyBorder="0" applyAlignment="0" applyProtection="0"/>
    <xf numFmtId="43" fontId="2"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7" fillId="0" borderId="0" applyFont="0" applyFill="0" applyBorder="0" applyAlignment="0" applyProtection="0"/>
    <xf numFmtId="43" fontId="107" fillId="0" borderId="0" applyFont="0" applyFill="0" applyBorder="0" applyAlignment="0" applyProtection="0"/>
    <xf numFmtId="43" fontId="2" fillId="0" borderId="0" applyFont="0" applyFill="0" applyBorder="0" applyAlignment="0" applyProtection="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126" fillId="0" borderId="0"/>
    <xf numFmtId="43" fontId="79" fillId="0" borderId="0"/>
    <xf numFmtId="43" fontId="126" fillId="0" borderId="0"/>
    <xf numFmtId="43" fontId="79" fillId="0" borderId="0"/>
    <xf numFmtId="43" fontId="126" fillId="0" borderId="0"/>
    <xf numFmtId="43" fontId="79" fillId="0" borderId="0"/>
    <xf numFmtId="43" fontId="126" fillId="0" borderId="0"/>
    <xf numFmtId="43" fontId="79" fillId="0" borderId="0"/>
    <xf numFmtId="43" fontId="79" fillId="0" borderId="0"/>
    <xf numFmtId="43" fontId="79" fillId="0" borderId="0"/>
    <xf numFmtId="43" fontId="2" fillId="0" borderId="0" applyFont="0" applyFill="0" applyBorder="0" applyAlignment="0" applyProtection="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1" fillId="0" borderId="0" applyFont="0" applyFill="0" applyBorder="0" applyAlignment="0" applyProtection="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79" fillId="0" borderId="0"/>
    <xf numFmtId="43" fontId="2" fillId="0" borderId="0"/>
    <xf numFmtId="43" fontId="79"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79"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2" fillId="0" borderId="0"/>
    <xf numFmtId="43" fontId="79" fillId="0" borderId="0"/>
    <xf numFmtId="43" fontId="2" fillId="0" borderId="0"/>
    <xf numFmtId="43" fontId="79" fillId="0" borderId="0"/>
    <xf numFmtId="43" fontId="79" fillId="0" borderId="0"/>
    <xf numFmtId="43" fontId="79" fillId="0" borderId="0"/>
    <xf numFmtId="43" fontId="2" fillId="0" borderId="0"/>
    <xf numFmtId="43" fontId="2" fillId="0" borderId="0" applyFont="0" applyFill="0" applyBorder="0" applyAlignment="0" applyProtection="0"/>
    <xf numFmtId="43" fontId="1" fillId="0" borderId="0" applyFont="0" applyFill="0" applyBorder="0" applyAlignment="0" applyProtection="0"/>
    <xf numFmtId="43" fontId="2" fillId="0" borderId="0"/>
    <xf numFmtId="43" fontId="79" fillId="0" borderId="0"/>
    <xf numFmtId="43" fontId="2"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1" fillId="0" borderId="0" applyFont="0" applyFill="0" applyBorder="0" applyAlignment="0" applyProtection="0"/>
    <xf numFmtId="43" fontId="2" fillId="0" borderId="0"/>
    <xf numFmtId="43" fontId="2" fillId="0" borderId="0"/>
    <xf numFmtId="43" fontId="2" fillId="0" borderId="0"/>
    <xf numFmtId="43" fontId="2" fillId="0" borderId="0"/>
    <xf numFmtId="43" fontId="2" fillId="0" borderId="0"/>
    <xf numFmtId="43" fontId="2" fillId="0" borderId="0"/>
    <xf numFmtId="43" fontId="79" fillId="0" borderId="0"/>
    <xf numFmtId="43" fontId="79" fillId="0" borderId="0"/>
    <xf numFmtId="43" fontId="2" fillId="0" borderId="0"/>
    <xf numFmtId="43" fontId="79" fillId="0" borderId="0"/>
    <xf numFmtId="43" fontId="2" fillId="0" borderId="0"/>
    <xf numFmtId="43" fontId="2" fillId="0" borderId="0"/>
    <xf numFmtId="43" fontId="2" fillId="0" borderId="0"/>
    <xf numFmtId="43" fontId="2" fillId="0" borderId="0"/>
    <xf numFmtId="43" fontId="1" fillId="0" borderId="0" applyFont="0" applyFill="0" applyBorder="0" applyAlignment="0" applyProtection="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1" fillId="0" borderId="0" applyFont="0" applyFill="0" applyBorder="0" applyAlignment="0" applyProtection="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2" fillId="0" borderId="0"/>
    <xf numFmtId="43" fontId="1" fillId="0" borderId="0" applyFont="0" applyFill="0" applyBorder="0" applyAlignment="0" applyProtection="0"/>
    <xf numFmtId="43" fontId="2" fillId="0" borderId="0"/>
    <xf numFmtId="43" fontId="2" fillId="0" borderId="0"/>
    <xf numFmtId="43" fontId="79" fillId="0" borderId="0"/>
    <xf numFmtId="43" fontId="2" fillId="0" borderId="0"/>
    <xf numFmtId="43" fontId="2" fillId="0" borderId="0"/>
    <xf numFmtId="43" fontId="2" fillId="0" borderId="0"/>
    <xf numFmtId="43" fontId="2" fillId="0" borderId="0"/>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2" fillId="0" borderId="0" applyFont="0" applyFill="0" applyBorder="0" applyAlignment="0" applyProtection="0"/>
    <xf numFmtId="43" fontId="100" fillId="0" borderId="0" applyFont="0" applyFill="0" applyBorder="0" applyAlignment="0" applyProtection="0"/>
    <xf numFmtId="43" fontId="6"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2" fillId="0" borderId="0" applyFont="0" applyFill="0" applyBorder="0" applyAlignment="0" applyProtection="0"/>
    <xf numFmtId="43" fontId="2" fillId="0" borderId="0"/>
    <xf numFmtId="43" fontId="2" fillId="0" borderId="0"/>
    <xf numFmtId="43" fontId="2" fillId="0" borderId="0" applyFont="0" applyFill="0" applyBorder="0" applyAlignment="0" applyProtection="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2" fillId="0" borderId="0" applyFont="0" applyFill="0" applyBorder="0" applyAlignment="0" applyProtection="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1" fillId="0" borderId="0" applyFont="0" applyFill="0" applyBorder="0" applyAlignment="0" applyProtection="0"/>
    <xf numFmtId="43" fontId="79" fillId="0" borderId="0"/>
    <xf numFmtId="43" fontId="79" fillId="0" borderId="0"/>
    <xf numFmtId="43" fontId="79" fillId="0" borderId="0"/>
    <xf numFmtId="43" fontId="79" fillId="0" borderId="0"/>
    <xf numFmtId="43" fontId="79" fillId="0" borderId="0"/>
    <xf numFmtId="43" fontId="79" fillId="0" borderId="0"/>
    <xf numFmtId="43" fontId="79" fillId="0" borderId="0"/>
    <xf numFmtId="43" fontId="1" fillId="0" borderId="0"/>
    <xf numFmtId="43" fontId="1" fillId="0" borderId="0"/>
    <xf numFmtId="43" fontId="1" fillId="0" borderId="0"/>
    <xf numFmtId="43" fontId="1" fillId="0" borderId="0"/>
    <xf numFmtId="43" fontId="1" fillId="0" borderId="0"/>
    <xf numFmtId="43" fontId="79" fillId="0" borderId="0"/>
    <xf numFmtId="43" fontId="2" fillId="0" borderId="0">
      <alignment vertical="center"/>
    </xf>
    <xf numFmtId="43" fontId="1" fillId="0" borderId="0" applyFont="0" applyFill="0" applyBorder="0" applyAlignment="0" applyProtection="0"/>
    <xf numFmtId="43" fontId="79" fillId="0" borderId="0"/>
    <xf numFmtId="43" fontId="1" fillId="0" borderId="0" applyFont="0" applyFill="0" applyBorder="0" applyAlignment="0" applyProtection="0"/>
    <xf numFmtId="43" fontId="79" fillId="0" borderId="0"/>
    <xf numFmtId="43" fontId="1" fillId="0" borderId="0" applyFont="0" applyFill="0" applyBorder="0" applyAlignment="0" applyProtection="0"/>
    <xf numFmtId="43" fontId="79" fillId="0" borderId="0"/>
    <xf numFmtId="215" fontId="167" fillId="0" borderId="0" applyFont="0" applyFill="0" applyBorder="0" applyAlignment="0" applyProtection="0"/>
    <xf numFmtId="216" fontId="167" fillId="0" borderId="0" applyFont="0" applyFill="0" applyBorder="0" applyAlignment="0" applyProtection="0">
      <alignment horizontal="right"/>
    </xf>
    <xf numFmtId="43" fontId="107" fillId="0" borderId="0" applyFont="0" applyFill="0" applyBorder="0" applyAlignment="0" applyProtection="0"/>
    <xf numFmtId="43" fontId="107" fillId="0" borderId="0" applyFont="0" applyFill="0" applyBorder="0" applyAlignment="0" applyProtection="0"/>
    <xf numFmtId="43" fontId="79" fillId="0" borderId="0" applyFont="0" applyFill="0" applyBorder="0" applyAlignment="0" applyProtection="0"/>
    <xf numFmtId="43" fontId="79" fillId="0" borderId="0" applyFont="0" applyFill="0" applyBorder="0" applyAlignment="0" applyProtection="0"/>
    <xf numFmtId="43" fontId="16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00" fillId="0" borderId="0" applyFont="0" applyFill="0" applyBorder="0" applyAlignment="0" applyProtection="0"/>
    <xf numFmtId="43" fontId="2" fillId="0" borderId="0">
      <alignment vertical="center"/>
    </xf>
    <xf numFmtId="43"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00" fillId="0" borderId="0" applyFont="0" applyFill="0" applyBorder="0" applyAlignment="0" applyProtection="0"/>
    <xf numFmtId="43" fontId="41" fillId="0" borderId="0" applyFont="0" applyFill="0" applyBorder="0" applyAlignment="0" applyProtection="0"/>
    <xf numFmtId="43" fontId="2"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79"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217" fontId="167" fillId="0" borderId="0" applyFont="0" applyFill="0" applyBorder="0" applyAlignment="0" applyProtection="0"/>
    <xf numFmtId="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41" fillId="0" borderId="0" applyFont="0" applyFill="0" applyBorder="0" applyAlignment="0" applyProtection="0"/>
    <xf numFmtId="43" fontId="2" fillId="0" borderId="0" applyFont="0" applyFill="0" applyBorder="0" applyAlignment="0" applyProtection="0"/>
    <xf numFmtId="43" fontId="100" fillId="0" borderId="0" applyFont="0" applyFill="0" applyBorder="0" applyAlignment="0" applyProtection="0"/>
    <xf numFmtId="43" fontId="100" fillId="0" borderId="0" applyFont="0" applyFill="0" applyBorder="0" applyAlignment="0" applyProtection="0"/>
    <xf numFmtId="43" fontId="2" fillId="0" borderId="0" applyFont="0" applyFill="0" applyBorder="0" applyAlignment="0" applyProtection="0"/>
    <xf numFmtId="43" fontId="169" fillId="0" borderId="0" applyFont="0" applyFill="0" applyBorder="0" applyAlignment="0" applyProtection="0"/>
    <xf numFmtId="43" fontId="6" fillId="0" borderId="0" applyFont="0" applyFill="0" applyBorder="0" applyAlignment="0" applyProtection="0"/>
    <xf numFmtId="43" fontId="126" fillId="0" borderId="0"/>
    <xf numFmtId="43" fontId="126" fillId="0" borderId="0"/>
    <xf numFmtId="43" fontId="100"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xf numFmtId="43" fontId="1" fillId="0" borderId="0"/>
    <xf numFmtId="43" fontId="1" fillId="0" borderId="0"/>
    <xf numFmtId="43" fontId="1" fillId="0" borderId="0"/>
    <xf numFmtId="43" fontId="1" fillId="0" borderId="0" applyFont="0" applyFill="0" applyBorder="0" applyAlignment="0" applyProtection="0"/>
    <xf numFmtId="43" fontId="1" fillId="0" borderId="0" applyFont="0" applyFill="0" applyBorder="0" applyAlignment="0" applyProtection="0"/>
    <xf numFmtId="43" fontId="100" fillId="0" borderId="0" applyFont="0" applyFill="0" applyBorder="0" applyAlignment="0" applyProtection="0"/>
    <xf numFmtId="43" fontId="2" fillId="0" borderId="0" applyFont="0" applyFill="0" applyBorder="0" applyAlignment="0" applyProtection="0"/>
    <xf numFmtId="43" fontId="107" fillId="0" borderId="0" applyFont="0" applyFill="0" applyBorder="0" applyAlignment="0" applyProtection="0"/>
    <xf numFmtId="43" fontId="2" fillId="0" borderId="0"/>
    <xf numFmtId="218" fontId="167" fillId="0" borderId="0" applyFont="0" applyFill="0" applyBorder="0" applyAlignment="0" applyProtection="0"/>
    <xf numFmtId="3" fontId="170" fillId="0" borderId="0" applyFont="0" applyFill="0" applyBorder="0" applyAlignment="0" applyProtection="0"/>
    <xf numFmtId="0" fontId="171" fillId="0" borderId="0"/>
    <xf numFmtId="0" fontId="172" fillId="0" borderId="0"/>
    <xf numFmtId="0" fontId="173" fillId="0" borderId="0"/>
    <xf numFmtId="3" fontId="2" fillId="0" borderId="0" applyFont="0" applyFill="0" applyBorder="0" applyAlignment="0" applyProtection="0"/>
    <xf numFmtId="172" fontId="105" fillId="0" borderId="0" applyFont="0" applyFill="0" applyBorder="0" applyAlignment="0" applyProtection="0"/>
    <xf numFmtId="0" fontId="171" fillId="0" borderId="0"/>
    <xf numFmtId="0" fontId="172" fillId="0" borderId="0"/>
    <xf numFmtId="172" fontId="105" fillId="0" borderId="0" applyFont="0" applyFill="0" applyBorder="0" applyAlignment="0" applyProtection="0"/>
    <xf numFmtId="172" fontId="105" fillId="0" borderId="0" applyFont="0" applyFill="0" applyBorder="0" applyAlignment="0" applyProtection="0"/>
    <xf numFmtId="172"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4" fontId="105" fillId="0" borderId="0" applyFont="0" applyFill="0" applyBorder="0" applyAlignment="0" applyProtection="0"/>
    <xf numFmtId="0" fontId="2" fillId="0" borderId="0"/>
    <xf numFmtId="0" fontId="2" fillId="0" borderId="0"/>
    <xf numFmtId="171" fontId="174" fillId="0" borderId="0"/>
    <xf numFmtId="0" fontId="160" fillId="7" borderId="257"/>
    <xf numFmtId="0" fontId="2" fillId="0" borderId="0"/>
    <xf numFmtId="0" fontId="4" fillId="0" borderId="0">
      <alignment horizontal="left" indent="3"/>
    </xf>
    <xf numFmtId="0" fontId="4" fillId="0" borderId="0">
      <alignment horizontal="left" indent="5"/>
    </xf>
    <xf numFmtId="0" fontId="2" fillId="81" borderId="0" applyNumberFormat="0" applyFont="0" applyBorder="0" applyAlignment="0"/>
    <xf numFmtId="0" fontId="2" fillId="81" borderId="0" applyNumberFormat="0" applyFont="0" applyBorder="0" applyAlignment="0"/>
    <xf numFmtId="0" fontId="2" fillId="0" borderId="0">
      <alignment horizontal="left"/>
    </xf>
    <xf numFmtId="0" fontId="2" fillId="0" borderId="0"/>
    <xf numFmtId="0" fontId="2" fillId="0" borderId="0">
      <alignment horizontal="left"/>
    </xf>
    <xf numFmtId="219" fontId="175" fillId="0" borderId="0" applyFont="0" applyFill="0" applyBorder="0" applyAlignment="0" applyProtection="0"/>
    <xf numFmtId="219" fontId="175" fillId="0" borderId="0"/>
    <xf numFmtId="42" fontId="2" fillId="0" borderId="0"/>
    <xf numFmtId="0" fontId="167" fillId="0" borderId="0" applyFont="0" applyFill="0" applyBorder="0" applyAlignment="0" applyProtection="0">
      <alignment horizontal="right"/>
    </xf>
    <xf numFmtId="44" fontId="2" fillId="0" borderId="0"/>
    <xf numFmtId="44" fontId="2" fillId="0" borderId="0"/>
    <xf numFmtId="44" fontId="2" fillId="0" borderId="0"/>
    <xf numFmtId="44" fontId="2" fillId="0" borderId="0"/>
    <xf numFmtId="44" fontId="2" fillId="0" borderId="0"/>
    <xf numFmtId="44" fontId="2" fillId="0" borderId="0"/>
    <xf numFmtId="44" fontId="2" fillId="0" borderId="0" applyFont="0" applyFill="0" applyBorder="0" applyAlignment="0" applyProtection="0"/>
    <xf numFmtId="44" fontId="1" fillId="0" borderId="0" applyFont="0" applyFill="0" applyBorder="0" applyAlignment="0" applyProtection="0"/>
    <xf numFmtId="220" fontId="2" fillId="0" borderId="0" applyFont="0" applyFill="0" applyBorder="0" applyAlignment="0" applyProtection="0"/>
    <xf numFmtId="44" fontId="1" fillId="0" borderId="0" applyFont="0" applyFill="0" applyBorder="0" applyAlignment="0" applyProtection="0"/>
    <xf numFmtId="221" fontId="2" fillId="0" borderId="0" applyFont="0" applyFill="0" applyBorder="0" applyAlignment="0" applyProtection="0"/>
    <xf numFmtId="44" fontId="1"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xf numFmtId="222" fontId="176" fillId="0" borderId="0" applyFont="0" applyFill="0" applyBorder="0" applyAlignment="0" applyProtection="0"/>
    <xf numFmtId="0" fontId="167" fillId="0" borderId="0" applyFill="0" applyBorder="0" applyProtection="0"/>
    <xf numFmtId="44" fontId="1" fillId="0" borderId="0" applyFont="0" applyFill="0" applyBorder="0" applyAlignment="0" applyProtection="0"/>
    <xf numFmtId="44" fontId="2" fillId="0" borderId="0"/>
    <xf numFmtId="221" fontId="2" fillId="0" borderId="0" applyFont="0" applyFill="0" applyBorder="0" applyAlignment="0" applyProtection="0"/>
    <xf numFmtId="223" fontId="176" fillId="0" borderId="0" applyFont="0" applyFill="0" applyBorder="0" applyAlignment="0" applyProtection="0"/>
    <xf numFmtId="44" fontId="100" fillId="0" borderId="0" applyFont="0" applyFill="0" applyBorder="0" applyAlignment="0" applyProtection="0"/>
    <xf numFmtId="221" fontId="2" fillId="0" borderId="0" applyFont="0" applyFill="0" applyBorder="0" applyAlignment="0" applyProtection="0"/>
    <xf numFmtId="7" fontId="107" fillId="0" borderId="0" applyFont="0" applyFill="0" applyBorder="0" applyAlignment="0" applyProtection="0"/>
    <xf numFmtId="224" fontId="167" fillId="0" borderId="0" applyFont="0" applyFill="0" applyBorder="0" applyAlignment="0" applyProtection="0"/>
    <xf numFmtId="225" fontId="167" fillId="0" borderId="0" applyFont="0" applyFill="0" applyBorder="0" applyAlignment="0" applyProtection="0"/>
    <xf numFmtId="49" fontId="49" fillId="109" borderId="0">
      <alignment vertical="center"/>
    </xf>
    <xf numFmtId="226" fontId="177" fillId="0" borderId="25" applyFill="0" applyProtection="0">
      <alignment horizontal="left"/>
    </xf>
    <xf numFmtId="1" fontId="178" fillId="0" borderId="259" applyProtection="0">
      <alignment horizontal="left"/>
    </xf>
    <xf numFmtId="1" fontId="177" fillId="0" borderId="0" applyFill="0" applyBorder="0" applyProtection="0">
      <alignment horizontal="left"/>
    </xf>
    <xf numFmtId="227" fontId="172" fillId="0" borderId="260" applyNumberFormat="0" applyFill="0">
      <alignment horizontal="right"/>
    </xf>
    <xf numFmtId="195"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6"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7"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49">
      <protection locked="0"/>
    </xf>
    <xf numFmtId="195" fontId="41" fillId="81" borderId="261">
      <protection locked="0"/>
    </xf>
    <xf numFmtId="198"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199"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200"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49">
      <protection locked="0"/>
    </xf>
    <xf numFmtId="198" fontId="41" fillId="81" borderId="261">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1"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202" fontId="41" fillId="81" borderId="249">
      <alignment horizontal="right"/>
      <protection locked="0"/>
    </xf>
    <xf numFmtId="186" fontId="41" fillId="81" borderId="249">
      <alignment horizontal="left"/>
      <protection locked="0"/>
    </xf>
    <xf numFmtId="0" fontId="41" fillId="81" borderId="249">
      <alignment horizontal="left"/>
      <protection locked="0"/>
    </xf>
    <xf numFmtId="0" fontId="41" fillId="81" borderId="249">
      <alignment horizontal="left"/>
      <protection locked="0"/>
    </xf>
    <xf numFmtId="0" fontId="41" fillId="81" borderId="249">
      <alignment horizontal="left"/>
      <protection locked="0"/>
    </xf>
    <xf numFmtId="0"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9" fontId="41" fillId="81" borderId="249">
      <alignment horizontal="left"/>
      <protection locked="0"/>
    </xf>
    <xf numFmtId="186" fontId="41" fillId="81" borderId="249">
      <alignment horizontal="left"/>
      <protection locked="0"/>
    </xf>
    <xf numFmtId="0"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186" fontId="41" fillId="81" borderId="249">
      <alignment horizontal="left"/>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49" fontId="41" fillId="2" borderId="261">
      <alignment horizontal="left" vertical="top" wrapText="1"/>
      <protection locked="0"/>
    </xf>
    <xf numFmtId="203"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4"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5"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49">
      <protection locked="0"/>
    </xf>
    <xf numFmtId="203" fontId="41" fillId="81" borderId="261">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49" fontId="41" fillId="81" borderId="249">
      <alignment horizontal="left"/>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28" fontId="41" fillId="81" borderId="261">
      <alignment horizontal="left" indent="1"/>
      <protection locked="0"/>
    </xf>
    <xf numFmtId="2" fontId="179" fillId="81" borderId="262">
      <protection locked="0"/>
    </xf>
    <xf numFmtId="14" fontId="180" fillId="0" borderId="0">
      <alignment horizontal="right"/>
    </xf>
    <xf numFmtId="0" fontId="170" fillId="0" borderId="0" applyFont="0" applyFill="0" applyBorder="0" applyAlignment="0" applyProtection="0"/>
    <xf numFmtId="0" fontId="167" fillId="0" borderId="0" applyFont="0" applyFill="0" applyBorder="0" applyAlignment="0" applyProtection="0"/>
    <xf numFmtId="229" fontId="167" fillId="0" borderId="0" applyFont="0" applyFill="0" applyBorder="0" applyAlignment="0" applyProtection="0"/>
    <xf numFmtId="230" fontId="167" fillId="0" borderId="0" applyFont="0" applyFill="0" applyBorder="0" applyAlignment="0" applyProtection="0"/>
    <xf numFmtId="16" fontId="6" fillId="0" borderId="0" applyFont="0" applyFill="0" applyBorder="0" applyAlignment="0" applyProtection="0"/>
    <xf numFmtId="15" fontId="6" fillId="0" borderId="0" applyFont="0" applyFill="0" applyBorder="0" applyAlignment="0" applyProtection="0"/>
    <xf numFmtId="17" fontId="6" fillId="0" borderId="0" applyFont="0" applyFill="0" applyBorder="0" applyAlignment="0" applyProtection="0"/>
    <xf numFmtId="219" fontId="181" fillId="0" borderId="0">
      <protection locked="0"/>
    </xf>
    <xf numFmtId="15" fontId="2" fillId="0" borderId="0"/>
    <xf numFmtId="15" fontId="2" fillId="0" borderId="0"/>
    <xf numFmtId="15" fontId="2" fillId="0" borderId="0"/>
    <xf numFmtId="15" fontId="2" fillId="0" borderId="0"/>
    <xf numFmtId="15" fontId="2" fillId="0" borderId="0"/>
    <xf numFmtId="15" fontId="2" fillId="0" borderId="0"/>
    <xf numFmtId="15" fontId="2" fillId="0" borderId="0"/>
    <xf numFmtId="15" fontId="2" fillId="0" borderId="0"/>
    <xf numFmtId="15" fontId="2" fillId="0" borderId="0"/>
    <xf numFmtId="15" fontId="2" fillId="0" borderId="0"/>
    <xf numFmtId="15" fontId="2" fillId="0" borderId="0"/>
    <xf numFmtId="15" fontId="2" fillId="0" borderId="0"/>
    <xf numFmtId="231" fontId="2" fillId="0" borderId="0" applyFont="0" applyFill="0" applyBorder="0" applyAlignment="0" applyProtection="0">
      <alignment wrapText="1"/>
    </xf>
    <xf numFmtId="232" fontId="182" fillId="0" borderId="0"/>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23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43" fontId="2" fillId="0" borderId="0">
      <alignment horizontal="center"/>
    </xf>
    <xf numFmtId="234" fontId="8" fillId="64" borderId="0">
      <alignment horizontal="right"/>
    </xf>
    <xf numFmtId="0" fontId="183" fillId="0" borderId="149" applyNumberFormat="0" applyBorder="0" applyAlignment="0" applyProtection="0">
      <alignment horizontal="right" vertical="center"/>
    </xf>
    <xf numFmtId="15" fontId="184" fillId="131" borderId="0" applyNumberFormat="0" applyFont="0" applyBorder="0" applyAlignment="0" applyProtection="0"/>
    <xf numFmtId="235" fontId="58" fillId="0" borderId="0" applyFont="0" applyFill="0" applyBorder="0" applyAlignment="0" applyProtection="0"/>
    <xf numFmtId="236" fontId="58" fillId="0" borderId="0" applyFont="0" applyFill="0" applyBorder="0" applyAlignment="0" applyProtection="0"/>
    <xf numFmtId="0" fontId="2" fillId="0" borderId="0">
      <protection locked="0"/>
    </xf>
    <xf numFmtId="0" fontId="2" fillId="0" borderId="0"/>
    <xf numFmtId="171" fontId="105" fillId="0" borderId="0" applyBorder="0"/>
    <xf numFmtId="171" fontId="105" fillId="0" borderId="17"/>
    <xf numFmtId="0" fontId="167" fillId="0" borderId="263" applyNumberFormat="0" applyFont="0" applyFill="0" applyAlignment="0" applyProtection="0"/>
    <xf numFmtId="188" fontId="185" fillId="135" borderId="0">
      <alignment horizontal="right"/>
    </xf>
    <xf numFmtId="0" fontId="2" fillId="0" borderId="0">
      <protection locked="0"/>
    </xf>
    <xf numFmtId="0" fontId="2" fillId="0" borderId="0">
      <protection locked="0"/>
    </xf>
    <xf numFmtId="0" fontId="186" fillId="136" borderId="264"/>
    <xf numFmtId="0" fontId="186" fillId="136" borderId="264"/>
    <xf numFmtId="0" fontId="187" fillId="137" borderId="264">
      <alignment horizontal="center" vertical="center"/>
    </xf>
    <xf numFmtId="0" fontId="187" fillId="137" borderId="264">
      <alignment horizontal="center" vertical="center"/>
    </xf>
    <xf numFmtId="0" fontId="188" fillId="0" borderId="0">
      <alignment horizontal="left" vertical="center"/>
    </xf>
    <xf numFmtId="0" fontId="189" fillId="0" borderId="0"/>
    <xf numFmtId="0" fontId="187" fillId="137" borderId="253" applyFont="0" applyFill="0" applyAlignment="0">
      <alignment horizontal="center" vertical="center"/>
    </xf>
    <xf numFmtId="0" fontId="187" fillId="137" borderId="253" applyFont="0" applyFill="0" applyAlignment="0">
      <alignment horizontal="center" vertical="center"/>
    </xf>
    <xf numFmtId="0" fontId="187" fillId="137" borderId="253" applyFont="0" applyFill="0" applyAlignment="0">
      <alignment horizontal="center" vertical="center"/>
    </xf>
    <xf numFmtId="0" fontId="187" fillId="137" borderId="253" applyFont="0" applyFill="0" applyAlignment="0">
      <alignment horizontal="center" vertical="center"/>
    </xf>
    <xf numFmtId="9" fontId="186" fillId="136" borderId="253" applyNumberFormat="0" applyAlignment="0" applyProtection="0"/>
    <xf numFmtId="9" fontId="186" fillId="136" borderId="253"/>
    <xf numFmtId="9" fontId="186" fillId="136" borderId="253"/>
    <xf numFmtId="0" fontId="186" fillId="136" borderId="253" applyNumberFormat="0" applyAlignment="0" applyProtection="0"/>
    <xf numFmtId="9" fontId="186" fillId="136" borderId="253" applyNumberFormat="0" applyAlignment="0" applyProtection="0"/>
    <xf numFmtId="9" fontId="186" fillId="136" borderId="253" applyNumberFormat="0" applyAlignment="0" applyProtection="0"/>
    <xf numFmtId="9" fontId="186" fillId="136" borderId="253" applyNumberFormat="0" applyAlignment="0" applyProtection="0"/>
    <xf numFmtId="9" fontId="186" fillId="136" borderId="253"/>
    <xf numFmtId="0" fontId="187" fillId="137" borderId="253" applyNumberFormat="0" applyProtection="0">
      <alignment horizontal="center" vertical="center" wrapText="1"/>
    </xf>
    <xf numFmtId="0" fontId="187" fillId="137" borderId="253">
      <alignment horizontal="center" vertical="center" wrapText="1"/>
    </xf>
    <xf numFmtId="0" fontId="187" fillId="137" borderId="253" applyNumberFormat="0" applyProtection="0">
      <alignment horizontal="center" vertical="center" wrapText="1"/>
    </xf>
    <xf numFmtId="0" fontId="187" fillId="137" borderId="253" applyNumberFormat="0" applyProtection="0">
      <alignment horizontal="center" vertical="center" wrapText="1"/>
    </xf>
    <xf numFmtId="0" fontId="187" fillId="137" borderId="253" applyNumberFormat="0" applyProtection="0">
      <alignment horizontal="center" vertical="center" wrapText="1"/>
    </xf>
    <xf numFmtId="0" fontId="187" fillId="137" borderId="253" applyNumberFormat="0" applyProtection="0">
      <alignment horizontal="center" vertical="center" wrapText="1"/>
    </xf>
    <xf numFmtId="0" fontId="187" fillId="137" borderId="253" applyNumberFormat="0" applyProtection="0">
      <alignment horizontal="center" vertical="center" wrapText="1"/>
    </xf>
    <xf numFmtId="0" fontId="190" fillId="0" borderId="0" applyNumberFormat="0" applyFill="0" applyBorder="0" applyProtection="0"/>
    <xf numFmtId="0" fontId="190" fillId="0" borderId="0"/>
    <xf numFmtId="0" fontId="190" fillId="0" borderId="0" applyNumberFormat="0" applyFill="0" applyBorder="0" applyProtection="0"/>
    <xf numFmtId="0" fontId="190" fillId="0" borderId="0"/>
    <xf numFmtId="189" fontId="2" fillId="0" borderId="0" applyFont="0" applyFill="0" applyBorder="0" applyAlignment="0" applyProtection="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237" fontId="2" fillId="0" borderId="0" applyFont="0" applyFill="0" applyBorder="0" applyAlignment="0" applyProtection="0"/>
    <xf numFmtId="189" fontId="2" fillId="0" borderId="0" applyFont="0" applyFill="0" applyBorder="0" applyAlignment="0" applyProtection="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applyFont="0" applyFill="0" applyBorder="0" applyAlignment="0" applyProtection="0"/>
    <xf numFmtId="189" fontId="2" fillId="0" borderId="0"/>
    <xf numFmtId="189" fontId="2" fillId="0" borderId="0"/>
    <xf numFmtId="189" fontId="2" fillId="0" borderId="0"/>
    <xf numFmtId="189" fontId="2" fillId="0" borderId="0"/>
    <xf numFmtId="189" fontId="2" fillId="0" borderId="0"/>
    <xf numFmtId="189" fontId="2" fillId="0" borderId="0"/>
    <xf numFmtId="189" fontId="2"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2" fillId="0" borderId="0" applyNumberFormat="0" applyFill="0" applyBorder="0" applyAlignment="0" applyProtection="0"/>
    <xf numFmtId="0" fontId="191" fillId="0" borderId="0" applyNumberFormat="0" applyFill="0" applyBorder="0" applyAlignment="0" applyProtection="0"/>
    <xf numFmtId="0" fontId="191" fillId="0" borderId="0"/>
    <xf numFmtId="0" fontId="98" fillId="0" borderId="0"/>
    <xf numFmtId="0" fontId="191" fillId="0" borderId="0"/>
    <xf numFmtId="0" fontId="191" fillId="0" borderId="0" applyNumberFormat="0" applyFill="0" applyBorder="0" applyAlignment="0" applyProtection="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applyNumberFormat="0" applyFill="0" applyBorder="0" applyAlignment="0" applyProtection="0"/>
    <xf numFmtId="0" fontId="191" fillId="0" borderId="0" applyNumberFormat="0" applyFill="0" applyBorder="0" applyAlignment="0" applyProtection="0"/>
    <xf numFmtId="0" fontId="191" fillId="0" borderId="0"/>
    <xf numFmtId="0" fontId="191" fillId="0" borderId="0"/>
    <xf numFmtId="0" fontId="191" fillId="0" borderId="0"/>
    <xf numFmtId="0" fontId="191" fillId="0" borderId="0"/>
    <xf numFmtId="0" fontId="191" fillId="0" borderId="0"/>
    <xf numFmtId="0" fontId="193" fillId="0" borderId="0"/>
    <xf numFmtId="0" fontId="191" fillId="0" borderId="0"/>
    <xf numFmtId="0" fontId="193" fillId="0" borderId="0"/>
    <xf numFmtId="0" fontId="191" fillId="0" borderId="0"/>
    <xf numFmtId="0" fontId="191" fillId="0" borderId="0"/>
    <xf numFmtId="0" fontId="193"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1" fillId="0" borderId="0"/>
    <xf numFmtId="0" fontId="193" fillId="0" borderId="0"/>
    <xf numFmtId="0" fontId="191" fillId="0" borderId="0"/>
    <xf numFmtId="0" fontId="191" fillId="0" borderId="0"/>
    <xf numFmtId="0" fontId="193" fillId="0" borderId="0"/>
    <xf numFmtId="0" fontId="191" fillId="0" borderId="0"/>
    <xf numFmtId="0" fontId="191" fillId="0" borderId="0"/>
    <xf numFmtId="0" fontId="194" fillId="0" borderId="0"/>
    <xf numFmtId="0" fontId="191" fillId="0" borderId="0"/>
    <xf numFmtId="0" fontId="195" fillId="0" borderId="0" applyNumberFormat="0" applyFill="0" applyBorder="0" applyAlignment="0" applyProtection="0"/>
    <xf numFmtId="0" fontId="191" fillId="0" borderId="0"/>
    <xf numFmtId="0" fontId="191" fillId="0" borderId="0"/>
    <xf numFmtId="0" fontId="191" fillId="0" borderId="0"/>
    <xf numFmtId="0" fontId="196" fillId="13" borderId="0"/>
    <xf numFmtId="0" fontId="197" fillId="0" borderId="0"/>
    <xf numFmtId="238" fontId="198" fillId="0" borderId="0"/>
    <xf numFmtId="15" fontId="6" fillId="0" borderId="0" applyFill="0" applyBorder="0" applyProtection="0">
      <alignment horizontal="center"/>
    </xf>
    <xf numFmtId="0" fontId="196" fillId="6" borderId="0"/>
    <xf numFmtId="239" fontId="199" fillId="0" borderId="0"/>
    <xf numFmtId="240" fontId="200" fillId="7" borderId="265"/>
    <xf numFmtId="241" fontId="5" fillId="0" borderId="0"/>
    <xf numFmtId="241" fontId="103" fillId="0" borderId="0"/>
    <xf numFmtId="15" fontId="29" fillId="81" borderId="261">
      <alignment horizontal="center"/>
      <protection locked="0"/>
    </xf>
    <xf numFmtId="242" fontId="29" fillId="81" borderId="261">
      <protection locked="0"/>
    </xf>
    <xf numFmtId="241" fontId="29" fillId="81" borderId="261">
      <protection locked="0"/>
    </xf>
    <xf numFmtId="241" fontId="6" fillId="0" borderId="0"/>
    <xf numFmtId="242" fontId="6" fillId="0" borderId="0"/>
    <xf numFmtId="243" fontId="6" fillId="0" borderId="0"/>
    <xf numFmtId="0" fontId="196" fillId="0" borderId="184"/>
    <xf numFmtId="0" fontId="196" fillId="0" borderId="266"/>
    <xf numFmtId="0" fontId="196" fillId="78" borderId="0"/>
    <xf numFmtId="0" fontId="2" fillId="0" borderId="0">
      <protection locked="0"/>
    </xf>
    <xf numFmtId="0" fontId="2" fillId="0" borderId="0">
      <protection locked="0"/>
    </xf>
    <xf numFmtId="0" fontId="2" fillId="0" borderId="0">
      <protection locked="0"/>
    </xf>
    <xf numFmtId="0" fontId="2" fillId="0" borderId="0">
      <protection locked="0"/>
    </xf>
    <xf numFmtId="0" fontId="2" fillId="0" borderId="0">
      <protection locked="0"/>
    </xf>
    <xf numFmtId="0" fontId="2" fillId="0" borderId="0">
      <protection locked="0"/>
    </xf>
    <xf numFmtId="0" fontId="2" fillId="0" borderId="0">
      <protection locked="0"/>
    </xf>
    <xf numFmtId="0" fontId="2" fillId="0" borderId="0">
      <protection locked="0"/>
    </xf>
    <xf numFmtId="0" fontId="107" fillId="7" borderId="0"/>
    <xf numFmtId="0" fontId="107" fillId="7" borderId="0"/>
    <xf numFmtId="0" fontId="107" fillId="7" borderId="0"/>
    <xf numFmtId="0" fontId="107" fillId="7" borderId="0"/>
    <xf numFmtId="0" fontId="107" fillId="7" borderId="0"/>
    <xf numFmtId="0" fontId="107" fillId="7" borderId="0"/>
    <xf numFmtId="0" fontId="2" fillId="0" borderId="0">
      <protection locked="0"/>
    </xf>
    <xf numFmtId="2" fontId="107" fillId="0" borderId="0" applyFill="0" applyBorder="0" applyAlignment="0" applyProtection="0"/>
    <xf numFmtId="2" fontId="170" fillId="0" borderId="0" applyFont="0" applyFill="0" applyBorder="0" applyAlignment="0" applyProtection="0"/>
    <xf numFmtId="0" fontId="172" fillId="0" borderId="0"/>
    <xf numFmtId="0" fontId="201" fillId="0" borderId="0"/>
    <xf numFmtId="0" fontId="202" fillId="0" borderId="0">
      <alignment horizontal="right"/>
      <protection locked="0"/>
    </xf>
    <xf numFmtId="0" fontId="2" fillId="0" borderId="153"/>
    <xf numFmtId="0" fontId="2" fillId="0" borderId="0">
      <alignment horizontal="left"/>
    </xf>
    <xf numFmtId="0" fontId="203" fillId="0" borderId="0">
      <alignment horizontal="left"/>
    </xf>
    <xf numFmtId="0" fontId="204" fillId="0" borderId="0" applyFill="0" applyBorder="0" applyProtection="0">
      <alignment horizontal="left"/>
    </xf>
    <xf numFmtId="0" fontId="204" fillId="0" borderId="0">
      <alignment horizontal="left"/>
    </xf>
    <xf numFmtId="0" fontId="205" fillId="0" borderId="0" applyNumberFormat="0" applyFill="0" applyBorder="0" applyProtection="0">
      <alignment horizontal="left"/>
    </xf>
    <xf numFmtId="0" fontId="206" fillId="0" borderId="0">
      <alignment horizontal="left"/>
    </xf>
    <xf numFmtId="0" fontId="205" fillId="0" borderId="0">
      <alignment horizontal="left"/>
    </xf>
    <xf numFmtId="186" fontId="49" fillId="138" borderId="0">
      <alignment horizontal="right" vertical="center"/>
    </xf>
    <xf numFmtId="186" fontId="49" fillId="138" borderId="0">
      <alignment horizontal="right" vertical="center"/>
    </xf>
    <xf numFmtId="186" fontId="49" fillId="138" borderId="0">
      <alignment horizontal="right" vertical="center"/>
    </xf>
    <xf numFmtId="186" fontId="49" fillId="138" borderId="0">
      <alignment horizontal="right" vertical="center"/>
    </xf>
    <xf numFmtId="186" fontId="49" fillId="138" borderId="0">
      <alignment horizontal="right" vertical="center"/>
    </xf>
    <xf numFmtId="186" fontId="49" fillId="138" borderId="0">
      <alignment horizontal="right" vertical="center"/>
    </xf>
    <xf numFmtId="186" fontId="49" fillId="138" borderId="0">
      <alignment horizontal="right" vertical="center"/>
    </xf>
    <xf numFmtId="186" fontId="49" fillId="138" borderId="0">
      <alignment horizontal="right" vertical="center"/>
    </xf>
    <xf numFmtId="189" fontId="49" fillId="138" borderId="0">
      <alignment horizontal="right" vertical="center"/>
    </xf>
    <xf numFmtId="0" fontId="116" fillId="139" borderId="257"/>
    <xf numFmtId="0" fontId="160" fillId="139" borderId="257"/>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 fillId="0" borderId="0" applyFont="0" applyFill="0" applyBorder="0" applyProtection="0">
      <alignment horizontal="right"/>
    </xf>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8" fillId="57" borderId="0" applyNumberFormat="0" applyBorder="0" applyAlignment="0" applyProtection="0"/>
    <xf numFmtId="0" fontId="207" fillId="57" borderId="0" applyNumberFormat="0" applyBorder="0" applyAlignment="0" applyProtection="0"/>
    <xf numFmtId="0" fontId="208" fillId="2" borderId="0" applyNumberFormat="0" applyBorder="0" applyAlignment="0" applyProtection="0"/>
    <xf numFmtId="0" fontId="208" fillId="2" borderId="0" applyNumberFormat="0" applyBorder="0" applyAlignment="0" applyProtection="0"/>
    <xf numFmtId="0" fontId="94" fillId="140" borderId="0"/>
    <xf numFmtId="0" fontId="207" fillId="2" borderId="0"/>
    <xf numFmtId="0" fontId="207" fillId="57" borderId="0" applyNumberFormat="0" applyBorder="0" applyAlignment="0" applyProtection="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57" borderId="0" applyNumberFormat="0" applyBorder="0" applyAlignment="0" applyProtection="0"/>
    <xf numFmtId="0" fontId="207" fillId="69" borderId="0" applyNumberFormat="0" applyBorder="0" applyAlignment="0" applyProtection="0"/>
    <xf numFmtId="0" fontId="207" fillId="67" borderId="0" applyNumberFormat="0" applyBorder="0" applyAlignment="0" applyProtection="0"/>
    <xf numFmtId="0" fontId="207" fillId="2" borderId="0"/>
    <xf numFmtId="0" fontId="207" fillId="2" borderId="0"/>
    <xf numFmtId="0" fontId="207" fillId="2" borderId="0"/>
    <xf numFmtId="0" fontId="207" fillId="2" borderId="0"/>
    <xf numFmtId="0" fontId="207" fillId="2" borderId="0"/>
    <xf numFmtId="0" fontId="209" fillId="140" borderId="0"/>
    <xf numFmtId="0" fontId="207" fillId="2" borderId="0"/>
    <xf numFmtId="0" fontId="209" fillId="140" borderId="0"/>
    <xf numFmtId="0" fontId="207" fillId="2" borderId="0"/>
    <xf numFmtId="0" fontId="207" fillId="2" borderId="0"/>
    <xf numFmtId="0" fontId="209" fillId="140" borderId="0"/>
    <xf numFmtId="0" fontId="207" fillId="2" borderId="0"/>
    <xf numFmtId="0" fontId="207" fillId="2" borderId="0"/>
    <xf numFmtId="0" fontId="207" fillId="2" borderId="0"/>
    <xf numFmtId="0" fontId="207" fillId="2" borderId="0"/>
    <xf numFmtId="0" fontId="207" fillId="2" borderId="0"/>
    <xf numFmtId="0" fontId="207" fillId="57" borderId="0" applyNumberFormat="0" applyBorder="0" applyAlignment="0" applyProtection="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7" fillId="2" borderId="0"/>
    <xf numFmtId="0" fontId="209" fillId="140" borderId="0"/>
    <xf numFmtId="0" fontId="207" fillId="2" borderId="0"/>
    <xf numFmtId="0" fontId="207" fillId="2" borderId="0"/>
    <xf numFmtId="0" fontId="209" fillId="140" borderId="0"/>
    <xf numFmtId="0" fontId="207" fillId="2" borderId="0"/>
    <xf numFmtId="0" fontId="207" fillId="2" borderId="0"/>
    <xf numFmtId="0" fontId="210" fillId="140" borderId="0"/>
    <xf numFmtId="0" fontId="207" fillId="2" borderId="0"/>
    <xf numFmtId="0" fontId="211" fillId="14" borderId="0" applyNumberFormat="0" applyBorder="0" applyAlignment="0" applyProtection="0"/>
    <xf numFmtId="0" fontId="207" fillId="2" borderId="0"/>
    <xf numFmtId="0" fontId="207" fillId="2" borderId="0"/>
    <xf numFmtId="0" fontId="207" fillId="2" borderId="0"/>
    <xf numFmtId="38" fontId="8" fillId="7" borderId="0" applyNumberFormat="0" applyBorder="0" applyAlignment="0" applyProtection="0"/>
    <xf numFmtId="38" fontId="8" fillId="7" borderId="0" applyNumberFormat="0" applyBorder="0" applyAlignment="0" applyProtection="0"/>
    <xf numFmtId="0" fontId="2" fillId="0" borderId="0"/>
    <xf numFmtId="0" fontId="2" fillId="0" borderId="0"/>
    <xf numFmtId="0" fontId="167" fillId="0" borderId="0" applyFont="0" applyFill="0" applyBorder="0" applyAlignment="0" applyProtection="0">
      <alignment horizontal="right"/>
    </xf>
    <xf numFmtId="0" fontId="6" fillId="105" borderId="267"/>
    <xf numFmtId="0" fontId="212" fillId="0" borderId="18">
      <alignment horizontal="left"/>
    </xf>
    <xf numFmtId="0" fontId="213" fillId="0" borderId="0">
      <alignment horizontal="right"/>
    </xf>
    <xf numFmtId="37" fontId="214" fillId="0" borderId="0">
      <alignment horizontal="right"/>
    </xf>
    <xf numFmtId="0" fontId="215" fillId="0" borderId="0">
      <alignment horizontal="left"/>
    </xf>
    <xf numFmtId="37" fontId="216" fillId="0" borderId="0">
      <alignment horizontal="right"/>
    </xf>
    <xf numFmtId="191" fontId="4" fillId="141" borderId="249" applyNumberFormat="0" applyAlignment="0" applyProtection="0">
      <protection locked="0"/>
    </xf>
    <xf numFmtId="0" fontId="217" fillId="0" borderId="0" applyProtection="0">
      <alignment horizontal="right"/>
    </xf>
    <xf numFmtId="0" fontId="218" fillId="0" borderId="0">
      <alignment horizontal="left"/>
    </xf>
    <xf numFmtId="0" fontId="218" fillId="0" borderId="0">
      <alignment horizontal="left"/>
    </xf>
    <xf numFmtId="0" fontId="9" fillId="0" borderId="170" applyNumberFormat="0" applyAlignment="0" applyProtection="0">
      <alignment horizontal="left" vertical="center"/>
    </xf>
    <xf numFmtId="0" fontId="9" fillId="0" borderId="265">
      <alignment horizontal="left" vertical="center"/>
    </xf>
    <xf numFmtId="0" fontId="219" fillId="3" borderId="268" applyProtection="0">
      <alignment horizontal="right"/>
    </xf>
    <xf numFmtId="0" fontId="220" fillId="3" borderId="0" applyProtection="0">
      <alignment horizontal="left"/>
    </xf>
    <xf numFmtId="244" fontId="22" fillId="0" borderId="0">
      <alignment horizontal="left" vertical="center"/>
    </xf>
    <xf numFmtId="0" fontId="221" fillId="0" borderId="269"/>
    <xf numFmtId="0" fontId="222" fillId="0" borderId="237" applyNumberFormat="0" applyFill="0" applyAlignment="0" applyProtection="0"/>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3" fillId="0" borderId="269" applyNumberFormat="0" applyFill="0" applyAlignment="0" applyProtection="0"/>
    <xf numFmtId="245" fontId="121" fillId="110" borderId="0">
      <alignment vertical="center"/>
    </xf>
    <xf numFmtId="0" fontId="221" fillId="0" borderId="269"/>
    <xf numFmtId="0" fontId="221" fillId="0" borderId="269"/>
    <xf numFmtId="0" fontId="221" fillId="0" borderId="269"/>
    <xf numFmtId="0" fontId="221" fillId="0" borderId="269"/>
    <xf numFmtId="0" fontId="221" fillId="0" borderId="269"/>
    <xf numFmtId="0" fontId="224" fillId="0" borderId="237" applyNumberFormat="0" applyFill="0" applyAlignment="0" applyProtection="0"/>
    <xf numFmtId="0" fontId="223" fillId="0" borderId="269" applyNumberFormat="0" applyFill="0" applyAlignment="0" applyProtection="0"/>
    <xf numFmtId="0" fontId="223" fillId="0" borderId="269" applyNumberFormat="0" applyFill="0" applyAlignment="0" applyProtection="0"/>
    <xf numFmtId="0" fontId="221" fillId="0" borderId="269" applyNumberFormat="0" applyFill="0" applyAlignment="0" applyProtection="0"/>
    <xf numFmtId="0" fontId="225" fillId="0" borderId="0">
      <alignment vertical="top" wrapText="1"/>
    </xf>
    <xf numFmtId="0" fontId="221" fillId="0" borderId="269"/>
    <xf numFmtId="0" fontId="221" fillId="0" borderId="269" applyNumberFormat="0" applyFill="0" applyAlignment="0" applyProtection="0"/>
    <xf numFmtId="0" fontId="221" fillId="0" borderId="269"/>
    <xf numFmtId="0" fontId="221" fillId="0" borderId="269" applyNumberFormat="0" applyFill="0" applyAlignment="0" applyProtection="0"/>
    <xf numFmtId="0" fontId="221" fillId="0" borderId="269"/>
    <xf numFmtId="0" fontId="221" fillId="0" borderId="269" applyNumberFormat="0" applyFill="0" applyAlignment="0" applyProtection="0"/>
    <xf numFmtId="0" fontId="221" fillId="0" borderId="269"/>
    <xf numFmtId="0" fontId="221" fillId="0" borderId="269" applyNumberFormat="0" applyFill="0" applyAlignment="0" applyProtection="0"/>
    <xf numFmtId="0" fontId="221" fillId="0" borderId="269"/>
    <xf numFmtId="245" fontId="121" fillId="110" borderId="0">
      <alignment vertical="center"/>
    </xf>
    <xf numFmtId="245" fontId="121" fillId="110" borderId="0">
      <alignment vertical="center"/>
    </xf>
    <xf numFmtId="245" fontId="121" fillId="110" borderId="0">
      <alignment vertical="center"/>
    </xf>
    <xf numFmtId="0" fontId="225" fillId="0" borderId="0">
      <alignment vertical="top" wrapText="1"/>
    </xf>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5" fillId="0" borderId="0">
      <alignment vertical="top" wrapText="1"/>
    </xf>
    <xf numFmtId="0" fontId="121" fillId="110" borderId="0">
      <alignment vertical="center"/>
    </xf>
    <xf numFmtId="0" fontId="221" fillId="0" borderId="269"/>
    <xf numFmtId="0" fontId="221" fillId="0" borderId="269"/>
    <xf numFmtId="0" fontId="221" fillId="0" borderId="269"/>
    <xf numFmtId="0" fontId="221" fillId="0" borderId="269"/>
    <xf numFmtId="0" fontId="221" fillId="0" borderId="269"/>
    <xf numFmtId="0" fontId="226" fillId="0" borderId="270"/>
    <xf numFmtId="0" fontId="221" fillId="0" borderId="269"/>
    <xf numFmtId="0" fontId="226" fillId="0" borderId="270"/>
    <xf numFmtId="0" fontId="221" fillId="0" borderId="269"/>
    <xf numFmtId="0" fontId="221" fillId="0" borderId="269"/>
    <xf numFmtId="0" fontId="226" fillId="0" borderId="270"/>
    <xf numFmtId="0" fontId="221" fillId="0" borderId="269"/>
    <xf numFmtId="0" fontId="221" fillId="0" borderId="269"/>
    <xf numFmtId="0" fontId="221" fillId="0" borderId="269"/>
    <xf numFmtId="0" fontId="221" fillId="0" borderId="269"/>
    <xf numFmtId="0" fontId="225" fillId="0" borderId="0">
      <alignment vertical="top" wrapText="1"/>
    </xf>
    <xf numFmtId="189" fontId="121" fillId="110" borderId="0">
      <alignment vertical="center"/>
    </xf>
    <xf numFmtId="0" fontId="121" fillId="110" borderId="0">
      <alignment vertical="center"/>
    </xf>
    <xf numFmtId="0" fontId="121" fillId="110" borderId="0">
      <alignment vertical="center"/>
    </xf>
    <xf numFmtId="0" fontId="121" fillId="110" borderId="0">
      <alignment vertical="center"/>
    </xf>
    <xf numFmtId="0" fontId="121" fillId="110" borderId="0">
      <alignment vertical="center"/>
    </xf>
    <xf numFmtId="0" fontId="121" fillId="110" borderId="0">
      <alignment vertical="center"/>
    </xf>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applyNumberFormat="0" applyFill="0" applyAlignment="0" applyProtection="0"/>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1" fillId="0" borderId="269"/>
    <xf numFmtId="0" fontId="226" fillId="0" borderId="270"/>
    <xf numFmtId="0" fontId="221" fillId="0" borderId="269"/>
    <xf numFmtId="0" fontId="226" fillId="0" borderId="270"/>
    <xf numFmtId="0" fontId="221" fillId="0" borderId="269"/>
    <xf numFmtId="0" fontId="226" fillId="0" borderId="270"/>
    <xf numFmtId="0" fontId="221" fillId="0" borderId="269"/>
    <xf numFmtId="0" fontId="221" fillId="0" borderId="269"/>
    <xf numFmtId="0" fontId="222" fillId="0" borderId="237"/>
    <xf numFmtId="0" fontId="221" fillId="0" borderId="269"/>
    <xf numFmtId="0" fontId="121" fillId="110" borderId="0">
      <alignment vertical="center"/>
    </xf>
    <xf numFmtId="0" fontId="221" fillId="0" borderId="269"/>
    <xf numFmtId="0" fontId="221" fillId="0" borderId="269"/>
    <xf numFmtId="0" fontId="221" fillId="0" borderId="269"/>
    <xf numFmtId="0" fontId="227" fillId="0" borderId="0">
      <alignment horizontal="left"/>
    </xf>
    <xf numFmtId="0" fontId="228" fillId="0" borderId="0" applyFill="0" applyBorder="0">
      <alignment vertical="center"/>
    </xf>
    <xf numFmtId="0" fontId="2" fillId="0" borderId="17">
      <alignment horizontal="left" vertical="top"/>
    </xf>
    <xf numFmtId="0" fontId="229" fillId="142" borderId="0"/>
    <xf numFmtId="0" fontId="230" fillId="0" borderId="271"/>
    <xf numFmtId="0" fontId="231" fillId="0" borderId="238" applyNumberFormat="0" applyFill="0" applyAlignment="0" applyProtection="0"/>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2" fillId="0" borderId="271" applyNumberFormat="0" applyFill="0" applyAlignment="0" applyProtection="0"/>
    <xf numFmtId="245" fontId="233" fillId="7" borderId="0">
      <alignment vertical="center"/>
    </xf>
    <xf numFmtId="0" fontId="230" fillId="0" borderId="271"/>
    <xf numFmtId="0" fontId="230" fillId="0" borderId="271"/>
    <xf numFmtId="0" fontId="230" fillId="0" borderId="271"/>
    <xf numFmtId="0" fontId="230" fillId="0" borderId="271"/>
    <xf numFmtId="0" fontId="230" fillId="0" borderId="271"/>
    <xf numFmtId="0" fontId="232" fillId="0" borderId="271" applyNumberFormat="0" applyFill="0" applyAlignment="0" applyProtection="0"/>
    <xf numFmtId="0" fontId="232" fillId="0" borderId="271" applyNumberFormat="0" applyFill="0" applyAlignment="0" applyProtection="0"/>
    <xf numFmtId="0" fontId="230" fillId="0" borderId="271" applyNumberFormat="0" applyFill="0" applyAlignment="0" applyProtection="0"/>
    <xf numFmtId="0" fontId="230" fillId="0" borderId="271" applyNumberFormat="0" applyFill="0" applyAlignment="0" applyProtection="0"/>
    <xf numFmtId="0" fontId="230" fillId="0" borderId="271"/>
    <xf numFmtId="0" fontId="92" fillId="0" borderId="272"/>
    <xf numFmtId="245" fontId="233" fillId="7" borderId="0">
      <alignment vertical="center"/>
    </xf>
    <xf numFmtId="245" fontId="233" fillId="7" borderId="0">
      <alignment vertical="center"/>
    </xf>
    <xf numFmtId="245" fontId="233" fillId="7" borderId="0">
      <alignment vertical="center"/>
    </xf>
    <xf numFmtId="245" fontId="233" fillId="7" borderId="0">
      <alignment vertical="center"/>
    </xf>
    <xf numFmtId="245" fontId="233" fillId="7" borderId="0">
      <alignment vertical="center"/>
    </xf>
    <xf numFmtId="245" fontId="233" fillId="7" borderId="0">
      <alignment vertical="center"/>
    </xf>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191" fontId="9" fillId="0" borderId="0" applyNumberFormat="0" applyFill="0" applyAlignment="0" applyProtection="0"/>
    <xf numFmtId="0" fontId="233" fillId="7" borderId="0">
      <alignment vertical="center"/>
    </xf>
    <xf numFmtId="0" fontId="230" fillId="0" borderId="271"/>
    <xf numFmtId="0" fontId="230" fillId="0" borderId="271"/>
    <xf numFmtId="0" fontId="230" fillId="0" borderId="271"/>
    <xf numFmtId="0" fontId="230" fillId="0" borderId="271"/>
    <xf numFmtId="0" fontId="230" fillId="0" borderId="271"/>
    <xf numFmtId="0" fontId="234" fillId="0" borderId="272"/>
    <xf numFmtId="0" fontId="230" fillId="0" borderId="271"/>
    <xf numFmtId="0" fontId="234" fillId="0" borderId="272"/>
    <xf numFmtId="0" fontId="230" fillId="0" borderId="271"/>
    <xf numFmtId="0" fontId="230" fillId="0" borderId="271"/>
    <xf numFmtId="0" fontId="234" fillId="0" borderId="272"/>
    <xf numFmtId="0" fontId="230" fillId="0" borderId="271"/>
    <xf numFmtId="0" fontId="230" fillId="0" borderId="271"/>
    <xf numFmtId="0" fontId="230" fillId="0" borderId="271"/>
    <xf numFmtId="0" fontId="230" fillId="0" borderId="271"/>
    <xf numFmtId="0" fontId="230" fillId="0" borderId="271" applyNumberFormat="0" applyFill="0" applyAlignment="0" applyProtection="0"/>
    <xf numFmtId="189" fontId="233" fillId="7" borderId="0">
      <alignment vertical="center"/>
    </xf>
    <xf numFmtId="0" fontId="233" fillId="7" borderId="0">
      <alignment vertical="center"/>
    </xf>
    <xf numFmtId="0" fontId="233" fillId="7" borderId="0">
      <alignment vertical="center"/>
    </xf>
    <xf numFmtId="0" fontId="233" fillId="7" borderId="0">
      <alignment vertical="center"/>
    </xf>
    <xf numFmtId="0" fontId="233" fillId="7" borderId="0">
      <alignment vertical="center"/>
    </xf>
    <xf numFmtId="0" fontId="233" fillId="7" borderId="0">
      <alignment vertical="center"/>
    </xf>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3" fillId="7" borderId="0">
      <alignment vertical="center"/>
    </xf>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0" fillId="0" borderId="271"/>
    <xf numFmtId="0" fontId="234" fillId="0" borderId="272"/>
    <xf numFmtId="0" fontId="230" fillId="0" borderId="271"/>
    <xf numFmtId="0" fontId="234" fillId="0" borderId="272"/>
    <xf numFmtId="0" fontId="230" fillId="0" borderId="271"/>
    <xf numFmtId="0" fontId="234" fillId="0" borderId="272"/>
    <xf numFmtId="0" fontId="230" fillId="0" borderId="271"/>
    <xf numFmtId="0" fontId="230" fillId="0" borderId="271"/>
    <xf numFmtId="0" fontId="231" fillId="0" borderId="272"/>
    <xf numFmtId="0" fontId="230" fillId="0" borderId="271"/>
    <xf numFmtId="0" fontId="233" fillId="7" borderId="0">
      <alignment vertical="center"/>
    </xf>
    <xf numFmtId="0" fontId="230" fillId="0" borderId="271"/>
    <xf numFmtId="0" fontId="230" fillId="0" borderId="271"/>
    <xf numFmtId="0" fontId="230" fillId="0" borderId="271"/>
    <xf numFmtId="0" fontId="235" fillId="0" borderId="0">
      <alignment horizontal="left"/>
    </xf>
    <xf numFmtId="0" fontId="236" fillId="0" borderId="0" applyFill="0" applyBorder="0">
      <alignment vertical="center"/>
    </xf>
    <xf numFmtId="0" fontId="2" fillId="0" borderId="17">
      <alignment horizontal="left" vertical="top"/>
    </xf>
    <xf numFmtId="0" fontId="237" fillId="0" borderId="273"/>
    <xf numFmtId="0" fontId="238" fillId="0" borderId="239" applyNumberFormat="0" applyFill="0" applyAlignment="0" applyProtection="0"/>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9" fillId="0" borderId="273" applyNumberFormat="0" applyFill="0" applyAlignment="0" applyProtection="0"/>
    <xf numFmtId="245" fontId="33" fillId="0" borderId="0"/>
    <xf numFmtId="0" fontId="237" fillId="0" borderId="273"/>
    <xf numFmtId="0" fontId="237" fillId="0" borderId="273"/>
    <xf numFmtId="0" fontId="237" fillId="0" borderId="273"/>
    <xf numFmtId="0" fontId="237" fillId="0" borderId="273"/>
    <xf numFmtId="0" fontId="237" fillId="0" borderId="273"/>
    <xf numFmtId="0" fontId="239" fillId="0" borderId="273" applyNumberFormat="0" applyFill="0" applyAlignment="0" applyProtection="0"/>
    <xf numFmtId="0" fontId="239" fillId="0" borderId="273" applyNumberFormat="0" applyFill="0" applyAlignment="0" applyProtection="0"/>
    <xf numFmtId="0" fontId="237" fillId="0" borderId="273" applyNumberFormat="0" applyFill="0" applyAlignment="0" applyProtection="0"/>
    <xf numFmtId="186" fontId="33" fillId="0" borderId="0"/>
    <xf numFmtId="0" fontId="237" fillId="0" borderId="273" applyNumberFormat="0" applyFill="0" applyAlignment="0" applyProtection="0"/>
    <xf numFmtId="0" fontId="237" fillId="0" borderId="273" applyNumberFormat="0" applyFill="0" applyAlignment="0" applyProtection="0"/>
    <xf numFmtId="0" fontId="237" fillId="0" borderId="273"/>
    <xf numFmtId="0" fontId="237" fillId="0" borderId="273" applyNumberFormat="0" applyFill="0" applyAlignment="0" applyProtection="0"/>
    <xf numFmtId="0" fontId="237" fillId="0" borderId="273"/>
    <xf numFmtId="0" fontId="237" fillId="0" borderId="273" applyNumberFormat="0" applyFill="0" applyAlignment="0" applyProtection="0"/>
    <xf numFmtId="0" fontId="237" fillId="0" borderId="273"/>
    <xf numFmtId="0" fontId="237" fillId="0" borderId="273" applyNumberFormat="0" applyFill="0" applyAlignment="0" applyProtection="0"/>
    <xf numFmtId="0" fontId="237" fillId="0" borderId="273"/>
    <xf numFmtId="245" fontId="33" fillId="0" borderId="0"/>
    <xf numFmtId="245" fontId="33" fillId="0" borderId="0"/>
    <xf numFmtId="245" fontId="33" fillId="0" borderId="0"/>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191" fontId="240" fillId="0" borderId="0" applyNumberFormat="0" applyFill="0" applyAlignment="0" applyProtection="0"/>
    <xf numFmtId="186" fontId="33" fillId="0" borderId="0"/>
    <xf numFmtId="0" fontId="33" fillId="0" borderId="0"/>
    <xf numFmtId="0" fontId="33" fillId="0" borderId="0"/>
    <xf numFmtId="0" fontId="33" fillId="0" borderId="0"/>
    <xf numFmtId="0" fontId="33" fillId="0" borderId="0"/>
    <xf numFmtId="0" fontId="33" fillId="0" borderId="0"/>
    <xf numFmtId="0" fontId="237" fillId="0" borderId="273"/>
    <xf numFmtId="0" fontId="237" fillId="0" borderId="273"/>
    <xf numFmtId="0" fontId="237" fillId="0" borderId="273"/>
    <xf numFmtId="0" fontId="237" fillId="0" borderId="273"/>
    <xf numFmtId="0" fontId="237" fillId="0" borderId="273"/>
    <xf numFmtId="0" fontId="241" fillId="0" borderId="274"/>
    <xf numFmtId="0" fontId="237" fillId="0" borderId="273"/>
    <xf numFmtId="0" fontId="241" fillId="0" borderId="274"/>
    <xf numFmtId="0" fontId="237" fillId="0" borderId="273"/>
    <xf numFmtId="0" fontId="237" fillId="0" borderId="273"/>
    <xf numFmtId="0" fontId="241" fillId="0" borderId="274"/>
    <xf numFmtId="0" fontId="237" fillId="0" borderId="273"/>
    <xf numFmtId="0" fontId="237" fillId="0" borderId="273"/>
    <xf numFmtId="0" fontId="237" fillId="0" borderId="273"/>
    <xf numFmtId="0" fontId="237" fillId="0" borderId="273"/>
    <xf numFmtId="0" fontId="237" fillId="0" borderId="273" applyNumberFormat="0" applyFill="0" applyAlignment="0" applyProtection="0"/>
    <xf numFmtId="189" fontId="33" fillId="0" borderId="0"/>
    <xf numFmtId="0" fontId="33" fillId="0" borderId="0"/>
    <xf numFmtId="0" fontId="33" fillId="0" borderId="0"/>
    <xf numFmtId="0" fontId="33" fillId="0" borderId="0"/>
    <xf numFmtId="0" fontId="33" fillId="0" borderId="0"/>
    <xf numFmtId="0" fontId="33" fillId="0" borderId="0"/>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33" fillId="0" borderId="0"/>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37" fillId="0" borderId="273"/>
    <xf numFmtId="0" fontId="241" fillId="0" borderId="274"/>
    <xf numFmtId="0" fontId="237" fillId="0" borderId="273"/>
    <xf numFmtId="0" fontId="241" fillId="0" borderId="274"/>
    <xf numFmtId="0" fontId="237" fillId="0" borderId="273"/>
    <xf numFmtId="0" fontId="241" fillId="0" borderId="274"/>
    <xf numFmtId="0" fontId="237" fillId="0" borderId="273"/>
    <xf numFmtId="0" fontId="237" fillId="0" borderId="273"/>
    <xf numFmtId="0" fontId="238" fillId="0" borderId="239"/>
    <xf numFmtId="0" fontId="237" fillId="0" borderId="273"/>
    <xf numFmtId="0" fontId="33" fillId="0" borderId="0"/>
    <xf numFmtId="0" fontId="237" fillId="0" borderId="273"/>
    <xf numFmtId="0" fontId="237" fillId="0" borderId="273"/>
    <xf numFmtId="0" fontId="237" fillId="0" borderId="273"/>
    <xf numFmtId="0" fontId="242" fillId="0" borderId="0" applyFill="0" applyBorder="0">
      <alignment vertical="center"/>
    </xf>
    <xf numFmtId="0" fontId="243" fillId="0" borderId="0">
      <alignment horizontal="left"/>
    </xf>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9" fillId="0" borderId="0" applyNumberFormat="0" applyFill="0" applyBorder="0" applyAlignment="0" applyProtection="0"/>
    <xf numFmtId="0" fontId="237" fillId="0" borderId="0" applyNumberFormat="0" applyFill="0" applyBorder="0" applyAlignment="0" applyProtection="0"/>
    <xf numFmtId="0" fontId="237" fillId="0" borderId="0"/>
    <xf numFmtId="0" fontId="93" fillId="0" borderId="0"/>
    <xf numFmtId="0" fontId="237" fillId="0" borderId="0"/>
    <xf numFmtId="0" fontId="237" fillId="0" borderId="0" applyNumberFormat="0" applyFill="0" applyBorder="0" applyAlignment="0" applyProtection="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191" fontId="4" fillId="0" borderId="0" applyNumberFormat="0" applyFill="0" applyAlignment="0" applyProtection="0"/>
    <xf numFmtId="0" fontId="244" fillId="0" borderId="0" applyNumberFormat="0" applyFill="0" applyBorder="0" applyAlignment="0" applyProtection="0"/>
    <xf numFmtId="0" fontId="237" fillId="0" borderId="0"/>
    <xf numFmtId="0" fontId="237" fillId="0" borderId="0"/>
    <xf numFmtId="0" fontId="237" fillId="0" borderId="0"/>
    <xf numFmtId="0" fontId="237" fillId="0" borderId="0"/>
    <xf numFmtId="0" fontId="237" fillId="0" borderId="0"/>
    <xf numFmtId="0" fontId="241" fillId="0" borderId="0"/>
    <xf numFmtId="0" fontId="237" fillId="0" borderId="0"/>
    <xf numFmtId="0" fontId="241" fillId="0" borderId="0"/>
    <xf numFmtId="0" fontId="237" fillId="0" borderId="0"/>
    <xf numFmtId="0" fontId="237" fillId="0" borderId="0"/>
    <xf numFmtId="0" fontId="241" fillId="0" borderId="0"/>
    <xf numFmtId="0" fontId="237" fillId="0" borderId="0"/>
    <xf numFmtId="0" fontId="237" fillId="0" borderId="0"/>
    <xf numFmtId="0" fontId="237" fillId="0" borderId="0"/>
    <xf numFmtId="0" fontId="237" fillId="0" borderId="0"/>
    <xf numFmtId="0" fontId="237" fillId="0" borderId="0" applyNumberFormat="0" applyFill="0" applyBorder="0" applyAlignment="0" applyProtection="0"/>
    <xf numFmtId="0" fontId="237" fillId="0" borderId="0" applyNumberFormat="0" applyFill="0" applyBorder="0" applyAlignment="0" applyProtection="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37" fillId="0" borderId="0"/>
    <xf numFmtId="0" fontId="241" fillId="0" borderId="0"/>
    <xf numFmtId="0" fontId="237" fillId="0" borderId="0"/>
    <xf numFmtId="0" fontId="241" fillId="0" borderId="0"/>
    <xf numFmtId="0" fontId="237" fillId="0" borderId="0"/>
    <xf numFmtId="0" fontId="241" fillId="0" borderId="0"/>
    <xf numFmtId="0" fontId="237" fillId="0" borderId="0"/>
    <xf numFmtId="0" fontId="237" fillId="0" borderId="0"/>
    <xf numFmtId="0" fontId="238" fillId="0" borderId="0"/>
    <xf numFmtId="0" fontId="237" fillId="0" borderId="0"/>
    <xf numFmtId="0" fontId="238" fillId="0" borderId="0" applyNumberFormat="0" applyFill="0" applyBorder="0" applyAlignment="0" applyProtection="0"/>
    <xf numFmtId="0" fontId="237" fillId="0" borderId="0"/>
    <xf numFmtId="0" fontId="237" fillId="0" borderId="0"/>
    <xf numFmtId="0" fontId="237" fillId="0" borderId="0"/>
    <xf numFmtId="0" fontId="245" fillId="0" borderId="0" applyFill="0" applyBorder="0">
      <alignment vertical="center"/>
    </xf>
    <xf numFmtId="191" fontId="108" fillId="0" borderId="0" applyNumberFormat="0" applyFill="0" applyAlignment="0" applyProtection="0"/>
    <xf numFmtId="191" fontId="19" fillId="0" borderId="0" applyNumberFormat="0" applyFill="0" applyAlignment="0" applyProtection="0"/>
    <xf numFmtId="191" fontId="19" fillId="0" borderId="0" applyNumberFormat="0" applyFont="0" applyFill="0" applyBorder="0" applyAlignment="0" applyProtection="0"/>
    <xf numFmtId="191" fontId="19" fillId="0" borderId="0" applyNumberFormat="0" applyFont="0" applyFill="0" applyBorder="0" applyAlignment="0" applyProtection="0"/>
    <xf numFmtId="0" fontId="13" fillId="0" borderId="0" applyNumberFormat="0" applyFill="0" applyBorder="0" applyAlignment="0" applyProtection="0"/>
    <xf numFmtId="246" fontId="8" fillId="0" borderId="18">
      <alignment horizontal="right" vertical="center"/>
    </xf>
    <xf numFmtId="0" fontId="9" fillId="0" borderId="0"/>
    <xf numFmtId="0" fontId="246" fillId="0" borderId="0" applyNumberFormat="0" applyFill="0" applyBorder="0" applyAlignment="0" applyProtection="0"/>
    <xf numFmtId="0" fontId="201" fillId="0" borderId="0"/>
    <xf numFmtId="0" fontId="9" fillId="0" borderId="0" applyNumberFormat="0" applyFill="0" applyBorder="0" applyAlignment="0" applyProtection="0"/>
    <xf numFmtId="0" fontId="201" fillId="0" borderId="0"/>
    <xf numFmtId="0" fontId="201" fillId="0" borderId="0"/>
    <xf numFmtId="0" fontId="201" fillId="0" borderId="0"/>
    <xf numFmtId="0" fontId="201" fillId="0" borderId="0"/>
    <xf numFmtId="0" fontId="4" fillId="0" borderId="0"/>
    <xf numFmtId="0" fontId="4" fillId="0" borderId="0"/>
    <xf numFmtId="0" fontId="247" fillId="0" borderId="0"/>
    <xf numFmtId="0" fontId="29" fillId="0" borderId="14" applyNumberFormat="0" applyFill="0" applyAlignment="0" applyProtection="0"/>
    <xf numFmtId="0" fontId="2" fillId="0" borderId="0">
      <alignment horizontal="center"/>
    </xf>
    <xf numFmtId="189" fontId="248" fillId="0" borderId="0" applyNumberFormat="0" applyFill="0" applyBorder="0" applyAlignment="0" applyProtection="0">
      <alignment vertical="top"/>
      <protection locked="0"/>
    </xf>
    <xf numFmtId="0" fontId="249" fillId="0" borderId="0" applyNumberFormat="0" applyFill="0" applyBorder="0" applyAlignment="0" applyProtection="0">
      <alignment vertical="top"/>
      <protection locked="0"/>
    </xf>
    <xf numFmtId="0" fontId="250" fillId="0" borderId="0" applyNumberFormat="0" applyFill="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251" fillId="0" borderId="0" applyNumberFormat="0" applyFill="0" applyBorder="0" applyAlignment="0" applyProtection="0">
      <alignment vertical="top"/>
      <protection locked="0"/>
    </xf>
    <xf numFmtId="186" fontId="252" fillId="0" borderId="0" applyNumberFormat="0" applyFill="0" applyBorder="0" applyAlignment="0" applyProtection="0">
      <alignment vertical="top"/>
      <protection locked="0"/>
    </xf>
    <xf numFmtId="186" fontId="252" fillId="0" borderId="0" applyNumberFormat="0" applyFill="0" applyBorder="0" applyAlignment="0" applyProtection="0">
      <alignment vertical="top"/>
      <protection locked="0"/>
    </xf>
    <xf numFmtId="189" fontId="252"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253" fillId="0" borderId="0" applyNumberFormat="0" applyFill="0" applyBorder="0" applyAlignment="0" applyProtection="0">
      <alignment vertical="top"/>
      <protection locked="0"/>
    </xf>
    <xf numFmtId="0" fontId="254"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2" fillId="0" borderId="0" applyNumberFormat="0" applyFill="0" applyBorder="0" applyAlignment="0" applyProtection="0">
      <alignment vertical="top"/>
      <protection locked="0"/>
    </xf>
    <xf numFmtId="0" fontId="255" fillId="0" borderId="0" applyNumberFormat="0" applyFill="0" applyBorder="0" applyAlignment="0" applyProtection="0"/>
    <xf numFmtId="0" fontId="10" fillId="0" borderId="0" applyNumberFormat="0" applyFill="0" applyBorder="0" applyAlignment="0" applyProtection="0">
      <alignment vertical="top"/>
      <protection locked="0"/>
    </xf>
    <xf numFmtId="0" fontId="251" fillId="0" borderId="0" applyNumberFormat="0" applyFill="0" applyBorder="0" applyAlignment="0" applyProtection="0">
      <alignment vertical="top"/>
      <protection locked="0"/>
    </xf>
    <xf numFmtId="0" fontId="102" fillId="0" borderId="0" applyNumberFormat="0" applyFill="0" applyBorder="0" applyAlignment="0" applyProtection="0">
      <alignment vertical="top"/>
      <protection locked="0"/>
    </xf>
    <xf numFmtId="0" fontId="102" fillId="0" borderId="0" applyNumberFormat="0" applyFill="0" applyBorder="0" applyAlignment="0" applyProtection="0">
      <alignment vertical="center"/>
    </xf>
    <xf numFmtId="0" fontId="10" fillId="0" borderId="0" applyNumberFormat="0" applyFill="0" applyBorder="0" applyAlignment="0" applyProtection="0">
      <alignment vertical="top"/>
      <protection locked="0"/>
    </xf>
    <xf numFmtId="0" fontId="253" fillId="0" borderId="0" applyNumberFormat="0" applyFill="0" applyBorder="0" applyAlignment="0" applyProtection="0">
      <alignment vertical="top"/>
      <protection locked="0"/>
    </xf>
    <xf numFmtId="0" fontId="102" fillId="0" borderId="0" applyNumberFormat="0" applyFill="0" applyBorder="0" applyAlignment="0" applyProtection="0"/>
    <xf numFmtId="0" fontId="256" fillId="0" borderId="0" applyNumberFormat="0" applyFill="0" applyBorder="0" applyAlignment="0" applyProtection="0">
      <alignment vertical="top"/>
      <protection locked="0"/>
    </xf>
    <xf numFmtId="0" fontId="255" fillId="0" borderId="0" applyNumberFormat="0" applyFill="0" applyBorder="0" applyAlignment="0" applyProtection="0"/>
    <xf numFmtId="0" fontId="102" fillId="0" borderId="0" applyNumberFormat="0" applyFill="0" applyBorder="0" applyProtection="0"/>
    <xf numFmtId="0" fontId="257" fillId="0" borderId="0" applyNumberFormat="0" applyFill="0" applyBorder="0" applyAlignment="0" applyProtection="0">
      <alignment vertical="top"/>
      <protection locked="0"/>
    </xf>
    <xf numFmtId="0" fontId="102" fillId="0" borderId="0" applyNumberFormat="0" applyFill="0" applyBorder="0" applyProtection="0"/>
    <xf numFmtId="0" fontId="10" fillId="0" borderId="0" applyNumberFormat="0" applyFill="0" applyBorder="0">
      <protection locked="0"/>
    </xf>
    <xf numFmtId="0" fontId="10" fillId="0" borderId="0" applyNumberFormat="0" applyFill="0" applyBorder="0">
      <protection locked="0"/>
    </xf>
    <xf numFmtId="245" fontId="248" fillId="0" borderId="0" applyNumberFormat="0" applyFill="0" applyBorder="0" applyAlignment="0" applyProtection="0">
      <alignment vertical="top"/>
      <protection locked="0"/>
    </xf>
    <xf numFmtId="0" fontId="258" fillId="0" borderId="0" applyFill="0" applyBorder="0">
      <alignment horizontal="center" vertical="center"/>
    </xf>
    <xf numFmtId="0" fontId="258" fillId="0" borderId="0" applyFill="0" applyBorder="0">
      <alignment horizontal="center" vertical="center"/>
    </xf>
    <xf numFmtId="0" fontId="259" fillId="0" borderId="0" applyFill="0" applyBorder="0">
      <alignment vertical="center"/>
    </xf>
    <xf numFmtId="0" fontId="127" fillId="0" borderId="0" applyFill="0" applyBorder="0" applyProtection="0">
      <alignment horizontal="left"/>
    </xf>
    <xf numFmtId="10" fontId="8" fillId="60" borderId="19" applyNumberFormat="0" applyBorder="0" applyAlignment="0" applyProtection="0"/>
    <xf numFmtId="10" fontId="8" fillId="60" borderId="19" applyNumberFormat="0" applyBorder="0" applyAlignment="0" applyProtection="0"/>
    <xf numFmtId="10" fontId="8" fillId="60" borderId="19" applyNumberFormat="0" applyBorder="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1" fillId="65" borderId="253" applyNumberFormat="0" applyAlignment="0" applyProtection="0"/>
    <xf numFmtId="0" fontId="260" fillId="56" borderId="253"/>
    <xf numFmtId="0" fontId="260" fillId="65" borderId="253" applyNumberFormat="0" applyAlignment="0" applyProtection="0"/>
    <xf numFmtId="0" fontId="260" fillId="65" borderId="253" applyNumberFormat="0" applyAlignment="0" applyProtection="0"/>
    <xf numFmtId="0" fontId="261" fillId="56" borderId="253" applyNumberFormat="0" applyAlignment="0" applyProtection="0"/>
    <xf numFmtId="186" fontId="262" fillId="57" borderId="253" applyNumberFormat="0" applyAlignment="0" applyProtection="0"/>
    <xf numFmtId="0" fontId="260" fillId="65"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0" fillId="65" borderId="253" applyNumberFormat="0" applyAlignment="0" applyProtection="0"/>
    <xf numFmtId="0" fontId="260" fillId="65" borderId="253" applyNumberFormat="0" applyAlignment="0" applyProtection="0"/>
    <xf numFmtId="0" fontId="261" fillId="56" borderId="253" applyNumberFormat="0" applyAlignment="0" applyProtection="0"/>
    <xf numFmtId="0" fontId="261" fillId="56" borderId="253" applyNumberFormat="0" applyAlignment="0" applyProtection="0"/>
    <xf numFmtId="186" fontId="262" fillId="57"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186" fontId="262" fillId="57"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0" fontId="261" fillId="56" borderId="253" applyNumberFormat="0" applyAlignment="0" applyProtection="0"/>
    <xf numFmtId="186" fontId="262" fillId="57" borderId="253" applyNumberFormat="0" applyAlignment="0" applyProtection="0"/>
    <xf numFmtId="186" fontId="262" fillId="57" borderId="253" applyNumberFormat="0" applyAlignment="0" applyProtection="0"/>
    <xf numFmtId="186" fontId="262" fillId="57" borderId="253" applyNumberFormat="0" applyAlignment="0" applyProtection="0"/>
    <xf numFmtId="0" fontId="260" fillId="56" borderId="253"/>
    <xf numFmtId="0" fontId="260" fillId="56" borderId="253"/>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56" borderId="253"/>
    <xf numFmtId="0" fontId="260" fillId="56" borderId="253"/>
    <xf numFmtId="0" fontId="260" fillId="65" borderId="253" applyNumberFormat="0" applyAlignment="0" applyProtection="0"/>
    <xf numFmtId="0" fontId="262" fillId="57" borderId="253" applyNumberFormat="0" applyAlignment="0" applyProtection="0"/>
    <xf numFmtId="0" fontId="262" fillId="57" borderId="253" applyNumberFormat="0" applyAlignment="0" applyProtection="0"/>
    <xf numFmtId="0" fontId="262" fillId="57" borderId="253" applyNumberFormat="0" applyAlignment="0" applyProtection="0"/>
    <xf numFmtId="0" fontId="260" fillId="65" borderId="253" applyNumberFormat="0" applyAlignment="0" applyProtection="0"/>
    <xf numFmtId="0" fontId="260" fillId="56" borderId="253"/>
    <xf numFmtId="0" fontId="260" fillId="56" borderId="253"/>
    <xf numFmtId="0" fontId="260" fillId="56" borderId="253"/>
    <xf numFmtId="0" fontId="260" fillId="56" borderId="253"/>
    <xf numFmtId="0" fontId="260" fillId="56" borderId="253"/>
    <xf numFmtId="0" fontId="263" fillId="143" borderId="240"/>
    <xf numFmtId="0" fontId="260" fillId="56" borderId="253"/>
    <xf numFmtId="0" fontId="263" fillId="143" borderId="240"/>
    <xf numFmtId="0" fontId="260" fillId="56" borderId="253"/>
    <xf numFmtId="0" fontId="260" fillId="56" borderId="253"/>
    <xf numFmtId="0" fontId="263" fillId="143" borderId="240"/>
    <xf numFmtId="0" fontId="260" fillId="56" borderId="253"/>
    <xf numFmtId="0" fontId="260" fillId="56" borderId="253"/>
    <xf numFmtId="0" fontId="260" fillId="56" borderId="253"/>
    <xf numFmtId="0" fontId="260" fillId="56" borderId="253"/>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65" borderId="253" applyNumberFormat="0" applyAlignment="0" applyProtection="0"/>
    <xf numFmtId="0" fontId="260" fillId="65" borderId="253" applyNumberFormat="0" applyAlignment="0" applyProtection="0"/>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56" borderId="253"/>
    <xf numFmtId="0" fontId="260" fillId="65" borderId="253" applyNumberFormat="0" applyAlignment="0" applyProtection="0"/>
    <xf numFmtId="0" fontId="260" fillId="65" borderId="253" applyNumberFormat="0" applyAlignment="0" applyProtection="0"/>
    <xf numFmtId="0" fontId="263" fillId="143" borderId="240"/>
    <xf numFmtId="0" fontId="260" fillId="56" borderId="253"/>
    <xf numFmtId="0" fontId="260" fillId="56" borderId="253"/>
    <xf numFmtId="0" fontId="263" fillId="143" borderId="240"/>
    <xf numFmtId="0" fontId="260" fillId="56" borderId="253"/>
    <xf numFmtId="0" fontId="260" fillId="56" borderId="253"/>
    <xf numFmtId="0" fontId="264" fillId="143" borderId="240"/>
    <xf numFmtId="0" fontId="260" fillId="56" borderId="253"/>
    <xf numFmtId="0" fontId="260" fillId="65" borderId="253" applyNumberFormat="0" applyAlignment="0" applyProtection="0"/>
    <xf numFmtId="0" fontId="265" fillId="17" borderId="240" applyNumberFormat="0" applyAlignment="0" applyProtection="0"/>
    <xf numFmtId="0" fontId="265" fillId="17" borderId="240"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260" fillId="65" borderId="253" applyNumberFormat="0" applyAlignment="0" applyProtection="0"/>
    <xf numFmtId="0" fontId="176" fillId="0" borderId="0" applyFill="0" applyBorder="0" applyProtection="0"/>
    <xf numFmtId="0" fontId="176" fillId="0" borderId="0" applyFill="0" applyBorder="0" applyProtection="0"/>
    <xf numFmtId="191" fontId="6" fillId="2" borderId="249" applyNumberFormat="0" applyAlignment="0" applyProtection="0"/>
    <xf numFmtId="0" fontId="176" fillId="0" borderId="0" applyFill="0" applyBorder="0" applyProtection="0"/>
    <xf numFmtId="0" fontId="176" fillId="0" borderId="0" applyFill="0" applyBorder="0" applyProtection="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126" fillId="81" borderId="0"/>
    <xf numFmtId="0" fontId="30" fillId="0" borderId="0" applyNumberFormat="0" applyFill="0" applyBorder="0" applyAlignment="0" applyProtection="0"/>
    <xf numFmtId="0" fontId="30" fillId="0" borderId="0"/>
    <xf numFmtId="4" fontId="119" fillId="0" borderId="116">
      <alignment horizontal="right" vertical="center"/>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5" fontId="2" fillId="81" borderId="261">
      <protection locked="0"/>
    </xf>
    <xf numFmtId="191" fontId="182" fillId="0" borderId="0"/>
    <xf numFmtId="0" fontId="116" fillId="144" borderId="0"/>
    <xf numFmtId="0" fontId="2" fillId="0" borderId="0" applyNumberFormat="0" applyFont="0" applyFill="0" applyBorder="0" applyAlignment="0"/>
    <xf numFmtId="186" fontId="266" fillId="0" borderId="0">
      <alignment horizontal="left" indent="1"/>
    </xf>
    <xf numFmtId="186" fontId="266" fillId="0" borderId="0">
      <alignment horizontal="left" indent="1"/>
    </xf>
    <xf numFmtId="189" fontId="266" fillId="0" borderId="0">
      <alignment horizontal="left" indent="1"/>
    </xf>
    <xf numFmtId="0" fontId="266" fillId="0" borderId="0">
      <alignment horizontal="left" indent="1"/>
    </xf>
    <xf numFmtId="186" fontId="267" fillId="0" borderId="0"/>
    <xf numFmtId="0" fontId="267" fillId="0" borderId="0"/>
    <xf numFmtId="186" fontId="268" fillId="0" borderId="0">
      <alignment horizontal="center"/>
    </xf>
    <xf numFmtId="186" fontId="268" fillId="0" borderId="0">
      <alignment horizontal="center"/>
    </xf>
    <xf numFmtId="189" fontId="268" fillId="0" borderId="0">
      <alignment horizontal="center"/>
    </xf>
    <xf numFmtId="0" fontId="268" fillId="0" borderId="0">
      <alignment horizontal="center"/>
    </xf>
    <xf numFmtId="0" fontId="269" fillId="0" borderId="0">
      <alignment horizontal="center"/>
    </xf>
    <xf numFmtId="0" fontId="269" fillId="0" borderId="0">
      <alignment horizontal="center"/>
    </xf>
    <xf numFmtId="0" fontId="126" fillId="145" borderId="0"/>
    <xf numFmtId="0" fontId="219" fillId="0" borderId="275" applyProtection="0">
      <alignment horizontal="right"/>
    </xf>
    <xf numFmtId="0" fontId="219" fillId="0" borderId="268" applyProtection="0">
      <alignment horizontal="right"/>
    </xf>
    <xf numFmtId="0" fontId="219" fillId="0" borderId="276" applyProtection="0">
      <alignment horizontal="center"/>
      <protection locked="0"/>
    </xf>
    <xf numFmtId="0" fontId="2" fillId="0" borderId="0"/>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1" fillId="0" borderId="277" applyNumberFormat="0" applyFill="0" applyAlignment="0" applyProtection="0"/>
    <xf numFmtId="0" fontId="270" fillId="0" borderId="277" applyNumberFormat="0" applyFill="0" applyAlignment="0" applyProtection="0"/>
    <xf numFmtId="0" fontId="270" fillId="0" borderId="277"/>
    <xf numFmtId="0" fontId="97" fillId="0" borderId="242"/>
    <xf numFmtId="0" fontId="270" fillId="0" borderId="277"/>
    <xf numFmtId="0" fontId="270" fillId="0" borderId="277" applyNumberFormat="0" applyFill="0" applyAlignment="0" applyProtection="0"/>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applyNumberFormat="0" applyFill="0" applyAlignment="0" applyProtection="0"/>
    <xf numFmtId="0" fontId="270" fillId="0" borderId="277" applyNumberFormat="0" applyFill="0" applyAlignment="0" applyProtection="0"/>
    <xf numFmtId="0" fontId="272" fillId="0" borderId="278" applyNumberFormat="0" applyFill="0" applyAlignment="0" applyProtection="0"/>
    <xf numFmtId="0" fontId="270" fillId="0" borderId="277"/>
    <xf numFmtId="0" fontId="270" fillId="0" borderId="277"/>
    <xf numFmtId="0" fontId="270" fillId="0" borderId="277"/>
    <xf numFmtId="0" fontId="270" fillId="0" borderId="277"/>
    <xf numFmtId="0" fontId="270" fillId="0" borderId="277"/>
    <xf numFmtId="0" fontId="273" fillId="0" borderId="242"/>
    <xf numFmtId="0" fontId="270" fillId="0" borderId="277"/>
    <xf numFmtId="0" fontId="273" fillId="0" borderId="242"/>
    <xf numFmtId="0" fontId="270" fillId="0" borderId="277"/>
    <xf numFmtId="0" fontId="270" fillId="0" borderId="277"/>
    <xf numFmtId="0" fontId="273" fillId="0" borderId="242"/>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0" fillId="0" borderId="277"/>
    <xf numFmtId="0" fontId="273" fillId="0" borderId="242"/>
    <xf numFmtId="0" fontId="270" fillId="0" borderId="277"/>
    <xf numFmtId="0" fontId="270" fillId="0" borderId="277"/>
    <xf numFmtId="0" fontId="273" fillId="0" borderId="242"/>
    <xf numFmtId="0" fontId="270" fillId="0" borderId="277"/>
    <xf numFmtId="0" fontId="270" fillId="0" borderId="277"/>
    <xf numFmtId="0" fontId="274" fillId="0" borderId="242"/>
    <xf numFmtId="0" fontId="270" fillId="0" borderId="277"/>
    <xf numFmtId="0" fontId="275" fillId="0" borderId="242" applyNumberFormat="0" applyFill="0" applyAlignment="0" applyProtection="0"/>
    <xf numFmtId="0" fontId="270" fillId="0" borderId="277"/>
    <xf numFmtId="0" fontId="270" fillId="0" borderId="277"/>
    <xf numFmtId="0" fontId="270" fillId="0" borderId="277"/>
    <xf numFmtId="0" fontId="116" fillId="146" borderId="0"/>
    <xf numFmtId="0" fontId="276" fillId="5" borderId="0"/>
    <xf numFmtId="186" fontId="49" fillId="147" borderId="0">
      <alignment horizontal="right" vertical="center"/>
    </xf>
    <xf numFmtId="186" fontId="49" fillId="147" borderId="0">
      <alignment horizontal="right" vertical="center"/>
    </xf>
    <xf numFmtId="186" fontId="49" fillId="147" borderId="0">
      <alignment horizontal="right" vertical="center"/>
    </xf>
    <xf numFmtId="186" fontId="49" fillId="147" borderId="0">
      <alignment horizontal="right" vertical="center"/>
    </xf>
    <xf numFmtId="186" fontId="49" fillId="147" borderId="0">
      <alignment horizontal="right" vertical="center"/>
    </xf>
    <xf numFmtId="186" fontId="49" fillId="147" borderId="0">
      <alignment horizontal="right" vertical="center"/>
    </xf>
    <xf numFmtId="186" fontId="49" fillId="147" borderId="0">
      <alignment horizontal="right" vertical="center"/>
    </xf>
    <xf numFmtId="186" fontId="49" fillId="147" borderId="0">
      <alignment horizontal="right" vertical="center"/>
    </xf>
    <xf numFmtId="189" fontId="49" fillId="147" borderId="0">
      <alignment horizontal="right" vertical="center"/>
    </xf>
    <xf numFmtId="0" fontId="2" fillId="56" borderId="0" applyNumberFormat="0" applyFont="0" applyBorder="0" applyAlignment="0"/>
    <xf numFmtId="0" fontId="2" fillId="56" borderId="0" applyNumberFormat="0" applyFont="0" applyBorder="0" applyAlignment="0"/>
    <xf numFmtId="167" fontId="277" fillId="0" borderId="0" applyNumberFormat="0" applyBorder="0" applyAlignment="0" applyProtection="0"/>
    <xf numFmtId="43" fontId="2" fillId="0" borderId="0" applyFont="0" applyFill="0" applyBorder="0" applyAlignment="0" applyProtection="0"/>
    <xf numFmtId="43" fontId="2" fillId="0" borderId="0"/>
    <xf numFmtId="0" fontId="2" fillId="0" borderId="0"/>
    <xf numFmtId="0" fontId="2" fillId="0" borderId="0"/>
    <xf numFmtId="0" fontId="2" fillId="0" borderId="0"/>
    <xf numFmtId="0" fontId="2" fillId="0" borderId="0"/>
    <xf numFmtId="0" fontId="2" fillId="0" borderId="0"/>
    <xf numFmtId="247" fontId="167" fillId="0" borderId="0" applyFont="0" applyFill="0" applyBorder="0" applyAlignment="0" applyProtection="0"/>
    <xf numFmtId="248" fontId="167" fillId="0" borderId="0" applyFont="0" applyFill="0" applyBorder="0" applyAlignment="0" applyProtection="0"/>
    <xf numFmtId="249" fontId="2" fillId="0" borderId="0" applyFont="0" applyFill="0" applyBorder="0" applyAlignment="0" applyProtection="0"/>
    <xf numFmtId="250" fontId="2" fillId="0" borderId="0" applyFont="0" applyFill="0" applyBorder="0" applyAlignment="0" applyProtection="0"/>
    <xf numFmtId="0" fontId="278" fillId="0" borderId="0" applyFill="0" applyBorder="0">
      <alignment vertical="center"/>
    </xf>
    <xf numFmtId="251" fontId="6" fillId="0" borderId="0" applyFont="0" applyFill="0" applyBorder="0" applyAlignment="0" applyProtection="0"/>
    <xf numFmtId="221" fontId="6" fillId="0" borderId="0" applyFont="0" applyFill="0" applyBorder="0" applyAlignment="0" applyProtection="0"/>
    <xf numFmtId="252" fontId="2" fillId="0" borderId="0" applyFont="0" applyFill="0" applyBorder="0" applyAlignment="0" applyProtection="0"/>
    <xf numFmtId="253" fontId="2" fillId="0" borderId="0" applyFont="0" applyFill="0" applyBorder="0" applyAlignment="0" applyProtection="0"/>
    <xf numFmtId="0" fontId="175" fillId="0" borderId="0" applyNumberFormat="0">
      <alignment horizontal="left"/>
    </xf>
    <xf numFmtId="0" fontId="167" fillId="0" borderId="0" applyFont="0" applyFill="0" applyBorder="0" applyAlignment="0" applyProtection="0">
      <alignment horizontal="right"/>
    </xf>
    <xf numFmtId="49" fontId="279" fillId="109" borderId="0">
      <alignment horizontal="centerContinuous" vertical="center"/>
    </xf>
    <xf numFmtId="254" fontId="167" fillId="0" borderId="0" applyFont="0" applyFill="0" applyBorder="0" applyAlignment="0" applyProtection="0">
      <alignment horizontal="right"/>
    </xf>
    <xf numFmtId="1" fontId="2" fillId="0" borderId="0" applyFont="0" applyFill="0" applyBorder="0" applyProtection="0">
      <alignment horizontal="right"/>
    </xf>
    <xf numFmtId="1" fontId="2" fillId="0" borderId="0" applyFont="0" applyFill="0" applyBorder="0" applyProtection="0">
      <alignment horizontal="right"/>
    </xf>
    <xf numFmtId="1" fontId="2" fillId="0" borderId="0" applyFont="0" applyFill="0" applyBorder="0" applyProtection="0">
      <alignment horizontal="right"/>
    </xf>
    <xf numFmtId="1" fontId="2" fillId="0" borderId="0" applyFont="0" applyFill="0" applyBorder="0" applyProtection="0">
      <alignment horizontal="right"/>
    </xf>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1" fillId="71" borderId="0" applyNumberFormat="0" applyBorder="0" applyAlignment="0" applyProtection="0"/>
    <xf numFmtId="0" fontId="280" fillId="71" borderId="0" applyNumberFormat="0" applyBorder="0" applyAlignment="0" applyProtection="0"/>
    <xf numFmtId="0" fontId="281" fillId="81" borderId="0" applyNumberFormat="0" applyBorder="0" applyAlignment="0" applyProtection="0"/>
    <xf numFmtId="0" fontId="281" fillId="81" borderId="0" applyNumberFormat="0" applyBorder="0" applyAlignment="0" applyProtection="0"/>
    <xf numFmtId="0" fontId="101" fillId="148" borderId="0"/>
    <xf numFmtId="0" fontId="280" fillId="81" borderId="0"/>
    <xf numFmtId="0" fontId="280" fillId="71" borderId="0" applyNumberFormat="0" applyBorder="0" applyAlignment="0" applyProtection="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71" borderId="0" applyNumberFormat="0" applyBorder="0" applyAlignment="0" applyProtection="0"/>
    <xf numFmtId="0" fontId="272" fillId="71" borderId="0" applyNumberFormat="0" applyBorder="0" applyAlignment="0" applyProtection="0"/>
    <xf numFmtId="0" fontId="282" fillId="71" borderId="0" applyNumberFormat="0" applyBorder="0" applyAlignment="0" applyProtection="0"/>
    <xf numFmtId="0" fontId="280" fillId="81" borderId="0"/>
    <xf numFmtId="0" fontId="280" fillId="81" borderId="0"/>
    <xf numFmtId="0" fontId="280" fillId="81" borderId="0"/>
    <xf numFmtId="0" fontId="280" fillId="81" borderId="0"/>
    <xf numFmtId="0" fontId="280" fillId="81" borderId="0"/>
    <xf numFmtId="0" fontId="283" fillId="148" borderId="0"/>
    <xf numFmtId="0" fontId="280" fillId="81" borderId="0"/>
    <xf numFmtId="0" fontId="283" fillId="148" borderId="0"/>
    <xf numFmtId="0" fontId="280" fillId="81" borderId="0"/>
    <xf numFmtId="0" fontId="280" fillId="81" borderId="0"/>
    <xf numFmtId="0" fontId="283" fillId="148" borderId="0"/>
    <xf numFmtId="0" fontId="280" fillId="81" borderId="0"/>
    <xf numFmtId="0" fontId="280" fillId="81" borderId="0"/>
    <xf numFmtId="0" fontId="280" fillId="81" borderId="0"/>
    <xf numFmtId="0" fontId="280" fillId="81" borderId="0"/>
    <xf numFmtId="0" fontId="280" fillId="81" borderId="0"/>
    <xf numFmtId="0" fontId="280" fillId="71" borderId="0" applyNumberFormat="0" applyBorder="0" applyAlignment="0" applyProtection="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0" fillId="81" borderId="0"/>
    <xf numFmtId="0" fontId="283" fillId="148" borderId="0"/>
    <xf numFmtId="0" fontId="280" fillId="81" borderId="0"/>
    <xf numFmtId="0" fontId="280" fillId="81" borderId="0"/>
    <xf numFmtId="0" fontId="283" fillId="148" borderId="0"/>
    <xf numFmtId="0" fontId="280" fillId="81" borderId="0"/>
    <xf numFmtId="0" fontId="280" fillId="81" borderId="0"/>
    <xf numFmtId="0" fontId="284" fillId="148" borderId="0"/>
    <xf numFmtId="0" fontId="280" fillId="81" borderId="0"/>
    <xf numFmtId="0" fontId="285" fillId="16" borderId="0" applyNumberFormat="0" applyBorder="0" applyAlignment="0" applyProtection="0"/>
    <xf numFmtId="0" fontId="280" fillId="81" borderId="0"/>
    <xf numFmtId="0" fontId="280" fillId="81" borderId="0"/>
    <xf numFmtId="0" fontId="280" fillId="81" borderId="0"/>
    <xf numFmtId="0" fontId="280" fillId="67" borderId="0" applyNumberFormat="0" applyBorder="0" applyAlignment="0" applyProtection="0"/>
    <xf numFmtId="0" fontId="280" fillId="66" borderId="0"/>
    <xf numFmtId="37" fontId="286" fillId="0" borderId="0"/>
    <xf numFmtId="171" fontId="287" fillId="0" borderId="0"/>
    <xf numFmtId="171" fontId="9" fillId="149" borderId="0"/>
    <xf numFmtId="3" fontId="180" fillId="0" borderId="0" applyFont="0" applyFill="0" applyBorder="0" applyAlignment="0" applyProtection="0"/>
    <xf numFmtId="3" fontId="288" fillId="0" borderId="0"/>
    <xf numFmtId="0" fontId="289" fillId="0" borderId="0"/>
    <xf numFmtId="3" fontId="290" fillId="0" borderId="0"/>
    <xf numFmtId="255" fontId="105" fillId="0" borderId="0"/>
    <xf numFmtId="0" fontId="289" fillId="0" borderId="0"/>
    <xf numFmtId="0" fontId="289" fillId="0" borderId="0"/>
    <xf numFmtId="0" fontId="289" fillId="0" borderId="0"/>
    <xf numFmtId="0" fontId="289" fillId="0" borderId="0"/>
    <xf numFmtId="0" fontId="167" fillId="0" borderId="0" applyFill="0" applyBorder="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41" fillId="0" borderId="0" applyFont="0" applyFill="0" applyBorder="0" applyAlignment="0" applyProtection="0"/>
    <xf numFmtId="0" fontId="100"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79" fillId="0" borderId="0"/>
    <xf numFmtId="0" fontId="2" fillId="0" borderId="0">
      <alignment vertical="top"/>
    </xf>
    <xf numFmtId="0" fontId="2" fillId="0" borderId="0">
      <alignment vertical="top"/>
    </xf>
    <xf numFmtId="0" fontId="1" fillId="0" borderId="0"/>
    <xf numFmtId="0" fontId="1" fillId="0" borderId="0"/>
    <xf numFmtId="0" fontId="41" fillId="0" borderId="0" applyFont="0" applyFill="0" applyBorder="0" applyAlignment="0" applyProtection="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00" fillId="0" borderId="0"/>
    <xf numFmtId="0" fontId="1" fillId="0" borderId="0"/>
    <xf numFmtId="0" fontId="1" fillId="0" borderId="0"/>
    <xf numFmtId="0" fontId="1" fillId="0" borderId="0"/>
    <xf numFmtId="0" fontId="79" fillId="0" borderId="0"/>
    <xf numFmtId="189" fontId="41" fillId="0" borderId="0" applyFont="0" applyFill="0" applyBorder="0" applyAlignment="0" applyProtection="0"/>
    <xf numFmtId="245" fontId="100" fillId="0" borderId="0"/>
    <xf numFmtId="0" fontId="2" fillId="0" borderId="0">
      <alignment vertical="top"/>
    </xf>
    <xf numFmtId="0" fontId="2" fillId="0" borderId="0">
      <alignment vertical="top"/>
    </xf>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 fillId="0" borderId="0"/>
    <xf numFmtId="0" fontId="79" fillId="0" borderId="0"/>
    <xf numFmtId="0" fontId="2" fillId="0" borderId="0">
      <alignment vertical="top"/>
    </xf>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9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56" fontId="100"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79" fillId="0" borderId="0"/>
    <xf numFmtId="0" fontId="2" fillId="0" borderId="0">
      <alignment vertical="top"/>
    </xf>
    <xf numFmtId="0" fontId="2" fillId="0" borderId="0">
      <alignment vertical="top"/>
    </xf>
    <xf numFmtId="0" fontId="1" fillId="0" borderId="0"/>
    <xf numFmtId="0" fontId="2" fillId="0" borderId="0"/>
    <xf numFmtId="0" fontId="1" fillId="0" borderId="0"/>
    <xf numFmtId="0" fontId="1" fillId="0" borderId="0"/>
    <xf numFmtId="0" fontId="1" fillId="0" borderId="0"/>
    <xf numFmtId="0" fontId="2" fillId="0" borderId="0"/>
    <xf numFmtId="0" fontId="1" fillId="0" borderId="0"/>
    <xf numFmtId="0" fontId="2"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2" fillId="0" borderId="0"/>
    <xf numFmtId="0" fontId="2" fillId="0" borderId="0">
      <alignment vertical="top"/>
    </xf>
    <xf numFmtId="0" fontId="2" fillId="0" borderId="0">
      <alignment vertical="top"/>
    </xf>
    <xf numFmtId="0" fontId="1" fillId="0" borderId="0"/>
    <xf numFmtId="0" fontId="1" fillId="0" borderId="0"/>
    <xf numFmtId="0" fontId="1" fillId="0" borderId="0"/>
    <xf numFmtId="0" fontId="2" fillId="0" borderId="0"/>
    <xf numFmtId="0" fontId="1" fillId="0" borderId="0"/>
    <xf numFmtId="0" fontId="116" fillId="0" borderId="0"/>
    <xf numFmtId="0" fontId="116" fillId="0" borderId="0"/>
    <xf numFmtId="0" fontId="1" fillId="0" borderId="0"/>
    <xf numFmtId="0" fontId="116" fillId="0" borderId="0"/>
    <xf numFmtId="0" fontId="1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 fillId="0" borderId="0"/>
    <xf numFmtId="0" fontId="1"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00" fillId="0" borderId="0"/>
    <xf numFmtId="0" fontId="1" fillId="0" borderId="0"/>
    <xf numFmtId="0" fontId="1" fillId="0" borderId="0"/>
    <xf numFmtId="0" fontId="1" fillId="0" borderId="0"/>
    <xf numFmtId="0" fontId="1" fillId="0" borderId="0"/>
    <xf numFmtId="0" fontId="2" fillId="0" borderId="0"/>
    <xf numFmtId="0" fontId="2" fillId="0" borderId="0">
      <alignment vertical="top"/>
    </xf>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 fillId="0" borderId="0"/>
    <xf numFmtId="0" fontId="2"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xf numFmtId="0" fontId="100" fillId="0" borderId="0"/>
    <xf numFmtId="0" fontId="1" fillId="0" borderId="0"/>
    <xf numFmtId="0" fontId="1" fillId="0" borderId="0"/>
    <xf numFmtId="0" fontId="1" fillId="0" borderId="0"/>
    <xf numFmtId="0" fontId="2"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lignment vertical="top"/>
    </xf>
    <xf numFmtId="0" fontId="100" fillId="0" borderId="0"/>
    <xf numFmtId="0" fontId="1" fillId="0" borderId="0"/>
    <xf numFmtId="0" fontId="2"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2" fillId="0" borderId="0"/>
    <xf numFmtId="0" fontId="2" fillId="0" borderId="0">
      <alignment vertical="top"/>
    </xf>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2" fillId="0" borderId="0"/>
    <xf numFmtId="0" fontId="2" fillId="0" borderId="0"/>
    <xf numFmtId="0" fontId="116" fillId="0" borderId="0"/>
    <xf numFmtId="186" fontId="2" fillId="0" borderId="0">
      <alignment vertical="center"/>
    </xf>
    <xf numFmtId="0" fontId="2" fillId="0" borderId="0">
      <alignment vertical="center"/>
    </xf>
    <xf numFmtId="189" fontId="2" fillId="0" borderId="0">
      <alignment vertical="center"/>
    </xf>
    <xf numFmtId="0" fontId="2" fillId="0" borderId="0"/>
    <xf numFmtId="257" fontId="107" fillId="0" borderId="0" applyProtection="0"/>
    <xf numFmtId="0" fontId="1" fillId="0" borderId="0"/>
    <xf numFmtId="0" fontId="1" fillId="0" borderId="0"/>
    <xf numFmtId="0" fontId="2" fillId="0" borderId="0"/>
    <xf numFmtId="0" fontId="79"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79"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2"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0" fontId="1"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2"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79"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2"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0" fontId="2"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189" fontId="107" fillId="0" borderId="0"/>
    <xf numFmtId="0" fontId="107" fillId="0" borderId="0"/>
    <xf numFmtId="189" fontId="107" fillId="0" borderId="0"/>
    <xf numFmtId="0" fontId="2" fillId="0" borderId="0"/>
    <xf numFmtId="189" fontId="107" fillId="0" borderId="0"/>
    <xf numFmtId="189" fontId="107" fillId="0" borderId="0"/>
    <xf numFmtId="189" fontId="107" fillId="0" borderId="0"/>
    <xf numFmtId="189" fontId="107" fillId="0" borderId="0"/>
    <xf numFmtId="0" fontId="79" fillId="0" borderId="0"/>
    <xf numFmtId="0" fontId="107" fillId="0" borderId="0"/>
    <xf numFmtId="189" fontId="107"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189" fontId="107" fillId="0" borderId="0"/>
    <xf numFmtId="0" fontId="107" fillId="0" borderId="0"/>
    <xf numFmtId="189" fontId="107" fillId="0" borderId="0"/>
    <xf numFmtId="0" fontId="79" fillId="0" borderId="0"/>
    <xf numFmtId="0" fontId="2"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79" fillId="0" borderId="0"/>
    <xf numFmtId="189" fontId="107" fillId="0" borderId="0"/>
    <xf numFmtId="0" fontId="79"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0" fontId="79" fillId="0" borderId="0"/>
    <xf numFmtId="0" fontId="2" fillId="0" borderId="0"/>
    <xf numFmtId="0" fontId="79" fillId="0" borderId="0"/>
    <xf numFmtId="0" fontId="79" fillId="0" borderId="0"/>
    <xf numFmtId="0" fontId="2"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79"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79"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79"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 fillId="0" borderId="0"/>
    <xf numFmtId="0" fontId="1" fillId="0" borderId="0"/>
    <xf numFmtId="0" fontId="1" fillId="0" borderId="0"/>
    <xf numFmtId="0" fontId="1" fillId="0" borderId="0"/>
    <xf numFmtId="0" fontId="2" fillId="0" borderId="0"/>
    <xf numFmtId="0" fontId="79"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186" fontId="1" fillId="0" borderId="0"/>
    <xf numFmtId="0" fontId="107" fillId="0" borderId="0"/>
    <xf numFmtId="0" fontId="2" fillId="0" borderId="0"/>
    <xf numFmtId="0" fontId="291" fillId="0" borderId="0">
      <alignment vertical="center"/>
    </xf>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79" fillId="0" borderId="0"/>
    <xf numFmtId="0" fontId="107" fillId="0" borderId="0"/>
    <xf numFmtId="0" fontId="2" fillId="0" borderId="0"/>
    <xf numFmtId="0" fontId="79" fillId="0" borderId="0"/>
    <xf numFmtId="0" fontId="2" fillId="0" borderId="0"/>
    <xf numFmtId="0" fontId="2" fillId="0" borderId="0"/>
    <xf numFmtId="0" fontId="79" fillId="0" borderId="0"/>
    <xf numFmtId="0" fontId="107" fillId="0" borderId="0"/>
    <xf numFmtId="0" fontId="2"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2"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6" fontId="1"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6" fontId="1"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186" fontId="1" fillId="0" borderId="0"/>
    <xf numFmtId="0" fontId="2" fillId="0" borderId="0"/>
    <xf numFmtId="0" fontId="107" fillId="0" borderId="0"/>
    <xf numFmtId="0" fontId="2" fillId="0" borderId="0"/>
    <xf numFmtId="0" fontId="107" fillId="0" borderId="0"/>
    <xf numFmtId="0" fontId="2" fillId="0" borderId="0"/>
    <xf numFmtId="0" fontId="107" fillId="0" borderId="0"/>
    <xf numFmtId="0" fontId="2" fillId="0" borderId="0"/>
    <xf numFmtId="0" fontId="79" fillId="0" borderId="0"/>
    <xf numFmtId="0" fontId="107" fillId="0" borderId="0"/>
    <xf numFmtId="0" fontId="2" fillId="0" borderId="0"/>
    <xf numFmtId="0" fontId="107" fillId="0" borderId="0"/>
    <xf numFmtId="0" fontId="2"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186" fontId="1"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0" fontId="107" fillId="0" borderId="0"/>
    <xf numFmtId="186" fontId="1"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2" fillId="0" borderId="0"/>
    <xf numFmtId="0" fontId="107" fillId="0" borderId="0"/>
    <xf numFmtId="0" fontId="1"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26" fillId="0" borderId="0"/>
    <xf numFmtId="0" fontId="126" fillId="0" borderId="0"/>
    <xf numFmtId="0" fontId="126" fillId="0" borderId="0"/>
    <xf numFmtId="0" fontId="107" fillId="0" borderId="0"/>
    <xf numFmtId="0" fontId="1" fillId="0" borderId="0"/>
    <xf numFmtId="0" fontId="79" fillId="0" borderId="0"/>
    <xf numFmtId="0" fontId="291" fillId="0" borderId="0">
      <alignment vertical="center"/>
    </xf>
    <xf numFmtId="0" fontId="12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79" fillId="0" borderId="0"/>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2" fillId="0" borderId="0">
      <alignment vertical="center"/>
    </xf>
    <xf numFmtId="0" fontId="1" fillId="0" borderId="0"/>
    <xf numFmtId="0" fontId="107" fillId="0" borderId="0"/>
    <xf numFmtId="0" fontId="79" fillId="0" borderId="0"/>
    <xf numFmtId="0" fontId="291" fillId="0" borderId="0">
      <alignment vertical="center"/>
    </xf>
    <xf numFmtId="0" fontId="1" fillId="0" borderId="0"/>
    <xf numFmtId="0" fontId="1" fillId="0" borderId="0"/>
    <xf numFmtId="0" fontId="87" fillId="0" borderId="0" applyNumberFormat="0" applyFont="0" applyBorder="0" applyProtection="0"/>
    <xf numFmtId="0" fontId="1" fillId="0" borderId="0"/>
    <xf numFmtId="0" fontId="1" fillId="0" borderId="0"/>
    <xf numFmtId="0" fontId="107" fillId="0" borderId="0"/>
    <xf numFmtId="0" fontId="107" fillId="0" borderId="0"/>
    <xf numFmtId="0" fontId="79" fillId="0" borderId="0"/>
    <xf numFmtId="0" fontId="291" fillId="0" borderId="0">
      <alignment vertical="center"/>
    </xf>
    <xf numFmtId="0" fontId="107" fillId="0" borderId="0"/>
    <xf numFmtId="0" fontId="79" fillId="0" borderId="0"/>
    <xf numFmtId="0" fontId="291" fillId="0" borderId="0">
      <alignment vertical="center"/>
    </xf>
    <xf numFmtId="0" fontId="126" fillId="0" borderId="0"/>
    <xf numFmtId="0" fontId="107" fillId="0" borderId="0"/>
    <xf numFmtId="0" fontId="79" fillId="0" borderId="0"/>
    <xf numFmtId="0" fontId="291" fillId="0" borderId="0">
      <alignment vertical="center"/>
    </xf>
    <xf numFmtId="189" fontId="1" fillId="0" borderId="0"/>
    <xf numFmtId="0" fontId="107" fillId="0" borderId="0"/>
    <xf numFmtId="0" fontId="79" fillId="0" borderId="0"/>
    <xf numFmtId="0" fontId="291" fillId="0" borderId="0">
      <alignment vertical="center"/>
    </xf>
    <xf numFmtId="0" fontId="107" fillId="0" borderId="0"/>
    <xf numFmtId="0" fontId="1" fillId="0" borderId="0"/>
    <xf numFmtId="0" fontId="79" fillId="0" borderId="0"/>
    <xf numFmtId="0" fontId="2" fillId="0" borderId="0"/>
    <xf numFmtId="0" fontId="2" fillId="0" borderId="0"/>
    <xf numFmtId="186" fontId="100" fillId="0" borderId="0"/>
    <xf numFmtId="186" fontId="100" fillId="0" borderId="0"/>
    <xf numFmtId="186" fontId="100" fillId="0" borderId="0"/>
    <xf numFmtId="186" fontId="100" fillId="0" borderId="0"/>
    <xf numFmtId="0" fontId="100" fillId="0" borderId="0"/>
    <xf numFmtId="0" fontId="1" fillId="0" borderId="0"/>
    <xf numFmtId="0" fontId="1" fillId="0" borderId="0"/>
    <xf numFmtId="186" fontId="100"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186" fontId="100"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2"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6" fontId="4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189" fontId="1" fillId="0" borderId="0"/>
    <xf numFmtId="189" fontId="1" fillId="0" borderId="0"/>
    <xf numFmtId="0" fontId="107" fillId="0" borderId="0"/>
    <xf numFmtId="189"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189" fontId="1"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0" fontId="107" fillId="0" borderId="0"/>
    <xf numFmtId="189" fontId="1"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 fillId="0" borderId="0"/>
    <xf numFmtId="0" fontId="107" fillId="0" borderId="0"/>
    <xf numFmtId="189"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 fillId="0" borderId="0"/>
    <xf numFmtId="0" fontId="1" fillId="0" borderId="0"/>
    <xf numFmtId="0" fontId="1" fillId="0" borderId="0"/>
    <xf numFmtId="0"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189"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189"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0" fontId="107" fillId="0" borderId="0"/>
    <xf numFmtId="189"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0" fontId="107" fillId="0" borderId="0"/>
    <xf numFmtId="0"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0" fontId="107" fillId="0" borderId="0"/>
    <xf numFmtId="189" fontId="1" fillId="0" borderId="0"/>
    <xf numFmtId="0" fontId="107" fillId="0" borderId="0"/>
    <xf numFmtId="189"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 fillId="0" borderId="0"/>
    <xf numFmtId="189"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189" fontId="1"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189" fontId="1" fillId="0" borderId="0"/>
    <xf numFmtId="186" fontId="4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6" fontId="4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6" fontId="4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 fillId="0" borderId="0"/>
    <xf numFmtId="186" fontId="4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2" fillId="0" borderId="0"/>
    <xf numFmtId="189" fontId="41" fillId="0" borderId="0"/>
    <xf numFmtId="0" fontId="291" fillId="0" borderId="0">
      <alignment vertical="center"/>
    </xf>
    <xf numFmtId="186" fontId="41" fillId="0" borderId="0"/>
    <xf numFmtId="0" fontId="107" fillId="0" borderId="0"/>
    <xf numFmtId="0" fontId="107" fillId="0" borderId="0"/>
    <xf numFmtId="0" fontId="107" fillId="0" borderId="0"/>
    <xf numFmtId="0" fontId="107" fillId="0" borderId="0"/>
    <xf numFmtId="0" fontId="107" fillId="0" borderId="0"/>
    <xf numFmtId="186" fontId="4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186" fontId="100"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6" fontId="100"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186" fontId="100"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100"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2" fillId="0" borderId="0"/>
    <xf numFmtId="186"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186" fontId="100" fillId="0" borderId="0"/>
    <xf numFmtId="0" fontId="100"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186" fontId="100" fillId="0" borderId="0"/>
    <xf numFmtId="186" fontId="100"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186" fontId="100"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186"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6" fontId="100" fillId="0" borderId="0"/>
    <xf numFmtId="186" fontId="100"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6" fontId="100" fillId="0" borderId="0"/>
    <xf numFmtId="186" fontId="100" fillId="0" borderId="0"/>
    <xf numFmtId="0" fontId="1" fillId="0" borderId="0"/>
    <xf numFmtId="0" fontId="1" fillId="0" borderId="0"/>
    <xf numFmtId="0" fontId="1" fillId="0" borderId="0"/>
    <xf numFmtId="0" fontId="1" fillId="0" borderId="0"/>
    <xf numFmtId="189" fontId="107" fillId="0" borderId="0"/>
    <xf numFmtId="189"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6" fontId="100"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186" fontId="100"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6" fontId="100" fillId="0" borderId="0"/>
    <xf numFmtId="186" fontId="100"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1" fillId="0" borderId="0"/>
    <xf numFmtId="0" fontId="79"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79"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79" fillId="0" borderId="0"/>
    <xf numFmtId="0" fontId="107" fillId="0" borderId="0"/>
    <xf numFmtId="0" fontId="79" fillId="0" borderId="0"/>
    <xf numFmtId="0" fontId="107" fillId="0" borderId="0"/>
    <xf numFmtId="0" fontId="1" fillId="0" borderId="0"/>
    <xf numFmtId="0" fontId="1" fillId="0" borderId="0"/>
    <xf numFmtId="0" fontId="1" fillId="0" borderId="0"/>
    <xf numFmtId="0" fontId="79"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07" fillId="0" borderId="0"/>
    <xf numFmtId="0" fontId="79" fillId="0" borderId="0"/>
    <xf numFmtId="0" fontId="107" fillId="0" borderId="0"/>
    <xf numFmtId="0" fontId="2" fillId="0" borderId="0"/>
    <xf numFmtId="0" fontId="107" fillId="0" borderId="0"/>
    <xf numFmtId="0" fontId="2" fillId="0" borderId="0"/>
    <xf numFmtId="0" fontId="1" fillId="0" borderId="0"/>
    <xf numFmtId="0" fontId="79" fillId="0" borderId="0"/>
    <xf numFmtId="0" fontId="107"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79" fillId="0" borderId="0"/>
    <xf numFmtId="0" fontId="1" fillId="0" borderId="0"/>
    <xf numFmtId="0" fontId="1" fillId="0" borderId="0"/>
    <xf numFmtId="0" fontId="1" fillId="0" borderId="0"/>
    <xf numFmtId="0" fontId="1"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07" fillId="0" borderId="0"/>
    <xf numFmtId="0" fontId="1" fillId="0" borderId="0"/>
    <xf numFmtId="0" fontId="1" fillId="0" borderId="0"/>
    <xf numFmtId="0" fontId="1" fillId="0" borderId="0"/>
    <xf numFmtId="0" fontId="1" fillId="0" borderId="0"/>
    <xf numFmtId="0" fontId="1" fillId="0" borderId="0"/>
    <xf numFmtId="0" fontId="107" fillId="0" borderId="0"/>
    <xf numFmtId="0" fontId="107" fillId="0" borderId="0"/>
    <xf numFmtId="0" fontId="107" fillId="0" borderId="0"/>
    <xf numFmtId="0" fontId="107" fillId="0" borderId="0"/>
    <xf numFmtId="0" fontId="79"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2"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0" fontId="2" fillId="0" borderId="0"/>
    <xf numFmtId="0" fontId="79" fillId="0" borderId="0"/>
    <xf numFmtId="0" fontId="291" fillId="0" borderId="0">
      <alignment vertical="center"/>
    </xf>
    <xf numFmtId="0" fontId="105"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79"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79"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 fillId="0" borderId="0"/>
    <xf numFmtId="0" fontId="79" fillId="0" borderId="0"/>
    <xf numFmtId="0" fontId="1" fillId="0" borderId="0"/>
    <xf numFmtId="0" fontId="107" fillId="0" borderId="0"/>
    <xf numFmtId="0" fontId="107" fillId="0" borderId="0"/>
    <xf numFmtId="0" fontId="107" fillId="0" borderId="0"/>
    <xf numFmtId="0" fontId="107" fillId="0" borderId="0"/>
    <xf numFmtId="0" fontId="10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7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7" fillId="0" borderId="0"/>
    <xf numFmtId="0" fontId="79" fillId="0" borderId="0"/>
    <xf numFmtId="0" fontId="107" fillId="0" borderId="0"/>
    <xf numFmtId="0" fontId="1" fillId="0" borderId="0"/>
    <xf numFmtId="0" fontId="79" fillId="0" borderId="0"/>
    <xf numFmtId="0" fontId="107" fillId="0" borderId="0"/>
    <xf numFmtId="0" fontId="1" fillId="0" borderId="0"/>
    <xf numFmtId="0" fontId="79" fillId="0" borderId="0"/>
    <xf numFmtId="0" fontId="107" fillId="0" borderId="0"/>
    <xf numFmtId="0" fontId="1" fillId="0" borderId="0"/>
    <xf numFmtId="0" fontId="79" fillId="0" borderId="0"/>
    <xf numFmtId="0" fontId="107" fillId="0" borderId="0"/>
    <xf numFmtId="0" fontId="79" fillId="0" borderId="0"/>
    <xf numFmtId="0" fontId="107" fillId="0" borderId="0"/>
    <xf numFmtId="0" fontId="79" fillId="0" borderId="0"/>
    <xf numFmtId="0" fontId="2" fillId="0" borderId="0"/>
    <xf numFmtId="0" fontId="107" fillId="0" borderId="0"/>
    <xf numFmtId="0" fontId="79" fillId="0" borderId="0"/>
    <xf numFmtId="0" fontId="79" fillId="0" borderId="0"/>
    <xf numFmtId="0" fontId="2" fillId="0" borderId="0"/>
    <xf numFmtId="0" fontId="291" fillId="0" borderId="0">
      <alignment vertical="center"/>
    </xf>
    <xf numFmtId="0" fontId="107" fillId="0" borderId="0"/>
    <xf numFmtId="0" fontId="79" fillId="0" borderId="0"/>
    <xf numFmtId="0" fontId="107" fillId="0" borderId="0"/>
    <xf numFmtId="0" fontId="79" fillId="0" borderId="0"/>
    <xf numFmtId="189"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189" fontId="107" fillId="0" borderId="0"/>
    <xf numFmtId="0" fontId="107" fillId="0" borderId="0"/>
    <xf numFmtId="0" fontId="1"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0" fillId="0" borderId="0"/>
    <xf numFmtId="0" fontId="79" fillId="0" borderId="0"/>
    <xf numFmtId="0" fontId="291" fillId="0" borderId="0">
      <alignment vertical="center"/>
    </xf>
    <xf numFmtId="0" fontId="168"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107" fillId="0" borderId="0"/>
    <xf numFmtId="0" fontId="79" fillId="0" borderId="0"/>
    <xf numFmtId="0" fontId="2" fillId="0" borderId="0"/>
    <xf numFmtId="0" fontId="107" fillId="0" borderId="0"/>
    <xf numFmtId="0" fontId="79" fillId="0" borderId="0"/>
    <xf numFmtId="0" fontId="107" fillId="0" borderId="0"/>
    <xf numFmtId="0" fontId="79" fillId="0" borderId="0"/>
    <xf numFmtId="0" fontId="107" fillId="0" borderId="0"/>
    <xf numFmtId="189" fontId="107" fillId="0" borderId="0"/>
    <xf numFmtId="0" fontId="107" fillId="0" borderId="0"/>
    <xf numFmtId="189" fontId="107" fillId="0" borderId="0"/>
    <xf numFmtId="0" fontId="1" fillId="0" borderId="0"/>
    <xf numFmtId="189" fontId="107" fillId="0" borderId="0"/>
    <xf numFmtId="0" fontId="1" fillId="0" borderId="0"/>
    <xf numFmtId="189" fontId="107" fillId="0" borderId="0"/>
    <xf numFmtId="0" fontId="1" fillId="0" borderId="0"/>
    <xf numFmtId="189" fontId="107" fillId="0" borderId="0"/>
    <xf numFmtId="189" fontId="107" fillId="0" borderId="0"/>
    <xf numFmtId="0" fontId="1" fillId="0" borderId="0"/>
    <xf numFmtId="0" fontId="1" fillId="0" borderId="0"/>
    <xf numFmtId="0" fontId="1" fillId="0" borderId="0"/>
    <xf numFmtId="0" fontId="107" fillId="0" borderId="0"/>
    <xf numFmtId="189" fontId="107" fillId="0" borderId="0"/>
    <xf numFmtId="0" fontId="107" fillId="0" borderId="0"/>
    <xf numFmtId="0" fontId="107" fillId="0" borderId="0"/>
    <xf numFmtId="186" fontId="1" fillId="0" borderId="0"/>
    <xf numFmtId="0" fontId="79" fillId="0" borderId="0"/>
    <xf numFmtId="189" fontId="2" fillId="0" borderId="0">
      <alignment vertical="center"/>
    </xf>
    <xf numFmtId="0" fontId="291" fillId="0" borderId="0">
      <alignment vertical="center"/>
    </xf>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6" fontId="1" fillId="0" borderId="0"/>
    <xf numFmtId="0" fontId="2" fillId="0" borderId="0">
      <alignment vertical="center"/>
    </xf>
    <xf numFmtId="0" fontId="2" fillId="0" borderId="0"/>
    <xf numFmtId="0" fontId="291" fillId="0" borderId="0">
      <alignment vertical="center"/>
    </xf>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186" fontId="1" fillId="0" borderId="0"/>
    <xf numFmtId="0" fontId="79" fillId="0" borderId="0"/>
    <xf numFmtId="0" fontId="291" fillId="0" borderId="0">
      <alignment vertical="center"/>
    </xf>
    <xf numFmtId="0" fontId="107" fillId="0" borderId="0"/>
    <xf numFmtId="189" fontId="1" fillId="0" borderId="0"/>
    <xf numFmtId="189" fontId="1" fillId="0" borderId="0"/>
    <xf numFmtId="189" fontId="1"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189" fontId="1" fillId="0" borderId="0"/>
    <xf numFmtId="189" fontId="1" fillId="0" borderId="0"/>
    <xf numFmtId="189" fontId="1"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0" fontId="107" fillId="0" borderId="0"/>
    <xf numFmtId="0" fontId="107" fillId="0" borderId="0"/>
    <xf numFmtId="0" fontId="107" fillId="0" borderId="0"/>
    <xf numFmtId="0" fontId="107" fillId="0" borderId="0"/>
    <xf numFmtId="0" fontId="107" fillId="0" borderId="0"/>
    <xf numFmtId="0" fontId="107" fillId="0" borderId="0"/>
    <xf numFmtId="189" fontId="1" fillId="0" borderId="0"/>
    <xf numFmtId="189" fontId="1" fillId="0" borderId="0"/>
    <xf numFmtId="189" fontId="1" fillId="0" borderId="0"/>
    <xf numFmtId="189" fontId="1" fillId="0" borderId="0"/>
    <xf numFmtId="0" fontId="79"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2" fillId="0" borderId="0"/>
    <xf numFmtId="0" fontId="2" fillId="0" borderId="0">
      <alignment vertical="top"/>
    </xf>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07" fillId="0" borderId="0"/>
    <xf numFmtId="0" fontId="87" fillId="0" borderId="0"/>
    <xf numFmtId="0" fontId="79" fillId="0" borderId="0"/>
    <xf numFmtId="0" fontId="79" fillId="0" borderId="0"/>
    <xf numFmtId="0" fontId="2" fillId="0" borderId="0"/>
    <xf numFmtId="0" fontId="2" fillId="0" borderId="0"/>
    <xf numFmtId="0" fontId="1" fillId="0" borderId="0"/>
    <xf numFmtId="0" fontId="1" fillId="0" borderId="0"/>
    <xf numFmtId="0" fontId="168"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2"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16" fillId="0" borderId="0"/>
    <xf numFmtId="0" fontId="116" fillId="0" borderId="0"/>
    <xf numFmtId="0" fontId="1" fillId="0" borderId="0"/>
    <xf numFmtId="0" fontId="1" fillId="0" borderId="0"/>
    <xf numFmtId="0" fontId="100" fillId="0" borderId="0"/>
    <xf numFmtId="0" fontId="1" fillId="0" borderId="0"/>
    <xf numFmtId="0" fontId="1" fillId="0" borderId="0"/>
    <xf numFmtId="0" fontId="2" fillId="0" borderId="0"/>
    <xf numFmtId="0" fontId="1" fillId="0" borderId="0"/>
    <xf numFmtId="0" fontId="116" fillId="0" borderId="0"/>
    <xf numFmtId="0" fontId="116"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185" fontId="2" fillId="0" borderId="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00"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2" fillId="0" borderId="0"/>
    <xf numFmtId="185" fontId="2" fillId="0" borderId="0" applyFill="0" applyBorder="0" applyAlignment="0" applyProtection="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00"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00" fillId="0" borderId="0"/>
    <xf numFmtId="0" fontId="100" fillId="0" borderId="0"/>
    <xf numFmtId="0" fontId="100" fillId="0" borderId="0"/>
    <xf numFmtId="0" fontId="100" fillId="0" borderId="0"/>
    <xf numFmtId="0" fontId="1" fillId="0" borderId="0"/>
    <xf numFmtId="0" fontId="1"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185" fontId="2" fillId="0" borderId="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2" fillId="0" borderId="0"/>
    <xf numFmtId="186" fontId="100" fillId="0" borderId="0"/>
    <xf numFmtId="186" fontId="100" fillId="0" borderId="0"/>
    <xf numFmtId="0" fontId="79" fillId="0" borderId="0"/>
    <xf numFmtId="0" fontId="291" fillId="0" borderId="0">
      <alignment vertical="center"/>
    </xf>
    <xf numFmtId="186" fontId="100" fillId="0" borderId="0"/>
    <xf numFmtId="0" fontId="1" fillId="0" borderId="0"/>
    <xf numFmtId="0" fontId="79" fillId="0" borderId="0"/>
    <xf numFmtId="0" fontId="2" fillId="0" borderId="0"/>
    <xf numFmtId="186" fontId="100" fillId="0" borderId="0"/>
    <xf numFmtId="0" fontId="1" fillId="0" borderId="0"/>
    <xf numFmtId="0" fontId="79"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100" fillId="0" borderId="0"/>
    <xf numFmtId="0" fontId="1" fillId="0" borderId="0"/>
    <xf numFmtId="0" fontId="79" fillId="0" borderId="0"/>
    <xf numFmtId="189" fontId="1" fillId="0" borderId="0"/>
    <xf numFmtId="0" fontId="1" fillId="0" borderId="0"/>
    <xf numFmtId="0" fontId="79" fillId="0" borderId="0"/>
    <xf numFmtId="189" fontId="1" fillId="0" borderId="0"/>
    <xf numFmtId="0" fontId="1" fillId="0" borderId="0"/>
    <xf numFmtId="0" fontId="79" fillId="0" borderId="0"/>
    <xf numFmtId="189" fontId="1" fillId="0" borderId="0"/>
    <xf numFmtId="0" fontId="1" fillId="0" borderId="0"/>
    <xf numFmtId="0" fontId="79" fillId="0" borderId="0"/>
    <xf numFmtId="189" fontId="1" fillId="0" borderId="0"/>
    <xf numFmtId="0" fontId="79" fillId="0" borderId="0"/>
    <xf numFmtId="189" fontId="1" fillId="0" borderId="0"/>
    <xf numFmtId="0" fontId="79" fillId="0" borderId="0"/>
    <xf numFmtId="189" fontId="1" fillId="0" borderId="0"/>
    <xf numFmtId="0" fontId="79" fillId="0" borderId="0"/>
    <xf numFmtId="0" fontId="292" fillId="0" borderId="0"/>
    <xf numFmtId="186" fontId="41" fillId="0" borderId="0" applyFont="0" applyFill="0" applyBorder="0" applyAlignment="0" applyProtection="0"/>
    <xf numFmtId="189" fontId="100" fillId="0" borderId="0"/>
    <xf numFmtId="189" fontId="100" fillId="0" borderId="0"/>
    <xf numFmtId="189" fontId="41" fillId="0" borderId="0" applyFont="0" applyFill="0" applyBorder="0" applyAlignment="0" applyProtection="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0" fontId="2" fillId="0" borderId="0"/>
    <xf numFmtId="0" fontId="2"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0" fontId="79"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0" fontId="2"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0" fontId="79" fillId="0" borderId="0"/>
    <xf numFmtId="0" fontId="291" fillId="0" borderId="0">
      <alignment vertical="center"/>
    </xf>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6" fontId="100" fillId="0" borderId="0"/>
    <xf numFmtId="189" fontId="100" fillId="0" borderId="0"/>
    <xf numFmtId="189" fontId="100" fillId="0" borderId="0"/>
    <xf numFmtId="0" fontId="79"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6"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6"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00" fillId="0" borderId="0"/>
    <xf numFmtId="186"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6"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6"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6"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1" fillId="0" borderId="0"/>
    <xf numFmtId="0" fontId="1" fillId="0" borderId="0"/>
    <xf numFmtId="0" fontId="1" fillId="0" borderId="0"/>
    <xf numFmtId="0" fontId="1" fillId="0" borderId="0"/>
    <xf numFmtId="0" fontId="1" fillId="0" borderId="0"/>
    <xf numFmtId="0" fontId="1" fillId="0" borderId="0"/>
    <xf numFmtId="189"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189" fontId="100" fillId="0" borderId="0"/>
    <xf numFmtId="189" fontId="100" fillId="0" borderId="0"/>
    <xf numFmtId="189" fontId="100" fillId="0" borderId="0"/>
    <xf numFmtId="189" fontId="100" fillId="0" borderId="0"/>
    <xf numFmtId="189" fontId="100" fillId="0" borderId="0"/>
    <xf numFmtId="189" fontId="100" fillId="0" borderId="0"/>
    <xf numFmtId="0" fontId="79"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79" fillId="0" borderId="0"/>
    <xf numFmtId="189" fontId="1" fillId="0" borderId="0"/>
    <xf numFmtId="0" fontId="79" fillId="0" borderId="0"/>
    <xf numFmtId="189" fontId="1" fillId="0" borderId="0"/>
    <xf numFmtId="0" fontId="79" fillId="0" borderId="0"/>
    <xf numFmtId="189" fontId="1" fillId="0" borderId="0"/>
    <xf numFmtId="0" fontId="79" fillId="0" borderId="0"/>
    <xf numFmtId="189" fontId="1" fillId="0" borderId="0"/>
    <xf numFmtId="0" fontId="79" fillId="0" borderId="0"/>
    <xf numFmtId="189" fontId="1" fillId="0" borderId="0"/>
    <xf numFmtId="0" fontId="79" fillId="0" borderId="0"/>
    <xf numFmtId="189" fontId="100" fillId="0" borderId="0"/>
    <xf numFmtId="0" fontId="79" fillId="0" borderId="0"/>
    <xf numFmtId="189" fontId="100" fillId="0" borderId="0"/>
    <xf numFmtId="0" fontId="79" fillId="0" borderId="0"/>
    <xf numFmtId="0" fontId="2" fillId="0" borderId="0"/>
    <xf numFmtId="189" fontId="100" fillId="0" borderId="0"/>
    <xf numFmtId="0" fontId="79" fillId="0" borderId="0"/>
    <xf numFmtId="0" fontId="292"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1" fillId="0" borderId="0"/>
    <xf numFmtId="0" fontId="1" fillId="0" borderId="0"/>
    <xf numFmtId="186" fontId="41" fillId="0" borderId="0" applyFont="0" applyFill="0" applyBorder="0" applyAlignment="0" applyProtection="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 fillId="0" borderId="0"/>
    <xf numFmtId="0" fontId="1" fillId="0" borderId="0"/>
    <xf numFmtId="0" fontId="1" fillId="0" borderId="0"/>
    <xf numFmtId="0" fontId="79" fillId="0" borderId="0"/>
    <xf numFmtId="0" fontId="291" fillId="0" borderId="0">
      <alignment vertical="center"/>
    </xf>
    <xf numFmtId="0" fontId="6" fillId="0" borderId="0"/>
    <xf numFmtId="186" fontId="41" fillId="0" borderId="0" applyFont="0" applyFill="0" applyBorder="0" applyAlignment="0" applyProtection="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6" fontId="41" fillId="0" borderId="0" applyFont="0" applyFill="0" applyBorder="0" applyAlignment="0" applyProtection="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189" fontId="100" fillId="0" borderId="0"/>
    <xf numFmtId="0" fontId="79" fillId="0" borderId="0"/>
    <xf numFmtId="189" fontId="100" fillId="0" borderId="0"/>
    <xf numFmtId="0" fontId="100" fillId="0" borderId="0"/>
    <xf numFmtId="189" fontId="100" fillId="0" borderId="0"/>
    <xf numFmtId="189" fontId="100" fillId="0" borderId="0"/>
    <xf numFmtId="189" fontId="100" fillId="0" borderId="0"/>
    <xf numFmtId="189" fontId="100" fillId="0" borderId="0"/>
    <xf numFmtId="0" fontId="1" fillId="0" borderId="0"/>
    <xf numFmtId="0" fontId="1" fillId="0" borderId="0"/>
    <xf numFmtId="0" fontId="1" fillId="0" borderId="0"/>
    <xf numFmtId="0" fontId="1" fillId="0" borderId="0"/>
    <xf numFmtId="0" fontId="105" fillId="0" borderId="0"/>
    <xf numFmtId="0" fontId="1" fillId="0" borderId="0"/>
    <xf numFmtId="0" fontId="1" fillId="0" borderId="0"/>
    <xf numFmtId="0" fontId="1" fillId="0" borderId="0"/>
    <xf numFmtId="0" fontId="1" fillId="0" borderId="0"/>
    <xf numFmtId="0" fontId="1" fillId="0" borderId="0"/>
    <xf numFmtId="0" fontId="79" fillId="0" borderId="0"/>
    <xf numFmtId="0" fontId="291" fillId="0" borderId="0">
      <alignment vertical="center"/>
    </xf>
    <xf numFmtId="0" fontId="2" fillId="0" borderId="0"/>
    <xf numFmtId="0" fontId="1" fillId="0" borderId="0"/>
    <xf numFmtId="189" fontId="100" fillId="0" borderId="0"/>
    <xf numFmtId="0" fontId="79" fillId="0" borderId="0"/>
    <xf numFmtId="0" fontId="1" fillId="0" borderId="0"/>
    <xf numFmtId="0" fontId="1" fillId="0" borderId="0"/>
    <xf numFmtId="0" fontId="175" fillId="0" borderId="0"/>
    <xf numFmtId="0" fontId="107" fillId="0" borderId="0"/>
    <xf numFmtId="186" fontId="2" fillId="0" borderId="0"/>
    <xf numFmtId="0" fontId="1" fillId="0" borderId="0"/>
    <xf numFmtId="0" fontId="1" fillId="0" borderId="0"/>
    <xf numFmtId="0" fontId="1" fillId="0" borderId="0"/>
    <xf numFmtId="0" fontId="1" fillId="0" borderId="0"/>
    <xf numFmtId="0" fontId="1" fillId="0" borderId="0"/>
    <xf numFmtId="0" fontId="79" fillId="0" borderId="0"/>
    <xf numFmtId="0" fontId="291" fillId="0" borderId="0">
      <alignment vertical="center"/>
    </xf>
    <xf numFmtId="186" fontId="1" fillId="0" borderId="0"/>
    <xf numFmtId="0" fontId="1" fillId="0" borderId="0"/>
    <xf numFmtId="0" fontId="1" fillId="0" borderId="0"/>
    <xf numFmtId="0" fontId="1" fillId="0" borderId="0"/>
    <xf numFmtId="0" fontId="1" fillId="0" borderId="0"/>
    <xf numFmtId="0" fontId="1" fillId="0" borderId="0"/>
    <xf numFmtId="0" fontId="79" fillId="0" borderId="0"/>
    <xf numFmtId="0" fontId="291" fillId="0" borderId="0">
      <alignment vertical="center"/>
    </xf>
    <xf numFmtId="186"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79" fillId="0" borderId="0"/>
    <xf numFmtId="0" fontId="291" fillId="0" borderId="0">
      <alignment vertical="center"/>
    </xf>
    <xf numFmtId="186" fontId="1" fillId="0" borderId="0"/>
    <xf numFmtId="0" fontId="100" fillId="0" borderId="0"/>
    <xf numFmtId="0" fontId="1" fillId="0" borderId="0"/>
    <xf numFmtId="0" fontId="79" fillId="0" borderId="0"/>
    <xf numFmtId="0" fontId="291" fillId="0" borderId="0">
      <alignment vertical="center"/>
    </xf>
    <xf numFmtId="186" fontId="1" fillId="0" borderId="0"/>
    <xf numFmtId="0" fontId="1" fillId="0" borderId="0"/>
    <xf numFmtId="0" fontId="79" fillId="0" borderId="0"/>
    <xf numFmtId="0" fontId="100" fillId="0" borderId="0"/>
    <xf numFmtId="0" fontId="291" fillId="0" borderId="0">
      <alignment vertical="center"/>
    </xf>
    <xf numFmtId="0" fontId="291" fillId="0" borderId="0">
      <alignment vertical="center"/>
    </xf>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79" fillId="0" borderId="0"/>
    <xf numFmtId="0" fontId="2" fillId="0" borderId="0"/>
    <xf numFmtId="0" fontId="2" fillId="0" borderId="0"/>
    <xf numFmtId="0" fontId="2" fillId="0" borderId="0"/>
    <xf numFmtId="0" fontId="126" fillId="0" borderId="0"/>
    <xf numFmtId="0" fontId="126" fillId="0" borderId="0"/>
    <xf numFmtId="0" fontId="1" fillId="0" borderId="0"/>
    <xf numFmtId="0" fontId="100" fillId="0" borderId="0"/>
    <xf numFmtId="0" fontId="100" fillId="0" borderId="0"/>
    <xf numFmtId="0" fontId="100" fillId="0" borderId="0"/>
    <xf numFmtId="0" fontId="100" fillId="0" borderId="0"/>
    <xf numFmtId="0" fontId="100" fillId="0" borderId="0"/>
    <xf numFmtId="0" fontId="2"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9"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9"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9"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0" fontId="1" fillId="0" borderId="0"/>
    <xf numFmtId="0" fontId="1" fillId="0" borderId="0"/>
    <xf numFmtId="18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 fillId="0" borderId="0"/>
    <xf numFmtId="0" fontId="1" fillId="0" borderId="0"/>
    <xf numFmtId="0" fontId="1" fillId="0" borderId="0"/>
    <xf numFmtId="0" fontId="2" fillId="0" borderId="0"/>
    <xf numFmtId="0" fontId="79" fillId="0" borderId="0"/>
    <xf numFmtId="0" fontId="1" fillId="0" borderId="0"/>
    <xf numFmtId="0" fontId="1" fillId="0" borderId="0"/>
    <xf numFmtId="0" fontId="1" fillId="0" borderId="0"/>
    <xf numFmtId="0" fontId="79" fillId="0" borderId="0"/>
    <xf numFmtId="0"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07" fillId="0" borderId="0"/>
    <xf numFmtId="0" fontId="1" fillId="0" borderId="0"/>
    <xf numFmtId="0" fontId="1" fillId="0" borderId="0"/>
    <xf numFmtId="0" fontId="113" fillId="0" borderId="0"/>
    <xf numFmtId="0" fontId="10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0" fontId="1" fillId="0" borderId="0"/>
    <xf numFmtId="0" fontId="1" fillId="0" borderId="0"/>
    <xf numFmtId="189"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189"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189" fontId="1" fillId="0" borderId="0"/>
    <xf numFmtId="0" fontId="1" fillId="0" borderId="0"/>
    <xf numFmtId="0" fontId="1" fillId="0" borderId="0"/>
    <xf numFmtId="0" fontId="1" fillId="0" borderId="0"/>
    <xf numFmtId="0" fontId="1" fillId="0" borderId="0"/>
    <xf numFmtId="0" fontId="1" fillId="0" borderId="0"/>
    <xf numFmtId="0" fontId="2" fillId="0" borderId="0"/>
    <xf numFmtId="189" fontId="1" fillId="0" borderId="0"/>
    <xf numFmtId="0" fontId="1" fillId="0" borderId="0"/>
    <xf numFmtId="0" fontId="1" fillId="0" borderId="0"/>
    <xf numFmtId="0" fontId="1" fillId="0" borderId="0"/>
    <xf numFmtId="0" fontId="1" fillId="0" borderId="0"/>
    <xf numFmtId="0" fontId="1" fillId="0" borderId="0"/>
    <xf numFmtId="0" fontId="291" fillId="0" borderId="0">
      <alignment vertical="center"/>
    </xf>
    <xf numFmtId="0" fontId="169"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6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2" fillId="0" borderId="0"/>
    <xf numFmtId="18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189"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169" fontId="2" fillId="0" borderId="0"/>
    <xf numFmtId="0" fontId="291" fillId="0" borderId="0">
      <alignment vertical="center"/>
    </xf>
    <xf numFmtId="169" fontId="2" fillId="0" borderId="0"/>
    <xf numFmtId="0" fontId="79" fillId="0" borderId="0"/>
    <xf numFmtId="0" fontId="79" fillId="0" borderId="0"/>
    <xf numFmtId="0" fontId="29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100" fillId="0" borderId="0"/>
    <xf numFmtId="186" fontId="100" fillId="0" borderId="0"/>
    <xf numFmtId="0" fontId="2" fillId="0" borderId="0">
      <alignment vertical="center"/>
    </xf>
    <xf numFmtId="0" fontId="291" fillId="0" borderId="0">
      <alignment vertical="center"/>
    </xf>
    <xf numFmtId="0" fontId="1" fillId="0" borderId="0"/>
    <xf numFmtId="0" fontId="2" fillId="0" borderId="0"/>
    <xf numFmtId="0" fontId="2" fillId="0" borderId="0">
      <alignment vertical="center"/>
    </xf>
    <xf numFmtId="0" fontId="1" fillId="0" borderId="0"/>
    <xf numFmtId="0" fontId="100" fillId="0" borderId="0"/>
    <xf numFmtId="0" fontId="2" fillId="0" borderId="0">
      <alignment vertical="top"/>
    </xf>
    <xf numFmtId="186" fontId="100" fillId="0" borderId="0"/>
    <xf numFmtId="186" fontId="100" fillId="0" borderId="0"/>
    <xf numFmtId="0" fontId="291" fillId="0" borderId="0">
      <alignment vertical="center"/>
    </xf>
    <xf numFmtId="186" fontId="100" fillId="0" borderId="0"/>
    <xf numFmtId="186" fontId="100" fillId="0" borderId="0"/>
    <xf numFmtId="0" fontId="291" fillId="0" borderId="0">
      <alignment vertical="center"/>
    </xf>
    <xf numFmtId="186" fontId="100" fillId="0" borderId="0"/>
    <xf numFmtId="186" fontId="100" fillId="0" borderId="0"/>
    <xf numFmtId="0" fontId="79" fillId="0" borderId="0"/>
    <xf numFmtId="0" fontId="1" fillId="0" borderId="0"/>
    <xf numFmtId="0" fontId="1" fillId="0" borderId="0"/>
    <xf numFmtId="0" fontId="1" fillId="0" borderId="0"/>
    <xf numFmtId="0" fontId="291" fillId="0" borderId="0">
      <alignment vertical="center"/>
    </xf>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1" fillId="0" borderId="0"/>
    <xf numFmtId="0" fontId="2" fillId="0" borderId="0"/>
    <xf numFmtId="0" fontId="1" fillId="0" borderId="0"/>
    <xf numFmtId="0" fontId="2" fillId="0" borderId="0"/>
    <xf numFmtId="0" fontId="1" fillId="0" borderId="0"/>
    <xf numFmtId="0" fontId="2" fillId="0" borderId="0"/>
    <xf numFmtId="0" fontId="1" fillId="0" borderId="0"/>
    <xf numFmtId="0" fontId="2" fillId="0" borderId="0"/>
    <xf numFmtId="0" fontId="1" fillId="0" borderId="0"/>
    <xf numFmtId="0" fontId="2" fillId="0" borderId="0"/>
    <xf numFmtId="0" fontId="29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9" fillId="0" borderId="0"/>
    <xf numFmtId="0" fontId="2" fillId="0" borderId="0"/>
    <xf numFmtId="0" fontId="291" fillId="0" borderId="0">
      <alignment vertical="center"/>
    </xf>
    <xf numFmtId="0" fontId="79" fillId="0" borderId="0"/>
    <xf numFmtId="0" fontId="29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alignment vertical="center"/>
    </xf>
    <xf numFmtId="0" fontId="291" fillId="0" borderId="0">
      <alignment vertical="center"/>
    </xf>
    <xf numFmtId="0" fontId="1" fillId="0" borderId="0"/>
    <xf numFmtId="0" fontId="2" fillId="0" borderId="0"/>
    <xf numFmtId="0" fontId="2" fillId="0" borderId="0">
      <alignment vertical="top"/>
    </xf>
    <xf numFmtId="0" fontId="2" fillId="0" borderId="0">
      <alignment vertical="top"/>
    </xf>
    <xf numFmtId="0" fontId="1" fillId="0" borderId="0"/>
    <xf numFmtId="0" fontId="291" fillId="0" borderId="0">
      <alignment vertical="center"/>
    </xf>
    <xf numFmtId="0" fontId="1" fillId="0" borderId="0"/>
    <xf numFmtId="0" fontId="291" fillId="0" borderId="0">
      <alignment vertical="center"/>
    </xf>
    <xf numFmtId="0" fontId="1" fillId="0" borderId="0"/>
    <xf numFmtId="0" fontId="2" fillId="0" borderId="0"/>
    <xf numFmtId="0" fontId="1" fillId="0" borderId="0"/>
    <xf numFmtId="0" fontId="1" fillId="0" borderId="0"/>
    <xf numFmtId="0" fontId="1" fillId="0" borderId="0"/>
    <xf numFmtId="0" fontId="291" fillId="0" borderId="0">
      <alignment vertical="center"/>
    </xf>
    <xf numFmtId="0" fontId="1" fillId="0" borderId="0"/>
    <xf numFmtId="0" fontId="1" fillId="0" borderId="0"/>
    <xf numFmtId="0" fontId="2" fillId="0" borderId="0"/>
    <xf numFmtId="0" fontId="1" fillId="0" borderId="0"/>
    <xf numFmtId="189" fontId="1" fillId="0" borderId="0"/>
    <xf numFmtId="0" fontId="1" fillId="0" borderId="0"/>
    <xf numFmtId="0" fontId="2"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169" fontId="79" fillId="0" borderId="0"/>
    <xf numFmtId="0" fontId="79" fillId="0" borderId="0"/>
    <xf numFmtId="0" fontId="2" fillId="0" borderId="0">
      <alignment vertical="top"/>
    </xf>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86" fontId="100" fillId="0" borderId="0"/>
    <xf numFmtId="186" fontId="2" fillId="0" borderId="0">
      <alignment vertical="center"/>
    </xf>
    <xf numFmtId="0" fontId="2"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9" fontId="79" fillId="0" borderId="0"/>
    <xf numFmtId="0" fontId="79" fillId="0" borderId="0"/>
    <xf numFmtId="0" fontId="2" fillId="0" borderId="0">
      <alignment vertical="top"/>
    </xf>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00" fillId="0" borderId="0"/>
    <xf numFmtId="0" fontId="79" fillId="0" borderId="0"/>
    <xf numFmtId="186" fontId="10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169" fontId="79" fillId="0" borderId="0"/>
    <xf numFmtId="0" fontId="79" fillId="0" borderId="0"/>
    <xf numFmtId="0" fontId="113" fillId="0" borderId="0"/>
    <xf numFmtId="0" fontId="2" fillId="0" borderId="0">
      <alignment vertical="top"/>
    </xf>
    <xf numFmtId="0" fontId="2" fillId="0" borderId="0">
      <alignment vertical="top"/>
    </xf>
    <xf numFmtId="0" fontId="1" fillId="0" borderId="0"/>
    <xf numFmtId="0" fontId="1" fillId="0" borderId="0"/>
    <xf numFmtId="0" fontId="1" fillId="0" borderId="0"/>
    <xf numFmtId="0" fontId="1" fillId="0" borderId="0"/>
    <xf numFmtId="0" fontId="1" fillId="0" borderId="0"/>
    <xf numFmtId="0" fontId="1" fillId="0" borderId="0"/>
    <xf numFmtId="0" fontId="7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 fontId="119" fillId="0" borderId="262">
      <alignment horizontal="right" vertical="center"/>
    </xf>
    <xf numFmtId="0" fontId="119" fillId="0" borderId="262"/>
    <xf numFmtId="0" fontId="118" fillId="13" borderId="0" applyNumberFormat="0" applyFont="0" applyBorder="0" applyAlignment="0" applyProtection="0"/>
    <xf numFmtId="0" fontId="118" fillId="13" borderId="0" applyNumberFormat="0" applyFont="0" applyBorder="0" applyAlignment="0" applyProtection="0"/>
    <xf numFmtId="0" fontId="293" fillId="7" borderId="0"/>
    <xf numFmtId="258" fontId="6" fillId="0" borderId="0" applyFont="0" applyFill="0" applyBorder="0" applyAlignment="0" applyProtection="0"/>
    <xf numFmtId="259" fontId="6" fillId="0" borderId="0" applyFont="0" applyFill="0" applyBorder="0" applyAlignment="0" applyProtection="0"/>
    <xf numFmtId="260" fontId="6" fillId="0" borderId="0" applyFont="0" applyFill="0" applyBorder="0" applyAlignment="0" applyProtection="0"/>
    <xf numFmtId="261" fontId="6" fillId="0" borderId="0" applyFont="0" applyFill="0" applyBorder="0" applyAlignment="0" applyProtection="0"/>
    <xf numFmtId="0" fontId="2" fillId="0" borderId="0"/>
    <xf numFmtId="0" fontId="2" fillId="0" borderId="0"/>
    <xf numFmtId="0" fontId="2" fillId="67" borderId="279" applyNumberFormat="0" applyFont="0" applyAlignment="0" applyProtection="0"/>
    <xf numFmtId="0" fontId="2" fillId="67" borderId="279" applyNumberFormat="0" applyFont="0" applyAlignment="0" applyProtection="0"/>
    <xf numFmtId="0" fontId="2" fillId="67" borderId="279" applyNumberFormat="0" applyFont="0" applyAlignment="0" applyProtection="0"/>
    <xf numFmtId="0" fontId="2" fillId="67" borderId="279" applyNumberFormat="0" applyFont="0" applyAlignment="0" applyProtection="0"/>
    <xf numFmtId="0" fontId="107" fillId="60" borderId="249"/>
    <xf numFmtId="0" fontId="100" fillId="150" borderId="244"/>
    <xf numFmtId="0" fontId="107" fillId="60" borderId="249"/>
    <xf numFmtId="0" fontId="100" fillId="150" borderId="244"/>
    <xf numFmtId="0" fontId="107" fillId="60" borderId="249"/>
    <xf numFmtId="0" fontId="100" fillId="150" borderId="244"/>
    <xf numFmtId="0" fontId="107" fillId="60" borderId="249"/>
    <xf numFmtId="0" fontId="100" fillId="150" borderId="244"/>
    <xf numFmtId="0" fontId="107" fillId="60" borderId="249"/>
    <xf numFmtId="0" fontId="1" fillId="150" borderId="244"/>
    <xf numFmtId="0" fontId="1" fillId="150" borderId="244"/>
    <xf numFmtId="0" fontId="1" fillId="150" borderId="244"/>
    <xf numFmtId="0" fontId="1" fillId="150" borderId="244"/>
    <xf numFmtId="0" fontId="1" fillId="150" borderId="244"/>
    <xf numFmtId="0" fontId="107" fillId="60" borderId="249"/>
    <xf numFmtId="0" fontId="100" fillId="150" borderId="244"/>
    <xf numFmtId="0" fontId="107" fillId="60" borderId="249"/>
    <xf numFmtId="0" fontId="100" fillId="150" borderId="244"/>
    <xf numFmtId="0" fontId="107" fillId="60" borderId="249"/>
    <xf numFmtId="0" fontId="100" fillId="150" borderId="244"/>
    <xf numFmtId="0" fontId="107" fillId="60" borderId="249"/>
    <xf numFmtId="0" fontId="107" fillId="60" borderId="249"/>
    <xf numFmtId="0" fontId="114" fillId="50" borderId="249" applyNumberFormat="0" applyFont="0" applyAlignment="0" applyProtection="0"/>
    <xf numFmtId="0" fontId="41" fillId="50" borderId="249" applyNumberFormat="0" applyFont="0" applyAlignment="0" applyProtection="0"/>
    <xf numFmtId="0" fontId="41" fillId="50" borderId="249" applyNumberFormat="0" applyFont="0" applyAlignment="0" applyProtection="0"/>
    <xf numFmtId="0" fontId="2" fillId="50" borderId="249" applyNumberFormat="0" applyFont="0" applyAlignment="0" applyProtection="0"/>
    <xf numFmtId="0" fontId="2" fillId="50" borderId="249" applyNumberFormat="0" applyFont="0" applyAlignment="0" applyProtection="0"/>
    <xf numFmtId="0" fontId="114" fillId="60" borderId="249" applyNumberFormat="0" applyFont="0" applyAlignment="0" applyProtection="0"/>
    <xf numFmtId="186" fontId="41" fillId="71" borderId="253" applyNumberFormat="0" applyFont="0" applyAlignment="0" applyProtection="0"/>
    <xf numFmtId="0" fontId="196" fillId="5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96" fillId="50" borderId="249" applyNumberFormat="0" applyFont="0" applyAlignment="0" applyProtection="0"/>
    <xf numFmtId="0" fontId="196" fillId="5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186" fontId="41" fillId="71" borderId="253"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0" fontId="114" fillId="60" borderId="249" applyNumberFormat="0" applyFont="0" applyAlignment="0" applyProtection="0"/>
    <xf numFmtId="186" fontId="41" fillId="71" borderId="253" applyNumberFormat="0" applyFont="0" applyAlignment="0" applyProtection="0"/>
    <xf numFmtId="186" fontId="41" fillId="71" borderId="253" applyNumberFormat="0" applyFont="0" applyAlignment="0" applyProtection="0"/>
    <xf numFmtId="186" fontId="41" fillId="71" borderId="253" applyNumberFormat="0" applyFont="0" applyAlignment="0" applyProtection="0"/>
    <xf numFmtId="186" fontId="41" fillId="71" borderId="253" applyNumberFormat="0" applyFont="0" applyAlignment="0" applyProtection="0"/>
    <xf numFmtId="186" fontId="41" fillId="71" borderId="253" applyNumberFormat="0" applyFont="0" applyAlignment="0" applyProtection="0"/>
    <xf numFmtId="0" fontId="41" fillId="50" borderId="249" applyNumberFormat="0" applyFont="0" applyAlignment="0" applyProtection="0"/>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79" fillId="50" borderId="249" applyNumberFormat="0" applyFont="0" applyAlignment="0" applyProtection="0"/>
    <xf numFmtId="0" fontId="2" fillId="60" borderId="249"/>
    <xf numFmtId="186" fontId="2" fillId="71" borderId="280" applyNumberFormat="0" applyFont="0" applyAlignment="0" applyProtection="0"/>
    <xf numFmtId="0" fontId="41" fillId="71" borderId="253" applyNumberFormat="0" applyFont="0" applyAlignment="0" applyProtection="0"/>
    <xf numFmtId="0" fontId="41" fillId="71" borderId="253" applyNumberFormat="0" applyFont="0" applyAlignment="0" applyProtection="0"/>
    <xf numFmtId="0" fontId="41" fillId="71" borderId="253" applyNumberFormat="0" applyFont="0" applyAlignment="0" applyProtection="0"/>
    <xf numFmtId="186" fontId="2" fillId="71" borderId="280" applyNumberFormat="0" applyFont="0" applyAlignment="0" applyProtection="0"/>
    <xf numFmtId="186" fontId="2" fillId="71" borderId="280" applyNumberFormat="0" applyFont="0" applyAlignment="0" applyProtection="0"/>
    <xf numFmtId="186" fontId="2" fillId="71" borderId="280" applyNumberFormat="0" applyFont="0" applyAlignment="0" applyProtection="0"/>
    <xf numFmtId="186" fontId="2" fillId="71" borderId="280" applyNumberFormat="0" applyFont="0" applyAlignment="0" applyProtection="0"/>
    <xf numFmtId="186" fontId="2" fillId="71" borderId="280" applyNumberFormat="0" applyFont="0" applyAlignment="0" applyProtection="0"/>
    <xf numFmtId="0" fontId="2" fillId="60" borderId="249"/>
    <xf numFmtId="0" fontId="2" fillId="60" borderId="249"/>
    <xf numFmtId="0" fontId="107" fillId="60" borderId="249"/>
    <xf numFmtId="0" fontId="107" fillId="60" borderId="249"/>
    <xf numFmtId="0" fontId="107" fillId="60" borderId="249"/>
    <xf numFmtId="0" fontId="107" fillId="60" borderId="249"/>
    <xf numFmtId="0" fontId="107" fillId="60" borderId="249"/>
    <xf numFmtId="0" fontId="294" fillId="150" borderId="244"/>
    <xf numFmtId="0" fontId="107" fillId="60" borderId="249"/>
    <xf numFmtId="0" fontId="294" fillId="150" borderId="244"/>
    <xf numFmtId="0" fontId="107" fillId="60" borderId="249"/>
    <xf numFmtId="0" fontId="107" fillId="60" borderId="249"/>
    <xf numFmtId="0" fontId="294" fillId="150" borderId="244"/>
    <xf numFmtId="0" fontId="107" fillId="60" borderId="249"/>
    <xf numFmtId="0" fontId="107" fillId="60" borderId="249"/>
    <xf numFmtId="0" fontId="107" fillId="60" borderId="249"/>
    <xf numFmtId="0" fontId="107" fillId="60" borderId="249"/>
    <xf numFmtId="0" fontId="79" fillId="60" borderId="249"/>
    <xf numFmtId="0" fontId="100" fillId="150" borderId="244"/>
    <xf numFmtId="0" fontId="41" fillId="50" borderId="249" applyNumberFormat="0" applyFont="0" applyAlignment="0" applyProtection="0"/>
    <xf numFmtId="0" fontId="41" fillId="50" borderId="249" applyNumberFormat="0" applyFont="0" applyAlignment="0" applyProtection="0"/>
    <xf numFmtId="0" fontId="41" fillId="50" borderId="249" applyNumberFormat="0" applyFont="0" applyAlignment="0" applyProtection="0"/>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0" fillId="150" borderId="244"/>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7" fillId="60" borderId="249"/>
    <xf numFmtId="0" fontId="100" fillId="150" borderId="244"/>
    <xf numFmtId="0" fontId="294" fillId="150" borderId="244"/>
    <xf numFmtId="0" fontId="107" fillId="60" borderId="249"/>
    <xf numFmtId="0" fontId="294" fillId="150" borderId="244"/>
    <xf numFmtId="0" fontId="107" fillId="60" borderId="249"/>
    <xf numFmtId="0" fontId="294" fillId="150" borderId="244"/>
    <xf numFmtId="0" fontId="107" fillId="60" borderId="249"/>
    <xf numFmtId="0" fontId="107" fillId="60" borderId="249"/>
    <xf numFmtId="0" fontId="107" fillId="60" borderId="249"/>
    <xf numFmtId="0" fontId="41" fillId="50" borderId="249" applyNumberFormat="0" applyFont="0" applyAlignment="0" applyProtection="0"/>
    <xf numFmtId="0" fontId="117" fillId="20" borderId="244" applyNumberFormat="0" applyFont="0" applyAlignment="0" applyProtection="0"/>
    <xf numFmtId="0" fontId="107" fillId="60" borderId="249"/>
    <xf numFmtId="0" fontId="100" fillId="150" borderId="244"/>
    <xf numFmtId="0" fontId="107" fillId="60" borderId="249"/>
    <xf numFmtId="0" fontId="100" fillId="150" borderId="244"/>
    <xf numFmtId="0" fontId="107" fillId="60" borderId="249"/>
    <xf numFmtId="0" fontId="100" fillId="150" borderId="244"/>
    <xf numFmtId="0" fontId="119" fillId="0" borderId="0">
      <alignment horizontal="left"/>
    </xf>
    <xf numFmtId="37" fontId="295" fillId="60" borderId="17" applyFill="0" applyBorder="0" applyProtection="0"/>
    <xf numFmtId="262" fontId="129" fillId="0" borderId="0" applyFill="0" applyBorder="0">
      <alignment vertical="center"/>
    </xf>
    <xf numFmtId="263" fontId="296" fillId="0" borderId="0" applyNumberFormat="0" applyFill="0" applyBorder="0" applyAlignment="0" applyProtection="0"/>
    <xf numFmtId="171" fontId="297" fillId="0" borderId="0" applyFont="0" applyFill="0" applyBorder="0" applyAlignment="0" applyProtection="0"/>
    <xf numFmtId="171" fontId="298" fillId="0" borderId="0"/>
    <xf numFmtId="0" fontId="151" fillId="0" borderId="0"/>
    <xf numFmtId="0" fontId="201" fillId="0" borderId="0"/>
    <xf numFmtId="0" fontId="201" fillId="0" borderId="0"/>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300" fillId="59" borderId="281" applyNumberFormat="0" applyAlignment="0" applyProtection="0"/>
    <xf numFmtId="0" fontId="299" fillId="7" borderId="281"/>
    <xf numFmtId="0" fontId="299" fillId="59" borderId="281" applyNumberFormat="0" applyAlignment="0" applyProtection="0"/>
    <xf numFmtId="0" fontId="299" fillId="59" borderId="281" applyNumberFormat="0" applyAlignment="0" applyProtection="0"/>
    <xf numFmtId="186" fontId="299" fillId="64" borderId="281" applyNumberFormat="0" applyAlignment="0" applyProtection="0"/>
    <xf numFmtId="0" fontId="299" fillId="59"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299" fillId="59" borderId="281" applyNumberFormat="0" applyAlignment="0" applyProtection="0"/>
    <xf numFmtId="0" fontId="299" fillId="59" borderId="281" applyNumberFormat="0" applyAlignment="0" applyProtection="0"/>
    <xf numFmtId="0" fontId="300" fillId="7" borderId="281" applyNumberFormat="0" applyAlignment="0" applyProtection="0"/>
    <xf numFmtId="186" fontId="299" fillId="64"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0" fontId="300" fillId="7" borderId="281" applyNumberFormat="0" applyAlignment="0" applyProtection="0"/>
    <xf numFmtId="186" fontId="299" fillId="64" borderId="281" applyNumberFormat="0" applyAlignment="0" applyProtection="0"/>
    <xf numFmtId="186" fontId="299" fillId="64" borderId="281" applyNumberFormat="0" applyAlignment="0" applyProtection="0"/>
    <xf numFmtId="186" fontId="299" fillId="64" borderId="281" applyNumberFormat="0" applyAlignment="0" applyProtection="0"/>
    <xf numFmtId="186" fontId="299" fillId="64" borderId="281" applyNumberFormat="0" applyAlignment="0" applyProtection="0"/>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59" borderId="281" applyNumberFormat="0" applyAlignment="0" applyProtection="0"/>
    <xf numFmtId="0" fontId="299" fillId="64" borderId="281" applyNumberFormat="0" applyAlignment="0" applyProtection="0"/>
    <xf numFmtId="0" fontId="299" fillId="125" borderId="281" applyNumberFormat="0" applyAlignment="0" applyProtection="0"/>
    <xf numFmtId="186" fontId="299" fillId="125" borderId="281" applyNumberFormat="0" applyAlignment="0" applyProtection="0"/>
    <xf numFmtId="186" fontId="299" fillId="125" borderId="281" applyNumberFormat="0" applyAlignment="0" applyProtection="0"/>
    <xf numFmtId="186" fontId="299" fillId="125" borderId="281" applyNumberFormat="0" applyAlignment="0" applyProtection="0"/>
    <xf numFmtId="186" fontId="299" fillId="125" borderId="281" applyNumberFormat="0" applyAlignment="0" applyProtection="0"/>
    <xf numFmtId="186" fontId="299" fillId="125" borderId="281" applyNumberFormat="0" applyAlignment="0" applyProtection="0"/>
    <xf numFmtId="186" fontId="299" fillId="125" borderId="281" applyNumberFormat="0" applyAlignment="0" applyProtection="0"/>
    <xf numFmtId="0" fontId="299" fillId="64" borderId="281" applyNumberFormat="0" applyAlignment="0" applyProtection="0"/>
    <xf numFmtId="0" fontId="299" fillId="64" borderId="281" applyNumberFormat="0" applyAlignment="0" applyProtection="0"/>
    <xf numFmtId="0" fontId="299" fillId="7" borderId="281"/>
    <xf numFmtId="0" fontId="299" fillId="7" borderId="281"/>
    <xf numFmtId="0" fontId="299" fillId="7" borderId="281"/>
    <xf numFmtId="0" fontId="299" fillId="7" borderId="281"/>
    <xf numFmtId="0" fontId="299" fillId="7" borderId="281"/>
    <xf numFmtId="0" fontId="301" fillId="4" borderId="73"/>
    <xf numFmtId="0" fontId="299" fillId="7" borderId="281"/>
    <xf numFmtId="0" fontId="301" fillId="4" borderId="73"/>
    <xf numFmtId="0" fontId="299" fillId="7" borderId="281"/>
    <xf numFmtId="0" fontId="299" fillId="7" borderId="281"/>
    <xf numFmtId="0" fontId="301" fillId="4" borderId="73"/>
    <xf numFmtId="0" fontId="299" fillId="7" borderId="281"/>
    <xf numFmtId="0" fontId="299" fillId="7" borderId="281"/>
    <xf numFmtId="0" fontId="299" fillId="7" borderId="281"/>
    <xf numFmtId="0" fontId="299" fillId="7" borderId="281"/>
    <xf numFmtId="0" fontId="299" fillId="7" borderId="281"/>
    <xf numFmtId="0" fontId="299" fillId="59" borderId="281" applyNumberFormat="0" applyAlignment="0" applyProtection="0"/>
    <xf numFmtId="0" fontId="299" fillId="59" borderId="281" applyNumberFormat="0" applyAlignment="0" applyProtection="0"/>
    <xf numFmtId="0" fontId="299" fillId="59" borderId="281" applyNumberFormat="0" applyAlignment="0" applyProtection="0"/>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299" fillId="7" borderId="281"/>
    <xf numFmtId="0" fontId="301" fillId="4" borderId="73"/>
    <xf numFmtId="0" fontId="299" fillId="7" borderId="281"/>
    <xf numFmtId="0" fontId="301" fillId="4" borderId="73"/>
    <xf numFmtId="0" fontId="299" fillId="7" borderId="281"/>
    <xf numFmtId="0" fontId="301" fillId="4" borderId="73"/>
    <xf numFmtId="0" fontId="299" fillId="7" borderId="281"/>
    <xf numFmtId="0" fontId="299" fillId="7" borderId="281"/>
    <xf numFmtId="0" fontId="302" fillId="126" borderId="241"/>
    <xf numFmtId="0" fontId="299" fillId="7" borderId="281"/>
    <xf numFmtId="0" fontId="299" fillId="59" borderId="281" applyNumberFormat="0" applyAlignment="0" applyProtection="0"/>
    <xf numFmtId="0" fontId="303" fillId="18" borderId="241" applyNumberFormat="0" applyAlignment="0" applyProtection="0"/>
    <xf numFmtId="0" fontId="299" fillId="7" borderId="281"/>
    <xf numFmtId="0" fontId="299" fillId="7" borderId="281"/>
    <xf numFmtId="0" fontId="299" fillId="7" borderId="281"/>
    <xf numFmtId="40" fontId="304" fillId="4" borderId="0">
      <alignment horizontal="right"/>
    </xf>
    <xf numFmtId="0" fontId="305" fillId="4" borderId="0">
      <alignment horizontal="right"/>
    </xf>
    <xf numFmtId="0" fontId="306" fillId="4" borderId="42"/>
    <xf numFmtId="0" fontId="306" fillId="0" borderId="0" applyBorder="0">
      <alignment horizontal="centerContinuous"/>
    </xf>
    <xf numFmtId="0" fontId="307" fillId="0" borderId="0" applyBorder="0">
      <alignment horizontal="centerContinuous"/>
    </xf>
    <xf numFmtId="0" fontId="160" fillId="144" borderId="257"/>
    <xf numFmtId="264" fontId="2" fillId="0" borderId="0" applyFont="0" applyFill="0" applyBorder="0" applyProtection="0">
      <alignment horizontal="right"/>
    </xf>
    <xf numFmtId="264" fontId="2" fillId="0" borderId="0" applyFont="0" applyFill="0" applyBorder="0" applyProtection="0">
      <alignment horizontal="right"/>
    </xf>
    <xf numFmtId="264" fontId="2" fillId="0" borderId="0" applyFont="0" applyFill="0" applyBorder="0" applyProtection="0">
      <alignment horizontal="right"/>
    </xf>
    <xf numFmtId="264" fontId="2" fillId="0" borderId="0" applyFont="0" applyFill="0" applyBorder="0" applyProtection="0">
      <alignment horizontal="right"/>
    </xf>
    <xf numFmtId="1" fontId="308" fillId="0" borderId="0" applyProtection="0">
      <alignment horizontal="right" vertical="center"/>
    </xf>
    <xf numFmtId="265" fontId="119" fillId="151" borderId="262">
      <alignment horizontal="right" vertical="center"/>
    </xf>
    <xf numFmtId="9" fontId="162" fillId="0" borderId="0" applyFont="0" applyFill="0" applyBorder="0" applyAlignment="0" applyProtection="0"/>
    <xf numFmtId="9" fontId="309" fillId="0" borderId="0" applyFont="0" applyFill="0" applyBorder="0" applyAlignment="0" applyProtection="0"/>
    <xf numFmtId="170" fontId="162" fillId="0" borderId="0" applyFont="0" applyFill="0" applyBorder="0" applyAlignment="0" applyProtection="0"/>
    <xf numFmtId="170" fontId="163" fillId="0" borderId="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xf numFmtId="9" fontId="10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79" fillId="0" borderId="0" applyFont="0" applyFill="0" applyBorder="0" applyAlignment="0" applyProtection="0"/>
    <xf numFmtId="9" fontId="79"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00" fillId="0" borderId="0" applyFont="0" applyFill="0" applyBorder="0" applyAlignment="0" applyProtection="0"/>
    <xf numFmtId="9" fontId="100" fillId="0" borderId="0" applyFont="0" applyFill="0" applyBorder="0" applyAlignment="0" applyProtection="0"/>
    <xf numFmtId="9" fontId="2"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79" fillId="0" borderId="0"/>
    <xf numFmtId="9" fontId="100" fillId="0" borderId="0" applyFont="0" applyFill="0" applyBorder="0" applyAlignment="0" applyProtection="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2"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2" fillId="0" borderId="0"/>
    <xf numFmtId="9" fontId="2" fillId="0" borderId="0"/>
    <xf numFmtId="9" fontId="2" fillId="0" borderId="0" applyFont="0" applyFill="0" applyBorder="0" applyAlignment="0" applyProtection="0"/>
    <xf numFmtId="9" fontId="66" fillId="0" borderId="0" applyFont="0" applyFill="0" applyBorder="0" applyAlignment="0" applyProtection="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2" fillId="0" borderId="0" applyFont="0" applyFill="0" applyBorder="0" applyAlignment="0" applyProtection="0"/>
    <xf numFmtId="9" fontId="100" fillId="0" borderId="0" applyFont="0" applyFill="0" applyBorder="0" applyAlignment="0" applyProtection="0"/>
    <xf numFmtId="9" fontId="2" fillId="0" borderId="0" applyFont="0" applyFill="0" applyBorder="0" applyAlignment="0" applyProtection="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2" fillId="0" borderId="0"/>
    <xf numFmtId="9" fontId="79" fillId="0" borderId="0"/>
    <xf numFmtId="9" fontId="2" fillId="0" borderId="0"/>
    <xf numFmtId="9" fontId="79" fillId="0" borderId="0"/>
    <xf numFmtId="9" fontId="79" fillId="0" borderId="0"/>
    <xf numFmtId="9" fontId="79" fillId="0" borderId="0"/>
    <xf numFmtId="9" fontId="100" fillId="0" borderId="0" applyFont="0" applyFill="0" applyBorder="0" applyAlignment="0" applyProtection="0"/>
    <xf numFmtId="9" fontId="100" fillId="0" borderId="0" applyFont="0" applyFill="0" applyBorder="0" applyAlignment="0" applyProtection="0"/>
    <xf numFmtId="9" fontId="2" fillId="0" borderId="0" applyFont="0" applyFill="0" applyBorder="0" applyAlignment="0" applyProtection="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100" fillId="0" borderId="0" applyFont="0" applyFill="0" applyBorder="0" applyAlignment="0" applyProtection="0"/>
    <xf numFmtId="9" fontId="100" fillId="0" borderId="0" applyFont="0" applyFill="0" applyBorder="0" applyAlignment="0" applyProtection="0"/>
    <xf numFmtId="9" fontId="2" fillId="0" borderId="0" applyFont="0" applyFill="0" applyBorder="0" applyAlignment="0" applyProtection="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79" fillId="0" borderId="0"/>
    <xf numFmtId="9" fontId="100" fillId="0" borderId="0" applyFont="0" applyFill="0" applyBorder="0" applyAlignment="0" applyProtection="0"/>
    <xf numFmtId="9" fontId="100" fillId="0" borderId="0" applyFont="0" applyFill="0" applyBorder="0" applyAlignment="0" applyProtection="0"/>
    <xf numFmtId="9" fontId="2" fillId="0" borderId="0" applyFont="0" applyFill="0" applyBorder="0" applyAlignment="0" applyProtection="0"/>
    <xf numFmtId="9" fontId="79" fillId="0" borderId="0"/>
    <xf numFmtId="9" fontId="79" fillId="0" borderId="0"/>
    <xf numFmtId="9" fontId="79" fillId="0" borderId="0"/>
    <xf numFmtId="9" fontId="2" fillId="0" borderId="0"/>
    <xf numFmtId="9" fontId="79" fillId="0" borderId="0"/>
    <xf numFmtId="9" fontId="79" fillId="0" borderId="0"/>
    <xf numFmtId="9" fontId="79" fillId="0" borderId="0"/>
    <xf numFmtId="9" fontId="10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7"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9"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xf numFmtId="9" fontId="2" fillId="0" borderId="0"/>
    <xf numFmtId="9" fontId="2" fillId="0" borderId="0"/>
    <xf numFmtId="9" fontId="2"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79" fillId="0" borderId="0" applyFont="0" applyFill="0" applyBorder="0" applyAlignment="0" applyProtection="0"/>
    <xf numFmtId="9" fontId="292" fillId="0" borderId="0" applyFont="0" applyFill="0" applyBorder="0" applyAlignment="0" applyProtection="0"/>
    <xf numFmtId="9" fontId="6" fillId="0" borderId="0" applyFont="0" applyFill="0" applyBorder="0" applyAlignment="0" applyProtection="0"/>
    <xf numFmtId="9" fontId="2" fillId="0" borderId="0" applyFont="0" applyFill="0" applyBorder="0" applyAlignment="0" applyProtection="0"/>
    <xf numFmtId="9" fontId="66"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66" fillId="0" borderId="0" applyFont="0" applyFill="0" applyBorder="0" applyAlignment="0" applyProtection="0"/>
    <xf numFmtId="9" fontId="107"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68" fillId="0" borderId="0" applyFont="0" applyFill="0" applyBorder="0" applyAlignment="0" applyProtection="0"/>
    <xf numFmtId="9" fontId="1"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9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165"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33"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2" fillId="0" borderId="0" applyFont="0" applyFill="0" applyBorder="0" applyAlignment="0" applyProtection="0"/>
    <xf numFmtId="9" fontId="100" fillId="0" borderId="0" applyFont="0" applyFill="0" applyBorder="0" applyAlignment="0" applyProtection="0"/>
    <xf numFmtId="9" fontId="233"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92" fillId="0" borderId="0" applyFont="0" applyFill="0" applyBorder="0" applyAlignment="0" applyProtection="0"/>
    <xf numFmtId="9" fontId="2" fillId="0" borderId="0"/>
    <xf numFmtId="9" fontId="2" fillId="0" borderId="0" applyFont="0" applyFill="0" applyBorder="0" applyAlignment="0" applyProtection="0"/>
    <xf numFmtId="9" fontId="2" fillId="0" borderId="0" applyFont="0" applyFill="0" applyBorder="0" applyAlignment="0" applyProtection="0"/>
    <xf numFmtId="9" fontId="29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00" fillId="0" borderId="0" applyFont="0" applyFill="0" applyBorder="0" applyAlignment="0" applyProtection="0"/>
    <xf numFmtId="9" fontId="2"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2"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13" fontId="2" fillId="0" borderId="0" applyFont="0" applyFill="0" applyProtection="0"/>
    <xf numFmtId="9" fontId="126" fillId="0" borderId="0"/>
    <xf numFmtId="9" fontId="126" fillId="0" borderId="0"/>
    <xf numFmtId="9" fontId="100"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92" fillId="0" borderId="0" applyFont="0" applyFill="0" applyBorder="0" applyAlignment="0" applyProtection="0"/>
    <xf numFmtId="9" fontId="1" fillId="0" borderId="0"/>
    <xf numFmtId="9" fontId="1" fillId="0" borderId="0"/>
    <xf numFmtId="9" fontId="1" fillId="0" borderId="0"/>
    <xf numFmtId="9" fontId="79" fillId="0" borderId="0" applyFont="0" applyFill="0" applyBorder="0" applyAlignment="0" applyProtection="0"/>
    <xf numFmtId="9" fontId="100" fillId="0" borderId="0" applyFont="0" applyFill="0" applyBorder="0" applyAlignment="0" applyProtection="0"/>
    <xf numFmtId="9" fontId="100" fillId="0" borderId="0" applyFont="0" applyFill="0" applyBorder="0" applyAlignment="0" applyProtection="0"/>
    <xf numFmtId="9" fontId="1" fillId="0" borderId="0"/>
    <xf numFmtId="9" fontId="100" fillId="0" borderId="0"/>
    <xf numFmtId="9" fontId="100" fillId="0" borderId="0" applyFont="0" applyFill="0" applyBorder="0" applyAlignment="0" applyProtection="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266" fontId="176" fillId="0" borderId="0" applyFont="0" applyFill="0" applyBorder="0" applyAlignment="0" applyProtection="0"/>
    <xf numFmtId="3" fontId="8" fillId="152" borderId="282"/>
    <xf numFmtId="3" fontId="8" fillId="0" borderId="282" applyFont="0" applyFill="0" applyBorder="0" applyAlignment="0" applyProtection="0">
      <protection locked="0"/>
    </xf>
    <xf numFmtId="267" fontId="310" fillId="0" borderId="0">
      <protection locked="0"/>
    </xf>
    <xf numFmtId="10" fontId="165" fillId="0" borderId="0" applyFont="0" applyFill="0" applyBorder="0" applyAlignment="0" applyProtection="0"/>
    <xf numFmtId="10" fontId="166" fillId="0" borderId="0"/>
    <xf numFmtId="9" fontId="2" fillId="0" borderId="0" applyFont="0" applyFill="0" applyBorder="0" applyAlignment="0" applyProtection="0"/>
    <xf numFmtId="9" fontId="2" fillId="0" borderId="0"/>
    <xf numFmtId="0" fontId="311" fillId="0" borderId="0">
      <alignment horizontal="left"/>
    </xf>
    <xf numFmtId="0" fontId="312" fillId="0" borderId="0">
      <alignment horizontal="left"/>
    </xf>
    <xf numFmtId="0" fontId="151" fillId="0" borderId="0"/>
    <xf numFmtId="171" fontId="154" fillId="5" borderId="0"/>
    <xf numFmtId="0" fontId="2" fillId="0" borderId="0"/>
    <xf numFmtId="0" fontId="8" fillId="0" borderId="0"/>
    <xf numFmtId="0" fontId="116" fillId="153" borderId="0"/>
    <xf numFmtId="244" fontId="105" fillId="0" borderId="0" applyFill="0" applyBorder="0" applyAlignment="0" applyProtection="0"/>
    <xf numFmtId="246" fontId="293" fillId="0" borderId="0"/>
    <xf numFmtId="0" fontId="2" fillId="0" borderId="0"/>
    <xf numFmtId="0" fontId="2" fillId="0" borderId="0"/>
    <xf numFmtId="2" fontId="313" fillId="56" borderId="80" applyAlignment="0" applyProtection="0">
      <protection locked="0"/>
    </xf>
    <xf numFmtId="0" fontId="314" fillId="60" borderId="80" applyNumberFormat="0" applyAlignment="0" applyProtection="0"/>
    <xf numFmtId="0" fontId="315" fillId="13" borderId="19" applyNumberFormat="0" applyAlignment="0" applyProtection="0">
      <alignment horizontal="center" vertical="center"/>
    </xf>
    <xf numFmtId="0" fontId="315" fillId="13" borderId="19" applyNumberFormat="0" applyAlignment="0" applyProtection="0">
      <alignment horizontal="center" vertical="center"/>
    </xf>
    <xf numFmtId="3" fontId="84" fillId="0" borderId="283" applyBorder="0">
      <alignment horizontal="right" wrapText="1"/>
    </xf>
    <xf numFmtId="4" fontId="84" fillId="0" borderId="284" applyBorder="0">
      <alignment horizontal="right" wrapText="1"/>
    </xf>
    <xf numFmtId="0" fontId="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79"/>
    <xf numFmtId="0" fontId="2" fillId="0" borderId="79"/>
    <xf numFmtId="0" fontId="2" fillId="0" borderId="79"/>
    <xf numFmtId="0" fontId="2" fillId="0" borderId="79"/>
    <xf numFmtId="0" fontId="2" fillId="0" borderId="79"/>
    <xf numFmtId="0" fontId="2" fillId="0" borderId="79"/>
    <xf numFmtId="0" fontId="2" fillId="0" borderId="79"/>
    <xf numFmtId="0" fontId="2" fillId="0" borderId="79"/>
    <xf numFmtId="0" fontId="2" fillId="0" borderId="79"/>
    <xf numFmtId="0" fontId="2" fillId="0" borderId="79"/>
    <xf numFmtId="0" fontId="2" fillId="0" borderId="79"/>
    <xf numFmtId="0" fontId="2" fillId="0" borderId="79"/>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178"/>
    <xf numFmtId="0" fontId="2" fillId="0" borderId="93"/>
    <xf numFmtId="0" fontId="2" fillId="0" borderId="93"/>
    <xf numFmtId="0" fontId="2" fillId="0" borderId="93"/>
    <xf numFmtId="0" fontId="2" fillId="0" borderId="93"/>
    <xf numFmtId="0" fontId="2" fillId="0" borderId="93"/>
    <xf numFmtId="0" fontId="2" fillId="0" borderId="93"/>
    <xf numFmtId="0" fontId="2" fillId="0" borderId="93"/>
    <xf numFmtId="0" fontId="2" fillId="0" borderId="93"/>
    <xf numFmtId="0" fontId="2" fillId="0" borderId="93"/>
    <xf numFmtId="0" fontId="2" fillId="0" borderId="93"/>
    <xf numFmtId="0" fontId="2" fillId="0" borderId="93"/>
    <xf numFmtId="0" fontId="2" fillId="0" borderId="93"/>
    <xf numFmtId="0" fontId="2" fillId="0" borderId="77"/>
    <xf numFmtId="0" fontId="2" fillId="0" borderId="77"/>
    <xf numFmtId="0" fontId="2" fillId="0" borderId="77"/>
    <xf numFmtId="0" fontId="2" fillId="0" borderId="77"/>
    <xf numFmtId="0" fontId="2" fillId="0" borderId="77"/>
    <xf numFmtId="0" fontId="2" fillId="0" borderId="77"/>
    <xf numFmtId="0" fontId="2" fillId="0" borderId="77"/>
    <xf numFmtId="0" fontId="2" fillId="0" borderId="77"/>
    <xf numFmtId="0" fontId="2" fillId="0" borderId="77"/>
    <xf numFmtId="0" fontId="2" fillId="0" borderId="77"/>
    <xf numFmtId="0" fontId="2" fillId="0" borderId="77"/>
    <xf numFmtId="0" fontId="2" fillId="0" borderId="77"/>
    <xf numFmtId="0" fontId="2" fillId="0" borderId="73"/>
    <xf numFmtId="0" fontId="2" fillId="0" borderId="73"/>
    <xf numFmtId="0" fontId="2" fillId="0" borderId="73"/>
    <xf numFmtId="0" fontId="2" fillId="0" borderId="73"/>
    <xf numFmtId="0" fontId="2" fillId="0" borderId="73"/>
    <xf numFmtId="0" fontId="2" fillId="0" borderId="73"/>
    <xf numFmtId="0" fontId="2" fillId="0" borderId="73"/>
    <xf numFmtId="0" fontId="2" fillId="0" borderId="73"/>
    <xf numFmtId="0" fontId="2" fillId="0" borderId="73"/>
    <xf numFmtId="0" fontId="2" fillId="0" borderId="73"/>
    <xf numFmtId="0" fontId="2" fillId="0" borderId="73"/>
    <xf numFmtId="0" fontId="2" fillId="0" borderId="73"/>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5"/>
    <xf numFmtId="0" fontId="2" fillId="0" borderId="286"/>
    <xf numFmtId="0" fontId="2" fillId="0" borderId="286"/>
    <xf numFmtId="0" fontId="2" fillId="0" borderId="286"/>
    <xf numFmtId="0" fontId="2" fillId="0" borderId="286"/>
    <xf numFmtId="0" fontId="2" fillId="0" borderId="286"/>
    <xf numFmtId="0" fontId="2" fillId="0" borderId="286"/>
    <xf numFmtId="0" fontId="2" fillId="0" borderId="286"/>
    <xf numFmtId="0" fontId="2" fillId="0" borderId="286"/>
    <xf numFmtId="0" fontId="2" fillId="0" borderId="286"/>
    <xf numFmtId="0" fontId="2" fillId="0" borderId="286"/>
    <xf numFmtId="0" fontId="2" fillId="0" borderId="286"/>
    <xf numFmtId="0" fontId="2" fillId="0" borderId="286"/>
    <xf numFmtId="46" fontId="2" fillId="0" borderId="0"/>
    <xf numFmtId="46" fontId="2" fillId="0" borderId="0"/>
    <xf numFmtId="46" fontId="2" fillId="0" borderId="0"/>
    <xf numFmtId="46" fontId="2" fillId="0" borderId="0"/>
    <xf numFmtId="46" fontId="2" fillId="0" borderId="0"/>
    <xf numFmtId="46" fontId="2" fillId="0" borderId="0"/>
    <xf numFmtId="46" fontId="2" fillId="0" borderId="0"/>
    <xf numFmtId="46" fontId="2" fillId="0" borderId="0"/>
    <xf numFmtId="46" fontId="2" fillId="0" borderId="0"/>
    <xf numFmtId="46" fontId="2" fillId="0" borderId="0"/>
    <xf numFmtId="46" fontId="2" fillId="0" borderId="0"/>
    <xf numFmtId="46" fontId="2" fillId="0" borderId="0"/>
    <xf numFmtId="0" fontId="6" fillId="0" borderId="0"/>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287"/>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181"/>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88"/>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249"/>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alignment horizontal="center"/>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3" fillId="0" borderId="0">
      <alignment horizontal="left"/>
    </xf>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4"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289"/>
    <xf numFmtId="0" fontId="2" fillId="0" borderId="71"/>
    <xf numFmtId="0" fontId="2" fillId="0" borderId="71"/>
    <xf numFmtId="0" fontId="2" fillId="0" borderId="71"/>
    <xf numFmtId="0" fontId="2" fillId="0" borderId="71"/>
    <xf numFmtId="0" fontId="2" fillId="0" borderId="71"/>
    <xf numFmtId="0" fontId="2" fillId="0" borderId="71"/>
    <xf numFmtId="0" fontId="2" fillId="0" borderId="71"/>
    <xf numFmtId="0" fontId="2" fillId="0" borderId="71"/>
    <xf numFmtId="0" fontId="2" fillId="0" borderId="71"/>
    <xf numFmtId="0" fontId="2" fillId="0" borderId="71"/>
    <xf numFmtId="0" fontId="2" fillId="0" borderId="71"/>
    <xf numFmtId="0" fontId="2" fillId="0" borderId="71"/>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184"/>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290"/>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194"/>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291"/>
    <xf numFmtId="0" fontId="2" fillId="0" borderId="191"/>
    <xf numFmtId="0" fontId="2" fillId="0" borderId="191"/>
    <xf numFmtId="0" fontId="2" fillId="0" borderId="191"/>
    <xf numFmtId="0" fontId="2" fillId="0" borderId="191"/>
    <xf numFmtId="0" fontId="2" fillId="0" borderId="191"/>
    <xf numFmtId="0" fontId="2" fillId="0" borderId="191"/>
    <xf numFmtId="0" fontId="2" fillId="0" borderId="191"/>
    <xf numFmtId="0" fontId="2" fillId="0" borderId="191"/>
    <xf numFmtId="0" fontId="2" fillId="0" borderId="191"/>
    <xf numFmtId="0" fontId="2" fillId="0" borderId="191"/>
    <xf numFmtId="0" fontId="2" fillId="0" borderId="191"/>
    <xf numFmtId="0" fontId="2" fillId="0" borderId="191"/>
    <xf numFmtId="195" fontId="316" fillId="0" borderId="0">
      <alignment horizontal="right"/>
    </xf>
    <xf numFmtId="0" fontId="2" fillId="0" borderId="0">
      <alignment textRotation="90"/>
    </xf>
    <xf numFmtId="0" fontId="2" fillId="0" borderId="0"/>
    <xf numFmtId="4" fontId="6" fillId="81" borderId="281" applyNumberFormat="0" applyProtection="0">
      <alignment vertical="center"/>
    </xf>
    <xf numFmtId="4" fontId="6" fillId="81" borderId="281" applyNumberFormat="0" applyProtection="0">
      <alignment vertical="center"/>
    </xf>
    <xf numFmtId="4" fontId="317" fillId="81" borderId="281" applyNumberFormat="0" applyProtection="0">
      <alignment vertical="center"/>
    </xf>
    <xf numFmtId="4" fontId="317" fillId="81" borderId="281" applyNumberFormat="0" applyProtection="0">
      <alignment vertical="center"/>
    </xf>
    <xf numFmtId="4" fontId="6" fillId="81" borderId="281" applyNumberFormat="0" applyProtection="0">
      <alignment horizontal="left" vertical="center" indent="1"/>
    </xf>
    <xf numFmtId="4" fontId="6" fillId="81" borderId="281" applyNumberFormat="0" applyProtection="0">
      <alignment horizontal="left" vertical="center" indent="1"/>
    </xf>
    <xf numFmtId="4" fontId="6" fillId="81" borderId="281" applyNumberFormat="0" applyProtection="0">
      <alignment horizontal="left" vertical="center" indent="1"/>
    </xf>
    <xf numFmtId="4" fontId="6" fillId="81" borderId="281" applyNumberFormat="0" applyProtection="0">
      <alignment horizontal="left" vertical="center" indent="1"/>
    </xf>
    <xf numFmtId="0" fontId="2" fillId="47" borderId="281" applyNumberFormat="0" applyProtection="0">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pplyNumberFormat="0" applyProtection="0">
      <alignment horizontal="left" vertical="center" indent="1"/>
    </xf>
    <xf numFmtId="4" fontId="6" fillId="6" borderId="281" applyNumberFormat="0" applyProtection="0">
      <alignment horizontal="right" vertical="center"/>
    </xf>
    <xf numFmtId="4" fontId="6" fillId="6" borderId="281" applyNumberFormat="0" applyProtection="0">
      <alignment horizontal="right" vertical="center"/>
    </xf>
    <xf numFmtId="4" fontId="6" fillId="76" borderId="281" applyNumberFormat="0" applyProtection="0">
      <alignment horizontal="right" vertical="center"/>
    </xf>
    <xf numFmtId="4" fontId="6" fillId="76" borderId="281" applyNumberFormat="0" applyProtection="0">
      <alignment horizontal="right" vertical="center"/>
    </xf>
    <xf numFmtId="4" fontId="6" fillId="5" borderId="281" applyNumberFormat="0" applyProtection="0">
      <alignment horizontal="right" vertical="center"/>
    </xf>
    <xf numFmtId="4" fontId="6" fillId="5" borderId="281" applyNumberFormat="0" applyProtection="0">
      <alignment horizontal="right" vertical="center"/>
    </xf>
    <xf numFmtId="4" fontId="6" fillId="84" borderId="281" applyNumberFormat="0" applyProtection="0">
      <alignment horizontal="right" vertical="center"/>
    </xf>
    <xf numFmtId="4" fontId="6" fillId="84" borderId="281" applyNumberFormat="0" applyProtection="0">
      <alignment horizontal="right" vertical="center"/>
    </xf>
    <xf numFmtId="4" fontId="6" fillId="100" borderId="281" applyNumberFormat="0" applyProtection="0">
      <alignment horizontal="right" vertical="center"/>
    </xf>
    <xf numFmtId="4" fontId="6" fillId="100" borderId="281" applyNumberFormat="0" applyProtection="0">
      <alignment horizontal="right" vertical="center"/>
    </xf>
    <xf numFmtId="4" fontId="6" fillId="120" borderId="281" applyNumberFormat="0" applyProtection="0">
      <alignment horizontal="right" vertical="center"/>
    </xf>
    <xf numFmtId="4" fontId="6" fillId="120" borderId="281" applyNumberFormat="0" applyProtection="0">
      <alignment horizontal="right" vertical="center"/>
    </xf>
    <xf numFmtId="4" fontId="6" fillId="112" borderId="281" applyNumberFormat="0" applyProtection="0">
      <alignment horizontal="right" vertical="center"/>
    </xf>
    <xf numFmtId="4" fontId="6" fillId="112" borderId="281" applyNumberFormat="0" applyProtection="0">
      <alignment horizontal="right" vertical="center"/>
    </xf>
    <xf numFmtId="4" fontId="6" fillId="154" borderId="281" applyNumberFormat="0" applyProtection="0">
      <alignment horizontal="right" vertical="center"/>
    </xf>
    <xf numFmtId="4" fontId="6" fillId="154" borderId="281" applyNumberFormat="0" applyProtection="0">
      <alignment horizontal="right" vertical="center"/>
    </xf>
    <xf numFmtId="4" fontId="6" fillId="78" borderId="281" applyNumberFormat="0" applyProtection="0">
      <alignment horizontal="right" vertical="center"/>
    </xf>
    <xf numFmtId="4" fontId="6" fillId="78" borderId="281" applyNumberFormat="0" applyProtection="0">
      <alignment horizontal="right" vertical="center"/>
    </xf>
    <xf numFmtId="4" fontId="5" fillId="155" borderId="281" applyNumberFormat="0" applyProtection="0">
      <alignment horizontal="left" vertical="center" indent="1"/>
    </xf>
    <xf numFmtId="4" fontId="5" fillId="155" borderId="281">
      <alignment horizontal="left" vertical="center" indent="1"/>
    </xf>
    <xf numFmtId="4" fontId="5" fillId="155" borderId="281">
      <alignment horizontal="left" vertical="center" indent="1"/>
    </xf>
    <xf numFmtId="4" fontId="5" fillId="155" borderId="281">
      <alignment horizontal="left" vertical="center" indent="1"/>
    </xf>
    <xf numFmtId="4" fontId="5" fillId="155" borderId="281">
      <alignment horizontal="left" vertical="center" indent="1"/>
    </xf>
    <xf numFmtId="4" fontId="5" fillId="155" borderId="281">
      <alignment horizontal="left" vertical="center" indent="1"/>
    </xf>
    <xf numFmtId="4" fontId="5" fillId="155" borderId="281" applyNumberFormat="0" applyProtection="0">
      <alignment horizontal="left" vertical="center" indent="1"/>
    </xf>
    <xf numFmtId="4" fontId="6" fillId="156" borderId="292" applyNumberFormat="0" applyProtection="0">
      <alignment horizontal="left" vertical="center" indent="1"/>
    </xf>
    <xf numFmtId="4" fontId="200" fillId="117" borderId="0" applyNumberFormat="0" applyProtection="0">
      <alignment horizontal="left" vertical="center" indent="1"/>
    </xf>
    <xf numFmtId="4" fontId="200" fillId="117" borderId="0">
      <alignment horizontal="left" vertical="center" indent="1"/>
    </xf>
    <xf numFmtId="4" fontId="200" fillId="117" borderId="0">
      <alignment horizontal="left" vertical="center" indent="1"/>
    </xf>
    <xf numFmtId="4" fontId="200" fillId="117" borderId="0">
      <alignment horizontal="left" vertical="center" indent="1"/>
    </xf>
    <xf numFmtId="4" fontId="200" fillId="117" borderId="0">
      <alignment horizontal="left" vertical="center" indent="1"/>
    </xf>
    <xf numFmtId="4" fontId="200" fillId="117" borderId="0">
      <alignment horizontal="left" vertical="center" indent="1"/>
    </xf>
    <xf numFmtId="0" fontId="2" fillId="47" borderId="281" applyNumberFormat="0" applyProtection="0">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pplyNumberFormat="0" applyProtection="0">
      <alignment horizontal="left" vertical="center" indent="1"/>
    </xf>
    <xf numFmtId="4" fontId="6" fillId="156" borderId="281" applyNumberFormat="0" applyProtection="0">
      <alignment horizontal="left" vertical="center" indent="1"/>
    </xf>
    <xf numFmtId="4" fontId="6" fillId="156" borderId="281">
      <alignment horizontal="left" vertical="center" indent="1"/>
    </xf>
    <xf numFmtId="4" fontId="6" fillId="156" borderId="281">
      <alignment horizontal="left" vertical="center" indent="1"/>
    </xf>
    <xf numFmtId="4" fontId="6" fillId="156" borderId="281">
      <alignment horizontal="left" vertical="center" indent="1"/>
    </xf>
    <xf numFmtId="4" fontId="6" fillId="156" borderId="281">
      <alignment horizontal="left" vertical="center" indent="1"/>
    </xf>
    <xf numFmtId="4" fontId="6" fillId="156" borderId="281">
      <alignment horizontal="left" vertical="center" indent="1"/>
    </xf>
    <xf numFmtId="4" fontId="6" fillId="156" borderId="281" applyNumberFormat="0" applyProtection="0">
      <alignment horizontal="left" vertical="center" indent="1"/>
    </xf>
    <xf numFmtId="4" fontId="6" fillId="135" borderId="281" applyNumberFormat="0" applyProtection="0">
      <alignment horizontal="left" vertical="center" indent="1"/>
    </xf>
    <xf numFmtId="4" fontId="6" fillId="135" borderId="281">
      <alignment horizontal="left" vertical="center" indent="1"/>
    </xf>
    <xf numFmtId="4" fontId="6" fillId="135" borderId="281">
      <alignment horizontal="left" vertical="center" indent="1"/>
    </xf>
    <xf numFmtId="4" fontId="6" fillId="135" borderId="281">
      <alignment horizontal="left" vertical="center" indent="1"/>
    </xf>
    <xf numFmtId="4" fontId="6" fillId="135" borderId="281">
      <alignment horizontal="left" vertical="center" indent="1"/>
    </xf>
    <xf numFmtId="4" fontId="6" fillId="135" borderId="281">
      <alignment horizontal="left" vertical="center" indent="1"/>
    </xf>
    <xf numFmtId="4" fontId="6" fillId="135" borderId="281" applyNumberFormat="0" applyProtection="0">
      <alignment horizontal="left" vertical="center" indent="1"/>
    </xf>
    <xf numFmtId="0" fontId="2" fillId="135" borderId="281" applyNumberFormat="0" applyProtection="0">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pplyNumberFormat="0" applyProtection="0">
      <alignment horizontal="left" vertical="center" indent="1"/>
    </xf>
    <xf numFmtId="0" fontId="2" fillId="135" borderId="281" applyNumberFormat="0" applyProtection="0">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lignment horizontal="left" vertical="center" indent="1"/>
    </xf>
    <xf numFmtId="0" fontId="2" fillId="135" borderId="281" applyNumberFormat="0" applyProtection="0">
      <alignment horizontal="left" vertical="center" indent="1"/>
    </xf>
    <xf numFmtId="0" fontId="2" fillId="13" borderId="281" applyNumberFormat="0" applyProtection="0">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pplyNumberFormat="0" applyProtection="0">
      <alignment horizontal="left" vertical="center" indent="1"/>
    </xf>
    <xf numFmtId="0" fontId="2" fillId="13" borderId="281" applyNumberFormat="0" applyProtection="0">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lignment horizontal="left" vertical="center" indent="1"/>
    </xf>
    <xf numFmtId="0" fontId="2" fillId="13" borderId="281" applyNumberFormat="0" applyProtection="0">
      <alignment horizontal="left" vertical="center" indent="1"/>
    </xf>
    <xf numFmtId="0" fontId="2" fillId="7" borderId="281" applyNumberFormat="0" applyProtection="0">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pplyNumberFormat="0" applyProtection="0">
      <alignment horizontal="left" vertical="center" indent="1"/>
    </xf>
    <xf numFmtId="0" fontId="2" fillId="7" borderId="281" applyNumberFormat="0" applyProtection="0">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lignment horizontal="left" vertical="center" indent="1"/>
    </xf>
    <xf numFmtId="0" fontId="2" fillId="7" borderId="281" applyNumberFormat="0" applyProtection="0">
      <alignment horizontal="left" vertical="center" indent="1"/>
    </xf>
    <xf numFmtId="0" fontId="2" fillId="47" borderId="281" applyNumberFormat="0" applyProtection="0">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pplyNumberFormat="0" applyProtection="0">
      <alignment horizontal="left" vertical="center" indent="1"/>
    </xf>
    <xf numFmtId="0" fontId="2" fillId="47" borderId="281" applyNumberFormat="0" applyProtection="0">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pplyNumberFormat="0" applyProtection="0">
      <alignment horizontal="left" vertical="center" indent="1"/>
    </xf>
    <xf numFmtId="4" fontId="6" fillId="60" borderId="281" applyNumberFormat="0" applyProtection="0">
      <alignment vertical="center"/>
    </xf>
    <xf numFmtId="4" fontId="6" fillId="60" borderId="281" applyNumberFormat="0" applyProtection="0">
      <alignment vertical="center"/>
    </xf>
    <xf numFmtId="4" fontId="317" fillId="60" borderId="281" applyNumberFormat="0" applyProtection="0">
      <alignment vertical="center"/>
    </xf>
    <xf numFmtId="4" fontId="317" fillId="60" borderId="281" applyNumberFormat="0" applyProtection="0">
      <alignment vertical="center"/>
    </xf>
    <xf numFmtId="4" fontId="6" fillId="60" borderId="281" applyNumberFormat="0" applyProtection="0">
      <alignment horizontal="left" vertical="center" indent="1"/>
    </xf>
    <xf numFmtId="4" fontId="6" fillId="60" borderId="281" applyNumberFormat="0" applyProtection="0">
      <alignment horizontal="left" vertical="center" indent="1"/>
    </xf>
    <xf numFmtId="4" fontId="6" fillId="60" borderId="281" applyNumberFormat="0" applyProtection="0">
      <alignment horizontal="left" vertical="center" indent="1"/>
    </xf>
    <xf numFmtId="4" fontId="6" fillId="60" borderId="281" applyNumberFormat="0" applyProtection="0">
      <alignment horizontal="left" vertical="center" indent="1"/>
    </xf>
    <xf numFmtId="4" fontId="6" fillId="156" borderId="281" applyNumberFormat="0" applyProtection="0">
      <alignment horizontal="right" vertical="center"/>
    </xf>
    <xf numFmtId="4" fontId="6" fillId="156" borderId="281" applyNumberFormat="0" applyProtection="0">
      <alignment horizontal="right" vertical="center"/>
    </xf>
    <xf numFmtId="4" fontId="317" fillId="156" borderId="281" applyNumberFormat="0" applyProtection="0">
      <alignment horizontal="right" vertical="center"/>
    </xf>
    <xf numFmtId="4" fontId="317" fillId="156" borderId="281" applyNumberFormat="0" applyProtection="0">
      <alignment horizontal="right" vertical="center"/>
    </xf>
    <xf numFmtId="0" fontId="2" fillId="47" borderId="281" applyNumberFormat="0" applyProtection="0">
      <alignment horizontal="left" vertical="center" indent="1"/>
    </xf>
    <xf numFmtId="4" fontId="200" fillId="74" borderId="293">
      <alignment horizontal="left" vertical="center" indent="1"/>
    </xf>
    <xf numFmtId="4" fontId="200" fillId="74" borderId="293">
      <alignment horizontal="left" vertical="center" indent="1"/>
    </xf>
    <xf numFmtId="4" fontId="200" fillId="74" borderId="293">
      <alignment horizontal="left" vertical="center" indent="1"/>
    </xf>
    <xf numFmtId="4" fontId="200" fillId="74" borderId="293">
      <alignment horizontal="left" vertical="center" indent="1"/>
    </xf>
    <xf numFmtId="4" fontId="200" fillId="74" borderId="293">
      <alignment horizontal="left" vertical="center" indent="1"/>
    </xf>
    <xf numFmtId="0" fontId="2" fillId="47" borderId="281" applyNumberFormat="0" applyProtection="0">
      <alignment horizontal="left" vertical="center" indent="1"/>
    </xf>
    <xf numFmtId="0" fontId="2" fillId="47" borderId="281" applyNumberFormat="0" applyProtection="0">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lignment horizontal="left" vertical="center" indent="1"/>
    </xf>
    <xf numFmtId="0" fontId="2" fillId="47" borderId="281" applyNumberFormat="0" applyProtection="0">
      <alignment horizontal="left" vertical="center" indent="1"/>
    </xf>
    <xf numFmtId="0" fontId="318" fillId="0" borderId="0"/>
    <xf numFmtId="4" fontId="14" fillId="156" borderId="281" applyNumberFormat="0" applyProtection="0">
      <alignment horizontal="right" vertical="center"/>
    </xf>
    <xf numFmtId="4" fontId="14" fillId="156" borderId="281" applyNumberFormat="0" applyProtection="0">
      <alignment horizontal="right" vertical="center"/>
    </xf>
    <xf numFmtId="192" fontId="22" fillId="0" borderId="0" applyNumberFormat="0" applyFill="0" applyBorder="0" applyProtection="0">
      <alignment horizontal="left"/>
    </xf>
    <xf numFmtId="0" fontId="105" fillId="0" borderId="18">
      <alignment horizontal="center" vertical="center"/>
    </xf>
    <xf numFmtId="0" fontId="119" fillId="13" borderId="19"/>
    <xf numFmtId="0" fontId="119" fillId="13" borderId="19"/>
    <xf numFmtId="0" fontId="119" fillId="13" borderId="19"/>
    <xf numFmtId="0" fontId="119" fillId="13" borderId="19"/>
    <xf numFmtId="0" fontId="119" fillId="13" borderId="19"/>
    <xf numFmtId="0" fontId="119" fillId="13" borderId="19"/>
    <xf numFmtId="0" fontId="119" fillId="13" borderId="19"/>
    <xf numFmtId="0" fontId="119" fillId="13" borderId="19"/>
    <xf numFmtId="0" fontId="119" fillId="13" borderId="19"/>
    <xf numFmtId="0" fontId="119" fillId="13" borderId="19"/>
    <xf numFmtId="0" fontId="319" fillId="157" borderId="0" applyNumberFormat="0" applyFill="0" applyBorder="0">
      <alignment vertical="center"/>
    </xf>
    <xf numFmtId="0" fontId="320" fillId="0" borderId="0" applyFill="0" applyBorder="0">
      <alignment vertical="center"/>
    </xf>
    <xf numFmtId="188" fontId="321" fillId="135" borderId="0">
      <alignment horizontal="right"/>
    </xf>
    <xf numFmtId="186" fontId="49" fillId="109" borderId="0">
      <alignment horizontal="right" vertical="center"/>
    </xf>
    <xf numFmtId="186" fontId="49" fillId="109" borderId="0">
      <alignment horizontal="right" vertical="center"/>
    </xf>
    <xf numFmtId="186" fontId="49" fillId="109" borderId="0">
      <alignment horizontal="right" vertical="center"/>
    </xf>
    <xf numFmtId="186" fontId="49" fillId="109" borderId="0">
      <alignment horizontal="right" vertical="center"/>
    </xf>
    <xf numFmtId="186" fontId="49" fillId="109" borderId="0">
      <alignment horizontal="right" vertical="center"/>
    </xf>
    <xf numFmtId="186" fontId="49" fillId="109" borderId="0">
      <alignment horizontal="right" vertical="center"/>
    </xf>
    <xf numFmtId="186" fontId="49" fillId="109" borderId="0">
      <alignment horizontal="right" vertical="center"/>
    </xf>
    <xf numFmtId="186" fontId="49" fillId="109" borderId="0">
      <alignment horizontal="right" vertical="center"/>
    </xf>
    <xf numFmtId="189" fontId="49" fillId="109" borderId="0">
      <alignment horizontal="right" vertical="center"/>
    </xf>
    <xf numFmtId="0" fontId="2" fillId="0" borderId="153"/>
    <xf numFmtId="0" fontId="322" fillId="0" borderId="0"/>
    <xf numFmtId="0" fontId="2" fillId="0" borderId="0"/>
    <xf numFmtId="0" fontId="2" fillId="0" borderId="0"/>
    <xf numFmtId="0" fontId="323" fillId="0" borderId="0">
      <alignment horizontal="right"/>
    </xf>
    <xf numFmtId="0" fontId="323" fillId="0" borderId="0">
      <alignment horizontal="right"/>
    </xf>
    <xf numFmtId="0" fontId="323" fillId="0" borderId="0">
      <alignment horizontal="left"/>
    </xf>
    <xf numFmtId="0" fontId="323" fillId="0" borderId="0">
      <alignment horizontal="left"/>
    </xf>
    <xf numFmtId="0" fontId="2" fillId="74" borderId="0" applyNumberFormat="0" applyFont="0" applyBorder="0" applyProtection="0">
      <alignment horizontal="left" vertical="center"/>
    </xf>
    <xf numFmtId="0" fontId="2" fillId="0" borderId="291" applyNumberFormat="0" applyFill="0" applyProtection="0">
      <alignment horizontal="left" vertical="center" wrapText="1" indent="1"/>
    </xf>
    <xf numFmtId="268" fontId="2" fillId="0" borderId="291" applyFill="0" applyProtection="0">
      <alignment horizontal="right" vertical="center" wrapText="1"/>
    </xf>
    <xf numFmtId="269" fontId="2" fillId="0" borderId="291" applyFill="0" applyProtection="0">
      <alignment horizontal="right" vertical="center" wrapText="1"/>
    </xf>
    <xf numFmtId="0" fontId="2" fillId="0" borderId="0" applyNumberFormat="0" applyFill="0" applyBorder="0" applyProtection="0">
      <alignment horizontal="left" vertical="center" wrapText="1"/>
    </xf>
    <xf numFmtId="0" fontId="2" fillId="0" borderId="0" applyNumberFormat="0" applyFill="0" applyBorder="0" applyProtection="0">
      <alignment horizontal="left" vertical="center" wrapText="1" indent="1"/>
    </xf>
    <xf numFmtId="268" fontId="2" fillId="0" borderId="0" applyFill="0" applyBorder="0" applyProtection="0">
      <alignment horizontal="right" vertical="center" wrapText="1"/>
    </xf>
    <xf numFmtId="269" fontId="2" fillId="0" borderId="0" applyFill="0" applyBorder="0" applyProtection="0">
      <alignment horizontal="right" vertical="center" wrapText="1"/>
    </xf>
    <xf numFmtId="0" fontId="2" fillId="0" borderId="294" applyNumberFormat="0" applyFill="0" applyProtection="0">
      <alignment horizontal="left" vertical="center" wrapText="1"/>
    </xf>
    <xf numFmtId="0" fontId="2" fillId="0" borderId="294" applyNumberFormat="0" applyFill="0" applyProtection="0">
      <alignment horizontal="left" vertical="center" wrapText="1" indent="1"/>
    </xf>
    <xf numFmtId="268" fontId="2" fillId="0" borderId="294" applyFill="0" applyProtection="0">
      <alignment horizontal="right" vertical="center" wrapText="1"/>
    </xf>
    <xf numFmtId="0" fontId="2" fillId="0" borderId="0" applyNumberFormat="0" applyFill="0" applyBorder="0" applyAlignment="0" applyProtection="0"/>
    <xf numFmtId="0" fontId="2" fillId="0" borderId="0" applyNumberFormat="0" applyFill="0" applyBorder="0" applyProtection="0">
      <alignment vertical="center" wrapText="1"/>
    </xf>
    <xf numFmtId="0" fontId="2" fillId="0" borderId="0" applyNumberFormat="0" applyFill="0" applyBorder="0" applyProtection="0">
      <alignment vertical="center" wrapText="1"/>
    </xf>
    <xf numFmtId="0" fontId="4" fillId="0" borderId="0" applyNumberFormat="0" applyFill="0" applyBorder="0" applyProtection="0">
      <alignment horizontal="left" vertical="center" wrapText="1"/>
    </xf>
    <xf numFmtId="0" fontId="2" fillId="0" borderId="0" applyNumberFormat="0" applyFill="0" applyBorder="0" applyProtection="0">
      <alignment vertical="center" wrapText="1"/>
    </xf>
    <xf numFmtId="0" fontId="2" fillId="0" borderId="0" applyNumberFormat="0" applyFill="0" applyBorder="0" applyProtection="0">
      <alignment vertical="center" wrapText="1"/>
    </xf>
    <xf numFmtId="0" fontId="2" fillId="0" borderId="0" applyNumberFormat="0" applyFont="0" applyFill="0" applyBorder="0" applyProtection="0">
      <alignment horizontal="left" vertical="center"/>
    </xf>
    <xf numFmtId="0" fontId="9" fillId="0" borderId="0" applyNumberFormat="0" applyFill="0" applyBorder="0" applyProtection="0">
      <alignment horizontal="left" vertical="center" wrapText="1"/>
    </xf>
    <xf numFmtId="0" fontId="9" fillId="0" borderId="0" applyNumberFormat="0" applyFill="0" applyBorder="0" applyProtection="0">
      <alignment horizontal="left" vertical="center" wrapText="1"/>
    </xf>
    <xf numFmtId="0" fontId="19" fillId="0" borderId="0" applyNumberFormat="0" applyFill="0" applyBorder="0" applyProtection="0">
      <alignment vertical="center" wrapText="1"/>
    </xf>
    <xf numFmtId="0" fontId="2" fillId="0" borderId="295" applyNumberFormat="0" applyFont="0" applyFill="0" applyProtection="0">
      <alignment horizontal="center" vertical="center" wrapText="1"/>
    </xf>
    <xf numFmtId="0" fontId="9" fillId="0" borderId="295" applyNumberFormat="0" applyFill="0" applyProtection="0">
      <alignment horizontal="center" vertical="center" wrapText="1"/>
    </xf>
    <xf numFmtId="0" fontId="9" fillId="0" borderId="295" applyNumberFormat="0" applyFill="0" applyProtection="0">
      <alignment horizontal="center" vertical="center" wrapText="1"/>
    </xf>
    <xf numFmtId="0" fontId="2" fillId="0" borderId="291" applyNumberFormat="0" applyFill="0" applyProtection="0">
      <alignment horizontal="left" vertical="center" wrapText="1"/>
    </xf>
    <xf numFmtId="0" fontId="324" fillId="0" borderId="296"/>
    <xf numFmtId="0" fontId="2" fillId="0" borderId="0"/>
    <xf numFmtId="0" fontId="58" fillId="0" borderId="0"/>
    <xf numFmtId="0" fontId="2" fillId="0" borderId="0"/>
    <xf numFmtId="0" fontId="2" fillId="0" borderId="0">
      <alignment horizontal="left" wrapText="1"/>
    </xf>
    <xf numFmtId="0" fontId="2" fillId="0" borderId="0"/>
    <xf numFmtId="0" fontId="2" fillId="0" borderId="0"/>
    <xf numFmtId="0" fontId="2" fillId="0" borderId="0"/>
    <xf numFmtId="0" fontId="2" fillId="0" borderId="0"/>
    <xf numFmtId="0" fontId="2" fillId="0" borderId="0"/>
    <xf numFmtId="0" fontId="2" fillId="0" borderId="0"/>
    <xf numFmtId="186" fontId="2" fillId="0" borderId="0"/>
    <xf numFmtId="0" fontId="111" fillId="0" borderId="0"/>
    <xf numFmtId="186" fontId="2" fillId="0" borderId="0"/>
    <xf numFmtId="186" fontId="41" fillId="0" borderId="0"/>
    <xf numFmtId="186" fontId="41" fillId="0" borderId="0"/>
    <xf numFmtId="186" fontId="41" fillId="0" borderId="0"/>
    <xf numFmtId="186" fontId="41" fillId="0" borderId="0"/>
    <xf numFmtId="0" fontId="41" fillId="0" borderId="0"/>
    <xf numFmtId="0" fontId="2" fillId="0" borderId="0">
      <alignment vertical="top"/>
    </xf>
    <xf numFmtId="270" fontId="2" fillId="0" borderId="0" applyFont="0" applyFill="0" applyBorder="0" applyAlignment="0" applyProtection="0">
      <alignment horizontal="left"/>
    </xf>
    <xf numFmtId="0" fontId="2" fillId="0" borderId="262" applyNumberFormat="0" applyFill="0" applyProtection="0">
      <alignment horizontal="right"/>
    </xf>
    <xf numFmtId="0" fontId="4" fillId="158" borderId="297" applyNumberFormat="0" applyProtection="0">
      <alignment horizontal="center" wrapText="1"/>
    </xf>
    <xf numFmtId="270" fontId="2" fillId="0" borderId="0" applyFont="0" applyFill="0" applyBorder="0" applyAlignment="0" applyProtection="0">
      <alignment horizontal="left"/>
    </xf>
    <xf numFmtId="0" fontId="4" fillId="158" borderId="297" applyNumberFormat="0" applyProtection="0">
      <alignment horizontal="center" wrapText="1"/>
    </xf>
    <xf numFmtId="0" fontId="4" fillId="158" borderId="297" applyNumberFormat="0" applyProtection="0">
      <alignment horizontal="center" wrapText="1"/>
    </xf>
    <xf numFmtId="0" fontId="4" fillId="158" borderId="297" applyNumberFormat="0" applyProtection="0">
      <alignment horizontal="center" wrapText="1"/>
    </xf>
    <xf numFmtId="0" fontId="2" fillId="0" borderId="262" applyNumberFormat="0" applyFill="0" applyProtection="0">
      <alignment horizontal="right"/>
    </xf>
    <xf numFmtId="169" fontId="2" fillId="0" borderId="0" applyFont="0" applyFill="0" applyBorder="0" applyAlignment="0" applyProtection="0">
      <alignment horizontal="left"/>
    </xf>
    <xf numFmtId="0" fontId="4" fillId="159" borderId="262" applyNumberFormat="0" applyProtection="0">
      <alignment horizontal="right"/>
    </xf>
    <xf numFmtId="0" fontId="4" fillId="158" borderId="298" applyNumberFormat="0" applyAlignment="0" applyProtection="0">
      <alignment wrapText="1"/>
    </xf>
    <xf numFmtId="169" fontId="2" fillId="0" borderId="0" applyFont="0" applyFill="0" applyBorder="0" applyAlignment="0" applyProtection="0">
      <alignment horizontal="left"/>
    </xf>
    <xf numFmtId="0" fontId="4" fillId="158" borderId="298" applyNumberFormat="0" applyAlignment="0" applyProtection="0">
      <alignment wrapText="1"/>
    </xf>
    <xf numFmtId="0" fontId="4" fillId="158" borderId="298" applyNumberFormat="0" applyAlignment="0" applyProtection="0">
      <alignment wrapText="1"/>
    </xf>
    <xf numFmtId="0" fontId="4" fillId="158" borderId="298" applyNumberFormat="0" applyAlignment="0" applyProtection="0">
      <alignment wrapText="1"/>
    </xf>
    <xf numFmtId="0" fontId="4" fillId="159" borderId="262" applyNumberFormat="0" applyProtection="0">
      <alignment horizontal="right"/>
    </xf>
    <xf numFmtId="271" fontId="2" fillId="0" borderId="0" applyFont="0" applyFill="0" applyBorder="0" applyAlignment="0" applyProtection="0">
      <alignment horizontal="left"/>
    </xf>
    <xf numFmtId="0" fontId="2" fillId="160" borderId="0" applyNumberFormat="0" applyBorder="0">
      <alignment horizontal="center" wrapText="1"/>
    </xf>
    <xf numFmtId="271" fontId="2" fillId="0" borderId="0" applyFont="0" applyFill="0" applyBorder="0" applyAlignment="0" applyProtection="0">
      <alignment horizontal="left"/>
    </xf>
    <xf numFmtId="0" fontId="9" fillId="159" borderId="0" applyNumberFormat="0" applyBorder="0" applyProtection="0">
      <alignment horizontal="left"/>
    </xf>
    <xf numFmtId="49" fontId="2" fillId="0" borderId="0" applyFill="0" applyBorder="0" applyProtection="0">
      <alignment horizontal="left"/>
    </xf>
    <xf numFmtId="0" fontId="4" fillId="159" borderId="262" applyNumberFormat="0" applyProtection="0">
      <alignment horizontal="left"/>
    </xf>
    <xf numFmtId="49" fontId="2" fillId="0" borderId="0" applyFill="0" applyBorder="0" applyProtection="0">
      <alignment horizontal="left"/>
    </xf>
    <xf numFmtId="0" fontId="2" fillId="160" borderId="0" applyNumberFormat="0" applyBorder="0">
      <alignment wrapText="1"/>
    </xf>
    <xf numFmtId="0" fontId="4" fillId="159" borderId="262" applyNumberFormat="0" applyProtection="0">
      <alignment horizontal="left"/>
    </xf>
    <xf numFmtId="0" fontId="2" fillId="0" borderId="262" applyNumberFormat="0" applyFill="0" applyProtection="0">
      <alignment horizontal="right"/>
    </xf>
    <xf numFmtId="0" fontId="2" fillId="0" borderId="262" applyNumberFormat="0" applyFill="0" applyProtection="0">
      <alignment horizontal="right"/>
    </xf>
    <xf numFmtId="0" fontId="2" fillId="0" borderId="0" applyNumberFormat="0" applyFill="0" applyBorder="0" applyProtection="0">
      <alignment horizontal="right" wrapText="1"/>
    </xf>
    <xf numFmtId="0" fontId="325" fillId="106" borderId="0" applyNumberFormat="0" applyBorder="0" applyProtection="0">
      <alignment horizontal="left"/>
    </xf>
    <xf numFmtId="272" fontId="2" fillId="0" borderId="0" applyFill="0" applyBorder="0" applyAlignment="0" applyProtection="0">
      <alignment wrapText="1"/>
    </xf>
    <xf numFmtId="273" fontId="2" fillId="0" borderId="0" applyFill="0" applyBorder="0" applyAlignment="0" applyProtection="0">
      <alignment wrapText="1"/>
    </xf>
    <xf numFmtId="274" fontId="2" fillId="0" borderId="0" applyFill="0" applyBorder="0" applyAlignment="0" applyProtection="0">
      <alignment wrapText="1"/>
    </xf>
    <xf numFmtId="270" fontId="2" fillId="0" borderId="0" applyFont="0" applyFill="0" applyBorder="0" applyAlignment="0" applyProtection="0">
      <alignment horizontal="left"/>
    </xf>
    <xf numFmtId="270" fontId="2" fillId="0" borderId="0" applyFont="0" applyFill="0" applyBorder="0" applyAlignment="0" applyProtection="0">
      <alignment horizontal="left"/>
    </xf>
    <xf numFmtId="0" fontId="2" fillId="0" borderId="0" applyNumberFormat="0" applyFill="0" applyBorder="0" applyProtection="0">
      <alignment horizontal="right" wrapText="1"/>
    </xf>
    <xf numFmtId="169" fontId="2" fillId="0" borderId="0" applyFont="0" applyFill="0" applyBorder="0" applyAlignment="0" applyProtection="0">
      <alignment horizontal="left"/>
    </xf>
    <xf numFmtId="169" fontId="2" fillId="0" borderId="0" applyFont="0" applyFill="0" applyBorder="0" applyAlignment="0" applyProtection="0">
      <alignment horizontal="left"/>
    </xf>
    <xf numFmtId="0" fontId="2" fillId="0" borderId="0" applyNumberFormat="0" applyFill="0" applyBorder="0">
      <alignment horizontal="right" wrapText="1"/>
    </xf>
    <xf numFmtId="271" fontId="2" fillId="0" borderId="0" applyFont="0" applyFill="0" applyBorder="0" applyAlignment="0" applyProtection="0">
      <alignment horizontal="left"/>
    </xf>
    <xf numFmtId="271" fontId="2" fillId="0" borderId="0" applyFont="0" applyFill="0" applyBorder="0" applyAlignment="0" applyProtection="0">
      <alignment horizontal="left"/>
    </xf>
    <xf numFmtId="17" fontId="2" fillId="0" borderId="0" applyFill="0" applyBorder="0">
      <alignment horizontal="right" wrapText="1"/>
    </xf>
    <xf numFmtId="49" fontId="2" fillId="0" borderId="0" applyFill="0" applyBorder="0" applyProtection="0">
      <alignment horizontal="left"/>
    </xf>
    <xf numFmtId="49" fontId="2" fillId="0" borderId="0" applyFill="0" applyBorder="0" applyProtection="0">
      <alignment horizontal="left"/>
    </xf>
    <xf numFmtId="275" fontId="2" fillId="0" borderId="0" applyFill="0" applyBorder="0" applyAlignment="0" applyProtection="0">
      <alignment wrapText="1"/>
    </xf>
    <xf numFmtId="0" fontId="9" fillId="0" borderId="0" applyNumberFormat="0" applyFill="0" applyBorder="0">
      <alignment horizontal="left"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0" fontId="4" fillId="0" borderId="0" applyNumberFormat="0" applyFill="0" applyBorder="0">
      <alignment horizontal="center" wrapText="1"/>
    </xf>
    <xf numFmtId="49" fontId="2" fillId="0" borderId="262" applyFill="0" applyProtection="0">
      <alignment horizontal="right"/>
    </xf>
    <xf numFmtId="49" fontId="2" fillId="0" borderId="262" applyFill="0" applyProtection="0">
      <alignment horizontal="right"/>
    </xf>
    <xf numFmtId="0" fontId="4" fillId="159" borderId="262" applyNumberFormat="0" applyProtection="0">
      <alignment horizontal="right"/>
    </xf>
    <xf numFmtId="0" fontId="4" fillId="159" borderId="262" applyNumberFormat="0" applyProtection="0">
      <alignment horizontal="right"/>
    </xf>
    <xf numFmtId="0" fontId="9" fillId="159" borderId="0" applyNumberFormat="0" applyBorder="0" applyProtection="0">
      <alignment horizontal="left"/>
    </xf>
    <xf numFmtId="0" fontId="9" fillId="159" borderId="0">
      <alignment horizontal="left"/>
    </xf>
    <xf numFmtId="0" fontId="325" fillId="106" borderId="0" applyNumberFormat="0" applyBorder="0" applyProtection="0">
      <alignment horizontal="left"/>
    </xf>
    <xf numFmtId="0" fontId="325" fillId="106" borderId="0">
      <alignment horizontal="left"/>
    </xf>
    <xf numFmtId="0" fontId="56" fillId="161" borderId="0" applyNumberFormat="0" applyBorder="0" applyProtection="0">
      <alignment horizontal="left"/>
    </xf>
    <xf numFmtId="0" fontId="56" fillId="161" borderId="0">
      <alignment horizontal="left"/>
    </xf>
    <xf numFmtId="0" fontId="326" fillId="4" borderId="25">
      <alignment horizontal="center"/>
    </xf>
    <xf numFmtId="3" fontId="182" fillId="4" borderId="0"/>
    <xf numFmtId="3" fontId="326" fillId="4" borderId="0"/>
    <xf numFmtId="0" fontId="182" fillId="4" borderId="0"/>
    <xf numFmtId="0" fontId="326" fillId="4" borderId="0"/>
    <xf numFmtId="0" fontId="182" fillId="4" borderId="0">
      <alignment horizontal="center"/>
    </xf>
    <xf numFmtId="2" fontId="327" fillId="106" borderId="246" applyProtection="0"/>
    <xf numFmtId="2" fontId="327" fillId="106" borderId="246" applyProtection="0"/>
    <xf numFmtId="2" fontId="328" fillId="0" borderId="0" applyFill="0" applyBorder="0" applyProtection="0"/>
    <xf numFmtId="0" fontId="2" fillId="0" borderId="174"/>
    <xf numFmtId="2" fontId="328" fillId="161" borderId="246" applyProtection="0"/>
    <xf numFmtId="2" fontId="328" fillId="159" borderId="246" applyProtection="0"/>
    <xf numFmtId="2" fontId="328" fillId="162" borderId="246" applyProtection="0"/>
    <xf numFmtId="2" fontId="328" fillId="159" borderId="246" applyProtection="0">
      <alignment horizontal="center"/>
    </xf>
    <xf numFmtId="1" fontId="329" fillId="0" borderId="0">
      <alignment horizontal="left"/>
    </xf>
    <xf numFmtId="3" fontId="330" fillId="0" borderId="0"/>
    <xf numFmtId="3" fontId="331" fillId="0" borderId="299"/>
    <xf numFmtId="3" fontId="331" fillId="0" borderId="261"/>
    <xf numFmtId="3" fontId="331" fillId="0" borderId="300"/>
    <xf numFmtId="3" fontId="330" fillId="0" borderId="0"/>
    <xf numFmtId="186" fontId="40" fillId="7" borderId="262"/>
    <xf numFmtId="0" fontId="40" fillId="7" borderId="262"/>
    <xf numFmtId="0" fontId="40" fillId="7" borderId="262"/>
    <xf numFmtId="0" fontId="311" fillId="0" borderId="0">
      <alignment horizontal="centerContinuous"/>
    </xf>
    <xf numFmtId="0" fontId="312" fillId="0" borderId="0">
      <alignment horizontal="centerContinuous"/>
    </xf>
    <xf numFmtId="0" fontId="311" fillId="0" borderId="0">
      <alignment horizontal="centerContinuous"/>
    </xf>
    <xf numFmtId="0" fontId="312" fillId="0" borderId="0">
      <alignment horizontal="centerContinuous"/>
    </xf>
    <xf numFmtId="0" fontId="332" fillId="0" borderId="0">
      <alignment wrapText="1"/>
    </xf>
    <xf numFmtId="0" fontId="332" fillId="0" borderId="0">
      <alignment wrapText="1"/>
    </xf>
    <xf numFmtId="0" fontId="332" fillId="0" borderId="0">
      <alignment wrapText="1"/>
    </xf>
    <xf numFmtId="0" fontId="332" fillId="0" borderId="0">
      <alignment wrapText="1"/>
    </xf>
    <xf numFmtId="169" fontId="333" fillId="142" borderId="0">
      <alignment horizontal="left"/>
    </xf>
    <xf numFmtId="0" fontId="334" fillId="0" borderId="0" applyBorder="0" applyProtection="0">
      <alignment vertical="center"/>
    </xf>
    <xf numFmtId="0" fontId="334" fillId="0" borderId="18" applyBorder="0" applyProtection="0">
      <alignment horizontal="right" vertical="center"/>
    </xf>
    <xf numFmtId="0" fontId="335" fillId="163" borderId="0" applyBorder="0" applyProtection="0">
      <alignment horizontal="centerContinuous" vertical="center"/>
    </xf>
    <xf numFmtId="0" fontId="335" fillId="142" borderId="18" applyBorder="0" applyProtection="0">
      <alignment horizontal="centerContinuous" vertical="center"/>
    </xf>
    <xf numFmtId="0" fontId="336" fillId="0" borderId="0" applyNumberFormat="0" applyFill="0" applyBorder="0" applyProtection="0">
      <alignment horizontal="left"/>
    </xf>
    <xf numFmtId="0" fontId="56" fillId="164" borderId="0">
      <alignment horizontal="right" vertical="top" wrapText="1"/>
    </xf>
    <xf numFmtId="0" fontId="56" fillId="164" borderId="0">
      <alignment horizontal="right" vertical="top" wrapText="1"/>
    </xf>
    <xf numFmtId="0" fontId="56" fillId="164" borderId="0">
      <alignment horizontal="right" vertical="top" wrapText="1"/>
    </xf>
    <xf numFmtId="0" fontId="56" fillId="164" borderId="0">
      <alignment horizontal="right" vertical="top" wrapText="1"/>
    </xf>
    <xf numFmtId="0" fontId="337" fillId="0" borderId="27" applyNumberFormat="0" applyFill="0">
      <alignment horizontal="right" vertical="center" wrapText="1"/>
    </xf>
    <xf numFmtId="0" fontId="198" fillId="0" borderId="0"/>
    <xf numFmtId="0" fontId="198" fillId="0" borderId="0"/>
    <xf numFmtId="0" fontId="198" fillId="0" borderId="0"/>
    <xf numFmtId="0" fontId="198" fillId="0" borderId="0"/>
    <xf numFmtId="0" fontId="338" fillId="0" borderId="0"/>
    <xf numFmtId="0" fontId="338" fillId="0" borderId="0"/>
    <xf numFmtId="0" fontId="338" fillId="0" borderId="0"/>
    <xf numFmtId="0" fontId="56" fillId="0" borderId="0" applyBorder="0" applyProtection="0">
      <alignment horizontal="left"/>
    </xf>
    <xf numFmtId="0" fontId="339" fillId="0" borderId="301">
      <alignment horizontal="center" vertical="center"/>
    </xf>
    <xf numFmtId="276" fontId="340" fillId="0" borderId="18">
      <alignment horizontal="center" vertical="center"/>
    </xf>
    <xf numFmtId="43" fontId="339" fillId="0" borderId="301">
      <alignment horizontal="right" vertical="center"/>
    </xf>
    <xf numFmtId="277" fontId="339" fillId="0" borderId="18">
      <alignment horizontal="left" vertical="center"/>
    </xf>
    <xf numFmtId="277" fontId="339" fillId="0" borderId="25">
      <alignment horizontal="left" vertical="center"/>
    </xf>
    <xf numFmtId="278" fontId="339" fillId="0" borderId="18">
      <alignment horizontal="left" vertical="center"/>
    </xf>
    <xf numFmtId="278" fontId="339" fillId="0" borderId="25">
      <alignment horizontal="left" vertical="center"/>
    </xf>
    <xf numFmtId="276" fontId="339" fillId="0" borderId="18">
      <alignment horizontal="center" vertical="center"/>
    </xf>
    <xf numFmtId="43" fontId="340" fillId="0" borderId="18">
      <alignment horizontal="center" vertical="center"/>
    </xf>
    <xf numFmtId="276" fontId="340" fillId="0" borderId="18">
      <alignment horizontal="center" vertical="center"/>
    </xf>
    <xf numFmtId="276" fontId="339" fillId="0" borderId="18">
      <alignment horizontal="center" vertical="center"/>
    </xf>
    <xf numFmtId="0" fontId="341" fillId="0" borderId="18">
      <alignment vertical="center"/>
    </xf>
    <xf numFmtId="43" fontId="341" fillId="0" borderId="301">
      <alignment vertical="center"/>
    </xf>
    <xf numFmtId="277" fontId="341" fillId="0" borderId="18">
      <alignment vertical="center"/>
    </xf>
    <xf numFmtId="277" fontId="341" fillId="0" borderId="25">
      <alignment horizontal="left" vertical="center"/>
    </xf>
    <xf numFmtId="278" fontId="341" fillId="0" borderId="25">
      <alignment horizontal="left" vertical="center"/>
    </xf>
    <xf numFmtId="0" fontId="339" fillId="0" borderId="18">
      <alignment horizontal="center" vertical="center"/>
    </xf>
    <xf numFmtId="43" fontId="339" fillId="0" borderId="18">
      <alignment horizontal="right" vertical="center"/>
    </xf>
    <xf numFmtId="279" fontId="341" fillId="0" borderId="25">
      <alignment horizontal="center" vertical="center"/>
    </xf>
    <xf numFmtId="43" fontId="341" fillId="0" borderId="25">
      <alignment horizontal="center" vertical="center"/>
    </xf>
    <xf numFmtId="2" fontId="341" fillId="0" borderId="25">
      <alignment horizontal="center" vertical="center"/>
    </xf>
    <xf numFmtId="2" fontId="341" fillId="0" borderId="25">
      <alignment horizontal="right" vertical="center"/>
    </xf>
    <xf numFmtId="2" fontId="339" fillId="0" borderId="25">
      <alignment horizontal="center" vertical="center"/>
    </xf>
    <xf numFmtId="2" fontId="339" fillId="0" borderId="25">
      <alignment horizontal="right" vertical="center"/>
    </xf>
    <xf numFmtId="276" fontId="342" fillId="0" borderId="301">
      <alignment horizontal="center" vertical="center"/>
    </xf>
    <xf numFmtId="280" fontId="340" fillId="0" borderId="18">
      <alignment horizontal="center" vertical="center"/>
    </xf>
    <xf numFmtId="280" fontId="340" fillId="0" borderId="25">
      <alignment horizontal="center" vertical="center"/>
    </xf>
    <xf numFmtId="276" fontId="342" fillId="0" borderId="18">
      <alignment horizontal="center" vertical="center"/>
    </xf>
    <xf numFmtId="276" fontId="340" fillId="0" borderId="25">
      <alignment horizontal="center" vertical="center"/>
    </xf>
    <xf numFmtId="0" fontId="339" fillId="0" borderId="0">
      <alignment horizontal="left"/>
    </xf>
    <xf numFmtId="2" fontId="339" fillId="0" borderId="301">
      <alignment horizontal="center" vertical="center"/>
    </xf>
    <xf numFmtId="2" fontId="341" fillId="0" borderId="301">
      <alignment horizontal="center" vertical="center"/>
    </xf>
    <xf numFmtId="2" fontId="339" fillId="0" borderId="18">
      <alignment horizontal="center" vertical="center"/>
    </xf>
    <xf numFmtId="2" fontId="341" fillId="0" borderId="18">
      <alignment horizontal="center" vertical="center"/>
    </xf>
    <xf numFmtId="4" fontId="339" fillId="0" borderId="301">
      <alignment horizontal="right" vertical="center"/>
    </xf>
    <xf numFmtId="4" fontId="341" fillId="0" borderId="301">
      <alignment horizontal="right" vertical="center"/>
    </xf>
    <xf numFmtId="4" fontId="343" fillId="0" borderId="18">
      <alignment horizontal="right" vertical="center"/>
    </xf>
    <xf numFmtId="4" fontId="339" fillId="0" borderId="18">
      <alignment horizontal="right" vertical="center"/>
    </xf>
    <xf numFmtId="2" fontId="339" fillId="0" borderId="18">
      <alignment horizontal="right" vertical="center"/>
    </xf>
    <xf numFmtId="0" fontId="339" fillId="0" borderId="301">
      <alignment horizontal="left" vertical="center"/>
    </xf>
    <xf numFmtId="0" fontId="339" fillId="0" borderId="18">
      <alignment horizontal="left" vertical="center"/>
    </xf>
    <xf numFmtId="0" fontId="341" fillId="0" borderId="18">
      <alignment horizontal="left" vertical="center"/>
    </xf>
    <xf numFmtId="0" fontId="339" fillId="0" borderId="18">
      <alignment horizontal="left" vertical="center"/>
    </xf>
    <xf numFmtId="0" fontId="339" fillId="0" borderId="0">
      <alignment horizontal="right"/>
    </xf>
    <xf numFmtId="0" fontId="344" fillId="0" borderId="0"/>
    <xf numFmtId="0" fontId="344" fillId="0" borderId="0"/>
    <xf numFmtId="0" fontId="344" fillId="0" borderId="0"/>
    <xf numFmtId="281" fontId="8" fillId="0" borderId="0">
      <alignment wrapText="1"/>
      <protection locked="0"/>
    </xf>
    <xf numFmtId="281" fontId="8" fillId="0" borderId="0">
      <alignment wrapText="1"/>
      <protection locked="0"/>
    </xf>
    <xf numFmtId="281" fontId="56" fillId="149" borderId="0">
      <alignment wrapText="1"/>
      <protection locked="0"/>
    </xf>
    <xf numFmtId="281" fontId="56" fillId="149" borderId="0">
      <alignment wrapText="1"/>
      <protection locked="0"/>
    </xf>
    <xf numFmtId="281" fontId="56" fillId="149" borderId="0">
      <alignment wrapText="1"/>
      <protection locked="0"/>
    </xf>
    <xf numFmtId="281" fontId="56" fillId="149" borderId="0">
      <alignment wrapText="1"/>
      <protection locked="0"/>
    </xf>
    <xf numFmtId="281" fontId="8" fillId="0" borderId="0">
      <alignment wrapText="1"/>
      <protection locked="0"/>
    </xf>
    <xf numFmtId="282" fontId="8" fillId="0" borderId="0">
      <alignment wrapText="1"/>
      <protection locked="0"/>
    </xf>
    <xf numFmtId="282" fontId="8" fillId="0" borderId="0">
      <alignment wrapText="1"/>
      <protection locked="0"/>
    </xf>
    <xf numFmtId="282" fontId="8" fillId="0" borderId="0">
      <alignment wrapText="1"/>
      <protection locked="0"/>
    </xf>
    <xf numFmtId="282" fontId="56" fillId="149" borderId="0">
      <alignment wrapText="1"/>
      <protection locked="0"/>
    </xf>
    <xf numFmtId="282" fontId="56" fillId="149" borderId="0">
      <alignment wrapText="1"/>
      <protection locked="0"/>
    </xf>
    <xf numFmtId="282" fontId="56" fillId="149" borderId="0">
      <alignment wrapText="1"/>
      <protection locked="0"/>
    </xf>
    <xf numFmtId="282" fontId="56" fillId="149" borderId="0">
      <alignment wrapText="1"/>
      <protection locked="0"/>
    </xf>
    <xf numFmtId="282" fontId="56" fillId="149" borderId="0">
      <alignment wrapText="1"/>
      <protection locked="0"/>
    </xf>
    <xf numFmtId="282" fontId="8" fillId="0" borderId="0">
      <alignment wrapText="1"/>
      <protection locked="0"/>
    </xf>
    <xf numFmtId="283" fontId="8" fillId="0" borderId="0">
      <alignment wrapText="1"/>
      <protection locked="0"/>
    </xf>
    <xf numFmtId="283" fontId="8" fillId="0" borderId="0">
      <alignment wrapText="1"/>
      <protection locked="0"/>
    </xf>
    <xf numFmtId="283" fontId="56" fillId="149" borderId="0">
      <alignment wrapText="1"/>
      <protection locked="0"/>
    </xf>
    <xf numFmtId="283" fontId="56" fillId="149" borderId="0">
      <alignment wrapText="1"/>
      <protection locked="0"/>
    </xf>
    <xf numFmtId="283" fontId="56" fillId="149" borderId="0">
      <alignment wrapText="1"/>
      <protection locked="0"/>
    </xf>
    <xf numFmtId="283" fontId="56" fillId="149" borderId="0">
      <alignment wrapText="1"/>
      <protection locked="0"/>
    </xf>
    <xf numFmtId="283" fontId="8" fillId="0" borderId="0">
      <alignment wrapText="1"/>
      <protection locked="0"/>
    </xf>
    <xf numFmtId="0" fontId="339" fillId="0" borderId="0">
      <alignment horizontal="center"/>
    </xf>
    <xf numFmtId="0" fontId="205" fillId="0" borderId="0" applyNumberFormat="0" applyFill="0" applyBorder="0" applyProtection="0">
      <alignment horizontal="left"/>
    </xf>
    <xf numFmtId="0" fontId="235" fillId="0" borderId="0" applyNumberFormat="0" applyFill="0" applyBorder="0" applyProtection="0"/>
    <xf numFmtId="0" fontId="33" fillId="0" borderId="0" applyFill="0" applyBorder="0" applyProtection="0">
      <alignment horizontal="left"/>
    </xf>
    <xf numFmtId="284" fontId="56" fillId="164" borderId="302">
      <alignment wrapText="1"/>
    </xf>
    <xf numFmtId="284" fontId="56" fillId="164" borderId="302">
      <alignment wrapText="1"/>
    </xf>
    <xf numFmtId="284" fontId="56" fillId="164" borderId="302">
      <alignment wrapText="1"/>
    </xf>
    <xf numFmtId="284" fontId="56" fillId="164" borderId="302">
      <alignment wrapText="1"/>
    </xf>
    <xf numFmtId="284" fontId="56" fillId="164" borderId="302">
      <alignment wrapText="1"/>
    </xf>
    <xf numFmtId="285" fontId="56" fillId="164" borderId="302">
      <alignment wrapText="1"/>
    </xf>
    <xf numFmtId="285" fontId="56" fillId="164" borderId="302">
      <alignment wrapText="1"/>
    </xf>
    <xf numFmtId="285" fontId="56" fillId="164" borderId="302">
      <alignment wrapText="1"/>
    </xf>
    <xf numFmtId="285" fontId="56" fillId="164" borderId="302">
      <alignment wrapText="1"/>
    </xf>
    <xf numFmtId="285" fontId="56" fillId="164" borderId="302">
      <alignment wrapText="1"/>
    </xf>
    <xf numFmtId="285" fontId="56" fillId="164" borderId="302">
      <alignment wrapText="1"/>
    </xf>
    <xf numFmtId="285" fontId="56" fillId="164" borderId="302">
      <alignment wrapText="1"/>
    </xf>
    <xf numFmtId="286" fontId="56" fillId="164" borderId="302">
      <alignment wrapText="1"/>
    </xf>
    <xf numFmtId="286" fontId="56" fillId="164" borderId="302">
      <alignment wrapText="1"/>
    </xf>
    <xf numFmtId="286" fontId="56" fillId="164" borderId="302">
      <alignment wrapText="1"/>
    </xf>
    <xf numFmtId="286" fontId="56" fillId="164" borderId="302">
      <alignment wrapText="1"/>
    </xf>
    <xf numFmtId="286" fontId="56" fillId="164" borderId="302">
      <alignment wrapText="1"/>
    </xf>
    <xf numFmtId="0" fontId="198" fillId="0" borderId="303">
      <alignment horizontal="right"/>
    </xf>
    <xf numFmtId="0" fontId="198" fillId="0" borderId="303">
      <alignment horizontal="right"/>
    </xf>
    <xf numFmtId="0" fontId="198" fillId="0" borderId="303">
      <alignment horizontal="right"/>
    </xf>
    <xf numFmtId="0" fontId="8" fillId="0" borderId="17" applyFill="0" applyBorder="0" applyProtection="0">
      <alignment horizontal="left" vertical="top"/>
    </xf>
    <xf numFmtId="0" fontId="198" fillId="0" borderId="303">
      <alignment horizontal="right"/>
    </xf>
    <xf numFmtId="171" fontId="4" fillId="0" borderId="0" applyFont="0">
      <alignment horizontal="center"/>
    </xf>
    <xf numFmtId="287" fontId="2" fillId="0" borderId="0" applyNumberFormat="0" applyFill="0" applyBorder="0">
      <alignment horizontal="left"/>
    </xf>
    <xf numFmtId="287" fontId="2" fillId="0" borderId="0" applyNumberFormat="0" applyFill="0" applyBorder="0">
      <alignment horizontal="right"/>
    </xf>
    <xf numFmtId="0" fontId="2" fillId="0" borderId="0"/>
    <xf numFmtId="181" fontId="2" fillId="0" borderId="0" applyAlignment="0">
      <alignment horizontal="left"/>
    </xf>
    <xf numFmtId="181" fontId="2" fillId="0" borderId="0" applyAlignment="0">
      <alignment horizontal="left"/>
    </xf>
    <xf numFmtId="15" fontId="2" fillId="0" borderId="0"/>
    <xf numFmtId="15" fontId="2" fillId="0" borderId="0"/>
    <xf numFmtId="15" fontId="2" fillId="0" borderId="0"/>
    <xf numFmtId="15" fontId="2" fillId="0" borderId="0"/>
    <xf numFmtId="181" fontId="2" fillId="0" borderId="0" applyAlignment="0">
      <alignment horizontal="left"/>
    </xf>
    <xf numFmtId="181" fontId="2" fillId="0" borderId="0" applyAlignment="0">
      <alignment horizontal="left"/>
    </xf>
    <xf numFmtId="181" fontId="2" fillId="0" borderId="0" applyAlignment="0">
      <alignment horizontal="left"/>
    </xf>
    <xf numFmtId="181" fontId="2" fillId="0" borderId="0" applyAlignment="0">
      <alignment horizontal="left"/>
    </xf>
    <xf numFmtId="181" fontId="2" fillId="0" borderId="0" applyAlignment="0">
      <alignment horizontal="left"/>
    </xf>
    <xf numFmtId="181" fontId="2" fillId="0" borderId="0" applyAlignment="0">
      <alignment horizontal="left"/>
    </xf>
    <xf numFmtId="0" fontId="345" fillId="0" borderId="0" applyNumberFormat="0" applyFill="0" applyBorder="0" applyAlignment="0" applyProtection="0"/>
    <xf numFmtId="0" fontId="345" fillId="0" borderId="0"/>
    <xf numFmtId="0" fontId="346" fillId="0" borderId="0" applyNumberFormat="0" applyFill="0" applyBorder="0" applyAlignment="0" applyProtection="0"/>
    <xf numFmtId="0" fontId="346" fillId="0" borderId="0"/>
    <xf numFmtId="0" fontId="347" fillId="0" borderId="0"/>
    <xf numFmtId="49" fontId="6" fillId="0" borderId="0" applyFont="0" applyFill="0" applyBorder="0" applyAlignment="0" applyProtection="0"/>
    <xf numFmtId="0" fontId="348" fillId="0" borderId="0" applyNumberFormat="0" applyFill="0" applyBorder="0" applyProtection="0"/>
    <xf numFmtId="0" fontId="348" fillId="0" borderId="0" applyNumberFormat="0" applyFill="0" applyBorder="0" applyProtection="0"/>
    <xf numFmtId="0" fontId="2" fillId="0" borderId="0" applyNumberFormat="0" applyFill="0" applyBorder="0" applyProtection="0"/>
    <xf numFmtId="0" fontId="2" fillId="0" borderId="0" applyNumberFormat="0" applyFill="0" applyBorder="0" applyProtection="0"/>
    <xf numFmtId="0" fontId="348" fillId="0" borderId="0" applyNumberFormat="0" applyFill="0" applyBorder="0" applyProtection="0"/>
    <xf numFmtId="0" fontId="348" fillId="0" borderId="0"/>
    <xf numFmtId="186" fontId="56" fillId="64" borderId="0"/>
    <xf numFmtId="189" fontId="56" fillId="64" borderId="0"/>
    <xf numFmtId="186" fontId="8" fillId="64" borderId="0">
      <alignment horizontal="left"/>
    </xf>
    <xf numFmtId="189" fontId="8" fillId="64" borderId="0">
      <alignment horizontal="left"/>
    </xf>
    <xf numFmtId="186" fontId="8" fillId="64" borderId="0">
      <alignment horizontal="left" indent="1"/>
    </xf>
    <xf numFmtId="189" fontId="8" fillId="64" borderId="0">
      <alignment horizontal="left" indent="1"/>
    </xf>
    <xf numFmtId="186" fontId="8" fillId="64" borderId="0">
      <alignment horizontal="left" vertical="center" indent="2"/>
    </xf>
    <xf numFmtId="189" fontId="8" fillId="64" borderId="0">
      <alignment horizontal="left" vertical="center" indent="2"/>
    </xf>
    <xf numFmtId="49" fontId="349" fillId="0" borderId="0" applyFill="0" applyBorder="0" applyProtection="0">
      <alignment horizontal="center" vertical="top"/>
    </xf>
    <xf numFmtId="186" fontId="127" fillId="0" borderId="0">
      <alignment horizontal="center"/>
    </xf>
    <xf numFmtId="0" fontId="127" fillId="0" borderId="0">
      <alignment horizontal="center"/>
    </xf>
    <xf numFmtId="15" fontId="127" fillId="0" borderId="0">
      <alignment horizontal="center"/>
    </xf>
    <xf numFmtId="288" fontId="11" fillId="106" borderId="249">
      <alignment horizontal="center" vertical="center"/>
    </xf>
    <xf numFmtId="40" fontId="350" fillId="0" borderId="0"/>
    <xf numFmtId="0" fontId="351" fillId="0" borderId="0">
      <alignment vertical="center"/>
    </xf>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3" fillId="0" borderId="0" applyNumberFormat="0" applyFill="0" applyBorder="0" applyAlignment="0" applyProtection="0"/>
    <xf numFmtId="0" fontId="353" fillId="0" borderId="0" applyNumberFormat="0" applyFill="0" applyBorder="0" applyAlignment="0" applyProtection="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246" fillId="0" borderId="0" applyNumberFormat="0" applyFill="0" applyBorder="0" applyProtection="0">
      <alignment horizontal="left" vertical="center" indent="10"/>
    </xf>
    <xf numFmtId="0" fontId="354" fillId="0" borderId="0" applyNumberFormat="0" applyFill="0" applyBorder="0" applyAlignment="0" applyProtection="0"/>
    <xf numFmtId="0" fontId="352" fillId="0" borderId="0"/>
    <xf numFmtId="0" fontId="352" fillId="0" borderId="0"/>
    <xf numFmtId="0" fontId="352" fillId="0" borderId="0"/>
    <xf numFmtId="0" fontId="352" fillId="0" borderId="0"/>
    <xf numFmtId="0" fontId="352" fillId="0" borderId="0"/>
    <xf numFmtId="0" fontId="355" fillId="0" borderId="0"/>
    <xf numFmtId="0" fontId="352" fillId="0" borderId="0"/>
    <xf numFmtId="0" fontId="355" fillId="0" borderId="0"/>
    <xf numFmtId="0" fontId="352" fillId="0" borderId="0"/>
    <xf numFmtId="0" fontId="352" fillId="0" borderId="0"/>
    <xf numFmtId="0" fontId="355" fillId="0" borderId="0"/>
    <xf numFmtId="0" fontId="352" fillId="0" borderId="0"/>
    <xf numFmtId="0" fontId="352" fillId="0" borderId="0"/>
    <xf numFmtId="0" fontId="352" fillId="0" borderId="0"/>
    <xf numFmtId="0" fontId="352" fillId="0" borderId="0"/>
    <xf numFmtId="0" fontId="246" fillId="0" borderId="0" applyNumberFormat="0" applyFill="0" applyBorder="0" applyProtection="0">
      <alignment horizontal="left" vertical="center" indent="10"/>
    </xf>
    <xf numFmtId="0" fontId="353" fillId="0" borderId="0" applyNumberFormat="0" applyFill="0" applyBorder="0" applyAlignment="0" applyProtection="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3" fillId="0" borderId="0" applyNumberFormat="0" applyFill="0" applyBorder="0" applyAlignment="0" applyProtection="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2" fillId="0" borderId="0"/>
    <xf numFmtId="0" fontId="355" fillId="0" borderId="0"/>
    <xf numFmtId="0" fontId="352" fillId="0" borderId="0"/>
    <xf numFmtId="0" fontId="355" fillId="0" borderId="0"/>
    <xf numFmtId="0" fontId="352" fillId="0" borderId="0"/>
    <xf numFmtId="0" fontId="355" fillId="0" borderId="0"/>
    <xf numFmtId="0" fontId="355" fillId="0" borderId="0"/>
    <xf numFmtId="0" fontId="352" fillId="0" borderId="0"/>
    <xf numFmtId="0" fontId="352" fillId="0" borderId="0"/>
    <xf numFmtId="0" fontId="356" fillId="0" borderId="0"/>
    <xf numFmtId="0" fontId="352" fillId="0" borderId="0"/>
    <xf numFmtId="0" fontId="352" fillId="0" borderId="0"/>
    <xf numFmtId="0" fontId="352" fillId="0" borderId="0"/>
    <xf numFmtId="0" fontId="352" fillId="0" borderId="0"/>
    <xf numFmtId="186" fontId="121" fillId="123" borderId="304"/>
    <xf numFmtId="0" fontId="357" fillId="0" borderId="0">
      <alignment horizontal="left" vertical="top"/>
    </xf>
    <xf numFmtId="0" fontId="121" fillId="123" borderId="304"/>
    <xf numFmtId="186" fontId="121" fillId="123" borderId="304"/>
    <xf numFmtId="0" fontId="357" fillId="0" borderId="0">
      <alignment horizontal="left" vertical="top"/>
    </xf>
    <xf numFmtId="186" fontId="121" fillId="123" borderId="304"/>
    <xf numFmtId="189" fontId="121" fillId="123" borderId="304"/>
    <xf numFmtId="186" fontId="121" fillId="123" borderId="304"/>
    <xf numFmtId="0" fontId="357" fillId="0" borderId="0">
      <alignment horizontal="left" vertical="top"/>
    </xf>
    <xf numFmtId="186" fontId="121" fillId="123" borderId="304"/>
    <xf numFmtId="0" fontId="357" fillId="0" borderId="0">
      <alignment horizontal="left" vertical="top"/>
    </xf>
    <xf numFmtId="186" fontId="121" fillId="123" borderId="304"/>
    <xf numFmtId="186" fontId="121" fillId="123" borderId="304"/>
    <xf numFmtId="186" fontId="121" fillId="123" borderId="304"/>
    <xf numFmtId="186" fontId="121" fillId="123" borderId="304"/>
    <xf numFmtId="186" fontId="121" fillId="123" borderId="304"/>
    <xf numFmtId="186" fontId="154" fillId="123" borderId="305">
      <alignment horizontal="left"/>
    </xf>
    <xf numFmtId="0" fontId="358" fillId="0" borderId="0">
      <alignment horizontal="left"/>
    </xf>
    <xf numFmtId="186" fontId="154" fillId="123" borderId="305">
      <alignment horizontal="left"/>
    </xf>
    <xf numFmtId="0" fontId="358" fillId="0" borderId="0">
      <alignment horizontal="left"/>
    </xf>
    <xf numFmtId="189" fontId="154" fillId="123" borderId="305">
      <alignment horizontal="left"/>
    </xf>
    <xf numFmtId="0" fontId="154" fillId="123" borderId="305">
      <alignment horizontal="left"/>
    </xf>
    <xf numFmtId="0" fontId="358" fillId="0" borderId="0">
      <alignment horizontal="left"/>
    </xf>
    <xf numFmtId="0" fontId="358" fillId="0" borderId="0">
      <alignment horizontal="left"/>
    </xf>
    <xf numFmtId="22" fontId="41" fillId="7" borderId="305">
      <alignment vertical="center"/>
    </xf>
    <xf numFmtId="22" fontId="41" fillId="7" borderId="305">
      <alignment vertical="center"/>
    </xf>
    <xf numFmtId="22" fontId="41" fillId="7" borderId="305">
      <alignment vertical="center"/>
    </xf>
    <xf numFmtId="22" fontId="41" fillId="7" borderId="305">
      <alignment vertical="center"/>
    </xf>
    <xf numFmtId="22" fontId="41" fillId="7" borderId="305">
      <alignment vertical="center"/>
    </xf>
    <xf numFmtId="22" fontId="41" fillId="7" borderId="305">
      <alignment vertical="center"/>
    </xf>
    <xf numFmtId="22" fontId="41" fillId="7" borderId="305">
      <alignment vertical="center"/>
    </xf>
    <xf numFmtId="22" fontId="41" fillId="7" borderId="305">
      <alignment vertical="center"/>
    </xf>
    <xf numFmtId="186" fontId="41" fillId="7" borderId="305">
      <alignment horizontal="left" vertical="top" wrapText="1"/>
    </xf>
    <xf numFmtId="0"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9"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6" fontId="41" fillId="7" borderId="305">
      <alignment horizontal="left" vertical="top" wrapText="1"/>
    </xf>
    <xf numFmtId="186" fontId="41" fillId="7" borderId="306"/>
    <xf numFmtId="0" fontId="41" fillId="7" borderId="306"/>
    <xf numFmtId="0" fontId="41" fillId="7" borderId="306"/>
    <xf numFmtId="186" fontId="41" fillId="7" borderId="306"/>
    <xf numFmtId="186" fontId="41" fillId="7" borderId="306"/>
    <xf numFmtId="189"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0" fontId="41" fillId="7" borderId="306"/>
    <xf numFmtId="0" fontId="41" fillId="7" borderId="306"/>
    <xf numFmtId="186" fontId="41" fillId="7" borderId="306"/>
    <xf numFmtId="186" fontId="41" fillId="7" borderId="306"/>
    <xf numFmtId="189"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186" fontId="41" fillId="7" borderId="306"/>
    <xf numFmtId="0" fontId="359" fillId="0" borderId="0" applyNumberFormat="0" applyFill="0" applyBorder="0" applyAlignment="0" applyProtection="0"/>
    <xf numFmtId="0" fontId="360" fillId="0" borderId="307" applyNumberFormat="0" applyFill="0" applyAlignment="0" applyProtection="0"/>
    <xf numFmtId="0" fontId="360" fillId="0" borderId="307"/>
    <xf numFmtId="0" fontId="361" fillId="0" borderId="308" applyNumberFormat="0" applyFill="0" applyAlignment="0" applyProtection="0"/>
    <xf numFmtId="0" fontId="361" fillId="0" borderId="308"/>
    <xf numFmtId="0" fontId="362" fillId="0" borderId="309" applyNumberFormat="0" applyFill="0" applyAlignment="0" applyProtection="0"/>
    <xf numFmtId="0" fontId="362" fillId="0" borderId="309"/>
    <xf numFmtId="0" fontId="362" fillId="0" borderId="0" applyNumberFormat="0" applyFill="0" applyBorder="0" applyAlignment="0" applyProtection="0"/>
    <xf numFmtId="0" fontId="362" fillId="0" borderId="0"/>
    <xf numFmtId="0" fontId="355" fillId="0" borderId="0"/>
    <xf numFmtId="0" fontId="353" fillId="0" borderId="0" applyNumberFormat="0" applyFill="0" applyBorder="0" applyAlignment="0" applyProtection="0"/>
    <xf numFmtId="0" fontId="363" fillId="0" borderId="0"/>
    <xf numFmtId="289" fontId="112" fillId="165" borderId="0" applyNumberFormat="0" applyBorder="0">
      <protection locked="0"/>
    </xf>
    <xf numFmtId="0" fontId="364" fillId="166" borderId="0">
      <alignment horizontal="center" vertical="center" wrapText="1"/>
    </xf>
    <xf numFmtId="0" fontId="2" fillId="0" borderId="0"/>
    <xf numFmtId="0" fontId="348" fillId="0" borderId="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200" fillId="0" borderId="310" applyNumberFormat="0" applyFill="0" applyAlignment="0" applyProtection="0"/>
    <xf numFmtId="0" fontId="365" fillId="0" borderId="310"/>
    <xf numFmtId="0" fontId="365" fillId="0" borderId="310" applyNumberFormat="0" applyFill="0" applyAlignment="0" applyProtection="0"/>
    <xf numFmtId="0" fontId="365" fillId="0" borderId="310" applyNumberFormat="0" applyFill="0" applyAlignment="0" applyProtection="0"/>
    <xf numFmtId="186" fontId="299" fillId="0" borderId="311" applyNumberFormat="0" applyFill="0" applyAlignment="0" applyProtection="0"/>
    <xf numFmtId="0" fontId="365" fillId="0" borderId="310" applyNumberFormat="0" applyFill="0" applyAlignment="0" applyProtection="0"/>
    <xf numFmtId="0" fontId="365" fillId="0" borderId="310" applyNumberFormat="0" applyFill="0" applyAlignment="0" applyProtection="0"/>
    <xf numFmtId="0" fontId="365" fillId="0" borderId="310" applyNumberFormat="0" applyFill="0" applyAlignment="0" applyProtection="0"/>
    <xf numFmtId="0" fontId="200" fillId="0" borderId="310" applyNumberFormat="0" applyFill="0" applyAlignment="0" applyProtection="0"/>
    <xf numFmtId="186" fontId="299" fillId="0" borderId="311" applyNumberFormat="0" applyFill="0" applyAlignment="0" applyProtection="0"/>
    <xf numFmtId="186" fontId="299" fillId="0" borderId="311" applyNumberFormat="0" applyFill="0" applyAlignment="0" applyProtection="0"/>
    <xf numFmtId="186" fontId="299" fillId="0" borderId="311" applyNumberFormat="0" applyFill="0" applyAlignment="0" applyProtection="0"/>
    <xf numFmtId="186" fontId="299" fillId="0" borderId="311" applyNumberFormat="0" applyFill="0" applyAlignment="0" applyProtection="0"/>
    <xf numFmtId="186" fontId="299" fillId="0" borderId="311" applyNumberFormat="0" applyFill="0" applyAlignment="0" applyProtection="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applyNumberFormat="0" applyFill="0" applyAlignment="0" applyProtection="0"/>
    <xf numFmtId="0" fontId="299" fillId="0" borderId="311" applyNumberFormat="0" applyFill="0" applyAlignment="0" applyProtection="0"/>
    <xf numFmtId="186" fontId="365" fillId="0" borderId="312" applyNumberFormat="0" applyFill="0" applyAlignment="0" applyProtection="0"/>
    <xf numFmtId="186" fontId="365" fillId="0" borderId="312" applyNumberFormat="0" applyFill="0" applyAlignment="0" applyProtection="0"/>
    <xf numFmtId="186" fontId="365" fillId="0" borderId="312" applyNumberFormat="0" applyFill="0" applyAlignment="0" applyProtection="0"/>
    <xf numFmtId="186" fontId="365" fillId="0" borderId="312" applyNumberFormat="0" applyFill="0" applyAlignment="0" applyProtection="0"/>
    <xf numFmtId="186" fontId="365" fillId="0" borderId="312" applyNumberFormat="0" applyFill="0" applyAlignment="0" applyProtection="0"/>
    <xf numFmtId="186" fontId="365" fillId="0" borderId="312" applyNumberFormat="0" applyFill="0" applyAlignment="0" applyProtection="0"/>
    <xf numFmtId="0" fontId="299" fillId="0" borderId="311" applyNumberFormat="0" applyFill="0" applyAlignment="0" applyProtection="0"/>
    <xf numFmtId="0" fontId="299" fillId="0" borderId="311" applyNumberFormat="0" applyFill="0" applyAlignment="0" applyProtection="0"/>
    <xf numFmtId="0" fontId="365" fillId="0" borderId="310"/>
    <xf numFmtId="0" fontId="365" fillId="0" borderId="310"/>
    <xf numFmtId="0" fontId="365" fillId="0" borderId="310"/>
    <xf numFmtId="0" fontId="365" fillId="0" borderId="310"/>
    <xf numFmtId="0" fontId="365" fillId="0" borderId="310"/>
    <xf numFmtId="0" fontId="366" fillId="0" borderId="313"/>
    <xf numFmtId="0" fontId="365" fillId="0" borderId="310"/>
    <xf numFmtId="0" fontId="366" fillId="0" borderId="313"/>
    <xf numFmtId="0" fontId="365" fillId="0" borderId="310"/>
    <xf numFmtId="0" fontId="365" fillId="0" borderId="310"/>
    <xf numFmtId="0" fontId="366" fillId="0" borderId="313"/>
    <xf numFmtId="0" fontId="365" fillId="0" borderId="310"/>
    <xf numFmtId="0" fontId="365" fillId="0" borderId="310"/>
    <xf numFmtId="0" fontId="365" fillId="0" borderId="310"/>
    <xf numFmtId="0" fontId="365" fillId="0" borderId="310"/>
    <xf numFmtId="0" fontId="365" fillId="0" borderId="310"/>
    <xf numFmtId="0" fontId="365" fillId="0" borderId="310" applyNumberFormat="0" applyFill="0" applyAlignment="0" applyProtection="0"/>
    <xf numFmtId="0" fontId="365" fillId="0" borderId="310" applyNumberFormat="0" applyFill="0" applyAlignment="0" applyProtection="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5" fillId="0" borderId="310"/>
    <xf numFmtId="0" fontId="366" fillId="0" borderId="313"/>
    <xf numFmtId="0" fontId="365" fillId="0" borderId="310"/>
    <xf numFmtId="0" fontId="366" fillId="0" borderId="313"/>
    <xf numFmtId="0" fontId="365" fillId="0" borderId="310"/>
    <xf numFmtId="0" fontId="366" fillId="0" borderId="313"/>
    <xf numFmtId="0" fontId="365" fillId="0" borderId="310"/>
    <xf numFmtId="0" fontId="365" fillId="0" borderId="310"/>
    <xf numFmtId="0" fontId="104" fillId="0" borderId="245"/>
    <xf numFmtId="0" fontId="365" fillId="0" borderId="310"/>
    <xf numFmtId="0" fontId="365" fillId="0" borderId="310" applyNumberFormat="0" applyFill="0" applyAlignment="0" applyProtection="0"/>
    <xf numFmtId="0" fontId="367" fillId="0" borderId="245" applyNumberFormat="0" applyFill="0" applyAlignment="0" applyProtection="0"/>
    <xf numFmtId="0" fontId="365" fillId="0" borderId="310"/>
    <xf numFmtId="0" fontId="365" fillId="0" borderId="310"/>
    <xf numFmtId="0" fontId="365" fillId="0" borderId="310"/>
    <xf numFmtId="0" fontId="368" fillId="0" borderId="0" applyFill="0" applyBorder="0" applyProtection="0"/>
    <xf numFmtId="289" fontId="5" fillId="167" borderId="0" applyNumberFormat="0" applyBorder="0">
      <protection locked="0"/>
    </xf>
    <xf numFmtId="0" fontId="368" fillId="0" borderId="0" applyFill="0" applyBorder="0" applyProtection="0"/>
    <xf numFmtId="0" fontId="365" fillId="0" borderId="314" applyNumberFormat="0" applyFill="0" applyAlignment="0" applyProtection="0"/>
    <xf numFmtId="0" fontId="365" fillId="0" borderId="314" applyNumberFormat="0" applyFill="0" applyAlignment="0" applyProtection="0"/>
    <xf numFmtId="0" fontId="365" fillId="0" borderId="314" applyNumberFormat="0" applyFill="0" applyAlignment="0" applyProtection="0"/>
    <xf numFmtId="0" fontId="365" fillId="0" borderId="314" applyNumberFormat="0" applyFill="0" applyAlignment="0" applyProtection="0"/>
    <xf numFmtId="41" fontId="2" fillId="0" borderId="0" applyFont="0" applyFill="0" applyBorder="0" applyAlignment="0" applyProtection="0"/>
    <xf numFmtId="43" fontId="2" fillId="0" borderId="0" applyFont="0" applyFill="0" applyBorder="0" applyAlignment="0" applyProtection="0"/>
    <xf numFmtId="0" fontId="2" fillId="0" borderId="0"/>
    <xf numFmtId="0" fontId="151" fillId="0" borderId="0"/>
    <xf numFmtId="0" fontId="2" fillId="0" borderId="0"/>
    <xf numFmtId="37" fontId="8" fillId="81" borderId="0" applyNumberFormat="0" applyBorder="0" applyAlignment="0" applyProtection="0"/>
    <xf numFmtId="37" fontId="8" fillId="81" borderId="0" applyNumberFormat="0" applyBorder="0" applyAlignment="0" applyProtection="0"/>
    <xf numFmtId="37" fontId="8" fillId="0" borderId="0"/>
    <xf numFmtId="37" fontId="8" fillId="0" borderId="0"/>
    <xf numFmtId="37" fontId="8" fillId="0" borderId="0"/>
    <xf numFmtId="37" fontId="8" fillId="81" borderId="0" applyNumberFormat="0" applyBorder="0" applyAlignment="0" applyProtection="0"/>
    <xf numFmtId="3" fontId="109" fillId="0" borderId="14" applyProtection="0"/>
    <xf numFmtId="10" fontId="128" fillId="46" borderId="249" applyNumberFormat="0" applyFont="0" applyAlignment="0" applyProtection="0">
      <protection locked="0"/>
    </xf>
    <xf numFmtId="0" fontId="369" fillId="71" borderId="0" applyNumberFormat="0" applyBorder="0" applyAlignment="0" applyProtection="0"/>
    <xf numFmtId="0" fontId="369" fillId="81" borderId="0"/>
    <xf numFmtId="0" fontId="207" fillId="57" borderId="0" applyNumberFormat="0" applyBorder="0" applyAlignment="0" applyProtection="0"/>
    <xf numFmtId="0" fontId="207" fillId="2" borderId="0"/>
    <xf numFmtId="0" fontId="2" fillId="0" borderId="0"/>
    <xf numFmtId="42" fontId="2" fillId="0" borderId="0" applyFont="0" applyFill="0" applyBorder="0" applyAlignment="0" applyProtection="0"/>
    <xf numFmtId="290" fontId="2" fillId="0" borderId="0" applyFont="0" applyFill="0" applyBorder="0" applyAlignment="0" applyProtection="0"/>
    <xf numFmtId="0" fontId="2" fillId="0" borderId="0">
      <alignment horizontal="center" textRotation="180"/>
    </xf>
    <xf numFmtId="291" fontId="58" fillId="0" borderId="0" applyFont="0" applyFill="0" applyBorder="0" applyAlignment="0" applyProtection="0"/>
    <xf numFmtId="292" fontId="58" fillId="0" borderId="0" applyFont="0" applyFill="0" applyBorder="0" applyAlignment="0" applyProtection="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87" fillId="0" borderId="0" applyNumberFormat="0" applyFill="0" applyBorder="0" applyAlignment="0" applyProtection="0"/>
    <xf numFmtId="0" fontId="272" fillId="0" borderId="0" applyNumberFormat="0" applyFill="0" applyBorder="0" applyAlignment="0" applyProtection="0"/>
    <xf numFmtId="0" fontId="272" fillId="0" borderId="0"/>
    <xf numFmtId="0" fontId="370" fillId="0" borderId="0"/>
    <xf numFmtId="0" fontId="272" fillId="0" borderId="0"/>
    <xf numFmtId="0" fontId="272" fillId="0" borderId="0" applyNumberFormat="0" applyFill="0" applyBorder="0" applyAlignment="0" applyProtection="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applyNumberFormat="0" applyFill="0" applyBorder="0" applyAlignment="0" applyProtection="0"/>
    <xf numFmtId="0" fontId="272" fillId="0" borderId="0" applyNumberFormat="0" applyFill="0" applyBorder="0" applyAlignment="0" applyProtection="0"/>
    <xf numFmtId="0" fontId="272" fillId="0" borderId="0"/>
    <xf numFmtId="0" fontId="272" fillId="0" borderId="0"/>
    <xf numFmtId="0" fontId="272" fillId="0" borderId="0"/>
    <xf numFmtId="0" fontId="272" fillId="0" borderId="0"/>
    <xf numFmtId="0" fontId="272" fillId="0" borderId="0"/>
    <xf numFmtId="0" fontId="371" fillId="0" borderId="0"/>
    <xf numFmtId="0" fontId="272" fillId="0" borderId="0"/>
    <xf numFmtId="0" fontId="371" fillId="0" borderId="0"/>
    <xf numFmtId="0" fontId="272" fillId="0" borderId="0"/>
    <xf numFmtId="0" fontId="272" fillId="0" borderId="0"/>
    <xf numFmtId="0" fontId="371"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272" fillId="0" borderId="0"/>
    <xf numFmtId="0" fontId="371" fillId="0" borderId="0"/>
    <xf numFmtId="0" fontId="272" fillId="0" borderId="0"/>
    <xf numFmtId="0" fontId="272" fillId="0" borderId="0"/>
    <xf numFmtId="0" fontId="371" fillId="0" borderId="0"/>
    <xf numFmtId="0" fontId="272" fillId="0" borderId="0"/>
    <xf numFmtId="0" fontId="272" fillId="0" borderId="0"/>
    <xf numFmtId="0" fontId="106" fillId="0" borderId="0"/>
    <xf numFmtId="0" fontId="272" fillId="0" borderId="0"/>
    <xf numFmtId="0" fontId="372" fillId="0" borderId="0" applyNumberFormat="0" applyFill="0" applyBorder="0" applyAlignment="0" applyProtection="0"/>
    <xf numFmtId="0" fontId="272" fillId="0" borderId="0"/>
    <xf numFmtId="0" fontId="272" fillId="0" borderId="0"/>
    <xf numFmtId="0" fontId="272" fillId="0" borderId="0"/>
    <xf numFmtId="0" fontId="2" fillId="0" borderId="0"/>
    <xf numFmtId="0" fontId="2" fillId="0" borderId="0"/>
    <xf numFmtId="0" fontId="8" fillId="0" borderId="0"/>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49" fontId="349" fillId="79" borderId="0" applyNumberFormat="0" applyFont="0" applyBorder="0" applyAlignment="0" applyProtection="0">
      <alignment horizontal="center"/>
    </xf>
    <xf numFmtId="10" fontId="2" fillId="78" borderId="19" applyNumberFormat="0" applyFont="0" applyBorder="0" applyAlignment="0" applyProtection="0">
      <protection locked="0"/>
    </xf>
    <xf numFmtId="10" fontId="2" fillId="78" borderId="19" applyNumberFormat="0" applyFont="0" applyBorder="0" applyAlignment="0" applyProtection="0">
      <protection locked="0"/>
    </xf>
    <xf numFmtId="0" fontId="225" fillId="81" borderId="0">
      <alignment horizontal="left" vertical="center" indent="1"/>
    </xf>
    <xf numFmtId="0" fontId="225" fillId="81" borderId="0">
      <alignment horizontal="left" vertical="center" indent="1"/>
    </xf>
    <xf numFmtId="293" fontId="184" fillId="0" borderId="0" applyFont="0" applyFill="0" applyBorder="0" applyAlignment="0" applyProtection="0"/>
    <xf numFmtId="4" fontId="119" fillId="0" borderId="0"/>
    <xf numFmtId="0" fontId="373" fillId="0" borderId="0"/>
    <xf numFmtId="0" fontId="1" fillId="0" borderId="0"/>
    <xf numFmtId="0" fontId="2" fillId="0" borderId="0"/>
    <xf numFmtId="0" fontId="2" fillId="0" borderId="0"/>
  </cellStyleXfs>
  <cellXfs count="3947">
    <xf numFmtId="0" fontId="0" fillId="0" borderId="0" xfId="0"/>
    <xf numFmtId="0" fontId="0" fillId="0" borderId="0" xfId="0" applyAlignment="1">
      <alignment vertical="center"/>
    </xf>
    <xf numFmtId="0" fontId="5" fillId="0" borderId="0"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0" fillId="0" borderId="1" xfId="0" applyBorder="1"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4" xfId="0" applyFont="1" applyFill="1" applyBorder="1" applyAlignment="1">
      <alignment horizontal="center" vertical="center"/>
    </xf>
    <xf numFmtId="0" fontId="6" fillId="0" borderId="5" xfId="0" applyFont="1" applyFill="1" applyBorder="1" applyAlignment="1">
      <alignment horizontal="center" vertical="center"/>
    </xf>
    <xf numFmtId="0" fontId="6" fillId="0" borderId="0" xfId="0" applyFont="1" applyFill="1" applyBorder="1" applyAlignment="1">
      <alignment vertical="center"/>
    </xf>
    <xf numFmtId="0" fontId="3" fillId="0" borderId="3" xfId="0" applyFont="1" applyFill="1" applyBorder="1" applyAlignment="1">
      <alignment vertical="center"/>
    </xf>
    <xf numFmtId="0" fontId="6" fillId="0" borderId="0" xfId="0" applyFont="1" applyFill="1" applyBorder="1" applyAlignment="1">
      <alignment horizontal="center" vertical="center" wrapText="1"/>
    </xf>
    <xf numFmtId="0" fontId="0" fillId="0" borderId="0" xfId="0" applyFill="1" applyBorder="1" applyAlignment="1">
      <alignment vertical="center"/>
    </xf>
    <xf numFmtId="0" fontId="0" fillId="0" borderId="1" xfId="0" applyBorder="1" applyAlignment="1">
      <alignment horizontal="center" vertical="center"/>
    </xf>
    <xf numFmtId="0" fontId="2" fillId="0" borderId="0" xfId="3" applyFont="1" applyFill="1" applyBorder="1" applyAlignment="1" applyProtection="1">
      <alignment horizontal="center" vertical="center"/>
    </xf>
    <xf numFmtId="0" fontId="0" fillId="0" borderId="0" xfId="0" applyFill="1" applyBorder="1" applyAlignment="1">
      <alignment horizontal="left" vertical="center"/>
    </xf>
    <xf numFmtId="0" fontId="0" fillId="0" borderId="6" xfId="0" applyBorder="1" applyAlignment="1">
      <alignment vertical="center"/>
    </xf>
    <xf numFmtId="0" fontId="13" fillId="0" borderId="0" xfId="0" applyFont="1" applyAlignment="1">
      <alignment vertical="center"/>
    </xf>
    <xf numFmtId="0" fontId="0" fillId="0" borderId="0" xfId="0" applyFill="1" applyAlignment="1">
      <alignment vertical="center"/>
    </xf>
    <xf numFmtId="0" fontId="4" fillId="0" borderId="0" xfId="0" applyFont="1" applyAlignment="1">
      <alignment vertical="center"/>
    </xf>
    <xf numFmtId="0" fontId="4" fillId="0" borderId="3"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3" fillId="0" borderId="0" xfId="0" applyFont="1" applyFill="1" applyBorder="1" applyAlignment="1">
      <alignment vertical="center"/>
    </xf>
    <xf numFmtId="0" fontId="3" fillId="0" borderId="0" xfId="0" applyFont="1" applyBorder="1" applyAlignment="1">
      <alignment vertical="center"/>
    </xf>
    <xf numFmtId="0" fontId="4" fillId="0" borderId="0" xfId="0" applyFont="1" applyFill="1" applyAlignment="1">
      <alignment vertical="center"/>
    </xf>
    <xf numFmtId="0" fontId="4" fillId="0" borderId="0" xfId="0" applyFont="1" applyFill="1" applyBorder="1" applyAlignment="1">
      <alignment vertical="center"/>
    </xf>
    <xf numFmtId="0" fontId="0" fillId="0" borderId="0" xfId="0" applyFill="1" applyBorder="1" applyAlignment="1">
      <alignment horizontal="center" vertical="center"/>
    </xf>
    <xf numFmtId="0" fontId="4" fillId="0" borderId="0" xfId="3" applyFont="1" applyFill="1" applyBorder="1" applyAlignment="1" applyProtection="1">
      <alignment horizontal="center" vertical="center"/>
    </xf>
    <xf numFmtId="0" fontId="4" fillId="0"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horizontal="left" vertical="center"/>
    </xf>
    <xf numFmtId="0" fontId="4" fillId="0" borderId="0" xfId="0" applyFont="1" applyFill="1" applyBorder="1" applyAlignment="1">
      <alignment horizontal="centerContinuous" vertical="center"/>
    </xf>
    <xf numFmtId="0" fontId="4" fillId="0" borderId="2" xfId="0" applyFont="1" applyBorder="1" applyAlignment="1">
      <alignment vertical="center"/>
    </xf>
    <xf numFmtId="0" fontId="3" fillId="0" borderId="3" xfId="0" applyFont="1" applyBorder="1" applyAlignment="1">
      <alignment vertical="center"/>
    </xf>
    <xf numFmtId="0" fontId="3" fillId="0" borderId="0" xfId="0" applyFont="1" applyFill="1" applyAlignment="1">
      <alignment vertical="center"/>
    </xf>
    <xf numFmtId="0" fontId="4" fillId="2" borderId="7" xfId="0" applyFont="1" applyFill="1" applyBorder="1" applyAlignment="1">
      <alignment horizontal="centerContinuous" vertical="center"/>
    </xf>
    <xf numFmtId="0" fontId="4" fillId="2" borderId="8" xfId="0" applyFont="1" applyFill="1" applyBorder="1" applyAlignment="1">
      <alignment horizontal="centerContinuous" vertical="center"/>
    </xf>
    <xf numFmtId="0" fontId="0" fillId="0" borderId="1" xfId="0" applyFill="1" applyBorder="1" applyAlignment="1">
      <alignment vertical="center"/>
    </xf>
    <xf numFmtId="0" fontId="3" fillId="0" borderId="1" xfId="0" applyFont="1" applyFill="1" applyBorder="1" applyAlignment="1">
      <alignment horizontal="center" vertical="center"/>
    </xf>
    <xf numFmtId="0" fontId="4" fillId="0" borderId="0" xfId="0" applyFont="1" applyFill="1" applyBorder="1" applyAlignment="1">
      <alignment horizontal="left" vertical="center"/>
    </xf>
    <xf numFmtId="0" fontId="3" fillId="0" borderId="6" xfId="0" applyFont="1" applyBorder="1" applyAlignment="1">
      <alignment vertical="center" wrapText="1"/>
    </xf>
    <xf numFmtId="0" fontId="4" fillId="0" borderId="1" xfId="0" applyFont="1" applyFill="1" applyBorder="1" applyAlignment="1">
      <alignment horizontal="center" vertical="center"/>
    </xf>
    <xf numFmtId="0" fontId="13" fillId="0" borderId="0" xfId="3" applyFont="1" applyFill="1" applyBorder="1" applyAlignment="1" applyProtection="1">
      <alignment horizontal="center" vertical="center"/>
    </xf>
    <xf numFmtId="0" fontId="14" fillId="0" borderId="0" xfId="0" applyFont="1" applyFill="1" applyBorder="1" applyAlignment="1">
      <alignment vertical="center"/>
    </xf>
    <xf numFmtId="0" fontId="5" fillId="0" borderId="0" xfId="0" applyFont="1" applyFill="1" applyBorder="1" applyAlignment="1">
      <alignment vertical="center" wrapText="1"/>
    </xf>
    <xf numFmtId="0" fontId="6" fillId="0" borderId="0" xfId="0" applyFont="1" applyFill="1" applyBorder="1" applyAlignment="1">
      <alignment vertical="center" wrapText="1"/>
    </xf>
    <xf numFmtId="0" fontId="3" fillId="0" borderId="0" xfId="0" applyFont="1" applyFill="1" applyBorder="1" applyAlignment="1">
      <alignment horizontal="center" vertical="center" wrapText="1"/>
    </xf>
    <xf numFmtId="2" fontId="3" fillId="0" borderId="0" xfId="0" applyNumberFormat="1" applyFont="1" applyFill="1" applyBorder="1" applyAlignment="1">
      <alignment horizontal="center" vertical="center" wrapText="1"/>
    </xf>
    <xf numFmtId="2" fontId="3" fillId="0" borderId="9" xfId="0" applyNumberFormat="1" applyFont="1" applyBorder="1" applyAlignment="1">
      <alignment horizontal="center" vertical="center" wrapText="1"/>
    </xf>
    <xf numFmtId="0" fontId="3" fillId="0" borderId="0" xfId="0" applyFont="1" applyFill="1" applyBorder="1" applyAlignment="1">
      <alignment vertical="center" wrapText="1"/>
    </xf>
    <xf numFmtId="2" fontId="3" fillId="0" borderId="5" xfId="0" applyNumberFormat="1" applyFont="1" applyBorder="1" applyAlignment="1">
      <alignment horizontal="center" vertical="center" wrapText="1"/>
    </xf>
    <xf numFmtId="0" fontId="3" fillId="0" borderId="1" xfId="0" applyFont="1" applyBorder="1" applyAlignment="1">
      <alignment vertical="center"/>
    </xf>
    <xf numFmtId="0" fontId="3" fillId="0" borderId="0" xfId="0" applyFont="1" applyFill="1" applyBorder="1" applyAlignment="1">
      <alignment horizontal="left" vertical="center"/>
    </xf>
    <xf numFmtId="0" fontId="11" fillId="0" borderId="0" xfId="3" applyFont="1" applyFill="1" applyBorder="1" applyAlignment="1" applyProtection="1">
      <alignment horizontal="left" vertical="center"/>
    </xf>
    <xf numFmtId="0" fontId="2" fillId="0" borderId="0" xfId="3" applyFont="1" applyFill="1" applyBorder="1" applyAlignment="1" applyProtection="1">
      <alignment horizontal="left" vertical="center"/>
    </xf>
    <xf numFmtId="0" fontId="2" fillId="0" borderId="0" xfId="0" applyFont="1" applyFill="1" applyBorder="1" applyAlignment="1">
      <alignment horizontal="left" vertical="center"/>
    </xf>
    <xf numFmtId="0" fontId="0" fillId="0" borderId="0" xfId="0" applyFill="1" applyBorder="1" applyAlignment="1">
      <alignment horizontal="center" vertical="center" wrapText="1"/>
    </xf>
    <xf numFmtId="0" fontId="2" fillId="0" borderId="0" xfId="3" applyFont="1" applyFill="1" applyBorder="1" applyAlignment="1" applyProtection="1">
      <alignment vertical="center"/>
    </xf>
    <xf numFmtId="0" fontId="2" fillId="0" borderId="1" xfId="3" applyFont="1" applyFill="1" applyBorder="1" applyAlignment="1" applyProtection="1">
      <alignment horizontal="left" vertical="center"/>
    </xf>
    <xf numFmtId="0" fontId="0" fillId="2" borderId="4" xfId="0" applyFill="1" applyBorder="1" applyAlignment="1">
      <alignment horizontal="center" vertical="center"/>
    </xf>
    <xf numFmtId="0" fontId="2" fillId="0" borderId="1" xfId="0" applyFont="1" applyFill="1" applyBorder="1" applyAlignment="1">
      <alignment horizontal="center" vertical="center"/>
    </xf>
    <xf numFmtId="2" fontId="3" fillId="0" borderId="0" xfId="0" applyNumberFormat="1" applyFont="1" applyFill="1" applyBorder="1" applyAlignment="1">
      <alignment horizontal="center" vertical="center"/>
    </xf>
    <xf numFmtId="0" fontId="4" fillId="2" borderId="0" xfId="0" applyFont="1" applyFill="1" applyAlignment="1">
      <alignment horizontal="centerContinuous" vertical="center"/>
    </xf>
    <xf numFmtId="0" fontId="3" fillId="2" borderId="1" xfId="0" applyFont="1" applyFill="1" applyBorder="1" applyAlignment="1">
      <alignment horizontal="centerContinuous" vertical="center"/>
    </xf>
    <xf numFmtId="0" fontId="3" fillId="0" borderId="0" xfId="0" applyFont="1" applyBorder="1" applyAlignment="1">
      <alignment vertical="center" wrapText="1"/>
    </xf>
    <xf numFmtId="0" fontId="4" fillId="0" borderId="3" xfId="0" applyFont="1" applyFill="1" applyBorder="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3" fillId="0" borderId="0" xfId="0" applyFont="1" applyFill="1" applyBorder="1" applyAlignment="1">
      <alignment horizontal="centerContinuous" vertical="center"/>
    </xf>
    <xf numFmtId="2" fontId="6" fillId="0" borderId="0" xfId="0" applyNumberFormat="1" applyFont="1" applyFill="1" applyBorder="1" applyAlignment="1">
      <alignment horizontal="center" vertical="center" wrapText="1"/>
    </xf>
    <xf numFmtId="2" fontId="6" fillId="0" borderId="1" xfId="0" applyNumberFormat="1" applyFont="1" applyFill="1" applyBorder="1" applyAlignment="1">
      <alignment horizontal="center" vertical="center" wrapText="1"/>
    </xf>
    <xf numFmtId="2" fontId="3" fillId="0" borderId="0" xfId="0" applyNumberFormat="1" applyFont="1" applyFill="1" applyAlignment="1">
      <alignment horizontal="center" vertical="center"/>
    </xf>
    <xf numFmtId="2" fontId="3" fillId="0" borderId="1" xfId="0" applyNumberFormat="1" applyFont="1" applyFill="1" applyBorder="1" applyAlignment="1">
      <alignment horizontal="center" vertical="center"/>
    </xf>
    <xf numFmtId="2" fontId="3" fillId="0" borderId="4" xfId="0" applyNumberFormat="1" applyFont="1" applyFill="1" applyBorder="1" applyAlignment="1">
      <alignment horizontal="center" vertical="center"/>
    </xf>
    <xf numFmtId="2" fontId="6" fillId="0" borderId="3" xfId="0" applyNumberFormat="1" applyFont="1" applyFill="1" applyBorder="1" applyAlignment="1">
      <alignment horizontal="center" vertical="center" wrapText="1"/>
    </xf>
    <xf numFmtId="2" fontId="6" fillId="0" borderId="4" xfId="0" applyNumberFormat="1" applyFont="1" applyFill="1" applyBorder="1" applyAlignment="1">
      <alignment horizontal="center" vertical="center" wrapText="1"/>
    </xf>
    <xf numFmtId="2" fontId="5" fillId="0" borderId="0" xfId="0" applyNumberFormat="1" applyFont="1" applyFill="1" applyBorder="1" applyAlignment="1">
      <alignment horizontal="center" vertical="center" wrapText="1"/>
    </xf>
    <xf numFmtId="2" fontId="4" fillId="0" borderId="1"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13" fillId="0" borderId="0" xfId="0" applyFont="1" applyFill="1" applyBorder="1" applyAlignment="1">
      <alignment vertical="center"/>
    </xf>
    <xf numFmtId="0" fontId="22" fillId="0" borderId="0" xfId="0" applyFont="1" applyFill="1" applyBorder="1" applyAlignment="1">
      <alignment vertical="center"/>
    </xf>
    <xf numFmtId="0" fontId="7" fillId="0" borderId="0" xfId="0" applyFont="1" applyFill="1" applyAlignment="1">
      <alignment vertical="center"/>
    </xf>
    <xf numFmtId="0" fontId="24" fillId="0" borderId="0" xfId="0" applyFont="1" applyFill="1" applyAlignment="1">
      <alignment vertical="center"/>
    </xf>
    <xf numFmtId="0" fontId="21" fillId="0" borderId="0" xfId="0" applyFont="1" applyFill="1" applyAlignment="1">
      <alignment vertical="center"/>
    </xf>
    <xf numFmtId="0" fontId="7" fillId="3" borderId="7" xfId="0" applyFont="1" applyFill="1" applyBorder="1" applyAlignment="1">
      <alignment horizontal="center" vertical="center"/>
    </xf>
    <xf numFmtId="0" fontId="3" fillId="3" borderId="10" xfId="0" applyFont="1" applyFill="1" applyBorder="1" applyAlignment="1">
      <alignment vertical="center"/>
    </xf>
    <xf numFmtId="0" fontId="3" fillId="0" borderId="6" xfId="0" applyFont="1" applyBorder="1" applyAlignment="1">
      <alignment vertical="center"/>
    </xf>
    <xf numFmtId="0" fontId="4" fillId="0" borderId="6" xfId="0" applyFont="1" applyBorder="1" applyAlignment="1">
      <alignment vertical="center"/>
    </xf>
    <xf numFmtId="0" fontId="3" fillId="0" borderId="2" xfId="0" applyFont="1" applyBorder="1" applyAlignment="1">
      <alignment vertical="center"/>
    </xf>
    <xf numFmtId="0" fontId="3" fillId="0" borderId="3" xfId="0" applyFont="1" applyFill="1" applyBorder="1" applyAlignment="1">
      <alignment horizontal="center" vertical="center"/>
    </xf>
    <xf numFmtId="0" fontId="3" fillId="0" borderId="4" xfId="0" applyFont="1" applyFill="1" applyBorder="1" applyAlignment="1">
      <alignment horizontal="center" vertical="center"/>
    </xf>
    <xf numFmtId="0" fontId="3" fillId="0" borderId="0" xfId="0" applyFont="1" applyBorder="1" applyAlignment="1">
      <alignment horizontal="left" vertical="center"/>
    </xf>
    <xf numFmtId="0" fontId="4" fillId="0" borderId="0" xfId="3" applyFont="1" applyFill="1" applyBorder="1" applyAlignment="1" applyProtection="1">
      <alignment horizontal="centerContinuous" vertical="center"/>
    </xf>
    <xf numFmtId="0" fontId="24" fillId="0" borderId="0" xfId="0" applyFont="1" applyFill="1" applyBorder="1" applyAlignment="1">
      <alignment vertical="center"/>
    </xf>
    <xf numFmtId="2" fontId="6" fillId="0" borderId="2" xfId="0" applyNumberFormat="1" applyFont="1" applyFill="1" applyBorder="1" applyAlignment="1">
      <alignment horizontal="center" vertical="center" wrapText="1"/>
    </xf>
    <xf numFmtId="0" fontId="3" fillId="2" borderId="11" xfId="0" applyFont="1" applyFill="1" applyBorder="1" applyAlignment="1">
      <alignment vertical="center"/>
    </xf>
    <xf numFmtId="0" fontId="3" fillId="2" borderId="12" xfId="0" applyFont="1" applyFill="1" applyBorder="1" applyAlignment="1">
      <alignment vertical="center"/>
    </xf>
    <xf numFmtId="0" fontId="5" fillId="2" borderId="0" xfId="0" applyFont="1" applyFill="1" applyBorder="1" applyAlignment="1">
      <alignment horizontal="centerContinuous" vertical="center"/>
    </xf>
    <xf numFmtId="0" fontId="3" fillId="2" borderId="0" xfId="0" applyFont="1" applyFill="1" applyBorder="1" applyAlignment="1">
      <alignment horizontal="centerContinuous" vertical="center"/>
    </xf>
    <xf numFmtId="0" fontId="3" fillId="2" borderId="0" xfId="0" applyFont="1" applyFill="1" applyAlignment="1">
      <alignment horizontal="centerContinuous" vertical="center"/>
    </xf>
    <xf numFmtId="0" fontId="3" fillId="2" borderId="6" xfId="0" applyFont="1" applyFill="1" applyBorder="1" applyAlignment="1">
      <alignment vertical="center"/>
    </xf>
    <xf numFmtId="0" fontId="4" fillId="2" borderId="0" xfId="0" applyFont="1" applyFill="1" applyBorder="1" applyAlignment="1">
      <alignment horizontal="center" vertical="center"/>
    </xf>
    <xf numFmtId="0" fontId="25" fillId="2" borderId="0" xfId="0" applyFont="1" applyFill="1" applyBorder="1" applyAlignment="1">
      <alignment horizontal="center" vertical="center" wrapText="1"/>
    </xf>
    <xf numFmtId="0" fontId="3" fillId="0" borderId="1" xfId="0" applyFont="1" applyBorder="1" applyAlignment="1">
      <alignment vertical="center" wrapText="1"/>
    </xf>
    <xf numFmtId="0" fontId="4" fillId="0" borderId="4" xfId="0" applyFont="1" applyBorder="1" applyAlignment="1">
      <alignment vertical="center"/>
    </xf>
    <xf numFmtId="0" fontId="13" fillId="0" borderId="13" xfId="0" applyFont="1" applyFill="1" applyBorder="1" applyAlignment="1">
      <alignment vertical="center"/>
    </xf>
    <xf numFmtId="0" fontId="22" fillId="0" borderId="13" xfId="0" applyFont="1" applyFill="1" applyBorder="1" applyAlignment="1">
      <alignment vertical="center"/>
    </xf>
    <xf numFmtId="0" fontId="26" fillId="0" borderId="0" xfId="0" applyFont="1" applyAlignment="1">
      <alignment wrapText="1"/>
    </xf>
    <xf numFmtId="0" fontId="27" fillId="0" borderId="0" xfId="0" applyFont="1" applyAlignment="1">
      <alignment wrapText="1"/>
    </xf>
    <xf numFmtId="0" fontId="3" fillId="0" borderId="6" xfId="0" applyFont="1" applyFill="1" applyBorder="1" applyAlignment="1">
      <alignment vertical="center"/>
    </xf>
    <xf numFmtId="0" fontId="3" fillId="0" borderId="6" xfId="0" applyFont="1" applyFill="1" applyBorder="1" applyAlignment="1">
      <alignment vertical="center" wrapText="1"/>
    </xf>
    <xf numFmtId="0" fontId="5" fillId="2" borderId="11" xfId="0" applyFont="1" applyFill="1" applyBorder="1" applyAlignment="1">
      <alignment horizontal="centerContinuous" vertical="center"/>
    </xf>
    <xf numFmtId="0" fontId="5" fillId="2" borderId="6" xfId="0" applyFont="1" applyFill="1" applyBorder="1" applyAlignment="1">
      <alignment horizontal="center" vertical="center" wrapText="1"/>
    </xf>
    <xf numFmtId="2" fontId="6" fillId="0" borderId="6" xfId="0" applyNumberFormat="1" applyFont="1" applyFill="1" applyBorder="1" applyAlignment="1">
      <alignment horizontal="center" vertical="center" wrapText="1"/>
    </xf>
    <xf numFmtId="2" fontId="5" fillId="0" borderId="6" xfId="0" applyNumberFormat="1" applyFont="1" applyFill="1" applyBorder="1" applyAlignment="1">
      <alignment horizontal="center" vertical="center" wrapText="1"/>
    </xf>
    <xf numFmtId="2" fontId="4" fillId="0" borderId="0"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3" fillId="0" borderId="0" xfId="0" applyFont="1" applyFill="1" applyBorder="1" applyAlignment="1">
      <alignment horizontal="left" vertical="center" wrapText="1"/>
    </xf>
    <xf numFmtId="0" fontId="7" fillId="3" borderId="10" xfId="0" applyFont="1" applyFill="1" applyBorder="1" applyAlignment="1">
      <alignment vertical="center"/>
    </xf>
    <xf numFmtId="0" fontId="24" fillId="3" borderId="7" xfId="0" applyFont="1" applyFill="1" applyBorder="1" applyAlignment="1">
      <alignment horizontal="center" vertical="center"/>
    </xf>
    <xf numFmtId="0" fontId="24" fillId="3" borderId="8" xfId="0" applyFont="1" applyFill="1" applyBorder="1" applyAlignment="1">
      <alignment horizontal="center" vertical="center"/>
    </xf>
    <xf numFmtId="0" fontId="7" fillId="3" borderId="10" xfId="0" applyFont="1" applyFill="1" applyBorder="1" applyAlignment="1">
      <alignment horizontal="left" vertical="center"/>
    </xf>
    <xf numFmtId="0" fontId="7" fillId="3" borderId="8" xfId="0" applyFont="1" applyFill="1" applyBorder="1" applyAlignment="1">
      <alignment horizontal="center" vertical="center"/>
    </xf>
    <xf numFmtId="0" fontId="7" fillId="3" borderId="14" xfId="0" applyFont="1" applyFill="1" applyBorder="1" applyAlignment="1">
      <alignment horizontal="center" vertical="center"/>
    </xf>
    <xf numFmtId="2" fontId="6" fillId="0" borderId="6" xfId="0" applyNumberFormat="1" applyFont="1" applyFill="1" applyBorder="1" applyAlignment="1">
      <alignment horizontal="left" vertical="center"/>
    </xf>
    <xf numFmtId="2" fontId="6" fillId="0" borderId="0" xfId="0" applyNumberFormat="1" applyFont="1" applyFill="1" applyBorder="1" applyAlignment="1">
      <alignment horizontal="left" vertical="center"/>
    </xf>
    <xf numFmtId="2" fontId="6" fillId="0" borderId="1" xfId="0" applyNumberFormat="1" applyFont="1" applyFill="1" applyBorder="1" applyAlignment="1">
      <alignment horizontal="left" vertical="center"/>
    </xf>
    <xf numFmtId="2" fontId="5" fillId="0" borderId="6" xfId="0" applyNumberFormat="1" applyFont="1" applyFill="1" applyBorder="1" applyAlignment="1">
      <alignment horizontal="left" vertical="center"/>
    </xf>
    <xf numFmtId="2" fontId="5" fillId="0" borderId="0" xfId="0" applyNumberFormat="1" applyFont="1" applyFill="1" applyBorder="1" applyAlignment="1">
      <alignment horizontal="left" vertical="center"/>
    </xf>
    <xf numFmtId="2" fontId="5" fillId="0" borderId="1" xfId="0" applyNumberFormat="1" applyFont="1" applyFill="1" applyBorder="1" applyAlignment="1">
      <alignment horizontal="left" vertical="center"/>
    </xf>
    <xf numFmtId="2" fontId="6" fillId="0" borderId="2" xfId="0" applyNumberFormat="1" applyFont="1" applyFill="1" applyBorder="1" applyAlignment="1">
      <alignment horizontal="left" vertical="center"/>
    </xf>
    <xf numFmtId="2" fontId="6" fillId="0" borderId="3" xfId="0" applyNumberFormat="1" applyFont="1" applyFill="1" applyBorder="1" applyAlignment="1">
      <alignment horizontal="left" vertical="center"/>
    </xf>
    <xf numFmtId="2" fontId="6" fillId="0" borderId="4" xfId="0" applyNumberFormat="1" applyFont="1" applyFill="1" applyBorder="1" applyAlignment="1">
      <alignment horizontal="left" vertical="center"/>
    </xf>
    <xf numFmtId="0" fontId="4" fillId="2" borderId="10" xfId="0" applyFont="1" applyFill="1" applyBorder="1" applyAlignment="1">
      <alignment vertical="center"/>
    </xf>
    <xf numFmtId="2" fontId="5" fillId="2" borderId="7" xfId="0" applyNumberFormat="1" applyFont="1" applyFill="1" applyBorder="1" applyAlignment="1">
      <alignment horizontal="left" vertical="center"/>
    </xf>
    <xf numFmtId="2" fontId="5" fillId="2" borderId="8" xfId="0" applyNumberFormat="1" applyFont="1" applyFill="1" applyBorder="1" applyAlignment="1">
      <alignment horizontal="left" vertical="center"/>
    </xf>
    <xf numFmtId="2" fontId="6" fillId="2" borderId="7" xfId="0" applyNumberFormat="1" applyFont="1" applyFill="1" applyBorder="1" applyAlignment="1">
      <alignment horizontal="left" vertical="center"/>
    </xf>
    <xf numFmtId="2" fontId="6" fillId="2" borderId="8" xfId="0" applyNumberFormat="1" applyFont="1" applyFill="1" applyBorder="1" applyAlignment="1">
      <alignment horizontal="left" vertical="center"/>
    </xf>
    <xf numFmtId="0" fontId="3" fillId="2" borderId="7" xfId="0" applyFont="1" applyFill="1" applyBorder="1" applyAlignment="1">
      <alignment horizontal="center" vertical="center"/>
    </xf>
    <xf numFmtId="0" fontId="4" fillId="2" borderId="7" xfId="0" applyFont="1" applyFill="1" applyBorder="1" applyAlignment="1">
      <alignment horizontal="center" vertical="center"/>
    </xf>
    <xf numFmtId="15" fontId="3" fillId="0" borderId="9" xfId="0" applyNumberFormat="1" applyFont="1" applyFill="1" applyBorder="1" applyAlignment="1">
      <alignment horizontal="center" vertical="center"/>
    </xf>
    <xf numFmtId="15" fontId="3" fillId="2" borderId="7" xfId="0" applyNumberFormat="1" applyFont="1" applyFill="1" applyBorder="1" applyAlignment="1">
      <alignment horizontal="center" vertical="center"/>
    </xf>
    <xf numFmtId="15" fontId="3" fillId="0" borderId="5" xfId="0" applyNumberFormat="1" applyFont="1" applyFill="1" applyBorder="1" applyAlignment="1">
      <alignment horizontal="center" vertical="center"/>
    </xf>
    <xf numFmtId="0" fontId="3" fillId="0" borderId="1" xfId="0" applyFont="1" applyFill="1" applyBorder="1" applyAlignment="1">
      <alignment vertical="center"/>
    </xf>
    <xf numFmtId="0" fontId="12" fillId="0" borderId="0" xfId="0" applyFont="1" applyBorder="1" applyAlignment="1">
      <alignment vertical="center"/>
    </xf>
    <xf numFmtId="0" fontId="3" fillId="0" borderId="6" xfId="0" applyFont="1" applyFill="1" applyBorder="1" applyAlignment="1">
      <alignment horizontal="left" vertical="center"/>
    </xf>
    <xf numFmtId="0" fontId="28" fillId="0" borderId="0" xfId="0" applyFont="1" applyAlignment="1">
      <alignment vertical="center"/>
    </xf>
    <xf numFmtId="0" fontId="0" fillId="3" borderId="7" xfId="0" applyFill="1" applyBorder="1" applyAlignment="1">
      <alignment horizontal="left" vertical="center"/>
    </xf>
    <xf numFmtId="0" fontId="0" fillId="3" borderId="8" xfId="0" applyFill="1" applyBorder="1" applyAlignment="1">
      <alignment horizontal="left" vertical="center"/>
    </xf>
    <xf numFmtId="0" fontId="5" fillId="2" borderId="6" xfId="0" applyFont="1" applyFill="1" applyBorder="1" applyAlignment="1">
      <alignment horizontal="left" vertical="center"/>
    </xf>
    <xf numFmtId="0" fontId="5" fillId="2" borderId="0" xfId="0" applyFont="1" applyFill="1" applyBorder="1" applyAlignment="1">
      <alignment horizontal="left" vertical="center"/>
    </xf>
    <xf numFmtId="0" fontId="25" fillId="2" borderId="0" xfId="0" applyFont="1" applyFill="1" applyBorder="1" applyAlignment="1">
      <alignment horizontal="left" vertical="center"/>
    </xf>
    <xf numFmtId="0" fontId="5" fillId="2" borderId="1" xfId="0" applyFont="1" applyFill="1" applyBorder="1" applyAlignment="1">
      <alignment horizontal="left" vertical="center"/>
    </xf>
    <xf numFmtId="0" fontId="5" fillId="2" borderId="11" xfId="0" applyFont="1" applyFill="1" applyBorder="1" applyAlignment="1">
      <alignment horizontal="left" vertical="center"/>
    </xf>
    <xf numFmtId="0" fontId="4" fillId="0" borderId="12" xfId="0" applyFont="1" applyBorder="1" applyAlignment="1">
      <alignment vertical="center"/>
    </xf>
    <xf numFmtId="0" fontId="3" fillId="0" borderId="12" xfId="0" applyFont="1" applyBorder="1" applyAlignment="1">
      <alignment vertical="center"/>
    </xf>
    <xf numFmtId="0" fontId="3" fillId="0" borderId="15" xfId="0" applyFont="1" applyBorder="1" applyAlignment="1">
      <alignment vertical="center"/>
    </xf>
    <xf numFmtId="0" fontId="3" fillId="0" borderId="6" xfId="0" applyFont="1" applyBorder="1" applyAlignment="1">
      <alignment horizontal="left" vertical="center"/>
    </xf>
    <xf numFmtId="0" fontId="3" fillId="0" borderId="2" xfId="0" applyFont="1" applyBorder="1" applyAlignment="1">
      <alignment horizontal="left" vertical="center"/>
    </xf>
    <xf numFmtId="0" fontId="4" fillId="0" borderId="3" xfId="0" applyFont="1" applyFill="1" applyBorder="1" applyAlignment="1">
      <alignment vertical="center"/>
    </xf>
    <xf numFmtId="0" fontId="4" fillId="0" borderId="3" xfId="0" applyFont="1" applyFill="1" applyBorder="1" applyAlignment="1">
      <alignment horizontal="center" vertical="center"/>
    </xf>
    <xf numFmtId="0" fontId="4" fillId="0" borderId="3" xfId="3" applyFont="1" applyFill="1" applyBorder="1" applyAlignment="1" applyProtection="1">
      <alignment horizontal="center" vertical="center"/>
    </xf>
    <xf numFmtId="0" fontId="3" fillId="0" borderId="3" xfId="0" applyFont="1" applyFill="1" applyBorder="1" applyAlignment="1">
      <alignment horizontal="centerContinuous" vertical="center"/>
    </xf>
    <xf numFmtId="0" fontId="4" fillId="0" borderId="3" xfId="3" applyFont="1" applyFill="1" applyBorder="1" applyAlignment="1" applyProtection="1">
      <alignment horizontal="centerContinuous" vertical="center"/>
    </xf>
    <xf numFmtId="0" fontId="3" fillId="0" borderId="4" xfId="0" applyFont="1" applyFill="1" applyBorder="1" applyAlignment="1">
      <alignment vertical="center"/>
    </xf>
    <xf numFmtId="0" fontId="4" fillId="2" borderId="0" xfId="0" applyFont="1" applyFill="1" applyAlignment="1">
      <alignment vertical="center"/>
    </xf>
    <xf numFmtId="0" fontId="3" fillId="2" borderId="0" xfId="0" applyFont="1" applyFill="1" applyAlignment="1">
      <alignment vertical="center"/>
    </xf>
    <xf numFmtId="0" fontId="4" fillId="0" borderId="16" xfId="0" applyFont="1" applyFill="1" applyBorder="1" applyAlignment="1">
      <alignment horizontal="center" vertical="center"/>
    </xf>
    <xf numFmtId="0" fontId="4" fillId="2" borderId="0" xfId="0" applyFont="1" applyFill="1" applyBorder="1" applyAlignment="1">
      <alignment vertical="center"/>
    </xf>
    <xf numFmtId="0" fontId="3" fillId="2" borderId="0" xfId="0" applyFont="1" applyFill="1" applyBorder="1" applyAlignment="1">
      <alignment vertical="center"/>
    </xf>
    <xf numFmtId="0" fontId="7" fillId="3" borderId="11" xfId="0" applyFont="1"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4" fillId="0" borderId="16" xfId="0" applyFont="1" applyFill="1" applyBorder="1" applyAlignment="1">
      <alignment vertical="center"/>
    </xf>
    <xf numFmtId="0" fontId="0" fillId="0" borderId="17" xfId="0" applyBorder="1" applyAlignment="1">
      <alignment vertical="center"/>
    </xf>
    <xf numFmtId="0" fontId="3" fillId="2" borderId="18" xfId="0" applyFont="1" applyFill="1" applyBorder="1" applyAlignment="1">
      <alignment horizontal="center" vertical="center"/>
    </xf>
    <xf numFmtId="0" fontId="4" fillId="0" borderId="6" xfId="0" applyFont="1" applyFill="1" applyBorder="1" applyAlignment="1">
      <alignment vertical="center"/>
    </xf>
    <xf numFmtId="0" fontId="7" fillId="0" borderId="0" xfId="0" applyFont="1" applyFill="1" applyBorder="1" applyAlignment="1">
      <alignment horizontal="left" vertical="center"/>
    </xf>
    <xf numFmtId="0" fontId="24" fillId="0" borderId="0" xfId="0" applyFont="1" applyFill="1" applyBorder="1" applyAlignment="1">
      <alignment horizontal="center" vertical="center"/>
    </xf>
    <xf numFmtId="15" fontId="3" fillId="0" borderId="0" xfId="0" applyNumberFormat="1" applyFont="1" applyFill="1" applyBorder="1" applyAlignment="1">
      <alignment horizontal="center" vertical="center"/>
    </xf>
    <xf numFmtId="0" fontId="3" fillId="0" borderId="0" xfId="0" applyFont="1" applyAlignment="1">
      <alignment horizontal="left"/>
    </xf>
    <xf numFmtId="0" fontId="4" fillId="4" borderId="1" xfId="0" applyFont="1" applyFill="1" applyBorder="1" applyAlignment="1">
      <alignment horizontal="center" vertical="center"/>
    </xf>
    <xf numFmtId="2" fontId="5" fillId="4" borderId="0" xfId="0" applyNumberFormat="1" applyFont="1" applyFill="1" applyBorder="1" applyAlignment="1">
      <alignment horizontal="left" vertical="center"/>
    </xf>
    <xf numFmtId="2" fontId="5" fillId="4" borderId="1" xfId="0" applyNumberFormat="1" applyFont="1" applyFill="1" applyBorder="1" applyAlignment="1">
      <alignment horizontal="left" vertical="center"/>
    </xf>
    <xf numFmtId="2" fontId="6" fillId="4" borderId="6" xfId="0" applyNumberFormat="1" applyFont="1" applyFill="1" applyBorder="1" applyAlignment="1">
      <alignment horizontal="left" vertical="center"/>
    </xf>
    <xf numFmtId="0" fontId="4" fillId="4" borderId="6" xfId="0" applyFont="1" applyFill="1" applyBorder="1" applyAlignment="1">
      <alignment vertical="center"/>
    </xf>
    <xf numFmtId="0" fontId="4" fillId="0" borderId="4" xfId="0" applyFont="1" applyFill="1" applyBorder="1" applyAlignment="1">
      <alignment horizontal="center" vertical="center"/>
    </xf>
    <xf numFmtId="1" fontId="4" fillId="0" borderId="9" xfId="0" applyNumberFormat="1" applyFont="1" applyFill="1" applyBorder="1" applyAlignment="1">
      <alignment horizontal="center" vertical="center"/>
    </xf>
    <xf numFmtId="1" fontId="4" fillId="0" borderId="5" xfId="0" applyNumberFormat="1" applyFont="1" applyFill="1" applyBorder="1" applyAlignment="1">
      <alignment horizontal="center" vertical="center"/>
    </xf>
    <xf numFmtId="0" fontId="3" fillId="0" borderId="0" xfId="0" applyFont="1" applyAlignment="1">
      <alignment horizontal="centerContinuous" vertical="center"/>
    </xf>
    <xf numFmtId="0" fontId="3" fillId="2" borderId="0" xfId="0" applyFont="1" applyFill="1" applyBorder="1" applyAlignment="1">
      <alignment horizontal="center" vertical="center"/>
    </xf>
    <xf numFmtId="0" fontId="4" fillId="0" borderId="19" xfId="0" applyFont="1" applyFill="1" applyBorder="1" applyAlignment="1">
      <alignment horizontal="center" vertical="center"/>
    </xf>
    <xf numFmtId="0" fontId="7" fillId="5" borderId="10" xfId="0" applyFont="1" applyFill="1" applyBorder="1" applyAlignment="1">
      <alignment vertical="center"/>
    </xf>
    <xf numFmtId="0" fontId="7" fillId="5" borderId="8" xfId="0" applyFont="1" applyFill="1" applyBorder="1" applyAlignment="1">
      <alignment horizontal="center" vertical="center"/>
    </xf>
    <xf numFmtId="0" fontId="7" fillId="5" borderId="10" xfId="0" applyFont="1" applyFill="1" applyBorder="1" applyAlignment="1">
      <alignment horizontal="left" vertical="center"/>
    </xf>
    <xf numFmtId="0" fontId="24" fillId="5" borderId="7" xfId="0" applyFont="1" applyFill="1" applyBorder="1" applyAlignment="1">
      <alignment horizontal="center" vertical="center"/>
    </xf>
    <xf numFmtId="0" fontId="24" fillId="5" borderId="8" xfId="0" applyFont="1" applyFill="1" applyBorder="1" applyAlignment="1">
      <alignment horizontal="center" vertical="center"/>
    </xf>
    <xf numFmtId="0" fontId="7" fillId="5" borderId="14" xfId="0" applyFont="1" applyFill="1" applyBorder="1" applyAlignment="1">
      <alignment horizontal="center" vertical="center"/>
    </xf>
    <xf numFmtId="0" fontId="4" fillId="6" borderId="0" xfId="0" applyFont="1" applyFill="1" applyBorder="1" applyAlignment="1">
      <alignment vertical="center"/>
    </xf>
    <xf numFmtId="0" fontId="3" fillId="6" borderId="0" xfId="0" applyFont="1" applyFill="1" applyBorder="1" applyAlignment="1">
      <alignment vertical="center"/>
    </xf>
    <xf numFmtId="0" fontId="13" fillId="0" borderId="20" xfId="0" applyFont="1" applyFill="1" applyBorder="1" applyAlignment="1">
      <alignment vertical="center"/>
    </xf>
    <xf numFmtId="0" fontId="22" fillId="0" borderId="20" xfId="0" applyFont="1" applyFill="1" applyBorder="1" applyAlignment="1">
      <alignment vertical="center"/>
    </xf>
    <xf numFmtId="0" fontId="4" fillId="2" borderId="7" xfId="0" applyFont="1" applyFill="1" applyBorder="1" applyAlignment="1">
      <alignment horizontal="left" vertical="center"/>
    </xf>
    <xf numFmtId="0" fontId="4" fillId="0" borderId="6" xfId="0" applyFont="1" applyFill="1" applyBorder="1" applyAlignment="1">
      <alignment horizontal="left" vertical="center"/>
    </xf>
    <xf numFmtId="1" fontId="4" fillId="4" borderId="9" xfId="0" applyNumberFormat="1" applyFont="1" applyFill="1" applyBorder="1" applyAlignment="1">
      <alignment horizontal="center" vertical="center"/>
    </xf>
    <xf numFmtId="0" fontId="4" fillId="0" borderId="21" xfId="0" applyFont="1" applyFill="1" applyBorder="1" applyAlignment="1">
      <alignment horizontal="center" vertical="center"/>
    </xf>
    <xf numFmtId="0" fontId="7" fillId="0" borderId="6" xfId="0" applyFont="1" applyFill="1" applyBorder="1" applyAlignment="1">
      <alignment vertical="center"/>
    </xf>
    <xf numFmtId="0" fontId="7" fillId="0" borderId="1" xfId="0" applyFont="1" applyFill="1" applyBorder="1" applyAlignment="1">
      <alignment horizontal="center" vertical="center"/>
    </xf>
    <xf numFmtId="0" fontId="7" fillId="0" borderId="6" xfId="0" applyFont="1" applyFill="1" applyBorder="1" applyAlignment="1">
      <alignment horizontal="left" vertical="center"/>
    </xf>
    <xf numFmtId="0" fontId="24" fillId="0" borderId="1" xfId="0" applyFont="1" applyFill="1" applyBorder="1" applyAlignment="1">
      <alignment horizontal="center" vertical="center"/>
    </xf>
    <xf numFmtId="0" fontId="7" fillId="0" borderId="21" xfId="0" applyFont="1" applyFill="1" applyBorder="1" applyAlignment="1">
      <alignment horizontal="center" vertical="center"/>
    </xf>
    <xf numFmtId="0" fontId="7" fillId="0" borderId="11" xfId="0" applyFont="1" applyFill="1" applyBorder="1" applyAlignment="1">
      <alignment vertical="center"/>
    </xf>
    <xf numFmtId="0" fontId="7" fillId="0" borderId="15" xfId="0" applyFont="1" applyFill="1" applyBorder="1" applyAlignment="1">
      <alignment horizontal="center" vertical="center"/>
    </xf>
    <xf numFmtId="0" fontId="7" fillId="0" borderId="11" xfId="0" applyFont="1" applyFill="1" applyBorder="1" applyAlignment="1">
      <alignment horizontal="left" vertical="center"/>
    </xf>
    <xf numFmtId="0" fontId="24" fillId="0" borderId="12" xfId="0" applyFont="1" applyFill="1" applyBorder="1" applyAlignment="1">
      <alignment horizontal="center" vertical="center"/>
    </xf>
    <xf numFmtId="0" fontId="24" fillId="0" borderId="15" xfId="0" applyFont="1" applyFill="1" applyBorder="1" applyAlignment="1">
      <alignment horizontal="center" vertical="center"/>
    </xf>
    <xf numFmtId="0" fontId="7" fillId="0" borderId="9" xfId="0" applyFont="1" applyFill="1" applyBorder="1" applyAlignment="1">
      <alignment horizontal="center" vertical="center"/>
    </xf>
    <xf numFmtId="1" fontId="4" fillId="0" borderId="19" xfId="0" applyNumberFormat="1" applyFont="1" applyFill="1" applyBorder="1" applyAlignment="1">
      <alignment horizontal="center" vertical="center"/>
    </xf>
    <xf numFmtId="0" fontId="6" fillId="0" borderId="6" xfId="0" applyFont="1" applyBorder="1" applyAlignment="1">
      <alignment vertical="center"/>
    </xf>
    <xf numFmtId="0" fontId="6" fillId="0" borderId="0" xfId="0" applyFont="1" applyBorder="1" applyAlignment="1">
      <alignment vertical="center" wrapText="1"/>
    </xf>
    <xf numFmtId="0" fontId="7" fillId="3" borderId="12" xfId="0" applyFont="1" applyFill="1" applyBorder="1" applyAlignment="1">
      <alignment horizontal="centerContinuous" vertical="center"/>
    </xf>
    <xf numFmtId="0" fontId="24" fillId="3" borderId="15" xfId="0" applyFont="1" applyFill="1" applyBorder="1" applyAlignment="1">
      <alignment vertical="center"/>
    </xf>
    <xf numFmtId="0" fontId="24" fillId="3" borderId="2" xfId="0" applyFont="1" applyFill="1" applyBorder="1" applyAlignment="1">
      <alignment vertical="center"/>
    </xf>
    <xf numFmtId="0" fontId="7" fillId="3" borderId="3" xfId="0" applyFont="1" applyFill="1" applyBorder="1" applyAlignment="1">
      <alignment horizontal="centerContinuous" vertical="center"/>
    </xf>
    <xf numFmtId="0" fontId="24" fillId="3" borderId="4" xfId="0" applyFont="1" applyFill="1" applyBorder="1" applyAlignment="1">
      <alignment vertical="center"/>
    </xf>
    <xf numFmtId="0" fontId="5" fillId="2" borderId="15" xfId="0" applyFont="1" applyFill="1" applyBorder="1" applyAlignment="1">
      <alignment horizontal="center" vertical="center" wrapText="1"/>
    </xf>
    <xf numFmtId="0" fontId="4" fillId="2" borderId="11" xfId="0" applyFont="1" applyFill="1" applyBorder="1" applyAlignment="1">
      <alignment vertical="center"/>
    </xf>
    <xf numFmtId="0" fontId="4" fillId="2" borderId="12" xfId="0" applyFont="1" applyFill="1" applyBorder="1" applyAlignment="1">
      <alignment vertical="center"/>
    </xf>
    <xf numFmtId="0" fontId="4" fillId="2" borderId="10" xfId="0" applyFont="1" applyFill="1" applyBorder="1" applyAlignment="1">
      <alignment horizontal="centerContinuous" vertical="center"/>
    </xf>
    <xf numFmtId="0" fontId="3" fillId="2" borderId="7" xfId="0" applyFont="1" applyFill="1" applyBorder="1" applyAlignment="1">
      <alignment vertical="center"/>
    </xf>
    <xf numFmtId="0" fontId="3" fillId="0" borderId="3" xfId="0" applyFont="1" applyBorder="1" applyAlignment="1">
      <alignment vertical="center" wrapText="1"/>
    </xf>
    <xf numFmtId="0" fontId="13" fillId="0" borderId="13" xfId="0" applyFont="1" applyBorder="1" applyAlignment="1">
      <alignment vertical="center"/>
    </xf>
    <xf numFmtId="0" fontId="4" fillId="4" borderId="0" xfId="0" applyFont="1" applyFill="1" applyBorder="1" applyAlignment="1">
      <alignment vertical="center"/>
    </xf>
    <xf numFmtId="0" fontId="3" fillId="4" borderId="0" xfId="0" applyFont="1" applyFill="1" applyBorder="1" applyAlignment="1">
      <alignment vertical="center"/>
    </xf>
    <xf numFmtId="0" fontId="3" fillId="4" borderId="0" xfId="0" applyFont="1" applyFill="1" applyBorder="1" applyAlignment="1">
      <alignment horizontal="center" vertical="center"/>
    </xf>
    <xf numFmtId="0" fontId="3" fillId="4" borderId="0" xfId="0" applyFont="1" applyFill="1" applyAlignment="1">
      <alignment horizontal="centerContinuous" vertical="center"/>
    </xf>
    <xf numFmtId="0" fontId="3" fillId="4" borderId="0" xfId="0" applyFont="1" applyFill="1" applyAlignment="1">
      <alignment vertical="center"/>
    </xf>
    <xf numFmtId="0" fontId="4" fillId="4" borderId="0" xfId="0" applyFont="1" applyFill="1" applyBorder="1" applyAlignment="1">
      <alignment horizontal="left" vertical="center"/>
    </xf>
    <xf numFmtId="0" fontId="4" fillId="4" borderId="0" xfId="0" applyFont="1" applyFill="1" applyBorder="1" applyAlignment="1">
      <alignment horizontal="center" vertical="center"/>
    </xf>
    <xf numFmtId="0" fontId="4" fillId="4" borderId="0" xfId="0" applyFont="1" applyFill="1" applyBorder="1" applyAlignment="1">
      <alignment horizontal="centerContinuous" vertical="center"/>
    </xf>
    <xf numFmtId="0" fontId="4" fillId="4" borderId="0" xfId="3" applyFont="1" applyFill="1" applyBorder="1" applyAlignment="1" applyProtection="1">
      <alignment horizontal="center" vertical="center"/>
    </xf>
    <xf numFmtId="0" fontId="4" fillId="4" borderId="0" xfId="0" applyFont="1" applyFill="1" applyAlignment="1">
      <alignment vertical="center"/>
    </xf>
    <xf numFmtId="0" fontId="3" fillId="4" borderId="3" xfId="0" applyFont="1" applyFill="1" applyBorder="1" applyAlignment="1">
      <alignment vertical="center"/>
    </xf>
    <xf numFmtId="0" fontId="3" fillId="4" borderId="1" xfId="0" applyFont="1" applyFill="1" applyBorder="1" applyAlignment="1">
      <alignment vertical="center"/>
    </xf>
    <xf numFmtId="0" fontId="3" fillId="4" borderId="1" xfId="0" applyFont="1" applyFill="1" applyBorder="1" applyAlignment="1">
      <alignment horizontal="center" vertical="center"/>
    </xf>
    <xf numFmtId="0" fontId="3" fillId="4" borderId="4" xfId="0" applyFont="1" applyFill="1" applyBorder="1" applyAlignment="1">
      <alignment vertical="center"/>
    </xf>
    <xf numFmtId="3" fontId="3" fillId="4" borderId="0" xfId="0" applyNumberFormat="1" applyFont="1" applyFill="1" applyBorder="1" applyAlignment="1">
      <alignment horizontal="center" vertical="center" wrapText="1"/>
    </xf>
    <xf numFmtId="4" fontId="4" fillId="4" borderId="1" xfId="0" applyNumberFormat="1" applyFont="1" applyFill="1" applyBorder="1" applyAlignment="1">
      <alignment horizontal="center" vertical="center" wrapText="1"/>
    </xf>
    <xf numFmtId="4" fontId="3" fillId="4" borderId="0" xfId="0" applyNumberFormat="1" applyFont="1" applyFill="1" applyBorder="1" applyAlignment="1">
      <alignment horizontal="center" vertical="center" wrapText="1"/>
    </xf>
    <xf numFmtId="4"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xf>
    <xf numFmtId="2" fontId="3" fillId="4" borderId="1" xfId="0" applyNumberFormat="1" applyFont="1" applyFill="1" applyBorder="1" applyAlignment="1">
      <alignment horizontal="center" vertical="center"/>
    </xf>
    <xf numFmtId="4" fontId="3" fillId="4" borderId="1" xfId="0" applyNumberFormat="1" applyFont="1" applyFill="1" applyBorder="1" applyAlignment="1">
      <alignment horizontal="center" vertical="center"/>
    </xf>
    <xf numFmtId="0" fontId="3" fillId="4" borderId="4" xfId="0" applyFont="1" applyFill="1" applyBorder="1" applyAlignment="1">
      <alignment horizontal="center" vertical="center"/>
    </xf>
    <xf numFmtId="0" fontId="3" fillId="4" borderId="2" xfId="0" applyFont="1" applyFill="1" applyBorder="1" applyAlignment="1">
      <alignment vertical="center"/>
    </xf>
    <xf numFmtId="0" fontId="13" fillId="4" borderId="0" xfId="0" applyFont="1" applyFill="1" applyBorder="1" applyAlignment="1">
      <alignment vertical="center"/>
    </xf>
    <xf numFmtId="0" fontId="13" fillId="4" borderId="0" xfId="0" applyFont="1" applyFill="1" applyBorder="1" applyAlignment="1">
      <alignment horizontal="center" vertical="center"/>
    </xf>
    <xf numFmtId="0" fontId="13" fillId="4" borderId="0" xfId="0" applyFont="1" applyFill="1" applyAlignment="1">
      <alignment vertical="center"/>
    </xf>
    <xf numFmtId="0" fontId="3" fillId="4" borderId="13" xfId="0" applyFont="1" applyFill="1" applyBorder="1" applyAlignment="1">
      <alignment vertical="center"/>
    </xf>
    <xf numFmtId="0" fontId="3" fillId="4" borderId="13" xfId="0" applyFont="1" applyFill="1" applyBorder="1" applyAlignment="1">
      <alignment horizontal="center" vertical="center"/>
    </xf>
    <xf numFmtId="0" fontId="3" fillId="4" borderId="6" xfId="0" applyFont="1" applyFill="1" applyBorder="1" applyAlignment="1">
      <alignment vertical="center"/>
    </xf>
    <xf numFmtId="0" fontId="12" fillId="4" borderId="0" xfId="0" applyFont="1" applyFill="1" applyBorder="1" applyAlignment="1">
      <alignment vertical="center"/>
    </xf>
    <xf numFmtId="0" fontId="3" fillId="4" borderId="0" xfId="0" applyFont="1" applyFill="1" applyBorder="1" applyAlignment="1">
      <alignment vertical="center" wrapText="1"/>
    </xf>
    <xf numFmtId="1" fontId="4" fillId="4" borderId="19" xfId="0" applyNumberFormat="1" applyFont="1" applyFill="1" applyBorder="1" applyAlignment="1">
      <alignment horizontal="center" vertical="center"/>
    </xf>
    <xf numFmtId="0" fontId="3" fillId="4" borderId="0" xfId="0" applyFont="1" applyFill="1" applyBorder="1" applyAlignment="1">
      <alignment horizontal="left" vertical="center"/>
    </xf>
    <xf numFmtId="0" fontId="4" fillId="4" borderId="3" xfId="0" applyFont="1" applyFill="1" applyBorder="1" applyAlignment="1">
      <alignment vertical="center"/>
    </xf>
    <xf numFmtId="0" fontId="13" fillId="4" borderId="0" xfId="3" applyFont="1" applyFill="1" applyBorder="1" applyAlignment="1" applyProtection="1">
      <alignment horizontal="center" vertical="center"/>
    </xf>
    <xf numFmtId="0" fontId="3" fillId="4" borderId="1" xfId="0" applyFont="1" applyFill="1" applyBorder="1" applyAlignment="1">
      <alignment horizontal="centerContinuous" vertical="center"/>
    </xf>
    <xf numFmtId="0" fontId="13" fillId="4" borderId="0" xfId="3" applyFont="1" applyFill="1" applyBorder="1" applyAlignment="1" applyProtection="1">
      <alignment horizontal="left" vertical="center"/>
    </xf>
    <xf numFmtId="0" fontId="31" fillId="4" borderId="13" xfId="0" applyFont="1" applyFill="1" applyBorder="1" applyAlignment="1">
      <alignment horizontal="center" vertical="center"/>
    </xf>
    <xf numFmtId="0" fontId="32" fillId="4" borderId="13" xfId="0" applyFont="1" applyFill="1" applyBorder="1" applyAlignment="1">
      <alignment vertical="center"/>
    </xf>
    <xf numFmtId="0" fontId="31" fillId="4" borderId="13" xfId="3" applyFont="1" applyFill="1" applyBorder="1" applyAlignment="1" applyProtection="1">
      <alignment horizontal="left" vertical="center"/>
    </xf>
    <xf numFmtId="0" fontId="3" fillId="3" borderId="7" xfId="0" applyFont="1" applyFill="1" applyBorder="1" applyAlignment="1">
      <alignment vertical="center"/>
    </xf>
    <xf numFmtId="0" fontId="3" fillId="3" borderId="8" xfId="0" applyFont="1" applyFill="1" applyBorder="1" applyAlignment="1">
      <alignment vertical="center"/>
    </xf>
    <xf numFmtId="0" fontId="4" fillId="2" borderId="9" xfId="0" applyFont="1" applyFill="1" applyBorder="1" applyAlignment="1">
      <alignment horizontal="center" vertical="center"/>
    </xf>
    <xf numFmtId="0" fontId="4" fillId="2" borderId="6" xfId="0" applyFont="1" applyFill="1" applyBorder="1" applyAlignment="1">
      <alignment horizontal="centerContinuous" vertical="center"/>
    </xf>
    <xf numFmtId="0" fontId="4" fillId="2" borderId="0" xfId="0" applyFont="1" applyFill="1" applyBorder="1" applyAlignment="1">
      <alignment horizontal="centerContinuous" vertical="center"/>
    </xf>
    <xf numFmtId="0" fontId="4" fillId="2" borderId="1" xfId="0" applyFont="1" applyFill="1" applyBorder="1" applyAlignment="1">
      <alignment horizontal="centerContinuous" vertical="center"/>
    </xf>
    <xf numFmtId="0" fontId="4" fillId="2" borderId="9" xfId="0" applyFont="1" applyFill="1" applyBorder="1" applyAlignment="1">
      <alignment horizontal="centerContinuous" vertical="center"/>
    </xf>
    <xf numFmtId="49" fontId="12" fillId="2" borderId="0" xfId="0" applyNumberFormat="1" applyFont="1" applyFill="1" applyBorder="1" applyAlignment="1">
      <alignment horizontal="center" vertical="center" wrapText="1"/>
    </xf>
    <xf numFmtId="0" fontId="4" fillId="2" borderId="1"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1" xfId="0" applyFont="1" applyFill="1" applyBorder="1" applyAlignment="1">
      <alignment horizontal="center" vertical="center"/>
    </xf>
    <xf numFmtId="0" fontId="3" fillId="2" borderId="22" xfId="0" applyFont="1" applyFill="1" applyBorder="1" applyAlignment="1">
      <alignment vertical="center"/>
    </xf>
    <xf numFmtId="0" fontId="3" fillId="2" borderId="23" xfId="0" applyFont="1" applyFill="1" applyBorder="1" applyAlignment="1">
      <alignment vertical="center"/>
    </xf>
    <xf numFmtId="0" fontId="3" fillId="4" borderId="24" xfId="0" applyFont="1" applyFill="1" applyBorder="1" applyAlignment="1">
      <alignment vertical="center"/>
    </xf>
    <xf numFmtId="0" fontId="4" fillId="4" borderId="24" xfId="3" applyFont="1" applyFill="1" applyBorder="1" applyAlignment="1" applyProtection="1">
      <alignment vertical="center"/>
    </xf>
    <xf numFmtId="0" fontId="4" fillId="4" borderId="3" xfId="3" applyFont="1" applyFill="1" applyBorder="1" applyAlignment="1" applyProtection="1">
      <alignment horizontal="center" vertical="center"/>
    </xf>
    <xf numFmtId="0" fontId="3" fillId="2" borderId="1" xfId="0" applyFont="1" applyFill="1" applyBorder="1" applyAlignment="1">
      <alignment vertical="center"/>
    </xf>
    <xf numFmtId="0" fontId="3" fillId="3" borderId="15" xfId="0" applyFont="1" applyFill="1" applyBorder="1" applyAlignment="1">
      <alignment vertical="center"/>
    </xf>
    <xf numFmtId="0" fontId="3" fillId="4" borderId="24" xfId="0" applyFont="1" applyFill="1" applyBorder="1" applyAlignment="1">
      <alignment horizontal="center" vertical="center"/>
    </xf>
    <xf numFmtId="3" fontId="29" fillId="4" borderId="0" xfId="0" applyNumberFormat="1" applyFont="1" applyFill="1" applyBorder="1" applyAlignment="1">
      <alignment horizontal="center" vertical="center" wrapText="1"/>
    </xf>
    <xf numFmtId="2" fontId="29" fillId="4" borderId="0" xfId="0" applyNumberFormat="1" applyFont="1" applyFill="1" applyBorder="1" applyAlignment="1">
      <alignment horizontal="center" vertical="center" wrapText="1"/>
    </xf>
    <xf numFmtId="0" fontId="29" fillId="4" borderId="0" xfId="0" applyFont="1" applyFill="1" applyBorder="1" applyAlignment="1">
      <alignment horizontal="center" vertical="center"/>
    </xf>
    <xf numFmtId="0" fontId="29" fillId="4" borderId="1" xfId="0" applyFont="1" applyFill="1" applyBorder="1" applyAlignment="1">
      <alignment horizontal="center" vertical="center"/>
    </xf>
    <xf numFmtId="0" fontId="13" fillId="0" borderId="0" xfId="0" applyFont="1" applyFill="1" applyAlignment="1">
      <alignment vertical="center"/>
    </xf>
    <xf numFmtId="0" fontId="4" fillId="0" borderId="0" xfId="0" applyFont="1" applyFill="1" applyAlignment="1">
      <alignment horizontal="center" vertical="center"/>
    </xf>
    <xf numFmtId="0" fontId="0" fillId="0" borderId="25" xfId="0" applyFill="1" applyBorder="1" applyAlignment="1">
      <alignment vertical="center"/>
    </xf>
    <xf numFmtId="0" fontId="0" fillId="0" borderId="18" xfId="0" applyFill="1" applyBorder="1" applyAlignment="1">
      <alignment vertical="center"/>
    </xf>
    <xf numFmtId="0" fontId="0" fillId="0" borderId="26" xfId="0" applyFill="1" applyBorder="1" applyAlignment="1">
      <alignment vertical="center"/>
    </xf>
    <xf numFmtId="0" fontId="0" fillId="0" borderId="18" xfId="0" applyFill="1" applyBorder="1" applyAlignment="1">
      <alignment horizontal="center" vertical="center"/>
    </xf>
    <xf numFmtId="0" fontId="0" fillId="0" borderId="3" xfId="0" applyFill="1" applyBorder="1" applyAlignment="1">
      <alignment vertical="center"/>
    </xf>
    <xf numFmtId="0" fontId="37" fillId="0" borderId="0" xfId="0" applyFont="1" applyFill="1" applyAlignment="1">
      <alignment vertical="center"/>
    </xf>
    <xf numFmtId="0" fontId="36" fillId="0" borderId="0" xfId="0" applyFont="1" applyFill="1" applyAlignment="1">
      <alignment horizontal="left" vertical="center"/>
    </xf>
    <xf numFmtId="0" fontId="38" fillId="0" borderId="0" xfId="0" applyFont="1" applyFill="1" applyAlignment="1">
      <alignment vertical="center"/>
    </xf>
    <xf numFmtId="0" fontId="36" fillId="0" borderId="0" xfId="0" applyFont="1" applyFill="1" applyBorder="1" applyAlignment="1">
      <alignment vertical="center"/>
    </xf>
    <xf numFmtId="0" fontId="37" fillId="0" borderId="0" xfId="0" applyFont="1" applyFill="1" applyBorder="1" applyAlignment="1">
      <alignment vertical="center"/>
    </xf>
    <xf numFmtId="0" fontId="36" fillId="0" borderId="0" xfId="0" applyFont="1" applyFill="1" applyBorder="1" applyAlignment="1">
      <alignment horizontal="center" vertical="center"/>
    </xf>
    <xf numFmtId="0" fontId="0" fillId="0" borderId="0" xfId="0" applyFill="1" applyBorder="1" applyAlignment="1">
      <alignment vertical="center" wrapText="1"/>
    </xf>
    <xf numFmtId="0" fontId="11" fillId="0" borderId="0" xfId="0" applyFont="1" applyFill="1" applyAlignment="1">
      <alignment vertical="center"/>
    </xf>
    <xf numFmtId="0" fontId="12" fillId="0" borderId="0" xfId="0" applyFont="1" applyFill="1" applyBorder="1" applyAlignment="1">
      <alignment vertical="center"/>
    </xf>
    <xf numFmtId="1" fontId="4" fillId="0" borderId="0" xfId="0" applyNumberFormat="1" applyFont="1" applyFill="1" applyBorder="1" applyAlignment="1">
      <alignment horizontal="center" vertical="center"/>
    </xf>
    <xf numFmtId="0" fontId="2" fillId="0" borderId="0" xfId="0" applyFont="1" applyFill="1"/>
    <xf numFmtId="0" fontId="13" fillId="0" borderId="0" xfId="0" applyFont="1" applyFill="1" applyBorder="1"/>
    <xf numFmtId="0" fontId="13" fillId="0" borderId="0" xfId="0" applyFont="1" applyFill="1"/>
    <xf numFmtId="0" fontId="2" fillId="0" borderId="13" xfId="0" applyFont="1" applyFill="1" applyBorder="1"/>
    <xf numFmtId="0" fontId="3" fillId="0" borderId="0" xfId="0" applyFont="1" applyFill="1" applyAlignment="1">
      <alignment horizontal="centerContinuous" vertical="center"/>
    </xf>
    <xf numFmtId="0" fontId="2" fillId="0" borderId="0" xfId="0" applyFont="1" applyFill="1" applyBorder="1"/>
    <xf numFmtId="15" fontId="4" fillId="0" borderId="0" xfId="0" applyNumberFormat="1" applyFont="1" applyFill="1" applyBorder="1" applyAlignment="1">
      <alignment horizontal="center" vertical="center"/>
    </xf>
    <xf numFmtId="0" fontId="0" fillId="0" borderId="27" xfId="0" applyFill="1" applyBorder="1" applyAlignment="1">
      <alignment horizontal="center"/>
    </xf>
    <xf numFmtId="0" fontId="0" fillId="0" borderId="27" xfId="0" applyFill="1" applyBorder="1"/>
    <xf numFmtId="0" fontId="0" fillId="0" borderId="0" xfId="0" applyFill="1" applyBorder="1" applyAlignment="1">
      <alignment horizontal="center"/>
    </xf>
    <xf numFmtId="0" fontId="0" fillId="0" borderId="0" xfId="0" applyFill="1" applyBorder="1"/>
    <xf numFmtId="0" fontId="24" fillId="3" borderId="12" xfId="0" applyFont="1" applyFill="1" applyBorder="1" applyAlignment="1">
      <alignment vertical="center"/>
    </xf>
    <xf numFmtId="0" fontId="0" fillId="0" borderId="18" xfId="0" applyFill="1" applyBorder="1" applyAlignment="1">
      <alignment horizontal="center"/>
    </xf>
    <xf numFmtId="0" fontId="0" fillId="0" borderId="18" xfId="0" applyFill="1" applyBorder="1"/>
    <xf numFmtId="0" fontId="4" fillId="0" borderId="0" xfId="0" applyFont="1" applyFill="1" applyBorder="1"/>
    <xf numFmtId="0" fontId="4" fillId="0" borderId="1" xfId="0" applyFont="1" applyFill="1" applyBorder="1" applyAlignment="1">
      <alignment vertical="center"/>
    </xf>
    <xf numFmtId="0" fontId="4" fillId="0" borderId="18" xfId="0" applyFont="1" applyFill="1" applyBorder="1"/>
    <xf numFmtId="0" fontId="2" fillId="0" borderId="18" xfId="0" applyFont="1" applyFill="1" applyBorder="1"/>
    <xf numFmtId="0" fontId="2" fillId="0" borderId="0" xfId="0" applyFont="1" applyFill="1" applyBorder="1" applyAlignment="1">
      <alignment vertical="center"/>
    </xf>
    <xf numFmtId="0" fontId="3" fillId="0" borderId="25" xfId="0" applyFont="1" applyFill="1" applyBorder="1" applyAlignment="1">
      <alignment vertical="center"/>
    </xf>
    <xf numFmtId="0" fontId="0" fillId="0" borderId="25" xfId="0" applyFill="1" applyBorder="1" applyAlignment="1">
      <alignment horizontal="center" vertical="center"/>
    </xf>
    <xf numFmtId="0" fontId="0" fillId="0" borderId="3" xfId="0" applyFill="1" applyBorder="1" applyAlignment="1">
      <alignment horizontal="center" vertical="center"/>
    </xf>
    <xf numFmtId="0" fontId="39" fillId="3" borderId="10" xfId="0" applyFont="1" applyFill="1" applyBorder="1" applyAlignment="1">
      <alignment horizontal="center" vertical="center" wrapText="1"/>
    </xf>
    <xf numFmtId="0" fontId="39" fillId="3" borderId="7" xfId="0" applyFont="1" applyFill="1" applyBorder="1" applyAlignment="1">
      <alignment horizontal="left" vertical="center"/>
    </xf>
    <xf numFmtId="0" fontId="39" fillId="3" borderId="7" xfId="0" applyFont="1" applyFill="1" applyBorder="1" applyAlignment="1">
      <alignment vertical="center"/>
    </xf>
    <xf numFmtId="0" fontId="11" fillId="3" borderId="7" xfId="0" applyFont="1" applyFill="1" applyBorder="1" applyAlignment="1">
      <alignment vertical="center"/>
    </xf>
    <xf numFmtId="0" fontId="11" fillId="3" borderId="8" xfId="0" applyFont="1" applyFill="1" applyBorder="1" applyAlignment="1">
      <alignment vertical="center"/>
    </xf>
    <xf numFmtId="0" fontId="36" fillId="0" borderId="11" xfId="0" applyFont="1" applyFill="1" applyBorder="1" applyAlignment="1">
      <alignment horizontal="center" vertical="center" wrapText="1"/>
    </xf>
    <xf numFmtId="0" fontId="36" fillId="0" borderId="12" xfId="0" applyFont="1" applyFill="1" applyBorder="1" applyAlignment="1">
      <alignment horizontal="left" vertical="center"/>
    </xf>
    <xf numFmtId="0" fontId="36" fillId="0" borderId="12" xfId="0" applyFont="1" applyFill="1" applyBorder="1" applyAlignment="1">
      <alignment vertical="center"/>
    </xf>
    <xf numFmtId="0" fontId="37" fillId="0" borderId="12" xfId="0" applyFont="1" applyFill="1" applyBorder="1" applyAlignment="1">
      <alignment vertical="center"/>
    </xf>
    <xf numFmtId="0" fontId="3" fillId="0" borderId="12" xfId="0" applyFont="1" applyFill="1" applyBorder="1" applyAlignment="1">
      <alignment vertical="center"/>
    </xf>
    <xf numFmtId="0" fontId="37" fillId="0" borderId="15" xfId="0" applyFont="1" applyFill="1" applyBorder="1" applyAlignment="1">
      <alignment vertical="center"/>
    </xf>
    <xf numFmtId="0" fontId="36" fillId="0" borderId="6" xfId="0" applyFont="1" applyFill="1" applyBorder="1" applyAlignment="1">
      <alignment horizontal="center" vertical="center" wrapText="1"/>
    </xf>
    <xf numFmtId="0" fontId="37" fillId="0" borderId="1" xfId="0" applyFont="1" applyFill="1" applyBorder="1" applyAlignment="1">
      <alignment vertical="center"/>
    </xf>
    <xf numFmtId="0" fontId="0" fillId="0" borderId="28" xfId="0" applyFill="1" applyBorder="1" applyAlignment="1">
      <alignment vertical="center"/>
    </xf>
    <xf numFmtId="0" fontId="0" fillId="0" borderId="23" xfId="0" applyFill="1" applyBorder="1" applyAlignment="1">
      <alignment vertical="center"/>
    </xf>
    <xf numFmtId="0" fontId="0" fillId="0" borderId="6" xfId="0" applyFill="1" applyBorder="1" applyAlignment="1">
      <alignment horizontal="center" vertical="center"/>
    </xf>
    <xf numFmtId="0" fontId="0" fillId="0" borderId="28" xfId="0" applyFill="1" applyBorder="1" applyAlignment="1">
      <alignment horizontal="center" vertical="center"/>
    </xf>
    <xf numFmtId="0" fontId="0" fillId="0" borderId="2" xfId="0" applyFill="1" applyBorder="1" applyAlignment="1">
      <alignment horizontal="center" vertical="center"/>
    </xf>
    <xf numFmtId="0" fontId="0" fillId="0" borderId="4" xfId="0" applyFill="1" applyBorder="1" applyAlignment="1">
      <alignment vertical="center"/>
    </xf>
    <xf numFmtId="0" fontId="0" fillId="0" borderId="6" xfId="0" applyFill="1" applyBorder="1" applyAlignment="1">
      <alignment vertical="center"/>
    </xf>
    <xf numFmtId="0" fontId="0" fillId="0" borderId="2" xfId="0" applyFill="1" applyBorder="1" applyAlignment="1">
      <alignment vertical="center"/>
    </xf>
    <xf numFmtId="0" fontId="3" fillId="0" borderId="27" xfId="0" applyFont="1" applyFill="1" applyBorder="1" applyAlignment="1">
      <alignment horizontal="centerContinuous" vertical="center"/>
    </xf>
    <xf numFmtId="0" fontId="3" fillId="0" borderId="27" xfId="0" applyFont="1" applyFill="1" applyBorder="1" applyAlignment="1">
      <alignment vertical="center"/>
    </xf>
    <xf numFmtId="0" fontId="24" fillId="3" borderId="7" xfId="0" applyFont="1" applyFill="1" applyBorder="1" applyAlignment="1">
      <alignment vertical="center"/>
    </xf>
    <xf numFmtId="0" fontId="24" fillId="3" borderId="7" xfId="0" applyFont="1" applyFill="1" applyBorder="1" applyAlignment="1">
      <alignment horizontal="centerContinuous"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wrapText="1"/>
    </xf>
    <xf numFmtId="0" fontId="4" fillId="2" borderId="30" xfId="0" applyFont="1" applyFill="1" applyBorder="1" applyAlignment="1">
      <alignment vertical="center"/>
    </xf>
    <xf numFmtId="0" fontId="3" fillId="2" borderId="30" xfId="0" applyFont="1" applyFill="1" applyBorder="1" applyAlignment="1">
      <alignment horizontal="centerContinuous" vertical="center"/>
    </xf>
    <xf numFmtId="0" fontId="3" fillId="2" borderId="30" xfId="0" applyFont="1" applyFill="1" applyBorder="1" applyAlignment="1">
      <alignment vertical="center"/>
    </xf>
    <xf numFmtId="0" fontId="3" fillId="2" borderId="31" xfId="0" applyFont="1" applyFill="1" applyBorder="1" applyAlignment="1">
      <alignment vertical="center"/>
    </xf>
    <xf numFmtId="0" fontId="3" fillId="0" borderId="32" xfId="0" applyFont="1" applyFill="1" applyBorder="1" applyAlignment="1">
      <alignment vertical="center"/>
    </xf>
    <xf numFmtId="0" fontId="0" fillId="0" borderId="0" xfId="0" applyFill="1" applyBorder="1" applyAlignment="1"/>
    <xf numFmtId="0" fontId="2" fillId="0" borderId="1" xfId="0" applyFont="1" applyFill="1" applyBorder="1"/>
    <xf numFmtId="0" fontId="2" fillId="0" borderId="26" xfId="0" applyFont="1" applyFill="1" applyBorder="1"/>
    <xf numFmtId="0" fontId="0" fillId="0" borderId="3" xfId="0" applyFill="1" applyBorder="1" applyAlignment="1">
      <alignment horizontal="center"/>
    </xf>
    <xf numFmtId="0" fontId="0" fillId="0" borderId="3" xfId="0" applyFill="1" applyBorder="1"/>
    <xf numFmtId="0" fontId="2" fillId="0" borderId="3" xfId="0" applyFont="1" applyFill="1" applyBorder="1"/>
    <xf numFmtId="0" fontId="2" fillId="0" borderId="4" xfId="0" applyFont="1" applyFill="1" applyBorder="1"/>
    <xf numFmtId="0" fontId="24" fillId="3" borderId="8" xfId="0" applyFont="1" applyFill="1" applyBorder="1" applyAlignment="1">
      <alignment vertical="center"/>
    </xf>
    <xf numFmtId="0" fontId="3" fillId="0" borderId="1" xfId="0" applyFont="1" applyFill="1" applyBorder="1" applyAlignment="1">
      <alignment vertical="center" wrapText="1"/>
    </xf>
    <xf numFmtId="0" fontId="3" fillId="0" borderId="15" xfId="0" applyFont="1" applyFill="1" applyBorder="1" applyAlignment="1">
      <alignment vertical="center"/>
    </xf>
    <xf numFmtId="0" fontId="3" fillId="0" borderId="2" xfId="0" applyFont="1" applyFill="1" applyBorder="1" applyAlignment="1">
      <alignment vertical="center"/>
    </xf>
    <xf numFmtId="0" fontId="4" fillId="0" borderId="4" xfId="0" applyFont="1" applyFill="1" applyBorder="1" applyAlignment="1">
      <alignment vertical="center"/>
    </xf>
    <xf numFmtId="0" fontId="29" fillId="0" borderId="1" xfId="0" applyFont="1" applyFill="1" applyBorder="1" applyAlignment="1">
      <alignment horizontal="center" vertical="center" wrapText="1"/>
    </xf>
    <xf numFmtId="0" fontId="4" fillId="3" borderId="7" xfId="0" applyFont="1" applyFill="1" applyBorder="1" applyAlignment="1">
      <alignment horizontal="centerContinuous" vertical="center"/>
    </xf>
    <xf numFmtId="0" fontId="2" fillId="2" borderId="0" xfId="0" applyFont="1" applyFill="1"/>
    <xf numFmtId="0" fontId="5" fillId="2" borderId="7"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21" xfId="0" applyFont="1" applyFill="1" applyBorder="1" applyAlignment="1">
      <alignment horizontal="center" vertical="center" wrapText="1"/>
    </xf>
    <xf numFmtId="0" fontId="5" fillId="2" borderId="21" xfId="0" applyFont="1" applyFill="1" applyBorder="1" applyAlignment="1">
      <alignment horizontal="center" vertical="center"/>
    </xf>
    <xf numFmtId="0" fontId="5" fillId="2" borderId="9"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4" fillId="2" borderId="5" xfId="0" applyFont="1" applyFill="1" applyBorder="1" applyAlignment="1">
      <alignment horizontal="center" vertical="center"/>
    </xf>
    <xf numFmtId="0" fontId="4" fillId="2" borderId="4" xfId="0" applyFont="1" applyFill="1" applyBorder="1" applyAlignment="1">
      <alignment horizontal="center" vertical="center"/>
    </xf>
    <xf numFmtId="0" fontId="5" fillId="2" borderId="33" xfId="0" applyFont="1" applyFill="1" applyBorder="1" applyAlignment="1">
      <alignment horizontal="center" vertical="center" wrapText="1"/>
    </xf>
    <xf numFmtId="0" fontId="5" fillId="2" borderId="34" xfId="0" applyFont="1" applyFill="1" applyBorder="1" applyAlignment="1">
      <alignment horizontal="center" vertical="center" wrapText="1"/>
    </xf>
    <xf numFmtId="0" fontId="5" fillId="2" borderId="35" xfId="0" applyFont="1" applyFill="1" applyBorder="1" applyAlignment="1">
      <alignment horizontal="center" vertical="center" wrapText="1"/>
    </xf>
    <xf numFmtId="0" fontId="5" fillId="2" borderId="35" xfId="0" applyFont="1" applyFill="1" applyBorder="1" applyAlignment="1">
      <alignment horizontal="center" vertical="center"/>
    </xf>
    <xf numFmtId="0" fontId="5" fillId="2" borderId="36" xfId="0" applyFont="1" applyFill="1" applyBorder="1" applyAlignment="1">
      <alignment horizontal="center" vertical="center" wrapText="1"/>
    </xf>
    <xf numFmtId="0" fontId="4" fillId="2" borderId="7" xfId="0" applyFont="1" applyFill="1" applyBorder="1" applyAlignment="1">
      <alignment horizontal="centerContinuous" vertical="center" wrapText="1"/>
    </xf>
    <xf numFmtId="0" fontId="4" fillId="2" borderId="8" xfId="0" applyFont="1" applyFill="1" applyBorder="1" applyAlignment="1">
      <alignment horizontal="centerContinuous" vertical="center" wrapText="1"/>
    </xf>
    <xf numFmtId="0" fontId="4" fillId="0" borderId="0" xfId="0" applyFont="1" applyFill="1" applyAlignment="1">
      <alignment horizontal="centerContinuous" vertical="center"/>
    </xf>
    <xf numFmtId="0" fontId="29" fillId="0" borderId="9" xfId="0" applyFont="1" applyFill="1" applyBorder="1" applyAlignment="1">
      <alignment horizontal="center" vertical="center" wrapText="1"/>
    </xf>
    <xf numFmtId="0" fontId="29" fillId="0" borderId="5" xfId="0" applyFont="1" applyFill="1" applyBorder="1" applyAlignment="1">
      <alignment horizontal="center" vertical="center" wrapText="1"/>
    </xf>
    <xf numFmtId="0" fontId="7" fillId="3" borderId="7" xfId="0" applyFont="1" applyFill="1" applyBorder="1" applyAlignment="1">
      <alignment horizontal="centerContinuous" vertical="center"/>
    </xf>
    <xf numFmtId="0" fontId="7" fillId="3" borderId="8" xfId="0" applyFont="1" applyFill="1" applyBorder="1" applyAlignment="1">
      <alignment horizontal="centerContinuous" vertical="center"/>
    </xf>
    <xf numFmtId="0" fontId="0" fillId="3" borderId="8" xfId="0" applyFill="1" applyBorder="1" applyAlignment="1">
      <alignment horizontal="centerContinuous" vertical="center"/>
    </xf>
    <xf numFmtId="0" fontId="5" fillId="2" borderId="4"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29" fillId="0" borderId="21" xfId="0" applyFont="1" applyFill="1" applyBorder="1" applyAlignment="1">
      <alignment horizontal="center" vertical="center" wrapText="1"/>
    </xf>
    <xf numFmtId="0" fontId="5" fillId="2" borderId="12" xfId="0" applyFont="1" applyFill="1" applyBorder="1" applyAlignment="1">
      <alignment horizontal="centerContinuous" vertical="center"/>
    </xf>
    <xf numFmtId="0" fontId="5" fillId="2" borderId="15" xfId="0" applyFont="1" applyFill="1" applyBorder="1" applyAlignment="1">
      <alignment horizontal="center" vertical="center"/>
    </xf>
    <xf numFmtId="0" fontId="3" fillId="0" borderId="1" xfId="0" applyFont="1" applyFill="1" applyBorder="1" applyAlignment="1">
      <alignment horizontal="centerContinuous" vertical="center"/>
    </xf>
    <xf numFmtId="0" fontId="5" fillId="2" borderId="15" xfId="0" applyFont="1" applyFill="1" applyBorder="1" applyAlignment="1">
      <alignment horizontal="centerContinuous" vertical="center"/>
    </xf>
    <xf numFmtId="0" fontId="5" fillId="2" borderId="14" xfId="0" applyFont="1" applyFill="1" applyBorder="1" applyAlignment="1">
      <alignment horizontal="center" vertical="center" wrapText="1"/>
    </xf>
    <xf numFmtId="171" fontId="29" fillId="0" borderId="1" xfId="0" applyNumberFormat="1" applyFont="1" applyFill="1" applyBorder="1" applyAlignment="1">
      <alignment horizontal="center" vertical="center" wrapText="1"/>
    </xf>
    <xf numFmtId="0" fontId="4" fillId="2" borderId="12" xfId="0" applyFont="1" applyFill="1" applyBorder="1" applyAlignment="1">
      <alignment horizontal="centerContinuous" vertical="center"/>
    </xf>
    <xf numFmtId="0" fontId="4" fillId="2" borderId="15" xfId="0" applyFont="1" applyFill="1" applyBorder="1" applyAlignment="1">
      <alignment horizontal="centerContinuous" vertical="center"/>
    </xf>
    <xf numFmtId="0" fontId="4" fillId="2" borderId="11" xfId="0" applyFont="1" applyFill="1" applyBorder="1" applyAlignment="1">
      <alignment horizontal="center" vertical="center" wrapText="1"/>
    </xf>
    <xf numFmtId="0" fontId="4" fillId="2" borderId="21"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5" fillId="2" borderId="3" xfId="0" applyFont="1" applyFill="1" applyBorder="1" applyAlignment="1">
      <alignment horizontal="centerContinuous" vertical="center"/>
    </xf>
    <xf numFmtId="0" fontId="29" fillId="0" borderId="0" xfId="0" applyFont="1" applyFill="1" applyAlignment="1">
      <alignment vertical="center"/>
    </xf>
    <xf numFmtId="0" fontId="29" fillId="0" borderId="0" xfId="0" applyFont="1" applyFill="1" applyBorder="1" applyAlignment="1">
      <alignment vertical="center"/>
    </xf>
    <xf numFmtId="0" fontId="29" fillId="0" borderId="1" xfId="0" applyFont="1" applyFill="1" applyBorder="1" applyAlignment="1">
      <alignment horizontal="center" vertical="center"/>
    </xf>
    <xf numFmtId="0" fontId="13" fillId="0" borderId="0" xfId="0" applyFont="1" applyFill="1" applyAlignment="1">
      <alignment horizontal="left" vertical="center"/>
    </xf>
    <xf numFmtId="0" fontId="14" fillId="0" borderId="0" xfId="0" applyFont="1" applyFill="1" applyAlignment="1">
      <alignment vertical="center"/>
    </xf>
    <xf numFmtId="0" fontId="5" fillId="0" borderId="0" xfId="0" applyFont="1" applyFill="1" applyBorder="1" applyAlignment="1">
      <alignment vertical="center"/>
    </xf>
    <xf numFmtId="2" fontId="3" fillId="0" borderId="0" xfId="0" applyNumberFormat="1" applyFont="1" applyFill="1" applyBorder="1" applyAlignment="1">
      <alignment vertical="center"/>
    </xf>
    <xf numFmtId="0" fontId="3" fillId="0" borderId="2" xfId="0" applyFont="1" applyFill="1" applyBorder="1" applyAlignment="1">
      <alignment vertical="center" wrapText="1"/>
    </xf>
    <xf numFmtId="2" fontId="29" fillId="0" borderId="1" xfId="0" applyNumberFormat="1" applyFont="1" applyFill="1" applyBorder="1" applyAlignment="1">
      <alignment horizontal="center" vertical="center" wrapText="1"/>
    </xf>
    <xf numFmtId="2" fontId="29" fillId="0" borderId="1" xfId="0" applyNumberFormat="1" applyFont="1" applyFill="1" applyBorder="1" applyAlignment="1">
      <alignment horizontal="center" vertical="center"/>
    </xf>
    <xf numFmtId="0" fontId="29" fillId="0" borderId="4" xfId="0" applyFont="1" applyFill="1" applyBorder="1" applyAlignment="1">
      <alignment horizontal="center" vertical="center"/>
    </xf>
    <xf numFmtId="0" fontId="6" fillId="0" borderId="6" xfId="0" applyFont="1" applyFill="1" applyBorder="1" applyAlignment="1">
      <alignment vertical="center" wrapText="1"/>
    </xf>
    <xf numFmtId="0" fontId="6" fillId="0" borderId="6" xfId="0" applyFont="1" applyFill="1" applyBorder="1" applyAlignment="1">
      <alignment vertical="center"/>
    </xf>
    <xf numFmtId="0" fontId="7" fillId="3" borderId="11" xfId="0" applyFont="1" applyFill="1" applyBorder="1" applyAlignment="1">
      <alignment horizontal="left" vertical="center"/>
    </xf>
    <xf numFmtId="0" fontId="7" fillId="3" borderId="2" xfId="0" applyFont="1" applyFill="1" applyBorder="1" applyAlignment="1">
      <alignment horizontal="left" vertical="center"/>
    </xf>
    <xf numFmtId="0" fontId="3" fillId="2" borderId="15" xfId="0" applyFont="1" applyFill="1" applyBorder="1" applyAlignment="1">
      <alignment vertical="center"/>
    </xf>
    <xf numFmtId="0" fontId="3" fillId="2" borderId="4" xfId="0" applyFont="1" applyFill="1" applyBorder="1" applyAlignment="1">
      <alignment vertical="center"/>
    </xf>
    <xf numFmtId="0" fontId="13" fillId="0" borderId="13" xfId="3" applyFont="1" applyFill="1" applyBorder="1" applyAlignment="1" applyProtection="1">
      <alignment horizontal="center" vertical="center"/>
    </xf>
    <xf numFmtId="2" fontId="3" fillId="0" borderId="0" xfId="0" applyNumberFormat="1" applyFont="1" applyFill="1" applyAlignment="1">
      <alignment vertical="center"/>
    </xf>
    <xf numFmtId="0" fontId="4" fillId="0" borderId="0" xfId="0" applyFont="1" applyFill="1" applyBorder="1" applyAlignment="1">
      <alignment horizontal="center" vertical="center" wrapText="1"/>
    </xf>
    <xf numFmtId="0" fontId="5" fillId="2" borderId="7" xfId="0" applyFont="1" applyFill="1" applyBorder="1" applyAlignment="1">
      <alignment horizontal="centerContinuous" vertical="center"/>
    </xf>
    <xf numFmtId="0" fontId="13" fillId="0" borderId="0" xfId="0" applyFont="1" applyFill="1" applyBorder="1" applyAlignment="1">
      <alignment horizontal="centerContinuous" vertical="center"/>
    </xf>
    <xf numFmtId="0" fontId="13" fillId="0" borderId="0" xfId="0" applyFont="1" applyFill="1" applyBorder="1" applyAlignment="1">
      <alignment horizontal="center" vertical="center"/>
    </xf>
    <xf numFmtId="0" fontId="3" fillId="0" borderId="13" xfId="0" applyFont="1" applyFill="1" applyBorder="1" applyAlignment="1">
      <alignment vertical="center"/>
    </xf>
    <xf numFmtId="0" fontId="3" fillId="0" borderId="13" xfId="0" applyFont="1" applyFill="1" applyBorder="1" applyAlignment="1">
      <alignment horizontal="centerContinuous" vertical="center"/>
    </xf>
    <xf numFmtId="0" fontId="4" fillId="0" borderId="13" xfId="0" applyFont="1" applyFill="1" applyBorder="1" applyAlignment="1">
      <alignment horizontal="centerContinuous" vertical="center"/>
    </xf>
    <xf numFmtId="0" fontId="4" fillId="0" borderId="13" xfId="3" applyFont="1" applyFill="1" applyBorder="1" applyAlignment="1" applyProtection="1">
      <alignment horizontal="center" vertical="center"/>
    </xf>
    <xf numFmtId="0" fontId="4" fillId="0" borderId="13" xfId="0" applyFont="1" applyFill="1" applyBorder="1" applyAlignment="1">
      <alignment vertical="center"/>
    </xf>
    <xf numFmtId="0" fontId="6" fillId="0" borderId="0" xfId="0" applyFont="1" applyFill="1" applyBorder="1" applyAlignment="1">
      <alignment horizontal="justify" vertical="center" wrapText="1"/>
    </xf>
    <xf numFmtId="0" fontId="6" fillId="0" borderId="1" xfId="0" applyFont="1" applyFill="1" applyBorder="1" applyAlignment="1">
      <alignment horizontal="center" vertical="center" wrapText="1"/>
    </xf>
    <xf numFmtId="0" fontId="6" fillId="0" borderId="4" xfId="0" applyFont="1" applyFill="1" applyBorder="1" applyAlignment="1">
      <alignment horizontal="center" vertical="center" wrapText="1"/>
    </xf>
    <xf numFmtId="0" fontId="3" fillId="0" borderId="15" xfId="0" applyFont="1" applyFill="1" applyBorder="1" applyAlignment="1">
      <alignment horizontal="center" vertical="center" wrapText="1"/>
    </xf>
    <xf numFmtId="0" fontId="5" fillId="0" borderId="0" xfId="0" applyFont="1" applyFill="1" applyBorder="1" applyAlignment="1">
      <alignment horizontal="center" vertical="center"/>
    </xf>
    <xf numFmtId="0" fontId="6" fillId="0" borderId="2" xfId="0" applyFont="1" applyFill="1" applyBorder="1" applyAlignment="1">
      <alignment vertical="center"/>
    </xf>
    <xf numFmtId="0" fontId="6" fillId="0" borderId="3" xfId="0" applyFont="1" applyFill="1" applyBorder="1" applyAlignment="1">
      <alignment horizontal="justify" vertical="center" wrapText="1"/>
    </xf>
    <xf numFmtId="0" fontId="6" fillId="0" borderId="0" xfId="0" applyFont="1" applyFill="1" applyBorder="1" applyAlignment="1">
      <alignment horizontal="center" vertical="center"/>
    </xf>
    <xf numFmtId="0" fontId="5" fillId="0" borderId="0" xfId="0" applyFont="1" applyFill="1" applyBorder="1" applyAlignment="1">
      <alignment horizontal="left" vertical="center"/>
    </xf>
    <xf numFmtId="0" fontId="3" fillId="0" borderId="9" xfId="0" applyFont="1" applyFill="1" applyBorder="1" applyAlignment="1">
      <alignment vertical="center"/>
    </xf>
    <xf numFmtId="0" fontId="3" fillId="0" borderId="5" xfId="0" applyFont="1" applyFill="1" applyBorder="1" applyAlignment="1">
      <alignment vertical="center"/>
    </xf>
    <xf numFmtId="0" fontId="7" fillId="3" borderId="15" xfId="0" applyFont="1" applyFill="1" applyBorder="1" applyAlignment="1">
      <alignment horizontal="centerContinuous" vertical="center"/>
    </xf>
    <xf numFmtId="0" fontId="6" fillId="0" borderId="0" xfId="0" applyFont="1" applyFill="1" applyBorder="1" applyAlignment="1">
      <alignment horizontal="justify" vertical="center"/>
    </xf>
    <xf numFmtId="0" fontId="3" fillId="2" borderId="2" xfId="0" applyFont="1" applyFill="1" applyBorder="1" applyAlignment="1">
      <alignment vertical="center"/>
    </xf>
    <xf numFmtId="0" fontId="3" fillId="2" borderId="3" xfId="0" applyFont="1" applyFill="1" applyBorder="1" applyAlignment="1">
      <alignment vertical="center"/>
    </xf>
    <xf numFmtId="0" fontId="5" fillId="2" borderId="4" xfId="0" applyFont="1" applyFill="1" applyBorder="1" applyAlignment="1">
      <alignment horizontal="centerContinuous" vertical="center"/>
    </xf>
    <xf numFmtId="0" fontId="3" fillId="2" borderId="10" xfId="0" applyFont="1" applyFill="1" applyBorder="1" applyAlignment="1">
      <alignment horizontal="justify" vertical="center"/>
    </xf>
    <xf numFmtId="0" fontId="24" fillId="3" borderId="10" xfId="0" applyFont="1" applyFill="1" applyBorder="1" applyAlignment="1">
      <alignment vertical="center"/>
    </xf>
    <xf numFmtId="0" fontId="24" fillId="3" borderId="8" xfId="0" applyFont="1" applyFill="1" applyBorder="1" applyAlignment="1">
      <alignment horizontal="centerContinuous" vertical="center"/>
    </xf>
    <xf numFmtId="0" fontId="3" fillId="2" borderId="12" xfId="0" applyFont="1" applyFill="1" applyBorder="1" applyAlignment="1">
      <alignment horizontal="centerContinuous" vertical="center"/>
    </xf>
    <xf numFmtId="0" fontId="3" fillId="2" borderId="3" xfId="0" applyFont="1" applyFill="1" applyBorder="1" applyAlignment="1">
      <alignment horizontal="centerContinuous" vertical="center"/>
    </xf>
    <xf numFmtId="0" fontId="3" fillId="2" borderId="4" xfId="0" applyFont="1" applyFill="1" applyBorder="1" applyAlignment="1">
      <alignment horizontal="centerContinuous" vertical="center"/>
    </xf>
    <xf numFmtId="0" fontId="5" fillId="2" borderId="11" xfId="0" applyFont="1" applyFill="1" applyBorder="1" applyAlignment="1">
      <alignment horizontal="justify" vertical="center"/>
    </xf>
    <xf numFmtId="0" fontId="6" fillId="2" borderId="3" xfId="0" applyFont="1" applyFill="1" applyBorder="1" applyAlignment="1">
      <alignment horizontal="justify" vertical="center" wrapText="1"/>
    </xf>
    <xf numFmtId="0" fontId="6" fillId="0" borderId="11" xfId="0" applyFont="1" applyFill="1" applyBorder="1" applyAlignment="1">
      <alignment horizontal="justify" vertical="center"/>
    </xf>
    <xf numFmtId="0" fontId="6" fillId="0" borderId="6" xfId="0" applyFont="1" applyFill="1" applyBorder="1" applyAlignment="1">
      <alignment horizontal="justify" vertical="center"/>
    </xf>
    <xf numFmtId="0" fontId="3" fillId="0" borderId="6" xfId="0" applyFont="1" applyFill="1" applyBorder="1" applyAlignment="1">
      <alignment horizontal="justify" vertical="center"/>
    </xf>
    <xf numFmtId="0" fontId="5" fillId="0" borderId="6" xfId="0" applyFont="1" applyFill="1" applyBorder="1" applyAlignment="1">
      <alignment horizontal="justify" vertical="center"/>
    </xf>
    <xf numFmtId="0" fontId="3" fillId="2" borderId="8" xfId="0" applyFont="1" applyFill="1" applyBorder="1" applyAlignment="1">
      <alignment vertical="center"/>
    </xf>
    <xf numFmtId="0" fontId="5" fillId="2" borderId="37" xfId="0" applyFont="1" applyFill="1" applyBorder="1" applyAlignment="1">
      <alignment horizontal="center" vertical="center" wrapText="1"/>
    </xf>
    <xf numFmtId="0" fontId="5" fillId="2" borderId="38" xfId="0" applyFont="1" applyFill="1" applyBorder="1" applyAlignment="1">
      <alignment horizontal="center" vertical="center" wrapText="1"/>
    </xf>
    <xf numFmtId="0" fontId="5" fillId="2" borderId="2" xfId="0" applyFont="1" applyFill="1" applyBorder="1" applyAlignment="1">
      <alignment horizontal="left" vertical="center"/>
    </xf>
    <xf numFmtId="0" fontId="5" fillId="2" borderId="39" xfId="0" applyFont="1" applyFill="1" applyBorder="1" applyAlignment="1">
      <alignment horizontal="center" vertical="center" wrapText="1"/>
    </xf>
    <xf numFmtId="0" fontId="5" fillId="2" borderId="38" xfId="0" applyFont="1" applyFill="1" applyBorder="1" applyAlignment="1">
      <alignment horizontal="center" vertical="center"/>
    </xf>
    <xf numFmtId="0" fontId="13" fillId="0" borderId="0" xfId="0" applyFont="1" applyFill="1" applyAlignment="1">
      <alignment horizontal="centerContinuous" vertical="center"/>
    </xf>
    <xf numFmtId="0" fontId="3" fillId="0" borderId="13" xfId="0" applyFont="1" applyFill="1" applyBorder="1" applyAlignment="1">
      <alignment horizontal="left" vertical="center"/>
    </xf>
    <xf numFmtId="0" fontId="4" fillId="0" borderId="13" xfId="0" applyFont="1" applyFill="1" applyBorder="1" applyAlignment="1">
      <alignment horizontal="center" vertical="center"/>
    </xf>
    <xf numFmtId="0" fontId="3" fillId="0" borderId="0" xfId="0" applyFont="1" applyFill="1" applyAlignment="1">
      <alignment horizontal="left" vertical="center"/>
    </xf>
    <xf numFmtId="0" fontId="5" fillId="0" borderId="6" xfId="0" applyFont="1" applyFill="1" applyBorder="1" applyAlignment="1">
      <alignment horizontal="justify" vertical="center" wrapText="1"/>
    </xf>
    <xf numFmtId="0" fontId="3" fillId="0" borderId="40" xfId="0" applyFont="1" applyFill="1" applyBorder="1" applyAlignment="1">
      <alignment vertical="center"/>
    </xf>
    <xf numFmtId="0" fontId="6" fillId="0" borderId="18" xfId="0" applyFont="1" applyFill="1" applyBorder="1" applyAlignment="1">
      <alignment horizontal="justify" vertical="center" wrapText="1"/>
    </xf>
    <xf numFmtId="0" fontId="6" fillId="0" borderId="3" xfId="0" applyFont="1" applyFill="1" applyBorder="1" applyAlignment="1">
      <alignment horizontal="center" vertical="center" wrapText="1"/>
    </xf>
    <xf numFmtId="0" fontId="6" fillId="0" borderId="41" xfId="0" applyFont="1" applyFill="1" applyBorder="1" applyAlignment="1">
      <alignment horizontal="center" vertical="center"/>
    </xf>
    <xf numFmtId="0" fontId="6" fillId="0" borderId="34" xfId="0" applyFont="1" applyFill="1" applyBorder="1" applyAlignment="1">
      <alignment horizontal="center" vertical="center"/>
    </xf>
    <xf numFmtId="0" fontId="6" fillId="0" borderId="3" xfId="0" applyFont="1" applyFill="1" applyBorder="1" applyAlignment="1">
      <alignment horizontal="justify" vertical="center"/>
    </xf>
    <xf numFmtId="0" fontId="7" fillId="3" borderId="7" xfId="0" applyFont="1" applyFill="1" applyBorder="1" applyAlignment="1">
      <alignment horizontal="centerContinuous" vertical="center" wrapText="1"/>
    </xf>
    <xf numFmtId="0" fontId="4" fillId="2" borderId="42" xfId="0" applyFont="1" applyFill="1" applyBorder="1" applyAlignment="1">
      <alignment horizontal="center" vertical="center" wrapText="1"/>
    </xf>
    <xf numFmtId="0" fontId="4" fillId="2" borderId="15" xfId="0" applyFont="1" applyFill="1" applyBorder="1" applyAlignment="1">
      <alignment horizontal="center" vertical="center" wrapText="1"/>
    </xf>
    <xf numFmtId="0" fontId="4" fillId="2" borderId="33" xfId="0" applyFont="1" applyFill="1" applyBorder="1" applyAlignment="1">
      <alignment horizontal="center" vertical="center" wrapText="1"/>
    </xf>
    <xf numFmtId="0" fontId="5" fillId="2" borderId="43" xfId="0" applyFont="1" applyFill="1" applyBorder="1" applyAlignment="1">
      <alignment horizontal="center" vertical="center" wrapText="1"/>
    </xf>
    <xf numFmtId="0" fontId="5" fillId="2" borderId="44" xfId="0" applyFont="1" applyFill="1" applyBorder="1" applyAlignment="1">
      <alignment horizontal="center" vertical="center" wrapText="1"/>
    </xf>
    <xf numFmtId="0" fontId="5" fillId="2" borderId="45"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1" xfId="0" applyFont="1" applyFill="1" applyBorder="1" applyAlignment="1">
      <alignment horizontal="center" vertical="center" wrapText="1"/>
    </xf>
    <xf numFmtId="0" fontId="5" fillId="2" borderId="46" xfId="0" applyFont="1" applyFill="1" applyBorder="1" applyAlignment="1">
      <alignment horizontal="center" vertical="center" wrapText="1"/>
    </xf>
    <xf numFmtId="0" fontId="5" fillId="2" borderId="41" xfId="0" applyFont="1" applyFill="1" applyBorder="1" applyAlignment="1">
      <alignment horizontal="center" vertical="center" wrapText="1"/>
    </xf>
    <xf numFmtId="0" fontId="4" fillId="2" borderId="46" xfId="0" applyFont="1" applyFill="1" applyBorder="1" applyAlignment="1">
      <alignment horizontal="center" vertical="center" wrapText="1"/>
    </xf>
    <xf numFmtId="0" fontId="3" fillId="2" borderId="10" xfId="0" applyFont="1" applyFill="1" applyBorder="1" applyAlignment="1">
      <alignment vertical="center"/>
    </xf>
    <xf numFmtId="0" fontId="6" fillId="2" borderId="7" xfId="0" applyFont="1" applyFill="1" applyBorder="1" applyAlignment="1">
      <alignment horizontal="justify" vertical="center" wrapText="1"/>
    </xf>
    <xf numFmtId="0" fontId="3" fillId="0" borderId="26" xfId="0" applyFont="1" applyFill="1" applyBorder="1" applyAlignment="1">
      <alignment vertical="center"/>
    </xf>
    <xf numFmtId="0" fontId="4" fillId="0" borderId="0" xfId="0" applyFont="1" applyFill="1" applyAlignment="1">
      <alignment horizontal="left" vertical="center"/>
    </xf>
    <xf numFmtId="0" fontId="4" fillId="2" borderId="12" xfId="0" applyFont="1" applyFill="1" applyBorder="1" applyAlignment="1">
      <alignment horizontal="centerContinuous" vertical="center" wrapText="1"/>
    </xf>
    <xf numFmtId="0" fontId="4" fillId="2" borderId="2" xfId="0" applyFont="1" applyFill="1" applyBorder="1" applyAlignment="1">
      <alignment vertical="center"/>
    </xf>
    <xf numFmtId="0" fontId="5" fillId="2" borderId="0" xfId="0" applyFont="1" applyFill="1" applyBorder="1" applyAlignment="1">
      <alignment vertical="center"/>
    </xf>
    <xf numFmtId="2" fontId="6" fillId="0" borderId="9" xfId="0" applyNumberFormat="1" applyFont="1" applyFill="1" applyBorder="1" applyAlignment="1">
      <alignment horizontal="center" vertical="center"/>
    </xf>
    <xf numFmtId="2" fontId="6" fillId="0" borderId="18" xfId="0" applyNumberFormat="1" applyFont="1" applyFill="1" applyBorder="1" applyAlignment="1">
      <alignment horizontal="center" vertical="center"/>
    </xf>
    <xf numFmtId="2" fontId="6" fillId="0" borderId="47" xfId="0" applyNumberFormat="1" applyFont="1" applyFill="1" applyBorder="1" applyAlignment="1">
      <alignment horizontal="center" vertical="center"/>
    </xf>
    <xf numFmtId="2" fontId="6" fillId="0" borderId="3" xfId="0" applyNumberFormat="1" applyFont="1" applyFill="1" applyBorder="1" applyAlignment="1">
      <alignment horizontal="center" vertical="center"/>
    </xf>
    <xf numFmtId="2" fontId="6" fillId="0" borderId="5" xfId="0" applyNumberFormat="1" applyFont="1" applyFill="1" applyBorder="1" applyAlignment="1">
      <alignment horizontal="center" vertical="center"/>
    </xf>
    <xf numFmtId="49" fontId="3" fillId="0" borderId="0" xfId="0" applyNumberFormat="1" applyFont="1" applyFill="1" applyAlignment="1">
      <alignment vertical="center"/>
    </xf>
    <xf numFmtId="0" fontId="6" fillId="0" borderId="3" xfId="0" applyFont="1" applyFill="1" applyBorder="1" applyAlignment="1">
      <alignment vertical="center"/>
    </xf>
    <xf numFmtId="0" fontId="5" fillId="0" borderId="21" xfId="0" applyFont="1" applyFill="1" applyBorder="1" applyAlignment="1">
      <alignment vertical="center"/>
    </xf>
    <xf numFmtId="0" fontId="7" fillId="3" borderId="4" xfId="0" applyFont="1" applyFill="1" applyBorder="1" applyAlignment="1">
      <alignment horizontal="centerContinuous" vertical="center"/>
    </xf>
    <xf numFmtId="0" fontId="5" fillId="2" borderId="6" xfId="0" applyFont="1" applyFill="1" applyBorder="1" applyAlignment="1">
      <alignment vertical="center"/>
    </xf>
    <xf numFmtId="0" fontId="4" fillId="2" borderId="5" xfId="0" applyFont="1" applyFill="1" applyBorder="1" applyAlignment="1">
      <alignment vertical="center"/>
    </xf>
    <xf numFmtId="0" fontId="7" fillId="3" borderId="2" xfId="0" applyFont="1" applyFill="1" applyBorder="1" applyAlignment="1">
      <alignment horizontal="centerContinuous" vertical="center"/>
    </xf>
    <xf numFmtId="0" fontId="24" fillId="3" borderId="3" xfId="0" applyFont="1" applyFill="1" applyBorder="1" applyAlignment="1">
      <alignment horizontal="centerContinuous" vertical="center"/>
    </xf>
    <xf numFmtId="0" fontId="4" fillId="7" borderId="48" xfId="3" applyFont="1" applyFill="1" applyBorder="1" applyAlignment="1" applyProtection="1">
      <alignment horizontal="center" vertical="center"/>
    </xf>
    <xf numFmtId="0" fontId="13" fillId="0" borderId="13" xfId="0" applyFont="1" applyFill="1" applyBorder="1" applyAlignment="1">
      <alignment horizontal="left" vertical="center"/>
    </xf>
    <xf numFmtId="2" fontId="3" fillId="0" borderId="49" xfId="0" applyNumberFormat="1" applyFont="1" applyFill="1" applyBorder="1" applyAlignment="1">
      <alignment horizontal="center" vertical="center"/>
    </xf>
    <xf numFmtId="2" fontId="3" fillId="0" borderId="50" xfId="0" applyNumberFormat="1" applyFont="1" applyFill="1" applyBorder="1" applyAlignment="1">
      <alignment horizontal="center" vertical="center"/>
    </xf>
    <xf numFmtId="2" fontId="3" fillId="0" borderId="0" xfId="11" applyNumberFormat="1" applyFont="1" applyFill="1" applyBorder="1" applyAlignment="1">
      <alignment horizontal="left" vertical="center"/>
    </xf>
    <xf numFmtId="10" fontId="3" fillId="0" borderId="0" xfId="11" applyNumberFormat="1" applyFont="1" applyFill="1" applyBorder="1" applyAlignment="1">
      <alignment vertical="center"/>
    </xf>
    <xf numFmtId="49" fontId="3" fillId="0" borderId="0" xfId="11" quotePrefix="1" applyNumberFormat="1" applyFont="1" applyFill="1" applyBorder="1" applyAlignment="1">
      <alignment vertical="center"/>
    </xf>
    <xf numFmtId="0" fontId="3" fillId="0" borderId="0" xfId="0" applyFont="1" applyFill="1" applyAlignment="1">
      <alignment horizontal="center" vertical="center"/>
    </xf>
    <xf numFmtId="169" fontId="4" fillId="2" borderId="25" xfId="0" applyNumberFormat="1" applyFont="1" applyFill="1" applyBorder="1" applyAlignment="1">
      <alignment horizontal="centerContinuous" vertical="center"/>
    </xf>
    <xf numFmtId="169" fontId="4" fillId="2" borderId="25" xfId="0" applyNumberFormat="1" applyFont="1" applyFill="1" applyBorder="1" applyAlignment="1">
      <alignment horizontal="center" vertical="center"/>
    </xf>
    <xf numFmtId="169" fontId="4" fillId="2" borderId="51" xfId="0" applyNumberFormat="1" applyFont="1" applyFill="1" applyBorder="1" applyAlignment="1">
      <alignment horizontal="center" vertical="center"/>
    </xf>
    <xf numFmtId="169" fontId="4" fillId="2" borderId="52" xfId="0" applyNumberFormat="1" applyFont="1" applyFill="1" applyBorder="1" applyAlignment="1">
      <alignment horizontal="centerContinuous" vertical="center"/>
    </xf>
    <xf numFmtId="169" fontId="4" fillId="2" borderId="53" xfId="0" applyNumberFormat="1" applyFont="1" applyFill="1" applyBorder="1" applyAlignment="1">
      <alignment horizontal="centerContinuous" vertical="center"/>
    </xf>
    <xf numFmtId="169" fontId="4" fillId="2" borderId="54" xfId="0" applyNumberFormat="1" applyFont="1" applyFill="1" applyBorder="1" applyAlignment="1">
      <alignment horizontal="center" vertical="center"/>
    </xf>
    <xf numFmtId="169" fontId="4" fillId="2" borderId="55" xfId="0" applyNumberFormat="1" applyFont="1" applyFill="1" applyBorder="1" applyAlignment="1">
      <alignment horizontal="centerContinuous" vertical="center"/>
    </xf>
    <xf numFmtId="169" fontId="4" fillId="2" borderId="56" xfId="0" applyNumberFormat="1" applyFont="1" applyFill="1" applyBorder="1" applyAlignment="1">
      <alignment horizontal="centerContinuous" vertical="center"/>
    </xf>
    <xf numFmtId="169" fontId="4" fillId="2" borderId="57" xfId="0" applyNumberFormat="1" applyFont="1" applyFill="1" applyBorder="1" applyAlignment="1">
      <alignment horizontal="centerContinuous" vertical="center"/>
    </xf>
    <xf numFmtId="169" fontId="4" fillId="2" borderId="18" xfId="0" applyNumberFormat="1" applyFont="1" applyFill="1" applyBorder="1" applyAlignment="1">
      <alignment horizontal="centerContinuous" vertical="center"/>
    </xf>
    <xf numFmtId="2" fontId="4" fillId="0" borderId="48" xfId="0" applyNumberFormat="1" applyFont="1" applyFill="1" applyBorder="1" applyAlignment="1">
      <alignment horizontal="center" vertical="center"/>
    </xf>
    <xf numFmtId="169" fontId="4" fillId="2" borderId="58" xfId="0" applyNumberFormat="1" applyFont="1" applyFill="1" applyBorder="1" applyAlignment="1">
      <alignment horizontal="centerContinuous" vertical="center"/>
    </xf>
    <xf numFmtId="169" fontId="4" fillId="2" borderId="59" xfId="0" applyNumberFormat="1" applyFont="1" applyFill="1" applyBorder="1" applyAlignment="1">
      <alignment horizontal="centerContinuous" vertical="center"/>
    </xf>
    <xf numFmtId="169" fontId="4" fillId="2" borderId="60" xfId="0" applyNumberFormat="1" applyFont="1" applyFill="1" applyBorder="1" applyAlignment="1">
      <alignment horizontal="centerContinuous" vertical="center"/>
    </xf>
    <xf numFmtId="169" fontId="4" fillId="2" borderId="61" xfId="0" applyNumberFormat="1" applyFont="1" applyFill="1" applyBorder="1" applyAlignment="1">
      <alignment horizontal="centerContinuous" vertical="center"/>
    </xf>
    <xf numFmtId="0" fontId="4" fillId="2" borderId="29" xfId="0" applyFont="1" applyFill="1" applyBorder="1" applyAlignment="1">
      <alignment vertical="center"/>
    </xf>
    <xf numFmtId="169" fontId="4" fillId="2" borderId="23" xfId="0" applyNumberFormat="1" applyFont="1" applyFill="1" applyBorder="1" applyAlignment="1">
      <alignment horizontal="center" vertical="center"/>
    </xf>
    <xf numFmtId="169" fontId="4" fillId="2" borderId="40" xfId="0" applyNumberFormat="1" applyFont="1" applyFill="1" applyBorder="1" applyAlignment="1">
      <alignment horizontal="centerContinuous" vertical="center"/>
    </xf>
    <xf numFmtId="169" fontId="4" fillId="2" borderId="1" xfId="0" applyNumberFormat="1" applyFont="1" applyFill="1" applyBorder="1" applyAlignment="1">
      <alignment horizontal="centerContinuous" vertical="center"/>
    </xf>
    <xf numFmtId="169" fontId="4" fillId="2" borderId="46" xfId="0" applyNumberFormat="1" applyFont="1" applyFill="1" applyBorder="1" applyAlignment="1">
      <alignment horizontal="center" vertical="center"/>
    </xf>
    <xf numFmtId="169" fontId="4" fillId="2" borderId="36" xfId="0" applyNumberFormat="1" applyFont="1" applyFill="1" applyBorder="1" applyAlignment="1">
      <alignment horizontal="center" vertical="center"/>
    </xf>
    <xf numFmtId="169" fontId="4" fillId="2" borderId="62" xfId="0" applyNumberFormat="1" applyFont="1" applyFill="1" applyBorder="1" applyAlignment="1">
      <alignment horizontal="center" vertical="center"/>
    </xf>
    <xf numFmtId="169" fontId="4" fillId="2" borderId="63" xfId="0" applyNumberFormat="1" applyFont="1" applyFill="1" applyBorder="1" applyAlignment="1">
      <alignment horizontal="center" vertical="center"/>
    </xf>
    <xf numFmtId="169" fontId="4" fillId="2" borderId="64" xfId="0" applyNumberFormat="1" applyFont="1" applyFill="1" applyBorder="1" applyAlignment="1">
      <alignment horizontal="center" vertical="center"/>
    </xf>
    <xf numFmtId="169" fontId="4" fillId="2" borderId="65" xfId="0" applyNumberFormat="1" applyFont="1" applyFill="1" applyBorder="1" applyAlignment="1">
      <alignment horizontal="center" vertical="center"/>
    </xf>
    <xf numFmtId="169" fontId="4" fillId="2" borderId="66" xfId="0" applyNumberFormat="1" applyFont="1" applyFill="1" applyBorder="1" applyAlignment="1">
      <alignment horizontal="center" vertical="center"/>
    </xf>
    <xf numFmtId="169" fontId="4" fillId="2" borderId="39" xfId="0" applyNumberFormat="1" applyFont="1" applyFill="1" applyBorder="1" applyAlignment="1">
      <alignment horizontal="center" vertical="center"/>
    </xf>
    <xf numFmtId="169" fontId="4" fillId="2" borderId="37" xfId="0" applyNumberFormat="1" applyFont="1" applyFill="1" applyBorder="1" applyAlignment="1">
      <alignment horizontal="center" vertical="center"/>
    </xf>
    <xf numFmtId="169" fontId="4" fillId="2" borderId="67" xfId="0" applyNumberFormat="1" applyFont="1" applyFill="1" applyBorder="1" applyAlignment="1">
      <alignment horizontal="center" vertical="center"/>
    </xf>
    <xf numFmtId="169" fontId="4" fillId="2" borderId="68" xfId="0" applyNumberFormat="1" applyFont="1" applyFill="1" applyBorder="1" applyAlignment="1">
      <alignment horizontal="center" vertical="center"/>
    </xf>
    <xf numFmtId="169" fontId="4" fillId="2" borderId="69" xfId="0" applyNumberFormat="1" applyFont="1" applyFill="1" applyBorder="1" applyAlignment="1">
      <alignment horizontal="center" vertical="center"/>
    </xf>
    <xf numFmtId="0" fontId="3" fillId="2" borderId="31" xfId="0" applyFont="1" applyFill="1" applyBorder="1" applyAlignment="1">
      <alignment horizontal="centerContinuous" vertical="center"/>
    </xf>
    <xf numFmtId="169" fontId="4" fillId="2" borderId="70" xfId="0" applyNumberFormat="1" applyFont="1" applyFill="1" applyBorder="1" applyAlignment="1">
      <alignment horizontal="centerContinuous" vertical="center"/>
    </xf>
    <xf numFmtId="169" fontId="4" fillId="2" borderId="23" xfId="0" applyNumberFormat="1" applyFont="1" applyFill="1" applyBorder="1" applyAlignment="1">
      <alignment horizontal="centerContinuous" vertical="center"/>
    </xf>
    <xf numFmtId="0" fontId="7" fillId="3" borderId="6" xfId="0" applyFont="1" applyFill="1" applyBorder="1" applyAlignment="1">
      <alignment vertical="center"/>
    </xf>
    <xf numFmtId="0" fontId="4" fillId="2" borderId="8"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3" fillId="0" borderId="0" xfId="0" applyFont="1" applyFill="1" applyAlignment="1">
      <alignment vertical="center" wrapText="1"/>
    </xf>
    <xf numFmtId="0" fontId="7" fillId="3" borderId="7" xfId="0" applyFont="1" applyFill="1" applyBorder="1" applyAlignment="1">
      <alignment vertical="center"/>
    </xf>
    <xf numFmtId="0" fontId="5" fillId="2" borderId="71" xfId="0" applyFont="1" applyFill="1" applyBorder="1" applyAlignment="1">
      <alignment horizontal="center" vertical="center" wrapText="1"/>
    </xf>
    <xf numFmtId="0" fontId="5" fillId="2" borderId="72" xfId="0" applyFont="1" applyFill="1" applyBorder="1" applyAlignment="1">
      <alignment horizontal="center" vertical="center" wrapText="1"/>
    </xf>
    <xf numFmtId="0" fontId="5" fillId="2" borderId="73" xfId="0" applyFont="1" applyFill="1" applyBorder="1" applyAlignment="1">
      <alignment horizontal="center" vertical="center" wrapText="1"/>
    </xf>
    <xf numFmtId="0" fontId="5" fillId="2" borderId="74" xfId="0" applyFont="1" applyFill="1" applyBorder="1" applyAlignment="1">
      <alignment horizontal="center" vertical="center" wrapText="1"/>
    </xf>
    <xf numFmtId="0" fontId="5" fillId="2" borderId="75" xfId="0" applyFont="1" applyFill="1" applyBorder="1" applyAlignment="1">
      <alignment horizontal="center" vertical="center" wrapText="1"/>
    </xf>
    <xf numFmtId="0" fontId="5" fillId="2" borderId="76"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7" fillId="3" borderId="8" xfId="0" applyFont="1" applyFill="1" applyBorder="1" applyAlignment="1">
      <alignment vertical="center"/>
    </xf>
    <xf numFmtId="0" fontId="3" fillId="0" borderId="23" xfId="0" applyFont="1" applyFill="1" applyBorder="1" applyAlignment="1">
      <alignment vertical="center"/>
    </xf>
    <xf numFmtId="0" fontId="3" fillId="0" borderId="24" xfId="0" applyFont="1" applyFill="1" applyBorder="1" applyAlignment="1">
      <alignment vertical="center"/>
    </xf>
    <xf numFmtId="0" fontId="5" fillId="2" borderId="77" xfId="0" applyFont="1" applyFill="1" applyBorder="1" applyAlignment="1">
      <alignment horizontal="center" vertical="center" wrapText="1"/>
    </xf>
    <xf numFmtId="0" fontId="5" fillId="2" borderId="78" xfId="0" applyFont="1" applyFill="1" applyBorder="1" applyAlignment="1">
      <alignment horizontal="center" vertical="center" wrapText="1"/>
    </xf>
    <xf numFmtId="0" fontId="5" fillId="2" borderId="79" xfId="0" applyFont="1" applyFill="1" applyBorder="1" applyAlignment="1">
      <alignment horizontal="center" vertical="center" wrapText="1"/>
    </xf>
    <xf numFmtId="0" fontId="5" fillId="2" borderId="10" xfId="0" applyFont="1" applyFill="1" applyBorder="1" applyAlignment="1">
      <alignment horizontal="centerContinuous" vertical="center" wrapText="1"/>
    </xf>
    <xf numFmtId="0" fontId="5" fillId="2" borderId="7" xfId="0" applyFont="1" applyFill="1" applyBorder="1" applyAlignment="1">
      <alignment horizontal="centerContinuous" vertical="center" wrapText="1"/>
    </xf>
    <xf numFmtId="0" fontId="5" fillId="2" borderId="8" xfId="0" applyFont="1" applyFill="1" applyBorder="1" applyAlignment="1">
      <alignment horizontal="centerContinuous" vertical="center" wrapText="1"/>
    </xf>
    <xf numFmtId="0" fontId="5" fillId="2" borderId="8" xfId="0" applyFont="1" applyFill="1" applyBorder="1" applyAlignment="1">
      <alignment horizontal="centerContinuous" vertical="center"/>
    </xf>
    <xf numFmtId="0" fontId="12" fillId="0" borderId="0" xfId="0" applyFont="1" applyFill="1" applyAlignment="1">
      <alignment vertical="center"/>
    </xf>
    <xf numFmtId="167" fontId="3" fillId="0" borderId="0" xfId="0" applyNumberFormat="1" applyFont="1" applyFill="1" applyAlignment="1">
      <alignment vertical="center"/>
    </xf>
    <xf numFmtId="0" fontId="6" fillId="0" borderId="0" xfId="0" applyFont="1" applyFill="1" applyBorder="1" applyAlignment="1">
      <alignment horizontal="left" vertical="center" wrapText="1"/>
    </xf>
    <xf numFmtId="0" fontId="6" fillId="0" borderId="0" xfId="0" applyNumberFormat="1" applyFont="1" applyFill="1" applyBorder="1" applyAlignment="1">
      <alignment horizontal="center" vertical="center" wrapText="1"/>
    </xf>
    <xf numFmtId="0" fontId="5" fillId="0" borderId="0" xfId="0" applyFont="1" applyFill="1" applyBorder="1" applyAlignment="1">
      <alignment horizontal="left" vertical="center" wrapText="1"/>
    </xf>
    <xf numFmtId="0" fontId="3" fillId="0" borderId="18" xfId="0" applyFont="1" applyFill="1" applyBorder="1" applyAlignment="1">
      <alignment vertical="center"/>
    </xf>
    <xf numFmtId="0" fontId="3" fillId="0" borderId="0" xfId="0" applyFont="1" applyFill="1" applyAlignment="1">
      <alignment horizontal="center"/>
    </xf>
    <xf numFmtId="0" fontId="3" fillId="0" borderId="0" xfId="0" applyFont="1" applyFill="1"/>
    <xf numFmtId="0" fontId="13" fillId="0" borderId="0" xfId="0" applyFont="1" applyFill="1" applyAlignment="1">
      <alignment horizontal="center" vertical="center"/>
    </xf>
    <xf numFmtId="0" fontId="13" fillId="0" borderId="0" xfId="0" applyFont="1" applyFill="1" applyAlignment="1">
      <alignment horizontal="center"/>
    </xf>
    <xf numFmtId="0" fontId="3" fillId="0" borderId="13" xfId="0" applyFont="1" applyFill="1" applyBorder="1" applyAlignment="1">
      <alignment horizontal="center" vertical="center"/>
    </xf>
    <xf numFmtId="0" fontId="3" fillId="0" borderId="13" xfId="0" applyFont="1" applyFill="1" applyBorder="1" applyAlignment="1">
      <alignment horizontal="center"/>
    </xf>
    <xf numFmtId="0" fontId="3" fillId="0" borderId="13" xfId="0" applyFont="1" applyFill="1" applyBorder="1"/>
    <xf numFmtId="0" fontId="4" fillId="0" borderId="13" xfId="3" applyFont="1" applyFill="1" applyBorder="1" applyAlignment="1" applyProtection="1">
      <alignment horizontal="center"/>
    </xf>
    <xf numFmtId="0" fontId="14" fillId="0" borderId="0" xfId="0" applyFont="1" applyFill="1" applyAlignment="1">
      <alignment horizontal="center" vertical="center"/>
    </xf>
    <xf numFmtId="0" fontId="4" fillId="0" borderId="0" xfId="3" applyFont="1" applyFill="1" applyBorder="1" applyAlignment="1" applyProtection="1">
      <alignment horizontal="center"/>
    </xf>
    <xf numFmtId="0" fontId="4" fillId="0" borderId="0" xfId="0" applyFont="1" applyFill="1"/>
    <xf numFmtId="0" fontId="3" fillId="0" borderId="0" xfId="0" applyFont="1" applyFill="1" applyBorder="1"/>
    <xf numFmtId="166" fontId="3" fillId="0" borderId="6" xfId="0" applyNumberFormat="1" applyFont="1" applyFill="1" applyBorder="1" applyAlignment="1">
      <alignment horizontal="center"/>
    </xf>
    <xf numFmtId="166" fontId="3" fillId="0" borderId="0" xfId="0" applyNumberFormat="1" applyFont="1" applyFill="1" applyBorder="1" applyAlignment="1">
      <alignment horizontal="center"/>
    </xf>
    <xf numFmtId="0" fontId="3" fillId="0" borderId="1" xfId="0" applyFont="1" applyFill="1" applyBorder="1" applyAlignment="1">
      <alignment horizontal="center"/>
    </xf>
    <xf numFmtId="0" fontId="3" fillId="0" borderId="6" xfId="0" applyFont="1" applyFill="1" applyBorder="1" applyAlignment="1">
      <alignment horizontal="center"/>
    </xf>
    <xf numFmtId="0" fontId="3" fillId="0" borderId="0" xfId="0" applyFont="1" applyFill="1" applyBorder="1" applyAlignment="1">
      <alignment horizontal="center"/>
    </xf>
    <xf numFmtId="0" fontId="3" fillId="0" borderId="4" xfId="0" applyFont="1" applyFill="1" applyBorder="1" applyAlignment="1">
      <alignment horizontal="center"/>
    </xf>
    <xf numFmtId="0" fontId="3" fillId="0" borderId="2" xfId="0" applyFont="1" applyFill="1" applyBorder="1" applyAlignment="1">
      <alignment horizontal="center"/>
    </xf>
    <xf numFmtId="0" fontId="3" fillId="0" borderId="3" xfId="0" applyFont="1" applyFill="1" applyBorder="1" applyAlignment="1">
      <alignment horizontal="center"/>
    </xf>
    <xf numFmtId="0" fontId="4" fillId="0" borderId="0" xfId="0" applyFont="1" applyFill="1" applyAlignment="1">
      <alignment horizontal="center"/>
    </xf>
    <xf numFmtId="0" fontId="3" fillId="0" borderId="2" xfId="0" applyFont="1" applyFill="1" applyBorder="1"/>
    <xf numFmtId="0" fontId="3" fillId="0" borderId="4" xfId="0" applyFont="1" applyFill="1" applyBorder="1"/>
    <xf numFmtId="0" fontId="3" fillId="0" borderId="11" xfId="0" applyFont="1" applyFill="1" applyBorder="1"/>
    <xf numFmtId="0" fontId="3" fillId="0" borderId="15" xfId="0" applyFont="1" applyFill="1" applyBorder="1"/>
    <xf numFmtId="0" fontId="3" fillId="0" borderId="6" xfId="0" applyFont="1" applyFill="1" applyBorder="1"/>
    <xf numFmtId="0" fontId="3" fillId="0" borderId="1" xfId="0" applyFont="1" applyFill="1" applyBorder="1"/>
    <xf numFmtId="0" fontId="7" fillId="3" borderId="10" xfId="0" applyFont="1" applyFill="1" applyBorder="1"/>
    <xf numFmtId="0" fontId="24" fillId="3" borderId="7" xfId="0" applyFont="1" applyFill="1" applyBorder="1"/>
    <xf numFmtId="0" fontId="3" fillId="0" borderId="3" xfId="0" applyFont="1" applyFill="1" applyBorder="1"/>
    <xf numFmtId="0" fontId="4" fillId="2" borderId="11" xfId="0" applyFont="1" applyFill="1" applyBorder="1"/>
    <xf numFmtId="0" fontId="5" fillId="2" borderId="12" xfId="0" applyFont="1" applyFill="1" applyBorder="1" applyAlignment="1">
      <alignment vertical="center"/>
    </xf>
    <xf numFmtId="0" fontId="4" fillId="2" borderId="15" xfId="0" applyFont="1" applyFill="1" applyBorder="1"/>
    <xf numFmtId="0" fontId="5" fillId="2" borderId="10" xfId="0" applyFont="1" applyFill="1" applyBorder="1" applyAlignment="1">
      <alignment horizontal="centerContinuous" vertical="center"/>
    </xf>
    <xf numFmtId="0" fontId="4" fillId="2" borderId="3" xfId="0" applyFont="1" applyFill="1" applyBorder="1" applyAlignment="1">
      <alignment horizontal="centerContinuous" vertical="center"/>
    </xf>
    <xf numFmtId="0" fontId="4" fillId="2" borderId="4" xfId="0" applyFont="1" applyFill="1" applyBorder="1" applyAlignment="1">
      <alignment horizontal="centerContinuous" vertical="center"/>
    </xf>
    <xf numFmtId="0" fontId="3" fillId="2" borderId="2" xfId="0" applyFont="1" applyFill="1" applyBorder="1"/>
    <xf numFmtId="0" fontId="4" fillId="2" borderId="3" xfId="0" applyFont="1" applyFill="1" applyBorder="1" applyAlignment="1">
      <alignment horizontal="center"/>
    </xf>
    <xf numFmtId="0" fontId="3" fillId="2" borderId="4" xfId="0" applyFont="1" applyFill="1" applyBorder="1"/>
    <xf numFmtId="0" fontId="5" fillId="2" borderId="80" xfId="0" applyFont="1" applyFill="1" applyBorder="1" applyAlignment="1">
      <alignment horizontal="center" vertical="center" wrapText="1"/>
    </xf>
    <xf numFmtId="0" fontId="5" fillId="2" borderId="81" xfId="0" applyFont="1" applyFill="1" applyBorder="1" applyAlignment="1">
      <alignment horizontal="center" vertical="center" wrapText="1"/>
    </xf>
    <xf numFmtId="0" fontId="13" fillId="0" borderId="0" xfId="3" applyFont="1" applyFill="1" applyBorder="1" applyAlignment="1" applyProtection="1">
      <alignment horizontal="center"/>
    </xf>
    <xf numFmtId="0" fontId="4" fillId="7" borderId="48" xfId="3" applyFont="1" applyFill="1" applyBorder="1" applyAlignment="1" applyProtection="1">
      <alignment horizontal="center"/>
    </xf>
    <xf numFmtId="10" fontId="3" fillId="0" borderId="0" xfId="0" applyNumberFormat="1" applyFont="1" applyFill="1" applyBorder="1" applyAlignment="1">
      <alignment vertical="center"/>
    </xf>
    <xf numFmtId="174" fontId="3" fillId="0" borderId="0" xfId="0" applyNumberFormat="1" applyFont="1" applyFill="1" applyBorder="1" applyAlignment="1">
      <alignment vertical="center"/>
    </xf>
    <xf numFmtId="10" fontId="4" fillId="0" borderId="82" xfId="0" applyNumberFormat="1" applyFont="1" applyFill="1" applyBorder="1" applyAlignment="1">
      <alignment horizontal="center" vertical="center"/>
    </xf>
    <xf numFmtId="10" fontId="3" fillId="0" borderId="80" xfId="0" applyNumberFormat="1" applyFont="1" applyFill="1" applyBorder="1" applyAlignment="1">
      <alignment horizontal="center" vertical="center"/>
    </xf>
    <xf numFmtId="10" fontId="3" fillId="0" borderId="83" xfId="0" applyNumberFormat="1" applyFont="1" applyFill="1" applyBorder="1" applyAlignment="1">
      <alignment horizontal="center" vertical="center"/>
    </xf>
    <xf numFmtId="0" fontId="4" fillId="0" borderId="0" xfId="0" applyFont="1" applyFill="1" applyAlignment="1">
      <alignment horizontal="left" vertical="center" wrapText="1"/>
    </xf>
    <xf numFmtId="10" fontId="3" fillId="0" borderId="84" xfId="0" applyNumberFormat="1" applyFont="1" applyFill="1" applyBorder="1" applyAlignment="1">
      <alignment horizontal="center" vertical="center"/>
    </xf>
    <xf numFmtId="174" fontId="4" fillId="0" borderId="0" xfId="0" applyNumberFormat="1" applyFont="1" applyFill="1" applyBorder="1" applyAlignment="1">
      <alignment vertical="center"/>
    </xf>
    <xf numFmtId="10" fontId="14" fillId="0" borderId="0" xfId="0" applyNumberFormat="1" applyFont="1" applyFill="1" applyBorder="1" applyAlignment="1">
      <alignment vertical="center"/>
    </xf>
    <xf numFmtId="10" fontId="3" fillId="0" borderId="0" xfId="0" applyNumberFormat="1" applyFont="1" applyFill="1" applyBorder="1" applyAlignment="1">
      <alignment vertical="center" wrapText="1"/>
    </xf>
    <xf numFmtId="10" fontId="3" fillId="0" borderId="36" xfId="0" applyNumberFormat="1" applyFont="1" applyFill="1" applyBorder="1" applyAlignment="1">
      <alignment horizontal="center" vertical="center"/>
    </xf>
    <xf numFmtId="10" fontId="3" fillId="0" borderId="46" xfId="0" applyNumberFormat="1" applyFont="1" applyFill="1" applyBorder="1" applyAlignment="1">
      <alignment horizontal="center" vertical="center"/>
    </xf>
    <xf numFmtId="10" fontId="3" fillId="0" borderId="41" xfId="0" applyNumberFormat="1" applyFont="1" applyFill="1" applyBorder="1" applyAlignment="1">
      <alignment horizontal="center" vertical="center"/>
    </xf>
    <xf numFmtId="0" fontId="3" fillId="0" borderId="85" xfId="0" applyFont="1" applyFill="1" applyBorder="1" applyAlignment="1">
      <alignment vertical="center"/>
    </xf>
    <xf numFmtId="10" fontId="4" fillId="0" borderId="86" xfId="0" applyNumberFormat="1" applyFont="1" applyFill="1" applyBorder="1" applyAlignment="1">
      <alignment horizontal="center" vertical="center"/>
    </xf>
    <xf numFmtId="0" fontId="24" fillId="3" borderId="14" xfId="0" applyFont="1" applyFill="1" applyBorder="1" applyAlignment="1">
      <alignment vertical="center"/>
    </xf>
    <xf numFmtId="0" fontId="4" fillId="2" borderId="14" xfId="0" applyFont="1" applyFill="1" applyBorder="1" applyAlignment="1">
      <alignment horizontal="centerContinuous" vertical="center"/>
    </xf>
    <xf numFmtId="0" fontId="4" fillId="2" borderId="14"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8" xfId="0" applyFont="1" applyFill="1" applyBorder="1" applyAlignment="1">
      <alignment horizontal="center" vertical="center"/>
    </xf>
    <xf numFmtId="0" fontId="4" fillId="2" borderId="43" xfId="0" applyFont="1" applyFill="1" applyBorder="1" applyAlignment="1">
      <alignment horizontal="center" vertical="center"/>
    </xf>
    <xf numFmtId="0" fontId="3" fillId="0" borderId="29" xfId="0" applyFont="1" applyFill="1" applyBorder="1" applyAlignment="1">
      <alignment vertical="center"/>
    </xf>
    <xf numFmtId="0" fontId="4" fillId="0" borderId="30" xfId="0" applyFont="1" applyFill="1" applyBorder="1" applyAlignment="1">
      <alignment horizontal="center" vertical="center"/>
    </xf>
    <xf numFmtId="0" fontId="3" fillId="0" borderId="31" xfId="0" applyFont="1" applyFill="1" applyBorder="1" applyAlignment="1">
      <alignment vertical="center"/>
    </xf>
    <xf numFmtId="0" fontId="7" fillId="3" borderId="12" xfId="0" applyFont="1" applyFill="1" applyBorder="1" applyAlignment="1">
      <alignment vertical="center"/>
    </xf>
    <xf numFmtId="0" fontId="4" fillId="2" borderId="4" xfId="0" applyFont="1" applyFill="1" applyBorder="1" applyAlignment="1">
      <alignment horizontal="center" vertical="center" wrapText="1"/>
    </xf>
    <xf numFmtId="0" fontId="4" fillId="2" borderId="10"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6" xfId="0" applyFont="1" applyFill="1" applyBorder="1" applyAlignment="1">
      <alignment horizontal="center" vertical="center"/>
    </xf>
    <xf numFmtId="2" fontId="3" fillId="0" borderId="6" xfId="0" applyNumberFormat="1" applyFont="1" applyFill="1" applyBorder="1" applyAlignment="1">
      <alignment horizontal="center" vertical="center"/>
    </xf>
    <xf numFmtId="0" fontId="3" fillId="0" borderId="9" xfId="0" applyFont="1" applyFill="1" applyBorder="1" applyAlignment="1">
      <alignment horizontal="center" vertical="center"/>
    </xf>
    <xf numFmtId="169" fontId="3" fillId="0" borderId="0" xfId="0" applyNumberFormat="1" applyFont="1" applyFill="1" applyBorder="1" applyAlignment="1">
      <alignment horizontal="center" vertical="center"/>
    </xf>
    <xf numFmtId="169" fontId="3" fillId="0" borderId="1" xfId="0" applyNumberFormat="1" applyFont="1" applyFill="1" applyBorder="1" applyAlignment="1">
      <alignment horizontal="center" vertical="center"/>
    </xf>
    <xf numFmtId="0" fontId="3" fillId="0" borderId="87" xfId="0" applyFont="1" applyFill="1" applyBorder="1" applyAlignment="1">
      <alignment vertical="center"/>
    </xf>
    <xf numFmtId="0" fontId="3" fillId="0" borderId="21" xfId="0" applyFont="1" applyFill="1" applyBorder="1" applyAlignment="1">
      <alignment vertical="center"/>
    </xf>
    <xf numFmtId="0" fontId="24" fillId="3" borderId="7" xfId="0" applyFont="1" applyFill="1" applyBorder="1" applyAlignment="1">
      <alignment horizontal="center" vertical="center" wrapText="1"/>
    </xf>
    <xf numFmtId="0" fontId="24" fillId="3" borderId="8" xfId="0" applyFont="1" applyFill="1" applyBorder="1" applyAlignment="1">
      <alignment horizontal="center" vertical="center" wrapText="1"/>
    </xf>
    <xf numFmtId="0" fontId="7" fillId="3" borderId="11" xfId="0" applyFont="1" applyFill="1" applyBorder="1" applyAlignment="1">
      <alignment horizontal="centerContinuous" vertical="center"/>
    </xf>
    <xf numFmtId="0" fontId="6" fillId="2" borderId="12"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3" xfId="0" applyFont="1" applyFill="1" applyBorder="1" applyAlignment="1">
      <alignment horizontal="center" vertical="center" wrapText="1"/>
    </xf>
    <xf numFmtId="0" fontId="6" fillId="2" borderId="8" xfId="0" applyFont="1" applyFill="1" applyBorder="1" applyAlignment="1">
      <alignment horizontal="centerContinuous" vertical="center"/>
    </xf>
    <xf numFmtId="0" fontId="5" fillId="2" borderId="88" xfId="0" applyFont="1" applyFill="1" applyBorder="1" applyAlignment="1">
      <alignment horizontal="center" vertical="center" wrapText="1"/>
    </xf>
    <xf numFmtId="0" fontId="3" fillId="2" borderId="14" xfId="0" applyFont="1" applyFill="1" applyBorder="1" applyAlignment="1">
      <alignment vertical="center"/>
    </xf>
    <xf numFmtId="0" fontId="4" fillId="2" borderId="7" xfId="0" applyFont="1" applyFill="1" applyBorder="1" applyAlignment="1">
      <alignment vertical="center"/>
    </xf>
    <xf numFmtId="0" fontId="13" fillId="0" borderId="0" xfId="0" applyFont="1" applyFill="1" applyBorder="1" applyAlignment="1">
      <alignment horizontal="left" vertical="center"/>
    </xf>
    <xf numFmtId="0" fontId="4" fillId="0" borderId="13" xfId="0" applyFont="1" applyFill="1" applyBorder="1" applyAlignment="1">
      <alignment horizontal="left" vertical="center"/>
    </xf>
    <xf numFmtId="0" fontId="12" fillId="0" borderId="13" xfId="0" applyFont="1" applyFill="1" applyBorder="1" applyAlignment="1">
      <alignment vertical="center"/>
    </xf>
    <xf numFmtId="169" fontId="6" fillId="0" borderId="0" xfId="0" applyNumberFormat="1" applyFont="1" applyFill="1" applyBorder="1" applyAlignment="1">
      <alignment horizontal="center" vertical="center"/>
    </xf>
    <xf numFmtId="169" fontId="3" fillId="0" borderId="6" xfId="0" applyNumberFormat="1" applyFont="1" applyFill="1" applyBorder="1" applyAlignment="1">
      <alignment horizontal="center" vertical="center"/>
    </xf>
    <xf numFmtId="169" fontId="6" fillId="0" borderId="6" xfId="0" applyNumberFormat="1" applyFont="1" applyFill="1" applyBorder="1" applyAlignment="1">
      <alignment horizontal="center" vertical="center"/>
    </xf>
    <xf numFmtId="169" fontId="3" fillId="0" borderId="0" xfId="0" applyNumberFormat="1" applyFont="1" applyFill="1" applyBorder="1" applyAlignment="1">
      <alignment vertical="center"/>
    </xf>
    <xf numFmtId="0" fontId="5" fillId="0" borderId="0" xfId="0" applyFont="1" applyFill="1" applyBorder="1" applyAlignment="1">
      <alignment horizontal="centerContinuous" vertical="center"/>
    </xf>
    <xf numFmtId="0" fontId="3" fillId="0" borderId="53" xfId="0" applyFont="1" applyFill="1" applyBorder="1" applyAlignment="1">
      <alignment vertical="center"/>
    </xf>
    <xf numFmtId="0" fontId="24" fillId="3" borderId="7" xfId="0" applyFont="1" applyFill="1" applyBorder="1" applyAlignment="1">
      <alignment horizontal="left" vertical="center"/>
    </xf>
    <xf numFmtId="0" fontId="4" fillId="2" borderId="8" xfId="0" applyFont="1" applyFill="1" applyBorder="1" applyAlignment="1">
      <alignment vertical="center"/>
    </xf>
    <xf numFmtId="0" fontId="3" fillId="2" borderId="8" xfId="0" applyFont="1" applyFill="1" applyBorder="1" applyAlignment="1">
      <alignment horizontal="centerContinuous" vertical="center"/>
    </xf>
    <xf numFmtId="0" fontId="30" fillId="2" borderId="8" xfId="3" applyFont="1" applyFill="1" applyBorder="1" applyAlignment="1" applyProtection="1">
      <alignment horizontal="centerContinuous" vertical="center"/>
    </xf>
    <xf numFmtId="0" fontId="4" fillId="2" borderId="33" xfId="0" applyFont="1" applyFill="1" applyBorder="1" applyAlignment="1">
      <alignment horizontal="center" vertical="center"/>
    </xf>
    <xf numFmtId="0" fontId="4" fillId="2" borderId="35" xfId="0" applyFont="1" applyFill="1" applyBorder="1" applyAlignment="1">
      <alignment horizontal="center" vertical="center"/>
    </xf>
    <xf numFmtId="0" fontId="4" fillId="2" borderId="81" xfId="3" applyFont="1" applyFill="1" applyBorder="1" applyAlignment="1" applyProtection="1">
      <alignment horizontal="center" vertical="center"/>
    </xf>
    <xf numFmtId="0" fontId="4" fillId="2" borderId="89" xfId="3" applyFont="1" applyFill="1" applyBorder="1" applyAlignment="1" applyProtection="1">
      <alignment horizontal="center" vertical="center"/>
    </xf>
    <xf numFmtId="0" fontId="4" fillId="2" borderId="90" xfId="0" applyFont="1" applyFill="1" applyBorder="1" applyAlignment="1">
      <alignment horizontal="center" vertical="center"/>
    </xf>
    <xf numFmtId="0" fontId="4" fillId="2" borderId="3" xfId="0" applyFont="1" applyFill="1" applyBorder="1" applyAlignment="1">
      <alignment vertical="center"/>
    </xf>
    <xf numFmtId="0" fontId="4" fillId="2" borderId="12" xfId="0" applyFont="1" applyFill="1" applyBorder="1" applyAlignment="1">
      <alignment horizontal="left" vertical="center"/>
    </xf>
    <xf numFmtId="0" fontId="4" fillId="2" borderId="3" xfId="0" applyFont="1" applyFill="1" applyBorder="1" applyAlignment="1">
      <alignment horizontal="left" vertical="center"/>
    </xf>
    <xf numFmtId="0" fontId="4" fillId="2" borderId="15" xfId="0" applyFont="1" applyFill="1" applyBorder="1" applyAlignment="1">
      <alignment vertical="center"/>
    </xf>
    <xf numFmtId="0" fontId="4" fillId="2" borderId="4" xfId="0" applyFont="1" applyFill="1" applyBorder="1" applyAlignment="1">
      <alignment vertical="center"/>
    </xf>
    <xf numFmtId="1" fontId="3" fillId="0" borderId="0" xfId="0" applyNumberFormat="1" applyFont="1" applyFill="1" applyBorder="1" applyAlignment="1">
      <alignment horizontal="center" vertical="center"/>
    </xf>
    <xf numFmtId="0" fontId="3" fillId="0" borderId="5" xfId="0" applyFont="1" applyFill="1" applyBorder="1"/>
    <xf numFmtId="0" fontId="4" fillId="0" borderId="0" xfId="0" applyFont="1" applyFill="1" applyBorder="1" applyAlignment="1">
      <alignment horizontal="left" vertical="center" wrapText="1"/>
    </xf>
    <xf numFmtId="0" fontId="4" fillId="0" borderId="0" xfId="0" applyFont="1" applyFill="1" applyBorder="1" applyAlignment="1">
      <alignment horizontal="center"/>
    </xf>
    <xf numFmtId="0" fontId="3" fillId="0" borderId="9" xfId="0" applyFont="1" applyFill="1" applyBorder="1" applyAlignment="1">
      <alignment horizontal="center" wrapText="1"/>
    </xf>
    <xf numFmtId="0" fontId="3" fillId="0" borderId="5" xfId="0" applyFont="1" applyFill="1" applyBorder="1" applyAlignment="1">
      <alignment horizontal="center" wrapText="1"/>
    </xf>
    <xf numFmtId="0" fontId="4" fillId="0" borderId="0" xfId="0" applyFont="1" applyFill="1" applyBorder="1" applyAlignment="1">
      <alignment wrapText="1"/>
    </xf>
    <xf numFmtId="0" fontId="3" fillId="0" borderId="0" xfId="0" applyFont="1" applyFill="1" applyBorder="1" applyAlignment="1"/>
    <xf numFmtId="6" fontId="3" fillId="0" borderId="0" xfId="0" applyNumberFormat="1" applyFont="1" applyFill="1" applyBorder="1" applyAlignment="1">
      <alignment horizontal="center" vertical="center" wrapText="1"/>
    </xf>
    <xf numFmtId="0" fontId="3" fillId="0" borderId="7" xfId="0" applyFont="1" applyFill="1" applyBorder="1" applyAlignment="1">
      <alignment vertical="center"/>
    </xf>
    <xf numFmtId="0" fontId="3" fillId="0" borderId="0" xfId="0" applyFont="1" applyFill="1" applyAlignment="1">
      <alignment wrapText="1"/>
    </xf>
    <xf numFmtId="0" fontId="3" fillId="0" borderId="0" xfId="0" applyFont="1" applyFill="1" applyAlignment="1">
      <alignment horizontal="right" vertical="center"/>
    </xf>
    <xf numFmtId="0" fontId="14" fillId="0" borderId="0" xfId="0" applyFont="1" applyFill="1" applyAlignment="1">
      <alignment horizontal="left" vertical="center"/>
    </xf>
    <xf numFmtId="176" fontId="3" fillId="0" borderId="0" xfId="2" applyNumberFormat="1" applyFont="1" applyFill="1" applyBorder="1" applyAlignment="1">
      <alignment vertical="center"/>
    </xf>
    <xf numFmtId="176" fontId="3" fillId="0" borderId="1" xfId="2" applyNumberFormat="1" applyFont="1" applyFill="1" applyBorder="1" applyAlignment="1">
      <alignment vertical="center"/>
    </xf>
    <xf numFmtId="3" fontId="14" fillId="0" borderId="0" xfId="0" applyNumberFormat="1" applyFont="1" applyFill="1" applyAlignment="1">
      <alignment vertical="center"/>
    </xf>
    <xf numFmtId="176" fontId="3" fillId="0" borderId="18" xfId="2" applyNumberFormat="1" applyFont="1" applyFill="1" applyBorder="1" applyAlignment="1">
      <alignment vertical="center"/>
    </xf>
    <xf numFmtId="176" fontId="3" fillId="0" borderId="26" xfId="2" applyNumberFormat="1" applyFont="1" applyFill="1" applyBorder="1" applyAlignment="1">
      <alignment vertical="center"/>
    </xf>
    <xf numFmtId="176" fontId="3" fillId="0" borderId="40" xfId="2" applyNumberFormat="1" applyFont="1" applyFill="1" applyBorder="1" applyAlignment="1">
      <alignment vertical="center"/>
    </xf>
    <xf numFmtId="3" fontId="14" fillId="0" borderId="0" xfId="0" applyNumberFormat="1" applyFont="1" applyFill="1" applyAlignment="1">
      <alignment vertical="center" wrapText="1"/>
    </xf>
    <xf numFmtId="176" fontId="3" fillId="0" borderId="3" xfId="2" applyNumberFormat="1" applyFont="1" applyFill="1" applyBorder="1" applyAlignment="1">
      <alignment vertical="center"/>
    </xf>
    <xf numFmtId="176" fontId="3" fillId="0" borderId="4" xfId="2" applyNumberFormat="1" applyFont="1" applyFill="1" applyBorder="1" applyAlignment="1">
      <alignment vertical="center"/>
    </xf>
    <xf numFmtId="176" fontId="3" fillId="0" borderId="0" xfId="2" applyNumberFormat="1" applyFont="1" applyFill="1"/>
    <xf numFmtId="0" fontId="3" fillId="0" borderId="9" xfId="0" applyFont="1" applyFill="1" applyBorder="1"/>
    <xf numFmtId="2" fontId="3" fillId="0" borderId="0" xfId="0" applyNumberFormat="1" applyFont="1" applyFill="1" applyBorder="1" applyAlignment="1">
      <alignment horizontal="center" wrapText="1"/>
    </xf>
    <xf numFmtId="2" fontId="3" fillId="0" borderId="1" xfId="0" applyNumberFormat="1" applyFont="1" applyFill="1" applyBorder="1" applyAlignment="1">
      <alignment horizontal="center" wrapText="1"/>
    </xf>
    <xf numFmtId="0" fontId="13" fillId="0" borderId="0" xfId="3" applyFont="1" applyFill="1" applyAlignment="1" applyProtection="1">
      <alignment vertical="center"/>
    </xf>
    <xf numFmtId="0" fontId="29" fillId="0" borderId="0" xfId="3" applyFont="1" applyFill="1" applyBorder="1" applyAlignment="1" applyProtection="1">
      <alignment horizontal="left" vertical="center"/>
    </xf>
    <xf numFmtId="0" fontId="4" fillId="0" borderId="0" xfId="0" applyFont="1" applyFill="1" applyBorder="1" applyAlignment="1">
      <alignment horizontal="center" wrapText="1"/>
    </xf>
    <xf numFmtId="0" fontId="3" fillId="0" borderId="34" xfId="0" applyFont="1" applyFill="1" applyBorder="1"/>
    <xf numFmtId="169" fontId="6" fillId="0" borderId="0" xfId="0" applyNumberFormat="1" applyFont="1" applyFill="1" applyBorder="1" applyAlignment="1">
      <alignment horizontal="center" vertical="center" wrapText="1"/>
    </xf>
    <xf numFmtId="0" fontId="12" fillId="0" borderId="6" xfId="0" applyFont="1" applyFill="1" applyBorder="1" applyAlignment="1">
      <alignment vertical="center"/>
    </xf>
    <xf numFmtId="0" fontId="5" fillId="0" borderId="6" xfId="0" applyFont="1" applyFill="1" applyBorder="1" applyAlignment="1">
      <alignment vertical="center"/>
    </xf>
    <xf numFmtId="0" fontId="5" fillId="0" borderId="2" xfId="0" applyFont="1" applyFill="1" applyBorder="1" applyAlignment="1">
      <alignment vertical="center"/>
    </xf>
    <xf numFmtId="0" fontId="6" fillId="0" borderId="40" xfId="0" applyFont="1" applyFill="1" applyBorder="1" applyAlignment="1">
      <alignment vertical="center"/>
    </xf>
    <xf numFmtId="0" fontId="5" fillId="2" borderId="91" xfId="0" applyFont="1" applyFill="1" applyBorder="1" applyAlignment="1">
      <alignment horizontal="center" vertical="center" wrapText="1"/>
    </xf>
    <xf numFmtId="0" fontId="5" fillId="2" borderId="92" xfId="0" applyFont="1" applyFill="1" applyBorder="1" applyAlignment="1">
      <alignment horizontal="center" vertical="center" wrapText="1"/>
    </xf>
    <xf numFmtId="0" fontId="24" fillId="3" borderId="0" xfId="0" applyFont="1" applyFill="1" applyAlignment="1">
      <alignment vertical="center"/>
    </xf>
    <xf numFmtId="0" fontId="24" fillId="3" borderId="0" xfId="0" applyFont="1" applyFill="1" applyBorder="1" applyAlignment="1">
      <alignment horizontal="centerContinuous" vertical="center"/>
    </xf>
    <xf numFmtId="0" fontId="24" fillId="3" borderId="1" xfId="0" applyFont="1" applyFill="1" applyBorder="1" applyAlignment="1">
      <alignment horizontal="centerContinuous" vertical="center"/>
    </xf>
    <xf numFmtId="0" fontId="24" fillId="3" borderId="3" xfId="0" applyFont="1" applyFill="1" applyBorder="1" applyAlignment="1">
      <alignment vertical="center"/>
    </xf>
    <xf numFmtId="0" fontId="5" fillId="2" borderId="93" xfId="0" applyFont="1" applyFill="1" applyBorder="1" applyAlignment="1">
      <alignment horizontal="centerContinuous" vertical="center"/>
    </xf>
    <xf numFmtId="0" fontId="5" fillId="2" borderId="94" xfId="0" applyFont="1" applyFill="1" applyBorder="1" applyAlignment="1">
      <alignment horizontal="centerContinuous" vertical="center"/>
    </xf>
    <xf numFmtId="0" fontId="5" fillId="2" borderId="95" xfId="0" applyFont="1" applyFill="1" applyBorder="1" applyAlignment="1">
      <alignment horizontal="centerContinuous" vertical="center"/>
    </xf>
    <xf numFmtId="0" fontId="5" fillId="2" borderId="96" xfId="0" applyFont="1" applyFill="1" applyBorder="1" applyAlignment="1">
      <alignment horizontal="center" vertical="center" wrapText="1"/>
    </xf>
    <xf numFmtId="0" fontId="7" fillId="3" borderId="8" xfId="0" applyFont="1" applyFill="1" applyBorder="1" applyAlignment="1">
      <alignment horizontal="centerContinuous" vertical="center" wrapText="1"/>
    </xf>
    <xf numFmtId="0" fontId="6" fillId="0" borderId="0" xfId="0" applyFont="1" applyFill="1" applyBorder="1" applyAlignment="1">
      <alignment horizontal="center" vertical="top" wrapText="1"/>
    </xf>
    <xf numFmtId="0" fontId="6" fillId="0" borderId="3" xfId="0" applyFont="1" applyFill="1" applyBorder="1" applyAlignment="1">
      <alignment horizontal="center" vertical="top" wrapText="1"/>
    </xf>
    <xf numFmtId="0" fontId="4" fillId="2" borderId="38" xfId="0" applyFont="1" applyFill="1" applyBorder="1" applyAlignment="1">
      <alignment horizontal="center" vertical="center"/>
    </xf>
    <xf numFmtId="0" fontId="24" fillId="3" borderId="12" xfId="0" applyFont="1" applyFill="1" applyBorder="1"/>
    <xf numFmtId="0" fontId="24" fillId="3" borderId="15" xfId="0" applyFont="1" applyFill="1" applyBorder="1" applyAlignment="1">
      <alignment horizontal="centerContinuous"/>
    </xf>
    <xf numFmtId="0" fontId="24" fillId="3" borderId="3" xfId="0" applyFont="1" applyFill="1" applyBorder="1"/>
    <xf numFmtId="0" fontId="24" fillId="3" borderId="4" xfId="0" applyFont="1" applyFill="1" applyBorder="1" applyAlignment="1">
      <alignment horizontal="centerContinuous"/>
    </xf>
    <xf numFmtId="0" fontId="4" fillId="2" borderId="39" xfId="0" applyFont="1" applyFill="1" applyBorder="1" applyAlignment="1">
      <alignment horizontal="center" vertical="center"/>
    </xf>
    <xf numFmtId="0" fontId="3" fillId="2" borderId="11" xfId="0" applyFont="1" applyFill="1" applyBorder="1"/>
    <xf numFmtId="0" fontId="3" fillId="2" borderId="12" xfId="0" applyFont="1" applyFill="1" applyBorder="1"/>
    <xf numFmtId="0" fontId="3" fillId="2" borderId="15" xfId="0" applyFont="1" applyFill="1" applyBorder="1"/>
    <xf numFmtId="0" fontId="3" fillId="0" borderId="0" xfId="0" applyFont="1" applyFill="1" applyBorder="1" applyAlignment="1">
      <alignment horizontal="center" vertical="top" wrapText="1"/>
    </xf>
    <xf numFmtId="0" fontId="4" fillId="0" borderId="19" xfId="0" applyFont="1" applyFill="1" applyBorder="1" applyAlignment="1">
      <alignment horizontal="center"/>
    </xf>
    <xf numFmtId="0" fontId="3" fillId="2" borderId="12" xfId="0" applyFont="1" applyFill="1" applyBorder="1" applyAlignment="1">
      <alignment horizontal="center" vertical="center"/>
    </xf>
    <xf numFmtId="0" fontId="3" fillId="2" borderId="35" xfId="0" applyFont="1" applyFill="1" applyBorder="1" applyAlignment="1">
      <alignment horizontal="center" vertical="center"/>
    </xf>
    <xf numFmtId="0" fontId="3" fillId="2" borderId="15" xfId="0" applyFont="1" applyFill="1" applyBorder="1" applyAlignment="1">
      <alignment horizontal="center" vertical="center"/>
    </xf>
    <xf numFmtId="0" fontId="4" fillId="0" borderId="0" xfId="0" applyFont="1" applyFill="1" applyBorder="1" applyAlignment="1">
      <alignment vertical="top" wrapText="1"/>
    </xf>
    <xf numFmtId="0" fontId="4" fillId="0" borderId="3" xfId="0" applyFont="1" applyFill="1" applyBorder="1" applyAlignment="1">
      <alignment vertical="top" wrapText="1"/>
    </xf>
    <xf numFmtId="0" fontId="4" fillId="0" borderId="12" xfId="0" applyFont="1" applyFill="1" applyBorder="1" applyAlignment="1">
      <alignment vertical="top" wrapText="1"/>
    </xf>
    <xf numFmtId="0" fontId="7" fillId="3" borderId="15" xfId="0" applyFont="1" applyFill="1" applyBorder="1" applyAlignment="1">
      <alignment vertical="center"/>
    </xf>
    <xf numFmtId="0" fontId="4" fillId="2" borderId="7" xfId="0" applyFont="1" applyFill="1" applyBorder="1" applyAlignment="1">
      <alignment horizontal="centerContinuous" vertical="top"/>
    </xf>
    <xf numFmtId="0" fontId="3" fillId="2" borderId="7" xfId="0" applyFont="1" applyFill="1" applyBorder="1" applyAlignment="1">
      <alignment horizontal="centerContinuous"/>
    </xf>
    <xf numFmtId="0" fontId="3" fillId="2" borderId="7" xfId="0" applyFont="1" applyFill="1" applyBorder="1" applyAlignment="1">
      <alignment horizontal="centerContinuous" vertical="top"/>
    </xf>
    <xf numFmtId="0" fontId="3" fillId="2" borderId="8" xfId="0" applyFont="1" applyFill="1" applyBorder="1" applyAlignment="1">
      <alignment horizontal="centerContinuous" vertical="top"/>
    </xf>
    <xf numFmtId="0" fontId="3" fillId="2" borderId="0" xfId="0" applyFont="1" applyFill="1" applyAlignment="1">
      <alignment horizontal="centerContinuous"/>
    </xf>
    <xf numFmtId="0" fontId="3" fillId="3" borderId="3" xfId="0" applyFont="1" applyFill="1" applyBorder="1" applyAlignment="1">
      <alignment horizontal="centerContinuous"/>
    </xf>
    <xf numFmtId="0" fontId="24" fillId="3" borderId="7" xfId="0" applyFont="1" applyFill="1" applyBorder="1" applyAlignment="1">
      <alignment horizontal="centerContinuous" vertical="center" wrapText="1"/>
    </xf>
    <xf numFmtId="0" fontId="24" fillId="3" borderId="8" xfId="0" applyFont="1" applyFill="1" applyBorder="1" applyAlignment="1">
      <alignment horizontal="centerContinuous" vertical="center" wrapText="1"/>
    </xf>
    <xf numFmtId="0" fontId="3" fillId="2" borderId="0" xfId="0" applyFont="1" applyFill="1"/>
    <xf numFmtId="0" fontId="4" fillId="2" borderId="21" xfId="0" applyFont="1" applyFill="1" applyBorder="1" applyAlignment="1">
      <alignment horizontal="center" wrapText="1"/>
    </xf>
    <xf numFmtId="0" fontId="4" fillId="2" borderId="1" xfId="0" applyFont="1" applyFill="1" applyBorder="1" applyAlignment="1">
      <alignment horizontal="center" wrapText="1"/>
    </xf>
    <xf numFmtId="0" fontId="3" fillId="2" borderId="8" xfId="0" applyFont="1" applyFill="1" applyBorder="1"/>
    <xf numFmtId="0" fontId="4" fillId="2" borderId="5" xfId="0" applyFont="1" applyFill="1" applyBorder="1" applyAlignment="1">
      <alignment horizontal="center" wrapText="1"/>
    </xf>
    <xf numFmtId="0" fontId="4" fillId="2" borderId="4" xfId="0" applyFont="1" applyFill="1" applyBorder="1" applyAlignment="1">
      <alignment horizontal="center" wrapText="1"/>
    </xf>
    <xf numFmtId="0" fontId="4" fillId="2" borderId="3" xfId="0" applyFont="1" applyFill="1" applyBorder="1" applyAlignment="1">
      <alignment horizontal="center" wrapText="1"/>
    </xf>
    <xf numFmtId="0" fontId="4" fillId="2" borderId="12" xfId="0" applyFont="1" applyFill="1" applyBorder="1" applyAlignment="1">
      <alignment horizontal="center" wrapText="1"/>
    </xf>
    <xf numFmtId="0" fontId="3" fillId="0" borderId="11" xfId="0" applyFont="1" applyFill="1" applyBorder="1" applyAlignment="1">
      <alignment vertical="center"/>
    </xf>
    <xf numFmtId="0" fontId="3" fillId="2" borderId="0" xfId="0" applyFont="1" applyFill="1" applyBorder="1"/>
    <xf numFmtId="0" fontId="4" fillId="2" borderId="37" xfId="0" applyFont="1" applyFill="1" applyBorder="1" applyAlignment="1">
      <alignment horizontal="center" wrapText="1"/>
    </xf>
    <xf numFmtId="0" fontId="4" fillId="2" borderId="38" xfId="0" applyFont="1" applyFill="1" applyBorder="1" applyAlignment="1">
      <alignment horizontal="center" wrapText="1"/>
    </xf>
    <xf numFmtId="0" fontId="4" fillId="2" borderId="39" xfId="0" applyFont="1" applyFill="1" applyBorder="1" applyAlignment="1">
      <alignment horizontal="center" wrapText="1"/>
    </xf>
    <xf numFmtId="0" fontId="4" fillId="0" borderId="3" xfId="0" applyFont="1" applyFill="1" applyBorder="1" applyAlignment="1">
      <alignment horizontal="center"/>
    </xf>
    <xf numFmtId="0" fontId="3" fillId="0" borderId="0" xfId="3" applyFont="1" applyFill="1" applyBorder="1" applyAlignment="1" applyProtection="1">
      <alignment horizontal="left" vertical="center"/>
    </xf>
    <xf numFmtId="0" fontId="24" fillId="3" borderId="8" xfId="0" applyFont="1" applyFill="1" applyBorder="1"/>
    <xf numFmtId="0" fontId="3" fillId="0" borderId="12" xfId="0" applyFont="1" applyFill="1" applyBorder="1"/>
    <xf numFmtId="0" fontId="3" fillId="0" borderId="6" xfId="0" applyFont="1" applyFill="1" applyBorder="1" applyAlignment="1"/>
    <xf numFmtId="0" fontId="3" fillId="0" borderId="2" xfId="0" applyFont="1" applyFill="1" applyBorder="1" applyAlignment="1"/>
    <xf numFmtId="0" fontId="3" fillId="0" borderId="26" xfId="0" applyFont="1" applyFill="1" applyBorder="1"/>
    <xf numFmtId="0" fontId="29" fillId="0" borderId="6" xfId="0" applyFont="1" applyFill="1" applyBorder="1" applyAlignment="1">
      <alignment horizontal="center" vertical="center"/>
    </xf>
    <xf numFmtId="0" fontId="3" fillId="2" borderId="7" xfId="0" applyFont="1" applyFill="1" applyBorder="1"/>
    <xf numFmtId="0" fontId="4" fillId="2" borderId="7" xfId="0" applyFont="1" applyFill="1" applyBorder="1"/>
    <xf numFmtId="0" fontId="4" fillId="2" borderId="8" xfId="0" applyFont="1" applyFill="1" applyBorder="1"/>
    <xf numFmtId="0" fontId="4" fillId="2" borderId="6" xfId="0" applyFont="1" applyFill="1" applyBorder="1" applyAlignment="1">
      <alignment vertical="center"/>
    </xf>
    <xf numFmtId="0" fontId="4" fillId="2" borderId="35" xfId="0" applyFont="1" applyFill="1" applyBorder="1" applyAlignment="1">
      <alignment horizontal="center" vertical="center" wrapText="1"/>
    </xf>
    <xf numFmtId="0" fontId="4" fillId="2" borderId="81" xfId="0" applyFont="1" applyFill="1" applyBorder="1" applyAlignment="1">
      <alignment horizontal="center" vertical="center" wrapText="1"/>
    </xf>
    <xf numFmtId="0" fontId="4" fillId="2" borderId="15" xfId="0" applyFont="1" applyFill="1" applyBorder="1" applyAlignment="1">
      <alignment horizontal="center" vertical="center"/>
    </xf>
    <xf numFmtId="0" fontId="5" fillId="0" borderId="11" xfId="0" applyFont="1" applyFill="1" applyBorder="1" applyAlignment="1">
      <alignment vertical="center"/>
    </xf>
    <xf numFmtId="0" fontId="6" fillId="0" borderId="97" xfId="0" applyFont="1" applyFill="1" applyBorder="1" applyAlignment="1">
      <alignment vertical="center"/>
    </xf>
    <xf numFmtId="0" fontId="3" fillId="0" borderId="98" xfId="0" applyFont="1" applyFill="1" applyBorder="1" applyAlignment="1">
      <alignment vertical="center"/>
    </xf>
    <xf numFmtId="0" fontId="6" fillId="0" borderId="99" xfId="0" applyFont="1" applyFill="1" applyBorder="1" applyAlignment="1">
      <alignment vertical="center"/>
    </xf>
    <xf numFmtId="0" fontId="5" fillId="2" borderId="11" xfId="0" applyFont="1" applyFill="1" applyBorder="1" applyAlignment="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3" fillId="0" borderId="0" xfId="0" applyFont="1" applyFill="1" applyBorder="1" applyAlignment="1">
      <alignment horizontal="left"/>
    </xf>
    <xf numFmtId="0" fontId="4" fillId="0" borderId="2" xfId="0" applyFont="1" applyFill="1" applyBorder="1" applyAlignment="1">
      <alignment horizontal="left" vertical="center"/>
    </xf>
    <xf numFmtId="0" fontId="4" fillId="3" borderId="7" xfId="0" applyFont="1" applyFill="1" applyBorder="1" applyAlignment="1">
      <alignment horizontal="left" vertical="center"/>
    </xf>
    <xf numFmtId="0" fontId="7" fillId="3" borderId="7" xfId="0" applyFont="1" applyFill="1" applyBorder="1" applyAlignment="1">
      <alignment horizontal="left" vertical="center"/>
    </xf>
    <xf numFmtId="0" fontId="3" fillId="2" borderId="11" xfId="0" applyFont="1" applyFill="1" applyBorder="1" applyAlignment="1">
      <alignment horizontal="left"/>
    </xf>
    <xf numFmtId="0" fontId="3" fillId="2" borderId="1" xfId="0" applyFont="1" applyFill="1" applyBorder="1"/>
    <xf numFmtId="0" fontId="3" fillId="2" borderId="6" xfId="0" applyFont="1" applyFill="1" applyBorder="1" applyAlignment="1">
      <alignment horizontal="left" vertical="center"/>
    </xf>
    <xf numFmtId="0" fontId="4" fillId="2" borderId="6" xfId="0" applyFont="1" applyFill="1" applyBorder="1" applyAlignment="1">
      <alignment horizontal="left" vertical="center"/>
    </xf>
    <xf numFmtId="0" fontId="3" fillId="2" borderId="3" xfId="0" applyFont="1" applyFill="1" applyBorder="1"/>
    <xf numFmtId="0" fontId="3" fillId="0" borderId="3" xfId="0" applyFont="1" applyFill="1" applyBorder="1" applyAlignment="1"/>
    <xf numFmtId="0" fontId="3" fillId="0" borderId="28" xfId="0" applyFont="1" applyFill="1" applyBorder="1" applyAlignment="1"/>
    <xf numFmtId="0" fontId="3" fillId="0" borderId="25" xfId="0" applyFont="1" applyFill="1" applyBorder="1"/>
    <xf numFmtId="0" fontId="3" fillId="0" borderId="23" xfId="0" applyFont="1" applyFill="1" applyBorder="1"/>
    <xf numFmtId="0" fontId="3" fillId="0" borderId="22" xfId="0" applyFont="1" applyFill="1" applyBorder="1" applyAlignment="1">
      <alignment horizontal="center" wrapText="1"/>
    </xf>
    <xf numFmtId="0" fontId="3" fillId="0" borderId="25" xfId="0" applyFont="1" applyFill="1" applyBorder="1" applyAlignment="1"/>
    <xf numFmtId="0" fontId="7" fillId="3" borderId="12" xfId="0" applyFont="1" applyFill="1" applyBorder="1" applyAlignment="1">
      <alignment horizontal="centerContinuous" vertical="center" wrapText="1"/>
    </xf>
    <xf numFmtId="0" fontId="7" fillId="3" borderId="2" xfId="0" applyFont="1" applyFill="1" applyBorder="1" applyAlignment="1">
      <alignment vertical="center"/>
    </xf>
    <xf numFmtId="0" fontId="7" fillId="3" borderId="3" xfId="0" applyFont="1" applyFill="1" applyBorder="1" applyAlignment="1">
      <alignment horizontal="centerContinuous" vertical="center" wrapText="1"/>
    </xf>
    <xf numFmtId="0" fontId="4" fillId="2" borderId="6" xfId="0" applyFont="1" applyFill="1" applyBorder="1" applyAlignment="1"/>
    <xf numFmtId="0" fontId="4" fillId="2" borderId="0" xfId="0" applyFont="1" applyFill="1" applyBorder="1" applyAlignment="1">
      <alignment horizontal="centerContinuous"/>
    </xf>
    <xf numFmtId="0" fontId="3" fillId="2" borderId="1" xfId="0" applyFont="1" applyFill="1" applyBorder="1" applyAlignment="1">
      <alignment horizontal="centerContinuous"/>
    </xf>
    <xf numFmtId="0" fontId="4" fillId="2" borderId="2" xfId="0" applyFont="1" applyFill="1" applyBorder="1" applyAlignment="1"/>
    <xf numFmtId="0" fontId="4" fillId="2" borderId="3" xfId="0" applyFont="1" applyFill="1" applyBorder="1" applyAlignment="1">
      <alignment wrapText="1"/>
    </xf>
    <xf numFmtId="0" fontId="3" fillId="2" borderId="100" xfId="0" applyFont="1" applyFill="1" applyBorder="1" applyAlignment="1"/>
    <xf numFmtId="0" fontId="3" fillId="2" borderId="27" xfId="0" applyFont="1" applyFill="1" applyBorder="1"/>
    <xf numFmtId="0" fontId="3" fillId="2" borderId="32" xfId="0" applyFont="1" applyFill="1" applyBorder="1"/>
    <xf numFmtId="0" fontId="3" fillId="2" borderId="27" xfId="0" applyFont="1" applyFill="1" applyBorder="1" applyAlignment="1"/>
    <xf numFmtId="171" fontId="3" fillId="0" borderId="83" xfId="0" applyNumberFormat="1" applyFont="1" applyFill="1" applyBorder="1" applyAlignment="1">
      <alignment horizontal="center" vertical="center" wrapText="1"/>
    </xf>
    <xf numFmtId="0" fontId="4" fillId="2" borderId="90" xfId="0" applyFont="1" applyFill="1" applyBorder="1" applyAlignment="1">
      <alignment horizontal="center" vertical="center" wrapText="1"/>
    </xf>
    <xf numFmtId="0" fontId="7" fillId="3" borderId="0" xfId="0" applyFont="1" applyFill="1" applyBorder="1" applyAlignment="1">
      <alignment horizontal="centerContinuous" vertical="center" wrapText="1"/>
    </xf>
    <xf numFmtId="0" fontId="24" fillId="3" borderId="15" xfId="0" applyFont="1" applyFill="1" applyBorder="1" applyAlignment="1">
      <alignment horizontal="centerContinuous" vertical="center"/>
    </xf>
    <xf numFmtId="0" fontId="7" fillId="3" borderId="0" xfId="0" applyFont="1" applyFill="1" applyBorder="1" applyAlignment="1">
      <alignment horizontal="centerContinuous"/>
    </xf>
    <xf numFmtId="0" fontId="3" fillId="3" borderId="0" xfId="0" applyFont="1" applyFill="1" applyAlignment="1">
      <alignment horizontal="centerContinuous"/>
    </xf>
    <xf numFmtId="0" fontId="3" fillId="2" borderId="12" xfId="0" applyFont="1" applyFill="1" applyBorder="1" applyAlignment="1">
      <alignment horizontal="centerContinuous" vertical="center" wrapText="1"/>
    </xf>
    <xf numFmtId="0" fontId="3" fillId="2" borderId="0" xfId="0" applyFont="1" applyFill="1" applyBorder="1" applyAlignment="1">
      <alignment horizontal="centerContinuous" vertical="center" wrapText="1"/>
    </xf>
    <xf numFmtId="0" fontId="29" fillId="0" borderId="9" xfId="0" applyFont="1" applyFill="1" applyBorder="1" applyAlignment="1">
      <alignment horizontal="center" vertical="center"/>
    </xf>
    <xf numFmtId="169" fontId="29" fillId="0" borderId="9" xfId="0" applyNumberFormat="1" applyFont="1" applyFill="1" applyBorder="1" applyAlignment="1">
      <alignment horizontal="center" vertical="top" wrapText="1"/>
    </xf>
    <xf numFmtId="167" fontId="13" fillId="0" borderId="0" xfId="3" applyNumberFormat="1" applyFont="1" applyFill="1" applyBorder="1" applyAlignment="1" applyProtection="1">
      <alignment horizontal="centerContinuous" vertical="center"/>
    </xf>
    <xf numFmtId="169" fontId="4" fillId="0" borderId="0" xfId="0" applyNumberFormat="1" applyFont="1" applyFill="1" applyBorder="1" applyAlignment="1">
      <alignment horizontal="center" vertical="center"/>
    </xf>
    <xf numFmtId="2" fontId="3" fillId="0" borderId="101" xfId="0" applyNumberFormat="1" applyFont="1" applyFill="1" applyBorder="1" applyAlignment="1">
      <alignment horizontal="center" vertical="center"/>
    </xf>
    <xf numFmtId="2" fontId="3" fillId="0" borderId="51" xfId="0" applyNumberFormat="1" applyFont="1" applyFill="1" applyBorder="1" applyAlignment="1">
      <alignment horizontal="center" vertical="center"/>
    </xf>
    <xf numFmtId="169" fontId="4" fillId="0" borderId="0" xfId="0" applyNumberFormat="1" applyFont="1" applyFill="1" applyBorder="1" applyAlignment="1">
      <alignment horizontal="centerContinuous" vertical="center"/>
    </xf>
    <xf numFmtId="0" fontId="3" fillId="0" borderId="0" xfId="0" applyFont="1" applyFill="1" applyAlignment="1">
      <alignment horizontal="centerContinuous" vertical="center" wrapText="1"/>
    </xf>
    <xf numFmtId="0" fontId="3" fillId="0" borderId="2" xfId="0" applyFont="1" applyFill="1" applyBorder="1" applyAlignment="1">
      <alignment horizontal="center" vertical="center"/>
    </xf>
    <xf numFmtId="49" fontId="3" fillId="0" borderId="0" xfId="0" applyNumberFormat="1" applyFont="1" applyFill="1" applyBorder="1" applyAlignment="1">
      <alignment horizontal="center"/>
    </xf>
    <xf numFmtId="49" fontId="3" fillId="0" borderId="3" xfId="0" applyNumberFormat="1" applyFont="1" applyFill="1" applyBorder="1" applyAlignment="1">
      <alignment horizontal="center"/>
    </xf>
    <xf numFmtId="49" fontId="3" fillId="0" borderId="6" xfId="0" applyNumberFormat="1" applyFont="1" applyFill="1" applyBorder="1"/>
    <xf numFmtId="49" fontId="3" fillId="0" borderId="2" xfId="0" applyNumberFormat="1" applyFont="1" applyFill="1" applyBorder="1"/>
    <xf numFmtId="3" fontId="3" fillId="0" borderId="0" xfId="0" applyNumberFormat="1" applyFont="1" applyFill="1"/>
    <xf numFmtId="0" fontId="3" fillId="0" borderId="40" xfId="0" applyFont="1" applyFill="1" applyBorder="1"/>
    <xf numFmtId="0" fontId="14" fillId="0" borderId="0" xfId="0" applyFont="1" applyFill="1"/>
    <xf numFmtId="3" fontId="3" fillId="0" borderId="0" xfId="0" applyNumberFormat="1" applyFont="1" applyFill="1" applyBorder="1" applyAlignment="1">
      <alignment vertical="center"/>
    </xf>
    <xf numFmtId="3" fontId="3" fillId="0" borderId="33" xfId="0" applyNumberFormat="1" applyFont="1" applyFill="1" applyBorder="1" applyAlignment="1">
      <alignment vertical="center"/>
    </xf>
    <xf numFmtId="3" fontId="3" fillId="0" borderId="1" xfId="0" applyNumberFormat="1" applyFont="1" applyFill="1" applyBorder="1" applyAlignment="1">
      <alignment vertical="center"/>
    </xf>
    <xf numFmtId="3" fontId="3" fillId="0" borderId="42" xfId="0" applyNumberFormat="1" applyFont="1" applyFill="1" applyBorder="1" applyAlignment="1">
      <alignment vertical="center"/>
    </xf>
    <xf numFmtId="3" fontId="3" fillId="0" borderId="3" xfId="0" applyNumberFormat="1" applyFont="1" applyFill="1" applyBorder="1" applyAlignment="1">
      <alignment vertical="center"/>
    </xf>
    <xf numFmtId="3" fontId="3" fillId="0" borderId="34" xfId="0" applyNumberFormat="1" applyFont="1" applyFill="1" applyBorder="1" applyAlignment="1">
      <alignment vertical="center"/>
    </xf>
    <xf numFmtId="3" fontId="3" fillId="0" borderId="4" xfId="0" applyNumberFormat="1" applyFont="1" applyFill="1" applyBorder="1" applyAlignment="1">
      <alignment vertical="center"/>
    </xf>
    <xf numFmtId="0" fontId="29" fillId="0" borderId="0" xfId="3" applyFont="1" applyFill="1" applyAlignment="1" applyProtection="1">
      <alignment vertical="center"/>
    </xf>
    <xf numFmtId="1" fontId="3" fillId="0" borderId="0" xfId="0" applyNumberFormat="1" applyFont="1" applyFill="1" applyAlignment="1">
      <alignment vertical="center"/>
    </xf>
    <xf numFmtId="0" fontId="3" fillId="0" borderId="102" xfId="0" applyFont="1" applyFill="1" applyBorder="1" applyAlignment="1">
      <alignment horizontal="center" vertical="center"/>
    </xf>
    <xf numFmtId="0" fontId="6" fillId="0" borderId="5" xfId="0" applyFont="1" applyFill="1" applyBorder="1" applyAlignment="1">
      <alignment horizontal="center" vertical="center" wrapText="1"/>
    </xf>
    <xf numFmtId="0" fontId="0" fillId="0" borderId="0" xfId="0" applyFill="1" applyBorder="1" applyAlignment="1">
      <alignment horizontal="centerContinuous" vertical="center"/>
    </xf>
    <xf numFmtId="0" fontId="13" fillId="0" borderId="0" xfId="3" applyFont="1" applyFill="1" applyBorder="1" applyAlignment="1" applyProtection="1">
      <alignment horizontal="centerContinuous" vertical="center"/>
    </xf>
    <xf numFmtId="0" fontId="4" fillId="0" borderId="13" xfId="3" applyFont="1" applyFill="1" applyBorder="1" applyAlignment="1" applyProtection="1">
      <alignment horizontal="centerContinuous" vertical="center"/>
    </xf>
    <xf numFmtId="2" fontId="6" fillId="0" borderId="0" xfId="0" applyNumberFormat="1" applyFont="1" applyFill="1" applyBorder="1" applyAlignment="1">
      <alignment horizontal="center" vertical="center"/>
    </xf>
    <xf numFmtId="2" fontId="6" fillId="0" borderId="103" xfId="0" applyNumberFormat="1" applyFont="1" applyFill="1" applyBorder="1" applyAlignment="1">
      <alignment horizontal="center" vertical="center"/>
    </xf>
    <xf numFmtId="2" fontId="6" fillId="0" borderId="104" xfId="0" applyNumberFormat="1" applyFont="1" applyFill="1" applyBorder="1" applyAlignment="1">
      <alignment horizontal="center" vertical="center"/>
    </xf>
    <xf numFmtId="2" fontId="6" fillId="0" borderId="1" xfId="0" applyNumberFormat="1" applyFont="1" applyFill="1" applyBorder="1" applyAlignment="1">
      <alignment horizontal="center" vertical="center"/>
    </xf>
    <xf numFmtId="0" fontId="3" fillId="0" borderId="28" xfId="0" applyFont="1" applyFill="1" applyBorder="1" applyAlignment="1">
      <alignment vertical="center"/>
    </xf>
    <xf numFmtId="2" fontId="6" fillId="0" borderId="25" xfId="0" applyNumberFormat="1" applyFont="1" applyFill="1" applyBorder="1" applyAlignment="1">
      <alignment horizontal="center" vertical="center"/>
    </xf>
    <xf numFmtId="2" fontId="6" fillId="0" borderId="23" xfId="0" applyNumberFormat="1" applyFont="1" applyFill="1" applyBorder="1" applyAlignment="1">
      <alignment horizontal="center" vertical="center"/>
    </xf>
    <xf numFmtId="2" fontId="6" fillId="0" borderId="22" xfId="0" applyNumberFormat="1" applyFont="1" applyFill="1" applyBorder="1" applyAlignment="1">
      <alignment horizontal="center" vertical="center"/>
    </xf>
    <xf numFmtId="0" fontId="7" fillId="3" borderId="0" xfId="0" applyFont="1" applyFill="1" applyAlignment="1">
      <alignment vertical="center"/>
    </xf>
    <xf numFmtId="0" fontId="13" fillId="0" borderId="0" xfId="0" applyFont="1" applyFill="1" applyAlignment="1">
      <alignment horizontal="left"/>
    </xf>
    <xf numFmtId="0" fontId="4" fillId="2" borderId="12" xfId="0" applyFont="1" applyFill="1" applyBorder="1" applyAlignment="1">
      <alignment vertical="center" wrapText="1"/>
    </xf>
    <xf numFmtId="169" fontId="4" fillId="2" borderId="34" xfId="0" applyNumberFormat="1" applyFont="1" applyFill="1" applyBorder="1" applyAlignment="1">
      <alignment horizontal="center" vertical="center"/>
    </xf>
    <xf numFmtId="169" fontId="4" fillId="2" borderId="105" xfId="0" applyNumberFormat="1" applyFont="1" applyFill="1" applyBorder="1" applyAlignment="1">
      <alignment horizontal="center" vertical="center"/>
    </xf>
    <xf numFmtId="169" fontId="4" fillId="2" borderId="106" xfId="0" applyNumberFormat="1" applyFont="1" applyFill="1" applyBorder="1" applyAlignment="1">
      <alignment horizontal="center" vertical="center"/>
    </xf>
    <xf numFmtId="169" fontId="4" fillId="2" borderId="107" xfId="0" applyNumberFormat="1" applyFont="1" applyFill="1" applyBorder="1" applyAlignment="1">
      <alignment horizontal="center" vertical="center"/>
    </xf>
    <xf numFmtId="0" fontId="4" fillId="2" borderId="0" xfId="0" applyFont="1" applyFill="1"/>
    <xf numFmtId="2" fontId="3" fillId="0" borderId="108" xfId="0" applyNumberFormat="1" applyFont="1" applyFill="1" applyBorder="1" applyAlignment="1">
      <alignment horizontal="center" vertical="center"/>
    </xf>
    <xf numFmtId="2" fontId="3" fillId="0" borderId="3" xfId="0" applyNumberFormat="1" applyFont="1" applyFill="1" applyBorder="1" applyAlignment="1">
      <alignment vertical="center"/>
    </xf>
    <xf numFmtId="2" fontId="3" fillId="0" borderId="109" xfId="0" applyNumberFormat="1" applyFont="1" applyFill="1" applyBorder="1" applyAlignment="1">
      <alignment horizontal="center" vertical="center"/>
    </xf>
    <xf numFmtId="2" fontId="3" fillId="0" borderId="11" xfId="0" applyNumberFormat="1" applyFont="1" applyFill="1" applyBorder="1" applyAlignment="1">
      <alignment horizontal="center" vertical="center"/>
    </xf>
    <xf numFmtId="2" fontId="3" fillId="0" borderId="12" xfId="0" applyNumberFormat="1" applyFont="1" applyFill="1" applyBorder="1" applyAlignment="1">
      <alignment horizontal="center" vertical="center"/>
    </xf>
    <xf numFmtId="2" fontId="3" fillId="0" borderId="110" xfId="0" applyNumberFormat="1" applyFont="1" applyFill="1" applyBorder="1" applyAlignment="1">
      <alignment horizontal="center" vertical="center"/>
    </xf>
    <xf numFmtId="2" fontId="3" fillId="0" borderId="111" xfId="0" applyNumberFormat="1" applyFont="1" applyFill="1" applyBorder="1" applyAlignment="1">
      <alignment horizontal="center" vertical="center"/>
    </xf>
    <xf numFmtId="2" fontId="3" fillId="0" borderId="15" xfId="0" applyNumberFormat="1" applyFont="1" applyFill="1" applyBorder="1" applyAlignment="1">
      <alignment horizontal="center" vertical="center"/>
    </xf>
    <xf numFmtId="0" fontId="5" fillId="0" borderId="28" xfId="0" applyFont="1" applyFill="1" applyBorder="1" applyAlignment="1">
      <alignment horizontal="justify" vertical="center"/>
    </xf>
    <xf numFmtId="0" fontId="6" fillId="0" borderId="25" xfId="0" applyFont="1" applyFill="1" applyBorder="1" applyAlignment="1">
      <alignment horizontal="justify" vertical="center"/>
    </xf>
    <xf numFmtId="0" fontId="6" fillId="0" borderId="18" xfId="0" applyFont="1" applyFill="1" applyBorder="1" applyAlignment="1">
      <alignment horizontal="justify" vertical="center"/>
    </xf>
    <xf numFmtId="2" fontId="6" fillId="0" borderId="26" xfId="0" applyNumberFormat="1" applyFont="1" applyFill="1" applyBorder="1" applyAlignment="1">
      <alignment horizontal="center" vertical="center"/>
    </xf>
    <xf numFmtId="0" fontId="40" fillId="0" borderId="18" xfId="0" applyFont="1" applyFill="1" applyBorder="1" applyAlignment="1">
      <alignment vertical="center"/>
    </xf>
    <xf numFmtId="0" fontId="41" fillId="0" borderId="26" xfId="0" applyFont="1" applyFill="1" applyBorder="1" applyAlignment="1">
      <alignment vertical="center"/>
    </xf>
    <xf numFmtId="2" fontId="6" fillId="0" borderId="4" xfId="0" applyNumberFormat="1" applyFont="1" applyFill="1" applyBorder="1" applyAlignment="1">
      <alignment horizontal="center" vertical="center"/>
    </xf>
    <xf numFmtId="0" fontId="3" fillId="2" borderId="112" xfId="0" applyFont="1" applyFill="1" applyBorder="1" applyAlignment="1">
      <alignment vertical="center"/>
    </xf>
    <xf numFmtId="0" fontId="5" fillId="2" borderId="0" xfId="0" applyFont="1" applyFill="1" applyBorder="1" applyAlignment="1">
      <alignment horizontal="center" vertical="center"/>
    </xf>
    <xf numFmtId="0" fontId="5" fillId="2" borderId="113" xfId="0" applyFont="1" applyFill="1" applyBorder="1" applyAlignment="1">
      <alignment horizontal="left" vertical="center"/>
    </xf>
    <xf numFmtId="0" fontId="4" fillId="2" borderId="114" xfId="0" applyFont="1" applyFill="1" applyBorder="1" applyAlignment="1">
      <alignment horizontal="left" vertical="center"/>
    </xf>
    <xf numFmtId="0" fontId="5" fillId="2" borderId="115" xfId="0" applyFont="1" applyFill="1" applyBorder="1" applyAlignment="1">
      <alignment horizontal="center" vertical="center" wrapText="1"/>
    </xf>
    <xf numFmtId="0" fontId="5" fillId="2" borderId="116" xfId="0" applyFont="1" applyFill="1" applyBorder="1" applyAlignment="1">
      <alignment horizontal="center" vertical="center" wrapText="1"/>
    </xf>
    <xf numFmtId="0" fontId="5" fillId="2" borderId="114" xfId="0" applyFont="1" applyFill="1" applyBorder="1" applyAlignment="1">
      <alignment horizontal="center" vertical="center" wrapText="1"/>
    </xf>
    <xf numFmtId="0" fontId="4" fillId="2" borderId="7" xfId="0" applyFont="1" applyFill="1" applyBorder="1" applyAlignment="1">
      <alignment horizontal="centerContinuous"/>
    </xf>
    <xf numFmtId="0" fontId="4" fillId="2" borderId="8" xfId="0" applyFont="1" applyFill="1" applyBorder="1" applyAlignment="1">
      <alignment horizontal="centerContinuous"/>
    </xf>
    <xf numFmtId="169" fontId="29" fillId="0" borderId="1" xfId="0" applyNumberFormat="1" applyFont="1" applyFill="1" applyBorder="1" applyAlignment="1">
      <alignment horizontal="center" vertical="center" wrapText="1"/>
    </xf>
    <xf numFmtId="169" fontId="29" fillId="0" borderId="26" xfId="0" applyNumberFormat="1" applyFont="1" applyFill="1" applyBorder="1" applyAlignment="1">
      <alignment horizontal="center" vertical="center" wrapText="1"/>
    </xf>
    <xf numFmtId="169" fontId="29" fillId="0" borderId="4" xfId="0" applyNumberFormat="1" applyFont="1" applyFill="1" applyBorder="1" applyAlignment="1">
      <alignment horizontal="center" vertical="center" wrapText="1"/>
    </xf>
    <xf numFmtId="2" fontId="30" fillId="8" borderId="25" xfId="0" applyNumberFormat="1" applyFont="1" applyFill="1" applyBorder="1" applyAlignment="1">
      <alignment horizontal="center" vertical="center" wrapText="1"/>
    </xf>
    <xf numFmtId="2" fontId="30" fillId="8" borderId="23" xfId="0" applyNumberFormat="1" applyFont="1" applyFill="1" applyBorder="1" applyAlignment="1">
      <alignment horizontal="center" vertical="center"/>
    </xf>
    <xf numFmtId="2" fontId="29" fillId="0" borderId="6" xfId="0" applyNumberFormat="1" applyFont="1" applyFill="1" applyBorder="1" applyAlignment="1">
      <alignment horizontal="center" vertical="center"/>
    </xf>
    <xf numFmtId="2" fontId="29" fillId="0" borderId="0" xfId="0" applyNumberFormat="1" applyFont="1" applyFill="1" applyBorder="1" applyAlignment="1">
      <alignment horizontal="center" vertical="center"/>
    </xf>
    <xf numFmtId="2" fontId="29" fillId="0" borderId="6" xfId="0" applyNumberFormat="1" applyFont="1" applyFill="1" applyBorder="1" applyAlignment="1">
      <alignment horizontal="center" vertical="center" wrapText="1"/>
    </xf>
    <xf numFmtId="2" fontId="29" fillId="0" borderId="0" xfId="0" applyNumberFormat="1" applyFont="1" applyFill="1" applyBorder="1" applyAlignment="1">
      <alignment horizontal="center" vertical="center" wrapText="1"/>
    </xf>
    <xf numFmtId="2" fontId="29" fillId="0" borderId="40" xfId="0" applyNumberFormat="1" applyFont="1" applyFill="1" applyBorder="1" applyAlignment="1">
      <alignment horizontal="center" vertical="center" wrapText="1"/>
    </xf>
    <xf numFmtId="2" fontId="29" fillId="0" borderId="18" xfId="0" applyNumberFormat="1" applyFont="1" applyFill="1" applyBorder="1" applyAlignment="1">
      <alignment horizontal="center" vertical="center" wrapText="1"/>
    </xf>
    <xf numFmtId="2" fontId="29" fillId="0" borderId="3" xfId="0" applyNumberFormat="1" applyFont="1" applyFill="1" applyBorder="1" applyAlignment="1">
      <alignment horizontal="center" vertical="center"/>
    </xf>
    <xf numFmtId="2" fontId="29" fillId="0" borderId="3" xfId="0" applyNumberFormat="1" applyFont="1" applyFill="1" applyBorder="1" applyAlignment="1">
      <alignment horizontal="center" vertical="center" wrapText="1"/>
    </xf>
    <xf numFmtId="2" fontId="29" fillId="0" borderId="4" xfId="0" applyNumberFormat="1" applyFont="1" applyFill="1" applyBorder="1" applyAlignment="1">
      <alignment horizontal="center" vertical="center" wrapText="1"/>
    </xf>
    <xf numFmtId="0" fontId="29" fillId="0" borderId="0" xfId="0" applyFont="1" applyFill="1" applyBorder="1" applyAlignment="1">
      <alignment horizontal="center" vertical="center"/>
    </xf>
    <xf numFmtId="0" fontId="29" fillId="0" borderId="6" xfId="0" applyFont="1" applyFill="1" applyBorder="1" applyAlignment="1">
      <alignment vertical="center"/>
    </xf>
    <xf numFmtId="0" fontId="29" fillId="0" borderId="1" xfId="0" applyFont="1" applyFill="1" applyBorder="1" applyAlignment="1">
      <alignment vertical="center"/>
    </xf>
    <xf numFmtId="0" fontId="29" fillId="0" borderId="3" xfId="0" applyFont="1" applyFill="1" applyBorder="1" applyAlignment="1">
      <alignment vertical="center"/>
    </xf>
    <xf numFmtId="0" fontId="29" fillId="0" borderId="4" xfId="0" applyFont="1" applyFill="1" applyBorder="1" applyAlignment="1">
      <alignment vertical="center"/>
    </xf>
    <xf numFmtId="0" fontId="29" fillId="0" borderId="42" xfId="0" applyFont="1" applyFill="1" applyBorder="1" applyAlignment="1">
      <alignment horizontal="center" vertical="center" wrapText="1"/>
    </xf>
    <xf numFmtId="0" fontId="29" fillId="0" borderId="84" xfId="0" applyFont="1" applyFill="1" applyBorder="1" applyAlignment="1">
      <alignment horizontal="center" vertical="center" wrapText="1"/>
    </xf>
    <xf numFmtId="2" fontId="29" fillId="0" borderId="42" xfId="0" applyNumberFormat="1" applyFont="1" applyFill="1" applyBorder="1" applyAlignment="1">
      <alignment horizontal="center" vertical="center" wrapText="1"/>
    </xf>
    <xf numFmtId="171" fontId="29" fillId="0" borderId="42" xfId="0" applyNumberFormat="1" applyFont="1" applyFill="1" applyBorder="1" applyAlignment="1">
      <alignment horizontal="center" vertical="center" wrapText="1"/>
    </xf>
    <xf numFmtId="2" fontId="30" fillId="8" borderId="0" xfId="0" applyNumberFormat="1" applyFont="1" applyFill="1" applyBorder="1" applyAlignment="1">
      <alignment horizontal="center" vertical="center" wrapText="1"/>
    </xf>
    <xf numFmtId="0" fontId="29" fillId="0" borderId="46" xfId="0" applyFont="1" applyFill="1" applyBorder="1" applyAlignment="1">
      <alignment vertical="center"/>
    </xf>
    <xf numFmtId="0" fontId="29" fillId="0" borderId="36" xfId="0" applyFont="1" applyFill="1" applyBorder="1" applyAlignment="1">
      <alignment vertical="center"/>
    </xf>
    <xf numFmtId="0" fontId="4"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2" fillId="0" borderId="6" xfId="0" applyFont="1" applyFill="1" applyBorder="1"/>
    <xf numFmtId="0" fontId="4" fillId="3" borderId="8" xfId="0" applyFont="1" applyFill="1" applyBorder="1" applyAlignment="1">
      <alignment horizontal="left" vertical="center"/>
    </xf>
    <xf numFmtId="0" fontId="2" fillId="2" borderId="0" xfId="0" applyFont="1" applyFill="1" applyBorder="1"/>
    <xf numFmtId="0" fontId="2" fillId="2" borderId="6" xfId="0" applyFont="1" applyFill="1" applyBorder="1"/>
    <xf numFmtId="0" fontId="2" fillId="3" borderId="7" xfId="0" applyFont="1" applyFill="1" applyBorder="1" applyAlignment="1">
      <alignment horizontal="left"/>
    </xf>
    <xf numFmtId="0" fontId="2" fillId="2" borderId="15" xfId="0" applyFont="1" applyFill="1" applyBorder="1"/>
    <xf numFmtId="0" fontId="2" fillId="2" borderId="1" xfId="0" applyFont="1" applyFill="1" applyBorder="1"/>
    <xf numFmtId="0" fontId="2" fillId="0" borderId="2" xfId="0" applyFont="1" applyFill="1" applyBorder="1"/>
    <xf numFmtId="0" fontId="3" fillId="2" borderId="10" xfId="0" applyFont="1" applyFill="1" applyBorder="1" applyAlignment="1">
      <alignment horizontal="justify" vertical="center" wrapText="1"/>
    </xf>
    <xf numFmtId="0" fontId="2" fillId="2" borderId="7" xfId="0" applyFont="1" applyFill="1" applyBorder="1"/>
    <xf numFmtId="0" fontId="2" fillId="2" borderId="8" xfId="0" applyFont="1" applyFill="1" applyBorder="1"/>
    <xf numFmtId="0" fontId="2" fillId="2" borderId="4" xfId="0" applyFont="1" applyFill="1" applyBorder="1"/>
    <xf numFmtId="0" fontId="2" fillId="0" borderId="12" xfId="0" applyFont="1" applyFill="1" applyBorder="1"/>
    <xf numFmtId="0" fontId="2" fillId="2" borderId="3" xfId="0" applyFont="1" applyFill="1" applyBorder="1"/>
    <xf numFmtId="0" fontId="13" fillId="0" borderId="13" xfId="0" applyFont="1" applyFill="1" applyBorder="1" applyAlignment="1">
      <alignment horizontal="left"/>
    </xf>
    <xf numFmtId="0" fontId="2" fillId="3" borderId="7" xfId="0" applyFont="1" applyFill="1" applyBorder="1"/>
    <xf numFmtId="0" fontId="2" fillId="0" borderId="15" xfId="0" applyFont="1" applyFill="1" applyBorder="1"/>
    <xf numFmtId="0" fontId="2" fillId="0" borderId="28" xfId="0" applyFont="1" applyFill="1" applyBorder="1"/>
    <xf numFmtId="0" fontId="2" fillId="0" borderId="23" xfId="0" applyFont="1" applyFill="1" applyBorder="1"/>
    <xf numFmtId="0" fontId="4" fillId="0" borderId="28" xfId="0" applyFont="1" applyFill="1" applyBorder="1" applyAlignment="1">
      <alignment vertical="center"/>
    </xf>
    <xf numFmtId="0" fontId="6" fillId="0" borderId="89" xfId="0" applyFont="1" applyFill="1" applyBorder="1" applyAlignment="1">
      <alignment vertical="center"/>
    </xf>
    <xf numFmtId="0" fontId="3" fillId="0" borderId="117" xfId="0" applyFont="1" applyFill="1" applyBorder="1" applyAlignment="1">
      <alignment vertical="center"/>
    </xf>
    <xf numFmtId="0" fontId="6" fillId="0" borderId="118" xfId="0" applyFont="1" applyFill="1" applyBorder="1" applyAlignment="1">
      <alignment vertical="center"/>
    </xf>
    <xf numFmtId="0" fontId="3" fillId="0" borderId="17" xfId="0" applyFont="1" applyFill="1" applyBorder="1" applyAlignment="1">
      <alignment vertical="center"/>
    </xf>
    <xf numFmtId="0" fontId="3" fillId="0" borderId="119" xfId="0" applyFont="1" applyFill="1" applyBorder="1" applyAlignment="1">
      <alignment vertical="center"/>
    </xf>
    <xf numFmtId="0" fontId="2" fillId="2" borderId="11" xfId="0" applyFont="1" applyFill="1" applyBorder="1"/>
    <xf numFmtId="0" fontId="2" fillId="2" borderId="89" xfId="0" applyFont="1" applyFill="1" applyBorder="1"/>
    <xf numFmtId="0" fontId="5" fillId="2" borderId="14" xfId="0" applyFont="1" applyFill="1" applyBorder="1" applyAlignment="1">
      <alignment horizontal="centerContinuous" vertical="center"/>
    </xf>
    <xf numFmtId="0" fontId="0" fillId="2" borderId="7" xfId="0" applyFill="1" applyBorder="1" applyAlignment="1">
      <alignment horizontal="centerContinuous" vertical="center"/>
    </xf>
    <xf numFmtId="0" fontId="0" fillId="2" borderId="14" xfId="0" applyFill="1" applyBorder="1" applyAlignment="1">
      <alignment horizontal="centerContinuous" vertical="center"/>
    </xf>
    <xf numFmtId="0" fontId="2" fillId="2" borderId="17" xfId="0" applyFont="1" applyFill="1" applyBorder="1"/>
    <xf numFmtId="0" fontId="4" fillId="2" borderId="2" xfId="0" applyFont="1" applyFill="1" applyBorder="1"/>
    <xf numFmtId="0" fontId="4" fillId="2" borderId="119" xfId="0" applyFont="1" applyFill="1" applyBorder="1" applyAlignment="1">
      <alignment vertical="center"/>
    </xf>
    <xf numFmtId="0" fontId="13" fillId="0" borderId="13" xfId="0" applyFont="1" applyFill="1" applyBorder="1"/>
    <xf numFmtId="0" fontId="11" fillId="0" borderId="0" xfId="0" applyFont="1" applyFill="1"/>
    <xf numFmtId="0" fontId="7" fillId="3" borderId="15" xfId="0" applyFont="1" applyFill="1" applyBorder="1" applyAlignment="1">
      <alignment horizontal="centerContinuous" vertical="center" wrapText="1"/>
    </xf>
    <xf numFmtId="0" fontId="6" fillId="0" borderId="6" xfId="0" applyFont="1" applyFill="1" applyBorder="1" applyAlignment="1">
      <alignment horizontal="justify" vertical="center" wrapText="1"/>
    </xf>
    <xf numFmtId="0" fontId="6" fillId="0" borderId="2" xfId="0" applyFont="1" applyFill="1" applyBorder="1" applyAlignment="1">
      <alignment horizontal="justify" vertical="center" wrapText="1"/>
    </xf>
    <xf numFmtId="0" fontId="6" fillId="0" borderId="11" xfId="0" applyFont="1" applyFill="1" applyBorder="1" applyAlignment="1">
      <alignment horizontal="justify" vertical="center" wrapText="1"/>
    </xf>
    <xf numFmtId="0" fontId="4" fillId="3" borderId="7" xfId="0" applyFont="1" applyFill="1" applyBorder="1" applyAlignment="1">
      <alignment vertical="center"/>
    </xf>
    <xf numFmtId="0" fontId="6" fillId="0" borderId="17" xfId="0" applyFont="1" applyFill="1" applyBorder="1" applyAlignment="1">
      <alignment vertical="center"/>
    </xf>
    <xf numFmtId="0" fontId="6" fillId="0" borderId="117" xfId="0" applyFont="1" applyFill="1" applyBorder="1" applyAlignment="1">
      <alignment vertical="center"/>
    </xf>
    <xf numFmtId="0" fontId="6" fillId="0" borderId="119" xfId="0" applyFont="1" applyFill="1" applyBorder="1" applyAlignment="1">
      <alignment vertical="center"/>
    </xf>
    <xf numFmtId="0" fontId="0" fillId="0" borderId="119" xfId="0" applyFill="1" applyBorder="1" applyAlignment="1">
      <alignment vertical="center"/>
    </xf>
    <xf numFmtId="0" fontId="0" fillId="0" borderId="40" xfId="0" applyFill="1" applyBorder="1" applyAlignment="1">
      <alignment vertical="center"/>
    </xf>
    <xf numFmtId="0" fontId="0" fillId="2" borderId="89" xfId="0" applyFill="1" applyBorder="1" applyAlignment="1">
      <alignment vertical="center"/>
    </xf>
    <xf numFmtId="0" fontId="4" fillId="2" borderId="17" xfId="0" applyFont="1" applyFill="1" applyBorder="1" applyAlignment="1">
      <alignment vertical="center"/>
    </xf>
    <xf numFmtId="0" fontId="6" fillId="2" borderId="17" xfId="0" applyFont="1" applyFill="1" applyBorder="1" applyAlignment="1">
      <alignment vertical="center"/>
    </xf>
    <xf numFmtId="0" fontId="0" fillId="2" borderId="10" xfId="0" applyFill="1" applyBorder="1" applyAlignment="1">
      <alignment vertical="center"/>
    </xf>
    <xf numFmtId="0" fontId="6" fillId="2" borderId="88" xfId="0" applyFont="1" applyFill="1" applyBorder="1" applyAlignment="1">
      <alignment vertical="center"/>
    </xf>
    <xf numFmtId="0" fontId="0" fillId="0" borderId="2" xfId="0" applyFill="1" applyBorder="1" applyAlignment="1">
      <alignment vertical="center" wrapText="1"/>
    </xf>
    <xf numFmtId="0" fontId="6" fillId="0" borderId="17" xfId="0" applyFont="1" applyFill="1" applyBorder="1" applyAlignment="1">
      <alignment vertical="center" wrapText="1"/>
    </xf>
    <xf numFmtId="0" fontId="6" fillId="0" borderId="117" xfId="0" applyFont="1" applyFill="1" applyBorder="1" applyAlignment="1">
      <alignment vertical="center" wrapText="1"/>
    </xf>
    <xf numFmtId="0" fontId="0" fillId="0" borderId="119" xfId="0" applyFill="1" applyBorder="1" applyAlignment="1">
      <alignment vertical="center" wrapText="1"/>
    </xf>
    <xf numFmtId="0" fontId="24" fillId="0" borderId="0" xfId="0" applyFont="1" applyFill="1" applyBorder="1" applyAlignment="1">
      <alignment horizontal="centerContinuous" vertical="center"/>
    </xf>
    <xf numFmtId="0" fontId="7" fillId="3" borderId="7" xfId="0" applyFont="1" applyFill="1" applyBorder="1" applyAlignment="1">
      <alignment vertical="center" wrapText="1"/>
    </xf>
    <xf numFmtId="0" fontId="5" fillId="0" borderId="6" xfId="0" applyFont="1" applyFill="1" applyBorder="1" applyAlignment="1">
      <alignment vertical="center" wrapText="1"/>
    </xf>
    <xf numFmtId="0" fontId="0" fillId="0" borderId="6" xfId="0" applyFill="1" applyBorder="1" applyAlignment="1">
      <alignment vertical="center" wrapText="1"/>
    </xf>
    <xf numFmtId="0" fontId="0" fillId="0" borderId="40" xfId="0" applyFill="1" applyBorder="1" applyAlignment="1">
      <alignment vertical="center" wrapText="1"/>
    </xf>
    <xf numFmtId="0" fontId="5" fillId="0" borderId="83" xfId="0" applyFont="1" applyFill="1" applyBorder="1" applyAlignment="1">
      <alignment vertical="center" wrapText="1"/>
    </xf>
    <xf numFmtId="0" fontId="4" fillId="2" borderId="120" xfId="0" applyFont="1" applyFill="1" applyBorder="1" applyAlignment="1">
      <alignment vertical="center"/>
    </xf>
    <xf numFmtId="0" fontId="0" fillId="2" borderId="17" xfId="0" applyFill="1" applyBorder="1" applyAlignment="1">
      <alignment vertical="center"/>
    </xf>
    <xf numFmtId="0" fontId="4" fillId="2" borderId="2" xfId="0" applyFont="1" applyFill="1" applyBorder="1" applyAlignment="1">
      <alignment horizontal="centerContinuous" vertical="center"/>
    </xf>
    <xf numFmtId="0" fontId="4" fillId="2" borderId="83" xfId="0" applyFont="1" applyFill="1" applyBorder="1"/>
    <xf numFmtId="0" fontId="4" fillId="2" borderId="46" xfId="0" applyFont="1" applyFill="1" applyBorder="1" applyAlignment="1">
      <alignment vertical="center"/>
    </xf>
    <xf numFmtId="0" fontId="6" fillId="2" borderId="88" xfId="0" applyFont="1" applyFill="1" applyBorder="1" applyAlignment="1">
      <alignment vertical="center" wrapText="1"/>
    </xf>
    <xf numFmtId="0" fontId="0" fillId="2" borderId="10" xfId="0" applyFill="1" applyBorder="1" applyAlignment="1">
      <alignment vertical="center" wrapText="1"/>
    </xf>
    <xf numFmtId="0" fontId="29" fillId="0" borderId="2" xfId="0" applyFont="1" applyFill="1" applyBorder="1" applyAlignment="1">
      <alignment horizontal="center" vertical="center"/>
    </xf>
    <xf numFmtId="0" fontId="24" fillId="3" borderId="0" xfId="0" applyFont="1" applyFill="1" applyBorder="1" applyAlignment="1">
      <alignment vertical="center"/>
    </xf>
    <xf numFmtId="0" fontId="3" fillId="0" borderId="2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4" fillId="0" borderId="25" xfId="0" applyFont="1" applyFill="1" applyBorder="1" applyAlignment="1">
      <alignment horizontal="center"/>
    </xf>
    <xf numFmtId="0" fontId="4" fillId="0" borderId="18" xfId="0" applyFont="1" applyFill="1" applyBorder="1" applyAlignment="1">
      <alignment horizontal="center"/>
    </xf>
    <xf numFmtId="0" fontId="4" fillId="0" borderId="53" xfId="0" applyFont="1" applyFill="1" applyBorder="1" applyAlignment="1">
      <alignment horizontal="center"/>
    </xf>
    <xf numFmtId="0" fontId="3" fillId="0" borderId="99" xfId="0" applyFont="1" applyFill="1" applyBorder="1"/>
    <xf numFmtId="0" fontId="3" fillId="0" borderId="121" xfId="0" applyFont="1" applyFill="1" applyBorder="1"/>
    <xf numFmtId="0" fontId="3" fillId="0" borderId="28" xfId="0" applyFont="1" applyFill="1" applyBorder="1"/>
    <xf numFmtId="0" fontId="4" fillId="2" borderId="120" xfId="0" applyFont="1" applyFill="1" applyBorder="1" applyAlignment="1">
      <alignment horizontal="center" vertical="center"/>
    </xf>
    <xf numFmtId="0" fontId="4" fillId="2" borderId="36" xfId="0" applyFont="1" applyFill="1" applyBorder="1" applyAlignment="1">
      <alignment horizontal="center" vertical="center"/>
    </xf>
    <xf numFmtId="0" fontId="4" fillId="2" borderId="81" xfId="0" applyFont="1" applyFill="1" applyBorder="1" applyAlignment="1">
      <alignment horizontal="center" vertical="center"/>
    </xf>
    <xf numFmtId="0" fontId="24" fillId="3" borderId="12" xfId="0" applyFont="1" applyFill="1" applyBorder="1" applyAlignment="1">
      <alignment horizontal="centerContinuous" vertical="center"/>
    </xf>
    <xf numFmtId="0" fontId="3" fillId="2" borderId="10" xfId="0" applyFont="1" applyFill="1" applyBorder="1" applyAlignment="1">
      <alignment horizontal="centerContinuous" vertical="center"/>
    </xf>
    <xf numFmtId="0" fontId="4" fillId="2" borderId="11" xfId="0" applyFont="1" applyFill="1" applyBorder="1" applyAlignment="1">
      <alignment horizontal="center" vertical="center"/>
    </xf>
    <xf numFmtId="0" fontId="4" fillId="2" borderId="46" xfId="0" applyFont="1" applyFill="1" applyBorder="1" applyAlignment="1">
      <alignment horizontal="center"/>
    </xf>
    <xf numFmtId="0" fontId="3" fillId="0" borderId="112" xfId="0" applyFont="1" applyFill="1" applyBorder="1" applyAlignment="1">
      <alignment vertical="center"/>
    </xf>
    <xf numFmtId="0" fontId="7" fillId="3" borderId="10" xfId="0" applyFont="1" applyFill="1" applyBorder="1" applyAlignment="1">
      <alignment horizontal="centerContinuous" vertical="center"/>
    </xf>
    <xf numFmtId="0" fontId="4" fillId="2" borderId="122" xfId="0" applyFont="1" applyFill="1" applyBorder="1" applyAlignment="1">
      <alignment horizontal="center" vertical="center"/>
    </xf>
    <xf numFmtId="0" fontId="7" fillId="2" borderId="12" xfId="0" applyFont="1" applyFill="1" applyBorder="1" applyAlignment="1">
      <alignment vertical="center"/>
    </xf>
    <xf numFmtId="0" fontId="4" fillId="2" borderId="25" xfId="0" applyFont="1" applyFill="1" applyBorder="1" applyAlignment="1">
      <alignment horizontal="centerContinuous" vertical="center"/>
    </xf>
    <xf numFmtId="0" fontId="4" fillId="2" borderId="123" xfId="0" applyFont="1" applyFill="1" applyBorder="1" applyAlignment="1">
      <alignment horizontal="centerContinuous" vertical="center"/>
    </xf>
    <xf numFmtId="0" fontId="4" fillId="2" borderId="124" xfId="0" applyFont="1" applyFill="1" applyBorder="1" applyAlignment="1">
      <alignment horizontal="centerContinuous" vertical="center"/>
    </xf>
    <xf numFmtId="0" fontId="4" fillId="2" borderId="23" xfId="0" applyFont="1" applyFill="1" applyBorder="1" applyAlignment="1">
      <alignment horizontal="centerContinuous" vertical="center"/>
    </xf>
    <xf numFmtId="0" fontId="3" fillId="0" borderId="7" xfId="0" applyFont="1" applyFill="1" applyBorder="1"/>
    <xf numFmtId="0" fontId="3" fillId="0" borderId="8" xfId="0" applyFont="1" applyFill="1" applyBorder="1"/>
    <xf numFmtId="0" fontId="4" fillId="2" borderId="21" xfId="0" applyFont="1" applyFill="1" applyBorder="1" applyAlignment="1">
      <alignment vertical="center"/>
    </xf>
    <xf numFmtId="0" fontId="3" fillId="3" borderId="8" xfId="0" applyFont="1" applyFill="1" applyBorder="1"/>
    <xf numFmtId="0" fontId="3" fillId="2" borderId="39"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3" fontId="3" fillId="0" borderId="2" xfId="0" applyNumberFormat="1" applyFont="1" applyFill="1" applyBorder="1" applyAlignment="1">
      <alignment vertical="center"/>
    </xf>
    <xf numFmtId="0" fontId="7" fillId="3" borderId="21" xfId="0" applyFont="1" applyFill="1" applyBorder="1" applyAlignment="1">
      <alignment horizontal="center" vertical="center"/>
    </xf>
    <xf numFmtId="49" fontId="7" fillId="3" borderId="5" xfId="0" applyNumberFormat="1" applyFont="1" applyFill="1" applyBorder="1" applyAlignment="1">
      <alignment horizontal="center" vertical="center"/>
    </xf>
    <xf numFmtId="49" fontId="7" fillId="3" borderId="3" xfId="0" applyNumberFormat="1" applyFont="1" applyFill="1" applyBorder="1" applyAlignment="1">
      <alignment horizontal="centerContinuous" vertical="center"/>
    </xf>
    <xf numFmtId="49" fontId="24" fillId="3" borderId="4" xfId="0" applyNumberFormat="1" applyFont="1" applyFill="1" applyBorder="1" applyAlignment="1">
      <alignment horizontal="centerContinuous" vertical="center"/>
    </xf>
    <xf numFmtId="0" fontId="24" fillId="3" borderId="4" xfId="0" applyFont="1" applyFill="1" applyBorder="1" applyAlignment="1">
      <alignment horizontal="centerContinuous" vertical="center"/>
    </xf>
    <xf numFmtId="0" fontId="3" fillId="2" borderId="14" xfId="0" applyFont="1" applyFill="1" applyBorder="1" applyAlignment="1">
      <alignment horizontal="center" vertical="center" wrapText="1"/>
    </xf>
    <xf numFmtId="0" fontId="3" fillId="2" borderId="10" xfId="0" applyFont="1" applyFill="1" applyBorder="1" applyAlignment="1">
      <alignment horizontal="centerContinuous" vertical="center" wrapText="1"/>
    </xf>
    <xf numFmtId="0" fontId="3" fillId="2" borderId="6" xfId="0" applyFont="1" applyFill="1" applyBorder="1" applyAlignment="1">
      <alignment horizontal="centerContinuous" vertical="center"/>
    </xf>
    <xf numFmtId="0" fontId="14" fillId="2" borderId="6" xfId="0" applyFont="1" applyFill="1" applyBorder="1" applyAlignment="1">
      <alignment horizontal="centerContinuous" vertical="center"/>
    </xf>
    <xf numFmtId="0" fontId="3" fillId="2" borderId="2" xfId="0" applyFont="1" applyFill="1" applyBorder="1" applyAlignment="1">
      <alignment horizontal="centerContinuous" vertical="center"/>
    </xf>
    <xf numFmtId="0" fontId="14" fillId="2" borderId="2" xfId="0" applyFont="1" applyFill="1" applyBorder="1" applyAlignment="1">
      <alignment vertical="center"/>
    </xf>
    <xf numFmtId="0" fontId="3" fillId="2" borderId="8" xfId="0" applyFont="1" applyFill="1" applyBorder="1" applyAlignment="1">
      <alignment horizontal="center" vertical="center" wrapText="1"/>
    </xf>
    <xf numFmtId="0" fontId="3" fillId="2" borderId="7" xfId="0" applyFont="1" applyFill="1" applyBorder="1" applyAlignment="1">
      <alignment horizontal="centerContinuous" vertical="center" wrapText="1"/>
    </xf>
    <xf numFmtId="0" fontId="3" fillId="2" borderId="8" xfId="0" applyFont="1" applyFill="1" applyBorder="1" applyAlignment="1">
      <alignment horizontal="centerContinuous" vertical="center" wrapText="1"/>
    </xf>
    <xf numFmtId="0" fontId="3" fillId="2" borderId="11" xfId="0" applyFont="1" applyFill="1" applyBorder="1" applyAlignment="1">
      <alignment horizontal="centerContinuous" vertical="center"/>
    </xf>
    <xf numFmtId="0" fontId="3" fillId="2" borderId="15" xfId="0" applyFont="1" applyFill="1" applyBorder="1" applyAlignment="1">
      <alignment horizontal="centerContinuous" vertical="center"/>
    </xf>
    <xf numFmtId="0" fontId="3" fillId="0" borderId="125" xfId="0" applyFont="1" applyFill="1" applyBorder="1" applyAlignment="1">
      <alignment horizontal="center"/>
    </xf>
    <xf numFmtId="0" fontId="7" fillId="3" borderId="12" xfId="0" applyFont="1" applyFill="1" applyBorder="1" applyAlignment="1">
      <alignment horizontal="centerContinuous" vertical="top"/>
    </xf>
    <xf numFmtId="0" fontId="7" fillId="3" borderId="3" xfId="0" applyFont="1" applyFill="1" applyBorder="1" applyAlignment="1">
      <alignment horizontal="centerContinuous"/>
    </xf>
    <xf numFmtId="0" fontId="24" fillId="3" borderId="3" xfId="0" applyFont="1" applyFill="1" applyBorder="1" applyAlignment="1">
      <alignment horizontal="centerContinuous"/>
    </xf>
    <xf numFmtId="0" fontId="6" fillId="0" borderId="6" xfId="0" applyFont="1" applyFill="1" applyBorder="1" applyAlignment="1">
      <alignment vertical="top" wrapText="1"/>
    </xf>
    <xf numFmtId="0" fontId="6" fillId="0" borderId="0" xfId="0" applyFont="1" applyFill="1" applyBorder="1" applyAlignment="1">
      <alignment vertical="top"/>
    </xf>
    <xf numFmtId="0" fontId="5" fillId="0" borderId="10" xfId="0" applyFont="1" applyFill="1" applyBorder="1" applyAlignment="1">
      <alignment vertical="top" wrapText="1"/>
    </xf>
    <xf numFmtId="0" fontId="4" fillId="2" borderId="2" xfId="0" applyFont="1" applyFill="1" applyBorder="1" applyAlignment="1">
      <alignment vertical="top" wrapText="1"/>
    </xf>
    <xf numFmtId="0" fontId="3" fillId="0" borderId="1" xfId="0" applyFont="1" applyFill="1" applyBorder="1" applyAlignment="1">
      <alignment horizontal="centerContinuous"/>
    </xf>
    <xf numFmtId="0" fontId="4" fillId="2" borderId="0" xfId="0" applyFont="1" applyFill="1" applyBorder="1"/>
    <xf numFmtId="0" fontId="4" fillId="2" borderId="1" xfId="0" applyFont="1" applyFill="1" applyBorder="1"/>
    <xf numFmtId="0" fontId="29" fillId="0" borderId="0" xfId="0" applyFont="1" applyFill="1" applyBorder="1" applyAlignment="1">
      <alignment horizontal="right" vertical="top" wrapText="1"/>
    </xf>
    <xf numFmtId="0" fontId="29" fillId="0" borderId="17" xfId="0" applyFont="1" applyFill="1" applyBorder="1" applyAlignment="1">
      <alignment horizontal="center" vertical="top" wrapText="1"/>
    </xf>
    <xf numFmtId="3" fontId="29" fillId="0" borderId="17" xfId="0" applyNumberFormat="1" applyFont="1" applyFill="1" applyBorder="1" applyAlignment="1">
      <alignment horizontal="right" vertical="top" wrapText="1"/>
    </xf>
    <xf numFmtId="0" fontId="29" fillId="0" borderId="84" xfId="0" applyFont="1" applyFill="1" applyBorder="1" applyAlignment="1">
      <alignment horizontal="right" vertical="top" wrapText="1"/>
    </xf>
    <xf numFmtId="3" fontId="29" fillId="0" borderId="0" xfId="0" applyNumberFormat="1" applyFont="1" applyFill="1" applyBorder="1" applyAlignment="1">
      <alignment horizontal="right" vertical="top" wrapText="1"/>
    </xf>
    <xf numFmtId="0" fontId="29" fillId="0" borderId="17" xfId="0" applyFont="1" applyFill="1" applyBorder="1" applyAlignment="1">
      <alignment horizontal="right" vertical="top" wrapText="1"/>
    </xf>
    <xf numFmtId="0" fontId="29" fillId="0" borderId="3" xfId="0" applyFont="1" applyFill="1" applyBorder="1" applyAlignment="1">
      <alignment horizontal="right" vertical="top" wrapText="1"/>
    </xf>
    <xf numFmtId="0" fontId="29" fillId="0" borderId="119" xfId="0" applyFont="1" applyFill="1" applyBorder="1" applyAlignment="1">
      <alignment horizontal="center" vertical="top" wrapText="1"/>
    </xf>
    <xf numFmtId="3" fontId="29" fillId="0" borderId="119" xfId="0" applyNumberFormat="1" applyFont="1" applyFill="1" applyBorder="1" applyAlignment="1">
      <alignment horizontal="right" vertical="top" wrapText="1"/>
    </xf>
    <xf numFmtId="0" fontId="29" fillId="0" borderId="41" xfId="0" applyFont="1" applyFill="1" applyBorder="1" applyAlignment="1">
      <alignment horizontal="right" vertical="top" wrapText="1"/>
    </xf>
    <xf numFmtId="3" fontId="30" fillId="0" borderId="3" xfId="0" applyNumberFormat="1" applyFont="1" applyFill="1" applyBorder="1" applyAlignment="1">
      <alignment horizontal="right" vertical="top" wrapText="1"/>
    </xf>
    <xf numFmtId="0" fontId="30" fillId="0" borderId="119" xfId="0" applyFont="1" applyFill="1" applyBorder="1" applyAlignment="1">
      <alignment horizontal="center" vertical="top" wrapText="1"/>
    </xf>
    <xf numFmtId="3" fontId="30" fillId="0" borderId="119" xfId="0" applyNumberFormat="1" applyFont="1" applyFill="1" applyBorder="1" applyAlignment="1">
      <alignment horizontal="right" vertical="top" wrapText="1"/>
    </xf>
    <xf numFmtId="2" fontId="29" fillId="0" borderId="84" xfId="0" applyNumberFormat="1" applyFont="1" applyFill="1" applyBorder="1" applyAlignment="1">
      <alignment horizontal="center"/>
    </xf>
    <xf numFmtId="2" fontId="29" fillId="0" borderId="41" xfId="0" applyNumberFormat="1" applyFont="1" applyFill="1" applyBorder="1" applyAlignment="1">
      <alignment horizontal="center"/>
    </xf>
    <xf numFmtId="0" fontId="4" fillId="2" borderId="11" xfId="0" applyFont="1" applyFill="1" applyBorder="1" applyAlignment="1">
      <alignment vertical="top" wrapText="1"/>
    </xf>
    <xf numFmtId="0" fontId="4" fillId="2" borderId="12" xfId="0" applyFont="1" applyFill="1" applyBorder="1"/>
    <xf numFmtId="0" fontId="4" fillId="2" borderId="15" xfId="0" applyFont="1" applyFill="1" applyBorder="1" applyAlignment="1">
      <alignment horizontal="center" vertical="top" wrapText="1"/>
    </xf>
    <xf numFmtId="0" fontId="4" fillId="2" borderId="3" xfId="0" applyFont="1" applyFill="1" applyBorder="1"/>
    <xf numFmtId="49" fontId="4" fillId="2" borderId="4" xfId="0" applyNumberFormat="1" applyFont="1" applyFill="1" applyBorder="1" applyAlignment="1">
      <alignment horizontal="center" vertical="top" wrapText="1"/>
    </xf>
    <xf numFmtId="0" fontId="4" fillId="2" borderId="4" xfId="0" applyFont="1" applyFill="1" applyBorder="1"/>
    <xf numFmtId="0" fontId="4" fillId="2" borderId="33" xfId="0" applyFont="1" applyFill="1" applyBorder="1" applyAlignment="1">
      <alignment horizontal="center" vertical="top" wrapText="1"/>
    </xf>
    <xf numFmtId="49" fontId="4" fillId="2" borderId="34" xfId="0" applyNumberFormat="1" applyFont="1" applyFill="1" applyBorder="1" applyAlignment="1">
      <alignment horizontal="center" vertical="top" wrapText="1"/>
    </xf>
    <xf numFmtId="171" fontId="30" fillId="0" borderId="41" xfId="0" applyNumberFormat="1" applyFont="1" applyFill="1" applyBorder="1" applyAlignment="1">
      <alignment horizontal="right" vertical="top" wrapText="1"/>
    </xf>
    <xf numFmtId="0" fontId="24" fillId="0" borderId="0" xfId="0" applyFont="1" applyFill="1" applyBorder="1" applyAlignment="1">
      <alignment horizontal="centerContinuous"/>
    </xf>
    <xf numFmtId="0" fontId="24" fillId="0" borderId="1" xfId="0" applyFont="1" applyFill="1" applyBorder="1" applyAlignment="1">
      <alignment horizontal="centerContinuous"/>
    </xf>
    <xf numFmtId="0" fontId="7" fillId="0" borderId="10" xfId="0" applyFont="1" applyFill="1" applyBorder="1" applyAlignment="1">
      <alignment horizontal="centerContinuous"/>
    </xf>
    <xf numFmtId="0" fontId="24" fillId="0" borderId="7" xfId="0" applyFont="1" applyFill="1" applyBorder="1" applyAlignment="1">
      <alignment horizontal="centerContinuous"/>
    </xf>
    <xf numFmtId="0" fontId="36" fillId="0" borderId="0" xfId="0" applyFont="1" applyFill="1" applyAlignment="1">
      <alignment vertical="center"/>
    </xf>
    <xf numFmtId="0" fontId="37" fillId="0" borderId="0" xfId="0" applyFont="1" applyFill="1"/>
    <xf numFmtId="0" fontId="37" fillId="0" borderId="0" xfId="0" applyFont="1" applyFill="1" applyAlignment="1">
      <alignment vertical="top" wrapText="1"/>
    </xf>
    <xf numFmtId="0" fontId="45" fillId="0" borderId="0" xfId="0" applyFont="1" applyFill="1" applyBorder="1" applyAlignment="1">
      <alignment vertical="top" wrapText="1"/>
    </xf>
    <xf numFmtId="168" fontId="46" fillId="0" borderId="0" xfId="0" applyNumberFormat="1" applyFont="1" applyFill="1"/>
    <xf numFmtId="0" fontId="46" fillId="0" borderId="0" xfId="0" applyFont="1" applyFill="1"/>
    <xf numFmtId="0" fontId="46" fillId="0" borderId="6" xfId="0" applyFont="1" applyFill="1" applyBorder="1"/>
    <xf numFmtId="0" fontId="46" fillId="0" borderId="40" xfId="0" applyFont="1" applyFill="1" applyBorder="1"/>
    <xf numFmtId="0" fontId="46" fillId="0" borderId="126" xfId="0" applyFont="1" applyFill="1" applyBorder="1" applyAlignment="1">
      <alignment horizontal="center"/>
    </xf>
    <xf numFmtId="0" fontId="46" fillId="0" borderId="2" xfId="0" applyFont="1" applyFill="1" applyBorder="1"/>
    <xf numFmtId="0" fontId="46" fillId="0" borderId="0" xfId="0" applyFont="1" applyFill="1" applyBorder="1" applyAlignment="1"/>
    <xf numFmtId="49" fontId="46" fillId="0" borderId="0" xfId="0" applyNumberFormat="1" applyFont="1" applyFill="1"/>
    <xf numFmtId="0" fontId="48" fillId="0" borderId="0" xfId="0" applyFont="1" applyFill="1"/>
    <xf numFmtId="0" fontId="48" fillId="0" borderId="13" xfId="0" applyFont="1" applyFill="1" applyBorder="1"/>
    <xf numFmtId="0" fontId="48" fillId="0" borderId="0" xfId="0" applyFont="1" applyFill="1" applyBorder="1"/>
    <xf numFmtId="0" fontId="48" fillId="0" borderId="18" xfId="0" applyFont="1" applyFill="1" applyBorder="1"/>
    <xf numFmtId="0" fontId="48" fillId="0" borderId="3" xfId="0" applyFont="1" applyFill="1" applyBorder="1"/>
    <xf numFmtId="0" fontId="48" fillId="0" borderId="34" xfId="0" applyFont="1" applyFill="1" applyBorder="1"/>
    <xf numFmtId="0" fontId="48" fillId="0" borderId="1" xfId="0" applyFont="1" applyFill="1" applyBorder="1"/>
    <xf numFmtId="0" fontId="48" fillId="0" borderId="26" xfId="0" applyFont="1" applyFill="1" applyBorder="1"/>
    <xf numFmtId="0" fontId="48" fillId="0" borderId="4" xfId="0" applyFont="1" applyFill="1" applyBorder="1"/>
    <xf numFmtId="0" fontId="36" fillId="2" borderId="10" xfId="0" applyFont="1" applyFill="1" applyBorder="1"/>
    <xf numFmtId="0" fontId="48" fillId="2" borderId="7" xfId="0" applyFont="1" applyFill="1" applyBorder="1"/>
    <xf numFmtId="0" fontId="48" fillId="2" borderId="8" xfId="0" applyFont="1" applyFill="1" applyBorder="1"/>
    <xf numFmtId="0" fontId="36" fillId="2" borderId="7" xfId="0" applyFont="1" applyFill="1" applyBorder="1"/>
    <xf numFmtId="0" fontId="48" fillId="2" borderId="43" xfId="0" applyFont="1" applyFill="1" applyBorder="1"/>
    <xf numFmtId="0" fontId="36" fillId="2" borderId="45" xfId="0" applyFont="1" applyFill="1" applyBorder="1" applyAlignment="1">
      <alignment horizontal="center"/>
    </xf>
    <xf numFmtId="0" fontId="4" fillId="2" borderId="10" xfId="0" applyFont="1" applyFill="1" applyBorder="1"/>
    <xf numFmtId="0" fontId="4" fillId="2" borderId="8" xfId="0" applyFont="1" applyFill="1" applyBorder="1" applyAlignment="1">
      <alignment horizontal="right"/>
    </xf>
    <xf numFmtId="0" fontId="4" fillId="2" borderId="15" xfId="0" applyFont="1" applyFill="1" applyBorder="1" applyAlignment="1">
      <alignment horizontal="center"/>
    </xf>
    <xf numFmtId="0" fontId="7" fillId="3" borderId="11" xfId="0" applyFont="1" applyFill="1" applyBorder="1"/>
    <xf numFmtId="0" fontId="4" fillId="2" borderId="120" xfId="0" applyFont="1" applyFill="1" applyBorder="1"/>
    <xf numFmtId="0" fontId="4" fillId="2" borderId="11" xfId="0" applyFont="1" applyFill="1" applyBorder="1" applyAlignment="1">
      <alignment horizontal="centerContinuous" vertical="center"/>
    </xf>
    <xf numFmtId="0" fontId="4" fillId="2" borderId="46" xfId="0" applyFont="1" applyFill="1" applyBorder="1"/>
    <xf numFmtId="0" fontId="3" fillId="2" borderId="127" xfId="0" applyFont="1" applyFill="1" applyBorder="1" applyAlignment="1">
      <alignment horizontal="center"/>
    </xf>
    <xf numFmtId="0" fontId="3" fillId="2" borderId="37" xfId="0" applyFont="1" applyFill="1" applyBorder="1" applyAlignment="1">
      <alignment horizontal="center"/>
    </xf>
    <xf numFmtId="0" fontId="3" fillId="2" borderId="38" xfId="0" applyFont="1" applyFill="1" applyBorder="1" applyAlignment="1">
      <alignment horizontal="center"/>
    </xf>
    <xf numFmtId="0" fontId="3" fillId="2" borderId="46" xfId="0" applyFont="1" applyFill="1" applyBorder="1"/>
    <xf numFmtId="0" fontId="4" fillId="2" borderId="120" xfId="0" applyFont="1" applyFill="1" applyBorder="1" applyAlignment="1">
      <alignment horizontal="center"/>
    </xf>
    <xf numFmtId="0" fontId="4" fillId="2" borderId="81" xfId="0" applyFont="1" applyFill="1" applyBorder="1" applyAlignment="1">
      <alignment horizontal="center"/>
    </xf>
    <xf numFmtId="0" fontId="4" fillId="2" borderId="12" xfId="0" applyFont="1" applyFill="1" applyBorder="1" applyAlignment="1">
      <alignment horizontal="center"/>
    </xf>
    <xf numFmtId="0" fontId="4" fillId="2" borderId="119" xfId="0" applyFont="1" applyFill="1" applyBorder="1"/>
    <xf numFmtId="0" fontId="4" fillId="2" borderId="41" xfId="0" applyFont="1" applyFill="1" applyBorder="1" applyAlignment="1">
      <alignment horizontal="center"/>
    </xf>
    <xf numFmtId="0" fontId="4" fillId="2" borderId="17" xfId="0" applyFont="1" applyFill="1" applyBorder="1"/>
    <xf numFmtId="0" fontId="4" fillId="2" borderId="12" xfId="0" applyFont="1" applyFill="1" applyBorder="1" applyAlignment="1">
      <alignment horizontal="center" vertical="center"/>
    </xf>
    <xf numFmtId="0" fontId="4" fillId="2" borderId="21" xfId="0" applyFont="1" applyFill="1" applyBorder="1" applyAlignment="1">
      <alignment horizontal="center" vertical="center"/>
    </xf>
    <xf numFmtId="0" fontId="4" fillId="2" borderId="1" xfId="0" applyFont="1" applyFill="1" applyBorder="1" applyAlignment="1">
      <alignment vertical="center"/>
    </xf>
    <xf numFmtId="0" fontId="3" fillId="0" borderId="3" xfId="0" applyFont="1" applyFill="1" applyBorder="1" applyAlignment="1">
      <alignment vertical="center" wrapText="1"/>
    </xf>
    <xf numFmtId="0" fontId="3" fillId="0" borderId="0" xfId="0" applyFont="1" applyFill="1" applyAlignment="1"/>
    <xf numFmtId="0" fontId="4" fillId="2" borderId="127"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112" xfId="0" applyFont="1" applyFill="1" applyBorder="1" applyAlignment="1">
      <alignment horizontal="centerContinuous" vertical="center"/>
    </xf>
    <xf numFmtId="49" fontId="3" fillId="0" borderId="9" xfId="0" applyNumberFormat="1" applyFont="1" applyFill="1" applyBorder="1" applyAlignment="1">
      <alignment vertical="center"/>
    </xf>
    <xf numFmtId="49" fontId="3" fillId="0" borderId="5" xfId="0" applyNumberFormat="1" applyFont="1" applyFill="1" applyBorder="1" applyAlignment="1">
      <alignment vertical="center"/>
    </xf>
    <xf numFmtId="49" fontId="3" fillId="0" borderId="83" xfId="0" applyNumberFormat="1" applyFont="1" applyFill="1" applyBorder="1" applyAlignment="1">
      <alignment vertical="center"/>
    </xf>
    <xf numFmtId="49" fontId="3" fillId="0" borderId="46" xfId="0" applyNumberFormat="1" applyFont="1" applyFill="1" applyBorder="1" applyAlignment="1">
      <alignment vertical="center"/>
    </xf>
    <xf numFmtId="0" fontId="24" fillId="3" borderId="15" xfId="0" applyFont="1" applyFill="1" applyBorder="1" applyAlignment="1">
      <alignment horizontal="centerContinuous" vertical="center" wrapText="1"/>
    </xf>
    <xf numFmtId="0" fontId="29" fillId="0" borderId="2" xfId="0" applyFont="1" applyFill="1" applyBorder="1" applyAlignment="1">
      <alignment vertical="center"/>
    </xf>
    <xf numFmtId="0" fontId="29" fillId="0" borderId="3" xfId="0" applyFont="1" applyFill="1" applyBorder="1" applyAlignment="1">
      <alignment horizontal="center" vertical="center"/>
    </xf>
    <xf numFmtId="169" fontId="29" fillId="0" borderId="0" xfId="0" applyNumberFormat="1" applyFont="1" applyFill="1" applyBorder="1" applyAlignment="1">
      <alignment horizontal="center" vertical="center"/>
    </xf>
    <xf numFmtId="168" fontId="29" fillId="0" borderId="0" xfId="0" applyNumberFormat="1" applyFont="1" applyFill="1" applyBorder="1" applyAlignment="1">
      <alignment horizontal="center" vertical="center"/>
    </xf>
    <xf numFmtId="169" fontId="29" fillId="0" borderId="6" xfId="0" applyNumberFormat="1" applyFont="1" applyFill="1" applyBorder="1" applyAlignment="1">
      <alignment horizontal="center" vertical="center"/>
    </xf>
    <xf numFmtId="169" fontId="29" fillId="0" borderId="1" xfId="0" applyNumberFormat="1" applyFont="1" applyFill="1" applyBorder="1" applyAlignment="1">
      <alignment horizontal="center" vertical="center"/>
    </xf>
    <xf numFmtId="169" fontId="29" fillId="0" borderId="4" xfId="0" applyNumberFormat="1" applyFont="1" applyFill="1" applyBorder="1" applyAlignment="1">
      <alignment horizontal="center" vertical="center"/>
    </xf>
    <xf numFmtId="168" fontId="29" fillId="0" borderId="6" xfId="0" applyNumberFormat="1" applyFont="1" applyFill="1" applyBorder="1" applyAlignment="1">
      <alignment horizontal="center" vertical="center"/>
    </xf>
    <xf numFmtId="168" fontId="29" fillId="0" borderId="2" xfId="0" applyNumberFormat="1" applyFont="1" applyFill="1" applyBorder="1" applyAlignment="1">
      <alignment horizontal="center" vertical="center"/>
    </xf>
    <xf numFmtId="168" fontId="29" fillId="0" borderId="3" xfId="0" applyNumberFormat="1" applyFont="1" applyFill="1" applyBorder="1" applyAlignment="1">
      <alignment horizontal="center" vertical="center"/>
    </xf>
    <xf numFmtId="0" fontId="29" fillId="0" borderId="5" xfId="0" applyFont="1" applyFill="1" applyBorder="1" applyAlignment="1">
      <alignment horizontal="center" vertical="center"/>
    </xf>
    <xf numFmtId="169" fontId="29" fillId="0" borderId="6" xfId="0" applyNumberFormat="1" applyFont="1" applyFill="1" applyBorder="1" applyAlignment="1">
      <alignment horizontal="center"/>
    </xf>
    <xf numFmtId="2" fontId="29" fillId="0" borderId="1" xfId="0" applyNumberFormat="1" applyFont="1" applyFill="1" applyBorder="1" applyAlignment="1">
      <alignment horizontal="center"/>
    </xf>
    <xf numFmtId="169" fontId="29" fillId="0" borderId="2" xfId="0" applyNumberFormat="1" applyFont="1" applyFill="1" applyBorder="1" applyAlignment="1">
      <alignment horizontal="center"/>
    </xf>
    <xf numFmtId="2" fontId="29" fillId="0" borderId="4" xfId="0" applyNumberFormat="1" applyFont="1" applyFill="1" applyBorder="1" applyAlignment="1">
      <alignment horizontal="center"/>
    </xf>
    <xf numFmtId="169" fontId="29" fillId="0" borderId="0" xfId="0" applyNumberFormat="1" applyFont="1" applyFill="1" applyBorder="1" applyAlignment="1">
      <alignment horizontal="center"/>
    </xf>
    <xf numFmtId="169" fontId="29" fillId="0" borderId="1" xfId="0" applyNumberFormat="1" applyFont="1" applyFill="1" applyBorder="1" applyAlignment="1">
      <alignment horizontal="center"/>
    </xf>
    <xf numFmtId="169" fontId="29" fillId="0" borderId="3" xfId="0" applyNumberFormat="1" applyFont="1" applyFill="1" applyBorder="1" applyAlignment="1">
      <alignment horizontal="center"/>
    </xf>
    <xf numFmtId="169" fontId="29" fillId="0" borderId="4" xfId="0" applyNumberFormat="1" applyFont="1" applyFill="1" applyBorder="1" applyAlignment="1">
      <alignment horizontal="center"/>
    </xf>
    <xf numFmtId="0" fontId="29" fillId="0" borderId="6" xfId="0" applyFont="1" applyFill="1" applyBorder="1" applyAlignment="1">
      <alignment horizontal="center"/>
    </xf>
    <xf numFmtId="0" fontId="29" fillId="0" borderId="0" xfId="0" applyFont="1" applyFill="1" applyBorder="1" applyAlignment="1">
      <alignment horizontal="center"/>
    </xf>
    <xf numFmtId="0" fontId="29" fillId="0" borderId="1" xfId="0" applyFont="1" applyFill="1" applyBorder="1" applyAlignment="1">
      <alignment horizontal="center"/>
    </xf>
    <xf numFmtId="0" fontId="29" fillId="0" borderId="2" xfId="0" applyFont="1" applyFill="1" applyBorder="1" applyAlignment="1">
      <alignment horizontal="center"/>
    </xf>
    <xf numFmtId="0" fontId="29" fillId="0" borderId="3" xfId="0" applyFont="1" applyFill="1" applyBorder="1" applyAlignment="1">
      <alignment horizontal="center"/>
    </xf>
    <xf numFmtId="0" fontId="29" fillId="0" borderId="4" xfId="0" applyFont="1" applyFill="1" applyBorder="1" applyAlignment="1">
      <alignment horizontal="center"/>
    </xf>
    <xf numFmtId="168" fontId="29" fillId="0" borderId="6" xfId="0" applyNumberFormat="1" applyFont="1" applyFill="1" applyBorder="1" applyAlignment="1">
      <alignment horizontal="center"/>
    </xf>
    <xf numFmtId="168" fontId="29" fillId="0" borderId="0" xfId="0" applyNumberFormat="1" applyFont="1" applyFill="1" applyBorder="1" applyAlignment="1">
      <alignment horizontal="center"/>
    </xf>
    <xf numFmtId="168" fontId="29" fillId="0" borderId="1" xfId="0" applyNumberFormat="1" applyFont="1" applyFill="1" applyBorder="1" applyAlignment="1">
      <alignment horizontal="center"/>
    </xf>
    <xf numFmtId="168" fontId="29" fillId="0" borderId="2" xfId="0" applyNumberFormat="1" applyFont="1" applyFill="1" applyBorder="1" applyAlignment="1">
      <alignment horizontal="center"/>
    </xf>
    <xf numFmtId="168" fontId="29" fillId="0" borderId="3" xfId="0" applyNumberFormat="1" applyFont="1" applyFill="1" applyBorder="1" applyAlignment="1">
      <alignment horizontal="center"/>
    </xf>
    <xf numFmtId="168" fontId="29" fillId="0" borderId="4" xfId="0" applyNumberFormat="1" applyFont="1" applyFill="1" applyBorder="1" applyAlignment="1">
      <alignment horizontal="center"/>
    </xf>
    <xf numFmtId="3" fontId="29" fillId="0" borderId="12" xfId="0" applyNumberFormat="1" applyFont="1" applyFill="1" applyBorder="1"/>
    <xf numFmtId="3" fontId="29" fillId="0" borderId="15" xfId="0" applyNumberFormat="1" applyFont="1" applyFill="1" applyBorder="1"/>
    <xf numFmtId="3" fontId="29" fillId="0" borderId="0" xfId="0" applyNumberFormat="1" applyFont="1" applyFill="1" applyBorder="1"/>
    <xf numFmtId="3" fontId="29" fillId="0" borderId="1" xfId="0" applyNumberFormat="1" applyFont="1" applyFill="1" applyBorder="1"/>
    <xf numFmtId="3" fontId="29" fillId="0" borderId="3" xfId="0" applyNumberFormat="1" applyFont="1" applyFill="1" applyBorder="1"/>
    <xf numFmtId="3" fontId="29" fillId="0" borderId="4" xfId="0" applyNumberFormat="1" applyFont="1" applyFill="1" applyBorder="1"/>
    <xf numFmtId="0" fontId="46" fillId="0" borderId="97" xfId="0" applyFont="1" applyFill="1" applyBorder="1"/>
    <xf numFmtId="0" fontId="48" fillId="0" borderId="98" xfId="0" applyFont="1" applyFill="1" applyBorder="1"/>
    <xf numFmtId="0" fontId="48" fillId="0" borderId="112" xfId="0" applyFont="1" applyFill="1" applyBorder="1"/>
    <xf numFmtId="0" fontId="46" fillId="0" borderId="98" xfId="0" applyFont="1" applyFill="1" applyBorder="1" applyAlignment="1"/>
    <xf numFmtId="0" fontId="46" fillId="0" borderId="102" xfId="0" applyFont="1" applyFill="1" applyBorder="1" applyAlignment="1">
      <alignment horizontal="center"/>
    </xf>
    <xf numFmtId="0" fontId="46" fillId="0" borderId="3" xfId="0" applyFont="1" applyFill="1" applyBorder="1" applyAlignment="1"/>
    <xf numFmtId="6" fontId="30" fillId="0" borderId="15" xfId="0" applyNumberFormat="1" applyFont="1" applyFill="1" applyBorder="1" applyAlignment="1">
      <alignment horizontal="center" vertical="center" wrapText="1"/>
    </xf>
    <xf numFmtId="6" fontId="30" fillId="0" borderId="12" xfId="0" applyNumberFormat="1" applyFont="1" applyFill="1" applyBorder="1" applyAlignment="1">
      <alignment horizontal="right" vertical="center" wrapText="1"/>
    </xf>
    <xf numFmtId="3" fontId="29" fillId="0" borderId="0" xfId="0" applyNumberFormat="1" applyFont="1" applyFill="1" applyBorder="1" applyAlignment="1">
      <alignment vertical="center"/>
    </xf>
    <xf numFmtId="172" fontId="29" fillId="0" borderId="3" xfId="0" applyNumberFormat="1" applyFont="1" applyFill="1" applyBorder="1" applyAlignment="1">
      <alignment vertical="center"/>
    </xf>
    <xf numFmtId="172" fontId="29" fillId="0" borderId="34" xfId="0" applyNumberFormat="1" applyFont="1" applyFill="1" applyBorder="1" applyAlignment="1">
      <alignment vertical="center"/>
    </xf>
    <xf numFmtId="172" fontId="29" fillId="0" borderId="4" xfId="0" applyNumberFormat="1" applyFont="1" applyFill="1" applyBorder="1" applyAlignment="1">
      <alignment vertical="center"/>
    </xf>
    <xf numFmtId="0" fontId="13" fillId="0" borderId="13" xfId="0" applyFont="1" applyFill="1" applyBorder="1" applyAlignment="1">
      <alignment horizontal="centerContinuous" vertical="center"/>
    </xf>
    <xf numFmtId="0" fontId="13" fillId="0" borderId="13" xfId="0" applyFont="1" applyFill="1" applyBorder="1" applyAlignment="1">
      <alignment horizontal="center" vertical="center"/>
    </xf>
    <xf numFmtId="0" fontId="29" fillId="0" borderId="13" xfId="3" applyFont="1" applyFill="1" applyBorder="1" applyAlignment="1" applyProtection="1">
      <alignment horizontal="left" vertical="center"/>
    </xf>
    <xf numFmtId="0" fontId="12" fillId="0" borderId="0" xfId="0" applyFont="1" applyFill="1" applyAlignment="1">
      <alignment horizontal="left" vertical="center"/>
    </xf>
    <xf numFmtId="0" fontId="12" fillId="0" borderId="0" xfId="0" applyFont="1" applyFill="1" applyAlignment="1">
      <alignment horizontal="center" vertical="center"/>
    </xf>
    <xf numFmtId="0" fontId="12" fillId="0" borderId="0" xfId="0" applyFont="1" applyFill="1" applyBorder="1" applyAlignment="1">
      <alignment horizontal="center" vertical="center"/>
    </xf>
    <xf numFmtId="1" fontId="30" fillId="0" borderId="19" xfId="0" applyNumberFormat="1" applyFont="1" applyFill="1" applyBorder="1" applyAlignment="1">
      <alignment horizontal="center" vertical="center"/>
    </xf>
    <xf numFmtId="0" fontId="30" fillId="0" borderId="19" xfId="0" applyFont="1" applyFill="1" applyBorder="1" applyAlignment="1">
      <alignment horizontal="center" vertical="center"/>
    </xf>
    <xf numFmtId="0" fontId="4" fillId="2" borderId="21" xfId="0" applyFont="1" applyFill="1" applyBorder="1" applyAlignment="1">
      <alignment horizontal="centerContinuous" vertical="center" wrapText="1"/>
    </xf>
    <xf numFmtId="0" fontId="4" fillId="2" borderId="5" xfId="0" applyFont="1" applyFill="1" applyBorder="1" applyAlignment="1">
      <alignment horizontal="center" vertical="center" wrapText="1"/>
    </xf>
    <xf numFmtId="0" fontId="6" fillId="0" borderId="0" xfId="0" applyFont="1" applyBorder="1" applyAlignment="1">
      <alignment vertical="center"/>
    </xf>
    <xf numFmtId="1" fontId="3" fillId="0" borderId="0" xfId="0" applyNumberFormat="1" applyFont="1" applyFill="1" applyAlignment="1">
      <alignment horizontal="center" vertical="center"/>
    </xf>
    <xf numFmtId="0" fontId="0" fillId="3" borderId="15" xfId="0" applyFill="1" applyBorder="1" applyAlignment="1">
      <alignment vertical="center"/>
    </xf>
    <xf numFmtId="0" fontId="0" fillId="3" borderId="12" xfId="0" applyFill="1" applyBorder="1" applyAlignment="1">
      <alignment vertical="center"/>
    </xf>
    <xf numFmtId="0" fontId="0" fillId="0" borderId="7" xfId="0" applyBorder="1" applyAlignment="1">
      <alignment vertical="center"/>
    </xf>
    <xf numFmtId="0" fontId="14" fillId="0" borderId="6" xfId="0" applyFont="1" applyFill="1" applyBorder="1" applyAlignment="1">
      <alignment vertical="center"/>
    </xf>
    <xf numFmtId="0" fontId="4" fillId="2" borderId="0" xfId="0" applyFont="1" applyFill="1" applyAlignment="1">
      <alignment horizontal="center" vertical="center"/>
    </xf>
    <xf numFmtId="177" fontId="3" fillId="0" borderId="9" xfId="0" applyNumberFormat="1" applyFont="1" applyFill="1" applyBorder="1" applyAlignment="1">
      <alignment horizontal="center" vertical="center" wrapText="1"/>
    </xf>
    <xf numFmtId="177" fontId="3" fillId="0" borderId="1" xfId="0" applyNumberFormat="1" applyFont="1" applyFill="1" applyBorder="1" applyAlignment="1">
      <alignment horizontal="center" vertical="center" wrapText="1"/>
    </xf>
    <xf numFmtId="177" fontId="3" fillId="0" borderId="5" xfId="0" applyNumberFormat="1" applyFont="1" applyFill="1" applyBorder="1" applyAlignment="1">
      <alignment horizontal="center" vertical="center" wrapText="1"/>
    </xf>
    <xf numFmtId="177" fontId="3" fillId="0" borderId="4" xfId="0" applyNumberFormat="1" applyFont="1" applyFill="1" applyBorder="1" applyAlignment="1">
      <alignment horizontal="center" vertical="center" wrapText="1"/>
    </xf>
    <xf numFmtId="0" fontId="46" fillId="0" borderId="18" xfId="0" applyFont="1" applyFill="1" applyBorder="1" applyAlignment="1"/>
    <xf numFmtId="0" fontId="36" fillId="2" borderId="14" xfId="0" applyFont="1" applyFill="1" applyBorder="1" applyAlignment="1">
      <alignment horizontal="center"/>
    </xf>
    <xf numFmtId="0" fontId="44" fillId="0" borderId="128" xfId="0" applyFont="1" applyFill="1" applyBorder="1" applyAlignment="1">
      <alignment horizontal="center"/>
    </xf>
    <xf numFmtId="0" fontId="47" fillId="0" borderId="9" xfId="0" applyFont="1" applyFill="1" applyBorder="1" applyAlignment="1">
      <alignment horizontal="center"/>
    </xf>
    <xf numFmtId="0" fontId="47" fillId="0" borderId="5" xfId="0" applyFont="1" applyFill="1" applyBorder="1" applyAlignment="1">
      <alignment horizontal="center"/>
    </xf>
    <xf numFmtId="0" fontId="44" fillId="0" borderId="47" xfId="0" applyFont="1" applyFill="1" applyBorder="1" applyAlignment="1">
      <alignment horizontal="center"/>
    </xf>
    <xf numFmtId="0" fontId="3" fillId="0" borderId="21" xfId="0" applyFont="1" applyFill="1" applyBorder="1" applyAlignment="1">
      <alignment horizontal="center" wrapText="1"/>
    </xf>
    <xf numFmtId="0" fontId="7" fillId="3" borderId="12" xfId="0" applyFont="1" applyFill="1" applyBorder="1" applyAlignment="1">
      <alignment vertical="center" wrapText="1"/>
    </xf>
    <xf numFmtId="0" fontId="7" fillId="3" borderId="12" xfId="0" applyFont="1" applyFill="1" applyBorder="1" applyAlignment="1">
      <alignment horizontal="center" vertical="center" wrapText="1"/>
    </xf>
    <xf numFmtId="0" fontId="7" fillId="3" borderId="15" xfId="0" applyFont="1" applyFill="1" applyBorder="1" applyAlignment="1">
      <alignment horizontal="center" vertical="center" wrapText="1"/>
    </xf>
    <xf numFmtId="0" fontId="7" fillId="3" borderId="3" xfId="0" applyFont="1" applyFill="1" applyBorder="1" applyAlignment="1">
      <alignment vertical="center" wrapText="1"/>
    </xf>
    <xf numFmtId="0" fontId="7" fillId="3" borderId="3" xfId="0" applyFont="1" applyFill="1" applyBorder="1" applyAlignment="1">
      <alignment vertical="center"/>
    </xf>
    <xf numFmtId="0" fontId="7" fillId="3" borderId="3"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3" fillId="0" borderId="128" xfId="0" applyFont="1" applyFill="1" applyBorder="1" applyAlignment="1">
      <alignment horizontal="center" vertical="center" wrapText="1"/>
    </xf>
    <xf numFmtId="0" fontId="3" fillId="0" borderId="129" xfId="0" applyFont="1" applyFill="1" applyBorder="1" applyAlignment="1">
      <alignment horizontal="center" vertical="center" wrapText="1"/>
    </xf>
    <xf numFmtId="0" fontId="3" fillId="0" borderId="9" xfId="0" applyFont="1" applyFill="1" applyBorder="1" applyAlignment="1">
      <alignment horizontal="center" vertical="center" wrapText="1"/>
    </xf>
    <xf numFmtId="0" fontId="3" fillId="0" borderId="47"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10" fillId="0" borderId="0" xfId="3" applyFill="1" applyAlignment="1" applyProtection="1">
      <alignment vertical="center"/>
    </xf>
    <xf numFmtId="0" fontId="3" fillId="0" borderId="0" xfId="0" applyFont="1" applyFill="1" applyAlignment="1">
      <alignment horizontal="left"/>
    </xf>
    <xf numFmtId="0" fontId="3" fillId="0" borderId="42" xfId="0" applyFont="1" applyFill="1" applyBorder="1" applyAlignment="1">
      <alignment horizontal="center" vertical="center" wrapText="1"/>
    </xf>
    <xf numFmtId="2" fontId="3" fillId="0" borderId="1" xfId="0" applyNumberFormat="1" applyFont="1" applyFill="1" applyBorder="1" applyAlignment="1">
      <alignment horizontal="center" vertical="center" wrapText="1"/>
    </xf>
    <xf numFmtId="0" fontId="7" fillId="5" borderId="10" xfId="0" applyFont="1" applyFill="1" applyBorder="1" applyAlignment="1">
      <alignment horizontal="centerContinuous" vertical="center"/>
    </xf>
    <xf numFmtId="0" fontId="24" fillId="5" borderId="7" xfId="0" applyFont="1" applyFill="1" applyBorder="1" applyAlignment="1">
      <alignment horizontal="centerContinuous" vertical="center"/>
    </xf>
    <xf numFmtId="0" fontId="24" fillId="5" borderId="8" xfId="0" applyFont="1" applyFill="1" applyBorder="1" applyAlignment="1">
      <alignment horizontal="centerContinuous" vertical="center"/>
    </xf>
    <xf numFmtId="0" fontId="7" fillId="5" borderId="48" xfId="3" applyFont="1" applyFill="1" applyBorder="1" applyAlignment="1" applyProtection="1">
      <alignment horizontal="center" vertical="center"/>
    </xf>
    <xf numFmtId="0" fontId="7" fillId="5" borderId="31" xfId="3" applyFont="1" applyFill="1" applyBorder="1" applyAlignment="1" applyProtection="1">
      <alignment horizontal="center" vertical="center"/>
    </xf>
    <xf numFmtId="0" fontId="7" fillId="5" borderId="130" xfId="3" applyFont="1" applyFill="1" applyBorder="1" applyAlignment="1" applyProtection="1">
      <alignment horizontal="center" vertical="center"/>
    </xf>
    <xf numFmtId="0" fontId="7" fillId="5" borderId="130" xfId="3" applyFont="1" applyFill="1" applyBorder="1" applyAlignment="1" applyProtection="1">
      <alignment horizontal="center" vertical="center" wrapText="1"/>
    </xf>
    <xf numFmtId="0" fontId="0" fillId="0" borderId="13" xfId="0" applyBorder="1" applyAlignment="1">
      <alignment vertical="center"/>
    </xf>
    <xf numFmtId="0" fontId="4" fillId="2" borderId="45" xfId="0" applyFont="1" applyFill="1" applyBorder="1" applyAlignment="1">
      <alignment vertical="center"/>
    </xf>
    <xf numFmtId="0" fontId="4" fillId="0" borderId="97" xfId="0" applyFont="1" applyBorder="1" applyAlignment="1">
      <alignment horizontal="centerContinuous" vertical="center"/>
    </xf>
    <xf numFmtId="0" fontId="4" fillId="0" borderId="112" xfId="0" applyFont="1" applyBorder="1" applyAlignment="1">
      <alignment horizontal="centerContinuous" vertical="center"/>
    </xf>
    <xf numFmtId="0" fontId="4" fillId="0" borderId="15" xfId="0" applyFont="1" applyBorder="1" applyAlignment="1">
      <alignment horizontal="center" vertical="center"/>
    </xf>
    <xf numFmtId="0" fontId="4" fillId="0" borderId="127" xfId="0" applyFont="1" applyBorder="1" applyAlignment="1">
      <alignment horizontal="center" vertical="center"/>
    </xf>
    <xf numFmtId="0" fontId="4" fillId="0" borderId="38" xfId="0" applyFont="1" applyBorder="1" applyAlignment="1">
      <alignment horizontal="center" vertical="center"/>
    </xf>
    <xf numFmtId="0" fontId="50" fillId="0" borderId="11" xfId="0" applyFont="1" applyFill="1" applyBorder="1" applyAlignment="1">
      <alignment horizontal="center" vertical="center"/>
    </xf>
    <xf numFmtId="0" fontId="50" fillId="0" borderId="6" xfId="0" applyFont="1" applyFill="1" applyBorder="1" applyAlignment="1">
      <alignment horizontal="center" vertical="center"/>
    </xf>
    <xf numFmtId="0" fontId="50" fillId="0" borderId="1" xfId="0" applyFont="1" applyFill="1" applyBorder="1" applyAlignment="1">
      <alignment horizontal="center" vertical="center"/>
    </xf>
    <xf numFmtId="0" fontId="50" fillId="0" borderId="0" xfId="0" applyFont="1" applyFill="1" applyBorder="1" applyAlignment="1">
      <alignment horizontal="center" vertical="center"/>
    </xf>
    <xf numFmtId="0" fontId="50" fillId="0" borderId="2" xfId="0" applyFont="1" applyFill="1" applyBorder="1" applyAlignment="1">
      <alignment horizontal="center" vertical="center"/>
    </xf>
    <xf numFmtId="0" fontId="50" fillId="0" borderId="4" xfId="0" applyFont="1" applyFill="1" applyBorder="1" applyAlignment="1">
      <alignment horizontal="center" vertical="center"/>
    </xf>
    <xf numFmtId="0" fontId="0" fillId="0" borderId="1" xfId="0" applyFill="1" applyBorder="1" applyAlignment="1">
      <alignment horizontal="center" vertical="center"/>
    </xf>
    <xf numFmtId="0" fontId="51" fillId="0" borderId="11" xfId="0" applyFont="1" applyFill="1" applyBorder="1" applyAlignment="1">
      <alignment horizontal="center" vertical="center"/>
    </xf>
    <xf numFmtId="0" fontId="51" fillId="0" borderId="15" xfId="0" applyFont="1" applyFill="1" applyBorder="1" applyAlignment="1">
      <alignment horizontal="center" vertical="center"/>
    </xf>
    <xf numFmtId="0" fontId="51" fillId="0" borderId="6" xfId="0" applyFont="1" applyFill="1" applyBorder="1" applyAlignment="1">
      <alignment horizontal="center" vertical="center"/>
    </xf>
    <xf numFmtId="0" fontId="51" fillId="0" borderId="1" xfId="0" applyFont="1" applyFill="1" applyBorder="1" applyAlignment="1">
      <alignment horizontal="center" vertical="center"/>
    </xf>
    <xf numFmtId="0" fontId="51" fillId="0" borderId="0" xfId="0" applyFont="1" applyFill="1" applyBorder="1" applyAlignment="1">
      <alignment horizontal="center" vertical="center"/>
    </xf>
    <xf numFmtId="0" fontId="51" fillId="0" borderId="2" xfId="0" applyFont="1" applyFill="1" applyBorder="1" applyAlignment="1">
      <alignment horizontal="center" vertical="center"/>
    </xf>
    <xf numFmtId="0" fontId="51" fillId="0" borderId="4" xfId="0" applyFont="1" applyFill="1" applyBorder="1" applyAlignment="1">
      <alignment horizontal="center" vertical="center"/>
    </xf>
    <xf numFmtId="0" fontId="53" fillId="0" borderId="6" xfId="0" applyFont="1" applyFill="1" applyBorder="1" applyAlignment="1">
      <alignment horizontal="center" vertical="center"/>
    </xf>
    <xf numFmtId="0" fontId="53" fillId="0" borderId="1" xfId="0" applyFont="1" applyFill="1" applyBorder="1" applyAlignment="1">
      <alignment horizontal="center" vertical="center"/>
    </xf>
    <xf numFmtId="0" fontId="53" fillId="0" borderId="6" xfId="0" applyFont="1" applyFill="1" applyBorder="1" applyAlignment="1">
      <alignment vertical="center"/>
    </xf>
    <xf numFmtId="0" fontId="53" fillId="0" borderId="1" xfId="0" applyFont="1" applyFill="1" applyBorder="1" applyAlignment="1">
      <alignment vertical="center"/>
    </xf>
    <xf numFmtId="0" fontId="53" fillId="0" borderId="0" xfId="0" applyFont="1" applyFill="1" applyBorder="1" applyAlignment="1">
      <alignment horizontal="center" vertical="center"/>
    </xf>
    <xf numFmtId="0" fontId="7" fillId="5" borderId="131" xfId="3" applyFont="1" applyFill="1" applyBorder="1" applyAlignment="1" applyProtection="1">
      <alignment horizontal="center" vertical="center" wrapText="1"/>
    </xf>
    <xf numFmtId="0" fontId="7" fillId="5" borderId="131" xfId="3" applyFont="1" applyFill="1" applyBorder="1" applyAlignment="1" applyProtection="1">
      <alignment horizontal="center" vertical="center"/>
    </xf>
    <xf numFmtId="178" fontId="3" fillId="0" borderId="0" xfId="0" applyNumberFormat="1" applyFont="1" applyFill="1" applyAlignment="1">
      <alignment horizontal="center" vertical="center"/>
    </xf>
    <xf numFmtId="0" fontId="7" fillId="0" borderId="1" xfId="0" applyFont="1" applyFill="1" applyBorder="1" applyAlignment="1">
      <alignment horizontal="center" vertical="center" wrapText="1"/>
    </xf>
    <xf numFmtId="0" fontId="52" fillId="0" borderId="6" xfId="0" applyFont="1" applyFill="1" applyBorder="1" applyAlignment="1">
      <alignment horizontal="center" vertical="center"/>
    </xf>
    <xf numFmtId="0" fontId="0" fillId="0" borderId="3" xfId="0" applyBorder="1" applyAlignment="1">
      <alignment vertical="center"/>
    </xf>
    <xf numFmtId="0" fontId="0" fillId="0" borderId="0" xfId="0" applyAlignment="1">
      <alignment horizontal="center" vertical="center"/>
    </xf>
    <xf numFmtId="0" fontId="0" fillId="0" borderId="13" xfId="0" applyBorder="1" applyAlignment="1">
      <alignment horizontal="center" vertical="center"/>
    </xf>
    <xf numFmtId="0" fontId="7" fillId="5" borderId="132" xfId="3" applyFont="1" applyFill="1" applyBorder="1" applyAlignment="1" applyProtection="1">
      <alignment horizontal="center" vertical="center"/>
    </xf>
    <xf numFmtId="170" fontId="3" fillId="4" borderId="0" xfId="11" applyNumberFormat="1" applyFont="1" applyFill="1" applyBorder="1" applyAlignment="1">
      <alignment vertical="center"/>
    </xf>
    <xf numFmtId="169" fontId="30" fillId="0" borderId="19" xfId="0" applyNumberFormat="1" applyFont="1" applyFill="1" applyBorder="1" applyAlignment="1">
      <alignment horizontal="center" vertical="center"/>
    </xf>
    <xf numFmtId="2" fontId="3" fillId="0" borderId="21" xfId="0" applyNumberFormat="1" applyFont="1" applyBorder="1" applyAlignment="1">
      <alignment horizontal="center" vertical="center" wrapText="1"/>
    </xf>
    <xf numFmtId="0" fontId="29" fillId="0" borderId="21" xfId="0" applyNumberFormat="1" applyFont="1" applyFill="1" applyBorder="1" applyAlignment="1">
      <alignment horizontal="center" vertical="center" wrapText="1"/>
    </xf>
    <xf numFmtId="0" fontId="29" fillId="0" borderId="15" xfId="0" applyFont="1" applyFill="1" applyBorder="1" applyAlignment="1">
      <alignment horizontal="center" vertical="center"/>
    </xf>
    <xf numFmtId="10" fontId="3" fillId="0" borderId="17" xfId="0" applyNumberFormat="1" applyFont="1" applyFill="1" applyBorder="1" applyAlignment="1">
      <alignment horizontal="center" vertical="center"/>
    </xf>
    <xf numFmtId="10" fontId="3" fillId="0" borderId="119" xfId="0" applyNumberFormat="1" applyFont="1" applyFill="1" applyBorder="1" applyAlignment="1">
      <alignment horizontal="center" vertical="center"/>
    </xf>
    <xf numFmtId="0" fontId="4" fillId="2" borderId="45" xfId="0" applyFont="1" applyFill="1" applyBorder="1" applyAlignment="1">
      <alignment horizontal="center" vertical="center"/>
    </xf>
    <xf numFmtId="0" fontId="29" fillId="0" borderId="6" xfId="0" applyFont="1" applyFill="1" applyBorder="1" applyAlignment="1">
      <alignment horizontal="right" vertical="top" wrapText="1"/>
    </xf>
    <xf numFmtId="0" fontId="29" fillId="0" borderId="2" xfId="0" applyFont="1" applyFill="1" applyBorder="1" applyAlignment="1">
      <alignment horizontal="right" vertical="top" wrapText="1"/>
    </xf>
    <xf numFmtId="0" fontId="24" fillId="3" borderId="12" xfId="0" applyFont="1" applyFill="1" applyBorder="1" applyAlignment="1">
      <alignment horizontal="centerContinuous"/>
    </xf>
    <xf numFmtId="0" fontId="39" fillId="3" borderId="7" xfId="0" applyFont="1" applyFill="1" applyBorder="1" applyAlignment="1">
      <alignment horizontal="centerContinuous" vertical="center"/>
    </xf>
    <xf numFmtId="0" fontId="4" fillId="2" borderId="29" xfId="0" applyFont="1" applyFill="1" applyBorder="1" applyAlignment="1">
      <alignment horizontal="centerContinuous" vertical="center"/>
    </xf>
    <xf numFmtId="0" fontId="24" fillId="3" borderId="7" xfId="0" applyFont="1" applyFill="1" applyBorder="1" applyAlignment="1">
      <alignment horizontal="centerContinuous"/>
    </xf>
    <xf numFmtId="0" fontId="7" fillId="3" borderId="6" xfId="0" applyFont="1" applyFill="1" applyBorder="1" applyAlignment="1">
      <alignment horizontal="centerContinuous" vertical="center"/>
    </xf>
    <xf numFmtId="0" fontId="7" fillId="2" borderId="3" xfId="0" applyFont="1" applyFill="1" applyBorder="1" applyAlignment="1">
      <alignment horizontal="centerContinuous" vertical="center"/>
    </xf>
    <xf numFmtId="0" fontId="0" fillId="0" borderId="133" xfId="0" applyFill="1" applyBorder="1" applyAlignment="1">
      <alignment vertical="center"/>
    </xf>
    <xf numFmtId="0" fontId="13" fillId="4" borderId="13" xfId="0" applyFont="1" applyFill="1" applyBorder="1" applyAlignment="1">
      <alignment horizontal="left" vertical="center"/>
    </xf>
    <xf numFmtId="0" fontId="3" fillId="4" borderId="13" xfId="0" applyFont="1" applyFill="1" applyBorder="1" applyAlignment="1">
      <alignment horizontal="centerContinuous" vertical="center"/>
    </xf>
    <xf numFmtId="0" fontId="3" fillId="4" borderId="1" xfId="0" applyFont="1" applyFill="1" applyBorder="1" applyAlignment="1">
      <alignment vertical="center" wrapText="1"/>
    </xf>
    <xf numFmtId="0" fontId="3" fillId="4" borderId="6" xfId="0" applyFont="1" applyFill="1" applyBorder="1" applyAlignment="1">
      <alignment vertical="center" wrapText="1"/>
    </xf>
    <xf numFmtId="0" fontId="4" fillId="4" borderId="6" xfId="0" applyFont="1" applyFill="1" applyBorder="1" applyAlignment="1">
      <alignment horizontal="left" vertical="center"/>
    </xf>
    <xf numFmtId="0" fontId="4" fillId="4" borderId="4" xfId="0" applyFont="1" applyFill="1" applyBorder="1" applyAlignment="1">
      <alignment vertical="center"/>
    </xf>
    <xf numFmtId="0" fontId="4" fillId="4" borderId="0" xfId="0" applyFont="1" applyFill="1" applyBorder="1" applyAlignment="1">
      <alignment horizontal="center"/>
    </xf>
    <xf numFmtId="0" fontId="14" fillId="4" borderId="0" xfId="0" applyFont="1" applyFill="1" applyBorder="1"/>
    <xf numFmtId="0" fontId="3" fillId="4" borderId="0" xfId="0" applyFont="1" applyFill="1" applyBorder="1" applyAlignment="1">
      <alignment horizontal="right"/>
    </xf>
    <xf numFmtId="0" fontId="3" fillId="4" borderId="0" xfId="0" applyFont="1" applyFill="1" applyBorder="1"/>
    <xf numFmtId="0" fontId="3" fillId="4" borderId="0" xfId="0" applyFont="1" applyFill="1"/>
    <xf numFmtId="0" fontId="3" fillId="4" borderId="0" xfId="0" applyFont="1" applyFill="1" applyBorder="1" applyAlignment="1">
      <alignment horizontal="center" wrapText="1"/>
    </xf>
    <xf numFmtId="0" fontId="3" fillId="4" borderId="0" xfId="0" applyFont="1" applyFill="1" applyBorder="1" applyAlignment="1">
      <alignment horizontal="center"/>
    </xf>
    <xf numFmtId="0" fontId="3" fillId="4" borderId="6" xfId="0" applyFont="1" applyFill="1" applyBorder="1" applyAlignment="1"/>
    <xf numFmtId="0" fontId="3" fillId="4" borderId="1" xfId="0" applyFont="1" applyFill="1" applyBorder="1"/>
    <xf numFmtId="176" fontId="3" fillId="4" borderId="0" xfId="2" applyNumberFormat="1" applyFont="1" applyFill="1" applyBorder="1"/>
    <xf numFmtId="176" fontId="3" fillId="4" borderId="1" xfId="2" applyNumberFormat="1" applyFont="1" applyFill="1" applyBorder="1"/>
    <xf numFmtId="0" fontId="3" fillId="4" borderId="40" xfId="0" applyFont="1" applyFill="1" applyBorder="1" applyAlignment="1"/>
    <xf numFmtId="0" fontId="3" fillId="4" borderId="18" xfId="0" applyFont="1" applyFill="1" applyBorder="1"/>
    <xf numFmtId="0" fontId="3" fillId="4" borderId="26" xfId="0" applyFont="1" applyFill="1" applyBorder="1"/>
    <xf numFmtId="176" fontId="3" fillId="4" borderId="26" xfId="2" applyNumberFormat="1" applyFont="1" applyFill="1" applyBorder="1"/>
    <xf numFmtId="176" fontId="3" fillId="4" borderId="0" xfId="2" applyNumberFormat="1" applyFont="1" applyFill="1"/>
    <xf numFmtId="0" fontId="12" fillId="4" borderId="0" xfId="0" applyFont="1" applyFill="1"/>
    <xf numFmtId="169" fontId="3" fillId="4" borderId="0" xfId="0" applyNumberFormat="1" applyFont="1" applyFill="1" applyBorder="1" applyAlignment="1">
      <alignment horizontal="center" vertical="center"/>
    </xf>
    <xf numFmtId="0" fontId="12" fillId="4" borderId="0" xfId="0" applyFont="1" applyFill="1" applyBorder="1"/>
    <xf numFmtId="3" fontId="3" fillId="4" borderId="0" xfId="0" applyNumberFormat="1" applyFont="1" applyFill="1" applyBorder="1"/>
    <xf numFmtId="3" fontId="4" fillId="4" borderId="0" xfId="0" applyNumberFormat="1" applyFont="1" applyFill="1" applyBorder="1" applyAlignment="1">
      <alignment horizontal="center" vertical="center"/>
    </xf>
    <xf numFmtId="3" fontId="3" fillId="4" borderId="0" xfId="0" applyNumberFormat="1" applyFont="1" applyFill="1" applyBorder="1" applyAlignment="1">
      <alignment horizontal="center"/>
    </xf>
    <xf numFmtId="172" fontId="3" fillId="4" borderId="0" xfId="0" applyNumberFormat="1" applyFont="1" applyFill="1" applyBorder="1"/>
    <xf numFmtId="0" fontId="30" fillId="4" borderId="19" xfId="0" applyFont="1" applyFill="1" applyBorder="1" applyAlignment="1">
      <alignment horizontal="center" vertical="center"/>
    </xf>
    <xf numFmtId="0" fontId="3" fillId="4" borderId="134" xfId="0" applyFont="1" applyFill="1" applyBorder="1" applyAlignment="1"/>
    <xf numFmtId="0" fontId="3" fillId="4" borderId="105" xfId="0" applyFont="1" applyFill="1" applyBorder="1"/>
    <xf numFmtId="0" fontId="3" fillId="4" borderId="85" xfId="0" applyFont="1" applyFill="1" applyBorder="1"/>
    <xf numFmtId="176" fontId="3" fillId="4" borderId="105" xfId="2" applyNumberFormat="1" applyFont="1" applyFill="1" applyBorder="1"/>
    <xf numFmtId="176" fontId="3" fillId="4" borderId="85" xfId="2" applyNumberFormat="1" applyFont="1" applyFill="1" applyBorder="1"/>
    <xf numFmtId="0" fontId="0" fillId="0" borderId="135" xfId="0" applyFill="1" applyBorder="1" applyAlignment="1">
      <alignment vertical="center"/>
    </xf>
    <xf numFmtId="0" fontId="3" fillId="2" borderId="85" xfId="0" applyFont="1" applyFill="1" applyBorder="1" applyAlignment="1">
      <alignment horizontal="center" vertical="center"/>
    </xf>
    <xf numFmtId="3" fontId="29" fillId="0" borderId="11" xfId="0" applyNumberFormat="1" applyFont="1" applyFill="1" applyBorder="1"/>
    <xf numFmtId="3" fontId="29" fillId="0" borderId="6" xfId="0" applyNumberFormat="1" applyFont="1" applyFill="1" applyBorder="1"/>
    <xf numFmtId="3" fontId="29" fillId="0" borderId="2" xfId="0" applyNumberFormat="1" applyFont="1" applyFill="1" applyBorder="1"/>
    <xf numFmtId="0" fontId="29" fillId="0" borderId="1" xfId="0" applyFont="1" applyBorder="1" applyAlignment="1">
      <alignment vertical="center"/>
    </xf>
    <xf numFmtId="0" fontId="29" fillId="0" borderId="4" xfId="0" applyFont="1" applyBorder="1" applyAlignment="1">
      <alignment vertical="center"/>
    </xf>
    <xf numFmtId="0" fontId="3" fillId="0" borderId="6" xfId="0" applyNumberFormat="1" applyFont="1" applyFill="1" applyBorder="1" applyAlignment="1">
      <alignment vertical="center"/>
    </xf>
    <xf numFmtId="0" fontId="2" fillId="4" borderId="0" xfId="0" applyFont="1" applyFill="1"/>
    <xf numFmtId="0" fontId="13" fillId="4" borderId="0" xfId="0" applyFont="1" applyFill="1"/>
    <xf numFmtId="0" fontId="2" fillId="4" borderId="13" xfId="0" applyFont="1" applyFill="1" applyBorder="1"/>
    <xf numFmtId="0" fontId="2" fillId="4" borderId="0" xfId="0" applyFont="1" applyFill="1" applyBorder="1"/>
    <xf numFmtId="0" fontId="6" fillId="4" borderId="40" xfId="0" applyFont="1" applyFill="1" applyBorder="1" applyAlignment="1">
      <alignment vertical="center"/>
    </xf>
    <xf numFmtId="0" fontId="3" fillId="4" borderId="18" xfId="0" applyFont="1" applyFill="1" applyBorder="1" applyAlignment="1">
      <alignment vertical="center"/>
    </xf>
    <xf numFmtId="0" fontId="3" fillId="4" borderId="26" xfId="0" applyFont="1" applyFill="1" applyBorder="1" applyAlignment="1">
      <alignment vertical="center"/>
    </xf>
    <xf numFmtId="0" fontId="6" fillId="4" borderId="97" xfId="0" applyFont="1" applyFill="1" applyBorder="1" applyAlignment="1">
      <alignment vertical="center"/>
    </xf>
    <xf numFmtId="0" fontId="3" fillId="4" borderId="98" xfId="0" applyFont="1" applyFill="1" applyBorder="1" applyAlignment="1">
      <alignment vertical="center"/>
    </xf>
    <xf numFmtId="0" fontId="29" fillId="4" borderId="128" xfId="0" applyFont="1" applyFill="1" applyBorder="1" applyAlignment="1">
      <alignment horizontal="center" vertical="center" wrapText="1"/>
    </xf>
    <xf numFmtId="0" fontId="6" fillId="4" borderId="99" xfId="0" applyFont="1" applyFill="1" applyBorder="1" applyAlignment="1">
      <alignment vertical="center"/>
    </xf>
    <xf numFmtId="0" fontId="3" fillId="4" borderId="53" xfId="0" applyFont="1" applyFill="1" applyBorder="1" applyAlignment="1">
      <alignment vertical="center"/>
    </xf>
    <xf numFmtId="0" fontId="29" fillId="4" borderId="129" xfId="0" applyFont="1" applyFill="1" applyBorder="1" applyAlignment="1">
      <alignment horizontal="center" vertical="center" wrapText="1"/>
    </xf>
    <xf numFmtId="0" fontId="6" fillId="4" borderId="6" xfId="0" applyFont="1" applyFill="1" applyBorder="1" applyAlignment="1">
      <alignment vertical="center"/>
    </xf>
    <xf numFmtId="0" fontId="6" fillId="4" borderId="0" xfId="0" applyFont="1" applyFill="1" applyBorder="1" applyAlignment="1">
      <alignment vertical="center"/>
    </xf>
    <xf numFmtId="0" fontId="29" fillId="4" borderId="9" xfId="0" applyFont="1" applyFill="1" applyBorder="1" applyAlignment="1">
      <alignment horizontal="center" vertical="center" wrapText="1"/>
    </xf>
    <xf numFmtId="0" fontId="29" fillId="4" borderId="47" xfId="0" applyFont="1" applyFill="1" applyBorder="1" applyAlignment="1">
      <alignment horizontal="center" vertical="center" wrapText="1"/>
    </xf>
    <xf numFmtId="0" fontId="6" fillId="4" borderId="2" xfId="0" applyFont="1" applyFill="1" applyBorder="1" applyAlignment="1">
      <alignment vertical="center"/>
    </xf>
    <xf numFmtId="0" fontId="6" fillId="4" borderId="3" xfId="0" applyFont="1" applyFill="1" applyBorder="1" applyAlignment="1">
      <alignment vertical="center"/>
    </xf>
    <xf numFmtId="0" fontId="3" fillId="4" borderId="85" xfId="0" applyFont="1" applyFill="1" applyBorder="1" applyAlignment="1">
      <alignment vertical="center"/>
    </xf>
    <xf numFmtId="0" fontId="29" fillId="4" borderId="5" xfId="0" applyFont="1" applyFill="1" applyBorder="1" applyAlignment="1">
      <alignment horizontal="center" vertical="center" wrapText="1"/>
    </xf>
    <xf numFmtId="1" fontId="4" fillId="0" borderId="0" xfId="0" applyNumberFormat="1" applyFont="1" applyFill="1" applyBorder="1" applyAlignment="1">
      <alignment horizontal="center" wrapText="1"/>
    </xf>
    <xf numFmtId="1" fontId="4" fillId="0" borderId="12" xfId="0" applyNumberFormat="1" applyFont="1" applyFill="1" applyBorder="1" applyAlignment="1">
      <alignment horizontal="center" vertical="top" wrapText="1"/>
    </xf>
    <xf numFmtId="1" fontId="4" fillId="0" borderId="0" xfId="0" applyNumberFormat="1" applyFont="1" applyFill="1" applyBorder="1" applyAlignment="1">
      <alignment horizontal="center" vertical="top" wrapText="1"/>
    </xf>
    <xf numFmtId="2" fontId="29" fillId="0" borderId="4" xfId="0" applyNumberFormat="1" applyFont="1" applyFill="1" applyBorder="1" applyAlignment="1">
      <alignment horizontal="center" vertical="center"/>
    </xf>
    <xf numFmtId="0" fontId="3" fillId="0" borderId="4" xfId="0" applyFont="1" applyBorder="1" applyAlignment="1">
      <alignment vertical="center"/>
    </xf>
    <xf numFmtId="0" fontId="4" fillId="2" borderId="6" xfId="0" applyFont="1" applyFill="1" applyBorder="1" applyAlignment="1">
      <alignment horizontal="center" vertical="center"/>
    </xf>
    <xf numFmtId="4" fontId="30" fillId="4" borderId="6" xfId="0" applyNumberFormat="1" applyFont="1" applyFill="1" applyBorder="1" applyAlignment="1">
      <alignment horizontal="center" vertical="center" wrapText="1"/>
    </xf>
    <xf numFmtId="4" fontId="29" fillId="4" borderId="6" xfId="0" applyNumberFormat="1" applyFont="1" applyFill="1" applyBorder="1" applyAlignment="1">
      <alignment horizontal="center" vertical="center" wrapText="1"/>
    </xf>
    <xf numFmtId="3" fontId="29" fillId="4" borderId="6" xfId="0" applyNumberFormat="1" applyFont="1" applyFill="1" applyBorder="1" applyAlignment="1">
      <alignment horizontal="center" vertical="center"/>
    </xf>
    <xf numFmtId="4" fontId="3" fillId="4" borderId="6" xfId="0" applyNumberFormat="1" applyFont="1" applyFill="1" applyBorder="1" applyAlignment="1">
      <alignment horizontal="center" vertical="center" wrapText="1"/>
    </xf>
    <xf numFmtId="0" fontId="33" fillId="2" borderId="0" xfId="0" applyFont="1" applyFill="1" applyBorder="1" applyAlignment="1">
      <alignment horizontal="center" vertical="center"/>
    </xf>
    <xf numFmtId="3" fontId="3" fillId="4" borderId="6" xfId="0" applyNumberFormat="1" applyFont="1" applyFill="1" applyBorder="1" applyAlignment="1">
      <alignment horizontal="center" vertical="center"/>
    </xf>
    <xf numFmtId="0" fontId="3" fillId="4" borderId="0" xfId="0" applyFont="1" applyFill="1" applyBorder="1" applyAlignment="1">
      <alignment horizontal="centerContinuous" vertical="center"/>
    </xf>
    <xf numFmtId="0" fontId="3" fillId="3" borderId="12" xfId="0" applyFont="1" applyFill="1" applyBorder="1" applyAlignment="1">
      <alignment vertical="center"/>
    </xf>
    <xf numFmtId="0" fontId="3" fillId="4" borderId="6" xfId="0" applyFont="1" applyFill="1" applyBorder="1" applyAlignment="1">
      <alignment horizontal="center" vertical="center"/>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4" fillId="2" borderId="9" xfId="0" applyFont="1" applyFill="1" applyBorder="1" applyAlignment="1">
      <alignment horizontal="centerContinuous" vertical="center" wrapText="1"/>
    </xf>
    <xf numFmtId="169" fontId="3" fillId="0" borderId="120" xfId="0" applyNumberFormat="1" applyFont="1" applyFill="1" applyBorder="1" applyAlignment="1">
      <alignment horizontal="center" vertical="center" wrapText="1"/>
    </xf>
    <xf numFmtId="169" fontId="3" fillId="0" borderId="83" xfId="0" applyNumberFormat="1" applyFont="1" applyFill="1" applyBorder="1" applyAlignment="1">
      <alignment horizontal="center" vertical="center" wrapText="1"/>
    </xf>
    <xf numFmtId="169" fontId="3" fillId="0" borderId="136" xfId="0" applyNumberFormat="1" applyFont="1" applyFill="1" applyBorder="1" applyAlignment="1">
      <alignment horizontal="center" vertical="center" wrapText="1"/>
    </xf>
    <xf numFmtId="169" fontId="3" fillId="0" borderId="137" xfId="0" applyNumberFormat="1" applyFont="1" applyFill="1" applyBorder="1" applyAlignment="1">
      <alignment horizontal="center" vertical="center" wrapText="1"/>
    </xf>
    <xf numFmtId="169" fontId="3" fillId="0" borderId="46" xfId="0" applyNumberFormat="1" applyFont="1" applyFill="1" applyBorder="1" applyAlignment="1">
      <alignment horizontal="center" vertical="center" wrapText="1"/>
    </xf>
    <xf numFmtId="176" fontId="3" fillId="4" borderId="11" xfId="2" applyNumberFormat="1" applyFont="1" applyFill="1" applyBorder="1"/>
    <xf numFmtId="176" fontId="3" fillId="4" borderId="12" xfId="2" applyNumberFormat="1" applyFont="1" applyFill="1" applyBorder="1"/>
    <xf numFmtId="176" fontId="3" fillId="4" borderId="15" xfId="2" applyNumberFormat="1" applyFont="1" applyFill="1" applyBorder="1"/>
    <xf numFmtId="176" fontId="3" fillId="4" borderId="6" xfId="2" applyNumberFormat="1" applyFont="1" applyFill="1" applyBorder="1"/>
    <xf numFmtId="176" fontId="3" fillId="4" borderId="134" xfId="2" applyNumberFormat="1" applyFont="1" applyFill="1" applyBorder="1"/>
    <xf numFmtId="3" fontId="3" fillId="0" borderId="128" xfId="0" applyNumberFormat="1" applyFont="1" applyFill="1" applyBorder="1" applyAlignment="1">
      <alignment vertical="center" wrapText="1"/>
    </xf>
    <xf numFmtId="3" fontId="3" fillId="0" borderId="129" xfId="0" applyNumberFormat="1" applyFont="1" applyFill="1" applyBorder="1" applyAlignment="1">
      <alignment vertical="center" wrapText="1"/>
    </xf>
    <xf numFmtId="3" fontId="3" fillId="0" borderId="138" xfId="0" applyNumberFormat="1" applyFont="1" applyFill="1" applyBorder="1" applyAlignment="1">
      <alignment vertical="center" wrapText="1"/>
    </xf>
    <xf numFmtId="3" fontId="3" fillId="0" borderId="139" xfId="0" applyNumberFormat="1" applyFont="1" applyFill="1" applyBorder="1" applyAlignment="1">
      <alignment vertical="center" wrapText="1"/>
    </xf>
    <xf numFmtId="3" fontId="3" fillId="0" borderId="47" xfId="0" applyNumberFormat="1" applyFont="1" applyFill="1" applyBorder="1" applyAlignment="1">
      <alignment vertical="center" wrapText="1"/>
    </xf>
    <xf numFmtId="0" fontId="3" fillId="0" borderId="139" xfId="0" applyFont="1" applyFill="1" applyBorder="1" applyAlignment="1">
      <alignment horizontal="center" wrapText="1"/>
    </xf>
    <xf numFmtId="171" fontId="3" fillId="0" borderId="120" xfId="0" applyNumberFormat="1" applyFont="1" applyFill="1" applyBorder="1" applyAlignment="1">
      <alignment horizontal="center" vertical="center" wrapText="1"/>
    </xf>
    <xf numFmtId="171" fontId="3" fillId="0" borderId="46" xfId="0" applyNumberFormat="1" applyFont="1" applyFill="1" applyBorder="1" applyAlignment="1">
      <alignment horizontal="center" vertical="center" wrapText="1"/>
    </xf>
    <xf numFmtId="0" fontId="3" fillId="0" borderId="140" xfId="0" applyFont="1" applyFill="1" applyBorder="1" applyAlignment="1">
      <alignment vertical="center"/>
    </xf>
    <xf numFmtId="2" fontId="29" fillId="0" borderId="0" xfId="0" applyNumberFormat="1" applyFont="1" applyFill="1" applyAlignment="1">
      <alignment horizontal="center" vertical="center" wrapText="1"/>
    </xf>
    <xf numFmtId="2" fontId="29" fillId="0" borderId="9" xfId="0" applyNumberFormat="1" applyFont="1" applyFill="1" applyBorder="1" applyAlignment="1">
      <alignment horizontal="right" vertical="center" wrapText="1"/>
    </xf>
    <xf numFmtId="2" fontId="29" fillId="0" borderId="0" xfId="0" applyNumberFormat="1" applyFont="1" applyFill="1" applyBorder="1" applyAlignment="1">
      <alignment horizontal="right" vertical="center" wrapText="1"/>
    </xf>
    <xf numFmtId="2" fontId="29" fillId="0" borderId="47" xfId="0" applyNumberFormat="1" applyFont="1" applyFill="1" applyBorder="1" applyAlignment="1">
      <alignment horizontal="right" vertical="center" wrapText="1"/>
    </xf>
    <xf numFmtId="2" fontId="29" fillId="0" borderId="18" xfId="0" applyNumberFormat="1" applyFont="1" applyFill="1" applyBorder="1" applyAlignment="1">
      <alignment horizontal="right" vertical="center" wrapText="1"/>
    </xf>
    <xf numFmtId="2" fontId="29" fillId="0" borderId="22" xfId="0" applyNumberFormat="1" applyFont="1" applyFill="1" applyBorder="1" applyAlignment="1">
      <alignment horizontal="right" vertical="center" wrapText="1"/>
    </xf>
    <xf numFmtId="2" fontId="29" fillId="0" borderId="25" xfId="0" applyNumberFormat="1" applyFont="1" applyFill="1" applyBorder="1" applyAlignment="1">
      <alignment horizontal="right" vertical="center" wrapText="1"/>
    </xf>
    <xf numFmtId="2" fontId="29" fillId="0" borderId="5" xfId="0" applyNumberFormat="1" applyFont="1" applyFill="1" applyBorder="1" applyAlignment="1">
      <alignment horizontal="right" vertical="center" wrapText="1"/>
    </xf>
    <xf numFmtId="2" fontId="29" fillId="0" borderId="3" xfId="0" applyNumberFormat="1" applyFont="1" applyFill="1" applyBorder="1" applyAlignment="1">
      <alignment horizontal="right" vertical="center" wrapText="1"/>
    </xf>
    <xf numFmtId="0" fontId="7" fillId="3" borderId="7" xfId="0" applyFont="1" applyFill="1" applyBorder="1"/>
    <xf numFmtId="0" fontId="5" fillId="2" borderId="11" xfId="0" applyFont="1" applyFill="1" applyBorder="1" applyAlignment="1">
      <alignment horizontal="justify" vertical="center" wrapText="1"/>
    </xf>
    <xf numFmtId="0" fontId="5" fillId="2" borderId="9" xfId="0" applyFont="1" applyFill="1" applyBorder="1" applyAlignment="1">
      <alignment horizontal="center"/>
    </xf>
    <xf numFmtId="0" fontId="5" fillId="2" borderId="5" xfId="0" applyFont="1" applyFill="1" applyBorder="1" applyAlignment="1">
      <alignment horizontal="center"/>
    </xf>
    <xf numFmtId="0" fontId="29" fillId="0" borderId="0" xfId="0" applyFont="1" applyFill="1" applyBorder="1" applyAlignment="1">
      <alignment horizontal="right" vertical="center" wrapText="1"/>
    </xf>
    <xf numFmtId="0" fontId="29" fillId="0" borderId="6" xfId="0" applyFont="1" applyFill="1" applyBorder="1" applyAlignment="1">
      <alignment horizontal="right" vertical="center" wrapText="1"/>
    </xf>
    <xf numFmtId="0" fontId="29" fillId="0" borderId="21" xfId="0" applyFont="1" applyFill="1" applyBorder="1" applyAlignment="1">
      <alignment horizontal="right" vertical="center" wrapText="1"/>
    </xf>
    <xf numFmtId="0" fontId="29" fillId="0" borderId="0" xfId="0" applyFont="1" applyFill="1" applyAlignment="1">
      <alignment horizontal="right" vertical="center" wrapText="1"/>
    </xf>
    <xf numFmtId="0" fontId="29" fillId="0" borderId="1" xfId="0" applyFont="1" applyFill="1" applyBorder="1" applyAlignment="1">
      <alignment horizontal="right" vertical="center" wrapText="1"/>
    </xf>
    <xf numFmtId="0" fontId="29" fillId="0" borderId="9" xfId="0" applyFont="1" applyFill="1" applyBorder="1" applyAlignment="1">
      <alignment horizontal="right" vertical="center" wrapText="1"/>
    </xf>
    <xf numFmtId="0" fontId="2" fillId="0" borderId="11" xfId="0" applyFont="1" applyFill="1" applyBorder="1"/>
    <xf numFmtId="0" fontId="4" fillId="2" borderId="2" xfId="0" applyFont="1" applyFill="1" applyBorder="1" applyAlignment="1">
      <alignment horizontal="left"/>
    </xf>
    <xf numFmtId="0" fontId="3" fillId="0" borderId="141" xfId="0" applyFont="1" applyFill="1" applyBorder="1" applyAlignment="1">
      <alignment vertical="center"/>
    </xf>
    <xf numFmtId="0" fontId="3" fillId="0" borderId="142" xfId="0" applyFont="1" applyFill="1" applyBorder="1" applyAlignment="1">
      <alignment vertical="center"/>
    </xf>
    <xf numFmtId="0" fontId="3" fillId="0" borderId="143" xfId="0" applyFont="1" applyFill="1" applyBorder="1" applyAlignment="1">
      <alignment vertical="center"/>
    </xf>
    <xf numFmtId="2" fontId="3" fillId="0" borderId="15" xfId="0" applyNumberFormat="1" applyFont="1" applyFill="1" applyBorder="1" applyAlignment="1">
      <alignment vertical="center"/>
    </xf>
    <xf numFmtId="2" fontId="3" fillId="0" borderId="21" xfId="0" applyNumberFormat="1" applyFont="1" applyFill="1" applyBorder="1" applyAlignment="1">
      <alignment vertical="center"/>
    </xf>
    <xf numFmtId="2" fontId="3" fillId="0" borderId="26" xfId="0" applyNumberFormat="1" applyFont="1" applyFill="1" applyBorder="1" applyAlignment="1">
      <alignment vertical="center"/>
    </xf>
    <xf numFmtId="2" fontId="3" fillId="0" borderId="47" xfId="0" applyNumberFormat="1" applyFont="1" applyFill="1" applyBorder="1" applyAlignment="1">
      <alignment vertical="center"/>
    </xf>
    <xf numFmtId="2" fontId="3" fillId="0" borderId="144" xfId="0" applyNumberFormat="1" applyFont="1" applyFill="1" applyBorder="1" applyAlignment="1">
      <alignment vertical="center"/>
    </xf>
    <xf numFmtId="2" fontId="3" fillId="0" borderId="145" xfId="0" applyNumberFormat="1" applyFont="1" applyFill="1" applyBorder="1" applyAlignment="1">
      <alignment vertical="center"/>
    </xf>
    <xf numFmtId="2" fontId="3" fillId="0" borderId="103" xfId="0" applyNumberFormat="1" applyFont="1" applyFill="1" applyBorder="1" applyAlignment="1">
      <alignment vertical="center"/>
    </xf>
    <xf numFmtId="2" fontId="3" fillId="0" borderId="104" xfId="0" applyNumberFormat="1" applyFont="1" applyFill="1" applyBorder="1" applyAlignment="1">
      <alignment vertical="center"/>
    </xf>
    <xf numFmtId="2" fontId="3" fillId="0" borderId="23" xfId="0" applyNumberFormat="1" applyFont="1" applyFill="1" applyBorder="1" applyAlignment="1">
      <alignment vertical="center"/>
    </xf>
    <xf numFmtId="2" fontId="3" fillId="0" borderId="22" xfId="0" applyNumberFormat="1" applyFont="1" applyFill="1" applyBorder="1" applyAlignment="1">
      <alignment vertical="center"/>
    </xf>
    <xf numFmtId="2" fontId="3" fillId="0" borderId="1" xfId="0" applyNumberFormat="1" applyFont="1" applyFill="1" applyBorder="1" applyAlignment="1">
      <alignment vertical="center"/>
    </xf>
    <xf numFmtId="2" fontId="3" fillId="0" borderId="9" xfId="0" applyNumberFormat="1" applyFont="1" applyFill="1" applyBorder="1" applyAlignment="1">
      <alignment vertical="center"/>
    </xf>
    <xf numFmtId="2" fontId="3" fillId="0" borderId="4" xfId="0" applyNumberFormat="1" applyFont="1" applyFill="1" applyBorder="1" applyAlignment="1">
      <alignment vertical="center"/>
    </xf>
    <xf numFmtId="2" fontId="3" fillId="0" borderId="5" xfId="0" applyNumberFormat="1" applyFont="1" applyFill="1" applyBorder="1" applyAlignment="1">
      <alignment vertical="center"/>
    </xf>
    <xf numFmtId="2" fontId="6" fillId="0" borderId="12" xfId="0" applyNumberFormat="1" applyFont="1" applyFill="1" applyBorder="1" applyAlignment="1">
      <alignment horizontal="right" vertical="center" wrapText="1"/>
    </xf>
    <xf numFmtId="2" fontId="6" fillId="0" borderId="15" xfId="0" applyNumberFormat="1" applyFont="1" applyFill="1" applyBorder="1" applyAlignment="1">
      <alignment horizontal="right" vertical="center" wrapText="1"/>
    </xf>
    <xf numFmtId="2" fontId="6" fillId="0" borderId="0" xfId="0" applyNumberFormat="1" applyFont="1" applyFill="1" applyBorder="1" applyAlignment="1">
      <alignment horizontal="right" vertical="center" wrapText="1"/>
    </xf>
    <xf numFmtId="2" fontId="6" fillId="0" borderId="1" xfId="0" applyNumberFormat="1" applyFont="1" applyFill="1" applyBorder="1" applyAlignment="1">
      <alignment horizontal="right" vertical="center" wrapText="1"/>
    </xf>
    <xf numFmtId="2" fontId="6" fillId="0" borderId="4" xfId="0" applyNumberFormat="1" applyFont="1" applyFill="1" applyBorder="1" applyAlignment="1">
      <alignment horizontal="right" vertical="center" wrapText="1"/>
    </xf>
    <xf numFmtId="2" fontId="3" fillId="0" borderId="0" xfId="0" applyNumberFormat="1" applyFont="1" applyFill="1" applyBorder="1" applyAlignment="1">
      <alignment horizontal="right" vertical="center" wrapText="1"/>
    </xf>
    <xf numFmtId="2" fontId="3" fillId="0" borderId="15" xfId="0" applyNumberFormat="1" applyFont="1" applyFill="1" applyBorder="1" applyAlignment="1">
      <alignment horizontal="right" vertical="center" wrapText="1"/>
    </xf>
    <xf numFmtId="2" fontId="3" fillId="0" borderId="1" xfId="0" applyNumberFormat="1" applyFont="1" applyFill="1" applyBorder="1" applyAlignment="1">
      <alignment horizontal="right" vertical="center" wrapText="1"/>
    </xf>
    <xf numFmtId="0" fontId="6" fillId="0" borderId="0" xfId="0" applyFont="1" applyFill="1" applyBorder="1" applyAlignment="1">
      <alignment horizontal="right" vertical="center" wrapText="1"/>
    </xf>
    <xf numFmtId="0" fontId="6" fillId="0" borderId="1" xfId="0" applyFont="1" applyFill="1" applyBorder="1" applyAlignment="1">
      <alignment horizontal="right" vertical="center" wrapText="1"/>
    </xf>
    <xf numFmtId="0" fontId="6" fillId="0" borderId="9" xfId="0" applyFont="1" applyFill="1" applyBorder="1" applyAlignment="1">
      <alignment horizontal="right" vertical="center" wrapText="1"/>
    </xf>
    <xf numFmtId="0" fontId="5" fillId="2" borderId="2" xfId="0" applyFont="1" applyFill="1" applyBorder="1" applyAlignment="1">
      <alignment horizontal="center" wrapText="1"/>
    </xf>
    <xf numFmtId="0" fontId="5" fillId="2" borderId="36" xfId="0" applyFont="1" applyFill="1" applyBorder="1" applyAlignment="1">
      <alignment horizontal="center" wrapText="1"/>
    </xf>
    <xf numFmtId="0" fontId="5" fillId="2" borderId="4" xfId="0" applyFont="1" applyFill="1" applyBorder="1" applyAlignment="1">
      <alignment horizontal="center" wrapText="1"/>
    </xf>
    <xf numFmtId="0" fontId="5" fillId="2" borderId="127" xfId="0" applyFont="1" applyFill="1" applyBorder="1" applyAlignment="1">
      <alignment horizontal="center" wrapText="1"/>
    </xf>
    <xf numFmtId="0" fontId="5" fillId="2" borderId="37" xfId="0" applyFont="1" applyFill="1" applyBorder="1" applyAlignment="1">
      <alignment horizontal="center" wrapText="1"/>
    </xf>
    <xf numFmtId="3" fontId="29" fillId="0" borderId="15" xfId="0" applyNumberFormat="1" applyFont="1" applyFill="1" applyBorder="1" applyAlignment="1">
      <alignment horizontal="center" vertical="center"/>
    </xf>
    <xf numFmtId="3" fontId="29" fillId="0" borderId="1" xfId="0" applyNumberFormat="1" applyFont="1" applyFill="1" applyBorder="1" applyAlignment="1">
      <alignment horizontal="center" vertical="center"/>
    </xf>
    <xf numFmtId="3" fontId="29" fillId="0" borderId="4" xfId="0" applyNumberFormat="1" applyFont="1" applyFill="1" applyBorder="1" applyAlignment="1">
      <alignment horizontal="center" vertical="center"/>
    </xf>
    <xf numFmtId="1" fontId="3" fillId="0" borderId="0" xfId="0" applyNumberFormat="1" applyFont="1" applyFill="1" applyBorder="1" applyAlignment="1">
      <alignment horizontal="right" vertical="center"/>
    </xf>
    <xf numFmtId="1" fontId="3" fillId="0" borderId="1" xfId="0" applyNumberFormat="1" applyFont="1" applyFill="1" applyBorder="1" applyAlignment="1">
      <alignment horizontal="right" vertical="center"/>
    </xf>
    <xf numFmtId="3" fontId="3" fillId="0" borderId="3" xfId="0" applyNumberFormat="1" applyFont="1" applyFill="1" applyBorder="1" applyAlignment="1">
      <alignment horizontal="right" vertical="center"/>
    </xf>
    <xf numFmtId="3" fontId="3" fillId="0" borderId="4" xfId="0" applyNumberFormat="1" applyFont="1" applyFill="1" applyBorder="1" applyAlignment="1">
      <alignment horizontal="right" vertical="center"/>
    </xf>
    <xf numFmtId="0" fontId="0" fillId="0" borderId="135" xfId="0" applyFill="1" applyBorder="1" applyAlignment="1">
      <alignment horizontal="center"/>
    </xf>
    <xf numFmtId="0" fontId="2" fillId="0" borderId="135" xfId="0" applyFont="1" applyFill="1" applyBorder="1"/>
    <xf numFmtId="0" fontId="2" fillId="0" borderId="70" xfId="0" applyFont="1" applyFill="1" applyBorder="1"/>
    <xf numFmtId="0" fontId="0" fillId="0" borderId="146" xfId="0" applyFill="1" applyBorder="1" applyAlignment="1">
      <alignment vertical="center"/>
    </xf>
    <xf numFmtId="0" fontId="0" fillId="0" borderId="135" xfId="0" applyFill="1" applyBorder="1" applyAlignment="1">
      <alignment horizontal="center" vertical="center"/>
    </xf>
    <xf numFmtId="0" fontId="0" fillId="0" borderId="70" xfId="0" applyFill="1" applyBorder="1" applyAlignment="1">
      <alignment vertical="center"/>
    </xf>
    <xf numFmtId="0" fontId="0" fillId="0" borderId="147" xfId="0" applyFill="1" applyBorder="1" applyAlignment="1">
      <alignment vertical="center"/>
    </xf>
    <xf numFmtId="0" fontId="47" fillId="0" borderId="0" xfId="3" applyFont="1" applyBorder="1" applyAlignment="1" applyProtection="1">
      <alignment vertical="center"/>
    </xf>
    <xf numFmtId="10" fontId="3" fillId="0" borderId="6" xfId="0" applyNumberFormat="1" applyFont="1" applyFill="1" applyBorder="1" applyAlignment="1">
      <alignment horizontal="right" vertical="center"/>
    </xf>
    <xf numFmtId="10" fontId="29" fillId="0" borderId="6" xfId="0" applyNumberFormat="1" applyFont="1" applyFill="1" applyBorder="1" applyAlignment="1">
      <alignment horizontal="right" vertical="center"/>
    </xf>
    <xf numFmtId="10" fontId="29" fillId="0" borderId="2" xfId="0" applyNumberFormat="1" applyFont="1" applyFill="1" applyBorder="1" applyAlignment="1">
      <alignment horizontal="right" vertical="center"/>
    </xf>
    <xf numFmtId="10" fontId="3" fillId="0" borderId="2" xfId="0" applyNumberFormat="1" applyFont="1" applyFill="1" applyBorder="1" applyAlignment="1">
      <alignment horizontal="right" vertical="center"/>
    </xf>
    <xf numFmtId="0" fontId="6" fillId="0" borderId="2" xfId="0" applyFont="1" applyFill="1" applyBorder="1" applyAlignment="1">
      <alignment horizontal="center" vertical="center" wrapText="1"/>
    </xf>
    <xf numFmtId="171" fontId="4" fillId="2" borderId="10" xfId="0" applyNumberFormat="1" applyFont="1" applyFill="1" applyBorder="1" applyAlignment="1">
      <alignment horizontal="centerContinuous" vertical="center"/>
    </xf>
    <xf numFmtId="171" fontId="4" fillId="2" borderId="7" xfId="0" applyNumberFormat="1" applyFont="1" applyFill="1" applyBorder="1" applyAlignment="1">
      <alignment horizontal="centerContinuous" vertical="center"/>
    </xf>
    <xf numFmtId="171" fontId="4" fillId="2" borderId="8" xfId="0" applyNumberFormat="1" applyFont="1" applyFill="1" applyBorder="1" applyAlignment="1">
      <alignment horizontal="centerContinuous" vertical="center"/>
    </xf>
    <xf numFmtId="171" fontId="29" fillId="0" borderId="6" xfId="0" applyNumberFormat="1" applyFont="1" applyFill="1" applyBorder="1" applyAlignment="1">
      <alignment horizontal="right" vertical="center" wrapText="1"/>
    </xf>
    <xf numFmtId="171" fontId="29" fillId="0" borderId="0" xfId="0" applyNumberFormat="1" applyFont="1" applyFill="1" applyBorder="1" applyAlignment="1">
      <alignment horizontal="right" vertical="center" wrapText="1"/>
    </xf>
    <xf numFmtId="171" fontId="29" fillId="0" borderId="9" xfId="0" applyNumberFormat="1" applyFont="1" applyFill="1" applyBorder="1" applyAlignment="1">
      <alignment horizontal="right" vertical="center" wrapText="1"/>
    </xf>
    <xf numFmtId="171" fontId="29" fillId="0" borderId="1" xfId="0" applyNumberFormat="1" applyFont="1" applyFill="1" applyBorder="1" applyAlignment="1">
      <alignment horizontal="right" vertical="center" wrapText="1"/>
    </xf>
    <xf numFmtId="171" fontId="29" fillId="0" borderId="40" xfId="0" applyNumberFormat="1" applyFont="1" applyFill="1" applyBorder="1" applyAlignment="1">
      <alignment horizontal="right" vertical="center" wrapText="1"/>
    </xf>
    <xf numFmtId="171" fontId="29" fillId="0" borderId="18" xfId="0" applyNumberFormat="1" applyFont="1" applyFill="1" applyBorder="1" applyAlignment="1">
      <alignment horizontal="right" vertical="center" wrapText="1"/>
    </xf>
    <xf numFmtId="171" fontId="29" fillId="0" borderId="47" xfId="0" applyNumberFormat="1" applyFont="1" applyFill="1" applyBorder="1" applyAlignment="1">
      <alignment horizontal="right" vertical="center" wrapText="1"/>
    </xf>
    <xf numFmtId="171" fontId="29" fillId="0" borderId="26" xfId="0" applyNumberFormat="1" applyFont="1" applyFill="1" applyBorder="1" applyAlignment="1">
      <alignment horizontal="right" vertical="center" wrapText="1"/>
    </xf>
    <xf numFmtId="171" fontId="29" fillId="0" borderId="40" xfId="0" applyNumberFormat="1" applyFont="1" applyFill="1" applyBorder="1" applyAlignment="1">
      <alignment horizontal="right" vertical="center"/>
    </xf>
    <xf numFmtId="171" fontId="29" fillId="0" borderId="18" xfId="0" applyNumberFormat="1" applyFont="1" applyFill="1" applyBorder="1" applyAlignment="1">
      <alignment horizontal="right" vertical="center"/>
    </xf>
    <xf numFmtId="171" fontId="29" fillId="0" borderId="26" xfId="0" applyNumberFormat="1" applyFont="1" applyFill="1" applyBorder="1" applyAlignment="1">
      <alignment horizontal="right" vertical="center"/>
    </xf>
    <xf numFmtId="171" fontId="29" fillId="0" borderId="47" xfId="0" applyNumberFormat="1" applyFont="1" applyFill="1" applyBorder="1" applyAlignment="1">
      <alignment horizontal="right" vertical="center"/>
    </xf>
    <xf numFmtId="171" fontId="29" fillId="0" borderId="2" xfId="0" applyNumberFormat="1" applyFont="1" applyFill="1" applyBorder="1" applyAlignment="1">
      <alignment horizontal="right" vertical="center" wrapText="1"/>
    </xf>
    <xf numFmtId="171" fontId="29" fillId="0" borderId="9" xfId="0" applyNumberFormat="1" applyFont="1" applyFill="1" applyBorder="1" applyAlignment="1">
      <alignment horizontal="right" vertical="center"/>
    </xf>
    <xf numFmtId="171" fontId="30" fillId="8" borderId="6" xfId="0" applyNumberFormat="1" applyFont="1" applyFill="1" applyBorder="1" applyAlignment="1">
      <alignment horizontal="right" vertical="center" wrapText="1"/>
    </xf>
    <xf numFmtId="171" fontId="30" fillId="8" borderId="148" xfId="0" applyNumberFormat="1" applyFont="1" applyFill="1" applyBorder="1" applyAlignment="1">
      <alignment horizontal="right" vertical="center" wrapText="1"/>
    </xf>
    <xf numFmtId="171" fontId="30" fillId="8" borderId="135" xfId="0" applyNumberFormat="1" applyFont="1" applyFill="1" applyBorder="1" applyAlignment="1">
      <alignment horizontal="right" vertical="center" wrapText="1"/>
    </xf>
    <xf numFmtId="171" fontId="30" fillId="8" borderId="70" xfId="0" applyNumberFormat="1" applyFont="1" applyFill="1" applyBorder="1" applyAlignment="1">
      <alignment horizontal="right" vertical="center" wrapText="1"/>
    </xf>
    <xf numFmtId="171" fontId="30" fillId="8" borderId="0" xfId="0" applyNumberFormat="1" applyFont="1" applyFill="1" applyBorder="1" applyAlignment="1">
      <alignment horizontal="right" vertical="center" wrapText="1"/>
    </xf>
    <xf numFmtId="171" fontId="30" fillId="8" borderId="1" xfId="0" applyNumberFormat="1" applyFont="1" applyFill="1" applyBorder="1" applyAlignment="1">
      <alignment horizontal="right" vertical="center" wrapText="1"/>
    </xf>
    <xf numFmtId="171" fontId="29" fillId="0" borderId="0" xfId="0" applyNumberFormat="1" applyFont="1" applyFill="1" applyAlignment="1">
      <alignment horizontal="right" vertical="center" wrapText="1"/>
    </xf>
    <xf numFmtId="171" fontId="29" fillId="0" borderId="0" xfId="0" applyNumberFormat="1" applyFont="1" applyFill="1" applyAlignment="1">
      <alignment horizontal="right" vertical="center"/>
    </xf>
    <xf numFmtId="171" fontId="29" fillId="0" borderId="0" xfId="0" applyNumberFormat="1" applyFont="1" applyFill="1" applyBorder="1" applyAlignment="1">
      <alignment horizontal="right" vertical="center"/>
    </xf>
    <xf numFmtId="171" fontId="30" fillId="8" borderId="0" xfId="0" applyNumberFormat="1" applyFont="1" applyFill="1" applyAlignment="1">
      <alignment horizontal="right" vertical="center" wrapText="1"/>
    </xf>
    <xf numFmtId="171" fontId="29" fillId="9" borderId="9" xfId="0" applyNumberFormat="1" applyFont="1" applyFill="1" applyBorder="1" applyAlignment="1">
      <alignment horizontal="right" vertical="center" wrapText="1"/>
    </xf>
    <xf numFmtId="171" fontId="30" fillId="8" borderId="6" xfId="0" applyNumberFormat="1" applyFont="1" applyFill="1" applyBorder="1" applyAlignment="1">
      <alignment horizontal="right" vertical="center"/>
    </xf>
    <xf numFmtId="171" fontId="30" fillId="8" borderId="0" xfId="0" applyNumberFormat="1" applyFont="1" applyFill="1" applyAlignment="1">
      <alignment horizontal="right" vertical="center"/>
    </xf>
    <xf numFmtId="171" fontId="30" fillId="8" borderId="1" xfId="0" applyNumberFormat="1" applyFont="1" applyFill="1" applyBorder="1" applyAlignment="1">
      <alignment horizontal="right" vertical="center"/>
    </xf>
    <xf numFmtId="171" fontId="29" fillId="9" borderId="9" xfId="0" applyNumberFormat="1" applyFont="1" applyFill="1" applyBorder="1" applyAlignment="1">
      <alignment horizontal="right" vertical="center"/>
    </xf>
    <xf numFmtId="171" fontId="30" fillId="8" borderId="9" xfId="0" applyNumberFormat="1" applyFont="1" applyFill="1" applyBorder="1" applyAlignment="1">
      <alignment horizontal="right" vertical="center"/>
    </xf>
    <xf numFmtId="0" fontId="4" fillId="2" borderId="83" xfId="0" applyFont="1" applyFill="1" applyBorder="1" applyAlignment="1">
      <alignment vertical="center"/>
    </xf>
    <xf numFmtId="0" fontId="2" fillId="2" borderId="46" xfId="0" applyFont="1" applyFill="1" applyBorder="1"/>
    <xf numFmtId="0" fontId="6" fillId="2" borderId="119" xfId="0" applyFont="1" applyFill="1" applyBorder="1" applyAlignment="1">
      <alignment vertical="center" wrapText="1"/>
    </xf>
    <xf numFmtId="0" fontId="4" fillId="2" borderId="6" xfId="0" applyFont="1" applyFill="1" applyBorder="1"/>
    <xf numFmtId="0" fontId="0" fillId="2" borderId="2" xfId="0" applyFill="1" applyBorder="1" applyAlignment="1">
      <alignment vertical="center"/>
    </xf>
    <xf numFmtId="171" fontId="6" fillId="0" borderId="12" xfId="0" applyNumberFormat="1" applyFont="1" applyFill="1" applyBorder="1" applyAlignment="1">
      <alignment horizontal="right" vertical="center" wrapText="1"/>
    </xf>
    <xf numFmtId="171" fontId="6" fillId="0" borderId="33" xfId="0" applyNumberFormat="1" applyFont="1" applyFill="1" applyBorder="1" applyAlignment="1">
      <alignment horizontal="right" vertical="center" wrapText="1"/>
    </xf>
    <xf numFmtId="171" fontId="6" fillId="0" borderId="15" xfId="0" applyNumberFormat="1" applyFont="1" applyFill="1" applyBorder="1" applyAlignment="1">
      <alignment horizontal="right" vertical="center" wrapText="1"/>
    </xf>
    <xf numFmtId="171" fontId="6" fillId="0" borderId="120" xfId="0" applyNumberFormat="1" applyFont="1" applyFill="1" applyBorder="1" applyAlignment="1">
      <alignment horizontal="right" vertical="center" wrapText="1"/>
    </xf>
    <xf numFmtId="171" fontId="6" fillId="0" borderId="0" xfId="0" applyNumberFormat="1" applyFont="1" applyFill="1" applyBorder="1" applyAlignment="1">
      <alignment horizontal="right" vertical="center" wrapText="1"/>
    </xf>
    <xf numFmtId="171" fontId="6" fillId="0" borderId="81" xfId="0" applyNumberFormat="1" applyFont="1" applyFill="1" applyBorder="1" applyAlignment="1">
      <alignment horizontal="right" vertical="center" wrapText="1"/>
    </xf>
    <xf numFmtId="171" fontId="6" fillId="0" borderId="42" xfId="0" applyNumberFormat="1" applyFont="1" applyFill="1" applyBorder="1" applyAlignment="1">
      <alignment horizontal="right" vertical="center" wrapText="1"/>
    </xf>
    <xf numFmtId="171" fontId="6" fillId="0" borderId="1" xfId="0" applyNumberFormat="1" applyFont="1" applyFill="1" applyBorder="1" applyAlignment="1">
      <alignment horizontal="right" vertical="center" wrapText="1"/>
    </xf>
    <xf numFmtId="171" fontId="6" fillId="0" borderId="83" xfId="0" applyNumberFormat="1" applyFont="1" applyFill="1" applyBorder="1" applyAlignment="1">
      <alignment horizontal="right" vertical="center" wrapText="1"/>
    </xf>
    <xf numFmtId="171" fontId="6" fillId="0" borderId="84" xfId="0" applyNumberFormat="1" applyFont="1" applyFill="1" applyBorder="1" applyAlignment="1">
      <alignment horizontal="right" vertical="center" wrapText="1"/>
    </xf>
    <xf numFmtId="171" fontId="6" fillId="0" borderId="18" xfId="0" applyNumberFormat="1" applyFont="1" applyFill="1" applyBorder="1" applyAlignment="1">
      <alignment horizontal="right" vertical="center" wrapText="1"/>
    </xf>
    <xf numFmtId="171" fontId="6" fillId="0" borderId="149" xfId="0" applyNumberFormat="1" applyFont="1" applyFill="1" applyBorder="1" applyAlignment="1">
      <alignment horizontal="right" vertical="center" wrapText="1"/>
    </xf>
    <xf numFmtId="171" fontId="6" fillId="0" borderId="26" xfId="0" applyNumberFormat="1" applyFont="1" applyFill="1" applyBorder="1" applyAlignment="1">
      <alignment horizontal="right" vertical="center" wrapText="1"/>
    </xf>
    <xf numFmtId="171" fontId="6" fillId="0" borderId="136" xfId="0" applyNumberFormat="1" applyFont="1" applyFill="1" applyBorder="1" applyAlignment="1">
      <alignment horizontal="right" vertical="center" wrapText="1"/>
    </xf>
    <xf numFmtId="171" fontId="6" fillId="0" borderId="40" xfId="0" applyNumberFormat="1" applyFont="1" applyFill="1" applyBorder="1" applyAlignment="1">
      <alignment horizontal="right" vertical="center" wrapText="1"/>
    </xf>
    <xf numFmtId="171" fontId="6" fillId="0" borderId="126" xfId="0" applyNumberFormat="1" applyFont="1" applyFill="1" applyBorder="1" applyAlignment="1">
      <alignment horizontal="right" vertical="center" wrapText="1"/>
    </xf>
    <xf numFmtId="171" fontId="5" fillId="8" borderId="0" xfId="0" applyNumberFormat="1" applyFont="1" applyFill="1" applyBorder="1" applyAlignment="1">
      <alignment horizontal="right" vertical="center" wrapText="1"/>
    </xf>
    <xf numFmtId="171" fontId="5" fillId="8" borderId="42" xfId="0" applyNumberFormat="1" applyFont="1" applyFill="1" applyBorder="1" applyAlignment="1">
      <alignment horizontal="right" vertical="center" wrapText="1"/>
    </xf>
    <xf numFmtId="171" fontId="6" fillId="9" borderId="84" xfId="0" applyNumberFormat="1" applyFont="1" applyFill="1" applyBorder="1" applyAlignment="1">
      <alignment horizontal="right" vertical="center" wrapText="1"/>
    </xf>
    <xf numFmtId="171" fontId="6" fillId="0" borderId="3" xfId="0" applyNumberFormat="1" applyFont="1" applyFill="1" applyBorder="1" applyAlignment="1">
      <alignment horizontal="right" vertical="center" wrapText="1"/>
    </xf>
    <xf numFmtId="171" fontId="6" fillId="0" borderId="34" xfId="0" applyNumberFormat="1" applyFont="1" applyFill="1" applyBorder="1" applyAlignment="1">
      <alignment horizontal="right" vertical="center" wrapText="1"/>
    </xf>
    <xf numFmtId="171" fontId="6" fillId="0" borderId="4" xfId="0" applyNumberFormat="1" applyFont="1" applyFill="1" applyBorder="1" applyAlignment="1">
      <alignment horizontal="right" vertical="center" wrapText="1"/>
    </xf>
    <xf numFmtId="171" fontId="6" fillId="0" borderId="46" xfId="0" applyNumberFormat="1" applyFont="1" applyFill="1" applyBorder="1" applyAlignment="1">
      <alignment horizontal="right" vertical="center" wrapText="1"/>
    </xf>
    <xf numFmtId="171" fontId="6" fillId="0" borderId="41" xfId="0" applyNumberFormat="1" applyFont="1" applyFill="1" applyBorder="1" applyAlignment="1">
      <alignment horizontal="right" vertical="center" wrapText="1"/>
    </xf>
    <xf numFmtId="171" fontId="4" fillId="2" borderId="0" xfId="0" applyNumberFormat="1" applyFont="1" applyFill="1" applyBorder="1" applyAlignment="1">
      <alignment horizontal="centerContinuous" vertical="center"/>
    </xf>
    <xf numFmtId="171" fontId="4" fillId="2" borderId="4" xfId="0" applyNumberFormat="1" applyFont="1" applyFill="1" applyBorder="1" applyAlignment="1">
      <alignment horizontal="centerContinuous" vertical="center"/>
    </xf>
    <xf numFmtId="0" fontId="47" fillId="0" borderId="0" xfId="3" applyFont="1" applyFill="1" applyBorder="1" applyAlignment="1" applyProtection="1">
      <alignment vertical="center"/>
    </xf>
    <xf numFmtId="2" fontId="3" fillId="0" borderId="150" xfId="0" applyNumberFormat="1" applyFont="1" applyFill="1" applyBorder="1" applyAlignment="1">
      <alignment vertical="center"/>
    </xf>
    <xf numFmtId="2" fontId="3" fillId="0" borderId="151" xfId="0" applyNumberFormat="1" applyFont="1" applyFill="1" applyBorder="1" applyAlignment="1">
      <alignment vertical="center"/>
    </xf>
    <xf numFmtId="2" fontId="3" fillId="0" borderId="122" xfId="0" applyNumberFormat="1" applyFont="1" applyFill="1" applyBorder="1" applyAlignment="1">
      <alignment vertical="center"/>
    </xf>
    <xf numFmtId="2" fontId="3" fillId="0" borderId="152" xfId="0" applyNumberFormat="1" applyFont="1" applyFill="1" applyBorder="1" applyAlignment="1">
      <alignment vertical="center"/>
    </xf>
    <xf numFmtId="2" fontId="3" fillId="0" borderId="2" xfId="0" applyNumberFormat="1" applyFont="1" applyFill="1" applyBorder="1" applyAlignment="1">
      <alignment vertical="center"/>
    </xf>
    <xf numFmtId="2" fontId="3" fillId="0" borderId="140" xfId="0" applyNumberFormat="1" applyFont="1" applyFill="1" applyBorder="1" applyAlignment="1">
      <alignment horizontal="center" vertical="center"/>
    </xf>
    <xf numFmtId="2" fontId="3" fillId="0" borderId="6" xfId="0" applyNumberFormat="1" applyFont="1" applyFill="1" applyBorder="1" applyAlignment="1">
      <alignment horizontal="left" vertical="center" readingOrder="1"/>
    </xf>
    <xf numFmtId="0" fontId="0" fillId="0" borderId="0" xfId="0" applyAlignment="1">
      <alignment horizontal="left" vertical="center" readingOrder="1"/>
    </xf>
    <xf numFmtId="2" fontId="3" fillId="0" borderId="0" xfId="0" applyNumberFormat="1" applyFont="1" applyFill="1" applyBorder="1" applyAlignment="1">
      <alignment horizontal="right" vertical="center"/>
    </xf>
    <xf numFmtId="2" fontId="3" fillId="0" borderId="49" xfId="0" applyNumberFormat="1" applyFont="1" applyFill="1" applyBorder="1" applyAlignment="1">
      <alignment horizontal="right" vertical="center"/>
    </xf>
    <xf numFmtId="2" fontId="3" fillId="0" borderId="1" xfId="0" applyNumberFormat="1" applyFont="1" applyFill="1" applyBorder="1" applyAlignment="1">
      <alignment horizontal="right" vertical="center"/>
    </xf>
    <xf numFmtId="0" fontId="55" fillId="0" borderId="0" xfId="0" applyFont="1" applyFill="1" applyAlignment="1">
      <alignment vertical="center"/>
    </xf>
    <xf numFmtId="0" fontId="4" fillId="0" borderId="153" xfId="0" applyFont="1" applyFill="1" applyBorder="1" applyAlignment="1">
      <alignment horizontal="center" vertical="center"/>
    </xf>
    <xf numFmtId="0" fontId="4" fillId="0" borderId="154" xfId="0" applyFont="1" applyFill="1" applyBorder="1" applyAlignment="1">
      <alignment horizontal="center" vertical="center"/>
    </xf>
    <xf numFmtId="0" fontId="29" fillId="0" borderId="11" xfId="0" applyFont="1" applyFill="1" applyBorder="1" applyAlignment="1">
      <alignment vertical="center"/>
    </xf>
    <xf numFmtId="0" fontId="29" fillId="0" borderId="12" xfId="0" applyFont="1" applyFill="1" applyBorder="1" applyAlignment="1">
      <alignment horizontal="center" vertical="center"/>
    </xf>
    <xf numFmtId="0" fontId="5" fillId="2" borderId="21" xfId="0" applyFont="1" applyFill="1" applyBorder="1" applyAlignment="1">
      <alignment vertical="center"/>
    </xf>
    <xf numFmtId="0" fontId="6" fillId="0" borderId="11" xfId="0" applyFont="1" applyFill="1" applyBorder="1" applyAlignment="1">
      <alignment vertical="center"/>
    </xf>
    <xf numFmtId="0" fontId="7" fillId="3" borderId="0" xfId="0" applyFont="1" applyFill="1" applyBorder="1" applyAlignment="1">
      <alignment horizontal="centerContinuous" vertical="center"/>
    </xf>
    <xf numFmtId="0" fontId="7" fillId="3" borderId="1" xfId="0" applyFont="1" applyFill="1" applyBorder="1" applyAlignment="1">
      <alignment horizontal="centerContinuous" vertical="center"/>
    </xf>
    <xf numFmtId="0" fontId="7" fillId="3" borderId="21" xfId="0" applyFont="1" applyFill="1" applyBorder="1" applyAlignment="1">
      <alignment horizontal="centerContinuous" vertical="center"/>
    </xf>
    <xf numFmtId="166" fontId="3" fillId="0" borderId="1" xfId="0" applyNumberFormat="1" applyFont="1" applyFill="1" applyBorder="1" applyAlignment="1">
      <alignment horizontal="center"/>
    </xf>
    <xf numFmtId="0" fontId="3" fillId="0" borderId="2" xfId="0" applyFont="1" applyFill="1" applyBorder="1" applyAlignment="1">
      <alignment horizontal="left" vertical="center"/>
    </xf>
    <xf numFmtId="0" fontId="18" fillId="0" borderId="0" xfId="0" applyFont="1" applyFill="1" applyAlignment="1">
      <alignment vertical="center"/>
    </xf>
    <xf numFmtId="0" fontId="0" fillId="3" borderId="8" xfId="0" applyFill="1" applyBorder="1" applyAlignment="1"/>
    <xf numFmtId="0" fontId="0" fillId="2" borderId="8" xfId="0" applyFill="1" applyBorder="1" applyAlignment="1">
      <alignment horizontal="centerContinuous" vertical="center"/>
    </xf>
    <xf numFmtId="169" fontId="6" fillId="0" borderId="12" xfId="0" applyNumberFormat="1" applyFont="1" applyFill="1" applyBorder="1" applyAlignment="1">
      <alignment horizontal="center" vertical="center"/>
    </xf>
    <xf numFmtId="169" fontId="6" fillId="0" borderId="11" xfId="0" applyNumberFormat="1" applyFont="1" applyFill="1" applyBorder="1" applyAlignment="1">
      <alignment horizontal="center" vertical="center"/>
    </xf>
    <xf numFmtId="169" fontId="6" fillId="0" borderId="3" xfId="0" applyNumberFormat="1" applyFont="1" applyFill="1" applyBorder="1" applyAlignment="1">
      <alignment horizontal="center" vertical="center"/>
    </xf>
    <xf numFmtId="169" fontId="6" fillId="0" borderId="2" xfId="0" applyNumberFormat="1" applyFont="1" applyFill="1" applyBorder="1" applyAlignment="1">
      <alignment horizontal="center" vertical="center"/>
    </xf>
    <xf numFmtId="0" fontId="5" fillId="2" borderId="93" xfId="0" applyFont="1" applyFill="1" applyBorder="1" applyAlignment="1">
      <alignment horizontal="centerContinuous" vertical="center" wrapText="1"/>
    </xf>
    <xf numFmtId="0" fontId="5" fillId="2" borderId="95" xfId="0" applyFont="1" applyFill="1" applyBorder="1" applyAlignment="1">
      <alignment horizontal="centerContinuous" vertical="center" wrapText="1"/>
    </xf>
    <xf numFmtId="1" fontId="6" fillId="0" borderId="0" xfId="0" applyNumberFormat="1" applyFont="1" applyFill="1" applyBorder="1" applyAlignment="1">
      <alignment horizontal="center" vertical="center" wrapText="1"/>
    </xf>
    <xf numFmtId="2" fontId="3" fillId="0" borderId="84" xfId="0" applyNumberFormat="1" applyFont="1" applyFill="1" applyBorder="1" applyAlignment="1">
      <alignment horizontal="center" vertical="center" wrapText="1"/>
    </xf>
    <xf numFmtId="2" fontId="4" fillId="0" borderId="41" xfId="0" applyNumberFormat="1" applyFont="1" applyFill="1" applyBorder="1" applyAlignment="1">
      <alignment horizontal="center" vertical="center" wrapText="1"/>
    </xf>
    <xf numFmtId="0" fontId="4" fillId="0" borderId="9" xfId="0" applyFont="1" applyFill="1" applyBorder="1" applyAlignment="1">
      <alignment vertical="center"/>
    </xf>
    <xf numFmtId="2" fontId="6" fillId="0" borderId="21" xfId="0" applyNumberFormat="1" applyFont="1" applyFill="1" applyBorder="1" applyAlignment="1">
      <alignment horizontal="center" vertical="center"/>
    </xf>
    <xf numFmtId="0" fontId="3" fillId="0" borderId="47" xfId="0" applyFont="1" applyFill="1" applyBorder="1" applyAlignment="1">
      <alignment vertical="center"/>
    </xf>
    <xf numFmtId="0" fontId="6" fillId="0" borderId="18" xfId="0" applyFont="1" applyFill="1" applyBorder="1" applyAlignment="1">
      <alignment vertical="center"/>
    </xf>
    <xf numFmtId="0" fontId="5" fillId="0" borderId="9" xfId="0" applyFont="1" applyFill="1" applyBorder="1" applyAlignment="1">
      <alignment vertical="center"/>
    </xf>
    <xf numFmtId="0" fontId="5" fillId="0" borderId="47" xfId="0" applyFont="1" applyFill="1" applyBorder="1" applyAlignment="1">
      <alignment vertical="center"/>
    </xf>
    <xf numFmtId="0" fontId="6" fillId="0" borderId="5" xfId="0" applyFont="1" applyFill="1" applyBorder="1" applyAlignment="1">
      <alignment horizontal="justify" vertical="center" wrapText="1"/>
    </xf>
    <xf numFmtId="0" fontId="4" fillId="2" borderId="9" xfId="0" applyFont="1" applyFill="1" applyBorder="1" applyAlignment="1">
      <alignment vertical="center"/>
    </xf>
    <xf numFmtId="0" fontId="5" fillId="2" borderId="5" xfId="0" applyFont="1" applyFill="1" applyBorder="1" applyAlignment="1">
      <alignment vertical="center"/>
    </xf>
    <xf numFmtId="0" fontId="5" fillId="2" borderId="120" xfId="0" applyFont="1" applyFill="1" applyBorder="1" applyAlignment="1">
      <alignment horizontal="center" vertical="center" wrapText="1"/>
    </xf>
    <xf numFmtId="0" fontId="7" fillId="3" borderId="12" xfId="0" applyFont="1" applyFill="1" applyBorder="1" applyAlignment="1">
      <alignment horizontal="left" vertical="center"/>
    </xf>
    <xf numFmtId="0" fontId="24" fillId="3" borderId="12" xfId="0" applyFont="1" applyFill="1" applyBorder="1" applyAlignment="1">
      <alignment horizontal="left" vertical="center"/>
    </xf>
    <xf numFmtId="0" fontId="7" fillId="3" borderId="15" xfId="0" applyFont="1" applyFill="1" applyBorder="1" applyAlignment="1">
      <alignment horizontal="left" vertical="center"/>
    </xf>
    <xf numFmtId="0" fontId="7" fillId="3" borderId="3" xfId="0" applyFont="1" applyFill="1" applyBorder="1" applyAlignment="1">
      <alignment horizontal="left" vertical="center"/>
    </xf>
    <xf numFmtId="0" fontId="24" fillId="3" borderId="3" xfId="0" applyFont="1" applyFill="1" applyBorder="1" applyAlignment="1">
      <alignment horizontal="left" vertical="center"/>
    </xf>
    <xf numFmtId="0" fontId="7" fillId="3" borderId="4" xfId="0" applyFont="1" applyFill="1" applyBorder="1" applyAlignment="1">
      <alignment horizontal="left" vertical="center"/>
    </xf>
    <xf numFmtId="169" fontId="4" fillId="2" borderId="121" xfId="0" applyNumberFormat="1" applyFont="1" applyFill="1" applyBorder="1" applyAlignment="1">
      <alignment horizontal="centerContinuous" vertical="center"/>
    </xf>
    <xf numFmtId="2" fontId="3" fillId="0" borderId="6" xfId="0" applyNumberFormat="1" applyFont="1" applyFill="1" applyBorder="1" applyAlignment="1">
      <alignment horizontal="right" vertical="center"/>
    </xf>
    <xf numFmtId="169" fontId="4" fillId="2" borderId="99" xfId="0" applyNumberFormat="1" applyFont="1" applyFill="1" applyBorder="1" applyAlignment="1">
      <alignment horizontal="centerContinuous" vertical="center"/>
    </xf>
    <xf numFmtId="169" fontId="4" fillId="2" borderId="127" xfId="0" applyNumberFormat="1" applyFont="1" applyFill="1" applyBorder="1" applyAlignment="1">
      <alignment horizontal="center" vertical="center"/>
    </xf>
    <xf numFmtId="2" fontId="3" fillId="0" borderId="150" xfId="0" applyNumberFormat="1" applyFont="1" applyFill="1" applyBorder="1" applyAlignment="1">
      <alignment horizontal="right" vertical="center"/>
    </xf>
    <xf numFmtId="169" fontId="4" fillId="2" borderId="85" xfId="0" applyNumberFormat="1" applyFont="1" applyFill="1" applyBorder="1" applyAlignment="1">
      <alignment horizontal="center" vertical="center"/>
    </xf>
    <xf numFmtId="169" fontId="4" fillId="2" borderId="38" xfId="0" applyNumberFormat="1" applyFont="1" applyFill="1" applyBorder="1" applyAlignment="1">
      <alignment horizontal="center" vertical="center"/>
    </xf>
    <xf numFmtId="0" fontId="3" fillId="2" borderId="14" xfId="0" applyFont="1" applyFill="1" applyBorder="1" applyAlignment="1">
      <alignment horizontal="centerContinuous" vertical="center"/>
    </xf>
    <xf numFmtId="2" fontId="3" fillId="0" borderId="3" xfId="0" applyNumberFormat="1" applyFont="1" applyFill="1" applyBorder="1" applyAlignment="1">
      <alignment horizontal="center" vertical="center"/>
    </xf>
    <xf numFmtId="2" fontId="3" fillId="0" borderId="4" xfId="0" applyNumberFormat="1" applyFont="1" applyFill="1" applyBorder="1" applyAlignment="1">
      <alignment horizontal="center" vertical="center" wrapText="1"/>
    </xf>
    <xf numFmtId="2" fontId="4" fillId="8" borderId="0" xfId="0" applyNumberFormat="1" applyFont="1" applyFill="1" applyBorder="1" applyAlignment="1">
      <alignment horizontal="center" vertical="center" wrapText="1"/>
    </xf>
    <xf numFmtId="2" fontId="4" fillId="8" borderId="18" xfId="0" applyNumberFormat="1" applyFont="1" applyFill="1" applyBorder="1" applyAlignment="1">
      <alignment horizontal="center" vertical="center" wrapText="1"/>
    </xf>
    <xf numFmtId="2" fontId="30" fillId="8" borderId="18" xfId="0" applyNumberFormat="1" applyFont="1" applyFill="1" applyBorder="1" applyAlignment="1">
      <alignment horizontal="center" vertical="center" wrapText="1"/>
    </xf>
    <xf numFmtId="0" fontId="5" fillId="2" borderId="90" xfId="0" applyFont="1" applyFill="1" applyBorder="1" applyAlignment="1">
      <alignment horizontal="center" vertical="center" wrapText="1"/>
    </xf>
    <xf numFmtId="0" fontId="30" fillId="8" borderId="6" xfId="0" applyFont="1" applyFill="1" applyBorder="1" applyAlignment="1">
      <alignment horizontal="center" vertical="center" wrapText="1"/>
    </xf>
    <xf numFmtId="0" fontId="30" fillId="8" borderId="40" xfId="0" applyFont="1" applyFill="1" applyBorder="1" applyAlignment="1">
      <alignment horizontal="center" vertical="center" wrapText="1"/>
    </xf>
    <xf numFmtId="0" fontId="30" fillId="8" borderId="28" xfId="0" applyFont="1" applyFill="1" applyBorder="1" applyAlignment="1">
      <alignment horizontal="center" vertical="center" wrapText="1"/>
    </xf>
    <xf numFmtId="169" fontId="29" fillId="0" borderId="120" xfId="0" applyNumberFormat="1" applyFont="1" applyFill="1" applyBorder="1" applyAlignment="1">
      <alignment horizontal="center" vertical="center" wrapText="1"/>
    </xf>
    <xf numFmtId="169" fontId="29" fillId="0" borderId="83" xfId="0" applyNumberFormat="1" applyFont="1" applyFill="1" applyBorder="1" applyAlignment="1">
      <alignment horizontal="center" vertical="center" wrapText="1"/>
    </xf>
    <xf numFmtId="169" fontId="29" fillId="0" borderId="136" xfId="0" applyNumberFormat="1" applyFont="1" applyFill="1" applyBorder="1" applyAlignment="1">
      <alignment horizontal="center" vertical="center" wrapText="1"/>
    </xf>
    <xf numFmtId="169" fontId="29" fillId="0" borderId="46" xfId="0" applyNumberFormat="1" applyFont="1" applyFill="1" applyBorder="1" applyAlignment="1">
      <alignment horizontal="center" vertical="center" wrapText="1"/>
    </xf>
    <xf numFmtId="0" fontId="7" fillId="3" borderId="6" xfId="0" applyFont="1" applyFill="1" applyBorder="1" applyAlignment="1">
      <alignment horizontal="left" vertical="center"/>
    </xf>
    <xf numFmtId="0" fontId="24" fillId="3" borderId="0" xfId="0" applyFont="1" applyFill="1" applyBorder="1" applyAlignment="1">
      <alignment horizontal="left" vertical="center"/>
    </xf>
    <xf numFmtId="0" fontId="24" fillId="3" borderId="1" xfId="0" applyFont="1" applyFill="1" applyBorder="1" applyAlignment="1">
      <alignment horizontal="left" vertical="center"/>
    </xf>
    <xf numFmtId="0" fontId="4" fillId="0" borderId="12" xfId="0" applyFont="1" applyFill="1" applyBorder="1" applyAlignment="1">
      <alignment horizontal="center"/>
    </xf>
    <xf numFmtId="0" fontId="3" fillId="2" borderId="6" xfId="0" applyFont="1" applyFill="1" applyBorder="1"/>
    <xf numFmtId="0" fontId="24" fillId="3" borderId="12" xfId="0" applyFont="1" applyFill="1" applyBorder="1" applyAlignment="1">
      <alignment horizontal="centerContinuous" vertical="center" wrapText="1"/>
    </xf>
    <xf numFmtId="0" fontId="24" fillId="3" borderId="3" xfId="0" applyFont="1" applyFill="1" applyBorder="1" applyAlignment="1">
      <alignment horizontal="centerContinuous" vertical="center" wrapText="1"/>
    </xf>
    <xf numFmtId="0" fontId="56" fillId="0" borderId="0" xfId="0" applyFont="1" applyFill="1" applyBorder="1" applyAlignment="1">
      <alignment horizontal="center" vertical="center" wrapText="1"/>
    </xf>
    <xf numFmtId="0" fontId="5" fillId="2" borderId="2" xfId="0" applyFont="1" applyFill="1" applyBorder="1" applyAlignment="1">
      <alignment horizontal="center" vertical="center" wrapText="1"/>
    </xf>
    <xf numFmtId="170" fontId="4" fillId="0" borderId="9" xfId="0" applyNumberFormat="1" applyFont="1" applyFill="1" applyBorder="1" applyAlignment="1">
      <alignment horizontal="center" vertical="center"/>
    </xf>
    <xf numFmtId="1" fontId="4" fillId="0" borderId="156" xfId="0" applyNumberFormat="1" applyFont="1" applyFill="1" applyBorder="1" applyAlignment="1">
      <alignment horizontal="center" vertical="center"/>
    </xf>
    <xf numFmtId="1" fontId="4" fillId="0" borderId="42" xfId="0" applyNumberFormat="1" applyFont="1" applyFill="1" applyBorder="1" applyAlignment="1">
      <alignment horizontal="center" vertical="center"/>
    </xf>
    <xf numFmtId="169" fontId="4" fillId="0" borderId="19" xfId="0" applyNumberFormat="1" applyFont="1" applyFill="1" applyBorder="1" applyAlignment="1">
      <alignment horizontal="center" vertical="center"/>
    </xf>
    <xf numFmtId="2" fontId="12" fillId="0" borderId="6" xfId="0" applyNumberFormat="1" applyFont="1" applyFill="1" applyBorder="1" applyAlignment="1">
      <alignment horizontal="left" vertical="center"/>
    </xf>
    <xf numFmtId="2" fontId="4" fillId="0" borderId="9" xfId="0" applyNumberFormat="1" applyFont="1" applyFill="1" applyBorder="1" applyAlignment="1">
      <alignment horizontal="center" vertical="center"/>
    </xf>
    <xf numFmtId="2" fontId="4" fillId="4" borderId="48" xfId="0" applyNumberFormat="1" applyFont="1" applyFill="1" applyBorder="1" applyAlignment="1">
      <alignment horizontal="center" vertical="center"/>
    </xf>
    <xf numFmtId="0" fontId="4" fillId="3" borderId="12" xfId="0" applyFont="1" applyFill="1" applyBorder="1" applyAlignment="1">
      <alignment horizontal="centerContinuous" vertical="center"/>
    </xf>
    <xf numFmtId="0" fontId="4" fillId="3" borderId="15" xfId="0" applyFont="1" applyFill="1" applyBorder="1" applyAlignment="1">
      <alignment horizontal="centerContinuous" vertical="center"/>
    </xf>
    <xf numFmtId="1" fontId="29" fillId="0" borderId="1" xfId="0" applyNumberFormat="1" applyFont="1" applyFill="1" applyBorder="1" applyAlignment="1">
      <alignment horizontal="center" vertical="center" wrapText="1"/>
    </xf>
    <xf numFmtId="1" fontId="29" fillId="0" borderId="9" xfId="0" applyNumberFormat="1" applyFont="1" applyFill="1" applyBorder="1" applyAlignment="1">
      <alignment horizontal="center" vertical="center" wrapText="1"/>
    </xf>
    <xf numFmtId="0" fontId="7" fillId="3" borderId="7"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6" fillId="3" borderId="8" xfId="0" applyFont="1" applyFill="1" applyBorder="1" applyAlignment="1">
      <alignment horizontal="center" vertical="center" wrapText="1"/>
    </xf>
    <xf numFmtId="1" fontId="29" fillId="0" borderId="5" xfId="0" applyNumberFormat="1" applyFont="1" applyFill="1" applyBorder="1" applyAlignment="1">
      <alignment horizontal="center" vertical="center" wrapText="1"/>
    </xf>
    <xf numFmtId="1" fontId="29" fillId="0" borderId="4" xfId="0" applyNumberFormat="1" applyFont="1" applyFill="1" applyBorder="1" applyAlignment="1">
      <alignment horizontal="center" vertical="center" wrapText="1"/>
    </xf>
    <xf numFmtId="2" fontId="3" fillId="0" borderId="42" xfId="0" applyNumberFormat="1" applyFont="1" applyFill="1" applyBorder="1" applyAlignment="1">
      <alignment horizontal="center" vertical="center" wrapText="1"/>
    </xf>
    <xf numFmtId="169" fontId="3" fillId="0" borderId="84" xfId="0" applyNumberFormat="1" applyFont="1" applyFill="1" applyBorder="1" applyAlignment="1">
      <alignment horizontal="center" vertical="center" wrapText="1"/>
    </xf>
    <xf numFmtId="10" fontId="4" fillId="0" borderId="118" xfId="0" applyNumberFormat="1" applyFont="1" applyFill="1" applyBorder="1" applyAlignment="1">
      <alignment horizontal="center" vertical="center"/>
    </xf>
    <xf numFmtId="10" fontId="4" fillId="0" borderId="159" xfId="0" applyNumberFormat="1" applyFont="1" applyFill="1" applyBorder="1" applyAlignment="1">
      <alignment horizontal="center" vertical="center"/>
    </xf>
    <xf numFmtId="10" fontId="4" fillId="0" borderId="160" xfId="0" applyNumberFormat="1" applyFont="1" applyFill="1" applyBorder="1" applyAlignment="1">
      <alignment horizontal="center" vertical="center"/>
    </xf>
    <xf numFmtId="169" fontId="3" fillId="0" borderId="81" xfId="0" applyNumberFormat="1" applyFont="1" applyFill="1" applyBorder="1" applyAlignment="1">
      <alignment horizontal="center" vertical="center" wrapText="1"/>
    </xf>
    <xf numFmtId="169" fontId="3" fillId="0" borderId="126" xfId="0" applyNumberFormat="1" applyFont="1" applyFill="1" applyBorder="1" applyAlignment="1">
      <alignment horizontal="center" vertical="center" wrapText="1"/>
    </xf>
    <xf numFmtId="169" fontId="3" fillId="0" borderId="161" xfId="0" applyNumberFormat="1" applyFont="1" applyFill="1" applyBorder="1" applyAlignment="1">
      <alignment horizontal="center" vertical="center" wrapText="1"/>
    </xf>
    <xf numFmtId="169" fontId="3" fillId="0" borderId="41" xfId="0" applyNumberFormat="1" applyFont="1" applyFill="1" applyBorder="1" applyAlignment="1">
      <alignment horizontal="center" vertical="center" wrapText="1"/>
    </xf>
    <xf numFmtId="169" fontId="6" fillId="0" borderId="15" xfId="0" applyNumberFormat="1" applyFont="1" applyFill="1" applyBorder="1" applyAlignment="1">
      <alignment horizontal="center" vertical="center"/>
    </xf>
    <xf numFmtId="169" fontId="6" fillId="0" borderId="1" xfId="0" applyNumberFormat="1" applyFont="1" applyFill="1" applyBorder="1" applyAlignment="1">
      <alignment horizontal="center" vertical="center"/>
    </xf>
    <xf numFmtId="169" fontId="6" fillId="0" borderId="4" xfId="0" applyNumberFormat="1" applyFont="1" applyFill="1" applyBorder="1" applyAlignment="1">
      <alignment horizontal="center" vertical="center"/>
    </xf>
    <xf numFmtId="0" fontId="4" fillId="0" borderId="0" xfId="0" applyFont="1" applyAlignment="1">
      <alignment horizontal="center"/>
    </xf>
    <xf numFmtId="8" fontId="30" fillId="0" borderId="9" xfId="0" applyNumberFormat="1" applyFont="1" applyFill="1" applyBorder="1" applyAlignment="1">
      <alignment horizontal="center" vertical="center" wrapText="1"/>
    </xf>
    <xf numFmtId="8" fontId="30" fillId="0" borderId="1" xfId="0" applyNumberFormat="1" applyFont="1" applyFill="1" applyBorder="1" applyAlignment="1">
      <alignment horizontal="center" vertical="center" wrapText="1"/>
    </xf>
    <xf numFmtId="8" fontId="30" fillId="0" borderId="0" xfId="0" applyNumberFormat="1" applyFont="1" applyFill="1" applyBorder="1" applyAlignment="1">
      <alignment horizontal="right" vertical="center" wrapText="1"/>
    </xf>
    <xf numFmtId="8" fontId="30" fillId="0" borderId="1" xfId="0" applyNumberFormat="1" applyFont="1" applyFill="1" applyBorder="1" applyAlignment="1">
      <alignment vertical="center"/>
    </xf>
    <xf numFmtId="8" fontId="3" fillId="0" borderId="9" xfId="0" applyNumberFormat="1" applyFont="1" applyFill="1" applyBorder="1" applyAlignment="1">
      <alignment horizontal="center" vertical="center" wrapText="1"/>
    </xf>
    <xf numFmtId="8" fontId="3" fillId="0" borderId="1" xfId="0" applyNumberFormat="1" applyFont="1" applyFill="1" applyBorder="1" applyAlignment="1">
      <alignment horizontal="center" vertical="center" wrapText="1"/>
    </xf>
    <xf numFmtId="8" fontId="3" fillId="0" borderId="0" xfId="0" applyNumberFormat="1" applyFont="1" applyFill="1" applyBorder="1" applyAlignment="1">
      <alignment horizontal="right" vertical="center" wrapText="1"/>
    </xf>
    <xf numFmtId="8" fontId="3" fillId="0" borderId="5" xfId="0" applyNumberFormat="1" applyFont="1" applyFill="1" applyBorder="1" applyAlignment="1">
      <alignment horizontal="center" vertical="center" wrapText="1"/>
    </xf>
    <xf numFmtId="8" fontId="3" fillId="0" borderId="4" xfId="0" applyNumberFormat="1" applyFont="1" applyFill="1" applyBorder="1" applyAlignment="1">
      <alignment horizontal="center" vertical="center" wrapText="1"/>
    </xf>
    <xf numFmtId="8" fontId="3" fillId="0" borderId="4" xfId="0" applyNumberFormat="1" applyFont="1" applyFill="1" applyBorder="1" applyAlignment="1">
      <alignment vertical="center"/>
    </xf>
    <xf numFmtId="8" fontId="3" fillId="0" borderId="6" xfId="0" applyNumberFormat="1" applyFont="1" applyFill="1" applyBorder="1" applyAlignment="1">
      <alignment horizontal="right" vertical="center" wrapText="1"/>
    </xf>
    <xf numFmtId="9" fontId="30" fillId="0" borderId="19" xfId="0" applyNumberFormat="1" applyFont="1" applyFill="1" applyBorder="1" applyAlignment="1">
      <alignment horizontal="center" vertical="center"/>
    </xf>
    <xf numFmtId="177" fontId="3" fillId="0" borderId="120" xfId="0" applyNumberFormat="1" applyFont="1" applyFill="1" applyBorder="1" applyAlignment="1">
      <alignment horizontal="center" vertical="center" wrapText="1"/>
    </xf>
    <xf numFmtId="177" fontId="3" fillId="0" borderId="83" xfId="0" applyNumberFormat="1" applyFont="1" applyFill="1" applyBorder="1" applyAlignment="1">
      <alignment horizontal="center" vertical="center" wrapText="1"/>
    </xf>
    <xf numFmtId="177" fontId="3" fillId="0" borderId="46" xfId="0" applyNumberFormat="1" applyFont="1" applyFill="1" applyBorder="1" applyAlignment="1">
      <alignment horizontal="center" vertical="center" wrapText="1"/>
    </xf>
    <xf numFmtId="168" fontId="4" fillId="0" borderId="19" xfId="0" applyNumberFormat="1" applyFont="1" applyFill="1" applyBorder="1" applyAlignment="1">
      <alignment horizontal="center" vertical="center"/>
    </xf>
    <xf numFmtId="8" fontId="3" fillId="0" borderId="2" xfId="0" applyNumberFormat="1" applyFont="1" applyFill="1" applyBorder="1" applyAlignment="1">
      <alignment horizontal="right" vertical="center" wrapText="1"/>
    </xf>
    <xf numFmtId="0" fontId="7" fillId="3" borderId="12" xfId="0" applyFont="1" applyFill="1" applyBorder="1" applyAlignment="1">
      <alignment horizontal="center" vertical="center"/>
    </xf>
    <xf numFmtId="0" fontId="7" fillId="3" borderId="15" xfId="0" applyFont="1" applyFill="1" applyBorder="1" applyAlignment="1">
      <alignment horizontal="center" vertical="center"/>
    </xf>
    <xf numFmtId="0" fontId="4" fillId="2" borderId="2" xfId="0" applyFont="1" applyFill="1" applyBorder="1" applyAlignment="1">
      <alignment horizontal="center" vertical="center" wrapText="1"/>
    </xf>
    <xf numFmtId="0" fontId="4" fillId="0" borderId="11" xfId="0" applyFont="1" applyBorder="1" applyAlignment="1">
      <alignment vertical="center"/>
    </xf>
    <xf numFmtId="0" fontId="4" fillId="0" borderId="0" xfId="0" applyFont="1" applyBorder="1" applyAlignment="1">
      <alignment horizontal="center" vertical="center"/>
    </xf>
    <xf numFmtId="0" fontId="4" fillId="2" borderId="1" xfId="0" applyFont="1" applyFill="1" applyBorder="1" applyAlignment="1">
      <alignment horizontal="center"/>
    </xf>
    <xf numFmtId="0" fontId="4" fillId="0" borderId="0" xfId="0" applyFont="1" applyBorder="1" applyAlignment="1">
      <alignment horizontal="center" vertical="center" wrapText="1"/>
    </xf>
    <xf numFmtId="0" fontId="0" fillId="3" borderId="0" xfId="0" applyFill="1" applyBorder="1" applyAlignment="1">
      <alignment horizontal="left" vertical="center"/>
    </xf>
    <xf numFmtId="0" fontId="25" fillId="0" borderId="0" xfId="0" applyFont="1" applyFill="1" applyBorder="1" applyAlignment="1">
      <alignment horizontal="left" vertical="center"/>
    </xf>
    <xf numFmtId="0" fontId="4" fillId="2" borderId="3" xfId="0" applyFont="1" applyFill="1" applyBorder="1" applyAlignment="1">
      <alignment horizontal="center" vertical="center" wrapText="1"/>
    </xf>
    <xf numFmtId="0" fontId="4" fillId="6" borderId="0" xfId="3" applyFont="1" applyFill="1" applyBorder="1" applyAlignment="1" applyProtection="1">
      <alignment horizontal="center" vertical="center"/>
    </xf>
    <xf numFmtId="0" fontId="0" fillId="0" borderId="0" xfId="0" applyBorder="1" applyAlignment="1">
      <alignment horizontal="centerContinuous"/>
    </xf>
    <xf numFmtId="0" fontId="3" fillId="0" borderId="0" xfId="0" applyFont="1" applyBorder="1" applyAlignment="1">
      <alignment horizontal="left" vertical="center" wrapText="1"/>
    </xf>
    <xf numFmtId="3" fontId="3" fillId="0" borderId="0" xfId="0" applyNumberFormat="1" applyFont="1" applyFill="1" applyBorder="1" applyAlignment="1">
      <alignment horizontal="right" vertical="center" wrapText="1"/>
    </xf>
    <xf numFmtId="0" fontId="3" fillId="0" borderId="0" xfId="0" applyFont="1" applyBorder="1" applyAlignment="1">
      <alignment horizontal="left" vertical="top" wrapText="1"/>
    </xf>
    <xf numFmtId="3" fontId="0" fillId="0" borderId="0" xfId="0" applyNumberFormat="1" applyBorder="1" applyAlignment="1">
      <alignment vertical="center"/>
    </xf>
    <xf numFmtId="0" fontId="0" fillId="3" borderId="1" xfId="0" applyFill="1" applyBorder="1" applyAlignment="1">
      <alignment horizontal="left" vertical="center"/>
    </xf>
    <xf numFmtId="0" fontId="7" fillId="3" borderId="3" xfId="0" applyFont="1" applyFill="1" applyBorder="1" applyAlignment="1">
      <alignment horizontal="center" vertical="center"/>
    </xf>
    <xf numFmtId="0" fontId="0" fillId="3" borderId="3" xfId="0" applyFill="1" applyBorder="1" applyAlignment="1">
      <alignment horizontal="left" vertical="center"/>
    </xf>
    <xf numFmtId="0" fontId="0" fillId="3" borderId="4" xfId="0" applyFill="1" applyBorder="1" applyAlignment="1">
      <alignment horizontal="left" vertical="center"/>
    </xf>
    <xf numFmtId="0" fontId="4" fillId="0" borderId="0" xfId="0" applyFont="1" applyFill="1" applyBorder="1" applyAlignment="1">
      <alignment horizontal="left" vertical="top"/>
    </xf>
    <xf numFmtId="0" fontId="18" fillId="0" borderId="0" xfId="0" applyFont="1" applyBorder="1" applyAlignment="1">
      <alignment horizontal="justify"/>
    </xf>
    <xf numFmtId="0" fontId="4" fillId="2" borderId="97" xfId="0" applyFont="1" applyFill="1" applyBorder="1" applyAlignment="1">
      <alignment horizontal="centerContinuous" vertical="center"/>
    </xf>
    <xf numFmtId="0" fontId="4" fillId="2" borderId="98" xfId="0" applyFont="1" applyFill="1" applyBorder="1" applyAlignment="1">
      <alignment horizontal="centerContinuous" vertical="center"/>
    </xf>
    <xf numFmtId="0" fontId="0" fillId="2" borderId="102" xfId="0" applyFill="1" applyBorder="1" applyAlignment="1">
      <alignment horizontal="centerContinuous"/>
    </xf>
    <xf numFmtId="0" fontId="3" fillId="0" borderId="0" xfId="10" applyFont="1" applyBorder="1"/>
    <xf numFmtId="0" fontId="3" fillId="2" borderId="0" xfId="10" applyFont="1" applyFill="1" applyBorder="1" applyAlignment="1">
      <alignment horizontal="centerContinuous"/>
    </xf>
    <xf numFmtId="0" fontId="3" fillId="0" borderId="18" xfId="10" applyFont="1" applyBorder="1"/>
    <xf numFmtId="0" fontId="3" fillId="0" borderId="25" xfId="10" applyFont="1" applyBorder="1"/>
    <xf numFmtId="3" fontId="3" fillId="0" borderId="25" xfId="10" applyNumberFormat="1" applyFont="1" applyBorder="1" applyProtection="1"/>
    <xf numFmtId="1" fontId="3" fillId="0" borderId="0" xfId="10" applyNumberFormat="1" applyFont="1" applyBorder="1" applyAlignment="1">
      <alignment horizontal="right"/>
    </xf>
    <xf numFmtId="3" fontId="29" fillId="0" borderId="0" xfId="10" applyNumberFormat="1" applyFont="1" applyBorder="1" applyProtection="1"/>
    <xf numFmtId="3" fontId="29" fillId="0" borderId="18" xfId="10" applyNumberFormat="1" applyFont="1" applyBorder="1" applyProtection="1"/>
    <xf numFmtId="0" fontId="13" fillId="4" borderId="0" xfId="0" applyFont="1" applyFill="1" applyAlignment="1">
      <alignment horizontal="centerContinuous" vertical="center"/>
    </xf>
    <xf numFmtId="0" fontId="13" fillId="4" borderId="0" xfId="0" applyFont="1" applyFill="1" applyBorder="1" applyAlignment="1">
      <alignment horizontal="centerContinuous" vertical="center"/>
    </xf>
    <xf numFmtId="0" fontId="13" fillId="4" borderId="13" xfId="0" applyFont="1" applyFill="1" applyBorder="1" applyAlignment="1">
      <alignment vertical="center"/>
    </xf>
    <xf numFmtId="0" fontId="4" fillId="4" borderId="13" xfId="0" applyFont="1" applyFill="1" applyBorder="1" applyAlignment="1">
      <alignment vertical="center"/>
    </xf>
    <xf numFmtId="0" fontId="14" fillId="4" borderId="0" xfId="0" applyFont="1" applyFill="1" applyBorder="1" applyAlignment="1">
      <alignment vertical="center"/>
    </xf>
    <xf numFmtId="0" fontId="3" fillId="4" borderId="0" xfId="0" applyFont="1" applyFill="1" applyAlignment="1">
      <alignment horizontal="left"/>
    </xf>
    <xf numFmtId="0" fontId="3" fillId="4" borderId="17" xfId="0" applyFont="1" applyFill="1" applyBorder="1" applyAlignment="1">
      <alignment vertical="center"/>
    </xf>
    <xf numFmtId="0" fontId="12" fillId="4" borderId="0" xfId="0" applyFont="1" applyFill="1" applyAlignment="1">
      <alignment vertical="center"/>
    </xf>
    <xf numFmtId="0" fontId="7" fillId="3" borderId="10" xfId="0" applyFont="1" applyFill="1" applyBorder="1" applyAlignment="1">
      <alignment horizontal="left"/>
    </xf>
    <xf numFmtId="0" fontId="7" fillId="3" borderId="7" xfId="0" applyFont="1" applyFill="1" applyBorder="1" applyAlignment="1">
      <alignment horizontal="left"/>
    </xf>
    <xf numFmtId="0" fontId="7" fillId="3" borderId="8" xfId="0" applyFont="1" applyFill="1" applyBorder="1" applyAlignment="1">
      <alignment horizontal="left"/>
    </xf>
    <xf numFmtId="0" fontId="4" fillId="4" borderId="0" xfId="0" applyFont="1" applyFill="1"/>
    <xf numFmtId="170" fontId="4" fillId="4" borderId="0" xfId="11" applyNumberFormat="1" applyFont="1" applyFill="1" applyBorder="1" applyAlignment="1">
      <alignment horizontal="center"/>
    </xf>
    <xf numFmtId="0" fontId="4" fillId="2" borderId="113" xfId="0" applyFont="1" applyFill="1" applyBorder="1" applyAlignment="1">
      <alignment horizontal="center" vertical="center"/>
    </xf>
    <xf numFmtId="0" fontId="4" fillId="2" borderId="116" xfId="0" applyFont="1" applyFill="1" applyBorder="1" applyAlignment="1">
      <alignment horizontal="center" vertical="center"/>
    </xf>
    <xf numFmtId="0" fontId="4" fillId="2" borderId="162" xfId="0" applyFont="1" applyFill="1" applyBorder="1" applyAlignment="1">
      <alignment horizontal="center" vertical="center"/>
    </xf>
    <xf numFmtId="0" fontId="3" fillId="4" borderId="163" xfId="8" applyFont="1" applyFill="1" applyBorder="1" applyAlignment="1">
      <alignment horizontal="center" vertical="center" wrapText="1"/>
    </xf>
    <xf numFmtId="170" fontId="29" fillId="4" borderId="142" xfId="0" applyNumberFormat="1" applyFont="1" applyFill="1" applyBorder="1" applyAlignment="1">
      <alignment horizontal="center"/>
    </xf>
    <xf numFmtId="170" fontId="29" fillId="4" borderId="164" xfId="0" applyNumberFormat="1" applyFont="1" applyFill="1" applyBorder="1" applyAlignment="1">
      <alignment horizontal="center"/>
    </xf>
    <xf numFmtId="170" fontId="29" fillId="4" borderId="103" xfId="0" applyNumberFormat="1" applyFont="1" applyFill="1" applyBorder="1" applyAlignment="1">
      <alignment horizontal="center"/>
    </xf>
    <xf numFmtId="170" fontId="29" fillId="4" borderId="165" xfId="11" applyNumberFormat="1" applyFont="1" applyFill="1" applyBorder="1" applyAlignment="1">
      <alignment horizontal="center"/>
    </xf>
    <xf numFmtId="170" fontId="29" fillId="4" borderId="166" xfId="11" applyNumberFormat="1" applyFont="1" applyFill="1" applyBorder="1" applyAlignment="1">
      <alignment horizontal="center"/>
    </xf>
    <xf numFmtId="170" fontId="29" fillId="4" borderId="164" xfId="11" applyNumberFormat="1" applyFont="1" applyFill="1" applyBorder="1" applyAlignment="1">
      <alignment horizontal="center"/>
    </xf>
    <xf numFmtId="170" fontId="30" fillId="4" borderId="103" xfId="11" applyNumberFormat="1" applyFont="1" applyFill="1" applyBorder="1" applyAlignment="1">
      <alignment horizontal="center"/>
    </xf>
    <xf numFmtId="0" fontId="3" fillId="4" borderId="17" xfId="8" applyFont="1" applyFill="1" applyBorder="1" applyAlignment="1">
      <alignment horizontal="center" vertical="center" wrapText="1"/>
    </xf>
    <xf numFmtId="170" fontId="29" fillId="4" borderId="6" xfId="0" applyNumberFormat="1" applyFont="1" applyFill="1" applyBorder="1" applyAlignment="1">
      <alignment horizontal="center"/>
    </xf>
    <xf numFmtId="170" fontId="29" fillId="4" borderId="80" xfId="0" applyNumberFormat="1" applyFont="1" applyFill="1" applyBorder="1" applyAlignment="1">
      <alignment horizontal="center"/>
    </xf>
    <xf numFmtId="170" fontId="29" fillId="4" borderId="1" xfId="0" applyNumberFormat="1" applyFont="1" applyFill="1" applyBorder="1" applyAlignment="1">
      <alignment horizontal="center"/>
    </xf>
    <xf numFmtId="170" fontId="29" fillId="4" borderId="83" xfId="11" applyNumberFormat="1" applyFont="1" applyFill="1" applyBorder="1" applyAlignment="1">
      <alignment horizontal="center"/>
    </xf>
    <xf numFmtId="170" fontId="29" fillId="4" borderId="84" xfId="11" applyNumberFormat="1" applyFont="1" applyFill="1" applyBorder="1" applyAlignment="1">
      <alignment horizontal="center"/>
    </xf>
    <xf numFmtId="170" fontId="29" fillId="4" borderId="80" xfId="11" applyNumberFormat="1" applyFont="1" applyFill="1" applyBorder="1" applyAlignment="1">
      <alignment horizontal="center"/>
    </xf>
    <xf numFmtId="170" fontId="30" fillId="4" borderId="1" xfId="11" applyNumberFormat="1" applyFont="1" applyFill="1" applyBorder="1" applyAlignment="1">
      <alignment horizontal="center"/>
    </xf>
    <xf numFmtId="0" fontId="3" fillId="4" borderId="117" xfId="8" applyFont="1" applyFill="1" applyBorder="1" applyAlignment="1">
      <alignment horizontal="center" vertical="center" wrapText="1"/>
    </xf>
    <xf numFmtId="0" fontId="4" fillId="4" borderId="167" xfId="8" applyFont="1" applyFill="1" applyBorder="1" applyAlignment="1">
      <alignment horizontal="center" vertical="center" wrapText="1"/>
    </xf>
    <xf numFmtId="170" fontId="30" fillId="4" borderId="134" xfId="0" applyNumberFormat="1" applyFont="1" applyFill="1" applyBorder="1" applyAlignment="1">
      <alignment horizontal="center"/>
    </xf>
    <xf numFmtId="170" fontId="30" fillId="4" borderId="37" xfId="0" applyNumberFormat="1" applyFont="1" applyFill="1" applyBorder="1" applyAlignment="1">
      <alignment horizontal="center"/>
    </xf>
    <xf numFmtId="170" fontId="30" fillId="4" borderId="85" xfId="0" applyNumberFormat="1" applyFont="1" applyFill="1" applyBorder="1" applyAlignment="1">
      <alignment horizontal="center"/>
    </xf>
    <xf numFmtId="170" fontId="30" fillId="4" borderId="127" xfId="11" applyNumberFormat="1" applyFont="1" applyFill="1" applyBorder="1" applyAlignment="1">
      <alignment horizontal="center"/>
    </xf>
    <xf numFmtId="170" fontId="30" fillId="4" borderId="38" xfId="11" applyNumberFormat="1" applyFont="1" applyFill="1" applyBorder="1" applyAlignment="1">
      <alignment horizontal="center"/>
    </xf>
    <xf numFmtId="170" fontId="30" fillId="4" borderId="37" xfId="11" applyNumberFormat="1" applyFont="1" applyFill="1" applyBorder="1" applyAlignment="1">
      <alignment horizontal="center"/>
    </xf>
    <xf numFmtId="170" fontId="30" fillId="4" borderId="85" xfId="11" applyNumberFormat="1" applyFont="1" applyFill="1" applyBorder="1" applyAlignment="1">
      <alignment horizontal="center"/>
    </xf>
    <xf numFmtId="0" fontId="9" fillId="4" borderId="0" xfId="0" applyFont="1" applyFill="1"/>
    <xf numFmtId="0" fontId="9" fillId="4" borderId="0" xfId="0" applyFont="1" applyFill="1" applyAlignment="1">
      <alignment horizontal="center"/>
    </xf>
    <xf numFmtId="0" fontId="4" fillId="4" borderId="19" xfId="0" applyFont="1" applyFill="1" applyBorder="1" applyAlignment="1">
      <alignment horizontal="center" vertical="center"/>
    </xf>
    <xf numFmtId="0" fontId="4" fillId="2" borderId="12" xfId="0" applyFont="1" applyFill="1" applyBorder="1" applyAlignment="1">
      <alignment horizontal="center" vertical="center" wrapText="1"/>
    </xf>
    <xf numFmtId="0" fontId="4" fillId="2" borderId="2" xfId="0" applyFont="1" applyFill="1" applyBorder="1" applyAlignment="1">
      <alignment horizontal="left" vertical="center" wrapText="1"/>
    </xf>
    <xf numFmtId="0" fontId="3" fillId="4" borderId="11" xfId="0" applyFont="1" applyFill="1" applyBorder="1" applyAlignment="1">
      <alignment vertical="center"/>
    </xf>
    <xf numFmtId="0" fontId="4" fillId="4" borderId="12" xfId="0" applyFont="1" applyFill="1" applyBorder="1" applyAlignment="1">
      <alignment vertical="center" wrapText="1"/>
    </xf>
    <xf numFmtId="171" fontId="30" fillId="4" borderId="120" xfId="11" applyNumberFormat="1" applyFont="1" applyFill="1" applyBorder="1" applyAlignment="1">
      <alignment horizontal="center" vertical="center" wrapText="1"/>
    </xf>
    <xf numFmtId="171" fontId="30" fillId="4" borderId="35" xfId="11" applyNumberFormat="1" applyFont="1" applyFill="1" applyBorder="1" applyAlignment="1">
      <alignment horizontal="center" vertical="center" wrapText="1"/>
    </xf>
    <xf numFmtId="171" fontId="30" fillId="4" borderId="81" xfId="11" applyNumberFormat="1" applyFont="1" applyFill="1" applyBorder="1" applyAlignment="1">
      <alignment horizontal="center" vertical="center" wrapText="1"/>
    </xf>
    <xf numFmtId="171" fontId="30" fillId="4" borderId="21" xfId="11" applyNumberFormat="1" applyFont="1" applyFill="1" applyBorder="1" applyAlignment="1">
      <alignment horizontal="center" vertical="center" wrapText="1"/>
    </xf>
    <xf numFmtId="0" fontId="4" fillId="4" borderId="0" xfId="0" applyFont="1" applyFill="1" applyBorder="1" applyAlignment="1">
      <alignment vertical="center" wrapText="1"/>
    </xf>
    <xf numFmtId="171" fontId="30" fillId="4" borderId="83" xfId="11" applyNumberFormat="1" applyFont="1" applyFill="1" applyBorder="1" applyAlignment="1">
      <alignment horizontal="center" vertical="center" wrapText="1"/>
    </xf>
    <xf numFmtId="171" fontId="30" fillId="4" borderId="80" xfId="11" applyNumberFormat="1" applyFont="1" applyFill="1" applyBorder="1" applyAlignment="1">
      <alignment horizontal="center" vertical="center" wrapText="1"/>
    </xf>
    <xf numFmtId="171" fontId="30" fillId="4" borderId="84" xfId="11" applyNumberFormat="1" applyFont="1" applyFill="1" applyBorder="1" applyAlignment="1">
      <alignment horizontal="center" vertical="center" wrapText="1"/>
    </xf>
    <xf numFmtId="171" fontId="30" fillId="4" borderId="9" xfId="11" applyNumberFormat="1" applyFont="1" applyFill="1" applyBorder="1" applyAlignment="1">
      <alignment horizontal="center" vertical="center" wrapText="1"/>
    </xf>
    <xf numFmtId="0" fontId="4" fillId="4" borderId="3" xfId="0" applyFont="1" applyFill="1" applyBorder="1" applyAlignment="1">
      <alignment vertical="center" wrapText="1"/>
    </xf>
    <xf numFmtId="171" fontId="30" fillId="4" borderId="46" xfId="11" applyNumberFormat="1" applyFont="1" applyFill="1" applyBorder="1" applyAlignment="1">
      <alignment horizontal="center" vertical="center" wrapText="1"/>
    </xf>
    <xf numFmtId="171" fontId="30" fillId="4" borderId="36" xfId="11" applyNumberFormat="1" applyFont="1" applyFill="1" applyBorder="1" applyAlignment="1">
      <alignment horizontal="center" vertical="center" wrapText="1"/>
    </xf>
    <xf numFmtId="171" fontId="30" fillId="4" borderId="41" xfId="11" applyNumberFormat="1" applyFont="1" applyFill="1" applyBorder="1" applyAlignment="1">
      <alignment horizontal="center" vertical="center" wrapText="1"/>
    </xf>
    <xf numFmtId="171" fontId="30" fillId="4" borderId="5" xfId="11" applyNumberFormat="1" applyFont="1" applyFill="1" applyBorder="1" applyAlignment="1">
      <alignment horizontal="center" vertical="center" wrapText="1"/>
    </xf>
    <xf numFmtId="171" fontId="29" fillId="4" borderId="83" xfId="11" applyNumberFormat="1" applyFont="1" applyFill="1" applyBorder="1" applyAlignment="1">
      <alignment horizontal="center" vertical="center" wrapText="1"/>
    </xf>
    <xf numFmtId="171" fontId="29" fillId="4" borderId="80" xfId="11" applyNumberFormat="1" applyFont="1" applyFill="1" applyBorder="1" applyAlignment="1">
      <alignment horizontal="center" vertical="center" wrapText="1"/>
    </xf>
    <xf numFmtId="171" fontId="29" fillId="4" borderId="84" xfId="11" applyNumberFormat="1" applyFont="1" applyFill="1" applyBorder="1" applyAlignment="1">
      <alignment horizontal="center" vertical="center" wrapText="1"/>
    </xf>
    <xf numFmtId="171" fontId="29" fillId="4" borderId="9" xfId="11" applyNumberFormat="1" applyFont="1" applyFill="1" applyBorder="1" applyAlignment="1">
      <alignment horizontal="center" vertical="center" wrapText="1"/>
    </xf>
    <xf numFmtId="171" fontId="29" fillId="4" borderId="46" xfId="11" applyNumberFormat="1" applyFont="1" applyFill="1" applyBorder="1" applyAlignment="1">
      <alignment horizontal="center" vertical="center" wrapText="1"/>
    </xf>
    <xf numFmtId="171" fontId="29" fillId="4" borderId="36" xfId="11" applyNumberFormat="1" applyFont="1" applyFill="1" applyBorder="1" applyAlignment="1">
      <alignment horizontal="center" vertical="center" wrapText="1"/>
    </xf>
    <xf numFmtId="171" fontId="29" fillId="4" borderId="41" xfId="11" applyNumberFormat="1" applyFont="1" applyFill="1" applyBorder="1" applyAlignment="1">
      <alignment horizontal="center" vertical="center" wrapText="1"/>
    </xf>
    <xf numFmtId="171" fontId="29" fillId="4" borderId="5" xfId="11" applyNumberFormat="1" applyFont="1" applyFill="1" applyBorder="1" applyAlignment="1">
      <alignment horizontal="center" vertical="center" wrapText="1"/>
    </xf>
    <xf numFmtId="9" fontId="3" fillId="4" borderId="0" xfId="11" applyFont="1" applyFill="1" applyAlignment="1">
      <alignment horizontal="center"/>
    </xf>
    <xf numFmtId="9" fontId="3" fillId="4" borderId="0" xfId="11" applyFont="1" applyFill="1"/>
    <xf numFmtId="170" fontId="30" fillId="4" borderId="120" xfId="11" applyNumberFormat="1" applyFont="1" applyFill="1" applyBorder="1" applyAlignment="1">
      <alignment horizontal="center" vertical="center" wrapText="1"/>
    </xf>
    <xf numFmtId="170" fontId="30" fillId="4" borderId="35" xfId="11" applyNumberFormat="1" applyFont="1" applyFill="1" applyBorder="1" applyAlignment="1">
      <alignment horizontal="center" vertical="center" wrapText="1"/>
    </xf>
    <xf numFmtId="170" fontId="30" fillId="4" borderId="81" xfId="11" applyNumberFormat="1" applyFont="1" applyFill="1" applyBorder="1" applyAlignment="1">
      <alignment horizontal="center" vertical="center" wrapText="1"/>
    </xf>
    <xf numFmtId="170" fontId="30" fillId="4" borderId="21" xfId="11" applyNumberFormat="1" applyFont="1" applyFill="1" applyBorder="1" applyAlignment="1">
      <alignment horizontal="center" vertical="center" wrapText="1"/>
    </xf>
    <xf numFmtId="170" fontId="30" fillId="4" borderId="83" xfId="11" applyNumberFormat="1" applyFont="1" applyFill="1" applyBorder="1" applyAlignment="1">
      <alignment horizontal="center" vertical="center" wrapText="1"/>
    </xf>
    <xf numFmtId="170" fontId="30" fillId="4" borderId="80" xfId="11" applyNumberFormat="1" applyFont="1" applyFill="1" applyBorder="1" applyAlignment="1">
      <alignment horizontal="center" vertical="center" wrapText="1"/>
    </xf>
    <xf numFmtId="170" fontId="30" fillId="4" borderId="84" xfId="11" applyNumberFormat="1" applyFont="1" applyFill="1" applyBorder="1" applyAlignment="1">
      <alignment horizontal="center" vertical="center" wrapText="1"/>
    </xf>
    <xf numFmtId="170" fontId="30" fillId="4" borderId="9" xfId="11" applyNumberFormat="1" applyFont="1" applyFill="1" applyBorder="1" applyAlignment="1">
      <alignment horizontal="center" vertical="center" wrapText="1"/>
    </xf>
    <xf numFmtId="170" fontId="30" fillId="4" borderId="46" xfId="11" applyNumberFormat="1" applyFont="1" applyFill="1" applyBorder="1" applyAlignment="1">
      <alignment horizontal="center" vertical="center" wrapText="1"/>
    </xf>
    <xf numFmtId="170" fontId="30" fillId="4" borderId="36" xfId="11" applyNumberFormat="1" applyFont="1" applyFill="1" applyBorder="1" applyAlignment="1">
      <alignment horizontal="center" vertical="center" wrapText="1"/>
    </xf>
    <xf numFmtId="170" fontId="30" fillId="4" borderId="41" xfId="11" applyNumberFormat="1" applyFont="1" applyFill="1" applyBorder="1" applyAlignment="1">
      <alignment horizontal="center" vertical="center" wrapText="1"/>
    </xf>
    <xf numFmtId="170" fontId="30" fillId="4" borderId="5" xfId="11" applyNumberFormat="1" applyFont="1" applyFill="1" applyBorder="1" applyAlignment="1">
      <alignment horizontal="center" vertical="center" wrapText="1"/>
    </xf>
    <xf numFmtId="170" fontId="29" fillId="4" borderId="83" xfId="11" applyNumberFormat="1" applyFont="1" applyFill="1" applyBorder="1" applyAlignment="1">
      <alignment horizontal="center" vertical="center" wrapText="1"/>
    </xf>
    <xf numFmtId="170" fontId="29" fillId="4" borderId="80" xfId="11" applyNumberFormat="1" applyFont="1" applyFill="1" applyBorder="1" applyAlignment="1">
      <alignment horizontal="center" vertical="center" wrapText="1"/>
    </xf>
    <xf numFmtId="170" fontId="29" fillId="4" borderId="84" xfId="11" applyNumberFormat="1" applyFont="1" applyFill="1" applyBorder="1" applyAlignment="1">
      <alignment horizontal="center" vertical="center" wrapText="1"/>
    </xf>
    <xf numFmtId="170" fontId="29" fillId="4" borderId="9" xfId="11" applyNumberFormat="1" applyFont="1" applyFill="1" applyBorder="1" applyAlignment="1">
      <alignment horizontal="center" vertical="center" wrapText="1"/>
    </xf>
    <xf numFmtId="170" fontId="29" fillId="4" borderId="46" xfId="11" applyNumberFormat="1" applyFont="1" applyFill="1" applyBorder="1" applyAlignment="1">
      <alignment horizontal="center" vertical="center" wrapText="1"/>
    </xf>
    <xf numFmtId="170" fontId="29" fillId="4" borderId="36" xfId="11" applyNumberFormat="1" applyFont="1" applyFill="1" applyBorder="1" applyAlignment="1">
      <alignment horizontal="center" vertical="center" wrapText="1"/>
    </xf>
    <xf numFmtId="170" fontId="29" fillId="4" borderId="41" xfId="11" applyNumberFormat="1" applyFont="1" applyFill="1" applyBorder="1" applyAlignment="1">
      <alignment horizontal="center" vertical="center" wrapText="1"/>
    </xf>
    <xf numFmtId="170" fontId="29" fillId="4" borderId="5" xfId="11" applyNumberFormat="1" applyFont="1" applyFill="1" applyBorder="1" applyAlignment="1">
      <alignment horizontal="center" vertical="center" wrapText="1"/>
    </xf>
    <xf numFmtId="170" fontId="4" fillId="4" borderId="120" xfId="11" applyNumberFormat="1" applyFont="1" applyFill="1" applyBorder="1" applyAlignment="1">
      <alignment horizontal="center" vertical="center" wrapText="1"/>
    </xf>
    <xf numFmtId="170" fontId="4" fillId="4" borderId="35" xfId="11" applyNumberFormat="1" applyFont="1" applyFill="1" applyBorder="1" applyAlignment="1">
      <alignment horizontal="center" vertical="center" wrapText="1"/>
    </xf>
    <xf numFmtId="170" fontId="4" fillId="4" borderId="81" xfId="11" applyNumberFormat="1" applyFont="1" applyFill="1" applyBorder="1" applyAlignment="1">
      <alignment horizontal="center" vertical="center" wrapText="1"/>
    </xf>
    <xf numFmtId="170" fontId="4" fillId="4" borderId="21" xfId="11" applyNumberFormat="1" applyFont="1" applyFill="1" applyBorder="1" applyAlignment="1">
      <alignment horizontal="center" vertical="center" wrapText="1"/>
    </xf>
    <xf numFmtId="170" fontId="4" fillId="4" borderId="83" xfId="11" applyNumberFormat="1" applyFont="1" applyFill="1" applyBorder="1" applyAlignment="1">
      <alignment horizontal="center" vertical="center" wrapText="1"/>
    </xf>
    <xf numFmtId="170" fontId="4" fillId="4" borderId="80" xfId="11" applyNumberFormat="1" applyFont="1" applyFill="1" applyBorder="1" applyAlignment="1">
      <alignment horizontal="center" vertical="center" wrapText="1"/>
    </xf>
    <xf numFmtId="170" fontId="4" fillId="4" borderId="84" xfId="11" applyNumberFormat="1" applyFont="1" applyFill="1" applyBorder="1" applyAlignment="1">
      <alignment horizontal="center" vertical="center" wrapText="1"/>
    </xf>
    <xf numFmtId="170" fontId="4" fillId="4" borderId="9" xfId="11" applyNumberFormat="1" applyFont="1" applyFill="1" applyBorder="1" applyAlignment="1">
      <alignment horizontal="center" vertical="center" wrapText="1"/>
    </xf>
    <xf numFmtId="170" fontId="4" fillId="4" borderId="46" xfId="11" applyNumberFormat="1" applyFont="1" applyFill="1" applyBorder="1" applyAlignment="1">
      <alignment horizontal="center" vertical="center" wrapText="1"/>
    </xf>
    <xf numFmtId="170" fontId="4" fillId="4" borderId="36" xfId="11" applyNumberFormat="1" applyFont="1" applyFill="1" applyBorder="1" applyAlignment="1">
      <alignment horizontal="center" vertical="center" wrapText="1"/>
    </xf>
    <xf numFmtId="170" fontId="4" fillId="4" borderId="41" xfId="11" applyNumberFormat="1" applyFont="1" applyFill="1" applyBorder="1" applyAlignment="1">
      <alignment horizontal="center" vertical="center" wrapText="1"/>
    </xf>
    <xf numFmtId="170" fontId="4" fillId="4" borderId="5" xfId="11" applyNumberFormat="1" applyFont="1" applyFill="1" applyBorder="1" applyAlignment="1">
      <alignment horizontal="center" vertical="center" wrapText="1"/>
    </xf>
    <xf numFmtId="170" fontId="3" fillId="4" borderId="83" xfId="11" applyNumberFormat="1" applyFont="1" applyFill="1" applyBorder="1" applyAlignment="1">
      <alignment horizontal="center" vertical="center" wrapText="1"/>
    </xf>
    <xf numFmtId="170" fontId="3" fillId="4" borderId="80" xfId="11" applyNumberFormat="1" applyFont="1" applyFill="1" applyBorder="1" applyAlignment="1">
      <alignment horizontal="center" vertical="center" wrapText="1"/>
    </xf>
    <xf numFmtId="170" fontId="3" fillId="4" borderId="84" xfId="11" applyNumberFormat="1" applyFont="1" applyFill="1" applyBorder="1" applyAlignment="1">
      <alignment horizontal="center" vertical="center" wrapText="1"/>
    </xf>
    <xf numFmtId="170" fontId="3" fillId="4" borderId="9" xfId="11" applyNumberFormat="1" applyFont="1" applyFill="1" applyBorder="1" applyAlignment="1">
      <alignment horizontal="center" vertical="center" wrapText="1"/>
    </xf>
    <xf numFmtId="170" fontId="3" fillId="4" borderId="46" xfId="11" applyNumberFormat="1" applyFont="1" applyFill="1" applyBorder="1" applyAlignment="1">
      <alignment horizontal="center" vertical="center" wrapText="1"/>
    </xf>
    <xf numFmtId="170" fontId="3" fillId="4" borderId="36" xfId="11" applyNumberFormat="1" applyFont="1" applyFill="1" applyBorder="1" applyAlignment="1">
      <alignment horizontal="center" vertical="center" wrapText="1"/>
    </xf>
    <xf numFmtId="170" fontId="3" fillId="4" borderId="41" xfId="11" applyNumberFormat="1" applyFont="1" applyFill="1" applyBorder="1" applyAlignment="1">
      <alignment horizontal="center" vertical="center" wrapText="1"/>
    </xf>
    <xf numFmtId="170" fontId="3" fillId="4" borderId="5" xfId="11" applyNumberFormat="1" applyFont="1" applyFill="1" applyBorder="1" applyAlignment="1">
      <alignment horizontal="center" vertical="center" wrapText="1"/>
    </xf>
    <xf numFmtId="171" fontId="4" fillId="4" borderId="120" xfId="11" applyNumberFormat="1" applyFont="1" applyFill="1" applyBorder="1" applyAlignment="1">
      <alignment horizontal="center" vertical="center" wrapText="1"/>
    </xf>
    <xf numFmtId="171" fontId="4" fillId="4" borderId="35" xfId="11" applyNumberFormat="1" applyFont="1" applyFill="1" applyBorder="1" applyAlignment="1">
      <alignment horizontal="center" vertical="center" wrapText="1"/>
    </xf>
    <xf numFmtId="171" fontId="4" fillId="4" borderId="81" xfId="11" applyNumberFormat="1" applyFont="1" applyFill="1" applyBorder="1" applyAlignment="1">
      <alignment horizontal="center" vertical="center" wrapText="1"/>
    </xf>
    <xf numFmtId="171" fontId="4" fillId="4" borderId="21" xfId="11" applyNumberFormat="1" applyFont="1" applyFill="1" applyBorder="1" applyAlignment="1">
      <alignment horizontal="center" vertical="center" wrapText="1"/>
    </xf>
    <xf numFmtId="171" fontId="4" fillId="4" borderId="83" xfId="11" applyNumberFormat="1" applyFont="1" applyFill="1" applyBorder="1" applyAlignment="1">
      <alignment horizontal="center" vertical="center" wrapText="1"/>
    </xf>
    <xf numFmtId="171" fontId="4" fillId="4" borderId="80" xfId="11" applyNumberFormat="1" applyFont="1" applyFill="1" applyBorder="1" applyAlignment="1">
      <alignment horizontal="center" vertical="center" wrapText="1"/>
    </xf>
    <xf numFmtId="171" fontId="4" fillId="4" borderId="84" xfId="11" applyNumberFormat="1" applyFont="1" applyFill="1" applyBorder="1" applyAlignment="1">
      <alignment horizontal="center" vertical="center" wrapText="1"/>
    </xf>
    <xf numFmtId="171" fontId="4" fillId="4" borderId="9" xfId="11" applyNumberFormat="1" applyFont="1" applyFill="1" applyBorder="1" applyAlignment="1">
      <alignment horizontal="center" vertical="center" wrapText="1"/>
    </xf>
    <xf numFmtId="171" fontId="4" fillId="4" borderId="46" xfId="11" applyNumberFormat="1" applyFont="1" applyFill="1" applyBorder="1" applyAlignment="1">
      <alignment horizontal="center" vertical="center" wrapText="1"/>
    </xf>
    <xf numFmtId="171" fontId="4" fillId="4" borderId="36" xfId="11" applyNumberFormat="1" applyFont="1" applyFill="1" applyBorder="1" applyAlignment="1">
      <alignment horizontal="center" vertical="center" wrapText="1"/>
    </xf>
    <xf numFmtId="171" fontId="4" fillId="4" borderId="41" xfId="11" applyNumberFormat="1" applyFont="1" applyFill="1" applyBorder="1" applyAlignment="1">
      <alignment horizontal="center" vertical="center" wrapText="1"/>
    </xf>
    <xf numFmtId="171" fontId="4" fillId="4" borderId="5" xfId="11" applyNumberFormat="1" applyFont="1" applyFill="1" applyBorder="1" applyAlignment="1">
      <alignment horizontal="center" vertical="center" wrapText="1"/>
    </xf>
    <xf numFmtId="171" fontId="3" fillId="4" borderId="83" xfId="11" applyNumberFormat="1" applyFont="1" applyFill="1" applyBorder="1" applyAlignment="1">
      <alignment horizontal="center" vertical="center" wrapText="1"/>
    </xf>
    <xf numFmtId="171" fontId="3" fillId="4" borderId="80" xfId="11" applyNumberFormat="1" applyFont="1" applyFill="1" applyBorder="1" applyAlignment="1">
      <alignment horizontal="center" vertical="center" wrapText="1"/>
    </xf>
    <xf numFmtId="171" fontId="3" fillId="4" borderId="84" xfId="11" applyNumberFormat="1" applyFont="1" applyFill="1" applyBorder="1" applyAlignment="1">
      <alignment horizontal="center" vertical="center" wrapText="1"/>
    </xf>
    <xf numFmtId="171" fontId="3" fillId="4" borderId="9" xfId="11" applyNumberFormat="1" applyFont="1" applyFill="1" applyBorder="1" applyAlignment="1">
      <alignment horizontal="center" vertical="center" wrapText="1"/>
    </xf>
    <xf numFmtId="171" fontId="3" fillId="4" borderId="46" xfId="11" applyNumberFormat="1" applyFont="1" applyFill="1" applyBorder="1" applyAlignment="1">
      <alignment horizontal="center" vertical="center" wrapText="1"/>
    </xf>
    <xf numFmtId="171" fontId="3" fillId="4" borderId="36" xfId="11" applyNumberFormat="1" applyFont="1" applyFill="1" applyBorder="1" applyAlignment="1">
      <alignment horizontal="center" vertical="center" wrapText="1"/>
    </xf>
    <xf numFmtId="171" fontId="3" fillId="4" borderId="41" xfId="11" applyNumberFormat="1" applyFont="1" applyFill="1" applyBorder="1" applyAlignment="1">
      <alignment horizontal="center" vertical="center" wrapText="1"/>
    </xf>
    <xf numFmtId="171" fontId="3" fillId="4" borderId="5" xfId="11" applyNumberFormat="1" applyFont="1" applyFill="1" applyBorder="1" applyAlignment="1">
      <alignment horizontal="center" vertical="center" wrapText="1"/>
    </xf>
    <xf numFmtId="170" fontId="3" fillId="4" borderId="142" xfId="0" applyNumberFormat="1" applyFont="1" applyFill="1" applyBorder="1" applyAlignment="1">
      <alignment horizontal="center"/>
    </xf>
    <xf numFmtId="170" fontId="3" fillId="4" borderId="164" xfId="0" applyNumberFormat="1" applyFont="1" applyFill="1" applyBorder="1" applyAlignment="1">
      <alignment horizontal="center"/>
    </xf>
    <xf numFmtId="170" fontId="3" fillId="4" borderId="103" xfId="0" applyNumberFormat="1" applyFont="1" applyFill="1" applyBorder="1" applyAlignment="1">
      <alignment horizontal="center"/>
    </xf>
    <xf numFmtId="170" fontId="3" fillId="4" borderId="165" xfId="11" applyNumberFormat="1" applyFont="1" applyFill="1" applyBorder="1" applyAlignment="1">
      <alignment horizontal="center"/>
    </xf>
    <xf numFmtId="170" fontId="3" fillId="4" borderId="166" xfId="11" applyNumberFormat="1" applyFont="1" applyFill="1" applyBorder="1" applyAlignment="1">
      <alignment horizontal="center"/>
    </xf>
    <xf numFmtId="170" fontId="3" fillId="4" borderId="164" xfId="11" applyNumberFormat="1" applyFont="1" applyFill="1" applyBorder="1" applyAlignment="1">
      <alignment horizontal="center"/>
    </xf>
    <xf numFmtId="170" fontId="4" fillId="4" borderId="103" xfId="11" applyNumberFormat="1" applyFont="1" applyFill="1" applyBorder="1" applyAlignment="1">
      <alignment horizontal="center"/>
    </xf>
    <xf numFmtId="170" fontId="3" fillId="4" borderId="6" xfId="0" applyNumberFormat="1" applyFont="1" applyFill="1" applyBorder="1" applyAlignment="1">
      <alignment horizontal="center"/>
    </xf>
    <xf numFmtId="170" fontId="3" fillId="4" borderId="80" xfId="0" applyNumberFormat="1" applyFont="1" applyFill="1" applyBorder="1" applyAlignment="1">
      <alignment horizontal="center"/>
    </xf>
    <xf numFmtId="170" fontId="3" fillId="4" borderId="1" xfId="0" applyNumberFormat="1" applyFont="1" applyFill="1" applyBorder="1" applyAlignment="1">
      <alignment horizontal="center"/>
    </xf>
    <xf numFmtId="170" fontId="3" fillId="4" borderId="83" xfId="11" applyNumberFormat="1" applyFont="1" applyFill="1" applyBorder="1" applyAlignment="1">
      <alignment horizontal="center"/>
    </xf>
    <xf numFmtId="170" fontId="3" fillId="4" borderId="84" xfId="11" applyNumberFormat="1" applyFont="1" applyFill="1" applyBorder="1" applyAlignment="1">
      <alignment horizontal="center"/>
    </xf>
    <xf numFmtId="170" fontId="3" fillId="4" borderId="80" xfId="11" applyNumberFormat="1" applyFont="1" applyFill="1" applyBorder="1" applyAlignment="1">
      <alignment horizontal="center"/>
    </xf>
    <xf numFmtId="170" fontId="4" fillId="4" borderId="1" xfId="11" applyNumberFormat="1" applyFont="1" applyFill="1" applyBorder="1" applyAlignment="1">
      <alignment horizontal="center"/>
    </xf>
    <xf numFmtId="170" fontId="4" fillId="4" borderId="134" xfId="0" applyNumberFormat="1" applyFont="1" applyFill="1" applyBorder="1" applyAlignment="1">
      <alignment horizontal="center"/>
    </xf>
    <xf numFmtId="170" fontId="4" fillId="4" borderId="37" xfId="0" applyNumberFormat="1" applyFont="1" applyFill="1" applyBorder="1" applyAlignment="1">
      <alignment horizontal="center"/>
    </xf>
    <xf numFmtId="170" fontId="4" fillId="4" borderId="85" xfId="0" applyNumberFormat="1" applyFont="1" applyFill="1" applyBorder="1" applyAlignment="1">
      <alignment horizontal="center"/>
    </xf>
    <xf numFmtId="170" fontId="4" fillId="4" borderId="127" xfId="11" applyNumberFormat="1" applyFont="1" applyFill="1" applyBorder="1" applyAlignment="1">
      <alignment horizontal="center"/>
    </xf>
    <xf numFmtId="170" fontId="4" fillId="4" borderId="38" xfId="11" applyNumberFormat="1" applyFont="1" applyFill="1" applyBorder="1" applyAlignment="1">
      <alignment horizontal="center"/>
    </xf>
    <xf numFmtId="170" fontId="4" fillId="4" borderId="37" xfId="11" applyNumberFormat="1" applyFont="1" applyFill="1" applyBorder="1" applyAlignment="1">
      <alignment horizontal="center"/>
    </xf>
    <xf numFmtId="170" fontId="4" fillId="4" borderId="85" xfId="11" applyNumberFormat="1" applyFont="1" applyFill="1" applyBorder="1" applyAlignment="1">
      <alignment horizontal="center"/>
    </xf>
    <xf numFmtId="0" fontId="0" fillId="2" borderId="1" xfId="0" applyFill="1" applyBorder="1" applyAlignment="1">
      <alignment horizontal="centerContinuous"/>
    </xf>
    <xf numFmtId="3" fontId="0" fillId="0" borderId="126" xfId="0" applyNumberFormat="1" applyBorder="1"/>
    <xf numFmtId="3" fontId="0" fillId="0" borderId="84" xfId="0" applyNumberFormat="1" applyBorder="1"/>
    <xf numFmtId="3" fontId="0" fillId="0" borderId="162" xfId="0" applyNumberFormat="1" applyBorder="1"/>
    <xf numFmtId="3" fontId="0" fillId="0" borderId="169" xfId="0" applyNumberFormat="1" applyBorder="1"/>
    <xf numFmtId="0" fontId="3" fillId="0" borderId="3" xfId="10" applyFont="1" applyBorder="1"/>
    <xf numFmtId="3" fontId="3" fillId="0" borderId="3" xfId="10" applyNumberFormat="1" applyFont="1" applyBorder="1" applyProtection="1"/>
    <xf numFmtId="3" fontId="0" fillId="0" borderId="38" xfId="0" applyNumberFormat="1" applyBorder="1"/>
    <xf numFmtId="0" fontId="3" fillId="2" borderId="3" xfId="10" applyFont="1" applyFill="1" applyBorder="1" applyAlignment="1" applyProtection="1">
      <alignment horizontal="center"/>
    </xf>
    <xf numFmtId="0" fontId="3" fillId="2" borderId="4" xfId="10" applyFont="1" applyFill="1" applyBorder="1" applyAlignment="1" applyProtection="1">
      <alignment horizontal="center"/>
    </xf>
    <xf numFmtId="0" fontId="3" fillId="0" borderId="26" xfId="10" applyFont="1" applyBorder="1"/>
    <xf numFmtId="0" fontId="3" fillId="0" borderId="1" xfId="10" applyFont="1" applyBorder="1" applyAlignment="1" applyProtection="1">
      <alignment horizontal="left"/>
    </xf>
    <xf numFmtId="0" fontId="3" fillId="0" borderId="26" xfId="10" applyFont="1" applyBorder="1" applyAlignment="1" applyProtection="1">
      <alignment horizontal="left"/>
    </xf>
    <xf numFmtId="0" fontId="3" fillId="0" borderId="23" xfId="10" applyFont="1" applyBorder="1" applyAlignment="1" applyProtection="1">
      <alignment horizontal="left"/>
    </xf>
    <xf numFmtId="0" fontId="3" fillId="0" borderId="4" xfId="10" applyFont="1" applyBorder="1" applyAlignment="1" applyProtection="1">
      <alignment horizontal="left"/>
    </xf>
    <xf numFmtId="0" fontId="3" fillId="0" borderId="0" xfId="0" applyFont="1" applyBorder="1" applyAlignment="1">
      <alignment horizontal="left"/>
    </xf>
    <xf numFmtId="0" fontId="18" fillId="0" borderId="0" xfId="0" applyFont="1" applyBorder="1" applyAlignment="1">
      <alignment horizontal="left"/>
    </xf>
    <xf numFmtId="0" fontId="3" fillId="2" borderId="138" xfId="0" applyFont="1" applyFill="1" applyBorder="1" applyAlignment="1">
      <alignment horizontal="center" vertical="center"/>
    </xf>
    <xf numFmtId="3" fontId="6" fillId="0" borderId="0" xfId="0" applyNumberFormat="1" applyFont="1" applyFill="1" applyBorder="1" applyAlignment="1">
      <alignment horizontal="center" vertical="center" wrapText="1"/>
    </xf>
    <xf numFmtId="3" fontId="5" fillId="0" borderId="0" xfId="0" applyNumberFormat="1" applyFont="1" applyFill="1" applyBorder="1" applyAlignment="1">
      <alignment horizontal="center" vertical="center" wrapText="1"/>
    </xf>
    <xf numFmtId="176" fontId="3" fillId="0" borderId="0" xfId="2" applyNumberFormat="1" applyFont="1" applyFill="1" applyBorder="1" applyAlignment="1"/>
    <xf numFmtId="1" fontId="29" fillId="0" borderId="0" xfId="0" applyNumberFormat="1" applyFont="1" applyFill="1" applyBorder="1" applyAlignment="1">
      <alignment horizontal="right" vertical="center"/>
    </xf>
    <xf numFmtId="1" fontId="29" fillId="0" borderId="3" xfId="0" applyNumberFormat="1" applyFont="1" applyFill="1" applyBorder="1" applyAlignment="1">
      <alignment horizontal="right" vertical="center"/>
    </xf>
    <xf numFmtId="1" fontId="29" fillId="0" borderId="15" xfId="0" applyNumberFormat="1" applyFont="1" applyFill="1" applyBorder="1" applyAlignment="1">
      <alignment horizontal="right" vertical="center"/>
    </xf>
    <xf numFmtId="1" fontId="29" fillId="0" borderId="4" xfId="0" applyNumberFormat="1" applyFont="1" applyFill="1" applyBorder="1" applyAlignment="1">
      <alignment horizontal="right" vertical="center"/>
    </xf>
    <xf numFmtId="1" fontId="29" fillId="0" borderId="0" xfId="0" applyNumberFormat="1" applyFont="1" applyFill="1" applyBorder="1" applyAlignment="1">
      <alignment horizontal="right"/>
    </xf>
    <xf numFmtId="1" fontId="29" fillId="0" borderId="15" xfId="0" applyNumberFormat="1" applyFont="1" applyFill="1" applyBorder="1" applyAlignment="1">
      <alignment horizontal="right"/>
    </xf>
    <xf numFmtId="1" fontId="29" fillId="0" borderId="3" xfId="0" applyNumberFormat="1" applyFont="1" applyFill="1" applyBorder="1" applyAlignment="1">
      <alignment horizontal="right"/>
    </xf>
    <xf numFmtId="1" fontId="29" fillId="0" borderId="4" xfId="0" applyNumberFormat="1" applyFont="1" applyFill="1" applyBorder="1" applyAlignment="1">
      <alignment horizontal="right"/>
    </xf>
    <xf numFmtId="0" fontId="4" fillId="0" borderId="0" xfId="0" applyFont="1" applyFill="1" applyBorder="1" applyAlignment="1">
      <alignment horizontal="centerContinuous"/>
    </xf>
    <xf numFmtId="0" fontId="3" fillId="0" borderId="0" xfId="0" applyFont="1" applyFill="1" applyBorder="1" applyAlignment="1">
      <alignment horizontal="centerContinuous"/>
    </xf>
    <xf numFmtId="167" fontId="3" fillId="0" borderId="0" xfId="0" applyNumberFormat="1" applyFont="1" applyFill="1"/>
    <xf numFmtId="1" fontId="30" fillId="0" borderId="0" xfId="0" applyNumberFormat="1" applyFont="1" applyFill="1" applyBorder="1" applyAlignment="1">
      <alignment horizontal="center" vertical="center"/>
    </xf>
    <xf numFmtId="3" fontId="3" fillId="0" borderId="11" xfId="0" applyNumberFormat="1" applyFont="1" applyFill="1" applyBorder="1"/>
    <xf numFmtId="3" fontId="3" fillId="0" borderId="12" xfId="0" applyNumberFormat="1" applyFont="1" applyFill="1" applyBorder="1"/>
    <xf numFmtId="3" fontId="3" fillId="0" borderId="15" xfId="0" applyNumberFormat="1" applyFont="1" applyFill="1" applyBorder="1"/>
    <xf numFmtId="3" fontId="3" fillId="0" borderId="1" xfId="0" applyNumberFormat="1" applyFont="1" applyFill="1" applyBorder="1"/>
    <xf numFmtId="3" fontId="3" fillId="0" borderId="6" xfId="0" applyNumberFormat="1" applyFont="1" applyFill="1" applyBorder="1"/>
    <xf numFmtId="3" fontId="3" fillId="0" borderId="0" xfId="0" applyNumberFormat="1" applyFont="1" applyFill="1" applyBorder="1"/>
    <xf numFmtId="3" fontId="3" fillId="0" borderId="2" xfId="0" applyNumberFormat="1" applyFont="1" applyFill="1" applyBorder="1"/>
    <xf numFmtId="3" fontId="3" fillId="0" borderId="3" xfId="0" applyNumberFormat="1" applyFont="1" applyFill="1" applyBorder="1"/>
    <xf numFmtId="3" fontId="3" fillId="0" borderId="4" xfId="0" applyNumberFormat="1" applyFont="1" applyFill="1" applyBorder="1"/>
    <xf numFmtId="176" fontId="58" fillId="4" borderId="1" xfId="2" applyNumberFormat="1" applyFont="1" applyFill="1" applyBorder="1"/>
    <xf numFmtId="176" fontId="3" fillId="0" borderId="15" xfId="2" applyNumberFormat="1" applyFont="1" applyFill="1" applyBorder="1" applyAlignment="1">
      <alignment vertical="center"/>
    </xf>
    <xf numFmtId="176" fontId="3" fillId="0" borderId="70" xfId="2" applyNumberFormat="1" applyFont="1" applyFill="1" applyBorder="1" applyAlignment="1">
      <alignment vertical="center"/>
    </xf>
    <xf numFmtId="0" fontId="3" fillId="4" borderId="11" xfId="0" applyFont="1" applyFill="1" applyBorder="1" applyAlignment="1"/>
    <xf numFmtId="0" fontId="3" fillId="4" borderId="12" xfId="0" applyFont="1" applyFill="1" applyBorder="1"/>
    <xf numFmtId="0" fontId="3" fillId="4" borderId="15" xfId="0" applyFont="1" applyFill="1" applyBorder="1"/>
    <xf numFmtId="176" fontId="58" fillId="4" borderId="15" xfId="2" applyNumberFormat="1" applyFont="1" applyFill="1" applyBorder="1"/>
    <xf numFmtId="0" fontId="3" fillId="4" borderId="2" xfId="0" applyFont="1" applyFill="1" applyBorder="1" applyAlignment="1"/>
    <xf numFmtId="0" fontId="3" fillId="4" borderId="3" xfId="0" applyFont="1" applyFill="1" applyBorder="1"/>
    <xf numFmtId="0" fontId="3" fillId="4" borderId="4" xfId="0" applyFont="1" applyFill="1" applyBorder="1"/>
    <xf numFmtId="176" fontId="58" fillId="4" borderId="4" xfId="2" applyNumberFormat="1" applyFont="1" applyFill="1" applyBorder="1"/>
    <xf numFmtId="37" fontId="29" fillId="4" borderId="12" xfId="0" applyNumberFormat="1" applyFont="1" applyFill="1" applyBorder="1" applyAlignment="1" applyProtection="1"/>
    <xf numFmtId="37" fontId="29" fillId="4" borderId="15" xfId="0" applyNumberFormat="1" applyFont="1" applyFill="1" applyBorder="1" applyAlignment="1" applyProtection="1"/>
    <xf numFmtId="37" fontId="29" fillId="4" borderId="0" xfId="0" applyNumberFormat="1" applyFont="1" applyFill="1" applyBorder="1" applyAlignment="1" applyProtection="1"/>
    <xf numFmtId="37" fontId="29" fillId="4" borderId="1" xfId="0" applyNumberFormat="1" applyFont="1" applyFill="1" applyBorder="1" applyAlignment="1" applyProtection="1"/>
    <xf numFmtId="37" fontId="29" fillId="4" borderId="2" xfId="0" applyNumberFormat="1" applyFont="1" applyFill="1" applyBorder="1" applyAlignment="1" applyProtection="1"/>
    <xf numFmtId="37" fontId="29" fillId="4" borderId="3" xfId="0" applyNumberFormat="1" applyFont="1" applyFill="1" applyBorder="1" applyAlignment="1" applyProtection="1"/>
    <xf numFmtId="37" fontId="29" fillId="4" borderId="4" xfId="0" applyNumberFormat="1" applyFont="1" applyFill="1" applyBorder="1" applyAlignment="1" applyProtection="1"/>
    <xf numFmtId="176" fontId="3" fillId="4" borderId="138" xfId="2" applyNumberFormat="1" applyFont="1" applyFill="1" applyBorder="1"/>
    <xf numFmtId="3" fontId="3" fillId="0" borderId="134" xfId="0" applyNumberFormat="1" applyFont="1" applyFill="1" applyBorder="1" applyAlignment="1">
      <alignment vertical="center"/>
    </xf>
    <xf numFmtId="3" fontId="3" fillId="0" borderId="37" xfId="0" applyNumberFormat="1" applyFont="1" applyFill="1" applyBorder="1" applyAlignment="1">
      <alignment vertical="center"/>
    </xf>
    <xf numFmtId="3" fontId="3" fillId="0" borderId="85" xfId="0" applyNumberFormat="1" applyFont="1" applyFill="1" applyBorder="1" applyAlignment="1">
      <alignment vertical="center"/>
    </xf>
    <xf numFmtId="3" fontId="3" fillId="0" borderId="21" xfId="0" applyNumberFormat="1" applyFont="1" applyFill="1" applyBorder="1" applyAlignment="1">
      <alignment vertical="center"/>
    </xf>
    <xf numFmtId="3" fontId="3" fillId="0" borderId="9" xfId="0" applyNumberFormat="1" applyFont="1" applyFill="1" applyBorder="1" applyAlignment="1">
      <alignment vertical="center"/>
    </xf>
    <xf numFmtId="3" fontId="3" fillId="0" borderId="47" xfId="0" applyNumberFormat="1" applyFont="1" applyFill="1" applyBorder="1" applyAlignment="1">
      <alignment vertical="center"/>
    </xf>
    <xf numFmtId="3" fontId="3" fillId="0" borderId="5" xfId="0" applyNumberFormat="1" applyFont="1" applyFill="1" applyBorder="1" applyAlignment="1">
      <alignment vertical="center"/>
    </xf>
    <xf numFmtId="3" fontId="3" fillId="0" borderId="6" xfId="0" applyNumberFormat="1" applyFont="1" applyFill="1" applyBorder="1" applyAlignment="1" applyProtection="1">
      <alignment vertical="center"/>
    </xf>
    <xf numFmtId="3" fontId="3" fillId="0" borderId="80" xfId="0" applyNumberFormat="1" applyFont="1" applyFill="1" applyBorder="1" applyAlignment="1" applyProtection="1">
      <alignment vertical="center"/>
    </xf>
    <xf numFmtId="3" fontId="3" fillId="0" borderId="1" xfId="0" applyNumberFormat="1" applyFont="1" applyFill="1" applyBorder="1" applyAlignment="1" applyProtection="1">
      <alignment vertical="center"/>
    </xf>
    <xf numFmtId="176" fontId="3" fillId="0" borderId="11" xfId="2" applyNumberFormat="1" applyFont="1" applyFill="1" applyBorder="1" applyAlignment="1">
      <alignment vertical="center"/>
    </xf>
    <xf numFmtId="176" fontId="3" fillId="0" borderId="12" xfId="2" applyNumberFormat="1" applyFont="1" applyFill="1" applyBorder="1" applyAlignment="1">
      <alignment vertical="center"/>
    </xf>
    <xf numFmtId="176" fontId="3" fillId="0" borderId="6" xfId="2" applyNumberFormat="1" applyFont="1" applyFill="1" applyBorder="1" applyAlignment="1">
      <alignment vertical="center"/>
    </xf>
    <xf numFmtId="176" fontId="3" fillId="0" borderId="2" xfId="2" applyNumberFormat="1" applyFont="1" applyFill="1" applyBorder="1" applyAlignment="1">
      <alignment vertical="center"/>
    </xf>
    <xf numFmtId="3" fontId="3" fillId="0" borderId="11" xfId="0" applyNumberFormat="1" applyFont="1" applyFill="1" applyBorder="1" applyAlignment="1">
      <alignment vertical="center"/>
    </xf>
    <xf numFmtId="3" fontId="3" fillId="0" borderId="12" xfId="0" applyNumberFormat="1" applyFont="1" applyFill="1" applyBorder="1" applyAlignment="1">
      <alignment vertical="center"/>
    </xf>
    <xf numFmtId="3" fontId="3" fillId="0" borderId="15" xfId="0" applyNumberFormat="1" applyFont="1" applyFill="1" applyBorder="1" applyAlignment="1">
      <alignment vertical="center"/>
    </xf>
    <xf numFmtId="3" fontId="3" fillId="0" borderId="6" xfId="0" applyNumberFormat="1" applyFont="1" applyFill="1" applyBorder="1" applyAlignment="1">
      <alignment vertical="center"/>
    </xf>
    <xf numFmtId="176" fontId="3" fillId="0" borderId="148" xfId="2" applyNumberFormat="1" applyFont="1" applyFill="1" applyBorder="1" applyAlignment="1">
      <alignment vertical="center"/>
    </xf>
    <xf numFmtId="176" fontId="3" fillId="0" borderId="135" xfId="2" applyNumberFormat="1" applyFont="1" applyFill="1" applyBorder="1" applyAlignment="1">
      <alignment vertical="center"/>
    </xf>
    <xf numFmtId="0" fontId="3" fillId="0" borderId="6" xfId="0" applyFont="1" applyBorder="1" applyAlignment="1">
      <alignment horizontal="left"/>
    </xf>
    <xf numFmtId="0" fontId="4" fillId="0" borderId="11" xfId="0" applyFont="1" applyFill="1" applyBorder="1" applyAlignment="1">
      <alignment vertical="center"/>
    </xf>
    <xf numFmtId="0" fontId="4" fillId="0" borderId="11" xfId="0" applyFont="1" applyFill="1" applyBorder="1" applyAlignment="1">
      <alignment horizontal="centerContinuous" vertical="center"/>
    </xf>
    <xf numFmtId="0" fontId="4" fillId="0" borderId="12" xfId="0" applyFont="1" applyFill="1" applyBorder="1" applyAlignment="1">
      <alignment horizontal="centerContinuous" vertical="center"/>
    </xf>
    <xf numFmtId="0" fontId="4" fillId="0" borderId="15" xfId="0" applyFont="1" applyFill="1" applyBorder="1" applyAlignment="1">
      <alignment horizontal="centerContinuous" vertical="center"/>
    </xf>
    <xf numFmtId="1" fontId="6" fillId="0" borderId="1" xfId="0" applyNumberFormat="1" applyFont="1" applyFill="1" applyBorder="1" applyAlignment="1">
      <alignment horizontal="center" vertical="center" wrapText="1"/>
    </xf>
    <xf numFmtId="0" fontId="3" fillId="0" borderId="40" xfId="0" applyFont="1" applyBorder="1" applyAlignment="1">
      <alignment vertical="center"/>
    </xf>
    <xf numFmtId="0" fontId="3" fillId="0" borderId="18" xfId="0" applyFont="1" applyFill="1" applyBorder="1" applyAlignment="1">
      <alignment horizontal="center" vertical="center"/>
    </xf>
    <xf numFmtId="1" fontId="6" fillId="0" borderId="18" xfId="0" applyNumberFormat="1" applyFont="1" applyFill="1" applyBorder="1" applyAlignment="1">
      <alignment horizontal="center" vertical="center" wrapText="1"/>
    </xf>
    <xf numFmtId="1" fontId="6" fillId="0" borderId="26" xfId="0" applyNumberFormat="1" applyFont="1" applyFill="1" applyBorder="1" applyAlignment="1">
      <alignment horizontal="center" vertical="center" wrapText="1"/>
    </xf>
    <xf numFmtId="2" fontId="6" fillId="0" borderId="18" xfId="0" applyNumberFormat="1" applyFont="1" applyFill="1" applyBorder="1" applyAlignment="1">
      <alignment horizontal="center" vertical="center" wrapText="1"/>
    </xf>
    <xf numFmtId="2" fontId="6" fillId="0" borderId="26" xfId="0" applyNumberFormat="1" applyFont="1" applyFill="1" applyBorder="1" applyAlignment="1">
      <alignment horizontal="center" vertical="center" wrapText="1"/>
    </xf>
    <xf numFmtId="0" fontId="4" fillId="0" borderId="148" xfId="0" applyFont="1" applyBorder="1" applyAlignment="1">
      <alignment vertical="center"/>
    </xf>
    <xf numFmtId="0" fontId="3" fillId="0" borderId="135" xfId="0" applyFont="1" applyFill="1" applyBorder="1" applyAlignment="1">
      <alignment horizontal="center" vertical="center"/>
    </xf>
    <xf numFmtId="0" fontId="3" fillId="0" borderId="135" xfId="0" applyFont="1" applyBorder="1" applyAlignment="1">
      <alignment vertical="center"/>
    </xf>
    <xf numFmtId="2" fontId="6" fillId="0" borderId="135" xfId="0" applyNumberFormat="1" applyFont="1" applyFill="1" applyBorder="1" applyAlignment="1">
      <alignment horizontal="center" vertical="center" wrapText="1"/>
    </xf>
    <xf numFmtId="2" fontId="6" fillId="0" borderId="70" xfId="0" applyNumberFormat="1" applyFont="1" applyFill="1" applyBorder="1" applyAlignment="1">
      <alignment horizontal="center" vertical="center" wrapText="1"/>
    </xf>
    <xf numFmtId="0" fontId="3" fillId="0" borderId="70" xfId="0" applyFont="1" applyFill="1" applyBorder="1" applyAlignment="1">
      <alignment horizontal="center" vertical="center"/>
    </xf>
    <xf numFmtId="0" fontId="4" fillId="2" borderId="2" xfId="0" applyFont="1" applyFill="1" applyBorder="1" applyAlignment="1">
      <alignment horizontal="left" vertical="center"/>
    </xf>
    <xf numFmtId="0" fontId="3" fillId="0" borderId="6" xfId="0" applyFont="1" applyBorder="1" applyAlignment="1">
      <alignment vertical="top"/>
    </xf>
    <xf numFmtId="3" fontId="3" fillId="4" borderId="128" xfId="0" applyNumberFormat="1" applyFont="1" applyFill="1" applyBorder="1" applyAlignment="1">
      <alignment horizontal="right" vertical="center" wrapText="1"/>
    </xf>
    <xf numFmtId="3" fontId="3" fillId="4" borderId="129" xfId="0" applyNumberFormat="1" applyFont="1" applyFill="1" applyBorder="1" applyAlignment="1">
      <alignment horizontal="right" vertical="center" wrapText="1"/>
    </xf>
    <xf numFmtId="3" fontId="3" fillId="4" borderId="139" xfId="0" applyNumberFormat="1" applyFont="1" applyFill="1" applyBorder="1" applyAlignment="1">
      <alignment horizontal="right" vertical="center" wrapText="1"/>
    </xf>
    <xf numFmtId="3" fontId="3" fillId="4" borderId="47" xfId="0" applyNumberFormat="1" applyFont="1" applyFill="1" applyBorder="1" applyAlignment="1">
      <alignment horizontal="right" vertical="center" wrapText="1"/>
    </xf>
    <xf numFmtId="0" fontId="3" fillId="4" borderId="129" xfId="0" applyFont="1" applyFill="1" applyBorder="1" applyAlignment="1">
      <alignment horizontal="justify" vertical="center" wrapText="1"/>
    </xf>
    <xf numFmtId="3" fontId="3" fillId="4" borderId="138" xfId="0" applyNumberFormat="1" applyFont="1" applyFill="1" applyBorder="1" applyAlignment="1">
      <alignment horizontal="right" vertical="center" wrapText="1"/>
    </xf>
    <xf numFmtId="0" fontId="3" fillId="2" borderId="167" xfId="0" applyFont="1" applyFill="1" applyBorder="1" applyAlignment="1">
      <alignment horizontal="center" vertical="center" wrapText="1"/>
    </xf>
    <xf numFmtId="0" fontId="3" fillId="2" borderId="41" xfId="0" applyFont="1" applyFill="1" applyBorder="1" applyAlignment="1">
      <alignment horizontal="center" vertical="center"/>
    </xf>
    <xf numFmtId="0" fontId="18" fillId="0" borderId="0" xfId="0" applyFont="1" applyBorder="1" applyAlignment="1">
      <alignment vertical="center"/>
    </xf>
    <xf numFmtId="3" fontId="6" fillId="0" borderId="11" xfId="0" applyNumberFormat="1" applyFont="1" applyFill="1" applyBorder="1" applyAlignment="1">
      <alignment horizontal="center" vertical="center" wrapText="1"/>
    </xf>
    <xf numFmtId="3" fontId="6" fillId="0" borderId="12" xfId="0" applyNumberFormat="1" applyFont="1" applyFill="1" applyBorder="1" applyAlignment="1">
      <alignment horizontal="center" vertical="center" wrapText="1"/>
    </xf>
    <xf numFmtId="3" fontId="6" fillId="0" borderId="6" xfId="0" applyNumberFormat="1" applyFont="1" applyFill="1" applyBorder="1" applyAlignment="1">
      <alignment horizontal="center" vertical="center" wrapText="1"/>
    </xf>
    <xf numFmtId="3" fontId="6" fillId="0" borderId="81" xfId="0" applyNumberFormat="1" applyFont="1" applyFill="1" applyBorder="1" applyAlignment="1">
      <alignment horizontal="center" vertical="center" wrapText="1"/>
    </xf>
    <xf numFmtId="3" fontId="6" fillId="0" borderId="84" xfId="0" applyNumberFormat="1" applyFont="1" applyFill="1" applyBorder="1" applyAlignment="1">
      <alignment horizontal="center" vertical="center" wrapText="1"/>
    </xf>
    <xf numFmtId="168" fontId="6" fillId="0" borderId="0" xfId="0" applyNumberFormat="1" applyFont="1" applyFill="1" applyBorder="1" applyAlignment="1">
      <alignment horizontal="center" vertical="center" wrapText="1"/>
    </xf>
    <xf numFmtId="0" fontId="2" fillId="0" borderId="0" xfId="0" applyFont="1" applyBorder="1" applyAlignment="1">
      <alignment horizontal="center" vertical="center"/>
    </xf>
    <xf numFmtId="0" fontId="4" fillId="2" borderId="12" xfId="9" applyFont="1" applyFill="1" applyBorder="1" applyAlignment="1">
      <alignment horizontal="center" vertical="center" wrapText="1"/>
    </xf>
    <xf numFmtId="0" fontId="4" fillId="2" borderId="25" xfId="9" applyFont="1" applyFill="1" applyBorder="1" applyAlignment="1">
      <alignment horizontal="center" vertical="center" wrapText="1"/>
    </xf>
    <xf numFmtId="0" fontId="30" fillId="0" borderId="17" xfId="0" applyFont="1" applyFill="1" applyBorder="1" applyAlignment="1">
      <alignment horizontal="center" vertical="center"/>
    </xf>
    <xf numFmtId="0" fontId="4" fillId="0" borderId="17" xfId="0" applyFont="1" applyFill="1" applyBorder="1" applyAlignment="1">
      <alignment horizontal="center" vertical="center"/>
    </xf>
    <xf numFmtId="0" fontId="4" fillId="4" borderId="53" xfId="0" applyFont="1" applyFill="1" applyBorder="1" applyAlignment="1">
      <alignment horizontal="center" vertical="center"/>
    </xf>
    <xf numFmtId="3" fontId="3" fillId="0" borderId="21" xfId="0" applyNumberFormat="1" applyFont="1" applyFill="1" applyBorder="1" applyAlignment="1">
      <alignment horizontal="right"/>
    </xf>
    <xf numFmtId="3" fontId="3" fillId="0" borderId="9" xfId="0" applyNumberFormat="1" applyFont="1" applyFill="1" applyBorder="1" applyAlignment="1">
      <alignment horizontal="right"/>
    </xf>
    <xf numFmtId="3" fontId="3" fillId="0" borderId="5" xfId="0" applyNumberFormat="1" applyFont="1" applyFill="1" applyBorder="1" applyAlignment="1">
      <alignment horizontal="right"/>
    </xf>
    <xf numFmtId="0" fontId="4" fillId="0" borderId="1" xfId="0" applyFont="1" applyBorder="1" applyAlignment="1">
      <alignment horizontal="center" vertical="center"/>
    </xf>
    <xf numFmtId="0" fontId="4" fillId="0" borderId="1" xfId="0" applyFont="1" applyBorder="1" applyAlignment="1">
      <alignment vertical="center"/>
    </xf>
    <xf numFmtId="0" fontId="50" fillId="0" borderId="12" xfId="0" applyFont="1" applyFill="1" applyBorder="1" applyAlignment="1">
      <alignment horizontal="center" vertical="center"/>
    </xf>
    <xf numFmtId="0" fontId="7" fillId="0" borderId="0" xfId="0" applyFont="1" applyFill="1" applyBorder="1" applyAlignment="1">
      <alignment vertical="center"/>
    </xf>
    <xf numFmtId="0" fontId="7" fillId="0" borderId="1" xfId="3" applyFont="1" applyFill="1" applyBorder="1" applyAlignment="1" applyProtection="1">
      <alignment horizontal="center" vertical="center"/>
    </xf>
    <xf numFmtId="0" fontId="3" fillId="0" borderId="170" xfId="3" applyFont="1" applyFill="1" applyBorder="1" applyAlignment="1" applyProtection="1">
      <alignment horizontal="center" vertical="center"/>
    </xf>
    <xf numFmtId="0" fontId="3" fillId="0" borderId="170" xfId="0" applyFont="1" applyFill="1" applyBorder="1" applyAlignment="1">
      <alignment vertical="center"/>
    </xf>
    <xf numFmtId="0" fontId="2" fillId="2" borderId="171" xfId="3" applyFont="1" applyFill="1" applyBorder="1" applyAlignment="1" applyProtection="1">
      <alignment horizontal="center" vertical="center"/>
    </xf>
    <xf numFmtId="0" fontId="0" fillId="2" borderId="172" xfId="0" applyFill="1" applyBorder="1" applyAlignment="1">
      <alignment vertical="center"/>
    </xf>
    <xf numFmtId="0" fontId="2" fillId="2" borderId="133" xfId="3" applyFont="1" applyFill="1" applyBorder="1" applyAlignment="1" applyProtection="1">
      <alignment horizontal="center" vertical="center"/>
    </xf>
    <xf numFmtId="0" fontId="0" fillId="2" borderId="157" xfId="0" applyFill="1" applyBorder="1" applyAlignment="1">
      <alignment vertical="center"/>
    </xf>
    <xf numFmtId="0" fontId="2" fillId="2" borderId="140" xfId="3" applyFont="1" applyFill="1" applyBorder="1" applyAlignment="1" applyProtection="1">
      <alignment horizontal="center" vertical="center"/>
    </xf>
    <xf numFmtId="0" fontId="2" fillId="2" borderId="124" xfId="3" applyFont="1" applyFill="1" applyBorder="1" applyAlignment="1" applyProtection="1">
      <alignment horizontal="center" vertical="center"/>
    </xf>
    <xf numFmtId="0" fontId="3" fillId="2" borderId="171" xfId="3" applyFont="1" applyFill="1" applyBorder="1" applyAlignment="1" applyProtection="1">
      <alignment horizontal="center" vertical="center"/>
    </xf>
    <xf numFmtId="0" fontId="3" fillId="2" borderId="172" xfId="0" applyFont="1" applyFill="1" applyBorder="1" applyAlignment="1">
      <alignment vertical="center"/>
    </xf>
    <xf numFmtId="0" fontId="0" fillId="2" borderId="172" xfId="0" applyFill="1" applyBorder="1" applyAlignment="1">
      <alignment vertical="center" wrapText="1"/>
    </xf>
    <xf numFmtId="0" fontId="7" fillId="0" borderId="173" xfId="0" applyFont="1" applyFill="1" applyBorder="1" applyAlignment="1">
      <alignment vertical="center"/>
    </xf>
    <xf numFmtId="0" fontId="7" fillId="3" borderId="3" xfId="10" applyFont="1" applyFill="1" applyBorder="1"/>
    <xf numFmtId="3" fontId="29" fillId="0" borderId="0" xfId="0" applyNumberFormat="1" applyFont="1" applyFill="1" applyBorder="1" applyAlignment="1">
      <alignment horizontal="right" vertical="center" wrapText="1"/>
    </xf>
    <xf numFmtId="3" fontId="29" fillId="0" borderId="0" xfId="0" applyNumberFormat="1" applyFont="1" applyFill="1" applyBorder="1" applyAlignment="1">
      <alignment horizontal="right" vertical="center"/>
    </xf>
    <xf numFmtId="0" fontId="4" fillId="2" borderId="3" xfId="0" applyFont="1" applyFill="1" applyBorder="1" applyAlignment="1">
      <alignment horizontal="right" vertical="center"/>
    </xf>
    <xf numFmtId="6" fontId="29" fillId="0" borderId="12" xfId="0" applyNumberFormat="1" applyFont="1" applyFill="1" applyBorder="1" applyAlignment="1">
      <alignment horizontal="right" vertical="center" wrapText="1"/>
    </xf>
    <xf numFmtId="0" fontId="47" fillId="0" borderId="0" xfId="3" applyFont="1" applyFill="1" applyAlignment="1" applyProtection="1"/>
    <xf numFmtId="0" fontId="53" fillId="0" borderId="2" xfId="0" applyFont="1" applyFill="1" applyBorder="1" applyAlignment="1">
      <alignment horizontal="center" vertical="center"/>
    </xf>
    <xf numFmtId="0" fontId="53" fillId="0" borderId="3" xfId="0" applyFont="1" applyFill="1" applyBorder="1" applyAlignment="1">
      <alignment horizontal="center" vertical="center"/>
    </xf>
    <xf numFmtId="0" fontId="53" fillId="0" borderId="7" xfId="0" applyFont="1" applyFill="1" applyBorder="1" applyAlignment="1">
      <alignment horizontal="center" vertical="center"/>
    </xf>
    <xf numFmtId="0" fontId="0" fillId="0" borderId="7" xfId="0" applyFill="1" applyBorder="1" applyAlignment="1">
      <alignment vertical="center"/>
    </xf>
    <xf numFmtId="0" fontId="7" fillId="0" borderId="7" xfId="0" applyFont="1" applyFill="1" applyBorder="1" applyAlignment="1">
      <alignment horizontal="center" vertical="center"/>
    </xf>
    <xf numFmtId="0" fontId="2" fillId="0" borderId="12" xfId="3" applyFont="1" applyFill="1" applyBorder="1" applyAlignment="1" applyProtection="1">
      <alignment horizontal="center" vertical="center"/>
    </xf>
    <xf numFmtId="0" fontId="0" fillId="0" borderId="12" xfId="0" applyFill="1" applyBorder="1" applyAlignment="1">
      <alignment vertical="center"/>
    </xf>
    <xf numFmtId="0" fontId="7" fillId="5" borderId="48" xfId="3" applyFont="1" applyFill="1" applyBorder="1" applyAlignment="1" applyProtection="1">
      <alignment horizontal="center" vertical="center" wrapText="1"/>
    </xf>
    <xf numFmtId="0" fontId="59" fillId="0" borderId="0" xfId="0" applyFont="1" applyFill="1" applyBorder="1" applyAlignment="1">
      <alignment horizontal="center" vertical="center"/>
    </xf>
    <xf numFmtId="0" fontId="7" fillId="0" borderId="0" xfId="3" applyFont="1" applyFill="1" applyBorder="1" applyAlignment="1" applyProtection="1">
      <alignment horizontal="center" vertical="center"/>
    </xf>
    <xf numFmtId="0" fontId="53" fillId="0" borderId="11" xfId="0" applyFont="1" applyFill="1" applyBorder="1" applyAlignment="1">
      <alignment horizontal="center" vertical="center"/>
    </xf>
    <xf numFmtId="0" fontId="0" fillId="0" borderId="25" xfId="0" applyFill="1" applyBorder="1" applyAlignment="1">
      <alignment horizontal="center"/>
    </xf>
    <xf numFmtId="0" fontId="0" fillId="0" borderId="25" xfId="0" applyFill="1" applyBorder="1"/>
    <xf numFmtId="0" fontId="2" fillId="0" borderId="25" xfId="0" applyFont="1" applyFill="1" applyBorder="1"/>
    <xf numFmtId="0" fontId="0" fillId="0" borderId="170" xfId="0" applyFill="1" applyBorder="1" applyAlignment="1">
      <alignment horizontal="center"/>
    </xf>
    <xf numFmtId="0" fontId="0" fillId="0" borderId="170" xfId="0" applyFill="1" applyBorder="1"/>
    <xf numFmtId="0" fontId="2" fillId="0" borderId="170" xfId="0" applyFont="1" applyFill="1" applyBorder="1"/>
    <xf numFmtId="0" fontId="20" fillId="0" borderId="0" xfId="0" applyFont="1" applyFill="1"/>
    <xf numFmtId="0" fontId="7" fillId="3" borderId="0" xfId="0" applyFont="1" applyFill="1"/>
    <xf numFmtId="0" fontId="4" fillId="4" borderId="3" xfId="0" applyFont="1" applyFill="1" applyBorder="1" applyAlignment="1">
      <alignment horizontal="left" vertical="center"/>
    </xf>
    <xf numFmtId="0" fontId="4" fillId="2" borderId="9" xfId="0" applyFont="1" applyFill="1" applyBorder="1" applyAlignment="1">
      <alignment horizontal="center" wrapText="1"/>
    </xf>
    <xf numFmtId="0" fontId="3" fillId="0" borderId="0" xfId="0" applyFont="1" applyBorder="1" applyAlignment="1">
      <alignment vertical="top" wrapText="1"/>
    </xf>
    <xf numFmtId="180" fontId="6" fillId="0" borderId="0" xfId="1" applyNumberFormat="1" applyFont="1" applyFill="1" applyBorder="1" applyAlignment="1">
      <alignment horizontal="center" vertical="center" wrapText="1"/>
    </xf>
    <xf numFmtId="0" fontId="4" fillId="2" borderId="33" xfId="0" applyFont="1" applyFill="1" applyBorder="1" applyAlignment="1">
      <alignment vertical="top" wrapText="1"/>
    </xf>
    <xf numFmtId="170" fontId="4" fillId="4" borderId="0" xfId="0" applyNumberFormat="1" applyFont="1" applyFill="1"/>
    <xf numFmtId="0" fontId="13" fillId="0" borderId="0" xfId="0" applyFont="1" applyAlignment="1"/>
    <xf numFmtId="0" fontId="44" fillId="0" borderId="0" xfId="0" applyFont="1" applyFill="1" applyBorder="1" applyAlignment="1">
      <alignment horizontal="center" vertical="center" wrapText="1"/>
    </xf>
    <xf numFmtId="0" fontId="60" fillId="0" borderId="0" xfId="0" applyFont="1" applyFill="1" applyBorder="1" applyAlignment="1">
      <alignment vertical="center"/>
    </xf>
    <xf numFmtId="0" fontId="4" fillId="0" borderId="0" xfId="3" applyFont="1" applyBorder="1" applyAlignment="1" applyProtection="1">
      <alignment vertical="center"/>
    </xf>
    <xf numFmtId="0" fontId="4" fillId="7" borderId="174" xfId="3" applyFont="1" applyFill="1" applyBorder="1" applyAlignment="1" applyProtection="1">
      <alignment horizontal="center" vertical="center"/>
    </xf>
    <xf numFmtId="0" fontId="29" fillId="0" borderId="0" xfId="0" applyFont="1" applyBorder="1" applyAlignment="1">
      <alignment vertical="center"/>
    </xf>
    <xf numFmtId="0" fontId="0" fillId="7" borderId="0" xfId="0" applyFill="1" applyBorder="1" applyAlignment="1">
      <alignment vertical="center"/>
    </xf>
    <xf numFmtId="169" fontId="30" fillId="0" borderId="0" xfId="0" applyNumberFormat="1" applyFont="1" applyFill="1" applyBorder="1" applyAlignment="1">
      <alignment horizontal="center" vertical="center"/>
    </xf>
    <xf numFmtId="0" fontId="2" fillId="0" borderId="25" xfId="0" applyFont="1" applyFill="1" applyBorder="1" applyAlignment="1">
      <alignment vertical="center"/>
    </xf>
    <xf numFmtId="0" fontId="2" fillId="0" borderId="6" xfId="0" applyFont="1" applyFill="1" applyBorder="1" applyAlignment="1">
      <alignment horizontal="center" vertical="center"/>
    </xf>
    <xf numFmtId="0" fontId="10" fillId="0" borderId="6" xfId="3" applyFill="1" applyBorder="1" applyAlignment="1" applyProtection="1">
      <alignment vertical="center"/>
    </xf>
    <xf numFmtId="0" fontId="6" fillId="0" borderId="6" xfId="0" applyFont="1" applyBorder="1" applyAlignment="1"/>
    <xf numFmtId="0" fontId="6" fillId="0" borderId="2" xfId="0" applyFont="1" applyBorder="1" applyAlignment="1"/>
    <xf numFmtId="0" fontId="5" fillId="2" borderId="10" xfId="0" applyFont="1" applyFill="1" applyBorder="1" applyAlignment="1">
      <alignment vertical="top"/>
    </xf>
    <xf numFmtId="0" fontId="5" fillId="2" borderId="7" xfId="0" applyFont="1" applyFill="1" applyBorder="1" applyAlignment="1">
      <alignment horizontal="center" vertical="top" wrapText="1"/>
    </xf>
    <xf numFmtId="0" fontId="5" fillId="2" borderId="8" xfId="0" applyFont="1" applyFill="1" applyBorder="1" applyAlignment="1">
      <alignment horizontal="center" vertical="top" wrapText="1"/>
    </xf>
    <xf numFmtId="0" fontId="5" fillId="2" borderId="44" xfId="0" applyFont="1" applyFill="1" applyBorder="1" applyAlignment="1">
      <alignment horizontal="center" vertical="top" wrapText="1"/>
    </xf>
    <xf numFmtId="2" fontId="6" fillId="0" borderId="80" xfId="0" applyNumberFormat="1" applyFont="1" applyBorder="1" applyAlignment="1">
      <alignment horizontal="center" vertical="top" wrapText="1"/>
    </xf>
    <xf numFmtId="2" fontId="6" fillId="0" borderId="35" xfId="0" applyNumberFormat="1" applyFont="1" applyBorder="1" applyAlignment="1">
      <alignment horizontal="center" vertical="top" wrapText="1"/>
    </xf>
    <xf numFmtId="2" fontId="6" fillId="0" borderId="36" xfId="0" applyNumberFormat="1" applyFont="1" applyBorder="1" applyAlignment="1">
      <alignment horizontal="center" vertical="top" wrapText="1"/>
    </xf>
    <xf numFmtId="2" fontId="29" fillId="0" borderId="0" xfId="0" applyNumberFormat="1" applyFont="1" applyBorder="1" applyAlignment="1">
      <alignment horizontal="center" vertical="top" wrapText="1"/>
    </xf>
    <xf numFmtId="2" fontId="29" fillId="0" borderId="80" xfId="0" applyNumberFormat="1" applyFont="1" applyBorder="1" applyAlignment="1">
      <alignment horizontal="center" wrapText="1"/>
    </xf>
    <xf numFmtId="2" fontId="29" fillId="0" borderId="1" xfId="0" applyNumberFormat="1" applyFont="1" applyBorder="1" applyAlignment="1">
      <alignment horizontal="center" wrapText="1"/>
    </xf>
    <xf numFmtId="2" fontId="29" fillId="0" borderId="0" xfId="0" applyNumberFormat="1" applyFont="1" applyBorder="1" applyAlignment="1">
      <alignment horizontal="center" wrapText="1"/>
    </xf>
    <xf numFmtId="2" fontId="62" fillId="0" borderId="80" xfId="0" applyNumberFormat="1" applyFont="1" applyBorder="1" applyAlignment="1">
      <alignment horizontal="center" vertical="top" wrapText="1"/>
    </xf>
    <xf numFmtId="2" fontId="62" fillId="0" borderId="1" xfId="0" applyNumberFormat="1" applyFont="1" applyBorder="1" applyAlignment="1">
      <alignment horizontal="center" vertical="top" wrapText="1"/>
    </xf>
    <xf numFmtId="2" fontId="29" fillId="0" borderId="80" xfId="0" applyNumberFormat="1" applyFont="1" applyBorder="1" applyAlignment="1">
      <alignment horizontal="center" vertical="top" wrapText="1"/>
    </xf>
    <xf numFmtId="2" fontId="29" fillId="0" borderId="1" xfId="0" applyNumberFormat="1" applyFont="1" applyBorder="1" applyAlignment="1">
      <alignment horizontal="center" vertical="top" wrapText="1"/>
    </xf>
    <xf numFmtId="2" fontId="29" fillId="0" borderId="3" xfId="0" applyNumberFormat="1" applyFont="1" applyBorder="1" applyAlignment="1">
      <alignment horizontal="center" wrapText="1"/>
    </xf>
    <xf numFmtId="2" fontId="29" fillId="0" borderId="36" xfId="0" applyNumberFormat="1" applyFont="1" applyBorder="1" applyAlignment="1">
      <alignment horizontal="center" wrapText="1"/>
    </xf>
    <xf numFmtId="2" fontId="29" fillId="0" borderId="4" xfId="0" applyNumberFormat="1" applyFont="1" applyBorder="1" applyAlignment="1">
      <alignment horizontal="center" wrapText="1"/>
    </xf>
    <xf numFmtId="0" fontId="5" fillId="2" borderId="2" xfId="0" applyFont="1" applyFill="1" applyBorder="1" applyAlignment="1">
      <alignment vertical="top"/>
    </xf>
    <xf numFmtId="0" fontId="0" fillId="3" borderId="12" xfId="0" applyFill="1" applyBorder="1" applyAlignment="1">
      <alignment horizontal="left" vertical="center"/>
    </xf>
    <xf numFmtId="0" fontId="0" fillId="3" borderId="15" xfId="0" applyFill="1" applyBorder="1" applyAlignment="1">
      <alignment horizontal="left" vertical="center"/>
    </xf>
    <xf numFmtId="0" fontId="3" fillId="3" borderId="12" xfId="0" applyFont="1" applyFill="1" applyBorder="1" applyAlignment="1">
      <alignment horizontal="left" vertical="center"/>
    </xf>
    <xf numFmtId="0" fontId="3" fillId="3" borderId="15" xfId="0" applyFont="1" applyFill="1" applyBorder="1" applyAlignment="1">
      <alignment horizontal="left" vertical="center"/>
    </xf>
    <xf numFmtId="0" fontId="3" fillId="3" borderId="3" xfId="0" applyFont="1" applyFill="1" applyBorder="1" applyAlignment="1">
      <alignment horizontal="left" vertical="center"/>
    </xf>
    <xf numFmtId="0" fontId="3" fillId="3" borderId="4" xfId="0" applyFont="1" applyFill="1" applyBorder="1" applyAlignment="1">
      <alignment horizontal="left" vertical="center"/>
    </xf>
    <xf numFmtId="0" fontId="2" fillId="0" borderId="28" xfId="0" applyFont="1" applyFill="1" applyBorder="1" applyAlignment="1">
      <alignment horizontal="center" vertical="center"/>
    </xf>
    <xf numFmtId="0" fontId="24" fillId="0" borderId="0" xfId="0" applyFont="1" applyFill="1" applyBorder="1" applyAlignment="1">
      <alignment horizontal="centerContinuous" vertical="center" wrapText="1"/>
    </xf>
    <xf numFmtId="0" fontId="7" fillId="3" borderId="0" xfId="0" applyFont="1" applyFill="1" applyBorder="1" applyAlignment="1">
      <alignment vertical="center"/>
    </xf>
    <xf numFmtId="0" fontId="4" fillId="0" borderId="2" xfId="0" applyFont="1" applyFill="1" applyBorder="1" applyAlignment="1">
      <alignment vertical="center"/>
    </xf>
    <xf numFmtId="0" fontId="7" fillId="0" borderId="7" xfId="3" applyFont="1" applyFill="1" applyBorder="1" applyAlignment="1" applyProtection="1">
      <alignment horizontal="center" vertical="center"/>
    </xf>
    <xf numFmtId="0" fontId="0" fillId="2" borderId="172" xfId="0" applyFill="1" applyBorder="1" applyAlignment="1">
      <alignment horizontal="left" vertical="center"/>
    </xf>
    <xf numFmtId="0" fontId="4" fillId="7" borderId="172" xfId="3" applyFont="1" applyFill="1" applyBorder="1" applyAlignment="1" applyProtection="1">
      <alignment horizontal="center" vertical="center"/>
    </xf>
    <xf numFmtId="2" fontId="3" fillId="0" borderId="21" xfId="0" applyNumberFormat="1" applyFont="1" applyFill="1" applyBorder="1" applyAlignment="1">
      <alignment horizontal="center" vertical="center"/>
    </xf>
    <xf numFmtId="2" fontId="3" fillId="0" borderId="5" xfId="0" applyNumberFormat="1" applyFont="1" applyFill="1" applyBorder="1" applyAlignment="1">
      <alignment horizontal="center" vertical="center"/>
    </xf>
    <xf numFmtId="0" fontId="7" fillId="0" borderId="1" xfId="0" applyFont="1" applyBorder="1" applyAlignment="1">
      <alignment vertical="center"/>
    </xf>
    <xf numFmtId="0" fontId="7" fillId="0" borderId="1" xfId="0" applyFont="1" applyFill="1" applyBorder="1" applyAlignment="1">
      <alignment vertical="center"/>
    </xf>
    <xf numFmtId="0" fontId="7" fillId="0" borderId="103" xfId="3" applyFont="1" applyFill="1" applyBorder="1" applyAlignment="1" applyProtection="1">
      <alignment horizontal="center" vertical="center"/>
    </xf>
    <xf numFmtId="0" fontId="7" fillId="0" borderId="4" xfId="3" applyFont="1" applyFill="1" applyBorder="1" applyAlignment="1" applyProtection="1">
      <alignment horizontal="center" vertical="center"/>
    </xf>
    <xf numFmtId="1" fontId="4" fillId="0" borderId="48" xfId="0" applyNumberFormat="1" applyFont="1" applyBorder="1" applyAlignment="1">
      <alignment horizontal="center" vertical="center"/>
    </xf>
    <xf numFmtId="0" fontId="3" fillId="0" borderId="0" xfId="0" applyFont="1" applyAlignment="1">
      <alignment horizontal="right" vertical="center"/>
    </xf>
    <xf numFmtId="2" fontId="3" fillId="0" borderId="11" xfId="0" applyNumberFormat="1" applyFont="1" applyFill="1" applyBorder="1" applyAlignment="1">
      <alignment horizontal="right"/>
    </xf>
    <xf numFmtId="2" fontId="3" fillId="0" borderId="6" xfId="0" applyNumberFormat="1" applyFont="1" applyFill="1" applyBorder="1" applyAlignment="1">
      <alignment horizontal="right"/>
    </xf>
    <xf numFmtId="2" fontId="3" fillId="0" borderId="2" xfId="0" applyNumberFormat="1" applyFont="1" applyFill="1" applyBorder="1" applyAlignment="1">
      <alignment horizontal="right"/>
    </xf>
    <xf numFmtId="0" fontId="4" fillId="2" borderId="175" xfId="0" applyFont="1" applyFill="1" applyBorder="1" applyAlignment="1">
      <alignment vertical="center"/>
    </xf>
    <xf numFmtId="0" fontId="3" fillId="0" borderId="3" xfId="0" applyFont="1" applyFill="1" applyBorder="1" applyAlignment="1">
      <alignment horizontal="left"/>
    </xf>
    <xf numFmtId="0" fontId="3" fillId="0" borderId="0" xfId="0" applyFont="1" applyFill="1" applyBorder="1" applyAlignment="1">
      <alignment horizontal="right"/>
    </xf>
    <xf numFmtId="0" fontId="3" fillId="0" borderId="3" xfId="0" applyFont="1" applyFill="1" applyBorder="1" applyAlignment="1">
      <alignment horizontal="right"/>
    </xf>
    <xf numFmtId="0" fontId="0" fillId="2" borderId="12" xfId="0" applyFill="1" applyBorder="1" applyAlignment="1">
      <alignment horizontal="centerContinuous"/>
    </xf>
    <xf numFmtId="0" fontId="0" fillId="2" borderId="15" xfId="0" applyFill="1" applyBorder="1" applyAlignment="1">
      <alignment horizontal="center"/>
    </xf>
    <xf numFmtId="0" fontId="3" fillId="2" borderId="176" xfId="0" applyFont="1" applyFill="1" applyBorder="1"/>
    <xf numFmtId="49" fontId="3" fillId="0" borderId="0" xfId="0" applyNumberFormat="1" applyFont="1" applyFill="1" applyBorder="1"/>
    <xf numFmtId="0" fontId="7" fillId="0" borderId="0" xfId="0" applyFont="1" applyFill="1" applyBorder="1"/>
    <xf numFmtId="0" fontId="24" fillId="0" borderId="0" xfId="0" applyFont="1" applyFill="1" applyBorder="1"/>
    <xf numFmtId="0" fontId="0" fillId="0" borderId="3" xfId="0" applyFill="1" applyBorder="1" applyAlignment="1">
      <alignment horizontal="left" vertical="center"/>
    </xf>
    <xf numFmtId="0" fontId="39" fillId="3" borderId="7" xfId="0" applyFont="1" applyFill="1" applyBorder="1" applyAlignment="1">
      <alignment horizontal="right" vertical="center"/>
    </xf>
    <xf numFmtId="0" fontId="0" fillId="0" borderId="27" xfId="0" applyFill="1" applyBorder="1" applyAlignment="1">
      <alignment vertical="center"/>
    </xf>
    <xf numFmtId="0" fontId="0" fillId="0" borderId="32" xfId="0" applyFill="1" applyBorder="1" applyAlignment="1">
      <alignment vertical="center"/>
    </xf>
    <xf numFmtId="2" fontId="29" fillId="0" borderId="1" xfId="0" applyNumberFormat="1" applyFont="1" applyBorder="1" applyAlignment="1">
      <alignment horizontal="center" vertical="center" wrapText="1"/>
    </xf>
    <xf numFmtId="3" fontId="29" fillId="4" borderId="0" xfId="0" applyNumberFormat="1" applyFont="1" applyFill="1" applyBorder="1" applyAlignment="1">
      <alignment horizontal="center" vertical="center"/>
    </xf>
    <xf numFmtId="0" fontId="33" fillId="0" borderId="0" xfId="3" applyFont="1" applyFill="1" applyBorder="1" applyAlignment="1" applyProtection="1">
      <alignment horizontal="center" vertical="center"/>
    </xf>
    <xf numFmtId="169" fontId="3" fillId="0" borderId="0" xfId="0" applyNumberFormat="1" applyFont="1" applyFill="1" applyBorder="1" applyAlignment="1">
      <alignment horizontal="right" vertical="center"/>
    </xf>
    <xf numFmtId="0" fontId="3" fillId="3" borderId="8" xfId="0" applyFont="1" applyFill="1" applyBorder="1" applyAlignment="1">
      <alignment horizontal="center" vertical="center"/>
    </xf>
    <xf numFmtId="0" fontId="7" fillId="0" borderId="0" xfId="0" applyFont="1" applyFill="1" applyBorder="1" applyAlignment="1">
      <alignment horizontal="center"/>
    </xf>
    <xf numFmtId="0" fontId="5" fillId="0" borderId="0" xfId="0" applyFont="1" applyFill="1" applyBorder="1" applyAlignment="1">
      <alignment horizontal="center" vertical="top"/>
    </xf>
    <xf numFmtId="167" fontId="0" fillId="0" borderId="0" xfId="0" applyNumberFormat="1" applyFont="1" applyFill="1" applyBorder="1" applyAlignment="1">
      <alignment horizontal="center"/>
    </xf>
    <xf numFmtId="0" fontId="5" fillId="0" borderId="0" xfId="0" applyFont="1" applyFill="1" applyBorder="1" applyAlignment="1">
      <alignment horizontal="center"/>
    </xf>
    <xf numFmtId="1" fontId="0" fillId="0" borderId="0" xfId="0" applyNumberFormat="1" applyFont="1" applyFill="1" applyBorder="1" applyAlignment="1">
      <alignment horizontal="center"/>
    </xf>
    <xf numFmtId="0" fontId="0" fillId="0" borderId="0" xfId="0" applyFill="1" applyBorder="1" applyAlignment="1">
      <alignment horizontal="left"/>
    </xf>
    <xf numFmtId="171" fontId="29" fillId="0" borderId="140" xfId="0" applyNumberFormat="1" applyFont="1" applyFill="1" applyBorder="1" applyAlignment="1">
      <alignment horizontal="center" vertical="center" wrapText="1"/>
    </xf>
    <xf numFmtId="171" fontId="29" fillId="0" borderId="0" xfId="0" applyNumberFormat="1" applyFont="1" applyFill="1" applyBorder="1" applyAlignment="1">
      <alignment horizontal="center" vertical="center" wrapText="1"/>
    </xf>
    <xf numFmtId="171" fontId="29" fillId="0" borderId="50" xfId="0" applyNumberFormat="1" applyFont="1" applyFill="1" applyBorder="1" applyAlignment="1">
      <alignment horizontal="center" vertical="center" wrapText="1"/>
    </xf>
    <xf numFmtId="171" fontId="29" fillId="0" borderId="177" xfId="0" applyNumberFormat="1" applyFont="1" applyFill="1" applyBorder="1" applyAlignment="1">
      <alignment horizontal="center" vertical="center" wrapText="1"/>
    </xf>
    <xf numFmtId="171" fontId="29" fillId="0" borderId="3" xfId="0" applyNumberFormat="1" applyFont="1" applyFill="1" applyBorder="1" applyAlignment="1">
      <alignment horizontal="center" vertical="center" wrapText="1"/>
    </xf>
    <xf numFmtId="171" fontId="29" fillId="0" borderId="122" xfId="0" applyNumberFormat="1" applyFont="1" applyFill="1" applyBorder="1" applyAlignment="1">
      <alignment horizontal="center" vertical="center" wrapText="1"/>
    </xf>
    <xf numFmtId="171" fontId="29" fillId="0" borderId="4" xfId="0" applyNumberFormat="1" applyFont="1" applyFill="1" applyBorder="1" applyAlignment="1">
      <alignment horizontal="center" vertical="center" wrapText="1"/>
    </xf>
    <xf numFmtId="0" fontId="7" fillId="0" borderId="0" xfId="0" applyFont="1" applyFill="1" applyBorder="1" applyAlignment="1">
      <alignment horizontal="centerContinuous" vertical="center"/>
    </xf>
    <xf numFmtId="0" fontId="29" fillId="0" borderId="0" xfId="0" applyFont="1" applyFill="1" applyBorder="1" applyAlignment="1">
      <alignment horizontal="left" vertical="center"/>
    </xf>
    <xf numFmtId="0" fontId="4" fillId="2" borderId="0" xfId="0" applyFont="1" applyFill="1" applyBorder="1" applyAlignment="1">
      <alignment horizontal="center" wrapText="1"/>
    </xf>
    <xf numFmtId="0" fontId="4" fillId="4" borderId="0" xfId="3" applyFont="1" applyFill="1" applyBorder="1" applyAlignment="1" applyProtection="1">
      <alignment horizontal="center" vertical="center"/>
      <protection hidden="1"/>
    </xf>
    <xf numFmtId="2" fontId="30" fillId="7" borderId="0" xfId="0" applyNumberFormat="1" applyFont="1" applyFill="1" applyBorder="1" applyAlignment="1">
      <alignment horizontal="center" vertical="center" wrapText="1"/>
    </xf>
    <xf numFmtId="2" fontId="30" fillId="7" borderId="42" xfId="0" applyNumberFormat="1" applyFont="1" applyFill="1" applyBorder="1" applyAlignment="1">
      <alignment horizontal="center" vertical="center" wrapText="1"/>
    </xf>
    <xf numFmtId="0" fontId="30" fillId="7" borderId="1" xfId="0" applyFont="1" applyFill="1" applyBorder="1" applyAlignment="1">
      <alignment horizontal="center" vertical="center" wrapText="1"/>
    </xf>
    <xf numFmtId="2" fontId="30" fillId="7" borderId="83" xfId="0" applyNumberFormat="1" applyFont="1" applyFill="1" applyBorder="1" applyAlignment="1">
      <alignment horizontal="center" vertical="center"/>
    </xf>
    <xf numFmtId="2" fontId="30" fillId="7" borderId="80" xfId="0" applyNumberFormat="1" applyFont="1" applyFill="1" applyBorder="1" applyAlignment="1">
      <alignment horizontal="center" vertical="center"/>
    </xf>
    <xf numFmtId="0" fontId="30" fillId="7" borderId="1" xfId="0" applyFont="1" applyFill="1" applyBorder="1" applyAlignment="1">
      <alignment horizontal="center" vertical="center"/>
    </xf>
    <xf numFmtId="2" fontId="30" fillId="7" borderId="36" xfId="0" applyNumberFormat="1" applyFont="1" applyFill="1" applyBorder="1" applyAlignment="1">
      <alignment horizontal="center" vertical="center"/>
    </xf>
    <xf numFmtId="0" fontId="30" fillId="7" borderId="4" xfId="0" applyFont="1" applyFill="1" applyBorder="1" applyAlignment="1">
      <alignment horizontal="center" vertical="center"/>
    </xf>
    <xf numFmtId="0" fontId="5" fillId="2" borderId="178" xfId="0" applyFont="1" applyFill="1" applyBorder="1" applyAlignment="1">
      <alignment horizontal="center" vertical="center" wrapText="1"/>
    </xf>
    <xf numFmtId="2" fontId="29" fillId="0" borderId="17" xfId="0" applyNumberFormat="1" applyFont="1" applyFill="1" applyBorder="1" applyAlignment="1">
      <alignment horizontal="center" vertical="center" wrapText="1"/>
    </xf>
    <xf numFmtId="2" fontId="30" fillId="7" borderId="17" xfId="0" applyNumberFormat="1" applyFont="1" applyFill="1" applyBorder="1" applyAlignment="1">
      <alignment horizontal="center" vertical="center" wrapText="1"/>
    </xf>
    <xf numFmtId="2" fontId="30" fillId="7" borderId="17" xfId="0" applyNumberFormat="1" applyFont="1" applyFill="1" applyBorder="1" applyAlignment="1">
      <alignment horizontal="center" vertical="center"/>
    </xf>
    <xf numFmtId="0" fontId="5" fillId="2" borderId="179" xfId="0" applyFont="1" applyFill="1" applyBorder="1" applyAlignment="1">
      <alignment horizontal="center" vertical="center" wrapText="1"/>
    </xf>
    <xf numFmtId="0" fontId="5" fillId="2" borderId="180" xfId="0" applyFont="1" applyFill="1" applyBorder="1" applyAlignment="1">
      <alignment horizontal="center" vertical="center" wrapText="1"/>
    </xf>
    <xf numFmtId="0" fontId="5" fillId="2" borderId="181" xfId="0" applyFont="1" applyFill="1" applyBorder="1" applyAlignment="1">
      <alignment horizontal="center" vertical="center" wrapText="1"/>
    </xf>
    <xf numFmtId="0" fontId="5" fillId="2" borderId="182" xfId="0" applyFont="1" applyFill="1" applyBorder="1" applyAlignment="1">
      <alignment horizontal="center" vertical="center" wrapText="1"/>
    </xf>
    <xf numFmtId="0" fontId="3" fillId="2" borderId="183" xfId="0" applyFont="1" applyFill="1" applyBorder="1" applyAlignment="1">
      <alignment vertical="center"/>
    </xf>
    <xf numFmtId="2" fontId="29" fillId="0" borderId="80" xfId="0" applyNumberFormat="1" applyFont="1" applyFill="1" applyBorder="1" applyAlignment="1">
      <alignment horizontal="center" vertical="center" wrapText="1"/>
    </xf>
    <xf numFmtId="2" fontId="30" fillId="7" borderId="80" xfId="0" applyNumberFormat="1" applyFont="1" applyFill="1" applyBorder="1" applyAlignment="1">
      <alignment horizontal="center" vertical="center" wrapText="1"/>
    </xf>
    <xf numFmtId="0" fontId="5" fillId="2" borderId="184" xfId="0" applyFont="1" applyFill="1" applyBorder="1" applyAlignment="1">
      <alignment horizontal="center" vertical="center" wrapText="1"/>
    </xf>
    <xf numFmtId="0" fontId="5" fillId="2" borderId="185" xfId="0" applyFont="1" applyFill="1" applyBorder="1" applyAlignment="1">
      <alignment horizontal="center" vertical="center" wrapText="1"/>
    </xf>
    <xf numFmtId="0" fontId="5" fillId="2" borderId="186" xfId="0" applyFont="1" applyFill="1" applyBorder="1" applyAlignment="1">
      <alignment horizontal="center" vertical="center" wrapText="1"/>
    </xf>
    <xf numFmtId="0" fontId="5" fillId="2" borderId="53" xfId="0" applyFont="1" applyFill="1" applyBorder="1" applyAlignment="1">
      <alignment horizontal="center" vertical="center" wrapText="1"/>
    </xf>
    <xf numFmtId="2" fontId="3" fillId="0" borderId="17" xfId="0" applyNumberFormat="1" applyFont="1" applyFill="1" applyBorder="1" applyAlignment="1">
      <alignment horizontal="center" vertical="center" wrapText="1"/>
    </xf>
    <xf numFmtId="2" fontId="4" fillId="0" borderId="34" xfId="0" applyNumberFormat="1" applyFont="1" applyFill="1" applyBorder="1" applyAlignment="1">
      <alignment horizontal="center" vertical="center" wrapText="1"/>
    </xf>
    <xf numFmtId="2" fontId="3" fillId="0" borderId="80" xfId="0" applyNumberFormat="1" applyFont="1" applyFill="1" applyBorder="1" applyAlignment="1">
      <alignment horizontal="center" vertical="center" wrapText="1"/>
    </xf>
    <xf numFmtId="0" fontId="3" fillId="0" borderId="187" xfId="0" applyFont="1" applyFill="1" applyBorder="1" applyAlignment="1">
      <alignment vertical="center"/>
    </xf>
    <xf numFmtId="2" fontId="3" fillId="0" borderId="35" xfId="0" applyNumberFormat="1" applyFont="1" applyFill="1" applyBorder="1" applyAlignment="1">
      <alignment horizontal="center" vertical="center" wrapText="1"/>
    </xf>
    <xf numFmtId="3" fontId="3" fillId="4" borderId="0" xfId="0" applyNumberFormat="1" applyFont="1" applyFill="1" applyBorder="1" applyAlignment="1" applyProtection="1">
      <alignment horizontal="center" vertical="center" wrapText="1"/>
      <protection hidden="1"/>
    </xf>
    <xf numFmtId="0" fontId="4" fillId="4" borderId="0" xfId="0" applyFont="1" applyFill="1" applyBorder="1" applyAlignment="1" applyProtection="1">
      <alignment vertical="center"/>
      <protection hidden="1"/>
    </xf>
    <xf numFmtId="0" fontId="3" fillId="4" borderId="0" xfId="0" applyFont="1" applyFill="1" applyBorder="1" applyAlignment="1" applyProtection="1">
      <alignment vertical="center"/>
      <protection hidden="1"/>
    </xf>
    <xf numFmtId="0" fontId="3" fillId="4" borderId="0" xfId="0" applyFont="1" applyFill="1" applyBorder="1" applyAlignment="1" applyProtection="1">
      <alignment horizontal="center" vertical="center"/>
      <protection hidden="1"/>
    </xf>
    <xf numFmtId="0" fontId="13" fillId="4" borderId="0" xfId="0" applyFont="1" applyFill="1" applyBorder="1" applyAlignment="1" applyProtection="1">
      <alignment vertical="center"/>
      <protection hidden="1"/>
    </xf>
    <xf numFmtId="0" fontId="13" fillId="4" borderId="0" xfId="3" applyFont="1" applyFill="1" applyBorder="1" applyAlignment="1" applyProtection="1">
      <alignment horizontal="left" vertical="center"/>
      <protection hidden="1"/>
    </xf>
    <xf numFmtId="0" fontId="13" fillId="4" borderId="0" xfId="3" applyFont="1" applyFill="1" applyBorder="1" applyAlignment="1" applyProtection="1">
      <alignment horizontal="center" vertical="center"/>
      <protection hidden="1"/>
    </xf>
    <xf numFmtId="0" fontId="13" fillId="4" borderId="0" xfId="0" applyFont="1" applyFill="1" applyBorder="1" applyAlignment="1" applyProtection="1">
      <alignment horizontal="center" vertical="center"/>
      <protection hidden="1"/>
    </xf>
    <xf numFmtId="0" fontId="13" fillId="0" borderId="0" xfId="0" applyFont="1" applyFill="1" applyBorder="1" applyAlignment="1" applyProtection="1">
      <alignment vertical="center"/>
      <protection hidden="1"/>
    </xf>
    <xf numFmtId="0" fontId="13" fillId="4" borderId="0" xfId="0" applyFont="1" applyFill="1" applyAlignment="1" applyProtection="1">
      <alignment vertical="center"/>
      <protection hidden="1"/>
    </xf>
    <xf numFmtId="0" fontId="13" fillId="4" borderId="13" xfId="0" applyFont="1" applyFill="1" applyBorder="1" applyAlignment="1" applyProtection="1">
      <alignment horizontal="left" vertical="center"/>
      <protection hidden="1"/>
    </xf>
    <xf numFmtId="0" fontId="3" fillId="4" borderId="13" xfId="0" applyFont="1" applyFill="1" applyBorder="1" applyAlignment="1" applyProtection="1">
      <alignment vertical="center"/>
      <protection hidden="1"/>
    </xf>
    <xf numFmtId="0" fontId="31" fillId="4" borderId="13" xfId="0" applyFont="1" applyFill="1" applyBorder="1" applyAlignment="1" applyProtection="1">
      <alignment horizontal="center" vertical="center"/>
      <protection hidden="1"/>
    </xf>
    <xf numFmtId="0" fontId="32" fillId="4" borderId="13" xfId="0" applyFont="1" applyFill="1" applyBorder="1" applyAlignment="1" applyProtection="1">
      <alignment vertical="center"/>
      <protection hidden="1"/>
    </xf>
    <xf numFmtId="0" fontId="31" fillId="4" borderId="13" xfId="3" applyFont="1" applyFill="1" applyBorder="1" applyAlignment="1" applyProtection="1">
      <alignment horizontal="left" vertical="center"/>
      <protection hidden="1"/>
    </xf>
    <xf numFmtId="0" fontId="3" fillId="4" borderId="13" xfId="0" applyFont="1" applyFill="1" applyBorder="1" applyAlignment="1" applyProtection="1">
      <alignment horizontal="center" vertical="center"/>
      <protection hidden="1"/>
    </xf>
    <xf numFmtId="0" fontId="4" fillId="4" borderId="0" xfId="0" applyFont="1" applyFill="1" applyBorder="1" applyAlignment="1" applyProtection="1">
      <alignment horizontal="left" vertical="center"/>
      <protection hidden="1"/>
    </xf>
    <xf numFmtId="0" fontId="3" fillId="4" borderId="0" xfId="0" applyFont="1" applyFill="1" applyAlignment="1" applyProtection="1">
      <alignment vertical="center"/>
      <protection hidden="1"/>
    </xf>
    <xf numFmtId="0" fontId="4" fillId="4" borderId="0" xfId="0" applyFont="1" applyFill="1" applyBorder="1" applyAlignment="1" applyProtection="1">
      <alignment horizontal="center" vertical="center"/>
      <protection hidden="1"/>
    </xf>
    <xf numFmtId="0" fontId="3" fillId="4" borderId="24" xfId="0" applyFont="1" applyFill="1" applyBorder="1" applyAlignment="1" applyProtection="1">
      <alignment vertical="center"/>
      <protection hidden="1"/>
    </xf>
    <xf numFmtId="0" fontId="4" fillId="4" borderId="24" xfId="3" applyFont="1" applyFill="1" applyBorder="1" applyAlignment="1" applyProtection="1">
      <alignment vertical="center"/>
      <protection hidden="1"/>
    </xf>
    <xf numFmtId="0" fontId="3" fillId="4" borderId="3" xfId="0" applyFont="1" applyFill="1" applyBorder="1" applyAlignment="1" applyProtection="1">
      <alignment vertical="center"/>
      <protection hidden="1"/>
    </xf>
    <xf numFmtId="0" fontId="4" fillId="4" borderId="3" xfId="3" applyFont="1" applyFill="1" applyBorder="1" applyAlignment="1" applyProtection="1">
      <alignment horizontal="center" vertical="center"/>
      <protection hidden="1"/>
    </xf>
    <xf numFmtId="0" fontId="3" fillId="4" borderId="24" xfId="0" applyFont="1" applyFill="1" applyBorder="1" applyAlignment="1" applyProtection="1">
      <alignment horizontal="center" vertical="center"/>
      <protection hidden="1"/>
    </xf>
    <xf numFmtId="0" fontId="4" fillId="2" borderId="0" xfId="0" applyFont="1" applyFill="1" applyAlignment="1" applyProtection="1">
      <alignment vertical="center"/>
      <protection hidden="1"/>
    </xf>
    <xf numFmtId="0" fontId="3" fillId="0" borderId="0" xfId="0" applyFont="1" applyFill="1" applyBorder="1" applyAlignment="1" applyProtection="1">
      <alignment vertical="center"/>
      <protection hidden="1"/>
    </xf>
    <xf numFmtId="0" fontId="3" fillId="4" borderId="1" xfId="0" applyFont="1" applyFill="1" applyBorder="1" applyAlignment="1" applyProtection="1">
      <alignment vertical="center"/>
      <protection hidden="1"/>
    </xf>
    <xf numFmtId="0" fontId="3" fillId="4" borderId="0" xfId="0" applyFont="1" applyFill="1" applyAlignment="1" applyProtection="1">
      <alignment horizontal="centerContinuous" vertical="center"/>
      <protection hidden="1"/>
    </xf>
    <xf numFmtId="0" fontId="4" fillId="2" borderId="0" xfId="0" applyFont="1" applyFill="1" applyBorder="1" applyAlignment="1" applyProtection="1">
      <alignment vertical="center"/>
      <protection hidden="1"/>
    </xf>
    <xf numFmtId="0" fontId="3" fillId="2" borderId="0" xfId="0" applyFont="1" applyFill="1" applyBorder="1" applyAlignment="1" applyProtection="1">
      <alignment vertical="center"/>
      <protection hidden="1"/>
    </xf>
    <xf numFmtId="0" fontId="3" fillId="4" borderId="0" xfId="0" applyFont="1" applyFill="1" applyBorder="1" applyAlignment="1" applyProtection="1">
      <alignment horizontal="left" vertical="center"/>
      <protection hidden="1"/>
    </xf>
    <xf numFmtId="0" fontId="3" fillId="2" borderId="0" xfId="0" applyFont="1" applyFill="1" applyAlignment="1" applyProtection="1">
      <alignment vertical="center"/>
      <protection hidden="1"/>
    </xf>
    <xf numFmtId="0" fontId="3" fillId="4" borderId="1" xfId="0" applyFont="1" applyFill="1" applyBorder="1" applyAlignment="1" applyProtection="1">
      <alignment horizontal="centerContinuous" vertical="center"/>
      <protection hidden="1"/>
    </xf>
    <xf numFmtId="0" fontId="3" fillId="4" borderId="3" xfId="0" applyFont="1" applyFill="1" applyBorder="1" applyAlignment="1" applyProtection="1">
      <alignment horizontal="center" vertical="center"/>
      <protection hidden="1"/>
    </xf>
    <xf numFmtId="0" fontId="3" fillId="4" borderId="4" xfId="0" applyFont="1" applyFill="1" applyBorder="1" applyAlignment="1" applyProtection="1">
      <alignment vertical="center"/>
      <protection hidden="1"/>
    </xf>
    <xf numFmtId="0" fontId="4" fillId="4" borderId="0" xfId="0" applyFont="1" applyFill="1" applyBorder="1" applyAlignment="1" applyProtection="1">
      <alignment horizontal="centerContinuous" vertical="center"/>
      <protection hidden="1"/>
    </xf>
    <xf numFmtId="0" fontId="4" fillId="4" borderId="0" xfId="0" applyFont="1" applyFill="1" applyAlignment="1" applyProtection="1">
      <alignment vertical="center"/>
      <protection hidden="1"/>
    </xf>
    <xf numFmtId="0" fontId="7" fillId="3" borderId="7" xfId="0" applyFont="1" applyFill="1" applyBorder="1" applyAlignment="1" applyProtection="1">
      <alignment vertical="center"/>
      <protection hidden="1"/>
    </xf>
    <xf numFmtId="0" fontId="3" fillId="3" borderId="7" xfId="0" applyFont="1" applyFill="1" applyBorder="1" applyAlignment="1" applyProtection="1">
      <alignment vertical="center"/>
      <protection hidden="1"/>
    </xf>
    <xf numFmtId="0" fontId="3" fillId="3" borderId="8" xfId="0" applyFont="1" applyFill="1" applyBorder="1" applyAlignment="1" applyProtection="1">
      <alignment horizontal="center" vertical="center"/>
      <protection hidden="1"/>
    </xf>
    <xf numFmtId="0" fontId="4" fillId="2" borderId="6" xfId="0" applyFont="1" applyFill="1" applyBorder="1" applyAlignment="1" applyProtection="1">
      <alignment horizontal="center" vertical="center"/>
      <protection hidden="1"/>
    </xf>
    <xf numFmtId="0" fontId="4" fillId="2" borderId="0" xfId="0" applyFont="1" applyFill="1" applyBorder="1" applyAlignment="1" applyProtection="1">
      <alignment horizontal="center" vertical="center"/>
      <protection hidden="1"/>
    </xf>
    <xf numFmtId="0" fontId="3" fillId="2" borderId="1" xfId="0" applyFont="1" applyFill="1" applyBorder="1" applyAlignment="1" applyProtection="1">
      <alignment vertical="center"/>
      <protection hidden="1"/>
    </xf>
    <xf numFmtId="0" fontId="4" fillId="2" borderId="0" xfId="0" applyFont="1" applyFill="1" applyBorder="1" applyAlignment="1" applyProtection="1">
      <alignment horizontal="centerContinuous" vertical="center"/>
      <protection hidden="1"/>
    </xf>
    <xf numFmtId="0" fontId="4" fillId="2" borderId="1" xfId="0" applyFont="1" applyFill="1" applyBorder="1" applyAlignment="1" applyProtection="1">
      <alignment horizontal="centerContinuous" vertical="center"/>
      <protection hidden="1"/>
    </xf>
    <xf numFmtId="0" fontId="4" fillId="2" borderId="11" xfId="0" applyFont="1" applyFill="1" applyBorder="1" applyAlignment="1" applyProtection="1">
      <alignment horizontal="centerContinuous" vertical="center"/>
      <protection hidden="1"/>
    </xf>
    <xf numFmtId="0" fontId="4" fillId="2" borderId="12" xfId="0" applyFont="1" applyFill="1" applyBorder="1" applyAlignment="1" applyProtection="1">
      <alignment horizontal="centerContinuous" vertical="center"/>
      <protection hidden="1"/>
    </xf>
    <xf numFmtId="0" fontId="4" fillId="2" borderId="15" xfId="0" applyFont="1" applyFill="1" applyBorder="1" applyAlignment="1" applyProtection="1">
      <alignment horizontal="centerContinuous" vertical="center"/>
      <protection hidden="1"/>
    </xf>
    <xf numFmtId="0" fontId="4" fillId="2" borderId="6" xfId="0" applyFont="1" applyFill="1" applyBorder="1" applyAlignment="1" applyProtection="1">
      <alignment horizontal="centerContinuous" vertical="center"/>
      <protection hidden="1"/>
    </xf>
    <xf numFmtId="0" fontId="4" fillId="2" borderId="9" xfId="0" applyFont="1" applyFill="1" applyBorder="1" applyAlignment="1" applyProtection="1">
      <alignment horizontal="centerContinuous" vertical="center"/>
      <protection hidden="1"/>
    </xf>
    <xf numFmtId="0" fontId="3" fillId="2" borderId="0" xfId="0" applyFont="1" applyFill="1" applyBorder="1" applyAlignment="1" applyProtection="1">
      <alignment horizontal="centerContinuous" vertical="center"/>
      <protection hidden="1"/>
    </xf>
    <xf numFmtId="0" fontId="3" fillId="2" borderId="1" xfId="0" applyFont="1" applyFill="1" applyBorder="1" applyAlignment="1" applyProtection="1">
      <alignment horizontal="centerContinuous" vertical="center"/>
      <protection hidden="1"/>
    </xf>
    <xf numFmtId="0" fontId="3" fillId="2" borderId="6" xfId="0" applyFont="1" applyFill="1" applyBorder="1" applyAlignment="1" applyProtection="1">
      <alignment vertical="center"/>
      <protection hidden="1"/>
    </xf>
    <xf numFmtId="0" fontId="4" fillId="2" borderId="9" xfId="0" applyFont="1" applyFill="1" applyBorder="1" applyAlignment="1" applyProtection="1">
      <alignment horizontal="center" vertical="center"/>
      <protection hidden="1"/>
    </xf>
    <xf numFmtId="49" fontId="12" fillId="2" borderId="0" xfId="0" applyNumberFormat="1" applyFont="1" applyFill="1" applyBorder="1" applyAlignment="1" applyProtection="1">
      <alignment horizontal="center" vertical="center" wrapText="1"/>
      <protection hidden="1"/>
    </xf>
    <xf numFmtId="0" fontId="5" fillId="2" borderId="0"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1" xfId="0" applyFont="1" applyFill="1" applyBorder="1" applyAlignment="1" applyProtection="1">
      <alignment horizontal="center" vertical="center" wrapText="1"/>
      <protection hidden="1"/>
    </xf>
    <xf numFmtId="0" fontId="4" fillId="0" borderId="0" xfId="0" applyFont="1" applyFill="1" applyBorder="1" applyAlignment="1" applyProtection="1">
      <alignment horizontal="center" vertical="center"/>
      <protection hidden="1"/>
    </xf>
    <xf numFmtId="0" fontId="4" fillId="0" borderId="0" xfId="3" applyFont="1" applyFill="1" applyBorder="1" applyAlignment="1" applyProtection="1">
      <alignment horizontal="center" vertical="center"/>
      <protection hidden="1"/>
    </xf>
    <xf numFmtId="0" fontId="33" fillId="2" borderId="0" xfId="0" applyFont="1" applyFill="1" applyBorder="1" applyAlignment="1" applyProtection="1">
      <alignment horizontal="center" vertical="center"/>
      <protection hidden="1"/>
    </xf>
    <xf numFmtId="0" fontId="4" fillId="2" borderId="1" xfId="0" applyFont="1" applyFill="1" applyBorder="1" applyAlignment="1" applyProtection="1">
      <alignment horizontal="center" vertical="center"/>
      <protection hidden="1"/>
    </xf>
    <xf numFmtId="0" fontId="33" fillId="0" borderId="0" xfId="3" applyFont="1" applyFill="1" applyBorder="1" applyAlignment="1" applyProtection="1">
      <alignment horizontal="center" vertical="center"/>
      <protection hidden="1"/>
    </xf>
    <xf numFmtId="0" fontId="3" fillId="4" borderId="6" xfId="0" applyFont="1" applyFill="1" applyBorder="1" applyAlignment="1" applyProtection="1">
      <alignment horizontal="center" vertical="center"/>
      <protection hidden="1"/>
    </xf>
    <xf numFmtId="2" fontId="3" fillId="4" borderId="9" xfId="0" applyNumberFormat="1" applyFont="1" applyFill="1" applyBorder="1" applyAlignment="1" applyProtection="1">
      <alignment horizontal="center" vertical="center"/>
      <protection hidden="1"/>
    </xf>
    <xf numFmtId="4" fontId="3" fillId="4" borderId="0" xfId="0" applyNumberFormat="1" applyFont="1" applyFill="1" applyBorder="1" applyAlignment="1" applyProtection="1">
      <alignment horizontal="center" vertical="center" wrapText="1"/>
      <protection hidden="1"/>
    </xf>
    <xf numFmtId="4" fontId="3" fillId="4" borderId="1" xfId="0" applyNumberFormat="1" applyFont="1" applyFill="1" applyBorder="1" applyAlignment="1" applyProtection="1">
      <alignment horizontal="center" vertical="center" wrapText="1"/>
      <protection hidden="1"/>
    </xf>
    <xf numFmtId="2" fontId="3" fillId="4" borderId="0" xfId="0" applyNumberFormat="1" applyFont="1" applyFill="1" applyBorder="1" applyAlignment="1" applyProtection="1">
      <alignment vertical="center"/>
      <protection hidden="1"/>
    </xf>
    <xf numFmtId="2" fontId="3" fillId="4" borderId="1" xfId="0" applyNumberFormat="1" applyFont="1" applyFill="1" applyBorder="1" applyAlignment="1" applyProtection="1">
      <alignment horizontal="center" vertical="center"/>
      <protection hidden="1"/>
    </xf>
    <xf numFmtId="170" fontId="3" fillId="4" borderId="0" xfId="11" applyNumberFormat="1" applyFont="1" applyFill="1" applyBorder="1" applyAlignment="1" applyProtection="1">
      <alignment vertical="center"/>
      <protection hidden="1"/>
    </xf>
    <xf numFmtId="0" fontId="3" fillId="4" borderId="2" xfId="0" applyFont="1" applyFill="1" applyBorder="1" applyAlignment="1" applyProtection="1">
      <alignment horizontal="center" vertical="center"/>
      <protection hidden="1"/>
    </xf>
    <xf numFmtId="169" fontId="3" fillId="4" borderId="5" xfId="0" applyNumberFormat="1" applyFont="1" applyFill="1" applyBorder="1" applyAlignment="1" applyProtection="1">
      <alignment horizontal="center" vertical="center"/>
      <protection hidden="1"/>
    </xf>
    <xf numFmtId="3" fontId="3" fillId="4" borderId="3" xfId="0" applyNumberFormat="1" applyFont="1" applyFill="1" applyBorder="1" applyAlignment="1" applyProtection="1">
      <alignment horizontal="center" vertical="center" wrapText="1"/>
      <protection hidden="1"/>
    </xf>
    <xf numFmtId="4" fontId="3" fillId="4" borderId="4" xfId="0" applyNumberFormat="1" applyFont="1" applyFill="1" applyBorder="1" applyAlignment="1" applyProtection="1">
      <alignment horizontal="center" vertical="center" wrapText="1"/>
      <protection hidden="1"/>
    </xf>
    <xf numFmtId="0" fontId="3" fillId="4" borderId="4" xfId="0" applyFont="1" applyFill="1" applyBorder="1" applyAlignment="1" applyProtection="1">
      <alignment horizontal="center" vertical="center"/>
      <protection hidden="1"/>
    </xf>
    <xf numFmtId="169" fontId="3" fillId="4" borderId="0" xfId="0" applyNumberFormat="1" applyFont="1" applyFill="1" applyBorder="1" applyAlignment="1" applyProtection="1">
      <alignment horizontal="center" vertical="center"/>
      <protection hidden="1"/>
    </xf>
    <xf numFmtId="0" fontId="4" fillId="7" borderId="48" xfId="3" applyFont="1" applyFill="1" applyBorder="1" applyAlignment="1" applyProtection="1">
      <alignment horizontal="center" vertical="center"/>
      <protection hidden="1"/>
    </xf>
    <xf numFmtId="169" fontId="3" fillId="0" borderId="9" xfId="0" applyNumberFormat="1" applyFont="1" applyFill="1" applyBorder="1" applyAlignment="1">
      <alignment horizontal="center" vertical="top" wrapText="1"/>
    </xf>
    <xf numFmtId="0" fontId="7" fillId="2" borderId="11" xfId="0" applyFont="1" applyFill="1" applyBorder="1" applyAlignment="1">
      <alignment vertical="center"/>
    </xf>
    <xf numFmtId="0" fontId="7" fillId="2" borderId="12" xfId="0" applyFont="1" applyFill="1" applyBorder="1" applyAlignment="1">
      <alignment horizontal="center" vertical="center"/>
    </xf>
    <xf numFmtId="2" fontId="30" fillId="0" borderId="0" xfId="0" applyNumberFormat="1" applyFont="1" applyBorder="1"/>
    <xf numFmtId="0" fontId="7" fillId="2" borderId="15" xfId="0" applyFont="1" applyFill="1" applyBorder="1" applyAlignment="1">
      <alignment horizontal="center" vertical="center"/>
    </xf>
    <xf numFmtId="0" fontId="0" fillId="2" borderId="0" xfId="0" applyFill="1" applyBorder="1" applyAlignment="1">
      <alignment horizontal="center"/>
    </xf>
    <xf numFmtId="167" fontId="14" fillId="0" borderId="0" xfId="0" applyNumberFormat="1" applyFont="1" applyFill="1" applyBorder="1" applyAlignment="1">
      <alignment vertical="center"/>
    </xf>
    <xf numFmtId="0" fontId="14" fillId="0" borderId="0" xfId="0" applyFont="1" applyBorder="1" applyAlignment="1">
      <alignment vertical="center"/>
    </xf>
    <xf numFmtId="2" fontId="3" fillId="0" borderId="1" xfId="0" applyNumberFormat="1" applyFont="1" applyBorder="1" applyAlignment="1">
      <alignment horizontal="center" vertical="center"/>
    </xf>
    <xf numFmtId="2" fontId="3" fillId="0" borderId="4" xfId="0" applyNumberFormat="1" applyFont="1" applyBorder="1" applyAlignment="1">
      <alignment horizontal="center" vertical="center"/>
    </xf>
    <xf numFmtId="0" fontId="0" fillId="2" borderId="3" xfId="0" applyFill="1" applyBorder="1" applyAlignment="1">
      <alignment horizontal="center"/>
    </xf>
    <xf numFmtId="169" fontId="3" fillId="0" borderId="0" xfId="0" applyNumberFormat="1" applyFont="1" applyAlignment="1">
      <alignment vertical="center"/>
    </xf>
    <xf numFmtId="2" fontId="6" fillId="0" borderId="11" xfId="0" applyNumberFormat="1" applyFont="1" applyFill="1" applyBorder="1" applyAlignment="1">
      <alignment horizontal="center" vertical="center" wrapText="1"/>
    </xf>
    <xf numFmtId="2" fontId="6" fillId="0" borderId="12" xfId="0" applyNumberFormat="1" applyFont="1" applyFill="1" applyBorder="1" applyAlignment="1">
      <alignment horizontal="center" vertical="center" wrapText="1"/>
    </xf>
    <xf numFmtId="2" fontId="6" fillId="0" borderId="15" xfId="0" applyNumberFormat="1" applyFont="1" applyFill="1" applyBorder="1" applyAlignment="1">
      <alignment horizontal="center" vertical="center" wrapText="1"/>
    </xf>
    <xf numFmtId="169" fontId="3" fillId="0" borderId="9" xfId="0" applyNumberFormat="1" applyFont="1" applyFill="1" applyBorder="1" applyAlignment="1">
      <alignment horizontal="center" vertical="center"/>
    </xf>
    <xf numFmtId="2" fontId="30" fillId="0" borderId="0" xfId="0" applyNumberFormat="1" applyFont="1" applyFill="1" applyBorder="1"/>
    <xf numFmtId="2" fontId="0" fillId="0" borderId="0" xfId="0" applyNumberFormat="1" applyFill="1" applyBorder="1"/>
    <xf numFmtId="2" fontId="0" fillId="0" borderId="0" xfId="0" applyNumberFormat="1" applyBorder="1"/>
    <xf numFmtId="2" fontId="3" fillId="0" borderId="15" xfId="0" applyNumberFormat="1" applyFont="1" applyBorder="1" applyAlignment="1">
      <alignment horizontal="center" vertical="center"/>
    </xf>
    <xf numFmtId="0" fontId="12" fillId="4" borderId="3" xfId="0" applyFont="1" applyFill="1" applyBorder="1" applyAlignment="1">
      <alignment vertical="center"/>
    </xf>
    <xf numFmtId="0" fontId="3" fillId="2" borderId="188" xfId="0" applyFont="1" applyFill="1" applyBorder="1" applyAlignment="1">
      <alignment horizontal="centerContinuous" vertical="center"/>
    </xf>
    <xf numFmtId="0" fontId="5" fillId="2" borderId="8" xfId="0" applyFont="1" applyFill="1" applyBorder="1" applyAlignment="1">
      <alignment horizontal="center" vertical="center"/>
    </xf>
    <xf numFmtId="0" fontId="5" fillId="2" borderId="95" xfId="0" applyFont="1" applyFill="1" applyBorder="1" applyAlignment="1">
      <alignment horizontal="center" vertical="center" wrapText="1"/>
    </xf>
    <xf numFmtId="0" fontId="24" fillId="0" borderId="3" xfId="0" applyFont="1" applyFill="1" applyBorder="1" applyAlignment="1">
      <alignment vertical="center"/>
    </xf>
    <xf numFmtId="0" fontId="6" fillId="0" borderId="18" xfId="0" applyFont="1" applyFill="1" applyBorder="1" applyAlignment="1">
      <alignment horizontal="center" vertical="center" wrapText="1"/>
    </xf>
    <xf numFmtId="2" fontId="6" fillId="0" borderId="40" xfId="0" applyNumberFormat="1" applyFont="1" applyFill="1" applyBorder="1" applyAlignment="1">
      <alignment horizontal="center" vertical="center" wrapText="1"/>
    </xf>
    <xf numFmtId="173" fontId="30" fillId="0" borderId="0" xfId="0" applyNumberFormat="1" applyFont="1" applyFill="1" applyBorder="1" applyAlignment="1">
      <alignment horizontal="center" vertical="center"/>
    </xf>
    <xf numFmtId="165" fontId="3" fillId="0" borderId="0" xfId="0" applyNumberFormat="1" applyFont="1" applyFill="1" applyBorder="1"/>
    <xf numFmtId="168" fontId="29" fillId="0" borderId="0" xfId="0" applyNumberFormat="1" applyFont="1" applyFill="1" applyBorder="1" applyAlignment="1">
      <alignment horizontal="center" wrapText="1"/>
    </xf>
    <xf numFmtId="2" fontId="29" fillId="0" borderId="3" xfId="0" applyNumberFormat="1" applyFont="1" applyBorder="1" applyAlignment="1">
      <alignment horizontal="center" vertical="center"/>
    </xf>
    <xf numFmtId="0" fontId="56" fillId="2" borderId="179" xfId="0" applyFont="1" applyFill="1" applyBorder="1" applyAlignment="1">
      <alignment horizontal="center" wrapText="1"/>
    </xf>
    <xf numFmtId="0" fontId="56" fillId="2" borderId="189" xfId="0" applyFont="1" applyFill="1" applyBorder="1" applyAlignment="1">
      <alignment horizontal="center" wrapText="1"/>
    </xf>
    <xf numFmtId="0" fontId="4" fillId="2" borderId="95" xfId="0" applyFont="1" applyFill="1" applyBorder="1" applyAlignment="1">
      <alignment horizontal="center" vertical="center"/>
    </xf>
    <xf numFmtId="2" fontId="3" fillId="0" borderId="11" xfId="0" applyNumberFormat="1" applyFont="1" applyBorder="1" applyAlignment="1">
      <alignment horizontal="center" vertical="center"/>
    </xf>
    <xf numFmtId="2" fontId="3" fillId="0" borderId="6" xfId="0" applyNumberFormat="1" applyFont="1" applyBorder="1" applyAlignment="1">
      <alignment horizontal="center" vertical="center"/>
    </xf>
    <xf numFmtId="2" fontId="3" fillId="0" borderId="40" xfId="0" applyNumberFormat="1" applyFont="1" applyBorder="1" applyAlignment="1">
      <alignment horizontal="center" vertical="center"/>
    </xf>
    <xf numFmtId="2" fontId="3" fillId="0" borderId="26" xfId="0" applyNumberFormat="1" applyFont="1" applyBorder="1" applyAlignment="1">
      <alignment horizontal="center" vertical="center"/>
    </xf>
    <xf numFmtId="2" fontId="3" fillId="0" borderId="2" xfId="0" applyNumberFormat="1" applyFont="1" applyBorder="1" applyAlignment="1">
      <alignment horizontal="center" vertical="center"/>
    </xf>
    <xf numFmtId="2" fontId="6" fillId="0" borderId="5" xfId="0" applyNumberFormat="1" applyFont="1" applyFill="1" applyBorder="1" applyAlignment="1">
      <alignment horizontal="center" vertical="center" wrapText="1"/>
    </xf>
    <xf numFmtId="2" fontId="6" fillId="0" borderId="21" xfId="0" applyNumberFormat="1" applyFont="1" applyFill="1" applyBorder="1" applyAlignment="1">
      <alignment horizontal="center" vertical="center" wrapText="1"/>
    </xf>
    <xf numFmtId="2" fontId="6" fillId="0" borderId="9" xfId="0" applyNumberFormat="1" applyFont="1" applyFill="1" applyBorder="1" applyAlignment="1">
      <alignment horizontal="center" vertical="center" wrapText="1"/>
    </xf>
    <xf numFmtId="0" fontId="4" fillId="2" borderId="93" xfId="0" applyFont="1" applyFill="1" applyBorder="1" applyAlignment="1">
      <alignment horizontal="centerContinuous" vertical="center"/>
    </xf>
    <xf numFmtId="0" fontId="4" fillId="2" borderId="188" xfId="0" applyFont="1" applyFill="1" applyBorder="1" applyAlignment="1">
      <alignment horizontal="centerContinuous" vertical="center"/>
    </xf>
    <xf numFmtId="169" fontId="3" fillId="0" borderId="0" xfId="0" applyNumberFormat="1" applyFont="1" applyBorder="1" applyAlignment="1">
      <alignment horizontal="center" vertical="center"/>
    </xf>
    <xf numFmtId="0" fontId="5" fillId="2" borderId="190" xfId="0" applyFont="1" applyFill="1" applyBorder="1" applyAlignment="1">
      <alignment horizontal="center" vertical="center" wrapText="1"/>
    </xf>
    <xf numFmtId="0" fontId="5" fillId="2" borderId="191" xfId="0" applyFont="1" applyFill="1" applyBorder="1" applyAlignment="1">
      <alignment horizontal="center" vertical="center" wrapText="1"/>
    </xf>
    <xf numFmtId="0" fontId="13" fillId="0" borderId="0" xfId="0" applyFont="1" applyBorder="1" applyAlignment="1">
      <alignment vertical="center"/>
    </xf>
    <xf numFmtId="0" fontId="24" fillId="0" borderId="24" xfId="0" applyFont="1" applyFill="1" applyBorder="1" applyAlignment="1">
      <alignment vertical="center"/>
    </xf>
    <xf numFmtId="168" fontId="3" fillId="0" borderId="0" xfId="0" applyNumberFormat="1" applyFont="1" applyFill="1" applyBorder="1" applyAlignment="1">
      <alignment horizontal="center"/>
    </xf>
    <xf numFmtId="166" fontId="3" fillId="0" borderId="0" xfId="0" applyNumberFormat="1" applyFont="1" applyFill="1" applyBorder="1"/>
    <xf numFmtId="0" fontId="0" fillId="5" borderId="8" xfId="0" applyFill="1" applyBorder="1" applyAlignment="1">
      <alignment horizontal="centerContinuous" vertical="center"/>
    </xf>
    <xf numFmtId="0" fontId="4" fillId="0" borderId="11" xfId="0" applyFont="1" applyFill="1" applyBorder="1" applyAlignment="1">
      <alignment horizontal="center" vertical="center"/>
    </xf>
    <xf numFmtId="0" fontId="4" fillId="0" borderId="15" xfId="0" applyFont="1" applyFill="1" applyBorder="1" applyAlignment="1">
      <alignment horizontal="center" vertical="center"/>
    </xf>
    <xf numFmtId="0" fontId="0" fillId="0" borderId="192" xfId="0" applyFill="1" applyBorder="1" applyAlignment="1">
      <alignment vertical="center"/>
    </xf>
    <xf numFmtId="1" fontId="3" fillId="0" borderId="12" xfId="0" applyNumberFormat="1" applyFont="1" applyFill="1" applyBorder="1" applyAlignment="1">
      <alignment horizontal="center"/>
    </xf>
    <xf numFmtId="1" fontId="3" fillId="0" borderId="0" xfId="0" applyNumberFormat="1" applyFont="1" applyFill="1" applyBorder="1" applyAlignment="1">
      <alignment horizontal="center"/>
    </xf>
    <xf numFmtId="0" fontId="5" fillId="2" borderId="83" xfId="0" applyFont="1" applyFill="1" applyBorder="1" applyAlignment="1">
      <alignment horizontal="center" vertical="center" wrapText="1"/>
    </xf>
    <xf numFmtId="0" fontId="4" fillId="2" borderId="0" xfId="0" applyFont="1" applyFill="1" applyBorder="1" applyAlignment="1">
      <alignment horizontal="left" vertical="center"/>
    </xf>
    <xf numFmtId="10" fontId="3" fillId="0" borderId="0" xfId="0" applyNumberFormat="1" applyFont="1" applyFill="1" applyAlignment="1">
      <alignment vertical="center"/>
    </xf>
    <xf numFmtId="0" fontId="5" fillId="2" borderId="193" xfId="0" applyFont="1" applyFill="1" applyBorder="1" applyAlignment="1">
      <alignment horizontal="center" vertical="center" wrapText="1"/>
    </xf>
    <xf numFmtId="0" fontId="5" fillId="2" borderId="194" xfId="0" applyFont="1" applyFill="1" applyBorder="1" applyAlignment="1">
      <alignment horizontal="center" vertical="center" wrapText="1"/>
    </xf>
    <xf numFmtId="1" fontId="6" fillId="0" borderId="12" xfId="0" applyNumberFormat="1" applyFont="1" applyFill="1" applyBorder="1" applyAlignment="1">
      <alignment horizontal="center" vertical="center"/>
    </xf>
    <xf numFmtId="169" fontId="3" fillId="0" borderId="11" xfId="0" applyNumberFormat="1" applyFont="1" applyFill="1" applyBorder="1" applyAlignment="1">
      <alignment horizontal="center" vertical="center"/>
    </xf>
    <xf numFmtId="169" fontId="3" fillId="0" borderId="15" xfId="0" applyNumberFormat="1" applyFont="1" applyFill="1" applyBorder="1" applyAlignment="1">
      <alignment horizontal="center" vertical="center"/>
    </xf>
    <xf numFmtId="169" fontId="3" fillId="0" borderId="2" xfId="0" applyNumberFormat="1" applyFont="1" applyFill="1" applyBorder="1" applyAlignment="1">
      <alignment horizontal="center" vertical="center"/>
    </xf>
    <xf numFmtId="169" fontId="3" fillId="0" borderId="4" xfId="0" applyNumberFormat="1" applyFont="1" applyFill="1" applyBorder="1" applyAlignment="1">
      <alignment horizontal="center" vertical="center"/>
    </xf>
    <xf numFmtId="2" fontId="30" fillId="0" borderId="6" xfId="0" applyNumberFormat="1" applyFont="1" applyBorder="1"/>
    <xf numFmtId="2" fontId="3" fillId="0" borderId="0" xfId="0" applyNumberFormat="1" applyFont="1" applyFill="1"/>
    <xf numFmtId="169" fontId="3" fillId="0" borderId="0" xfId="0" applyNumberFormat="1" applyFont="1" applyFill="1"/>
    <xf numFmtId="169" fontId="3" fillId="0" borderId="1" xfId="0" applyNumberFormat="1" applyFont="1" applyFill="1" applyBorder="1" applyAlignment="1">
      <alignment horizontal="center" vertical="top" wrapText="1"/>
    </xf>
    <xf numFmtId="0" fontId="4" fillId="0" borderId="1" xfId="0" applyFont="1" applyFill="1" applyBorder="1" applyAlignment="1">
      <alignment vertical="center" wrapText="1"/>
    </xf>
    <xf numFmtId="0" fontId="30" fillId="0" borderId="0" xfId="0" applyFont="1" applyFill="1" applyBorder="1" applyAlignment="1">
      <alignment horizontal="left" vertical="center" wrapText="1"/>
    </xf>
    <xf numFmtId="0" fontId="30" fillId="0" borderId="0" xfId="0" applyFont="1" applyFill="1" applyBorder="1" applyAlignment="1">
      <alignment horizontal="left" vertical="center"/>
    </xf>
    <xf numFmtId="179" fontId="3" fillId="4" borderId="6" xfId="1" applyNumberFormat="1" applyFont="1" applyFill="1" applyBorder="1" applyAlignment="1">
      <alignment horizontal="center" vertical="center"/>
    </xf>
    <xf numFmtId="166" fontId="3" fillId="0" borderId="11" xfId="0" applyNumberFormat="1" applyFont="1" applyFill="1" applyBorder="1" applyAlignment="1">
      <alignment horizontal="center"/>
    </xf>
    <xf numFmtId="166" fontId="3" fillId="0" borderId="12" xfId="0" applyNumberFormat="1" applyFont="1" applyFill="1" applyBorder="1" applyAlignment="1">
      <alignment horizontal="center"/>
    </xf>
    <xf numFmtId="166" fontId="3" fillId="0" borderId="15" xfId="0" applyNumberFormat="1" applyFont="1" applyFill="1" applyBorder="1" applyAlignment="1">
      <alignment horizontal="center"/>
    </xf>
    <xf numFmtId="0" fontId="3" fillId="0" borderId="12" xfId="0" applyFont="1" applyFill="1" applyBorder="1" applyAlignment="1">
      <alignment horizontal="center"/>
    </xf>
    <xf numFmtId="0" fontId="3" fillId="0" borderId="15" xfId="0" applyFont="1" applyFill="1" applyBorder="1" applyAlignment="1">
      <alignment horizontal="center"/>
    </xf>
    <xf numFmtId="0" fontId="0" fillId="2" borderId="123" xfId="0" applyFill="1" applyBorder="1" applyAlignment="1">
      <alignment vertical="center"/>
    </xf>
    <xf numFmtId="0" fontId="4" fillId="0" borderId="0" xfId="3" applyFont="1" applyFill="1" applyBorder="1" applyAlignment="1" applyProtection="1">
      <alignment vertical="center"/>
    </xf>
    <xf numFmtId="0" fontId="0" fillId="0" borderId="0" xfId="0" applyBorder="1" applyAlignment="1">
      <alignment vertical="top" wrapText="1"/>
    </xf>
    <xf numFmtId="0" fontId="4" fillId="7" borderId="48" xfId="0" applyFont="1" applyFill="1" applyBorder="1" applyAlignment="1">
      <alignment horizontal="center" vertical="top"/>
    </xf>
    <xf numFmtId="0" fontId="2" fillId="0" borderId="170" xfId="3" applyFont="1" applyFill="1" applyBorder="1" applyAlignment="1" applyProtection="1">
      <alignment horizontal="center" vertical="center"/>
    </xf>
    <xf numFmtId="0" fontId="0" fillId="2" borderId="133" xfId="0" applyFill="1" applyBorder="1" applyAlignment="1">
      <alignment vertical="center"/>
    </xf>
    <xf numFmtId="0" fontId="3" fillId="0" borderId="25" xfId="3" applyFont="1" applyFill="1" applyBorder="1" applyAlignment="1" applyProtection="1">
      <alignment horizontal="center" vertical="center"/>
    </xf>
    <xf numFmtId="0" fontId="0" fillId="0" borderId="50" xfId="0" applyFill="1" applyBorder="1" applyAlignment="1">
      <alignment vertical="center"/>
    </xf>
    <xf numFmtId="0" fontId="0" fillId="5" borderId="171" xfId="0" applyFill="1" applyBorder="1" applyAlignment="1">
      <alignment vertical="center"/>
    </xf>
    <xf numFmtId="0" fontId="7" fillId="5" borderId="172" xfId="3" applyFont="1" applyFill="1" applyBorder="1" applyAlignment="1" applyProtection="1">
      <alignment horizontal="left" vertical="center"/>
    </xf>
    <xf numFmtId="0" fontId="0" fillId="0" borderId="9" xfId="0" applyFill="1" applyBorder="1" applyAlignment="1">
      <alignment vertical="center"/>
    </xf>
    <xf numFmtId="0" fontId="50" fillId="0" borderId="7" xfId="0" applyFont="1" applyFill="1" applyBorder="1" applyAlignment="1">
      <alignment horizontal="center" vertical="center"/>
    </xf>
    <xf numFmtId="0" fontId="2" fillId="2" borderId="171" xfId="3" applyFont="1" applyFill="1" applyBorder="1" applyAlignment="1" applyProtection="1">
      <alignment vertical="center"/>
    </xf>
    <xf numFmtId="0" fontId="7" fillId="5" borderId="195" xfId="3" applyFont="1" applyFill="1" applyBorder="1" applyAlignment="1" applyProtection="1">
      <alignment horizontal="center" vertical="center" wrapText="1"/>
    </xf>
    <xf numFmtId="0" fontId="7" fillId="0" borderId="173" xfId="3" applyFont="1" applyFill="1" applyBorder="1" applyAlignment="1" applyProtection="1">
      <alignment horizontal="center" vertical="center"/>
    </xf>
    <xf numFmtId="0" fontId="52" fillId="0" borderId="2" xfId="0" applyFont="1" applyFill="1" applyBorder="1" applyAlignment="1">
      <alignment horizontal="center" vertical="center"/>
    </xf>
    <xf numFmtId="0" fontId="52" fillId="0" borderId="3" xfId="0" applyFont="1" applyFill="1" applyBorder="1" applyAlignment="1">
      <alignment horizontal="center" vertical="center"/>
    </xf>
    <xf numFmtId="0" fontId="7" fillId="10" borderId="48" xfId="3" applyFont="1" applyFill="1" applyBorder="1" applyAlignment="1" applyProtection="1">
      <alignment horizontal="center" vertical="center" wrapText="1"/>
    </xf>
    <xf numFmtId="0" fontId="2" fillId="2" borderId="171" xfId="3" applyFont="1" applyFill="1" applyBorder="1" applyAlignment="1" applyProtection="1">
      <alignment horizontal="left" vertical="center"/>
    </xf>
    <xf numFmtId="0" fontId="30" fillId="0" borderId="0" xfId="0" applyFont="1" applyFill="1" applyBorder="1" applyAlignment="1">
      <alignment horizontal="center" wrapText="1"/>
    </xf>
    <xf numFmtId="9" fontId="4" fillId="0" borderId="19" xfId="0" applyNumberFormat="1" applyFont="1" applyFill="1" applyBorder="1" applyAlignment="1">
      <alignment horizontal="center" vertical="center"/>
    </xf>
    <xf numFmtId="0" fontId="30" fillId="0" borderId="12" xfId="0" applyFont="1" applyFill="1" applyBorder="1" applyAlignment="1">
      <alignment horizontal="center" vertical="center" wrapText="1"/>
    </xf>
    <xf numFmtId="0" fontId="2" fillId="0" borderId="84" xfId="0" applyFont="1" applyFill="1" applyBorder="1" applyAlignment="1">
      <alignment horizontal="center"/>
    </xf>
    <xf numFmtId="0" fontId="2" fillId="0" borderId="41" xfId="0" applyFont="1" applyFill="1" applyBorder="1" applyAlignment="1">
      <alignment horizontal="center"/>
    </xf>
    <xf numFmtId="0" fontId="0" fillId="0" borderId="11" xfId="0" applyBorder="1" applyAlignment="1">
      <alignment horizontal="center" vertical="center"/>
    </xf>
    <xf numFmtId="0" fontId="0" fillId="0" borderId="6" xfId="0" applyBorder="1" applyAlignment="1">
      <alignment horizontal="center" vertical="center"/>
    </xf>
    <xf numFmtId="0" fontId="7" fillId="0" borderId="6" xfId="0" applyFont="1" applyFill="1" applyBorder="1" applyAlignment="1">
      <alignment horizontal="center" vertical="center"/>
    </xf>
    <xf numFmtId="0" fontId="7" fillId="5" borderId="183" xfId="3" applyFont="1" applyFill="1" applyBorder="1" applyAlignment="1" applyProtection="1">
      <alignment horizontal="center" vertical="center"/>
    </xf>
    <xf numFmtId="0" fontId="53" fillId="0" borderId="4" xfId="0" applyFont="1" applyFill="1" applyBorder="1" applyAlignment="1">
      <alignment horizontal="center" vertical="center"/>
    </xf>
    <xf numFmtId="0" fontId="7" fillId="0" borderId="1" xfId="3" applyFont="1" applyFill="1" applyBorder="1" applyAlignment="1" applyProtection="1">
      <alignment horizontal="center" vertical="center" wrapText="1"/>
    </xf>
    <xf numFmtId="0" fontId="0" fillId="0" borderId="50" xfId="0" applyBorder="1" applyAlignment="1">
      <alignment vertical="center"/>
    </xf>
    <xf numFmtId="0" fontId="0" fillId="0" borderId="15" xfId="0" applyFill="1" applyBorder="1" applyAlignment="1">
      <alignment vertical="center"/>
    </xf>
    <xf numFmtId="0" fontId="0" fillId="0" borderId="8" xfId="0" applyFill="1" applyBorder="1" applyAlignment="1">
      <alignment vertical="center"/>
    </xf>
    <xf numFmtId="0" fontId="7" fillId="5" borderId="19" xfId="0" applyFont="1" applyFill="1" applyBorder="1" applyAlignment="1">
      <alignment horizontal="center" vertical="center"/>
    </xf>
    <xf numFmtId="0" fontId="7" fillId="5" borderId="19" xfId="0" applyFont="1" applyFill="1" applyBorder="1" applyAlignment="1">
      <alignment horizontal="center" vertical="center" wrapText="1"/>
    </xf>
    <xf numFmtId="0" fontId="4" fillId="2" borderId="2" xfId="3" applyFont="1" applyFill="1" applyBorder="1" applyAlignment="1" applyProtection="1">
      <alignment horizontal="centerContinuous" vertical="center"/>
    </xf>
    <xf numFmtId="0" fontId="0" fillId="5" borderId="7" xfId="0" applyFill="1" applyBorder="1" applyAlignment="1">
      <alignment horizontal="centerContinuous" vertical="center"/>
    </xf>
    <xf numFmtId="0" fontId="4" fillId="2" borderId="14" xfId="3" applyFont="1" applyFill="1" applyBorder="1" applyAlignment="1" applyProtection="1">
      <alignment horizontal="center" vertical="center"/>
    </xf>
    <xf numFmtId="0" fontId="4" fillId="2" borderId="3" xfId="3" applyFont="1" applyFill="1" applyBorder="1" applyAlignment="1" applyProtection="1">
      <alignment horizontal="centerContinuous" vertical="center"/>
    </xf>
    <xf numFmtId="0" fontId="7" fillId="5" borderId="14" xfId="3" applyFont="1" applyFill="1" applyBorder="1" applyAlignment="1" applyProtection="1">
      <alignment vertical="center"/>
    </xf>
    <xf numFmtId="0" fontId="2" fillId="0" borderId="1" xfId="3" applyFont="1" applyFill="1" applyBorder="1" applyAlignment="1" applyProtection="1">
      <alignment horizontal="center" vertical="center"/>
    </xf>
    <xf numFmtId="0" fontId="7" fillId="5" borderId="125" xfId="3" applyFont="1" applyFill="1" applyBorder="1" applyAlignment="1" applyProtection="1">
      <alignment horizontal="center" vertical="center"/>
    </xf>
    <xf numFmtId="0" fontId="2" fillId="0" borderId="1" xfId="3" applyFont="1" applyFill="1" applyBorder="1" applyAlignment="1" applyProtection="1">
      <alignment vertical="center"/>
    </xf>
    <xf numFmtId="0" fontId="7" fillId="5" borderId="196" xfId="0" applyFont="1" applyFill="1" applyBorder="1" applyAlignment="1">
      <alignment horizontal="center" vertical="center"/>
    </xf>
    <xf numFmtId="0" fontId="7" fillId="5" borderId="126" xfId="3" applyFont="1" applyFill="1" applyBorder="1" applyAlignment="1" applyProtection="1">
      <alignment horizontal="center" vertical="center"/>
    </xf>
    <xf numFmtId="0" fontId="7" fillId="0" borderId="2" xfId="3" applyFont="1" applyFill="1" applyBorder="1" applyAlignment="1" applyProtection="1">
      <alignment horizontal="center" vertical="center"/>
    </xf>
    <xf numFmtId="0" fontId="0" fillId="0" borderId="83" xfId="0" applyFill="1" applyBorder="1" applyAlignment="1">
      <alignment horizontal="center" vertical="center"/>
    </xf>
    <xf numFmtId="0" fontId="0" fillId="0" borderId="7" xfId="0" applyFill="1" applyBorder="1" applyAlignment="1">
      <alignment horizontal="center" vertical="center"/>
    </xf>
    <xf numFmtId="0" fontId="49" fillId="5" borderId="19" xfId="0" applyFont="1" applyFill="1" applyBorder="1" applyAlignment="1">
      <alignment horizontal="center" vertical="center" wrapText="1"/>
    </xf>
    <xf numFmtId="0" fontId="2" fillId="5" borderId="15" xfId="3" applyFont="1" applyFill="1" applyBorder="1" applyAlignment="1" applyProtection="1">
      <alignment horizontal="centerContinuous" vertical="center"/>
    </xf>
    <xf numFmtId="167" fontId="4" fillId="0" borderId="0" xfId="0" applyNumberFormat="1" applyFont="1" applyFill="1" applyBorder="1" applyAlignment="1">
      <alignment horizontal="center" vertical="center"/>
    </xf>
    <xf numFmtId="0" fontId="10" fillId="0" borderId="0" xfId="3" applyBorder="1" applyAlignment="1" applyProtection="1">
      <alignment vertical="center"/>
    </xf>
    <xf numFmtId="0" fontId="4" fillId="2" borderId="5" xfId="0" applyFont="1" applyFill="1" applyBorder="1" applyAlignment="1">
      <alignment horizontal="right"/>
    </xf>
    <xf numFmtId="0" fontId="4" fillId="2" borderId="21" xfId="0" applyFont="1" applyFill="1" applyBorder="1" applyAlignment="1">
      <alignment horizontal="right"/>
    </xf>
    <xf numFmtId="0" fontId="4" fillId="2" borderId="43" xfId="0" applyFont="1" applyFill="1" applyBorder="1" applyAlignment="1">
      <alignment horizontal="center"/>
    </xf>
    <xf numFmtId="0" fontId="4" fillId="2" borderId="4" xfId="0" applyFont="1" applyFill="1" applyBorder="1" applyAlignment="1">
      <alignment horizontal="center"/>
    </xf>
    <xf numFmtId="3" fontId="3" fillId="0" borderId="12" xfId="0" applyNumberFormat="1" applyFont="1" applyFill="1" applyBorder="1" applyAlignment="1">
      <alignment horizontal="center"/>
    </xf>
    <xf numFmtId="3" fontId="3" fillId="0" borderId="11" xfId="0" applyNumberFormat="1" applyFont="1" applyFill="1" applyBorder="1" applyAlignment="1">
      <alignment horizontal="center"/>
    </xf>
    <xf numFmtId="3" fontId="3" fillId="0" borderId="15" xfId="0" applyNumberFormat="1" applyFont="1" applyFill="1" applyBorder="1" applyAlignment="1">
      <alignment horizontal="center"/>
    </xf>
    <xf numFmtId="3" fontId="3" fillId="0" borderId="0" xfId="0" applyNumberFormat="1" applyFont="1" applyFill="1" applyBorder="1" applyAlignment="1">
      <alignment horizontal="center"/>
    </xf>
    <xf numFmtId="3" fontId="3" fillId="0" borderId="6" xfId="0" applyNumberFormat="1" applyFont="1" applyFill="1" applyBorder="1" applyAlignment="1">
      <alignment horizontal="center"/>
    </xf>
    <xf numFmtId="3" fontId="3" fillId="0" borderId="1" xfId="0" applyNumberFormat="1" applyFont="1" applyFill="1" applyBorder="1" applyAlignment="1">
      <alignment horizontal="center"/>
    </xf>
    <xf numFmtId="3" fontId="3" fillId="0" borderId="3" xfId="0" applyNumberFormat="1" applyFont="1" applyFill="1" applyBorder="1" applyAlignment="1">
      <alignment horizontal="center"/>
    </xf>
    <xf numFmtId="3" fontId="3" fillId="0" borderId="2" xfId="0" applyNumberFormat="1" applyFont="1" applyFill="1" applyBorder="1" applyAlignment="1">
      <alignment horizontal="center"/>
    </xf>
    <xf numFmtId="3" fontId="3" fillId="0" borderId="4" xfId="0" applyNumberFormat="1" applyFont="1" applyFill="1" applyBorder="1" applyAlignment="1">
      <alignment horizontal="center"/>
    </xf>
    <xf numFmtId="3" fontId="3" fillId="0" borderId="21" xfId="0" applyNumberFormat="1" applyFont="1" applyFill="1" applyBorder="1" applyAlignment="1">
      <alignment horizontal="center"/>
    </xf>
    <xf numFmtId="3" fontId="3" fillId="0" borderId="9" xfId="0" applyNumberFormat="1" applyFont="1" applyFill="1" applyBorder="1" applyAlignment="1">
      <alignment horizontal="center"/>
    </xf>
    <xf numFmtId="3" fontId="3" fillId="0" borderId="5" xfId="0" applyNumberFormat="1" applyFont="1" applyFill="1" applyBorder="1" applyAlignment="1">
      <alignment horizontal="center"/>
    </xf>
    <xf numFmtId="0" fontId="3" fillId="0" borderId="0" xfId="0" applyFont="1" applyAlignment="1">
      <alignment horizontal="left" vertical="center" wrapText="1"/>
    </xf>
    <xf numFmtId="0" fontId="3" fillId="0" borderId="0" xfId="0" applyFont="1" applyAlignment="1">
      <alignment vertical="center" wrapText="1"/>
    </xf>
    <xf numFmtId="1" fontId="5" fillId="0" borderId="0" xfId="0" applyNumberFormat="1" applyFont="1" applyFill="1" applyBorder="1" applyAlignment="1">
      <alignment horizontal="right" vertical="center" wrapText="1"/>
    </xf>
    <xf numFmtId="3" fontId="29" fillId="0" borderId="0" xfId="0" applyNumberFormat="1" applyFont="1"/>
    <xf numFmtId="3" fontId="29" fillId="0" borderId="18" xfId="0" applyNumberFormat="1" applyFont="1" applyBorder="1"/>
    <xf numFmtId="3" fontId="29" fillId="0" borderId="33" xfId="0" applyNumberFormat="1" applyFont="1" applyBorder="1"/>
    <xf numFmtId="3" fontId="29" fillId="0" borderId="42" xfId="0" applyNumberFormat="1" applyFont="1" applyBorder="1"/>
    <xf numFmtId="176" fontId="3" fillId="0" borderId="0" xfId="0" applyNumberFormat="1" applyFont="1" applyFill="1"/>
    <xf numFmtId="0" fontId="5" fillId="2" borderId="12" xfId="0" applyFont="1" applyFill="1" applyBorder="1" applyAlignment="1">
      <alignment horizontal="left" vertical="center"/>
    </xf>
    <xf numFmtId="2" fontId="30" fillId="0" borderId="0" xfId="0" applyNumberFormat="1" applyFont="1" applyBorder="1" applyAlignment="1">
      <alignment horizontal="center" wrapText="1"/>
    </xf>
    <xf numFmtId="0" fontId="3" fillId="0" borderId="11" xfId="0" applyFont="1" applyBorder="1" applyAlignment="1">
      <alignment vertical="center"/>
    </xf>
    <xf numFmtId="0" fontId="4" fillId="0" borderId="12" xfId="0" applyFont="1" applyFill="1" applyBorder="1" applyAlignment="1">
      <alignment horizontal="center" vertical="center"/>
    </xf>
    <xf numFmtId="0" fontId="3" fillId="0" borderId="0" xfId="10" applyFont="1" applyBorder="1" applyAlignment="1" applyProtection="1">
      <alignment horizontal="left"/>
    </xf>
    <xf numFmtId="3" fontId="3" fillId="0" borderId="0" xfId="10" applyNumberFormat="1" applyFont="1" applyBorder="1" applyProtection="1"/>
    <xf numFmtId="3" fontId="29" fillId="0" borderId="0" xfId="0" applyNumberFormat="1" applyFont="1" applyBorder="1"/>
    <xf numFmtId="0" fontId="3" fillId="0" borderId="0" xfId="0" applyFont="1" applyBorder="1" applyAlignment="1" applyProtection="1">
      <alignment horizontal="left" indent="1"/>
      <protection locked="0"/>
    </xf>
    <xf numFmtId="0" fontId="3" fillId="0" borderId="0" xfId="0" applyFont="1" applyBorder="1" applyAlignment="1"/>
    <xf numFmtId="3" fontId="6" fillId="0" borderId="0" xfId="0" applyNumberFormat="1" applyFont="1" applyFill="1" applyBorder="1" applyAlignment="1">
      <alignment horizontal="right" vertical="center" wrapText="1"/>
    </xf>
    <xf numFmtId="3" fontId="0" fillId="0" borderId="0" xfId="0" applyNumberFormat="1" applyBorder="1"/>
    <xf numFmtId="0" fontId="65" fillId="0" borderId="0" xfId="0" applyFont="1" applyFill="1" applyBorder="1"/>
    <xf numFmtId="0" fontId="3" fillId="0" borderId="0" xfId="0" quotePrefix="1" applyFont="1" applyFill="1" applyBorder="1" applyAlignment="1">
      <alignment horizontal="right"/>
    </xf>
    <xf numFmtId="0" fontId="4" fillId="0" borderId="0" xfId="3" applyFont="1" applyFill="1" applyBorder="1" applyAlignment="1" applyProtection="1">
      <alignment horizontal="center" vertical="center"/>
      <protection locked="0"/>
    </xf>
    <xf numFmtId="0" fontId="4" fillId="7" borderId="171" xfId="3" applyFont="1" applyFill="1" applyBorder="1" applyAlignment="1" applyProtection="1">
      <alignment horizontal="center" vertical="center"/>
      <protection locked="0"/>
    </xf>
    <xf numFmtId="1" fontId="4" fillId="4" borderId="9" xfId="0" applyNumberFormat="1" applyFont="1" applyFill="1" applyBorder="1" applyAlignment="1" applyProtection="1">
      <alignment horizontal="center" vertical="center"/>
      <protection locked="0"/>
    </xf>
    <xf numFmtId="1" fontId="4" fillId="0" borderId="9" xfId="0" applyNumberFormat="1" applyFont="1" applyFill="1" applyBorder="1" applyAlignment="1" applyProtection="1">
      <alignment horizontal="center" vertical="center"/>
      <protection locked="0"/>
    </xf>
    <xf numFmtId="0" fontId="4" fillId="7" borderId="14" xfId="0" applyFont="1" applyFill="1" applyBorder="1" applyAlignment="1" applyProtection="1">
      <alignment horizontal="center" vertical="center"/>
      <protection locked="0"/>
    </xf>
    <xf numFmtId="0" fontId="4" fillId="7" borderId="48" xfId="3" applyFont="1" applyFill="1" applyBorder="1" applyAlignment="1" applyProtection="1">
      <alignment horizontal="center" vertical="center"/>
      <protection locked="0"/>
    </xf>
    <xf numFmtId="0" fontId="4" fillId="7" borderId="153" xfId="3" applyFont="1" applyFill="1" applyBorder="1" applyAlignment="1" applyProtection="1">
      <alignment horizontal="center" vertical="center"/>
      <protection locked="0"/>
    </xf>
    <xf numFmtId="0" fontId="4" fillId="7" borderId="154" xfId="3" applyFont="1" applyFill="1" applyBorder="1" applyAlignment="1" applyProtection="1">
      <alignment horizontal="center"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vertical="center"/>
    </xf>
    <xf numFmtId="0" fontId="4" fillId="2" borderId="197" xfId="0" applyFont="1" applyFill="1" applyBorder="1" applyAlignment="1" applyProtection="1">
      <alignment horizontal="centerContinuous" vertical="center"/>
    </xf>
    <xf numFmtId="0" fontId="4" fillId="0" borderId="0" xfId="0" applyFont="1" applyFill="1" applyBorder="1" applyAlignment="1" applyProtection="1">
      <alignment horizontal="centerContinuous" vertical="center"/>
      <protection locked="0"/>
    </xf>
    <xf numFmtId="0" fontId="3" fillId="0" borderId="0" xfId="0" applyFont="1" applyFill="1" applyAlignment="1" applyProtection="1">
      <alignment horizontal="centerContinuous" vertical="center"/>
      <protection locked="0"/>
    </xf>
    <xf numFmtId="0" fontId="3" fillId="0" borderId="0" xfId="0" applyFont="1" applyFill="1" applyAlignment="1" applyProtection="1">
      <alignment vertical="center"/>
      <protection locked="0"/>
    </xf>
    <xf numFmtId="0" fontId="4" fillId="0" borderId="0" xfId="0" applyFont="1" applyFill="1" applyProtection="1">
      <protection locked="0"/>
    </xf>
    <xf numFmtId="0" fontId="3" fillId="0" borderId="0" xfId="0" applyFont="1" applyAlignment="1" applyProtection="1">
      <alignment vertical="center"/>
      <protection locked="0"/>
    </xf>
    <xf numFmtId="0" fontId="4" fillId="0" borderId="0" xfId="0" applyFont="1" applyFill="1" applyBorder="1" applyAlignment="1" applyProtection="1">
      <alignment vertical="center"/>
      <protection locked="0"/>
    </xf>
    <xf numFmtId="0" fontId="3" fillId="4" borderId="0" xfId="0" applyFont="1" applyFill="1" applyAlignment="1" applyProtection="1">
      <alignment vertical="center"/>
      <protection locked="0"/>
    </xf>
    <xf numFmtId="0" fontId="4" fillId="4" borderId="0" xfId="3"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0" fontId="4" fillId="4" borderId="0" xfId="0" applyFont="1" applyFill="1" applyBorder="1" applyAlignment="1" applyProtection="1">
      <alignment horizontal="centerContinuous" vertical="center"/>
      <protection locked="0"/>
    </xf>
    <xf numFmtId="0" fontId="3" fillId="4" borderId="0" xfId="0" applyFont="1" applyFill="1" applyAlignment="1" applyProtection="1">
      <alignment horizontal="centerContinuous" vertical="center"/>
      <protection locked="0"/>
    </xf>
    <xf numFmtId="0" fontId="4" fillId="7" borderId="48" xfId="3" applyFont="1" applyFill="1" applyBorder="1" applyAlignment="1" applyProtection="1">
      <alignment horizontal="center"/>
      <protection locked="0"/>
    </xf>
    <xf numFmtId="0" fontId="3" fillId="0" borderId="0" xfId="0" applyFont="1" applyFill="1" applyProtection="1">
      <protection locked="0"/>
    </xf>
    <xf numFmtId="0" fontId="3" fillId="0" borderId="0" xfId="0" applyFont="1" applyFill="1" applyBorder="1" applyAlignment="1" applyProtection="1">
      <alignment vertical="center"/>
      <protection locked="0"/>
    </xf>
    <xf numFmtId="0" fontId="4" fillId="0" borderId="0" xfId="0" applyFont="1" applyFill="1" applyBorder="1" applyAlignment="1" applyProtection="1">
      <alignment horizontal="left" vertical="center"/>
      <protection locked="0"/>
    </xf>
    <xf numFmtId="0" fontId="4" fillId="0" borderId="0" xfId="0" applyFont="1" applyFill="1" applyAlignment="1" applyProtection="1">
      <alignment vertical="center"/>
      <protection locked="0"/>
    </xf>
    <xf numFmtId="0" fontId="4" fillId="7" borderId="19" xfId="3" applyFont="1" applyFill="1" applyBorder="1" applyAlignment="1" applyProtection="1">
      <alignment horizontal="center" vertical="center"/>
      <protection locked="0"/>
    </xf>
    <xf numFmtId="0" fontId="4" fillId="0" borderId="0" xfId="0" applyFont="1" applyFill="1" applyAlignment="1" applyProtection="1">
      <alignment horizontal="centerContinuous" vertical="center"/>
      <protection locked="0"/>
    </xf>
    <xf numFmtId="0" fontId="4" fillId="7" borderId="48" xfId="0" applyFont="1" applyFill="1" applyBorder="1" applyAlignment="1" applyProtection="1">
      <alignment horizontal="center" vertical="center"/>
      <protection locked="0"/>
    </xf>
    <xf numFmtId="0" fontId="50" fillId="0" borderId="6" xfId="0" applyFont="1" applyFill="1" applyBorder="1" applyAlignment="1" applyProtection="1">
      <alignment horizontal="center" vertical="center"/>
    </xf>
    <xf numFmtId="0" fontId="3" fillId="0" borderId="0" xfId="0" applyFont="1" applyFill="1" applyAlignment="1" applyProtection="1">
      <alignment vertical="center"/>
    </xf>
    <xf numFmtId="0" fontId="3" fillId="0" borderId="0" xfId="0" applyFont="1" applyFill="1" applyBorder="1" applyAlignment="1" applyProtection="1">
      <alignment vertical="center"/>
    </xf>
    <xf numFmtId="1" fontId="4" fillId="0" borderId="0" xfId="0" applyNumberFormat="1" applyFont="1" applyFill="1" applyBorder="1" applyAlignment="1" applyProtection="1">
      <alignment horizontal="center" vertical="center"/>
    </xf>
    <xf numFmtId="0" fontId="3" fillId="0" borderId="42" xfId="0" applyFont="1" applyFill="1" applyBorder="1" applyAlignment="1" applyProtection="1">
      <alignment vertical="center"/>
    </xf>
    <xf numFmtId="0" fontId="30" fillId="0" borderId="19" xfId="0" applyFont="1" applyFill="1" applyBorder="1" applyAlignment="1" applyProtection="1">
      <alignment horizontal="center" vertical="center"/>
    </xf>
    <xf numFmtId="0" fontId="3" fillId="0" borderId="0" xfId="0" applyFont="1" applyFill="1" applyBorder="1" applyAlignment="1" applyProtection="1">
      <alignment horizontal="left" vertical="center"/>
    </xf>
    <xf numFmtId="0" fontId="4" fillId="0" borderId="0" xfId="0" applyFont="1" applyFill="1" applyBorder="1" applyAlignment="1" applyProtection="1">
      <alignment horizontal="center" vertical="center"/>
    </xf>
    <xf numFmtId="1" fontId="4" fillId="0" borderId="18" xfId="0" applyNumberFormat="1" applyFont="1" applyFill="1" applyBorder="1" applyAlignment="1" applyProtection="1">
      <alignment horizontal="center" vertical="center"/>
    </xf>
    <xf numFmtId="0" fontId="3" fillId="0" borderId="42" xfId="0" applyFont="1" applyFill="1" applyBorder="1" applyProtection="1"/>
    <xf numFmtId="0" fontId="30" fillId="0" borderId="19" xfId="0" applyFont="1" applyFill="1" applyBorder="1" applyAlignment="1" applyProtection="1">
      <alignment horizontal="center"/>
    </xf>
    <xf numFmtId="1" fontId="4" fillId="0" borderId="19" xfId="0" applyNumberFormat="1" applyFont="1" applyFill="1" applyBorder="1" applyAlignment="1" applyProtection="1">
      <alignment horizontal="center" vertical="center"/>
    </xf>
    <xf numFmtId="0" fontId="4" fillId="0" borderId="19" xfId="0" applyFont="1" applyFill="1" applyBorder="1" applyAlignment="1" applyProtection="1">
      <alignment horizontal="center" vertical="center"/>
    </xf>
    <xf numFmtId="0" fontId="3" fillId="0" borderId="0" xfId="0" applyFont="1" applyBorder="1" applyAlignment="1" applyProtection="1">
      <alignment horizontal="left" vertical="center"/>
    </xf>
    <xf numFmtId="0" fontId="3" fillId="0" borderId="0" xfId="0" applyFont="1" applyAlignment="1" applyProtection="1">
      <alignment vertical="center"/>
    </xf>
    <xf numFmtId="0" fontId="3" fillId="0" borderId="0" xfId="0" applyFont="1" applyBorder="1" applyAlignment="1" applyProtection="1">
      <alignment vertical="center"/>
    </xf>
    <xf numFmtId="0" fontId="30" fillId="0" borderId="0" xfId="0" applyFont="1" applyFill="1" applyBorder="1" applyAlignment="1" applyProtection="1">
      <alignment horizontal="center" vertical="center"/>
    </xf>
    <xf numFmtId="0" fontId="4" fillId="0" borderId="0" xfId="0" applyFont="1" applyFill="1" applyBorder="1" applyAlignment="1" applyProtection="1">
      <alignment vertical="center"/>
    </xf>
    <xf numFmtId="0" fontId="3" fillId="0" borderId="135" xfId="0" applyFont="1" applyBorder="1" applyAlignment="1" applyProtection="1">
      <alignment vertical="center"/>
    </xf>
    <xf numFmtId="0" fontId="3" fillId="4" borderId="0" xfId="0" applyFont="1" applyFill="1" applyAlignment="1" applyProtection="1">
      <alignment vertical="center"/>
    </xf>
    <xf numFmtId="1" fontId="4" fillId="4" borderId="19" xfId="0" applyNumberFormat="1" applyFont="1" applyFill="1" applyBorder="1" applyAlignment="1" applyProtection="1">
      <alignment horizontal="center" vertical="center"/>
    </xf>
    <xf numFmtId="0" fontId="3" fillId="4" borderId="0" xfId="0" applyFont="1" applyFill="1" applyBorder="1" applyAlignment="1" applyProtection="1">
      <alignment horizontal="left" vertical="center"/>
    </xf>
    <xf numFmtId="0" fontId="4" fillId="4" borderId="53" xfId="0" applyFont="1" applyFill="1" applyBorder="1" applyAlignment="1" applyProtection="1">
      <alignment horizontal="center" vertical="center"/>
    </xf>
    <xf numFmtId="0" fontId="4" fillId="4" borderId="19" xfId="0" applyFont="1" applyFill="1" applyBorder="1" applyAlignment="1" applyProtection="1">
      <alignment horizontal="center" vertical="center"/>
    </xf>
    <xf numFmtId="0" fontId="4" fillId="0" borderId="135" xfId="0" applyFont="1" applyFill="1" applyBorder="1" applyAlignment="1" applyProtection="1">
      <alignment horizontal="center" vertical="center"/>
    </xf>
    <xf numFmtId="1" fontId="4" fillId="0" borderId="135" xfId="0" applyNumberFormat="1" applyFont="1" applyFill="1" applyBorder="1" applyAlignment="1" applyProtection="1">
      <alignment horizontal="center" vertical="center"/>
    </xf>
    <xf numFmtId="0" fontId="4" fillId="4" borderId="19" xfId="0" applyFont="1" applyFill="1" applyBorder="1" applyAlignment="1" applyProtection="1">
      <alignment horizontal="center"/>
    </xf>
    <xf numFmtId="0" fontId="3" fillId="4" borderId="0" xfId="0" applyFont="1" applyFill="1" applyBorder="1" applyAlignment="1" applyProtection="1">
      <alignment vertical="center"/>
    </xf>
    <xf numFmtId="1" fontId="4" fillId="4" borderId="19" xfId="0" applyNumberFormat="1" applyFont="1" applyFill="1" applyBorder="1" applyAlignment="1" applyProtection="1">
      <alignment horizontal="center"/>
    </xf>
    <xf numFmtId="0" fontId="4" fillId="4" borderId="135" xfId="0" applyFont="1" applyFill="1" applyBorder="1" applyAlignment="1" applyProtection="1">
      <alignment horizontal="center" vertical="center"/>
    </xf>
    <xf numFmtId="1" fontId="4" fillId="0" borderId="53" xfId="0" applyNumberFormat="1" applyFont="1" applyFill="1" applyBorder="1" applyAlignment="1" applyProtection="1">
      <alignment horizontal="center" vertical="center"/>
    </xf>
    <xf numFmtId="0" fontId="4" fillId="0" borderId="0" xfId="0" applyFont="1" applyFill="1" applyBorder="1" applyAlignment="1" applyProtection="1">
      <alignment horizontal="left" vertical="center"/>
    </xf>
    <xf numFmtId="0" fontId="4" fillId="2" borderId="0" xfId="0" applyFont="1" applyFill="1" applyAlignment="1" applyProtection="1">
      <alignment vertical="center"/>
    </xf>
    <xf numFmtId="0" fontId="3" fillId="2" borderId="0" xfId="0" applyFont="1" applyFill="1" applyAlignment="1" applyProtection="1">
      <alignment vertical="center"/>
    </xf>
    <xf numFmtId="0" fontId="3" fillId="0" borderId="0" xfId="0" applyFont="1" applyFill="1" applyAlignment="1" applyProtection="1">
      <alignment horizontal="left" vertical="center"/>
    </xf>
    <xf numFmtId="0" fontId="4" fillId="0" borderId="156" xfId="0" applyFont="1" applyFill="1" applyBorder="1" applyAlignment="1" applyProtection="1">
      <alignment horizontal="center" vertical="center"/>
    </xf>
    <xf numFmtId="1" fontId="4" fillId="0" borderId="42" xfId="0" applyNumberFormat="1" applyFont="1" applyFill="1" applyBorder="1" applyAlignment="1" applyProtection="1">
      <alignment horizontal="center" vertical="center"/>
    </xf>
    <xf numFmtId="167" fontId="3" fillId="0" borderId="21" xfId="0" applyNumberFormat="1" applyFont="1" applyFill="1" applyBorder="1" applyAlignment="1">
      <alignment horizontal="center" vertical="center" wrapText="1"/>
    </xf>
    <xf numFmtId="167" fontId="3" fillId="0" borderId="9" xfId="0" applyNumberFormat="1" applyFont="1" applyFill="1" applyBorder="1" applyAlignment="1">
      <alignment horizontal="center" vertical="center" wrapText="1"/>
    </xf>
    <xf numFmtId="167" fontId="3" fillId="0" borderId="5" xfId="0" applyNumberFormat="1" applyFont="1" applyFill="1" applyBorder="1" applyAlignment="1">
      <alignment horizontal="center" vertical="center" wrapText="1"/>
    </xf>
    <xf numFmtId="167" fontId="3" fillId="0" borderId="12" xfId="0" applyNumberFormat="1" applyFont="1" applyFill="1" applyBorder="1" applyAlignment="1">
      <alignment horizontal="center" vertical="center"/>
    </xf>
    <xf numFmtId="167" fontId="6" fillId="0" borderId="11" xfId="0" applyNumberFormat="1" applyFont="1" applyFill="1" applyBorder="1" applyAlignment="1">
      <alignment horizontal="center" vertical="center" wrapText="1"/>
    </xf>
    <xf numFmtId="167" fontId="6" fillId="0" borderId="12" xfId="0" applyNumberFormat="1" applyFont="1" applyFill="1" applyBorder="1" applyAlignment="1">
      <alignment horizontal="center" vertical="center" wrapText="1"/>
    </xf>
    <xf numFmtId="167" fontId="3" fillId="0" borderId="11" xfId="0" applyNumberFormat="1" applyFont="1" applyFill="1" applyBorder="1" applyAlignment="1">
      <alignment horizontal="center"/>
    </xf>
    <xf numFmtId="167" fontId="3" fillId="0" borderId="12" xfId="0" applyNumberFormat="1" applyFont="1" applyFill="1" applyBorder="1" applyAlignment="1">
      <alignment horizontal="center"/>
    </xf>
    <xf numFmtId="167" fontId="6" fillId="0" borderId="6" xfId="0" applyNumberFormat="1" applyFont="1" applyFill="1" applyBorder="1" applyAlignment="1">
      <alignment horizontal="center" vertical="center" wrapText="1"/>
    </xf>
    <xf numFmtId="167" fontId="6" fillId="0" borderId="0" xfId="0" applyNumberFormat="1" applyFont="1" applyFill="1" applyBorder="1" applyAlignment="1">
      <alignment horizontal="center" vertical="center" wrapText="1"/>
    </xf>
    <xf numFmtId="167" fontId="3" fillId="0" borderId="6" xfId="0" applyNumberFormat="1" applyFont="1" applyFill="1" applyBorder="1" applyAlignment="1">
      <alignment horizontal="center"/>
    </xf>
    <xf numFmtId="167" fontId="3" fillId="0" borderId="0" xfId="0" applyNumberFormat="1" applyFont="1" applyFill="1" applyBorder="1" applyAlignment="1">
      <alignment horizontal="center"/>
    </xf>
    <xf numFmtId="0" fontId="5" fillId="2" borderId="0" xfId="0" applyFont="1" applyFill="1" applyBorder="1" applyAlignment="1">
      <alignment horizontal="center" vertical="top" wrapText="1"/>
    </xf>
    <xf numFmtId="0" fontId="5" fillId="2" borderId="80" xfId="0" applyFont="1" applyFill="1" applyBorder="1" applyAlignment="1">
      <alignment horizontal="center" vertical="top" wrapText="1"/>
    </xf>
    <xf numFmtId="0" fontId="5" fillId="2" borderId="1" xfId="0" applyFont="1" applyFill="1" applyBorder="1" applyAlignment="1">
      <alignment horizontal="center" vertical="top" wrapText="1"/>
    </xf>
    <xf numFmtId="2" fontId="6" fillId="0" borderId="120" xfId="0" applyNumberFormat="1" applyFont="1" applyBorder="1" applyAlignment="1">
      <alignment horizontal="center" vertical="top" wrapText="1"/>
    </xf>
    <xf numFmtId="2" fontId="6" fillId="0" borderId="81" xfId="0" applyNumberFormat="1" applyFont="1" applyBorder="1" applyAlignment="1">
      <alignment horizontal="center" vertical="top" wrapText="1"/>
    </xf>
    <xf numFmtId="2" fontId="6" fillId="0" borderId="83" xfId="0" applyNumberFormat="1" applyFont="1" applyBorder="1" applyAlignment="1">
      <alignment horizontal="center" vertical="top" wrapText="1"/>
    </xf>
    <xf numFmtId="2" fontId="6" fillId="0" borderId="84" xfId="0" applyNumberFormat="1" applyFont="1" applyBorder="1" applyAlignment="1">
      <alignment horizontal="center" vertical="top" wrapText="1"/>
    </xf>
    <xf numFmtId="2" fontId="6" fillId="0" borderId="46" xfId="0" applyNumberFormat="1" applyFont="1" applyBorder="1" applyAlignment="1">
      <alignment horizontal="center" vertical="top" wrapText="1"/>
    </xf>
    <xf numFmtId="2" fontId="6" fillId="0" borderId="41" xfId="0" applyNumberFormat="1" applyFont="1" applyBorder="1" applyAlignment="1">
      <alignment horizontal="center" vertical="top" wrapText="1"/>
    </xf>
    <xf numFmtId="17" fontId="4" fillId="0" borderId="21" xfId="0" applyNumberFormat="1" applyFont="1" applyBorder="1" applyAlignment="1">
      <alignment horizontal="center" vertical="center"/>
    </xf>
    <xf numFmtId="2" fontId="6" fillId="4" borderId="0" xfId="0" applyNumberFormat="1" applyFont="1" applyFill="1" applyBorder="1" applyAlignment="1">
      <alignment horizontal="left" vertical="center"/>
    </xf>
    <xf numFmtId="2" fontId="6" fillId="4" borderId="1" xfId="0" applyNumberFormat="1" applyFont="1" applyFill="1" applyBorder="1" applyAlignment="1">
      <alignment horizontal="left" vertical="center"/>
    </xf>
    <xf numFmtId="0" fontId="36" fillId="7" borderId="0" xfId="0" applyFont="1" applyFill="1" applyBorder="1" applyAlignment="1">
      <alignment vertical="center"/>
    </xf>
    <xf numFmtId="0" fontId="37" fillId="7" borderId="0" xfId="0" applyFont="1" applyFill="1" applyBorder="1" applyAlignment="1">
      <alignment vertical="center"/>
    </xf>
    <xf numFmtId="0" fontId="3" fillId="7" borderId="0" xfId="0" applyFont="1" applyFill="1" applyBorder="1" applyAlignment="1">
      <alignment vertical="center"/>
    </xf>
    <xf numFmtId="0" fontId="37" fillId="7" borderId="1" xfId="0" applyFont="1" applyFill="1" applyBorder="1" applyAlignment="1">
      <alignment vertical="center"/>
    </xf>
    <xf numFmtId="0" fontId="36" fillId="7" borderId="6" xfId="0" applyFont="1" applyFill="1" applyBorder="1" applyAlignment="1">
      <alignment horizontal="center" vertical="center" wrapText="1"/>
    </xf>
    <xf numFmtId="0" fontId="36" fillId="7" borderId="0" xfId="0" applyFont="1" applyFill="1" applyBorder="1" applyAlignment="1">
      <alignment horizontal="center" vertical="center"/>
    </xf>
    <xf numFmtId="0" fontId="3" fillId="7" borderId="140" xfId="0" applyFont="1" applyFill="1" applyBorder="1" applyAlignment="1">
      <alignment vertical="center"/>
    </xf>
    <xf numFmtId="0" fontId="0" fillId="7" borderId="140" xfId="0" applyFill="1" applyBorder="1" applyAlignment="1">
      <alignment vertical="center"/>
    </xf>
    <xf numFmtId="0" fontId="0" fillId="7" borderId="6" xfId="0" applyFill="1" applyBorder="1" applyAlignment="1">
      <alignment vertical="center"/>
    </xf>
    <xf numFmtId="0" fontId="0" fillId="7" borderId="1" xfId="0" applyFill="1" applyBorder="1" applyAlignment="1">
      <alignment vertical="center"/>
    </xf>
    <xf numFmtId="0" fontId="0" fillId="7" borderId="0" xfId="0" applyFill="1" applyAlignment="1">
      <alignment vertical="center"/>
    </xf>
    <xf numFmtId="0" fontId="0" fillId="7" borderId="143" xfId="0" applyFill="1" applyBorder="1" applyAlignment="1">
      <alignment vertical="center"/>
    </xf>
    <xf numFmtId="0" fontId="0" fillId="7" borderId="103" xfId="0" applyFill="1" applyBorder="1" applyAlignment="1">
      <alignment vertical="center"/>
    </xf>
    <xf numFmtId="0" fontId="0" fillId="7" borderId="18" xfId="0" applyFill="1" applyBorder="1" applyAlignment="1">
      <alignment vertical="center"/>
    </xf>
    <xf numFmtId="0" fontId="0" fillId="7" borderId="198" xfId="0" applyFill="1" applyBorder="1" applyAlignment="1">
      <alignment vertical="center"/>
    </xf>
    <xf numFmtId="0" fontId="0" fillId="7" borderId="26" xfId="0" applyFill="1" applyBorder="1" applyAlignment="1">
      <alignment vertical="center"/>
    </xf>
    <xf numFmtId="0" fontId="0" fillId="7" borderId="0" xfId="0" applyFill="1" applyBorder="1" applyAlignment="1">
      <alignment horizontal="left" vertical="center"/>
    </xf>
    <xf numFmtId="0" fontId="0" fillId="7" borderId="70" xfId="0" applyFill="1" applyBorder="1" applyAlignment="1">
      <alignment vertical="center"/>
    </xf>
    <xf numFmtId="0" fontId="0" fillId="7" borderId="2" xfId="0" applyFill="1" applyBorder="1" applyAlignment="1">
      <alignment vertical="center"/>
    </xf>
    <xf numFmtId="0" fontId="0" fillId="7" borderId="3" xfId="0" applyFill="1" applyBorder="1" applyAlignment="1">
      <alignment vertical="center"/>
    </xf>
    <xf numFmtId="0" fontId="0" fillId="7" borderId="3" xfId="0" applyFill="1" applyBorder="1" applyAlignment="1">
      <alignment horizontal="left" vertical="center"/>
    </xf>
    <xf numFmtId="0" fontId="0" fillId="7" borderId="4" xfId="0" applyFill="1" applyBorder="1" applyAlignment="1">
      <alignment vertical="center"/>
    </xf>
    <xf numFmtId="1" fontId="3" fillId="0" borderId="12" xfId="0" applyNumberFormat="1" applyFont="1" applyFill="1" applyBorder="1" applyAlignment="1">
      <alignment horizontal="left"/>
    </xf>
    <xf numFmtId="0" fontId="29" fillId="0" borderId="0" xfId="3" applyFont="1" applyFill="1" applyBorder="1" applyAlignment="1" applyProtection="1">
      <alignment vertical="center"/>
    </xf>
    <xf numFmtId="0" fontId="0" fillId="0" borderId="0" xfId="0" applyBorder="1" applyAlignment="1">
      <alignment wrapText="1"/>
    </xf>
    <xf numFmtId="0" fontId="7" fillId="3" borderId="21"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2" fillId="2" borderId="0" xfId="0" applyFont="1" applyFill="1" applyBorder="1" applyAlignment="1">
      <alignment horizontal="left"/>
    </xf>
    <xf numFmtId="0" fontId="2" fillId="0" borderId="6" xfId="0" applyFont="1" applyFill="1" applyBorder="1" applyAlignment="1">
      <alignment vertical="center"/>
    </xf>
    <xf numFmtId="0" fontId="0" fillId="2" borderId="6" xfId="0" applyFill="1" applyBorder="1" applyAlignment="1">
      <alignment horizontal="center"/>
    </xf>
    <xf numFmtId="2" fontId="30" fillId="0" borderId="1" xfId="0" applyNumberFormat="1" applyFont="1" applyBorder="1" applyAlignment="1">
      <alignment horizontal="right"/>
    </xf>
    <xf numFmtId="2" fontId="0" fillId="0" borderId="6" xfId="0" applyNumberFormat="1" applyBorder="1"/>
    <xf numFmtId="2" fontId="0" fillId="0" borderId="1" xfId="0" applyNumberFormat="1" applyBorder="1"/>
    <xf numFmtId="0" fontId="2" fillId="2" borderId="6" xfId="0" applyFont="1" applyFill="1" applyBorder="1" applyAlignment="1">
      <alignment horizontal="center"/>
    </xf>
    <xf numFmtId="0" fontId="0" fillId="2" borderId="6" xfId="0" applyFill="1" applyBorder="1" applyAlignment="1">
      <alignment horizontal="right"/>
    </xf>
    <xf numFmtId="0" fontId="0" fillId="2" borderId="1" xfId="0" applyFill="1" applyBorder="1" applyAlignment="1">
      <alignment horizontal="center"/>
    </xf>
    <xf numFmtId="0" fontId="2" fillId="2" borderId="1" xfId="0" applyFont="1" applyFill="1" applyBorder="1" applyAlignment="1">
      <alignment horizontal="left"/>
    </xf>
    <xf numFmtId="0" fontId="71" fillId="3" borderId="10" xfId="0" applyFont="1" applyFill="1" applyBorder="1" applyAlignment="1">
      <alignment horizontal="left" vertical="center"/>
    </xf>
    <xf numFmtId="0" fontId="0" fillId="3" borderId="10" xfId="0" applyFill="1" applyBorder="1" applyAlignment="1">
      <alignment horizontal="left" vertical="center"/>
    </xf>
    <xf numFmtId="0" fontId="0" fillId="2" borderId="12" xfId="0" applyFill="1" applyBorder="1" applyAlignment="1">
      <alignment horizontal="centerContinuous" vertical="center"/>
    </xf>
    <xf numFmtId="0" fontId="0" fillId="2" borderId="2" xfId="0" applyFill="1" applyBorder="1" applyAlignment="1">
      <alignment horizontal="center"/>
    </xf>
    <xf numFmtId="0" fontId="0" fillId="2" borderId="4" xfId="0" applyFill="1" applyBorder="1" applyAlignment="1">
      <alignment horizont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1" xfId="0" applyFont="1" applyFill="1" applyBorder="1" applyAlignment="1">
      <alignment horizontal="center" vertical="center"/>
    </xf>
    <xf numFmtId="0" fontId="7" fillId="2" borderId="21" xfId="0" applyFont="1" applyFill="1" applyBorder="1" applyAlignment="1">
      <alignment horizontal="center" vertical="center"/>
    </xf>
    <xf numFmtId="0" fontId="2" fillId="0" borderId="0" xfId="0" applyFont="1" applyFill="1" applyBorder="1" applyAlignment="1">
      <alignment horizontal="center"/>
    </xf>
    <xf numFmtId="0" fontId="2" fillId="2" borderId="12" xfId="0" applyFont="1" applyFill="1" applyBorder="1" applyAlignment="1">
      <alignment horizontal="centerContinuous" vertical="center"/>
    </xf>
    <xf numFmtId="0" fontId="3" fillId="2" borderId="15" xfId="0" applyFont="1" applyFill="1" applyBorder="1" applyAlignment="1">
      <alignment horizontal="left" vertical="center"/>
    </xf>
    <xf numFmtId="0" fontId="2" fillId="2" borderId="6" xfId="0" applyFont="1" applyFill="1" applyBorder="1" applyAlignment="1">
      <alignment horizontal="center" wrapText="1"/>
    </xf>
    <xf numFmtId="0" fontId="2" fillId="2" borderId="0" xfId="0" applyFont="1" applyFill="1" applyBorder="1" applyAlignment="1">
      <alignment horizontal="center" wrapText="1"/>
    </xf>
    <xf numFmtId="2" fontId="3" fillId="0" borderId="2" xfId="0" applyNumberFormat="1" applyFont="1" applyFill="1" applyBorder="1" applyAlignment="1">
      <alignment horizontal="center" vertical="center"/>
    </xf>
    <xf numFmtId="0" fontId="2" fillId="2" borderId="11" xfId="0" applyFont="1" applyFill="1" applyBorder="1" applyAlignment="1">
      <alignment horizontal="centerContinuous" vertical="center"/>
    </xf>
    <xf numFmtId="0" fontId="2" fillId="0" borderId="6" xfId="0" applyFont="1" applyFill="1" applyBorder="1" applyAlignment="1">
      <alignment horizontal="left" vertical="center"/>
    </xf>
    <xf numFmtId="0" fontId="2" fillId="0" borderId="0" xfId="0" applyFont="1" applyAlignment="1">
      <alignment vertical="center"/>
    </xf>
    <xf numFmtId="0" fontId="2" fillId="0" borderId="0" xfId="0" applyFont="1" applyFill="1" applyBorder="1" applyAlignment="1">
      <alignment horizontal="centerContinuous" vertical="center"/>
    </xf>
    <xf numFmtId="0" fontId="2" fillId="0" borderId="0" xfId="0" applyFont="1" applyBorder="1" applyAlignment="1">
      <alignment vertical="center"/>
    </xf>
    <xf numFmtId="0" fontId="2" fillId="0" borderId="1" xfId="0" applyFont="1" applyBorder="1" applyAlignment="1">
      <alignment vertical="center"/>
    </xf>
    <xf numFmtId="0" fontId="2" fillId="0" borderId="0" xfId="0" applyFont="1" applyAlignment="1">
      <alignment horizontal="centerContinuous" vertical="center"/>
    </xf>
    <xf numFmtId="0" fontId="2" fillId="0" borderId="6" xfId="0" applyFont="1" applyBorder="1" applyAlignment="1">
      <alignment vertical="center"/>
    </xf>
    <xf numFmtId="0" fontId="2" fillId="2" borderId="0" xfId="0" applyFont="1" applyFill="1" applyBorder="1" applyAlignment="1">
      <alignment vertical="center"/>
    </xf>
    <xf numFmtId="0" fontId="2" fillId="0" borderId="1" xfId="0" applyFont="1" applyFill="1" applyBorder="1" applyAlignment="1">
      <alignment vertical="center"/>
    </xf>
    <xf numFmtId="0" fontId="2" fillId="0" borderId="0" xfId="0" applyFont="1" applyBorder="1" applyAlignment="1">
      <alignment vertical="center" wrapText="1"/>
    </xf>
    <xf numFmtId="0" fontId="2" fillId="0" borderId="1" xfId="0" applyFont="1" applyBorder="1" applyAlignment="1">
      <alignment vertical="center" wrapText="1"/>
    </xf>
    <xf numFmtId="0" fontId="2" fillId="2" borderId="0" xfId="0" applyFont="1" applyFill="1" applyBorder="1" applyAlignment="1">
      <alignment horizontal="center" vertical="center"/>
    </xf>
    <xf numFmtId="0" fontId="2" fillId="0" borderId="6" xfId="0" applyFont="1" applyFill="1" applyBorder="1" applyAlignment="1">
      <alignment vertical="center" wrapText="1"/>
    </xf>
    <xf numFmtId="0" fontId="2" fillId="0" borderId="0" xfId="0" applyFont="1" applyBorder="1" applyAlignment="1" applyProtection="1">
      <alignment horizontal="left" vertical="center"/>
    </xf>
    <xf numFmtId="0" fontId="2" fillId="0" borderId="0" xfId="0" applyFont="1" applyBorder="1" applyAlignment="1">
      <alignment horizontal="centerContinuous" vertical="center"/>
    </xf>
    <xf numFmtId="0" fontId="2" fillId="0" borderId="0" xfId="0" applyFont="1" applyFill="1" applyBorder="1" applyAlignment="1" applyProtection="1">
      <alignment vertical="center"/>
    </xf>
    <xf numFmtId="0" fontId="2" fillId="2" borderId="0" xfId="0" applyFont="1" applyFill="1" applyAlignment="1">
      <alignment vertical="center"/>
    </xf>
    <xf numFmtId="0" fontId="2" fillId="0" borderId="2" xfId="0" applyFont="1" applyBorder="1" applyAlignment="1">
      <alignment vertical="center"/>
    </xf>
    <xf numFmtId="0" fontId="2" fillId="0" borderId="21" xfId="11" applyNumberFormat="1" applyFont="1" applyBorder="1" applyAlignment="1">
      <alignment horizontal="center" vertical="center" wrapText="1"/>
    </xf>
    <xf numFmtId="170" fontId="2" fillId="0" borderId="21" xfId="11" applyNumberFormat="1" applyFont="1" applyBorder="1" applyAlignment="1">
      <alignment horizontal="center" vertical="center" wrapText="1"/>
    </xf>
    <xf numFmtId="2" fontId="2" fillId="0" borderId="0" xfId="0" applyNumberFormat="1" applyFont="1" applyFill="1" applyBorder="1" applyAlignment="1">
      <alignment vertical="center" wrapText="1"/>
    </xf>
    <xf numFmtId="0" fontId="2" fillId="0" borderId="9" xfId="11" applyNumberFormat="1" applyFont="1" applyBorder="1" applyAlignment="1">
      <alignment horizontal="center" vertical="center" wrapText="1"/>
    </xf>
    <xf numFmtId="170" fontId="2" fillId="0" borderId="9" xfId="11" applyNumberFormat="1" applyFont="1" applyBorder="1" applyAlignment="1">
      <alignment horizontal="center" vertical="center" wrapText="1"/>
    </xf>
    <xf numFmtId="0" fontId="2" fillId="0" borderId="9" xfId="11" applyNumberFormat="1" applyFont="1" applyBorder="1" applyAlignment="1">
      <alignment horizontal="center" vertical="center"/>
    </xf>
    <xf numFmtId="170" fontId="2" fillId="0" borderId="9" xfId="11" applyNumberFormat="1" applyFont="1" applyBorder="1" applyAlignment="1">
      <alignment horizontal="center" vertical="center"/>
    </xf>
    <xf numFmtId="0" fontId="2" fillId="0" borderId="5" xfId="11" applyNumberFormat="1" applyFont="1" applyBorder="1" applyAlignment="1">
      <alignment horizontal="center" vertical="center"/>
    </xf>
    <xf numFmtId="170" fontId="2" fillId="0" borderId="5" xfId="11" applyNumberFormat="1" applyFont="1" applyBorder="1" applyAlignment="1">
      <alignment horizontal="center" vertical="center"/>
    </xf>
    <xf numFmtId="0" fontId="7" fillId="0" borderId="0" xfId="0" applyFont="1" applyFill="1" applyBorder="1" applyAlignment="1">
      <alignment horizontal="center" vertical="center" wrapText="1"/>
    </xf>
    <xf numFmtId="170" fontId="2" fillId="0" borderId="0" xfId="11" applyNumberFormat="1" applyFont="1" applyFill="1" applyBorder="1" applyAlignment="1">
      <alignment horizontal="center" vertical="center" wrapText="1"/>
    </xf>
    <xf numFmtId="170" fontId="2" fillId="0" borderId="0" xfId="11" applyNumberFormat="1" applyFont="1" applyFill="1" applyBorder="1" applyAlignment="1">
      <alignment horizontal="center" vertical="center"/>
    </xf>
    <xf numFmtId="0" fontId="4" fillId="2" borderId="11" xfId="0" applyFont="1" applyFill="1" applyBorder="1" applyAlignment="1">
      <alignment horizontal="left" vertical="center"/>
    </xf>
    <xf numFmtId="170" fontId="2" fillId="0" borderId="11" xfId="11" applyNumberFormat="1" applyFont="1" applyBorder="1" applyAlignment="1">
      <alignment horizontal="left" vertical="center" wrapText="1"/>
    </xf>
    <xf numFmtId="170" fontId="2" fillId="0" borderId="12" xfId="11" applyNumberFormat="1" applyFont="1" applyBorder="1" applyAlignment="1">
      <alignment horizontal="center" vertical="center" wrapText="1"/>
    </xf>
    <xf numFmtId="170" fontId="2" fillId="0" borderId="15" xfId="11" applyNumberFormat="1" applyFont="1" applyBorder="1" applyAlignment="1">
      <alignment horizontal="center" vertical="center" wrapText="1"/>
    </xf>
    <xf numFmtId="181" fontId="2" fillId="0" borderId="11" xfId="11" applyNumberFormat="1" applyFont="1" applyBorder="1" applyAlignment="1">
      <alignment horizontal="right" vertical="center" wrapText="1"/>
    </xf>
    <xf numFmtId="170" fontId="2" fillId="0" borderId="2" xfId="11" applyNumberFormat="1" applyFont="1" applyBorder="1" applyAlignment="1">
      <alignment horizontal="left" vertical="center" wrapText="1"/>
    </xf>
    <xf numFmtId="170" fontId="2" fillId="0" borderId="3" xfId="11" applyNumberFormat="1" applyFont="1" applyBorder="1" applyAlignment="1">
      <alignment horizontal="center" vertical="center" wrapText="1"/>
    </xf>
    <xf numFmtId="170" fontId="2" fillId="0" borderId="4" xfId="11" applyNumberFormat="1" applyFont="1" applyBorder="1" applyAlignment="1">
      <alignment horizontal="center" vertical="center" wrapText="1"/>
    </xf>
    <xf numFmtId="181" fontId="2" fillId="0" borderId="2" xfId="11" applyNumberFormat="1" applyFont="1" applyBorder="1" applyAlignment="1">
      <alignment horizontal="right" vertical="center" wrapText="1"/>
    </xf>
    <xf numFmtId="0" fontId="2" fillId="7" borderId="0" xfId="0" applyFont="1" applyFill="1" applyBorder="1" applyAlignment="1">
      <alignment vertical="center"/>
    </xf>
    <xf numFmtId="0" fontId="7" fillId="3" borderId="0" xfId="0" applyFont="1" applyFill="1" applyBorder="1" applyAlignment="1">
      <alignment horizontal="center" vertical="center" wrapText="1"/>
    </xf>
    <xf numFmtId="0" fontId="7" fillId="3" borderId="1" xfId="0" applyFont="1" applyFill="1" applyBorder="1" applyAlignment="1">
      <alignment horizontal="center" vertical="center" wrapText="1"/>
    </xf>
    <xf numFmtId="170" fontId="29" fillId="0" borderId="6" xfId="11" applyNumberFormat="1" applyFont="1" applyFill="1" applyBorder="1" applyAlignment="1">
      <alignment horizontal="center" vertical="center" wrapText="1"/>
    </xf>
    <xf numFmtId="170" fontId="29" fillId="0" borderId="0" xfId="11" applyNumberFormat="1" applyFont="1" applyFill="1" applyBorder="1" applyAlignment="1">
      <alignment horizontal="center" vertical="center" wrapText="1"/>
    </xf>
    <xf numFmtId="170" fontId="29" fillId="0" borderId="1" xfId="11" applyNumberFormat="1" applyFont="1" applyFill="1" applyBorder="1" applyAlignment="1">
      <alignment horizontal="center" vertical="center" wrapText="1"/>
    </xf>
    <xf numFmtId="170" fontId="29" fillId="0" borderId="2" xfId="11" applyNumberFormat="1" applyFont="1" applyFill="1" applyBorder="1" applyAlignment="1">
      <alignment horizontal="center" vertical="center" wrapText="1"/>
    </xf>
    <xf numFmtId="170" fontId="29" fillId="0" borderId="3" xfId="11" applyNumberFormat="1" applyFont="1" applyFill="1" applyBorder="1" applyAlignment="1">
      <alignment horizontal="center" vertical="center" wrapText="1"/>
    </xf>
    <xf numFmtId="170" fontId="29" fillId="0" borderId="4" xfId="11" applyNumberFormat="1" applyFont="1" applyFill="1" applyBorder="1" applyAlignment="1">
      <alignment horizontal="center" vertical="center" wrapText="1"/>
    </xf>
    <xf numFmtId="0" fontId="7" fillId="3" borderId="0" xfId="0" applyFont="1" applyFill="1" applyBorder="1" applyAlignment="1">
      <alignment vertical="center" wrapText="1"/>
    </xf>
    <xf numFmtId="0" fontId="7" fillId="3" borderId="1" xfId="0" applyFont="1" applyFill="1" applyBorder="1" applyAlignment="1">
      <alignment vertical="center"/>
    </xf>
    <xf numFmtId="170" fontId="29" fillId="0" borderId="9" xfId="11" applyNumberFormat="1" applyFont="1" applyFill="1" applyBorder="1" applyAlignment="1">
      <alignment horizontal="center" vertical="center" wrapText="1"/>
    </xf>
    <xf numFmtId="170" fontId="29" fillId="0" borderId="5" xfId="11" applyNumberFormat="1" applyFont="1" applyFill="1" applyBorder="1" applyAlignment="1">
      <alignment horizontal="center" vertical="center" wrapText="1"/>
    </xf>
    <xf numFmtId="181" fontId="29" fillId="0" borderId="9" xfId="11" applyNumberFormat="1" applyFont="1" applyFill="1" applyBorder="1" applyAlignment="1">
      <alignment horizontal="center" vertical="center" wrapText="1"/>
    </xf>
    <xf numFmtId="181" fontId="29" fillId="0" borderId="21" xfId="11" applyNumberFormat="1" applyFont="1" applyFill="1" applyBorder="1" applyAlignment="1">
      <alignment horizontal="center" vertical="center" wrapText="1"/>
    </xf>
    <xf numFmtId="181" fontId="29" fillId="0" borderId="5" xfId="11" applyNumberFormat="1" applyFont="1" applyFill="1" applyBorder="1" applyAlignment="1">
      <alignment horizontal="center" vertical="center" wrapText="1"/>
    </xf>
    <xf numFmtId="0" fontId="2" fillId="7" borderId="198" xfId="0" applyFont="1" applyFill="1" applyBorder="1" applyAlignment="1">
      <alignment vertical="center"/>
    </xf>
    <xf numFmtId="0" fontId="2" fillId="2" borderId="1" xfId="0" applyFont="1" applyFill="1" applyBorder="1" applyAlignment="1">
      <alignment horizontal="center" wrapText="1"/>
    </xf>
    <xf numFmtId="172" fontId="3" fillId="0" borderId="3" xfId="0" applyNumberFormat="1" applyFont="1" applyFill="1" applyBorder="1" applyAlignment="1">
      <alignment horizontal="right"/>
    </xf>
    <xf numFmtId="172" fontId="3" fillId="0" borderId="4" xfId="0" applyNumberFormat="1" applyFont="1" applyFill="1" applyBorder="1" applyAlignment="1">
      <alignment horizontal="right"/>
    </xf>
    <xf numFmtId="0" fontId="4" fillId="2" borderId="7" xfId="0" applyFont="1" applyFill="1" applyBorder="1" applyAlignment="1">
      <alignment horizontal="right"/>
    </xf>
    <xf numFmtId="0" fontId="2" fillId="4" borderId="6" xfId="0" applyFont="1" applyFill="1" applyBorder="1" applyAlignment="1">
      <alignment vertical="center"/>
    </xf>
    <xf numFmtId="0" fontId="2" fillId="2" borderId="2" xfId="0" applyFont="1" applyFill="1" applyBorder="1" applyAlignment="1">
      <alignment horizontal="center" wrapText="1"/>
    </xf>
    <xf numFmtId="0" fontId="2" fillId="2" borderId="3" xfId="0" applyFont="1" applyFill="1" applyBorder="1" applyAlignment="1">
      <alignment horizontal="center" wrapText="1"/>
    </xf>
    <xf numFmtId="0" fontId="2" fillId="2" borderId="4" xfId="0" applyFont="1" applyFill="1" applyBorder="1" applyAlignment="1">
      <alignment horizontal="center" wrapText="1"/>
    </xf>
    <xf numFmtId="0" fontId="41" fillId="2" borderId="0" xfId="0" applyFont="1" applyFill="1" applyBorder="1" applyAlignment="1" applyProtection="1">
      <alignment horizontal="center" vertical="center"/>
      <protection hidden="1"/>
    </xf>
    <xf numFmtId="0" fontId="2" fillId="0" borderId="0" xfId="0" applyFont="1" applyFill="1" applyAlignment="1">
      <alignment vertical="center"/>
    </xf>
    <xf numFmtId="0" fontId="2" fillId="0" borderId="12" xfId="0" applyFont="1" applyBorder="1" applyAlignment="1">
      <alignment vertical="center"/>
    </xf>
    <xf numFmtId="165" fontId="3" fillId="4" borderId="1" xfId="0" applyNumberFormat="1" applyFont="1" applyFill="1" applyBorder="1" applyAlignment="1">
      <alignment vertical="center"/>
    </xf>
    <xf numFmtId="0" fontId="2" fillId="4" borderId="6" xfId="0" applyFont="1" applyFill="1" applyBorder="1" applyAlignment="1" applyProtection="1">
      <alignment vertical="center"/>
      <protection hidden="1"/>
    </xf>
    <xf numFmtId="0" fontId="0" fillId="4" borderId="25" xfId="0" applyFill="1" applyBorder="1" applyAlignment="1">
      <alignment vertical="center"/>
    </xf>
    <xf numFmtId="2" fontId="30" fillId="4" borderId="0" xfId="0" applyNumberFormat="1" applyFont="1" applyFill="1" applyBorder="1" applyAlignment="1">
      <alignment horizontal="center" vertical="center" wrapText="1"/>
    </xf>
    <xf numFmtId="2" fontId="30" fillId="4" borderId="17" xfId="0" applyNumberFormat="1" applyFont="1" applyFill="1" applyBorder="1" applyAlignment="1">
      <alignment horizontal="center" vertical="center" wrapText="1"/>
    </xf>
    <xf numFmtId="2" fontId="30" fillId="4" borderId="80" xfId="0" applyNumberFormat="1" applyFont="1" applyFill="1" applyBorder="1" applyAlignment="1">
      <alignment horizontal="center" vertical="center" wrapText="1"/>
    </xf>
    <xf numFmtId="2" fontId="30" fillId="4" borderId="42" xfId="0" applyNumberFormat="1" applyFont="1" applyFill="1" applyBorder="1" applyAlignment="1">
      <alignment horizontal="center" vertical="center" wrapText="1"/>
    </xf>
    <xf numFmtId="0" fontId="30" fillId="4" borderId="1" xfId="0" applyFont="1" applyFill="1" applyBorder="1" applyAlignment="1">
      <alignment horizontal="center" vertical="center" wrapText="1"/>
    </xf>
    <xf numFmtId="0" fontId="2" fillId="4" borderId="0" xfId="0" applyFont="1" applyFill="1" applyAlignment="1">
      <alignment vertical="center"/>
    </xf>
    <xf numFmtId="0" fontId="0" fillId="4" borderId="0" xfId="0" applyFill="1" applyBorder="1" applyAlignment="1">
      <alignment vertical="center"/>
    </xf>
    <xf numFmtId="17" fontId="4" fillId="0" borderId="9" xfId="0" applyNumberFormat="1" applyFont="1" applyBorder="1" applyAlignment="1">
      <alignment horizontal="center" vertical="center"/>
    </xf>
    <xf numFmtId="0" fontId="10" fillId="0" borderId="0" xfId="3" applyFill="1" applyBorder="1" applyAlignment="1" applyProtection="1">
      <alignment horizontal="left" vertical="center"/>
    </xf>
    <xf numFmtId="169" fontId="29" fillId="0" borderId="9" xfId="0" applyNumberFormat="1" applyFont="1" applyFill="1" applyBorder="1" applyAlignment="1">
      <alignment horizontal="center" wrapText="1"/>
    </xf>
    <xf numFmtId="169" fontId="29" fillId="0" borderId="1" xfId="0" applyNumberFormat="1" applyFont="1" applyFill="1" applyBorder="1" applyAlignment="1">
      <alignment horizontal="center" wrapText="1"/>
    </xf>
    <xf numFmtId="169" fontId="29" fillId="0" borderId="21" xfId="0" applyNumberFormat="1" applyFont="1" applyFill="1" applyBorder="1" applyAlignment="1">
      <alignment horizontal="center" wrapText="1"/>
    </xf>
    <xf numFmtId="169" fontId="3" fillId="0" borderId="0" xfId="0" applyNumberFormat="1" applyFont="1" applyFill="1" applyBorder="1" applyAlignment="1">
      <alignment horizontal="center"/>
    </xf>
    <xf numFmtId="169" fontId="3" fillId="0" borderId="9" xfId="0" applyNumberFormat="1" applyFont="1" applyFill="1" applyBorder="1" applyAlignment="1">
      <alignment horizontal="center" wrapText="1"/>
    </xf>
    <xf numFmtId="166" fontId="3" fillId="0" borderId="21" xfId="0" applyNumberFormat="1" applyFont="1" applyFill="1" applyBorder="1" applyAlignment="1">
      <alignment horizontal="center" vertical="center" wrapText="1"/>
    </xf>
    <xf numFmtId="166" fontId="3" fillId="0" borderId="9" xfId="0" applyNumberFormat="1" applyFont="1" applyFill="1" applyBorder="1" applyAlignment="1">
      <alignment horizontal="center" vertical="center" wrapText="1"/>
    </xf>
    <xf numFmtId="166" fontId="3" fillId="0" borderId="5" xfId="0" applyNumberFormat="1" applyFont="1" applyFill="1" applyBorder="1" applyAlignment="1">
      <alignment horizontal="center" vertical="center" wrapText="1"/>
    </xf>
    <xf numFmtId="166" fontId="6" fillId="0" borderId="12" xfId="0" applyNumberFormat="1" applyFont="1" applyFill="1" applyBorder="1" applyAlignment="1">
      <alignment horizontal="center" vertical="center" wrapText="1"/>
    </xf>
    <xf numFmtId="166" fontId="6" fillId="0" borderId="0" xfId="0" applyNumberFormat="1" applyFont="1" applyFill="1" applyBorder="1" applyAlignment="1">
      <alignment horizontal="center" vertical="center" wrapText="1"/>
    </xf>
    <xf numFmtId="168" fontId="6" fillId="0" borderId="15" xfId="0" applyNumberFormat="1" applyFont="1" applyFill="1" applyBorder="1" applyAlignment="1">
      <alignment horizontal="center" vertical="center"/>
    </xf>
    <xf numFmtId="168" fontId="6" fillId="0" borderId="1" xfId="0" applyNumberFormat="1" applyFont="1" applyFill="1" applyBorder="1" applyAlignment="1">
      <alignment horizontal="center" vertical="center"/>
    </xf>
    <xf numFmtId="168" fontId="6" fillId="0" borderId="4" xfId="0" applyNumberFormat="1" applyFont="1" applyFill="1" applyBorder="1" applyAlignment="1">
      <alignment horizontal="center" vertical="center"/>
    </xf>
    <xf numFmtId="15" fontId="3" fillId="4" borderId="9" xfId="0" applyNumberFormat="1" applyFont="1" applyFill="1" applyBorder="1" applyAlignment="1">
      <alignment horizontal="center" vertical="center"/>
    </xf>
    <xf numFmtId="0" fontId="2" fillId="0" borderId="0" xfId="0" applyFont="1" applyFill="1" applyBorder="1" applyAlignment="1">
      <alignment horizontal="center" vertical="center"/>
    </xf>
    <xf numFmtId="2" fontId="72" fillId="0" borderId="6" xfId="0" applyNumberFormat="1" applyFont="1" applyFill="1" applyBorder="1" applyAlignment="1">
      <alignment horizontal="center" vertical="center" wrapText="1"/>
    </xf>
    <xf numFmtId="2" fontId="72" fillId="0" borderId="0" xfId="0" applyNumberFormat="1" applyFont="1" applyFill="1" applyBorder="1" applyAlignment="1">
      <alignment horizontal="center" vertical="center" wrapText="1"/>
    </xf>
    <xf numFmtId="2" fontId="72" fillId="0" borderId="1" xfId="0" applyNumberFormat="1"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11" xfId="0" applyFont="1" applyFill="1" applyBorder="1" applyAlignment="1">
      <alignment horizontal="center" vertical="center"/>
    </xf>
    <xf numFmtId="0" fontId="5" fillId="2" borderId="1" xfId="0" applyFont="1" applyFill="1" applyBorder="1" applyAlignment="1">
      <alignment horizontal="center" vertical="center"/>
    </xf>
    <xf numFmtId="2" fontId="6" fillId="1" borderId="6" xfId="0" applyNumberFormat="1" applyFont="1" applyFill="1" applyBorder="1" applyAlignment="1">
      <alignment horizontal="center" vertical="center" wrapText="1"/>
    </xf>
    <xf numFmtId="2" fontId="6" fillId="1" borderId="0" xfId="0" applyNumberFormat="1" applyFont="1" applyFill="1" applyBorder="1" applyAlignment="1">
      <alignment horizontal="center" vertical="center" wrapText="1"/>
    </xf>
    <xf numFmtId="2" fontId="6" fillId="1" borderId="1" xfId="0" applyNumberFormat="1" applyFont="1" applyFill="1" applyBorder="1" applyAlignment="1">
      <alignment horizontal="center" vertical="center" wrapText="1"/>
    </xf>
    <xf numFmtId="2" fontId="6" fillId="1" borderId="2" xfId="0" applyNumberFormat="1" applyFont="1" applyFill="1" applyBorder="1" applyAlignment="1">
      <alignment horizontal="center" vertical="center" wrapText="1"/>
    </xf>
    <xf numFmtId="2" fontId="6" fillId="1" borderId="3" xfId="0" applyNumberFormat="1" applyFont="1" applyFill="1" applyBorder="1" applyAlignment="1">
      <alignment horizontal="center" vertical="center" wrapText="1"/>
    </xf>
    <xf numFmtId="2" fontId="6" fillId="1" borderId="4" xfId="0" applyNumberFormat="1" applyFont="1" applyFill="1" applyBorder="1" applyAlignment="1">
      <alignment horizontal="center" vertical="center" wrapText="1"/>
    </xf>
    <xf numFmtId="2" fontId="2" fillId="0" borderId="6" xfId="0" applyNumberFormat="1" applyFont="1" applyFill="1" applyBorder="1" applyAlignment="1">
      <alignment horizontal="center" vertical="center" wrapText="1"/>
    </xf>
    <xf numFmtId="2" fontId="2" fillId="0" borderId="0" xfId="0" applyNumberFormat="1" applyFont="1" applyFill="1" applyBorder="1" applyAlignment="1">
      <alignment horizontal="center" vertical="center" wrapText="1"/>
    </xf>
    <xf numFmtId="2" fontId="2" fillId="0" borderId="1" xfId="0" applyNumberFormat="1" applyFont="1" applyFill="1" applyBorder="1" applyAlignment="1">
      <alignment horizontal="center" vertical="center" wrapText="1"/>
    </xf>
    <xf numFmtId="2" fontId="3" fillId="1" borderId="0" xfId="0" applyNumberFormat="1" applyFont="1" applyFill="1" applyAlignment="1">
      <alignment horizontal="center" vertical="center"/>
    </xf>
    <xf numFmtId="2" fontId="2" fillId="1" borderId="6" xfId="0" applyNumberFormat="1" applyFont="1" applyFill="1" applyBorder="1" applyAlignment="1">
      <alignment horizontal="center" vertical="center" wrapText="1"/>
    </xf>
    <xf numFmtId="2" fontId="2" fillId="1" borderId="0" xfId="0" applyNumberFormat="1" applyFont="1" applyFill="1" applyBorder="1" applyAlignment="1">
      <alignment horizontal="center" vertical="center" wrapText="1"/>
    </xf>
    <xf numFmtId="2" fontId="2" fillId="1" borderId="1" xfId="0" applyNumberFormat="1" applyFont="1" applyFill="1" applyBorder="1" applyAlignment="1">
      <alignment horizontal="center" vertical="center" wrapText="1"/>
    </xf>
    <xf numFmtId="2" fontId="3" fillId="0" borderId="0" xfId="0" applyNumberFormat="1" applyFont="1" applyFill="1" applyBorder="1" applyAlignment="1">
      <alignment horizontal="center"/>
    </xf>
    <xf numFmtId="0" fontId="2" fillId="0" borderId="2" xfId="0" applyFont="1" applyFill="1" applyBorder="1" applyAlignment="1">
      <alignment horizontal="left" vertical="center"/>
    </xf>
    <xf numFmtId="0" fontId="2" fillId="2" borderId="12" xfId="0" applyFont="1" applyFill="1" applyBorder="1" applyAlignment="1">
      <alignment horizontal="center" vertical="center"/>
    </xf>
    <xf numFmtId="0" fontId="4" fillId="7" borderId="124" xfId="3" applyFont="1" applyFill="1" applyBorder="1" applyAlignment="1" applyProtection="1">
      <alignment horizontal="center" vertical="center"/>
      <protection locked="0"/>
    </xf>
    <xf numFmtId="0" fontId="4" fillId="7" borderId="123" xfId="3" applyFont="1" applyFill="1" applyBorder="1" applyAlignment="1" applyProtection="1">
      <alignment horizontal="center" vertical="center"/>
      <protection locked="0"/>
    </xf>
    <xf numFmtId="2" fontId="2" fillId="0" borderId="1" xfId="0" applyNumberFormat="1" applyFont="1" applyFill="1" applyBorder="1" applyAlignment="1">
      <alignment horizontal="center" vertical="center"/>
    </xf>
    <xf numFmtId="2" fontId="2" fillId="0" borderId="4" xfId="0" applyNumberFormat="1" applyFont="1" applyFill="1" applyBorder="1" applyAlignment="1">
      <alignment horizontal="center" vertical="center"/>
    </xf>
    <xf numFmtId="0" fontId="5" fillId="2" borderId="12" xfId="0" applyFont="1" applyFill="1" applyBorder="1" applyAlignment="1">
      <alignment horizontal="center" vertical="center"/>
    </xf>
    <xf numFmtId="171" fontId="6" fillId="0" borderId="1" xfId="0" applyNumberFormat="1" applyFont="1" applyFill="1" applyBorder="1" applyAlignment="1">
      <alignment horizontal="center" vertical="center" wrapText="1"/>
    </xf>
    <xf numFmtId="0" fontId="2" fillId="0" borderId="6" xfId="0" applyFont="1" applyBorder="1" applyAlignment="1">
      <alignment horizontal="left" vertical="center"/>
    </xf>
    <xf numFmtId="0" fontId="2" fillId="0" borderId="2" xfId="0" applyFont="1" applyBorder="1" applyAlignment="1">
      <alignment horizontal="left" vertical="center"/>
    </xf>
    <xf numFmtId="0" fontId="0" fillId="7" borderId="135" xfId="0" applyFill="1" applyBorder="1" applyAlignment="1">
      <alignment vertical="center"/>
    </xf>
    <xf numFmtId="0" fontId="0" fillId="7" borderId="147" xfId="0" applyFill="1" applyBorder="1" applyAlignment="1">
      <alignment vertical="center"/>
    </xf>
    <xf numFmtId="0" fontId="0" fillId="7" borderId="146" xfId="0" applyFill="1" applyBorder="1" applyAlignment="1">
      <alignment vertical="center"/>
    </xf>
    <xf numFmtId="0" fontId="2" fillId="0" borderId="0" xfId="0" quotePrefix="1" applyFont="1" applyFill="1" applyAlignment="1">
      <alignment vertical="center"/>
    </xf>
    <xf numFmtId="3" fontId="29" fillId="0" borderId="0" xfId="5" applyNumberFormat="1" applyFont="1" applyFill="1" applyBorder="1" applyAlignment="1">
      <alignment horizontal="right" vertical="center" wrapText="1"/>
    </xf>
    <xf numFmtId="0" fontId="6" fillId="2" borderId="7" xfId="0" applyFont="1" applyFill="1" applyBorder="1" applyAlignment="1">
      <alignment horizontal="center" vertical="center" wrapText="1"/>
    </xf>
    <xf numFmtId="0" fontId="71" fillId="3" borderId="10" xfId="0" applyFont="1" applyFill="1" applyBorder="1" applyAlignment="1">
      <alignment vertical="center"/>
    </xf>
    <xf numFmtId="0" fontId="10" fillId="0" borderId="0" xfId="3" applyFill="1" applyBorder="1" applyAlignment="1" applyProtection="1">
      <alignment vertical="center"/>
    </xf>
    <xf numFmtId="0" fontId="3" fillId="2" borderId="199" xfId="0" applyFont="1" applyFill="1" applyBorder="1" applyAlignment="1">
      <alignment vertical="center"/>
    </xf>
    <xf numFmtId="0" fontId="4" fillId="2" borderId="149"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xf>
    <xf numFmtId="0" fontId="71" fillId="3" borderId="7" xfId="0" applyFont="1" applyFill="1" applyBorder="1" applyAlignment="1">
      <alignment vertical="center"/>
    </xf>
    <xf numFmtId="0" fontId="4" fillId="2" borderId="12" xfId="0" applyFont="1" applyFill="1" applyBorder="1" applyAlignment="1">
      <alignment horizontal="right" vertical="center"/>
    </xf>
    <xf numFmtId="0" fontId="4" fillId="2" borderId="0" xfId="0" applyFont="1" applyFill="1" applyBorder="1" applyAlignment="1">
      <alignment horizontal="right" vertical="center"/>
    </xf>
    <xf numFmtId="0" fontId="2" fillId="0" borderId="0" xfId="0" applyFont="1" applyBorder="1" applyAlignment="1">
      <alignment horizontal="right" vertical="center"/>
    </xf>
    <xf numFmtId="9" fontId="2" fillId="0" borderId="0" xfId="0" applyNumberFormat="1" applyFont="1" applyBorder="1" applyAlignment="1">
      <alignment vertical="center"/>
    </xf>
    <xf numFmtId="0" fontId="2" fillId="0" borderId="3" xfId="0" applyFont="1" applyFill="1" applyBorder="1" applyAlignment="1">
      <alignment horizontal="center"/>
    </xf>
    <xf numFmtId="0" fontId="2" fillId="0" borderId="0" xfId="0" applyFont="1" applyFill="1" applyBorder="1" applyAlignment="1">
      <alignment vertical="center" wrapText="1"/>
    </xf>
    <xf numFmtId="0" fontId="2" fillId="0" borderId="2" xfId="0" applyFont="1" applyFill="1" applyBorder="1" applyAlignment="1">
      <alignment vertical="center"/>
    </xf>
    <xf numFmtId="0" fontId="4" fillId="0" borderId="0" xfId="0" applyFont="1"/>
    <xf numFmtId="0" fontId="73" fillId="0" borderId="0" xfId="0" applyFont="1" applyFill="1" applyBorder="1" applyAlignment="1">
      <alignment vertical="center"/>
    </xf>
    <xf numFmtId="0" fontId="74" fillId="0" borderId="0" xfId="0" applyFont="1" applyFill="1" applyBorder="1" applyAlignment="1">
      <alignment vertical="center"/>
    </xf>
    <xf numFmtId="171" fontId="2" fillId="0" borderId="140" xfId="0" applyNumberFormat="1" applyFont="1" applyFill="1" applyBorder="1" applyAlignment="1">
      <alignment horizontal="center" vertical="center" wrapText="1"/>
    </xf>
    <xf numFmtId="171" fontId="2" fillId="0" borderId="0" xfId="0" applyNumberFormat="1" applyFont="1" applyFill="1" applyBorder="1" applyAlignment="1">
      <alignment horizontal="center" vertical="center" wrapText="1"/>
    </xf>
    <xf numFmtId="171" fontId="2" fillId="0" borderId="50" xfId="0" applyNumberFormat="1" applyFont="1" applyFill="1" applyBorder="1" applyAlignment="1">
      <alignment horizontal="center" vertical="center" wrapText="1"/>
    </xf>
    <xf numFmtId="0" fontId="2" fillId="0" borderId="15" xfId="0" applyFont="1" applyBorder="1" applyAlignment="1">
      <alignment vertical="center"/>
    </xf>
    <xf numFmtId="0" fontId="75" fillId="0" borderId="6" xfId="0" applyFont="1" applyBorder="1"/>
    <xf numFmtId="0" fontId="2" fillId="0" borderId="3" xfId="0" applyFont="1" applyFill="1" applyBorder="1" applyAlignment="1">
      <alignment vertical="center"/>
    </xf>
    <xf numFmtId="0" fontId="2" fillId="0" borderId="3" xfId="0" applyFont="1" applyFill="1" applyBorder="1" applyAlignment="1">
      <alignment horizontal="centerContinuous" vertical="center"/>
    </xf>
    <xf numFmtId="0" fontId="2" fillId="0" borderId="4" xfId="0" applyFont="1" applyFill="1" applyBorder="1" applyAlignment="1">
      <alignment vertical="center"/>
    </xf>
    <xf numFmtId="0" fontId="2" fillId="0" borderId="3" xfId="0" applyFont="1" applyFill="1" applyBorder="1" applyAlignment="1">
      <alignment horizontal="center" vertical="center"/>
    </xf>
    <xf numFmtId="2" fontId="3" fillId="0" borderId="3" xfId="0" applyNumberFormat="1" applyFont="1" applyFill="1" applyBorder="1" applyAlignment="1">
      <alignment horizontal="center"/>
    </xf>
    <xf numFmtId="0" fontId="5" fillId="2" borderId="200" xfId="0" applyFont="1" applyFill="1" applyBorder="1" applyAlignment="1">
      <alignment horizontal="center" vertical="center" wrapText="1"/>
    </xf>
    <xf numFmtId="0" fontId="2" fillId="0" borderId="0" xfId="0" applyFont="1" applyFill="1" applyBorder="1" applyAlignment="1" applyProtection="1">
      <alignment vertical="center"/>
      <protection locked="0"/>
    </xf>
    <xf numFmtId="17" fontId="4" fillId="0" borderId="9" xfId="0" applyNumberFormat="1" applyFont="1" applyFill="1" applyBorder="1" applyAlignment="1">
      <alignment horizontal="center" vertical="center"/>
    </xf>
    <xf numFmtId="0" fontId="2" fillId="0" borderId="13" xfId="0" applyFont="1" applyFill="1" applyBorder="1" applyAlignment="1">
      <alignment horizontal="centerContinuous" vertical="center"/>
    </xf>
    <xf numFmtId="0" fontId="2" fillId="0" borderId="13" xfId="0" applyFont="1" applyFill="1" applyBorder="1" applyAlignment="1">
      <alignment vertical="center"/>
    </xf>
    <xf numFmtId="0" fontId="2" fillId="0" borderId="0" xfId="0" applyFont="1" applyFill="1" applyAlignment="1">
      <alignment horizontal="centerContinuous" vertical="center"/>
    </xf>
    <xf numFmtId="0" fontId="2" fillId="0" borderId="1" xfId="0" applyFont="1" applyFill="1" applyBorder="1" applyAlignment="1">
      <alignment horizontal="centerContinuous" vertical="center"/>
    </xf>
    <xf numFmtId="0" fontId="2" fillId="0" borderId="1" xfId="0" applyFont="1" applyFill="1" applyBorder="1" applyAlignment="1">
      <alignment vertical="center" wrapText="1"/>
    </xf>
    <xf numFmtId="0" fontId="11" fillId="3" borderId="12" xfId="0" applyFont="1" applyFill="1" applyBorder="1"/>
    <xf numFmtId="0" fontId="11" fillId="3" borderId="12" xfId="0" applyFont="1" applyFill="1" applyBorder="1" applyAlignment="1">
      <alignment horizontal="left"/>
    </xf>
    <xf numFmtId="0" fontId="11" fillId="3" borderId="15" xfId="0" applyFont="1" applyFill="1" applyBorder="1" applyAlignment="1">
      <alignment horizontal="left"/>
    </xf>
    <xf numFmtId="0" fontId="7" fillId="3" borderId="12" xfId="0" applyFont="1" applyFill="1" applyBorder="1" applyAlignment="1">
      <alignment horizontal="left"/>
    </xf>
    <xf numFmtId="0" fontId="11" fillId="3" borderId="3" xfId="0" applyFont="1" applyFill="1" applyBorder="1"/>
    <xf numFmtId="0" fontId="11" fillId="3" borderId="3" xfId="0" applyFont="1" applyFill="1" applyBorder="1" applyAlignment="1">
      <alignment horizontal="left"/>
    </xf>
    <xf numFmtId="0" fontId="11" fillId="3" borderId="3" xfId="0" applyFont="1" applyFill="1" applyBorder="1" applyAlignment="1">
      <alignment horizontal="centerContinuous"/>
    </xf>
    <xf numFmtId="0" fontId="11" fillId="3" borderId="4" xfId="0" applyFont="1" applyFill="1" applyBorder="1" applyAlignment="1">
      <alignment horizontal="centerContinuous"/>
    </xf>
    <xf numFmtId="0" fontId="7" fillId="3" borderId="3" xfId="0" applyFont="1" applyFill="1" applyBorder="1" applyAlignment="1">
      <alignment horizontal="left"/>
    </xf>
    <xf numFmtId="0" fontId="4" fillId="2" borderId="12" xfId="0" applyFont="1" applyFill="1" applyBorder="1" applyAlignment="1">
      <alignment horizontal="centerContinuous" vertical="top"/>
    </xf>
    <xf numFmtId="0" fontId="4" fillId="2" borderId="15" xfId="0" applyFont="1" applyFill="1" applyBorder="1" applyAlignment="1">
      <alignment horizontal="centerContinuous" vertical="top"/>
    </xf>
    <xf numFmtId="0" fontId="4" fillId="2" borderId="15" xfId="0" applyFont="1" applyFill="1" applyBorder="1" applyAlignment="1">
      <alignment horizontal="center" vertical="top"/>
    </xf>
    <xf numFmtId="0" fontId="4" fillId="2" borderId="0" xfId="0" applyFont="1" applyFill="1" applyBorder="1" applyAlignment="1">
      <alignment horizontal="centerContinuous" vertical="top"/>
    </xf>
    <xf numFmtId="0" fontId="4" fillId="2" borderId="1" xfId="0" applyFont="1" applyFill="1" applyBorder="1" applyAlignment="1">
      <alignment horizontal="centerContinuous" vertical="top"/>
    </xf>
    <xf numFmtId="0" fontId="2" fillId="2" borderId="1" xfId="0" applyFont="1" applyFill="1" applyBorder="1" applyAlignment="1">
      <alignment horizontal="center" vertical="top"/>
    </xf>
    <xf numFmtId="0" fontId="2" fillId="2" borderId="1" xfId="0" applyFont="1" applyFill="1" applyBorder="1" applyAlignment="1">
      <alignment horizontal="center" vertical="center"/>
    </xf>
    <xf numFmtId="0" fontId="2" fillId="2" borderId="2" xfId="0" applyFont="1" applyFill="1" applyBorder="1"/>
    <xf numFmtId="0" fontId="2" fillId="2" borderId="4" xfId="0" applyFont="1" applyFill="1" applyBorder="1" applyAlignment="1">
      <alignment horizontal="center"/>
    </xf>
    <xf numFmtId="0" fontId="2" fillId="0" borderId="1" xfId="0" applyFont="1" applyFill="1" applyBorder="1" applyAlignment="1">
      <alignment horizontal="center"/>
    </xf>
    <xf numFmtId="181" fontId="29" fillId="0" borderId="11" xfId="0" applyNumberFormat="1" applyFont="1" applyFill="1" applyBorder="1" applyAlignment="1">
      <alignment horizontal="center" vertical="top" wrapText="1"/>
    </xf>
    <xf numFmtId="181" fontId="29" fillId="0" borderId="12" xfId="0" applyNumberFormat="1" applyFont="1" applyFill="1" applyBorder="1" applyAlignment="1">
      <alignment horizontal="center" vertical="top" wrapText="1"/>
    </xf>
    <xf numFmtId="181" fontId="29" fillId="0" borderId="15" xfId="0" applyNumberFormat="1" applyFont="1" applyFill="1" applyBorder="1" applyAlignment="1">
      <alignment horizontal="center" vertical="top" wrapText="1"/>
    </xf>
    <xf numFmtId="0" fontId="2" fillId="0" borderId="11" xfId="0" applyFont="1" applyFill="1" applyBorder="1" applyAlignment="1">
      <alignment horizontal="center"/>
    </xf>
    <xf numFmtId="2" fontId="29" fillId="0" borderId="12" xfId="0" applyNumberFormat="1" applyFont="1" applyFill="1" applyBorder="1" applyAlignment="1">
      <alignment horizontal="right"/>
    </xf>
    <xf numFmtId="171" fontId="29" fillId="0" borderId="12" xfId="0" applyNumberFormat="1" applyFont="1" applyFill="1" applyBorder="1" applyAlignment="1">
      <alignment horizontal="center"/>
    </xf>
    <xf numFmtId="0" fontId="2" fillId="0" borderId="15" xfId="0" applyFont="1" applyFill="1" applyBorder="1" applyAlignment="1">
      <alignment vertical="center"/>
    </xf>
    <xf numFmtId="0" fontId="29" fillId="0" borderId="0" xfId="0" applyFont="1" applyFill="1" applyBorder="1" applyAlignment="1">
      <alignment horizontal="right" vertical="center"/>
    </xf>
    <xf numFmtId="0" fontId="29" fillId="0" borderId="1" xfId="0" applyFont="1" applyFill="1" applyBorder="1" applyAlignment="1">
      <alignment horizontal="right" vertical="top" wrapText="1"/>
    </xf>
    <xf numFmtId="181" fontId="29" fillId="0" borderId="6" xfId="0" applyNumberFormat="1" applyFont="1" applyFill="1" applyBorder="1" applyAlignment="1">
      <alignment horizontal="center" vertical="top" wrapText="1"/>
    </xf>
    <xf numFmtId="181" fontId="29" fillId="0" borderId="0" xfId="0" applyNumberFormat="1" applyFont="1" applyFill="1" applyBorder="1" applyAlignment="1">
      <alignment horizontal="center" vertical="top" wrapText="1"/>
    </xf>
    <xf numFmtId="181" fontId="29" fillId="0" borderId="1" xfId="0" applyNumberFormat="1" applyFont="1" applyFill="1" applyBorder="1" applyAlignment="1">
      <alignment horizontal="center" vertical="top" wrapText="1"/>
    </xf>
    <xf numFmtId="181" fontId="2" fillId="0" borderId="6" xfId="0" applyNumberFormat="1" applyFont="1" applyFill="1" applyBorder="1" applyAlignment="1">
      <alignment horizontal="center" vertical="top" wrapText="1"/>
    </xf>
    <xf numFmtId="181" fontId="2" fillId="0" borderId="0" xfId="0" applyNumberFormat="1" applyFont="1" applyFill="1" applyBorder="1" applyAlignment="1">
      <alignment horizontal="center" vertical="top" wrapText="1"/>
    </xf>
    <xf numFmtId="181" fontId="2" fillId="0" borderId="1" xfId="0" applyNumberFormat="1" applyFont="1" applyFill="1" applyBorder="1" applyAlignment="1">
      <alignment horizontal="center" vertical="top" wrapText="1"/>
    </xf>
    <xf numFmtId="181" fontId="29" fillId="0" borderId="6" xfId="0" applyNumberFormat="1" applyFont="1" applyFill="1" applyBorder="1" applyAlignment="1">
      <alignment horizontal="center" wrapText="1"/>
    </xf>
    <xf numFmtId="181" fontId="29" fillId="0" borderId="0" xfId="0" applyNumberFormat="1" applyFont="1" applyFill="1" applyBorder="1" applyAlignment="1">
      <alignment horizontal="center" wrapText="1"/>
    </xf>
    <xf numFmtId="181" fontId="29" fillId="0" borderId="1" xfId="0" applyNumberFormat="1" applyFont="1" applyFill="1" applyBorder="1" applyAlignment="1">
      <alignment horizontal="center" wrapText="1"/>
    </xf>
    <xf numFmtId="181" fontId="2" fillId="0" borderId="6" xfId="0" applyNumberFormat="1" applyFont="1" applyFill="1" applyBorder="1" applyAlignment="1">
      <alignment horizontal="center"/>
    </xf>
    <xf numFmtId="181" fontId="2" fillId="0" borderId="0" xfId="0" applyNumberFormat="1" applyFont="1" applyFill="1" applyBorder="1" applyAlignment="1">
      <alignment horizontal="center"/>
    </xf>
    <xf numFmtId="181" fontId="2" fillId="0" borderId="1" xfId="0" applyNumberFormat="1" applyFont="1" applyFill="1" applyBorder="1" applyAlignment="1">
      <alignment horizontal="center"/>
    </xf>
    <xf numFmtId="0" fontId="6" fillId="0" borderId="6" xfId="0" applyFont="1" applyFill="1" applyBorder="1" applyAlignment="1">
      <alignment horizontal="center" vertical="top" wrapText="1"/>
    </xf>
    <xf numFmtId="181" fontId="29" fillId="0" borderId="2" xfId="0" applyNumberFormat="1" applyFont="1" applyFill="1" applyBorder="1" applyAlignment="1">
      <alignment horizontal="center" vertical="top" wrapText="1"/>
    </xf>
    <xf numFmtId="181" fontId="2" fillId="0" borderId="2" xfId="0" applyNumberFormat="1" applyFont="1" applyFill="1" applyBorder="1" applyAlignment="1">
      <alignment horizontal="center" vertical="top" wrapText="1"/>
    </xf>
    <xf numFmtId="181" fontId="2" fillId="0" borderId="3" xfId="0" applyNumberFormat="1" applyFont="1" applyFill="1" applyBorder="1" applyAlignment="1">
      <alignment horizontal="center" vertical="top" wrapText="1"/>
    </xf>
    <xf numFmtId="181" fontId="2" fillId="0" borderId="4" xfId="0" applyNumberFormat="1" applyFont="1" applyFill="1" applyBorder="1" applyAlignment="1">
      <alignment horizontal="center" vertical="top" wrapText="1"/>
    </xf>
    <xf numFmtId="0" fontId="29" fillId="0" borderId="4" xfId="0" applyFont="1" applyFill="1" applyBorder="1" applyAlignment="1">
      <alignment horizontal="right" vertical="top" wrapText="1"/>
    </xf>
    <xf numFmtId="0" fontId="2" fillId="0" borderId="0" xfId="0" applyFont="1" applyFill="1" applyAlignment="1">
      <alignment vertical="center" wrapText="1"/>
    </xf>
    <xf numFmtId="0" fontId="2" fillId="0" borderId="0" xfId="0" applyFont="1" applyFill="1" applyBorder="1" applyAlignment="1" applyProtection="1">
      <alignment horizontal="left" vertical="center"/>
    </xf>
    <xf numFmtId="0" fontId="2" fillId="0" borderId="0" xfId="0" quotePrefix="1" applyFont="1" applyFill="1" applyAlignment="1">
      <alignment horizontal="centerContinuous" vertical="center"/>
    </xf>
    <xf numFmtId="0" fontId="2" fillId="0" borderId="0" xfId="0" applyFont="1" applyFill="1" applyAlignment="1" applyProtection="1">
      <alignment vertical="center"/>
      <protection locked="0"/>
    </xf>
    <xf numFmtId="0" fontId="2" fillId="0" borderId="0" xfId="0" applyFont="1" applyFill="1" applyAlignment="1" applyProtection="1">
      <alignment horizontal="centerContinuous" vertical="center"/>
      <protection locked="0"/>
    </xf>
    <xf numFmtId="0" fontId="11" fillId="3" borderId="12" xfId="0" applyFont="1" applyFill="1" applyBorder="1" applyAlignment="1">
      <alignment horizontal="centerContinuous"/>
    </xf>
    <xf numFmtId="0" fontId="71" fillId="3" borderId="11" xfId="0" applyFont="1" applyFill="1" applyBorder="1" applyAlignment="1">
      <alignment horizontal="left"/>
    </xf>
    <xf numFmtId="0" fontId="2" fillId="3" borderId="12" xfId="0" applyFont="1" applyFill="1" applyBorder="1" applyAlignment="1">
      <alignment horizontal="left"/>
    </xf>
    <xf numFmtId="0" fontId="2" fillId="3" borderId="15" xfId="0" applyFont="1" applyFill="1" applyBorder="1" applyAlignment="1">
      <alignment horizontal="left"/>
    </xf>
    <xf numFmtId="0" fontId="71" fillId="3" borderId="2" xfId="0" applyFont="1" applyFill="1" applyBorder="1" applyAlignment="1">
      <alignment horizontal="left"/>
    </xf>
    <xf numFmtId="0" fontId="2" fillId="3" borderId="3" xfId="0" applyFont="1" applyFill="1" applyBorder="1" applyAlignment="1">
      <alignment horizontal="centerContinuous"/>
    </xf>
    <xf numFmtId="0" fontId="2" fillId="3" borderId="4" xfId="0" applyFont="1" applyFill="1" applyBorder="1" applyAlignment="1">
      <alignment horizontal="centerContinuous"/>
    </xf>
    <xf numFmtId="0" fontId="2" fillId="2" borderId="3" xfId="0" applyFont="1" applyFill="1" applyBorder="1" applyAlignment="1">
      <alignment horizontal="center"/>
    </xf>
    <xf numFmtId="0" fontId="2" fillId="0" borderId="6" xfId="0" applyFont="1" applyFill="1" applyBorder="1" applyAlignment="1">
      <alignment horizontal="right" vertical="top" wrapText="1"/>
    </xf>
    <xf numFmtId="0" fontId="2" fillId="0" borderId="0" xfId="0" applyFont="1" applyFill="1" applyBorder="1" applyAlignment="1">
      <alignment horizontal="right" vertical="top" wrapText="1"/>
    </xf>
    <xf numFmtId="2" fontId="2" fillId="0" borderId="12" xfId="0" applyNumberFormat="1" applyFont="1" applyFill="1" applyBorder="1" applyAlignment="1">
      <alignment horizontal="right"/>
    </xf>
    <xf numFmtId="171" fontId="2" fillId="0" borderId="12" xfId="0" applyNumberFormat="1" applyFont="1" applyFill="1" applyBorder="1" applyAlignment="1">
      <alignment horizontal="center"/>
    </xf>
    <xf numFmtId="0" fontId="2" fillId="0" borderId="12" xfId="0" applyFont="1" applyFill="1" applyBorder="1" applyAlignment="1">
      <alignment vertical="center"/>
    </xf>
    <xf numFmtId="0" fontId="2" fillId="0" borderId="0" xfId="0" applyFont="1" applyFill="1" applyBorder="1" applyAlignment="1">
      <alignment horizontal="right" vertical="center"/>
    </xf>
    <xf numFmtId="0" fontId="2" fillId="0" borderId="1" xfId="0" applyFont="1" applyFill="1" applyBorder="1" applyAlignment="1">
      <alignment horizontal="right" vertical="top" wrapText="1"/>
    </xf>
    <xf numFmtId="0" fontId="2" fillId="0" borderId="0" xfId="0" applyFont="1" applyFill="1" applyBorder="1" applyAlignment="1">
      <alignment horizontal="center" vertical="top" wrapText="1"/>
    </xf>
    <xf numFmtId="0" fontId="2" fillId="0" borderId="3" xfId="0" applyFont="1" applyFill="1" applyBorder="1" applyAlignment="1">
      <alignment horizontal="center" vertical="top" wrapText="1"/>
    </xf>
    <xf numFmtId="0" fontId="2" fillId="0" borderId="2" xfId="0" applyFont="1" applyFill="1" applyBorder="1" applyAlignment="1">
      <alignment horizontal="right" vertical="top" wrapText="1"/>
    </xf>
    <xf numFmtId="0" fontId="2" fillId="0" borderId="4" xfId="0" applyFont="1" applyFill="1" applyBorder="1" applyAlignment="1">
      <alignment horizontal="right" vertical="top" wrapText="1"/>
    </xf>
    <xf numFmtId="0" fontId="2" fillId="0" borderId="0" xfId="0" applyFont="1" applyFill="1" applyAlignment="1">
      <alignment vertical="top"/>
    </xf>
    <xf numFmtId="0" fontId="2" fillId="0" borderId="6" xfId="0" applyFont="1" applyFill="1" applyBorder="1" applyAlignment="1"/>
    <xf numFmtId="0" fontId="2" fillId="0" borderId="6" xfId="0" applyFont="1" applyFill="1" applyBorder="1" applyAlignment="1">
      <alignment vertical="top"/>
    </xf>
    <xf numFmtId="0" fontId="2" fillId="0" borderId="0" xfId="0" applyFont="1" applyFill="1" applyAlignment="1">
      <alignment horizontal="left" vertical="center"/>
    </xf>
    <xf numFmtId="0" fontId="2" fillId="0" borderId="0" xfId="0" applyFont="1" applyBorder="1" applyAlignment="1">
      <alignment horizontal="left" vertical="center"/>
    </xf>
    <xf numFmtId="10" fontId="2" fillId="0" borderId="0" xfId="0" applyNumberFormat="1" applyFont="1" applyFill="1" applyAlignment="1">
      <alignment vertical="center"/>
    </xf>
    <xf numFmtId="2" fontId="2" fillId="0" borderId="0" xfId="0" applyNumberFormat="1" applyFont="1" applyFill="1" applyBorder="1" applyAlignment="1">
      <alignment vertical="center"/>
    </xf>
    <xf numFmtId="0" fontId="2" fillId="3" borderId="7" xfId="0" applyFont="1" applyFill="1" applyBorder="1" applyAlignment="1">
      <alignment vertical="center"/>
    </xf>
    <xf numFmtId="0" fontId="2" fillId="3" borderId="8" xfId="0" applyFont="1" applyFill="1" applyBorder="1" applyAlignment="1">
      <alignment vertical="center"/>
    </xf>
    <xf numFmtId="0" fontId="2" fillId="3" borderId="10" xfId="0" applyFont="1" applyFill="1" applyBorder="1" applyAlignment="1">
      <alignment vertical="center"/>
    </xf>
    <xf numFmtId="0" fontId="2" fillId="3" borderId="14" xfId="0" applyFont="1" applyFill="1" applyBorder="1" applyAlignment="1">
      <alignment vertical="center"/>
    </xf>
    <xf numFmtId="0" fontId="2" fillId="2" borderId="15" xfId="0" applyFont="1" applyFill="1" applyBorder="1" applyAlignment="1">
      <alignment horizontal="centerContinuous" vertical="center"/>
    </xf>
    <xf numFmtId="0" fontId="2" fillId="2" borderId="15" xfId="0" applyFont="1" applyFill="1" applyBorder="1" applyAlignment="1">
      <alignment horizontal="center" vertical="center"/>
    </xf>
    <xf numFmtId="0" fontId="2" fillId="2" borderId="21" xfId="0" applyFont="1" applyFill="1" applyBorder="1" applyAlignment="1">
      <alignment horizontal="center" vertical="center"/>
    </xf>
    <xf numFmtId="9" fontId="2" fillId="2" borderId="12" xfId="0" applyNumberFormat="1" applyFont="1" applyFill="1" applyBorder="1" applyAlignment="1">
      <alignment horizontal="center" vertical="center"/>
    </xf>
    <xf numFmtId="0" fontId="2" fillId="2" borderId="6" xfId="0" applyFont="1" applyFill="1" applyBorder="1" applyAlignment="1">
      <alignment vertical="center"/>
    </xf>
    <xf numFmtId="0" fontId="2" fillId="2" borderId="1" xfId="0" applyFont="1" applyFill="1" applyBorder="1" applyAlignment="1">
      <alignment vertical="center"/>
    </xf>
    <xf numFmtId="0" fontId="2" fillId="2" borderId="6" xfId="0" applyFont="1" applyFill="1" applyBorder="1" applyAlignment="1">
      <alignment horizontal="left"/>
    </xf>
    <xf numFmtId="0" fontId="2" fillId="2" borderId="0" xfId="0" applyFont="1" applyFill="1" applyBorder="1" applyAlignment="1">
      <alignment horizontal="centerContinuous" vertical="center"/>
    </xf>
    <xf numFmtId="9" fontId="2" fillId="2" borderId="0" xfId="0" applyNumberFormat="1" applyFont="1" applyFill="1" applyBorder="1" applyAlignment="1">
      <alignment horizontal="center" vertical="center"/>
    </xf>
    <xf numFmtId="0" fontId="2" fillId="0" borderId="0" xfId="0" applyFont="1" applyFill="1" applyBorder="1" applyAlignment="1">
      <alignment horizontal="center" vertical="center" wrapText="1"/>
    </xf>
    <xf numFmtId="0" fontId="2" fillId="2" borderId="2" xfId="0" applyFont="1" applyFill="1" applyBorder="1" applyAlignment="1">
      <alignment vertical="center"/>
    </xf>
    <xf numFmtId="0" fontId="2" fillId="2" borderId="5" xfId="0" applyFont="1" applyFill="1" applyBorder="1" applyAlignment="1">
      <alignment horizontal="center" vertical="center"/>
    </xf>
    <xf numFmtId="0" fontId="2"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169" fontId="2" fillId="0" borderId="6" xfId="0" applyNumberFormat="1" applyFont="1" applyBorder="1" applyAlignment="1">
      <alignment vertical="center"/>
    </xf>
    <xf numFmtId="169" fontId="2" fillId="0" borderId="0" xfId="0" applyNumberFormat="1" applyFont="1" applyBorder="1" applyAlignment="1">
      <alignment vertical="center"/>
    </xf>
    <xf numFmtId="168" fontId="2" fillId="0" borderId="1" xfId="0" applyNumberFormat="1" applyFont="1" applyBorder="1" applyAlignment="1">
      <alignment vertical="center"/>
    </xf>
    <xf numFmtId="169" fontId="2" fillId="0" borderId="6" xfId="0" applyNumberFormat="1" applyFont="1" applyFill="1" applyBorder="1" applyAlignment="1">
      <alignment vertical="center"/>
    </xf>
    <xf numFmtId="169" fontId="2" fillId="0" borderId="0" xfId="0" applyNumberFormat="1" applyFont="1" applyFill="1" applyBorder="1" applyAlignment="1">
      <alignment vertical="center"/>
    </xf>
    <xf numFmtId="168" fontId="2" fillId="0" borderId="1" xfId="0" applyNumberFormat="1" applyFont="1" applyFill="1" applyBorder="1" applyAlignment="1">
      <alignment vertical="center"/>
    </xf>
    <xf numFmtId="2" fontId="2" fillId="0" borderId="6" xfId="0" applyNumberFormat="1" applyFont="1" applyBorder="1" applyAlignment="1">
      <alignment vertical="center"/>
    </xf>
    <xf numFmtId="2" fontId="2" fillId="0" borderId="0" xfId="0" applyNumberFormat="1" applyFont="1" applyBorder="1" applyAlignment="1">
      <alignment vertical="center"/>
    </xf>
    <xf numFmtId="2" fontId="2" fillId="0" borderId="1" xfId="0" applyNumberFormat="1" applyFont="1" applyBorder="1" applyAlignment="1">
      <alignment vertical="center"/>
    </xf>
    <xf numFmtId="0" fontId="2" fillId="0" borderId="9" xfId="0" applyFont="1" applyBorder="1" applyAlignment="1">
      <alignment vertical="center"/>
    </xf>
    <xf numFmtId="2" fontId="2" fillId="0" borderId="0" xfId="0" applyNumberFormat="1" applyFont="1" applyBorder="1" applyAlignment="1">
      <alignment horizontal="center" vertical="center"/>
    </xf>
    <xf numFmtId="2" fontId="2" fillId="0" borderId="1" xfId="0" applyNumberFormat="1" applyFont="1" applyBorder="1" applyAlignment="1">
      <alignment horizontal="center" vertical="center"/>
    </xf>
    <xf numFmtId="169" fontId="2" fillId="0" borderId="1" xfId="0" applyNumberFormat="1" applyFont="1" applyFill="1" applyBorder="1" applyAlignment="1">
      <alignment vertical="center"/>
    </xf>
    <xf numFmtId="2" fontId="2" fillId="0" borderId="9" xfId="0" applyNumberFormat="1" applyFont="1" applyBorder="1" applyAlignment="1">
      <alignment horizontal="center" vertical="center"/>
    </xf>
    <xf numFmtId="2" fontId="2" fillId="0" borderId="6" xfId="0" applyNumberFormat="1" applyFont="1" applyBorder="1" applyAlignment="1">
      <alignment horizontal="center" vertical="center"/>
    </xf>
    <xf numFmtId="170" fontId="2" fillId="0" borderId="0" xfId="11" applyNumberFormat="1" applyFont="1" applyBorder="1" applyAlignment="1">
      <alignment vertical="center"/>
    </xf>
    <xf numFmtId="2" fontId="2" fillId="11" borderId="6" xfId="0" applyNumberFormat="1" applyFont="1" applyFill="1" applyBorder="1" applyAlignment="1">
      <alignment horizontal="center" vertical="center"/>
    </xf>
    <xf numFmtId="2" fontId="2" fillId="11" borderId="0" xfId="0" applyNumberFormat="1" applyFont="1" applyFill="1" applyBorder="1" applyAlignment="1">
      <alignment horizontal="center" vertical="center"/>
    </xf>
    <xf numFmtId="2" fontId="2" fillId="11" borderId="1" xfId="0" applyNumberFormat="1" applyFont="1" applyFill="1" applyBorder="1" applyAlignment="1">
      <alignment horizontal="center" vertical="center"/>
    </xf>
    <xf numFmtId="0" fontId="2" fillId="1" borderId="6" xfId="0" applyFont="1" applyFill="1" applyBorder="1" applyAlignment="1">
      <alignment vertical="center"/>
    </xf>
    <xf numFmtId="0" fontId="2" fillId="1" borderId="0" xfId="0" applyFont="1" applyFill="1" applyBorder="1" applyAlignment="1">
      <alignment horizontal="center"/>
    </xf>
    <xf numFmtId="0" fontId="2" fillId="1" borderId="1" xfId="0" applyFont="1" applyFill="1" applyBorder="1" applyAlignment="1">
      <alignment vertical="center"/>
    </xf>
    <xf numFmtId="2" fontId="2" fillId="1" borderId="6" xfId="0" applyNumberFormat="1" applyFont="1" applyFill="1" applyBorder="1"/>
    <xf numFmtId="2" fontId="2" fillId="1" borderId="0" xfId="0" applyNumberFormat="1" applyFont="1" applyFill="1" applyBorder="1"/>
    <xf numFmtId="2" fontId="2" fillId="1" borderId="1" xfId="0" applyNumberFormat="1" applyFont="1" applyFill="1" applyBorder="1"/>
    <xf numFmtId="169" fontId="2" fillId="1" borderId="6" xfId="0" applyNumberFormat="1" applyFont="1" applyFill="1" applyBorder="1" applyAlignment="1">
      <alignment vertical="center"/>
    </xf>
    <xf numFmtId="169" fontId="2" fillId="1" borderId="0" xfId="0" applyNumberFormat="1" applyFont="1" applyFill="1" applyBorder="1" applyAlignment="1">
      <alignment vertical="center"/>
    </xf>
    <xf numFmtId="168" fontId="2" fillId="1" borderId="1" xfId="0" applyNumberFormat="1" applyFont="1" applyFill="1" applyBorder="1" applyAlignment="1">
      <alignment vertical="center"/>
    </xf>
    <xf numFmtId="169" fontId="2" fillId="1" borderId="1" xfId="0" applyNumberFormat="1" applyFont="1" applyFill="1" applyBorder="1" applyAlignment="1">
      <alignment vertical="center"/>
    </xf>
    <xf numFmtId="2" fontId="2" fillId="1" borderId="6" xfId="0" applyNumberFormat="1" applyFont="1" applyFill="1" applyBorder="1" applyAlignment="1">
      <alignment vertical="center"/>
    </xf>
    <xf numFmtId="2" fontId="2" fillId="1" borderId="0" xfId="0" applyNumberFormat="1" applyFont="1" applyFill="1" applyBorder="1" applyAlignment="1">
      <alignment vertical="center"/>
    </xf>
    <xf numFmtId="2" fontId="2" fillId="1" borderId="1" xfId="0" applyNumberFormat="1" applyFont="1" applyFill="1" applyBorder="1" applyAlignment="1">
      <alignment vertical="center"/>
    </xf>
    <xf numFmtId="0" fontId="2" fillId="1" borderId="9" xfId="0" applyFont="1" applyFill="1" applyBorder="1" applyAlignment="1">
      <alignment vertical="center"/>
    </xf>
    <xf numFmtId="2" fontId="2" fillId="1" borderId="9" xfId="0" applyNumberFormat="1" applyFont="1" applyFill="1" applyBorder="1" applyAlignment="1">
      <alignment horizontal="center"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169" fontId="2" fillId="0" borderId="2" xfId="0" applyNumberFormat="1" applyFont="1" applyFill="1" applyBorder="1" applyAlignment="1">
      <alignment vertical="center"/>
    </xf>
    <xf numFmtId="169" fontId="2" fillId="0" borderId="3" xfId="0" applyNumberFormat="1" applyFont="1" applyFill="1" applyBorder="1" applyAlignment="1">
      <alignment vertical="center"/>
    </xf>
    <xf numFmtId="169" fontId="2" fillId="0" borderId="4" xfId="0" applyNumberFormat="1" applyFont="1" applyFill="1" applyBorder="1" applyAlignment="1">
      <alignment vertical="center"/>
    </xf>
    <xf numFmtId="0" fontId="2" fillId="0" borderId="0" xfId="0" applyFont="1" applyAlignment="1" applyProtection="1">
      <alignment vertical="center"/>
    </xf>
    <xf numFmtId="0" fontId="2" fillId="0" borderId="0" xfId="0" applyFont="1" applyBorder="1" applyAlignment="1" applyProtection="1">
      <alignment vertical="center"/>
    </xf>
    <xf numFmtId="169" fontId="2" fillId="0" borderId="0" xfId="0" applyNumberFormat="1" applyFont="1" applyAlignment="1">
      <alignment vertical="center"/>
    </xf>
    <xf numFmtId="0" fontId="2" fillId="0" borderId="0" xfId="0" applyFont="1" applyAlignment="1" applyProtection="1">
      <alignment vertical="center"/>
      <protection locked="0"/>
    </xf>
    <xf numFmtId="0" fontId="2" fillId="2" borderId="15" xfId="0" applyFont="1" applyFill="1" applyBorder="1" applyAlignment="1">
      <alignment horizontal="left" vertical="center"/>
    </xf>
    <xf numFmtId="2" fontId="2" fillId="0" borderId="6" xfId="0" applyNumberFormat="1" applyFont="1" applyFill="1" applyBorder="1" applyAlignment="1">
      <alignment horizontal="center" vertical="center"/>
    </xf>
    <xf numFmtId="2" fontId="2" fillId="0" borderId="0" xfId="0" applyNumberFormat="1" applyFont="1" applyFill="1" applyBorder="1" applyAlignment="1">
      <alignment horizontal="center" vertical="center"/>
    </xf>
    <xf numFmtId="2" fontId="2" fillId="0" borderId="2" xfId="0" applyNumberFormat="1" applyFont="1" applyFill="1" applyBorder="1" applyAlignment="1">
      <alignment horizontal="center" vertical="center"/>
    </xf>
    <xf numFmtId="2" fontId="2" fillId="0" borderId="3" xfId="0" applyNumberFormat="1" applyFont="1" applyFill="1" applyBorder="1" applyAlignment="1">
      <alignment horizontal="center" vertical="center"/>
    </xf>
    <xf numFmtId="2" fontId="76" fillId="0" borderId="6" xfId="0" applyNumberFormat="1" applyFont="1" applyFill="1" applyBorder="1" applyAlignment="1">
      <alignment horizontal="center" vertical="center" wrapText="1"/>
    </xf>
    <xf numFmtId="2" fontId="76" fillId="0" borderId="0" xfId="0" applyNumberFormat="1" applyFont="1" applyFill="1" applyBorder="1" applyAlignment="1">
      <alignment horizontal="center" vertical="center" wrapText="1"/>
    </xf>
    <xf numFmtId="10" fontId="3" fillId="4" borderId="0" xfId="0" applyNumberFormat="1" applyFont="1" applyFill="1" applyBorder="1" applyAlignment="1">
      <alignment vertical="center"/>
    </xf>
    <xf numFmtId="0" fontId="11" fillId="3" borderId="3" xfId="0" applyFont="1" applyFill="1" applyBorder="1" applyAlignment="1">
      <alignment horizontal="left" vertical="center"/>
    </xf>
    <xf numFmtId="0" fontId="11" fillId="3" borderId="11" xfId="0" applyFont="1" applyFill="1" applyBorder="1" applyAlignment="1">
      <alignment horizontal="left" vertical="center"/>
    </xf>
    <xf numFmtId="11" fontId="3" fillId="0" borderId="0" xfId="0" applyNumberFormat="1" applyFont="1" applyAlignment="1">
      <alignment vertical="center"/>
    </xf>
    <xf numFmtId="1" fontId="4" fillId="0" borderId="3" xfId="0" applyNumberFormat="1" applyFont="1" applyFill="1" applyBorder="1" applyAlignment="1">
      <alignment horizontal="center" vertical="top" wrapText="1"/>
    </xf>
    <xf numFmtId="2" fontId="3" fillId="0" borderId="3" xfId="0" applyNumberFormat="1" applyFont="1" applyFill="1" applyBorder="1" applyAlignment="1">
      <alignment horizontal="center" wrapText="1"/>
    </xf>
    <xf numFmtId="2" fontId="3" fillId="0" borderId="4" xfId="0" applyNumberFormat="1" applyFont="1" applyFill="1" applyBorder="1" applyAlignment="1">
      <alignment horizontal="center" wrapText="1"/>
    </xf>
    <xf numFmtId="0" fontId="2" fillId="0" borderId="2" xfId="0" applyFont="1" applyFill="1" applyBorder="1" applyAlignment="1">
      <alignment vertical="center" wrapText="1"/>
    </xf>
    <xf numFmtId="2" fontId="3" fillId="0" borderId="0" xfId="0" applyNumberFormat="1" applyFont="1" applyAlignment="1">
      <alignment vertical="center"/>
    </xf>
    <xf numFmtId="3" fontId="29" fillId="0" borderId="0" xfId="0" applyNumberFormat="1" applyFont="1" applyFill="1" applyAlignment="1">
      <alignment horizontal="center"/>
    </xf>
    <xf numFmtId="2" fontId="29" fillId="0" borderId="21" xfId="0" applyNumberFormat="1" applyFont="1" applyFill="1" applyBorder="1" applyAlignment="1">
      <alignment horizontal="center" vertical="center" wrapText="1"/>
    </xf>
    <xf numFmtId="2" fontId="29" fillId="0" borderId="9" xfId="0" applyNumberFormat="1" applyFont="1" applyFill="1" applyBorder="1" applyAlignment="1">
      <alignment horizontal="center" vertical="center" wrapText="1"/>
    </xf>
    <xf numFmtId="2" fontId="29" fillId="0" borderId="9" xfId="0" applyNumberFormat="1" applyFont="1" applyFill="1" applyBorder="1" applyAlignment="1">
      <alignment horizontal="center" vertical="center"/>
    </xf>
    <xf numFmtId="2" fontId="29" fillId="0" borderId="5" xfId="0" applyNumberFormat="1" applyFont="1" applyFill="1" applyBorder="1" applyAlignment="1">
      <alignment horizontal="center" vertical="center"/>
    </xf>
    <xf numFmtId="0" fontId="6" fillId="0" borderId="9" xfId="0" applyFont="1" applyFill="1" applyBorder="1" applyAlignment="1">
      <alignment vertical="center" wrapText="1"/>
    </xf>
    <xf numFmtId="0" fontId="6" fillId="0" borderId="9" xfId="0" applyFont="1" applyFill="1" applyBorder="1" applyAlignment="1">
      <alignment vertical="center"/>
    </xf>
    <xf numFmtId="0" fontId="2" fillId="0" borderId="5" xfId="0" applyFont="1" applyFill="1" applyBorder="1" applyAlignment="1">
      <alignment vertical="center" wrapText="1"/>
    </xf>
    <xf numFmtId="2" fontId="3" fillId="0" borderId="21" xfId="0" applyNumberFormat="1" applyFont="1" applyFill="1" applyBorder="1" applyAlignment="1">
      <alignment horizontal="center" vertical="center" wrapText="1"/>
    </xf>
    <xf numFmtId="2" fontId="3" fillId="0" borderId="15" xfId="0" applyNumberFormat="1" applyFont="1" applyFill="1" applyBorder="1" applyAlignment="1">
      <alignment horizontal="center" vertical="center" wrapText="1"/>
    </xf>
    <xf numFmtId="2" fontId="2" fillId="0" borderId="21" xfId="0" applyNumberFormat="1" applyFont="1" applyFill="1" applyBorder="1" applyAlignment="1">
      <alignment horizontal="center" vertical="center" wrapText="1"/>
    </xf>
    <xf numFmtId="2" fontId="2" fillId="0" borderId="9" xfId="0" applyNumberFormat="1" applyFont="1" applyFill="1" applyBorder="1" applyAlignment="1">
      <alignment horizontal="center" vertical="center" wrapText="1"/>
    </xf>
    <xf numFmtId="2" fontId="2" fillId="0" borderId="5" xfId="0" applyNumberFormat="1" applyFont="1" applyFill="1" applyBorder="1" applyAlignment="1">
      <alignment horizontal="center" vertical="center" wrapText="1"/>
    </xf>
    <xf numFmtId="0" fontId="6" fillId="0" borderId="21" xfId="0" applyFont="1" applyFill="1" applyBorder="1" applyAlignment="1">
      <alignment vertical="center" wrapText="1"/>
    </xf>
    <xf numFmtId="0" fontId="7" fillId="3" borderId="8" xfId="0" applyFont="1" applyFill="1" applyBorder="1" applyAlignment="1">
      <alignment horizontal="center" vertical="center" wrapText="1"/>
    </xf>
    <xf numFmtId="0" fontId="29" fillId="0" borderId="2" xfId="0" applyFont="1" applyFill="1" applyBorder="1" applyAlignment="1">
      <alignment horizontal="right" vertical="center" wrapText="1"/>
    </xf>
    <xf numFmtId="0" fontId="29" fillId="0" borderId="3" xfId="0" applyFont="1" applyFill="1" applyBorder="1" applyAlignment="1">
      <alignment horizontal="right" vertical="center" wrapText="1"/>
    </xf>
    <xf numFmtId="0" fontId="29" fillId="0" borderId="4" xfId="0" applyFont="1" applyFill="1" applyBorder="1" applyAlignment="1">
      <alignment horizontal="right" vertical="center" wrapText="1"/>
    </xf>
    <xf numFmtId="0" fontId="29" fillId="0" borderId="5" xfId="0" applyFont="1" applyFill="1" applyBorder="1" applyAlignment="1">
      <alignment horizontal="right" vertical="center" wrapText="1"/>
    </xf>
    <xf numFmtId="166" fontId="29" fillId="0" borderId="21" xfId="0" applyNumberFormat="1" applyFont="1" applyFill="1" applyBorder="1" applyAlignment="1">
      <alignment horizontal="center" vertical="center" wrapText="1"/>
    </xf>
    <xf numFmtId="166" fontId="29" fillId="0" borderId="9" xfId="0" applyNumberFormat="1" applyFont="1" applyFill="1" applyBorder="1" applyAlignment="1">
      <alignment horizontal="center" vertical="center" wrapText="1"/>
    </xf>
    <xf numFmtId="166" fontId="29" fillId="0" borderId="5" xfId="0" applyNumberFormat="1" applyFont="1" applyFill="1" applyBorder="1" applyAlignment="1">
      <alignment horizontal="center" vertical="center" wrapText="1"/>
    </xf>
    <xf numFmtId="171" fontId="3" fillId="4" borderId="0" xfId="0" applyNumberFormat="1" applyFont="1" applyFill="1"/>
    <xf numFmtId="2" fontId="30" fillId="0" borderId="6" xfId="0" applyNumberFormat="1" applyFont="1" applyBorder="1" applyAlignment="1">
      <alignment horizontal="center" wrapText="1"/>
    </xf>
    <xf numFmtId="2" fontId="30" fillId="0" borderId="11" xfId="0" applyNumberFormat="1" applyFont="1" applyBorder="1" applyAlignment="1">
      <alignment horizontal="center" wrapText="1"/>
    </xf>
    <xf numFmtId="2" fontId="30" fillId="0" borderId="12" xfId="0" applyNumberFormat="1" applyFont="1" applyBorder="1" applyAlignment="1">
      <alignment horizontal="center" wrapText="1"/>
    </xf>
    <xf numFmtId="2" fontId="30" fillId="0" borderId="15" xfId="0" applyNumberFormat="1" applyFont="1" applyBorder="1" applyAlignment="1">
      <alignment horizontal="center" wrapText="1"/>
    </xf>
    <xf numFmtId="2" fontId="30" fillId="0" borderId="1" xfId="0" applyNumberFormat="1" applyFont="1" applyBorder="1" applyAlignment="1">
      <alignment horizontal="center" wrapText="1"/>
    </xf>
    <xf numFmtId="0" fontId="0" fillId="0" borderId="1" xfId="0" applyBorder="1"/>
    <xf numFmtId="10" fontId="3" fillId="0" borderId="0" xfId="0" applyNumberFormat="1" applyFont="1" applyAlignment="1">
      <alignment vertical="center"/>
    </xf>
    <xf numFmtId="171" fontId="66" fillId="4" borderId="0" xfId="0" applyNumberFormat="1" applyFont="1" applyFill="1" applyBorder="1" applyAlignment="1">
      <alignment horizontal="center"/>
    </xf>
    <xf numFmtId="0" fontId="77" fillId="4" borderId="6" xfId="0" applyFont="1" applyFill="1" applyBorder="1" applyAlignment="1">
      <alignment horizontal="left"/>
    </xf>
    <xf numFmtId="0" fontId="77" fillId="4" borderId="0" xfId="0" applyFont="1" applyFill="1" applyBorder="1" applyAlignment="1">
      <alignment horizontal="left"/>
    </xf>
    <xf numFmtId="0" fontId="77" fillId="4" borderId="1" xfId="0" applyFont="1" applyFill="1" applyBorder="1" applyAlignment="1">
      <alignment horizontal="left"/>
    </xf>
    <xf numFmtId="0" fontId="77" fillId="4" borderId="11" xfId="0" applyFont="1" applyFill="1" applyBorder="1" applyAlignment="1">
      <alignment horizontal="left"/>
    </xf>
    <xf numFmtId="0" fontId="77" fillId="4" borderId="12" xfId="0" applyFont="1" applyFill="1" applyBorder="1" applyAlignment="1">
      <alignment horizontal="left"/>
    </xf>
    <xf numFmtId="0" fontId="77" fillId="4" borderId="15" xfId="0" applyFont="1" applyFill="1" applyBorder="1" applyAlignment="1">
      <alignment horizontal="left"/>
    </xf>
    <xf numFmtId="0" fontId="3" fillId="0" borderId="11" xfId="0" applyFont="1" applyFill="1" applyBorder="1" applyAlignment="1">
      <alignment horizontal="center" vertical="center" wrapText="1"/>
    </xf>
    <xf numFmtId="0" fontId="3" fillId="0" borderId="12" xfId="0" applyFont="1" applyFill="1" applyBorder="1" applyAlignment="1">
      <alignment horizontal="center" vertical="center" wrapText="1"/>
    </xf>
    <xf numFmtId="0" fontId="3" fillId="0" borderId="6" xfId="0" applyFont="1" applyFill="1" applyBorder="1" applyAlignment="1">
      <alignment horizontal="center"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77" fillId="4" borderId="2" xfId="0" applyFont="1" applyFill="1" applyBorder="1" applyAlignment="1">
      <alignment horizontal="left"/>
    </xf>
    <xf numFmtId="0" fontId="77" fillId="4" borderId="3" xfId="0" applyFont="1" applyFill="1" applyBorder="1" applyAlignment="1">
      <alignment horizontal="left"/>
    </xf>
    <xf numFmtId="0" fontId="77" fillId="4" borderId="4" xfId="0" applyFont="1" applyFill="1" applyBorder="1" applyAlignment="1">
      <alignment horizontal="left"/>
    </xf>
    <xf numFmtId="0" fontId="78" fillId="4" borderId="6" xfId="0" applyFont="1" applyFill="1" applyBorder="1" applyAlignment="1">
      <alignment horizontal="center" vertical="center"/>
    </xf>
    <xf numFmtId="0" fontId="7" fillId="3" borderId="4" xfId="0" applyFont="1" applyFill="1" applyBorder="1" applyAlignment="1">
      <alignment vertical="center"/>
    </xf>
    <xf numFmtId="0" fontId="78" fillId="4" borderId="11" xfId="0" applyFont="1" applyFill="1" applyBorder="1" applyAlignment="1">
      <alignment horizontal="center" vertical="center"/>
    </xf>
    <xf numFmtId="0" fontId="78" fillId="4" borderId="2" xfId="0" applyFont="1" applyFill="1" applyBorder="1" applyAlignment="1">
      <alignment horizontal="center" vertical="center"/>
    </xf>
    <xf numFmtId="8" fontId="79" fillId="4" borderId="11" xfId="0" applyNumberFormat="1" applyFont="1" applyFill="1" applyBorder="1" applyAlignment="1">
      <alignment horizontal="center" vertical="center" wrapText="1"/>
    </xf>
    <xf numFmtId="183" fontId="3" fillId="0" borderId="0" xfId="0" applyNumberFormat="1" applyFont="1" applyAlignment="1">
      <alignment vertical="center"/>
    </xf>
    <xf numFmtId="8" fontId="79" fillId="4" borderId="15" xfId="0" applyNumberFormat="1" applyFont="1" applyFill="1" applyBorder="1" applyAlignment="1">
      <alignment horizontal="center" vertical="center" wrapText="1"/>
    </xf>
    <xf numFmtId="8" fontId="79" fillId="4" borderId="6" xfId="0" applyNumberFormat="1" applyFont="1" applyFill="1" applyBorder="1" applyAlignment="1">
      <alignment horizontal="center" vertical="center" wrapText="1"/>
    </xf>
    <xf numFmtId="8" fontId="79" fillId="4" borderId="1" xfId="0" applyNumberFormat="1" applyFont="1" applyFill="1" applyBorder="1" applyAlignment="1">
      <alignment horizontal="center" vertical="center" wrapText="1"/>
    </xf>
    <xf numFmtId="8" fontId="79" fillId="4" borderId="2" xfId="0" applyNumberFormat="1" applyFont="1" applyFill="1" applyBorder="1" applyAlignment="1">
      <alignment horizontal="center" vertical="center" wrapText="1"/>
    </xf>
    <xf numFmtId="8" fontId="79" fillId="4" borderId="4" xfId="0" applyNumberFormat="1" applyFont="1" applyFill="1" applyBorder="1" applyAlignment="1">
      <alignment horizontal="center" vertical="center" wrapText="1"/>
    </xf>
    <xf numFmtId="0" fontId="2" fillId="0" borderId="21" xfId="0" applyFont="1" applyBorder="1" applyAlignment="1">
      <alignment horizontal="center" vertical="center"/>
    </xf>
    <xf numFmtId="0" fontId="2" fillId="0" borderId="9" xfId="0" applyFont="1" applyBorder="1" applyAlignment="1">
      <alignment horizontal="center" vertical="center"/>
    </xf>
    <xf numFmtId="0" fontId="78" fillId="4" borderId="9" xfId="0" applyFont="1" applyFill="1" applyBorder="1" applyAlignment="1">
      <alignment horizontal="center" vertical="center"/>
    </xf>
    <xf numFmtId="0" fontId="2" fillId="0" borderId="5" xfId="0" applyFont="1" applyBorder="1" applyAlignment="1">
      <alignment horizontal="center" vertical="center"/>
    </xf>
    <xf numFmtId="2" fontId="79" fillId="4" borderId="6" xfId="0" applyNumberFormat="1" applyFont="1" applyFill="1" applyBorder="1" applyAlignment="1">
      <alignment horizontal="center" vertical="center" wrapText="1"/>
    </xf>
    <xf numFmtId="2" fontId="79" fillId="4" borderId="1" xfId="0" applyNumberFormat="1" applyFont="1" applyFill="1" applyBorder="1" applyAlignment="1">
      <alignment horizontal="center" vertical="center" wrapText="1"/>
    </xf>
    <xf numFmtId="0" fontId="10" fillId="0" borderId="0" xfId="3" applyFill="1" applyAlignment="1" applyProtection="1">
      <alignment vertical="center"/>
      <protection hidden="1"/>
    </xf>
    <xf numFmtId="0" fontId="10" fillId="0" borderId="0" xfId="3" applyFill="1" applyBorder="1" applyAlignment="1" applyProtection="1">
      <alignment vertical="center"/>
      <protection hidden="1"/>
    </xf>
    <xf numFmtId="0" fontId="29" fillId="0" borderId="0" xfId="0" applyFont="1" applyFill="1" applyBorder="1" applyAlignment="1" applyProtection="1">
      <alignment vertical="center"/>
      <protection hidden="1"/>
    </xf>
    <xf numFmtId="0" fontId="2" fillId="0" borderId="0" xfId="0" applyFont="1" applyFill="1" applyBorder="1" applyAlignment="1" applyProtection="1">
      <alignment vertical="center"/>
      <protection hidden="1"/>
    </xf>
    <xf numFmtId="0" fontId="3" fillId="0" borderId="0" xfId="0" applyFont="1" applyFill="1" applyBorder="1" applyAlignment="1" applyProtection="1">
      <alignment horizontal="left" vertical="center"/>
      <protection hidden="1"/>
    </xf>
    <xf numFmtId="0" fontId="10" fillId="0" borderId="0" xfId="3" applyFill="1" applyAlignment="1" applyProtection="1"/>
    <xf numFmtId="0" fontId="0" fillId="0" borderId="0" xfId="0" applyFill="1"/>
    <xf numFmtId="4" fontId="2" fillId="4" borderId="1" xfId="0" applyNumberFormat="1" applyFont="1" applyFill="1" applyBorder="1" applyAlignment="1">
      <alignment horizontal="center" vertical="center" wrapText="1"/>
    </xf>
    <xf numFmtId="2" fontId="30" fillId="8" borderId="15" xfId="0" applyNumberFormat="1" applyFont="1" applyFill="1" applyBorder="1" applyAlignment="1">
      <alignment horizontal="center" vertical="center" wrapText="1"/>
    </xf>
    <xf numFmtId="2" fontId="30" fillId="8" borderId="6" xfId="0" applyNumberFormat="1" applyFont="1" applyFill="1" applyBorder="1" applyAlignment="1">
      <alignment horizontal="center" vertical="center" wrapText="1"/>
    </xf>
    <xf numFmtId="2" fontId="30" fillId="8" borderId="1" xfId="0" applyNumberFormat="1" applyFont="1" applyFill="1" applyBorder="1" applyAlignment="1">
      <alignment horizontal="center" vertical="center" wrapText="1"/>
    </xf>
    <xf numFmtId="2" fontId="30" fillId="8" borderId="26" xfId="0" applyNumberFormat="1" applyFont="1" applyFill="1" applyBorder="1" applyAlignment="1">
      <alignment horizontal="center" vertical="center" wrapText="1"/>
    </xf>
    <xf numFmtId="2" fontId="30" fillId="8" borderId="40" xfId="0" applyNumberFormat="1" applyFont="1" applyFill="1" applyBorder="1" applyAlignment="1">
      <alignment horizontal="center" vertical="center" wrapText="1"/>
    </xf>
    <xf numFmtId="2" fontId="30" fillId="8" borderId="28" xfId="0" applyNumberFormat="1" applyFont="1" applyFill="1" applyBorder="1" applyAlignment="1">
      <alignment horizontal="center" vertical="center" wrapText="1"/>
    </xf>
    <xf numFmtId="0" fontId="0" fillId="0" borderId="1" xfId="0" applyFill="1" applyBorder="1" applyAlignment="1">
      <alignment vertical="center" wrapText="1"/>
    </xf>
    <xf numFmtId="0" fontId="4" fillId="0" borderId="148" xfId="0" applyFont="1" applyFill="1" applyBorder="1" applyAlignment="1">
      <alignment vertical="center"/>
    </xf>
    <xf numFmtId="17" fontId="4" fillId="0" borderId="139" xfId="0" applyNumberFormat="1" applyFont="1" applyBorder="1" applyAlignment="1">
      <alignment horizontal="center" vertical="center"/>
    </xf>
    <xf numFmtId="2" fontId="6" fillId="0" borderId="135" xfId="0" applyNumberFormat="1" applyFont="1" applyFill="1" applyBorder="1" applyAlignment="1">
      <alignment horizontal="left" vertical="center"/>
    </xf>
    <xf numFmtId="2" fontId="6" fillId="0" borderId="70" xfId="0" applyNumberFormat="1" applyFont="1" applyFill="1" applyBorder="1" applyAlignment="1">
      <alignment horizontal="left" vertical="center"/>
    </xf>
    <xf numFmtId="0" fontId="2" fillId="0" borderId="148" xfId="0" applyFont="1" applyBorder="1" applyAlignment="1">
      <alignment vertical="center"/>
    </xf>
    <xf numFmtId="0" fontId="2" fillId="0" borderId="135" xfId="0" applyFont="1" applyBorder="1" applyAlignment="1">
      <alignment vertical="center"/>
    </xf>
    <xf numFmtId="2" fontId="6" fillId="0" borderId="148" xfId="0" applyNumberFormat="1" applyFont="1" applyFill="1" applyBorder="1" applyAlignment="1">
      <alignment horizontal="left" vertical="center"/>
    </xf>
    <xf numFmtId="2" fontId="5" fillId="0" borderId="135" xfId="0" applyNumberFormat="1" applyFont="1" applyFill="1" applyBorder="1" applyAlignment="1">
      <alignment horizontal="left" vertical="center"/>
    </xf>
    <xf numFmtId="2" fontId="5" fillId="0" borderId="70" xfId="0" applyNumberFormat="1" applyFont="1" applyFill="1" applyBorder="1" applyAlignment="1">
      <alignment horizontal="left" vertical="center"/>
    </xf>
    <xf numFmtId="0" fontId="3" fillId="0" borderId="148" xfId="0" applyFont="1" applyBorder="1" applyAlignment="1">
      <alignment vertical="center"/>
    </xf>
    <xf numFmtId="0" fontId="4" fillId="0" borderId="70" xfId="0" applyFont="1" applyFill="1" applyBorder="1" applyAlignment="1">
      <alignment horizontal="center" vertical="center"/>
    </xf>
    <xf numFmtId="17" fontId="4" fillId="0" borderId="139" xfId="0" applyNumberFormat="1" applyFont="1" applyFill="1" applyBorder="1" applyAlignment="1">
      <alignment horizontal="center" vertical="center"/>
    </xf>
    <xf numFmtId="0" fontId="3" fillId="0" borderId="134" xfId="0" applyFont="1" applyBorder="1" applyAlignment="1">
      <alignment vertical="center"/>
    </xf>
    <xf numFmtId="0" fontId="3" fillId="0" borderId="85" xfId="0" applyFont="1" applyFill="1" applyBorder="1" applyAlignment="1">
      <alignment horizontal="center" vertical="center"/>
    </xf>
    <xf numFmtId="17" fontId="4" fillId="0" borderId="138" xfId="0" applyNumberFormat="1" applyFont="1" applyFill="1" applyBorder="1" applyAlignment="1">
      <alignment horizontal="center" vertical="center"/>
    </xf>
    <xf numFmtId="2" fontId="6" fillId="0" borderId="134" xfId="0" applyNumberFormat="1" applyFont="1" applyFill="1" applyBorder="1" applyAlignment="1">
      <alignment horizontal="left" vertical="center"/>
    </xf>
    <xf numFmtId="2" fontId="6" fillId="0" borderId="105" xfId="0" applyNumberFormat="1" applyFont="1" applyFill="1" applyBorder="1" applyAlignment="1">
      <alignment horizontal="left" vertical="center"/>
    </xf>
    <xf numFmtId="2" fontId="6" fillId="0" borderId="85" xfId="0" applyNumberFormat="1" applyFont="1" applyFill="1" applyBorder="1" applyAlignment="1">
      <alignment horizontal="left" vertical="center"/>
    </xf>
    <xf numFmtId="0" fontId="4" fillId="0" borderId="135" xfId="0" applyFont="1" applyFill="1" applyBorder="1" applyAlignment="1">
      <alignment vertical="center"/>
    </xf>
    <xf numFmtId="0" fontId="3" fillId="4" borderId="0" xfId="0" applyFont="1" applyFill="1" applyAlignment="1">
      <alignment horizontal="right"/>
    </xf>
    <xf numFmtId="0" fontId="3" fillId="2" borderId="3" xfId="0" applyFont="1" applyFill="1" applyBorder="1" applyAlignment="1">
      <alignment horizontal="left" vertical="center"/>
    </xf>
    <xf numFmtId="0" fontId="3" fillId="2" borderId="4" xfId="0" applyFont="1" applyFill="1" applyBorder="1" applyAlignment="1">
      <alignment horizontal="left" vertical="center"/>
    </xf>
    <xf numFmtId="0" fontId="3" fillId="0" borderId="11" xfId="0" applyFont="1" applyBorder="1" applyAlignment="1">
      <alignment horizontal="left" vertical="center"/>
    </xf>
    <xf numFmtId="0" fontId="3" fillId="4" borderId="12" xfId="0" applyFont="1" applyFill="1" applyBorder="1" applyAlignment="1">
      <alignment horizontal="left" vertical="center"/>
    </xf>
    <xf numFmtId="0" fontId="3" fillId="4" borderId="15" xfId="0" applyFont="1" applyFill="1" applyBorder="1" applyAlignment="1">
      <alignment horizontal="left" vertical="center"/>
    </xf>
    <xf numFmtId="0" fontId="3" fillId="4" borderId="1" xfId="0" applyFont="1" applyFill="1" applyBorder="1" applyAlignment="1">
      <alignment horizontal="left" vertical="center"/>
    </xf>
    <xf numFmtId="0" fontId="12" fillId="4" borderId="0" xfId="0" applyFont="1" applyFill="1" applyBorder="1" applyAlignment="1">
      <alignment horizontal="left" vertical="center"/>
    </xf>
    <xf numFmtId="176" fontId="3" fillId="4" borderId="1" xfId="2" applyNumberFormat="1" applyFont="1" applyFill="1" applyBorder="1" applyAlignment="1">
      <alignment horizontal="left" vertical="center"/>
    </xf>
    <xf numFmtId="0" fontId="3" fillId="4" borderId="2" xfId="0" applyFont="1" applyFill="1" applyBorder="1" applyAlignment="1">
      <alignment horizontal="left" vertical="center"/>
    </xf>
    <xf numFmtId="0" fontId="3" fillId="4" borderId="3" xfId="0" applyFont="1" applyFill="1" applyBorder="1" applyAlignment="1">
      <alignment horizontal="left" vertical="center"/>
    </xf>
    <xf numFmtId="0" fontId="3" fillId="4" borderId="4" xfId="0" applyFont="1" applyFill="1" applyBorder="1" applyAlignment="1">
      <alignment horizontal="left" vertical="center"/>
    </xf>
    <xf numFmtId="3" fontId="3" fillId="4" borderId="21" xfId="2" applyNumberFormat="1" applyFont="1" applyFill="1" applyBorder="1" applyAlignment="1">
      <alignment horizontal="center" vertical="center"/>
    </xf>
    <xf numFmtId="3" fontId="3" fillId="4" borderId="9" xfId="2" applyNumberFormat="1" applyFont="1" applyFill="1" applyBorder="1" applyAlignment="1">
      <alignment horizontal="center" vertical="center"/>
    </xf>
    <xf numFmtId="3" fontId="3" fillId="4" borderId="5" xfId="2" applyNumberFormat="1" applyFont="1" applyFill="1" applyBorder="1" applyAlignment="1">
      <alignment horizontal="center" vertical="center"/>
    </xf>
    <xf numFmtId="3" fontId="6" fillId="0" borderId="134" xfId="0" applyNumberFormat="1" applyFont="1" applyFill="1" applyBorder="1" applyAlignment="1">
      <alignment horizontal="center" vertical="center" wrapText="1"/>
    </xf>
    <xf numFmtId="3" fontId="6" fillId="0" borderId="105" xfId="0" applyNumberFormat="1" applyFont="1" applyFill="1" applyBorder="1" applyAlignment="1">
      <alignment horizontal="center" vertical="center" wrapText="1"/>
    </xf>
    <xf numFmtId="3" fontId="6" fillId="0" borderId="38" xfId="0" applyNumberFormat="1" applyFont="1" applyFill="1" applyBorder="1" applyAlignment="1">
      <alignment horizontal="center" vertical="center" wrapText="1"/>
    </xf>
    <xf numFmtId="2" fontId="30" fillId="7" borderId="83" xfId="0" applyNumberFormat="1" applyFont="1" applyFill="1" applyBorder="1" applyAlignment="1">
      <alignment horizontal="center" vertical="center" wrapText="1"/>
    </xf>
    <xf numFmtId="2" fontId="30" fillId="7" borderId="46" xfId="0" applyNumberFormat="1" applyFont="1" applyFill="1" applyBorder="1" applyAlignment="1">
      <alignment horizontal="center" vertical="center"/>
    </xf>
    <xf numFmtId="2" fontId="30" fillId="7" borderId="119" xfId="0" applyNumberFormat="1" applyFont="1" applyFill="1" applyBorder="1" applyAlignment="1">
      <alignment horizontal="center" vertical="center"/>
    </xf>
    <xf numFmtId="171" fontId="30" fillId="4" borderId="42" xfId="0" applyNumberFormat="1" applyFont="1" applyFill="1" applyBorder="1" applyAlignment="1">
      <alignment horizontal="center" vertical="center" wrapText="1"/>
    </xf>
    <xf numFmtId="171" fontId="30" fillId="7" borderId="42" xfId="0" applyNumberFormat="1" applyFont="1" applyFill="1" applyBorder="1" applyAlignment="1">
      <alignment horizontal="center" vertical="center" wrapText="1"/>
    </xf>
    <xf numFmtId="171" fontId="30" fillId="7" borderId="83" xfId="0" applyNumberFormat="1" applyFont="1" applyFill="1" applyBorder="1" applyAlignment="1">
      <alignment horizontal="center" vertical="center"/>
    </xf>
    <xf numFmtId="171" fontId="30" fillId="7" borderId="80" xfId="0" applyNumberFormat="1" applyFont="1" applyFill="1" applyBorder="1" applyAlignment="1">
      <alignment horizontal="center" vertical="center"/>
    </xf>
    <xf numFmtId="171" fontId="30" fillId="7" borderId="46" xfId="0" applyNumberFormat="1" applyFont="1" applyFill="1" applyBorder="1" applyAlignment="1">
      <alignment horizontal="center" vertical="center"/>
    </xf>
    <xf numFmtId="171" fontId="30" fillId="7" borderId="36" xfId="0" applyNumberFormat="1" applyFont="1" applyFill="1" applyBorder="1" applyAlignment="1">
      <alignment horizontal="center" vertical="center"/>
    </xf>
    <xf numFmtId="2" fontId="30" fillId="4" borderId="1" xfId="0" applyNumberFormat="1" applyFont="1" applyFill="1" applyBorder="1" applyAlignment="1">
      <alignment horizontal="center" vertical="center" wrapText="1"/>
    </xf>
    <xf numFmtId="2" fontId="30" fillId="7" borderId="1" xfId="0" applyNumberFormat="1" applyFont="1" applyFill="1" applyBorder="1" applyAlignment="1">
      <alignment horizontal="center" vertical="center" wrapText="1"/>
    </xf>
    <xf numFmtId="2" fontId="30" fillId="7" borderId="84" xfId="0" applyNumberFormat="1" applyFont="1" applyFill="1" applyBorder="1" applyAlignment="1">
      <alignment horizontal="center" vertical="center"/>
    </xf>
    <xf numFmtId="2" fontId="30" fillId="7" borderId="41" xfId="0" applyNumberFormat="1" applyFont="1" applyFill="1" applyBorder="1" applyAlignment="1">
      <alignment horizontal="center" vertical="center"/>
    </xf>
    <xf numFmtId="2" fontId="30" fillId="4" borderId="25" xfId="0" applyNumberFormat="1" applyFont="1" applyFill="1" applyBorder="1" applyAlignment="1">
      <alignment horizontal="center" vertical="center" wrapText="1"/>
    </xf>
    <xf numFmtId="2" fontId="30" fillId="4" borderId="118" xfId="0" applyNumberFormat="1" applyFont="1" applyFill="1" applyBorder="1" applyAlignment="1">
      <alignment horizontal="center" vertical="center" wrapText="1"/>
    </xf>
    <xf numFmtId="2" fontId="30" fillId="4" borderId="86" xfId="0" applyNumberFormat="1" applyFont="1" applyFill="1" applyBorder="1" applyAlignment="1">
      <alignment horizontal="center" vertical="center" wrapText="1"/>
    </xf>
    <xf numFmtId="2" fontId="30" fillId="4" borderId="201" xfId="0" applyNumberFormat="1" applyFont="1" applyFill="1" applyBorder="1" applyAlignment="1">
      <alignment horizontal="center" vertical="center" wrapText="1"/>
    </xf>
    <xf numFmtId="0" fontId="30" fillId="4" borderId="23" xfId="0" applyFont="1" applyFill="1" applyBorder="1" applyAlignment="1">
      <alignment horizontal="center" vertical="center" wrapText="1"/>
    </xf>
    <xf numFmtId="171" fontId="30" fillId="4" borderId="201" xfId="0" applyNumberFormat="1" applyFont="1" applyFill="1" applyBorder="1" applyAlignment="1">
      <alignment horizontal="center" vertical="center" wrapText="1"/>
    </xf>
    <xf numFmtId="2" fontId="30" fillId="4" borderId="23" xfId="0" applyNumberFormat="1" applyFont="1" applyFill="1" applyBorder="1" applyAlignment="1">
      <alignment horizontal="center" vertical="center" wrapText="1"/>
    </xf>
    <xf numFmtId="2" fontId="30" fillId="7" borderId="142" xfId="0" applyNumberFormat="1" applyFont="1" applyFill="1" applyBorder="1" applyAlignment="1">
      <alignment horizontal="center" vertical="center" wrapText="1"/>
    </xf>
    <xf numFmtId="2" fontId="30" fillId="7" borderId="164" xfId="0" applyNumberFormat="1" applyFont="1" applyFill="1" applyBorder="1" applyAlignment="1">
      <alignment horizontal="center" vertical="center" wrapText="1"/>
    </xf>
    <xf numFmtId="0" fontId="10" fillId="4" borderId="0" xfId="3" applyFill="1" applyBorder="1" applyAlignment="1" applyProtection="1">
      <alignment vertical="center"/>
    </xf>
    <xf numFmtId="0" fontId="5" fillId="2" borderId="202" xfId="0" applyFont="1" applyFill="1" applyBorder="1" applyAlignment="1">
      <alignment horizontal="center" vertical="center" wrapText="1"/>
    </xf>
    <xf numFmtId="0" fontId="4" fillId="2" borderId="21" xfId="0" applyFont="1" applyFill="1" applyBorder="1" applyAlignment="1">
      <alignment horizontal="center"/>
    </xf>
    <xf numFmtId="0" fontId="4" fillId="2" borderId="9" xfId="0" applyFont="1" applyFill="1" applyBorder="1" applyAlignment="1">
      <alignment horizontal="center"/>
    </xf>
    <xf numFmtId="169" fontId="29" fillId="4" borderId="21" xfId="0" applyNumberFormat="1" applyFont="1" applyFill="1" applyBorder="1" applyAlignment="1">
      <alignment horizontal="center"/>
    </xf>
    <xf numFmtId="169" fontId="29" fillId="4" borderId="9" xfId="0" applyNumberFormat="1" applyFont="1" applyFill="1" applyBorder="1" applyAlignment="1">
      <alignment horizontal="center"/>
    </xf>
    <xf numFmtId="0" fontId="4" fillId="2" borderId="2" xfId="0" applyFont="1" applyFill="1" applyBorder="1" applyAlignment="1">
      <alignment horizontal="center" wrapText="1"/>
    </xf>
    <xf numFmtId="10" fontId="30" fillId="0" borderId="19" xfId="0" applyNumberFormat="1" applyFont="1" applyFill="1" applyBorder="1" applyAlignment="1">
      <alignment horizontal="center"/>
    </xf>
    <xf numFmtId="1" fontId="7" fillId="3" borderId="2" xfId="0" applyNumberFormat="1" applyFont="1" applyFill="1" applyBorder="1" applyAlignment="1">
      <alignment horizontal="centerContinuous" vertical="center"/>
    </xf>
    <xf numFmtId="0" fontId="27" fillId="4" borderId="0" xfId="0" applyFont="1" applyFill="1" applyAlignment="1">
      <alignment wrapText="1"/>
    </xf>
    <xf numFmtId="0" fontId="26" fillId="4" borderId="0" xfId="0" applyFont="1" applyFill="1" applyAlignment="1">
      <alignment wrapText="1"/>
    </xf>
    <xf numFmtId="0" fontId="28" fillId="4" borderId="0" xfId="0" applyFont="1" applyFill="1" applyAlignment="1">
      <alignment vertical="center"/>
    </xf>
    <xf numFmtId="0" fontId="7" fillId="4" borderId="0" xfId="0" applyFont="1" applyFill="1" applyAlignment="1">
      <alignment vertical="center"/>
    </xf>
    <xf numFmtId="0" fontId="24" fillId="4" borderId="0" xfId="0" applyFont="1" applyFill="1" applyAlignment="1">
      <alignment vertical="center"/>
    </xf>
    <xf numFmtId="0" fontId="21" fillId="4" borderId="0" xfId="0" applyFont="1" applyFill="1" applyAlignment="1">
      <alignment vertical="center"/>
    </xf>
    <xf numFmtId="0" fontId="4" fillId="4" borderId="11" xfId="0" applyFont="1" applyFill="1" applyBorder="1" applyAlignment="1">
      <alignment vertical="center"/>
    </xf>
    <xf numFmtId="0" fontId="4" fillId="4" borderId="12" xfId="0" applyFont="1" applyFill="1" applyBorder="1" applyAlignment="1">
      <alignment vertical="center"/>
    </xf>
    <xf numFmtId="0" fontId="2" fillId="4" borderId="12" xfId="0" applyFont="1" applyFill="1" applyBorder="1" applyAlignment="1">
      <alignment vertical="center"/>
    </xf>
    <xf numFmtId="0" fontId="2" fillId="4" borderId="15" xfId="0" applyFont="1" applyFill="1" applyBorder="1" applyAlignment="1">
      <alignment vertical="center"/>
    </xf>
    <xf numFmtId="0" fontId="0" fillId="4" borderId="0" xfId="0" applyFill="1"/>
    <xf numFmtId="0" fontId="10" fillId="4" borderId="0" xfId="3" applyFill="1" applyAlignment="1" applyProtection="1">
      <alignment vertical="center"/>
      <protection hidden="1"/>
    </xf>
    <xf numFmtId="0" fontId="2" fillId="4" borderId="0" xfId="0" applyFont="1" applyFill="1" applyBorder="1" applyAlignment="1">
      <alignment vertical="center"/>
    </xf>
    <xf numFmtId="0" fontId="10" fillId="4" borderId="0" xfId="3" applyFill="1" applyAlignment="1" applyProtection="1"/>
    <xf numFmtId="0" fontId="10" fillId="4" borderId="0" xfId="3" applyFill="1" applyBorder="1" applyAlignment="1" applyProtection="1">
      <alignment vertical="center"/>
      <protection hidden="1"/>
    </xf>
    <xf numFmtId="0" fontId="2" fillId="4" borderId="1" xfId="0" applyFont="1" applyFill="1" applyBorder="1" applyAlignment="1">
      <alignment vertical="center"/>
    </xf>
    <xf numFmtId="0" fontId="10" fillId="4" borderId="0" xfId="3" applyFill="1" applyAlignment="1" applyProtection="1">
      <alignment vertical="center"/>
    </xf>
    <xf numFmtId="0" fontId="2" fillId="4" borderId="0" xfId="0" applyFont="1" applyFill="1" applyBorder="1" applyAlignment="1">
      <alignment vertical="center" wrapText="1"/>
    </xf>
    <xf numFmtId="0" fontId="2" fillId="4" borderId="1" xfId="0" applyFont="1" applyFill="1" applyBorder="1" applyAlignment="1">
      <alignment vertical="center" wrapText="1"/>
    </xf>
    <xf numFmtId="0" fontId="75" fillId="4" borderId="6" xfId="0" applyFont="1" applyFill="1" applyBorder="1"/>
    <xf numFmtId="0" fontId="4" fillId="4" borderId="0" xfId="3" applyFont="1" applyFill="1" applyBorder="1" applyAlignment="1" applyProtection="1">
      <alignment horizontal="centerContinuous" vertical="center"/>
    </xf>
    <xf numFmtId="0" fontId="4" fillId="4" borderId="0" xfId="0" applyFont="1" applyFill="1" applyAlignment="1">
      <alignment horizontal="center" vertical="center"/>
    </xf>
    <xf numFmtId="0" fontId="2" fillId="4" borderId="0" xfId="0" applyFont="1" applyFill="1" applyBorder="1" applyAlignment="1" applyProtection="1">
      <alignment vertical="center"/>
      <protection locked="0"/>
    </xf>
    <xf numFmtId="0" fontId="2" fillId="4" borderId="6" xfId="0" applyFont="1" applyFill="1" applyBorder="1" applyAlignment="1">
      <alignment horizontal="left" vertical="center"/>
    </xf>
    <xf numFmtId="0" fontId="2" fillId="4" borderId="0" xfId="0" applyFont="1" applyFill="1" applyBorder="1" applyAlignment="1">
      <alignment horizontal="centerContinuous" vertical="center"/>
    </xf>
    <xf numFmtId="0" fontId="2" fillId="4" borderId="2" xfId="0" applyFont="1" applyFill="1" applyBorder="1" applyAlignment="1">
      <alignment horizontal="left" vertical="center"/>
    </xf>
    <xf numFmtId="0" fontId="4" fillId="4" borderId="3" xfId="0" applyFont="1" applyFill="1" applyBorder="1" applyAlignment="1">
      <alignment horizontal="center" vertical="center"/>
    </xf>
    <xf numFmtId="0" fontId="2" fillId="4" borderId="3" xfId="0" applyFont="1" applyFill="1" applyBorder="1" applyAlignment="1">
      <alignment vertical="center"/>
    </xf>
    <xf numFmtId="0" fontId="2" fillId="4" borderId="3" xfId="0" applyFont="1" applyFill="1" applyBorder="1" applyAlignment="1">
      <alignment horizontal="centerContinuous" vertical="center"/>
    </xf>
    <xf numFmtId="0" fontId="4" fillId="4" borderId="3" xfId="3" applyFont="1" applyFill="1" applyBorder="1" applyAlignment="1" applyProtection="1">
      <alignment horizontal="centerContinuous" vertical="center"/>
    </xf>
    <xf numFmtId="0" fontId="2" fillId="4" borderId="4" xfId="0" applyFont="1" applyFill="1" applyBorder="1" applyAlignment="1">
      <alignment vertical="center"/>
    </xf>
    <xf numFmtId="0" fontId="0" fillId="4" borderId="0" xfId="0" applyFill="1" applyBorder="1"/>
    <xf numFmtId="0" fontId="71" fillId="3" borderId="10" xfId="0" applyFont="1" applyFill="1" applyBorder="1" applyAlignment="1">
      <alignment vertical="center" wrapText="1"/>
    </xf>
    <xf numFmtId="0" fontId="71" fillId="3" borderId="10" xfId="0" applyFont="1" applyFill="1" applyBorder="1" applyAlignment="1">
      <alignment horizontal="center" vertical="center" wrapText="1"/>
    </xf>
    <xf numFmtId="0" fontId="0" fillId="4" borderId="11" xfId="0" applyFill="1" applyBorder="1" applyAlignment="1">
      <alignment vertical="center"/>
    </xf>
    <xf numFmtId="10" fontId="0" fillId="4" borderId="15" xfId="0" applyNumberFormat="1" applyFill="1" applyBorder="1" applyAlignment="1">
      <alignment vertical="center"/>
    </xf>
    <xf numFmtId="0" fontId="0" fillId="4" borderId="6" xfId="0" applyFill="1" applyBorder="1" applyAlignment="1">
      <alignment vertical="center"/>
    </xf>
    <xf numFmtId="10" fontId="0" fillId="4" borderId="1" xfId="0" applyNumberFormat="1" applyFill="1" applyBorder="1" applyAlignment="1">
      <alignment vertical="center"/>
    </xf>
    <xf numFmtId="0" fontId="0" fillId="4" borderId="2" xfId="0" applyFill="1" applyBorder="1" applyAlignment="1">
      <alignment vertical="center"/>
    </xf>
    <xf numFmtId="10" fontId="0" fillId="4" borderId="4" xfId="0" applyNumberFormat="1" applyFill="1" applyBorder="1" applyAlignment="1">
      <alignment vertical="center"/>
    </xf>
    <xf numFmtId="10" fontId="0" fillId="4" borderId="21" xfId="0" applyNumberFormat="1" applyFill="1" applyBorder="1" applyAlignment="1">
      <alignment vertical="center"/>
    </xf>
    <xf numFmtId="10" fontId="0" fillId="4" borderId="9" xfId="0" applyNumberFormat="1" applyFill="1" applyBorder="1" applyAlignment="1">
      <alignment vertical="center"/>
    </xf>
    <xf numFmtId="10" fontId="0" fillId="4" borderId="5" xfId="0" applyNumberFormat="1" applyFill="1" applyBorder="1" applyAlignment="1">
      <alignment vertical="center"/>
    </xf>
    <xf numFmtId="0" fontId="71" fillId="3" borderId="14" xfId="0" applyFont="1" applyFill="1" applyBorder="1" applyAlignment="1">
      <alignment vertical="center" wrapText="1"/>
    </xf>
    <xf numFmtId="0" fontId="0" fillId="4" borderId="142" xfId="0" applyFill="1" applyBorder="1" applyAlignment="1">
      <alignment vertical="center"/>
    </xf>
    <xf numFmtId="10" fontId="0" fillId="4" borderId="104" xfId="0" applyNumberFormat="1" applyFill="1" applyBorder="1" applyAlignment="1">
      <alignment vertical="center"/>
    </xf>
    <xf numFmtId="10" fontId="0" fillId="4" borderId="103" xfId="0" applyNumberFormat="1" applyFill="1" applyBorder="1" applyAlignment="1">
      <alignment vertical="center"/>
    </xf>
    <xf numFmtId="0" fontId="2" fillId="4" borderId="6" xfId="0" quotePrefix="1" applyFont="1" applyFill="1" applyBorder="1" applyAlignment="1">
      <alignment horizontal="right" vertical="center"/>
    </xf>
    <xf numFmtId="0" fontId="0" fillId="4" borderId="11" xfId="0" applyFill="1" applyBorder="1" applyAlignment="1">
      <alignment horizontal="center" vertical="center"/>
    </xf>
    <xf numFmtId="0" fontId="0" fillId="4" borderId="6" xfId="0" applyFill="1" applyBorder="1" applyAlignment="1">
      <alignment horizontal="center" vertical="center"/>
    </xf>
    <xf numFmtId="0" fontId="0" fillId="4" borderId="142" xfId="0" applyFill="1" applyBorder="1" applyAlignment="1">
      <alignment horizontal="center" vertical="center"/>
    </xf>
    <xf numFmtId="0" fontId="71" fillId="3" borderId="14" xfId="0" applyFont="1" applyFill="1" applyBorder="1" applyAlignment="1">
      <alignment horizontal="center" vertical="center" wrapText="1"/>
    </xf>
    <xf numFmtId="9" fontId="0" fillId="4" borderId="21" xfId="0" applyNumberFormat="1" applyFill="1" applyBorder="1" applyAlignment="1">
      <alignment horizontal="center" vertical="center"/>
    </xf>
    <xf numFmtId="9" fontId="0" fillId="4" borderId="9" xfId="0" applyNumberFormat="1" applyFill="1" applyBorder="1" applyAlignment="1">
      <alignment horizontal="center" vertical="center"/>
    </xf>
    <xf numFmtId="9" fontId="0" fillId="4" borderId="5" xfId="0" applyNumberFormat="1" applyFill="1" applyBorder="1" applyAlignment="1">
      <alignment horizontal="center" vertical="center"/>
    </xf>
    <xf numFmtId="0" fontId="2" fillId="4" borderId="6" xfId="0" applyFont="1" applyFill="1" applyBorder="1" applyAlignment="1">
      <alignment horizontal="center" vertical="center"/>
    </xf>
    <xf numFmtId="0" fontId="2" fillId="4" borderId="2" xfId="0" applyFont="1" applyFill="1" applyBorder="1" applyAlignment="1">
      <alignment horizontal="center" vertical="center"/>
    </xf>
    <xf numFmtId="9" fontId="0" fillId="4" borderId="104" xfId="0" applyNumberFormat="1" applyFill="1" applyBorder="1" applyAlignment="1">
      <alignment horizontal="center" vertical="center"/>
    </xf>
    <xf numFmtId="0" fontId="0" fillId="4" borderId="28" xfId="0" applyFill="1" applyBorder="1" applyAlignment="1">
      <alignment horizontal="center" vertical="center"/>
    </xf>
    <xf numFmtId="9" fontId="0" fillId="4" borderId="22" xfId="0" applyNumberFormat="1" applyFill="1" applyBorder="1" applyAlignment="1">
      <alignment horizontal="center" vertical="center"/>
    </xf>
    <xf numFmtId="0" fontId="2" fillId="4" borderId="104" xfId="0" applyFont="1" applyFill="1" applyBorder="1" applyAlignment="1">
      <alignment horizontal="center" vertical="center"/>
    </xf>
    <xf numFmtId="0" fontId="2" fillId="4" borderId="9" xfId="0" applyFont="1" applyFill="1" applyBorder="1" applyAlignment="1">
      <alignment horizontal="center" vertical="center"/>
    </xf>
    <xf numFmtId="0" fontId="2" fillId="4" borderId="22" xfId="0" applyFont="1" applyFill="1" applyBorder="1" applyAlignment="1">
      <alignment horizontal="center" vertical="center"/>
    </xf>
    <xf numFmtId="0" fontId="0" fillId="0" borderId="0" xfId="0" applyFill="1" applyAlignment="1">
      <alignment vertical="center" wrapText="1"/>
    </xf>
    <xf numFmtId="0" fontId="10" fillId="0" borderId="0" xfId="3" applyFill="1" applyBorder="1" applyAlignment="1" applyProtection="1">
      <alignment vertical="center" wrapText="1"/>
    </xf>
    <xf numFmtId="0" fontId="2" fillId="0" borderId="0" xfId="0" quotePrefix="1" applyFont="1" applyFill="1" applyAlignment="1">
      <alignment horizontal="right" vertical="center"/>
    </xf>
    <xf numFmtId="2" fontId="4" fillId="8" borderId="1" xfId="0" applyNumberFormat="1" applyFont="1" applyFill="1" applyBorder="1" applyAlignment="1">
      <alignment horizontal="center" vertical="center" wrapText="1"/>
    </xf>
    <xf numFmtId="2" fontId="4" fillId="8" borderId="6" xfId="0" applyNumberFormat="1" applyFont="1" applyFill="1" applyBorder="1" applyAlignment="1">
      <alignment horizontal="center" vertical="center" wrapText="1"/>
    </xf>
    <xf numFmtId="2" fontId="4" fillId="8" borderId="26" xfId="0" applyNumberFormat="1" applyFont="1" applyFill="1" applyBorder="1" applyAlignment="1">
      <alignment horizontal="center" vertical="center" wrapText="1"/>
    </xf>
    <xf numFmtId="2" fontId="4" fillId="8" borderId="40" xfId="0" applyNumberFormat="1" applyFont="1" applyFill="1" applyBorder="1" applyAlignment="1">
      <alignment horizontal="center" vertical="center" wrapText="1"/>
    </xf>
    <xf numFmtId="10" fontId="80" fillId="4" borderId="21" xfId="0" applyNumberFormat="1" applyFont="1" applyFill="1" applyBorder="1" applyAlignment="1">
      <alignment vertical="center"/>
    </xf>
    <xf numFmtId="10" fontId="80" fillId="4" borderId="15" xfId="0" applyNumberFormat="1" applyFont="1" applyFill="1" applyBorder="1" applyAlignment="1">
      <alignment vertical="center"/>
    </xf>
    <xf numFmtId="10" fontId="80" fillId="4" borderId="9" xfId="0" applyNumberFormat="1" applyFont="1" applyFill="1" applyBorder="1" applyAlignment="1">
      <alignment vertical="center"/>
    </xf>
    <xf numFmtId="10" fontId="80" fillId="4" borderId="1" xfId="0" applyNumberFormat="1" applyFont="1" applyFill="1" applyBorder="1" applyAlignment="1">
      <alignment vertical="center"/>
    </xf>
    <xf numFmtId="10" fontId="80" fillId="4" borderId="104" xfId="0" applyNumberFormat="1" applyFont="1" applyFill="1" applyBorder="1" applyAlignment="1">
      <alignment vertical="center"/>
    </xf>
    <xf numFmtId="10" fontId="80" fillId="4" borderId="103" xfId="0" applyNumberFormat="1" applyFont="1" applyFill="1" applyBorder="1" applyAlignment="1">
      <alignment vertical="center"/>
    </xf>
    <xf numFmtId="10" fontId="80" fillId="4" borderId="5" xfId="0" applyNumberFormat="1" applyFont="1" applyFill="1" applyBorder="1" applyAlignment="1">
      <alignment vertical="center"/>
    </xf>
    <xf numFmtId="10" fontId="80" fillId="4" borderId="4" xfId="0" applyNumberFormat="1" applyFont="1" applyFill="1" applyBorder="1" applyAlignment="1">
      <alignment vertical="center"/>
    </xf>
    <xf numFmtId="9" fontId="80" fillId="4" borderId="21" xfId="0" applyNumberFormat="1" applyFont="1" applyFill="1" applyBorder="1" applyAlignment="1">
      <alignment horizontal="center" vertical="center"/>
    </xf>
    <xf numFmtId="9" fontId="80" fillId="4" borderId="104" xfId="0" applyNumberFormat="1" applyFont="1" applyFill="1" applyBorder="1" applyAlignment="1">
      <alignment horizontal="center" vertical="center"/>
    </xf>
    <xf numFmtId="9" fontId="80" fillId="4" borderId="9" xfId="0" applyNumberFormat="1" applyFont="1" applyFill="1" applyBorder="1" applyAlignment="1">
      <alignment horizontal="center" vertical="center"/>
    </xf>
    <xf numFmtId="9" fontId="80" fillId="4" borderId="22" xfId="0" applyNumberFormat="1" applyFont="1" applyFill="1" applyBorder="1" applyAlignment="1">
      <alignment horizontal="center" vertical="center"/>
    </xf>
    <xf numFmtId="9" fontId="80" fillId="4" borderId="5" xfId="0" applyNumberFormat="1" applyFont="1" applyFill="1" applyBorder="1" applyAlignment="1">
      <alignment horizontal="center" vertical="center"/>
    </xf>
    <xf numFmtId="17" fontId="3" fillId="0" borderId="9" xfId="0" applyNumberFormat="1" applyFont="1" applyFill="1" applyBorder="1" applyAlignment="1">
      <alignment horizontal="center" vertical="center"/>
    </xf>
    <xf numFmtId="0" fontId="2" fillId="0" borderId="0" xfId="0" applyFont="1"/>
    <xf numFmtId="10" fontId="2" fillId="0" borderId="0" xfId="0" applyNumberFormat="1" applyFont="1" applyFill="1" applyBorder="1" applyAlignment="1">
      <alignment vertical="center"/>
    </xf>
    <xf numFmtId="0" fontId="75" fillId="0" borderId="203" xfId="0" applyFont="1" applyFill="1" applyBorder="1" applyAlignment="1">
      <alignment vertical="center"/>
    </xf>
    <xf numFmtId="0" fontId="7" fillId="0" borderId="204" xfId="0" applyFont="1" applyFill="1" applyBorder="1" applyAlignment="1">
      <alignment vertical="center"/>
    </xf>
    <xf numFmtId="0" fontId="24" fillId="0" borderId="204" xfId="0" applyFont="1" applyFill="1" applyBorder="1" applyAlignment="1">
      <alignment vertical="center"/>
    </xf>
    <xf numFmtId="0" fontId="24" fillId="0" borderId="205" xfId="0" applyFont="1" applyFill="1" applyBorder="1" applyAlignment="1">
      <alignment vertical="center"/>
    </xf>
    <xf numFmtId="0" fontId="75" fillId="0" borderId="206" xfId="0" applyFont="1" applyFill="1" applyBorder="1" applyAlignment="1">
      <alignment vertical="center"/>
    </xf>
    <xf numFmtId="0" fontId="7" fillId="0" borderId="20" xfId="0" applyFont="1" applyFill="1" applyBorder="1" applyAlignment="1">
      <alignment vertical="center"/>
    </xf>
    <xf numFmtId="0" fontId="24" fillId="0" borderId="20" xfId="0" applyFont="1" applyFill="1" applyBorder="1" applyAlignment="1">
      <alignment vertical="center"/>
    </xf>
    <xf numFmtId="0" fontId="24" fillId="0" borderId="207" xfId="0" applyFont="1" applyFill="1" applyBorder="1" applyAlignment="1">
      <alignment vertical="center"/>
    </xf>
    <xf numFmtId="0" fontId="75" fillId="0" borderId="208" xfId="0" applyFont="1" applyFill="1" applyBorder="1" applyAlignment="1">
      <alignment vertical="center"/>
    </xf>
    <xf numFmtId="0" fontId="24" fillId="0" borderId="209" xfId="0" applyFont="1" applyFill="1" applyBorder="1" applyAlignment="1">
      <alignment vertical="center"/>
    </xf>
    <xf numFmtId="0" fontId="2" fillId="0" borderId="6" xfId="0" quotePrefix="1" applyFont="1" applyFill="1" applyBorder="1" applyAlignment="1">
      <alignment horizontal="right" vertical="center"/>
    </xf>
    <xf numFmtId="0" fontId="4" fillId="0" borderId="40" xfId="0" applyFont="1" applyBorder="1" applyAlignment="1">
      <alignment vertical="center"/>
    </xf>
    <xf numFmtId="0" fontId="4" fillId="4" borderId="18" xfId="0" applyFont="1" applyFill="1" applyBorder="1" applyAlignment="1">
      <alignment horizontal="center" vertical="center"/>
    </xf>
    <xf numFmtId="17" fontId="4" fillId="0" borderId="47" xfId="0" applyNumberFormat="1" applyFont="1" applyFill="1" applyBorder="1" applyAlignment="1">
      <alignment horizontal="center" vertical="center"/>
    </xf>
    <xf numFmtId="0" fontId="2" fillId="0" borderId="18" xfId="0" applyFont="1" applyBorder="1" applyAlignment="1">
      <alignment vertical="center"/>
    </xf>
    <xf numFmtId="2" fontId="6" fillId="4" borderId="18" xfId="0" applyNumberFormat="1" applyFont="1" applyFill="1" applyBorder="1" applyAlignment="1">
      <alignment horizontal="left" vertical="center"/>
    </xf>
    <xf numFmtId="2" fontId="6" fillId="4" borderId="26" xfId="0" applyNumberFormat="1" applyFont="1" applyFill="1" applyBorder="1" applyAlignment="1">
      <alignment horizontal="left" vertical="center"/>
    </xf>
    <xf numFmtId="0" fontId="2" fillId="0" borderId="0" xfId="0" quotePrefix="1" applyFont="1" applyFill="1" applyBorder="1" applyAlignment="1">
      <alignment vertical="center"/>
    </xf>
    <xf numFmtId="0" fontId="2" fillId="0" borderId="0" xfId="0" quotePrefix="1" applyFont="1" applyFill="1" applyBorder="1" applyAlignment="1">
      <alignment horizontal="left" vertical="center"/>
    </xf>
    <xf numFmtId="10" fontId="3" fillId="0" borderId="0" xfId="0" applyNumberFormat="1" applyFont="1" applyFill="1"/>
    <xf numFmtId="167" fontId="3" fillId="0" borderId="0" xfId="0" applyNumberFormat="1" applyFont="1" applyFill="1" applyBorder="1" applyAlignment="1">
      <alignment horizontal="center" vertical="center"/>
    </xf>
    <xf numFmtId="169" fontId="3" fillId="0" borderId="1" xfId="0" applyNumberFormat="1" applyFont="1" applyFill="1" applyBorder="1" applyAlignment="1">
      <alignment horizontal="center" vertical="center" wrapText="1"/>
    </xf>
    <xf numFmtId="169" fontId="3" fillId="0" borderId="26" xfId="0" applyNumberFormat="1" applyFont="1" applyFill="1" applyBorder="1" applyAlignment="1">
      <alignment horizontal="center" vertical="center" wrapText="1"/>
    </xf>
    <xf numFmtId="0" fontId="0" fillId="0" borderId="0" xfId="0" applyAlignment="1"/>
    <xf numFmtId="0" fontId="4" fillId="0" borderId="18" xfId="0" applyFont="1" applyBorder="1" applyAlignment="1">
      <alignment vertical="center"/>
    </xf>
    <xf numFmtId="17" fontId="4" fillId="0" borderId="47" xfId="0" applyNumberFormat="1" applyFont="1" applyBorder="1" applyAlignment="1">
      <alignment horizontal="center" vertical="center"/>
    </xf>
    <xf numFmtId="2" fontId="6" fillId="0" borderId="18" xfId="0" applyNumberFormat="1" applyFont="1" applyFill="1" applyBorder="1" applyAlignment="1">
      <alignment horizontal="left" vertical="center"/>
    </xf>
    <xf numFmtId="2" fontId="5" fillId="0" borderId="18" xfId="0" applyNumberFormat="1" applyFont="1" applyFill="1" applyBorder="1" applyAlignment="1">
      <alignment horizontal="left" vertical="center"/>
    </xf>
    <xf numFmtId="2" fontId="5" fillId="0" borderId="26" xfId="0" applyNumberFormat="1" applyFont="1" applyFill="1" applyBorder="1" applyAlignment="1">
      <alignment horizontal="left" vertical="center"/>
    </xf>
    <xf numFmtId="17" fontId="4" fillId="4" borderId="21" xfId="0" applyNumberFormat="1" applyFont="1" applyFill="1" applyBorder="1" applyAlignment="1">
      <alignment horizontal="center" vertical="center"/>
    </xf>
    <xf numFmtId="15" fontId="3" fillId="4" borderId="5" xfId="0" applyNumberFormat="1" applyFont="1" applyFill="1" applyBorder="1" applyAlignment="1">
      <alignment horizontal="center" vertical="center"/>
    </xf>
    <xf numFmtId="0" fontId="4" fillId="4" borderId="15" xfId="0" applyFont="1" applyFill="1" applyBorder="1" applyAlignment="1">
      <alignment vertical="center"/>
    </xf>
    <xf numFmtId="0" fontId="4" fillId="4" borderId="2" xfId="0" applyFont="1" applyFill="1" applyBorder="1" applyAlignment="1">
      <alignment vertical="center"/>
    </xf>
    <xf numFmtId="2" fontId="6" fillId="4" borderId="3" xfId="0" applyNumberFormat="1" applyFont="1" applyFill="1" applyBorder="1" applyAlignment="1">
      <alignment horizontal="left" vertical="center"/>
    </xf>
    <xf numFmtId="2" fontId="5" fillId="4" borderId="3" xfId="0" applyNumberFormat="1" applyFont="1" applyFill="1" applyBorder="1" applyAlignment="1">
      <alignment horizontal="left" vertical="center"/>
    </xf>
    <xf numFmtId="2" fontId="5" fillId="4" borderId="4" xfId="0" applyNumberFormat="1" applyFont="1" applyFill="1" applyBorder="1" applyAlignment="1">
      <alignment horizontal="left" vertical="center"/>
    </xf>
    <xf numFmtId="0" fontId="6" fillId="0" borderId="11"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3" fillId="0" borderId="2" xfId="0" applyNumberFormat="1" applyFont="1" applyFill="1" applyBorder="1"/>
    <xf numFmtId="0" fontId="81" fillId="0" borderId="0" xfId="0" applyFont="1" applyFill="1"/>
    <xf numFmtId="0" fontId="81" fillId="0" borderId="0" xfId="0" applyFont="1" applyFill="1" applyAlignment="1">
      <alignment horizontal="center"/>
    </xf>
    <xf numFmtId="0" fontId="81" fillId="0" borderId="0" xfId="0" applyFont="1"/>
    <xf numFmtId="0" fontId="81" fillId="0" borderId="0" xfId="0" applyFont="1" applyFill="1" applyBorder="1" applyAlignment="1">
      <alignment vertical="center"/>
    </xf>
    <xf numFmtId="0" fontId="81" fillId="0" borderId="0" xfId="0" applyFont="1" applyFill="1" applyAlignment="1">
      <alignment horizontal="centerContinuous" vertical="center"/>
    </xf>
    <xf numFmtId="0" fontId="81" fillId="0" borderId="0" xfId="0" applyFont="1" applyFill="1" applyAlignment="1">
      <alignment vertical="center"/>
    </xf>
    <xf numFmtId="0" fontId="71" fillId="0" borderId="0" xfId="0" applyFont="1" applyFill="1" applyBorder="1" applyAlignment="1">
      <alignment horizontal="center" vertical="center"/>
    </xf>
    <xf numFmtId="0" fontId="4" fillId="4" borderId="12" xfId="0" applyFont="1" applyFill="1" applyBorder="1" applyAlignment="1">
      <alignment horizontal="center" vertical="center"/>
    </xf>
    <xf numFmtId="17" fontId="2" fillId="0" borderId="9" xfId="0" applyNumberFormat="1" applyFont="1" applyBorder="1" applyAlignment="1">
      <alignment horizontal="center" vertical="center"/>
    </xf>
    <xf numFmtId="0" fontId="2" fillId="4" borderId="1" xfId="0" applyFont="1" applyFill="1" applyBorder="1" applyAlignment="1">
      <alignment horizontal="center" vertical="center"/>
    </xf>
    <xf numFmtId="15" fontId="2" fillId="4" borderId="9" xfId="0" applyNumberFormat="1" applyFont="1" applyFill="1" applyBorder="1" applyAlignment="1">
      <alignment horizontal="center" vertical="center"/>
    </xf>
    <xf numFmtId="2" fontId="6" fillId="4" borderId="12" xfId="0" applyNumberFormat="1" applyFont="1" applyFill="1" applyBorder="1" applyAlignment="1">
      <alignment horizontal="left" vertical="center"/>
    </xf>
    <xf numFmtId="2" fontId="5" fillId="4" borderId="12" xfId="0" applyNumberFormat="1" applyFont="1" applyFill="1" applyBorder="1" applyAlignment="1">
      <alignment horizontal="left" vertical="center"/>
    </xf>
    <xf numFmtId="2" fontId="5" fillId="4" borderId="15" xfId="0" applyNumberFormat="1" applyFont="1" applyFill="1" applyBorder="1" applyAlignment="1">
      <alignment horizontal="left" vertical="center"/>
    </xf>
    <xf numFmtId="17" fontId="4" fillId="4" borderId="5" xfId="0" applyNumberFormat="1" applyFont="1" applyFill="1" applyBorder="1" applyAlignment="1">
      <alignment horizontal="center" vertical="center"/>
    </xf>
    <xf numFmtId="0" fontId="4" fillId="4" borderId="15" xfId="0" applyFont="1" applyFill="1" applyBorder="1" applyAlignment="1">
      <alignment horizontal="center" vertical="center"/>
    </xf>
    <xf numFmtId="17" fontId="4" fillId="4" borderId="9" xfId="0" applyNumberFormat="1" applyFont="1" applyFill="1" applyBorder="1" applyAlignment="1">
      <alignment horizontal="center" vertical="center"/>
    </xf>
    <xf numFmtId="0" fontId="10" fillId="0" borderId="0" xfId="3" applyFill="1" applyBorder="1" applyAlignment="1" applyProtection="1"/>
    <xf numFmtId="0" fontId="64" fillId="0" borderId="0" xfId="3" applyFont="1" applyFill="1" applyBorder="1" applyAlignment="1" applyProtection="1"/>
    <xf numFmtId="0" fontId="75" fillId="0" borderId="0" xfId="0" applyFont="1" applyFill="1" applyBorder="1" applyAlignment="1">
      <alignment vertical="center"/>
    </xf>
    <xf numFmtId="17" fontId="2" fillId="4" borderId="9" xfId="0" applyNumberFormat="1" applyFont="1" applyFill="1" applyBorder="1" applyAlignment="1">
      <alignment horizontal="center" vertical="center"/>
    </xf>
    <xf numFmtId="0" fontId="2" fillId="4" borderId="0" xfId="0" applyFont="1" applyFill="1" applyBorder="1" applyAlignment="1">
      <alignment horizontal="center" vertical="center"/>
    </xf>
    <xf numFmtId="0" fontId="10" fillId="0" borderId="0" xfId="3" applyAlignment="1" applyProtection="1"/>
    <xf numFmtId="2" fontId="2" fillId="0" borderId="2" xfId="0" applyNumberFormat="1" applyFont="1" applyFill="1" applyBorder="1" applyAlignment="1">
      <alignment horizontal="center" vertical="center" wrapText="1"/>
    </xf>
    <xf numFmtId="2" fontId="2" fillId="0" borderId="3" xfId="0" applyNumberFormat="1" applyFont="1" applyFill="1" applyBorder="1" applyAlignment="1">
      <alignment horizontal="center" vertical="center" wrapText="1"/>
    </xf>
    <xf numFmtId="2" fontId="76" fillId="0" borderId="1" xfId="0" applyNumberFormat="1" applyFont="1" applyFill="1" applyBorder="1" applyAlignment="1">
      <alignment horizontal="center" vertical="center" wrapText="1"/>
    </xf>
    <xf numFmtId="2" fontId="2" fillId="0" borderId="4" xfId="0" applyNumberFormat="1" applyFont="1" applyFill="1" applyBorder="1" applyAlignment="1">
      <alignment horizontal="center" vertical="center" wrapText="1"/>
    </xf>
    <xf numFmtId="171" fontId="6" fillId="0" borderId="0" xfId="0" applyNumberFormat="1" applyFont="1" applyFill="1" applyBorder="1" applyAlignment="1">
      <alignment horizontal="center" vertical="center" wrapText="1"/>
    </xf>
    <xf numFmtId="171" fontId="6" fillId="0" borderId="4" xfId="0" applyNumberFormat="1" applyFont="1" applyFill="1" applyBorder="1" applyAlignment="1">
      <alignment horizontal="center" vertical="center" wrapText="1"/>
    </xf>
    <xf numFmtId="0" fontId="10" fillId="0" borderId="12" xfId="3" applyBorder="1" applyAlignment="1" applyProtection="1"/>
    <xf numFmtId="0" fontId="10" fillId="0" borderId="0" xfId="3" applyBorder="1" applyAlignment="1" applyProtection="1"/>
    <xf numFmtId="2" fontId="29" fillId="0" borderId="2" xfId="0" applyNumberFormat="1" applyFont="1" applyFill="1" applyBorder="1" applyAlignment="1">
      <alignment horizontal="center" vertical="center"/>
    </xf>
    <xf numFmtId="0" fontId="3" fillId="0" borderId="5" xfId="0" applyFont="1" applyFill="1" applyBorder="1" applyAlignment="1">
      <alignment horizontal="center" vertical="center"/>
    </xf>
    <xf numFmtId="43" fontId="6" fillId="0" borderId="1" xfId="2" applyFont="1" applyFill="1" applyBorder="1" applyAlignment="1">
      <alignment horizontal="center" vertical="center" wrapText="1"/>
    </xf>
    <xf numFmtId="2" fontId="2" fillId="4" borderId="6" xfId="0" applyNumberFormat="1" applyFont="1" applyFill="1" applyBorder="1" applyAlignment="1">
      <alignment vertical="center"/>
    </xf>
    <xf numFmtId="2" fontId="2" fillId="0" borderId="12" xfId="0" applyNumberFormat="1" applyFont="1" applyBorder="1" applyAlignment="1">
      <alignment horizontal="center" vertical="center"/>
    </xf>
    <xf numFmtId="0" fontId="2" fillId="0" borderId="140" xfId="0" applyFont="1" applyFill="1" applyBorder="1" applyAlignment="1">
      <alignment horizontal="left" vertical="center"/>
    </xf>
    <xf numFmtId="0" fontId="2" fillId="0" borderId="25" xfId="0" applyFont="1" applyFill="1" applyBorder="1" applyAlignment="1">
      <alignment horizontal="left" vertical="center"/>
    </xf>
    <xf numFmtId="0" fontId="2" fillId="0" borderId="0" xfId="0" applyFont="1" applyAlignment="1">
      <alignment horizontal="center" vertical="center"/>
    </xf>
    <xf numFmtId="0" fontId="82" fillId="0" borderId="19" xfId="0" applyFont="1" applyBorder="1" applyAlignment="1">
      <alignment horizontal="center" vertical="center" wrapText="1"/>
    </xf>
    <xf numFmtId="0" fontId="82" fillId="0" borderId="0" xfId="0" applyFont="1" applyAlignment="1">
      <alignment vertical="center" wrapText="1"/>
    </xf>
    <xf numFmtId="0" fontId="82" fillId="0" borderId="19" xfId="0" applyFont="1" applyBorder="1" applyAlignment="1">
      <alignment vertical="center" wrapText="1"/>
    </xf>
    <xf numFmtId="0" fontId="83" fillId="0" borderId="196" xfId="0" applyFont="1" applyBorder="1" applyAlignment="1">
      <alignment vertical="center" wrapText="1"/>
    </xf>
    <xf numFmtId="0" fontId="82" fillId="0" borderId="196" xfId="0" applyFont="1" applyBorder="1" applyAlignment="1">
      <alignment horizontal="center" vertical="center" wrapText="1"/>
    </xf>
    <xf numFmtId="0" fontId="2" fillId="0" borderId="136" xfId="0" applyFont="1" applyBorder="1" applyAlignment="1">
      <alignment vertical="center"/>
    </xf>
    <xf numFmtId="0" fontId="82" fillId="0" borderId="126" xfId="0" applyFont="1" applyBorder="1" applyAlignment="1">
      <alignment horizontal="center" vertical="center" wrapText="1"/>
    </xf>
    <xf numFmtId="0" fontId="82" fillId="0" borderId="125" xfId="0" applyFont="1" applyBorder="1" applyAlignment="1">
      <alignment horizontal="center" vertical="center" wrapText="1"/>
    </xf>
    <xf numFmtId="0" fontId="82" fillId="0" borderId="37" xfId="0" applyFont="1" applyBorder="1" applyAlignment="1">
      <alignment vertical="center" wrapText="1"/>
    </xf>
    <xf numFmtId="0" fontId="82" fillId="0" borderId="37" xfId="0" applyFont="1" applyBorder="1" applyAlignment="1">
      <alignment horizontal="center" vertical="center" wrapText="1"/>
    </xf>
    <xf numFmtId="0" fontId="82" fillId="0" borderId="38" xfId="0" applyFont="1" applyBorder="1" applyAlignment="1">
      <alignment horizontal="center" vertical="center" wrapText="1"/>
    </xf>
    <xf numFmtId="0" fontId="83" fillId="0" borderId="210" xfId="0" applyFont="1" applyBorder="1" applyAlignment="1">
      <alignment vertical="center" wrapText="1"/>
    </xf>
    <xf numFmtId="0" fontId="83" fillId="0" borderId="127" xfId="0" applyFont="1" applyBorder="1" applyAlignment="1">
      <alignment vertical="center" wrapText="1"/>
    </xf>
    <xf numFmtId="0" fontId="83" fillId="0" borderId="136" xfId="0" applyFont="1" applyBorder="1" applyAlignment="1">
      <alignment vertical="center" wrapText="1"/>
    </xf>
    <xf numFmtId="0" fontId="82" fillId="0" borderId="196" xfId="0" applyFont="1" applyBorder="1" applyAlignment="1">
      <alignment vertical="center" wrapText="1"/>
    </xf>
    <xf numFmtId="0" fontId="82" fillId="0" borderId="125" xfId="0" applyFont="1" applyBorder="1" applyAlignment="1">
      <alignment vertical="center" wrapText="1"/>
    </xf>
    <xf numFmtId="0" fontId="82" fillId="0" borderId="38" xfId="0" applyFont="1" applyBorder="1" applyAlignment="1">
      <alignment vertical="center" wrapText="1"/>
    </xf>
    <xf numFmtId="0" fontId="82" fillId="0" borderId="126" xfId="0" applyFont="1" applyBorder="1" applyAlignment="1">
      <alignment vertical="center" wrapText="1"/>
    </xf>
    <xf numFmtId="0" fontId="83" fillId="2" borderId="90" xfId="0" applyFont="1" applyFill="1" applyBorder="1" applyAlignment="1">
      <alignment vertical="center" wrapText="1"/>
    </xf>
    <xf numFmtId="0" fontId="83" fillId="2" borderId="44" xfId="0" applyFont="1" applyFill="1" applyBorder="1" applyAlignment="1">
      <alignment vertical="center" wrapText="1"/>
    </xf>
    <xf numFmtId="0" fontId="83" fillId="2" borderId="45" xfId="0" applyFont="1" applyFill="1" applyBorder="1" applyAlignment="1">
      <alignment vertical="center" wrapText="1"/>
    </xf>
    <xf numFmtId="0" fontId="7" fillId="4"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3" xfId="0" applyFont="1" applyFill="1" applyBorder="1" applyAlignment="1">
      <alignment horizontal="left" vertical="center"/>
    </xf>
    <xf numFmtId="0" fontId="5" fillId="2" borderId="4" xfId="0" applyFont="1" applyFill="1" applyBorder="1" applyAlignment="1">
      <alignment horizontal="left" vertical="center"/>
    </xf>
    <xf numFmtId="0" fontId="3" fillId="0" borderId="176" xfId="0" applyFont="1" applyFill="1" applyBorder="1"/>
    <xf numFmtId="1" fontId="4" fillId="0" borderId="175" xfId="0" applyNumberFormat="1" applyFont="1" applyFill="1" applyBorder="1" applyAlignment="1">
      <alignment horizontal="center" wrapText="1"/>
    </xf>
    <xf numFmtId="0" fontId="3" fillId="0" borderId="175" xfId="0" applyFont="1" applyFill="1" applyBorder="1"/>
    <xf numFmtId="169" fontId="3" fillId="0" borderId="211" xfId="0" applyNumberFormat="1" applyFont="1" applyFill="1" applyBorder="1" applyAlignment="1">
      <alignment horizontal="center" wrapText="1"/>
    </xf>
    <xf numFmtId="0" fontId="19" fillId="4" borderId="6" xfId="0" applyFont="1" applyFill="1" applyBorder="1" applyAlignment="1">
      <alignment vertical="center"/>
    </xf>
    <xf numFmtId="0" fontId="70" fillId="4" borderId="15" xfId="0" applyFont="1" applyFill="1" applyBorder="1" applyAlignment="1">
      <alignment horizontal="center" vertical="center" wrapText="1"/>
    </xf>
    <xf numFmtId="0" fontId="70" fillId="4" borderId="1" xfId="0" applyFont="1" applyFill="1" applyBorder="1" applyAlignment="1">
      <alignment horizontal="center" vertical="center" wrapText="1"/>
    </xf>
    <xf numFmtId="0" fontId="70" fillId="4" borderId="4" xfId="0" applyFont="1" applyFill="1" applyBorder="1" applyAlignment="1">
      <alignment horizontal="center" vertical="center" wrapText="1"/>
    </xf>
    <xf numFmtId="0" fontId="70" fillId="4" borderId="11" xfId="0" applyFont="1" applyFill="1" applyBorder="1" applyAlignment="1">
      <alignment vertical="center" wrapText="1"/>
    </xf>
    <xf numFmtId="0" fontId="70" fillId="4" borderId="6" xfId="0" applyFont="1" applyFill="1" applyBorder="1" applyAlignment="1">
      <alignment vertical="center" wrapText="1"/>
    </xf>
    <xf numFmtId="0" fontId="70" fillId="4" borderId="2" xfId="0" applyFont="1" applyFill="1" applyBorder="1" applyAlignment="1">
      <alignment vertical="center" wrapText="1"/>
    </xf>
    <xf numFmtId="0" fontId="70" fillId="4" borderId="21" xfId="0" applyFont="1" applyFill="1" applyBorder="1" applyAlignment="1">
      <alignment horizontal="center" vertical="center" wrapText="1"/>
    </xf>
    <xf numFmtId="0" fontId="70" fillId="4" borderId="9" xfId="0" applyFont="1" applyFill="1" applyBorder="1" applyAlignment="1">
      <alignment horizontal="center" vertical="center" wrapText="1"/>
    </xf>
    <xf numFmtId="0" fontId="70" fillId="4" borderId="5" xfId="0" applyFont="1" applyFill="1" applyBorder="1" applyAlignment="1">
      <alignment horizontal="center" vertical="center" wrapText="1"/>
    </xf>
    <xf numFmtId="0" fontId="3" fillId="4" borderId="6" xfId="0" applyFont="1" applyFill="1" applyBorder="1" applyAlignment="1">
      <alignment horizontal="right" vertical="center"/>
    </xf>
    <xf numFmtId="0" fontId="70" fillId="4" borderId="0" xfId="0" applyFont="1" applyFill="1" applyAlignment="1">
      <alignment vertical="center"/>
    </xf>
    <xf numFmtId="0" fontId="70" fillId="4" borderId="11" xfId="0" applyFont="1" applyFill="1" applyBorder="1" applyAlignment="1">
      <alignment horizontal="center" vertical="center" wrapText="1"/>
    </xf>
    <xf numFmtId="0" fontId="70" fillId="4" borderId="6" xfId="0" applyFont="1" applyFill="1" applyBorder="1" applyAlignment="1">
      <alignment horizontal="center" vertical="center" wrapText="1"/>
    </xf>
    <xf numFmtId="0" fontId="70" fillId="4" borderId="2" xfId="0" applyFont="1" applyFill="1" applyBorder="1" applyAlignment="1">
      <alignment horizontal="center" vertical="center" wrapText="1"/>
    </xf>
    <xf numFmtId="3" fontId="84" fillId="12" borderId="0" xfId="7" applyNumberFormat="1" applyFont="1" applyFill="1"/>
    <xf numFmtId="2" fontId="76" fillId="0" borderId="3" xfId="0" applyNumberFormat="1" applyFont="1" applyFill="1" applyBorder="1" applyAlignment="1">
      <alignment wrapText="1"/>
    </xf>
    <xf numFmtId="182" fontId="3" fillId="0" borderId="0" xfId="0" applyNumberFormat="1" applyFont="1" applyAlignment="1">
      <alignment vertical="center"/>
    </xf>
    <xf numFmtId="182" fontId="3" fillId="0" borderId="0" xfId="0" applyNumberFormat="1" applyFont="1" applyFill="1" applyBorder="1" applyAlignment="1">
      <alignment vertical="center"/>
    </xf>
    <xf numFmtId="0" fontId="4" fillId="0" borderId="6" xfId="0" applyFont="1" applyFill="1" applyBorder="1" applyAlignment="1">
      <alignment horizontal="right" vertical="center"/>
    </xf>
    <xf numFmtId="0" fontId="3" fillId="0" borderId="0" xfId="0" applyFont="1" applyAlignment="1">
      <alignment vertical="center"/>
    </xf>
    <xf numFmtId="0" fontId="3" fillId="0" borderId="0" xfId="0" applyFont="1" applyFill="1" applyBorder="1" applyAlignment="1">
      <alignment vertical="center"/>
    </xf>
    <xf numFmtId="0" fontId="0" fillId="0" borderId="0" xfId="0" applyFill="1" applyBorder="1" applyAlignment="1">
      <alignment horizontal="center" vertical="center"/>
    </xf>
    <xf numFmtId="0" fontId="4" fillId="0" borderId="0" xfId="3" applyFont="1" applyFill="1" applyBorder="1" applyAlignment="1" applyProtection="1">
      <alignment horizontal="center" vertical="center"/>
    </xf>
    <xf numFmtId="0" fontId="4" fillId="2" borderId="0" xfId="0" applyFont="1" applyFill="1" applyBorder="1" applyAlignment="1">
      <alignment vertical="center"/>
    </xf>
    <xf numFmtId="0" fontId="3" fillId="0" borderId="0" xfId="0" applyFont="1" applyFill="1" applyAlignment="1">
      <alignment vertical="center"/>
    </xf>
    <xf numFmtId="0" fontId="3" fillId="0" borderId="0" xfId="0" applyFont="1" applyFill="1" applyBorder="1" applyAlignment="1">
      <alignment vertical="center"/>
    </xf>
    <xf numFmtId="0" fontId="3" fillId="0" borderId="6" xfId="0" applyFont="1" applyFill="1" applyBorder="1" applyAlignment="1">
      <alignment vertical="center" wrapText="1"/>
    </xf>
    <xf numFmtId="0" fontId="3" fillId="0" borderId="0" xfId="0" applyFont="1" applyFill="1" applyBorder="1" applyAlignment="1">
      <alignment vertical="center" wrapText="1"/>
    </xf>
    <xf numFmtId="0" fontId="3" fillId="0" borderId="0" xfId="0" applyFont="1" applyFill="1" applyAlignment="1">
      <alignment vertical="center" wrapText="1"/>
    </xf>
    <xf numFmtId="0" fontId="4" fillId="2" borderId="7" xfId="0" applyFont="1" applyFill="1" applyBorder="1" applyAlignment="1">
      <alignment horizontal="center" vertical="center"/>
    </xf>
    <xf numFmtId="0" fontId="3" fillId="2" borderId="80" xfId="0" applyFont="1" applyFill="1" applyBorder="1" applyAlignment="1">
      <alignment horizontal="center" vertical="center"/>
    </xf>
    <xf numFmtId="0" fontId="3" fillId="2" borderId="1" xfId="0" applyFont="1" applyFill="1" applyBorder="1" applyAlignment="1">
      <alignment horizontal="center" vertical="center"/>
    </xf>
    <xf numFmtId="175" fontId="29" fillId="0" borderId="11" xfId="0" applyNumberFormat="1" applyFont="1" applyFill="1" applyBorder="1" applyAlignment="1">
      <alignment horizontal="center" vertical="center" wrapText="1"/>
    </xf>
    <xf numFmtId="175" fontId="29" fillId="0" borderId="15" xfId="0" applyNumberFormat="1" applyFont="1" applyFill="1" applyBorder="1" applyAlignment="1">
      <alignment horizontal="center" vertical="center" wrapText="1"/>
    </xf>
    <xf numFmtId="175" fontId="29" fillId="0" borderId="6" xfId="0" applyNumberFormat="1" applyFont="1" applyFill="1" applyBorder="1" applyAlignment="1">
      <alignment horizontal="center" vertical="center" wrapText="1"/>
    </xf>
    <xf numFmtId="175" fontId="29" fillId="0" borderId="1" xfId="0" applyNumberFormat="1" applyFont="1" applyFill="1" applyBorder="1" applyAlignment="1">
      <alignment horizontal="center" vertical="center" wrapText="1"/>
    </xf>
    <xf numFmtId="2" fontId="2" fillId="0" borderId="11" xfId="0" applyNumberFormat="1" applyFont="1" applyFill="1" applyBorder="1"/>
    <xf numFmtId="2" fontId="29" fillId="0" borderId="15" xfId="0" applyNumberFormat="1" applyFont="1" applyFill="1" applyBorder="1" applyAlignment="1">
      <alignment horizontal="center" vertical="center"/>
    </xf>
    <xf numFmtId="2" fontId="3" fillId="0" borderId="11" xfId="0" applyNumberFormat="1" applyFont="1" applyFill="1" applyBorder="1"/>
    <xf numFmtId="2" fontId="4" fillId="0" borderId="12" xfId="0" applyNumberFormat="1" applyFont="1" applyFill="1" applyBorder="1" applyAlignment="1">
      <alignment vertical="top" wrapText="1"/>
    </xf>
    <xf numFmtId="2" fontId="3" fillId="0" borderId="15" xfId="0" applyNumberFormat="1" applyFont="1" applyFill="1" applyBorder="1"/>
    <xf numFmtId="2" fontId="2" fillId="0" borderId="6" xfId="0" applyNumberFormat="1" applyFont="1" applyFill="1" applyBorder="1"/>
    <xf numFmtId="2" fontId="3" fillId="0" borderId="6" xfId="0" applyNumberFormat="1" applyFont="1" applyFill="1" applyBorder="1"/>
    <xf numFmtId="2" fontId="4" fillId="0" borderId="0" xfId="0" applyNumberFormat="1" applyFont="1" applyFill="1" applyBorder="1" applyAlignment="1">
      <alignment vertical="top" wrapText="1"/>
    </xf>
    <xf numFmtId="2" fontId="3" fillId="0" borderId="1" xfId="0" applyNumberFormat="1" applyFont="1" applyFill="1" applyBorder="1"/>
    <xf numFmtId="2" fontId="2" fillId="0" borderId="2" xfId="0" applyNumberFormat="1" applyFont="1" applyFill="1" applyBorder="1"/>
    <xf numFmtId="2" fontId="3" fillId="0" borderId="2" xfId="0" applyNumberFormat="1" applyFont="1" applyFill="1" applyBorder="1"/>
    <xf numFmtId="2" fontId="4" fillId="0" borderId="3" xfId="0" applyNumberFormat="1" applyFont="1" applyFill="1" applyBorder="1" applyAlignment="1">
      <alignment vertical="top" wrapText="1"/>
    </xf>
    <xf numFmtId="2" fontId="3" fillId="0" borderId="4" xfId="0" applyNumberFormat="1" applyFont="1" applyFill="1" applyBorder="1"/>
    <xf numFmtId="0" fontId="3" fillId="0" borderId="11" xfId="0" applyFont="1" applyFill="1" applyBorder="1" applyAlignment="1">
      <alignment horizontal="centerContinuous" vertical="center"/>
    </xf>
    <xf numFmtId="0" fontId="3" fillId="0" borderId="12" xfId="0" applyFont="1" applyFill="1" applyBorder="1" applyAlignment="1">
      <alignment horizontal="center" vertical="center"/>
    </xf>
    <xf numFmtId="0" fontId="3" fillId="0" borderId="15" xfId="0" applyFont="1" applyFill="1" applyBorder="1" applyAlignment="1">
      <alignment horizontal="centerContinuous" vertical="center"/>
    </xf>
    <xf numFmtId="0" fontId="3" fillId="0" borderId="6" xfId="0" applyFont="1" applyFill="1" applyBorder="1" applyAlignment="1">
      <alignment horizontal="centerContinuous" vertical="center"/>
    </xf>
    <xf numFmtId="0" fontId="0" fillId="0" borderId="4" xfId="0" applyBorder="1"/>
    <xf numFmtId="175" fontId="29" fillId="0" borderId="21" xfId="0" applyNumberFormat="1" applyFont="1" applyFill="1" applyBorder="1" applyAlignment="1">
      <alignment horizontal="center" vertical="center" wrapText="1"/>
    </xf>
    <xf numFmtId="175" fontId="29" fillId="0" borderId="9" xfId="0" applyNumberFormat="1" applyFont="1" applyFill="1" applyBorder="1" applyAlignment="1">
      <alignment horizontal="center" vertical="center" wrapText="1"/>
    </xf>
    <xf numFmtId="175" fontId="29" fillId="0" borderId="2" xfId="0" applyNumberFormat="1" applyFont="1" applyFill="1" applyBorder="1" applyAlignment="1">
      <alignment horizontal="center" vertical="center" wrapText="1"/>
    </xf>
    <xf numFmtId="175" fontId="29" fillId="0" borderId="5" xfId="0" applyNumberFormat="1" applyFont="1" applyFill="1" applyBorder="1" applyAlignment="1">
      <alignment horizontal="center" vertical="center" wrapText="1"/>
    </xf>
    <xf numFmtId="0" fontId="3" fillId="0" borderId="2" xfId="0" applyFont="1" applyFill="1" applyBorder="1" applyAlignment="1">
      <alignment horizontal="centerContinuous" vertical="center"/>
    </xf>
    <xf numFmtId="0" fontId="3" fillId="0" borderId="4" xfId="0" applyFont="1" applyFill="1" applyBorder="1" applyAlignment="1">
      <alignment horizontal="centerContinuous" vertical="center"/>
    </xf>
    <xf numFmtId="175" fontId="29" fillId="0" borderId="4" xfId="0" applyNumberFormat="1" applyFont="1" applyFill="1" applyBorder="1" applyAlignment="1">
      <alignment horizontal="center" vertical="center" wrapText="1"/>
    </xf>
    <xf numFmtId="0" fontId="2" fillId="0" borderId="12" xfId="0" applyFont="1" applyFill="1" applyBorder="1" applyAlignment="1">
      <alignment horizontal="center" vertical="center"/>
    </xf>
    <xf numFmtId="184" fontId="29" fillId="0" borderId="15" xfId="0" applyNumberFormat="1" applyFont="1" applyFill="1" applyBorder="1" applyAlignment="1">
      <alignment horizontal="center" vertical="center" wrapText="1"/>
    </xf>
    <xf numFmtId="184" fontId="29" fillId="0" borderId="1" xfId="0" applyNumberFormat="1" applyFont="1" applyFill="1" applyBorder="1" applyAlignment="1">
      <alignment horizontal="center" vertical="center" wrapText="1"/>
    </xf>
    <xf numFmtId="0" fontId="2" fillId="0" borderId="12" xfId="0" applyFont="1" applyFill="1" applyBorder="1" applyAlignment="1">
      <alignment horizontal="left" vertical="center"/>
    </xf>
    <xf numFmtId="0" fontId="2" fillId="0" borderId="3" xfId="0" applyFont="1" applyFill="1" applyBorder="1" applyAlignment="1">
      <alignment horizontal="left" vertical="center"/>
    </xf>
    <xf numFmtId="184" fontId="29" fillId="0" borderId="4" xfId="0" applyNumberFormat="1" applyFont="1" applyFill="1" applyBorder="1" applyAlignment="1">
      <alignment horizontal="center" vertical="center" wrapText="1"/>
    </xf>
    <xf numFmtId="1" fontId="3" fillId="0" borderId="21" xfId="0" applyNumberFormat="1" applyFont="1" applyFill="1" applyBorder="1" applyAlignment="1">
      <alignment horizontal="right" vertical="center"/>
    </xf>
    <xf numFmtId="169" fontId="3" fillId="0" borderId="21" xfId="0" applyNumberFormat="1" applyFont="1" applyFill="1" applyBorder="1" applyAlignment="1">
      <alignment horizontal="right" vertical="center"/>
    </xf>
    <xf numFmtId="1" fontId="3" fillId="0" borderId="9" xfId="0" applyNumberFormat="1" applyFont="1" applyFill="1" applyBorder="1" applyAlignment="1">
      <alignment horizontal="right" vertical="center"/>
    </xf>
    <xf numFmtId="169" fontId="3" fillId="0" borderId="9" xfId="0" applyNumberFormat="1" applyFont="1" applyFill="1" applyBorder="1" applyAlignment="1">
      <alignment horizontal="right" vertical="center"/>
    </xf>
    <xf numFmtId="1" fontId="3" fillId="0" borderId="5" xfId="0" applyNumberFormat="1" applyFont="1" applyFill="1" applyBorder="1" applyAlignment="1">
      <alignment horizontal="right" vertical="center"/>
    </xf>
    <xf numFmtId="169" fontId="3" fillId="0" borderId="5" xfId="0" applyNumberFormat="1" applyFont="1" applyFill="1" applyBorder="1" applyAlignment="1">
      <alignment horizontal="right" vertical="center"/>
    </xf>
    <xf numFmtId="0" fontId="3" fillId="0" borderId="15" xfId="0" applyFont="1" applyFill="1" applyBorder="1" applyAlignment="1">
      <alignment horizontal="center" vertical="center"/>
    </xf>
    <xf numFmtId="0" fontId="3" fillId="0" borderId="10" xfId="0" applyFont="1" applyFill="1" applyBorder="1"/>
    <xf numFmtId="0" fontId="2" fillId="0" borderId="7" xfId="0" applyFont="1" applyFill="1" applyBorder="1" applyAlignment="1">
      <alignment horizontal="center"/>
    </xf>
    <xf numFmtId="0" fontId="2" fillId="0" borderId="8" xfId="0" applyFont="1" applyFill="1" applyBorder="1" applyAlignment="1">
      <alignment horizontal="center"/>
    </xf>
    <xf numFmtId="2" fontId="3" fillId="0" borderId="9" xfId="0" applyNumberFormat="1" applyFont="1" applyFill="1" applyBorder="1"/>
    <xf numFmtId="2" fontId="3" fillId="0" borderId="5" xfId="0" applyNumberFormat="1" applyFont="1" applyFill="1" applyBorder="1"/>
    <xf numFmtId="0" fontId="4" fillId="0" borderId="6" xfId="0" applyFont="1" applyFill="1" applyBorder="1"/>
    <xf numFmtId="0" fontId="2" fillId="0" borderId="14" xfId="0" applyFont="1" applyFill="1" applyBorder="1" applyAlignment="1">
      <alignment horizontal="center"/>
    </xf>
    <xf numFmtId="1" fontId="3" fillId="0" borderId="11" xfId="0" applyNumberFormat="1" applyFont="1" applyFill="1" applyBorder="1" applyAlignment="1">
      <alignment horizontal="right" vertical="center"/>
    </xf>
    <xf numFmtId="1" fontId="3" fillId="0" borderId="12" xfId="0" applyNumberFormat="1" applyFont="1" applyFill="1" applyBorder="1" applyAlignment="1">
      <alignment horizontal="right" vertical="center"/>
    </xf>
    <xf numFmtId="1" fontId="3" fillId="0" borderId="15" xfId="0" applyNumberFormat="1" applyFont="1" applyFill="1" applyBorder="1" applyAlignment="1">
      <alignment horizontal="right" vertical="center"/>
    </xf>
    <xf numFmtId="1" fontId="3" fillId="0" borderId="6" xfId="0" applyNumberFormat="1" applyFont="1" applyFill="1" applyBorder="1" applyAlignment="1">
      <alignment horizontal="right" vertical="center"/>
    </xf>
    <xf numFmtId="1" fontId="3" fillId="0" borderId="2" xfId="0" applyNumberFormat="1" applyFont="1" applyFill="1" applyBorder="1" applyAlignment="1">
      <alignment horizontal="right" vertical="center"/>
    </xf>
    <xf numFmtId="1" fontId="3" fillId="0" borderId="3" xfId="0" applyNumberFormat="1" applyFont="1" applyFill="1" applyBorder="1" applyAlignment="1">
      <alignment horizontal="right" vertical="center"/>
    </xf>
    <xf numFmtId="1" fontId="3" fillId="0" borderId="4" xfId="0" applyNumberFormat="1" applyFont="1" applyFill="1" applyBorder="1" applyAlignment="1">
      <alignment horizontal="right" vertical="center"/>
    </xf>
    <xf numFmtId="175" fontId="29" fillId="0" borderId="12" xfId="0" applyNumberFormat="1" applyFont="1" applyFill="1" applyBorder="1" applyAlignment="1">
      <alignment horizontal="center" vertical="center" wrapText="1"/>
    </xf>
    <xf numFmtId="175" fontId="29" fillId="0" borderId="0" xfId="0" applyNumberFormat="1" applyFont="1" applyFill="1" applyBorder="1" applyAlignment="1">
      <alignment horizontal="center" vertical="center" wrapText="1"/>
    </xf>
    <xf numFmtId="175" fontId="29" fillId="0" borderId="3" xfId="0" applyNumberFormat="1" applyFont="1" applyFill="1" applyBorder="1" applyAlignment="1">
      <alignment horizontal="center" vertical="center" wrapText="1"/>
    </xf>
    <xf numFmtId="0" fontId="3" fillId="0" borderId="0" xfId="0" applyFont="1" applyAlignment="1">
      <alignment vertical="center"/>
    </xf>
    <xf numFmtId="0" fontId="3" fillId="0" borderId="0" xfId="0" applyFont="1" applyFill="1" applyBorder="1" applyAlignment="1">
      <alignment vertical="center"/>
    </xf>
    <xf numFmtId="0" fontId="0" fillId="0" borderId="0" xfId="0" applyFill="1" applyBorder="1" applyAlignment="1">
      <alignment horizontal="center" vertical="center"/>
    </xf>
    <xf numFmtId="169" fontId="4" fillId="4" borderId="21" xfId="11" applyNumberFormat="1" applyFont="1" applyFill="1" applyBorder="1" applyAlignment="1">
      <alignment horizontal="center" vertical="center" wrapText="1"/>
    </xf>
    <xf numFmtId="1" fontId="4" fillId="0" borderId="19" xfId="0" applyNumberFormat="1" applyFont="1" applyFill="1" applyBorder="1" applyAlignment="1">
      <alignment vertical="center"/>
    </xf>
    <xf numFmtId="0" fontId="3" fillId="0" borderId="0" xfId="0" applyFont="1" applyAlignment="1">
      <alignment vertical="center"/>
    </xf>
    <xf numFmtId="0" fontId="4" fillId="0" borderId="0" xfId="3" applyFont="1" applyFill="1" applyBorder="1" applyAlignment="1" applyProtection="1">
      <alignment horizontal="center" vertical="center"/>
    </xf>
    <xf numFmtId="0" fontId="4" fillId="2" borderId="0" xfId="0" applyFont="1" applyFill="1" applyBorder="1" applyAlignment="1">
      <alignment vertical="center"/>
    </xf>
    <xf numFmtId="0" fontId="4" fillId="0" borderId="0" xfId="0" applyFont="1" applyAlignment="1">
      <alignment vertical="center"/>
    </xf>
    <xf numFmtId="0" fontId="3" fillId="0" borderId="0" xfId="0" applyFont="1" applyBorder="1" applyAlignment="1">
      <alignment vertical="center" wrapText="1"/>
    </xf>
    <xf numFmtId="0" fontId="3" fillId="0" borderId="0" xfId="0" applyFont="1" applyFill="1" applyAlignment="1">
      <alignment vertical="center"/>
    </xf>
    <xf numFmtId="0" fontId="3" fillId="0" borderId="0" xfId="0" applyFont="1" applyFill="1" applyBorder="1" applyAlignment="1">
      <alignment vertical="center"/>
    </xf>
    <xf numFmtId="0" fontId="2" fillId="0" borderId="0" xfId="0" applyFont="1" applyAlignment="1">
      <alignment vertical="center"/>
    </xf>
    <xf numFmtId="0" fontId="7" fillId="3" borderId="10" xfId="0" applyFont="1" applyFill="1" applyBorder="1" applyAlignment="1">
      <alignment vertical="center"/>
    </xf>
    <xf numFmtId="0" fontId="0" fillId="0" borderId="0" xfId="0" applyFill="1" applyBorder="1" applyAlignment="1" applyProtection="1">
      <alignment vertical="center"/>
      <protection locked="0"/>
    </xf>
    <xf numFmtId="172" fontId="2" fillId="0" borderId="0" xfId="0" applyNumberFormat="1" applyFont="1" applyAlignment="1">
      <alignment vertical="center"/>
    </xf>
    <xf numFmtId="3" fontId="2" fillId="0" borderId="0" xfId="0" applyNumberFormat="1" applyFont="1" applyAlignment="1">
      <alignment vertical="center"/>
    </xf>
    <xf numFmtId="0" fontId="4" fillId="0" borderId="19" xfId="13" applyFont="1" applyBorder="1" applyAlignment="1">
      <alignment horizontal="center" vertical="center" wrapText="1"/>
    </xf>
    <xf numFmtId="0" fontId="4" fillId="0" borderId="16" xfId="0" applyFont="1" applyBorder="1" applyAlignment="1">
      <alignment horizontal="center" vertical="center"/>
    </xf>
    <xf numFmtId="0" fontId="89" fillId="3" borderId="7" xfId="0" applyFont="1" applyFill="1" applyBorder="1" applyAlignment="1">
      <alignment vertical="center"/>
    </xf>
    <xf numFmtId="0" fontId="89" fillId="3" borderId="12" xfId="0" applyFont="1" applyFill="1" applyBorder="1" applyAlignment="1">
      <alignment vertical="center"/>
    </xf>
    <xf numFmtId="0" fontId="4" fillId="2" borderId="19" xfId="0" applyFont="1" applyFill="1" applyBorder="1" applyAlignment="1">
      <alignment horizontal="center"/>
    </xf>
    <xf numFmtId="0" fontId="2" fillId="0" borderId="16" xfId="0" applyFont="1" applyBorder="1" applyAlignment="1">
      <alignment horizontal="center" vertical="center"/>
    </xf>
    <xf numFmtId="2" fontId="30" fillId="0" borderId="19" xfId="0" applyNumberFormat="1" applyFont="1" applyBorder="1"/>
    <xf numFmtId="2" fontId="30" fillId="0" borderId="196" xfId="0" applyNumberFormat="1" applyFont="1" applyBorder="1"/>
    <xf numFmtId="0" fontId="4" fillId="0" borderId="16" xfId="13" applyFont="1" applyBorder="1" applyAlignment="1">
      <alignment horizontal="center" vertical="center" wrapText="1"/>
    </xf>
    <xf numFmtId="0" fontId="90" fillId="0" borderId="0" xfId="0" applyFont="1"/>
    <xf numFmtId="0" fontId="90" fillId="0" borderId="0" xfId="0" applyFont="1" applyFill="1" applyAlignment="1">
      <alignment vertical="center"/>
    </xf>
    <xf numFmtId="0" fontId="91" fillId="0" borderId="6" xfId="0" applyFont="1" applyFill="1" applyBorder="1" applyAlignment="1">
      <alignment horizontal="left" vertical="center"/>
    </xf>
    <xf numFmtId="2" fontId="3" fillId="0" borderId="196" xfId="0" applyNumberFormat="1" applyFont="1" applyFill="1" applyBorder="1" applyAlignment="1">
      <alignment horizontal="center" vertical="center"/>
    </xf>
    <xf numFmtId="2" fontId="3" fillId="0" borderId="19" xfId="0" applyNumberFormat="1" applyFont="1" applyFill="1" applyBorder="1" applyAlignment="1">
      <alignment horizontal="center" vertical="center"/>
    </xf>
    <xf numFmtId="0" fontId="4" fillId="0" borderId="0" xfId="3" applyFont="1" applyFill="1" applyBorder="1" applyAlignment="1" applyProtection="1">
      <alignment horizontal="center" vertical="center"/>
    </xf>
    <xf numFmtId="0" fontId="7" fillId="3" borderId="11" xfId="0" applyFont="1" applyFill="1" applyBorder="1" applyAlignment="1">
      <alignment vertical="center"/>
    </xf>
    <xf numFmtId="0" fontId="4" fillId="2" borderId="0" xfId="0" applyFont="1" applyFill="1" applyBorder="1" applyAlignment="1">
      <alignment vertical="center"/>
    </xf>
    <xf numFmtId="0" fontId="3" fillId="0" borderId="0" xfId="0" applyFont="1" applyFill="1" applyAlignment="1">
      <alignment vertical="center"/>
    </xf>
    <xf numFmtId="0" fontId="3" fillId="0" borderId="0" xfId="0" applyFont="1" applyFill="1" applyBorder="1" applyAlignment="1">
      <alignment vertical="center"/>
    </xf>
    <xf numFmtId="0" fontId="3" fillId="0" borderId="6" xfId="0" applyFont="1" applyFill="1" applyBorder="1" applyAlignment="1">
      <alignment vertical="center" wrapText="1"/>
    </xf>
    <xf numFmtId="0" fontId="3" fillId="0" borderId="0" xfId="0" applyFont="1" applyFill="1" applyBorder="1" applyAlignment="1">
      <alignment vertical="center" wrapText="1"/>
    </xf>
    <xf numFmtId="10" fontId="2" fillId="0" borderId="11" xfId="11" applyNumberFormat="1" applyFont="1" applyFill="1" applyBorder="1" applyAlignment="1">
      <alignment horizontal="center"/>
    </xf>
    <xf numFmtId="10" fontId="2" fillId="0" borderId="0" xfId="11" applyNumberFormat="1" applyFont="1" applyFill="1" applyBorder="1" applyAlignment="1">
      <alignment horizontal="center"/>
    </xf>
    <xf numFmtId="10" fontId="2" fillId="0" borderId="1" xfId="11" applyNumberFormat="1" applyFont="1" applyFill="1" applyBorder="1" applyAlignment="1">
      <alignment horizontal="center"/>
    </xf>
    <xf numFmtId="10" fontId="2" fillId="0" borderId="12" xfId="11" applyNumberFormat="1" applyFont="1" applyFill="1" applyBorder="1" applyAlignment="1">
      <alignment horizontal="center"/>
    </xf>
    <xf numFmtId="9" fontId="2" fillId="0" borderId="11" xfId="11" applyFont="1" applyFill="1" applyBorder="1" applyAlignment="1">
      <alignment horizontal="center"/>
    </xf>
    <xf numFmtId="9" fontId="2" fillId="0" borderId="15" xfId="11" applyFont="1" applyFill="1" applyBorder="1" applyAlignment="1">
      <alignment horizontal="center"/>
    </xf>
    <xf numFmtId="10" fontId="2" fillId="0" borderId="6" xfId="11" applyNumberFormat="1" applyFont="1" applyFill="1" applyBorder="1" applyAlignment="1">
      <alignment horizontal="center"/>
    </xf>
    <xf numFmtId="9" fontId="2" fillId="0" borderId="6" xfId="11" applyFont="1" applyFill="1" applyBorder="1" applyAlignment="1">
      <alignment horizontal="center"/>
    </xf>
    <xf numFmtId="9" fontId="2" fillId="0" borderId="1" xfId="11" applyFont="1" applyFill="1" applyBorder="1" applyAlignment="1">
      <alignment horizontal="center"/>
    </xf>
    <xf numFmtId="9" fontId="2" fillId="0" borderId="40" xfId="11" applyFont="1" applyFill="1" applyBorder="1" applyAlignment="1">
      <alignment horizontal="center"/>
    </xf>
    <xf numFmtId="9" fontId="2" fillId="0" borderId="26" xfId="11" applyFont="1" applyFill="1" applyBorder="1" applyAlignment="1">
      <alignment horizontal="center"/>
    </xf>
    <xf numFmtId="10" fontId="2" fillId="0" borderId="99" xfId="11" applyNumberFormat="1" applyFont="1" applyFill="1" applyBorder="1" applyAlignment="1">
      <alignment horizontal="center"/>
    </xf>
    <xf numFmtId="10" fontId="2" fillId="0" borderId="53" xfId="11" applyNumberFormat="1" applyFont="1" applyFill="1" applyBorder="1" applyAlignment="1">
      <alignment horizontal="center"/>
    </xf>
    <xf numFmtId="10" fontId="2" fillId="0" borderId="121" xfId="11" applyNumberFormat="1" applyFont="1" applyFill="1" applyBorder="1" applyAlignment="1">
      <alignment horizontal="center"/>
    </xf>
    <xf numFmtId="9" fontId="2" fillId="0" borderId="99" xfId="0" applyNumberFormat="1" applyFont="1" applyFill="1" applyBorder="1" applyAlignment="1">
      <alignment horizontal="center" vertical="center"/>
    </xf>
    <xf numFmtId="10" fontId="2" fillId="0" borderId="121" xfId="0" applyNumberFormat="1" applyFont="1" applyFill="1" applyBorder="1" applyAlignment="1">
      <alignment horizontal="center" vertical="center"/>
    </xf>
    <xf numFmtId="10" fontId="2" fillId="0" borderId="148" xfId="11" applyNumberFormat="1" applyFont="1" applyFill="1" applyBorder="1" applyAlignment="1">
      <alignment horizontal="center"/>
    </xf>
    <xf numFmtId="10" fontId="2" fillId="0" borderId="135" xfId="11" applyNumberFormat="1" applyFont="1" applyFill="1" applyBorder="1" applyAlignment="1">
      <alignment horizontal="center"/>
    </xf>
    <xf numFmtId="10" fontId="2" fillId="0" borderId="70" xfId="11" applyNumberFormat="1" applyFont="1" applyFill="1" applyBorder="1" applyAlignment="1">
      <alignment horizontal="center"/>
    </xf>
    <xf numFmtId="10" fontId="2" fillId="0" borderId="40" xfId="11" applyNumberFormat="1" applyFont="1" applyFill="1" applyBorder="1" applyAlignment="1">
      <alignment horizontal="center"/>
    </xf>
    <xf numFmtId="10" fontId="2" fillId="0" borderId="18" xfId="11" applyNumberFormat="1" applyFont="1" applyFill="1" applyBorder="1" applyAlignment="1">
      <alignment horizontal="center"/>
    </xf>
    <xf numFmtId="10" fontId="2" fillId="0" borderId="26" xfId="11" applyNumberFormat="1" applyFont="1" applyFill="1" applyBorder="1" applyAlignment="1">
      <alignment horizontal="center"/>
    </xf>
    <xf numFmtId="10" fontId="2" fillId="0" borderId="28" xfId="11" applyNumberFormat="1" applyFont="1" applyFill="1" applyBorder="1" applyAlignment="1">
      <alignment horizontal="center"/>
    </xf>
    <xf numFmtId="10" fontId="2" fillId="0" borderId="23" xfId="11" applyNumberFormat="1" applyFont="1" applyFill="1" applyBorder="1" applyAlignment="1">
      <alignment horizontal="center"/>
    </xf>
    <xf numFmtId="10" fontId="4" fillId="0" borderId="28" xfId="11" applyNumberFormat="1" applyFont="1" applyFill="1" applyBorder="1" applyAlignment="1">
      <alignment horizontal="center"/>
    </xf>
    <xf numFmtId="10" fontId="4" fillId="0" borderId="25" xfId="11" applyNumberFormat="1" applyFont="1" applyFill="1" applyBorder="1" applyAlignment="1">
      <alignment horizontal="center"/>
    </xf>
    <xf numFmtId="10" fontId="4" fillId="0" borderId="23" xfId="11" applyNumberFormat="1" applyFont="1" applyFill="1" applyBorder="1" applyAlignment="1">
      <alignment horizontal="center"/>
    </xf>
    <xf numFmtId="9" fontId="4" fillId="0" borderId="155" xfId="0" applyNumberFormat="1" applyFont="1" applyFill="1" applyBorder="1" applyAlignment="1">
      <alignment horizontal="center" vertical="center"/>
    </xf>
    <xf numFmtId="10" fontId="4" fillId="0" borderId="130" xfId="0" applyNumberFormat="1" applyFont="1" applyFill="1" applyBorder="1" applyAlignment="1">
      <alignment horizontal="center" vertical="center"/>
    </xf>
    <xf numFmtId="10" fontId="2" fillId="0" borderId="142" xfId="11" applyNumberFormat="1" applyFont="1" applyFill="1" applyBorder="1" applyAlignment="1">
      <alignment horizontal="center"/>
    </xf>
    <xf numFmtId="10" fontId="2" fillId="0" borderId="143" xfId="11" applyNumberFormat="1" applyFont="1" applyFill="1" applyBorder="1" applyAlignment="1">
      <alignment horizontal="center"/>
    </xf>
    <xf numFmtId="10" fontId="2" fillId="0" borderId="103" xfId="11" applyNumberFormat="1" applyFont="1" applyFill="1" applyBorder="1" applyAlignment="1">
      <alignment horizontal="center"/>
    </xf>
    <xf numFmtId="10" fontId="2" fillId="0" borderId="157" xfId="11" applyNumberFormat="1" applyFont="1" applyFill="1" applyBorder="1" applyAlignment="1">
      <alignment horizontal="center"/>
    </xf>
    <xf numFmtId="10" fontId="2" fillId="0" borderId="50" xfId="11" applyNumberFormat="1" applyFont="1" applyFill="1" applyBorder="1" applyAlignment="1">
      <alignment horizontal="center"/>
    </xf>
    <xf numFmtId="10" fontId="2" fillId="0" borderId="158" xfId="11" applyNumberFormat="1" applyFont="1" applyFill="1" applyBorder="1" applyAlignment="1">
      <alignment horizontal="center"/>
    </xf>
    <xf numFmtId="10" fontId="2" fillId="0" borderId="52" xfId="0" applyNumberFormat="1" applyFont="1" applyFill="1" applyBorder="1" applyAlignment="1">
      <alignment horizontal="center" vertical="center"/>
    </xf>
    <xf numFmtId="10" fontId="2" fillId="0" borderId="147" xfId="11" applyNumberFormat="1" applyFont="1" applyFill="1" applyBorder="1" applyAlignment="1">
      <alignment horizontal="center"/>
    </xf>
    <xf numFmtId="10" fontId="374" fillId="0" borderId="6" xfId="11" applyNumberFormat="1" applyFont="1" applyFill="1" applyBorder="1" applyAlignment="1">
      <alignment horizontal="center"/>
    </xf>
    <xf numFmtId="10" fontId="374" fillId="0" borderId="0" xfId="11" applyNumberFormat="1" applyFont="1" applyFill="1" applyBorder="1" applyAlignment="1">
      <alignment horizontal="center"/>
    </xf>
    <xf numFmtId="10" fontId="374" fillId="0" borderId="1" xfId="11" applyNumberFormat="1" applyFont="1" applyFill="1" applyBorder="1" applyAlignment="1">
      <alignment horizontal="center"/>
    </xf>
    <xf numFmtId="10" fontId="374" fillId="0" borderId="40" xfId="11" applyNumberFormat="1" applyFont="1" applyFill="1" applyBorder="1" applyAlignment="1">
      <alignment horizontal="center"/>
    </xf>
    <xf numFmtId="10" fontId="374" fillId="0" borderId="18" xfId="11" applyNumberFormat="1" applyFont="1" applyFill="1" applyBorder="1" applyAlignment="1">
      <alignment horizontal="center"/>
    </xf>
    <xf numFmtId="10" fontId="374" fillId="0" borderId="26" xfId="11" applyNumberFormat="1" applyFont="1" applyFill="1" applyBorder="1" applyAlignment="1">
      <alignment horizontal="center"/>
    </xf>
    <xf numFmtId="10" fontId="374" fillId="0" borderId="158" xfId="11" applyNumberFormat="1" applyFont="1" applyFill="1" applyBorder="1" applyAlignment="1">
      <alignment horizontal="center"/>
    </xf>
    <xf numFmtId="10" fontId="374" fillId="0" borderId="99" xfId="11" applyNumberFormat="1" applyFont="1" applyFill="1" applyBorder="1" applyAlignment="1">
      <alignment horizontal="center"/>
    </xf>
    <xf numFmtId="10" fontId="374" fillId="0" borderId="53" xfId="11" applyNumberFormat="1" applyFont="1" applyFill="1" applyBorder="1" applyAlignment="1">
      <alignment horizontal="center"/>
    </xf>
    <xf numFmtId="10" fontId="374" fillId="0" borderId="121" xfId="11" applyNumberFormat="1" applyFont="1" applyFill="1" applyBorder="1" applyAlignment="1">
      <alignment horizontal="center"/>
    </xf>
    <xf numFmtId="9" fontId="374" fillId="0" borderId="99" xfId="0" applyNumberFormat="1" applyFont="1" applyFill="1" applyBorder="1" applyAlignment="1">
      <alignment horizontal="center" vertical="center"/>
    </xf>
    <xf numFmtId="10" fontId="374" fillId="0" borderId="121" xfId="0" applyNumberFormat="1" applyFont="1" applyFill="1" applyBorder="1" applyAlignment="1">
      <alignment horizontal="center" vertical="center"/>
    </xf>
    <xf numFmtId="10" fontId="374" fillId="0" borderId="52" xfId="0" applyNumberFormat="1" applyFont="1" applyFill="1" applyBorder="1" applyAlignment="1">
      <alignment horizontal="center" vertical="center"/>
    </xf>
    <xf numFmtId="10" fontId="374" fillId="0" borderId="148" xfId="11" applyNumberFormat="1" applyFont="1" applyFill="1" applyBorder="1" applyAlignment="1">
      <alignment horizontal="center"/>
    </xf>
    <xf numFmtId="10" fontId="374" fillId="0" borderId="135" xfId="11" applyNumberFormat="1" applyFont="1" applyFill="1" applyBorder="1" applyAlignment="1">
      <alignment horizontal="center"/>
    </xf>
    <xf numFmtId="10" fontId="374" fillId="0" borderId="70" xfId="11" applyNumberFormat="1" applyFont="1" applyFill="1" applyBorder="1" applyAlignment="1">
      <alignment horizontal="center"/>
    </xf>
    <xf numFmtId="10" fontId="374" fillId="0" borderId="2" xfId="11" applyNumberFormat="1" applyFont="1" applyFill="1" applyBorder="1" applyAlignment="1">
      <alignment horizontal="center"/>
    </xf>
    <xf numFmtId="10" fontId="374" fillId="0" borderId="3" xfId="11" applyNumberFormat="1" applyFont="1" applyFill="1" applyBorder="1" applyAlignment="1">
      <alignment horizontal="center"/>
    </xf>
    <xf numFmtId="10" fontId="374" fillId="0" borderId="4" xfId="11" applyNumberFormat="1" applyFont="1" applyFill="1" applyBorder="1" applyAlignment="1">
      <alignment horizontal="center"/>
    </xf>
    <xf numFmtId="10" fontId="374" fillId="0" borderId="85" xfId="11" applyNumberFormat="1" applyFont="1" applyFill="1" applyBorder="1" applyAlignment="1">
      <alignment horizontal="center"/>
    </xf>
    <xf numFmtId="9" fontId="374" fillId="0" borderId="134" xfId="0" applyNumberFormat="1" applyFont="1" applyFill="1" applyBorder="1" applyAlignment="1">
      <alignment horizontal="center" vertical="center"/>
    </xf>
    <xf numFmtId="10" fontId="374" fillId="0" borderId="85" xfId="0" applyNumberFormat="1" applyFont="1" applyFill="1" applyBorder="1" applyAlignment="1">
      <alignment horizontal="center" vertical="center"/>
    </xf>
    <xf numFmtId="10" fontId="374" fillId="0" borderId="11" xfId="0" applyNumberFormat="1" applyFont="1" applyFill="1" applyBorder="1" applyAlignment="1">
      <alignment horizontal="center"/>
    </xf>
    <xf numFmtId="10" fontId="374" fillId="0" borderId="12" xfId="0" applyNumberFormat="1" applyFont="1" applyFill="1" applyBorder="1" applyAlignment="1">
      <alignment horizontal="center"/>
    </xf>
    <xf numFmtId="10" fontId="374" fillId="0" borderId="15" xfId="0" applyNumberFormat="1" applyFont="1" applyFill="1" applyBorder="1" applyAlignment="1">
      <alignment horizontal="center"/>
    </xf>
    <xf numFmtId="10" fontId="374" fillId="0" borderId="6" xfId="0" applyNumberFormat="1" applyFont="1" applyFill="1" applyBorder="1" applyAlignment="1">
      <alignment horizontal="center"/>
    </xf>
    <xf numFmtId="10" fontId="374" fillId="0" borderId="0" xfId="0" applyNumberFormat="1" applyFont="1" applyFill="1" applyBorder="1" applyAlignment="1">
      <alignment horizontal="center"/>
    </xf>
    <xf numFmtId="10" fontId="374" fillId="0" borderId="1" xfId="0" applyNumberFormat="1" applyFont="1" applyFill="1" applyBorder="1" applyAlignment="1">
      <alignment horizontal="center"/>
    </xf>
    <xf numFmtId="10" fontId="2" fillId="0" borderId="6" xfId="0" applyNumberFormat="1" applyFont="1" applyFill="1" applyBorder="1" applyAlignment="1">
      <alignment horizontal="center"/>
    </xf>
    <xf numFmtId="10" fontId="2" fillId="0" borderId="0" xfId="0" applyNumberFormat="1" applyFont="1" applyFill="1" applyBorder="1" applyAlignment="1">
      <alignment horizontal="center"/>
    </xf>
    <xf numFmtId="10" fontId="2" fillId="0" borderId="1" xfId="0" applyNumberFormat="1" applyFont="1" applyFill="1" applyBorder="1" applyAlignment="1">
      <alignment horizontal="center"/>
    </xf>
    <xf numFmtId="10" fontId="2" fillId="0" borderId="2" xfId="0" applyNumberFormat="1" applyFont="1" applyFill="1" applyBorder="1" applyAlignment="1">
      <alignment horizontal="center"/>
    </xf>
    <xf numFmtId="10" fontId="2" fillId="0" borderId="3" xfId="0" applyNumberFormat="1" applyFont="1" applyFill="1" applyBorder="1" applyAlignment="1">
      <alignment horizontal="center"/>
    </xf>
    <xf numFmtId="10" fontId="2" fillId="0" borderId="4" xfId="0" applyNumberFormat="1" applyFont="1" applyFill="1" applyBorder="1" applyAlignment="1">
      <alignment horizontal="center"/>
    </xf>
    <xf numFmtId="0" fontId="3" fillId="0" borderId="0" xfId="0" applyFont="1" applyAlignment="1">
      <alignment vertical="center"/>
    </xf>
    <xf numFmtId="0" fontId="4" fillId="0" borderId="0" xfId="0" applyFont="1" applyAlignment="1">
      <alignment vertical="center"/>
    </xf>
    <xf numFmtId="0" fontId="3" fillId="0" borderId="0" xfId="0" applyFont="1" applyFill="1" applyAlignment="1">
      <alignment vertical="center"/>
    </xf>
    <xf numFmtId="0" fontId="3" fillId="0" borderId="0" xfId="0" applyFont="1" applyFill="1" applyBorder="1" applyAlignment="1">
      <alignment vertical="center"/>
    </xf>
    <xf numFmtId="0" fontId="0" fillId="0" borderId="0" xfId="0" applyFill="1" applyBorder="1" applyAlignment="1">
      <alignment horizontal="center" vertical="center"/>
    </xf>
    <xf numFmtId="0" fontId="2" fillId="0" borderId="0" xfId="0" applyFont="1" applyAlignment="1">
      <alignment vertical="center"/>
    </xf>
    <xf numFmtId="0" fontId="3" fillId="0" borderId="6" xfId="0" applyFont="1" applyFill="1" applyBorder="1" applyAlignment="1">
      <alignment vertical="center" wrapText="1"/>
    </xf>
    <xf numFmtId="0" fontId="3" fillId="0" borderId="0" xfId="0" applyFont="1" applyFill="1" applyBorder="1" applyAlignment="1">
      <alignment vertical="center" wrapText="1"/>
    </xf>
    <xf numFmtId="0" fontId="2" fillId="0" borderId="6" xfId="5379" applyFont="1" applyFill="1" applyBorder="1" applyAlignment="1">
      <alignment horizontal="center" vertical="center" wrapText="1"/>
    </xf>
    <xf numFmtId="0" fontId="2" fillId="0" borderId="2" xfId="5379" applyFont="1" applyFill="1" applyBorder="1" applyAlignment="1">
      <alignment horizontal="center" vertical="center" wrapText="1"/>
    </xf>
    <xf numFmtId="294" fontId="29" fillId="0" borderId="21" xfId="0" applyNumberFormat="1" applyFont="1" applyFill="1" applyBorder="1" applyAlignment="1">
      <alignment horizontal="center" vertical="center" wrapText="1"/>
    </xf>
    <xf numFmtId="294" fontId="29" fillId="0" borderId="9" xfId="0" applyNumberFormat="1" applyFont="1" applyFill="1" applyBorder="1" applyAlignment="1">
      <alignment horizontal="center" vertical="center" wrapText="1"/>
    </xf>
    <xf numFmtId="294" fontId="29" fillId="0" borderId="5" xfId="0" applyNumberFormat="1" applyFont="1" applyFill="1" applyBorder="1" applyAlignment="1">
      <alignment horizontal="center" vertical="center" wrapText="1"/>
    </xf>
    <xf numFmtId="0" fontId="5" fillId="2" borderId="14" xfId="0" applyFont="1" applyFill="1" applyBorder="1" applyAlignment="1">
      <alignment vertical="center"/>
    </xf>
    <xf numFmtId="0" fontId="29" fillId="0" borderId="9" xfId="0" applyNumberFormat="1" applyFont="1" applyFill="1" applyBorder="1" applyAlignment="1">
      <alignment horizontal="center" vertical="center" wrapText="1"/>
    </xf>
    <xf numFmtId="0" fontId="29" fillId="0" borderId="5" xfId="0" applyNumberFormat="1" applyFont="1" applyFill="1" applyBorder="1" applyAlignment="1">
      <alignment horizontal="center" vertical="center" wrapText="1"/>
    </xf>
    <xf numFmtId="0" fontId="7" fillId="3" borderId="5" xfId="0" applyFont="1" applyFill="1" applyBorder="1" applyAlignment="1">
      <alignment horizontal="centerContinuous" vertical="center"/>
    </xf>
    <xf numFmtId="0" fontId="7" fillId="3" borderId="21" xfId="0" applyFont="1" applyFill="1" applyBorder="1" applyAlignment="1">
      <alignment vertical="center"/>
    </xf>
    <xf numFmtId="167" fontId="29" fillId="0" borderId="21" xfId="0" applyNumberFormat="1" applyFont="1" applyFill="1" applyBorder="1" applyAlignment="1">
      <alignment horizontal="center" vertical="center" wrapText="1"/>
    </xf>
    <xf numFmtId="167" fontId="29" fillId="0" borderId="9" xfId="0" applyNumberFormat="1" applyFont="1" applyFill="1" applyBorder="1" applyAlignment="1">
      <alignment horizontal="center" vertical="center" wrapText="1"/>
    </xf>
    <xf numFmtId="167" fontId="29" fillId="0" borderId="5" xfId="0" applyNumberFormat="1" applyFont="1" applyFill="1" applyBorder="1" applyAlignment="1">
      <alignment horizontal="center" vertical="center" wrapText="1"/>
    </xf>
    <xf numFmtId="294" fontId="2" fillId="0" borderId="21" xfId="0" applyNumberFormat="1" applyFont="1" applyFill="1" applyBorder="1" applyAlignment="1">
      <alignment horizontal="center" vertical="center" wrapText="1"/>
    </xf>
    <xf numFmtId="294" fontId="2" fillId="0" borderId="9" xfId="0" applyNumberFormat="1" applyFont="1" applyFill="1" applyBorder="1" applyAlignment="1">
      <alignment horizontal="center" vertical="center" wrapText="1"/>
    </xf>
    <xf numFmtId="294" fontId="2" fillId="0" borderId="5" xfId="0" applyNumberFormat="1" applyFont="1" applyFill="1" applyBorder="1" applyAlignment="1">
      <alignment horizontal="center" vertical="center" wrapText="1"/>
    </xf>
    <xf numFmtId="294" fontId="2" fillId="0" borderId="47" xfId="0" applyNumberFormat="1" applyFont="1" applyFill="1" applyBorder="1" applyAlignment="1">
      <alignment horizontal="center" vertical="center" wrapText="1"/>
    </xf>
    <xf numFmtId="167" fontId="29" fillId="0" borderId="47" xfId="0" applyNumberFormat="1" applyFont="1" applyFill="1" applyBorder="1" applyAlignment="1">
      <alignment horizontal="center" vertical="center" wrapText="1"/>
    </xf>
    <xf numFmtId="294" fontId="2" fillId="0" borderId="139" xfId="0" applyNumberFormat="1" applyFont="1" applyFill="1" applyBorder="1" applyAlignment="1">
      <alignment horizontal="center" vertical="center" wrapText="1"/>
    </xf>
    <xf numFmtId="167" fontId="29" fillId="0" borderId="139" xfId="0" applyNumberFormat="1" applyFont="1" applyFill="1" applyBorder="1" applyAlignment="1">
      <alignment horizontal="center" vertical="center" wrapText="1"/>
    </xf>
    <xf numFmtId="280" fontId="29" fillId="0" borderId="4" xfId="0" applyNumberFormat="1" applyFont="1" applyFill="1" applyBorder="1" applyAlignment="1">
      <alignment horizontal="center" vertical="center"/>
    </xf>
    <xf numFmtId="280" fontId="29" fillId="0" borderId="1" xfId="0" applyNumberFormat="1" applyFont="1" applyFill="1" applyBorder="1" applyAlignment="1">
      <alignment horizontal="center" vertical="center"/>
    </xf>
    <xf numFmtId="280" fontId="29" fillId="0" borderId="21" xfId="0" applyNumberFormat="1" applyFont="1" applyFill="1" applyBorder="1" applyAlignment="1">
      <alignment horizontal="center" vertical="center"/>
    </xf>
    <xf numFmtId="265" fontId="2" fillId="0" borderId="0" xfId="0" applyNumberFormat="1" applyFont="1" applyFill="1"/>
    <xf numFmtId="0" fontId="2" fillId="0" borderId="11" xfId="0" applyFont="1" applyBorder="1" applyAlignment="1">
      <alignment vertical="center"/>
    </xf>
    <xf numFmtId="2" fontId="6" fillId="4" borderId="2" xfId="0" applyNumberFormat="1" applyFont="1" applyFill="1" applyBorder="1" applyAlignment="1">
      <alignment horizontal="left" vertical="center"/>
    </xf>
    <xf numFmtId="0" fontId="3" fillId="0" borderId="9" xfId="0" applyFont="1" applyBorder="1" applyAlignment="1">
      <alignment vertical="center"/>
    </xf>
    <xf numFmtId="17" fontId="3" fillId="0" borderId="9" xfId="0" applyNumberFormat="1" applyFont="1" applyBorder="1" applyAlignment="1">
      <alignment vertical="center"/>
    </xf>
    <xf numFmtId="0" fontId="4" fillId="0" borderId="0" xfId="3" applyFont="1" applyFill="1" applyBorder="1" applyAlignment="1" applyProtection="1">
      <alignment horizontal="center" vertical="center"/>
    </xf>
    <xf numFmtId="0" fontId="7" fillId="3" borderId="11" xfId="0" applyFont="1" applyFill="1" applyBorder="1" applyAlignment="1">
      <alignment vertical="center"/>
    </xf>
    <xf numFmtId="0" fontId="4" fillId="2" borderId="0" xfId="0" applyFont="1" applyFill="1" applyBorder="1" applyAlignment="1">
      <alignment vertical="center"/>
    </xf>
    <xf numFmtId="0" fontId="3" fillId="0" borderId="0" xfId="0" applyFont="1" applyFill="1" applyAlignment="1">
      <alignment vertical="center"/>
    </xf>
    <xf numFmtId="0" fontId="3" fillId="0" borderId="0" xfId="0" applyFont="1" applyFill="1" applyBorder="1" applyAlignment="1">
      <alignment vertical="center"/>
    </xf>
    <xf numFmtId="0" fontId="3" fillId="0" borderId="6" xfId="0" applyFont="1" applyFill="1" applyBorder="1" applyAlignment="1">
      <alignment vertical="center" wrapText="1"/>
    </xf>
    <xf numFmtId="0" fontId="3" fillId="0" borderId="0" xfId="0" applyFont="1" applyFill="1" applyBorder="1" applyAlignment="1">
      <alignment vertical="center" wrapText="1"/>
    </xf>
    <xf numFmtId="11" fontId="29" fillId="0" borderId="21" xfId="0" applyNumberFormat="1" applyFont="1" applyFill="1" applyBorder="1" applyAlignment="1">
      <alignment horizontal="center" vertical="center" wrapText="1"/>
    </xf>
    <xf numFmtId="11" fontId="29" fillId="0" borderId="9" xfId="0" applyNumberFormat="1" applyFont="1" applyFill="1" applyBorder="1" applyAlignment="1">
      <alignment horizontal="center" vertical="center" wrapText="1"/>
    </xf>
    <xf numFmtId="11" fontId="29" fillId="0" borderId="5" xfId="0" applyNumberFormat="1" applyFont="1" applyFill="1" applyBorder="1" applyAlignment="1">
      <alignment horizontal="center" vertical="center" wrapText="1"/>
    </xf>
    <xf numFmtId="0" fontId="3" fillId="0" borderId="0" xfId="0" applyFont="1" applyAlignment="1">
      <alignment vertical="center"/>
    </xf>
    <xf numFmtId="0" fontId="3" fillId="0" borderId="0" xfId="0" applyFont="1" applyAlignment="1">
      <alignment vertical="center"/>
    </xf>
    <xf numFmtId="0" fontId="4" fillId="0" borderId="0" xfId="0" applyFont="1" applyAlignment="1">
      <alignment vertical="center"/>
    </xf>
    <xf numFmtId="0" fontId="2" fillId="0" borderId="0" xfId="0" applyFont="1" applyAlignment="1">
      <alignment vertical="center"/>
    </xf>
    <xf numFmtId="0" fontId="7" fillId="3" borderId="11" xfId="0" applyFont="1" applyFill="1" applyBorder="1" applyAlignment="1">
      <alignment vertical="center"/>
    </xf>
    <xf numFmtId="17" fontId="3" fillId="0" borderId="5" xfId="0" applyNumberFormat="1" applyFont="1" applyBorder="1" applyAlignment="1">
      <alignment vertical="center"/>
    </xf>
    <xf numFmtId="0" fontId="24" fillId="3" borderId="12" xfId="0" applyFont="1" applyFill="1" applyBorder="1" applyAlignment="1">
      <alignment vertical="center"/>
    </xf>
    <xf numFmtId="0" fontId="3" fillId="0" borderId="0" xfId="0" applyFont="1" applyFill="1" applyAlignment="1">
      <alignment vertical="center"/>
    </xf>
    <xf numFmtId="0" fontId="3" fillId="4" borderId="0" xfId="0" applyFont="1" applyFill="1" applyAlignment="1">
      <alignment vertical="center"/>
    </xf>
    <xf numFmtId="0" fontId="3" fillId="4" borderId="0" xfId="0" applyFont="1" applyFill="1" applyBorder="1" applyAlignment="1">
      <alignment vertical="center"/>
    </xf>
    <xf numFmtId="0" fontId="4" fillId="4" borderId="0" xfId="0" applyFont="1" applyFill="1" applyAlignment="1">
      <alignment vertical="center"/>
    </xf>
    <xf numFmtId="0" fontId="4" fillId="0" borderId="19" xfId="0" applyFont="1" applyFill="1" applyBorder="1" applyAlignment="1">
      <alignment horizontal="center" vertical="center"/>
    </xf>
    <xf numFmtId="2" fontId="4" fillId="8" borderId="15" xfId="0" applyNumberFormat="1" applyFont="1" applyFill="1" applyBorder="1" applyAlignment="1">
      <alignment horizontal="center" vertical="center" wrapText="1"/>
    </xf>
    <xf numFmtId="0" fontId="3" fillId="0" borderId="21" xfId="0" applyFont="1" applyFill="1" applyBorder="1" applyAlignment="1">
      <alignment horizontal="center" vertical="center"/>
    </xf>
    <xf numFmtId="11" fontId="3" fillId="0" borderId="0" xfId="0" applyNumberFormat="1" applyFont="1" applyFill="1" applyAlignment="1">
      <alignment vertical="center"/>
    </xf>
    <xf numFmtId="0" fontId="7" fillId="3" borderId="10" xfId="5379" applyFont="1" applyFill="1" applyBorder="1" applyAlignment="1">
      <alignment horizontal="left"/>
    </xf>
    <xf numFmtId="0" fontId="7" fillId="3" borderId="7" xfId="5379" applyFont="1" applyFill="1" applyBorder="1" applyAlignment="1">
      <alignment horizontal="left"/>
    </xf>
    <xf numFmtId="0" fontId="7" fillId="3" borderId="10" xfId="5379" applyFont="1" applyFill="1" applyBorder="1" applyAlignment="1">
      <alignment horizontal="center"/>
    </xf>
    <xf numFmtId="0" fontId="2" fillId="3" borderId="7" xfId="5379" applyFont="1" applyFill="1" applyBorder="1" applyAlignment="1"/>
    <xf numFmtId="0" fontId="2" fillId="3" borderId="8" xfId="5379" applyFont="1" applyFill="1" applyBorder="1" applyAlignment="1"/>
    <xf numFmtId="0" fontId="4" fillId="2" borderId="11" xfId="37858" applyFont="1" applyFill="1" applyBorder="1" applyAlignment="1">
      <alignment horizontal="left"/>
    </xf>
    <xf numFmtId="0" fontId="4" fillId="2" borderId="33" xfId="37858" applyFont="1" applyFill="1" applyBorder="1" applyAlignment="1">
      <alignment horizontal="center" vertical="center" wrapText="1"/>
    </xf>
    <xf numFmtId="0" fontId="4" fillId="2" borderId="2" xfId="37858" applyFont="1" applyFill="1" applyBorder="1" applyAlignment="1">
      <alignment horizontal="left"/>
    </xf>
    <xf numFmtId="0" fontId="4" fillId="2" borderId="34" xfId="37858" applyFont="1" applyFill="1" applyBorder="1" applyAlignment="1">
      <alignment horizontal="center" vertical="center" wrapText="1"/>
    </xf>
    <xf numFmtId="0" fontId="4" fillId="2" borderId="46" xfId="37859" applyFont="1" applyFill="1" applyBorder="1" applyAlignment="1">
      <alignment horizontal="center" vertical="center" wrapText="1"/>
    </xf>
    <xf numFmtId="0" fontId="4" fillId="2" borderId="36" xfId="37859" applyFont="1" applyFill="1" applyBorder="1" applyAlignment="1">
      <alignment horizontal="center" vertical="center" wrapText="1"/>
    </xf>
    <xf numFmtId="0" fontId="4" fillId="2" borderId="41" xfId="37859" applyFont="1" applyFill="1" applyBorder="1" applyAlignment="1">
      <alignment horizontal="center" vertical="center" wrapText="1"/>
    </xf>
    <xf numFmtId="0" fontId="4" fillId="2" borderId="83" xfId="37859" applyFont="1" applyFill="1" applyBorder="1" applyAlignment="1">
      <alignment horizontal="center" vertical="center" wrapText="1"/>
    </xf>
    <xf numFmtId="0" fontId="4" fillId="2" borderId="80" xfId="37859" applyFont="1" applyFill="1" applyBorder="1" applyAlignment="1">
      <alignment horizontal="center" vertical="center" wrapText="1"/>
    </xf>
    <xf numFmtId="0" fontId="4" fillId="2" borderId="84" xfId="37859" applyFont="1" applyFill="1" applyBorder="1" applyAlignment="1">
      <alignment horizontal="center" vertical="center" wrapText="1"/>
    </xf>
    <xf numFmtId="0" fontId="4" fillId="4" borderId="0" xfId="37858" applyFont="1" applyFill="1" applyBorder="1" applyAlignment="1">
      <alignment horizontal="center" vertical="center" wrapText="1"/>
    </xf>
    <xf numFmtId="0" fontId="2" fillId="4" borderId="84" xfId="37859" applyFont="1" applyFill="1" applyBorder="1" applyAlignment="1">
      <alignment horizontal="center" vertical="center" wrapText="1"/>
    </xf>
    <xf numFmtId="171" fontId="29" fillId="4" borderId="6" xfId="37859" applyNumberFormat="1" applyFont="1" applyFill="1" applyBorder="1" applyAlignment="1">
      <alignment horizontal="center" vertical="center" wrapText="1"/>
    </xf>
    <xf numFmtId="171" fontId="29" fillId="4" borderId="17" xfId="37859" applyNumberFormat="1" applyFont="1" applyFill="1" applyBorder="1" applyAlignment="1">
      <alignment horizontal="center" vertical="center" wrapText="1"/>
    </xf>
    <xf numFmtId="171" fontId="29" fillId="4" borderId="120" xfId="37859" applyNumberFormat="1" applyFont="1" applyFill="1" applyBorder="1" applyAlignment="1">
      <alignment horizontal="center" vertical="center" wrapText="1"/>
    </xf>
    <xf numFmtId="171" fontId="29" fillId="4" borderId="35" xfId="37859" applyNumberFormat="1" applyFont="1" applyFill="1" applyBorder="1" applyAlignment="1">
      <alignment horizontal="center" vertical="center" wrapText="1"/>
    </xf>
    <xf numFmtId="171" fontId="29" fillId="4" borderId="81" xfId="37859" applyNumberFormat="1" applyFont="1" applyFill="1" applyBorder="1" applyAlignment="1">
      <alignment horizontal="center" vertical="center" wrapText="1"/>
    </xf>
    <xf numFmtId="171" fontId="29" fillId="4" borderId="0" xfId="37859" applyNumberFormat="1" applyFont="1" applyFill="1" applyBorder="1" applyAlignment="1">
      <alignment horizontal="center" vertical="center" wrapText="1"/>
    </xf>
    <xf numFmtId="171" fontId="29" fillId="4" borderId="84" xfId="37859" applyNumberFormat="1" applyFont="1" applyFill="1" applyBorder="1" applyAlignment="1">
      <alignment horizontal="center" vertical="center" wrapText="1"/>
    </xf>
    <xf numFmtId="171" fontId="30" fillId="4" borderId="1" xfId="5379" applyNumberFormat="1" applyFont="1" applyFill="1" applyBorder="1" applyAlignment="1">
      <alignment horizontal="center"/>
    </xf>
    <xf numFmtId="171" fontId="29" fillId="4" borderId="83" xfId="37859" applyNumberFormat="1" applyFont="1" applyFill="1" applyBorder="1" applyAlignment="1">
      <alignment horizontal="center" vertical="center" wrapText="1"/>
    </xf>
    <xf numFmtId="171" fontId="29" fillId="4" borderId="80" xfId="37859" applyNumberFormat="1" applyFont="1" applyFill="1" applyBorder="1" applyAlignment="1">
      <alignment horizontal="center" vertical="center" wrapText="1"/>
    </xf>
    <xf numFmtId="0" fontId="2" fillId="4" borderId="126" xfId="37859" applyFont="1" applyFill="1" applyBorder="1" applyAlignment="1">
      <alignment horizontal="center" vertical="center" wrapText="1"/>
    </xf>
    <xf numFmtId="171" fontId="29" fillId="4" borderId="136" xfId="37859" applyNumberFormat="1" applyFont="1" applyFill="1" applyBorder="1" applyAlignment="1">
      <alignment horizontal="center" vertical="center" wrapText="1"/>
    </xf>
    <xf numFmtId="171" fontId="29" fillId="4" borderId="196" xfId="37859" applyNumberFormat="1" applyFont="1" applyFill="1" applyBorder="1" applyAlignment="1">
      <alignment horizontal="center" vertical="center" wrapText="1"/>
    </xf>
    <xf numFmtId="171" fontId="29" fillId="4" borderId="126" xfId="37859" applyNumberFormat="1" applyFont="1" applyFill="1" applyBorder="1" applyAlignment="1">
      <alignment horizontal="center" vertical="center" wrapText="1"/>
    </xf>
    <xf numFmtId="171" fontId="29" fillId="4" borderId="18" xfId="37859" applyNumberFormat="1" applyFont="1" applyFill="1" applyBorder="1" applyAlignment="1">
      <alignment horizontal="center" vertical="center" wrapText="1"/>
    </xf>
    <xf numFmtId="171" fontId="29" fillId="4" borderId="40" xfId="37859" applyNumberFormat="1" applyFont="1" applyFill="1" applyBorder="1" applyAlignment="1">
      <alignment horizontal="center" vertical="center" wrapText="1"/>
    </xf>
    <xf numFmtId="171" fontId="29" fillId="4" borderId="117" xfId="37859" applyNumberFormat="1" applyFont="1" applyFill="1" applyBorder="1" applyAlignment="1">
      <alignment horizontal="center" vertical="center" wrapText="1"/>
    </xf>
    <xf numFmtId="0" fontId="4" fillId="4" borderId="16" xfId="37859" applyFont="1" applyFill="1" applyBorder="1" applyAlignment="1">
      <alignment horizontal="center" vertical="center" wrapText="1"/>
    </xf>
    <xf numFmtId="171" fontId="30" fillId="4" borderId="210" xfId="37859" applyNumberFormat="1" applyFont="1" applyFill="1" applyBorder="1" applyAlignment="1">
      <alignment horizontal="center" vertical="center" wrapText="1"/>
    </xf>
    <xf numFmtId="171" fontId="30" fillId="4" borderId="19" xfId="37859" applyNumberFormat="1" applyFont="1" applyFill="1" applyBorder="1" applyAlignment="1">
      <alignment horizontal="center" vertical="center" wrapText="1"/>
    </xf>
    <xf numFmtId="171" fontId="30" fillId="4" borderId="125" xfId="37859" applyNumberFormat="1" applyFont="1" applyFill="1" applyBorder="1" applyAlignment="1">
      <alignment horizontal="center" vertical="center" wrapText="1"/>
    </xf>
    <xf numFmtId="171" fontId="30" fillId="4" borderId="18" xfId="37859" applyNumberFormat="1" applyFont="1" applyFill="1" applyBorder="1" applyAlignment="1">
      <alignment horizontal="center" vertical="center" wrapText="1"/>
    </xf>
    <xf numFmtId="171" fontId="30" fillId="4" borderId="126" xfId="37859" applyNumberFormat="1" applyFont="1" applyFill="1" applyBorder="1" applyAlignment="1">
      <alignment horizontal="center" vertical="center" wrapText="1"/>
    </xf>
    <xf numFmtId="171" fontId="30" fillId="4" borderId="40" xfId="37859" applyNumberFormat="1" applyFont="1" applyFill="1" applyBorder="1" applyAlignment="1">
      <alignment horizontal="center" vertical="center" wrapText="1"/>
    </xf>
    <xf numFmtId="171" fontId="30" fillId="4" borderId="117" xfId="37859" applyNumberFormat="1" applyFont="1" applyFill="1" applyBorder="1" applyAlignment="1">
      <alignment horizontal="center" vertical="center" wrapText="1"/>
    </xf>
    <xf numFmtId="171" fontId="30" fillId="4" borderId="121" xfId="5379" applyNumberFormat="1" applyFont="1" applyFill="1" applyBorder="1" applyAlignment="1">
      <alignment horizontal="center"/>
    </xf>
    <xf numFmtId="0" fontId="4" fillId="168" borderId="6" xfId="37858" applyFont="1" applyFill="1" applyBorder="1" applyAlignment="1">
      <alignment horizontal="left" vertical="center"/>
    </xf>
    <xf numFmtId="0" fontId="4" fillId="4" borderId="42" xfId="37858" applyFont="1" applyFill="1" applyBorder="1" applyAlignment="1">
      <alignment horizontal="center" vertical="center" wrapText="1"/>
    </xf>
    <xf numFmtId="0" fontId="2" fillId="4" borderId="161" xfId="37858" applyFont="1" applyFill="1" applyBorder="1" applyAlignment="1">
      <alignment horizontal="center" vertical="center" wrapText="1"/>
    </xf>
    <xf numFmtId="171" fontId="29" fillId="4" borderId="137" xfId="37858" applyNumberFormat="1" applyFont="1" applyFill="1" applyBorder="1" applyAlignment="1">
      <alignment horizontal="center" vertical="center" wrapText="1"/>
    </xf>
    <xf numFmtId="171" fontId="29" fillId="4" borderId="156" xfId="37858" applyNumberFormat="1" applyFont="1" applyFill="1" applyBorder="1" applyAlignment="1">
      <alignment horizontal="center" vertical="center" wrapText="1"/>
    </xf>
    <xf numFmtId="171" fontId="29" fillId="4" borderId="161" xfId="37858" applyNumberFormat="1" applyFont="1" applyFill="1" applyBorder="1" applyAlignment="1">
      <alignment horizontal="center" vertical="center" wrapText="1"/>
    </xf>
    <xf numFmtId="171" fontId="29" fillId="4" borderId="148" xfId="37858" applyNumberFormat="1" applyFont="1" applyFill="1" applyBorder="1" applyAlignment="1">
      <alignment horizontal="center" vertical="center" wrapText="1"/>
    </xf>
    <xf numFmtId="171" fontId="29" fillId="4" borderId="168" xfId="37858" applyNumberFormat="1" applyFont="1" applyFill="1" applyBorder="1" applyAlignment="1">
      <alignment horizontal="center" vertical="center" wrapText="1"/>
    </xf>
    <xf numFmtId="171" fontId="30" fillId="4" borderId="70" xfId="5379" applyNumberFormat="1" applyFont="1" applyFill="1" applyBorder="1" applyAlignment="1">
      <alignment horizontal="center"/>
    </xf>
    <xf numFmtId="0" fontId="2" fillId="4" borderId="84" xfId="37858" applyFont="1" applyFill="1" applyBorder="1" applyAlignment="1">
      <alignment horizontal="center" vertical="center" wrapText="1"/>
    </xf>
    <xf numFmtId="171" fontId="29" fillId="4" borderId="83" xfId="37858" applyNumberFormat="1" applyFont="1" applyFill="1" applyBorder="1" applyAlignment="1">
      <alignment horizontal="center" vertical="center" wrapText="1"/>
    </xf>
    <xf numFmtId="171" fontId="29" fillId="4" borderId="80" xfId="37858" applyNumberFormat="1" applyFont="1" applyFill="1" applyBorder="1" applyAlignment="1">
      <alignment horizontal="center" vertical="center" wrapText="1"/>
    </xf>
    <xf numFmtId="171" fontId="29" fillId="4" borderId="84" xfId="37858" applyNumberFormat="1" applyFont="1" applyFill="1" applyBorder="1" applyAlignment="1">
      <alignment horizontal="center" vertical="center" wrapText="1"/>
    </xf>
    <xf numFmtId="171" fontId="29" fillId="4" borderId="1" xfId="37858" applyNumberFormat="1" applyFont="1" applyFill="1" applyBorder="1" applyAlignment="1">
      <alignment horizontal="center" vertical="center" wrapText="1"/>
    </xf>
    <xf numFmtId="171" fontId="29" fillId="4" borderId="6" xfId="37858" applyNumberFormat="1" applyFont="1" applyFill="1" applyBorder="1" applyAlignment="1">
      <alignment horizontal="center" vertical="center" wrapText="1"/>
    </xf>
    <xf numFmtId="171" fontId="29" fillId="4" borderId="17" xfId="37858" applyNumberFormat="1" applyFont="1" applyFill="1" applyBorder="1" applyAlignment="1">
      <alignment horizontal="center" vertical="center" wrapText="1"/>
    </xf>
    <xf numFmtId="171" fontId="29" fillId="4" borderId="0" xfId="37858" applyNumberFormat="1" applyFont="1" applyFill="1" applyBorder="1" applyAlignment="1">
      <alignment horizontal="center" vertical="center" wrapText="1"/>
    </xf>
    <xf numFmtId="171" fontId="29" fillId="4" borderId="42" xfId="37858" applyNumberFormat="1" applyFont="1" applyFill="1" applyBorder="1" applyAlignment="1">
      <alignment horizontal="center" vertical="center" wrapText="1"/>
    </xf>
    <xf numFmtId="171" fontId="30" fillId="4" borderId="9" xfId="37858" applyNumberFormat="1" applyFont="1" applyFill="1" applyBorder="1" applyAlignment="1">
      <alignment horizontal="center" vertical="center" wrapText="1"/>
    </xf>
    <xf numFmtId="171" fontId="30" fillId="4" borderId="9" xfId="5379" applyNumberFormat="1" applyFont="1" applyFill="1" applyBorder="1" applyAlignment="1">
      <alignment horizontal="center"/>
    </xf>
    <xf numFmtId="0" fontId="4" fillId="4" borderId="134" xfId="37858" applyFont="1" applyFill="1" applyBorder="1" applyAlignment="1">
      <alignment horizontal="left" vertical="center" wrapText="1"/>
    </xf>
    <xf numFmtId="0" fontId="4" fillId="4" borderId="39" xfId="37858" applyFont="1" applyFill="1" applyBorder="1" applyAlignment="1">
      <alignment horizontal="center" vertical="center" wrapText="1"/>
    </xf>
    <xf numFmtId="171" fontId="30" fillId="4" borderId="138" xfId="5379" applyNumberFormat="1" applyFont="1" applyFill="1" applyBorder="1" applyAlignment="1">
      <alignment horizontal="center"/>
    </xf>
    <xf numFmtId="0" fontId="2" fillId="168" borderId="0" xfId="5379" applyFill="1"/>
    <xf numFmtId="0" fontId="4" fillId="2" borderId="81" xfId="37859" applyFont="1" applyFill="1" applyBorder="1" applyAlignment="1">
      <alignment horizontal="center" vertical="center" wrapText="1"/>
    </xf>
    <xf numFmtId="0" fontId="4" fillId="2" borderId="97" xfId="37859" applyFont="1" applyFill="1" applyBorder="1" applyAlignment="1">
      <alignment horizontal="center" vertical="center" wrapText="1"/>
    </xf>
    <xf numFmtId="0" fontId="4" fillId="2" borderId="98" xfId="37859" applyFont="1" applyFill="1" applyBorder="1" applyAlignment="1">
      <alignment horizontal="center" vertical="center" wrapText="1"/>
    </xf>
    <xf numFmtId="0" fontId="4" fillId="2" borderId="112" xfId="37859" applyFont="1" applyFill="1" applyBorder="1" applyAlignment="1">
      <alignment horizontal="center" vertical="center" wrapText="1"/>
    </xf>
    <xf numFmtId="0" fontId="4" fillId="2" borderId="97" xfId="5379" applyFont="1" applyFill="1" applyBorder="1" applyAlignment="1">
      <alignment horizontal="center" vertical="center" wrapText="1"/>
    </xf>
    <xf numFmtId="0" fontId="4" fillId="2" borderId="112" xfId="5379" applyFont="1" applyFill="1" applyBorder="1" applyAlignment="1">
      <alignment horizontal="center" vertical="center" wrapText="1"/>
    </xf>
    <xf numFmtId="0" fontId="4" fillId="2" borderId="15" xfId="5379" applyFont="1" applyFill="1" applyBorder="1" applyAlignment="1">
      <alignment horizontal="center" vertical="center" wrapText="1"/>
    </xf>
    <xf numFmtId="0" fontId="4" fillId="2" borderId="4" xfId="5379" applyFont="1" applyFill="1" applyBorder="1" applyAlignment="1">
      <alignment horizontal="center" vertical="center" wrapText="1"/>
    </xf>
    <xf numFmtId="0" fontId="4" fillId="4" borderId="6" xfId="37858" applyFont="1" applyFill="1" applyBorder="1" applyAlignment="1">
      <alignment horizontal="center" vertical="center"/>
    </xf>
    <xf numFmtId="0" fontId="2" fillId="4" borderId="38" xfId="37858" applyFont="1" applyFill="1" applyBorder="1" applyAlignment="1">
      <alignment horizontal="center" vertical="center" wrapText="1"/>
    </xf>
    <xf numFmtId="171" fontId="30" fillId="4" borderId="37" xfId="37858" applyNumberFormat="1" applyFont="1" applyFill="1" applyBorder="1" applyAlignment="1">
      <alignment horizontal="center" vertical="center" wrapText="1"/>
    </xf>
    <xf numFmtId="171" fontId="30" fillId="4" borderId="134" xfId="37858" applyNumberFormat="1" applyFont="1" applyFill="1" applyBorder="1" applyAlignment="1">
      <alignment horizontal="center" vertical="center" wrapText="1"/>
    </xf>
    <xf numFmtId="171" fontId="30" fillId="4" borderId="85" xfId="37858" applyNumberFormat="1" applyFont="1" applyFill="1" applyBorder="1" applyAlignment="1">
      <alignment horizontal="center" vertical="center" wrapText="1"/>
    </xf>
    <xf numFmtId="171" fontId="30" fillId="4" borderId="127" xfId="37858" applyNumberFormat="1" applyFont="1" applyFill="1" applyBorder="1" applyAlignment="1">
      <alignment horizontal="center" vertical="center" wrapText="1"/>
    </xf>
    <xf numFmtId="171" fontId="30" fillId="4" borderId="38" xfId="37858" applyNumberFormat="1" applyFont="1" applyFill="1" applyBorder="1" applyAlignment="1">
      <alignment horizontal="center" vertical="center" wrapText="1"/>
    </xf>
    <xf numFmtId="0" fontId="4" fillId="2" borderId="41" xfId="37859" applyFont="1" applyFill="1" applyBorder="1" applyAlignment="1">
      <alignment horizontal="center" vertical="center" wrapText="1"/>
    </xf>
    <xf numFmtId="0" fontId="3" fillId="0" borderId="0" xfId="0" applyFont="1" applyFill="1" applyAlignment="1">
      <alignment vertical="center"/>
    </xf>
    <xf numFmtId="0" fontId="2" fillId="0" borderId="0" xfId="5379"/>
    <xf numFmtId="0" fontId="2" fillId="4" borderId="41" xfId="37858" applyFont="1" applyFill="1" applyBorder="1" applyAlignment="1">
      <alignment horizontal="center" vertical="center" wrapText="1"/>
    </xf>
    <xf numFmtId="171" fontId="30" fillId="4" borderId="36" xfId="37858" applyNumberFormat="1" applyFont="1" applyFill="1" applyBorder="1" applyAlignment="1">
      <alignment horizontal="center" vertical="center" wrapText="1"/>
    </xf>
    <xf numFmtId="171" fontId="30" fillId="4" borderId="2" xfId="37858" applyNumberFormat="1" applyFont="1" applyFill="1" applyBorder="1" applyAlignment="1">
      <alignment horizontal="center" vertical="center" wrapText="1"/>
    </xf>
    <xf numFmtId="171" fontId="30" fillId="4" borderId="4" xfId="37858" applyNumberFormat="1" applyFont="1" applyFill="1" applyBorder="1" applyAlignment="1">
      <alignment horizontal="center" vertical="center" wrapText="1"/>
    </xf>
    <xf numFmtId="171" fontId="30" fillId="4" borderId="46" xfId="37858" applyNumberFormat="1" applyFont="1" applyFill="1" applyBorder="1" applyAlignment="1">
      <alignment horizontal="center" vertical="center" wrapText="1"/>
    </xf>
    <xf numFmtId="171" fontId="30" fillId="4" borderId="41" xfId="37858" applyNumberFormat="1" applyFont="1" applyFill="1" applyBorder="1" applyAlignment="1">
      <alignment horizontal="center" vertical="center" wrapText="1"/>
    </xf>
    <xf numFmtId="0" fontId="3" fillId="0" borderId="0" xfId="0" applyFont="1" applyAlignment="1">
      <alignment vertical="center"/>
    </xf>
    <xf numFmtId="0" fontId="4" fillId="7" borderId="171" xfId="3" applyFont="1" applyFill="1" applyBorder="1" applyAlignment="1" applyProtection="1">
      <alignment horizontal="center" vertical="center"/>
      <protection locked="0"/>
    </xf>
    <xf numFmtId="0" fontId="0" fillId="0" borderId="172" xfId="0" applyBorder="1" applyAlignment="1" applyProtection="1">
      <alignment vertical="center"/>
      <protection locked="0"/>
    </xf>
    <xf numFmtId="0" fontId="4" fillId="7" borderId="171" xfId="3" applyFont="1" applyFill="1" applyBorder="1" applyAlignment="1" applyProtection="1">
      <alignment horizontal="center"/>
      <protection locked="0"/>
    </xf>
    <xf numFmtId="0" fontId="4" fillId="0" borderId="172" xfId="3" applyFont="1" applyBorder="1" applyAlignment="1" applyProtection="1">
      <alignment horizontal="center"/>
      <protection locked="0"/>
    </xf>
    <xf numFmtId="0" fontId="4" fillId="0" borderId="172" xfId="3" applyFont="1" applyBorder="1" applyAlignment="1" applyProtection="1">
      <alignment horizontal="center" vertical="center"/>
      <protection locked="0"/>
    </xf>
    <xf numFmtId="0" fontId="4" fillId="13" borderId="171" xfId="3" applyFont="1" applyFill="1" applyBorder="1" applyAlignment="1" applyProtection="1">
      <alignment horizontal="center" vertical="center"/>
      <protection locked="0"/>
    </xf>
    <xf numFmtId="0" fontId="4" fillId="13" borderId="172" xfId="3" applyFont="1" applyFill="1" applyBorder="1" applyAlignment="1" applyProtection="1">
      <alignment horizontal="center" vertical="center"/>
      <protection locked="0"/>
    </xf>
    <xf numFmtId="0" fontId="4" fillId="13" borderId="124" xfId="3" applyFont="1" applyFill="1" applyBorder="1" applyAlignment="1" applyProtection="1">
      <alignment horizontal="center" vertical="center"/>
      <protection locked="0"/>
    </xf>
    <xf numFmtId="0" fontId="4" fillId="13" borderId="123" xfId="3" applyFont="1" applyFill="1" applyBorder="1" applyAlignment="1" applyProtection="1">
      <alignment horizontal="center" vertical="center"/>
      <protection locked="0"/>
    </xf>
    <xf numFmtId="0" fontId="4" fillId="13" borderId="133" xfId="3" applyFont="1" applyFill="1" applyBorder="1" applyAlignment="1" applyProtection="1">
      <alignment horizontal="center" vertical="center"/>
      <protection locked="0"/>
    </xf>
    <xf numFmtId="0" fontId="4" fillId="13" borderId="157" xfId="3" applyFont="1" applyFill="1" applyBorder="1" applyAlignment="1" applyProtection="1">
      <alignment horizontal="center" vertical="center"/>
      <protection locked="0"/>
    </xf>
    <xf numFmtId="0" fontId="4" fillId="7" borderId="172" xfId="3" applyFont="1" applyFill="1" applyBorder="1" applyAlignment="1" applyProtection="1">
      <alignment horizontal="center" vertical="center"/>
      <protection locked="0"/>
    </xf>
    <xf numFmtId="0" fontId="4" fillId="7" borderId="214" xfId="3" applyFont="1" applyFill="1" applyBorder="1" applyAlignment="1" applyProtection="1">
      <alignment horizontal="center" vertical="center"/>
      <protection locked="0"/>
    </xf>
    <xf numFmtId="0" fontId="4" fillId="7" borderId="215" xfId="3" applyFont="1" applyFill="1" applyBorder="1" applyAlignment="1" applyProtection="1">
      <alignment horizontal="center" vertical="center"/>
      <protection locked="0"/>
    </xf>
    <xf numFmtId="0" fontId="0" fillId="0" borderId="216" xfId="0" applyNumberFormat="1" applyFill="1" applyBorder="1" applyAlignment="1">
      <alignment vertical="top" wrapText="1"/>
    </xf>
    <xf numFmtId="0" fontId="0" fillId="0" borderId="187" xfId="0" applyBorder="1" applyAlignment="1">
      <alignment vertical="top" wrapText="1"/>
    </xf>
    <xf numFmtId="0" fontId="0" fillId="0" borderId="217" xfId="0" applyBorder="1" applyAlignment="1">
      <alignment vertical="top" wrapText="1"/>
    </xf>
    <xf numFmtId="0" fontId="0" fillId="0" borderId="218" xfId="0" applyBorder="1" applyAlignment="1">
      <alignment vertical="top" wrapText="1"/>
    </xf>
    <xf numFmtId="0" fontId="0" fillId="0" borderId="0" xfId="0" applyBorder="1" applyAlignment="1">
      <alignment vertical="top" wrapText="1"/>
    </xf>
    <xf numFmtId="0" fontId="0" fillId="0" borderId="219" xfId="0" applyBorder="1" applyAlignment="1">
      <alignment vertical="top" wrapText="1"/>
    </xf>
    <xf numFmtId="0" fontId="0" fillId="0" borderId="220" xfId="0" applyBorder="1" applyAlignment="1">
      <alignment vertical="top" wrapText="1"/>
    </xf>
    <xf numFmtId="0" fontId="0" fillId="0" borderId="13" xfId="0" applyBorder="1" applyAlignment="1">
      <alignment vertical="top" wrapText="1"/>
    </xf>
    <xf numFmtId="0" fontId="0" fillId="0" borderId="221" xfId="0" applyBorder="1" applyAlignment="1">
      <alignment vertical="top" wrapText="1"/>
    </xf>
    <xf numFmtId="0" fontId="4" fillId="7" borderId="6" xfId="0" applyFont="1" applyFill="1" applyBorder="1" applyAlignment="1">
      <alignment horizontal="center" vertical="center"/>
    </xf>
    <xf numFmtId="0" fontId="0" fillId="7" borderId="0" xfId="0" applyFill="1" applyBorder="1" applyAlignment="1">
      <alignment vertical="center"/>
    </xf>
    <xf numFmtId="0" fontId="4" fillId="7" borderId="124" xfId="3" applyFont="1" applyFill="1" applyBorder="1" applyAlignment="1" applyProtection="1">
      <alignment horizontal="center" vertical="center"/>
      <protection locked="0"/>
    </xf>
    <xf numFmtId="0" fontId="4" fillId="7" borderId="123" xfId="3" applyFont="1" applyFill="1" applyBorder="1" applyAlignment="1" applyProtection="1">
      <alignment horizontal="center" vertical="center"/>
      <protection locked="0"/>
    </xf>
    <xf numFmtId="0" fontId="4" fillId="13" borderId="212" xfId="3" quotePrefix="1" applyFont="1" applyFill="1" applyBorder="1" applyAlignment="1" applyProtection="1">
      <alignment horizontal="center" vertical="center"/>
      <protection locked="0"/>
    </xf>
    <xf numFmtId="0" fontId="4" fillId="13" borderId="213" xfId="3" applyFont="1" applyFill="1" applyBorder="1" applyAlignment="1" applyProtection="1">
      <alignment horizontal="center" vertical="center"/>
      <protection locked="0"/>
    </xf>
    <xf numFmtId="0" fontId="4" fillId="7" borderId="133" xfId="3" applyFont="1" applyFill="1" applyBorder="1" applyAlignment="1" applyProtection="1">
      <alignment horizontal="center" vertical="center"/>
      <protection locked="0"/>
    </xf>
    <xf numFmtId="0" fontId="4" fillId="7" borderId="157" xfId="3" applyFont="1" applyFill="1" applyBorder="1" applyAlignment="1" applyProtection="1">
      <alignment horizontal="center" vertical="center"/>
      <protection locked="0"/>
    </xf>
    <xf numFmtId="0" fontId="4" fillId="13" borderId="140" xfId="3" applyFont="1" applyFill="1" applyBorder="1" applyAlignment="1" applyProtection="1">
      <alignment horizontal="center" vertical="center"/>
      <protection locked="0"/>
    </xf>
    <xf numFmtId="0" fontId="4" fillId="13" borderId="50" xfId="3" applyFont="1" applyFill="1" applyBorder="1" applyAlignment="1" applyProtection="1">
      <alignment horizontal="center" vertical="center"/>
      <protection locked="0"/>
    </xf>
    <xf numFmtId="0" fontId="0" fillId="7" borderId="172" xfId="0" applyFill="1" applyBorder="1" applyAlignment="1" applyProtection="1">
      <alignment horizontal="center" vertical="center"/>
      <protection locked="0"/>
    </xf>
    <xf numFmtId="0" fontId="0" fillId="7" borderId="124" xfId="0" applyFill="1" applyBorder="1" applyAlignment="1" applyProtection="1">
      <alignment vertical="center"/>
      <protection locked="0"/>
    </xf>
    <xf numFmtId="0" fontId="0" fillId="7" borderId="123" xfId="0" applyFill="1" applyBorder="1" applyAlignment="1" applyProtection="1">
      <alignment vertical="center"/>
      <protection locked="0"/>
    </xf>
    <xf numFmtId="0" fontId="4" fillId="7" borderId="140" xfId="3" applyFont="1" applyFill="1" applyBorder="1" applyAlignment="1" applyProtection="1">
      <alignment horizontal="center" vertical="center"/>
      <protection locked="0"/>
    </xf>
    <xf numFmtId="0" fontId="4" fillId="7" borderId="50" xfId="3" applyFont="1" applyFill="1" applyBorder="1" applyAlignment="1" applyProtection="1">
      <alignment horizontal="center" vertical="center"/>
      <protection locked="0"/>
    </xf>
    <xf numFmtId="0" fontId="4" fillId="7" borderId="212" xfId="3" applyFont="1" applyFill="1" applyBorder="1" applyAlignment="1" applyProtection="1">
      <alignment horizontal="center" vertical="center"/>
      <protection locked="0"/>
    </xf>
    <xf numFmtId="0" fontId="4" fillId="7" borderId="213" xfId="3" applyFont="1" applyFill="1" applyBorder="1" applyAlignment="1" applyProtection="1">
      <alignment horizontal="center" vertical="center"/>
      <protection locked="0"/>
    </xf>
    <xf numFmtId="0" fontId="4" fillId="0" borderId="172" xfId="3" applyFont="1" applyBorder="1" applyAlignment="1" applyProtection="1">
      <alignment vertical="center"/>
      <protection locked="0"/>
    </xf>
    <xf numFmtId="0" fontId="4" fillId="7" borderId="171" xfId="3" applyFont="1" applyFill="1" applyBorder="1" applyAlignment="1" applyProtection="1">
      <alignment horizontal="center" vertical="center"/>
    </xf>
    <xf numFmtId="0" fontId="4" fillId="0" borderId="172" xfId="3" applyFont="1" applyBorder="1" applyAlignment="1" applyProtection="1">
      <alignment vertical="center"/>
    </xf>
    <xf numFmtId="2" fontId="36" fillId="7" borderId="171" xfId="3" applyNumberFormat="1" applyFont="1" applyFill="1" applyBorder="1" applyAlignment="1" applyProtection="1">
      <alignment horizontal="center" vertical="center"/>
    </xf>
    <xf numFmtId="0" fontId="36" fillId="7" borderId="172" xfId="0" applyFont="1" applyFill="1" applyBorder="1" applyAlignment="1">
      <alignment horizontal="center" vertical="center"/>
    </xf>
    <xf numFmtId="0" fontId="4" fillId="0" borderId="0" xfId="3" applyFont="1" applyFill="1" applyBorder="1" applyAlignment="1" applyProtection="1">
      <alignment horizontal="center" vertical="center"/>
    </xf>
    <xf numFmtId="0" fontId="4" fillId="0" borderId="172" xfId="0" applyFont="1" applyBorder="1" applyAlignment="1" applyProtection="1">
      <alignment horizontal="center" vertical="center"/>
      <protection locked="0"/>
    </xf>
    <xf numFmtId="0" fontId="7" fillId="0" borderId="0" xfId="0" applyFont="1" applyFill="1" applyBorder="1" applyAlignment="1">
      <alignment vertical="center"/>
    </xf>
    <xf numFmtId="0" fontId="0" fillId="0" borderId="0" xfId="0" applyFill="1" applyBorder="1" applyAlignment="1">
      <alignment vertical="center"/>
    </xf>
    <xf numFmtId="0" fontId="4" fillId="7" borderId="155" xfId="3" applyFont="1" applyFill="1" applyBorder="1" applyAlignment="1" applyProtection="1">
      <alignment horizontal="center" vertical="center"/>
      <protection locked="0"/>
    </xf>
    <xf numFmtId="0" fontId="4" fillId="0" borderId="130" xfId="3" applyFont="1" applyBorder="1" applyAlignment="1" applyProtection="1">
      <alignment vertical="center"/>
      <protection locked="0"/>
    </xf>
    <xf numFmtId="0" fontId="4" fillId="0" borderId="142" xfId="0" applyFont="1" applyFill="1" applyBorder="1" applyAlignment="1" applyProtection="1">
      <alignment horizontal="center"/>
      <protection locked="0"/>
    </xf>
    <xf numFmtId="0" fontId="0" fillId="0" borderId="103" xfId="0" applyBorder="1" applyAlignment="1" applyProtection="1">
      <alignment horizontal="center"/>
      <protection locked="0"/>
    </xf>
    <xf numFmtId="0" fontId="4" fillId="2" borderId="143" xfId="0" applyFont="1" applyFill="1" applyBorder="1" applyAlignment="1" applyProtection="1">
      <alignment vertical="center"/>
      <protection hidden="1"/>
    </xf>
    <xf numFmtId="0" fontId="0" fillId="0" borderId="143" xfId="0" applyBorder="1" applyAlignment="1" applyProtection="1">
      <alignment vertical="center"/>
      <protection hidden="1"/>
    </xf>
    <xf numFmtId="0" fontId="4" fillId="4" borderId="0" xfId="3" applyFont="1" applyFill="1" applyBorder="1" applyAlignment="1" applyProtection="1">
      <alignment horizontal="center" vertical="center"/>
      <protection hidden="1"/>
    </xf>
    <xf numFmtId="0" fontId="7" fillId="3" borderId="11" xfId="0" applyFont="1" applyFill="1" applyBorder="1" applyAlignment="1">
      <alignment vertical="center"/>
    </xf>
    <xf numFmtId="0" fontId="0" fillId="3" borderId="12" xfId="0" applyFill="1" applyBorder="1" applyAlignment="1">
      <alignment vertical="center"/>
    </xf>
    <xf numFmtId="0" fontId="4" fillId="4" borderId="16" xfId="0" applyFont="1" applyFill="1" applyBorder="1" applyAlignment="1" applyProtection="1">
      <alignment horizontal="center" vertical="center"/>
      <protection hidden="1"/>
    </xf>
    <xf numFmtId="0" fontId="4" fillId="4" borderId="183" xfId="0" applyFont="1" applyFill="1" applyBorder="1" applyAlignment="1" applyProtection="1">
      <alignment horizontal="center" vertical="center"/>
      <protection hidden="1"/>
    </xf>
    <xf numFmtId="17" fontId="3" fillId="0" borderId="125" xfId="0" applyNumberFormat="1" applyFont="1" applyFill="1" applyBorder="1" applyAlignment="1">
      <alignment horizontal="center" vertical="center"/>
    </xf>
    <xf numFmtId="17" fontId="3" fillId="0" borderId="210" xfId="0" applyNumberFormat="1" applyFont="1" applyFill="1" applyBorder="1" applyAlignment="1">
      <alignment horizontal="center" vertical="center"/>
    </xf>
    <xf numFmtId="0" fontId="4" fillId="7" borderId="171" xfId="3" applyFont="1" applyFill="1" applyBorder="1" applyAlignment="1" applyProtection="1">
      <alignment horizontal="center" vertical="center"/>
      <protection locked="0" hidden="1"/>
    </xf>
    <xf numFmtId="0" fontId="0" fillId="0" borderId="172" xfId="0" applyBorder="1" applyAlignment="1" applyProtection="1">
      <alignment vertical="center"/>
      <protection locked="0" hidden="1"/>
    </xf>
    <xf numFmtId="0" fontId="4" fillId="7" borderId="172" xfId="3" applyFont="1" applyFill="1" applyBorder="1" applyAlignment="1" applyProtection="1">
      <alignment horizontal="center" vertical="center"/>
      <protection locked="0" hidden="1"/>
    </xf>
    <xf numFmtId="0" fontId="0" fillId="0" borderId="172" xfId="0" applyBorder="1" applyAlignment="1">
      <alignment vertical="center"/>
    </xf>
    <xf numFmtId="0" fontId="4" fillId="4" borderId="16" xfId="0" applyFont="1" applyFill="1" applyBorder="1" applyAlignment="1">
      <alignment horizontal="center" vertical="center"/>
    </xf>
    <xf numFmtId="0" fontId="4" fillId="4" borderId="183" xfId="0" applyFont="1" applyFill="1" applyBorder="1" applyAlignment="1">
      <alignment horizontal="center" vertical="center"/>
    </xf>
    <xf numFmtId="15" fontId="4" fillId="4" borderId="16" xfId="0" applyNumberFormat="1" applyFont="1" applyFill="1" applyBorder="1" applyAlignment="1">
      <alignment horizontal="center" vertical="center"/>
    </xf>
    <xf numFmtId="0" fontId="4" fillId="7" borderId="172" xfId="3" applyFont="1" applyFill="1" applyBorder="1" applyAlignment="1" applyProtection="1">
      <alignment horizontal="center" vertical="center"/>
    </xf>
    <xf numFmtId="0" fontId="4" fillId="7" borderId="171" xfId="0" applyFont="1" applyFill="1" applyBorder="1" applyAlignment="1">
      <alignment horizontal="center" vertical="center"/>
    </xf>
    <xf numFmtId="0" fontId="0" fillId="0" borderId="170" xfId="0" applyBorder="1" applyAlignment="1">
      <alignment vertical="center"/>
    </xf>
    <xf numFmtId="0" fontId="4" fillId="2" borderId="0" xfId="0" applyFont="1" applyFill="1" applyBorder="1" applyAlignment="1">
      <alignment vertical="center"/>
    </xf>
    <xf numFmtId="0" fontId="4" fillId="0" borderId="0" xfId="0" applyFont="1" applyAlignment="1">
      <alignment vertical="center"/>
    </xf>
    <xf numFmtId="0" fontId="4" fillId="0" borderId="16" xfId="0" applyFont="1" applyFill="1" applyBorder="1" applyAlignment="1">
      <alignment horizontal="center" vertical="center"/>
    </xf>
    <xf numFmtId="0" fontId="4" fillId="0" borderId="183" xfId="0" applyFont="1" applyBorder="1" applyAlignment="1">
      <alignment horizontal="center" vertical="center"/>
    </xf>
    <xf numFmtId="15" fontId="4" fillId="0" borderId="16" xfId="0" applyNumberFormat="1" applyFont="1" applyFill="1" applyBorder="1" applyAlignment="1">
      <alignment horizontal="center" vertical="center"/>
    </xf>
    <xf numFmtId="0" fontId="4" fillId="2" borderId="10" xfId="0" applyFont="1" applyFill="1" applyBorder="1" applyAlignment="1">
      <alignment horizontal="center" vertical="center"/>
    </xf>
    <xf numFmtId="0" fontId="0" fillId="0" borderId="8" xfId="0" applyBorder="1" applyAlignment="1">
      <alignment vertical="center"/>
    </xf>
    <xf numFmtId="0" fontId="24" fillId="3" borderId="12" xfId="0" applyFont="1" applyFill="1" applyBorder="1" applyAlignment="1">
      <alignment vertical="center"/>
    </xf>
    <xf numFmtId="0" fontId="24" fillId="3" borderId="15" xfId="0" applyFont="1" applyFill="1" applyBorder="1" applyAlignment="1">
      <alignment vertical="center"/>
    </xf>
    <xf numFmtId="0" fontId="4" fillId="0" borderId="183" xfId="0" applyFont="1" applyFill="1" applyBorder="1" applyAlignment="1">
      <alignment horizontal="center" vertical="center"/>
    </xf>
    <xf numFmtId="0" fontId="4" fillId="7" borderId="172" xfId="0" applyFont="1" applyFill="1" applyBorder="1" applyAlignment="1">
      <alignment horizontal="center" vertical="center"/>
    </xf>
    <xf numFmtId="0" fontId="4" fillId="0" borderId="0" xfId="3" applyFont="1" applyFill="1" applyBorder="1" applyAlignment="1" applyProtection="1">
      <alignment horizontal="center" vertical="center"/>
      <protection locked="0"/>
    </xf>
    <xf numFmtId="0" fontId="0" fillId="0" borderId="12" xfId="0" applyBorder="1" applyAlignment="1">
      <alignment vertical="center"/>
    </xf>
    <xf numFmtId="0" fontId="0" fillId="0" borderId="15" xfId="0" applyBorder="1" applyAlignment="1">
      <alignment vertical="center"/>
    </xf>
    <xf numFmtId="0" fontId="7" fillId="0" borderId="12" xfId="0" applyFont="1" applyBorder="1" applyAlignment="1">
      <alignment vertical="center"/>
    </xf>
    <xf numFmtId="0" fontId="7" fillId="0" borderId="15" xfId="0" applyFont="1" applyBorder="1" applyAlignment="1">
      <alignment vertical="center"/>
    </xf>
    <xf numFmtId="0" fontId="7" fillId="3" borderId="10" xfId="0" applyFon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3" fillId="0" borderId="0" xfId="0" applyFont="1" applyAlignment="1">
      <alignment horizontal="left" vertical="center" wrapText="1"/>
    </xf>
    <xf numFmtId="0" fontId="3" fillId="0" borderId="0" xfId="0" applyFont="1" applyAlignment="1">
      <alignment vertical="center" wrapText="1"/>
    </xf>
    <xf numFmtId="0" fontId="3" fillId="0" borderId="0" xfId="0" applyFont="1" applyBorder="1" applyAlignment="1">
      <alignment vertical="center" wrapText="1"/>
    </xf>
    <xf numFmtId="0" fontId="4" fillId="0" borderId="172" xfId="3" applyFont="1" applyBorder="1" applyAlignment="1" applyProtection="1">
      <alignment horizontal="center" vertical="center"/>
    </xf>
    <xf numFmtId="169" fontId="4" fillId="2" borderId="222" xfId="0" applyNumberFormat="1" applyFont="1" applyFill="1" applyBorder="1" applyAlignment="1">
      <alignment horizontal="center" vertical="center"/>
    </xf>
    <xf numFmtId="169" fontId="4" fillId="2" borderId="19" xfId="0" applyNumberFormat="1" applyFont="1" applyFill="1" applyBorder="1" applyAlignment="1">
      <alignment horizontal="center" vertical="center"/>
    </xf>
    <xf numFmtId="169" fontId="4" fillId="2" borderId="223" xfId="0" applyNumberFormat="1" applyFont="1" applyFill="1" applyBorder="1" applyAlignment="1">
      <alignment horizontal="center" vertical="center"/>
    </xf>
    <xf numFmtId="169" fontId="4" fillId="2" borderId="226" xfId="0" applyNumberFormat="1" applyFont="1" applyFill="1" applyBorder="1" applyAlignment="1">
      <alignment horizontal="center" vertical="center"/>
    </xf>
    <xf numFmtId="169" fontId="4" fillId="2" borderId="227" xfId="0" applyNumberFormat="1" applyFont="1" applyFill="1" applyBorder="1" applyAlignment="1">
      <alignment horizontal="center" vertical="center"/>
    </xf>
    <xf numFmtId="169" fontId="4" fillId="2" borderId="53" xfId="0" applyNumberFormat="1" applyFont="1" applyFill="1" applyBorder="1" applyAlignment="1">
      <alignment horizontal="center" vertical="center"/>
    </xf>
    <xf numFmtId="169" fontId="4" fillId="2" borderId="58" xfId="0" applyNumberFormat="1" applyFont="1" applyFill="1" applyBorder="1" applyAlignment="1">
      <alignment horizontal="center" vertical="center"/>
    </xf>
    <xf numFmtId="169" fontId="4" fillId="2" borderId="224" xfId="0" applyNumberFormat="1" applyFont="1" applyFill="1" applyBorder="1" applyAlignment="1">
      <alignment horizontal="center" vertical="center"/>
    </xf>
    <xf numFmtId="0" fontId="0" fillId="0" borderId="27" xfId="0" applyBorder="1" applyAlignment="1">
      <alignment horizontal="center" vertical="center"/>
    </xf>
    <xf numFmtId="0" fontId="0" fillId="0" borderId="225" xfId="0" applyBorder="1" applyAlignment="1">
      <alignment horizontal="center" vertical="center"/>
    </xf>
    <xf numFmtId="169" fontId="4" fillId="2" borderId="27" xfId="0" applyNumberFormat="1" applyFont="1" applyFill="1" applyBorder="1" applyAlignment="1">
      <alignment horizontal="center" vertical="center"/>
    </xf>
    <xf numFmtId="0" fontId="4" fillId="2" borderId="214" xfId="0" applyFont="1" applyFill="1" applyBorder="1" applyAlignment="1">
      <alignment vertical="center"/>
    </xf>
    <xf numFmtId="0" fontId="3" fillId="2" borderId="30" xfId="0" applyFont="1" applyFill="1" applyBorder="1" applyAlignment="1">
      <alignment vertical="center"/>
    </xf>
    <xf numFmtId="169" fontId="4" fillId="2" borderId="228" xfId="0" applyNumberFormat="1" applyFont="1" applyFill="1" applyBorder="1" applyAlignment="1">
      <alignment horizontal="center" vertical="center"/>
    </xf>
    <xf numFmtId="169" fontId="4" fillId="2" borderId="196" xfId="0" applyNumberFormat="1" applyFont="1" applyFill="1" applyBorder="1" applyAlignment="1">
      <alignment horizontal="center" vertical="center"/>
    </xf>
    <xf numFmtId="169" fontId="4" fillId="2" borderId="229" xfId="0" applyNumberFormat="1" applyFont="1" applyFill="1" applyBorder="1" applyAlignment="1">
      <alignment horizontal="center" vertical="center"/>
    </xf>
    <xf numFmtId="169" fontId="4" fillId="2" borderId="230" xfId="0" applyNumberFormat="1" applyFont="1" applyFill="1" applyBorder="1" applyAlignment="1">
      <alignment horizontal="center" vertical="center"/>
    </xf>
    <xf numFmtId="169" fontId="4" fillId="2" borderId="60" xfId="0" applyNumberFormat="1" applyFont="1" applyFill="1" applyBorder="1" applyAlignment="1">
      <alignment horizontal="center" vertical="center"/>
    </xf>
    <xf numFmtId="169" fontId="4" fillId="2" borderId="143" xfId="0" applyNumberFormat="1" applyFont="1" applyFill="1" applyBorder="1" applyAlignment="1">
      <alignment horizontal="center" vertical="center"/>
    </xf>
    <xf numFmtId="169" fontId="4" fillId="2" borderId="225" xfId="0" applyNumberFormat="1" applyFont="1" applyFill="1" applyBorder="1" applyAlignment="1">
      <alignment horizontal="center" vertical="center"/>
    </xf>
    <xf numFmtId="0" fontId="4" fillId="2" borderId="0" xfId="0" applyFont="1" applyFill="1" applyBorder="1" applyAlignment="1">
      <alignment horizontal="center" vertical="center" wrapText="1"/>
    </xf>
    <xf numFmtId="0" fontId="4" fillId="2" borderId="0" xfId="0" applyFont="1" applyFill="1" applyBorder="1" applyAlignment="1">
      <alignment horizontal="center" vertical="center"/>
    </xf>
    <xf numFmtId="0" fontId="4" fillId="2" borderId="3" xfId="0" applyFont="1" applyFill="1" applyBorder="1" applyAlignment="1">
      <alignment horizontal="center" vertical="center"/>
    </xf>
    <xf numFmtId="0" fontId="3" fillId="0" borderId="0" xfId="0" applyFont="1" applyFill="1" applyAlignment="1">
      <alignment vertical="center"/>
    </xf>
    <xf numFmtId="0" fontId="0" fillId="0" borderId="0" xfId="0" applyAlignment="1">
      <alignment vertical="center"/>
    </xf>
    <xf numFmtId="169" fontId="4" fillId="2" borderId="149" xfId="0" applyNumberFormat="1" applyFont="1" applyFill="1" applyBorder="1" applyAlignment="1">
      <alignment horizontal="center" vertical="center"/>
    </xf>
    <xf numFmtId="169" fontId="4" fillId="2" borderId="12" xfId="0" applyNumberFormat="1" applyFont="1" applyFill="1" applyBorder="1" applyAlignment="1">
      <alignment horizontal="center" vertical="center"/>
    </xf>
    <xf numFmtId="169" fontId="4" fillId="2" borderId="15" xfId="0" applyNumberFormat="1" applyFont="1" applyFill="1" applyBorder="1" applyAlignment="1">
      <alignment horizontal="center" vertical="center"/>
    </xf>
    <xf numFmtId="169" fontId="4" fillId="2" borderId="32" xfId="0" applyNumberFormat="1" applyFont="1" applyFill="1" applyBorder="1" applyAlignment="1">
      <alignment horizontal="center" vertical="center"/>
    </xf>
    <xf numFmtId="169" fontId="4" fillId="2" borderId="25" xfId="0" applyNumberFormat="1" applyFont="1" applyFill="1" applyBorder="1" applyAlignment="1">
      <alignment horizontal="center" vertical="center"/>
    </xf>
    <xf numFmtId="169" fontId="4" fillId="2" borderId="23" xfId="0" applyNumberFormat="1" applyFont="1" applyFill="1"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7" fillId="3" borderId="12" xfId="0" applyFont="1" applyFill="1" applyBorder="1" applyAlignment="1">
      <alignment vertical="center"/>
    </xf>
    <xf numFmtId="0" fontId="24" fillId="3" borderId="0" xfId="0" applyFont="1" applyFill="1" applyBorder="1" applyAlignment="1">
      <alignment vertical="center"/>
    </xf>
    <xf numFmtId="0" fontId="24" fillId="3" borderId="1" xfId="0" applyFont="1" applyFill="1" applyBorder="1" applyAlignment="1">
      <alignment vertical="center"/>
    </xf>
    <xf numFmtId="0" fontId="5" fillId="2" borderId="7"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0" borderId="0" xfId="3" applyFont="1" applyFill="1" applyBorder="1" applyAlignment="1" applyProtection="1">
      <alignment horizontal="center" vertical="center"/>
    </xf>
    <xf numFmtId="169" fontId="4" fillId="2" borderId="100" xfId="0" applyNumberFormat="1" applyFont="1" applyFill="1" applyBorder="1" applyAlignment="1">
      <alignment vertical="center"/>
    </xf>
    <xf numFmtId="0" fontId="0" fillId="0" borderId="27" xfId="0" applyBorder="1" applyAlignment="1">
      <alignment vertical="center"/>
    </xf>
    <xf numFmtId="0" fontId="0" fillId="0" borderId="32" xfId="0" applyBorder="1" applyAlignment="1">
      <alignment vertical="center"/>
    </xf>
    <xf numFmtId="169" fontId="4" fillId="2" borderId="27" xfId="0" applyNumberFormat="1" applyFont="1" applyFill="1" applyBorder="1" applyAlignment="1">
      <alignment horizontal="left" vertical="center"/>
    </xf>
    <xf numFmtId="169" fontId="4" fillId="2" borderId="11" xfId="0" applyNumberFormat="1" applyFont="1" applyFill="1" applyBorder="1" applyAlignment="1">
      <alignment horizontal="left" vertical="center"/>
    </xf>
    <xf numFmtId="0" fontId="0" fillId="0" borderId="12" xfId="0" applyBorder="1" applyAlignment="1">
      <alignment horizontal="left" vertical="center"/>
    </xf>
    <xf numFmtId="0" fontId="0" fillId="0" borderId="15" xfId="0" applyBorder="1" applyAlignment="1">
      <alignment horizontal="left" vertical="center"/>
    </xf>
    <xf numFmtId="169" fontId="4" fillId="2" borderId="100" xfId="0" applyNumberFormat="1" applyFont="1" applyFill="1" applyBorder="1" applyAlignment="1">
      <alignment horizontal="left" vertical="center"/>
    </xf>
    <xf numFmtId="0" fontId="4" fillId="7" borderId="16" xfId="3" applyFont="1" applyFill="1" applyBorder="1" applyAlignment="1" applyProtection="1">
      <alignment horizontal="center" vertical="center"/>
      <protection locked="0"/>
    </xf>
    <xf numFmtId="0" fontId="4" fillId="0" borderId="183" xfId="3" applyFont="1" applyBorder="1" applyAlignment="1" applyProtection="1">
      <alignment horizontal="center" vertical="center"/>
      <protection locked="0"/>
    </xf>
    <xf numFmtId="0" fontId="3" fillId="0" borderId="0" xfId="0" applyFont="1" applyFill="1" applyBorder="1" applyAlignment="1">
      <alignment vertical="center"/>
    </xf>
    <xf numFmtId="0" fontId="5" fillId="2" borderId="0"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0" fillId="0" borderId="0" xfId="0" applyFill="1" applyBorder="1" applyAlignment="1">
      <alignment horizontal="center" vertical="center"/>
    </xf>
    <xf numFmtId="0" fontId="5" fillId="2" borderId="10" xfId="0" applyFont="1" applyFill="1" applyBorder="1" applyAlignment="1">
      <alignment horizontal="center" vertical="center" wrapText="1"/>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10" xfId="0" applyFont="1" applyFill="1" applyBorder="1" applyAlignment="1">
      <alignment horizontal="left" vertical="center"/>
    </xf>
    <xf numFmtId="0" fontId="5" fillId="2" borderId="7" xfId="0" applyFont="1" applyFill="1" applyBorder="1" applyAlignment="1">
      <alignment horizontal="left" vertical="center"/>
    </xf>
    <xf numFmtId="0" fontId="5" fillId="2" borderId="8" xfId="0" applyFont="1" applyFill="1" applyBorder="1" applyAlignment="1">
      <alignment horizontal="left" vertical="center"/>
    </xf>
    <xf numFmtId="0" fontId="4" fillId="0" borderId="0" xfId="0" applyFont="1" applyFill="1" applyBorder="1" applyAlignment="1" applyProtection="1">
      <alignment horizontal="center" vertical="center"/>
      <protection locked="0"/>
    </xf>
    <xf numFmtId="0" fontId="7" fillId="3" borderId="0" xfId="0" applyFont="1" applyFill="1" applyBorder="1" applyAlignment="1">
      <alignment vertical="center"/>
    </xf>
    <xf numFmtId="0" fontId="0" fillId="3" borderId="0" xfId="0" applyFill="1" applyBorder="1" applyAlignment="1">
      <alignment vertical="center"/>
    </xf>
    <xf numFmtId="0" fontId="0" fillId="3" borderId="15" xfId="0" applyFill="1" applyBorder="1" applyAlignment="1">
      <alignment vertical="center"/>
    </xf>
    <xf numFmtId="0" fontId="5" fillId="2" borderId="10"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0" fontId="0" fillId="0" borderId="0" xfId="0" applyAlignment="1"/>
    <xf numFmtId="0" fontId="3" fillId="0" borderId="0" xfId="0" applyFont="1" applyFill="1" applyAlignment="1"/>
    <xf numFmtId="0" fontId="0" fillId="0" borderId="0" xfId="0" applyFill="1" applyBorder="1" applyAlignment="1" applyProtection="1">
      <alignment horizontal="center" vertical="center"/>
      <protection locked="0"/>
    </xf>
    <xf numFmtId="0" fontId="3" fillId="2" borderId="8" xfId="0" applyFont="1" applyFill="1" applyBorder="1" applyAlignment="1">
      <alignment horizontal="center" vertical="center"/>
    </xf>
    <xf numFmtId="0" fontId="5" fillId="2" borderId="11" xfId="0" applyFont="1" applyFill="1" applyBorder="1" applyAlignment="1">
      <alignment vertical="center"/>
    </xf>
    <xf numFmtId="17" fontId="2" fillId="0" borderId="125" xfId="0" applyNumberFormat="1" applyFont="1" applyFill="1" applyBorder="1" applyAlignment="1">
      <alignment horizontal="center" vertical="center"/>
    </xf>
    <xf numFmtId="17" fontId="2" fillId="0" borderId="210" xfId="0" applyNumberFormat="1" applyFont="1" applyFill="1" applyBorder="1" applyAlignment="1">
      <alignment horizontal="center" vertical="center"/>
    </xf>
    <xf numFmtId="0" fontId="2" fillId="0" borderId="0" xfId="0" applyFont="1" applyAlignment="1">
      <alignment vertical="center"/>
    </xf>
    <xf numFmtId="0" fontId="11" fillId="3" borderId="12" xfId="0" applyFont="1" applyFill="1" applyBorder="1" applyAlignment="1">
      <alignment vertical="center"/>
    </xf>
    <xf numFmtId="0" fontId="11" fillId="3" borderId="15" xfId="0" applyFont="1" applyFill="1" applyBorder="1" applyAlignment="1">
      <alignment vertical="center"/>
    </xf>
    <xf numFmtId="0" fontId="4" fillId="0" borderId="6" xfId="0" applyFont="1" applyFill="1" applyBorder="1" applyAlignment="1">
      <alignment horizontal="center" vertical="top" wrapText="1"/>
    </xf>
    <xf numFmtId="0" fontId="4" fillId="0" borderId="0" xfId="0" applyFont="1" applyFill="1" applyBorder="1" applyAlignment="1">
      <alignment horizontal="center" vertical="top" wrapText="1"/>
    </xf>
    <xf numFmtId="0" fontId="4" fillId="0" borderId="1" xfId="0" applyFont="1" applyFill="1" applyBorder="1" applyAlignment="1">
      <alignment horizontal="center" vertical="top" wrapText="1"/>
    </xf>
    <xf numFmtId="0" fontId="4" fillId="0" borderId="2" xfId="0" applyFont="1" applyFill="1" applyBorder="1" applyAlignment="1">
      <alignment horizontal="center" vertical="top" wrapText="1"/>
    </xf>
    <xf numFmtId="0" fontId="4" fillId="0" borderId="3" xfId="0" applyFont="1" applyFill="1" applyBorder="1" applyAlignment="1">
      <alignment horizontal="center" vertical="top" wrapText="1"/>
    </xf>
    <xf numFmtId="0" fontId="4" fillId="0" borderId="4" xfId="0" applyFont="1" applyFill="1" applyBorder="1" applyAlignment="1">
      <alignment horizontal="center" vertical="top" wrapText="1"/>
    </xf>
    <xf numFmtId="0" fontId="7" fillId="3" borderId="1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xf numFmtId="49" fontId="2" fillId="2" borderId="21" xfId="0" applyNumberFormat="1" applyFont="1" applyFill="1" applyBorder="1" applyAlignment="1">
      <alignment horizontal="center" vertical="center" wrapText="1"/>
    </xf>
    <xf numFmtId="49" fontId="2" fillId="2" borderId="9" xfId="0" applyNumberFormat="1" applyFont="1" applyFill="1" applyBorder="1" applyAlignment="1">
      <alignment horizontal="center" vertical="center" wrapText="1"/>
    </xf>
    <xf numFmtId="49" fontId="2" fillId="2" borderId="5" xfId="0" applyNumberFormat="1" applyFont="1" applyFill="1" applyBorder="1" applyAlignment="1">
      <alignment horizontal="center" vertical="center" wrapText="1"/>
    </xf>
    <xf numFmtId="0" fontId="7" fillId="3" borderId="7" xfId="0" applyFont="1" applyFill="1" applyBorder="1" applyAlignment="1">
      <alignment horizontal="center" vertical="center"/>
    </xf>
    <xf numFmtId="0" fontId="7" fillId="3" borderId="8" xfId="0" applyFont="1" applyFill="1" applyBorder="1" applyAlignment="1">
      <alignment horizontal="center" vertical="center"/>
    </xf>
    <xf numFmtId="0" fontId="4" fillId="0" borderId="11" xfId="0" applyFont="1" applyFill="1" applyBorder="1" applyAlignment="1">
      <alignment horizontal="center" vertical="top" wrapText="1"/>
    </xf>
    <xf numFmtId="0" fontId="4" fillId="0" borderId="12" xfId="0" applyFont="1" applyFill="1" applyBorder="1" applyAlignment="1">
      <alignment horizontal="center" vertical="top" wrapText="1"/>
    </xf>
    <xf numFmtId="0" fontId="2" fillId="2" borderId="21"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7" fillId="3" borderId="10" xfId="0" applyFont="1" applyFill="1" applyBorder="1" applyAlignment="1">
      <alignment vertical="center"/>
    </xf>
    <xf numFmtId="0" fontId="0" fillId="0" borderId="7" xfId="0" applyBorder="1" applyAlignment="1"/>
    <xf numFmtId="0" fontId="0" fillId="0" borderId="8" xfId="0" applyBorder="1" applyAlignment="1"/>
    <xf numFmtId="0" fontId="3" fillId="0" borderId="6" xfId="0" applyFont="1" applyFill="1" applyBorder="1" applyAlignment="1">
      <alignment vertical="center" wrapText="1"/>
    </xf>
    <xf numFmtId="0" fontId="0" fillId="0" borderId="0" xfId="0" applyBorder="1" applyAlignment="1">
      <alignment vertical="center" wrapText="1"/>
    </xf>
    <xf numFmtId="0" fontId="0" fillId="0" borderId="1" xfId="0" applyBorder="1" applyAlignment="1">
      <alignment vertical="center" wrapText="1"/>
    </xf>
    <xf numFmtId="0" fontId="0" fillId="0" borderId="6" xfId="0" applyBorder="1" applyAlignment="1">
      <alignment vertical="center" wrapText="1"/>
    </xf>
    <xf numFmtId="0" fontId="7" fillId="3" borderId="11"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3" borderId="15" xfId="0" applyFont="1" applyFill="1" applyBorder="1" applyAlignment="1">
      <alignment horizontal="left" vertical="center" wrapText="1"/>
    </xf>
    <xf numFmtId="0" fontId="4" fillId="2" borderId="120" xfId="0" applyFont="1" applyFill="1" applyBorder="1" applyAlignment="1">
      <alignment horizontal="center" vertical="center" wrapText="1"/>
    </xf>
    <xf numFmtId="0" fontId="4" fillId="2" borderId="46" xfId="0" applyFont="1" applyFill="1" applyBorder="1" applyAlignment="1">
      <alignment horizontal="center" vertical="center" wrapText="1"/>
    </xf>
    <xf numFmtId="0" fontId="4" fillId="2" borderId="35" xfId="0" applyFont="1" applyFill="1" applyBorder="1" applyAlignment="1">
      <alignment horizontal="center" vertical="center" wrapText="1"/>
    </xf>
    <xf numFmtId="0" fontId="0" fillId="0" borderId="36" xfId="0" applyBorder="1" applyAlignment="1">
      <alignment horizontal="center" vertical="center" wrapText="1"/>
    </xf>
    <xf numFmtId="0" fontId="4" fillId="2" borderId="6" xfId="0" applyFont="1" applyFill="1" applyBorder="1" applyAlignment="1">
      <alignment vertical="center" wrapText="1"/>
    </xf>
    <xf numFmtId="0" fontId="4" fillId="2" borderId="6" xfId="0" applyFont="1" applyFill="1" applyBorder="1" applyAlignment="1">
      <alignment vertical="center"/>
    </xf>
    <xf numFmtId="0" fontId="2" fillId="0" borderId="134" xfId="0" applyFont="1" applyBorder="1" applyAlignment="1">
      <alignment horizontal="left" vertical="top" wrapText="1"/>
    </xf>
    <xf numFmtId="0" fontId="3" fillId="0" borderId="105" xfId="0" applyFont="1" applyBorder="1" applyAlignment="1"/>
    <xf numFmtId="0" fontId="3" fillId="0" borderId="85" xfId="0" applyFont="1" applyBorder="1" applyAlignment="1"/>
    <xf numFmtId="0" fontId="3" fillId="0" borderId="6" xfId="0" applyFont="1" applyBorder="1" applyAlignment="1">
      <alignment horizontal="left" vertical="center" wrapText="1"/>
    </xf>
    <xf numFmtId="0" fontId="3" fillId="0" borderId="0" xfId="0" applyFont="1" applyAlignment="1"/>
    <xf numFmtId="0" fontId="3" fillId="0" borderId="1" xfId="0" applyFont="1" applyBorder="1" applyAlignment="1"/>
    <xf numFmtId="0" fontId="4" fillId="0" borderId="0" xfId="0" applyFont="1" applyBorder="1" applyAlignment="1">
      <alignment horizontal="center" vertical="center" wrapText="1"/>
    </xf>
    <xf numFmtId="0" fontId="4" fillId="2" borderId="11" xfId="0" applyFont="1" applyFill="1" applyBorder="1" applyAlignment="1">
      <alignment horizontal="left" vertical="center" wrapText="1"/>
    </xf>
    <xf numFmtId="0" fontId="4" fillId="2" borderId="2" xfId="0" applyFont="1" applyFill="1" applyBorder="1" applyAlignment="1">
      <alignment horizontal="left" vertical="center" wrapText="1"/>
    </xf>
    <xf numFmtId="0" fontId="3" fillId="0" borderId="11" xfId="0" applyFont="1" applyBorder="1" applyAlignment="1">
      <alignment horizontal="left" vertical="center" wrapText="1"/>
    </xf>
    <xf numFmtId="0" fontId="3" fillId="0" borderId="12" xfId="0" applyFont="1" applyBorder="1" applyAlignment="1"/>
    <xf numFmtId="0" fontId="3" fillId="0" borderId="15" xfId="0" applyFont="1" applyBorder="1" applyAlignment="1"/>
    <xf numFmtId="0" fontId="2" fillId="0" borderId="40" xfId="0" applyFont="1" applyBorder="1" applyAlignment="1">
      <alignment horizontal="left" vertical="center" wrapText="1"/>
    </xf>
    <xf numFmtId="0" fontId="2" fillId="0" borderId="18" xfId="0" applyFont="1" applyBorder="1" applyAlignment="1">
      <alignment horizontal="left" vertical="center" wrapText="1"/>
    </xf>
    <xf numFmtId="0" fontId="2" fillId="0" borderId="26" xfId="0" applyFont="1" applyBorder="1" applyAlignment="1">
      <alignment horizontal="left" vertical="center" wrapText="1"/>
    </xf>
    <xf numFmtId="0" fontId="4" fillId="0" borderId="0" xfId="3" applyFont="1" applyFill="1" applyBorder="1" applyAlignment="1" applyProtection="1">
      <alignment vertical="center"/>
      <protection locked="0"/>
    </xf>
    <xf numFmtId="0" fontId="3" fillId="0" borderId="0" xfId="0" applyFont="1" applyFill="1" applyAlignment="1">
      <alignment wrapText="1"/>
    </xf>
    <xf numFmtId="0" fontId="4" fillId="2" borderId="21" xfId="0" applyFont="1" applyFill="1" applyBorder="1" applyAlignment="1">
      <alignment horizontal="center" vertical="center" wrapText="1"/>
    </xf>
    <xf numFmtId="0" fontId="0" fillId="2" borderId="9" xfId="0" applyFill="1" applyBorder="1" applyAlignment="1">
      <alignment horizontal="center" wrapText="1"/>
    </xf>
    <xf numFmtId="0" fontId="0" fillId="2" borderId="5" xfId="0" applyFill="1" applyBorder="1" applyAlignment="1">
      <alignment horizontal="center" wrapText="1"/>
    </xf>
    <xf numFmtId="0" fontId="4" fillId="2" borderId="42" xfId="0" applyFont="1" applyFill="1" applyBorder="1" applyAlignment="1">
      <alignment horizontal="center" vertical="center" wrapText="1"/>
    </xf>
    <xf numFmtId="0" fontId="0" fillId="2" borderId="42" xfId="0" applyFill="1" applyBorder="1" applyAlignment="1">
      <alignment horizontal="center" wrapText="1"/>
    </xf>
    <xf numFmtId="0" fontId="0" fillId="2" borderId="34" xfId="0" applyFill="1" applyBorder="1" applyAlignment="1">
      <alignment horizontal="center" wrapText="1"/>
    </xf>
    <xf numFmtId="0" fontId="4" fillId="2" borderId="1" xfId="0" applyFont="1" applyFill="1" applyBorder="1" applyAlignment="1">
      <alignment horizontal="center" vertical="center" wrapText="1"/>
    </xf>
    <xf numFmtId="0" fontId="0" fillId="2" borderId="1" xfId="0" applyFill="1" applyBorder="1" applyAlignment="1">
      <alignment horizontal="center" wrapText="1"/>
    </xf>
    <xf numFmtId="0" fontId="0" fillId="2" borderId="4" xfId="0" applyFill="1" applyBorder="1" applyAlignment="1">
      <alignment horizontal="center" wrapText="1"/>
    </xf>
    <xf numFmtId="0" fontId="3" fillId="2" borderId="11" xfId="0" applyFont="1" applyFill="1" applyBorder="1" applyAlignment="1">
      <alignment horizontal="center" vertical="center" wrapText="1"/>
    </xf>
    <xf numFmtId="0" fontId="0" fillId="2" borderId="15" xfId="0" applyFill="1" applyBorder="1" applyAlignment="1">
      <alignment horizontal="center" vertical="center"/>
    </xf>
    <xf numFmtId="0" fontId="3" fillId="2" borderId="10" xfId="0" applyFont="1" applyFill="1" applyBorder="1" applyAlignment="1">
      <alignment horizontal="center" vertical="center" wrapText="1"/>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2" xfId="0" applyFill="1" applyBorder="1" applyAlignment="1">
      <alignment horizontal="center" vertical="center"/>
    </xf>
    <xf numFmtId="0" fontId="0" fillId="2" borderId="4" xfId="0" applyFill="1" applyBorder="1" applyAlignment="1">
      <alignment horizontal="center" vertical="center"/>
    </xf>
    <xf numFmtId="0" fontId="3" fillId="2" borderId="21"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7" fillId="3" borderId="5" xfId="0" applyFont="1" applyFill="1" applyBorder="1" applyAlignment="1">
      <alignment horizontal="center" vertical="center" wrapText="1"/>
    </xf>
    <xf numFmtId="0" fontId="3" fillId="0" borderId="0" xfId="0" applyFont="1" applyFill="1" applyBorder="1" applyAlignment="1">
      <alignment vertical="center" wrapText="1"/>
    </xf>
    <xf numFmtId="0" fontId="3" fillId="0" borderId="0" xfId="0" applyFont="1" applyFill="1" applyAlignment="1">
      <alignment vertical="center" wrapText="1"/>
    </xf>
    <xf numFmtId="0" fontId="3" fillId="4" borderId="0" xfId="0" applyFont="1" applyFill="1" applyAlignment="1">
      <alignment vertical="center"/>
    </xf>
    <xf numFmtId="0" fontId="4" fillId="7" borderId="171" xfId="0" applyFont="1" applyFill="1" applyBorder="1" applyAlignment="1" applyProtection="1">
      <alignment horizontal="center" vertical="center"/>
      <protection locked="0"/>
    </xf>
    <xf numFmtId="0" fontId="4" fillId="7" borderId="172" xfId="0" applyFont="1" applyFill="1" applyBorder="1" applyAlignment="1" applyProtection="1">
      <alignment horizontal="center" vertical="center"/>
      <protection locked="0"/>
    </xf>
    <xf numFmtId="0" fontId="3" fillId="4" borderId="165" xfId="9" applyFont="1" applyFill="1" applyBorder="1" applyAlignment="1">
      <alignment horizontal="center" vertical="center" wrapText="1"/>
    </xf>
    <xf numFmtId="0" fontId="3" fillId="4" borderId="83" xfId="9" applyFont="1" applyFill="1" applyBorder="1" applyAlignment="1">
      <alignment horizontal="center" vertical="center" wrapText="1"/>
    </xf>
    <xf numFmtId="0" fontId="3" fillId="4" borderId="46" xfId="9" applyFont="1" applyFill="1" applyBorder="1" applyAlignment="1">
      <alignment horizontal="center" vertical="center" wrapText="1"/>
    </xf>
    <xf numFmtId="0" fontId="3" fillId="4" borderId="0" xfId="0" applyFont="1" applyFill="1" applyBorder="1" applyAlignment="1">
      <alignment vertical="center"/>
    </xf>
    <xf numFmtId="0" fontId="4" fillId="2" borderId="15" xfId="0" applyFont="1" applyFill="1" applyBorder="1" applyAlignment="1">
      <alignment horizontal="center" vertical="center" wrapText="1"/>
    </xf>
    <xf numFmtId="0" fontId="4" fillId="2" borderId="23" xfId="0" applyFont="1" applyFill="1" applyBorder="1" applyAlignment="1">
      <alignment horizontal="center" vertical="center" wrapText="1"/>
    </xf>
    <xf numFmtId="0" fontId="4" fillId="2" borderId="120" xfId="9" applyFont="1" applyFill="1" applyBorder="1" applyAlignment="1">
      <alignment horizontal="center" vertical="center" wrapText="1"/>
    </xf>
    <xf numFmtId="0" fontId="4" fillId="2" borderId="231" xfId="9" applyFont="1" applyFill="1" applyBorder="1" applyAlignment="1">
      <alignment horizontal="center" vertical="center" wrapText="1"/>
    </xf>
    <xf numFmtId="0" fontId="4" fillId="2" borderId="97" xfId="8" applyFont="1" applyFill="1" applyBorder="1" applyAlignment="1">
      <alignment horizontal="center" vertical="center" wrapText="1"/>
    </xf>
    <xf numFmtId="0" fontId="4" fillId="2" borderId="98" xfId="8" applyFont="1" applyFill="1" applyBorder="1" applyAlignment="1">
      <alignment horizontal="center" vertical="center" wrapText="1"/>
    </xf>
    <xf numFmtId="0" fontId="4" fillId="2" borderId="112" xfId="8" applyFont="1" applyFill="1" applyBorder="1" applyAlignment="1">
      <alignment horizontal="center" vertical="center" wrapText="1"/>
    </xf>
    <xf numFmtId="0" fontId="4" fillId="2" borderId="232" xfId="0" applyFont="1" applyFill="1" applyBorder="1" applyAlignment="1">
      <alignment horizontal="center" vertical="center"/>
    </xf>
    <xf numFmtId="0" fontId="4" fillId="2" borderId="182" xfId="0" applyFont="1" applyFill="1" applyBorder="1" applyAlignment="1">
      <alignment horizontal="center" vertical="center"/>
    </xf>
    <xf numFmtId="0" fontId="4" fillId="2" borderId="102" xfId="0" applyFont="1" applyFill="1" applyBorder="1" applyAlignment="1">
      <alignment horizontal="center" vertical="center"/>
    </xf>
    <xf numFmtId="0" fontId="4" fillId="2" borderId="89" xfId="8" applyFont="1" applyFill="1" applyBorder="1" applyAlignment="1">
      <alignment horizontal="center" vertical="center" wrapText="1"/>
    </xf>
    <xf numFmtId="0" fontId="4" fillId="2" borderId="118" xfId="8" applyFont="1" applyFill="1" applyBorder="1" applyAlignment="1">
      <alignment horizontal="center" vertical="center" wrapText="1"/>
    </xf>
    <xf numFmtId="0" fontId="3" fillId="4" borderId="11" xfId="9" applyFont="1" applyFill="1" applyBorder="1" applyAlignment="1">
      <alignment horizontal="center" vertical="center" wrapText="1"/>
    </xf>
    <xf numFmtId="0" fontId="0" fillId="0" borderId="33" xfId="0" applyBorder="1" applyAlignment="1">
      <alignment horizontal="center" vertical="center" wrapText="1"/>
    </xf>
    <xf numFmtId="0" fontId="3" fillId="4" borderId="6" xfId="9" applyFont="1" applyFill="1" applyBorder="1" applyAlignment="1">
      <alignment horizontal="center" vertical="center" wrapText="1"/>
    </xf>
    <xf numFmtId="0" fontId="0" fillId="0" borderId="42" xfId="0" applyBorder="1" applyAlignment="1">
      <alignment horizontal="center" vertical="center" wrapText="1"/>
    </xf>
    <xf numFmtId="0" fontId="3" fillId="4" borderId="2" xfId="9" applyFont="1" applyFill="1" applyBorder="1" applyAlignment="1">
      <alignment horizontal="center" vertical="center" wrapText="1"/>
    </xf>
    <xf numFmtId="0" fontId="0" fillId="0" borderId="34" xfId="0" applyBorder="1" applyAlignment="1">
      <alignment horizontal="center" vertical="center" wrapText="1"/>
    </xf>
    <xf numFmtId="0" fontId="3" fillId="4" borderId="142" xfId="9" applyFont="1" applyFill="1" applyBorder="1" applyAlignment="1">
      <alignment horizontal="center" vertical="center" wrapText="1"/>
    </xf>
    <xf numFmtId="0" fontId="0" fillId="0" borderId="233" xfId="0" applyBorder="1" applyAlignment="1">
      <alignment horizontal="center" vertical="center" wrapText="1"/>
    </xf>
    <xf numFmtId="0" fontId="4" fillId="2" borderId="11" xfId="9" applyFont="1" applyFill="1" applyBorder="1" applyAlignment="1">
      <alignment horizontal="center" vertical="center" wrapText="1"/>
    </xf>
    <xf numFmtId="0" fontId="4" fillId="2" borderId="28" xfId="9" applyFont="1" applyFill="1" applyBorder="1" applyAlignment="1">
      <alignment horizontal="center" vertical="center" wrapText="1"/>
    </xf>
    <xf numFmtId="0" fontId="0" fillId="0" borderId="201" xfId="0" applyBorder="1" applyAlignment="1">
      <alignment horizontal="center" vertical="center" wrapText="1"/>
    </xf>
    <xf numFmtId="0" fontId="4" fillId="2" borderId="81" xfId="37859" applyFont="1" applyFill="1" applyBorder="1" applyAlignment="1">
      <alignment horizontal="center" vertical="center" wrapText="1"/>
    </xf>
    <xf numFmtId="0" fontId="4" fillId="2" borderId="41" xfId="37859" applyFont="1" applyFill="1" applyBorder="1" applyAlignment="1">
      <alignment horizontal="center" vertical="center" wrapText="1"/>
    </xf>
    <xf numFmtId="0" fontId="4" fillId="2" borderId="15" xfId="5379" applyFont="1" applyFill="1" applyBorder="1" applyAlignment="1">
      <alignment horizontal="center" vertical="center" wrapText="1"/>
    </xf>
    <xf numFmtId="0" fontId="4" fillId="2" borderId="4" xfId="5379" applyFont="1" applyFill="1" applyBorder="1" applyAlignment="1">
      <alignment horizontal="center" vertical="center" wrapText="1"/>
    </xf>
    <xf numFmtId="0" fontId="4" fillId="2" borderId="97" xfId="37859" applyFont="1" applyFill="1" applyBorder="1" applyAlignment="1">
      <alignment horizontal="center" vertical="center" wrapText="1"/>
    </xf>
    <xf numFmtId="0" fontId="4" fillId="2" borderId="98" xfId="37859" applyFont="1" applyFill="1" applyBorder="1" applyAlignment="1">
      <alignment horizontal="center" vertical="center" wrapText="1"/>
    </xf>
    <xf numFmtId="0" fontId="4" fillId="2" borderId="112" xfId="37859" applyFont="1" applyFill="1" applyBorder="1" applyAlignment="1">
      <alignment horizontal="center" vertical="center" wrapText="1"/>
    </xf>
    <xf numFmtId="0" fontId="4" fillId="2" borderId="97" xfId="5379" applyFont="1" applyFill="1" applyBorder="1" applyAlignment="1">
      <alignment horizontal="center" vertical="center" wrapText="1"/>
    </xf>
    <xf numFmtId="0" fontId="4" fillId="2" borderId="112" xfId="5379" applyFont="1" applyFill="1" applyBorder="1" applyAlignment="1">
      <alignment horizontal="center" vertical="center" wrapText="1"/>
    </xf>
    <xf numFmtId="0" fontId="4" fillId="4" borderId="6" xfId="37858" applyFont="1" applyFill="1" applyBorder="1" applyAlignment="1">
      <alignment horizontal="center" vertical="center"/>
    </xf>
    <xf numFmtId="0" fontId="4" fillId="4" borderId="0" xfId="0" applyFont="1" applyFill="1" applyAlignment="1">
      <alignment vertical="center"/>
    </xf>
    <xf numFmtId="17" fontId="4" fillId="0" borderId="16" xfId="0" applyNumberFormat="1" applyFont="1" applyFill="1" applyBorder="1" applyAlignment="1">
      <alignment horizontal="center" vertical="center"/>
    </xf>
    <xf numFmtId="17" fontId="4" fillId="0" borderId="183" xfId="0" applyNumberFormat="1" applyFont="1" applyBorder="1" applyAlignment="1">
      <alignment horizontal="center" vertical="center"/>
    </xf>
    <xf numFmtId="0" fontId="3" fillId="0" borderId="6" xfId="0" applyNumberFormat="1" applyFont="1" applyFill="1" applyBorder="1" applyAlignment="1">
      <alignment vertical="center" wrapText="1"/>
    </xf>
    <xf numFmtId="0" fontId="0" fillId="0" borderId="0" xfId="0" applyAlignment="1">
      <alignment vertical="center" wrapText="1"/>
    </xf>
    <xf numFmtId="0" fontId="0" fillId="0" borderId="0" xfId="0" applyFill="1" applyBorder="1" applyAlignment="1" applyProtection="1">
      <alignment vertical="center"/>
      <protection locked="0"/>
    </xf>
    <xf numFmtId="0" fontId="4" fillId="0" borderId="19" xfId="0" applyFont="1" applyFill="1" applyBorder="1" applyAlignment="1">
      <alignment horizontal="center" vertical="center"/>
    </xf>
    <xf numFmtId="0" fontId="4" fillId="0" borderId="19" xfId="0" applyFont="1" applyBorder="1" applyAlignment="1">
      <alignment horizontal="center" vertical="center"/>
    </xf>
    <xf numFmtId="0" fontId="4" fillId="2" borderId="9" xfId="0" applyFont="1" applyFill="1" applyBorder="1" applyAlignment="1">
      <alignment horizontal="center" vertical="center" wrapText="1"/>
    </xf>
    <xf numFmtId="0" fontId="4" fillId="2" borderId="5" xfId="0" applyFont="1" applyFill="1" applyBorder="1" applyAlignment="1">
      <alignment vertical="center"/>
    </xf>
    <xf numFmtId="0" fontId="4" fillId="2" borderId="4" xfId="0" applyFont="1" applyFill="1" applyBorder="1" applyAlignment="1">
      <alignment vertical="center" wrapText="1"/>
    </xf>
    <xf numFmtId="0" fontId="0" fillId="2" borderId="0" xfId="0" applyFill="1" applyBorder="1" applyAlignment="1">
      <alignment horizontal="center" wrapText="1"/>
    </xf>
    <xf numFmtId="0" fontId="0" fillId="0" borderId="3" xfId="0" applyBorder="1" applyAlignment="1">
      <alignment wrapText="1"/>
    </xf>
    <xf numFmtId="0" fontId="2" fillId="2" borderId="1" xfId="0" applyFont="1" applyFill="1" applyBorder="1" applyAlignment="1">
      <alignment horizontal="center" wrapText="1"/>
    </xf>
    <xf numFmtId="0" fontId="0" fillId="0" borderId="4" xfId="0" applyBorder="1" applyAlignment="1">
      <alignment wrapText="1"/>
    </xf>
    <xf numFmtId="0" fontId="0" fillId="2" borderId="3" xfId="0" applyFill="1" applyBorder="1" applyAlignment="1">
      <alignment horizontal="center" wrapText="1"/>
    </xf>
    <xf numFmtId="0" fontId="2" fillId="2" borderId="4" xfId="0" applyFont="1" applyFill="1" applyBorder="1" applyAlignment="1">
      <alignment horizontal="center" wrapText="1"/>
    </xf>
    <xf numFmtId="0" fontId="4" fillId="2" borderId="11" xfId="0" applyFont="1" applyFill="1" applyBorder="1" applyAlignment="1">
      <alignment horizontal="center" vertical="center"/>
    </xf>
    <xf numFmtId="0" fontId="0" fillId="2" borderId="6" xfId="0" applyFill="1" applyBorder="1" applyAlignment="1">
      <alignment horizontal="center" wrapText="1"/>
    </xf>
    <xf numFmtId="0" fontId="0" fillId="0" borderId="2" xfId="0" applyBorder="1" applyAlignment="1">
      <alignment wrapText="1"/>
    </xf>
    <xf numFmtId="0" fontId="2" fillId="2" borderId="1" xfId="0" applyFont="1" applyFill="1" applyBorder="1" applyAlignment="1">
      <alignment horizontal="center" vertical="center" wrapText="1"/>
    </xf>
    <xf numFmtId="0" fontId="2" fillId="2" borderId="6" xfId="0" applyFont="1" applyFill="1" applyBorder="1" applyAlignment="1">
      <alignment horizontal="center" wrapText="1"/>
    </xf>
    <xf numFmtId="0" fontId="83" fillId="2" borderId="182" xfId="0" applyFont="1" applyFill="1" applyBorder="1" applyAlignment="1">
      <alignment horizontal="center" vertical="center" wrapText="1"/>
    </xf>
    <xf numFmtId="0" fontId="83" fillId="2" borderId="19" xfId="0" applyFont="1" applyFill="1" applyBorder="1" applyAlignment="1">
      <alignment horizontal="center" vertical="center" wrapText="1"/>
    </xf>
    <xf numFmtId="0" fontId="83" fillId="2" borderId="37" xfId="0" applyFont="1" applyFill="1" applyBorder="1" applyAlignment="1">
      <alignment horizontal="center" vertical="center" wrapText="1"/>
    </xf>
    <xf numFmtId="0" fontId="4" fillId="2" borderId="102" xfId="0" applyFont="1" applyFill="1" applyBorder="1" applyAlignment="1">
      <alignment horizontal="center" vertical="center" wrapText="1"/>
    </xf>
    <xf numFmtId="0" fontId="4" fillId="2" borderId="38" xfId="0" applyFont="1" applyFill="1" applyBorder="1" applyAlignment="1">
      <alignment horizontal="center" vertical="center" wrapText="1"/>
    </xf>
    <xf numFmtId="0" fontId="83" fillId="0" borderId="210" xfId="0" applyFont="1" applyBorder="1" applyAlignment="1">
      <alignment horizontal="center" vertical="center" wrapText="1"/>
    </xf>
    <xf numFmtId="0" fontId="83" fillId="0" borderId="127" xfId="0" applyFont="1" applyBorder="1" applyAlignment="1">
      <alignment horizontal="center" vertical="center" wrapText="1"/>
    </xf>
    <xf numFmtId="0" fontId="83" fillId="2" borderId="102" xfId="0" applyFont="1" applyFill="1" applyBorder="1" applyAlignment="1">
      <alignment horizontal="center" vertical="center" wrapText="1"/>
    </xf>
    <xf numFmtId="0" fontId="83" fillId="2" borderId="125" xfId="0" applyFont="1" applyFill="1" applyBorder="1" applyAlignment="1">
      <alignment horizontal="center" vertical="center" wrapText="1"/>
    </xf>
    <xf numFmtId="0" fontId="83" fillId="2" borderId="38" xfId="0" applyFont="1" applyFill="1" applyBorder="1" applyAlignment="1">
      <alignment horizontal="center" vertical="center" wrapText="1"/>
    </xf>
    <xf numFmtId="0" fontId="4" fillId="2" borderId="127" xfId="0" applyFont="1" applyFill="1" applyBorder="1" applyAlignment="1">
      <alignment horizontal="center" vertical="center"/>
    </xf>
    <xf numFmtId="0" fontId="4" fillId="2" borderId="37" xfId="0" applyFont="1" applyFill="1" applyBorder="1" applyAlignment="1">
      <alignment horizontal="center" vertical="center"/>
    </xf>
    <xf numFmtId="0" fontId="4" fillId="0" borderId="210" xfId="0" applyFont="1" applyBorder="1" applyAlignment="1">
      <alignment horizontal="center" vertical="center"/>
    </xf>
    <xf numFmtId="0" fontId="4" fillId="2" borderId="18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83" fillId="2" borderId="120" xfId="0" applyFont="1" applyFill="1" applyBorder="1" applyAlignment="1">
      <alignment horizontal="center" vertical="center" wrapText="1"/>
    </xf>
    <xf numFmtId="0" fontId="83" fillId="2" borderId="83" xfId="0" applyFont="1" applyFill="1" applyBorder="1" applyAlignment="1">
      <alignment horizontal="center" vertical="center" wrapText="1"/>
    </xf>
    <xf numFmtId="0" fontId="83" fillId="2" borderId="46" xfId="0" applyFont="1" applyFill="1" applyBorder="1" applyAlignment="1">
      <alignment horizontal="center" vertical="center" wrapText="1"/>
    </xf>
    <xf numFmtId="0" fontId="3" fillId="0" borderId="143" xfId="0" applyFont="1" applyFill="1" applyBorder="1" applyAlignment="1" applyProtection="1">
      <alignment vertical="center"/>
      <protection locked="0"/>
    </xf>
    <xf numFmtId="0" fontId="0" fillId="7" borderId="172" xfId="0" applyFill="1" applyBorder="1" applyAlignment="1" applyProtection="1">
      <alignment vertical="center"/>
      <protection locked="0"/>
    </xf>
    <xf numFmtId="0" fontId="7" fillId="3" borderId="234" xfId="0" applyFont="1" applyFill="1" applyBorder="1" applyAlignment="1">
      <alignment horizontal="center" vertical="center" wrapText="1"/>
    </xf>
    <xf numFmtId="0" fontId="24" fillId="3" borderId="15" xfId="0" applyFont="1" applyFill="1" applyBorder="1" applyAlignment="1">
      <alignment horizontal="center" vertical="center" wrapText="1"/>
    </xf>
    <xf numFmtId="0" fontId="24" fillId="3" borderId="6" xfId="0" applyFont="1" applyFill="1" applyBorder="1" applyAlignment="1">
      <alignment horizontal="center" vertical="center" wrapText="1"/>
    </xf>
    <xf numFmtId="0" fontId="24" fillId="3" borderId="1" xfId="0" applyFont="1" applyFill="1" applyBorder="1" applyAlignment="1">
      <alignment horizontal="center" vertical="center" wrapText="1"/>
    </xf>
    <xf numFmtId="0" fontId="24" fillId="3" borderId="2" xfId="0" applyFont="1" applyFill="1" applyBorder="1" applyAlignment="1">
      <alignment horizontal="center" vertical="center" wrapText="1"/>
    </xf>
    <xf numFmtId="0" fontId="24" fillId="3" borderId="4" xfId="0" applyFont="1" applyFill="1" applyBorder="1" applyAlignment="1">
      <alignment horizontal="center" vertical="center" wrapText="1"/>
    </xf>
    <xf numFmtId="0" fontId="3" fillId="2" borderId="21" xfId="0" applyFont="1" applyFill="1" applyBorder="1" applyAlignment="1">
      <alignment vertical="center" wrapText="1"/>
    </xf>
    <xf numFmtId="0" fontId="0" fillId="2" borderId="5" xfId="0" applyFill="1" applyBorder="1" applyAlignment="1">
      <alignment vertical="center" wrapText="1"/>
    </xf>
    <xf numFmtId="0" fontId="3" fillId="2" borderId="15" xfId="0" applyFont="1" applyFill="1" applyBorder="1" applyAlignment="1">
      <alignment horizontal="center" vertical="center" wrapText="1"/>
    </xf>
    <xf numFmtId="0" fontId="0" fillId="2" borderId="4" xfId="0" applyFill="1" applyBorder="1" applyAlignment="1">
      <alignment vertical="center" wrapText="1"/>
    </xf>
    <xf numFmtId="0" fontId="4" fillId="2" borderId="15" xfId="0" applyFont="1" applyFill="1" applyBorder="1" applyAlignment="1">
      <alignment vertical="center" wrapText="1"/>
    </xf>
    <xf numFmtId="0" fontId="0" fillId="0" borderId="5" xfId="0" applyBorder="1" applyAlignment="1">
      <alignment horizontal="center" vertical="center" wrapText="1"/>
    </xf>
    <xf numFmtId="0" fontId="4" fillId="2" borderId="21" xfId="0" applyFont="1" applyFill="1" applyBorder="1" applyAlignment="1">
      <alignment vertical="center" wrapText="1"/>
    </xf>
    <xf numFmtId="0" fontId="0" fillId="0" borderId="5" xfId="0" applyBorder="1" applyAlignment="1">
      <alignment vertical="center" wrapText="1"/>
    </xf>
    <xf numFmtId="0" fontId="49" fillId="3" borderId="11" xfId="0" applyFont="1" applyFill="1" applyBorder="1" applyAlignment="1">
      <alignment horizontal="center" vertical="center" wrapText="1"/>
    </xf>
    <xf numFmtId="0" fontId="0" fillId="0" borderId="15" xfId="0" applyBorder="1" applyAlignment="1">
      <alignment horizontal="center" vertical="center"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0" fontId="0" fillId="2" borderId="5" xfId="0"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7" fillId="3" borderId="11" xfId="0" applyFont="1" applyFill="1" applyBorder="1" applyAlignment="1">
      <alignment horizontal="center" vertical="center" wrapText="1"/>
    </xf>
    <xf numFmtId="0" fontId="24" fillId="3" borderId="15" xfId="0" applyFont="1" applyFill="1" applyBorder="1" applyAlignment="1">
      <alignment horizontal="center" wrapText="1"/>
    </xf>
    <xf numFmtId="0" fontId="24" fillId="3" borderId="6" xfId="0" applyFont="1" applyFill="1" applyBorder="1" applyAlignment="1">
      <alignment horizontal="center" wrapText="1"/>
    </xf>
    <xf numFmtId="0" fontId="24" fillId="3" borderId="1" xfId="0" applyFont="1" applyFill="1" applyBorder="1" applyAlignment="1">
      <alignment horizontal="center" wrapText="1"/>
    </xf>
    <xf numFmtId="0" fontId="24" fillId="3" borderId="2" xfId="0" applyFont="1" applyFill="1" applyBorder="1" applyAlignment="1">
      <alignment wrapText="1"/>
    </xf>
    <xf numFmtId="0" fontId="24" fillId="3" borderId="4" xfId="0" applyFont="1" applyFill="1" applyBorder="1" applyAlignment="1">
      <alignment wrapText="1"/>
    </xf>
    <xf numFmtId="0" fontId="49" fillId="5" borderId="202" xfId="0" applyFont="1" applyFill="1" applyBorder="1" applyAlignment="1">
      <alignment horizontal="center" vertical="center" wrapText="1"/>
    </xf>
    <xf numFmtId="0" fontId="0" fillId="0" borderId="149" xfId="0" applyBorder="1" applyAlignment="1">
      <alignment horizontal="center" vertical="center" wrapText="1"/>
    </xf>
    <xf numFmtId="0" fontId="7" fillId="5" borderId="156" xfId="0" applyFont="1" applyFill="1" applyBorder="1" applyAlignment="1">
      <alignment horizontal="center" vertical="center"/>
    </xf>
    <xf numFmtId="0" fontId="0" fillId="0" borderId="196" xfId="0" applyBorder="1" applyAlignment="1">
      <alignment vertical="center"/>
    </xf>
    <xf numFmtId="0" fontId="7" fillId="5" borderId="156" xfId="3" applyFont="1" applyFill="1" applyBorder="1" applyAlignment="1" applyProtection="1">
      <alignment horizontal="center" vertical="center"/>
    </xf>
    <xf numFmtId="0" fontId="0" fillId="0" borderId="196" xfId="0" applyBorder="1" applyAlignment="1">
      <alignment horizontal="center" vertical="center"/>
    </xf>
    <xf numFmtId="0" fontId="4" fillId="7" borderId="171" xfId="3" applyFont="1" applyFill="1" applyBorder="1" applyAlignment="1" applyProtection="1">
      <alignment horizontal="center" vertical="center"/>
      <protection hidden="1"/>
    </xf>
    <xf numFmtId="0" fontId="4" fillId="7" borderId="172" xfId="3" applyFont="1" applyFill="1" applyBorder="1" applyAlignment="1" applyProtection="1">
      <alignment horizontal="center" vertical="center"/>
      <protection hidden="1"/>
    </xf>
    <xf numFmtId="0" fontId="7" fillId="5" borderId="235" xfId="3" applyFont="1" applyFill="1" applyBorder="1" applyAlignment="1" applyProtection="1">
      <alignment horizontal="center" vertical="center" wrapText="1"/>
    </xf>
    <xf numFmtId="0" fontId="7" fillId="5" borderId="236" xfId="3" applyFont="1" applyFill="1" applyBorder="1" applyAlignment="1" applyProtection="1">
      <alignment horizontal="center" vertical="center" wrapText="1"/>
    </xf>
    <xf numFmtId="0" fontId="2" fillId="2" borderId="133" xfId="3" applyFont="1" applyFill="1" applyBorder="1" applyAlignment="1" applyProtection="1">
      <alignment horizontal="center" vertical="center"/>
    </xf>
    <xf numFmtId="0" fontId="0" fillId="2" borderId="140" xfId="0" applyFill="1" applyBorder="1" applyAlignment="1">
      <alignment horizontal="center" vertical="center"/>
    </xf>
    <xf numFmtId="0" fontId="0" fillId="2" borderId="124" xfId="0" applyFill="1" applyBorder="1" applyAlignment="1">
      <alignment horizontal="center" vertical="center"/>
    </xf>
    <xf numFmtId="0" fontId="0" fillId="2" borderId="157" xfId="0" applyFill="1" applyBorder="1" applyAlignment="1">
      <alignment vertical="center"/>
    </xf>
    <xf numFmtId="0" fontId="0" fillId="2" borderId="50" xfId="0" applyFill="1" applyBorder="1" applyAlignment="1">
      <alignment vertical="center"/>
    </xf>
    <xf numFmtId="0" fontId="0" fillId="2" borderId="123" xfId="0" applyFill="1" applyBorder="1" applyAlignment="1">
      <alignment vertical="center"/>
    </xf>
    <xf numFmtId="0" fontId="2" fillId="2" borderId="124" xfId="3" applyFont="1" applyFill="1" applyBorder="1" applyAlignment="1" applyProtection="1">
      <alignment horizontal="center" vertical="center"/>
    </xf>
  </cellXfs>
  <cellStyles count="37860">
    <cellStyle name="-" xfId="19"/>
    <cellStyle name=" 1" xfId="20"/>
    <cellStyle name=" 1 2" xfId="21"/>
    <cellStyle name=" 1 2 2" xfId="22"/>
    <cellStyle name=" 1 3" xfId="23"/>
    <cellStyle name=" 1 4" xfId="24"/>
    <cellStyle name=" 1 5" xfId="25"/>
    <cellStyle name=" 1 6" xfId="26"/>
    <cellStyle name=" Writer Import]_x000d__x000a_Display Dialog=No_x000d__x000a__x000d__x000a_[Horizontal Arrange]_x000d__x000a_Dimensions Interlocking=Yes_x000d__x000a_Sum Hierarchy=Yes_x000d__x000a_Generate" xfId="27"/>
    <cellStyle name=" Writer Import]_x000d__x000a_Display Dialog=No_x000d__x000a__x000d__x000a_[Horizontal Arrange]_x000d__x000a_Dimensions Interlocking=Yes_x000d__x000a_Sum Hierarchy=Yes_x000d__x000a_Generate 2" xfId="28"/>
    <cellStyle name=" Writer Import]_x000d__x000a_Display Dialog=No_x000d__x000a__x000d__x000a_[Horizontal Arrange]_x000d__x000a_Dimensions Interlocking=Yes_x000d__x000a_Sum Hierarchy=Yes_x000d__x000a_Generate 2 2" xfId="29"/>
    <cellStyle name=" Writer Import]_x000d__x000a_Display Dialog=No_x000d__x000a__x000d__x000a_[Horizontal Arrange]_x000d__x000a_Dimensions Interlocking=Yes_x000d__x000a_Sum Hierarchy=Yes_x000d__x000a_Generate 2 3" xfId="30"/>
    <cellStyle name=" Writer Import]_x000d__x000a_Display Dialog=No_x000d__x000a__x000d__x000a_[Horizontal Arrange]_x000d__x000a_Dimensions Interlocking=Yes_x000d__x000a_Sum Hierarchy=Yes_x000d__x000a_Generate 3" xfId="31"/>
    <cellStyle name=" Writer Import]_x000d__x000a_Display Dialog=No_x000d__x000a__x000d__x000a_[Horizontal Arrange]_x000d__x000a_Dimensions Interlocking=Yes_x000d__x000a_Sum Hierarchy=Yes_x000d__x000a_Generate 4" xfId="32"/>
    <cellStyle name="_x000a_386grabber=M" xfId="33"/>
    <cellStyle name="%" xfId="34"/>
    <cellStyle name="% 2" xfId="35"/>
    <cellStyle name="% 2 2" xfId="36"/>
    <cellStyle name="% 3" xfId="37"/>
    <cellStyle name="% 3 2" xfId="38"/>
    <cellStyle name="% 4" xfId="39"/>
    <cellStyle name="% 4 2" xfId="40"/>
    <cellStyle name="% 5" xfId="41"/>
    <cellStyle name="% 5 2" xfId="42"/>
    <cellStyle name="% 6" xfId="43"/>
    <cellStyle name="% 6 2" xfId="44"/>
    <cellStyle name="% 7" xfId="45"/>
    <cellStyle name="% 8" xfId="46"/>
    <cellStyle name="% 9" xfId="47"/>
    <cellStyle name="%_Additional charts" xfId="48"/>
    <cellStyle name="%_Book2" xfId="49"/>
    <cellStyle name="%_Book2 2" xfId="50"/>
    <cellStyle name="%_Book6" xfId="51"/>
    <cellStyle name="%_Book6 2" xfId="52"/>
    <cellStyle name="%_charts tables TP" xfId="53"/>
    <cellStyle name="%_charts tables TP 070311" xfId="54"/>
    <cellStyle name="%_charts tables TP 070311 2" xfId="55"/>
    <cellStyle name="%_charts tables TP 2" xfId="56"/>
    <cellStyle name="%_charts tables TP 3" xfId="57"/>
    <cellStyle name="%_charts tables TP-formatted " xfId="58"/>
    <cellStyle name="%_charts tables TP-formatted  (2)" xfId="59"/>
    <cellStyle name="%_charts tables TP-formatted  (2) 2" xfId="60"/>
    <cellStyle name="%_charts tables TP-formatted  (3)" xfId="61"/>
    <cellStyle name="%_charts tables TP-formatted  (3) 2" xfId="62"/>
    <cellStyle name="%_charts tables TP-formatted  2" xfId="63"/>
    <cellStyle name="%_charts tables TP-formatted  3" xfId="64"/>
    <cellStyle name="%_charts_tables250111(1)" xfId="65"/>
    <cellStyle name="%_charts_tables250111(1) 2" xfId="66"/>
    <cellStyle name="%_DATA" xfId="67"/>
    <cellStyle name="%_DATA 2" xfId="68"/>
    <cellStyle name="%_Economy Fan Charts Sheet Master 20111121" xfId="69"/>
    <cellStyle name="%_Economy Fan Charts Sheet Master 20111121 2" xfId="70"/>
    <cellStyle name="%_Economy Fan Charts Sheet Master BUD12R3 links broken" xfId="71"/>
    <cellStyle name="%_Economy Fan Charts Sheet Master BUD12R3 links broken 2" xfId="72"/>
    <cellStyle name="%_Economy Tables" xfId="73"/>
    <cellStyle name="%_Economy Tables 2" xfId="74"/>
    <cellStyle name="%_FER_2012_(7Aug12)" xfId="75"/>
    <cellStyle name="%_Fiscal Tables" xfId="76"/>
    <cellStyle name="%_Health scenario chart (2)" xfId="77"/>
    <cellStyle name="%_inc to ex AS12 EFOsupps" xfId="78"/>
    <cellStyle name="%_March-2012-Fiscal-Supplementary-Tables1(1)" xfId="79"/>
    <cellStyle name="%_My charts (TH AS12)" xfId="80"/>
    <cellStyle name="%_My charts (TH AS12) 2" xfId="81"/>
    <cellStyle name="%_PEF Autumn2011" xfId="82"/>
    <cellStyle name="%_PEF FSBR2011" xfId="83"/>
    <cellStyle name="%_PEF FSBR2011 2" xfId="84"/>
    <cellStyle name="%_PEF FSBR2011 AA simplification" xfId="85"/>
    <cellStyle name="%_PEF FSBR2011 AA simplification 2" xfId="86"/>
    <cellStyle name="%_PEF FSBR2011 AA simplification 3" xfId="87"/>
    <cellStyle name="%_PSND health" xfId="88"/>
    <cellStyle name="%_Scorecard" xfId="89"/>
    <cellStyle name="%_TP - charts tables BUD12" xfId="90"/>
    <cellStyle name="%_TP - charts tables BUD12 2" xfId="91"/>
    <cellStyle name="%_TP - charts tables Nov11" xfId="92"/>
    <cellStyle name="%_TP - charts tables Nov11 2" xfId="93"/>
    <cellStyle name="%_TREND_DEFLATE01#" xfId="94"/>
    <cellStyle name="%_TREND_DEFLATE01# 2" xfId="95"/>
    <cellStyle name="%_VAT refunds" xfId="96"/>
    <cellStyle name="]_x000d__x000a_Zoomed=1_x000d__x000a_Row=0_x000d__x000a_Column=0_x000d__x000a_Height=0_x000d__x000a_Width=0_x000d__x000a_FontName=FoxFont_x000d__x000a_FontStyle=0_x000d__x000a_FontSize=9_x000d__x000a_PrtFontName=FoxPrin" xfId="97"/>
    <cellStyle name="]_x000d__x000a_Zoomed=1_x000d__x000a_Row=0_x000d__x000a_Column=0_x000d__x000a_Height=0_x000d__x000a_Width=0_x000d__x000a_FontName=FoxFont_x000d__x000a_FontStyle=0_x000d__x000a_FontSize=9_x000d__x000a_PrtFontName=FoxPrin 2" xfId="98"/>
    <cellStyle name="_110621 OBRoutput FSR transUpdate and tobacco jun25" xfId="99"/>
    <cellStyle name="_110621 OBRoutput FSR transUpdate and tobacco jun25 (2)" xfId="100"/>
    <cellStyle name="_111125 APDPassengerNumbers" xfId="101"/>
    <cellStyle name="_111125 APDPassengerNumbers 2" xfId="102"/>
    <cellStyle name="_111125 APDPassengerNumbers_inc to ex AS12 EFOsupps" xfId="103"/>
    <cellStyle name="_Apr 2010 IMBE Report" xfId="104"/>
    <cellStyle name="_Asset Co - 2014-40" xfId="105"/>
    <cellStyle name="_Autumn 2011 Audit Trail full template" xfId="106"/>
    <cellStyle name="_covered bonds" xfId="107"/>
    <cellStyle name="_covered bonds_20110317 Guarantee Data sheet with CDS Expected Losses" xfId="108"/>
    <cellStyle name="_Dpn Forecast 2008-2010 (14-Dec-07)" xfId="109"/>
    <cellStyle name="_Dpn Forecast 2008-2010 (14-Dec-07)_20110317 Guarantee Data sheet with CDS Expected Losses" xfId="110"/>
    <cellStyle name="_x0013__ECM 2.1.4 Gillian charts" xfId="111"/>
    <cellStyle name="_x0013__ECM 2.1.4 Gillian charts_Conv Energy Prices" xfId="112"/>
    <cellStyle name="_x0013__ECM 2.1.4 Gillian charts_Ren Energy Prices" xfId="113"/>
    <cellStyle name="_Fair Value schedule" xfId="114"/>
    <cellStyle name="_Fair Value schedule_20110317 Guarantee Data sheet with CDS Expected Losses" xfId="115"/>
    <cellStyle name="_FCAST" xfId="116"/>
    <cellStyle name="_FCAST 2" xfId="117"/>
    <cellStyle name="_FPS Options High Level Costing 23rd Aug 06" xfId="118"/>
    <cellStyle name="_Gas Condensate Fields" xfId="119"/>
    <cellStyle name="_Gas Condensate Fields 2" xfId="120"/>
    <cellStyle name="_HMT expl text summary Tables" xfId="121"/>
    <cellStyle name="_HOD Gosforth_current" xfId="122"/>
    <cellStyle name="_IMBE P0 10-11 profiles" xfId="123"/>
    <cellStyle name="_IT HOD Rainton - Tower Cost Update 5th April 2007 (Revised) V3" xfId="124"/>
    <cellStyle name="_IT HOD Rainton - Tower Cost Update 5th April 2007 (Revised) V3_20110317 Guarantee Data sheet with CDS Expected Losses" xfId="125"/>
    <cellStyle name="_Oil Fields" xfId="126"/>
    <cellStyle name="_Oil Fields 2" xfId="127"/>
    <cellStyle name="_P11) Apr 10 IMBE workbook" xfId="128"/>
    <cellStyle name="_P12) May 10 (prov outturn) IMBE workbook" xfId="129"/>
    <cellStyle name="_Project Details Report Aug v0.12" xfId="130"/>
    <cellStyle name="_RB_Update_current" xfId="131"/>
    <cellStyle name="_RB_Update_current (SCA draft)PH review" xfId="132"/>
    <cellStyle name="_RB_Update_current (SCA draft)PH review_20110317 Guarantee Data sheet with CDS Expected Losses" xfId="133"/>
    <cellStyle name="_RB_Update_current (SCA draft)revised" xfId="134"/>
    <cellStyle name="_RB_Update_current (SCA draft)revised_20110317 Guarantee Data sheet with CDS Expected Losses" xfId="135"/>
    <cellStyle name="_RB_Update_current_20110317 Guarantee Data sheet with CDS Expected Losses" xfId="136"/>
    <cellStyle name="_Sample change log v0 2" xfId="137"/>
    <cellStyle name="_Sample change log v0 2_20110317 Guarantee Data sheet with CDS Expected Losses" xfId="138"/>
    <cellStyle name="_Sheet2" xfId="139"/>
    <cellStyle name="_Sheet2 2" xfId="140"/>
    <cellStyle name="_Sheet3" xfId="141"/>
    <cellStyle name="_Sheet3 2" xfId="142"/>
    <cellStyle name="_Sheet4" xfId="143"/>
    <cellStyle name="_Sheet4 2" xfId="144"/>
    <cellStyle name="_Sub debt extension discount table 31 1 11 v2" xfId="145"/>
    <cellStyle name="_sub debt int" xfId="146"/>
    <cellStyle name="_sub debt int_20110317 Guarantee Data sheet with CDS Expected Losses" xfId="147"/>
    <cellStyle name="_TableHead" xfId="148"/>
    <cellStyle name="_Tailor Analysis 1.11 (1 Dec take up rates)" xfId="149"/>
    <cellStyle name="_Welfare cap - Current SPA" xfId="150"/>
    <cellStyle name="_Welfare cap workings v1" xfId="151"/>
    <cellStyle name="=C:\WINNT\SYSTEM32\COMMAND.COM" xfId="152"/>
    <cellStyle name="=C:\WINNT\SYSTEM32\COMMAND.COM 2" xfId="153"/>
    <cellStyle name="=C:\WINNT35\SYSTEM32\COMMAND.COM" xfId="154"/>
    <cellStyle name="=C:\WINNT35\SYSTEM32\COMMAND.COM 10" xfId="155"/>
    <cellStyle name="=C:\WINNT35\SYSTEM32\COMMAND.COM 11" xfId="156"/>
    <cellStyle name="=C:\WINNT35\SYSTEM32\COMMAND.COM 12" xfId="157"/>
    <cellStyle name="=C:\WINNT35\SYSTEM32\COMMAND.COM 13" xfId="158"/>
    <cellStyle name="=C:\WINNT35\SYSTEM32\COMMAND.COM 14" xfId="159"/>
    <cellStyle name="=C:\WINNT35\SYSTEM32\COMMAND.COM 15" xfId="160"/>
    <cellStyle name="=C:\WINNT35\SYSTEM32\COMMAND.COM 16" xfId="161"/>
    <cellStyle name="=C:\WINNT35\SYSTEM32\COMMAND.COM 17" xfId="162"/>
    <cellStyle name="=C:\WINNT35\SYSTEM32\COMMAND.COM 18" xfId="163"/>
    <cellStyle name="=C:\WINNT35\SYSTEM32\COMMAND.COM 19" xfId="164"/>
    <cellStyle name="=C:\WINNT35\SYSTEM32\COMMAND.COM 2" xfId="165"/>
    <cellStyle name="=C:\WINNT35\SYSTEM32\COMMAND.COM 2 2" xfId="166"/>
    <cellStyle name="=C:\WINNT35\SYSTEM32\COMMAND.COM 20" xfId="167"/>
    <cellStyle name="=C:\WINNT35\SYSTEM32\COMMAND.COM 21" xfId="168"/>
    <cellStyle name="=C:\WINNT35\SYSTEM32\COMMAND.COM 22" xfId="169"/>
    <cellStyle name="=C:\WINNT35\SYSTEM32\COMMAND.COM 23" xfId="170"/>
    <cellStyle name="=C:\WINNT35\SYSTEM32\COMMAND.COM 24" xfId="171"/>
    <cellStyle name="=C:\WINNT35\SYSTEM32\COMMAND.COM 25" xfId="172"/>
    <cellStyle name="=C:\WINNT35\SYSTEM32\COMMAND.COM 26" xfId="173"/>
    <cellStyle name="=C:\WINNT35\SYSTEM32\COMMAND.COM 27" xfId="174"/>
    <cellStyle name="=C:\WINNT35\SYSTEM32\COMMAND.COM 28" xfId="175"/>
    <cellStyle name="=C:\WINNT35\SYSTEM32\COMMAND.COM 29" xfId="176"/>
    <cellStyle name="=C:\WINNT35\SYSTEM32\COMMAND.COM 3" xfId="177"/>
    <cellStyle name="=C:\WINNT35\SYSTEM32\COMMAND.COM 3 2" xfId="178"/>
    <cellStyle name="=C:\WINNT35\SYSTEM32\COMMAND.COM 30" xfId="179"/>
    <cellStyle name="=C:\WINNT35\SYSTEM32\COMMAND.COM 4" xfId="180"/>
    <cellStyle name="=C:\WINNT35\SYSTEM32\COMMAND.COM 4 2" xfId="181"/>
    <cellStyle name="=C:\WINNT35\SYSTEM32\COMMAND.COM 5" xfId="182"/>
    <cellStyle name="=C:\WINNT35\SYSTEM32\COMMAND.COM 5 2" xfId="183"/>
    <cellStyle name="=C:\WINNT35\SYSTEM32\COMMAND.COM 6" xfId="184"/>
    <cellStyle name="=C:\WINNT35\SYSTEM32\COMMAND.COM 6 2" xfId="185"/>
    <cellStyle name="=C:\WINNT35\SYSTEM32\COMMAND.COM 7" xfId="186"/>
    <cellStyle name="=C:\WINNT35\SYSTEM32\COMMAND.COM 8" xfId="187"/>
    <cellStyle name="=C:\WINNT35\SYSTEM32\COMMAND.COM 9" xfId="188"/>
    <cellStyle name="=C:\WINNT35\SYSTEM32\COMMAND.COM_EE CCS assumptions for Redpoint V3_SL_20090818" xfId="189"/>
    <cellStyle name="0dp" xfId="190"/>
    <cellStyle name="1dp" xfId="191"/>
    <cellStyle name="1dp 2" xfId="192"/>
    <cellStyle name="1dp 2 2" xfId="193"/>
    <cellStyle name="1dp 3" xfId="194"/>
    <cellStyle name="20% - Accent1 10" xfId="195"/>
    <cellStyle name="20% - Accent1 11" xfId="196"/>
    <cellStyle name="20% - Accent1 12" xfId="197"/>
    <cellStyle name="20% - Accent1 13" xfId="198"/>
    <cellStyle name="20% - Accent1 14" xfId="199"/>
    <cellStyle name="20% - Accent1 15" xfId="200"/>
    <cellStyle name="20% - Accent1 16" xfId="201"/>
    <cellStyle name="20% - Accent1 17" xfId="202"/>
    <cellStyle name="20% - Accent1 18" xfId="203"/>
    <cellStyle name="20% - Accent1 19" xfId="204"/>
    <cellStyle name="20% - Accent1 2" xfId="205"/>
    <cellStyle name="20% - Accent1 2 2" xfId="206"/>
    <cellStyle name="20% - Accent1 2 2 2" xfId="207"/>
    <cellStyle name="20% - Accent1 2 2 3" xfId="208"/>
    <cellStyle name="20% - Accent1 2 3" xfId="209"/>
    <cellStyle name="20% - Accent1 2 3 2" xfId="210"/>
    <cellStyle name="20% - Accent1 2 3 2 2" xfId="211"/>
    <cellStyle name="20% - Accent1 2 3 3" xfId="212"/>
    <cellStyle name="20% - Accent1 2 3 4" xfId="213"/>
    <cellStyle name="20% - Accent1 2 4" xfId="214"/>
    <cellStyle name="20% - Accent1 2 5" xfId="215"/>
    <cellStyle name="20% - Accent1 20" xfId="216"/>
    <cellStyle name="20% - Accent1 21" xfId="217"/>
    <cellStyle name="20% - Accent1 22" xfId="218"/>
    <cellStyle name="20% - Accent1 23" xfId="219"/>
    <cellStyle name="20% - Accent1 24" xfId="220"/>
    <cellStyle name="20% - Accent1 25" xfId="221"/>
    <cellStyle name="20% - Accent1 26" xfId="222"/>
    <cellStyle name="20% - Accent1 27" xfId="223"/>
    <cellStyle name="20% - Accent1 28" xfId="224"/>
    <cellStyle name="20% - Accent1 29" xfId="225"/>
    <cellStyle name="20% - Accent1 3" xfId="226"/>
    <cellStyle name="20% - Accent1 3 2" xfId="227"/>
    <cellStyle name="20% - Accent1 3 3" xfId="228"/>
    <cellStyle name="20% - Accent1 30" xfId="229"/>
    <cellStyle name="20% - Accent1 31" xfId="230"/>
    <cellStyle name="20% - Accent1 32" xfId="231"/>
    <cellStyle name="20% - Accent1 33" xfId="232"/>
    <cellStyle name="20% - Accent1 34" xfId="233"/>
    <cellStyle name="20% - Accent1 35" xfId="234"/>
    <cellStyle name="20% - Accent1 35 2" xfId="235"/>
    <cellStyle name="20% - Accent1 35 2 2" xfId="236"/>
    <cellStyle name="20% - Accent1 35 2 2 2" xfId="237"/>
    <cellStyle name="20% - Accent1 35 2 2 3" xfId="238"/>
    <cellStyle name="20% - Accent1 35 3" xfId="239"/>
    <cellStyle name="20% - Accent1 35 4" xfId="240"/>
    <cellStyle name="20% - Accent1 35 5" xfId="241"/>
    <cellStyle name="20% - Accent1 36" xfId="242"/>
    <cellStyle name="20% - Accent1 37" xfId="243"/>
    <cellStyle name="20% - Accent1 38" xfId="244"/>
    <cellStyle name="20% - Accent1 39" xfId="245"/>
    <cellStyle name="20% - Accent1 4" xfId="246"/>
    <cellStyle name="20% - Accent1 4 2" xfId="247"/>
    <cellStyle name="20% - Accent1 40" xfId="248"/>
    <cellStyle name="20% - Accent1 41" xfId="249"/>
    <cellStyle name="20% - Accent1 42" xfId="250"/>
    <cellStyle name="20% - Accent1 43" xfId="251"/>
    <cellStyle name="20% - Accent1 44" xfId="252"/>
    <cellStyle name="20% - Accent1 45" xfId="253"/>
    <cellStyle name="20% - Accent1 46" xfId="254"/>
    <cellStyle name="20% - Accent1 47" xfId="255"/>
    <cellStyle name="20% - Accent1 48" xfId="256"/>
    <cellStyle name="20% - Accent1 49" xfId="257"/>
    <cellStyle name="20% - Accent1 5" xfId="258"/>
    <cellStyle name="20% - Accent1 50" xfId="259"/>
    <cellStyle name="20% - Accent1 51" xfId="260"/>
    <cellStyle name="20% - Accent1 52" xfId="261"/>
    <cellStyle name="20% - Accent1 53" xfId="262"/>
    <cellStyle name="20% - Accent1 54" xfId="263"/>
    <cellStyle name="20% - Accent1 55" xfId="264"/>
    <cellStyle name="20% - Accent1 56" xfId="265"/>
    <cellStyle name="20% - Accent1 57" xfId="266"/>
    <cellStyle name="20% - Accent1 58" xfId="267"/>
    <cellStyle name="20% - Accent1 59" xfId="268"/>
    <cellStyle name="20% - Accent1 6" xfId="269"/>
    <cellStyle name="20% - Accent1 60" xfId="270"/>
    <cellStyle name="20% - Accent1 60 2" xfId="271"/>
    <cellStyle name="20% - Accent1 60 2 2" xfId="272"/>
    <cellStyle name="20% - Accent1 60 2 2 2" xfId="273"/>
    <cellStyle name="20% - Accent1 60 2 3" xfId="274"/>
    <cellStyle name="20% - Accent1 60 3" xfId="275"/>
    <cellStyle name="20% - Accent1 61" xfId="276"/>
    <cellStyle name="20% - Accent1 62" xfId="277"/>
    <cellStyle name="20% - Accent1 63" xfId="278"/>
    <cellStyle name="20% - Accent1 64" xfId="279"/>
    <cellStyle name="20% - Accent1 65" xfId="280"/>
    <cellStyle name="20% - Accent1 7" xfId="281"/>
    <cellStyle name="20% - Accent1 8" xfId="282"/>
    <cellStyle name="20% - Accent1 9" xfId="283"/>
    <cellStyle name="20% - Accent2 10" xfId="284"/>
    <cellStyle name="20% - Accent2 11" xfId="285"/>
    <cellStyle name="20% - Accent2 12" xfId="286"/>
    <cellStyle name="20% - Accent2 13" xfId="287"/>
    <cellStyle name="20% - Accent2 14" xfId="288"/>
    <cellStyle name="20% - Accent2 15" xfId="289"/>
    <cellStyle name="20% - Accent2 16" xfId="290"/>
    <cellStyle name="20% - Accent2 17" xfId="291"/>
    <cellStyle name="20% - Accent2 18" xfId="292"/>
    <cellStyle name="20% - Accent2 19" xfId="293"/>
    <cellStyle name="20% - Accent2 2" xfId="294"/>
    <cellStyle name="20% - Accent2 2 2" xfId="295"/>
    <cellStyle name="20% - Accent2 2 2 2" xfId="296"/>
    <cellStyle name="20% - Accent2 2 2 3" xfId="297"/>
    <cellStyle name="20% - Accent2 2 3" xfId="298"/>
    <cellStyle name="20% - Accent2 2 3 2" xfId="299"/>
    <cellStyle name="20% - Accent2 2 3 2 2" xfId="300"/>
    <cellStyle name="20% - Accent2 2 3 3" xfId="301"/>
    <cellStyle name="20% - Accent2 2 3 4" xfId="302"/>
    <cellStyle name="20% - Accent2 2 4" xfId="303"/>
    <cellStyle name="20% - Accent2 2 5" xfId="304"/>
    <cellStyle name="20% - Accent2 20" xfId="305"/>
    <cellStyle name="20% - Accent2 21" xfId="306"/>
    <cellStyle name="20% - Accent2 22" xfId="307"/>
    <cellStyle name="20% - Accent2 23" xfId="308"/>
    <cellStyle name="20% - Accent2 24" xfId="309"/>
    <cellStyle name="20% - Accent2 25" xfId="310"/>
    <cellStyle name="20% - Accent2 26" xfId="311"/>
    <cellStyle name="20% - Accent2 27" xfId="312"/>
    <cellStyle name="20% - Accent2 28" xfId="313"/>
    <cellStyle name="20% - Accent2 29" xfId="314"/>
    <cellStyle name="20% - Accent2 3" xfId="315"/>
    <cellStyle name="20% - Accent2 3 2" xfId="316"/>
    <cellStyle name="20% - Accent2 3 3" xfId="317"/>
    <cellStyle name="20% - Accent2 30" xfId="318"/>
    <cellStyle name="20% - Accent2 31" xfId="319"/>
    <cellStyle name="20% - Accent2 32" xfId="320"/>
    <cellStyle name="20% - Accent2 33" xfId="321"/>
    <cellStyle name="20% - Accent2 34" xfId="322"/>
    <cellStyle name="20% - Accent2 35" xfId="323"/>
    <cellStyle name="20% - Accent2 35 2" xfId="324"/>
    <cellStyle name="20% - Accent2 35 2 2" xfId="325"/>
    <cellStyle name="20% - Accent2 35 2 2 2" xfId="326"/>
    <cellStyle name="20% - Accent2 35 2 2 3" xfId="327"/>
    <cellStyle name="20% - Accent2 35 3" xfId="328"/>
    <cellStyle name="20% - Accent2 35 4" xfId="329"/>
    <cellStyle name="20% - Accent2 35 5" xfId="330"/>
    <cellStyle name="20% - Accent2 36" xfId="331"/>
    <cellStyle name="20% - Accent2 37" xfId="332"/>
    <cellStyle name="20% - Accent2 38" xfId="333"/>
    <cellStyle name="20% - Accent2 39" xfId="334"/>
    <cellStyle name="20% - Accent2 4" xfId="335"/>
    <cellStyle name="20% - Accent2 4 2" xfId="336"/>
    <cellStyle name="20% - Accent2 40" xfId="337"/>
    <cellStyle name="20% - Accent2 41" xfId="338"/>
    <cellStyle name="20% - Accent2 42" xfId="339"/>
    <cellStyle name="20% - Accent2 43" xfId="340"/>
    <cellStyle name="20% - Accent2 44" xfId="341"/>
    <cellStyle name="20% - Accent2 45" xfId="342"/>
    <cellStyle name="20% - Accent2 46" xfId="343"/>
    <cellStyle name="20% - Accent2 47" xfId="344"/>
    <cellStyle name="20% - Accent2 48" xfId="345"/>
    <cellStyle name="20% - Accent2 49" xfId="346"/>
    <cellStyle name="20% - Accent2 5" xfId="347"/>
    <cellStyle name="20% - Accent2 50" xfId="348"/>
    <cellStyle name="20% - Accent2 51" xfId="349"/>
    <cellStyle name="20% - Accent2 52" xfId="350"/>
    <cellStyle name="20% - Accent2 53" xfId="351"/>
    <cellStyle name="20% - Accent2 54" xfId="352"/>
    <cellStyle name="20% - Accent2 55" xfId="353"/>
    <cellStyle name="20% - Accent2 56" xfId="354"/>
    <cellStyle name="20% - Accent2 57" xfId="355"/>
    <cellStyle name="20% - Accent2 58" xfId="356"/>
    <cellStyle name="20% - Accent2 59" xfId="357"/>
    <cellStyle name="20% - Accent2 6" xfId="358"/>
    <cellStyle name="20% - Accent2 60" xfId="359"/>
    <cellStyle name="20% - Accent2 60 2" xfId="360"/>
    <cellStyle name="20% - Accent2 60 2 2" xfId="361"/>
    <cellStyle name="20% - Accent2 60 2 2 2" xfId="362"/>
    <cellStyle name="20% - Accent2 60 2 3" xfId="363"/>
    <cellStyle name="20% - Accent2 60 3" xfId="364"/>
    <cellStyle name="20% - Accent2 61" xfId="365"/>
    <cellStyle name="20% - Accent2 62" xfId="366"/>
    <cellStyle name="20% - Accent2 63" xfId="367"/>
    <cellStyle name="20% - Accent2 64" xfId="368"/>
    <cellStyle name="20% - Accent2 65" xfId="369"/>
    <cellStyle name="20% - Accent2 7" xfId="370"/>
    <cellStyle name="20% - Accent2 8" xfId="371"/>
    <cellStyle name="20% - Accent2 9" xfId="372"/>
    <cellStyle name="20% - Accent3 10" xfId="373"/>
    <cellStyle name="20% - Accent3 11" xfId="374"/>
    <cellStyle name="20% - Accent3 12" xfId="375"/>
    <cellStyle name="20% - Accent3 13" xfId="376"/>
    <cellStyle name="20% - Accent3 14" xfId="377"/>
    <cellStyle name="20% - Accent3 15" xfId="378"/>
    <cellStyle name="20% - Accent3 16" xfId="379"/>
    <cellStyle name="20% - Accent3 17" xfId="380"/>
    <cellStyle name="20% - Accent3 18" xfId="381"/>
    <cellStyle name="20% - Accent3 19" xfId="382"/>
    <cellStyle name="20% - Accent3 2" xfId="383"/>
    <cellStyle name="20% - Accent3 2 2" xfId="384"/>
    <cellStyle name="20% - Accent3 2 2 2" xfId="385"/>
    <cellStyle name="20% - Accent3 2 2 3" xfId="386"/>
    <cellStyle name="20% - Accent3 2 3" xfId="387"/>
    <cellStyle name="20% - Accent3 2 3 2" xfId="388"/>
    <cellStyle name="20% - Accent3 2 3 2 2" xfId="389"/>
    <cellStyle name="20% - Accent3 2 3 3" xfId="390"/>
    <cellStyle name="20% - Accent3 2 3 4" xfId="391"/>
    <cellStyle name="20% - Accent3 2 4" xfId="392"/>
    <cellStyle name="20% - Accent3 2 5" xfId="393"/>
    <cellStyle name="20% - Accent3 20" xfId="394"/>
    <cellStyle name="20% - Accent3 21" xfId="395"/>
    <cellStyle name="20% - Accent3 22" xfId="396"/>
    <cellStyle name="20% - Accent3 23" xfId="397"/>
    <cellStyle name="20% - Accent3 24" xfId="398"/>
    <cellStyle name="20% - Accent3 25" xfId="399"/>
    <cellStyle name="20% - Accent3 26" xfId="400"/>
    <cellStyle name="20% - Accent3 27" xfId="401"/>
    <cellStyle name="20% - Accent3 28" xfId="402"/>
    <cellStyle name="20% - Accent3 29" xfId="403"/>
    <cellStyle name="20% - Accent3 3" xfId="404"/>
    <cellStyle name="20% - Accent3 3 2" xfId="405"/>
    <cellStyle name="20% - Accent3 3 3" xfId="406"/>
    <cellStyle name="20% - Accent3 30" xfId="407"/>
    <cellStyle name="20% - Accent3 31" xfId="408"/>
    <cellStyle name="20% - Accent3 32" xfId="409"/>
    <cellStyle name="20% - Accent3 33" xfId="410"/>
    <cellStyle name="20% - Accent3 34" xfId="411"/>
    <cellStyle name="20% - Accent3 35" xfId="412"/>
    <cellStyle name="20% - Accent3 35 2" xfId="413"/>
    <cellStyle name="20% - Accent3 35 2 2" xfId="414"/>
    <cellStyle name="20% - Accent3 35 2 2 2" xfId="415"/>
    <cellStyle name="20% - Accent3 35 2 2 3" xfId="416"/>
    <cellStyle name="20% - Accent3 35 3" xfId="417"/>
    <cellStyle name="20% - Accent3 35 4" xfId="418"/>
    <cellStyle name="20% - Accent3 35 5" xfId="419"/>
    <cellStyle name="20% - Accent3 36" xfId="420"/>
    <cellStyle name="20% - Accent3 37" xfId="421"/>
    <cellStyle name="20% - Accent3 38" xfId="422"/>
    <cellStyle name="20% - Accent3 39" xfId="423"/>
    <cellStyle name="20% - Accent3 4" xfId="424"/>
    <cellStyle name="20% - Accent3 4 2" xfId="425"/>
    <cellStyle name="20% - Accent3 40" xfId="426"/>
    <cellStyle name="20% - Accent3 41" xfId="427"/>
    <cellStyle name="20% - Accent3 42" xfId="428"/>
    <cellStyle name="20% - Accent3 43" xfId="429"/>
    <cellStyle name="20% - Accent3 44" xfId="430"/>
    <cellStyle name="20% - Accent3 45" xfId="431"/>
    <cellStyle name="20% - Accent3 46" xfId="432"/>
    <cellStyle name="20% - Accent3 47" xfId="433"/>
    <cellStyle name="20% - Accent3 48" xfId="434"/>
    <cellStyle name="20% - Accent3 49" xfId="435"/>
    <cellStyle name="20% - Accent3 5" xfId="436"/>
    <cellStyle name="20% - Accent3 50" xfId="437"/>
    <cellStyle name="20% - Accent3 51" xfId="438"/>
    <cellStyle name="20% - Accent3 52" xfId="439"/>
    <cellStyle name="20% - Accent3 53" xfId="440"/>
    <cellStyle name="20% - Accent3 54" xfId="441"/>
    <cellStyle name="20% - Accent3 55" xfId="442"/>
    <cellStyle name="20% - Accent3 56" xfId="443"/>
    <cellStyle name="20% - Accent3 57" xfId="444"/>
    <cellStyle name="20% - Accent3 58" xfId="445"/>
    <cellStyle name="20% - Accent3 59" xfId="446"/>
    <cellStyle name="20% - Accent3 6" xfId="447"/>
    <cellStyle name="20% - Accent3 60" xfId="448"/>
    <cellStyle name="20% - Accent3 60 2" xfId="449"/>
    <cellStyle name="20% - Accent3 60 2 2" xfId="450"/>
    <cellStyle name="20% - Accent3 60 2 2 2" xfId="451"/>
    <cellStyle name="20% - Accent3 60 2 3" xfId="452"/>
    <cellStyle name="20% - Accent3 60 3" xfId="453"/>
    <cellStyle name="20% - Accent3 61" xfId="454"/>
    <cellStyle name="20% - Accent3 62" xfId="455"/>
    <cellStyle name="20% - Accent3 63" xfId="456"/>
    <cellStyle name="20% - Accent3 64" xfId="457"/>
    <cellStyle name="20% - Accent3 65" xfId="458"/>
    <cellStyle name="20% - Accent3 7" xfId="459"/>
    <cellStyle name="20% - Accent3 8" xfId="460"/>
    <cellStyle name="20% - Accent3 9" xfId="461"/>
    <cellStyle name="20% - Accent4 10" xfId="462"/>
    <cellStyle name="20% - Accent4 11" xfId="463"/>
    <cellStyle name="20% - Accent4 12" xfId="464"/>
    <cellStyle name="20% - Accent4 13" xfId="465"/>
    <cellStyle name="20% - Accent4 14" xfId="466"/>
    <cellStyle name="20% - Accent4 15" xfId="467"/>
    <cellStyle name="20% - Accent4 16" xfId="468"/>
    <cellStyle name="20% - Accent4 17" xfId="469"/>
    <cellStyle name="20% - Accent4 18" xfId="470"/>
    <cellStyle name="20% - Accent4 19" xfId="471"/>
    <cellStyle name="20% - Accent4 2" xfId="472"/>
    <cellStyle name="20% - Accent4 2 2" xfId="473"/>
    <cellStyle name="20% - Accent4 2 2 2" xfId="474"/>
    <cellStyle name="20% - Accent4 2 2 3" xfId="475"/>
    <cellStyle name="20% - Accent4 2 3" xfId="476"/>
    <cellStyle name="20% - Accent4 2 3 2" xfId="477"/>
    <cellStyle name="20% - Accent4 2 3 2 2" xfId="478"/>
    <cellStyle name="20% - Accent4 2 3 3" xfId="479"/>
    <cellStyle name="20% - Accent4 2 3 4" xfId="480"/>
    <cellStyle name="20% - Accent4 2 4" xfId="481"/>
    <cellStyle name="20% - Accent4 2 5" xfId="482"/>
    <cellStyle name="20% - Accent4 20" xfId="483"/>
    <cellStyle name="20% - Accent4 21" xfId="484"/>
    <cellStyle name="20% - Accent4 22" xfId="485"/>
    <cellStyle name="20% - Accent4 23" xfId="486"/>
    <cellStyle name="20% - Accent4 24" xfId="487"/>
    <cellStyle name="20% - Accent4 25" xfId="488"/>
    <cellStyle name="20% - Accent4 26" xfId="489"/>
    <cellStyle name="20% - Accent4 27" xfId="490"/>
    <cellStyle name="20% - Accent4 28" xfId="491"/>
    <cellStyle name="20% - Accent4 29" xfId="492"/>
    <cellStyle name="20% - Accent4 3" xfId="493"/>
    <cellStyle name="20% - Accent4 3 2" xfId="494"/>
    <cellStyle name="20% - Accent4 3 3" xfId="495"/>
    <cellStyle name="20% - Accent4 30" xfId="496"/>
    <cellStyle name="20% - Accent4 31" xfId="497"/>
    <cellStyle name="20% - Accent4 32" xfId="498"/>
    <cellStyle name="20% - Accent4 33" xfId="499"/>
    <cellStyle name="20% - Accent4 34" xfId="500"/>
    <cellStyle name="20% - Accent4 35" xfId="501"/>
    <cellStyle name="20% - Accent4 35 2" xfId="502"/>
    <cellStyle name="20% - Accent4 35 2 2" xfId="503"/>
    <cellStyle name="20% - Accent4 35 2 2 2" xfId="504"/>
    <cellStyle name="20% - Accent4 35 2 2 3" xfId="505"/>
    <cellStyle name="20% - Accent4 35 3" xfId="506"/>
    <cellStyle name="20% - Accent4 35 4" xfId="507"/>
    <cellStyle name="20% - Accent4 35 5" xfId="508"/>
    <cellStyle name="20% - Accent4 36" xfId="509"/>
    <cellStyle name="20% - Accent4 37" xfId="510"/>
    <cellStyle name="20% - Accent4 38" xfId="511"/>
    <cellStyle name="20% - Accent4 39" xfId="512"/>
    <cellStyle name="20% - Accent4 4" xfId="513"/>
    <cellStyle name="20% - Accent4 4 2" xfId="514"/>
    <cellStyle name="20% - Accent4 40" xfId="515"/>
    <cellStyle name="20% - Accent4 41" xfId="516"/>
    <cellStyle name="20% - Accent4 42" xfId="517"/>
    <cellStyle name="20% - Accent4 43" xfId="518"/>
    <cellStyle name="20% - Accent4 44" xfId="519"/>
    <cellStyle name="20% - Accent4 45" xfId="520"/>
    <cellStyle name="20% - Accent4 46" xfId="521"/>
    <cellStyle name="20% - Accent4 47" xfId="522"/>
    <cellStyle name="20% - Accent4 48" xfId="523"/>
    <cellStyle name="20% - Accent4 49" xfId="524"/>
    <cellStyle name="20% - Accent4 5" xfId="525"/>
    <cellStyle name="20% - Accent4 50" xfId="526"/>
    <cellStyle name="20% - Accent4 51" xfId="527"/>
    <cellStyle name="20% - Accent4 52" xfId="528"/>
    <cellStyle name="20% - Accent4 53" xfId="529"/>
    <cellStyle name="20% - Accent4 54" xfId="530"/>
    <cellStyle name="20% - Accent4 55" xfId="531"/>
    <cellStyle name="20% - Accent4 56" xfId="532"/>
    <cellStyle name="20% - Accent4 57" xfId="533"/>
    <cellStyle name="20% - Accent4 58" xfId="534"/>
    <cellStyle name="20% - Accent4 59" xfId="535"/>
    <cellStyle name="20% - Accent4 6" xfId="536"/>
    <cellStyle name="20% - Accent4 60" xfId="537"/>
    <cellStyle name="20% - Accent4 60 2" xfId="538"/>
    <cellStyle name="20% - Accent4 60 2 2" xfId="539"/>
    <cellStyle name="20% - Accent4 60 2 2 2" xfId="540"/>
    <cellStyle name="20% - Accent4 60 2 3" xfId="541"/>
    <cellStyle name="20% - Accent4 60 3" xfId="542"/>
    <cellStyle name="20% - Accent4 61" xfId="543"/>
    <cellStyle name="20% - Accent4 62" xfId="544"/>
    <cellStyle name="20% - Accent4 63" xfId="545"/>
    <cellStyle name="20% - Accent4 64" xfId="546"/>
    <cellStyle name="20% - Accent4 65" xfId="547"/>
    <cellStyle name="20% - Accent4 7" xfId="548"/>
    <cellStyle name="20% - Accent4 8" xfId="549"/>
    <cellStyle name="20% - Accent4 9" xfId="550"/>
    <cellStyle name="20% - Accent5 10" xfId="551"/>
    <cellStyle name="20% - Accent5 11" xfId="552"/>
    <cellStyle name="20% - Accent5 12" xfId="553"/>
    <cellStyle name="20% - Accent5 13" xfId="554"/>
    <cellStyle name="20% - Accent5 14" xfId="555"/>
    <cellStyle name="20% - Accent5 15" xfId="556"/>
    <cellStyle name="20% - Accent5 16" xfId="557"/>
    <cellStyle name="20% - Accent5 17" xfId="558"/>
    <cellStyle name="20% - Accent5 18" xfId="559"/>
    <cellStyle name="20% - Accent5 19" xfId="560"/>
    <cellStyle name="20% - Accent5 2" xfId="561"/>
    <cellStyle name="20% - Accent5 2 2" xfId="562"/>
    <cellStyle name="20% - Accent5 2 2 2" xfId="563"/>
    <cellStyle name="20% - Accent5 2 2 3" xfId="564"/>
    <cellStyle name="20% - Accent5 2 3" xfId="565"/>
    <cellStyle name="20% - Accent5 2 3 2" xfId="566"/>
    <cellStyle name="20% - Accent5 2 3 2 2" xfId="567"/>
    <cellStyle name="20% - Accent5 2 3 3" xfId="568"/>
    <cellStyle name="20% - Accent5 2 3 4" xfId="569"/>
    <cellStyle name="20% - Accent5 2 4" xfId="570"/>
    <cellStyle name="20% - Accent5 2 5" xfId="571"/>
    <cellStyle name="20% - Accent5 20" xfId="572"/>
    <cellStyle name="20% - Accent5 21" xfId="573"/>
    <cellStyle name="20% - Accent5 22" xfId="574"/>
    <cellStyle name="20% - Accent5 23" xfId="575"/>
    <cellStyle name="20% - Accent5 24" xfId="576"/>
    <cellStyle name="20% - Accent5 25" xfId="577"/>
    <cellStyle name="20% - Accent5 26" xfId="578"/>
    <cellStyle name="20% - Accent5 27" xfId="579"/>
    <cellStyle name="20% - Accent5 28" xfId="580"/>
    <cellStyle name="20% - Accent5 29" xfId="581"/>
    <cellStyle name="20% - Accent5 3" xfId="582"/>
    <cellStyle name="20% - Accent5 3 2" xfId="583"/>
    <cellStyle name="20% - Accent5 30" xfId="584"/>
    <cellStyle name="20% - Accent5 31" xfId="585"/>
    <cellStyle name="20% - Accent5 32" xfId="586"/>
    <cellStyle name="20% - Accent5 33" xfId="587"/>
    <cellStyle name="20% - Accent5 34" xfId="588"/>
    <cellStyle name="20% - Accent5 35" xfId="589"/>
    <cellStyle name="20% - Accent5 35 2" xfId="590"/>
    <cellStyle name="20% - Accent5 35 2 2" xfId="591"/>
    <cellStyle name="20% - Accent5 35 2 2 2" xfId="592"/>
    <cellStyle name="20% - Accent5 35 2 2 3" xfId="593"/>
    <cellStyle name="20% - Accent5 35 3" xfId="594"/>
    <cellStyle name="20% - Accent5 35 4" xfId="595"/>
    <cellStyle name="20% - Accent5 35 5" xfId="596"/>
    <cellStyle name="20% - Accent5 36" xfId="597"/>
    <cellStyle name="20% - Accent5 37" xfId="598"/>
    <cellStyle name="20% - Accent5 38" xfId="599"/>
    <cellStyle name="20% - Accent5 39" xfId="600"/>
    <cellStyle name="20% - Accent5 4" xfId="601"/>
    <cellStyle name="20% - Accent5 4 2" xfId="602"/>
    <cellStyle name="20% - Accent5 40" xfId="603"/>
    <cellStyle name="20% - Accent5 41" xfId="604"/>
    <cellStyle name="20% - Accent5 42" xfId="605"/>
    <cellStyle name="20% - Accent5 43" xfId="606"/>
    <cellStyle name="20% - Accent5 44" xfId="607"/>
    <cellStyle name="20% - Accent5 45" xfId="608"/>
    <cellStyle name="20% - Accent5 46" xfId="609"/>
    <cellStyle name="20% - Accent5 47" xfId="610"/>
    <cellStyle name="20% - Accent5 48" xfId="611"/>
    <cellStyle name="20% - Accent5 49" xfId="612"/>
    <cellStyle name="20% - Accent5 5" xfId="613"/>
    <cellStyle name="20% - Accent5 50" xfId="614"/>
    <cellStyle name="20% - Accent5 51" xfId="615"/>
    <cellStyle name="20% - Accent5 52" xfId="616"/>
    <cellStyle name="20% - Accent5 53" xfId="617"/>
    <cellStyle name="20% - Accent5 54" xfId="618"/>
    <cellStyle name="20% - Accent5 55" xfId="619"/>
    <cellStyle name="20% - Accent5 56" xfId="620"/>
    <cellStyle name="20% - Accent5 57" xfId="621"/>
    <cellStyle name="20% - Accent5 58" xfId="622"/>
    <cellStyle name="20% - Accent5 59" xfId="623"/>
    <cellStyle name="20% - Accent5 6" xfId="624"/>
    <cellStyle name="20% - Accent5 60" xfId="625"/>
    <cellStyle name="20% - Accent5 60 2" xfId="626"/>
    <cellStyle name="20% - Accent5 60 2 2" xfId="627"/>
    <cellStyle name="20% - Accent5 60 2 3" xfId="628"/>
    <cellStyle name="20% - Accent5 60 3" xfId="629"/>
    <cellStyle name="20% - Accent5 61" xfId="630"/>
    <cellStyle name="20% - Accent5 62" xfId="631"/>
    <cellStyle name="20% - Accent5 63" xfId="632"/>
    <cellStyle name="20% - Accent5 64" xfId="633"/>
    <cellStyle name="20% - Accent5 65" xfId="634"/>
    <cellStyle name="20% - Accent5 7" xfId="635"/>
    <cellStyle name="20% - Accent5 8" xfId="636"/>
    <cellStyle name="20% - Accent5 9" xfId="637"/>
    <cellStyle name="20% - Accent6 10" xfId="638"/>
    <cellStyle name="20% - Accent6 11" xfId="639"/>
    <cellStyle name="20% - Accent6 12" xfId="640"/>
    <cellStyle name="20% - Accent6 13" xfId="641"/>
    <cellStyle name="20% - Accent6 14" xfId="642"/>
    <cellStyle name="20% - Accent6 15" xfId="643"/>
    <cellStyle name="20% - Accent6 16" xfId="644"/>
    <cellStyle name="20% - Accent6 17" xfId="645"/>
    <cellStyle name="20% - Accent6 18" xfId="646"/>
    <cellStyle name="20% - Accent6 19" xfId="647"/>
    <cellStyle name="20% - Accent6 2" xfId="648"/>
    <cellStyle name="20% - Accent6 2 2" xfId="649"/>
    <cellStyle name="20% - Accent6 2 2 2" xfId="650"/>
    <cellStyle name="20% - Accent6 2 2 3" xfId="651"/>
    <cellStyle name="20% - Accent6 2 3" xfId="652"/>
    <cellStyle name="20% - Accent6 2 3 2" xfId="653"/>
    <cellStyle name="20% - Accent6 2 3 2 2" xfId="654"/>
    <cellStyle name="20% - Accent6 2 3 3" xfId="655"/>
    <cellStyle name="20% - Accent6 2 3 4" xfId="656"/>
    <cellStyle name="20% - Accent6 2 4" xfId="657"/>
    <cellStyle name="20% - Accent6 2 5" xfId="658"/>
    <cellStyle name="20% - Accent6 20" xfId="659"/>
    <cellStyle name="20% - Accent6 21" xfId="660"/>
    <cellStyle name="20% - Accent6 22" xfId="661"/>
    <cellStyle name="20% - Accent6 23" xfId="662"/>
    <cellStyle name="20% - Accent6 24" xfId="663"/>
    <cellStyle name="20% - Accent6 25" xfId="664"/>
    <cellStyle name="20% - Accent6 26" xfId="665"/>
    <cellStyle name="20% - Accent6 27" xfId="666"/>
    <cellStyle name="20% - Accent6 28" xfId="667"/>
    <cellStyle name="20% - Accent6 29" xfId="668"/>
    <cellStyle name="20% - Accent6 3" xfId="669"/>
    <cellStyle name="20% - Accent6 3 2" xfId="670"/>
    <cellStyle name="20% - Accent6 3 3" xfId="671"/>
    <cellStyle name="20% - Accent6 30" xfId="672"/>
    <cellStyle name="20% - Accent6 31" xfId="673"/>
    <cellStyle name="20% - Accent6 32" xfId="674"/>
    <cellStyle name="20% - Accent6 33" xfId="675"/>
    <cellStyle name="20% - Accent6 34" xfId="676"/>
    <cellStyle name="20% - Accent6 35" xfId="677"/>
    <cellStyle name="20% - Accent6 35 2" xfId="678"/>
    <cellStyle name="20% - Accent6 35 2 2" xfId="679"/>
    <cellStyle name="20% - Accent6 35 2 2 2" xfId="680"/>
    <cellStyle name="20% - Accent6 35 2 2 3" xfId="681"/>
    <cellStyle name="20% - Accent6 35 3" xfId="682"/>
    <cellStyle name="20% - Accent6 35 4" xfId="683"/>
    <cellStyle name="20% - Accent6 35 5" xfId="684"/>
    <cellStyle name="20% - Accent6 36" xfId="685"/>
    <cellStyle name="20% - Accent6 37" xfId="686"/>
    <cellStyle name="20% - Accent6 38" xfId="687"/>
    <cellStyle name="20% - Accent6 39" xfId="688"/>
    <cellStyle name="20% - Accent6 4" xfId="689"/>
    <cellStyle name="20% - Accent6 4 2" xfId="690"/>
    <cellStyle name="20% - Accent6 40" xfId="691"/>
    <cellStyle name="20% - Accent6 41" xfId="692"/>
    <cellStyle name="20% - Accent6 42" xfId="693"/>
    <cellStyle name="20% - Accent6 43" xfId="694"/>
    <cellStyle name="20% - Accent6 44" xfId="695"/>
    <cellStyle name="20% - Accent6 45" xfId="696"/>
    <cellStyle name="20% - Accent6 46" xfId="697"/>
    <cellStyle name="20% - Accent6 47" xfId="698"/>
    <cellStyle name="20% - Accent6 48" xfId="699"/>
    <cellStyle name="20% - Accent6 49" xfId="700"/>
    <cellStyle name="20% - Accent6 5" xfId="701"/>
    <cellStyle name="20% - Accent6 50" xfId="702"/>
    <cellStyle name="20% - Accent6 51" xfId="703"/>
    <cellStyle name="20% - Accent6 52" xfId="704"/>
    <cellStyle name="20% - Accent6 53" xfId="705"/>
    <cellStyle name="20% - Accent6 54" xfId="706"/>
    <cellStyle name="20% - Accent6 55" xfId="707"/>
    <cellStyle name="20% - Accent6 56" xfId="708"/>
    <cellStyle name="20% - Accent6 57" xfId="709"/>
    <cellStyle name="20% - Accent6 58" xfId="710"/>
    <cellStyle name="20% - Accent6 59" xfId="711"/>
    <cellStyle name="20% - Accent6 6" xfId="712"/>
    <cellStyle name="20% - Accent6 60" xfId="713"/>
    <cellStyle name="20% - Accent6 60 2" xfId="714"/>
    <cellStyle name="20% - Accent6 60 2 2" xfId="715"/>
    <cellStyle name="20% - Accent6 60 2 3" xfId="716"/>
    <cellStyle name="20% - Accent6 60 3" xfId="717"/>
    <cellStyle name="20% - Accent6 61" xfId="718"/>
    <cellStyle name="20% - Accent6 62" xfId="719"/>
    <cellStyle name="20% - Accent6 63" xfId="720"/>
    <cellStyle name="20% - Accent6 64" xfId="721"/>
    <cellStyle name="20% - Accent6 65" xfId="722"/>
    <cellStyle name="20% - Accent6 7" xfId="723"/>
    <cellStyle name="20% - Accent6 8" xfId="724"/>
    <cellStyle name="20% - Accent6 9" xfId="725"/>
    <cellStyle name="20% - Colore 1" xfId="726"/>
    <cellStyle name="20% - Colore 1 2" xfId="727"/>
    <cellStyle name="20% - Colore 2" xfId="728"/>
    <cellStyle name="20% - Colore 2 2" xfId="729"/>
    <cellStyle name="20% - Colore 3" xfId="730"/>
    <cellStyle name="20% - Colore 3 2" xfId="731"/>
    <cellStyle name="20% - Colore 4" xfId="732"/>
    <cellStyle name="20% - Colore 4 2" xfId="733"/>
    <cellStyle name="20% - Colore 5" xfId="734"/>
    <cellStyle name="20% - Colore 5 2" xfId="735"/>
    <cellStyle name="20% - Colore 6" xfId="736"/>
    <cellStyle name="20% - Colore 6 2" xfId="737"/>
    <cellStyle name="3dp" xfId="738"/>
    <cellStyle name="3dp 2" xfId="739"/>
    <cellStyle name="3dp 2 2" xfId="740"/>
    <cellStyle name="3dp 3" xfId="741"/>
    <cellStyle name="40% - Accent1 10" xfId="742"/>
    <cellStyle name="40% - Accent1 11" xfId="743"/>
    <cellStyle name="40% - Accent1 12" xfId="744"/>
    <cellStyle name="40% - Accent1 13" xfId="745"/>
    <cellStyle name="40% - Accent1 14" xfId="746"/>
    <cellStyle name="40% - Accent1 15" xfId="747"/>
    <cellStyle name="40% - Accent1 16" xfId="748"/>
    <cellStyle name="40% - Accent1 17" xfId="749"/>
    <cellStyle name="40% - Accent1 18" xfId="750"/>
    <cellStyle name="40% - Accent1 19" xfId="751"/>
    <cellStyle name="40% - Accent1 2" xfId="752"/>
    <cellStyle name="40% - Accent1 2 2" xfId="753"/>
    <cellStyle name="40% - Accent1 2 2 2" xfId="754"/>
    <cellStyle name="40% - Accent1 2 2 3" xfId="755"/>
    <cellStyle name="40% - Accent1 2 3" xfId="756"/>
    <cellStyle name="40% - Accent1 2 3 2" xfId="757"/>
    <cellStyle name="40% - Accent1 2 3 2 2" xfId="758"/>
    <cellStyle name="40% - Accent1 2 3 3" xfId="759"/>
    <cellStyle name="40% - Accent1 2 3 4" xfId="760"/>
    <cellStyle name="40% - Accent1 2 4" xfId="761"/>
    <cellStyle name="40% - Accent1 2 5" xfId="762"/>
    <cellStyle name="40% - Accent1 20" xfId="763"/>
    <cellStyle name="40% - Accent1 21" xfId="764"/>
    <cellStyle name="40% - Accent1 22" xfId="765"/>
    <cellStyle name="40% - Accent1 23" xfId="766"/>
    <cellStyle name="40% - Accent1 24" xfId="767"/>
    <cellStyle name="40% - Accent1 25" xfId="768"/>
    <cellStyle name="40% - Accent1 26" xfId="769"/>
    <cellStyle name="40% - Accent1 27" xfId="770"/>
    <cellStyle name="40% - Accent1 28" xfId="771"/>
    <cellStyle name="40% - Accent1 29" xfId="772"/>
    <cellStyle name="40% - Accent1 3" xfId="773"/>
    <cellStyle name="40% - Accent1 3 2" xfId="774"/>
    <cellStyle name="40% - Accent1 3 3" xfId="775"/>
    <cellStyle name="40% - Accent1 30" xfId="776"/>
    <cellStyle name="40% - Accent1 31" xfId="777"/>
    <cellStyle name="40% - Accent1 32" xfId="778"/>
    <cellStyle name="40% - Accent1 33" xfId="779"/>
    <cellStyle name="40% - Accent1 34" xfId="780"/>
    <cellStyle name="40% - Accent1 35" xfId="781"/>
    <cellStyle name="40% - Accent1 35 2" xfId="782"/>
    <cellStyle name="40% - Accent1 35 2 2" xfId="783"/>
    <cellStyle name="40% - Accent1 35 2 2 2" xfId="784"/>
    <cellStyle name="40% - Accent1 35 2 2 3" xfId="785"/>
    <cellStyle name="40% - Accent1 35 3" xfId="786"/>
    <cellStyle name="40% - Accent1 35 4" xfId="787"/>
    <cellStyle name="40% - Accent1 35 5" xfId="788"/>
    <cellStyle name="40% - Accent1 36" xfId="789"/>
    <cellStyle name="40% - Accent1 37" xfId="790"/>
    <cellStyle name="40% - Accent1 38" xfId="791"/>
    <cellStyle name="40% - Accent1 39" xfId="792"/>
    <cellStyle name="40% - Accent1 4" xfId="793"/>
    <cellStyle name="40% - Accent1 4 2" xfId="794"/>
    <cellStyle name="40% - Accent1 40" xfId="795"/>
    <cellStyle name="40% - Accent1 41" xfId="796"/>
    <cellStyle name="40% - Accent1 42" xfId="797"/>
    <cellStyle name="40% - Accent1 43" xfId="798"/>
    <cellStyle name="40% - Accent1 44" xfId="799"/>
    <cellStyle name="40% - Accent1 45" xfId="800"/>
    <cellStyle name="40% - Accent1 46" xfId="801"/>
    <cellStyle name="40% - Accent1 47" xfId="802"/>
    <cellStyle name="40% - Accent1 48" xfId="803"/>
    <cellStyle name="40% - Accent1 49" xfId="804"/>
    <cellStyle name="40% - Accent1 5" xfId="805"/>
    <cellStyle name="40% - Accent1 50" xfId="806"/>
    <cellStyle name="40% - Accent1 51" xfId="807"/>
    <cellStyle name="40% - Accent1 52" xfId="808"/>
    <cellStyle name="40% - Accent1 53" xfId="809"/>
    <cellStyle name="40% - Accent1 54" xfId="810"/>
    <cellStyle name="40% - Accent1 55" xfId="811"/>
    <cellStyle name="40% - Accent1 56" xfId="812"/>
    <cellStyle name="40% - Accent1 57" xfId="813"/>
    <cellStyle name="40% - Accent1 58" xfId="814"/>
    <cellStyle name="40% - Accent1 59" xfId="815"/>
    <cellStyle name="40% - Accent1 6" xfId="816"/>
    <cellStyle name="40% - Accent1 60" xfId="817"/>
    <cellStyle name="40% - Accent1 60 2" xfId="818"/>
    <cellStyle name="40% - Accent1 60 2 2" xfId="819"/>
    <cellStyle name="40% - Accent1 60 2 2 2" xfId="820"/>
    <cellStyle name="40% - Accent1 60 2 3" xfId="821"/>
    <cellStyle name="40% - Accent1 60 3" xfId="822"/>
    <cellStyle name="40% - Accent1 61" xfId="823"/>
    <cellStyle name="40% - Accent1 62" xfId="824"/>
    <cellStyle name="40% - Accent1 63" xfId="825"/>
    <cellStyle name="40% - Accent1 64" xfId="826"/>
    <cellStyle name="40% - Accent1 65" xfId="827"/>
    <cellStyle name="40% - Accent1 7" xfId="828"/>
    <cellStyle name="40% - Accent1 8" xfId="829"/>
    <cellStyle name="40% - Accent1 9" xfId="830"/>
    <cellStyle name="40% - Accent2 10" xfId="831"/>
    <cellStyle name="40% - Accent2 11" xfId="832"/>
    <cellStyle name="40% - Accent2 12" xfId="833"/>
    <cellStyle name="40% - Accent2 13" xfId="834"/>
    <cellStyle name="40% - Accent2 14" xfId="835"/>
    <cellStyle name="40% - Accent2 15" xfId="836"/>
    <cellStyle name="40% - Accent2 16" xfId="837"/>
    <cellStyle name="40% - Accent2 17" xfId="838"/>
    <cellStyle name="40% - Accent2 18" xfId="839"/>
    <cellStyle name="40% - Accent2 19" xfId="840"/>
    <cellStyle name="40% - Accent2 2" xfId="841"/>
    <cellStyle name="40% - Accent2 2 2" xfId="842"/>
    <cellStyle name="40% - Accent2 2 2 2" xfId="843"/>
    <cellStyle name="40% - Accent2 2 2 3" xfId="844"/>
    <cellStyle name="40% - Accent2 2 3" xfId="845"/>
    <cellStyle name="40% - Accent2 2 3 2" xfId="846"/>
    <cellStyle name="40% - Accent2 2 3 2 2" xfId="847"/>
    <cellStyle name="40% - Accent2 2 3 3" xfId="848"/>
    <cellStyle name="40% - Accent2 2 3 4" xfId="849"/>
    <cellStyle name="40% - Accent2 2 4" xfId="850"/>
    <cellStyle name="40% - Accent2 2 5" xfId="851"/>
    <cellStyle name="40% - Accent2 20" xfId="852"/>
    <cellStyle name="40% - Accent2 21" xfId="853"/>
    <cellStyle name="40% - Accent2 22" xfId="854"/>
    <cellStyle name="40% - Accent2 23" xfId="855"/>
    <cellStyle name="40% - Accent2 24" xfId="856"/>
    <cellStyle name="40% - Accent2 25" xfId="857"/>
    <cellStyle name="40% - Accent2 26" xfId="858"/>
    <cellStyle name="40% - Accent2 27" xfId="859"/>
    <cellStyle name="40% - Accent2 28" xfId="860"/>
    <cellStyle name="40% - Accent2 29" xfId="861"/>
    <cellStyle name="40% - Accent2 3" xfId="862"/>
    <cellStyle name="40% - Accent2 3 2" xfId="863"/>
    <cellStyle name="40% - Accent2 30" xfId="864"/>
    <cellStyle name="40% - Accent2 31" xfId="865"/>
    <cellStyle name="40% - Accent2 32" xfId="866"/>
    <cellStyle name="40% - Accent2 33" xfId="867"/>
    <cellStyle name="40% - Accent2 34" xfId="868"/>
    <cellStyle name="40% - Accent2 35" xfId="869"/>
    <cellStyle name="40% - Accent2 35 2" xfId="870"/>
    <cellStyle name="40% - Accent2 35 2 2" xfId="871"/>
    <cellStyle name="40% - Accent2 35 2 2 2" xfId="872"/>
    <cellStyle name="40% - Accent2 35 2 2 3" xfId="873"/>
    <cellStyle name="40% - Accent2 35 3" xfId="874"/>
    <cellStyle name="40% - Accent2 35 4" xfId="875"/>
    <cellStyle name="40% - Accent2 35 5" xfId="876"/>
    <cellStyle name="40% - Accent2 36" xfId="877"/>
    <cellStyle name="40% - Accent2 37" xfId="878"/>
    <cellStyle name="40% - Accent2 38" xfId="879"/>
    <cellStyle name="40% - Accent2 39" xfId="880"/>
    <cellStyle name="40% - Accent2 4" xfId="881"/>
    <cellStyle name="40% - Accent2 4 2" xfId="882"/>
    <cellStyle name="40% - Accent2 40" xfId="883"/>
    <cellStyle name="40% - Accent2 41" xfId="884"/>
    <cellStyle name="40% - Accent2 42" xfId="885"/>
    <cellStyle name="40% - Accent2 43" xfId="886"/>
    <cellStyle name="40% - Accent2 44" xfId="887"/>
    <cellStyle name="40% - Accent2 45" xfId="888"/>
    <cellStyle name="40% - Accent2 46" xfId="889"/>
    <cellStyle name="40% - Accent2 47" xfId="890"/>
    <cellStyle name="40% - Accent2 48" xfId="891"/>
    <cellStyle name="40% - Accent2 49" xfId="892"/>
    <cellStyle name="40% - Accent2 5" xfId="893"/>
    <cellStyle name="40% - Accent2 50" xfId="894"/>
    <cellStyle name="40% - Accent2 51" xfId="895"/>
    <cellStyle name="40% - Accent2 52" xfId="896"/>
    <cellStyle name="40% - Accent2 53" xfId="897"/>
    <cellStyle name="40% - Accent2 54" xfId="898"/>
    <cellStyle name="40% - Accent2 55" xfId="899"/>
    <cellStyle name="40% - Accent2 56" xfId="900"/>
    <cellStyle name="40% - Accent2 57" xfId="901"/>
    <cellStyle name="40% - Accent2 58" xfId="902"/>
    <cellStyle name="40% - Accent2 59" xfId="903"/>
    <cellStyle name="40% - Accent2 6" xfId="904"/>
    <cellStyle name="40% - Accent2 60" xfId="905"/>
    <cellStyle name="40% - Accent2 60 2" xfId="906"/>
    <cellStyle name="40% - Accent2 60 2 2" xfId="907"/>
    <cellStyle name="40% - Accent2 60 2 3" xfId="908"/>
    <cellStyle name="40% - Accent2 60 3" xfId="909"/>
    <cellStyle name="40% - Accent2 61" xfId="910"/>
    <cellStyle name="40% - Accent2 62" xfId="911"/>
    <cellStyle name="40% - Accent2 63" xfId="912"/>
    <cellStyle name="40% - Accent2 64" xfId="913"/>
    <cellStyle name="40% - Accent2 65" xfId="914"/>
    <cellStyle name="40% - Accent2 7" xfId="915"/>
    <cellStyle name="40% - Accent2 8" xfId="916"/>
    <cellStyle name="40% - Accent2 9" xfId="917"/>
    <cellStyle name="40% - Accent3 10" xfId="918"/>
    <cellStyle name="40% - Accent3 11" xfId="919"/>
    <cellStyle name="40% - Accent3 12" xfId="920"/>
    <cellStyle name="40% - Accent3 13" xfId="921"/>
    <cellStyle name="40% - Accent3 14" xfId="922"/>
    <cellStyle name="40% - Accent3 15" xfId="923"/>
    <cellStyle name="40% - Accent3 16" xfId="924"/>
    <cellStyle name="40% - Accent3 17" xfId="925"/>
    <cellStyle name="40% - Accent3 18" xfId="926"/>
    <cellStyle name="40% - Accent3 19" xfId="927"/>
    <cellStyle name="40% - Accent3 2" xfId="928"/>
    <cellStyle name="40% - Accent3 2 2" xfId="929"/>
    <cellStyle name="40% - Accent3 2 2 2" xfId="930"/>
    <cellStyle name="40% - Accent3 2 2 3" xfId="931"/>
    <cellStyle name="40% - Accent3 2 3" xfId="932"/>
    <cellStyle name="40% - Accent3 2 3 2" xfId="933"/>
    <cellStyle name="40% - Accent3 2 3 2 2" xfId="934"/>
    <cellStyle name="40% - Accent3 2 3 3" xfId="935"/>
    <cellStyle name="40% - Accent3 2 3 4" xfId="936"/>
    <cellStyle name="40% - Accent3 2 4" xfId="937"/>
    <cellStyle name="40% - Accent3 2 5" xfId="938"/>
    <cellStyle name="40% - Accent3 20" xfId="939"/>
    <cellStyle name="40% - Accent3 21" xfId="940"/>
    <cellStyle name="40% - Accent3 22" xfId="941"/>
    <cellStyle name="40% - Accent3 23" xfId="942"/>
    <cellStyle name="40% - Accent3 24" xfId="943"/>
    <cellStyle name="40% - Accent3 25" xfId="944"/>
    <cellStyle name="40% - Accent3 26" xfId="945"/>
    <cellStyle name="40% - Accent3 27" xfId="946"/>
    <cellStyle name="40% - Accent3 28" xfId="947"/>
    <cellStyle name="40% - Accent3 29" xfId="948"/>
    <cellStyle name="40% - Accent3 3" xfId="949"/>
    <cellStyle name="40% - Accent3 3 2" xfId="950"/>
    <cellStyle name="40% - Accent3 3 3" xfId="951"/>
    <cellStyle name="40% - Accent3 30" xfId="952"/>
    <cellStyle name="40% - Accent3 31" xfId="953"/>
    <cellStyle name="40% - Accent3 32" xfId="954"/>
    <cellStyle name="40% - Accent3 33" xfId="955"/>
    <cellStyle name="40% - Accent3 34" xfId="956"/>
    <cellStyle name="40% - Accent3 35" xfId="957"/>
    <cellStyle name="40% - Accent3 35 2" xfId="958"/>
    <cellStyle name="40% - Accent3 35 2 2" xfId="959"/>
    <cellStyle name="40% - Accent3 35 2 2 2" xfId="960"/>
    <cellStyle name="40% - Accent3 35 2 2 3" xfId="961"/>
    <cellStyle name="40% - Accent3 35 3" xfId="962"/>
    <cellStyle name="40% - Accent3 35 4" xfId="963"/>
    <cellStyle name="40% - Accent3 35 5" xfId="964"/>
    <cellStyle name="40% - Accent3 36" xfId="965"/>
    <cellStyle name="40% - Accent3 37" xfId="966"/>
    <cellStyle name="40% - Accent3 38" xfId="967"/>
    <cellStyle name="40% - Accent3 39" xfId="968"/>
    <cellStyle name="40% - Accent3 4" xfId="969"/>
    <cellStyle name="40% - Accent3 4 2" xfId="970"/>
    <cellStyle name="40% - Accent3 40" xfId="971"/>
    <cellStyle name="40% - Accent3 41" xfId="972"/>
    <cellStyle name="40% - Accent3 42" xfId="973"/>
    <cellStyle name="40% - Accent3 43" xfId="974"/>
    <cellStyle name="40% - Accent3 44" xfId="975"/>
    <cellStyle name="40% - Accent3 45" xfId="976"/>
    <cellStyle name="40% - Accent3 46" xfId="977"/>
    <cellStyle name="40% - Accent3 47" xfId="978"/>
    <cellStyle name="40% - Accent3 48" xfId="979"/>
    <cellStyle name="40% - Accent3 49" xfId="980"/>
    <cellStyle name="40% - Accent3 5" xfId="981"/>
    <cellStyle name="40% - Accent3 50" xfId="982"/>
    <cellStyle name="40% - Accent3 51" xfId="983"/>
    <cellStyle name="40% - Accent3 52" xfId="984"/>
    <cellStyle name="40% - Accent3 53" xfId="985"/>
    <cellStyle name="40% - Accent3 54" xfId="986"/>
    <cellStyle name="40% - Accent3 55" xfId="987"/>
    <cellStyle name="40% - Accent3 56" xfId="988"/>
    <cellStyle name="40% - Accent3 57" xfId="989"/>
    <cellStyle name="40% - Accent3 58" xfId="990"/>
    <cellStyle name="40% - Accent3 59" xfId="991"/>
    <cellStyle name="40% - Accent3 6" xfId="992"/>
    <cellStyle name="40% - Accent3 60" xfId="993"/>
    <cellStyle name="40% - Accent3 60 2" xfId="994"/>
    <cellStyle name="40% - Accent3 60 2 2" xfId="995"/>
    <cellStyle name="40% - Accent3 60 2 2 2" xfId="996"/>
    <cellStyle name="40% - Accent3 60 2 3" xfId="997"/>
    <cellStyle name="40% - Accent3 60 3" xfId="998"/>
    <cellStyle name="40% - Accent3 61" xfId="999"/>
    <cellStyle name="40% - Accent3 62" xfId="1000"/>
    <cellStyle name="40% - Accent3 63" xfId="1001"/>
    <cellStyle name="40% - Accent3 64" xfId="1002"/>
    <cellStyle name="40% - Accent3 65" xfId="1003"/>
    <cellStyle name="40% - Accent3 7" xfId="1004"/>
    <cellStyle name="40% - Accent3 8" xfId="1005"/>
    <cellStyle name="40% - Accent3 9" xfId="1006"/>
    <cellStyle name="40% - Accent4 10" xfId="1007"/>
    <cellStyle name="40% - Accent4 11" xfId="1008"/>
    <cellStyle name="40% - Accent4 12" xfId="1009"/>
    <cellStyle name="40% - Accent4 13" xfId="1010"/>
    <cellStyle name="40% - Accent4 14" xfId="1011"/>
    <cellStyle name="40% - Accent4 15" xfId="1012"/>
    <cellStyle name="40% - Accent4 16" xfId="1013"/>
    <cellStyle name="40% - Accent4 17" xfId="1014"/>
    <cellStyle name="40% - Accent4 18" xfId="1015"/>
    <cellStyle name="40% - Accent4 19" xfId="1016"/>
    <cellStyle name="40% - Accent4 2" xfId="1017"/>
    <cellStyle name="40% - Accent4 2 2" xfId="1018"/>
    <cellStyle name="40% - Accent4 2 2 2" xfId="1019"/>
    <cellStyle name="40% - Accent4 2 2 3" xfId="1020"/>
    <cellStyle name="40% - Accent4 2 3" xfId="1021"/>
    <cellStyle name="40% - Accent4 2 3 2" xfId="1022"/>
    <cellStyle name="40% - Accent4 2 3 2 2" xfId="1023"/>
    <cellStyle name="40% - Accent4 2 3 3" xfId="1024"/>
    <cellStyle name="40% - Accent4 2 3 4" xfId="1025"/>
    <cellStyle name="40% - Accent4 2 4" xfId="1026"/>
    <cellStyle name="40% - Accent4 2 5" xfId="1027"/>
    <cellStyle name="40% - Accent4 20" xfId="1028"/>
    <cellStyle name="40% - Accent4 21" xfId="1029"/>
    <cellStyle name="40% - Accent4 22" xfId="1030"/>
    <cellStyle name="40% - Accent4 23" xfId="1031"/>
    <cellStyle name="40% - Accent4 24" xfId="1032"/>
    <cellStyle name="40% - Accent4 25" xfId="1033"/>
    <cellStyle name="40% - Accent4 26" xfId="1034"/>
    <cellStyle name="40% - Accent4 27" xfId="1035"/>
    <cellStyle name="40% - Accent4 28" xfId="1036"/>
    <cellStyle name="40% - Accent4 29" xfId="1037"/>
    <cellStyle name="40% - Accent4 3" xfId="1038"/>
    <cellStyle name="40% - Accent4 3 2" xfId="1039"/>
    <cellStyle name="40% - Accent4 3 3" xfId="1040"/>
    <cellStyle name="40% - Accent4 30" xfId="1041"/>
    <cellStyle name="40% - Accent4 31" xfId="1042"/>
    <cellStyle name="40% - Accent4 32" xfId="1043"/>
    <cellStyle name="40% - Accent4 33" xfId="1044"/>
    <cellStyle name="40% - Accent4 34" xfId="1045"/>
    <cellStyle name="40% - Accent4 35" xfId="1046"/>
    <cellStyle name="40% - Accent4 35 2" xfId="1047"/>
    <cellStyle name="40% - Accent4 35 2 2" xfId="1048"/>
    <cellStyle name="40% - Accent4 35 2 2 2" xfId="1049"/>
    <cellStyle name="40% - Accent4 35 2 2 3" xfId="1050"/>
    <cellStyle name="40% - Accent4 35 3" xfId="1051"/>
    <cellStyle name="40% - Accent4 35 4" xfId="1052"/>
    <cellStyle name="40% - Accent4 35 5" xfId="1053"/>
    <cellStyle name="40% - Accent4 36" xfId="1054"/>
    <cellStyle name="40% - Accent4 37" xfId="1055"/>
    <cellStyle name="40% - Accent4 38" xfId="1056"/>
    <cellStyle name="40% - Accent4 39" xfId="1057"/>
    <cellStyle name="40% - Accent4 4" xfId="1058"/>
    <cellStyle name="40% - Accent4 4 2" xfId="1059"/>
    <cellStyle name="40% - Accent4 40" xfId="1060"/>
    <cellStyle name="40% - Accent4 41" xfId="1061"/>
    <cellStyle name="40% - Accent4 42" xfId="1062"/>
    <cellStyle name="40% - Accent4 43" xfId="1063"/>
    <cellStyle name="40% - Accent4 44" xfId="1064"/>
    <cellStyle name="40% - Accent4 45" xfId="1065"/>
    <cellStyle name="40% - Accent4 46" xfId="1066"/>
    <cellStyle name="40% - Accent4 47" xfId="1067"/>
    <cellStyle name="40% - Accent4 48" xfId="1068"/>
    <cellStyle name="40% - Accent4 49" xfId="1069"/>
    <cellStyle name="40% - Accent4 5" xfId="1070"/>
    <cellStyle name="40% - Accent4 50" xfId="1071"/>
    <cellStyle name="40% - Accent4 51" xfId="1072"/>
    <cellStyle name="40% - Accent4 52" xfId="1073"/>
    <cellStyle name="40% - Accent4 53" xfId="1074"/>
    <cellStyle name="40% - Accent4 54" xfId="1075"/>
    <cellStyle name="40% - Accent4 55" xfId="1076"/>
    <cellStyle name="40% - Accent4 56" xfId="1077"/>
    <cellStyle name="40% - Accent4 57" xfId="1078"/>
    <cellStyle name="40% - Accent4 58" xfId="1079"/>
    <cellStyle name="40% - Accent4 59" xfId="1080"/>
    <cellStyle name="40% - Accent4 6" xfId="1081"/>
    <cellStyle name="40% - Accent4 60" xfId="1082"/>
    <cellStyle name="40% - Accent4 60 2" xfId="1083"/>
    <cellStyle name="40% - Accent4 60 2 2" xfId="1084"/>
    <cellStyle name="40% - Accent4 60 2 2 2" xfId="1085"/>
    <cellStyle name="40% - Accent4 60 2 3" xfId="1086"/>
    <cellStyle name="40% - Accent4 60 3" xfId="1087"/>
    <cellStyle name="40% - Accent4 61" xfId="1088"/>
    <cellStyle name="40% - Accent4 62" xfId="1089"/>
    <cellStyle name="40% - Accent4 63" xfId="1090"/>
    <cellStyle name="40% - Accent4 64" xfId="1091"/>
    <cellStyle name="40% - Accent4 65" xfId="1092"/>
    <cellStyle name="40% - Accent4 7" xfId="1093"/>
    <cellStyle name="40% - Accent4 8" xfId="1094"/>
    <cellStyle name="40% - Accent4 9" xfId="1095"/>
    <cellStyle name="40% - Accent5 10" xfId="1096"/>
    <cellStyle name="40% - Accent5 11" xfId="1097"/>
    <cellStyle name="40% - Accent5 12" xfId="1098"/>
    <cellStyle name="40% - Accent5 13" xfId="1099"/>
    <cellStyle name="40% - Accent5 14" xfId="1100"/>
    <cellStyle name="40% - Accent5 15" xfId="1101"/>
    <cellStyle name="40% - Accent5 16" xfId="1102"/>
    <cellStyle name="40% - Accent5 17" xfId="1103"/>
    <cellStyle name="40% - Accent5 18" xfId="1104"/>
    <cellStyle name="40% - Accent5 19" xfId="1105"/>
    <cellStyle name="40% - Accent5 2" xfId="1106"/>
    <cellStyle name="40% - Accent5 2 2" xfId="1107"/>
    <cellStyle name="40% - Accent5 2 2 2" xfId="1108"/>
    <cellStyle name="40% - Accent5 2 2 3" xfId="1109"/>
    <cellStyle name="40% - Accent5 2 3" xfId="1110"/>
    <cellStyle name="40% - Accent5 2 3 2" xfId="1111"/>
    <cellStyle name="40% - Accent5 2 3 2 2" xfId="1112"/>
    <cellStyle name="40% - Accent5 2 3 3" xfId="1113"/>
    <cellStyle name="40% - Accent5 2 3 4" xfId="1114"/>
    <cellStyle name="40% - Accent5 2 4" xfId="1115"/>
    <cellStyle name="40% - Accent5 2 5" xfId="1116"/>
    <cellStyle name="40% - Accent5 20" xfId="1117"/>
    <cellStyle name="40% - Accent5 21" xfId="1118"/>
    <cellStyle name="40% - Accent5 22" xfId="1119"/>
    <cellStyle name="40% - Accent5 23" xfId="1120"/>
    <cellStyle name="40% - Accent5 24" xfId="1121"/>
    <cellStyle name="40% - Accent5 25" xfId="1122"/>
    <cellStyle name="40% - Accent5 26" xfId="1123"/>
    <cellStyle name="40% - Accent5 27" xfId="1124"/>
    <cellStyle name="40% - Accent5 28" xfId="1125"/>
    <cellStyle name="40% - Accent5 29" xfId="1126"/>
    <cellStyle name="40% - Accent5 3" xfId="1127"/>
    <cellStyle name="40% - Accent5 3 2" xfId="1128"/>
    <cellStyle name="40% - Accent5 3 3" xfId="1129"/>
    <cellStyle name="40% - Accent5 30" xfId="1130"/>
    <cellStyle name="40% - Accent5 31" xfId="1131"/>
    <cellStyle name="40% - Accent5 32" xfId="1132"/>
    <cellStyle name="40% - Accent5 33" xfId="1133"/>
    <cellStyle name="40% - Accent5 34" xfId="1134"/>
    <cellStyle name="40% - Accent5 35" xfId="1135"/>
    <cellStyle name="40% - Accent5 35 2" xfId="1136"/>
    <cellStyle name="40% - Accent5 35 2 2" xfId="1137"/>
    <cellStyle name="40% - Accent5 35 2 2 2" xfId="1138"/>
    <cellStyle name="40% - Accent5 35 2 2 3" xfId="1139"/>
    <cellStyle name="40% - Accent5 35 3" xfId="1140"/>
    <cellStyle name="40% - Accent5 35 4" xfId="1141"/>
    <cellStyle name="40% - Accent5 35 5" xfId="1142"/>
    <cellStyle name="40% - Accent5 36" xfId="1143"/>
    <cellStyle name="40% - Accent5 37" xfId="1144"/>
    <cellStyle name="40% - Accent5 38" xfId="1145"/>
    <cellStyle name="40% - Accent5 39" xfId="1146"/>
    <cellStyle name="40% - Accent5 4" xfId="1147"/>
    <cellStyle name="40% - Accent5 4 2" xfId="1148"/>
    <cellStyle name="40% - Accent5 40" xfId="1149"/>
    <cellStyle name="40% - Accent5 41" xfId="1150"/>
    <cellStyle name="40% - Accent5 42" xfId="1151"/>
    <cellStyle name="40% - Accent5 43" xfId="1152"/>
    <cellStyle name="40% - Accent5 44" xfId="1153"/>
    <cellStyle name="40% - Accent5 45" xfId="1154"/>
    <cellStyle name="40% - Accent5 46" xfId="1155"/>
    <cellStyle name="40% - Accent5 47" xfId="1156"/>
    <cellStyle name="40% - Accent5 48" xfId="1157"/>
    <cellStyle name="40% - Accent5 49" xfId="1158"/>
    <cellStyle name="40% - Accent5 5" xfId="1159"/>
    <cellStyle name="40% - Accent5 50" xfId="1160"/>
    <cellStyle name="40% - Accent5 51" xfId="1161"/>
    <cellStyle name="40% - Accent5 52" xfId="1162"/>
    <cellStyle name="40% - Accent5 53" xfId="1163"/>
    <cellStyle name="40% - Accent5 54" xfId="1164"/>
    <cellStyle name="40% - Accent5 55" xfId="1165"/>
    <cellStyle name="40% - Accent5 56" xfId="1166"/>
    <cellStyle name="40% - Accent5 57" xfId="1167"/>
    <cellStyle name="40% - Accent5 58" xfId="1168"/>
    <cellStyle name="40% - Accent5 59" xfId="1169"/>
    <cellStyle name="40% - Accent5 6" xfId="1170"/>
    <cellStyle name="40% - Accent5 60" xfId="1171"/>
    <cellStyle name="40% - Accent5 60 2" xfId="1172"/>
    <cellStyle name="40% - Accent5 60 2 2" xfId="1173"/>
    <cellStyle name="40% - Accent5 60 2 3" xfId="1174"/>
    <cellStyle name="40% - Accent5 60 3" xfId="1175"/>
    <cellStyle name="40% - Accent5 61" xfId="1176"/>
    <cellStyle name="40% - Accent5 62" xfId="1177"/>
    <cellStyle name="40% - Accent5 63" xfId="1178"/>
    <cellStyle name="40% - Accent5 64" xfId="1179"/>
    <cellStyle name="40% - Accent5 65" xfId="1180"/>
    <cellStyle name="40% - Accent5 7" xfId="1181"/>
    <cellStyle name="40% - Accent5 8" xfId="1182"/>
    <cellStyle name="40% - Accent5 9" xfId="1183"/>
    <cellStyle name="40% - Accent6 10" xfId="1184"/>
    <cellStyle name="40% - Accent6 11" xfId="1185"/>
    <cellStyle name="40% - Accent6 12" xfId="1186"/>
    <cellStyle name="40% - Accent6 13" xfId="1187"/>
    <cellStyle name="40% - Accent6 14" xfId="1188"/>
    <cellStyle name="40% - Accent6 15" xfId="1189"/>
    <cellStyle name="40% - Accent6 16" xfId="1190"/>
    <cellStyle name="40% - Accent6 17" xfId="1191"/>
    <cellStyle name="40% - Accent6 18" xfId="1192"/>
    <cellStyle name="40% - Accent6 19" xfId="1193"/>
    <cellStyle name="40% - Accent6 2" xfId="1194"/>
    <cellStyle name="40% - Accent6 2 2" xfId="1195"/>
    <cellStyle name="40% - Accent6 2 2 2" xfId="1196"/>
    <cellStyle name="40% - Accent6 2 2 3" xfId="1197"/>
    <cellStyle name="40% - Accent6 2 3" xfId="1198"/>
    <cellStyle name="40% - Accent6 2 3 2" xfId="1199"/>
    <cellStyle name="40% - Accent6 2 3 2 2" xfId="1200"/>
    <cellStyle name="40% - Accent6 2 3 3" xfId="1201"/>
    <cellStyle name="40% - Accent6 2 3 4" xfId="1202"/>
    <cellStyle name="40% - Accent6 2 4" xfId="1203"/>
    <cellStyle name="40% - Accent6 2 5" xfId="1204"/>
    <cellStyle name="40% - Accent6 20" xfId="1205"/>
    <cellStyle name="40% - Accent6 21" xfId="1206"/>
    <cellStyle name="40% - Accent6 22" xfId="1207"/>
    <cellStyle name="40% - Accent6 23" xfId="1208"/>
    <cellStyle name="40% - Accent6 24" xfId="1209"/>
    <cellStyle name="40% - Accent6 25" xfId="1210"/>
    <cellStyle name="40% - Accent6 26" xfId="1211"/>
    <cellStyle name="40% - Accent6 27" xfId="1212"/>
    <cellStyle name="40% - Accent6 28" xfId="1213"/>
    <cellStyle name="40% - Accent6 29" xfId="1214"/>
    <cellStyle name="40% - Accent6 3" xfId="1215"/>
    <cellStyle name="40% - Accent6 3 2" xfId="1216"/>
    <cellStyle name="40% - Accent6 3 3" xfId="1217"/>
    <cellStyle name="40% - Accent6 30" xfId="1218"/>
    <cellStyle name="40% - Accent6 31" xfId="1219"/>
    <cellStyle name="40% - Accent6 32" xfId="1220"/>
    <cellStyle name="40% - Accent6 33" xfId="1221"/>
    <cellStyle name="40% - Accent6 34" xfId="1222"/>
    <cellStyle name="40% - Accent6 35" xfId="1223"/>
    <cellStyle name="40% - Accent6 35 2" xfId="1224"/>
    <cellStyle name="40% - Accent6 35 2 2" xfId="1225"/>
    <cellStyle name="40% - Accent6 35 2 2 2" xfId="1226"/>
    <cellStyle name="40% - Accent6 35 2 2 3" xfId="1227"/>
    <cellStyle name="40% - Accent6 35 3" xfId="1228"/>
    <cellStyle name="40% - Accent6 35 4" xfId="1229"/>
    <cellStyle name="40% - Accent6 35 5" xfId="1230"/>
    <cellStyle name="40% - Accent6 36" xfId="1231"/>
    <cellStyle name="40% - Accent6 37" xfId="1232"/>
    <cellStyle name="40% - Accent6 38" xfId="1233"/>
    <cellStyle name="40% - Accent6 39" xfId="1234"/>
    <cellStyle name="40% - Accent6 4" xfId="1235"/>
    <cellStyle name="40% - Accent6 4 2" xfId="1236"/>
    <cellStyle name="40% - Accent6 40" xfId="1237"/>
    <cellStyle name="40% - Accent6 41" xfId="1238"/>
    <cellStyle name="40% - Accent6 42" xfId="1239"/>
    <cellStyle name="40% - Accent6 43" xfId="1240"/>
    <cellStyle name="40% - Accent6 44" xfId="1241"/>
    <cellStyle name="40% - Accent6 45" xfId="1242"/>
    <cellStyle name="40% - Accent6 46" xfId="1243"/>
    <cellStyle name="40% - Accent6 47" xfId="1244"/>
    <cellStyle name="40% - Accent6 48" xfId="1245"/>
    <cellStyle name="40% - Accent6 49" xfId="1246"/>
    <cellStyle name="40% - Accent6 5" xfId="1247"/>
    <cellStyle name="40% - Accent6 50" xfId="1248"/>
    <cellStyle name="40% - Accent6 51" xfId="1249"/>
    <cellStyle name="40% - Accent6 52" xfId="1250"/>
    <cellStyle name="40% - Accent6 53" xfId="1251"/>
    <cellStyle name="40% - Accent6 54" xfId="1252"/>
    <cellStyle name="40% - Accent6 55" xfId="1253"/>
    <cellStyle name="40% - Accent6 56" xfId="1254"/>
    <cellStyle name="40% - Accent6 57" xfId="1255"/>
    <cellStyle name="40% - Accent6 58" xfId="1256"/>
    <cellStyle name="40% - Accent6 59" xfId="1257"/>
    <cellStyle name="40% - Accent6 6" xfId="1258"/>
    <cellStyle name="40% - Accent6 60" xfId="1259"/>
    <cellStyle name="40% - Accent6 60 2" xfId="1260"/>
    <cellStyle name="40% - Accent6 60 2 2" xfId="1261"/>
    <cellStyle name="40% - Accent6 60 2 2 2" xfId="1262"/>
    <cellStyle name="40% - Accent6 60 2 3" xfId="1263"/>
    <cellStyle name="40% - Accent6 60 3" xfId="1264"/>
    <cellStyle name="40% - Accent6 61" xfId="1265"/>
    <cellStyle name="40% - Accent6 62" xfId="1266"/>
    <cellStyle name="40% - Accent6 63" xfId="1267"/>
    <cellStyle name="40% - Accent6 64" xfId="1268"/>
    <cellStyle name="40% - Accent6 65" xfId="1269"/>
    <cellStyle name="40% - Accent6 7" xfId="1270"/>
    <cellStyle name="40% - Accent6 8" xfId="1271"/>
    <cellStyle name="40% - Accent6 9" xfId="1272"/>
    <cellStyle name="40% - Colore 1" xfId="1273"/>
    <cellStyle name="40% - Colore 1 2" xfId="1274"/>
    <cellStyle name="40% - Colore 2" xfId="1275"/>
    <cellStyle name="40% - Colore 2 2" xfId="1276"/>
    <cellStyle name="40% - Colore 3" xfId="1277"/>
    <cellStyle name="40% - Colore 3 2" xfId="1278"/>
    <cellStyle name="40% - Colore 4" xfId="1279"/>
    <cellStyle name="40% - Colore 4 2" xfId="1280"/>
    <cellStyle name="40% - Colore 5" xfId="1281"/>
    <cellStyle name="40% - Colore 5 2" xfId="1282"/>
    <cellStyle name="40% - Colore 6" xfId="1283"/>
    <cellStyle name="40% - Colore 6 2" xfId="1284"/>
    <cellStyle name="4dp" xfId="1285"/>
    <cellStyle name="4dp 2" xfId="1286"/>
    <cellStyle name="4dp 2 2" xfId="1287"/>
    <cellStyle name="4dp 3" xfId="1288"/>
    <cellStyle name="5x indented GHG Textfiels" xfId="1289"/>
    <cellStyle name="5x indented GHG Textfiels 2" xfId="1290"/>
    <cellStyle name="5x indented GHG Textfiels 3" xfId="1291"/>
    <cellStyle name="60% - Accent1 10" xfId="1292"/>
    <cellStyle name="60% - Accent1 11" xfId="1293"/>
    <cellStyle name="60% - Accent1 12" xfId="1294"/>
    <cellStyle name="60% - Accent1 13" xfId="1295"/>
    <cellStyle name="60% - Accent1 14" xfId="1296"/>
    <cellStyle name="60% - Accent1 15" xfId="1297"/>
    <cellStyle name="60% - Accent1 16" xfId="1298"/>
    <cellStyle name="60% - Accent1 17" xfId="1299"/>
    <cellStyle name="60% - Accent1 18" xfId="1300"/>
    <cellStyle name="60% - Accent1 19" xfId="1301"/>
    <cellStyle name="60% - Accent1 2" xfId="1302"/>
    <cellStyle name="60% - Accent1 2 2" xfId="1303"/>
    <cellStyle name="60% - Accent1 2 2 2" xfId="1304"/>
    <cellStyle name="60% - Accent1 2 2 3" xfId="1305"/>
    <cellStyle name="60% - Accent1 2 3" xfId="1306"/>
    <cellStyle name="60% - Accent1 2 4" xfId="1307"/>
    <cellStyle name="60% - Accent1 2 5" xfId="1308"/>
    <cellStyle name="60% - Accent1 20" xfId="1309"/>
    <cellStyle name="60% - Accent1 21" xfId="1310"/>
    <cellStyle name="60% - Accent1 22" xfId="1311"/>
    <cellStyle name="60% - Accent1 23" xfId="1312"/>
    <cellStyle name="60% - Accent1 24" xfId="1313"/>
    <cellStyle name="60% - Accent1 25" xfId="1314"/>
    <cellStyle name="60% - Accent1 26" xfId="1315"/>
    <cellStyle name="60% - Accent1 27" xfId="1316"/>
    <cellStyle name="60% - Accent1 28" xfId="1317"/>
    <cellStyle name="60% - Accent1 29" xfId="1318"/>
    <cellStyle name="60% - Accent1 3" xfId="1319"/>
    <cellStyle name="60% - Accent1 3 2" xfId="1320"/>
    <cellStyle name="60% - Accent1 3 3" xfId="1321"/>
    <cellStyle name="60% - Accent1 30" xfId="1322"/>
    <cellStyle name="60% - Accent1 31" xfId="1323"/>
    <cellStyle name="60% - Accent1 32" xfId="1324"/>
    <cellStyle name="60% - Accent1 33" xfId="1325"/>
    <cellStyle name="60% - Accent1 34" xfId="1326"/>
    <cellStyle name="60% - Accent1 35" xfId="1327"/>
    <cellStyle name="60% - Accent1 35 2" xfId="1328"/>
    <cellStyle name="60% - Accent1 35 2 2" xfId="1329"/>
    <cellStyle name="60% - Accent1 35 2 2 2" xfId="1330"/>
    <cellStyle name="60% - Accent1 35 3" xfId="1331"/>
    <cellStyle name="60% - Accent1 35 4" xfId="1332"/>
    <cellStyle name="60% - Accent1 36" xfId="1333"/>
    <cellStyle name="60% - Accent1 37" xfId="1334"/>
    <cellStyle name="60% - Accent1 38" xfId="1335"/>
    <cellStyle name="60% - Accent1 39" xfId="1336"/>
    <cellStyle name="60% - Accent1 4" xfId="1337"/>
    <cellStyle name="60% - Accent1 4 2" xfId="1338"/>
    <cellStyle name="60% - Accent1 40" xfId="1339"/>
    <cellStyle name="60% - Accent1 41" xfId="1340"/>
    <cellStyle name="60% - Accent1 42" xfId="1341"/>
    <cellStyle name="60% - Accent1 43" xfId="1342"/>
    <cellStyle name="60% - Accent1 44" xfId="1343"/>
    <cellStyle name="60% - Accent1 45" xfId="1344"/>
    <cellStyle name="60% - Accent1 46" xfId="1345"/>
    <cellStyle name="60% - Accent1 47" xfId="1346"/>
    <cellStyle name="60% - Accent1 48" xfId="1347"/>
    <cellStyle name="60% - Accent1 49" xfId="1348"/>
    <cellStyle name="60% - Accent1 5" xfId="1349"/>
    <cellStyle name="60% - Accent1 50" xfId="1350"/>
    <cellStyle name="60% - Accent1 51" xfId="1351"/>
    <cellStyle name="60% - Accent1 52" xfId="1352"/>
    <cellStyle name="60% - Accent1 53" xfId="1353"/>
    <cellStyle name="60% - Accent1 54" xfId="1354"/>
    <cellStyle name="60% - Accent1 55" xfId="1355"/>
    <cellStyle name="60% - Accent1 56" xfId="1356"/>
    <cellStyle name="60% - Accent1 57" xfId="1357"/>
    <cellStyle name="60% - Accent1 58" xfId="1358"/>
    <cellStyle name="60% - Accent1 59" xfId="1359"/>
    <cellStyle name="60% - Accent1 6" xfId="1360"/>
    <cellStyle name="60% - Accent1 60" xfId="1361"/>
    <cellStyle name="60% - Accent1 60 2" xfId="1362"/>
    <cellStyle name="60% - Accent1 60 2 2" xfId="1363"/>
    <cellStyle name="60% - Accent1 60 2 2 2" xfId="1364"/>
    <cellStyle name="60% - Accent1 60 2 3" xfId="1365"/>
    <cellStyle name="60% - Accent1 61" xfId="1366"/>
    <cellStyle name="60% - Accent1 62" xfId="1367"/>
    <cellStyle name="60% - Accent1 63" xfId="1368"/>
    <cellStyle name="60% - Accent1 64" xfId="1369"/>
    <cellStyle name="60% - Accent1 65" xfId="1370"/>
    <cellStyle name="60% - Accent1 7" xfId="1371"/>
    <cellStyle name="60% - Accent1 8" xfId="1372"/>
    <cellStyle name="60% - Accent1 9" xfId="1373"/>
    <cellStyle name="60% - Accent2 10" xfId="1374"/>
    <cellStyle name="60% - Accent2 11" xfId="1375"/>
    <cellStyle name="60% - Accent2 12" xfId="1376"/>
    <cellStyle name="60% - Accent2 13" xfId="1377"/>
    <cellStyle name="60% - Accent2 14" xfId="1378"/>
    <cellStyle name="60% - Accent2 15" xfId="1379"/>
    <cellStyle name="60% - Accent2 16" xfId="1380"/>
    <cellStyle name="60% - Accent2 17" xfId="1381"/>
    <cellStyle name="60% - Accent2 18" xfId="1382"/>
    <cellStyle name="60% - Accent2 19" xfId="1383"/>
    <cellStyle name="60% - Accent2 2" xfId="1384"/>
    <cellStyle name="60% - Accent2 2 2" xfId="1385"/>
    <cellStyle name="60% - Accent2 2 2 2" xfId="1386"/>
    <cellStyle name="60% - Accent2 2 2 3" xfId="1387"/>
    <cellStyle name="60% - Accent2 2 3" xfId="1388"/>
    <cellStyle name="60% - Accent2 2 4" xfId="1389"/>
    <cellStyle name="60% - Accent2 2 5" xfId="1390"/>
    <cellStyle name="60% - Accent2 20" xfId="1391"/>
    <cellStyle name="60% - Accent2 21" xfId="1392"/>
    <cellStyle name="60% - Accent2 22" xfId="1393"/>
    <cellStyle name="60% - Accent2 23" xfId="1394"/>
    <cellStyle name="60% - Accent2 24" xfId="1395"/>
    <cellStyle name="60% - Accent2 25" xfId="1396"/>
    <cellStyle name="60% - Accent2 26" xfId="1397"/>
    <cellStyle name="60% - Accent2 27" xfId="1398"/>
    <cellStyle name="60% - Accent2 28" xfId="1399"/>
    <cellStyle name="60% - Accent2 29" xfId="1400"/>
    <cellStyle name="60% - Accent2 3" xfId="1401"/>
    <cellStyle name="60% - Accent2 3 2" xfId="1402"/>
    <cellStyle name="60% - Accent2 30" xfId="1403"/>
    <cellStyle name="60% - Accent2 31" xfId="1404"/>
    <cellStyle name="60% - Accent2 32" xfId="1405"/>
    <cellStyle name="60% - Accent2 33" xfId="1406"/>
    <cellStyle name="60% - Accent2 34" xfId="1407"/>
    <cellStyle name="60% - Accent2 35" xfId="1408"/>
    <cellStyle name="60% - Accent2 35 2" xfId="1409"/>
    <cellStyle name="60% - Accent2 35 2 2" xfId="1410"/>
    <cellStyle name="60% - Accent2 35 2 2 2" xfId="1411"/>
    <cellStyle name="60% - Accent2 35 3" xfId="1412"/>
    <cellStyle name="60% - Accent2 35 4" xfId="1413"/>
    <cellStyle name="60% - Accent2 36" xfId="1414"/>
    <cellStyle name="60% - Accent2 37" xfId="1415"/>
    <cellStyle name="60% - Accent2 38" xfId="1416"/>
    <cellStyle name="60% - Accent2 39" xfId="1417"/>
    <cellStyle name="60% - Accent2 4" xfId="1418"/>
    <cellStyle name="60% - Accent2 4 2" xfId="1419"/>
    <cellStyle name="60% - Accent2 40" xfId="1420"/>
    <cellStyle name="60% - Accent2 41" xfId="1421"/>
    <cellStyle name="60% - Accent2 42" xfId="1422"/>
    <cellStyle name="60% - Accent2 43" xfId="1423"/>
    <cellStyle name="60% - Accent2 44" xfId="1424"/>
    <cellStyle name="60% - Accent2 45" xfId="1425"/>
    <cellStyle name="60% - Accent2 46" xfId="1426"/>
    <cellStyle name="60% - Accent2 47" xfId="1427"/>
    <cellStyle name="60% - Accent2 48" xfId="1428"/>
    <cellStyle name="60% - Accent2 49" xfId="1429"/>
    <cellStyle name="60% - Accent2 5" xfId="1430"/>
    <cellStyle name="60% - Accent2 50" xfId="1431"/>
    <cellStyle name="60% - Accent2 51" xfId="1432"/>
    <cellStyle name="60% - Accent2 52" xfId="1433"/>
    <cellStyle name="60% - Accent2 53" xfId="1434"/>
    <cellStyle name="60% - Accent2 54" xfId="1435"/>
    <cellStyle name="60% - Accent2 55" xfId="1436"/>
    <cellStyle name="60% - Accent2 56" xfId="1437"/>
    <cellStyle name="60% - Accent2 57" xfId="1438"/>
    <cellStyle name="60% - Accent2 58" xfId="1439"/>
    <cellStyle name="60% - Accent2 59" xfId="1440"/>
    <cellStyle name="60% - Accent2 6" xfId="1441"/>
    <cellStyle name="60% - Accent2 60" xfId="1442"/>
    <cellStyle name="60% - Accent2 60 2" xfId="1443"/>
    <cellStyle name="60% - Accent2 60 2 2" xfId="1444"/>
    <cellStyle name="60% - Accent2 60 2 3" xfId="1445"/>
    <cellStyle name="60% - Accent2 61" xfId="1446"/>
    <cellStyle name="60% - Accent2 62" xfId="1447"/>
    <cellStyle name="60% - Accent2 63" xfId="1448"/>
    <cellStyle name="60% - Accent2 64" xfId="1449"/>
    <cellStyle name="60% - Accent2 65" xfId="1450"/>
    <cellStyle name="60% - Accent2 7" xfId="1451"/>
    <cellStyle name="60% - Accent2 8" xfId="1452"/>
    <cellStyle name="60% - Accent2 9" xfId="1453"/>
    <cellStyle name="60% - Accent3 10" xfId="1454"/>
    <cellStyle name="60% - Accent3 11" xfId="1455"/>
    <cellStyle name="60% - Accent3 12" xfId="1456"/>
    <cellStyle name="60% - Accent3 13" xfId="1457"/>
    <cellStyle name="60% - Accent3 14" xfId="1458"/>
    <cellStyle name="60% - Accent3 15" xfId="1459"/>
    <cellStyle name="60% - Accent3 16" xfId="1460"/>
    <cellStyle name="60% - Accent3 17" xfId="1461"/>
    <cellStyle name="60% - Accent3 18" xfId="1462"/>
    <cellStyle name="60% - Accent3 19" xfId="1463"/>
    <cellStyle name="60% - Accent3 2" xfId="1464"/>
    <cellStyle name="60% - Accent3 2 2" xfId="1465"/>
    <cellStyle name="60% - Accent3 2 2 2" xfId="1466"/>
    <cellStyle name="60% - Accent3 2 2 3" xfId="1467"/>
    <cellStyle name="60% - Accent3 2 3" xfId="1468"/>
    <cellStyle name="60% - Accent3 2 4" xfId="1469"/>
    <cellStyle name="60% - Accent3 2 5" xfId="1470"/>
    <cellStyle name="60% - Accent3 20" xfId="1471"/>
    <cellStyle name="60% - Accent3 21" xfId="1472"/>
    <cellStyle name="60% - Accent3 22" xfId="1473"/>
    <cellStyle name="60% - Accent3 23" xfId="1474"/>
    <cellStyle name="60% - Accent3 24" xfId="1475"/>
    <cellStyle name="60% - Accent3 25" xfId="1476"/>
    <cellStyle name="60% - Accent3 26" xfId="1477"/>
    <cellStyle name="60% - Accent3 27" xfId="1478"/>
    <cellStyle name="60% - Accent3 28" xfId="1479"/>
    <cellStyle name="60% - Accent3 29" xfId="1480"/>
    <cellStyle name="60% - Accent3 3" xfId="1481"/>
    <cellStyle name="60% - Accent3 3 2" xfId="1482"/>
    <cellStyle name="60% - Accent3 3 3" xfId="1483"/>
    <cellStyle name="60% - Accent3 30" xfId="1484"/>
    <cellStyle name="60% - Accent3 31" xfId="1485"/>
    <cellStyle name="60% - Accent3 32" xfId="1486"/>
    <cellStyle name="60% - Accent3 33" xfId="1487"/>
    <cellStyle name="60% - Accent3 34" xfId="1488"/>
    <cellStyle name="60% - Accent3 35" xfId="1489"/>
    <cellStyle name="60% - Accent3 35 2" xfId="1490"/>
    <cellStyle name="60% - Accent3 35 2 2" xfId="1491"/>
    <cellStyle name="60% - Accent3 35 2 2 2" xfId="1492"/>
    <cellStyle name="60% - Accent3 35 3" xfId="1493"/>
    <cellStyle name="60% - Accent3 35 4" xfId="1494"/>
    <cellStyle name="60% - Accent3 36" xfId="1495"/>
    <cellStyle name="60% - Accent3 37" xfId="1496"/>
    <cellStyle name="60% - Accent3 38" xfId="1497"/>
    <cellStyle name="60% - Accent3 39" xfId="1498"/>
    <cellStyle name="60% - Accent3 4" xfId="1499"/>
    <cellStyle name="60% - Accent3 40" xfId="1500"/>
    <cellStyle name="60% - Accent3 41" xfId="1501"/>
    <cellStyle name="60% - Accent3 42" xfId="1502"/>
    <cellStyle name="60% - Accent3 43" xfId="1503"/>
    <cellStyle name="60% - Accent3 44" xfId="1504"/>
    <cellStyle name="60% - Accent3 45" xfId="1505"/>
    <cellStyle name="60% - Accent3 46" xfId="1506"/>
    <cellStyle name="60% - Accent3 47" xfId="1507"/>
    <cellStyle name="60% - Accent3 48" xfId="1508"/>
    <cellStyle name="60% - Accent3 49" xfId="1509"/>
    <cellStyle name="60% - Accent3 5" xfId="1510"/>
    <cellStyle name="60% - Accent3 50" xfId="1511"/>
    <cellStyle name="60% - Accent3 51" xfId="1512"/>
    <cellStyle name="60% - Accent3 52" xfId="1513"/>
    <cellStyle name="60% - Accent3 53" xfId="1514"/>
    <cellStyle name="60% - Accent3 54" xfId="1515"/>
    <cellStyle name="60% - Accent3 55" xfId="1516"/>
    <cellStyle name="60% - Accent3 56" xfId="1517"/>
    <cellStyle name="60% - Accent3 57" xfId="1518"/>
    <cellStyle name="60% - Accent3 58" xfId="1519"/>
    <cellStyle name="60% - Accent3 59" xfId="1520"/>
    <cellStyle name="60% - Accent3 6" xfId="1521"/>
    <cellStyle name="60% - Accent3 60" xfId="1522"/>
    <cellStyle name="60% - Accent3 60 2" xfId="1523"/>
    <cellStyle name="60% - Accent3 60 2 2" xfId="1524"/>
    <cellStyle name="60% - Accent3 60 2 2 2" xfId="1525"/>
    <cellStyle name="60% - Accent3 60 2 3" xfId="1526"/>
    <cellStyle name="60% - Accent3 61" xfId="1527"/>
    <cellStyle name="60% - Accent3 62" xfId="1528"/>
    <cellStyle name="60% - Accent3 63" xfId="1529"/>
    <cellStyle name="60% - Accent3 64" xfId="1530"/>
    <cellStyle name="60% - Accent3 65" xfId="1531"/>
    <cellStyle name="60% - Accent3 7" xfId="1532"/>
    <cellStyle name="60% - Accent3 8" xfId="1533"/>
    <cellStyle name="60% - Accent3 9" xfId="1534"/>
    <cellStyle name="60% - Accent4 10" xfId="1535"/>
    <cellStyle name="60% - Accent4 11" xfId="1536"/>
    <cellStyle name="60% - Accent4 12" xfId="1537"/>
    <cellStyle name="60% - Accent4 13" xfId="1538"/>
    <cellStyle name="60% - Accent4 14" xfId="1539"/>
    <cellStyle name="60% - Accent4 15" xfId="1540"/>
    <cellStyle name="60% - Accent4 16" xfId="1541"/>
    <cellStyle name="60% - Accent4 17" xfId="1542"/>
    <cellStyle name="60% - Accent4 18" xfId="1543"/>
    <cellStyle name="60% - Accent4 19" xfId="1544"/>
    <cellStyle name="60% - Accent4 2" xfId="1545"/>
    <cellStyle name="60% - Accent4 2 2" xfId="1546"/>
    <cellStyle name="60% - Accent4 2 2 2" xfId="1547"/>
    <cellStyle name="60% - Accent4 2 2 3" xfId="1548"/>
    <cellStyle name="60% - Accent4 2 3" xfId="1549"/>
    <cellStyle name="60% - Accent4 2 4" xfId="1550"/>
    <cellStyle name="60% - Accent4 2 5" xfId="1551"/>
    <cellStyle name="60% - Accent4 20" xfId="1552"/>
    <cellStyle name="60% - Accent4 21" xfId="1553"/>
    <cellStyle name="60% - Accent4 22" xfId="1554"/>
    <cellStyle name="60% - Accent4 23" xfId="1555"/>
    <cellStyle name="60% - Accent4 24" xfId="1556"/>
    <cellStyle name="60% - Accent4 25" xfId="1557"/>
    <cellStyle name="60% - Accent4 26" xfId="1558"/>
    <cellStyle name="60% - Accent4 27" xfId="1559"/>
    <cellStyle name="60% - Accent4 28" xfId="1560"/>
    <cellStyle name="60% - Accent4 29" xfId="1561"/>
    <cellStyle name="60% - Accent4 3" xfId="1562"/>
    <cellStyle name="60% - Accent4 3 2" xfId="1563"/>
    <cellStyle name="60% - Accent4 3 3" xfId="1564"/>
    <cellStyle name="60% - Accent4 30" xfId="1565"/>
    <cellStyle name="60% - Accent4 31" xfId="1566"/>
    <cellStyle name="60% - Accent4 32" xfId="1567"/>
    <cellStyle name="60% - Accent4 33" xfId="1568"/>
    <cellStyle name="60% - Accent4 34" xfId="1569"/>
    <cellStyle name="60% - Accent4 35" xfId="1570"/>
    <cellStyle name="60% - Accent4 35 2" xfId="1571"/>
    <cellStyle name="60% - Accent4 35 2 2" xfId="1572"/>
    <cellStyle name="60% - Accent4 35 2 2 2" xfId="1573"/>
    <cellStyle name="60% - Accent4 35 3" xfId="1574"/>
    <cellStyle name="60% - Accent4 35 4" xfId="1575"/>
    <cellStyle name="60% - Accent4 36" xfId="1576"/>
    <cellStyle name="60% - Accent4 37" xfId="1577"/>
    <cellStyle name="60% - Accent4 38" xfId="1578"/>
    <cellStyle name="60% - Accent4 39" xfId="1579"/>
    <cellStyle name="60% - Accent4 4" xfId="1580"/>
    <cellStyle name="60% - Accent4 4 2" xfId="1581"/>
    <cellStyle name="60% - Accent4 40" xfId="1582"/>
    <cellStyle name="60% - Accent4 41" xfId="1583"/>
    <cellStyle name="60% - Accent4 42" xfId="1584"/>
    <cellStyle name="60% - Accent4 43" xfId="1585"/>
    <cellStyle name="60% - Accent4 44" xfId="1586"/>
    <cellStyle name="60% - Accent4 45" xfId="1587"/>
    <cellStyle name="60% - Accent4 46" xfId="1588"/>
    <cellStyle name="60% - Accent4 47" xfId="1589"/>
    <cellStyle name="60% - Accent4 48" xfId="1590"/>
    <cellStyle name="60% - Accent4 49" xfId="1591"/>
    <cellStyle name="60% - Accent4 5" xfId="1592"/>
    <cellStyle name="60% - Accent4 50" xfId="1593"/>
    <cellStyle name="60% - Accent4 51" xfId="1594"/>
    <cellStyle name="60% - Accent4 52" xfId="1595"/>
    <cellStyle name="60% - Accent4 53" xfId="1596"/>
    <cellStyle name="60% - Accent4 54" xfId="1597"/>
    <cellStyle name="60% - Accent4 55" xfId="1598"/>
    <cellStyle name="60% - Accent4 56" xfId="1599"/>
    <cellStyle name="60% - Accent4 57" xfId="1600"/>
    <cellStyle name="60% - Accent4 58" xfId="1601"/>
    <cellStyle name="60% - Accent4 59" xfId="1602"/>
    <cellStyle name="60% - Accent4 6" xfId="1603"/>
    <cellStyle name="60% - Accent4 60" xfId="1604"/>
    <cellStyle name="60% - Accent4 60 2" xfId="1605"/>
    <cellStyle name="60% - Accent4 60 2 2" xfId="1606"/>
    <cellStyle name="60% - Accent4 60 2 2 2" xfId="1607"/>
    <cellStyle name="60% - Accent4 60 2 3" xfId="1608"/>
    <cellStyle name="60% - Accent4 61" xfId="1609"/>
    <cellStyle name="60% - Accent4 62" xfId="1610"/>
    <cellStyle name="60% - Accent4 63" xfId="1611"/>
    <cellStyle name="60% - Accent4 64" xfId="1612"/>
    <cellStyle name="60% - Accent4 65" xfId="1613"/>
    <cellStyle name="60% - Accent4 7" xfId="1614"/>
    <cellStyle name="60% - Accent4 8" xfId="1615"/>
    <cellStyle name="60% - Accent4 9" xfId="1616"/>
    <cellStyle name="60% - Accent5 10" xfId="1617"/>
    <cellStyle name="60% - Accent5 11" xfId="1618"/>
    <cellStyle name="60% - Accent5 12" xfId="1619"/>
    <cellStyle name="60% - Accent5 13" xfId="1620"/>
    <cellStyle name="60% - Accent5 14" xfId="1621"/>
    <cellStyle name="60% - Accent5 15" xfId="1622"/>
    <cellStyle name="60% - Accent5 16" xfId="1623"/>
    <cellStyle name="60% - Accent5 17" xfId="1624"/>
    <cellStyle name="60% - Accent5 18" xfId="1625"/>
    <cellStyle name="60% - Accent5 19" xfId="1626"/>
    <cellStyle name="60% - Accent5 2" xfId="1627"/>
    <cellStyle name="60% - Accent5 2 2" xfId="1628"/>
    <cellStyle name="60% - Accent5 2 2 2" xfId="1629"/>
    <cellStyle name="60% - Accent5 2 2 3" xfId="1630"/>
    <cellStyle name="60% - Accent5 2 3" xfId="1631"/>
    <cellStyle name="60% - Accent5 2 4" xfId="1632"/>
    <cellStyle name="60% - Accent5 2 5" xfId="1633"/>
    <cellStyle name="60% - Accent5 20" xfId="1634"/>
    <cellStyle name="60% - Accent5 21" xfId="1635"/>
    <cellStyle name="60% - Accent5 22" xfId="1636"/>
    <cellStyle name="60% - Accent5 23" xfId="1637"/>
    <cellStyle name="60% - Accent5 24" xfId="1638"/>
    <cellStyle name="60% - Accent5 25" xfId="1639"/>
    <cellStyle name="60% - Accent5 26" xfId="1640"/>
    <cellStyle name="60% - Accent5 27" xfId="1641"/>
    <cellStyle name="60% - Accent5 28" xfId="1642"/>
    <cellStyle name="60% - Accent5 29" xfId="1643"/>
    <cellStyle name="60% - Accent5 3" xfId="1644"/>
    <cellStyle name="60% - Accent5 3 2" xfId="1645"/>
    <cellStyle name="60% - Accent5 3 3" xfId="1646"/>
    <cellStyle name="60% - Accent5 30" xfId="1647"/>
    <cellStyle name="60% - Accent5 31" xfId="1648"/>
    <cellStyle name="60% - Accent5 32" xfId="1649"/>
    <cellStyle name="60% - Accent5 33" xfId="1650"/>
    <cellStyle name="60% - Accent5 34" xfId="1651"/>
    <cellStyle name="60% - Accent5 35" xfId="1652"/>
    <cellStyle name="60% - Accent5 35 2" xfId="1653"/>
    <cellStyle name="60% - Accent5 35 2 2" xfId="1654"/>
    <cellStyle name="60% - Accent5 35 2 2 2" xfId="1655"/>
    <cellStyle name="60% - Accent5 35 3" xfId="1656"/>
    <cellStyle name="60% - Accent5 35 4" xfId="1657"/>
    <cellStyle name="60% - Accent5 36" xfId="1658"/>
    <cellStyle name="60% - Accent5 37" xfId="1659"/>
    <cellStyle name="60% - Accent5 38" xfId="1660"/>
    <cellStyle name="60% - Accent5 39" xfId="1661"/>
    <cellStyle name="60% - Accent5 4" xfId="1662"/>
    <cellStyle name="60% - Accent5 4 2" xfId="1663"/>
    <cellStyle name="60% - Accent5 40" xfId="1664"/>
    <cellStyle name="60% - Accent5 41" xfId="1665"/>
    <cellStyle name="60% - Accent5 42" xfId="1666"/>
    <cellStyle name="60% - Accent5 43" xfId="1667"/>
    <cellStyle name="60% - Accent5 44" xfId="1668"/>
    <cellStyle name="60% - Accent5 45" xfId="1669"/>
    <cellStyle name="60% - Accent5 46" xfId="1670"/>
    <cellStyle name="60% - Accent5 47" xfId="1671"/>
    <cellStyle name="60% - Accent5 48" xfId="1672"/>
    <cellStyle name="60% - Accent5 49" xfId="1673"/>
    <cellStyle name="60% - Accent5 5" xfId="1674"/>
    <cellStyle name="60% - Accent5 50" xfId="1675"/>
    <cellStyle name="60% - Accent5 51" xfId="1676"/>
    <cellStyle name="60% - Accent5 52" xfId="1677"/>
    <cellStyle name="60% - Accent5 53" xfId="1678"/>
    <cellStyle name="60% - Accent5 54" xfId="1679"/>
    <cellStyle name="60% - Accent5 55" xfId="1680"/>
    <cellStyle name="60% - Accent5 56" xfId="1681"/>
    <cellStyle name="60% - Accent5 57" xfId="1682"/>
    <cellStyle name="60% - Accent5 58" xfId="1683"/>
    <cellStyle name="60% - Accent5 59" xfId="1684"/>
    <cellStyle name="60% - Accent5 6" xfId="1685"/>
    <cellStyle name="60% - Accent5 60" xfId="1686"/>
    <cellStyle name="60% - Accent5 60 2" xfId="1687"/>
    <cellStyle name="60% - Accent5 60 2 2" xfId="1688"/>
    <cellStyle name="60% - Accent5 60 2 3" xfId="1689"/>
    <cellStyle name="60% - Accent5 61" xfId="1690"/>
    <cellStyle name="60% - Accent5 62" xfId="1691"/>
    <cellStyle name="60% - Accent5 63" xfId="1692"/>
    <cellStyle name="60% - Accent5 64" xfId="1693"/>
    <cellStyle name="60% - Accent5 65" xfId="1694"/>
    <cellStyle name="60% - Accent5 7" xfId="1695"/>
    <cellStyle name="60% - Accent5 8" xfId="1696"/>
    <cellStyle name="60% - Accent5 9" xfId="1697"/>
    <cellStyle name="60% - Accent6 10" xfId="1698"/>
    <cellStyle name="60% - Accent6 11" xfId="1699"/>
    <cellStyle name="60% - Accent6 12" xfId="1700"/>
    <cellStyle name="60% - Accent6 13" xfId="1701"/>
    <cellStyle name="60% - Accent6 14" xfId="1702"/>
    <cellStyle name="60% - Accent6 15" xfId="1703"/>
    <cellStyle name="60% - Accent6 16" xfId="1704"/>
    <cellStyle name="60% - Accent6 17" xfId="1705"/>
    <cellStyle name="60% - Accent6 18" xfId="1706"/>
    <cellStyle name="60% - Accent6 19" xfId="1707"/>
    <cellStyle name="60% - Accent6 2" xfId="1708"/>
    <cellStyle name="60% - Accent6 2 2" xfId="1709"/>
    <cellStyle name="60% - Accent6 2 2 2" xfId="1710"/>
    <cellStyle name="60% - Accent6 2 2 3" xfId="1711"/>
    <cellStyle name="60% - Accent6 2 3" xfId="1712"/>
    <cellStyle name="60% - Accent6 2 4" xfId="1713"/>
    <cellStyle name="60% - Accent6 2 5" xfId="1714"/>
    <cellStyle name="60% - Accent6 20" xfId="1715"/>
    <cellStyle name="60% - Accent6 21" xfId="1716"/>
    <cellStyle name="60% - Accent6 22" xfId="1717"/>
    <cellStyle name="60% - Accent6 23" xfId="1718"/>
    <cellStyle name="60% - Accent6 24" xfId="1719"/>
    <cellStyle name="60% - Accent6 25" xfId="1720"/>
    <cellStyle name="60% - Accent6 26" xfId="1721"/>
    <cellStyle name="60% - Accent6 27" xfId="1722"/>
    <cellStyle name="60% - Accent6 28" xfId="1723"/>
    <cellStyle name="60% - Accent6 29" xfId="1724"/>
    <cellStyle name="60% - Accent6 3" xfId="1725"/>
    <cellStyle name="60% - Accent6 3 2" xfId="1726"/>
    <cellStyle name="60% - Accent6 3 3" xfId="1727"/>
    <cellStyle name="60% - Accent6 30" xfId="1728"/>
    <cellStyle name="60% - Accent6 31" xfId="1729"/>
    <cellStyle name="60% - Accent6 32" xfId="1730"/>
    <cellStyle name="60% - Accent6 33" xfId="1731"/>
    <cellStyle name="60% - Accent6 34" xfId="1732"/>
    <cellStyle name="60% - Accent6 35" xfId="1733"/>
    <cellStyle name="60% - Accent6 35 2" xfId="1734"/>
    <cellStyle name="60% - Accent6 35 2 2" xfId="1735"/>
    <cellStyle name="60% - Accent6 35 2 2 2" xfId="1736"/>
    <cellStyle name="60% - Accent6 35 3" xfId="1737"/>
    <cellStyle name="60% - Accent6 35 4" xfId="1738"/>
    <cellStyle name="60% - Accent6 36" xfId="1739"/>
    <cellStyle name="60% - Accent6 37" xfId="1740"/>
    <cellStyle name="60% - Accent6 38" xfId="1741"/>
    <cellStyle name="60% - Accent6 39" xfId="1742"/>
    <cellStyle name="60% - Accent6 4" xfId="1743"/>
    <cellStyle name="60% - Accent6 4 2" xfId="1744"/>
    <cellStyle name="60% - Accent6 40" xfId="1745"/>
    <cellStyle name="60% - Accent6 41" xfId="1746"/>
    <cellStyle name="60% - Accent6 42" xfId="1747"/>
    <cellStyle name="60% - Accent6 43" xfId="1748"/>
    <cellStyle name="60% - Accent6 44" xfId="1749"/>
    <cellStyle name="60% - Accent6 45" xfId="1750"/>
    <cellStyle name="60% - Accent6 46" xfId="1751"/>
    <cellStyle name="60% - Accent6 47" xfId="1752"/>
    <cellStyle name="60% - Accent6 48" xfId="1753"/>
    <cellStyle name="60% - Accent6 49" xfId="1754"/>
    <cellStyle name="60% - Accent6 5" xfId="1755"/>
    <cellStyle name="60% - Accent6 50" xfId="1756"/>
    <cellStyle name="60% - Accent6 51" xfId="1757"/>
    <cellStyle name="60% - Accent6 52" xfId="1758"/>
    <cellStyle name="60% - Accent6 53" xfId="1759"/>
    <cellStyle name="60% - Accent6 54" xfId="1760"/>
    <cellStyle name="60% - Accent6 55" xfId="1761"/>
    <cellStyle name="60% - Accent6 56" xfId="1762"/>
    <cellStyle name="60% - Accent6 57" xfId="1763"/>
    <cellStyle name="60% - Accent6 58" xfId="1764"/>
    <cellStyle name="60% - Accent6 59" xfId="1765"/>
    <cellStyle name="60% - Accent6 6" xfId="1766"/>
    <cellStyle name="60% - Accent6 60" xfId="1767"/>
    <cellStyle name="60% - Accent6 60 2" xfId="1768"/>
    <cellStyle name="60% - Accent6 60 2 2" xfId="1769"/>
    <cellStyle name="60% - Accent6 60 2 2 2" xfId="1770"/>
    <cellStyle name="60% - Accent6 60 2 3" xfId="1771"/>
    <cellStyle name="60% - Accent6 61" xfId="1772"/>
    <cellStyle name="60% - Accent6 62" xfId="1773"/>
    <cellStyle name="60% - Accent6 63" xfId="1774"/>
    <cellStyle name="60% - Accent6 64" xfId="1775"/>
    <cellStyle name="60% - Accent6 65" xfId="1776"/>
    <cellStyle name="60% - Accent6 7" xfId="1777"/>
    <cellStyle name="60% - Accent6 8" xfId="1778"/>
    <cellStyle name="60% - Accent6 9" xfId="1779"/>
    <cellStyle name="60% - Colore 1" xfId="1780"/>
    <cellStyle name="60% - Colore 1 2" xfId="1781"/>
    <cellStyle name="60% - Colore 2" xfId="1782"/>
    <cellStyle name="60% - Colore 2 2" xfId="1783"/>
    <cellStyle name="60% - Colore 3" xfId="1784"/>
    <cellStyle name="60% - Colore 3 2" xfId="1785"/>
    <cellStyle name="60% - Colore 4" xfId="1786"/>
    <cellStyle name="60% - Colore 4 2" xfId="1787"/>
    <cellStyle name="60% - Colore 5" xfId="1788"/>
    <cellStyle name="60% - Colore 5 2" xfId="1789"/>
    <cellStyle name="60% - Colore 6" xfId="1790"/>
    <cellStyle name="60% - Colore 6 2" xfId="1791"/>
    <cellStyle name="aaa" xfId="1792"/>
    <cellStyle name="aaa 2" xfId="1793"/>
    <cellStyle name="aaa 3" xfId="1794"/>
    <cellStyle name="aaa 4" xfId="1795"/>
    <cellStyle name="aaa 5" xfId="1796"/>
    <cellStyle name="aaa 6" xfId="1797"/>
    <cellStyle name="aaa 7" xfId="1798"/>
    <cellStyle name="aaa 8" xfId="1799"/>
    <cellStyle name="aaa 9" xfId="1800"/>
    <cellStyle name="Accent1 10" xfId="1801"/>
    <cellStyle name="Accent1 11" xfId="1802"/>
    <cellStyle name="Accent1 12" xfId="1803"/>
    <cellStyle name="Accent1 13" xfId="1804"/>
    <cellStyle name="Accent1 14" xfId="1805"/>
    <cellStyle name="Accent1 15" xfId="1806"/>
    <cellStyle name="Accent1 16" xfId="1807"/>
    <cellStyle name="Accent1 17" xfId="1808"/>
    <cellStyle name="Accent1 18" xfId="1809"/>
    <cellStyle name="Accent1 19" xfId="1810"/>
    <cellStyle name="Accent1 2" xfId="1811"/>
    <cellStyle name="Accent1 2 2" xfId="1812"/>
    <cellStyle name="Accent1 2 2 2" xfId="1813"/>
    <cellStyle name="Accent1 2 2 3" xfId="1814"/>
    <cellStyle name="Accent1 2 3" xfId="1815"/>
    <cellStyle name="Accent1 2 4" xfId="1816"/>
    <cellStyle name="Accent1 2 5" xfId="1817"/>
    <cellStyle name="Accent1 20" xfId="1818"/>
    <cellStyle name="Accent1 21" xfId="1819"/>
    <cellStyle name="Accent1 22" xfId="1820"/>
    <cellStyle name="Accent1 23" xfId="1821"/>
    <cellStyle name="Accent1 24" xfId="1822"/>
    <cellStyle name="Accent1 25" xfId="1823"/>
    <cellStyle name="Accent1 26" xfId="1824"/>
    <cellStyle name="Accent1 27" xfId="1825"/>
    <cellStyle name="Accent1 28" xfId="1826"/>
    <cellStyle name="Accent1 29" xfId="1827"/>
    <cellStyle name="Accent1 3" xfId="1828"/>
    <cellStyle name="Accent1 3 2" xfId="1829"/>
    <cellStyle name="Accent1 3 3" xfId="1830"/>
    <cellStyle name="Accent1 30" xfId="1831"/>
    <cellStyle name="Accent1 31" xfId="1832"/>
    <cellStyle name="Accent1 32" xfId="1833"/>
    <cellStyle name="Accent1 33" xfId="1834"/>
    <cellStyle name="Accent1 34" xfId="1835"/>
    <cellStyle name="Accent1 35" xfId="1836"/>
    <cellStyle name="Accent1 35 2" xfId="1837"/>
    <cellStyle name="Accent1 35 2 2" xfId="1838"/>
    <cellStyle name="Accent1 35 2 2 2" xfId="1839"/>
    <cellStyle name="Accent1 35 3" xfId="1840"/>
    <cellStyle name="Accent1 35 4" xfId="1841"/>
    <cellStyle name="Accent1 36" xfId="1842"/>
    <cellStyle name="Accent1 37" xfId="1843"/>
    <cellStyle name="Accent1 38" xfId="1844"/>
    <cellStyle name="Accent1 39" xfId="1845"/>
    <cellStyle name="Accent1 4" xfId="1846"/>
    <cellStyle name="Accent1 4 2" xfId="1847"/>
    <cellStyle name="Accent1 40" xfId="1848"/>
    <cellStyle name="Accent1 41" xfId="1849"/>
    <cellStyle name="Accent1 42" xfId="1850"/>
    <cellStyle name="Accent1 43" xfId="1851"/>
    <cellStyle name="Accent1 44" xfId="1852"/>
    <cellStyle name="Accent1 45" xfId="1853"/>
    <cellStyle name="Accent1 46" xfId="1854"/>
    <cellStyle name="Accent1 47" xfId="1855"/>
    <cellStyle name="Accent1 48" xfId="1856"/>
    <cellStyle name="Accent1 49" xfId="1857"/>
    <cellStyle name="Accent1 5" xfId="1858"/>
    <cellStyle name="Accent1 50" xfId="1859"/>
    <cellStyle name="Accent1 51" xfId="1860"/>
    <cellStyle name="Accent1 52" xfId="1861"/>
    <cellStyle name="Accent1 53" xfId="1862"/>
    <cellStyle name="Accent1 54" xfId="1863"/>
    <cellStyle name="Accent1 55" xfId="1864"/>
    <cellStyle name="Accent1 56" xfId="1865"/>
    <cellStyle name="Accent1 57" xfId="1866"/>
    <cellStyle name="Accent1 58" xfId="1867"/>
    <cellStyle name="Accent1 59" xfId="1868"/>
    <cellStyle name="Accent1 6" xfId="1869"/>
    <cellStyle name="Accent1 60" xfId="1870"/>
    <cellStyle name="Accent1 60 2" xfId="1871"/>
    <cellStyle name="Accent1 60 2 2" xfId="1872"/>
    <cellStyle name="Accent1 60 2 2 2" xfId="1873"/>
    <cellStyle name="Accent1 60 2 3" xfId="1874"/>
    <cellStyle name="Accent1 61" xfId="1875"/>
    <cellStyle name="Accent1 62" xfId="1876"/>
    <cellStyle name="Accent1 63" xfId="1877"/>
    <cellStyle name="Accent1 64" xfId="1878"/>
    <cellStyle name="Accent1 65" xfId="1879"/>
    <cellStyle name="Accent1 7" xfId="1880"/>
    <cellStyle name="Accent1 8" xfId="1881"/>
    <cellStyle name="Accent1 9" xfId="1882"/>
    <cellStyle name="Accent2 10" xfId="1883"/>
    <cellStyle name="Accent2 11" xfId="1884"/>
    <cellStyle name="Accent2 12" xfId="1885"/>
    <cellStyle name="Accent2 13" xfId="1886"/>
    <cellStyle name="Accent2 14" xfId="1887"/>
    <cellStyle name="Accent2 15" xfId="1888"/>
    <cellStyle name="Accent2 16" xfId="1889"/>
    <cellStyle name="Accent2 17" xfId="1890"/>
    <cellStyle name="Accent2 18" xfId="1891"/>
    <cellStyle name="Accent2 19" xfId="1892"/>
    <cellStyle name="Accent2 2" xfId="1893"/>
    <cellStyle name="Accent2 2 2" xfId="1894"/>
    <cellStyle name="Accent2 2 2 2" xfId="1895"/>
    <cellStyle name="Accent2 2 2 3" xfId="1896"/>
    <cellStyle name="Accent2 2 3" xfId="1897"/>
    <cellStyle name="Accent2 2 4" xfId="1898"/>
    <cellStyle name="Accent2 2 5" xfId="1899"/>
    <cellStyle name="Accent2 20" xfId="1900"/>
    <cellStyle name="Accent2 21" xfId="1901"/>
    <cellStyle name="Accent2 22" xfId="1902"/>
    <cellStyle name="Accent2 23" xfId="1903"/>
    <cellStyle name="Accent2 24" xfId="1904"/>
    <cellStyle name="Accent2 25" xfId="1905"/>
    <cellStyle name="Accent2 26" xfId="1906"/>
    <cellStyle name="Accent2 27" xfId="1907"/>
    <cellStyle name="Accent2 28" xfId="1908"/>
    <cellStyle name="Accent2 29" xfId="1909"/>
    <cellStyle name="Accent2 3" xfId="1910"/>
    <cellStyle name="Accent2 3 2" xfId="1911"/>
    <cellStyle name="Accent2 3 3" xfId="1912"/>
    <cellStyle name="Accent2 30" xfId="1913"/>
    <cellStyle name="Accent2 31" xfId="1914"/>
    <cellStyle name="Accent2 32" xfId="1915"/>
    <cellStyle name="Accent2 33" xfId="1916"/>
    <cellStyle name="Accent2 34" xfId="1917"/>
    <cellStyle name="Accent2 35" xfId="1918"/>
    <cellStyle name="Accent2 35 2" xfId="1919"/>
    <cellStyle name="Accent2 35 2 2" xfId="1920"/>
    <cellStyle name="Accent2 35 2 2 2" xfId="1921"/>
    <cellStyle name="Accent2 35 3" xfId="1922"/>
    <cellStyle name="Accent2 35 4" xfId="1923"/>
    <cellStyle name="Accent2 36" xfId="1924"/>
    <cellStyle name="Accent2 37" xfId="1925"/>
    <cellStyle name="Accent2 38" xfId="1926"/>
    <cellStyle name="Accent2 39" xfId="1927"/>
    <cellStyle name="Accent2 4" xfId="1928"/>
    <cellStyle name="Accent2 4 2" xfId="1929"/>
    <cellStyle name="Accent2 40" xfId="1930"/>
    <cellStyle name="Accent2 41" xfId="1931"/>
    <cellStyle name="Accent2 42" xfId="1932"/>
    <cellStyle name="Accent2 43" xfId="1933"/>
    <cellStyle name="Accent2 44" xfId="1934"/>
    <cellStyle name="Accent2 45" xfId="1935"/>
    <cellStyle name="Accent2 46" xfId="1936"/>
    <cellStyle name="Accent2 47" xfId="1937"/>
    <cellStyle name="Accent2 48" xfId="1938"/>
    <cellStyle name="Accent2 49" xfId="1939"/>
    <cellStyle name="Accent2 5" xfId="1940"/>
    <cellStyle name="Accent2 50" xfId="1941"/>
    <cellStyle name="Accent2 51" xfId="1942"/>
    <cellStyle name="Accent2 52" xfId="1943"/>
    <cellStyle name="Accent2 53" xfId="1944"/>
    <cellStyle name="Accent2 54" xfId="1945"/>
    <cellStyle name="Accent2 55" xfId="1946"/>
    <cellStyle name="Accent2 56" xfId="1947"/>
    <cellStyle name="Accent2 57" xfId="1948"/>
    <cellStyle name="Accent2 58" xfId="1949"/>
    <cellStyle name="Accent2 59" xfId="1950"/>
    <cellStyle name="Accent2 6" xfId="1951"/>
    <cellStyle name="Accent2 60" xfId="1952"/>
    <cellStyle name="Accent2 60 2" xfId="1953"/>
    <cellStyle name="Accent2 60 2 2" xfId="1954"/>
    <cellStyle name="Accent2 60 2 3" xfId="1955"/>
    <cellStyle name="Accent2 61" xfId="1956"/>
    <cellStyle name="Accent2 62" xfId="1957"/>
    <cellStyle name="Accent2 63" xfId="1958"/>
    <cellStyle name="Accent2 64" xfId="1959"/>
    <cellStyle name="Accent2 65" xfId="1960"/>
    <cellStyle name="Accent2 7" xfId="1961"/>
    <cellStyle name="Accent2 8" xfId="1962"/>
    <cellStyle name="Accent2 9" xfId="1963"/>
    <cellStyle name="Accent3 10" xfId="1964"/>
    <cellStyle name="Accent3 11" xfId="1965"/>
    <cellStyle name="Accent3 12" xfId="1966"/>
    <cellStyle name="Accent3 13" xfId="1967"/>
    <cellStyle name="Accent3 14" xfId="1968"/>
    <cellStyle name="Accent3 15" xfId="1969"/>
    <cellStyle name="Accent3 16" xfId="1970"/>
    <cellStyle name="Accent3 17" xfId="1971"/>
    <cellStyle name="Accent3 18" xfId="1972"/>
    <cellStyle name="Accent3 19" xfId="1973"/>
    <cellStyle name="Accent3 2" xfId="1974"/>
    <cellStyle name="Accent3 2 2" xfId="1975"/>
    <cellStyle name="Accent3 2 2 2" xfId="1976"/>
    <cellStyle name="Accent3 2 2 3" xfId="1977"/>
    <cellStyle name="Accent3 2 3" xfId="1978"/>
    <cellStyle name="Accent3 2 4" xfId="1979"/>
    <cellStyle name="Accent3 2 5" xfId="1980"/>
    <cellStyle name="Accent3 20" xfId="1981"/>
    <cellStyle name="Accent3 21" xfId="1982"/>
    <cellStyle name="Accent3 22" xfId="1983"/>
    <cellStyle name="Accent3 23" xfId="1984"/>
    <cellStyle name="Accent3 24" xfId="1985"/>
    <cellStyle name="Accent3 25" xfId="1986"/>
    <cellStyle name="Accent3 26" xfId="1987"/>
    <cellStyle name="Accent3 27" xfId="1988"/>
    <cellStyle name="Accent3 28" xfId="1989"/>
    <cellStyle name="Accent3 29" xfId="1990"/>
    <cellStyle name="Accent3 3" xfId="1991"/>
    <cellStyle name="Accent3 3 2" xfId="1992"/>
    <cellStyle name="Accent3 3 3" xfId="1993"/>
    <cellStyle name="Accent3 30" xfId="1994"/>
    <cellStyle name="Accent3 31" xfId="1995"/>
    <cellStyle name="Accent3 32" xfId="1996"/>
    <cellStyle name="Accent3 33" xfId="1997"/>
    <cellStyle name="Accent3 34" xfId="1998"/>
    <cellStyle name="Accent3 35" xfId="1999"/>
    <cellStyle name="Accent3 35 2" xfId="2000"/>
    <cellStyle name="Accent3 35 2 2" xfId="2001"/>
    <cellStyle name="Accent3 35 2 2 2" xfId="2002"/>
    <cellStyle name="Accent3 35 3" xfId="2003"/>
    <cellStyle name="Accent3 35 4" xfId="2004"/>
    <cellStyle name="Accent3 36" xfId="2005"/>
    <cellStyle name="Accent3 37" xfId="2006"/>
    <cellStyle name="Accent3 38" xfId="2007"/>
    <cellStyle name="Accent3 39" xfId="2008"/>
    <cellStyle name="Accent3 4" xfId="2009"/>
    <cellStyle name="Accent3 4 2" xfId="2010"/>
    <cellStyle name="Accent3 40" xfId="2011"/>
    <cellStyle name="Accent3 41" xfId="2012"/>
    <cellStyle name="Accent3 42" xfId="2013"/>
    <cellStyle name="Accent3 43" xfId="2014"/>
    <cellStyle name="Accent3 44" xfId="2015"/>
    <cellStyle name="Accent3 45" xfId="2016"/>
    <cellStyle name="Accent3 46" xfId="2017"/>
    <cellStyle name="Accent3 47" xfId="2018"/>
    <cellStyle name="Accent3 48" xfId="2019"/>
    <cellStyle name="Accent3 49" xfId="2020"/>
    <cellStyle name="Accent3 5" xfId="2021"/>
    <cellStyle name="Accent3 50" xfId="2022"/>
    <cellStyle name="Accent3 51" xfId="2023"/>
    <cellStyle name="Accent3 52" xfId="2024"/>
    <cellStyle name="Accent3 53" xfId="2025"/>
    <cellStyle name="Accent3 54" xfId="2026"/>
    <cellStyle name="Accent3 55" xfId="2027"/>
    <cellStyle name="Accent3 56" xfId="2028"/>
    <cellStyle name="Accent3 57" xfId="2029"/>
    <cellStyle name="Accent3 58" xfId="2030"/>
    <cellStyle name="Accent3 59" xfId="2031"/>
    <cellStyle name="Accent3 6" xfId="2032"/>
    <cellStyle name="Accent3 60" xfId="2033"/>
    <cellStyle name="Accent3 60 2" xfId="2034"/>
    <cellStyle name="Accent3 60 2 2" xfId="2035"/>
    <cellStyle name="Accent3 60 2 3" xfId="2036"/>
    <cellStyle name="Accent3 61" xfId="2037"/>
    <cellStyle name="Accent3 62" xfId="2038"/>
    <cellStyle name="Accent3 63" xfId="2039"/>
    <cellStyle name="Accent3 64" xfId="2040"/>
    <cellStyle name="Accent3 65" xfId="2041"/>
    <cellStyle name="Accent3 7" xfId="2042"/>
    <cellStyle name="Accent3 8" xfId="2043"/>
    <cellStyle name="Accent3 9" xfId="2044"/>
    <cellStyle name="Accent4 10" xfId="2045"/>
    <cellStyle name="Accent4 11" xfId="2046"/>
    <cellStyle name="Accent4 12" xfId="2047"/>
    <cellStyle name="Accent4 13" xfId="2048"/>
    <cellStyle name="Accent4 14" xfId="2049"/>
    <cellStyle name="Accent4 15" xfId="2050"/>
    <cellStyle name="Accent4 16" xfId="2051"/>
    <cellStyle name="Accent4 17" xfId="2052"/>
    <cellStyle name="Accent4 18" xfId="2053"/>
    <cellStyle name="Accent4 19" xfId="2054"/>
    <cellStyle name="Accent4 2" xfId="2055"/>
    <cellStyle name="Accent4 2 2" xfId="2056"/>
    <cellStyle name="Accent4 2 2 2" xfId="2057"/>
    <cellStyle name="Accent4 2 2 3" xfId="2058"/>
    <cellStyle name="Accent4 2 3" xfId="2059"/>
    <cellStyle name="Accent4 2 4" xfId="2060"/>
    <cellStyle name="Accent4 2 5" xfId="2061"/>
    <cellStyle name="Accent4 20" xfId="2062"/>
    <cellStyle name="Accent4 21" xfId="2063"/>
    <cellStyle name="Accent4 22" xfId="2064"/>
    <cellStyle name="Accent4 23" xfId="2065"/>
    <cellStyle name="Accent4 24" xfId="2066"/>
    <cellStyle name="Accent4 25" xfId="2067"/>
    <cellStyle name="Accent4 26" xfId="2068"/>
    <cellStyle name="Accent4 27" xfId="2069"/>
    <cellStyle name="Accent4 28" xfId="2070"/>
    <cellStyle name="Accent4 29" xfId="2071"/>
    <cellStyle name="Accent4 3" xfId="2072"/>
    <cellStyle name="Accent4 3 2" xfId="2073"/>
    <cellStyle name="Accent4 3 3" xfId="2074"/>
    <cellStyle name="Accent4 30" xfId="2075"/>
    <cellStyle name="Accent4 31" xfId="2076"/>
    <cellStyle name="Accent4 32" xfId="2077"/>
    <cellStyle name="Accent4 33" xfId="2078"/>
    <cellStyle name="Accent4 34" xfId="2079"/>
    <cellStyle name="Accent4 35" xfId="2080"/>
    <cellStyle name="Accent4 35 2" xfId="2081"/>
    <cellStyle name="Accent4 35 2 2" xfId="2082"/>
    <cellStyle name="Accent4 35 2 2 2" xfId="2083"/>
    <cellStyle name="Accent4 35 3" xfId="2084"/>
    <cellStyle name="Accent4 35 4" xfId="2085"/>
    <cellStyle name="Accent4 36" xfId="2086"/>
    <cellStyle name="Accent4 37" xfId="2087"/>
    <cellStyle name="Accent4 38" xfId="2088"/>
    <cellStyle name="Accent4 39" xfId="2089"/>
    <cellStyle name="Accent4 4" xfId="2090"/>
    <cellStyle name="Accent4 4 2" xfId="2091"/>
    <cellStyle name="Accent4 40" xfId="2092"/>
    <cellStyle name="Accent4 41" xfId="2093"/>
    <cellStyle name="Accent4 42" xfId="2094"/>
    <cellStyle name="Accent4 43" xfId="2095"/>
    <cellStyle name="Accent4 44" xfId="2096"/>
    <cellStyle name="Accent4 45" xfId="2097"/>
    <cellStyle name="Accent4 46" xfId="2098"/>
    <cellStyle name="Accent4 47" xfId="2099"/>
    <cellStyle name="Accent4 48" xfId="2100"/>
    <cellStyle name="Accent4 49" xfId="2101"/>
    <cellStyle name="Accent4 5" xfId="2102"/>
    <cellStyle name="Accent4 50" xfId="2103"/>
    <cellStyle name="Accent4 51" xfId="2104"/>
    <cellStyle name="Accent4 52" xfId="2105"/>
    <cellStyle name="Accent4 53" xfId="2106"/>
    <cellStyle name="Accent4 54" xfId="2107"/>
    <cellStyle name="Accent4 55" xfId="2108"/>
    <cellStyle name="Accent4 56" xfId="2109"/>
    <cellStyle name="Accent4 57" xfId="2110"/>
    <cellStyle name="Accent4 58" xfId="2111"/>
    <cellStyle name="Accent4 59" xfId="2112"/>
    <cellStyle name="Accent4 6" xfId="2113"/>
    <cellStyle name="Accent4 60" xfId="2114"/>
    <cellStyle name="Accent4 60 2" xfId="2115"/>
    <cellStyle name="Accent4 60 2 2" xfId="2116"/>
    <cellStyle name="Accent4 60 2 2 2" xfId="2117"/>
    <cellStyle name="Accent4 60 2 3" xfId="2118"/>
    <cellStyle name="Accent4 61" xfId="2119"/>
    <cellStyle name="Accent4 62" xfId="2120"/>
    <cellStyle name="Accent4 63" xfId="2121"/>
    <cellStyle name="Accent4 64" xfId="2122"/>
    <cellStyle name="Accent4 65" xfId="2123"/>
    <cellStyle name="Accent4 7" xfId="2124"/>
    <cellStyle name="Accent4 8" xfId="2125"/>
    <cellStyle name="Accent4 9" xfId="2126"/>
    <cellStyle name="Accent5 10" xfId="2127"/>
    <cellStyle name="Accent5 11" xfId="2128"/>
    <cellStyle name="Accent5 12" xfId="2129"/>
    <cellStyle name="Accent5 13" xfId="2130"/>
    <cellStyle name="Accent5 14" xfId="2131"/>
    <cellStyle name="Accent5 15" xfId="2132"/>
    <cellStyle name="Accent5 16" xfId="2133"/>
    <cellStyle name="Accent5 17" xfId="2134"/>
    <cellStyle name="Accent5 18" xfId="2135"/>
    <cellStyle name="Accent5 19" xfId="2136"/>
    <cellStyle name="Accent5 2" xfId="2137"/>
    <cellStyle name="Accent5 2 2" xfId="2138"/>
    <cellStyle name="Accent5 2 2 2" xfId="2139"/>
    <cellStyle name="Accent5 2 2 3" xfId="2140"/>
    <cellStyle name="Accent5 2 3" xfId="2141"/>
    <cellStyle name="Accent5 2 4" xfId="2142"/>
    <cellStyle name="Accent5 2 5" xfId="2143"/>
    <cellStyle name="Accent5 20" xfId="2144"/>
    <cellStyle name="Accent5 21" xfId="2145"/>
    <cellStyle name="Accent5 22" xfId="2146"/>
    <cellStyle name="Accent5 23" xfId="2147"/>
    <cellStyle name="Accent5 24" xfId="2148"/>
    <cellStyle name="Accent5 25" xfId="2149"/>
    <cellStyle name="Accent5 26" xfId="2150"/>
    <cellStyle name="Accent5 27" xfId="2151"/>
    <cellStyle name="Accent5 28" xfId="2152"/>
    <cellStyle name="Accent5 29" xfId="2153"/>
    <cellStyle name="Accent5 3" xfId="2154"/>
    <cellStyle name="Accent5 3 2" xfId="2155"/>
    <cellStyle name="Accent5 30" xfId="2156"/>
    <cellStyle name="Accent5 31" xfId="2157"/>
    <cellStyle name="Accent5 32" xfId="2158"/>
    <cellStyle name="Accent5 33" xfId="2159"/>
    <cellStyle name="Accent5 34" xfId="2160"/>
    <cellStyle name="Accent5 35" xfId="2161"/>
    <cellStyle name="Accent5 35 2" xfId="2162"/>
    <cellStyle name="Accent5 35 2 2" xfId="2163"/>
    <cellStyle name="Accent5 35 2 2 2" xfId="2164"/>
    <cellStyle name="Accent5 35 3" xfId="2165"/>
    <cellStyle name="Accent5 35 4" xfId="2166"/>
    <cellStyle name="Accent5 36" xfId="2167"/>
    <cellStyle name="Accent5 37" xfId="2168"/>
    <cellStyle name="Accent5 38" xfId="2169"/>
    <cellStyle name="Accent5 39" xfId="2170"/>
    <cellStyle name="Accent5 4" xfId="2171"/>
    <cellStyle name="Accent5 4 2" xfId="2172"/>
    <cellStyle name="Accent5 40" xfId="2173"/>
    <cellStyle name="Accent5 41" xfId="2174"/>
    <cellStyle name="Accent5 42" xfId="2175"/>
    <cellStyle name="Accent5 43" xfId="2176"/>
    <cellStyle name="Accent5 44" xfId="2177"/>
    <cellStyle name="Accent5 45" xfId="2178"/>
    <cellStyle name="Accent5 46" xfId="2179"/>
    <cellStyle name="Accent5 47" xfId="2180"/>
    <cellStyle name="Accent5 48" xfId="2181"/>
    <cellStyle name="Accent5 49" xfId="2182"/>
    <cellStyle name="Accent5 5" xfId="2183"/>
    <cellStyle name="Accent5 50" xfId="2184"/>
    <cellStyle name="Accent5 51" xfId="2185"/>
    <cellStyle name="Accent5 52" xfId="2186"/>
    <cellStyle name="Accent5 53" xfId="2187"/>
    <cellStyle name="Accent5 54" xfId="2188"/>
    <cellStyle name="Accent5 55" xfId="2189"/>
    <cellStyle name="Accent5 56" xfId="2190"/>
    <cellStyle name="Accent5 57" xfId="2191"/>
    <cellStyle name="Accent5 58" xfId="2192"/>
    <cellStyle name="Accent5 59" xfId="2193"/>
    <cellStyle name="Accent5 6" xfId="2194"/>
    <cellStyle name="Accent5 60" xfId="2195"/>
    <cellStyle name="Accent5 60 2" xfId="2196"/>
    <cellStyle name="Accent5 60 2 2" xfId="2197"/>
    <cellStyle name="Accent5 60 2 3" xfId="2198"/>
    <cellStyle name="Accent5 61" xfId="2199"/>
    <cellStyle name="Accent5 62" xfId="2200"/>
    <cellStyle name="Accent5 63" xfId="2201"/>
    <cellStyle name="Accent5 64" xfId="2202"/>
    <cellStyle name="Accent5 65" xfId="2203"/>
    <cellStyle name="Accent5 7" xfId="2204"/>
    <cellStyle name="Accent5 8" xfId="2205"/>
    <cellStyle name="Accent5 9" xfId="2206"/>
    <cellStyle name="Accent6 10" xfId="2207"/>
    <cellStyle name="Accent6 11" xfId="2208"/>
    <cellStyle name="Accent6 12" xfId="2209"/>
    <cellStyle name="Accent6 13" xfId="2210"/>
    <cellStyle name="Accent6 14" xfId="2211"/>
    <cellStyle name="Accent6 15" xfId="2212"/>
    <cellStyle name="Accent6 16" xfId="2213"/>
    <cellStyle name="Accent6 17" xfId="2214"/>
    <cellStyle name="Accent6 18" xfId="2215"/>
    <cellStyle name="Accent6 19" xfId="2216"/>
    <cellStyle name="Accent6 2" xfId="2217"/>
    <cellStyle name="Accent6 2 2" xfId="2218"/>
    <cellStyle name="Accent6 2 2 2" xfId="2219"/>
    <cellStyle name="Accent6 2 2 3" xfId="2220"/>
    <cellStyle name="Accent6 2 3" xfId="2221"/>
    <cellStyle name="Accent6 2 4" xfId="2222"/>
    <cellStyle name="Accent6 2 5" xfId="2223"/>
    <cellStyle name="Accent6 20" xfId="2224"/>
    <cellStyle name="Accent6 21" xfId="2225"/>
    <cellStyle name="Accent6 22" xfId="2226"/>
    <cellStyle name="Accent6 23" xfId="2227"/>
    <cellStyle name="Accent6 24" xfId="2228"/>
    <cellStyle name="Accent6 25" xfId="2229"/>
    <cellStyle name="Accent6 26" xfId="2230"/>
    <cellStyle name="Accent6 27" xfId="2231"/>
    <cellStyle name="Accent6 28" xfId="2232"/>
    <cellStyle name="Accent6 29" xfId="2233"/>
    <cellStyle name="Accent6 3" xfId="2234"/>
    <cellStyle name="Accent6 3 2" xfId="2235"/>
    <cellStyle name="Accent6 3 3" xfId="2236"/>
    <cellStyle name="Accent6 30" xfId="2237"/>
    <cellStyle name="Accent6 31" xfId="2238"/>
    <cellStyle name="Accent6 32" xfId="2239"/>
    <cellStyle name="Accent6 33" xfId="2240"/>
    <cellStyle name="Accent6 34" xfId="2241"/>
    <cellStyle name="Accent6 35" xfId="2242"/>
    <cellStyle name="Accent6 35 2" xfId="2243"/>
    <cellStyle name="Accent6 35 2 2" xfId="2244"/>
    <cellStyle name="Accent6 35 2 2 2" xfId="2245"/>
    <cellStyle name="Accent6 35 3" xfId="2246"/>
    <cellStyle name="Accent6 35 4" xfId="2247"/>
    <cellStyle name="Accent6 36" xfId="2248"/>
    <cellStyle name="Accent6 37" xfId="2249"/>
    <cellStyle name="Accent6 38" xfId="2250"/>
    <cellStyle name="Accent6 39" xfId="2251"/>
    <cellStyle name="Accent6 4" xfId="2252"/>
    <cellStyle name="Accent6 4 2" xfId="2253"/>
    <cellStyle name="Accent6 40" xfId="2254"/>
    <cellStyle name="Accent6 41" xfId="2255"/>
    <cellStyle name="Accent6 42" xfId="2256"/>
    <cellStyle name="Accent6 43" xfId="2257"/>
    <cellStyle name="Accent6 44" xfId="2258"/>
    <cellStyle name="Accent6 45" xfId="2259"/>
    <cellStyle name="Accent6 46" xfId="2260"/>
    <cellStyle name="Accent6 47" xfId="2261"/>
    <cellStyle name="Accent6 48" xfId="2262"/>
    <cellStyle name="Accent6 49" xfId="2263"/>
    <cellStyle name="Accent6 5" xfId="2264"/>
    <cellStyle name="Accent6 50" xfId="2265"/>
    <cellStyle name="Accent6 51" xfId="2266"/>
    <cellStyle name="Accent6 52" xfId="2267"/>
    <cellStyle name="Accent6 53" xfId="2268"/>
    <cellStyle name="Accent6 54" xfId="2269"/>
    <cellStyle name="Accent6 55" xfId="2270"/>
    <cellStyle name="Accent6 56" xfId="2271"/>
    <cellStyle name="Accent6 57" xfId="2272"/>
    <cellStyle name="Accent6 58" xfId="2273"/>
    <cellStyle name="Accent6 59" xfId="2274"/>
    <cellStyle name="Accent6 6" xfId="2275"/>
    <cellStyle name="Accent6 60" xfId="2276"/>
    <cellStyle name="Accent6 60 2" xfId="2277"/>
    <cellStyle name="Accent6 60 2 2" xfId="2278"/>
    <cellStyle name="Accent6 60 2 3" xfId="2279"/>
    <cellStyle name="Accent6 61" xfId="2280"/>
    <cellStyle name="Accent6 62" xfId="2281"/>
    <cellStyle name="Accent6 63" xfId="2282"/>
    <cellStyle name="Accent6 64" xfId="2283"/>
    <cellStyle name="Accent6 65" xfId="2284"/>
    <cellStyle name="Accent6 7" xfId="2285"/>
    <cellStyle name="Accent6 8" xfId="2286"/>
    <cellStyle name="Accent6 9" xfId="2287"/>
    <cellStyle name="Actual Date" xfId="2288"/>
    <cellStyle name="Adjustable" xfId="2289"/>
    <cellStyle name="AFE" xfId="2290"/>
    <cellStyle name="AggblueCels_1x" xfId="2291"/>
    <cellStyle name="Alternate Rows" xfId="2292"/>
    <cellStyle name="Alternate Yellow" xfId="2293"/>
    <cellStyle name="Alternate Yellow 2" xfId="2294"/>
    <cellStyle name="Alternate Yellow 3" xfId="2295"/>
    <cellStyle name="Alternate Yellow 4" xfId="2296"/>
    <cellStyle name="Alternate Yellow 5" xfId="2297"/>
    <cellStyle name="ANCLAS,REZONES Y SUS PARTES,DE FUNDICION,DE HIERRO O DE ACERO" xfId="2298"/>
    <cellStyle name="ANCLAS,REZONES Y SUS PARTES,DE FUNDICION,DE HIERRO O DE ACERO 2" xfId="2299"/>
    <cellStyle name="ANCLAS,REZONES Y SUS PARTES,DE FUNDICION,DE HIERRO O DE ACERO 3" xfId="2300"/>
    <cellStyle name="ANCLAS,REZONES Y SUS PARTES,DE FUNDICION,DE HIERRO O DE ACERO_Ch4 v2" xfId="2301"/>
    <cellStyle name="annee semestre" xfId="2302"/>
    <cellStyle name="Array" xfId="2303"/>
    <cellStyle name="Assumption" xfId="2304"/>
    <cellStyle name="Assumption Heading." xfId="2305"/>
    <cellStyle name="AutoFormat-Optionen" xfId="2306"/>
    <cellStyle name="AutoFormat-Optionen 10" xfId="2307"/>
    <cellStyle name="AutoFormat-Optionen 2" xfId="2308"/>
    <cellStyle name="AutoFormat-Optionen 2 2" xfId="2309"/>
    <cellStyle name="AutoFormat-Optionen 2 2 2" xfId="2310"/>
    <cellStyle name="AutoFormat-Optionen 3" xfId="2311"/>
    <cellStyle name="AutoFormat-Optionen 4" xfId="2312"/>
    <cellStyle name="AutoFormat-Optionen 5" xfId="2313"/>
    <cellStyle name="AutoFormat-Optionen 6" xfId="2314"/>
    <cellStyle name="AutoFormat-Optionen 7" xfId="2315"/>
    <cellStyle name="AutoFormat-Optionen 8" xfId="2316"/>
    <cellStyle name="AutoFormat-Optionen 9" xfId="2317"/>
    <cellStyle name="AutoFormat-Optionen_Results &amp; Sensitivities" xfId="2318"/>
    <cellStyle name="AxeHor" xfId="2319"/>
    <cellStyle name="Bad 10" xfId="2320"/>
    <cellStyle name="Bad 11" xfId="2321"/>
    <cellStyle name="Bad 12" xfId="2322"/>
    <cellStyle name="Bad 13" xfId="2323"/>
    <cellStyle name="Bad 14" xfId="2324"/>
    <cellStyle name="Bad 15" xfId="2325"/>
    <cellStyle name="Bad 16" xfId="2326"/>
    <cellStyle name="Bad 17" xfId="2327"/>
    <cellStyle name="Bad 18" xfId="2328"/>
    <cellStyle name="Bad 19" xfId="2329"/>
    <cellStyle name="Bad 2" xfId="2330"/>
    <cellStyle name="Bad 2 2" xfId="2331"/>
    <cellStyle name="Bad 2 2 2" xfId="2332"/>
    <cellStyle name="Bad 2 2 3" xfId="2333"/>
    <cellStyle name="Bad 2 3" xfId="2334"/>
    <cellStyle name="Bad 2 4" xfId="2335"/>
    <cellStyle name="Bad 2 5" xfId="2336"/>
    <cellStyle name="Bad 20" xfId="2337"/>
    <cellStyle name="Bad 21" xfId="2338"/>
    <cellStyle name="Bad 22" xfId="2339"/>
    <cellStyle name="Bad 23" xfId="2340"/>
    <cellStyle name="Bad 24" xfId="2341"/>
    <cellStyle name="Bad 25" xfId="2342"/>
    <cellStyle name="Bad 26" xfId="2343"/>
    <cellStyle name="Bad 27" xfId="2344"/>
    <cellStyle name="Bad 28" xfId="2345"/>
    <cellStyle name="Bad 29" xfId="2346"/>
    <cellStyle name="Bad 3" xfId="2347"/>
    <cellStyle name="Bad 3 2" xfId="2348"/>
    <cellStyle name="Bad 3 3" xfId="2349"/>
    <cellStyle name="Bad 30" xfId="2350"/>
    <cellStyle name="Bad 31" xfId="2351"/>
    <cellStyle name="Bad 32" xfId="2352"/>
    <cellStyle name="Bad 33" xfId="2353"/>
    <cellStyle name="Bad 34" xfId="2354"/>
    <cellStyle name="Bad 35" xfId="2355"/>
    <cellStyle name="Bad 35 2" xfId="2356"/>
    <cellStyle name="Bad 35 2 2" xfId="2357"/>
    <cellStyle name="Bad 35 2 2 2" xfId="2358"/>
    <cellStyle name="Bad 35 3" xfId="2359"/>
    <cellStyle name="Bad 35 4" xfId="2360"/>
    <cellStyle name="Bad 36" xfId="2361"/>
    <cellStyle name="Bad 37" xfId="2362"/>
    <cellStyle name="Bad 38" xfId="2363"/>
    <cellStyle name="Bad 39" xfId="2364"/>
    <cellStyle name="Bad 4" xfId="2365"/>
    <cellStyle name="Bad 40" xfId="2366"/>
    <cellStyle name="Bad 41" xfId="2367"/>
    <cellStyle name="Bad 42" xfId="2368"/>
    <cellStyle name="Bad 43" xfId="2369"/>
    <cellStyle name="Bad 44" xfId="2370"/>
    <cellStyle name="Bad 45" xfId="2371"/>
    <cellStyle name="Bad 46" xfId="2372"/>
    <cellStyle name="Bad 47" xfId="2373"/>
    <cellStyle name="Bad 48" xfId="2374"/>
    <cellStyle name="Bad 49" xfId="2375"/>
    <cellStyle name="Bad 5" xfId="2376"/>
    <cellStyle name="Bad 50" xfId="2377"/>
    <cellStyle name="Bad 51" xfId="2378"/>
    <cellStyle name="Bad 52" xfId="2379"/>
    <cellStyle name="Bad 53" xfId="2380"/>
    <cellStyle name="Bad 54" xfId="2381"/>
    <cellStyle name="Bad 55" xfId="2382"/>
    <cellStyle name="Bad 56" xfId="2383"/>
    <cellStyle name="Bad 57" xfId="2384"/>
    <cellStyle name="Bad 58" xfId="2385"/>
    <cellStyle name="Bad 59" xfId="2386"/>
    <cellStyle name="Bad 6" xfId="2387"/>
    <cellStyle name="Bad 60" xfId="2388"/>
    <cellStyle name="Bad 60 2" xfId="2389"/>
    <cellStyle name="Bad 60 2 2" xfId="2390"/>
    <cellStyle name="Bad 60 2 2 2" xfId="2391"/>
    <cellStyle name="Bad 60 2 3" xfId="2392"/>
    <cellStyle name="Bad 61" xfId="2393"/>
    <cellStyle name="Bad 62" xfId="2394"/>
    <cellStyle name="Bad 63" xfId="2395"/>
    <cellStyle name="Bad 64" xfId="2396"/>
    <cellStyle name="Bad 65" xfId="2397"/>
    <cellStyle name="Bad 7" xfId="2398"/>
    <cellStyle name="Bad 8" xfId="2399"/>
    <cellStyle name="Bad 9" xfId="2400"/>
    <cellStyle name="Best" xfId="2401"/>
    <cellStyle name="Besuchter Hyperlink" xfId="2402"/>
    <cellStyle name="Bid £m format" xfId="2403"/>
    <cellStyle name="Bid £m format 2" xfId="2404"/>
    <cellStyle name="Blank" xfId="2405"/>
    <cellStyle name="blue" xfId="2406"/>
    <cellStyle name="Bold GHG Numbers (0.00)" xfId="2407"/>
    <cellStyle name="Bold GHG Numbers (0.00) 2" xfId="2408"/>
    <cellStyle name="Border" xfId="2409"/>
    <cellStyle name="Brand Align Left Text" xfId="2410"/>
    <cellStyle name="Brand Default" xfId="2411"/>
    <cellStyle name="Brand Percent" xfId="2412"/>
    <cellStyle name="Brand Source" xfId="2413"/>
    <cellStyle name="Brand Subtitle with Underline" xfId="2414"/>
    <cellStyle name="Brand Subtitle without Underline" xfId="2415"/>
    <cellStyle name="Brand Title" xfId="2416"/>
    <cellStyle name="CALC Amount" xfId="2417"/>
    <cellStyle name="CALC Amount [1]" xfId="2418"/>
    <cellStyle name="CALC Amount [1] 2" xfId="2419"/>
    <cellStyle name="CALC Amount [1] 3" xfId="2420"/>
    <cellStyle name="CALC Amount [1] 4" xfId="2421"/>
    <cellStyle name="CALC Amount [1] 5" xfId="2422"/>
    <cellStyle name="CALC Amount [1] 6" xfId="2423"/>
    <cellStyle name="CALC Amount [1] 7" xfId="2424"/>
    <cellStyle name="CALC Amount [1] 8" xfId="2425"/>
    <cellStyle name="CALC Amount [2]" xfId="2426"/>
    <cellStyle name="CALC Amount [2] 2" xfId="2427"/>
    <cellStyle name="CALC Amount [2] 3" xfId="2428"/>
    <cellStyle name="CALC Amount [2] 4" xfId="2429"/>
    <cellStyle name="CALC Amount [2] 5" xfId="2430"/>
    <cellStyle name="CALC Amount [2] 6" xfId="2431"/>
    <cellStyle name="CALC Amount [2] 7" xfId="2432"/>
    <cellStyle name="CALC Amount [2] 8" xfId="2433"/>
    <cellStyle name="CALC Amount 2" xfId="2434"/>
    <cellStyle name="CALC Amount 3" xfId="2435"/>
    <cellStyle name="CALC Amount 4" xfId="2436"/>
    <cellStyle name="CALC Amount 5" xfId="2437"/>
    <cellStyle name="CALC Amount 6" xfId="2438"/>
    <cellStyle name="CALC Amount 7" xfId="2439"/>
    <cellStyle name="CALC Amount 8" xfId="2440"/>
    <cellStyle name="CALC Amount Total" xfId="2441"/>
    <cellStyle name="CALC Amount Total [1]" xfId="2442"/>
    <cellStyle name="CALC Amount Total [1] 10" xfId="2443"/>
    <cellStyle name="CALC Amount Total [1] 11" xfId="2444"/>
    <cellStyle name="CALC Amount Total [1] 2" xfId="2445"/>
    <cellStyle name="CALC Amount Total [1] 3" xfId="2446"/>
    <cellStyle name="CALC Amount Total [1] 4" xfId="2447"/>
    <cellStyle name="CALC Amount Total [1] 5" xfId="2448"/>
    <cellStyle name="CALC Amount Total [1] 6" xfId="2449"/>
    <cellStyle name="CALC Amount Total [1] 7" xfId="2450"/>
    <cellStyle name="CALC Amount Total [1] 8" xfId="2451"/>
    <cellStyle name="CALC Amount Total [1] 9" xfId="2452"/>
    <cellStyle name="CALC Amount Total [2]" xfId="2453"/>
    <cellStyle name="CALC Amount Total [2] 10" xfId="2454"/>
    <cellStyle name="CALC Amount Total [2] 11" xfId="2455"/>
    <cellStyle name="CALC Amount Total [2] 2" xfId="2456"/>
    <cellStyle name="CALC Amount Total [2] 3" xfId="2457"/>
    <cellStyle name="CALC Amount Total [2] 4" xfId="2458"/>
    <cellStyle name="CALC Amount Total [2] 5" xfId="2459"/>
    <cellStyle name="CALC Amount Total [2] 6" xfId="2460"/>
    <cellStyle name="CALC Amount Total [2] 7" xfId="2461"/>
    <cellStyle name="CALC Amount Total [2] 8" xfId="2462"/>
    <cellStyle name="CALC Amount Total [2] 9" xfId="2463"/>
    <cellStyle name="CALC Amount Total 10" xfId="2464"/>
    <cellStyle name="CALC Amount Total 11" xfId="2465"/>
    <cellStyle name="CALC Amount Total 12" xfId="2466"/>
    <cellStyle name="CALC Amount Total 13" xfId="2467"/>
    <cellStyle name="CALC Amount Total 2" xfId="2468"/>
    <cellStyle name="CALC Amount Total 3" xfId="2469"/>
    <cellStyle name="CALC Amount Total 4" xfId="2470"/>
    <cellStyle name="CALC Amount Total 5" xfId="2471"/>
    <cellStyle name="CALC Amount Total 6" xfId="2472"/>
    <cellStyle name="CALC Amount Total 7" xfId="2473"/>
    <cellStyle name="CALC Amount Total 8" xfId="2474"/>
    <cellStyle name="CALC Amount Total 9" xfId="2475"/>
    <cellStyle name="CALC Amount Total_Sheet1" xfId="2476"/>
    <cellStyle name="CALC Currency" xfId="2477"/>
    <cellStyle name="CALC Currency [1]" xfId="2478"/>
    <cellStyle name="CALC Currency [1] 2" xfId="2479"/>
    <cellStyle name="CALC Currency [1] 3" xfId="2480"/>
    <cellStyle name="CALC Currency [1] 4" xfId="2481"/>
    <cellStyle name="CALC Currency [1] 5" xfId="2482"/>
    <cellStyle name="CALC Currency [1] 6" xfId="2483"/>
    <cellStyle name="CALC Currency [1] 7" xfId="2484"/>
    <cellStyle name="CALC Currency [1] 8" xfId="2485"/>
    <cellStyle name="CALC Currency [2]" xfId="2486"/>
    <cellStyle name="CALC Currency [2] 2" xfId="2487"/>
    <cellStyle name="CALC Currency [2] 3" xfId="2488"/>
    <cellStyle name="CALC Currency [2] 4" xfId="2489"/>
    <cellStyle name="CALC Currency [2] 5" xfId="2490"/>
    <cellStyle name="CALC Currency [2] 6" xfId="2491"/>
    <cellStyle name="CALC Currency [2] 7" xfId="2492"/>
    <cellStyle name="CALC Currency [2] 8" xfId="2493"/>
    <cellStyle name="CALC Currency 2" xfId="2494"/>
    <cellStyle name="CALC Currency 3" xfId="2495"/>
    <cellStyle name="CALC Currency 4" xfId="2496"/>
    <cellStyle name="CALC Currency 5" xfId="2497"/>
    <cellStyle name="CALC Currency 6" xfId="2498"/>
    <cellStyle name="CALC Currency 7" xfId="2499"/>
    <cellStyle name="CALC Currency 8" xfId="2500"/>
    <cellStyle name="CALC Currency Total" xfId="2501"/>
    <cellStyle name="CALC Currency Total [1]" xfId="2502"/>
    <cellStyle name="CALC Currency Total [1] 10" xfId="2503"/>
    <cellStyle name="CALC Currency Total [1] 11" xfId="2504"/>
    <cellStyle name="CALC Currency Total [1] 2" xfId="2505"/>
    <cellStyle name="CALC Currency Total [1] 3" xfId="2506"/>
    <cellStyle name="CALC Currency Total [1] 4" xfId="2507"/>
    <cellStyle name="CALC Currency Total [1] 5" xfId="2508"/>
    <cellStyle name="CALC Currency Total [1] 6" xfId="2509"/>
    <cellStyle name="CALC Currency Total [1] 7" xfId="2510"/>
    <cellStyle name="CALC Currency Total [1] 8" xfId="2511"/>
    <cellStyle name="CALC Currency Total [1] 9" xfId="2512"/>
    <cellStyle name="CALC Currency Total [2]" xfId="2513"/>
    <cellStyle name="CALC Currency Total [2] 10" xfId="2514"/>
    <cellStyle name="CALC Currency Total [2] 11" xfId="2515"/>
    <cellStyle name="CALC Currency Total [2] 2" xfId="2516"/>
    <cellStyle name="CALC Currency Total [2] 3" xfId="2517"/>
    <cellStyle name="CALC Currency Total [2] 4" xfId="2518"/>
    <cellStyle name="CALC Currency Total [2] 5" xfId="2519"/>
    <cellStyle name="CALC Currency Total [2] 6" xfId="2520"/>
    <cellStyle name="CALC Currency Total [2] 7" xfId="2521"/>
    <cellStyle name="CALC Currency Total [2] 8" xfId="2522"/>
    <cellStyle name="CALC Currency Total [2] 9" xfId="2523"/>
    <cellStyle name="CALC Currency Total 10" xfId="2524"/>
    <cellStyle name="CALC Currency Total 11" xfId="2525"/>
    <cellStyle name="CALC Currency Total 12" xfId="2526"/>
    <cellStyle name="CALC Currency Total 13" xfId="2527"/>
    <cellStyle name="CALC Currency Total 2" xfId="2528"/>
    <cellStyle name="CALC Currency Total 3" xfId="2529"/>
    <cellStyle name="CALC Currency Total 4" xfId="2530"/>
    <cellStyle name="CALC Currency Total 5" xfId="2531"/>
    <cellStyle name="CALC Currency Total 6" xfId="2532"/>
    <cellStyle name="CALC Currency Total 7" xfId="2533"/>
    <cellStyle name="CALC Currency Total 8" xfId="2534"/>
    <cellStyle name="CALC Currency Total 9" xfId="2535"/>
    <cellStyle name="CALC Currency Total_Sheet1" xfId="2536"/>
    <cellStyle name="CALC Date Long" xfId="2537"/>
    <cellStyle name="CALC Date Long 2" xfId="2538"/>
    <cellStyle name="CALC Date Long 3" xfId="2539"/>
    <cellStyle name="CALC Date Long 4" xfId="2540"/>
    <cellStyle name="CALC Date Long 5" xfId="2541"/>
    <cellStyle name="CALC Date Long 6" xfId="2542"/>
    <cellStyle name="CALC Date Long 7" xfId="2543"/>
    <cellStyle name="CALC Date Long 8" xfId="2544"/>
    <cellStyle name="CALC Date Short" xfId="2545"/>
    <cellStyle name="CALC Date Short 2" xfId="2546"/>
    <cellStyle name="CALC Date Short 3" xfId="2547"/>
    <cellStyle name="CALC Date Short 4" xfId="2548"/>
    <cellStyle name="CALC Date Short 5" xfId="2549"/>
    <cellStyle name="CALC Date Short 6" xfId="2550"/>
    <cellStyle name="CALC Date Short 7" xfId="2551"/>
    <cellStyle name="CALC Date Short 8" xfId="2552"/>
    <cellStyle name="CALC Percent" xfId="2553"/>
    <cellStyle name="CALC Percent [1]" xfId="2554"/>
    <cellStyle name="CALC Percent [1] 2" xfId="2555"/>
    <cellStyle name="CALC Percent [1] 3" xfId="2556"/>
    <cellStyle name="CALC Percent [1] 4" xfId="2557"/>
    <cellStyle name="CALC Percent [1] 5" xfId="2558"/>
    <cellStyle name="CALC Percent [1] 6" xfId="2559"/>
    <cellStyle name="CALC Percent [1] 7" xfId="2560"/>
    <cellStyle name="CALC Percent [1] 8" xfId="2561"/>
    <cellStyle name="CALC Percent [2]" xfId="2562"/>
    <cellStyle name="CALC Percent [2] 2" xfId="2563"/>
    <cellStyle name="CALC Percent [2] 3" xfId="2564"/>
    <cellStyle name="CALC Percent [2] 4" xfId="2565"/>
    <cellStyle name="CALC Percent [2] 5" xfId="2566"/>
    <cellStyle name="CALC Percent [2] 6" xfId="2567"/>
    <cellStyle name="CALC Percent [2] 7" xfId="2568"/>
    <cellStyle name="CALC Percent [2] 8" xfId="2569"/>
    <cellStyle name="CALC Percent 2" xfId="2570"/>
    <cellStyle name="CALC Percent 3" xfId="2571"/>
    <cellStyle name="CALC Percent 4" xfId="2572"/>
    <cellStyle name="CALC Percent 5" xfId="2573"/>
    <cellStyle name="CALC Percent 6" xfId="2574"/>
    <cellStyle name="CALC Percent 7" xfId="2575"/>
    <cellStyle name="CALC Percent 8" xfId="2576"/>
    <cellStyle name="CALC Percent Total" xfId="2577"/>
    <cellStyle name="CALC Percent Total [1]" xfId="2578"/>
    <cellStyle name="CALC Percent Total [1] 10" xfId="2579"/>
    <cellStyle name="CALC Percent Total [1] 11" xfId="2580"/>
    <cellStyle name="CALC Percent Total [1] 2" xfId="2581"/>
    <cellStyle name="CALC Percent Total [1] 3" xfId="2582"/>
    <cellStyle name="CALC Percent Total [1] 4" xfId="2583"/>
    <cellStyle name="CALC Percent Total [1] 5" xfId="2584"/>
    <cellStyle name="CALC Percent Total [1] 6" xfId="2585"/>
    <cellStyle name="CALC Percent Total [1] 7" xfId="2586"/>
    <cellStyle name="CALC Percent Total [1] 8" xfId="2587"/>
    <cellStyle name="CALC Percent Total [1] 9" xfId="2588"/>
    <cellStyle name="CALC Percent Total [2]" xfId="2589"/>
    <cellStyle name="CALC Percent Total [2] 10" xfId="2590"/>
    <cellStyle name="CALC Percent Total [2] 11" xfId="2591"/>
    <cellStyle name="CALC Percent Total [2] 2" xfId="2592"/>
    <cellStyle name="CALC Percent Total [2] 3" xfId="2593"/>
    <cellStyle name="CALC Percent Total [2] 4" xfId="2594"/>
    <cellStyle name="CALC Percent Total [2] 5" xfId="2595"/>
    <cellStyle name="CALC Percent Total [2] 6" xfId="2596"/>
    <cellStyle name="CALC Percent Total [2] 7" xfId="2597"/>
    <cellStyle name="CALC Percent Total [2] 8" xfId="2598"/>
    <cellStyle name="CALC Percent Total [2] 9" xfId="2599"/>
    <cellStyle name="CALC Percent Total 10" xfId="2600"/>
    <cellStyle name="CALC Percent Total 11" xfId="2601"/>
    <cellStyle name="CALC Percent Total 12" xfId="2602"/>
    <cellStyle name="CALC Percent Total 13" xfId="2603"/>
    <cellStyle name="CALC Percent Total 2" xfId="2604"/>
    <cellStyle name="CALC Percent Total 3" xfId="2605"/>
    <cellStyle name="CALC Percent Total 4" xfId="2606"/>
    <cellStyle name="CALC Percent Total 5" xfId="2607"/>
    <cellStyle name="CALC Percent Total 6" xfId="2608"/>
    <cellStyle name="CALC Percent Total 7" xfId="2609"/>
    <cellStyle name="CALC Percent Total 8" xfId="2610"/>
    <cellStyle name="CALC Percent Total 9" xfId="2611"/>
    <cellStyle name="CALC Percent Total_Sheet1" xfId="2612"/>
    <cellStyle name="Calcolo" xfId="2613"/>
    <cellStyle name="Calcolo 2" xfId="2614"/>
    <cellStyle name="Calcolo 3" xfId="2615"/>
    <cellStyle name="Calcolo 4" xfId="2616"/>
    <cellStyle name="Calculation 1" xfId="2617"/>
    <cellStyle name="Calculation 10" xfId="2618"/>
    <cellStyle name="Calculation 11" xfId="2619"/>
    <cellStyle name="Calculation 12" xfId="2620"/>
    <cellStyle name="Calculation 13" xfId="2621"/>
    <cellStyle name="Calculation 14" xfId="2622"/>
    <cellStyle name="Calculation 15" xfId="2623"/>
    <cellStyle name="Calculation 16" xfId="2624"/>
    <cellStyle name="Calculation 17" xfId="2625"/>
    <cellStyle name="Calculation 18" xfId="2626"/>
    <cellStyle name="Calculation 19" xfId="2627"/>
    <cellStyle name="Calculation 2" xfId="2628"/>
    <cellStyle name="Calculation 2 10" xfId="2629"/>
    <cellStyle name="Calculation 2 11" xfId="2630"/>
    <cellStyle name="Calculation 2 12" xfId="2631"/>
    <cellStyle name="Calculation 2 13" xfId="2632"/>
    <cellStyle name="Calculation 2 2" xfId="2633"/>
    <cellStyle name="Calculation 2 2 2" xfId="2634"/>
    <cellStyle name="Calculation 2 2 2 2" xfId="2635"/>
    <cellStyle name="Calculation 2 2 2 2 2" xfId="2636"/>
    <cellStyle name="Calculation 2 2 2 2 3" xfId="2637"/>
    <cellStyle name="Calculation 2 2 2 2 4" xfId="2638"/>
    <cellStyle name="Calculation 2 2 2 3" xfId="2639"/>
    <cellStyle name="Calculation 2 2 2 3 2" xfId="2640"/>
    <cellStyle name="Calculation 2 2 2 3 3" xfId="2641"/>
    <cellStyle name="Calculation 2 2 2 3 4" xfId="2642"/>
    <cellStyle name="Calculation 2 2 2 4" xfId="2643"/>
    <cellStyle name="Calculation 2 2 2 5" xfId="2644"/>
    <cellStyle name="Calculation 2 2 2 6" xfId="2645"/>
    <cellStyle name="Calculation 2 2 3" xfId="2646"/>
    <cellStyle name="Calculation 2 2 4" xfId="2647"/>
    <cellStyle name="Calculation 2 2 5" xfId="2648"/>
    <cellStyle name="Calculation 2 2 6" xfId="2649"/>
    <cellStyle name="Calculation 2 2 7" xfId="2650"/>
    <cellStyle name="Calculation 2 3" xfId="2651"/>
    <cellStyle name="Calculation 2 3 2" xfId="2652"/>
    <cellStyle name="Calculation 2 3 2 2" xfId="2653"/>
    <cellStyle name="Calculation 2 3 2 2 2" xfId="2654"/>
    <cellStyle name="Calculation 2 3 2 2 3" xfId="2655"/>
    <cellStyle name="Calculation 2 3 2 2 4" xfId="2656"/>
    <cellStyle name="Calculation 2 3 2 3" xfId="2657"/>
    <cellStyle name="Calculation 2 3 2 3 2" xfId="2658"/>
    <cellStyle name="Calculation 2 3 2 3 3" xfId="2659"/>
    <cellStyle name="Calculation 2 3 2 3 4" xfId="2660"/>
    <cellStyle name="Calculation 2 3 2 4" xfId="2661"/>
    <cellStyle name="Calculation 2 3 2 5" xfId="2662"/>
    <cellStyle name="Calculation 2 3 2 6" xfId="2663"/>
    <cellStyle name="Calculation 2 3 3" xfId="2664"/>
    <cellStyle name="Calculation 2 3 4" xfId="2665"/>
    <cellStyle name="Calculation 2 3 5" xfId="2666"/>
    <cellStyle name="Calculation 2 4" xfId="2667"/>
    <cellStyle name="Calculation 2 4 2" xfId="2668"/>
    <cellStyle name="Calculation 2 4 2 2" xfId="2669"/>
    <cellStyle name="Calculation 2 4 2 3" xfId="2670"/>
    <cellStyle name="Calculation 2 4 2 4" xfId="2671"/>
    <cellStyle name="Calculation 2 4 3" xfId="2672"/>
    <cellStyle name="Calculation 2 4 3 2" xfId="2673"/>
    <cellStyle name="Calculation 2 4 3 3" xfId="2674"/>
    <cellStyle name="Calculation 2 4 3 4" xfId="2675"/>
    <cellStyle name="Calculation 2 4 4" xfId="2676"/>
    <cellStyle name="Calculation 2 4 5" xfId="2677"/>
    <cellStyle name="Calculation 2 4 6" xfId="2678"/>
    <cellStyle name="Calculation 2 5" xfId="2679"/>
    <cellStyle name="Calculation 2 6" xfId="2680"/>
    <cellStyle name="Calculation 2 7" xfId="2681"/>
    <cellStyle name="Calculation 2 8" xfId="2682"/>
    <cellStyle name="Calculation 2 9" xfId="2683"/>
    <cellStyle name="Calculation 20" xfId="2684"/>
    <cellStyle name="Calculation 21" xfId="2685"/>
    <cellStyle name="Calculation 22" xfId="2686"/>
    <cellStyle name="Calculation 23" xfId="2687"/>
    <cellStyle name="Calculation 24" xfId="2688"/>
    <cellStyle name="Calculation 25" xfId="2689"/>
    <cellStyle name="Calculation 26" xfId="2690"/>
    <cellStyle name="Calculation 27" xfId="2691"/>
    <cellStyle name="Calculation 28" xfId="2692"/>
    <cellStyle name="Calculation 29" xfId="2693"/>
    <cellStyle name="Calculation 3" xfId="2694"/>
    <cellStyle name="Calculation 3 10" xfId="2695"/>
    <cellStyle name="Calculation 3 11" xfId="2696"/>
    <cellStyle name="Calculation 3 2" xfId="2697"/>
    <cellStyle name="Calculation 3 3" xfId="2698"/>
    <cellStyle name="Calculation 3 4" xfId="2699"/>
    <cellStyle name="Calculation 3 5" xfId="2700"/>
    <cellStyle name="Calculation 3 6" xfId="2701"/>
    <cellStyle name="Calculation 3 7" xfId="2702"/>
    <cellStyle name="Calculation 3 8" xfId="2703"/>
    <cellStyle name="Calculation 3 9" xfId="2704"/>
    <cellStyle name="Calculation 30" xfId="2705"/>
    <cellStyle name="Calculation 31" xfId="2706"/>
    <cellStyle name="Calculation 32" xfId="2707"/>
    <cellStyle name="Calculation 33" xfId="2708"/>
    <cellStyle name="Calculation 34" xfId="2709"/>
    <cellStyle name="Calculation 35" xfId="2710"/>
    <cellStyle name="Calculation 35 2" xfId="2711"/>
    <cellStyle name="Calculation 35 2 2" xfId="2712"/>
    <cellStyle name="Calculation 35 2 2 2" xfId="2713"/>
    <cellStyle name="Calculation 35 3" xfId="2714"/>
    <cellStyle name="Calculation 35 4" xfId="2715"/>
    <cellStyle name="Calculation 36" xfId="2716"/>
    <cellStyle name="Calculation 37" xfId="2717"/>
    <cellStyle name="Calculation 38" xfId="2718"/>
    <cellStyle name="Calculation 39" xfId="2719"/>
    <cellStyle name="Calculation 4" xfId="2720"/>
    <cellStyle name="Calculation 4 2" xfId="2721"/>
    <cellStyle name="Calculation 4 3" xfId="2722"/>
    <cellStyle name="Calculation 4 4" xfId="2723"/>
    <cellStyle name="Calculation 4 5" xfId="2724"/>
    <cellStyle name="Calculation 40" xfId="2725"/>
    <cellStyle name="Calculation 41" xfId="2726"/>
    <cellStyle name="Calculation 42" xfId="2727"/>
    <cellStyle name="Calculation 43" xfId="2728"/>
    <cellStyle name="Calculation 44" xfId="2729"/>
    <cellStyle name="Calculation 45" xfId="2730"/>
    <cellStyle name="Calculation 46" xfId="2731"/>
    <cellStyle name="Calculation 47" xfId="2732"/>
    <cellStyle name="Calculation 48" xfId="2733"/>
    <cellStyle name="Calculation 49" xfId="2734"/>
    <cellStyle name="Calculation 5" xfId="2735"/>
    <cellStyle name="Calculation 5 2" xfId="2736"/>
    <cellStyle name="Calculation 50" xfId="2737"/>
    <cellStyle name="Calculation 51" xfId="2738"/>
    <cellStyle name="Calculation 52" xfId="2739"/>
    <cellStyle name="Calculation 53" xfId="2740"/>
    <cellStyle name="Calculation 54" xfId="2741"/>
    <cellStyle name="Calculation 55" xfId="2742"/>
    <cellStyle name="Calculation 56" xfId="2743"/>
    <cellStyle name="Calculation 57" xfId="2744"/>
    <cellStyle name="Calculation 58" xfId="2745"/>
    <cellStyle name="Calculation 59" xfId="2746"/>
    <cellStyle name="Calculation 6" xfId="2747"/>
    <cellStyle name="Calculation 60" xfId="2748"/>
    <cellStyle name="Calculation 60 2" xfId="2749"/>
    <cellStyle name="Calculation 60 2 2" xfId="2750"/>
    <cellStyle name="Calculation 60 2 2 2" xfId="2751"/>
    <cellStyle name="Calculation 60 2 3" xfId="2752"/>
    <cellStyle name="Calculation 61" xfId="2753"/>
    <cellStyle name="Calculation 62" xfId="2754"/>
    <cellStyle name="Calculation 63" xfId="2755"/>
    <cellStyle name="Calculation 64" xfId="2756"/>
    <cellStyle name="Calculation 65" xfId="2757"/>
    <cellStyle name="Calculation 66" xfId="2758"/>
    <cellStyle name="Calculation 67" xfId="2759"/>
    <cellStyle name="Calculation 67 2" xfId="2760"/>
    <cellStyle name="Calculation 68" xfId="2761"/>
    <cellStyle name="Calculation 69" xfId="2762"/>
    <cellStyle name="Calculation 7" xfId="2763"/>
    <cellStyle name="Calculation 70" xfId="2764"/>
    <cellStyle name="Calculation 8" xfId="2765"/>
    <cellStyle name="Calculation 9" xfId="2766"/>
    <cellStyle name="Cell Link." xfId="2767"/>
    <cellStyle name="Cella collegata" xfId="2768"/>
    <cellStyle name="Cella collegata 2" xfId="2769"/>
    <cellStyle name="Cella da controllare" xfId="2770"/>
    <cellStyle name="Cella da controllare 2" xfId="2771"/>
    <cellStyle name="Characteristic" xfId="2772"/>
    <cellStyle name="CharactGroup" xfId="2773"/>
    <cellStyle name="CharactNote" xfId="2774"/>
    <cellStyle name="CharactType" xfId="2775"/>
    <cellStyle name="CharactValue" xfId="2776"/>
    <cellStyle name="CharactValueNote" xfId="2777"/>
    <cellStyle name="CharShortType" xfId="2778"/>
    <cellStyle name="Check Cell 10" xfId="2779"/>
    <cellStyle name="Check Cell 11" xfId="2780"/>
    <cellStyle name="Check Cell 12" xfId="2781"/>
    <cellStyle name="Check Cell 13" xfId="2782"/>
    <cellStyle name="Check Cell 14" xfId="2783"/>
    <cellStyle name="Check Cell 15" xfId="2784"/>
    <cellStyle name="Check Cell 16" xfId="2785"/>
    <cellStyle name="Check Cell 17" xfId="2786"/>
    <cellStyle name="Check Cell 18" xfId="2787"/>
    <cellStyle name="Check Cell 19" xfId="2788"/>
    <cellStyle name="Check Cell 2" xfId="2789"/>
    <cellStyle name="Check Cell 2 2" xfId="2790"/>
    <cellStyle name="Check Cell 2 2 2" xfId="2791"/>
    <cellStyle name="Check Cell 2 2 3" xfId="2792"/>
    <cellStyle name="Check Cell 2 3" xfId="2793"/>
    <cellStyle name="Check Cell 2 4" xfId="2794"/>
    <cellStyle name="Check Cell 2 5" xfId="2795"/>
    <cellStyle name="Check Cell 20" xfId="2796"/>
    <cellStyle name="Check Cell 21" xfId="2797"/>
    <cellStyle name="Check Cell 22" xfId="2798"/>
    <cellStyle name="Check Cell 23" xfId="2799"/>
    <cellStyle name="Check Cell 24" xfId="2800"/>
    <cellStyle name="Check Cell 25" xfId="2801"/>
    <cellStyle name="Check Cell 26" xfId="2802"/>
    <cellStyle name="Check Cell 27" xfId="2803"/>
    <cellStyle name="Check Cell 28" xfId="2804"/>
    <cellStyle name="Check Cell 29" xfId="2805"/>
    <cellStyle name="Check Cell 3" xfId="2806"/>
    <cellStyle name="Check Cell 3 2" xfId="2807"/>
    <cellStyle name="Check Cell 30" xfId="2808"/>
    <cellStyle name="Check Cell 31" xfId="2809"/>
    <cellStyle name="Check Cell 32" xfId="2810"/>
    <cellStyle name="Check Cell 33" xfId="2811"/>
    <cellStyle name="Check Cell 34" xfId="2812"/>
    <cellStyle name="Check Cell 35" xfId="2813"/>
    <cellStyle name="Check Cell 35 2" xfId="2814"/>
    <cellStyle name="Check Cell 35 2 2" xfId="2815"/>
    <cellStyle name="Check Cell 35 2 2 2" xfId="2816"/>
    <cellStyle name="Check Cell 35 3" xfId="2817"/>
    <cellStyle name="Check Cell 35 4" xfId="2818"/>
    <cellStyle name="Check Cell 36" xfId="2819"/>
    <cellStyle name="Check Cell 37" xfId="2820"/>
    <cellStyle name="Check Cell 38" xfId="2821"/>
    <cellStyle name="Check Cell 39" xfId="2822"/>
    <cellStyle name="Check Cell 4" xfId="2823"/>
    <cellStyle name="Check Cell 4 2" xfId="2824"/>
    <cellStyle name="Check Cell 40" xfId="2825"/>
    <cellStyle name="Check Cell 41" xfId="2826"/>
    <cellStyle name="Check Cell 42" xfId="2827"/>
    <cellStyle name="Check Cell 43" xfId="2828"/>
    <cellStyle name="Check Cell 44" xfId="2829"/>
    <cellStyle name="Check Cell 45" xfId="2830"/>
    <cellStyle name="Check Cell 46" xfId="2831"/>
    <cellStyle name="Check Cell 47" xfId="2832"/>
    <cellStyle name="Check Cell 48" xfId="2833"/>
    <cellStyle name="Check Cell 49" xfId="2834"/>
    <cellStyle name="Check Cell 5" xfId="2835"/>
    <cellStyle name="Check Cell 50" xfId="2836"/>
    <cellStyle name="Check Cell 51" xfId="2837"/>
    <cellStyle name="Check Cell 52" xfId="2838"/>
    <cellStyle name="Check Cell 53" xfId="2839"/>
    <cellStyle name="Check Cell 54" xfId="2840"/>
    <cellStyle name="Check Cell 55" xfId="2841"/>
    <cellStyle name="Check Cell 56" xfId="2842"/>
    <cellStyle name="Check Cell 57" xfId="2843"/>
    <cellStyle name="Check Cell 58" xfId="2844"/>
    <cellStyle name="Check Cell 59" xfId="2845"/>
    <cellStyle name="Check Cell 6" xfId="2846"/>
    <cellStyle name="Check Cell 60" xfId="2847"/>
    <cellStyle name="Check Cell 60 2" xfId="2848"/>
    <cellStyle name="Check Cell 60 2 2" xfId="2849"/>
    <cellStyle name="Check Cell 60 2 2 2" xfId="2850"/>
    <cellStyle name="Check Cell 60 2 3" xfId="2851"/>
    <cellStyle name="Check Cell 61" xfId="2852"/>
    <cellStyle name="Check Cell 62" xfId="2853"/>
    <cellStyle name="Check Cell 63" xfId="2854"/>
    <cellStyle name="Check Cell 64" xfId="2855"/>
    <cellStyle name="Check Cell 65" xfId="2856"/>
    <cellStyle name="Check Cell 7" xfId="2857"/>
    <cellStyle name="Check Cell 8" xfId="2858"/>
    <cellStyle name="Check Cell 9" xfId="2859"/>
    <cellStyle name="Check Green" xfId="2860"/>
    <cellStyle name="Check Orange" xfId="2861"/>
    <cellStyle name="Check Red" xfId="2862"/>
    <cellStyle name="Check2_EA" xfId="2863"/>
    <cellStyle name="CheckCell_RP" xfId="2864"/>
    <cellStyle name="CheckCelLbll_RP" xfId="2865"/>
    <cellStyle name="CIL" xfId="2866"/>
    <cellStyle name="CIU" xfId="2867"/>
    <cellStyle name="CodeOutput_RP" xfId="2868"/>
    <cellStyle name="Colore 1" xfId="2869"/>
    <cellStyle name="Colore 1 2" xfId="2870"/>
    <cellStyle name="Colore 2" xfId="2871"/>
    <cellStyle name="Colore 2 2" xfId="2872"/>
    <cellStyle name="Colore 3" xfId="2873"/>
    <cellStyle name="Colore 3 2" xfId="2874"/>
    <cellStyle name="Colore 4" xfId="2875"/>
    <cellStyle name="Colore 4 2" xfId="2876"/>
    <cellStyle name="Colore 5" xfId="2877"/>
    <cellStyle name="Colore 5 2" xfId="2878"/>
    <cellStyle name="Colore 6" xfId="2879"/>
    <cellStyle name="Colore 6 2" xfId="2880"/>
    <cellStyle name="Column_Heading_RP" xfId="2881"/>
    <cellStyle name="Comma" xfId="1" builtinId="3"/>
    <cellStyle name="Comma -" xfId="2882"/>
    <cellStyle name="Comma  - Style1" xfId="2883"/>
    <cellStyle name="Comma  - Style2" xfId="2884"/>
    <cellStyle name="Comma  - Style3" xfId="2885"/>
    <cellStyle name="Comma  - Style4" xfId="2886"/>
    <cellStyle name="Comma  - Style5" xfId="2887"/>
    <cellStyle name="Comma  - Style6" xfId="2888"/>
    <cellStyle name="Comma  - Style7" xfId="2889"/>
    <cellStyle name="Comma  - Style8" xfId="2890"/>
    <cellStyle name="Comma [0] 2" xfId="2891"/>
    <cellStyle name="Comma [0] 3" xfId="2892"/>
    <cellStyle name="Comma [1]" xfId="2893"/>
    <cellStyle name="Comma [1] 2" xfId="2894"/>
    <cellStyle name="Comma [2]" xfId="2895"/>
    <cellStyle name="Comma [2] 2" xfId="2896"/>
    <cellStyle name="Comma [3]" xfId="2897"/>
    <cellStyle name="Comma [3] 2" xfId="2898"/>
    <cellStyle name="Comma 0" xfId="2899"/>
    <cellStyle name="Comma 0*" xfId="2900"/>
    <cellStyle name="Comma 0__MasterJRComps" xfId="2901"/>
    <cellStyle name="Comma 10" xfId="2902"/>
    <cellStyle name="Comma 11" xfId="2903"/>
    <cellStyle name="Comma 12" xfId="2904"/>
    <cellStyle name="Comma 13" xfId="2905"/>
    <cellStyle name="Comma 14" xfId="2906"/>
    <cellStyle name="Comma 15" xfId="2907"/>
    <cellStyle name="Comma 16" xfId="2908"/>
    <cellStyle name="Comma 17" xfId="2909"/>
    <cellStyle name="Comma 18" xfId="2910"/>
    <cellStyle name="Comma 19" xfId="2911"/>
    <cellStyle name="Comma 2" xfId="2912"/>
    <cellStyle name="Comma 2 10" xfId="2913"/>
    <cellStyle name="Comma 2 10 2" xfId="2914"/>
    <cellStyle name="Comma 2 11" xfId="2915"/>
    <cellStyle name="Comma 2 11 2" xfId="2916"/>
    <cellStyle name="Comma 2 12" xfId="2917"/>
    <cellStyle name="Comma 2 12 2" xfId="2918"/>
    <cellStyle name="Comma 2 13" xfId="2919"/>
    <cellStyle name="Comma 2 13 2" xfId="2920"/>
    <cellStyle name="Comma 2 14" xfId="2921"/>
    <cellStyle name="Comma 2 14 2" xfId="2922"/>
    <cellStyle name="Comma 2 15" xfId="2923"/>
    <cellStyle name="Comma 2 15 2" xfId="2924"/>
    <cellStyle name="Comma 2 16" xfId="2925"/>
    <cellStyle name="Comma 2 16 2" xfId="2926"/>
    <cellStyle name="Comma 2 17" xfId="2927"/>
    <cellStyle name="Comma 2 17 2" xfId="2928"/>
    <cellStyle name="Comma 2 18" xfId="2929"/>
    <cellStyle name="Comma 2 19" xfId="2930"/>
    <cellStyle name="Comma 2 2" xfId="2931"/>
    <cellStyle name="Comma 2 2 10" xfId="2932"/>
    <cellStyle name="Comma 2 2 11" xfId="2933"/>
    <cellStyle name="Comma 2 2 12" xfId="2934"/>
    <cellStyle name="Comma 2 2 13" xfId="2935"/>
    <cellStyle name="Comma 2 2 14" xfId="2936"/>
    <cellStyle name="Comma 2 2 15" xfId="2937"/>
    <cellStyle name="Comma 2 2 16" xfId="2938"/>
    <cellStyle name="Comma 2 2 17" xfId="2939"/>
    <cellStyle name="Comma 2 2 18" xfId="2940"/>
    <cellStyle name="Comma 2 2 19" xfId="2941"/>
    <cellStyle name="Comma 2 2 2" xfId="2942"/>
    <cellStyle name="Comma 2 2 2 10" xfId="2943"/>
    <cellStyle name="Comma 2 2 2 11" xfId="2944"/>
    <cellStyle name="Comma 2 2 2 12" xfId="2945"/>
    <cellStyle name="Comma 2 2 2 13" xfId="2946"/>
    <cellStyle name="Comma 2 2 2 14" xfId="2947"/>
    <cellStyle name="Comma 2 2 2 15" xfId="2948"/>
    <cellStyle name="Comma 2 2 2 16" xfId="2949"/>
    <cellStyle name="Comma 2 2 2 17" xfId="2950"/>
    <cellStyle name="Comma 2 2 2 18" xfId="2951"/>
    <cellStyle name="Comma 2 2 2 19" xfId="2952"/>
    <cellStyle name="Comma 2 2 2 2" xfId="2953"/>
    <cellStyle name="Comma 2 2 2 2 10" xfId="2954"/>
    <cellStyle name="Comma 2 2 2 2 11" xfId="2955"/>
    <cellStyle name="Comma 2 2 2 2 12" xfId="2956"/>
    <cellStyle name="Comma 2 2 2 2 13" xfId="2957"/>
    <cellStyle name="Comma 2 2 2 2 14" xfId="2958"/>
    <cellStyle name="Comma 2 2 2 2 15" xfId="2959"/>
    <cellStyle name="Comma 2 2 2 2 16" xfId="2960"/>
    <cellStyle name="Comma 2 2 2 2 17" xfId="2961"/>
    <cellStyle name="Comma 2 2 2 2 18" xfId="2962"/>
    <cellStyle name="Comma 2 2 2 2 19" xfId="2963"/>
    <cellStyle name="Comma 2 2 2 2 2" xfId="2964"/>
    <cellStyle name="Comma 2 2 2 2 2 2" xfId="2965"/>
    <cellStyle name="Comma 2 2 2 2 2 2 2" xfId="2966"/>
    <cellStyle name="Comma 2 2 2 2 2 2 2 2" xfId="2967"/>
    <cellStyle name="Comma 2 2 2 2 2 3" xfId="2968"/>
    <cellStyle name="Comma 2 2 2 2 20" xfId="2969"/>
    <cellStyle name="Comma 2 2 2 2 21" xfId="2970"/>
    <cellStyle name="Comma 2 2 2 2 22" xfId="2971"/>
    <cellStyle name="Comma 2 2 2 2 23" xfId="2972"/>
    <cellStyle name="Comma 2 2 2 2 24" xfId="2973"/>
    <cellStyle name="Comma 2 2 2 2 25" xfId="2974"/>
    <cellStyle name="Comma 2 2 2 2 26" xfId="2975"/>
    <cellStyle name="Comma 2 2 2 2 27" xfId="2976"/>
    <cellStyle name="Comma 2 2 2 2 28" xfId="2977"/>
    <cellStyle name="Comma 2 2 2 2 28 2" xfId="2978"/>
    <cellStyle name="Comma 2 2 2 2 29" xfId="2979"/>
    <cellStyle name="Comma 2 2 2 2 3" xfId="2980"/>
    <cellStyle name="Comma 2 2 2 2 30" xfId="2981"/>
    <cellStyle name="Comma 2 2 2 2 4" xfId="2982"/>
    <cellStyle name="Comma 2 2 2 2 5" xfId="2983"/>
    <cellStyle name="Comma 2 2 2 2 6" xfId="2984"/>
    <cellStyle name="Comma 2 2 2 2 7" xfId="2985"/>
    <cellStyle name="Comma 2 2 2 2 8" xfId="2986"/>
    <cellStyle name="Comma 2 2 2 2 9" xfId="2987"/>
    <cellStyle name="Comma 2 2 2 20" xfId="2988"/>
    <cellStyle name="Comma 2 2 2 21" xfId="2989"/>
    <cellStyle name="Comma 2 2 2 22" xfId="2990"/>
    <cellStyle name="Comma 2 2 2 23" xfId="2991"/>
    <cellStyle name="Comma 2 2 2 24" xfId="2992"/>
    <cellStyle name="Comma 2 2 2 25" xfId="2993"/>
    <cellStyle name="Comma 2 2 2 26" xfId="2994"/>
    <cellStyle name="Comma 2 2 2 27" xfId="2995"/>
    <cellStyle name="Comma 2 2 2 28" xfId="2996"/>
    <cellStyle name="Comma 2 2 2 29" xfId="2997"/>
    <cellStyle name="Comma 2 2 2 29 2" xfId="2998"/>
    <cellStyle name="Comma 2 2 2 3" xfId="2999"/>
    <cellStyle name="Comma 2 2 2 30" xfId="3000"/>
    <cellStyle name="Comma 2 2 2 31" xfId="3001"/>
    <cellStyle name="Comma 2 2 2 32" xfId="3002"/>
    <cellStyle name="Comma 2 2 2 33" xfId="3003"/>
    <cellStyle name="Comma 2 2 2 34" xfId="3004"/>
    <cellStyle name="Comma 2 2 2 35" xfId="3005"/>
    <cellStyle name="Comma 2 2 2 4" xfId="3006"/>
    <cellStyle name="Comma 2 2 2 4 2" xfId="3007"/>
    <cellStyle name="Comma 2 2 2 4 2 2" xfId="3008"/>
    <cellStyle name="Comma 2 2 2 4 2 2 2" xfId="3009"/>
    <cellStyle name="Comma 2 2 2 4 3" xfId="3010"/>
    <cellStyle name="Comma 2 2 2 5" xfId="3011"/>
    <cellStyle name="Comma 2 2 2 6" xfId="3012"/>
    <cellStyle name="Comma 2 2 2 7" xfId="3013"/>
    <cellStyle name="Comma 2 2 2 8" xfId="3014"/>
    <cellStyle name="Comma 2 2 2 9" xfId="3015"/>
    <cellStyle name="Comma 2 2 20" xfId="3016"/>
    <cellStyle name="Comma 2 2 21" xfId="3017"/>
    <cellStyle name="Comma 2 2 22" xfId="3018"/>
    <cellStyle name="Comma 2 2 23" xfId="3019"/>
    <cellStyle name="Comma 2 2 24" xfId="3020"/>
    <cellStyle name="Comma 2 2 25" xfId="3021"/>
    <cellStyle name="Comma 2 2 26" xfId="3022"/>
    <cellStyle name="Comma 2 2 27" xfId="3023"/>
    <cellStyle name="Comma 2 2 28" xfId="3024"/>
    <cellStyle name="Comma 2 2 29" xfId="3025"/>
    <cellStyle name="Comma 2 2 3" xfId="3026"/>
    <cellStyle name="Comma 2 2 30" xfId="3027"/>
    <cellStyle name="Comma 2 2 31" xfId="3028"/>
    <cellStyle name="Comma 2 2 32" xfId="3029"/>
    <cellStyle name="Comma 2 2 33" xfId="3030"/>
    <cellStyle name="Comma 2 2 34" xfId="3031"/>
    <cellStyle name="Comma 2 2 35" xfId="3032"/>
    <cellStyle name="Comma 2 2 36" xfId="3033"/>
    <cellStyle name="Comma 2 2 37" xfId="3034"/>
    <cellStyle name="Comma 2 2 37 2" xfId="3035"/>
    <cellStyle name="Comma 2 2 37 2 2" xfId="3036"/>
    <cellStyle name="Comma 2 2 37 2 2 2" xfId="3037"/>
    <cellStyle name="Comma 2 2 37 3" xfId="3038"/>
    <cellStyle name="Comma 2 2 38" xfId="3039"/>
    <cellStyle name="Comma 2 2 39" xfId="3040"/>
    <cellStyle name="Comma 2 2 4" xfId="3041"/>
    <cellStyle name="Comma 2 2 40" xfId="3042"/>
    <cellStyle name="Comma 2 2 41" xfId="3043"/>
    <cellStyle name="Comma 2 2 42" xfId="3044"/>
    <cellStyle name="Comma 2 2 43" xfId="3045"/>
    <cellStyle name="Comma 2 2 44" xfId="3046"/>
    <cellStyle name="Comma 2 2 45" xfId="3047"/>
    <cellStyle name="Comma 2 2 46" xfId="3048"/>
    <cellStyle name="Comma 2 2 47" xfId="3049"/>
    <cellStyle name="Comma 2 2 48" xfId="3050"/>
    <cellStyle name="Comma 2 2 49" xfId="3051"/>
    <cellStyle name="Comma 2 2 5" xfId="3052"/>
    <cellStyle name="Comma 2 2 50" xfId="3053"/>
    <cellStyle name="Comma 2 2 51" xfId="3054"/>
    <cellStyle name="Comma 2 2 52" xfId="3055"/>
    <cellStyle name="Comma 2 2 53" xfId="3056"/>
    <cellStyle name="Comma 2 2 54" xfId="3057"/>
    <cellStyle name="Comma 2 2 55" xfId="3058"/>
    <cellStyle name="Comma 2 2 56" xfId="3059"/>
    <cellStyle name="Comma 2 2 57" xfId="3060"/>
    <cellStyle name="Comma 2 2 58" xfId="3061"/>
    <cellStyle name="Comma 2 2 59" xfId="3062"/>
    <cellStyle name="Comma 2 2 6" xfId="3063"/>
    <cellStyle name="Comma 2 2 60" xfId="3064"/>
    <cellStyle name="Comma 2 2 61" xfId="3065"/>
    <cellStyle name="Comma 2 2 62" xfId="3066"/>
    <cellStyle name="Comma 2 2 62 2" xfId="3067"/>
    <cellStyle name="Comma 2 2 63" xfId="3068"/>
    <cellStyle name="Comma 2 2 64" xfId="3069"/>
    <cellStyle name="Comma 2 2 65" xfId="3070"/>
    <cellStyle name="Comma 2 2 66" xfId="3071"/>
    <cellStyle name="Comma 2 2 7" xfId="3072"/>
    <cellStyle name="Comma 2 2 8" xfId="3073"/>
    <cellStyle name="Comma 2 2 9" xfId="3074"/>
    <cellStyle name="Comma 2 20" xfId="3075"/>
    <cellStyle name="Comma 2 21" xfId="3076"/>
    <cellStyle name="Comma 2 22" xfId="3077"/>
    <cellStyle name="Comma 2 23" xfId="3078"/>
    <cellStyle name="Comma 2 24" xfId="3079"/>
    <cellStyle name="Comma 2 25" xfId="3080"/>
    <cellStyle name="Comma 2 26" xfId="3081"/>
    <cellStyle name="Comma 2 27" xfId="3082"/>
    <cellStyle name="Comma 2 28" xfId="3083"/>
    <cellStyle name="Comma 2 29" xfId="3084"/>
    <cellStyle name="Comma 2 3" xfId="3085"/>
    <cellStyle name="Comma 2 3 10" xfId="3086"/>
    <cellStyle name="Comma 2 3 11" xfId="3087"/>
    <cellStyle name="Comma 2 3 12" xfId="3088"/>
    <cellStyle name="Comma 2 3 2" xfId="3089"/>
    <cellStyle name="Comma 2 3 2 2" xfId="3090"/>
    <cellStyle name="Comma 2 3 3" xfId="3091"/>
    <cellStyle name="Comma 2 3 3 2" xfId="3092"/>
    <cellStyle name="Comma 2 3 4" xfId="3093"/>
    <cellStyle name="Comma 2 3 4 2" xfId="3094"/>
    <cellStyle name="Comma 2 3 5" xfId="3095"/>
    <cellStyle name="Comma 2 3 5 2" xfId="3096"/>
    <cellStyle name="Comma 2 3 6" xfId="3097"/>
    <cellStyle name="Comma 2 3 6 2" xfId="3098"/>
    <cellStyle name="Comma 2 3 7" xfId="3099"/>
    <cellStyle name="Comma 2 3 7 2" xfId="3100"/>
    <cellStyle name="Comma 2 3 8" xfId="3101"/>
    <cellStyle name="Comma 2 3 8 2" xfId="3102"/>
    <cellStyle name="Comma 2 3 9" xfId="3103"/>
    <cellStyle name="Comma 2 3 9 2" xfId="3104"/>
    <cellStyle name="Comma 2 3 9 3" xfId="3105"/>
    <cellStyle name="Comma 2 30" xfId="3106"/>
    <cellStyle name="Comma 2 31" xfId="3107"/>
    <cellStyle name="Comma 2 32" xfId="3108"/>
    <cellStyle name="Comma 2 33" xfId="3109"/>
    <cellStyle name="Comma 2 34" xfId="3110"/>
    <cellStyle name="Comma 2 35" xfId="3111"/>
    <cellStyle name="Comma 2 36" xfId="3112"/>
    <cellStyle name="Comma 2 37" xfId="3113"/>
    <cellStyle name="Comma 2 38" xfId="3114"/>
    <cellStyle name="Comma 2 39" xfId="3115"/>
    <cellStyle name="Comma 2 4" xfId="3116"/>
    <cellStyle name="Comma 2 4 2" xfId="3117"/>
    <cellStyle name="Comma 2 4 3" xfId="3118"/>
    <cellStyle name="Comma 2 4 4" xfId="3119"/>
    <cellStyle name="Comma 2 40" xfId="3120"/>
    <cellStyle name="Comma 2 41" xfId="3121"/>
    <cellStyle name="Comma 2 42" xfId="3122"/>
    <cellStyle name="Comma 2 43" xfId="3123"/>
    <cellStyle name="Comma 2 44" xfId="3124"/>
    <cellStyle name="Comma 2 45" xfId="3125"/>
    <cellStyle name="Comma 2 46" xfId="3126"/>
    <cellStyle name="Comma 2 47" xfId="3127"/>
    <cellStyle name="Comma 2 48" xfId="3128"/>
    <cellStyle name="Comma 2 49" xfId="3129"/>
    <cellStyle name="Comma 2 5" xfId="3130"/>
    <cellStyle name="Comma 2 5 2" xfId="3131"/>
    <cellStyle name="Comma 2 50" xfId="3132"/>
    <cellStyle name="Comma 2 51" xfId="3133"/>
    <cellStyle name="Comma 2 52" xfId="3134"/>
    <cellStyle name="Comma 2 53" xfId="3135"/>
    <cellStyle name="Comma 2 54" xfId="3136"/>
    <cellStyle name="Comma 2 55" xfId="3137"/>
    <cellStyle name="Comma 2 56" xfId="3138"/>
    <cellStyle name="Comma 2 57" xfId="3139"/>
    <cellStyle name="Comma 2 58" xfId="3140"/>
    <cellStyle name="Comma 2 59" xfId="3141"/>
    <cellStyle name="Comma 2 6" xfId="3142"/>
    <cellStyle name="Comma 2 6 2" xfId="3143"/>
    <cellStyle name="Comma 2 60" xfId="3144"/>
    <cellStyle name="Comma 2 61" xfId="3145"/>
    <cellStyle name="Comma 2 62" xfId="3146"/>
    <cellStyle name="Comma 2 63" xfId="3147"/>
    <cellStyle name="Comma 2 64" xfId="3148"/>
    <cellStyle name="Comma 2 65" xfId="3149"/>
    <cellStyle name="Comma 2 66" xfId="3150"/>
    <cellStyle name="Comma 2 66 2" xfId="3151"/>
    <cellStyle name="Comma 2 66 2 2" xfId="3152"/>
    <cellStyle name="Comma 2 66 3" xfId="3153"/>
    <cellStyle name="Comma 2 66 4" xfId="3154"/>
    <cellStyle name="Comma 2 67" xfId="3155"/>
    <cellStyle name="Comma 2 68" xfId="3156"/>
    <cellStyle name="Comma 2 7" xfId="3157"/>
    <cellStyle name="Comma 2 7 2" xfId="3158"/>
    <cellStyle name="Comma 2 8" xfId="3159"/>
    <cellStyle name="Comma 2 8 2" xfId="3160"/>
    <cellStyle name="Comma 2 9" xfId="3161"/>
    <cellStyle name="Comma 2 9 2" xfId="3162"/>
    <cellStyle name="Comma 2*" xfId="3163"/>
    <cellStyle name="Comma 2__MasterJRComps" xfId="3164"/>
    <cellStyle name="Comma 20" xfId="3165"/>
    <cellStyle name="Comma 21" xfId="3166"/>
    <cellStyle name="Comma 22" xfId="3167"/>
    <cellStyle name="Comma 23" xfId="3168"/>
    <cellStyle name="Comma 24" xfId="3169"/>
    <cellStyle name="Comma 25" xfId="3170"/>
    <cellStyle name="Comma 26" xfId="3171"/>
    <cellStyle name="Comma 27" xfId="3172"/>
    <cellStyle name="Comma 3" xfId="3173"/>
    <cellStyle name="Comma 3 10" xfId="3174"/>
    <cellStyle name="Comma 3 11" xfId="3175"/>
    <cellStyle name="Comma 3 12" xfId="3176"/>
    <cellStyle name="Comma 3 13" xfId="3177"/>
    <cellStyle name="Comma 3 14" xfId="3178"/>
    <cellStyle name="Comma 3 2" xfId="3179"/>
    <cellStyle name="Comma 3 2 2" xfId="3180"/>
    <cellStyle name="Comma 3 2 3" xfId="3181"/>
    <cellStyle name="Comma 3 2 4" xfId="3182"/>
    <cellStyle name="Comma 3 3" xfId="3183"/>
    <cellStyle name="Comma 3 3 2" xfId="3184"/>
    <cellStyle name="Comma 3 3 3" xfId="3185"/>
    <cellStyle name="Comma 3 4" xfId="3186"/>
    <cellStyle name="Comma 3 4 2" xfId="3187"/>
    <cellStyle name="Comma 3 5" xfId="3188"/>
    <cellStyle name="Comma 3 5 2" xfId="3189"/>
    <cellStyle name="Comma 3 6" xfId="3190"/>
    <cellStyle name="Comma 3 6 2" xfId="3191"/>
    <cellStyle name="Comma 3 7" xfId="3192"/>
    <cellStyle name="Comma 3 7 2" xfId="3193"/>
    <cellStyle name="Comma 3 8" xfId="3194"/>
    <cellStyle name="Comma 3 8 2" xfId="3195"/>
    <cellStyle name="Comma 3 9" xfId="3196"/>
    <cellStyle name="Comma 3 9 2" xfId="3197"/>
    <cellStyle name="Comma 3 9 3" xfId="3198"/>
    <cellStyle name="Comma 3*" xfId="3199"/>
    <cellStyle name="Comma 3_Ch4 v2" xfId="3200"/>
    <cellStyle name="Comma 4" xfId="3201"/>
    <cellStyle name="Comma 4 2" xfId="3202"/>
    <cellStyle name="Comma 4 3" xfId="3203"/>
    <cellStyle name="Comma 4 3 2" xfId="3204"/>
    <cellStyle name="Comma 5" xfId="3205"/>
    <cellStyle name="Comma 5 2" xfId="3206"/>
    <cellStyle name="Comma 5 3" xfId="3207"/>
    <cellStyle name="Comma 5 4" xfId="3208"/>
    <cellStyle name="Comma 6" xfId="3209"/>
    <cellStyle name="Comma 6 2" xfId="3210"/>
    <cellStyle name="Comma 6 3" xfId="3211"/>
    <cellStyle name="Comma 6 4" xfId="3212"/>
    <cellStyle name="Comma 6 5" xfId="3213"/>
    <cellStyle name="Comma 6 6" xfId="3214"/>
    <cellStyle name="Comma 7" xfId="3215"/>
    <cellStyle name="Comma 7 2" xfId="3216"/>
    <cellStyle name="Comma 7 2 2" xfId="3217"/>
    <cellStyle name="Comma 7 3" xfId="3218"/>
    <cellStyle name="Comma 7 4" xfId="3219"/>
    <cellStyle name="Comma 7 5" xfId="3220"/>
    <cellStyle name="Comma 7 6" xfId="3221"/>
    <cellStyle name="Comma 8" xfId="3222"/>
    <cellStyle name="Comma 8 2" xfId="3223"/>
    <cellStyle name="Comma 8 3" xfId="3224"/>
    <cellStyle name="Comma 9" xfId="3225"/>
    <cellStyle name="Comma*" xfId="3226"/>
    <cellStyle name="Comma_121213 accident sources" xfId="2"/>
    <cellStyle name="Comma0" xfId="3227"/>
    <cellStyle name="Comma0 - Modelo1" xfId="3228"/>
    <cellStyle name="Comma0 - Style1" xfId="3229"/>
    <cellStyle name="Comma0 - Style2" xfId="3230"/>
    <cellStyle name="Comma0_% Change (PW)" xfId="3231"/>
    <cellStyle name="Comma1" xfId="3232"/>
    <cellStyle name="Comma1 - Modelo2" xfId="3233"/>
    <cellStyle name="Comma1 - Style2" xfId="3234"/>
    <cellStyle name="Comma1 2" xfId="3235"/>
    <cellStyle name="Comma1 3" xfId="3236"/>
    <cellStyle name="Comma1 4" xfId="3237"/>
    <cellStyle name="Comma2" xfId="3238"/>
    <cellStyle name="Comma2 2" xfId="3239"/>
    <cellStyle name="Comma2 3" xfId="3240"/>
    <cellStyle name="Comma2 4" xfId="3241"/>
    <cellStyle name="Condition" xfId="3242"/>
    <cellStyle name="CondMandatory" xfId="3243"/>
    <cellStyle name="Constant" xfId="3244"/>
    <cellStyle name="ConstantLbl_RP" xfId="3245"/>
    <cellStyle name="Content1" xfId="3246"/>
    <cellStyle name="Content2" xfId="3247"/>
    <cellStyle name="Content3" xfId="3248"/>
    <cellStyle name="Cover" xfId="3249"/>
    <cellStyle name="Cover 2" xfId="3250"/>
    <cellStyle name="Cover Date" xfId="3251"/>
    <cellStyle name="Cover Subtitle" xfId="3252"/>
    <cellStyle name="Cover Title" xfId="3253"/>
    <cellStyle name="Cur" xfId="3254"/>
    <cellStyle name="Cur 2" xfId="3255"/>
    <cellStyle name="Currency [0] 2" xfId="3256"/>
    <cellStyle name="Currency 0" xfId="3257"/>
    <cellStyle name="Currency 13" xfId="3258"/>
    <cellStyle name="Currency 13 2" xfId="3259"/>
    <cellStyle name="Currency 13 2 2" xfId="3260"/>
    <cellStyle name="Currency 13 3" xfId="3261"/>
    <cellStyle name="Currency 13 4" xfId="3262"/>
    <cellStyle name="Currency 13 5" xfId="3263"/>
    <cellStyle name="Currency 2" xfId="3264"/>
    <cellStyle name="Currency 2 2" xfId="3265"/>
    <cellStyle name="Currency 2 2 2" xfId="3266"/>
    <cellStyle name="Currency 2 3" xfId="3267"/>
    <cellStyle name="Currency 2 3 2" xfId="3268"/>
    <cellStyle name="Currency 2 4" xfId="3269"/>
    <cellStyle name="Currency 2 5" xfId="3270"/>
    <cellStyle name="Currency 2 6" xfId="3271"/>
    <cellStyle name="Currency 2 7" xfId="3272"/>
    <cellStyle name="Currency 2 8" xfId="3273"/>
    <cellStyle name="Currency 2 9" xfId="3274"/>
    <cellStyle name="Currency 2*" xfId="3275"/>
    <cellStyle name="Currency 2_% Change" xfId="3276"/>
    <cellStyle name="Currency 3" xfId="3277"/>
    <cellStyle name="Currency 3 2" xfId="3278"/>
    <cellStyle name="Currency 3 3" xfId="3279"/>
    <cellStyle name="Currency 3*" xfId="3280"/>
    <cellStyle name="Currency 4" xfId="3281"/>
    <cellStyle name="Currency 4 2" xfId="3282"/>
    <cellStyle name="Currency 5" xfId="3283"/>
    <cellStyle name="Currency*" xfId="3284"/>
    <cellStyle name="Currency0" xfId="3285"/>
    <cellStyle name="Currency-Denomination" xfId="3286"/>
    <cellStyle name="D - bottom border" xfId="3287"/>
    <cellStyle name="D - headers" xfId="3288"/>
    <cellStyle name="D - normal" xfId="3289"/>
    <cellStyle name="Data" xfId="3290"/>
    <cellStyle name="DATA Amount" xfId="3291"/>
    <cellStyle name="DATA Amount [1]" xfId="3292"/>
    <cellStyle name="DATA Amount [1] 10" xfId="3293"/>
    <cellStyle name="DATA Amount [1] 11" xfId="3294"/>
    <cellStyle name="DATA Amount [1] 2" xfId="3295"/>
    <cellStyle name="DATA Amount [1] 3" xfId="3296"/>
    <cellStyle name="DATA Amount [1] 4" xfId="3297"/>
    <cellStyle name="DATA Amount [1] 5" xfId="3298"/>
    <cellStyle name="DATA Amount [1] 6" xfId="3299"/>
    <cellStyle name="DATA Amount [1] 7" xfId="3300"/>
    <cellStyle name="DATA Amount [1] 8" xfId="3301"/>
    <cellStyle name="DATA Amount [1] 9" xfId="3302"/>
    <cellStyle name="DATA Amount [2]" xfId="3303"/>
    <cellStyle name="DATA Amount [2] 10" xfId="3304"/>
    <cellStyle name="DATA Amount [2] 11" xfId="3305"/>
    <cellStyle name="DATA Amount [2] 2" xfId="3306"/>
    <cellStyle name="DATA Amount [2] 3" xfId="3307"/>
    <cellStyle name="DATA Amount [2] 4" xfId="3308"/>
    <cellStyle name="DATA Amount [2] 5" xfId="3309"/>
    <cellStyle name="DATA Amount [2] 6" xfId="3310"/>
    <cellStyle name="DATA Amount [2] 7" xfId="3311"/>
    <cellStyle name="DATA Amount [2] 8" xfId="3312"/>
    <cellStyle name="DATA Amount [2] 9" xfId="3313"/>
    <cellStyle name="DATA Amount 10" xfId="3314"/>
    <cellStyle name="DATA Amount 11" xfId="3315"/>
    <cellStyle name="DATA Amount 12" xfId="3316"/>
    <cellStyle name="DATA Amount 13" xfId="3317"/>
    <cellStyle name="DATA Amount 2" xfId="3318"/>
    <cellStyle name="DATA Amount 2 2" xfId="3319"/>
    <cellStyle name="DATA Amount 2 2 7" xfId="3320"/>
    <cellStyle name="DATA Amount 2 2 7 2" xfId="3321"/>
    <cellStyle name="DATA Amount 2 3" xfId="3322"/>
    <cellStyle name="DATA Amount 2 4" xfId="3323"/>
    <cellStyle name="DATA Amount 3" xfId="3324"/>
    <cellStyle name="DATA Amount 4" xfId="3325"/>
    <cellStyle name="DATA Amount 5" xfId="3326"/>
    <cellStyle name="DATA Amount 6" xfId="3327"/>
    <cellStyle name="DATA Amount 7" xfId="3328"/>
    <cellStyle name="DATA Amount 8" xfId="3329"/>
    <cellStyle name="DATA Amount 9" xfId="3330"/>
    <cellStyle name="DATA Amount_Best Practice Model Disclaimer v1.1" xfId="3331"/>
    <cellStyle name="DATA Currency" xfId="3332"/>
    <cellStyle name="DATA Currency [1]" xfId="3333"/>
    <cellStyle name="DATA Currency [1] 10" xfId="3334"/>
    <cellStyle name="DATA Currency [1] 11" xfId="3335"/>
    <cellStyle name="DATA Currency [1] 2" xfId="3336"/>
    <cellStyle name="DATA Currency [1] 3" xfId="3337"/>
    <cellStyle name="DATA Currency [1] 4" xfId="3338"/>
    <cellStyle name="DATA Currency [1] 5" xfId="3339"/>
    <cellStyle name="DATA Currency [1] 6" xfId="3340"/>
    <cellStyle name="DATA Currency [1] 7" xfId="3341"/>
    <cellStyle name="DATA Currency [1] 8" xfId="3342"/>
    <cellStyle name="DATA Currency [1] 9" xfId="3343"/>
    <cellStyle name="DATA Currency [2]" xfId="3344"/>
    <cellStyle name="DATA Currency [2] 10" xfId="3345"/>
    <cellStyle name="DATA Currency [2] 11" xfId="3346"/>
    <cellStyle name="DATA Currency [2] 2" xfId="3347"/>
    <cellStyle name="DATA Currency [2] 3" xfId="3348"/>
    <cellStyle name="DATA Currency [2] 4" xfId="3349"/>
    <cellStyle name="DATA Currency [2] 5" xfId="3350"/>
    <cellStyle name="DATA Currency [2] 6" xfId="3351"/>
    <cellStyle name="DATA Currency [2] 7" xfId="3352"/>
    <cellStyle name="DATA Currency [2] 8" xfId="3353"/>
    <cellStyle name="DATA Currency [2] 9" xfId="3354"/>
    <cellStyle name="DATA Currency 10" xfId="3355"/>
    <cellStyle name="DATA Currency 11" xfId="3356"/>
    <cellStyle name="DATA Currency 12" xfId="3357"/>
    <cellStyle name="DATA Currency 13" xfId="3358"/>
    <cellStyle name="DATA Currency 2" xfId="3359"/>
    <cellStyle name="DATA Currency 3" xfId="3360"/>
    <cellStyle name="DATA Currency 4" xfId="3361"/>
    <cellStyle name="DATA Currency 5" xfId="3362"/>
    <cellStyle name="DATA Currency 6" xfId="3363"/>
    <cellStyle name="DATA Currency 7" xfId="3364"/>
    <cellStyle name="DATA Currency 8" xfId="3365"/>
    <cellStyle name="DATA Currency 9" xfId="3366"/>
    <cellStyle name="DATA Currency_Best Practice Model Disclaimer v1.1" xfId="3367"/>
    <cellStyle name="DATA Date Long" xfId="3368"/>
    <cellStyle name="DATA Date Long 10" xfId="3369"/>
    <cellStyle name="DATA Date Long 11" xfId="3370"/>
    <cellStyle name="DATA Date Long 2" xfId="3371"/>
    <cellStyle name="DATA Date Long 3" xfId="3372"/>
    <cellStyle name="DATA Date Long 4" xfId="3373"/>
    <cellStyle name="DATA Date Long 5" xfId="3374"/>
    <cellStyle name="DATA Date Long 6" xfId="3375"/>
    <cellStyle name="DATA Date Long 7" xfId="3376"/>
    <cellStyle name="DATA Date Long 8" xfId="3377"/>
    <cellStyle name="DATA Date Long 9" xfId="3378"/>
    <cellStyle name="DATA Date Short" xfId="3379"/>
    <cellStyle name="DATA Date Short 10" xfId="3380"/>
    <cellStyle name="DATA Date Short 11" xfId="3381"/>
    <cellStyle name="DATA Date Short 2" xfId="3382"/>
    <cellStyle name="DATA Date Short 3" xfId="3383"/>
    <cellStyle name="DATA Date Short 4" xfId="3384"/>
    <cellStyle name="DATA Date Short 5" xfId="3385"/>
    <cellStyle name="DATA Date Short 6" xfId="3386"/>
    <cellStyle name="DATA Date Short 7" xfId="3387"/>
    <cellStyle name="DATA Date Short 8" xfId="3388"/>
    <cellStyle name="DATA Date Short 9" xfId="3389"/>
    <cellStyle name="DATA List" xfId="3390"/>
    <cellStyle name="DATA List 10" xfId="3391"/>
    <cellStyle name="DATA List 11" xfId="3392"/>
    <cellStyle name="DATA List 12" xfId="3393"/>
    <cellStyle name="DATA List 13" xfId="3394"/>
    <cellStyle name="DATA List 2" xfId="3395"/>
    <cellStyle name="DATA List 2 12" xfId="3396"/>
    <cellStyle name="DATA List 2 2" xfId="3397"/>
    <cellStyle name="DATA List 2 3" xfId="3398"/>
    <cellStyle name="DATA List 2 4" xfId="3399"/>
    <cellStyle name="DATA List 2 4 2" xfId="3400"/>
    <cellStyle name="DATA List 2 4 3" xfId="3401"/>
    <cellStyle name="DATA List 2 5" xfId="3402"/>
    <cellStyle name="DATA List 3" xfId="3403"/>
    <cellStyle name="DATA List 4" xfId="3404"/>
    <cellStyle name="DATA List 5" xfId="3405"/>
    <cellStyle name="DATA List 6" xfId="3406"/>
    <cellStyle name="DATA List 7" xfId="3407"/>
    <cellStyle name="DATA List 8" xfId="3408"/>
    <cellStyle name="DATA List 9" xfId="3409"/>
    <cellStyle name="DATA Memo" xfId="3410"/>
    <cellStyle name="DATA Memo 10" xfId="3411"/>
    <cellStyle name="DATA Memo 2" xfId="3412"/>
    <cellStyle name="DATA Memo 3" xfId="3413"/>
    <cellStyle name="DATA Memo 4" xfId="3414"/>
    <cellStyle name="DATA Memo 5" xfId="3415"/>
    <cellStyle name="DATA Memo 6" xfId="3416"/>
    <cellStyle name="DATA Memo 7" xfId="3417"/>
    <cellStyle name="DATA Memo 8" xfId="3418"/>
    <cellStyle name="DATA Memo 9" xfId="3419"/>
    <cellStyle name="DATA Percent" xfId="3420"/>
    <cellStyle name="DATA Percent [1]" xfId="3421"/>
    <cellStyle name="DATA Percent [1] 10" xfId="3422"/>
    <cellStyle name="DATA Percent [1] 11" xfId="3423"/>
    <cellStyle name="DATA Percent [1] 2" xfId="3424"/>
    <cellStyle name="DATA Percent [1] 3" xfId="3425"/>
    <cellStyle name="DATA Percent [1] 4" xfId="3426"/>
    <cellStyle name="DATA Percent [1] 5" xfId="3427"/>
    <cellStyle name="DATA Percent [1] 6" xfId="3428"/>
    <cellStyle name="DATA Percent [1] 7" xfId="3429"/>
    <cellStyle name="DATA Percent [1] 8" xfId="3430"/>
    <cellStyle name="DATA Percent [1] 9" xfId="3431"/>
    <cellStyle name="DATA Percent [2]" xfId="3432"/>
    <cellStyle name="DATA Percent [2] 10" xfId="3433"/>
    <cellStyle name="DATA Percent [2] 11" xfId="3434"/>
    <cellStyle name="DATA Percent [2] 2" xfId="3435"/>
    <cellStyle name="DATA Percent [2] 3" xfId="3436"/>
    <cellStyle name="DATA Percent [2] 4" xfId="3437"/>
    <cellStyle name="DATA Percent [2] 5" xfId="3438"/>
    <cellStyle name="DATA Percent [2] 6" xfId="3439"/>
    <cellStyle name="DATA Percent [2] 7" xfId="3440"/>
    <cellStyle name="DATA Percent [2] 8" xfId="3441"/>
    <cellStyle name="DATA Percent [2] 9" xfId="3442"/>
    <cellStyle name="DATA Percent 10" xfId="3443"/>
    <cellStyle name="DATA Percent 11" xfId="3444"/>
    <cellStyle name="DATA Percent 12" xfId="3445"/>
    <cellStyle name="DATA Percent 13" xfId="3446"/>
    <cellStyle name="DATA Percent 2" xfId="3447"/>
    <cellStyle name="DATA Percent 2 2" xfId="3448"/>
    <cellStyle name="DATA Percent 2 2 7" xfId="3449"/>
    <cellStyle name="DATA Percent 2 2 7 2" xfId="3450"/>
    <cellStyle name="DATA Percent 2 3" xfId="3451"/>
    <cellStyle name="DATA Percent 2 4" xfId="3452"/>
    <cellStyle name="DATA Percent 3" xfId="3453"/>
    <cellStyle name="DATA Percent 4" xfId="3454"/>
    <cellStyle name="DATA Percent 44" xfId="3455"/>
    <cellStyle name="DATA Percent 44 3" xfId="3456"/>
    <cellStyle name="DATA Percent 45" xfId="3457"/>
    <cellStyle name="DATA Percent 45 3" xfId="3458"/>
    <cellStyle name="DATA Percent 46" xfId="3459"/>
    <cellStyle name="DATA Percent 46 3" xfId="3460"/>
    <cellStyle name="DATA Percent 5" xfId="3461"/>
    <cellStyle name="DATA Percent 6" xfId="3462"/>
    <cellStyle name="DATA Percent 7" xfId="3463"/>
    <cellStyle name="DATA Percent 8" xfId="3464"/>
    <cellStyle name="DATA Percent 9" xfId="3465"/>
    <cellStyle name="DATA Percent_Best Practice Model Disclaimer v1.1" xfId="3466"/>
    <cellStyle name="DATA Text" xfId="3467"/>
    <cellStyle name="DATA Text 10" xfId="3468"/>
    <cellStyle name="DATA Text 11" xfId="3469"/>
    <cellStyle name="DATA Text 2" xfId="3470"/>
    <cellStyle name="DATA Text 3" xfId="3471"/>
    <cellStyle name="DATA Text 4" xfId="3472"/>
    <cellStyle name="DATA Text 5" xfId="3473"/>
    <cellStyle name="DATA Text 6" xfId="3474"/>
    <cellStyle name="DATA Text 7" xfId="3475"/>
    <cellStyle name="DATA Text 8" xfId="3476"/>
    <cellStyle name="DATA Text 9" xfId="3477"/>
    <cellStyle name="DATA Version" xfId="3478"/>
    <cellStyle name="DATA Version 10" xfId="3479"/>
    <cellStyle name="DATA Version 2" xfId="3480"/>
    <cellStyle name="DATA Version 3" xfId="3481"/>
    <cellStyle name="DATA Version 4" xfId="3482"/>
    <cellStyle name="DATA Version 5" xfId="3483"/>
    <cellStyle name="DATA Version 6" xfId="3484"/>
    <cellStyle name="DATA Version 7" xfId="3485"/>
    <cellStyle name="DATA Version 8" xfId="3486"/>
    <cellStyle name="DATA Version 9" xfId="3487"/>
    <cellStyle name="DATA_Amount" xfId="3488"/>
    <cellStyle name="Date" xfId="3489"/>
    <cellStyle name="Date 2" xfId="3490"/>
    <cellStyle name="Date Aligned" xfId="3491"/>
    <cellStyle name="Date Aligned*" xfId="3492"/>
    <cellStyle name="Date Aligned__MasterJRComps" xfId="3493"/>
    <cellStyle name="Date dd-mmm" xfId="3494"/>
    <cellStyle name="Date dd-mmm-yy" xfId="3495"/>
    <cellStyle name="Date mmm-yy" xfId="3496"/>
    <cellStyle name="Date_Ch4 v2" xfId="3497"/>
    <cellStyle name="DateJL" xfId="3498"/>
    <cellStyle name="DateJL 2" xfId="3499"/>
    <cellStyle name="DateJL 2 2" xfId="3500"/>
    <cellStyle name="DateJL 2 3" xfId="3501"/>
    <cellStyle name="DateJL 2 4" xfId="3502"/>
    <cellStyle name="DateJL 2 5" xfId="3503"/>
    <cellStyle name="DateJL 3" xfId="3504"/>
    <cellStyle name="DateJL 4" xfId="3505"/>
    <cellStyle name="DateJL 5" xfId="3506"/>
    <cellStyle name="DateJL 6" xfId="3507"/>
    <cellStyle name="DateJL 7" xfId="3508"/>
    <cellStyle name="DateJL 8" xfId="3509"/>
    <cellStyle name="DateTime" xfId="3510"/>
    <cellStyle name="Dec_EA" xfId="3511"/>
    <cellStyle name="Decimal nos" xfId="3512"/>
    <cellStyle name="Decimal nos 2" xfId="3513"/>
    <cellStyle name="Decimal nos 2 2" xfId="3514"/>
    <cellStyle name="Decimal nos 2 3" xfId="3515"/>
    <cellStyle name="Decimal nos 2 4" xfId="3516"/>
    <cellStyle name="Decimal nos 2 5" xfId="3517"/>
    <cellStyle name="Decimal nos 3" xfId="3518"/>
    <cellStyle name="Decimal nos 4" xfId="3519"/>
    <cellStyle name="Decimal nos 5" xfId="3520"/>
    <cellStyle name="Decimal nos 6" xfId="3521"/>
    <cellStyle name="Decimal nos 7" xfId="3522"/>
    <cellStyle name="Decimal nos 8" xfId="3523"/>
    <cellStyle name="Decimal nos acct" xfId="3524"/>
    <cellStyle name="Decimal nos acct 2" xfId="3525"/>
    <cellStyle name="Decimal nos acct 2 2" xfId="3526"/>
    <cellStyle name="Decimal nos acct 2 3" xfId="3527"/>
    <cellStyle name="Decimal nos acct 2 4" xfId="3528"/>
    <cellStyle name="Decimal nos acct 2 5" xfId="3529"/>
    <cellStyle name="Decimal nos acct 3" xfId="3530"/>
    <cellStyle name="Decimal nos acct 4" xfId="3531"/>
    <cellStyle name="Decimal nos acct 5" xfId="3532"/>
    <cellStyle name="Decimal nos acct 6" xfId="3533"/>
    <cellStyle name="Decimal nos acct 7" xfId="3534"/>
    <cellStyle name="Decimal nos acct 8" xfId="3535"/>
    <cellStyle name="Decimal_0dp" xfId="3536"/>
    <cellStyle name="Description" xfId="3537"/>
    <cellStyle name="Deviant" xfId="3538"/>
    <cellStyle name="Dezimal [0]_0002VS" xfId="3539"/>
    <cellStyle name="Dezimal_0002VS" xfId="3540"/>
    <cellStyle name="Dia" xfId="3541"/>
    <cellStyle name="DistributionType" xfId="3542"/>
    <cellStyle name="données" xfId="3543"/>
    <cellStyle name="donnéesbord" xfId="3544"/>
    <cellStyle name="Dotted Line" xfId="3545"/>
    <cellStyle name="Double" xfId="3546"/>
    <cellStyle name="Encabez1" xfId="3547"/>
    <cellStyle name="Encabez2" xfId="3548"/>
    <cellStyle name="EnVision body" xfId="3549"/>
    <cellStyle name="EnVision body 2" xfId="3550"/>
    <cellStyle name="EnVision Header" xfId="3551"/>
    <cellStyle name="EnVision Header 2" xfId="3552"/>
    <cellStyle name="EnVision Heading" xfId="3553"/>
    <cellStyle name="EnVision Sub" xfId="3554"/>
    <cellStyle name="EnVision table" xfId="3555"/>
    <cellStyle name="EnVision table 2" xfId="3556"/>
    <cellStyle name="EnVision table 3" xfId="3557"/>
    <cellStyle name="EnVision table 4" xfId="3558"/>
    <cellStyle name="Envision Table Body" xfId="3559"/>
    <cellStyle name="Envision Table Body 2" xfId="3560"/>
    <cellStyle name="Envision Table Body 3" xfId="3561"/>
    <cellStyle name="Envision Table Body 4" xfId="3562"/>
    <cellStyle name="Envision Table Body 5" xfId="3563"/>
    <cellStyle name="Envision Table Body 6" xfId="3564"/>
    <cellStyle name="Envision Table Body 7" xfId="3565"/>
    <cellStyle name="Envision Table Body 8" xfId="3566"/>
    <cellStyle name="EnVision Table Heading" xfId="3567"/>
    <cellStyle name="EnVision Table Heading 2" xfId="3568"/>
    <cellStyle name="EnVision Table Heading 3" xfId="3569"/>
    <cellStyle name="EnVision Table Heading 3 2" xfId="3570"/>
    <cellStyle name="EnVision Table Heading 4" xfId="3571"/>
    <cellStyle name="EnVision Table Heading 5" xfId="3572"/>
    <cellStyle name="EnVision Table Heading 6" xfId="3573"/>
    <cellStyle name="EnVision Title" xfId="3574"/>
    <cellStyle name="EnVision Title 2" xfId="3575"/>
    <cellStyle name="EnVision Title 3" xfId="3576"/>
    <cellStyle name="EnVision Title 4" xfId="3577"/>
    <cellStyle name="Euro" xfId="3578"/>
    <cellStyle name="Euro 10" xfId="3579"/>
    <cellStyle name="Euro 11" xfId="3580"/>
    <cellStyle name="Euro 12" xfId="3581"/>
    <cellStyle name="Euro 13" xfId="3582"/>
    <cellStyle name="Euro 14" xfId="3583"/>
    <cellStyle name="Euro 15" xfId="3584"/>
    <cellStyle name="Euro 16" xfId="3585"/>
    <cellStyle name="Euro 17" xfId="3586"/>
    <cellStyle name="Euro 18" xfId="3587"/>
    <cellStyle name="Euro 19" xfId="3588"/>
    <cellStyle name="Euro 2" xfId="3589"/>
    <cellStyle name="Euro 2 2" xfId="3590"/>
    <cellStyle name="Euro 2 3" xfId="3591"/>
    <cellStyle name="Euro 2 4" xfId="3592"/>
    <cellStyle name="Euro 2 5" xfId="3593"/>
    <cellStyle name="Euro 2 6" xfId="3594"/>
    <cellStyle name="Euro 2 7" xfId="3595"/>
    <cellStyle name="Euro 20" xfId="3596"/>
    <cellStyle name="Euro 21" xfId="3597"/>
    <cellStyle name="Euro 22" xfId="3598"/>
    <cellStyle name="Euro 23" xfId="3599"/>
    <cellStyle name="Euro 24" xfId="3600"/>
    <cellStyle name="Euro 25" xfId="3601"/>
    <cellStyle name="Euro 26" xfId="3602"/>
    <cellStyle name="Euro 27" xfId="3603"/>
    <cellStyle name="Euro 28" xfId="3604"/>
    <cellStyle name="Euro 29" xfId="3605"/>
    <cellStyle name="Euro 3" xfId="3606"/>
    <cellStyle name="Euro 4" xfId="3607"/>
    <cellStyle name="Euro 5" xfId="3608"/>
    <cellStyle name="Euro 6" xfId="3609"/>
    <cellStyle name="Euro 7" xfId="3610"/>
    <cellStyle name="Euro 8" xfId="3611"/>
    <cellStyle name="Euro 9" xfId="3612"/>
    <cellStyle name="Explanatory Text 10" xfId="3613"/>
    <cellStyle name="Explanatory Text 11" xfId="3614"/>
    <cellStyle name="Explanatory Text 12" xfId="3615"/>
    <cellStyle name="Explanatory Text 13" xfId="3616"/>
    <cellStyle name="Explanatory Text 14" xfId="3617"/>
    <cellStyle name="Explanatory Text 15" xfId="3618"/>
    <cellStyle name="Explanatory Text 16" xfId="3619"/>
    <cellStyle name="Explanatory Text 17" xfId="3620"/>
    <cellStyle name="Explanatory Text 18" xfId="3621"/>
    <cellStyle name="Explanatory Text 19" xfId="3622"/>
    <cellStyle name="Explanatory Text 2" xfId="3623"/>
    <cellStyle name="Explanatory Text 2 2" xfId="3624"/>
    <cellStyle name="Explanatory Text 2 2 2" xfId="3625"/>
    <cellStyle name="Explanatory Text 2 3" xfId="3626"/>
    <cellStyle name="Explanatory Text 2 4" xfId="3627"/>
    <cellStyle name="Explanatory Text 2 5" xfId="3628"/>
    <cellStyle name="Explanatory Text 20" xfId="3629"/>
    <cellStyle name="Explanatory Text 21" xfId="3630"/>
    <cellStyle name="Explanatory Text 22" xfId="3631"/>
    <cellStyle name="Explanatory Text 23" xfId="3632"/>
    <cellStyle name="Explanatory Text 24" xfId="3633"/>
    <cellStyle name="Explanatory Text 25" xfId="3634"/>
    <cellStyle name="Explanatory Text 26" xfId="3635"/>
    <cellStyle name="Explanatory Text 27" xfId="3636"/>
    <cellStyle name="Explanatory Text 28" xfId="3637"/>
    <cellStyle name="Explanatory Text 29" xfId="3638"/>
    <cellStyle name="Explanatory Text 3" xfId="3639"/>
    <cellStyle name="Explanatory Text 3 2" xfId="3640"/>
    <cellStyle name="Explanatory Text 30" xfId="3641"/>
    <cellStyle name="Explanatory Text 31" xfId="3642"/>
    <cellStyle name="Explanatory Text 32" xfId="3643"/>
    <cellStyle name="Explanatory Text 33" xfId="3644"/>
    <cellStyle name="Explanatory Text 34" xfId="3645"/>
    <cellStyle name="Explanatory Text 35" xfId="3646"/>
    <cellStyle name="Explanatory Text 35 2" xfId="3647"/>
    <cellStyle name="Explanatory Text 35 2 2" xfId="3648"/>
    <cellStyle name="Explanatory Text 35 2 2 2" xfId="3649"/>
    <cellStyle name="Explanatory Text 35 3" xfId="3650"/>
    <cellStyle name="Explanatory Text 35 4" xfId="3651"/>
    <cellStyle name="Explanatory Text 36" xfId="3652"/>
    <cellStyle name="Explanatory Text 37" xfId="3653"/>
    <cellStyle name="Explanatory Text 38" xfId="3654"/>
    <cellStyle name="Explanatory Text 39" xfId="3655"/>
    <cellStyle name="Explanatory Text 4" xfId="3656"/>
    <cellStyle name="Explanatory Text 40" xfId="3657"/>
    <cellStyle name="Explanatory Text 41" xfId="3658"/>
    <cellStyle name="Explanatory Text 42" xfId="3659"/>
    <cellStyle name="Explanatory Text 43" xfId="3660"/>
    <cellStyle name="Explanatory Text 44" xfId="3661"/>
    <cellStyle name="Explanatory Text 45" xfId="3662"/>
    <cellStyle name="Explanatory Text 46" xfId="3663"/>
    <cellStyle name="Explanatory Text 47" xfId="3664"/>
    <cellStyle name="Explanatory Text 48" xfId="3665"/>
    <cellStyle name="Explanatory Text 49" xfId="3666"/>
    <cellStyle name="Explanatory Text 5" xfId="3667"/>
    <cellStyle name="Explanatory Text 50" xfId="3668"/>
    <cellStyle name="Explanatory Text 51" xfId="3669"/>
    <cellStyle name="Explanatory Text 52" xfId="3670"/>
    <cellStyle name="Explanatory Text 53" xfId="3671"/>
    <cellStyle name="Explanatory Text 54" xfId="3672"/>
    <cellStyle name="Explanatory Text 55" xfId="3673"/>
    <cellStyle name="Explanatory Text 56" xfId="3674"/>
    <cellStyle name="Explanatory Text 57" xfId="3675"/>
    <cellStyle name="Explanatory Text 58" xfId="3676"/>
    <cellStyle name="Explanatory Text 59" xfId="3677"/>
    <cellStyle name="Explanatory Text 6" xfId="3678"/>
    <cellStyle name="Explanatory Text 60" xfId="3679"/>
    <cellStyle name="Explanatory Text 60 2" xfId="3680"/>
    <cellStyle name="Explanatory Text 60 2 2" xfId="3681"/>
    <cellStyle name="Explanatory Text 60 2 3" xfId="3682"/>
    <cellStyle name="Explanatory Text 61" xfId="3683"/>
    <cellStyle name="Explanatory Text 62" xfId="3684"/>
    <cellStyle name="Explanatory Text 63" xfId="3685"/>
    <cellStyle name="Explanatory Text 64" xfId="3686"/>
    <cellStyle name="Explanatory Text 65" xfId="3687"/>
    <cellStyle name="Explanatory Text 7" xfId="3688"/>
    <cellStyle name="Explanatory Text 8" xfId="3689"/>
    <cellStyle name="Explanatory Text 9" xfId="3690"/>
    <cellStyle name="EYBlocked" xfId="3691"/>
    <cellStyle name="EYCallUp" xfId="3692"/>
    <cellStyle name="EYCheck" xfId="3693"/>
    <cellStyle name="EYDate" xfId="3694"/>
    <cellStyle name="EYDeviant" xfId="3695"/>
    <cellStyle name="EYFlag" xfId="3696"/>
    <cellStyle name="EYHeader1" xfId="3697"/>
    <cellStyle name="EYHeader2" xfId="3698"/>
    <cellStyle name="EYHeader3" xfId="3699"/>
    <cellStyle name="EYInputDate" xfId="3700"/>
    <cellStyle name="EYInputPercent" xfId="3701"/>
    <cellStyle name="EYInputValue" xfId="3702"/>
    <cellStyle name="EYNormal" xfId="3703"/>
    <cellStyle name="EYPercent" xfId="3704"/>
    <cellStyle name="EYPercentCapped" xfId="3705"/>
    <cellStyle name="EYSubTotal" xfId="3706"/>
    <cellStyle name="EYTotal" xfId="3707"/>
    <cellStyle name="EYWIP" xfId="3708"/>
    <cellStyle name="F2" xfId="3709"/>
    <cellStyle name="F3" xfId="3710"/>
    <cellStyle name="F4" xfId="3711"/>
    <cellStyle name="F5" xfId="3712"/>
    <cellStyle name="F6" xfId="3713"/>
    <cellStyle name="F7" xfId="3714"/>
    <cellStyle name="F8" xfId="3715"/>
    <cellStyle name="Fijo" xfId="3716"/>
    <cellStyle name="Filler" xfId="3717"/>
    <cellStyle name="Filler 2" xfId="3718"/>
    <cellStyle name="Filler 3" xfId="3719"/>
    <cellStyle name="Filler 4" xfId="3720"/>
    <cellStyle name="Filler 5" xfId="3721"/>
    <cellStyle name="Filler 6" xfId="3722"/>
    <cellStyle name="Financiero" xfId="3723"/>
    <cellStyle name="Fixed" xfId="3724"/>
    <cellStyle name="Fixed 2" xfId="3725"/>
    <cellStyle name="Fixed1 - Style1" xfId="3726"/>
    <cellStyle name="Flag" xfId="3727"/>
    <cellStyle name="Flash" xfId="3728"/>
    <cellStyle name="Fonts" xfId="3729"/>
    <cellStyle name="Footer SBILogo1" xfId="3730"/>
    <cellStyle name="Footer SBILogo2" xfId="3731"/>
    <cellStyle name="Footnote" xfId="3732"/>
    <cellStyle name="footnote ref" xfId="3733"/>
    <cellStyle name="Footnote Reference" xfId="3734"/>
    <cellStyle name="footnote text" xfId="3735"/>
    <cellStyle name="Footnote_% Change" xfId="3736"/>
    <cellStyle name="Forecast Cell Column Heading" xfId="3737"/>
    <cellStyle name="Forecast Cell Column Heading 2" xfId="3738"/>
    <cellStyle name="Forecast Cell Column Heading 3" xfId="3739"/>
    <cellStyle name="Forecast Cell Column Heading 4" xfId="3740"/>
    <cellStyle name="Forecast Cell Column Heading 5" xfId="3741"/>
    <cellStyle name="Forecast Cell Column Heading 6" xfId="3742"/>
    <cellStyle name="Forecast Cell Column Heading 7" xfId="3743"/>
    <cellStyle name="Forecast Cell Column Heading 8" xfId="3744"/>
    <cellStyle name="Forecast Cell Column Heading 9" xfId="3745"/>
    <cellStyle name="Formula_RP" xfId="3746"/>
    <cellStyle name="FormulaLbl_RP" xfId="3747"/>
    <cellStyle name="General" xfId="3748"/>
    <cellStyle name="General 2" xfId="3749"/>
    <cellStyle name="General 2 2" xfId="3750"/>
    <cellStyle name="General 3" xfId="3751"/>
    <cellStyle name="Good 10" xfId="3752"/>
    <cellStyle name="Good 11" xfId="3753"/>
    <cellStyle name="Good 12" xfId="3754"/>
    <cellStyle name="Good 13" xfId="3755"/>
    <cellStyle name="Good 14" xfId="3756"/>
    <cellStyle name="Good 15" xfId="3757"/>
    <cellStyle name="Good 16" xfId="3758"/>
    <cellStyle name="Good 17" xfId="3759"/>
    <cellStyle name="Good 18" xfId="3760"/>
    <cellStyle name="Good 19" xfId="3761"/>
    <cellStyle name="Good 2" xfId="3762"/>
    <cellStyle name="Good 2 2" xfId="3763"/>
    <cellStyle name="Good 2 2 2" xfId="3764"/>
    <cellStyle name="Good 2 2 3" xfId="3765"/>
    <cellStyle name="Good 2 3" xfId="3766"/>
    <cellStyle name="Good 2 4" xfId="3767"/>
    <cellStyle name="Good 2 5" xfId="3768"/>
    <cellStyle name="Good 20" xfId="3769"/>
    <cellStyle name="Good 21" xfId="3770"/>
    <cellStyle name="Good 22" xfId="3771"/>
    <cellStyle name="Good 23" xfId="3772"/>
    <cellStyle name="Good 24" xfId="3773"/>
    <cellStyle name="Good 25" xfId="3774"/>
    <cellStyle name="Good 26" xfId="3775"/>
    <cellStyle name="Good 27" xfId="3776"/>
    <cellStyle name="Good 28" xfId="3777"/>
    <cellStyle name="Good 29" xfId="3778"/>
    <cellStyle name="Good 3" xfId="3779"/>
    <cellStyle name="Good 3 2" xfId="3780"/>
    <cellStyle name="Good 3 3" xfId="3781"/>
    <cellStyle name="Good 30" xfId="3782"/>
    <cellStyle name="Good 31" xfId="3783"/>
    <cellStyle name="Good 32" xfId="3784"/>
    <cellStyle name="Good 33" xfId="3785"/>
    <cellStyle name="Good 34" xfId="3786"/>
    <cellStyle name="Good 35" xfId="3787"/>
    <cellStyle name="Good 35 2" xfId="3788"/>
    <cellStyle name="Good 35 2 2" xfId="3789"/>
    <cellStyle name="Good 35 2 2 2" xfId="3790"/>
    <cellStyle name="Good 35 3" xfId="3791"/>
    <cellStyle name="Good 35 4" xfId="3792"/>
    <cellStyle name="Good 36" xfId="3793"/>
    <cellStyle name="Good 37" xfId="3794"/>
    <cellStyle name="Good 38" xfId="3795"/>
    <cellStyle name="Good 39" xfId="3796"/>
    <cellStyle name="Good 4" xfId="3797"/>
    <cellStyle name="Good 4 2" xfId="3798"/>
    <cellStyle name="Good 40" xfId="3799"/>
    <cellStyle name="Good 41" xfId="3800"/>
    <cellStyle name="Good 42" xfId="3801"/>
    <cellStyle name="Good 43" xfId="3802"/>
    <cellStyle name="Good 44" xfId="3803"/>
    <cellStyle name="Good 45" xfId="3804"/>
    <cellStyle name="Good 46" xfId="3805"/>
    <cellStyle name="Good 47" xfId="3806"/>
    <cellStyle name="Good 48" xfId="3807"/>
    <cellStyle name="Good 49" xfId="3808"/>
    <cellStyle name="Good 5" xfId="3809"/>
    <cellStyle name="Good 50" xfId="3810"/>
    <cellStyle name="Good 51" xfId="3811"/>
    <cellStyle name="Good 52" xfId="3812"/>
    <cellStyle name="Good 53" xfId="3813"/>
    <cellStyle name="Good 54" xfId="3814"/>
    <cellStyle name="Good 55" xfId="3815"/>
    <cellStyle name="Good 56" xfId="3816"/>
    <cellStyle name="Good 57" xfId="3817"/>
    <cellStyle name="Good 58" xfId="3818"/>
    <cellStyle name="Good 59" xfId="3819"/>
    <cellStyle name="Good 6" xfId="3820"/>
    <cellStyle name="Good 60" xfId="3821"/>
    <cellStyle name="Good 60 2" xfId="3822"/>
    <cellStyle name="Good 60 2 2" xfId="3823"/>
    <cellStyle name="Good 60 2 3" xfId="3824"/>
    <cellStyle name="Good 61" xfId="3825"/>
    <cellStyle name="Good 62" xfId="3826"/>
    <cellStyle name="Good 63" xfId="3827"/>
    <cellStyle name="Good 64" xfId="3828"/>
    <cellStyle name="Good 65" xfId="3829"/>
    <cellStyle name="Good 7" xfId="3830"/>
    <cellStyle name="Good 8" xfId="3831"/>
    <cellStyle name="Good 9" xfId="3832"/>
    <cellStyle name="Grey" xfId="3833"/>
    <cellStyle name="Grey 2" xfId="3834"/>
    <cellStyle name="Group" xfId="3835"/>
    <cellStyle name="GroupNote" xfId="3836"/>
    <cellStyle name="Hard Percent" xfId="3837"/>
    <cellStyle name="HardCodeCalc" xfId="3838"/>
    <cellStyle name="head11a" xfId="3839"/>
    <cellStyle name="head11b" xfId="3840"/>
    <cellStyle name="head11c" xfId="3841"/>
    <cellStyle name="head14" xfId="3842"/>
    <cellStyle name="headd" xfId="3843"/>
    <cellStyle name="Header" xfId="3844"/>
    <cellStyle name="Header 2" xfId="3845"/>
    <cellStyle name="Header Draft Stamp" xfId="3846"/>
    <cellStyle name="Header_% Change" xfId="3847"/>
    <cellStyle name="Header1" xfId="3848"/>
    <cellStyle name="Header2" xfId="3849"/>
    <cellStyle name="HeaderLabel" xfId="3850"/>
    <cellStyle name="HeaderText" xfId="3851"/>
    <cellStyle name="Heading" xfId="3852"/>
    <cellStyle name="Heading 1 10" xfId="3853"/>
    <cellStyle name="Heading 1 11" xfId="3854"/>
    <cellStyle name="Heading 1 12" xfId="3855"/>
    <cellStyle name="Heading 1 13" xfId="3856"/>
    <cellStyle name="Heading 1 14" xfId="3857"/>
    <cellStyle name="Heading 1 15" xfId="3858"/>
    <cellStyle name="Heading 1 16" xfId="3859"/>
    <cellStyle name="Heading 1 17" xfId="3860"/>
    <cellStyle name="Heading 1 18" xfId="3861"/>
    <cellStyle name="Heading 1 19" xfId="3862"/>
    <cellStyle name="Heading 1 2" xfId="3863"/>
    <cellStyle name="HEADING 1 2 10" xfId="3864"/>
    <cellStyle name="Heading 1 2 11" xfId="3865"/>
    <cellStyle name="Heading 1 2 12" xfId="3866"/>
    <cellStyle name="Heading 1 2 13" xfId="3867"/>
    <cellStyle name="Heading 1 2 14" xfId="3868"/>
    <cellStyle name="Heading 1 2 15" xfId="3869"/>
    <cellStyle name="Heading 1 2 16" xfId="3870"/>
    <cellStyle name="Heading 1 2 17" xfId="3871"/>
    <cellStyle name="Heading 1 2 18" xfId="3872"/>
    <cellStyle name="Heading 1 2 19" xfId="3873"/>
    <cellStyle name="Heading 1 2 2" xfId="3874"/>
    <cellStyle name="Heading 1 2 2 2" xfId="3875"/>
    <cellStyle name="Heading 1 2 3" xfId="3876"/>
    <cellStyle name="Heading 1 2 3 2" xfId="3877"/>
    <cellStyle name="Heading 1 2 4" xfId="3878"/>
    <cellStyle name="Heading 1 2 4 2" xfId="3879"/>
    <cellStyle name="Heading 1 2 5" xfId="3880"/>
    <cellStyle name="Heading 1 2 5 2" xfId="3881"/>
    <cellStyle name="Heading 1 2 6" xfId="3882"/>
    <cellStyle name="Heading 1 2 6 2" xfId="3883"/>
    <cellStyle name="HEADING 1 2 7" xfId="3884"/>
    <cellStyle name="HEADING 1 2 8" xfId="3885"/>
    <cellStyle name="HEADING 1 2 9" xfId="3886"/>
    <cellStyle name="Heading 1 2_asset sales" xfId="3887"/>
    <cellStyle name="Heading 1 20" xfId="3888"/>
    <cellStyle name="Heading 1 21" xfId="3889"/>
    <cellStyle name="Heading 1 22" xfId="3890"/>
    <cellStyle name="Heading 1 23" xfId="3891"/>
    <cellStyle name="Heading 1 24" xfId="3892"/>
    <cellStyle name="Heading 1 25" xfId="3893"/>
    <cellStyle name="Heading 1 26" xfId="3894"/>
    <cellStyle name="Heading 1 27" xfId="3895"/>
    <cellStyle name="Heading 1 28" xfId="3896"/>
    <cellStyle name="Heading 1 29" xfId="3897"/>
    <cellStyle name="Heading 1 3" xfId="3898"/>
    <cellStyle name="HEADING 1 3 2" xfId="3899"/>
    <cellStyle name="Heading 1 30" xfId="3900"/>
    <cellStyle name="Heading 1 31" xfId="3901"/>
    <cellStyle name="Heading 1 32" xfId="3902"/>
    <cellStyle name="Heading 1 33" xfId="3903"/>
    <cellStyle name="Heading 1 34" xfId="3904"/>
    <cellStyle name="Heading 1 35" xfId="3905"/>
    <cellStyle name="Heading 1 35 2" xfId="3906"/>
    <cellStyle name="Heading 1 35 2 2" xfId="3907"/>
    <cellStyle name="Heading 1 35 2 2 2" xfId="3908"/>
    <cellStyle name="Heading 1 35 3" xfId="3909"/>
    <cellStyle name="Heading 1 35 4" xfId="3910"/>
    <cellStyle name="Heading 1 36" xfId="3911"/>
    <cellStyle name="Heading 1 37" xfId="3912"/>
    <cellStyle name="Heading 1 38" xfId="3913"/>
    <cellStyle name="Heading 1 39" xfId="3914"/>
    <cellStyle name="Heading 1 4" xfId="3915"/>
    <cellStyle name="Heading 1 4 2" xfId="3916"/>
    <cellStyle name="HEADING 1 4 3" xfId="3917"/>
    <cellStyle name="HEADING 1 4 4" xfId="3918"/>
    <cellStyle name="HEADING 1 4 5" xfId="3919"/>
    <cellStyle name="HEADING 1 4 6" xfId="3920"/>
    <cellStyle name="HEADING 1 4 7" xfId="3921"/>
    <cellStyle name="Heading 1 40" xfId="3922"/>
    <cellStyle name="Heading 1 41" xfId="3923"/>
    <cellStyle name="Heading 1 42" xfId="3924"/>
    <cellStyle name="Heading 1 43" xfId="3925"/>
    <cellStyle name="Heading 1 44" xfId="3926"/>
    <cellStyle name="Heading 1 45" xfId="3927"/>
    <cellStyle name="Heading 1 46" xfId="3928"/>
    <cellStyle name="Heading 1 47" xfId="3929"/>
    <cellStyle name="Heading 1 48" xfId="3930"/>
    <cellStyle name="Heading 1 49" xfId="3931"/>
    <cellStyle name="Heading 1 5" xfId="3932"/>
    <cellStyle name="Heading 1 50" xfId="3933"/>
    <cellStyle name="Heading 1 51" xfId="3934"/>
    <cellStyle name="Heading 1 52" xfId="3935"/>
    <cellStyle name="Heading 1 53" xfId="3936"/>
    <cellStyle name="Heading 1 54" xfId="3937"/>
    <cellStyle name="Heading 1 55" xfId="3938"/>
    <cellStyle name="Heading 1 56" xfId="3939"/>
    <cellStyle name="Heading 1 57" xfId="3940"/>
    <cellStyle name="Heading 1 58" xfId="3941"/>
    <cellStyle name="Heading 1 59" xfId="3942"/>
    <cellStyle name="Heading 1 6" xfId="3943"/>
    <cellStyle name="Heading 1 60" xfId="3944"/>
    <cellStyle name="Heading 1 60 2" xfId="3945"/>
    <cellStyle name="Heading 1 60 2 2" xfId="3946"/>
    <cellStyle name="Heading 1 60 2 2 2" xfId="3947"/>
    <cellStyle name="Heading 1 60 2 3" xfId="3948"/>
    <cellStyle name="Heading 1 61" xfId="3949"/>
    <cellStyle name="Heading 1 62" xfId="3950"/>
    <cellStyle name="Heading 1 63" xfId="3951"/>
    <cellStyle name="Heading 1 64" xfId="3952"/>
    <cellStyle name="Heading 1 65" xfId="3953"/>
    <cellStyle name="Heading 1 7" xfId="3954"/>
    <cellStyle name="Heading 1 8" xfId="3955"/>
    <cellStyle name="Heading 1 9" xfId="3956"/>
    <cellStyle name="Heading 1 Above" xfId="3957"/>
    <cellStyle name="Heading 1." xfId="3958"/>
    <cellStyle name="Heading 1+" xfId="3959"/>
    <cellStyle name="heading 10" xfId="3960"/>
    <cellStyle name="Heading 2 10" xfId="3961"/>
    <cellStyle name="Heading 2 11" xfId="3962"/>
    <cellStyle name="Heading 2 12" xfId="3963"/>
    <cellStyle name="Heading 2 13" xfId="3964"/>
    <cellStyle name="Heading 2 14" xfId="3965"/>
    <cellStyle name="Heading 2 15" xfId="3966"/>
    <cellStyle name="Heading 2 16" xfId="3967"/>
    <cellStyle name="Heading 2 17" xfId="3968"/>
    <cellStyle name="Heading 2 18" xfId="3969"/>
    <cellStyle name="Heading 2 19" xfId="3970"/>
    <cellStyle name="Heading 2 2" xfId="3971"/>
    <cellStyle name="HEADING 2 2 10" xfId="3972"/>
    <cellStyle name="Heading 2 2 11" xfId="3973"/>
    <cellStyle name="Heading 2 2 12" xfId="3974"/>
    <cellStyle name="Heading 2 2 13" xfId="3975"/>
    <cellStyle name="Heading 2 2 14" xfId="3976"/>
    <cellStyle name="Heading 2 2 15" xfId="3977"/>
    <cellStyle name="Heading 2 2 16" xfId="3978"/>
    <cellStyle name="Heading 2 2 17" xfId="3979"/>
    <cellStyle name="Heading 2 2 18" xfId="3980"/>
    <cellStyle name="Heading 2 2 2" xfId="3981"/>
    <cellStyle name="Heading 2 2 2 2" xfId="3982"/>
    <cellStyle name="Heading 2 2 3" xfId="3983"/>
    <cellStyle name="HEADING 2 2 4" xfId="3984"/>
    <cellStyle name="HEADING 2 2 5" xfId="3985"/>
    <cellStyle name="HEADING 2 2 6" xfId="3986"/>
    <cellStyle name="HEADING 2 2 7" xfId="3987"/>
    <cellStyle name="HEADING 2 2 8" xfId="3988"/>
    <cellStyle name="HEADING 2 2 9" xfId="3989"/>
    <cellStyle name="Heading 2 20" xfId="3990"/>
    <cellStyle name="Heading 2 21" xfId="3991"/>
    <cellStyle name="Heading 2 22" xfId="3992"/>
    <cellStyle name="Heading 2 23" xfId="3993"/>
    <cellStyle name="Heading 2 24" xfId="3994"/>
    <cellStyle name="Heading 2 25" xfId="3995"/>
    <cellStyle name="Heading 2 26" xfId="3996"/>
    <cellStyle name="Heading 2 27" xfId="3997"/>
    <cellStyle name="Heading 2 28" xfId="3998"/>
    <cellStyle name="Heading 2 29" xfId="3999"/>
    <cellStyle name="Heading 2 3" xfId="4000"/>
    <cellStyle name="HEADING 2 3 2" xfId="4001"/>
    <cellStyle name="Heading 2 30" xfId="4002"/>
    <cellStyle name="Heading 2 31" xfId="4003"/>
    <cellStyle name="Heading 2 32" xfId="4004"/>
    <cellStyle name="Heading 2 33" xfId="4005"/>
    <cellStyle name="Heading 2 34" xfId="4006"/>
    <cellStyle name="Heading 2 35" xfId="4007"/>
    <cellStyle name="Heading 2 35 2" xfId="4008"/>
    <cellStyle name="Heading 2 35 2 2" xfId="4009"/>
    <cellStyle name="Heading 2 35 2 2 2" xfId="4010"/>
    <cellStyle name="Heading 2 35 3" xfId="4011"/>
    <cellStyle name="Heading 2 35 4" xfId="4012"/>
    <cellStyle name="Heading 2 36" xfId="4013"/>
    <cellStyle name="Heading 2 37" xfId="4014"/>
    <cellStyle name="Heading 2 38" xfId="4015"/>
    <cellStyle name="Heading 2 39" xfId="4016"/>
    <cellStyle name="Heading 2 4" xfId="4017"/>
    <cellStyle name="Heading 2 4 2" xfId="4018"/>
    <cellStyle name="HEADING 2 4 3" xfId="4019"/>
    <cellStyle name="HEADING 2 4 4" xfId="4020"/>
    <cellStyle name="HEADING 2 4 5" xfId="4021"/>
    <cellStyle name="HEADING 2 4 6" xfId="4022"/>
    <cellStyle name="HEADING 2 4 7" xfId="4023"/>
    <cellStyle name="Heading 2 40" xfId="4024"/>
    <cellStyle name="Heading 2 41" xfId="4025"/>
    <cellStyle name="Heading 2 42" xfId="4026"/>
    <cellStyle name="Heading 2 43" xfId="4027"/>
    <cellStyle name="Heading 2 44" xfId="4028"/>
    <cellStyle name="Heading 2 45" xfId="4029"/>
    <cellStyle name="Heading 2 46" xfId="4030"/>
    <cellStyle name="Heading 2 47" xfId="4031"/>
    <cellStyle name="Heading 2 48" xfId="4032"/>
    <cellStyle name="Heading 2 49" xfId="4033"/>
    <cellStyle name="Heading 2 5" xfId="4034"/>
    <cellStyle name="Heading 2 50" xfId="4035"/>
    <cellStyle name="Heading 2 51" xfId="4036"/>
    <cellStyle name="Heading 2 52" xfId="4037"/>
    <cellStyle name="Heading 2 53" xfId="4038"/>
    <cellStyle name="Heading 2 54" xfId="4039"/>
    <cellStyle name="Heading 2 55" xfId="4040"/>
    <cellStyle name="Heading 2 56" xfId="4041"/>
    <cellStyle name="Heading 2 57" xfId="4042"/>
    <cellStyle name="Heading 2 58" xfId="4043"/>
    <cellStyle name="Heading 2 59" xfId="4044"/>
    <cellStyle name="Heading 2 6" xfId="4045"/>
    <cellStyle name="Heading 2 60" xfId="4046"/>
    <cellStyle name="Heading 2 60 2" xfId="4047"/>
    <cellStyle name="Heading 2 60 2 2" xfId="4048"/>
    <cellStyle name="Heading 2 60 2 2 2" xfId="4049"/>
    <cellStyle name="Heading 2 60 2 3" xfId="4050"/>
    <cellStyle name="Heading 2 61" xfId="4051"/>
    <cellStyle name="Heading 2 62" xfId="4052"/>
    <cellStyle name="Heading 2 63" xfId="4053"/>
    <cellStyle name="Heading 2 64" xfId="4054"/>
    <cellStyle name="Heading 2 65" xfId="4055"/>
    <cellStyle name="Heading 2 7" xfId="4056"/>
    <cellStyle name="Heading 2 8" xfId="4057"/>
    <cellStyle name="Heading 2 9" xfId="4058"/>
    <cellStyle name="Heading 2 Below" xfId="4059"/>
    <cellStyle name="Heading 2." xfId="4060"/>
    <cellStyle name="Heading 2+" xfId="4061"/>
    <cellStyle name="Heading 3 10" xfId="4062"/>
    <cellStyle name="Heading 3 11" xfId="4063"/>
    <cellStyle name="Heading 3 12" xfId="4064"/>
    <cellStyle name="Heading 3 13" xfId="4065"/>
    <cellStyle name="Heading 3 14" xfId="4066"/>
    <cellStyle name="Heading 3 15" xfId="4067"/>
    <cellStyle name="Heading 3 16" xfId="4068"/>
    <cellStyle name="Heading 3 17" xfId="4069"/>
    <cellStyle name="Heading 3 18" xfId="4070"/>
    <cellStyle name="Heading 3 19" xfId="4071"/>
    <cellStyle name="Heading 3 2" xfId="4072"/>
    <cellStyle name="HEADING 3 2 10" xfId="4073"/>
    <cellStyle name="Heading 3 2 11" xfId="4074"/>
    <cellStyle name="Heading 3 2 12" xfId="4075"/>
    <cellStyle name="Heading 3 2 13" xfId="4076"/>
    <cellStyle name="Heading 3 2 14" xfId="4077"/>
    <cellStyle name="Heading 3 2 15" xfId="4078"/>
    <cellStyle name="Heading 3 2 16" xfId="4079"/>
    <cellStyle name="Heading 3 2 17" xfId="4080"/>
    <cellStyle name="Heading 3 2 18" xfId="4081"/>
    <cellStyle name="HEADING 3 2 2" xfId="4082"/>
    <cellStyle name="Heading 3 2 2 2" xfId="4083"/>
    <cellStyle name="Heading 3 2 3" xfId="4084"/>
    <cellStyle name="Heading 3 2 3 2" xfId="4085"/>
    <cellStyle name="Heading 3 2 4" xfId="4086"/>
    <cellStyle name="Heading 3 2 4 2" xfId="4087"/>
    <cellStyle name="Heading 3 2 5" xfId="4088"/>
    <cellStyle name="Heading 3 2 5 2" xfId="4089"/>
    <cellStyle name="Heading 3 2 6" xfId="4090"/>
    <cellStyle name="Heading 3 2 6 2" xfId="4091"/>
    <cellStyle name="HEADING 3 2 7" xfId="4092"/>
    <cellStyle name="HEADING 3 2 8" xfId="4093"/>
    <cellStyle name="HEADING 3 2 9" xfId="4094"/>
    <cellStyle name="Heading 3 20" xfId="4095"/>
    <cellStyle name="Heading 3 21" xfId="4096"/>
    <cellStyle name="Heading 3 22" xfId="4097"/>
    <cellStyle name="Heading 3 23" xfId="4098"/>
    <cellStyle name="Heading 3 24" xfId="4099"/>
    <cellStyle name="Heading 3 25" xfId="4100"/>
    <cellStyle name="Heading 3 26" xfId="4101"/>
    <cellStyle name="Heading 3 27" xfId="4102"/>
    <cellStyle name="Heading 3 28" xfId="4103"/>
    <cellStyle name="Heading 3 29" xfId="4104"/>
    <cellStyle name="Heading 3 3" xfId="4105"/>
    <cellStyle name="Heading 3 3 2" xfId="4106"/>
    <cellStyle name="HEADING 3 3 3" xfId="4107"/>
    <cellStyle name="HEADING 3 3 4" xfId="4108"/>
    <cellStyle name="HEADING 3 3 5" xfId="4109"/>
    <cellStyle name="HEADING 3 3 6" xfId="4110"/>
    <cellStyle name="HEADING 3 3 7" xfId="4111"/>
    <cellStyle name="Heading 3 30" xfId="4112"/>
    <cellStyle name="Heading 3 31" xfId="4113"/>
    <cellStyle name="Heading 3 32" xfId="4114"/>
    <cellStyle name="Heading 3 33" xfId="4115"/>
    <cellStyle name="Heading 3 34" xfId="4116"/>
    <cellStyle name="Heading 3 35" xfId="4117"/>
    <cellStyle name="Heading 3 35 2" xfId="4118"/>
    <cellStyle name="Heading 3 35 2 2" xfId="4119"/>
    <cellStyle name="Heading 3 35 2 2 2" xfId="4120"/>
    <cellStyle name="Heading 3 35 3" xfId="4121"/>
    <cellStyle name="Heading 3 35 4" xfId="4122"/>
    <cellStyle name="Heading 3 36" xfId="4123"/>
    <cellStyle name="Heading 3 37" xfId="4124"/>
    <cellStyle name="Heading 3 38" xfId="4125"/>
    <cellStyle name="Heading 3 39" xfId="4126"/>
    <cellStyle name="Heading 3 4" xfId="4127"/>
    <cellStyle name="Heading 3 4 2" xfId="4128"/>
    <cellStyle name="HEADING 3 4 3" xfId="4129"/>
    <cellStyle name="HEADING 3 4 4" xfId="4130"/>
    <cellStyle name="HEADING 3 4 5" xfId="4131"/>
    <cellStyle name="HEADING 3 4 6" xfId="4132"/>
    <cellStyle name="HEADING 3 4 7" xfId="4133"/>
    <cellStyle name="Heading 3 40" xfId="4134"/>
    <cellStyle name="Heading 3 41" xfId="4135"/>
    <cellStyle name="Heading 3 42" xfId="4136"/>
    <cellStyle name="Heading 3 43" xfId="4137"/>
    <cellStyle name="Heading 3 44" xfId="4138"/>
    <cellStyle name="Heading 3 45" xfId="4139"/>
    <cellStyle name="Heading 3 46" xfId="4140"/>
    <cellStyle name="Heading 3 47" xfId="4141"/>
    <cellStyle name="Heading 3 48" xfId="4142"/>
    <cellStyle name="Heading 3 49" xfId="4143"/>
    <cellStyle name="Heading 3 5" xfId="4144"/>
    <cellStyle name="Heading 3 50" xfId="4145"/>
    <cellStyle name="Heading 3 51" xfId="4146"/>
    <cellStyle name="Heading 3 52" xfId="4147"/>
    <cellStyle name="Heading 3 53" xfId="4148"/>
    <cellStyle name="Heading 3 54" xfId="4149"/>
    <cellStyle name="Heading 3 55" xfId="4150"/>
    <cellStyle name="Heading 3 56" xfId="4151"/>
    <cellStyle name="Heading 3 57" xfId="4152"/>
    <cellStyle name="Heading 3 58" xfId="4153"/>
    <cellStyle name="Heading 3 59" xfId="4154"/>
    <cellStyle name="Heading 3 6" xfId="4155"/>
    <cellStyle name="Heading 3 60" xfId="4156"/>
    <cellStyle name="Heading 3 60 2" xfId="4157"/>
    <cellStyle name="Heading 3 60 2 2" xfId="4158"/>
    <cellStyle name="Heading 3 60 2 2 2" xfId="4159"/>
    <cellStyle name="Heading 3 60 2 3" xfId="4160"/>
    <cellStyle name="Heading 3 61" xfId="4161"/>
    <cellStyle name="Heading 3 62" xfId="4162"/>
    <cellStyle name="Heading 3 63" xfId="4163"/>
    <cellStyle name="Heading 3 64" xfId="4164"/>
    <cellStyle name="Heading 3 65" xfId="4165"/>
    <cellStyle name="Heading 3 7" xfId="4166"/>
    <cellStyle name="Heading 3 8" xfId="4167"/>
    <cellStyle name="Heading 3 9" xfId="4168"/>
    <cellStyle name="Heading 3." xfId="4169"/>
    <cellStyle name="Heading 3+" xfId="4170"/>
    <cellStyle name="Heading 4 10" xfId="4171"/>
    <cellStyle name="Heading 4 11" xfId="4172"/>
    <cellStyle name="Heading 4 12" xfId="4173"/>
    <cellStyle name="Heading 4 13" xfId="4174"/>
    <cellStyle name="Heading 4 14" xfId="4175"/>
    <cellStyle name="Heading 4 15" xfId="4176"/>
    <cellStyle name="Heading 4 16" xfId="4177"/>
    <cellStyle name="Heading 4 17" xfId="4178"/>
    <cellStyle name="Heading 4 18" xfId="4179"/>
    <cellStyle name="Heading 4 19" xfId="4180"/>
    <cellStyle name="Heading 4 2" xfId="4181"/>
    <cellStyle name="Heading 4 2 2" xfId="4182"/>
    <cellStyle name="Heading 4 2 2 2" xfId="4183"/>
    <cellStyle name="Heading 4 2 3" xfId="4184"/>
    <cellStyle name="Heading 4 2 4" xfId="4185"/>
    <cellStyle name="Heading 4 2 5" xfId="4186"/>
    <cellStyle name="Heading 4 20" xfId="4187"/>
    <cellStyle name="Heading 4 21" xfId="4188"/>
    <cellStyle name="Heading 4 22" xfId="4189"/>
    <cellStyle name="Heading 4 23" xfId="4190"/>
    <cellStyle name="Heading 4 24" xfId="4191"/>
    <cellStyle name="Heading 4 25" xfId="4192"/>
    <cellStyle name="Heading 4 26" xfId="4193"/>
    <cellStyle name="Heading 4 27" xfId="4194"/>
    <cellStyle name="Heading 4 28" xfId="4195"/>
    <cellStyle name="Heading 4 29" xfId="4196"/>
    <cellStyle name="Heading 4 3" xfId="4197"/>
    <cellStyle name="Heading 4 3 2" xfId="4198"/>
    <cellStyle name="Heading 4 30" xfId="4199"/>
    <cellStyle name="Heading 4 31" xfId="4200"/>
    <cellStyle name="Heading 4 32" xfId="4201"/>
    <cellStyle name="Heading 4 33" xfId="4202"/>
    <cellStyle name="Heading 4 34" xfId="4203"/>
    <cellStyle name="Heading 4 35" xfId="4204"/>
    <cellStyle name="Heading 4 35 2" xfId="4205"/>
    <cellStyle name="Heading 4 35 2 2" xfId="4206"/>
    <cellStyle name="Heading 4 35 2 2 2" xfId="4207"/>
    <cellStyle name="Heading 4 35 3" xfId="4208"/>
    <cellStyle name="Heading 4 35 4" xfId="4209"/>
    <cellStyle name="Heading 4 36" xfId="4210"/>
    <cellStyle name="Heading 4 37" xfId="4211"/>
    <cellStyle name="Heading 4 38" xfId="4212"/>
    <cellStyle name="Heading 4 39" xfId="4213"/>
    <cellStyle name="Heading 4 4" xfId="4214"/>
    <cellStyle name="Heading 4 4 2" xfId="4215"/>
    <cellStyle name="Heading 4 40" xfId="4216"/>
    <cellStyle name="Heading 4 41" xfId="4217"/>
    <cellStyle name="Heading 4 42" xfId="4218"/>
    <cellStyle name="Heading 4 43" xfId="4219"/>
    <cellStyle name="Heading 4 44" xfId="4220"/>
    <cellStyle name="Heading 4 45" xfId="4221"/>
    <cellStyle name="Heading 4 46" xfId="4222"/>
    <cellStyle name="Heading 4 47" xfId="4223"/>
    <cellStyle name="Heading 4 48" xfId="4224"/>
    <cellStyle name="Heading 4 49" xfId="4225"/>
    <cellStyle name="Heading 4 5" xfId="4226"/>
    <cellStyle name="Heading 4 50" xfId="4227"/>
    <cellStyle name="Heading 4 51" xfId="4228"/>
    <cellStyle name="Heading 4 52" xfId="4229"/>
    <cellStyle name="Heading 4 53" xfId="4230"/>
    <cellStyle name="Heading 4 54" xfId="4231"/>
    <cellStyle name="Heading 4 55" xfId="4232"/>
    <cellStyle name="Heading 4 56" xfId="4233"/>
    <cellStyle name="Heading 4 57" xfId="4234"/>
    <cellStyle name="Heading 4 58" xfId="4235"/>
    <cellStyle name="Heading 4 59" xfId="4236"/>
    <cellStyle name="Heading 4 6" xfId="4237"/>
    <cellStyle name="Heading 4 60" xfId="4238"/>
    <cellStyle name="Heading 4 60 2" xfId="4239"/>
    <cellStyle name="Heading 4 60 2 2" xfId="4240"/>
    <cellStyle name="Heading 4 60 2 2 2" xfId="4241"/>
    <cellStyle name="Heading 4 60 2 3" xfId="4242"/>
    <cellStyle name="Heading 4 61" xfId="4243"/>
    <cellStyle name="Heading 4 62" xfId="4244"/>
    <cellStyle name="Heading 4 63" xfId="4245"/>
    <cellStyle name="Heading 4 64" xfId="4246"/>
    <cellStyle name="Heading 4 65" xfId="4247"/>
    <cellStyle name="Heading 4 7" xfId="4248"/>
    <cellStyle name="Heading 4 8" xfId="4249"/>
    <cellStyle name="Heading 4 9" xfId="4250"/>
    <cellStyle name="Heading 4." xfId="4251"/>
    <cellStyle name="Heading 5" xfId="4252"/>
    <cellStyle name="Heading 6" xfId="4253"/>
    <cellStyle name="Heading 7" xfId="4254"/>
    <cellStyle name="Heading 8" xfId="4255"/>
    <cellStyle name="Heading 9" xfId="4256"/>
    <cellStyle name="heading info" xfId="4257"/>
    <cellStyle name="Heading Title" xfId="4258"/>
    <cellStyle name="HEADING1" xfId="4259"/>
    <cellStyle name="Heading1 2" xfId="4260"/>
    <cellStyle name="HEADING2" xfId="4261"/>
    <cellStyle name="Heading2 2" xfId="4262"/>
    <cellStyle name="Heading3" xfId="4263"/>
    <cellStyle name="Heading4" xfId="4264"/>
    <cellStyle name="Heading5" xfId="4265"/>
    <cellStyle name="Headings" xfId="4266"/>
    <cellStyle name="Headings 2" xfId="4267"/>
    <cellStyle name="Headline" xfId="4268"/>
    <cellStyle name="HIGHLIGHT" xfId="4269"/>
    <cellStyle name="Horizontal" xfId="4270"/>
    <cellStyle name="Hyperlink" xfId="3" builtinId="8"/>
    <cellStyle name="Hyperlink 10" xfId="4271"/>
    <cellStyle name="Hyperlink 11" xfId="4272"/>
    <cellStyle name="Hyperlink 12" xfId="4273"/>
    <cellStyle name="Hyperlink 13" xfId="16"/>
    <cellStyle name="Hyperlink 2" xfId="4"/>
    <cellStyle name="Hyperlink 2 2" xfId="4275"/>
    <cellStyle name="Hyperlink 2 2 2" xfId="4276"/>
    <cellStyle name="Hyperlink 2 3" xfId="4277"/>
    <cellStyle name="Hyperlink 2 4" xfId="4278"/>
    <cellStyle name="Hyperlink 2 5" xfId="4279"/>
    <cellStyle name="Hyperlink 2 6" xfId="4280"/>
    <cellStyle name="Hyperlink 2 7" xfId="4281"/>
    <cellStyle name="Hyperlink 2 8" xfId="4282"/>
    <cellStyle name="Hyperlink 2 9" xfId="4274"/>
    <cellStyle name="Hyperlink 2_Ch4 v2" xfId="4283"/>
    <cellStyle name="Hyperlink 3" xfId="4284"/>
    <cellStyle name="Hyperlink 3 2" xfId="4285"/>
    <cellStyle name="Hyperlink 3 3" xfId="4286"/>
    <cellStyle name="Hyperlink 3 4" xfId="4287"/>
    <cellStyle name="Hyperlink 4" xfId="4288"/>
    <cellStyle name="Hyperlink 4 2" xfId="4289"/>
    <cellStyle name="Hyperlink 4 3" xfId="4290"/>
    <cellStyle name="Hyperlink 4 4" xfId="4291"/>
    <cellStyle name="Hyperlink 5" xfId="4292"/>
    <cellStyle name="Hyperlink 5 2" xfId="4293"/>
    <cellStyle name="Hyperlink 5 3" xfId="4294"/>
    <cellStyle name="Hyperlink 6" xfId="4295"/>
    <cellStyle name="Hyperlink 6 2" xfId="4296"/>
    <cellStyle name="Hyperlink 7" xfId="4297"/>
    <cellStyle name="Hyperlink 8" xfId="4298"/>
    <cellStyle name="Hyperlink 8 2" xfId="4299"/>
    <cellStyle name="Hyperlink 9" xfId="4300"/>
    <cellStyle name="Hyperlink Arrow." xfId="4301"/>
    <cellStyle name="Hyperlink Check." xfId="4302"/>
    <cellStyle name="Hyperlink Text." xfId="4303"/>
    <cellStyle name="Information" xfId="4304"/>
    <cellStyle name="Input [yellow]" xfId="4305"/>
    <cellStyle name="Input [yellow] 2" xfId="4306"/>
    <cellStyle name="Input [yellow] 3" xfId="4307"/>
    <cellStyle name="Input 10" xfId="4308"/>
    <cellStyle name="Input 10 2" xfId="4309"/>
    <cellStyle name="Input 11" xfId="4310"/>
    <cellStyle name="Input 11 2" xfId="4311"/>
    <cellStyle name="Input 12" xfId="4312"/>
    <cellStyle name="Input 12 2" xfId="4313"/>
    <cellStyle name="Input 13" xfId="4314"/>
    <cellStyle name="Input 13 2" xfId="4315"/>
    <cellStyle name="Input 14" xfId="4316"/>
    <cellStyle name="Input 14 2" xfId="4317"/>
    <cellStyle name="Input 15" xfId="4318"/>
    <cellStyle name="Input 15 2" xfId="4319"/>
    <cellStyle name="Input 16" xfId="4320"/>
    <cellStyle name="Input 16 2" xfId="4321"/>
    <cellStyle name="Input 17" xfId="4322"/>
    <cellStyle name="Input 17 2" xfId="4323"/>
    <cellStyle name="Input 18" xfId="4324"/>
    <cellStyle name="Input 18 2" xfId="4325"/>
    <cellStyle name="Input 19" xfId="4326"/>
    <cellStyle name="Input 19 2" xfId="4327"/>
    <cellStyle name="Input 2" xfId="4328"/>
    <cellStyle name="Input 2 10" xfId="4329"/>
    <cellStyle name="Input 2 11" xfId="4330"/>
    <cellStyle name="Input 2 12" xfId="4331"/>
    <cellStyle name="Input 2 13" xfId="4332"/>
    <cellStyle name="Input 2 2" xfId="4333"/>
    <cellStyle name="Input 2 2 2" xfId="4334"/>
    <cellStyle name="Input 2 2 2 2" xfId="4335"/>
    <cellStyle name="Input 2 2 2 2 2" xfId="4336"/>
    <cellStyle name="Input 2 2 2 2 3" xfId="4337"/>
    <cellStyle name="Input 2 2 2 2 4" xfId="4338"/>
    <cellStyle name="Input 2 2 2 3" xfId="4339"/>
    <cellStyle name="Input 2 2 2 3 2" xfId="4340"/>
    <cellStyle name="Input 2 2 2 3 3" xfId="4341"/>
    <cellStyle name="Input 2 2 2 3 4" xfId="4342"/>
    <cellStyle name="Input 2 2 2 4" xfId="4343"/>
    <cellStyle name="Input 2 2 2 5" xfId="4344"/>
    <cellStyle name="Input 2 2 2 6" xfId="4345"/>
    <cellStyle name="Input 2 2 3" xfId="4346"/>
    <cellStyle name="Input 2 2 4" xfId="4347"/>
    <cellStyle name="Input 2 2 5" xfId="4348"/>
    <cellStyle name="Input 2 2 6" xfId="4349"/>
    <cellStyle name="Input 2 3" xfId="4350"/>
    <cellStyle name="Input 2 3 2" xfId="4351"/>
    <cellStyle name="Input 2 3 2 2" xfId="4352"/>
    <cellStyle name="Input 2 3 2 2 2" xfId="4353"/>
    <cellStyle name="Input 2 3 2 2 3" xfId="4354"/>
    <cellStyle name="Input 2 3 2 2 4" xfId="4355"/>
    <cellStyle name="Input 2 3 2 3" xfId="4356"/>
    <cellStyle name="Input 2 3 2 3 2" xfId="4357"/>
    <cellStyle name="Input 2 3 2 3 3" xfId="4358"/>
    <cellStyle name="Input 2 3 2 3 4" xfId="4359"/>
    <cellStyle name="Input 2 3 2 4" xfId="4360"/>
    <cellStyle name="Input 2 3 2 5" xfId="4361"/>
    <cellStyle name="Input 2 3 2 6" xfId="4362"/>
    <cellStyle name="Input 2 3 3" xfId="4363"/>
    <cellStyle name="Input 2 3 4" xfId="4364"/>
    <cellStyle name="Input 2 3 5" xfId="4365"/>
    <cellStyle name="Input 2 4" xfId="4366"/>
    <cellStyle name="Input 2 4 2" xfId="4367"/>
    <cellStyle name="Input 2 4 2 2" xfId="4368"/>
    <cellStyle name="Input 2 4 2 3" xfId="4369"/>
    <cellStyle name="Input 2 4 2 4" xfId="4370"/>
    <cellStyle name="Input 2 4 3" xfId="4371"/>
    <cellStyle name="Input 2 4 3 2" xfId="4372"/>
    <cellStyle name="Input 2 4 3 3" xfId="4373"/>
    <cellStyle name="Input 2 4 3 4" xfId="4374"/>
    <cellStyle name="Input 2 4 4" xfId="4375"/>
    <cellStyle name="Input 2 4 5" xfId="4376"/>
    <cellStyle name="Input 2 4 6" xfId="4377"/>
    <cellStyle name="Input 2 5" xfId="4378"/>
    <cellStyle name="Input 2 6" xfId="4379"/>
    <cellStyle name="Input 2 7" xfId="4380"/>
    <cellStyle name="Input 2 8" xfId="4381"/>
    <cellStyle name="Input 2 9" xfId="4382"/>
    <cellStyle name="Input 20" xfId="4383"/>
    <cellStyle name="Input 21" xfId="4384"/>
    <cellStyle name="Input 22" xfId="4385"/>
    <cellStyle name="Input 23" xfId="4386"/>
    <cellStyle name="Input 24" xfId="4387"/>
    <cellStyle name="Input 25" xfId="4388"/>
    <cellStyle name="Input 26" xfId="4389"/>
    <cellStyle name="Input 27" xfId="4390"/>
    <cellStyle name="Input 28" xfId="4391"/>
    <cellStyle name="Input 29" xfId="4392"/>
    <cellStyle name="Input 3" xfId="4393"/>
    <cellStyle name="Input 3 2" xfId="4394"/>
    <cellStyle name="Input 3 3" xfId="4395"/>
    <cellStyle name="Input 3 4" xfId="4396"/>
    <cellStyle name="Input 3 5" xfId="4397"/>
    <cellStyle name="Input 30" xfId="4398"/>
    <cellStyle name="Input 31" xfId="4399"/>
    <cellStyle name="Input 32" xfId="4400"/>
    <cellStyle name="Input 33" xfId="4401"/>
    <cellStyle name="Input 34" xfId="4402"/>
    <cellStyle name="Input 35" xfId="4403"/>
    <cellStyle name="Input 35 2" xfId="4404"/>
    <cellStyle name="Input 35 2 2" xfId="4405"/>
    <cellStyle name="Input 35 2 2 2" xfId="4406"/>
    <cellStyle name="Input 35 3" xfId="4407"/>
    <cellStyle name="Input 35 4" xfId="4408"/>
    <cellStyle name="Input 36" xfId="4409"/>
    <cellStyle name="Input 37" xfId="4410"/>
    <cellStyle name="Input 38" xfId="4411"/>
    <cellStyle name="Input 39" xfId="4412"/>
    <cellStyle name="Input 4" xfId="4413"/>
    <cellStyle name="Input 4 2" xfId="4414"/>
    <cellStyle name="Input 4 3" xfId="4415"/>
    <cellStyle name="Input 4 4" xfId="4416"/>
    <cellStyle name="Input 40" xfId="4417"/>
    <cellStyle name="Input 41" xfId="4418"/>
    <cellStyle name="Input 42" xfId="4419"/>
    <cellStyle name="Input 43" xfId="4420"/>
    <cellStyle name="Input 44" xfId="4421"/>
    <cellStyle name="Input 45" xfId="4422"/>
    <cellStyle name="Input 46" xfId="4423"/>
    <cellStyle name="Input 47" xfId="4424"/>
    <cellStyle name="Input 48" xfId="4425"/>
    <cellStyle name="Input 49" xfId="4426"/>
    <cellStyle name="Input 5" xfId="4427"/>
    <cellStyle name="Input 5 2" xfId="4428"/>
    <cellStyle name="Input 50" xfId="4429"/>
    <cellStyle name="Input 51" xfId="4430"/>
    <cellStyle name="Input 52" xfId="4431"/>
    <cellStyle name="Input 53" xfId="4432"/>
    <cellStyle name="Input 54" xfId="4433"/>
    <cellStyle name="Input 55" xfId="4434"/>
    <cellStyle name="Input 56" xfId="4435"/>
    <cellStyle name="Input 57" xfId="4436"/>
    <cellStyle name="Input 58" xfId="4437"/>
    <cellStyle name="Input 59" xfId="4438"/>
    <cellStyle name="Input 6" xfId="4439"/>
    <cellStyle name="Input 6 2" xfId="4440"/>
    <cellStyle name="Input 60" xfId="4441"/>
    <cellStyle name="Input 60 2" xfId="4442"/>
    <cellStyle name="Input 60 2 2" xfId="4443"/>
    <cellStyle name="Input 60 2 3" xfId="4444"/>
    <cellStyle name="Input 61" xfId="4445"/>
    <cellStyle name="Input 62" xfId="4446"/>
    <cellStyle name="Input 63" xfId="4447"/>
    <cellStyle name="Input 64" xfId="4448"/>
    <cellStyle name="Input 65" xfId="4449"/>
    <cellStyle name="Input 66" xfId="4450"/>
    <cellStyle name="Input 67" xfId="4451"/>
    <cellStyle name="Input 7" xfId="4452"/>
    <cellStyle name="Input 7 2" xfId="4453"/>
    <cellStyle name="Input 8" xfId="4454"/>
    <cellStyle name="Input 8 2" xfId="4455"/>
    <cellStyle name="Input 9" xfId="4456"/>
    <cellStyle name="Input 9 2" xfId="4457"/>
    <cellStyle name="Input Currency" xfId="4458"/>
    <cellStyle name="Input Currency 2" xfId="4459"/>
    <cellStyle name="Input data" xfId="4460"/>
    <cellStyle name="Input Multiple" xfId="4461"/>
    <cellStyle name="Input Percent" xfId="4462"/>
    <cellStyle name="InputCell" xfId="4463"/>
    <cellStyle name="InputCell 10" xfId="4464"/>
    <cellStyle name="InputCell 2" xfId="4465"/>
    <cellStyle name="InputCell 2 2" xfId="4466"/>
    <cellStyle name="InputCell 2 2 2" xfId="4467"/>
    <cellStyle name="InputCell 2 2 3" xfId="4468"/>
    <cellStyle name="InputCell 2 3" xfId="4469"/>
    <cellStyle name="InputCell 2 4" xfId="4470"/>
    <cellStyle name="InputCell 3" xfId="4471"/>
    <cellStyle name="InputCell 3 2" xfId="4472"/>
    <cellStyle name="InputCell 3 2 2" xfId="4473"/>
    <cellStyle name="InputCell 3 2 3" xfId="4474"/>
    <cellStyle name="InputCell 3 3" xfId="4475"/>
    <cellStyle name="InputCell 3 4" xfId="4476"/>
    <cellStyle name="InputCell 4" xfId="4477"/>
    <cellStyle name="InputCell 4 2" xfId="4478"/>
    <cellStyle name="InputCell 4 2 2" xfId="4479"/>
    <cellStyle name="InputCell 4 2 3" xfId="4480"/>
    <cellStyle name="InputCell 4 3" xfId="4481"/>
    <cellStyle name="InputCell 4 4" xfId="4482"/>
    <cellStyle name="InputCell 5" xfId="4483"/>
    <cellStyle name="InputCell 5 2" xfId="4484"/>
    <cellStyle name="InputCell 5 2 2" xfId="4485"/>
    <cellStyle name="InputCell 5 2 3" xfId="4486"/>
    <cellStyle name="InputCell 5 3" xfId="4487"/>
    <cellStyle name="InputCell 5 4" xfId="4488"/>
    <cellStyle name="InputCell 6" xfId="4489"/>
    <cellStyle name="InputCell 6 2" xfId="4490"/>
    <cellStyle name="InputCell 6 2 2" xfId="4491"/>
    <cellStyle name="InputCell 6 2 3" xfId="4492"/>
    <cellStyle name="InputCell 6 3" xfId="4493"/>
    <cellStyle name="InputCell 6 4" xfId="4494"/>
    <cellStyle name="InputCell 7" xfId="4495"/>
    <cellStyle name="InputCell 7 2" xfId="4496"/>
    <cellStyle name="InputCell 7 2 2" xfId="4497"/>
    <cellStyle name="InputCell 7 2 3" xfId="4498"/>
    <cellStyle name="InputCell 7 3" xfId="4499"/>
    <cellStyle name="InputCell 7 4" xfId="4500"/>
    <cellStyle name="InputCell 8" xfId="4501"/>
    <cellStyle name="InputCell 8 2" xfId="4502"/>
    <cellStyle name="InputCell 8 3" xfId="4503"/>
    <cellStyle name="InputCell 9" xfId="4504"/>
    <cellStyle name="InputCells" xfId="4505"/>
    <cellStyle name="InputCells 2" xfId="4506"/>
    <cellStyle name="InputCells12_BBorder_CRFReport-template" xfId="4507"/>
    <cellStyle name="InputJL" xfId="4508"/>
    <cellStyle name="InputJL 2" xfId="4509"/>
    <cellStyle name="InputJL 2 2" xfId="4510"/>
    <cellStyle name="InputJL 2 3" xfId="4511"/>
    <cellStyle name="InputJL 2 4" xfId="4512"/>
    <cellStyle name="InputJL 2 5" xfId="4513"/>
    <cellStyle name="InputJL 3" xfId="4514"/>
    <cellStyle name="InputJL 4" xfId="4515"/>
    <cellStyle name="InputJL 5" xfId="4516"/>
    <cellStyle name="InputJL 6" xfId="4517"/>
    <cellStyle name="InputJL 7" xfId="4518"/>
    <cellStyle name="InputJL 8" xfId="4519"/>
    <cellStyle name="Int_EA" xfId="4520"/>
    <cellStyle name="IntermediateCalc_RP" xfId="4521"/>
    <cellStyle name="Label" xfId="4522"/>
    <cellStyle name="LABEL Normal" xfId="4523"/>
    <cellStyle name="LABEL Normal 2" xfId="4524"/>
    <cellStyle name="LABEL Normal 2 2" xfId="4525"/>
    <cellStyle name="LABEL Normal 3" xfId="4526"/>
    <cellStyle name="LABEL Note" xfId="4527"/>
    <cellStyle name="LABEL Note 2" xfId="4528"/>
    <cellStyle name="LABEL Units" xfId="4529"/>
    <cellStyle name="LABEL Units 2" xfId="4530"/>
    <cellStyle name="LABEL Units 2 2" xfId="4531"/>
    <cellStyle name="LABEL Units 3" xfId="4532"/>
    <cellStyle name="LABEL Units 3 2" xfId="4533"/>
    <cellStyle name="LABEL Units 4" xfId="4534"/>
    <cellStyle name="Label_RP" xfId="4535"/>
    <cellStyle name="LabelIntersect" xfId="4536"/>
    <cellStyle name="LabelLeft" xfId="4537"/>
    <cellStyle name="LabelTop" xfId="4538"/>
    <cellStyle name="Level" xfId="4539"/>
    <cellStyle name="Linked Cell 10" xfId="4540"/>
    <cellStyle name="Linked Cell 11" xfId="4541"/>
    <cellStyle name="Linked Cell 12" xfId="4542"/>
    <cellStyle name="Linked Cell 13" xfId="4543"/>
    <cellStyle name="Linked Cell 14" xfId="4544"/>
    <cellStyle name="Linked Cell 15" xfId="4545"/>
    <cellStyle name="Linked Cell 16" xfId="4546"/>
    <cellStyle name="Linked Cell 17" xfId="4547"/>
    <cellStyle name="Linked Cell 18" xfId="4548"/>
    <cellStyle name="Linked Cell 19" xfId="4549"/>
    <cellStyle name="Linked Cell 2" xfId="4550"/>
    <cellStyle name="Linked Cell 2 2" xfId="4551"/>
    <cellStyle name="Linked Cell 2 2 2" xfId="4552"/>
    <cellStyle name="Linked Cell 2 3" xfId="4553"/>
    <cellStyle name="Linked Cell 2 4" xfId="4554"/>
    <cellStyle name="Linked Cell 2 5" xfId="4555"/>
    <cellStyle name="Linked Cell 20" xfId="4556"/>
    <cellStyle name="Linked Cell 21" xfId="4557"/>
    <cellStyle name="Linked Cell 22" xfId="4558"/>
    <cellStyle name="Linked Cell 23" xfId="4559"/>
    <cellStyle name="Linked Cell 24" xfId="4560"/>
    <cellStyle name="Linked Cell 25" xfId="4561"/>
    <cellStyle name="Linked Cell 26" xfId="4562"/>
    <cellStyle name="Linked Cell 27" xfId="4563"/>
    <cellStyle name="Linked Cell 28" xfId="4564"/>
    <cellStyle name="Linked Cell 29" xfId="4565"/>
    <cellStyle name="Linked Cell 3" xfId="4566"/>
    <cellStyle name="Linked Cell 3 2" xfId="4567"/>
    <cellStyle name="Linked Cell 3 3" xfId="4568"/>
    <cellStyle name="Linked Cell 30" xfId="4569"/>
    <cellStyle name="Linked Cell 31" xfId="4570"/>
    <cellStyle name="Linked Cell 32" xfId="4571"/>
    <cellStyle name="Linked Cell 33" xfId="4572"/>
    <cellStyle name="Linked Cell 34" xfId="4573"/>
    <cellStyle name="Linked Cell 35" xfId="4574"/>
    <cellStyle name="Linked Cell 35 2" xfId="4575"/>
    <cellStyle name="Linked Cell 35 2 2" xfId="4576"/>
    <cellStyle name="Linked Cell 35 2 2 2" xfId="4577"/>
    <cellStyle name="Linked Cell 35 3" xfId="4578"/>
    <cellStyle name="Linked Cell 35 4" xfId="4579"/>
    <cellStyle name="Linked Cell 36" xfId="4580"/>
    <cellStyle name="Linked Cell 37" xfId="4581"/>
    <cellStyle name="Linked Cell 38" xfId="4582"/>
    <cellStyle name="Linked Cell 39" xfId="4583"/>
    <cellStyle name="Linked Cell 4" xfId="4584"/>
    <cellStyle name="Linked Cell 40" xfId="4585"/>
    <cellStyle name="Linked Cell 41" xfId="4586"/>
    <cellStyle name="Linked Cell 42" xfId="4587"/>
    <cellStyle name="Linked Cell 43" xfId="4588"/>
    <cellStyle name="Linked Cell 44" xfId="4589"/>
    <cellStyle name="Linked Cell 45" xfId="4590"/>
    <cellStyle name="Linked Cell 46" xfId="4591"/>
    <cellStyle name="Linked Cell 47" xfId="4592"/>
    <cellStyle name="Linked Cell 48" xfId="4593"/>
    <cellStyle name="Linked Cell 49" xfId="4594"/>
    <cellStyle name="Linked Cell 5" xfId="4595"/>
    <cellStyle name="Linked Cell 50" xfId="4596"/>
    <cellStyle name="Linked Cell 51" xfId="4597"/>
    <cellStyle name="Linked Cell 52" xfId="4598"/>
    <cellStyle name="Linked Cell 53" xfId="4599"/>
    <cellStyle name="Linked Cell 54" xfId="4600"/>
    <cellStyle name="Linked Cell 55" xfId="4601"/>
    <cellStyle name="Linked Cell 56" xfId="4602"/>
    <cellStyle name="Linked Cell 57" xfId="4603"/>
    <cellStyle name="Linked Cell 58" xfId="4604"/>
    <cellStyle name="Linked Cell 59" xfId="4605"/>
    <cellStyle name="Linked Cell 6" xfId="4606"/>
    <cellStyle name="Linked Cell 60" xfId="4607"/>
    <cellStyle name="Linked Cell 60 2" xfId="4608"/>
    <cellStyle name="Linked Cell 60 2 2" xfId="4609"/>
    <cellStyle name="Linked Cell 60 2 3" xfId="4610"/>
    <cellStyle name="Linked Cell 61" xfId="4611"/>
    <cellStyle name="Linked Cell 62" xfId="4612"/>
    <cellStyle name="Linked Cell 63" xfId="4613"/>
    <cellStyle name="Linked Cell 64" xfId="4614"/>
    <cellStyle name="Linked Cell 65" xfId="4615"/>
    <cellStyle name="Linked Cell 7" xfId="4616"/>
    <cellStyle name="Linked Cell 8" xfId="4617"/>
    <cellStyle name="Linked Cell 9" xfId="4618"/>
    <cellStyle name="LinkedCell_RP" xfId="4619"/>
    <cellStyle name="LinkedCellLbl_RP" xfId="4620"/>
    <cellStyle name="LTM Cell Column Heading" xfId="4621"/>
    <cellStyle name="LTM Cell Column Heading 2" xfId="4622"/>
    <cellStyle name="LTM Cell Column Heading 3" xfId="4623"/>
    <cellStyle name="LTM Cell Column Heading 4" xfId="4624"/>
    <cellStyle name="LTM Cell Column Heading 5" xfId="4625"/>
    <cellStyle name="LTM Cell Column Heading 6" xfId="4626"/>
    <cellStyle name="LTM Cell Column Heading 7" xfId="4627"/>
    <cellStyle name="LTM Cell Column Heading 8" xfId="4628"/>
    <cellStyle name="LTM Cell Column Heading 9" xfId="4629"/>
    <cellStyle name="Menu" xfId="4630"/>
    <cellStyle name="Menu 2" xfId="4631"/>
    <cellStyle name="Meta_RHI Model Results-091211-055438" xfId="4632"/>
    <cellStyle name="Migliaia 2" xfId="4633"/>
    <cellStyle name="Migliaia 2 2" xfId="4634"/>
    <cellStyle name="Mik" xfId="4635"/>
    <cellStyle name="Mik 2" xfId="4636"/>
    <cellStyle name="Mik 2 2" xfId="4637"/>
    <cellStyle name="Mik 3" xfId="4638"/>
    <cellStyle name="Mik_Additional charts" xfId="4639"/>
    <cellStyle name="Millares [0]_10 AVERIAS MASIVAS + ANT" xfId="4640"/>
    <cellStyle name="Millares_10 AVERIAS MASIVAS + ANT" xfId="4641"/>
    <cellStyle name="Milliers [0]_03tabmat" xfId="4642"/>
    <cellStyle name="Milliers_03tabmat" xfId="4643"/>
    <cellStyle name="Model Name." xfId="4644"/>
    <cellStyle name="Moneda [0]_Clasif por Diferencial" xfId="4645"/>
    <cellStyle name="Moneda_Clasif por Diferencial" xfId="4646"/>
    <cellStyle name="Monétaire [0]_03tabmat" xfId="4647"/>
    <cellStyle name="Monétaire_03tabmat" xfId="4648"/>
    <cellStyle name="MS_English" xfId="4649"/>
    <cellStyle name="Multiple" xfId="4650"/>
    <cellStyle name="Multiple Cell Column Heading" xfId="4651"/>
    <cellStyle name="MultipleBelow" xfId="4652"/>
    <cellStyle name="N" xfId="4653"/>
    <cellStyle name="N 2" xfId="4654"/>
    <cellStyle name="N 2 2" xfId="4655"/>
    <cellStyle name="N 3" xfId="4656"/>
    <cellStyle name="Neutral 10" xfId="4657"/>
    <cellStyle name="Neutral 11" xfId="4658"/>
    <cellStyle name="Neutral 12" xfId="4659"/>
    <cellStyle name="Neutral 13" xfId="4660"/>
    <cellStyle name="Neutral 14" xfId="4661"/>
    <cellStyle name="Neutral 15" xfId="4662"/>
    <cellStyle name="Neutral 16" xfId="4663"/>
    <cellStyle name="Neutral 17" xfId="4664"/>
    <cellStyle name="Neutral 18" xfId="4665"/>
    <cellStyle name="Neutral 19" xfId="4666"/>
    <cellStyle name="Neutral 2" xfId="4667"/>
    <cellStyle name="Neutral 2 2" xfId="4668"/>
    <cellStyle name="Neutral 2 2 2" xfId="4669"/>
    <cellStyle name="Neutral 2 2 3" xfId="4670"/>
    <cellStyle name="Neutral 2 3" xfId="4671"/>
    <cellStyle name="Neutral 2 4" xfId="4672"/>
    <cellStyle name="Neutral 2 5" xfId="4673"/>
    <cellStyle name="Neutral 20" xfId="4674"/>
    <cellStyle name="Neutral 21" xfId="4675"/>
    <cellStyle name="Neutral 22" xfId="4676"/>
    <cellStyle name="Neutral 23" xfId="4677"/>
    <cellStyle name="Neutral 24" xfId="4678"/>
    <cellStyle name="Neutral 25" xfId="4679"/>
    <cellStyle name="Neutral 26" xfId="4680"/>
    <cellStyle name="Neutral 27" xfId="4681"/>
    <cellStyle name="Neutral 28" xfId="4682"/>
    <cellStyle name="Neutral 29" xfId="4683"/>
    <cellStyle name="Neutral 3" xfId="4684"/>
    <cellStyle name="Neutral 3 2" xfId="4685"/>
    <cellStyle name="Neutral 3 3" xfId="4686"/>
    <cellStyle name="Neutral 30" xfId="4687"/>
    <cellStyle name="Neutral 31" xfId="4688"/>
    <cellStyle name="Neutral 32" xfId="4689"/>
    <cellStyle name="Neutral 33" xfId="4690"/>
    <cellStyle name="Neutral 34" xfId="4691"/>
    <cellStyle name="Neutral 35" xfId="4692"/>
    <cellStyle name="Neutral 35 2" xfId="4693"/>
    <cellStyle name="Neutral 35 2 2" xfId="4694"/>
    <cellStyle name="Neutral 35 2 2 2" xfId="4695"/>
    <cellStyle name="Neutral 35 3" xfId="4696"/>
    <cellStyle name="Neutral 35 4" xfId="4697"/>
    <cellStyle name="Neutral 36" xfId="4698"/>
    <cellStyle name="Neutral 37" xfId="4699"/>
    <cellStyle name="Neutral 38" xfId="4700"/>
    <cellStyle name="Neutral 39" xfId="4701"/>
    <cellStyle name="Neutral 4" xfId="4702"/>
    <cellStyle name="Neutral 4 2" xfId="4703"/>
    <cellStyle name="Neutral 40" xfId="4704"/>
    <cellStyle name="Neutral 41" xfId="4705"/>
    <cellStyle name="Neutral 42" xfId="4706"/>
    <cellStyle name="Neutral 43" xfId="4707"/>
    <cellStyle name="Neutral 44" xfId="4708"/>
    <cellStyle name="Neutral 45" xfId="4709"/>
    <cellStyle name="Neutral 46" xfId="4710"/>
    <cellStyle name="Neutral 47" xfId="4711"/>
    <cellStyle name="Neutral 48" xfId="4712"/>
    <cellStyle name="Neutral 49" xfId="4713"/>
    <cellStyle name="Neutral 5" xfId="4714"/>
    <cellStyle name="Neutral 50" xfId="4715"/>
    <cellStyle name="Neutral 51" xfId="4716"/>
    <cellStyle name="Neutral 52" xfId="4717"/>
    <cellStyle name="Neutral 53" xfId="4718"/>
    <cellStyle name="Neutral 54" xfId="4719"/>
    <cellStyle name="Neutral 55" xfId="4720"/>
    <cellStyle name="Neutral 56" xfId="4721"/>
    <cellStyle name="Neutral 57" xfId="4722"/>
    <cellStyle name="Neutral 58" xfId="4723"/>
    <cellStyle name="Neutral 59" xfId="4724"/>
    <cellStyle name="Neutral 6" xfId="4725"/>
    <cellStyle name="Neutral 60" xfId="4726"/>
    <cellStyle name="Neutral 60 2" xfId="4727"/>
    <cellStyle name="Neutral 60 2 2" xfId="4728"/>
    <cellStyle name="Neutral 60 2 3" xfId="4729"/>
    <cellStyle name="Neutral 61" xfId="4730"/>
    <cellStyle name="Neutral 62" xfId="4731"/>
    <cellStyle name="Neutral 63" xfId="4732"/>
    <cellStyle name="Neutral 64" xfId="4733"/>
    <cellStyle name="Neutral 65" xfId="4734"/>
    <cellStyle name="Neutral 7" xfId="4735"/>
    <cellStyle name="Neutral 8" xfId="4736"/>
    <cellStyle name="Neutral 9" xfId="4737"/>
    <cellStyle name="Neutrale" xfId="4738"/>
    <cellStyle name="Neutrale 2" xfId="4739"/>
    <cellStyle name="no dec" xfId="4740"/>
    <cellStyle name="Non Standard Formula" xfId="4741"/>
    <cellStyle name="Non User Input" xfId="4742"/>
    <cellStyle name="None" xfId="4743"/>
    <cellStyle name="None 2" xfId="4744"/>
    <cellStyle name="Normal" xfId="0" builtinId="0"/>
    <cellStyle name="Normal - Style1" xfId="4745"/>
    <cellStyle name="Normal - Style1 2" xfId="4746"/>
    <cellStyle name="Normal - Style1_Ch4 v2" xfId="4747"/>
    <cellStyle name="Normal - Style2" xfId="4748"/>
    <cellStyle name="Normal - Style3" xfId="4749"/>
    <cellStyle name="Normal - Style4" xfId="4750"/>
    <cellStyle name="Normal - Style5" xfId="4751"/>
    <cellStyle name="Normal 0" xfId="4752"/>
    <cellStyle name="Normal 10" xfId="4753"/>
    <cellStyle name="Normal 10 10" xfId="17"/>
    <cellStyle name="Normal 10 10 2" xfId="4754"/>
    <cellStyle name="Normal 10 10 3" xfId="4755"/>
    <cellStyle name="Normal 10 10 4" xfId="4756"/>
    <cellStyle name="Normal 10 11" xfId="4757"/>
    <cellStyle name="Normal 10 12" xfId="4758"/>
    <cellStyle name="Normal 10 13" xfId="4759"/>
    <cellStyle name="Normal 10 14" xfId="4760"/>
    <cellStyle name="Normal 10 15" xfId="4761"/>
    <cellStyle name="Normal 10 16" xfId="4762"/>
    <cellStyle name="Normal 10 17" xfId="4763"/>
    <cellStyle name="Normal 10 18" xfId="4764"/>
    <cellStyle name="Normal 10 19" xfId="4765"/>
    <cellStyle name="Normal 10 2" xfId="4766"/>
    <cellStyle name="Normal 10 2 2" xfId="4767"/>
    <cellStyle name="Normal 10 2 2 2" xfId="4768"/>
    <cellStyle name="Normal 10 2 2 3" xfId="4769"/>
    <cellStyle name="Normal 10 2 2 4" xfId="4770"/>
    <cellStyle name="Normal 10 2 3" xfId="4771"/>
    <cellStyle name="Normal 10 2 4" xfId="4772"/>
    <cellStyle name="Normal 10 20" xfId="4773"/>
    <cellStyle name="Normal 10 21" xfId="4774"/>
    <cellStyle name="Normal 10 22" xfId="4775"/>
    <cellStyle name="Normal 10 23" xfId="4776"/>
    <cellStyle name="Normal 10 24" xfId="4777"/>
    <cellStyle name="Normal 10 25" xfId="4778"/>
    <cellStyle name="Normal 10 26" xfId="4779"/>
    <cellStyle name="Normal 10 27" xfId="4780"/>
    <cellStyle name="Normal 10 3" xfId="4781"/>
    <cellStyle name="Normal 10 3 2" xfId="4782"/>
    <cellStyle name="Normal 10 3 2 2" xfId="4783"/>
    <cellStyle name="Normal 10 3 2 3" xfId="4784"/>
    <cellStyle name="Normal 10 3 3" xfId="4785"/>
    <cellStyle name="Normal 10 3 4" xfId="4786"/>
    <cellStyle name="Normal 10 4" xfId="4787"/>
    <cellStyle name="Normal 10 4 2" xfId="4788"/>
    <cellStyle name="Normal 10 4 3" xfId="4789"/>
    <cellStyle name="Normal 10 5" xfId="4790"/>
    <cellStyle name="Normal 10 6" xfId="4791"/>
    <cellStyle name="Normal 10 7" xfId="4792"/>
    <cellStyle name="Normal 10 8" xfId="4793"/>
    <cellStyle name="Normal 10 9" xfId="4794"/>
    <cellStyle name="Normal 100" xfId="4795"/>
    <cellStyle name="Normal 101" xfId="4796"/>
    <cellStyle name="Normal 102" xfId="4797"/>
    <cellStyle name="Normal 103" xfId="4798"/>
    <cellStyle name="Normal 104" xfId="4799"/>
    <cellStyle name="Normal 105" xfId="4800"/>
    <cellStyle name="Normal 106" xfId="4801"/>
    <cellStyle name="Normal 107" xfId="4802"/>
    <cellStyle name="Normal 108" xfId="4803"/>
    <cellStyle name="Normal 108 2" xfId="4804"/>
    <cellStyle name="Normal 108 3" xfId="4805"/>
    <cellStyle name="Normal 108 4" xfId="4806"/>
    <cellStyle name="Normal 108 5" xfId="4807"/>
    <cellStyle name="Normal 108 6" xfId="4808"/>
    <cellStyle name="Normal 108 7" xfId="4809"/>
    <cellStyle name="Normal 108 8" xfId="4810"/>
    <cellStyle name="Normal 108 9" xfId="4811"/>
    <cellStyle name="Normal 109" xfId="4812"/>
    <cellStyle name="Normal 109 2" xfId="4813"/>
    <cellStyle name="Normal 109 3" xfId="4814"/>
    <cellStyle name="Normal 109 4" xfId="4815"/>
    <cellStyle name="Normal 109 5" xfId="4816"/>
    <cellStyle name="Normal 109 6" xfId="4817"/>
    <cellStyle name="Normal 109 7" xfId="4818"/>
    <cellStyle name="Normal 109 8" xfId="4819"/>
    <cellStyle name="Normal 109 9" xfId="4820"/>
    <cellStyle name="Normal 11" xfId="4821"/>
    <cellStyle name="Normal 11 10" xfId="4822"/>
    <cellStyle name="Normal 11 11" xfId="4823"/>
    <cellStyle name="Normal 11 12" xfId="4824"/>
    <cellStyle name="Normal 11 13" xfId="4825"/>
    <cellStyle name="Normal 11 14" xfId="4826"/>
    <cellStyle name="Normal 11 15" xfId="4827"/>
    <cellStyle name="Normal 11 16" xfId="4828"/>
    <cellStyle name="Normal 11 17" xfId="4829"/>
    <cellStyle name="Normal 11 18" xfId="4830"/>
    <cellStyle name="Normal 11 19" xfId="4831"/>
    <cellStyle name="Normal 11 2" xfId="4832"/>
    <cellStyle name="Normal 11 2 2" xfId="4833"/>
    <cellStyle name="Normal 11 2 3" xfId="4834"/>
    <cellStyle name="Normal 11 20" xfId="4835"/>
    <cellStyle name="Normal 11 21" xfId="4836"/>
    <cellStyle name="Normal 11 22" xfId="4837"/>
    <cellStyle name="Normal 11 23" xfId="4838"/>
    <cellStyle name="Normal 11 24" xfId="4839"/>
    <cellStyle name="Normal 11 25" xfId="4840"/>
    <cellStyle name="Normal 11 26" xfId="4841"/>
    <cellStyle name="Normal 11 3" xfId="4842"/>
    <cellStyle name="Normal 11 3 2" xfId="4843"/>
    <cellStyle name="Normal 11 4" xfId="4844"/>
    <cellStyle name="Normal 11 5" xfId="4845"/>
    <cellStyle name="Normal 11 6" xfId="4846"/>
    <cellStyle name="Normal 11 7" xfId="4847"/>
    <cellStyle name="Normal 11 8" xfId="4848"/>
    <cellStyle name="Normal 11 9" xfId="4849"/>
    <cellStyle name="Normal 110" xfId="4850"/>
    <cellStyle name="Normal 111" xfId="4851"/>
    <cellStyle name="Normal 112" xfId="4852"/>
    <cellStyle name="Normal 113" xfId="4853"/>
    <cellStyle name="Normal 114" xfId="4854"/>
    <cellStyle name="Normal 115" xfId="4855"/>
    <cellStyle name="Normal 116" xfId="4856"/>
    <cellStyle name="Normal 117" xfId="4857"/>
    <cellStyle name="Normal 118" xfId="4858"/>
    <cellStyle name="Normal 119" xfId="4859"/>
    <cellStyle name="Normal 12" xfId="4860"/>
    <cellStyle name="Normal 12 10" xfId="4861"/>
    <cellStyle name="Normal 12 11" xfId="4862"/>
    <cellStyle name="Normal 12 12" xfId="4863"/>
    <cellStyle name="Normal 12 13" xfId="4864"/>
    <cellStyle name="Normal 12 14" xfId="4865"/>
    <cellStyle name="Normal 12 15" xfId="4866"/>
    <cellStyle name="Normal 12 16" xfId="4867"/>
    <cellStyle name="Normal 12 17" xfId="4868"/>
    <cellStyle name="Normal 12 18" xfId="4869"/>
    <cellStyle name="Normal 12 19" xfId="4870"/>
    <cellStyle name="Normal 12 2" xfId="4871"/>
    <cellStyle name="Normal 12 2 2" xfId="4872"/>
    <cellStyle name="Normal 12 20" xfId="4873"/>
    <cellStyle name="Normal 12 21" xfId="4874"/>
    <cellStyle name="Normal 12 22" xfId="4875"/>
    <cellStyle name="Normal 12 23" xfId="4876"/>
    <cellStyle name="Normal 12 24" xfId="4877"/>
    <cellStyle name="Normal 12 3" xfId="4878"/>
    <cellStyle name="Normal 12 4" xfId="4879"/>
    <cellStyle name="Normal 12 5" xfId="4880"/>
    <cellStyle name="Normal 12 6" xfId="4881"/>
    <cellStyle name="Normal 12 7" xfId="4882"/>
    <cellStyle name="Normal 12 8" xfId="4883"/>
    <cellStyle name="Normal 12 9" xfId="4884"/>
    <cellStyle name="Normal 120" xfId="4885"/>
    <cellStyle name="Normal 121" xfId="4886"/>
    <cellStyle name="Normal 122" xfId="4887"/>
    <cellStyle name="Normal 123" xfId="4888"/>
    <cellStyle name="Normal 124" xfId="4889"/>
    <cellStyle name="Normal 125" xfId="4890"/>
    <cellStyle name="Normal 126" xfId="4891"/>
    <cellStyle name="Normal 127" xfId="4892"/>
    <cellStyle name="Normal 128" xfId="4893"/>
    <cellStyle name="Normal 128 2" xfId="4894"/>
    <cellStyle name="Normal 128 3" xfId="4895"/>
    <cellStyle name="Normal 128 4" xfId="4896"/>
    <cellStyle name="Normal 128 5" xfId="4897"/>
    <cellStyle name="Normal 129" xfId="4898"/>
    <cellStyle name="Normal 129 2" xfId="4899"/>
    <cellStyle name="Normal 129 3" xfId="4900"/>
    <cellStyle name="Normal 129 4" xfId="4901"/>
    <cellStyle name="Normal 129 5" xfId="4902"/>
    <cellStyle name="Normal 13" xfId="4903"/>
    <cellStyle name="Normal 13 10" xfId="4904"/>
    <cellStyle name="Normal 13 11" xfId="4905"/>
    <cellStyle name="Normal 13 12" xfId="4906"/>
    <cellStyle name="Normal 13 13" xfId="4907"/>
    <cellStyle name="Normal 13 14" xfId="4908"/>
    <cellStyle name="Normal 13 15" xfId="4909"/>
    <cellStyle name="Normal 13 16" xfId="4910"/>
    <cellStyle name="Normal 13 17" xfId="4911"/>
    <cellStyle name="Normal 13 18" xfId="4912"/>
    <cellStyle name="Normal 13 19" xfId="4913"/>
    <cellStyle name="Normal 13 2" xfId="4914"/>
    <cellStyle name="Normal 13 2 2" xfId="4915"/>
    <cellStyle name="Normal 13 2 3" xfId="4916"/>
    <cellStyle name="Normal 13 2 3 2" xfId="4917"/>
    <cellStyle name="Normal 13 2 4" xfId="4918"/>
    <cellStyle name="Normal 13 2 5" xfId="4919"/>
    <cellStyle name="Normal 13 2 6" xfId="4920"/>
    <cellStyle name="Normal 13 20" xfId="4921"/>
    <cellStyle name="Normal 13 21" xfId="4922"/>
    <cellStyle name="Normal 13 22" xfId="4923"/>
    <cellStyle name="Normal 13 23" xfId="4924"/>
    <cellStyle name="Normal 13 24" xfId="4925"/>
    <cellStyle name="Normal 13 25" xfId="4926"/>
    <cellStyle name="Normal 13 3" xfId="4927"/>
    <cellStyle name="Normal 13 3 2" xfId="4928"/>
    <cellStyle name="Normal 13 3 3" xfId="4929"/>
    <cellStyle name="Normal 13 3 4" xfId="4930"/>
    <cellStyle name="Normal 13 4" xfId="4931"/>
    <cellStyle name="Normal 13 4 2" xfId="4932"/>
    <cellStyle name="Normal 13 5" xfId="4933"/>
    <cellStyle name="Normal 13 5 2" xfId="4934"/>
    <cellStyle name="Normal 13 6" xfId="4935"/>
    <cellStyle name="Normal 13 6 2" xfId="4936"/>
    <cellStyle name="Normal 13 7" xfId="4937"/>
    <cellStyle name="Normal 13 8" xfId="4938"/>
    <cellStyle name="Normal 13 9" xfId="4939"/>
    <cellStyle name="Normal 130" xfId="4940"/>
    <cellStyle name="Normal 131" xfId="4941"/>
    <cellStyle name="Normal 132" xfId="4942"/>
    <cellStyle name="Normal 133" xfId="4943"/>
    <cellStyle name="Normal 134" xfId="4944"/>
    <cellStyle name="Normal 135" xfId="4945"/>
    <cellStyle name="Normal 136" xfId="4946"/>
    <cellStyle name="Normal 137" xfId="4947"/>
    <cellStyle name="Normal 138" xfId="4948"/>
    <cellStyle name="Normal 139" xfId="4949"/>
    <cellStyle name="Normal 14" xfId="18"/>
    <cellStyle name="Normal 14 10" xfId="4950"/>
    <cellStyle name="Normal 14 11" xfId="4951"/>
    <cellStyle name="Normal 14 12" xfId="4952"/>
    <cellStyle name="Normal 14 13" xfId="4953"/>
    <cellStyle name="Normal 14 14" xfId="4954"/>
    <cellStyle name="Normal 14 15" xfId="4955"/>
    <cellStyle name="Normal 14 16" xfId="4956"/>
    <cellStyle name="Normal 14 17" xfId="4957"/>
    <cellStyle name="Normal 14 18" xfId="4958"/>
    <cellStyle name="Normal 14 19" xfId="4959"/>
    <cellStyle name="Normal 14 2" xfId="4960"/>
    <cellStyle name="Normal 14 2 2" xfId="4961"/>
    <cellStyle name="Normal 14 2 2 2" xfId="4962"/>
    <cellStyle name="Normal 14 2 2 2 2" xfId="4963"/>
    <cellStyle name="Normal 14 2 2 2 3" xfId="4964"/>
    <cellStyle name="Normal 14 2 2 3" xfId="4965"/>
    <cellStyle name="Normal 14 2 2 4" xfId="4966"/>
    <cellStyle name="Normal 14 2 3" xfId="4967"/>
    <cellStyle name="Normal 14 20" xfId="4968"/>
    <cellStyle name="Normal 14 21" xfId="4969"/>
    <cellStyle name="Normal 14 22" xfId="4970"/>
    <cellStyle name="Normal 14 23" xfId="4971"/>
    <cellStyle name="Normal 14 24" xfId="4972"/>
    <cellStyle name="Normal 14 25" xfId="4973"/>
    <cellStyle name="Normal 14 26" xfId="4974"/>
    <cellStyle name="Normal 14 3" xfId="4975"/>
    <cellStyle name="Normal 14 3 2" xfId="4976"/>
    <cellStyle name="Normal 14 4" xfId="4977"/>
    <cellStyle name="Normal 14 4 2" xfId="4978"/>
    <cellStyle name="Normal 14 4 3" xfId="4979"/>
    <cellStyle name="Normal 14 5" xfId="4980"/>
    <cellStyle name="Normal 14 5 2" xfId="4981"/>
    <cellStyle name="Normal 14 5 3" xfId="4982"/>
    <cellStyle name="Normal 14 6" xfId="4983"/>
    <cellStyle name="Normal 14 7" xfId="4984"/>
    <cellStyle name="Normal 14 8" xfId="4985"/>
    <cellStyle name="Normal 14 9" xfId="4986"/>
    <cellStyle name="Normal 140" xfId="4987"/>
    <cellStyle name="Normal 141" xfId="4988"/>
    <cellStyle name="Normal 142" xfId="4989"/>
    <cellStyle name="Normal 143" xfId="4990"/>
    <cellStyle name="Normal 144" xfId="4991"/>
    <cellStyle name="Normal 145" xfId="4992"/>
    <cellStyle name="Normal 146" xfId="4993"/>
    <cellStyle name="Normal 147" xfId="4994"/>
    <cellStyle name="Normal 147 2" xfId="4995"/>
    <cellStyle name="Normal 147 3" xfId="4996"/>
    <cellStyle name="Normal 147 4" xfId="4997"/>
    <cellStyle name="Normal 148" xfId="4998"/>
    <cellStyle name="Normal 149" xfId="4999"/>
    <cellStyle name="Normal 15" xfId="5000"/>
    <cellStyle name="Normal 15 10" xfId="5001"/>
    <cellStyle name="Normal 15 11" xfId="5002"/>
    <cellStyle name="Normal 15 12" xfId="5003"/>
    <cellStyle name="Normal 15 13" xfId="5004"/>
    <cellStyle name="Normal 15 14" xfId="5005"/>
    <cellStyle name="Normal 15 15" xfId="5006"/>
    <cellStyle name="Normal 15 16" xfId="5007"/>
    <cellStyle name="Normal 15 17" xfId="5008"/>
    <cellStyle name="Normal 15 18" xfId="5009"/>
    <cellStyle name="Normal 15 19" xfId="5010"/>
    <cellStyle name="Normal 15 2" xfId="5011"/>
    <cellStyle name="Normal 15 2 2" xfId="5012"/>
    <cellStyle name="Normal 15 2 2 2" xfId="5013"/>
    <cellStyle name="Normal 15 2 3" xfId="5014"/>
    <cellStyle name="Normal 15 20" xfId="5015"/>
    <cellStyle name="Normal 15 21" xfId="5016"/>
    <cellStyle name="Normal 15 22" xfId="5017"/>
    <cellStyle name="Normal 15 23" xfId="5018"/>
    <cellStyle name="Normal 15 24" xfId="5019"/>
    <cellStyle name="Normal 15 25" xfId="5020"/>
    <cellStyle name="Normal 15 3" xfId="5021"/>
    <cellStyle name="Normal 15 3 2" xfId="5022"/>
    <cellStyle name="Normal 15 4" xfId="5023"/>
    <cellStyle name="Normal 15 5" xfId="5024"/>
    <cellStyle name="Normal 15 6" xfId="5025"/>
    <cellStyle name="Normal 15 7" xfId="5026"/>
    <cellStyle name="Normal 15 8" xfId="5027"/>
    <cellStyle name="Normal 15 9" xfId="5028"/>
    <cellStyle name="Normal 15_Ch4 v2" xfId="5029"/>
    <cellStyle name="Normal 150" xfId="5030"/>
    <cellStyle name="Normal 151" xfId="5031"/>
    <cellStyle name="Normal 152" xfId="5032"/>
    <cellStyle name="Normal 153" xfId="5033"/>
    <cellStyle name="Normal 154" xfId="5034"/>
    <cellStyle name="Normal 155" xfId="5035"/>
    <cellStyle name="Normal 156" xfId="5036"/>
    <cellStyle name="Normal 157" xfId="5037"/>
    <cellStyle name="Normal 158" xfId="5038"/>
    <cellStyle name="Normal 159" xfId="5039"/>
    <cellStyle name="Normal 16" xfId="5040"/>
    <cellStyle name="Normal 16 10" xfId="5041"/>
    <cellStyle name="Normal 16 11" xfId="5042"/>
    <cellStyle name="Normal 16 12" xfId="5043"/>
    <cellStyle name="Normal 16 13" xfId="5044"/>
    <cellStyle name="Normal 16 14" xfId="5045"/>
    <cellStyle name="Normal 16 15" xfId="5046"/>
    <cellStyle name="Normal 16 16" xfId="5047"/>
    <cellStyle name="Normal 16 17" xfId="5048"/>
    <cellStyle name="Normal 16 18" xfId="5049"/>
    <cellStyle name="Normal 16 19" xfId="5050"/>
    <cellStyle name="Normal 16 2" xfId="5051"/>
    <cellStyle name="Normal 16 2 2" xfId="5052"/>
    <cellStyle name="Normal 16 20" xfId="5053"/>
    <cellStyle name="Normal 16 21" xfId="5054"/>
    <cellStyle name="Normal 16 22" xfId="5055"/>
    <cellStyle name="Normal 16 23" xfId="5056"/>
    <cellStyle name="Normal 16 3" xfId="5057"/>
    <cellStyle name="Normal 16 4" xfId="5058"/>
    <cellStyle name="Normal 16 5" xfId="5059"/>
    <cellStyle name="Normal 16 6" xfId="5060"/>
    <cellStyle name="Normal 16 7" xfId="5061"/>
    <cellStyle name="Normal 16 8" xfId="5062"/>
    <cellStyle name="Normal 16 9" xfId="5063"/>
    <cellStyle name="Normal 160" xfId="5064"/>
    <cellStyle name="Normal 161" xfId="5065"/>
    <cellStyle name="Normal 162" xfId="5066"/>
    <cellStyle name="Normal 163" xfId="5067"/>
    <cellStyle name="Normal 164" xfId="5068"/>
    <cellStyle name="Normal 165" xfId="5069"/>
    <cellStyle name="Normal 166" xfId="5070"/>
    <cellStyle name="Normal 167" xfId="5071"/>
    <cellStyle name="Normal 168" xfId="5072"/>
    <cellStyle name="Normal 169" xfId="5073"/>
    <cellStyle name="Normal 17" xfId="5074"/>
    <cellStyle name="Normal 17 10" xfId="5075"/>
    <cellStyle name="Normal 17 11" xfId="5076"/>
    <cellStyle name="Normal 17 12" xfId="5077"/>
    <cellStyle name="Normal 17 13" xfId="5078"/>
    <cellStyle name="Normal 17 14" xfId="5079"/>
    <cellStyle name="Normal 17 15" xfId="5080"/>
    <cellStyle name="Normal 17 16" xfId="5081"/>
    <cellStyle name="Normal 17 17" xfId="5082"/>
    <cellStyle name="Normal 17 18" xfId="5083"/>
    <cellStyle name="Normal 17 19" xfId="5084"/>
    <cellStyle name="Normal 17 2" xfId="5085"/>
    <cellStyle name="Normal 17 2 2" xfId="5086"/>
    <cellStyle name="Normal 17 2 3" xfId="5087"/>
    <cellStyle name="Normal 17 20" xfId="5088"/>
    <cellStyle name="Normal 17 21" xfId="5089"/>
    <cellStyle name="Normal 17 22" xfId="5090"/>
    <cellStyle name="Normal 17 23" xfId="5091"/>
    <cellStyle name="Normal 17 24" xfId="5092"/>
    <cellStyle name="Normal 17 25" xfId="5093"/>
    <cellStyle name="Normal 17 3" xfId="5094"/>
    <cellStyle name="Normal 17 4" xfId="5095"/>
    <cellStyle name="Normal 17 5" xfId="5096"/>
    <cellStyle name="Normal 17 6" xfId="5097"/>
    <cellStyle name="Normal 17 7" xfId="5098"/>
    <cellStyle name="Normal 17 8" xfId="5099"/>
    <cellStyle name="Normal 17 9" xfId="5100"/>
    <cellStyle name="Normal 170" xfId="5101"/>
    <cellStyle name="Normal 171" xfId="5102"/>
    <cellStyle name="Normal 172" xfId="5103"/>
    <cellStyle name="Normal 173" xfId="5104"/>
    <cellStyle name="Normal 174" xfId="5105"/>
    <cellStyle name="Normal 175" xfId="5106"/>
    <cellStyle name="Normal 176" xfId="5107"/>
    <cellStyle name="Normal 177" xfId="5108"/>
    <cellStyle name="Normal 178" xfId="5109"/>
    <cellStyle name="Normal 179" xfId="5110"/>
    <cellStyle name="Normal 18" xfId="5111"/>
    <cellStyle name="Normal 18 2" xfId="5112"/>
    <cellStyle name="Normal 18 2 2" xfId="5113"/>
    <cellStyle name="Normal 18 3" xfId="5114"/>
    <cellStyle name="Normal 18 4" xfId="5115"/>
    <cellStyle name="Normal 18 5" xfId="5116"/>
    <cellStyle name="Normal 18 6" xfId="5117"/>
    <cellStyle name="Normal 180" xfId="5118"/>
    <cellStyle name="Normal 181" xfId="5119"/>
    <cellStyle name="Normal 182" xfId="5120"/>
    <cellStyle name="Normal 183" xfId="5121"/>
    <cellStyle name="Normal 184" xfId="5122"/>
    <cellStyle name="Normal 185" xfId="5123"/>
    <cellStyle name="Normal 186" xfId="5124"/>
    <cellStyle name="Normal 187" xfId="5125"/>
    <cellStyle name="Normal 188" xfId="5126"/>
    <cellStyle name="Normal 189" xfId="5127"/>
    <cellStyle name="Normal 19" xfId="5128"/>
    <cellStyle name="Normal 19 10" xfId="5129"/>
    <cellStyle name="Normal 19 11" xfId="5130"/>
    <cellStyle name="Normal 19 12" xfId="5131"/>
    <cellStyle name="Normal 19 13" xfId="5132"/>
    <cellStyle name="Normal 19 14" xfId="5133"/>
    <cellStyle name="Normal 19 15" xfId="5134"/>
    <cellStyle name="Normal 19 16" xfId="5135"/>
    <cellStyle name="Normal 19 17" xfId="5136"/>
    <cellStyle name="Normal 19 18" xfId="5137"/>
    <cellStyle name="Normal 19 19" xfId="5138"/>
    <cellStyle name="Normal 19 2" xfId="5139"/>
    <cellStyle name="Normal 19 2 2" xfId="5140"/>
    <cellStyle name="Normal 19 2 2 2" xfId="5141"/>
    <cellStyle name="Normal 19 2 3" xfId="5142"/>
    <cellStyle name="Normal 19 20" xfId="5143"/>
    <cellStyle name="Normal 19 21" xfId="5144"/>
    <cellStyle name="Normal 19 22" xfId="5145"/>
    <cellStyle name="Normal 19 23" xfId="5146"/>
    <cellStyle name="Normal 19 3" xfId="5147"/>
    <cellStyle name="Normal 19 3 2" xfId="5148"/>
    <cellStyle name="Normal 19 4" xfId="5149"/>
    <cellStyle name="Normal 19 5" xfId="5150"/>
    <cellStyle name="Normal 19 6" xfId="5151"/>
    <cellStyle name="Normal 19 7" xfId="5152"/>
    <cellStyle name="Normal 19 8" xfId="5153"/>
    <cellStyle name="Normal 19 9" xfId="5154"/>
    <cellStyle name="Normal 190" xfId="5155"/>
    <cellStyle name="Normal 191" xfId="5156"/>
    <cellStyle name="Normal 192" xfId="5157"/>
    <cellStyle name="Normal 193" xfId="5158"/>
    <cellStyle name="Normal 194" xfId="5159"/>
    <cellStyle name="Normal 195" xfId="5160"/>
    <cellStyle name="Normal 196" xfId="5161"/>
    <cellStyle name="Normal 196 2" xfId="5162"/>
    <cellStyle name="Normal 196 3" xfId="5163"/>
    <cellStyle name="Normal 197" xfId="5164"/>
    <cellStyle name="Normal 198" xfId="5165"/>
    <cellStyle name="Normal 199" xfId="5166"/>
    <cellStyle name="Normal 199 2" xfId="5167"/>
    <cellStyle name="Normal 2" xfId="5"/>
    <cellStyle name="Normal 2 10" xfId="5169"/>
    <cellStyle name="Normal 2 10 2" xfId="5170"/>
    <cellStyle name="Normal 2 10 3" xfId="5171"/>
    <cellStyle name="Normal 2 100" xfId="5172"/>
    <cellStyle name="Normal 2 101" xfId="5173"/>
    <cellStyle name="Normal 2 102" xfId="5174"/>
    <cellStyle name="Normal 2 103" xfId="5175"/>
    <cellStyle name="Normal 2 104" xfId="5176"/>
    <cellStyle name="Normal 2 105" xfId="5177"/>
    <cellStyle name="Normal 2 106" xfId="5178"/>
    <cellStyle name="Normal 2 107" xfId="5179"/>
    <cellStyle name="Normal 2 108" xfId="5180"/>
    <cellStyle name="Normal 2 109" xfId="5181"/>
    <cellStyle name="Normal 2 11" xfId="5182"/>
    <cellStyle name="Normal 2 11 2" xfId="5183"/>
    <cellStyle name="Normal 2 11 3" xfId="5184"/>
    <cellStyle name="Normal 2 110" xfId="5185"/>
    <cellStyle name="Normal 2 111" xfId="5186"/>
    <cellStyle name="Normal 2 112" xfId="5187"/>
    <cellStyle name="Normal 2 113" xfId="5188"/>
    <cellStyle name="Normal 2 113 2" xfId="5189"/>
    <cellStyle name="Normal 2 113 3" xfId="5190"/>
    <cellStyle name="Normal 2 113 4" xfId="5191"/>
    <cellStyle name="Normal 2 113 5" xfId="5192"/>
    <cellStyle name="Normal 2 113 6" xfId="5193"/>
    <cellStyle name="Normal 2 113 7" xfId="5194"/>
    <cellStyle name="Normal 2 114" xfId="5195"/>
    <cellStyle name="Normal 2 115" xfId="5196"/>
    <cellStyle name="Normal 2 116" xfId="5197"/>
    <cellStyle name="Normal 2 117" xfId="5198"/>
    <cellStyle name="Normal 2 118" xfId="5199"/>
    <cellStyle name="Normal 2 119" xfId="5200"/>
    <cellStyle name="Normal 2 12" xfId="5201"/>
    <cellStyle name="Normal 2 12 2" xfId="5202"/>
    <cellStyle name="Normal 2 12 3" xfId="5203"/>
    <cellStyle name="Normal 2 12 4" xfId="5204"/>
    <cellStyle name="Normal 2 12 5" xfId="5205"/>
    <cellStyle name="Normal 2 12 6" xfId="5206"/>
    <cellStyle name="Normal 2 12 7" xfId="5207"/>
    <cellStyle name="Normal 2 120" xfId="5208"/>
    <cellStyle name="Normal 2 121" xfId="5209"/>
    <cellStyle name="Normal 2 122" xfId="5210"/>
    <cellStyle name="Normal 2 123" xfId="5211"/>
    <cellStyle name="Normal 2 124" xfId="5212"/>
    <cellStyle name="Normal 2 125" xfId="5213"/>
    <cellStyle name="Normal 2 126" xfId="5214"/>
    <cellStyle name="Normal 2 127" xfId="5215"/>
    <cellStyle name="Normal 2 128" xfId="5216"/>
    <cellStyle name="Normal 2 129" xfId="5217"/>
    <cellStyle name="Normal 2 129 2" xfId="5218"/>
    <cellStyle name="Normal 2 129 3" xfId="5219"/>
    <cellStyle name="Normal 2 129 4" xfId="5220"/>
    <cellStyle name="Normal 2 129 5" xfId="5221"/>
    <cellStyle name="Normal 2 13" xfId="5222"/>
    <cellStyle name="Normal 2 13 2" xfId="5223"/>
    <cellStyle name="Normal 2 13 3" xfId="5224"/>
    <cellStyle name="Normal 2 130" xfId="5225"/>
    <cellStyle name="Normal 2 131" xfId="5226"/>
    <cellStyle name="Normal 2 132" xfId="5227"/>
    <cellStyle name="Normal 2 133" xfId="5228"/>
    <cellStyle name="Normal 2 134" xfId="5229"/>
    <cellStyle name="Normal 2 135" xfId="5230"/>
    <cellStyle name="Normal 2 136" xfId="5231"/>
    <cellStyle name="Normal 2 137" xfId="5232"/>
    <cellStyle name="Normal 2 138" xfId="5233"/>
    <cellStyle name="Normal 2 139" xfId="5234"/>
    <cellStyle name="Normal 2 14" xfId="5235"/>
    <cellStyle name="Normal 2 14 2" xfId="5236"/>
    <cellStyle name="Normal 2 14 3" xfId="5237"/>
    <cellStyle name="Normal 2 140" xfId="5238"/>
    <cellStyle name="Normal 2 141" xfId="5239"/>
    <cellStyle name="Normal 2 142" xfId="5240"/>
    <cellStyle name="Normal 2 143" xfId="5241"/>
    <cellStyle name="Normal 2 144" xfId="5242"/>
    <cellStyle name="Normal 2 145" xfId="5243"/>
    <cellStyle name="Normal 2 145 10" xfId="5244"/>
    <cellStyle name="Normal 2 145 11" xfId="5245"/>
    <cellStyle name="Normal 2 145 12" xfId="5246"/>
    <cellStyle name="Normal 2 145 13" xfId="5247"/>
    <cellStyle name="Normal 2 145 14" xfId="5248"/>
    <cellStyle name="Normal 2 145 15" xfId="5249"/>
    <cellStyle name="Normal 2 145 16" xfId="5250"/>
    <cellStyle name="Normal 2 145 17" xfId="5251"/>
    <cellStyle name="Normal 2 145 18" xfId="5252"/>
    <cellStyle name="Normal 2 145 19" xfId="5253"/>
    <cellStyle name="Normal 2 145 2" xfId="5254"/>
    <cellStyle name="Normal 2 145 20" xfId="5255"/>
    <cellStyle name="Normal 2 145 3" xfId="5256"/>
    <cellStyle name="Normal 2 145 4" xfId="5257"/>
    <cellStyle name="Normal 2 145 5" xfId="5258"/>
    <cellStyle name="Normal 2 145 6" xfId="5259"/>
    <cellStyle name="Normal 2 145 7" xfId="5260"/>
    <cellStyle name="Normal 2 145 8" xfId="5261"/>
    <cellStyle name="Normal 2 145 9" xfId="5262"/>
    <cellStyle name="Normal 2 146" xfId="5263"/>
    <cellStyle name="Normal 2 146 10" xfId="5264"/>
    <cellStyle name="Normal 2 146 11" xfId="5265"/>
    <cellStyle name="Normal 2 146 12" xfId="5266"/>
    <cellStyle name="Normal 2 146 13" xfId="5267"/>
    <cellStyle name="Normal 2 146 14" xfId="5268"/>
    <cellStyle name="Normal 2 146 15" xfId="5269"/>
    <cellStyle name="Normal 2 146 16" xfId="5270"/>
    <cellStyle name="Normal 2 146 17" xfId="5271"/>
    <cellStyle name="Normal 2 146 2" xfId="5272"/>
    <cellStyle name="Normal 2 146 3" xfId="5273"/>
    <cellStyle name="Normal 2 146 4" xfId="5274"/>
    <cellStyle name="Normal 2 146 5" xfId="5275"/>
    <cellStyle name="Normal 2 146 6" xfId="5276"/>
    <cellStyle name="Normal 2 146 7" xfId="5277"/>
    <cellStyle name="Normal 2 146 8" xfId="5278"/>
    <cellStyle name="Normal 2 146 9" xfId="5279"/>
    <cellStyle name="Normal 2 147" xfId="5280"/>
    <cellStyle name="Normal 2 147 10" xfId="5281"/>
    <cellStyle name="Normal 2 147 11" xfId="5282"/>
    <cellStyle name="Normal 2 147 12" xfId="5283"/>
    <cellStyle name="Normal 2 147 13" xfId="5284"/>
    <cellStyle name="Normal 2 147 14" xfId="5285"/>
    <cellStyle name="Normal 2 147 15" xfId="5286"/>
    <cellStyle name="Normal 2 147 16" xfId="5287"/>
    <cellStyle name="Normal 2 147 17" xfId="5288"/>
    <cellStyle name="Normal 2 147 2" xfId="5289"/>
    <cellStyle name="Normal 2 147 3" xfId="5290"/>
    <cellStyle name="Normal 2 147 4" xfId="5291"/>
    <cellStyle name="Normal 2 147 5" xfId="5292"/>
    <cellStyle name="Normal 2 147 6" xfId="5293"/>
    <cellStyle name="Normal 2 147 7" xfId="5294"/>
    <cellStyle name="Normal 2 147 8" xfId="5295"/>
    <cellStyle name="Normal 2 147 9" xfId="5296"/>
    <cellStyle name="Normal 2 148" xfId="5297"/>
    <cellStyle name="Normal 2 148 10" xfId="5298"/>
    <cellStyle name="Normal 2 148 11" xfId="5299"/>
    <cellStyle name="Normal 2 148 12" xfId="5300"/>
    <cellStyle name="Normal 2 148 13" xfId="5301"/>
    <cellStyle name="Normal 2 148 2" xfId="5302"/>
    <cellStyle name="Normal 2 148 3" xfId="5303"/>
    <cellStyle name="Normal 2 148 4" xfId="5304"/>
    <cellStyle name="Normal 2 148 5" xfId="5305"/>
    <cellStyle name="Normal 2 148 6" xfId="5306"/>
    <cellStyle name="Normal 2 148 7" xfId="5307"/>
    <cellStyle name="Normal 2 148 8" xfId="5308"/>
    <cellStyle name="Normal 2 148 9" xfId="5309"/>
    <cellStyle name="Normal 2 149" xfId="5310"/>
    <cellStyle name="Normal 2 15" xfId="5311"/>
    <cellStyle name="Normal 2 15 2" xfId="5312"/>
    <cellStyle name="Normal 2 15 3" xfId="5313"/>
    <cellStyle name="Normal 2 150" xfId="5314"/>
    <cellStyle name="Normal 2 151" xfId="5315"/>
    <cellStyle name="Normal 2 152" xfId="5316"/>
    <cellStyle name="Normal 2 153" xfId="5317"/>
    <cellStyle name="Normal 2 154" xfId="5318"/>
    <cellStyle name="Normal 2 155" xfId="5319"/>
    <cellStyle name="Normal 2 156" xfId="5320"/>
    <cellStyle name="Normal 2 157" xfId="5321"/>
    <cellStyle name="Normal 2 158" xfId="5322"/>
    <cellStyle name="Normal 2 159" xfId="5323"/>
    <cellStyle name="Normal 2 16" xfId="5324"/>
    <cellStyle name="Normal 2 16 2" xfId="5325"/>
    <cellStyle name="Normal 2 16 3" xfId="5326"/>
    <cellStyle name="Normal 2 160" xfId="5327"/>
    <cellStyle name="Normal 2 161" xfId="5328"/>
    <cellStyle name="Normal 2 162" xfId="5329"/>
    <cellStyle name="Normal 2 163" xfId="5330"/>
    <cellStyle name="Normal 2 164" xfId="5331"/>
    <cellStyle name="Normal 2 165" xfId="5332"/>
    <cellStyle name="Normal 2 166" xfId="5333"/>
    <cellStyle name="Normal 2 167" xfId="5334"/>
    <cellStyle name="Normal 2 168" xfId="5335"/>
    <cellStyle name="Normal 2 168 2" xfId="5336"/>
    <cellStyle name="Normal 2 168 3" xfId="5337"/>
    <cellStyle name="Normal 2 168 4" xfId="5338"/>
    <cellStyle name="Normal 2 169" xfId="5339"/>
    <cellStyle name="Normal 2 17" xfId="5340"/>
    <cellStyle name="Normal 2 17 2" xfId="5341"/>
    <cellStyle name="Normal 2 17 3" xfId="5342"/>
    <cellStyle name="Normal 2 170" xfId="5343"/>
    <cellStyle name="Normal 2 171" xfId="5344"/>
    <cellStyle name="Normal 2 172" xfId="5345"/>
    <cellStyle name="Normal 2 173" xfId="5346"/>
    <cellStyle name="Normal 2 174" xfId="5347"/>
    <cellStyle name="Normal 2 175" xfId="5348"/>
    <cellStyle name="Normal 2 176" xfId="5349"/>
    <cellStyle name="Normal 2 177" xfId="5350"/>
    <cellStyle name="Normal 2 178" xfId="5351"/>
    <cellStyle name="Normal 2 179" xfId="5352"/>
    <cellStyle name="Normal 2 18" xfId="5353"/>
    <cellStyle name="Normal 2 18 2" xfId="5354"/>
    <cellStyle name="Normal 2 18 3" xfId="5355"/>
    <cellStyle name="Normal 2 180" xfId="5356"/>
    <cellStyle name="Normal 2 181" xfId="5357"/>
    <cellStyle name="Normal 2 182" xfId="5358"/>
    <cellStyle name="Normal 2 183" xfId="5359"/>
    <cellStyle name="Normal 2 184" xfId="5360"/>
    <cellStyle name="Normal 2 185" xfId="5361"/>
    <cellStyle name="Normal 2 186" xfId="5362"/>
    <cellStyle name="Normal 2 187" xfId="5363"/>
    <cellStyle name="Normal 2 188" xfId="5364"/>
    <cellStyle name="Normal 2 189" xfId="5365"/>
    <cellStyle name="Normal 2 19" xfId="5366"/>
    <cellStyle name="Normal 2 19 2" xfId="5367"/>
    <cellStyle name="Normal 2 19 3" xfId="5368"/>
    <cellStyle name="Normal 2 190" xfId="5369"/>
    <cellStyle name="Normal 2 191" xfId="5370"/>
    <cellStyle name="Normal 2 192" xfId="5371"/>
    <cellStyle name="Normal 2 193" xfId="5372"/>
    <cellStyle name="Normal 2 194" xfId="5373"/>
    <cellStyle name="Normal 2 195" xfId="5374"/>
    <cellStyle name="Normal 2 196" xfId="5375"/>
    <cellStyle name="Normal 2 197" xfId="5376"/>
    <cellStyle name="Normal 2 198" xfId="5377"/>
    <cellStyle name="Normal 2 199" xfId="5378"/>
    <cellStyle name="Normal 2 2" xfId="5379"/>
    <cellStyle name="Normal 2 2 10" xfId="5380"/>
    <cellStyle name="Normal 2 2 10 2" xfId="5381"/>
    <cellStyle name="Normal 2 2 100" xfId="5382"/>
    <cellStyle name="Normal 2 2 101" xfId="5383"/>
    <cellStyle name="Normal 2 2 102" xfId="5384"/>
    <cellStyle name="Normal 2 2 103" xfId="5385"/>
    <cellStyle name="Normal 2 2 104" xfId="5386"/>
    <cellStyle name="Normal 2 2 105" xfId="5387"/>
    <cellStyle name="Normal 2 2 106" xfId="5388"/>
    <cellStyle name="Normal 2 2 107" xfId="5389"/>
    <cellStyle name="Normal 2 2 108" xfId="5390"/>
    <cellStyle name="Normal 2 2 109" xfId="5391"/>
    <cellStyle name="Normal 2 2 11" xfId="5392"/>
    <cellStyle name="Normal 2 2 11 2" xfId="5393"/>
    <cellStyle name="Normal 2 2 110" xfId="5394"/>
    <cellStyle name="Normal 2 2 111" xfId="5395"/>
    <cellStyle name="Normal 2 2 111 2" xfId="5396"/>
    <cellStyle name="Normal 2 2 111 3" xfId="5397"/>
    <cellStyle name="Normal 2 2 111 4" xfId="5398"/>
    <cellStyle name="Normal 2 2 111 5" xfId="5399"/>
    <cellStyle name="Normal 2 2 111 6" xfId="5400"/>
    <cellStyle name="Normal 2 2 111 7" xfId="5401"/>
    <cellStyle name="Normal 2 2 112" xfId="5402"/>
    <cellStyle name="Normal 2 2 113" xfId="5403"/>
    <cellStyle name="Normal 2 2 114" xfId="5404"/>
    <cellStyle name="Normal 2 2 115" xfId="5405"/>
    <cellStyle name="Normal 2 2 116" xfId="5406"/>
    <cellStyle name="Normal 2 2 117" xfId="5407"/>
    <cellStyle name="Normal 2 2 118" xfId="5408"/>
    <cellStyle name="Normal 2 2 119" xfId="5409"/>
    <cellStyle name="Normal 2 2 12" xfId="5410"/>
    <cellStyle name="Normal 2 2 12 2" xfId="5411"/>
    <cellStyle name="Normal 2 2 120" xfId="5412"/>
    <cellStyle name="Normal 2 2 121" xfId="5413"/>
    <cellStyle name="Normal 2 2 122" xfId="5414"/>
    <cellStyle name="Normal 2 2 123" xfId="5415"/>
    <cellStyle name="Normal 2 2 124" xfId="5416"/>
    <cellStyle name="Normal 2 2 125" xfId="5417"/>
    <cellStyle name="Normal 2 2 126" xfId="5418"/>
    <cellStyle name="Normal 2 2 127" xfId="5419"/>
    <cellStyle name="Normal 2 2 128" xfId="5420"/>
    <cellStyle name="Normal 2 2 129" xfId="5421"/>
    <cellStyle name="Normal 2 2 13" xfId="5422"/>
    <cellStyle name="Normal 2 2 13 2" xfId="5423"/>
    <cellStyle name="Normal 2 2 130" xfId="5424"/>
    <cellStyle name="Normal 2 2 131" xfId="5425"/>
    <cellStyle name="Normal 2 2 132" xfId="5426"/>
    <cellStyle name="Normal 2 2 133" xfId="5427"/>
    <cellStyle name="Normal 2 2 134" xfId="5428"/>
    <cellStyle name="Normal 2 2 135" xfId="5429"/>
    <cellStyle name="Normal 2 2 136" xfId="5430"/>
    <cellStyle name="Normal 2 2 137" xfId="5431"/>
    <cellStyle name="Normal 2 2 138" xfId="5432"/>
    <cellStyle name="Normal 2 2 139" xfId="5433"/>
    <cellStyle name="Normal 2 2 14" xfId="5434"/>
    <cellStyle name="Normal 2 2 14 2" xfId="5435"/>
    <cellStyle name="Normal 2 2 140" xfId="5436"/>
    <cellStyle name="Normal 2 2 141" xfId="5437"/>
    <cellStyle name="Normal 2 2 142" xfId="5438"/>
    <cellStyle name="Normal 2 2 143" xfId="5439"/>
    <cellStyle name="Normal 2 2 144" xfId="5440"/>
    <cellStyle name="Normal 2 2 145" xfId="5441"/>
    <cellStyle name="Normal 2 2 146" xfId="5442"/>
    <cellStyle name="Normal 2 2 147" xfId="5443"/>
    <cellStyle name="Normal 2 2 148" xfId="5444"/>
    <cellStyle name="Normal 2 2 149" xfId="5445"/>
    <cellStyle name="Normal 2 2 15" xfId="5446"/>
    <cellStyle name="Normal 2 2 15 2" xfId="5447"/>
    <cellStyle name="Normal 2 2 150" xfId="5448"/>
    <cellStyle name="Normal 2 2 151" xfId="5449"/>
    <cellStyle name="Normal 2 2 152" xfId="5450"/>
    <cellStyle name="Normal 2 2 153" xfId="5451"/>
    <cellStyle name="Normal 2 2 154" xfId="5452"/>
    <cellStyle name="Normal 2 2 155" xfId="5453"/>
    <cellStyle name="Normal 2 2 156" xfId="5454"/>
    <cellStyle name="Normal 2 2 157" xfId="5455"/>
    <cellStyle name="Normal 2 2 158" xfId="5456"/>
    <cellStyle name="Normal 2 2 159" xfId="5457"/>
    <cellStyle name="Normal 2 2 16" xfId="5458"/>
    <cellStyle name="Normal 2 2 16 2" xfId="5459"/>
    <cellStyle name="Normal 2 2 160" xfId="5460"/>
    <cellStyle name="Normal 2 2 161" xfId="5461"/>
    <cellStyle name="Normal 2 2 161 2" xfId="5462"/>
    <cellStyle name="Normal 2 2 161 3" xfId="5463"/>
    <cellStyle name="Normal 2 2 161 4" xfId="5464"/>
    <cellStyle name="Normal 2 2 162" xfId="5465"/>
    <cellStyle name="Normal 2 2 163" xfId="5466"/>
    <cellStyle name="Normal 2 2 164" xfId="5467"/>
    <cellStyle name="Normal 2 2 165" xfId="5468"/>
    <cellStyle name="Normal 2 2 166" xfId="5469"/>
    <cellStyle name="Normal 2 2 167" xfId="5470"/>
    <cellStyle name="Normal 2 2 168" xfId="5471"/>
    <cellStyle name="Normal 2 2 169" xfId="5472"/>
    <cellStyle name="Normal 2 2 17" xfId="5473"/>
    <cellStyle name="Normal 2 2 17 2" xfId="5474"/>
    <cellStyle name="Normal 2 2 170" xfId="5475"/>
    <cellStyle name="Normal 2 2 171" xfId="5476"/>
    <cellStyle name="Normal 2 2 172" xfId="5477"/>
    <cellStyle name="Normal 2 2 173" xfId="5478"/>
    <cellStyle name="Normal 2 2 174" xfId="5479"/>
    <cellStyle name="Normal 2 2 175" xfId="5480"/>
    <cellStyle name="Normal 2 2 176" xfId="5481"/>
    <cellStyle name="Normal 2 2 177" xfId="5482"/>
    <cellStyle name="Normal 2 2 178" xfId="5483"/>
    <cellStyle name="Normal 2 2 179" xfId="5484"/>
    <cellStyle name="Normal 2 2 18" xfId="5485"/>
    <cellStyle name="Normal 2 2 18 2" xfId="5486"/>
    <cellStyle name="Normal 2 2 180" xfId="5487"/>
    <cellStyle name="Normal 2 2 181" xfId="5488"/>
    <cellStyle name="Normal 2 2 182" xfId="5489"/>
    <cellStyle name="Normal 2 2 183" xfId="5490"/>
    <cellStyle name="Normal 2 2 184" xfId="5491"/>
    <cellStyle name="Normal 2 2 185" xfId="5492"/>
    <cellStyle name="Normal 2 2 186" xfId="5493"/>
    <cellStyle name="Normal 2 2 187" xfId="5494"/>
    <cellStyle name="Normal 2 2 188" xfId="5495"/>
    <cellStyle name="Normal 2 2 189" xfId="5496"/>
    <cellStyle name="Normal 2 2 19" xfId="5497"/>
    <cellStyle name="Normal 2 2 19 2" xfId="5498"/>
    <cellStyle name="Normal 2 2 190" xfId="5499"/>
    <cellStyle name="Normal 2 2 191" xfId="5500"/>
    <cellStyle name="Normal 2 2 192" xfId="5501"/>
    <cellStyle name="Normal 2 2 193" xfId="5502"/>
    <cellStyle name="Normal 2 2 194" xfId="5503"/>
    <cellStyle name="Normal 2 2 195" xfId="5504"/>
    <cellStyle name="Normal 2 2 196" xfId="5505"/>
    <cellStyle name="Normal 2 2 197" xfId="5506"/>
    <cellStyle name="Normal 2 2 198" xfId="5507"/>
    <cellStyle name="Normal 2 2 199" xfId="5508"/>
    <cellStyle name="Normal 2 2 2" xfId="5509"/>
    <cellStyle name="Normal 2 2 2 10" xfId="5510"/>
    <cellStyle name="Normal 2 2 2 10 2" xfId="5511"/>
    <cellStyle name="Normal 2 2 2 100" xfId="5512"/>
    <cellStyle name="Normal 2 2 2 101" xfId="5513"/>
    <cellStyle name="Normal 2 2 2 102" xfId="5514"/>
    <cellStyle name="Normal 2 2 2 103" xfId="5515"/>
    <cellStyle name="Normal 2 2 2 104" xfId="5516"/>
    <cellStyle name="Normal 2 2 2 105" xfId="5517"/>
    <cellStyle name="Normal 2 2 2 106" xfId="5518"/>
    <cellStyle name="Normal 2 2 2 107" xfId="5519"/>
    <cellStyle name="Normal 2 2 2 108" xfId="5520"/>
    <cellStyle name="Normal 2 2 2 109" xfId="5521"/>
    <cellStyle name="Normal 2 2 2 11" xfId="5522"/>
    <cellStyle name="Normal 2 2 2 11 2" xfId="5523"/>
    <cellStyle name="Normal 2 2 2 110" xfId="5524"/>
    <cellStyle name="Normal 2 2 2 111" xfId="5525"/>
    <cellStyle name="Normal 2 2 2 112" xfId="5526"/>
    <cellStyle name="Normal 2 2 2 113" xfId="5527"/>
    <cellStyle name="Normal 2 2 2 114" xfId="5528"/>
    <cellStyle name="Normal 2 2 2 115" xfId="5529"/>
    <cellStyle name="Normal 2 2 2 116" xfId="5530"/>
    <cellStyle name="Normal 2 2 2 117" xfId="5531"/>
    <cellStyle name="Normal 2 2 2 118" xfId="5532"/>
    <cellStyle name="Normal 2 2 2 119" xfId="5533"/>
    <cellStyle name="Normal 2 2 2 119 2" xfId="5534"/>
    <cellStyle name="Normal 2 2 2 119 3" xfId="5535"/>
    <cellStyle name="Normal 2 2 2 119 4" xfId="5536"/>
    <cellStyle name="Normal 2 2 2 12" xfId="5537"/>
    <cellStyle name="Normal 2 2 2 12 10" xfId="5538"/>
    <cellStyle name="Normal 2 2 2 12 2" xfId="5539"/>
    <cellStyle name="Normal 2 2 2 12 2 2" xfId="5540"/>
    <cellStyle name="Normal 2 2 2 12 2 3" xfId="5541"/>
    <cellStyle name="Normal 2 2 2 12 2 4" xfId="5542"/>
    <cellStyle name="Normal 2 2 2 12 2 5" xfId="5543"/>
    <cellStyle name="Normal 2 2 2 12 2 6" xfId="5544"/>
    <cellStyle name="Normal 2 2 2 12 2 7" xfId="5545"/>
    <cellStyle name="Normal 2 2 2 12 2 8" xfId="5546"/>
    <cellStyle name="Normal 2 2 2 12 2 9" xfId="5547"/>
    <cellStyle name="Normal 2 2 2 12 3" xfId="5548"/>
    <cellStyle name="Normal 2 2 2 12 4" xfId="5549"/>
    <cellStyle name="Normal 2 2 2 12 5" xfId="5550"/>
    <cellStyle name="Normal 2 2 2 12 6" xfId="5551"/>
    <cellStyle name="Normal 2 2 2 12 7" xfId="5552"/>
    <cellStyle name="Normal 2 2 2 12 8" xfId="5553"/>
    <cellStyle name="Normal 2 2 2 12 9" xfId="5554"/>
    <cellStyle name="Normal 2 2 2 120" xfId="5555"/>
    <cellStyle name="Normal 2 2 2 121" xfId="5556"/>
    <cellStyle name="Normal 2 2 2 122" xfId="5557"/>
    <cellStyle name="Normal 2 2 2 13" xfId="5558"/>
    <cellStyle name="Normal 2 2 2 13 2" xfId="5559"/>
    <cellStyle name="Normal 2 2 2 14" xfId="5560"/>
    <cellStyle name="Normal 2 2 2 14 2" xfId="5561"/>
    <cellStyle name="Normal 2 2 2 15" xfId="5562"/>
    <cellStyle name="Normal 2 2 2 15 2" xfId="5563"/>
    <cellStyle name="Normal 2 2 2 16" xfId="5564"/>
    <cellStyle name="Normal 2 2 2 16 2" xfId="5565"/>
    <cellStyle name="Normal 2 2 2 17" xfId="5566"/>
    <cellStyle name="Normal 2 2 2 17 2" xfId="5567"/>
    <cellStyle name="Normal 2 2 2 18" xfId="5568"/>
    <cellStyle name="Normal 2 2 2 18 2" xfId="5569"/>
    <cellStyle name="Normal 2 2 2 19" xfId="5570"/>
    <cellStyle name="Normal 2 2 2 19 2" xfId="5571"/>
    <cellStyle name="Normal 2 2 2 2" xfId="5572"/>
    <cellStyle name="Normal 2 2 2 2 10" xfId="5573"/>
    <cellStyle name="Normal 2 2 2 2 10 2" xfId="5574"/>
    <cellStyle name="Normal 2 2 2 2 100" xfId="5575"/>
    <cellStyle name="Normal 2 2 2 2 101" xfId="5576"/>
    <cellStyle name="Normal 2 2 2 2 102" xfId="5577"/>
    <cellStyle name="Normal 2 2 2 2 103" xfId="5578"/>
    <cellStyle name="Normal 2 2 2 2 104" xfId="5579"/>
    <cellStyle name="Normal 2 2 2 2 105" xfId="5580"/>
    <cellStyle name="Normal 2 2 2 2 106" xfId="5581"/>
    <cellStyle name="Normal 2 2 2 2 107" xfId="5582"/>
    <cellStyle name="Normal 2 2 2 2 108" xfId="5583"/>
    <cellStyle name="Normal 2 2 2 2 109" xfId="5584"/>
    <cellStyle name="Normal 2 2 2 2 11" xfId="5585"/>
    <cellStyle name="Normal 2 2 2 2 11 2" xfId="5586"/>
    <cellStyle name="Normal 2 2 2 2 110" xfId="5587"/>
    <cellStyle name="Normal 2 2 2 2 111" xfId="5588"/>
    <cellStyle name="Normal 2 2 2 2 112" xfId="5589"/>
    <cellStyle name="Normal 2 2 2 2 113" xfId="5590"/>
    <cellStyle name="Normal 2 2 2 2 114" xfId="5591"/>
    <cellStyle name="Normal 2 2 2 2 115" xfId="5592"/>
    <cellStyle name="Normal 2 2 2 2 116" xfId="5593"/>
    <cellStyle name="Normal 2 2 2 2 117" xfId="5594"/>
    <cellStyle name="Normal 2 2 2 2 118" xfId="5595"/>
    <cellStyle name="Normal 2 2 2 2 119" xfId="5596"/>
    <cellStyle name="Normal 2 2 2 2 119 2" xfId="5597"/>
    <cellStyle name="Normal 2 2 2 2 119 3" xfId="5598"/>
    <cellStyle name="Normal 2 2 2 2 119 4" xfId="5599"/>
    <cellStyle name="Normal 2 2 2 2 12" xfId="5600"/>
    <cellStyle name="Normal 2 2 2 2 12 10" xfId="5601"/>
    <cellStyle name="Normal 2 2 2 2 12 2" xfId="5602"/>
    <cellStyle name="Normal 2 2 2 2 12 2 2" xfId="5603"/>
    <cellStyle name="Normal 2 2 2 2 12 2 3" xfId="5604"/>
    <cellStyle name="Normal 2 2 2 2 12 2 4" xfId="5605"/>
    <cellStyle name="Normal 2 2 2 2 12 2 5" xfId="5606"/>
    <cellStyle name="Normal 2 2 2 2 12 2 6" xfId="5607"/>
    <cellStyle name="Normal 2 2 2 2 12 2 7" xfId="5608"/>
    <cellStyle name="Normal 2 2 2 2 12 2 8" xfId="5609"/>
    <cellStyle name="Normal 2 2 2 2 12 2 9" xfId="5610"/>
    <cellStyle name="Normal 2 2 2 2 12 3" xfId="5611"/>
    <cellStyle name="Normal 2 2 2 2 12 4" xfId="5612"/>
    <cellStyle name="Normal 2 2 2 2 12 5" xfId="5613"/>
    <cellStyle name="Normal 2 2 2 2 12 6" xfId="5614"/>
    <cellStyle name="Normal 2 2 2 2 12 7" xfId="5615"/>
    <cellStyle name="Normal 2 2 2 2 12 8" xfId="5616"/>
    <cellStyle name="Normal 2 2 2 2 12 9" xfId="5617"/>
    <cellStyle name="Normal 2 2 2 2 120" xfId="5618"/>
    <cellStyle name="Normal 2 2 2 2 121" xfId="5619"/>
    <cellStyle name="Normal 2 2 2 2 122" xfId="5620"/>
    <cellStyle name="Normal 2 2 2 2 13" xfId="5621"/>
    <cellStyle name="Normal 2 2 2 2 13 2" xfId="5622"/>
    <cellStyle name="Normal 2 2 2 2 14" xfId="5623"/>
    <cellStyle name="Normal 2 2 2 2 14 2" xfId="5624"/>
    <cellStyle name="Normal 2 2 2 2 15" xfId="5625"/>
    <cellStyle name="Normal 2 2 2 2 15 2" xfId="5626"/>
    <cellStyle name="Normal 2 2 2 2 16" xfId="5627"/>
    <cellStyle name="Normal 2 2 2 2 16 2" xfId="5628"/>
    <cellStyle name="Normal 2 2 2 2 17" xfId="5629"/>
    <cellStyle name="Normal 2 2 2 2 17 2" xfId="5630"/>
    <cellStyle name="Normal 2 2 2 2 18" xfId="5631"/>
    <cellStyle name="Normal 2 2 2 2 18 2" xfId="5632"/>
    <cellStyle name="Normal 2 2 2 2 19" xfId="5633"/>
    <cellStyle name="Normal 2 2 2 2 19 2" xfId="5634"/>
    <cellStyle name="Normal 2 2 2 2 2" xfId="5635"/>
    <cellStyle name="Normal 2 2 2 2 2 10" xfId="5636"/>
    <cellStyle name="Normal 2 2 2 2 2 100" xfId="5637"/>
    <cellStyle name="Normal 2 2 2 2 2 101" xfId="5638"/>
    <cellStyle name="Normal 2 2 2 2 2 102" xfId="5639"/>
    <cellStyle name="Normal 2 2 2 2 2 103" xfId="5640"/>
    <cellStyle name="Normal 2 2 2 2 2 104" xfId="5641"/>
    <cellStyle name="Normal 2 2 2 2 2 105" xfId="5642"/>
    <cellStyle name="Normal 2 2 2 2 2 106" xfId="5643"/>
    <cellStyle name="Normal 2 2 2 2 2 107" xfId="5644"/>
    <cellStyle name="Normal 2 2 2 2 2 108" xfId="5645"/>
    <cellStyle name="Normal 2 2 2 2 2 109" xfId="5646"/>
    <cellStyle name="Normal 2 2 2 2 2 109 2" xfId="5647"/>
    <cellStyle name="Normal 2 2 2 2 2 109 3" xfId="5648"/>
    <cellStyle name="Normal 2 2 2 2 2 109 4" xfId="5649"/>
    <cellStyle name="Normal 2 2 2 2 2 11" xfId="5650"/>
    <cellStyle name="Normal 2 2 2 2 2 110" xfId="5651"/>
    <cellStyle name="Normal 2 2 2 2 2 111" xfId="5652"/>
    <cellStyle name="Normal 2 2 2 2 2 112" xfId="5653"/>
    <cellStyle name="Normal 2 2 2 2 2 12" xfId="5654"/>
    <cellStyle name="Normal 2 2 2 2 2 13" xfId="5655"/>
    <cellStyle name="Normal 2 2 2 2 2 14" xfId="5656"/>
    <cellStyle name="Normal 2 2 2 2 2 15" xfId="5657"/>
    <cellStyle name="Normal 2 2 2 2 2 16" xfId="5658"/>
    <cellStyle name="Normal 2 2 2 2 2 17" xfId="5659"/>
    <cellStyle name="Normal 2 2 2 2 2 18" xfId="5660"/>
    <cellStyle name="Normal 2 2 2 2 2 18 2" xfId="5661"/>
    <cellStyle name="Normal 2 2 2 2 2 18 2 2" xfId="5662"/>
    <cellStyle name="Normal 2 2 2 2 2 18 2 2 2" xfId="5663"/>
    <cellStyle name="Normal 2 2 2 2 2 18 3" xfId="5664"/>
    <cellStyle name="Normal 2 2 2 2 2 18 4" xfId="5665"/>
    <cellStyle name="Normal 2 2 2 2 2 18 5" xfId="5666"/>
    <cellStyle name="Normal 2 2 2 2 2 18 6" xfId="5667"/>
    <cellStyle name="Normal 2 2 2 2 2 19" xfId="5668"/>
    <cellStyle name="Normal 2 2 2 2 2 19 2" xfId="5669"/>
    <cellStyle name="Normal 2 2 2 2 2 19 2 2" xfId="5670"/>
    <cellStyle name="Normal 2 2 2 2 2 2" xfId="5671"/>
    <cellStyle name="Normal 2 2 2 2 2 2 10" xfId="5672"/>
    <cellStyle name="Normal 2 2 2 2 2 2 100" xfId="5673"/>
    <cellStyle name="Normal 2 2 2 2 2 2 101" xfId="5674"/>
    <cellStyle name="Normal 2 2 2 2 2 2 102" xfId="5675"/>
    <cellStyle name="Normal 2 2 2 2 2 2 103" xfId="5676"/>
    <cellStyle name="Normal 2 2 2 2 2 2 104" xfId="5677"/>
    <cellStyle name="Normal 2 2 2 2 2 2 105" xfId="5678"/>
    <cellStyle name="Normal 2 2 2 2 2 2 106" xfId="5679"/>
    <cellStyle name="Normal 2 2 2 2 2 2 107" xfId="5680"/>
    <cellStyle name="Normal 2 2 2 2 2 2 108" xfId="5681"/>
    <cellStyle name="Normal 2 2 2 2 2 2 109" xfId="5682"/>
    <cellStyle name="Normal 2 2 2 2 2 2 109 2" xfId="5683"/>
    <cellStyle name="Normal 2 2 2 2 2 2 109 3" xfId="5684"/>
    <cellStyle name="Normal 2 2 2 2 2 2 109 4" xfId="5685"/>
    <cellStyle name="Normal 2 2 2 2 2 2 11" xfId="5686"/>
    <cellStyle name="Normal 2 2 2 2 2 2 110" xfId="5687"/>
    <cellStyle name="Normal 2 2 2 2 2 2 111" xfId="5688"/>
    <cellStyle name="Normal 2 2 2 2 2 2 112" xfId="5689"/>
    <cellStyle name="Normal 2 2 2 2 2 2 12" xfId="5690"/>
    <cellStyle name="Normal 2 2 2 2 2 2 13" xfId="5691"/>
    <cellStyle name="Normal 2 2 2 2 2 2 14" xfId="5692"/>
    <cellStyle name="Normal 2 2 2 2 2 2 15" xfId="5693"/>
    <cellStyle name="Normal 2 2 2 2 2 2 16" xfId="5694"/>
    <cellStyle name="Normal 2 2 2 2 2 2 17" xfId="5695"/>
    <cellStyle name="Normal 2 2 2 2 2 2 18" xfId="5696"/>
    <cellStyle name="Normal 2 2 2 2 2 2 18 2" xfId="5697"/>
    <cellStyle name="Normal 2 2 2 2 2 2 18 2 2" xfId="5698"/>
    <cellStyle name="Normal 2 2 2 2 2 2 18 2 2 2" xfId="5699"/>
    <cellStyle name="Normal 2 2 2 2 2 2 18 3" xfId="5700"/>
    <cellStyle name="Normal 2 2 2 2 2 2 18 4" xfId="5701"/>
    <cellStyle name="Normal 2 2 2 2 2 2 18 5" xfId="5702"/>
    <cellStyle name="Normal 2 2 2 2 2 2 18 6" xfId="5703"/>
    <cellStyle name="Normal 2 2 2 2 2 2 19" xfId="5704"/>
    <cellStyle name="Normal 2 2 2 2 2 2 19 2" xfId="5705"/>
    <cellStyle name="Normal 2 2 2 2 2 2 19 2 2" xfId="5706"/>
    <cellStyle name="Normal 2 2 2 2 2 2 2" xfId="5707"/>
    <cellStyle name="Normal 2 2 2 2 2 2 2 10" xfId="5708"/>
    <cellStyle name="Normal 2 2 2 2 2 2 2 10 2" xfId="5709"/>
    <cellStyle name="Normal 2 2 2 2 2 2 2 10 2 2" xfId="5710"/>
    <cellStyle name="Normal 2 2 2 2 2 2 2 10 2 2 2" xfId="5711"/>
    <cellStyle name="Normal 2 2 2 2 2 2 2 10 3" xfId="5712"/>
    <cellStyle name="Normal 2 2 2 2 2 2 2 10 4" xfId="5713"/>
    <cellStyle name="Normal 2 2 2 2 2 2 2 10 5" xfId="5714"/>
    <cellStyle name="Normal 2 2 2 2 2 2 2 10 6" xfId="5715"/>
    <cellStyle name="Normal 2 2 2 2 2 2 2 100" xfId="5716"/>
    <cellStyle name="Normal 2 2 2 2 2 2 2 101" xfId="5717"/>
    <cellStyle name="Normal 2 2 2 2 2 2 2 101 2" xfId="5718"/>
    <cellStyle name="Normal 2 2 2 2 2 2 2 101 3" xfId="5719"/>
    <cellStyle name="Normal 2 2 2 2 2 2 2 101 4" xfId="5720"/>
    <cellStyle name="Normal 2 2 2 2 2 2 2 102" xfId="5721"/>
    <cellStyle name="Normal 2 2 2 2 2 2 2 103" xfId="5722"/>
    <cellStyle name="Normal 2 2 2 2 2 2 2 104" xfId="5723"/>
    <cellStyle name="Normal 2 2 2 2 2 2 2 11" xfId="5724"/>
    <cellStyle name="Normal 2 2 2 2 2 2 2 11 2" xfId="5725"/>
    <cellStyle name="Normal 2 2 2 2 2 2 2 11 2 2" xfId="5726"/>
    <cellStyle name="Normal 2 2 2 2 2 2 2 12" xfId="5727"/>
    <cellStyle name="Normal 2 2 2 2 2 2 2 13" xfId="5728"/>
    <cellStyle name="Normal 2 2 2 2 2 2 2 14" xfId="5729"/>
    <cellStyle name="Normal 2 2 2 2 2 2 2 15" xfId="5730"/>
    <cellStyle name="Normal 2 2 2 2 2 2 2 16" xfId="5731"/>
    <cellStyle name="Normal 2 2 2 2 2 2 2 17" xfId="5732"/>
    <cellStyle name="Normal 2 2 2 2 2 2 2 18" xfId="5733"/>
    <cellStyle name="Normal 2 2 2 2 2 2 2 19" xfId="5734"/>
    <cellStyle name="Normal 2 2 2 2 2 2 2 2" xfId="5735"/>
    <cellStyle name="Normal 2 2 2 2 2 2 2 2 10" xfId="5736"/>
    <cellStyle name="Normal 2 2 2 2 2 2 2 2 10 2" xfId="5737"/>
    <cellStyle name="Normal 2 2 2 2 2 2 2 2 10 2 2" xfId="5738"/>
    <cellStyle name="Normal 2 2 2 2 2 2 2 2 10 2 2 2" xfId="5739"/>
    <cellStyle name="Normal 2 2 2 2 2 2 2 2 10 3" xfId="5740"/>
    <cellStyle name="Normal 2 2 2 2 2 2 2 2 10 4" xfId="5741"/>
    <cellStyle name="Normal 2 2 2 2 2 2 2 2 10 5" xfId="5742"/>
    <cellStyle name="Normal 2 2 2 2 2 2 2 2 10 6" xfId="5743"/>
    <cellStyle name="Normal 2 2 2 2 2 2 2 2 100" xfId="5744"/>
    <cellStyle name="Normal 2 2 2 2 2 2 2 2 101" xfId="5745"/>
    <cellStyle name="Normal 2 2 2 2 2 2 2 2 101 2" xfId="5746"/>
    <cellStyle name="Normal 2 2 2 2 2 2 2 2 101 3" xfId="5747"/>
    <cellStyle name="Normal 2 2 2 2 2 2 2 2 101 4" xfId="5748"/>
    <cellStyle name="Normal 2 2 2 2 2 2 2 2 102" xfId="5749"/>
    <cellStyle name="Normal 2 2 2 2 2 2 2 2 103" xfId="5750"/>
    <cellStyle name="Normal 2 2 2 2 2 2 2 2 104" xfId="5751"/>
    <cellStyle name="Normal 2 2 2 2 2 2 2 2 11" xfId="5752"/>
    <cellStyle name="Normal 2 2 2 2 2 2 2 2 11 2" xfId="5753"/>
    <cellStyle name="Normal 2 2 2 2 2 2 2 2 11 2 2" xfId="5754"/>
    <cellStyle name="Normal 2 2 2 2 2 2 2 2 12" xfId="5755"/>
    <cellStyle name="Normal 2 2 2 2 2 2 2 2 13" xfId="5756"/>
    <cellStyle name="Normal 2 2 2 2 2 2 2 2 14" xfId="5757"/>
    <cellStyle name="Normal 2 2 2 2 2 2 2 2 15" xfId="5758"/>
    <cellStyle name="Normal 2 2 2 2 2 2 2 2 16" xfId="5759"/>
    <cellStyle name="Normal 2 2 2 2 2 2 2 2 17" xfId="5760"/>
    <cellStyle name="Normal 2 2 2 2 2 2 2 2 18" xfId="5761"/>
    <cellStyle name="Normal 2 2 2 2 2 2 2 2 19" xfId="5762"/>
    <cellStyle name="Normal 2 2 2 2 2 2 2 2 2" xfId="5763"/>
    <cellStyle name="Normal 2 2 2 2 2 2 2 2 2 10" xfId="5764"/>
    <cellStyle name="Normal 2 2 2 2 2 2 2 2 2 11" xfId="5765"/>
    <cellStyle name="Normal 2 2 2 2 2 2 2 2 2 12" xfId="5766"/>
    <cellStyle name="Normal 2 2 2 2 2 2 2 2 2 13" xfId="5767"/>
    <cellStyle name="Normal 2 2 2 2 2 2 2 2 2 13 10" xfId="5768"/>
    <cellStyle name="Normal 2 2 2 2 2 2 2 2 2 13 11" xfId="5769"/>
    <cellStyle name="Normal 2 2 2 2 2 2 2 2 2 13 11 10" xfId="5770"/>
    <cellStyle name="Normal 2 2 2 2 2 2 2 2 2 13 11 11" xfId="5771"/>
    <cellStyle name="Normal 2 2 2 2 2 2 2 2 2 13 11 11 2" xfId="5772"/>
    <cellStyle name="Normal 2 2 2 2 2 2 2 2 2 13 11 11 3" xfId="5773"/>
    <cellStyle name="Normal 2 2 2 2 2 2 2 2 2 13 11 11 4" xfId="5774"/>
    <cellStyle name="Normal 2 2 2 2 2 2 2 2 2 13 11 12" xfId="5775"/>
    <cellStyle name="Normal 2 2 2 2 2 2 2 2 2 13 11 13" xfId="5776"/>
    <cellStyle name="Normal 2 2 2 2 2 2 2 2 2 13 11 14" xfId="5777"/>
    <cellStyle name="Normal 2 2 2 2 2 2 2 2 2 13 11 2" xfId="5778"/>
    <cellStyle name="Normal 2 2 2 2 2 2 2 2 2 13 11 2 10" xfId="5779"/>
    <cellStyle name="Normal 2 2 2 2 2 2 2 2 2 13 11 2 11" xfId="5780"/>
    <cellStyle name="Normal 2 2 2 2 2 2 2 2 2 13 11 2 2" xfId="5781"/>
    <cellStyle name="Normal 2 2 2 2 2 2 2 2 2 13 11 2 2 10" xfId="5782"/>
    <cellStyle name="Normal 2 2 2 2 2 2 2 2 2 13 11 2 2 11" xfId="5783"/>
    <cellStyle name="Normal 2 2 2 2 2 2 2 2 2 13 11 2 2 2" xfId="5784"/>
    <cellStyle name="Normal 2 2 2 2 2 2 2 2 2 13 11 2 2 2 2" xfId="5785"/>
    <cellStyle name="Normal 2 2 2 2 2 2 2 2 2 13 11 2 2 2 2 2" xfId="5786"/>
    <cellStyle name="Normal 2 2 2 2 2 2 2 2 2 13 11 2 2 2 2 3" xfId="5787"/>
    <cellStyle name="Normal 2 2 2 2 2 2 2 2 2 13 11 2 2 2 2 4" xfId="5788"/>
    <cellStyle name="Normal 2 2 2 2 2 2 2 2 2 13 11 2 2 2 3" xfId="5789"/>
    <cellStyle name="Normal 2 2 2 2 2 2 2 2 2 13 11 2 2 2 4" xfId="5790"/>
    <cellStyle name="Normal 2 2 2 2 2 2 2 2 2 13 11 2 2 2 5" xfId="5791"/>
    <cellStyle name="Normal 2 2 2 2 2 2 2 2 2 13 11 2 2 2 6" xfId="5792"/>
    <cellStyle name="Normal 2 2 2 2 2 2 2 2 2 13 11 2 2 3" xfId="5793"/>
    <cellStyle name="Normal 2 2 2 2 2 2 2 2 2 13 11 2 2 4" xfId="5794"/>
    <cellStyle name="Normal 2 2 2 2 2 2 2 2 2 13 11 2 2 5" xfId="5795"/>
    <cellStyle name="Normal 2 2 2 2 2 2 2 2 2 13 11 2 2 6" xfId="5796"/>
    <cellStyle name="Normal 2 2 2 2 2 2 2 2 2 13 11 2 2 7" xfId="5797"/>
    <cellStyle name="Normal 2 2 2 2 2 2 2 2 2 13 11 2 2 8" xfId="5798"/>
    <cellStyle name="Normal 2 2 2 2 2 2 2 2 2 13 11 2 2 8 2" xfId="5799"/>
    <cellStyle name="Normal 2 2 2 2 2 2 2 2 2 13 11 2 2 8 3" xfId="5800"/>
    <cellStyle name="Normal 2 2 2 2 2 2 2 2 2 13 11 2 2 8 4" xfId="5801"/>
    <cellStyle name="Normal 2 2 2 2 2 2 2 2 2 13 11 2 2 9" xfId="5802"/>
    <cellStyle name="Normal 2 2 2 2 2 2 2 2 2 13 11 2 3" xfId="5803"/>
    <cellStyle name="Normal 2 2 2 2 2 2 2 2 2 13 11 2 3 2" xfId="5804"/>
    <cellStyle name="Normal 2 2 2 2 2 2 2 2 2 13 11 2 3 2 2" xfId="5805"/>
    <cellStyle name="Normal 2 2 2 2 2 2 2 2 2 13 11 2 3 2 3" xfId="5806"/>
    <cellStyle name="Normal 2 2 2 2 2 2 2 2 2 13 11 2 3 2 4" xfId="5807"/>
    <cellStyle name="Normal 2 2 2 2 2 2 2 2 2 13 11 2 3 3" xfId="5808"/>
    <cellStyle name="Normal 2 2 2 2 2 2 2 2 2 13 11 2 3 4" xfId="5809"/>
    <cellStyle name="Normal 2 2 2 2 2 2 2 2 2 13 11 2 3 5" xfId="5810"/>
    <cellStyle name="Normal 2 2 2 2 2 2 2 2 2 13 11 2 3 6" xfId="5811"/>
    <cellStyle name="Normal 2 2 2 2 2 2 2 2 2 13 11 2 4" xfId="5812"/>
    <cellStyle name="Normal 2 2 2 2 2 2 2 2 2 13 11 2 5" xfId="5813"/>
    <cellStyle name="Normal 2 2 2 2 2 2 2 2 2 13 11 2 6" xfId="5814"/>
    <cellStyle name="Normal 2 2 2 2 2 2 2 2 2 13 11 2 7" xfId="5815"/>
    <cellStyle name="Normal 2 2 2 2 2 2 2 2 2 13 11 2 8" xfId="5816"/>
    <cellStyle name="Normal 2 2 2 2 2 2 2 2 2 13 11 2 8 2" xfId="5817"/>
    <cellStyle name="Normal 2 2 2 2 2 2 2 2 2 13 11 2 8 3" xfId="5818"/>
    <cellStyle name="Normal 2 2 2 2 2 2 2 2 2 13 11 2 8 4" xfId="5819"/>
    <cellStyle name="Normal 2 2 2 2 2 2 2 2 2 13 11 2 9" xfId="5820"/>
    <cellStyle name="Normal 2 2 2 2 2 2 2 2 2 13 11 3" xfId="5821"/>
    <cellStyle name="Normal 2 2 2 2 2 2 2 2 2 13 11 4" xfId="5822"/>
    <cellStyle name="Normal 2 2 2 2 2 2 2 2 2 13 11 5" xfId="5823"/>
    <cellStyle name="Normal 2 2 2 2 2 2 2 2 2 13 11 5 2" xfId="5824"/>
    <cellStyle name="Normal 2 2 2 2 2 2 2 2 2 13 11 5 2 2" xfId="5825"/>
    <cellStyle name="Normal 2 2 2 2 2 2 2 2 2 13 11 5 2 3" xfId="5826"/>
    <cellStyle name="Normal 2 2 2 2 2 2 2 2 2 13 11 5 2 4" xfId="5827"/>
    <cellStyle name="Normal 2 2 2 2 2 2 2 2 2 13 11 5 3" xfId="5828"/>
    <cellStyle name="Normal 2 2 2 2 2 2 2 2 2 13 11 5 4" xfId="5829"/>
    <cellStyle name="Normal 2 2 2 2 2 2 2 2 2 13 11 5 5" xfId="5830"/>
    <cellStyle name="Normal 2 2 2 2 2 2 2 2 2 13 11 5 6" xfId="5831"/>
    <cellStyle name="Normal 2 2 2 2 2 2 2 2 2 13 11 6" xfId="5832"/>
    <cellStyle name="Normal 2 2 2 2 2 2 2 2 2 13 11 7" xfId="5833"/>
    <cellStyle name="Normal 2 2 2 2 2 2 2 2 2 13 11 8" xfId="5834"/>
    <cellStyle name="Normal 2 2 2 2 2 2 2 2 2 13 11 9" xfId="5835"/>
    <cellStyle name="Normal 2 2 2 2 2 2 2 2 2 13 12" xfId="5836"/>
    <cellStyle name="Normal 2 2 2 2 2 2 2 2 2 13 13" xfId="5837"/>
    <cellStyle name="Normal 2 2 2 2 2 2 2 2 2 13 13 10" xfId="5838"/>
    <cellStyle name="Normal 2 2 2 2 2 2 2 2 2 13 13 11" xfId="5839"/>
    <cellStyle name="Normal 2 2 2 2 2 2 2 2 2 13 13 2" xfId="5840"/>
    <cellStyle name="Normal 2 2 2 2 2 2 2 2 2 13 13 2 10" xfId="5841"/>
    <cellStyle name="Normal 2 2 2 2 2 2 2 2 2 13 13 2 11" xfId="5842"/>
    <cellStyle name="Normal 2 2 2 2 2 2 2 2 2 13 13 2 2" xfId="5843"/>
    <cellStyle name="Normal 2 2 2 2 2 2 2 2 2 13 13 2 2 2" xfId="5844"/>
    <cellStyle name="Normal 2 2 2 2 2 2 2 2 2 13 13 2 2 2 2" xfId="5845"/>
    <cellStyle name="Normal 2 2 2 2 2 2 2 2 2 13 13 2 2 2 3" xfId="5846"/>
    <cellStyle name="Normal 2 2 2 2 2 2 2 2 2 13 13 2 2 2 4" xfId="5847"/>
    <cellStyle name="Normal 2 2 2 2 2 2 2 2 2 13 13 2 2 3" xfId="5848"/>
    <cellStyle name="Normal 2 2 2 2 2 2 2 2 2 13 13 2 2 4" xfId="5849"/>
    <cellStyle name="Normal 2 2 2 2 2 2 2 2 2 13 13 2 2 5" xfId="5850"/>
    <cellStyle name="Normal 2 2 2 2 2 2 2 2 2 13 13 2 2 6" xfId="5851"/>
    <cellStyle name="Normal 2 2 2 2 2 2 2 2 2 13 13 2 3" xfId="5852"/>
    <cellStyle name="Normal 2 2 2 2 2 2 2 2 2 13 13 2 4" xfId="5853"/>
    <cellStyle name="Normal 2 2 2 2 2 2 2 2 2 13 13 2 5" xfId="5854"/>
    <cellStyle name="Normal 2 2 2 2 2 2 2 2 2 13 13 2 6" xfId="5855"/>
    <cellStyle name="Normal 2 2 2 2 2 2 2 2 2 13 13 2 7" xfId="5856"/>
    <cellStyle name="Normal 2 2 2 2 2 2 2 2 2 13 13 2 8" xfId="5857"/>
    <cellStyle name="Normal 2 2 2 2 2 2 2 2 2 13 13 2 8 2" xfId="5858"/>
    <cellStyle name="Normal 2 2 2 2 2 2 2 2 2 13 13 2 8 3" xfId="5859"/>
    <cellStyle name="Normal 2 2 2 2 2 2 2 2 2 13 13 2 8 4" xfId="5860"/>
    <cellStyle name="Normal 2 2 2 2 2 2 2 2 2 13 13 2 9" xfId="5861"/>
    <cellStyle name="Normal 2 2 2 2 2 2 2 2 2 13 13 3" xfId="5862"/>
    <cellStyle name="Normal 2 2 2 2 2 2 2 2 2 13 13 3 2" xfId="5863"/>
    <cellStyle name="Normal 2 2 2 2 2 2 2 2 2 13 13 3 2 2" xfId="5864"/>
    <cellStyle name="Normal 2 2 2 2 2 2 2 2 2 13 13 3 2 3" xfId="5865"/>
    <cellStyle name="Normal 2 2 2 2 2 2 2 2 2 13 13 3 2 4" xfId="5866"/>
    <cellStyle name="Normal 2 2 2 2 2 2 2 2 2 13 13 3 3" xfId="5867"/>
    <cellStyle name="Normal 2 2 2 2 2 2 2 2 2 13 13 3 4" xfId="5868"/>
    <cellStyle name="Normal 2 2 2 2 2 2 2 2 2 13 13 3 5" xfId="5869"/>
    <cellStyle name="Normal 2 2 2 2 2 2 2 2 2 13 13 3 6" xfId="5870"/>
    <cellStyle name="Normal 2 2 2 2 2 2 2 2 2 13 13 4" xfId="5871"/>
    <cellStyle name="Normal 2 2 2 2 2 2 2 2 2 13 13 5" xfId="5872"/>
    <cellStyle name="Normal 2 2 2 2 2 2 2 2 2 13 13 6" xfId="5873"/>
    <cellStyle name="Normal 2 2 2 2 2 2 2 2 2 13 13 7" xfId="5874"/>
    <cellStyle name="Normal 2 2 2 2 2 2 2 2 2 13 13 8" xfId="5875"/>
    <cellStyle name="Normal 2 2 2 2 2 2 2 2 2 13 13 8 2" xfId="5876"/>
    <cellStyle name="Normal 2 2 2 2 2 2 2 2 2 13 13 8 3" xfId="5877"/>
    <cellStyle name="Normal 2 2 2 2 2 2 2 2 2 13 13 8 4" xfId="5878"/>
    <cellStyle name="Normal 2 2 2 2 2 2 2 2 2 13 13 9" xfId="5879"/>
    <cellStyle name="Normal 2 2 2 2 2 2 2 2 2 13 14" xfId="5880"/>
    <cellStyle name="Normal 2 2 2 2 2 2 2 2 2 13 15" xfId="5881"/>
    <cellStyle name="Normal 2 2 2 2 2 2 2 2 2 13 15 2" xfId="5882"/>
    <cellStyle name="Normal 2 2 2 2 2 2 2 2 2 13 15 2 2" xfId="5883"/>
    <cellStyle name="Normal 2 2 2 2 2 2 2 2 2 13 15 2 3" xfId="5884"/>
    <cellStyle name="Normal 2 2 2 2 2 2 2 2 2 13 15 2 4" xfId="5885"/>
    <cellStyle name="Normal 2 2 2 2 2 2 2 2 2 13 15 3" xfId="5886"/>
    <cellStyle name="Normal 2 2 2 2 2 2 2 2 2 13 15 4" xfId="5887"/>
    <cellStyle name="Normal 2 2 2 2 2 2 2 2 2 13 15 5" xfId="5888"/>
    <cellStyle name="Normal 2 2 2 2 2 2 2 2 2 13 15 6" xfId="5889"/>
    <cellStyle name="Normal 2 2 2 2 2 2 2 2 2 13 16" xfId="5890"/>
    <cellStyle name="Normal 2 2 2 2 2 2 2 2 2 13 17" xfId="5891"/>
    <cellStyle name="Normal 2 2 2 2 2 2 2 2 2 13 18" xfId="5892"/>
    <cellStyle name="Normal 2 2 2 2 2 2 2 2 2 13 19" xfId="5893"/>
    <cellStyle name="Normal 2 2 2 2 2 2 2 2 2 13 2" xfId="5894"/>
    <cellStyle name="Normal 2 2 2 2 2 2 2 2 2 13 2 10" xfId="5895"/>
    <cellStyle name="Normal 2 2 2 2 2 2 2 2 2 13 2 11" xfId="5896"/>
    <cellStyle name="Normal 2 2 2 2 2 2 2 2 2 13 2 12" xfId="5897"/>
    <cellStyle name="Normal 2 2 2 2 2 2 2 2 2 13 2 13" xfId="5898"/>
    <cellStyle name="Normal 2 2 2 2 2 2 2 2 2 13 2 13 2" xfId="5899"/>
    <cellStyle name="Normal 2 2 2 2 2 2 2 2 2 13 2 13 3" xfId="5900"/>
    <cellStyle name="Normal 2 2 2 2 2 2 2 2 2 13 2 13 4" xfId="5901"/>
    <cellStyle name="Normal 2 2 2 2 2 2 2 2 2 13 2 14" xfId="5902"/>
    <cellStyle name="Normal 2 2 2 2 2 2 2 2 2 13 2 15" xfId="5903"/>
    <cellStyle name="Normal 2 2 2 2 2 2 2 2 2 13 2 16" xfId="5904"/>
    <cellStyle name="Normal 2 2 2 2 2 2 2 2 2 13 2 2" xfId="5905"/>
    <cellStyle name="Normal 2 2 2 2 2 2 2 2 2 13 2 2 10" xfId="5906"/>
    <cellStyle name="Normal 2 2 2 2 2 2 2 2 2 13 2 2 11" xfId="5907"/>
    <cellStyle name="Normal 2 2 2 2 2 2 2 2 2 13 2 2 11 2" xfId="5908"/>
    <cellStyle name="Normal 2 2 2 2 2 2 2 2 2 13 2 2 11 3" xfId="5909"/>
    <cellStyle name="Normal 2 2 2 2 2 2 2 2 2 13 2 2 11 4" xfId="5910"/>
    <cellStyle name="Normal 2 2 2 2 2 2 2 2 2 13 2 2 12" xfId="5911"/>
    <cellStyle name="Normal 2 2 2 2 2 2 2 2 2 13 2 2 13" xfId="5912"/>
    <cellStyle name="Normal 2 2 2 2 2 2 2 2 2 13 2 2 14" xfId="5913"/>
    <cellStyle name="Normal 2 2 2 2 2 2 2 2 2 13 2 2 2" xfId="5914"/>
    <cellStyle name="Normal 2 2 2 2 2 2 2 2 2 13 2 2 2 10" xfId="5915"/>
    <cellStyle name="Normal 2 2 2 2 2 2 2 2 2 13 2 2 2 11" xfId="5916"/>
    <cellStyle name="Normal 2 2 2 2 2 2 2 2 2 13 2 2 2 2" xfId="5917"/>
    <cellStyle name="Normal 2 2 2 2 2 2 2 2 2 13 2 2 2 2 10" xfId="5918"/>
    <cellStyle name="Normal 2 2 2 2 2 2 2 2 2 13 2 2 2 2 11" xfId="5919"/>
    <cellStyle name="Normal 2 2 2 2 2 2 2 2 2 13 2 2 2 2 2" xfId="5920"/>
    <cellStyle name="Normal 2 2 2 2 2 2 2 2 2 13 2 2 2 2 2 2" xfId="5921"/>
    <cellStyle name="Normal 2 2 2 2 2 2 2 2 2 13 2 2 2 2 2 2 2" xfId="5922"/>
    <cellStyle name="Normal 2 2 2 2 2 2 2 2 2 13 2 2 2 2 2 2 3" xfId="5923"/>
    <cellStyle name="Normal 2 2 2 2 2 2 2 2 2 13 2 2 2 2 2 2 4" xfId="5924"/>
    <cellStyle name="Normal 2 2 2 2 2 2 2 2 2 13 2 2 2 2 2 3" xfId="5925"/>
    <cellStyle name="Normal 2 2 2 2 2 2 2 2 2 13 2 2 2 2 2 4" xfId="5926"/>
    <cellStyle name="Normal 2 2 2 2 2 2 2 2 2 13 2 2 2 2 2 5" xfId="5927"/>
    <cellStyle name="Normal 2 2 2 2 2 2 2 2 2 13 2 2 2 2 2 6" xfId="5928"/>
    <cellStyle name="Normal 2 2 2 2 2 2 2 2 2 13 2 2 2 2 3" xfId="5929"/>
    <cellStyle name="Normal 2 2 2 2 2 2 2 2 2 13 2 2 2 2 4" xfId="5930"/>
    <cellStyle name="Normal 2 2 2 2 2 2 2 2 2 13 2 2 2 2 5" xfId="5931"/>
    <cellStyle name="Normal 2 2 2 2 2 2 2 2 2 13 2 2 2 2 6" xfId="5932"/>
    <cellStyle name="Normal 2 2 2 2 2 2 2 2 2 13 2 2 2 2 7" xfId="5933"/>
    <cellStyle name="Normal 2 2 2 2 2 2 2 2 2 13 2 2 2 2 8" xfId="5934"/>
    <cellStyle name="Normal 2 2 2 2 2 2 2 2 2 13 2 2 2 2 8 2" xfId="5935"/>
    <cellStyle name="Normal 2 2 2 2 2 2 2 2 2 13 2 2 2 2 8 3" xfId="5936"/>
    <cellStyle name="Normal 2 2 2 2 2 2 2 2 2 13 2 2 2 2 8 4" xfId="5937"/>
    <cellStyle name="Normal 2 2 2 2 2 2 2 2 2 13 2 2 2 2 9" xfId="5938"/>
    <cellStyle name="Normal 2 2 2 2 2 2 2 2 2 13 2 2 2 3" xfId="5939"/>
    <cellStyle name="Normal 2 2 2 2 2 2 2 2 2 13 2 2 2 3 2" xfId="5940"/>
    <cellStyle name="Normal 2 2 2 2 2 2 2 2 2 13 2 2 2 3 2 2" xfId="5941"/>
    <cellStyle name="Normal 2 2 2 2 2 2 2 2 2 13 2 2 2 3 2 3" xfId="5942"/>
    <cellStyle name="Normal 2 2 2 2 2 2 2 2 2 13 2 2 2 3 2 4" xfId="5943"/>
    <cellStyle name="Normal 2 2 2 2 2 2 2 2 2 13 2 2 2 3 3" xfId="5944"/>
    <cellStyle name="Normal 2 2 2 2 2 2 2 2 2 13 2 2 2 3 4" xfId="5945"/>
    <cellStyle name="Normal 2 2 2 2 2 2 2 2 2 13 2 2 2 3 5" xfId="5946"/>
    <cellStyle name="Normal 2 2 2 2 2 2 2 2 2 13 2 2 2 3 6" xfId="5947"/>
    <cellStyle name="Normal 2 2 2 2 2 2 2 2 2 13 2 2 2 4" xfId="5948"/>
    <cellStyle name="Normal 2 2 2 2 2 2 2 2 2 13 2 2 2 5" xfId="5949"/>
    <cellStyle name="Normal 2 2 2 2 2 2 2 2 2 13 2 2 2 6" xfId="5950"/>
    <cellStyle name="Normal 2 2 2 2 2 2 2 2 2 13 2 2 2 7" xfId="5951"/>
    <cellStyle name="Normal 2 2 2 2 2 2 2 2 2 13 2 2 2 8" xfId="5952"/>
    <cellStyle name="Normal 2 2 2 2 2 2 2 2 2 13 2 2 2 8 2" xfId="5953"/>
    <cellStyle name="Normal 2 2 2 2 2 2 2 2 2 13 2 2 2 8 3" xfId="5954"/>
    <cellStyle name="Normal 2 2 2 2 2 2 2 2 2 13 2 2 2 8 4" xfId="5955"/>
    <cellStyle name="Normal 2 2 2 2 2 2 2 2 2 13 2 2 2 9" xfId="5956"/>
    <cellStyle name="Normal 2 2 2 2 2 2 2 2 2 13 2 2 3" xfId="5957"/>
    <cellStyle name="Normal 2 2 2 2 2 2 2 2 2 13 2 2 4" xfId="5958"/>
    <cellStyle name="Normal 2 2 2 2 2 2 2 2 2 13 2 2 5" xfId="5959"/>
    <cellStyle name="Normal 2 2 2 2 2 2 2 2 2 13 2 2 5 2" xfId="5960"/>
    <cellStyle name="Normal 2 2 2 2 2 2 2 2 2 13 2 2 5 2 2" xfId="5961"/>
    <cellStyle name="Normal 2 2 2 2 2 2 2 2 2 13 2 2 5 2 3" xfId="5962"/>
    <cellStyle name="Normal 2 2 2 2 2 2 2 2 2 13 2 2 5 2 4" xfId="5963"/>
    <cellStyle name="Normal 2 2 2 2 2 2 2 2 2 13 2 2 5 3" xfId="5964"/>
    <cellStyle name="Normal 2 2 2 2 2 2 2 2 2 13 2 2 5 4" xfId="5965"/>
    <cellStyle name="Normal 2 2 2 2 2 2 2 2 2 13 2 2 5 5" xfId="5966"/>
    <cellStyle name="Normal 2 2 2 2 2 2 2 2 2 13 2 2 5 6" xfId="5967"/>
    <cellStyle name="Normal 2 2 2 2 2 2 2 2 2 13 2 2 6" xfId="5968"/>
    <cellStyle name="Normal 2 2 2 2 2 2 2 2 2 13 2 2 7" xfId="5969"/>
    <cellStyle name="Normal 2 2 2 2 2 2 2 2 2 13 2 2 8" xfId="5970"/>
    <cellStyle name="Normal 2 2 2 2 2 2 2 2 2 13 2 2 9" xfId="5971"/>
    <cellStyle name="Normal 2 2 2 2 2 2 2 2 2 13 2 3" xfId="5972"/>
    <cellStyle name="Normal 2 2 2 2 2 2 2 2 2 13 2 4" xfId="5973"/>
    <cellStyle name="Normal 2 2 2 2 2 2 2 2 2 13 2 5" xfId="5974"/>
    <cellStyle name="Normal 2 2 2 2 2 2 2 2 2 13 2 5 10" xfId="5975"/>
    <cellStyle name="Normal 2 2 2 2 2 2 2 2 2 13 2 5 11" xfId="5976"/>
    <cellStyle name="Normal 2 2 2 2 2 2 2 2 2 13 2 5 2" xfId="5977"/>
    <cellStyle name="Normal 2 2 2 2 2 2 2 2 2 13 2 5 2 10" xfId="5978"/>
    <cellStyle name="Normal 2 2 2 2 2 2 2 2 2 13 2 5 2 11" xfId="5979"/>
    <cellStyle name="Normal 2 2 2 2 2 2 2 2 2 13 2 5 2 2" xfId="5980"/>
    <cellStyle name="Normal 2 2 2 2 2 2 2 2 2 13 2 5 2 2 2" xfId="5981"/>
    <cellStyle name="Normal 2 2 2 2 2 2 2 2 2 13 2 5 2 2 2 2" xfId="5982"/>
    <cellStyle name="Normal 2 2 2 2 2 2 2 2 2 13 2 5 2 2 2 3" xfId="5983"/>
    <cellStyle name="Normal 2 2 2 2 2 2 2 2 2 13 2 5 2 2 2 4" xfId="5984"/>
    <cellStyle name="Normal 2 2 2 2 2 2 2 2 2 13 2 5 2 2 3" xfId="5985"/>
    <cellStyle name="Normal 2 2 2 2 2 2 2 2 2 13 2 5 2 2 4" xfId="5986"/>
    <cellStyle name="Normal 2 2 2 2 2 2 2 2 2 13 2 5 2 2 5" xfId="5987"/>
    <cellStyle name="Normal 2 2 2 2 2 2 2 2 2 13 2 5 2 2 6" xfId="5988"/>
    <cellStyle name="Normal 2 2 2 2 2 2 2 2 2 13 2 5 2 3" xfId="5989"/>
    <cellStyle name="Normal 2 2 2 2 2 2 2 2 2 13 2 5 2 4" xfId="5990"/>
    <cellStyle name="Normal 2 2 2 2 2 2 2 2 2 13 2 5 2 5" xfId="5991"/>
    <cellStyle name="Normal 2 2 2 2 2 2 2 2 2 13 2 5 2 6" xfId="5992"/>
    <cellStyle name="Normal 2 2 2 2 2 2 2 2 2 13 2 5 2 7" xfId="5993"/>
    <cellStyle name="Normal 2 2 2 2 2 2 2 2 2 13 2 5 2 8" xfId="5994"/>
    <cellStyle name="Normal 2 2 2 2 2 2 2 2 2 13 2 5 2 8 2" xfId="5995"/>
    <cellStyle name="Normal 2 2 2 2 2 2 2 2 2 13 2 5 2 8 3" xfId="5996"/>
    <cellStyle name="Normal 2 2 2 2 2 2 2 2 2 13 2 5 2 8 4" xfId="5997"/>
    <cellStyle name="Normal 2 2 2 2 2 2 2 2 2 13 2 5 2 9" xfId="5998"/>
    <cellStyle name="Normal 2 2 2 2 2 2 2 2 2 13 2 5 3" xfId="5999"/>
    <cellStyle name="Normal 2 2 2 2 2 2 2 2 2 13 2 5 3 2" xfId="6000"/>
    <cellStyle name="Normal 2 2 2 2 2 2 2 2 2 13 2 5 3 2 2" xfId="6001"/>
    <cellStyle name="Normal 2 2 2 2 2 2 2 2 2 13 2 5 3 2 3" xfId="6002"/>
    <cellStyle name="Normal 2 2 2 2 2 2 2 2 2 13 2 5 3 2 4" xfId="6003"/>
    <cellStyle name="Normal 2 2 2 2 2 2 2 2 2 13 2 5 3 3" xfId="6004"/>
    <cellStyle name="Normal 2 2 2 2 2 2 2 2 2 13 2 5 3 4" xfId="6005"/>
    <cellStyle name="Normal 2 2 2 2 2 2 2 2 2 13 2 5 3 5" xfId="6006"/>
    <cellStyle name="Normal 2 2 2 2 2 2 2 2 2 13 2 5 3 6" xfId="6007"/>
    <cellStyle name="Normal 2 2 2 2 2 2 2 2 2 13 2 5 4" xfId="6008"/>
    <cellStyle name="Normal 2 2 2 2 2 2 2 2 2 13 2 5 5" xfId="6009"/>
    <cellStyle name="Normal 2 2 2 2 2 2 2 2 2 13 2 5 6" xfId="6010"/>
    <cellStyle name="Normal 2 2 2 2 2 2 2 2 2 13 2 5 7" xfId="6011"/>
    <cellStyle name="Normal 2 2 2 2 2 2 2 2 2 13 2 5 8" xfId="6012"/>
    <cellStyle name="Normal 2 2 2 2 2 2 2 2 2 13 2 5 8 2" xfId="6013"/>
    <cellStyle name="Normal 2 2 2 2 2 2 2 2 2 13 2 5 8 3" xfId="6014"/>
    <cellStyle name="Normal 2 2 2 2 2 2 2 2 2 13 2 5 8 4" xfId="6015"/>
    <cellStyle name="Normal 2 2 2 2 2 2 2 2 2 13 2 5 9" xfId="6016"/>
    <cellStyle name="Normal 2 2 2 2 2 2 2 2 2 13 2 6" xfId="6017"/>
    <cellStyle name="Normal 2 2 2 2 2 2 2 2 2 13 2 7" xfId="6018"/>
    <cellStyle name="Normal 2 2 2 2 2 2 2 2 2 13 2 7 2" xfId="6019"/>
    <cellStyle name="Normal 2 2 2 2 2 2 2 2 2 13 2 7 2 2" xfId="6020"/>
    <cellStyle name="Normal 2 2 2 2 2 2 2 2 2 13 2 7 2 3" xfId="6021"/>
    <cellStyle name="Normal 2 2 2 2 2 2 2 2 2 13 2 7 2 4" xfId="6022"/>
    <cellStyle name="Normal 2 2 2 2 2 2 2 2 2 13 2 7 3" xfId="6023"/>
    <cellStyle name="Normal 2 2 2 2 2 2 2 2 2 13 2 7 4" xfId="6024"/>
    <cellStyle name="Normal 2 2 2 2 2 2 2 2 2 13 2 7 5" xfId="6025"/>
    <cellStyle name="Normal 2 2 2 2 2 2 2 2 2 13 2 7 6" xfId="6026"/>
    <cellStyle name="Normal 2 2 2 2 2 2 2 2 2 13 2 8" xfId="6027"/>
    <cellStyle name="Normal 2 2 2 2 2 2 2 2 2 13 2 9" xfId="6028"/>
    <cellStyle name="Normal 2 2 2 2 2 2 2 2 2 13 20" xfId="6029"/>
    <cellStyle name="Normal 2 2 2 2 2 2 2 2 2 13 21" xfId="6030"/>
    <cellStyle name="Normal 2 2 2 2 2 2 2 2 2 13 21 2" xfId="6031"/>
    <cellStyle name="Normal 2 2 2 2 2 2 2 2 2 13 21 3" xfId="6032"/>
    <cellStyle name="Normal 2 2 2 2 2 2 2 2 2 13 21 4" xfId="6033"/>
    <cellStyle name="Normal 2 2 2 2 2 2 2 2 2 13 22" xfId="6034"/>
    <cellStyle name="Normal 2 2 2 2 2 2 2 2 2 13 23" xfId="6035"/>
    <cellStyle name="Normal 2 2 2 2 2 2 2 2 2 13 24" xfId="6036"/>
    <cellStyle name="Normal 2 2 2 2 2 2 2 2 2 13 3" xfId="6037"/>
    <cellStyle name="Normal 2 2 2 2 2 2 2 2 2 13 4" xfId="6038"/>
    <cellStyle name="Normal 2 2 2 2 2 2 2 2 2 13 5" xfId="6039"/>
    <cellStyle name="Normal 2 2 2 2 2 2 2 2 2 13 6" xfId="6040"/>
    <cellStyle name="Normal 2 2 2 2 2 2 2 2 2 13 7" xfId="6041"/>
    <cellStyle name="Normal 2 2 2 2 2 2 2 2 2 13 8" xfId="6042"/>
    <cellStyle name="Normal 2 2 2 2 2 2 2 2 2 13 9" xfId="6043"/>
    <cellStyle name="Normal 2 2 2 2 2 2 2 2 2 14" xfId="6044"/>
    <cellStyle name="Normal 2 2 2 2 2 2 2 2 2 14 10" xfId="6045"/>
    <cellStyle name="Normal 2 2 2 2 2 2 2 2 2 14 11" xfId="6046"/>
    <cellStyle name="Normal 2 2 2 2 2 2 2 2 2 14 12" xfId="6047"/>
    <cellStyle name="Normal 2 2 2 2 2 2 2 2 2 14 13" xfId="6048"/>
    <cellStyle name="Normal 2 2 2 2 2 2 2 2 2 14 13 2" xfId="6049"/>
    <cellStyle name="Normal 2 2 2 2 2 2 2 2 2 14 13 3" xfId="6050"/>
    <cellStyle name="Normal 2 2 2 2 2 2 2 2 2 14 13 4" xfId="6051"/>
    <cellStyle name="Normal 2 2 2 2 2 2 2 2 2 14 14" xfId="6052"/>
    <cellStyle name="Normal 2 2 2 2 2 2 2 2 2 14 15" xfId="6053"/>
    <cellStyle name="Normal 2 2 2 2 2 2 2 2 2 14 16" xfId="6054"/>
    <cellStyle name="Normal 2 2 2 2 2 2 2 2 2 14 2" xfId="6055"/>
    <cellStyle name="Normal 2 2 2 2 2 2 2 2 2 14 2 10" xfId="6056"/>
    <cellStyle name="Normal 2 2 2 2 2 2 2 2 2 14 2 11" xfId="6057"/>
    <cellStyle name="Normal 2 2 2 2 2 2 2 2 2 14 2 11 2" xfId="6058"/>
    <cellStyle name="Normal 2 2 2 2 2 2 2 2 2 14 2 11 3" xfId="6059"/>
    <cellStyle name="Normal 2 2 2 2 2 2 2 2 2 14 2 11 4" xfId="6060"/>
    <cellStyle name="Normal 2 2 2 2 2 2 2 2 2 14 2 12" xfId="6061"/>
    <cellStyle name="Normal 2 2 2 2 2 2 2 2 2 14 2 13" xfId="6062"/>
    <cellStyle name="Normal 2 2 2 2 2 2 2 2 2 14 2 14" xfId="6063"/>
    <cellStyle name="Normal 2 2 2 2 2 2 2 2 2 14 2 2" xfId="6064"/>
    <cellStyle name="Normal 2 2 2 2 2 2 2 2 2 14 2 2 10" xfId="6065"/>
    <cellStyle name="Normal 2 2 2 2 2 2 2 2 2 14 2 2 11" xfId="6066"/>
    <cellStyle name="Normal 2 2 2 2 2 2 2 2 2 14 2 2 2" xfId="6067"/>
    <cellStyle name="Normal 2 2 2 2 2 2 2 2 2 14 2 2 2 10" xfId="6068"/>
    <cellStyle name="Normal 2 2 2 2 2 2 2 2 2 14 2 2 2 11" xfId="6069"/>
    <cellStyle name="Normal 2 2 2 2 2 2 2 2 2 14 2 2 2 2" xfId="6070"/>
    <cellStyle name="Normal 2 2 2 2 2 2 2 2 2 14 2 2 2 2 2" xfId="6071"/>
    <cellStyle name="Normal 2 2 2 2 2 2 2 2 2 14 2 2 2 2 2 2" xfId="6072"/>
    <cellStyle name="Normal 2 2 2 2 2 2 2 2 2 14 2 2 2 2 2 3" xfId="6073"/>
    <cellStyle name="Normal 2 2 2 2 2 2 2 2 2 14 2 2 2 2 2 4" xfId="6074"/>
    <cellStyle name="Normal 2 2 2 2 2 2 2 2 2 14 2 2 2 2 3" xfId="6075"/>
    <cellStyle name="Normal 2 2 2 2 2 2 2 2 2 14 2 2 2 2 4" xfId="6076"/>
    <cellStyle name="Normal 2 2 2 2 2 2 2 2 2 14 2 2 2 2 5" xfId="6077"/>
    <cellStyle name="Normal 2 2 2 2 2 2 2 2 2 14 2 2 2 2 6" xfId="6078"/>
    <cellStyle name="Normal 2 2 2 2 2 2 2 2 2 14 2 2 2 3" xfId="6079"/>
    <cellStyle name="Normal 2 2 2 2 2 2 2 2 2 14 2 2 2 4" xfId="6080"/>
    <cellStyle name="Normal 2 2 2 2 2 2 2 2 2 14 2 2 2 5" xfId="6081"/>
    <cellStyle name="Normal 2 2 2 2 2 2 2 2 2 14 2 2 2 6" xfId="6082"/>
    <cellStyle name="Normal 2 2 2 2 2 2 2 2 2 14 2 2 2 7" xfId="6083"/>
    <cellStyle name="Normal 2 2 2 2 2 2 2 2 2 14 2 2 2 8" xfId="6084"/>
    <cellStyle name="Normal 2 2 2 2 2 2 2 2 2 14 2 2 2 8 2" xfId="6085"/>
    <cellStyle name="Normal 2 2 2 2 2 2 2 2 2 14 2 2 2 8 3" xfId="6086"/>
    <cellStyle name="Normal 2 2 2 2 2 2 2 2 2 14 2 2 2 8 4" xfId="6087"/>
    <cellStyle name="Normal 2 2 2 2 2 2 2 2 2 14 2 2 2 9" xfId="6088"/>
    <cellStyle name="Normal 2 2 2 2 2 2 2 2 2 14 2 2 3" xfId="6089"/>
    <cellStyle name="Normal 2 2 2 2 2 2 2 2 2 14 2 2 3 2" xfId="6090"/>
    <cellStyle name="Normal 2 2 2 2 2 2 2 2 2 14 2 2 3 2 2" xfId="6091"/>
    <cellStyle name="Normal 2 2 2 2 2 2 2 2 2 14 2 2 3 2 3" xfId="6092"/>
    <cellStyle name="Normal 2 2 2 2 2 2 2 2 2 14 2 2 3 2 4" xfId="6093"/>
    <cellStyle name="Normal 2 2 2 2 2 2 2 2 2 14 2 2 3 3" xfId="6094"/>
    <cellStyle name="Normal 2 2 2 2 2 2 2 2 2 14 2 2 3 4" xfId="6095"/>
    <cellStyle name="Normal 2 2 2 2 2 2 2 2 2 14 2 2 3 5" xfId="6096"/>
    <cellStyle name="Normal 2 2 2 2 2 2 2 2 2 14 2 2 3 6" xfId="6097"/>
    <cellStyle name="Normal 2 2 2 2 2 2 2 2 2 14 2 2 4" xfId="6098"/>
    <cellStyle name="Normal 2 2 2 2 2 2 2 2 2 14 2 2 5" xfId="6099"/>
    <cellStyle name="Normal 2 2 2 2 2 2 2 2 2 14 2 2 6" xfId="6100"/>
    <cellStyle name="Normal 2 2 2 2 2 2 2 2 2 14 2 2 7" xfId="6101"/>
    <cellStyle name="Normal 2 2 2 2 2 2 2 2 2 14 2 2 8" xfId="6102"/>
    <cellStyle name="Normal 2 2 2 2 2 2 2 2 2 14 2 2 8 2" xfId="6103"/>
    <cellStyle name="Normal 2 2 2 2 2 2 2 2 2 14 2 2 8 3" xfId="6104"/>
    <cellStyle name="Normal 2 2 2 2 2 2 2 2 2 14 2 2 8 4" xfId="6105"/>
    <cellStyle name="Normal 2 2 2 2 2 2 2 2 2 14 2 2 9" xfId="6106"/>
    <cellStyle name="Normal 2 2 2 2 2 2 2 2 2 14 2 3" xfId="6107"/>
    <cellStyle name="Normal 2 2 2 2 2 2 2 2 2 14 2 4" xfId="6108"/>
    <cellStyle name="Normal 2 2 2 2 2 2 2 2 2 14 2 5" xfId="6109"/>
    <cellStyle name="Normal 2 2 2 2 2 2 2 2 2 14 2 5 2" xfId="6110"/>
    <cellStyle name="Normal 2 2 2 2 2 2 2 2 2 14 2 5 2 2" xfId="6111"/>
    <cellStyle name="Normal 2 2 2 2 2 2 2 2 2 14 2 5 2 3" xfId="6112"/>
    <cellStyle name="Normal 2 2 2 2 2 2 2 2 2 14 2 5 2 4" xfId="6113"/>
    <cellStyle name="Normal 2 2 2 2 2 2 2 2 2 14 2 5 3" xfId="6114"/>
    <cellStyle name="Normal 2 2 2 2 2 2 2 2 2 14 2 5 4" xfId="6115"/>
    <cellStyle name="Normal 2 2 2 2 2 2 2 2 2 14 2 5 5" xfId="6116"/>
    <cellStyle name="Normal 2 2 2 2 2 2 2 2 2 14 2 5 6" xfId="6117"/>
    <cellStyle name="Normal 2 2 2 2 2 2 2 2 2 14 2 6" xfId="6118"/>
    <cellStyle name="Normal 2 2 2 2 2 2 2 2 2 14 2 7" xfId="6119"/>
    <cellStyle name="Normal 2 2 2 2 2 2 2 2 2 14 2 8" xfId="6120"/>
    <cellStyle name="Normal 2 2 2 2 2 2 2 2 2 14 2 9" xfId="6121"/>
    <cellStyle name="Normal 2 2 2 2 2 2 2 2 2 14 3" xfId="6122"/>
    <cellStyle name="Normal 2 2 2 2 2 2 2 2 2 14 4" xfId="6123"/>
    <cellStyle name="Normal 2 2 2 2 2 2 2 2 2 14 5" xfId="6124"/>
    <cellStyle name="Normal 2 2 2 2 2 2 2 2 2 14 5 10" xfId="6125"/>
    <cellStyle name="Normal 2 2 2 2 2 2 2 2 2 14 5 11" xfId="6126"/>
    <cellStyle name="Normal 2 2 2 2 2 2 2 2 2 14 5 2" xfId="6127"/>
    <cellStyle name="Normal 2 2 2 2 2 2 2 2 2 14 5 2 10" xfId="6128"/>
    <cellStyle name="Normal 2 2 2 2 2 2 2 2 2 14 5 2 11" xfId="6129"/>
    <cellStyle name="Normal 2 2 2 2 2 2 2 2 2 14 5 2 2" xfId="6130"/>
    <cellStyle name="Normal 2 2 2 2 2 2 2 2 2 14 5 2 2 2" xfId="6131"/>
    <cellStyle name="Normal 2 2 2 2 2 2 2 2 2 14 5 2 2 2 2" xfId="6132"/>
    <cellStyle name="Normal 2 2 2 2 2 2 2 2 2 14 5 2 2 2 3" xfId="6133"/>
    <cellStyle name="Normal 2 2 2 2 2 2 2 2 2 14 5 2 2 2 4" xfId="6134"/>
    <cellStyle name="Normal 2 2 2 2 2 2 2 2 2 14 5 2 2 3" xfId="6135"/>
    <cellStyle name="Normal 2 2 2 2 2 2 2 2 2 14 5 2 2 4" xfId="6136"/>
    <cellStyle name="Normal 2 2 2 2 2 2 2 2 2 14 5 2 2 5" xfId="6137"/>
    <cellStyle name="Normal 2 2 2 2 2 2 2 2 2 14 5 2 2 6" xfId="6138"/>
    <cellStyle name="Normal 2 2 2 2 2 2 2 2 2 14 5 2 3" xfId="6139"/>
    <cellStyle name="Normal 2 2 2 2 2 2 2 2 2 14 5 2 4" xfId="6140"/>
    <cellStyle name="Normal 2 2 2 2 2 2 2 2 2 14 5 2 5" xfId="6141"/>
    <cellStyle name="Normal 2 2 2 2 2 2 2 2 2 14 5 2 6" xfId="6142"/>
    <cellStyle name="Normal 2 2 2 2 2 2 2 2 2 14 5 2 7" xfId="6143"/>
    <cellStyle name="Normal 2 2 2 2 2 2 2 2 2 14 5 2 8" xfId="6144"/>
    <cellStyle name="Normal 2 2 2 2 2 2 2 2 2 14 5 2 8 2" xfId="6145"/>
    <cellStyle name="Normal 2 2 2 2 2 2 2 2 2 14 5 2 8 3" xfId="6146"/>
    <cellStyle name="Normal 2 2 2 2 2 2 2 2 2 14 5 2 8 4" xfId="6147"/>
    <cellStyle name="Normal 2 2 2 2 2 2 2 2 2 14 5 2 9" xfId="6148"/>
    <cellStyle name="Normal 2 2 2 2 2 2 2 2 2 14 5 3" xfId="6149"/>
    <cellStyle name="Normal 2 2 2 2 2 2 2 2 2 14 5 3 2" xfId="6150"/>
    <cellStyle name="Normal 2 2 2 2 2 2 2 2 2 14 5 3 2 2" xfId="6151"/>
    <cellStyle name="Normal 2 2 2 2 2 2 2 2 2 14 5 3 2 3" xfId="6152"/>
    <cellStyle name="Normal 2 2 2 2 2 2 2 2 2 14 5 3 2 4" xfId="6153"/>
    <cellStyle name="Normal 2 2 2 2 2 2 2 2 2 14 5 3 3" xfId="6154"/>
    <cellStyle name="Normal 2 2 2 2 2 2 2 2 2 14 5 3 4" xfId="6155"/>
    <cellStyle name="Normal 2 2 2 2 2 2 2 2 2 14 5 3 5" xfId="6156"/>
    <cellStyle name="Normal 2 2 2 2 2 2 2 2 2 14 5 3 6" xfId="6157"/>
    <cellStyle name="Normal 2 2 2 2 2 2 2 2 2 14 5 4" xfId="6158"/>
    <cellStyle name="Normal 2 2 2 2 2 2 2 2 2 14 5 5" xfId="6159"/>
    <cellStyle name="Normal 2 2 2 2 2 2 2 2 2 14 5 6" xfId="6160"/>
    <cellStyle name="Normal 2 2 2 2 2 2 2 2 2 14 5 7" xfId="6161"/>
    <cellStyle name="Normal 2 2 2 2 2 2 2 2 2 14 5 8" xfId="6162"/>
    <cellStyle name="Normal 2 2 2 2 2 2 2 2 2 14 5 8 2" xfId="6163"/>
    <cellStyle name="Normal 2 2 2 2 2 2 2 2 2 14 5 8 3" xfId="6164"/>
    <cellStyle name="Normal 2 2 2 2 2 2 2 2 2 14 5 8 4" xfId="6165"/>
    <cellStyle name="Normal 2 2 2 2 2 2 2 2 2 14 5 9" xfId="6166"/>
    <cellStyle name="Normal 2 2 2 2 2 2 2 2 2 14 6" xfId="6167"/>
    <cellStyle name="Normal 2 2 2 2 2 2 2 2 2 14 7" xfId="6168"/>
    <cellStyle name="Normal 2 2 2 2 2 2 2 2 2 14 7 2" xfId="6169"/>
    <cellStyle name="Normal 2 2 2 2 2 2 2 2 2 14 7 2 2" xfId="6170"/>
    <cellStyle name="Normal 2 2 2 2 2 2 2 2 2 14 7 2 3" xfId="6171"/>
    <cellStyle name="Normal 2 2 2 2 2 2 2 2 2 14 7 2 4" xfId="6172"/>
    <cellStyle name="Normal 2 2 2 2 2 2 2 2 2 14 7 3" xfId="6173"/>
    <cellStyle name="Normal 2 2 2 2 2 2 2 2 2 14 7 4" xfId="6174"/>
    <cellStyle name="Normal 2 2 2 2 2 2 2 2 2 14 7 5" xfId="6175"/>
    <cellStyle name="Normal 2 2 2 2 2 2 2 2 2 14 7 6" xfId="6176"/>
    <cellStyle name="Normal 2 2 2 2 2 2 2 2 2 14 8" xfId="6177"/>
    <cellStyle name="Normal 2 2 2 2 2 2 2 2 2 14 9" xfId="6178"/>
    <cellStyle name="Normal 2 2 2 2 2 2 2 2 2 15" xfId="6179"/>
    <cellStyle name="Normal 2 2 2 2 2 2 2 2 2 16" xfId="6180"/>
    <cellStyle name="Normal 2 2 2 2 2 2 2 2 2 17" xfId="6181"/>
    <cellStyle name="Normal 2 2 2 2 2 2 2 2 2 18" xfId="6182"/>
    <cellStyle name="Normal 2 2 2 2 2 2 2 2 2 19" xfId="6183"/>
    <cellStyle name="Normal 2 2 2 2 2 2 2 2 2 2" xfId="6184"/>
    <cellStyle name="Normal 2 2 2 2 2 2 2 2 2 2 10" xfId="6185"/>
    <cellStyle name="Normal 2 2 2 2 2 2 2 2 2 2 11" xfId="6186"/>
    <cellStyle name="Normal 2 2 2 2 2 2 2 2 2 2 12" xfId="6187"/>
    <cellStyle name="Normal 2 2 2 2 2 2 2 2 2 2 12 10" xfId="6188"/>
    <cellStyle name="Normal 2 2 2 2 2 2 2 2 2 2 12 11" xfId="6189"/>
    <cellStyle name="Normal 2 2 2 2 2 2 2 2 2 2 12 11 10" xfId="6190"/>
    <cellStyle name="Normal 2 2 2 2 2 2 2 2 2 2 12 11 11" xfId="6191"/>
    <cellStyle name="Normal 2 2 2 2 2 2 2 2 2 2 12 11 11 2" xfId="6192"/>
    <cellStyle name="Normal 2 2 2 2 2 2 2 2 2 2 12 11 11 3" xfId="6193"/>
    <cellStyle name="Normal 2 2 2 2 2 2 2 2 2 2 12 11 11 4" xfId="6194"/>
    <cellStyle name="Normal 2 2 2 2 2 2 2 2 2 2 12 11 12" xfId="6195"/>
    <cellStyle name="Normal 2 2 2 2 2 2 2 2 2 2 12 11 13" xfId="6196"/>
    <cellStyle name="Normal 2 2 2 2 2 2 2 2 2 2 12 11 14" xfId="6197"/>
    <cellStyle name="Normal 2 2 2 2 2 2 2 2 2 2 12 11 2" xfId="6198"/>
    <cellStyle name="Normal 2 2 2 2 2 2 2 2 2 2 12 11 2 10" xfId="6199"/>
    <cellStyle name="Normal 2 2 2 2 2 2 2 2 2 2 12 11 2 11" xfId="6200"/>
    <cellStyle name="Normal 2 2 2 2 2 2 2 2 2 2 12 11 2 2" xfId="6201"/>
    <cellStyle name="Normal 2 2 2 2 2 2 2 2 2 2 12 11 2 2 10" xfId="6202"/>
    <cellStyle name="Normal 2 2 2 2 2 2 2 2 2 2 12 11 2 2 11" xfId="6203"/>
    <cellStyle name="Normal 2 2 2 2 2 2 2 2 2 2 12 11 2 2 2" xfId="6204"/>
    <cellStyle name="Normal 2 2 2 2 2 2 2 2 2 2 12 11 2 2 2 2" xfId="6205"/>
    <cellStyle name="Normal 2 2 2 2 2 2 2 2 2 2 12 11 2 2 2 2 2" xfId="6206"/>
    <cellStyle name="Normal 2 2 2 2 2 2 2 2 2 2 12 11 2 2 2 2 3" xfId="6207"/>
    <cellStyle name="Normal 2 2 2 2 2 2 2 2 2 2 12 11 2 2 2 2 4" xfId="6208"/>
    <cellStyle name="Normal 2 2 2 2 2 2 2 2 2 2 12 11 2 2 2 3" xfId="6209"/>
    <cellStyle name="Normal 2 2 2 2 2 2 2 2 2 2 12 11 2 2 2 4" xfId="6210"/>
    <cellStyle name="Normal 2 2 2 2 2 2 2 2 2 2 12 11 2 2 2 5" xfId="6211"/>
    <cellStyle name="Normal 2 2 2 2 2 2 2 2 2 2 12 11 2 2 2 6" xfId="6212"/>
    <cellStyle name="Normal 2 2 2 2 2 2 2 2 2 2 12 11 2 2 3" xfId="6213"/>
    <cellStyle name="Normal 2 2 2 2 2 2 2 2 2 2 12 11 2 2 4" xfId="6214"/>
    <cellStyle name="Normal 2 2 2 2 2 2 2 2 2 2 12 11 2 2 5" xfId="6215"/>
    <cellStyle name="Normal 2 2 2 2 2 2 2 2 2 2 12 11 2 2 6" xfId="6216"/>
    <cellStyle name="Normal 2 2 2 2 2 2 2 2 2 2 12 11 2 2 7" xfId="6217"/>
    <cellStyle name="Normal 2 2 2 2 2 2 2 2 2 2 12 11 2 2 8" xfId="6218"/>
    <cellStyle name="Normal 2 2 2 2 2 2 2 2 2 2 12 11 2 2 8 2" xfId="6219"/>
    <cellStyle name="Normal 2 2 2 2 2 2 2 2 2 2 12 11 2 2 8 3" xfId="6220"/>
    <cellStyle name="Normal 2 2 2 2 2 2 2 2 2 2 12 11 2 2 8 4" xfId="6221"/>
    <cellStyle name="Normal 2 2 2 2 2 2 2 2 2 2 12 11 2 2 9" xfId="6222"/>
    <cellStyle name="Normal 2 2 2 2 2 2 2 2 2 2 12 11 2 3" xfId="6223"/>
    <cellStyle name="Normal 2 2 2 2 2 2 2 2 2 2 12 11 2 3 2" xfId="6224"/>
    <cellStyle name="Normal 2 2 2 2 2 2 2 2 2 2 12 11 2 3 2 2" xfId="6225"/>
    <cellStyle name="Normal 2 2 2 2 2 2 2 2 2 2 12 11 2 3 2 3" xfId="6226"/>
    <cellStyle name="Normal 2 2 2 2 2 2 2 2 2 2 12 11 2 3 2 4" xfId="6227"/>
    <cellStyle name="Normal 2 2 2 2 2 2 2 2 2 2 12 11 2 3 3" xfId="6228"/>
    <cellStyle name="Normal 2 2 2 2 2 2 2 2 2 2 12 11 2 3 4" xfId="6229"/>
    <cellStyle name="Normal 2 2 2 2 2 2 2 2 2 2 12 11 2 3 5" xfId="6230"/>
    <cellStyle name="Normal 2 2 2 2 2 2 2 2 2 2 12 11 2 3 6" xfId="6231"/>
    <cellStyle name="Normal 2 2 2 2 2 2 2 2 2 2 12 11 2 4" xfId="6232"/>
    <cellStyle name="Normal 2 2 2 2 2 2 2 2 2 2 12 11 2 5" xfId="6233"/>
    <cellStyle name="Normal 2 2 2 2 2 2 2 2 2 2 12 11 2 6" xfId="6234"/>
    <cellStyle name="Normal 2 2 2 2 2 2 2 2 2 2 12 11 2 7" xfId="6235"/>
    <cellStyle name="Normal 2 2 2 2 2 2 2 2 2 2 12 11 2 8" xfId="6236"/>
    <cellStyle name="Normal 2 2 2 2 2 2 2 2 2 2 12 11 2 8 2" xfId="6237"/>
    <cellStyle name="Normal 2 2 2 2 2 2 2 2 2 2 12 11 2 8 3" xfId="6238"/>
    <cellStyle name="Normal 2 2 2 2 2 2 2 2 2 2 12 11 2 8 4" xfId="6239"/>
    <cellStyle name="Normal 2 2 2 2 2 2 2 2 2 2 12 11 2 9" xfId="6240"/>
    <cellStyle name="Normal 2 2 2 2 2 2 2 2 2 2 12 11 3" xfId="6241"/>
    <cellStyle name="Normal 2 2 2 2 2 2 2 2 2 2 12 11 4" xfId="6242"/>
    <cellStyle name="Normal 2 2 2 2 2 2 2 2 2 2 12 11 5" xfId="6243"/>
    <cellStyle name="Normal 2 2 2 2 2 2 2 2 2 2 12 11 5 2" xfId="6244"/>
    <cellStyle name="Normal 2 2 2 2 2 2 2 2 2 2 12 11 5 2 2" xfId="6245"/>
    <cellStyle name="Normal 2 2 2 2 2 2 2 2 2 2 12 11 5 2 3" xfId="6246"/>
    <cellStyle name="Normal 2 2 2 2 2 2 2 2 2 2 12 11 5 2 4" xfId="6247"/>
    <cellStyle name="Normal 2 2 2 2 2 2 2 2 2 2 12 11 5 3" xfId="6248"/>
    <cellStyle name="Normal 2 2 2 2 2 2 2 2 2 2 12 11 5 4" xfId="6249"/>
    <cellStyle name="Normal 2 2 2 2 2 2 2 2 2 2 12 11 5 5" xfId="6250"/>
    <cellStyle name="Normal 2 2 2 2 2 2 2 2 2 2 12 11 5 6" xfId="6251"/>
    <cellStyle name="Normal 2 2 2 2 2 2 2 2 2 2 12 11 6" xfId="6252"/>
    <cellStyle name="Normal 2 2 2 2 2 2 2 2 2 2 12 11 7" xfId="6253"/>
    <cellStyle name="Normal 2 2 2 2 2 2 2 2 2 2 12 11 8" xfId="6254"/>
    <cellStyle name="Normal 2 2 2 2 2 2 2 2 2 2 12 11 9" xfId="6255"/>
    <cellStyle name="Normal 2 2 2 2 2 2 2 2 2 2 12 12" xfId="6256"/>
    <cellStyle name="Normal 2 2 2 2 2 2 2 2 2 2 12 13" xfId="6257"/>
    <cellStyle name="Normal 2 2 2 2 2 2 2 2 2 2 12 13 10" xfId="6258"/>
    <cellStyle name="Normal 2 2 2 2 2 2 2 2 2 2 12 13 11" xfId="6259"/>
    <cellStyle name="Normal 2 2 2 2 2 2 2 2 2 2 12 13 2" xfId="6260"/>
    <cellStyle name="Normal 2 2 2 2 2 2 2 2 2 2 12 13 2 10" xfId="6261"/>
    <cellStyle name="Normal 2 2 2 2 2 2 2 2 2 2 12 13 2 11" xfId="6262"/>
    <cellStyle name="Normal 2 2 2 2 2 2 2 2 2 2 12 13 2 2" xfId="6263"/>
    <cellStyle name="Normal 2 2 2 2 2 2 2 2 2 2 12 13 2 2 2" xfId="6264"/>
    <cellStyle name="Normal 2 2 2 2 2 2 2 2 2 2 12 13 2 2 2 2" xfId="6265"/>
    <cellStyle name="Normal 2 2 2 2 2 2 2 2 2 2 12 13 2 2 2 3" xfId="6266"/>
    <cellStyle name="Normal 2 2 2 2 2 2 2 2 2 2 12 13 2 2 2 4" xfId="6267"/>
    <cellStyle name="Normal 2 2 2 2 2 2 2 2 2 2 12 13 2 2 3" xfId="6268"/>
    <cellStyle name="Normal 2 2 2 2 2 2 2 2 2 2 12 13 2 2 4" xfId="6269"/>
    <cellStyle name="Normal 2 2 2 2 2 2 2 2 2 2 12 13 2 2 5" xfId="6270"/>
    <cellStyle name="Normal 2 2 2 2 2 2 2 2 2 2 12 13 2 2 6" xfId="6271"/>
    <cellStyle name="Normal 2 2 2 2 2 2 2 2 2 2 12 13 2 3" xfId="6272"/>
    <cellStyle name="Normal 2 2 2 2 2 2 2 2 2 2 12 13 2 4" xfId="6273"/>
    <cellStyle name="Normal 2 2 2 2 2 2 2 2 2 2 12 13 2 5" xfId="6274"/>
    <cellStyle name="Normal 2 2 2 2 2 2 2 2 2 2 12 13 2 6" xfId="6275"/>
    <cellStyle name="Normal 2 2 2 2 2 2 2 2 2 2 12 13 2 7" xfId="6276"/>
    <cellStyle name="Normal 2 2 2 2 2 2 2 2 2 2 12 13 2 8" xfId="6277"/>
    <cellStyle name="Normal 2 2 2 2 2 2 2 2 2 2 12 13 2 8 2" xfId="6278"/>
    <cellStyle name="Normal 2 2 2 2 2 2 2 2 2 2 12 13 2 8 3" xfId="6279"/>
    <cellStyle name="Normal 2 2 2 2 2 2 2 2 2 2 12 13 2 8 4" xfId="6280"/>
    <cellStyle name="Normal 2 2 2 2 2 2 2 2 2 2 12 13 2 9" xfId="6281"/>
    <cellStyle name="Normal 2 2 2 2 2 2 2 2 2 2 12 13 3" xfId="6282"/>
    <cellStyle name="Normal 2 2 2 2 2 2 2 2 2 2 12 13 3 2" xfId="6283"/>
    <cellStyle name="Normal 2 2 2 2 2 2 2 2 2 2 12 13 3 2 2" xfId="6284"/>
    <cellStyle name="Normal 2 2 2 2 2 2 2 2 2 2 12 13 3 2 3" xfId="6285"/>
    <cellStyle name="Normal 2 2 2 2 2 2 2 2 2 2 12 13 3 2 4" xfId="6286"/>
    <cellStyle name="Normal 2 2 2 2 2 2 2 2 2 2 12 13 3 3" xfId="6287"/>
    <cellStyle name="Normal 2 2 2 2 2 2 2 2 2 2 12 13 3 4" xfId="6288"/>
    <cellStyle name="Normal 2 2 2 2 2 2 2 2 2 2 12 13 3 5" xfId="6289"/>
    <cellStyle name="Normal 2 2 2 2 2 2 2 2 2 2 12 13 3 6" xfId="6290"/>
    <cellStyle name="Normal 2 2 2 2 2 2 2 2 2 2 12 13 4" xfId="6291"/>
    <cellStyle name="Normal 2 2 2 2 2 2 2 2 2 2 12 13 5" xfId="6292"/>
    <cellStyle name="Normal 2 2 2 2 2 2 2 2 2 2 12 13 6" xfId="6293"/>
    <cellStyle name="Normal 2 2 2 2 2 2 2 2 2 2 12 13 7" xfId="6294"/>
    <cellStyle name="Normal 2 2 2 2 2 2 2 2 2 2 12 13 8" xfId="6295"/>
    <cellStyle name="Normal 2 2 2 2 2 2 2 2 2 2 12 13 8 2" xfId="6296"/>
    <cellStyle name="Normal 2 2 2 2 2 2 2 2 2 2 12 13 8 3" xfId="6297"/>
    <cellStyle name="Normal 2 2 2 2 2 2 2 2 2 2 12 13 8 4" xfId="6298"/>
    <cellStyle name="Normal 2 2 2 2 2 2 2 2 2 2 12 13 9" xfId="6299"/>
    <cellStyle name="Normal 2 2 2 2 2 2 2 2 2 2 12 14" xfId="6300"/>
    <cellStyle name="Normal 2 2 2 2 2 2 2 2 2 2 12 15" xfId="6301"/>
    <cellStyle name="Normal 2 2 2 2 2 2 2 2 2 2 12 15 2" xfId="6302"/>
    <cellStyle name="Normal 2 2 2 2 2 2 2 2 2 2 12 15 2 2" xfId="6303"/>
    <cellStyle name="Normal 2 2 2 2 2 2 2 2 2 2 12 15 2 3" xfId="6304"/>
    <cellStyle name="Normal 2 2 2 2 2 2 2 2 2 2 12 15 2 4" xfId="6305"/>
    <cellStyle name="Normal 2 2 2 2 2 2 2 2 2 2 12 15 3" xfId="6306"/>
    <cellStyle name="Normal 2 2 2 2 2 2 2 2 2 2 12 15 4" xfId="6307"/>
    <cellStyle name="Normal 2 2 2 2 2 2 2 2 2 2 12 15 5" xfId="6308"/>
    <cellStyle name="Normal 2 2 2 2 2 2 2 2 2 2 12 15 6" xfId="6309"/>
    <cellStyle name="Normal 2 2 2 2 2 2 2 2 2 2 12 16" xfId="6310"/>
    <cellStyle name="Normal 2 2 2 2 2 2 2 2 2 2 12 17" xfId="6311"/>
    <cellStyle name="Normal 2 2 2 2 2 2 2 2 2 2 12 18" xfId="6312"/>
    <cellStyle name="Normal 2 2 2 2 2 2 2 2 2 2 12 19" xfId="6313"/>
    <cellStyle name="Normal 2 2 2 2 2 2 2 2 2 2 12 2" xfId="6314"/>
    <cellStyle name="Normal 2 2 2 2 2 2 2 2 2 2 12 2 10" xfId="6315"/>
    <cellStyle name="Normal 2 2 2 2 2 2 2 2 2 2 12 2 11" xfId="6316"/>
    <cellStyle name="Normal 2 2 2 2 2 2 2 2 2 2 12 2 12" xfId="6317"/>
    <cellStyle name="Normal 2 2 2 2 2 2 2 2 2 2 12 2 13" xfId="6318"/>
    <cellStyle name="Normal 2 2 2 2 2 2 2 2 2 2 12 2 13 2" xfId="6319"/>
    <cellStyle name="Normal 2 2 2 2 2 2 2 2 2 2 12 2 13 3" xfId="6320"/>
    <cellStyle name="Normal 2 2 2 2 2 2 2 2 2 2 12 2 13 4" xfId="6321"/>
    <cellStyle name="Normal 2 2 2 2 2 2 2 2 2 2 12 2 14" xfId="6322"/>
    <cellStyle name="Normal 2 2 2 2 2 2 2 2 2 2 12 2 15" xfId="6323"/>
    <cellStyle name="Normal 2 2 2 2 2 2 2 2 2 2 12 2 16" xfId="6324"/>
    <cellStyle name="Normal 2 2 2 2 2 2 2 2 2 2 12 2 2" xfId="6325"/>
    <cellStyle name="Normal 2 2 2 2 2 2 2 2 2 2 12 2 2 10" xfId="6326"/>
    <cellStyle name="Normal 2 2 2 2 2 2 2 2 2 2 12 2 2 11" xfId="6327"/>
    <cellStyle name="Normal 2 2 2 2 2 2 2 2 2 2 12 2 2 11 2" xfId="6328"/>
    <cellStyle name="Normal 2 2 2 2 2 2 2 2 2 2 12 2 2 11 3" xfId="6329"/>
    <cellStyle name="Normal 2 2 2 2 2 2 2 2 2 2 12 2 2 11 4" xfId="6330"/>
    <cellStyle name="Normal 2 2 2 2 2 2 2 2 2 2 12 2 2 12" xfId="6331"/>
    <cellStyle name="Normal 2 2 2 2 2 2 2 2 2 2 12 2 2 13" xfId="6332"/>
    <cellStyle name="Normal 2 2 2 2 2 2 2 2 2 2 12 2 2 14" xfId="6333"/>
    <cellStyle name="Normal 2 2 2 2 2 2 2 2 2 2 12 2 2 2" xfId="6334"/>
    <cellStyle name="Normal 2 2 2 2 2 2 2 2 2 2 12 2 2 2 10" xfId="6335"/>
    <cellStyle name="Normal 2 2 2 2 2 2 2 2 2 2 12 2 2 2 11" xfId="6336"/>
    <cellStyle name="Normal 2 2 2 2 2 2 2 2 2 2 12 2 2 2 2" xfId="6337"/>
    <cellStyle name="Normal 2 2 2 2 2 2 2 2 2 2 12 2 2 2 2 10" xfId="6338"/>
    <cellStyle name="Normal 2 2 2 2 2 2 2 2 2 2 12 2 2 2 2 11" xfId="6339"/>
    <cellStyle name="Normal 2 2 2 2 2 2 2 2 2 2 12 2 2 2 2 2" xfId="6340"/>
    <cellStyle name="Normal 2 2 2 2 2 2 2 2 2 2 12 2 2 2 2 2 2" xfId="6341"/>
    <cellStyle name="Normal 2 2 2 2 2 2 2 2 2 2 12 2 2 2 2 2 2 2" xfId="6342"/>
    <cellStyle name="Normal 2 2 2 2 2 2 2 2 2 2 12 2 2 2 2 2 2 3" xfId="6343"/>
    <cellStyle name="Normal 2 2 2 2 2 2 2 2 2 2 12 2 2 2 2 2 2 4" xfId="6344"/>
    <cellStyle name="Normal 2 2 2 2 2 2 2 2 2 2 12 2 2 2 2 2 3" xfId="6345"/>
    <cellStyle name="Normal 2 2 2 2 2 2 2 2 2 2 12 2 2 2 2 2 4" xfId="6346"/>
    <cellStyle name="Normal 2 2 2 2 2 2 2 2 2 2 12 2 2 2 2 2 5" xfId="6347"/>
    <cellStyle name="Normal 2 2 2 2 2 2 2 2 2 2 12 2 2 2 2 2 6" xfId="6348"/>
    <cellStyle name="Normal 2 2 2 2 2 2 2 2 2 2 12 2 2 2 2 3" xfId="6349"/>
    <cellStyle name="Normal 2 2 2 2 2 2 2 2 2 2 12 2 2 2 2 4" xfId="6350"/>
    <cellStyle name="Normal 2 2 2 2 2 2 2 2 2 2 12 2 2 2 2 5" xfId="6351"/>
    <cellStyle name="Normal 2 2 2 2 2 2 2 2 2 2 12 2 2 2 2 6" xfId="6352"/>
    <cellStyle name="Normal 2 2 2 2 2 2 2 2 2 2 12 2 2 2 2 7" xfId="6353"/>
    <cellStyle name="Normal 2 2 2 2 2 2 2 2 2 2 12 2 2 2 2 8" xfId="6354"/>
    <cellStyle name="Normal 2 2 2 2 2 2 2 2 2 2 12 2 2 2 2 8 2" xfId="6355"/>
    <cellStyle name="Normal 2 2 2 2 2 2 2 2 2 2 12 2 2 2 2 8 3" xfId="6356"/>
    <cellStyle name="Normal 2 2 2 2 2 2 2 2 2 2 12 2 2 2 2 8 4" xfId="6357"/>
    <cellStyle name="Normal 2 2 2 2 2 2 2 2 2 2 12 2 2 2 2 9" xfId="6358"/>
    <cellStyle name="Normal 2 2 2 2 2 2 2 2 2 2 12 2 2 2 3" xfId="6359"/>
    <cellStyle name="Normal 2 2 2 2 2 2 2 2 2 2 12 2 2 2 3 2" xfId="6360"/>
    <cellStyle name="Normal 2 2 2 2 2 2 2 2 2 2 12 2 2 2 3 2 2" xfId="6361"/>
    <cellStyle name="Normal 2 2 2 2 2 2 2 2 2 2 12 2 2 2 3 2 3" xfId="6362"/>
    <cellStyle name="Normal 2 2 2 2 2 2 2 2 2 2 12 2 2 2 3 2 4" xfId="6363"/>
    <cellStyle name="Normal 2 2 2 2 2 2 2 2 2 2 12 2 2 2 3 3" xfId="6364"/>
    <cellStyle name="Normal 2 2 2 2 2 2 2 2 2 2 12 2 2 2 3 4" xfId="6365"/>
    <cellStyle name="Normal 2 2 2 2 2 2 2 2 2 2 12 2 2 2 3 5" xfId="6366"/>
    <cellStyle name="Normal 2 2 2 2 2 2 2 2 2 2 12 2 2 2 3 6" xfId="6367"/>
    <cellStyle name="Normal 2 2 2 2 2 2 2 2 2 2 12 2 2 2 4" xfId="6368"/>
    <cellStyle name="Normal 2 2 2 2 2 2 2 2 2 2 12 2 2 2 5" xfId="6369"/>
    <cellStyle name="Normal 2 2 2 2 2 2 2 2 2 2 12 2 2 2 6" xfId="6370"/>
    <cellStyle name="Normal 2 2 2 2 2 2 2 2 2 2 12 2 2 2 7" xfId="6371"/>
    <cellStyle name="Normal 2 2 2 2 2 2 2 2 2 2 12 2 2 2 8" xfId="6372"/>
    <cellStyle name="Normal 2 2 2 2 2 2 2 2 2 2 12 2 2 2 8 2" xfId="6373"/>
    <cellStyle name="Normal 2 2 2 2 2 2 2 2 2 2 12 2 2 2 8 3" xfId="6374"/>
    <cellStyle name="Normal 2 2 2 2 2 2 2 2 2 2 12 2 2 2 8 4" xfId="6375"/>
    <cellStyle name="Normal 2 2 2 2 2 2 2 2 2 2 12 2 2 2 9" xfId="6376"/>
    <cellStyle name="Normal 2 2 2 2 2 2 2 2 2 2 12 2 2 3" xfId="6377"/>
    <cellStyle name="Normal 2 2 2 2 2 2 2 2 2 2 12 2 2 4" xfId="6378"/>
    <cellStyle name="Normal 2 2 2 2 2 2 2 2 2 2 12 2 2 5" xfId="6379"/>
    <cellStyle name="Normal 2 2 2 2 2 2 2 2 2 2 12 2 2 5 2" xfId="6380"/>
    <cellStyle name="Normal 2 2 2 2 2 2 2 2 2 2 12 2 2 5 2 2" xfId="6381"/>
    <cellStyle name="Normal 2 2 2 2 2 2 2 2 2 2 12 2 2 5 2 3" xfId="6382"/>
    <cellStyle name="Normal 2 2 2 2 2 2 2 2 2 2 12 2 2 5 2 4" xfId="6383"/>
    <cellStyle name="Normal 2 2 2 2 2 2 2 2 2 2 12 2 2 5 3" xfId="6384"/>
    <cellStyle name="Normal 2 2 2 2 2 2 2 2 2 2 12 2 2 5 4" xfId="6385"/>
    <cellStyle name="Normal 2 2 2 2 2 2 2 2 2 2 12 2 2 5 5" xfId="6386"/>
    <cellStyle name="Normal 2 2 2 2 2 2 2 2 2 2 12 2 2 5 6" xfId="6387"/>
    <cellStyle name="Normal 2 2 2 2 2 2 2 2 2 2 12 2 2 6" xfId="6388"/>
    <cellStyle name="Normal 2 2 2 2 2 2 2 2 2 2 12 2 2 7" xfId="6389"/>
    <cellStyle name="Normal 2 2 2 2 2 2 2 2 2 2 12 2 2 8" xfId="6390"/>
    <cellStyle name="Normal 2 2 2 2 2 2 2 2 2 2 12 2 2 9" xfId="6391"/>
    <cellStyle name="Normal 2 2 2 2 2 2 2 2 2 2 12 2 3" xfId="6392"/>
    <cellStyle name="Normal 2 2 2 2 2 2 2 2 2 2 12 2 4" xfId="6393"/>
    <cellStyle name="Normal 2 2 2 2 2 2 2 2 2 2 12 2 5" xfId="6394"/>
    <cellStyle name="Normal 2 2 2 2 2 2 2 2 2 2 12 2 5 10" xfId="6395"/>
    <cellStyle name="Normal 2 2 2 2 2 2 2 2 2 2 12 2 5 11" xfId="6396"/>
    <cellStyle name="Normal 2 2 2 2 2 2 2 2 2 2 12 2 5 2" xfId="6397"/>
    <cellStyle name="Normal 2 2 2 2 2 2 2 2 2 2 12 2 5 2 10" xfId="6398"/>
    <cellStyle name="Normal 2 2 2 2 2 2 2 2 2 2 12 2 5 2 11" xfId="6399"/>
    <cellStyle name="Normal 2 2 2 2 2 2 2 2 2 2 12 2 5 2 2" xfId="6400"/>
    <cellStyle name="Normal 2 2 2 2 2 2 2 2 2 2 12 2 5 2 2 2" xfId="6401"/>
    <cellStyle name="Normal 2 2 2 2 2 2 2 2 2 2 12 2 5 2 2 2 2" xfId="6402"/>
    <cellStyle name="Normal 2 2 2 2 2 2 2 2 2 2 12 2 5 2 2 2 3" xfId="6403"/>
    <cellStyle name="Normal 2 2 2 2 2 2 2 2 2 2 12 2 5 2 2 2 4" xfId="6404"/>
    <cellStyle name="Normal 2 2 2 2 2 2 2 2 2 2 12 2 5 2 2 3" xfId="6405"/>
    <cellStyle name="Normal 2 2 2 2 2 2 2 2 2 2 12 2 5 2 2 4" xfId="6406"/>
    <cellStyle name="Normal 2 2 2 2 2 2 2 2 2 2 12 2 5 2 2 5" xfId="6407"/>
    <cellStyle name="Normal 2 2 2 2 2 2 2 2 2 2 12 2 5 2 2 6" xfId="6408"/>
    <cellStyle name="Normal 2 2 2 2 2 2 2 2 2 2 12 2 5 2 3" xfId="6409"/>
    <cellStyle name="Normal 2 2 2 2 2 2 2 2 2 2 12 2 5 2 4" xfId="6410"/>
    <cellStyle name="Normal 2 2 2 2 2 2 2 2 2 2 12 2 5 2 5" xfId="6411"/>
    <cellStyle name="Normal 2 2 2 2 2 2 2 2 2 2 12 2 5 2 6" xfId="6412"/>
    <cellStyle name="Normal 2 2 2 2 2 2 2 2 2 2 12 2 5 2 7" xfId="6413"/>
    <cellStyle name="Normal 2 2 2 2 2 2 2 2 2 2 12 2 5 2 8" xfId="6414"/>
    <cellStyle name="Normal 2 2 2 2 2 2 2 2 2 2 12 2 5 2 8 2" xfId="6415"/>
    <cellStyle name="Normal 2 2 2 2 2 2 2 2 2 2 12 2 5 2 8 3" xfId="6416"/>
    <cellStyle name="Normal 2 2 2 2 2 2 2 2 2 2 12 2 5 2 8 4" xfId="6417"/>
    <cellStyle name="Normal 2 2 2 2 2 2 2 2 2 2 12 2 5 2 9" xfId="6418"/>
    <cellStyle name="Normal 2 2 2 2 2 2 2 2 2 2 12 2 5 3" xfId="6419"/>
    <cellStyle name="Normal 2 2 2 2 2 2 2 2 2 2 12 2 5 3 2" xfId="6420"/>
    <cellStyle name="Normal 2 2 2 2 2 2 2 2 2 2 12 2 5 3 2 2" xfId="6421"/>
    <cellStyle name="Normal 2 2 2 2 2 2 2 2 2 2 12 2 5 3 2 3" xfId="6422"/>
    <cellStyle name="Normal 2 2 2 2 2 2 2 2 2 2 12 2 5 3 2 4" xfId="6423"/>
    <cellStyle name="Normal 2 2 2 2 2 2 2 2 2 2 12 2 5 3 3" xfId="6424"/>
    <cellStyle name="Normal 2 2 2 2 2 2 2 2 2 2 12 2 5 3 4" xfId="6425"/>
    <cellStyle name="Normal 2 2 2 2 2 2 2 2 2 2 12 2 5 3 5" xfId="6426"/>
    <cellStyle name="Normal 2 2 2 2 2 2 2 2 2 2 12 2 5 3 6" xfId="6427"/>
    <cellStyle name="Normal 2 2 2 2 2 2 2 2 2 2 12 2 5 4" xfId="6428"/>
    <cellStyle name="Normal 2 2 2 2 2 2 2 2 2 2 12 2 5 5" xfId="6429"/>
    <cellStyle name="Normal 2 2 2 2 2 2 2 2 2 2 12 2 5 6" xfId="6430"/>
    <cellStyle name="Normal 2 2 2 2 2 2 2 2 2 2 12 2 5 7" xfId="6431"/>
    <cellStyle name="Normal 2 2 2 2 2 2 2 2 2 2 12 2 5 8" xfId="6432"/>
    <cellStyle name="Normal 2 2 2 2 2 2 2 2 2 2 12 2 5 8 2" xfId="6433"/>
    <cellStyle name="Normal 2 2 2 2 2 2 2 2 2 2 12 2 5 8 3" xfId="6434"/>
    <cellStyle name="Normal 2 2 2 2 2 2 2 2 2 2 12 2 5 8 4" xfId="6435"/>
    <cellStyle name="Normal 2 2 2 2 2 2 2 2 2 2 12 2 5 9" xfId="6436"/>
    <cellStyle name="Normal 2 2 2 2 2 2 2 2 2 2 12 2 6" xfId="6437"/>
    <cellStyle name="Normal 2 2 2 2 2 2 2 2 2 2 12 2 7" xfId="6438"/>
    <cellStyle name="Normal 2 2 2 2 2 2 2 2 2 2 12 2 7 2" xfId="6439"/>
    <cellStyle name="Normal 2 2 2 2 2 2 2 2 2 2 12 2 7 2 2" xfId="6440"/>
    <cellStyle name="Normal 2 2 2 2 2 2 2 2 2 2 12 2 7 2 3" xfId="6441"/>
    <cellStyle name="Normal 2 2 2 2 2 2 2 2 2 2 12 2 7 2 4" xfId="6442"/>
    <cellStyle name="Normal 2 2 2 2 2 2 2 2 2 2 12 2 7 3" xfId="6443"/>
    <cellStyle name="Normal 2 2 2 2 2 2 2 2 2 2 12 2 7 4" xfId="6444"/>
    <cellStyle name="Normal 2 2 2 2 2 2 2 2 2 2 12 2 7 5" xfId="6445"/>
    <cellStyle name="Normal 2 2 2 2 2 2 2 2 2 2 12 2 7 6" xfId="6446"/>
    <cellStyle name="Normal 2 2 2 2 2 2 2 2 2 2 12 2 8" xfId="6447"/>
    <cellStyle name="Normal 2 2 2 2 2 2 2 2 2 2 12 2 9" xfId="6448"/>
    <cellStyle name="Normal 2 2 2 2 2 2 2 2 2 2 12 20" xfId="6449"/>
    <cellStyle name="Normal 2 2 2 2 2 2 2 2 2 2 12 21" xfId="6450"/>
    <cellStyle name="Normal 2 2 2 2 2 2 2 2 2 2 12 21 2" xfId="6451"/>
    <cellStyle name="Normal 2 2 2 2 2 2 2 2 2 2 12 21 3" xfId="6452"/>
    <cellStyle name="Normal 2 2 2 2 2 2 2 2 2 2 12 21 4" xfId="6453"/>
    <cellStyle name="Normal 2 2 2 2 2 2 2 2 2 2 12 22" xfId="6454"/>
    <cellStyle name="Normal 2 2 2 2 2 2 2 2 2 2 12 23" xfId="6455"/>
    <cellStyle name="Normal 2 2 2 2 2 2 2 2 2 2 12 24" xfId="6456"/>
    <cellStyle name="Normal 2 2 2 2 2 2 2 2 2 2 12 3" xfId="6457"/>
    <cellStyle name="Normal 2 2 2 2 2 2 2 2 2 2 12 4" xfId="6458"/>
    <cellStyle name="Normal 2 2 2 2 2 2 2 2 2 2 12 5" xfId="6459"/>
    <cellStyle name="Normal 2 2 2 2 2 2 2 2 2 2 12 6" xfId="6460"/>
    <cellStyle name="Normal 2 2 2 2 2 2 2 2 2 2 12 7" xfId="6461"/>
    <cellStyle name="Normal 2 2 2 2 2 2 2 2 2 2 12 8" xfId="6462"/>
    <cellStyle name="Normal 2 2 2 2 2 2 2 2 2 2 12 9" xfId="6463"/>
    <cellStyle name="Normal 2 2 2 2 2 2 2 2 2 2 13" xfId="6464"/>
    <cellStyle name="Normal 2 2 2 2 2 2 2 2 2 2 13 10" xfId="6465"/>
    <cellStyle name="Normal 2 2 2 2 2 2 2 2 2 2 13 11" xfId="6466"/>
    <cellStyle name="Normal 2 2 2 2 2 2 2 2 2 2 13 12" xfId="6467"/>
    <cellStyle name="Normal 2 2 2 2 2 2 2 2 2 2 13 13" xfId="6468"/>
    <cellStyle name="Normal 2 2 2 2 2 2 2 2 2 2 13 13 2" xfId="6469"/>
    <cellStyle name="Normal 2 2 2 2 2 2 2 2 2 2 13 13 3" xfId="6470"/>
    <cellStyle name="Normal 2 2 2 2 2 2 2 2 2 2 13 13 4" xfId="6471"/>
    <cellStyle name="Normal 2 2 2 2 2 2 2 2 2 2 13 14" xfId="6472"/>
    <cellStyle name="Normal 2 2 2 2 2 2 2 2 2 2 13 15" xfId="6473"/>
    <cellStyle name="Normal 2 2 2 2 2 2 2 2 2 2 13 16" xfId="6474"/>
    <cellStyle name="Normal 2 2 2 2 2 2 2 2 2 2 13 2" xfId="6475"/>
    <cellStyle name="Normal 2 2 2 2 2 2 2 2 2 2 13 2 10" xfId="6476"/>
    <cellStyle name="Normal 2 2 2 2 2 2 2 2 2 2 13 2 11" xfId="6477"/>
    <cellStyle name="Normal 2 2 2 2 2 2 2 2 2 2 13 2 11 2" xfId="6478"/>
    <cellStyle name="Normal 2 2 2 2 2 2 2 2 2 2 13 2 11 3" xfId="6479"/>
    <cellStyle name="Normal 2 2 2 2 2 2 2 2 2 2 13 2 11 4" xfId="6480"/>
    <cellStyle name="Normal 2 2 2 2 2 2 2 2 2 2 13 2 12" xfId="6481"/>
    <cellStyle name="Normal 2 2 2 2 2 2 2 2 2 2 13 2 13" xfId="6482"/>
    <cellStyle name="Normal 2 2 2 2 2 2 2 2 2 2 13 2 14" xfId="6483"/>
    <cellStyle name="Normal 2 2 2 2 2 2 2 2 2 2 13 2 2" xfId="6484"/>
    <cellStyle name="Normal 2 2 2 2 2 2 2 2 2 2 13 2 2 10" xfId="6485"/>
    <cellStyle name="Normal 2 2 2 2 2 2 2 2 2 2 13 2 2 11" xfId="6486"/>
    <cellStyle name="Normal 2 2 2 2 2 2 2 2 2 2 13 2 2 2" xfId="6487"/>
    <cellStyle name="Normal 2 2 2 2 2 2 2 2 2 2 13 2 2 2 10" xfId="6488"/>
    <cellStyle name="Normal 2 2 2 2 2 2 2 2 2 2 13 2 2 2 11" xfId="6489"/>
    <cellStyle name="Normal 2 2 2 2 2 2 2 2 2 2 13 2 2 2 2" xfId="6490"/>
    <cellStyle name="Normal 2 2 2 2 2 2 2 2 2 2 13 2 2 2 2 2" xfId="6491"/>
    <cellStyle name="Normal 2 2 2 2 2 2 2 2 2 2 13 2 2 2 2 2 2" xfId="6492"/>
    <cellStyle name="Normal 2 2 2 2 2 2 2 2 2 2 13 2 2 2 2 2 3" xfId="6493"/>
    <cellStyle name="Normal 2 2 2 2 2 2 2 2 2 2 13 2 2 2 2 2 4" xfId="6494"/>
    <cellStyle name="Normal 2 2 2 2 2 2 2 2 2 2 13 2 2 2 2 3" xfId="6495"/>
    <cellStyle name="Normal 2 2 2 2 2 2 2 2 2 2 13 2 2 2 2 4" xfId="6496"/>
    <cellStyle name="Normal 2 2 2 2 2 2 2 2 2 2 13 2 2 2 2 5" xfId="6497"/>
    <cellStyle name="Normal 2 2 2 2 2 2 2 2 2 2 13 2 2 2 2 6" xfId="6498"/>
    <cellStyle name="Normal 2 2 2 2 2 2 2 2 2 2 13 2 2 2 3" xfId="6499"/>
    <cellStyle name="Normal 2 2 2 2 2 2 2 2 2 2 13 2 2 2 4" xfId="6500"/>
    <cellStyle name="Normal 2 2 2 2 2 2 2 2 2 2 13 2 2 2 5" xfId="6501"/>
    <cellStyle name="Normal 2 2 2 2 2 2 2 2 2 2 13 2 2 2 6" xfId="6502"/>
    <cellStyle name="Normal 2 2 2 2 2 2 2 2 2 2 13 2 2 2 7" xfId="6503"/>
    <cellStyle name="Normal 2 2 2 2 2 2 2 2 2 2 13 2 2 2 8" xfId="6504"/>
    <cellStyle name="Normal 2 2 2 2 2 2 2 2 2 2 13 2 2 2 8 2" xfId="6505"/>
    <cellStyle name="Normal 2 2 2 2 2 2 2 2 2 2 13 2 2 2 8 3" xfId="6506"/>
    <cellStyle name="Normal 2 2 2 2 2 2 2 2 2 2 13 2 2 2 8 4" xfId="6507"/>
    <cellStyle name="Normal 2 2 2 2 2 2 2 2 2 2 13 2 2 2 9" xfId="6508"/>
    <cellStyle name="Normal 2 2 2 2 2 2 2 2 2 2 13 2 2 3" xfId="6509"/>
    <cellStyle name="Normal 2 2 2 2 2 2 2 2 2 2 13 2 2 3 2" xfId="6510"/>
    <cellStyle name="Normal 2 2 2 2 2 2 2 2 2 2 13 2 2 3 2 2" xfId="6511"/>
    <cellStyle name="Normal 2 2 2 2 2 2 2 2 2 2 13 2 2 3 2 3" xfId="6512"/>
    <cellStyle name="Normal 2 2 2 2 2 2 2 2 2 2 13 2 2 3 2 4" xfId="6513"/>
    <cellStyle name="Normal 2 2 2 2 2 2 2 2 2 2 13 2 2 3 3" xfId="6514"/>
    <cellStyle name="Normal 2 2 2 2 2 2 2 2 2 2 13 2 2 3 4" xfId="6515"/>
    <cellStyle name="Normal 2 2 2 2 2 2 2 2 2 2 13 2 2 3 5" xfId="6516"/>
    <cellStyle name="Normal 2 2 2 2 2 2 2 2 2 2 13 2 2 3 6" xfId="6517"/>
    <cellStyle name="Normal 2 2 2 2 2 2 2 2 2 2 13 2 2 4" xfId="6518"/>
    <cellStyle name="Normal 2 2 2 2 2 2 2 2 2 2 13 2 2 5" xfId="6519"/>
    <cellStyle name="Normal 2 2 2 2 2 2 2 2 2 2 13 2 2 6" xfId="6520"/>
    <cellStyle name="Normal 2 2 2 2 2 2 2 2 2 2 13 2 2 7" xfId="6521"/>
    <cellStyle name="Normal 2 2 2 2 2 2 2 2 2 2 13 2 2 8" xfId="6522"/>
    <cellStyle name="Normal 2 2 2 2 2 2 2 2 2 2 13 2 2 8 2" xfId="6523"/>
    <cellStyle name="Normal 2 2 2 2 2 2 2 2 2 2 13 2 2 8 3" xfId="6524"/>
    <cellStyle name="Normal 2 2 2 2 2 2 2 2 2 2 13 2 2 8 4" xfId="6525"/>
    <cellStyle name="Normal 2 2 2 2 2 2 2 2 2 2 13 2 2 9" xfId="6526"/>
    <cellStyle name="Normal 2 2 2 2 2 2 2 2 2 2 13 2 3" xfId="6527"/>
    <cellStyle name="Normal 2 2 2 2 2 2 2 2 2 2 13 2 4" xfId="6528"/>
    <cellStyle name="Normal 2 2 2 2 2 2 2 2 2 2 13 2 5" xfId="6529"/>
    <cellStyle name="Normal 2 2 2 2 2 2 2 2 2 2 13 2 5 2" xfId="6530"/>
    <cellStyle name="Normal 2 2 2 2 2 2 2 2 2 2 13 2 5 2 2" xfId="6531"/>
    <cellStyle name="Normal 2 2 2 2 2 2 2 2 2 2 13 2 5 2 3" xfId="6532"/>
    <cellStyle name="Normal 2 2 2 2 2 2 2 2 2 2 13 2 5 2 4" xfId="6533"/>
    <cellStyle name="Normal 2 2 2 2 2 2 2 2 2 2 13 2 5 3" xfId="6534"/>
    <cellStyle name="Normal 2 2 2 2 2 2 2 2 2 2 13 2 5 4" xfId="6535"/>
    <cellStyle name="Normal 2 2 2 2 2 2 2 2 2 2 13 2 5 5" xfId="6536"/>
    <cellStyle name="Normal 2 2 2 2 2 2 2 2 2 2 13 2 5 6" xfId="6537"/>
    <cellStyle name="Normal 2 2 2 2 2 2 2 2 2 2 13 2 6" xfId="6538"/>
    <cellStyle name="Normal 2 2 2 2 2 2 2 2 2 2 13 2 7" xfId="6539"/>
    <cellStyle name="Normal 2 2 2 2 2 2 2 2 2 2 13 2 8" xfId="6540"/>
    <cellStyle name="Normal 2 2 2 2 2 2 2 2 2 2 13 2 9" xfId="6541"/>
    <cellStyle name="Normal 2 2 2 2 2 2 2 2 2 2 13 3" xfId="6542"/>
    <cellStyle name="Normal 2 2 2 2 2 2 2 2 2 2 13 4" xfId="6543"/>
    <cellStyle name="Normal 2 2 2 2 2 2 2 2 2 2 13 5" xfId="6544"/>
    <cellStyle name="Normal 2 2 2 2 2 2 2 2 2 2 13 5 10" xfId="6545"/>
    <cellStyle name="Normal 2 2 2 2 2 2 2 2 2 2 13 5 11" xfId="6546"/>
    <cellStyle name="Normal 2 2 2 2 2 2 2 2 2 2 13 5 2" xfId="6547"/>
    <cellStyle name="Normal 2 2 2 2 2 2 2 2 2 2 13 5 2 10" xfId="6548"/>
    <cellStyle name="Normal 2 2 2 2 2 2 2 2 2 2 13 5 2 11" xfId="6549"/>
    <cellStyle name="Normal 2 2 2 2 2 2 2 2 2 2 13 5 2 2" xfId="6550"/>
    <cellStyle name="Normal 2 2 2 2 2 2 2 2 2 2 13 5 2 2 2" xfId="6551"/>
    <cellStyle name="Normal 2 2 2 2 2 2 2 2 2 2 13 5 2 2 2 2" xfId="6552"/>
    <cellStyle name="Normal 2 2 2 2 2 2 2 2 2 2 13 5 2 2 2 3" xfId="6553"/>
    <cellStyle name="Normal 2 2 2 2 2 2 2 2 2 2 13 5 2 2 2 4" xfId="6554"/>
    <cellStyle name="Normal 2 2 2 2 2 2 2 2 2 2 13 5 2 2 3" xfId="6555"/>
    <cellStyle name="Normal 2 2 2 2 2 2 2 2 2 2 13 5 2 2 4" xfId="6556"/>
    <cellStyle name="Normal 2 2 2 2 2 2 2 2 2 2 13 5 2 2 5" xfId="6557"/>
    <cellStyle name="Normal 2 2 2 2 2 2 2 2 2 2 13 5 2 2 6" xfId="6558"/>
    <cellStyle name="Normal 2 2 2 2 2 2 2 2 2 2 13 5 2 3" xfId="6559"/>
    <cellStyle name="Normal 2 2 2 2 2 2 2 2 2 2 13 5 2 4" xfId="6560"/>
    <cellStyle name="Normal 2 2 2 2 2 2 2 2 2 2 13 5 2 5" xfId="6561"/>
    <cellStyle name="Normal 2 2 2 2 2 2 2 2 2 2 13 5 2 6" xfId="6562"/>
    <cellStyle name="Normal 2 2 2 2 2 2 2 2 2 2 13 5 2 7" xfId="6563"/>
    <cellStyle name="Normal 2 2 2 2 2 2 2 2 2 2 13 5 2 8" xfId="6564"/>
    <cellStyle name="Normal 2 2 2 2 2 2 2 2 2 2 13 5 2 8 2" xfId="6565"/>
    <cellStyle name="Normal 2 2 2 2 2 2 2 2 2 2 13 5 2 8 3" xfId="6566"/>
    <cellStyle name="Normal 2 2 2 2 2 2 2 2 2 2 13 5 2 8 4" xfId="6567"/>
    <cellStyle name="Normal 2 2 2 2 2 2 2 2 2 2 13 5 2 9" xfId="6568"/>
    <cellStyle name="Normal 2 2 2 2 2 2 2 2 2 2 13 5 3" xfId="6569"/>
    <cellStyle name="Normal 2 2 2 2 2 2 2 2 2 2 13 5 3 2" xfId="6570"/>
    <cellStyle name="Normal 2 2 2 2 2 2 2 2 2 2 13 5 3 2 2" xfId="6571"/>
    <cellStyle name="Normal 2 2 2 2 2 2 2 2 2 2 13 5 3 2 3" xfId="6572"/>
    <cellStyle name="Normal 2 2 2 2 2 2 2 2 2 2 13 5 3 2 4" xfId="6573"/>
    <cellStyle name="Normal 2 2 2 2 2 2 2 2 2 2 13 5 3 3" xfId="6574"/>
    <cellStyle name="Normal 2 2 2 2 2 2 2 2 2 2 13 5 3 4" xfId="6575"/>
    <cellStyle name="Normal 2 2 2 2 2 2 2 2 2 2 13 5 3 5" xfId="6576"/>
    <cellStyle name="Normal 2 2 2 2 2 2 2 2 2 2 13 5 3 6" xfId="6577"/>
    <cellStyle name="Normal 2 2 2 2 2 2 2 2 2 2 13 5 4" xfId="6578"/>
    <cellStyle name="Normal 2 2 2 2 2 2 2 2 2 2 13 5 5" xfId="6579"/>
    <cellStyle name="Normal 2 2 2 2 2 2 2 2 2 2 13 5 6" xfId="6580"/>
    <cellStyle name="Normal 2 2 2 2 2 2 2 2 2 2 13 5 7" xfId="6581"/>
    <cellStyle name="Normal 2 2 2 2 2 2 2 2 2 2 13 5 8" xfId="6582"/>
    <cellStyle name="Normal 2 2 2 2 2 2 2 2 2 2 13 5 8 2" xfId="6583"/>
    <cellStyle name="Normal 2 2 2 2 2 2 2 2 2 2 13 5 8 3" xfId="6584"/>
    <cellStyle name="Normal 2 2 2 2 2 2 2 2 2 2 13 5 8 4" xfId="6585"/>
    <cellStyle name="Normal 2 2 2 2 2 2 2 2 2 2 13 5 9" xfId="6586"/>
    <cellStyle name="Normal 2 2 2 2 2 2 2 2 2 2 13 6" xfId="6587"/>
    <cellStyle name="Normal 2 2 2 2 2 2 2 2 2 2 13 7" xfId="6588"/>
    <cellStyle name="Normal 2 2 2 2 2 2 2 2 2 2 13 7 2" xfId="6589"/>
    <cellStyle name="Normal 2 2 2 2 2 2 2 2 2 2 13 7 2 2" xfId="6590"/>
    <cellStyle name="Normal 2 2 2 2 2 2 2 2 2 2 13 7 2 3" xfId="6591"/>
    <cellStyle name="Normal 2 2 2 2 2 2 2 2 2 2 13 7 2 4" xfId="6592"/>
    <cellStyle name="Normal 2 2 2 2 2 2 2 2 2 2 13 7 3" xfId="6593"/>
    <cellStyle name="Normal 2 2 2 2 2 2 2 2 2 2 13 7 4" xfId="6594"/>
    <cellStyle name="Normal 2 2 2 2 2 2 2 2 2 2 13 7 5" xfId="6595"/>
    <cellStyle name="Normal 2 2 2 2 2 2 2 2 2 2 13 7 6" xfId="6596"/>
    <cellStyle name="Normal 2 2 2 2 2 2 2 2 2 2 13 8" xfId="6597"/>
    <cellStyle name="Normal 2 2 2 2 2 2 2 2 2 2 13 9" xfId="6598"/>
    <cellStyle name="Normal 2 2 2 2 2 2 2 2 2 2 14" xfId="6599"/>
    <cellStyle name="Normal 2 2 2 2 2 2 2 2 2 2 15" xfId="6600"/>
    <cellStyle name="Normal 2 2 2 2 2 2 2 2 2 2 16" xfId="6601"/>
    <cellStyle name="Normal 2 2 2 2 2 2 2 2 2 2 17" xfId="6602"/>
    <cellStyle name="Normal 2 2 2 2 2 2 2 2 2 2 18" xfId="6603"/>
    <cellStyle name="Normal 2 2 2 2 2 2 2 2 2 2 19" xfId="6604"/>
    <cellStyle name="Normal 2 2 2 2 2 2 2 2 2 2 2" xfId="6605"/>
    <cellStyle name="Normal 2 2 2 2 2 2 2 2 2 2 2 10" xfId="6606"/>
    <cellStyle name="Normal 2 2 2 2 2 2 2 2 2 2 2 11" xfId="6607"/>
    <cellStyle name="Normal 2 2 2 2 2 2 2 2 2 2 2 12" xfId="6608"/>
    <cellStyle name="Normal 2 2 2 2 2 2 2 2 2 2 2 13" xfId="6609"/>
    <cellStyle name="Normal 2 2 2 2 2 2 2 2 2 2 2 14" xfId="6610"/>
    <cellStyle name="Normal 2 2 2 2 2 2 2 2 2 2 2 15" xfId="6611"/>
    <cellStyle name="Normal 2 2 2 2 2 2 2 2 2 2 2 16" xfId="6612"/>
    <cellStyle name="Normal 2 2 2 2 2 2 2 2 2 2 2 17" xfId="6613"/>
    <cellStyle name="Normal 2 2 2 2 2 2 2 2 2 2 2 17 10" xfId="6614"/>
    <cellStyle name="Normal 2 2 2 2 2 2 2 2 2 2 2 17 11" xfId="6615"/>
    <cellStyle name="Normal 2 2 2 2 2 2 2 2 2 2 2 17 11 2" xfId="6616"/>
    <cellStyle name="Normal 2 2 2 2 2 2 2 2 2 2 2 17 11 3" xfId="6617"/>
    <cellStyle name="Normal 2 2 2 2 2 2 2 2 2 2 2 17 11 4" xfId="6618"/>
    <cellStyle name="Normal 2 2 2 2 2 2 2 2 2 2 2 17 12" xfId="6619"/>
    <cellStyle name="Normal 2 2 2 2 2 2 2 2 2 2 2 17 13" xfId="6620"/>
    <cellStyle name="Normal 2 2 2 2 2 2 2 2 2 2 2 17 14" xfId="6621"/>
    <cellStyle name="Normal 2 2 2 2 2 2 2 2 2 2 2 17 2" xfId="6622"/>
    <cellStyle name="Normal 2 2 2 2 2 2 2 2 2 2 2 17 2 10" xfId="6623"/>
    <cellStyle name="Normal 2 2 2 2 2 2 2 2 2 2 2 17 2 11" xfId="6624"/>
    <cellStyle name="Normal 2 2 2 2 2 2 2 2 2 2 2 17 2 2" xfId="6625"/>
    <cellStyle name="Normal 2 2 2 2 2 2 2 2 2 2 2 17 2 2 10" xfId="6626"/>
    <cellStyle name="Normal 2 2 2 2 2 2 2 2 2 2 2 17 2 2 11" xfId="6627"/>
    <cellStyle name="Normal 2 2 2 2 2 2 2 2 2 2 2 17 2 2 2" xfId="6628"/>
    <cellStyle name="Normal 2 2 2 2 2 2 2 2 2 2 2 17 2 2 2 2" xfId="6629"/>
    <cellStyle name="Normal 2 2 2 2 2 2 2 2 2 2 2 17 2 2 2 2 2" xfId="6630"/>
    <cellStyle name="Normal 2 2 2 2 2 2 2 2 2 2 2 17 2 2 2 2 3" xfId="6631"/>
    <cellStyle name="Normal 2 2 2 2 2 2 2 2 2 2 2 17 2 2 2 2 4" xfId="6632"/>
    <cellStyle name="Normal 2 2 2 2 2 2 2 2 2 2 2 17 2 2 2 3" xfId="6633"/>
    <cellStyle name="Normal 2 2 2 2 2 2 2 2 2 2 2 17 2 2 2 4" xfId="6634"/>
    <cellStyle name="Normal 2 2 2 2 2 2 2 2 2 2 2 17 2 2 2 5" xfId="6635"/>
    <cellStyle name="Normal 2 2 2 2 2 2 2 2 2 2 2 17 2 2 2 6" xfId="6636"/>
    <cellStyle name="Normal 2 2 2 2 2 2 2 2 2 2 2 17 2 2 3" xfId="6637"/>
    <cellStyle name="Normal 2 2 2 2 2 2 2 2 2 2 2 17 2 2 4" xfId="6638"/>
    <cellStyle name="Normal 2 2 2 2 2 2 2 2 2 2 2 17 2 2 5" xfId="6639"/>
    <cellStyle name="Normal 2 2 2 2 2 2 2 2 2 2 2 17 2 2 6" xfId="6640"/>
    <cellStyle name="Normal 2 2 2 2 2 2 2 2 2 2 2 17 2 2 7" xfId="6641"/>
    <cellStyle name="Normal 2 2 2 2 2 2 2 2 2 2 2 17 2 2 8" xfId="6642"/>
    <cellStyle name="Normal 2 2 2 2 2 2 2 2 2 2 2 17 2 2 8 2" xfId="6643"/>
    <cellStyle name="Normal 2 2 2 2 2 2 2 2 2 2 2 17 2 2 8 3" xfId="6644"/>
    <cellStyle name="Normal 2 2 2 2 2 2 2 2 2 2 2 17 2 2 8 4" xfId="6645"/>
    <cellStyle name="Normal 2 2 2 2 2 2 2 2 2 2 2 17 2 2 9" xfId="6646"/>
    <cellStyle name="Normal 2 2 2 2 2 2 2 2 2 2 2 17 2 3" xfId="6647"/>
    <cellStyle name="Normal 2 2 2 2 2 2 2 2 2 2 2 17 2 3 2" xfId="6648"/>
    <cellStyle name="Normal 2 2 2 2 2 2 2 2 2 2 2 17 2 3 2 2" xfId="6649"/>
    <cellStyle name="Normal 2 2 2 2 2 2 2 2 2 2 2 17 2 3 2 3" xfId="6650"/>
    <cellStyle name="Normal 2 2 2 2 2 2 2 2 2 2 2 17 2 3 2 4" xfId="6651"/>
    <cellStyle name="Normal 2 2 2 2 2 2 2 2 2 2 2 17 2 3 3" xfId="6652"/>
    <cellStyle name="Normal 2 2 2 2 2 2 2 2 2 2 2 17 2 3 4" xfId="6653"/>
    <cellStyle name="Normal 2 2 2 2 2 2 2 2 2 2 2 17 2 3 5" xfId="6654"/>
    <cellStyle name="Normal 2 2 2 2 2 2 2 2 2 2 2 17 2 3 6" xfId="6655"/>
    <cellStyle name="Normal 2 2 2 2 2 2 2 2 2 2 2 17 2 4" xfId="6656"/>
    <cellStyle name="Normal 2 2 2 2 2 2 2 2 2 2 2 17 2 5" xfId="6657"/>
    <cellStyle name="Normal 2 2 2 2 2 2 2 2 2 2 2 17 2 6" xfId="6658"/>
    <cellStyle name="Normal 2 2 2 2 2 2 2 2 2 2 2 17 2 7" xfId="6659"/>
    <cellStyle name="Normal 2 2 2 2 2 2 2 2 2 2 2 17 2 8" xfId="6660"/>
    <cellStyle name="Normal 2 2 2 2 2 2 2 2 2 2 2 17 2 8 2" xfId="6661"/>
    <cellStyle name="Normal 2 2 2 2 2 2 2 2 2 2 2 17 2 8 3" xfId="6662"/>
    <cellStyle name="Normal 2 2 2 2 2 2 2 2 2 2 2 17 2 8 4" xfId="6663"/>
    <cellStyle name="Normal 2 2 2 2 2 2 2 2 2 2 2 17 2 9" xfId="6664"/>
    <cellStyle name="Normal 2 2 2 2 2 2 2 2 2 2 2 17 3" xfId="6665"/>
    <cellStyle name="Normal 2 2 2 2 2 2 2 2 2 2 2 17 4" xfId="6666"/>
    <cellStyle name="Normal 2 2 2 2 2 2 2 2 2 2 2 17 5" xfId="6667"/>
    <cellStyle name="Normal 2 2 2 2 2 2 2 2 2 2 2 17 5 2" xfId="6668"/>
    <cellStyle name="Normal 2 2 2 2 2 2 2 2 2 2 2 17 5 2 2" xfId="6669"/>
    <cellStyle name="Normal 2 2 2 2 2 2 2 2 2 2 2 17 5 2 3" xfId="6670"/>
    <cellStyle name="Normal 2 2 2 2 2 2 2 2 2 2 2 17 5 2 4" xfId="6671"/>
    <cellStyle name="Normal 2 2 2 2 2 2 2 2 2 2 2 17 5 3" xfId="6672"/>
    <cellStyle name="Normal 2 2 2 2 2 2 2 2 2 2 2 17 5 4" xfId="6673"/>
    <cellStyle name="Normal 2 2 2 2 2 2 2 2 2 2 2 17 5 5" xfId="6674"/>
    <cellStyle name="Normal 2 2 2 2 2 2 2 2 2 2 2 17 5 6" xfId="6675"/>
    <cellStyle name="Normal 2 2 2 2 2 2 2 2 2 2 2 17 6" xfId="6676"/>
    <cellStyle name="Normal 2 2 2 2 2 2 2 2 2 2 2 17 7" xfId="6677"/>
    <cellStyle name="Normal 2 2 2 2 2 2 2 2 2 2 2 17 8" xfId="6678"/>
    <cellStyle name="Normal 2 2 2 2 2 2 2 2 2 2 2 17 9" xfId="6679"/>
    <cellStyle name="Normal 2 2 2 2 2 2 2 2 2 2 2 18" xfId="6680"/>
    <cellStyle name="Normal 2 2 2 2 2 2 2 2 2 2 2 19" xfId="6681"/>
    <cellStyle name="Normal 2 2 2 2 2 2 2 2 2 2 2 19 10" xfId="6682"/>
    <cellStyle name="Normal 2 2 2 2 2 2 2 2 2 2 2 19 11" xfId="6683"/>
    <cellStyle name="Normal 2 2 2 2 2 2 2 2 2 2 2 19 2" xfId="6684"/>
    <cellStyle name="Normal 2 2 2 2 2 2 2 2 2 2 2 19 2 10" xfId="6685"/>
    <cellStyle name="Normal 2 2 2 2 2 2 2 2 2 2 2 19 2 11" xfId="6686"/>
    <cellStyle name="Normal 2 2 2 2 2 2 2 2 2 2 2 19 2 2" xfId="6687"/>
    <cellStyle name="Normal 2 2 2 2 2 2 2 2 2 2 2 19 2 2 2" xfId="6688"/>
    <cellStyle name="Normal 2 2 2 2 2 2 2 2 2 2 2 19 2 2 2 2" xfId="6689"/>
    <cellStyle name="Normal 2 2 2 2 2 2 2 2 2 2 2 19 2 2 2 3" xfId="6690"/>
    <cellStyle name="Normal 2 2 2 2 2 2 2 2 2 2 2 19 2 2 2 4" xfId="6691"/>
    <cellStyle name="Normal 2 2 2 2 2 2 2 2 2 2 2 19 2 2 3" xfId="6692"/>
    <cellStyle name="Normal 2 2 2 2 2 2 2 2 2 2 2 19 2 2 4" xfId="6693"/>
    <cellStyle name="Normal 2 2 2 2 2 2 2 2 2 2 2 19 2 2 5" xfId="6694"/>
    <cellStyle name="Normal 2 2 2 2 2 2 2 2 2 2 2 19 2 2 6" xfId="6695"/>
    <cellStyle name="Normal 2 2 2 2 2 2 2 2 2 2 2 19 2 3" xfId="6696"/>
    <cellStyle name="Normal 2 2 2 2 2 2 2 2 2 2 2 19 2 4" xfId="6697"/>
    <cellStyle name="Normal 2 2 2 2 2 2 2 2 2 2 2 19 2 5" xfId="6698"/>
    <cellStyle name="Normal 2 2 2 2 2 2 2 2 2 2 2 19 2 6" xfId="6699"/>
    <cellStyle name="Normal 2 2 2 2 2 2 2 2 2 2 2 19 2 7" xfId="6700"/>
    <cellStyle name="Normal 2 2 2 2 2 2 2 2 2 2 2 19 2 8" xfId="6701"/>
    <cellStyle name="Normal 2 2 2 2 2 2 2 2 2 2 2 19 2 8 2" xfId="6702"/>
    <cellStyle name="Normal 2 2 2 2 2 2 2 2 2 2 2 19 2 8 3" xfId="6703"/>
    <cellStyle name="Normal 2 2 2 2 2 2 2 2 2 2 2 19 2 8 4" xfId="6704"/>
    <cellStyle name="Normal 2 2 2 2 2 2 2 2 2 2 2 19 2 9" xfId="6705"/>
    <cellStyle name="Normal 2 2 2 2 2 2 2 2 2 2 2 19 3" xfId="6706"/>
    <cellStyle name="Normal 2 2 2 2 2 2 2 2 2 2 2 19 3 2" xfId="6707"/>
    <cellStyle name="Normal 2 2 2 2 2 2 2 2 2 2 2 19 3 2 2" xfId="6708"/>
    <cellStyle name="Normal 2 2 2 2 2 2 2 2 2 2 2 19 3 2 3" xfId="6709"/>
    <cellStyle name="Normal 2 2 2 2 2 2 2 2 2 2 2 19 3 2 4" xfId="6710"/>
    <cellStyle name="Normal 2 2 2 2 2 2 2 2 2 2 2 19 3 3" xfId="6711"/>
    <cellStyle name="Normal 2 2 2 2 2 2 2 2 2 2 2 19 3 4" xfId="6712"/>
    <cellStyle name="Normal 2 2 2 2 2 2 2 2 2 2 2 19 3 5" xfId="6713"/>
    <cellStyle name="Normal 2 2 2 2 2 2 2 2 2 2 2 19 3 6" xfId="6714"/>
    <cellStyle name="Normal 2 2 2 2 2 2 2 2 2 2 2 19 4" xfId="6715"/>
    <cellStyle name="Normal 2 2 2 2 2 2 2 2 2 2 2 19 5" xfId="6716"/>
    <cellStyle name="Normal 2 2 2 2 2 2 2 2 2 2 2 19 6" xfId="6717"/>
    <cellStyle name="Normal 2 2 2 2 2 2 2 2 2 2 2 19 7" xfId="6718"/>
    <cellStyle name="Normal 2 2 2 2 2 2 2 2 2 2 2 19 8" xfId="6719"/>
    <cellStyle name="Normal 2 2 2 2 2 2 2 2 2 2 2 19 8 2" xfId="6720"/>
    <cellStyle name="Normal 2 2 2 2 2 2 2 2 2 2 2 19 8 3" xfId="6721"/>
    <cellStyle name="Normal 2 2 2 2 2 2 2 2 2 2 2 19 8 4" xfId="6722"/>
    <cellStyle name="Normal 2 2 2 2 2 2 2 2 2 2 2 19 9" xfId="6723"/>
    <cellStyle name="Normal 2 2 2 2 2 2 2 2 2 2 2 2" xfId="6724"/>
    <cellStyle name="Normal 2 2 2 2 2 2 2 2 2 2 2 2 10" xfId="6725"/>
    <cellStyle name="Normal 2 2 2 2 2 2 2 2 2 2 2 2 11" xfId="6726"/>
    <cellStyle name="Normal 2 2 2 2 2 2 2 2 2 2 2 2 12" xfId="6727"/>
    <cellStyle name="Normal 2 2 2 2 2 2 2 2 2 2 2 2 13" xfId="6728"/>
    <cellStyle name="Normal 2 2 2 2 2 2 2 2 2 2 2 2 14" xfId="6729"/>
    <cellStyle name="Normal 2 2 2 2 2 2 2 2 2 2 2 2 15" xfId="6730"/>
    <cellStyle name="Normal 2 2 2 2 2 2 2 2 2 2 2 2 16" xfId="6731"/>
    <cellStyle name="Normal 2 2 2 2 2 2 2 2 2 2 2 2 17" xfId="6732"/>
    <cellStyle name="Normal 2 2 2 2 2 2 2 2 2 2 2 2 17 10" xfId="6733"/>
    <cellStyle name="Normal 2 2 2 2 2 2 2 2 2 2 2 2 17 11" xfId="6734"/>
    <cellStyle name="Normal 2 2 2 2 2 2 2 2 2 2 2 2 17 11 2" xfId="6735"/>
    <cellStyle name="Normal 2 2 2 2 2 2 2 2 2 2 2 2 17 11 3" xfId="6736"/>
    <cellStyle name="Normal 2 2 2 2 2 2 2 2 2 2 2 2 17 11 4" xfId="6737"/>
    <cellStyle name="Normal 2 2 2 2 2 2 2 2 2 2 2 2 17 12" xfId="6738"/>
    <cellStyle name="Normal 2 2 2 2 2 2 2 2 2 2 2 2 17 13" xfId="6739"/>
    <cellStyle name="Normal 2 2 2 2 2 2 2 2 2 2 2 2 17 14" xfId="6740"/>
    <cellStyle name="Normal 2 2 2 2 2 2 2 2 2 2 2 2 17 2" xfId="6741"/>
    <cellStyle name="Normal 2 2 2 2 2 2 2 2 2 2 2 2 17 2 10" xfId="6742"/>
    <cellStyle name="Normal 2 2 2 2 2 2 2 2 2 2 2 2 17 2 11" xfId="6743"/>
    <cellStyle name="Normal 2 2 2 2 2 2 2 2 2 2 2 2 17 2 2" xfId="6744"/>
    <cellStyle name="Normal 2 2 2 2 2 2 2 2 2 2 2 2 17 2 2 10" xfId="6745"/>
    <cellStyle name="Normal 2 2 2 2 2 2 2 2 2 2 2 2 17 2 2 11" xfId="6746"/>
    <cellStyle name="Normal 2 2 2 2 2 2 2 2 2 2 2 2 17 2 2 2" xfId="6747"/>
    <cellStyle name="Normal 2 2 2 2 2 2 2 2 2 2 2 2 17 2 2 2 2" xfId="6748"/>
    <cellStyle name="Normal 2 2 2 2 2 2 2 2 2 2 2 2 17 2 2 2 2 2" xfId="6749"/>
    <cellStyle name="Normal 2 2 2 2 2 2 2 2 2 2 2 2 17 2 2 2 2 3" xfId="6750"/>
    <cellStyle name="Normal 2 2 2 2 2 2 2 2 2 2 2 2 17 2 2 2 2 4" xfId="6751"/>
    <cellStyle name="Normal 2 2 2 2 2 2 2 2 2 2 2 2 17 2 2 2 3" xfId="6752"/>
    <cellStyle name="Normal 2 2 2 2 2 2 2 2 2 2 2 2 17 2 2 2 4" xfId="6753"/>
    <cellStyle name="Normal 2 2 2 2 2 2 2 2 2 2 2 2 17 2 2 2 5" xfId="6754"/>
    <cellStyle name="Normal 2 2 2 2 2 2 2 2 2 2 2 2 17 2 2 2 6" xfId="6755"/>
    <cellStyle name="Normal 2 2 2 2 2 2 2 2 2 2 2 2 17 2 2 3" xfId="6756"/>
    <cellStyle name="Normal 2 2 2 2 2 2 2 2 2 2 2 2 17 2 2 4" xfId="6757"/>
    <cellStyle name="Normal 2 2 2 2 2 2 2 2 2 2 2 2 17 2 2 5" xfId="6758"/>
    <cellStyle name="Normal 2 2 2 2 2 2 2 2 2 2 2 2 17 2 2 6" xfId="6759"/>
    <cellStyle name="Normal 2 2 2 2 2 2 2 2 2 2 2 2 17 2 2 7" xfId="6760"/>
    <cellStyle name="Normal 2 2 2 2 2 2 2 2 2 2 2 2 17 2 2 8" xfId="6761"/>
    <cellStyle name="Normal 2 2 2 2 2 2 2 2 2 2 2 2 17 2 2 8 2" xfId="6762"/>
    <cellStyle name="Normal 2 2 2 2 2 2 2 2 2 2 2 2 17 2 2 8 3" xfId="6763"/>
    <cellStyle name="Normal 2 2 2 2 2 2 2 2 2 2 2 2 17 2 2 8 4" xfId="6764"/>
    <cellStyle name="Normal 2 2 2 2 2 2 2 2 2 2 2 2 17 2 2 9" xfId="6765"/>
    <cellStyle name="Normal 2 2 2 2 2 2 2 2 2 2 2 2 17 2 3" xfId="6766"/>
    <cellStyle name="Normal 2 2 2 2 2 2 2 2 2 2 2 2 17 2 3 2" xfId="6767"/>
    <cellStyle name="Normal 2 2 2 2 2 2 2 2 2 2 2 2 17 2 3 2 2" xfId="6768"/>
    <cellStyle name="Normal 2 2 2 2 2 2 2 2 2 2 2 2 17 2 3 2 3" xfId="6769"/>
    <cellStyle name="Normal 2 2 2 2 2 2 2 2 2 2 2 2 17 2 3 2 4" xfId="6770"/>
    <cellStyle name="Normal 2 2 2 2 2 2 2 2 2 2 2 2 17 2 3 3" xfId="6771"/>
    <cellStyle name="Normal 2 2 2 2 2 2 2 2 2 2 2 2 17 2 3 4" xfId="6772"/>
    <cellStyle name="Normal 2 2 2 2 2 2 2 2 2 2 2 2 17 2 3 5" xfId="6773"/>
    <cellStyle name="Normal 2 2 2 2 2 2 2 2 2 2 2 2 17 2 3 6" xfId="6774"/>
    <cellStyle name="Normal 2 2 2 2 2 2 2 2 2 2 2 2 17 2 4" xfId="6775"/>
    <cellStyle name="Normal 2 2 2 2 2 2 2 2 2 2 2 2 17 2 5" xfId="6776"/>
    <cellStyle name="Normal 2 2 2 2 2 2 2 2 2 2 2 2 17 2 6" xfId="6777"/>
    <cellStyle name="Normal 2 2 2 2 2 2 2 2 2 2 2 2 17 2 7" xfId="6778"/>
    <cellStyle name="Normal 2 2 2 2 2 2 2 2 2 2 2 2 17 2 8" xfId="6779"/>
    <cellStyle name="Normal 2 2 2 2 2 2 2 2 2 2 2 2 17 2 8 2" xfId="6780"/>
    <cellStyle name="Normal 2 2 2 2 2 2 2 2 2 2 2 2 17 2 8 3" xfId="6781"/>
    <cellStyle name="Normal 2 2 2 2 2 2 2 2 2 2 2 2 17 2 8 4" xfId="6782"/>
    <cellStyle name="Normal 2 2 2 2 2 2 2 2 2 2 2 2 17 2 9" xfId="6783"/>
    <cellStyle name="Normal 2 2 2 2 2 2 2 2 2 2 2 2 17 3" xfId="6784"/>
    <cellStyle name="Normal 2 2 2 2 2 2 2 2 2 2 2 2 17 4" xfId="6785"/>
    <cellStyle name="Normal 2 2 2 2 2 2 2 2 2 2 2 2 17 5" xfId="6786"/>
    <cellStyle name="Normal 2 2 2 2 2 2 2 2 2 2 2 2 17 5 2" xfId="6787"/>
    <cellStyle name="Normal 2 2 2 2 2 2 2 2 2 2 2 2 17 5 2 2" xfId="6788"/>
    <cellStyle name="Normal 2 2 2 2 2 2 2 2 2 2 2 2 17 5 2 3" xfId="6789"/>
    <cellStyle name="Normal 2 2 2 2 2 2 2 2 2 2 2 2 17 5 2 4" xfId="6790"/>
    <cellStyle name="Normal 2 2 2 2 2 2 2 2 2 2 2 2 17 5 3" xfId="6791"/>
    <cellStyle name="Normal 2 2 2 2 2 2 2 2 2 2 2 2 17 5 4" xfId="6792"/>
    <cellStyle name="Normal 2 2 2 2 2 2 2 2 2 2 2 2 17 5 5" xfId="6793"/>
    <cellStyle name="Normal 2 2 2 2 2 2 2 2 2 2 2 2 17 5 6" xfId="6794"/>
    <cellStyle name="Normal 2 2 2 2 2 2 2 2 2 2 2 2 17 6" xfId="6795"/>
    <cellStyle name="Normal 2 2 2 2 2 2 2 2 2 2 2 2 17 7" xfId="6796"/>
    <cellStyle name="Normal 2 2 2 2 2 2 2 2 2 2 2 2 17 8" xfId="6797"/>
    <cellStyle name="Normal 2 2 2 2 2 2 2 2 2 2 2 2 17 9" xfId="6798"/>
    <cellStyle name="Normal 2 2 2 2 2 2 2 2 2 2 2 2 18" xfId="6799"/>
    <cellStyle name="Normal 2 2 2 2 2 2 2 2 2 2 2 2 19" xfId="6800"/>
    <cellStyle name="Normal 2 2 2 2 2 2 2 2 2 2 2 2 19 10" xfId="6801"/>
    <cellStyle name="Normal 2 2 2 2 2 2 2 2 2 2 2 2 19 11" xfId="6802"/>
    <cellStyle name="Normal 2 2 2 2 2 2 2 2 2 2 2 2 19 2" xfId="6803"/>
    <cellStyle name="Normal 2 2 2 2 2 2 2 2 2 2 2 2 19 2 10" xfId="6804"/>
    <cellStyle name="Normal 2 2 2 2 2 2 2 2 2 2 2 2 19 2 11" xfId="6805"/>
    <cellStyle name="Normal 2 2 2 2 2 2 2 2 2 2 2 2 19 2 2" xfId="6806"/>
    <cellStyle name="Normal 2 2 2 2 2 2 2 2 2 2 2 2 19 2 2 2" xfId="6807"/>
    <cellStyle name="Normal 2 2 2 2 2 2 2 2 2 2 2 2 19 2 2 2 2" xfId="6808"/>
    <cellStyle name="Normal 2 2 2 2 2 2 2 2 2 2 2 2 19 2 2 2 3" xfId="6809"/>
    <cellStyle name="Normal 2 2 2 2 2 2 2 2 2 2 2 2 19 2 2 2 4" xfId="6810"/>
    <cellStyle name="Normal 2 2 2 2 2 2 2 2 2 2 2 2 19 2 2 3" xfId="6811"/>
    <cellStyle name="Normal 2 2 2 2 2 2 2 2 2 2 2 2 19 2 2 4" xfId="6812"/>
    <cellStyle name="Normal 2 2 2 2 2 2 2 2 2 2 2 2 19 2 2 5" xfId="6813"/>
    <cellStyle name="Normal 2 2 2 2 2 2 2 2 2 2 2 2 19 2 2 6" xfId="6814"/>
    <cellStyle name="Normal 2 2 2 2 2 2 2 2 2 2 2 2 19 2 3" xfId="6815"/>
    <cellStyle name="Normal 2 2 2 2 2 2 2 2 2 2 2 2 19 2 4" xfId="6816"/>
    <cellStyle name="Normal 2 2 2 2 2 2 2 2 2 2 2 2 19 2 5" xfId="6817"/>
    <cellStyle name="Normal 2 2 2 2 2 2 2 2 2 2 2 2 19 2 6" xfId="6818"/>
    <cellStyle name="Normal 2 2 2 2 2 2 2 2 2 2 2 2 19 2 7" xfId="6819"/>
    <cellStyle name="Normal 2 2 2 2 2 2 2 2 2 2 2 2 19 2 8" xfId="6820"/>
    <cellStyle name="Normal 2 2 2 2 2 2 2 2 2 2 2 2 19 2 8 2" xfId="6821"/>
    <cellStyle name="Normal 2 2 2 2 2 2 2 2 2 2 2 2 19 2 8 3" xfId="6822"/>
    <cellStyle name="Normal 2 2 2 2 2 2 2 2 2 2 2 2 19 2 8 4" xfId="6823"/>
    <cellStyle name="Normal 2 2 2 2 2 2 2 2 2 2 2 2 19 2 9" xfId="6824"/>
    <cellStyle name="Normal 2 2 2 2 2 2 2 2 2 2 2 2 19 3" xfId="6825"/>
    <cellStyle name="Normal 2 2 2 2 2 2 2 2 2 2 2 2 19 3 2" xfId="6826"/>
    <cellStyle name="Normal 2 2 2 2 2 2 2 2 2 2 2 2 19 3 2 2" xfId="6827"/>
    <cellStyle name="Normal 2 2 2 2 2 2 2 2 2 2 2 2 19 3 2 3" xfId="6828"/>
    <cellStyle name="Normal 2 2 2 2 2 2 2 2 2 2 2 2 19 3 2 4" xfId="6829"/>
    <cellStyle name="Normal 2 2 2 2 2 2 2 2 2 2 2 2 19 3 3" xfId="6830"/>
    <cellStyle name="Normal 2 2 2 2 2 2 2 2 2 2 2 2 19 3 4" xfId="6831"/>
    <cellStyle name="Normal 2 2 2 2 2 2 2 2 2 2 2 2 19 3 5" xfId="6832"/>
    <cellStyle name="Normal 2 2 2 2 2 2 2 2 2 2 2 2 19 3 6" xfId="6833"/>
    <cellStyle name="Normal 2 2 2 2 2 2 2 2 2 2 2 2 19 4" xfId="6834"/>
    <cellStyle name="Normal 2 2 2 2 2 2 2 2 2 2 2 2 19 5" xfId="6835"/>
    <cellStyle name="Normal 2 2 2 2 2 2 2 2 2 2 2 2 19 6" xfId="6836"/>
    <cellStyle name="Normal 2 2 2 2 2 2 2 2 2 2 2 2 19 7" xfId="6837"/>
    <cellStyle name="Normal 2 2 2 2 2 2 2 2 2 2 2 2 19 8" xfId="6838"/>
    <cellStyle name="Normal 2 2 2 2 2 2 2 2 2 2 2 2 19 8 2" xfId="6839"/>
    <cellStyle name="Normal 2 2 2 2 2 2 2 2 2 2 2 2 19 8 3" xfId="6840"/>
    <cellStyle name="Normal 2 2 2 2 2 2 2 2 2 2 2 2 19 8 4" xfId="6841"/>
    <cellStyle name="Normal 2 2 2 2 2 2 2 2 2 2 2 2 19 9" xfId="6842"/>
    <cellStyle name="Normal 2 2 2 2 2 2 2 2 2 2 2 2 2" xfId="6843"/>
    <cellStyle name="Normal 2 2 2 2 2 2 2 2 2 2 2 2 2 10" xfId="6844"/>
    <cellStyle name="Normal 2 2 2 2 2 2 2 2 2 2 2 2 2 11" xfId="6845"/>
    <cellStyle name="Normal 2 2 2 2 2 2 2 2 2 2 2 2 2 12" xfId="6846"/>
    <cellStyle name="Normal 2 2 2 2 2 2 2 2 2 2 2 2 2 13" xfId="6847"/>
    <cellStyle name="Normal 2 2 2 2 2 2 2 2 2 2 2 2 2 14" xfId="6848"/>
    <cellStyle name="Normal 2 2 2 2 2 2 2 2 2 2 2 2 2 15" xfId="6849"/>
    <cellStyle name="Normal 2 2 2 2 2 2 2 2 2 2 2 2 2 16" xfId="6850"/>
    <cellStyle name="Normal 2 2 2 2 2 2 2 2 2 2 2 2 2 16 10" xfId="6851"/>
    <cellStyle name="Normal 2 2 2 2 2 2 2 2 2 2 2 2 2 16 11" xfId="6852"/>
    <cellStyle name="Normal 2 2 2 2 2 2 2 2 2 2 2 2 2 16 11 2" xfId="6853"/>
    <cellStyle name="Normal 2 2 2 2 2 2 2 2 2 2 2 2 2 16 11 3" xfId="6854"/>
    <cellStyle name="Normal 2 2 2 2 2 2 2 2 2 2 2 2 2 16 11 4" xfId="6855"/>
    <cellStyle name="Normal 2 2 2 2 2 2 2 2 2 2 2 2 2 16 12" xfId="6856"/>
    <cellStyle name="Normal 2 2 2 2 2 2 2 2 2 2 2 2 2 16 13" xfId="6857"/>
    <cellStyle name="Normal 2 2 2 2 2 2 2 2 2 2 2 2 2 16 14" xfId="6858"/>
    <cellStyle name="Normal 2 2 2 2 2 2 2 2 2 2 2 2 2 16 2" xfId="6859"/>
    <cellStyle name="Normal 2 2 2 2 2 2 2 2 2 2 2 2 2 16 2 10" xfId="6860"/>
    <cellStyle name="Normal 2 2 2 2 2 2 2 2 2 2 2 2 2 16 2 11" xfId="6861"/>
    <cellStyle name="Normal 2 2 2 2 2 2 2 2 2 2 2 2 2 16 2 2" xfId="6862"/>
    <cellStyle name="Normal 2 2 2 2 2 2 2 2 2 2 2 2 2 16 2 2 10" xfId="6863"/>
    <cellStyle name="Normal 2 2 2 2 2 2 2 2 2 2 2 2 2 16 2 2 11" xfId="6864"/>
    <cellStyle name="Normal 2 2 2 2 2 2 2 2 2 2 2 2 2 16 2 2 2" xfId="6865"/>
    <cellStyle name="Normal 2 2 2 2 2 2 2 2 2 2 2 2 2 16 2 2 2 2" xfId="6866"/>
    <cellStyle name="Normal 2 2 2 2 2 2 2 2 2 2 2 2 2 16 2 2 2 2 2" xfId="6867"/>
    <cellStyle name="Normal 2 2 2 2 2 2 2 2 2 2 2 2 2 16 2 2 2 2 3" xfId="6868"/>
    <cellStyle name="Normal 2 2 2 2 2 2 2 2 2 2 2 2 2 16 2 2 2 2 4" xfId="6869"/>
    <cellStyle name="Normal 2 2 2 2 2 2 2 2 2 2 2 2 2 16 2 2 2 3" xfId="6870"/>
    <cellStyle name="Normal 2 2 2 2 2 2 2 2 2 2 2 2 2 16 2 2 2 4" xfId="6871"/>
    <cellStyle name="Normal 2 2 2 2 2 2 2 2 2 2 2 2 2 16 2 2 2 5" xfId="6872"/>
    <cellStyle name="Normal 2 2 2 2 2 2 2 2 2 2 2 2 2 16 2 2 2 6" xfId="6873"/>
    <cellStyle name="Normal 2 2 2 2 2 2 2 2 2 2 2 2 2 16 2 2 3" xfId="6874"/>
    <cellStyle name="Normal 2 2 2 2 2 2 2 2 2 2 2 2 2 16 2 2 4" xfId="6875"/>
    <cellStyle name="Normal 2 2 2 2 2 2 2 2 2 2 2 2 2 16 2 2 5" xfId="6876"/>
    <cellStyle name="Normal 2 2 2 2 2 2 2 2 2 2 2 2 2 16 2 2 6" xfId="6877"/>
    <cellStyle name="Normal 2 2 2 2 2 2 2 2 2 2 2 2 2 16 2 2 7" xfId="6878"/>
    <cellStyle name="Normal 2 2 2 2 2 2 2 2 2 2 2 2 2 16 2 2 8" xfId="6879"/>
    <cellStyle name="Normal 2 2 2 2 2 2 2 2 2 2 2 2 2 16 2 2 8 2" xfId="6880"/>
    <cellStyle name="Normal 2 2 2 2 2 2 2 2 2 2 2 2 2 16 2 2 8 3" xfId="6881"/>
    <cellStyle name="Normal 2 2 2 2 2 2 2 2 2 2 2 2 2 16 2 2 8 4" xfId="6882"/>
    <cellStyle name="Normal 2 2 2 2 2 2 2 2 2 2 2 2 2 16 2 2 9" xfId="6883"/>
    <cellStyle name="Normal 2 2 2 2 2 2 2 2 2 2 2 2 2 16 2 3" xfId="6884"/>
    <cellStyle name="Normal 2 2 2 2 2 2 2 2 2 2 2 2 2 16 2 3 2" xfId="6885"/>
    <cellStyle name="Normal 2 2 2 2 2 2 2 2 2 2 2 2 2 16 2 3 2 2" xfId="6886"/>
    <cellStyle name="Normal 2 2 2 2 2 2 2 2 2 2 2 2 2 16 2 3 2 3" xfId="6887"/>
    <cellStyle name="Normal 2 2 2 2 2 2 2 2 2 2 2 2 2 16 2 3 2 4" xfId="6888"/>
    <cellStyle name="Normal 2 2 2 2 2 2 2 2 2 2 2 2 2 16 2 3 3" xfId="6889"/>
    <cellStyle name="Normal 2 2 2 2 2 2 2 2 2 2 2 2 2 16 2 3 4" xfId="6890"/>
    <cellStyle name="Normal 2 2 2 2 2 2 2 2 2 2 2 2 2 16 2 3 5" xfId="6891"/>
    <cellStyle name="Normal 2 2 2 2 2 2 2 2 2 2 2 2 2 16 2 3 6" xfId="6892"/>
    <cellStyle name="Normal 2 2 2 2 2 2 2 2 2 2 2 2 2 16 2 4" xfId="6893"/>
    <cellStyle name="Normal 2 2 2 2 2 2 2 2 2 2 2 2 2 16 2 5" xfId="6894"/>
    <cellStyle name="Normal 2 2 2 2 2 2 2 2 2 2 2 2 2 16 2 6" xfId="6895"/>
    <cellStyle name="Normal 2 2 2 2 2 2 2 2 2 2 2 2 2 16 2 7" xfId="6896"/>
    <cellStyle name="Normal 2 2 2 2 2 2 2 2 2 2 2 2 2 16 2 8" xfId="6897"/>
    <cellStyle name="Normal 2 2 2 2 2 2 2 2 2 2 2 2 2 16 2 8 2" xfId="6898"/>
    <cellStyle name="Normal 2 2 2 2 2 2 2 2 2 2 2 2 2 16 2 8 3" xfId="6899"/>
    <cellStyle name="Normal 2 2 2 2 2 2 2 2 2 2 2 2 2 16 2 8 4" xfId="6900"/>
    <cellStyle name="Normal 2 2 2 2 2 2 2 2 2 2 2 2 2 16 2 9" xfId="6901"/>
    <cellStyle name="Normal 2 2 2 2 2 2 2 2 2 2 2 2 2 16 3" xfId="6902"/>
    <cellStyle name="Normal 2 2 2 2 2 2 2 2 2 2 2 2 2 16 4" xfId="6903"/>
    <cellStyle name="Normal 2 2 2 2 2 2 2 2 2 2 2 2 2 16 5" xfId="6904"/>
    <cellStyle name="Normal 2 2 2 2 2 2 2 2 2 2 2 2 2 16 5 2" xfId="6905"/>
    <cellStyle name="Normal 2 2 2 2 2 2 2 2 2 2 2 2 2 16 5 2 2" xfId="6906"/>
    <cellStyle name="Normal 2 2 2 2 2 2 2 2 2 2 2 2 2 16 5 2 3" xfId="6907"/>
    <cellStyle name="Normal 2 2 2 2 2 2 2 2 2 2 2 2 2 16 5 2 4" xfId="6908"/>
    <cellStyle name="Normal 2 2 2 2 2 2 2 2 2 2 2 2 2 16 5 3" xfId="6909"/>
    <cellStyle name="Normal 2 2 2 2 2 2 2 2 2 2 2 2 2 16 5 4" xfId="6910"/>
    <cellStyle name="Normal 2 2 2 2 2 2 2 2 2 2 2 2 2 16 5 5" xfId="6911"/>
    <cellStyle name="Normal 2 2 2 2 2 2 2 2 2 2 2 2 2 16 5 6" xfId="6912"/>
    <cellStyle name="Normal 2 2 2 2 2 2 2 2 2 2 2 2 2 16 6" xfId="6913"/>
    <cellStyle name="Normal 2 2 2 2 2 2 2 2 2 2 2 2 2 16 7" xfId="6914"/>
    <cellStyle name="Normal 2 2 2 2 2 2 2 2 2 2 2 2 2 16 8" xfId="6915"/>
    <cellStyle name="Normal 2 2 2 2 2 2 2 2 2 2 2 2 2 16 9" xfId="6916"/>
    <cellStyle name="Normal 2 2 2 2 2 2 2 2 2 2 2 2 2 17" xfId="6917"/>
    <cellStyle name="Normal 2 2 2 2 2 2 2 2 2 2 2 2 2 18" xfId="6918"/>
    <cellStyle name="Normal 2 2 2 2 2 2 2 2 2 2 2 2 2 18 10" xfId="6919"/>
    <cellStyle name="Normal 2 2 2 2 2 2 2 2 2 2 2 2 2 18 11" xfId="6920"/>
    <cellStyle name="Normal 2 2 2 2 2 2 2 2 2 2 2 2 2 18 2" xfId="6921"/>
    <cellStyle name="Normal 2 2 2 2 2 2 2 2 2 2 2 2 2 18 2 10" xfId="6922"/>
    <cellStyle name="Normal 2 2 2 2 2 2 2 2 2 2 2 2 2 18 2 11" xfId="6923"/>
    <cellStyle name="Normal 2 2 2 2 2 2 2 2 2 2 2 2 2 18 2 2" xfId="6924"/>
    <cellStyle name="Normal 2 2 2 2 2 2 2 2 2 2 2 2 2 18 2 2 2" xfId="6925"/>
    <cellStyle name="Normal 2 2 2 2 2 2 2 2 2 2 2 2 2 18 2 2 2 2" xfId="6926"/>
    <cellStyle name="Normal 2 2 2 2 2 2 2 2 2 2 2 2 2 18 2 2 2 3" xfId="6927"/>
    <cellStyle name="Normal 2 2 2 2 2 2 2 2 2 2 2 2 2 18 2 2 2 4" xfId="6928"/>
    <cellStyle name="Normal 2 2 2 2 2 2 2 2 2 2 2 2 2 18 2 2 3" xfId="6929"/>
    <cellStyle name="Normal 2 2 2 2 2 2 2 2 2 2 2 2 2 18 2 2 4" xfId="6930"/>
    <cellStyle name="Normal 2 2 2 2 2 2 2 2 2 2 2 2 2 18 2 2 5" xfId="6931"/>
    <cellStyle name="Normal 2 2 2 2 2 2 2 2 2 2 2 2 2 18 2 2 6" xfId="6932"/>
    <cellStyle name="Normal 2 2 2 2 2 2 2 2 2 2 2 2 2 18 2 3" xfId="6933"/>
    <cellStyle name="Normal 2 2 2 2 2 2 2 2 2 2 2 2 2 18 2 4" xfId="6934"/>
    <cellStyle name="Normal 2 2 2 2 2 2 2 2 2 2 2 2 2 18 2 5" xfId="6935"/>
    <cellStyle name="Normal 2 2 2 2 2 2 2 2 2 2 2 2 2 18 2 6" xfId="6936"/>
    <cellStyle name="Normal 2 2 2 2 2 2 2 2 2 2 2 2 2 18 2 7" xfId="6937"/>
    <cellStyle name="Normal 2 2 2 2 2 2 2 2 2 2 2 2 2 18 2 8" xfId="6938"/>
    <cellStyle name="Normal 2 2 2 2 2 2 2 2 2 2 2 2 2 18 2 8 2" xfId="6939"/>
    <cellStyle name="Normal 2 2 2 2 2 2 2 2 2 2 2 2 2 18 2 8 3" xfId="6940"/>
    <cellStyle name="Normal 2 2 2 2 2 2 2 2 2 2 2 2 2 18 2 8 4" xfId="6941"/>
    <cellStyle name="Normal 2 2 2 2 2 2 2 2 2 2 2 2 2 18 2 9" xfId="6942"/>
    <cellStyle name="Normal 2 2 2 2 2 2 2 2 2 2 2 2 2 18 3" xfId="6943"/>
    <cellStyle name="Normal 2 2 2 2 2 2 2 2 2 2 2 2 2 18 3 2" xfId="6944"/>
    <cellStyle name="Normal 2 2 2 2 2 2 2 2 2 2 2 2 2 18 3 2 2" xfId="6945"/>
    <cellStyle name="Normal 2 2 2 2 2 2 2 2 2 2 2 2 2 18 3 2 3" xfId="6946"/>
    <cellStyle name="Normal 2 2 2 2 2 2 2 2 2 2 2 2 2 18 3 2 4" xfId="6947"/>
    <cellStyle name="Normal 2 2 2 2 2 2 2 2 2 2 2 2 2 18 3 3" xfId="6948"/>
    <cellStyle name="Normal 2 2 2 2 2 2 2 2 2 2 2 2 2 18 3 4" xfId="6949"/>
    <cellStyle name="Normal 2 2 2 2 2 2 2 2 2 2 2 2 2 18 3 5" xfId="6950"/>
    <cellStyle name="Normal 2 2 2 2 2 2 2 2 2 2 2 2 2 18 3 6" xfId="6951"/>
    <cellStyle name="Normal 2 2 2 2 2 2 2 2 2 2 2 2 2 18 4" xfId="6952"/>
    <cellStyle name="Normal 2 2 2 2 2 2 2 2 2 2 2 2 2 18 5" xfId="6953"/>
    <cellStyle name="Normal 2 2 2 2 2 2 2 2 2 2 2 2 2 18 6" xfId="6954"/>
    <cellStyle name="Normal 2 2 2 2 2 2 2 2 2 2 2 2 2 18 7" xfId="6955"/>
    <cellStyle name="Normal 2 2 2 2 2 2 2 2 2 2 2 2 2 18 8" xfId="6956"/>
    <cellStyle name="Normal 2 2 2 2 2 2 2 2 2 2 2 2 2 18 8 2" xfId="6957"/>
    <cellStyle name="Normal 2 2 2 2 2 2 2 2 2 2 2 2 2 18 8 3" xfId="6958"/>
    <cellStyle name="Normal 2 2 2 2 2 2 2 2 2 2 2 2 2 18 8 4" xfId="6959"/>
    <cellStyle name="Normal 2 2 2 2 2 2 2 2 2 2 2 2 2 18 9" xfId="6960"/>
    <cellStyle name="Normal 2 2 2 2 2 2 2 2 2 2 2 2 2 19" xfId="6961"/>
    <cellStyle name="Normal 2 2 2 2 2 2 2 2 2 2 2 2 2 2" xfId="6962"/>
    <cellStyle name="Normal 2 2 2 2 2 2 2 2 2 2 2 2 2 2 10" xfId="6963"/>
    <cellStyle name="Normal 2 2 2 2 2 2 2 2 2 2 2 2 2 2 11" xfId="6964"/>
    <cellStyle name="Normal 2 2 2 2 2 2 2 2 2 2 2 2 2 2 12" xfId="6965"/>
    <cellStyle name="Normal 2 2 2 2 2 2 2 2 2 2 2 2 2 2 13" xfId="6966"/>
    <cellStyle name="Normal 2 2 2 2 2 2 2 2 2 2 2 2 2 2 14" xfId="6967"/>
    <cellStyle name="Normal 2 2 2 2 2 2 2 2 2 2 2 2 2 2 15" xfId="6968"/>
    <cellStyle name="Normal 2 2 2 2 2 2 2 2 2 2 2 2 2 2 16" xfId="6969"/>
    <cellStyle name="Normal 2 2 2 2 2 2 2 2 2 2 2 2 2 2 16 10" xfId="6970"/>
    <cellStyle name="Normal 2 2 2 2 2 2 2 2 2 2 2 2 2 2 16 11" xfId="6971"/>
    <cellStyle name="Normal 2 2 2 2 2 2 2 2 2 2 2 2 2 2 16 11 2" xfId="6972"/>
    <cellStyle name="Normal 2 2 2 2 2 2 2 2 2 2 2 2 2 2 16 11 3" xfId="6973"/>
    <cellStyle name="Normal 2 2 2 2 2 2 2 2 2 2 2 2 2 2 16 11 4" xfId="6974"/>
    <cellStyle name="Normal 2 2 2 2 2 2 2 2 2 2 2 2 2 2 16 12" xfId="6975"/>
    <cellStyle name="Normal 2 2 2 2 2 2 2 2 2 2 2 2 2 2 16 13" xfId="6976"/>
    <cellStyle name="Normal 2 2 2 2 2 2 2 2 2 2 2 2 2 2 16 14" xfId="6977"/>
    <cellStyle name="Normal 2 2 2 2 2 2 2 2 2 2 2 2 2 2 16 2" xfId="6978"/>
    <cellStyle name="Normal 2 2 2 2 2 2 2 2 2 2 2 2 2 2 16 2 10" xfId="6979"/>
    <cellStyle name="Normal 2 2 2 2 2 2 2 2 2 2 2 2 2 2 16 2 11" xfId="6980"/>
    <cellStyle name="Normal 2 2 2 2 2 2 2 2 2 2 2 2 2 2 16 2 2" xfId="6981"/>
    <cellStyle name="Normal 2 2 2 2 2 2 2 2 2 2 2 2 2 2 16 2 2 10" xfId="6982"/>
    <cellStyle name="Normal 2 2 2 2 2 2 2 2 2 2 2 2 2 2 16 2 2 11" xfId="6983"/>
    <cellStyle name="Normal 2 2 2 2 2 2 2 2 2 2 2 2 2 2 16 2 2 2" xfId="6984"/>
    <cellStyle name="Normal 2 2 2 2 2 2 2 2 2 2 2 2 2 2 16 2 2 2 2" xfId="6985"/>
    <cellStyle name="Normal 2 2 2 2 2 2 2 2 2 2 2 2 2 2 16 2 2 2 2 2" xfId="6986"/>
    <cellStyle name="Normal 2 2 2 2 2 2 2 2 2 2 2 2 2 2 16 2 2 2 2 3" xfId="6987"/>
    <cellStyle name="Normal 2 2 2 2 2 2 2 2 2 2 2 2 2 2 16 2 2 2 2 4" xfId="6988"/>
    <cellStyle name="Normal 2 2 2 2 2 2 2 2 2 2 2 2 2 2 16 2 2 2 3" xfId="6989"/>
    <cellStyle name="Normal 2 2 2 2 2 2 2 2 2 2 2 2 2 2 16 2 2 2 4" xfId="6990"/>
    <cellStyle name="Normal 2 2 2 2 2 2 2 2 2 2 2 2 2 2 16 2 2 2 5" xfId="6991"/>
    <cellStyle name="Normal 2 2 2 2 2 2 2 2 2 2 2 2 2 2 16 2 2 2 6" xfId="6992"/>
    <cellStyle name="Normal 2 2 2 2 2 2 2 2 2 2 2 2 2 2 16 2 2 3" xfId="6993"/>
    <cellStyle name="Normal 2 2 2 2 2 2 2 2 2 2 2 2 2 2 16 2 2 4" xfId="6994"/>
    <cellStyle name="Normal 2 2 2 2 2 2 2 2 2 2 2 2 2 2 16 2 2 5" xfId="6995"/>
    <cellStyle name="Normal 2 2 2 2 2 2 2 2 2 2 2 2 2 2 16 2 2 6" xfId="6996"/>
    <cellStyle name="Normal 2 2 2 2 2 2 2 2 2 2 2 2 2 2 16 2 2 7" xfId="6997"/>
    <cellStyle name="Normal 2 2 2 2 2 2 2 2 2 2 2 2 2 2 16 2 2 8" xfId="6998"/>
    <cellStyle name="Normal 2 2 2 2 2 2 2 2 2 2 2 2 2 2 16 2 2 8 2" xfId="6999"/>
    <cellStyle name="Normal 2 2 2 2 2 2 2 2 2 2 2 2 2 2 16 2 2 8 3" xfId="7000"/>
    <cellStyle name="Normal 2 2 2 2 2 2 2 2 2 2 2 2 2 2 16 2 2 8 4" xfId="7001"/>
    <cellStyle name="Normal 2 2 2 2 2 2 2 2 2 2 2 2 2 2 16 2 2 9" xfId="7002"/>
    <cellStyle name="Normal 2 2 2 2 2 2 2 2 2 2 2 2 2 2 16 2 3" xfId="7003"/>
    <cellStyle name="Normal 2 2 2 2 2 2 2 2 2 2 2 2 2 2 16 2 3 2" xfId="7004"/>
    <cellStyle name="Normal 2 2 2 2 2 2 2 2 2 2 2 2 2 2 16 2 3 2 2" xfId="7005"/>
    <cellStyle name="Normal 2 2 2 2 2 2 2 2 2 2 2 2 2 2 16 2 3 2 3" xfId="7006"/>
    <cellStyle name="Normal 2 2 2 2 2 2 2 2 2 2 2 2 2 2 16 2 3 2 4" xfId="7007"/>
    <cellStyle name="Normal 2 2 2 2 2 2 2 2 2 2 2 2 2 2 16 2 3 3" xfId="7008"/>
    <cellStyle name="Normal 2 2 2 2 2 2 2 2 2 2 2 2 2 2 16 2 3 4" xfId="7009"/>
    <cellStyle name="Normal 2 2 2 2 2 2 2 2 2 2 2 2 2 2 16 2 3 5" xfId="7010"/>
    <cellStyle name="Normal 2 2 2 2 2 2 2 2 2 2 2 2 2 2 16 2 3 6" xfId="7011"/>
    <cellStyle name="Normal 2 2 2 2 2 2 2 2 2 2 2 2 2 2 16 2 4" xfId="7012"/>
    <cellStyle name="Normal 2 2 2 2 2 2 2 2 2 2 2 2 2 2 16 2 5" xfId="7013"/>
    <cellStyle name="Normal 2 2 2 2 2 2 2 2 2 2 2 2 2 2 16 2 6" xfId="7014"/>
    <cellStyle name="Normal 2 2 2 2 2 2 2 2 2 2 2 2 2 2 16 2 7" xfId="7015"/>
    <cellStyle name="Normal 2 2 2 2 2 2 2 2 2 2 2 2 2 2 16 2 8" xfId="7016"/>
    <cellStyle name="Normal 2 2 2 2 2 2 2 2 2 2 2 2 2 2 16 2 8 2" xfId="7017"/>
    <cellStyle name="Normal 2 2 2 2 2 2 2 2 2 2 2 2 2 2 16 2 8 3" xfId="7018"/>
    <cellStyle name="Normal 2 2 2 2 2 2 2 2 2 2 2 2 2 2 16 2 8 4" xfId="7019"/>
    <cellStyle name="Normal 2 2 2 2 2 2 2 2 2 2 2 2 2 2 16 2 9" xfId="7020"/>
    <cellStyle name="Normal 2 2 2 2 2 2 2 2 2 2 2 2 2 2 16 3" xfId="7021"/>
    <cellStyle name="Normal 2 2 2 2 2 2 2 2 2 2 2 2 2 2 16 4" xfId="7022"/>
    <cellStyle name="Normal 2 2 2 2 2 2 2 2 2 2 2 2 2 2 16 5" xfId="7023"/>
    <cellStyle name="Normal 2 2 2 2 2 2 2 2 2 2 2 2 2 2 16 5 2" xfId="7024"/>
    <cellStyle name="Normal 2 2 2 2 2 2 2 2 2 2 2 2 2 2 16 5 2 2" xfId="7025"/>
    <cellStyle name="Normal 2 2 2 2 2 2 2 2 2 2 2 2 2 2 16 5 2 3" xfId="7026"/>
    <cellStyle name="Normal 2 2 2 2 2 2 2 2 2 2 2 2 2 2 16 5 2 4" xfId="7027"/>
    <cellStyle name="Normal 2 2 2 2 2 2 2 2 2 2 2 2 2 2 16 5 3" xfId="7028"/>
    <cellStyle name="Normal 2 2 2 2 2 2 2 2 2 2 2 2 2 2 16 5 4" xfId="7029"/>
    <cellStyle name="Normal 2 2 2 2 2 2 2 2 2 2 2 2 2 2 16 5 5" xfId="7030"/>
    <cellStyle name="Normal 2 2 2 2 2 2 2 2 2 2 2 2 2 2 16 5 6" xfId="7031"/>
    <cellStyle name="Normal 2 2 2 2 2 2 2 2 2 2 2 2 2 2 16 6" xfId="7032"/>
    <cellStyle name="Normal 2 2 2 2 2 2 2 2 2 2 2 2 2 2 16 7" xfId="7033"/>
    <cellStyle name="Normal 2 2 2 2 2 2 2 2 2 2 2 2 2 2 16 8" xfId="7034"/>
    <cellStyle name="Normal 2 2 2 2 2 2 2 2 2 2 2 2 2 2 16 9" xfId="7035"/>
    <cellStyle name="Normal 2 2 2 2 2 2 2 2 2 2 2 2 2 2 17" xfId="7036"/>
    <cellStyle name="Normal 2 2 2 2 2 2 2 2 2 2 2 2 2 2 18" xfId="7037"/>
    <cellStyle name="Normal 2 2 2 2 2 2 2 2 2 2 2 2 2 2 18 10" xfId="7038"/>
    <cellStyle name="Normal 2 2 2 2 2 2 2 2 2 2 2 2 2 2 18 11" xfId="7039"/>
    <cellStyle name="Normal 2 2 2 2 2 2 2 2 2 2 2 2 2 2 18 2" xfId="7040"/>
    <cellStyle name="Normal 2 2 2 2 2 2 2 2 2 2 2 2 2 2 18 2 10" xfId="7041"/>
    <cellStyle name="Normal 2 2 2 2 2 2 2 2 2 2 2 2 2 2 18 2 11" xfId="7042"/>
    <cellStyle name="Normal 2 2 2 2 2 2 2 2 2 2 2 2 2 2 18 2 2" xfId="7043"/>
    <cellStyle name="Normal 2 2 2 2 2 2 2 2 2 2 2 2 2 2 18 2 2 2" xfId="7044"/>
    <cellStyle name="Normal 2 2 2 2 2 2 2 2 2 2 2 2 2 2 18 2 2 2 2" xfId="7045"/>
    <cellStyle name="Normal 2 2 2 2 2 2 2 2 2 2 2 2 2 2 18 2 2 2 3" xfId="7046"/>
    <cellStyle name="Normal 2 2 2 2 2 2 2 2 2 2 2 2 2 2 18 2 2 2 4" xfId="7047"/>
    <cellStyle name="Normal 2 2 2 2 2 2 2 2 2 2 2 2 2 2 18 2 2 3" xfId="7048"/>
    <cellStyle name="Normal 2 2 2 2 2 2 2 2 2 2 2 2 2 2 18 2 2 4" xfId="7049"/>
    <cellStyle name="Normal 2 2 2 2 2 2 2 2 2 2 2 2 2 2 18 2 2 5" xfId="7050"/>
    <cellStyle name="Normal 2 2 2 2 2 2 2 2 2 2 2 2 2 2 18 2 2 6" xfId="7051"/>
    <cellStyle name="Normal 2 2 2 2 2 2 2 2 2 2 2 2 2 2 18 2 3" xfId="7052"/>
    <cellStyle name="Normal 2 2 2 2 2 2 2 2 2 2 2 2 2 2 18 2 4" xfId="7053"/>
    <cellStyle name="Normal 2 2 2 2 2 2 2 2 2 2 2 2 2 2 18 2 5" xfId="7054"/>
    <cellStyle name="Normal 2 2 2 2 2 2 2 2 2 2 2 2 2 2 18 2 6" xfId="7055"/>
    <cellStyle name="Normal 2 2 2 2 2 2 2 2 2 2 2 2 2 2 18 2 7" xfId="7056"/>
    <cellStyle name="Normal 2 2 2 2 2 2 2 2 2 2 2 2 2 2 18 2 8" xfId="7057"/>
    <cellStyle name="Normal 2 2 2 2 2 2 2 2 2 2 2 2 2 2 18 2 8 2" xfId="7058"/>
    <cellStyle name="Normal 2 2 2 2 2 2 2 2 2 2 2 2 2 2 18 2 8 3" xfId="7059"/>
    <cellStyle name="Normal 2 2 2 2 2 2 2 2 2 2 2 2 2 2 18 2 8 4" xfId="7060"/>
    <cellStyle name="Normal 2 2 2 2 2 2 2 2 2 2 2 2 2 2 18 2 9" xfId="7061"/>
    <cellStyle name="Normal 2 2 2 2 2 2 2 2 2 2 2 2 2 2 18 3" xfId="7062"/>
    <cellStyle name="Normal 2 2 2 2 2 2 2 2 2 2 2 2 2 2 18 3 2" xfId="7063"/>
    <cellStyle name="Normal 2 2 2 2 2 2 2 2 2 2 2 2 2 2 18 3 2 2" xfId="7064"/>
    <cellStyle name="Normal 2 2 2 2 2 2 2 2 2 2 2 2 2 2 18 3 2 3" xfId="7065"/>
    <cellStyle name="Normal 2 2 2 2 2 2 2 2 2 2 2 2 2 2 18 3 2 4" xfId="7066"/>
    <cellStyle name="Normal 2 2 2 2 2 2 2 2 2 2 2 2 2 2 18 3 3" xfId="7067"/>
    <cellStyle name="Normal 2 2 2 2 2 2 2 2 2 2 2 2 2 2 18 3 4" xfId="7068"/>
    <cellStyle name="Normal 2 2 2 2 2 2 2 2 2 2 2 2 2 2 18 3 5" xfId="7069"/>
    <cellStyle name="Normal 2 2 2 2 2 2 2 2 2 2 2 2 2 2 18 3 6" xfId="7070"/>
    <cellStyle name="Normal 2 2 2 2 2 2 2 2 2 2 2 2 2 2 18 4" xfId="7071"/>
    <cellStyle name="Normal 2 2 2 2 2 2 2 2 2 2 2 2 2 2 18 5" xfId="7072"/>
    <cellStyle name="Normal 2 2 2 2 2 2 2 2 2 2 2 2 2 2 18 6" xfId="7073"/>
    <cellStyle name="Normal 2 2 2 2 2 2 2 2 2 2 2 2 2 2 18 7" xfId="7074"/>
    <cellStyle name="Normal 2 2 2 2 2 2 2 2 2 2 2 2 2 2 18 8" xfId="7075"/>
    <cellStyle name="Normal 2 2 2 2 2 2 2 2 2 2 2 2 2 2 18 8 2" xfId="7076"/>
    <cellStyle name="Normal 2 2 2 2 2 2 2 2 2 2 2 2 2 2 18 8 3" xfId="7077"/>
    <cellStyle name="Normal 2 2 2 2 2 2 2 2 2 2 2 2 2 2 18 8 4" xfId="7078"/>
    <cellStyle name="Normal 2 2 2 2 2 2 2 2 2 2 2 2 2 2 18 9" xfId="7079"/>
    <cellStyle name="Normal 2 2 2 2 2 2 2 2 2 2 2 2 2 2 19" xfId="7080"/>
    <cellStyle name="Normal 2 2 2 2 2 2 2 2 2 2 2 2 2 2 2" xfId="7081"/>
    <cellStyle name="Normal 2 2 2 2 2 2 2 2 2 2 2 2 2 2 2 10" xfId="7082"/>
    <cellStyle name="Normal 2 2 2 2 2 2 2 2 2 2 2 2 2 2 2 11" xfId="7083"/>
    <cellStyle name="Normal 2 2 2 2 2 2 2 2 2 2 2 2 2 2 2 12" xfId="7084"/>
    <cellStyle name="Normal 2 2 2 2 2 2 2 2 2 2 2 2 2 2 2 12 10" xfId="7085"/>
    <cellStyle name="Normal 2 2 2 2 2 2 2 2 2 2 2 2 2 2 2 12 11" xfId="7086"/>
    <cellStyle name="Normal 2 2 2 2 2 2 2 2 2 2 2 2 2 2 2 12 11 2" xfId="7087"/>
    <cellStyle name="Normal 2 2 2 2 2 2 2 2 2 2 2 2 2 2 2 12 11 3" xfId="7088"/>
    <cellStyle name="Normal 2 2 2 2 2 2 2 2 2 2 2 2 2 2 2 12 11 4" xfId="7089"/>
    <cellStyle name="Normal 2 2 2 2 2 2 2 2 2 2 2 2 2 2 2 12 12" xfId="7090"/>
    <cellStyle name="Normal 2 2 2 2 2 2 2 2 2 2 2 2 2 2 2 12 13" xfId="7091"/>
    <cellStyle name="Normal 2 2 2 2 2 2 2 2 2 2 2 2 2 2 2 12 14" xfId="7092"/>
    <cellStyle name="Normal 2 2 2 2 2 2 2 2 2 2 2 2 2 2 2 12 2" xfId="7093"/>
    <cellStyle name="Normal 2 2 2 2 2 2 2 2 2 2 2 2 2 2 2 12 2 10" xfId="7094"/>
    <cellStyle name="Normal 2 2 2 2 2 2 2 2 2 2 2 2 2 2 2 12 2 11" xfId="7095"/>
    <cellStyle name="Normal 2 2 2 2 2 2 2 2 2 2 2 2 2 2 2 12 2 2" xfId="7096"/>
    <cellStyle name="Normal 2 2 2 2 2 2 2 2 2 2 2 2 2 2 2 12 2 2 10" xfId="7097"/>
    <cellStyle name="Normal 2 2 2 2 2 2 2 2 2 2 2 2 2 2 2 12 2 2 11" xfId="7098"/>
    <cellStyle name="Normal 2 2 2 2 2 2 2 2 2 2 2 2 2 2 2 12 2 2 2" xfId="7099"/>
    <cellStyle name="Normal 2 2 2 2 2 2 2 2 2 2 2 2 2 2 2 12 2 2 2 2" xfId="7100"/>
    <cellStyle name="Normal 2 2 2 2 2 2 2 2 2 2 2 2 2 2 2 12 2 2 2 2 2" xfId="7101"/>
    <cellStyle name="Normal 2 2 2 2 2 2 2 2 2 2 2 2 2 2 2 12 2 2 2 2 3" xfId="7102"/>
    <cellStyle name="Normal 2 2 2 2 2 2 2 2 2 2 2 2 2 2 2 12 2 2 2 2 4" xfId="7103"/>
    <cellStyle name="Normal 2 2 2 2 2 2 2 2 2 2 2 2 2 2 2 12 2 2 2 3" xfId="7104"/>
    <cellStyle name="Normal 2 2 2 2 2 2 2 2 2 2 2 2 2 2 2 12 2 2 2 4" xfId="7105"/>
    <cellStyle name="Normal 2 2 2 2 2 2 2 2 2 2 2 2 2 2 2 12 2 2 2 5" xfId="7106"/>
    <cellStyle name="Normal 2 2 2 2 2 2 2 2 2 2 2 2 2 2 2 12 2 2 2 6" xfId="7107"/>
    <cellStyle name="Normal 2 2 2 2 2 2 2 2 2 2 2 2 2 2 2 12 2 2 3" xfId="7108"/>
    <cellStyle name="Normal 2 2 2 2 2 2 2 2 2 2 2 2 2 2 2 12 2 2 4" xfId="7109"/>
    <cellStyle name="Normal 2 2 2 2 2 2 2 2 2 2 2 2 2 2 2 12 2 2 5" xfId="7110"/>
    <cellStyle name="Normal 2 2 2 2 2 2 2 2 2 2 2 2 2 2 2 12 2 2 6" xfId="7111"/>
    <cellStyle name="Normal 2 2 2 2 2 2 2 2 2 2 2 2 2 2 2 12 2 2 7" xfId="7112"/>
    <cellStyle name="Normal 2 2 2 2 2 2 2 2 2 2 2 2 2 2 2 12 2 2 8" xfId="7113"/>
    <cellStyle name="Normal 2 2 2 2 2 2 2 2 2 2 2 2 2 2 2 12 2 2 8 2" xfId="7114"/>
    <cellStyle name="Normal 2 2 2 2 2 2 2 2 2 2 2 2 2 2 2 12 2 2 8 3" xfId="7115"/>
    <cellStyle name="Normal 2 2 2 2 2 2 2 2 2 2 2 2 2 2 2 12 2 2 8 4" xfId="7116"/>
    <cellStyle name="Normal 2 2 2 2 2 2 2 2 2 2 2 2 2 2 2 12 2 2 9" xfId="7117"/>
    <cellStyle name="Normal 2 2 2 2 2 2 2 2 2 2 2 2 2 2 2 12 2 3" xfId="7118"/>
    <cellStyle name="Normal 2 2 2 2 2 2 2 2 2 2 2 2 2 2 2 12 2 3 2" xfId="7119"/>
    <cellStyle name="Normal 2 2 2 2 2 2 2 2 2 2 2 2 2 2 2 12 2 3 2 2" xfId="7120"/>
    <cellStyle name="Normal 2 2 2 2 2 2 2 2 2 2 2 2 2 2 2 12 2 3 2 3" xfId="7121"/>
    <cellStyle name="Normal 2 2 2 2 2 2 2 2 2 2 2 2 2 2 2 12 2 3 2 4" xfId="7122"/>
    <cellStyle name="Normal 2 2 2 2 2 2 2 2 2 2 2 2 2 2 2 12 2 3 3" xfId="7123"/>
    <cellStyle name="Normal 2 2 2 2 2 2 2 2 2 2 2 2 2 2 2 12 2 3 4" xfId="7124"/>
    <cellStyle name="Normal 2 2 2 2 2 2 2 2 2 2 2 2 2 2 2 12 2 3 5" xfId="7125"/>
    <cellStyle name="Normal 2 2 2 2 2 2 2 2 2 2 2 2 2 2 2 12 2 3 6" xfId="7126"/>
    <cellStyle name="Normal 2 2 2 2 2 2 2 2 2 2 2 2 2 2 2 12 2 4" xfId="7127"/>
    <cellStyle name="Normal 2 2 2 2 2 2 2 2 2 2 2 2 2 2 2 12 2 5" xfId="7128"/>
    <cellStyle name="Normal 2 2 2 2 2 2 2 2 2 2 2 2 2 2 2 12 2 6" xfId="7129"/>
    <cellStyle name="Normal 2 2 2 2 2 2 2 2 2 2 2 2 2 2 2 12 2 7" xfId="7130"/>
    <cellStyle name="Normal 2 2 2 2 2 2 2 2 2 2 2 2 2 2 2 12 2 8" xfId="7131"/>
    <cellStyle name="Normal 2 2 2 2 2 2 2 2 2 2 2 2 2 2 2 12 2 8 2" xfId="7132"/>
    <cellStyle name="Normal 2 2 2 2 2 2 2 2 2 2 2 2 2 2 2 12 2 8 3" xfId="7133"/>
    <cellStyle name="Normal 2 2 2 2 2 2 2 2 2 2 2 2 2 2 2 12 2 8 4" xfId="7134"/>
    <cellStyle name="Normal 2 2 2 2 2 2 2 2 2 2 2 2 2 2 2 12 2 9" xfId="7135"/>
    <cellStyle name="Normal 2 2 2 2 2 2 2 2 2 2 2 2 2 2 2 12 3" xfId="7136"/>
    <cellStyle name="Normal 2 2 2 2 2 2 2 2 2 2 2 2 2 2 2 12 4" xfId="7137"/>
    <cellStyle name="Normal 2 2 2 2 2 2 2 2 2 2 2 2 2 2 2 12 5" xfId="7138"/>
    <cellStyle name="Normal 2 2 2 2 2 2 2 2 2 2 2 2 2 2 2 12 5 2" xfId="7139"/>
    <cellStyle name="Normal 2 2 2 2 2 2 2 2 2 2 2 2 2 2 2 12 5 2 2" xfId="7140"/>
    <cellStyle name="Normal 2 2 2 2 2 2 2 2 2 2 2 2 2 2 2 12 5 2 3" xfId="7141"/>
    <cellStyle name="Normal 2 2 2 2 2 2 2 2 2 2 2 2 2 2 2 12 5 2 4" xfId="7142"/>
    <cellStyle name="Normal 2 2 2 2 2 2 2 2 2 2 2 2 2 2 2 12 5 3" xfId="7143"/>
    <cellStyle name="Normal 2 2 2 2 2 2 2 2 2 2 2 2 2 2 2 12 5 4" xfId="7144"/>
    <cellStyle name="Normal 2 2 2 2 2 2 2 2 2 2 2 2 2 2 2 12 5 5" xfId="7145"/>
    <cellStyle name="Normal 2 2 2 2 2 2 2 2 2 2 2 2 2 2 2 12 5 6" xfId="7146"/>
    <cellStyle name="Normal 2 2 2 2 2 2 2 2 2 2 2 2 2 2 2 12 6" xfId="7147"/>
    <cellStyle name="Normal 2 2 2 2 2 2 2 2 2 2 2 2 2 2 2 12 7" xfId="7148"/>
    <cellStyle name="Normal 2 2 2 2 2 2 2 2 2 2 2 2 2 2 2 12 8" xfId="7149"/>
    <cellStyle name="Normal 2 2 2 2 2 2 2 2 2 2 2 2 2 2 2 12 9" xfId="7150"/>
    <cellStyle name="Normal 2 2 2 2 2 2 2 2 2 2 2 2 2 2 2 13" xfId="7151"/>
    <cellStyle name="Normal 2 2 2 2 2 2 2 2 2 2 2 2 2 2 2 14" xfId="7152"/>
    <cellStyle name="Normal 2 2 2 2 2 2 2 2 2 2 2 2 2 2 2 14 10" xfId="7153"/>
    <cellStyle name="Normal 2 2 2 2 2 2 2 2 2 2 2 2 2 2 2 14 11" xfId="7154"/>
    <cellStyle name="Normal 2 2 2 2 2 2 2 2 2 2 2 2 2 2 2 14 2" xfId="7155"/>
    <cellStyle name="Normal 2 2 2 2 2 2 2 2 2 2 2 2 2 2 2 14 2 10" xfId="7156"/>
    <cellStyle name="Normal 2 2 2 2 2 2 2 2 2 2 2 2 2 2 2 14 2 11" xfId="7157"/>
    <cellStyle name="Normal 2 2 2 2 2 2 2 2 2 2 2 2 2 2 2 14 2 2" xfId="7158"/>
    <cellStyle name="Normal 2 2 2 2 2 2 2 2 2 2 2 2 2 2 2 14 2 2 2" xfId="7159"/>
    <cellStyle name="Normal 2 2 2 2 2 2 2 2 2 2 2 2 2 2 2 14 2 2 2 2" xfId="7160"/>
    <cellStyle name="Normal 2 2 2 2 2 2 2 2 2 2 2 2 2 2 2 14 2 2 2 3" xfId="7161"/>
    <cellStyle name="Normal 2 2 2 2 2 2 2 2 2 2 2 2 2 2 2 14 2 2 2 4" xfId="7162"/>
    <cellStyle name="Normal 2 2 2 2 2 2 2 2 2 2 2 2 2 2 2 14 2 2 3" xfId="7163"/>
    <cellStyle name="Normal 2 2 2 2 2 2 2 2 2 2 2 2 2 2 2 14 2 2 4" xfId="7164"/>
    <cellStyle name="Normal 2 2 2 2 2 2 2 2 2 2 2 2 2 2 2 14 2 2 5" xfId="7165"/>
    <cellStyle name="Normal 2 2 2 2 2 2 2 2 2 2 2 2 2 2 2 14 2 2 6" xfId="7166"/>
    <cellStyle name="Normal 2 2 2 2 2 2 2 2 2 2 2 2 2 2 2 14 2 3" xfId="7167"/>
    <cellStyle name="Normal 2 2 2 2 2 2 2 2 2 2 2 2 2 2 2 14 2 4" xfId="7168"/>
    <cellStyle name="Normal 2 2 2 2 2 2 2 2 2 2 2 2 2 2 2 14 2 5" xfId="7169"/>
    <cellStyle name="Normal 2 2 2 2 2 2 2 2 2 2 2 2 2 2 2 14 2 6" xfId="7170"/>
    <cellStyle name="Normal 2 2 2 2 2 2 2 2 2 2 2 2 2 2 2 14 2 7" xfId="7171"/>
    <cellStyle name="Normal 2 2 2 2 2 2 2 2 2 2 2 2 2 2 2 14 2 8" xfId="7172"/>
    <cellStyle name="Normal 2 2 2 2 2 2 2 2 2 2 2 2 2 2 2 14 2 8 2" xfId="7173"/>
    <cellStyle name="Normal 2 2 2 2 2 2 2 2 2 2 2 2 2 2 2 14 2 8 3" xfId="7174"/>
    <cellStyle name="Normal 2 2 2 2 2 2 2 2 2 2 2 2 2 2 2 14 2 8 4" xfId="7175"/>
    <cellStyle name="Normal 2 2 2 2 2 2 2 2 2 2 2 2 2 2 2 14 2 9" xfId="7176"/>
    <cellStyle name="Normal 2 2 2 2 2 2 2 2 2 2 2 2 2 2 2 14 3" xfId="7177"/>
    <cellStyle name="Normal 2 2 2 2 2 2 2 2 2 2 2 2 2 2 2 14 3 2" xfId="7178"/>
    <cellStyle name="Normal 2 2 2 2 2 2 2 2 2 2 2 2 2 2 2 14 3 2 2" xfId="7179"/>
    <cellStyle name="Normal 2 2 2 2 2 2 2 2 2 2 2 2 2 2 2 14 3 2 3" xfId="7180"/>
    <cellStyle name="Normal 2 2 2 2 2 2 2 2 2 2 2 2 2 2 2 14 3 2 4" xfId="7181"/>
    <cellStyle name="Normal 2 2 2 2 2 2 2 2 2 2 2 2 2 2 2 14 3 3" xfId="7182"/>
    <cellStyle name="Normal 2 2 2 2 2 2 2 2 2 2 2 2 2 2 2 14 3 4" xfId="7183"/>
    <cellStyle name="Normal 2 2 2 2 2 2 2 2 2 2 2 2 2 2 2 14 3 5" xfId="7184"/>
    <cellStyle name="Normal 2 2 2 2 2 2 2 2 2 2 2 2 2 2 2 14 3 6" xfId="7185"/>
    <cellStyle name="Normal 2 2 2 2 2 2 2 2 2 2 2 2 2 2 2 14 4" xfId="7186"/>
    <cellStyle name="Normal 2 2 2 2 2 2 2 2 2 2 2 2 2 2 2 14 5" xfId="7187"/>
    <cellStyle name="Normal 2 2 2 2 2 2 2 2 2 2 2 2 2 2 2 14 6" xfId="7188"/>
    <cellStyle name="Normal 2 2 2 2 2 2 2 2 2 2 2 2 2 2 2 14 7" xfId="7189"/>
    <cellStyle name="Normal 2 2 2 2 2 2 2 2 2 2 2 2 2 2 2 14 8" xfId="7190"/>
    <cellStyle name="Normal 2 2 2 2 2 2 2 2 2 2 2 2 2 2 2 14 8 2" xfId="7191"/>
    <cellStyle name="Normal 2 2 2 2 2 2 2 2 2 2 2 2 2 2 2 14 8 3" xfId="7192"/>
    <cellStyle name="Normal 2 2 2 2 2 2 2 2 2 2 2 2 2 2 2 14 8 4" xfId="7193"/>
    <cellStyle name="Normal 2 2 2 2 2 2 2 2 2 2 2 2 2 2 2 14 9" xfId="7194"/>
    <cellStyle name="Normal 2 2 2 2 2 2 2 2 2 2 2 2 2 2 2 15" xfId="7195"/>
    <cellStyle name="Normal 2 2 2 2 2 2 2 2 2 2 2 2 2 2 2 16" xfId="7196"/>
    <cellStyle name="Normal 2 2 2 2 2 2 2 2 2 2 2 2 2 2 2 16 2" xfId="7197"/>
    <cellStyle name="Normal 2 2 2 2 2 2 2 2 2 2 2 2 2 2 2 16 2 2" xfId="7198"/>
    <cellStyle name="Normal 2 2 2 2 2 2 2 2 2 2 2 2 2 2 2 16 2 3" xfId="7199"/>
    <cellStyle name="Normal 2 2 2 2 2 2 2 2 2 2 2 2 2 2 2 16 2 4" xfId="7200"/>
    <cellStyle name="Normal 2 2 2 2 2 2 2 2 2 2 2 2 2 2 2 16 3" xfId="7201"/>
    <cellStyle name="Normal 2 2 2 2 2 2 2 2 2 2 2 2 2 2 2 16 4" xfId="7202"/>
    <cellStyle name="Normal 2 2 2 2 2 2 2 2 2 2 2 2 2 2 2 16 5" xfId="7203"/>
    <cellStyle name="Normal 2 2 2 2 2 2 2 2 2 2 2 2 2 2 2 16 6" xfId="7204"/>
    <cellStyle name="Normal 2 2 2 2 2 2 2 2 2 2 2 2 2 2 2 17" xfId="7205"/>
    <cellStyle name="Normal 2 2 2 2 2 2 2 2 2 2 2 2 2 2 2 18" xfId="7206"/>
    <cellStyle name="Normal 2 2 2 2 2 2 2 2 2 2 2 2 2 2 2 19" xfId="7207"/>
    <cellStyle name="Normal 2 2 2 2 2 2 2 2 2 2 2 2 2 2 2 2" xfId="7208"/>
    <cellStyle name="Normal 2 2 2 2 2 2 2 2 2 2 2 2 2 2 2 2 10" xfId="7209"/>
    <cellStyle name="Normal 2 2 2 2 2 2 2 2 2 2 2 2 2 2 2 2 11" xfId="7210"/>
    <cellStyle name="Normal 2 2 2 2 2 2 2 2 2 2 2 2 2 2 2 2 11 10" xfId="7211"/>
    <cellStyle name="Normal 2 2 2 2 2 2 2 2 2 2 2 2 2 2 2 2 11 11" xfId="7212"/>
    <cellStyle name="Normal 2 2 2 2 2 2 2 2 2 2 2 2 2 2 2 2 11 11 2" xfId="7213"/>
    <cellStyle name="Normal 2 2 2 2 2 2 2 2 2 2 2 2 2 2 2 2 11 11 3" xfId="7214"/>
    <cellStyle name="Normal 2 2 2 2 2 2 2 2 2 2 2 2 2 2 2 2 11 11 4" xfId="7215"/>
    <cellStyle name="Normal 2 2 2 2 2 2 2 2 2 2 2 2 2 2 2 2 11 12" xfId="7216"/>
    <cellStyle name="Normal 2 2 2 2 2 2 2 2 2 2 2 2 2 2 2 2 11 13" xfId="7217"/>
    <cellStyle name="Normal 2 2 2 2 2 2 2 2 2 2 2 2 2 2 2 2 11 14" xfId="7218"/>
    <cellStyle name="Normal 2 2 2 2 2 2 2 2 2 2 2 2 2 2 2 2 11 2" xfId="7219"/>
    <cellStyle name="Normal 2 2 2 2 2 2 2 2 2 2 2 2 2 2 2 2 11 2 10" xfId="7220"/>
    <cellStyle name="Normal 2 2 2 2 2 2 2 2 2 2 2 2 2 2 2 2 11 2 11" xfId="7221"/>
    <cellStyle name="Normal 2 2 2 2 2 2 2 2 2 2 2 2 2 2 2 2 11 2 2" xfId="7222"/>
    <cellStyle name="Normal 2 2 2 2 2 2 2 2 2 2 2 2 2 2 2 2 11 2 2 10" xfId="7223"/>
    <cellStyle name="Normal 2 2 2 2 2 2 2 2 2 2 2 2 2 2 2 2 11 2 2 11" xfId="7224"/>
    <cellStyle name="Normal 2 2 2 2 2 2 2 2 2 2 2 2 2 2 2 2 11 2 2 2" xfId="7225"/>
    <cellStyle name="Normal 2 2 2 2 2 2 2 2 2 2 2 2 2 2 2 2 11 2 2 2 2" xfId="7226"/>
    <cellStyle name="Normal 2 2 2 2 2 2 2 2 2 2 2 2 2 2 2 2 11 2 2 2 2 2" xfId="7227"/>
    <cellStyle name="Normal 2 2 2 2 2 2 2 2 2 2 2 2 2 2 2 2 11 2 2 2 2 3" xfId="7228"/>
    <cellStyle name="Normal 2 2 2 2 2 2 2 2 2 2 2 2 2 2 2 2 11 2 2 2 2 4" xfId="7229"/>
    <cellStyle name="Normal 2 2 2 2 2 2 2 2 2 2 2 2 2 2 2 2 11 2 2 2 3" xfId="7230"/>
    <cellStyle name="Normal 2 2 2 2 2 2 2 2 2 2 2 2 2 2 2 2 11 2 2 2 4" xfId="7231"/>
    <cellStyle name="Normal 2 2 2 2 2 2 2 2 2 2 2 2 2 2 2 2 11 2 2 2 5" xfId="7232"/>
    <cellStyle name="Normal 2 2 2 2 2 2 2 2 2 2 2 2 2 2 2 2 11 2 2 2 6" xfId="7233"/>
    <cellStyle name="Normal 2 2 2 2 2 2 2 2 2 2 2 2 2 2 2 2 11 2 2 3" xfId="7234"/>
    <cellStyle name="Normal 2 2 2 2 2 2 2 2 2 2 2 2 2 2 2 2 11 2 2 4" xfId="7235"/>
    <cellStyle name="Normal 2 2 2 2 2 2 2 2 2 2 2 2 2 2 2 2 11 2 2 5" xfId="7236"/>
    <cellStyle name="Normal 2 2 2 2 2 2 2 2 2 2 2 2 2 2 2 2 11 2 2 6" xfId="7237"/>
    <cellStyle name="Normal 2 2 2 2 2 2 2 2 2 2 2 2 2 2 2 2 11 2 2 7" xfId="7238"/>
    <cellStyle name="Normal 2 2 2 2 2 2 2 2 2 2 2 2 2 2 2 2 11 2 2 8" xfId="7239"/>
    <cellStyle name="Normal 2 2 2 2 2 2 2 2 2 2 2 2 2 2 2 2 11 2 2 8 2" xfId="7240"/>
    <cellStyle name="Normal 2 2 2 2 2 2 2 2 2 2 2 2 2 2 2 2 11 2 2 8 3" xfId="7241"/>
    <cellStyle name="Normal 2 2 2 2 2 2 2 2 2 2 2 2 2 2 2 2 11 2 2 8 4" xfId="7242"/>
    <cellStyle name="Normal 2 2 2 2 2 2 2 2 2 2 2 2 2 2 2 2 11 2 2 9" xfId="7243"/>
    <cellStyle name="Normal 2 2 2 2 2 2 2 2 2 2 2 2 2 2 2 2 11 2 3" xfId="7244"/>
    <cellStyle name="Normal 2 2 2 2 2 2 2 2 2 2 2 2 2 2 2 2 11 2 3 2" xfId="7245"/>
    <cellStyle name="Normal 2 2 2 2 2 2 2 2 2 2 2 2 2 2 2 2 11 2 3 2 2" xfId="7246"/>
    <cellStyle name="Normal 2 2 2 2 2 2 2 2 2 2 2 2 2 2 2 2 11 2 3 2 3" xfId="7247"/>
    <cellStyle name="Normal 2 2 2 2 2 2 2 2 2 2 2 2 2 2 2 2 11 2 3 2 4" xfId="7248"/>
    <cellStyle name="Normal 2 2 2 2 2 2 2 2 2 2 2 2 2 2 2 2 11 2 3 3" xfId="7249"/>
    <cellStyle name="Normal 2 2 2 2 2 2 2 2 2 2 2 2 2 2 2 2 11 2 3 4" xfId="7250"/>
    <cellStyle name="Normal 2 2 2 2 2 2 2 2 2 2 2 2 2 2 2 2 11 2 3 5" xfId="7251"/>
    <cellStyle name="Normal 2 2 2 2 2 2 2 2 2 2 2 2 2 2 2 2 11 2 3 6" xfId="7252"/>
    <cellStyle name="Normal 2 2 2 2 2 2 2 2 2 2 2 2 2 2 2 2 11 2 4" xfId="7253"/>
    <cellStyle name="Normal 2 2 2 2 2 2 2 2 2 2 2 2 2 2 2 2 11 2 5" xfId="7254"/>
    <cellStyle name="Normal 2 2 2 2 2 2 2 2 2 2 2 2 2 2 2 2 11 2 6" xfId="7255"/>
    <cellStyle name="Normal 2 2 2 2 2 2 2 2 2 2 2 2 2 2 2 2 11 2 7" xfId="7256"/>
    <cellStyle name="Normal 2 2 2 2 2 2 2 2 2 2 2 2 2 2 2 2 11 2 8" xfId="7257"/>
    <cellStyle name="Normal 2 2 2 2 2 2 2 2 2 2 2 2 2 2 2 2 11 2 8 2" xfId="7258"/>
    <cellStyle name="Normal 2 2 2 2 2 2 2 2 2 2 2 2 2 2 2 2 11 2 8 3" xfId="7259"/>
    <cellStyle name="Normal 2 2 2 2 2 2 2 2 2 2 2 2 2 2 2 2 11 2 8 4" xfId="7260"/>
    <cellStyle name="Normal 2 2 2 2 2 2 2 2 2 2 2 2 2 2 2 2 11 2 9" xfId="7261"/>
    <cellStyle name="Normal 2 2 2 2 2 2 2 2 2 2 2 2 2 2 2 2 11 3" xfId="7262"/>
    <cellStyle name="Normal 2 2 2 2 2 2 2 2 2 2 2 2 2 2 2 2 11 4" xfId="7263"/>
    <cellStyle name="Normal 2 2 2 2 2 2 2 2 2 2 2 2 2 2 2 2 11 5" xfId="7264"/>
    <cellStyle name="Normal 2 2 2 2 2 2 2 2 2 2 2 2 2 2 2 2 11 5 2" xfId="7265"/>
    <cellStyle name="Normal 2 2 2 2 2 2 2 2 2 2 2 2 2 2 2 2 11 5 2 2" xfId="7266"/>
    <cellStyle name="Normal 2 2 2 2 2 2 2 2 2 2 2 2 2 2 2 2 11 5 2 3" xfId="7267"/>
    <cellStyle name="Normal 2 2 2 2 2 2 2 2 2 2 2 2 2 2 2 2 11 5 2 4" xfId="7268"/>
    <cellStyle name="Normal 2 2 2 2 2 2 2 2 2 2 2 2 2 2 2 2 11 5 3" xfId="7269"/>
    <cellStyle name="Normal 2 2 2 2 2 2 2 2 2 2 2 2 2 2 2 2 11 5 4" xfId="7270"/>
    <cellStyle name="Normal 2 2 2 2 2 2 2 2 2 2 2 2 2 2 2 2 11 5 5" xfId="7271"/>
    <cellStyle name="Normal 2 2 2 2 2 2 2 2 2 2 2 2 2 2 2 2 11 5 6" xfId="7272"/>
    <cellStyle name="Normal 2 2 2 2 2 2 2 2 2 2 2 2 2 2 2 2 11 6" xfId="7273"/>
    <cellStyle name="Normal 2 2 2 2 2 2 2 2 2 2 2 2 2 2 2 2 11 7" xfId="7274"/>
    <cellStyle name="Normal 2 2 2 2 2 2 2 2 2 2 2 2 2 2 2 2 11 8" xfId="7275"/>
    <cellStyle name="Normal 2 2 2 2 2 2 2 2 2 2 2 2 2 2 2 2 11 9" xfId="7276"/>
    <cellStyle name="Normal 2 2 2 2 2 2 2 2 2 2 2 2 2 2 2 2 12" xfId="7277"/>
    <cellStyle name="Normal 2 2 2 2 2 2 2 2 2 2 2 2 2 2 2 2 13" xfId="7278"/>
    <cellStyle name="Normal 2 2 2 2 2 2 2 2 2 2 2 2 2 2 2 2 13 10" xfId="7279"/>
    <cellStyle name="Normal 2 2 2 2 2 2 2 2 2 2 2 2 2 2 2 2 13 11" xfId="7280"/>
    <cellStyle name="Normal 2 2 2 2 2 2 2 2 2 2 2 2 2 2 2 2 13 2" xfId="7281"/>
    <cellStyle name="Normal 2 2 2 2 2 2 2 2 2 2 2 2 2 2 2 2 13 2 10" xfId="7282"/>
    <cellStyle name="Normal 2 2 2 2 2 2 2 2 2 2 2 2 2 2 2 2 13 2 11" xfId="7283"/>
    <cellStyle name="Normal 2 2 2 2 2 2 2 2 2 2 2 2 2 2 2 2 13 2 2" xfId="7284"/>
    <cellStyle name="Normal 2 2 2 2 2 2 2 2 2 2 2 2 2 2 2 2 13 2 2 2" xfId="7285"/>
    <cellStyle name="Normal 2 2 2 2 2 2 2 2 2 2 2 2 2 2 2 2 13 2 2 2 2" xfId="7286"/>
    <cellStyle name="Normal 2 2 2 2 2 2 2 2 2 2 2 2 2 2 2 2 13 2 2 2 3" xfId="7287"/>
    <cellStyle name="Normal 2 2 2 2 2 2 2 2 2 2 2 2 2 2 2 2 13 2 2 2 4" xfId="7288"/>
    <cellStyle name="Normal 2 2 2 2 2 2 2 2 2 2 2 2 2 2 2 2 13 2 2 3" xfId="7289"/>
    <cellStyle name="Normal 2 2 2 2 2 2 2 2 2 2 2 2 2 2 2 2 13 2 2 4" xfId="7290"/>
    <cellStyle name="Normal 2 2 2 2 2 2 2 2 2 2 2 2 2 2 2 2 13 2 2 5" xfId="7291"/>
    <cellStyle name="Normal 2 2 2 2 2 2 2 2 2 2 2 2 2 2 2 2 13 2 2 6" xfId="7292"/>
    <cellStyle name="Normal 2 2 2 2 2 2 2 2 2 2 2 2 2 2 2 2 13 2 3" xfId="7293"/>
    <cellStyle name="Normal 2 2 2 2 2 2 2 2 2 2 2 2 2 2 2 2 13 2 4" xfId="7294"/>
    <cellStyle name="Normal 2 2 2 2 2 2 2 2 2 2 2 2 2 2 2 2 13 2 5" xfId="7295"/>
    <cellStyle name="Normal 2 2 2 2 2 2 2 2 2 2 2 2 2 2 2 2 13 2 6" xfId="7296"/>
    <cellStyle name="Normal 2 2 2 2 2 2 2 2 2 2 2 2 2 2 2 2 13 2 7" xfId="7297"/>
    <cellStyle name="Normal 2 2 2 2 2 2 2 2 2 2 2 2 2 2 2 2 13 2 8" xfId="7298"/>
    <cellStyle name="Normal 2 2 2 2 2 2 2 2 2 2 2 2 2 2 2 2 13 2 8 2" xfId="7299"/>
    <cellStyle name="Normal 2 2 2 2 2 2 2 2 2 2 2 2 2 2 2 2 13 2 8 3" xfId="7300"/>
    <cellStyle name="Normal 2 2 2 2 2 2 2 2 2 2 2 2 2 2 2 2 13 2 8 4" xfId="7301"/>
    <cellStyle name="Normal 2 2 2 2 2 2 2 2 2 2 2 2 2 2 2 2 13 2 9" xfId="7302"/>
    <cellStyle name="Normal 2 2 2 2 2 2 2 2 2 2 2 2 2 2 2 2 13 3" xfId="7303"/>
    <cellStyle name="Normal 2 2 2 2 2 2 2 2 2 2 2 2 2 2 2 2 13 3 2" xfId="7304"/>
    <cellStyle name="Normal 2 2 2 2 2 2 2 2 2 2 2 2 2 2 2 2 13 3 2 2" xfId="7305"/>
    <cellStyle name="Normal 2 2 2 2 2 2 2 2 2 2 2 2 2 2 2 2 13 3 2 3" xfId="7306"/>
    <cellStyle name="Normal 2 2 2 2 2 2 2 2 2 2 2 2 2 2 2 2 13 3 2 4" xfId="7307"/>
    <cellStyle name="Normal 2 2 2 2 2 2 2 2 2 2 2 2 2 2 2 2 13 3 3" xfId="7308"/>
    <cellStyle name="Normal 2 2 2 2 2 2 2 2 2 2 2 2 2 2 2 2 13 3 4" xfId="7309"/>
    <cellStyle name="Normal 2 2 2 2 2 2 2 2 2 2 2 2 2 2 2 2 13 3 5" xfId="7310"/>
    <cellStyle name="Normal 2 2 2 2 2 2 2 2 2 2 2 2 2 2 2 2 13 3 6" xfId="7311"/>
    <cellStyle name="Normal 2 2 2 2 2 2 2 2 2 2 2 2 2 2 2 2 13 4" xfId="7312"/>
    <cellStyle name="Normal 2 2 2 2 2 2 2 2 2 2 2 2 2 2 2 2 13 5" xfId="7313"/>
    <cellStyle name="Normal 2 2 2 2 2 2 2 2 2 2 2 2 2 2 2 2 13 6" xfId="7314"/>
    <cellStyle name="Normal 2 2 2 2 2 2 2 2 2 2 2 2 2 2 2 2 13 7" xfId="7315"/>
    <cellStyle name="Normal 2 2 2 2 2 2 2 2 2 2 2 2 2 2 2 2 13 8" xfId="7316"/>
    <cellStyle name="Normal 2 2 2 2 2 2 2 2 2 2 2 2 2 2 2 2 13 8 2" xfId="7317"/>
    <cellStyle name="Normal 2 2 2 2 2 2 2 2 2 2 2 2 2 2 2 2 13 8 3" xfId="7318"/>
    <cellStyle name="Normal 2 2 2 2 2 2 2 2 2 2 2 2 2 2 2 2 13 8 4" xfId="7319"/>
    <cellStyle name="Normal 2 2 2 2 2 2 2 2 2 2 2 2 2 2 2 2 13 9" xfId="7320"/>
    <cellStyle name="Normal 2 2 2 2 2 2 2 2 2 2 2 2 2 2 2 2 14" xfId="7321"/>
    <cellStyle name="Normal 2 2 2 2 2 2 2 2 2 2 2 2 2 2 2 2 15" xfId="7322"/>
    <cellStyle name="Normal 2 2 2 2 2 2 2 2 2 2 2 2 2 2 2 2 15 2" xfId="7323"/>
    <cellStyle name="Normal 2 2 2 2 2 2 2 2 2 2 2 2 2 2 2 2 15 2 2" xfId="7324"/>
    <cellStyle name="Normal 2 2 2 2 2 2 2 2 2 2 2 2 2 2 2 2 15 2 3" xfId="7325"/>
    <cellStyle name="Normal 2 2 2 2 2 2 2 2 2 2 2 2 2 2 2 2 15 2 4" xfId="7326"/>
    <cellStyle name="Normal 2 2 2 2 2 2 2 2 2 2 2 2 2 2 2 2 15 3" xfId="7327"/>
    <cellStyle name="Normal 2 2 2 2 2 2 2 2 2 2 2 2 2 2 2 2 15 4" xfId="7328"/>
    <cellStyle name="Normal 2 2 2 2 2 2 2 2 2 2 2 2 2 2 2 2 15 5" xfId="7329"/>
    <cellStyle name="Normal 2 2 2 2 2 2 2 2 2 2 2 2 2 2 2 2 15 6" xfId="7330"/>
    <cellStyle name="Normal 2 2 2 2 2 2 2 2 2 2 2 2 2 2 2 2 16" xfId="7331"/>
    <cellStyle name="Normal 2 2 2 2 2 2 2 2 2 2 2 2 2 2 2 2 17" xfId="7332"/>
    <cellStyle name="Normal 2 2 2 2 2 2 2 2 2 2 2 2 2 2 2 2 18" xfId="7333"/>
    <cellStyle name="Normal 2 2 2 2 2 2 2 2 2 2 2 2 2 2 2 2 19" xfId="7334"/>
    <cellStyle name="Normal 2 2 2 2 2 2 2 2 2 2 2 2 2 2 2 2 2" xfId="7335"/>
    <cellStyle name="Normal 2 2 2 2 2 2 2 2 2 2 2 2 2 2 2 2 2 10" xfId="7336"/>
    <cellStyle name="Normal 2 2 2 2 2 2 2 2 2 2 2 2 2 2 2 2 2 11" xfId="7337"/>
    <cellStyle name="Normal 2 2 2 2 2 2 2 2 2 2 2 2 2 2 2 2 2 12" xfId="7338"/>
    <cellStyle name="Normal 2 2 2 2 2 2 2 2 2 2 2 2 2 2 2 2 2 13" xfId="7339"/>
    <cellStyle name="Normal 2 2 2 2 2 2 2 2 2 2 2 2 2 2 2 2 2 13 2" xfId="7340"/>
    <cellStyle name="Normal 2 2 2 2 2 2 2 2 2 2 2 2 2 2 2 2 2 13 3" xfId="7341"/>
    <cellStyle name="Normal 2 2 2 2 2 2 2 2 2 2 2 2 2 2 2 2 2 13 4" xfId="7342"/>
    <cellStyle name="Normal 2 2 2 2 2 2 2 2 2 2 2 2 2 2 2 2 2 14" xfId="7343"/>
    <cellStyle name="Normal 2 2 2 2 2 2 2 2 2 2 2 2 2 2 2 2 2 15" xfId="7344"/>
    <cellStyle name="Normal 2 2 2 2 2 2 2 2 2 2 2 2 2 2 2 2 2 16" xfId="7345"/>
    <cellStyle name="Normal 2 2 2 2 2 2 2 2 2 2 2 2 2 2 2 2 2 17" xfId="7346"/>
    <cellStyle name="Normal 2 2 2 2 2 2 2 2 2 2 2 2 2 2 2 2 2 18" xfId="7347"/>
    <cellStyle name="Normal 2 2 2 2 2 2 2 2 2 2 2 2 2 2 2 2 2 19" xfId="7348"/>
    <cellStyle name="Normal 2 2 2 2 2 2 2 2 2 2 2 2 2 2 2 2 2 2" xfId="7349"/>
    <cellStyle name="Normal 2 2 2 2 2 2 2 2 2 2 2 2 2 2 2 2 2 2 10" xfId="7350"/>
    <cellStyle name="Normal 2 2 2 2 2 2 2 2 2 2 2 2 2 2 2 2 2 2 11" xfId="7351"/>
    <cellStyle name="Normal 2 2 2 2 2 2 2 2 2 2 2 2 2 2 2 2 2 2 11 2" xfId="7352"/>
    <cellStyle name="Normal 2 2 2 2 2 2 2 2 2 2 2 2 2 2 2 2 2 2 11 3" xfId="7353"/>
    <cellStyle name="Normal 2 2 2 2 2 2 2 2 2 2 2 2 2 2 2 2 2 2 11 4" xfId="7354"/>
    <cellStyle name="Normal 2 2 2 2 2 2 2 2 2 2 2 2 2 2 2 2 2 2 12" xfId="7355"/>
    <cellStyle name="Normal 2 2 2 2 2 2 2 2 2 2 2 2 2 2 2 2 2 2 13" xfId="7356"/>
    <cellStyle name="Normal 2 2 2 2 2 2 2 2 2 2 2 2 2 2 2 2 2 2 14" xfId="7357"/>
    <cellStyle name="Normal 2 2 2 2 2 2 2 2 2 2 2 2 2 2 2 2 2 2 15" xfId="7358"/>
    <cellStyle name="Normal 2 2 2 2 2 2 2 2 2 2 2 2 2 2 2 2 2 2 16" xfId="7359"/>
    <cellStyle name="Normal 2 2 2 2 2 2 2 2 2 2 2 2 2 2 2 2 2 2 17" xfId="7360"/>
    <cellStyle name="Normal 2 2 2 2 2 2 2 2 2 2 2 2 2 2 2 2 2 2 18" xfId="7361"/>
    <cellStyle name="Normal 2 2 2 2 2 2 2 2 2 2 2 2 2 2 2 2 2 2 19" xfId="7362"/>
    <cellStyle name="Normal 2 2 2 2 2 2 2 2 2 2 2 2 2 2 2 2 2 2 2" xfId="7363"/>
    <cellStyle name="Normal 2 2 2 2 2 2 2 2 2 2 2 2 2 2 2 2 2 2 2 10" xfId="7364"/>
    <cellStyle name="Normal 2 2 2 2 2 2 2 2 2 2 2 2 2 2 2 2 2 2 2 11" xfId="7365"/>
    <cellStyle name="Normal 2 2 2 2 2 2 2 2 2 2 2 2 2 2 2 2 2 2 2 12" xfId="7366"/>
    <cellStyle name="Normal 2 2 2 2 2 2 2 2 2 2 2 2 2 2 2 2 2 2 2 13" xfId="7367"/>
    <cellStyle name="Normal 2 2 2 2 2 2 2 2 2 2 2 2 2 2 2 2 2 2 2 14" xfId="7368"/>
    <cellStyle name="Normal 2 2 2 2 2 2 2 2 2 2 2 2 2 2 2 2 2 2 2 15" xfId="7369"/>
    <cellStyle name="Normal 2 2 2 2 2 2 2 2 2 2 2 2 2 2 2 2 2 2 2 16" xfId="7370"/>
    <cellStyle name="Normal 2 2 2 2 2 2 2 2 2 2 2 2 2 2 2 2 2 2 2 17" xfId="7371"/>
    <cellStyle name="Normal 2 2 2 2 2 2 2 2 2 2 2 2 2 2 2 2 2 2 2 18" xfId="7372"/>
    <cellStyle name="Normal 2 2 2 2 2 2 2 2 2 2 2 2 2 2 2 2 2 2 2 19" xfId="7373"/>
    <cellStyle name="Normal 2 2 2 2 2 2 2 2 2 2 2 2 2 2 2 2 2 2 2 2" xfId="7374"/>
    <cellStyle name="Normal 2 2 2 2 2 2 2 2 2 2 2 2 2 2 2 2 2 2 2 2 10" xfId="7375"/>
    <cellStyle name="Normal 2 2 2 2 2 2 2 2 2 2 2 2 2 2 2 2 2 2 2 2 11" xfId="7376"/>
    <cellStyle name="Normal 2 2 2 2 2 2 2 2 2 2 2 2 2 2 2 2 2 2 2 2 12" xfId="7377"/>
    <cellStyle name="Normal 2 2 2 2 2 2 2 2 2 2 2 2 2 2 2 2 2 2 2 2 13" xfId="7378"/>
    <cellStyle name="Normal 2 2 2 2 2 2 2 2 2 2 2 2 2 2 2 2 2 2 2 2 14" xfId="7379"/>
    <cellStyle name="Normal 2 2 2 2 2 2 2 2 2 2 2 2 2 2 2 2 2 2 2 2 15" xfId="7380"/>
    <cellStyle name="Normal 2 2 2 2 2 2 2 2 2 2 2 2 2 2 2 2 2 2 2 2 16" xfId="7381"/>
    <cellStyle name="Normal 2 2 2 2 2 2 2 2 2 2 2 2 2 2 2 2 2 2 2 2 17" xfId="7382"/>
    <cellStyle name="Normal 2 2 2 2 2 2 2 2 2 2 2 2 2 2 2 2 2 2 2 2 18" xfId="7383"/>
    <cellStyle name="Normal 2 2 2 2 2 2 2 2 2 2 2 2 2 2 2 2 2 2 2 2 19" xfId="7384"/>
    <cellStyle name="Normal 2 2 2 2 2 2 2 2 2 2 2 2 2 2 2 2 2 2 2 2 2" xfId="7385"/>
    <cellStyle name="Normal 2 2 2 2 2 2 2 2 2 2 2 2 2 2 2 2 2 2 2 2 2 10" xfId="7386"/>
    <cellStyle name="Normal 2 2 2 2 2 2 2 2 2 2 2 2 2 2 2 2 2 2 2 2 2 11" xfId="7387"/>
    <cellStyle name="Normal 2 2 2 2 2 2 2 2 2 2 2 2 2 2 2 2 2 2 2 2 2 12" xfId="7388"/>
    <cellStyle name="Normal 2 2 2 2 2 2 2 2 2 2 2 2 2 2 2 2 2 2 2 2 2 13" xfId="7389"/>
    <cellStyle name="Normal 2 2 2 2 2 2 2 2 2 2 2 2 2 2 2 2 2 2 2 2 2 14" xfId="7390"/>
    <cellStyle name="Normal 2 2 2 2 2 2 2 2 2 2 2 2 2 2 2 2 2 2 2 2 2 15" xfId="7391"/>
    <cellStyle name="Normal 2 2 2 2 2 2 2 2 2 2 2 2 2 2 2 2 2 2 2 2 2 16" xfId="7392"/>
    <cellStyle name="Normal 2 2 2 2 2 2 2 2 2 2 2 2 2 2 2 2 2 2 2 2 2 17" xfId="7393"/>
    <cellStyle name="Normal 2 2 2 2 2 2 2 2 2 2 2 2 2 2 2 2 2 2 2 2 2 18" xfId="7394"/>
    <cellStyle name="Normal 2 2 2 2 2 2 2 2 2 2 2 2 2 2 2 2 2 2 2 2 2 18 2" xfId="7395"/>
    <cellStyle name="Normal 2 2 2 2 2 2 2 2 2 2 2 2 2 2 2 2 2 2 2 2 2 18 3" xfId="7396"/>
    <cellStyle name="Normal 2 2 2 2 2 2 2 2 2 2 2 2 2 2 2 2 2 2 2 2 2 18 4" xfId="7397"/>
    <cellStyle name="Normal 2 2 2 2 2 2 2 2 2 2 2 2 2 2 2 2 2 2 2 2 2 18 5" xfId="7398"/>
    <cellStyle name="Normal 2 2 2 2 2 2 2 2 2 2 2 2 2 2 2 2 2 2 2 2 2 18 6" xfId="7399"/>
    <cellStyle name="Normal 2 2 2 2 2 2 2 2 2 2 2 2 2 2 2 2 2 2 2 2 2 18 7" xfId="7400"/>
    <cellStyle name="Normal 2 2 2 2 2 2 2 2 2 2 2 2 2 2 2 2 2 2 2 2 2 19" xfId="7401"/>
    <cellStyle name="Normal 2 2 2 2 2 2 2 2 2 2 2 2 2 2 2 2 2 2 2 2 2 2" xfId="7402"/>
    <cellStyle name="Normal 2 2 2 2 2 2 2 2 2 2 2 2 2 2 2 2 2 2 2 2 2 2 10" xfId="7403"/>
    <cellStyle name="Normal 2 2 2 2 2 2 2 2 2 2 2 2 2 2 2 2 2 2 2 2 2 2 11" xfId="7404"/>
    <cellStyle name="Normal 2 2 2 2 2 2 2 2 2 2 2 2 2 2 2 2 2 2 2 2 2 2 12" xfId="7405"/>
    <cellStyle name="Normal 2 2 2 2 2 2 2 2 2 2 2 2 2 2 2 2 2 2 2 2 2 2 13" xfId="7406"/>
    <cellStyle name="Normal 2 2 2 2 2 2 2 2 2 2 2 2 2 2 2 2 2 2 2 2 2 2 14" xfId="7407"/>
    <cellStyle name="Normal 2 2 2 2 2 2 2 2 2 2 2 2 2 2 2 2 2 2 2 2 2 2 15" xfId="7408"/>
    <cellStyle name="Normal 2 2 2 2 2 2 2 2 2 2 2 2 2 2 2 2 2 2 2 2 2 2 16" xfId="7409"/>
    <cellStyle name="Normal 2 2 2 2 2 2 2 2 2 2 2 2 2 2 2 2 2 2 2 2 2 2 16 2" xfId="7410"/>
    <cellStyle name="Normal 2 2 2 2 2 2 2 2 2 2 2 2 2 2 2 2 2 2 2 2 2 2 16 3" xfId="7411"/>
    <cellStyle name="Normal 2 2 2 2 2 2 2 2 2 2 2 2 2 2 2 2 2 2 2 2 2 2 16 4" xfId="7412"/>
    <cellStyle name="Normal 2 2 2 2 2 2 2 2 2 2 2 2 2 2 2 2 2 2 2 2 2 2 16 5" xfId="7413"/>
    <cellStyle name="Normal 2 2 2 2 2 2 2 2 2 2 2 2 2 2 2 2 2 2 2 2 2 2 16 6" xfId="7414"/>
    <cellStyle name="Normal 2 2 2 2 2 2 2 2 2 2 2 2 2 2 2 2 2 2 2 2 2 2 16 7" xfId="7415"/>
    <cellStyle name="Normal 2 2 2 2 2 2 2 2 2 2 2 2 2 2 2 2 2 2 2 2 2 2 17" xfId="7416"/>
    <cellStyle name="Normal 2 2 2 2 2 2 2 2 2 2 2 2 2 2 2 2 2 2 2 2 2 2 18" xfId="7417"/>
    <cellStyle name="Normal 2 2 2 2 2 2 2 2 2 2 2 2 2 2 2 2 2 2 2 2 2 2 19" xfId="7418"/>
    <cellStyle name="Normal 2 2 2 2 2 2 2 2 2 2 2 2 2 2 2 2 2 2 2 2 2 2 2" xfId="7419"/>
    <cellStyle name="Normal 2 2 2 2 2 2 2 2 2 2 2 2 2 2 2 2 2 2 2 2 2 2 2 10" xfId="7420"/>
    <cellStyle name="Normal 2 2 2 2 2 2 2 2 2 2 2 2 2 2 2 2 2 2 2 2 2 2 2 11" xfId="7421"/>
    <cellStyle name="Normal 2 2 2 2 2 2 2 2 2 2 2 2 2 2 2 2 2 2 2 2 2 2 2 12" xfId="7422"/>
    <cellStyle name="Normal 2 2 2 2 2 2 2 2 2 2 2 2 2 2 2 2 2 2 2 2 2 2 2 13" xfId="7423"/>
    <cellStyle name="Normal 2 2 2 2 2 2 2 2 2 2 2 2 2 2 2 2 2 2 2 2 2 2 2 13 2" xfId="7424"/>
    <cellStyle name="Normal 2 2 2 2 2 2 2 2 2 2 2 2 2 2 2 2 2 2 2 2 2 2 2 13 3" xfId="7425"/>
    <cellStyle name="Normal 2 2 2 2 2 2 2 2 2 2 2 2 2 2 2 2 2 2 2 2 2 2 2 13 4" xfId="7426"/>
    <cellStyle name="Normal 2 2 2 2 2 2 2 2 2 2 2 2 2 2 2 2 2 2 2 2 2 2 2 13 5" xfId="7427"/>
    <cellStyle name="Normal 2 2 2 2 2 2 2 2 2 2 2 2 2 2 2 2 2 2 2 2 2 2 2 13 6" xfId="7428"/>
    <cellStyle name="Normal 2 2 2 2 2 2 2 2 2 2 2 2 2 2 2 2 2 2 2 2 2 2 2 13 7" xfId="7429"/>
    <cellStyle name="Normal 2 2 2 2 2 2 2 2 2 2 2 2 2 2 2 2 2 2 2 2 2 2 2 14" xfId="7430"/>
    <cellStyle name="Normal 2 2 2 2 2 2 2 2 2 2 2 2 2 2 2 2 2 2 2 2 2 2 2 15" xfId="7431"/>
    <cellStyle name="Normal 2 2 2 2 2 2 2 2 2 2 2 2 2 2 2 2 2 2 2 2 2 2 2 16" xfId="7432"/>
    <cellStyle name="Normal 2 2 2 2 2 2 2 2 2 2 2 2 2 2 2 2 2 2 2 2 2 2 2 17" xfId="7433"/>
    <cellStyle name="Normal 2 2 2 2 2 2 2 2 2 2 2 2 2 2 2 2 2 2 2 2 2 2 2 18" xfId="7434"/>
    <cellStyle name="Normal 2 2 2 2 2 2 2 2 2 2 2 2 2 2 2 2 2 2 2 2 2 2 2 19" xfId="7435"/>
    <cellStyle name="Normal 2 2 2 2 2 2 2 2 2 2 2 2 2 2 2 2 2 2 2 2 2 2 2 2" xfId="7436"/>
    <cellStyle name="Normal 2 2 2 2 2 2 2 2 2 2 2 2 2 2 2 2 2 2 2 2 2 2 2 2 10" xfId="7437"/>
    <cellStyle name="Normal 2 2 2 2 2 2 2 2 2 2 2 2 2 2 2 2 2 2 2 2 2 2 2 2 11" xfId="7438"/>
    <cellStyle name="Normal 2 2 2 2 2 2 2 2 2 2 2 2 2 2 2 2 2 2 2 2 2 2 2 2 12" xfId="7439"/>
    <cellStyle name="Normal 2 2 2 2 2 2 2 2 2 2 2 2 2 2 2 2 2 2 2 2 2 2 2 2 13" xfId="7440"/>
    <cellStyle name="Normal 2 2 2 2 2 2 2 2 2 2 2 2 2 2 2 2 2 2 2 2 2 2 2 2 13 2" xfId="7441"/>
    <cellStyle name="Normal 2 2 2 2 2 2 2 2 2 2 2 2 2 2 2 2 2 2 2 2 2 2 2 2 13 3" xfId="7442"/>
    <cellStyle name="Normal 2 2 2 2 2 2 2 2 2 2 2 2 2 2 2 2 2 2 2 2 2 2 2 2 13 4" xfId="7443"/>
    <cellStyle name="Normal 2 2 2 2 2 2 2 2 2 2 2 2 2 2 2 2 2 2 2 2 2 2 2 2 13 5" xfId="7444"/>
    <cellStyle name="Normal 2 2 2 2 2 2 2 2 2 2 2 2 2 2 2 2 2 2 2 2 2 2 2 2 13 6" xfId="7445"/>
    <cellStyle name="Normal 2 2 2 2 2 2 2 2 2 2 2 2 2 2 2 2 2 2 2 2 2 2 2 2 13 7" xfId="7446"/>
    <cellStyle name="Normal 2 2 2 2 2 2 2 2 2 2 2 2 2 2 2 2 2 2 2 2 2 2 2 2 14" xfId="7447"/>
    <cellStyle name="Normal 2 2 2 2 2 2 2 2 2 2 2 2 2 2 2 2 2 2 2 2 2 2 2 2 15" xfId="7448"/>
    <cellStyle name="Normal 2 2 2 2 2 2 2 2 2 2 2 2 2 2 2 2 2 2 2 2 2 2 2 2 16" xfId="7449"/>
    <cellStyle name="Normal 2 2 2 2 2 2 2 2 2 2 2 2 2 2 2 2 2 2 2 2 2 2 2 2 17" xfId="7450"/>
    <cellStyle name="Normal 2 2 2 2 2 2 2 2 2 2 2 2 2 2 2 2 2 2 2 2 2 2 2 2 18" xfId="7451"/>
    <cellStyle name="Normal 2 2 2 2 2 2 2 2 2 2 2 2 2 2 2 2 2 2 2 2 2 2 2 2 19" xfId="7452"/>
    <cellStyle name="Normal 2 2 2 2 2 2 2 2 2 2 2 2 2 2 2 2 2 2 2 2 2 2 2 2 2" xfId="7453"/>
    <cellStyle name="Normal 2 2 2 2 2 2 2 2 2 2 2 2 2 2 2 2 2 2 2 2 2 2 2 2 2 10" xfId="7454"/>
    <cellStyle name="Normal 2 2 2 2 2 2 2 2 2 2 2 2 2 2 2 2 2 2 2 2 2 2 2 2 2 11" xfId="7455"/>
    <cellStyle name="Normal 2 2 2 2 2 2 2 2 2 2 2 2 2 2 2 2 2 2 2 2 2 2 2 2 2 12" xfId="7456"/>
    <cellStyle name="Normal 2 2 2 2 2 2 2 2 2 2 2 2 2 2 2 2 2 2 2 2 2 2 2 2 2 13" xfId="7457"/>
    <cellStyle name="Normal 2 2 2 2 2 2 2 2 2 2 2 2 2 2 2 2 2 2 2 2 2 2 2 2 2 14" xfId="7458"/>
    <cellStyle name="Normal 2 2 2 2 2 2 2 2 2 2 2 2 2 2 2 2 2 2 2 2 2 2 2 2 2 15" xfId="7459"/>
    <cellStyle name="Normal 2 2 2 2 2 2 2 2 2 2 2 2 2 2 2 2 2 2 2 2 2 2 2 2 2 16" xfId="7460"/>
    <cellStyle name="Normal 2 2 2 2 2 2 2 2 2 2 2 2 2 2 2 2 2 2 2 2 2 2 2 2 2 17" xfId="7461"/>
    <cellStyle name="Normal 2 2 2 2 2 2 2 2 2 2 2 2 2 2 2 2 2 2 2 2 2 2 2 2 2 18" xfId="7462"/>
    <cellStyle name="Normal 2 2 2 2 2 2 2 2 2 2 2 2 2 2 2 2 2 2 2 2 2 2 2 2 2 19" xfId="7463"/>
    <cellStyle name="Normal 2 2 2 2 2 2 2 2 2 2 2 2 2 2 2 2 2 2 2 2 2 2 2 2 2 2" xfId="7464"/>
    <cellStyle name="Normal 2 2 2 2 2 2 2 2 2 2 2 2 2 2 2 2 2 2 2 2 2 2 2 2 2 2 10" xfId="7465"/>
    <cellStyle name="Normal 2 2 2 2 2 2 2 2 2 2 2 2 2 2 2 2 2 2 2 2 2 2 2 2 2 2 11" xfId="7466"/>
    <cellStyle name="Normal 2 2 2 2 2 2 2 2 2 2 2 2 2 2 2 2 2 2 2 2 2 2 2 2 2 2 12" xfId="7467"/>
    <cellStyle name="Normal 2 2 2 2 2 2 2 2 2 2 2 2 2 2 2 2 2 2 2 2 2 2 2 2 2 2 13" xfId="7468"/>
    <cellStyle name="Normal 2 2 2 2 2 2 2 2 2 2 2 2 2 2 2 2 2 2 2 2 2 2 2 2 2 2 14" xfId="7469"/>
    <cellStyle name="Normal 2 2 2 2 2 2 2 2 2 2 2 2 2 2 2 2 2 2 2 2 2 2 2 2 2 2 15" xfId="7470"/>
    <cellStyle name="Normal 2 2 2 2 2 2 2 2 2 2 2 2 2 2 2 2 2 2 2 2 2 2 2 2 2 2 16" xfId="7471"/>
    <cellStyle name="Normal 2 2 2 2 2 2 2 2 2 2 2 2 2 2 2 2 2 2 2 2 2 2 2 2 2 2 17" xfId="7472"/>
    <cellStyle name="Normal 2 2 2 2 2 2 2 2 2 2 2 2 2 2 2 2 2 2 2 2 2 2 2 2 2 2 18" xfId="7473"/>
    <cellStyle name="Normal 2 2 2 2 2 2 2 2 2 2 2 2 2 2 2 2 2 2 2 2 2 2 2 2 2 2 19" xfId="7474"/>
    <cellStyle name="Normal 2 2 2 2 2 2 2 2 2 2 2 2 2 2 2 2 2 2 2 2 2 2 2 2 2 2 2" xfId="7475"/>
    <cellStyle name="Normal 2 2 2 2 2 2 2 2 2 2 2 2 2 2 2 2 2 2 2 2 2 2 2 2 2 2 2 10" xfId="7476"/>
    <cellStyle name="Normal 2 2 2 2 2 2 2 2 2 2 2 2 2 2 2 2 2 2 2 2 2 2 2 2 2 2 2 11" xfId="7477"/>
    <cellStyle name="Normal 2 2 2 2 2 2 2 2 2 2 2 2 2 2 2 2 2 2 2 2 2 2 2 2 2 2 2 12" xfId="7478"/>
    <cellStyle name="Normal 2 2 2 2 2 2 2 2 2 2 2 2 2 2 2 2 2 2 2 2 2 2 2 2 2 2 2 13" xfId="7479"/>
    <cellStyle name="Normal 2 2 2 2 2 2 2 2 2 2 2 2 2 2 2 2 2 2 2 2 2 2 2 2 2 2 2 14" xfId="7480"/>
    <cellStyle name="Normal 2 2 2 2 2 2 2 2 2 2 2 2 2 2 2 2 2 2 2 2 2 2 2 2 2 2 2 15" xfId="7481"/>
    <cellStyle name="Normal 2 2 2 2 2 2 2 2 2 2 2 2 2 2 2 2 2 2 2 2 2 2 2 2 2 2 2 16" xfId="7482"/>
    <cellStyle name="Normal 2 2 2 2 2 2 2 2 2 2 2 2 2 2 2 2 2 2 2 2 2 2 2 2 2 2 2 17" xfId="7483"/>
    <cellStyle name="Normal 2 2 2 2 2 2 2 2 2 2 2 2 2 2 2 2 2 2 2 2 2 2 2 2 2 2 2 18" xfId="7484"/>
    <cellStyle name="Normal 2 2 2 2 2 2 2 2 2 2 2 2 2 2 2 2 2 2 2 2 2 2 2 2 2 2 2 19" xfId="7485"/>
    <cellStyle name="Normal 2 2 2 2 2 2 2 2 2 2 2 2 2 2 2 2 2 2 2 2 2 2 2 2 2 2 2 2" xfId="7486"/>
    <cellStyle name="Normal 2 2 2 2 2 2 2 2 2 2 2 2 2 2 2 2 2 2 2 2 2 2 2 2 2 2 2 2 10" xfId="7487"/>
    <cellStyle name="Normal 2 2 2 2 2 2 2 2 2 2 2 2 2 2 2 2 2 2 2 2 2 2 2 2 2 2 2 2 11" xfId="7488"/>
    <cellStyle name="Normal 2 2 2 2 2 2 2 2 2 2 2 2 2 2 2 2 2 2 2 2 2 2 2 2 2 2 2 2 12" xfId="7489"/>
    <cellStyle name="Normal 2 2 2 2 2 2 2 2 2 2 2 2 2 2 2 2 2 2 2 2 2 2 2 2 2 2 2 2 13" xfId="7490"/>
    <cellStyle name="Normal 2 2 2 2 2 2 2 2 2 2 2 2 2 2 2 2 2 2 2 2 2 2 2 2 2 2 2 2 14" xfId="7491"/>
    <cellStyle name="Normal 2 2 2 2 2 2 2 2 2 2 2 2 2 2 2 2 2 2 2 2 2 2 2 2 2 2 2 2 15" xfId="7492"/>
    <cellStyle name="Normal 2 2 2 2 2 2 2 2 2 2 2 2 2 2 2 2 2 2 2 2 2 2 2 2 2 2 2 2 16" xfId="7493"/>
    <cellStyle name="Normal 2 2 2 2 2 2 2 2 2 2 2 2 2 2 2 2 2 2 2 2 2 2 2 2 2 2 2 2 17" xfId="7494"/>
    <cellStyle name="Normal 2 2 2 2 2 2 2 2 2 2 2 2 2 2 2 2 2 2 2 2 2 2 2 2 2 2 2 2 18" xfId="7495"/>
    <cellStyle name="Normal 2 2 2 2 2 2 2 2 2 2 2 2 2 2 2 2 2 2 2 2 2 2 2 2 2 2 2 2 19" xfId="7496"/>
    <cellStyle name="Normal 2 2 2 2 2 2 2 2 2 2 2 2 2 2 2 2 2 2 2 2 2 2 2 2 2 2 2 2 2" xfId="7497"/>
    <cellStyle name="Normal 2 2 2 2 2 2 2 2 2 2 2 2 2 2 2 2 2 2 2 2 2 2 2 2 2 2 2 2 2 10" xfId="7498"/>
    <cellStyle name="Normal 2 2 2 2 2 2 2 2 2 2 2 2 2 2 2 2 2 2 2 2 2 2 2 2 2 2 2 2 2 11" xfId="7499"/>
    <cellStyle name="Normal 2 2 2 2 2 2 2 2 2 2 2 2 2 2 2 2 2 2 2 2 2 2 2 2 2 2 2 2 2 12" xfId="7500"/>
    <cellStyle name="Normal 2 2 2 2 2 2 2 2 2 2 2 2 2 2 2 2 2 2 2 2 2 2 2 2 2 2 2 2 2 13" xfId="7501"/>
    <cellStyle name="Normal 2 2 2 2 2 2 2 2 2 2 2 2 2 2 2 2 2 2 2 2 2 2 2 2 2 2 2 2 2 14" xfId="7502"/>
    <cellStyle name="Normal 2 2 2 2 2 2 2 2 2 2 2 2 2 2 2 2 2 2 2 2 2 2 2 2 2 2 2 2 2 15" xfId="7503"/>
    <cellStyle name="Normal 2 2 2 2 2 2 2 2 2 2 2 2 2 2 2 2 2 2 2 2 2 2 2 2 2 2 2 2 2 16" xfId="7504"/>
    <cellStyle name="Normal 2 2 2 2 2 2 2 2 2 2 2 2 2 2 2 2 2 2 2 2 2 2 2 2 2 2 2 2 2 17" xfId="7505"/>
    <cellStyle name="Normal 2 2 2 2 2 2 2 2 2 2 2 2 2 2 2 2 2 2 2 2 2 2 2 2 2 2 2 2 2 18" xfId="7506"/>
    <cellStyle name="Normal 2 2 2 2 2 2 2 2 2 2 2 2 2 2 2 2 2 2 2 2 2 2 2 2 2 2 2 2 2 19" xfId="7507"/>
    <cellStyle name="Normal 2 2 2 2 2 2 2 2 2 2 2 2 2 2 2 2 2 2 2 2 2 2 2 2 2 2 2 2 2 2" xfId="7508"/>
    <cellStyle name="Normal 2 2 2 2 2 2 2 2 2 2 2 2 2 2 2 2 2 2 2 2 2 2 2 2 2 2 2 2 2 2 10" xfId="7509"/>
    <cellStyle name="Normal 2 2 2 2 2 2 2 2 2 2 2 2 2 2 2 2 2 2 2 2 2 2 2 2 2 2 2 2 2 2 11" xfId="7510"/>
    <cellStyle name="Normal 2 2 2 2 2 2 2 2 2 2 2 2 2 2 2 2 2 2 2 2 2 2 2 2 2 2 2 2 2 2 12" xfId="7511"/>
    <cellStyle name="Normal 2 2 2 2 2 2 2 2 2 2 2 2 2 2 2 2 2 2 2 2 2 2 2 2 2 2 2 2 2 2 13" xfId="7512"/>
    <cellStyle name="Normal 2 2 2 2 2 2 2 2 2 2 2 2 2 2 2 2 2 2 2 2 2 2 2 2 2 2 2 2 2 2 14" xfId="7513"/>
    <cellStyle name="Normal 2 2 2 2 2 2 2 2 2 2 2 2 2 2 2 2 2 2 2 2 2 2 2 2 2 2 2 2 2 2 15" xfId="7514"/>
    <cellStyle name="Normal 2 2 2 2 2 2 2 2 2 2 2 2 2 2 2 2 2 2 2 2 2 2 2 2 2 2 2 2 2 2 16" xfId="7515"/>
    <cellStyle name="Normal 2 2 2 2 2 2 2 2 2 2 2 2 2 2 2 2 2 2 2 2 2 2 2 2 2 2 2 2 2 2 17" xfId="7516"/>
    <cellStyle name="Normal 2 2 2 2 2 2 2 2 2 2 2 2 2 2 2 2 2 2 2 2 2 2 2 2 2 2 2 2 2 2 18" xfId="7517"/>
    <cellStyle name="Normal 2 2 2 2 2 2 2 2 2 2 2 2 2 2 2 2 2 2 2 2 2 2 2 2 2 2 2 2 2 2 19" xfId="7518"/>
    <cellStyle name="Normal 2 2 2 2 2 2 2 2 2 2 2 2 2 2 2 2 2 2 2 2 2 2 2 2 2 2 2 2 2 2 2" xfId="7519"/>
    <cellStyle name="Normal 2 2 2 2 2 2 2 2 2 2 2 2 2 2 2 2 2 2 2 2 2 2 2 2 2 2 2 2 2 2 2 10" xfId="7520"/>
    <cellStyle name="Normal 2 2 2 2 2 2 2 2 2 2 2 2 2 2 2 2 2 2 2 2 2 2 2 2 2 2 2 2 2 2 2 11" xfId="7521"/>
    <cellStyle name="Normal 2 2 2 2 2 2 2 2 2 2 2 2 2 2 2 2 2 2 2 2 2 2 2 2 2 2 2 2 2 2 2 12" xfId="7522"/>
    <cellStyle name="Normal 2 2 2 2 2 2 2 2 2 2 2 2 2 2 2 2 2 2 2 2 2 2 2 2 2 2 2 2 2 2 2 13" xfId="7523"/>
    <cellStyle name="Normal 2 2 2 2 2 2 2 2 2 2 2 2 2 2 2 2 2 2 2 2 2 2 2 2 2 2 2 2 2 2 2 14" xfId="7524"/>
    <cellStyle name="Normal 2 2 2 2 2 2 2 2 2 2 2 2 2 2 2 2 2 2 2 2 2 2 2 2 2 2 2 2 2 2 2 15" xfId="7525"/>
    <cellStyle name="Normal 2 2 2 2 2 2 2 2 2 2 2 2 2 2 2 2 2 2 2 2 2 2 2 2 2 2 2 2 2 2 2 16" xfId="7526"/>
    <cellStyle name="Normal 2 2 2 2 2 2 2 2 2 2 2 2 2 2 2 2 2 2 2 2 2 2 2 2 2 2 2 2 2 2 2 17" xfId="7527"/>
    <cellStyle name="Normal 2 2 2 2 2 2 2 2 2 2 2 2 2 2 2 2 2 2 2 2 2 2 2 2 2 2 2 2 2 2 2 18" xfId="7528"/>
    <cellStyle name="Normal 2 2 2 2 2 2 2 2 2 2 2 2 2 2 2 2 2 2 2 2 2 2 2 2 2 2 2 2 2 2 2 19" xfId="7529"/>
    <cellStyle name="Normal 2 2 2 2 2 2 2 2 2 2 2 2 2 2 2 2 2 2 2 2 2 2 2 2 2 2 2 2 2 2 2 2" xfId="7530"/>
    <cellStyle name="Normal 2 2 2 2 2 2 2 2 2 2 2 2 2 2 2 2 2 2 2 2 2 2 2 2 2 2 2 2 2 2 2 2 10" xfId="7531"/>
    <cellStyle name="Normal 2 2 2 2 2 2 2 2 2 2 2 2 2 2 2 2 2 2 2 2 2 2 2 2 2 2 2 2 2 2 2 2 11" xfId="7532"/>
    <cellStyle name="Normal 2 2 2 2 2 2 2 2 2 2 2 2 2 2 2 2 2 2 2 2 2 2 2 2 2 2 2 2 2 2 2 2 12" xfId="7533"/>
    <cellStyle name="Normal 2 2 2 2 2 2 2 2 2 2 2 2 2 2 2 2 2 2 2 2 2 2 2 2 2 2 2 2 2 2 2 2 13" xfId="7534"/>
    <cellStyle name="Normal 2 2 2 2 2 2 2 2 2 2 2 2 2 2 2 2 2 2 2 2 2 2 2 2 2 2 2 2 2 2 2 2 14" xfId="7535"/>
    <cellStyle name="Normal 2 2 2 2 2 2 2 2 2 2 2 2 2 2 2 2 2 2 2 2 2 2 2 2 2 2 2 2 2 2 2 2 15" xfId="7536"/>
    <cellStyle name="Normal 2 2 2 2 2 2 2 2 2 2 2 2 2 2 2 2 2 2 2 2 2 2 2 2 2 2 2 2 2 2 2 2 16" xfId="7537"/>
    <cellStyle name="Normal 2 2 2 2 2 2 2 2 2 2 2 2 2 2 2 2 2 2 2 2 2 2 2 2 2 2 2 2 2 2 2 2 17" xfId="7538"/>
    <cellStyle name="Normal 2 2 2 2 2 2 2 2 2 2 2 2 2 2 2 2 2 2 2 2 2 2 2 2 2 2 2 2 2 2 2 2 18" xfId="7539"/>
    <cellStyle name="Normal 2 2 2 2 2 2 2 2 2 2 2 2 2 2 2 2 2 2 2 2 2 2 2 2 2 2 2 2 2 2 2 2 19" xfId="7540"/>
    <cellStyle name="Normal 2 2 2 2 2 2 2 2 2 2 2 2 2 2 2 2 2 2 2 2 2 2 2 2 2 2 2 2 2 2 2 2 2" xfId="7541"/>
    <cellStyle name="Normal 2 2 2 2 2 2 2 2 2 2 2 2 2 2 2 2 2 2 2 2 2 2 2 2 2 2 2 2 2 2 2 2 2 2" xfId="7542"/>
    <cellStyle name="Normal 2 2 2 2 2 2 2 2 2 2 2 2 2 2 2 2 2 2 2 2 2 2 2 2 2 2 2 2 2 2 2 2 2 2 2" xfId="7543"/>
    <cellStyle name="Normal 2 2 2 2 2 2 2 2 2 2 2 2 2 2 2 2 2 2 2 2 2 2 2 2 2 2 2 2 2 2 2 2 2 2 2 2" xfId="7544"/>
    <cellStyle name="Normal 2 2 2 2 2 2 2 2 2 2 2 2 2 2 2 2 2 2 2 2 2 2 2 2 2 2 2 2 2 2 2 2 2 2 2 2 2" xfId="7545"/>
    <cellStyle name="Normal 2 2 2 2 2 2 2 2 2 2 2 2 2 2 2 2 2 2 2 2 2 2 2 2 2 2 2 2 2 2 2 2 2 2 2 2 2 2" xfId="7546"/>
    <cellStyle name="Normal 2 2 2 2 2 2 2 2 2 2 2 2 2 2 2 2 2 2 2 2 2 2 2 2 2 2 2 2 2 2 2 2 2 2 2 2 2 2 2" xfId="7547"/>
    <cellStyle name="Normal 2 2 2 2 2 2 2 2 2 2 2 2 2 2 2 2 2 2 2 2 2 2 2 2 2 2 2 2 2 2 2 2 2 2 2 2 3" xfId="7548"/>
    <cellStyle name="Normal 2 2 2 2 2 2 2 2 2 2 2 2 2 2 2 2 2 2 2 2 2 2 2 2 2 2 2 2 2 2 2 2 2 2 2 2 4" xfId="7549"/>
    <cellStyle name="Normal 2 2 2 2 2 2 2 2 2 2 2 2 2 2 2 2 2 2 2 2 2 2 2 2 2 2 2 2 2 2 2 2 2 2 2 3" xfId="7550"/>
    <cellStyle name="Normal 2 2 2 2 2 2 2 2 2 2 2 2 2 2 2 2 2 2 2 2 2 2 2 2 2 2 2 2 2 2 2 2 2 2 2 4" xfId="7551"/>
    <cellStyle name="Normal 2 2 2 2 2 2 2 2 2 2 2 2 2 2 2 2 2 2 2 2 2 2 2 2 2 2 2 2 2 2 2 2 2 2 2 5" xfId="7552"/>
    <cellStyle name="Normal 2 2 2 2 2 2 2 2 2 2 2 2 2 2 2 2 2 2 2 2 2 2 2 2 2 2 2 2 2 2 2 2 2 2 3" xfId="7553"/>
    <cellStyle name="Normal 2 2 2 2 2 2 2 2 2 2 2 2 2 2 2 2 2 2 2 2 2 2 2 2 2 2 2 2 2 2 2 2 2 2 4" xfId="7554"/>
    <cellStyle name="Normal 2 2 2 2 2 2 2 2 2 2 2 2 2 2 2 2 2 2 2 2 2 2 2 2 2 2 2 2 2 2 2 2 2 2 5" xfId="7555"/>
    <cellStyle name="Normal 2 2 2 2 2 2 2 2 2 2 2 2 2 2 2 2 2 2 2 2 2 2 2 2 2 2 2 2 2 2 2 2 2 2 6" xfId="7556"/>
    <cellStyle name="Normal 2 2 2 2 2 2 2 2 2 2 2 2 2 2 2 2 2 2 2 2 2 2 2 2 2 2 2 2 2 2 2 2 2 2 6 2" xfId="7557"/>
    <cellStyle name="Normal 2 2 2 2 2 2 2 2 2 2 2 2 2 2 2 2 2 2 2 2 2 2 2 2 2 2 2 2 2 2 2 2 2 2 6 3" xfId="7558"/>
    <cellStyle name="Normal 2 2 2 2 2 2 2 2 2 2 2 2 2 2 2 2 2 2 2 2 2 2 2 2 2 2 2 2 2 2 2 2 2 2 6 4" xfId="7559"/>
    <cellStyle name="Normal 2 2 2 2 2 2 2 2 2 2 2 2 2 2 2 2 2 2 2 2 2 2 2 2 2 2 2 2 2 2 2 2 2 2 7" xfId="7560"/>
    <cellStyle name="Normal 2 2 2 2 2 2 2 2 2 2 2 2 2 2 2 2 2 2 2 2 2 2 2 2 2 2 2 2 2 2 2 2 2 2 8" xfId="7561"/>
    <cellStyle name="Normal 2 2 2 2 2 2 2 2 2 2 2 2 2 2 2 2 2 2 2 2 2 2 2 2 2 2 2 2 2 2 2 2 2 3" xfId="7562"/>
    <cellStyle name="Normal 2 2 2 2 2 2 2 2 2 2 2 2 2 2 2 2 2 2 2 2 2 2 2 2 2 2 2 2 2 2 2 2 2 4" xfId="7563"/>
    <cellStyle name="Normal 2 2 2 2 2 2 2 2 2 2 2 2 2 2 2 2 2 2 2 2 2 2 2 2 2 2 2 2 2 2 2 2 2 5" xfId="7564"/>
    <cellStyle name="Normal 2 2 2 2 2 2 2 2 2 2 2 2 2 2 2 2 2 2 2 2 2 2 2 2 2 2 2 2 2 2 2 2 2 6" xfId="7565"/>
    <cellStyle name="Normal 2 2 2 2 2 2 2 2 2 2 2 2 2 2 2 2 2 2 2 2 2 2 2 2 2 2 2 2 2 2 2 2 2 6 2" xfId="7566"/>
    <cellStyle name="Normal 2 2 2 2 2 2 2 2 2 2 2 2 2 2 2 2 2 2 2 2 2 2 2 2 2 2 2 2 2 2 2 2 2 6 3" xfId="7567"/>
    <cellStyle name="Normal 2 2 2 2 2 2 2 2 2 2 2 2 2 2 2 2 2 2 2 2 2 2 2 2 2 2 2 2 2 2 2 2 2 6 4" xfId="7568"/>
    <cellStyle name="Normal 2 2 2 2 2 2 2 2 2 2 2 2 2 2 2 2 2 2 2 2 2 2 2 2 2 2 2 2 2 2 2 2 2 7" xfId="7569"/>
    <cellStyle name="Normal 2 2 2 2 2 2 2 2 2 2 2 2 2 2 2 2 2 2 2 2 2 2 2 2 2 2 2 2 2 2 2 2 2 8" xfId="7570"/>
    <cellStyle name="Normal 2 2 2 2 2 2 2 2 2 2 2 2 2 2 2 2 2 2 2 2 2 2 2 2 2 2 2 2 2 2 2 2 20" xfId="7571"/>
    <cellStyle name="Normal 2 2 2 2 2 2 2 2 2 2 2 2 2 2 2 2 2 2 2 2 2 2 2 2 2 2 2 2 2 2 2 2 21" xfId="7572"/>
    <cellStyle name="Normal 2 2 2 2 2 2 2 2 2 2 2 2 2 2 2 2 2 2 2 2 2 2 2 2 2 2 2 2 2 2 2 2 22" xfId="7573"/>
    <cellStyle name="Normal 2 2 2 2 2 2 2 2 2 2 2 2 2 2 2 2 2 2 2 2 2 2 2 2 2 2 2 2 2 2 2 2 23" xfId="7574"/>
    <cellStyle name="Normal 2 2 2 2 2 2 2 2 2 2 2 2 2 2 2 2 2 2 2 2 2 2 2 2 2 2 2 2 2 2 2 2 24" xfId="7575"/>
    <cellStyle name="Normal 2 2 2 2 2 2 2 2 2 2 2 2 2 2 2 2 2 2 2 2 2 2 2 2 2 2 2 2 2 2 2 2 25" xfId="7576"/>
    <cellStyle name="Normal 2 2 2 2 2 2 2 2 2 2 2 2 2 2 2 2 2 2 2 2 2 2 2 2 2 2 2 2 2 2 2 2 25 2" xfId="7577"/>
    <cellStyle name="Normal 2 2 2 2 2 2 2 2 2 2 2 2 2 2 2 2 2 2 2 2 2 2 2 2 2 2 2 2 2 2 2 2 25 3" xfId="7578"/>
    <cellStyle name="Normal 2 2 2 2 2 2 2 2 2 2 2 2 2 2 2 2 2 2 2 2 2 2 2 2 2 2 2 2 2 2 2 2 25 4" xfId="7579"/>
    <cellStyle name="Normal 2 2 2 2 2 2 2 2 2 2 2 2 2 2 2 2 2 2 2 2 2 2 2 2 2 2 2 2 2 2 2 2 26" xfId="7580"/>
    <cellStyle name="Normal 2 2 2 2 2 2 2 2 2 2 2 2 2 2 2 2 2 2 2 2 2 2 2 2 2 2 2 2 2 2 2 2 27" xfId="7581"/>
    <cellStyle name="Normal 2 2 2 2 2 2 2 2 2 2 2 2 2 2 2 2 2 2 2 2 2 2 2 2 2 2 2 2 2 2 2 2 3" xfId="7582"/>
    <cellStyle name="Normal 2 2 2 2 2 2 2 2 2 2 2 2 2 2 2 2 2 2 2 2 2 2 2 2 2 2 2 2 2 2 2 2 4" xfId="7583"/>
    <cellStyle name="Normal 2 2 2 2 2 2 2 2 2 2 2 2 2 2 2 2 2 2 2 2 2 2 2 2 2 2 2 2 2 2 2 2 5" xfId="7584"/>
    <cellStyle name="Normal 2 2 2 2 2 2 2 2 2 2 2 2 2 2 2 2 2 2 2 2 2 2 2 2 2 2 2 2 2 2 2 2 6" xfId="7585"/>
    <cellStyle name="Normal 2 2 2 2 2 2 2 2 2 2 2 2 2 2 2 2 2 2 2 2 2 2 2 2 2 2 2 2 2 2 2 2 7" xfId="7586"/>
    <cellStyle name="Normal 2 2 2 2 2 2 2 2 2 2 2 2 2 2 2 2 2 2 2 2 2 2 2 2 2 2 2 2 2 2 2 2 8" xfId="7587"/>
    <cellStyle name="Normal 2 2 2 2 2 2 2 2 2 2 2 2 2 2 2 2 2 2 2 2 2 2 2 2 2 2 2 2 2 2 2 2 9" xfId="7588"/>
    <cellStyle name="Normal 2 2 2 2 2 2 2 2 2 2 2 2 2 2 2 2 2 2 2 2 2 2 2 2 2 2 2 2 2 2 2 20" xfId="7589"/>
    <cellStyle name="Normal 2 2 2 2 2 2 2 2 2 2 2 2 2 2 2 2 2 2 2 2 2 2 2 2 2 2 2 2 2 2 2 21" xfId="7590"/>
    <cellStyle name="Normal 2 2 2 2 2 2 2 2 2 2 2 2 2 2 2 2 2 2 2 2 2 2 2 2 2 2 2 2 2 2 2 22" xfId="7591"/>
    <cellStyle name="Normal 2 2 2 2 2 2 2 2 2 2 2 2 2 2 2 2 2 2 2 2 2 2 2 2 2 2 2 2 2 2 2 23" xfId="7592"/>
    <cellStyle name="Normal 2 2 2 2 2 2 2 2 2 2 2 2 2 2 2 2 2 2 2 2 2 2 2 2 2 2 2 2 2 2 2 24" xfId="7593"/>
    <cellStyle name="Normal 2 2 2 2 2 2 2 2 2 2 2 2 2 2 2 2 2 2 2 2 2 2 2 2 2 2 2 2 2 2 2 25" xfId="7594"/>
    <cellStyle name="Normal 2 2 2 2 2 2 2 2 2 2 2 2 2 2 2 2 2 2 2 2 2 2 2 2 2 2 2 2 2 2 2 25 2" xfId="7595"/>
    <cellStyle name="Normal 2 2 2 2 2 2 2 2 2 2 2 2 2 2 2 2 2 2 2 2 2 2 2 2 2 2 2 2 2 2 2 25 3" xfId="7596"/>
    <cellStyle name="Normal 2 2 2 2 2 2 2 2 2 2 2 2 2 2 2 2 2 2 2 2 2 2 2 2 2 2 2 2 2 2 2 25 4" xfId="7597"/>
    <cellStyle name="Normal 2 2 2 2 2 2 2 2 2 2 2 2 2 2 2 2 2 2 2 2 2 2 2 2 2 2 2 2 2 2 2 26" xfId="7598"/>
    <cellStyle name="Normal 2 2 2 2 2 2 2 2 2 2 2 2 2 2 2 2 2 2 2 2 2 2 2 2 2 2 2 2 2 2 2 27" xfId="7599"/>
    <cellStyle name="Normal 2 2 2 2 2 2 2 2 2 2 2 2 2 2 2 2 2 2 2 2 2 2 2 2 2 2 2 2 2 2 2 3" xfId="7600"/>
    <cellStyle name="Normal 2 2 2 2 2 2 2 2 2 2 2 2 2 2 2 2 2 2 2 2 2 2 2 2 2 2 2 2 2 2 2 4" xfId="7601"/>
    <cellStyle name="Normal 2 2 2 2 2 2 2 2 2 2 2 2 2 2 2 2 2 2 2 2 2 2 2 2 2 2 2 2 2 2 2 5" xfId="7602"/>
    <cellStyle name="Normal 2 2 2 2 2 2 2 2 2 2 2 2 2 2 2 2 2 2 2 2 2 2 2 2 2 2 2 2 2 2 2 6" xfId="7603"/>
    <cellStyle name="Normal 2 2 2 2 2 2 2 2 2 2 2 2 2 2 2 2 2 2 2 2 2 2 2 2 2 2 2 2 2 2 2 7" xfId="7604"/>
    <cellStyle name="Normal 2 2 2 2 2 2 2 2 2 2 2 2 2 2 2 2 2 2 2 2 2 2 2 2 2 2 2 2 2 2 2 8" xfId="7605"/>
    <cellStyle name="Normal 2 2 2 2 2 2 2 2 2 2 2 2 2 2 2 2 2 2 2 2 2 2 2 2 2 2 2 2 2 2 2 9" xfId="7606"/>
    <cellStyle name="Normal 2 2 2 2 2 2 2 2 2 2 2 2 2 2 2 2 2 2 2 2 2 2 2 2 2 2 2 2 2 2 20" xfId="7607"/>
    <cellStyle name="Normal 2 2 2 2 2 2 2 2 2 2 2 2 2 2 2 2 2 2 2 2 2 2 2 2 2 2 2 2 2 2 21" xfId="7608"/>
    <cellStyle name="Normal 2 2 2 2 2 2 2 2 2 2 2 2 2 2 2 2 2 2 2 2 2 2 2 2 2 2 2 2 2 2 22" xfId="7609"/>
    <cellStyle name="Normal 2 2 2 2 2 2 2 2 2 2 2 2 2 2 2 2 2 2 2 2 2 2 2 2 2 2 2 2 2 2 23" xfId="7610"/>
    <cellStyle name="Normal 2 2 2 2 2 2 2 2 2 2 2 2 2 2 2 2 2 2 2 2 2 2 2 2 2 2 2 2 2 2 24" xfId="7611"/>
    <cellStyle name="Normal 2 2 2 2 2 2 2 2 2 2 2 2 2 2 2 2 2 2 2 2 2 2 2 2 2 2 2 2 2 2 25" xfId="7612"/>
    <cellStyle name="Normal 2 2 2 2 2 2 2 2 2 2 2 2 2 2 2 2 2 2 2 2 2 2 2 2 2 2 2 2 2 2 26" xfId="7613"/>
    <cellStyle name="Normal 2 2 2 2 2 2 2 2 2 2 2 2 2 2 2 2 2 2 2 2 2 2 2 2 2 2 2 2 2 2 27" xfId="7614"/>
    <cellStyle name="Normal 2 2 2 2 2 2 2 2 2 2 2 2 2 2 2 2 2 2 2 2 2 2 2 2 2 2 2 2 2 2 28" xfId="7615"/>
    <cellStyle name="Normal 2 2 2 2 2 2 2 2 2 2 2 2 2 2 2 2 2 2 2 2 2 2 2 2 2 2 2 2 2 2 29" xfId="7616"/>
    <cellStyle name="Normal 2 2 2 2 2 2 2 2 2 2 2 2 2 2 2 2 2 2 2 2 2 2 2 2 2 2 2 2 2 2 3" xfId="7617"/>
    <cellStyle name="Normal 2 2 2 2 2 2 2 2 2 2 2 2 2 2 2 2 2 2 2 2 2 2 2 2 2 2 2 2 2 2 30" xfId="7618"/>
    <cellStyle name="Normal 2 2 2 2 2 2 2 2 2 2 2 2 2 2 2 2 2 2 2 2 2 2 2 2 2 2 2 2 2 2 31" xfId="7619"/>
    <cellStyle name="Normal 2 2 2 2 2 2 2 2 2 2 2 2 2 2 2 2 2 2 2 2 2 2 2 2 2 2 2 2 2 2 32" xfId="7620"/>
    <cellStyle name="Normal 2 2 2 2 2 2 2 2 2 2 2 2 2 2 2 2 2 2 2 2 2 2 2 2 2 2 2 2 2 2 33" xfId="7621"/>
    <cellStyle name="Normal 2 2 2 2 2 2 2 2 2 2 2 2 2 2 2 2 2 2 2 2 2 2 2 2 2 2 2 2 2 2 34" xfId="7622"/>
    <cellStyle name="Normal 2 2 2 2 2 2 2 2 2 2 2 2 2 2 2 2 2 2 2 2 2 2 2 2 2 2 2 2 2 2 35" xfId="7623"/>
    <cellStyle name="Normal 2 2 2 2 2 2 2 2 2 2 2 2 2 2 2 2 2 2 2 2 2 2 2 2 2 2 2 2 2 2 36" xfId="7624"/>
    <cellStyle name="Normal 2 2 2 2 2 2 2 2 2 2 2 2 2 2 2 2 2 2 2 2 2 2 2 2 2 2 2 2 2 2 37" xfId="7625"/>
    <cellStyle name="Normal 2 2 2 2 2 2 2 2 2 2 2 2 2 2 2 2 2 2 2 2 2 2 2 2 2 2 2 2 2 2 38" xfId="7626"/>
    <cellStyle name="Normal 2 2 2 2 2 2 2 2 2 2 2 2 2 2 2 2 2 2 2 2 2 2 2 2 2 2 2 2 2 2 39" xfId="7627"/>
    <cellStyle name="Normal 2 2 2 2 2 2 2 2 2 2 2 2 2 2 2 2 2 2 2 2 2 2 2 2 2 2 2 2 2 2 4" xfId="7628"/>
    <cellStyle name="Normal 2 2 2 2 2 2 2 2 2 2 2 2 2 2 2 2 2 2 2 2 2 2 2 2 2 2 2 2 2 2 40" xfId="7629"/>
    <cellStyle name="Normal 2 2 2 2 2 2 2 2 2 2 2 2 2 2 2 2 2 2 2 2 2 2 2 2 2 2 2 2 2 2 40 2" xfId="7630"/>
    <cellStyle name="Normal 2 2 2 2 2 2 2 2 2 2 2 2 2 2 2 2 2 2 2 2 2 2 2 2 2 2 2 2 2 2 40 3" xfId="7631"/>
    <cellStyle name="Normal 2 2 2 2 2 2 2 2 2 2 2 2 2 2 2 2 2 2 2 2 2 2 2 2 2 2 2 2 2 2 40 4" xfId="7632"/>
    <cellStyle name="Normal 2 2 2 2 2 2 2 2 2 2 2 2 2 2 2 2 2 2 2 2 2 2 2 2 2 2 2 2 2 2 41" xfId="7633"/>
    <cellStyle name="Normal 2 2 2 2 2 2 2 2 2 2 2 2 2 2 2 2 2 2 2 2 2 2 2 2 2 2 2 2 2 2 42" xfId="7634"/>
    <cellStyle name="Normal 2 2 2 2 2 2 2 2 2 2 2 2 2 2 2 2 2 2 2 2 2 2 2 2 2 2 2 2 2 2 5" xfId="7635"/>
    <cellStyle name="Normal 2 2 2 2 2 2 2 2 2 2 2 2 2 2 2 2 2 2 2 2 2 2 2 2 2 2 2 2 2 2 6" xfId="7636"/>
    <cellStyle name="Normal 2 2 2 2 2 2 2 2 2 2 2 2 2 2 2 2 2 2 2 2 2 2 2 2 2 2 2 2 2 2 7" xfId="7637"/>
    <cellStyle name="Normal 2 2 2 2 2 2 2 2 2 2 2 2 2 2 2 2 2 2 2 2 2 2 2 2 2 2 2 2 2 2 8" xfId="7638"/>
    <cellStyle name="Normal 2 2 2 2 2 2 2 2 2 2 2 2 2 2 2 2 2 2 2 2 2 2 2 2 2 2 2 2 2 2 9" xfId="7639"/>
    <cellStyle name="Normal 2 2 2 2 2 2 2 2 2 2 2 2 2 2 2 2 2 2 2 2 2 2 2 2 2 2 2 2 2 20" xfId="7640"/>
    <cellStyle name="Normal 2 2 2 2 2 2 2 2 2 2 2 2 2 2 2 2 2 2 2 2 2 2 2 2 2 2 2 2 2 21" xfId="7641"/>
    <cellStyle name="Normal 2 2 2 2 2 2 2 2 2 2 2 2 2 2 2 2 2 2 2 2 2 2 2 2 2 2 2 2 2 22" xfId="7642"/>
    <cellStyle name="Normal 2 2 2 2 2 2 2 2 2 2 2 2 2 2 2 2 2 2 2 2 2 2 2 2 2 2 2 2 2 23" xfId="7643"/>
    <cellStyle name="Normal 2 2 2 2 2 2 2 2 2 2 2 2 2 2 2 2 2 2 2 2 2 2 2 2 2 2 2 2 2 24" xfId="7644"/>
    <cellStyle name="Normal 2 2 2 2 2 2 2 2 2 2 2 2 2 2 2 2 2 2 2 2 2 2 2 2 2 2 2 2 2 25" xfId="7645"/>
    <cellStyle name="Normal 2 2 2 2 2 2 2 2 2 2 2 2 2 2 2 2 2 2 2 2 2 2 2 2 2 2 2 2 2 26" xfId="7646"/>
    <cellStyle name="Normal 2 2 2 2 2 2 2 2 2 2 2 2 2 2 2 2 2 2 2 2 2 2 2 2 2 2 2 2 2 27" xfId="7647"/>
    <cellStyle name="Normal 2 2 2 2 2 2 2 2 2 2 2 2 2 2 2 2 2 2 2 2 2 2 2 2 2 2 2 2 2 28" xfId="7648"/>
    <cellStyle name="Normal 2 2 2 2 2 2 2 2 2 2 2 2 2 2 2 2 2 2 2 2 2 2 2 2 2 2 2 2 2 29" xfId="7649"/>
    <cellStyle name="Normal 2 2 2 2 2 2 2 2 2 2 2 2 2 2 2 2 2 2 2 2 2 2 2 2 2 2 2 2 2 3" xfId="7650"/>
    <cellStyle name="Normal 2 2 2 2 2 2 2 2 2 2 2 2 2 2 2 2 2 2 2 2 2 2 2 2 2 2 2 2 2 30" xfId="7651"/>
    <cellStyle name="Normal 2 2 2 2 2 2 2 2 2 2 2 2 2 2 2 2 2 2 2 2 2 2 2 2 2 2 2 2 2 31" xfId="7652"/>
    <cellStyle name="Normal 2 2 2 2 2 2 2 2 2 2 2 2 2 2 2 2 2 2 2 2 2 2 2 2 2 2 2 2 2 32" xfId="7653"/>
    <cellStyle name="Normal 2 2 2 2 2 2 2 2 2 2 2 2 2 2 2 2 2 2 2 2 2 2 2 2 2 2 2 2 2 33" xfId="7654"/>
    <cellStyle name="Normal 2 2 2 2 2 2 2 2 2 2 2 2 2 2 2 2 2 2 2 2 2 2 2 2 2 2 2 2 2 34" xfId="7655"/>
    <cellStyle name="Normal 2 2 2 2 2 2 2 2 2 2 2 2 2 2 2 2 2 2 2 2 2 2 2 2 2 2 2 2 2 35" xfId="7656"/>
    <cellStyle name="Normal 2 2 2 2 2 2 2 2 2 2 2 2 2 2 2 2 2 2 2 2 2 2 2 2 2 2 2 2 2 36" xfId="7657"/>
    <cellStyle name="Normal 2 2 2 2 2 2 2 2 2 2 2 2 2 2 2 2 2 2 2 2 2 2 2 2 2 2 2 2 2 37" xfId="7658"/>
    <cellStyle name="Normal 2 2 2 2 2 2 2 2 2 2 2 2 2 2 2 2 2 2 2 2 2 2 2 2 2 2 2 2 2 38" xfId="7659"/>
    <cellStyle name="Normal 2 2 2 2 2 2 2 2 2 2 2 2 2 2 2 2 2 2 2 2 2 2 2 2 2 2 2 2 2 39" xfId="7660"/>
    <cellStyle name="Normal 2 2 2 2 2 2 2 2 2 2 2 2 2 2 2 2 2 2 2 2 2 2 2 2 2 2 2 2 2 4" xfId="7661"/>
    <cellStyle name="Normal 2 2 2 2 2 2 2 2 2 2 2 2 2 2 2 2 2 2 2 2 2 2 2 2 2 2 2 2 2 40" xfId="7662"/>
    <cellStyle name="Normal 2 2 2 2 2 2 2 2 2 2 2 2 2 2 2 2 2 2 2 2 2 2 2 2 2 2 2 2 2 40 2" xfId="7663"/>
    <cellStyle name="Normal 2 2 2 2 2 2 2 2 2 2 2 2 2 2 2 2 2 2 2 2 2 2 2 2 2 2 2 2 2 40 3" xfId="7664"/>
    <cellStyle name="Normal 2 2 2 2 2 2 2 2 2 2 2 2 2 2 2 2 2 2 2 2 2 2 2 2 2 2 2 2 2 40 4" xfId="7665"/>
    <cellStyle name="Normal 2 2 2 2 2 2 2 2 2 2 2 2 2 2 2 2 2 2 2 2 2 2 2 2 2 2 2 2 2 41" xfId="7666"/>
    <cellStyle name="Normal 2 2 2 2 2 2 2 2 2 2 2 2 2 2 2 2 2 2 2 2 2 2 2 2 2 2 2 2 2 42" xfId="7667"/>
    <cellStyle name="Normal 2 2 2 2 2 2 2 2 2 2 2 2 2 2 2 2 2 2 2 2 2 2 2 2 2 2 2 2 2 5" xfId="7668"/>
    <cellStyle name="Normal 2 2 2 2 2 2 2 2 2 2 2 2 2 2 2 2 2 2 2 2 2 2 2 2 2 2 2 2 2 6" xfId="7669"/>
    <cellStyle name="Normal 2 2 2 2 2 2 2 2 2 2 2 2 2 2 2 2 2 2 2 2 2 2 2 2 2 2 2 2 2 7" xfId="7670"/>
    <cellStyle name="Normal 2 2 2 2 2 2 2 2 2 2 2 2 2 2 2 2 2 2 2 2 2 2 2 2 2 2 2 2 2 8" xfId="7671"/>
    <cellStyle name="Normal 2 2 2 2 2 2 2 2 2 2 2 2 2 2 2 2 2 2 2 2 2 2 2 2 2 2 2 2 2 9" xfId="7672"/>
    <cellStyle name="Normal 2 2 2 2 2 2 2 2 2 2 2 2 2 2 2 2 2 2 2 2 2 2 2 2 2 2 2 2 20" xfId="7673"/>
    <cellStyle name="Normal 2 2 2 2 2 2 2 2 2 2 2 2 2 2 2 2 2 2 2 2 2 2 2 2 2 2 2 2 21" xfId="7674"/>
    <cellStyle name="Normal 2 2 2 2 2 2 2 2 2 2 2 2 2 2 2 2 2 2 2 2 2 2 2 2 2 2 2 2 22" xfId="7675"/>
    <cellStyle name="Normal 2 2 2 2 2 2 2 2 2 2 2 2 2 2 2 2 2 2 2 2 2 2 2 2 2 2 2 2 23" xfId="7676"/>
    <cellStyle name="Normal 2 2 2 2 2 2 2 2 2 2 2 2 2 2 2 2 2 2 2 2 2 2 2 2 2 2 2 2 24" xfId="7677"/>
    <cellStyle name="Normal 2 2 2 2 2 2 2 2 2 2 2 2 2 2 2 2 2 2 2 2 2 2 2 2 2 2 2 2 25" xfId="7678"/>
    <cellStyle name="Normal 2 2 2 2 2 2 2 2 2 2 2 2 2 2 2 2 2 2 2 2 2 2 2 2 2 2 2 2 26" xfId="7679"/>
    <cellStyle name="Normal 2 2 2 2 2 2 2 2 2 2 2 2 2 2 2 2 2 2 2 2 2 2 2 2 2 2 2 2 27" xfId="7680"/>
    <cellStyle name="Normal 2 2 2 2 2 2 2 2 2 2 2 2 2 2 2 2 2 2 2 2 2 2 2 2 2 2 2 2 28" xfId="7681"/>
    <cellStyle name="Normal 2 2 2 2 2 2 2 2 2 2 2 2 2 2 2 2 2 2 2 2 2 2 2 2 2 2 2 2 29" xfId="7682"/>
    <cellStyle name="Normal 2 2 2 2 2 2 2 2 2 2 2 2 2 2 2 2 2 2 2 2 2 2 2 2 2 2 2 2 3" xfId="7683"/>
    <cellStyle name="Normal 2 2 2 2 2 2 2 2 2 2 2 2 2 2 2 2 2 2 2 2 2 2 2 2 2 2 2 2 30" xfId="7684"/>
    <cellStyle name="Normal 2 2 2 2 2 2 2 2 2 2 2 2 2 2 2 2 2 2 2 2 2 2 2 2 2 2 2 2 31" xfId="7685"/>
    <cellStyle name="Normal 2 2 2 2 2 2 2 2 2 2 2 2 2 2 2 2 2 2 2 2 2 2 2 2 2 2 2 2 32" xfId="7686"/>
    <cellStyle name="Normal 2 2 2 2 2 2 2 2 2 2 2 2 2 2 2 2 2 2 2 2 2 2 2 2 2 2 2 2 33" xfId="7687"/>
    <cellStyle name="Normal 2 2 2 2 2 2 2 2 2 2 2 2 2 2 2 2 2 2 2 2 2 2 2 2 2 2 2 2 34" xfId="7688"/>
    <cellStyle name="Normal 2 2 2 2 2 2 2 2 2 2 2 2 2 2 2 2 2 2 2 2 2 2 2 2 2 2 2 2 35" xfId="7689"/>
    <cellStyle name="Normal 2 2 2 2 2 2 2 2 2 2 2 2 2 2 2 2 2 2 2 2 2 2 2 2 2 2 2 2 36" xfId="7690"/>
    <cellStyle name="Normal 2 2 2 2 2 2 2 2 2 2 2 2 2 2 2 2 2 2 2 2 2 2 2 2 2 2 2 2 37" xfId="7691"/>
    <cellStyle name="Normal 2 2 2 2 2 2 2 2 2 2 2 2 2 2 2 2 2 2 2 2 2 2 2 2 2 2 2 2 38" xfId="7692"/>
    <cellStyle name="Normal 2 2 2 2 2 2 2 2 2 2 2 2 2 2 2 2 2 2 2 2 2 2 2 2 2 2 2 2 39" xfId="7693"/>
    <cellStyle name="Normal 2 2 2 2 2 2 2 2 2 2 2 2 2 2 2 2 2 2 2 2 2 2 2 2 2 2 2 2 4" xfId="7694"/>
    <cellStyle name="Normal 2 2 2 2 2 2 2 2 2 2 2 2 2 2 2 2 2 2 2 2 2 2 2 2 2 2 2 2 40" xfId="7695"/>
    <cellStyle name="Normal 2 2 2 2 2 2 2 2 2 2 2 2 2 2 2 2 2 2 2 2 2 2 2 2 2 2 2 2 41" xfId="7696"/>
    <cellStyle name="Normal 2 2 2 2 2 2 2 2 2 2 2 2 2 2 2 2 2 2 2 2 2 2 2 2 2 2 2 2 42" xfId="7697"/>
    <cellStyle name="Normal 2 2 2 2 2 2 2 2 2 2 2 2 2 2 2 2 2 2 2 2 2 2 2 2 2 2 2 2 43" xfId="7698"/>
    <cellStyle name="Normal 2 2 2 2 2 2 2 2 2 2 2 2 2 2 2 2 2 2 2 2 2 2 2 2 2 2 2 2 43 2" xfId="7699"/>
    <cellStyle name="Normal 2 2 2 2 2 2 2 2 2 2 2 2 2 2 2 2 2 2 2 2 2 2 2 2 2 2 2 2 43 3" xfId="7700"/>
    <cellStyle name="Normal 2 2 2 2 2 2 2 2 2 2 2 2 2 2 2 2 2 2 2 2 2 2 2 2 2 2 2 2 43 4" xfId="7701"/>
    <cellStyle name="Normal 2 2 2 2 2 2 2 2 2 2 2 2 2 2 2 2 2 2 2 2 2 2 2 2 2 2 2 2 44" xfId="7702"/>
    <cellStyle name="Normal 2 2 2 2 2 2 2 2 2 2 2 2 2 2 2 2 2 2 2 2 2 2 2 2 2 2 2 2 45" xfId="7703"/>
    <cellStyle name="Normal 2 2 2 2 2 2 2 2 2 2 2 2 2 2 2 2 2 2 2 2 2 2 2 2 2 2 2 2 5" xfId="7704"/>
    <cellStyle name="Normal 2 2 2 2 2 2 2 2 2 2 2 2 2 2 2 2 2 2 2 2 2 2 2 2 2 2 2 2 6" xfId="7705"/>
    <cellStyle name="Normal 2 2 2 2 2 2 2 2 2 2 2 2 2 2 2 2 2 2 2 2 2 2 2 2 2 2 2 2 7" xfId="7706"/>
    <cellStyle name="Normal 2 2 2 2 2 2 2 2 2 2 2 2 2 2 2 2 2 2 2 2 2 2 2 2 2 2 2 2 8" xfId="7707"/>
    <cellStyle name="Normal 2 2 2 2 2 2 2 2 2 2 2 2 2 2 2 2 2 2 2 2 2 2 2 2 2 2 2 2 9" xfId="7708"/>
    <cellStyle name="Normal 2 2 2 2 2 2 2 2 2 2 2 2 2 2 2 2 2 2 2 2 2 2 2 2 2 2 2 20" xfId="7709"/>
    <cellStyle name="Normal 2 2 2 2 2 2 2 2 2 2 2 2 2 2 2 2 2 2 2 2 2 2 2 2 2 2 2 21" xfId="7710"/>
    <cellStyle name="Normal 2 2 2 2 2 2 2 2 2 2 2 2 2 2 2 2 2 2 2 2 2 2 2 2 2 2 2 22" xfId="7711"/>
    <cellStyle name="Normal 2 2 2 2 2 2 2 2 2 2 2 2 2 2 2 2 2 2 2 2 2 2 2 2 2 2 2 23" xfId="7712"/>
    <cellStyle name="Normal 2 2 2 2 2 2 2 2 2 2 2 2 2 2 2 2 2 2 2 2 2 2 2 2 2 2 2 24" xfId="7713"/>
    <cellStyle name="Normal 2 2 2 2 2 2 2 2 2 2 2 2 2 2 2 2 2 2 2 2 2 2 2 2 2 2 2 25" xfId="7714"/>
    <cellStyle name="Normal 2 2 2 2 2 2 2 2 2 2 2 2 2 2 2 2 2 2 2 2 2 2 2 2 2 2 2 26" xfId="7715"/>
    <cellStyle name="Normal 2 2 2 2 2 2 2 2 2 2 2 2 2 2 2 2 2 2 2 2 2 2 2 2 2 2 2 27" xfId="7716"/>
    <cellStyle name="Normal 2 2 2 2 2 2 2 2 2 2 2 2 2 2 2 2 2 2 2 2 2 2 2 2 2 2 2 28" xfId="7717"/>
    <cellStyle name="Normal 2 2 2 2 2 2 2 2 2 2 2 2 2 2 2 2 2 2 2 2 2 2 2 2 2 2 2 29" xfId="7718"/>
    <cellStyle name="Normal 2 2 2 2 2 2 2 2 2 2 2 2 2 2 2 2 2 2 2 2 2 2 2 2 2 2 2 3" xfId="7719"/>
    <cellStyle name="Normal 2 2 2 2 2 2 2 2 2 2 2 2 2 2 2 2 2 2 2 2 2 2 2 2 2 2 2 30" xfId="7720"/>
    <cellStyle name="Normal 2 2 2 2 2 2 2 2 2 2 2 2 2 2 2 2 2 2 2 2 2 2 2 2 2 2 2 31" xfId="7721"/>
    <cellStyle name="Normal 2 2 2 2 2 2 2 2 2 2 2 2 2 2 2 2 2 2 2 2 2 2 2 2 2 2 2 32" xfId="7722"/>
    <cellStyle name="Normal 2 2 2 2 2 2 2 2 2 2 2 2 2 2 2 2 2 2 2 2 2 2 2 2 2 2 2 33" xfId="7723"/>
    <cellStyle name="Normal 2 2 2 2 2 2 2 2 2 2 2 2 2 2 2 2 2 2 2 2 2 2 2 2 2 2 2 34" xfId="7724"/>
    <cellStyle name="Normal 2 2 2 2 2 2 2 2 2 2 2 2 2 2 2 2 2 2 2 2 2 2 2 2 2 2 2 35" xfId="7725"/>
    <cellStyle name="Normal 2 2 2 2 2 2 2 2 2 2 2 2 2 2 2 2 2 2 2 2 2 2 2 2 2 2 2 36" xfId="7726"/>
    <cellStyle name="Normal 2 2 2 2 2 2 2 2 2 2 2 2 2 2 2 2 2 2 2 2 2 2 2 2 2 2 2 37" xfId="7727"/>
    <cellStyle name="Normal 2 2 2 2 2 2 2 2 2 2 2 2 2 2 2 2 2 2 2 2 2 2 2 2 2 2 2 38" xfId="7728"/>
    <cellStyle name="Normal 2 2 2 2 2 2 2 2 2 2 2 2 2 2 2 2 2 2 2 2 2 2 2 2 2 2 2 39" xfId="7729"/>
    <cellStyle name="Normal 2 2 2 2 2 2 2 2 2 2 2 2 2 2 2 2 2 2 2 2 2 2 2 2 2 2 2 4" xfId="7730"/>
    <cellStyle name="Normal 2 2 2 2 2 2 2 2 2 2 2 2 2 2 2 2 2 2 2 2 2 2 2 2 2 2 2 40" xfId="7731"/>
    <cellStyle name="Normal 2 2 2 2 2 2 2 2 2 2 2 2 2 2 2 2 2 2 2 2 2 2 2 2 2 2 2 41" xfId="7732"/>
    <cellStyle name="Normal 2 2 2 2 2 2 2 2 2 2 2 2 2 2 2 2 2 2 2 2 2 2 2 2 2 2 2 42" xfId="7733"/>
    <cellStyle name="Normal 2 2 2 2 2 2 2 2 2 2 2 2 2 2 2 2 2 2 2 2 2 2 2 2 2 2 2 43" xfId="7734"/>
    <cellStyle name="Normal 2 2 2 2 2 2 2 2 2 2 2 2 2 2 2 2 2 2 2 2 2 2 2 2 2 2 2 43 2" xfId="7735"/>
    <cellStyle name="Normal 2 2 2 2 2 2 2 2 2 2 2 2 2 2 2 2 2 2 2 2 2 2 2 2 2 2 2 43 3" xfId="7736"/>
    <cellStyle name="Normal 2 2 2 2 2 2 2 2 2 2 2 2 2 2 2 2 2 2 2 2 2 2 2 2 2 2 2 43 4" xfId="7737"/>
    <cellStyle name="Normal 2 2 2 2 2 2 2 2 2 2 2 2 2 2 2 2 2 2 2 2 2 2 2 2 2 2 2 44" xfId="7738"/>
    <cellStyle name="Normal 2 2 2 2 2 2 2 2 2 2 2 2 2 2 2 2 2 2 2 2 2 2 2 2 2 2 2 45" xfId="7739"/>
    <cellStyle name="Normal 2 2 2 2 2 2 2 2 2 2 2 2 2 2 2 2 2 2 2 2 2 2 2 2 2 2 2 5" xfId="7740"/>
    <cellStyle name="Normal 2 2 2 2 2 2 2 2 2 2 2 2 2 2 2 2 2 2 2 2 2 2 2 2 2 2 2 6" xfId="7741"/>
    <cellStyle name="Normal 2 2 2 2 2 2 2 2 2 2 2 2 2 2 2 2 2 2 2 2 2 2 2 2 2 2 2 7" xfId="7742"/>
    <cellStyle name="Normal 2 2 2 2 2 2 2 2 2 2 2 2 2 2 2 2 2 2 2 2 2 2 2 2 2 2 2 8" xfId="7743"/>
    <cellStyle name="Normal 2 2 2 2 2 2 2 2 2 2 2 2 2 2 2 2 2 2 2 2 2 2 2 2 2 2 2 9" xfId="7744"/>
    <cellStyle name="Normal 2 2 2 2 2 2 2 2 2 2 2 2 2 2 2 2 2 2 2 2 2 2 2 2 2 2 20" xfId="7745"/>
    <cellStyle name="Normal 2 2 2 2 2 2 2 2 2 2 2 2 2 2 2 2 2 2 2 2 2 2 2 2 2 2 21" xfId="7746"/>
    <cellStyle name="Normal 2 2 2 2 2 2 2 2 2 2 2 2 2 2 2 2 2 2 2 2 2 2 2 2 2 2 22" xfId="7747"/>
    <cellStyle name="Normal 2 2 2 2 2 2 2 2 2 2 2 2 2 2 2 2 2 2 2 2 2 2 2 2 2 2 23" xfId="7748"/>
    <cellStyle name="Normal 2 2 2 2 2 2 2 2 2 2 2 2 2 2 2 2 2 2 2 2 2 2 2 2 2 2 24" xfId="7749"/>
    <cellStyle name="Normal 2 2 2 2 2 2 2 2 2 2 2 2 2 2 2 2 2 2 2 2 2 2 2 2 2 2 25" xfId="7750"/>
    <cellStyle name="Normal 2 2 2 2 2 2 2 2 2 2 2 2 2 2 2 2 2 2 2 2 2 2 2 2 2 2 26" xfId="7751"/>
    <cellStyle name="Normal 2 2 2 2 2 2 2 2 2 2 2 2 2 2 2 2 2 2 2 2 2 2 2 2 2 2 27" xfId="7752"/>
    <cellStyle name="Normal 2 2 2 2 2 2 2 2 2 2 2 2 2 2 2 2 2 2 2 2 2 2 2 2 2 2 28" xfId="7753"/>
    <cellStyle name="Normal 2 2 2 2 2 2 2 2 2 2 2 2 2 2 2 2 2 2 2 2 2 2 2 2 2 2 29" xfId="7754"/>
    <cellStyle name="Normal 2 2 2 2 2 2 2 2 2 2 2 2 2 2 2 2 2 2 2 2 2 2 2 2 2 2 3" xfId="7755"/>
    <cellStyle name="Normal 2 2 2 2 2 2 2 2 2 2 2 2 2 2 2 2 2 2 2 2 2 2 2 2 2 2 30" xfId="7756"/>
    <cellStyle name="Normal 2 2 2 2 2 2 2 2 2 2 2 2 2 2 2 2 2 2 2 2 2 2 2 2 2 2 31" xfId="7757"/>
    <cellStyle name="Normal 2 2 2 2 2 2 2 2 2 2 2 2 2 2 2 2 2 2 2 2 2 2 2 2 2 2 32" xfId="7758"/>
    <cellStyle name="Normal 2 2 2 2 2 2 2 2 2 2 2 2 2 2 2 2 2 2 2 2 2 2 2 2 2 2 33" xfId="7759"/>
    <cellStyle name="Normal 2 2 2 2 2 2 2 2 2 2 2 2 2 2 2 2 2 2 2 2 2 2 2 2 2 2 34" xfId="7760"/>
    <cellStyle name="Normal 2 2 2 2 2 2 2 2 2 2 2 2 2 2 2 2 2 2 2 2 2 2 2 2 2 2 35" xfId="7761"/>
    <cellStyle name="Normal 2 2 2 2 2 2 2 2 2 2 2 2 2 2 2 2 2 2 2 2 2 2 2 2 2 2 36" xfId="7762"/>
    <cellStyle name="Normal 2 2 2 2 2 2 2 2 2 2 2 2 2 2 2 2 2 2 2 2 2 2 2 2 2 2 37" xfId="7763"/>
    <cellStyle name="Normal 2 2 2 2 2 2 2 2 2 2 2 2 2 2 2 2 2 2 2 2 2 2 2 2 2 2 38" xfId="7764"/>
    <cellStyle name="Normal 2 2 2 2 2 2 2 2 2 2 2 2 2 2 2 2 2 2 2 2 2 2 2 2 2 2 39" xfId="7765"/>
    <cellStyle name="Normal 2 2 2 2 2 2 2 2 2 2 2 2 2 2 2 2 2 2 2 2 2 2 2 2 2 2 4" xfId="7766"/>
    <cellStyle name="Normal 2 2 2 2 2 2 2 2 2 2 2 2 2 2 2 2 2 2 2 2 2 2 2 2 2 2 40" xfId="7767"/>
    <cellStyle name="Normal 2 2 2 2 2 2 2 2 2 2 2 2 2 2 2 2 2 2 2 2 2 2 2 2 2 2 41" xfId="7768"/>
    <cellStyle name="Normal 2 2 2 2 2 2 2 2 2 2 2 2 2 2 2 2 2 2 2 2 2 2 2 2 2 2 42" xfId="7769"/>
    <cellStyle name="Normal 2 2 2 2 2 2 2 2 2 2 2 2 2 2 2 2 2 2 2 2 2 2 2 2 2 2 43" xfId="7770"/>
    <cellStyle name="Normal 2 2 2 2 2 2 2 2 2 2 2 2 2 2 2 2 2 2 2 2 2 2 2 2 2 2 44" xfId="7771"/>
    <cellStyle name="Normal 2 2 2 2 2 2 2 2 2 2 2 2 2 2 2 2 2 2 2 2 2 2 2 2 2 2 45" xfId="7772"/>
    <cellStyle name="Normal 2 2 2 2 2 2 2 2 2 2 2 2 2 2 2 2 2 2 2 2 2 2 2 2 2 2 46" xfId="7773"/>
    <cellStyle name="Normal 2 2 2 2 2 2 2 2 2 2 2 2 2 2 2 2 2 2 2 2 2 2 2 2 2 2 47" xfId="7774"/>
    <cellStyle name="Normal 2 2 2 2 2 2 2 2 2 2 2 2 2 2 2 2 2 2 2 2 2 2 2 2 2 2 48" xfId="7775"/>
    <cellStyle name="Normal 2 2 2 2 2 2 2 2 2 2 2 2 2 2 2 2 2 2 2 2 2 2 2 2 2 2 49" xfId="7776"/>
    <cellStyle name="Normal 2 2 2 2 2 2 2 2 2 2 2 2 2 2 2 2 2 2 2 2 2 2 2 2 2 2 49 2" xfId="7777"/>
    <cellStyle name="Normal 2 2 2 2 2 2 2 2 2 2 2 2 2 2 2 2 2 2 2 2 2 2 2 2 2 2 49 3" xfId="7778"/>
    <cellStyle name="Normal 2 2 2 2 2 2 2 2 2 2 2 2 2 2 2 2 2 2 2 2 2 2 2 2 2 2 49 4" xfId="7779"/>
    <cellStyle name="Normal 2 2 2 2 2 2 2 2 2 2 2 2 2 2 2 2 2 2 2 2 2 2 2 2 2 2 5" xfId="7780"/>
    <cellStyle name="Normal 2 2 2 2 2 2 2 2 2 2 2 2 2 2 2 2 2 2 2 2 2 2 2 2 2 2 50" xfId="7781"/>
    <cellStyle name="Normal 2 2 2 2 2 2 2 2 2 2 2 2 2 2 2 2 2 2 2 2 2 2 2 2 2 2 51" xfId="7782"/>
    <cellStyle name="Normal 2 2 2 2 2 2 2 2 2 2 2 2 2 2 2 2 2 2 2 2 2 2 2 2 2 2 6" xfId="7783"/>
    <cellStyle name="Normal 2 2 2 2 2 2 2 2 2 2 2 2 2 2 2 2 2 2 2 2 2 2 2 2 2 2 7" xfId="7784"/>
    <cellStyle name="Normal 2 2 2 2 2 2 2 2 2 2 2 2 2 2 2 2 2 2 2 2 2 2 2 2 2 2 8" xfId="7785"/>
    <cellStyle name="Normal 2 2 2 2 2 2 2 2 2 2 2 2 2 2 2 2 2 2 2 2 2 2 2 2 2 2 9" xfId="7786"/>
    <cellStyle name="Normal 2 2 2 2 2 2 2 2 2 2 2 2 2 2 2 2 2 2 2 2 2 2 2 2 2 20" xfId="7787"/>
    <cellStyle name="Normal 2 2 2 2 2 2 2 2 2 2 2 2 2 2 2 2 2 2 2 2 2 2 2 2 2 21" xfId="7788"/>
    <cellStyle name="Normal 2 2 2 2 2 2 2 2 2 2 2 2 2 2 2 2 2 2 2 2 2 2 2 2 2 22" xfId="7789"/>
    <cellStyle name="Normal 2 2 2 2 2 2 2 2 2 2 2 2 2 2 2 2 2 2 2 2 2 2 2 2 2 23" xfId="7790"/>
    <cellStyle name="Normal 2 2 2 2 2 2 2 2 2 2 2 2 2 2 2 2 2 2 2 2 2 2 2 2 2 24" xfId="7791"/>
    <cellStyle name="Normal 2 2 2 2 2 2 2 2 2 2 2 2 2 2 2 2 2 2 2 2 2 2 2 2 2 25" xfId="7792"/>
    <cellStyle name="Normal 2 2 2 2 2 2 2 2 2 2 2 2 2 2 2 2 2 2 2 2 2 2 2 2 2 26" xfId="7793"/>
    <cellStyle name="Normal 2 2 2 2 2 2 2 2 2 2 2 2 2 2 2 2 2 2 2 2 2 2 2 2 2 27" xfId="7794"/>
    <cellStyle name="Normal 2 2 2 2 2 2 2 2 2 2 2 2 2 2 2 2 2 2 2 2 2 2 2 2 2 28" xfId="7795"/>
    <cellStyle name="Normal 2 2 2 2 2 2 2 2 2 2 2 2 2 2 2 2 2 2 2 2 2 2 2 2 2 29" xfId="7796"/>
    <cellStyle name="Normal 2 2 2 2 2 2 2 2 2 2 2 2 2 2 2 2 2 2 2 2 2 2 2 2 2 3" xfId="7797"/>
    <cellStyle name="Normal 2 2 2 2 2 2 2 2 2 2 2 2 2 2 2 2 2 2 2 2 2 2 2 2 2 30" xfId="7798"/>
    <cellStyle name="Normal 2 2 2 2 2 2 2 2 2 2 2 2 2 2 2 2 2 2 2 2 2 2 2 2 2 31" xfId="7799"/>
    <cellStyle name="Normal 2 2 2 2 2 2 2 2 2 2 2 2 2 2 2 2 2 2 2 2 2 2 2 2 2 32" xfId="7800"/>
    <cellStyle name="Normal 2 2 2 2 2 2 2 2 2 2 2 2 2 2 2 2 2 2 2 2 2 2 2 2 2 33" xfId="7801"/>
    <cellStyle name="Normal 2 2 2 2 2 2 2 2 2 2 2 2 2 2 2 2 2 2 2 2 2 2 2 2 2 34" xfId="7802"/>
    <cellStyle name="Normal 2 2 2 2 2 2 2 2 2 2 2 2 2 2 2 2 2 2 2 2 2 2 2 2 2 35" xfId="7803"/>
    <cellStyle name="Normal 2 2 2 2 2 2 2 2 2 2 2 2 2 2 2 2 2 2 2 2 2 2 2 2 2 36" xfId="7804"/>
    <cellStyle name="Normal 2 2 2 2 2 2 2 2 2 2 2 2 2 2 2 2 2 2 2 2 2 2 2 2 2 37" xfId="7805"/>
    <cellStyle name="Normal 2 2 2 2 2 2 2 2 2 2 2 2 2 2 2 2 2 2 2 2 2 2 2 2 2 38" xfId="7806"/>
    <cellStyle name="Normal 2 2 2 2 2 2 2 2 2 2 2 2 2 2 2 2 2 2 2 2 2 2 2 2 2 39" xfId="7807"/>
    <cellStyle name="Normal 2 2 2 2 2 2 2 2 2 2 2 2 2 2 2 2 2 2 2 2 2 2 2 2 2 4" xfId="7808"/>
    <cellStyle name="Normal 2 2 2 2 2 2 2 2 2 2 2 2 2 2 2 2 2 2 2 2 2 2 2 2 2 40" xfId="7809"/>
    <cellStyle name="Normal 2 2 2 2 2 2 2 2 2 2 2 2 2 2 2 2 2 2 2 2 2 2 2 2 2 41" xfId="7810"/>
    <cellStyle name="Normal 2 2 2 2 2 2 2 2 2 2 2 2 2 2 2 2 2 2 2 2 2 2 2 2 2 42" xfId="7811"/>
    <cellStyle name="Normal 2 2 2 2 2 2 2 2 2 2 2 2 2 2 2 2 2 2 2 2 2 2 2 2 2 43" xfId="7812"/>
    <cellStyle name="Normal 2 2 2 2 2 2 2 2 2 2 2 2 2 2 2 2 2 2 2 2 2 2 2 2 2 44" xfId="7813"/>
    <cellStyle name="Normal 2 2 2 2 2 2 2 2 2 2 2 2 2 2 2 2 2 2 2 2 2 2 2 2 2 45" xfId="7814"/>
    <cellStyle name="Normal 2 2 2 2 2 2 2 2 2 2 2 2 2 2 2 2 2 2 2 2 2 2 2 2 2 46" xfId="7815"/>
    <cellStyle name="Normal 2 2 2 2 2 2 2 2 2 2 2 2 2 2 2 2 2 2 2 2 2 2 2 2 2 47" xfId="7816"/>
    <cellStyle name="Normal 2 2 2 2 2 2 2 2 2 2 2 2 2 2 2 2 2 2 2 2 2 2 2 2 2 48" xfId="7817"/>
    <cellStyle name="Normal 2 2 2 2 2 2 2 2 2 2 2 2 2 2 2 2 2 2 2 2 2 2 2 2 2 49" xfId="7818"/>
    <cellStyle name="Normal 2 2 2 2 2 2 2 2 2 2 2 2 2 2 2 2 2 2 2 2 2 2 2 2 2 5" xfId="7819"/>
    <cellStyle name="Normal 2 2 2 2 2 2 2 2 2 2 2 2 2 2 2 2 2 2 2 2 2 2 2 2 2 50" xfId="7820"/>
    <cellStyle name="Normal 2 2 2 2 2 2 2 2 2 2 2 2 2 2 2 2 2 2 2 2 2 2 2 2 2 50 2" xfId="7821"/>
    <cellStyle name="Normal 2 2 2 2 2 2 2 2 2 2 2 2 2 2 2 2 2 2 2 2 2 2 2 2 2 50 3" xfId="7822"/>
    <cellStyle name="Normal 2 2 2 2 2 2 2 2 2 2 2 2 2 2 2 2 2 2 2 2 2 2 2 2 2 50 4" xfId="7823"/>
    <cellStyle name="Normal 2 2 2 2 2 2 2 2 2 2 2 2 2 2 2 2 2 2 2 2 2 2 2 2 2 51" xfId="7824"/>
    <cellStyle name="Normal 2 2 2 2 2 2 2 2 2 2 2 2 2 2 2 2 2 2 2 2 2 2 2 2 2 52" xfId="7825"/>
    <cellStyle name="Normal 2 2 2 2 2 2 2 2 2 2 2 2 2 2 2 2 2 2 2 2 2 2 2 2 2 6" xfId="7826"/>
    <cellStyle name="Normal 2 2 2 2 2 2 2 2 2 2 2 2 2 2 2 2 2 2 2 2 2 2 2 2 2 7" xfId="7827"/>
    <cellStyle name="Normal 2 2 2 2 2 2 2 2 2 2 2 2 2 2 2 2 2 2 2 2 2 2 2 2 2 8" xfId="7828"/>
    <cellStyle name="Normal 2 2 2 2 2 2 2 2 2 2 2 2 2 2 2 2 2 2 2 2 2 2 2 2 2 9" xfId="7829"/>
    <cellStyle name="Normal 2 2 2 2 2 2 2 2 2 2 2 2 2 2 2 2 2 2 2 2 2 2 2 2 20" xfId="7830"/>
    <cellStyle name="Normal 2 2 2 2 2 2 2 2 2 2 2 2 2 2 2 2 2 2 2 2 2 2 2 2 21" xfId="7831"/>
    <cellStyle name="Normal 2 2 2 2 2 2 2 2 2 2 2 2 2 2 2 2 2 2 2 2 2 2 2 2 22" xfId="7832"/>
    <cellStyle name="Normal 2 2 2 2 2 2 2 2 2 2 2 2 2 2 2 2 2 2 2 2 2 2 2 2 23" xfId="7833"/>
    <cellStyle name="Normal 2 2 2 2 2 2 2 2 2 2 2 2 2 2 2 2 2 2 2 2 2 2 2 2 24" xfId="7834"/>
    <cellStyle name="Normal 2 2 2 2 2 2 2 2 2 2 2 2 2 2 2 2 2 2 2 2 2 2 2 2 25" xfId="7835"/>
    <cellStyle name="Normal 2 2 2 2 2 2 2 2 2 2 2 2 2 2 2 2 2 2 2 2 2 2 2 2 26" xfId="7836"/>
    <cellStyle name="Normal 2 2 2 2 2 2 2 2 2 2 2 2 2 2 2 2 2 2 2 2 2 2 2 2 27" xfId="7837"/>
    <cellStyle name="Normal 2 2 2 2 2 2 2 2 2 2 2 2 2 2 2 2 2 2 2 2 2 2 2 2 28" xfId="7838"/>
    <cellStyle name="Normal 2 2 2 2 2 2 2 2 2 2 2 2 2 2 2 2 2 2 2 2 2 2 2 2 29" xfId="7839"/>
    <cellStyle name="Normal 2 2 2 2 2 2 2 2 2 2 2 2 2 2 2 2 2 2 2 2 2 2 2 2 3" xfId="7840"/>
    <cellStyle name="Normal 2 2 2 2 2 2 2 2 2 2 2 2 2 2 2 2 2 2 2 2 2 2 2 2 30" xfId="7841"/>
    <cellStyle name="Normal 2 2 2 2 2 2 2 2 2 2 2 2 2 2 2 2 2 2 2 2 2 2 2 2 31" xfId="7842"/>
    <cellStyle name="Normal 2 2 2 2 2 2 2 2 2 2 2 2 2 2 2 2 2 2 2 2 2 2 2 2 32" xfId="7843"/>
    <cellStyle name="Normal 2 2 2 2 2 2 2 2 2 2 2 2 2 2 2 2 2 2 2 2 2 2 2 2 33" xfId="7844"/>
    <cellStyle name="Normal 2 2 2 2 2 2 2 2 2 2 2 2 2 2 2 2 2 2 2 2 2 2 2 2 34" xfId="7845"/>
    <cellStyle name="Normal 2 2 2 2 2 2 2 2 2 2 2 2 2 2 2 2 2 2 2 2 2 2 2 2 35" xfId="7846"/>
    <cellStyle name="Normal 2 2 2 2 2 2 2 2 2 2 2 2 2 2 2 2 2 2 2 2 2 2 2 2 36" xfId="7847"/>
    <cellStyle name="Normal 2 2 2 2 2 2 2 2 2 2 2 2 2 2 2 2 2 2 2 2 2 2 2 2 37" xfId="7848"/>
    <cellStyle name="Normal 2 2 2 2 2 2 2 2 2 2 2 2 2 2 2 2 2 2 2 2 2 2 2 2 38" xfId="7849"/>
    <cellStyle name="Normal 2 2 2 2 2 2 2 2 2 2 2 2 2 2 2 2 2 2 2 2 2 2 2 2 39" xfId="7850"/>
    <cellStyle name="Normal 2 2 2 2 2 2 2 2 2 2 2 2 2 2 2 2 2 2 2 2 2 2 2 2 4" xfId="7851"/>
    <cellStyle name="Normal 2 2 2 2 2 2 2 2 2 2 2 2 2 2 2 2 2 2 2 2 2 2 2 2 40" xfId="7852"/>
    <cellStyle name="Normal 2 2 2 2 2 2 2 2 2 2 2 2 2 2 2 2 2 2 2 2 2 2 2 2 41" xfId="7853"/>
    <cellStyle name="Normal 2 2 2 2 2 2 2 2 2 2 2 2 2 2 2 2 2 2 2 2 2 2 2 2 42" xfId="7854"/>
    <cellStyle name="Normal 2 2 2 2 2 2 2 2 2 2 2 2 2 2 2 2 2 2 2 2 2 2 2 2 43" xfId="7855"/>
    <cellStyle name="Normal 2 2 2 2 2 2 2 2 2 2 2 2 2 2 2 2 2 2 2 2 2 2 2 2 44" xfId="7856"/>
    <cellStyle name="Normal 2 2 2 2 2 2 2 2 2 2 2 2 2 2 2 2 2 2 2 2 2 2 2 2 45" xfId="7857"/>
    <cellStyle name="Normal 2 2 2 2 2 2 2 2 2 2 2 2 2 2 2 2 2 2 2 2 2 2 2 2 46" xfId="7858"/>
    <cellStyle name="Normal 2 2 2 2 2 2 2 2 2 2 2 2 2 2 2 2 2 2 2 2 2 2 2 2 47" xfId="7859"/>
    <cellStyle name="Normal 2 2 2 2 2 2 2 2 2 2 2 2 2 2 2 2 2 2 2 2 2 2 2 2 48" xfId="7860"/>
    <cellStyle name="Normal 2 2 2 2 2 2 2 2 2 2 2 2 2 2 2 2 2 2 2 2 2 2 2 2 49" xfId="7861"/>
    <cellStyle name="Normal 2 2 2 2 2 2 2 2 2 2 2 2 2 2 2 2 2 2 2 2 2 2 2 2 5" xfId="7862"/>
    <cellStyle name="Normal 2 2 2 2 2 2 2 2 2 2 2 2 2 2 2 2 2 2 2 2 2 2 2 2 50" xfId="7863"/>
    <cellStyle name="Normal 2 2 2 2 2 2 2 2 2 2 2 2 2 2 2 2 2 2 2 2 2 2 2 2 51" xfId="7864"/>
    <cellStyle name="Normal 2 2 2 2 2 2 2 2 2 2 2 2 2 2 2 2 2 2 2 2 2 2 2 2 52" xfId="7865"/>
    <cellStyle name="Normal 2 2 2 2 2 2 2 2 2 2 2 2 2 2 2 2 2 2 2 2 2 2 2 2 53" xfId="7866"/>
    <cellStyle name="Normal 2 2 2 2 2 2 2 2 2 2 2 2 2 2 2 2 2 2 2 2 2 2 2 2 54" xfId="7867"/>
    <cellStyle name="Normal 2 2 2 2 2 2 2 2 2 2 2 2 2 2 2 2 2 2 2 2 2 2 2 2 55" xfId="7868"/>
    <cellStyle name="Normal 2 2 2 2 2 2 2 2 2 2 2 2 2 2 2 2 2 2 2 2 2 2 2 2 56" xfId="7869"/>
    <cellStyle name="Normal 2 2 2 2 2 2 2 2 2 2 2 2 2 2 2 2 2 2 2 2 2 2 2 2 57" xfId="7870"/>
    <cellStyle name="Normal 2 2 2 2 2 2 2 2 2 2 2 2 2 2 2 2 2 2 2 2 2 2 2 2 58" xfId="7871"/>
    <cellStyle name="Normal 2 2 2 2 2 2 2 2 2 2 2 2 2 2 2 2 2 2 2 2 2 2 2 2 59" xfId="7872"/>
    <cellStyle name="Normal 2 2 2 2 2 2 2 2 2 2 2 2 2 2 2 2 2 2 2 2 2 2 2 2 6" xfId="7873"/>
    <cellStyle name="Normal 2 2 2 2 2 2 2 2 2 2 2 2 2 2 2 2 2 2 2 2 2 2 2 2 60" xfId="7874"/>
    <cellStyle name="Normal 2 2 2 2 2 2 2 2 2 2 2 2 2 2 2 2 2 2 2 2 2 2 2 2 60 2" xfId="7875"/>
    <cellStyle name="Normal 2 2 2 2 2 2 2 2 2 2 2 2 2 2 2 2 2 2 2 2 2 2 2 2 60 3" xfId="7876"/>
    <cellStyle name="Normal 2 2 2 2 2 2 2 2 2 2 2 2 2 2 2 2 2 2 2 2 2 2 2 2 60 4" xfId="7877"/>
    <cellStyle name="Normal 2 2 2 2 2 2 2 2 2 2 2 2 2 2 2 2 2 2 2 2 2 2 2 2 61" xfId="7878"/>
    <cellStyle name="Normal 2 2 2 2 2 2 2 2 2 2 2 2 2 2 2 2 2 2 2 2 2 2 2 2 62" xfId="7879"/>
    <cellStyle name="Normal 2 2 2 2 2 2 2 2 2 2 2 2 2 2 2 2 2 2 2 2 2 2 2 2 7" xfId="7880"/>
    <cellStyle name="Normal 2 2 2 2 2 2 2 2 2 2 2 2 2 2 2 2 2 2 2 2 2 2 2 2 8" xfId="7881"/>
    <cellStyle name="Normal 2 2 2 2 2 2 2 2 2 2 2 2 2 2 2 2 2 2 2 2 2 2 2 2 9" xfId="7882"/>
    <cellStyle name="Normal 2 2 2 2 2 2 2 2 2 2 2 2 2 2 2 2 2 2 2 2 2 2 2 20" xfId="7883"/>
    <cellStyle name="Normal 2 2 2 2 2 2 2 2 2 2 2 2 2 2 2 2 2 2 2 2 2 2 2 21" xfId="7884"/>
    <cellStyle name="Normal 2 2 2 2 2 2 2 2 2 2 2 2 2 2 2 2 2 2 2 2 2 2 2 22" xfId="7885"/>
    <cellStyle name="Normal 2 2 2 2 2 2 2 2 2 2 2 2 2 2 2 2 2 2 2 2 2 2 2 23" xfId="7886"/>
    <cellStyle name="Normal 2 2 2 2 2 2 2 2 2 2 2 2 2 2 2 2 2 2 2 2 2 2 2 24" xfId="7887"/>
    <cellStyle name="Normal 2 2 2 2 2 2 2 2 2 2 2 2 2 2 2 2 2 2 2 2 2 2 2 25" xfId="7888"/>
    <cellStyle name="Normal 2 2 2 2 2 2 2 2 2 2 2 2 2 2 2 2 2 2 2 2 2 2 2 26" xfId="7889"/>
    <cellStyle name="Normal 2 2 2 2 2 2 2 2 2 2 2 2 2 2 2 2 2 2 2 2 2 2 2 27" xfId="7890"/>
    <cellStyle name="Normal 2 2 2 2 2 2 2 2 2 2 2 2 2 2 2 2 2 2 2 2 2 2 2 28" xfId="7891"/>
    <cellStyle name="Normal 2 2 2 2 2 2 2 2 2 2 2 2 2 2 2 2 2 2 2 2 2 2 2 29" xfId="7892"/>
    <cellStyle name="Normal 2 2 2 2 2 2 2 2 2 2 2 2 2 2 2 2 2 2 2 2 2 2 2 3" xfId="7893"/>
    <cellStyle name="Normal 2 2 2 2 2 2 2 2 2 2 2 2 2 2 2 2 2 2 2 2 2 2 2 30" xfId="7894"/>
    <cellStyle name="Normal 2 2 2 2 2 2 2 2 2 2 2 2 2 2 2 2 2 2 2 2 2 2 2 31" xfId="7895"/>
    <cellStyle name="Normal 2 2 2 2 2 2 2 2 2 2 2 2 2 2 2 2 2 2 2 2 2 2 2 32" xfId="7896"/>
    <cellStyle name="Normal 2 2 2 2 2 2 2 2 2 2 2 2 2 2 2 2 2 2 2 2 2 2 2 33" xfId="7897"/>
    <cellStyle name="Normal 2 2 2 2 2 2 2 2 2 2 2 2 2 2 2 2 2 2 2 2 2 2 2 34" xfId="7898"/>
    <cellStyle name="Normal 2 2 2 2 2 2 2 2 2 2 2 2 2 2 2 2 2 2 2 2 2 2 2 35" xfId="7899"/>
    <cellStyle name="Normal 2 2 2 2 2 2 2 2 2 2 2 2 2 2 2 2 2 2 2 2 2 2 2 36" xfId="7900"/>
    <cellStyle name="Normal 2 2 2 2 2 2 2 2 2 2 2 2 2 2 2 2 2 2 2 2 2 2 2 37" xfId="7901"/>
    <cellStyle name="Normal 2 2 2 2 2 2 2 2 2 2 2 2 2 2 2 2 2 2 2 2 2 2 2 38" xfId="7902"/>
    <cellStyle name="Normal 2 2 2 2 2 2 2 2 2 2 2 2 2 2 2 2 2 2 2 2 2 2 2 39" xfId="7903"/>
    <cellStyle name="Normal 2 2 2 2 2 2 2 2 2 2 2 2 2 2 2 2 2 2 2 2 2 2 2 4" xfId="7904"/>
    <cellStyle name="Normal 2 2 2 2 2 2 2 2 2 2 2 2 2 2 2 2 2 2 2 2 2 2 2 40" xfId="7905"/>
    <cellStyle name="Normal 2 2 2 2 2 2 2 2 2 2 2 2 2 2 2 2 2 2 2 2 2 2 2 41" xfId="7906"/>
    <cellStyle name="Normal 2 2 2 2 2 2 2 2 2 2 2 2 2 2 2 2 2 2 2 2 2 2 2 42" xfId="7907"/>
    <cellStyle name="Normal 2 2 2 2 2 2 2 2 2 2 2 2 2 2 2 2 2 2 2 2 2 2 2 43" xfId="7908"/>
    <cellStyle name="Normal 2 2 2 2 2 2 2 2 2 2 2 2 2 2 2 2 2 2 2 2 2 2 2 44" xfId="7909"/>
    <cellStyle name="Normal 2 2 2 2 2 2 2 2 2 2 2 2 2 2 2 2 2 2 2 2 2 2 2 45" xfId="7910"/>
    <cellStyle name="Normal 2 2 2 2 2 2 2 2 2 2 2 2 2 2 2 2 2 2 2 2 2 2 2 46" xfId="7911"/>
    <cellStyle name="Normal 2 2 2 2 2 2 2 2 2 2 2 2 2 2 2 2 2 2 2 2 2 2 2 47" xfId="7912"/>
    <cellStyle name="Normal 2 2 2 2 2 2 2 2 2 2 2 2 2 2 2 2 2 2 2 2 2 2 2 48" xfId="7913"/>
    <cellStyle name="Normal 2 2 2 2 2 2 2 2 2 2 2 2 2 2 2 2 2 2 2 2 2 2 2 49" xfId="7914"/>
    <cellStyle name="Normal 2 2 2 2 2 2 2 2 2 2 2 2 2 2 2 2 2 2 2 2 2 2 2 5" xfId="7915"/>
    <cellStyle name="Normal 2 2 2 2 2 2 2 2 2 2 2 2 2 2 2 2 2 2 2 2 2 2 2 50" xfId="7916"/>
    <cellStyle name="Normal 2 2 2 2 2 2 2 2 2 2 2 2 2 2 2 2 2 2 2 2 2 2 2 51" xfId="7917"/>
    <cellStyle name="Normal 2 2 2 2 2 2 2 2 2 2 2 2 2 2 2 2 2 2 2 2 2 2 2 52" xfId="7918"/>
    <cellStyle name="Normal 2 2 2 2 2 2 2 2 2 2 2 2 2 2 2 2 2 2 2 2 2 2 2 53" xfId="7919"/>
    <cellStyle name="Normal 2 2 2 2 2 2 2 2 2 2 2 2 2 2 2 2 2 2 2 2 2 2 2 54" xfId="7920"/>
    <cellStyle name="Normal 2 2 2 2 2 2 2 2 2 2 2 2 2 2 2 2 2 2 2 2 2 2 2 55" xfId="7921"/>
    <cellStyle name="Normal 2 2 2 2 2 2 2 2 2 2 2 2 2 2 2 2 2 2 2 2 2 2 2 56" xfId="7922"/>
    <cellStyle name="Normal 2 2 2 2 2 2 2 2 2 2 2 2 2 2 2 2 2 2 2 2 2 2 2 57" xfId="7923"/>
    <cellStyle name="Normal 2 2 2 2 2 2 2 2 2 2 2 2 2 2 2 2 2 2 2 2 2 2 2 58" xfId="7924"/>
    <cellStyle name="Normal 2 2 2 2 2 2 2 2 2 2 2 2 2 2 2 2 2 2 2 2 2 2 2 59" xfId="7925"/>
    <cellStyle name="Normal 2 2 2 2 2 2 2 2 2 2 2 2 2 2 2 2 2 2 2 2 2 2 2 6" xfId="7926"/>
    <cellStyle name="Normal 2 2 2 2 2 2 2 2 2 2 2 2 2 2 2 2 2 2 2 2 2 2 2 60" xfId="7927"/>
    <cellStyle name="Normal 2 2 2 2 2 2 2 2 2 2 2 2 2 2 2 2 2 2 2 2 2 2 2 60 2" xfId="7928"/>
    <cellStyle name="Normal 2 2 2 2 2 2 2 2 2 2 2 2 2 2 2 2 2 2 2 2 2 2 2 60 3" xfId="7929"/>
    <cellStyle name="Normal 2 2 2 2 2 2 2 2 2 2 2 2 2 2 2 2 2 2 2 2 2 2 2 60 4" xfId="7930"/>
    <cellStyle name="Normal 2 2 2 2 2 2 2 2 2 2 2 2 2 2 2 2 2 2 2 2 2 2 2 61" xfId="7931"/>
    <cellStyle name="Normal 2 2 2 2 2 2 2 2 2 2 2 2 2 2 2 2 2 2 2 2 2 2 2 62" xfId="7932"/>
    <cellStyle name="Normal 2 2 2 2 2 2 2 2 2 2 2 2 2 2 2 2 2 2 2 2 2 2 2 7" xfId="7933"/>
    <cellStyle name="Normal 2 2 2 2 2 2 2 2 2 2 2 2 2 2 2 2 2 2 2 2 2 2 2 8" xfId="7934"/>
    <cellStyle name="Normal 2 2 2 2 2 2 2 2 2 2 2 2 2 2 2 2 2 2 2 2 2 2 2 9" xfId="7935"/>
    <cellStyle name="Normal 2 2 2 2 2 2 2 2 2 2 2 2 2 2 2 2 2 2 2 2 2 2 20" xfId="7936"/>
    <cellStyle name="Normal 2 2 2 2 2 2 2 2 2 2 2 2 2 2 2 2 2 2 2 2 2 2 21" xfId="7937"/>
    <cellStyle name="Normal 2 2 2 2 2 2 2 2 2 2 2 2 2 2 2 2 2 2 2 2 2 2 22" xfId="7938"/>
    <cellStyle name="Normal 2 2 2 2 2 2 2 2 2 2 2 2 2 2 2 2 2 2 2 2 2 2 23" xfId="7939"/>
    <cellStyle name="Normal 2 2 2 2 2 2 2 2 2 2 2 2 2 2 2 2 2 2 2 2 2 2 24" xfId="7940"/>
    <cellStyle name="Normal 2 2 2 2 2 2 2 2 2 2 2 2 2 2 2 2 2 2 2 2 2 2 25" xfId="7941"/>
    <cellStyle name="Normal 2 2 2 2 2 2 2 2 2 2 2 2 2 2 2 2 2 2 2 2 2 2 26" xfId="7942"/>
    <cellStyle name="Normal 2 2 2 2 2 2 2 2 2 2 2 2 2 2 2 2 2 2 2 2 2 2 27" xfId="7943"/>
    <cellStyle name="Normal 2 2 2 2 2 2 2 2 2 2 2 2 2 2 2 2 2 2 2 2 2 2 28" xfId="7944"/>
    <cellStyle name="Normal 2 2 2 2 2 2 2 2 2 2 2 2 2 2 2 2 2 2 2 2 2 2 29" xfId="7945"/>
    <cellStyle name="Normal 2 2 2 2 2 2 2 2 2 2 2 2 2 2 2 2 2 2 2 2 2 2 3" xfId="7946"/>
    <cellStyle name="Normal 2 2 2 2 2 2 2 2 2 2 2 2 2 2 2 2 2 2 2 2 2 2 30" xfId="7947"/>
    <cellStyle name="Normal 2 2 2 2 2 2 2 2 2 2 2 2 2 2 2 2 2 2 2 2 2 2 31" xfId="7948"/>
    <cellStyle name="Normal 2 2 2 2 2 2 2 2 2 2 2 2 2 2 2 2 2 2 2 2 2 2 32" xfId="7949"/>
    <cellStyle name="Normal 2 2 2 2 2 2 2 2 2 2 2 2 2 2 2 2 2 2 2 2 2 2 33" xfId="7950"/>
    <cellStyle name="Normal 2 2 2 2 2 2 2 2 2 2 2 2 2 2 2 2 2 2 2 2 2 2 34" xfId="7951"/>
    <cellStyle name="Normal 2 2 2 2 2 2 2 2 2 2 2 2 2 2 2 2 2 2 2 2 2 2 35" xfId="7952"/>
    <cellStyle name="Normal 2 2 2 2 2 2 2 2 2 2 2 2 2 2 2 2 2 2 2 2 2 2 36" xfId="7953"/>
    <cellStyle name="Normal 2 2 2 2 2 2 2 2 2 2 2 2 2 2 2 2 2 2 2 2 2 2 37" xfId="7954"/>
    <cellStyle name="Normal 2 2 2 2 2 2 2 2 2 2 2 2 2 2 2 2 2 2 2 2 2 2 38" xfId="7955"/>
    <cellStyle name="Normal 2 2 2 2 2 2 2 2 2 2 2 2 2 2 2 2 2 2 2 2 2 2 39" xfId="7956"/>
    <cellStyle name="Normal 2 2 2 2 2 2 2 2 2 2 2 2 2 2 2 2 2 2 2 2 2 2 4" xfId="7957"/>
    <cellStyle name="Normal 2 2 2 2 2 2 2 2 2 2 2 2 2 2 2 2 2 2 2 2 2 2 40" xfId="7958"/>
    <cellStyle name="Normal 2 2 2 2 2 2 2 2 2 2 2 2 2 2 2 2 2 2 2 2 2 2 41" xfId="7959"/>
    <cellStyle name="Normal 2 2 2 2 2 2 2 2 2 2 2 2 2 2 2 2 2 2 2 2 2 2 42" xfId="7960"/>
    <cellStyle name="Normal 2 2 2 2 2 2 2 2 2 2 2 2 2 2 2 2 2 2 2 2 2 2 43" xfId="7961"/>
    <cellStyle name="Normal 2 2 2 2 2 2 2 2 2 2 2 2 2 2 2 2 2 2 2 2 2 2 44" xfId="7962"/>
    <cellStyle name="Normal 2 2 2 2 2 2 2 2 2 2 2 2 2 2 2 2 2 2 2 2 2 2 45" xfId="7963"/>
    <cellStyle name="Normal 2 2 2 2 2 2 2 2 2 2 2 2 2 2 2 2 2 2 2 2 2 2 46" xfId="7964"/>
    <cellStyle name="Normal 2 2 2 2 2 2 2 2 2 2 2 2 2 2 2 2 2 2 2 2 2 2 47" xfId="7965"/>
    <cellStyle name="Normal 2 2 2 2 2 2 2 2 2 2 2 2 2 2 2 2 2 2 2 2 2 2 48" xfId="7966"/>
    <cellStyle name="Normal 2 2 2 2 2 2 2 2 2 2 2 2 2 2 2 2 2 2 2 2 2 2 49" xfId="7967"/>
    <cellStyle name="Normal 2 2 2 2 2 2 2 2 2 2 2 2 2 2 2 2 2 2 2 2 2 2 5" xfId="7968"/>
    <cellStyle name="Normal 2 2 2 2 2 2 2 2 2 2 2 2 2 2 2 2 2 2 2 2 2 2 50" xfId="7969"/>
    <cellStyle name="Normal 2 2 2 2 2 2 2 2 2 2 2 2 2 2 2 2 2 2 2 2 2 2 51" xfId="7970"/>
    <cellStyle name="Normal 2 2 2 2 2 2 2 2 2 2 2 2 2 2 2 2 2 2 2 2 2 2 52" xfId="7971"/>
    <cellStyle name="Normal 2 2 2 2 2 2 2 2 2 2 2 2 2 2 2 2 2 2 2 2 2 2 53" xfId="7972"/>
    <cellStyle name="Normal 2 2 2 2 2 2 2 2 2 2 2 2 2 2 2 2 2 2 2 2 2 2 54" xfId="7973"/>
    <cellStyle name="Normal 2 2 2 2 2 2 2 2 2 2 2 2 2 2 2 2 2 2 2 2 2 2 55" xfId="7974"/>
    <cellStyle name="Normal 2 2 2 2 2 2 2 2 2 2 2 2 2 2 2 2 2 2 2 2 2 2 56" xfId="7975"/>
    <cellStyle name="Normal 2 2 2 2 2 2 2 2 2 2 2 2 2 2 2 2 2 2 2 2 2 2 57" xfId="7976"/>
    <cellStyle name="Normal 2 2 2 2 2 2 2 2 2 2 2 2 2 2 2 2 2 2 2 2 2 2 58" xfId="7977"/>
    <cellStyle name="Normal 2 2 2 2 2 2 2 2 2 2 2 2 2 2 2 2 2 2 2 2 2 2 59" xfId="7978"/>
    <cellStyle name="Normal 2 2 2 2 2 2 2 2 2 2 2 2 2 2 2 2 2 2 2 2 2 2 6" xfId="7979"/>
    <cellStyle name="Normal 2 2 2 2 2 2 2 2 2 2 2 2 2 2 2 2 2 2 2 2 2 2 60" xfId="7980"/>
    <cellStyle name="Normal 2 2 2 2 2 2 2 2 2 2 2 2 2 2 2 2 2 2 2 2 2 2 61" xfId="7981"/>
    <cellStyle name="Normal 2 2 2 2 2 2 2 2 2 2 2 2 2 2 2 2 2 2 2 2 2 2 62" xfId="7982"/>
    <cellStyle name="Normal 2 2 2 2 2 2 2 2 2 2 2 2 2 2 2 2 2 2 2 2 2 2 63" xfId="7983"/>
    <cellStyle name="Normal 2 2 2 2 2 2 2 2 2 2 2 2 2 2 2 2 2 2 2 2 2 2 63 2" xfId="7984"/>
    <cellStyle name="Normal 2 2 2 2 2 2 2 2 2 2 2 2 2 2 2 2 2 2 2 2 2 2 63 3" xfId="7985"/>
    <cellStyle name="Normal 2 2 2 2 2 2 2 2 2 2 2 2 2 2 2 2 2 2 2 2 2 2 63 4" xfId="7986"/>
    <cellStyle name="Normal 2 2 2 2 2 2 2 2 2 2 2 2 2 2 2 2 2 2 2 2 2 2 64" xfId="7987"/>
    <cellStyle name="Normal 2 2 2 2 2 2 2 2 2 2 2 2 2 2 2 2 2 2 2 2 2 2 65" xfId="7988"/>
    <cellStyle name="Normal 2 2 2 2 2 2 2 2 2 2 2 2 2 2 2 2 2 2 2 2 2 2 7" xfId="7989"/>
    <cellStyle name="Normal 2 2 2 2 2 2 2 2 2 2 2 2 2 2 2 2 2 2 2 2 2 2 8" xfId="7990"/>
    <cellStyle name="Normal 2 2 2 2 2 2 2 2 2 2 2 2 2 2 2 2 2 2 2 2 2 2 9" xfId="7991"/>
    <cellStyle name="Normal 2 2 2 2 2 2 2 2 2 2 2 2 2 2 2 2 2 2 2 2 2 20" xfId="7992"/>
    <cellStyle name="Normal 2 2 2 2 2 2 2 2 2 2 2 2 2 2 2 2 2 2 2 2 2 21" xfId="7993"/>
    <cellStyle name="Normal 2 2 2 2 2 2 2 2 2 2 2 2 2 2 2 2 2 2 2 2 2 22" xfId="7994"/>
    <cellStyle name="Normal 2 2 2 2 2 2 2 2 2 2 2 2 2 2 2 2 2 2 2 2 2 23" xfId="7995"/>
    <cellStyle name="Normal 2 2 2 2 2 2 2 2 2 2 2 2 2 2 2 2 2 2 2 2 2 24" xfId="7996"/>
    <cellStyle name="Normal 2 2 2 2 2 2 2 2 2 2 2 2 2 2 2 2 2 2 2 2 2 25" xfId="7997"/>
    <cellStyle name="Normal 2 2 2 2 2 2 2 2 2 2 2 2 2 2 2 2 2 2 2 2 2 26" xfId="7998"/>
    <cellStyle name="Normal 2 2 2 2 2 2 2 2 2 2 2 2 2 2 2 2 2 2 2 2 2 27" xfId="7999"/>
    <cellStyle name="Normal 2 2 2 2 2 2 2 2 2 2 2 2 2 2 2 2 2 2 2 2 2 28" xfId="8000"/>
    <cellStyle name="Normal 2 2 2 2 2 2 2 2 2 2 2 2 2 2 2 2 2 2 2 2 2 29" xfId="8001"/>
    <cellStyle name="Normal 2 2 2 2 2 2 2 2 2 2 2 2 2 2 2 2 2 2 2 2 2 3" xfId="8002"/>
    <cellStyle name="Normal 2 2 2 2 2 2 2 2 2 2 2 2 2 2 2 2 2 2 2 2 2 30" xfId="8003"/>
    <cellStyle name="Normal 2 2 2 2 2 2 2 2 2 2 2 2 2 2 2 2 2 2 2 2 2 31" xfId="8004"/>
    <cellStyle name="Normal 2 2 2 2 2 2 2 2 2 2 2 2 2 2 2 2 2 2 2 2 2 32" xfId="8005"/>
    <cellStyle name="Normal 2 2 2 2 2 2 2 2 2 2 2 2 2 2 2 2 2 2 2 2 2 33" xfId="8006"/>
    <cellStyle name="Normal 2 2 2 2 2 2 2 2 2 2 2 2 2 2 2 2 2 2 2 2 2 34" xfId="8007"/>
    <cellStyle name="Normal 2 2 2 2 2 2 2 2 2 2 2 2 2 2 2 2 2 2 2 2 2 35" xfId="8008"/>
    <cellStyle name="Normal 2 2 2 2 2 2 2 2 2 2 2 2 2 2 2 2 2 2 2 2 2 36" xfId="8009"/>
    <cellStyle name="Normal 2 2 2 2 2 2 2 2 2 2 2 2 2 2 2 2 2 2 2 2 2 37" xfId="8010"/>
    <cellStyle name="Normal 2 2 2 2 2 2 2 2 2 2 2 2 2 2 2 2 2 2 2 2 2 38" xfId="8011"/>
    <cellStyle name="Normal 2 2 2 2 2 2 2 2 2 2 2 2 2 2 2 2 2 2 2 2 2 39" xfId="8012"/>
    <cellStyle name="Normal 2 2 2 2 2 2 2 2 2 2 2 2 2 2 2 2 2 2 2 2 2 4" xfId="8013"/>
    <cellStyle name="Normal 2 2 2 2 2 2 2 2 2 2 2 2 2 2 2 2 2 2 2 2 2 40" xfId="8014"/>
    <cellStyle name="Normal 2 2 2 2 2 2 2 2 2 2 2 2 2 2 2 2 2 2 2 2 2 41" xfId="8015"/>
    <cellStyle name="Normal 2 2 2 2 2 2 2 2 2 2 2 2 2 2 2 2 2 2 2 2 2 42" xfId="8016"/>
    <cellStyle name="Normal 2 2 2 2 2 2 2 2 2 2 2 2 2 2 2 2 2 2 2 2 2 43" xfId="8017"/>
    <cellStyle name="Normal 2 2 2 2 2 2 2 2 2 2 2 2 2 2 2 2 2 2 2 2 2 44" xfId="8018"/>
    <cellStyle name="Normal 2 2 2 2 2 2 2 2 2 2 2 2 2 2 2 2 2 2 2 2 2 45" xfId="8019"/>
    <cellStyle name="Normal 2 2 2 2 2 2 2 2 2 2 2 2 2 2 2 2 2 2 2 2 2 46" xfId="8020"/>
    <cellStyle name="Normal 2 2 2 2 2 2 2 2 2 2 2 2 2 2 2 2 2 2 2 2 2 47" xfId="8021"/>
    <cellStyle name="Normal 2 2 2 2 2 2 2 2 2 2 2 2 2 2 2 2 2 2 2 2 2 48" xfId="8022"/>
    <cellStyle name="Normal 2 2 2 2 2 2 2 2 2 2 2 2 2 2 2 2 2 2 2 2 2 49" xfId="8023"/>
    <cellStyle name="Normal 2 2 2 2 2 2 2 2 2 2 2 2 2 2 2 2 2 2 2 2 2 5" xfId="8024"/>
    <cellStyle name="Normal 2 2 2 2 2 2 2 2 2 2 2 2 2 2 2 2 2 2 2 2 2 50" xfId="8025"/>
    <cellStyle name="Normal 2 2 2 2 2 2 2 2 2 2 2 2 2 2 2 2 2 2 2 2 2 51" xfId="8026"/>
    <cellStyle name="Normal 2 2 2 2 2 2 2 2 2 2 2 2 2 2 2 2 2 2 2 2 2 52" xfId="8027"/>
    <cellStyle name="Normal 2 2 2 2 2 2 2 2 2 2 2 2 2 2 2 2 2 2 2 2 2 53" xfId="8028"/>
    <cellStyle name="Normal 2 2 2 2 2 2 2 2 2 2 2 2 2 2 2 2 2 2 2 2 2 54" xfId="8029"/>
    <cellStyle name="Normal 2 2 2 2 2 2 2 2 2 2 2 2 2 2 2 2 2 2 2 2 2 55" xfId="8030"/>
    <cellStyle name="Normal 2 2 2 2 2 2 2 2 2 2 2 2 2 2 2 2 2 2 2 2 2 56" xfId="8031"/>
    <cellStyle name="Normal 2 2 2 2 2 2 2 2 2 2 2 2 2 2 2 2 2 2 2 2 2 57" xfId="8032"/>
    <cellStyle name="Normal 2 2 2 2 2 2 2 2 2 2 2 2 2 2 2 2 2 2 2 2 2 58" xfId="8033"/>
    <cellStyle name="Normal 2 2 2 2 2 2 2 2 2 2 2 2 2 2 2 2 2 2 2 2 2 59" xfId="8034"/>
    <cellStyle name="Normal 2 2 2 2 2 2 2 2 2 2 2 2 2 2 2 2 2 2 2 2 2 6" xfId="8035"/>
    <cellStyle name="Normal 2 2 2 2 2 2 2 2 2 2 2 2 2 2 2 2 2 2 2 2 2 60" xfId="8036"/>
    <cellStyle name="Normal 2 2 2 2 2 2 2 2 2 2 2 2 2 2 2 2 2 2 2 2 2 61" xfId="8037"/>
    <cellStyle name="Normal 2 2 2 2 2 2 2 2 2 2 2 2 2 2 2 2 2 2 2 2 2 62" xfId="8038"/>
    <cellStyle name="Normal 2 2 2 2 2 2 2 2 2 2 2 2 2 2 2 2 2 2 2 2 2 63" xfId="8039"/>
    <cellStyle name="Normal 2 2 2 2 2 2 2 2 2 2 2 2 2 2 2 2 2 2 2 2 2 64" xfId="8040"/>
    <cellStyle name="Normal 2 2 2 2 2 2 2 2 2 2 2 2 2 2 2 2 2 2 2 2 2 65" xfId="8041"/>
    <cellStyle name="Normal 2 2 2 2 2 2 2 2 2 2 2 2 2 2 2 2 2 2 2 2 2 65 2" xfId="8042"/>
    <cellStyle name="Normal 2 2 2 2 2 2 2 2 2 2 2 2 2 2 2 2 2 2 2 2 2 65 3" xfId="8043"/>
    <cellStyle name="Normal 2 2 2 2 2 2 2 2 2 2 2 2 2 2 2 2 2 2 2 2 2 65 4" xfId="8044"/>
    <cellStyle name="Normal 2 2 2 2 2 2 2 2 2 2 2 2 2 2 2 2 2 2 2 2 2 66" xfId="8045"/>
    <cellStyle name="Normal 2 2 2 2 2 2 2 2 2 2 2 2 2 2 2 2 2 2 2 2 2 67" xfId="8046"/>
    <cellStyle name="Normal 2 2 2 2 2 2 2 2 2 2 2 2 2 2 2 2 2 2 2 2 2 7" xfId="8047"/>
    <cellStyle name="Normal 2 2 2 2 2 2 2 2 2 2 2 2 2 2 2 2 2 2 2 2 2 8" xfId="8048"/>
    <cellStyle name="Normal 2 2 2 2 2 2 2 2 2 2 2 2 2 2 2 2 2 2 2 2 2 9" xfId="8049"/>
    <cellStyle name="Normal 2 2 2 2 2 2 2 2 2 2 2 2 2 2 2 2 2 2 2 2 20" xfId="8050"/>
    <cellStyle name="Normal 2 2 2 2 2 2 2 2 2 2 2 2 2 2 2 2 2 2 2 2 21" xfId="8051"/>
    <cellStyle name="Normal 2 2 2 2 2 2 2 2 2 2 2 2 2 2 2 2 2 2 2 2 22" xfId="8052"/>
    <cellStyle name="Normal 2 2 2 2 2 2 2 2 2 2 2 2 2 2 2 2 2 2 2 2 23" xfId="8053"/>
    <cellStyle name="Normal 2 2 2 2 2 2 2 2 2 2 2 2 2 2 2 2 2 2 2 2 23 2" xfId="8054"/>
    <cellStyle name="Normal 2 2 2 2 2 2 2 2 2 2 2 2 2 2 2 2 2 2 2 2 23 3" xfId="8055"/>
    <cellStyle name="Normal 2 2 2 2 2 2 2 2 2 2 2 2 2 2 2 2 2 2 2 2 23 4" xfId="8056"/>
    <cellStyle name="Normal 2 2 2 2 2 2 2 2 2 2 2 2 2 2 2 2 2 2 2 2 23 5" xfId="8057"/>
    <cellStyle name="Normal 2 2 2 2 2 2 2 2 2 2 2 2 2 2 2 2 2 2 2 2 23 6" xfId="8058"/>
    <cellStyle name="Normal 2 2 2 2 2 2 2 2 2 2 2 2 2 2 2 2 2 2 2 2 23 7" xfId="8059"/>
    <cellStyle name="Normal 2 2 2 2 2 2 2 2 2 2 2 2 2 2 2 2 2 2 2 2 24" xfId="8060"/>
    <cellStyle name="Normal 2 2 2 2 2 2 2 2 2 2 2 2 2 2 2 2 2 2 2 2 25" xfId="8061"/>
    <cellStyle name="Normal 2 2 2 2 2 2 2 2 2 2 2 2 2 2 2 2 2 2 2 2 26" xfId="8062"/>
    <cellStyle name="Normal 2 2 2 2 2 2 2 2 2 2 2 2 2 2 2 2 2 2 2 2 27" xfId="8063"/>
    <cellStyle name="Normal 2 2 2 2 2 2 2 2 2 2 2 2 2 2 2 2 2 2 2 2 28" xfId="8064"/>
    <cellStyle name="Normal 2 2 2 2 2 2 2 2 2 2 2 2 2 2 2 2 2 2 2 2 29" xfId="8065"/>
    <cellStyle name="Normal 2 2 2 2 2 2 2 2 2 2 2 2 2 2 2 2 2 2 2 2 3" xfId="8066"/>
    <cellStyle name="Normal 2 2 2 2 2 2 2 2 2 2 2 2 2 2 2 2 2 2 2 2 30" xfId="8067"/>
    <cellStyle name="Normal 2 2 2 2 2 2 2 2 2 2 2 2 2 2 2 2 2 2 2 2 31" xfId="8068"/>
    <cellStyle name="Normal 2 2 2 2 2 2 2 2 2 2 2 2 2 2 2 2 2 2 2 2 32" xfId="8069"/>
    <cellStyle name="Normal 2 2 2 2 2 2 2 2 2 2 2 2 2 2 2 2 2 2 2 2 33" xfId="8070"/>
    <cellStyle name="Normal 2 2 2 2 2 2 2 2 2 2 2 2 2 2 2 2 2 2 2 2 34" xfId="8071"/>
    <cellStyle name="Normal 2 2 2 2 2 2 2 2 2 2 2 2 2 2 2 2 2 2 2 2 35" xfId="8072"/>
    <cellStyle name="Normal 2 2 2 2 2 2 2 2 2 2 2 2 2 2 2 2 2 2 2 2 36" xfId="8073"/>
    <cellStyle name="Normal 2 2 2 2 2 2 2 2 2 2 2 2 2 2 2 2 2 2 2 2 37" xfId="8074"/>
    <cellStyle name="Normal 2 2 2 2 2 2 2 2 2 2 2 2 2 2 2 2 2 2 2 2 38" xfId="8075"/>
    <cellStyle name="Normal 2 2 2 2 2 2 2 2 2 2 2 2 2 2 2 2 2 2 2 2 39" xfId="8076"/>
    <cellStyle name="Normal 2 2 2 2 2 2 2 2 2 2 2 2 2 2 2 2 2 2 2 2 4" xfId="8077"/>
    <cellStyle name="Normal 2 2 2 2 2 2 2 2 2 2 2 2 2 2 2 2 2 2 2 2 40" xfId="8078"/>
    <cellStyle name="Normal 2 2 2 2 2 2 2 2 2 2 2 2 2 2 2 2 2 2 2 2 41" xfId="8079"/>
    <cellStyle name="Normal 2 2 2 2 2 2 2 2 2 2 2 2 2 2 2 2 2 2 2 2 42" xfId="8080"/>
    <cellStyle name="Normal 2 2 2 2 2 2 2 2 2 2 2 2 2 2 2 2 2 2 2 2 43" xfId="8081"/>
    <cellStyle name="Normal 2 2 2 2 2 2 2 2 2 2 2 2 2 2 2 2 2 2 2 2 44" xfId="8082"/>
    <cellStyle name="Normal 2 2 2 2 2 2 2 2 2 2 2 2 2 2 2 2 2 2 2 2 45" xfId="8083"/>
    <cellStyle name="Normal 2 2 2 2 2 2 2 2 2 2 2 2 2 2 2 2 2 2 2 2 46" xfId="8084"/>
    <cellStyle name="Normal 2 2 2 2 2 2 2 2 2 2 2 2 2 2 2 2 2 2 2 2 47" xfId="8085"/>
    <cellStyle name="Normal 2 2 2 2 2 2 2 2 2 2 2 2 2 2 2 2 2 2 2 2 48" xfId="8086"/>
    <cellStyle name="Normal 2 2 2 2 2 2 2 2 2 2 2 2 2 2 2 2 2 2 2 2 49" xfId="8087"/>
    <cellStyle name="Normal 2 2 2 2 2 2 2 2 2 2 2 2 2 2 2 2 2 2 2 2 5" xfId="8088"/>
    <cellStyle name="Normal 2 2 2 2 2 2 2 2 2 2 2 2 2 2 2 2 2 2 2 2 50" xfId="8089"/>
    <cellStyle name="Normal 2 2 2 2 2 2 2 2 2 2 2 2 2 2 2 2 2 2 2 2 51" xfId="8090"/>
    <cellStyle name="Normal 2 2 2 2 2 2 2 2 2 2 2 2 2 2 2 2 2 2 2 2 52" xfId="8091"/>
    <cellStyle name="Normal 2 2 2 2 2 2 2 2 2 2 2 2 2 2 2 2 2 2 2 2 53" xfId="8092"/>
    <cellStyle name="Normal 2 2 2 2 2 2 2 2 2 2 2 2 2 2 2 2 2 2 2 2 54" xfId="8093"/>
    <cellStyle name="Normal 2 2 2 2 2 2 2 2 2 2 2 2 2 2 2 2 2 2 2 2 55" xfId="8094"/>
    <cellStyle name="Normal 2 2 2 2 2 2 2 2 2 2 2 2 2 2 2 2 2 2 2 2 56" xfId="8095"/>
    <cellStyle name="Normal 2 2 2 2 2 2 2 2 2 2 2 2 2 2 2 2 2 2 2 2 57" xfId="8096"/>
    <cellStyle name="Normal 2 2 2 2 2 2 2 2 2 2 2 2 2 2 2 2 2 2 2 2 58" xfId="8097"/>
    <cellStyle name="Normal 2 2 2 2 2 2 2 2 2 2 2 2 2 2 2 2 2 2 2 2 59" xfId="8098"/>
    <cellStyle name="Normal 2 2 2 2 2 2 2 2 2 2 2 2 2 2 2 2 2 2 2 2 6" xfId="8099"/>
    <cellStyle name="Normal 2 2 2 2 2 2 2 2 2 2 2 2 2 2 2 2 2 2 2 2 60" xfId="8100"/>
    <cellStyle name="Normal 2 2 2 2 2 2 2 2 2 2 2 2 2 2 2 2 2 2 2 2 61" xfId="8101"/>
    <cellStyle name="Normal 2 2 2 2 2 2 2 2 2 2 2 2 2 2 2 2 2 2 2 2 62" xfId="8102"/>
    <cellStyle name="Normal 2 2 2 2 2 2 2 2 2 2 2 2 2 2 2 2 2 2 2 2 63" xfId="8103"/>
    <cellStyle name="Normal 2 2 2 2 2 2 2 2 2 2 2 2 2 2 2 2 2 2 2 2 64" xfId="8104"/>
    <cellStyle name="Normal 2 2 2 2 2 2 2 2 2 2 2 2 2 2 2 2 2 2 2 2 65" xfId="8105"/>
    <cellStyle name="Normal 2 2 2 2 2 2 2 2 2 2 2 2 2 2 2 2 2 2 2 2 66" xfId="8106"/>
    <cellStyle name="Normal 2 2 2 2 2 2 2 2 2 2 2 2 2 2 2 2 2 2 2 2 67" xfId="8107"/>
    <cellStyle name="Normal 2 2 2 2 2 2 2 2 2 2 2 2 2 2 2 2 2 2 2 2 68" xfId="8108"/>
    <cellStyle name="Normal 2 2 2 2 2 2 2 2 2 2 2 2 2 2 2 2 2 2 2 2 69" xfId="8109"/>
    <cellStyle name="Normal 2 2 2 2 2 2 2 2 2 2 2 2 2 2 2 2 2 2 2 2 7" xfId="8110"/>
    <cellStyle name="Normal 2 2 2 2 2 2 2 2 2 2 2 2 2 2 2 2 2 2 2 2 70" xfId="8111"/>
    <cellStyle name="Normal 2 2 2 2 2 2 2 2 2 2 2 2 2 2 2 2 2 2 2 2 70 2" xfId="8112"/>
    <cellStyle name="Normal 2 2 2 2 2 2 2 2 2 2 2 2 2 2 2 2 2 2 2 2 70 3" xfId="8113"/>
    <cellStyle name="Normal 2 2 2 2 2 2 2 2 2 2 2 2 2 2 2 2 2 2 2 2 70 4" xfId="8114"/>
    <cellStyle name="Normal 2 2 2 2 2 2 2 2 2 2 2 2 2 2 2 2 2 2 2 2 71" xfId="8115"/>
    <cellStyle name="Normal 2 2 2 2 2 2 2 2 2 2 2 2 2 2 2 2 2 2 2 2 72" xfId="8116"/>
    <cellStyle name="Normal 2 2 2 2 2 2 2 2 2 2 2 2 2 2 2 2 2 2 2 2 8" xfId="8117"/>
    <cellStyle name="Normal 2 2 2 2 2 2 2 2 2 2 2 2 2 2 2 2 2 2 2 2 8 2" xfId="8118"/>
    <cellStyle name="Normal 2 2 2 2 2 2 2 2 2 2 2 2 2 2 2 2 2 2 2 2 8 3" xfId="8119"/>
    <cellStyle name="Normal 2 2 2 2 2 2 2 2 2 2 2 2 2 2 2 2 2 2 2 2 8 4" xfId="8120"/>
    <cellStyle name="Normal 2 2 2 2 2 2 2 2 2 2 2 2 2 2 2 2 2 2 2 2 9" xfId="8121"/>
    <cellStyle name="Normal 2 2 2 2 2 2 2 2 2 2 2 2 2 2 2 2 2 2 2 20" xfId="8122"/>
    <cellStyle name="Normal 2 2 2 2 2 2 2 2 2 2 2 2 2 2 2 2 2 2 2 21" xfId="8123"/>
    <cellStyle name="Normal 2 2 2 2 2 2 2 2 2 2 2 2 2 2 2 2 2 2 2 22" xfId="8124"/>
    <cellStyle name="Normal 2 2 2 2 2 2 2 2 2 2 2 2 2 2 2 2 2 2 2 23" xfId="8125"/>
    <cellStyle name="Normal 2 2 2 2 2 2 2 2 2 2 2 2 2 2 2 2 2 2 2 23 2" xfId="8126"/>
    <cellStyle name="Normal 2 2 2 2 2 2 2 2 2 2 2 2 2 2 2 2 2 2 2 23 3" xfId="8127"/>
    <cellStyle name="Normal 2 2 2 2 2 2 2 2 2 2 2 2 2 2 2 2 2 2 2 23 4" xfId="8128"/>
    <cellStyle name="Normal 2 2 2 2 2 2 2 2 2 2 2 2 2 2 2 2 2 2 2 23 5" xfId="8129"/>
    <cellStyle name="Normal 2 2 2 2 2 2 2 2 2 2 2 2 2 2 2 2 2 2 2 23 6" xfId="8130"/>
    <cellStyle name="Normal 2 2 2 2 2 2 2 2 2 2 2 2 2 2 2 2 2 2 2 23 7" xfId="8131"/>
    <cellStyle name="Normal 2 2 2 2 2 2 2 2 2 2 2 2 2 2 2 2 2 2 2 24" xfId="8132"/>
    <cellStyle name="Normal 2 2 2 2 2 2 2 2 2 2 2 2 2 2 2 2 2 2 2 25" xfId="8133"/>
    <cellStyle name="Normal 2 2 2 2 2 2 2 2 2 2 2 2 2 2 2 2 2 2 2 26" xfId="8134"/>
    <cellStyle name="Normal 2 2 2 2 2 2 2 2 2 2 2 2 2 2 2 2 2 2 2 27" xfId="8135"/>
    <cellStyle name="Normal 2 2 2 2 2 2 2 2 2 2 2 2 2 2 2 2 2 2 2 28" xfId="8136"/>
    <cellStyle name="Normal 2 2 2 2 2 2 2 2 2 2 2 2 2 2 2 2 2 2 2 29" xfId="8137"/>
    <cellStyle name="Normal 2 2 2 2 2 2 2 2 2 2 2 2 2 2 2 2 2 2 2 3" xfId="8138"/>
    <cellStyle name="Normal 2 2 2 2 2 2 2 2 2 2 2 2 2 2 2 2 2 2 2 3 2" xfId="8139"/>
    <cellStyle name="Normal 2 2 2 2 2 2 2 2 2 2 2 2 2 2 2 2 2 2 2 3 2 2" xfId="8140"/>
    <cellStyle name="Normal 2 2 2 2 2 2 2 2 2 2 2 2 2 2 2 2 2 2 2 3 2 3" xfId="8141"/>
    <cellStyle name="Normal 2 2 2 2 2 2 2 2 2 2 2 2 2 2 2 2 2 2 2 3 2 4" xfId="8142"/>
    <cellStyle name="Normal 2 2 2 2 2 2 2 2 2 2 2 2 2 2 2 2 2 2 2 3 3" xfId="8143"/>
    <cellStyle name="Normal 2 2 2 2 2 2 2 2 2 2 2 2 2 2 2 2 2 2 2 3 4" xfId="8144"/>
    <cellStyle name="Normal 2 2 2 2 2 2 2 2 2 2 2 2 2 2 2 2 2 2 2 3 5" xfId="8145"/>
    <cellStyle name="Normal 2 2 2 2 2 2 2 2 2 2 2 2 2 2 2 2 2 2 2 3 6" xfId="8146"/>
    <cellStyle name="Normal 2 2 2 2 2 2 2 2 2 2 2 2 2 2 2 2 2 2 2 30" xfId="8147"/>
    <cellStyle name="Normal 2 2 2 2 2 2 2 2 2 2 2 2 2 2 2 2 2 2 2 31" xfId="8148"/>
    <cellStyle name="Normal 2 2 2 2 2 2 2 2 2 2 2 2 2 2 2 2 2 2 2 32" xfId="8149"/>
    <cellStyle name="Normal 2 2 2 2 2 2 2 2 2 2 2 2 2 2 2 2 2 2 2 33" xfId="8150"/>
    <cellStyle name="Normal 2 2 2 2 2 2 2 2 2 2 2 2 2 2 2 2 2 2 2 34" xfId="8151"/>
    <cellStyle name="Normal 2 2 2 2 2 2 2 2 2 2 2 2 2 2 2 2 2 2 2 35" xfId="8152"/>
    <cellStyle name="Normal 2 2 2 2 2 2 2 2 2 2 2 2 2 2 2 2 2 2 2 36" xfId="8153"/>
    <cellStyle name="Normal 2 2 2 2 2 2 2 2 2 2 2 2 2 2 2 2 2 2 2 37" xfId="8154"/>
    <cellStyle name="Normal 2 2 2 2 2 2 2 2 2 2 2 2 2 2 2 2 2 2 2 38" xfId="8155"/>
    <cellStyle name="Normal 2 2 2 2 2 2 2 2 2 2 2 2 2 2 2 2 2 2 2 39" xfId="8156"/>
    <cellStyle name="Normal 2 2 2 2 2 2 2 2 2 2 2 2 2 2 2 2 2 2 2 4" xfId="8157"/>
    <cellStyle name="Normal 2 2 2 2 2 2 2 2 2 2 2 2 2 2 2 2 2 2 2 40" xfId="8158"/>
    <cellStyle name="Normal 2 2 2 2 2 2 2 2 2 2 2 2 2 2 2 2 2 2 2 41" xfId="8159"/>
    <cellStyle name="Normal 2 2 2 2 2 2 2 2 2 2 2 2 2 2 2 2 2 2 2 42" xfId="8160"/>
    <cellStyle name="Normal 2 2 2 2 2 2 2 2 2 2 2 2 2 2 2 2 2 2 2 43" xfId="8161"/>
    <cellStyle name="Normal 2 2 2 2 2 2 2 2 2 2 2 2 2 2 2 2 2 2 2 44" xfId="8162"/>
    <cellStyle name="Normal 2 2 2 2 2 2 2 2 2 2 2 2 2 2 2 2 2 2 2 45" xfId="8163"/>
    <cellStyle name="Normal 2 2 2 2 2 2 2 2 2 2 2 2 2 2 2 2 2 2 2 46" xfId="8164"/>
    <cellStyle name="Normal 2 2 2 2 2 2 2 2 2 2 2 2 2 2 2 2 2 2 2 47" xfId="8165"/>
    <cellStyle name="Normal 2 2 2 2 2 2 2 2 2 2 2 2 2 2 2 2 2 2 2 48" xfId="8166"/>
    <cellStyle name="Normal 2 2 2 2 2 2 2 2 2 2 2 2 2 2 2 2 2 2 2 49" xfId="8167"/>
    <cellStyle name="Normal 2 2 2 2 2 2 2 2 2 2 2 2 2 2 2 2 2 2 2 5" xfId="8168"/>
    <cellStyle name="Normal 2 2 2 2 2 2 2 2 2 2 2 2 2 2 2 2 2 2 2 50" xfId="8169"/>
    <cellStyle name="Normal 2 2 2 2 2 2 2 2 2 2 2 2 2 2 2 2 2 2 2 51" xfId="8170"/>
    <cellStyle name="Normal 2 2 2 2 2 2 2 2 2 2 2 2 2 2 2 2 2 2 2 52" xfId="8171"/>
    <cellStyle name="Normal 2 2 2 2 2 2 2 2 2 2 2 2 2 2 2 2 2 2 2 53" xfId="8172"/>
    <cellStyle name="Normal 2 2 2 2 2 2 2 2 2 2 2 2 2 2 2 2 2 2 2 54" xfId="8173"/>
    <cellStyle name="Normal 2 2 2 2 2 2 2 2 2 2 2 2 2 2 2 2 2 2 2 55" xfId="8174"/>
    <cellStyle name="Normal 2 2 2 2 2 2 2 2 2 2 2 2 2 2 2 2 2 2 2 56" xfId="8175"/>
    <cellStyle name="Normal 2 2 2 2 2 2 2 2 2 2 2 2 2 2 2 2 2 2 2 57" xfId="8176"/>
    <cellStyle name="Normal 2 2 2 2 2 2 2 2 2 2 2 2 2 2 2 2 2 2 2 58" xfId="8177"/>
    <cellStyle name="Normal 2 2 2 2 2 2 2 2 2 2 2 2 2 2 2 2 2 2 2 59" xfId="8178"/>
    <cellStyle name="Normal 2 2 2 2 2 2 2 2 2 2 2 2 2 2 2 2 2 2 2 6" xfId="8179"/>
    <cellStyle name="Normal 2 2 2 2 2 2 2 2 2 2 2 2 2 2 2 2 2 2 2 60" xfId="8180"/>
    <cellStyle name="Normal 2 2 2 2 2 2 2 2 2 2 2 2 2 2 2 2 2 2 2 61" xfId="8181"/>
    <cellStyle name="Normal 2 2 2 2 2 2 2 2 2 2 2 2 2 2 2 2 2 2 2 62" xfId="8182"/>
    <cellStyle name="Normal 2 2 2 2 2 2 2 2 2 2 2 2 2 2 2 2 2 2 2 63" xfId="8183"/>
    <cellStyle name="Normal 2 2 2 2 2 2 2 2 2 2 2 2 2 2 2 2 2 2 2 64" xfId="8184"/>
    <cellStyle name="Normal 2 2 2 2 2 2 2 2 2 2 2 2 2 2 2 2 2 2 2 65" xfId="8185"/>
    <cellStyle name="Normal 2 2 2 2 2 2 2 2 2 2 2 2 2 2 2 2 2 2 2 66" xfId="8186"/>
    <cellStyle name="Normal 2 2 2 2 2 2 2 2 2 2 2 2 2 2 2 2 2 2 2 67" xfId="8187"/>
    <cellStyle name="Normal 2 2 2 2 2 2 2 2 2 2 2 2 2 2 2 2 2 2 2 68" xfId="8188"/>
    <cellStyle name="Normal 2 2 2 2 2 2 2 2 2 2 2 2 2 2 2 2 2 2 2 69" xfId="8189"/>
    <cellStyle name="Normal 2 2 2 2 2 2 2 2 2 2 2 2 2 2 2 2 2 2 2 7" xfId="8190"/>
    <cellStyle name="Normal 2 2 2 2 2 2 2 2 2 2 2 2 2 2 2 2 2 2 2 70" xfId="8191"/>
    <cellStyle name="Normal 2 2 2 2 2 2 2 2 2 2 2 2 2 2 2 2 2 2 2 70 2" xfId="8192"/>
    <cellStyle name="Normal 2 2 2 2 2 2 2 2 2 2 2 2 2 2 2 2 2 2 2 70 3" xfId="8193"/>
    <cellStyle name="Normal 2 2 2 2 2 2 2 2 2 2 2 2 2 2 2 2 2 2 2 70 4" xfId="8194"/>
    <cellStyle name="Normal 2 2 2 2 2 2 2 2 2 2 2 2 2 2 2 2 2 2 2 71" xfId="8195"/>
    <cellStyle name="Normal 2 2 2 2 2 2 2 2 2 2 2 2 2 2 2 2 2 2 2 72" xfId="8196"/>
    <cellStyle name="Normal 2 2 2 2 2 2 2 2 2 2 2 2 2 2 2 2 2 2 2 8" xfId="8197"/>
    <cellStyle name="Normal 2 2 2 2 2 2 2 2 2 2 2 2 2 2 2 2 2 2 2 8 2" xfId="8198"/>
    <cellStyle name="Normal 2 2 2 2 2 2 2 2 2 2 2 2 2 2 2 2 2 2 2 8 3" xfId="8199"/>
    <cellStyle name="Normal 2 2 2 2 2 2 2 2 2 2 2 2 2 2 2 2 2 2 2 8 4" xfId="8200"/>
    <cellStyle name="Normal 2 2 2 2 2 2 2 2 2 2 2 2 2 2 2 2 2 2 2 9" xfId="8201"/>
    <cellStyle name="Normal 2 2 2 2 2 2 2 2 2 2 2 2 2 2 2 2 2 2 20" xfId="8202"/>
    <cellStyle name="Normal 2 2 2 2 2 2 2 2 2 2 2 2 2 2 2 2 2 2 21" xfId="8203"/>
    <cellStyle name="Normal 2 2 2 2 2 2 2 2 2 2 2 2 2 2 2 2 2 2 22" xfId="8204"/>
    <cellStyle name="Normal 2 2 2 2 2 2 2 2 2 2 2 2 2 2 2 2 2 2 23" xfId="8205"/>
    <cellStyle name="Normal 2 2 2 2 2 2 2 2 2 2 2 2 2 2 2 2 2 2 24" xfId="8206"/>
    <cellStyle name="Normal 2 2 2 2 2 2 2 2 2 2 2 2 2 2 2 2 2 2 25" xfId="8207"/>
    <cellStyle name="Normal 2 2 2 2 2 2 2 2 2 2 2 2 2 2 2 2 2 2 26" xfId="8208"/>
    <cellStyle name="Normal 2 2 2 2 2 2 2 2 2 2 2 2 2 2 2 2 2 2 26 2" xfId="8209"/>
    <cellStyle name="Normal 2 2 2 2 2 2 2 2 2 2 2 2 2 2 2 2 2 2 26 3" xfId="8210"/>
    <cellStyle name="Normal 2 2 2 2 2 2 2 2 2 2 2 2 2 2 2 2 2 2 26 4" xfId="8211"/>
    <cellStyle name="Normal 2 2 2 2 2 2 2 2 2 2 2 2 2 2 2 2 2 2 26 5" xfId="8212"/>
    <cellStyle name="Normal 2 2 2 2 2 2 2 2 2 2 2 2 2 2 2 2 2 2 26 6" xfId="8213"/>
    <cellStyle name="Normal 2 2 2 2 2 2 2 2 2 2 2 2 2 2 2 2 2 2 26 7" xfId="8214"/>
    <cellStyle name="Normal 2 2 2 2 2 2 2 2 2 2 2 2 2 2 2 2 2 2 27" xfId="8215"/>
    <cellStyle name="Normal 2 2 2 2 2 2 2 2 2 2 2 2 2 2 2 2 2 2 28" xfId="8216"/>
    <cellStyle name="Normal 2 2 2 2 2 2 2 2 2 2 2 2 2 2 2 2 2 2 29" xfId="8217"/>
    <cellStyle name="Normal 2 2 2 2 2 2 2 2 2 2 2 2 2 2 2 2 2 2 3" xfId="8218"/>
    <cellStyle name="Normal 2 2 2 2 2 2 2 2 2 2 2 2 2 2 2 2 2 2 30" xfId="8219"/>
    <cellStyle name="Normal 2 2 2 2 2 2 2 2 2 2 2 2 2 2 2 2 2 2 31" xfId="8220"/>
    <cellStyle name="Normal 2 2 2 2 2 2 2 2 2 2 2 2 2 2 2 2 2 2 32" xfId="8221"/>
    <cellStyle name="Normal 2 2 2 2 2 2 2 2 2 2 2 2 2 2 2 2 2 2 33" xfId="8222"/>
    <cellStyle name="Normal 2 2 2 2 2 2 2 2 2 2 2 2 2 2 2 2 2 2 34" xfId="8223"/>
    <cellStyle name="Normal 2 2 2 2 2 2 2 2 2 2 2 2 2 2 2 2 2 2 35" xfId="8224"/>
    <cellStyle name="Normal 2 2 2 2 2 2 2 2 2 2 2 2 2 2 2 2 2 2 36" xfId="8225"/>
    <cellStyle name="Normal 2 2 2 2 2 2 2 2 2 2 2 2 2 2 2 2 2 2 37" xfId="8226"/>
    <cellStyle name="Normal 2 2 2 2 2 2 2 2 2 2 2 2 2 2 2 2 2 2 38" xfId="8227"/>
    <cellStyle name="Normal 2 2 2 2 2 2 2 2 2 2 2 2 2 2 2 2 2 2 39" xfId="8228"/>
    <cellStyle name="Normal 2 2 2 2 2 2 2 2 2 2 2 2 2 2 2 2 2 2 4" xfId="8229"/>
    <cellStyle name="Normal 2 2 2 2 2 2 2 2 2 2 2 2 2 2 2 2 2 2 40" xfId="8230"/>
    <cellStyle name="Normal 2 2 2 2 2 2 2 2 2 2 2 2 2 2 2 2 2 2 41" xfId="8231"/>
    <cellStyle name="Normal 2 2 2 2 2 2 2 2 2 2 2 2 2 2 2 2 2 2 42" xfId="8232"/>
    <cellStyle name="Normal 2 2 2 2 2 2 2 2 2 2 2 2 2 2 2 2 2 2 43" xfId="8233"/>
    <cellStyle name="Normal 2 2 2 2 2 2 2 2 2 2 2 2 2 2 2 2 2 2 44" xfId="8234"/>
    <cellStyle name="Normal 2 2 2 2 2 2 2 2 2 2 2 2 2 2 2 2 2 2 45" xfId="8235"/>
    <cellStyle name="Normal 2 2 2 2 2 2 2 2 2 2 2 2 2 2 2 2 2 2 46" xfId="8236"/>
    <cellStyle name="Normal 2 2 2 2 2 2 2 2 2 2 2 2 2 2 2 2 2 2 47" xfId="8237"/>
    <cellStyle name="Normal 2 2 2 2 2 2 2 2 2 2 2 2 2 2 2 2 2 2 48" xfId="8238"/>
    <cellStyle name="Normal 2 2 2 2 2 2 2 2 2 2 2 2 2 2 2 2 2 2 49" xfId="8239"/>
    <cellStyle name="Normal 2 2 2 2 2 2 2 2 2 2 2 2 2 2 2 2 2 2 5" xfId="8240"/>
    <cellStyle name="Normal 2 2 2 2 2 2 2 2 2 2 2 2 2 2 2 2 2 2 5 2" xfId="8241"/>
    <cellStyle name="Normal 2 2 2 2 2 2 2 2 2 2 2 2 2 2 2 2 2 2 5 2 2" xfId="8242"/>
    <cellStyle name="Normal 2 2 2 2 2 2 2 2 2 2 2 2 2 2 2 2 2 2 5 2 3" xfId="8243"/>
    <cellStyle name="Normal 2 2 2 2 2 2 2 2 2 2 2 2 2 2 2 2 2 2 5 2 4" xfId="8244"/>
    <cellStyle name="Normal 2 2 2 2 2 2 2 2 2 2 2 2 2 2 2 2 2 2 5 3" xfId="8245"/>
    <cellStyle name="Normal 2 2 2 2 2 2 2 2 2 2 2 2 2 2 2 2 2 2 5 4" xfId="8246"/>
    <cellStyle name="Normal 2 2 2 2 2 2 2 2 2 2 2 2 2 2 2 2 2 2 5 5" xfId="8247"/>
    <cellStyle name="Normal 2 2 2 2 2 2 2 2 2 2 2 2 2 2 2 2 2 2 5 6" xfId="8248"/>
    <cellStyle name="Normal 2 2 2 2 2 2 2 2 2 2 2 2 2 2 2 2 2 2 50" xfId="8249"/>
    <cellStyle name="Normal 2 2 2 2 2 2 2 2 2 2 2 2 2 2 2 2 2 2 51" xfId="8250"/>
    <cellStyle name="Normal 2 2 2 2 2 2 2 2 2 2 2 2 2 2 2 2 2 2 52" xfId="8251"/>
    <cellStyle name="Normal 2 2 2 2 2 2 2 2 2 2 2 2 2 2 2 2 2 2 53" xfId="8252"/>
    <cellStyle name="Normal 2 2 2 2 2 2 2 2 2 2 2 2 2 2 2 2 2 2 54" xfId="8253"/>
    <cellStyle name="Normal 2 2 2 2 2 2 2 2 2 2 2 2 2 2 2 2 2 2 55" xfId="8254"/>
    <cellStyle name="Normal 2 2 2 2 2 2 2 2 2 2 2 2 2 2 2 2 2 2 56" xfId="8255"/>
    <cellStyle name="Normal 2 2 2 2 2 2 2 2 2 2 2 2 2 2 2 2 2 2 57" xfId="8256"/>
    <cellStyle name="Normal 2 2 2 2 2 2 2 2 2 2 2 2 2 2 2 2 2 2 58" xfId="8257"/>
    <cellStyle name="Normal 2 2 2 2 2 2 2 2 2 2 2 2 2 2 2 2 2 2 59" xfId="8258"/>
    <cellStyle name="Normal 2 2 2 2 2 2 2 2 2 2 2 2 2 2 2 2 2 2 6" xfId="8259"/>
    <cellStyle name="Normal 2 2 2 2 2 2 2 2 2 2 2 2 2 2 2 2 2 2 60" xfId="8260"/>
    <cellStyle name="Normal 2 2 2 2 2 2 2 2 2 2 2 2 2 2 2 2 2 2 61" xfId="8261"/>
    <cellStyle name="Normal 2 2 2 2 2 2 2 2 2 2 2 2 2 2 2 2 2 2 62" xfId="8262"/>
    <cellStyle name="Normal 2 2 2 2 2 2 2 2 2 2 2 2 2 2 2 2 2 2 63" xfId="8263"/>
    <cellStyle name="Normal 2 2 2 2 2 2 2 2 2 2 2 2 2 2 2 2 2 2 64" xfId="8264"/>
    <cellStyle name="Normal 2 2 2 2 2 2 2 2 2 2 2 2 2 2 2 2 2 2 65" xfId="8265"/>
    <cellStyle name="Normal 2 2 2 2 2 2 2 2 2 2 2 2 2 2 2 2 2 2 66" xfId="8266"/>
    <cellStyle name="Normal 2 2 2 2 2 2 2 2 2 2 2 2 2 2 2 2 2 2 67" xfId="8267"/>
    <cellStyle name="Normal 2 2 2 2 2 2 2 2 2 2 2 2 2 2 2 2 2 2 68" xfId="8268"/>
    <cellStyle name="Normal 2 2 2 2 2 2 2 2 2 2 2 2 2 2 2 2 2 2 69" xfId="8269"/>
    <cellStyle name="Normal 2 2 2 2 2 2 2 2 2 2 2 2 2 2 2 2 2 2 7" xfId="8270"/>
    <cellStyle name="Normal 2 2 2 2 2 2 2 2 2 2 2 2 2 2 2 2 2 2 70" xfId="8271"/>
    <cellStyle name="Normal 2 2 2 2 2 2 2 2 2 2 2 2 2 2 2 2 2 2 71" xfId="8272"/>
    <cellStyle name="Normal 2 2 2 2 2 2 2 2 2 2 2 2 2 2 2 2 2 2 72" xfId="8273"/>
    <cellStyle name="Normal 2 2 2 2 2 2 2 2 2 2 2 2 2 2 2 2 2 2 73" xfId="8274"/>
    <cellStyle name="Normal 2 2 2 2 2 2 2 2 2 2 2 2 2 2 2 2 2 2 73 2" xfId="8275"/>
    <cellStyle name="Normal 2 2 2 2 2 2 2 2 2 2 2 2 2 2 2 2 2 2 73 3" xfId="8276"/>
    <cellStyle name="Normal 2 2 2 2 2 2 2 2 2 2 2 2 2 2 2 2 2 2 73 4" xfId="8277"/>
    <cellStyle name="Normal 2 2 2 2 2 2 2 2 2 2 2 2 2 2 2 2 2 2 74" xfId="8278"/>
    <cellStyle name="Normal 2 2 2 2 2 2 2 2 2 2 2 2 2 2 2 2 2 2 75" xfId="8279"/>
    <cellStyle name="Normal 2 2 2 2 2 2 2 2 2 2 2 2 2 2 2 2 2 2 8" xfId="8280"/>
    <cellStyle name="Normal 2 2 2 2 2 2 2 2 2 2 2 2 2 2 2 2 2 2 9" xfId="8281"/>
    <cellStyle name="Normal 2 2 2 2 2 2 2 2 2 2 2 2 2 2 2 2 2 20" xfId="8282"/>
    <cellStyle name="Normal 2 2 2 2 2 2 2 2 2 2 2 2 2 2 2 2 2 21" xfId="8283"/>
    <cellStyle name="Normal 2 2 2 2 2 2 2 2 2 2 2 2 2 2 2 2 2 22" xfId="8284"/>
    <cellStyle name="Normal 2 2 2 2 2 2 2 2 2 2 2 2 2 2 2 2 2 23" xfId="8285"/>
    <cellStyle name="Normal 2 2 2 2 2 2 2 2 2 2 2 2 2 2 2 2 2 24" xfId="8286"/>
    <cellStyle name="Normal 2 2 2 2 2 2 2 2 2 2 2 2 2 2 2 2 2 25" xfId="8287"/>
    <cellStyle name="Normal 2 2 2 2 2 2 2 2 2 2 2 2 2 2 2 2 2 26" xfId="8288"/>
    <cellStyle name="Normal 2 2 2 2 2 2 2 2 2 2 2 2 2 2 2 2 2 27" xfId="8289"/>
    <cellStyle name="Normal 2 2 2 2 2 2 2 2 2 2 2 2 2 2 2 2 2 28" xfId="8290"/>
    <cellStyle name="Normal 2 2 2 2 2 2 2 2 2 2 2 2 2 2 2 2 2 28 2" xfId="8291"/>
    <cellStyle name="Normal 2 2 2 2 2 2 2 2 2 2 2 2 2 2 2 2 2 28 3" xfId="8292"/>
    <cellStyle name="Normal 2 2 2 2 2 2 2 2 2 2 2 2 2 2 2 2 2 28 4" xfId="8293"/>
    <cellStyle name="Normal 2 2 2 2 2 2 2 2 2 2 2 2 2 2 2 2 2 28 5" xfId="8294"/>
    <cellStyle name="Normal 2 2 2 2 2 2 2 2 2 2 2 2 2 2 2 2 2 28 6" xfId="8295"/>
    <cellStyle name="Normal 2 2 2 2 2 2 2 2 2 2 2 2 2 2 2 2 2 28 7" xfId="8296"/>
    <cellStyle name="Normal 2 2 2 2 2 2 2 2 2 2 2 2 2 2 2 2 2 29" xfId="8297"/>
    <cellStyle name="Normal 2 2 2 2 2 2 2 2 2 2 2 2 2 2 2 2 2 3" xfId="8298"/>
    <cellStyle name="Normal 2 2 2 2 2 2 2 2 2 2 2 2 2 2 2 2 2 30" xfId="8299"/>
    <cellStyle name="Normal 2 2 2 2 2 2 2 2 2 2 2 2 2 2 2 2 2 31" xfId="8300"/>
    <cellStyle name="Normal 2 2 2 2 2 2 2 2 2 2 2 2 2 2 2 2 2 32" xfId="8301"/>
    <cellStyle name="Normal 2 2 2 2 2 2 2 2 2 2 2 2 2 2 2 2 2 33" xfId="8302"/>
    <cellStyle name="Normal 2 2 2 2 2 2 2 2 2 2 2 2 2 2 2 2 2 34" xfId="8303"/>
    <cellStyle name="Normal 2 2 2 2 2 2 2 2 2 2 2 2 2 2 2 2 2 35" xfId="8304"/>
    <cellStyle name="Normal 2 2 2 2 2 2 2 2 2 2 2 2 2 2 2 2 2 36" xfId="8305"/>
    <cellStyle name="Normal 2 2 2 2 2 2 2 2 2 2 2 2 2 2 2 2 2 37" xfId="8306"/>
    <cellStyle name="Normal 2 2 2 2 2 2 2 2 2 2 2 2 2 2 2 2 2 38" xfId="8307"/>
    <cellStyle name="Normal 2 2 2 2 2 2 2 2 2 2 2 2 2 2 2 2 2 39" xfId="8308"/>
    <cellStyle name="Normal 2 2 2 2 2 2 2 2 2 2 2 2 2 2 2 2 2 4" xfId="8309"/>
    <cellStyle name="Normal 2 2 2 2 2 2 2 2 2 2 2 2 2 2 2 2 2 40" xfId="8310"/>
    <cellStyle name="Normal 2 2 2 2 2 2 2 2 2 2 2 2 2 2 2 2 2 41" xfId="8311"/>
    <cellStyle name="Normal 2 2 2 2 2 2 2 2 2 2 2 2 2 2 2 2 2 42" xfId="8312"/>
    <cellStyle name="Normal 2 2 2 2 2 2 2 2 2 2 2 2 2 2 2 2 2 43" xfId="8313"/>
    <cellStyle name="Normal 2 2 2 2 2 2 2 2 2 2 2 2 2 2 2 2 2 44" xfId="8314"/>
    <cellStyle name="Normal 2 2 2 2 2 2 2 2 2 2 2 2 2 2 2 2 2 45" xfId="8315"/>
    <cellStyle name="Normal 2 2 2 2 2 2 2 2 2 2 2 2 2 2 2 2 2 46" xfId="8316"/>
    <cellStyle name="Normal 2 2 2 2 2 2 2 2 2 2 2 2 2 2 2 2 2 47" xfId="8317"/>
    <cellStyle name="Normal 2 2 2 2 2 2 2 2 2 2 2 2 2 2 2 2 2 48" xfId="8318"/>
    <cellStyle name="Normal 2 2 2 2 2 2 2 2 2 2 2 2 2 2 2 2 2 49" xfId="8319"/>
    <cellStyle name="Normal 2 2 2 2 2 2 2 2 2 2 2 2 2 2 2 2 2 5" xfId="8320"/>
    <cellStyle name="Normal 2 2 2 2 2 2 2 2 2 2 2 2 2 2 2 2 2 5 10" xfId="8321"/>
    <cellStyle name="Normal 2 2 2 2 2 2 2 2 2 2 2 2 2 2 2 2 2 5 11" xfId="8322"/>
    <cellStyle name="Normal 2 2 2 2 2 2 2 2 2 2 2 2 2 2 2 2 2 5 2" xfId="8323"/>
    <cellStyle name="Normal 2 2 2 2 2 2 2 2 2 2 2 2 2 2 2 2 2 5 2 10" xfId="8324"/>
    <cellStyle name="Normal 2 2 2 2 2 2 2 2 2 2 2 2 2 2 2 2 2 5 2 11" xfId="8325"/>
    <cellStyle name="Normal 2 2 2 2 2 2 2 2 2 2 2 2 2 2 2 2 2 5 2 2" xfId="8326"/>
    <cellStyle name="Normal 2 2 2 2 2 2 2 2 2 2 2 2 2 2 2 2 2 5 2 2 2" xfId="8327"/>
    <cellStyle name="Normal 2 2 2 2 2 2 2 2 2 2 2 2 2 2 2 2 2 5 2 2 2 2" xfId="8328"/>
    <cellStyle name="Normal 2 2 2 2 2 2 2 2 2 2 2 2 2 2 2 2 2 5 2 2 2 3" xfId="8329"/>
    <cellStyle name="Normal 2 2 2 2 2 2 2 2 2 2 2 2 2 2 2 2 2 5 2 2 2 4" xfId="8330"/>
    <cellStyle name="Normal 2 2 2 2 2 2 2 2 2 2 2 2 2 2 2 2 2 5 2 2 3" xfId="8331"/>
    <cellStyle name="Normal 2 2 2 2 2 2 2 2 2 2 2 2 2 2 2 2 2 5 2 2 4" xfId="8332"/>
    <cellStyle name="Normal 2 2 2 2 2 2 2 2 2 2 2 2 2 2 2 2 2 5 2 2 5" xfId="8333"/>
    <cellStyle name="Normal 2 2 2 2 2 2 2 2 2 2 2 2 2 2 2 2 2 5 2 2 6" xfId="8334"/>
    <cellStyle name="Normal 2 2 2 2 2 2 2 2 2 2 2 2 2 2 2 2 2 5 2 3" xfId="8335"/>
    <cellStyle name="Normal 2 2 2 2 2 2 2 2 2 2 2 2 2 2 2 2 2 5 2 4" xfId="8336"/>
    <cellStyle name="Normal 2 2 2 2 2 2 2 2 2 2 2 2 2 2 2 2 2 5 2 5" xfId="8337"/>
    <cellStyle name="Normal 2 2 2 2 2 2 2 2 2 2 2 2 2 2 2 2 2 5 2 6" xfId="8338"/>
    <cellStyle name="Normal 2 2 2 2 2 2 2 2 2 2 2 2 2 2 2 2 2 5 2 7" xfId="8339"/>
    <cellStyle name="Normal 2 2 2 2 2 2 2 2 2 2 2 2 2 2 2 2 2 5 2 8" xfId="8340"/>
    <cellStyle name="Normal 2 2 2 2 2 2 2 2 2 2 2 2 2 2 2 2 2 5 2 8 2" xfId="8341"/>
    <cellStyle name="Normal 2 2 2 2 2 2 2 2 2 2 2 2 2 2 2 2 2 5 2 8 3" xfId="8342"/>
    <cellStyle name="Normal 2 2 2 2 2 2 2 2 2 2 2 2 2 2 2 2 2 5 2 8 4" xfId="8343"/>
    <cellStyle name="Normal 2 2 2 2 2 2 2 2 2 2 2 2 2 2 2 2 2 5 2 9" xfId="8344"/>
    <cellStyle name="Normal 2 2 2 2 2 2 2 2 2 2 2 2 2 2 2 2 2 5 3" xfId="8345"/>
    <cellStyle name="Normal 2 2 2 2 2 2 2 2 2 2 2 2 2 2 2 2 2 5 3 2" xfId="8346"/>
    <cellStyle name="Normal 2 2 2 2 2 2 2 2 2 2 2 2 2 2 2 2 2 5 3 2 2" xfId="8347"/>
    <cellStyle name="Normal 2 2 2 2 2 2 2 2 2 2 2 2 2 2 2 2 2 5 3 2 3" xfId="8348"/>
    <cellStyle name="Normal 2 2 2 2 2 2 2 2 2 2 2 2 2 2 2 2 2 5 3 2 4" xfId="8349"/>
    <cellStyle name="Normal 2 2 2 2 2 2 2 2 2 2 2 2 2 2 2 2 2 5 3 3" xfId="8350"/>
    <cellStyle name="Normal 2 2 2 2 2 2 2 2 2 2 2 2 2 2 2 2 2 5 3 4" xfId="8351"/>
    <cellStyle name="Normal 2 2 2 2 2 2 2 2 2 2 2 2 2 2 2 2 2 5 3 5" xfId="8352"/>
    <cellStyle name="Normal 2 2 2 2 2 2 2 2 2 2 2 2 2 2 2 2 2 5 3 6" xfId="8353"/>
    <cellStyle name="Normal 2 2 2 2 2 2 2 2 2 2 2 2 2 2 2 2 2 5 4" xfId="8354"/>
    <cellStyle name="Normal 2 2 2 2 2 2 2 2 2 2 2 2 2 2 2 2 2 5 5" xfId="8355"/>
    <cellStyle name="Normal 2 2 2 2 2 2 2 2 2 2 2 2 2 2 2 2 2 5 6" xfId="8356"/>
    <cellStyle name="Normal 2 2 2 2 2 2 2 2 2 2 2 2 2 2 2 2 2 5 7" xfId="8357"/>
    <cellStyle name="Normal 2 2 2 2 2 2 2 2 2 2 2 2 2 2 2 2 2 5 8" xfId="8358"/>
    <cellStyle name="Normal 2 2 2 2 2 2 2 2 2 2 2 2 2 2 2 2 2 5 8 2" xfId="8359"/>
    <cellStyle name="Normal 2 2 2 2 2 2 2 2 2 2 2 2 2 2 2 2 2 5 8 3" xfId="8360"/>
    <cellStyle name="Normal 2 2 2 2 2 2 2 2 2 2 2 2 2 2 2 2 2 5 8 4" xfId="8361"/>
    <cellStyle name="Normal 2 2 2 2 2 2 2 2 2 2 2 2 2 2 2 2 2 5 9" xfId="8362"/>
    <cellStyle name="Normal 2 2 2 2 2 2 2 2 2 2 2 2 2 2 2 2 2 50" xfId="8363"/>
    <cellStyle name="Normal 2 2 2 2 2 2 2 2 2 2 2 2 2 2 2 2 2 51" xfId="8364"/>
    <cellStyle name="Normal 2 2 2 2 2 2 2 2 2 2 2 2 2 2 2 2 2 52" xfId="8365"/>
    <cellStyle name="Normal 2 2 2 2 2 2 2 2 2 2 2 2 2 2 2 2 2 53" xfId="8366"/>
    <cellStyle name="Normal 2 2 2 2 2 2 2 2 2 2 2 2 2 2 2 2 2 54" xfId="8367"/>
    <cellStyle name="Normal 2 2 2 2 2 2 2 2 2 2 2 2 2 2 2 2 2 55" xfId="8368"/>
    <cellStyle name="Normal 2 2 2 2 2 2 2 2 2 2 2 2 2 2 2 2 2 56" xfId="8369"/>
    <cellStyle name="Normal 2 2 2 2 2 2 2 2 2 2 2 2 2 2 2 2 2 57" xfId="8370"/>
    <cellStyle name="Normal 2 2 2 2 2 2 2 2 2 2 2 2 2 2 2 2 2 58" xfId="8371"/>
    <cellStyle name="Normal 2 2 2 2 2 2 2 2 2 2 2 2 2 2 2 2 2 59" xfId="8372"/>
    <cellStyle name="Normal 2 2 2 2 2 2 2 2 2 2 2 2 2 2 2 2 2 6" xfId="8373"/>
    <cellStyle name="Normal 2 2 2 2 2 2 2 2 2 2 2 2 2 2 2 2 2 60" xfId="8374"/>
    <cellStyle name="Normal 2 2 2 2 2 2 2 2 2 2 2 2 2 2 2 2 2 61" xfId="8375"/>
    <cellStyle name="Normal 2 2 2 2 2 2 2 2 2 2 2 2 2 2 2 2 2 62" xfId="8376"/>
    <cellStyle name="Normal 2 2 2 2 2 2 2 2 2 2 2 2 2 2 2 2 2 63" xfId="8377"/>
    <cellStyle name="Normal 2 2 2 2 2 2 2 2 2 2 2 2 2 2 2 2 2 64" xfId="8378"/>
    <cellStyle name="Normal 2 2 2 2 2 2 2 2 2 2 2 2 2 2 2 2 2 65" xfId="8379"/>
    <cellStyle name="Normal 2 2 2 2 2 2 2 2 2 2 2 2 2 2 2 2 2 66" xfId="8380"/>
    <cellStyle name="Normal 2 2 2 2 2 2 2 2 2 2 2 2 2 2 2 2 2 67" xfId="8381"/>
    <cellStyle name="Normal 2 2 2 2 2 2 2 2 2 2 2 2 2 2 2 2 2 68" xfId="8382"/>
    <cellStyle name="Normal 2 2 2 2 2 2 2 2 2 2 2 2 2 2 2 2 2 69" xfId="8383"/>
    <cellStyle name="Normal 2 2 2 2 2 2 2 2 2 2 2 2 2 2 2 2 2 7" xfId="8384"/>
    <cellStyle name="Normal 2 2 2 2 2 2 2 2 2 2 2 2 2 2 2 2 2 7 2" xfId="8385"/>
    <cellStyle name="Normal 2 2 2 2 2 2 2 2 2 2 2 2 2 2 2 2 2 7 2 2" xfId="8386"/>
    <cellStyle name="Normal 2 2 2 2 2 2 2 2 2 2 2 2 2 2 2 2 2 7 2 3" xfId="8387"/>
    <cellStyle name="Normal 2 2 2 2 2 2 2 2 2 2 2 2 2 2 2 2 2 7 2 4" xfId="8388"/>
    <cellStyle name="Normal 2 2 2 2 2 2 2 2 2 2 2 2 2 2 2 2 2 7 3" xfId="8389"/>
    <cellStyle name="Normal 2 2 2 2 2 2 2 2 2 2 2 2 2 2 2 2 2 7 4" xfId="8390"/>
    <cellStyle name="Normal 2 2 2 2 2 2 2 2 2 2 2 2 2 2 2 2 2 7 5" xfId="8391"/>
    <cellStyle name="Normal 2 2 2 2 2 2 2 2 2 2 2 2 2 2 2 2 2 7 6" xfId="8392"/>
    <cellStyle name="Normal 2 2 2 2 2 2 2 2 2 2 2 2 2 2 2 2 2 70" xfId="8393"/>
    <cellStyle name="Normal 2 2 2 2 2 2 2 2 2 2 2 2 2 2 2 2 2 71" xfId="8394"/>
    <cellStyle name="Normal 2 2 2 2 2 2 2 2 2 2 2 2 2 2 2 2 2 72" xfId="8395"/>
    <cellStyle name="Normal 2 2 2 2 2 2 2 2 2 2 2 2 2 2 2 2 2 73" xfId="8396"/>
    <cellStyle name="Normal 2 2 2 2 2 2 2 2 2 2 2 2 2 2 2 2 2 74" xfId="8397"/>
    <cellStyle name="Normal 2 2 2 2 2 2 2 2 2 2 2 2 2 2 2 2 2 75" xfId="8398"/>
    <cellStyle name="Normal 2 2 2 2 2 2 2 2 2 2 2 2 2 2 2 2 2 75 2" xfId="8399"/>
    <cellStyle name="Normal 2 2 2 2 2 2 2 2 2 2 2 2 2 2 2 2 2 75 3" xfId="8400"/>
    <cellStyle name="Normal 2 2 2 2 2 2 2 2 2 2 2 2 2 2 2 2 2 75 4" xfId="8401"/>
    <cellStyle name="Normal 2 2 2 2 2 2 2 2 2 2 2 2 2 2 2 2 2 76" xfId="8402"/>
    <cellStyle name="Normal 2 2 2 2 2 2 2 2 2 2 2 2 2 2 2 2 2 77" xfId="8403"/>
    <cellStyle name="Normal 2 2 2 2 2 2 2 2 2 2 2 2 2 2 2 2 2 8" xfId="8404"/>
    <cellStyle name="Normal 2 2 2 2 2 2 2 2 2 2 2 2 2 2 2 2 2 9" xfId="8405"/>
    <cellStyle name="Normal 2 2 2 2 2 2 2 2 2 2 2 2 2 2 2 2 20" xfId="8406"/>
    <cellStyle name="Normal 2 2 2 2 2 2 2 2 2 2 2 2 2 2 2 2 21" xfId="8407"/>
    <cellStyle name="Normal 2 2 2 2 2 2 2 2 2 2 2 2 2 2 2 2 21 2" xfId="8408"/>
    <cellStyle name="Normal 2 2 2 2 2 2 2 2 2 2 2 2 2 2 2 2 21 3" xfId="8409"/>
    <cellStyle name="Normal 2 2 2 2 2 2 2 2 2 2 2 2 2 2 2 2 21 4" xfId="8410"/>
    <cellStyle name="Normal 2 2 2 2 2 2 2 2 2 2 2 2 2 2 2 2 22" xfId="8411"/>
    <cellStyle name="Normal 2 2 2 2 2 2 2 2 2 2 2 2 2 2 2 2 23" xfId="8412"/>
    <cellStyle name="Normal 2 2 2 2 2 2 2 2 2 2 2 2 2 2 2 2 24" xfId="8413"/>
    <cellStyle name="Normal 2 2 2 2 2 2 2 2 2 2 2 2 2 2 2 2 25" xfId="8414"/>
    <cellStyle name="Normal 2 2 2 2 2 2 2 2 2 2 2 2 2 2 2 2 26" xfId="8415"/>
    <cellStyle name="Normal 2 2 2 2 2 2 2 2 2 2 2 2 2 2 2 2 27" xfId="8416"/>
    <cellStyle name="Normal 2 2 2 2 2 2 2 2 2 2 2 2 2 2 2 2 28" xfId="8417"/>
    <cellStyle name="Normal 2 2 2 2 2 2 2 2 2 2 2 2 2 2 2 2 29" xfId="8418"/>
    <cellStyle name="Normal 2 2 2 2 2 2 2 2 2 2 2 2 2 2 2 2 3" xfId="8419"/>
    <cellStyle name="Normal 2 2 2 2 2 2 2 2 2 2 2 2 2 2 2 2 30" xfId="8420"/>
    <cellStyle name="Normal 2 2 2 2 2 2 2 2 2 2 2 2 2 2 2 2 31" xfId="8421"/>
    <cellStyle name="Normal 2 2 2 2 2 2 2 2 2 2 2 2 2 2 2 2 32" xfId="8422"/>
    <cellStyle name="Normal 2 2 2 2 2 2 2 2 2 2 2 2 2 2 2 2 33" xfId="8423"/>
    <cellStyle name="Normal 2 2 2 2 2 2 2 2 2 2 2 2 2 2 2 2 34" xfId="8424"/>
    <cellStyle name="Normal 2 2 2 2 2 2 2 2 2 2 2 2 2 2 2 2 35" xfId="8425"/>
    <cellStyle name="Normal 2 2 2 2 2 2 2 2 2 2 2 2 2 2 2 2 36" xfId="8426"/>
    <cellStyle name="Normal 2 2 2 2 2 2 2 2 2 2 2 2 2 2 2 2 36 2" xfId="8427"/>
    <cellStyle name="Normal 2 2 2 2 2 2 2 2 2 2 2 2 2 2 2 2 36 3" xfId="8428"/>
    <cellStyle name="Normal 2 2 2 2 2 2 2 2 2 2 2 2 2 2 2 2 36 4" xfId="8429"/>
    <cellStyle name="Normal 2 2 2 2 2 2 2 2 2 2 2 2 2 2 2 2 36 5" xfId="8430"/>
    <cellStyle name="Normal 2 2 2 2 2 2 2 2 2 2 2 2 2 2 2 2 36 6" xfId="8431"/>
    <cellStyle name="Normal 2 2 2 2 2 2 2 2 2 2 2 2 2 2 2 2 36 7" xfId="8432"/>
    <cellStyle name="Normal 2 2 2 2 2 2 2 2 2 2 2 2 2 2 2 2 37" xfId="8433"/>
    <cellStyle name="Normal 2 2 2 2 2 2 2 2 2 2 2 2 2 2 2 2 38" xfId="8434"/>
    <cellStyle name="Normal 2 2 2 2 2 2 2 2 2 2 2 2 2 2 2 2 39" xfId="8435"/>
    <cellStyle name="Normal 2 2 2 2 2 2 2 2 2 2 2 2 2 2 2 2 4" xfId="8436"/>
    <cellStyle name="Normal 2 2 2 2 2 2 2 2 2 2 2 2 2 2 2 2 40" xfId="8437"/>
    <cellStyle name="Normal 2 2 2 2 2 2 2 2 2 2 2 2 2 2 2 2 41" xfId="8438"/>
    <cellStyle name="Normal 2 2 2 2 2 2 2 2 2 2 2 2 2 2 2 2 42" xfId="8439"/>
    <cellStyle name="Normal 2 2 2 2 2 2 2 2 2 2 2 2 2 2 2 2 43" xfId="8440"/>
    <cellStyle name="Normal 2 2 2 2 2 2 2 2 2 2 2 2 2 2 2 2 44" xfId="8441"/>
    <cellStyle name="Normal 2 2 2 2 2 2 2 2 2 2 2 2 2 2 2 2 45" xfId="8442"/>
    <cellStyle name="Normal 2 2 2 2 2 2 2 2 2 2 2 2 2 2 2 2 46" xfId="8443"/>
    <cellStyle name="Normal 2 2 2 2 2 2 2 2 2 2 2 2 2 2 2 2 47" xfId="8444"/>
    <cellStyle name="Normal 2 2 2 2 2 2 2 2 2 2 2 2 2 2 2 2 48" xfId="8445"/>
    <cellStyle name="Normal 2 2 2 2 2 2 2 2 2 2 2 2 2 2 2 2 49" xfId="8446"/>
    <cellStyle name="Normal 2 2 2 2 2 2 2 2 2 2 2 2 2 2 2 2 5" xfId="8447"/>
    <cellStyle name="Normal 2 2 2 2 2 2 2 2 2 2 2 2 2 2 2 2 50" xfId="8448"/>
    <cellStyle name="Normal 2 2 2 2 2 2 2 2 2 2 2 2 2 2 2 2 51" xfId="8449"/>
    <cellStyle name="Normal 2 2 2 2 2 2 2 2 2 2 2 2 2 2 2 2 52" xfId="8450"/>
    <cellStyle name="Normal 2 2 2 2 2 2 2 2 2 2 2 2 2 2 2 2 53" xfId="8451"/>
    <cellStyle name="Normal 2 2 2 2 2 2 2 2 2 2 2 2 2 2 2 2 54" xfId="8452"/>
    <cellStyle name="Normal 2 2 2 2 2 2 2 2 2 2 2 2 2 2 2 2 55" xfId="8453"/>
    <cellStyle name="Normal 2 2 2 2 2 2 2 2 2 2 2 2 2 2 2 2 56" xfId="8454"/>
    <cellStyle name="Normal 2 2 2 2 2 2 2 2 2 2 2 2 2 2 2 2 57" xfId="8455"/>
    <cellStyle name="Normal 2 2 2 2 2 2 2 2 2 2 2 2 2 2 2 2 58" xfId="8456"/>
    <cellStyle name="Normal 2 2 2 2 2 2 2 2 2 2 2 2 2 2 2 2 59" xfId="8457"/>
    <cellStyle name="Normal 2 2 2 2 2 2 2 2 2 2 2 2 2 2 2 2 6" xfId="8458"/>
    <cellStyle name="Normal 2 2 2 2 2 2 2 2 2 2 2 2 2 2 2 2 60" xfId="8459"/>
    <cellStyle name="Normal 2 2 2 2 2 2 2 2 2 2 2 2 2 2 2 2 61" xfId="8460"/>
    <cellStyle name="Normal 2 2 2 2 2 2 2 2 2 2 2 2 2 2 2 2 62" xfId="8461"/>
    <cellStyle name="Normal 2 2 2 2 2 2 2 2 2 2 2 2 2 2 2 2 63" xfId="8462"/>
    <cellStyle name="Normal 2 2 2 2 2 2 2 2 2 2 2 2 2 2 2 2 64" xfId="8463"/>
    <cellStyle name="Normal 2 2 2 2 2 2 2 2 2 2 2 2 2 2 2 2 65" xfId="8464"/>
    <cellStyle name="Normal 2 2 2 2 2 2 2 2 2 2 2 2 2 2 2 2 66" xfId="8465"/>
    <cellStyle name="Normal 2 2 2 2 2 2 2 2 2 2 2 2 2 2 2 2 67" xfId="8466"/>
    <cellStyle name="Normal 2 2 2 2 2 2 2 2 2 2 2 2 2 2 2 2 68" xfId="8467"/>
    <cellStyle name="Normal 2 2 2 2 2 2 2 2 2 2 2 2 2 2 2 2 69" xfId="8468"/>
    <cellStyle name="Normal 2 2 2 2 2 2 2 2 2 2 2 2 2 2 2 2 7" xfId="8469"/>
    <cellStyle name="Normal 2 2 2 2 2 2 2 2 2 2 2 2 2 2 2 2 70" xfId="8470"/>
    <cellStyle name="Normal 2 2 2 2 2 2 2 2 2 2 2 2 2 2 2 2 71" xfId="8471"/>
    <cellStyle name="Normal 2 2 2 2 2 2 2 2 2 2 2 2 2 2 2 2 72" xfId="8472"/>
    <cellStyle name="Normal 2 2 2 2 2 2 2 2 2 2 2 2 2 2 2 2 73" xfId="8473"/>
    <cellStyle name="Normal 2 2 2 2 2 2 2 2 2 2 2 2 2 2 2 2 74" xfId="8474"/>
    <cellStyle name="Normal 2 2 2 2 2 2 2 2 2 2 2 2 2 2 2 2 75" xfId="8475"/>
    <cellStyle name="Normal 2 2 2 2 2 2 2 2 2 2 2 2 2 2 2 2 76" xfId="8476"/>
    <cellStyle name="Normal 2 2 2 2 2 2 2 2 2 2 2 2 2 2 2 2 77" xfId="8477"/>
    <cellStyle name="Normal 2 2 2 2 2 2 2 2 2 2 2 2 2 2 2 2 78" xfId="8478"/>
    <cellStyle name="Normal 2 2 2 2 2 2 2 2 2 2 2 2 2 2 2 2 79" xfId="8479"/>
    <cellStyle name="Normal 2 2 2 2 2 2 2 2 2 2 2 2 2 2 2 2 8" xfId="8480"/>
    <cellStyle name="Normal 2 2 2 2 2 2 2 2 2 2 2 2 2 2 2 2 80" xfId="8481"/>
    <cellStyle name="Normal 2 2 2 2 2 2 2 2 2 2 2 2 2 2 2 2 81" xfId="8482"/>
    <cellStyle name="Normal 2 2 2 2 2 2 2 2 2 2 2 2 2 2 2 2 82" xfId="8483"/>
    <cellStyle name="Normal 2 2 2 2 2 2 2 2 2 2 2 2 2 2 2 2 83" xfId="8484"/>
    <cellStyle name="Normal 2 2 2 2 2 2 2 2 2 2 2 2 2 2 2 2 83 2" xfId="8485"/>
    <cellStyle name="Normal 2 2 2 2 2 2 2 2 2 2 2 2 2 2 2 2 83 3" xfId="8486"/>
    <cellStyle name="Normal 2 2 2 2 2 2 2 2 2 2 2 2 2 2 2 2 83 4" xfId="8487"/>
    <cellStyle name="Normal 2 2 2 2 2 2 2 2 2 2 2 2 2 2 2 2 84" xfId="8488"/>
    <cellStyle name="Normal 2 2 2 2 2 2 2 2 2 2 2 2 2 2 2 2 85" xfId="8489"/>
    <cellStyle name="Normal 2 2 2 2 2 2 2 2 2 2 2 2 2 2 2 2 9" xfId="8490"/>
    <cellStyle name="Normal 2 2 2 2 2 2 2 2 2 2 2 2 2 2 2 20" xfId="8491"/>
    <cellStyle name="Normal 2 2 2 2 2 2 2 2 2 2 2 2 2 2 2 21" xfId="8492"/>
    <cellStyle name="Normal 2 2 2 2 2 2 2 2 2 2 2 2 2 2 2 22" xfId="8493"/>
    <cellStyle name="Normal 2 2 2 2 2 2 2 2 2 2 2 2 2 2 2 22 2" xfId="8494"/>
    <cellStyle name="Normal 2 2 2 2 2 2 2 2 2 2 2 2 2 2 2 22 3" xfId="8495"/>
    <cellStyle name="Normal 2 2 2 2 2 2 2 2 2 2 2 2 2 2 2 22 4" xfId="8496"/>
    <cellStyle name="Normal 2 2 2 2 2 2 2 2 2 2 2 2 2 2 2 23" xfId="8497"/>
    <cellStyle name="Normal 2 2 2 2 2 2 2 2 2 2 2 2 2 2 2 24" xfId="8498"/>
    <cellStyle name="Normal 2 2 2 2 2 2 2 2 2 2 2 2 2 2 2 25" xfId="8499"/>
    <cellStyle name="Normal 2 2 2 2 2 2 2 2 2 2 2 2 2 2 2 26" xfId="8500"/>
    <cellStyle name="Normal 2 2 2 2 2 2 2 2 2 2 2 2 2 2 2 27" xfId="8501"/>
    <cellStyle name="Normal 2 2 2 2 2 2 2 2 2 2 2 2 2 2 2 28" xfId="8502"/>
    <cellStyle name="Normal 2 2 2 2 2 2 2 2 2 2 2 2 2 2 2 29" xfId="8503"/>
    <cellStyle name="Normal 2 2 2 2 2 2 2 2 2 2 2 2 2 2 2 3" xfId="8504"/>
    <cellStyle name="Normal 2 2 2 2 2 2 2 2 2 2 2 2 2 2 2 30" xfId="8505"/>
    <cellStyle name="Normal 2 2 2 2 2 2 2 2 2 2 2 2 2 2 2 31" xfId="8506"/>
    <cellStyle name="Normal 2 2 2 2 2 2 2 2 2 2 2 2 2 2 2 32" xfId="8507"/>
    <cellStyle name="Normal 2 2 2 2 2 2 2 2 2 2 2 2 2 2 2 33" xfId="8508"/>
    <cellStyle name="Normal 2 2 2 2 2 2 2 2 2 2 2 2 2 2 2 34" xfId="8509"/>
    <cellStyle name="Normal 2 2 2 2 2 2 2 2 2 2 2 2 2 2 2 35" xfId="8510"/>
    <cellStyle name="Normal 2 2 2 2 2 2 2 2 2 2 2 2 2 2 2 36" xfId="8511"/>
    <cellStyle name="Normal 2 2 2 2 2 2 2 2 2 2 2 2 2 2 2 37" xfId="8512"/>
    <cellStyle name="Normal 2 2 2 2 2 2 2 2 2 2 2 2 2 2 2 37 2" xfId="8513"/>
    <cellStyle name="Normal 2 2 2 2 2 2 2 2 2 2 2 2 2 2 2 37 3" xfId="8514"/>
    <cellStyle name="Normal 2 2 2 2 2 2 2 2 2 2 2 2 2 2 2 37 4" xfId="8515"/>
    <cellStyle name="Normal 2 2 2 2 2 2 2 2 2 2 2 2 2 2 2 37 5" xfId="8516"/>
    <cellStyle name="Normal 2 2 2 2 2 2 2 2 2 2 2 2 2 2 2 37 6" xfId="8517"/>
    <cellStyle name="Normal 2 2 2 2 2 2 2 2 2 2 2 2 2 2 2 37 7" xfId="8518"/>
    <cellStyle name="Normal 2 2 2 2 2 2 2 2 2 2 2 2 2 2 2 38" xfId="8519"/>
    <cellStyle name="Normal 2 2 2 2 2 2 2 2 2 2 2 2 2 2 2 39" xfId="8520"/>
    <cellStyle name="Normal 2 2 2 2 2 2 2 2 2 2 2 2 2 2 2 4" xfId="8521"/>
    <cellStyle name="Normal 2 2 2 2 2 2 2 2 2 2 2 2 2 2 2 4 10" xfId="8522"/>
    <cellStyle name="Normal 2 2 2 2 2 2 2 2 2 2 2 2 2 2 2 4 11" xfId="8523"/>
    <cellStyle name="Normal 2 2 2 2 2 2 2 2 2 2 2 2 2 2 2 4 12" xfId="8524"/>
    <cellStyle name="Normal 2 2 2 2 2 2 2 2 2 2 2 2 2 2 2 4 13" xfId="8525"/>
    <cellStyle name="Normal 2 2 2 2 2 2 2 2 2 2 2 2 2 2 2 4 13 2" xfId="8526"/>
    <cellStyle name="Normal 2 2 2 2 2 2 2 2 2 2 2 2 2 2 2 4 13 3" xfId="8527"/>
    <cellStyle name="Normal 2 2 2 2 2 2 2 2 2 2 2 2 2 2 2 4 13 4" xfId="8528"/>
    <cellStyle name="Normal 2 2 2 2 2 2 2 2 2 2 2 2 2 2 2 4 14" xfId="8529"/>
    <cellStyle name="Normal 2 2 2 2 2 2 2 2 2 2 2 2 2 2 2 4 15" xfId="8530"/>
    <cellStyle name="Normal 2 2 2 2 2 2 2 2 2 2 2 2 2 2 2 4 16" xfId="8531"/>
    <cellStyle name="Normal 2 2 2 2 2 2 2 2 2 2 2 2 2 2 2 4 2" xfId="8532"/>
    <cellStyle name="Normal 2 2 2 2 2 2 2 2 2 2 2 2 2 2 2 4 2 10" xfId="8533"/>
    <cellStyle name="Normal 2 2 2 2 2 2 2 2 2 2 2 2 2 2 2 4 2 11" xfId="8534"/>
    <cellStyle name="Normal 2 2 2 2 2 2 2 2 2 2 2 2 2 2 2 4 2 11 2" xfId="8535"/>
    <cellStyle name="Normal 2 2 2 2 2 2 2 2 2 2 2 2 2 2 2 4 2 11 3" xfId="8536"/>
    <cellStyle name="Normal 2 2 2 2 2 2 2 2 2 2 2 2 2 2 2 4 2 11 4" xfId="8537"/>
    <cellStyle name="Normal 2 2 2 2 2 2 2 2 2 2 2 2 2 2 2 4 2 12" xfId="8538"/>
    <cellStyle name="Normal 2 2 2 2 2 2 2 2 2 2 2 2 2 2 2 4 2 13" xfId="8539"/>
    <cellStyle name="Normal 2 2 2 2 2 2 2 2 2 2 2 2 2 2 2 4 2 14" xfId="8540"/>
    <cellStyle name="Normal 2 2 2 2 2 2 2 2 2 2 2 2 2 2 2 4 2 2" xfId="8541"/>
    <cellStyle name="Normal 2 2 2 2 2 2 2 2 2 2 2 2 2 2 2 4 2 2 10" xfId="8542"/>
    <cellStyle name="Normal 2 2 2 2 2 2 2 2 2 2 2 2 2 2 2 4 2 2 11" xfId="8543"/>
    <cellStyle name="Normal 2 2 2 2 2 2 2 2 2 2 2 2 2 2 2 4 2 2 2" xfId="8544"/>
    <cellStyle name="Normal 2 2 2 2 2 2 2 2 2 2 2 2 2 2 2 4 2 2 2 10" xfId="8545"/>
    <cellStyle name="Normal 2 2 2 2 2 2 2 2 2 2 2 2 2 2 2 4 2 2 2 11" xfId="8546"/>
    <cellStyle name="Normal 2 2 2 2 2 2 2 2 2 2 2 2 2 2 2 4 2 2 2 2" xfId="8547"/>
    <cellStyle name="Normal 2 2 2 2 2 2 2 2 2 2 2 2 2 2 2 4 2 2 2 2 2" xfId="8548"/>
    <cellStyle name="Normal 2 2 2 2 2 2 2 2 2 2 2 2 2 2 2 4 2 2 2 2 2 2" xfId="8549"/>
    <cellStyle name="Normal 2 2 2 2 2 2 2 2 2 2 2 2 2 2 2 4 2 2 2 2 2 3" xfId="8550"/>
    <cellStyle name="Normal 2 2 2 2 2 2 2 2 2 2 2 2 2 2 2 4 2 2 2 2 2 4" xfId="8551"/>
    <cellStyle name="Normal 2 2 2 2 2 2 2 2 2 2 2 2 2 2 2 4 2 2 2 2 3" xfId="8552"/>
    <cellStyle name="Normal 2 2 2 2 2 2 2 2 2 2 2 2 2 2 2 4 2 2 2 2 4" xfId="8553"/>
    <cellStyle name="Normal 2 2 2 2 2 2 2 2 2 2 2 2 2 2 2 4 2 2 2 2 5" xfId="8554"/>
    <cellStyle name="Normal 2 2 2 2 2 2 2 2 2 2 2 2 2 2 2 4 2 2 2 2 6" xfId="8555"/>
    <cellStyle name="Normal 2 2 2 2 2 2 2 2 2 2 2 2 2 2 2 4 2 2 2 3" xfId="8556"/>
    <cellStyle name="Normal 2 2 2 2 2 2 2 2 2 2 2 2 2 2 2 4 2 2 2 4" xfId="8557"/>
    <cellStyle name="Normal 2 2 2 2 2 2 2 2 2 2 2 2 2 2 2 4 2 2 2 5" xfId="8558"/>
    <cellStyle name="Normal 2 2 2 2 2 2 2 2 2 2 2 2 2 2 2 4 2 2 2 6" xfId="8559"/>
    <cellStyle name="Normal 2 2 2 2 2 2 2 2 2 2 2 2 2 2 2 4 2 2 2 7" xfId="8560"/>
    <cellStyle name="Normal 2 2 2 2 2 2 2 2 2 2 2 2 2 2 2 4 2 2 2 8" xfId="8561"/>
    <cellStyle name="Normal 2 2 2 2 2 2 2 2 2 2 2 2 2 2 2 4 2 2 2 8 2" xfId="8562"/>
    <cellStyle name="Normal 2 2 2 2 2 2 2 2 2 2 2 2 2 2 2 4 2 2 2 8 3" xfId="8563"/>
    <cellStyle name="Normal 2 2 2 2 2 2 2 2 2 2 2 2 2 2 2 4 2 2 2 8 4" xfId="8564"/>
    <cellStyle name="Normal 2 2 2 2 2 2 2 2 2 2 2 2 2 2 2 4 2 2 2 9" xfId="8565"/>
    <cellStyle name="Normal 2 2 2 2 2 2 2 2 2 2 2 2 2 2 2 4 2 2 3" xfId="8566"/>
    <cellStyle name="Normal 2 2 2 2 2 2 2 2 2 2 2 2 2 2 2 4 2 2 3 2" xfId="8567"/>
    <cellStyle name="Normal 2 2 2 2 2 2 2 2 2 2 2 2 2 2 2 4 2 2 3 2 2" xfId="8568"/>
    <cellStyle name="Normal 2 2 2 2 2 2 2 2 2 2 2 2 2 2 2 4 2 2 3 2 3" xfId="8569"/>
    <cellStyle name="Normal 2 2 2 2 2 2 2 2 2 2 2 2 2 2 2 4 2 2 3 2 4" xfId="8570"/>
    <cellStyle name="Normal 2 2 2 2 2 2 2 2 2 2 2 2 2 2 2 4 2 2 3 3" xfId="8571"/>
    <cellStyle name="Normal 2 2 2 2 2 2 2 2 2 2 2 2 2 2 2 4 2 2 3 4" xfId="8572"/>
    <cellStyle name="Normal 2 2 2 2 2 2 2 2 2 2 2 2 2 2 2 4 2 2 3 5" xfId="8573"/>
    <cellStyle name="Normal 2 2 2 2 2 2 2 2 2 2 2 2 2 2 2 4 2 2 3 6" xfId="8574"/>
    <cellStyle name="Normal 2 2 2 2 2 2 2 2 2 2 2 2 2 2 2 4 2 2 4" xfId="8575"/>
    <cellStyle name="Normal 2 2 2 2 2 2 2 2 2 2 2 2 2 2 2 4 2 2 5" xfId="8576"/>
    <cellStyle name="Normal 2 2 2 2 2 2 2 2 2 2 2 2 2 2 2 4 2 2 6" xfId="8577"/>
    <cellStyle name="Normal 2 2 2 2 2 2 2 2 2 2 2 2 2 2 2 4 2 2 7" xfId="8578"/>
    <cellStyle name="Normal 2 2 2 2 2 2 2 2 2 2 2 2 2 2 2 4 2 2 8" xfId="8579"/>
    <cellStyle name="Normal 2 2 2 2 2 2 2 2 2 2 2 2 2 2 2 4 2 2 8 2" xfId="8580"/>
    <cellStyle name="Normal 2 2 2 2 2 2 2 2 2 2 2 2 2 2 2 4 2 2 8 3" xfId="8581"/>
    <cellStyle name="Normal 2 2 2 2 2 2 2 2 2 2 2 2 2 2 2 4 2 2 8 4" xfId="8582"/>
    <cellStyle name="Normal 2 2 2 2 2 2 2 2 2 2 2 2 2 2 2 4 2 2 9" xfId="8583"/>
    <cellStyle name="Normal 2 2 2 2 2 2 2 2 2 2 2 2 2 2 2 4 2 3" xfId="8584"/>
    <cellStyle name="Normal 2 2 2 2 2 2 2 2 2 2 2 2 2 2 2 4 2 4" xfId="8585"/>
    <cellStyle name="Normal 2 2 2 2 2 2 2 2 2 2 2 2 2 2 2 4 2 5" xfId="8586"/>
    <cellStyle name="Normal 2 2 2 2 2 2 2 2 2 2 2 2 2 2 2 4 2 5 2" xfId="8587"/>
    <cellStyle name="Normal 2 2 2 2 2 2 2 2 2 2 2 2 2 2 2 4 2 5 2 2" xfId="8588"/>
    <cellStyle name="Normal 2 2 2 2 2 2 2 2 2 2 2 2 2 2 2 4 2 5 2 3" xfId="8589"/>
    <cellStyle name="Normal 2 2 2 2 2 2 2 2 2 2 2 2 2 2 2 4 2 5 2 4" xfId="8590"/>
    <cellStyle name="Normal 2 2 2 2 2 2 2 2 2 2 2 2 2 2 2 4 2 5 3" xfId="8591"/>
    <cellStyle name="Normal 2 2 2 2 2 2 2 2 2 2 2 2 2 2 2 4 2 5 4" xfId="8592"/>
    <cellStyle name="Normal 2 2 2 2 2 2 2 2 2 2 2 2 2 2 2 4 2 5 5" xfId="8593"/>
    <cellStyle name="Normal 2 2 2 2 2 2 2 2 2 2 2 2 2 2 2 4 2 5 6" xfId="8594"/>
    <cellStyle name="Normal 2 2 2 2 2 2 2 2 2 2 2 2 2 2 2 4 2 6" xfId="8595"/>
    <cellStyle name="Normal 2 2 2 2 2 2 2 2 2 2 2 2 2 2 2 4 2 7" xfId="8596"/>
    <cellStyle name="Normal 2 2 2 2 2 2 2 2 2 2 2 2 2 2 2 4 2 8" xfId="8597"/>
    <cellStyle name="Normal 2 2 2 2 2 2 2 2 2 2 2 2 2 2 2 4 2 9" xfId="8598"/>
    <cellStyle name="Normal 2 2 2 2 2 2 2 2 2 2 2 2 2 2 2 4 3" xfId="8599"/>
    <cellStyle name="Normal 2 2 2 2 2 2 2 2 2 2 2 2 2 2 2 4 4" xfId="8600"/>
    <cellStyle name="Normal 2 2 2 2 2 2 2 2 2 2 2 2 2 2 2 4 5" xfId="8601"/>
    <cellStyle name="Normal 2 2 2 2 2 2 2 2 2 2 2 2 2 2 2 4 5 10" xfId="8602"/>
    <cellStyle name="Normal 2 2 2 2 2 2 2 2 2 2 2 2 2 2 2 4 5 11" xfId="8603"/>
    <cellStyle name="Normal 2 2 2 2 2 2 2 2 2 2 2 2 2 2 2 4 5 2" xfId="8604"/>
    <cellStyle name="Normal 2 2 2 2 2 2 2 2 2 2 2 2 2 2 2 4 5 2 10" xfId="8605"/>
    <cellStyle name="Normal 2 2 2 2 2 2 2 2 2 2 2 2 2 2 2 4 5 2 11" xfId="8606"/>
    <cellStyle name="Normal 2 2 2 2 2 2 2 2 2 2 2 2 2 2 2 4 5 2 2" xfId="8607"/>
    <cellStyle name="Normal 2 2 2 2 2 2 2 2 2 2 2 2 2 2 2 4 5 2 2 2" xfId="8608"/>
    <cellStyle name="Normal 2 2 2 2 2 2 2 2 2 2 2 2 2 2 2 4 5 2 2 2 2" xfId="8609"/>
    <cellStyle name="Normal 2 2 2 2 2 2 2 2 2 2 2 2 2 2 2 4 5 2 2 2 3" xfId="8610"/>
    <cellStyle name="Normal 2 2 2 2 2 2 2 2 2 2 2 2 2 2 2 4 5 2 2 2 4" xfId="8611"/>
    <cellStyle name="Normal 2 2 2 2 2 2 2 2 2 2 2 2 2 2 2 4 5 2 2 3" xfId="8612"/>
    <cellStyle name="Normal 2 2 2 2 2 2 2 2 2 2 2 2 2 2 2 4 5 2 2 4" xfId="8613"/>
    <cellStyle name="Normal 2 2 2 2 2 2 2 2 2 2 2 2 2 2 2 4 5 2 2 5" xfId="8614"/>
    <cellStyle name="Normal 2 2 2 2 2 2 2 2 2 2 2 2 2 2 2 4 5 2 2 6" xfId="8615"/>
    <cellStyle name="Normal 2 2 2 2 2 2 2 2 2 2 2 2 2 2 2 4 5 2 3" xfId="8616"/>
    <cellStyle name="Normal 2 2 2 2 2 2 2 2 2 2 2 2 2 2 2 4 5 2 4" xfId="8617"/>
    <cellStyle name="Normal 2 2 2 2 2 2 2 2 2 2 2 2 2 2 2 4 5 2 5" xfId="8618"/>
    <cellStyle name="Normal 2 2 2 2 2 2 2 2 2 2 2 2 2 2 2 4 5 2 6" xfId="8619"/>
    <cellStyle name="Normal 2 2 2 2 2 2 2 2 2 2 2 2 2 2 2 4 5 2 7" xfId="8620"/>
    <cellStyle name="Normal 2 2 2 2 2 2 2 2 2 2 2 2 2 2 2 4 5 2 8" xfId="8621"/>
    <cellStyle name="Normal 2 2 2 2 2 2 2 2 2 2 2 2 2 2 2 4 5 2 8 2" xfId="8622"/>
    <cellStyle name="Normal 2 2 2 2 2 2 2 2 2 2 2 2 2 2 2 4 5 2 8 3" xfId="8623"/>
    <cellStyle name="Normal 2 2 2 2 2 2 2 2 2 2 2 2 2 2 2 4 5 2 8 4" xfId="8624"/>
    <cellStyle name="Normal 2 2 2 2 2 2 2 2 2 2 2 2 2 2 2 4 5 2 9" xfId="8625"/>
    <cellStyle name="Normal 2 2 2 2 2 2 2 2 2 2 2 2 2 2 2 4 5 3" xfId="8626"/>
    <cellStyle name="Normal 2 2 2 2 2 2 2 2 2 2 2 2 2 2 2 4 5 3 2" xfId="8627"/>
    <cellStyle name="Normal 2 2 2 2 2 2 2 2 2 2 2 2 2 2 2 4 5 3 2 2" xfId="8628"/>
    <cellStyle name="Normal 2 2 2 2 2 2 2 2 2 2 2 2 2 2 2 4 5 3 2 3" xfId="8629"/>
    <cellStyle name="Normal 2 2 2 2 2 2 2 2 2 2 2 2 2 2 2 4 5 3 2 4" xfId="8630"/>
    <cellStyle name="Normal 2 2 2 2 2 2 2 2 2 2 2 2 2 2 2 4 5 3 3" xfId="8631"/>
    <cellStyle name="Normal 2 2 2 2 2 2 2 2 2 2 2 2 2 2 2 4 5 3 4" xfId="8632"/>
    <cellStyle name="Normal 2 2 2 2 2 2 2 2 2 2 2 2 2 2 2 4 5 3 5" xfId="8633"/>
    <cellStyle name="Normal 2 2 2 2 2 2 2 2 2 2 2 2 2 2 2 4 5 3 6" xfId="8634"/>
    <cellStyle name="Normal 2 2 2 2 2 2 2 2 2 2 2 2 2 2 2 4 5 4" xfId="8635"/>
    <cellStyle name="Normal 2 2 2 2 2 2 2 2 2 2 2 2 2 2 2 4 5 5" xfId="8636"/>
    <cellStyle name="Normal 2 2 2 2 2 2 2 2 2 2 2 2 2 2 2 4 5 6" xfId="8637"/>
    <cellStyle name="Normal 2 2 2 2 2 2 2 2 2 2 2 2 2 2 2 4 5 7" xfId="8638"/>
    <cellStyle name="Normal 2 2 2 2 2 2 2 2 2 2 2 2 2 2 2 4 5 8" xfId="8639"/>
    <cellStyle name="Normal 2 2 2 2 2 2 2 2 2 2 2 2 2 2 2 4 5 8 2" xfId="8640"/>
    <cellStyle name="Normal 2 2 2 2 2 2 2 2 2 2 2 2 2 2 2 4 5 8 3" xfId="8641"/>
    <cellStyle name="Normal 2 2 2 2 2 2 2 2 2 2 2 2 2 2 2 4 5 8 4" xfId="8642"/>
    <cellStyle name="Normal 2 2 2 2 2 2 2 2 2 2 2 2 2 2 2 4 5 9" xfId="8643"/>
    <cellStyle name="Normal 2 2 2 2 2 2 2 2 2 2 2 2 2 2 2 4 6" xfId="8644"/>
    <cellStyle name="Normal 2 2 2 2 2 2 2 2 2 2 2 2 2 2 2 4 7" xfId="8645"/>
    <cellStyle name="Normal 2 2 2 2 2 2 2 2 2 2 2 2 2 2 2 4 7 2" xfId="8646"/>
    <cellStyle name="Normal 2 2 2 2 2 2 2 2 2 2 2 2 2 2 2 4 7 2 2" xfId="8647"/>
    <cellStyle name="Normal 2 2 2 2 2 2 2 2 2 2 2 2 2 2 2 4 7 2 3" xfId="8648"/>
    <cellStyle name="Normal 2 2 2 2 2 2 2 2 2 2 2 2 2 2 2 4 7 2 4" xfId="8649"/>
    <cellStyle name="Normal 2 2 2 2 2 2 2 2 2 2 2 2 2 2 2 4 7 3" xfId="8650"/>
    <cellStyle name="Normal 2 2 2 2 2 2 2 2 2 2 2 2 2 2 2 4 7 4" xfId="8651"/>
    <cellStyle name="Normal 2 2 2 2 2 2 2 2 2 2 2 2 2 2 2 4 7 5" xfId="8652"/>
    <cellStyle name="Normal 2 2 2 2 2 2 2 2 2 2 2 2 2 2 2 4 7 6" xfId="8653"/>
    <cellStyle name="Normal 2 2 2 2 2 2 2 2 2 2 2 2 2 2 2 4 8" xfId="8654"/>
    <cellStyle name="Normal 2 2 2 2 2 2 2 2 2 2 2 2 2 2 2 4 9" xfId="8655"/>
    <cellStyle name="Normal 2 2 2 2 2 2 2 2 2 2 2 2 2 2 2 40" xfId="8656"/>
    <cellStyle name="Normal 2 2 2 2 2 2 2 2 2 2 2 2 2 2 2 41" xfId="8657"/>
    <cellStyle name="Normal 2 2 2 2 2 2 2 2 2 2 2 2 2 2 2 42" xfId="8658"/>
    <cellStyle name="Normal 2 2 2 2 2 2 2 2 2 2 2 2 2 2 2 43" xfId="8659"/>
    <cellStyle name="Normal 2 2 2 2 2 2 2 2 2 2 2 2 2 2 2 44" xfId="8660"/>
    <cellStyle name="Normal 2 2 2 2 2 2 2 2 2 2 2 2 2 2 2 45" xfId="8661"/>
    <cellStyle name="Normal 2 2 2 2 2 2 2 2 2 2 2 2 2 2 2 46" xfId="8662"/>
    <cellStyle name="Normal 2 2 2 2 2 2 2 2 2 2 2 2 2 2 2 47" xfId="8663"/>
    <cellStyle name="Normal 2 2 2 2 2 2 2 2 2 2 2 2 2 2 2 48" xfId="8664"/>
    <cellStyle name="Normal 2 2 2 2 2 2 2 2 2 2 2 2 2 2 2 49" xfId="8665"/>
    <cellStyle name="Normal 2 2 2 2 2 2 2 2 2 2 2 2 2 2 2 5" xfId="8666"/>
    <cellStyle name="Normal 2 2 2 2 2 2 2 2 2 2 2 2 2 2 2 50" xfId="8667"/>
    <cellStyle name="Normal 2 2 2 2 2 2 2 2 2 2 2 2 2 2 2 51" xfId="8668"/>
    <cellStyle name="Normal 2 2 2 2 2 2 2 2 2 2 2 2 2 2 2 52" xfId="8669"/>
    <cellStyle name="Normal 2 2 2 2 2 2 2 2 2 2 2 2 2 2 2 53" xfId="8670"/>
    <cellStyle name="Normal 2 2 2 2 2 2 2 2 2 2 2 2 2 2 2 54" xfId="8671"/>
    <cellStyle name="Normal 2 2 2 2 2 2 2 2 2 2 2 2 2 2 2 55" xfId="8672"/>
    <cellStyle name="Normal 2 2 2 2 2 2 2 2 2 2 2 2 2 2 2 56" xfId="8673"/>
    <cellStyle name="Normal 2 2 2 2 2 2 2 2 2 2 2 2 2 2 2 57" xfId="8674"/>
    <cellStyle name="Normal 2 2 2 2 2 2 2 2 2 2 2 2 2 2 2 58" xfId="8675"/>
    <cellStyle name="Normal 2 2 2 2 2 2 2 2 2 2 2 2 2 2 2 59" xfId="8676"/>
    <cellStyle name="Normal 2 2 2 2 2 2 2 2 2 2 2 2 2 2 2 6" xfId="8677"/>
    <cellStyle name="Normal 2 2 2 2 2 2 2 2 2 2 2 2 2 2 2 60" xfId="8678"/>
    <cellStyle name="Normal 2 2 2 2 2 2 2 2 2 2 2 2 2 2 2 61" xfId="8679"/>
    <cellStyle name="Normal 2 2 2 2 2 2 2 2 2 2 2 2 2 2 2 62" xfId="8680"/>
    <cellStyle name="Normal 2 2 2 2 2 2 2 2 2 2 2 2 2 2 2 63" xfId="8681"/>
    <cellStyle name="Normal 2 2 2 2 2 2 2 2 2 2 2 2 2 2 2 64" xfId="8682"/>
    <cellStyle name="Normal 2 2 2 2 2 2 2 2 2 2 2 2 2 2 2 65" xfId="8683"/>
    <cellStyle name="Normal 2 2 2 2 2 2 2 2 2 2 2 2 2 2 2 66" xfId="8684"/>
    <cellStyle name="Normal 2 2 2 2 2 2 2 2 2 2 2 2 2 2 2 67" xfId="8685"/>
    <cellStyle name="Normal 2 2 2 2 2 2 2 2 2 2 2 2 2 2 2 68" xfId="8686"/>
    <cellStyle name="Normal 2 2 2 2 2 2 2 2 2 2 2 2 2 2 2 69" xfId="8687"/>
    <cellStyle name="Normal 2 2 2 2 2 2 2 2 2 2 2 2 2 2 2 7" xfId="8688"/>
    <cellStyle name="Normal 2 2 2 2 2 2 2 2 2 2 2 2 2 2 2 70" xfId="8689"/>
    <cellStyle name="Normal 2 2 2 2 2 2 2 2 2 2 2 2 2 2 2 71" xfId="8690"/>
    <cellStyle name="Normal 2 2 2 2 2 2 2 2 2 2 2 2 2 2 2 72" xfId="8691"/>
    <cellStyle name="Normal 2 2 2 2 2 2 2 2 2 2 2 2 2 2 2 73" xfId="8692"/>
    <cellStyle name="Normal 2 2 2 2 2 2 2 2 2 2 2 2 2 2 2 74" xfId="8693"/>
    <cellStyle name="Normal 2 2 2 2 2 2 2 2 2 2 2 2 2 2 2 75" xfId="8694"/>
    <cellStyle name="Normal 2 2 2 2 2 2 2 2 2 2 2 2 2 2 2 76" xfId="8695"/>
    <cellStyle name="Normal 2 2 2 2 2 2 2 2 2 2 2 2 2 2 2 77" xfId="8696"/>
    <cellStyle name="Normal 2 2 2 2 2 2 2 2 2 2 2 2 2 2 2 78" xfId="8697"/>
    <cellStyle name="Normal 2 2 2 2 2 2 2 2 2 2 2 2 2 2 2 79" xfId="8698"/>
    <cellStyle name="Normal 2 2 2 2 2 2 2 2 2 2 2 2 2 2 2 8" xfId="8699"/>
    <cellStyle name="Normal 2 2 2 2 2 2 2 2 2 2 2 2 2 2 2 80" xfId="8700"/>
    <cellStyle name="Normal 2 2 2 2 2 2 2 2 2 2 2 2 2 2 2 81" xfId="8701"/>
    <cellStyle name="Normal 2 2 2 2 2 2 2 2 2 2 2 2 2 2 2 82" xfId="8702"/>
    <cellStyle name="Normal 2 2 2 2 2 2 2 2 2 2 2 2 2 2 2 83" xfId="8703"/>
    <cellStyle name="Normal 2 2 2 2 2 2 2 2 2 2 2 2 2 2 2 84" xfId="8704"/>
    <cellStyle name="Normal 2 2 2 2 2 2 2 2 2 2 2 2 2 2 2 84 2" xfId="8705"/>
    <cellStyle name="Normal 2 2 2 2 2 2 2 2 2 2 2 2 2 2 2 84 3" xfId="8706"/>
    <cellStyle name="Normal 2 2 2 2 2 2 2 2 2 2 2 2 2 2 2 84 4" xfId="8707"/>
    <cellStyle name="Normal 2 2 2 2 2 2 2 2 2 2 2 2 2 2 2 85" xfId="8708"/>
    <cellStyle name="Normal 2 2 2 2 2 2 2 2 2 2 2 2 2 2 2 86" xfId="8709"/>
    <cellStyle name="Normal 2 2 2 2 2 2 2 2 2 2 2 2 2 2 2 9" xfId="8710"/>
    <cellStyle name="Normal 2 2 2 2 2 2 2 2 2 2 2 2 2 2 20" xfId="8711"/>
    <cellStyle name="Normal 2 2 2 2 2 2 2 2 2 2 2 2 2 2 20 2" xfId="8712"/>
    <cellStyle name="Normal 2 2 2 2 2 2 2 2 2 2 2 2 2 2 20 2 2" xfId="8713"/>
    <cellStyle name="Normal 2 2 2 2 2 2 2 2 2 2 2 2 2 2 20 2 3" xfId="8714"/>
    <cellStyle name="Normal 2 2 2 2 2 2 2 2 2 2 2 2 2 2 20 2 4" xfId="8715"/>
    <cellStyle name="Normal 2 2 2 2 2 2 2 2 2 2 2 2 2 2 20 3" xfId="8716"/>
    <cellStyle name="Normal 2 2 2 2 2 2 2 2 2 2 2 2 2 2 20 4" xfId="8717"/>
    <cellStyle name="Normal 2 2 2 2 2 2 2 2 2 2 2 2 2 2 20 5" xfId="8718"/>
    <cellStyle name="Normal 2 2 2 2 2 2 2 2 2 2 2 2 2 2 20 6" xfId="8719"/>
    <cellStyle name="Normal 2 2 2 2 2 2 2 2 2 2 2 2 2 2 21" xfId="8720"/>
    <cellStyle name="Normal 2 2 2 2 2 2 2 2 2 2 2 2 2 2 22" xfId="8721"/>
    <cellStyle name="Normal 2 2 2 2 2 2 2 2 2 2 2 2 2 2 23" xfId="8722"/>
    <cellStyle name="Normal 2 2 2 2 2 2 2 2 2 2 2 2 2 2 24" xfId="8723"/>
    <cellStyle name="Normal 2 2 2 2 2 2 2 2 2 2 2 2 2 2 25" xfId="8724"/>
    <cellStyle name="Normal 2 2 2 2 2 2 2 2 2 2 2 2 2 2 26" xfId="8725"/>
    <cellStyle name="Normal 2 2 2 2 2 2 2 2 2 2 2 2 2 2 26 2" xfId="8726"/>
    <cellStyle name="Normal 2 2 2 2 2 2 2 2 2 2 2 2 2 2 26 3" xfId="8727"/>
    <cellStyle name="Normal 2 2 2 2 2 2 2 2 2 2 2 2 2 2 26 4" xfId="8728"/>
    <cellStyle name="Normal 2 2 2 2 2 2 2 2 2 2 2 2 2 2 27" xfId="8729"/>
    <cellStyle name="Normal 2 2 2 2 2 2 2 2 2 2 2 2 2 2 28" xfId="8730"/>
    <cellStyle name="Normal 2 2 2 2 2 2 2 2 2 2 2 2 2 2 29" xfId="8731"/>
    <cellStyle name="Normal 2 2 2 2 2 2 2 2 2 2 2 2 2 2 3" xfId="8732"/>
    <cellStyle name="Normal 2 2 2 2 2 2 2 2 2 2 2 2 2 2 30" xfId="8733"/>
    <cellStyle name="Normal 2 2 2 2 2 2 2 2 2 2 2 2 2 2 31" xfId="8734"/>
    <cellStyle name="Normal 2 2 2 2 2 2 2 2 2 2 2 2 2 2 32" xfId="8735"/>
    <cellStyle name="Normal 2 2 2 2 2 2 2 2 2 2 2 2 2 2 33" xfId="8736"/>
    <cellStyle name="Normal 2 2 2 2 2 2 2 2 2 2 2 2 2 2 34" xfId="8737"/>
    <cellStyle name="Normal 2 2 2 2 2 2 2 2 2 2 2 2 2 2 35" xfId="8738"/>
    <cellStyle name="Normal 2 2 2 2 2 2 2 2 2 2 2 2 2 2 36" xfId="8739"/>
    <cellStyle name="Normal 2 2 2 2 2 2 2 2 2 2 2 2 2 2 37" xfId="8740"/>
    <cellStyle name="Normal 2 2 2 2 2 2 2 2 2 2 2 2 2 2 38" xfId="8741"/>
    <cellStyle name="Normal 2 2 2 2 2 2 2 2 2 2 2 2 2 2 39" xfId="8742"/>
    <cellStyle name="Normal 2 2 2 2 2 2 2 2 2 2 2 2 2 2 4" xfId="8743"/>
    <cellStyle name="Normal 2 2 2 2 2 2 2 2 2 2 2 2 2 2 40" xfId="8744"/>
    <cellStyle name="Normal 2 2 2 2 2 2 2 2 2 2 2 2 2 2 41" xfId="8745"/>
    <cellStyle name="Normal 2 2 2 2 2 2 2 2 2 2 2 2 2 2 41 2" xfId="8746"/>
    <cellStyle name="Normal 2 2 2 2 2 2 2 2 2 2 2 2 2 2 41 3" xfId="8747"/>
    <cellStyle name="Normal 2 2 2 2 2 2 2 2 2 2 2 2 2 2 41 4" xfId="8748"/>
    <cellStyle name="Normal 2 2 2 2 2 2 2 2 2 2 2 2 2 2 41 5" xfId="8749"/>
    <cellStyle name="Normal 2 2 2 2 2 2 2 2 2 2 2 2 2 2 41 6" xfId="8750"/>
    <cellStyle name="Normal 2 2 2 2 2 2 2 2 2 2 2 2 2 2 41 7" xfId="8751"/>
    <cellStyle name="Normal 2 2 2 2 2 2 2 2 2 2 2 2 2 2 42" xfId="8752"/>
    <cellStyle name="Normal 2 2 2 2 2 2 2 2 2 2 2 2 2 2 43" xfId="8753"/>
    <cellStyle name="Normal 2 2 2 2 2 2 2 2 2 2 2 2 2 2 44" xfId="8754"/>
    <cellStyle name="Normal 2 2 2 2 2 2 2 2 2 2 2 2 2 2 45" xfId="8755"/>
    <cellStyle name="Normal 2 2 2 2 2 2 2 2 2 2 2 2 2 2 46" xfId="8756"/>
    <cellStyle name="Normal 2 2 2 2 2 2 2 2 2 2 2 2 2 2 47" xfId="8757"/>
    <cellStyle name="Normal 2 2 2 2 2 2 2 2 2 2 2 2 2 2 48" xfId="8758"/>
    <cellStyle name="Normal 2 2 2 2 2 2 2 2 2 2 2 2 2 2 49" xfId="8759"/>
    <cellStyle name="Normal 2 2 2 2 2 2 2 2 2 2 2 2 2 2 5" xfId="8760"/>
    <cellStyle name="Normal 2 2 2 2 2 2 2 2 2 2 2 2 2 2 50" xfId="8761"/>
    <cellStyle name="Normal 2 2 2 2 2 2 2 2 2 2 2 2 2 2 51" xfId="8762"/>
    <cellStyle name="Normal 2 2 2 2 2 2 2 2 2 2 2 2 2 2 52" xfId="8763"/>
    <cellStyle name="Normal 2 2 2 2 2 2 2 2 2 2 2 2 2 2 53" xfId="8764"/>
    <cellStyle name="Normal 2 2 2 2 2 2 2 2 2 2 2 2 2 2 54" xfId="8765"/>
    <cellStyle name="Normal 2 2 2 2 2 2 2 2 2 2 2 2 2 2 55" xfId="8766"/>
    <cellStyle name="Normal 2 2 2 2 2 2 2 2 2 2 2 2 2 2 56" xfId="8767"/>
    <cellStyle name="Normal 2 2 2 2 2 2 2 2 2 2 2 2 2 2 57" xfId="8768"/>
    <cellStyle name="Normal 2 2 2 2 2 2 2 2 2 2 2 2 2 2 58" xfId="8769"/>
    <cellStyle name="Normal 2 2 2 2 2 2 2 2 2 2 2 2 2 2 59" xfId="8770"/>
    <cellStyle name="Normal 2 2 2 2 2 2 2 2 2 2 2 2 2 2 6" xfId="8771"/>
    <cellStyle name="Normal 2 2 2 2 2 2 2 2 2 2 2 2 2 2 60" xfId="8772"/>
    <cellStyle name="Normal 2 2 2 2 2 2 2 2 2 2 2 2 2 2 61" xfId="8773"/>
    <cellStyle name="Normal 2 2 2 2 2 2 2 2 2 2 2 2 2 2 62" xfId="8774"/>
    <cellStyle name="Normal 2 2 2 2 2 2 2 2 2 2 2 2 2 2 63" xfId="8775"/>
    <cellStyle name="Normal 2 2 2 2 2 2 2 2 2 2 2 2 2 2 64" xfId="8776"/>
    <cellStyle name="Normal 2 2 2 2 2 2 2 2 2 2 2 2 2 2 65" xfId="8777"/>
    <cellStyle name="Normal 2 2 2 2 2 2 2 2 2 2 2 2 2 2 66" xfId="8778"/>
    <cellStyle name="Normal 2 2 2 2 2 2 2 2 2 2 2 2 2 2 67" xfId="8779"/>
    <cellStyle name="Normal 2 2 2 2 2 2 2 2 2 2 2 2 2 2 68" xfId="8780"/>
    <cellStyle name="Normal 2 2 2 2 2 2 2 2 2 2 2 2 2 2 69" xfId="8781"/>
    <cellStyle name="Normal 2 2 2 2 2 2 2 2 2 2 2 2 2 2 7" xfId="8782"/>
    <cellStyle name="Normal 2 2 2 2 2 2 2 2 2 2 2 2 2 2 7 10" xfId="8783"/>
    <cellStyle name="Normal 2 2 2 2 2 2 2 2 2 2 2 2 2 2 7 11" xfId="8784"/>
    <cellStyle name="Normal 2 2 2 2 2 2 2 2 2 2 2 2 2 2 7 11 10" xfId="8785"/>
    <cellStyle name="Normal 2 2 2 2 2 2 2 2 2 2 2 2 2 2 7 11 11" xfId="8786"/>
    <cellStyle name="Normal 2 2 2 2 2 2 2 2 2 2 2 2 2 2 7 11 11 2" xfId="8787"/>
    <cellStyle name="Normal 2 2 2 2 2 2 2 2 2 2 2 2 2 2 7 11 11 3" xfId="8788"/>
    <cellStyle name="Normal 2 2 2 2 2 2 2 2 2 2 2 2 2 2 7 11 11 4" xfId="8789"/>
    <cellStyle name="Normal 2 2 2 2 2 2 2 2 2 2 2 2 2 2 7 11 12" xfId="8790"/>
    <cellStyle name="Normal 2 2 2 2 2 2 2 2 2 2 2 2 2 2 7 11 13" xfId="8791"/>
    <cellStyle name="Normal 2 2 2 2 2 2 2 2 2 2 2 2 2 2 7 11 14" xfId="8792"/>
    <cellStyle name="Normal 2 2 2 2 2 2 2 2 2 2 2 2 2 2 7 11 2" xfId="8793"/>
    <cellStyle name="Normal 2 2 2 2 2 2 2 2 2 2 2 2 2 2 7 11 2 10" xfId="8794"/>
    <cellStyle name="Normal 2 2 2 2 2 2 2 2 2 2 2 2 2 2 7 11 2 11" xfId="8795"/>
    <cellStyle name="Normal 2 2 2 2 2 2 2 2 2 2 2 2 2 2 7 11 2 2" xfId="8796"/>
    <cellStyle name="Normal 2 2 2 2 2 2 2 2 2 2 2 2 2 2 7 11 2 2 10" xfId="8797"/>
    <cellStyle name="Normal 2 2 2 2 2 2 2 2 2 2 2 2 2 2 7 11 2 2 11" xfId="8798"/>
    <cellStyle name="Normal 2 2 2 2 2 2 2 2 2 2 2 2 2 2 7 11 2 2 2" xfId="8799"/>
    <cellStyle name="Normal 2 2 2 2 2 2 2 2 2 2 2 2 2 2 7 11 2 2 2 2" xfId="8800"/>
    <cellStyle name="Normal 2 2 2 2 2 2 2 2 2 2 2 2 2 2 7 11 2 2 2 2 2" xfId="8801"/>
    <cellStyle name="Normal 2 2 2 2 2 2 2 2 2 2 2 2 2 2 7 11 2 2 2 2 3" xfId="8802"/>
    <cellStyle name="Normal 2 2 2 2 2 2 2 2 2 2 2 2 2 2 7 11 2 2 2 2 4" xfId="8803"/>
    <cellStyle name="Normal 2 2 2 2 2 2 2 2 2 2 2 2 2 2 7 11 2 2 2 3" xfId="8804"/>
    <cellStyle name="Normal 2 2 2 2 2 2 2 2 2 2 2 2 2 2 7 11 2 2 2 4" xfId="8805"/>
    <cellStyle name="Normal 2 2 2 2 2 2 2 2 2 2 2 2 2 2 7 11 2 2 2 5" xfId="8806"/>
    <cellStyle name="Normal 2 2 2 2 2 2 2 2 2 2 2 2 2 2 7 11 2 2 2 6" xfId="8807"/>
    <cellStyle name="Normal 2 2 2 2 2 2 2 2 2 2 2 2 2 2 7 11 2 2 3" xfId="8808"/>
    <cellStyle name="Normal 2 2 2 2 2 2 2 2 2 2 2 2 2 2 7 11 2 2 4" xfId="8809"/>
    <cellStyle name="Normal 2 2 2 2 2 2 2 2 2 2 2 2 2 2 7 11 2 2 5" xfId="8810"/>
    <cellStyle name="Normal 2 2 2 2 2 2 2 2 2 2 2 2 2 2 7 11 2 2 6" xfId="8811"/>
    <cellStyle name="Normal 2 2 2 2 2 2 2 2 2 2 2 2 2 2 7 11 2 2 7" xfId="8812"/>
    <cellStyle name="Normal 2 2 2 2 2 2 2 2 2 2 2 2 2 2 7 11 2 2 8" xfId="8813"/>
    <cellStyle name="Normal 2 2 2 2 2 2 2 2 2 2 2 2 2 2 7 11 2 2 8 2" xfId="8814"/>
    <cellStyle name="Normal 2 2 2 2 2 2 2 2 2 2 2 2 2 2 7 11 2 2 8 3" xfId="8815"/>
    <cellStyle name="Normal 2 2 2 2 2 2 2 2 2 2 2 2 2 2 7 11 2 2 8 4" xfId="8816"/>
    <cellStyle name="Normal 2 2 2 2 2 2 2 2 2 2 2 2 2 2 7 11 2 2 9" xfId="8817"/>
    <cellStyle name="Normal 2 2 2 2 2 2 2 2 2 2 2 2 2 2 7 11 2 3" xfId="8818"/>
    <cellStyle name="Normal 2 2 2 2 2 2 2 2 2 2 2 2 2 2 7 11 2 3 2" xfId="8819"/>
    <cellStyle name="Normal 2 2 2 2 2 2 2 2 2 2 2 2 2 2 7 11 2 3 2 2" xfId="8820"/>
    <cellStyle name="Normal 2 2 2 2 2 2 2 2 2 2 2 2 2 2 7 11 2 3 2 3" xfId="8821"/>
    <cellStyle name="Normal 2 2 2 2 2 2 2 2 2 2 2 2 2 2 7 11 2 3 2 4" xfId="8822"/>
    <cellStyle name="Normal 2 2 2 2 2 2 2 2 2 2 2 2 2 2 7 11 2 3 3" xfId="8823"/>
    <cellStyle name="Normal 2 2 2 2 2 2 2 2 2 2 2 2 2 2 7 11 2 3 4" xfId="8824"/>
    <cellStyle name="Normal 2 2 2 2 2 2 2 2 2 2 2 2 2 2 7 11 2 3 5" xfId="8825"/>
    <cellStyle name="Normal 2 2 2 2 2 2 2 2 2 2 2 2 2 2 7 11 2 3 6" xfId="8826"/>
    <cellStyle name="Normal 2 2 2 2 2 2 2 2 2 2 2 2 2 2 7 11 2 4" xfId="8827"/>
    <cellStyle name="Normal 2 2 2 2 2 2 2 2 2 2 2 2 2 2 7 11 2 5" xfId="8828"/>
    <cellStyle name="Normal 2 2 2 2 2 2 2 2 2 2 2 2 2 2 7 11 2 6" xfId="8829"/>
    <cellStyle name="Normal 2 2 2 2 2 2 2 2 2 2 2 2 2 2 7 11 2 7" xfId="8830"/>
    <cellStyle name="Normal 2 2 2 2 2 2 2 2 2 2 2 2 2 2 7 11 2 8" xfId="8831"/>
    <cellStyle name="Normal 2 2 2 2 2 2 2 2 2 2 2 2 2 2 7 11 2 8 2" xfId="8832"/>
    <cellStyle name="Normal 2 2 2 2 2 2 2 2 2 2 2 2 2 2 7 11 2 8 3" xfId="8833"/>
    <cellStyle name="Normal 2 2 2 2 2 2 2 2 2 2 2 2 2 2 7 11 2 8 4" xfId="8834"/>
    <cellStyle name="Normal 2 2 2 2 2 2 2 2 2 2 2 2 2 2 7 11 2 9" xfId="8835"/>
    <cellStyle name="Normal 2 2 2 2 2 2 2 2 2 2 2 2 2 2 7 11 3" xfId="8836"/>
    <cellStyle name="Normal 2 2 2 2 2 2 2 2 2 2 2 2 2 2 7 11 4" xfId="8837"/>
    <cellStyle name="Normal 2 2 2 2 2 2 2 2 2 2 2 2 2 2 7 11 5" xfId="8838"/>
    <cellStyle name="Normal 2 2 2 2 2 2 2 2 2 2 2 2 2 2 7 11 5 2" xfId="8839"/>
    <cellStyle name="Normal 2 2 2 2 2 2 2 2 2 2 2 2 2 2 7 11 5 2 2" xfId="8840"/>
    <cellStyle name="Normal 2 2 2 2 2 2 2 2 2 2 2 2 2 2 7 11 5 2 3" xfId="8841"/>
    <cellStyle name="Normal 2 2 2 2 2 2 2 2 2 2 2 2 2 2 7 11 5 2 4" xfId="8842"/>
    <cellStyle name="Normal 2 2 2 2 2 2 2 2 2 2 2 2 2 2 7 11 5 3" xfId="8843"/>
    <cellStyle name="Normal 2 2 2 2 2 2 2 2 2 2 2 2 2 2 7 11 5 4" xfId="8844"/>
    <cellStyle name="Normal 2 2 2 2 2 2 2 2 2 2 2 2 2 2 7 11 5 5" xfId="8845"/>
    <cellStyle name="Normal 2 2 2 2 2 2 2 2 2 2 2 2 2 2 7 11 5 6" xfId="8846"/>
    <cellStyle name="Normal 2 2 2 2 2 2 2 2 2 2 2 2 2 2 7 11 6" xfId="8847"/>
    <cellStyle name="Normal 2 2 2 2 2 2 2 2 2 2 2 2 2 2 7 11 7" xfId="8848"/>
    <cellStyle name="Normal 2 2 2 2 2 2 2 2 2 2 2 2 2 2 7 11 8" xfId="8849"/>
    <cellStyle name="Normal 2 2 2 2 2 2 2 2 2 2 2 2 2 2 7 11 9" xfId="8850"/>
    <cellStyle name="Normal 2 2 2 2 2 2 2 2 2 2 2 2 2 2 7 12" xfId="8851"/>
    <cellStyle name="Normal 2 2 2 2 2 2 2 2 2 2 2 2 2 2 7 13" xfId="8852"/>
    <cellStyle name="Normal 2 2 2 2 2 2 2 2 2 2 2 2 2 2 7 13 10" xfId="8853"/>
    <cellStyle name="Normal 2 2 2 2 2 2 2 2 2 2 2 2 2 2 7 13 11" xfId="8854"/>
    <cellStyle name="Normal 2 2 2 2 2 2 2 2 2 2 2 2 2 2 7 13 2" xfId="8855"/>
    <cellStyle name="Normal 2 2 2 2 2 2 2 2 2 2 2 2 2 2 7 13 2 10" xfId="8856"/>
    <cellStyle name="Normal 2 2 2 2 2 2 2 2 2 2 2 2 2 2 7 13 2 11" xfId="8857"/>
    <cellStyle name="Normal 2 2 2 2 2 2 2 2 2 2 2 2 2 2 7 13 2 2" xfId="8858"/>
    <cellStyle name="Normal 2 2 2 2 2 2 2 2 2 2 2 2 2 2 7 13 2 2 2" xfId="8859"/>
    <cellStyle name="Normal 2 2 2 2 2 2 2 2 2 2 2 2 2 2 7 13 2 2 2 2" xfId="8860"/>
    <cellStyle name="Normal 2 2 2 2 2 2 2 2 2 2 2 2 2 2 7 13 2 2 2 3" xfId="8861"/>
    <cellStyle name="Normal 2 2 2 2 2 2 2 2 2 2 2 2 2 2 7 13 2 2 2 4" xfId="8862"/>
    <cellStyle name="Normal 2 2 2 2 2 2 2 2 2 2 2 2 2 2 7 13 2 2 3" xfId="8863"/>
    <cellStyle name="Normal 2 2 2 2 2 2 2 2 2 2 2 2 2 2 7 13 2 2 4" xfId="8864"/>
    <cellStyle name="Normal 2 2 2 2 2 2 2 2 2 2 2 2 2 2 7 13 2 2 5" xfId="8865"/>
    <cellStyle name="Normal 2 2 2 2 2 2 2 2 2 2 2 2 2 2 7 13 2 2 6" xfId="8866"/>
    <cellStyle name="Normal 2 2 2 2 2 2 2 2 2 2 2 2 2 2 7 13 2 3" xfId="8867"/>
    <cellStyle name="Normal 2 2 2 2 2 2 2 2 2 2 2 2 2 2 7 13 2 4" xfId="8868"/>
    <cellStyle name="Normal 2 2 2 2 2 2 2 2 2 2 2 2 2 2 7 13 2 5" xfId="8869"/>
    <cellStyle name="Normal 2 2 2 2 2 2 2 2 2 2 2 2 2 2 7 13 2 6" xfId="8870"/>
    <cellStyle name="Normal 2 2 2 2 2 2 2 2 2 2 2 2 2 2 7 13 2 7" xfId="8871"/>
    <cellStyle name="Normal 2 2 2 2 2 2 2 2 2 2 2 2 2 2 7 13 2 8" xfId="8872"/>
    <cellStyle name="Normal 2 2 2 2 2 2 2 2 2 2 2 2 2 2 7 13 2 8 2" xfId="8873"/>
    <cellStyle name="Normal 2 2 2 2 2 2 2 2 2 2 2 2 2 2 7 13 2 8 3" xfId="8874"/>
    <cellStyle name="Normal 2 2 2 2 2 2 2 2 2 2 2 2 2 2 7 13 2 8 4" xfId="8875"/>
    <cellStyle name="Normal 2 2 2 2 2 2 2 2 2 2 2 2 2 2 7 13 2 9" xfId="8876"/>
    <cellStyle name="Normal 2 2 2 2 2 2 2 2 2 2 2 2 2 2 7 13 3" xfId="8877"/>
    <cellStyle name="Normal 2 2 2 2 2 2 2 2 2 2 2 2 2 2 7 13 3 2" xfId="8878"/>
    <cellStyle name="Normal 2 2 2 2 2 2 2 2 2 2 2 2 2 2 7 13 3 2 2" xfId="8879"/>
    <cellStyle name="Normal 2 2 2 2 2 2 2 2 2 2 2 2 2 2 7 13 3 2 3" xfId="8880"/>
    <cellStyle name="Normal 2 2 2 2 2 2 2 2 2 2 2 2 2 2 7 13 3 2 4" xfId="8881"/>
    <cellStyle name="Normal 2 2 2 2 2 2 2 2 2 2 2 2 2 2 7 13 3 3" xfId="8882"/>
    <cellStyle name="Normal 2 2 2 2 2 2 2 2 2 2 2 2 2 2 7 13 3 4" xfId="8883"/>
    <cellStyle name="Normal 2 2 2 2 2 2 2 2 2 2 2 2 2 2 7 13 3 5" xfId="8884"/>
    <cellStyle name="Normal 2 2 2 2 2 2 2 2 2 2 2 2 2 2 7 13 3 6" xfId="8885"/>
    <cellStyle name="Normal 2 2 2 2 2 2 2 2 2 2 2 2 2 2 7 13 4" xfId="8886"/>
    <cellStyle name="Normal 2 2 2 2 2 2 2 2 2 2 2 2 2 2 7 13 5" xfId="8887"/>
    <cellStyle name="Normal 2 2 2 2 2 2 2 2 2 2 2 2 2 2 7 13 6" xfId="8888"/>
    <cellStyle name="Normal 2 2 2 2 2 2 2 2 2 2 2 2 2 2 7 13 7" xfId="8889"/>
    <cellStyle name="Normal 2 2 2 2 2 2 2 2 2 2 2 2 2 2 7 13 8" xfId="8890"/>
    <cellStyle name="Normal 2 2 2 2 2 2 2 2 2 2 2 2 2 2 7 13 8 2" xfId="8891"/>
    <cellStyle name="Normal 2 2 2 2 2 2 2 2 2 2 2 2 2 2 7 13 8 3" xfId="8892"/>
    <cellStyle name="Normal 2 2 2 2 2 2 2 2 2 2 2 2 2 2 7 13 8 4" xfId="8893"/>
    <cellStyle name="Normal 2 2 2 2 2 2 2 2 2 2 2 2 2 2 7 13 9" xfId="8894"/>
    <cellStyle name="Normal 2 2 2 2 2 2 2 2 2 2 2 2 2 2 7 14" xfId="8895"/>
    <cellStyle name="Normal 2 2 2 2 2 2 2 2 2 2 2 2 2 2 7 15" xfId="8896"/>
    <cellStyle name="Normal 2 2 2 2 2 2 2 2 2 2 2 2 2 2 7 15 2" xfId="8897"/>
    <cellStyle name="Normal 2 2 2 2 2 2 2 2 2 2 2 2 2 2 7 15 2 2" xfId="8898"/>
    <cellStyle name="Normal 2 2 2 2 2 2 2 2 2 2 2 2 2 2 7 15 2 3" xfId="8899"/>
    <cellStyle name="Normal 2 2 2 2 2 2 2 2 2 2 2 2 2 2 7 15 2 4" xfId="8900"/>
    <cellStyle name="Normal 2 2 2 2 2 2 2 2 2 2 2 2 2 2 7 15 3" xfId="8901"/>
    <cellStyle name="Normal 2 2 2 2 2 2 2 2 2 2 2 2 2 2 7 15 4" xfId="8902"/>
    <cellStyle name="Normal 2 2 2 2 2 2 2 2 2 2 2 2 2 2 7 15 5" xfId="8903"/>
    <cellStyle name="Normal 2 2 2 2 2 2 2 2 2 2 2 2 2 2 7 15 6" xfId="8904"/>
    <cellStyle name="Normal 2 2 2 2 2 2 2 2 2 2 2 2 2 2 7 16" xfId="8905"/>
    <cellStyle name="Normal 2 2 2 2 2 2 2 2 2 2 2 2 2 2 7 17" xfId="8906"/>
    <cellStyle name="Normal 2 2 2 2 2 2 2 2 2 2 2 2 2 2 7 18" xfId="8907"/>
    <cellStyle name="Normal 2 2 2 2 2 2 2 2 2 2 2 2 2 2 7 19" xfId="8908"/>
    <cellStyle name="Normal 2 2 2 2 2 2 2 2 2 2 2 2 2 2 7 2" xfId="8909"/>
    <cellStyle name="Normal 2 2 2 2 2 2 2 2 2 2 2 2 2 2 7 2 10" xfId="8910"/>
    <cellStyle name="Normal 2 2 2 2 2 2 2 2 2 2 2 2 2 2 7 2 11" xfId="8911"/>
    <cellStyle name="Normal 2 2 2 2 2 2 2 2 2 2 2 2 2 2 7 2 12" xfId="8912"/>
    <cellStyle name="Normal 2 2 2 2 2 2 2 2 2 2 2 2 2 2 7 2 13" xfId="8913"/>
    <cellStyle name="Normal 2 2 2 2 2 2 2 2 2 2 2 2 2 2 7 2 13 2" xfId="8914"/>
    <cellStyle name="Normal 2 2 2 2 2 2 2 2 2 2 2 2 2 2 7 2 13 3" xfId="8915"/>
    <cellStyle name="Normal 2 2 2 2 2 2 2 2 2 2 2 2 2 2 7 2 13 4" xfId="8916"/>
    <cellStyle name="Normal 2 2 2 2 2 2 2 2 2 2 2 2 2 2 7 2 14" xfId="8917"/>
    <cellStyle name="Normal 2 2 2 2 2 2 2 2 2 2 2 2 2 2 7 2 15" xfId="8918"/>
    <cellStyle name="Normal 2 2 2 2 2 2 2 2 2 2 2 2 2 2 7 2 16" xfId="8919"/>
    <cellStyle name="Normal 2 2 2 2 2 2 2 2 2 2 2 2 2 2 7 2 2" xfId="8920"/>
    <cellStyle name="Normal 2 2 2 2 2 2 2 2 2 2 2 2 2 2 7 2 2 10" xfId="8921"/>
    <cellStyle name="Normal 2 2 2 2 2 2 2 2 2 2 2 2 2 2 7 2 2 11" xfId="8922"/>
    <cellStyle name="Normal 2 2 2 2 2 2 2 2 2 2 2 2 2 2 7 2 2 11 2" xfId="8923"/>
    <cellStyle name="Normal 2 2 2 2 2 2 2 2 2 2 2 2 2 2 7 2 2 11 3" xfId="8924"/>
    <cellStyle name="Normal 2 2 2 2 2 2 2 2 2 2 2 2 2 2 7 2 2 11 4" xfId="8925"/>
    <cellStyle name="Normal 2 2 2 2 2 2 2 2 2 2 2 2 2 2 7 2 2 12" xfId="8926"/>
    <cellStyle name="Normal 2 2 2 2 2 2 2 2 2 2 2 2 2 2 7 2 2 13" xfId="8927"/>
    <cellStyle name="Normal 2 2 2 2 2 2 2 2 2 2 2 2 2 2 7 2 2 14" xfId="8928"/>
    <cellStyle name="Normal 2 2 2 2 2 2 2 2 2 2 2 2 2 2 7 2 2 2" xfId="8929"/>
    <cellStyle name="Normal 2 2 2 2 2 2 2 2 2 2 2 2 2 2 7 2 2 2 10" xfId="8930"/>
    <cellStyle name="Normal 2 2 2 2 2 2 2 2 2 2 2 2 2 2 7 2 2 2 11" xfId="8931"/>
    <cellStyle name="Normal 2 2 2 2 2 2 2 2 2 2 2 2 2 2 7 2 2 2 2" xfId="8932"/>
    <cellStyle name="Normal 2 2 2 2 2 2 2 2 2 2 2 2 2 2 7 2 2 2 2 10" xfId="8933"/>
    <cellStyle name="Normal 2 2 2 2 2 2 2 2 2 2 2 2 2 2 7 2 2 2 2 11" xfId="8934"/>
    <cellStyle name="Normal 2 2 2 2 2 2 2 2 2 2 2 2 2 2 7 2 2 2 2 2" xfId="8935"/>
    <cellStyle name="Normal 2 2 2 2 2 2 2 2 2 2 2 2 2 2 7 2 2 2 2 2 2" xfId="8936"/>
    <cellStyle name="Normal 2 2 2 2 2 2 2 2 2 2 2 2 2 2 7 2 2 2 2 2 2 2" xfId="8937"/>
    <cellStyle name="Normal 2 2 2 2 2 2 2 2 2 2 2 2 2 2 7 2 2 2 2 2 2 3" xfId="8938"/>
    <cellStyle name="Normal 2 2 2 2 2 2 2 2 2 2 2 2 2 2 7 2 2 2 2 2 2 4" xfId="8939"/>
    <cellStyle name="Normal 2 2 2 2 2 2 2 2 2 2 2 2 2 2 7 2 2 2 2 2 3" xfId="8940"/>
    <cellStyle name="Normal 2 2 2 2 2 2 2 2 2 2 2 2 2 2 7 2 2 2 2 2 4" xfId="8941"/>
    <cellStyle name="Normal 2 2 2 2 2 2 2 2 2 2 2 2 2 2 7 2 2 2 2 2 5" xfId="8942"/>
    <cellStyle name="Normal 2 2 2 2 2 2 2 2 2 2 2 2 2 2 7 2 2 2 2 2 6" xfId="8943"/>
    <cellStyle name="Normal 2 2 2 2 2 2 2 2 2 2 2 2 2 2 7 2 2 2 2 3" xfId="8944"/>
    <cellStyle name="Normal 2 2 2 2 2 2 2 2 2 2 2 2 2 2 7 2 2 2 2 4" xfId="8945"/>
    <cellStyle name="Normal 2 2 2 2 2 2 2 2 2 2 2 2 2 2 7 2 2 2 2 5" xfId="8946"/>
    <cellStyle name="Normal 2 2 2 2 2 2 2 2 2 2 2 2 2 2 7 2 2 2 2 6" xfId="8947"/>
    <cellStyle name="Normal 2 2 2 2 2 2 2 2 2 2 2 2 2 2 7 2 2 2 2 7" xfId="8948"/>
    <cellStyle name="Normal 2 2 2 2 2 2 2 2 2 2 2 2 2 2 7 2 2 2 2 8" xfId="8949"/>
    <cellStyle name="Normal 2 2 2 2 2 2 2 2 2 2 2 2 2 2 7 2 2 2 2 8 2" xfId="8950"/>
    <cellStyle name="Normal 2 2 2 2 2 2 2 2 2 2 2 2 2 2 7 2 2 2 2 8 3" xfId="8951"/>
    <cellStyle name="Normal 2 2 2 2 2 2 2 2 2 2 2 2 2 2 7 2 2 2 2 8 4" xfId="8952"/>
    <cellStyle name="Normal 2 2 2 2 2 2 2 2 2 2 2 2 2 2 7 2 2 2 2 9" xfId="8953"/>
    <cellStyle name="Normal 2 2 2 2 2 2 2 2 2 2 2 2 2 2 7 2 2 2 3" xfId="8954"/>
    <cellStyle name="Normal 2 2 2 2 2 2 2 2 2 2 2 2 2 2 7 2 2 2 3 2" xfId="8955"/>
    <cellStyle name="Normal 2 2 2 2 2 2 2 2 2 2 2 2 2 2 7 2 2 2 3 2 2" xfId="8956"/>
    <cellStyle name="Normal 2 2 2 2 2 2 2 2 2 2 2 2 2 2 7 2 2 2 3 2 3" xfId="8957"/>
    <cellStyle name="Normal 2 2 2 2 2 2 2 2 2 2 2 2 2 2 7 2 2 2 3 2 4" xfId="8958"/>
    <cellStyle name="Normal 2 2 2 2 2 2 2 2 2 2 2 2 2 2 7 2 2 2 3 3" xfId="8959"/>
    <cellStyle name="Normal 2 2 2 2 2 2 2 2 2 2 2 2 2 2 7 2 2 2 3 4" xfId="8960"/>
    <cellStyle name="Normal 2 2 2 2 2 2 2 2 2 2 2 2 2 2 7 2 2 2 3 5" xfId="8961"/>
    <cellStyle name="Normal 2 2 2 2 2 2 2 2 2 2 2 2 2 2 7 2 2 2 3 6" xfId="8962"/>
    <cellStyle name="Normal 2 2 2 2 2 2 2 2 2 2 2 2 2 2 7 2 2 2 4" xfId="8963"/>
    <cellStyle name="Normal 2 2 2 2 2 2 2 2 2 2 2 2 2 2 7 2 2 2 5" xfId="8964"/>
    <cellStyle name="Normal 2 2 2 2 2 2 2 2 2 2 2 2 2 2 7 2 2 2 6" xfId="8965"/>
    <cellStyle name="Normal 2 2 2 2 2 2 2 2 2 2 2 2 2 2 7 2 2 2 7" xfId="8966"/>
    <cellStyle name="Normal 2 2 2 2 2 2 2 2 2 2 2 2 2 2 7 2 2 2 8" xfId="8967"/>
    <cellStyle name="Normal 2 2 2 2 2 2 2 2 2 2 2 2 2 2 7 2 2 2 8 2" xfId="8968"/>
    <cellStyle name="Normal 2 2 2 2 2 2 2 2 2 2 2 2 2 2 7 2 2 2 8 3" xfId="8969"/>
    <cellStyle name="Normal 2 2 2 2 2 2 2 2 2 2 2 2 2 2 7 2 2 2 8 4" xfId="8970"/>
    <cellStyle name="Normal 2 2 2 2 2 2 2 2 2 2 2 2 2 2 7 2 2 2 9" xfId="8971"/>
    <cellStyle name="Normal 2 2 2 2 2 2 2 2 2 2 2 2 2 2 7 2 2 3" xfId="8972"/>
    <cellStyle name="Normal 2 2 2 2 2 2 2 2 2 2 2 2 2 2 7 2 2 4" xfId="8973"/>
    <cellStyle name="Normal 2 2 2 2 2 2 2 2 2 2 2 2 2 2 7 2 2 5" xfId="8974"/>
    <cellStyle name="Normal 2 2 2 2 2 2 2 2 2 2 2 2 2 2 7 2 2 5 2" xfId="8975"/>
    <cellStyle name="Normal 2 2 2 2 2 2 2 2 2 2 2 2 2 2 7 2 2 5 2 2" xfId="8976"/>
    <cellStyle name="Normal 2 2 2 2 2 2 2 2 2 2 2 2 2 2 7 2 2 5 2 3" xfId="8977"/>
    <cellStyle name="Normal 2 2 2 2 2 2 2 2 2 2 2 2 2 2 7 2 2 5 2 4" xfId="8978"/>
    <cellStyle name="Normal 2 2 2 2 2 2 2 2 2 2 2 2 2 2 7 2 2 5 3" xfId="8979"/>
    <cellStyle name="Normal 2 2 2 2 2 2 2 2 2 2 2 2 2 2 7 2 2 5 4" xfId="8980"/>
    <cellStyle name="Normal 2 2 2 2 2 2 2 2 2 2 2 2 2 2 7 2 2 5 5" xfId="8981"/>
    <cellStyle name="Normal 2 2 2 2 2 2 2 2 2 2 2 2 2 2 7 2 2 5 6" xfId="8982"/>
    <cellStyle name="Normal 2 2 2 2 2 2 2 2 2 2 2 2 2 2 7 2 2 6" xfId="8983"/>
    <cellStyle name="Normal 2 2 2 2 2 2 2 2 2 2 2 2 2 2 7 2 2 7" xfId="8984"/>
    <cellStyle name="Normal 2 2 2 2 2 2 2 2 2 2 2 2 2 2 7 2 2 8" xfId="8985"/>
    <cellStyle name="Normal 2 2 2 2 2 2 2 2 2 2 2 2 2 2 7 2 2 9" xfId="8986"/>
    <cellStyle name="Normal 2 2 2 2 2 2 2 2 2 2 2 2 2 2 7 2 3" xfId="8987"/>
    <cellStyle name="Normal 2 2 2 2 2 2 2 2 2 2 2 2 2 2 7 2 4" xfId="8988"/>
    <cellStyle name="Normal 2 2 2 2 2 2 2 2 2 2 2 2 2 2 7 2 5" xfId="8989"/>
    <cellStyle name="Normal 2 2 2 2 2 2 2 2 2 2 2 2 2 2 7 2 5 10" xfId="8990"/>
    <cellStyle name="Normal 2 2 2 2 2 2 2 2 2 2 2 2 2 2 7 2 5 11" xfId="8991"/>
    <cellStyle name="Normal 2 2 2 2 2 2 2 2 2 2 2 2 2 2 7 2 5 2" xfId="8992"/>
    <cellStyle name="Normal 2 2 2 2 2 2 2 2 2 2 2 2 2 2 7 2 5 2 10" xfId="8993"/>
    <cellStyle name="Normal 2 2 2 2 2 2 2 2 2 2 2 2 2 2 7 2 5 2 11" xfId="8994"/>
    <cellStyle name="Normal 2 2 2 2 2 2 2 2 2 2 2 2 2 2 7 2 5 2 2" xfId="8995"/>
    <cellStyle name="Normal 2 2 2 2 2 2 2 2 2 2 2 2 2 2 7 2 5 2 2 2" xfId="8996"/>
    <cellStyle name="Normal 2 2 2 2 2 2 2 2 2 2 2 2 2 2 7 2 5 2 2 2 2" xfId="8997"/>
    <cellStyle name="Normal 2 2 2 2 2 2 2 2 2 2 2 2 2 2 7 2 5 2 2 2 3" xfId="8998"/>
    <cellStyle name="Normal 2 2 2 2 2 2 2 2 2 2 2 2 2 2 7 2 5 2 2 2 4" xfId="8999"/>
    <cellStyle name="Normal 2 2 2 2 2 2 2 2 2 2 2 2 2 2 7 2 5 2 2 3" xfId="9000"/>
    <cellStyle name="Normal 2 2 2 2 2 2 2 2 2 2 2 2 2 2 7 2 5 2 2 4" xfId="9001"/>
    <cellStyle name="Normal 2 2 2 2 2 2 2 2 2 2 2 2 2 2 7 2 5 2 2 5" xfId="9002"/>
    <cellStyle name="Normal 2 2 2 2 2 2 2 2 2 2 2 2 2 2 7 2 5 2 2 6" xfId="9003"/>
    <cellStyle name="Normal 2 2 2 2 2 2 2 2 2 2 2 2 2 2 7 2 5 2 3" xfId="9004"/>
    <cellStyle name="Normal 2 2 2 2 2 2 2 2 2 2 2 2 2 2 7 2 5 2 4" xfId="9005"/>
    <cellStyle name="Normal 2 2 2 2 2 2 2 2 2 2 2 2 2 2 7 2 5 2 5" xfId="9006"/>
    <cellStyle name="Normal 2 2 2 2 2 2 2 2 2 2 2 2 2 2 7 2 5 2 6" xfId="9007"/>
    <cellStyle name="Normal 2 2 2 2 2 2 2 2 2 2 2 2 2 2 7 2 5 2 7" xfId="9008"/>
    <cellStyle name="Normal 2 2 2 2 2 2 2 2 2 2 2 2 2 2 7 2 5 2 8" xfId="9009"/>
    <cellStyle name="Normal 2 2 2 2 2 2 2 2 2 2 2 2 2 2 7 2 5 2 8 2" xfId="9010"/>
    <cellStyle name="Normal 2 2 2 2 2 2 2 2 2 2 2 2 2 2 7 2 5 2 8 3" xfId="9011"/>
    <cellStyle name="Normal 2 2 2 2 2 2 2 2 2 2 2 2 2 2 7 2 5 2 8 4" xfId="9012"/>
    <cellStyle name="Normal 2 2 2 2 2 2 2 2 2 2 2 2 2 2 7 2 5 2 9" xfId="9013"/>
    <cellStyle name="Normal 2 2 2 2 2 2 2 2 2 2 2 2 2 2 7 2 5 3" xfId="9014"/>
    <cellStyle name="Normal 2 2 2 2 2 2 2 2 2 2 2 2 2 2 7 2 5 3 2" xfId="9015"/>
    <cellStyle name="Normal 2 2 2 2 2 2 2 2 2 2 2 2 2 2 7 2 5 3 2 2" xfId="9016"/>
    <cellStyle name="Normal 2 2 2 2 2 2 2 2 2 2 2 2 2 2 7 2 5 3 2 3" xfId="9017"/>
    <cellStyle name="Normal 2 2 2 2 2 2 2 2 2 2 2 2 2 2 7 2 5 3 2 4" xfId="9018"/>
    <cellStyle name="Normal 2 2 2 2 2 2 2 2 2 2 2 2 2 2 7 2 5 3 3" xfId="9019"/>
    <cellStyle name="Normal 2 2 2 2 2 2 2 2 2 2 2 2 2 2 7 2 5 3 4" xfId="9020"/>
    <cellStyle name="Normal 2 2 2 2 2 2 2 2 2 2 2 2 2 2 7 2 5 3 5" xfId="9021"/>
    <cellStyle name="Normal 2 2 2 2 2 2 2 2 2 2 2 2 2 2 7 2 5 3 6" xfId="9022"/>
    <cellStyle name="Normal 2 2 2 2 2 2 2 2 2 2 2 2 2 2 7 2 5 4" xfId="9023"/>
    <cellStyle name="Normal 2 2 2 2 2 2 2 2 2 2 2 2 2 2 7 2 5 5" xfId="9024"/>
    <cellStyle name="Normal 2 2 2 2 2 2 2 2 2 2 2 2 2 2 7 2 5 6" xfId="9025"/>
    <cellStyle name="Normal 2 2 2 2 2 2 2 2 2 2 2 2 2 2 7 2 5 7" xfId="9026"/>
    <cellStyle name="Normal 2 2 2 2 2 2 2 2 2 2 2 2 2 2 7 2 5 8" xfId="9027"/>
    <cellStyle name="Normal 2 2 2 2 2 2 2 2 2 2 2 2 2 2 7 2 5 8 2" xfId="9028"/>
    <cellStyle name="Normal 2 2 2 2 2 2 2 2 2 2 2 2 2 2 7 2 5 8 3" xfId="9029"/>
    <cellStyle name="Normal 2 2 2 2 2 2 2 2 2 2 2 2 2 2 7 2 5 8 4" xfId="9030"/>
    <cellStyle name="Normal 2 2 2 2 2 2 2 2 2 2 2 2 2 2 7 2 5 9" xfId="9031"/>
    <cellStyle name="Normal 2 2 2 2 2 2 2 2 2 2 2 2 2 2 7 2 6" xfId="9032"/>
    <cellStyle name="Normal 2 2 2 2 2 2 2 2 2 2 2 2 2 2 7 2 7" xfId="9033"/>
    <cellStyle name="Normal 2 2 2 2 2 2 2 2 2 2 2 2 2 2 7 2 7 2" xfId="9034"/>
    <cellStyle name="Normal 2 2 2 2 2 2 2 2 2 2 2 2 2 2 7 2 7 2 2" xfId="9035"/>
    <cellStyle name="Normal 2 2 2 2 2 2 2 2 2 2 2 2 2 2 7 2 7 2 3" xfId="9036"/>
    <cellStyle name="Normal 2 2 2 2 2 2 2 2 2 2 2 2 2 2 7 2 7 2 4" xfId="9037"/>
    <cellStyle name="Normal 2 2 2 2 2 2 2 2 2 2 2 2 2 2 7 2 7 3" xfId="9038"/>
    <cellStyle name="Normal 2 2 2 2 2 2 2 2 2 2 2 2 2 2 7 2 7 4" xfId="9039"/>
    <cellStyle name="Normal 2 2 2 2 2 2 2 2 2 2 2 2 2 2 7 2 7 5" xfId="9040"/>
    <cellStyle name="Normal 2 2 2 2 2 2 2 2 2 2 2 2 2 2 7 2 7 6" xfId="9041"/>
    <cellStyle name="Normal 2 2 2 2 2 2 2 2 2 2 2 2 2 2 7 2 8" xfId="9042"/>
    <cellStyle name="Normal 2 2 2 2 2 2 2 2 2 2 2 2 2 2 7 2 9" xfId="9043"/>
    <cellStyle name="Normal 2 2 2 2 2 2 2 2 2 2 2 2 2 2 7 20" xfId="9044"/>
    <cellStyle name="Normal 2 2 2 2 2 2 2 2 2 2 2 2 2 2 7 21" xfId="9045"/>
    <cellStyle name="Normal 2 2 2 2 2 2 2 2 2 2 2 2 2 2 7 21 2" xfId="9046"/>
    <cellStyle name="Normal 2 2 2 2 2 2 2 2 2 2 2 2 2 2 7 21 3" xfId="9047"/>
    <cellStyle name="Normal 2 2 2 2 2 2 2 2 2 2 2 2 2 2 7 21 4" xfId="9048"/>
    <cellStyle name="Normal 2 2 2 2 2 2 2 2 2 2 2 2 2 2 7 22" xfId="9049"/>
    <cellStyle name="Normal 2 2 2 2 2 2 2 2 2 2 2 2 2 2 7 23" xfId="9050"/>
    <cellStyle name="Normal 2 2 2 2 2 2 2 2 2 2 2 2 2 2 7 24" xfId="9051"/>
    <cellStyle name="Normal 2 2 2 2 2 2 2 2 2 2 2 2 2 2 7 3" xfId="9052"/>
    <cellStyle name="Normal 2 2 2 2 2 2 2 2 2 2 2 2 2 2 7 4" xfId="9053"/>
    <cellStyle name="Normal 2 2 2 2 2 2 2 2 2 2 2 2 2 2 7 5" xfId="9054"/>
    <cellStyle name="Normal 2 2 2 2 2 2 2 2 2 2 2 2 2 2 7 6" xfId="9055"/>
    <cellStyle name="Normal 2 2 2 2 2 2 2 2 2 2 2 2 2 2 7 7" xfId="9056"/>
    <cellStyle name="Normal 2 2 2 2 2 2 2 2 2 2 2 2 2 2 7 8" xfId="9057"/>
    <cellStyle name="Normal 2 2 2 2 2 2 2 2 2 2 2 2 2 2 7 9" xfId="9058"/>
    <cellStyle name="Normal 2 2 2 2 2 2 2 2 2 2 2 2 2 2 70" xfId="9059"/>
    <cellStyle name="Normal 2 2 2 2 2 2 2 2 2 2 2 2 2 2 71" xfId="9060"/>
    <cellStyle name="Normal 2 2 2 2 2 2 2 2 2 2 2 2 2 2 72" xfId="9061"/>
    <cellStyle name="Normal 2 2 2 2 2 2 2 2 2 2 2 2 2 2 73" xfId="9062"/>
    <cellStyle name="Normal 2 2 2 2 2 2 2 2 2 2 2 2 2 2 74" xfId="9063"/>
    <cellStyle name="Normal 2 2 2 2 2 2 2 2 2 2 2 2 2 2 75" xfId="9064"/>
    <cellStyle name="Normal 2 2 2 2 2 2 2 2 2 2 2 2 2 2 76" xfId="9065"/>
    <cellStyle name="Normal 2 2 2 2 2 2 2 2 2 2 2 2 2 2 77" xfId="9066"/>
    <cellStyle name="Normal 2 2 2 2 2 2 2 2 2 2 2 2 2 2 78" xfId="9067"/>
    <cellStyle name="Normal 2 2 2 2 2 2 2 2 2 2 2 2 2 2 79" xfId="9068"/>
    <cellStyle name="Normal 2 2 2 2 2 2 2 2 2 2 2 2 2 2 8" xfId="9069"/>
    <cellStyle name="Normal 2 2 2 2 2 2 2 2 2 2 2 2 2 2 8 10" xfId="9070"/>
    <cellStyle name="Normal 2 2 2 2 2 2 2 2 2 2 2 2 2 2 8 11" xfId="9071"/>
    <cellStyle name="Normal 2 2 2 2 2 2 2 2 2 2 2 2 2 2 8 12" xfId="9072"/>
    <cellStyle name="Normal 2 2 2 2 2 2 2 2 2 2 2 2 2 2 8 13" xfId="9073"/>
    <cellStyle name="Normal 2 2 2 2 2 2 2 2 2 2 2 2 2 2 8 13 2" xfId="9074"/>
    <cellStyle name="Normal 2 2 2 2 2 2 2 2 2 2 2 2 2 2 8 13 3" xfId="9075"/>
    <cellStyle name="Normal 2 2 2 2 2 2 2 2 2 2 2 2 2 2 8 13 4" xfId="9076"/>
    <cellStyle name="Normal 2 2 2 2 2 2 2 2 2 2 2 2 2 2 8 14" xfId="9077"/>
    <cellStyle name="Normal 2 2 2 2 2 2 2 2 2 2 2 2 2 2 8 15" xfId="9078"/>
    <cellStyle name="Normal 2 2 2 2 2 2 2 2 2 2 2 2 2 2 8 16" xfId="9079"/>
    <cellStyle name="Normal 2 2 2 2 2 2 2 2 2 2 2 2 2 2 8 2" xfId="9080"/>
    <cellStyle name="Normal 2 2 2 2 2 2 2 2 2 2 2 2 2 2 8 2 10" xfId="9081"/>
    <cellStyle name="Normal 2 2 2 2 2 2 2 2 2 2 2 2 2 2 8 2 11" xfId="9082"/>
    <cellStyle name="Normal 2 2 2 2 2 2 2 2 2 2 2 2 2 2 8 2 11 2" xfId="9083"/>
    <cellStyle name="Normal 2 2 2 2 2 2 2 2 2 2 2 2 2 2 8 2 11 3" xfId="9084"/>
    <cellStyle name="Normal 2 2 2 2 2 2 2 2 2 2 2 2 2 2 8 2 11 4" xfId="9085"/>
    <cellStyle name="Normal 2 2 2 2 2 2 2 2 2 2 2 2 2 2 8 2 12" xfId="9086"/>
    <cellStyle name="Normal 2 2 2 2 2 2 2 2 2 2 2 2 2 2 8 2 13" xfId="9087"/>
    <cellStyle name="Normal 2 2 2 2 2 2 2 2 2 2 2 2 2 2 8 2 14" xfId="9088"/>
    <cellStyle name="Normal 2 2 2 2 2 2 2 2 2 2 2 2 2 2 8 2 2" xfId="9089"/>
    <cellStyle name="Normal 2 2 2 2 2 2 2 2 2 2 2 2 2 2 8 2 2 10" xfId="9090"/>
    <cellStyle name="Normal 2 2 2 2 2 2 2 2 2 2 2 2 2 2 8 2 2 11" xfId="9091"/>
    <cellStyle name="Normal 2 2 2 2 2 2 2 2 2 2 2 2 2 2 8 2 2 2" xfId="9092"/>
    <cellStyle name="Normal 2 2 2 2 2 2 2 2 2 2 2 2 2 2 8 2 2 2 10" xfId="9093"/>
    <cellStyle name="Normal 2 2 2 2 2 2 2 2 2 2 2 2 2 2 8 2 2 2 11" xfId="9094"/>
    <cellStyle name="Normal 2 2 2 2 2 2 2 2 2 2 2 2 2 2 8 2 2 2 2" xfId="9095"/>
    <cellStyle name="Normal 2 2 2 2 2 2 2 2 2 2 2 2 2 2 8 2 2 2 2 2" xfId="9096"/>
    <cellStyle name="Normal 2 2 2 2 2 2 2 2 2 2 2 2 2 2 8 2 2 2 2 2 2" xfId="9097"/>
    <cellStyle name="Normal 2 2 2 2 2 2 2 2 2 2 2 2 2 2 8 2 2 2 2 2 3" xfId="9098"/>
    <cellStyle name="Normal 2 2 2 2 2 2 2 2 2 2 2 2 2 2 8 2 2 2 2 2 4" xfId="9099"/>
    <cellStyle name="Normal 2 2 2 2 2 2 2 2 2 2 2 2 2 2 8 2 2 2 2 3" xfId="9100"/>
    <cellStyle name="Normal 2 2 2 2 2 2 2 2 2 2 2 2 2 2 8 2 2 2 2 4" xfId="9101"/>
    <cellStyle name="Normal 2 2 2 2 2 2 2 2 2 2 2 2 2 2 8 2 2 2 2 5" xfId="9102"/>
    <cellStyle name="Normal 2 2 2 2 2 2 2 2 2 2 2 2 2 2 8 2 2 2 2 6" xfId="9103"/>
    <cellStyle name="Normal 2 2 2 2 2 2 2 2 2 2 2 2 2 2 8 2 2 2 3" xfId="9104"/>
    <cellStyle name="Normal 2 2 2 2 2 2 2 2 2 2 2 2 2 2 8 2 2 2 4" xfId="9105"/>
    <cellStyle name="Normal 2 2 2 2 2 2 2 2 2 2 2 2 2 2 8 2 2 2 5" xfId="9106"/>
    <cellStyle name="Normal 2 2 2 2 2 2 2 2 2 2 2 2 2 2 8 2 2 2 6" xfId="9107"/>
    <cellStyle name="Normal 2 2 2 2 2 2 2 2 2 2 2 2 2 2 8 2 2 2 7" xfId="9108"/>
    <cellStyle name="Normal 2 2 2 2 2 2 2 2 2 2 2 2 2 2 8 2 2 2 8" xfId="9109"/>
    <cellStyle name="Normal 2 2 2 2 2 2 2 2 2 2 2 2 2 2 8 2 2 2 8 2" xfId="9110"/>
    <cellStyle name="Normal 2 2 2 2 2 2 2 2 2 2 2 2 2 2 8 2 2 2 8 3" xfId="9111"/>
    <cellStyle name="Normal 2 2 2 2 2 2 2 2 2 2 2 2 2 2 8 2 2 2 8 4" xfId="9112"/>
    <cellStyle name="Normal 2 2 2 2 2 2 2 2 2 2 2 2 2 2 8 2 2 2 9" xfId="9113"/>
    <cellStyle name="Normal 2 2 2 2 2 2 2 2 2 2 2 2 2 2 8 2 2 3" xfId="9114"/>
    <cellStyle name="Normal 2 2 2 2 2 2 2 2 2 2 2 2 2 2 8 2 2 3 2" xfId="9115"/>
    <cellStyle name="Normal 2 2 2 2 2 2 2 2 2 2 2 2 2 2 8 2 2 3 2 2" xfId="9116"/>
    <cellStyle name="Normal 2 2 2 2 2 2 2 2 2 2 2 2 2 2 8 2 2 3 2 3" xfId="9117"/>
    <cellStyle name="Normal 2 2 2 2 2 2 2 2 2 2 2 2 2 2 8 2 2 3 2 4" xfId="9118"/>
    <cellStyle name="Normal 2 2 2 2 2 2 2 2 2 2 2 2 2 2 8 2 2 3 3" xfId="9119"/>
    <cellStyle name="Normal 2 2 2 2 2 2 2 2 2 2 2 2 2 2 8 2 2 3 4" xfId="9120"/>
    <cellStyle name="Normal 2 2 2 2 2 2 2 2 2 2 2 2 2 2 8 2 2 3 5" xfId="9121"/>
    <cellStyle name="Normal 2 2 2 2 2 2 2 2 2 2 2 2 2 2 8 2 2 3 6" xfId="9122"/>
    <cellStyle name="Normal 2 2 2 2 2 2 2 2 2 2 2 2 2 2 8 2 2 4" xfId="9123"/>
    <cellStyle name="Normal 2 2 2 2 2 2 2 2 2 2 2 2 2 2 8 2 2 5" xfId="9124"/>
    <cellStyle name="Normal 2 2 2 2 2 2 2 2 2 2 2 2 2 2 8 2 2 6" xfId="9125"/>
    <cellStyle name="Normal 2 2 2 2 2 2 2 2 2 2 2 2 2 2 8 2 2 7" xfId="9126"/>
    <cellStyle name="Normal 2 2 2 2 2 2 2 2 2 2 2 2 2 2 8 2 2 8" xfId="9127"/>
    <cellStyle name="Normal 2 2 2 2 2 2 2 2 2 2 2 2 2 2 8 2 2 8 2" xfId="9128"/>
    <cellStyle name="Normal 2 2 2 2 2 2 2 2 2 2 2 2 2 2 8 2 2 8 3" xfId="9129"/>
    <cellStyle name="Normal 2 2 2 2 2 2 2 2 2 2 2 2 2 2 8 2 2 8 4" xfId="9130"/>
    <cellStyle name="Normal 2 2 2 2 2 2 2 2 2 2 2 2 2 2 8 2 2 9" xfId="9131"/>
    <cellStyle name="Normal 2 2 2 2 2 2 2 2 2 2 2 2 2 2 8 2 3" xfId="9132"/>
    <cellStyle name="Normal 2 2 2 2 2 2 2 2 2 2 2 2 2 2 8 2 4" xfId="9133"/>
    <cellStyle name="Normal 2 2 2 2 2 2 2 2 2 2 2 2 2 2 8 2 5" xfId="9134"/>
    <cellStyle name="Normal 2 2 2 2 2 2 2 2 2 2 2 2 2 2 8 2 5 2" xfId="9135"/>
    <cellStyle name="Normal 2 2 2 2 2 2 2 2 2 2 2 2 2 2 8 2 5 2 2" xfId="9136"/>
    <cellStyle name="Normal 2 2 2 2 2 2 2 2 2 2 2 2 2 2 8 2 5 2 3" xfId="9137"/>
    <cellStyle name="Normal 2 2 2 2 2 2 2 2 2 2 2 2 2 2 8 2 5 2 4" xfId="9138"/>
    <cellStyle name="Normal 2 2 2 2 2 2 2 2 2 2 2 2 2 2 8 2 5 3" xfId="9139"/>
    <cellStyle name="Normal 2 2 2 2 2 2 2 2 2 2 2 2 2 2 8 2 5 4" xfId="9140"/>
    <cellStyle name="Normal 2 2 2 2 2 2 2 2 2 2 2 2 2 2 8 2 5 5" xfId="9141"/>
    <cellStyle name="Normal 2 2 2 2 2 2 2 2 2 2 2 2 2 2 8 2 5 6" xfId="9142"/>
    <cellStyle name="Normal 2 2 2 2 2 2 2 2 2 2 2 2 2 2 8 2 6" xfId="9143"/>
    <cellStyle name="Normal 2 2 2 2 2 2 2 2 2 2 2 2 2 2 8 2 7" xfId="9144"/>
    <cellStyle name="Normal 2 2 2 2 2 2 2 2 2 2 2 2 2 2 8 2 8" xfId="9145"/>
    <cellStyle name="Normal 2 2 2 2 2 2 2 2 2 2 2 2 2 2 8 2 9" xfId="9146"/>
    <cellStyle name="Normal 2 2 2 2 2 2 2 2 2 2 2 2 2 2 8 3" xfId="9147"/>
    <cellStyle name="Normal 2 2 2 2 2 2 2 2 2 2 2 2 2 2 8 4" xfId="9148"/>
    <cellStyle name="Normal 2 2 2 2 2 2 2 2 2 2 2 2 2 2 8 5" xfId="9149"/>
    <cellStyle name="Normal 2 2 2 2 2 2 2 2 2 2 2 2 2 2 8 5 10" xfId="9150"/>
    <cellStyle name="Normal 2 2 2 2 2 2 2 2 2 2 2 2 2 2 8 5 11" xfId="9151"/>
    <cellStyle name="Normal 2 2 2 2 2 2 2 2 2 2 2 2 2 2 8 5 2" xfId="9152"/>
    <cellStyle name="Normal 2 2 2 2 2 2 2 2 2 2 2 2 2 2 8 5 2 10" xfId="9153"/>
    <cellStyle name="Normal 2 2 2 2 2 2 2 2 2 2 2 2 2 2 8 5 2 11" xfId="9154"/>
    <cellStyle name="Normal 2 2 2 2 2 2 2 2 2 2 2 2 2 2 8 5 2 2" xfId="9155"/>
    <cellStyle name="Normal 2 2 2 2 2 2 2 2 2 2 2 2 2 2 8 5 2 2 2" xfId="9156"/>
    <cellStyle name="Normal 2 2 2 2 2 2 2 2 2 2 2 2 2 2 8 5 2 2 2 2" xfId="9157"/>
    <cellStyle name="Normal 2 2 2 2 2 2 2 2 2 2 2 2 2 2 8 5 2 2 2 3" xfId="9158"/>
    <cellStyle name="Normal 2 2 2 2 2 2 2 2 2 2 2 2 2 2 8 5 2 2 2 4" xfId="9159"/>
    <cellStyle name="Normal 2 2 2 2 2 2 2 2 2 2 2 2 2 2 8 5 2 2 3" xfId="9160"/>
    <cellStyle name="Normal 2 2 2 2 2 2 2 2 2 2 2 2 2 2 8 5 2 2 4" xfId="9161"/>
    <cellStyle name="Normal 2 2 2 2 2 2 2 2 2 2 2 2 2 2 8 5 2 2 5" xfId="9162"/>
    <cellStyle name="Normal 2 2 2 2 2 2 2 2 2 2 2 2 2 2 8 5 2 2 6" xfId="9163"/>
    <cellStyle name="Normal 2 2 2 2 2 2 2 2 2 2 2 2 2 2 8 5 2 3" xfId="9164"/>
    <cellStyle name="Normal 2 2 2 2 2 2 2 2 2 2 2 2 2 2 8 5 2 4" xfId="9165"/>
    <cellStyle name="Normal 2 2 2 2 2 2 2 2 2 2 2 2 2 2 8 5 2 5" xfId="9166"/>
    <cellStyle name="Normal 2 2 2 2 2 2 2 2 2 2 2 2 2 2 8 5 2 6" xfId="9167"/>
    <cellStyle name="Normal 2 2 2 2 2 2 2 2 2 2 2 2 2 2 8 5 2 7" xfId="9168"/>
    <cellStyle name="Normal 2 2 2 2 2 2 2 2 2 2 2 2 2 2 8 5 2 8" xfId="9169"/>
    <cellStyle name="Normal 2 2 2 2 2 2 2 2 2 2 2 2 2 2 8 5 2 8 2" xfId="9170"/>
    <cellStyle name="Normal 2 2 2 2 2 2 2 2 2 2 2 2 2 2 8 5 2 8 3" xfId="9171"/>
    <cellStyle name="Normal 2 2 2 2 2 2 2 2 2 2 2 2 2 2 8 5 2 8 4" xfId="9172"/>
    <cellStyle name="Normal 2 2 2 2 2 2 2 2 2 2 2 2 2 2 8 5 2 9" xfId="9173"/>
    <cellStyle name="Normal 2 2 2 2 2 2 2 2 2 2 2 2 2 2 8 5 3" xfId="9174"/>
    <cellStyle name="Normal 2 2 2 2 2 2 2 2 2 2 2 2 2 2 8 5 3 2" xfId="9175"/>
    <cellStyle name="Normal 2 2 2 2 2 2 2 2 2 2 2 2 2 2 8 5 3 2 2" xfId="9176"/>
    <cellStyle name="Normal 2 2 2 2 2 2 2 2 2 2 2 2 2 2 8 5 3 2 3" xfId="9177"/>
    <cellStyle name="Normal 2 2 2 2 2 2 2 2 2 2 2 2 2 2 8 5 3 2 4" xfId="9178"/>
    <cellStyle name="Normal 2 2 2 2 2 2 2 2 2 2 2 2 2 2 8 5 3 3" xfId="9179"/>
    <cellStyle name="Normal 2 2 2 2 2 2 2 2 2 2 2 2 2 2 8 5 3 4" xfId="9180"/>
    <cellStyle name="Normal 2 2 2 2 2 2 2 2 2 2 2 2 2 2 8 5 3 5" xfId="9181"/>
    <cellStyle name="Normal 2 2 2 2 2 2 2 2 2 2 2 2 2 2 8 5 3 6" xfId="9182"/>
    <cellStyle name="Normal 2 2 2 2 2 2 2 2 2 2 2 2 2 2 8 5 4" xfId="9183"/>
    <cellStyle name="Normal 2 2 2 2 2 2 2 2 2 2 2 2 2 2 8 5 5" xfId="9184"/>
    <cellStyle name="Normal 2 2 2 2 2 2 2 2 2 2 2 2 2 2 8 5 6" xfId="9185"/>
    <cellStyle name="Normal 2 2 2 2 2 2 2 2 2 2 2 2 2 2 8 5 7" xfId="9186"/>
    <cellStyle name="Normal 2 2 2 2 2 2 2 2 2 2 2 2 2 2 8 5 8" xfId="9187"/>
    <cellStyle name="Normal 2 2 2 2 2 2 2 2 2 2 2 2 2 2 8 5 8 2" xfId="9188"/>
    <cellStyle name="Normal 2 2 2 2 2 2 2 2 2 2 2 2 2 2 8 5 8 3" xfId="9189"/>
    <cellStyle name="Normal 2 2 2 2 2 2 2 2 2 2 2 2 2 2 8 5 8 4" xfId="9190"/>
    <cellStyle name="Normal 2 2 2 2 2 2 2 2 2 2 2 2 2 2 8 5 9" xfId="9191"/>
    <cellStyle name="Normal 2 2 2 2 2 2 2 2 2 2 2 2 2 2 8 6" xfId="9192"/>
    <cellStyle name="Normal 2 2 2 2 2 2 2 2 2 2 2 2 2 2 8 7" xfId="9193"/>
    <cellStyle name="Normal 2 2 2 2 2 2 2 2 2 2 2 2 2 2 8 7 2" xfId="9194"/>
    <cellStyle name="Normal 2 2 2 2 2 2 2 2 2 2 2 2 2 2 8 7 2 2" xfId="9195"/>
    <cellStyle name="Normal 2 2 2 2 2 2 2 2 2 2 2 2 2 2 8 7 2 3" xfId="9196"/>
    <cellStyle name="Normal 2 2 2 2 2 2 2 2 2 2 2 2 2 2 8 7 2 4" xfId="9197"/>
    <cellStyle name="Normal 2 2 2 2 2 2 2 2 2 2 2 2 2 2 8 7 3" xfId="9198"/>
    <cellStyle name="Normal 2 2 2 2 2 2 2 2 2 2 2 2 2 2 8 7 4" xfId="9199"/>
    <cellStyle name="Normal 2 2 2 2 2 2 2 2 2 2 2 2 2 2 8 7 5" xfId="9200"/>
    <cellStyle name="Normal 2 2 2 2 2 2 2 2 2 2 2 2 2 2 8 7 6" xfId="9201"/>
    <cellStyle name="Normal 2 2 2 2 2 2 2 2 2 2 2 2 2 2 8 8" xfId="9202"/>
    <cellStyle name="Normal 2 2 2 2 2 2 2 2 2 2 2 2 2 2 8 9" xfId="9203"/>
    <cellStyle name="Normal 2 2 2 2 2 2 2 2 2 2 2 2 2 2 80" xfId="9204"/>
    <cellStyle name="Normal 2 2 2 2 2 2 2 2 2 2 2 2 2 2 81" xfId="9205"/>
    <cellStyle name="Normal 2 2 2 2 2 2 2 2 2 2 2 2 2 2 82" xfId="9206"/>
    <cellStyle name="Normal 2 2 2 2 2 2 2 2 2 2 2 2 2 2 83" xfId="9207"/>
    <cellStyle name="Normal 2 2 2 2 2 2 2 2 2 2 2 2 2 2 84" xfId="9208"/>
    <cellStyle name="Normal 2 2 2 2 2 2 2 2 2 2 2 2 2 2 85" xfId="9209"/>
    <cellStyle name="Normal 2 2 2 2 2 2 2 2 2 2 2 2 2 2 86" xfId="9210"/>
    <cellStyle name="Normal 2 2 2 2 2 2 2 2 2 2 2 2 2 2 87" xfId="9211"/>
    <cellStyle name="Normal 2 2 2 2 2 2 2 2 2 2 2 2 2 2 88" xfId="9212"/>
    <cellStyle name="Normal 2 2 2 2 2 2 2 2 2 2 2 2 2 2 88 2" xfId="9213"/>
    <cellStyle name="Normal 2 2 2 2 2 2 2 2 2 2 2 2 2 2 88 3" xfId="9214"/>
    <cellStyle name="Normal 2 2 2 2 2 2 2 2 2 2 2 2 2 2 88 4" xfId="9215"/>
    <cellStyle name="Normal 2 2 2 2 2 2 2 2 2 2 2 2 2 2 89" xfId="9216"/>
    <cellStyle name="Normal 2 2 2 2 2 2 2 2 2 2 2 2 2 2 9" xfId="9217"/>
    <cellStyle name="Normal 2 2 2 2 2 2 2 2 2 2 2 2 2 2 90" xfId="9218"/>
    <cellStyle name="Normal 2 2 2 2 2 2 2 2 2 2 2 2 2 20" xfId="9219"/>
    <cellStyle name="Normal 2 2 2 2 2 2 2 2 2 2 2 2 2 20 2" xfId="9220"/>
    <cellStyle name="Normal 2 2 2 2 2 2 2 2 2 2 2 2 2 20 2 2" xfId="9221"/>
    <cellStyle name="Normal 2 2 2 2 2 2 2 2 2 2 2 2 2 20 2 3" xfId="9222"/>
    <cellStyle name="Normal 2 2 2 2 2 2 2 2 2 2 2 2 2 20 2 4" xfId="9223"/>
    <cellStyle name="Normal 2 2 2 2 2 2 2 2 2 2 2 2 2 20 3" xfId="9224"/>
    <cellStyle name="Normal 2 2 2 2 2 2 2 2 2 2 2 2 2 20 4" xfId="9225"/>
    <cellStyle name="Normal 2 2 2 2 2 2 2 2 2 2 2 2 2 20 5" xfId="9226"/>
    <cellStyle name="Normal 2 2 2 2 2 2 2 2 2 2 2 2 2 20 6" xfId="9227"/>
    <cellStyle name="Normal 2 2 2 2 2 2 2 2 2 2 2 2 2 21" xfId="9228"/>
    <cellStyle name="Normal 2 2 2 2 2 2 2 2 2 2 2 2 2 22" xfId="9229"/>
    <cellStyle name="Normal 2 2 2 2 2 2 2 2 2 2 2 2 2 23" xfId="9230"/>
    <cellStyle name="Normal 2 2 2 2 2 2 2 2 2 2 2 2 2 24" xfId="9231"/>
    <cellStyle name="Normal 2 2 2 2 2 2 2 2 2 2 2 2 2 25" xfId="9232"/>
    <cellStyle name="Normal 2 2 2 2 2 2 2 2 2 2 2 2 2 26" xfId="9233"/>
    <cellStyle name="Normal 2 2 2 2 2 2 2 2 2 2 2 2 2 26 2" xfId="9234"/>
    <cellStyle name="Normal 2 2 2 2 2 2 2 2 2 2 2 2 2 26 3" xfId="9235"/>
    <cellStyle name="Normal 2 2 2 2 2 2 2 2 2 2 2 2 2 26 4" xfId="9236"/>
    <cellStyle name="Normal 2 2 2 2 2 2 2 2 2 2 2 2 2 27" xfId="9237"/>
    <cellStyle name="Normal 2 2 2 2 2 2 2 2 2 2 2 2 2 28" xfId="9238"/>
    <cellStyle name="Normal 2 2 2 2 2 2 2 2 2 2 2 2 2 29" xfId="9239"/>
    <cellStyle name="Normal 2 2 2 2 2 2 2 2 2 2 2 2 2 3" xfId="9240"/>
    <cellStyle name="Normal 2 2 2 2 2 2 2 2 2 2 2 2 2 30" xfId="9241"/>
    <cellStyle name="Normal 2 2 2 2 2 2 2 2 2 2 2 2 2 31" xfId="9242"/>
    <cellStyle name="Normal 2 2 2 2 2 2 2 2 2 2 2 2 2 32" xfId="9243"/>
    <cellStyle name="Normal 2 2 2 2 2 2 2 2 2 2 2 2 2 33" xfId="9244"/>
    <cellStyle name="Normal 2 2 2 2 2 2 2 2 2 2 2 2 2 34" xfId="9245"/>
    <cellStyle name="Normal 2 2 2 2 2 2 2 2 2 2 2 2 2 35" xfId="9246"/>
    <cellStyle name="Normal 2 2 2 2 2 2 2 2 2 2 2 2 2 36" xfId="9247"/>
    <cellStyle name="Normal 2 2 2 2 2 2 2 2 2 2 2 2 2 37" xfId="9248"/>
    <cellStyle name="Normal 2 2 2 2 2 2 2 2 2 2 2 2 2 38" xfId="9249"/>
    <cellStyle name="Normal 2 2 2 2 2 2 2 2 2 2 2 2 2 39" xfId="9250"/>
    <cellStyle name="Normal 2 2 2 2 2 2 2 2 2 2 2 2 2 4" xfId="9251"/>
    <cellStyle name="Normal 2 2 2 2 2 2 2 2 2 2 2 2 2 40" xfId="9252"/>
    <cellStyle name="Normal 2 2 2 2 2 2 2 2 2 2 2 2 2 41" xfId="9253"/>
    <cellStyle name="Normal 2 2 2 2 2 2 2 2 2 2 2 2 2 41 2" xfId="9254"/>
    <cellStyle name="Normal 2 2 2 2 2 2 2 2 2 2 2 2 2 41 3" xfId="9255"/>
    <cellStyle name="Normal 2 2 2 2 2 2 2 2 2 2 2 2 2 41 4" xfId="9256"/>
    <cellStyle name="Normal 2 2 2 2 2 2 2 2 2 2 2 2 2 41 5" xfId="9257"/>
    <cellStyle name="Normal 2 2 2 2 2 2 2 2 2 2 2 2 2 41 6" xfId="9258"/>
    <cellStyle name="Normal 2 2 2 2 2 2 2 2 2 2 2 2 2 41 7" xfId="9259"/>
    <cellStyle name="Normal 2 2 2 2 2 2 2 2 2 2 2 2 2 42" xfId="9260"/>
    <cellStyle name="Normal 2 2 2 2 2 2 2 2 2 2 2 2 2 43" xfId="9261"/>
    <cellStyle name="Normal 2 2 2 2 2 2 2 2 2 2 2 2 2 44" xfId="9262"/>
    <cellStyle name="Normal 2 2 2 2 2 2 2 2 2 2 2 2 2 45" xfId="9263"/>
    <cellStyle name="Normal 2 2 2 2 2 2 2 2 2 2 2 2 2 46" xfId="9264"/>
    <cellStyle name="Normal 2 2 2 2 2 2 2 2 2 2 2 2 2 47" xfId="9265"/>
    <cellStyle name="Normal 2 2 2 2 2 2 2 2 2 2 2 2 2 48" xfId="9266"/>
    <cellStyle name="Normal 2 2 2 2 2 2 2 2 2 2 2 2 2 49" xfId="9267"/>
    <cellStyle name="Normal 2 2 2 2 2 2 2 2 2 2 2 2 2 5" xfId="9268"/>
    <cellStyle name="Normal 2 2 2 2 2 2 2 2 2 2 2 2 2 50" xfId="9269"/>
    <cellStyle name="Normal 2 2 2 2 2 2 2 2 2 2 2 2 2 51" xfId="9270"/>
    <cellStyle name="Normal 2 2 2 2 2 2 2 2 2 2 2 2 2 52" xfId="9271"/>
    <cellStyle name="Normal 2 2 2 2 2 2 2 2 2 2 2 2 2 53" xfId="9272"/>
    <cellStyle name="Normal 2 2 2 2 2 2 2 2 2 2 2 2 2 54" xfId="9273"/>
    <cellStyle name="Normal 2 2 2 2 2 2 2 2 2 2 2 2 2 55" xfId="9274"/>
    <cellStyle name="Normal 2 2 2 2 2 2 2 2 2 2 2 2 2 56" xfId="9275"/>
    <cellStyle name="Normal 2 2 2 2 2 2 2 2 2 2 2 2 2 57" xfId="9276"/>
    <cellStyle name="Normal 2 2 2 2 2 2 2 2 2 2 2 2 2 58" xfId="9277"/>
    <cellStyle name="Normal 2 2 2 2 2 2 2 2 2 2 2 2 2 59" xfId="9278"/>
    <cellStyle name="Normal 2 2 2 2 2 2 2 2 2 2 2 2 2 6" xfId="9279"/>
    <cellStyle name="Normal 2 2 2 2 2 2 2 2 2 2 2 2 2 60" xfId="9280"/>
    <cellStyle name="Normal 2 2 2 2 2 2 2 2 2 2 2 2 2 61" xfId="9281"/>
    <cellStyle name="Normal 2 2 2 2 2 2 2 2 2 2 2 2 2 62" xfId="9282"/>
    <cellStyle name="Normal 2 2 2 2 2 2 2 2 2 2 2 2 2 63" xfId="9283"/>
    <cellStyle name="Normal 2 2 2 2 2 2 2 2 2 2 2 2 2 64" xfId="9284"/>
    <cellStyle name="Normal 2 2 2 2 2 2 2 2 2 2 2 2 2 65" xfId="9285"/>
    <cellStyle name="Normal 2 2 2 2 2 2 2 2 2 2 2 2 2 66" xfId="9286"/>
    <cellStyle name="Normal 2 2 2 2 2 2 2 2 2 2 2 2 2 67" xfId="9287"/>
    <cellStyle name="Normal 2 2 2 2 2 2 2 2 2 2 2 2 2 68" xfId="9288"/>
    <cellStyle name="Normal 2 2 2 2 2 2 2 2 2 2 2 2 2 69" xfId="9289"/>
    <cellStyle name="Normal 2 2 2 2 2 2 2 2 2 2 2 2 2 7" xfId="9290"/>
    <cellStyle name="Normal 2 2 2 2 2 2 2 2 2 2 2 2 2 7 10" xfId="9291"/>
    <cellStyle name="Normal 2 2 2 2 2 2 2 2 2 2 2 2 2 7 11" xfId="9292"/>
    <cellStyle name="Normal 2 2 2 2 2 2 2 2 2 2 2 2 2 7 11 10" xfId="9293"/>
    <cellStyle name="Normal 2 2 2 2 2 2 2 2 2 2 2 2 2 7 11 11" xfId="9294"/>
    <cellStyle name="Normal 2 2 2 2 2 2 2 2 2 2 2 2 2 7 11 11 2" xfId="9295"/>
    <cellStyle name="Normal 2 2 2 2 2 2 2 2 2 2 2 2 2 7 11 11 3" xfId="9296"/>
    <cellStyle name="Normal 2 2 2 2 2 2 2 2 2 2 2 2 2 7 11 11 4" xfId="9297"/>
    <cellStyle name="Normal 2 2 2 2 2 2 2 2 2 2 2 2 2 7 11 12" xfId="9298"/>
    <cellStyle name="Normal 2 2 2 2 2 2 2 2 2 2 2 2 2 7 11 13" xfId="9299"/>
    <cellStyle name="Normal 2 2 2 2 2 2 2 2 2 2 2 2 2 7 11 14" xfId="9300"/>
    <cellStyle name="Normal 2 2 2 2 2 2 2 2 2 2 2 2 2 7 11 2" xfId="9301"/>
    <cellStyle name="Normal 2 2 2 2 2 2 2 2 2 2 2 2 2 7 11 2 10" xfId="9302"/>
    <cellStyle name="Normal 2 2 2 2 2 2 2 2 2 2 2 2 2 7 11 2 11" xfId="9303"/>
    <cellStyle name="Normal 2 2 2 2 2 2 2 2 2 2 2 2 2 7 11 2 2" xfId="9304"/>
    <cellStyle name="Normal 2 2 2 2 2 2 2 2 2 2 2 2 2 7 11 2 2 10" xfId="9305"/>
    <cellStyle name="Normal 2 2 2 2 2 2 2 2 2 2 2 2 2 7 11 2 2 11" xfId="9306"/>
    <cellStyle name="Normal 2 2 2 2 2 2 2 2 2 2 2 2 2 7 11 2 2 2" xfId="9307"/>
    <cellStyle name="Normal 2 2 2 2 2 2 2 2 2 2 2 2 2 7 11 2 2 2 2" xfId="9308"/>
    <cellStyle name="Normal 2 2 2 2 2 2 2 2 2 2 2 2 2 7 11 2 2 2 2 2" xfId="9309"/>
    <cellStyle name="Normal 2 2 2 2 2 2 2 2 2 2 2 2 2 7 11 2 2 2 2 3" xfId="9310"/>
    <cellStyle name="Normal 2 2 2 2 2 2 2 2 2 2 2 2 2 7 11 2 2 2 2 4" xfId="9311"/>
    <cellStyle name="Normal 2 2 2 2 2 2 2 2 2 2 2 2 2 7 11 2 2 2 3" xfId="9312"/>
    <cellStyle name="Normal 2 2 2 2 2 2 2 2 2 2 2 2 2 7 11 2 2 2 4" xfId="9313"/>
    <cellStyle name="Normal 2 2 2 2 2 2 2 2 2 2 2 2 2 7 11 2 2 2 5" xfId="9314"/>
    <cellStyle name="Normal 2 2 2 2 2 2 2 2 2 2 2 2 2 7 11 2 2 2 6" xfId="9315"/>
    <cellStyle name="Normal 2 2 2 2 2 2 2 2 2 2 2 2 2 7 11 2 2 3" xfId="9316"/>
    <cellStyle name="Normal 2 2 2 2 2 2 2 2 2 2 2 2 2 7 11 2 2 4" xfId="9317"/>
    <cellStyle name="Normal 2 2 2 2 2 2 2 2 2 2 2 2 2 7 11 2 2 5" xfId="9318"/>
    <cellStyle name="Normal 2 2 2 2 2 2 2 2 2 2 2 2 2 7 11 2 2 6" xfId="9319"/>
    <cellStyle name="Normal 2 2 2 2 2 2 2 2 2 2 2 2 2 7 11 2 2 7" xfId="9320"/>
    <cellStyle name="Normal 2 2 2 2 2 2 2 2 2 2 2 2 2 7 11 2 2 8" xfId="9321"/>
    <cellStyle name="Normal 2 2 2 2 2 2 2 2 2 2 2 2 2 7 11 2 2 8 2" xfId="9322"/>
    <cellStyle name="Normal 2 2 2 2 2 2 2 2 2 2 2 2 2 7 11 2 2 8 3" xfId="9323"/>
    <cellStyle name="Normal 2 2 2 2 2 2 2 2 2 2 2 2 2 7 11 2 2 8 4" xfId="9324"/>
    <cellStyle name="Normal 2 2 2 2 2 2 2 2 2 2 2 2 2 7 11 2 2 9" xfId="9325"/>
    <cellStyle name="Normal 2 2 2 2 2 2 2 2 2 2 2 2 2 7 11 2 3" xfId="9326"/>
    <cellStyle name="Normal 2 2 2 2 2 2 2 2 2 2 2 2 2 7 11 2 3 2" xfId="9327"/>
    <cellStyle name="Normal 2 2 2 2 2 2 2 2 2 2 2 2 2 7 11 2 3 2 2" xfId="9328"/>
    <cellStyle name="Normal 2 2 2 2 2 2 2 2 2 2 2 2 2 7 11 2 3 2 3" xfId="9329"/>
    <cellStyle name="Normal 2 2 2 2 2 2 2 2 2 2 2 2 2 7 11 2 3 2 4" xfId="9330"/>
    <cellStyle name="Normal 2 2 2 2 2 2 2 2 2 2 2 2 2 7 11 2 3 3" xfId="9331"/>
    <cellStyle name="Normal 2 2 2 2 2 2 2 2 2 2 2 2 2 7 11 2 3 4" xfId="9332"/>
    <cellStyle name="Normal 2 2 2 2 2 2 2 2 2 2 2 2 2 7 11 2 3 5" xfId="9333"/>
    <cellStyle name="Normal 2 2 2 2 2 2 2 2 2 2 2 2 2 7 11 2 3 6" xfId="9334"/>
    <cellStyle name="Normal 2 2 2 2 2 2 2 2 2 2 2 2 2 7 11 2 4" xfId="9335"/>
    <cellStyle name="Normal 2 2 2 2 2 2 2 2 2 2 2 2 2 7 11 2 5" xfId="9336"/>
    <cellStyle name="Normal 2 2 2 2 2 2 2 2 2 2 2 2 2 7 11 2 6" xfId="9337"/>
    <cellStyle name="Normal 2 2 2 2 2 2 2 2 2 2 2 2 2 7 11 2 7" xfId="9338"/>
    <cellStyle name="Normal 2 2 2 2 2 2 2 2 2 2 2 2 2 7 11 2 8" xfId="9339"/>
    <cellStyle name="Normal 2 2 2 2 2 2 2 2 2 2 2 2 2 7 11 2 8 2" xfId="9340"/>
    <cellStyle name="Normal 2 2 2 2 2 2 2 2 2 2 2 2 2 7 11 2 8 3" xfId="9341"/>
    <cellStyle name="Normal 2 2 2 2 2 2 2 2 2 2 2 2 2 7 11 2 8 4" xfId="9342"/>
    <cellStyle name="Normal 2 2 2 2 2 2 2 2 2 2 2 2 2 7 11 2 9" xfId="9343"/>
    <cellStyle name="Normal 2 2 2 2 2 2 2 2 2 2 2 2 2 7 11 3" xfId="9344"/>
    <cellStyle name="Normal 2 2 2 2 2 2 2 2 2 2 2 2 2 7 11 4" xfId="9345"/>
    <cellStyle name="Normal 2 2 2 2 2 2 2 2 2 2 2 2 2 7 11 5" xfId="9346"/>
    <cellStyle name="Normal 2 2 2 2 2 2 2 2 2 2 2 2 2 7 11 5 2" xfId="9347"/>
    <cellStyle name="Normal 2 2 2 2 2 2 2 2 2 2 2 2 2 7 11 5 2 2" xfId="9348"/>
    <cellStyle name="Normal 2 2 2 2 2 2 2 2 2 2 2 2 2 7 11 5 2 3" xfId="9349"/>
    <cellStyle name="Normal 2 2 2 2 2 2 2 2 2 2 2 2 2 7 11 5 2 4" xfId="9350"/>
    <cellStyle name="Normal 2 2 2 2 2 2 2 2 2 2 2 2 2 7 11 5 3" xfId="9351"/>
    <cellStyle name="Normal 2 2 2 2 2 2 2 2 2 2 2 2 2 7 11 5 4" xfId="9352"/>
    <cellStyle name="Normal 2 2 2 2 2 2 2 2 2 2 2 2 2 7 11 5 5" xfId="9353"/>
    <cellStyle name="Normal 2 2 2 2 2 2 2 2 2 2 2 2 2 7 11 5 6" xfId="9354"/>
    <cellStyle name="Normal 2 2 2 2 2 2 2 2 2 2 2 2 2 7 11 6" xfId="9355"/>
    <cellStyle name="Normal 2 2 2 2 2 2 2 2 2 2 2 2 2 7 11 7" xfId="9356"/>
    <cellStyle name="Normal 2 2 2 2 2 2 2 2 2 2 2 2 2 7 11 8" xfId="9357"/>
    <cellStyle name="Normal 2 2 2 2 2 2 2 2 2 2 2 2 2 7 11 9" xfId="9358"/>
    <cellStyle name="Normal 2 2 2 2 2 2 2 2 2 2 2 2 2 7 12" xfId="9359"/>
    <cellStyle name="Normal 2 2 2 2 2 2 2 2 2 2 2 2 2 7 13" xfId="9360"/>
    <cellStyle name="Normal 2 2 2 2 2 2 2 2 2 2 2 2 2 7 13 10" xfId="9361"/>
    <cellStyle name="Normal 2 2 2 2 2 2 2 2 2 2 2 2 2 7 13 11" xfId="9362"/>
    <cellStyle name="Normal 2 2 2 2 2 2 2 2 2 2 2 2 2 7 13 2" xfId="9363"/>
    <cellStyle name="Normal 2 2 2 2 2 2 2 2 2 2 2 2 2 7 13 2 10" xfId="9364"/>
    <cellStyle name="Normal 2 2 2 2 2 2 2 2 2 2 2 2 2 7 13 2 11" xfId="9365"/>
    <cellStyle name="Normal 2 2 2 2 2 2 2 2 2 2 2 2 2 7 13 2 2" xfId="9366"/>
    <cellStyle name="Normal 2 2 2 2 2 2 2 2 2 2 2 2 2 7 13 2 2 2" xfId="9367"/>
    <cellStyle name="Normal 2 2 2 2 2 2 2 2 2 2 2 2 2 7 13 2 2 2 2" xfId="9368"/>
    <cellStyle name="Normal 2 2 2 2 2 2 2 2 2 2 2 2 2 7 13 2 2 2 3" xfId="9369"/>
    <cellStyle name="Normal 2 2 2 2 2 2 2 2 2 2 2 2 2 7 13 2 2 2 4" xfId="9370"/>
    <cellStyle name="Normal 2 2 2 2 2 2 2 2 2 2 2 2 2 7 13 2 2 3" xfId="9371"/>
    <cellStyle name="Normal 2 2 2 2 2 2 2 2 2 2 2 2 2 7 13 2 2 4" xfId="9372"/>
    <cellStyle name="Normal 2 2 2 2 2 2 2 2 2 2 2 2 2 7 13 2 2 5" xfId="9373"/>
    <cellStyle name="Normal 2 2 2 2 2 2 2 2 2 2 2 2 2 7 13 2 2 6" xfId="9374"/>
    <cellStyle name="Normal 2 2 2 2 2 2 2 2 2 2 2 2 2 7 13 2 3" xfId="9375"/>
    <cellStyle name="Normal 2 2 2 2 2 2 2 2 2 2 2 2 2 7 13 2 4" xfId="9376"/>
    <cellStyle name="Normal 2 2 2 2 2 2 2 2 2 2 2 2 2 7 13 2 5" xfId="9377"/>
    <cellStyle name="Normal 2 2 2 2 2 2 2 2 2 2 2 2 2 7 13 2 6" xfId="9378"/>
    <cellStyle name="Normal 2 2 2 2 2 2 2 2 2 2 2 2 2 7 13 2 7" xfId="9379"/>
    <cellStyle name="Normal 2 2 2 2 2 2 2 2 2 2 2 2 2 7 13 2 8" xfId="9380"/>
    <cellStyle name="Normal 2 2 2 2 2 2 2 2 2 2 2 2 2 7 13 2 8 2" xfId="9381"/>
    <cellStyle name="Normal 2 2 2 2 2 2 2 2 2 2 2 2 2 7 13 2 8 3" xfId="9382"/>
    <cellStyle name="Normal 2 2 2 2 2 2 2 2 2 2 2 2 2 7 13 2 8 4" xfId="9383"/>
    <cellStyle name="Normal 2 2 2 2 2 2 2 2 2 2 2 2 2 7 13 2 9" xfId="9384"/>
    <cellStyle name="Normal 2 2 2 2 2 2 2 2 2 2 2 2 2 7 13 3" xfId="9385"/>
    <cellStyle name="Normal 2 2 2 2 2 2 2 2 2 2 2 2 2 7 13 3 2" xfId="9386"/>
    <cellStyle name="Normal 2 2 2 2 2 2 2 2 2 2 2 2 2 7 13 3 2 2" xfId="9387"/>
    <cellStyle name="Normal 2 2 2 2 2 2 2 2 2 2 2 2 2 7 13 3 2 3" xfId="9388"/>
    <cellStyle name="Normal 2 2 2 2 2 2 2 2 2 2 2 2 2 7 13 3 2 4" xfId="9389"/>
    <cellStyle name="Normal 2 2 2 2 2 2 2 2 2 2 2 2 2 7 13 3 3" xfId="9390"/>
    <cellStyle name="Normal 2 2 2 2 2 2 2 2 2 2 2 2 2 7 13 3 4" xfId="9391"/>
    <cellStyle name="Normal 2 2 2 2 2 2 2 2 2 2 2 2 2 7 13 3 5" xfId="9392"/>
    <cellStyle name="Normal 2 2 2 2 2 2 2 2 2 2 2 2 2 7 13 3 6" xfId="9393"/>
    <cellStyle name="Normal 2 2 2 2 2 2 2 2 2 2 2 2 2 7 13 4" xfId="9394"/>
    <cellStyle name="Normal 2 2 2 2 2 2 2 2 2 2 2 2 2 7 13 5" xfId="9395"/>
    <cellStyle name="Normal 2 2 2 2 2 2 2 2 2 2 2 2 2 7 13 6" xfId="9396"/>
    <cellStyle name="Normal 2 2 2 2 2 2 2 2 2 2 2 2 2 7 13 7" xfId="9397"/>
    <cellStyle name="Normal 2 2 2 2 2 2 2 2 2 2 2 2 2 7 13 8" xfId="9398"/>
    <cellStyle name="Normal 2 2 2 2 2 2 2 2 2 2 2 2 2 7 13 8 2" xfId="9399"/>
    <cellStyle name="Normal 2 2 2 2 2 2 2 2 2 2 2 2 2 7 13 8 3" xfId="9400"/>
    <cellStyle name="Normal 2 2 2 2 2 2 2 2 2 2 2 2 2 7 13 8 4" xfId="9401"/>
    <cellStyle name="Normal 2 2 2 2 2 2 2 2 2 2 2 2 2 7 13 9" xfId="9402"/>
    <cellStyle name="Normal 2 2 2 2 2 2 2 2 2 2 2 2 2 7 14" xfId="9403"/>
    <cellStyle name="Normal 2 2 2 2 2 2 2 2 2 2 2 2 2 7 15" xfId="9404"/>
    <cellStyle name="Normal 2 2 2 2 2 2 2 2 2 2 2 2 2 7 15 2" xfId="9405"/>
    <cellStyle name="Normal 2 2 2 2 2 2 2 2 2 2 2 2 2 7 15 2 2" xfId="9406"/>
    <cellStyle name="Normal 2 2 2 2 2 2 2 2 2 2 2 2 2 7 15 2 3" xfId="9407"/>
    <cellStyle name="Normal 2 2 2 2 2 2 2 2 2 2 2 2 2 7 15 2 4" xfId="9408"/>
    <cellStyle name="Normal 2 2 2 2 2 2 2 2 2 2 2 2 2 7 15 3" xfId="9409"/>
    <cellStyle name="Normal 2 2 2 2 2 2 2 2 2 2 2 2 2 7 15 4" xfId="9410"/>
    <cellStyle name="Normal 2 2 2 2 2 2 2 2 2 2 2 2 2 7 15 5" xfId="9411"/>
    <cellStyle name="Normal 2 2 2 2 2 2 2 2 2 2 2 2 2 7 15 6" xfId="9412"/>
    <cellStyle name="Normal 2 2 2 2 2 2 2 2 2 2 2 2 2 7 16" xfId="9413"/>
    <cellStyle name="Normal 2 2 2 2 2 2 2 2 2 2 2 2 2 7 17" xfId="9414"/>
    <cellStyle name="Normal 2 2 2 2 2 2 2 2 2 2 2 2 2 7 18" xfId="9415"/>
    <cellStyle name="Normal 2 2 2 2 2 2 2 2 2 2 2 2 2 7 19" xfId="9416"/>
    <cellStyle name="Normal 2 2 2 2 2 2 2 2 2 2 2 2 2 7 2" xfId="9417"/>
    <cellStyle name="Normal 2 2 2 2 2 2 2 2 2 2 2 2 2 7 2 10" xfId="9418"/>
    <cellStyle name="Normal 2 2 2 2 2 2 2 2 2 2 2 2 2 7 2 11" xfId="9419"/>
    <cellStyle name="Normal 2 2 2 2 2 2 2 2 2 2 2 2 2 7 2 12" xfId="9420"/>
    <cellStyle name="Normal 2 2 2 2 2 2 2 2 2 2 2 2 2 7 2 13" xfId="9421"/>
    <cellStyle name="Normal 2 2 2 2 2 2 2 2 2 2 2 2 2 7 2 13 2" xfId="9422"/>
    <cellStyle name="Normal 2 2 2 2 2 2 2 2 2 2 2 2 2 7 2 13 3" xfId="9423"/>
    <cellStyle name="Normal 2 2 2 2 2 2 2 2 2 2 2 2 2 7 2 13 4" xfId="9424"/>
    <cellStyle name="Normal 2 2 2 2 2 2 2 2 2 2 2 2 2 7 2 14" xfId="9425"/>
    <cellStyle name="Normal 2 2 2 2 2 2 2 2 2 2 2 2 2 7 2 15" xfId="9426"/>
    <cellStyle name="Normal 2 2 2 2 2 2 2 2 2 2 2 2 2 7 2 16" xfId="9427"/>
    <cellStyle name="Normal 2 2 2 2 2 2 2 2 2 2 2 2 2 7 2 2" xfId="9428"/>
    <cellStyle name="Normal 2 2 2 2 2 2 2 2 2 2 2 2 2 7 2 2 10" xfId="9429"/>
    <cellStyle name="Normal 2 2 2 2 2 2 2 2 2 2 2 2 2 7 2 2 11" xfId="9430"/>
    <cellStyle name="Normal 2 2 2 2 2 2 2 2 2 2 2 2 2 7 2 2 11 2" xfId="9431"/>
    <cellStyle name="Normal 2 2 2 2 2 2 2 2 2 2 2 2 2 7 2 2 11 3" xfId="9432"/>
    <cellStyle name="Normal 2 2 2 2 2 2 2 2 2 2 2 2 2 7 2 2 11 4" xfId="9433"/>
    <cellStyle name="Normal 2 2 2 2 2 2 2 2 2 2 2 2 2 7 2 2 12" xfId="9434"/>
    <cellStyle name="Normal 2 2 2 2 2 2 2 2 2 2 2 2 2 7 2 2 13" xfId="9435"/>
    <cellStyle name="Normal 2 2 2 2 2 2 2 2 2 2 2 2 2 7 2 2 14" xfId="9436"/>
    <cellStyle name="Normal 2 2 2 2 2 2 2 2 2 2 2 2 2 7 2 2 2" xfId="9437"/>
    <cellStyle name="Normal 2 2 2 2 2 2 2 2 2 2 2 2 2 7 2 2 2 10" xfId="9438"/>
    <cellStyle name="Normal 2 2 2 2 2 2 2 2 2 2 2 2 2 7 2 2 2 11" xfId="9439"/>
    <cellStyle name="Normal 2 2 2 2 2 2 2 2 2 2 2 2 2 7 2 2 2 2" xfId="9440"/>
    <cellStyle name="Normal 2 2 2 2 2 2 2 2 2 2 2 2 2 7 2 2 2 2 10" xfId="9441"/>
    <cellStyle name="Normal 2 2 2 2 2 2 2 2 2 2 2 2 2 7 2 2 2 2 11" xfId="9442"/>
    <cellStyle name="Normal 2 2 2 2 2 2 2 2 2 2 2 2 2 7 2 2 2 2 2" xfId="9443"/>
    <cellStyle name="Normal 2 2 2 2 2 2 2 2 2 2 2 2 2 7 2 2 2 2 2 2" xfId="9444"/>
    <cellStyle name="Normal 2 2 2 2 2 2 2 2 2 2 2 2 2 7 2 2 2 2 2 2 2" xfId="9445"/>
    <cellStyle name="Normal 2 2 2 2 2 2 2 2 2 2 2 2 2 7 2 2 2 2 2 2 3" xfId="9446"/>
    <cellStyle name="Normal 2 2 2 2 2 2 2 2 2 2 2 2 2 7 2 2 2 2 2 2 4" xfId="9447"/>
    <cellStyle name="Normal 2 2 2 2 2 2 2 2 2 2 2 2 2 7 2 2 2 2 2 3" xfId="9448"/>
    <cellStyle name="Normal 2 2 2 2 2 2 2 2 2 2 2 2 2 7 2 2 2 2 2 4" xfId="9449"/>
    <cellStyle name="Normal 2 2 2 2 2 2 2 2 2 2 2 2 2 7 2 2 2 2 2 5" xfId="9450"/>
    <cellStyle name="Normal 2 2 2 2 2 2 2 2 2 2 2 2 2 7 2 2 2 2 2 6" xfId="9451"/>
    <cellStyle name="Normal 2 2 2 2 2 2 2 2 2 2 2 2 2 7 2 2 2 2 3" xfId="9452"/>
    <cellStyle name="Normal 2 2 2 2 2 2 2 2 2 2 2 2 2 7 2 2 2 2 4" xfId="9453"/>
    <cellStyle name="Normal 2 2 2 2 2 2 2 2 2 2 2 2 2 7 2 2 2 2 5" xfId="9454"/>
    <cellStyle name="Normal 2 2 2 2 2 2 2 2 2 2 2 2 2 7 2 2 2 2 6" xfId="9455"/>
    <cellStyle name="Normal 2 2 2 2 2 2 2 2 2 2 2 2 2 7 2 2 2 2 7" xfId="9456"/>
    <cellStyle name="Normal 2 2 2 2 2 2 2 2 2 2 2 2 2 7 2 2 2 2 8" xfId="9457"/>
    <cellStyle name="Normal 2 2 2 2 2 2 2 2 2 2 2 2 2 7 2 2 2 2 8 2" xfId="9458"/>
    <cellStyle name="Normal 2 2 2 2 2 2 2 2 2 2 2 2 2 7 2 2 2 2 8 3" xfId="9459"/>
    <cellStyle name="Normal 2 2 2 2 2 2 2 2 2 2 2 2 2 7 2 2 2 2 8 4" xfId="9460"/>
    <cellStyle name="Normal 2 2 2 2 2 2 2 2 2 2 2 2 2 7 2 2 2 2 9" xfId="9461"/>
    <cellStyle name="Normal 2 2 2 2 2 2 2 2 2 2 2 2 2 7 2 2 2 3" xfId="9462"/>
    <cellStyle name="Normal 2 2 2 2 2 2 2 2 2 2 2 2 2 7 2 2 2 3 2" xfId="9463"/>
    <cellStyle name="Normal 2 2 2 2 2 2 2 2 2 2 2 2 2 7 2 2 2 3 2 2" xfId="9464"/>
    <cellStyle name="Normal 2 2 2 2 2 2 2 2 2 2 2 2 2 7 2 2 2 3 2 3" xfId="9465"/>
    <cellStyle name="Normal 2 2 2 2 2 2 2 2 2 2 2 2 2 7 2 2 2 3 2 4" xfId="9466"/>
    <cellStyle name="Normal 2 2 2 2 2 2 2 2 2 2 2 2 2 7 2 2 2 3 3" xfId="9467"/>
    <cellStyle name="Normal 2 2 2 2 2 2 2 2 2 2 2 2 2 7 2 2 2 3 4" xfId="9468"/>
    <cellStyle name="Normal 2 2 2 2 2 2 2 2 2 2 2 2 2 7 2 2 2 3 5" xfId="9469"/>
    <cellStyle name="Normal 2 2 2 2 2 2 2 2 2 2 2 2 2 7 2 2 2 3 6" xfId="9470"/>
    <cellStyle name="Normal 2 2 2 2 2 2 2 2 2 2 2 2 2 7 2 2 2 4" xfId="9471"/>
    <cellStyle name="Normal 2 2 2 2 2 2 2 2 2 2 2 2 2 7 2 2 2 5" xfId="9472"/>
    <cellStyle name="Normal 2 2 2 2 2 2 2 2 2 2 2 2 2 7 2 2 2 6" xfId="9473"/>
    <cellStyle name="Normal 2 2 2 2 2 2 2 2 2 2 2 2 2 7 2 2 2 7" xfId="9474"/>
    <cellStyle name="Normal 2 2 2 2 2 2 2 2 2 2 2 2 2 7 2 2 2 8" xfId="9475"/>
    <cellStyle name="Normal 2 2 2 2 2 2 2 2 2 2 2 2 2 7 2 2 2 8 2" xfId="9476"/>
    <cellStyle name="Normal 2 2 2 2 2 2 2 2 2 2 2 2 2 7 2 2 2 8 3" xfId="9477"/>
    <cellStyle name="Normal 2 2 2 2 2 2 2 2 2 2 2 2 2 7 2 2 2 8 4" xfId="9478"/>
    <cellStyle name="Normal 2 2 2 2 2 2 2 2 2 2 2 2 2 7 2 2 2 9" xfId="9479"/>
    <cellStyle name="Normal 2 2 2 2 2 2 2 2 2 2 2 2 2 7 2 2 3" xfId="9480"/>
    <cellStyle name="Normal 2 2 2 2 2 2 2 2 2 2 2 2 2 7 2 2 4" xfId="9481"/>
    <cellStyle name="Normal 2 2 2 2 2 2 2 2 2 2 2 2 2 7 2 2 5" xfId="9482"/>
    <cellStyle name="Normal 2 2 2 2 2 2 2 2 2 2 2 2 2 7 2 2 5 2" xfId="9483"/>
    <cellStyle name="Normal 2 2 2 2 2 2 2 2 2 2 2 2 2 7 2 2 5 2 2" xfId="9484"/>
    <cellStyle name="Normal 2 2 2 2 2 2 2 2 2 2 2 2 2 7 2 2 5 2 3" xfId="9485"/>
    <cellStyle name="Normal 2 2 2 2 2 2 2 2 2 2 2 2 2 7 2 2 5 2 4" xfId="9486"/>
    <cellStyle name="Normal 2 2 2 2 2 2 2 2 2 2 2 2 2 7 2 2 5 3" xfId="9487"/>
    <cellStyle name="Normal 2 2 2 2 2 2 2 2 2 2 2 2 2 7 2 2 5 4" xfId="9488"/>
    <cellStyle name="Normal 2 2 2 2 2 2 2 2 2 2 2 2 2 7 2 2 5 5" xfId="9489"/>
    <cellStyle name="Normal 2 2 2 2 2 2 2 2 2 2 2 2 2 7 2 2 5 6" xfId="9490"/>
    <cellStyle name="Normal 2 2 2 2 2 2 2 2 2 2 2 2 2 7 2 2 6" xfId="9491"/>
    <cellStyle name="Normal 2 2 2 2 2 2 2 2 2 2 2 2 2 7 2 2 7" xfId="9492"/>
    <cellStyle name="Normal 2 2 2 2 2 2 2 2 2 2 2 2 2 7 2 2 8" xfId="9493"/>
    <cellStyle name="Normal 2 2 2 2 2 2 2 2 2 2 2 2 2 7 2 2 9" xfId="9494"/>
    <cellStyle name="Normal 2 2 2 2 2 2 2 2 2 2 2 2 2 7 2 3" xfId="9495"/>
    <cellStyle name="Normal 2 2 2 2 2 2 2 2 2 2 2 2 2 7 2 4" xfId="9496"/>
    <cellStyle name="Normal 2 2 2 2 2 2 2 2 2 2 2 2 2 7 2 5" xfId="9497"/>
    <cellStyle name="Normal 2 2 2 2 2 2 2 2 2 2 2 2 2 7 2 5 10" xfId="9498"/>
    <cellStyle name="Normal 2 2 2 2 2 2 2 2 2 2 2 2 2 7 2 5 11" xfId="9499"/>
    <cellStyle name="Normal 2 2 2 2 2 2 2 2 2 2 2 2 2 7 2 5 2" xfId="9500"/>
    <cellStyle name="Normal 2 2 2 2 2 2 2 2 2 2 2 2 2 7 2 5 2 10" xfId="9501"/>
    <cellStyle name="Normal 2 2 2 2 2 2 2 2 2 2 2 2 2 7 2 5 2 11" xfId="9502"/>
    <cellStyle name="Normal 2 2 2 2 2 2 2 2 2 2 2 2 2 7 2 5 2 2" xfId="9503"/>
    <cellStyle name="Normal 2 2 2 2 2 2 2 2 2 2 2 2 2 7 2 5 2 2 2" xfId="9504"/>
    <cellStyle name="Normal 2 2 2 2 2 2 2 2 2 2 2 2 2 7 2 5 2 2 2 2" xfId="9505"/>
    <cellStyle name="Normal 2 2 2 2 2 2 2 2 2 2 2 2 2 7 2 5 2 2 2 3" xfId="9506"/>
    <cellStyle name="Normal 2 2 2 2 2 2 2 2 2 2 2 2 2 7 2 5 2 2 2 4" xfId="9507"/>
    <cellStyle name="Normal 2 2 2 2 2 2 2 2 2 2 2 2 2 7 2 5 2 2 3" xfId="9508"/>
    <cellStyle name="Normal 2 2 2 2 2 2 2 2 2 2 2 2 2 7 2 5 2 2 4" xfId="9509"/>
    <cellStyle name="Normal 2 2 2 2 2 2 2 2 2 2 2 2 2 7 2 5 2 2 5" xfId="9510"/>
    <cellStyle name="Normal 2 2 2 2 2 2 2 2 2 2 2 2 2 7 2 5 2 2 6" xfId="9511"/>
    <cellStyle name="Normal 2 2 2 2 2 2 2 2 2 2 2 2 2 7 2 5 2 3" xfId="9512"/>
    <cellStyle name="Normal 2 2 2 2 2 2 2 2 2 2 2 2 2 7 2 5 2 4" xfId="9513"/>
    <cellStyle name="Normal 2 2 2 2 2 2 2 2 2 2 2 2 2 7 2 5 2 5" xfId="9514"/>
    <cellStyle name="Normal 2 2 2 2 2 2 2 2 2 2 2 2 2 7 2 5 2 6" xfId="9515"/>
    <cellStyle name="Normal 2 2 2 2 2 2 2 2 2 2 2 2 2 7 2 5 2 7" xfId="9516"/>
    <cellStyle name="Normal 2 2 2 2 2 2 2 2 2 2 2 2 2 7 2 5 2 8" xfId="9517"/>
    <cellStyle name="Normal 2 2 2 2 2 2 2 2 2 2 2 2 2 7 2 5 2 8 2" xfId="9518"/>
    <cellStyle name="Normal 2 2 2 2 2 2 2 2 2 2 2 2 2 7 2 5 2 8 3" xfId="9519"/>
    <cellStyle name="Normal 2 2 2 2 2 2 2 2 2 2 2 2 2 7 2 5 2 8 4" xfId="9520"/>
    <cellStyle name="Normal 2 2 2 2 2 2 2 2 2 2 2 2 2 7 2 5 2 9" xfId="9521"/>
    <cellStyle name="Normal 2 2 2 2 2 2 2 2 2 2 2 2 2 7 2 5 3" xfId="9522"/>
    <cellStyle name="Normal 2 2 2 2 2 2 2 2 2 2 2 2 2 7 2 5 3 2" xfId="9523"/>
    <cellStyle name="Normal 2 2 2 2 2 2 2 2 2 2 2 2 2 7 2 5 3 2 2" xfId="9524"/>
    <cellStyle name="Normal 2 2 2 2 2 2 2 2 2 2 2 2 2 7 2 5 3 2 3" xfId="9525"/>
    <cellStyle name="Normal 2 2 2 2 2 2 2 2 2 2 2 2 2 7 2 5 3 2 4" xfId="9526"/>
    <cellStyle name="Normal 2 2 2 2 2 2 2 2 2 2 2 2 2 7 2 5 3 3" xfId="9527"/>
    <cellStyle name="Normal 2 2 2 2 2 2 2 2 2 2 2 2 2 7 2 5 3 4" xfId="9528"/>
    <cellStyle name="Normal 2 2 2 2 2 2 2 2 2 2 2 2 2 7 2 5 3 5" xfId="9529"/>
    <cellStyle name="Normal 2 2 2 2 2 2 2 2 2 2 2 2 2 7 2 5 3 6" xfId="9530"/>
    <cellStyle name="Normal 2 2 2 2 2 2 2 2 2 2 2 2 2 7 2 5 4" xfId="9531"/>
    <cellStyle name="Normal 2 2 2 2 2 2 2 2 2 2 2 2 2 7 2 5 5" xfId="9532"/>
    <cellStyle name="Normal 2 2 2 2 2 2 2 2 2 2 2 2 2 7 2 5 6" xfId="9533"/>
    <cellStyle name="Normal 2 2 2 2 2 2 2 2 2 2 2 2 2 7 2 5 7" xfId="9534"/>
    <cellStyle name="Normal 2 2 2 2 2 2 2 2 2 2 2 2 2 7 2 5 8" xfId="9535"/>
    <cellStyle name="Normal 2 2 2 2 2 2 2 2 2 2 2 2 2 7 2 5 8 2" xfId="9536"/>
    <cellStyle name="Normal 2 2 2 2 2 2 2 2 2 2 2 2 2 7 2 5 8 3" xfId="9537"/>
    <cellStyle name="Normal 2 2 2 2 2 2 2 2 2 2 2 2 2 7 2 5 8 4" xfId="9538"/>
    <cellStyle name="Normal 2 2 2 2 2 2 2 2 2 2 2 2 2 7 2 5 9" xfId="9539"/>
    <cellStyle name="Normal 2 2 2 2 2 2 2 2 2 2 2 2 2 7 2 6" xfId="9540"/>
    <cellStyle name="Normal 2 2 2 2 2 2 2 2 2 2 2 2 2 7 2 7" xfId="9541"/>
    <cellStyle name="Normal 2 2 2 2 2 2 2 2 2 2 2 2 2 7 2 7 2" xfId="9542"/>
    <cellStyle name="Normal 2 2 2 2 2 2 2 2 2 2 2 2 2 7 2 7 2 2" xfId="9543"/>
    <cellStyle name="Normal 2 2 2 2 2 2 2 2 2 2 2 2 2 7 2 7 2 3" xfId="9544"/>
    <cellStyle name="Normal 2 2 2 2 2 2 2 2 2 2 2 2 2 7 2 7 2 4" xfId="9545"/>
    <cellStyle name="Normal 2 2 2 2 2 2 2 2 2 2 2 2 2 7 2 7 3" xfId="9546"/>
    <cellStyle name="Normal 2 2 2 2 2 2 2 2 2 2 2 2 2 7 2 7 4" xfId="9547"/>
    <cellStyle name="Normal 2 2 2 2 2 2 2 2 2 2 2 2 2 7 2 7 5" xfId="9548"/>
    <cellStyle name="Normal 2 2 2 2 2 2 2 2 2 2 2 2 2 7 2 7 6" xfId="9549"/>
    <cellStyle name="Normal 2 2 2 2 2 2 2 2 2 2 2 2 2 7 2 8" xfId="9550"/>
    <cellStyle name="Normal 2 2 2 2 2 2 2 2 2 2 2 2 2 7 2 9" xfId="9551"/>
    <cellStyle name="Normal 2 2 2 2 2 2 2 2 2 2 2 2 2 7 20" xfId="9552"/>
    <cellStyle name="Normal 2 2 2 2 2 2 2 2 2 2 2 2 2 7 21" xfId="9553"/>
    <cellStyle name="Normal 2 2 2 2 2 2 2 2 2 2 2 2 2 7 21 2" xfId="9554"/>
    <cellStyle name="Normal 2 2 2 2 2 2 2 2 2 2 2 2 2 7 21 3" xfId="9555"/>
    <cellStyle name="Normal 2 2 2 2 2 2 2 2 2 2 2 2 2 7 21 4" xfId="9556"/>
    <cellStyle name="Normal 2 2 2 2 2 2 2 2 2 2 2 2 2 7 22" xfId="9557"/>
    <cellStyle name="Normal 2 2 2 2 2 2 2 2 2 2 2 2 2 7 23" xfId="9558"/>
    <cellStyle name="Normal 2 2 2 2 2 2 2 2 2 2 2 2 2 7 24" xfId="9559"/>
    <cellStyle name="Normal 2 2 2 2 2 2 2 2 2 2 2 2 2 7 3" xfId="9560"/>
    <cellStyle name="Normal 2 2 2 2 2 2 2 2 2 2 2 2 2 7 4" xfId="9561"/>
    <cellStyle name="Normal 2 2 2 2 2 2 2 2 2 2 2 2 2 7 5" xfId="9562"/>
    <cellStyle name="Normal 2 2 2 2 2 2 2 2 2 2 2 2 2 7 6" xfId="9563"/>
    <cellStyle name="Normal 2 2 2 2 2 2 2 2 2 2 2 2 2 7 7" xfId="9564"/>
    <cellStyle name="Normal 2 2 2 2 2 2 2 2 2 2 2 2 2 7 8" xfId="9565"/>
    <cellStyle name="Normal 2 2 2 2 2 2 2 2 2 2 2 2 2 7 9" xfId="9566"/>
    <cellStyle name="Normal 2 2 2 2 2 2 2 2 2 2 2 2 2 70" xfId="9567"/>
    <cellStyle name="Normal 2 2 2 2 2 2 2 2 2 2 2 2 2 71" xfId="9568"/>
    <cellStyle name="Normal 2 2 2 2 2 2 2 2 2 2 2 2 2 72" xfId="9569"/>
    <cellStyle name="Normal 2 2 2 2 2 2 2 2 2 2 2 2 2 73" xfId="9570"/>
    <cellStyle name="Normal 2 2 2 2 2 2 2 2 2 2 2 2 2 74" xfId="9571"/>
    <cellStyle name="Normal 2 2 2 2 2 2 2 2 2 2 2 2 2 75" xfId="9572"/>
    <cellStyle name="Normal 2 2 2 2 2 2 2 2 2 2 2 2 2 76" xfId="9573"/>
    <cellStyle name="Normal 2 2 2 2 2 2 2 2 2 2 2 2 2 77" xfId="9574"/>
    <cellStyle name="Normal 2 2 2 2 2 2 2 2 2 2 2 2 2 78" xfId="9575"/>
    <cellStyle name="Normal 2 2 2 2 2 2 2 2 2 2 2 2 2 79" xfId="9576"/>
    <cellStyle name="Normal 2 2 2 2 2 2 2 2 2 2 2 2 2 8" xfId="9577"/>
    <cellStyle name="Normal 2 2 2 2 2 2 2 2 2 2 2 2 2 8 10" xfId="9578"/>
    <cellStyle name="Normal 2 2 2 2 2 2 2 2 2 2 2 2 2 8 11" xfId="9579"/>
    <cellStyle name="Normal 2 2 2 2 2 2 2 2 2 2 2 2 2 8 12" xfId="9580"/>
    <cellStyle name="Normal 2 2 2 2 2 2 2 2 2 2 2 2 2 8 13" xfId="9581"/>
    <cellStyle name="Normal 2 2 2 2 2 2 2 2 2 2 2 2 2 8 13 2" xfId="9582"/>
    <cellStyle name="Normal 2 2 2 2 2 2 2 2 2 2 2 2 2 8 13 3" xfId="9583"/>
    <cellStyle name="Normal 2 2 2 2 2 2 2 2 2 2 2 2 2 8 13 4" xfId="9584"/>
    <cellStyle name="Normal 2 2 2 2 2 2 2 2 2 2 2 2 2 8 14" xfId="9585"/>
    <cellStyle name="Normal 2 2 2 2 2 2 2 2 2 2 2 2 2 8 15" xfId="9586"/>
    <cellStyle name="Normal 2 2 2 2 2 2 2 2 2 2 2 2 2 8 16" xfId="9587"/>
    <cellStyle name="Normal 2 2 2 2 2 2 2 2 2 2 2 2 2 8 2" xfId="9588"/>
    <cellStyle name="Normal 2 2 2 2 2 2 2 2 2 2 2 2 2 8 2 10" xfId="9589"/>
    <cellStyle name="Normal 2 2 2 2 2 2 2 2 2 2 2 2 2 8 2 11" xfId="9590"/>
    <cellStyle name="Normal 2 2 2 2 2 2 2 2 2 2 2 2 2 8 2 11 2" xfId="9591"/>
    <cellStyle name="Normal 2 2 2 2 2 2 2 2 2 2 2 2 2 8 2 11 3" xfId="9592"/>
    <cellStyle name="Normal 2 2 2 2 2 2 2 2 2 2 2 2 2 8 2 11 4" xfId="9593"/>
    <cellStyle name="Normal 2 2 2 2 2 2 2 2 2 2 2 2 2 8 2 12" xfId="9594"/>
    <cellStyle name="Normal 2 2 2 2 2 2 2 2 2 2 2 2 2 8 2 13" xfId="9595"/>
    <cellStyle name="Normal 2 2 2 2 2 2 2 2 2 2 2 2 2 8 2 14" xfId="9596"/>
    <cellStyle name="Normal 2 2 2 2 2 2 2 2 2 2 2 2 2 8 2 2" xfId="9597"/>
    <cellStyle name="Normal 2 2 2 2 2 2 2 2 2 2 2 2 2 8 2 2 10" xfId="9598"/>
    <cellStyle name="Normal 2 2 2 2 2 2 2 2 2 2 2 2 2 8 2 2 11" xfId="9599"/>
    <cellStyle name="Normal 2 2 2 2 2 2 2 2 2 2 2 2 2 8 2 2 2" xfId="9600"/>
    <cellStyle name="Normal 2 2 2 2 2 2 2 2 2 2 2 2 2 8 2 2 2 10" xfId="9601"/>
    <cellStyle name="Normal 2 2 2 2 2 2 2 2 2 2 2 2 2 8 2 2 2 11" xfId="9602"/>
    <cellStyle name="Normal 2 2 2 2 2 2 2 2 2 2 2 2 2 8 2 2 2 2" xfId="9603"/>
    <cellStyle name="Normal 2 2 2 2 2 2 2 2 2 2 2 2 2 8 2 2 2 2 2" xfId="9604"/>
    <cellStyle name="Normal 2 2 2 2 2 2 2 2 2 2 2 2 2 8 2 2 2 2 2 2" xfId="9605"/>
    <cellStyle name="Normal 2 2 2 2 2 2 2 2 2 2 2 2 2 8 2 2 2 2 2 3" xfId="9606"/>
    <cellStyle name="Normal 2 2 2 2 2 2 2 2 2 2 2 2 2 8 2 2 2 2 2 4" xfId="9607"/>
    <cellStyle name="Normal 2 2 2 2 2 2 2 2 2 2 2 2 2 8 2 2 2 2 3" xfId="9608"/>
    <cellStyle name="Normal 2 2 2 2 2 2 2 2 2 2 2 2 2 8 2 2 2 2 4" xfId="9609"/>
    <cellStyle name="Normal 2 2 2 2 2 2 2 2 2 2 2 2 2 8 2 2 2 2 5" xfId="9610"/>
    <cellStyle name="Normal 2 2 2 2 2 2 2 2 2 2 2 2 2 8 2 2 2 2 6" xfId="9611"/>
    <cellStyle name="Normal 2 2 2 2 2 2 2 2 2 2 2 2 2 8 2 2 2 3" xfId="9612"/>
    <cellStyle name="Normal 2 2 2 2 2 2 2 2 2 2 2 2 2 8 2 2 2 4" xfId="9613"/>
    <cellStyle name="Normal 2 2 2 2 2 2 2 2 2 2 2 2 2 8 2 2 2 5" xfId="9614"/>
    <cellStyle name="Normal 2 2 2 2 2 2 2 2 2 2 2 2 2 8 2 2 2 6" xfId="9615"/>
    <cellStyle name="Normal 2 2 2 2 2 2 2 2 2 2 2 2 2 8 2 2 2 7" xfId="9616"/>
    <cellStyle name="Normal 2 2 2 2 2 2 2 2 2 2 2 2 2 8 2 2 2 8" xfId="9617"/>
    <cellStyle name="Normal 2 2 2 2 2 2 2 2 2 2 2 2 2 8 2 2 2 8 2" xfId="9618"/>
    <cellStyle name="Normal 2 2 2 2 2 2 2 2 2 2 2 2 2 8 2 2 2 8 3" xfId="9619"/>
    <cellStyle name="Normal 2 2 2 2 2 2 2 2 2 2 2 2 2 8 2 2 2 8 4" xfId="9620"/>
    <cellStyle name="Normal 2 2 2 2 2 2 2 2 2 2 2 2 2 8 2 2 2 9" xfId="9621"/>
    <cellStyle name="Normal 2 2 2 2 2 2 2 2 2 2 2 2 2 8 2 2 3" xfId="9622"/>
    <cellStyle name="Normal 2 2 2 2 2 2 2 2 2 2 2 2 2 8 2 2 3 2" xfId="9623"/>
    <cellStyle name="Normal 2 2 2 2 2 2 2 2 2 2 2 2 2 8 2 2 3 2 2" xfId="9624"/>
    <cellStyle name="Normal 2 2 2 2 2 2 2 2 2 2 2 2 2 8 2 2 3 2 3" xfId="9625"/>
    <cellStyle name="Normal 2 2 2 2 2 2 2 2 2 2 2 2 2 8 2 2 3 2 4" xfId="9626"/>
    <cellStyle name="Normal 2 2 2 2 2 2 2 2 2 2 2 2 2 8 2 2 3 3" xfId="9627"/>
    <cellStyle name="Normal 2 2 2 2 2 2 2 2 2 2 2 2 2 8 2 2 3 4" xfId="9628"/>
    <cellStyle name="Normal 2 2 2 2 2 2 2 2 2 2 2 2 2 8 2 2 3 5" xfId="9629"/>
    <cellStyle name="Normal 2 2 2 2 2 2 2 2 2 2 2 2 2 8 2 2 3 6" xfId="9630"/>
    <cellStyle name="Normal 2 2 2 2 2 2 2 2 2 2 2 2 2 8 2 2 4" xfId="9631"/>
    <cellStyle name="Normal 2 2 2 2 2 2 2 2 2 2 2 2 2 8 2 2 5" xfId="9632"/>
    <cellStyle name="Normal 2 2 2 2 2 2 2 2 2 2 2 2 2 8 2 2 6" xfId="9633"/>
    <cellStyle name="Normal 2 2 2 2 2 2 2 2 2 2 2 2 2 8 2 2 7" xfId="9634"/>
    <cellStyle name="Normal 2 2 2 2 2 2 2 2 2 2 2 2 2 8 2 2 8" xfId="9635"/>
    <cellStyle name="Normal 2 2 2 2 2 2 2 2 2 2 2 2 2 8 2 2 8 2" xfId="9636"/>
    <cellStyle name="Normal 2 2 2 2 2 2 2 2 2 2 2 2 2 8 2 2 8 3" xfId="9637"/>
    <cellStyle name="Normal 2 2 2 2 2 2 2 2 2 2 2 2 2 8 2 2 8 4" xfId="9638"/>
    <cellStyle name="Normal 2 2 2 2 2 2 2 2 2 2 2 2 2 8 2 2 9" xfId="9639"/>
    <cellStyle name="Normal 2 2 2 2 2 2 2 2 2 2 2 2 2 8 2 3" xfId="9640"/>
    <cellStyle name="Normal 2 2 2 2 2 2 2 2 2 2 2 2 2 8 2 4" xfId="9641"/>
    <cellStyle name="Normal 2 2 2 2 2 2 2 2 2 2 2 2 2 8 2 5" xfId="9642"/>
    <cellStyle name="Normal 2 2 2 2 2 2 2 2 2 2 2 2 2 8 2 5 2" xfId="9643"/>
    <cellStyle name="Normal 2 2 2 2 2 2 2 2 2 2 2 2 2 8 2 5 2 2" xfId="9644"/>
    <cellStyle name="Normal 2 2 2 2 2 2 2 2 2 2 2 2 2 8 2 5 2 3" xfId="9645"/>
    <cellStyle name="Normal 2 2 2 2 2 2 2 2 2 2 2 2 2 8 2 5 2 4" xfId="9646"/>
    <cellStyle name="Normal 2 2 2 2 2 2 2 2 2 2 2 2 2 8 2 5 3" xfId="9647"/>
    <cellStyle name="Normal 2 2 2 2 2 2 2 2 2 2 2 2 2 8 2 5 4" xfId="9648"/>
    <cellStyle name="Normal 2 2 2 2 2 2 2 2 2 2 2 2 2 8 2 5 5" xfId="9649"/>
    <cellStyle name="Normal 2 2 2 2 2 2 2 2 2 2 2 2 2 8 2 5 6" xfId="9650"/>
    <cellStyle name="Normal 2 2 2 2 2 2 2 2 2 2 2 2 2 8 2 6" xfId="9651"/>
    <cellStyle name="Normal 2 2 2 2 2 2 2 2 2 2 2 2 2 8 2 7" xfId="9652"/>
    <cellStyle name="Normal 2 2 2 2 2 2 2 2 2 2 2 2 2 8 2 8" xfId="9653"/>
    <cellStyle name="Normal 2 2 2 2 2 2 2 2 2 2 2 2 2 8 2 9" xfId="9654"/>
    <cellStyle name="Normal 2 2 2 2 2 2 2 2 2 2 2 2 2 8 3" xfId="9655"/>
    <cellStyle name="Normal 2 2 2 2 2 2 2 2 2 2 2 2 2 8 4" xfId="9656"/>
    <cellStyle name="Normal 2 2 2 2 2 2 2 2 2 2 2 2 2 8 5" xfId="9657"/>
    <cellStyle name="Normal 2 2 2 2 2 2 2 2 2 2 2 2 2 8 5 10" xfId="9658"/>
    <cellStyle name="Normal 2 2 2 2 2 2 2 2 2 2 2 2 2 8 5 11" xfId="9659"/>
    <cellStyle name="Normal 2 2 2 2 2 2 2 2 2 2 2 2 2 8 5 2" xfId="9660"/>
    <cellStyle name="Normal 2 2 2 2 2 2 2 2 2 2 2 2 2 8 5 2 10" xfId="9661"/>
    <cellStyle name="Normal 2 2 2 2 2 2 2 2 2 2 2 2 2 8 5 2 11" xfId="9662"/>
    <cellStyle name="Normal 2 2 2 2 2 2 2 2 2 2 2 2 2 8 5 2 2" xfId="9663"/>
    <cellStyle name="Normal 2 2 2 2 2 2 2 2 2 2 2 2 2 8 5 2 2 2" xfId="9664"/>
    <cellStyle name="Normal 2 2 2 2 2 2 2 2 2 2 2 2 2 8 5 2 2 2 2" xfId="9665"/>
    <cellStyle name="Normal 2 2 2 2 2 2 2 2 2 2 2 2 2 8 5 2 2 2 3" xfId="9666"/>
    <cellStyle name="Normal 2 2 2 2 2 2 2 2 2 2 2 2 2 8 5 2 2 2 4" xfId="9667"/>
    <cellStyle name="Normal 2 2 2 2 2 2 2 2 2 2 2 2 2 8 5 2 2 3" xfId="9668"/>
    <cellStyle name="Normal 2 2 2 2 2 2 2 2 2 2 2 2 2 8 5 2 2 4" xfId="9669"/>
    <cellStyle name="Normal 2 2 2 2 2 2 2 2 2 2 2 2 2 8 5 2 2 5" xfId="9670"/>
    <cellStyle name="Normal 2 2 2 2 2 2 2 2 2 2 2 2 2 8 5 2 2 6" xfId="9671"/>
    <cellStyle name="Normal 2 2 2 2 2 2 2 2 2 2 2 2 2 8 5 2 3" xfId="9672"/>
    <cellStyle name="Normal 2 2 2 2 2 2 2 2 2 2 2 2 2 8 5 2 4" xfId="9673"/>
    <cellStyle name="Normal 2 2 2 2 2 2 2 2 2 2 2 2 2 8 5 2 5" xfId="9674"/>
    <cellStyle name="Normal 2 2 2 2 2 2 2 2 2 2 2 2 2 8 5 2 6" xfId="9675"/>
    <cellStyle name="Normal 2 2 2 2 2 2 2 2 2 2 2 2 2 8 5 2 7" xfId="9676"/>
    <cellStyle name="Normal 2 2 2 2 2 2 2 2 2 2 2 2 2 8 5 2 8" xfId="9677"/>
    <cellStyle name="Normal 2 2 2 2 2 2 2 2 2 2 2 2 2 8 5 2 8 2" xfId="9678"/>
    <cellStyle name="Normal 2 2 2 2 2 2 2 2 2 2 2 2 2 8 5 2 8 3" xfId="9679"/>
    <cellStyle name="Normal 2 2 2 2 2 2 2 2 2 2 2 2 2 8 5 2 8 4" xfId="9680"/>
    <cellStyle name="Normal 2 2 2 2 2 2 2 2 2 2 2 2 2 8 5 2 9" xfId="9681"/>
    <cellStyle name="Normal 2 2 2 2 2 2 2 2 2 2 2 2 2 8 5 3" xfId="9682"/>
    <cellStyle name="Normal 2 2 2 2 2 2 2 2 2 2 2 2 2 8 5 3 2" xfId="9683"/>
    <cellStyle name="Normal 2 2 2 2 2 2 2 2 2 2 2 2 2 8 5 3 2 2" xfId="9684"/>
    <cellStyle name="Normal 2 2 2 2 2 2 2 2 2 2 2 2 2 8 5 3 2 3" xfId="9685"/>
    <cellStyle name="Normal 2 2 2 2 2 2 2 2 2 2 2 2 2 8 5 3 2 4" xfId="9686"/>
    <cellStyle name="Normal 2 2 2 2 2 2 2 2 2 2 2 2 2 8 5 3 3" xfId="9687"/>
    <cellStyle name="Normal 2 2 2 2 2 2 2 2 2 2 2 2 2 8 5 3 4" xfId="9688"/>
    <cellStyle name="Normal 2 2 2 2 2 2 2 2 2 2 2 2 2 8 5 3 5" xfId="9689"/>
    <cellStyle name="Normal 2 2 2 2 2 2 2 2 2 2 2 2 2 8 5 3 6" xfId="9690"/>
    <cellStyle name="Normal 2 2 2 2 2 2 2 2 2 2 2 2 2 8 5 4" xfId="9691"/>
    <cellStyle name="Normal 2 2 2 2 2 2 2 2 2 2 2 2 2 8 5 5" xfId="9692"/>
    <cellStyle name="Normal 2 2 2 2 2 2 2 2 2 2 2 2 2 8 5 6" xfId="9693"/>
    <cellStyle name="Normal 2 2 2 2 2 2 2 2 2 2 2 2 2 8 5 7" xfId="9694"/>
    <cellStyle name="Normal 2 2 2 2 2 2 2 2 2 2 2 2 2 8 5 8" xfId="9695"/>
    <cellStyle name="Normal 2 2 2 2 2 2 2 2 2 2 2 2 2 8 5 8 2" xfId="9696"/>
    <cellStyle name="Normal 2 2 2 2 2 2 2 2 2 2 2 2 2 8 5 8 3" xfId="9697"/>
    <cellStyle name="Normal 2 2 2 2 2 2 2 2 2 2 2 2 2 8 5 8 4" xfId="9698"/>
    <cellStyle name="Normal 2 2 2 2 2 2 2 2 2 2 2 2 2 8 5 9" xfId="9699"/>
    <cellStyle name="Normal 2 2 2 2 2 2 2 2 2 2 2 2 2 8 6" xfId="9700"/>
    <cellStyle name="Normal 2 2 2 2 2 2 2 2 2 2 2 2 2 8 7" xfId="9701"/>
    <cellStyle name="Normal 2 2 2 2 2 2 2 2 2 2 2 2 2 8 7 2" xfId="9702"/>
    <cellStyle name="Normal 2 2 2 2 2 2 2 2 2 2 2 2 2 8 7 2 2" xfId="9703"/>
    <cellStyle name="Normal 2 2 2 2 2 2 2 2 2 2 2 2 2 8 7 2 3" xfId="9704"/>
    <cellStyle name="Normal 2 2 2 2 2 2 2 2 2 2 2 2 2 8 7 2 4" xfId="9705"/>
    <cellStyle name="Normal 2 2 2 2 2 2 2 2 2 2 2 2 2 8 7 3" xfId="9706"/>
    <cellStyle name="Normal 2 2 2 2 2 2 2 2 2 2 2 2 2 8 7 4" xfId="9707"/>
    <cellStyle name="Normal 2 2 2 2 2 2 2 2 2 2 2 2 2 8 7 5" xfId="9708"/>
    <cellStyle name="Normal 2 2 2 2 2 2 2 2 2 2 2 2 2 8 7 6" xfId="9709"/>
    <cellStyle name="Normal 2 2 2 2 2 2 2 2 2 2 2 2 2 8 8" xfId="9710"/>
    <cellStyle name="Normal 2 2 2 2 2 2 2 2 2 2 2 2 2 8 9" xfId="9711"/>
    <cellStyle name="Normal 2 2 2 2 2 2 2 2 2 2 2 2 2 80" xfId="9712"/>
    <cellStyle name="Normal 2 2 2 2 2 2 2 2 2 2 2 2 2 81" xfId="9713"/>
    <cellStyle name="Normal 2 2 2 2 2 2 2 2 2 2 2 2 2 82" xfId="9714"/>
    <cellStyle name="Normal 2 2 2 2 2 2 2 2 2 2 2 2 2 83" xfId="9715"/>
    <cellStyle name="Normal 2 2 2 2 2 2 2 2 2 2 2 2 2 84" xfId="9716"/>
    <cellStyle name="Normal 2 2 2 2 2 2 2 2 2 2 2 2 2 85" xfId="9717"/>
    <cellStyle name="Normal 2 2 2 2 2 2 2 2 2 2 2 2 2 86" xfId="9718"/>
    <cellStyle name="Normal 2 2 2 2 2 2 2 2 2 2 2 2 2 87" xfId="9719"/>
    <cellStyle name="Normal 2 2 2 2 2 2 2 2 2 2 2 2 2 88" xfId="9720"/>
    <cellStyle name="Normal 2 2 2 2 2 2 2 2 2 2 2 2 2 88 2" xfId="9721"/>
    <cellStyle name="Normal 2 2 2 2 2 2 2 2 2 2 2 2 2 88 3" xfId="9722"/>
    <cellStyle name="Normal 2 2 2 2 2 2 2 2 2 2 2 2 2 88 4" xfId="9723"/>
    <cellStyle name="Normal 2 2 2 2 2 2 2 2 2 2 2 2 2 89" xfId="9724"/>
    <cellStyle name="Normal 2 2 2 2 2 2 2 2 2 2 2 2 2 9" xfId="9725"/>
    <cellStyle name="Normal 2 2 2 2 2 2 2 2 2 2 2 2 2 90" xfId="9726"/>
    <cellStyle name="Normal 2 2 2 2 2 2 2 2 2 2 2 2 20" xfId="9727"/>
    <cellStyle name="Normal 2 2 2 2 2 2 2 2 2 2 2 2 21" xfId="9728"/>
    <cellStyle name="Normal 2 2 2 2 2 2 2 2 2 2 2 2 21 2" xfId="9729"/>
    <cellStyle name="Normal 2 2 2 2 2 2 2 2 2 2 2 2 21 2 2" xfId="9730"/>
    <cellStyle name="Normal 2 2 2 2 2 2 2 2 2 2 2 2 21 2 3" xfId="9731"/>
    <cellStyle name="Normal 2 2 2 2 2 2 2 2 2 2 2 2 21 2 4" xfId="9732"/>
    <cellStyle name="Normal 2 2 2 2 2 2 2 2 2 2 2 2 21 3" xfId="9733"/>
    <cellStyle name="Normal 2 2 2 2 2 2 2 2 2 2 2 2 21 4" xfId="9734"/>
    <cellStyle name="Normal 2 2 2 2 2 2 2 2 2 2 2 2 21 5" xfId="9735"/>
    <cellStyle name="Normal 2 2 2 2 2 2 2 2 2 2 2 2 21 6" xfId="9736"/>
    <cellStyle name="Normal 2 2 2 2 2 2 2 2 2 2 2 2 22" xfId="9737"/>
    <cellStyle name="Normal 2 2 2 2 2 2 2 2 2 2 2 2 23" xfId="9738"/>
    <cellStyle name="Normal 2 2 2 2 2 2 2 2 2 2 2 2 24" xfId="9739"/>
    <cellStyle name="Normal 2 2 2 2 2 2 2 2 2 2 2 2 25" xfId="9740"/>
    <cellStyle name="Normal 2 2 2 2 2 2 2 2 2 2 2 2 26" xfId="9741"/>
    <cellStyle name="Normal 2 2 2 2 2 2 2 2 2 2 2 2 27" xfId="9742"/>
    <cellStyle name="Normal 2 2 2 2 2 2 2 2 2 2 2 2 27 2" xfId="9743"/>
    <cellStyle name="Normal 2 2 2 2 2 2 2 2 2 2 2 2 27 3" xfId="9744"/>
    <cellStyle name="Normal 2 2 2 2 2 2 2 2 2 2 2 2 27 4" xfId="9745"/>
    <cellStyle name="Normal 2 2 2 2 2 2 2 2 2 2 2 2 28" xfId="9746"/>
    <cellStyle name="Normal 2 2 2 2 2 2 2 2 2 2 2 2 29" xfId="9747"/>
    <cellStyle name="Normal 2 2 2 2 2 2 2 2 2 2 2 2 3" xfId="9748"/>
    <cellStyle name="Normal 2 2 2 2 2 2 2 2 2 2 2 2 30" xfId="9749"/>
    <cellStyle name="Normal 2 2 2 2 2 2 2 2 2 2 2 2 31" xfId="9750"/>
    <cellStyle name="Normal 2 2 2 2 2 2 2 2 2 2 2 2 32" xfId="9751"/>
    <cellStyle name="Normal 2 2 2 2 2 2 2 2 2 2 2 2 33" xfId="9752"/>
    <cellStyle name="Normal 2 2 2 2 2 2 2 2 2 2 2 2 34" xfId="9753"/>
    <cellStyle name="Normal 2 2 2 2 2 2 2 2 2 2 2 2 35" xfId="9754"/>
    <cellStyle name="Normal 2 2 2 2 2 2 2 2 2 2 2 2 36" xfId="9755"/>
    <cellStyle name="Normal 2 2 2 2 2 2 2 2 2 2 2 2 37" xfId="9756"/>
    <cellStyle name="Normal 2 2 2 2 2 2 2 2 2 2 2 2 38" xfId="9757"/>
    <cellStyle name="Normal 2 2 2 2 2 2 2 2 2 2 2 2 39" xfId="9758"/>
    <cellStyle name="Normal 2 2 2 2 2 2 2 2 2 2 2 2 4" xfId="9759"/>
    <cellStyle name="Normal 2 2 2 2 2 2 2 2 2 2 2 2 40" xfId="9760"/>
    <cellStyle name="Normal 2 2 2 2 2 2 2 2 2 2 2 2 41" xfId="9761"/>
    <cellStyle name="Normal 2 2 2 2 2 2 2 2 2 2 2 2 42" xfId="9762"/>
    <cellStyle name="Normal 2 2 2 2 2 2 2 2 2 2 2 2 42 2" xfId="9763"/>
    <cellStyle name="Normal 2 2 2 2 2 2 2 2 2 2 2 2 42 3" xfId="9764"/>
    <cellStyle name="Normal 2 2 2 2 2 2 2 2 2 2 2 2 42 4" xfId="9765"/>
    <cellStyle name="Normal 2 2 2 2 2 2 2 2 2 2 2 2 42 5" xfId="9766"/>
    <cellStyle name="Normal 2 2 2 2 2 2 2 2 2 2 2 2 42 6" xfId="9767"/>
    <cellStyle name="Normal 2 2 2 2 2 2 2 2 2 2 2 2 42 7" xfId="9768"/>
    <cellStyle name="Normal 2 2 2 2 2 2 2 2 2 2 2 2 43" xfId="9769"/>
    <cellStyle name="Normal 2 2 2 2 2 2 2 2 2 2 2 2 44" xfId="9770"/>
    <cellStyle name="Normal 2 2 2 2 2 2 2 2 2 2 2 2 45" xfId="9771"/>
    <cellStyle name="Normal 2 2 2 2 2 2 2 2 2 2 2 2 46" xfId="9772"/>
    <cellStyle name="Normal 2 2 2 2 2 2 2 2 2 2 2 2 47" xfId="9773"/>
    <cellStyle name="Normal 2 2 2 2 2 2 2 2 2 2 2 2 48" xfId="9774"/>
    <cellStyle name="Normal 2 2 2 2 2 2 2 2 2 2 2 2 49" xfId="9775"/>
    <cellStyle name="Normal 2 2 2 2 2 2 2 2 2 2 2 2 5" xfId="9776"/>
    <cellStyle name="Normal 2 2 2 2 2 2 2 2 2 2 2 2 50" xfId="9777"/>
    <cellStyle name="Normal 2 2 2 2 2 2 2 2 2 2 2 2 51" xfId="9778"/>
    <cellStyle name="Normal 2 2 2 2 2 2 2 2 2 2 2 2 52" xfId="9779"/>
    <cellStyle name="Normal 2 2 2 2 2 2 2 2 2 2 2 2 53" xfId="9780"/>
    <cellStyle name="Normal 2 2 2 2 2 2 2 2 2 2 2 2 54" xfId="9781"/>
    <cellStyle name="Normal 2 2 2 2 2 2 2 2 2 2 2 2 55" xfId="9782"/>
    <cellStyle name="Normal 2 2 2 2 2 2 2 2 2 2 2 2 56" xfId="9783"/>
    <cellStyle name="Normal 2 2 2 2 2 2 2 2 2 2 2 2 57" xfId="9784"/>
    <cellStyle name="Normal 2 2 2 2 2 2 2 2 2 2 2 2 58" xfId="9785"/>
    <cellStyle name="Normal 2 2 2 2 2 2 2 2 2 2 2 2 59" xfId="9786"/>
    <cellStyle name="Normal 2 2 2 2 2 2 2 2 2 2 2 2 6" xfId="9787"/>
    <cellStyle name="Normal 2 2 2 2 2 2 2 2 2 2 2 2 60" xfId="9788"/>
    <cellStyle name="Normal 2 2 2 2 2 2 2 2 2 2 2 2 61" xfId="9789"/>
    <cellStyle name="Normal 2 2 2 2 2 2 2 2 2 2 2 2 62" xfId="9790"/>
    <cellStyle name="Normal 2 2 2 2 2 2 2 2 2 2 2 2 63" xfId="9791"/>
    <cellStyle name="Normal 2 2 2 2 2 2 2 2 2 2 2 2 64" xfId="9792"/>
    <cellStyle name="Normal 2 2 2 2 2 2 2 2 2 2 2 2 65" xfId="9793"/>
    <cellStyle name="Normal 2 2 2 2 2 2 2 2 2 2 2 2 66" xfId="9794"/>
    <cellStyle name="Normal 2 2 2 2 2 2 2 2 2 2 2 2 67" xfId="9795"/>
    <cellStyle name="Normal 2 2 2 2 2 2 2 2 2 2 2 2 68" xfId="9796"/>
    <cellStyle name="Normal 2 2 2 2 2 2 2 2 2 2 2 2 69" xfId="9797"/>
    <cellStyle name="Normal 2 2 2 2 2 2 2 2 2 2 2 2 7" xfId="9798"/>
    <cellStyle name="Normal 2 2 2 2 2 2 2 2 2 2 2 2 70" xfId="9799"/>
    <cellStyle name="Normal 2 2 2 2 2 2 2 2 2 2 2 2 71" xfId="9800"/>
    <cellStyle name="Normal 2 2 2 2 2 2 2 2 2 2 2 2 72" xfId="9801"/>
    <cellStyle name="Normal 2 2 2 2 2 2 2 2 2 2 2 2 73" xfId="9802"/>
    <cellStyle name="Normal 2 2 2 2 2 2 2 2 2 2 2 2 74" xfId="9803"/>
    <cellStyle name="Normal 2 2 2 2 2 2 2 2 2 2 2 2 75" xfId="9804"/>
    <cellStyle name="Normal 2 2 2 2 2 2 2 2 2 2 2 2 76" xfId="9805"/>
    <cellStyle name="Normal 2 2 2 2 2 2 2 2 2 2 2 2 77" xfId="9806"/>
    <cellStyle name="Normal 2 2 2 2 2 2 2 2 2 2 2 2 78" xfId="9807"/>
    <cellStyle name="Normal 2 2 2 2 2 2 2 2 2 2 2 2 79" xfId="9808"/>
    <cellStyle name="Normal 2 2 2 2 2 2 2 2 2 2 2 2 8" xfId="9809"/>
    <cellStyle name="Normal 2 2 2 2 2 2 2 2 2 2 2 2 8 10" xfId="9810"/>
    <cellStyle name="Normal 2 2 2 2 2 2 2 2 2 2 2 2 8 11" xfId="9811"/>
    <cellStyle name="Normal 2 2 2 2 2 2 2 2 2 2 2 2 8 11 10" xfId="9812"/>
    <cellStyle name="Normal 2 2 2 2 2 2 2 2 2 2 2 2 8 11 11" xfId="9813"/>
    <cellStyle name="Normal 2 2 2 2 2 2 2 2 2 2 2 2 8 11 11 2" xfId="9814"/>
    <cellStyle name="Normal 2 2 2 2 2 2 2 2 2 2 2 2 8 11 11 3" xfId="9815"/>
    <cellStyle name="Normal 2 2 2 2 2 2 2 2 2 2 2 2 8 11 11 4" xfId="9816"/>
    <cellStyle name="Normal 2 2 2 2 2 2 2 2 2 2 2 2 8 11 12" xfId="9817"/>
    <cellStyle name="Normal 2 2 2 2 2 2 2 2 2 2 2 2 8 11 13" xfId="9818"/>
    <cellStyle name="Normal 2 2 2 2 2 2 2 2 2 2 2 2 8 11 14" xfId="9819"/>
    <cellStyle name="Normal 2 2 2 2 2 2 2 2 2 2 2 2 8 11 2" xfId="9820"/>
    <cellStyle name="Normal 2 2 2 2 2 2 2 2 2 2 2 2 8 11 2 10" xfId="9821"/>
    <cellStyle name="Normal 2 2 2 2 2 2 2 2 2 2 2 2 8 11 2 11" xfId="9822"/>
    <cellStyle name="Normal 2 2 2 2 2 2 2 2 2 2 2 2 8 11 2 2" xfId="9823"/>
    <cellStyle name="Normal 2 2 2 2 2 2 2 2 2 2 2 2 8 11 2 2 10" xfId="9824"/>
    <cellStyle name="Normal 2 2 2 2 2 2 2 2 2 2 2 2 8 11 2 2 11" xfId="9825"/>
    <cellStyle name="Normal 2 2 2 2 2 2 2 2 2 2 2 2 8 11 2 2 2" xfId="9826"/>
    <cellStyle name="Normal 2 2 2 2 2 2 2 2 2 2 2 2 8 11 2 2 2 2" xfId="9827"/>
    <cellStyle name="Normal 2 2 2 2 2 2 2 2 2 2 2 2 8 11 2 2 2 2 2" xfId="9828"/>
    <cellStyle name="Normal 2 2 2 2 2 2 2 2 2 2 2 2 8 11 2 2 2 2 3" xfId="9829"/>
    <cellStyle name="Normal 2 2 2 2 2 2 2 2 2 2 2 2 8 11 2 2 2 2 4" xfId="9830"/>
    <cellStyle name="Normal 2 2 2 2 2 2 2 2 2 2 2 2 8 11 2 2 2 3" xfId="9831"/>
    <cellStyle name="Normal 2 2 2 2 2 2 2 2 2 2 2 2 8 11 2 2 2 4" xfId="9832"/>
    <cellStyle name="Normal 2 2 2 2 2 2 2 2 2 2 2 2 8 11 2 2 2 5" xfId="9833"/>
    <cellStyle name="Normal 2 2 2 2 2 2 2 2 2 2 2 2 8 11 2 2 2 6" xfId="9834"/>
    <cellStyle name="Normal 2 2 2 2 2 2 2 2 2 2 2 2 8 11 2 2 3" xfId="9835"/>
    <cellStyle name="Normal 2 2 2 2 2 2 2 2 2 2 2 2 8 11 2 2 4" xfId="9836"/>
    <cellStyle name="Normal 2 2 2 2 2 2 2 2 2 2 2 2 8 11 2 2 5" xfId="9837"/>
    <cellStyle name="Normal 2 2 2 2 2 2 2 2 2 2 2 2 8 11 2 2 6" xfId="9838"/>
    <cellStyle name="Normal 2 2 2 2 2 2 2 2 2 2 2 2 8 11 2 2 7" xfId="9839"/>
    <cellStyle name="Normal 2 2 2 2 2 2 2 2 2 2 2 2 8 11 2 2 8" xfId="9840"/>
    <cellStyle name="Normal 2 2 2 2 2 2 2 2 2 2 2 2 8 11 2 2 8 2" xfId="9841"/>
    <cellStyle name="Normal 2 2 2 2 2 2 2 2 2 2 2 2 8 11 2 2 8 3" xfId="9842"/>
    <cellStyle name="Normal 2 2 2 2 2 2 2 2 2 2 2 2 8 11 2 2 8 4" xfId="9843"/>
    <cellStyle name="Normal 2 2 2 2 2 2 2 2 2 2 2 2 8 11 2 2 9" xfId="9844"/>
    <cellStyle name="Normal 2 2 2 2 2 2 2 2 2 2 2 2 8 11 2 3" xfId="9845"/>
    <cellStyle name="Normal 2 2 2 2 2 2 2 2 2 2 2 2 8 11 2 3 2" xfId="9846"/>
    <cellStyle name="Normal 2 2 2 2 2 2 2 2 2 2 2 2 8 11 2 3 2 2" xfId="9847"/>
    <cellStyle name="Normal 2 2 2 2 2 2 2 2 2 2 2 2 8 11 2 3 2 3" xfId="9848"/>
    <cellStyle name="Normal 2 2 2 2 2 2 2 2 2 2 2 2 8 11 2 3 2 4" xfId="9849"/>
    <cellStyle name="Normal 2 2 2 2 2 2 2 2 2 2 2 2 8 11 2 3 3" xfId="9850"/>
    <cellStyle name="Normal 2 2 2 2 2 2 2 2 2 2 2 2 8 11 2 3 4" xfId="9851"/>
    <cellStyle name="Normal 2 2 2 2 2 2 2 2 2 2 2 2 8 11 2 3 5" xfId="9852"/>
    <cellStyle name="Normal 2 2 2 2 2 2 2 2 2 2 2 2 8 11 2 3 6" xfId="9853"/>
    <cellStyle name="Normal 2 2 2 2 2 2 2 2 2 2 2 2 8 11 2 4" xfId="9854"/>
    <cellStyle name="Normal 2 2 2 2 2 2 2 2 2 2 2 2 8 11 2 5" xfId="9855"/>
    <cellStyle name="Normal 2 2 2 2 2 2 2 2 2 2 2 2 8 11 2 6" xfId="9856"/>
    <cellStyle name="Normal 2 2 2 2 2 2 2 2 2 2 2 2 8 11 2 7" xfId="9857"/>
    <cellStyle name="Normal 2 2 2 2 2 2 2 2 2 2 2 2 8 11 2 8" xfId="9858"/>
    <cellStyle name="Normal 2 2 2 2 2 2 2 2 2 2 2 2 8 11 2 8 2" xfId="9859"/>
    <cellStyle name="Normal 2 2 2 2 2 2 2 2 2 2 2 2 8 11 2 8 3" xfId="9860"/>
    <cellStyle name="Normal 2 2 2 2 2 2 2 2 2 2 2 2 8 11 2 8 4" xfId="9861"/>
    <cellStyle name="Normal 2 2 2 2 2 2 2 2 2 2 2 2 8 11 2 9" xfId="9862"/>
    <cellStyle name="Normal 2 2 2 2 2 2 2 2 2 2 2 2 8 11 3" xfId="9863"/>
    <cellStyle name="Normal 2 2 2 2 2 2 2 2 2 2 2 2 8 11 4" xfId="9864"/>
    <cellStyle name="Normal 2 2 2 2 2 2 2 2 2 2 2 2 8 11 5" xfId="9865"/>
    <cellStyle name="Normal 2 2 2 2 2 2 2 2 2 2 2 2 8 11 5 2" xfId="9866"/>
    <cellStyle name="Normal 2 2 2 2 2 2 2 2 2 2 2 2 8 11 5 2 2" xfId="9867"/>
    <cellStyle name="Normal 2 2 2 2 2 2 2 2 2 2 2 2 8 11 5 2 3" xfId="9868"/>
    <cellStyle name="Normal 2 2 2 2 2 2 2 2 2 2 2 2 8 11 5 2 4" xfId="9869"/>
    <cellStyle name="Normal 2 2 2 2 2 2 2 2 2 2 2 2 8 11 5 3" xfId="9870"/>
    <cellStyle name="Normal 2 2 2 2 2 2 2 2 2 2 2 2 8 11 5 4" xfId="9871"/>
    <cellStyle name="Normal 2 2 2 2 2 2 2 2 2 2 2 2 8 11 5 5" xfId="9872"/>
    <cellStyle name="Normal 2 2 2 2 2 2 2 2 2 2 2 2 8 11 5 6" xfId="9873"/>
    <cellStyle name="Normal 2 2 2 2 2 2 2 2 2 2 2 2 8 11 6" xfId="9874"/>
    <cellStyle name="Normal 2 2 2 2 2 2 2 2 2 2 2 2 8 11 7" xfId="9875"/>
    <cellStyle name="Normal 2 2 2 2 2 2 2 2 2 2 2 2 8 11 8" xfId="9876"/>
    <cellStyle name="Normal 2 2 2 2 2 2 2 2 2 2 2 2 8 11 9" xfId="9877"/>
    <cellStyle name="Normal 2 2 2 2 2 2 2 2 2 2 2 2 8 12" xfId="9878"/>
    <cellStyle name="Normal 2 2 2 2 2 2 2 2 2 2 2 2 8 13" xfId="9879"/>
    <cellStyle name="Normal 2 2 2 2 2 2 2 2 2 2 2 2 8 13 10" xfId="9880"/>
    <cellStyle name="Normal 2 2 2 2 2 2 2 2 2 2 2 2 8 13 11" xfId="9881"/>
    <cellStyle name="Normal 2 2 2 2 2 2 2 2 2 2 2 2 8 13 2" xfId="9882"/>
    <cellStyle name="Normal 2 2 2 2 2 2 2 2 2 2 2 2 8 13 2 10" xfId="9883"/>
    <cellStyle name="Normal 2 2 2 2 2 2 2 2 2 2 2 2 8 13 2 11" xfId="9884"/>
    <cellStyle name="Normal 2 2 2 2 2 2 2 2 2 2 2 2 8 13 2 2" xfId="9885"/>
    <cellStyle name="Normal 2 2 2 2 2 2 2 2 2 2 2 2 8 13 2 2 2" xfId="9886"/>
    <cellStyle name="Normal 2 2 2 2 2 2 2 2 2 2 2 2 8 13 2 2 2 2" xfId="9887"/>
    <cellStyle name="Normal 2 2 2 2 2 2 2 2 2 2 2 2 8 13 2 2 2 3" xfId="9888"/>
    <cellStyle name="Normal 2 2 2 2 2 2 2 2 2 2 2 2 8 13 2 2 2 4" xfId="9889"/>
    <cellStyle name="Normal 2 2 2 2 2 2 2 2 2 2 2 2 8 13 2 2 3" xfId="9890"/>
    <cellStyle name="Normal 2 2 2 2 2 2 2 2 2 2 2 2 8 13 2 2 4" xfId="9891"/>
    <cellStyle name="Normal 2 2 2 2 2 2 2 2 2 2 2 2 8 13 2 2 5" xfId="9892"/>
    <cellStyle name="Normal 2 2 2 2 2 2 2 2 2 2 2 2 8 13 2 2 6" xfId="9893"/>
    <cellStyle name="Normal 2 2 2 2 2 2 2 2 2 2 2 2 8 13 2 3" xfId="9894"/>
    <cellStyle name="Normal 2 2 2 2 2 2 2 2 2 2 2 2 8 13 2 4" xfId="9895"/>
    <cellStyle name="Normal 2 2 2 2 2 2 2 2 2 2 2 2 8 13 2 5" xfId="9896"/>
    <cellStyle name="Normal 2 2 2 2 2 2 2 2 2 2 2 2 8 13 2 6" xfId="9897"/>
    <cellStyle name="Normal 2 2 2 2 2 2 2 2 2 2 2 2 8 13 2 7" xfId="9898"/>
    <cellStyle name="Normal 2 2 2 2 2 2 2 2 2 2 2 2 8 13 2 8" xfId="9899"/>
    <cellStyle name="Normal 2 2 2 2 2 2 2 2 2 2 2 2 8 13 2 8 2" xfId="9900"/>
    <cellStyle name="Normal 2 2 2 2 2 2 2 2 2 2 2 2 8 13 2 8 3" xfId="9901"/>
    <cellStyle name="Normal 2 2 2 2 2 2 2 2 2 2 2 2 8 13 2 8 4" xfId="9902"/>
    <cellStyle name="Normal 2 2 2 2 2 2 2 2 2 2 2 2 8 13 2 9" xfId="9903"/>
    <cellStyle name="Normal 2 2 2 2 2 2 2 2 2 2 2 2 8 13 3" xfId="9904"/>
    <cellStyle name="Normal 2 2 2 2 2 2 2 2 2 2 2 2 8 13 3 2" xfId="9905"/>
    <cellStyle name="Normal 2 2 2 2 2 2 2 2 2 2 2 2 8 13 3 2 2" xfId="9906"/>
    <cellStyle name="Normal 2 2 2 2 2 2 2 2 2 2 2 2 8 13 3 2 3" xfId="9907"/>
    <cellStyle name="Normal 2 2 2 2 2 2 2 2 2 2 2 2 8 13 3 2 4" xfId="9908"/>
    <cellStyle name="Normal 2 2 2 2 2 2 2 2 2 2 2 2 8 13 3 3" xfId="9909"/>
    <cellStyle name="Normal 2 2 2 2 2 2 2 2 2 2 2 2 8 13 3 4" xfId="9910"/>
    <cellStyle name="Normal 2 2 2 2 2 2 2 2 2 2 2 2 8 13 3 5" xfId="9911"/>
    <cellStyle name="Normal 2 2 2 2 2 2 2 2 2 2 2 2 8 13 3 6" xfId="9912"/>
    <cellStyle name="Normal 2 2 2 2 2 2 2 2 2 2 2 2 8 13 4" xfId="9913"/>
    <cellStyle name="Normal 2 2 2 2 2 2 2 2 2 2 2 2 8 13 5" xfId="9914"/>
    <cellStyle name="Normal 2 2 2 2 2 2 2 2 2 2 2 2 8 13 6" xfId="9915"/>
    <cellStyle name="Normal 2 2 2 2 2 2 2 2 2 2 2 2 8 13 7" xfId="9916"/>
    <cellStyle name="Normal 2 2 2 2 2 2 2 2 2 2 2 2 8 13 8" xfId="9917"/>
    <cellStyle name="Normal 2 2 2 2 2 2 2 2 2 2 2 2 8 13 8 2" xfId="9918"/>
    <cellStyle name="Normal 2 2 2 2 2 2 2 2 2 2 2 2 8 13 8 3" xfId="9919"/>
    <cellStyle name="Normal 2 2 2 2 2 2 2 2 2 2 2 2 8 13 8 4" xfId="9920"/>
    <cellStyle name="Normal 2 2 2 2 2 2 2 2 2 2 2 2 8 13 9" xfId="9921"/>
    <cellStyle name="Normal 2 2 2 2 2 2 2 2 2 2 2 2 8 14" xfId="9922"/>
    <cellStyle name="Normal 2 2 2 2 2 2 2 2 2 2 2 2 8 15" xfId="9923"/>
    <cellStyle name="Normal 2 2 2 2 2 2 2 2 2 2 2 2 8 15 2" xfId="9924"/>
    <cellStyle name="Normal 2 2 2 2 2 2 2 2 2 2 2 2 8 15 2 2" xfId="9925"/>
    <cellStyle name="Normal 2 2 2 2 2 2 2 2 2 2 2 2 8 15 2 3" xfId="9926"/>
    <cellStyle name="Normal 2 2 2 2 2 2 2 2 2 2 2 2 8 15 2 4" xfId="9927"/>
    <cellStyle name="Normal 2 2 2 2 2 2 2 2 2 2 2 2 8 15 3" xfId="9928"/>
    <cellStyle name="Normal 2 2 2 2 2 2 2 2 2 2 2 2 8 15 4" xfId="9929"/>
    <cellStyle name="Normal 2 2 2 2 2 2 2 2 2 2 2 2 8 15 5" xfId="9930"/>
    <cellStyle name="Normal 2 2 2 2 2 2 2 2 2 2 2 2 8 15 6" xfId="9931"/>
    <cellStyle name="Normal 2 2 2 2 2 2 2 2 2 2 2 2 8 16" xfId="9932"/>
    <cellStyle name="Normal 2 2 2 2 2 2 2 2 2 2 2 2 8 17" xfId="9933"/>
    <cellStyle name="Normal 2 2 2 2 2 2 2 2 2 2 2 2 8 18" xfId="9934"/>
    <cellStyle name="Normal 2 2 2 2 2 2 2 2 2 2 2 2 8 19" xfId="9935"/>
    <cellStyle name="Normal 2 2 2 2 2 2 2 2 2 2 2 2 8 2" xfId="9936"/>
    <cellStyle name="Normal 2 2 2 2 2 2 2 2 2 2 2 2 8 2 10" xfId="9937"/>
    <cellStyle name="Normal 2 2 2 2 2 2 2 2 2 2 2 2 8 2 11" xfId="9938"/>
    <cellStyle name="Normal 2 2 2 2 2 2 2 2 2 2 2 2 8 2 12" xfId="9939"/>
    <cellStyle name="Normal 2 2 2 2 2 2 2 2 2 2 2 2 8 2 13" xfId="9940"/>
    <cellStyle name="Normal 2 2 2 2 2 2 2 2 2 2 2 2 8 2 13 2" xfId="9941"/>
    <cellStyle name="Normal 2 2 2 2 2 2 2 2 2 2 2 2 8 2 13 3" xfId="9942"/>
    <cellStyle name="Normal 2 2 2 2 2 2 2 2 2 2 2 2 8 2 13 4" xfId="9943"/>
    <cellStyle name="Normal 2 2 2 2 2 2 2 2 2 2 2 2 8 2 14" xfId="9944"/>
    <cellStyle name="Normal 2 2 2 2 2 2 2 2 2 2 2 2 8 2 15" xfId="9945"/>
    <cellStyle name="Normal 2 2 2 2 2 2 2 2 2 2 2 2 8 2 16" xfId="9946"/>
    <cellStyle name="Normal 2 2 2 2 2 2 2 2 2 2 2 2 8 2 2" xfId="9947"/>
    <cellStyle name="Normal 2 2 2 2 2 2 2 2 2 2 2 2 8 2 2 10" xfId="9948"/>
    <cellStyle name="Normal 2 2 2 2 2 2 2 2 2 2 2 2 8 2 2 11" xfId="9949"/>
    <cellStyle name="Normal 2 2 2 2 2 2 2 2 2 2 2 2 8 2 2 11 2" xfId="9950"/>
    <cellStyle name="Normal 2 2 2 2 2 2 2 2 2 2 2 2 8 2 2 11 3" xfId="9951"/>
    <cellStyle name="Normal 2 2 2 2 2 2 2 2 2 2 2 2 8 2 2 11 4" xfId="9952"/>
    <cellStyle name="Normal 2 2 2 2 2 2 2 2 2 2 2 2 8 2 2 12" xfId="9953"/>
    <cellStyle name="Normal 2 2 2 2 2 2 2 2 2 2 2 2 8 2 2 13" xfId="9954"/>
    <cellStyle name="Normal 2 2 2 2 2 2 2 2 2 2 2 2 8 2 2 14" xfId="9955"/>
    <cellStyle name="Normal 2 2 2 2 2 2 2 2 2 2 2 2 8 2 2 2" xfId="9956"/>
    <cellStyle name="Normal 2 2 2 2 2 2 2 2 2 2 2 2 8 2 2 2 10" xfId="9957"/>
    <cellStyle name="Normal 2 2 2 2 2 2 2 2 2 2 2 2 8 2 2 2 11" xfId="9958"/>
    <cellStyle name="Normal 2 2 2 2 2 2 2 2 2 2 2 2 8 2 2 2 2" xfId="9959"/>
    <cellStyle name="Normal 2 2 2 2 2 2 2 2 2 2 2 2 8 2 2 2 2 10" xfId="9960"/>
    <cellStyle name="Normal 2 2 2 2 2 2 2 2 2 2 2 2 8 2 2 2 2 11" xfId="9961"/>
    <cellStyle name="Normal 2 2 2 2 2 2 2 2 2 2 2 2 8 2 2 2 2 2" xfId="9962"/>
    <cellStyle name="Normal 2 2 2 2 2 2 2 2 2 2 2 2 8 2 2 2 2 2 2" xfId="9963"/>
    <cellStyle name="Normal 2 2 2 2 2 2 2 2 2 2 2 2 8 2 2 2 2 2 2 2" xfId="9964"/>
    <cellStyle name="Normal 2 2 2 2 2 2 2 2 2 2 2 2 8 2 2 2 2 2 2 3" xfId="9965"/>
    <cellStyle name="Normal 2 2 2 2 2 2 2 2 2 2 2 2 8 2 2 2 2 2 2 4" xfId="9966"/>
    <cellStyle name="Normal 2 2 2 2 2 2 2 2 2 2 2 2 8 2 2 2 2 2 3" xfId="9967"/>
    <cellStyle name="Normal 2 2 2 2 2 2 2 2 2 2 2 2 8 2 2 2 2 2 4" xfId="9968"/>
    <cellStyle name="Normal 2 2 2 2 2 2 2 2 2 2 2 2 8 2 2 2 2 2 5" xfId="9969"/>
    <cellStyle name="Normal 2 2 2 2 2 2 2 2 2 2 2 2 8 2 2 2 2 2 6" xfId="9970"/>
    <cellStyle name="Normal 2 2 2 2 2 2 2 2 2 2 2 2 8 2 2 2 2 3" xfId="9971"/>
    <cellStyle name="Normal 2 2 2 2 2 2 2 2 2 2 2 2 8 2 2 2 2 4" xfId="9972"/>
    <cellStyle name="Normal 2 2 2 2 2 2 2 2 2 2 2 2 8 2 2 2 2 5" xfId="9973"/>
    <cellStyle name="Normal 2 2 2 2 2 2 2 2 2 2 2 2 8 2 2 2 2 6" xfId="9974"/>
    <cellStyle name="Normal 2 2 2 2 2 2 2 2 2 2 2 2 8 2 2 2 2 7" xfId="9975"/>
    <cellStyle name="Normal 2 2 2 2 2 2 2 2 2 2 2 2 8 2 2 2 2 8" xfId="9976"/>
    <cellStyle name="Normal 2 2 2 2 2 2 2 2 2 2 2 2 8 2 2 2 2 8 2" xfId="9977"/>
    <cellStyle name="Normal 2 2 2 2 2 2 2 2 2 2 2 2 8 2 2 2 2 8 3" xfId="9978"/>
    <cellStyle name="Normal 2 2 2 2 2 2 2 2 2 2 2 2 8 2 2 2 2 8 4" xfId="9979"/>
    <cellStyle name="Normal 2 2 2 2 2 2 2 2 2 2 2 2 8 2 2 2 2 9" xfId="9980"/>
    <cellStyle name="Normal 2 2 2 2 2 2 2 2 2 2 2 2 8 2 2 2 3" xfId="9981"/>
    <cellStyle name="Normal 2 2 2 2 2 2 2 2 2 2 2 2 8 2 2 2 3 2" xfId="9982"/>
    <cellStyle name="Normal 2 2 2 2 2 2 2 2 2 2 2 2 8 2 2 2 3 2 2" xfId="9983"/>
    <cellStyle name="Normal 2 2 2 2 2 2 2 2 2 2 2 2 8 2 2 2 3 2 3" xfId="9984"/>
    <cellStyle name="Normal 2 2 2 2 2 2 2 2 2 2 2 2 8 2 2 2 3 2 4" xfId="9985"/>
    <cellStyle name="Normal 2 2 2 2 2 2 2 2 2 2 2 2 8 2 2 2 3 3" xfId="9986"/>
    <cellStyle name="Normal 2 2 2 2 2 2 2 2 2 2 2 2 8 2 2 2 3 4" xfId="9987"/>
    <cellStyle name="Normal 2 2 2 2 2 2 2 2 2 2 2 2 8 2 2 2 3 5" xfId="9988"/>
    <cellStyle name="Normal 2 2 2 2 2 2 2 2 2 2 2 2 8 2 2 2 3 6" xfId="9989"/>
    <cellStyle name="Normal 2 2 2 2 2 2 2 2 2 2 2 2 8 2 2 2 4" xfId="9990"/>
    <cellStyle name="Normal 2 2 2 2 2 2 2 2 2 2 2 2 8 2 2 2 5" xfId="9991"/>
    <cellStyle name="Normal 2 2 2 2 2 2 2 2 2 2 2 2 8 2 2 2 6" xfId="9992"/>
    <cellStyle name="Normal 2 2 2 2 2 2 2 2 2 2 2 2 8 2 2 2 7" xfId="9993"/>
    <cellStyle name="Normal 2 2 2 2 2 2 2 2 2 2 2 2 8 2 2 2 8" xfId="9994"/>
    <cellStyle name="Normal 2 2 2 2 2 2 2 2 2 2 2 2 8 2 2 2 8 2" xfId="9995"/>
    <cellStyle name="Normal 2 2 2 2 2 2 2 2 2 2 2 2 8 2 2 2 8 3" xfId="9996"/>
    <cellStyle name="Normal 2 2 2 2 2 2 2 2 2 2 2 2 8 2 2 2 8 4" xfId="9997"/>
    <cellStyle name="Normal 2 2 2 2 2 2 2 2 2 2 2 2 8 2 2 2 9" xfId="9998"/>
    <cellStyle name="Normal 2 2 2 2 2 2 2 2 2 2 2 2 8 2 2 3" xfId="9999"/>
    <cellStyle name="Normal 2 2 2 2 2 2 2 2 2 2 2 2 8 2 2 4" xfId="10000"/>
    <cellStyle name="Normal 2 2 2 2 2 2 2 2 2 2 2 2 8 2 2 5" xfId="10001"/>
    <cellStyle name="Normal 2 2 2 2 2 2 2 2 2 2 2 2 8 2 2 5 2" xfId="10002"/>
    <cellStyle name="Normal 2 2 2 2 2 2 2 2 2 2 2 2 8 2 2 5 2 2" xfId="10003"/>
    <cellStyle name="Normal 2 2 2 2 2 2 2 2 2 2 2 2 8 2 2 5 2 3" xfId="10004"/>
    <cellStyle name="Normal 2 2 2 2 2 2 2 2 2 2 2 2 8 2 2 5 2 4" xfId="10005"/>
    <cellStyle name="Normal 2 2 2 2 2 2 2 2 2 2 2 2 8 2 2 5 3" xfId="10006"/>
    <cellStyle name="Normal 2 2 2 2 2 2 2 2 2 2 2 2 8 2 2 5 4" xfId="10007"/>
    <cellStyle name="Normal 2 2 2 2 2 2 2 2 2 2 2 2 8 2 2 5 5" xfId="10008"/>
    <cellStyle name="Normal 2 2 2 2 2 2 2 2 2 2 2 2 8 2 2 5 6" xfId="10009"/>
    <cellStyle name="Normal 2 2 2 2 2 2 2 2 2 2 2 2 8 2 2 6" xfId="10010"/>
    <cellStyle name="Normal 2 2 2 2 2 2 2 2 2 2 2 2 8 2 2 7" xfId="10011"/>
    <cellStyle name="Normal 2 2 2 2 2 2 2 2 2 2 2 2 8 2 2 8" xfId="10012"/>
    <cellStyle name="Normal 2 2 2 2 2 2 2 2 2 2 2 2 8 2 2 9" xfId="10013"/>
    <cellStyle name="Normal 2 2 2 2 2 2 2 2 2 2 2 2 8 2 3" xfId="10014"/>
    <cellStyle name="Normal 2 2 2 2 2 2 2 2 2 2 2 2 8 2 4" xfId="10015"/>
    <cellStyle name="Normal 2 2 2 2 2 2 2 2 2 2 2 2 8 2 5" xfId="10016"/>
    <cellStyle name="Normal 2 2 2 2 2 2 2 2 2 2 2 2 8 2 5 10" xfId="10017"/>
    <cellStyle name="Normal 2 2 2 2 2 2 2 2 2 2 2 2 8 2 5 11" xfId="10018"/>
    <cellStyle name="Normal 2 2 2 2 2 2 2 2 2 2 2 2 8 2 5 2" xfId="10019"/>
    <cellStyle name="Normal 2 2 2 2 2 2 2 2 2 2 2 2 8 2 5 2 10" xfId="10020"/>
    <cellStyle name="Normal 2 2 2 2 2 2 2 2 2 2 2 2 8 2 5 2 11" xfId="10021"/>
    <cellStyle name="Normal 2 2 2 2 2 2 2 2 2 2 2 2 8 2 5 2 2" xfId="10022"/>
    <cellStyle name="Normal 2 2 2 2 2 2 2 2 2 2 2 2 8 2 5 2 2 2" xfId="10023"/>
    <cellStyle name="Normal 2 2 2 2 2 2 2 2 2 2 2 2 8 2 5 2 2 2 2" xfId="10024"/>
    <cellStyle name="Normal 2 2 2 2 2 2 2 2 2 2 2 2 8 2 5 2 2 2 3" xfId="10025"/>
    <cellStyle name="Normal 2 2 2 2 2 2 2 2 2 2 2 2 8 2 5 2 2 2 4" xfId="10026"/>
    <cellStyle name="Normal 2 2 2 2 2 2 2 2 2 2 2 2 8 2 5 2 2 3" xfId="10027"/>
    <cellStyle name="Normal 2 2 2 2 2 2 2 2 2 2 2 2 8 2 5 2 2 4" xfId="10028"/>
    <cellStyle name="Normal 2 2 2 2 2 2 2 2 2 2 2 2 8 2 5 2 2 5" xfId="10029"/>
    <cellStyle name="Normal 2 2 2 2 2 2 2 2 2 2 2 2 8 2 5 2 2 6" xfId="10030"/>
    <cellStyle name="Normal 2 2 2 2 2 2 2 2 2 2 2 2 8 2 5 2 3" xfId="10031"/>
    <cellStyle name="Normal 2 2 2 2 2 2 2 2 2 2 2 2 8 2 5 2 4" xfId="10032"/>
    <cellStyle name="Normal 2 2 2 2 2 2 2 2 2 2 2 2 8 2 5 2 5" xfId="10033"/>
    <cellStyle name="Normal 2 2 2 2 2 2 2 2 2 2 2 2 8 2 5 2 6" xfId="10034"/>
    <cellStyle name="Normal 2 2 2 2 2 2 2 2 2 2 2 2 8 2 5 2 7" xfId="10035"/>
    <cellStyle name="Normal 2 2 2 2 2 2 2 2 2 2 2 2 8 2 5 2 8" xfId="10036"/>
    <cellStyle name="Normal 2 2 2 2 2 2 2 2 2 2 2 2 8 2 5 2 8 2" xfId="10037"/>
    <cellStyle name="Normal 2 2 2 2 2 2 2 2 2 2 2 2 8 2 5 2 8 3" xfId="10038"/>
    <cellStyle name="Normal 2 2 2 2 2 2 2 2 2 2 2 2 8 2 5 2 8 4" xfId="10039"/>
    <cellStyle name="Normal 2 2 2 2 2 2 2 2 2 2 2 2 8 2 5 2 9" xfId="10040"/>
    <cellStyle name="Normal 2 2 2 2 2 2 2 2 2 2 2 2 8 2 5 3" xfId="10041"/>
    <cellStyle name="Normal 2 2 2 2 2 2 2 2 2 2 2 2 8 2 5 3 2" xfId="10042"/>
    <cellStyle name="Normal 2 2 2 2 2 2 2 2 2 2 2 2 8 2 5 3 2 2" xfId="10043"/>
    <cellStyle name="Normal 2 2 2 2 2 2 2 2 2 2 2 2 8 2 5 3 2 3" xfId="10044"/>
    <cellStyle name="Normal 2 2 2 2 2 2 2 2 2 2 2 2 8 2 5 3 2 4" xfId="10045"/>
    <cellStyle name="Normal 2 2 2 2 2 2 2 2 2 2 2 2 8 2 5 3 3" xfId="10046"/>
    <cellStyle name="Normal 2 2 2 2 2 2 2 2 2 2 2 2 8 2 5 3 4" xfId="10047"/>
    <cellStyle name="Normal 2 2 2 2 2 2 2 2 2 2 2 2 8 2 5 3 5" xfId="10048"/>
    <cellStyle name="Normal 2 2 2 2 2 2 2 2 2 2 2 2 8 2 5 3 6" xfId="10049"/>
    <cellStyle name="Normal 2 2 2 2 2 2 2 2 2 2 2 2 8 2 5 4" xfId="10050"/>
    <cellStyle name="Normal 2 2 2 2 2 2 2 2 2 2 2 2 8 2 5 5" xfId="10051"/>
    <cellStyle name="Normal 2 2 2 2 2 2 2 2 2 2 2 2 8 2 5 6" xfId="10052"/>
    <cellStyle name="Normal 2 2 2 2 2 2 2 2 2 2 2 2 8 2 5 7" xfId="10053"/>
    <cellStyle name="Normal 2 2 2 2 2 2 2 2 2 2 2 2 8 2 5 8" xfId="10054"/>
    <cellStyle name="Normal 2 2 2 2 2 2 2 2 2 2 2 2 8 2 5 8 2" xfId="10055"/>
    <cellStyle name="Normal 2 2 2 2 2 2 2 2 2 2 2 2 8 2 5 8 3" xfId="10056"/>
    <cellStyle name="Normal 2 2 2 2 2 2 2 2 2 2 2 2 8 2 5 8 4" xfId="10057"/>
    <cellStyle name="Normal 2 2 2 2 2 2 2 2 2 2 2 2 8 2 5 9" xfId="10058"/>
    <cellStyle name="Normal 2 2 2 2 2 2 2 2 2 2 2 2 8 2 6" xfId="10059"/>
    <cellStyle name="Normal 2 2 2 2 2 2 2 2 2 2 2 2 8 2 7" xfId="10060"/>
    <cellStyle name="Normal 2 2 2 2 2 2 2 2 2 2 2 2 8 2 7 2" xfId="10061"/>
    <cellStyle name="Normal 2 2 2 2 2 2 2 2 2 2 2 2 8 2 7 2 2" xfId="10062"/>
    <cellStyle name="Normal 2 2 2 2 2 2 2 2 2 2 2 2 8 2 7 2 3" xfId="10063"/>
    <cellStyle name="Normal 2 2 2 2 2 2 2 2 2 2 2 2 8 2 7 2 4" xfId="10064"/>
    <cellStyle name="Normal 2 2 2 2 2 2 2 2 2 2 2 2 8 2 7 3" xfId="10065"/>
    <cellStyle name="Normal 2 2 2 2 2 2 2 2 2 2 2 2 8 2 7 4" xfId="10066"/>
    <cellStyle name="Normal 2 2 2 2 2 2 2 2 2 2 2 2 8 2 7 5" xfId="10067"/>
    <cellStyle name="Normal 2 2 2 2 2 2 2 2 2 2 2 2 8 2 7 6" xfId="10068"/>
    <cellStyle name="Normal 2 2 2 2 2 2 2 2 2 2 2 2 8 2 8" xfId="10069"/>
    <cellStyle name="Normal 2 2 2 2 2 2 2 2 2 2 2 2 8 2 9" xfId="10070"/>
    <cellStyle name="Normal 2 2 2 2 2 2 2 2 2 2 2 2 8 20" xfId="10071"/>
    <cellStyle name="Normal 2 2 2 2 2 2 2 2 2 2 2 2 8 21" xfId="10072"/>
    <cellStyle name="Normal 2 2 2 2 2 2 2 2 2 2 2 2 8 21 2" xfId="10073"/>
    <cellStyle name="Normal 2 2 2 2 2 2 2 2 2 2 2 2 8 21 3" xfId="10074"/>
    <cellStyle name="Normal 2 2 2 2 2 2 2 2 2 2 2 2 8 21 4" xfId="10075"/>
    <cellStyle name="Normal 2 2 2 2 2 2 2 2 2 2 2 2 8 22" xfId="10076"/>
    <cellStyle name="Normal 2 2 2 2 2 2 2 2 2 2 2 2 8 23" xfId="10077"/>
    <cellStyle name="Normal 2 2 2 2 2 2 2 2 2 2 2 2 8 24" xfId="10078"/>
    <cellStyle name="Normal 2 2 2 2 2 2 2 2 2 2 2 2 8 3" xfId="10079"/>
    <cellStyle name="Normal 2 2 2 2 2 2 2 2 2 2 2 2 8 4" xfId="10080"/>
    <cellStyle name="Normal 2 2 2 2 2 2 2 2 2 2 2 2 8 5" xfId="10081"/>
    <cellStyle name="Normal 2 2 2 2 2 2 2 2 2 2 2 2 8 6" xfId="10082"/>
    <cellStyle name="Normal 2 2 2 2 2 2 2 2 2 2 2 2 8 7" xfId="10083"/>
    <cellStyle name="Normal 2 2 2 2 2 2 2 2 2 2 2 2 8 8" xfId="10084"/>
    <cellStyle name="Normal 2 2 2 2 2 2 2 2 2 2 2 2 8 9" xfId="10085"/>
    <cellStyle name="Normal 2 2 2 2 2 2 2 2 2 2 2 2 80" xfId="10086"/>
    <cellStyle name="Normal 2 2 2 2 2 2 2 2 2 2 2 2 81" xfId="10087"/>
    <cellStyle name="Normal 2 2 2 2 2 2 2 2 2 2 2 2 82" xfId="10088"/>
    <cellStyle name="Normal 2 2 2 2 2 2 2 2 2 2 2 2 83" xfId="10089"/>
    <cellStyle name="Normal 2 2 2 2 2 2 2 2 2 2 2 2 84" xfId="10090"/>
    <cellStyle name="Normal 2 2 2 2 2 2 2 2 2 2 2 2 85" xfId="10091"/>
    <cellStyle name="Normal 2 2 2 2 2 2 2 2 2 2 2 2 86" xfId="10092"/>
    <cellStyle name="Normal 2 2 2 2 2 2 2 2 2 2 2 2 87" xfId="10093"/>
    <cellStyle name="Normal 2 2 2 2 2 2 2 2 2 2 2 2 88" xfId="10094"/>
    <cellStyle name="Normal 2 2 2 2 2 2 2 2 2 2 2 2 89" xfId="10095"/>
    <cellStyle name="Normal 2 2 2 2 2 2 2 2 2 2 2 2 89 2" xfId="10096"/>
    <cellStyle name="Normal 2 2 2 2 2 2 2 2 2 2 2 2 89 3" xfId="10097"/>
    <cellStyle name="Normal 2 2 2 2 2 2 2 2 2 2 2 2 89 4" xfId="10098"/>
    <cellStyle name="Normal 2 2 2 2 2 2 2 2 2 2 2 2 9" xfId="10099"/>
    <cellStyle name="Normal 2 2 2 2 2 2 2 2 2 2 2 2 9 10" xfId="10100"/>
    <cellStyle name="Normal 2 2 2 2 2 2 2 2 2 2 2 2 9 11" xfId="10101"/>
    <cellStyle name="Normal 2 2 2 2 2 2 2 2 2 2 2 2 9 12" xfId="10102"/>
    <cellStyle name="Normal 2 2 2 2 2 2 2 2 2 2 2 2 9 13" xfId="10103"/>
    <cellStyle name="Normal 2 2 2 2 2 2 2 2 2 2 2 2 9 13 2" xfId="10104"/>
    <cellStyle name="Normal 2 2 2 2 2 2 2 2 2 2 2 2 9 13 3" xfId="10105"/>
    <cellStyle name="Normal 2 2 2 2 2 2 2 2 2 2 2 2 9 13 4" xfId="10106"/>
    <cellStyle name="Normal 2 2 2 2 2 2 2 2 2 2 2 2 9 14" xfId="10107"/>
    <cellStyle name="Normal 2 2 2 2 2 2 2 2 2 2 2 2 9 15" xfId="10108"/>
    <cellStyle name="Normal 2 2 2 2 2 2 2 2 2 2 2 2 9 16" xfId="10109"/>
    <cellStyle name="Normal 2 2 2 2 2 2 2 2 2 2 2 2 9 2" xfId="10110"/>
    <cellStyle name="Normal 2 2 2 2 2 2 2 2 2 2 2 2 9 2 10" xfId="10111"/>
    <cellStyle name="Normal 2 2 2 2 2 2 2 2 2 2 2 2 9 2 11" xfId="10112"/>
    <cellStyle name="Normal 2 2 2 2 2 2 2 2 2 2 2 2 9 2 11 2" xfId="10113"/>
    <cellStyle name="Normal 2 2 2 2 2 2 2 2 2 2 2 2 9 2 11 3" xfId="10114"/>
    <cellStyle name="Normal 2 2 2 2 2 2 2 2 2 2 2 2 9 2 11 4" xfId="10115"/>
    <cellStyle name="Normal 2 2 2 2 2 2 2 2 2 2 2 2 9 2 12" xfId="10116"/>
    <cellStyle name="Normal 2 2 2 2 2 2 2 2 2 2 2 2 9 2 13" xfId="10117"/>
    <cellStyle name="Normal 2 2 2 2 2 2 2 2 2 2 2 2 9 2 14" xfId="10118"/>
    <cellStyle name="Normal 2 2 2 2 2 2 2 2 2 2 2 2 9 2 2" xfId="10119"/>
    <cellStyle name="Normal 2 2 2 2 2 2 2 2 2 2 2 2 9 2 2 10" xfId="10120"/>
    <cellStyle name="Normal 2 2 2 2 2 2 2 2 2 2 2 2 9 2 2 11" xfId="10121"/>
    <cellStyle name="Normal 2 2 2 2 2 2 2 2 2 2 2 2 9 2 2 2" xfId="10122"/>
    <cellStyle name="Normal 2 2 2 2 2 2 2 2 2 2 2 2 9 2 2 2 10" xfId="10123"/>
    <cellStyle name="Normal 2 2 2 2 2 2 2 2 2 2 2 2 9 2 2 2 11" xfId="10124"/>
    <cellStyle name="Normal 2 2 2 2 2 2 2 2 2 2 2 2 9 2 2 2 2" xfId="10125"/>
    <cellStyle name="Normal 2 2 2 2 2 2 2 2 2 2 2 2 9 2 2 2 2 2" xfId="10126"/>
    <cellStyle name="Normal 2 2 2 2 2 2 2 2 2 2 2 2 9 2 2 2 2 2 2" xfId="10127"/>
    <cellStyle name="Normal 2 2 2 2 2 2 2 2 2 2 2 2 9 2 2 2 2 2 3" xfId="10128"/>
    <cellStyle name="Normal 2 2 2 2 2 2 2 2 2 2 2 2 9 2 2 2 2 2 4" xfId="10129"/>
    <cellStyle name="Normal 2 2 2 2 2 2 2 2 2 2 2 2 9 2 2 2 2 3" xfId="10130"/>
    <cellStyle name="Normal 2 2 2 2 2 2 2 2 2 2 2 2 9 2 2 2 2 4" xfId="10131"/>
    <cellStyle name="Normal 2 2 2 2 2 2 2 2 2 2 2 2 9 2 2 2 2 5" xfId="10132"/>
    <cellStyle name="Normal 2 2 2 2 2 2 2 2 2 2 2 2 9 2 2 2 2 6" xfId="10133"/>
    <cellStyle name="Normal 2 2 2 2 2 2 2 2 2 2 2 2 9 2 2 2 3" xfId="10134"/>
    <cellStyle name="Normal 2 2 2 2 2 2 2 2 2 2 2 2 9 2 2 2 4" xfId="10135"/>
    <cellStyle name="Normal 2 2 2 2 2 2 2 2 2 2 2 2 9 2 2 2 5" xfId="10136"/>
    <cellStyle name="Normal 2 2 2 2 2 2 2 2 2 2 2 2 9 2 2 2 6" xfId="10137"/>
    <cellStyle name="Normal 2 2 2 2 2 2 2 2 2 2 2 2 9 2 2 2 7" xfId="10138"/>
    <cellStyle name="Normal 2 2 2 2 2 2 2 2 2 2 2 2 9 2 2 2 8" xfId="10139"/>
    <cellStyle name="Normal 2 2 2 2 2 2 2 2 2 2 2 2 9 2 2 2 8 2" xfId="10140"/>
    <cellStyle name="Normal 2 2 2 2 2 2 2 2 2 2 2 2 9 2 2 2 8 3" xfId="10141"/>
    <cellStyle name="Normal 2 2 2 2 2 2 2 2 2 2 2 2 9 2 2 2 8 4" xfId="10142"/>
    <cellStyle name="Normal 2 2 2 2 2 2 2 2 2 2 2 2 9 2 2 2 9" xfId="10143"/>
    <cellStyle name="Normal 2 2 2 2 2 2 2 2 2 2 2 2 9 2 2 3" xfId="10144"/>
    <cellStyle name="Normal 2 2 2 2 2 2 2 2 2 2 2 2 9 2 2 3 2" xfId="10145"/>
    <cellStyle name="Normal 2 2 2 2 2 2 2 2 2 2 2 2 9 2 2 3 2 2" xfId="10146"/>
    <cellStyle name="Normal 2 2 2 2 2 2 2 2 2 2 2 2 9 2 2 3 2 3" xfId="10147"/>
    <cellStyle name="Normal 2 2 2 2 2 2 2 2 2 2 2 2 9 2 2 3 2 4" xfId="10148"/>
    <cellStyle name="Normal 2 2 2 2 2 2 2 2 2 2 2 2 9 2 2 3 3" xfId="10149"/>
    <cellStyle name="Normal 2 2 2 2 2 2 2 2 2 2 2 2 9 2 2 3 4" xfId="10150"/>
    <cellStyle name="Normal 2 2 2 2 2 2 2 2 2 2 2 2 9 2 2 3 5" xfId="10151"/>
    <cellStyle name="Normal 2 2 2 2 2 2 2 2 2 2 2 2 9 2 2 3 6" xfId="10152"/>
    <cellStyle name="Normal 2 2 2 2 2 2 2 2 2 2 2 2 9 2 2 4" xfId="10153"/>
    <cellStyle name="Normal 2 2 2 2 2 2 2 2 2 2 2 2 9 2 2 5" xfId="10154"/>
    <cellStyle name="Normal 2 2 2 2 2 2 2 2 2 2 2 2 9 2 2 6" xfId="10155"/>
    <cellStyle name="Normal 2 2 2 2 2 2 2 2 2 2 2 2 9 2 2 7" xfId="10156"/>
    <cellStyle name="Normal 2 2 2 2 2 2 2 2 2 2 2 2 9 2 2 8" xfId="10157"/>
    <cellStyle name="Normal 2 2 2 2 2 2 2 2 2 2 2 2 9 2 2 8 2" xfId="10158"/>
    <cellStyle name="Normal 2 2 2 2 2 2 2 2 2 2 2 2 9 2 2 8 3" xfId="10159"/>
    <cellStyle name="Normal 2 2 2 2 2 2 2 2 2 2 2 2 9 2 2 8 4" xfId="10160"/>
    <cellStyle name="Normal 2 2 2 2 2 2 2 2 2 2 2 2 9 2 2 9" xfId="10161"/>
    <cellStyle name="Normal 2 2 2 2 2 2 2 2 2 2 2 2 9 2 3" xfId="10162"/>
    <cellStyle name="Normal 2 2 2 2 2 2 2 2 2 2 2 2 9 2 4" xfId="10163"/>
    <cellStyle name="Normal 2 2 2 2 2 2 2 2 2 2 2 2 9 2 5" xfId="10164"/>
    <cellStyle name="Normal 2 2 2 2 2 2 2 2 2 2 2 2 9 2 5 2" xfId="10165"/>
    <cellStyle name="Normal 2 2 2 2 2 2 2 2 2 2 2 2 9 2 5 2 2" xfId="10166"/>
    <cellStyle name="Normal 2 2 2 2 2 2 2 2 2 2 2 2 9 2 5 2 3" xfId="10167"/>
    <cellStyle name="Normal 2 2 2 2 2 2 2 2 2 2 2 2 9 2 5 2 4" xfId="10168"/>
    <cellStyle name="Normal 2 2 2 2 2 2 2 2 2 2 2 2 9 2 5 3" xfId="10169"/>
    <cellStyle name="Normal 2 2 2 2 2 2 2 2 2 2 2 2 9 2 5 4" xfId="10170"/>
    <cellStyle name="Normal 2 2 2 2 2 2 2 2 2 2 2 2 9 2 5 5" xfId="10171"/>
    <cellStyle name="Normal 2 2 2 2 2 2 2 2 2 2 2 2 9 2 5 6" xfId="10172"/>
    <cellStyle name="Normal 2 2 2 2 2 2 2 2 2 2 2 2 9 2 6" xfId="10173"/>
    <cellStyle name="Normal 2 2 2 2 2 2 2 2 2 2 2 2 9 2 7" xfId="10174"/>
    <cellStyle name="Normal 2 2 2 2 2 2 2 2 2 2 2 2 9 2 8" xfId="10175"/>
    <cellStyle name="Normal 2 2 2 2 2 2 2 2 2 2 2 2 9 2 9" xfId="10176"/>
    <cellStyle name="Normal 2 2 2 2 2 2 2 2 2 2 2 2 9 3" xfId="10177"/>
    <cellStyle name="Normal 2 2 2 2 2 2 2 2 2 2 2 2 9 4" xfId="10178"/>
    <cellStyle name="Normal 2 2 2 2 2 2 2 2 2 2 2 2 9 5" xfId="10179"/>
    <cellStyle name="Normal 2 2 2 2 2 2 2 2 2 2 2 2 9 5 10" xfId="10180"/>
    <cellStyle name="Normal 2 2 2 2 2 2 2 2 2 2 2 2 9 5 11" xfId="10181"/>
    <cellStyle name="Normal 2 2 2 2 2 2 2 2 2 2 2 2 9 5 2" xfId="10182"/>
    <cellStyle name="Normal 2 2 2 2 2 2 2 2 2 2 2 2 9 5 2 10" xfId="10183"/>
    <cellStyle name="Normal 2 2 2 2 2 2 2 2 2 2 2 2 9 5 2 11" xfId="10184"/>
    <cellStyle name="Normal 2 2 2 2 2 2 2 2 2 2 2 2 9 5 2 2" xfId="10185"/>
    <cellStyle name="Normal 2 2 2 2 2 2 2 2 2 2 2 2 9 5 2 2 2" xfId="10186"/>
    <cellStyle name="Normal 2 2 2 2 2 2 2 2 2 2 2 2 9 5 2 2 2 2" xfId="10187"/>
    <cellStyle name="Normal 2 2 2 2 2 2 2 2 2 2 2 2 9 5 2 2 2 3" xfId="10188"/>
    <cellStyle name="Normal 2 2 2 2 2 2 2 2 2 2 2 2 9 5 2 2 2 4" xfId="10189"/>
    <cellStyle name="Normal 2 2 2 2 2 2 2 2 2 2 2 2 9 5 2 2 3" xfId="10190"/>
    <cellStyle name="Normal 2 2 2 2 2 2 2 2 2 2 2 2 9 5 2 2 4" xfId="10191"/>
    <cellStyle name="Normal 2 2 2 2 2 2 2 2 2 2 2 2 9 5 2 2 5" xfId="10192"/>
    <cellStyle name="Normal 2 2 2 2 2 2 2 2 2 2 2 2 9 5 2 2 6" xfId="10193"/>
    <cellStyle name="Normal 2 2 2 2 2 2 2 2 2 2 2 2 9 5 2 3" xfId="10194"/>
    <cellStyle name="Normal 2 2 2 2 2 2 2 2 2 2 2 2 9 5 2 4" xfId="10195"/>
    <cellStyle name="Normal 2 2 2 2 2 2 2 2 2 2 2 2 9 5 2 5" xfId="10196"/>
    <cellStyle name="Normal 2 2 2 2 2 2 2 2 2 2 2 2 9 5 2 6" xfId="10197"/>
    <cellStyle name="Normal 2 2 2 2 2 2 2 2 2 2 2 2 9 5 2 7" xfId="10198"/>
    <cellStyle name="Normal 2 2 2 2 2 2 2 2 2 2 2 2 9 5 2 8" xfId="10199"/>
    <cellStyle name="Normal 2 2 2 2 2 2 2 2 2 2 2 2 9 5 2 8 2" xfId="10200"/>
    <cellStyle name="Normal 2 2 2 2 2 2 2 2 2 2 2 2 9 5 2 8 3" xfId="10201"/>
    <cellStyle name="Normal 2 2 2 2 2 2 2 2 2 2 2 2 9 5 2 8 4" xfId="10202"/>
    <cellStyle name="Normal 2 2 2 2 2 2 2 2 2 2 2 2 9 5 2 9" xfId="10203"/>
    <cellStyle name="Normal 2 2 2 2 2 2 2 2 2 2 2 2 9 5 3" xfId="10204"/>
    <cellStyle name="Normal 2 2 2 2 2 2 2 2 2 2 2 2 9 5 3 2" xfId="10205"/>
    <cellStyle name="Normal 2 2 2 2 2 2 2 2 2 2 2 2 9 5 3 2 2" xfId="10206"/>
    <cellStyle name="Normal 2 2 2 2 2 2 2 2 2 2 2 2 9 5 3 2 3" xfId="10207"/>
    <cellStyle name="Normal 2 2 2 2 2 2 2 2 2 2 2 2 9 5 3 2 4" xfId="10208"/>
    <cellStyle name="Normal 2 2 2 2 2 2 2 2 2 2 2 2 9 5 3 3" xfId="10209"/>
    <cellStyle name="Normal 2 2 2 2 2 2 2 2 2 2 2 2 9 5 3 4" xfId="10210"/>
    <cellStyle name="Normal 2 2 2 2 2 2 2 2 2 2 2 2 9 5 3 5" xfId="10211"/>
    <cellStyle name="Normal 2 2 2 2 2 2 2 2 2 2 2 2 9 5 3 6" xfId="10212"/>
    <cellStyle name="Normal 2 2 2 2 2 2 2 2 2 2 2 2 9 5 4" xfId="10213"/>
    <cellStyle name="Normal 2 2 2 2 2 2 2 2 2 2 2 2 9 5 5" xfId="10214"/>
    <cellStyle name="Normal 2 2 2 2 2 2 2 2 2 2 2 2 9 5 6" xfId="10215"/>
    <cellStyle name="Normal 2 2 2 2 2 2 2 2 2 2 2 2 9 5 7" xfId="10216"/>
    <cellStyle name="Normal 2 2 2 2 2 2 2 2 2 2 2 2 9 5 8" xfId="10217"/>
    <cellStyle name="Normal 2 2 2 2 2 2 2 2 2 2 2 2 9 5 8 2" xfId="10218"/>
    <cellStyle name="Normal 2 2 2 2 2 2 2 2 2 2 2 2 9 5 8 3" xfId="10219"/>
    <cellStyle name="Normal 2 2 2 2 2 2 2 2 2 2 2 2 9 5 8 4" xfId="10220"/>
    <cellStyle name="Normal 2 2 2 2 2 2 2 2 2 2 2 2 9 5 9" xfId="10221"/>
    <cellStyle name="Normal 2 2 2 2 2 2 2 2 2 2 2 2 9 6" xfId="10222"/>
    <cellStyle name="Normal 2 2 2 2 2 2 2 2 2 2 2 2 9 7" xfId="10223"/>
    <cellStyle name="Normal 2 2 2 2 2 2 2 2 2 2 2 2 9 7 2" xfId="10224"/>
    <cellStyle name="Normal 2 2 2 2 2 2 2 2 2 2 2 2 9 7 2 2" xfId="10225"/>
    <cellStyle name="Normal 2 2 2 2 2 2 2 2 2 2 2 2 9 7 2 3" xfId="10226"/>
    <cellStyle name="Normal 2 2 2 2 2 2 2 2 2 2 2 2 9 7 2 4" xfId="10227"/>
    <cellStyle name="Normal 2 2 2 2 2 2 2 2 2 2 2 2 9 7 3" xfId="10228"/>
    <cellStyle name="Normal 2 2 2 2 2 2 2 2 2 2 2 2 9 7 4" xfId="10229"/>
    <cellStyle name="Normal 2 2 2 2 2 2 2 2 2 2 2 2 9 7 5" xfId="10230"/>
    <cellStyle name="Normal 2 2 2 2 2 2 2 2 2 2 2 2 9 7 6" xfId="10231"/>
    <cellStyle name="Normal 2 2 2 2 2 2 2 2 2 2 2 2 9 8" xfId="10232"/>
    <cellStyle name="Normal 2 2 2 2 2 2 2 2 2 2 2 2 9 9" xfId="10233"/>
    <cellStyle name="Normal 2 2 2 2 2 2 2 2 2 2 2 2 90" xfId="10234"/>
    <cellStyle name="Normal 2 2 2 2 2 2 2 2 2 2 2 2 91" xfId="10235"/>
    <cellStyle name="Normal 2 2 2 2 2 2 2 2 2 2 2 20" xfId="10236"/>
    <cellStyle name="Normal 2 2 2 2 2 2 2 2 2 2 2 21" xfId="10237"/>
    <cellStyle name="Normal 2 2 2 2 2 2 2 2 2 2 2 21 2" xfId="10238"/>
    <cellStyle name="Normal 2 2 2 2 2 2 2 2 2 2 2 21 2 2" xfId="10239"/>
    <cellStyle name="Normal 2 2 2 2 2 2 2 2 2 2 2 21 2 3" xfId="10240"/>
    <cellStyle name="Normal 2 2 2 2 2 2 2 2 2 2 2 21 2 4" xfId="10241"/>
    <cellStyle name="Normal 2 2 2 2 2 2 2 2 2 2 2 21 3" xfId="10242"/>
    <cellStyle name="Normal 2 2 2 2 2 2 2 2 2 2 2 21 4" xfId="10243"/>
    <cellStyle name="Normal 2 2 2 2 2 2 2 2 2 2 2 21 5" xfId="10244"/>
    <cellStyle name="Normal 2 2 2 2 2 2 2 2 2 2 2 21 6" xfId="10245"/>
    <cellStyle name="Normal 2 2 2 2 2 2 2 2 2 2 2 22" xfId="10246"/>
    <cellStyle name="Normal 2 2 2 2 2 2 2 2 2 2 2 23" xfId="10247"/>
    <cellStyle name="Normal 2 2 2 2 2 2 2 2 2 2 2 24" xfId="10248"/>
    <cellStyle name="Normal 2 2 2 2 2 2 2 2 2 2 2 25" xfId="10249"/>
    <cellStyle name="Normal 2 2 2 2 2 2 2 2 2 2 2 26" xfId="10250"/>
    <cellStyle name="Normal 2 2 2 2 2 2 2 2 2 2 2 27" xfId="10251"/>
    <cellStyle name="Normal 2 2 2 2 2 2 2 2 2 2 2 27 2" xfId="10252"/>
    <cellStyle name="Normal 2 2 2 2 2 2 2 2 2 2 2 27 3" xfId="10253"/>
    <cellStyle name="Normal 2 2 2 2 2 2 2 2 2 2 2 27 4" xfId="10254"/>
    <cellStyle name="Normal 2 2 2 2 2 2 2 2 2 2 2 28" xfId="10255"/>
    <cellStyle name="Normal 2 2 2 2 2 2 2 2 2 2 2 29" xfId="10256"/>
    <cellStyle name="Normal 2 2 2 2 2 2 2 2 2 2 2 3" xfId="10257"/>
    <cellStyle name="Normal 2 2 2 2 2 2 2 2 2 2 2 30" xfId="10258"/>
    <cellStyle name="Normal 2 2 2 2 2 2 2 2 2 2 2 31" xfId="10259"/>
    <cellStyle name="Normal 2 2 2 2 2 2 2 2 2 2 2 32" xfId="10260"/>
    <cellStyle name="Normal 2 2 2 2 2 2 2 2 2 2 2 33" xfId="10261"/>
    <cellStyle name="Normal 2 2 2 2 2 2 2 2 2 2 2 34" xfId="10262"/>
    <cellStyle name="Normal 2 2 2 2 2 2 2 2 2 2 2 35" xfId="10263"/>
    <cellStyle name="Normal 2 2 2 2 2 2 2 2 2 2 2 36" xfId="10264"/>
    <cellStyle name="Normal 2 2 2 2 2 2 2 2 2 2 2 37" xfId="10265"/>
    <cellStyle name="Normal 2 2 2 2 2 2 2 2 2 2 2 38" xfId="10266"/>
    <cellStyle name="Normal 2 2 2 2 2 2 2 2 2 2 2 39" xfId="10267"/>
    <cellStyle name="Normal 2 2 2 2 2 2 2 2 2 2 2 4" xfId="10268"/>
    <cellStyle name="Normal 2 2 2 2 2 2 2 2 2 2 2 40" xfId="10269"/>
    <cellStyle name="Normal 2 2 2 2 2 2 2 2 2 2 2 41" xfId="10270"/>
    <cellStyle name="Normal 2 2 2 2 2 2 2 2 2 2 2 42" xfId="10271"/>
    <cellStyle name="Normal 2 2 2 2 2 2 2 2 2 2 2 42 2" xfId="10272"/>
    <cellStyle name="Normal 2 2 2 2 2 2 2 2 2 2 2 42 3" xfId="10273"/>
    <cellStyle name="Normal 2 2 2 2 2 2 2 2 2 2 2 42 4" xfId="10274"/>
    <cellStyle name="Normal 2 2 2 2 2 2 2 2 2 2 2 42 5" xfId="10275"/>
    <cellStyle name="Normal 2 2 2 2 2 2 2 2 2 2 2 42 6" xfId="10276"/>
    <cellStyle name="Normal 2 2 2 2 2 2 2 2 2 2 2 42 7" xfId="10277"/>
    <cellStyle name="Normal 2 2 2 2 2 2 2 2 2 2 2 43" xfId="10278"/>
    <cellStyle name="Normal 2 2 2 2 2 2 2 2 2 2 2 44" xfId="10279"/>
    <cellStyle name="Normal 2 2 2 2 2 2 2 2 2 2 2 45" xfId="10280"/>
    <cellStyle name="Normal 2 2 2 2 2 2 2 2 2 2 2 46" xfId="10281"/>
    <cellStyle name="Normal 2 2 2 2 2 2 2 2 2 2 2 47" xfId="10282"/>
    <cellStyle name="Normal 2 2 2 2 2 2 2 2 2 2 2 48" xfId="10283"/>
    <cellStyle name="Normal 2 2 2 2 2 2 2 2 2 2 2 49" xfId="10284"/>
    <cellStyle name="Normal 2 2 2 2 2 2 2 2 2 2 2 5" xfId="10285"/>
    <cellStyle name="Normal 2 2 2 2 2 2 2 2 2 2 2 50" xfId="10286"/>
    <cellStyle name="Normal 2 2 2 2 2 2 2 2 2 2 2 51" xfId="10287"/>
    <cellStyle name="Normal 2 2 2 2 2 2 2 2 2 2 2 52" xfId="10288"/>
    <cellStyle name="Normal 2 2 2 2 2 2 2 2 2 2 2 53" xfId="10289"/>
    <cellStyle name="Normal 2 2 2 2 2 2 2 2 2 2 2 54" xfId="10290"/>
    <cellStyle name="Normal 2 2 2 2 2 2 2 2 2 2 2 55" xfId="10291"/>
    <cellStyle name="Normal 2 2 2 2 2 2 2 2 2 2 2 56" xfId="10292"/>
    <cellStyle name="Normal 2 2 2 2 2 2 2 2 2 2 2 57" xfId="10293"/>
    <cellStyle name="Normal 2 2 2 2 2 2 2 2 2 2 2 58" xfId="10294"/>
    <cellStyle name="Normal 2 2 2 2 2 2 2 2 2 2 2 59" xfId="10295"/>
    <cellStyle name="Normal 2 2 2 2 2 2 2 2 2 2 2 6" xfId="10296"/>
    <cellStyle name="Normal 2 2 2 2 2 2 2 2 2 2 2 60" xfId="10297"/>
    <cellStyle name="Normal 2 2 2 2 2 2 2 2 2 2 2 61" xfId="10298"/>
    <cellStyle name="Normal 2 2 2 2 2 2 2 2 2 2 2 62" xfId="10299"/>
    <cellStyle name="Normal 2 2 2 2 2 2 2 2 2 2 2 63" xfId="10300"/>
    <cellStyle name="Normal 2 2 2 2 2 2 2 2 2 2 2 64" xfId="10301"/>
    <cellStyle name="Normal 2 2 2 2 2 2 2 2 2 2 2 65" xfId="10302"/>
    <cellStyle name="Normal 2 2 2 2 2 2 2 2 2 2 2 66" xfId="10303"/>
    <cellStyle name="Normal 2 2 2 2 2 2 2 2 2 2 2 67" xfId="10304"/>
    <cellStyle name="Normal 2 2 2 2 2 2 2 2 2 2 2 68" xfId="10305"/>
    <cellStyle name="Normal 2 2 2 2 2 2 2 2 2 2 2 69" xfId="10306"/>
    <cellStyle name="Normal 2 2 2 2 2 2 2 2 2 2 2 7" xfId="10307"/>
    <cellStyle name="Normal 2 2 2 2 2 2 2 2 2 2 2 70" xfId="10308"/>
    <cellStyle name="Normal 2 2 2 2 2 2 2 2 2 2 2 71" xfId="10309"/>
    <cellStyle name="Normal 2 2 2 2 2 2 2 2 2 2 2 72" xfId="10310"/>
    <cellStyle name="Normal 2 2 2 2 2 2 2 2 2 2 2 73" xfId="10311"/>
    <cellStyle name="Normal 2 2 2 2 2 2 2 2 2 2 2 74" xfId="10312"/>
    <cellStyle name="Normal 2 2 2 2 2 2 2 2 2 2 2 75" xfId="10313"/>
    <cellStyle name="Normal 2 2 2 2 2 2 2 2 2 2 2 76" xfId="10314"/>
    <cellStyle name="Normal 2 2 2 2 2 2 2 2 2 2 2 77" xfId="10315"/>
    <cellStyle name="Normal 2 2 2 2 2 2 2 2 2 2 2 78" xfId="10316"/>
    <cellStyle name="Normal 2 2 2 2 2 2 2 2 2 2 2 79" xfId="10317"/>
    <cellStyle name="Normal 2 2 2 2 2 2 2 2 2 2 2 8" xfId="10318"/>
    <cellStyle name="Normal 2 2 2 2 2 2 2 2 2 2 2 8 10" xfId="10319"/>
    <cellStyle name="Normal 2 2 2 2 2 2 2 2 2 2 2 8 11" xfId="10320"/>
    <cellStyle name="Normal 2 2 2 2 2 2 2 2 2 2 2 8 11 10" xfId="10321"/>
    <cellStyle name="Normal 2 2 2 2 2 2 2 2 2 2 2 8 11 11" xfId="10322"/>
    <cellStyle name="Normal 2 2 2 2 2 2 2 2 2 2 2 8 11 11 2" xfId="10323"/>
    <cellStyle name="Normal 2 2 2 2 2 2 2 2 2 2 2 8 11 11 3" xfId="10324"/>
    <cellStyle name="Normal 2 2 2 2 2 2 2 2 2 2 2 8 11 11 4" xfId="10325"/>
    <cellStyle name="Normal 2 2 2 2 2 2 2 2 2 2 2 8 11 12" xfId="10326"/>
    <cellStyle name="Normal 2 2 2 2 2 2 2 2 2 2 2 8 11 13" xfId="10327"/>
    <cellStyle name="Normal 2 2 2 2 2 2 2 2 2 2 2 8 11 14" xfId="10328"/>
    <cellStyle name="Normal 2 2 2 2 2 2 2 2 2 2 2 8 11 2" xfId="10329"/>
    <cellStyle name="Normal 2 2 2 2 2 2 2 2 2 2 2 8 11 2 10" xfId="10330"/>
    <cellStyle name="Normal 2 2 2 2 2 2 2 2 2 2 2 8 11 2 11" xfId="10331"/>
    <cellStyle name="Normal 2 2 2 2 2 2 2 2 2 2 2 8 11 2 2" xfId="10332"/>
    <cellStyle name="Normal 2 2 2 2 2 2 2 2 2 2 2 8 11 2 2 10" xfId="10333"/>
    <cellStyle name="Normal 2 2 2 2 2 2 2 2 2 2 2 8 11 2 2 11" xfId="10334"/>
    <cellStyle name="Normal 2 2 2 2 2 2 2 2 2 2 2 8 11 2 2 2" xfId="10335"/>
    <cellStyle name="Normal 2 2 2 2 2 2 2 2 2 2 2 8 11 2 2 2 2" xfId="10336"/>
    <cellStyle name="Normal 2 2 2 2 2 2 2 2 2 2 2 8 11 2 2 2 2 2" xfId="10337"/>
    <cellStyle name="Normal 2 2 2 2 2 2 2 2 2 2 2 8 11 2 2 2 2 3" xfId="10338"/>
    <cellStyle name="Normal 2 2 2 2 2 2 2 2 2 2 2 8 11 2 2 2 2 4" xfId="10339"/>
    <cellStyle name="Normal 2 2 2 2 2 2 2 2 2 2 2 8 11 2 2 2 3" xfId="10340"/>
    <cellStyle name="Normal 2 2 2 2 2 2 2 2 2 2 2 8 11 2 2 2 4" xfId="10341"/>
    <cellStyle name="Normal 2 2 2 2 2 2 2 2 2 2 2 8 11 2 2 2 5" xfId="10342"/>
    <cellStyle name="Normal 2 2 2 2 2 2 2 2 2 2 2 8 11 2 2 2 6" xfId="10343"/>
    <cellStyle name="Normal 2 2 2 2 2 2 2 2 2 2 2 8 11 2 2 3" xfId="10344"/>
    <cellStyle name="Normal 2 2 2 2 2 2 2 2 2 2 2 8 11 2 2 4" xfId="10345"/>
    <cellStyle name="Normal 2 2 2 2 2 2 2 2 2 2 2 8 11 2 2 5" xfId="10346"/>
    <cellStyle name="Normal 2 2 2 2 2 2 2 2 2 2 2 8 11 2 2 6" xfId="10347"/>
    <cellStyle name="Normal 2 2 2 2 2 2 2 2 2 2 2 8 11 2 2 7" xfId="10348"/>
    <cellStyle name="Normal 2 2 2 2 2 2 2 2 2 2 2 8 11 2 2 8" xfId="10349"/>
    <cellStyle name="Normal 2 2 2 2 2 2 2 2 2 2 2 8 11 2 2 8 2" xfId="10350"/>
    <cellStyle name="Normal 2 2 2 2 2 2 2 2 2 2 2 8 11 2 2 8 3" xfId="10351"/>
    <cellStyle name="Normal 2 2 2 2 2 2 2 2 2 2 2 8 11 2 2 8 4" xfId="10352"/>
    <cellStyle name="Normal 2 2 2 2 2 2 2 2 2 2 2 8 11 2 2 9" xfId="10353"/>
    <cellStyle name="Normal 2 2 2 2 2 2 2 2 2 2 2 8 11 2 3" xfId="10354"/>
    <cellStyle name="Normal 2 2 2 2 2 2 2 2 2 2 2 8 11 2 3 2" xfId="10355"/>
    <cellStyle name="Normal 2 2 2 2 2 2 2 2 2 2 2 8 11 2 3 2 2" xfId="10356"/>
    <cellStyle name="Normal 2 2 2 2 2 2 2 2 2 2 2 8 11 2 3 2 3" xfId="10357"/>
    <cellStyle name="Normal 2 2 2 2 2 2 2 2 2 2 2 8 11 2 3 2 4" xfId="10358"/>
    <cellStyle name="Normal 2 2 2 2 2 2 2 2 2 2 2 8 11 2 3 3" xfId="10359"/>
    <cellStyle name="Normal 2 2 2 2 2 2 2 2 2 2 2 8 11 2 3 4" xfId="10360"/>
    <cellStyle name="Normal 2 2 2 2 2 2 2 2 2 2 2 8 11 2 3 5" xfId="10361"/>
    <cellStyle name="Normal 2 2 2 2 2 2 2 2 2 2 2 8 11 2 3 6" xfId="10362"/>
    <cellStyle name="Normal 2 2 2 2 2 2 2 2 2 2 2 8 11 2 4" xfId="10363"/>
    <cellStyle name="Normal 2 2 2 2 2 2 2 2 2 2 2 8 11 2 5" xfId="10364"/>
    <cellStyle name="Normal 2 2 2 2 2 2 2 2 2 2 2 8 11 2 6" xfId="10365"/>
    <cellStyle name="Normal 2 2 2 2 2 2 2 2 2 2 2 8 11 2 7" xfId="10366"/>
    <cellStyle name="Normal 2 2 2 2 2 2 2 2 2 2 2 8 11 2 8" xfId="10367"/>
    <cellStyle name="Normal 2 2 2 2 2 2 2 2 2 2 2 8 11 2 8 2" xfId="10368"/>
    <cellStyle name="Normal 2 2 2 2 2 2 2 2 2 2 2 8 11 2 8 3" xfId="10369"/>
    <cellStyle name="Normal 2 2 2 2 2 2 2 2 2 2 2 8 11 2 8 4" xfId="10370"/>
    <cellStyle name="Normal 2 2 2 2 2 2 2 2 2 2 2 8 11 2 9" xfId="10371"/>
    <cellStyle name="Normal 2 2 2 2 2 2 2 2 2 2 2 8 11 3" xfId="10372"/>
    <cellStyle name="Normal 2 2 2 2 2 2 2 2 2 2 2 8 11 4" xfId="10373"/>
    <cellStyle name="Normal 2 2 2 2 2 2 2 2 2 2 2 8 11 5" xfId="10374"/>
    <cellStyle name="Normal 2 2 2 2 2 2 2 2 2 2 2 8 11 5 2" xfId="10375"/>
    <cellStyle name="Normal 2 2 2 2 2 2 2 2 2 2 2 8 11 5 2 2" xfId="10376"/>
    <cellStyle name="Normal 2 2 2 2 2 2 2 2 2 2 2 8 11 5 2 3" xfId="10377"/>
    <cellStyle name="Normal 2 2 2 2 2 2 2 2 2 2 2 8 11 5 2 4" xfId="10378"/>
    <cellStyle name="Normal 2 2 2 2 2 2 2 2 2 2 2 8 11 5 3" xfId="10379"/>
    <cellStyle name="Normal 2 2 2 2 2 2 2 2 2 2 2 8 11 5 4" xfId="10380"/>
    <cellStyle name="Normal 2 2 2 2 2 2 2 2 2 2 2 8 11 5 5" xfId="10381"/>
    <cellStyle name="Normal 2 2 2 2 2 2 2 2 2 2 2 8 11 5 6" xfId="10382"/>
    <cellStyle name="Normal 2 2 2 2 2 2 2 2 2 2 2 8 11 6" xfId="10383"/>
    <cellStyle name="Normal 2 2 2 2 2 2 2 2 2 2 2 8 11 7" xfId="10384"/>
    <cellStyle name="Normal 2 2 2 2 2 2 2 2 2 2 2 8 11 8" xfId="10385"/>
    <cellStyle name="Normal 2 2 2 2 2 2 2 2 2 2 2 8 11 9" xfId="10386"/>
    <cellStyle name="Normal 2 2 2 2 2 2 2 2 2 2 2 8 12" xfId="10387"/>
    <cellStyle name="Normal 2 2 2 2 2 2 2 2 2 2 2 8 13" xfId="10388"/>
    <cellStyle name="Normal 2 2 2 2 2 2 2 2 2 2 2 8 13 10" xfId="10389"/>
    <cellStyle name="Normal 2 2 2 2 2 2 2 2 2 2 2 8 13 11" xfId="10390"/>
    <cellStyle name="Normal 2 2 2 2 2 2 2 2 2 2 2 8 13 2" xfId="10391"/>
    <cellStyle name="Normal 2 2 2 2 2 2 2 2 2 2 2 8 13 2 10" xfId="10392"/>
    <cellStyle name="Normal 2 2 2 2 2 2 2 2 2 2 2 8 13 2 11" xfId="10393"/>
    <cellStyle name="Normal 2 2 2 2 2 2 2 2 2 2 2 8 13 2 2" xfId="10394"/>
    <cellStyle name="Normal 2 2 2 2 2 2 2 2 2 2 2 8 13 2 2 2" xfId="10395"/>
    <cellStyle name="Normal 2 2 2 2 2 2 2 2 2 2 2 8 13 2 2 2 2" xfId="10396"/>
    <cellStyle name="Normal 2 2 2 2 2 2 2 2 2 2 2 8 13 2 2 2 3" xfId="10397"/>
    <cellStyle name="Normal 2 2 2 2 2 2 2 2 2 2 2 8 13 2 2 2 4" xfId="10398"/>
    <cellStyle name="Normal 2 2 2 2 2 2 2 2 2 2 2 8 13 2 2 3" xfId="10399"/>
    <cellStyle name="Normal 2 2 2 2 2 2 2 2 2 2 2 8 13 2 2 4" xfId="10400"/>
    <cellStyle name="Normal 2 2 2 2 2 2 2 2 2 2 2 8 13 2 2 5" xfId="10401"/>
    <cellStyle name="Normal 2 2 2 2 2 2 2 2 2 2 2 8 13 2 2 6" xfId="10402"/>
    <cellStyle name="Normal 2 2 2 2 2 2 2 2 2 2 2 8 13 2 3" xfId="10403"/>
    <cellStyle name="Normal 2 2 2 2 2 2 2 2 2 2 2 8 13 2 4" xfId="10404"/>
    <cellStyle name="Normal 2 2 2 2 2 2 2 2 2 2 2 8 13 2 5" xfId="10405"/>
    <cellStyle name="Normal 2 2 2 2 2 2 2 2 2 2 2 8 13 2 6" xfId="10406"/>
    <cellStyle name="Normal 2 2 2 2 2 2 2 2 2 2 2 8 13 2 7" xfId="10407"/>
    <cellStyle name="Normal 2 2 2 2 2 2 2 2 2 2 2 8 13 2 8" xfId="10408"/>
    <cellStyle name="Normal 2 2 2 2 2 2 2 2 2 2 2 8 13 2 8 2" xfId="10409"/>
    <cellStyle name="Normal 2 2 2 2 2 2 2 2 2 2 2 8 13 2 8 3" xfId="10410"/>
    <cellStyle name="Normal 2 2 2 2 2 2 2 2 2 2 2 8 13 2 8 4" xfId="10411"/>
    <cellStyle name="Normal 2 2 2 2 2 2 2 2 2 2 2 8 13 2 9" xfId="10412"/>
    <cellStyle name="Normal 2 2 2 2 2 2 2 2 2 2 2 8 13 3" xfId="10413"/>
    <cellStyle name="Normal 2 2 2 2 2 2 2 2 2 2 2 8 13 3 2" xfId="10414"/>
    <cellStyle name="Normal 2 2 2 2 2 2 2 2 2 2 2 8 13 3 2 2" xfId="10415"/>
    <cellStyle name="Normal 2 2 2 2 2 2 2 2 2 2 2 8 13 3 2 3" xfId="10416"/>
    <cellStyle name="Normal 2 2 2 2 2 2 2 2 2 2 2 8 13 3 2 4" xfId="10417"/>
    <cellStyle name="Normal 2 2 2 2 2 2 2 2 2 2 2 8 13 3 3" xfId="10418"/>
    <cellStyle name="Normal 2 2 2 2 2 2 2 2 2 2 2 8 13 3 4" xfId="10419"/>
    <cellStyle name="Normal 2 2 2 2 2 2 2 2 2 2 2 8 13 3 5" xfId="10420"/>
    <cellStyle name="Normal 2 2 2 2 2 2 2 2 2 2 2 8 13 3 6" xfId="10421"/>
    <cellStyle name="Normal 2 2 2 2 2 2 2 2 2 2 2 8 13 4" xfId="10422"/>
    <cellStyle name="Normal 2 2 2 2 2 2 2 2 2 2 2 8 13 5" xfId="10423"/>
    <cellStyle name="Normal 2 2 2 2 2 2 2 2 2 2 2 8 13 6" xfId="10424"/>
    <cellStyle name="Normal 2 2 2 2 2 2 2 2 2 2 2 8 13 7" xfId="10425"/>
    <cellStyle name="Normal 2 2 2 2 2 2 2 2 2 2 2 8 13 8" xfId="10426"/>
    <cellStyle name="Normal 2 2 2 2 2 2 2 2 2 2 2 8 13 8 2" xfId="10427"/>
    <cellStyle name="Normal 2 2 2 2 2 2 2 2 2 2 2 8 13 8 3" xfId="10428"/>
    <cellStyle name="Normal 2 2 2 2 2 2 2 2 2 2 2 8 13 8 4" xfId="10429"/>
    <cellStyle name="Normal 2 2 2 2 2 2 2 2 2 2 2 8 13 9" xfId="10430"/>
    <cellStyle name="Normal 2 2 2 2 2 2 2 2 2 2 2 8 14" xfId="10431"/>
    <cellStyle name="Normal 2 2 2 2 2 2 2 2 2 2 2 8 15" xfId="10432"/>
    <cellStyle name="Normal 2 2 2 2 2 2 2 2 2 2 2 8 15 2" xfId="10433"/>
    <cellStyle name="Normal 2 2 2 2 2 2 2 2 2 2 2 8 15 2 2" xfId="10434"/>
    <cellStyle name="Normal 2 2 2 2 2 2 2 2 2 2 2 8 15 2 3" xfId="10435"/>
    <cellStyle name="Normal 2 2 2 2 2 2 2 2 2 2 2 8 15 2 4" xfId="10436"/>
    <cellStyle name="Normal 2 2 2 2 2 2 2 2 2 2 2 8 15 3" xfId="10437"/>
    <cellStyle name="Normal 2 2 2 2 2 2 2 2 2 2 2 8 15 4" xfId="10438"/>
    <cellStyle name="Normal 2 2 2 2 2 2 2 2 2 2 2 8 15 5" xfId="10439"/>
    <cellStyle name="Normal 2 2 2 2 2 2 2 2 2 2 2 8 15 6" xfId="10440"/>
    <cellStyle name="Normal 2 2 2 2 2 2 2 2 2 2 2 8 16" xfId="10441"/>
    <cellStyle name="Normal 2 2 2 2 2 2 2 2 2 2 2 8 17" xfId="10442"/>
    <cellStyle name="Normal 2 2 2 2 2 2 2 2 2 2 2 8 18" xfId="10443"/>
    <cellStyle name="Normal 2 2 2 2 2 2 2 2 2 2 2 8 19" xfId="10444"/>
    <cellStyle name="Normal 2 2 2 2 2 2 2 2 2 2 2 8 2" xfId="10445"/>
    <cellStyle name="Normal 2 2 2 2 2 2 2 2 2 2 2 8 2 10" xfId="10446"/>
    <cellStyle name="Normal 2 2 2 2 2 2 2 2 2 2 2 8 2 11" xfId="10447"/>
    <cellStyle name="Normal 2 2 2 2 2 2 2 2 2 2 2 8 2 12" xfId="10448"/>
    <cellStyle name="Normal 2 2 2 2 2 2 2 2 2 2 2 8 2 13" xfId="10449"/>
    <cellStyle name="Normal 2 2 2 2 2 2 2 2 2 2 2 8 2 13 2" xfId="10450"/>
    <cellStyle name="Normal 2 2 2 2 2 2 2 2 2 2 2 8 2 13 3" xfId="10451"/>
    <cellStyle name="Normal 2 2 2 2 2 2 2 2 2 2 2 8 2 13 4" xfId="10452"/>
    <cellStyle name="Normal 2 2 2 2 2 2 2 2 2 2 2 8 2 14" xfId="10453"/>
    <cellStyle name="Normal 2 2 2 2 2 2 2 2 2 2 2 8 2 15" xfId="10454"/>
    <cellStyle name="Normal 2 2 2 2 2 2 2 2 2 2 2 8 2 16" xfId="10455"/>
    <cellStyle name="Normal 2 2 2 2 2 2 2 2 2 2 2 8 2 2" xfId="10456"/>
    <cellStyle name="Normal 2 2 2 2 2 2 2 2 2 2 2 8 2 2 10" xfId="10457"/>
    <cellStyle name="Normal 2 2 2 2 2 2 2 2 2 2 2 8 2 2 11" xfId="10458"/>
    <cellStyle name="Normal 2 2 2 2 2 2 2 2 2 2 2 8 2 2 11 2" xfId="10459"/>
    <cellStyle name="Normal 2 2 2 2 2 2 2 2 2 2 2 8 2 2 11 3" xfId="10460"/>
    <cellStyle name="Normal 2 2 2 2 2 2 2 2 2 2 2 8 2 2 11 4" xfId="10461"/>
    <cellStyle name="Normal 2 2 2 2 2 2 2 2 2 2 2 8 2 2 12" xfId="10462"/>
    <cellStyle name="Normal 2 2 2 2 2 2 2 2 2 2 2 8 2 2 13" xfId="10463"/>
    <cellStyle name="Normal 2 2 2 2 2 2 2 2 2 2 2 8 2 2 14" xfId="10464"/>
    <cellStyle name="Normal 2 2 2 2 2 2 2 2 2 2 2 8 2 2 2" xfId="10465"/>
    <cellStyle name="Normal 2 2 2 2 2 2 2 2 2 2 2 8 2 2 2 10" xfId="10466"/>
    <cellStyle name="Normal 2 2 2 2 2 2 2 2 2 2 2 8 2 2 2 11" xfId="10467"/>
    <cellStyle name="Normal 2 2 2 2 2 2 2 2 2 2 2 8 2 2 2 2" xfId="10468"/>
    <cellStyle name="Normal 2 2 2 2 2 2 2 2 2 2 2 8 2 2 2 2 10" xfId="10469"/>
    <cellStyle name="Normal 2 2 2 2 2 2 2 2 2 2 2 8 2 2 2 2 11" xfId="10470"/>
    <cellStyle name="Normal 2 2 2 2 2 2 2 2 2 2 2 8 2 2 2 2 2" xfId="10471"/>
    <cellStyle name="Normal 2 2 2 2 2 2 2 2 2 2 2 8 2 2 2 2 2 2" xfId="10472"/>
    <cellStyle name="Normal 2 2 2 2 2 2 2 2 2 2 2 8 2 2 2 2 2 2 2" xfId="10473"/>
    <cellStyle name="Normal 2 2 2 2 2 2 2 2 2 2 2 8 2 2 2 2 2 2 3" xfId="10474"/>
    <cellStyle name="Normal 2 2 2 2 2 2 2 2 2 2 2 8 2 2 2 2 2 2 4" xfId="10475"/>
    <cellStyle name="Normal 2 2 2 2 2 2 2 2 2 2 2 8 2 2 2 2 2 3" xfId="10476"/>
    <cellStyle name="Normal 2 2 2 2 2 2 2 2 2 2 2 8 2 2 2 2 2 4" xfId="10477"/>
    <cellStyle name="Normal 2 2 2 2 2 2 2 2 2 2 2 8 2 2 2 2 2 5" xfId="10478"/>
    <cellStyle name="Normal 2 2 2 2 2 2 2 2 2 2 2 8 2 2 2 2 2 6" xfId="10479"/>
    <cellStyle name="Normal 2 2 2 2 2 2 2 2 2 2 2 8 2 2 2 2 3" xfId="10480"/>
    <cellStyle name="Normal 2 2 2 2 2 2 2 2 2 2 2 8 2 2 2 2 4" xfId="10481"/>
    <cellStyle name="Normal 2 2 2 2 2 2 2 2 2 2 2 8 2 2 2 2 5" xfId="10482"/>
    <cellStyle name="Normal 2 2 2 2 2 2 2 2 2 2 2 8 2 2 2 2 6" xfId="10483"/>
    <cellStyle name="Normal 2 2 2 2 2 2 2 2 2 2 2 8 2 2 2 2 7" xfId="10484"/>
    <cellStyle name="Normal 2 2 2 2 2 2 2 2 2 2 2 8 2 2 2 2 8" xfId="10485"/>
    <cellStyle name="Normal 2 2 2 2 2 2 2 2 2 2 2 8 2 2 2 2 8 2" xfId="10486"/>
    <cellStyle name="Normal 2 2 2 2 2 2 2 2 2 2 2 8 2 2 2 2 8 3" xfId="10487"/>
    <cellStyle name="Normal 2 2 2 2 2 2 2 2 2 2 2 8 2 2 2 2 8 4" xfId="10488"/>
    <cellStyle name="Normal 2 2 2 2 2 2 2 2 2 2 2 8 2 2 2 2 9" xfId="10489"/>
    <cellStyle name="Normal 2 2 2 2 2 2 2 2 2 2 2 8 2 2 2 3" xfId="10490"/>
    <cellStyle name="Normal 2 2 2 2 2 2 2 2 2 2 2 8 2 2 2 3 2" xfId="10491"/>
    <cellStyle name="Normal 2 2 2 2 2 2 2 2 2 2 2 8 2 2 2 3 2 2" xfId="10492"/>
    <cellStyle name="Normal 2 2 2 2 2 2 2 2 2 2 2 8 2 2 2 3 2 3" xfId="10493"/>
    <cellStyle name="Normal 2 2 2 2 2 2 2 2 2 2 2 8 2 2 2 3 2 4" xfId="10494"/>
    <cellStyle name="Normal 2 2 2 2 2 2 2 2 2 2 2 8 2 2 2 3 3" xfId="10495"/>
    <cellStyle name="Normal 2 2 2 2 2 2 2 2 2 2 2 8 2 2 2 3 4" xfId="10496"/>
    <cellStyle name="Normal 2 2 2 2 2 2 2 2 2 2 2 8 2 2 2 3 5" xfId="10497"/>
    <cellStyle name="Normal 2 2 2 2 2 2 2 2 2 2 2 8 2 2 2 3 6" xfId="10498"/>
    <cellStyle name="Normal 2 2 2 2 2 2 2 2 2 2 2 8 2 2 2 4" xfId="10499"/>
    <cellStyle name="Normal 2 2 2 2 2 2 2 2 2 2 2 8 2 2 2 5" xfId="10500"/>
    <cellStyle name="Normal 2 2 2 2 2 2 2 2 2 2 2 8 2 2 2 6" xfId="10501"/>
    <cellStyle name="Normal 2 2 2 2 2 2 2 2 2 2 2 8 2 2 2 7" xfId="10502"/>
    <cellStyle name="Normal 2 2 2 2 2 2 2 2 2 2 2 8 2 2 2 8" xfId="10503"/>
    <cellStyle name="Normal 2 2 2 2 2 2 2 2 2 2 2 8 2 2 2 8 2" xfId="10504"/>
    <cellStyle name="Normal 2 2 2 2 2 2 2 2 2 2 2 8 2 2 2 8 3" xfId="10505"/>
    <cellStyle name="Normal 2 2 2 2 2 2 2 2 2 2 2 8 2 2 2 8 4" xfId="10506"/>
    <cellStyle name="Normal 2 2 2 2 2 2 2 2 2 2 2 8 2 2 2 9" xfId="10507"/>
    <cellStyle name="Normal 2 2 2 2 2 2 2 2 2 2 2 8 2 2 3" xfId="10508"/>
    <cellStyle name="Normal 2 2 2 2 2 2 2 2 2 2 2 8 2 2 4" xfId="10509"/>
    <cellStyle name="Normal 2 2 2 2 2 2 2 2 2 2 2 8 2 2 5" xfId="10510"/>
    <cellStyle name="Normal 2 2 2 2 2 2 2 2 2 2 2 8 2 2 5 2" xfId="10511"/>
    <cellStyle name="Normal 2 2 2 2 2 2 2 2 2 2 2 8 2 2 5 2 2" xfId="10512"/>
    <cellStyle name="Normal 2 2 2 2 2 2 2 2 2 2 2 8 2 2 5 2 3" xfId="10513"/>
    <cellStyle name="Normal 2 2 2 2 2 2 2 2 2 2 2 8 2 2 5 2 4" xfId="10514"/>
    <cellStyle name="Normal 2 2 2 2 2 2 2 2 2 2 2 8 2 2 5 3" xfId="10515"/>
    <cellStyle name="Normal 2 2 2 2 2 2 2 2 2 2 2 8 2 2 5 4" xfId="10516"/>
    <cellStyle name="Normal 2 2 2 2 2 2 2 2 2 2 2 8 2 2 5 5" xfId="10517"/>
    <cellStyle name="Normal 2 2 2 2 2 2 2 2 2 2 2 8 2 2 5 6" xfId="10518"/>
    <cellStyle name="Normal 2 2 2 2 2 2 2 2 2 2 2 8 2 2 6" xfId="10519"/>
    <cellStyle name="Normal 2 2 2 2 2 2 2 2 2 2 2 8 2 2 7" xfId="10520"/>
    <cellStyle name="Normal 2 2 2 2 2 2 2 2 2 2 2 8 2 2 8" xfId="10521"/>
    <cellStyle name="Normal 2 2 2 2 2 2 2 2 2 2 2 8 2 2 9" xfId="10522"/>
    <cellStyle name="Normal 2 2 2 2 2 2 2 2 2 2 2 8 2 3" xfId="10523"/>
    <cellStyle name="Normal 2 2 2 2 2 2 2 2 2 2 2 8 2 4" xfId="10524"/>
    <cellStyle name="Normal 2 2 2 2 2 2 2 2 2 2 2 8 2 5" xfId="10525"/>
    <cellStyle name="Normal 2 2 2 2 2 2 2 2 2 2 2 8 2 5 10" xfId="10526"/>
    <cellStyle name="Normal 2 2 2 2 2 2 2 2 2 2 2 8 2 5 11" xfId="10527"/>
    <cellStyle name="Normal 2 2 2 2 2 2 2 2 2 2 2 8 2 5 2" xfId="10528"/>
    <cellStyle name="Normal 2 2 2 2 2 2 2 2 2 2 2 8 2 5 2 10" xfId="10529"/>
    <cellStyle name="Normal 2 2 2 2 2 2 2 2 2 2 2 8 2 5 2 11" xfId="10530"/>
    <cellStyle name="Normal 2 2 2 2 2 2 2 2 2 2 2 8 2 5 2 2" xfId="10531"/>
    <cellStyle name="Normal 2 2 2 2 2 2 2 2 2 2 2 8 2 5 2 2 2" xfId="10532"/>
    <cellStyle name="Normal 2 2 2 2 2 2 2 2 2 2 2 8 2 5 2 2 2 2" xfId="10533"/>
    <cellStyle name="Normal 2 2 2 2 2 2 2 2 2 2 2 8 2 5 2 2 2 3" xfId="10534"/>
    <cellStyle name="Normal 2 2 2 2 2 2 2 2 2 2 2 8 2 5 2 2 2 4" xfId="10535"/>
    <cellStyle name="Normal 2 2 2 2 2 2 2 2 2 2 2 8 2 5 2 2 3" xfId="10536"/>
    <cellStyle name="Normal 2 2 2 2 2 2 2 2 2 2 2 8 2 5 2 2 4" xfId="10537"/>
    <cellStyle name="Normal 2 2 2 2 2 2 2 2 2 2 2 8 2 5 2 2 5" xfId="10538"/>
    <cellStyle name="Normal 2 2 2 2 2 2 2 2 2 2 2 8 2 5 2 2 6" xfId="10539"/>
    <cellStyle name="Normal 2 2 2 2 2 2 2 2 2 2 2 8 2 5 2 3" xfId="10540"/>
    <cellStyle name="Normal 2 2 2 2 2 2 2 2 2 2 2 8 2 5 2 4" xfId="10541"/>
    <cellStyle name="Normal 2 2 2 2 2 2 2 2 2 2 2 8 2 5 2 5" xfId="10542"/>
    <cellStyle name="Normal 2 2 2 2 2 2 2 2 2 2 2 8 2 5 2 6" xfId="10543"/>
    <cellStyle name="Normal 2 2 2 2 2 2 2 2 2 2 2 8 2 5 2 7" xfId="10544"/>
    <cellStyle name="Normal 2 2 2 2 2 2 2 2 2 2 2 8 2 5 2 8" xfId="10545"/>
    <cellStyle name="Normal 2 2 2 2 2 2 2 2 2 2 2 8 2 5 2 8 2" xfId="10546"/>
    <cellStyle name="Normal 2 2 2 2 2 2 2 2 2 2 2 8 2 5 2 8 3" xfId="10547"/>
    <cellStyle name="Normal 2 2 2 2 2 2 2 2 2 2 2 8 2 5 2 8 4" xfId="10548"/>
    <cellStyle name="Normal 2 2 2 2 2 2 2 2 2 2 2 8 2 5 2 9" xfId="10549"/>
    <cellStyle name="Normal 2 2 2 2 2 2 2 2 2 2 2 8 2 5 3" xfId="10550"/>
    <cellStyle name="Normal 2 2 2 2 2 2 2 2 2 2 2 8 2 5 3 2" xfId="10551"/>
    <cellStyle name="Normal 2 2 2 2 2 2 2 2 2 2 2 8 2 5 3 2 2" xfId="10552"/>
    <cellStyle name="Normal 2 2 2 2 2 2 2 2 2 2 2 8 2 5 3 2 3" xfId="10553"/>
    <cellStyle name="Normal 2 2 2 2 2 2 2 2 2 2 2 8 2 5 3 2 4" xfId="10554"/>
    <cellStyle name="Normal 2 2 2 2 2 2 2 2 2 2 2 8 2 5 3 3" xfId="10555"/>
    <cellStyle name="Normal 2 2 2 2 2 2 2 2 2 2 2 8 2 5 3 4" xfId="10556"/>
    <cellStyle name="Normal 2 2 2 2 2 2 2 2 2 2 2 8 2 5 3 5" xfId="10557"/>
    <cellStyle name="Normal 2 2 2 2 2 2 2 2 2 2 2 8 2 5 3 6" xfId="10558"/>
    <cellStyle name="Normal 2 2 2 2 2 2 2 2 2 2 2 8 2 5 4" xfId="10559"/>
    <cellStyle name="Normal 2 2 2 2 2 2 2 2 2 2 2 8 2 5 5" xfId="10560"/>
    <cellStyle name="Normal 2 2 2 2 2 2 2 2 2 2 2 8 2 5 6" xfId="10561"/>
    <cellStyle name="Normal 2 2 2 2 2 2 2 2 2 2 2 8 2 5 7" xfId="10562"/>
    <cellStyle name="Normal 2 2 2 2 2 2 2 2 2 2 2 8 2 5 8" xfId="10563"/>
    <cellStyle name="Normal 2 2 2 2 2 2 2 2 2 2 2 8 2 5 8 2" xfId="10564"/>
    <cellStyle name="Normal 2 2 2 2 2 2 2 2 2 2 2 8 2 5 8 3" xfId="10565"/>
    <cellStyle name="Normal 2 2 2 2 2 2 2 2 2 2 2 8 2 5 8 4" xfId="10566"/>
    <cellStyle name="Normal 2 2 2 2 2 2 2 2 2 2 2 8 2 5 9" xfId="10567"/>
    <cellStyle name="Normal 2 2 2 2 2 2 2 2 2 2 2 8 2 6" xfId="10568"/>
    <cellStyle name="Normal 2 2 2 2 2 2 2 2 2 2 2 8 2 7" xfId="10569"/>
    <cellStyle name="Normal 2 2 2 2 2 2 2 2 2 2 2 8 2 7 2" xfId="10570"/>
    <cellStyle name="Normal 2 2 2 2 2 2 2 2 2 2 2 8 2 7 2 2" xfId="10571"/>
    <cellStyle name="Normal 2 2 2 2 2 2 2 2 2 2 2 8 2 7 2 3" xfId="10572"/>
    <cellStyle name="Normal 2 2 2 2 2 2 2 2 2 2 2 8 2 7 2 4" xfId="10573"/>
    <cellStyle name="Normal 2 2 2 2 2 2 2 2 2 2 2 8 2 7 3" xfId="10574"/>
    <cellStyle name="Normal 2 2 2 2 2 2 2 2 2 2 2 8 2 7 4" xfId="10575"/>
    <cellStyle name="Normal 2 2 2 2 2 2 2 2 2 2 2 8 2 7 5" xfId="10576"/>
    <cellStyle name="Normal 2 2 2 2 2 2 2 2 2 2 2 8 2 7 6" xfId="10577"/>
    <cellStyle name="Normal 2 2 2 2 2 2 2 2 2 2 2 8 2 8" xfId="10578"/>
    <cellStyle name="Normal 2 2 2 2 2 2 2 2 2 2 2 8 2 9" xfId="10579"/>
    <cellStyle name="Normal 2 2 2 2 2 2 2 2 2 2 2 8 20" xfId="10580"/>
    <cellStyle name="Normal 2 2 2 2 2 2 2 2 2 2 2 8 21" xfId="10581"/>
    <cellStyle name="Normal 2 2 2 2 2 2 2 2 2 2 2 8 21 2" xfId="10582"/>
    <cellStyle name="Normal 2 2 2 2 2 2 2 2 2 2 2 8 21 3" xfId="10583"/>
    <cellStyle name="Normal 2 2 2 2 2 2 2 2 2 2 2 8 21 4" xfId="10584"/>
    <cellStyle name="Normal 2 2 2 2 2 2 2 2 2 2 2 8 22" xfId="10585"/>
    <cellStyle name="Normal 2 2 2 2 2 2 2 2 2 2 2 8 23" xfId="10586"/>
    <cellStyle name="Normal 2 2 2 2 2 2 2 2 2 2 2 8 24" xfId="10587"/>
    <cellStyle name="Normal 2 2 2 2 2 2 2 2 2 2 2 8 3" xfId="10588"/>
    <cellStyle name="Normal 2 2 2 2 2 2 2 2 2 2 2 8 4" xfId="10589"/>
    <cellStyle name="Normal 2 2 2 2 2 2 2 2 2 2 2 8 5" xfId="10590"/>
    <cellStyle name="Normal 2 2 2 2 2 2 2 2 2 2 2 8 6" xfId="10591"/>
    <cellStyle name="Normal 2 2 2 2 2 2 2 2 2 2 2 8 7" xfId="10592"/>
    <cellStyle name="Normal 2 2 2 2 2 2 2 2 2 2 2 8 8" xfId="10593"/>
    <cellStyle name="Normal 2 2 2 2 2 2 2 2 2 2 2 8 9" xfId="10594"/>
    <cellStyle name="Normal 2 2 2 2 2 2 2 2 2 2 2 80" xfId="10595"/>
    <cellStyle name="Normal 2 2 2 2 2 2 2 2 2 2 2 81" xfId="10596"/>
    <cellStyle name="Normal 2 2 2 2 2 2 2 2 2 2 2 82" xfId="10597"/>
    <cellStyle name="Normal 2 2 2 2 2 2 2 2 2 2 2 83" xfId="10598"/>
    <cellStyle name="Normal 2 2 2 2 2 2 2 2 2 2 2 84" xfId="10599"/>
    <cellStyle name="Normal 2 2 2 2 2 2 2 2 2 2 2 85" xfId="10600"/>
    <cellStyle name="Normal 2 2 2 2 2 2 2 2 2 2 2 86" xfId="10601"/>
    <cellStyle name="Normal 2 2 2 2 2 2 2 2 2 2 2 87" xfId="10602"/>
    <cellStyle name="Normal 2 2 2 2 2 2 2 2 2 2 2 88" xfId="10603"/>
    <cellStyle name="Normal 2 2 2 2 2 2 2 2 2 2 2 89" xfId="10604"/>
    <cellStyle name="Normal 2 2 2 2 2 2 2 2 2 2 2 89 2" xfId="10605"/>
    <cellStyle name="Normal 2 2 2 2 2 2 2 2 2 2 2 89 3" xfId="10606"/>
    <cellStyle name="Normal 2 2 2 2 2 2 2 2 2 2 2 89 4" xfId="10607"/>
    <cellStyle name="Normal 2 2 2 2 2 2 2 2 2 2 2 9" xfId="10608"/>
    <cellStyle name="Normal 2 2 2 2 2 2 2 2 2 2 2 9 10" xfId="10609"/>
    <cellStyle name="Normal 2 2 2 2 2 2 2 2 2 2 2 9 11" xfId="10610"/>
    <cellStyle name="Normal 2 2 2 2 2 2 2 2 2 2 2 9 12" xfId="10611"/>
    <cellStyle name="Normal 2 2 2 2 2 2 2 2 2 2 2 9 13" xfId="10612"/>
    <cellStyle name="Normal 2 2 2 2 2 2 2 2 2 2 2 9 13 2" xfId="10613"/>
    <cellStyle name="Normal 2 2 2 2 2 2 2 2 2 2 2 9 13 3" xfId="10614"/>
    <cellStyle name="Normal 2 2 2 2 2 2 2 2 2 2 2 9 13 4" xfId="10615"/>
    <cellStyle name="Normal 2 2 2 2 2 2 2 2 2 2 2 9 14" xfId="10616"/>
    <cellStyle name="Normal 2 2 2 2 2 2 2 2 2 2 2 9 15" xfId="10617"/>
    <cellStyle name="Normal 2 2 2 2 2 2 2 2 2 2 2 9 16" xfId="10618"/>
    <cellStyle name="Normal 2 2 2 2 2 2 2 2 2 2 2 9 2" xfId="10619"/>
    <cellStyle name="Normal 2 2 2 2 2 2 2 2 2 2 2 9 2 10" xfId="10620"/>
    <cellStyle name="Normal 2 2 2 2 2 2 2 2 2 2 2 9 2 11" xfId="10621"/>
    <cellStyle name="Normal 2 2 2 2 2 2 2 2 2 2 2 9 2 11 2" xfId="10622"/>
    <cellStyle name="Normal 2 2 2 2 2 2 2 2 2 2 2 9 2 11 3" xfId="10623"/>
    <cellStyle name="Normal 2 2 2 2 2 2 2 2 2 2 2 9 2 11 4" xfId="10624"/>
    <cellStyle name="Normal 2 2 2 2 2 2 2 2 2 2 2 9 2 12" xfId="10625"/>
    <cellStyle name="Normal 2 2 2 2 2 2 2 2 2 2 2 9 2 13" xfId="10626"/>
    <cellStyle name="Normal 2 2 2 2 2 2 2 2 2 2 2 9 2 14" xfId="10627"/>
    <cellStyle name="Normal 2 2 2 2 2 2 2 2 2 2 2 9 2 2" xfId="10628"/>
    <cellStyle name="Normal 2 2 2 2 2 2 2 2 2 2 2 9 2 2 10" xfId="10629"/>
    <cellStyle name="Normal 2 2 2 2 2 2 2 2 2 2 2 9 2 2 11" xfId="10630"/>
    <cellStyle name="Normal 2 2 2 2 2 2 2 2 2 2 2 9 2 2 2" xfId="10631"/>
    <cellStyle name="Normal 2 2 2 2 2 2 2 2 2 2 2 9 2 2 2 10" xfId="10632"/>
    <cellStyle name="Normal 2 2 2 2 2 2 2 2 2 2 2 9 2 2 2 11" xfId="10633"/>
    <cellStyle name="Normal 2 2 2 2 2 2 2 2 2 2 2 9 2 2 2 2" xfId="10634"/>
    <cellStyle name="Normal 2 2 2 2 2 2 2 2 2 2 2 9 2 2 2 2 2" xfId="10635"/>
    <cellStyle name="Normal 2 2 2 2 2 2 2 2 2 2 2 9 2 2 2 2 2 2" xfId="10636"/>
    <cellStyle name="Normal 2 2 2 2 2 2 2 2 2 2 2 9 2 2 2 2 2 3" xfId="10637"/>
    <cellStyle name="Normal 2 2 2 2 2 2 2 2 2 2 2 9 2 2 2 2 2 4" xfId="10638"/>
    <cellStyle name="Normal 2 2 2 2 2 2 2 2 2 2 2 9 2 2 2 2 3" xfId="10639"/>
    <cellStyle name="Normal 2 2 2 2 2 2 2 2 2 2 2 9 2 2 2 2 4" xfId="10640"/>
    <cellStyle name="Normal 2 2 2 2 2 2 2 2 2 2 2 9 2 2 2 2 5" xfId="10641"/>
    <cellStyle name="Normal 2 2 2 2 2 2 2 2 2 2 2 9 2 2 2 2 6" xfId="10642"/>
    <cellStyle name="Normal 2 2 2 2 2 2 2 2 2 2 2 9 2 2 2 3" xfId="10643"/>
    <cellStyle name="Normal 2 2 2 2 2 2 2 2 2 2 2 9 2 2 2 4" xfId="10644"/>
    <cellStyle name="Normal 2 2 2 2 2 2 2 2 2 2 2 9 2 2 2 5" xfId="10645"/>
    <cellStyle name="Normal 2 2 2 2 2 2 2 2 2 2 2 9 2 2 2 6" xfId="10646"/>
    <cellStyle name="Normal 2 2 2 2 2 2 2 2 2 2 2 9 2 2 2 7" xfId="10647"/>
    <cellStyle name="Normal 2 2 2 2 2 2 2 2 2 2 2 9 2 2 2 8" xfId="10648"/>
    <cellStyle name="Normal 2 2 2 2 2 2 2 2 2 2 2 9 2 2 2 8 2" xfId="10649"/>
    <cellStyle name="Normal 2 2 2 2 2 2 2 2 2 2 2 9 2 2 2 8 3" xfId="10650"/>
    <cellStyle name="Normal 2 2 2 2 2 2 2 2 2 2 2 9 2 2 2 8 4" xfId="10651"/>
    <cellStyle name="Normal 2 2 2 2 2 2 2 2 2 2 2 9 2 2 2 9" xfId="10652"/>
    <cellStyle name="Normal 2 2 2 2 2 2 2 2 2 2 2 9 2 2 3" xfId="10653"/>
    <cellStyle name="Normal 2 2 2 2 2 2 2 2 2 2 2 9 2 2 3 2" xfId="10654"/>
    <cellStyle name="Normal 2 2 2 2 2 2 2 2 2 2 2 9 2 2 3 2 2" xfId="10655"/>
    <cellStyle name="Normal 2 2 2 2 2 2 2 2 2 2 2 9 2 2 3 2 3" xfId="10656"/>
    <cellStyle name="Normal 2 2 2 2 2 2 2 2 2 2 2 9 2 2 3 2 4" xfId="10657"/>
    <cellStyle name="Normal 2 2 2 2 2 2 2 2 2 2 2 9 2 2 3 3" xfId="10658"/>
    <cellStyle name="Normal 2 2 2 2 2 2 2 2 2 2 2 9 2 2 3 4" xfId="10659"/>
    <cellStyle name="Normal 2 2 2 2 2 2 2 2 2 2 2 9 2 2 3 5" xfId="10660"/>
    <cellStyle name="Normal 2 2 2 2 2 2 2 2 2 2 2 9 2 2 3 6" xfId="10661"/>
    <cellStyle name="Normal 2 2 2 2 2 2 2 2 2 2 2 9 2 2 4" xfId="10662"/>
    <cellStyle name="Normal 2 2 2 2 2 2 2 2 2 2 2 9 2 2 5" xfId="10663"/>
    <cellStyle name="Normal 2 2 2 2 2 2 2 2 2 2 2 9 2 2 6" xfId="10664"/>
    <cellStyle name="Normal 2 2 2 2 2 2 2 2 2 2 2 9 2 2 7" xfId="10665"/>
    <cellStyle name="Normal 2 2 2 2 2 2 2 2 2 2 2 9 2 2 8" xfId="10666"/>
    <cellStyle name="Normal 2 2 2 2 2 2 2 2 2 2 2 9 2 2 8 2" xfId="10667"/>
    <cellStyle name="Normal 2 2 2 2 2 2 2 2 2 2 2 9 2 2 8 3" xfId="10668"/>
    <cellStyle name="Normal 2 2 2 2 2 2 2 2 2 2 2 9 2 2 8 4" xfId="10669"/>
    <cellStyle name="Normal 2 2 2 2 2 2 2 2 2 2 2 9 2 2 9" xfId="10670"/>
    <cellStyle name="Normal 2 2 2 2 2 2 2 2 2 2 2 9 2 3" xfId="10671"/>
    <cellStyle name="Normal 2 2 2 2 2 2 2 2 2 2 2 9 2 4" xfId="10672"/>
    <cellStyle name="Normal 2 2 2 2 2 2 2 2 2 2 2 9 2 5" xfId="10673"/>
    <cellStyle name="Normal 2 2 2 2 2 2 2 2 2 2 2 9 2 5 2" xfId="10674"/>
    <cellStyle name="Normal 2 2 2 2 2 2 2 2 2 2 2 9 2 5 2 2" xfId="10675"/>
    <cellStyle name="Normal 2 2 2 2 2 2 2 2 2 2 2 9 2 5 2 3" xfId="10676"/>
    <cellStyle name="Normal 2 2 2 2 2 2 2 2 2 2 2 9 2 5 2 4" xfId="10677"/>
    <cellStyle name="Normal 2 2 2 2 2 2 2 2 2 2 2 9 2 5 3" xfId="10678"/>
    <cellStyle name="Normal 2 2 2 2 2 2 2 2 2 2 2 9 2 5 4" xfId="10679"/>
    <cellStyle name="Normal 2 2 2 2 2 2 2 2 2 2 2 9 2 5 5" xfId="10680"/>
    <cellStyle name="Normal 2 2 2 2 2 2 2 2 2 2 2 9 2 5 6" xfId="10681"/>
    <cellStyle name="Normal 2 2 2 2 2 2 2 2 2 2 2 9 2 6" xfId="10682"/>
    <cellStyle name="Normal 2 2 2 2 2 2 2 2 2 2 2 9 2 7" xfId="10683"/>
    <cellStyle name="Normal 2 2 2 2 2 2 2 2 2 2 2 9 2 8" xfId="10684"/>
    <cellStyle name="Normal 2 2 2 2 2 2 2 2 2 2 2 9 2 9" xfId="10685"/>
    <cellStyle name="Normal 2 2 2 2 2 2 2 2 2 2 2 9 3" xfId="10686"/>
    <cellStyle name="Normal 2 2 2 2 2 2 2 2 2 2 2 9 4" xfId="10687"/>
    <cellStyle name="Normal 2 2 2 2 2 2 2 2 2 2 2 9 5" xfId="10688"/>
    <cellStyle name="Normal 2 2 2 2 2 2 2 2 2 2 2 9 5 10" xfId="10689"/>
    <cellStyle name="Normal 2 2 2 2 2 2 2 2 2 2 2 9 5 11" xfId="10690"/>
    <cellStyle name="Normal 2 2 2 2 2 2 2 2 2 2 2 9 5 2" xfId="10691"/>
    <cellStyle name="Normal 2 2 2 2 2 2 2 2 2 2 2 9 5 2 10" xfId="10692"/>
    <cellStyle name="Normal 2 2 2 2 2 2 2 2 2 2 2 9 5 2 11" xfId="10693"/>
    <cellStyle name="Normal 2 2 2 2 2 2 2 2 2 2 2 9 5 2 2" xfId="10694"/>
    <cellStyle name="Normal 2 2 2 2 2 2 2 2 2 2 2 9 5 2 2 2" xfId="10695"/>
    <cellStyle name="Normal 2 2 2 2 2 2 2 2 2 2 2 9 5 2 2 2 2" xfId="10696"/>
    <cellStyle name="Normal 2 2 2 2 2 2 2 2 2 2 2 9 5 2 2 2 3" xfId="10697"/>
    <cellStyle name="Normal 2 2 2 2 2 2 2 2 2 2 2 9 5 2 2 2 4" xfId="10698"/>
    <cellStyle name="Normal 2 2 2 2 2 2 2 2 2 2 2 9 5 2 2 3" xfId="10699"/>
    <cellStyle name="Normal 2 2 2 2 2 2 2 2 2 2 2 9 5 2 2 4" xfId="10700"/>
    <cellStyle name="Normal 2 2 2 2 2 2 2 2 2 2 2 9 5 2 2 5" xfId="10701"/>
    <cellStyle name="Normal 2 2 2 2 2 2 2 2 2 2 2 9 5 2 2 6" xfId="10702"/>
    <cellStyle name="Normal 2 2 2 2 2 2 2 2 2 2 2 9 5 2 3" xfId="10703"/>
    <cellStyle name="Normal 2 2 2 2 2 2 2 2 2 2 2 9 5 2 4" xfId="10704"/>
    <cellStyle name="Normal 2 2 2 2 2 2 2 2 2 2 2 9 5 2 5" xfId="10705"/>
    <cellStyle name="Normal 2 2 2 2 2 2 2 2 2 2 2 9 5 2 6" xfId="10706"/>
    <cellStyle name="Normal 2 2 2 2 2 2 2 2 2 2 2 9 5 2 7" xfId="10707"/>
    <cellStyle name="Normal 2 2 2 2 2 2 2 2 2 2 2 9 5 2 8" xfId="10708"/>
    <cellStyle name="Normal 2 2 2 2 2 2 2 2 2 2 2 9 5 2 8 2" xfId="10709"/>
    <cellStyle name="Normal 2 2 2 2 2 2 2 2 2 2 2 9 5 2 8 3" xfId="10710"/>
    <cellStyle name="Normal 2 2 2 2 2 2 2 2 2 2 2 9 5 2 8 4" xfId="10711"/>
    <cellStyle name="Normal 2 2 2 2 2 2 2 2 2 2 2 9 5 2 9" xfId="10712"/>
    <cellStyle name="Normal 2 2 2 2 2 2 2 2 2 2 2 9 5 3" xfId="10713"/>
    <cellStyle name="Normal 2 2 2 2 2 2 2 2 2 2 2 9 5 3 2" xfId="10714"/>
    <cellStyle name="Normal 2 2 2 2 2 2 2 2 2 2 2 9 5 3 2 2" xfId="10715"/>
    <cellStyle name="Normal 2 2 2 2 2 2 2 2 2 2 2 9 5 3 2 3" xfId="10716"/>
    <cellStyle name="Normal 2 2 2 2 2 2 2 2 2 2 2 9 5 3 2 4" xfId="10717"/>
    <cellStyle name="Normal 2 2 2 2 2 2 2 2 2 2 2 9 5 3 3" xfId="10718"/>
    <cellStyle name="Normal 2 2 2 2 2 2 2 2 2 2 2 9 5 3 4" xfId="10719"/>
    <cellStyle name="Normal 2 2 2 2 2 2 2 2 2 2 2 9 5 3 5" xfId="10720"/>
    <cellStyle name="Normal 2 2 2 2 2 2 2 2 2 2 2 9 5 3 6" xfId="10721"/>
    <cellStyle name="Normal 2 2 2 2 2 2 2 2 2 2 2 9 5 4" xfId="10722"/>
    <cellStyle name="Normal 2 2 2 2 2 2 2 2 2 2 2 9 5 5" xfId="10723"/>
    <cellStyle name="Normal 2 2 2 2 2 2 2 2 2 2 2 9 5 6" xfId="10724"/>
    <cellStyle name="Normal 2 2 2 2 2 2 2 2 2 2 2 9 5 7" xfId="10725"/>
    <cellStyle name="Normal 2 2 2 2 2 2 2 2 2 2 2 9 5 8" xfId="10726"/>
    <cellStyle name="Normal 2 2 2 2 2 2 2 2 2 2 2 9 5 8 2" xfId="10727"/>
    <cellStyle name="Normal 2 2 2 2 2 2 2 2 2 2 2 9 5 8 3" xfId="10728"/>
    <cellStyle name="Normal 2 2 2 2 2 2 2 2 2 2 2 9 5 8 4" xfId="10729"/>
    <cellStyle name="Normal 2 2 2 2 2 2 2 2 2 2 2 9 5 9" xfId="10730"/>
    <cellStyle name="Normal 2 2 2 2 2 2 2 2 2 2 2 9 6" xfId="10731"/>
    <cellStyle name="Normal 2 2 2 2 2 2 2 2 2 2 2 9 7" xfId="10732"/>
    <cellStyle name="Normal 2 2 2 2 2 2 2 2 2 2 2 9 7 2" xfId="10733"/>
    <cellStyle name="Normal 2 2 2 2 2 2 2 2 2 2 2 9 7 2 2" xfId="10734"/>
    <cellStyle name="Normal 2 2 2 2 2 2 2 2 2 2 2 9 7 2 3" xfId="10735"/>
    <cellStyle name="Normal 2 2 2 2 2 2 2 2 2 2 2 9 7 2 4" xfId="10736"/>
    <cellStyle name="Normal 2 2 2 2 2 2 2 2 2 2 2 9 7 3" xfId="10737"/>
    <cellStyle name="Normal 2 2 2 2 2 2 2 2 2 2 2 9 7 4" xfId="10738"/>
    <cellStyle name="Normal 2 2 2 2 2 2 2 2 2 2 2 9 7 5" xfId="10739"/>
    <cellStyle name="Normal 2 2 2 2 2 2 2 2 2 2 2 9 7 6" xfId="10740"/>
    <cellStyle name="Normal 2 2 2 2 2 2 2 2 2 2 2 9 8" xfId="10741"/>
    <cellStyle name="Normal 2 2 2 2 2 2 2 2 2 2 2 9 9" xfId="10742"/>
    <cellStyle name="Normal 2 2 2 2 2 2 2 2 2 2 2 90" xfId="10743"/>
    <cellStyle name="Normal 2 2 2 2 2 2 2 2 2 2 2 91" xfId="10744"/>
    <cellStyle name="Normal 2 2 2 2 2 2 2 2 2 2 20" xfId="10745"/>
    <cellStyle name="Normal 2 2 2 2 2 2 2 2 2 2 21" xfId="10746"/>
    <cellStyle name="Normal 2 2 2 2 2 2 2 2 2 2 21 10" xfId="10747"/>
    <cellStyle name="Normal 2 2 2 2 2 2 2 2 2 2 21 11" xfId="10748"/>
    <cellStyle name="Normal 2 2 2 2 2 2 2 2 2 2 21 11 2" xfId="10749"/>
    <cellStyle name="Normal 2 2 2 2 2 2 2 2 2 2 21 11 3" xfId="10750"/>
    <cellStyle name="Normal 2 2 2 2 2 2 2 2 2 2 21 11 4" xfId="10751"/>
    <cellStyle name="Normal 2 2 2 2 2 2 2 2 2 2 21 12" xfId="10752"/>
    <cellStyle name="Normal 2 2 2 2 2 2 2 2 2 2 21 13" xfId="10753"/>
    <cellStyle name="Normal 2 2 2 2 2 2 2 2 2 2 21 14" xfId="10754"/>
    <cellStyle name="Normal 2 2 2 2 2 2 2 2 2 2 21 2" xfId="10755"/>
    <cellStyle name="Normal 2 2 2 2 2 2 2 2 2 2 21 2 10" xfId="10756"/>
    <cellStyle name="Normal 2 2 2 2 2 2 2 2 2 2 21 2 11" xfId="10757"/>
    <cellStyle name="Normal 2 2 2 2 2 2 2 2 2 2 21 2 2" xfId="10758"/>
    <cellStyle name="Normal 2 2 2 2 2 2 2 2 2 2 21 2 2 10" xfId="10759"/>
    <cellStyle name="Normal 2 2 2 2 2 2 2 2 2 2 21 2 2 11" xfId="10760"/>
    <cellStyle name="Normal 2 2 2 2 2 2 2 2 2 2 21 2 2 2" xfId="10761"/>
    <cellStyle name="Normal 2 2 2 2 2 2 2 2 2 2 21 2 2 2 2" xfId="10762"/>
    <cellStyle name="Normal 2 2 2 2 2 2 2 2 2 2 21 2 2 2 2 2" xfId="10763"/>
    <cellStyle name="Normal 2 2 2 2 2 2 2 2 2 2 21 2 2 2 2 3" xfId="10764"/>
    <cellStyle name="Normal 2 2 2 2 2 2 2 2 2 2 21 2 2 2 2 4" xfId="10765"/>
    <cellStyle name="Normal 2 2 2 2 2 2 2 2 2 2 21 2 2 2 3" xfId="10766"/>
    <cellStyle name="Normal 2 2 2 2 2 2 2 2 2 2 21 2 2 2 4" xfId="10767"/>
    <cellStyle name="Normal 2 2 2 2 2 2 2 2 2 2 21 2 2 2 5" xfId="10768"/>
    <cellStyle name="Normal 2 2 2 2 2 2 2 2 2 2 21 2 2 2 6" xfId="10769"/>
    <cellStyle name="Normal 2 2 2 2 2 2 2 2 2 2 21 2 2 3" xfId="10770"/>
    <cellStyle name="Normal 2 2 2 2 2 2 2 2 2 2 21 2 2 4" xfId="10771"/>
    <cellStyle name="Normal 2 2 2 2 2 2 2 2 2 2 21 2 2 5" xfId="10772"/>
    <cellStyle name="Normal 2 2 2 2 2 2 2 2 2 2 21 2 2 6" xfId="10773"/>
    <cellStyle name="Normal 2 2 2 2 2 2 2 2 2 2 21 2 2 7" xfId="10774"/>
    <cellStyle name="Normal 2 2 2 2 2 2 2 2 2 2 21 2 2 8" xfId="10775"/>
    <cellStyle name="Normal 2 2 2 2 2 2 2 2 2 2 21 2 2 8 2" xfId="10776"/>
    <cellStyle name="Normal 2 2 2 2 2 2 2 2 2 2 21 2 2 8 3" xfId="10777"/>
    <cellStyle name="Normal 2 2 2 2 2 2 2 2 2 2 21 2 2 8 4" xfId="10778"/>
    <cellStyle name="Normal 2 2 2 2 2 2 2 2 2 2 21 2 2 9" xfId="10779"/>
    <cellStyle name="Normal 2 2 2 2 2 2 2 2 2 2 21 2 3" xfId="10780"/>
    <cellStyle name="Normal 2 2 2 2 2 2 2 2 2 2 21 2 3 2" xfId="10781"/>
    <cellStyle name="Normal 2 2 2 2 2 2 2 2 2 2 21 2 3 2 2" xfId="10782"/>
    <cellStyle name="Normal 2 2 2 2 2 2 2 2 2 2 21 2 3 2 3" xfId="10783"/>
    <cellStyle name="Normal 2 2 2 2 2 2 2 2 2 2 21 2 3 2 4" xfId="10784"/>
    <cellStyle name="Normal 2 2 2 2 2 2 2 2 2 2 21 2 3 3" xfId="10785"/>
    <cellStyle name="Normal 2 2 2 2 2 2 2 2 2 2 21 2 3 4" xfId="10786"/>
    <cellStyle name="Normal 2 2 2 2 2 2 2 2 2 2 21 2 3 5" xfId="10787"/>
    <cellStyle name="Normal 2 2 2 2 2 2 2 2 2 2 21 2 3 6" xfId="10788"/>
    <cellStyle name="Normal 2 2 2 2 2 2 2 2 2 2 21 2 4" xfId="10789"/>
    <cellStyle name="Normal 2 2 2 2 2 2 2 2 2 2 21 2 5" xfId="10790"/>
    <cellStyle name="Normal 2 2 2 2 2 2 2 2 2 2 21 2 6" xfId="10791"/>
    <cellStyle name="Normal 2 2 2 2 2 2 2 2 2 2 21 2 7" xfId="10792"/>
    <cellStyle name="Normal 2 2 2 2 2 2 2 2 2 2 21 2 8" xfId="10793"/>
    <cellStyle name="Normal 2 2 2 2 2 2 2 2 2 2 21 2 8 2" xfId="10794"/>
    <cellStyle name="Normal 2 2 2 2 2 2 2 2 2 2 21 2 8 3" xfId="10795"/>
    <cellStyle name="Normal 2 2 2 2 2 2 2 2 2 2 21 2 8 4" xfId="10796"/>
    <cellStyle name="Normal 2 2 2 2 2 2 2 2 2 2 21 2 9" xfId="10797"/>
    <cellStyle name="Normal 2 2 2 2 2 2 2 2 2 2 21 3" xfId="10798"/>
    <cellStyle name="Normal 2 2 2 2 2 2 2 2 2 2 21 4" xfId="10799"/>
    <cellStyle name="Normal 2 2 2 2 2 2 2 2 2 2 21 5" xfId="10800"/>
    <cellStyle name="Normal 2 2 2 2 2 2 2 2 2 2 21 5 2" xfId="10801"/>
    <cellStyle name="Normal 2 2 2 2 2 2 2 2 2 2 21 5 2 2" xfId="10802"/>
    <cellStyle name="Normal 2 2 2 2 2 2 2 2 2 2 21 5 2 3" xfId="10803"/>
    <cellStyle name="Normal 2 2 2 2 2 2 2 2 2 2 21 5 2 4" xfId="10804"/>
    <cellStyle name="Normal 2 2 2 2 2 2 2 2 2 2 21 5 3" xfId="10805"/>
    <cellStyle name="Normal 2 2 2 2 2 2 2 2 2 2 21 5 4" xfId="10806"/>
    <cellStyle name="Normal 2 2 2 2 2 2 2 2 2 2 21 5 5" xfId="10807"/>
    <cellStyle name="Normal 2 2 2 2 2 2 2 2 2 2 21 5 6" xfId="10808"/>
    <cellStyle name="Normal 2 2 2 2 2 2 2 2 2 2 21 6" xfId="10809"/>
    <cellStyle name="Normal 2 2 2 2 2 2 2 2 2 2 21 7" xfId="10810"/>
    <cellStyle name="Normal 2 2 2 2 2 2 2 2 2 2 21 8" xfId="10811"/>
    <cellStyle name="Normal 2 2 2 2 2 2 2 2 2 2 21 9" xfId="10812"/>
    <cellStyle name="Normal 2 2 2 2 2 2 2 2 2 2 22" xfId="10813"/>
    <cellStyle name="Normal 2 2 2 2 2 2 2 2 2 2 23" xfId="10814"/>
    <cellStyle name="Normal 2 2 2 2 2 2 2 2 2 2 23 10" xfId="10815"/>
    <cellStyle name="Normal 2 2 2 2 2 2 2 2 2 2 23 11" xfId="10816"/>
    <cellStyle name="Normal 2 2 2 2 2 2 2 2 2 2 23 2" xfId="10817"/>
    <cellStyle name="Normal 2 2 2 2 2 2 2 2 2 2 23 2 10" xfId="10818"/>
    <cellStyle name="Normal 2 2 2 2 2 2 2 2 2 2 23 2 11" xfId="10819"/>
    <cellStyle name="Normal 2 2 2 2 2 2 2 2 2 2 23 2 2" xfId="10820"/>
    <cellStyle name="Normal 2 2 2 2 2 2 2 2 2 2 23 2 2 2" xfId="10821"/>
    <cellStyle name="Normal 2 2 2 2 2 2 2 2 2 2 23 2 2 2 2" xfId="10822"/>
    <cellStyle name="Normal 2 2 2 2 2 2 2 2 2 2 23 2 2 2 3" xfId="10823"/>
    <cellStyle name="Normal 2 2 2 2 2 2 2 2 2 2 23 2 2 2 4" xfId="10824"/>
    <cellStyle name="Normal 2 2 2 2 2 2 2 2 2 2 23 2 2 3" xfId="10825"/>
    <cellStyle name="Normal 2 2 2 2 2 2 2 2 2 2 23 2 2 4" xfId="10826"/>
    <cellStyle name="Normal 2 2 2 2 2 2 2 2 2 2 23 2 2 5" xfId="10827"/>
    <cellStyle name="Normal 2 2 2 2 2 2 2 2 2 2 23 2 2 6" xfId="10828"/>
    <cellStyle name="Normal 2 2 2 2 2 2 2 2 2 2 23 2 3" xfId="10829"/>
    <cellStyle name="Normal 2 2 2 2 2 2 2 2 2 2 23 2 4" xfId="10830"/>
    <cellStyle name="Normal 2 2 2 2 2 2 2 2 2 2 23 2 5" xfId="10831"/>
    <cellStyle name="Normal 2 2 2 2 2 2 2 2 2 2 23 2 6" xfId="10832"/>
    <cellStyle name="Normal 2 2 2 2 2 2 2 2 2 2 23 2 7" xfId="10833"/>
    <cellStyle name="Normal 2 2 2 2 2 2 2 2 2 2 23 2 8" xfId="10834"/>
    <cellStyle name="Normal 2 2 2 2 2 2 2 2 2 2 23 2 8 2" xfId="10835"/>
    <cellStyle name="Normal 2 2 2 2 2 2 2 2 2 2 23 2 8 3" xfId="10836"/>
    <cellStyle name="Normal 2 2 2 2 2 2 2 2 2 2 23 2 8 4" xfId="10837"/>
    <cellStyle name="Normal 2 2 2 2 2 2 2 2 2 2 23 2 9" xfId="10838"/>
    <cellStyle name="Normal 2 2 2 2 2 2 2 2 2 2 23 3" xfId="10839"/>
    <cellStyle name="Normal 2 2 2 2 2 2 2 2 2 2 23 3 2" xfId="10840"/>
    <cellStyle name="Normal 2 2 2 2 2 2 2 2 2 2 23 3 2 2" xfId="10841"/>
    <cellStyle name="Normal 2 2 2 2 2 2 2 2 2 2 23 3 2 3" xfId="10842"/>
    <cellStyle name="Normal 2 2 2 2 2 2 2 2 2 2 23 3 2 4" xfId="10843"/>
    <cellStyle name="Normal 2 2 2 2 2 2 2 2 2 2 23 3 3" xfId="10844"/>
    <cellStyle name="Normal 2 2 2 2 2 2 2 2 2 2 23 3 4" xfId="10845"/>
    <cellStyle name="Normal 2 2 2 2 2 2 2 2 2 2 23 3 5" xfId="10846"/>
    <cellStyle name="Normal 2 2 2 2 2 2 2 2 2 2 23 3 6" xfId="10847"/>
    <cellStyle name="Normal 2 2 2 2 2 2 2 2 2 2 23 4" xfId="10848"/>
    <cellStyle name="Normal 2 2 2 2 2 2 2 2 2 2 23 5" xfId="10849"/>
    <cellStyle name="Normal 2 2 2 2 2 2 2 2 2 2 23 6" xfId="10850"/>
    <cellStyle name="Normal 2 2 2 2 2 2 2 2 2 2 23 7" xfId="10851"/>
    <cellStyle name="Normal 2 2 2 2 2 2 2 2 2 2 23 8" xfId="10852"/>
    <cellStyle name="Normal 2 2 2 2 2 2 2 2 2 2 23 8 2" xfId="10853"/>
    <cellStyle name="Normal 2 2 2 2 2 2 2 2 2 2 23 8 3" xfId="10854"/>
    <cellStyle name="Normal 2 2 2 2 2 2 2 2 2 2 23 8 4" xfId="10855"/>
    <cellStyle name="Normal 2 2 2 2 2 2 2 2 2 2 23 9" xfId="10856"/>
    <cellStyle name="Normal 2 2 2 2 2 2 2 2 2 2 24" xfId="10857"/>
    <cellStyle name="Normal 2 2 2 2 2 2 2 2 2 2 25" xfId="10858"/>
    <cellStyle name="Normal 2 2 2 2 2 2 2 2 2 2 25 2" xfId="10859"/>
    <cellStyle name="Normal 2 2 2 2 2 2 2 2 2 2 25 2 2" xfId="10860"/>
    <cellStyle name="Normal 2 2 2 2 2 2 2 2 2 2 25 2 3" xfId="10861"/>
    <cellStyle name="Normal 2 2 2 2 2 2 2 2 2 2 25 2 4" xfId="10862"/>
    <cellStyle name="Normal 2 2 2 2 2 2 2 2 2 2 25 3" xfId="10863"/>
    <cellStyle name="Normal 2 2 2 2 2 2 2 2 2 2 25 4" xfId="10864"/>
    <cellStyle name="Normal 2 2 2 2 2 2 2 2 2 2 25 5" xfId="10865"/>
    <cellStyle name="Normal 2 2 2 2 2 2 2 2 2 2 25 6" xfId="10866"/>
    <cellStyle name="Normal 2 2 2 2 2 2 2 2 2 2 26" xfId="10867"/>
    <cellStyle name="Normal 2 2 2 2 2 2 2 2 2 2 27" xfId="10868"/>
    <cellStyle name="Normal 2 2 2 2 2 2 2 2 2 2 28" xfId="10869"/>
    <cellStyle name="Normal 2 2 2 2 2 2 2 2 2 2 29" xfId="10870"/>
    <cellStyle name="Normal 2 2 2 2 2 2 2 2 2 2 3" xfId="10871"/>
    <cellStyle name="Normal 2 2 2 2 2 2 2 2 2 2 30" xfId="10872"/>
    <cellStyle name="Normal 2 2 2 2 2 2 2 2 2 2 31" xfId="10873"/>
    <cellStyle name="Normal 2 2 2 2 2 2 2 2 2 2 31 2" xfId="10874"/>
    <cellStyle name="Normal 2 2 2 2 2 2 2 2 2 2 31 3" xfId="10875"/>
    <cellStyle name="Normal 2 2 2 2 2 2 2 2 2 2 31 4" xfId="10876"/>
    <cellStyle name="Normal 2 2 2 2 2 2 2 2 2 2 32" xfId="10877"/>
    <cellStyle name="Normal 2 2 2 2 2 2 2 2 2 2 33" xfId="10878"/>
    <cellStyle name="Normal 2 2 2 2 2 2 2 2 2 2 34" xfId="10879"/>
    <cellStyle name="Normal 2 2 2 2 2 2 2 2 2 2 35" xfId="10880"/>
    <cellStyle name="Normal 2 2 2 2 2 2 2 2 2 2 36" xfId="10881"/>
    <cellStyle name="Normal 2 2 2 2 2 2 2 2 2 2 37" xfId="10882"/>
    <cellStyle name="Normal 2 2 2 2 2 2 2 2 2 2 38" xfId="10883"/>
    <cellStyle name="Normal 2 2 2 2 2 2 2 2 2 2 39" xfId="10884"/>
    <cellStyle name="Normal 2 2 2 2 2 2 2 2 2 2 4" xfId="10885"/>
    <cellStyle name="Normal 2 2 2 2 2 2 2 2 2 2 40" xfId="10886"/>
    <cellStyle name="Normal 2 2 2 2 2 2 2 2 2 2 41" xfId="10887"/>
    <cellStyle name="Normal 2 2 2 2 2 2 2 2 2 2 42" xfId="10888"/>
    <cellStyle name="Normal 2 2 2 2 2 2 2 2 2 2 43" xfId="10889"/>
    <cellStyle name="Normal 2 2 2 2 2 2 2 2 2 2 44" xfId="10890"/>
    <cellStyle name="Normal 2 2 2 2 2 2 2 2 2 2 45" xfId="10891"/>
    <cellStyle name="Normal 2 2 2 2 2 2 2 2 2 2 46" xfId="10892"/>
    <cellStyle name="Normal 2 2 2 2 2 2 2 2 2 2 46 2" xfId="10893"/>
    <cellStyle name="Normal 2 2 2 2 2 2 2 2 2 2 46 3" xfId="10894"/>
    <cellStyle name="Normal 2 2 2 2 2 2 2 2 2 2 46 4" xfId="10895"/>
    <cellStyle name="Normal 2 2 2 2 2 2 2 2 2 2 46 5" xfId="10896"/>
    <cellStyle name="Normal 2 2 2 2 2 2 2 2 2 2 46 6" xfId="10897"/>
    <cellStyle name="Normal 2 2 2 2 2 2 2 2 2 2 46 7" xfId="10898"/>
    <cellStyle name="Normal 2 2 2 2 2 2 2 2 2 2 47" xfId="10899"/>
    <cellStyle name="Normal 2 2 2 2 2 2 2 2 2 2 48" xfId="10900"/>
    <cellStyle name="Normal 2 2 2 2 2 2 2 2 2 2 49" xfId="10901"/>
    <cellStyle name="Normal 2 2 2 2 2 2 2 2 2 2 5" xfId="10902"/>
    <cellStyle name="Normal 2 2 2 2 2 2 2 2 2 2 50" xfId="10903"/>
    <cellStyle name="Normal 2 2 2 2 2 2 2 2 2 2 51" xfId="10904"/>
    <cellStyle name="Normal 2 2 2 2 2 2 2 2 2 2 52" xfId="10905"/>
    <cellStyle name="Normal 2 2 2 2 2 2 2 2 2 2 53" xfId="10906"/>
    <cellStyle name="Normal 2 2 2 2 2 2 2 2 2 2 54" xfId="10907"/>
    <cellStyle name="Normal 2 2 2 2 2 2 2 2 2 2 55" xfId="10908"/>
    <cellStyle name="Normal 2 2 2 2 2 2 2 2 2 2 56" xfId="10909"/>
    <cellStyle name="Normal 2 2 2 2 2 2 2 2 2 2 57" xfId="10910"/>
    <cellStyle name="Normal 2 2 2 2 2 2 2 2 2 2 58" xfId="10911"/>
    <cellStyle name="Normal 2 2 2 2 2 2 2 2 2 2 59" xfId="10912"/>
    <cellStyle name="Normal 2 2 2 2 2 2 2 2 2 2 6" xfId="10913"/>
    <cellStyle name="Normal 2 2 2 2 2 2 2 2 2 2 60" xfId="10914"/>
    <cellStyle name="Normal 2 2 2 2 2 2 2 2 2 2 61" xfId="10915"/>
    <cellStyle name="Normal 2 2 2 2 2 2 2 2 2 2 62" xfId="10916"/>
    <cellStyle name="Normal 2 2 2 2 2 2 2 2 2 2 63" xfId="10917"/>
    <cellStyle name="Normal 2 2 2 2 2 2 2 2 2 2 64" xfId="10918"/>
    <cellStyle name="Normal 2 2 2 2 2 2 2 2 2 2 65" xfId="10919"/>
    <cellStyle name="Normal 2 2 2 2 2 2 2 2 2 2 66" xfId="10920"/>
    <cellStyle name="Normal 2 2 2 2 2 2 2 2 2 2 67" xfId="10921"/>
    <cellStyle name="Normal 2 2 2 2 2 2 2 2 2 2 68" xfId="10922"/>
    <cellStyle name="Normal 2 2 2 2 2 2 2 2 2 2 69" xfId="10923"/>
    <cellStyle name="Normal 2 2 2 2 2 2 2 2 2 2 7" xfId="10924"/>
    <cellStyle name="Normal 2 2 2 2 2 2 2 2 2 2 70" xfId="10925"/>
    <cellStyle name="Normal 2 2 2 2 2 2 2 2 2 2 71" xfId="10926"/>
    <cellStyle name="Normal 2 2 2 2 2 2 2 2 2 2 72" xfId="10927"/>
    <cellStyle name="Normal 2 2 2 2 2 2 2 2 2 2 73" xfId="10928"/>
    <cellStyle name="Normal 2 2 2 2 2 2 2 2 2 2 74" xfId="10929"/>
    <cellStyle name="Normal 2 2 2 2 2 2 2 2 2 2 75" xfId="10930"/>
    <cellStyle name="Normal 2 2 2 2 2 2 2 2 2 2 76" xfId="10931"/>
    <cellStyle name="Normal 2 2 2 2 2 2 2 2 2 2 77" xfId="10932"/>
    <cellStyle name="Normal 2 2 2 2 2 2 2 2 2 2 78" xfId="10933"/>
    <cellStyle name="Normal 2 2 2 2 2 2 2 2 2 2 79" xfId="10934"/>
    <cellStyle name="Normal 2 2 2 2 2 2 2 2 2 2 8" xfId="10935"/>
    <cellStyle name="Normal 2 2 2 2 2 2 2 2 2 2 80" xfId="10936"/>
    <cellStyle name="Normal 2 2 2 2 2 2 2 2 2 2 81" xfId="10937"/>
    <cellStyle name="Normal 2 2 2 2 2 2 2 2 2 2 82" xfId="10938"/>
    <cellStyle name="Normal 2 2 2 2 2 2 2 2 2 2 83" xfId="10939"/>
    <cellStyle name="Normal 2 2 2 2 2 2 2 2 2 2 84" xfId="10940"/>
    <cellStyle name="Normal 2 2 2 2 2 2 2 2 2 2 85" xfId="10941"/>
    <cellStyle name="Normal 2 2 2 2 2 2 2 2 2 2 86" xfId="10942"/>
    <cellStyle name="Normal 2 2 2 2 2 2 2 2 2 2 87" xfId="10943"/>
    <cellStyle name="Normal 2 2 2 2 2 2 2 2 2 2 88" xfId="10944"/>
    <cellStyle name="Normal 2 2 2 2 2 2 2 2 2 2 89" xfId="10945"/>
    <cellStyle name="Normal 2 2 2 2 2 2 2 2 2 2 9" xfId="10946"/>
    <cellStyle name="Normal 2 2 2 2 2 2 2 2 2 2 90" xfId="10947"/>
    <cellStyle name="Normal 2 2 2 2 2 2 2 2 2 2 91" xfId="10948"/>
    <cellStyle name="Normal 2 2 2 2 2 2 2 2 2 2 92" xfId="10949"/>
    <cellStyle name="Normal 2 2 2 2 2 2 2 2 2 2 93" xfId="10950"/>
    <cellStyle name="Normal 2 2 2 2 2 2 2 2 2 2 93 2" xfId="10951"/>
    <cellStyle name="Normal 2 2 2 2 2 2 2 2 2 2 93 3" xfId="10952"/>
    <cellStyle name="Normal 2 2 2 2 2 2 2 2 2 2 93 4" xfId="10953"/>
    <cellStyle name="Normal 2 2 2 2 2 2 2 2 2 2 94" xfId="10954"/>
    <cellStyle name="Normal 2 2 2 2 2 2 2 2 2 2 95" xfId="10955"/>
    <cellStyle name="Normal 2 2 2 2 2 2 2 2 2 20" xfId="10956"/>
    <cellStyle name="Normal 2 2 2 2 2 2 2 2 2 21" xfId="10957"/>
    <cellStyle name="Normal 2 2 2 2 2 2 2 2 2 22" xfId="10958"/>
    <cellStyle name="Normal 2 2 2 2 2 2 2 2 2 22 10" xfId="10959"/>
    <cellStyle name="Normal 2 2 2 2 2 2 2 2 2 22 11" xfId="10960"/>
    <cellStyle name="Normal 2 2 2 2 2 2 2 2 2 22 11 2" xfId="10961"/>
    <cellStyle name="Normal 2 2 2 2 2 2 2 2 2 22 11 3" xfId="10962"/>
    <cellStyle name="Normal 2 2 2 2 2 2 2 2 2 22 11 4" xfId="10963"/>
    <cellStyle name="Normal 2 2 2 2 2 2 2 2 2 22 12" xfId="10964"/>
    <cellStyle name="Normal 2 2 2 2 2 2 2 2 2 22 13" xfId="10965"/>
    <cellStyle name="Normal 2 2 2 2 2 2 2 2 2 22 14" xfId="10966"/>
    <cellStyle name="Normal 2 2 2 2 2 2 2 2 2 22 2" xfId="10967"/>
    <cellStyle name="Normal 2 2 2 2 2 2 2 2 2 22 2 10" xfId="10968"/>
    <cellStyle name="Normal 2 2 2 2 2 2 2 2 2 22 2 11" xfId="10969"/>
    <cellStyle name="Normal 2 2 2 2 2 2 2 2 2 22 2 2" xfId="10970"/>
    <cellStyle name="Normal 2 2 2 2 2 2 2 2 2 22 2 2 10" xfId="10971"/>
    <cellStyle name="Normal 2 2 2 2 2 2 2 2 2 22 2 2 11" xfId="10972"/>
    <cellStyle name="Normal 2 2 2 2 2 2 2 2 2 22 2 2 2" xfId="10973"/>
    <cellStyle name="Normal 2 2 2 2 2 2 2 2 2 22 2 2 2 2" xfId="10974"/>
    <cellStyle name="Normal 2 2 2 2 2 2 2 2 2 22 2 2 2 2 2" xfId="10975"/>
    <cellStyle name="Normal 2 2 2 2 2 2 2 2 2 22 2 2 2 2 3" xfId="10976"/>
    <cellStyle name="Normal 2 2 2 2 2 2 2 2 2 22 2 2 2 2 4" xfId="10977"/>
    <cellStyle name="Normal 2 2 2 2 2 2 2 2 2 22 2 2 2 3" xfId="10978"/>
    <cellStyle name="Normal 2 2 2 2 2 2 2 2 2 22 2 2 2 4" xfId="10979"/>
    <cellStyle name="Normal 2 2 2 2 2 2 2 2 2 22 2 2 2 5" xfId="10980"/>
    <cellStyle name="Normal 2 2 2 2 2 2 2 2 2 22 2 2 2 6" xfId="10981"/>
    <cellStyle name="Normal 2 2 2 2 2 2 2 2 2 22 2 2 3" xfId="10982"/>
    <cellStyle name="Normal 2 2 2 2 2 2 2 2 2 22 2 2 4" xfId="10983"/>
    <cellStyle name="Normal 2 2 2 2 2 2 2 2 2 22 2 2 5" xfId="10984"/>
    <cellStyle name="Normal 2 2 2 2 2 2 2 2 2 22 2 2 6" xfId="10985"/>
    <cellStyle name="Normal 2 2 2 2 2 2 2 2 2 22 2 2 7" xfId="10986"/>
    <cellStyle name="Normal 2 2 2 2 2 2 2 2 2 22 2 2 8" xfId="10987"/>
    <cellStyle name="Normal 2 2 2 2 2 2 2 2 2 22 2 2 8 2" xfId="10988"/>
    <cellStyle name="Normal 2 2 2 2 2 2 2 2 2 22 2 2 8 3" xfId="10989"/>
    <cellStyle name="Normal 2 2 2 2 2 2 2 2 2 22 2 2 8 4" xfId="10990"/>
    <cellStyle name="Normal 2 2 2 2 2 2 2 2 2 22 2 2 9" xfId="10991"/>
    <cellStyle name="Normal 2 2 2 2 2 2 2 2 2 22 2 3" xfId="10992"/>
    <cellStyle name="Normal 2 2 2 2 2 2 2 2 2 22 2 3 2" xfId="10993"/>
    <cellStyle name="Normal 2 2 2 2 2 2 2 2 2 22 2 3 2 2" xfId="10994"/>
    <cellStyle name="Normal 2 2 2 2 2 2 2 2 2 22 2 3 2 3" xfId="10995"/>
    <cellStyle name="Normal 2 2 2 2 2 2 2 2 2 22 2 3 2 4" xfId="10996"/>
    <cellStyle name="Normal 2 2 2 2 2 2 2 2 2 22 2 3 3" xfId="10997"/>
    <cellStyle name="Normal 2 2 2 2 2 2 2 2 2 22 2 3 4" xfId="10998"/>
    <cellStyle name="Normal 2 2 2 2 2 2 2 2 2 22 2 3 5" xfId="10999"/>
    <cellStyle name="Normal 2 2 2 2 2 2 2 2 2 22 2 3 6" xfId="11000"/>
    <cellStyle name="Normal 2 2 2 2 2 2 2 2 2 22 2 4" xfId="11001"/>
    <cellStyle name="Normal 2 2 2 2 2 2 2 2 2 22 2 5" xfId="11002"/>
    <cellStyle name="Normal 2 2 2 2 2 2 2 2 2 22 2 6" xfId="11003"/>
    <cellStyle name="Normal 2 2 2 2 2 2 2 2 2 22 2 7" xfId="11004"/>
    <cellStyle name="Normal 2 2 2 2 2 2 2 2 2 22 2 8" xfId="11005"/>
    <cellStyle name="Normal 2 2 2 2 2 2 2 2 2 22 2 8 2" xfId="11006"/>
    <cellStyle name="Normal 2 2 2 2 2 2 2 2 2 22 2 8 3" xfId="11007"/>
    <cellStyle name="Normal 2 2 2 2 2 2 2 2 2 22 2 8 4" xfId="11008"/>
    <cellStyle name="Normal 2 2 2 2 2 2 2 2 2 22 2 9" xfId="11009"/>
    <cellStyle name="Normal 2 2 2 2 2 2 2 2 2 22 3" xfId="11010"/>
    <cellStyle name="Normal 2 2 2 2 2 2 2 2 2 22 4" xfId="11011"/>
    <cellStyle name="Normal 2 2 2 2 2 2 2 2 2 22 5" xfId="11012"/>
    <cellStyle name="Normal 2 2 2 2 2 2 2 2 2 22 5 2" xfId="11013"/>
    <cellStyle name="Normal 2 2 2 2 2 2 2 2 2 22 5 2 2" xfId="11014"/>
    <cellStyle name="Normal 2 2 2 2 2 2 2 2 2 22 5 2 3" xfId="11015"/>
    <cellStyle name="Normal 2 2 2 2 2 2 2 2 2 22 5 2 4" xfId="11016"/>
    <cellStyle name="Normal 2 2 2 2 2 2 2 2 2 22 5 3" xfId="11017"/>
    <cellStyle name="Normal 2 2 2 2 2 2 2 2 2 22 5 4" xfId="11018"/>
    <cellStyle name="Normal 2 2 2 2 2 2 2 2 2 22 5 5" xfId="11019"/>
    <cellStyle name="Normal 2 2 2 2 2 2 2 2 2 22 5 6" xfId="11020"/>
    <cellStyle name="Normal 2 2 2 2 2 2 2 2 2 22 6" xfId="11021"/>
    <cellStyle name="Normal 2 2 2 2 2 2 2 2 2 22 7" xfId="11022"/>
    <cellStyle name="Normal 2 2 2 2 2 2 2 2 2 22 8" xfId="11023"/>
    <cellStyle name="Normal 2 2 2 2 2 2 2 2 2 22 9" xfId="11024"/>
    <cellStyle name="Normal 2 2 2 2 2 2 2 2 2 23" xfId="11025"/>
    <cellStyle name="Normal 2 2 2 2 2 2 2 2 2 24" xfId="11026"/>
    <cellStyle name="Normal 2 2 2 2 2 2 2 2 2 24 10" xfId="11027"/>
    <cellStyle name="Normal 2 2 2 2 2 2 2 2 2 24 11" xfId="11028"/>
    <cellStyle name="Normal 2 2 2 2 2 2 2 2 2 24 2" xfId="11029"/>
    <cellStyle name="Normal 2 2 2 2 2 2 2 2 2 24 2 10" xfId="11030"/>
    <cellStyle name="Normal 2 2 2 2 2 2 2 2 2 24 2 11" xfId="11031"/>
    <cellStyle name="Normal 2 2 2 2 2 2 2 2 2 24 2 2" xfId="11032"/>
    <cellStyle name="Normal 2 2 2 2 2 2 2 2 2 24 2 2 2" xfId="11033"/>
    <cellStyle name="Normal 2 2 2 2 2 2 2 2 2 24 2 2 2 2" xfId="11034"/>
    <cellStyle name="Normal 2 2 2 2 2 2 2 2 2 24 2 2 2 3" xfId="11035"/>
    <cellStyle name="Normal 2 2 2 2 2 2 2 2 2 24 2 2 2 4" xfId="11036"/>
    <cellStyle name="Normal 2 2 2 2 2 2 2 2 2 24 2 2 3" xfId="11037"/>
    <cellStyle name="Normal 2 2 2 2 2 2 2 2 2 24 2 2 4" xfId="11038"/>
    <cellStyle name="Normal 2 2 2 2 2 2 2 2 2 24 2 2 5" xfId="11039"/>
    <cellStyle name="Normal 2 2 2 2 2 2 2 2 2 24 2 2 6" xfId="11040"/>
    <cellStyle name="Normal 2 2 2 2 2 2 2 2 2 24 2 3" xfId="11041"/>
    <cellStyle name="Normal 2 2 2 2 2 2 2 2 2 24 2 4" xfId="11042"/>
    <cellStyle name="Normal 2 2 2 2 2 2 2 2 2 24 2 5" xfId="11043"/>
    <cellStyle name="Normal 2 2 2 2 2 2 2 2 2 24 2 6" xfId="11044"/>
    <cellStyle name="Normal 2 2 2 2 2 2 2 2 2 24 2 7" xfId="11045"/>
    <cellStyle name="Normal 2 2 2 2 2 2 2 2 2 24 2 8" xfId="11046"/>
    <cellStyle name="Normal 2 2 2 2 2 2 2 2 2 24 2 8 2" xfId="11047"/>
    <cellStyle name="Normal 2 2 2 2 2 2 2 2 2 24 2 8 3" xfId="11048"/>
    <cellStyle name="Normal 2 2 2 2 2 2 2 2 2 24 2 8 4" xfId="11049"/>
    <cellStyle name="Normal 2 2 2 2 2 2 2 2 2 24 2 9" xfId="11050"/>
    <cellStyle name="Normal 2 2 2 2 2 2 2 2 2 24 3" xfId="11051"/>
    <cellStyle name="Normal 2 2 2 2 2 2 2 2 2 24 3 2" xfId="11052"/>
    <cellStyle name="Normal 2 2 2 2 2 2 2 2 2 24 3 2 2" xfId="11053"/>
    <cellStyle name="Normal 2 2 2 2 2 2 2 2 2 24 3 2 3" xfId="11054"/>
    <cellStyle name="Normal 2 2 2 2 2 2 2 2 2 24 3 2 4" xfId="11055"/>
    <cellStyle name="Normal 2 2 2 2 2 2 2 2 2 24 3 3" xfId="11056"/>
    <cellStyle name="Normal 2 2 2 2 2 2 2 2 2 24 3 4" xfId="11057"/>
    <cellStyle name="Normal 2 2 2 2 2 2 2 2 2 24 3 5" xfId="11058"/>
    <cellStyle name="Normal 2 2 2 2 2 2 2 2 2 24 3 6" xfId="11059"/>
    <cellStyle name="Normal 2 2 2 2 2 2 2 2 2 24 4" xfId="11060"/>
    <cellStyle name="Normal 2 2 2 2 2 2 2 2 2 24 5" xfId="11061"/>
    <cellStyle name="Normal 2 2 2 2 2 2 2 2 2 24 6" xfId="11062"/>
    <cellStyle name="Normal 2 2 2 2 2 2 2 2 2 24 7" xfId="11063"/>
    <cellStyle name="Normal 2 2 2 2 2 2 2 2 2 24 8" xfId="11064"/>
    <cellStyle name="Normal 2 2 2 2 2 2 2 2 2 24 8 2" xfId="11065"/>
    <cellStyle name="Normal 2 2 2 2 2 2 2 2 2 24 8 3" xfId="11066"/>
    <cellStyle name="Normal 2 2 2 2 2 2 2 2 2 24 8 4" xfId="11067"/>
    <cellStyle name="Normal 2 2 2 2 2 2 2 2 2 24 9" xfId="11068"/>
    <cellStyle name="Normal 2 2 2 2 2 2 2 2 2 25" xfId="11069"/>
    <cellStyle name="Normal 2 2 2 2 2 2 2 2 2 26" xfId="11070"/>
    <cellStyle name="Normal 2 2 2 2 2 2 2 2 2 26 2" xfId="11071"/>
    <cellStyle name="Normal 2 2 2 2 2 2 2 2 2 26 2 2" xfId="11072"/>
    <cellStyle name="Normal 2 2 2 2 2 2 2 2 2 26 2 3" xfId="11073"/>
    <cellStyle name="Normal 2 2 2 2 2 2 2 2 2 26 2 4" xfId="11074"/>
    <cellStyle name="Normal 2 2 2 2 2 2 2 2 2 26 3" xfId="11075"/>
    <cellStyle name="Normal 2 2 2 2 2 2 2 2 2 26 4" xfId="11076"/>
    <cellStyle name="Normal 2 2 2 2 2 2 2 2 2 26 5" xfId="11077"/>
    <cellStyle name="Normal 2 2 2 2 2 2 2 2 2 26 6" xfId="11078"/>
    <cellStyle name="Normal 2 2 2 2 2 2 2 2 2 27" xfId="11079"/>
    <cellStyle name="Normal 2 2 2 2 2 2 2 2 2 28" xfId="11080"/>
    <cellStyle name="Normal 2 2 2 2 2 2 2 2 2 29" xfId="11081"/>
    <cellStyle name="Normal 2 2 2 2 2 2 2 2 2 3" xfId="11082"/>
    <cellStyle name="Normal 2 2 2 2 2 2 2 2 2 30" xfId="11083"/>
    <cellStyle name="Normal 2 2 2 2 2 2 2 2 2 31" xfId="11084"/>
    <cellStyle name="Normal 2 2 2 2 2 2 2 2 2 32" xfId="11085"/>
    <cellStyle name="Normal 2 2 2 2 2 2 2 2 2 32 2" xfId="11086"/>
    <cellStyle name="Normal 2 2 2 2 2 2 2 2 2 32 3" xfId="11087"/>
    <cellStyle name="Normal 2 2 2 2 2 2 2 2 2 32 4" xfId="11088"/>
    <cellStyle name="Normal 2 2 2 2 2 2 2 2 2 33" xfId="11089"/>
    <cellStyle name="Normal 2 2 2 2 2 2 2 2 2 34" xfId="11090"/>
    <cellStyle name="Normal 2 2 2 2 2 2 2 2 2 35" xfId="11091"/>
    <cellStyle name="Normal 2 2 2 2 2 2 2 2 2 36" xfId="11092"/>
    <cellStyle name="Normal 2 2 2 2 2 2 2 2 2 37" xfId="11093"/>
    <cellStyle name="Normal 2 2 2 2 2 2 2 2 2 38" xfId="11094"/>
    <cellStyle name="Normal 2 2 2 2 2 2 2 2 2 39" xfId="11095"/>
    <cellStyle name="Normal 2 2 2 2 2 2 2 2 2 4" xfId="11096"/>
    <cellStyle name="Normal 2 2 2 2 2 2 2 2 2 4 2" xfId="11097"/>
    <cellStyle name="Normal 2 2 2 2 2 2 2 2 2 4 2 2" xfId="11098"/>
    <cellStyle name="Normal 2 2 2 2 2 2 2 2 2 40" xfId="11099"/>
    <cellStyle name="Normal 2 2 2 2 2 2 2 2 2 41" xfId="11100"/>
    <cellStyle name="Normal 2 2 2 2 2 2 2 2 2 42" xfId="11101"/>
    <cellStyle name="Normal 2 2 2 2 2 2 2 2 2 43" xfId="11102"/>
    <cellStyle name="Normal 2 2 2 2 2 2 2 2 2 44" xfId="11103"/>
    <cellStyle name="Normal 2 2 2 2 2 2 2 2 2 45" xfId="11104"/>
    <cellStyle name="Normal 2 2 2 2 2 2 2 2 2 46" xfId="11105"/>
    <cellStyle name="Normal 2 2 2 2 2 2 2 2 2 47" xfId="11106"/>
    <cellStyle name="Normal 2 2 2 2 2 2 2 2 2 47 2" xfId="11107"/>
    <cellStyle name="Normal 2 2 2 2 2 2 2 2 2 47 3" xfId="11108"/>
    <cellStyle name="Normal 2 2 2 2 2 2 2 2 2 47 4" xfId="11109"/>
    <cellStyle name="Normal 2 2 2 2 2 2 2 2 2 47 5" xfId="11110"/>
    <cellStyle name="Normal 2 2 2 2 2 2 2 2 2 47 6" xfId="11111"/>
    <cellStyle name="Normal 2 2 2 2 2 2 2 2 2 47 7" xfId="11112"/>
    <cellStyle name="Normal 2 2 2 2 2 2 2 2 2 48" xfId="11113"/>
    <cellStyle name="Normal 2 2 2 2 2 2 2 2 2 49" xfId="11114"/>
    <cellStyle name="Normal 2 2 2 2 2 2 2 2 2 5" xfId="11115"/>
    <cellStyle name="Normal 2 2 2 2 2 2 2 2 2 50" xfId="11116"/>
    <cellStyle name="Normal 2 2 2 2 2 2 2 2 2 51" xfId="11117"/>
    <cellStyle name="Normal 2 2 2 2 2 2 2 2 2 52" xfId="11118"/>
    <cellStyle name="Normal 2 2 2 2 2 2 2 2 2 53" xfId="11119"/>
    <cellStyle name="Normal 2 2 2 2 2 2 2 2 2 54" xfId="11120"/>
    <cellStyle name="Normal 2 2 2 2 2 2 2 2 2 55" xfId="11121"/>
    <cellStyle name="Normal 2 2 2 2 2 2 2 2 2 56" xfId="11122"/>
    <cellStyle name="Normal 2 2 2 2 2 2 2 2 2 57" xfId="11123"/>
    <cellStyle name="Normal 2 2 2 2 2 2 2 2 2 58" xfId="11124"/>
    <cellStyle name="Normal 2 2 2 2 2 2 2 2 2 59" xfId="11125"/>
    <cellStyle name="Normal 2 2 2 2 2 2 2 2 2 6" xfId="11126"/>
    <cellStyle name="Normal 2 2 2 2 2 2 2 2 2 60" xfId="11127"/>
    <cellStyle name="Normal 2 2 2 2 2 2 2 2 2 61" xfId="11128"/>
    <cellStyle name="Normal 2 2 2 2 2 2 2 2 2 62" xfId="11129"/>
    <cellStyle name="Normal 2 2 2 2 2 2 2 2 2 63" xfId="11130"/>
    <cellStyle name="Normal 2 2 2 2 2 2 2 2 2 64" xfId="11131"/>
    <cellStyle name="Normal 2 2 2 2 2 2 2 2 2 65" xfId="11132"/>
    <cellStyle name="Normal 2 2 2 2 2 2 2 2 2 66" xfId="11133"/>
    <cellStyle name="Normal 2 2 2 2 2 2 2 2 2 67" xfId="11134"/>
    <cellStyle name="Normal 2 2 2 2 2 2 2 2 2 68" xfId="11135"/>
    <cellStyle name="Normal 2 2 2 2 2 2 2 2 2 69" xfId="11136"/>
    <cellStyle name="Normal 2 2 2 2 2 2 2 2 2 7" xfId="11137"/>
    <cellStyle name="Normal 2 2 2 2 2 2 2 2 2 70" xfId="11138"/>
    <cellStyle name="Normal 2 2 2 2 2 2 2 2 2 71" xfId="11139"/>
    <cellStyle name="Normal 2 2 2 2 2 2 2 2 2 72" xfId="11140"/>
    <cellStyle name="Normal 2 2 2 2 2 2 2 2 2 73" xfId="11141"/>
    <cellStyle name="Normal 2 2 2 2 2 2 2 2 2 74" xfId="11142"/>
    <cellStyle name="Normal 2 2 2 2 2 2 2 2 2 75" xfId="11143"/>
    <cellStyle name="Normal 2 2 2 2 2 2 2 2 2 76" xfId="11144"/>
    <cellStyle name="Normal 2 2 2 2 2 2 2 2 2 77" xfId="11145"/>
    <cellStyle name="Normal 2 2 2 2 2 2 2 2 2 78" xfId="11146"/>
    <cellStyle name="Normal 2 2 2 2 2 2 2 2 2 79" xfId="11147"/>
    <cellStyle name="Normal 2 2 2 2 2 2 2 2 2 8" xfId="11148"/>
    <cellStyle name="Normal 2 2 2 2 2 2 2 2 2 80" xfId="11149"/>
    <cellStyle name="Normal 2 2 2 2 2 2 2 2 2 81" xfId="11150"/>
    <cellStyle name="Normal 2 2 2 2 2 2 2 2 2 82" xfId="11151"/>
    <cellStyle name="Normal 2 2 2 2 2 2 2 2 2 83" xfId="11152"/>
    <cellStyle name="Normal 2 2 2 2 2 2 2 2 2 84" xfId="11153"/>
    <cellStyle name="Normal 2 2 2 2 2 2 2 2 2 85" xfId="11154"/>
    <cellStyle name="Normal 2 2 2 2 2 2 2 2 2 86" xfId="11155"/>
    <cellStyle name="Normal 2 2 2 2 2 2 2 2 2 87" xfId="11156"/>
    <cellStyle name="Normal 2 2 2 2 2 2 2 2 2 88" xfId="11157"/>
    <cellStyle name="Normal 2 2 2 2 2 2 2 2 2 89" xfId="11158"/>
    <cellStyle name="Normal 2 2 2 2 2 2 2 2 2 9" xfId="11159"/>
    <cellStyle name="Normal 2 2 2 2 2 2 2 2 2 90" xfId="11160"/>
    <cellStyle name="Normal 2 2 2 2 2 2 2 2 2 91" xfId="11161"/>
    <cellStyle name="Normal 2 2 2 2 2 2 2 2 2 92" xfId="11162"/>
    <cellStyle name="Normal 2 2 2 2 2 2 2 2 2 93" xfId="11163"/>
    <cellStyle name="Normal 2 2 2 2 2 2 2 2 2 94" xfId="11164"/>
    <cellStyle name="Normal 2 2 2 2 2 2 2 2 2 94 2" xfId="11165"/>
    <cellStyle name="Normal 2 2 2 2 2 2 2 2 2 94 3" xfId="11166"/>
    <cellStyle name="Normal 2 2 2 2 2 2 2 2 2 94 4" xfId="11167"/>
    <cellStyle name="Normal 2 2 2 2 2 2 2 2 2 95" xfId="11168"/>
    <cellStyle name="Normal 2 2 2 2 2 2 2 2 2 96" xfId="11169"/>
    <cellStyle name="Normal 2 2 2 2 2 2 2 2 20" xfId="11170"/>
    <cellStyle name="Normal 2 2 2 2 2 2 2 2 20 10" xfId="11171"/>
    <cellStyle name="Normal 2 2 2 2 2 2 2 2 20 11" xfId="11172"/>
    <cellStyle name="Normal 2 2 2 2 2 2 2 2 20 11 10" xfId="11173"/>
    <cellStyle name="Normal 2 2 2 2 2 2 2 2 20 11 11" xfId="11174"/>
    <cellStyle name="Normal 2 2 2 2 2 2 2 2 20 11 11 2" xfId="11175"/>
    <cellStyle name="Normal 2 2 2 2 2 2 2 2 20 11 11 3" xfId="11176"/>
    <cellStyle name="Normal 2 2 2 2 2 2 2 2 20 11 11 4" xfId="11177"/>
    <cellStyle name="Normal 2 2 2 2 2 2 2 2 20 11 12" xfId="11178"/>
    <cellStyle name="Normal 2 2 2 2 2 2 2 2 20 11 13" xfId="11179"/>
    <cellStyle name="Normal 2 2 2 2 2 2 2 2 20 11 14" xfId="11180"/>
    <cellStyle name="Normal 2 2 2 2 2 2 2 2 20 11 2" xfId="11181"/>
    <cellStyle name="Normal 2 2 2 2 2 2 2 2 20 11 2 10" xfId="11182"/>
    <cellStyle name="Normal 2 2 2 2 2 2 2 2 20 11 2 11" xfId="11183"/>
    <cellStyle name="Normal 2 2 2 2 2 2 2 2 20 11 2 2" xfId="11184"/>
    <cellStyle name="Normal 2 2 2 2 2 2 2 2 20 11 2 2 10" xfId="11185"/>
    <cellStyle name="Normal 2 2 2 2 2 2 2 2 20 11 2 2 11" xfId="11186"/>
    <cellStyle name="Normal 2 2 2 2 2 2 2 2 20 11 2 2 2" xfId="11187"/>
    <cellStyle name="Normal 2 2 2 2 2 2 2 2 20 11 2 2 2 2" xfId="11188"/>
    <cellStyle name="Normal 2 2 2 2 2 2 2 2 20 11 2 2 2 2 2" xfId="11189"/>
    <cellStyle name="Normal 2 2 2 2 2 2 2 2 20 11 2 2 2 2 3" xfId="11190"/>
    <cellStyle name="Normal 2 2 2 2 2 2 2 2 20 11 2 2 2 2 4" xfId="11191"/>
    <cellStyle name="Normal 2 2 2 2 2 2 2 2 20 11 2 2 2 3" xfId="11192"/>
    <cellStyle name="Normal 2 2 2 2 2 2 2 2 20 11 2 2 2 4" xfId="11193"/>
    <cellStyle name="Normal 2 2 2 2 2 2 2 2 20 11 2 2 2 5" xfId="11194"/>
    <cellStyle name="Normal 2 2 2 2 2 2 2 2 20 11 2 2 2 6" xfId="11195"/>
    <cellStyle name="Normal 2 2 2 2 2 2 2 2 20 11 2 2 3" xfId="11196"/>
    <cellStyle name="Normal 2 2 2 2 2 2 2 2 20 11 2 2 4" xfId="11197"/>
    <cellStyle name="Normal 2 2 2 2 2 2 2 2 20 11 2 2 5" xfId="11198"/>
    <cellStyle name="Normal 2 2 2 2 2 2 2 2 20 11 2 2 6" xfId="11199"/>
    <cellStyle name="Normal 2 2 2 2 2 2 2 2 20 11 2 2 7" xfId="11200"/>
    <cellStyle name="Normal 2 2 2 2 2 2 2 2 20 11 2 2 8" xfId="11201"/>
    <cellStyle name="Normal 2 2 2 2 2 2 2 2 20 11 2 2 8 2" xfId="11202"/>
    <cellStyle name="Normal 2 2 2 2 2 2 2 2 20 11 2 2 8 3" xfId="11203"/>
    <cellStyle name="Normal 2 2 2 2 2 2 2 2 20 11 2 2 8 4" xfId="11204"/>
    <cellStyle name="Normal 2 2 2 2 2 2 2 2 20 11 2 2 9" xfId="11205"/>
    <cellStyle name="Normal 2 2 2 2 2 2 2 2 20 11 2 3" xfId="11206"/>
    <cellStyle name="Normal 2 2 2 2 2 2 2 2 20 11 2 3 2" xfId="11207"/>
    <cellStyle name="Normal 2 2 2 2 2 2 2 2 20 11 2 3 2 2" xfId="11208"/>
    <cellStyle name="Normal 2 2 2 2 2 2 2 2 20 11 2 3 2 3" xfId="11209"/>
    <cellStyle name="Normal 2 2 2 2 2 2 2 2 20 11 2 3 2 4" xfId="11210"/>
    <cellStyle name="Normal 2 2 2 2 2 2 2 2 20 11 2 3 3" xfId="11211"/>
    <cellStyle name="Normal 2 2 2 2 2 2 2 2 20 11 2 3 4" xfId="11212"/>
    <cellStyle name="Normal 2 2 2 2 2 2 2 2 20 11 2 3 5" xfId="11213"/>
    <cellStyle name="Normal 2 2 2 2 2 2 2 2 20 11 2 3 6" xfId="11214"/>
    <cellStyle name="Normal 2 2 2 2 2 2 2 2 20 11 2 4" xfId="11215"/>
    <cellStyle name="Normal 2 2 2 2 2 2 2 2 20 11 2 5" xfId="11216"/>
    <cellStyle name="Normal 2 2 2 2 2 2 2 2 20 11 2 6" xfId="11217"/>
    <cellStyle name="Normal 2 2 2 2 2 2 2 2 20 11 2 7" xfId="11218"/>
    <cellStyle name="Normal 2 2 2 2 2 2 2 2 20 11 2 8" xfId="11219"/>
    <cellStyle name="Normal 2 2 2 2 2 2 2 2 20 11 2 8 2" xfId="11220"/>
    <cellStyle name="Normal 2 2 2 2 2 2 2 2 20 11 2 8 3" xfId="11221"/>
    <cellStyle name="Normal 2 2 2 2 2 2 2 2 20 11 2 8 4" xfId="11222"/>
    <cellStyle name="Normal 2 2 2 2 2 2 2 2 20 11 2 9" xfId="11223"/>
    <cellStyle name="Normal 2 2 2 2 2 2 2 2 20 11 3" xfId="11224"/>
    <cellStyle name="Normal 2 2 2 2 2 2 2 2 20 11 4" xfId="11225"/>
    <cellStyle name="Normal 2 2 2 2 2 2 2 2 20 11 5" xfId="11226"/>
    <cellStyle name="Normal 2 2 2 2 2 2 2 2 20 11 5 2" xfId="11227"/>
    <cellStyle name="Normal 2 2 2 2 2 2 2 2 20 11 5 2 2" xfId="11228"/>
    <cellStyle name="Normal 2 2 2 2 2 2 2 2 20 11 5 2 3" xfId="11229"/>
    <cellStyle name="Normal 2 2 2 2 2 2 2 2 20 11 5 2 4" xfId="11230"/>
    <cellStyle name="Normal 2 2 2 2 2 2 2 2 20 11 5 3" xfId="11231"/>
    <cellStyle name="Normal 2 2 2 2 2 2 2 2 20 11 5 4" xfId="11232"/>
    <cellStyle name="Normal 2 2 2 2 2 2 2 2 20 11 5 5" xfId="11233"/>
    <cellStyle name="Normal 2 2 2 2 2 2 2 2 20 11 5 6" xfId="11234"/>
    <cellStyle name="Normal 2 2 2 2 2 2 2 2 20 11 6" xfId="11235"/>
    <cellStyle name="Normal 2 2 2 2 2 2 2 2 20 11 7" xfId="11236"/>
    <cellStyle name="Normal 2 2 2 2 2 2 2 2 20 11 8" xfId="11237"/>
    <cellStyle name="Normal 2 2 2 2 2 2 2 2 20 11 9" xfId="11238"/>
    <cellStyle name="Normal 2 2 2 2 2 2 2 2 20 12" xfId="11239"/>
    <cellStyle name="Normal 2 2 2 2 2 2 2 2 20 13" xfId="11240"/>
    <cellStyle name="Normal 2 2 2 2 2 2 2 2 20 13 10" xfId="11241"/>
    <cellStyle name="Normal 2 2 2 2 2 2 2 2 20 13 11" xfId="11242"/>
    <cellStyle name="Normal 2 2 2 2 2 2 2 2 20 13 2" xfId="11243"/>
    <cellStyle name="Normal 2 2 2 2 2 2 2 2 20 13 2 10" xfId="11244"/>
    <cellStyle name="Normal 2 2 2 2 2 2 2 2 20 13 2 11" xfId="11245"/>
    <cellStyle name="Normal 2 2 2 2 2 2 2 2 20 13 2 2" xfId="11246"/>
    <cellStyle name="Normal 2 2 2 2 2 2 2 2 20 13 2 2 2" xfId="11247"/>
    <cellStyle name="Normal 2 2 2 2 2 2 2 2 20 13 2 2 2 2" xfId="11248"/>
    <cellStyle name="Normal 2 2 2 2 2 2 2 2 20 13 2 2 2 3" xfId="11249"/>
    <cellStyle name="Normal 2 2 2 2 2 2 2 2 20 13 2 2 2 4" xfId="11250"/>
    <cellStyle name="Normal 2 2 2 2 2 2 2 2 20 13 2 2 3" xfId="11251"/>
    <cellStyle name="Normal 2 2 2 2 2 2 2 2 20 13 2 2 4" xfId="11252"/>
    <cellStyle name="Normal 2 2 2 2 2 2 2 2 20 13 2 2 5" xfId="11253"/>
    <cellStyle name="Normal 2 2 2 2 2 2 2 2 20 13 2 2 6" xfId="11254"/>
    <cellStyle name="Normal 2 2 2 2 2 2 2 2 20 13 2 3" xfId="11255"/>
    <cellStyle name="Normal 2 2 2 2 2 2 2 2 20 13 2 4" xfId="11256"/>
    <cellStyle name="Normal 2 2 2 2 2 2 2 2 20 13 2 5" xfId="11257"/>
    <cellStyle name="Normal 2 2 2 2 2 2 2 2 20 13 2 6" xfId="11258"/>
    <cellStyle name="Normal 2 2 2 2 2 2 2 2 20 13 2 7" xfId="11259"/>
    <cellStyle name="Normal 2 2 2 2 2 2 2 2 20 13 2 8" xfId="11260"/>
    <cellStyle name="Normal 2 2 2 2 2 2 2 2 20 13 2 8 2" xfId="11261"/>
    <cellStyle name="Normal 2 2 2 2 2 2 2 2 20 13 2 8 3" xfId="11262"/>
    <cellStyle name="Normal 2 2 2 2 2 2 2 2 20 13 2 8 4" xfId="11263"/>
    <cellStyle name="Normal 2 2 2 2 2 2 2 2 20 13 2 9" xfId="11264"/>
    <cellStyle name="Normal 2 2 2 2 2 2 2 2 20 13 3" xfId="11265"/>
    <cellStyle name="Normal 2 2 2 2 2 2 2 2 20 13 3 2" xfId="11266"/>
    <cellStyle name="Normal 2 2 2 2 2 2 2 2 20 13 3 2 2" xfId="11267"/>
    <cellStyle name="Normal 2 2 2 2 2 2 2 2 20 13 3 2 3" xfId="11268"/>
    <cellStyle name="Normal 2 2 2 2 2 2 2 2 20 13 3 2 4" xfId="11269"/>
    <cellStyle name="Normal 2 2 2 2 2 2 2 2 20 13 3 3" xfId="11270"/>
    <cellStyle name="Normal 2 2 2 2 2 2 2 2 20 13 3 4" xfId="11271"/>
    <cellStyle name="Normal 2 2 2 2 2 2 2 2 20 13 3 5" xfId="11272"/>
    <cellStyle name="Normal 2 2 2 2 2 2 2 2 20 13 3 6" xfId="11273"/>
    <cellStyle name="Normal 2 2 2 2 2 2 2 2 20 13 4" xfId="11274"/>
    <cellStyle name="Normal 2 2 2 2 2 2 2 2 20 13 5" xfId="11275"/>
    <cellStyle name="Normal 2 2 2 2 2 2 2 2 20 13 6" xfId="11276"/>
    <cellStyle name="Normal 2 2 2 2 2 2 2 2 20 13 7" xfId="11277"/>
    <cellStyle name="Normal 2 2 2 2 2 2 2 2 20 13 8" xfId="11278"/>
    <cellStyle name="Normal 2 2 2 2 2 2 2 2 20 13 8 2" xfId="11279"/>
    <cellStyle name="Normal 2 2 2 2 2 2 2 2 20 13 8 3" xfId="11280"/>
    <cellStyle name="Normal 2 2 2 2 2 2 2 2 20 13 8 4" xfId="11281"/>
    <cellStyle name="Normal 2 2 2 2 2 2 2 2 20 13 9" xfId="11282"/>
    <cellStyle name="Normal 2 2 2 2 2 2 2 2 20 14" xfId="11283"/>
    <cellStyle name="Normal 2 2 2 2 2 2 2 2 20 15" xfId="11284"/>
    <cellStyle name="Normal 2 2 2 2 2 2 2 2 20 15 2" xfId="11285"/>
    <cellStyle name="Normal 2 2 2 2 2 2 2 2 20 15 2 2" xfId="11286"/>
    <cellStyle name="Normal 2 2 2 2 2 2 2 2 20 15 2 3" xfId="11287"/>
    <cellStyle name="Normal 2 2 2 2 2 2 2 2 20 15 2 4" xfId="11288"/>
    <cellStyle name="Normal 2 2 2 2 2 2 2 2 20 15 3" xfId="11289"/>
    <cellStyle name="Normal 2 2 2 2 2 2 2 2 20 15 4" xfId="11290"/>
    <cellStyle name="Normal 2 2 2 2 2 2 2 2 20 15 5" xfId="11291"/>
    <cellStyle name="Normal 2 2 2 2 2 2 2 2 20 15 6" xfId="11292"/>
    <cellStyle name="Normal 2 2 2 2 2 2 2 2 20 16" xfId="11293"/>
    <cellStyle name="Normal 2 2 2 2 2 2 2 2 20 17" xfId="11294"/>
    <cellStyle name="Normal 2 2 2 2 2 2 2 2 20 18" xfId="11295"/>
    <cellStyle name="Normal 2 2 2 2 2 2 2 2 20 19" xfId="11296"/>
    <cellStyle name="Normal 2 2 2 2 2 2 2 2 20 2" xfId="11297"/>
    <cellStyle name="Normal 2 2 2 2 2 2 2 2 20 2 10" xfId="11298"/>
    <cellStyle name="Normal 2 2 2 2 2 2 2 2 20 2 11" xfId="11299"/>
    <cellStyle name="Normal 2 2 2 2 2 2 2 2 20 2 12" xfId="11300"/>
    <cellStyle name="Normal 2 2 2 2 2 2 2 2 20 2 13" xfId="11301"/>
    <cellStyle name="Normal 2 2 2 2 2 2 2 2 20 2 13 2" xfId="11302"/>
    <cellStyle name="Normal 2 2 2 2 2 2 2 2 20 2 13 3" xfId="11303"/>
    <cellStyle name="Normal 2 2 2 2 2 2 2 2 20 2 13 4" xfId="11304"/>
    <cellStyle name="Normal 2 2 2 2 2 2 2 2 20 2 14" xfId="11305"/>
    <cellStyle name="Normal 2 2 2 2 2 2 2 2 20 2 15" xfId="11306"/>
    <cellStyle name="Normal 2 2 2 2 2 2 2 2 20 2 16" xfId="11307"/>
    <cellStyle name="Normal 2 2 2 2 2 2 2 2 20 2 2" xfId="11308"/>
    <cellStyle name="Normal 2 2 2 2 2 2 2 2 20 2 2 10" xfId="11309"/>
    <cellStyle name="Normal 2 2 2 2 2 2 2 2 20 2 2 11" xfId="11310"/>
    <cellStyle name="Normal 2 2 2 2 2 2 2 2 20 2 2 11 2" xfId="11311"/>
    <cellStyle name="Normal 2 2 2 2 2 2 2 2 20 2 2 11 3" xfId="11312"/>
    <cellStyle name="Normal 2 2 2 2 2 2 2 2 20 2 2 11 4" xfId="11313"/>
    <cellStyle name="Normal 2 2 2 2 2 2 2 2 20 2 2 12" xfId="11314"/>
    <cellStyle name="Normal 2 2 2 2 2 2 2 2 20 2 2 13" xfId="11315"/>
    <cellStyle name="Normal 2 2 2 2 2 2 2 2 20 2 2 14" xfId="11316"/>
    <cellStyle name="Normal 2 2 2 2 2 2 2 2 20 2 2 2" xfId="11317"/>
    <cellStyle name="Normal 2 2 2 2 2 2 2 2 20 2 2 2 10" xfId="11318"/>
    <cellStyle name="Normal 2 2 2 2 2 2 2 2 20 2 2 2 11" xfId="11319"/>
    <cellStyle name="Normal 2 2 2 2 2 2 2 2 20 2 2 2 2" xfId="11320"/>
    <cellStyle name="Normal 2 2 2 2 2 2 2 2 20 2 2 2 2 10" xfId="11321"/>
    <cellStyle name="Normal 2 2 2 2 2 2 2 2 20 2 2 2 2 11" xfId="11322"/>
    <cellStyle name="Normal 2 2 2 2 2 2 2 2 20 2 2 2 2 2" xfId="11323"/>
    <cellStyle name="Normal 2 2 2 2 2 2 2 2 20 2 2 2 2 2 2" xfId="11324"/>
    <cellStyle name="Normal 2 2 2 2 2 2 2 2 20 2 2 2 2 2 2 2" xfId="11325"/>
    <cellStyle name="Normal 2 2 2 2 2 2 2 2 20 2 2 2 2 2 2 3" xfId="11326"/>
    <cellStyle name="Normal 2 2 2 2 2 2 2 2 20 2 2 2 2 2 2 4" xfId="11327"/>
    <cellStyle name="Normal 2 2 2 2 2 2 2 2 20 2 2 2 2 2 3" xfId="11328"/>
    <cellStyle name="Normal 2 2 2 2 2 2 2 2 20 2 2 2 2 2 4" xfId="11329"/>
    <cellStyle name="Normal 2 2 2 2 2 2 2 2 20 2 2 2 2 2 5" xfId="11330"/>
    <cellStyle name="Normal 2 2 2 2 2 2 2 2 20 2 2 2 2 2 6" xfId="11331"/>
    <cellStyle name="Normal 2 2 2 2 2 2 2 2 20 2 2 2 2 3" xfId="11332"/>
    <cellStyle name="Normal 2 2 2 2 2 2 2 2 20 2 2 2 2 4" xfId="11333"/>
    <cellStyle name="Normal 2 2 2 2 2 2 2 2 20 2 2 2 2 5" xfId="11334"/>
    <cellStyle name="Normal 2 2 2 2 2 2 2 2 20 2 2 2 2 6" xfId="11335"/>
    <cellStyle name="Normal 2 2 2 2 2 2 2 2 20 2 2 2 2 7" xfId="11336"/>
    <cellStyle name="Normal 2 2 2 2 2 2 2 2 20 2 2 2 2 8" xfId="11337"/>
    <cellStyle name="Normal 2 2 2 2 2 2 2 2 20 2 2 2 2 8 2" xfId="11338"/>
    <cellStyle name="Normal 2 2 2 2 2 2 2 2 20 2 2 2 2 8 3" xfId="11339"/>
    <cellStyle name="Normal 2 2 2 2 2 2 2 2 20 2 2 2 2 8 4" xfId="11340"/>
    <cellStyle name="Normal 2 2 2 2 2 2 2 2 20 2 2 2 2 9" xfId="11341"/>
    <cellStyle name="Normal 2 2 2 2 2 2 2 2 20 2 2 2 3" xfId="11342"/>
    <cellStyle name="Normal 2 2 2 2 2 2 2 2 20 2 2 2 3 2" xfId="11343"/>
    <cellStyle name="Normal 2 2 2 2 2 2 2 2 20 2 2 2 3 2 2" xfId="11344"/>
    <cellStyle name="Normal 2 2 2 2 2 2 2 2 20 2 2 2 3 2 3" xfId="11345"/>
    <cellStyle name="Normal 2 2 2 2 2 2 2 2 20 2 2 2 3 2 4" xfId="11346"/>
    <cellStyle name="Normal 2 2 2 2 2 2 2 2 20 2 2 2 3 3" xfId="11347"/>
    <cellStyle name="Normal 2 2 2 2 2 2 2 2 20 2 2 2 3 4" xfId="11348"/>
    <cellStyle name="Normal 2 2 2 2 2 2 2 2 20 2 2 2 3 5" xfId="11349"/>
    <cellStyle name="Normal 2 2 2 2 2 2 2 2 20 2 2 2 3 6" xfId="11350"/>
    <cellStyle name="Normal 2 2 2 2 2 2 2 2 20 2 2 2 4" xfId="11351"/>
    <cellStyle name="Normal 2 2 2 2 2 2 2 2 20 2 2 2 5" xfId="11352"/>
    <cellStyle name="Normal 2 2 2 2 2 2 2 2 20 2 2 2 6" xfId="11353"/>
    <cellStyle name="Normal 2 2 2 2 2 2 2 2 20 2 2 2 7" xfId="11354"/>
    <cellStyle name="Normal 2 2 2 2 2 2 2 2 20 2 2 2 8" xfId="11355"/>
    <cellStyle name="Normal 2 2 2 2 2 2 2 2 20 2 2 2 8 2" xfId="11356"/>
    <cellStyle name="Normal 2 2 2 2 2 2 2 2 20 2 2 2 8 3" xfId="11357"/>
    <cellStyle name="Normal 2 2 2 2 2 2 2 2 20 2 2 2 8 4" xfId="11358"/>
    <cellStyle name="Normal 2 2 2 2 2 2 2 2 20 2 2 2 9" xfId="11359"/>
    <cellStyle name="Normal 2 2 2 2 2 2 2 2 20 2 2 3" xfId="11360"/>
    <cellStyle name="Normal 2 2 2 2 2 2 2 2 20 2 2 4" xfId="11361"/>
    <cellStyle name="Normal 2 2 2 2 2 2 2 2 20 2 2 5" xfId="11362"/>
    <cellStyle name="Normal 2 2 2 2 2 2 2 2 20 2 2 5 2" xfId="11363"/>
    <cellStyle name="Normal 2 2 2 2 2 2 2 2 20 2 2 5 2 2" xfId="11364"/>
    <cellStyle name="Normal 2 2 2 2 2 2 2 2 20 2 2 5 2 3" xfId="11365"/>
    <cellStyle name="Normal 2 2 2 2 2 2 2 2 20 2 2 5 2 4" xfId="11366"/>
    <cellStyle name="Normal 2 2 2 2 2 2 2 2 20 2 2 5 3" xfId="11367"/>
    <cellStyle name="Normal 2 2 2 2 2 2 2 2 20 2 2 5 4" xfId="11368"/>
    <cellStyle name="Normal 2 2 2 2 2 2 2 2 20 2 2 5 5" xfId="11369"/>
    <cellStyle name="Normal 2 2 2 2 2 2 2 2 20 2 2 5 6" xfId="11370"/>
    <cellStyle name="Normal 2 2 2 2 2 2 2 2 20 2 2 6" xfId="11371"/>
    <cellStyle name="Normal 2 2 2 2 2 2 2 2 20 2 2 7" xfId="11372"/>
    <cellStyle name="Normal 2 2 2 2 2 2 2 2 20 2 2 8" xfId="11373"/>
    <cellStyle name="Normal 2 2 2 2 2 2 2 2 20 2 2 9" xfId="11374"/>
    <cellStyle name="Normal 2 2 2 2 2 2 2 2 20 2 3" xfId="11375"/>
    <cellStyle name="Normal 2 2 2 2 2 2 2 2 20 2 4" xfId="11376"/>
    <cellStyle name="Normal 2 2 2 2 2 2 2 2 20 2 5" xfId="11377"/>
    <cellStyle name="Normal 2 2 2 2 2 2 2 2 20 2 5 10" xfId="11378"/>
    <cellStyle name="Normal 2 2 2 2 2 2 2 2 20 2 5 11" xfId="11379"/>
    <cellStyle name="Normal 2 2 2 2 2 2 2 2 20 2 5 2" xfId="11380"/>
    <cellStyle name="Normal 2 2 2 2 2 2 2 2 20 2 5 2 10" xfId="11381"/>
    <cellStyle name="Normal 2 2 2 2 2 2 2 2 20 2 5 2 11" xfId="11382"/>
    <cellStyle name="Normal 2 2 2 2 2 2 2 2 20 2 5 2 2" xfId="11383"/>
    <cellStyle name="Normal 2 2 2 2 2 2 2 2 20 2 5 2 2 2" xfId="11384"/>
    <cellStyle name="Normal 2 2 2 2 2 2 2 2 20 2 5 2 2 2 2" xfId="11385"/>
    <cellStyle name="Normal 2 2 2 2 2 2 2 2 20 2 5 2 2 2 3" xfId="11386"/>
    <cellStyle name="Normal 2 2 2 2 2 2 2 2 20 2 5 2 2 2 4" xfId="11387"/>
    <cellStyle name="Normal 2 2 2 2 2 2 2 2 20 2 5 2 2 3" xfId="11388"/>
    <cellStyle name="Normal 2 2 2 2 2 2 2 2 20 2 5 2 2 4" xfId="11389"/>
    <cellStyle name="Normal 2 2 2 2 2 2 2 2 20 2 5 2 2 5" xfId="11390"/>
    <cellStyle name="Normal 2 2 2 2 2 2 2 2 20 2 5 2 2 6" xfId="11391"/>
    <cellStyle name="Normal 2 2 2 2 2 2 2 2 20 2 5 2 3" xfId="11392"/>
    <cellStyle name="Normal 2 2 2 2 2 2 2 2 20 2 5 2 4" xfId="11393"/>
    <cellStyle name="Normal 2 2 2 2 2 2 2 2 20 2 5 2 5" xfId="11394"/>
    <cellStyle name="Normal 2 2 2 2 2 2 2 2 20 2 5 2 6" xfId="11395"/>
    <cellStyle name="Normal 2 2 2 2 2 2 2 2 20 2 5 2 7" xfId="11396"/>
    <cellStyle name="Normal 2 2 2 2 2 2 2 2 20 2 5 2 8" xfId="11397"/>
    <cellStyle name="Normal 2 2 2 2 2 2 2 2 20 2 5 2 8 2" xfId="11398"/>
    <cellStyle name="Normal 2 2 2 2 2 2 2 2 20 2 5 2 8 3" xfId="11399"/>
    <cellStyle name="Normal 2 2 2 2 2 2 2 2 20 2 5 2 8 4" xfId="11400"/>
    <cellStyle name="Normal 2 2 2 2 2 2 2 2 20 2 5 2 9" xfId="11401"/>
    <cellStyle name="Normal 2 2 2 2 2 2 2 2 20 2 5 3" xfId="11402"/>
    <cellStyle name="Normal 2 2 2 2 2 2 2 2 20 2 5 3 2" xfId="11403"/>
    <cellStyle name="Normal 2 2 2 2 2 2 2 2 20 2 5 3 2 2" xfId="11404"/>
    <cellStyle name="Normal 2 2 2 2 2 2 2 2 20 2 5 3 2 3" xfId="11405"/>
    <cellStyle name="Normal 2 2 2 2 2 2 2 2 20 2 5 3 2 4" xfId="11406"/>
    <cellStyle name="Normal 2 2 2 2 2 2 2 2 20 2 5 3 3" xfId="11407"/>
    <cellStyle name="Normal 2 2 2 2 2 2 2 2 20 2 5 3 4" xfId="11408"/>
    <cellStyle name="Normal 2 2 2 2 2 2 2 2 20 2 5 3 5" xfId="11409"/>
    <cellStyle name="Normal 2 2 2 2 2 2 2 2 20 2 5 3 6" xfId="11410"/>
    <cellStyle name="Normal 2 2 2 2 2 2 2 2 20 2 5 4" xfId="11411"/>
    <cellStyle name="Normal 2 2 2 2 2 2 2 2 20 2 5 5" xfId="11412"/>
    <cellStyle name="Normal 2 2 2 2 2 2 2 2 20 2 5 6" xfId="11413"/>
    <cellStyle name="Normal 2 2 2 2 2 2 2 2 20 2 5 7" xfId="11414"/>
    <cellStyle name="Normal 2 2 2 2 2 2 2 2 20 2 5 8" xfId="11415"/>
    <cellStyle name="Normal 2 2 2 2 2 2 2 2 20 2 5 8 2" xfId="11416"/>
    <cellStyle name="Normal 2 2 2 2 2 2 2 2 20 2 5 8 3" xfId="11417"/>
    <cellStyle name="Normal 2 2 2 2 2 2 2 2 20 2 5 8 4" xfId="11418"/>
    <cellStyle name="Normal 2 2 2 2 2 2 2 2 20 2 5 9" xfId="11419"/>
    <cellStyle name="Normal 2 2 2 2 2 2 2 2 20 2 6" xfId="11420"/>
    <cellStyle name="Normal 2 2 2 2 2 2 2 2 20 2 7" xfId="11421"/>
    <cellStyle name="Normal 2 2 2 2 2 2 2 2 20 2 7 2" xfId="11422"/>
    <cellStyle name="Normal 2 2 2 2 2 2 2 2 20 2 7 2 2" xfId="11423"/>
    <cellStyle name="Normal 2 2 2 2 2 2 2 2 20 2 7 2 3" xfId="11424"/>
    <cellStyle name="Normal 2 2 2 2 2 2 2 2 20 2 7 2 4" xfId="11425"/>
    <cellStyle name="Normal 2 2 2 2 2 2 2 2 20 2 7 3" xfId="11426"/>
    <cellStyle name="Normal 2 2 2 2 2 2 2 2 20 2 7 4" xfId="11427"/>
    <cellStyle name="Normal 2 2 2 2 2 2 2 2 20 2 7 5" xfId="11428"/>
    <cellStyle name="Normal 2 2 2 2 2 2 2 2 20 2 7 6" xfId="11429"/>
    <cellStyle name="Normal 2 2 2 2 2 2 2 2 20 2 8" xfId="11430"/>
    <cellStyle name="Normal 2 2 2 2 2 2 2 2 20 2 9" xfId="11431"/>
    <cellStyle name="Normal 2 2 2 2 2 2 2 2 20 20" xfId="11432"/>
    <cellStyle name="Normal 2 2 2 2 2 2 2 2 20 21" xfId="11433"/>
    <cellStyle name="Normal 2 2 2 2 2 2 2 2 20 21 2" xfId="11434"/>
    <cellStyle name="Normal 2 2 2 2 2 2 2 2 20 21 3" xfId="11435"/>
    <cellStyle name="Normal 2 2 2 2 2 2 2 2 20 21 4" xfId="11436"/>
    <cellStyle name="Normal 2 2 2 2 2 2 2 2 20 22" xfId="11437"/>
    <cellStyle name="Normal 2 2 2 2 2 2 2 2 20 23" xfId="11438"/>
    <cellStyle name="Normal 2 2 2 2 2 2 2 2 20 24" xfId="11439"/>
    <cellStyle name="Normal 2 2 2 2 2 2 2 2 20 3" xfId="11440"/>
    <cellStyle name="Normal 2 2 2 2 2 2 2 2 20 4" xfId="11441"/>
    <cellStyle name="Normal 2 2 2 2 2 2 2 2 20 5" xfId="11442"/>
    <cellStyle name="Normal 2 2 2 2 2 2 2 2 20 6" xfId="11443"/>
    <cellStyle name="Normal 2 2 2 2 2 2 2 2 20 7" xfId="11444"/>
    <cellStyle name="Normal 2 2 2 2 2 2 2 2 20 8" xfId="11445"/>
    <cellStyle name="Normal 2 2 2 2 2 2 2 2 20 9" xfId="11446"/>
    <cellStyle name="Normal 2 2 2 2 2 2 2 2 21" xfId="11447"/>
    <cellStyle name="Normal 2 2 2 2 2 2 2 2 21 10" xfId="11448"/>
    <cellStyle name="Normal 2 2 2 2 2 2 2 2 21 11" xfId="11449"/>
    <cellStyle name="Normal 2 2 2 2 2 2 2 2 21 12" xfId="11450"/>
    <cellStyle name="Normal 2 2 2 2 2 2 2 2 21 13" xfId="11451"/>
    <cellStyle name="Normal 2 2 2 2 2 2 2 2 21 13 2" xfId="11452"/>
    <cellStyle name="Normal 2 2 2 2 2 2 2 2 21 13 3" xfId="11453"/>
    <cellStyle name="Normal 2 2 2 2 2 2 2 2 21 13 4" xfId="11454"/>
    <cellStyle name="Normal 2 2 2 2 2 2 2 2 21 14" xfId="11455"/>
    <cellStyle name="Normal 2 2 2 2 2 2 2 2 21 15" xfId="11456"/>
    <cellStyle name="Normal 2 2 2 2 2 2 2 2 21 16" xfId="11457"/>
    <cellStyle name="Normal 2 2 2 2 2 2 2 2 21 2" xfId="11458"/>
    <cellStyle name="Normal 2 2 2 2 2 2 2 2 21 2 10" xfId="11459"/>
    <cellStyle name="Normal 2 2 2 2 2 2 2 2 21 2 11" xfId="11460"/>
    <cellStyle name="Normal 2 2 2 2 2 2 2 2 21 2 11 2" xfId="11461"/>
    <cellStyle name="Normal 2 2 2 2 2 2 2 2 21 2 11 3" xfId="11462"/>
    <cellStyle name="Normal 2 2 2 2 2 2 2 2 21 2 11 4" xfId="11463"/>
    <cellStyle name="Normal 2 2 2 2 2 2 2 2 21 2 12" xfId="11464"/>
    <cellStyle name="Normal 2 2 2 2 2 2 2 2 21 2 13" xfId="11465"/>
    <cellStyle name="Normal 2 2 2 2 2 2 2 2 21 2 14" xfId="11466"/>
    <cellStyle name="Normal 2 2 2 2 2 2 2 2 21 2 2" xfId="11467"/>
    <cellStyle name="Normal 2 2 2 2 2 2 2 2 21 2 2 10" xfId="11468"/>
    <cellStyle name="Normal 2 2 2 2 2 2 2 2 21 2 2 11" xfId="11469"/>
    <cellStyle name="Normal 2 2 2 2 2 2 2 2 21 2 2 2" xfId="11470"/>
    <cellStyle name="Normal 2 2 2 2 2 2 2 2 21 2 2 2 10" xfId="11471"/>
    <cellStyle name="Normal 2 2 2 2 2 2 2 2 21 2 2 2 11" xfId="11472"/>
    <cellStyle name="Normal 2 2 2 2 2 2 2 2 21 2 2 2 2" xfId="11473"/>
    <cellStyle name="Normal 2 2 2 2 2 2 2 2 21 2 2 2 2 2" xfId="11474"/>
    <cellStyle name="Normal 2 2 2 2 2 2 2 2 21 2 2 2 2 2 2" xfId="11475"/>
    <cellStyle name="Normal 2 2 2 2 2 2 2 2 21 2 2 2 2 2 3" xfId="11476"/>
    <cellStyle name="Normal 2 2 2 2 2 2 2 2 21 2 2 2 2 2 4" xfId="11477"/>
    <cellStyle name="Normal 2 2 2 2 2 2 2 2 21 2 2 2 2 3" xfId="11478"/>
    <cellStyle name="Normal 2 2 2 2 2 2 2 2 21 2 2 2 2 4" xfId="11479"/>
    <cellStyle name="Normal 2 2 2 2 2 2 2 2 21 2 2 2 2 5" xfId="11480"/>
    <cellStyle name="Normal 2 2 2 2 2 2 2 2 21 2 2 2 2 6" xfId="11481"/>
    <cellStyle name="Normal 2 2 2 2 2 2 2 2 21 2 2 2 3" xfId="11482"/>
    <cellStyle name="Normal 2 2 2 2 2 2 2 2 21 2 2 2 4" xfId="11483"/>
    <cellStyle name="Normal 2 2 2 2 2 2 2 2 21 2 2 2 5" xfId="11484"/>
    <cellStyle name="Normal 2 2 2 2 2 2 2 2 21 2 2 2 6" xfId="11485"/>
    <cellStyle name="Normal 2 2 2 2 2 2 2 2 21 2 2 2 7" xfId="11486"/>
    <cellStyle name="Normal 2 2 2 2 2 2 2 2 21 2 2 2 8" xfId="11487"/>
    <cellStyle name="Normal 2 2 2 2 2 2 2 2 21 2 2 2 8 2" xfId="11488"/>
    <cellStyle name="Normal 2 2 2 2 2 2 2 2 21 2 2 2 8 3" xfId="11489"/>
    <cellStyle name="Normal 2 2 2 2 2 2 2 2 21 2 2 2 8 4" xfId="11490"/>
    <cellStyle name="Normal 2 2 2 2 2 2 2 2 21 2 2 2 9" xfId="11491"/>
    <cellStyle name="Normal 2 2 2 2 2 2 2 2 21 2 2 3" xfId="11492"/>
    <cellStyle name="Normal 2 2 2 2 2 2 2 2 21 2 2 3 2" xfId="11493"/>
    <cellStyle name="Normal 2 2 2 2 2 2 2 2 21 2 2 3 2 2" xfId="11494"/>
    <cellStyle name="Normal 2 2 2 2 2 2 2 2 21 2 2 3 2 3" xfId="11495"/>
    <cellStyle name="Normal 2 2 2 2 2 2 2 2 21 2 2 3 2 4" xfId="11496"/>
    <cellStyle name="Normal 2 2 2 2 2 2 2 2 21 2 2 3 3" xfId="11497"/>
    <cellStyle name="Normal 2 2 2 2 2 2 2 2 21 2 2 3 4" xfId="11498"/>
    <cellStyle name="Normal 2 2 2 2 2 2 2 2 21 2 2 3 5" xfId="11499"/>
    <cellStyle name="Normal 2 2 2 2 2 2 2 2 21 2 2 3 6" xfId="11500"/>
    <cellStyle name="Normal 2 2 2 2 2 2 2 2 21 2 2 4" xfId="11501"/>
    <cellStyle name="Normal 2 2 2 2 2 2 2 2 21 2 2 5" xfId="11502"/>
    <cellStyle name="Normal 2 2 2 2 2 2 2 2 21 2 2 6" xfId="11503"/>
    <cellStyle name="Normal 2 2 2 2 2 2 2 2 21 2 2 7" xfId="11504"/>
    <cellStyle name="Normal 2 2 2 2 2 2 2 2 21 2 2 8" xfId="11505"/>
    <cellStyle name="Normal 2 2 2 2 2 2 2 2 21 2 2 8 2" xfId="11506"/>
    <cellStyle name="Normal 2 2 2 2 2 2 2 2 21 2 2 8 3" xfId="11507"/>
    <cellStyle name="Normal 2 2 2 2 2 2 2 2 21 2 2 8 4" xfId="11508"/>
    <cellStyle name="Normal 2 2 2 2 2 2 2 2 21 2 2 9" xfId="11509"/>
    <cellStyle name="Normal 2 2 2 2 2 2 2 2 21 2 3" xfId="11510"/>
    <cellStyle name="Normal 2 2 2 2 2 2 2 2 21 2 4" xfId="11511"/>
    <cellStyle name="Normal 2 2 2 2 2 2 2 2 21 2 5" xfId="11512"/>
    <cellStyle name="Normal 2 2 2 2 2 2 2 2 21 2 5 2" xfId="11513"/>
    <cellStyle name="Normal 2 2 2 2 2 2 2 2 21 2 5 2 2" xfId="11514"/>
    <cellStyle name="Normal 2 2 2 2 2 2 2 2 21 2 5 2 3" xfId="11515"/>
    <cellStyle name="Normal 2 2 2 2 2 2 2 2 21 2 5 2 4" xfId="11516"/>
    <cellStyle name="Normal 2 2 2 2 2 2 2 2 21 2 5 3" xfId="11517"/>
    <cellStyle name="Normal 2 2 2 2 2 2 2 2 21 2 5 4" xfId="11518"/>
    <cellStyle name="Normal 2 2 2 2 2 2 2 2 21 2 5 5" xfId="11519"/>
    <cellStyle name="Normal 2 2 2 2 2 2 2 2 21 2 5 6" xfId="11520"/>
    <cellStyle name="Normal 2 2 2 2 2 2 2 2 21 2 6" xfId="11521"/>
    <cellStyle name="Normal 2 2 2 2 2 2 2 2 21 2 7" xfId="11522"/>
    <cellStyle name="Normal 2 2 2 2 2 2 2 2 21 2 8" xfId="11523"/>
    <cellStyle name="Normal 2 2 2 2 2 2 2 2 21 2 9" xfId="11524"/>
    <cellStyle name="Normal 2 2 2 2 2 2 2 2 21 3" xfId="11525"/>
    <cellStyle name="Normal 2 2 2 2 2 2 2 2 21 4" xfId="11526"/>
    <cellStyle name="Normal 2 2 2 2 2 2 2 2 21 5" xfId="11527"/>
    <cellStyle name="Normal 2 2 2 2 2 2 2 2 21 5 10" xfId="11528"/>
    <cellStyle name="Normal 2 2 2 2 2 2 2 2 21 5 11" xfId="11529"/>
    <cellStyle name="Normal 2 2 2 2 2 2 2 2 21 5 2" xfId="11530"/>
    <cellStyle name="Normal 2 2 2 2 2 2 2 2 21 5 2 10" xfId="11531"/>
    <cellStyle name="Normal 2 2 2 2 2 2 2 2 21 5 2 11" xfId="11532"/>
    <cellStyle name="Normal 2 2 2 2 2 2 2 2 21 5 2 2" xfId="11533"/>
    <cellStyle name="Normal 2 2 2 2 2 2 2 2 21 5 2 2 2" xfId="11534"/>
    <cellStyle name="Normal 2 2 2 2 2 2 2 2 21 5 2 2 2 2" xfId="11535"/>
    <cellStyle name="Normal 2 2 2 2 2 2 2 2 21 5 2 2 2 3" xfId="11536"/>
    <cellStyle name="Normal 2 2 2 2 2 2 2 2 21 5 2 2 2 4" xfId="11537"/>
    <cellStyle name="Normal 2 2 2 2 2 2 2 2 21 5 2 2 3" xfId="11538"/>
    <cellStyle name="Normal 2 2 2 2 2 2 2 2 21 5 2 2 4" xfId="11539"/>
    <cellStyle name="Normal 2 2 2 2 2 2 2 2 21 5 2 2 5" xfId="11540"/>
    <cellStyle name="Normal 2 2 2 2 2 2 2 2 21 5 2 2 6" xfId="11541"/>
    <cellStyle name="Normal 2 2 2 2 2 2 2 2 21 5 2 3" xfId="11542"/>
    <cellStyle name="Normal 2 2 2 2 2 2 2 2 21 5 2 4" xfId="11543"/>
    <cellStyle name="Normal 2 2 2 2 2 2 2 2 21 5 2 5" xfId="11544"/>
    <cellStyle name="Normal 2 2 2 2 2 2 2 2 21 5 2 6" xfId="11545"/>
    <cellStyle name="Normal 2 2 2 2 2 2 2 2 21 5 2 7" xfId="11546"/>
    <cellStyle name="Normal 2 2 2 2 2 2 2 2 21 5 2 8" xfId="11547"/>
    <cellStyle name="Normal 2 2 2 2 2 2 2 2 21 5 2 8 2" xfId="11548"/>
    <cellStyle name="Normal 2 2 2 2 2 2 2 2 21 5 2 8 3" xfId="11549"/>
    <cellStyle name="Normal 2 2 2 2 2 2 2 2 21 5 2 8 4" xfId="11550"/>
    <cellStyle name="Normal 2 2 2 2 2 2 2 2 21 5 2 9" xfId="11551"/>
    <cellStyle name="Normal 2 2 2 2 2 2 2 2 21 5 3" xfId="11552"/>
    <cellStyle name="Normal 2 2 2 2 2 2 2 2 21 5 3 2" xfId="11553"/>
    <cellStyle name="Normal 2 2 2 2 2 2 2 2 21 5 3 2 2" xfId="11554"/>
    <cellStyle name="Normal 2 2 2 2 2 2 2 2 21 5 3 2 3" xfId="11555"/>
    <cellStyle name="Normal 2 2 2 2 2 2 2 2 21 5 3 2 4" xfId="11556"/>
    <cellStyle name="Normal 2 2 2 2 2 2 2 2 21 5 3 3" xfId="11557"/>
    <cellStyle name="Normal 2 2 2 2 2 2 2 2 21 5 3 4" xfId="11558"/>
    <cellStyle name="Normal 2 2 2 2 2 2 2 2 21 5 3 5" xfId="11559"/>
    <cellStyle name="Normal 2 2 2 2 2 2 2 2 21 5 3 6" xfId="11560"/>
    <cellStyle name="Normal 2 2 2 2 2 2 2 2 21 5 4" xfId="11561"/>
    <cellStyle name="Normal 2 2 2 2 2 2 2 2 21 5 5" xfId="11562"/>
    <cellStyle name="Normal 2 2 2 2 2 2 2 2 21 5 6" xfId="11563"/>
    <cellStyle name="Normal 2 2 2 2 2 2 2 2 21 5 7" xfId="11564"/>
    <cellStyle name="Normal 2 2 2 2 2 2 2 2 21 5 8" xfId="11565"/>
    <cellStyle name="Normal 2 2 2 2 2 2 2 2 21 5 8 2" xfId="11566"/>
    <cellStyle name="Normal 2 2 2 2 2 2 2 2 21 5 8 3" xfId="11567"/>
    <cellStyle name="Normal 2 2 2 2 2 2 2 2 21 5 8 4" xfId="11568"/>
    <cellStyle name="Normal 2 2 2 2 2 2 2 2 21 5 9" xfId="11569"/>
    <cellStyle name="Normal 2 2 2 2 2 2 2 2 21 6" xfId="11570"/>
    <cellStyle name="Normal 2 2 2 2 2 2 2 2 21 7" xfId="11571"/>
    <cellStyle name="Normal 2 2 2 2 2 2 2 2 21 7 2" xfId="11572"/>
    <cellStyle name="Normal 2 2 2 2 2 2 2 2 21 7 2 2" xfId="11573"/>
    <cellStyle name="Normal 2 2 2 2 2 2 2 2 21 7 2 3" xfId="11574"/>
    <cellStyle name="Normal 2 2 2 2 2 2 2 2 21 7 2 4" xfId="11575"/>
    <cellStyle name="Normal 2 2 2 2 2 2 2 2 21 7 3" xfId="11576"/>
    <cellStyle name="Normal 2 2 2 2 2 2 2 2 21 7 4" xfId="11577"/>
    <cellStyle name="Normal 2 2 2 2 2 2 2 2 21 7 5" xfId="11578"/>
    <cellStyle name="Normal 2 2 2 2 2 2 2 2 21 7 6" xfId="11579"/>
    <cellStyle name="Normal 2 2 2 2 2 2 2 2 21 8" xfId="11580"/>
    <cellStyle name="Normal 2 2 2 2 2 2 2 2 21 9" xfId="11581"/>
    <cellStyle name="Normal 2 2 2 2 2 2 2 2 22" xfId="11582"/>
    <cellStyle name="Normal 2 2 2 2 2 2 2 2 23" xfId="11583"/>
    <cellStyle name="Normal 2 2 2 2 2 2 2 2 24" xfId="11584"/>
    <cellStyle name="Normal 2 2 2 2 2 2 2 2 25" xfId="11585"/>
    <cellStyle name="Normal 2 2 2 2 2 2 2 2 26" xfId="11586"/>
    <cellStyle name="Normal 2 2 2 2 2 2 2 2 27" xfId="11587"/>
    <cellStyle name="Normal 2 2 2 2 2 2 2 2 28" xfId="11588"/>
    <cellStyle name="Normal 2 2 2 2 2 2 2 2 29" xfId="11589"/>
    <cellStyle name="Normal 2 2 2 2 2 2 2 2 29 10" xfId="11590"/>
    <cellStyle name="Normal 2 2 2 2 2 2 2 2 29 11" xfId="11591"/>
    <cellStyle name="Normal 2 2 2 2 2 2 2 2 29 11 2" xfId="11592"/>
    <cellStyle name="Normal 2 2 2 2 2 2 2 2 29 11 3" xfId="11593"/>
    <cellStyle name="Normal 2 2 2 2 2 2 2 2 29 11 4" xfId="11594"/>
    <cellStyle name="Normal 2 2 2 2 2 2 2 2 29 12" xfId="11595"/>
    <cellStyle name="Normal 2 2 2 2 2 2 2 2 29 13" xfId="11596"/>
    <cellStyle name="Normal 2 2 2 2 2 2 2 2 29 14" xfId="11597"/>
    <cellStyle name="Normal 2 2 2 2 2 2 2 2 29 2" xfId="11598"/>
    <cellStyle name="Normal 2 2 2 2 2 2 2 2 29 2 10" xfId="11599"/>
    <cellStyle name="Normal 2 2 2 2 2 2 2 2 29 2 11" xfId="11600"/>
    <cellStyle name="Normal 2 2 2 2 2 2 2 2 29 2 2" xfId="11601"/>
    <cellStyle name="Normal 2 2 2 2 2 2 2 2 29 2 2 10" xfId="11602"/>
    <cellStyle name="Normal 2 2 2 2 2 2 2 2 29 2 2 11" xfId="11603"/>
    <cellStyle name="Normal 2 2 2 2 2 2 2 2 29 2 2 2" xfId="11604"/>
    <cellStyle name="Normal 2 2 2 2 2 2 2 2 29 2 2 2 2" xfId="11605"/>
    <cellStyle name="Normal 2 2 2 2 2 2 2 2 29 2 2 2 2 2" xfId="11606"/>
    <cellStyle name="Normal 2 2 2 2 2 2 2 2 29 2 2 2 2 3" xfId="11607"/>
    <cellStyle name="Normal 2 2 2 2 2 2 2 2 29 2 2 2 2 4" xfId="11608"/>
    <cellStyle name="Normal 2 2 2 2 2 2 2 2 29 2 2 2 3" xfId="11609"/>
    <cellStyle name="Normal 2 2 2 2 2 2 2 2 29 2 2 2 4" xfId="11610"/>
    <cellStyle name="Normal 2 2 2 2 2 2 2 2 29 2 2 2 5" xfId="11611"/>
    <cellStyle name="Normal 2 2 2 2 2 2 2 2 29 2 2 2 6" xfId="11612"/>
    <cellStyle name="Normal 2 2 2 2 2 2 2 2 29 2 2 3" xfId="11613"/>
    <cellStyle name="Normal 2 2 2 2 2 2 2 2 29 2 2 4" xfId="11614"/>
    <cellStyle name="Normal 2 2 2 2 2 2 2 2 29 2 2 5" xfId="11615"/>
    <cellStyle name="Normal 2 2 2 2 2 2 2 2 29 2 2 6" xfId="11616"/>
    <cellStyle name="Normal 2 2 2 2 2 2 2 2 29 2 2 7" xfId="11617"/>
    <cellStyle name="Normal 2 2 2 2 2 2 2 2 29 2 2 8" xfId="11618"/>
    <cellStyle name="Normal 2 2 2 2 2 2 2 2 29 2 2 8 2" xfId="11619"/>
    <cellStyle name="Normal 2 2 2 2 2 2 2 2 29 2 2 8 3" xfId="11620"/>
    <cellStyle name="Normal 2 2 2 2 2 2 2 2 29 2 2 8 4" xfId="11621"/>
    <cellStyle name="Normal 2 2 2 2 2 2 2 2 29 2 2 9" xfId="11622"/>
    <cellStyle name="Normal 2 2 2 2 2 2 2 2 29 2 3" xfId="11623"/>
    <cellStyle name="Normal 2 2 2 2 2 2 2 2 29 2 3 2" xfId="11624"/>
    <cellStyle name="Normal 2 2 2 2 2 2 2 2 29 2 3 2 2" xfId="11625"/>
    <cellStyle name="Normal 2 2 2 2 2 2 2 2 29 2 3 2 3" xfId="11626"/>
    <cellStyle name="Normal 2 2 2 2 2 2 2 2 29 2 3 2 4" xfId="11627"/>
    <cellStyle name="Normal 2 2 2 2 2 2 2 2 29 2 3 3" xfId="11628"/>
    <cellStyle name="Normal 2 2 2 2 2 2 2 2 29 2 3 4" xfId="11629"/>
    <cellStyle name="Normal 2 2 2 2 2 2 2 2 29 2 3 5" xfId="11630"/>
    <cellStyle name="Normal 2 2 2 2 2 2 2 2 29 2 3 6" xfId="11631"/>
    <cellStyle name="Normal 2 2 2 2 2 2 2 2 29 2 4" xfId="11632"/>
    <cellStyle name="Normal 2 2 2 2 2 2 2 2 29 2 5" xfId="11633"/>
    <cellStyle name="Normal 2 2 2 2 2 2 2 2 29 2 6" xfId="11634"/>
    <cellStyle name="Normal 2 2 2 2 2 2 2 2 29 2 7" xfId="11635"/>
    <cellStyle name="Normal 2 2 2 2 2 2 2 2 29 2 8" xfId="11636"/>
    <cellStyle name="Normal 2 2 2 2 2 2 2 2 29 2 8 2" xfId="11637"/>
    <cellStyle name="Normal 2 2 2 2 2 2 2 2 29 2 8 3" xfId="11638"/>
    <cellStyle name="Normal 2 2 2 2 2 2 2 2 29 2 8 4" xfId="11639"/>
    <cellStyle name="Normal 2 2 2 2 2 2 2 2 29 2 9" xfId="11640"/>
    <cellStyle name="Normal 2 2 2 2 2 2 2 2 29 3" xfId="11641"/>
    <cellStyle name="Normal 2 2 2 2 2 2 2 2 29 4" xfId="11642"/>
    <cellStyle name="Normal 2 2 2 2 2 2 2 2 29 5" xfId="11643"/>
    <cellStyle name="Normal 2 2 2 2 2 2 2 2 29 5 2" xfId="11644"/>
    <cellStyle name="Normal 2 2 2 2 2 2 2 2 29 5 2 2" xfId="11645"/>
    <cellStyle name="Normal 2 2 2 2 2 2 2 2 29 5 2 3" xfId="11646"/>
    <cellStyle name="Normal 2 2 2 2 2 2 2 2 29 5 2 4" xfId="11647"/>
    <cellStyle name="Normal 2 2 2 2 2 2 2 2 29 5 3" xfId="11648"/>
    <cellStyle name="Normal 2 2 2 2 2 2 2 2 29 5 4" xfId="11649"/>
    <cellStyle name="Normal 2 2 2 2 2 2 2 2 29 5 5" xfId="11650"/>
    <cellStyle name="Normal 2 2 2 2 2 2 2 2 29 5 6" xfId="11651"/>
    <cellStyle name="Normal 2 2 2 2 2 2 2 2 29 6" xfId="11652"/>
    <cellStyle name="Normal 2 2 2 2 2 2 2 2 29 7" xfId="11653"/>
    <cellStyle name="Normal 2 2 2 2 2 2 2 2 29 8" xfId="11654"/>
    <cellStyle name="Normal 2 2 2 2 2 2 2 2 29 9" xfId="11655"/>
    <cellStyle name="Normal 2 2 2 2 2 2 2 2 3" xfId="11656"/>
    <cellStyle name="Normal 2 2 2 2 2 2 2 2 30" xfId="11657"/>
    <cellStyle name="Normal 2 2 2 2 2 2 2 2 31" xfId="11658"/>
    <cellStyle name="Normal 2 2 2 2 2 2 2 2 31 10" xfId="11659"/>
    <cellStyle name="Normal 2 2 2 2 2 2 2 2 31 11" xfId="11660"/>
    <cellStyle name="Normal 2 2 2 2 2 2 2 2 31 2" xfId="11661"/>
    <cellStyle name="Normal 2 2 2 2 2 2 2 2 31 2 10" xfId="11662"/>
    <cellStyle name="Normal 2 2 2 2 2 2 2 2 31 2 11" xfId="11663"/>
    <cellStyle name="Normal 2 2 2 2 2 2 2 2 31 2 2" xfId="11664"/>
    <cellStyle name="Normal 2 2 2 2 2 2 2 2 31 2 2 2" xfId="11665"/>
    <cellStyle name="Normal 2 2 2 2 2 2 2 2 31 2 2 2 2" xfId="11666"/>
    <cellStyle name="Normal 2 2 2 2 2 2 2 2 31 2 2 2 3" xfId="11667"/>
    <cellStyle name="Normal 2 2 2 2 2 2 2 2 31 2 2 2 4" xfId="11668"/>
    <cellStyle name="Normal 2 2 2 2 2 2 2 2 31 2 2 3" xfId="11669"/>
    <cellStyle name="Normal 2 2 2 2 2 2 2 2 31 2 2 4" xfId="11670"/>
    <cellStyle name="Normal 2 2 2 2 2 2 2 2 31 2 2 5" xfId="11671"/>
    <cellStyle name="Normal 2 2 2 2 2 2 2 2 31 2 2 6" xfId="11672"/>
    <cellStyle name="Normal 2 2 2 2 2 2 2 2 31 2 3" xfId="11673"/>
    <cellStyle name="Normal 2 2 2 2 2 2 2 2 31 2 4" xfId="11674"/>
    <cellStyle name="Normal 2 2 2 2 2 2 2 2 31 2 5" xfId="11675"/>
    <cellStyle name="Normal 2 2 2 2 2 2 2 2 31 2 6" xfId="11676"/>
    <cellStyle name="Normal 2 2 2 2 2 2 2 2 31 2 7" xfId="11677"/>
    <cellStyle name="Normal 2 2 2 2 2 2 2 2 31 2 8" xfId="11678"/>
    <cellStyle name="Normal 2 2 2 2 2 2 2 2 31 2 8 2" xfId="11679"/>
    <cellStyle name="Normal 2 2 2 2 2 2 2 2 31 2 8 3" xfId="11680"/>
    <cellStyle name="Normal 2 2 2 2 2 2 2 2 31 2 8 4" xfId="11681"/>
    <cellStyle name="Normal 2 2 2 2 2 2 2 2 31 2 9" xfId="11682"/>
    <cellStyle name="Normal 2 2 2 2 2 2 2 2 31 3" xfId="11683"/>
    <cellStyle name="Normal 2 2 2 2 2 2 2 2 31 3 2" xfId="11684"/>
    <cellStyle name="Normal 2 2 2 2 2 2 2 2 31 3 2 2" xfId="11685"/>
    <cellStyle name="Normal 2 2 2 2 2 2 2 2 31 3 2 3" xfId="11686"/>
    <cellStyle name="Normal 2 2 2 2 2 2 2 2 31 3 2 4" xfId="11687"/>
    <cellStyle name="Normal 2 2 2 2 2 2 2 2 31 3 3" xfId="11688"/>
    <cellStyle name="Normal 2 2 2 2 2 2 2 2 31 3 4" xfId="11689"/>
    <cellStyle name="Normal 2 2 2 2 2 2 2 2 31 3 5" xfId="11690"/>
    <cellStyle name="Normal 2 2 2 2 2 2 2 2 31 3 6" xfId="11691"/>
    <cellStyle name="Normal 2 2 2 2 2 2 2 2 31 4" xfId="11692"/>
    <cellStyle name="Normal 2 2 2 2 2 2 2 2 31 5" xfId="11693"/>
    <cellStyle name="Normal 2 2 2 2 2 2 2 2 31 6" xfId="11694"/>
    <cellStyle name="Normal 2 2 2 2 2 2 2 2 31 7" xfId="11695"/>
    <cellStyle name="Normal 2 2 2 2 2 2 2 2 31 8" xfId="11696"/>
    <cellStyle name="Normal 2 2 2 2 2 2 2 2 31 8 2" xfId="11697"/>
    <cellStyle name="Normal 2 2 2 2 2 2 2 2 31 8 3" xfId="11698"/>
    <cellStyle name="Normal 2 2 2 2 2 2 2 2 31 8 4" xfId="11699"/>
    <cellStyle name="Normal 2 2 2 2 2 2 2 2 31 9" xfId="11700"/>
    <cellStyle name="Normal 2 2 2 2 2 2 2 2 32" xfId="11701"/>
    <cellStyle name="Normal 2 2 2 2 2 2 2 2 33" xfId="11702"/>
    <cellStyle name="Normal 2 2 2 2 2 2 2 2 33 2" xfId="11703"/>
    <cellStyle name="Normal 2 2 2 2 2 2 2 2 33 2 2" xfId="11704"/>
    <cellStyle name="Normal 2 2 2 2 2 2 2 2 33 2 3" xfId="11705"/>
    <cellStyle name="Normal 2 2 2 2 2 2 2 2 33 2 4" xfId="11706"/>
    <cellStyle name="Normal 2 2 2 2 2 2 2 2 33 3" xfId="11707"/>
    <cellStyle name="Normal 2 2 2 2 2 2 2 2 33 4" xfId="11708"/>
    <cellStyle name="Normal 2 2 2 2 2 2 2 2 33 5" xfId="11709"/>
    <cellStyle name="Normal 2 2 2 2 2 2 2 2 33 6" xfId="11710"/>
    <cellStyle name="Normal 2 2 2 2 2 2 2 2 34" xfId="11711"/>
    <cellStyle name="Normal 2 2 2 2 2 2 2 2 35" xfId="11712"/>
    <cellStyle name="Normal 2 2 2 2 2 2 2 2 36" xfId="11713"/>
    <cellStyle name="Normal 2 2 2 2 2 2 2 2 37" xfId="11714"/>
    <cellStyle name="Normal 2 2 2 2 2 2 2 2 38" xfId="11715"/>
    <cellStyle name="Normal 2 2 2 2 2 2 2 2 39" xfId="11716"/>
    <cellStyle name="Normal 2 2 2 2 2 2 2 2 39 2" xfId="11717"/>
    <cellStyle name="Normal 2 2 2 2 2 2 2 2 39 3" xfId="11718"/>
    <cellStyle name="Normal 2 2 2 2 2 2 2 2 39 4" xfId="11719"/>
    <cellStyle name="Normal 2 2 2 2 2 2 2 2 4" xfId="11720"/>
    <cellStyle name="Normal 2 2 2 2 2 2 2 2 40" xfId="11721"/>
    <cellStyle name="Normal 2 2 2 2 2 2 2 2 41" xfId="11722"/>
    <cellStyle name="Normal 2 2 2 2 2 2 2 2 42" xfId="11723"/>
    <cellStyle name="Normal 2 2 2 2 2 2 2 2 43" xfId="11724"/>
    <cellStyle name="Normal 2 2 2 2 2 2 2 2 44" xfId="11725"/>
    <cellStyle name="Normal 2 2 2 2 2 2 2 2 45" xfId="11726"/>
    <cellStyle name="Normal 2 2 2 2 2 2 2 2 46" xfId="11727"/>
    <cellStyle name="Normal 2 2 2 2 2 2 2 2 47" xfId="11728"/>
    <cellStyle name="Normal 2 2 2 2 2 2 2 2 48" xfId="11729"/>
    <cellStyle name="Normal 2 2 2 2 2 2 2 2 49" xfId="11730"/>
    <cellStyle name="Normal 2 2 2 2 2 2 2 2 5" xfId="11731"/>
    <cellStyle name="Normal 2 2 2 2 2 2 2 2 50" xfId="11732"/>
    <cellStyle name="Normal 2 2 2 2 2 2 2 2 51" xfId="11733"/>
    <cellStyle name="Normal 2 2 2 2 2 2 2 2 52" xfId="11734"/>
    <cellStyle name="Normal 2 2 2 2 2 2 2 2 53" xfId="11735"/>
    <cellStyle name="Normal 2 2 2 2 2 2 2 2 54" xfId="11736"/>
    <cellStyle name="Normal 2 2 2 2 2 2 2 2 54 2" xfId="11737"/>
    <cellStyle name="Normal 2 2 2 2 2 2 2 2 54 3" xfId="11738"/>
    <cellStyle name="Normal 2 2 2 2 2 2 2 2 54 4" xfId="11739"/>
    <cellStyle name="Normal 2 2 2 2 2 2 2 2 54 5" xfId="11740"/>
    <cellStyle name="Normal 2 2 2 2 2 2 2 2 54 6" xfId="11741"/>
    <cellStyle name="Normal 2 2 2 2 2 2 2 2 54 7" xfId="11742"/>
    <cellStyle name="Normal 2 2 2 2 2 2 2 2 55" xfId="11743"/>
    <cellStyle name="Normal 2 2 2 2 2 2 2 2 56" xfId="11744"/>
    <cellStyle name="Normal 2 2 2 2 2 2 2 2 57" xfId="11745"/>
    <cellStyle name="Normal 2 2 2 2 2 2 2 2 58" xfId="11746"/>
    <cellStyle name="Normal 2 2 2 2 2 2 2 2 59" xfId="11747"/>
    <cellStyle name="Normal 2 2 2 2 2 2 2 2 6" xfId="11748"/>
    <cellStyle name="Normal 2 2 2 2 2 2 2 2 60" xfId="11749"/>
    <cellStyle name="Normal 2 2 2 2 2 2 2 2 61" xfId="11750"/>
    <cellStyle name="Normal 2 2 2 2 2 2 2 2 62" xfId="11751"/>
    <cellStyle name="Normal 2 2 2 2 2 2 2 2 63" xfId="11752"/>
    <cellStyle name="Normal 2 2 2 2 2 2 2 2 64" xfId="11753"/>
    <cellStyle name="Normal 2 2 2 2 2 2 2 2 65" xfId="11754"/>
    <cellStyle name="Normal 2 2 2 2 2 2 2 2 66" xfId="11755"/>
    <cellStyle name="Normal 2 2 2 2 2 2 2 2 67" xfId="11756"/>
    <cellStyle name="Normal 2 2 2 2 2 2 2 2 68" xfId="11757"/>
    <cellStyle name="Normal 2 2 2 2 2 2 2 2 69" xfId="11758"/>
    <cellStyle name="Normal 2 2 2 2 2 2 2 2 7" xfId="11759"/>
    <cellStyle name="Normal 2 2 2 2 2 2 2 2 70" xfId="11760"/>
    <cellStyle name="Normal 2 2 2 2 2 2 2 2 71" xfId="11761"/>
    <cellStyle name="Normal 2 2 2 2 2 2 2 2 72" xfId="11762"/>
    <cellStyle name="Normal 2 2 2 2 2 2 2 2 73" xfId="11763"/>
    <cellStyle name="Normal 2 2 2 2 2 2 2 2 74" xfId="11764"/>
    <cellStyle name="Normal 2 2 2 2 2 2 2 2 75" xfId="11765"/>
    <cellStyle name="Normal 2 2 2 2 2 2 2 2 76" xfId="11766"/>
    <cellStyle name="Normal 2 2 2 2 2 2 2 2 77" xfId="11767"/>
    <cellStyle name="Normal 2 2 2 2 2 2 2 2 78" xfId="11768"/>
    <cellStyle name="Normal 2 2 2 2 2 2 2 2 79" xfId="11769"/>
    <cellStyle name="Normal 2 2 2 2 2 2 2 2 8" xfId="11770"/>
    <cellStyle name="Normal 2 2 2 2 2 2 2 2 80" xfId="11771"/>
    <cellStyle name="Normal 2 2 2 2 2 2 2 2 81" xfId="11772"/>
    <cellStyle name="Normal 2 2 2 2 2 2 2 2 82" xfId="11773"/>
    <cellStyle name="Normal 2 2 2 2 2 2 2 2 83" xfId="11774"/>
    <cellStyle name="Normal 2 2 2 2 2 2 2 2 84" xfId="11775"/>
    <cellStyle name="Normal 2 2 2 2 2 2 2 2 85" xfId="11776"/>
    <cellStyle name="Normal 2 2 2 2 2 2 2 2 86" xfId="11777"/>
    <cellStyle name="Normal 2 2 2 2 2 2 2 2 87" xfId="11778"/>
    <cellStyle name="Normal 2 2 2 2 2 2 2 2 88" xfId="11779"/>
    <cellStyle name="Normal 2 2 2 2 2 2 2 2 89" xfId="11780"/>
    <cellStyle name="Normal 2 2 2 2 2 2 2 2 9" xfId="11781"/>
    <cellStyle name="Normal 2 2 2 2 2 2 2 2 90" xfId="11782"/>
    <cellStyle name="Normal 2 2 2 2 2 2 2 2 91" xfId="11783"/>
    <cellStyle name="Normal 2 2 2 2 2 2 2 2 92" xfId="11784"/>
    <cellStyle name="Normal 2 2 2 2 2 2 2 2 93" xfId="11785"/>
    <cellStyle name="Normal 2 2 2 2 2 2 2 2 94" xfId="11786"/>
    <cellStyle name="Normal 2 2 2 2 2 2 2 2 95" xfId="11787"/>
    <cellStyle name="Normal 2 2 2 2 2 2 2 2 96" xfId="11788"/>
    <cellStyle name="Normal 2 2 2 2 2 2 2 2 97" xfId="11789"/>
    <cellStyle name="Normal 2 2 2 2 2 2 2 2 98" xfId="11790"/>
    <cellStyle name="Normal 2 2 2 2 2 2 2 2 99" xfId="11791"/>
    <cellStyle name="Normal 2 2 2 2 2 2 2 20" xfId="11792"/>
    <cellStyle name="Normal 2 2 2 2 2 2 2 20 10" xfId="11793"/>
    <cellStyle name="Normal 2 2 2 2 2 2 2 20 11" xfId="11794"/>
    <cellStyle name="Normal 2 2 2 2 2 2 2 20 11 10" xfId="11795"/>
    <cellStyle name="Normal 2 2 2 2 2 2 2 20 11 11" xfId="11796"/>
    <cellStyle name="Normal 2 2 2 2 2 2 2 20 11 11 2" xfId="11797"/>
    <cellStyle name="Normal 2 2 2 2 2 2 2 20 11 11 3" xfId="11798"/>
    <cellStyle name="Normal 2 2 2 2 2 2 2 20 11 11 4" xfId="11799"/>
    <cellStyle name="Normal 2 2 2 2 2 2 2 20 11 12" xfId="11800"/>
    <cellStyle name="Normal 2 2 2 2 2 2 2 20 11 13" xfId="11801"/>
    <cellStyle name="Normal 2 2 2 2 2 2 2 20 11 14" xfId="11802"/>
    <cellStyle name="Normal 2 2 2 2 2 2 2 20 11 2" xfId="11803"/>
    <cellStyle name="Normal 2 2 2 2 2 2 2 20 11 2 10" xfId="11804"/>
    <cellStyle name="Normal 2 2 2 2 2 2 2 20 11 2 11" xfId="11805"/>
    <cellStyle name="Normal 2 2 2 2 2 2 2 20 11 2 2" xfId="11806"/>
    <cellStyle name="Normal 2 2 2 2 2 2 2 20 11 2 2 10" xfId="11807"/>
    <cellStyle name="Normal 2 2 2 2 2 2 2 20 11 2 2 11" xfId="11808"/>
    <cellStyle name="Normal 2 2 2 2 2 2 2 20 11 2 2 2" xfId="11809"/>
    <cellStyle name="Normal 2 2 2 2 2 2 2 20 11 2 2 2 2" xfId="11810"/>
    <cellStyle name="Normal 2 2 2 2 2 2 2 20 11 2 2 2 2 2" xfId="11811"/>
    <cellStyle name="Normal 2 2 2 2 2 2 2 20 11 2 2 2 2 3" xfId="11812"/>
    <cellStyle name="Normal 2 2 2 2 2 2 2 20 11 2 2 2 2 4" xfId="11813"/>
    <cellStyle name="Normal 2 2 2 2 2 2 2 20 11 2 2 2 3" xfId="11814"/>
    <cellStyle name="Normal 2 2 2 2 2 2 2 20 11 2 2 2 4" xfId="11815"/>
    <cellStyle name="Normal 2 2 2 2 2 2 2 20 11 2 2 2 5" xfId="11816"/>
    <cellStyle name="Normal 2 2 2 2 2 2 2 20 11 2 2 2 6" xfId="11817"/>
    <cellStyle name="Normal 2 2 2 2 2 2 2 20 11 2 2 3" xfId="11818"/>
    <cellStyle name="Normal 2 2 2 2 2 2 2 20 11 2 2 4" xfId="11819"/>
    <cellStyle name="Normal 2 2 2 2 2 2 2 20 11 2 2 5" xfId="11820"/>
    <cellStyle name="Normal 2 2 2 2 2 2 2 20 11 2 2 6" xfId="11821"/>
    <cellStyle name="Normal 2 2 2 2 2 2 2 20 11 2 2 7" xfId="11822"/>
    <cellStyle name="Normal 2 2 2 2 2 2 2 20 11 2 2 8" xfId="11823"/>
    <cellStyle name="Normal 2 2 2 2 2 2 2 20 11 2 2 8 2" xfId="11824"/>
    <cellStyle name="Normal 2 2 2 2 2 2 2 20 11 2 2 8 3" xfId="11825"/>
    <cellStyle name="Normal 2 2 2 2 2 2 2 20 11 2 2 8 4" xfId="11826"/>
    <cellStyle name="Normal 2 2 2 2 2 2 2 20 11 2 2 9" xfId="11827"/>
    <cellStyle name="Normal 2 2 2 2 2 2 2 20 11 2 3" xfId="11828"/>
    <cellStyle name="Normal 2 2 2 2 2 2 2 20 11 2 3 2" xfId="11829"/>
    <cellStyle name="Normal 2 2 2 2 2 2 2 20 11 2 3 2 2" xfId="11830"/>
    <cellStyle name="Normal 2 2 2 2 2 2 2 20 11 2 3 2 3" xfId="11831"/>
    <cellStyle name="Normal 2 2 2 2 2 2 2 20 11 2 3 2 4" xfId="11832"/>
    <cellStyle name="Normal 2 2 2 2 2 2 2 20 11 2 3 3" xfId="11833"/>
    <cellStyle name="Normal 2 2 2 2 2 2 2 20 11 2 3 4" xfId="11834"/>
    <cellStyle name="Normal 2 2 2 2 2 2 2 20 11 2 3 5" xfId="11835"/>
    <cellStyle name="Normal 2 2 2 2 2 2 2 20 11 2 3 6" xfId="11836"/>
    <cellStyle name="Normal 2 2 2 2 2 2 2 20 11 2 4" xfId="11837"/>
    <cellStyle name="Normal 2 2 2 2 2 2 2 20 11 2 5" xfId="11838"/>
    <cellStyle name="Normal 2 2 2 2 2 2 2 20 11 2 6" xfId="11839"/>
    <cellStyle name="Normal 2 2 2 2 2 2 2 20 11 2 7" xfId="11840"/>
    <cellStyle name="Normal 2 2 2 2 2 2 2 20 11 2 8" xfId="11841"/>
    <cellStyle name="Normal 2 2 2 2 2 2 2 20 11 2 8 2" xfId="11842"/>
    <cellStyle name="Normal 2 2 2 2 2 2 2 20 11 2 8 3" xfId="11843"/>
    <cellStyle name="Normal 2 2 2 2 2 2 2 20 11 2 8 4" xfId="11844"/>
    <cellStyle name="Normal 2 2 2 2 2 2 2 20 11 2 9" xfId="11845"/>
    <cellStyle name="Normal 2 2 2 2 2 2 2 20 11 3" xfId="11846"/>
    <cellStyle name="Normal 2 2 2 2 2 2 2 20 11 4" xfId="11847"/>
    <cellStyle name="Normal 2 2 2 2 2 2 2 20 11 5" xfId="11848"/>
    <cellStyle name="Normal 2 2 2 2 2 2 2 20 11 5 2" xfId="11849"/>
    <cellStyle name="Normal 2 2 2 2 2 2 2 20 11 5 2 2" xfId="11850"/>
    <cellStyle name="Normal 2 2 2 2 2 2 2 20 11 5 2 3" xfId="11851"/>
    <cellStyle name="Normal 2 2 2 2 2 2 2 20 11 5 2 4" xfId="11852"/>
    <cellStyle name="Normal 2 2 2 2 2 2 2 20 11 5 3" xfId="11853"/>
    <cellStyle name="Normal 2 2 2 2 2 2 2 20 11 5 4" xfId="11854"/>
    <cellStyle name="Normal 2 2 2 2 2 2 2 20 11 5 5" xfId="11855"/>
    <cellStyle name="Normal 2 2 2 2 2 2 2 20 11 5 6" xfId="11856"/>
    <cellStyle name="Normal 2 2 2 2 2 2 2 20 11 6" xfId="11857"/>
    <cellStyle name="Normal 2 2 2 2 2 2 2 20 11 7" xfId="11858"/>
    <cellStyle name="Normal 2 2 2 2 2 2 2 20 11 8" xfId="11859"/>
    <cellStyle name="Normal 2 2 2 2 2 2 2 20 11 9" xfId="11860"/>
    <cellStyle name="Normal 2 2 2 2 2 2 2 20 12" xfId="11861"/>
    <cellStyle name="Normal 2 2 2 2 2 2 2 20 13" xfId="11862"/>
    <cellStyle name="Normal 2 2 2 2 2 2 2 20 13 10" xfId="11863"/>
    <cellStyle name="Normal 2 2 2 2 2 2 2 20 13 11" xfId="11864"/>
    <cellStyle name="Normal 2 2 2 2 2 2 2 20 13 2" xfId="11865"/>
    <cellStyle name="Normal 2 2 2 2 2 2 2 20 13 2 10" xfId="11866"/>
    <cellStyle name="Normal 2 2 2 2 2 2 2 20 13 2 11" xfId="11867"/>
    <cellStyle name="Normal 2 2 2 2 2 2 2 20 13 2 2" xfId="11868"/>
    <cellStyle name="Normal 2 2 2 2 2 2 2 20 13 2 2 2" xfId="11869"/>
    <cellStyle name="Normal 2 2 2 2 2 2 2 20 13 2 2 2 2" xfId="11870"/>
    <cellStyle name="Normal 2 2 2 2 2 2 2 20 13 2 2 2 3" xfId="11871"/>
    <cellStyle name="Normal 2 2 2 2 2 2 2 20 13 2 2 2 4" xfId="11872"/>
    <cellStyle name="Normal 2 2 2 2 2 2 2 20 13 2 2 3" xfId="11873"/>
    <cellStyle name="Normal 2 2 2 2 2 2 2 20 13 2 2 4" xfId="11874"/>
    <cellStyle name="Normal 2 2 2 2 2 2 2 20 13 2 2 5" xfId="11875"/>
    <cellStyle name="Normal 2 2 2 2 2 2 2 20 13 2 2 6" xfId="11876"/>
    <cellStyle name="Normal 2 2 2 2 2 2 2 20 13 2 3" xfId="11877"/>
    <cellStyle name="Normal 2 2 2 2 2 2 2 20 13 2 4" xfId="11878"/>
    <cellStyle name="Normal 2 2 2 2 2 2 2 20 13 2 5" xfId="11879"/>
    <cellStyle name="Normal 2 2 2 2 2 2 2 20 13 2 6" xfId="11880"/>
    <cellStyle name="Normal 2 2 2 2 2 2 2 20 13 2 7" xfId="11881"/>
    <cellStyle name="Normal 2 2 2 2 2 2 2 20 13 2 8" xfId="11882"/>
    <cellStyle name="Normal 2 2 2 2 2 2 2 20 13 2 8 2" xfId="11883"/>
    <cellStyle name="Normal 2 2 2 2 2 2 2 20 13 2 8 3" xfId="11884"/>
    <cellStyle name="Normal 2 2 2 2 2 2 2 20 13 2 8 4" xfId="11885"/>
    <cellStyle name="Normal 2 2 2 2 2 2 2 20 13 2 9" xfId="11886"/>
    <cellStyle name="Normal 2 2 2 2 2 2 2 20 13 3" xfId="11887"/>
    <cellStyle name="Normal 2 2 2 2 2 2 2 20 13 3 2" xfId="11888"/>
    <cellStyle name="Normal 2 2 2 2 2 2 2 20 13 3 2 2" xfId="11889"/>
    <cellStyle name="Normal 2 2 2 2 2 2 2 20 13 3 2 3" xfId="11890"/>
    <cellStyle name="Normal 2 2 2 2 2 2 2 20 13 3 2 4" xfId="11891"/>
    <cellStyle name="Normal 2 2 2 2 2 2 2 20 13 3 3" xfId="11892"/>
    <cellStyle name="Normal 2 2 2 2 2 2 2 20 13 3 4" xfId="11893"/>
    <cellStyle name="Normal 2 2 2 2 2 2 2 20 13 3 5" xfId="11894"/>
    <cellStyle name="Normal 2 2 2 2 2 2 2 20 13 3 6" xfId="11895"/>
    <cellStyle name="Normal 2 2 2 2 2 2 2 20 13 4" xfId="11896"/>
    <cellStyle name="Normal 2 2 2 2 2 2 2 20 13 5" xfId="11897"/>
    <cellStyle name="Normal 2 2 2 2 2 2 2 20 13 6" xfId="11898"/>
    <cellStyle name="Normal 2 2 2 2 2 2 2 20 13 7" xfId="11899"/>
    <cellStyle name="Normal 2 2 2 2 2 2 2 20 13 8" xfId="11900"/>
    <cellStyle name="Normal 2 2 2 2 2 2 2 20 13 8 2" xfId="11901"/>
    <cellStyle name="Normal 2 2 2 2 2 2 2 20 13 8 3" xfId="11902"/>
    <cellStyle name="Normal 2 2 2 2 2 2 2 20 13 8 4" xfId="11903"/>
    <cellStyle name="Normal 2 2 2 2 2 2 2 20 13 9" xfId="11904"/>
    <cellStyle name="Normal 2 2 2 2 2 2 2 20 14" xfId="11905"/>
    <cellStyle name="Normal 2 2 2 2 2 2 2 20 15" xfId="11906"/>
    <cellStyle name="Normal 2 2 2 2 2 2 2 20 15 2" xfId="11907"/>
    <cellStyle name="Normal 2 2 2 2 2 2 2 20 15 2 2" xfId="11908"/>
    <cellStyle name="Normal 2 2 2 2 2 2 2 20 15 2 3" xfId="11909"/>
    <cellStyle name="Normal 2 2 2 2 2 2 2 20 15 2 4" xfId="11910"/>
    <cellStyle name="Normal 2 2 2 2 2 2 2 20 15 3" xfId="11911"/>
    <cellStyle name="Normal 2 2 2 2 2 2 2 20 15 4" xfId="11912"/>
    <cellStyle name="Normal 2 2 2 2 2 2 2 20 15 5" xfId="11913"/>
    <cellStyle name="Normal 2 2 2 2 2 2 2 20 15 6" xfId="11914"/>
    <cellStyle name="Normal 2 2 2 2 2 2 2 20 16" xfId="11915"/>
    <cellStyle name="Normal 2 2 2 2 2 2 2 20 17" xfId="11916"/>
    <cellStyle name="Normal 2 2 2 2 2 2 2 20 18" xfId="11917"/>
    <cellStyle name="Normal 2 2 2 2 2 2 2 20 19" xfId="11918"/>
    <cellStyle name="Normal 2 2 2 2 2 2 2 20 2" xfId="11919"/>
    <cellStyle name="Normal 2 2 2 2 2 2 2 20 2 10" xfId="11920"/>
    <cellStyle name="Normal 2 2 2 2 2 2 2 20 2 11" xfId="11921"/>
    <cellStyle name="Normal 2 2 2 2 2 2 2 20 2 12" xfId="11922"/>
    <cellStyle name="Normal 2 2 2 2 2 2 2 20 2 13" xfId="11923"/>
    <cellStyle name="Normal 2 2 2 2 2 2 2 20 2 13 2" xfId="11924"/>
    <cellStyle name="Normal 2 2 2 2 2 2 2 20 2 13 3" xfId="11925"/>
    <cellStyle name="Normal 2 2 2 2 2 2 2 20 2 13 4" xfId="11926"/>
    <cellStyle name="Normal 2 2 2 2 2 2 2 20 2 14" xfId="11927"/>
    <cellStyle name="Normal 2 2 2 2 2 2 2 20 2 15" xfId="11928"/>
    <cellStyle name="Normal 2 2 2 2 2 2 2 20 2 16" xfId="11929"/>
    <cellStyle name="Normal 2 2 2 2 2 2 2 20 2 2" xfId="11930"/>
    <cellStyle name="Normal 2 2 2 2 2 2 2 20 2 2 10" xfId="11931"/>
    <cellStyle name="Normal 2 2 2 2 2 2 2 20 2 2 11" xfId="11932"/>
    <cellStyle name="Normal 2 2 2 2 2 2 2 20 2 2 11 2" xfId="11933"/>
    <cellStyle name="Normal 2 2 2 2 2 2 2 20 2 2 11 3" xfId="11934"/>
    <cellStyle name="Normal 2 2 2 2 2 2 2 20 2 2 11 4" xfId="11935"/>
    <cellStyle name="Normal 2 2 2 2 2 2 2 20 2 2 12" xfId="11936"/>
    <cellStyle name="Normal 2 2 2 2 2 2 2 20 2 2 13" xfId="11937"/>
    <cellStyle name="Normal 2 2 2 2 2 2 2 20 2 2 14" xfId="11938"/>
    <cellStyle name="Normal 2 2 2 2 2 2 2 20 2 2 2" xfId="11939"/>
    <cellStyle name="Normal 2 2 2 2 2 2 2 20 2 2 2 10" xfId="11940"/>
    <cellStyle name="Normal 2 2 2 2 2 2 2 20 2 2 2 11" xfId="11941"/>
    <cellStyle name="Normal 2 2 2 2 2 2 2 20 2 2 2 2" xfId="11942"/>
    <cellStyle name="Normal 2 2 2 2 2 2 2 20 2 2 2 2 10" xfId="11943"/>
    <cellStyle name="Normal 2 2 2 2 2 2 2 20 2 2 2 2 11" xfId="11944"/>
    <cellStyle name="Normal 2 2 2 2 2 2 2 20 2 2 2 2 2" xfId="11945"/>
    <cellStyle name="Normal 2 2 2 2 2 2 2 20 2 2 2 2 2 2" xfId="11946"/>
    <cellStyle name="Normal 2 2 2 2 2 2 2 20 2 2 2 2 2 2 2" xfId="11947"/>
    <cellStyle name="Normal 2 2 2 2 2 2 2 20 2 2 2 2 2 2 3" xfId="11948"/>
    <cellStyle name="Normal 2 2 2 2 2 2 2 20 2 2 2 2 2 2 4" xfId="11949"/>
    <cellStyle name="Normal 2 2 2 2 2 2 2 20 2 2 2 2 2 3" xfId="11950"/>
    <cellStyle name="Normal 2 2 2 2 2 2 2 20 2 2 2 2 2 4" xfId="11951"/>
    <cellStyle name="Normal 2 2 2 2 2 2 2 20 2 2 2 2 2 5" xfId="11952"/>
    <cellStyle name="Normal 2 2 2 2 2 2 2 20 2 2 2 2 2 6" xfId="11953"/>
    <cellStyle name="Normal 2 2 2 2 2 2 2 20 2 2 2 2 3" xfId="11954"/>
    <cellStyle name="Normal 2 2 2 2 2 2 2 20 2 2 2 2 4" xfId="11955"/>
    <cellStyle name="Normal 2 2 2 2 2 2 2 20 2 2 2 2 5" xfId="11956"/>
    <cellStyle name="Normal 2 2 2 2 2 2 2 20 2 2 2 2 6" xfId="11957"/>
    <cellStyle name="Normal 2 2 2 2 2 2 2 20 2 2 2 2 7" xfId="11958"/>
    <cellStyle name="Normal 2 2 2 2 2 2 2 20 2 2 2 2 8" xfId="11959"/>
    <cellStyle name="Normal 2 2 2 2 2 2 2 20 2 2 2 2 8 2" xfId="11960"/>
    <cellStyle name="Normal 2 2 2 2 2 2 2 20 2 2 2 2 8 3" xfId="11961"/>
    <cellStyle name="Normal 2 2 2 2 2 2 2 20 2 2 2 2 8 4" xfId="11962"/>
    <cellStyle name="Normal 2 2 2 2 2 2 2 20 2 2 2 2 9" xfId="11963"/>
    <cellStyle name="Normal 2 2 2 2 2 2 2 20 2 2 2 3" xfId="11964"/>
    <cellStyle name="Normal 2 2 2 2 2 2 2 20 2 2 2 3 2" xfId="11965"/>
    <cellStyle name="Normal 2 2 2 2 2 2 2 20 2 2 2 3 2 2" xfId="11966"/>
    <cellStyle name="Normal 2 2 2 2 2 2 2 20 2 2 2 3 2 3" xfId="11967"/>
    <cellStyle name="Normal 2 2 2 2 2 2 2 20 2 2 2 3 2 4" xfId="11968"/>
    <cellStyle name="Normal 2 2 2 2 2 2 2 20 2 2 2 3 3" xfId="11969"/>
    <cellStyle name="Normal 2 2 2 2 2 2 2 20 2 2 2 3 4" xfId="11970"/>
    <cellStyle name="Normal 2 2 2 2 2 2 2 20 2 2 2 3 5" xfId="11971"/>
    <cellStyle name="Normal 2 2 2 2 2 2 2 20 2 2 2 3 6" xfId="11972"/>
    <cellStyle name="Normal 2 2 2 2 2 2 2 20 2 2 2 4" xfId="11973"/>
    <cellStyle name="Normal 2 2 2 2 2 2 2 20 2 2 2 5" xfId="11974"/>
    <cellStyle name="Normal 2 2 2 2 2 2 2 20 2 2 2 6" xfId="11975"/>
    <cellStyle name="Normal 2 2 2 2 2 2 2 20 2 2 2 7" xfId="11976"/>
    <cellStyle name="Normal 2 2 2 2 2 2 2 20 2 2 2 8" xfId="11977"/>
    <cellStyle name="Normal 2 2 2 2 2 2 2 20 2 2 2 8 2" xfId="11978"/>
    <cellStyle name="Normal 2 2 2 2 2 2 2 20 2 2 2 8 3" xfId="11979"/>
    <cellStyle name="Normal 2 2 2 2 2 2 2 20 2 2 2 8 4" xfId="11980"/>
    <cellStyle name="Normal 2 2 2 2 2 2 2 20 2 2 2 9" xfId="11981"/>
    <cellStyle name="Normal 2 2 2 2 2 2 2 20 2 2 3" xfId="11982"/>
    <cellStyle name="Normal 2 2 2 2 2 2 2 20 2 2 4" xfId="11983"/>
    <cellStyle name="Normal 2 2 2 2 2 2 2 20 2 2 5" xfId="11984"/>
    <cellStyle name="Normal 2 2 2 2 2 2 2 20 2 2 5 2" xfId="11985"/>
    <cellStyle name="Normal 2 2 2 2 2 2 2 20 2 2 5 2 2" xfId="11986"/>
    <cellStyle name="Normal 2 2 2 2 2 2 2 20 2 2 5 2 3" xfId="11987"/>
    <cellStyle name="Normal 2 2 2 2 2 2 2 20 2 2 5 2 4" xfId="11988"/>
    <cellStyle name="Normal 2 2 2 2 2 2 2 20 2 2 5 3" xfId="11989"/>
    <cellStyle name="Normal 2 2 2 2 2 2 2 20 2 2 5 4" xfId="11990"/>
    <cellStyle name="Normal 2 2 2 2 2 2 2 20 2 2 5 5" xfId="11991"/>
    <cellStyle name="Normal 2 2 2 2 2 2 2 20 2 2 5 6" xfId="11992"/>
    <cellStyle name="Normal 2 2 2 2 2 2 2 20 2 2 6" xfId="11993"/>
    <cellStyle name="Normal 2 2 2 2 2 2 2 20 2 2 7" xfId="11994"/>
    <cellStyle name="Normal 2 2 2 2 2 2 2 20 2 2 8" xfId="11995"/>
    <cellStyle name="Normal 2 2 2 2 2 2 2 20 2 2 9" xfId="11996"/>
    <cellStyle name="Normal 2 2 2 2 2 2 2 20 2 3" xfId="11997"/>
    <cellStyle name="Normal 2 2 2 2 2 2 2 20 2 4" xfId="11998"/>
    <cellStyle name="Normal 2 2 2 2 2 2 2 20 2 5" xfId="11999"/>
    <cellStyle name="Normal 2 2 2 2 2 2 2 20 2 5 10" xfId="12000"/>
    <cellStyle name="Normal 2 2 2 2 2 2 2 20 2 5 11" xfId="12001"/>
    <cellStyle name="Normal 2 2 2 2 2 2 2 20 2 5 2" xfId="12002"/>
    <cellStyle name="Normal 2 2 2 2 2 2 2 20 2 5 2 10" xfId="12003"/>
    <cellStyle name="Normal 2 2 2 2 2 2 2 20 2 5 2 11" xfId="12004"/>
    <cellStyle name="Normal 2 2 2 2 2 2 2 20 2 5 2 2" xfId="12005"/>
    <cellStyle name="Normal 2 2 2 2 2 2 2 20 2 5 2 2 2" xfId="12006"/>
    <cellStyle name="Normal 2 2 2 2 2 2 2 20 2 5 2 2 2 2" xfId="12007"/>
    <cellStyle name="Normal 2 2 2 2 2 2 2 20 2 5 2 2 2 3" xfId="12008"/>
    <cellStyle name="Normal 2 2 2 2 2 2 2 20 2 5 2 2 2 4" xfId="12009"/>
    <cellStyle name="Normal 2 2 2 2 2 2 2 20 2 5 2 2 3" xfId="12010"/>
    <cellStyle name="Normal 2 2 2 2 2 2 2 20 2 5 2 2 4" xfId="12011"/>
    <cellStyle name="Normal 2 2 2 2 2 2 2 20 2 5 2 2 5" xfId="12012"/>
    <cellStyle name="Normal 2 2 2 2 2 2 2 20 2 5 2 2 6" xfId="12013"/>
    <cellStyle name="Normal 2 2 2 2 2 2 2 20 2 5 2 3" xfId="12014"/>
    <cellStyle name="Normal 2 2 2 2 2 2 2 20 2 5 2 4" xfId="12015"/>
    <cellStyle name="Normal 2 2 2 2 2 2 2 20 2 5 2 5" xfId="12016"/>
    <cellStyle name="Normal 2 2 2 2 2 2 2 20 2 5 2 6" xfId="12017"/>
    <cellStyle name="Normal 2 2 2 2 2 2 2 20 2 5 2 7" xfId="12018"/>
    <cellStyle name="Normal 2 2 2 2 2 2 2 20 2 5 2 8" xfId="12019"/>
    <cellStyle name="Normal 2 2 2 2 2 2 2 20 2 5 2 8 2" xfId="12020"/>
    <cellStyle name="Normal 2 2 2 2 2 2 2 20 2 5 2 8 3" xfId="12021"/>
    <cellStyle name="Normal 2 2 2 2 2 2 2 20 2 5 2 8 4" xfId="12022"/>
    <cellStyle name="Normal 2 2 2 2 2 2 2 20 2 5 2 9" xfId="12023"/>
    <cellStyle name="Normal 2 2 2 2 2 2 2 20 2 5 3" xfId="12024"/>
    <cellStyle name="Normal 2 2 2 2 2 2 2 20 2 5 3 2" xfId="12025"/>
    <cellStyle name="Normal 2 2 2 2 2 2 2 20 2 5 3 2 2" xfId="12026"/>
    <cellStyle name="Normal 2 2 2 2 2 2 2 20 2 5 3 2 3" xfId="12027"/>
    <cellStyle name="Normal 2 2 2 2 2 2 2 20 2 5 3 2 4" xfId="12028"/>
    <cellStyle name="Normal 2 2 2 2 2 2 2 20 2 5 3 3" xfId="12029"/>
    <cellStyle name="Normal 2 2 2 2 2 2 2 20 2 5 3 4" xfId="12030"/>
    <cellStyle name="Normal 2 2 2 2 2 2 2 20 2 5 3 5" xfId="12031"/>
    <cellStyle name="Normal 2 2 2 2 2 2 2 20 2 5 3 6" xfId="12032"/>
    <cellStyle name="Normal 2 2 2 2 2 2 2 20 2 5 4" xfId="12033"/>
    <cellStyle name="Normal 2 2 2 2 2 2 2 20 2 5 5" xfId="12034"/>
    <cellStyle name="Normal 2 2 2 2 2 2 2 20 2 5 6" xfId="12035"/>
    <cellStyle name="Normal 2 2 2 2 2 2 2 20 2 5 7" xfId="12036"/>
    <cellStyle name="Normal 2 2 2 2 2 2 2 20 2 5 8" xfId="12037"/>
    <cellStyle name="Normal 2 2 2 2 2 2 2 20 2 5 8 2" xfId="12038"/>
    <cellStyle name="Normal 2 2 2 2 2 2 2 20 2 5 8 3" xfId="12039"/>
    <cellStyle name="Normal 2 2 2 2 2 2 2 20 2 5 8 4" xfId="12040"/>
    <cellStyle name="Normal 2 2 2 2 2 2 2 20 2 5 9" xfId="12041"/>
    <cellStyle name="Normal 2 2 2 2 2 2 2 20 2 6" xfId="12042"/>
    <cellStyle name="Normal 2 2 2 2 2 2 2 20 2 7" xfId="12043"/>
    <cellStyle name="Normal 2 2 2 2 2 2 2 20 2 7 2" xfId="12044"/>
    <cellStyle name="Normal 2 2 2 2 2 2 2 20 2 7 2 2" xfId="12045"/>
    <cellStyle name="Normal 2 2 2 2 2 2 2 20 2 7 2 3" xfId="12046"/>
    <cellStyle name="Normal 2 2 2 2 2 2 2 20 2 7 2 4" xfId="12047"/>
    <cellStyle name="Normal 2 2 2 2 2 2 2 20 2 7 3" xfId="12048"/>
    <cellStyle name="Normal 2 2 2 2 2 2 2 20 2 7 4" xfId="12049"/>
    <cellStyle name="Normal 2 2 2 2 2 2 2 20 2 7 5" xfId="12050"/>
    <cellStyle name="Normal 2 2 2 2 2 2 2 20 2 7 6" xfId="12051"/>
    <cellStyle name="Normal 2 2 2 2 2 2 2 20 2 8" xfId="12052"/>
    <cellStyle name="Normal 2 2 2 2 2 2 2 20 2 9" xfId="12053"/>
    <cellStyle name="Normal 2 2 2 2 2 2 2 20 20" xfId="12054"/>
    <cellStyle name="Normal 2 2 2 2 2 2 2 20 21" xfId="12055"/>
    <cellStyle name="Normal 2 2 2 2 2 2 2 20 21 2" xfId="12056"/>
    <cellStyle name="Normal 2 2 2 2 2 2 2 20 21 3" xfId="12057"/>
    <cellStyle name="Normal 2 2 2 2 2 2 2 20 21 4" xfId="12058"/>
    <cellStyle name="Normal 2 2 2 2 2 2 2 20 22" xfId="12059"/>
    <cellStyle name="Normal 2 2 2 2 2 2 2 20 23" xfId="12060"/>
    <cellStyle name="Normal 2 2 2 2 2 2 2 20 24" xfId="12061"/>
    <cellStyle name="Normal 2 2 2 2 2 2 2 20 3" xfId="12062"/>
    <cellStyle name="Normal 2 2 2 2 2 2 2 20 4" xfId="12063"/>
    <cellStyle name="Normal 2 2 2 2 2 2 2 20 5" xfId="12064"/>
    <cellStyle name="Normal 2 2 2 2 2 2 2 20 6" xfId="12065"/>
    <cellStyle name="Normal 2 2 2 2 2 2 2 20 7" xfId="12066"/>
    <cellStyle name="Normal 2 2 2 2 2 2 2 20 8" xfId="12067"/>
    <cellStyle name="Normal 2 2 2 2 2 2 2 20 9" xfId="12068"/>
    <cellStyle name="Normal 2 2 2 2 2 2 2 21" xfId="12069"/>
    <cellStyle name="Normal 2 2 2 2 2 2 2 21 10" xfId="12070"/>
    <cellStyle name="Normal 2 2 2 2 2 2 2 21 11" xfId="12071"/>
    <cellStyle name="Normal 2 2 2 2 2 2 2 21 12" xfId="12072"/>
    <cellStyle name="Normal 2 2 2 2 2 2 2 21 13" xfId="12073"/>
    <cellStyle name="Normal 2 2 2 2 2 2 2 21 13 2" xfId="12074"/>
    <cellStyle name="Normal 2 2 2 2 2 2 2 21 13 3" xfId="12075"/>
    <cellStyle name="Normal 2 2 2 2 2 2 2 21 13 4" xfId="12076"/>
    <cellStyle name="Normal 2 2 2 2 2 2 2 21 14" xfId="12077"/>
    <cellStyle name="Normal 2 2 2 2 2 2 2 21 15" xfId="12078"/>
    <cellStyle name="Normal 2 2 2 2 2 2 2 21 16" xfId="12079"/>
    <cellStyle name="Normal 2 2 2 2 2 2 2 21 2" xfId="12080"/>
    <cellStyle name="Normal 2 2 2 2 2 2 2 21 2 10" xfId="12081"/>
    <cellStyle name="Normal 2 2 2 2 2 2 2 21 2 11" xfId="12082"/>
    <cellStyle name="Normal 2 2 2 2 2 2 2 21 2 11 2" xfId="12083"/>
    <cellStyle name="Normal 2 2 2 2 2 2 2 21 2 11 3" xfId="12084"/>
    <cellStyle name="Normal 2 2 2 2 2 2 2 21 2 11 4" xfId="12085"/>
    <cellStyle name="Normal 2 2 2 2 2 2 2 21 2 12" xfId="12086"/>
    <cellStyle name="Normal 2 2 2 2 2 2 2 21 2 13" xfId="12087"/>
    <cellStyle name="Normal 2 2 2 2 2 2 2 21 2 14" xfId="12088"/>
    <cellStyle name="Normal 2 2 2 2 2 2 2 21 2 2" xfId="12089"/>
    <cellStyle name="Normal 2 2 2 2 2 2 2 21 2 2 10" xfId="12090"/>
    <cellStyle name="Normal 2 2 2 2 2 2 2 21 2 2 11" xfId="12091"/>
    <cellStyle name="Normal 2 2 2 2 2 2 2 21 2 2 2" xfId="12092"/>
    <cellStyle name="Normal 2 2 2 2 2 2 2 21 2 2 2 10" xfId="12093"/>
    <cellStyle name="Normal 2 2 2 2 2 2 2 21 2 2 2 11" xfId="12094"/>
    <cellStyle name="Normal 2 2 2 2 2 2 2 21 2 2 2 2" xfId="12095"/>
    <cellStyle name="Normal 2 2 2 2 2 2 2 21 2 2 2 2 2" xfId="12096"/>
    <cellStyle name="Normal 2 2 2 2 2 2 2 21 2 2 2 2 2 2" xfId="12097"/>
    <cellStyle name="Normal 2 2 2 2 2 2 2 21 2 2 2 2 2 3" xfId="12098"/>
    <cellStyle name="Normal 2 2 2 2 2 2 2 21 2 2 2 2 2 4" xfId="12099"/>
    <cellStyle name="Normal 2 2 2 2 2 2 2 21 2 2 2 2 3" xfId="12100"/>
    <cellStyle name="Normal 2 2 2 2 2 2 2 21 2 2 2 2 4" xfId="12101"/>
    <cellStyle name="Normal 2 2 2 2 2 2 2 21 2 2 2 2 5" xfId="12102"/>
    <cellStyle name="Normal 2 2 2 2 2 2 2 21 2 2 2 2 6" xfId="12103"/>
    <cellStyle name="Normal 2 2 2 2 2 2 2 21 2 2 2 3" xfId="12104"/>
    <cellStyle name="Normal 2 2 2 2 2 2 2 21 2 2 2 4" xfId="12105"/>
    <cellStyle name="Normal 2 2 2 2 2 2 2 21 2 2 2 5" xfId="12106"/>
    <cellStyle name="Normal 2 2 2 2 2 2 2 21 2 2 2 6" xfId="12107"/>
    <cellStyle name="Normal 2 2 2 2 2 2 2 21 2 2 2 7" xfId="12108"/>
    <cellStyle name="Normal 2 2 2 2 2 2 2 21 2 2 2 8" xfId="12109"/>
    <cellStyle name="Normal 2 2 2 2 2 2 2 21 2 2 2 8 2" xfId="12110"/>
    <cellStyle name="Normal 2 2 2 2 2 2 2 21 2 2 2 8 3" xfId="12111"/>
    <cellStyle name="Normal 2 2 2 2 2 2 2 21 2 2 2 8 4" xfId="12112"/>
    <cellStyle name="Normal 2 2 2 2 2 2 2 21 2 2 2 9" xfId="12113"/>
    <cellStyle name="Normal 2 2 2 2 2 2 2 21 2 2 3" xfId="12114"/>
    <cellStyle name="Normal 2 2 2 2 2 2 2 21 2 2 3 2" xfId="12115"/>
    <cellStyle name="Normal 2 2 2 2 2 2 2 21 2 2 3 2 2" xfId="12116"/>
    <cellStyle name="Normal 2 2 2 2 2 2 2 21 2 2 3 2 3" xfId="12117"/>
    <cellStyle name="Normal 2 2 2 2 2 2 2 21 2 2 3 2 4" xfId="12118"/>
    <cellStyle name="Normal 2 2 2 2 2 2 2 21 2 2 3 3" xfId="12119"/>
    <cellStyle name="Normal 2 2 2 2 2 2 2 21 2 2 3 4" xfId="12120"/>
    <cellStyle name="Normal 2 2 2 2 2 2 2 21 2 2 3 5" xfId="12121"/>
    <cellStyle name="Normal 2 2 2 2 2 2 2 21 2 2 3 6" xfId="12122"/>
    <cellStyle name="Normal 2 2 2 2 2 2 2 21 2 2 4" xfId="12123"/>
    <cellStyle name="Normal 2 2 2 2 2 2 2 21 2 2 5" xfId="12124"/>
    <cellStyle name="Normal 2 2 2 2 2 2 2 21 2 2 6" xfId="12125"/>
    <cellStyle name="Normal 2 2 2 2 2 2 2 21 2 2 7" xfId="12126"/>
    <cellStyle name="Normal 2 2 2 2 2 2 2 21 2 2 8" xfId="12127"/>
    <cellStyle name="Normal 2 2 2 2 2 2 2 21 2 2 8 2" xfId="12128"/>
    <cellStyle name="Normal 2 2 2 2 2 2 2 21 2 2 8 3" xfId="12129"/>
    <cellStyle name="Normal 2 2 2 2 2 2 2 21 2 2 8 4" xfId="12130"/>
    <cellStyle name="Normal 2 2 2 2 2 2 2 21 2 2 9" xfId="12131"/>
    <cellStyle name="Normal 2 2 2 2 2 2 2 21 2 3" xfId="12132"/>
    <cellStyle name="Normal 2 2 2 2 2 2 2 21 2 4" xfId="12133"/>
    <cellStyle name="Normal 2 2 2 2 2 2 2 21 2 5" xfId="12134"/>
    <cellStyle name="Normal 2 2 2 2 2 2 2 21 2 5 2" xfId="12135"/>
    <cellStyle name="Normal 2 2 2 2 2 2 2 21 2 5 2 2" xfId="12136"/>
    <cellStyle name="Normal 2 2 2 2 2 2 2 21 2 5 2 3" xfId="12137"/>
    <cellStyle name="Normal 2 2 2 2 2 2 2 21 2 5 2 4" xfId="12138"/>
    <cellStyle name="Normal 2 2 2 2 2 2 2 21 2 5 3" xfId="12139"/>
    <cellStyle name="Normal 2 2 2 2 2 2 2 21 2 5 4" xfId="12140"/>
    <cellStyle name="Normal 2 2 2 2 2 2 2 21 2 5 5" xfId="12141"/>
    <cellStyle name="Normal 2 2 2 2 2 2 2 21 2 5 6" xfId="12142"/>
    <cellStyle name="Normal 2 2 2 2 2 2 2 21 2 6" xfId="12143"/>
    <cellStyle name="Normal 2 2 2 2 2 2 2 21 2 7" xfId="12144"/>
    <cellStyle name="Normal 2 2 2 2 2 2 2 21 2 8" xfId="12145"/>
    <cellStyle name="Normal 2 2 2 2 2 2 2 21 2 9" xfId="12146"/>
    <cellStyle name="Normal 2 2 2 2 2 2 2 21 3" xfId="12147"/>
    <cellStyle name="Normal 2 2 2 2 2 2 2 21 4" xfId="12148"/>
    <cellStyle name="Normal 2 2 2 2 2 2 2 21 5" xfId="12149"/>
    <cellStyle name="Normal 2 2 2 2 2 2 2 21 5 10" xfId="12150"/>
    <cellStyle name="Normal 2 2 2 2 2 2 2 21 5 11" xfId="12151"/>
    <cellStyle name="Normal 2 2 2 2 2 2 2 21 5 2" xfId="12152"/>
    <cellStyle name="Normal 2 2 2 2 2 2 2 21 5 2 10" xfId="12153"/>
    <cellStyle name="Normal 2 2 2 2 2 2 2 21 5 2 11" xfId="12154"/>
    <cellStyle name="Normal 2 2 2 2 2 2 2 21 5 2 2" xfId="12155"/>
    <cellStyle name="Normal 2 2 2 2 2 2 2 21 5 2 2 2" xfId="12156"/>
    <cellStyle name="Normal 2 2 2 2 2 2 2 21 5 2 2 2 2" xfId="12157"/>
    <cellStyle name="Normal 2 2 2 2 2 2 2 21 5 2 2 2 3" xfId="12158"/>
    <cellStyle name="Normal 2 2 2 2 2 2 2 21 5 2 2 2 4" xfId="12159"/>
    <cellStyle name="Normal 2 2 2 2 2 2 2 21 5 2 2 3" xfId="12160"/>
    <cellStyle name="Normal 2 2 2 2 2 2 2 21 5 2 2 4" xfId="12161"/>
    <cellStyle name="Normal 2 2 2 2 2 2 2 21 5 2 2 5" xfId="12162"/>
    <cellStyle name="Normal 2 2 2 2 2 2 2 21 5 2 2 6" xfId="12163"/>
    <cellStyle name="Normal 2 2 2 2 2 2 2 21 5 2 3" xfId="12164"/>
    <cellStyle name="Normal 2 2 2 2 2 2 2 21 5 2 4" xfId="12165"/>
    <cellStyle name="Normal 2 2 2 2 2 2 2 21 5 2 5" xfId="12166"/>
    <cellStyle name="Normal 2 2 2 2 2 2 2 21 5 2 6" xfId="12167"/>
    <cellStyle name="Normal 2 2 2 2 2 2 2 21 5 2 7" xfId="12168"/>
    <cellStyle name="Normal 2 2 2 2 2 2 2 21 5 2 8" xfId="12169"/>
    <cellStyle name="Normal 2 2 2 2 2 2 2 21 5 2 8 2" xfId="12170"/>
    <cellStyle name="Normal 2 2 2 2 2 2 2 21 5 2 8 3" xfId="12171"/>
    <cellStyle name="Normal 2 2 2 2 2 2 2 21 5 2 8 4" xfId="12172"/>
    <cellStyle name="Normal 2 2 2 2 2 2 2 21 5 2 9" xfId="12173"/>
    <cellStyle name="Normal 2 2 2 2 2 2 2 21 5 3" xfId="12174"/>
    <cellStyle name="Normal 2 2 2 2 2 2 2 21 5 3 2" xfId="12175"/>
    <cellStyle name="Normal 2 2 2 2 2 2 2 21 5 3 2 2" xfId="12176"/>
    <cellStyle name="Normal 2 2 2 2 2 2 2 21 5 3 2 3" xfId="12177"/>
    <cellStyle name="Normal 2 2 2 2 2 2 2 21 5 3 2 4" xfId="12178"/>
    <cellStyle name="Normal 2 2 2 2 2 2 2 21 5 3 3" xfId="12179"/>
    <cellStyle name="Normal 2 2 2 2 2 2 2 21 5 3 4" xfId="12180"/>
    <cellStyle name="Normal 2 2 2 2 2 2 2 21 5 3 5" xfId="12181"/>
    <cellStyle name="Normal 2 2 2 2 2 2 2 21 5 3 6" xfId="12182"/>
    <cellStyle name="Normal 2 2 2 2 2 2 2 21 5 4" xfId="12183"/>
    <cellStyle name="Normal 2 2 2 2 2 2 2 21 5 5" xfId="12184"/>
    <cellStyle name="Normal 2 2 2 2 2 2 2 21 5 6" xfId="12185"/>
    <cellStyle name="Normal 2 2 2 2 2 2 2 21 5 7" xfId="12186"/>
    <cellStyle name="Normal 2 2 2 2 2 2 2 21 5 8" xfId="12187"/>
    <cellStyle name="Normal 2 2 2 2 2 2 2 21 5 8 2" xfId="12188"/>
    <cellStyle name="Normal 2 2 2 2 2 2 2 21 5 8 3" xfId="12189"/>
    <cellStyle name="Normal 2 2 2 2 2 2 2 21 5 8 4" xfId="12190"/>
    <cellStyle name="Normal 2 2 2 2 2 2 2 21 5 9" xfId="12191"/>
    <cellStyle name="Normal 2 2 2 2 2 2 2 21 6" xfId="12192"/>
    <cellStyle name="Normal 2 2 2 2 2 2 2 21 7" xfId="12193"/>
    <cellStyle name="Normal 2 2 2 2 2 2 2 21 7 2" xfId="12194"/>
    <cellStyle name="Normal 2 2 2 2 2 2 2 21 7 2 2" xfId="12195"/>
    <cellStyle name="Normal 2 2 2 2 2 2 2 21 7 2 3" xfId="12196"/>
    <cellStyle name="Normal 2 2 2 2 2 2 2 21 7 2 4" xfId="12197"/>
    <cellStyle name="Normal 2 2 2 2 2 2 2 21 7 3" xfId="12198"/>
    <cellStyle name="Normal 2 2 2 2 2 2 2 21 7 4" xfId="12199"/>
    <cellStyle name="Normal 2 2 2 2 2 2 2 21 7 5" xfId="12200"/>
    <cellStyle name="Normal 2 2 2 2 2 2 2 21 7 6" xfId="12201"/>
    <cellStyle name="Normal 2 2 2 2 2 2 2 21 8" xfId="12202"/>
    <cellStyle name="Normal 2 2 2 2 2 2 2 21 9" xfId="12203"/>
    <cellStyle name="Normal 2 2 2 2 2 2 2 22" xfId="12204"/>
    <cellStyle name="Normal 2 2 2 2 2 2 2 23" xfId="12205"/>
    <cellStyle name="Normal 2 2 2 2 2 2 2 24" xfId="12206"/>
    <cellStyle name="Normal 2 2 2 2 2 2 2 25" xfId="12207"/>
    <cellStyle name="Normal 2 2 2 2 2 2 2 26" xfId="12208"/>
    <cellStyle name="Normal 2 2 2 2 2 2 2 27" xfId="12209"/>
    <cellStyle name="Normal 2 2 2 2 2 2 2 28" xfId="12210"/>
    <cellStyle name="Normal 2 2 2 2 2 2 2 29" xfId="12211"/>
    <cellStyle name="Normal 2 2 2 2 2 2 2 29 10" xfId="12212"/>
    <cellStyle name="Normal 2 2 2 2 2 2 2 29 11" xfId="12213"/>
    <cellStyle name="Normal 2 2 2 2 2 2 2 29 11 2" xfId="12214"/>
    <cellStyle name="Normal 2 2 2 2 2 2 2 29 11 3" xfId="12215"/>
    <cellStyle name="Normal 2 2 2 2 2 2 2 29 11 4" xfId="12216"/>
    <cellStyle name="Normal 2 2 2 2 2 2 2 29 12" xfId="12217"/>
    <cellStyle name="Normal 2 2 2 2 2 2 2 29 13" xfId="12218"/>
    <cellStyle name="Normal 2 2 2 2 2 2 2 29 14" xfId="12219"/>
    <cellStyle name="Normal 2 2 2 2 2 2 2 29 2" xfId="12220"/>
    <cellStyle name="Normal 2 2 2 2 2 2 2 29 2 10" xfId="12221"/>
    <cellStyle name="Normal 2 2 2 2 2 2 2 29 2 11" xfId="12222"/>
    <cellStyle name="Normal 2 2 2 2 2 2 2 29 2 2" xfId="12223"/>
    <cellStyle name="Normal 2 2 2 2 2 2 2 29 2 2 10" xfId="12224"/>
    <cellStyle name="Normal 2 2 2 2 2 2 2 29 2 2 11" xfId="12225"/>
    <cellStyle name="Normal 2 2 2 2 2 2 2 29 2 2 2" xfId="12226"/>
    <cellStyle name="Normal 2 2 2 2 2 2 2 29 2 2 2 2" xfId="12227"/>
    <cellStyle name="Normal 2 2 2 2 2 2 2 29 2 2 2 2 2" xfId="12228"/>
    <cellStyle name="Normal 2 2 2 2 2 2 2 29 2 2 2 2 3" xfId="12229"/>
    <cellStyle name="Normal 2 2 2 2 2 2 2 29 2 2 2 2 4" xfId="12230"/>
    <cellStyle name="Normal 2 2 2 2 2 2 2 29 2 2 2 3" xfId="12231"/>
    <cellStyle name="Normal 2 2 2 2 2 2 2 29 2 2 2 4" xfId="12232"/>
    <cellStyle name="Normal 2 2 2 2 2 2 2 29 2 2 2 5" xfId="12233"/>
    <cellStyle name="Normal 2 2 2 2 2 2 2 29 2 2 2 6" xfId="12234"/>
    <cellStyle name="Normal 2 2 2 2 2 2 2 29 2 2 3" xfId="12235"/>
    <cellStyle name="Normal 2 2 2 2 2 2 2 29 2 2 4" xfId="12236"/>
    <cellStyle name="Normal 2 2 2 2 2 2 2 29 2 2 5" xfId="12237"/>
    <cellStyle name="Normal 2 2 2 2 2 2 2 29 2 2 6" xfId="12238"/>
    <cellStyle name="Normal 2 2 2 2 2 2 2 29 2 2 7" xfId="12239"/>
    <cellStyle name="Normal 2 2 2 2 2 2 2 29 2 2 8" xfId="12240"/>
    <cellStyle name="Normal 2 2 2 2 2 2 2 29 2 2 8 2" xfId="12241"/>
    <cellStyle name="Normal 2 2 2 2 2 2 2 29 2 2 8 3" xfId="12242"/>
    <cellStyle name="Normal 2 2 2 2 2 2 2 29 2 2 8 4" xfId="12243"/>
    <cellStyle name="Normal 2 2 2 2 2 2 2 29 2 2 9" xfId="12244"/>
    <cellStyle name="Normal 2 2 2 2 2 2 2 29 2 3" xfId="12245"/>
    <cellStyle name="Normal 2 2 2 2 2 2 2 29 2 3 2" xfId="12246"/>
    <cellStyle name="Normal 2 2 2 2 2 2 2 29 2 3 2 2" xfId="12247"/>
    <cellStyle name="Normal 2 2 2 2 2 2 2 29 2 3 2 3" xfId="12248"/>
    <cellStyle name="Normal 2 2 2 2 2 2 2 29 2 3 2 4" xfId="12249"/>
    <cellStyle name="Normal 2 2 2 2 2 2 2 29 2 3 3" xfId="12250"/>
    <cellStyle name="Normal 2 2 2 2 2 2 2 29 2 3 4" xfId="12251"/>
    <cellStyle name="Normal 2 2 2 2 2 2 2 29 2 3 5" xfId="12252"/>
    <cellStyle name="Normal 2 2 2 2 2 2 2 29 2 3 6" xfId="12253"/>
    <cellStyle name="Normal 2 2 2 2 2 2 2 29 2 4" xfId="12254"/>
    <cellStyle name="Normal 2 2 2 2 2 2 2 29 2 5" xfId="12255"/>
    <cellStyle name="Normal 2 2 2 2 2 2 2 29 2 6" xfId="12256"/>
    <cellStyle name="Normal 2 2 2 2 2 2 2 29 2 7" xfId="12257"/>
    <cellStyle name="Normal 2 2 2 2 2 2 2 29 2 8" xfId="12258"/>
    <cellStyle name="Normal 2 2 2 2 2 2 2 29 2 8 2" xfId="12259"/>
    <cellStyle name="Normal 2 2 2 2 2 2 2 29 2 8 3" xfId="12260"/>
    <cellStyle name="Normal 2 2 2 2 2 2 2 29 2 8 4" xfId="12261"/>
    <cellStyle name="Normal 2 2 2 2 2 2 2 29 2 9" xfId="12262"/>
    <cellStyle name="Normal 2 2 2 2 2 2 2 29 3" xfId="12263"/>
    <cellStyle name="Normal 2 2 2 2 2 2 2 29 4" xfId="12264"/>
    <cellStyle name="Normal 2 2 2 2 2 2 2 29 5" xfId="12265"/>
    <cellStyle name="Normal 2 2 2 2 2 2 2 29 5 2" xfId="12266"/>
    <cellStyle name="Normal 2 2 2 2 2 2 2 29 5 2 2" xfId="12267"/>
    <cellStyle name="Normal 2 2 2 2 2 2 2 29 5 2 3" xfId="12268"/>
    <cellStyle name="Normal 2 2 2 2 2 2 2 29 5 2 4" xfId="12269"/>
    <cellStyle name="Normal 2 2 2 2 2 2 2 29 5 3" xfId="12270"/>
    <cellStyle name="Normal 2 2 2 2 2 2 2 29 5 4" xfId="12271"/>
    <cellStyle name="Normal 2 2 2 2 2 2 2 29 5 5" xfId="12272"/>
    <cellStyle name="Normal 2 2 2 2 2 2 2 29 5 6" xfId="12273"/>
    <cellStyle name="Normal 2 2 2 2 2 2 2 29 6" xfId="12274"/>
    <cellStyle name="Normal 2 2 2 2 2 2 2 29 7" xfId="12275"/>
    <cellStyle name="Normal 2 2 2 2 2 2 2 29 8" xfId="12276"/>
    <cellStyle name="Normal 2 2 2 2 2 2 2 29 9" xfId="12277"/>
    <cellStyle name="Normal 2 2 2 2 2 2 2 3" xfId="12278"/>
    <cellStyle name="Normal 2 2 2 2 2 2 2 30" xfId="12279"/>
    <cellStyle name="Normal 2 2 2 2 2 2 2 31" xfId="12280"/>
    <cellStyle name="Normal 2 2 2 2 2 2 2 31 10" xfId="12281"/>
    <cellStyle name="Normal 2 2 2 2 2 2 2 31 11" xfId="12282"/>
    <cellStyle name="Normal 2 2 2 2 2 2 2 31 2" xfId="12283"/>
    <cellStyle name="Normal 2 2 2 2 2 2 2 31 2 10" xfId="12284"/>
    <cellStyle name="Normal 2 2 2 2 2 2 2 31 2 11" xfId="12285"/>
    <cellStyle name="Normal 2 2 2 2 2 2 2 31 2 2" xfId="12286"/>
    <cellStyle name="Normal 2 2 2 2 2 2 2 31 2 2 2" xfId="12287"/>
    <cellStyle name="Normal 2 2 2 2 2 2 2 31 2 2 2 2" xfId="12288"/>
    <cellStyle name="Normal 2 2 2 2 2 2 2 31 2 2 2 3" xfId="12289"/>
    <cellStyle name="Normal 2 2 2 2 2 2 2 31 2 2 2 4" xfId="12290"/>
    <cellStyle name="Normal 2 2 2 2 2 2 2 31 2 2 3" xfId="12291"/>
    <cellStyle name="Normal 2 2 2 2 2 2 2 31 2 2 4" xfId="12292"/>
    <cellStyle name="Normal 2 2 2 2 2 2 2 31 2 2 5" xfId="12293"/>
    <cellStyle name="Normal 2 2 2 2 2 2 2 31 2 2 6" xfId="12294"/>
    <cellStyle name="Normal 2 2 2 2 2 2 2 31 2 3" xfId="12295"/>
    <cellStyle name="Normal 2 2 2 2 2 2 2 31 2 4" xfId="12296"/>
    <cellStyle name="Normal 2 2 2 2 2 2 2 31 2 5" xfId="12297"/>
    <cellStyle name="Normal 2 2 2 2 2 2 2 31 2 6" xfId="12298"/>
    <cellStyle name="Normal 2 2 2 2 2 2 2 31 2 7" xfId="12299"/>
    <cellStyle name="Normal 2 2 2 2 2 2 2 31 2 8" xfId="12300"/>
    <cellStyle name="Normal 2 2 2 2 2 2 2 31 2 8 2" xfId="12301"/>
    <cellStyle name="Normal 2 2 2 2 2 2 2 31 2 8 3" xfId="12302"/>
    <cellStyle name="Normal 2 2 2 2 2 2 2 31 2 8 4" xfId="12303"/>
    <cellStyle name="Normal 2 2 2 2 2 2 2 31 2 9" xfId="12304"/>
    <cellStyle name="Normal 2 2 2 2 2 2 2 31 3" xfId="12305"/>
    <cellStyle name="Normal 2 2 2 2 2 2 2 31 3 2" xfId="12306"/>
    <cellStyle name="Normal 2 2 2 2 2 2 2 31 3 2 2" xfId="12307"/>
    <cellStyle name="Normal 2 2 2 2 2 2 2 31 3 2 3" xfId="12308"/>
    <cellStyle name="Normal 2 2 2 2 2 2 2 31 3 2 4" xfId="12309"/>
    <cellStyle name="Normal 2 2 2 2 2 2 2 31 3 3" xfId="12310"/>
    <cellStyle name="Normal 2 2 2 2 2 2 2 31 3 4" xfId="12311"/>
    <cellStyle name="Normal 2 2 2 2 2 2 2 31 3 5" xfId="12312"/>
    <cellStyle name="Normal 2 2 2 2 2 2 2 31 3 6" xfId="12313"/>
    <cellStyle name="Normal 2 2 2 2 2 2 2 31 4" xfId="12314"/>
    <cellStyle name="Normal 2 2 2 2 2 2 2 31 5" xfId="12315"/>
    <cellStyle name="Normal 2 2 2 2 2 2 2 31 6" xfId="12316"/>
    <cellStyle name="Normal 2 2 2 2 2 2 2 31 7" xfId="12317"/>
    <cellStyle name="Normal 2 2 2 2 2 2 2 31 8" xfId="12318"/>
    <cellStyle name="Normal 2 2 2 2 2 2 2 31 8 2" xfId="12319"/>
    <cellStyle name="Normal 2 2 2 2 2 2 2 31 8 3" xfId="12320"/>
    <cellStyle name="Normal 2 2 2 2 2 2 2 31 8 4" xfId="12321"/>
    <cellStyle name="Normal 2 2 2 2 2 2 2 31 9" xfId="12322"/>
    <cellStyle name="Normal 2 2 2 2 2 2 2 32" xfId="12323"/>
    <cellStyle name="Normal 2 2 2 2 2 2 2 33" xfId="12324"/>
    <cellStyle name="Normal 2 2 2 2 2 2 2 33 2" xfId="12325"/>
    <cellStyle name="Normal 2 2 2 2 2 2 2 33 2 2" xfId="12326"/>
    <cellStyle name="Normal 2 2 2 2 2 2 2 33 2 3" xfId="12327"/>
    <cellStyle name="Normal 2 2 2 2 2 2 2 33 2 4" xfId="12328"/>
    <cellStyle name="Normal 2 2 2 2 2 2 2 33 3" xfId="12329"/>
    <cellStyle name="Normal 2 2 2 2 2 2 2 33 4" xfId="12330"/>
    <cellStyle name="Normal 2 2 2 2 2 2 2 33 5" xfId="12331"/>
    <cellStyle name="Normal 2 2 2 2 2 2 2 33 6" xfId="12332"/>
    <cellStyle name="Normal 2 2 2 2 2 2 2 34" xfId="12333"/>
    <cellStyle name="Normal 2 2 2 2 2 2 2 35" xfId="12334"/>
    <cellStyle name="Normal 2 2 2 2 2 2 2 36" xfId="12335"/>
    <cellStyle name="Normal 2 2 2 2 2 2 2 37" xfId="12336"/>
    <cellStyle name="Normal 2 2 2 2 2 2 2 38" xfId="12337"/>
    <cellStyle name="Normal 2 2 2 2 2 2 2 39" xfId="12338"/>
    <cellStyle name="Normal 2 2 2 2 2 2 2 39 2" xfId="12339"/>
    <cellStyle name="Normal 2 2 2 2 2 2 2 39 3" xfId="12340"/>
    <cellStyle name="Normal 2 2 2 2 2 2 2 39 4" xfId="12341"/>
    <cellStyle name="Normal 2 2 2 2 2 2 2 4" xfId="12342"/>
    <cellStyle name="Normal 2 2 2 2 2 2 2 40" xfId="12343"/>
    <cellStyle name="Normal 2 2 2 2 2 2 2 41" xfId="12344"/>
    <cellStyle name="Normal 2 2 2 2 2 2 2 42" xfId="12345"/>
    <cellStyle name="Normal 2 2 2 2 2 2 2 43" xfId="12346"/>
    <cellStyle name="Normal 2 2 2 2 2 2 2 44" xfId="12347"/>
    <cellStyle name="Normal 2 2 2 2 2 2 2 45" xfId="12348"/>
    <cellStyle name="Normal 2 2 2 2 2 2 2 46" xfId="12349"/>
    <cellStyle name="Normal 2 2 2 2 2 2 2 47" xfId="12350"/>
    <cellStyle name="Normal 2 2 2 2 2 2 2 48" xfId="12351"/>
    <cellStyle name="Normal 2 2 2 2 2 2 2 49" xfId="12352"/>
    <cellStyle name="Normal 2 2 2 2 2 2 2 5" xfId="12353"/>
    <cellStyle name="Normal 2 2 2 2 2 2 2 50" xfId="12354"/>
    <cellStyle name="Normal 2 2 2 2 2 2 2 51" xfId="12355"/>
    <cellStyle name="Normal 2 2 2 2 2 2 2 52" xfId="12356"/>
    <cellStyle name="Normal 2 2 2 2 2 2 2 53" xfId="12357"/>
    <cellStyle name="Normal 2 2 2 2 2 2 2 54" xfId="12358"/>
    <cellStyle name="Normal 2 2 2 2 2 2 2 54 2" xfId="12359"/>
    <cellStyle name="Normal 2 2 2 2 2 2 2 54 3" xfId="12360"/>
    <cellStyle name="Normal 2 2 2 2 2 2 2 54 4" xfId="12361"/>
    <cellStyle name="Normal 2 2 2 2 2 2 2 54 5" xfId="12362"/>
    <cellStyle name="Normal 2 2 2 2 2 2 2 54 6" xfId="12363"/>
    <cellStyle name="Normal 2 2 2 2 2 2 2 54 7" xfId="12364"/>
    <cellStyle name="Normal 2 2 2 2 2 2 2 55" xfId="12365"/>
    <cellStyle name="Normal 2 2 2 2 2 2 2 56" xfId="12366"/>
    <cellStyle name="Normal 2 2 2 2 2 2 2 57" xfId="12367"/>
    <cellStyle name="Normal 2 2 2 2 2 2 2 58" xfId="12368"/>
    <cellStyle name="Normal 2 2 2 2 2 2 2 59" xfId="12369"/>
    <cellStyle name="Normal 2 2 2 2 2 2 2 6" xfId="12370"/>
    <cellStyle name="Normal 2 2 2 2 2 2 2 60" xfId="12371"/>
    <cellStyle name="Normal 2 2 2 2 2 2 2 61" xfId="12372"/>
    <cellStyle name="Normal 2 2 2 2 2 2 2 62" xfId="12373"/>
    <cellStyle name="Normal 2 2 2 2 2 2 2 63" xfId="12374"/>
    <cellStyle name="Normal 2 2 2 2 2 2 2 64" xfId="12375"/>
    <cellStyle name="Normal 2 2 2 2 2 2 2 65" xfId="12376"/>
    <cellStyle name="Normal 2 2 2 2 2 2 2 66" xfId="12377"/>
    <cellStyle name="Normal 2 2 2 2 2 2 2 67" xfId="12378"/>
    <cellStyle name="Normal 2 2 2 2 2 2 2 68" xfId="12379"/>
    <cellStyle name="Normal 2 2 2 2 2 2 2 69" xfId="12380"/>
    <cellStyle name="Normal 2 2 2 2 2 2 2 7" xfId="12381"/>
    <cellStyle name="Normal 2 2 2 2 2 2 2 70" xfId="12382"/>
    <cellStyle name="Normal 2 2 2 2 2 2 2 71" xfId="12383"/>
    <cellStyle name="Normal 2 2 2 2 2 2 2 72" xfId="12384"/>
    <cellStyle name="Normal 2 2 2 2 2 2 2 73" xfId="12385"/>
    <cellStyle name="Normal 2 2 2 2 2 2 2 74" xfId="12386"/>
    <cellStyle name="Normal 2 2 2 2 2 2 2 75" xfId="12387"/>
    <cellStyle name="Normal 2 2 2 2 2 2 2 76" xfId="12388"/>
    <cellStyle name="Normal 2 2 2 2 2 2 2 77" xfId="12389"/>
    <cellStyle name="Normal 2 2 2 2 2 2 2 78" xfId="12390"/>
    <cellStyle name="Normal 2 2 2 2 2 2 2 79" xfId="12391"/>
    <cellStyle name="Normal 2 2 2 2 2 2 2 8" xfId="12392"/>
    <cellStyle name="Normal 2 2 2 2 2 2 2 80" xfId="12393"/>
    <cellStyle name="Normal 2 2 2 2 2 2 2 81" xfId="12394"/>
    <cellStyle name="Normal 2 2 2 2 2 2 2 82" xfId="12395"/>
    <cellStyle name="Normal 2 2 2 2 2 2 2 83" xfId="12396"/>
    <cellStyle name="Normal 2 2 2 2 2 2 2 84" xfId="12397"/>
    <cellStyle name="Normal 2 2 2 2 2 2 2 85" xfId="12398"/>
    <cellStyle name="Normal 2 2 2 2 2 2 2 86" xfId="12399"/>
    <cellStyle name="Normal 2 2 2 2 2 2 2 87" xfId="12400"/>
    <cellStyle name="Normal 2 2 2 2 2 2 2 88" xfId="12401"/>
    <cellStyle name="Normal 2 2 2 2 2 2 2 89" xfId="12402"/>
    <cellStyle name="Normal 2 2 2 2 2 2 2 9" xfId="12403"/>
    <cellStyle name="Normal 2 2 2 2 2 2 2 90" xfId="12404"/>
    <cellStyle name="Normal 2 2 2 2 2 2 2 91" xfId="12405"/>
    <cellStyle name="Normal 2 2 2 2 2 2 2 92" xfId="12406"/>
    <cellStyle name="Normal 2 2 2 2 2 2 2 93" xfId="12407"/>
    <cellStyle name="Normal 2 2 2 2 2 2 2 94" xfId="12408"/>
    <cellStyle name="Normal 2 2 2 2 2 2 2 95" xfId="12409"/>
    <cellStyle name="Normal 2 2 2 2 2 2 2 96" xfId="12410"/>
    <cellStyle name="Normal 2 2 2 2 2 2 2 97" xfId="12411"/>
    <cellStyle name="Normal 2 2 2 2 2 2 2 98" xfId="12412"/>
    <cellStyle name="Normal 2 2 2 2 2 2 2 99" xfId="12413"/>
    <cellStyle name="Normal 2 2 2 2 2 2 20" xfId="12414"/>
    <cellStyle name="Normal 2 2 2 2 2 2 21" xfId="12415"/>
    <cellStyle name="Normal 2 2 2 2 2 2 22" xfId="12416"/>
    <cellStyle name="Normal 2 2 2 2 2 2 23" xfId="12417"/>
    <cellStyle name="Normal 2 2 2 2 2 2 24" xfId="12418"/>
    <cellStyle name="Normal 2 2 2 2 2 2 25" xfId="12419"/>
    <cellStyle name="Normal 2 2 2 2 2 2 26" xfId="12420"/>
    <cellStyle name="Normal 2 2 2 2 2 2 27" xfId="12421"/>
    <cellStyle name="Normal 2 2 2 2 2 2 28" xfId="12422"/>
    <cellStyle name="Normal 2 2 2 2 2 2 28 10" xfId="12423"/>
    <cellStyle name="Normal 2 2 2 2 2 2 28 11" xfId="12424"/>
    <cellStyle name="Normal 2 2 2 2 2 2 28 11 10" xfId="12425"/>
    <cellStyle name="Normal 2 2 2 2 2 2 28 11 11" xfId="12426"/>
    <cellStyle name="Normal 2 2 2 2 2 2 28 11 11 2" xfId="12427"/>
    <cellStyle name="Normal 2 2 2 2 2 2 28 11 11 3" xfId="12428"/>
    <cellStyle name="Normal 2 2 2 2 2 2 28 11 11 4" xfId="12429"/>
    <cellStyle name="Normal 2 2 2 2 2 2 28 11 12" xfId="12430"/>
    <cellStyle name="Normal 2 2 2 2 2 2 28 11 13" xfId="12431"/>
    <cellStyle name="Normal 2 2 2 2 2 2 28 11 14" xfId="12432"/>
    <cellStyle name="Normal 2 2 2 2 2 2 28 11 2" xfId="12433"/>
    <cellStyle name="Normal 2 2 2 2 2 2 28 11 2 10" xfId="12434"/>
    <cellStyle name="Normal 2 2 2 2 2 2 28 11 2 11" xfId="12435"/>
    <cellStyle name="Normal 2 2 2 2 2 2 28 11 2 2" xfId="12436"/>
    <cellStyle name="Normal 2 2 2 2 2 2 28 11 2 2 10" xfId="12437"/>
    <cellStyle name="Normal 2 2 2 2 2 2 28 11 2 2 11" xfId="12438"/>
    <cellStyle name="Normal 2 2 2 2 2 2 28 11 2 2 2" xfId="12439"/>
    <cellStyle name="Normal 2 2 2 2 2 2 28 11 2 2 2 2" xfId="12440"/>
    <cellStyle name="Normal 2 2 2 2 2 2 28 11 2 2 2 2 2" xfId="12441"/>
    <cellStyle name="Normal 2 2 2 2 2 2 28 11 2 2 2 2 3" xfId="12442"/>
    <cellStyle name="Normal 2 2 2 2 2 2 28 11 2 2 2 2 4" xfId="12443"/>
    <cellStyle name="Normal 2 2 2 2 2 2 28 11 2 2 2 3" xfId="12444"/>
    <cellStyle name="Normal 2 2 2 2 2 2 28 11 2 2 2 4" xfId="12445"/>
    <cellStyle name="Normal 2 2 2 2 2 2 28 11 2 2 2 5" xfId="12446"/>
    <cellStyle name="Normal 2 2 2 2 2 2 28 11 2 2 2 6" xfId="12447"/>
    <cellStyle name="Normal 2 2 2 2 2 2 28 11 2 2 3" xfId="12448"/>
    <cellStyle name="Normal 2 2 2 2 2 2 28 11 2 2 4" xfId="12449"/>
    <cellStyle name="Normal 2 2 2 2 2 2 28 11 2 2 5" xfId="12450"/>
    <cellStyle name="Normal 2 2 2 2 2 2 28 11 2 2 6" xfId="12451"/>
    <cellStyle name="Normal 2 2 2 2 2 2 28 11 2 2 7" xfId="12452"/>
    <cellStyle name="Normal 2 2 2 2 2 2 28 11 2 2 8" xfId="12453"/>
    <cellStyle name="Normal 2 2 2 2 2 2 28 11 2 2 8 2" xfId="12454"/>
    <cellStyle name="Normal 2 2 2 2 2 2 28 11 2 2 8 3" xfId="12455"/>
    <cellStyle name="Normal 2 2 2 2 2 2 28 11 2 2 8 4" xfId="12456"/>
    <cellStyle name="Normal 2 2 2 2 2 2 28 11 2 2 9" xfId="12457"/>
    <cellStyle name="Normal 2 2 2 2 2 2 28 11 2 3" xfId="12458"/>
    <cellStyle name="Normal 2 2 2 2 2 2 28 11 2 3 2" xfId="12459"/>
    <cellStyle name="Normal 2 2 2 2 2 2 28 11 2 3 2 2" xfId="12460"/>
    <cellStyle name="Normal 2 2 2 2 2 2 28 11 2 3 2 3" xfId="12461"/>
    <cellStyle name="Normal 2 2 2 2 2 2 28 11 2 3 2 4" xfId="12462"/>
    <cellStyle name="Normal 2 2 2 2 2 2 28 11 2 3 3" xfId="12463"/>
    <cellStyle name="Normal 2 2 2 2 2 2 28 11 2 3 4" xfId="12464"/>
    <cellStyle name="Normal 2 2 2 2 2 2 28 11 2 3 5" xfId="12465"/>
    <cellStyle name="Normal 2 2 2 2 2 2 28 11 2 3 6" xfId="12466"/>
    <cellStyle name="Normal 2 2 2 2 2 2 28 11 2 4" xfId="12467"/>
    <cellStyle name="Normal 2 2 2 2 2 2 28 11 2 5" xfId="12468"/>
    <cellStyle name="Normal 2 2 2 2 2 2 28 11 2 6" xfId="12469"/>
    <cellStyle name="Normal 2 2 2 2 2 2 28 11 2 7" xfId="12470"/>
    <cellStyle name="Normal 2 2 2 2 2 2 28 11 2 8" xfId="12471"/>
    <cellStyle name="Normal 2 2 2 2 2 2 28 11 2 8 2" xfId="12472"/>
    <cellStyle name="Normal 2 2 2 2 2 2 28 11 2 8 3" xfId="12473"/>
    <cellStyle name="Normal 2 2 2 2 2 2 28 11 2 8 4" xfId="12474"/>
    <cellStyle name="Normal 2 2 2 2 2 2 28 11 2 9" xfId="12475"/>
    <cellStyle name="Normal 2 2 2 2 2 2 28 11 3" xfId="12476"/>
    <cellStyle name="Normal 2 2 2 2 2 2 28 11 4" xfId="12477"/>
    <cellStyle name="Normal 2 2 2 2 2 2 28 11 5" xfId="12478"/>
    <cellStyle name="Normal 2 2 2 2 2 2 28 11 5 2" xfId="12479"/>
    <cellStyle name="Normal 2 2 2 2 2 2 28 11 5 2 2" xfId="12480"/>
    <cellStyle name="Normal 2 2 2 2 2 2 28 11 5 2 3" xfId="12481"/>
    <cellStyle name="Normal 2 2 2 2 2 2 28 11 5 2 4" xfId="12482"/>
    <cellStyle name="Normal 2 2 2 2 2 2 28 11 5 3" xfId="12483"/>
    <cellStyle name="Normal 2 2 2 2 2 2 28 11 5 4" xfId="12484"/>
    <cellStyle name="Normal 2 2 2 2 2 2 28 11 5 5" xfId="12485"/>
    <cellStyle name="Normal 2 2 2 2 2 2 28 11 5 6" xfId="12486"/>
    <cellStyle name="Normal 2 2 2 2 2 2 28 11 6" xfId="12487"/>
    <cellStyle name="Normal 2 2 2 2 2 2 28 11 7" xfId="12488"/>
    <cellStyle name="Normal 2 2 2 2 2 2 28 11 8" xfId="12489"/>
    <cellStyle name="Normal 2 2 2 2 2 2 28 11 9" xfId="12490"/>
    <cellStyle name="Normal 2 2 2 2 2 2 28 12" xfId="12491"/>
    <cellStyle name="Normal 2 2 2 2 2 2 28 13" xfId="12492"/>
    <cellStyle name="Normal 2 2 2 2 2 2 28 13 10" xfId="12493"/>
    <cellStyle name="Normal 2 2 2 2 2 2 28 13 11" xfId="12494"/>
    <cellStyle name="Normal 2 2 2 2 2 2 28 13 2" xfId="12495"/>
    <cellStyle name="Normal 2 2 2 2 2 2 28 13 2 10" xfId="12496"/>
    <cellStyle name="Normal 2 2 2 2 2 2 28 13 2 11" xfId="12497"/>
    <cellStyle name="Normal 2 2 2 2 2 2 28 13 2 2" xfId="12498"/>
    <cellStyle name="Normal 2 2 2 2 2 2 28 13 2 2 2" xfId="12499"/>
    <cellStyle name="Normal 2 2 2 2 2 2 28 13 2 2 2 2" xfId="12500"/>
    <cellStyle name="Normal 2 2 2 2 2 2 28 13 2 2 2 3" xfId="12501"/>
    <cellStyle name="Normal 2 2 2 2 2 2 28 13 2 2 2 4" xfId="12502"/>
    <cellStyle name="Normal 2 2 2 2 2 2 28 13 2 2 3" xfId="12503"/>
    <cellStyle name="Normal 2 2 2 2 2 2 28 13 2 2 4" xfId="12504"/>
    <cellStyle name="Normal 2 2 2 2 2 2 28 13 2 2 5" xfId="12505"/>
    <cellStyle name="Normal 2 2 2 2 2 2 28 13 2 2 6" xfId="12506"/>
    <cellStyle name="Normal 2 2 2 2 2 2 28 13 2 3" xfId="12507"/>
    <cellStyle name="Normal 2 2 2 2 2 2 28 13 2 4" xfId="12508"/>
    <cellStyle name="Normal 2 2 2 2 2 2 28 13 2 5" xfId="12509"/>
    <cellStyle name="Normal 2 2 2 2 2 2 28 13 2 6" xfId="12510"/>
    <cellStyle name="Normal 2 2 2 2 2 2 28 13 2 7" xfId="12511"/>
    <cellStyle name="Normal 2 2 2 2 2 2 28 13 2 8" xfId="12512"/>
    <cellStyle name="Normal 2 2 2 2 2 2 28 13 2 8 2" xfId="12513"/>
    <cellStyle name="Normal 2 2 2 2 2 2 28 13 2 8 3" xfId="12514"/>
    <cellStyle name="Normal 2 2 2 2 2 2 28 13 2 8 4" xfId="12515"/>
    <cellStyle name="Normal 2 2 2 2 2 2 28 13 2 9" xfId="12516"/>
    <cellStyle name="Normal 2 2 2 2 2 2 28 13 3" xfId="12517"/>
    <cellStyle name="Normal 2 2 2 2 2 2 28 13 3 2" xfId="12518"/>
    <cellStyle name="Normal 2 2 2 2 2 2 28 13 3 2 2" xfId="12519"/>
    <cellStyle name="Normal 2 2 2 2 2 2 28 13 3 2 3" xfId="12520"/>
    <cellStyle name="Normal 2 2 2 2 2 2 28 13 3 2 4" xfId="12521"/>
    <cellStyle name="Normal 2 2 2 2 2 2 28 13 3 3" xfId="12522"/>
    <cellStyle name="Normal 2 2 2 2 2 2 28 13 3 4" xfId="12523"/>
    <cellStyle name="Normal 2 2 2 2 2 2 28 13 3 5" xfId="12524"/>
    <cellStyle name="Normal 2 2 2 2 2 2 28 13 3 6" xfId="12525"/>
    <cellStyle name="Normal 2 2 2 2 2 2 28 13 4" xfId="12526"/>
    <cellStyle name="Normal 2 2 2 2 2 2 28 13 5" xfId="12527"/>
    <cellStyle name="Normal 2 2 2 2 2 2 28 13 6" xfId="12528"/>
    <cellStyle name="Normal 2 2 2 2 2 2 28 13 7" xfId="12529"/>
    <cellStyle name="Normal 2 2 2 2 2 2 28 13 8" xfId="12530"/>
    <cellStyle name="Normal 2 2 2 2 2 2 28 13 8 2" xfId="12531"/>
    <cellStyle name="Normal 2 2 2 2 2 2 28 13 8 3" xfId="12532"/>
    <cellStyle name="Normal 2 2 2 2 2 2 28 13 8 4" xfId="12533"/>
    <cellStyle name="Normal 2 2 2 2 2 2 28 13 9" xfId="12534"/>
    <cellStyle name="Normal 2 2 2 2 2 2 28 14" xfId="12535"/>
    <cellStyle name="Normal 2 2 2 2 2 2 28 15" xfId="12536"/>
    <cellStyle name="Normal 2 2 2 2 2 2 28 15 2" xfId="12537"/>
    <cellStyle name="Normal 2 2 2 2 2 2 28 15 2 2" xfId="12538"/>
    <cellStyle name="Normal 2 2 2 2 2 2 28 15 2 3" xfId="12539"/>
    <cellStyle name="Normal 2 2 2 2 2 2 28 15 2 4" xfId="12540"/>
    <cellStyle name="Normal 2 2 2 2 2 2 28 15 3" xfId="12541"/>
    <cellStyle name="Normal 2 2 2 2 2 2 28 15 4" xfId="12542"/>
    <cellStyle name="Normal 2 2 2 2 2 2 28 15 5" xfId="12543"/>
    <cellStyle name="Normal 2 2 2 2 2 2 28 15 6" xfId="12544"/>
    <cellStyle name="Normal 2 2 2 2 2 2 28 16" xfId="12545"/>
    <cellStyle name="Normal 2 2 2 2 2 2 28 17" xfId="12546"/>
    <cellStyle name="Normal 2 2 2 2 2 2 28 18" xfId="12547"/>
    <cellStyle name="Normal 2 2 2 2 2 2 28 19" xfId="12548"/>
    <cellStyle name="Normal 2 2 2 2 2 2 28 2" xfId="12549"/>
    <cellStyle name="Normal 2 2 2 2 2 2 28 2 10" xfId="12550"/>
    <cellStyle name="Normal 2 2 2 2 2 2 28 2 11" xfId="12551"/>
    <cellStyle name="Normal 2 2 2 2 2 2 28 2 12" xfId="12552"/>
    <cellStyle name="Normal 2 2 2 2 2 2 28 2 13" xfId="12553"/>
    <cellStyle name="Normal 2 2 2 2 2 2 28 2 13 2" xfId="12554"/>
    <cellStyle name="Normal 2 2 2 2 2 2 28 2 13 3" xfId="12555"/>
    <cellStyle name="Normal 2 2 2 2 2 2 28 2 13 4" xfId="12556"/>
    <cellStyle name="Normal 2 2 2 2 2 2 28 2 14" xfId="12557"/>
    <cellStyle name="Normal 2 2 2 2 2 2 28 2 15" xfId="12558"/>
    <cellStyle name="Normal 2 2 2 2 2 2 28 2 16" xfId="12559"/>
    <cellStyle name="Normal 2 2 2 2 2 2 28 2 2" xfId="12560"/>
    <cellStyle name="Normal 2 2 2 2 2 2 28 2 2 10" xfId="12561"/>
    <cellStyle name="Normal 2 2 2 2 2 2 28 2 2 11" xfId="12562"/>
    <cellStyle name="Normal 2 2 2 2 2 2 28 2 2 11 2" xfId="12563"/>
    <cellStyle name="Normal 2 2 2 2 2 2 28 2 2 11 3" xfId="12564"/>
    <cellStyle name="Normal 2 2 2 2 2 2 28 2 2 11 4" xfId="12565"/>
    <cellStyle name="Normal 2 2 2 2 2 2 28 2 2 12" xfId="12566"/>
    <cellStyle name="Normal 2 2 2 2 2 2 28 2 2 13" xfId="12567"/>
    <cellStyle name="Normal 2 2 2 2 2 2 28 2 2 14" xfId="12568"/>
    <cellStyle name="Normal 2 2 2 2 2 2 28 2 2 2" xfId="12569"/>
    <cellStyle name="Normal 2 2 2 2 2 2 28 2 2 2 10" xfId="12570"/>
    <cellStyle name="Normal 2 2 2 2 2 2 28 2 2 2 11" xfId="12571"/>
    <cellStyle name="Normal 2 2 2 2 2 2 28 2 2 2 2" xfId="12572"/>
    <cellStyle name="Normal 2 2 2 2 2 2 28 2 2 2 2 10" xfId="12573"/>
    <cellStyle name="Normal 2 2 2 2 2 2 28 2 2 2 2 11" xfId="12574"/>
    <cellStyle name="Normal 2 2 2 2 2 2 28 2 2 2 2 2" xfId="12575"/>
    <cellStyle name="Normal 2 2 2 2 2 2 28 2 2 2 2 2 2" xfId="12576"/>
    <cellStyle name="Normal 2 2 2 2 2 2 28 2 2 2 2 2 2 2" xfId="12577"/>
    <cellStyle name="Normal 2 2 2 2 2 2 28 2 2 2 2 2 2 3" xfId="12578"/>
    <cellStyle name="Normal 2 2 2 2 2 2 28 2 2 2 2 2 2 4" xfId="12579"/>
    <cellStyle name="Normal 2 2 2 2 2 2 28 2 2 2 2 2 3" xfId="12580"/>
    <cellStyle name="Normal 2 2 2 2 2 2 28 2 2 2 2 2 4" xfId="12581"/>
    <cellStyle name="Normal 2 2 2 2 2 2 28 2 2 2 2 2 5" xfId="12582"/>
    <cellStyle name="Normal 2 2 2 2 2 2 28 2 2 2 2 2 6" xfId="12583"/>
    <cellStyle name="Normal 2 2 2 2 2 2 28 2 2 2 2 3" xfId="12584"/>
    <cellStyle name="Normal 2 2 2 2 2 2 28 2 2 2 2 4" xfId="12585"/>
    <cellStyle name="Normal 2 2 2 2 2 2 28 2 2 2 2 5" xfId="12586"/>
    <cellStyle name="Normal 2 2 2 2 2 2 28 2 2 2 2 6" xfId="12587"/>
    <cellStyle name="Normal 2 2 2 2 2 2 28 2 2 2 2 7" xfId="12588"/>
    <cellStyle name="Normal 2 2 2 2 2 2 28 2 2 2 2 8" xfId="12589"/>
    <cellStyle name="Normal 2 2 2 2 2 2 28 2 2 2 2 8 2" xfId="12590"/>
    <cellStyle name="Normal 2 2 2 2 2 2 28 2 2 2 2 8 3" xfId="12591"/>
    <cellStyle name="Normal 2 2 2 2 2 2 28 2 2 2 2 8 4" xfId="12592"/>
    <cellStyle name="Normal 2 2 2 2 2 2 28 2 2 2 2 9" xfId="12593"/>
    <cellStyle name="Normal 2 2 2 2 2 2 28 2 2 2 3" xfId="12594"/>
    <cellStyle name="Normal 2 2 2 2 2 2 28 2 2 2 3 2" xfId="12595"/>
    <cellStyle name="Normal 2 2 2 2 2 2 28 2 2 2 3 2 2" xfId="12596"/>
    <cellStyle name="Normal 2 2 2 2 2 2 28 2 2 2 3 2 3" xfId="12597"/>
    <cellStyle name="Normal 2 2 2 2 2 2 28 2 2 2 3 2 4" xfId="12598"/>
    <cellStyle name="Normal 2 2 2 2 2 2 28 2 2 2 3 3" xfId="12599"/>
    <cellStyle name="Normal 2 2 2 2 2 2 28 2 2 2 3 4" xfId="12600"/>
    <cellStyle name="Normal 2 2 2 2 2 2 28 2 2 2 3 5" xfId="12601"/>
    <cellStyle name="Normal 2 2 2 2 2 2 28 2 2 2 3 6" xfId="12602"/>
    <cellStyle name="Normal 2 2 2 2 2 2 28 2 2 2 4" xfId="12603"/>
    <cellStyle name="Normal 2 2 2 2 2 2 28 2 2 2 5" xfId="12604"/>
    <cellStyle name="Normal 2 2 2 2 2 2 28 2 2 2 6" xfId="12605"/>
    <cellStyle name="Normal 2 2 2 2 2 2 28 2 2 2 7" xfId="12606"/>
    <cellStyle name="Normal 2 2 2 2 2 2 28 2 2 2 8" xfId="12607"/>
    <cellStyle name="Normal 2 2 2 2 2 2 28 2 2 2 8 2" xfId="12608"/>
    <cellStyle name="Normal 2 2 2 2 2 2 28 2 2 2 8 3" xfId="12609"/>
    <cellStyle name="Normal 2 2 2 2 2 2 28 2 2 2 8 4" xfId="12610"/>
    <cellStyle name="Normal 2 2 2 2 2 2 28 2 2 2 9" xfId="12611"/>
    <cellStyle name="Normal 2 2 2 2 2 2 28 2 2 3" xfId="12612"/>
    <cellStyle name="Normal 2 2 2 2 2 2 28 2 2 4" xfId="12613"/>
    <cellStyle name="Normal 2 2 2 2 2 2 28 2 2 5" xfId="12614"/>
    <cellStyle name="Normal 2 2 2 2 2 2 28 2 2 5 2" xfId="12615"/>
    <cellStyle name="Normal 2 2 2 2 2 2 28 2 2 5 2 2" xfId="12616"/>
    <cellStyle name="Normal 2 2 2 2 2 2 28 2 2 5 2 3" xfId="12617"/>
    <cellStyle name="Normal 2 2 2 2 2 2 28 2 2 5 2 4" xfId="12618"/>
    <cellStyle name="Normal 2 2 2 2 2 2 28 2 2 5 3" xfId="12619"/>
    <cellStyle name="Normal 2 2 2 2 2 2 28 2 2 5 4" xfId="12620"/>
    <cellStyle name="Normal 2 2 2 2 2 2 28 2 2 5 5" xfId="12621"/>
    <cellStyle name="Normal 2 2 2 2 2 2 28 2 2 5 6" xfId="12622"/>
    <cellStyle name="Normal 2 2 2 2 2 2 28 2 2 6" xfId="12623"/>
    <cellStyle name="Normal 2 2 2 2 2 2 28 2 2 7" xfId="12624"/>
    <cellStyle name="Normal 2 2 2 2 2 2 28 2 2 8" xfId="12625"/>
    <cellStyle name="Normal 2 2 2 2 2 2 28 2 2 9" xfId="12626"/>
    <cellStyle name="Normal 2 2 2 2 2 2 28 2 3" xfId="12627"/>
    <cellStyle name="Normal 2 2 2 2 2 2 28 2 4" xfId="12628"/>
    <cellStyle name="Normal 2 2 2 2 2 2 28 2 5" xfId="12629"/>
    <cellStyle name="Normal 2 2 2 2 2 2 28 2 5 10" xfId="12630"/>
    <cellStyle name="Normal 2 2 2 2 2 2 28 2 5 11" xfId="12631"/>
    <cellStyle name="Normal 2 2 2 2 2 2 28 2 5 2" xfId="12632"/>
    <cellStyle name="Normal 2 2 2 2 2 2 28 2 5 2 10" xfId="12633"/>
    <cellStyle name="Normal 2 2 2 2 2 2 28 2 5 2 11" xfId="12634"/>
    <cellStyle name="Normal 2 2 2 2 2 2 28 2 5 2 2" xfId="12635"/>
    <cellStyle name="Normal 2 2 2 2 2 2 28 2 5 2 2 2" xfId="12636"/>
    <cellStyle name="Normal 2 2 2 2 2 2 28 2 5 2 2 2 2" xfId="12637"/>
    <cellStyle name="Normal 2 2 2 2 2 2 28 2 5 2 2 2 3" xfId="12638"/>
    <cellStyle name="Normal 2 2 2 2 2 2 28 2 5 2 2 2 4" xfId="12639"/>
    <cellStyle name="Normal 2 2 2 2 2 2 28 2 5 2 2 3" xfId="12640"/>
    <cellStyle name="Normal 2 2 2 2 2 2 28 2 5 2 2 4" xfId="12641"/>
    <cellStyle name="Normal 2 2 2 2 2 2 28 2 5 2 2 5" xfId="12642"/>
    <cellStyle name="Normal 2 2 2 2 2 2 28 2 5 2 2 6" xfId="12643"/>
    <cellStyle name="Normal 2 2 2 2 2 2 28 2 5 2 3" xfId="12644"/>
    <cellStyle name="Normal 2 2 2 2 2 2 28 2 5 2 4" xfId="12645"/>
    <cellStyle name="Normal 2 2 2 2 2 2 28 2 5 2 5" xfId="12646"/>
    <cellStyle name="Normal 2 2 2 2 2 2 28 2 5 2 6" xfId="12647"/>
    <cellStyle name="Normal 2 2 2 2 2 2 28 2 5 2 7" xfId="12648"/>
    <cellStyle name="Normal 2 2 2 2 2 2 28 2 5 2 8" xfId="12649"/>
    <cellStyle name="Normal 2 2 2 2 2 2 28 2 5 2 8 2" xfId="12650"/>
    <cellStyle name="Normal 2 2 2 2 2 2 28 2 5 2 8 3" xfId="12651"/>
    <cellStyle name="Normal 2 2 2 2 2 2 28 2 5 2 8 4" xfId="12652"/>
    <cellStyle name="Normal 2 2 2 2 2 2 28 2 5 2 9" xfId="12653"/>
    <cellStyle name="Normal 2 2 2 2 2 2 28 2 5 3" xfId="12654"/>
    <cellStyle name="Normal 2 2 2 2 2 2 28 2 5 3 2" xfId="12655"/>
    <cellStyle name="Normal 2 2 2 2 2 2 28 2 5 3 2 2" xfId="12656"/>
    <cellStyle name="Normal 2 2 2 2 2 2 28 2 5 3 2 3" xfId="12657"/>
    <cellStyle name="Normal 2 2 2 2 2 2 28 2 5 3 2 4" xfId="12658"/>
    <cellStyle name="Normal 2 2 2 2 2 2 28 2 5 3 3" xfId="12659"/>
    <cellStyle name="Normal 2 2 2 2 2 2 28 2 5 3 4" xfId="12660"/>
    <cellStyle name="Normal 2 2 2 2 2 2 28 2 5 3 5" xfId="12661"/>
    <cellStyle name="Normal 2 2 2 2 2 2 28 2 5 3 6" xfId="12662"/>
    <cellStyle name="Normal 2 2 2 2 2 2 28 2 5 4" xfId="12663"/>
    <cellStyle name="Normal 2 2 2 2 2 2 28 2 5 5" xfId="12664"/>
    <cellStyle name="Normal 2 2 2 2 2 2 28 2 5 6" xfId="12665"/>
    <cellStyle name="Normal 2 2 2 2 2 2 28 2 5 7" xfId="12666"/>
    <cellStyle name="Normal 2 2 2 2 2 2 28 2 5 8" xfId="12667"/>
    <cellStyle name="Normal 2 2 2 2 2 2 28 2 5 8 2" xfId="12668"/>
    <cellStyle name="Normal 2 2 2 2 2 2 28 2 5 8 3" xfId="12669"/>
    <cellStyle name="Normal 2 2 2 2 2 2 28 2 5 8 4" xfId="12670"/>
    <cellStyle name="Normal 2 2 2 2 2 2 28 2 5 9" xfId="12671"/>
    <cellStyle name="Normal 2 2 2 2 2 2 28 2 6" xfId="12672"/>
    <cellStyle name="Normal 2 2 2 2 2 2 28 2 7" xfId="12673"/>
    <cellStyle name="Normal 2 2 2 2 2 2 28 2 7 2" xfId="12674"/>
    <cellStyle name="Normal 2 2 2 2 2 2 28 2 7 2 2" xfId="12675"/>
    <cellStyle name="Normal 2 2 2 2 2 2 28 2 7 2 3" xfId="12676"/>
    <cellStyle name="Normal 2 2 2 2 2 2 28 2 7 2 4" xfId="12677"/>
    <cellStyle name="Normal 2 2 2 2 2 2 28 2 7 3" xfId="12678"/>
    <cellStyle name="Normal 2 2 2 2 2 2 28 2 7 4" xfId="12679"/>
    <cellStyle name="Normal 2 2 2 2 2 2 28 2 7 5" xfId="12680"/>
    <cellStyle name="Normal 2 2 2 2 2 2 28 2 7 6" xfId="12681"/>
    <cellStyle name="Normal 2 2 2 2 2 2 28 2 8" xfId="12682"/>
    <cellStyle name="Normal 2 2 2 2 2 2 28 2 9" xfId="12683"/>
    <cellStyle name="Normal 2 2 2 2 2 2 28 20" xfId="12684"/>
    <cellStyle name="Normal 2 2 2 2 2 2 28 21" xfId="12685"/>
    <cellStyle name="Normal 2 2 2 2 2 2 28 21 2" xfId="12686"/>
    <cellStyle name="Normal 2 2 2 2 2 2 28 21 3" xfId="12687"/>
    <cellStyle name="Normal 2 2 2 2 2 2 28 21 4" xfId="12688"/>
    <cellStyle name="Normal 2 2 2 2 2 2 28 22" xfId="12689"/>
    <cellStyle name="Normal 2 2 2 2 2 2 28 23" xfId="12690"/>
    <cellStyle name="Normal 2 2 2 2 2 2 28 24" xfId="12691"/>
    <cellStyle name="Normal 2 2 2 2 2 2 28 3" xfId="12692"/>
    <cellStyle name="Normal 2 2 2 2 2 2 28 4" xfId="12693"/>
    <cellStyle name="Normal 2 2 2 2 2 2 28 5" xfId="12694"/>
    <cellStyle name="Normal 2 2 2 2 2 2 28 6" xfId="12695"/>
    <cellStyle name="Normal 2 2 2 2 2 2 28 7" xfId="12696"/>
    <cellStyle name="Normal 2 2 2 2 2 2 28 8" xfId="12697"/>
    <cellStyle name="Normal 2 2 2 2 2 2 28 9" xfId="12698"/>
    <cellStyle name="Normal 2 2 2 2 2 2 29" xfId="12699"/>
    <cellStyle name="Normal 2 2 2 2 2 2 29 10" xfId="12700"/>
    <cellStyle name="Normal 2 2 2 2 2 2 29 11" xfId="12701"/>
    <cellStyle name="Normal 2 2 2 2 2 2 29 12" xfId="12702"/>
    <cellStyle name="Normal 2 2 2 2 2 2 29 13" xfId="12703"/>
    <cellStyle name="Normal 2 2 2 2 2 2 29 13 2" xfId="12704"/>
    <cellStyle name="Normal 2 2 2 2 2 2 29 13 3" xfId="12705"/>
    <cellStyle name="Normal 2 2 2 2 2 2 29 13 4" xfId="12706"/>
    <cellStyle name="Normal 2 2 2 2 2 2 29 14" xfId="12707"/>
    <cellStyle name="Normal 2 2 2 2 2 2 29 15" xfId="12708"/>
    <cellStyle name="Normal 2 2 2 2 2 2 29 16" xfId="12709"/>
    <cellStyle name="Normal 2 2 2 2 2 2 29 2" xfId="12710"/>
    <cellStyle name="Normal 2 2 2 2 2 2 29 2 10" xfId="12711"/>
    <cellStyle name="Normal 2 2 2 2 2 2 29 2 11" xfId="12712"/>
    <cellStyle name="Normal 2 2 2 2 2 2 29 2 11 2" xfId="12713"/>
    <cellStyle name="Normal 2 2 2 2 2 2 29 2 11 3" xfId="12714"/>
    <cellStyle name="Normal 2 2 2 2 2 2 29 2 11 4" xfId="12715"/>
    <cellStyle name="Normal 2 2 2 2 2 2 29 2 12" xfId="12716"/>
    <cellStyle name="Normal 2 2 2 2 2 2 29 2 13" xfId="12717"/>
    <cellStyle name="Normal 2 2 2 2 2 2 29 2 14" xfId="12718"/>
    <cellStyle name="Normal 2 2 2 2 2 2 29 2 2" xfId="12719"/>
    <cellStyle name="Normal 2 2 2 2 2 2 29 2 2 10" xfId="12720"/>
    <cellStyle name="Normal 2 2 2 2 2 2 29 2 2 11" xfId="12721"/>
    <cellStyle name="Normal 2 2 2 2 2 2 29 2 2 2" xfId="12722"/>
    <cellStyle name="Normal 2 2 2 2 2 2 29 2 2 2 10" xfId="12723"/>
    <cellStyle name="Normal 2 2 2 2 2 2 29 2 2 2 11" xfId="12724"/>
    <cellStyle name="Normal 2 2 2 2 2 2 29 2 2 2 2" xfId="12725"/>
    <cellStyle name="Normal 2 2 2 2 2 2 29 2 2 2 2 2" xfId="12726"/>
    <cellStyle name="Normal 2 2 2 2 2 2 29 2 2 2 2 2 2" xfId="12727"/>
    <cellStyle name="Normal 2 2 2 2 2 2 29 2 2 2 2 2 3" xfId="12728"/>
    <cellStyle name="Normal 2 2 2 2 2 2 29 2 2 2 2 2 4" xfId="12729"/>
    <cellStyle name="Normal 2 2 2 2 2 2 29 2 2 2 2 3" xfId="12730"/>
    <cellStyle name="Normal 2 2 2 2 2 2 29 2 2 2 2 4" xfId="12731"/>
    <cellStyle name="Normal 2 2 2 2 2 2 29 2 2 2 2 5" xfId="12732"/>
    <cellStyle name="Normal 2 2 2 2 2 2 29 2 2 2 2 6" xfId="12733"/>
    <cellStyle name="Normal 2 2 2 2 2 2 29 2 2 2 3" xfId="12734"/>
    <cellStyle name="Normal 2 2 2 2 2 2 29 2 2 2 4" xfId="12735"/>
    <cellStyle name="Normal 2 2 2 2 2 2 29 2 2 2 5" xfId="12736"/>
    <cellStyle name="Normal 2 2 2 2 2 2 29 2 2 2 6" xfId="12737"/>
    <cellStyle name="Normal 2 2 2 2 2 2 29 2 2 2 7" xfId="12738"/>
    <cellStyle name="Normal 2 2 2 2 2 2 29 2 2 2 8" xfId="12739"/>
    <cellStyle name="Normal 2 2 2 2 2 2 29 2 2 2 8 2" xfId="12740"/>
    <cellStyle name="Normal 2 2 2 2 2 2 29 2 2 2 8 3" xfId="12741"/>
    <cellStyle name="Normal 2 2 2 2 2 2 29 2 2 2 8 4" xfId="12742"/>
    <cellStyle name="Normal 2 2 2 2 2 2 29 2 2 2 9" xfId="12743"/>
    <cellStyle name="Normal 2 2 2 2 2 2 29 2 2 3" xfId="12744"/>
    <cellStyle name="Normal 2 2 2 2 2 2 29 2 2 3 2" xfId="12745"/>
    <cellStyle name="Normal 2 2 2 2 2 2 29 2 2 3 2 2" xfId="12746"/>
    <cellStyle name="Normal 2 2 2 2 2 2 29 2 2 3 2 3" xfId="12747"/>
    <cellStyle name="Normal 2 2 2 2 2 2 29 2 2 3 2 4" xfId="12748"/>
    <cellStyle name="Normal 2 2 2 2 2 2 29 2 2 3 3" xfId="12749"/>
    <cellStyle name="Normal 2 2 2 2 2 2 29 2 2 3 4" xfId="12750"/>
    <cellStyle name="Normal 2 2 2 2 2 2 29 2 2 3 5" xfId="12751"/>
    <cellStyle name="Normal 2 2 2 2 2 2 29 2 2 3 6" xfId="12752"/>
    <cellStyle name="Normal 2 2 2 2 2 2 29 2 2 4" xfId="12753"/>
    <cellStyle name="Normal 2 2 2 2 2 2 29 2 2 5" xfId="12754"/>
    <cellStyle name="Normal 2 2 2 2 2 2 29 2 2 6" xfId="12755"/>
    <cellStyle name="Normal 2 2 2 2 2 2 29 2 2 7" xfId="12756"/>
    <cellStyle name="Normal 2 2 2 2 2 2 29 2 2 8" xfId="12757"/>
    <cellStyle name="Normal 2 2 2 2 2 2 29 2 2 8 2" xfId="12758"/>
    <cellStyle name="Normal 2 2 2 2 2 2 29 2 2 8 3" xfId="12759"/>
    <cellStyle name="Normal 2 2 2 2 2 2 29 2 2 8 4" xfId="12760"/>
    <cellStyle name="Normal 2 2 2 2 2 2 29 2 2 9" xfId="12761"/>
    <cellStyle name="Normal 2 2 2 2 2 2 29 2 3" xfId="12762"/>
    <cellStyle name="Normal 2 2 2 2 2 2 29 2 4" xfId="12763"/>
    <cellStyle name="Normal 2 2 2 2 2 2 29 2 5" xfId="12764"/>
    <cellStyle name="Normal 2 2 2 2 2 2 29 2 5 2" xfId="12765"/>
    <cellStyle name="Normal 2 2 2 2 2 2 29 2 5 2 2" xfId="12766"/>
    <cellStyle name="Normal 2 2 2 2 2 2 29 2 5 2 3" xfId="12767"/>
    <cellStyle name="Normal 2 2 2 2 2 2 29 2 5 2 4" xfId="12768"/>
    <cellStyle name="Normal 2 2 2 2 2 2 29 2 5 3" xfId="12769"/>
    <cellStyle name="Normal 2 2 2 2 2 2 29 2 5 4" xfId="12770"/>
    <cellStyle name="Normal 2 2 2 2 2 2 29 2 5 5" xfId="12771"/>
    <cellStyle name="Normal 2 2 2 2 2 2 29 2 5 6" xfId="12772"/>
    <cellStyle name="Normal 2 2 2 2 2 2 29 2 6" xfId="12773"/>
    <cellStyle name="Normal 2 2 2 2 2 2 29 2 7" xfId="12774"/>
    <cellStyle name="Normal 2 2 2 2 2 2 29 2 8" xfId="12775"/>
    <cellStyle name="Normal 2 2 2 2 2 2 29 2 9" xfId="12776"/>
    <cellStyle name="Normal 2 2 2 2 2 2 29 3" xfId="12777"/>
    <cellStyle name="Normal 2 2 2 2 2 2 29 4" xfId="12778"/>
    <cellStyle name="Normal 2 2 2 2 2 2 29 5" xfId="12779"/>
    <cellStyle name="Normal 2 2 2 2 2 2 29 5 10" xfId="12780"/>
    <cellStyle name="Normal 2 2 2 2 2 2 29 5 11" xfId="12781"/>
    <cellStyle name="Normal 2 2 2 2 2 2 29 5 2" xfId="12782"/>
    <cellStyle name="Normal 2 2 2 2 2 2 29 5 2 10" xfId="12783"/>
    <cellStyle name="Normal 2 2 2 2 2 2 29 5 2 11" xfId="12784"/>
    <cellStyle name="Normal 2 2 2 2 2 2 29 5 2 2" xfId="12785"/>
    <cellStyle name="Normal 2 2 2 2 2 2 29 5 2 2 2" xfId="12786"/>
    <cellStyle name="Normal 2 2 2 2 2 2 29 5 2 2 2 2" xfId="12787"/>
    <cellStyle name="Normal 2 2 2 2 2 2 29 5 2 2 2 3" xfId="12788"/>
    <cellStyle name="Normal 2 2 2 2 2 2 29 5 2 2 2 4" xfId="12789"/>
    <cellStyle name="Normal 2 2 2 2 2 2 29 5 2 2 3" xfId="12790"/>
    <cellStyle name="Normal 2 2 2 2 2 2 29 5 2 2 4" xfId="12791"/>
    <cellStyle name="Normal 2 2 2 2 2 2 29 5 2 2 5" xfId="12792"/>
    <cellStyle name="Normal 2 2 2 2 2 2 29 5 2 2 6" xfId="12793"/>
    <cellStyle name="Normal 2 2 2 2 2 2 29 5 2 3" xfId="12794"/>
    <cellStyle name="Normal 2 2 2 2 2 2 29 5 2 4" xfId="12795"/>
    <cellStyle name="Normal 2 2 2 2 2 2 29 5 2 5" xfId="12796"/>
    <cellStyle name="Normal 2 2 2 2 2 2 29 5 2 6" xfId="12797"/>
    <cellStyle name="Normal 2 2 2 2 2 2 29 5 2 7" xfId="12798"/>
    <cellStyle name="Normal 2 2 2 2 2 2 29 5 2 8" xfId="12799"/>
    <cellStyle name="Normal 2 2 2 2 2 2 29 5 2 8 2" xfId="12800"/>
    <cellStyle name="Normal 2 2 2 2 2 2 29 5 2 8 3" xfId="12801"/>
    <cellStyle name="Normal 2 2 2 2 2 2 29 5 2 8 4" xfId="12802"/>
    <cellStyle name="Normal 2 2 2 2 2 2 29 5 2 9" xfId="12803"/>
    <cellStyle name="Normal 2 2 2 2 2 2 29 5 3" xfId="12804"/>
    <cellStyle name="Normal 2 2 2 2 2 2 29 5 3 2" xfId="12805"/>
    <cellStyle name="Normal 2 2 2 2 2 2 29 5 3 2 2" xfId="12806"/>
    <cellStyle name="Normal 2 2 2 2 2 2 29 5 3 2 3" xfId="12807"/>
    <cellStyle name="Normal 2 2 2 2 2 2 29 5 3 2 4" xfId="12808"/>
    <cellStyle name="Normal 2 2 2 2 2 2 29 5 3 3" xfId="12809"/>
    <cellStyle name="Normal 2 2 2 2 2 2 29 5 3 4" xfId="12810"/>
    <cellStyle name="Normal 2 2 2 2 2 2 29 5 3 5" xfId="12811"/>
    <cellStyle name="Normal 2 2 2 2 2 2 29 5 3 6" xfId="12812"/>
    <cellStyle name="Normal 2 2 2 2 2 2 29 5 4" xfId="12813"/>
    <cellStyle name="Normal 2 2 2 2 2 2 29 5 5" xfId="12814"/>
    <cellStyle name="Normal 2 2 2 2 2 2 29 5 6" xfId="12815"/>
    <cellStyle name="Normal 2 2 2 2 2 2 29 5 7" xfId="12816"/>
    <cellStyle name="Normal 2 2 2 2 2 2 29 5 8" xfId="12817"/>
    <cellStyle name="Normal 2 2 2 2 2 2 29 5 8 2" xfId="12818"/>
    <cellStyle name="Normal 2 2 2 2 2 2 29 5 8 3" xfId="12819"/>
    <cellStyle name="Normal 2 2 2 2 2 2 29 5 8 4" xfId="12820"/>
    <cellStyle name="Normal 2 2 2 2 2 2 29 5 9" xfId="12821"/>
    <cellStyle name="Normal 2 2 2 2 2 2 29 6" xfId="12822"/>
    <cellStyle name="Normal 2 2 2 2 2 2 29 7" xfId="12823"/>
    <cellStyle name="Normal 2 2 2 2 2 2 29 7 2" xfId="12824"/>
    <cellStyle name="Normal 2 2 2 2 2 2 29 7 2 2" xfId="12825"/>
    <cellStyle name="Normal 2 2 2 2 2 2 29 7 2 3" xfId="12826"/>
    <cellStyle name="Normal 2 2 2 2 2 2 29 7 2 4" xfId="12827"/>
    <cellStyle name="Normal 2 2 2 2 2 2 29 7 3" xfId="12828"/>
    <cellStyle name="Normal 2 2 2 2 2 2 29 7 4" xfId="12829"/>
    <cellStyle name="Normal 2 2 2 2 2 2 29 7 5" xfId="12830"/>
    <cellStyle name="Normal 2 2 2 2 2 2 29 7 6" xfId="12831"/>
    <cellStyle name="Normal 2 2 2 2 2 2 29 8" xfId="12832"/>
    <cellStyle name="Normal 2 2 2 2 2 2 29 9" xfId="12833"/>
    <cellStyle name="Normal 2 2 2 2 2 2 3" xfId="12834"/>
    <cellStyle name="Normal 2 2 2 2 2 2 30" xfId="12835"/>
    <cellStyle name="Normal 2 2 2 2 2 2 31" xfId="12836"/>
    <cellStyle name="Normal 2 2 2 2 2 2 32" xfId="12837"/>
    <cellStyle name="Normal 2 2 2 2 2 2 33" xfId="12838"/>
    <cellStyle name="Normal 2 2 2 2 2 2 34" xfId="12839"/>
    <cellStyle name="Normal 2 2 2 2 2 2 35" xfId="12840"/>
    <cellStyle name="Normal 2 2 2 2 2 2 36" xfId="12841"/>
    <cellStyle name="Normal 2 2 2 2 2 2 37" xfId="12842"/>
    <cellStyle name="Normal 2 2 2 2 2 2 37 10" xfId="12843"/>
    <cellStyle name="Normal 2 2 2 2 2 2 37 11" xfId="12844"/>
    <cellStyle name="Normal 2 2 2 2 2 2 37 11 2" xfId="12845"/>
    <cellStyle name="Normal 2 2 2 2 2 2 37 11 3" xfId="12846"/>
    <cellStyle name="Normal 2 2 2 2 2 2 37 11 4" xfId="12847"/>
    <cellStyle name="Normal 2 2 2 2 2 2 37 12" xfId="12848"/>
    <cellStyle name="Normal 2 2 2 2 2 2 37 13" xfId="12849"/>
    <cellStyle name="Normal 2 2 2 2 2 2 37 14" xfId="12850"/>
    <cellStyle name="Normal 2 2 2 2 2 2 37 2" xfId="12851"/>
    <cellStyle name="Normal 2 2 2 2 2 2 37 2 10" xfId="12852"/>
    <cellStyle name="Normal 2 2 2 2 2 2 37 2 11" xfId="12853"/>
    <cellStyle name="Normal 2 2 2 2 2 2 37 2 2" xfId="12854"/>
    <cellStyle name="Normal 2 2 2 2 2 2 37 2 2 10" xfId="12855"/>
    <cellStyle name="Normal 2 2 2 2 2 2 37 2 2 11" xfId="12856"/>
    <cellStyle name="Normal 2 2 2 2 2 2 37 2 2 2" xfId="12857"/>
    <cellStyle name="Normal 2 2 2 2 2 2 37 2 2 2 2" xfId="12858"/>
    <cellStyle name="Normal 2 2 2 2 2 2 37 2 2 2 2 2" xfId="12859"/>
    <cellStyle name="Normal 2 2 2 2 2 2 37 2 2 2 2 3" xfId="12860"/>
    <cellStyle name="Normal 2 2 2 2 2 2 37 2 2 2 2 4" xfId="12861"/>
    <cellStyle name="Normal 2 2 2 2 2 2 37 2 2 2 3" xfId="12862"/>
    <cellStyle name="Normal 2 2 2 2 2 2 37 2 2 2 4" xfId="12863"/>
    <cellStyle name="Normal 2 2 2 2 2 2 37 2 2 2 5" xfId="12864"/>
    <cellStyle name="Normal 2 2 2 2 2 2 37 2 2 2 6" xfId="12865"/>
    <cellStyle name="Normal 2 2 2 2 2 2 37 2 2 3" xfId="12866"/>
    <cellStyle name="Normal 2 2 2 2 2 2 37 2 2 4" xfId="12867"/>
    <cellStyle name="Normal 2 2 2 2 2 2 37 2 2 5" xfId="12868"/>
    <cellStyle name="Normal 2 2 2 2 2 2 37 2 2 6" xfId="12869"/>
    <cellStyle name="Normal 2 2 2 2 2 2 37 2 2 7" xfId="12870"/>
    <cellStyle name="Normal 2 2 2 2 2 2 37 2 2 8" xfId="12871"/>
    <cellStyle name="Normal 2 2 2 2 2 2 37 2 2 8 2" xfId="12872"/>
    <cellStyle name="Normal 2 2 2 2 2 2 37 2 2 8 3" xfId="12873"/>
    <cellStyle name="Normal 2 2 2 2 2 2 37 2 2 8 4" xfId="12874"/>
    <cellStyle name="Normal 2 2 2 2 2 2 37 2 2 9" xfId="12875"/>
    <cellStyle name="Normal 2 2 2 2 2 2 37 2 3" xfId="12876"/>
    <cellStyle name="Normal 2 2 2 2 2 2 37 2 3 2" xfId="12877"/>
    <cellStyle name="Normal 2 2 2 2 2 2 37 2 3 2 2" xfId="12878"/>
    <cellStyle name="Normal 2 2 2 2 2 2 37 2 3 2 3" xfId="12879"/>
    <cellStyle name="Normal 2 2 2 2 2 2 37 2 3 2 4" xfId="12880"/>
    <cellStyle name="Normal 2 2 2 2 2 2 37 2 3 3" xfId="12881"/>
    <cellStyle name="Normal 2 2 2 2 2 2 37 2 3 4" xfId="12882"/>
    <cellStyle name="Normal 2 2 2 2 2 2 37 2 3 5" xfId="12883"/>
    <cellStyle name="Normal 2 2 2 2 2 2 37 2 3 6" xfId="12884"/>
    <cellStyle name="Normal 2 2 2 2 2 2 37 2 4" xfId="12885"/>
    <cellStyle name="Normal 2 2 2 2 2 2 37 2 5" xfId="12886"/>
    <cellStyle name="Normal 2 2 2 2 2 2 37 2 6" xfId="12887"/>
    <cellStyle name="Normal 2 2 2 2 2 2 37 2 7" xfId="12888"/>
    <cellStyle name="Normal 2 2 2 2 2 2 37 2 8" xfId="12889"/>
    <cellStyle name="Normal 2 2 2 2 2 2 37 2 8 2" xfId="12890"/>
    <cellStyle name="Normal 2 2 2 2 2 2 37 2 8 3" xfId="12891"/>
    <cellStyle name="Normal 2 2 2 2 2 2 37 2 8 4" xfId="12892"/>
    <cellStyle name="Normal 2 2 2 2 2 2 37 2 9" xfId="12893"/>
    <cellStyle name="Normal 2 2 2 2 2 2 37 3" xfId="12894"/>
    <cellStyle name="Normal 2 2 2 2 2 2 37 4" xfId="12895"/>
    <cellStyle name="Normal 2 2 2 2 2 2 37 5" xfId="12896"/>
    <cellStyle name="Normal 2 2 2 2 2 2 37 5 2" xfId="12897"/>
    <cellStyle name="Normal 2 2 2 2 2 2 37 5 2 2" xfId="12898"/>
    <cellStyle name="Normal 2 2 2 2 2 2 37 5 2 3" xfId="12899"/>
    <cellStyle name="Normal 2 2 2 2 2 2 37 5 2 4" xfId="12900"/>
    <cellStyle name="Normal 2 2 2 2 2 2 37 5 3" xfId="12901"/>
    <cellStyle name="Normal 2 2 2 2 2 2 37 5 4" xfId="12902"/>
    <cellStyle name="Normal 2 2 2 2 2 2 37 5 5" xfId="12903"/>
    <cellStyle name="Normal 2 2 2 2 2 2 37 5 6" xfId="12904"/>
    <cellStyle name="Normal 2 2 2 2 2 2 37 6" xfId="12905"/>
    <cellStyle name="Normal 2 2 2 2 2 2 37 7" xfId="12906"/>
    <cellStyle name="Normal 2 2 2 2 2 2 37 8" xfId="12907"/>
    <cellStyle name="Normal 2 2 2 2 2 2 37 9" xfId="12908"/>
    <cellStyle name="Normal 2 2 2 2 2 2 38" xfId="12909"/>
    <cellStyle name="Normal 2 2 2 2 2 2 39" xfId="12910"/>
    <cellStyle name="Normal 2 2 2 2 2 2 39 10" xfId="12911"/>
    <cellStyle name="Normal 2 2 2 2 2 2 39 11" xfId="12912"/>
    <cellStyle name="Normal 2 2 2 2 2 2 39 2" xfId="12913"/>
    <cellStyle name="Normal 2 2 2 2 2 2 39 2 10" xfId="12914"/>
    <cellStyle name="Normal 2 2 2 2 2 2 39 2 11" xfId="12915"/>
    <cellStyle name="Normal 2 2 2 2 2 2 39 2 2" xfId="12916"/>
    <cellStyle name="Normal 2 2 2 2 2 2 39 2 2 2" xfId="12917"/>
    <cellStyle name="Normal 2 2 2 2 2 2 39 2 2 2 2" xfId="12918"/>
    <cellStyle name="Normal 2 2 2 2 2 2 39 2 2 2 3" xfId="12919"/>
    <cellStyle name="Normal 2 2 2 2 2 2 39 2 2 2 4" xfId="12920"/>
    <cellStyle name="Normal 2 2 2 2 2 2 39 2 2 3" xfId="12921"/>
    <cellStyle name="Normal 2 2 2 2 2 2 39 2 2 4" xfId="12922"/>
    <cellStyle name="Normal 2 2 2 2 2 2 39 2 2 5" xfId="12923"/>
    <cellStyle name="Normal 2 2 2 2 2 2 39 2 2 6" xfId="12924"/>
    <cellStyle name="Normal 2 2 2 2 2 2 39 2 3" xfId="12925"/>
    <cellStyle name="Normal 2 2 2 2 2 2 39 2 4" xfId="12926"/>
    <cellStyle name="Normal 2 2 2 2 2 2 39 2 5" xfId="12927"/>
    <cellStyle name="Normal 2 2 2 2 2 2 39 2 6" xfId="12928"/>
    <cellStyle name="Normal 2 2 2 2 2 2 39 2 7" xfId="12929"/>
    <cellStyle name="Normal 2 2 2 2 2 2 39 2 8" xfId="12930"/>
    <cellStyle name="Normal 2 2 2 2 2 2 39 2 8 2" xfId="12931"/>
    <cellStyle name="Normal 2 2 2 2 2 2 39 2 8 3" xfId="12932"/>
    <cellStyle name="Normal 2 2 2 2 2 2 39 2 8 4" xfId="12933"/>
    <cellStyle name="Normal 2 2 2 2 2 2 39 2 9" xfId="12934"/>
    <cellStyle name="Normal 2 2 2 2 2 2 39 3" xfId="12935"/>
    <cellStyle name="Normal 2 2 2 2 2 2 39 3 2" xfId="12936"/>
    <cellStyle name="Normal 2 2 2 2 2 2 39 3 2 2" xfId="12937"/>
    <cellStyle name="Normal 2 2 2 2 2 2 39 3 2 3" xfId="12938"/>
    <cellStyle name="Normal 2 2 2 2 2 2 39 3 2 4" xfId="12939"/>
    <cellStyle name="Normal 2 2 2 2 2 2 39 3 3" xfId="12940"/>
    <cellStyle name="Normal 2 2 2 2 2 2 39 3 4" xfId="12941"/>
    <cellStyle name="Normal 2 2 2 2 2 2 39 3 5" xfId="12942"/>
    <cellStyle name="Normal 2 2 2 2 2 2 39 3 6" xfId="12943"/>
    <cellStyle name="Normal 2 2 2 2 2 2 39 4" xfId="12944"/>
    <cellStyle name="Normal 2 2 2 2 2 2 39 5" xfId="12945"/>
    <cellStyle name="Normal 2 2 2 2 2 2 39 6" xfId="12946"/>
    <cellStyle name="Normal 2 2 2 2 2 2 39 7" xfId="12947"/>
    <cellStyle name="Normal 2 2 2 2 2 2 39 8" xfId="12948"/>
    <cellStyle name="Normal 2 2 2 2 2 2 39 8 2" xfId="12949"/>
    <cellStyle name="Normal 2 2 2 2 2 2 39 8 3" xfId="12950"/>
    <cellStyle name="Normal 2 2 2 2 2 2 39 8 4" xfId="12951"/>
    <cellStyle name="Normal 2 2 2 2 2 2 39 9" xfId="12952"/>
    <cellStyle name="Normal 2 2 2 2 2 2 4" xfId="12953"/>
    <cellStyle name="Normal 2 2 2 2 2 2 40" xfId="12954"/>
    <cellStyle name="Normal 2 2 2 2 2 2 41" xfId="12955"/>
    <cellStyle name="Normal 2 2 2 2 2 2 41 2" xfId="12956"/>
    <cellStyle name="Normal 2 2 2 2 2 2 41 2 2" xfId="12957"/>
    <cellStyle name="Normal 2 2 2 2 2 2 41 2 3" xfId="12958"/>
    <cellStyle name="Normal 2 2 2 2 2 2 41 2 4" xfId="12959"/>
    <cellStyle name="Normal 2 2 2 2 2 2 41 3" xfId="12960"/>
    <cellStyle name="Normal 2 2 2 2 2 2 41 4" xfId="12961"/>
    <cellStyle name="Normal 2 2 2 2 2 2 41 5" xfId="12962"/>
    <cellStyle name="Normal 2 2 2 2 2 2 41 6" xfId="12963"/>
    <cellStyle name="Normal 2 2 2 2 2 2 42" xfId="12964"/>
    <cellStyle name="Normal 2 2 2 2 2 2 43" xfId="12965"/>
    <cellStyle name="Normal 2 2 2 2 2 2 44" xfId="12966"/>
    <cellStyle name="Normal 2 2 2 2 2 2 45" xfId="12967"/>
    <cellStyle name="Normal 2 2 2 2 2 2 46" xfId="12968"/>
    <cellStyle name="Normal 2 2 2 2 2 2 47" xfId="12969"/>
    <cellStyle name="Normal 2 2 2 2 2 2 47 2" xfId="12970"/>
    <cellStyle name="Normal 2 2 2 2 2 2 47 3" xfId="12971"/>
    <cellStyle name="Normal 2 2 2 2 2 2 47 4" xfId="12972"/>
    <cellStyle name="Normal 2 2 2 2 2 2 48" xfId="12973"/>
    <cellStyle name="Normal 2 2 2 2 2 2 49" xfId="12974"/>
    <cellStyle name="Normal 2 2 2 2 2 2 5" xfId="12975"/>
    <cellStyle name="Normal 2 2 2 2 2 2 50" xfId="12976"/>
    <cellStyle name="Normal 2 2 2 2 2 2 51" xfId="12977"/>
    <cellStyle name="Normal 2 2 2 2 2 2 52" xfId="12978"/>
    <cellStyle name="Normal 2 2 2 2 2 2 53" xfId="12979"/>
    <cellStyle name="Normal 2 2 2 2 2 2 54" xfId="12980"/>
    <cellStyle name="Normal 2 2 2 2 2 2 55" xfId="12981"/>
    <cellStyle name="Normal 2 2 2 2 2 2 56" xfId="12982"/>
    <cellStyle name="Normal 2 2 2 2 2 2 57" xfId="12983"/>
    <cellStyle name="Normal 2 2 2 2 2 2 58" xfId="12984"/>
    <cellStyle name="Normal 2 2 2 2 2 2 59" xfId="12985"/>
    <cellStyle name="Normal 2 2 2 2 2 2 6" xfId="12986"/>
    <cellStyle name="Normal 2 2 2 2 2 2 60" xfId="12987"/>
    <cellStyle name="Normal 2 2 2 2 2 2 61" xfId="12988"/>
    <cellStyle name="Normal 2 2 2 2 2 2 62" xfId="12989"/>
    <cellStyle name="Normal 2 2 2 2 2 2 62 2" xfId="12990"/>
    <cellStyle name="Normal 2 2 2 2 2 2 62 3" xfId="12991"/>
    <cellStyle name="Normal 2 2 2 2 2 2 62 4" xfId="12992"/>
    <cellStyle name="Normal 2 2 2 2 2 2 62 5" xfId="12993"/>
    <cellStyle name="Normal 2 2 2 2 2 2 62 6" xfId="12994"/>
    <cellStyle name="Normal 2 2 2 2 2 2 62 7" xfId="12995"/>
    <cellStyle name="Normal 2 2 2 2 2 2 63" xfId="12996"/>
    <cellStyle name="Normal 2 2 2 2 2 2 64" xfId="12997"/>
    <cellStyle name="Normal 2 2 2 2 2 2 65" xfId="12998"/>
    <cellStyle name="Normal 2 2 2 2 2 2 66" xfId="12999"/>
    <cellStyle name="Normal 2 2 2 2 2 2 67" xfId="13000"/>
    <cellStyle name="Normal 2 2 2 2 2 2 68" xfId="13001"/>
    <cellStyle name="Normal 2 2 2 2 2 2 69" xfId="13002"/>
    <cellStyle name="Normal 2 2 2 2 2 2 7" xfId="13003"/>
    <cellStyle name="Normal 2 2 2 2 2 2 70" xfId="13004"/>
    <cellStyle name="Normal 2 2 2 2 2 2 71" xfId="13005"/>
    <cellStyle name="Normal 2 2 2 2 2 2 72" xfId="13006"/>
    <cellStyle name="Normal 2 2 2 2 2 2 73" xfId="13007"/>
    <cellStyle name="Normal 2 2 2 2 2 2 74" xfId="13008"/>
    <cellStyle name="Normal 2 2 2 2 2 2 75" xfId="13009"/>
    <cellStyle name="Normal 2 2 2 2 2 2 76" xfId="13010"/>
    <cellStyle name="Normal 2 2 2 2 2 2 77" xfId="13011"/>
    <cellStyle name="Normal 2 2 2 2 2 2 78" xfId="13012"/>
    <cellStyle name="Normal 2 2 2 2 2 2 79" xfId="13013"/>
    <cellStyle name="Normal 2 2 2 2 2 2 8" xfId="13014"/>
    <cellStyle name="Normal 2 2 2 2 2 2 80" xfId="13015"/>
    <cellStyle name="Normal 2 2 2 2 2 2 81" xfId="13016"/>
    <cellStyle name="Normal 2 2 2 2 2 2 82" xfId="13017"/>
    <cellStyle name="Normal 2 2 2 2 2 2 83" xfId="13018"/>
    <cellStyle name="Normal 2 2 2 2 2 2 84" xfId="13019"/>
    <cellStyle name="Normal 2 2 2 2 2 2 85" xfId="13020"/>
    <cellStyle name="Normal 2 2 2 2 2 2 86" xfId="13021"/>
    <cellStyle name="Normal 2 2 2 2 2 2 87" xfId="13022"/>
    <cellStyle name="Normal 2 2 2 2 2 2 88" xfId="13023"/>
    <cellStyle name="Normal 2 2 2 2 2 2 89" xfId="13024"/>
    <cellStyle name="Normal 2 2 2 2 2 2 9" xfId="13025"/>
    <cellStyle name="Normal 2 2 2 2 2 2 90" xfId="13026"/>
    <cellStyle name="Normal 2 2 2 2 2 2 91" xfId="13027"/>
    <cellStyle name="Normal 2 2 2 2 2 2 92" xfId="13028"/>
    <cellStyle name="Normal 2 2 2 2 2 2 93" xfId="13029"/>
    <cellStyle name="Normal 2 2 2 2 2 2 94" xfId="13030"/>
    <cellStyle name="Normal 2 2 2 2 2 2 95" xfId="13031"/>
    <cellStyle name="Normal 2 2 2 2 2 2 96" xfId="13032"/>
    <cellStyle name="Normal 2 2 2 2 2 2 97" xfId="13033"/>
    <cellStyle name="Normal 2 2 2 2 2 2 98" xfId="13034"/>
    <cellStyle name="Normal 2 2 2 2 2 2 99" xfId="13035"/>
    <cellStyle name="Normal 2 2 2 2 2 20" xfId="13036"/>
    <cellStyle name="Normal 2 2 2 2 2 21" xfId="13037"/>
    <cellStyle name="Normal 2 2 2 2 2 22" xfId="13038"/>
    <cellStyle name="Normal 2 2 2 2 2 23" xfId="13039"/>
    <cellStyle name="Normal 2 2 2 2 2 24" xfId="13040"/>
    <cellStyle name="Normal 2 2 2 2 2 25" xfId="13041"/>
    <cellStyle name="Normal 2 2 2 2 2 26" xfId="13042"/>
    <cellStyle name="Normal 2 2 2 2 2 27" xfId="13043"/>
    <cellStyle name="Normal 2 2 2 2 2 28" xfId="13044"/>
    <cellStyle name="Normal 2 2 2 2 2 28 10" xfId="13045"/>
    <cellStyle name="Normal 2 2 2 2 2 28 11" xfId="13046"/>
    <cellStyle name="Normal 2 2 2 2 2 28 11 10" xfId="13047"/>
    <cellStyle name="Normal 2 2 2 2 2 28 11 11" xfId="13048"/>
    <cellStyle name="Normal 2 2 2 2 2 28 11 11 2" xfId="13049"/>
    <cellStyle name="Normal 2 2 2 2 2 28 11 11 3" xfId="13050"/>
    <cellStyle name="Normal 2 2 2 2 2 28 11 11 4" xfId="13051"/>
    <cellStyle name="Normal 2 2 2 2 2 28 11 12" xfId="13052"/>
    <cellStyle name="Normal 2 2 2 2 2 28 11 13" xfId="13053"/>
    <cellStyle name="Normal 2 2 2 2 2 28 11 14" xfId="13054"/>
    <cellStyle name="Normal 2 2 2 2 2 28 11 2" xfId="13055"/>
    <cellStyle name="Normal 2 2 2 2 2 28 11 2 10" xfId="13056"/>
    <cellStyle name="Normal 2 2 2 2 2 28 11 2 11" xfId="13057"/>
    <cellStyle name="Normal 2 2 2 2 2 28 11 2 2" xfId="13058"/>
    <cellStyle name="Normal 2 2 2 2 2 28 11 2 2 10" xfId="13059"/>
    <cellStyle name="Normal 2 2 2 2 2 28 11 2 2 11" xfId="13060"/>
    <cellStyle name="Normal 2 2 2 2 2 28 11 2 2 2" xfId="13061"/>
    <cellStyle name="Normal 2 2 2 2 2 28 11 2 2 2 2" xfId="13062"/>
    <cellStyle name="Normal 2 2 2 2 2 28 11 2 2 2 2 2" xfId="13063"/>
    <cellStyle name="Normal 2 2 2 2 2 28 11 2 2 2 2 3" xfId="13064"/>
    <cellStyle name="Normal 2 2 2 2 2 28 11 2 2 2 2 4" xfId="13065"/>
    <cellStyle name="Normal 2 2 2 2 2 28 11 2 2 2 3" xfId="13066"/>
    <cellStyle name="Normal 2 2 2 2 2 28 11 2 2 2 4" xfId="13067"/>
    <cellStyle name="Normal 2 2 2 2 2 28 11 2 2 2 5" xfId="13068"/>
    <cellStyle name="Normal 2 2 2 2 2 28 11 2 2 2 6" xfId="13069"/>
    <cellStyle name="Normal 2 2 2 2 2 28 11 2 2 3" xfId="13070"/>
    <cellStyle name="Normal 2 2 2 2 2 28 11 2 2 4" xfId="13071"/>
    <cellStyle name="Normal 2 2 2 2 2 28 11 2 2 5" xfId="13072"/>
    <cellStyle name="Normal 2 2 2 2 2 28 11 2 2 6" xfId="13073"/>
    <cellStyle name="Normal 2 2 2 2 2 28 11 2 2 7" xfId="13074"/>
    <cellStyle name="Normal 2 2 2 2 2 28 11 2 2 8" xfId="13075"/>
    <cellStyle name="Normal 2 2 2 2 2 28 11 2 2 8 2" xfId="13076"/>
    <cellStyle name="Normal 2 2 2 2 2 28 11 2 2 8 3" xfId="13077"/>
    <cellStyle name="Normal 2 2 2 2 2 28 11 2 2 8 4" xfId="13078"/>
    <cellStyle name="Normal 2 2 2 2 2 28 11 2 2 9" xfId="13079"/>
    <cellStyle name="Normal 2 2 2 2 2 28 11 2 3" xfId="13080"/>
    <cellStyle name="Normal 2 2 2 2 2 28 11 2 3 2" xfId="13081"/>
    <cellStyle name="Normal 2 2 2 2 2 28 11 2 3 2 2" xfId="13082"/>
    <cellStyle name="Normal 2 2 2 2 2 28 11 2 3 2 3" xfId="13083"/>
    <cellStyle name="Normal 2 2 2 2 2 28 11 2 3 2 4" xfId="13084"/>
    <cellStyle name="Normal 2 2 2 2 2 28 11 2 3 3" xfId="13085"/>
    <cellStyle name="Normal 2 2 2 2 2 28 11 2 3 4" xfId="13086"/>
    <cellStyle name="Normal 2 2 2 2 2 28 11 2 3 5" xfId="13087"/>
    <cellStyle name="Normal 2 2 2 2 2 28 11 2 3 6" xfId="13088"/>
    <cellStyle name="Normal 2 2 2 2 2 28 11 2 4" xfId="13089"/>
    <cellStyle name="Normal 2 2 2 2 2 28 11 2 5" xfId="13090"/>
    <cellStyle name="Normal 2 2 2 2 2 28 11 2 6" xfId="13091"/>
    <cellStyle name="Normal 2 2 2 2 2 28 11 2 7" xfId="13092"/>
    <cellStyle name="Normal 2 2 2 2 2 28 11 2 8" xfId="13093"/>
    <cellStyle name="Normal 2 2 2 2 2 28 11 2 8 2" xfId="13094"/>
    <cellStyle name="Normal 2 2 2 2 2 28 11 2 8 3" xfId="13095"/>
    <cellStyle name="Normal 2 2 2 2 2 28 11 2 8 4" xfId="13096"/>
    <cellStyle name="Normal 2 2 2 2 2 28 11 2 9" xfId="13097"/>
    <cellStyle name="Normal 2 2 2 2 2 28 11 3" xfId="13098"/>
    <cellStyle name="Normal 2 2 2 2 2 28 11 4" xfId="13099"/>
    <cellStyle name="Normal 2 2 2 2 2 28 11 5" xfId="13100"/>
    <cellStyle name="Normal 2 2 2 2 2 28 11 5 2" xfId="13101"/>
    <cellStyle name="Normal 2 2 2 2 2 28 11 5 2 2" xfId="13102"/>
    <cellStyle name="Normal 2 2 2 2 2 28 11 5 2 3" xfId="13103"/>
    <cellStyle name="Normal 2 2 2 2 2 28 11 5 2 4" xfId="13104"/>
    <cellStyle name="Normal 2 2 2 2 2 28 11 5 3" xfId="13105"/>
    <cellStyle name="Normal 2 2 2 2 2 28 11 5 4" xfId="13106"/>
    <cellStyle name="Normal 2 2 2 2 2 28 11 5 5" xfId="13107"/>
    <cellStyle name="Normal 2 2 2 2 2 28 11 5 6" xfId="13108"/>
    <cellStyle name="Normal 2 2 2 2 2 28 11 6" xfId="13109"/>
    <cellStyle name="Normal 2 2 2 2 2 28 11 7" xfId="13110"/>
    <cellStyle name="Normal 2 2 2 2 2 28 11 8" xfId="13111"/>
    <cellStyle name="Normal 2 2 2 2 2 28 11 9" xfId="13112"/>
    <cellStyle name="Normal 2 2 2 2 2 28 12" xfId="13113"/>
    <cellStyle name="Normal 2 2 2 2 2 28 13" xfId="13114"/>
    <cellStyle name="Normal 2 2 2 2 2 28 13 10" xfId="13115"/>
    <cellStyle name="Normal 2 2 2 2 2 28 13 11" xfId="13116"/>
    <cellStyle name="Normal 2 2 2 2 2 28 13 2" xfId="13117"/>
    <cellStyle name="Normal 2 2 2 2 2 28 13 2 10" xfId="13118"/>
    <cellStyle name="Normal 2 2 2 2 2 28 13 2 11" xfId="13119"/>
    <cellStyle name="Normal 2 2 2 2 2 28 13 2 2" xfId="13120"/>
    <cellStyle name="Normal 2 2 2 2 2 28 13 2 2 2" xfId="13121"/>
    <cellStyle name="Normal 2 2 2 2 2 28 13 2 2 2 2" xfId="13122"/>
    <cellStyle name="Normal 2 2 2 2 2 28 13 2 2 2 3" xfId="13123"/>
    <cellStyle name="Normal 2 2 2 2 2 28 13 2 2 2 4" xfId="13124"/>
    <cellStyle name="Normal 2 2 2 2 2 28 13 2 2 3" xfId="13125"/>
    <cellStyle name="Normal 2 2 2 2 2 28 13 2 2 4" xfId="13126"/>
    <cellStyle name="Normal 2 2 2 2 2 28 13 2 2 5" xfId="13127"/>
    <cellStyle name="Normal 2 2 2 2 2 28 13 2 2 6" xfId="13128"/>
    <cellStyle name="Normal 2 2 2 2 2 28 13 2 3" xfId="13129"/>
    <cellStyle name="Normal 2 2 2 2 2 28 13 2 4" xfId="13130"/>
    <cellStyle name="Normal 2 2 2 2 2 28 13 2 5" xfId="13131"/>
    <cellStyle name="Normal 2 2 2 2 2 28 13 2 6" xfId="13132"/>
    <cellStyle name="Normal 2 2 2 2 2 28 13 2 7" xfId="13133"/>
    <cellStyle name="Normal 2 2 2 2 2 28 13 2 8" xfId="13134"/>
    <cellStyle name="Normal 2 2 2 2 2 28 13 2 8 2" xfId="13135"/>
    <cellStyle name="Normal 2 2 2 2 2 28 13 2 8 3" xfId="13136"/>
    <cellStyle name="Normal 2 2 2 2 2 28 13 2 8 4" xfId="13137"/>
    <cellStyle name="Normal 2 2 2 2 2 28 13 2 9" xfId="13138"/>
    <cellStyle name="Normal 2 2 2 2 2 28 13 3" xfId="13139"/>
    <cellStyle name="Normal 2 2 2 2 2 28 13 3 2" xfId="13140"/>
    <cellStyle name="Normal 2 2 2 2 2 28 13 3 2 2" xfId="13141"/>
    <cellStyle name="Normal 2 2 2 2 2 28 13 3 2 3" xfId="13142"/>
    <cellStyle name="Normal 2 2 2 2 2 28 13 3 2 4" xfId="13143"/>
    <cellStyle name="Normal 2 2 2 2 2 28 13 3 3" xfId="13144"/>
    <cellStyle name="Normal 2 2 2 2 2 28 13 3 4" xfId="13145"/>
    <cellStyle name="Normal 2 2 2 2 2 28 13 3 5" xfId="13146"/>
    <cellStyle name="Normal 2 2 2 2 2 28 13 3 6" xfId="13147"/>
    <cellStyle name="Normal 2 2 2 2 2 28 13 4" xfId="13148"/>
    <cellStyle name="Normal 2 2 2 2 2 28 13 5" xfId="13149"/>
    <cellStyle name="Normal 2 2 2 2 2 28 13 6" xfId="13150"/>
    <cellStyle name="Normal 2 2 2 2 2 28 13 7" xfId="13151"/>
    <cellStyle name="Normal 2 2 2 2 2 28 13 8" xfId="13152"/>
    <cellStyle name="Normal 2 2 2 2 2 28 13 8 2" xfId="13153"/>
    <cellStyle name="Normal 2 2 2 2 2 28 13 8 3" xfId="13154"/>
    <cellStyle name="Normal 2 2 2 2 2 28 13 8 4" xfId="13155"/>
    <cellStyle name="Normal 2 2 2 2 2 28 13 9" xfId="13156"/>
    <cellStyle name="Normal 2 2 2 2 2 28 14" xfId="13157"/>
    <cellStyle name="Normal 2 2 2 2 2 28 15" xfId="13158"/>
    <cellStyle name="Normal 2 2 2 2 2 28 15 2" xfId="13159"/>
    <cellStyle name="Normal 2 2 2 2 2 28 15 2 2" xfId="13160"/>
    <cellStyle name="Normal 2 2 2 2 2 28 15 2 3" xfId="13161"/>
    <cellStyle name="Normal 2 2 2 2 2 28 15 2 4" xfId="13162"/>
    <cellStyle name="Normal 2 2 2 2 2 28 15 3" xfId="13163"/>
    <cellStyle name="Normal 2 2 2 2 2 28 15 4" xfId="13164"/>
    <cellStyle name="Normal 2 2 2 2 2 28 15 5" xfId="13165"/>
    <cellStyle name="Normal 2 2 2 2 2 28 15 6" xfId="13166"/>
    <cellStyle name="Normal 2 2 2 2 2 28 16" xfId="13167"/>
    <cellStyle name="Normal 2 2 2 2 2 28 17" xfId="13168"/>
    <cellStyle name="Normal 2 2 2 2 2 28 18" xfId="13169"/>
    <cellStyle name="Normal 2 2 2 2 2 28 19" xfId="13170"/>
    <cellStyle name="Normal 2 2 2 2 2 28 2" xfId="13171"/>
    <cellStyle name="Normal 2 2 2 2 2 28 2 10" xfId="13172"/>
    <cellStyle name="Normal 2 2 2 2 2 28 2 11" xfId="13173"/>
    <cellStyle name="Normal 2 2 2 2 2 28 2 12" xfId="13174"/>
    <cellStyle name="Normal 2 2 2 2 2 28 2 13" xfId="13175"/>
    <cellStyle name="Normal 2 2 2 2 2 28 2 13 2" xfId="13176"/>
    <cellStyle name="Normal 2 2 2 2 2 28 2 13 3" xfId="13177"/>
    <cellStyle name="Normal 2 2 2 2 2 28 2 13 4" xfId="13178"/>
    <cellStyle name="Normal 2 2 2 2 2 28 2 14" xfId="13179"/>
    <cellStyle name="Normal 2 2 2 2 2 28 2 15" xfId="13180"/>
    <cellStyle name="Normal 2 2 2 2 2 28 2 16" xfId="13181"/>
    <cellStyle name="Normal 2 2 2 2 2 28 2 2" xfId="13182"/>
    <cellStyle name="Normal 2 2 2 2 2 28 2 2 10" xfId="13183"/>
    <cellStyle name="Normal 2 2 2 2 2 28 2 2 11" xfId="13184"/>
    <cellStyle name="Normal 2 2 2 2 2 28 2 2 11 2" xfId="13185"/>
    <cellStyle name="Normal 2 2 2 2 2 28 2 2 11 3" xfId="13186"/>
    <cellStyle name="Normal 2 2 2 2 2 28 2 2 11 4" xfId="13187"/>
    <cellStyle name="Normal 2 2 2 2 2 28 2 2 12" xfId="13188"/>
    <cellStyle name="Normal 2 2 2 2 2 28 2 2 13" xfId="13189"/>
    <cellStyle name="Normal 2 2 2 2 2 28 2 2 14" xfId="13190"/>
    <cellStyle name="Normal 2 2 2 2 2 28 2 2 2" xfId="13191"/>
    <cellStyle name="Normal 2 2 2 2 2 28 2 2 2 10" xfId="13192"/>
    <cellStyle name="Normal 2 2 2 2 2 28 2 2 2 11" xfId="13193"/>
    <cellStyle name="Normal 2 2 2 2 2 28 2 2 2 2" xfId="13194"/>
    <cellStyle name="Normal 2 2 2 2 2 28 2 2 2 2 10" xfId="13195"/>
    <cellStyle name="Normal 2 2 2 2 2 28 2 2 2 2 11" xfId="13196"/>
    <cellStyle name="Normal 2 2 2 2 2 28 2 2 2 2 2" xfId="13197"/>
    <cellStyle name="Normal 2 2 2 2 2 28 2 2 2 2 2 2" xfId="13198"/>
    <cellStyle name="Normal 2 2 2 2 2 28 2 2 2 2 2 2 2" xfId="13199"/>
    <cellStyle name="Normal 2 2 2 2 2 28 2 2 2 2 2 2 3" xfId="13200"/>
    <cellStyle name="Normal 2 2 2 2 2 28 2 2 2 2 2 2 4" xfId="13201"/>
    <cellStyle name="Normal 2 2 2 2 2 28 2 2 2 2 2 3" xfId="13202"/>
    <cellStyle name="Normal 2 2 2 2 2 28 2 2 2 2 2 4" xfId="13203"/>
    <cellStyle name="Normal 2 2 2 2 2 28 2 2 2 2 2 5" xfId="13204"/>
    <cellStyle name="Normal 2 2 2 2 2 28 2 2 2 2 2 6" xfId="13205"/>
    <cellStyle name="Normal 2 2 2 2 2 28 2 2 2 2 3" xfId="13206"/>
    <cellStyle name="Normal 2 2 2 2 2 28 2 2 2 2 4" xfId="13207"/>
    <cellStyle name="Normal 2 2 2 2 2 28 2 2 2 2 5" xfId="13208"/>
    <cellStyle name="Normal 2 2 2 2 2 28 2 2 2 2 6" xfId="13209"/>
    <cellStyle name="Normal 2 2 2 2 2 28 2 2 2 2 7" xfId="13210"/>
    <cellStyle name="Normal 2 2 2 2 2 28 2 2 2 2 8" xfId="13211"/>
    <cellStyle name="Normal 2 2 2 2 2 28 2 2 2 2 8 2" xfId="13212"/>
    <cellStyle name="Normal 2 2 2 2 2 28 2 2 2 2 8 3" xfId="13213"/>
    <cellStyle name="Normal 2 2 2 2 2 28 2 2 2 2 8 4" xfId="13214"/>
    <cellStyle name="Normal 2 2 2 2 2 28 2 2 2 2 9" xfId="13215"/>
    <cellStyle name="Normal 2 2 2 2 2 28 2 2 2 3" xfId="13216"/>
    <cellStyle name="Normal 2 2 2 2 2 28 2 2 2 3 2" xfId="13217"/>
    <cellStyle name="Normal 2 2 2 2 2 28 2 2 2 3 2 2" xfId="13218"/>
    <cellStyle name="Normal 2 2 2 2 2 28 2 2 2 3 2 3" xfId="13219"/>
    <cellStyle name="Normal 2 2 2 2 2 28 2 2 2 3 2 4" xfId="13220"/>
    <cellStyle name="Normal 2 2 2 2 2 28 2 2 2 3 3" xfId="13221"/>
    <cellStyle name="Normal 2 2 2 2 2 28 2 2 2 3 4" xfId="13222"/>
    <cellStyle name="Normal 2 2 2 2 2 28 2 2 2 3 5" xfId="13223"/>
    <cellStyle name="Normal 2 2 2 2 2 28 2 2 2 3 6" xfId="13224"/>
    <cellStyle name="Normal 2 2 2 2 2 28 2 2 2 4" xfId="13225"/>
    <cellStyle name="Normal 2 2 2 2 2 28 2 2 2 5" xfId="13226"/>
    <cellStyle name="Normal 2 2 2 2 2 28 2 2 2 6" xfId="13227"/>
    <cellStyle name="Normal 2 2 2 2 2 28 2 2 2 7" xfId="13228"/>
    <cellStyle name="Normal 2 2 2 2 2 28 2 2 2 8" xfId="13229"/>
    <cellStyle name="Normal 2 2 2 2 2 28 2 2 2 8 2" xfId="13230"/>
    <cellStyle name="Normal 2 2 2 2 2 28 2 2 2 8 3" xfId="13231"/>
    <cellStyle name="Normal 2 2 2 2 2 28 2 2 2 8 4" xfId="13232"/>
    <cellStyle name="Normal 2 2 2 2 2 28 2 2 2 9" xfId="13233"/>
    <cellStyle name="Normal 2 2 2 2 2 28 2 2 3" xfId="13234"/>
    <cellStyle name="Normal 2 2 2 2 2 28 2 2 4" xfId="13235"/>
    <cellStyle name="Normal 2 2 2 2 2 28 2 2 5" xfId="13236"/>
    <cellStyle name="Normal 2 2 2 2 2 28 2 2 5 2" xfId="13237"/>
    <cellStyle name="Normal 2 2 2 2 2 28 2 2 5 2 2" xfId="13238"/>
    <cellStyle name="Normal 2 2 2 2 2 28 2 2 5 2 3" xfId="13239"/>
    <cellStyle name="Normal 2 2 2 2 2 28 2 2 5 2 4" xfId="13240"/>
    <cellStyle name="Normal 2 2 2 2 2 28 2 2 5 3" xfId="13241"/>
    <cellStyle name="Normal 2 2 2 2 2 28 2 2 5 4" xfId="13242"/>
    <cellStyle name="Normal 2 2 2 2 2 28 2 2 5 5" xfId="13243"/>
    <cellStyle name="Normal 2 2 2 2 2 28 2 2 5 6" xfId="13244"/>
    <cellStyle name="Normal 2 2 2 2 2 28 2 2 6" xfId="13245"/>
    <cellStyle name="Normal 2 2 2 2 2 28 2 2 7" xfId="13246"/>
    <cellStyle name="Normal 2 2 2 2 2 28 2 2 8" xfId="13247"/>
    <cellStyle name="Normal 2 2 2 2 2 28 2 2 9" xfId="13248"/>
    <cellStyle name="Normal 2 2 2 2 2 28 2 3" xfId="13249"/>
    <cellStyle name="Normal 2 2 2 2 2 28 2 4" xfId="13250"/>
    <cellStyle name="Normal 2 2 2 2 2 28 2 5" xfId="13251"/>
    <cellStyle name="Normal 2 2 2 2 2 28 2 5 10" xfId="13252"/>
    <cellStyle name="Normal 2 2 2 2 2 28 2 5 11" xfId="13253"/>
    <cellStyle name="Normal 2 2 2 2 2 28 2 5 2" xfId="13254"/>
    <cellStyle name="Normal 2 2 2 2 2 28 2 5 2 10" xfId="13255"/>
    <cellStyle name="Normal 2 2 2 2 2 28 2 5 2 11" xfId="13256"/>
    <cellStyle name="Normal 2 2 2 2 2 28 2 5 2 2" xfId="13257"/>
    <cellStyle name="Normal 2 2 2 2 2 28 2 5 2 2 2" xfId="13258"/>
    <cellStyle name="Normal 2 2 2 2 2 28 2 5 2 2 2 2" xfId="13259"/>
    <cellStyle name="Normal 2 2 2 2 2 28 2 5 2 2 2 3" xfId="13260"/>
    <cellStyle name="Normal 2 2 2 2 2 28 2 5 2 2 2 4" xfId="13261"/>
    <cellStyle name="Normal 2 2 2 2 2 28 2 5 2 2 3" xfId="13262"/>
    <cellStyle name="Normal 2 2 2 2 2 28 2 5 2 2 4" xfId="13263"/>
    <cellStyle name="Normal 2 2 2 2 2 28 2 5 2 2 5" xfId="13264"/>
    <cellStyle name="Normal 2 2 2 2 2 28 2 5 2 2 6" xfId="13265"/>
    <cellStyle name="Normal 2 2 2 2 2 28 2 5 2 3" xfId="13266"/>
    <cellStyle name="Normal 2 2 2 2 2 28 2 5 2 4" xfId="13267"/>
    <cellStyle name="Normal 2 2 2 2 2 28 2 5 2 5" xfId="13268"/>
    <cellStyle name="Normal 2 2 2 2 2 28 2 5 2 6" xfId="13269"/>
    <cellStyle name="Normal 2 2 2 2 2 28 2 5 2 7" xfId="13270"/>
    <cellStyle name="Normal 2 2 2 2 2 28 2 5 2 8" xfId="13271"/>
    <cellStyle name="Normal 2 2 2 2 2 28 2 5 2 8 2" xfId="13272"/>
    <cellStyle name="Normal 2 2 2 2 2 28 2 5 2 8 3" xfId="13273"/>
    <cellStyle name="Normal 2 2 2 2 2 28 2 5 2 8 4" xfId="13274"/>
    <cellStyle name="Normal 2 2 2 2 2 28 2 5 2 9" xfId="13275"/>
    <cellStyle name="Normal 2 2 2 2 2 28 2 5 3" xfId="13276"/>
    <cellStyle name="Normal 2 2 2 2 2 28 2 5 3 2" xfId="13277"/>
    <cellStyle name="Normal 2 2 2 2 2 28 2 5 3 2 2" xfId="13278"/>
    <cellStyle name="Normal 2 2 2 2 2 28 2 5 3 2 3" xfId="13279"/>
    <cellStyle name="Normal 2 2 2 2 2 28 2 5 3 2 4" xfId="13280"/>
    <cellStyle name="Normal 2 2 2 2 2 28 2 5 3 3" xfId="13281"/>
    <cellStyle name="Normal 2 2 2 2 2 28 2 5 3 4" xfId="13282"/>
    <cellStyle name="Normal 2 2 2 2 2 28 2 5 3 5" xfId="13283"/>
    <cellStyle name="Normal 2 2 2 2 2 28 2 5 3 6" xfId="13284"/>
    <cellStyle name="Normal 2 2 2 2 2 28 2 5 4" xfId="13285"/>
    <cellStyle name="Normal 2 2 2 2 2 28 2 5 5" xfId="13286"/>
    <cellStyle name="Normal 2 2 2 2 2 28 2 5 6" xfId="13287"/>
    <cellStyle name="Normal 2 2 2 2 2 28 2 5 7" xfId="13288"/>
    <cellStyle name="Normal 2 2 2 2 2 28 2 5 8" xfId="13289"/>
    <cellStyle name="Normal 2 2 2 2 2 28 2 5 8 2" xfId="13290"/>
    <cellStyle name="Normal 2 2 2 2 2 28 2 5 8 3" xfId="13291"/>
    <cellStyle name="Normal 2 2 2 2 2 28 2 5 8 4" xfId="13292"/>
    <cellStyle name="Normal 2 2 2 2 2 28 2 5 9" xfId="13293"/>
    <cellStyle name="Normal 2 2 2 2 2 28 2 6" xfId="13294"/>
    <cellStyle name="Normal 2 2 2 2 2 28 2 7" xfId="13295"/>
    <cellStyle name="Normal 2 2 2 2 2 28 2 7 2" xfId="13296"/>
    <cellStyle name="Normal 2 2 2 2 2 28 2 7 2 2" xfId="13297"/>
    <cellStyle name="Normal 2 2 2 2 2 28 2 7 2 3" xfId="13298"/>
    <cellStyle name="Normal 2 2 2 2 2 28 2 7 2 4" xfId="13299"/>
    <cellStyle name="Normal 2 2 2 2 2 28 2 7 3" xfId="13300"/>
    <cellStyle name="Normal 2 2 2 2 2 28 2 7 4" xfId="13301"/>
    <cellStyle name="Normal 2 2 2 2 2 28 2 7 5" xfId="13302"/>
    <cellStyle name="Normal 2 2 2 2 2 28 2 7 6" xfId="13303"/>
    <cellStyle name="Normal 2 2 2 2 2 28 2 8" xfId="13304"/>
    <cellStyle name="Normal 2 2 2 2 2 28 2 9" xfId="13305"/>
    <cellStyle name="Normal 2 2 2 2 2 28 20" xfId="13306"/>
    <cellStyle name="Normal 2 2 2 2 2 28 21" xfId="13307"/>
    <cellStyle name="Normal 2 2 2 2 2 28 21 2" xfId="13308"/>
    <cellStyle name="Normal 2 2 2 2 2 28 21 3" xfId="13309"/>
    <cellStyle name="Normal 2 2 2 2 2 28 21 4" xfId="13310"/>
    <cellStyle name="Normal 2 2 2 2 2 28 22" xfId="13311"/>
    <cellStyle name="Normal 2 2 2 2 2 28 23" xfId="13312"/>
    <cellStyle name="Normal 2 2 2 2 2 28 24" xfId="13313"/>
    <cellStyle name="Normal 2 2 2 2 2 28 3" xfId="13314"/>
    <cellStyle name="Normal 2 2 2 2 2 28 4" xfId="13315"/>
    <cellStyle name="Normal 2 2 2 2 2 28 5" xfId="13316"/>
    <cellStyle name="Normal 2 2 2 2 2 28 6" xfId="13317"/>
    <cellStyle name="Normal 2 2 2 2 2 28 7" xfId="13318"/>
    <cellStyle name="Normal 2 2 2 2 2 28 8" xfId="13319"/>
    <cellStyle name="Normal 2 2 2 2 2 28 9" xfId="13320"/>
    <cellStyle name="Normal 2 2 2 2 2 29" xfId="13321"/>
    <cellStyle name="Normal 2 2 2 2 2 29 10" xfId="13322"/>
    <cellStyle name="Normal 2 2 2 2 2 29 11" xfId="13323"/>
    <cellStyle name="Normal 2 2 2 2 2 29 12" xfId="13324"/>
    <cellStyle name="Normal 2 2 2 2 2 29 13" xfId="13325"/>
    <cellStyle name="Normal 2 2 2 2 2 29 13 2" xfId="13326"/>
    <cellStyle name="Normal 2 2 2 2 2 29 13 3" xfId="13327"/>
    <cellStyle name="Normal 2 2 2 2 2 29 13 4" xfId="13328"/>
    <cellStyle name="Normal 2 2 2 2 2 29 14" xfId="13329"/>
    <cellStyle name="Normal 2 2 2 2 2 29 15" xfId="13330"/>
    <cellStyle name="Normal 2 2 2 2 2 29 16" xfId="13331"/>
    <cellStyle name="Normal 2 2 2 2 2 29 2" xfId="13332"/>
    <cellStyle name="Normal 2 2 2 2 2 29 2 10" xfId="13333"/>
    <cellStyle name="Normal 2 2 2 2 2 29 2 11" xfId="13334"/>
    <cellStyle name="Normal 2 2 2 2 2 29 2 11 2" xfId="13335"/>
    <cellStyle name="Normal 2 2 2 2 2 29 2 11 3" xfId="13336"/>
    <cellStyle name="Normal 2 2 2 2 2 29 2 11 4" xfId="13337"/>
    <cellStyle name="Normal 2 2 2 2 2 29 2 12" xfId="13338"/>
    <cellStyle name="Normal 2 2 2 2 2 29 2 13" xfId="13339"/>
    <cellStyle name="Normal 2 2 2 2 2 29 2 14" xfId="13340"/>
    <cellStyle name="Normal 2 2 2 2 2 29 2 2" xfId="13341"/>
    <cellStyle name="Normal 2 2 2 2 2 29 2 2 10" xfId="13342"/>
    <cellStyle name="Normal 2 2 2 2 2 29 2 2 11" xfId="13343"/>
    <cellStyle name="Normal 2 2 2 2 2 29 2 2 2" xfId="13344"/>
    <cellStyle name="Normal 2 2 2 2 2 29 2 2 2 10" xfId="13345"/>
    <cellStyle name="Normal 2 2 2 2 2 29 2 2 2 11" xfId="13346"/>
    <cellStyle name="Normal 2 2 2 2 2 29 2 2 2 2" xfId="13347"/>
    <cellStyle name="Normal 2 2 2 2 2 29 2 2 2 2 2" xfId="13348"/>
    <cellStyle name="Normal 2 2 2 2 2 29 2 2 2 2 2 2" xfId="13349"/>
    <cellStyle name="Normal 2 2 2 2 2 29 2 2 2 2 2 3" xfId="13350"/>
    <cellStyle name="Normal 2 2 2 2 2 29 2 2 2 2 2 4" xfId="13351"/>
    <cellStyle name="Normal 2 2 2 2 2 29 2 2 2 2 3" xfId="13352"/>
    <cellStyle name="Normal 2 2 2 2 2 29 2 2 2 2 4" xfId="13353"/>
    <cellStyle name="Normal 2 2 2 2 2 29 2 2 2 2 5" xfId="13354"/>
    <cellStyle name="Normal 2 2 2 2 2 29 2 2 2 2 6" xfId="13355"/>
    <cellStyle name="Normal 2 2 2 2 2 29 2 2 2 3" xfId="13356"/>
    <cellStyle name="Normal 2 2 2 2 2 29 2 2 2 4" xfId="13357"/>
    <cellStyle name="Normal 2 2 2 2 2 29 2 2 2 5" xfId="13358"/>
    <cellStyle name="Normal 2 2 2 2 2 29 2 2 2 6" xfId="13359"/>
    <cellStyle name="Normal 2 2 2 2 2 29 2 2 2 7" xfId="13360"/>
    <cellStyle name="Normal 2 2 2 2 2 29 2 2 2 8" xfId="13361"/>
    <cellStyle name="Normal 2 2 2 2 2 29 2 2 2 8 2" xfId="13362"/>
    <cellStyle name="Normal 2 2 2 2 2 29 2 2 2 8 3" xfId="13363"/>
    <cellStyle name="Normal 2 2 2 2 2 29 2 2 2 8 4" xfId="13364"/>
    <cellStyle name="Normal 2 2 2 2 2 29 2 2 2 9" xfId="13365"/>
    <cellStyle name="Normal 2 2 2 2 2 29 2 2 3" xfId="13366"/>
    <cellStyle name="Normal 2 2 2 2 2 29 2 2 3 2" xfId="13367"/>
    <cellStyle name="Normal 2 2 2 2 2 29 2 2 3 2 2" xfId="13368"/>
    <cellStyle name="Normal 2 2 2 2 2 29 2 2 3 2 3" xfId="13369"/>
    <cellStyle name="Normal 2 2 2 2 2 29 2 2 3 2 4" xfId="13370"/>
    <cellStyle name="Normal 2 2 2 2 2 29 2 2 3 3" xfId="13371"/>
    <cellStyle name="Normal 2 2 2 2 2 29 2 2 3 4" xfId="13372"/>
    <cellStyle name="Normal 2 2 2 2 2 29 2 2 3 5" xfId="13373"/>
    <cellStyle name="Normal 2 2 2 2 2 29 2 2 3 6" xfId="13374"/>
    <cellStyle name="Normal 2 2 2 2 2 29 2 2 4" xfId="13375"/>
    <cellStyle name="Normal 2 2 2 2 2 29 2 2 5" xfId="13376"/>
    <cellStyle name="Normal 2 2 2 2 2 29 2 2 6" xfId="13377"/>
    <cellStyle name="Normal 2 2 2 2 2 29 2 2 7" xfId="13378"/>
    <cellStyle name="Normal 2 2 2 2 2 29 2 2 8" xfId="13379"/>
    <cellStyle name="Normal 2 2 2 2 2 29 2 2 8 2" xfId="13380"/>
    <cellStyle name="Normal 2 2 2 2 2 29 2 2 8 3" xfId="13381"/>
    <cellStyle name="Normal 2 2 2 2 2 29 2 2 8 4" xfId="13382"/>
    <cellStyle name="Normal 2 2 2 2 2 29 2 2 9" xfId="13383"/>
    <cellStyle name="Normal 2 2 2 2 2 29 2 3" xfId="13384"/>
    <cellStyle name="Normal 2 2 2 2 2 29 2 4" xfId="13385"/>
    <cellStyle name="Normal 2 2 2 2 2 29 2 5" xfId="13386"/>
    <cellStyle name="Normal 2 2 2 2 2 29 2 5 2" xfId="13387"/>
    <cellStyle name="Normal 2 2 2 2 2 29 2 5 2 2" xfId="13388"/>
    <cellStyle name="Normal 2 2 2 2 2 29 2 5 2 3" xfId="13389"/>
    <cellStyle name="Normal 2 2 2 2 2 29 2 5 2 4" xfId="13390"/>
    <cellStyle name="Normal 2 2 2 2 2 29 2 5 3" xfId="13391"/>
    <cellStyle name="Normal 2 2 2 2 2 29 2 5 4" xfId="13392"/>
    <cellStyle name="Normal 2 2 2 2 2 29 2 5 5" xfId="13393"/>
    <cellStyle name="Normal 2 2 2 2 2 29 2 5 6" xfId="13394"/>
    <cellStyle name="Normal 2 2 2 2 2 29 2 6" xfId="13395"/>
    <cellStyle name="Normal 2 2 2 2 2 29 2 7" xfId="13396"/>
    <cellStyle name="Normal 2 2 2 2 2 29 2 8" xfId="13397"/>
    <cellStyle name="Normal 2 2 2 2 2 29 2 9" xfId="13398"/>
    <cellStyle name="Normal 2 2 2 2 2 29 3" xfId="13399"/>
    <cellStyle name="Normal 2 2 2 2 2 29 4" xfId="13400"/>
    <cellStyle name="Normal 2 2 2 2 2 29 5" xfId="13401"/>
    <cellStyle name="Normal 2 2 2 2 2 29 5 10" xfId="13402"/>
    <cellStyle name="Normal 2 2 2 2 2 29 5 11" xfId="13403"/>
    <cellStyle name="Normal 2 2 2 2 2 29 5 2" xfId="13404"/>
    <cellStyle name="Normal 2 2 2 2 2 29 5 2 10" xfId="13405"/>
    <cellStyle name="Normal 2 2 2 2 2 29 5 2 11" xfId="13406"/>
    <cellStyle name="Normal 2 2 2 2 2 29 5 2 2" xfId="13407"/>
    <cellStyle name="Normal 2 2 2 2 2 29 5 2 2 2" xfId="13408"/>
    <cellStyle name="Normal 2 2 2 2 2 29 5 2 2 2 2" xfId="13409"/>
    <cellStyle name="Normal 2 2 2 2 2 29 5 2 2 2 3" xfId="13410"/>
    <cellStyle name="Normal 2 2 2 2 2 29 5 2 2 2 4" xfId="13411"/>
    <cellStyle name="Normal 2 2 2 2 2 29 5 2 2 3" xfId="13412"/>
    <cellStyle name="Normal 2 2 2 2 2 29 5 2 2 4" xfId="13413"/>
    <cellStyle name="Normal 2 2 2 2 2 29 5 2 2 5" xfId="13414"/>
    <cellStyle name="Normal 2 2 2 2 2 29 5 2 2 6" xfId="13415"/>
    <cellStyle name="Normal 2 2 2 2 2 29 5 2 3" xfId="13416"/>
    <cellStyle name="Normal 2 2 2 2 2 29 5 2 4" xfId="13417"/>
    <cellStyle name="Normal 2 2 2 2 2 29 5 2 5" xfId="13418"/>
    <cellStyle name="Normal 2 2 2 2 2 29 5 2 6" xfId="13419"/>
    <cellStyle name="Normal 2 2 2 2 2 29 5 2 7" xfId="13420"/>
    <cellStyle name="Normal 2 2 2 2 2 29 5 2 8" xfId="13421"/>
    <cellStyle name="Normal 2 2 2 2 2 29 5 2 8 2" xfId="13422"/>
    <cellStyle name="Normal 2 2 2 2 2 29 5 2 8 3" xfId="13423"/>
    <cellStyle name="Normal 2 2 2 2 2 29 5 2 8 4" xfId="13424"/>
    <cellStyle name="Normal 2 2 2 2 2 29 5 2 9" xfId="13425"/>
    <cellStyle name="Normal 2 2 2 2 2 29 5 3" xfId="13426"/>
    <cellStyle name="Normal 2 2 2 2 2 29 5 3 2" xfId="13427"/>
    <cellStyle name="Normal 2 2 2 2 2 29 5 3 2 2" xfId="13428"/>
    <cellStyle name="Normal 2 2 2 2 2 29 5 3 2 3" xfId="13429"/>
    <cellStyle name="Normal 2 2 2 2 2 29 5 3 2 4" xfId="13430"/>
    <cellStyle name="Normal 2 2 2 2 2 29 5 3 3" xfId="13431"/>
    <cellStyle name="Normal 2 2 2 2 2 29 5 3 4" xfId="13432"/>
    <cellStyle name="Normal 2 2 2 2 2 29 5 3 5" xfId="13433"/>
    <cellStyle name="Normal 2 2 2 2 2 29 5 3 6" xfId="13434"/>
    <cellStyle name="Normal 2 2 2 2 2 29 5 4" xfId="13435"/>
    <cellStyle name="Normal 2 2 2 2 2 29 5 5" xfId="13436"/>
    <cellStyle name="Normal 2 2 2 2 2 29 5 6" xfId="13437"/>
    <cellStyle name="Normal 2 2 2 2 2 29 5 7" xfId="13438"/>
    <cellStyle name="Normal 2 2 2 2 2 29 5 8" xfId="13439"/>
    <cellStyle name="Normal 2 2 2 2 2 29 5 8 2" xfId="13440"/>
    <cellStyle name="Normal 2 2 2 2 2 29 5 8 3" xfId="13441"/>
    <cellStyle name="Normal 2 2 2 2 2 29 5 8 4" xfId="13442"/>
    <cellStyle name="Normal 2 2 2 2 2 29 5 9" xfId="13443"/>
    <cellStyle name="Normal 2 2 2 2 2 29 6" xfId="13444"/>
    <cellStyle name="Normal 2 2 2 2 2 29 7" xfId="13445"/>
    <cellStyle name="Normal 2 2 2 2 2 29 7 2" xfId="13446"/>
    <cellStyle name="Normal 2 2 2 2 2 29 7 2 2" xfId="13447"/>
    <cellStyle name="Normal 2 2 2 2 2 29 7 2 3" xfId="13448"/>
    <cellStyle name="Normal 2 2 2 2 2 29 7 2 4" xfId="13449"/>
    <cellStyle name="Normal 2 2 2 2 2 29 7 3" xfId="13450"/>
    <cellStyle name="Normal 2 2 2 2 2 29 7 4" xfId="13451"/>
    <cellStyle name="Normal 2 2 2 2 2 29 7 5" xfId="13452"/>
    <cellStyle name="Normal 2 2 2 2 2 29 7 6" xfId="13453"/>
    <cellStyle name="Normal 2 2 2 2 2 29 8" xfId="13454"/>
    <cellStyle name="Normal 2 2 2 2 2 29 9" xfId="13455"/>
    <cellStyle name="Normal 2 2 2 2 2 3" xfId="13456"/>
    <cellStyle name="Normal 2 2 2 2 2 3 10" xfId="13457"/>
    <cellStyle name="Normal 2 2 2 2 2 3 2" xfId="13458"/>
    <cellStyle name="Normal 2 2 2 2 2 3 2 2" xfId="13459"/>
    <cellStyle name="Normal 2 2 2 2 2 3 2 3" xfId="13460"/>
    <cellStyle name="Normal 2 2 2 2 2 3 2 4" xfId="13461"/>
    <cellStyle name="Normal 2 2 2 2 2 3 2 5" xfId="13462"/>
    <cellStyle name="Normal 2 2 2 2 2 3 2 6" xfId="13463"/>
    <cellStyle name="Normal 2 2 2 2 2 3 2 7" xfId="13464"/>
    <cellStyle name="Normal 2 2 2 2 2 3 2 8" xfId="13465"/>
    <cellStyle name="Normal 2 2 2 2 2 3 2 9" xfId="13466"/>
    <cellStyle name="Normal 2 2 2 2 2 3 3" xfId="13467"/>
    <cellStyle name="Normal 2 2 2 2 2 3 4" xfId="13468"/>
    <cellStyle name="Normal 2 2 2 2 2 3 5" xfId="13469"/>
    <cellStyle name="Normal 2 2 2 2 2 3 6" xfId="13470"/>
    <cellStyle name="Normal 2 2 2 2 2 3 7" xfId="13471"/>
    <cellStyle name="Normal 2 2 2 2 2 3 8" xfId="13472"/>
    <cellStyle name="Normal 2 2 2 2 2 3 9" xfId="13473"/>
    <cellStyle name="Normal 2 2 2 2 2 30" xfId="13474"/>
    <cellStyle name="Normal 2 2 2 2 2 31" xfId="13475"/>
    <cellStyle name="Normal 2 2 2 2 2 32" xfId="13476"/>
    <cellStyle name="Normal 2 2 2 2 2 33" xfId="13477"/>
    <cellStyle name="Normal 2 2 2 2 2 34" xfId="13478"/>
    <cellStyle name="Normal 2 2 2 2 2 35" xfId="13479"/>
    <cellStyle name="Normal 2 2 2 2 2 36" xfId="13480"/>
    <cellStyle name="Normal 2 2 2 2 2 37" xfId="13481"/>
    <cellStyle name="Normal 2 2 2 2 2 37 10" xfId="13482"/>
    <cellStyle name="Normal 2 2 2 2 2 37 11" xfId="13483"/>
    <cellStyle name="Normal 2 2 2 2 2 37 11 2" xfId="13484"/>
    <cellStyle name="Normal 2 2 2 2 2 37 11 3" xfId="13485"/>
    <cellStyle name="Normal 2 2 2 2 2 37 11 4" xfId="13486"/>
    <cellStyle name="Normal 2 2 2 2 2 37 12" xfId="13487"/>
    <cellStyle name="Normal 2 2 2 2 2 37 13" xfId="13488"/>
    <cellStyle name="Normal 2 2 2 2 2 37 14" xfId="13489"/>
    <cellStyle name="Normal 2 2 2 2 2 37 2" xfId="13490"/>
    <cellStyle name="Normal 2 2 2 2 2 37 2 10" xfId="13491"/>
    <cellStyle name="Normal 2 2 2 2 2 37 2 11" xfId="13492"/>
    <cellStyle name="Normal 2 2 2 2 2 37 2 2" xfId="13493"/>
    <cellStyle name="Normal 2 2 2 2 2 37 2 2 10" xfId="13494"/>
    <cellStyle name="Normal 2 2 2 2 2 37 2 2 11" xfId="13495"/>
    <cellStyle name="Normal 2 2 2 2 2 37 2 2 2" xfId="13496"/>
    <cellStyle name="Normal 2 2 2 2 2 37 2 2 2 2" xfId="13497"/>
    <cellStyle name="Normal 2 2 2 2 2 37 2 2 2 2 2" xfId="13498"/>
    <cellStyle name="Normal 2 2 2 2 2 37 2 2 2 2 3" xfId="13499"/>
    <cellStyle name="Normal 2 2 2 2 2 37 2 2 2 2 4" xfId="13500"/>
    <cellStyle name="Normal 2 2 2 2 2 37 2 2 2 3" xfId="13501"/>
    <cellStyle name="Normal 2 2 2 2 2 37 2 2 2 4" xfId="13502"/>
    <cellStyle name="Normal 2 2 2 2 2 37 2 2 2 5" xfId="13503"/>
    <cellStyle name="Normal 2 2 2 2 2 37 2 2 2 6" xfId="13504"/>
    <cellStyle name="Normal 2 2 2 2 2 37 2 2 3" xfId="13505"/>
    <cellStyle name="Normal 2 2 2 2 2 37 2 2 4" xfId="13506"/>
    <cellStyle name="Normal 2 2 2 2 2 37 2 2 5" xfId="13507"/>
    <cellStyle name="Normal 2 2 2 2 2 37 2 2 6" xfId="13508"/>
    <cellStyle name="Normal 2 2 2 2 2 37 2 2 7" xfId="13509"/>
    <cellStyle name="Normal 2 2 2 2 2 37 2 2 8" xfId="13510"/>
    <cellStyle name="Normal 2 2 2 2 2 37 2 2 8 2" xfId="13511"/>
    <cellStyle name="Normal 2 2 2 2 2 37 2 2 8 3" xfId="13512"/>
    <cellStyle name="Normal 2 2 2 2 2 37 2 2 8 4" xfId="13513"/>
    <cellStyle name="Normal 2 2 2 2 2 37 2 2 9" xfId="13514"/>
    <cellStyle name="Normal 2 2 2 2 2 37 2 3" xfId="13515"/>
    <cellStyle name="Normal 2 2 2 2 2 37 2 3 2" xfId="13516"/>
    <cellStyle name="Normal 2 2 2 2 2 37 2 3 2 2" xfId="13517"/>
    <cellStyle name="Normal 2 2 2 2 2 37 2 3 2 3" xfId="13518"/>
    <cellStyle name="Normal 2 2 2 2 2 37 2 3 2 4" xfId="13519"/>
    <cellStyle name="Normal 2 2 2 2 2 37 2 3 3" xfId="13520"/>
    <cellStyle name="Normal 2 2 2 2 2 37 2 3 4" xfId="13521"/>
    <cellStyle name="Normal 2 2 2 2 2 37 2 3 5" xfId="13522"/>
    <cellStyle name="Normal 2 2 2 2 2 37 2 3 6" xfId="13523"/>
    <cellStyle name="Normal 2 2 2 2 2 37 2 4" xfId="13524"/>
    <cellStyle name="Normal 2 2 2 2 2 37 2 5" xfId="13525"/>
    <cellStyle name="Normal 2 2 2 2 2 37 2 6" xfId="13526"/>
    <cellStyle name="Normal 2 2 2 2 2 37 2 7" xfId="13527"/>
    <cellStyle name="Normal 2 2 2 2 2 37 2 8" xfId="13528"/>
    <cellStyle name="Normal 2 2 2 2 2 37 2 8 2" xfId="13529"/>
    <cellStyle name="Normal 2 2 2 2 2 37 2 8 3" xfId="13530"/>
    <cellStyle name="Normal 2 2 2 2 2 37 2 8 4" xfId="13531"/>
    <cellStyle name="Normal 2 2 2 2 2 37 2 9" xfId="13532"/>
    <cellStyle name="Normal 2 2 2 2 2 37 3" xfId="13533"/>
    <cellStyle name="Normal 2 2 2 2 2 37 4" xfId="13534"/>
    <cellStyle name="Normal 2 2 2 2 2 37 5" xfId="13535"/>
    <cellStyle name="Normal 2 2 2 2 2 37 5 2" xfId="13536"/>
    <cellStyle name="Normal 2 2 2 2 2 37 5 2 2" xfId="13537"/>
    <cellStyle name="Normal 2 2 2 2 2 37 5 2 3" xfId="13538"/>
    <cellStyle name="Normal 2 2 2 2 2 37 5 2 4" xfId="13539"/>
    <cellStyle name="Normal 2 2 2 2 2 37 5 3" xfId="13540"/>
    <cellStyle name="Normal 2 2 2 2 2 37 5 4" xfId="13541"/>
    <cellStyle name="Normal 2 2 2 2 2 37 5 5" xfId="13542"/>
    <cellStyle name="Normal 2 2 2 2 2 37 5 6" xfId="13543"/>
    <cellStyle name="Normal 2 2 2 2 2 37 6" xfId="13544"/>
    <cellStyle name="Normal 2 2 2 2 2 37 7" xfId="13545"/>
    <cellStyle name="Normal 2 2 2 2 2 37 8" xfId="13546"/>
    <cellStyle name="Normal 2 2 2 2 2 37 9" xfId="13547"/>
    <cellStyle name="Normal 2 2 2 2 2 38" xfId="13548"/>
    <cellStyle name="Normal 2 2 2 2 2 39" xfId="13549"/>
    <cellStyle name="Normal 2 2 2 2 2 39 10" xfId="13550"/>
    <cellStyle name="Normal 2 2 2 2 2 39 11" xfId="13551"/>
    <cellStyle name="Normal 2 2 2 2 2 39 2" xfId="13552"/>
    <cellStyle name="Normal 2 2 2 2 2 39 2 10" xfId="13553"/>
    <cellStyle name="Normal 2 2 2 2 2 39 2 11" xfId="13554"/>
    <cellStyle name="Normal 2 2 2 2 2 39 2 2" xfId="13555"/>
    <cellStyle name="Normal 2 2 2 2 2 39 2 2 2" xfId="13556"/>
    <cellStyle name="Normal 2 2 2 2 2 39 2 2 2 2" xfId="13557"/>
    <cellStyle name="Normal 2 2 2 2 2 39 2 2 2 3" xfId="13558"/>
    <cellStyle name="Normal 2 2 2 2 2 39 2 2 2 4" xfId="13559"/>
    <cellStyle name="Normal 2 2 2 2 2 39 2 2 3" xfId="13560"/>
    <cellStyle name="Normal 2 2 2 2 2 39 2 2 4" xfId="13561"/>
    <cellStyle name="Normal 2 2 2 2 2 39 2 2 5" xfId="13562"/>
    <cellStyle name="Normal 2 2 2 2 2 39 2 2 6" xfId="13563"/>
    <cellStyle name="Normal 2 2 2 2 2 39 2 3" xfId="13564"/>
    <cellStyle name="Normal 2 2 2 2 2 39 2 4" xfId="13565"/>
    <cellStyle name="Normal 2 2 2 2 2 39 2 5" xfId="13566"/>
    <cellStyle name="Normal 2 2 2 2 2 39 2 6" xfId="13567"/>
    <cellStyle name="Normal 2 2 2 2 2 39 2 7" xfId="13568"/>
    <cellStyle name="Normal 2 2 2 2 2 39 2 8" xfId="13569"/>
    <cellStyle name="Normal 2 2 2 2 2 39 2 8 2" xfId="13570"/>
    <cellStyle name="Normal 2 2 2 2 2 39 2 8 3" xfId="13571"/>
    <cellStyle name="Normal 2 2 2 2 2 39 2 8 4" xfId="13572"/>
    <cellStyle name="Normal 2 2 2 2 2 39 2 9" xfId="13573"/>
    <cellStyle name="Normal 2 2 2 2 2 39 3" xfId="13574"/>
    <cellStyle name="Normal 2 2 2 2 2 39 3 2" xfId="13575"/>
    <cellStyle name="Normal 2 2 2 2 2 39 3 2 2" xfId="13576"/>
    <cellStyle name="Normal 2 2 2 2 2 39 3 2 3" xfId="13577"/>
    <cellStyle name="Normal 2 2 2 2 2 39 3 2 4" xfId="13578"/>
    <cellStyle name="Normal 2 2 2 2 2 39 3 3" xfId="13579"/>
    <cellStyle name="Normal 2 2 2 2 2 39 3 4" xfId="13580"/>
    <cellStyle name="Normal 2 2 2 2 2 39 3 5" xfId="13581"/>
    <cellStyle name="Normal 2 2 2 2 2 39 3 6" xfId="13582"/>
    <cellStyle name="Normal 2 2 2 2 2 39 4" xfId="13583"/>
    <cellStyle name="Normal 2 2 2 2 2 39 5" xfId="13584"/>
    <cellStyle name="Normal 2 2 2 2 2 39 6" xfId="13585"/>
    <cellStyle name="Normal 2 2 2 2 2 39 7" xfId="13586"/>
    <cellStyle name="Normal 2 2 2 2 2 39 8" xfId="13587"/>
    <cellStyle name="Normal 2 2 2 2 2 39 8 2" xfId="13588"/>
    <cellStyle name="Normal 2 2 2 2 2 39 8 3" xfId="13589"/>
    <cellStyle name="Normal 2 2 2 2 2 39 8 4" xfId="13590"/>
    <cellStyle name="Normal 2 2 2 2 2 39 9" xfId="13591"/>
    <cellStyle name="Normal 2 2 2 2 2 4" xfId="13592"/>
    <cellStyle name="Normal 2 2 2 2 2 40" xfId="13593"/>
    <cellStyle name="Normal 2 2 2 2 2 41" xfId="13594"/>
    <cellStyle name="Normal 2 2 2 2 2 41 2" xfId="13595"/>
    <cellStyle name="Normal 2 2 2 2 2 41 2 2" xfId="13596"/>
    <cellStyle name="Normal 2 2 2 2 2 41 2 3" xfId="13597"/>
    <cellStyle name="Normal 2 2 2 2 2 41 2 4" xfId="13598"/>
    <cellStyle name="Normal 2 2 2 2 2 41 3" xfId="13599"/>
    <cellStyle name="Normal 2 2 2 2 2 41 4" xfId="13600"/>
    <cellStyle name="Normal 2 2 2 2 2 41 5" xfId="13601"/>
    <cellStyle name="Normal 2 2 2 2 2 41 6" xfId="13602"/>
    <cellStyle name="Normal 2 2 2 2 2 42" xfId="13603"/>
    <cellStyle name="Normal 2 2 2 2 2 43" xfId="13604"/>
    <cellStyle name="Normal 2 2 2 2 2 44" xfId="13605"/>
    <cellStyle name="Normal 2 2 2 2 2 45" xfId="13606"/>
    <cellStyle name="Normal 2 2 2 2 2 46" xfId="13607"/>
    <cellStyle name="Normal 2 2 2 2 2 47" xfId="13608"/>
    <cellStyle name="Normal 2 2 2 2 2 47 2" xfId="13609"/>
    <cellStyle name="Normal 2 2 2 2 2 47 3" xfId="13610"/>
    <cellStyle name="Normal 2 2 2 2 2 47 4" xfId="13611"/>
    <cellStyle name="Normal 2 2 2 2 2 48" xfId="13612"/>
    <cellStyle name="Normal 2 2 2 2 2 49" xfId="13613"/>
    <cellStyle name="Normal 2 2 2 2 2 5" xfId="13614"/>
    <cellStyle name="Normal 2 2 2 2 2 50" xfId="13615"/>
    <cellStyle name="Normal 2 2 2 2 2 51" xfId="13616"/>
    <cellStyle name="Normal 2 2 2 2 2 52" xfId="13617"/>
    <cellStyle name="Normal 2 2 2 2 2 53" xfId="13618"/>
    <cellStyle name="Normal 2 2 2 2 2 54" xfId="13619"/>
    <cellStyle name="Normal 2 2 2 2 2 55" xfId="13620"/>
    <cellStyle name="Normal 2 2 2 2 2 56" xfId="13621"/>
    <cellStyle name="Normal 2 2 2 2 2 57" xfId="13622"/>
    <cellStyle name="Normal 2 2 2 2 2 58" xfId="13623"/>
    <cellStyle name="Normal 2 2 2 2 2 59" xfId="13624"/>
    <cellStyle name="Normal 2 2 2 2 2 6" xfId="13625"/>
    <cellStyle name="Normal 2 2 2 2 2 60" xfId="13626"/>
    <cellStyle name="Normal 2 2 2 2 2 61" xfId="13627"/>
    <cellStyle name="Normal 2 2 2 2 2 62" xfId="13628"/>
    <cellStyle name="Normal 2 2 2 2 2 62 2" xfId="13629"/>
    <cellStyle name="Normal 2 2 2 2 2 62 3" xfId="13630"/>
    <cellStyle name="Normal 2 2 2 2 2 62 4" xfId="13631"/>
    <cellStyle name="Normal 2 2 2 2 2 62 5" xfId="13632"/>
    <cellStyle name="Normal 2 2 2 2 2 62 6" xfId="13633"/>
    <cellStyle name="Normal 2 2 2 2 2 62 7" xfId="13634"/>
    <cellStyle name="Normal 2 2 2 2 2 63" xfId="13635"/>
    <cellStyle name="Normal 2 2 2 2 2 64" xfId="13636"/>
    <cellStyle name="Normal 2 2 2 2 2 65" xfId="13637"/>
    <cellStyle name="Normal 2 2 2 2 2 66" xfId="13638"/>
    <cellStyle name="Normal 2 2 2 2 2 67" xfId="13639"/>
    <cellStyle name="Normal 2 2 2 2 2 68" xfId="13640"/>
    <cellStyle name="Normal 2 2 2 2 2 69" xfId="13641"/>
    <cellStyle name="Normal 2 2 2 2 2 7" xfId="13642"/>
    <cellStyle name="Normal 2 2 2 2 2 70" xfId="13643"/>
    <cellStyle name="Normal 2 2 2 2 2 71" xfId="13644"/>
    <cellStyle name="Normal 2 2 2 2 2 72" xfId="13645"/>
    <cellStyle name="Normal 2 2 2 2 2 73" xfId="13646"/>
    <cellStyle name="Normal 2 2 2 2 2 74" xfId="13647"/>
    <cellStyle name="Normal 2 2 2 2 2 75" xfId="13648"/>
    <cellStyle name="Normal 2 2 2 2 2 76" xfId="13649"/>
    <cellStyle name="Normal 2 2 2 2 2 77" xfId="13650"/>
    <cellStyle name="Normal 2 2 2 2 2 78" xfId="13651"/>
    <cellStyle name="Normal 2 2 2 2 2 79" xfId="13652"/>
    <cellStyle name="Normal 2 2 2 2 2 8" xfId="13653"/>
    <cellStyle name="Normal 2 2 2 2 2 80" xfId="13654"/>
    <cellStyle name="Normal 2 2 2 2 2 81" xfId="13655"/>
    <cellStyle name="Normal 2 2 2 2 2 82" xfId="13656"/>
    <cellStyle name="Normal 2 2 2 2 2 83" xfId="13657"/>
    <cellStyle name="Normal 2 2 2 2 2 84" xfId="13658"/>
    <cellStyle name="Normal 2 2 2 2 2 85" xfId="13659"/>
    <cellStyle name="Normal 2 2 2 2 2 86" xfId="13660"/>
    <cellStyle name="Normal 2 2 2 2 2 87" xfId="13661"/>
    <cellStyle name="Normal 2 2 2 2 2 88" xfId="13662"/>
    <cellStyle name="Normal 2 2 2 2 2 89" xfId="13663"/>
    <cellStyle name="Normal 2 2 2 2 2 9" xfId="13664"/>
    <cellStyle name="Normal 2 2 2 2 2 90" xfId="13665"/>
    <cellStyle name="Normal 2 2 2 2 2 91" xfId="13666"/>
    <cellStyle name="Normal 2 2 2 2 2 92" xfId="13667"/>
    <cellStyle name="Normal 2 2 2 2 2 93" xfId="13668"/>
    <cellStyle name="Normal 2 2 2 2 2 94" xfId="13669"/>
    <cellStyle name="Normal 2 2 2 2 2 95" xfId="13670"/>
    <cellStyle name="Normal 2 2 2 2 2 96" xfId="13671"/>
    <cellStyle name="Normal 2 2 2 2 2 97" xfId="13672"/>
    <cellStyle name="Normal 2 2 2 2 2 98" xfId="13673"/>
    <cellStyle name="Normal 2 2 2 2 2 99" xfId="13674"/>
    <cellStyle name="Normal 2 2 2 2 20" xfId="13675"/>
    <cellStyle name="Normal 2 2 2 2 20 2" xfId="13676"/>
    <cellStyle name="Normal 2 2 2 2 21" xfId="13677"/>
    <cellStyle name="Normal 2 2 2 2 21 2" xfId="13678"/>
    <cellStyle name="Normal 2 2 2 2 22" xfId="13679"/>
    <cellStyle name="Normal 2 2 2 2 22 2" xfId="13680"/>
    <cellStyle name="Normal 2 2 2 2 23" xfId="13681"/>
    <cellStyle name="Normal 2 2 2 2 23 2" xfId="13682"/>
    <cellStyle name="Normal 2 2 2 2 24" xfId="13683"/>
    <cellStyle name="Normal 2 2 2 2 24 2" xfId="13684"/>
    <cellStyle name="Normal 2 2 2 2 25" xfId="13685"/>
    <cellStyle name="Normal 2 2 2 2 25 2" xfId="13686"/>
    <cellStyle name="Normal 2 2 2 2 26" xfId="13687"/>
    <cellStyle name="Normal 2 2 2 2 26 2" xfId="13688"/>
    <cellStyle name="Normal 2 2 2 2 27" xfId="13689"/>
    <cellStyle name="Normal 2 2 2 2 27 2" xfId="13690"/>
    <cellStyle name="Normal 2 2 2 2 28" xfId="13691"/>
    <cellStyle name="Normal 2 2 2 2 28 2" xfId="13692"/>
    <cellStyle name="Normal 2 2 2 2 28 2 2" xfId="13693"/>
    <cellStyle name="Normal 2 2 2 2 28 2 2 2" xfId="13694"/>
    <cellStyle name="Normal 2 2 2 2 28 2 3" xfId="13695"/>
    <cellStyle name="Normal 2 2 2 2 28 3" xfId="13696"/>
    <cellStyle name="Normal 2 2 2 2 28 4" xfId="13697"/>
    <cellStyle name="Normal 2 2 2 2 28 5" xfId="13698"/>
    <cellStyle name="Normal 2 2 2 2 28 6" xfId="13699"/>
    <cellStyle name="Normal 2 2 2 2 28 7" xfId="13700"/>
    <cellStyle name="Normal 2 2 2 2 29" xfId="13701"/>
    <cellStyle name="Normal 2 2 2 2 29 2" xfId="13702"/>
    <cellStyle name="Normal 2 2 2 2 29 2 2" xfId="13703"/>
    <cellStyle name="Normal 2 2 2 2 29 3" xfId="13704"/>
    <cellStyle name="Normal 2 2 2 2 3" xfId="13705"/>
    <cellStyle name="Normal 2 2 2 2 3 2" xfId="13706"/>
    <cellStyle name="Normal 2 2 2 2 30" xfId="13707"/>
    <cellStyle name="Normal 2 2 2 2 30 2" xfId="13708"/>
    <cellStyle name="Normal 2 2 2 2 31" xfId="13709"/>
    <cellStyle name="Normal 2 2 2 2 32" xfId="13710"/>
    <cellStyle name="Normal 2 2 2 2 33" xfId="13711"/>
    <cellStyle name="Normal 2 2 2 2 34" xfId="13712"/>
    <cellStyle name="Normal 2 2 2 2 35" xfId="13713"/>
    <cellStyle name="Normal 2 2 2 2 36" xfId="13714"/>
    <cellStyle name="Normal 2 2 2 2 37" xfId="13715"/>
    <cellStyle name="Normal 2 2 2 2 38" xfId="13716"/>
    <cellStyle name="Normal 2 2 2 2 38 10" xfId="13717"/>
    <cellStyle name="Normal 2 2 2 2 38 11" xfId="13718"/>
    <cellStyle name="Normal 2 2 2 2 38 11 10" xfId="13719"/>
    <cellStyle name="Normal 2 2 2 2 38 11 11" xfId="13720"/>
    <cellStyle name="Normal 2 2 2 2 38 11 11 2" xfId="13721"/>
    <cellStyle name="Normal 2 2 2 2 38 11 11 3" xfId="13722"/>
    <cellStyle name="Normal 2 2 2 2 38 11 11 4" xfId="13723"/>
    <cellStyle name="Normal 2 2 2 2 38 11 12" xfId="13724"/>
    <cellStyle name="Normal 2 2 2 2 38 11 13" xfId="13725"/>
    <cellStyle name="Normal 2 2 2 2 38 11 14" xfId="13726"/>
    <cellStyle name="Normal 2 2 2 2 38 11 2" xfId="13727"/>
    <cellStyle name="Normal 2 2 2 2 38 11 2 10" xfId="13728"/>
    <cellStyle name="Normal 2 2 2 2 38 11 2 11" xfId="13729"/>
    <cellStyle name="Normal 2 2 2 2 38 11 2 2" xfId="13730"/>
    <cellStyle name="Normal 2 2 2 2 38 11 2 2 10" xfId="13731"/>
    <cellStyle name="Normal 2 2 2 2 38 11 2 2 11" xfId="13732"/>
    <cellStyle name="Normal 2 2 2 2 38 11 2 2 2" xfId="13733"/>
    <cellStyle name="Normal 2 2 2 2 38 11 2 2 2 2" xfId="13734"/>
    <cellStyle name="Normal 2 2 2 2 38 11 2 2 2 2 2" xfId="13735"/>
    <cellStyle name="Normal 2 2 2 2 38 11 2 2 2 2 3" xfId="13736"/>
    <cellStyle name="Normal 2 2 2 2 38 11 2 2 2 2 4" xfId="13737"/>
    <cellStyle name="Normal 2 2 2 2 38 11 2 2 2 3" xfId="13738"/>
    <cellStyle name="Normal 2 2 2 2 38 11 2 2 2 4" xfId="13739"/>
    <cellStyle name="Normal 2 2 2 2 38 11 2 2 2 5" xfId="13740"/>
    <cellStyle name="Normal 2 2 2 2 38 11 2 2 2 6" xfId="13741"/>
    <cellStyle name="Normal 2 2 2 2 38 11 2 2 3" xfId="13742"/>
    <cellStyle name="Normal 2 2 2 2 38 11 2 2 4" xfId="13743"/>
    <cellStyle name="Normal 2 2 2 2 38 11 2 2 5" xfId="13744"/>
    <cellStyle name="Normal 2 2 2 2 38 11 2 2 6" xfId="13745"/>
    <cellStyle name="Normal 2 2 2 2 38 11 2 2 7" xfId="13746"/>
    <cellStyle name="Normal 2 2 2 2 38 11 2 2 8" xfId="13747"/>
    <cellStyle name="Normal 2 2 2 2 38 11 2 2 8 2" xfId="13748"/>
    <cellStyle name="Normal 2 2 2 2 38 11 2 2 8 3" xfId="13749"/>
    <cellStyle name="Normal 2 2 2 2 38 11 2 2 8 4" xfId="13750"/>
    <cellStyle name="Normal 2 2 2 2 38 11 2 2 9" xfId="13751"/>
    <cellStyle name="Normal 2 2 2 2 38 11 2 3" xfId="13752"/>
    <cellStyle name="Normal 2 2 2 2 38 11 2 3 2" xfId="13753"/>
    <cellStyle name="Normal 2 2 2 2 38 11 2 3 2 2" xfId="13754"/>
    <cellStyle name="Normal 2 2 2 2 38 11 2 3 2 3" xfId="13755"/>
    <cellStyle name="Normal 2 2 2 2 38 11 2 3 2 4" xfId="13756"/>
    <cellStyle name="Normal 2 2 2 2 38 11 2 3 3" xfId="13757"/>
    <cellStyle name="Normal 2 2 2 2 38 11 2 3 4" xfId="13758"/>
    <cellStyle name="Normal 2 2 2 2 38 11 2 3 5" xfId="13759"/>
    <cellStyle name="Normal 2 2 2 2 38 11 2 3 6" xfId="13760"/>
    <cellStyle name="Normal 2 2 2 2 38 11 2 4" xfId="13761"/>
    <cellStyle name="Normal 2 2 2 2 38 11 2 5" xfId="13762"/>
    <cellStyle name="Normal 2 2 2 2 38 11 2 6" xfId="13763"/>
    <cellStyle name="Normal 2 2 2 2 38 11 2 7" xfId="13764"/>
    <cellStyle name="Normal 2 2 2 2 38 11 2 8" xfId="13765"/>
    <cellStyle name="Normal 2 2 2 2 38 11 2 8 2" xfId="13766"/>
    <cellStyle name="Normal 2 2 2 2 38 11 2 8 3" xfId="13767"/>
    <cellStyle name="Normal 2 2 2 2 38 11 2 8 4" xfId="13768"/>
    <cellStyle name="Normal 2 2 2 2 38 11 2 9" xfId="13769"/>
    <cellStyle name="Normal 2 2 2 2 38 11 3" xfId="13770"/>
    <cellStyle name="Normal 2 2 2 2 38 11 4" xfId="13771"/>
    <cellStyle name="Normal 2 2 2 2 38 11 5" xfId="13772"/>
    <cellStyle name="Normal 2 2 2 2 38 11 5 2" xfId="13773"/>
    <cellStyle name="Normal 2 2 2 2 38 11 5 2 2" xfId="13774"/>
    <cellStyle name="Normal 2 2 2 2 38 11 5 2 3" xfId="13775"/>
    <cellStyle name="Normal 2 2 2 2 38 11 5 2 4" xfId="13776"/>
    <cellStyle name="Normal 2 2 2 2 38 11 5 3" xfId="13777"/>
    <cellStyle name="Normal 2 2 2 2 38 11 5 4" xfId="13778"/>
    <cellStyle name="Normal 2 2 2 2 38 11 5 5" xfId="13779"/>
    <cellStyle name="Normal 2 2 2 2 38 11 5 6" xfId="13780"/>
    <cellStyle name="Normal 2 2 2 2 38 11 6" xfId="13781"/>
    <cellStyle name="Normal 2 2 2 2 38 11 7" xfId="13782"/>
    <cellStyle name="Normal 2 2 2 2 38 11 8" xfId="13783"/>
    <cellStyle name="Normal 2 2 2 2 38 11 9" xfId="13784"/>
    <cellStyle name="Normal 2 2 2 2 38 12" xfId="13785"/>
    <cellStyle name="Normal 2 2 2 2 38 13" xfId="13786"/>
    <cellStyle name="Normal 2 2 2 2 38 13 10" xfId="13787"/>
    <cellStyle name="Normal 2 2 2 2 38 13 11" xfId="13788"/>
    <cellStyle name="Normal 2 2 2 2 38 13 2" xfId="13789"/>
    <cellStyle name="Normal 2 2 2 2 38 13 2 10" xfId="13790"/>
    <cellStyle name="Normal 2 2 2 2 38 13 2 11" xfId="13791"/>
    <cellStyle name="Normal 2 2 2 2 38 13 2 2" xfId="13792"/>
    <cellStyle name="Normal 2 2 2 2 38 13 2 2 2" xfId="13793"/>
    <cellStyle name="Normal 2 2 2 2 38 13 2 2 2 2" xfId="13794"/>
    <cellStyle name="Normal 2 2 2 2 38 13 2 2 2 3" xfId="13795"/>
    <cellStyle name="Normal 2 2 2 2 38 13 2 2 2 4" xfId="13796"/>
    <cellStyle name="Normal 2 2 2 2 38 13 2 2 3" xfId="13797"/>
    <cellStyle name="Normal 2 2 2 2 38 13 2 2 4" xfId="13798"/>
    <cellStyle name="Normal 2 2 2 2 38 13 2 2 5" xfId="13799"/>
    <cellStyle name="Normal 2 2 2 2 38 13 2 2 6" xfId="13800"/>
    <cellStyle name="Normal 2 2 2 2 38 13 2 3" xfId="13801"/>
    <cellStyle name="Normal 2 2 2 2 38 13 2 4" xfId="13802"/>
    <cellStyle name="Normal 2 2 2 2 38 13 2 5" xfId="13803"/>
    <cellStyle name="Normal 2 2 2 2 38 13 2 6" xfId="13804"/>
    <cellStyle name="Normal 2 2 2 2 38 13 2 7" xfId="13805"/>
    <cellStyle name="Normal 2 2 2 2 38 13 2 8" xfId="13806"/>
    <cellStyle name="Normal 2 2 2 2 38 13 2 8 2" xfId="13807"/>
    <cellStyle name="Normal 2 2 2 2 38 13 2 8 3" xfId="13808"/>
    <cellStyle name="Normal 2 2 2 2 38 13 2 8 4" xfId="13809"/>
    <cellStyle name="Normal 2 2 2 2 38 13 2 9" xfId="13810"/>
    <cellStyle name="Normal 2 2 2 2 38 13 3" xfId="13811"/>
    <cellStyle name="Normal 2 2 2 2 38 13 3 2" xfId="13812"/>
    <cellStyle name="Normal 2 2 2 2 38 13 3 2 2" xfId="13813"/>
    <cellStyle name="Normal 2 2 2 2 38 13 3 2 3" xfId="13814"/>
    <cellStyle name="Normal 2 2 2 2 38 13 3 2 4" xfId="13815"/>
    <cellStyle name="Normal 2 2 2 2 38 13 3 3" xfId="13816"/>
    <cellStyle name="Normal 2 2 2 2 38 13 3 4" xfId="13817"/>
    <cellStyle name="Normal 2 2 2 2 38 13 3 5" xfId="13818"/>
    <cellStyle name="Normal 2 2 2 2 38 13 3 6" xfId="13819"/>
    <cellStyle name="Normal 2 2 2 2 38 13 4" xfId="13820"/>
    <cellStyle name="Normal 2 2 2 2 38 13 5" xfId="13821"/>
    <cellStyle name="Normal 2 2 2 2 38 13 6" xfId="13822"/>
    <cellStyle name="Normal 2 2 2 2 38 13 7" xfId="13823"/>
    <cellStyle name="Normal 2 2 2 2 38 13 8" xfId="13824"/>
    <cellStyle name="Normal 2 2 2 2 38 13 8 2" xfId="13825"/>
    <cellStyle name="Normal 2 2 2 2 38 13 8 3" xfId="13826"/>
    <cellStyle name="Normal 2 2 2 2 38 13 8 4" xfId="13827"/>
    <cellStyle name="Normal 2 2 2 2 38 13 9" xfId="13828"/>
    <cellStyle name="Normal 2 2 2 2 38 14" xfId="13829"/>
    <cellStyle name="Normal 2 2 2 2 38 15" xfId="13830"/>
    <cellStyle name="Normal 2 2 2 2 38 15 2" xfId="13831"/>
    <cellStyle name="Normal 2 2 2 2 38 15 2 2" xfId="13832"/>
    <cellStyle name="Normal 2 2 2 2 38 15 2 3" xfId="13833"/>
    <cellStyle name="Normal 2 2 2 2 38 15 2 4" xfId="13834"/>
    <cellStyle name="Normal 2 2 2 2 38 15 3" xfId="13835"/>
    <cellStyle name="Normal 2 2 2 2 38 15 4" xfId="13836"/>
    <cellStyle name="Normal 2 2 2 2 38 15 5" xfId="13837"/>
    <cellStyle name="Normal 2 2 2 2 38 15 6" xfId="13838"/>
    <cellStyle name="Normal 2 2 2 2 38 16" xfId="13839"/>
    <cellStyle name="Normal 2 2 2 2 38 17" xfId="13840"/>
    <cellStyle name="Normal 2 2 2 2 38 18" xfId="13841"/>
    <cellStyle name="Normal 2 2 2 2 38 19" xfId="13842"/>
    <cellStyle name="Normal 2 2 2 2 38 2" xfId="13843"/>
    <cellStyle name="Normal 2 2 2 2 38 2 10" xfId="13844"/>
    <cellStyle name="Normal 2 2 2 2 38 2 11" xfId="13845"/>
    <cellStyle name="Normal 2 2 2 2 38 2 12" xfId="13846"/>
    <cellStyle name="Normal 2 2 2 2 38 2 13" xfId="13847"/>
    <cellStyle name="Normal 2 2 2 2 38 2 13 2" xfId="13848"/>
    <cellStyle name="Normal 2 2 2 2 38 2 13 3" xfId="13849"/>
    <cellStyle name="Normal 2 2 2 2 38 2 13 4" xfId="13850"/>
    <cellStyle name="Normal 2 2 2 2 38 2 14" xfId="13851"/>
    <cellStyle name="Normal 2 2 2 2 38 2 15" xfId="13852"/>
    <cellStyle name="Normal 2 2 2 2 38 2 16" xfId="13853"/>
    <cellStyle name="Normal 2 2 2 2 38 2 2" xfId="13854"/>
    <cellStyle name="Normal 2 2 2 2 38 2 2 10" xfId="13855"/>
    <cellStyle name="Normal 2 2 2 2 38 2 2 11" xfId="13856"/>
    <cellStyle name="Normal 2 2 2 2 38 2 2 11 2" xfId="13857"/>
    <cellStyle name="Normal 2 2 2 2 38 2 2 11 3" xfId="13858"/>
    <cellStyle name="Normal 2 2 2 2 38 2 2 11 4" xfId="13859"/>
    <cellStyle name="Normal 2 2 2 2 38 2 2 12" xfId="13860"/>
    <cellStyle name="Normal 2 2 2 2 38 2 2 13" xfId="13861"/>
    <cellStyle name="Normal 2 2 2 2 38 2 2 14" xfId="13862"/>
    <cellStyle name="Normal 2 2 2 2 38 2 2 2" xfId="13863"/>
    <cellStyle name="Normal 2 2 2 2 38 2 2 2 10" xfId="13864"/>
    <cellStyle name="Normal 2 2 2 2 38 2 2 2 11" xfId="13865"/>
    <cellStyle name="Normal 2 2 2 2 38 2 2 2 2" xfId="13866"/>
    <cellStyle name="Normal 2 2 2 2 38 2 2 2 2 10" xfId="13867"/>
    <cellStyle name="Normal 2 2 2 2 38 2 2 2 2 11" xfId="13868"/>
    <cellStyle name="Normal 2 2 2 2 38 2 2 2 2 2" xfId="13869"/>
    <cellStyle name="Normal 2 2 2 2 38 2 2 2 2 2 2" xfId="13870"/>
    <cellStyle name="Normal 2 2 2 2 38 2 2 2 2 2 2 2" xfId="13871"/>
    <cellStyle name="Normal 2 2 2 2 38 2 2 2 2 2 2 3" xfId="13872"/>
    <cellStyle name="Normal 2 2 2 2 38 2 2 2 2 2 2 4" xfId="13873"/>
    <cellStyle name="Normal 2 2 2 2 38 2 2 2 2 2 3" xfId="13874"/>
    <cellStyle name="Normal 2 2 2 2 38 2 2 2 2 2 4" xfId="13875"/>
    <cellStyle name="Normal 2 2 2 2 38 2 2 2 2 2 5" xfId="13876"/>
    <cellStyle name="Normal 2 2 2 2 38 2 2 2 2 2 6" xfId="13877"/>
    <cellStyle name="Normal 2 2 2 2 38 2 2 2 2 3" xfId="13878"/>
    <cellStyle name="Normal 2 2 2 2 38 2 2 2 2 4" xfId="13879"/>
    <cellStyle name="Normal 2 2 2 2 38 2 2 2 2 5" xfId="13880"/>
    <cellStyle name="Normal 2 2 2 2 38 2 2 2 2 6" xfId="13881"/>
    <cellStyle name="Normal 2 2 2 2 38 2 2 2 2 7" xfId="13882"/>
    <cellStyle name="Normal 2 2 2 2 38 2 2 2 2 8" xfId="13883"/>
    <cellStyle name="Normal 2 2 2 2 38 2 2 2 2 8 2" xfId="13884"/>
    <cellStyle name="Normal 2 2 2 2 38 2 2 2 2 8 3" xfId="13885"/>
    <cellStyle name="Normal 2 2 2 2 38 2 2 2 2 8 4" xfId="13886"/>
    <cellStyle name="Normal 2 2 2 2 38 2 2 2 2 9" xfId="13887"/>
    <cellStyle name="Normal 2 2 2 2 38 2 2 2 3" xfId="13888"/>
    <cellStyle name="Normal 2 2 2 2 38 2 2 2 3 2" xfId="13889"/>
    <cellStyle name="Normal 2 2 2 2 38 2 2 2 3 2 2" xfId="13890"/>
    <cellStyle name="Normal 2 2 2 2 38 2 2 2 3 2 3" xfId="13891"/>
    <cellStyle name="Normal 2 2 2 2 38 2 2 2 3 2 4" xfId="13892"/>
    <cellStyle name="Normal 2 2 2 2 38 2 2 2 3 3" xfId="13893"/>
    <cellStyle name="Normal 2 2 2 2 38 2 2 2 3 4" xfId="13894"/>
    <cellStyle name="Normal 2 2 2 2 38 2 2 2 3 5" xfId="13895"/>
    <cellStyle name="Normal 2 2 2 2 38 2 2 2 3 6" xfId="13896"/>
    <cellStyle name="Normal 2 2 2 2 38 2 2 2 4" xfId="13897"/>
    <cellStyle name="Normal 2 2 2 2 38 2 2 2 5" xfId="13898"/>
    <cellStyle name="Normal 2 2 2 2 38 2 2 2 6" xfId="13899"/>
    <cellStyle name="Normal 2 2 2 2 38 2 2 2 7" xfId="13900"/>
    <cellStyle name="Normal 2 2 2 2 38 2 2 2 8" xfId="13901"/>
    <cellStyle name="Normal 2 2 2 2 38 2 2 2 8 2" xfId="13902"/>
    <cellStyle name="Normal 2 2 2 2 38 2 2 2 8 3" xfId="13903"/>
    <cellStyle name="Normal 2 2 2 2 38 2 2 2 8 4" xfId="13904"/>
    <cellStyle name="Normal 2 2 2 2 38 2 2 2 9" xfId="13905"/>
    <cellStyle name="Normal 2 2 2 2 38 2 2 3" xfId="13906"/>
    <cellStyle name="Normal 2 2 2 2 38 2 2 4" xfId="13907"/>
    <cellStyle name="Normal 2 2 2 2 38 2 2 5" xfId="13908"/>
    <cellStyle name="Normal 2 2 2 2 38 2 2 5 2" xfId="13909"/>
    <cellStyle name="Normal 2 2 2 2 38 2 2 5 2 2" xfId="13910"/>
    <cellStyle name="Normal 2 2 2 2 38 2 2 5 2 3" xfId="13911"/>
    <cellStyle name="Normal 2 2 2 2 38 2 2 5 2 4" xfId="13912"/>
    <cellStyle name="Normal 2 2 2 2 38 2 2 5 3" xfId="13913"/>
    <cellStyle name="Normal 2 2 2 2 38 2 2 5 4" xfId="13914"/>
    <cellStyle name="Normal 2 2 2 2 38 2 2 5 5" xfId="13915"/>
    <cellStyle name="Normal 2 2 2 2 38 2 2 5 6" xfId="13916"/>
    <cellStyle name="Normal 2 2 2 2 38 2 2 6" xfId="13917"/>
    <cellStyle name="Normal 2 2 2 2 38 2 2 7" xfId="13918"/>
    <cellStyle name="Normal 2 2 2 2 38 2 2 8" xfId="13919"/>
    <cellStyle name="Normal 2 2 2 2 38 2 2 9" xfId="13920"/>
    <cellStyle name="Normal 2 2 2 2 38 2 3" xfId="13921"/>
    <cellStyle name="Normal 2 2 2 2 38 2 4" xfId="13922"/>
    <cellStyle name="Normal 2 2 2 2 38 2 5" xfId="13923"/>
    <cellStyle name="Normal 2 2 2 2 38 2 5 10" xfId="13924"/>
    <cellStyle name="Normal 2 2 2 2 38 2 5 11" xfId="13925"/>
    <cellStyle name="Normal 2 2 2 2 38 2 5 2" xfId="13926"/>
    <cellStyle name="Normal 2 2 2 2 38 2 5 2 10" xfId="13927"/>
    <cellStyle name="Normal 2 2 2 2 38 2 5 2 11" xfId="13928"/>
    <cellStyle name="Normal 2 2 2 2 38 2 5 2 2" xfId="13929"/>
    <cellStyle name="Normal 2 2 2 2 38 2 5 2 2 2" xfId="13930"/>
    <cellStyle name="Normal 2 2 2 2 38 2 5 2 2 2 2" xfId="13931"/>
    <cellStyle name="Normal 2 2 2 2 38 2 5 2 2 2 3" xfId="13932"/>
    <cellStyle name="Normal 2 2 2 2 38 2 5 2 2 2 4" xfId="13933"/>
    <cellStyle name="Normal 2 2 2 2 38 2 5 2 2 3" xfId="13934"/>
    <cellStyle name="Normal 2 2 2 2 38 2 5 2 2 4" xfId="13935"/>
    <cellStyle name="Normal 2 2 2 2 38 2 5 2 2 5" xfId="13936"/>
    <cellStyle name="Normal 2 2 2 2 38 2 5 2 2 6" xfId="13937"/>
    <cellStyle name="Normal 2 2 2 2 38 2 5 2 3" xfId="13938"/>
    <cellStyle name="Normal 2 2 2 2 38 2 5 2 4" xfId="13939"/>
    <cellStyle name="Normal 2 2 2 2 38 2 5 2 5" xfId="13940"/>
    <cellStyle name="Normal 2 2 2 2 38 2 5 2 6" xfId="13941"/>
    <cellStyle name="Normal 2 2 2 2 38 2 5 2 7" xfId="13942"/>
    <cellStyle name="Normal 2 2 2 2 38 2 5 2 8" xfId="13943"/>
    <cellStyle name="Normal 2 2 2 2 38 2 5 2 8 2" xfId="13944"/>
    <cellStyle name="Normal 2 2 2 2 38 2 5 2 8 3" xfId="13945"/>
    <cellStyle name="Normal 2 2 2 2 38 2 5 2 8 4" xfId="13946"/>
    <cellStyle name="Normal 2 2 2 2 38 2 5 2 9" xfId="13947"/>
    <cellStyle name="Normal 2 2 2 2 38 2 5 3" xfId="13948"/>
    <cellStyle name="Normal 2 2 2 2 38 2 5 3 2" xfId="13949"/>
    <cellStyle name="Normal 2 2 2 2 38 2 5 3 2 2" xfId="13950"/>
    <cellStyle name="Normal 2 2 2 2 38 2 5 3 2 3" xfId="13951"/>
    <cellStyle name="Normal 2 2 2 2 38 2 5 3 2 4" xfId="13952"/>
    <cellStyle name="Normal 2 2 2 2 38 2 5 3 3" xfId="13953"/>
    <cellStyle name="Normal 2 2 2 2 38 2 5 3 4" xfId="13954"/>
    <cellStyle name="Normal 2 2 2 2 38 2 5 3 5" xfId="13955"/>
    <cellStyle name="Normal 2 2 2 2 38 2 5 3 6" xfId="13956"/>
    <cellStyle name="Normal 2 2 2 2 38 2 5 4" xfId="13957"/>
    <cellStyle name="Normal 2 2 2 2 38 2 5 5" xfId="13958"/>
    <cellStyle name="Normal 2 2 2 2 38 2 5 6" xfId="13959"/>
    <cellStyle name="Normal 2 2 2 2 38 2 5 7" xfId="13960"/>
    <cellStyle name="Normal 2 2 2 2 38 2 5 8" xfId="13961"/>
    <cellStyle name="Normal 2 2 2 2 38 2 5 8 2" xfId="13962"/>
    <cellStyle name="Normal 2 2 2 2 38 2 5 8 3" xfId="13963"/>
    <cellStyle name="Normal 2 2 2 2 38 2 5 8 4" xfId="13964"/>
    <cellStyle name="Normal 2 2 2 2 38 2 5 9" xfId="13965"/>
    <cellStyle name="Normal 2 2 2 2 38 2 6" xfId="13966"/>
    <cellStyle name="Normal 2 2 2 2 38 2 7" xfId="13967"/>
    <cellStyle name="Normal 2 2 2 2 38 2 7 2" xfId="13968"/>
    <cellStyle name="Normal 2 2 2 2 38 2 7 2 2" xfId="13969"/>
    <cellStyle name="Normal 2 2 2 2 38 2 7 2 3" xfId="13970"/>
    <cellStyle name="Normal 2 2 2 2 38 2 7 2 4" xfId="13971"/>
    <cellStyle name="Normal 2 2 2 2 38 2 7 3" xfId="13972"/>
    <cellStyle name="Normal 2 2 2 2 38 2 7 4" xfId="13973"/>
    <cellStyle name="Normal 2 2 2 2 38 2 7 5" xfId="13974"/>
    <cellStyle name="Normal 2 2 2 2 38 2 7 6" xfId="13975"/>
    <cellStyle name="Normal 2 2 2 2 38 2 8" xfId="13976"/>
    <cellStyle name="Normal 2 2 2 2 38 2 9" xfId="13977"/>
    <cellStyle name="Normal 2 2 2 2 38 20" xfId="13978"/>
    <cellStyle name="Normal 2 2 2 2 38 21" xfId="13979"/>
    <cellStyle name="Normal 2 2 2 2 38 21 2" xfId="13980"/>
    <cellStyle name="Normal 2 2 2 2 38 21 3" xfId="13981"/>
    <cellStyle name="Normal 2 2 2 2 38 21 4" xfId="13982"/>
    <cellStyle name="Normal 2 2 2 2 38 22" xfId="13983"/>
    <cellStyle name="Normal 2 2 2 2 38 23" xfId="13984"/>
    <cellStyle name="Normal 2 2 2 2 38 24" xfId="13985"/>
    <cellStyle name="Normal 2 2 2 2 38 3" xfId="13986"/>
    <cellStyle name="Normal 2 2 2 2 38 4" xfId="13987"/>
    <cellStyle name="Normal 2 2 2 2 38 5" xfId="13988"/>
    <cellStyle name="Normal 2 2 2 2 38 6" xfId="13989"/>
    <cellStyle name="Normal 2 2 2 2 38 7" xfId="13990"/>
    <cellStyle name="Normal 2 2 2 2 38 8" xfId="13991"/>
    <cellStyle name="Normal 2 2 2 2 38 9" xfId="13992"/>
    <cellStyle name="Normal 2 2 2 2 39" xfId="13993"/>
    <cellStyle name="Normal 2 2 2 2 39 10" xfId="13994"/>
    <cellStyle name="Normal 2 2 2 2 39 11" xfId="13995"/>
    <cellStyle name="Normal 2 2 2 2 39 12" xfId="13996"/>
    <cellStyle name="Normal 2 2 2 2 39 13" xfId="13997"/>
    <cellStyle name="Normal 2 2 2 2 39 13 2" xfId="13998"/>
    <cellStyle name="Normal 2 2 2 2 39 13 3" xfId="13999"/>
    <cellStyle name="Normal 2 2 2 2 39 13 4" xfId="14000"/>
    <cellStyle name="Normal 2 2 2 2 39 14" xfId="14001"/>
    <cellStyle name="Normal 2 2 2 2 39 15" xfId="14002"/>
    <cellStyle name="Normal 2 2 2 2 39 16" xfId="14003"/>
    <cellStyle name="Normal 2 2 2 2 39 2" xfId="14004"/>
    <cellStyle name="Normal 2 2 2 2 39 2 10" xfId="14005"/>
    <cellStyle name="Normal 2 2 2 2 39 2 11" xfId="14006"/>
    <cellStyle name="Normal 2 2 2 2 39 2 11 2" xfId="14007"/>
    <cellStyle name="Normal 2 2 2 2 39 2 11 3" xfId="14008"/>
    <cellStyle name="Normal 2 2 2 2 39 2 11 4" xfId="14009"/>
    <cellStyle name="Normal 2 2 2 2 39 2 12" xfId="14010"/>
    <cellStyle name="Normal 2 2 2 2 39 2 13" xfId="14011"/>
    <cellStyle name="Normal 2 2 2 2 39 2 14" xfId="14012"/>
    <cellStyle name="Normal 2 2 2 2 39 2 2" xfId="14013"/>
    <cellStyle name="Normal 2 2 2 2 39 2 2 10" xfId="14014"/>
    <cellStyle name="Normal 2 2 2 2 39 2 2 11" xfId="14015"/>
    <cellStyle name="Normal 2 2 2 2 39 2 2 2" xfId="14016"/>
    <cellStyle name="Normal 2 2 2 2 39 2 2 2 10" xfId="14017"/>
    <cellStyle name="Normal 2 2 2 2 39 2 2 2 11" xfId="14018"/>
    <cellStyle name="Normal 2 2 2 2 39 2 2 2 2" xfId="14019"/>
    <cellStyle name="Normal 2 2 2 2 39 2 2 2 2 2" xfId="14020"/>
    <cellStyle name="Normal 2 2 2 2 39 2 2 2 2 2 2" xfId="14021"/>
    <cellStyle name="Normal 2 2 2 2 39 2 2 2 2 2 3" xfId="14022"/>
    <cellStyle name="Normal 2 2 2 2 39 2 2 2 2 2 4" xfId="14023"/>
    <cellStyle name="Normal 2 2 2 2 39 2 2 2 2 3" xfId="14024"/>
    <cellStyle name="Normal 2 2 2 2 39 2 2 2 2 4" xfId="14025"/>
    <cellStyle name="Normal 2 2 2 2 39 2 2 2 2 5" xfId="14026"/>
    <cellStyle name="Normal 2 2 2 2 39 2 2 2 2 6" xfId="14027"/>
    <cellStyle name="Normal 2 2 2 2 39 2 2 2 3" xfId="14028"/>
    <cellStyle name="Normal 2 2 2 2 39 2 2 2 4" xfId="14029"/>
    <cellStyle name="Normal 2 2 2 2 39 2 2 2 5" xfId="14030"/>
    <cellStyle name="Normal 2 2 2 2 39 2 2 2 6" xfId="14031"/>
    <cellStyle name="Normal 2 2 2 2 39 2 2 2 7" xfId="14032"/>
    <cellStyle name="Normal 2 2 2 2 39 2 2 2 8" xfId="14033"/>
    <cellStyle name="Normal 2 2 2 2 39 2 2 2 8 2" xfId="14034"/>
    <cellStyle name="Normal 2 2 2 2 39 2 2 2 8 3" xfId="14035"/>
    <cellStyle name="Normal 2 2 2 2 39 2 2 2 8 4" xfId="14036"/>
    <cellStyle name="Normal 2 2 2 2 39 2 2 2 9" xfId="14037"/>
    <cellStyle name="Normal 2 2 2 2 39 2 2 3" xfId="14038"/>
    <cellStyle name="Normal 2 2 2 2 39 2 2 3 2" xfId="14039"/>
    <cellStyle name="Normal 2 2 2 2 39 2 2 3 2 2" xfId="14040"/>
    <cellStyle name="Normal 2 2 2 2 39 2 2 3 2 3" xfId="14041"/>
    <cellStyle name="Normal 2 2 2 2 39 2 2 3 2 4" xfId="14042"/>
    <cellStyle name="Normal 2 2 2 2 39 2 2 3 3" xfId="14043"/>
    <cellStyle name="Normal 2 2 2 2 39 2 2 3 4" xfId="14044"/>
    <cellStyle name="Normal 2 2 2 2 39 2 2 3 5" xfId="14045"/>
    <cellStyle name="Normal 2 2 2 2 39 2 2 3 6" xfId="14046"/>
    <cellStyle name="Normal 2 2 2 2 39 2 2 4" xfId="14047"/>
    <cellStyle name="Normal 2 2 2 2 39 2 2 5" xfId="14048"/>
    <cellStyle name="Normal 2 2 2 2 39 2 2 6" xfId="14049"/>
    <cellStyle name="Normal 2 2 2 2 39 2 2 7" xfId="14050"/>
    <cellStyle name="Normal 2 2 2 2 39 2 2 8" xfId="14051"/>
    <cellStyle name="Normal 2 2 2 2 39 2 2 8 2" xfId="14052"/>
    <cellStyle name="Normal 2 2 2 2 39 2 2 8 3" xfId="14053"/>
    <cellStyle name="Normal 2 2 2 2 39 2 2 8 4" xfId="14054"/>
    <cellStyle name="Normal 2 2 2 2 39 2 2 9" xfId="14055"/>
    <cellStyle name="Normal 2 2 2 2 39 2 3" xfId="14056"/>
    <cellStyle name="Normal 2 2 2 2 39 2 4" xfId="14057"/>
    <cellStyle name="Normal 2 2 2 2 39 2 5" xfId="14058"/>
    <cellStyle name="Normal 2 2 2 2 39 2 5 2" xfId="14059"/>
    <cellStyle name="Normal 2 2 2 2 39 2 5 2 2" xfId="14060"/>
    <cellStyle name="Normal 2 2 2 2 39 2 5 2 3" xfId="14061"/>
    <cellStyle name="Normal 2 2 2 2 39 2 5 2 4" xfId="14062"/>
    <cellStyle name="Normal 2 2 2 2 39 2 5 3" xfId="14063"/>
    <cellStyle name="Normal 2 2 2 2 39 2 5 4" xfId="14064"/>
    <cellStyle name="Normal 2 2 2 2 39 2 5 5" xfId="14065"/>
    <cellStyle name="Normal 2 2 2 2 39 2 5 6" xfId="14066"/>
    <cellStyle name="Normal 2 2 2 2 39 2 6" xfId="14067"/>
    <cellStyle name="Normal 2 2 2 2 39 2 7" xfId="14068"/>
    <cellStyle name="Normal 2 2 2 2 39 2 8" xfId="14069"/>
    <cellStyle name="Normal 2 2 2 2 39 2 9" xfId="14070"/>
    <cellStyle name="Normal 2 2 2 2 39 3" xfId="14071"/>
    <cellStyle name="Normal 2 2 2 2 39 4" xfId="14072"/>
    <cellStyle name="Normal 2 2 2 2 39 5" xfId="14073"/>
    <cellStyle name="Normal 2 2 2 2 39 5 10" xfId="14074"/>
    <cellStyle name="Normal 2 2 2 2 39 5 11" xfId="14075"/>
    <cellStyle name="Normal 2 2 2 2 39 5 2" xfId="14076"/>
    <cellStyle name="Normal 2 2 2 2 39 5 2 10" xfId="14077"/>
    <cellStyle name="Normal 2 2 2 2 39 5 2 11" xfId="14078"/>
    <cellStyle name="Normal 2 2 2 2 39 5 2 2" xfId="14079"/>
    <cellStyle name="Normal 2 2 2 2 39 5 2 2 2" xfId="14080"/>
    <cellStyle name="Normal 2 2 2 2 39 5 2 2 2 2" xfId="14081"/>
    <cellStyle name="Normal 2 2 2 2 39 5 2 2 2 3" xfId="14082"/>
    <cellStyle name="Normal 2 2 2 2 39 5 2 2 2 4" xfId="14083"/>
    <cellStyle name="Normal 2 2 2 2 39 5 2 2 3" xfId="14084"/>
    <cellStyle name="Normal 2 2 2 2 39 5 2 2 4" xfId="14085"/>
    <cellStyle name="Normal 2 2 2 2 39 5 2 2 5" xfId="14086"/>
    <cellStyle name="Normal 2 2 2 2 39 5 2 2 6" xfId="14087"/>
    <cellStyle name="Normal 2 2 2 2 39 5 2 3" xfId="14088"/>
    <cellStyle name="Normal 2 2 2 2 39 5 2 4" xfId="14089"/>
    <cellStyle name="Normal 2 2 2 2 39 5 2 5" xfId="14090"/>
    <cellStyle name="Normal 2 2 2 2 39 5 2 6" xfId="14091"/>
    <cellStyle name="Normal 2 2 2 2 39 5 2 7" xfId="14092"/>
    <cellStyle name="Normal 2 2 2 2 39 5 2 8" xfId="14093"/>
    <cellStyle name="Normal 2 2 2 2 39 5 2 8 2" xfId="14094"/>
    <cellStyle name="Normal 2 2 2 2 39 5 2 8 3" xfId="14095"/>
    <cellStyle name="Normal 2 2 2 2 39 5 2 8 4" xfId="14096"/>
    <cellStyle name="Normal 2 2 2 2 39 5 2 9" xfId="14097"/>
    <cellStyle name="Normal 2 2 2 2 39 5 3" xfId="14098"/>
    <cellStyle name="Normal 2 2 2 2 39 5 3 2" xfId="14099"/>
    <cellStyle name="Normal 2 2 2 2 39 5 3 2 2" xfId="14100"/>
    <cellStyle name="Normal 2 2 2 2 39 5 3 2 3" xfId="14101"/>
    <cellStyle name="Normal 2 2 2 2 39 5 3 2 4" xfId="14102"/>
    <cellStyle name="Normal 2 2 2 2 39 5 3 3" xfId="14103"/>
    <cellStyle name="Normal 2 2 2 2 39 5 3 4" xfId="14104"/>
    <cellStyle name="Normal 2 2 2 2 39 5 3 5" xfId="14105"/>
    <cellStyle name="Normal 2 2 2 2 39 5 3 6" xfId="14106"/>
    <cellStyle name="Normal 2 2 2 2 39 5 4" xfId="14107"/>
    <cellStyle name="Normal 2 2 2 2 39 5 5" xfId="14108"/>
    <cellStyle name="Normal 2 2 2 2 39 5 6" xfId="14109"/>
    <cellStyle name="Normal 2 2 2 2 39 5 7" xfId="14110"/>
    <cellStyle name="Normal 2 2 2 2 39 5 8" xfId="14111"/>
    <cellStyle name="Normal 2 2 2 2 39 5 8 2" xfId="14112"/>
    <cellStyle name="Normal 2 2 2 2 39 5 8 3" xfId="14113"/>
    <cellStyle name="Normal 2 2 2 2 39 5 8 4" xfId="14114"/>
    <cellStyle name="Normal 2 2 2 2 39 5 9" xfId="14115"/>
    <cellStyle name="Normal 2 2 2 2 39 6" xfId="14116"/>
    <cellStyle name="Normal 2 2 2 2 39 7" xfId="14117"/>
    <cellStyle name="Normal 2 2 2 2 39 7 2" xfId="14118"/>
    <cellStyle name="Normal 2 2 2 2 39 7 2 2" xfId="14119"/>
    <cellStyle name="Normal 2 2 2 2 39 7 2 3" xfId="14120"/>
    <cellStyle name="Normal 2 2 2 2 39 7 2 4" xfId="14121"/>
    <cellStyle name="Normal 2 2 2 2 39 7 3" xfId="14122"/>
    <cellStyle name="Normal 2 2 2 2 39 7 4" xfId="14123"/>
    <cellStyle name="Normal 2 2 2 2 39 7 5" xfId="14124"/>
    <cellStyle name="Normal 2 2 2 2 39 7 6" xfId="14125"/>
    <cellStyle name="Normal 2 2 2 2 39 8" xfId="14126"/>
    <cellStyle name="Normal 2 2 2 2 39 9" xfId="14127"/>
    <cellStyle name="Normal 2 2 2 2 4" xfId="14128"/>
    <cellStyle name="Normal 2 2 2 2 4 2" xfId="14129"/>
    <cellStyle name="Normal 2 2 2 2 40" xfId="14130"/>
    <cellStyle name="Normal 2 2 2 2 41" xfId="14131"/>
    <cellStyle name="Normal 2 2 2 2 42" xfId="14132"/>
    <cellStyle name="Normal 2 2 2 2 43" xfId="14133"/>
    <cellStyle name="Normal 2 2 2 2 44" xfId="14134"/>
    <cellStyle name="Normal 2 2 2 2 45" xfId="14135"/>
    <cellStyle name="Normal 2 2 2 2 46" xfId="14136"/>
    <cellStyle name="Normal 2 2 2 2 47" xfId="14137"/>
    <cellStyle name="Normal 2 2 2 2 47 10" xfId="14138"/>
    <cellStyle name="Normal 2 2 2 2 47 11" xfId="14139"/>
    <cellStyle name="Normal 2 2 2 2 47 11 2" xfId="14140"/>
    <cellStyle name="Normal 2 2 2 2 47 11 3" xfId="14141"/>
    <cellStyle name="Normal 2 2 2 2 47 11 4" xfId="14142"/>
    <cellStyle name="Normal 2 2 2 2 47 12" xfId="14143"/>
    <cellStyle name="Normal 2 2 2 2 47 13" xfId="14144"/>
    <cellStyle name="Normal 2 2 2 2 47 14" xfId="14145"/>
    <cellStyle name="Normal 2 2 2 2 47 2" xfId="14146"/>
    <cellStyle name="Normal 2 2 2 2 47 2 10" xfId="14147"/>
    <cellStyle name="Normal 2 2 2 2 47 2 11" xfId="14148"/>
    <cellStyle name="Normal 2 2 2 2 47 2 2" xfId="14149"/>
    <cellStyle name="Normal 2 2 2 2 47 2 2 10" xfId="14150"/>
    <cellStyle name="Normal 2 2 2 2 47 2 2 11" xfId="14151"/>
    <cellStyle name="Normal 2 2 2 2 47 2 2 2" xfId="14152"/>
    <cellStyle name="Normal 2 2 2 2 47 2 2 2 2" xfId="14153"/>
    <cellStyle name="Normal 2 2 2 2 47 2 2 2 2 2" xfId="14154"/>
    <cellStyle name="Normal 2 2 2 2 47 2 2 2 2 3" xfId="14155"/>
    <cellStyle name="Normal 2 2 2 2 47 2 2 2 2 4" xfId="14156"/>
    <cellStyle name="Normal 2 2 2 2 47 2 2 2 3" xfId="14157"/>
    <cellStyle name="Normal 2 2 2 2 47 2 2 2 4" xfId="14158"/>
    <cellStyle name="Normal 2 2 2 2 47 2 2 2 5" xfId="14159"/>
    <cellStyle name="Normal 2 2 2 2 47 2 2 2 6" xfId="14160"/>
    <cellStyle name="Normal 2 2 2 2 47 2 2 3" xfId="14161"/>
    <cellStyle name="Normal 2 2 2 2 47 2 2 4" xfId="14162"/>
    <cellStyle name="Normal 2 2 2 2 47 2 2 5" xfId="14163"/>
    <cellStyle name="Normal 2 2 2 2 47 2 2 6" xfId="14164"/>
    <cellStyle name="Normal 2 2 2 2 47 2 2 7" xfId="14165"/>
    <cellStyle name="Normal 2 2 2 2 47 2 2 8" xfId="14166"/>
    <cellStyle name="Normal 2 2 2 2 47 2 2 8 2" xfId="14167"/>
    <cellStyle name="Normal 2 2 2 2 47 2 2 8 3" xfId="14168"/>
    <cellStyle name="Normal 2 2 2 2 47 2 2 8 4" xfId="14169"/>
    <cellStyle name="Normal 2 2 2 2 47 2 2 9" xfId="14170"/>
    <cellStyle name="Normal 2 2 2 2 47 2 3" xfId="14171"/>
    <cellStyle name="Normal 2 2 2 2 47 2 3 2" xfId="14172"/>
    <cellStyle name="Normal 2 2 2 2 47 2 3 2 2" xfId="14173"/>
    <cellStyle name="Normal 2 2 2 2 47 2 3 2 3" xfId="14174"/>
    <cellStyle name="Normal 2 2 2 2 47 2 3 2 4" xfId="14175"/>
    <cellStyle name="Normal 2 2 2 2 47 2 3 3" xfId="14176"/>
    <cellStyle name="Normal 2 2 2 2 47 2 3 4" xfId="14177"/>
    <cellStyle name="Normal 2 2 2 2 47 2 3 5" xfId="14178"/>
    <cellStyle name="Normal 2 2 2 2 47 2 3 6" xfId="14179"/>
    <cellStyle name="Normal 2 2 2 2 47 2 4" xfId="14180"/>
    <cellStyle name="Normal 2 2 2 2 47 2 5" xfId="14181"/>
    <cellStyle name="Normal 2 2 2 2 47 2 6" xfId="14182"/>
    <cellStyle name="Normal 2 2 2 2 47 2 7" xfId="14183"/>
    <cellStyle name="Normal 2 2 2 2 47 2 8" xfId="14184"/>
    <cellStyle name="Normal 2 2 2 2 47 2 8 2" xfId="14185"/>
    <cellStyle name="Normal 2 2 2 2 47 2 8 3" xfId="14186"/>
    <cellStyle name="Normal 2 2 2 2 47 2 8 4" xfId="14187"/>
    <cellStyle name="Normal 2 2 2 2 47 2 9" xfId="14188"/>
    <cellStyle name="Normal 2 2 2 2 47 3" xfId="14189"/>
    <cellStyle name="Normal 2 2 2 2 47 4" xfId="14190"/>
    <cellStyle name="Normal 2 2 2 2 47 5" xfId="14191"/>
    <cellStyle name="Normal 2 2 2 2 47 5 2" xfId="14192"/>
    <cellStyle name="Normal 2 2 2 2 47 5 2 2" xfId="14193"/>
    <cellStyle name="Normal 2 2 2 2 47 5 2 3" xfId="14194"/>
    <cellStyle name="Normal 2 2 2 2 47 5 2 4" xfId="14195"/>
    <cellStyle name="Normal 2 2 2 2 47 5 3" xfId="14196"/>
    <cellStyle name="Normal 2 2 2 2 47 5 4" xfId="14197"/>
    <cellStyle name="Normal 2 2 2 2 47 5 5" xfId="14198"/>
    <cellStyle name="Normal 2 2 2 2 47 5 6" xfId="14199"/>
    <cellStyle name="Normal 2 2 2 2 47 6" xfId="14200"/>
    <cellStyle name="Normal 2 2 2 2 47 7" xfId="14201"/>
    <cellStyle name="Normal 2 2 2 2 47 8" xfId="14202"/>
    <cellStyle name="Normal 2 2 2 2 47 9" xfId="14203"/>
    <cellStyle name="Normal 2 2 2 2 48" xfId="14204"/>
    <cellStyle name="Normal 2 2 2 2 49" xfId="14205"/>
    <cellStyle name="Normal 2 2 2 2 49 10" xfId="14206"/>
    <cellStyle name="Normal 2 2 2 2 49 11" xfId="14207"/>
    <cellStyle name="Normal 2 2 2 2 49 2" xfId="14208"/>
    <cellStyle name="Normal 2 2 2 2 49 2 10" xfId="14209"/>
    <cellStyle name="Normal 2 2 2 2 49 2 11" xfId="14210"/>
    <cellStyle name="Normal 2 2 2 2 49 2 2" xfId="14211"/>
    <cellStyle name="Normal 2 2 2 2 49 2 2 2" xfId="14212"/>
    <cellStyle name="Normal 2 2 2 2 49 2 2 2 2" xfId="14213"/>
    <cellStyle name="Normal 2 2 2 2 49 2 2 2 3" xfId="14214"/>
    <cellStyle name="Normal 2 2 2 2 49 2 2 2 4" xfId="14215"/>
    <cellStyle name="Normal 2 2 2 2 49 2 2 3" xfId="14216"/>
    <cellStyle name="Normal 2 2 2 2 49 2 2 4" xfId="14217"/>
    <cellStyle name="Normal 2 2 2 2 49 2 2 5" xfId="14218"/>
    <cellStyle name="Normal 2 2 2 2 49 2 2 6" xfId="14219"/>
    <cellStyle name="Normal 2 2 2 2 49 2 3" xfId="14220"/>
    <cellStyle name="Normal 2 2 2 2 49 2 4" xfId="14221"/>
    <cellStyle name="Normal 2 2 2 2 49 2 5" xfId="14222"/>
    <cellStyle name="Normal 2 2 2 2 49 2 6" xfId="14223"/>
    <cellStyle name="Normal 2 2 2 2 49 2 7" xfId="14224"/>
    <cellStyle name="Normal 2 2 2 2 49 2 8" xfId="14225"/>
    <cellStyle name="Normal 2 2 2 2 49 2 8 2" xfId="14226"/>
    <cellStyle name="Normal 2 2 2 2 49 2 8 3" xfId="14227"/>
    <cellStyle name="Normal 2 2 2 2 49 2 8 4" xfId="14228"/>
    <cellStyle name="Normal 2 2 2 2 49 2 9" xfId="14229"/>
    <cellStyle name="Normal 2 2 2 2 49 3" xfId="14230"/>
    <cellStyle name="Normal 2 2 2 2 49 3 2" xfId="14231"/>
    <cellStyle name="Normal 2 2 2 2 49 3 2 2" xfId="14232"/>
    <cellStyle name="Normal 2 2 2 2 49 3 2 3" xfId="14233"/>
    <cellStyle name="Normal 2 2 2 2 49 3 2 4" xfId="14234"/>
    <cellStyle name="Normal 2 2 2 2 49 3 3" xfId="14235"/>
    <cellStyle name="Normal 2 2 2 2 49 3 4" xfId="14236"/>
    <cellStyle name="Normal 2 2 2 2 49 3 5" xfId="14237"/>
    <cellStyle name="Normal 2 2 2 2 49 3 6" xfId="14238"/>
    <cellStyle name="Normal 2 2 2 2 49 4" xfId="14239"/>
    <cellStyle name="Normal 2 2 2 2 49 5" xfId="14240"/>
    <cellStyle name="Normal 2 2 2 2 49 6" xfId="14241"/>
    <cellStyle name="Normal 2 2 2 2 49 7" xfId="14242"/>
    <cellStyle name="Normal 2 2 2 2 49 8" xfId="14243"/>
    <cellStyle name="Normal 2 2 2 2 49 8 2" xfId="14244"/>
    <cellStyle name="Normal 2 2 2 2 49 8 3" xfId="14245"/>
    <cellStyle name="Normal 2 2 2 2 49 8 4" xfId="14246"/>
    <cellStyle name="Normal 2 2 2 2 49 9" xfId="14247"/>
    <cellStyle name="Normal 2 2 2 2 5" xfId="14248"/>
    <cellStyle name="Normal 2 2 2 2 5 2" xfId="14249"/>
    <cellStyle name="Normal 2 2 2 2 50" xfId="14250"/>
    <cellStyle name="Normal 2 2 2 2 51" xfId="14251"/>
    <cellStyle name="Normal 2 2 2 2 51 2" xfId="14252"/>
    <cellStyle name="Normal 2 2 2 2 51 2 2" xfId="14253"/>
    <cellStyle name="Normal 2 2 2 2 51 2 3" xfId="14254"/>
    <cellStyle name="Normal 2 2 2 2 51 2 4" xfId="14255"/>
    <cellStyle name="Normal 2 2 2 2 51 3" xfId="14256"/>
    <cellStyle name="Normal 2 2 2 2 51 4" xfId="14257"/>
    <cellStyle name="Normal 2 2 2 2 51 5" xfId="14258"/>
    <cellStyle name="Normal 2 2 2 2 51 6" xfId="14259"/>
    <cellStyle name="Normal 2 2 2 2 52" xfId="14260"/>
    <cellStyle name="Normal 2 2 2 2 53" xfId="14261"/>
    <cellStyle name="Normal 2 2 2 2 54" xfId="14262"/>
    <cellStyle name="Normal 2 2 2 2 55" xfId="14263"/>
    <cellStyle name="Normal 2 2 2 2 56" xfId="14264"/>
    <cellStyle name="Normal 2 2 2 2 57" xfId="14265"/>
    <cellStyle name="Normal 2 2 2 2 57 2" xfId="14266"/>
    <cellStyle name="Normal 2 2 2 2 57 3" xfId="14267"/>
    <cellStyle name="Normal 2 2 2 2 57 4" xfId="14268"/>
    <cellStyle name="Normal 2 2 2 2 58" xfId="14269"/>
    <cellStyle name="Normal 2 2 2 2 59" xfId="14270"/>
    <cellStyle name="Normal 2 2 2 2 6" xfId="14271"/>
    <cellStyle name="Normal 2 2 2 2 6 2" xfId="14272"/>
    <cellStyle name="Normal 2 2 2 2 60" xfId="14273"/>
    <cellStyle name="Normal 2 2 2 2 61" xfId="14274"/>
    <cellStyle name="Normal 2 2 2 2 62" xfId="14275"/>
    <cellStyle name="Normal 2 2 2 2 63" xfId="14276"/>
    <cellStyle name="Normal 2 2 2 2 64" xfId="14277"/>
    <cellStyle name="Normal 2 2 2 2 65" xfId="14278"/>
    <cellStyle name="Normal 2 2 2 2 66" xfId="14279"/>
    <cellStyle name="Normal 2 2 2 2 67" xfId="14280"/>
    <cellStyle name="Normal 2 2 2 2 68" xfId="14281"/>
    <cellStyle name="Normal 2 2 2 2 69" xfId="14282"/>
    <cellStyle name="Normal 2 2 2 2 7" xfId="14283"/>
    <cellStyle name="Normal 2 2 2 2 7 2" xfId="14284"/>
    <cellStyle name="Normal 2 2 2 2 70" xfId="14285"/>
    <cellStyle name="Normal 2 2 2 2 71" xfId="14286"/>
    <cellStyle name="Normal 2 2 2 2 72" xfId="14287"/>
    <cellStyle name="Normal 2 2 2 2 72 2" xfId="14288"/>
    <cellStyle name="Normal 2 2 2 2 72 3" xfId="14289"/>
    <cellStyle name="Normal 2 2 2 2 72 4" xfId="14290"/>
    <cellStyle name="Normal 2 2 2 2 72 5" xfId="14291"/>
    <cellStyle name="Normal 2 2 2 2 72 6" xfId="14292"/>
    <cellStyle name="Normal 2 2 2 2 72 7" xfId="14293"/>
    <cellStyle name="Normal 2 2 2 2 73" xfId="14294"/>
    <cellStyle name="Normal 2 2 2 2 74" xfId="14295"/>
    <cellStyle name="Normal 2 2 2 2 75" xfId="14296"/>
    <cellStyle name="Normal 2 2 2 2 76" xfId="14297"/>
    <cellStyle name="Normal 2 2 2 2 77" xfId="14298"/>
    <cellStyle name="Normal 2 2 2 2 78" xfId="14299"/>
    <cellStyle name="Normal 2 2 2 2 79" xfId="14300"/>
    <cellStyle name="Normal 2 2 2 2 8" xfId="14301"/>
    <cellStyle name="Normal 2 2 2 2 8 2" xfId="14302"/>
    <cellStyle name="Normal 2 2 2 2 80" xfId="14303"/>
    <cellStyle name="Normal 2 2 2 2 81" xfId="14304"/>
    <cellStyle name="Normal 2 2 2 2 82" xfId="14305"/>
    <cellStyle name="Normal 2 2 2 2 83" xfId="14306"/>
    <cellStyle name="Normal 2 2 2 2 84" xfId="14307"/>
    <cellStyle name="Normal 2 2 2 2 85" xfId="14308"/>
    <cellStyle name="Normal 2 2 2 2 86" xfId="14309"/>
    <cellStyle name="Normal 2 2 2 2 87" xfId="14310"/>
    <cellStyle name="Normal 2 2 2 2 88" xfId="14311"/>
    <cellStyle name="Normal 2 2 2 2 89" xfId="14312"/>
    <cellStyle name="Normal 2 2 2 2 9" xfId="14313"/>
    <cellStyle name="Normal 2 2 2 2 9 2" xfId="14314"/>
    <cellStyle name="Normal 2 2 2 2 90" xfId="14315"/>
    <cellStyle name="Normal 2 2 2 2 91" xfId="14316"/>
    <cellStyle name="Normal 2 2 2 2 92" xfId="14317"/>
    <cellStyle name="Normal 2 2 2 2 93" xfId="14318"/>
    <cellStyle name="Normal 2 2 2 2 94" xfId="14319"/>
    <cellStyle name="Normal 2 2 2 2 95" xfId="14320"/>
    <cellStyle name="Normal 2 2 2 2 96" xfId="14321"/>
    <cellStyle name="Normal 2 2 2 2 97" xfId="14322"/>
    <cellStyle name="Normal 2 2 2 2 98" xfId="14323"/>
    <cellStyle name="Normal 2 2 2 2 99" xfId="14324"/>
    <cellStyle name="Normal 2 2 2 20" xfId="14325"/>
    <cellStyle name="Normal 2 2 2 20 2" xfId="14326"/>
    <cellStyle name="Normal 2 2 2 21" xfId="14327"/>
    <cellStyle name="Normal 2 2 2 21 2" xfId="14328"/>
    <cellStyle name="Normal 2 2 2 22" xfId="14329"/>
    <cellStyle name="Normal 2 2 2 22 2" xfId="14330"/>
    <cellStyle name="Normal 2 2 2 23" xfId="14331"/>
    <cellStyle name="Normal 2 2 2 23 2" xfId="14332"/>
    <cellStyle name="Normal 2 2 2 24" xfId="14333"/>
    <cellStyle name="Normal 2 2 2 24 2" xfId="14334"/>
    <cellStyle name="Normal 2 2 2 25" xfId="14335"/>
    <cellStyle name="Normal 2 2 2 25 2" xfId="14336"/>
    <cellStyle name="Normal 2 2 2 26" xfId="14337"/>
    <cellStyle name="Normal 2 2 2 26 2" xfId="14338"/>
    <cellStyle name="Normal 2 2 2 27" xfId="14339"/>
    <cellStyle name="Normal 2 2 2 27 2" xfId="14340"/>
    <cellStyle name="Normal 2 2 2 28" xfId="14341"/>
    <cellStyle name="Normal 2 2 2 28 2" xfId="14342"/>
    <cellStyle name="Normal 2 2 2 28 2 2" xfId="14343"/>
    <cellStyle name="Normal 2 2 2 28 2 2 2" xfId="14344"/>
    <cellStyle name="Normal 2 2 2 28 3" xfId="14345"/>
    <cellStyle name="Normal 2 2 2 28 4" xfId="14346"/>
    <cellStyle name="Normal 2 2 2 28 5" xfId="14347"/>
    <cellStyle name="Normal 2 2 2 28 6" xfId="14348"/>
    <cellStyle name="Normal 2 2 2 28 7" xfId="14349"/>
    <cellStyle name="Normal 2 2 2 29" xfId="14350"/>
    <cellStyle name="Normal 2 2 2 29 2" xfId="14351"/>
    <cellStyle name="Normal 2 2 2 29 2 2" xfId="14352"/>
    <cellStyle name="Normal 2 2 2 29 2 3" xfId="14353"/>
    <cellStyle name="Normal 2 2 2 29 3" xfId="14354"/>
    <cellStyle name="Normal 2 2 2 3" xfId="14355"/>
    <cellStyle name="Normal 2 2 2 3 10" xfId="14356"/>
    <cellStyle name="Normal 2 2 2 3 11" xfId="14357"/>
    <cellStyle name="Normal 2 2 2 3 12" xfId="14358"/>
    <cellStyle name="Normal 2 2 2 3 13" xfId="14359"/>
    <cellStyle name="Normal 2 2 2 3 14" xfId="14360"/>
    <cellStyle name="Normal 2 2 2 3 15" xfId="14361"/>
    <cellStyle name="Normal 2 2 2 3 16" xfId="14362"/>
    <cellStyle name="Normal 2 2 2 3 17" xfId="14363"/>
    <cellStyle name="Normal 2 2 2 3 18" xfId="14364"/>
    <cellStyle name="Normal 2 2 2 3 2" xfId="14365"/>
    <cellStyle name="Normal 2 2 2 3 2 10" xfId="14366"/>
    <cellStyle name="Normal 2 2 2 3 2 11" xfId="14367"/>
    <cellStyle name="Normal 2 2 2 3 2 12" xfId="14368"/>
    <cellStyle name="Normal 2 2 2 3 2 13" xfId="14369"/>
    <cellStyle name="Normal 2 2 2 3 2 14" xfId="14370"/>
    <cellStyle name="Normal 2 2 2 3 2 15" xfId="14371"/>
    <cellStyle name="Normal 2 2 2 3 2 16" xfId="14372"/>
    <cellStyle name="Normal 2 2 2 3 2 17" xfId="14373"/>
    <cellStyle name="Normal 2 2 2 3 2 2" xfId="14374"/>
    <cellStyle name="Normal 2 2 2 3 2 2 2" xfId="14375"/>
    <cellStyle name="Normal 2 2 2 3 2 2 2 2" xfId="14376"/>
    <cellStyle name="Normal 2 2 2 3 2 2 2 3" xfId="14377"/>
    <cellStyle name="Normal 2 2 2 3 2 2 2 4" xfId="14378"/>
    <cellStyle name="Normal 2 2 2 3 2 2 2 5" xfId="14379"/>
    <cellStyle name="Normal 2 2 2 3 2 2 2 6" xfId="14380"/>
    <cellStyle name="Normal 2 2 2 3 2 2 2 7" xfId="14381"/>
    <cellStyle name="Normal 2 2 2 3 2 2 2 8" xfId="14382"/>
    <cellStyle name="Normal 2 2 2 3 2 2 2 9" xfId="14383"/>
    <cellStyle name="Normal 2 2 2 3 2 2 3" xfId="14384"/>
    <cellStyle name="Normal 2 2 2 3 2 2 4" xfId="14385"/>
    <cellStyle name="Normal 2 2 2 3 2 2 5" xfId="14386"/>
    <cellStyle name="Normal 2 2 2 3 2 2 6" xfId="14387"/>
    <cellStyle name="Normal 2 2 2 3 2 2 7" xfId="14388"/>
    <cellStyle name="Normal 2 2 2 3 2 2 8" xfId="14389"/>
    <cellStyle name="Normal 2 2 2 3 2 2 9" xfId="14390"/>
    <cellStyle name="Normal 2 2 2 3 2 3" xfId="14391"/>
    <cellStyle name="Normal 2 2 2 3 2 4" xfId="14392"/>
    <cellStyle name="Normal 2 2 2 3 2 5" xfId="14393"/>
    <cellStyle name="Normal 2 2 2 3 2 6" xfId="14394"/>
    <cellStyle name="Normal 2 2 2 3 2 7" xfId="14395"/>
    <cellStyle name="Normal 2 2 2 3 2 8" xfId="14396"/>
    <cellStyle name="Normal 2 2 2 3 2 9" xfId="14397"/>
    <cellStyle name="Normal 2 2 2 3 3" xfId="14398"/>
    <cellStyle name="Normal 2 2 2 3 3 2" xfId="14399"/>
    <cellStyle name="Normal 2 2 2 3 3 2 2" xfId="14400"/>
    <cellStyle name="Normal 2 2 2 3 3 2 3" xfId="14401"/>
    <cellStyle name="Normal 2 2 2 3 3 2 4" xfId="14402"/>
    <cellStyle name="Normal 2 2 2 3 3 2 5" xfId="14403"/>
    <cellStyle name="Normal 2 2 2 3 3 2 6" xfId="14404"/>
    <cellStyle name="Normal 2 2 2 3 3 2 7" xfId="14405"/>
    <cellStyle name="Normal 2 2 2 3 3 2 8" xfId="14406"/>
    <cellStyle name="Normal 2 2 2 3 3 2 9" xfId="14407"/>
    <cellStyle name="Normal 2 2 2 3 3 3" xfId="14408"/>
    <cellStyle name="Normal 2 2 2 3 3 4" xfId="14409"/>
    <cellStyle name="Normal 2 2 2 3 3 5" xfId="14410"/>
    <cellStyle name="Normal 2 2 2 3 3 6" xfId="14411"/>
    <cellStyle name="Normal 2 2 2 3 3 7" xfId="14412"/>
    <cellStyle name="Normal 2 2 2 3 3 8" xfId="14413"/>
    <cellStyle name="Normal 2 2 2 3 3 9" xfId="14414"/>
    <cellStyle name="Normal 2 2 2 3 4" xfId="14415"/>
    <cellStyle name="Normal 2 2 2 3 5" xfId="14416"/>
    <cellStyle name="Normal 2 2 2 3 6" xfId="14417"/>
    <cellStyle name="Normal 2 2 2 3 7" xfId="14418"/>
    <cellStyle name="Normal 2 2 2 3 8" xfId="14419"/>
    <cellStyle name="Normal 2 2 2 3 9" xfId="14420"/>
    <cellStyle name="Normal 2 2 2 30" xfId="14421"/>
    <cellStyle name="Normal 2 2 2 30 2" xfId="14422"/>
    <cellStyle name="Normal 2 2 2 31" xfId="14423"/>
    <cellStyle name="Normal 2 2 2 31 2" xfId="14424"/>
    <cellStyle name="Normal 2 2 2 32" xfId="14425"/>
    <cellStyle name="Normal 2 2 2 32 2" xfId="14426"/>
    <cellStyle name="Normal 2 2 2 33" xfId="14427"/>
    <cellStyle name="Normal 2 2 2 34" xfId="14428"/>
    <cellStyle name="Normal 2 2 2 35" xfId="14429"/>
    <cellStyle name="Normal 2 2 2 36" xfId="14430"/>
    <cellStyle name="Normal 2 2 2 37" xfId="14431"/>
    <cellStyle name="Normal 2 2 2 38" xfId="14432"/>
    <cellStyle name="Normal 2 2 2 38 10" xfId="14433"/>
    <cellStyle name="Normal 2 2 2 38 11" xfId="14434"/>
    <cellStyle name="Normal 2 2 2 38 11 10" xfId="14435"/>
    <cellStyle name="Normal 2 2 2 38 11 11" xfId="14436"/>
    <cellStyle name="Normal 2 2 2 38 11 11 2" xfId="14437"/>
    <cellStyle name="Normal 2 2 2 38 11 11 3" xfId="14438"/>
    <cellStyle name="Normal 2 2 2 38 11 11 4" xfId="14439"/>
    <cellStyle name="Normal 2 2 2 38 11 12" xfId="14440"/>
    <cellStyle name="Normal 2 2 2 38 11 13" xfId="14441"/>
    <cellStyle name="Normal 2 2 2 38 11 14" xfId="14442"/>
    <cellStyle name="Normal 2 2 2 38 11 2" xfId="14443"/>
    <cellStyle name="Normal 2 2 2 38 11 2 10" xfId="14444"/>
    <cellStyle name="Normal 2 2 2 38 11 2 11" xfId="14445"/>
    <cellStyle name="Normal 2 2 2 38 11 2 2" xfId="14446"/>
    <cellStyle name="Normal 2 2 2 38 11 2 2 10" xfId="14447"/>
    <cellStyle name="Normal 2 2 2 38 11 2 2 11" xfId="14448"/>
    <cellStyle name="Normal 2 2 2 38 11 2 2 2" xfId="14449"/>
    <cellStyle name="Normal 2 2 2 38 11 2 2 2 2" xfId="14450"/>
    <cellStyle name="Normal 2 2 2 38 11 2 2 2 2 2" xfId="14451"/>
    <cellStyle name="Normal 2 2 2 38 11 2 2 2 2 3" xfId="14452"/>
    <cellStyle name="Normal 2 2 2 38 11 2 2 2 2 4" xfId="14453"/>
    <cellStyle name="Normal 2 2 2 38 11 2 2 2 3" xfId="14454"/>
    <cellStyle name="Normal 2 2 2 38 11 2 2 2 4" xfId="14455"/>
    <cellStyle name="Normal 2 2 2 38 11 2 2 2 5" xfId="14456"/>
    <cellStyle name="Normal 2 2 2 38 11 2 2 2 6" xfId="14457"/>
    <cellStyle name="Normal 2 2 2 38 11 2 2 3" xfId="14458"/>
    <cellStyle name="Normal 2 2 2 38 11 2 2 4" xfId="14459"/>
    <cellStyle name="Normal 2 2 2 38 11 2 2 5" xfId="14460"/>
    <cellStyle name="Normal 2 2 2 38 11 2 2 6" xfId="14461"/>
    <cellStyle name="Normal 2 2 2 38 11 2 2 7" xfId="14462"/>
    <cellStyle name="Normal 2 2 2 38 11 2 2 8" xfId="14463"/>
    <cellStyle name="Normal 2 2 2 38 11 2 2 8 2" xfId="14464"/>
    <cellStyle name="Normal 2 2 2 38 11 2 2 8 3" xfId="14465"/>
    <cellStyle name="Normal 2 2 2 38 11 2 2 8 4" xfId="14466"/>
    <cellStyle name="Normal 2 2 2 38 11 2 2 9" xfId="14467"/>
    <cellStyle name="Normal 2 2 2 38 11 2 3" xfId="14468"/>
    <cellStyle name="Normal 2 2 2 38 11 2 3 2" xfId="14469"/>
    <cellStyle name="Normal 2 2 2 38 11 2 3 2 2" xfId="14470"/>
    <cellStyle name="Normal 2 2 2 38 11 2 3 2 3" xfId="14471"/>
    <cellStyle name="Normal 2 2 2 38 11 2 3 2 4" xfId="14472"/>
    <cellStyle name="Normal 2 2 2 38 11 2 3 3" xfId="14473"/>
    <cellStyle name="Normal 2 2 2 38 11 2 3 4" xfId="14474"/>
    <cellStyle name="Normal 2 2 2 38 11 2 3 5" xfId="14475"/>
    <cellStyle name="Normal 2 2 2 38 11 2 3 6" xfId="14476"/>
    <cellStyle name="Normal 2 2 2 38 11 2 4" xfId="14477"/>
    <cellStyle name="Normal 2 2 2 38 11 2 5" xfId="14478"/>
    <cellStyle name="Normal 2 2 2 38 11 2 6" xfId="14479"/>
    <cellStyle name="Normal 2 2 2 38 11 2 7" xfId="14480"/>
    <cellStyle name="Normal 2 2 2 38 11 2 8" xfId="14481"/>
    <cellStyle name="Normal 2 2 2 38 11 2 8 2" xfId="14482"/>
    <cellStyle name="Normal 2 2 2 38 11 2 8 3" xfId="14483"/>
    <cellStyle name="Normal 2 2 2 38 11 2 8 4" xfId="14484"/>
    <cellStyle name="Normal 2 2 2 38 11 2 9" xfId="14485"/>
    <cellStyle name="Normal 2 2 2 38 11 3" xfId="14486"/>
    <cellStyle name="Normal 2 2 2 38 11 4" xfId="14487"/>
    <cellStyle name="Normal 2 2 2 38 11 5" xfId="14488"/>
    <cellStyle name="Normal 2 2 2 38 11 5 2" xfId="14489"/>
    <cellStyle name="Normal 2 2 2 38 11 5 2 2" xfId="14490"/>
    <cellStyle name="Normal 2 2 2 38 11 5 2 3" xfId="14491"/>
    <cellStyle name="Normal 2 2 2 38 11 5 2 4" xfId="14492"/>
    <cellStyle name="Normal 2 2 2 38 11 5 3" xfId="14493"/>
    <cellStyle name="Normal 2 2 2 38 11 5 4" xfId="14494"/>
    <cellStyle name="Normal 2 2 2 38 11 5 5" xfId="14495"/>
    <cellStyle name="Normal 2 2 2 38 11 5 6" xfId="14496"/>
    <cellStyle name="Normal 2 2 2 38 11 6" xfId="14497"/>
    <cellStyle name="Normal 2 2 2 38 11 7" xfId="14498"/>
    <cellStyle name="Normal 2 2 2 38 11 8" xfId="14499"/>
    <cellStyle name="Normal 2 2 2 38 11 9" xfId="14500"/>
    <cellStyle name="Normal 2 2 2 38 12" xfId="14501"/>
    <cellStyle name="Normal 2 2 2 38 13" xfId="14502"/>
    <cellStyle name="Normal 2 2 2 38 13 10" xfId="14503"/>
    <cellStyle name="Normal 2 2 2 38 13 11" xfId="14504"/>
    <cellStyle name="Normal 2 2 2 38 13 2" xfId="14505"/>
    <cellStyle name="Normal 2 2 2 38 13 2 10" xfId="14506"/>
    <cellStyle name="Normal 2 2 2 38 13 2 11" xfId="14507"/>
    <cellStyle name="Normal 2 2 2 38 13 2 2" xfId="14508"/>
    <cellStyle name="Normal 2 2 2 38 13 2 2 2" xfId="14509"/>
    <cellStyle name="Normal 2 2 2 38 13 2 2 2 2" xfId="14510"/>
    <cellStyle name="Normal 2 2 2 38 13 2 2 2 3" xfId="14511"/>
    <cellStyle name="Normal 2 2 2 38 13 2 2 2 4" xfId="14512"/>
    <cellStyle name="Normal 2 2 2 38 13 2 2 3" xfId="14513"/>
    <cellStyle name="Normal 2 2 2 38 13 2 2 4" xfId="14514"/>
    <cellStyle name="Normal 2 2 2 38 13 2 2 5" xfId="14515"/>
    <cellStyle name="Normal 2 2 2 38 13 2 2 6" xfId="14516"/>
    <cellStyle name="Normal 2 2 2 38 13 2 3" xfId="14517"/>
    <cellStyle name="Normal 2 2 2 38 13 2 4" xfId="14518"/>
    <cellStyle name="Normal 2 2 2 38 13 2 5" xfId="14519"/>
    <cellStyle name="Normal 2 2 2 38 13 2 6" xfId="14520"/>
    <cellStyle name="Normal 2 2 2 38 13 2 7" xfId="14521"/>
    <cellStyle name="Normal 2 2 2 38 13 2 8" xfId="14522"/>
    <cellStyle name="Normal 2 2 2 38 13 2 8 2" xfId="14523"/>
    <cellStyle name="Normal 2 2 2 38 13 2 8 3" xfId="14524"/>
    <cellStyle name="Normal 2 2 2 38 13 2 8 4" xfId="14525"/>
    <cellStyle name="Normal 2 2 2 38 13 2 9" xfId="14526"/>
    <cellStyle name="Normal 2 2 2 38 13 3" xfId="14527"/>
    <cellStyle name="Normal 2 2 2 38 13 3 2" xfId="14528"/>
    <cellStyle name="Normal 2 2 2 38 13 3 2 2" xfId="14529"/>
    <cellStyle name="Normal 2 2 2 38 13 3 2 3" xfId="14530"/>
    <cellStyle name="Normal 2 2 2 38 13 3 2 4" xfId="14531"/>
    <cellStyle name="Normal 2 2 2 38 13 3 3" xfId="14532"/>
    <cellStyle name="Normal 2 2 2 38 13 3 4" xfId="14533"/>
    <cellStyle name="Normal 2 2 2 38 13 3 5" xfId="14534"/>
    <cellStyle name="Normal 2 2 2 38 13 3 6" xfId="14535"/>
    <cellStyle name="Normal 2 2 2 38 13 4" xfId="14536"/>
    <cellStyle name="Normal 2 2 2 38 13 5" xfId="14537"/>
    <cellStyle name="Normal 2 2 2 38 13 6" xfId="14538"/>
    <cellStyle name="Normal 2 2 2 38 13 7" xfId="14539"/>
    <cellStyle name="Normal 2 2 2 38 13 8" xfId="14540"/>
    <cellStyle name="Normal 2 2 2 38 13 8 2" xfId="14541"/>
    <cellStyle name="Normal 2 2 2 38 13 8 3" xfId="14542"/>
    <cellStyle name="Normal 2 2 2 38 13 8 4" xfId="14543"/>
    <cellStyle name="Normal 2 2 2 38 13 9" xfId="14544"/>
    <cellStyle name="Normal 2 2 2 38 14" xfId="14545"/>
    <cellStyle name="Normal 2 2 2 38 15" xfId="14546"/>
    <cellStyle name="Normal 2 2 2 38 15 2" xfId="14547"/>
    <cellStyle name="Normal 2 2 2 38 15 2 2" xfId="14548"/>
    <cellStyle name="Normal 2 2 2 38 15 2 3" xfId="14549"/>
    <cellStyle name="Normal 2 2 2 38 15 2 4" xfId="14550"/>
    <cellStyle name="Normal 2 2 2 38 15 3" xfId="14551"/>
    <cellStyle name="Normal 2 2 2 38 15 4" xfId="14552"/>
    <cellStyle name="Normal 2 2 2 38 15 5" xfId="14553"/>
    <cellStyle name="Normal 2 2 2 38 15 6" xfId="14554"/>
    <cellStyle name="Normal 2 2 2 38 16" xfId="14555"/>
    <cellStyle name="Normal 2 2 2 38 17" xfId="14556"/>
    <cellStyle name="Normal 2 2 2 38 18" xfId="14557"/>
    <cellStyle name="Normal 2 2 2 38 19" xfId="14558"/>
    <cellStyle name="Normal 2 2 2 38 2" xfId="14559"/>
    <cellStyle name="Normal 2 2 2 38 2 10" xfId="14560"/>
    <cellStyle name="Normal 2 2 2 38 2 11" xfId="14561"/>
    <cellStyle name="Normal 2 2 2 38 2 12" xfId="14562"/>
    <cellStyle name="Normal 2 2 2 38 2 13" xfId="14563"/>
    <cellStyle name="Normal 2 2 2 38 2 13 2" xfId="14564"/>
    <cellStyle name="Normal 2 2 2 38 2 13 3" xfId="14565"/>
    <cellStyle name="Normal 2 2 2 38 2 13 4" xfId="14566"/>
    <cellStyle name="Normal 2 2 2 38 2 14" xfId="14567"/>
    <cellStyle name="Normal 2 2 2 38 2 15" xfId="14568"/>
    <cellStyle name="Normal 2 2 2 38 2 16" xfId="14569"/>
    <cellStyle name="Normal 2 2 2 38 2 2" xfId="14570"/>
    <cellStyle name="Normal 2 2 2 38 2 2 10" xfId="14571"/>
    <cellStyle name="Normal 2 2 2 38 2 2 11" xfId="14572"/>
    <cellStyle name="Normal 2 2 2 38 2 2 11 2" xfId="14573"/>
    <cellStyle name="Normal 2 2 2 38 2 2 11 3" xfId="14574"/>
    <cellStyle name="Normal 2 2 2 38 2 2 11 4" xfId="14575"/>
    <cellStyle name="Normal 2 2 2 38 2 2 12" xfId="14576"/>
    <cellStyle name="Normal 2 2 2 38 2 2 13" xfId="14577"/>
    <cellStyle name="Normal 2 2 2 38 2 2 14" xfId="14578"/>
    <cellStyle name="Normal 2 2 2 38 2 2 2" xfId="14579"/>
    <cellStyle name="Normal 2 2 2 38 2 2 2 10" xfId="14580"/>
    <cellStyle name="Normal 2 2 2 38 2 2 2 11" xfId="14581"/>
    <cellStyle name="Normal 2 2 2 38 2 2 2 2" xfId="14582"/>
    <cellStyle name="Normal 2 2 2 38 2 2 2 2 10" xfId="14583"/>
    <cellStyle name="Normal 2 2 2 38 2 2 2 2 11" xfId="14584"/>
    <cellStyle name="Normal 2 2 2 38 2 2 2 2 2" xfId="14585"/>
    <cellStyle name="Normal 2 2 2 38 2 2 2 2 2 2" xfId="14586"/>
    <cellStyle name="Normal 2 2 2 38 2 2 2 2 2 2 2" xfId="14587"/>
    <cellStyle name="Normal 2 2 2 38 2 2 2 2 2 2 3" xfId="14588"/>
    <cellStyle name="Normal 2 2 2 38 2 2 2 2 2 2 4" xfId="14589"/>
    <cellStyle name="Normal 2 2 2 38 2 2 2 2 2 3" xfId="14590"/>
    <cellStyle name="Normal 2 2 2 38 2 2 2 2 2 4" xfId="14591"/>
    <cellStyle name="Normal 2 2 2 38 2 2 2 2 2 5" xfId="14592"/>
    <cellStyle name="Normal 2 2 2 38 2 2 2 2 2 6" xfId="14593"/>
    <cellStyle name="Normal 2 2 2 38 2 2 2 2 3" xfId="14594"/>
    <cellStyle name="Normal 2 2 2 38 2 2 2 2 4" xfId="14595"/>
    <cellStyle name="Normal 2 2 2 38 2 2 2 2 5" xfId="14596"/>
    <cellStyle name="Normal 2 2 2 38 2 2 2 2 6" xfId="14597"/>
    <cellStyle name="Normal 2 2 2 38 2 2 2 2 7" xfId="14598"/>
    <cellStyle name="Normal 2 2 2 38 2 2 2 2 8" xfId="14599"/>
    <cellStyle name="Normal 2 2 2 38 2 2 2 2 8 2" xfId="14600"/>
    <cellStyle name="Normal 2 2 2 38 2 2 2 2 8 3" xfId="14601"/>
    <cellStyle name="Normal 2 2 2 38 2 2 2 2 8 4" xfId="14602"/>
    <cellStyle name="Normal 2 2 2 38 2 2 2 2 9" xfId="14603"/>
    <cellStyle name="Normal 2 2 2 38 2 2 2 3" xfId="14604"/>
    <cellStyle name="Normal 2 2 2 38 2 2 2 3 2" xfId="14605"/>
    <cellStyle name="Normal 2 2 2 38 2 2 2 3 2 2" xfId="14606"/>
    <cellStyle name="Normal 2 2 2 38 2 2 2 3 2 3" xfId="14607"/>
    <cellStyle name="Normal 2 2 2 38 2 2 2 3 2 4" xfId="14608"/>
    <cellStyle name="Normal 2 2 2 38 2 2 2 3 3" xfId="14609"/>
    <cellStyle name="Normal 2 2 2 38 2 2 2 3 4" xfId="14610"/>
    <cellStyle name="Normal 2 2 2 38 2 2 2 3 5" xfId="14611"/>
    <cellStyle name="Normal 2 2 2 38 2 2 2 3 6" xfId="14612"/>
    <cellStyle name="Normal 2 2 2 38 2 2 2 4" xfId="14613"/>
    <cellStyle name="Normal 2 2 2 38 2 2 2 5" xfId="14614"/>
    <cellStyle name="Normal 2 2 2 38 2 2 2 6" xfId="14615"/>
    <cellStyle name="Normal 2 2 2 38 2 2 2 7" xfId="14616"/>
    <cellStyle name="Normal 2 2 2 38 2 2 2 8" xfId="14617"/>
    <cellStyle name="Normal 2 2 2 38 2 2 2 8 2" xfId="14618"/>
    <cellStyle name="Normal 2 2 2 38 2 2 2 8 3" xfId="14619"/>
    <cellStyle name="Normal 2 2 2 38 2 2 2 8 4" xfId="14620"/>
    <cellStyle name="Normal 2 2 2 38 2 2 2 9" xfId="14621"/>
    <cellStyle name="Normal 2 2 2 38 2 2 3" xfId="14622"/>
    <cellStyle name="Normal 2 2 2 38 2 2 4" xfId="14623"/>
    <cellStyle name="Normal 2 2 2 38 2 2 5" xfId="14624"/>
    <cellStyle name="Normal 2 2 2 38 2 2 5 2" xfId="14625"/>
    <cellStyle name="Normal 2 2 2 38 2 2 5 2 2" xfId="14626"/>
    <cellStyle name="Normal 2 2 2 38 2 2 5 2 3" xfId="14627"/>
    <cellStyle name="Normal 2 2 2 38 2 2 5 2 4" xfId="14628"/>
    <cellStyle name="Normal 2 2 2 38 2 2 5 3" xfId="14629"/>
    <cellStyle name="Normal 2 2 2 38 2 2 5 4" xfId="14630"/>
    <cellStyle name="Normal 2 2 2 38 2 2 5 5" xfId="14631"/>
    <cellStyle name="Normal 2 2 2 38 2 2 5 6" xfId="14632"/>
    <cellStyle name="Normal 2 2 2 38 2 2 6" xfId="14633"/>
    <cellStyle name="Normal 2 2 2 38 2 2 7" xfId="14634"/>
    <cellStyle name="Normal 2 2 2 38 2 2 8" xfId="14635"/>
    <cellStyle name="Normal 2 2 2 38 2 2 9" xfId="14636"/>
    <cellStyle name="Normal 2 2 2 38 2 3" xfId="14637"/>
    <cellStyle name="Normal 2 2 2 38 2 4" xfId="14638"/>
    <cellStyle name="Normal 2 2 2 38 2 5" xfId="14639"/>
    <cellStyle name="Normal 2 2 2 38 2 5 10" xfId="14640"/>
    <cellStyle name="Normal 2 2 2 38 2 5 11" xfId="14641"/>
    <cellStyle name="Normal 2 2 2 38 2 5 2" xfId="14642"/>
    <cellStyle name="Normal 2 2 2 38 2 5 2 10" xfId="14643"/>
    <cellStyle name="Normal 2 2 2 38 2 5 2 11" xfId="14644"/>
    <cellStyle name="Normal 2 2 2 38 2 5 2 2" xfId="14645"/>
    <cellStyle name="Normal 2 2 2 38 2 5 2 2 2" xfId="14646"/>
    <cellStyle name="Normal 2 2 2 38 2 5 2 2 2 2" xfId="14647"/>
    <cellStyle name="Normal 2 2 2 38 2 5 2 2 2 3" xfId="14648"/>
    <cellStyle name="Normal 2 2 2 38 2 5 2 2 2 4" xfId="14649"/>
    <cellStyle name="Normal 2 2 2 38 2 5 2 2 3" xfId="14650"/>
    <cellStyle name="Normal 2 2 2 38 2 5 2 2 4" xfId="14651"/>
    <cellStyle name="Normal 2 2 2 38 2 5 2 2 5" xfId="14652"/>
    <cellStyle name="Normal 2 2 2 38 2 5 2 2 6" xfId="14653"/>
    <cellStyle name="Normal 2 2 2 38 2 5 2 3" xfId="14654"/>
    <cellStyle name="Normal 2 2 2 38 2 5 2 4" xfId="14655"/>
    <cellStyle name="Normal 2 2 2 38 2 5 2 5" xfId="14656"/>
    <cellStyle name="Normal 2 2 2 38 2 5 2 6" xfId="14657"/>
    <cellStyle name="Normal 2 2 2 38 2 5 2 7" xfId="14658"/>
    <cellStyle name="Normal 2 2 2 38 2 5 2 8" xfId="14659"/>
    <cellStyle name="Normal 2 2 2 38 2 5 2 8 2" xfId="14660"/>
    <cellStyle name="Normal 2 2 2 38 2 5 2 8 3" xfId="14661"/>
    <cellStyle name="Normal 2 2 2 38 2 5 2 8 4" xfId="14662"/>
    <cellStyle name="Normal 2 2 2 38 2 5 2 9" xfId="14663"/>
    <cellStyle name="Normal 2 2 2 38 2 5 3" xfId="14664"/>
    <cellStyle name="Normal 2 2 2 38 2 5 3 2" xfId="14665"/>
    <cellStyle name="Normal 2 2 2 38 2 5 3 2 2" xfId="14666"/>
    <cellStyle name="Normal 2 2 2 38 2 5 3 2 3" xfId="14667"/>
    <cellStyle name="Normal 2 2 2 38 2 5 3 2 4" xfId="14668"/>
    <cellStyle name="Normal 2 2 2 38 2 5 3 3" xfId="14669"/>
    <cellStyle name="Normal 2 2 2 38 2 5 3 4" xfId="14670"/>
    <cellStyle name="Normal 2 2 2 38 2 5 3 5" xfId="14671"/>
    <cellStyle name="Normal 2 2 2 38 2 5 3 6" xfId="14672"/>
    <cellStyle name="Normal 2 2 2 38 2 5 4" xfId="14673"/>
    <cellStyle name="Normal 2 2 2 38 2 5 5" xfId="14674"/>
    <cellStyle name="Normal 2 2 2 38 2 5 6" xfId="14675"/>
    <cellStyle name="Normal 2 2 2 38 2 5 7" xfId="14676"/>
    <cellStyle name="Normal 2 2 2 38 2 5 8" xfId="14677"/>
    <cellStyle name="Normal 2 2 2 38 2 5 8 2" xfId="14678"/>
    <cellStyle name="Normal 2 2 2 38 2 5 8 3" xfId="14679"/>
    <cellStyle name="Normal 2 2 2 38 2 5 8 4" xfId="14680"/>
    <cellStyle name="Normal 2 2 2 38 2 5 9" xfId="14681"/>
    <cellStyle name="Normal 2 2 2 38 2 6" xfId="14682"/>
    <cellStyle name="Normal 2 2 2 38 2 7" xfId="14683"/>
    <cellStyle name="Normal 2 2 2 38 2 7 2" xfId="14684"/>
    <cellStyle name="Normal 2 2 2 38 2 7 2 2" xfId="14685"/>
    <cellStyle name="Normal 2 2 2 38 2 7 2 3" xfId="14686"/>
    <cellStyle name="Normal 2 2 2 38 2 7 2 4" xfId="14687"/>
    <cellStyle name="Normal 2 2 2 38 2 7 3" xfId="14688"/>
    <cellStyle name="Normal 2 2 2 38 2 7 4" xfId="14689"/>
    <cellStyle name="Normal 2 2 2 38 2 7 5" xfId="14690"/>
    <cellStyle name="Normal 2 2 2 38 2 7 6" xfId="14691"/>
    <cellStyle name="Normal 2 2 2 38 2 8" xfId="14692"/>
    <cellStyle name="Normal 2 2 2 38 2 9" xfId="14693"/>
    <cellStyle name="Normal 2 2 2 38 20" xfId="14694"/>
    <cellStyle name="Normal 2 2 2 38 21" xfId="14695"/>
    <cellStyle name="Normal 2 2 2 38 21 2" xfId="14696"/>
    <cellStyle name="Normal 2 2 2 38 21 3" xfId="14697"/>
    <cellStyle name="Normal 2 2 2 38 21 4" xfId="14698"/>
    <cellStyle name="Normal 2 2 2 38 22" xfId="14699"/>
    <cellStyle name="Normal 2 2 2 38 23" xfId="14700"/>
    <cellStyle name="Normal 2 2 2 38 24" xfId="14701"/>
    <cellStyle name="Normal 2 2 2 38 3" xfId="14702"/>
    <cellStyle name="Normal 2 2 2 38 4" xfId="14703"/>
    <cellStyle name="Normal 2 2 2 38 5" xfId="14704"/>
    <cellStyle name="Normal 2 2 2 38 6" xfId="14705"/>
    <cellStyle name="Normal 2 2 2 38 7" xfId="14706"/>
    <cellStyle name="Normal 2 2 2 38 8" xfId="14707"/>
    <cellStyle name="Normal 2 2 2 38 9" xfId="14708"/>
    <cellStyle name="Normal 2 2 2 39" xfId="14709"/>
    <cellStyle name="Normal 2 2 2 39 10" xfId="14710"/>
    <cellStyle name="Normal 2 2 2 39 11" xfId="14711"/>
    <cellStyle name="Normal 2 2 2 39 12" xfId="14712"/>
    <cellStyle name="Normal 2 2 2 39 13" xfId="14713"/>
    <cellStyle name="Normal 2 2 2 39 13 2" xfId="14714"/>
    <cellStyle name="Normal 2 2 2 39 13 3" xfId="14715"/>
    <cellStyle name="Normal 2 2 2 39 13 4" xfId="14716"/>
    <cellStyle name="Normal 2 2 2 39 14" xfId="14717"/>
    <cellStyle name="Normal 2 2 2 39 15" xfId="14718"/>
    <cellStyle name="Normal 2 2 2 39 16" xfId="14719"/>
    <cellStyle name="Normal 2 2 2 39 2" xfId="14720"/>
    <cellStyle name="Normal 2 2 2 39 2 10" xfId="14721"/>
    <cellStyle name="Normal 2 2 2 39 2 11" xfId="14722"/>
    <cellStyle name="Normal 2 2 2 39 2 11 2" xfId="14723"/>
    <cellStyle name="Normal 2 2 2 39 2 11 3" xfId="14724"/>
    <cellStyle name="Normal 2 2 2 39 2 11 4" xfId="14725"/>
    <cellStyle name="Normal 2 2 2 39 2 12" xfId="14726"/>
    <cellStyle name="Normal 2 2 2 39 2 13" xfId="14727"/>
    <cellStyle name="Normal 2 2 2 39 2 14" xfId="14728"/>
    <cellStyle name="Normal 2 2 2 39 2 2" xfId="14729"/>
    <cellStyle name="Normal 2 2 2 39 2 2 10" xfId="14730"/>
    <cellStyle name="Normal 2 2 2 39 2 2 11" xfId="14731"/>
    <cellStyle name="Normal 2 2 2 39 2 2 2" xfId="14732"/>
    <cellStyle name="Normal 2 2 2 39 2 2 2 10" xfId="14733"/>
    <cellStyle name="Normal 2 2 2 39 2 2 2 11" xfId="14734"/>
    <cellStyle name="Normal 2 2 2 39 2 2 2 2" xfId="14735"/>
    <cellStyle name="Normal 2 2 2 39 2 2 2 2 2" xfId="14736"/>
    <cellStyle name="Normal 2 2 2 39 2 2 2 2 2 2" xfId="14737"/>
    <cellStyle name="Normal 2 2 2 39 2 2 2 2 2 3" xfId="14738"/>
    <cellStyle name="Normal 2 2 2 39 2 2 2 2 2 4" xfId="14739"/>
    <cellStyle name="Normal 2 2 2 39 2 2 2 2 3" xfId="14740"/>
    <cellStyle name="Normal 2 2 2 39 2 2 2 2 4" xfId="14741"/>
    <cellStyle name="Normal 2 2 2 39 2 2 2 2 5" xfId="14742"/>
    <cellStyle name="Normal 2 2 2 39 2 2 2 2 6" xfId="14743"/>
    <cellStyle name="Normal 2 2 2 39 2 2 2 3" xfId="14744"/>
    <cellStyle name="Normal 2 2 2 39 2 2 2 4" xfId="14745"/>
    <cellStyle name="Normal 2 2 2 39 2 2 2 5" xfId="14746"/>
    <cellStyle name="Normal 2 2 2 39 2 2 2 6" xfId="14747"/>
    <cellStyle name="Normal 2 2 2 39 2 2 2 7" xfId="14748"/>
    <cellStyle name="Normal 2 2 2 39 2 2 2 8" xfId="14749"/>
    <cellStyle name="Normal 2 2 2 39 2 2 2 8 2" xfId="14750"/>
    <cellStyle name="Normal 2 2 2 39 2 2 2 8 3" xfId="14751"/>
    <cellStyle name="Normal 2 2 2 39 2 2 2 8 4" xfId="14752"/>
    <cellStyle name="Normal 2 2 2 39 2 2 2 9" xfId="14753"/>
    <cellStyle name="Normal 2 2 2 39 2 2 3" xfId="14754"/>
    <cellStyle name="Normal 2 2 2 39 2 2 3 2" xfId="14755"/>
    <cellStyle name="Normal 2 2 2 39 2 2 3 2 2" xfId="14756"/>
    <cellStyle name="Normal 2 2 2 39 2 2 3 2 3" xfId="14757"/>
    <cellStyle name="Normal 2 2 2 39 2 2 3 2 4" xfId="14758"/>
    <cellStyle name="Normal 2 2 2 39 2 2 3 3" xfId="14759"/>
    <cellStyle name="Normal 2 2 2 39 2 2 3 4" xfId="14760"/>
    <cellStyle name="Normal 2 2 2 39 2 2 3 5" xfId="14761"/>
    <cellStyle name="Normal 2 2 2 39 2 2 3 6" xfId="14762"/>
    <cellStyle name="Normal 2 2 2 39 2 2 4" xfId="14763"/>
    <cellStyle name="Normal 2 2 2 39 2 2 5" xfId="14764"/>
    <cellStyle name="Normal 2 2 2 39 2 2 6" xfId="14765"/>
    <cellStyle name="Normal 2 2 2 39 2 2 7" xfId="14766"/>
    <cellStyle name="Normal 2 2 2 39 2 2 8" xfId="14767"/>
    <cellStyle name="Normal 2 2 2 39 2 2 8 2" xfId="14768"/>
    <cellStyle name="Normal 2 2 2 39 2 2 8 3" xfId="14769"/>
    <cellStyle name="Normal 2 2 2 39 2 2 8 4" xfId="14770"/>
    <cellStyle name="Normal 2 2 2 39 2 2 9" xfId="14771"/>
    <cellStyle name="Normal 2 2 2 39 2 3" xfId="14772"/>
    <cellStyle name="Normal 2 2 2 39 2 4" xfId="14773"/>
    <cellStyle name="Normal 2 2 2 39 2 5" xfId="14774"/>
    <cellStyle name="Normal 2 2 2 39 2 5 2" xfId="14775"/>
    <cellStyle name="Normal 2 2 2 39 2 5 2 2" xfId="14776"/>
    <cellStyle name="Normal 2 2 2 39 2 5 2 3" xfId="14777"/>
    <cellStyle name="Normal 2 2 2 39 2 5 2 4" xfId="14778"/>
    <cellStyle name="Normal 2 2 2 39 2 5 3" xfId="14779"/>
    <cellStyle name="Normal 2 2 2 39 2 5 4" xfId="14780"/>
    <cellStyle name="Normal 2 2 2 39 2 5 5" xfId="14781"/>
    <cellStyle name="Normal 2 2 2 39 2 5 6" xfId="14782"/>
    <cellStyle name="Normal 2 2 2 39 2 6" xfId="14783"/>
    <cellStyle name="Normal 2 2 2 39 2 7" xfId="14784"/>
    <cellStyle name="Normal 2 2 2 39 2 8" xfId="14785"/>
    <cellStyle name="Normal 2 2 2 39 2 9" xfId="14786"/>
    <cellStyle name="Normal 2 2 2 39 3" xfId="14787"/>
    <cellStyle name="Normal 2 2 2 39 4" xfId="14788"/>
    <cellStyle name="Normal 2 2 2 39 5" xfId="14789"/>
    <cellStyle name="Normal 2 2 2 39 5 10" xfId="14790"/>
    <cellStyle name="Normal 2 2 2 39 5 11" xfId="14791"/>
    <cellStyle name="Normal 2 2 2 39 5 2" xfId="14792"/>
    <cellStyle name="Normal 2 2 2 39 5 2 10" xfId="14793"/>
    <cellStyle name="Normal 2 2 2 39 5 2 11" xfId="14794"/>
    <cellStyle name="Normal 2 2 2 39 5 2 2" xfId="14795"/>
    <cellStyle name="Normal 2 2 2 39 5 2 2 2" xfId="14796"/>
    <cellStyle name="Normal 2 2 2 39 5 2 2 2 2" xfId="14797"/>
    <cellStyle name="Normal 2 2 2 39 5 2 2 2 3" xfId="14798"/>
    <cellStyle name="Normal 2 2 2 39 5 2 2 2 4" xfId="14799"/>
    <cellStyle name="Normal 2 2 2 39 5 2 2 3" xfId="14800"/>
    <cellStyle name="Normal 2 2 2 39 5 2 2 4" xfId="14801"/>
    <cellStyle name="Normal 2 2 2 39 5 2 2 5" xfId="14802"/>
    <cellStyle name="Normal 2 2 2 39 5 2 2 6" xfId="14803"/>
    <cellStyle name="Normal 2 2 2 39 5 2 3" xfId="14804"/>
    <cellStyle name="Normal 2 2 2 39 5 2 4" xfId="14805"/>
    <cellStyle name="Normal 2 2 2 39 5 2 5" xfId="14806"/>
    <cellStyle name="Normal 2 2 2 39 5 2 6" xfId="14807"/>
    <cellStyle name="Normal 2 2 2 39 5 2 7" xfId="14808"/>
    <cellStyle name="Normal 2 2 2 39 5 2 8" xfId="14809"/>
    <cellStyle name="Normal 2 2 2 39 5 2 8 2" xfId="14810"/>
    <cellStyle name="Normal 2 2 2 39 5 2 8 3" xfId="14811"/>
    <cellStyle name="Normal 2 2 2 39 5 2 8 4" xfId="14812"/>
    <cellStyle name="Normal 2 2 2 39 5 2 9" xfId="14813"/>
    <cellStyle name="Normal 2 2 2 39 5 3" xfId="14814"/>
    <cellStyle name="Normal 2 2 2 39 5 3 2" xfId="14815"/>
    <cellStyle name="Normal 2 2 2 39 5 3 2 2" xfId="14816"/>
    <cellStyle name="Normal 2 2 2 39 5 3 2 3" xfId="14817"/>
    <cellStyle name="Normal 2 2 2 39 5 3 2 4" xfId="14818"/>
    <cellStyle name="Normal 2 2 2 39 5 3 3" xfId="14819"/>
    <cellStyle name="Normal 2 2 2 39 5 3 4" xfId="14820"/>
    <cellStyle name="Normal 2 2 2 39 5 3 5" xfId="14821"/>
    <cellStyle name="Normal 2 2 2 39 5 3 6" xfId="14822"/>
    <cellStyle name="Normal 2 2 2 39 5 4" xfId="14823"/>
    <cellStyle name="Normal 2 2 2 39 5 5" xfId="14824"/>
    <cellStyle name="Normal 2 2 2 39 5 6" xfId="14825"/>
    <cellStyle name="Normal 2 2 2 39 5 7" xfId="14826"/>
    <cellStyle name="Normal 2 2 2 39 5 8" xfId="14827"/>
    <cellStyle name="Normal 2 2 2 39 5 8 2" xfId="14828"/>
    <cellStyle name="Normal 2 2 2 39 5 8 3" xfId="14829"/>
    <cellStyle name="Normal 2 2 2 39 5 8 4" xfId="14830"/>
    <cellStyle name="Normal 2 2 2 39 5 9" xfId="14831"/>
    <cellStyle name="Normal 2 2 2 39 6" xfId="14832"/>
    <cellStyle name="Normal 2 2 2 39 7" xfId="14833"/>
    <cellStyle name="Normal 2 2 2 39 7 2" xfId="14834"/>
    <cellStyle name="Normal 2 2 2 39 7 2 2" xfId="14835"/>
    <cellStyle name="Normal 2 2 2 39 7 2 3" xfId="14836"/>
    <cellStyle name="Normal 2 2 2 39 7 2 4" xfId="14837"/>
    <cellStyle name="Normal 2 2 2 39 7 3" xfId="14838"/>
    <cellStyle name="Normal 2 2 2 39 7 4" xfId="14839"/>
    <cellStyle name="Normal 2 2 2 39 7 5" xfId="14840"/>
    <cellStyle name="Normal 2 2 2 39 7 6" xfId="14841"/>
    <cellStyle name="Normal 2 2 2 39 8" xfId="14842"/>
    <cellStyle name="Normal 2 2 2 39 9" xfId="14843"/>
    <cellStyle name="Normal 2 2 2 4" xfId="14844"/>
    <cellStyle name="Normal 2 2 2 4 2" xfId="14845"/>
    <cellStyle name="Normal 2 2 2 4 2 2" xfId="14846"/>
    <cellStyle name="Normal 2 2 2 4 2 2 2" xfId="14847"/>
    <cellStyle name="Normal 2 2 2 4 3" xfId="14848"/>
    <cellStyle name="Normal 2 2 2 4 4" xfId="14849"/>
    <cellStyle name="Normal 2 2 2 40" xfId="14850"/>
    <cellStyle name="Normal 2 2 2 41" xfId="14851"/>
    <cellStyle name="Normal 2 2 2 42" xfId="14852"/>
    <cellStyle name="Normal 2 2 2 43" xfId="14853"/>
    <cellStyle name="Normal 2 2 2 44" xfId="14854"/>
    <cellStyle name="Normal 2 2 2 45" xfId="14855"/>
    <cellStyle name="Normal 2 2 2 46" xfId="14856"/>
    <cellStyle name="Normal 2 2 2 47" xfId="14857"/>
    <cellStyle name="Normal 2 2 2 47 10" xfId="14858"/>
    <cellStyle name="Normal 2 2 2 47 11" xfId="14859"/>
    <cellStyle name="Normal 2 2 2 47 11 2" xfId="14860"/>
    <cellStyle name="Normal 2 2 2 47 11 3" xfId="14861"/>
    <cellStyle name="Normal 2 2 2 47 11 4" xfId="14862"/>
    <cellStyle name="Normal 2 2 2 47 12" xfId="14863"/>
    <cellStyle name="Normal 2 2 2 47 13" xfId="14864"/>
    <cellStyle name="Normal 2 2 2 47 14" xfId="14865"/>
    <cellStyle name="Normal 2 2 2 47 2" xfId="14866"/>
    <cellStyle name="Normal 2 2 2 47 2 10" xfId="14867"/>
    <cellStyle name="Normal 2 2 2 47 2 11" xfId="14868"/>
    <cellStyle name="Normal 2 2 2 47 2 2" xfId="14869"/>
    <cellStyle name="Normal 2 2 2 47 2 2 10" xfId="14870"/>
    <cellStyle name="Normal 2 2 2 47 2 2 11" xfId="14871"/>
    <cellStyle name="Normal 2 2 2 47 2 2 2" xfId="14872"/>
    <cellStyle name="Normal 2 2 2 47 2 2 2 2" xfId="14873"/>
    <cellStyle name="Normal 2 2 2 47 2 2 2 2 2" xfId="14874"/>
    <cellStyle name="Normal 2 2 2 47 2 2 2 2 3" xfId="14875"/>
    <cellStyle name="Normal 2 2 2 47 2 2 2 2 4" xfId="14876"/>
    <cellStyle name="Normal 2 2 2 47 2 2 2 3" xfId="14877"/>
    <cellStyle name="Normal 2 2 2 47 2 2 2 4" xfId="14878"/>
    <cellStyle name="Normal 2 2 2 47 2 2 2 5" xfId="14879"/>
    <cellStyle name="Normal 2 2 2 47 2 2 2 6" xfId="14880"/>
    <cellStyle name="Normal 2 2 2 47 2 2 3" xfId="14881"/>
    <cellStyle name="Normal 2 2 2 47 2 2 4" xfId="14882"/>
    <cellStyle name="Normal 2 2 2 47 2 2 5" xfId="14883"/>
    <cellStyle name="Normal 2 2 2 47 2 2 6" xfId="14884"/>
    <cellStyle name="Normal 2 2 2 47 2 2 7" xfId="14885"/>
    <cellStyle name="Normal 2 2 2 47 2 2 8" xfId="14886"/>
    <cellStyle name="Normal 2 2 2 47 2 2 8 2" xfId="14887"/>
    <cellStyle name="Normal 2 2 2 47 2 2 8 3" xfId="14888"/>
    <cellStyle name="Normal 2 2 2 47 2 2 8 4" xfId="14889"/>
    <cellStyle name="Normal 2 2 2 47 2 2 9" xfId="14890"/>
    <cellStyle name="Normal 2 2 2 47 2 3" xfId="14891"/>
    <cellStyle name="Normal 2 2 2 47 2 3 2" xfId="14892"/>
    <cellStyle name="Normal 2 2 2 47 2 3 2 2" xfId="14893"/>
    <cellStyle name="Normal 2 2 2 47 2 3 2 3" xfId="14894"/>
    <cellStyle name="Normal 2 2 2 47 2 3 2 4" xfId="14895"/>
    <cellStyle name="Normal 2 2 2 47 2 3 3" xfId="14896"/>
    <cellStyle name="Normal 2 2 2 47 2 3 4" xfId="14897"/>
    <cellStyle name="Normal 2 2 2 47 2 3 5" xfId="14898"/>
    <cellStyle name="Normal 2 2 2 47 2 3 6" xfId="14899"/>
    <cellStyle name="Normal 2 2 2 47 2 4" xfId="14900"/>
    <cellStyle name="Normal 2 2 2 47 2 5" xfId="14901"/>
    <cellStyle name="Normal 2 2 2 47 2 6" xfId="14902"/>
    <cellStyle name="Normal 2 2 2 47 2 7" xfId="14903"/>
    <cellStyle name="Normal 2 2 2 47 2 8" xfId="14904"/>
    <cellStyle name="Normal 2 2 2 47 2 8 2" xfId="14905"/>
    <cellStyle name="Normal 2 2 2 47 2 8 3" xfId="14906"/>
    <cellStyle name="Normal 2 2 2 47 2 8 4" xfId="14907"/>
    <cellStyle name="Normal 2 2 2 47 2 9" xfId="14908"/>
    <cellStyle name="Normal 2 2 2 47 3" xfId="14909"/>
    <cellStyle name="Normal 2 2 2 47 4" xfId="14910"/>
    <cellStyle name="Normal 2 2 2 47 5" xfId="14911"/>
    <cellStyle name="Normal 2 2 2 47 5 2" xfId="14912"/>
    <cellStyle name="Normal 2 2 2 47 5 2 2" xfId="14913"/>
    <cellStyle name="Normal 2 2 2 47 5 2 3" xfId="14914"/>
    <cellStyle name="Normal 2 2 2 47 5 2 4" xfId="14915"/>
    <cellStyle name="Normal 2 2 2 47 5 3" xfId="14916"/>
    <cellStyle name="Normal 2 2 2 47 5 4" xfId="14917"/>
    <cellStyle name="Normal 2 2 2 47 5 5" xfId="14918"/>
    <cellStyle name="Normal 2 2 2 47 5 6" xfId="14919"/>
    <cellStyle name="Normal 2 2 2 47 6" xfId="14920"/>
    <cellStyle name="Normal 2 2 2 47 7" xfId="14921"/>
    <cellStyle name="Normal 2 2 2 47 8" xfId="14922"/>
    <cellStyle name="Normal 2 2 2 47 9" xfId="14923"/>
    <cellStyle name="Normal 2 2 2 48" xfId="14924"/>
    <cellStyle name="Normal 2 2 2 49" xfId="14925"/>
    <cellStyle name="Normal 2 2 2 49 10" xfId="14926"/>
    <cellStyle name="Normal 2 2 2 49 11" xfId="14927"/>
    <cellStyle name="Normal 2 2 2 49 2" xfId="14928"/>
    <cellStyle name="Normal 2 2 2 49 2 10" xfId="14929"/>
    <cellStyle name="Normal 2 2 2 49 2 11" xfId="14930"/>
    <cellStyle name="Normal 2 2 2 49 2 2" xfId="14931"/>
    <cellStyle name="Normal 2 2 2 49 2 2 2" xfId="14932"/>
    <cellStyle name="Normal 2 2 2 49 2 2 2 2" xfId="14933"/>
    <cellStyle name="Normal 2 2 2 49 2 2 2 3" xfId="14934"/>
    <cellStyle name="Normal 2 2 2 49 2 2 2 4" xfId="14935"/>
    <cellStyle name="Normal 2 2 2 49 2 2 3" xfId="14936"/>
    <cellStyle name="Normal 2 2 2 49 2 2 4" xfId="14937"/>
    <cellStyle name="Normal 2 2 2 49 2 2 5" xfId="14938"/>
    <cellStyle name="Normal 2 2 2 49 2 2 6" xfId="14939"/>
    <cellStyle name="Normal 2 2 2 49 2 3" xfId="14940"/>
    <cellStyle name="Normal 2 2 2 49 2 4" xfId="14941"/>
    <cellStyle name="Normal 2 2 2 49 2 5" xfId="14942"/>
    <cellStyle name="Normal 2 2 2 49 2 6" xfId="14943"/>
    <cellStyle name="Normal 2 2 2 49 2 7" xfId="14944"/>
    <cellStyle name="Normal 2 2 2 49 2 8" xfId="14945"/>
    <cellStyle name="Normal 2 2 2 49 2 8 2" xfId="14946"/>
    <cellStyle name="Normal 2 2 2 49 2 8 3" xfId="14947"/>
    <cellStyle name="Normal 2 2 2 49 2 8 4" xfId="14948"/>
    <cellStyle name="Normal 2 2 2 49 2 9" xfId="14949"/>
    <cellStyle name="Normal 2 2 2 49 3" xfId="14950"/>
    <cellStyle name="Normal 2 2 2 49 3 2" xfId="14951"/>
    <cellStyle name="Normal 2 2 2 49 3 2 2" xfId="14952"/>
    <cellStyle name="Normal 2 2 2 49 3 2 3" xfId="14953"/>
    <cellStyle name="Normal 2 2 2 49 3 2 4" xfId="14954"/>
    <cellStyle name="Normal 2 2 2 49 3 3" xfId="14955"/>
    <cellStyle name="Normal 2 2 2 49 3 4" xfId="14956"/>
    <cellStyle name="Normal 2 2 2 49 3 5" xfId="14957"/>
    <cellStyle name="Normal 2 2 2 49 3 6" xfId="14958"/>
    <cellStyle name="Normal 2 2 2 49 4" xfId="14959"/>
    <cellStyle name="Normal 2 2 2 49 5" xfId="14960"/>
    <cellStyle name="Normal 2 2 2 49 6" xfId="14961"/>
    <cellStyle name="Normal 2 2 2 49 7" xfId="14962"/>
    <cellStyle name="Normal 2 2 2 49 8" xfId="14963"/>
    <cellStyle name="Normal 2 2 2 49 8 2" xfId="14964"/>
    <cellStyle name="Normal 2 2 2 49 8 3" xfId="14965"/>
    <cellStyle name="Normal 2 2 2 49 8 4" xfId="14966"/>
    <cellStyle name="Normal 2 2 2 49 9" xfId="14967"/>
    <cellStyle name="Normal 2 2 2 5" xfId="14968"/>
    <cellStyle name="Normal 2 2 2 5 2" xfId="14969"/>
    <cellStyle name="Normal 2 2 2 50" xfId="14970"/>
    <cellStyle name="Normal 2 2 2 51" xfId="14971"/>
    <cellStyle name="Normal 2 2 2 51 2" xfId="14972"/>
    <cellStyle name="Normal 2 2 2 51 2 2" xfId="14973"/>
    <cellStyle name="Normal 2 2 2 51 2 3" xfId="14974"/>
    <cellStyle name="Normal 2 2 2 51 2 4" xfId="14975"/>
    <cellStyle name="Normal 2 2 2 51 3" xfId="14976"/>
    <cellStyle name="Normal 2 2 2 51 4" xfId="14977"/>
    <cellStyle name="Normal 2 2 2 51 5" xfId="14978"/>
    <cellStyle name="Normal 2 2 2 51 6" xfId="14979"/>
    <cellStyle name="Normal 2 2 2 52" xfId="14980"/>
    <cellStyle name="Normal 2 2 2 53" xfId="14981"/>
    <cellStyle name="Normal 2 2 2 54" xfId="14982"/>
    <cellStyle name="Normal 2 2 2 55" xfId="14983"/>
    <cellStyle name="Normal 2 2 2 56" xfId="14984"/>
    <cellStyle name="Normal 2 2 2 57" xfId="14985"/>
    <cellStyle name="Normal 2 2 2 57 2" xfId="14986"/>
    <cellStyle name="Normal 2 2 2 57 3" xfId="14987"/>
    <cellStyle name="Normal 2 2 2 57 4" xfId="14988"/>
    <cellStyle name="Normal 2 2 2 58" xfId="14989"/>
    <cellStyle name="Normal 2 2 2 59" xfId="14990"/>
    <cellStyle name="Normal 2 2 2 6" xfId="14991"/>
    <cellStyle name="Normal 2 2 2 6 2" xfId="14992"/>
    <cellStyle name="Normal 2 2 2 60" xfId="14993"/>
    <cellStyle name="Normal 2 2 2 61" xfId="14994"/>
    <cellStyle name="Normal 2 2 2 62" xfId="14995"/>
    <cellStyle name="Normal 2 2 2 63" xfId="14996"/>
    <cellStyle name="Normal 2 2 2 64" xfId="14997"/>
    <cellStyle name="Normal 2 2 2 65" xfId="14998"/>
    <cellStyle name="Normal 2 2 2 66" xfId="14999"/>
    <cellStyle name="Normal 2 2 2 67" xfId="15000"/>
    <cellStyle name="Normal 2 2 2 68" xfId="15001"/>
    <cellStyle name="Normal 2 2 2 69" xfId="15002"/>
    <cellStyle name="Normal 2 2 2 7" xfId="15003"/>
    <cellStyle name="Normal 2 2 2 7 2" xfId="15004"/>
    <cellStyle name="Normal 2 2 2 70" xfId="15005"/>
    <cellStyle name="Normal 2 2 2 71" xfId="15006"/>
    <cellStyle name="Normal 2 2 2 72" xfId="15007"/>
    <cellStyle name="Normal 2 2 2 72 2" xfId="15008"/>
    <cellStyle name="Normal 2 2 2 72 3" xfId="15009"/>
    <cellStyle name="Normal 2 2 2 72 4" xfId="15010"/>
    <cellStyle name="Normal 2 2 2 72 5" xfId="15011"/>
    <cellStyle name="Normal 2 2 2 72 6" xfId="15012"/>
    <cellStyle name="Normal 2 2 2 72 7" xfId="15013"/>
    <cellStyle name="Normal 2 2 2 73" xfId="15014"/>
    <cellStyle name="Normal 2 2 2 74" xfId="15015"/>
    <cellStyle name="Normal 2 2 2 75" xfId="15016"/>
    <cellStyle name="Normal 2 2 2 76" xfId="15017"/>
    <cellStyle name="Normal 2 2 2 77" xfId="15018"/>
    <cellStyle name="Normal 2 2 2 78" xfId="15019"/>
    <cellStyle name="Normal 2 2 2 79" xfId="15020"/>
    <cellStyle name="Normal 2 2 2 8" xfId="15021"/>
    <cellStyle name="Normal 2 2 2 8 2" xfId="15022"/>
    <cellStyle name="Normal 2 2 2 80" xfId="15023"/>
    <cellStyle name="Normal 2 2 2 81" xfId="15024"/>
    <cellStyle name="Normal 2 2 2 82" xfId="15025"/>
    <cellStyle name="Normal 2 2 2 83" xfId="15026"/>
    <cellStyle name="Normal 2 2 2 84" xfId="15027"/>
    <cellStyle name="Normal 2 2 2 85" xfId="15028"/>
    <cellStyle name="Normal 2 2 2 86" xfId="15029"/>
    <cellStyle name="Normal 2 2 2 87" xfId="15030"/>
    <cellStyle name="Normal 2 2 2 88" xfId="15031"/>
    <cellStyle name="Normal 2 2 2 89" xfId="15032"/>
    <cellStyle name="Normal 2 2 2 9" xfId="15033"/>
    <cellStyle name="Normal 2 2 2 9 2" xfId="15034"/>
    <cellStyle name="Normal 2 2 2 90" xfId="15035"/>
    <cellStyle name="Normal 2 2 2 91" xfId="15036"/>
    <cellStyle name="Normal 2 2 2 92" xfId="15037"/>
    <cellStyle name="Normal 2 2 2 93" xfId="15038"/>
    <cellStyle name="Normal 2 2 2 94" xfId="15039"/>
    <cellStyle name="Normal 2 2 2 95" xfId="15040"/>
    <cellStyle name="Normal 2 2 2 96" xfId="15041"/>
    <cellStyle name="Normal 2 2 2 97" xfId="15042"/>
    <cellStyle name="Normal 2 2 2 98" xfId="15043"/>
    <cellStyle name="Normal 2 2 2 99" xfId="15044"/>
    <cellStyle name="Normal 2 2 20" xfId="15045"/>
    <cellStyle name="Normal 2 2 20 2" xfId="15046"/>
    <cellStyle name="Normal 2 2 200" xfId="15047"/>
    <cellStyle name="Normal 2 2 201" xfId="15048"/>
    <cellStyle name="Normal 2 2 202" xfId="15049"/>
    <cellStyle name="Normal 2 2 203" xfId="15050"/>
    <cellStyle name="Normal 2 2 204" xfId="15051"/>
    <cellStyle name="Normal 2 2 205" xfId="15052"/>
    <cellStyle name="Normal 2 2 206" xfId="15053"/>
    <cellStyle name="Normal 2 2 207" xfId="15054"/>
    <cellStyle name="Normal 2 2 208" xfId="15055"/>
    <cellStyle name="Normal 2 2 209" xfId="15056"/>
    <cellStyle name="Normal 2 2 21" xfId="15057"/>
    <cellStyle name="Normal 2 2 21 2" xfId="15058"/>
    <cellStyle name="Normal 2 2 210" xfId="15059"/>
    <cellStyle name="Normal 2 2 211" xfId="15060"/>
    <cellStyle name="Normal 2 2 212" xfId="15061"/>
    <cellStyle name="Normal 2 2 213" xfId="15062"/>
    <cellStyle name="Normal 2 2 214" xfId="15063"/>
    <cellStyle name="Normal 2 2 215" xfId="15064"/>
    <cellStyle name="Normal 2 2 22" xfId="15065"/>
    <cellStyle name="Normal 2 2 22 2" xfId="15066"/>
    <cellStyle name="Normal 2 2 23" xfId="15067"/>
    <cellStyle name="Normal 2 2 23 2" xfId="15068"/>
    <cellStyle name="Normal 2 2 24" xfId="15069"/>
    <cellStyle name="Normal 2 2 24 2" xfId="15070"/>
    <cellStyle name="Normal 2 2 25" xfId="15071"/>
    <cellStyle name="Normal 2 2 25 2" xfId="15072"/>
    <cellStyle name="Normal 2 2 26" xfId="15073"/>
    <cellStyle name="Normal 2 2 26 2" xfId="15074"/>
    <cellStyle name="Normal 2 2 27" xfId="15075"/>
    <cellStyle name="Normal 2 2 27 2" xfId="15076"/>
    <cellStyle name="Normal 2 2 28" xfId="15077"/>
    <cellStyle name="Normal 2 2 28 2" xfId="15078"/>
    <cellStyle name="Normal 2 2 29" xfId="15079"/>
    <cellStyle name="Normal 2 2 29 2" xfId="15080"/>
    <cellStyle name="Normal 2 2 3" xfId="15081"/>
    <cellStyle name="Normal 2 2 3 2" xfId="15082"/>
    <cellStyle name="Normal 2 2 3 3" xfId="15083"/>
    <cellStyle name="Normal 2 2 3 4" xfId="15084"/>
    <cellStyle name="Normal 2 2 30" xfId="15085"/>
    <cellStyle name="Normal 2 2 30 2" xfId="15086"/>
    <cellStyle name="Normal 2 2 31" xfId="15087"/>
    <cellStyle name="Normal 2 2 31 2" xfId="15088"/>
    <cellStyle name="Normal 2 2 32" xfId="15089"/>
    <cellStyle name="Normal 2 2 32 2" xfId="15090"/>
    <cellStyle name="Normal 2 2 33" xfId="15091"/>
    <cellStyle name="Normal 2 2 33 2" xfId="15092"/>
    <cellStyle name="Normal 2 2 34" xfId="15093"/>
    <cellStyle name="Normal 2 2 34 2" xfId="15094"/>
    <cellStyle name="Normal 2 2 35" xfId="15095"/>
    <cellStyle name="Normal 2 2 35 2" xfId="15096"/>
    <cellStyle name="Normal 2 2 36" xfId="15097"/>
    <cellStyle name="Normal 2 2 36 2" xfId="15098"/>
    <cellStyle name="Normal 2 2 37" xfId="15099"/>
    <cellStyle name="Normal 2 2 37 2" xfId="15100"/>
    <cellStyle name="Normal 2 2 37 2 2" xfId="15101"/>
    <cellStyle name="Normal 2 2 37 2 2 2" xfId="15102"/>
    <cellStyle name="Normal 2 2 37 3" xfId="15103"/>
    <cellStyle name="Normal 2 2 37 4" xfId="15104"/>
    <cellStyle name="Normal 2 2 38" xfId="15105"/>
    <cellStyle name="Normal 2 2 38 2" xfId="15106"/>
    <cellStyle name="Normal 2 2 39" xfId="15107"/>
    <cellStyle name="Normal 2 2 39 10" xfId="15108"/>
    <cellStyle name="Normal 2 2 39 11" xfId="15109"/>
    <cellStyle name="Normal 2 2 39 12" xfId="15110"/>
    <cellStyle name="Normal 2 2 39 13" xfId="15111"/>
    <cellStyle name="Normal 2 2 39 14" xfId="15112"/>
    <cellStyle name="Normal 2 2 39 15" xfId="15113"/>
    <cellStyle name="Normal 2 2 39 16" xfId="15114"/>
    <cellStyle name="Normal 2 2 39 17" xfId="15115"/>
    <cellStyle name="Normal 2 2 39 18" xfId="15116"/>
    <cellStyle name="Normal 2 2 39 2" xfId="15117"/>
    <cellStyle name="Normal 2 2 39 2 10" xfId="15118"/>
    <cellStyle name="Normal 2 2 39 2 11" xfId="15119"/>
    <cellStyle name="Normal 2 2 39 2 12" xfId="15120"/>
    <cellStyle name="Normal 2 2 39 2 13" xfId="15121"/>
    <cellStyle name="Normal 2 2 39 2 14" xfId="15122"/>
    <cellStyle name="Normal 2 2 39 2 15" xfId="15123"/>
    <cellStyle name="Normal 2 2 39 2 16" xfId="15124"/>
    <cellStyle name="Normal 2 2 39 2 17" xfId="15125"/>
    <cellStyle name="Normal 2 2 39 2 2" xfId="15126"/>
    <cellStyle name="Normal 2 2 39 2 2 2" xfId="15127"/>
    <cellStyle name="Normal 2 2 39 2 2 2 2" xfId="15128"/>
    <cellStyle name="Normal 2 2 39 2 2 2 3" xfId="15129"/>
    <cellStyle name="Normal 2 2 39 2 2 2 4" xfId="15130"/>
    <cellStyle name="Normal 2 2 39 2 2 2 5" xfId="15131"/>
    <cellStyle name="Normal 2 2 39 2 2 2 6" xfId="15132"/>
    <cellStyle name="Normal 2 2 39 2 2 2 7" xfId="15133"/>
    <cellStyle name="Normal 2 2 39 2 2 2 8" xfId="15134"/>
    <cellStyle name="Normal 2 2 39 2 2 2 9" xfId="15135"/>
    <cellStyle name="Normal 2 2 39 2 2 3" xfId="15136"/>
    <cellStyle name="Normal 2 2 39 2 2 4" xfId="15137"/>
    <cellStyle name="Normal 2 2 39 2 2 5" xfId="15138"/>
    <cellStyle name="Normal 2 2 39 2 2 6" xfId="15139"/>
    <cellStyle name="Normal 2 2 39 2 2 7" xfId="15140"/>
    <cellStyle name="Normal 2 2 39 2 2 8" xfId="15141"/>
    <cellStyle name="Normal 2 2 39 2 2 9" xfId="15142"/>
    <cellStyle name="Normal 2 2 39 2 3" xfId="15143"/>
    <cellStyle name="Normal 2 2 39 2 4" xfId="15144"/>
    <cellStyle name="Normal 2 2 39 2 5" xfId="15145"/>
    <cellStyle name="Normal 2 2 39 2 6" xfId="15146"/>
    <cellStyle name="Normal 2 2 39 2 7" xfId="15147"/>
    <cellStyle name="Normal 2 2 39 2 8" xfId="15148"/>
    <cellStyle name="Normal 2 2 39 2 9" xfId="15149"/>
    <cellStyle name="Normal 2 2 39 3" xfId="15150"/>
    <cellStyle name="Normal 2 2 39 3 2" xfId="15151"/>
    <cellStyle name="Normal 2 2 39 3 2 2" xfId="15152"/>
    <cellStyle name="Normal 2 2 39 3 2 3" xfId="15153"/>
    <cellStyle name="Normal 2 2 39 3 2 4" xfId="15154"/>
    <cellStyle name="Normal 2 2 39 3 2 5" xfId="15155"/>
    <cellStyle name="Normal 2 2 39 3 2 6" xfId="15156"/>
    <cellStyle name="Normal 2 2 39 3 2 7" xfId="15157"/>
    <cellStyle name="Normal 2 2 39 3 2 8" xfId="15158"/>
    <cellStyle name="Normal 2 2 39 3 2 9" xfId="15159"/>
    <cellStyle name="Normal 2 2 39 3 3" xfId="15160"/>
    <cellStyle name="Normal 2 2 39 3 4" xfId="15161"/>
    <cellStyle name="Normal 2 2 39 3 5" xfId="15162"/>
    <cellStyle name="Normal 2 2 39 3 6" xfId="15163"/>
    <cellStyle name="Normal 2 2 39 3 7" xfId="15164"/>
    <cellStyle name="Normal 2 2 39 3 8" xfId="15165"/>
    <cellStyle name="Normal 2 2 39 3 9" xfId="15166"/>
    <cellStyle name="Normal 2 2 39 4" xfId="15167"/>
    <cellStyle name="Normal 2 2 39 5" xfId="15168"/>
    <cellStyle name="Normal 2 2 39 6" xfId="15169"/>
    <cellStyle name="Normal 2 2 39 7" xfId="15170"/>
    <cellStyle name="Normal 2 2 39 8" xfId="15171"/>
    <cellStyle name="Normal 2 2 39 9" xfId="15172"/>
    <cellStyle name="Normal 2 2 4" xfId="15173"/>
    <cellStyle name="Normal 2 2 4 2" xfId="15174"/>
    <cellStyle name="Normal 2 2 40" xfId="15175"/>
    <cellStyle name="Normal 2 2 40 2" xfId="15176"/>
    <cellStyle name="Normal 2 2 41" xfId="15177"/>
    <cellStyle name="Normal 2 2 41 2" xfId="15178"/>
    <cellStyle name="Normal 2 2 42" xfId="15179"/>
    <cellStyle name="Normal 2 2 42 2" xfId="15180"/>
    <cellStyle name="Normal 2 2 43" xfId="15181"/>
    <cellStyle name="Normal 2 2 43 2" xfId="15182"/>
    <cellStyle name="Normal 2 2 44" xfId="15183"/>
    <cellStyle name="Normal 2 2 44 2" xfId="15184"/>
    <cellStyle name="Normal 2 2 45" xfId="15185"/>
    <cellStyle name="Normal 2 2 45 2" xfId="15186"/>
    <cellStyle name="Normal 2 2 46" xfId="15187"/>
    <cellStyle name="Normal 2 2 46 2" xfId="15188"/>
    <cellStyle name="Normal 2 2 47" xfId="15189"/>
    <cellStyle name="Normal 2 2 47 2" xfId="15190"/>
    <cellStyle name="Normal 2 2 48" xfId="15191"/>
    <cellStyle name="Normal 2 2 48 2" xfId="15192"/>
    <cellStyle name="Normal 2 2 49" xfId="15193"/>
    <cellStyle name="Normal 2 2 49 10" xfId="15194"/>
    <cellStyle name="Normal 2 2 49 2" xfId="15195"/>
    <cellStyle name="Normal 2 2 49 2 2" xfId="15196"/>
    <cellStyle name="Normal 2 2 49 2 3" xfId="15197"/>
    <cellStyle name="Normal 2 2 49 2 4" xfId="15198"/>
    <cellStyle name="Normal 2 2 49 2 5" xfId="15199"/>
    <cellStyle name="Normal 2 2 49 2 6" xfId="15200"/>
    <cellStyle name="Normal 2 2 49 2 7" xfId="15201"/>
    <cellStyle name="Normal 2 2 49 2 8" xfId="15202"/>
    <cellStyle name="Normal 2 2 49 2 9" xfId="15203"/>
    <cellStyle name="Normal 2 2 49 3" xfId="15204"/>
    <cellStyle name="Normal 2 2 49 4" xfId="15205"/>
    <cellStyle name="Normal 2 2 49 5" xfId="15206"/>
    <cellStyle name="Normal 2 2 49 6" xfId="15207"/>
    <cellStyle name="Normal 2 2 49 7" xfId="15208"/>
    <cellStyle name="Normal 2 2 49 8" xfId="15209"/>
    <cellStyle name="Normal 2 2 49 9" xfId="15210"/>
    <cellStyle name="Normal 2 2 5" xfId="15211"/>
    <cellStyle name="Normal 2 2 5 2" xfId="15212"/>
    <cellStyle name="Normal 2 2 50" xfId="15213"/>
    <cellStyle name="Normal 2 2 50 2" xfId="15214"/>
    <cellStyle name="Normal 2 2 51" xfId="15215"/>
    <cellStyle name="Normal 2 2 51 2" xfId="15216"/>
    <cellStyle name="Normal 2 2 52" xfId="15217"/>
    <cellStyle name="Normal 2 2 52 2" xfId="15218"/>
    <cellStyle name="Normal 2 2 53" xfId="15219"/>
    <cellStyle name="Normal 2 2 53 2" xfId="15220"/>
    <cellStyle name="Normal 2 2 54" xfId="15221"/>
    <cellStyle name="Normal 2 2 54 2" xfId="15222"/>
    <cellStyle name="Normal 2 2 55" xfId="15223"/>
    <cellStyle name="Normal 2 2 55 2" xfId="15224"/>
    <cellStyle name="Normal 2 2 56" xfId="15225"/>
    <cellStyle name="Normal 2 2 56 2" xfId="15226"/>
    <cellStyle name="Normal 2 2 57" xfId="15227"/>
    <cellStyle name="Normal 2 2 57 2" xfId="15228"/>
    <cellStyle name="Normal 2 2 58" xfId="15229"/>
    <cellStyle name="Normal 2 2 58 2" xfId="15230"/>
    <cellStyle name="Normal 2 2 59" xfId="15231"/>
    <cellStyle name="Normal 2 2 59 2" xfId="15232"/>
    <cellStyle name="Normal 2 2 6" xfId="15233"/>
    <cellStyle name="Normal 2 2 6 2" xfId="15234"/>
    <cellStyle name="Normal 2 2 60" xfId="15235"/>
    <cellStyle name="Normal 2 2 60 2" xfId="15236"/>
    <cellStyle name="Normal 2 2 61" xfId="15237"/>
    <cellStyle name="Normal 2 2 61 2" xfId="15238"/>
    <cellStyle name="Normal 2 2 62" xfId="15239"/>
    <cellStyle name="Normal 2 2 62 2" xfId="15240"/>
    <cellStyle name="Normal 2 2 62 3" xfId="15241"/>
    <cellStyle name="Normal 2 2 63" xfId="15242"/>
    <cellStyle name="Normal 2 2 63 2" xfId="15243"/>
    <cellStyle name="Normal 2 2 64" xfId="15244"/>
    <cellStyle name="Normal 2 2 64 2" xfId="15245"/>
    <cellStyle name="Normal 2 2 65" xfId="15246"/>
    <cellStyle name="Normal 2 2 65 2" xfId="15247"/>
    <cellStyle name="Normal 2 2 65 2 2" xfId="15248"/>
    <cellStyle name="Normal 2 2 65 2 2 2" xfId="15249"/>
    <cellStyle name="Normal 2 2 65 3" xfId="15250"/>
    <cellStyle name="Normal 2 2 65 4" xfId="15251"/>
    <cellStyle name="Normal 2 2 65 5" xfId="15252"/>
    <cellStyle name="Normal 2 2 65 6" xfId="15253"/>
    <cellStyle name="Normal 2 2 66" xfId="15254"/>
    <cellStyle name="Normal 2 2 66 2" xfId="15255"/>
    <cellStyle name="Normal 2 2 66 2 2" xfId="15256"/>
    <cellStyle name="Normal 2 2 67" xfId="15257"/>
    <cellStyle name="Normal 2 2 68" xfId="15258"/>
    <cellStyle name="Normal 2 2 69" xfId="15259"/>
    <cellStyle name="Normal 2 2 7" xfId="15260"/>
    <cellStyle name="Normal 2 2 7 2" xfId="15261"/>
    <cellStyle name="Normal 2 2 70" xfId="15262"/>
    <cellStyle name="Normal 2 2 71" xfId="15263"/>
    <cellStyle name="Normal 2 2 72" xfId="15264"/>
    <cellStyle name="Normal 2 2 73" xfId="15265"/>
    <cellStyle name="Normal 2 2 74" xfId="15266"/>
    <cellStyle name="Normal 2 2 75" xfId="15267"/>
    <cellStyle name="Normal 2 2 76" xfId="15268"/>
    <cellStyle name="Normal 2 2 77" xfId="15269"/>
    <cellStyle name="Normal 2 2 77 10" xfId="15270"/>
    <cellStyle name="Normal 2 2 77 11" xfId="15271"/>
    <cellStyle name="Normal 2 2 77 11 10" xfId="15272"/>
    <cellStyle name="Normal 2 2 77 11 11" xfId="15273"/>
    <cellStyle name="Normal 2 2 77 11 11 2" xfId="15274"/>
    <cellStyle name="Normal 2 2 77 11 11 3" xfId="15275"/>
    <cellStyle name="Normal 2 2 77 11 11 4" xfId="15276"/>
    <cellStyle name="Normal 2 2 77 11 12" xfId="15277"/>
    <cellStyle name="Normal 2 2 77 11 13" xfId="15278"/>
    <cellStyle name="Normal 2 2 77 11 14" xfId="15279"/>
    <cellStyle name="Normal 2 2 77 11 2" xfId="15280"/>
    <cellStyle name="Normal 2 2 77 11 2 10" xfId="15281"/>
    <cellStyle name="Normal 2 2 77 11 2 11" xfId="15282"/>
    <cellStyle name="Normal 2 2 77 11 2 2" xfId="15283"/>
    <cellStyle name="Normal 2 2 77 11 2 2 10" xfId="15284"/>
    <cellStyle name="Normal 2 2 77 11 2 2 11" xfId="15285"/>
    <cellStyle name="Normal 2 2 77 11 2 2 2" xfId="15286"/>
    <cellStyle name="Normal 2 2 77 11 2 2 2 2" xfId="15287"/>
    <cellStyle name="Normal 2 2 77 11 2 2 2 2 2" xfId="15288"/>
    <cellStyle name="Normal 2 2 77 11 2 2 2 2 3" xfId="15289"/>
    <cellStyle name="Normal 2 2 77 11 2 2 2 2 4" xfId="15290"/>
    <cellStyle name="Normal 2 2 77 11 2 2 2 3" xfId="15291"/>
    <cellStyle name="Normal 2 2 77 11 2 2 2 4" xfId="15292"/>
    <cellStyle name="Normal 2 2 77 11 2 2 2 5" xfId="15293"/>
    <cellStyle name="Normal 2 2 77 11 2 2 2 6" xfId="15294"/>
    <cellStyle name="Normal 2 2 77 11 2 2 3" xfId="15295"/>
    <cellStyle name="Normal 2 2 77 11 2 2 4" xfId="15296"/>
    <cellStyle name="Normal 2 2 77 11 2 2 5" xfId="15297"/>
    <cellStyle name="Normal 2 2 77 11 2 2 6" xfId="15298"/>
    <cellStyle name="Normal 2 2 77 11 2 2 7" xfId="15299"/>
    <cellStyle name="Normal 2 2 77 11 2 2 8" xfId="15300"/>
    <cellStyle name="Normal 2 2 77 11 2 2 8 2" xfId="15301"/>
    <cellStyle name="Normal 2 2 77 11 2 2 8 3" xfId="15302"/>
    <cellStyle name="Normal 2 2 77 11 2 2 8 4" xfId="15303"/>
    <cellStyle name="Normal 2 2 77 11 2 2 9" xfId="15304"/>
    <cellStyle name="Normal 2 2 77 11 2 3" xfId="15305"/>
    <cellStyle name="Normal 2 2 77 11 2 3 2" xfId="15306"/>
    <cellStyle name="Normal 2 2 77 11 2 3 2 2" xfId="15307"/>
    <cellStyle name="Normal 2 2 77 11 2 3 2 3" xfId="15308"/>
    <cellStyle name="Normal 2 2 77 11 2 3 2 4" xfId="15309"/>
    <cellStyle name="Normal 2 2 77 11 2 3 3" xfId="15310"/>
    <cellStyle name="Normal 2 2 77 11 2 3 4" xfId="15311"/>
    <cellStyle name="Normal 2 2 77 11 2 3 5" xfId="15312"/>
    <cellStyle name="Normal 2 2 77 11 2 3 6" xfId="15313"/>
    <cellStyle name="Normal 2 2 77 11 2 4" xfId="15314"/>
    <cellStyle name="Normal 2 2 77 11 2 5" xfId="15315"/>
    <cellStyle name="Normal 2 2 77 11 2 6" xfId="15316"/>
    <cellStyle name="Normal 2 2 77 11 2 7" xfId="15317"/>
    <cellStyle name="Normal 2 2 77 11 2 8" xfId="15318"/>
    <cellStyle name="Normal 2 2 77 11 2 8 2" xfId="15319"/>
    <cellStyle name="Normal 2 2 77 11 2 8 3" xfId="15320"/>
    <cellStyle name="Normal 2 2 77 11 2 8 4" xfId="15321"/>
    <cellStyle name="Normal 2 2 77 11 2 9" xfId="15322"/>
    <cellStyle name="Normal 2 2 77 11 3" xfId="15323"/>
    <cellStyle name="Normal 2 2 77 11 4" xfId="15324"/>
    <cellStyle name="Normal 2 2 77 11 5" xfId="15325"/>
    <cellStyle name="Normal 2 2 77 11 5 2" xfId="15326"/>
    <cellStyle name="Normal 2 2 77 11 5 2 2" xfId="15327"/>
    <cellStyle name="Normal 2 2 77 11 5 2 3" xfId="15328"/>
    <cellStyle name="Normal 2 2 77 11 5 2 4" xfId="15329"/>
    <cellStyle name="Normal 2 2 77 11 5 3" xfId="15330"/>
    <cellStyle name="Normal 2 2 77 11 5 4" xfId="15331"/>
    <cellStyle name="Normal 2 2 77 11 5 5" xfId="15332"/>
    <cellStyle name="Normal 2 2 77 11 5 6" xfId="15333"/>
    <cellStyle name="Normal 2 2 77 11 6" xfId="15334"/>
    <cellStyle name="Normal 2 2 77 11 7" xfId="15335"/>
    <cellStyle name="Normal 2 2 77 11 8" xfId="15336"/>
    <cellStyle name="Normal 2 2 77 11 9" xfId="15337"/>
    <cellStyle name="Normal 2 2 77 12" xfId="15338"/>
    <cellStyle name="Normal 2 2 77 13" xfId="15339"/>
    <cellStyle name="Normal 2 2 77 13 10" xfId="15340"/>
    <cellStyle name="Normal 2 2 77 13 11" xfId="15341"/>
    <cellStyle name="Normal 2 2 77 13 2" xfId="15342"/>
    <cellStyle name="Normal 2 2 77 13 2 10" xfId="15343"/>
    <cellStyle name="Normal 2 2 77 13 2 11" xfId="15344"/>
    <cellStyle name="Normal 2 2 77 13 2 2" xfId="15345"/>
    <cellStyle name="Normal 2 2 77 13 2 2 2" xfId="15346"/>
    <cellStyle name="Normal 2 2 77 13 2 2 2 2" xfId="15347"/>
    <cellStyle name="Normal 2 2 77 13 2 2 2 3" xfId="15348"/>
    <cellStyle name="Normal 2 2 77 13 2 2 2 4" xfId="15349"/>
    <cellStyle name="Normal 2 2 77 13 2 2 3" xfId="15350"/>
    <cellStyle name="Normal 2 2 77 13 2 2 4" xfId="15351"/>
    <cellStyle name="Normal 2 2 77 13 2 2 5" xfId="15352"/>
    <cellStyle name="Normal 2 2 77 13 2 2 6" xfId="15353"/>
    <cellStyle name="Normal 2 2 77 13 2 3" xfId="15354"/>
    <cellStyle name="Normal 2 2 77 13 2 4" xfId="15355"/>
    <cellStyle name="Normal 2 2 77 13 2 5" xfId="15356"/>
    <cellStyle name="Normal 2 2 77 13 2 6" xfId="15357"/>
    <cellStyle name="Normal 2 2 77 13 2 7" xfId="15358"/>
    <cellStyle name="Normal 2 2 77 13 2 8" xfId="15359"/>
    <cellStyle name="Normal 2 2 77 13 2 8 2" xfId="15360"/>
    <cellStyle name="Normal 2 2 77 13 2 8 3" xfId="15361"/>
    <cellStyle name="Normal 2 2 77 13 2 8 4" xfId="15362"/>
    <cellStyle name="Normal 2 2 77 13 2 9" xfId="15363"/>
    <cellStyle name="Normal 2 2 77 13 3" xfId="15364"/>
    <cellStyle name="Normal 2 2 77 13 3 2" xfId="15365"/>
    <cellStyle name="Normal 2 2 77 13 3 2 2" xfId="15366"/>
    <cellStyle name="Normal 2 2 77 13 3 2 3" xfId="15367"/>
    <cellStyle name="Normal 2 2 77 13 3 2 4" xfId="15368"/>
    <cellStyle name="Normal 2 2 77 13 3 3" xfId="15369"/>
    <cellStyle name="Normal 2 2 77 13 3 4" xfId="15370"/>
    <cellStyle name="Normal 2 2 77 13 3 5" xfId="15371"/>
    <cellStyle name="Normal 2 2 77 13 3 6" xfId="15372"/>
    <cellStyle name="Normal 2 2 77 13 4" xfId="15373"/>
    <cellStyle name="Normal 2 2 77 13 5" xfId="15374"/>
    <cellStyle name="Normal 2 2 77 13 6" xfId="15375"/>
    <cellStyle name="Normal 2 2 77 13 7" xfId="15376"/>
    <cellStyle name="Normal 2 2 77 13 8" xfId="15377"/>
    <cellStyle name="Normal 2 2 77 13 8 2" xfId="15378"/>
    <cellStyle name="Normal 2 2 77 13 8 3" xfId="15379"/>
    <cellStyle name="Normal 2 2 77 13 8 4" xfId="15380"/>
    <cellStyle name="Normal 2 2 77 13 9" xfId="15381"/>
    <cellStyle name="Normal 2 2 77 14" xfId="15382"/>
    <cellStyle name="Normal 2 2 77 15" xfId="15383"/>
    <cellStyle name="Normal 2 2 77 15 2" xfId="15384"/>
    <cellStyle name="Normal 2 2 77 15 2 2" xfId="15385"/>
    <cellStyle name="Normal 2 2 77 15 2 3" xfId="15386"/>
    <cellStyle name="Normal 2 2 77 15 2 4" xfId="15387"/>
    <cellStyle name="Normal 2 2 77 15 3" xfId="15388"/>
    <cellStyle name="Normal 2 2 77 15 4" xfId="15389"/>
    <cellStyle name="Normal 2 2 77 15 5" xfId="15390"/>
    <cellStyle name="Normal 2 2 77 15 6" xfId="15391"/>
    <cellStyle name="Normal 2 2 77 16" xfId="15392"/>
    <cellStyle name="Normal 2 2 77 17" xfId="15393"/>
    <cellStyle name="Normal 2 2 77 18" xfId="15394"/>
    <cellStyle name="Normal 2 2 77 19" xfId="15395"/>
    <cellStyle name="Normal 2 2 77 2" xfId="15396"/>
    <cellStyle name="Normal 2 2 77 2 10" xfId="15397"/>
    <cellStyle name="Normal 2 2 77 2 11" xfId="15398"/>
    <cellStyle name="Normal 2 2 77 2 12" xfId="15399"/>
    <cellStyle name="Normal 2 2 77 2 13" xfId="15400"/>
    <cellStyle name="Normal 2 2 77 2 13 2" xfId="15401"/>
    <cellStyle name="Normal 2 2 77 2 13 3" xfId="15402"/>
    <cellStyle name="Normal 2 2 77 2 13 4" xfId="15403"/>
    <cellStyle name="Normal 2 2 77 2 14" xfId="15404"/>
    <cellStyle name="Normal 2 2 77 2 15" xfId="15405"/>
    <cellStyle name="Normal 2 2 77 2 16" xfId="15406"/>
    <cellStyle name="Normal 2 2 77 2 2" xfId="15407"/>
    <cellStyle name="Normal 2 2 77 2 2 10" xfId="15408"/>
    <cellStyle name="Normal 2 2 77 2 2 11" xfId="15409"/>
    <cellStyle name="Normal 2 2 77 2 2 11 2" xfId="15410"/>
    <cellStyle name="Normal 2 2 77 2 2 11 3" xfId="15411"/>
    <cellStyle name="Normal 2 2 77 2 2 11 4" xfId="15412"/>
    <cellStyle name="Normal 2 2 77 2 2 12" xfId="15413"/>
    <cellStyle name="Normal 2 2 77 2 2 13" xfId="15414"/>
    <cellStyle name="Normal 2 2 77 2 2 14" xfId="15415"/>
    <cellStyle name="Normal 2 2 77 2 2 2" xfId="15416"/>
    <cellStyle name="Normal 2 2 77 2 2 2 10" xfId="15417"/>
    <cellStyle name="Normal 2 2 77 2 2 2 11" xfId="15418"/>
    <cellStyle name="Normal 2 2 77 2 2 2 2" xfId="15419"/>
    <cellStyle name="Normal 2 2 77 2 2 2 2 10" xfId="15420"/>
    <cellStyle name="Normal 2 2 77 2 2 2 2 11" xfId="15421"/>
    <cellStyle name="Normal 2 2 77 2 2 2 2 2" xfId="15422"/>
    <cellStyle name="Normal 2 2 77 2 2 2 2 2 2" xfId="15423"/>
    <cellStyle name="Normal 2 2 77 2 2 2 2 2 2 2" xfId="15424"/>
    <cellStyle name="Normal 2 2 77 2 2 2 2 2 2 3" xfId="15425"/>
    <cellStyle name="Normal 2 2 77 2 2 2 2 2 2 4" xfId="15426"/>
    <cellStyle name="Normal 2 2 77 2 2 2 2 2 3" xfId="15427"/>
    <cellStyle name="Normal 2 2 77 2 2 2 2 2 4" xfId="15428"/>
    <cellStyle name="Normal 2 2 77 2 2 2 2 2 5" xfId="15429"/>
    <cellStyle name="Normal 2 2 77 2 2 2 2 2 6" xfId="15430"/>
    <cellStyle name="Normal 2 2 77 2 2 2 2 3" xfId="15431"/>
    <cellStyle name="Normal 2 2 77 2 2 2 2 4" xfId="15432"/>
    <cellStyle name="Normal 2 2 77 2 2 2 2 5" xfId="15433"/>
    <cellStyle name="Normal 2 2 77 2 2 2 2 6" xfId="15434"/>
    <cellStyle name="Normal 2 2 77 2 2 2 2 7" xfId="15435"/>
    <cellStyle name="Normal 2 2 77 2 2 2 2 8" xfId="15436"/>
    <cellStyle name="Normal 2 2 77 2 2 2 2 8 2" xfId="15437"/>
    <cellStyle name="Normal 2 2 77 2 2 2 2 8 3" xfId="15438"/>
    <cellStyle name="Normal 2 2 77 2 2 2 2 8 4" xfId="15439"/>
    <cellStyle name="Normal 2 2 77 2 2 2 2 9" xfId="15440"/>
    <cellStyle name="Normal 2 2 77 2 2 2 3" xfId="15441"/>
    <cellStyle name="Normal 2 2 77 2 2 2 3 2" xfId="15442"/>
    <cellStyle name="Normal 2 2 77 2 2 2 3 2 2" xfId="15443"/>
    <cellStyle name="Normal 2 2 77 2 2 2 3 2 3" xfId="15444"/>
    <cellStyle name="Normal 2 2 77 2 2 2 3 2 4" xfId="15445"/>
    <cellStyle name="Normal 2 2 77 2 2 2 3 3" xfId="15446"/>
    <cellStyle name="Normal 2 2 77 2 2 2 3 4" xfId="15447"/>
    <cellStyle name="Normal 2 2 77 2 2 2 3 5" xfId="15448"/>
    <cellStyle name="Normal 2 2 77 2 2 2 3 6" xfId="15449"/>
    <cellStyle name="Normal 2 2 77 2 2 2 4" xfId="15450"/>
    <cellStyle name="Normal 2 2 77 2 2 2 5" xfId="15451"/>
    <cellStyle name="Normal 2 2 77 2 2 2 6" xfId="15452"/>
    <cellStyle name="Normal 2 2 77 2 2 2 7" xfId="15453"/>
    <cellStyle name="Normal 2 2 77 2 2 2 8" xfId="15454"/>
    <cellStyle name="Normal 2 2 77 2 2 2 8 2" xfId="15455"/>
    <cellStyle name="Normal 2 2 77 2 2 2 8 3" xfId="15456"/>
    <cellStyle name="Normal 2 2 77 2 2 2 8 4" xfId="15457"/>
    <cellStyle name="Normal 2 2 77 2 2 2 9" xfId="15458"/>
    <cellStyle name="Normal 2 2 77 2 2 3" xfId="15459"/>
    <cellStyle name="Normal 2 2 77 2 2 4" xfId="15460"/>
    <cellStyle name="Normal 2 2 77 2 2 5" xfId="15461"/>
    <cellStyle name="Normal 2 2 77 2 2 5 2" xfId="15462"/>
    <cellStyle name="Normal 2 2 77 2 2 5 2 2" xfId="15463"/>
    <cellStyle name="Normal 2 2 77 2 2 5 2 3" xfId="15464"/>
    <cellStyle name="Normal 2 2 77 2 2 5 2 4" xfId="15465"/>
    <cellStyle name="Normal 2 2 77 2 2 5 3" xfId="15466"/>
    <cellStyle name="Normal 2 2 77 2 2 5 4" xfId="15467"/>
    <cellStyle name="Normal 2 2 77 2 2 5 5" xfId="15468"/>
    <cellStyle name="Normal 2 2 77 2 2 5 6" xfId="15469"/>
    <cellStyle name="Normal 2 2 77 2 2 6" xfId="15470"/>
    <cellStyle name="Normal 2 2 77 2 2 7" xfId="15471"/>
    <cellStyle name="Normal 2 2 77 2 2 8" xfId="15472"/>
    <cellStyle name="Normal 2 2 77 2 2 9" xfId="15473"/>
    <cellStyle name="Normal 2 2 77 2 3" xfId="15474"/>
    <cellStyle name="Normal 2 2 77 2 4" xfId="15475"/>
    <cellStyle name="Normal 2 2 77 2 5" xfId="15476"/>
    <cellStyle name="Normal 2 2 77 2 5 10" xfId="15477"/>
    <cellStyle name="Normal 2 2 77 2 5 11" xfId="15478"/>
    <cellStyle name="Normal 2 2 77 2 5 2" xfId="15479"/>
    <cellStyle name="Normal 2 2 77 2 5 2 10" xfId="15480"/>
    <cellStyle name="Normal 2 2 77 2 5 2 11" xfId="15481"/>
    <cellStyle name="Normal 2 2 77 2 5 2 2" xfId="15482"/>
    <cellStyle name="Normal 2 2 77 2 5 2 2 2" xfId="15483"/>
    <cellStyle name="Normal 2 2 77 2 5 2 2 2 2" xfId="15484"/>
    <cellStyle name="Normal 2 2 77 2 5 2 2 2 3" xfId="15485"/>
    <cellStyle name="Normal 2 2 77 2 5 2 2 2 4" xfId="15486"/>
    <cellStyle name="Normal 2 2 77 2 5 2 2 3" xfId="15487"/>
    <cellStyle name="Normal 2 2 77 2 5 2 2 4" xfId="15488"/>
    <cellStyle name="Normal 2 2 77 2 5 2 2 5" xfId="15489"/>
    <cellStyle name="Normal 2 2 77 2 5 2 2 6" xfId="15490"/>
    <cellStyle name="Normal 2 2 77 2 5 2 3" xfId="15491"/>
    <cellStyle name="Normal 2 2 77 2 5 2 4" xfId="15492"/>
    <cellStyle name="Normal 2 2 77 2 5 2 5" xfId="15493"/>
    <cellStyle name="Normal 2 2 77 2 5 2 6" xfId="15494"/>
    <cellStyle name="Normal 2 2 77 2 5 2 7" xfId="15495"/>
    <cellStyle name="Normal 2 2 77 2 5 2 8" xfId="15496"/>
    <cellStyle name="Normal 2 2 77 2 5 2 8 2" xfId="15497"/>
    <cellStyle name="Normal 2 2 77 2 5 2 8 3" xfId="15498"/>
    <cellStyle name="Normal 2 2 77 2 5 2 8 4" xfId="15499"/>
    <cellStyle name="Normal 2 2 77 2 5 2 9" xfId="15500"/>
    <cellStyle name="Normal 2 2 77 2 5 3" xfId="15501"/>
    <cellStyle name="Normal 2 2 77 2 5 3 2" xfId="15502"/>
    <cellStyle name="Normal 2 2 77 2 5 3 2 2" xfId="15503"/>
    <cellStyle name="Normal 2 2 77 2 5 3 2 3" xfId="15504"/>
    <cellStyle name="Normal 2 2 77 2 5 3 2 4" xfId="15505"/>
    <cellStyle name="Normal 2 2 77 2 5 3 3" xfId="15506"/>
    <cellStyle name="Normal 2 2 77 2 5 3 4" xfId="15507"/>
    <cellStyle name="Normal 2 2 77 2 5 3 5" xfId="15508"/>
    <cellStyle name="Normal 2 2 77 2 5 3 6" xfId="15509"/>
    <cellStyle name="Normal 2 2 77 2 5 4" xfId="15510"/>
    <cellStyle name="Normal 2 2 77 2 5 5" xfId="15511"/>
    <cellStyle name="Normal 2 2 77 2 5 6" xfId="15512"/>
    <cellStyle name="Normal 2 2 77 2 5 7" xfId="15513"/>
    <cellStyle name="Normal 2 2 77 2 5 8" xfId="15514"/>
    <cellStyle name="Normal 2 2 77 2 5 8 2" xfId="15515"/>
    <cellStyle name="Normal 2 2 77 2 5 8 3" xfId="15516"/>
    <cellStyle name="Normal 2 2 77 2 5 8 4" xfId="15517"/>
    <cellStyle name="Normal 2 2 77 2 5 9" xfId="15518"/>
    <cellStyle name="Normal 2 2 77 2 6" xfId="15519"/>
    <cellStyle name="Normal 2 2 77 2 7" xfId="15520"/>
    <cellStyle name="Normal 2 2 77 2 7 2" xfId="15521"/>
    <cellStyle name="Normal 2 2 77 2 7 2 2" xfId="15522"/>
    <cellStyle name="Normal 2 2 77 2 7 2 3" xfId="15523"/>
    <cellStyle name="Normal 2 2 77 2 7 2 4" xfId="15524"/>
    <cellStyle name="Normal 2 2 77 2 7 3" xfId="15525"/>
    <cellStyle name="Normal 2 2 77 2 7 4" xfId="15526"/>
    <cellStyle name="Normal 2 2 77 2 7 5" xfId="15527"/>
    <cellStyle name="Normal 2 2 77 2 7 6" xfId="15528"/>
    <cellStyle name="Normal 2 2 77 2 8" xfId="15529"/>
    <cellStyle name="Normal 2 2 77 2 9" xfId="15530"/>
    <cellStyle name="Normal 2 2 77 20" xfId="15531"/>
    <cellStyle name="Normal 2 2 77 21" xfId="15532"/>
    <cellStyle name="Normal 2 2 77 21 2" xfId="15533"/>
    <cellStyle name="Normal 2 2 77 21 3" xfId="15534"/>
    <cellStyle name="Normal 2 2 77 21 4" xfId="15535"/>
    <cellStyle name="Normal 2 2 77 22" xfId="15536"/>
    <cellStyle name="Normal 2 2 77 23" xfId="15537"/>
    <cellStyle name="Normal 2 2 77 24" xfId="15538"/>
    <cellStyle name="Normal 2 2 77 3" xfId="15539"/>
    <cellStyle name="Normal 2 2 77 4" xfId="15540"/>
    <cellStyle name="Normal 2 2 77 5" xfId="15541"/>
    <cellStyle name="Normal 2 2 77 6" xfId="15542"/>
    <cellStyle name="Normal 2 2 77 7" xfId="15543"/>
    <cellStyle name="Normal 2 2 77 8" xfId="15544"/>
    <cellStyle name="Normal 2 2 77 9" xfId="15545"/>
    <cellStyle name="Normal 2 2 78" xfId="15546"/>
    <cellStyle name="Normal 2 2 78 10" xfId="15547"/>
    <cellStyle name="Normal 2 2 78 11" xfId="15548"/>
    <cellStyle name="Normal 2 2 78 12" xfId="15549"/>
    <cellStyle name="Normal 2 2 78 13" xfId="15550"/>
    <cellStyle name="Normal 2 2 78 13 2" xfId="15551"/>
    <cellStyle name="Normal 2 2 78 13 3" xfId="15552"/>
    <cellStyle name="Normal 2 2 78 13 4" xfId="15553"/>
    <cellStyle name="Normal 2 2 78 14" xfId="15554"/>
    <cellStyle name="Normal 2 2 78 15" xfId="15555"/>
    <cellStyle name="Normal 2 2 78 16" xfId="15556"/>
    <cellStyle name="Normal 2 2 78 2" xfId="15557"/>
    <cellStyle name="Normal 2 2 78 2 10" xfId="15558"/>
    <cellStyle name="Normal 2 2 78 2 11" xfId="15559"/>
    <cellStyle name="Normal 2 2 78 2 11 2" xfId="15560"/>
    <cellStyle name="Normal 2 2 78 2 11 3" xfId="15561"/>
    <cellStyle name="Normal 2 2 78 2 11 4" xfId="15562"/>
    <cellStyle name="Normal 2 2 78 2 12" xfId="15563"/>
    <cellStyle name="Normal 2 2 78 2 13" xfId="15564"/>
    <cellStyle name="Normal 2 2 78 2 14" xfId="15565"/>
    <cellStyle name="Normal 2 2 78 2 2" xfId="15566"/>
    <cellStyle name="Normal 2 2 78 2 2 10" xfId="15567"/>
    <cellStyle name="Normal 2 2 78 2 2 11" xfId="15568"/>
    <cellStyle name="Normal 2 2 78 2 2 2" xfId="15569"/>
    <cellStyle name="Normal 2 2 78 2 2 2 10" xfId="15570"/>
    <cellStyle name="Normal 2 2 78 2 2 2 11" xfId="15571"/>
    <cellStyle name="Normal 2 2 78 2 2 2 2" xfId="15572"/>
    <cellStyle name="Normal 2 2 78 2 2 2 2 2" xfId="15573"/>
    <cellStyle name="Normal 2 2 78 2 2 2 2 2 2" xfId="15574"/>
    <cellStyle name="Normal 2 2 78 2 2 2 2 2 3" xfId="15575"/>
    <cellStyle name="Normal 2 2 78 2 2 2 2 2 4" xfId="15576"/>
    <cellStyle name="Normal 2 2 78 2 2 2 2 3" xfId="15577"/>
    <cellStyle name="Normal 2 2 78 2 2 2 2 4" xfId="15578"/>
    <cellStyle name="Normal 2 2 78 2 2 2 2 5" xfId="15579"/>
    <cellStyle name="Normal 2 2 78 2 2 2 2 6" xfId="15580"/>
    <cellStyle name="Normal 2 2 78 2 2 2 3" xfId="15581"/>
    <cellStyle name="Normal 2 2 78 2 2 2 4" xfId="15582"/>
    <cellStyle name="Normal 2 2 78 2 2 2 5" xfId="15583"/>
    <cellStyle name="Normal 2 2 78 2 2 2 6" xfId="15584"/>
    <cellStyle name="Normal 2 2 78 2 2 2 7" xfId="15585"/>
    <cellStyle name="Normal 2 2 78 2 2 2 8" xfId="15586"/>
    <cellStyle name="Normal 2 2 78 2 2 2 8 2" xfId="15587"/>
    <cellStyle name="Normal 2 2 78 2 2 2 8 3" xfId="15588"/>
    <cellStyle name="Normal 2 2 78 2 2 2 8 4" xfId="15589"/>
    <cellStyle name="Normal 2 2 78 2 2 2 9" xfId="15590"/>
    <cellStyle name="Normal 2 2 78 2 2 3" xfId="15591"/>
    <cellStyle name="Normal 2 2 78 2 2 3 2" xfId="15592"/>
    <cellStyle name="Normal 2 2 78 2 2 3 2 2" xfId="15593"/>
    <cellStyle name="Normal 2 2 78 2 2 3 2 3" xfId="15594"/>
    <cellStyle name="Normal 2 2 78 2 2 3 2 4" xfId="15595"/>
    <cellStyle name="Normal 2 2 78 2 2 3 3" xfId="15596"/>
    <cellStyle name="Normal 2 2 78 2 2 3 4" xfId="15597"/>
    <cellStyle name="Normal 2 2 78 2 2 3 5" xfId="15598"/>
    <cellStyle name="Normal 2 2 78 2 2 3 6" xfId="15599"/>
    <cellStyle name="Normal 2 2 78 2 2 4" xfId="15600"/>
    <cellStyle name="Normal 2 2 78 2 2 5" xfId="15601"/>
    <cellStyle name="Normal 2 2 78 2 2 6" xfId="15602"/>
    <cellStyle name="Normal 2 2 78 2 2 7" xfId="15603"/>
    <cellStyle name="Normal 2 2 78 2 2 8" xfId="15604"/>
    <cellStyle name="Normal 2 2 78 2 2 8 2" xfId="15605"/>
    <cellStyle name="Normal 2 2 78 2 2 8 3" xfId="15606"/>
    <cellStyle name="Normal 2 2 78 2 2 8 4" xfId="15607"/>
    <cellStyle name="Normal 2 2 78 2 2 9" xfId="15608"/>
    <cellStyle name="Normal 2 2 78 2 3" xfId="15609"/>
    <cellStyle name="Normal 2 2 78 2 4" xfId="15610"/>
    <cellStyle name="Normal 2 2 78 2 5" xfId="15611"/>
    <cellStyle name="Normal 2 2 78 2 5 2" xfId="15612"/>
    <cellStyle name="Normal 2 2 78 2 5 2 2" xfId="15613"/>
    <cellStyle name="Normal 2 2 78 2 5 2 3" xfId="15614"/>
    <cellStyle name="Normal 2 2 78 2 5 2 4" xfId="15615"/>
    <cellStyle name="Normal 2 2 78 2 5 3" xfId="15616"/>
    <cellStyle name="Normal 2 2 78 2 5 4" xfId="15617"/>
    <cellStyle name="Normal 2 2 78 2 5 5" xfId="15618"/>
    <cellStyle name="Normal 2 2 78 2 5 6" xfId="15619"/>
    <cellStyle name="Normal 2 2 78 2 6" xfId="15620"/>
    <cellStyle name="Normal 2 2 78 2 7" xfId="15621"/>
    <cellStyle name="Normal 2 2 78 2 8" xfId="15622"/>
    <cellStyle name="Normal 2 2 78 2 9" xfId="15623"/>
    <cellStyle name="Normal 2 2 78 3" xfId="15624"/>
    <cellStyle name="Normal 2 2 78 4" xfId="15625"/>
    <cellStyle name="Normal 2 2 78 5" xfId="15626"/>
    <cellStyle name="Normal 2 2 78 5 10" xfId="15627"/>
    <cellStyle name="Normal 2 2 78 5 11" xfId="15628"/>
    <cellStyle name="Normal 2 2 78 5 2" xfId="15629"/>
    <cellStyle name="Normal 2 2 78 5 2 10" xfId="15630"/>
    <cellStyle name="Normal 2 2 78 5 2 11" xfId="15631"/>
    <cellStyle name="Normal 2 2 78 5 2 2" xfId="15632"/>
    <cellStyle name="Normal 2 2 78 5 2 2 2" xfId="15633"/>
    <cellStyle name="Normal 2 2 78 5 2 2 2 2" xfId="15634"/>
    <cellStyle name="Normal 2 2 78 5 2 2 2 3" xfId="15635"/>
    <cellStyle name="Normal 2 2 78 5 2 2 2 4" xfId="15636"/>
    <cellStyle name="Normal 2 2 78 5 2 2 3" xfId="15637"/>
    <cellStyle name="Normal 2 2 78 5 2 2 4" xfId="15638"/>
    <cellStyle name="Normal 2 2 78 5 2 2 5" xfId="15639"/>
    <cellStyle name="Normal 2 2 78 5 2 2 6" xfId="15640"/>
    <cellStyle name="Normal 2 2 78 5 2 3" xfId="15641"/>
    <cellStyle name="Normal 2 2 78 5 2 4" xfId="15642"/>
    <cellStyle name="Normal 2 2 78 5 2 5" xfId="15643"/>
    <cellStyle name="Normal 2 2 78 5 2 6" xfId="15644"/>
    <cellStyle name="Normal 2 2 78 5 2 7" xfId="15645"/>
    <cellStyle name="Normal 2 2 78 5 2 8" xfId="15646"/>
    <cellStyle name="Normal 2 2 78 5 2 8 2" xfId="15647"/>
    <cellStyle name="Normal 2 2 78 5 2 8 3" xfId="15648"/>
    <cellStyle name="Normal 2 2 78 5 2 8 4" xfId="15649"/>
    <cellStyle name="Normal 2 2 78 5 2 9" xfId="15650"/>
    <cellStyle name="Normal 2 2 78 5 3" xfId="15651"/>
    <cellStyle name="Normal 2 2 78 5 3 2" xfId="15652"/>
    <cellStyle name="Normal 2 2 78 5 3 2 2" xfId="15653"/>
    <cellStyle name="Normal 2 2 78 5 3 2 3" xfId="15654"/>
    <cellStyle name="Normal 2 2 78 5 3 2 4" xfId="15655"/>
    <cellStyle name="Normal 2 2 78 5 3 3" xfId="15656"/>
    <cellStyle name="Normal 2 2 78 5 3 4" xfId="15657"/>
    <cellStyle name="Normal 2 2 78 5 3 5" xfId="15658"/>
    <cellStyle name="Normal 2 2 78 5 3 6" xfId="15659"/>
    <cellStyle name="Normal 2 2 78 5 4" xfId="15660"/>
    <cellStyle name="Normal 2 2 78 5 5" xfId="15661"/>
    <cellStyle name="Normal 2 2 78 5 6" xfId="15662"/>
    <cellStyle name="Normal 2 2 78 5 7" xfId="15663"/>
    <cellStyle name="Normal 2 2 78 5 8" xfId="15664"/>
    <cellStyle name="Normal 2 2 78 5 8 2" xfId="15665"/>
    <cellStyle name="Normal 2 2 78 5 8 3" xfId="15666"/>
    <cellStyle name="Normal 2 2 78 5 8 4" xfId="15667"/>
    <cellStyle name="Normal 2 2 78 5 9" xfId="15668"/>
    <cellStyle name="Normal 2 2 78 6" xfId="15669"/>
    <cellStyle name="Normal 2 2 78 7" xfId="15670"/>
    <cellStyle name="Normal 2 2 78 7 2" xfId="15671"/>
    <cellStyle name="Normal 2 2 78 7 2 2" xfId="15672"/>
    <cellStyle name="Normal 2 2 78 7 2 3" xfId="15673"/>
    <cellStyle name="Normal 2 2 78 7 2 4" xfId="15674"/>
    <cellStyle name="Normal 2 2 78 7 3" xfId="15675"/>
    <cellStyle name="Normal 2 2 78 7 4" xfId="15676"/>
    <cellStyle name="Normal 2 2 78 7 5" xfId="15677"/>
    <cellStyle name="Normal 2 2 78 7 6" xfId="15678"/>
    <cellStyle name="Normal 2 2 78 8" xfId="15679"/>
    <cellStyle name="Normal 2 2 78 9" xfId="15680"/>
    <cellStyle name="Normal 2 2 79" xfId="15681"/>
    <cellStyle name="Normal 2 2 8" xfId="15682"/>
    <cellStyle name="Normal 2 2 8 2" xfId="15683"/>
    <cellStyle name="Normal 2 2 80" xfId="15684"/>
    <cellStyle name="Normal 2 2 81" xfId="15685"/>
    <cellStyle name="Normal 2 2 82" xfId="15686"/>
    <cellStyle name="Normal 2 2 83" xfId="15687"/>
    <cellStyle name="Normal 2 2 84" xfId="15688"/>
    <cellStyle name="Normal 2 2 85" xfId="15689"/>
    <cellStyle name="Normal 2 2 86" xfId="15690"/>
    <cellStyle name="Normal 2 2 86 10" xfId="15691"/>
    <cellStyle name="Normal 2 2 86 11" xfId="15692"/>
    <cellStyle name="Normal 2 2 86 11 2" xfId="15693"/>
    <cellStyle name="Normal 2 2 86 11 3" xfId="15694"/>
    <cellStyle name="Normal 2 2 86 11 4" xfId="15695"/>
    <cellStyle name="Normal 2 2 86 12" xfId="15696"/>
    <cellStyle name="Normal 2 2 86 13" xfId="15697"/>
    <cellStyle name="Normal 2 2 86 14" xfId="15698"/>
    <cellStyle name="Normal 2 2 86 2" xfId="15699"/>
    <cellStyle name="Normal 2 2 86 2 10" xfId="15700"/>
    <cellStyle name="Normal 2 2 86 2 11" xfId="15701"/>
    <cellStyle name="Normal 2 2 86 2 2" xfId="15702"/>
    <cellStyle name="Normal 2 2 86 2 2 10" xfId="15703"/>
    <cellStyle name="Normal 2 2 86 2 2 11" xfId="15704"/>
    <cellStyle name="Normal 2 2 86 2 2 2" xfId="15705"/>
    <cellStyle name="Normal 2 2 86 2 2 2 2" xfId="15706"/>
    <cellStyle name="Normal 2 2 86 2 2 2 2 2" xfId="15707"/>
    <cellStyle name="Normal 2 2 86 2 2 2 2 3" xfId="15708"/>
    <cellStyle name="Normal 2 2 86 2 2 2 2 4" xfId="15709"/>
    <cellStyle name="Normal 2 2 86 2 2 2 3" xfId="15710"/>
    <cellStyle name="Normal 2 2 86 2 2 2 4" xfId="15711"/>
    <cellStyle name="Normal 2 2 86 2 2 2 5" xfId="15712"/>
    <cellStyle name="Normal 2 2 86 2 2 2 6" xfId="15713"/>
    <cellStyle name="Normal 2 2 86 2 2 3" xfId="15714"/>
    <cellStyle name="Normal 2 2 86 2 2 4" xfId="15715"/>
    <cellStyle name="Normal 2 2 86 2 2 5" xfId="15716"/>
    <cellStyle name="Normal 2 2 86 2 2 6" xfId="15717"/>
    <cellStyle name="Normal 2 2 86 2 2 7" xfId="15718"/>
    <cellStyle name="Normal 2 2 86 2 2 8" xfId="15719"/>
    <cellStyle name="Normal 2 2 86 2 2 8 2" xfId="15720"/>
    <cellStyle name="Normal 2 2 86 2 2 8 3" xfId="15721"/>
    <cellStyle name="Normal 2 2 86 2 2 8 4" xfId="15722"/>
    <cellStyle name="Normal 2 2 86 2 2 9" xfId="15723"/>
    <cellStyle name="Normal 2 2 86 2 3" xfId="15724"/>
    <cellStyle name="Normal 2 2 86 2 3 2" xfId="15725"/>
    <cellStyle name="Normal 2 2 86 2 3 2 2" xfId="15726"/>
    <cellStyle name="Normal 2 2 86 2 3 2 3" xfId="15727"/>
    <cellStyle name="Normal 2 2 86 2 3 2 4" xfId="15728"/>
    <cellStyle name="Normal 2 2 86 2 3 3" xfId="15729"/>
    <cellStyle name="Normal 2 2 86 2 3 4" xfId="15730"/>
    <cellStyle name="Normal 2 2 86 2 3 5" xfId="15731"/>
    <cellStyle name="Normal 2 2 86 2 3 6" xfId="15732"/>
    <cellStyle name="Normal 2 2 86 2 4" xfId="15733"/>
    <cellStyle name="Normal 2 2 86 2 5" xfId="15734"/>
    <cellStyle name="Normal 2 2 86 2 6" xfId="15735"/>
    <cellStyle name="Normal 2 2 86 2 7" xfId="15736"/>
    <cellStyle name="Normal 2 2 86 2 8" xfId="15737"/>
    <cellStyle name="Normal 2 2 86 2 8 2" xfId="15738"/>
    <cellStyle name="Normal 2 2 86 2 8 3" xfId="15739"/>
    <cellStyle name="Normal 2 2 86 2 8 4" xfId="15740"/>
    <cellStyle name="Normal 2 2 86 2 9" xfId="15741"/>
    <cellStyle name="Normal 2 2 86 3" xfId="15742"/>
    <cellStyle name="Normal 2 2 86 4" xfId="15743"/>
    <cellStyle name="Normal 2 2 86 5" xfId="15744"/>
    <cellStyle name="Normal 2 2 86 5 2" xfId="15745"/>
    <cellStyle name="Normal 2 2 86 5 2 2" xfId="15746"/>
    <cellStyle name="Normal 2 2 86 5 2 3" xfId="15747"/>
    <cellStyle name="Normal 2 2 86 5 2 4" xfId="15748"/>
    <cellStyle name="Normal 2 2 86 5 3" xfId="15749"/>
    <cellStyle name="Normal 2 2 86 5 4" xfId="15750"/>
    <cellStyle name="Normal 2 2 86 5 5" xfId="15751"/>
    <cellStyle name="Normal 2 2 86 5 6" xfId="15752"/>
    <cellStyle name="Normal 2 2 86 6" xfId="15753"/>
    <cellStyle name="Normal 2 2 86 7" xfId="15754"/>
    <cellStyle name="Normal 2 2 86 8" xfId="15755"/>
    <cellStyle name="Normal 2 2 86 9" xfId="15756"/>
    <cellStyle name="Normal 2 2 87" xfId="15757"/>
    <cellStyle name="Normal 2 2 88" xfId="15758"/>
    <cellStyle name="Normal 2 2 88 10" xfId="15759"/>
    <cellStyle name="Normal 2 2 88 11" xfId="15760"/>
    <cellStyle name="Normal 2 2 88 2" xfId="15761"/>
    <cellStyle name="Normal 2 2 88 2 10" xfId="15762"/>
    <cellStyle name="Normal 2 2 88 2 11" xfId="15763"/>
    <cellStyle name="Normal 2 2 88 2 2" xfId="15764"/>
    <cellStyle name="Normal 2 2 88 2 2 2" xfId="15765"/>
    <cellStyle name="Normal 2 2 88 2 2 2 2" xfId="15766"/>
    <cellStyle name="Normal 2 2 88 2 2 2 3" xfId="15767"/>
    <cellStyle name="Normal 2 2 88 2 2 2 4" xfId="15768"/>
    <cellStyle name="Normal 2 2 88 2 2 3" xfId="15769"/>
    <cellStyle name="Normal 2 2 88 2 2 4" xfId="15770"/>
    <cellStyle name="Normal 2 2 88 2 2 5" xfId="15771"/>
    <cellStyle name="Normal 2 2 88 2 2 6" xfId="15772"/>
    <cellStyle name="Normal 2 2 88 2 3" xfId="15773"/>
    <cellStyle name="Normal 2 2 88 2 4" xfId="15774"/>
    <cellStyle name="Normal 2 2 88 2 5" xfId="15775"/>
    <cellStyle name="Normal 2 2 88 2 6" xfId="15776"/>
    <cellStyle name="Normal 2 2 88 2 7" xfId="15777"/>
    <cellStyle name="Normal 2 2 88 2 8" xfId="15778"/>
    <cellStyle name="Normal 2 2 88 2 8 2" xfId="15779"/>
    <cellStyle name="Normal 2 2 88 2 8 3" xfId="15780"/>
    <cellStyle name="Normal 2 2 88 2 8 4" xfId="15781"/>
    <cellStyle name="Normal 2 2 88 2 9" xfId="15782"/>
    <cellStyle name="Normal 2 2 88 3" xfId="15783"/>
    <cellStyle name="Normal 2 2 88 3 2" xfId="15784"/>
    <cellStyle name="Normal 2 2 88 3 2 2" xfId="15785"/>
    <cellStyle name="Normal 2 2 88 3 2 3" xfId="15786"/>
    <cellStyle name="Normal 2 2 88 3 2 4" xfId="15787"/>
    <cellStyle name="Normal 2 2 88 3 3" xfId="15788"/>
    <cellStyle name="Normal 2 2 88 3 4" xfId="15789"/>
    <cellStyle name="Normal 2 2 88 3 5" xfId="15790"/>
    <cellStyle name="Normal 2 2 88 3 6" xfId="15791"/>
    <cellStyle name="Normal 2 2 88 4" xfId="15792"/>
    <cellStyle name="Normal 2 2 88 5" xfId="15793"/>
    <cellStyle name="Normal 2 2 88 6" xfId="15794"/>
    <cellStyle name="Normal 2 2 88 7" xfId="15795"/>
    <cellStyle name="Normal 2 2 88 8" xfId="15796"/>
    <cellStyle name="Normal 2 2 88 8 2" xfId="15797"/>
    <cellStyle name="Normal 2 2 88 8 3" xfId="15798"/>
    <cellStyle name="Normal 2 2 88 8 4" xfId="15799"/>
    <cellStyle name="Normal 2 2 88 9" xfId="15800"/>
    <cellStyle name="Normal 2 2 89" xfId="15801"/>
    <cellStyle name="Normal 2 2 9" xfId="15802"/>
    <cellStyle name="Normal 2 2 9 2" xfId="15803"/>
    <cellStyle name="Normal 2 2 90" xfId="15804"/>
    <cellStyle name="Normal 2 2 90 2" xfId="15805"/>
    <cellStyle name="Normal 2 2 90 2 2" xfId="15806"/>
    <cellStyle name="Normal 2 2 90 2 3" xfId="15807"/>
    <cellStyle name="Normal 2 2 90 2 4" xfId="15808"/>
    <cellStyle name="Normal 2 2 90 3" xfId="15809"/>
    <cellStyle name="Normal 2 2 90 4" xfId="15810"/>
    <cellStyle name="Normal 2 2 90 5" xfId="15811"/>
    <cellStyle name="Normal 2 2 90 6" xfId="15812"/>
    <cellStyle name="Normal 2 2 91" xfId="15813"/>
    <cellStyle name="Normal 2 2 92" xfId="15814"/>
    <cellStyle name="Normal 2 2 93" xfId="15815"/>
    <cellStyle name="Normal 2 2 94" xfId="15816"/>
    <cellStyle name="Normal 2 2 95" xfId="15817"/>
    <cellStyle name="Normal 2 2 96" xfId="15818"/>
    <cellStyle name="Normal 2 2 96 2" xfId="15819"/>
    <cellStyle name="Normal 2 2 96 3" xfId="15820"/>
    <cellStyle name="Normal 2 2 96 4" xfId="15821"/>
    <cellStyle name="Normal 2 2 97" xfId="15822"/>
    <cellStyle name="Normal 2 2 98" xfId="15823"/>
    <cellStyle name="Normal 2 2 99" xfId="15824"/>
    <cellStyle name="Normal 2 2_Ch4 v2" xfId="15825"/>
    <cellStyle name="Normal 2 20" xfId="15826"/>
    <cellStyle name="Normal 2 20 2" xfId="15827"/>
    <cellStyle name="Normal 2 20 3" xfId="15828"/>
    <cellStyle name="Normal 2 20 4" xfId="15829"/>
    <cellStyle name="Normal 2 200" xfId="15830"/>
    <cellStyle name="Normal 2 201" xfId="15831"/>
    <cellStyle name="Normal 2 202" xfId="15832"/>
    <cellStyle name="Normal 2 203" xfId="15833"/>
    <cellStyle name="Normal 2 204" xfId="15834"/>
    <cellStyle name="Normal 2 205" xfId="15835"/>
    <cellStyle name="Normal 2 206" xfId="15836"/>
    <cellStyle name="Normal 2 207" xfId="15837"/>
    <cellStyle name="Normal 2 208" xfId="15838"/>
    <cellStyle name="Normal 2 209" xfId="15839"/>
    <cellStyle name="Normal 2 21" xfId="15840"/>
    <cellStyle name="Normal 2 21 2" xfId="15841"/>
    <cellStyle name="Normal 2 21 3" xfId="15842"/>
    <cellStyle name="Normal 2 21 4" xfId="15843"/>
    <cellStyle name="Normal 2 210" xfId="15844"/>
    <cellStyle name="Normal 2 211" xfId="15845"/>
    <cellStyle name="Normal 2 212" xfId="15846"/>
    <cellStyle name="Normal 2 213" xfId="15847"/>
    <cellStyle name="Normal 2 214" xfId="15848"/>
    <cellStyle name="Normal 2 215" xfId="15849"/>
    <cellStyle name="Normal 2 216" xfId="15850"/>
    <cellStyle name="Normal 2 217" xfId="15851"/>
    <cellStyle name="Normal 2 218" xfId="15852"/>
    <cellStyle name="Normal 2 219" xfId="15853"/>
    <cellStyle name="Normal 2 22" xfId="15854"/>
    <cellStyle name="Normal 2 22 2" xfId="15855"/>
    <cellStyle name="Normal 2 22 3" xfId="15856"/>
    <cellStyle name="Normal 2 22 4" xfId="15857"/>
    <cellStyle name="Normal 2 220" xfId="15858"/>
    <cellStyle name="Normal 2 221" xfId="15859"/>
    <cellStyle name="Normal 2 222" xfId="15860"/>
    <cellStyle name="Normal 2 223" xfId="15861"/>
    <cellStyle name="Normal 2 224" xfId="15862"/>
    <cellStyle name="Normal 2 225" xfId="15863"/>
    <cellStyle name="Normal 2 226" xfId="15864"/>
    <cellStyle name="Normal 2 227" xfId="15865"/>
    <cellStyle name="Normal 2 228" xfId="15866"/>
    <cellStyle name="Normal 2 229" xfId="15867"/>
    <cellStyle name="Normal 2 23" xfId="15868"/>
    <cellStyle name="Normal 2 23 2" xfId="15869"/>
    <cellStyle name="Normal 2 23 3" xfId="15870"/>
    <cellStyle name="Normal 2 23 4" xfId="15871"/>
    <cellStyle name="Normal 2 230" xfId="15872"/>
    <cellStyle name="Normal 2 231" xfId="15873"/>
    <cellStyle name="Normal 2 232" xfId="15874"/>
    <cellStyle name="Normal 2 233" xfId="15875"/>
    <cellStyle name="Normal 2 234" xfId="15876"/>
    <cellStyle name="Normal 2 235" xfId="15877"/>
    <cellStyle name="Normal 2 236" xfId="15878"/>
    <cellStyle name="Normal 2 237" xfId="15879"/>
    <cellStyle name="Normal 2 238" xfId="15880"/>
    <cellStyle name="Normal 2 239" xfId="15881"/>
    <cellStyle name="Normal 2 24" xfId="15882"/>
    <cellStyle name="Normal 2 24 2" xfId="15883"/>
    <cellStyle name="Normal 2 24 3" xfId="15884"/>
    <cellStyle name="Normal 2 240" xfId="15885"/>
    <cellStyle name="Normal 2 241" xfId="15886"/>
    <cellStyle name="Normal 2 242" xfId="15887"/>
    <cellStyle name="Normal 2 243" xfId="15888"/>
    <cellStyle name="Normal 2 244" xfId="15889"/>
    <cellStyle name="Normal 2 245" xfId="15890"/>
    <cellStyle name="Normal 2 246" xfId="5168"/>
    <cellStyle name="Normal 2 25" xfId="15891"/>
    <cellStyle name="Normal 2 25 2" xfId="15892"/>
    <cellStyle name="Normal 2 25 3" xfId="15893"/>
    <cellStyle name="Normal 2 26" xfId="15894"/>
    <cellStyle name="Normal 2 26 2" xfId="15895"/>
    <cellStyle name="Normal 2 26 3" xfId="15896"/>
    <cellStyle name="Normal 2 27" xfId="15897"/>
    <cellStyle name="Normal 2 27 2" xfId="15898"/>
    <cellStyle name="Normal 2 27 3" xfId="15899"/>
    <cellStyle name="Normal 2 27 4" xfId="15900"/>
    <cellStyle name="Normal 2 28" xfId="15901"/>
    <cellStyle name="Normal 2 28 2" xfId="15902"/>
    <cellStyle name="Normal 2 28 3" xfId="15903"/>
    <cellStyle name="Normal 2 28 4" xfId="15904"/>
    <cellStyle name="Normal 2 29" xfId="15905"/>
    <cellStyle name="Normal 2 29 2" xfId="15906"/>
    <cellStyle name="Normal 2 29 3" xfId="15907"/>
    <cellStyle name="Normal 2 29 4" xfId="15908"/>
    <cellStyle name="Normal 2 3" xfId="15909"/>
    <cellStyle name="Normal 2 3 10" xfId="15910"/>
    <cellStyle name="Normal 2 3 10 2" xfId="15911"/>
    <cellStyle name="Normal 2 3 10 3" xfId="15912"/>
    <cellStyle name="Normal 2 3 10 3 2" xfId="15913"/>
    <cellStyle name="Normal 2 3 10 4" xfId="15914"/>
    <cellStyle name="Normal 2 3 10 5" xfId="15915"/>
    <cellStyle name="Normal 2 3 10 6" xfId="15916"/>
    <cellStyle name="Normal 2 3 11" xfId="15917"/>
    <cellStyle name="Normal 2 3 11 10" xfId="15918"/>
    <cellStyle name="Normal 2 3 11 11" xfId="15919"/>
    <cellStyle name="Normal 2 3 11 12" xfId="15920"/>
    <cellStyle name="Normal 2 3 11 13" xfId="15921"/>
    <cellStyle name="Normal 2 3 11 14" xfId="15922"/>
    <cellStyle name="Normal 2 3 11 2" xfId="15923"/>
    <cellStyle name="Normal 2 3 11 2 2" xfId="15924"/>
    <cellStyle name="Normal 2 3 11 2 2 2" xfId="15925"/>
    <cellStyle name="Normal 2 3 11 2 2 2 2" xfId="15926"/>
    <cellStyle name="Normal 2 3 11 2 2 2 3" xfId="15927"/>
    <cellStyle name="Normal 2 3 11 2 2 2 4" xfId="15928"/>
    <cellStyle name="Normal 2 3 11 2 2 2 5" xfId="15929"/>
    <cellStyle name="Normal 2 3 11 2 2 2 6" xfId="15930"/>
    <cellStyle name="Normal 2 3 11 2 2 3" xfId="15931"/>
    <cellStyle name="Normal 2 3 11 2 2 4" xfId="15932"/>
    <cellStyle name="Normal 2 3 11 2 2 5" xfId="15933"/>
    <cellStyle name="Normal 2 3 11 2 2 6" xfId="15934"/>
    <cellStyle name="Normal 2 3 11 2 3" xfId="15935"/>
    <cellStyle name="Normal 2 3 11 2 4" xfId="15936"/>
    <cellStyle name="Normal 2 3 11 2 5" xfId="15937"/>
    <cellStyle name="Normal 2 3 11 2 6" xfId="15938"/>
    <cellStyle name="Normal 2 3 11 2 7" xfId="15939"/>
    <cellStyle name="Normal 2 3 11 2 8" xfId="15940"/>
    <cellStyle name="Normal 2 3 11 2 9" xfId="15941"/>
    <cellStyle name="Normal 2 3 11 3" xfId="15942"/>
    <cellStyle name="Normal 2 3 11 3 2" xfId="15943"/>
    <cellStyle name="Normal 2 3 11 3 2 2" xfId="15944"/>
    <cellStyle name="Normal 2 3 11 3 2 3" xfId="15945"/>
    <cellStyle name="Normal 2 3 11 3 2 4" xfId="15946"/>
    <cellStyle name="Normal 2 3 11 3 2 5" xfId="15947"/>
    <cellStyle name="Normal 2 3 11 3 2 6" xfId="15948"/>
    <cellStyle name="Normal 2 3 11 3 3" xfId="15949"/>
    <cellStyle name="Normal 2 3 11 3 4" xfId="15950"/>
    <cellStyle name="Normal 2 3 11 3 5" xfId="15951"/>
    <cellStyle name="Normal 2 3 11 3 6" xfId="15952"/>
    <cellStyle name="Normal 2 3 11 4" xfId="15953"/>
    <cellStyle name="Normal 2 3 11 5" xfId="15954"/>
    <cellStyle name="Normal 2 3 11 6" xfId="15955"/>
    <cellStyle name="Normal 2 3 11 7" xfId="15956"/>
    <cellStyle name="Normal 2 3 11 8" xfId="15957"/>
    <cellStyle name="Normal 2 3 11 9" xfId="15958"/>
    <cellStyle name="Normal 2 3 12" xfId="15959"/>
    <cellStyle name="Normal 2 3 12 10" xfId="15960"/>
    <cellStyle name="Normal 2 3 12 11" xfId="15961"/>
    <cellStyle name="Normal 2 3 12 12" xfId="15962"/>
    <cellStyle name="Normal 2 3 12 13" xfId="15963"/>
    <cellStyle name="Normal 2 3 12 2" xfId="15964"/>
    <cellStyle name="Normal 2 3 12 2 2" xfId="15965"/>
    <cellStyle name="Normal 2 3 12 2 3" xfId="15966"/>
    <cellStyle name="Normal 2 3 12 2 4" xfId="15967"/>
    <cellStyle name="Normal 2 3 12 2 5" xfId="15968"/>
    <cellStyle name="Normal 2 3 12 3" xfId="15969"/>
    <cellStyle name="Normal 2 3 12 3 2" xfId="15970"/>
    <cellStyle name="Normal 2 3 12 3 3" xfId="15971"/>
    <cellStyle name="Normal 2 3 12 3 4" xfId="15972"/>
    <cellStyle name="Normal 2 3 12 3 5" xfId="15973"/>
    <cellStyle name="Normal 2 3 12 4" xfId="15974"/>
    <cellStyle name="Normal 2 3 12 5" xfId="15975"/>
    <cellStyle name="Normal 2 3 12 6" xfId="15976"/>
    <cellStyle name="Normal 2 3 12 7" xfId="15977"/>
    <cellStyle name="Normal 2 3 12 8" xfId="15978"/>
    <cellStyle name="Normal 2 3 12 9" xfId="15979"/>
    <cellStyle name="Normal 2 3 13" xfId="15980"/>
    <cellStyle name="Normal 2 3 13 2" xfId="15981"/>
    <cellStyle name="Normal 2 3 13 3" xfId="15982"/>
    <cellStyle name="Normal 2 3 13 4" xfId="15983"/>
    <cellStyle name="Normal 2 3 13 5" xfId="15984"/>
    <cellStyle name="Normal 2 3 13 6" xfId="15985"/>
    <cellStyle name="Normal 2 3 14" xfId="15986"/>
    <cellStyle name="Normal 2 3 14 10" xfId="15987"/>
    <cellStyle name="Normal 2 3 14 11" xfId="15988"/>
    <cellStyle name="Normal 2 3 14 2" xfId="15989"/>
    <cellStyle name="Normal 2 3 14 2 2" xfId="15990"/>
    <cellStyle name="Normal 2 3 14 2 3" xfId="15991"/>
    <cellStyle name="Normal 2 3 14 2 4" xfId="15992"/>
    <cellStyle name="Normal 2 3 14 2 5" xfId="15993"/>
    <cellStyle name="Normal 2 3 14 2 6" xfId="15994"/>
    <cellStyle name="Normal 2 3 14 3" xfId="15995"/>
    <cellStyle name="Normal 2 3 14 4" xfId="15996"/>
    <cellStyle name="Normal 2 3 14 5" xfId="15997"/>
    <cellStyle name="Normal 2 3 14 6" xfId="15998"/>
    <cellStyle name="Normal 2 3 14 7" xfId="15999"/>
    <cellStyle name="Normal 2 3 14 8" xfId="16000"/>
    <cellStyle name="Normal 2 3 14 9" xfId="16001"/>
    <cellStyle name="Normal 2 3 15" xfId="16002"/>
    <cellStyle name="Normal 2 3 15 2" xfId="16003"/>
    <cellStyle name="Normal 2 3 15 3" xfId="16004"/>
    <cellStyle name="Normal 2 3 15 4" xfId="16005"/>
    <cellStyle name="Normal 2 3 15 5" xfId="16006"/>
    <cellStyle name="Normal 2 3 15 6" xfId="16007"/>
    <cellStyle name="Normal 2 3 16" xfId="16008"/>
    <cellStyle name="Normal 2 3 16 2" xfId="16009"/>
    <cellStyle name="Normal 2 3 16 3" xfId="16010"/>
    <cellStyle name="Normal 2 3 16 4" xfId="16011"/>
    <cellStyle name="Normal 2 3 16 5" xfId="16012"/>
    <cellStyle name="Normal 2 3 16 6" xfId="16013"/>
    <cellStyle name="Normal 2 3 17" xfId="16014"/>
    <cellStyle name="Normal 2 3 17 2" xfId="16015"/>
    <cellStyle name="Normal 2 3 17 3" xfId="16016"/>
    <cellStyle name="Normal 2 3 17 4" xfId="16017"/>
    <cellStyle name="Normal 2 3 17 5" xfId="16018"/>
    <cellStyle name="Normal 2 3 17 6" xfId="16019"/>
    <cellStyle name="Normal 2 3 18" xfId="16020"/>
    <cellStyle name="Normal 2 3 18 2" xfId="16021"/>
    <cellStyle name="Normal 2 3 18 3" xfId="16022"/>
    <cellStyle name="Normal 2 3 18 4" xfId="16023"/>
    <cellStyle name="Normal 2 3 18 5" xfId="16024"/>
    <cellStyle name="Normal 2 3 18 6" xfId="16025"/>
    <cellStyle name="Normal 2 3 19" xfId="16026"/>
    <cellStyle name="Normal 2 3 19 2" xfId="16027"/>
    <cellStyle name="Normal 2 3 19 3" xfId="16028"/>
    <cellStyle name="Normal 2 3 19 4" xfId="16029"/>
    <cellStyle name="Normal 2 3 19 5" xfId="16030"/>
    <cellStyle name="Normal 2 3 19 6" xfId="16031"/>
    <cellStyle name="Normal 2 3 2" xfId="16032"/>
    <cellStyle name="Normal 2 3 2 10" xfId="16033"/>
    <cellStyle name="Normal 2 3 2 10 2" xfId="16034"/>
    <cellStyle name="Normal 2 3 2 10 3" xfId="16035"/>
    <cellStyle name="Normal 2 3 2 10 4" xfId="16036"/>
    <cellStyle name="Normal 2 3 2 10 5" xfId="16037"/>
    <cellStyle name="Normal 2 3 2 10 6" xfId="16038"/>
    <cellStyle name="Normal 2 3 2 11" xfId="16039"/>
    <cellStyle name="Normal 2 3 2 11 10" xfId="16040"/>
    <cellStyle name="Normal 2 3 2 11 11" xfId="16041"/>
    <cellStyle name="Normal 2 3 2 11 12" xfId="16042"/>
    <cellStyle name="Normal 2 3 2 11 13" xfId="16043"/>
    <cellStyle name="Normal 2 3 2 11 14" xfId="16044"/>
    <cellStyle name="Normal 2 3 2 11 2" xfId="16045"/>
    <cellStyle name="Normal 2 3 2 11 2 2" xfId="16046"/>
    <cellStyle name="Normal 2 3 2 11 2 2 2" xfId="16047"/>
    <cellStyle name="Normal 2 3 2 11 2 2 2 2" xfId="16048"/>
    <cellStyle name="Normal 2 3 2 11 2 2 2 3" xfId="16049"/>
    <cellStyle name="Normal 2 3 2 11 2 2 2 4" xfId="16050"/>
    <cellStyle name="Normal 2 3 2 11 2 2 2 5" xfId="16051"/>
    <cellStyle name="Normal 2 3 2 11 2 2 2 6" xfId="16052"/>
    <cellStyle name="Normal 2 3 2 11 2 2 3" xfId="16053"/>
    <cellStyle name="Normal 2 3 2 11 2 2 4" xfId="16054"/>
    <cellStyle name="Normal 2 3 2 11 2 2 5" xfId="16055"/>
    <cellStyle name="Normal 2 3 2 11 2 2 6" xfId="16056"/>
    <cellStyle name="Normal 2 3 2 11 2 3" xfId="16057"/>
    <cellStyle name="Normal 2 3 2 11 2 4" xfId="16058"/>
    <cellStyle name="Normal 2 3 2 11 2 5" xfId="16059"/>
    <cellStyle name="Normal 2 3 2 11 2 6" xfId="16060"/>
    <cellStyle name="Normal 2 3 2 11 2 7" xfId="16061"/>
    <cellStyle name="Normal 2 3 2 11 2 8" xfId="16062"/>
    <cellStyle name="Normal 2 3 2 11 2 9" xfId="16063"/>
    <cellStyle name="Normal 2 3 2 11 3" xfId="16064"/>
    <cellStyle name="Normal 2 3 2 11 3 2" xfId="16065"/>
    <cellStyle name="Normal 2 3 2 11 3 2 2" xfId="16066"/>
    <cellStyle name="Normal 2 3 2 11 3 2 3" xfId="16067"/>
    <cellStyle name="Normal 2 3 2 11 3 2 4" xfId="16068"/>
    <cellStyle name="Normal 2 3 2 11 3 2 5" xfId="16069"/>
    <cellStyle name="Normal 2 3 2 11 3 2 6" xfId="16070"/>
    <cellStyle name="Normal 2 3 2 11 3 3" xfId="16071"/>
    <cellStyle name="Normal 2 3 2 11 3 4" xfId="16072"/>
    <cellStyle name="Normal 2 3 2 11 3 5" xfId="16073"/>
    <cellStyle name="Normal 2 3 2 11 3 6" xfId="16074"/>
    <cellStyle name="Normal 2 3 2 11 4" xfId="16075"/>
    <cellStyle name="Normal 2 3 2 11 5" xfId="16076"/>
    <cellStyle name="Normal 2 3 2 11 6" xfId="16077"/>
    <cellStyle name="Normal 2 3 2 11 7" xfId="16078"/>
    <cellStyle name="Normal 2 3 2 11 8" xfId="16079"/>
    <cellStyle name="Normal 2 3 2 11 9" xfId="16080"/>
    <cellStyle name="Normal 2 3 2 12" xfId="16081"/>
    <cellStyle name="Normal 2 3 2 12 10" xfId="16082"/>
    <cellStyle name="Normal 2 3 2 12 11" xfId="16083"/>
    <cellStyle name="Normal 2 3 2 12 12" xfId="16084"/>
    <cellStyle name="Normal 2 3 2 12 13" xfId="16085"/>
    <cellStyle name="Normal 2 3 2 12 14" xfId="16086"/>
    <cellStyle name="Normal 2 3 2 12 2" xfId="16087"/>
    <cellStyle name="Normal 2 3 2 12 2 10" xfId="16088"/>
    <cellStyle name="Normal 2 3 2 12 2 11" xfId="16089"/>
    <cellStyle name="Normal 2 3 2 12 2 12" xfId="16090"/>
    <cellStyle name="Normal 2 3 2 12 2 13" xfId="16091"/>
    <cellStyle name="Normal 2 3 2 12 2 2" xfId="16092"/>
    <cellStyle name="Normal 2 3 2 12 2 3" xfId="16093"/>
    <cellStyle name="Normal 2 3 2 12 2 4" xfId="16094"/>
    <cellStyle name="Normal 2 3 2 12 2 5" xfId="16095"/>
    <cellStyle name="Normal 2 3 2 12 2 6" xfId="16096"/>
    <cellStyle name="Normal 2 3 2 12 2 7" xfId="16097"/>
    <cellStyle name="Normal 2 3 2 12 2 8" xfId="16098"/>
    <cellStyle name="Normal 2 3 2 12 2 9" xfId="16099"/>
    <cellStyle name="Normal 2 3 2 12 3" xfId="16100"/>
    <cellStyle name="Normal 2 3 2 12 3 2" xfId="16101"/>
    <cellStyle name="Normal 2 3 2 12 3 3" xfId="16102"/>
    <cellStyle name="Normal 2 3 2 12 3 4" xfId="16103"/>
    <cellStyle name="Normal 2 3 2 12 3 5" xfId="16104"/>
    <cellStyle name="Normal 2 3 2 12 4" xfId="16105"/>
    <cellStyle name="Normal 2 3 2 12 4 2" xfId="16106"/>
    <cellStyle name="Normal 2 3 2 12 4 3" xfId="16107"/>
    <cellStyle name="Normal 2 3 2 12 4 4" xfId="16108"/>
    <cellStyle name="Normal 2 3 2 12 4 5" xfId="16109"/>
    <cellStyle name="Normal 2 3 2 12 5" xfId="16110"/>
    <cellStyle name="Normal 2 3 2 12 5 2" xfId="16111"/>
    <cellStyle name="Normal 2 3 2 12 5 3" xfId="16112"/>
    <cellStyle name="Normal 2 3 2 12 5 4" xfId="16113"/>
    <cellStyle name="Normal 2 3 2 12 5 5" xfId="16114"/>
    <cellStyle name="Normal 2 3 2 12 6" xfId="16115"/>
    <cellStyle name="Normal 2 3 2 12 6 2" xfId="16116"/>
    <cellStyle name="Normal 2 3 2 12 6 3" xfId="16117"/>
    <cellStyle name="Normal 2 3 2 12 6 4" xfId="16118"/>
    <cellStyle name="Normal 2 3 2 12 6 5" xfId="16119"/>
    <cellStyle name="Normal 2 3 2 12 7" xfId="16120"/>
    <cellStyle name="Normal 2 3 2 12 7 2" xfId="16121"/>
    <cellStyle name="Normal 2 3 2 12 7 3" xfId="16122"/>
    <cellStyle name="Normal 2 3 2 12 7 4" xfId="16123"/>
    <cellStyle name="Normal 2 3 2 12 7 5" xfId="16124"/>
    <cellStyle name="Normal 2 3 2 12 8" xfId="16125"/>
    <cellStyle name="Normal 2 3 2 12 8 2" xfId="16126"/>
    <cellStyle name="Normal 2 3 2 12 8 3" xfId="16127"/>
    <cellStyle name="Normal 2 3 2 12 8 4" xfId="16128"/>
    <cellStyle name="Normal 2 3 2 12 8 5" xfId="16129"/>
    <cellStyle name="Normal 2 3 2 12 9" xfId="16130"/>
    <cellStyle name="Normal 2 3 2 12 9 2" xfId="16131"/>
    <cellStyle name="Normal 2 3 2 12 9 3" xfId="16132"/>
    <cellStyle name="Normal 2 3 2 12 9 4" xfId="16133"/>
    <cellStyle name="Normal 2 3 2 12 9 5" xfId="16134"/>
    <cellStyle name="Normal 2 3 2 13" xfId="16135"/>
    <cellStyle name="Normal 2 3 2 13 2" xfId="16136"/>
    <cellStyle name="Normal 2 3 2 13 3" xfId="16137"/>
    <cellStyle name="Normal 2 3 2 13 4" xfId="16138"/>
    <cellStyle name="Normal 2 3 2 13 5" xfId="16139"/>
    <cellStyle name="Normal 2 3 2 13 6" xfId="16140"/>
    <cellStyle name="Normal 2 3 2 14" xfId="16141"/>
    <cellStyle name="Normal 2 3 2 14 10" xfId="16142"/>
    <cellStyle name="Normal 2 3 2 14 11" xfId="16143"/>
    <cellStyle name="Normal 2 3 2 14 2" xfId="16144"/>
    <cellStyle name="Normal 2 3 2 14 2 2" xfId="16145"/>
    <cellStyle name="Normal 2 3 2 14 2 3" xfId="16146"/>
    <cellStyle name="Normal 2 3 2 14 2 4" xfId="16147"/>
    <cellStyle name="Normal 2 3 2 14 2 5" xfId="16148"/>
    <cellStyle name="Normal 2 3 2 14 2 6" xfId="16149"/>
    <cellStyle name="Normal 2 3 2 14 3" xfId="16150"/>
    <cellStyle name="Normal 2 3 2 14 4" xfId="16151"/>
    <cellStyle name="Normal 2 3 2 14 5" xfId="16152"/>
    <cellStyle name="Normal 2 3 2 14 6" xfId="16153"/>
    <cellStyle name="Normal 2 3 2 14 7" xfId="16154"/>
    <cellStyle name="Normal 2 3 2 14 8" xfId="16155"/>
    <cellStyle name="Normal 2 3 2 14 9" xfId="16156"/>
    <cellStyle name="Normal 2 3 2 15" xfId="16157"/>
    <cellStyle name="Normal 2 3 2 15 2" xfId="16158"/>
    <cellStyle name="Normal 2 3 2 15 3" xfId="16159"/>
    <cellStyle name="Normal 2 3 2 15 4" xfId="16160"/>
    <cellStyle name="Normal 2 3 2 15 5" xfId="16161"/>
    <cellStyle name="Normal 2 3 2 15 6" xfId="16162"/>
    <cellStyle name="Normal 2 3 2 16" xfId="16163"/>
    <cellStyle name="Normal 2 3 2 16 2" xfId="16164"/>
    <cellStyle name="Normal 2 3 2 16 3" xfId="16165"/>
    <cellStyle name="Normal 2 3 2 16 4" xfId="16166"/>
    <cellStyle name="Normal 2 3 2 16 5" xfId="16167"/>
    <cellStyle name="Normal 2 3 2 16 6" xfId="16168"/>
    <cellStyle name="Normal 2 3 2 17" xfId="16169"/>
    <cellStyle name="Normal 2 3 2 17 2" xfId="16170"/>
    <cellStyle name="Normal 2 3 2 17 3" xfId="16171"/>
    <cellStyle name="Normal 2 3 2 17 4" xfId="16172"/>
    <cellStyle name="Normal 2 3 2 17 5" xfId="16173"/>
    <cellStyle name="Normal 2 3 2 17 6" xfId="16174"/>
    <cellStyle name="Normal 2 3 2 18" xfId="16175"/>
    <cellStyle name="Normal 2 3 2 18 2" xfId="16176"/>
    <cellStyle name="Normal 2 3 2 18 3" xfId="16177"/>
    <cellStyle name="Normal 2 3 2 18 4" xfId="16178"/>
    <cellStyle name="Normal 2 3 2 18 5" xfId="16179"/>
    <cellStyle name="Normal 2 3 2 18 6" xfId="16180"/>
    <cellStyle name="Normal 2 3 2 19" xfId="16181"/>
    <cellStyle name="Normal 2 3 2 19 2" xfId="16182"/>
    <cellStyle name="Normal 2 3 2 19 3" xfId="16183"/>
    <cellStyle name="Normal 2 3 2 19 4" xfId="16184"/>
    <cellStyle name="Normal 2 3 2 19 5" xfId="16185"/>
    <cellStyle name="Normal 2 3 2 19 6" xfId="16186"/>
    <cellStyle name="Normal 2 3 2 2" xfId="16187"/>
    <cellStyle name="Normal 2 3 2 2 10" xfId="16188"/>
    <cellStyle name="Normal 2 3 2 2 10 2" xfId="16189"/>
    <cellStyle name="Normal 2 3 2 2 10 3" xfId="16190"/>
    <cellStyle name="Normal 2 3 2 2 10 4" xfId="16191"/>
    <cellStyle name="Normal 2 3 2 2 10 5" xfId="16192"/>
    <cellStyle name="Normal 2 3 2 2 10 6" xfId="16193"/>
    <cellStyle name="Normal 2 3 2 2 11" xfId="16194"/>
    <cellStyle name="Normal 2 3 2 2 11 2" xfId="16195"/>
    <cellStyle name="Normal 2 3 2 2 11 2 2" xfId="16196"/>
    <cellStyle name="Normal 2 3 2 2 11 2 3" xfId="16197"/>
    <cellStyle name="Normal 2 3 2 2 11 2 4" xfId="16198"/>
    <cellStyle name="Normal 2 3 2 2 11 2 5" xfId="16199"/>
    <cellStyle name="Normal 2 3 2 2 11 2 6" xfId="16200"/>
    <cellStyle name="Normal 2 3 2 2 11 3" xfId="16201"/>
    <cellStyle name="Normal 2 3 2 2 11 4" xfId="16202"/>
    <cellStyle name="Normal 2 3 2 2 11 5" xfId="16203"/>
    <cellStyle name="Normal 2 3 2 2 11 6" xfId="16204"/>
    <cellStyle name="Normal 2 3 2 2 11 7" xfId="16205"/>
    <cellStyle name="Normal 2 3 2 2 12" xfId="16206"/>
    <cellStyle name="Normal 2 3 2 2 12 10" xfId="16207"/>
    <cellStyle name="Normal 2 3 2 2 12 2" xfId="16208"/>
    <cellStyle name="Normal 2 3 2 2 12 2 2" xfId="16209"/>
    <cellStyle name="Normal 2 3 2 2 12 2 3" xfId="16210"/>
    <cellStyle name="Normal 2 3 2 2 12 2 4" xfId="16211"/>
    <cellStyle name="Normal 2 3 2 2 12 2 5" xfId="16212"/>
    <cellStyle name="Normal 2 3 2 2 12 2 6" xfId="16213"/>
    <cellStyle name="Normal 2 3 2 2 12 2 7" xfId="16214"/>
    <cellStyle name="Normal 2 3 2 2 12 2 8" xfId="16215"/>
    <cellStyle name="Normal 2 3 2 2 12 2 9" xfId="16216"/>
    <cellStyle name="Normal 2 3 2 2 12 3" xfId="16217"/>
    <cellStyle name="Normal 2 3 2 2 12 4" xfId="16218"/>
    <cellStyle name="Normal 2 3 2 2 12 5" xfId="16219"/>
    <cellStyle name="Normal 2 3 2 2 12 6" xfId="16220"/>
    <cellStyle name="Normal 2 3 2 2 12 7" xfId="16221"/>
    <cellStyle name="Normal 2 3 2 2 12 8" xfId="16222"/>
    <cellStyle name="Normal 2 3 2 2 12 9" xfId="16223"/>
    <cellStyle name="Normal 2 3 2 2 13" xfId="16224"/>
    <cellStyle name="Normal 2 3 2 2 13 2" xfId="16225"/>
    <cellStyle name="Normal 2 3 2 2 14" xfId="16226"/>
    <cellStyle name="Normal 2 3 2 2 14 2" xfId="16227"/>
    <cellStyle name="Normal 2 3 2 2 15" xfId="16228"/>
    <cellStyle name="Normal 2 3 2 2 15 2" xfId="16229"/>
    <cellStyle name="Normal 2 3 2 2 16" xfId="16230"/>
    <cellStyle name="Normal 2 3 2 2 16 2" xfId="16231"/>
    <cellStyle name="Normal 2 3 2 2 17" xfId="16232"/>
    <cellStyle name="Normal 2 3 2 2 17 2" xfId="16233"/>
    <cellStyle name="Normal 2 3 2 2 18" xfId="16234"/>
    <cellStyle name="Normal 2 3 2 2 18 2" xfId="16235"/>
    <cellStyle name="Normal 2 3 2 2 19" xfId="16236"/>
    <cellStyle name="Normal 2 3 2 2 2" xfId="16237"/>
    <cellStyle name="Normal 2 3 2 2 2 10" xfId="16238"/>
    <cellStyle name="Normal 2 3 2 2 2 10 2" xfId="16239"/>
    <cellStyle name="Normal 2 3 2 2 2 11" xfId="16240"/>
    <cellStyle name="Normal 2 3 2 2 2 11 2" xfId="16241"/>
    <cellStyle name="Normal 2 3 2 2 2 11 2 2" xfId="16242"/>
    <cellStyle name="Normal 2 3 2 2 2 11 2 3" xfId="16243"/>
    <cellStyle name="Normal 2 3 2 2 2 11 2 4" xfId="16244"/>
    <cellStyle name="Normal 2 3 2 2 2 11 2 5" xfId="16245"/>
    <cellStyle name="Normal 2 3 2 2 2 11 2 6" xfId="16246"/>
    <cellStyle name="Normal 2 3 2 2 2 11 3" xfId="16247"/>
    <cellStyle name="Normal 2 3 2 2 2 11 4" xfId="16248"/>
    <cellStyle name="Normal 2 3 2 2 2 11 5" xfId="16249"/>
    <cellStyle name="Normal 2 3 2 2 2 11 6" xfId="16250"/>
    <cellStyle name="Normal 2 3 2 2 2 11 7" xfId="16251"/>
    <cellStyle name="Normal 2 3 2 2 2 12" xfId="16252"/>
    <cellStyle name="Normal 2 3 2 2 2 12 2" xfId="16253"/>
    <cellStyle name="Normal 2 3 2 2 2 13" xfId="16254"/>
    <cellStyle name="Normal 2 3 2 2 2 13 2" xfId="16255"/>
    <cellStyle name="Normal 2 3 2 2 2 14" xfId="16256"/>
    <cellStyle name="Normal 2 3 2 2 2 14 2" xfId="16257"/>
    <cellStyle name="Normal 2 3 2 2 2 15" xfId="16258"/>
    <cellStyle name="Normal 2 3 2 2 2 15 2" xfId="16259"/>
    <cellStyle name="Normal 2 3 2 2 2 16" xfId="16260"/>
    <cellStyle name="Normal 2 3 2 2 2 16 2" xfId="16261"/>
    <cellStyle name="Normal 2 3 2 2 2 17" xfId="16262"/>
    <cellStyle name="Normal 2 3 2 2 2 17 2" xfId="16263"/>
    <cellStyle name="Normal 2 3 2 2 2 18" xfId="16264"/>
    <cellStyle name="Normal 2 3 2 2 2 18 2" xfId="16265"/>
    <cellStyle name="Normal 2 3 2 2 2 18 2 2" xfId="16266"/>
    <cellStyle name="Normal 2 3 2 2 2 18 2 2 2" xfId="16267"/>
    <cellStyle name="Normal 2 3 2 2 2 18 3" xfId="16268"/>
    <cellStyle name="Normal 2 3 2 2 2 18 4" xfId="16269"/>
    <cellStyle name="Normal 2 3 2 2 2 18 5" xfId="16270"/>
    <cellStyle name="Normal 2 3 2 2 2 18 6" xfId="16271"/>
    <cellStyle name="Normal 2 3 2 2 2 18 7" xfId="16272"/>
    <cellStyle name="Normal 2 3 2 2 2 19" xfId="16273"/>
    <cellStyle name="Normal 2 3 2 2 2 19 2" xfId="16274"/>
    <cellStyle name="Normal 2 3 2 2 2 19 2 2" xfId="16275"/>
    <cellStyle name="Normal 2 3 2 2 2 2" xfId="16276"/>
    <cellStyle name="Normal 2 3 2 2 2 2 10" xfId="16277"/>
    <cellStyle name="Normal 2 3 2 2 2 2 10 2" xfId="16278"/>
    <cellStyle name="Normal 2 3 2 2 2 2 11" xfId="16279"/>
    <cellStyle name="Normal 2 3 2 2 2 2 11 2" xfId="16280"/>
    <cellStyle name="Normal 2 3 2 2 2 2 12" xfId="16281"/>
    <cellStyle name="Normal 2 3 2 2 2 2 12 2" xfId="16282"/>
    <cellStyle name="Normal 2 3 2 2 2 2 13" xfId="16283"/>
    <cellStyle name="Normal 2 3 2 2 2 2 13 2" xfId="16284"/>
    <cellStyle name="Normal 2 3 2 2 2 2 14" xfId="16285"/>
    <cellStyle name="Normal 2 3 2 2 2 2 14 2" xfId="16286"/>
    <cellStyle name="Normal 2 3 2 2 2 2 15" xfId="16287"/>
    <cellStyle name="Normal 2 3 2 2 2 2 15 2" xfId="16288"/>
    <cellStyle name="Normal 2 3 2 2 2 2 16" xfId="16289"/>
    <cellStyle name="Normal 2 3 2 2 2 2 17" xfId="16290"/>
    <cellStyle name="Normal 2 3 2 2 2 2 18" xfId="16291"/>
    <cellStyle name="Normal 2 3 2 2 2 2 18 2" xfId="16292"/>
    <cellStyle name="Normal 2 3 2 2 2 2 18 2 2" xfId="16293"/>
    <cellStyle name="Normal 2 3 2 2 2 2 18 2 2 2" xfId="16294"/>
    <cellStyle name="Normal 2 3 2 2 2 2 18 3" xfId="16295"/>
    <cellStyle name="Normal 2 3 2 2 2 2 18 4" xfId="16296"/>
    <cellStyle name="Normal 2 3 2 2 2 2 18 5" xfId="16297"/>
    <cellStyle name="Normal 2 3 2 2 2 2 18 6" xfId="16298"/>
    <cellStyle name="Normal 2 3 2 2 2 2 19" xfId="16299"/>
    <cellStyle name="Normal 2 3 2 2 2 2 19 2" xfId="16300"/>
    <cellStyle name="Normal 2 3 2 2 2 2 19 2 2" xfId="16301"/>
    <cellStyle name="Normal 2 3 2 2 2 2 2" xfId="16302"/>
    <cellStyle name="Normal 2 3 2 2 2 2 2 10" xfId="16303"/>
    <cellStyle name="Normal 2 3 2 2 2 2 2 10 2" xfId="16304"/>
    <cellStyle name="Normal 2 3 2 2 2 2 2 10 2 2" xfId="16305"/>
    <cellStyle name="Normal 2 3 2 2 2 2 2 10 2 2 2" xfId="16306"/>
    <cellStyle name="Normal 2 3 2 2 2 2 2 10 3" xfId="16307"/>
    <cellStyle name="Normal 2 3 2 2 2 2 2 10 4" xfId="16308"/>
    <cellStyle name="Normal 2 3 2 2 2 2 2 10 5" xfId="16309"/>
    <cellStyle name="Normal 2 3 2 2 2 2 2 10 6" xfId="16310"/>
    <cellStyle name="Normal 2 3 2 2 2 2 2 10 7" xfId="16311"/>
    <cellStyle name="Normal 2 3 2 2 2 2 2 11" xfId="16312"/>
    <cellStyle name="Normal 2 3 2 2 2 2 2 11 2" xfId="16313"/>
    <cellStyle name="Normal 2 3 2 2 2 2 2 11 2 2" xfId="16314"/>
    <cellStyle name="Normal 2 3 2 2 2 2 2 11 3" xfId="16315"/>
    <cellStyle name="Normal 2 3 2 2 2 2 2 12" xfId="16316"/>
    <cellStyle name="Normal 2 3 2 2 2 2 2 12 2" xfId="16317"/>
    <cellStyle name="Normal 2 3 2 2 2 2 2 13" xfId="16318"/>
    <cellStyle name="Normal 2 3 2 2 2 2 2 13 2" xfId="16319"/>
    <cellStyle name="Normal 2 3 2 2 2 2 2 14" xfId="16320"/>
    <cellStyle name="Normal 2 3 2 2 2 2 2 14 2" xfId="16321"/>
    <cellStyle name="Normal 2 3 2 2 2 2 2 15" xfId="16322"/>
    <cellStyle name="Normal 2 3 2 2 2 2 2 15 2" xfId="16323"/>
    <cellStyle name="Normal 2 3 2 2 2 2 2 16" xfId="16324"/>
    <cellStyle name="Normal 2 3 2 2 2 2 2 17" xfId="16325"/>
    <cellStyle name="Normal 2 3 2 2 2 2 2 18" xfId="16326"/>
    <cellStyle name="Normal 2 3 2 2 2 2 2 19" xfId="16327"/>
    <cellStyle name="Normal 2 3 2 2 2 2 2 2" xfId="16328"/>
    <cellStyle name="Normal 2 3 2 2 2 2 2 2 10" xfId="16329"/>
    <cellStyle name="Normal 2 3 2 2 2 2 2 2 10 2" xfId="16330"/>
    <cellStyle name="Normal 2 3 2 2 2 2 2 2 10 2 2" xfId="16331"/>
    <cellStyle name="Normal 2 3 2 2 2 2 2 2 10 2 2 2" xfId="16332"/>
    <cellStyle name="Normal 2 3 2 2 2 2 2 2 10 3" xfId="16333"/>
    <cellStyle name="Normal 2 3 2 2 2 2 2 2 10 4" xfId="16334"/>
    <cellStyle name="Normal 2 3 2 2 2 2 2 2 10 5" xfId="16335"/>
    <cellStyle name="Normal 2 3 2 2 2 2 2 2 10 6" xfId="16336"/>
    <cellStyle name="Normal 2 3 2 2 2 2 2 2 10 7" xfId="16337"/>
    <cellStyle name="Normal 2 3 2 2 2 2 2 2 11" xfId="16338"/>
    <cellStyle name="Normal 2 3 2 2 2 2 2 2 11 2" xfId="16339"/>
    <cellStyle name="Normal 2 3 2 2 2 2 2 2 11 2 2" xfId="16340"/>
    <cellStyle name="Normal 2 3 2 2 2 2 2 2 11 3" xfId="16341"/>
    <cellStyle name="Normal 2 3 2 2 2 2 2 2 12" xfId="16342"/>
    <cellStyle name="Normal 2 3 2 2 2 2 2 2 12 2" xfId="16343"/>
    <cellStyle name="Normal 2 3 2 2 2 2 2 2 13" xfId="16344"/>
    <cellStyle name="Normal 2 3 2 2 2 2 2 2 14" xfId="16345"/>
    <cellStyle name="Normal 2 3 2 2 2 2 2 2 15" xfId="16346"/>
    <cellStyle name="Normal 2 3 2 2 2 2 2 2 16" xfId="16347"/>
    <cellStyle name="Normal 2 3 2 2 2 2 2 2 17" xfId="16348"/>
    <cellStyle name="Normal 2 3 2 2 2 2 2 2 18" xfId="16349"/>
    <cellStyle name="Normal 2 3 2 2 2 2 2 2 19" xfId="16350"/>
    <cellStyle name="Normal 2 3 2 2 2 2 2 2 2" xfId="16351"/>
    <cellStyle name="Normal 2 3 2 2 2 2 2 2 2 10" xfId="16352"/>
    <cellStyle name="Normal 2 3 2 2 2 2 2 2 2 10 2" xfId="16353"/>
    <cellStyle name="Normal 2 3 2 2 2 2 2 2 2 11" xfId="16354"/>
    <cellStyle name="Normal 2 3 2 2 2 2 2 2 2 11 2" xfId="16355"/>
    <cellStyle name="Normal 2 3 2 2 2 2 2 2 2 12" xfId="16356"/>
    <cellStyle name="Normal 2 3 2 2 2 2 2 2 2 12 2" xfId="16357"/>
    <cellStyle name="Normal 2 3 2 2 2 2 2 2 2 13" xfId="16358"/>
    <cellStyle name="Normal 2 3 2 2 2 2 2 2 2 13 10" xfId="16359"/>
    <cellStyle name="Normal 2 3 2 2 2 2 2 2 2 13 11" xfId="16360"/>
    <cellStyle name="Normal 2 3 2 2 2 2 2 2 2 13 12" xfId="16361"/>
    <cellStyle name="Normal 2 3 2 2 2 2 2 2 2 13 13" xfId="16362"/>
    <cellStyle name="Normal 2 3 2 2 2 2 2 2 2 13 14" xfId="16363"/>
    <cellStyle name="Normal 2 3 2 2 2 2 2 2 2 13 15" xfId="16364"/>
    <cellStyle name="Normal 2 3 2 2 2 2 2 2 2 13 16" xfId="16365"/>
    <cellStyle name="Normal 2 3 2 2 2 2 2 2 2 13 2" xfId="16366"/>
    <cellStyle name="Normal 2 3 2 2 2 2 2 2 2 13 3" xfId="16367"/>
    <cellStyle name="Normal 2 3 2 2 2 2 2 2 2 13 4" xfId="16368"/>
    <cellStyle name="Normal 2 3 2 2 2 2 2 2 2 13 5" xfId="16369"/>
    <cellStyle name="Normal 2 3 2 2 2 2 2 2 2 13 6" xfId="16370"/>
    <cellStyle name="Normal 2 3 2 2 2 2 2 2 2 13 7" xfId="16371"/>
    <cellStyle name="Normal 2 3 2 2 2 2 2 2 2 13 8" xfId="16372"/>
    <cellStyle name="Normal 2 3 2 2 2 2 2 2 2 13 9" xfId="16373"/>
    <cellStyle name="Normal 2 3 2 2 2 2 2 2 2 14" xfId="16374"/>
    <cellStyle name="Normal 2 3 2 2 2 2 2 2 2 15" xfId="16375"/>
    <cellStyle name="Normal 2 3 2 2 2 2 2 2 2 16" xfId="16376"/>
    <cellStyle name="Normal 2 3 2 2 2 2 2 2 2 17" xfId="16377"/>
    <cellStyle name="Normal 2 3 2 2 2 2 2 2 2 18" xfId="16378"/>
    <cellStyle name="Normal 2 3 2 2 2 2 2 2 2 19" xfId="16379"/>
    <cellStyle name="Normal 2 3 2 2 2 2 2 2 2 2" xfId="16380"/>
    <cellStyle name="Normal 2 3 2 2 2 2 2 2 2 2 10" xfId="16381"/>
    <cellStyle name="Normal 2 3 2 2 2 2 2 2 2 2 11" xfId="16382"/>
    <cellStyle name="Normal 2 3 2 2 2 2 2 2 2 2 12" xfId="16383"/>
    <cellStyle name="Normal 2 3 2 2 2 2 2 2 2 2 12 10" xfId="16384"/>
    <cellStyle name="Normal 2 3 2 2 2 2 2 2 2 2 12 11" xfId="16385"/>
    <cellStyle name="Normal 2 3 2 2 2 2 2 2 2 2 12 12" xfId="16386"/>
    <cellStyle name="Normal 2 3 2 2 2 2 2 2 2 2 12 13" xfId="16387"/>
    <cellStyle name="Normal 2 3 2 2 2 2 2 2 2 2 12 14" xfId="16388"/>
    <cellStyle name="Normal 2 3 2 2 2 2 2 2 2 2 12 15" xfId="16389"/>
    <cellStyle name="Normal 2 3 2 2 2 2 2 2 2 2 12 16" xfId="16390"/>
    <cellStyle name="Normal 2 3 2 2 2 2 2 2 2 2 12 2" xfId="16391"/>
    <cellStyle name="Normal 2 3 2 2 2 2 2 2 2 2 12 3" xfId="16392"/>
    <cellStyle name="Normal 2 3 2 2 2 2 2 2 2 2 12 4" xfId="16393"/>
    <cellStyle name="Normal 2 3 2 2 2 2 2 2 2 2 12 5" xfId="16394"/>
    <cellStyle name="Normal 2 3 2 2 2 2 2 2 2 2 12 6" xfId="16395"/>
    <cellStyle name="Normal 2 3 2 2 2 2 2 2 2 2 12 7" xfId="16396"/>
    <cellStyle name="Normal 2 3 2 2 2 2 2 2 2 2 12 8" xfId="16397"/>
    <cellStyle name="Normal 2 3 2 2 2 2 2 2 2 2 12 9" xfId="16398"/>
    <cellStyle name="Normal 2 3 2 2 2 2 2 2 2 2 13" xfId="16399"/>
    <cellStyle name="Normal 2 3 2 2 2 2 2 2 2 2 14" xfId="16400"/>
    <cellStyle name="Normal 2 3 2 2 2 2 2 2 2 2 15" xfId="16401"/>
    <cellStyle name="Normal 2 3 2 2 2 2 2 2 2 2 16" xfId="16402"/>
    <cellStyle name="Normal 2 3 2 2 2 2 2 2 2 2 17" xfId="16403"/>
    <cellStyle name="Normal 2 3 2 2 2 2 2 2 2 2 18" xfId="16404"/>
    <cellStyle name="Normal 2 3 2 2 2 2 2 2 2 2 19" xfId="16405"/>
    <cellStyle name="Normal 2 3 2 2 2 2 2 2 2 2 2" xfId="16406"/>
    <cellStyle name="Normal 2 3 2 2 2 2 2 2 2 2 2 10" xfId="16407"/>
    <cellStyle name="Normal 2 3 2 2 2 2 2 2 2 2 2 10 10" xfId="16408"/>
    <cellStyle name="Normal 2 3 2 2 2 2 2 2 2 2 2 10 11" xfId="16409"/>
    <cellStyle name="Normal 2 3 2 2 2 2 2 2 2 2 2 10 12" xfId="16410"/>
    <cellStyle name="Normal 2 3 2 2 2 2 2 2 2 2 2 10 13" xfId="16411"/>
    <cellStyle name="Normal 2 3 2 2 2 2 2 2 2 2 2 10 14" xfId="16412"/>
    <cellStyle name="Normal 2 3 2 2 2 2 2 2 2 2 2 10 15" xfId="16413"/>
    <cellStyle name="Normal 2 3 2 2 2 2 2 2 2 2 2 10 16" xfId="16414"/>
    <cellStyle name="Normal 2 3 2 2 2 2 2 2 2 2 2 10 2" xfId="16415"/>
    <cellStyle name="Normal 2 3 2 2 2 2 2 2 2 2 2 10 3" xfId="16416"/>
    <cellStyle name="Normal 2 3 2 2 2 2 2 2 2 2 2 10 4" xfId="16417"/>
    <cellStyle name="Normal 2 3 2 2 2 2 2 2 2 2 2 10 5" xfId="16418"/>
    <cellStyle name="Normal 2 3 2 2 2 2 2 2 2 2 2 10 6" xfId="16419"/>
    <cellStyle name="Normal 2 3 2 2 2 2 2 2 2 2 2 10 7" xfId="16420"/>
    <cellStyle name="Normal 2 3 2 2 2 2 2 2 2 2 2 10 8" xfId="16421"/>
    <cellStyle name="Normal 2 3 2 2 2 2 2 2 2 2 2 10 9" xfId="16422"/>
    <cellStyle name="Normal 2 3 2 2 2 2 2 2 2 2 2 11" xfId="16423"/>
    <cellStyle name="Normal 2 3 2 2 2 2 2 2 2 2 2 12" xfId="16424"/>
    <cellStyle name="Normal 2 3 2 2 2 2 2 2 2 2 2 13" xfId="16425"/>
    <cellStyle name="Normal 2 3 2 2 2 2 2 2 2 2 2 14" xfId="16426"/>
    <cellStyle name="Normal 2 3 2 2 2 2 2 2 2 2 2 15" xfId="16427"/>
    <cellStyle name="Normal 2 3 2 2 2 2 2 2 2 2 2 16" xfId="16428"/>
    <cellStyle name="Normal 2 3 2 2 2 2 2 2 2 2 2 17" xfId="16429"/>
    <cellStyle name="Normal 2 3 2 2 2 2 2 2 2 2 2 17 2" xfId="16430"/>
    <cellStyle name="Normal 2 3 2 2 2 2 2 2 2 2 2 17 3" xfId="16431"/>
    <cellStyle name="Normal 2 3 2 2 2 2 2 2 2 2 2 17 4" xfId="16432"/>
    <cellStyle name="Normal 2 3 2 2 2 2 2 2 2 2 2 17 5" xfId="16433"/>
    <cellStyle name="Normal 2 3 2 2 2 2 2 2 2 2 2 18" xfId="16434"/>
    <cellStyle name="Normal 2 3 2 2 2 2 2 2 2 2 2 19" xfId="16435"/>
    <cellStyle name="Normal 2 3 2 2 2 2 2 2 2 2 2 2" xfId="16436"/>
    <cellStyle name="Normal 2 3 2 2 2 2 2 2 2 2 2 2 10" xfId="16437"/>
    <cellStyle name="Normal 2 3 2 2 2 2 2 2 2 2 2 2 11" xfId="16438"/>
    <cellStyle name="Normal 2 3 2 2 2 2 2 2 2 2 2 2 12" xfId="16439"/>
    <cellStyle name="Normal 2 3 2 2 2 2 2 2 2 2 2 2 13" xfId="16440"/>
    <cellStyle name="Normal 2 3 2 2 2 2 2 2 2 2 2 2 14" xfId="16441"/>
    <cellStyle name="Normal 2 3 2 2 2 2 2 2 2 2 2 2 15" xfId="16442"/>
    <cellStyle name="Normal 2 3 2 2 2 2 2 2 2 2 2 2 16" xfId="16443"/>
    <cellStyle name="Normal 2 3 2 2 2 2 2 2 2 2 2 2 17" xfId="16444"/>
    <cellStyle name="Normal 2 3 2 2 2 2 2 2 2 2 2 2 18" xfId="16445"/>
    <cellStyle name="Normal 2 3 2 2 2 2 2 2 2 2 2 2 19" xfId="16446"/>
    <cellStyle name="Normal 2 3 2 2 2 2 2 2 2 2 2 2 2" xfId="16447"/>
    <cellStyle name="Normal 2 3 2 2 2 2 2 2 2 2 2 2 2 10" xfId="16448"/>
    <cellStyle name="Normal 2 3 2 2 2 2 2 2 2 2 2 2 2 11" xfId="16449"/>
    <cellStyle name="Normal 2 3 2 2 2 2 2 2 2 2 2 2 2 12" xfId="16450"/>
    <cellStyle name="Normal 2 3 2 2 2 2 2 2 2 2 2 2 2 13" xfId="16451"/>
    <cellStyle name="Normal 2 3 2 2 2 2 2 2 2 2 2 2 2 14" xfId="16452"/>
    <cellStyle name="Normal 2 3 2 2 2 2 2 2 2 2 2 2 2 14 2" xfId="16453"/>
    <cellStyle name="Normal 2 3 2 2 2 2 2 2 2 2 2 2 2 14 3" xfId="16454"/>
    <cellStyle name="Normal 2 3 2 2 2 2 2 2 2 2 2 2 2 14 4" xfId="16455"/>
    <cellStyle name="Normal 2 3 2 2 2 2 2 2 2 2 2 2 2 14 5" xfId="16456"/>
    <cellStyle name="Normal 2 3 2 2 2 2 2 2 2 2 2 2 2 15" xfId="16457"/>
    <cellStyle name="Normal 2 3 2 2 2 2 2 2 2 2 2 2 2 16" xfId="16458"/>
    <cellStyle name="Normal 2 3 2 2 2 2 2 2 2 2 2 2 2 17" xfId="16459"/>
    <cellStyle name="Normal 2 3 2 2 2 2 2 2 2 2 2 2 2 18" xfId="16460"/>
    <cellStyle name="Normal 2 3 2 2 2 2 2 2 2 2 2 2 2 19" xfId="16461"/>
    <cellStyle name="Normal 2 3 2 2 2 2 2 2 2 2 2 2 2 2" xfId="16462"/>
    <cellStyle name="Normal 2 3 2 2 2 2 2 2 2 2 2 2 2 2 10" xfId="16463"/>
    <cellStyle name="Normal 2 3 2 2 2 2 2 2 2 2 2 2 2 2 11" xfId="16464"/>
    <cellStyle name="Normal 2 3 2 2 2 2 2 2 2 2 2 2 2 2 12" xfId="16465"/>
    <cellStyle name="Normal 2 3 2 2 2 2 2 2 2 2 2 2 2 2 13" xfId="16466"/>
    <cellStyle name="Normal 2 3 2 2 2 2 2 2 2 2 2 2 2 2 14" xfId="16467"/>
    <cellStyle name="Normal 2 3 2 2 2 2 2 2 2 2 2 2 2 2 15" xfId="16468"/>
    <cellStyle name="Normal 2 3 2 2 2 2 2 2 2 2 2 2 2 2 16" xfId="16469"/>
    <cellStyle name="Normal 2 3 2 2 2 2 2 2 2 2 2 2 2 2 17" xfId="16470"/>
    <cellStyle name="Normal 2 3 2 2 2 2 2 2 2 2 2 2 2 2 18" xfId="16471"/>
    <cellStyle name="Normal 2 3 2 2 2 2 2 2 2 2 2 2 2 2 19" xfId="16472"/>
    <cellStyle name="Normal 2 3 2 2 2 2 2 2 2 2 2 2 2 2 2" xfId="16473"/>
    <cellStyle name="Normal 2 3 2 2 2 2 2 2 2 2 2 2 2 2 2 10" xfId="16474"/>
    <cellStyle name="Normal 2 3 2 2 2 2 2 2 2 2 2 2 2 2 2 11" xfId="16475"/>
    <cellStyle name="Normal 2 3 2 2 2 2 2 2 2 2 2 2 2 2 2 12" xfId="16476"/>
    <cellStyle name="Normal 2 3 2 2 2 2 2 2 2 2 2 2 2 2 2 13" xfId="16477"/>
    <cellStyle name="Normal 2 3 2 2 2 2 2 2 2 2 2 2 2 2 2 14" xfId="16478"/>
    <cellStyle name="Normal 2 3 2 2 2 2 2 2 2 2 2 2 2 2 2 15" xfId="16479"/>
    <cellStyle name="Normal 2 3 2 2 2 2 2 2 2 2 2 2 2 2 2 16" xfId="16480"/>
    <cellStyle name="Normal 2 3 2 2 2 2 2 2 2 2 2 2 2 2 2 17" xfId="16481"/>
    <cellStyle name="Normal 2 3 2 2 2 2 2 2 2 2 2 2 2 2 2 18" xfId="16482"/>
    <cellStyle name="Normal 2 3 2 2 2 2 2 2 2 2 2 2 2 2 2 19" xfId="16483"/>
    <cellStyle name="Normal 2 3 2 2 2 2 2 2 2 2 2 2 2 2 2 2" xfId="16484"/>
    <cellStyle name="Normal 2 3 2 2 2 2 2 2 2 2 2 2 2 2 2 2 10" xfId="16485"/>
    <cellStyle name="Normal 2 3 2 2 2 2 2 2 2 2 2 2 2 2 2 2 11" xfId="16486"/>
    <cellStyle name="Normal 2 3 2 2 2 2 2 2 2 2 2 2 2 2 2 2 12" xfId="16487"/>
    <cellStyle name="Normal 2 3 2 2 2 2 2 2 2 2 2 2 2 2 2 2 13" xfId="16488"/>
    <cellStyle name="Normal 2 3 2 2 2 2 2 2 2 2 2 2 2 2 2 2 14" xfId="16489"/>
    <cellStyle name="Normal 2 3 2 2 2 2 2 2 2 2 2 2 2 2 2 2 15" xfId="16490"/>
    <cellStyle name="Normal 2 3 2 2 2 2 2 2 2 2 2 2 2 2 2 2 16" xfId="16491"/>
    <cellStyle name="Normal 2 3 2 2 2 2 2 2 2 2 2 2 2 2 2 2 2" xfId="16492"/>
    <cellStyle name="Normal 2 3 2 2 2 2 2 2 2 2 2 2 2 2 2 2 2 2" xfId="16493"/>
    <cellStyle name="Normal 2 3 2 2 2 2 2 2 2 2 2 2 2 2 2 2 3" xfId="16494"/>
    <cellStyle name="Normal 2 3 2 2 2 2 2 2 2 2 2 2 2 2 2 2 4" xfId="16495"/>
    <cellStyle name="Normal 2 3 2 2 2 2 2 2 2 2 2 2 2 2 2 2 5" xfId="16496"/>
    <cellStyle name="Normal 2 3 2 2 2 2 2 2 2 2 2 2 2 2 2 2 6" xfId="16497"/>
    <cellStyle name="Normal 2 3 2 2 2 2 2 2 2 2 2 2 2 2 2 2 7" xfId="16498"/>
    <cellStyle name="Normal 2 3 2 2 2 2 2 2 2 2 2 2 2 2 2 2 8" xfId="16499"/>
    <cellStyle name="Normal 2 3 2 2 2 2 2 2 2 2 2 2 2 2 2 2 9" xfId="16500"/>
    <cellStyle name="Normal 2 3 2 2 2 2 2 2 2 2 2 2 2 2 2 20" xfId="16501"/>
    <cellStyle name="Normal 2 3 2 2 2 2 2 2 2 2 2 2 2 2 2 21" xfId="16502"/>
    <cellStyle name="Normal 2 3 2 2 2 2 2 2 2 2 2 2 2 2 2 22" xfId="16503"/>
    <cellStyle name="Normal 2 3 2 2 2 2 2 2 2 2 2 2 2 2 2 23" xfId="16504"/>
    <cellStyle name="Normal 2 3 2 2 2 2 2 2 2 2 2 2 2 2 2 3" xfId="16505"/>
    <cellStyle name="Normal 2 3 2 2 2 2 2 2 2 2 2 2 2 2 2 4" xfId="16506"/>
    <cellStyle name="Normal 2 3 2 2 2 2 2 2 2 2 2 2 2 2 2 5" xfId="16507"/>
    <cellStyle name="Normal 2 3 2 2 2 2 2 2 2 2 2 2 2 2 2 6" xfId="16508"/>
    <cellStyle name="Normal 2 3 2 2 2 2 2 2 2 2 2 2 2 2 2 7" xfId="16509"/>
    <cellStyle name="Normal 2 3 2 2 2 2 2 2 2 2 2 2 2 2 2 8" xfId="16510"/>
    <cellStyle name="Normal 2 3 2 2 2 2 2 2 2 2 2 2 2 2 2 9" xfId="16511"/>
    <cellStyle name="Normal 2 3 2 2 2 2 2 2 2 2 2 2 2 2 20" xfId="16512"/>
    <cellStyle name="Normal 2 3 2 2 2 2 2 2 2 2 2 2 2 2 21" xfId="16513"/>
    <cellStyle name="Normal 2 3 2 2 2 2 2 2 2 2 2 2 2 2 22" xfId="16514"/>
    <cellStyle name="Normal 2 3 2 2 2 2 2 2 2 2 2 2 2 2 23" xfId="16515"/>
    <cellStyle name="Normal 2 3 2 2 2 2 2 2 2 2 2 2 2 2 24" xfId="16516"/>
    <cellStyle name="Normal 2 3 2 2 2 2 2 2 2 2 2 2 2 2 25" xfId="16517"/>
    <cellStyle name="Normal 2 3 2 2 2 2 2 2 2 2 2 2 2 2 26" xfId="16518"/>
    <cellStyle name="Normal 2 3 2 2 2 2 2 2 2 2 2 2 2 2 27" xfId="16519"/>
    <cellStyle name="Normal 2 3 2 2 2 2 2 2 2 2 2 2 2 2 3" xfId="16520"/>
    <cellStyle name="Normal 2 3 2 2 2 2 2 2 2 2 2 2 2 2 4" xfId="16521"/>
    <cellStyle name="Normal 2 3 2 2 2 2 2 2 2 2 2 2 2 2 5" xfId="16522"/>
    <cellStyle name="Normal 2 3 2 2 2 2 2 2 2 2 2 2 2 2 6" xfId="16523"/>
    <cellStyle name="Normal 2 3 2 2 2 2 2 2 2 2 2 2 2 2 7" xfId="16524"/>
    <cellStyle name="Normal 2 3 2 2 2 2 2 2 2 2 2 2 2 2 7 10" xfId="16525"/>
    <cellStyle name="Normal 2 3 2 2 2 2 2 2 2 2 2 2 2 2 7 11" xfId="16526"/>
    <cellStyle name="Normal 2 3 2 2 2 2 2 2 2 2 2 2 2 2 7 12" xfId="16527"/>
    <cellStyle name="Normal 2 3 2 2 2 2 2 2 2 2 2 2 2 2 7 13" xfId="16528"/>
    <cellStyle name="Normal 2 3 2 2 2 2 2 2 2 2 2 2 2 2 7 14" xfId="16529"/>
    <cellStyle name="Normal 2 3 2 2 2 2 2 2 2 2 2 2 2 2 7 15" xfId="16530"/>
    <cellStyle name="Normal 2 3 2 2 2 2 2 2 2 2 2 2 2 2 7 16" xfId="16531"/>
    <cellStyle name="Normal 2 3 2 2 2 2 2 2 2 2 2 2 2 2 7 2" xfId="16532"/>
    <cellStyle name="Normal 2 3 2 2 2 2 2 2 2 2 2 2 2 2 7 3" xfId="16533"/>
    <cellStyle name="Normal 2 3 2 2 2 2 2 2 2 2 2 2 2 2 7 4" xfId="16534"/>
    <cellStyle name="Normal 2 3 2 2 2 2 2 2 2 2 2 2 2 2 7 5" xfId="16535"/>
    <cellStyle name="Normal 2 3 2 2 2 2 2 2 2 2 2 2 2 2 7 6" xfId="16536"/>
    <cellStyle name="Normal 2 3 2 2 2 2 2 2 2 2 2 2 2 2 7 7" xfId="16537"/>
    <cellStyle name="Normal 2 3 2 2 2 2 2 2 2 2 2 2 2 2 7 8" xfId="16538"/>
    <cellStyle name="Normal 2 3 2 2 2 2 2 2 2 2 2 2 2 2 7 9" xfId="16539"/>
    <cellStyle name="Normal 2 3 2 2 2 2 2 2 2 2 2 2 2 2 8" xfId="16540"/>
    <cellStyle name="Normal 2 3 2 2 2 2 2 2 2 2 2 2 2 2 9" xfId="16541"/>
    <cellStyle name="Normal 2 3 2 2 2 2 2 2 2 2 2 2 2 20" xfId="16542"/>
    <cellStyle name="Normal 2 3 2 2 2 2 2 2 2 2 2 2 2 21" xfId="16543"/>
    <cellStyle name="Normal 2 3 2 2 2 2 2 2 2 2 2 2 2 22" xfId="16544"/>
    <cellStyle name="Normal 2 3 2 2 2 2 2 2 2 2 2 2 2 23" xfId="16545"/>
    <cellStyle name="Normal 2 3 2 2 2 2 2 2 2 2 2 2 2 24" xfId="16546"/>
    <cellStyle name="Normal 2 3 2 2 2 2 2 2 2 2 2 2 2 25" xfId="16547"/>
    <cellStyle name="Normal 2 3 2 2 2 2 2 2 2 2 2 2 2 26" xfId="16548"/>
    <cellStyle name="Normal 2 3 2 2 2 2 2 2 2 2 2 2 2 27" xfId="16549"/>
    <cellStyle name="Normal 2 3 2 2 2 2 2 2 2 2 2 2 2 3" xfId="16550"/>
    <cellStyle name="Normal 2 3 2 2 2 2 2 2 2 2 2 2 2 3 2" xfId="16551"/>
    <cellStyle name="Normal 2 3 2 2 2 2 2 2 2 2 2 2 2 4" xfId="16552"/>
    <cellStyle name="Normal 2 3 2 2 2 2 2 2 2 2 2 2 2 4 2" xfId="16553"/>
    <cellStyle name="Normal 2 3 2 2 2 2 2 2 2 2 2 2 2 5" xfId="16554"/>
    <cellStyle name="Normal 2 3 2 2 2 2 2 2 2 2 2 2 2 5 2" xfId="16555"/>
    <cellStyle name="Normal 2 3 2 2 2 2 2 2 2 2 2 2 2 6" xfId="16556"/>
    <cellStyle name="Normal 2 3 2 2 2 2 2 2 2 2 2 2 2 6 2" xfId="16557"/>
    <cellStyle name="Normal 2 3 2 2 2 2 2 2 2 2 2 2 2 7" xfId="16558"/>
    <cellStyle name="Normal 2 3 2 2 2 2 2 2 2 2 2 2 2 7 10" xfId="16559"/>
    <cellStyle name="Normal 2 3 2 2 2 2 2 2 2 2 2 2 2 7 11" xfId="16560"/>
    <cellStyle name="Normal 2 3 2 2 2 2 2 2 2 2 2 2 2 7 12" xfId="16561"/>
    <cellStyle name="Normal 2 3 2 2 2 2 2 2 2 2 2 2 2 7 13" xfId="16562"/>
    <cellStyle name="Normal 2 3 2 2 2 2 2 2 2 2 2 2 2 7 14" xfId="16563"/>
    <cellStyle name="Normal 2 3 2 2 2 2 2 2 2 2 2 2 2 7 15" xfId="16564"/>
    <cellStyle name="Normal 2 3 2 2 2 2 2 2 2 2 2 2 2 7 16" xfId="16565"/>
    <cellStyle name="Normal 2 3 2 2 2 2 2 2 2 2 2 2 2 7 2" xfId="16566"/>
    <cellStyle name="Normal 2 3 2 2 2 2 2 2 2 2 2 2 2 7 3" xfId="16567"/>
    <cellStyle name="Normal 2 3 2 2 2 2 2 2 2 2 2 2 2 7 4" xfId="16568"/>
    <cellStyle name="Normal 2 3 2 2 2 2 2 2 2 2 2 2 2 7 5" xfId="16569"/>
    <cellStyle name="Normal 2 3 2 2 2 2 2 2 2 2 2 2 2 7 6" xfId="16570"/>
    <cellStyle name="Normal 2 3 2 2 2 2 2 2 2 2 2 2 2 7 7" xfId="16571"/>
    <cellStyle name="Normal 2 3 2 2 2 2 2 2 2 2 2 2 2 7 8" xfId="16572"/>
    <cellStyle name="Normal 2 3 2 2 2 2 2 2 2 2 2 2 2 7 9" xfId="16573"/>
    <cellStyle name="Normal 2 3 2 2 2 2 2 2 2 2 2 2 2 8" xfId="16574"/>
    <cellStyle name="Normal 2 3 2 2 2 2 2 2 2 2 2 2 2 9" xfId="16575"/>
    <cellStyle name="Normal 2 3 2 2 2 2 2 2 2 2 2 2 20" xfId="16576"/>
    <cellStyle name="Normal 2 3 2 2 2 2 2 2 2 2 2 2 21" xfId="16577"/>
    <cellStyle name="Normal 2 3 2 2 2 2 2 2 2 2 2 2 22" xfId="16578"/>
    <cellStyle name="Normal 2 3 2 2 2 2 2 2 2 2 2 2 23" xfId="16579"/>
    <cellStyle name="Normal 2 3 2 2 2 2 2 2 2 2 2 2 24" xfId="16580"/>
    <cellStyle name="Normal 2 3 2 2 2 2 2 2 2 2 2 2 25" xfId="16581"/>
    <cellStyle name="Normal 2 3 2 2 2 2 2 2 2 2 2 2 26" xfId="16582"/>
    <cellStyle name="Normal 2 3 2 2 2 2 2 2 2 2 2 2 27" xfId="16583"/>
    <cellStyle name="Normal 2 3 2 2 2 2 2 2 2 2 2 2 28" xfId="16584"/>
    <cellStyle name="Normal 2 3 2 2 2 2 2 2 2 2 2 2 3" xfId="16585"/>
    <cellStyle name="Normal 2 3 2 2 2 2 2 2 2 2 2 2 3 2" xfId="16586"/>
    <cellStyle name="Normal 2 3 2 2 2 2 2 2 2 2 2 2 4" xfId="16587"/>
    <cellStyle name="Normal 2 3 2 2 2 2 2 2 2 2 2 2 4 2" xfId="16588"/>
    <cellStyle name="Normal 2 3 2 2 2 2 2 2 2 2 2 2 5" xfId="16589"/>
    <cellStyle name="Normal 2 3 2 2 2 2 2 2 2 2 2 2 5 2" xfId="16590"/>
    <cellStyle name="Normal 2 3 2 2 2 2 2 2 2 2 2 2 6" xfId="16591"/>
    <cellStyle name="Normal 2 3 2 2 2 2 2 2 2 2 2 2 6 2" xfId="16592"/>
    <cellStyle name="Normal 2 3 2 2 2 2 2 2 2 2 2 2 7" xfId="16593"/>
    <cellStyle name="Normal 2 3 2 2 2 2 2 2 2 2 2 2 8" xfId="16594"/>
    <cellStyle name="Normal 2 3 2 2 2 2 2 2 2 2 2 2 8 10" xfId="16595"/>
    <cellStyle name="Normal 2 3 2 2 2 2 2 2 2 2 2 2 8 11" xfId="16596"/>
    <cellStyle name="Normal 2 3 2 2 2 2 2 2 2 2 2 2 8 12" xfId="16597"/>
    <cellStyle name="Normal 2 3 2 2 2 2 2 2 2 2 2 2 8 13" xfId="16598"/>
    <cellStyle name="Normal 2 3 2 2 2 2 2 2 2 2 2 2 8 14" xfId="16599"/>
    <cellStyle name="Normal 2 3 2 2 2 2 2 2 2 2 2 2 8 15" xfId="16600"/>
    <cellStyle name="Normal 2 3 2 2 2 2 2 2 2 2 2 2 8 16" xfId="16601"/>
    <cellStyle name="Normal 2 3 2 2 2 2 2 2 2 2 2 2 8 2" xfId="16602"/>
    <cellStyle name="Normal 2 3 2 2 2 2 2 2 2 2 2 2 8 3" xfId="16603"/>
    <cellStyle name="Normal 2 3 2 2 2 2 2 2 2 2 2 2 8 4" xfId="16604"/>
    <cellStyle name="Normal 2 3 2 2 2 2 2 2 2 2 2 2 8 5" xfId="16605"/>
    <cellStyle name="Normal 2 3 2 2 2 2 2 2 2 2 2 2 8 6" xfId="16606"/>
    <cellStyle name="Normal 2 3 2 2 2 2 2 2 2 2 2 2 8 7" xfId="16607"/>
    <cellStyle name="Normal 2 3 2 2 2 2 2 2 2 2 2 2 8 8" xfId="16608"/>
    <cellStyle name="Normal 2 3 2 2 2 2 2 2 2 2 2 2 8 9" xfId="16609"/>
    <cellStyle name="Normal 2 3 2 2 2 2 2 2 2 2 2 2 9" xfId="16610"/>
    <cellStyle name="Normal 2 3 2 2 2 2 2 2 2 2 2 20" xfId="16611"/>
    <cellStyle name="Normal 2 3 2 2 2 2 2 2 2 2 2 21" xfId="16612"/>
    <cellStyle name="Normal 2 3 2 2 2 2 2 2 2 2 2 22" xfId="16613"/>
    <cellStyle name="Normal 2 3 2 2 2 2 2 2 2 2 2 23" xfId="16614"/>
    <cellStyle name="Normal 2 3 2 2 2 2 2 2 2 2 2 24" xfId="16615"/>
    <cellStyle name="Normal 2 3 2 2 2 2 2 2 2 2 2 25" xfId="16616"/>
    <cellStyle name="Normal 2 3 2 2 2 2 2 2 2 2 2 26" xfId="16617"/>
    <cellStyle name="Normal 2 3 2 2 2 2 2 2 2 2 2 27" xfId="16618"/>
    <cellStyle name="Normal 2 3 2 2 2 2 2 2 2 2 2 28" xfId="16619"/>
    <cellStyle name="Normal 2 3 2 2 2 2 2 2 2 2 2 29" xfId="16620"/>
    <cellStyle name="Normal 2 3 2 2 2 2 2 2 2 2 2 3" xfId="16621"/>
    <cellStyle name="Normal 2 3 2 2 2 2 2 2 2 2 2 3 2" xfId="16622"/>
    <cellStyle name="Normal 2 3 2 2 2 2 2 2 2 2 2 30" xfId="16623"/>
    <cellStyle name="Normal 2 3 2 2 2 2 2 2 2 2 2 4" xfId="16624"/>
    <cellStyle name="Normal 2 3 2 2 2 2 2 2 2 2 2 4 2" xfId="16625"/>
    <cellStyle name="Normal 2 3 2 2 2 2 2 2 2 2 2 5" xfId="16626"/>
    <cellStyle name="Normal 2 3 2 2 2 2 2 2 2 2 2 5 2" xfId="16627"/>
    <cellStyle name="Normal 2 3 2 2 2 2 2 2 2 2 2 6" xfId="16628"/>
    <cellStyle name="Normal 2 3 2 2 2 2 2 2 2 2 2 6 2" xfId="16629"/>
    <cellStyle name="Normal 2 3 2 2 2 2 2 2 2 2 2 7" xfId="16630"/>
    <cellStyle name="Normal 2 3 2 2 2 2 2 2 2 2 2 7 2" xfId="16631"/>
    <cellStyle name="Normal 2 3 2 2 2 2 2 2 2 2 2 8" xfId="16632"/>
    <cellStyle name="Normal 2 3 2 2 2 2 2 2 2 2 2 9" xfId="16633"/>
    <cellStyle name="Normal 2 3 2 2 2 2 2 2 2 2 20" xfId="16634"/>
    <cellStyle name="Normal 2 3 2 2 2 2 2 2 2 2 21" xfId="16635"/>
    <cellStyle name="Normal 2 3 2 2 2 2 2 2 2 2 22" xfId="16636"/>
    <cellStyle name="Normal 2 3 2 2 2 2 2 2 2 2 23" xfId="16637"/>
    <cellStyle name="Normal 2 3 2 2 2 2 2 2 2 2 24" xfId="16638"/>
    <cellStyle name="Normal 2 3 2 2 2 2 2 2 2 2 25" xfId="16639"/>
    <cellStyle name="Normal 2 3 2 2 2 2 2 2 2 2 26" xfId="16640"/>
    <cellStyle name="Normal 2 3 2 2 2 2 2 2 2 2 27" xfId="16641"/>
    <cellStyle name="Normal 2 3 2 2 2 2 2 2 2 2 28" xfId="16642"/>
    <cellStyle name="Normal 2 3 2 2 2 2 2 2 2 2 29" xfId="16643"/>
    <cellStyle name="Normal 2 3 2 2 2 2 2 2 2 2 3" xfId="16644"/>
    <cellStyle name="Normal 2 3 2 2 2 2 2 2 2 2 3 2" xfId="16645"/>
    <cellStyle name="Normal 2 3 2 2 2 2 2 2 2 2 3 2 2" xfId="16646"/>
    <cellStyle name="Normal 2 3 2 2 2 2 2 2 2 2 3 2 3" xfId="16647"/>
    <cellStyle name="Normal 2 3 2 2 2 2 2 2 2 2 3 2 4" xfId="16648"/>
    <cellStyle name="Normal 2 3 2 2 2 2 2 2 2 2 3 2 5" xfId="16649"/>
    <cellStyle name="Normal 2 3 2 2 2 2 2 2 2 2 3 2 6" xfId="16650"/>
    <cellStyle name="Normal 2 3 2 2 2 2 2 2 2 2 3 3" xfId="16651"/>
    <cellStyle name="Normal 2 3 2 2 2 2 2 2 2 2 3 4" xfId="16652"/>
    <cellStyle name="Normal 2 3 2 2 2 2 2 2 2 2 3 5" xfId="16653"/>
    <cellStyle name="Normal 2 3 2 2 2 2 2 2 2 2 3 6" xfId="16654"/>
    <cellStyle name="Normal 2 3 2 2 2 2 2 2 2 2 3 7" xfId="16655"/>
    <cellStyle name="Normal 2 3 2 2 2 2 2 2 2 2 30" xfId="16656"/>
    <cellStyle name="Normal 2 3 2 2 2 2 2 2 2 2 31" xfId="16657"/>
    <cellStyle name="Normal 2 3 2 2 2 2 2 2 2 2 32" xfId="16658"/>
    <cellStyle name="Normal 2 3 2 2 2 2 2 2 2 2 4" xfId="16659"/>
    <cellStyle name="Normal 2 3 2 2 2 2 2 2 2 2 4 2" xfId="16660"/>
    <cellStyle name="Normal 2 3 2 2 2 2 2 2 2 2 5" xfId="16661"/>
    <cellStyle name="Normal 2 3 2 2 2 2 2 2 2 2 5 2" xfId="16662"/>
    <cellStyle name="Normal 2 3 2 2 2 2 2 2 2 2 6" xfId="16663"/>
    <cellStyle name="Normal 2 3 2 2 2 2 2 2 2 2 6 2" xfId="16664"/>
    <cellStyle name="Normal 2 3 2 2 2 2 2 2 2 2 7" xfId="16665"/>
    <cellStyle name="Normal 2 3 2 2 2 2 2 2 2 2 7 2" xfId="16666"/>
    <cellStyle name="Normal 2 3 2 2 2 2 2 2 2 2 8" xfId="16667"/>
    <cellStyle name="Normal 2 3 2 2 2 2 2 2 2 2 8 2" xfId="16668"/>
    <cellStyle name="Normal 2 3 2 2 2 2 2 2 2 2 9" xfId="16669"/>
    <cellStyle name="Normal 2 3 2 2 2 2 2 2 2 2 9 2" xfId="16670"/>
    <cellStyle name="Normal 2 3 2 2 2 2 2 2 2 20" xfId="16671"/>
    <cellStyle name="Normal 2 3 2 2 2 2 2 2 2 20 2" xfId="16672"/>
    <cellStyle name="Normal 2 3 2 2 2 2 2 2 2 20 3" xfId="16673"/>
    <cellStyle name="Normal 2 3 2 2 2 2 2 2 2 20 4" xfId="16674"/>
    <cellStyle name="Normal 2 3 2 2 2 2 2 2 2 20 5" xfId="16675"/>
    <cellStyle name="Normal 2 3 2 2 2 2 2 2 2 21" xfId="16676"/>
    <cellStyle name="Normal 2 3 2 2 2 2 2 2 2 22" xfId="16677"/>
    <cellStyle name="Normal 2 3 2 2 2 2 2 2 2 23" xfId="16678"/>
    <cellStyle name="Normal 2 3 2 2 2 2 2 2 2 24" xfId="16679"/>
    <cellStyle name="Normal 2 3 2 2 2 2 2 2 2 25" xfId="16680"/>
    <cellStyle name="Normal 2 3 2 2 2 2 2 2 2 26" xfId="16681"/>
    <cellStyle name="Normal 2 3 2 2 2 2 2 2 2 27" xfId="16682"/>
    <cellStyle name="Normal 2 3 2 2 2 2 2 2 2 28" xfId="16683"/>
    <cellStyle name="Normal 2 3 2 2 2 2 2 2 2 29" xfId="16684"/>
    <cellStyle name="Normal 2 3 2 2 2 2 2 2 2 3" xfId="16685"/>
    <cellStyle name="Normal 2 3 2 2 2 2 2 2 2 30" xfId="16686"/>
    <cellStyle name="Normal 2 3 2 2 2 2 2 2 2 31" xfId="16687"/>
    <cellStyle name="Normal 2 3 2 2 2 2 2 2 2 32" xfId="16688"/>
    <cellStyle name="Normal 2 3 2 2 2 2 2 2 2 33" xfId="16689"/>
    <cellStyle name="Normal 2 3 2 2 2 2 2 2 2 4" xfId="16690"/>
    <cellStyle name="Normal 2 3 2 2 2 2 2 2 2 4 2" xfId="16691"/>
    <cellStyle name="Normal 2 3 2 2 2 2 2 2 2 4 2 2" xfId="16692"/>
    <cellStyle name="Normal 2 3 2 2 2 2 2 2 2 4 3" xfId="16693"/>
    <cellStyle name="Normal 2 3 2 2 2 2 2 2 2 5" xfId="16694"/>
    <cellStyle name="Normal 2 3 2 2 2 2 2 2 2 5 2" xfId="16695"/>
    <cellStyle name="Normal 2 3 2 2 2 2 2 2 2 5 2 2" xfId="16696"/>
    <cellStyle name="Normal 2 3 2 2 2 2 2 2 2 5 2 3" xfId="16697"/>
    <cellStyle name="Normal 2 3 2 2 2 2 2 2 2 5 2 4" xfId="16698"/>
    <cellStyle name="Normal 2 3 2 2 2 2 2 2 2 5 2 5" xfId="16699"/>
    <cellStyle name="Normal 2 3 2 2 2 2 2 2 2 5 2 6" xfId="16700"/>
    <cellStyle name="Normal 2 3 2 2 2 2 2 2 2 5 3" xfId="16701"/>
    <cellStyle name="Normal 2 3 2 2 2 2 2 2 2 5 4" xfId="16702"/>
    <cellStyle name="Normal 2 3 2 2 2 2 2 2 2 5 5" xfId="16703"/>
    <cellStyle name="Normal 2 3 2 2 2 2 2 2 2 5 6" xfId="16704"/>
    <cellStyle name="Normal 2 3 2 2 2 2 2 2 2 5 7" xfId="16705"/>
    <cellStyle name="Normal 2 3 2 2 2 2 2 2 2 6" xfId="16706"/>
    <cellStyle name="Normal 2 3 2 2 2 2 2 2 2 6 2" xfId="16707"/>
    <cellStyle name="Normal 2 3 2 2 2 2 2 2 2 7" xfId="16708"/>
    <cellStyle name="Normal 2 3 2 2 2 2 2 2 2 7 2" xfId="16709"/>
    <cellStyle name="Normal 2 3 2 2 2 2 2 2 2 8" xfId="16710"/>
    <cellStyle name="Normal 2 3 2 2 2 2 2 2 2 8 2" xfId="16711"/>
    <cellStyle name="Normal 2 3 2 2 2 2 2 2 2 9" xfId="16712"/>
    <cellStyle name="Normal 2 3 2 2 2 2 2 2 2 9 2" xfId="16713"/>
    <cellStyle name="Normal 2 3 2 2 2 2 2 2 20" xfId="16714"/>
    <cellStyle name="Normal 2 3 2 2 2 2 2 2 20 10" xfId="16715"/>
    <cellStyle name="Normal 2 3 2 2 2 2 2 2 20 11" xfId="16716"/>
    <cellStyle name="Normal 2 3 2 2 2 2 2 2 20 12" xfId="16717"/>
    <cellStyle name="Normal 2 3 2 2 2 2 2 2 20 13" xfId="16718"/>
    <cellStyle name="Normal 2 3 2 2 2 2 2 2 20 14" xfId="16719"/>
    <cellStyle name="Normal 2 3 2 2 2 2 2 2 20 15" xfId="16720"/>
    <cellStyle name="Normal 2 3 2 2 2 2 2 2 20 16" xfId="16721"/>
    <cellStyle name="Normal 2 3 2 2 2 2 2 2 20 2" xfId="16722"/>
    <cellStyle name="Normal 2 3 2 2 2 2 2 2 20 3" xfId="16723"/>
    <cellStyle name="Normal 2 3 2 2 2 2 2 2 20 4" xfId="16724"/>
    <cellStyle name="Normal 2 3 2 2 2 2 2 2 20 5" xfId="16725"/>
    <cellStyle name="Normal 2 3 2 2 2 2 2 2 20 6" xfId="16726"/>
    <cellStyle name="Normal 2 3 2 2 2 2 2 2 20 7" xfId="16727"/>
    <cellStyle name="Normal 2 3 2 2 2 2 2 2 20 8" xfId="16728"/>
    <cellStyle name="Normal 2 3 2 2 2 2 2 2 20 9" xfId="16729"/>
    <cellStyle name="Normal 2 3 2 2 2 2 2 2 21" xfId="16730"/>
    <cellStyle name="Normal 2 3 2 2 2 2 2 2 22" xfId="16731"/>
    <cellStyle name="Normal 2 3 2 2 2 2 2 2 23" xfId="16732"/>
    <cellStyle name="Normal 2 3 2 2 2 2 2 2 24" xfId="16733"/>
    <cellStyle name="Normal 2 3 2 2 2 2 2 2 25" xfId="16734"/>
    <cellStyle name="Normal 2 3 2 2 2 2 2 2 26" xfId="16735"/>
    <cellStyle name="Normal 2 3 2 2 2 2 2 2 27" xfId="16736"/>
    <cellStyle name="Normal 2 3 2 2 2 2 2 2 28" xfId="16737"/>
    <cellStyle name="Normal 2 3 2 2 2 2 2 2 29" xfId="16738"/>
    <cellStyle name="Normal 2 3 2 2 2 2 2 2 3" xfId="16739"/>
    <cellStyle name="Normal 2 3 2 2 2 2 2 2 3 10" xfId="16740"/>
    <cellStyle name="Normal 2 3 2 2 2 2 2 2 3 2" xfId="16741"/>
    <cellStyle name="Normal 2 3 2 2 2 2 2 2 3 2 2" xfId="16742"/>
    <cellStyle name="Normal 2 3 2 2 2 2 2 2 3 2 2 2" xfId="16743"/>
    <cellStyle name="Normal 2 3 2 2 2 2 2 2 3 2 2 2 2" xfId="16744"/>
    <cellStyle name="Normal 2 3 2 2 2 2 2 2 3 2 2 2 3" xfId="16745"/>
    <cellStyle name="Normal 2 3 2 2 2 2 2 2 3 2 2 2 4" xfId="16746"/>
    <cellStyle name="Normal 2 3 2 2 2 2 2 2 3 2 2 2 5" xfId="16747"/>
    <cellStyle name="Normal 2 3 2 2 2 2 2 2 3 2 2 2 6" xfId="16748"/>
    <cellStyle name="Normal 2 3 2 2 2 2 2 2 3 2 2 3" xfId="16749"/>
    <cellStyle name="Normal 2 3 2 2 2 2 2 2 3 2 2 4" xfId="16750"/>
    <cellStyle name="Normal 2 3 2 2 2 2 2 2 3 2 2 5" xfId="16751"/>
    <cellStyle name="Normal 2 3 2 2 2 2 2 2 3 2 2 6" xfId="16752"/>
    <cellStyle name="Normal 2 3 2 2 2 2 2 2 3 2 3" xfId="16753"/>
    <cellStyle name="Normal 2 3 2 2 2 2 2 2 3 2 4" xfId="16754"/>
    <cellStyle name="Normal 2 3 2 2 2 2 2 2 3 2 5" xfId="16755"/>
    <cellStyle name="Normal 2 3 2 2 2 2 2 2 3 2 6" xfId="16756"/>
    <cellStyle name="Normal 2 3 2 2 2 2 2 2 3 2 7" xfId="16757"/>
    <cellStyle name="Normal 2 3 2 2 2 2 2 2 3 2 8" xfId="16758"/>
    <cellStyle name="Normal 2 3 2 2 2 2 2 2 3 2 9" xfId="16759"/>
    <cellStyle name="Normal 2 3 2 2 2 2 2 2 3 3" xfId="16760"/>
    <cellStyle name="Normal 2 3 2 2 2 2 2 2 3 3 2" xfId="16761"/>
    <cellStyle name="Normal 2 3 2 2 2 2 2 2 3 3 2 2" xfId="16762"/>
    <cellStyle name="Normal 2 3 2 2 2 2 2 2 3 3 2 3" xfId="16763"/>
    <cellStyle name="Normal 2 3 2 2 2 2 2 2 3 3 2 4" xfId="16764"/>
    <cellStyle name="Normal 2 3 2 2 2 2 2 2 3 3 2 5" xfId="16765"/>
    <cellStyle name="Normal 2 3 2 2 2 2 2 2 3 3 2 6" xfId="16766"/>
    <cellStyle name="Normal 2 3 2 2 2 2 2 2 3 3 3" xfId="16767"/>
    <cellStyle name="Normal 2 3 2 2 2 2 2 2 3 3 4" xfId="16768"/>
    <cellStyle name="Normal 2 3 2 2 2 2 2 2 3 3 5" xfId="16769"/>
    <cellStyle name="Normal 2 3 2 2 2 2 2 2 3 3 6" xfId="16770"/>
    <cellStyle name="Normal 2 3 2 2 2 2 2 2 3 4" xfId="16771"/>
    <cellStyle name="Normal 2 3 2 2 2 2 2 2 3 5" xfId="16772"/>
    <cellStyle name="Normal 2 3 2 2 2 2 2 2 3 6" xfId="16773"/>
    <cellStyle name="Normal 2 3 2 2 2 2 2 2 3 7" xfId="16774"/>
    <cellStyle name="Normal 2 3 2 2 2 2 2 2 3 8" xfId="16775"/>
    <cellStyle name="Normal 2 3 2 2 2 2 2 2 3 9" xfId="16776"/>
    <cellStyle name="Normal 2 3 2 2 2 2 2 2 30" xfId="16777"/>
    <cellStyle name="Normal 2 3 2 2 2 2 2 2 31" xfId="16778"/>
    <cellStyle name="Normal 2 3 2 2 2 2 2 2 32" xfId="16779"/>
    <cellStyle name="Normal 2 3 2 2 2 2 2 2 33" xfId="16780"/>
    <cellStyle name="Normal 2 3 2 2 2 2 2 2 34" xfId="16781"/>
    <cellStyle name="Normal 2 3 2 2 2 2 2 2 35" xfId="16782"/>
    <cellStyle name="Normal 2 3 2 2 2 2 2 2 36" xfId="16783"/>
    <cellStyle name="Normal 2 3 2 2 2 2 2 2 37" xfId="16784"/>
    <cellStyle name="Normal 2 3 2 2 2 2 2 2 38" xfId="16785"/>
    <cellStyle name="Normal 2 3 2 2 2 2 2 2 39" xfId="16786"/>
    <cellStyle name="Normal 2 3 2 2 2 2 2 2 4" xfId="16787"/>
    <cellStyle name="Normal 2 3 2 2 2 2 2 2 4 2" xfId="16788"/>
    <cellStyle name="Normal 2 3 2 2 2 2 2 2 40" xfId="16789"/>
    <cellStyle name="Normal 2 3 2 2 2 2 2 2 5" xfId="16790"/>
    <cellStyle name="Normal 2 3 2 2 2 2 2 2 5 2" xfId="16791"/>
    <cellStyle name="Normal 2 3 2 2 2 2 2 2 5 2 2" xfId="16792"/>
    <cellStyle name="Normal 2 3 2 2 2 2 2 2 5 2 3" xfId="16793"/>
    <cellStyle name="Normal 2 3 2 2 2 2 2 2 5 2 4" xfId="16794"/>
    <cellStyle name="Normal 2 3 2 2 2 2 2 2 5 2 5" xfId="16795"/>
    <cellStyle name="Normal 2 3 2 2 2 2 2 2 5 2 6" xfId="16796"/>
    <cellStyle name="Normal 2 3 2 2 2 2 2 2 5 3" xfId="16797"/>
    <cellStyle name="Normal 2 3 2 2 2 2 2 2 5 4" xfId="16798"/>
    <cellStyle name="Normal 2 3 2 2 2 2 2 2 5 5" xfId="16799"/>
    <cellStyle name="Normal 2 3 2 2 2 2 2 2 5 6" xfId="16800"/>
    <cellStyle name="Normal 2 3 2 2 2 2 2 2 5 7" xfId="16801"/>
    <cellStyle name="Normal 2 3 2 2 2 2 2 2 6" xfId="16802"/>
    <cellStyle name="Normal 2 3 2 2 2 2 2 2 6 2" xfId="16803"/>
    <cellStyle name="Normal 2 3 2 2 2 2 2 2 7" xfId="16804"/>
    <cellStyle name="Normal 2 3 2 2 2 2 2 2 7 2" xfId="16805"/>
    <cellStyle name="Normal 2 3 2 2 2 2 2 2 8" xfId="16806"/>
    <cellStyle name="Normal 2 3 2 2 2 2 2 2 8 2" xfId="16807"/>
    <cellStyle name="Normal 2 3 2 2 2 2 2 2 9" xfId="16808"/>
    <cellStyle name="Normal 2 3 2 2 2 2 2 2 9 2" xfId="16809"/>
    <cellStyle name="Normal 2 3 2 2 2 2 2 20" xfId="16810"/>
    <cellStyle name="Normal 2 3 2 2 2 2 2 20 10" xfId="16811"/>
    <cellStyle name="Normal 2 3 2 2 2 2 2 20 11" xfId="16812"/>
    <cellStyle name="Normal 2 3 2 2 2 2 2 20 12" xfId="16813"/>
    <cellStyle name="Normal 2 3 2 2 2 2 2 20 13" xfId="16814"/>
    <cellStyle name="Normal 2 3 2 2 2 2 2 20 14" xfId="16815"/>
    <cellStyle name="Normal 2 3 2 2 2 2 2 20 15" xfId="16816"/>
    <cellStyle name="Normal 2 3 2 2 2 2 2 20 16" xfId="16817"/>
    <cellStyle name="Normal 2 3 2 2 2 2 2 20 2" xfId="16818"/>
    <cellStyle name="Normal 2 3 2 2 2 2 2 20 3" xfId="16819"/>
    <cellStyle name="Normal 2 3 2 2 2 2 2 20 4" xfId="16820"/>
    <cellStyle name="Normal 2 3 2 2 2 2 2 20 5" xfId="16821"/>
    <cellStyle name="Normal 2 3 2 2 2 2 2 20 6" xfId="16822"/>
    <cellStyle name="Normal 2 3 2 2 2 2 2 20 7" xfId="16823"/>
    <cellStyle name="Normal 2 3 2 2 2 2 2 20 8" xfId="16824"/>
    <cellStyle name="Normal 2 3 2 2 2 2 2 20 9" xfId="16825"/>
    <cellStyle name="Normal 2 3 2 2 2 2 2 21" xfId="16826"/>
    <cellStyle name="Normal 2 3 2 2 2 2 2 22" xfId="16827"/>
    <cellStyle name="Normal 2 3 2 2 2 2 2 23" xfId="16828"/>
    <cellStyle name="Normal 2 3 2 2 2 2 2 24" xfId="16829"/>
    <cellStyle name="Normal 2 3 2 2 2 2 2 25" xfId="16830"/>
    <cellStyle name="Normal 2 3 2 2 2 2 2 26" xfId="16831"/>
    <cellStyle name="Normal 2 3 2 2 2 2 2 27" xfId="16832"/>
    <cellStyle name="Normal 2 3 2 2 2 2 2 27 2" xfId="16833"/>
    <cellStyle name="Normal 2 3 2 2 2 2 2 27 3" xfId="16834"/>
    <cellStyle name="Normal 2 3 2 2 2 2 2 27 4" xfId="16835"/>
    <cellStyle name="Normal 2 3 2 2 2 2 2 27 5" xfId="16836"/>
    <cellStyle name="Normal 2 3 2 2 2 2 2 28" xfId="16837"/>
    <cellStyle name="Normal 2 3 2 2 2 2 2 29" xfId="16838"/>
    <cellStyle name="Normal 2 3 2 2 2 2 2 3" xfId="16839"/>
    <cellStyle name="Normal 2 3 2 2 2 2 2 3 2" xfId="16840"/>
    <cellStyle name="Normal 2 3 2 2 2 2 2 30" xfId="16841"/>
    <cellStyle name="Normal 2 3 2 2 2 2 2 31" xfId="16842"/>
    <cellStyle name="Normal 2 3 2 2 2 2 2 32" xfId="16843"/>
    <cellStyle name="Normal 2 3 2 2 2 2 2 33" xfId="16844"/>
    <cellStyle name="Normal 2 3 2 2 2 2 2 34" xfId="16845"/>
    <cellStyle name="Normal 2 3 2 2 2 2 2 35" xfId="16846"/>
    <cellStyle name="Normal 2 3 2 2 2 2 2 36" xfId="16847"/>
    <cellStyle name="Normal 2 3 2 2 2 2 2 37" xfId="16848"/>
    <cellStyle name="Normal 2 3 2 2 2 2 2 38" xfId="16849"/>
    <cellStyle name="Normal 2 3 2 2 2 2 2 39" xfId="16850"/>
    <cellStyle name="Normal 2 3 2 2 2 2 2 4" xfId="16851"/>
    <cellStyle name="Normal 2 3 2 2 2 2 2 4 2" xfId="16852"/>
    <cellStyle name="Normal 2 3 2 2 2 2 2 40" xfId="16853"/>
    <cellStyle name="Normal 2 3 2 2 2 2 2 5" xfId="16854"/>
    <cellStyle name="Normal 2 3 2 2 2 2 2 5 10" xfId="16855"/>
    <cellStyle name="Normal 2 3 2 2 2 2 2 5 2" xfId="16856"/>
    <cellStyle name="Normal 2 3 2 2 2 2 2 5 2 2" xfId="16857"/>
    <cellStyle name="Normal 2 3 2 2 2 2 2 5 2 2 2" xfId="16858"/>
    <cellStyle name="Normal 2 3 2 2 2 2 2 5 2 2 2 2" xfId="16859"/>
    <cellStyle name="Normal 2 3 2 2 2 2 2 5 2 2 2 3" xfId="16860"/>
    <cellStyle name="Normal 2 3 2 2 2 2 2 5 2 2 2 4" xfId="16861"/>
    <cellStyle name="Normal 2 3 2 2 2 2 2 5 2 2 2 5" xfId="16862"/>
    <cellStyle name="Normal 2 3 2 2 2 2 2 5 2 2 2 6" xfId="16863"/>
    <cellStyle name="Normal 2 3 2 2 2 2 2 5 2 2 3" xfId="16864"/>
    <cellStyle name="Normal 2 3 2 2 2 2 2 5 2 2 4" xfId="16865"/>
    <cellStyle name="Normal 2 3 2 2 2 2 2 5 2 2 5" xfId="16866"/>
    <cellStyle name="Normal 2 3 2 2 2 2 2 5 2 2 6" xfId="16867"/>
    <cellStyle name="Normal 2 3 2 2 2 2 2 5 2 3" xfId="16868"/>
    <cellStyle name="Normal 2 3 2 2 2 2 2 5 2 4" xfId="16869"/>
    <cellStyle name="Normal 2 3 2 2 2 2 2 5 2 5" xfId="16870"/>
    <cellStyle name="Normal 2 3 2 2 2 2 2 5 2 6" xfId="16871"/>
    <cellStyle name="Normal 2 3 2 2 2 2 2 5 2 7" xfId="16872"/>
    <cellStyle name="Normal 2 3 2 2 2 2 2 5 2 8" xfId="16873"/>
    <cellStyle name="Normal 2 3 2 2 2 2 2 5 2 9" xfId="16874"/>
    <cellStyle name="Normal 2 3 2 2 2 2 2 5 3" xfId="16875"/>
    <cellStyle name="Normal 2 3 2 2 2 2 2 5 3 2" xfId="16876"/>
    <cellStyle name="Normal 2 3 2 2 2 2 2 5 3 2 2" xfId="16877"/>
    <cellStyle name="Normal 2 3 2 2 2 2 2 5 3 2 3" xfId="16878"/>
    <cellStyle name="Normal 2 3 2 2 2 2 2 5 3 2 4" xfId="16879"/>
    <cellStyle name="Normal 2 3 2 2 2 2 2 5 3 2 5" xfId="16880"/>
    <cellStyle name="Normal 2 3 2 2 2 2 2 5 3 2 6" xfId="16881"/>
    <cellStyle name="Normal 2 3 2 2 2 2 2 5 3 3" xfId="16882"/>
    <cellStyle name="Normal 2 3 2 2 2 2 2 5 3 4" xfId="16883"/>
    <cellStyle name="Normal 2 3 2 2 2 2 2 5 3 5" xfId="16884"/>
    <cellStyle name="Normal 2 3 2 2 2 2 2 5 3 6" xfId="16885"/>
    <cellStyle name="Normal 2 3 2 2 2 2 2 5 4" xfId="16886"/>
    <cellStyle name="Normal 2 3 2 2 2 2 2 5 5" xfId="16887"/>
    <cellStyle name="Normal 2 3 2 2 2 2 2 5 6" xfId="16888"/>
    <cellStyle name="Normal 2 3 2 2 2 2 2 5 7" xfId="16889"/>
    <cellStyle name="Normal 2 3 2 2 2 2 2 5 8" xfId="16890"/>
    <cellStyle name="Normal 2 3 2 2 2 2 2 5 9" xfId="16891"/>
    <cellStyle name="Normal 2 3 2 2 2 2 2 6" xfId="16892"/>
    <cellStyle name="Normal 2 3 2 2 2 2 2 6 2" xfId="16893"/>
    <cellStyle name="Normal 2 3 2 2 2 2 2 7" xfId="16894"/>
    <cellStyle name="Normal 2 3 2 2 2 2 2 7 2" xfId="16895"/>
    <cellStyle name="Normal 2 3 2 2 2 2 2 8" xfId="16896"/>
    <cellStyle name="Normal 2 3 2 2 2 2 2 8 2" xfId="16897"/>
    <cellStyle name="Normal 2 3 2 2 2 2 2 8 2 2" xfId="16898"/>
    <cellStyle name="Normal 2 3 2 2 2 2 2 8 2 3" xfId="16899"/>
    <cellStyle name="Normal 2 3 2 2 2 2 2 8 2 4" xfId="16900"/>
    <cellStyle name="Normal 2 3 2 2 2 2 2 8 2 5" xfId="16901"/>
    <cellStyle name="Normal 2 3 2 2 2 2 2 8 2 6" xfId="16902"/>
    <cellStyle name="Normal 2 3 2 2 2 2 2 8 3" xfId="16903"/>
    <cellStyle name="Normal 2 3 2 2 2 2 2 8 4" xfId="16904"/>
    <cellStyle name="Normal 2 3 2 2 2 2 2 8 5" xfId="16905"/>
    <cellStyle name="Normal 2 3 2 2 2 2 2 8 6" xfId="16906"/>
    <cellStyle name="Normal 2 3 2 2 2 2 2 8 7" xfId="16907"/>
    <cellStyle name="Normal 2 3 2 2 2 2 2 9" xfId="16908"/>
    <cellStyle name="Normal 2 3 2 2 2 2 2 9 2" xfId="16909"/>
    <cellStyle name="Normal 2 3 2 2 2 2 20" xfId="16910"/>
    <cellStyle name="Normal 2 3 2 2 2 2 21" xfId="16911"/>
    <cellStyle name="Normal 2 3 2 2 2 2 22" xfId="16912"/>
    <cellStyle name="Normal 2 3 2 2 2 2 23" xfId="16913"/>
    <cellStyle name="Normal 2 3 2 2 2 2 24" xfId="16914"/>
    <cellStyle name="Normal 2 3 2 2 2 2 25" xfId="16915"/>
    <cellStyle name="Normal 2 3 2 2 2 2 26" xfId="16916"/>
    <cellStyle name="Normal 2 3 2 2 2 2 27" xfId="16917"/>
    <cellStyle name="Normal 2 3 2 2 2 2 28" xfId="16918"/>
    <cellStyle name="Normal 2 3 2 2 2 2 28 10" xfId="16919"/>
    <cellStyle name="Normal 2 3 2 2 2 2 28 11" xfId="16920"/>
    <cellStyle name="Normal 2 3 2 2 2 2 28 12" xfId="16921"/>
    <cellStyle name="Normal 2 3 2 2 2 2 28 13" xfId="16922"/>
    <cellStyle name="Normal 2 3 2 2 2 2 28 14" xfId="16923"/>
    <cellStyle name="Normal 2 3 2 2 2 2 28 15" xfId="16924"/>
    <cellStyle name="Normal 2 3 2 2 2 2 28 16" xfId="16925"/>
    <cellStyle name="Normal 2 3 2 2 2 2 28 2" xfId="16926"/>
    <cellStyle name="Normal 2 3 2 2 2 2 28 3" xfId="16927"/>
    <cellStyle name="Normal 2 3 2 2 2 2 28 4" xfId="16928"/>
    <cellStyle name="Normal 2 3 2 2 2 2 28 5" xfId="16929"/>
    <cellStyle name="Normal 2 3 2 2 2 2 28 6" xfId="16930"/>
    <cellStyle name="Normal 2 3 2 2 2 2 28 7" xfId="16931"/>
    <cellStyle name="Normal 2 3 2 2 2 2 28 8" xfId="16932"/>
    <cellStyle name="Normal 2 3 2 2 2 2 28 9" xfId="16933"/>
    <cellStyle name="Normal 2 3 2 2 2 2 29" xfId="16934"/>
    <cellStyle name="Normal 2 3 2 2 2 2 3" xfId="16935"/>
    <cellStyle name="Normal 2 3 2 2 2 2 3 10" xfId="16936"/>
    <cellStyle name="Normal 2 3 2 2 2 2 3 11" xfId="16937"/>
    <cellStyle name="Normal 2 3 2 2 2 2 3 12" xfId="16938"/>
    <cellStyle name="Normal 2 3 2 2 2 2 3 13" xfId="16939"/>
    <cellStyle name="Normal 2 3 2 2 2 2 3 2" xfId="16940"/>
    <cellStyle name="Normal 2 3 2 2 2 2 3 2 10" xfId="16941"/>
    <cellStyle name="Normal 2 3 2 2 2 2 3 2 11" xfId="16942"/>
    <cellStyle name="Normal 2 3 2 2 2 2 3 2 12" xfId="16943"/>
    <cellStyle name="Normal 2 3 2 2 2 2 3 2 2" xfId="16944"/>
    <cellStyle name="Normal 2 3 2 2 2 2 3 2 2 2" xfId="16945"/>
    <cellStyle name="Normal 2 3 2 2 2 2 3 2 2 2 2" xfId="16946"/>
    <cellStyle name="Normal 2 3 2 2 2 2 3 2 2 2 2 2" xfId="16947"/>
    <cellStyle name="Normal 2 3 2 2 2 2 3 2 2 2 2 2 2" xfId="16948"/>
    <cellStyle name="Normal 2 3 2 2 2 2 3 2 2 2 2 2 3" xfId="16949"/>
    <cellStyle name="Normal 2 3 2 2 2 2 3 2 2 2 2 2 4" xfId="16950"/>
    <cellStyle name="Normal 2 3 2 2 2 2 3 2 2 2 2 2 5" xfId="16951"/>
    <cellStyle name="Normal 2 3 2 2 2 2 3 2 2 2 2 2 6" xfId="16952"/>
    <cellStyle name="Normal 2 3 2 2 2 2 3 2 2 2 2 3" xfId="16953"/>
    <cellStyle name="Normal 2 3 2 2 2 2 3 2 2 2 2 4" xfId="16954"/>
    <cellStyle name="Normal 2 3 2 2 2 2 3 2 2 2 2 5" xfId="16955"/>
    <cellStyle name="Normal 2 3 2 2 2 2 3 2 2 2 2 6" xfId="16956"/>
    <cellStyle name="Normal 2 3 2 2 2 2 3 2 2 2 3" xfId="16957"/>
    <cellStyle name="Normal 2 3 2 2 2 2 3 2 2 2 4" xfId="16958"/>
    <cellStyle name="Normal 2 3 2 2 2 2 3 2 2 2 5" xfId="16959"/>
    <cellStyle name="Normal 2 3 2 2 2 2 3 2 2 2 6" xfId="16960"/>
    <cellStyle name="Normal 2 3 2 2 2 2 3 2 2 2 7" xfId="16961"/>
    <cellStyle name="Normal 2 3 2 2 2 2 3 2 2 2 8" xfId="16962"/>
    <cellStyle name="Normal 2 3 2 2 2 2 3 2 2 2 9" xfId="16963"/>
    <cellStyle name="Normal 2 3 2 2 2 2 3 2 2 3" xfId="16964"/>
    <cellStyle name="Normal 2 3 2 2 2 2 3 2 2 3 2" xfId="16965"/>
    <cellStyle name="Normal 2 3 2 2 2 2 3 2 2 3 2 2" xfId="16966"/>
    <cellStyle name="Normal 2 3 2 2 2 2 3 2 2 3 2 3" xfId="16967"/>
    <cellStyle name="Normal 2 3 2 2 2 2 3 2 2 3 2 4" xfId="16968"/>
    <cellStyle name="Normal 2 3 2 2 2 2 3 2 2 3 2 5" xfId="16969"/>
    <cellStyle name="Normal 2 3 2 2 2 2 3 2 2 3 2 6" xfId="16970"/>
    <cellStyle name="Normal 2 3 2 2 2 2 3 2 2 3 3" xfId="16971"/>
    <cellStyle name="Normal 2 3 2 2 2 2 3 2 2 3 4" xfId="16972"/>
    <cellStyle name="Normal 2 3 2 2 2 2 3 2 2 3 5" xfId="16973"/>
    <cellStyle name="Normal 2 3 2 2 2 2 3 2 2 3 6" xfId="16974"/>
    <cellStyle name="Normal 2 3 2 2 2 2 3 2 2 4" xfId="16975"/>
    <cellStyle name="Normal 2 3 2 2 2 2 3 2 2 5" xfId="16976"/>
    <cellStyle name="Normal 2 3 2 2 2 2 3 2 2 6" xfId="16977"/>
    <cellStyle name="Normal 2 3 2 2 2 2 3 2 2 7" xfId="16978"/>
    <cellStyle name="Normal 2 3 2 2 2 2 3 2 2 8" xfId="16979"/>
    <cellStyle name="Normal 2 3 2 2 2 2 3 2 2 9" xfId="16980"/>
    <cellStyle name="Normal 2 3 2 2 2 2 3 2 3" xfId="16981"/>
    <cellStyle name="Normal 2 3 2 2 2 2 3 2 4" xfId="16982"/>
    <cellStyle name="Normal 2 3 2 2 2 2 3 2 5" xfId="16983"/>
    <cellStyle name="Normal 2 3 2 2 2 2 3 2 5 2" xfId="16984"/>
    <cellStyle name="Normal 2 3 2 2 2 2 3 2 5 2 2" xfId="16985"/>
    <cellStyle name="Normal 2 3 2 2 2 2 3 2 5 2 3" xfId="16986"/>
    <cellStyle name="Normal 2 3 2 2 2 2 3 2 5 2 4" xfId="16987"/>
    <cellStyle name="Normal 2 3 2 2 2 2 3 2 5 2 5" xfId="16988"/>
    <cellStyle name="Normal 2 3 2 2 2 2 3 2 5 2 6" xfId="16989"/>
    <cellStyle name="Normal 2 3 2 2 2 2 3 2 5 3" xfId="16990"/>
    <cellStyle name="Normal 2 3 2 2 2 2 3 2 5 4" xfId="16991"/>
    <cellStyle name="Normal 2 3 2 2 2 2 3 2 5 5" xfId="16992"/>
    <cellStyle name="Normal 2 3 2 2 2 2 3 2 5 6" xfId="16993"/>
    <cellStyle name="Normal 2 3 2 2 2 2 3 2 6" xfId="16994"/>
    <cellStyle name="Normal 2 3 2 2 2 2 3 2 7" xfId="16995"/>
    <cellStyle name="Normal 2 3 2 2 2 2 3 2 8" xfId="16996"/>
    <cellStyle name="Normal 2 3 2 2 2 2 3 2 9" xfId="16997"/>
    <cellStyle name="Normal 2 3 2 2 2 2 3 3" xfId="16998"/>
    <cellStyle name="Normal 2 3 2 2 2 2 3 3 2" xfId="16999"/>
    <cellStyle name="Normal 2 3 2 2 2 2 3 3 2 2" xfId="17000"/>
    <cellStyle name="Normal 2 3 2 2 2 2 3 3 2 2 2" xfId="17001"/>
    <cellStyle name="Normal 2 3 2 2 2 2 3 3 2 2 2 2" xfId="17002"/>
    <cellStyle name="Normal 2 3 2 2 2 2 3 3 2 2 2 3" xfId="17003"/>
    <cellStyle name="Normal 2 3 2 2 2 2 3 3 2 2 2 4" xfId="17004"/>
    <cellStyle name="Normal 2 3 2 2 2 2 3 3 2 2 2 5" xfId="17005"/>
    <cellStyle name="Normal 2 3 2 2 2 2 3 3 2 2 2 6" xfId="17006"/>
    <cellStyle name="Normal 2 3 2 2 2 2 3 3 2 2 3" xfId="17007"/>
    <cellStyle name="Normal 2 3 2 2 2 2 3 3 2 2 4" xfId="17008"/>
    <cellStyle name="Normal 2 3 2 2 2 2 3 3 2 2 5" xfId="17009"/>
    <cellStyle name="Normal 2 3 2 2 2 2 3 3 2 2 6" xfId="17010"/>
    <cellStyle name="Normal 2 3 2 2 2 2 3 3 2 3" xfId="17011"/>
    <cellStyle name="Normal 2 3 2 2 2 2 3 3 2 4" xfId="17012"/>
    <cellStyle name="Normal 2 3 2 2 2 2 3 3 2 5" xfId="17013"/>
    <cellStyle name="Normal 2 3 2 2 2 2 3 3 2 6" xfId="17014"/>
    <cellStyle name="Normal 2 3 2 2 2 2 3 3 2 7" xfId="17015"/>
    <cellStyle name="Normal 2 3 2 2 2 2 3 3 2 8" xfId="17016"/>
    <cellStyle name="Normal 2 3 2 2 2 2 3 3 2 9" xfId="17017"/>
    <cellStyle name="Normal 2 3 2 2 2 2 3 3 3" xfId="17018"/>
    <cellStyle name="Normal 2 3 2 2 2 2 3 3 3 2" xfId="17019"/>
    <cellStyle name="Normal 2 3 2 2 2 2 3 3 3 2 2" xfId="17020"/>
    <cellStyle name="Normal 2 3 2 2 2 2 3 3 3 2 3" xfId="17021"/>
    <cellStyle name="Normal 2 3 2 2 2 2 3 3 3 2 4" xfId="17022"/>
    <cellStyle name="Normal 2 3 2 2 2 2 3 3 3 2 5" xfId="17023"/>
    <cellStyle name="Normal 2 3 2 2 2 2 3 3 3 2 6" xfId="17024"/>
    <cellStyle name="Normal 2 3 2 2 2 2 3 3 3 3" xfId="17025"/>
    <cellStyle name="Normal 2 3 2 2 2 2 3 3 3 4" xfId="17026"/>
    <cellStyle name="Normal 2 3 2 2 2 2 3 3 3 5" xfId="17027"/>
    <cellStyle name="Normal 2 3 2 2 2 2 3 3 3 6" xfId="17028"/>
    <cellStyle name="Normal 2 3 2 2 2 2 3 3 4" xfId="17029"/>
    <cellStyle name="Normal 2 3 2 2 2 2 3 3 5" xfId="17030"/>
    <cellStyle name="Normal 2 3 2 2 2 2 3 3 6" xfId="17031"/>
    <cellStyle name="Normal 2 3 2 2 2 2 3 3 7" xfId="17032"/>
    <cellStyle name="Normal 2 3 2 2 2 2 3 3 8" xfId="17033"/>
    <cellStyle name="Normal 2 3 2 2 2 2 3 3 9" xfId="17034"/>
    <cellStyle name="Normal 2 3 2 2 2 2 3 4" xfId="17035"/>
    <cellStyle name="Normal 2 3 2 2 2 2 3 5" xfId="17036"/>
    <cellStyle name="Normal 2 3 2 2 2 2 3 5 2" xfId="17037"/>
    <cellStyle name="Normal 2 3 2 2 2 2 3 5 2 2" xfId="17038"/>
    <cellStyle name="Normal 2 3 2 2 2 2 3 5 2 3" xfId="17039"/>
    <cellStyle name="Normal 2 3 2 2 2 2 3 5 2 4" xfId="17040"/>
    <cellStyle name="Normal 2 3 2 2 2 2 3 5 2 5" xfId="17041"/>
    <cellStyle name="Normal 2 3 2 2 2 2 3 5 2 6" xfId="17042"/>
    <cellStyle name="Normal 2 3 2 2 2 2 3 5 3" xfId="17043"/>
    <cellStyle name="Normal 2 3 2 2 2 2 3 5 4" xfId="17044"/>
    <cellStyle name="Normal 2 3 2 2 2 2 3 5 5" xfId="17045"/>
    <cellStyle name="Normal 2 3 2 2 2 2 3 5 6" xfId="17046"/>
    <cellStyle name="Normal 2 3 2 2 2 2 3 6" xfId="17047"/>
    <cellStyle name="Normal 2 3 2 2 2 2 3 7" xfId="17048"/>
    <cellStyle name="Normal 2 3 2 2 2 2 3 8" xfId="17049"/>
    <cellStyle name="Normal 2 3 2 2 2 2 3 9" xfId="17050"/>
    <cellStyle name="Normal 2 3 2 2 2 2 30" xfId="17051"/>
    <cellStyle name="Normal 2 3 2 2 2 2 31" xfId="17052"/>
    <cellStyle name="Normal 2 3 2 2 2 2 32" xfId="17053"/>
    <cellStyle name="Normal 2 3 2 2 2 2 33" xfId="17054"/>
    <cellStyle name="Normal 2 3 2 2 2 2 34" xfId="17055"/>
    <cellStyle name="Normal 2 3 2 2 2 2 35" xfId="17056"/>
    <cellStyle name="Normal 2 3 2 2 2 2 36" xfId="17057"/>
    <cellStyle name="Normal 2 3 2 2 2 2 37" xfId="17058"/>
    <cellStyle name="Normal 2 3 2 2 2 2 38" xfId="17059"/>
    <cellStyle name="Normal 2 3 2 2 2 2 39" xfId="17060"/>
    <cellStyle name="Normal 2 3 2 2 2 2 4" xfId="17061"/>
    <cellStyle name="Normal 2 3 2 2 2 2 4 2" xfId="17062"/>
    <cellStyle name="Normal 2 3 2 2 2 2 40" xfId="17063"/>
    <cellStyle name="Normal 2 3 2 2 2 2 41" xfId="17064"/>
    <cellStyle name="Normal 2 3 2 2 2 2 42" xfId="17065"/>
    <cellStyle name="Normal 2 3 2 2 2 2 43" xfId="17066"/>
    <cellStyle name="Normal 2 3 2 2 2 2 44" xfId="17067"/>
    <cellStyle name="Normal 2 3 2 2 2 2 45" xfId="17068"/>
    <cellStyle name="Normal 2 3 2 2 2 2 46" xfId="17069"/>
    <cellStyle name="Normal 2 3 2 2 2 2 47" xfId="17070"/>
    <cellStyle name="Normal 2 3 2 2 2 2 48" xfId="17071"/>
    <cellStyle name="Normal 2 3 2 2 2 2 49" xfId="17072"/>
    <cellStyle name="Normal 2 3 2 2 2 2 5" xfId="17073"/>
    <cellStyle name="Normal 2 3 2 2 2 2 5 10" xfId="17074"/>
    <cellStyle name="Normal 2 3 2 2 2 2 5 2" xfId="17075"/>
    <cellStyle name="Normal 2 3 2 2 2 2 5 2 2" xfId="17076"/>
    <cellStyle name="Normal 2 3 2 2 2 2 5 2 2 2" xfId="17077"/>
    <cellStyle name="Normal 2 3 2 2 2 2 5 2 2 2 2" xfId="17078"/>
    <cellStyle name="Normal 2 3 2 2 2 2 5 2 2 2 3" xfId="17079"/>
    <cellStyle name="Normal 2 3 2 2 2 2 5 2 2 2 4" xfId="17080"/>
    <cellStyle name="Normal 2 3 2 2 2 2 5 2 2 2 5" xfId="17081"/>
    <cellStyle name="Normal 2 3 2 2 2 2 5 2 2 2 6" xfId="17082"/>
    <cellStyle name="Normal 2 3 2 2 2 2 5 2 2 3" xfId="17083"/>
    <cellStyle name="Normal 2 3 2 2 2 2 5 2 2 4" xfId="17084"/>
    <cellStyle name="Normal 2 3 2 2 2 2 5 2 2 5" xfId="17085"/>
    <cellStyle name="Normal 2 3 2 2 2 2 5 2 2 6" xfId="17086"/>
    <cellStyle name="Normal 2 3 2 2 2 2 5 2 3" xfId="17087"/>
    <cellStyle name="Normal 2 3 2 2 2 2 5 2 4" xfId="17088"/>
    <cellStyle name="Normal 2 3 2 2 2 2 5 2 5" xfId="17089"/>
    <cellStyle name="Normal 2 3 2 2 2 2 5 2 6" xfId="17090"/>
    <cellStyle name="Normal 2 3 2 2 2 2 5 2 7" xfId="17091"/>
    <cellStyle name="Normal 2 3 2 2 2 2 5 2 8" xfId="17092"/>
    <cellStyle name="Normal 2 3 2 2 2 2 5 2 9" xfId="17093"/>
    <cellStyle name="Normal 2 3 2 2 2 2 5 3" xfId="17094"/>
    <cellStyle name="Normal 2 3 2 2 2 2 5 3 2" xfId="17095"/>
    <cellStyle name="Normal 2 3 2 2 2 2 5 3 2 2" xfId="17096"/>
    <cellStyle name="Normal 2 3 2 2 2 2 5 3 2 3" xfId="17097"/>
    <cellStyle name="Normal 2 3 2 2 2 2 5 3 2 4" xfId="17098"/>
    <cellStyle name="Normal 2 3 2 2 2 2 5 3 2 5" xfId="17099"/>
    <cellStyle name="Normal 2 3 2 2 2 2 5 3 2 6" xfId="17100"/>
    <cellStyle name="Normal 2 3 2 2 2 2 5 3 3" xfId="17101"/>
    <cellStyle name="Normal 2 3 2 2 2 2 5 3 4" xfId="17102"/>
    <cellStyle name="Normal 2 3 2 2 2 2 5 3 5" xfId="17103"/>
    <cellStyle name="Normal 2 3 2 2 2 2 5 3 6" xfId="17104"/>
    <cellStyle name="Normal 2 3 2 2 2 2 5 4" xfId="17105"/>
    <cellStyle name="Normal 2 3 2 2 2 2 5 5" xfId="17106"/>
    <cellStyle name="Normal 2 3 2 2 2 2 5 6" xfId="17107"/>
    <cellStyle name="Normal 2 3 2 2 2 2 5 7" xfId="17108"/>
    <cellStyle name="Normal 2 3 2 2 2 2 5 8" xfId="17109"/>
    <cellStyle name="Normal 2 3 2 2 2 2 5 9" xfId="17110"/>
    <cellStyle name="Normal 2 3 2 2 2 2 50" xfId="17111"/>
    <cellStyle name="Normal 2 3 2 2 2 2 51" xfId="17112"/>
    <cellStyle name="Normal 2 3 2 2 2 2 52" xfId="17113"/>
    <cellStyle name="Normal 2 3 2 2 2 2 6" xfId="17114"/>
    <cellStyle name="Normal 2 3 2 2 2 2 6 2" xfId="17115"/>
    <cellStyle name="Normal 2 3 2 2 2 2 7" xfId="17116"/>
    <cellStyle name="Normal 2 3 2 2 2 2 7 2" xfId="17117"/>
    <cellStyle name="Normal 2 3 2 2 2 2 8" xfId="17118"/>
    <cellStyle name="Normal 2 3 2 2 2 2 8 2" xfId="17119"/>
    <cellStyle name="Normal 2 3 2 2 2 2 8 2 2" xfId="17120"/>
    <cellStyle name="Normal 2 3 2 2 2 2 8 2 3" xfId="17121"/>
    <cellStyle name="Normal 2 3 2 2 2 2 8 2 4" xfId="17122"/>
    <cellStyle name="Normal 2 3 2 2 2 2 8 2 5" xfId="17123"/>
    <cellStyle name="Normal 2 3 2 2 2 2 8 2 6" xfId="17124"/>
    <cellStyle name="Normal 2 3 2 2 2 2 8 3" xfId="17125"/>
    <cellStyle name="Normal 2 3 2 2 2 2 8 4" xfId="17126"/>
    <cellStyle name="Normal 2 3 2 2 2 2 8 5" xfId="17127"/>
    <cellStyle name="Normal 2 3 2 2 2 2 8 6" xfId="17128"/>
    <cellStyle name="Normal 2 3 2 2 2 2 8 7" xfId="17129"/>
    <cellStyle name="Normal 2 3 2 2 2 2 9" xfId="17130"/>
    <cellStyle name="Normal 2 3 2 2 2 2 9 2" xfId="17131"/>
    <cellStyle name="Normal 2 3 2 2 2 20" xfId="17132"/>
    <cellStyle name="Normal 2 3 2 2 2 21" xfId="17133"/>
    <cellStyle name="Normal 2 3 2 2 2 22" xfId="17134"/>
    <cellStyle name="Normal 2 3 2 2 2 23" xfId="17135"/>
    <cellStyle name="Normal 2 3 2 2 2 24" xfId="17136"/>
    <cellStyle name="Normal 2 3 2 2 2 25" xfId="17137"/>
    <cellStyle name="Normal 2 3 2 2 2 26" xfId="17138"/>
    <cellStyle name="Normal 2 3 2 2 2 27" xfId="17139"/>
    <cellStyle name="Normal 2 3 2 2 2 28" xfId="17140"/>
    <cellStyle name="Normal 2 3 2 2 2 28 10" xfId="17141"/>
    <cellStyle name="Normal 2 3 2 2 2 28 11" xfId="17142"/>
    <cellStyle name="Normal 2 3 2 2 2 28 12" xfId="17143"/>
    <cellStyle name="Normal 2 3 2 2 2 28 13" xfId="17144"/>
    <cellStyle name="Normal 2 3 2 2 2 28 14" xfId="17145"/>
    <cellStyle name="Normal 2 3 2 2 2 28 15" xfId="17146"/>
    <cellStyle name="Normal 2 3 2 2 2 28 16" xfId="17147"/>
    <cellStyle name="Normal 2 3 2 2 2 28 2" xfId="17148"/>
    <cellStyle name="Normal 2 3 2 2 2 28 3" xfId="17149"/>
    <cellStyle name="Normal 2 3 2 2 2 28 4" xfId="17150"/>
    <cellStyle name="Normal 2 3 2 2 2 28 5" xfId="17151"/>
    <cellStyle name="Normal 2 3 2 2 2 28 6" xfId="17152"/>
    <cellStyle name="Normal 2 3 2 2 2 28 7" xfId="17153"/>
    <cellStyle name="Normal 2 3 2 2 2 28 8" xfId="17154"/>
    <cellStyle name="Normal 2 3 2 2 2 28 9" xfId="17155"/>
    <cellStyle name="Normal 2 3 2 2 2 29" xfId="17156"/>
    <cellStyle name="Normal 2 3 2 2 2 3" xfId="17157"/>
    <cellStyle name="Normal 2 3 2 2 2 3 10" xfId="17158"/>
    <cellStyle name="Normal 2 3 2 2 2 3 11" xfId="17159"/>
    <cellStyle name="Normal 2 3 2 2 2 3 12" xfId="17160"/>
    <cellStyle name="Normal 2 3 2 2 2 3 13" xfId="17161"/>
    <cellStyle name="Normal 2 3 2 2 2 3 14" xfId="17162"/>
    <cellStyle name="Normal 2 3 2 2 2 3 2" xfId="17163"/>
    <cellStyle name="Normal 2 3 2 2 2 3 2 2" xfId="17164"/>
    <cellStyle name="Normal 2 3 2 2 2 3 2 3" xfId="17165"/>
    <cellStyle name="Normal 2 3 2 2 2 3 2 4" xfId="17166"/>
    <cellStyle name="Normal 2 3 2 2 2 3 2 5" xfId="17167"/>
    <cellStyle name="Normal 2 3 2 2 2 3 2 6" xfId="17168"/>
    <cellStyle name="Normal 2 3 2 2 2 3 2 7" xfId="17169"/>
    <cellStyle name="Normal 2 3 2 2 2 3 2 8" xfId="17170"/>
    <cellStyle name="Normal 2 3 2 2 2 3 2 9" xfId="17171"/>
    <cellStyle name="Normal 2 3 2 2 2 3 3" xfId="17172"/>
    <cellStyle name="Normal 2 3 2 2 2 3 4" xfId="17173"/>
    <cellStyle name="Normal 2 3 2 2 2 3 5" xfId="17174"/>
    <cellStyle name="Normal 2 3 2 2 2 3 6" xfId="17175"/>
    <cellStyle name="Normal 2 3 2 2 2 3 7" xfId="17176"/>
    <cellStyle name="Normal 2 3 2 2 2 3 8" xfId="17177"/>
    <cellStyle name="Normal 2 3 2 2 2 3 9" xfId="17178"/>
    <cellStyle name="Normal 2 3 2 2 2 30" xfId="17179"/>
    <cellStyle name="Normal 2 3 2 2 2 31" xfId="17180"/>
    <cellStyle name="Normal 2 3 2 2 2 32" xfId="17181"/>
    <cellStyle name="Normal 2 3 2 2 2 33" xfId="17182"/>
    <cellStyle name="Normal 2 3 2 2 2 34" xfId="17183"/>
    <cellStyle name="Normal 2 3 2 2 2 35" xfId="17184"/>
    <cellStyle name="Normal 2 3 2 2 2 35 2" xfId="17185"/>
    <cellStyle name="Normal 2 3 2 2 2 35 3" xfId="17186"/>
    <cellStyle name="Normal 2 3 2 2 2 35 4" xfId="17187"/>
    <cellStyle name="Normal 2 3 2 2 2 35 5" xfId="17188"/>
    <cellStyle name="Normal 2 3 2 2 2 36" xfId="17189"/>
    <cellStyle name="Normal 2 3 2 2 2 37" xfId="17190"/>
    <cellStyle name="Normal 2 3 2 2 2 38" xfId="17191"/>
    <cellStyle name="Normal 2 3 2 2 2 39" xfId="17192"/>
    <cellStyle name="Normal 2 3 2 2 2 4" xfId="17193"/>
    <cellStyle name="Normal 2 3 2 2 2 4 2" xfId="17194"/>
    <cellStyle name="Normal 2 3 2 2 2 4 3" xfId="17195"/>
    <cellStyle name="Normal 2 3 2 2 2 4 4" xfId="17196"/>
    <cellStyle name="Normal 2 3 2 2 2 4 5" xfId="17197"/>
    <cellStyle name="Normal 2 3 2 2 2 4 6" xfId="17198"/>
    <cellStyle name="Normal 2 3 2 2 2 40" xfId="17199"/>
    <cellStyle name="Normal 2 3 2 2 2 41" xfId="17200"/>
    <cellStyle name="Normal 2 3 2 2 2 42" xfId="17201"/>
    <cellStyle name="Normal 2 3 2 2 2 43" xfId="17202"/>
    <cellStyle name="Normal 2 3 2 2 2 44" xfId="17203"/>
    <cellStyle name="Normal 2 3 2 2 2 45" xfId="17204"/>
    <cellStyle name="Normal 2 3 2 2 2 46" xfId="17205"/>
    <cellStyle name="Normal 2 3 2 2 2 47" xfId="17206"/>
    <cellStyle name="Normal 2 3 2 2 2 48" xfId="17207"/>
    <cellStyle name="Normal 2 3 2 2 2 49" xfId="17208"/>
    <cellStyle name="Normal 2 3 2 2 2 5" xfId="17209"/>
    <cellStyle name="Normal 2 3 2 2 2 5 10" xfId="17210"/>
    <cellStyle name="Normal 2 3 2 2 2 5 11" xfId="17211"/>
    <cellStyle name="Normal 2 3 2 2 2 5 12" xfId="17212"/>
    <cellStyle name="Normal 2 3 2 2 2 5 13" xfId="17213"/>
    <cellStyle name="Normal 2 3 2 2 2 5 14" xfId="17214"/>
    <cellStyle name="Normal 2 3 2 2 2 5 15" xfId="17215"/>
    <cellStyle name="Normal 2 3 2 2 2 5 16" xfId="17216"/>
    <cellStyle name="Normal 2 3 2 2 2 5 17" xfId="17217"/>
    <cellStyle name="Normal 2 3 2 2 2 5 2" xfId="17218"/>
    <cellStyle name="Normal 2 3 2 2 2 5 2 10" xfId="17219"/>
    <cellStyle name="Normal 2 3 2 2 2 5 2 11" xfId="17220"/>
    <cellStyle name="Normal 2 3 2 2 2 5 2 12" xfId="17221"/>
    <cellStyle name="Normal 2 3 2 2 2 5 2 2" xfId="17222"/>
    <cellStyle name="Normal 2 3 2 2 2 5 2 2 2" xfId="17223"/>
    <cellStyle name="Normal 2 3 2 2 2 5 2 2 2 2" xfId="17224"/>
    <cellStyle name="Normal 2 3 2 2 2 5 2 2 2 2 2" xfId="17225"/>
    <cellStyle name="Normal 2 3 2 2 2 5 2 2 2 2 2 2" xfId="17226"/>
    <cellStyle name="Normal 2 3 2 2 2 5 2 2 2 2 2 3" xfId="17227"/>
    <cellStyle name="Normal 2 3 2 2 2 5 2 2 2 2 2 4" xfId="17228"/>
    <cellStyle name="Normal 2 3 2 2 2 5 2 2 2 2 2 5" xfId="17229"/>
    <cellStyle name="Normal 2 3 2 2 2 5 2 2 2 2 2 6" xfId="17230"/>
    <cellStyle name="Normal 2 3 2 2 2 5 2 2 2 2 3" xfId="17231"/>
    <cellStyle name="Normal 2 3 2 2 2 5 2 2 2 2 4" xfId="17232"/>
    <cellStyle name="Normal 2 3 2 2 2 5 2 2 2 2 5" xfId="17233"/>
    <cellStyle name="Normal 2 3 2 2 2 5 2 2 2 2 6" xfId="17234"/>
    <cellStyle name="Normal 2 3 2 2 2 5 2 2 2 3" xfId="17235"/>
    <cellStyle name="Normal 2 3 2 2 2 5 2 2 2 4" xfId="17236"/>
    <cellStyle name="Normal 2 3 2 2 2 5 2 2 2 5" xfId="17237"/>
    <cellStyle name="Normal 2 3 2 2 2 5 2 2 2 6" xfId="17238"/>
    <cellStyle name="Normal 2 3 2 2 2 5 2 2 2 7" xfId="17239"/>
    <cellStyle name="Normal 2 3 2 2 2 5 2 2 2 8" xfId="17240"/>
    <cellStyle name="Normal 2 3 2 2 2 5 2 2 2 9" xfId="17241"/>
    <cellStyle name="Normal 2 3 2 2 2 5 2 2 3" xfId="17242"/>
    <cellStyle name="Normal 2 3 2 2 2 5 2 2 3 2" xfId="17243"/>
    <cellStyle name="Normal 2 3 2 2 2 5 2 2 3 2 2" xfId="17244"/>
    <cellStyle name="Normal 2 3 2 2 2 5 2 2 3 2 3" xfId="17245"/>
    <cellStyle name="Normal 2 3 2 2 2 5 2 2 3 2 4" xfId="17246"/>
    <cellStyle name="Normal 2 3 2 2 2 5 2 2 3 2 5" xfId="17247"/>
    <cellStyle name="Normal 2 3 2 2 2 5 2 2 3 2 6" xfId="17248"/>
    <cellStyle name="Normal 2 3 2 2 2 5 2 2 3 3" xfId="17249"/>
    <cellStyle name="Normal 2 3 2 2 2 5 2 2 3 4" xfId="17250"/>
    <cellStyle name="Normal 2 3 2 2 2 5 2 2 3 5" xfId="17251"/>
    <cellStyle name="Normal 2 3 2 2 2 5 2 2 3 6" xfId="17252"/>
    <cellStyle name="Normal 2 3 2 2 2 5 2 2 4" xfId="17253"/>
    <cellStyle name="Normal 2 3 2 2 2 5 2 2 5" xfId="17254"/>
    <cellStyle name="Normal 2 3 2 2 2 5 2 2 6" xfId="17255"/>
    <cellStyle name="Normal 2 3 2 2 2 5 2 2 7" xfId="17256"/>
    <cellStyle name="Normal 2 3 2 2 2 5 2 2 8" xfId="17257"/>
    <cellStyle name="Normal 2 3 2 2 2 5 2 2 9" xfId="17258"/>
    <cellStyle name="Normal 2 3 2 2 2 5 2 3" xfId="17259"/>
    <cellStyle name="Normal 2 3 2 2 2 5 2 4" xfId="17260"/>
    <cellStyle name="Normal 2 3 2 2 2 5 2 5" xfId="17261"/>
    <cellStyle name="Normal 2 3 2 2 2 5 2 5 2" xfId="17262"/>
    <cellStyle name="Normal 2 3 2 2 2 5 2 5 2 2" xfId="17263"/>
    <cellStyle name="Normal 2 3 2 2 2 5 2 5 2 3" xfId="17264"/>
    <cellStyle name="Normal 2 3 2 2 2 5 2 5 2 4" xfId="17265"/>
    <cellStyle name="Normal 2 3 2 2 2 5 2 5 2 5" xfId="17266"/>
    <cellStyle name="Normal 2 3 2 2 2 5 2 5 2 6" xfId="17267"/>
    <cellStyle name="Normal 2 3 2 2 2 5 2 5 3" xfId="17268"/>
    <cellStyle name="Normal 2 3 2 2 2 5 2 5 4" xfId="17269"/>
    <cellStyle name="Normal 2 3 2 2 2 5 2 5 5" xfId="17270"/>
    <cellStyle name="Normal 2 3 2 2 2 5 2 5 6" xfId="17271"/>
    <cellStyle name="Normal 2 3 2 2 2 5 2 6" xfId="17272"/>
    <cellStyle name="Normal 2 3 2 2 2 5 2 7" xfId="17273"/>
    <cellStyle name="Normal 2 3 2 2 2 5 2 8" xfId="17274"/>
    <cellStyle name="Normal 2 3 2 2 2 5 2 9" xfId="17275"/>
    <cellStyle name="Normal 2 3 2 2 2 5 3" xfId="17276"/>
    <cellStyle name="Normal 2 3 2 2 2 5 3 2" xfId="17277"/>
    <cellStyle name="Normal 2 3 2 2 2 5 3 2 2" xfId="17278"/>
    <cellStyle name="Normal 2 3 2 2 2 5 3 2 2 2" xfId="17279"/>
    <cellStyle name="Normal 2 3 2 2 2 5 3 2 2 2 2" xfId="17280"/>
    <cellStyle name="Normal 2 3 2 2 2 5 3 2 2 2 3" xfId="17281"/>
    <cellStyle name="Normal 2 3 2 2 2 5 3 2 2 2 4" xfId="17282"/>
    <cellStyle name="Normal 2 3 2 2 2 5 3 2 2 2 5" xfId="17283"/>
    <cellStyle name="Normal 2 3 2 2 2 5 3 2 2 2 6" xfId="17284"/>
    <cellStyle name="Normal 2 3 2 2 2 5 3 2 2 3" xfId="17285"/>
    <cellStyle name="Normal 2 3 2 2 2 5 3 2 2 4" xfId="17286"/>
    <cellStyle name="Normal 2 3 2 2 2 5 3 2 2 5" xfId="17287"/>
    <cellStyle name="Normal 2 3 2 2 2 5 3 2 2 6" xfId="17288"/>
    <cellStyle name="Normal 2 3 2 2 2 5 3 2 3" xfId="17289"/>
    <cellStyle name="Normal 2 3 2 2 2 5 3 2 4" xfId="17290"/>
    <cellStyle name="Normal 2 3 2 2 2 5 3 2 5" xfId="17291"/>
    <cellStyle name="Normal 2 3 2 2 2 5 3 2 6" xfId="17292"/>
    <cellStyle name="Normal 2 3 2 2 2 5 3 2 7" xfId="17293"/>
    <cellStyle name="Normal 2 3 2 2 2 5 3 2 8" xfId="17294"/>
    <cellStyle name="Normal 2 3 2 2 2 5 3 2 9" xfId="17295"/>
    <cellStyle name="Normal 2 3 2 2 2 5 3 3" xfId="17296"/>
    <cellStyle name="Normal 2 3 2 2 2 5 3 3 2" xfId="17297"/>
    <cellStyle name="Normal 2 3 2 2 2 5 3 3 2 2" xfId="17298"/>
    <cellStyle name="Normal 2 3 2 2 2 5 3 3 2 3" xfId="17299"/>
    <cellStyle name="Normal 2 3 2 2 2 5 3 3 2 4" xfId="17300"/>
    <cellStyle name="Normal 2 3 2 2 2 5 3 3 2 5" xfId="17301"/>
    <cellStyle name="Normal 2 3 2 2 2 5 3 3 2 6" xfId="17302"/>
    <cellStyle name="Normal 2 3 2 2 2 5 3 3 3" xfId="17303"/>
    <cellStyle name="Normal 2 3 2 2 2 5 3 3 4" xfId="17304"/>
    <cellStyle name="Normal 2 3 2 2 2 5 3 3 5" xfId="17305"/>
    <cellStyle name="Normal 2 3 2 2 2 5 3 3 6" xfId="17306"/>
    <cellStyle name="Normal 2 3 2 2 2 5 3 4" xfId="17307"/>
    <cellStyle name="Normal 2 3 2 2 2 5 3 5" xfId="17308"/>
    <cellStyle name="Normal 2 3 2 2 2 5 3 6" xfId="17309"/>
    <cellStyle name="Normal 2 3 2 2 2 5 3 7" xfId="17310"/>
    <cellStyle name="Normal 2 3 2 2 2 5 3 8" xfId="17311"/>
    <cellStyle name="Normal 2 3 2 2 2 5 3 9" xfId="17312"/>
    <cellStyle name="Normal 2 3 2 2 2 5 4" xfId="17313"/>
    <cellStyle name="Normal 2 3 2 2 2 5 5" xfId="17314"/>
    <cellStyle name="Normal 2 3 2 2 2 5 5 2" xfId="17315"/>
    <cellStyle name="Normal 2 3 2 2 2 5 5 2 2" xfId="17316"/>
    <cellStyle name="Normal 2 3 2 2 2 5 5 2 3" xfId="17317"/>
    <cellStyle name="Normal 2 3 2 2 2 5 5 2 4" xfId="17318"/>
    <cellStyle name="Normal 2 3 2 2 2 5 5 2 5" xfId="17319"/>
    <cellStyle name="Normal 2 3 2 2 2 5 5 2 6" xfId="17320"/>
    <cellStyle name="Normal 2 3 2 2 2 5 5 3" xfId="17321"/>
    <cellStyle name="Normal 2 3 2 2 2 5 5 4" xfId="17322"/>
    <cellStyle name="Normal 2 3 2 2 2 5 5 5" xfId="17323"/>
    <cellStyle name="Normal 2 3 2 2 2 5 5 6" xfId="17324"/>
    <cellStyle name="Normal 2 3 2 2 2 5 6" xfId="17325"/>
    <cellStyle name="Normal 2 3 2 2 2 5 7" xfId="17326"/>
    <cellStyle name="Normal 2 3 2 2 2 5 8" xfId="17327"/>
    <cellStyle name="Normal 2 3 2 2 2 5 9" xfId="17328"/>
    <cellStyle name="Normal 2 3 2 2 2 50" xfId="17329"/>
    <cellStyle name="Normal 2 3 2 2 2 51" xfId="17330"/>
    <cellStyle name="Normal 2 3 2 2 2 52" xfId="17331"/>
    <cellStyle name="Normal 2 3 2 2 2 6" xfId="17332"/>
    <cellStyle name="Normal 2 3 2 2 2 6 2" xfId="17333"/>
    <cellStyle name="Normal 2 3 2 2 2 6 3" xfId="17334"/>
    <cellStyle name="Normal 2 3 2 2 2 6 4" xfId="17335"/>
    <cellStyle name="Normal 2 3 2 2 2 6 5" xfId="17336"/>
    <cellStyle name="Normal 2 3 2 2 2 6 6" xfId="17337"/>
    <cellStyle name="Normal 2 3 2 2 2 7" xfId="17338"/>
    <cellStyle name="Normal 2 3 2 2 2 7 2" xfId="17339"/>
    <cellStyle name="Normal 2 3 2 2 2 7 3" xfId="17340"/>
    <cellStyle name="Normal 2 3 2 2 2 7 4" xfId="17341"/>
    <cellStyle name="Normal 2 3 2 2 2 7 5" xfId="17342"/>
    <cellStyle name="Normal 2 3 2 2 2 7 6" xfId="17343"/>
    <cellStyle name="Normal 2 3 2 2 2 8" xfId="17344"/>
    <cellStyle name="Normal 2 3 2 2 2 8 10" xfId="17345"/>
    <cellStyle name="Normal 2 3 2 2 2 8 11" xfId="17346"/>
    <cellStyle name="Normal 2 3 2 2 2 8 12" xfId="17347"/>
    <cellStyle name="Normal 2 3 2 2 2 8 13" xfId="17348"/>
    <cellStyle name="Normal 2 3 2 2 2 8 14" xfId="17349"/>
    <cellStyle name="Normal 2 3 2 2 2 8 2" xfId="17350"/>
    <cellStyle name="Normal 2 3 2 2 2 8 2 2" xfId="17351"/>
    <cellStyle name="Normal 2 3 2 2 2 8 2 2 2" xfId="17352"/>
    <cellStyle name="Normal 2 3 2 2 2 8 2 2 2 2" xfId="17353"/>
    <cellStyle name="Normal 2 3 2 2 2 8 2 2 2 3" xfId="17354"/>
    <cellStyle name="Normal 2 3 2 2 2 8 2 2 2 4" xfId="17355"/>
    <cellStyle name="Normal 2 3 2 2 2 8 2 2 2 5" xfId="17356"/>
    <cellStyle name="Normal 2 3 2 2 2 8 2 2 2 6" xfId="17357"/>
    <cellStyle name="Normal 2 3 2 2 2 8 2 2 3" xfId="17358"/>
    <cellStyle name="Normal 2 3 2 2 2 8 2 2 4" xfId="17359"/>
    <cellStyle name="Normal 2 3 2 2 2 8 2 2 5" xfId="17360"/>
    <cellStyle name="Normal 2 3 2 2 2 8 2 2 6" xfId="17361"/>
    <cellStyle name="Normal 2 3 2 2 2 8 2 3" xfId="17362"/>
    <cellStyle name="Normal 2 3 2 2 2 8 2 4" xfId="17363"/>
    <cellStyle name="Normal 2 3 2 2 2 8 2 5" xfId="17364"/>
    <cellStyle name="Normal 2 3 2 2 2 8 2 6" xfId="17365"/>
    <cellStyle name="Normal 2 3 2 2 2 8 2 7" xfId="17366"/>
    <cellStyle name="Normal 2 3 2 2 2 8 2 8" xfId="17367"/>
    <cellStyle name="Normal 2 3 2 2 2 8 2 9" xfId="17368"/>
    <cellStyle name="Normal 2 3 2 2 2 8 3" xfId="17369"/>
    <cellStyle name="Normal 2 3 2 2 2 8 3 2" xfId="17370"/>
    <cellStyle name="Normal 2 3 2 2 2 8 3 2 2" xfId="17371"/>
    <cellStyle name="Normal 2 3 2 2 2 8 3 2 3" xfId="17372"/>
    <cellStyle name="Normal 2 3 2 2 2 8 3 2 4" xfId="17373"/>
    <cellStyle name="Normal 2 3 2 2 2 8 3 2 5" xfId="17374"/>
    <cellStyle name="Normal 2 3 2 2 2 8 3 2 6" xfId="17375"/>
    <cellStyle name="Normal 2 3 2 2 2 8 3 3" xfId="17376"/>
    <cellStyle name="Normal 2 3 2 2 2 8 3 4" xfId="17377"/>
    <cellStyle name="Normal 2 3 2 2 2 8 3 5" xfId="17378"/>
    <cellStyle name="Normal 2 3 2 2 2 8 3 6" xfId="17379"/>
    <cellStyle name="Normal 2 3 2 2 2 8 4" xfId="17380"/>
    <cellStyle name="Normal 2 3 2 2 2 8 5" xfId="17381"/>
    <cellStyle name="Normal 2 3 2 2 2 8 6" xfId="17382"/>
    <cellStyle name="Normal 2 3 2 2 2 8 7" xfId="17383"/>
    <cellStyle name="Normal 2 3 2 2 2 8 8" xfId="17384"/>
    <cellStyle name="Normal 2 3 2 2 2 8 9" xfId="17385"/>
    <cellStyle name="Normal 2 3 2 2 2 9" xfId="17386"/>
    <cellStyle name="Normal 2 3 2 2 2 9 2" xfId="17387"/>
    <cellStyle name="Normal 2 3 2 2 2 9 3" xfId="17388"/>
    <cellStyle name="Normal 2 3 2 2 2 9 4" xfId="17389"/>
    <cellStyle name="Normal 2 3 2 2 2 9 5" xfId="17390"/>
    <cellStyle name="Normal 2 3 2 2 2 9 6" xfId="17391"/>
    <cellStyle name="Normal 2 3 2 2 20" xfId="17392"/>
    <cellStyle name="Normal 2 3 2 2 21" xfId="17393"/>
    <cellStyle name="Normal 2 3 2 2 22" xfId="17394"/>
    <cellStyle name="Normal 2 3 2 2 23" xfId="17395"/>
    <cellStyle name="Normal 2 3 2 2 24" xfId="17396"/>
    <cellStyle name="Normal 2 3 2 2 25" xfId="17397"/>
    <cellStyle name="Normal 2 3 2 2 26" xfId="17398"/>
    <cellStyle name="Normal 2 3 2 2 27" xfId="17399"/>
    <cellStyle name="Normal 2 3 2 2 28" xfId="17400"/>
    <cellStyle name="Normal 2 3 2 2 28 2" xfId="17401"/>
    <cellStyle name="Normal 2 3 2 2 28 2 2" xfId="17402"/>
    <cellStyle name="Normal 2 3 2 2 28 2 2 2" xfId="17403"/>
    <cellStyle name="Normal 2 3 2 2 28 3" xfId="17404"/>
    <cellStyle name="Normal 2 3 2 2 28 4" xfId="17405"/>
    <cellStyle name="Normal 2 3 2 2 28 5" xfId="17406"/>
    <cellStyle name="Normal 2 3 2 2 28 6" xfId="17407"/>
    <cellStyle name="Normal 2 3 2 2 29" xfId="17408"/>
    <cellStyle name="Normal 2 3 2 2 29 2" xfId="17409"/>
    <cellStyle name="Normal 2 3 2 2 29 2 2" xfId="17410"/>
    <cellStyle name="Normal 2 3 2 2 3" xfId="17411"/>
    <cellStyle name="Normal 2 3 2 2 3 10" xfId="17412"/>
    <cellStyle name="Normal 2 3 2 2 3 11" xfId="17413"/>
    <cellStyle name="Normal 2 3 2 2 3 12" xfId="17414"/>
    <cellStyle name="Normal 2 3 2 2 3 13" xfId="17415"/>
    <cellStyle name="Normal 2 3 2 2 3 14" xfId="17416"/>
    <cellStyle name="Normal 2 3 2 2 3 15" xfId="17417"/>
    <cellStyle name="Normal 2 3 2 2 3 16" xfId="17418"/>
    <cellStyle name="Normal 2 3 2 2 3 2" xfId="17419"/>
    <cellStyle name="Normal 2 3 2 2 3 2 10" xfId="17420"/>
    <cellStyle name="Normal 2 3 2 2 3 2 11" xfId="17421"/>
    <cellStyle name="Normal 2 3 2 2 3 2 12" xfId="17422"/>
    <cellStyle name="Normal 2 3 2 2 3 2 13" xfId="17423"/>
    <cellStyle name="Normal 2 3 2 2 3 2 14" xfId="17424"/>
    <cellStyle name="Normal 2 3 2 2 3 2 15" xfId="17425"/>
    <cellStyle name="Normal 2 3 2 2 3 2 2" xfId="17426"/>
    <cellStyle name="Normal 2 3 2 2 3 2 2 10" xfId="17427"/>
    <cellStyle name="Normal 2 3 2 2 3 2 2 11" xfId="17428"/>
    <cellStyle name="Normal 2 3 2 2 3 2 2 12" xfId="17429"/>
    <cellStyle name="Normal 2 3 2 2 3 2 2 2" xfId="17430"/>
    <cellStyle name="Normal 2 3 2 2 3 2 2 2 10" xfId="17431"/>
    <cellStyle name="Normal 2 3 2 2 3 2 2 2 11" xfId="17432"/>
    <cellStyle name="Normal 2 3 2 2 3 2 2 2 12" xfId="17433"/>
    <cellStyle name="Normal 2 3 2 2 3 2 2 2 2" xfId="17434"/>
    <cellStyle name="Normal 2 3 2 2 3 2 2 2 2 2" xfId="17435"/>
    <cellStyle name="Normal 2 3 2 2 3 2 2 2 2 2 2" xfId="17436"/>
    <cellStyle name="Normal 2 3 2 2 3 2 2 2 2 2 2 2" xfId="17437"/>
    <cellStyle name="Normal 2 3 2 2 3 2 2 2 2 2 2 2 2" xfId="17438"/>
    <cellStyle name="Normal 2 3 2 2 3 2 2 2 2 2 2 2 3" xfId="17439"/>
    <cellStyle name="Normal 2 3 2 2 3 2 2 2 2 2 2 2 4" xfId="17440"/>
    <cellStyle name="Normal 2 3 2 2 3 2 2 2 2 2 2 2 5" xfId="17441"/>
    <cellStyle name="Normal 2 3 2 2 3 2 2 2 2 2 2 2 6" xfId="17442"/>
    <cellStyle name="Normal 2 3 2 2 3 2 2 2 2 2 2 3" xfId="17443"/>
    <cellStyle name="Normal 2 3 2 2 3 2 2 2 2 2 2 4" xfId="17444"/>
    <cellStyle name="Normal 2 3 2 2 3 2 2 2 2 2 2 5" xfId="17445"/>
    <cellStyle name="Normal 2 3 2 2 3 2 2 2 2 2 2 6" xfId="17446"/>
    <cellStyle name="Normal 2 3 2 2 3 2 2 2 2 2 3" xfId="17447"/>
    <cellStyle name="Normal 2 3 2 2 3 2 2 2 2 2 4" xfId="17448"/>
    <cellStyle name="Normal 2 3 2 2 3 2 2 2 2 2 5" xfId="17449"/>
    <cellStyle name="Normal 2 3 2 2 3 2 2 2 2 2 6" xfId="17450"/>
    <cellStyle name="Normal 2 3 2 2 3 2 2 2 2 2 7" xfId="17451"/>
    <cellStyle name="Normal 2 3 2 2 3 2 2 2 2 2 8" xfId="17452"/>
    <cellStyle name="Normal 2 3 2 2 3 2 2 2 2 2 9" xfId="17453"/>
    <cellStyle name="Normal 2 3 2 2 3 2 2 2 2 3" xfId="17454"/>
    <cellStyle name="Normal 2 3 2 2 3 2 2 2 2 3 2" xfId="17455"/>
    <cellStyle name="Normal 2 3 2 2 3 2 2 2 2 3 2 2" xfId="17456"/>
    <cellStyle name="Normal 2 3 2 2 3 2 2 2 2 3 2 3" xfId="17457"/>
    <cellStyle name="Normal 2 3 2 2 3 2 2 2 2 3 2 4" xfId="17458"/>
    <cellStyle name="Normal 2 3 2 2 3 2 2 2 2 3 2 5" xfId="17459"/>
    <cellStyle name="Normal 2 3 2 2 3 2 2 2 2 3 2 6" xfId="17460"/>
    <cellStyle name="Normal 2 3 2 2 3 2 2 2 2 3 3" xfId="17461"/>
    <cellStyle name="Normal 2 3 2 2 3 2 2 2 2 3 4" xfId="17462"/>
    <cellStyle name="Normal 2 3 2 2 3 2 2 2 2 3 5" xfId="17463"/>
    <cellStyle name="Normal 2 3 2 2 3 2 2 2 2 3 6" xfId="17464"/>
    <cellStyle name="Normal 2 3 2 2 3 2 2 2 2 4" xfId="17465"/>
    <cellStyle name="Normal 2 3 2 2 3 2 2 2 2 5" xfId="17466"/>
    <cellStyle name="Normal 2 3 2 2 3 2 2 2 2 6" xfId="17467"/>
    <cellStyle name="Normal 2 3 2 2 3 2 2 2 2 7" xfId="17468"/>
    <cellStyle name="Normal 2 3 2 2 3 2 2 2 2 8" xfId="17469"/>
    <cellStyle name="Normal 2 3 2 2 3 2 2 2 2 9" xfId="17470"/>
    <cellStyle name="Normal 2 3 2 2 3 2 2 2 3" xfId="17471"/>
    <cellStyle name="Normal 2 3 2 2 3 2 2 2 4" xfId="17472"/>
    <cellStyle name="Normal 2 3 2 2 3 2 2 2 5" xfId="17473"/>
    <cellStyle name="Normal 2 3 2 2 3 2 2 2 5 2" xfId="17474"/>
    <cellStyle name="Normal 2 3 2 2 3 2 2 2 5 2 2" xfId="17475"/>
    <cellStyle name="Normal 2 3 2 2 3 2 2 2 5 2 3" xfId="17476"/>
    <cellStyle name="Normal 2 3 2 2 3 2 2 2 5 2 4" xfId="17477"/>
    <cellStyle name="Normal 2 3 2 2 3 2 2 2 5 2 5" xfId="17478"/>
    <cellStyle name="Normal 2 3 2 2 3 2 2 2 5 2 6" xfId="17479"/>
    <cellStyle name="Normal 2 3 2 2 3 2 2 2 5 3" xfId="17480"/>
    <cellStyle name="Normal 2 3 2 2 3 2 2 2 5 4" xfId="17481"/>
    <cellStyle name="Normal 2 3 2 2 3 2 2 2 5 5" xfId="17482"/>
    <cellStyle name="Normal 2 3 2 2 3 2 2 2 5 6" xfId="17483"/>
    <cellStyle name="Normal 2 3 2 2 3 2 2 2 6" xfId="17484"/>
    <cellStyle name="Normal 2 3 2 2 3 2 2 2 7" xfId="17485"/>
    <cellStyle name="Normal 2 3 2 2 3 2 2 2 8" xfId="17486"/>
    <cellStyle name="Normal 2 3 2 2 3 2 2 2 9" xfId="17487"/>
    <cellStyle name="Normal 2 3 2 2 3 2 2 3" xfId="17488"/>
    <cellStyle name="Normal 2 3 2 2 3 2 2 3 2" xfId="17489"/>
    <cellStyle name="Normal 2 3 2 2 3 2 2 3 2 2" xfId="17490"/>
    <cellStyle name="Normal 2 3 2 2 3 2 2 3 2 2 2" xfId="17491"/>
    <cellStyle name="Normal 2 3 2 2 3 2 2 3 2 2 2 2" xfId="17492"/>
    <cellStyle name="Normal 2 3 2 2 3 2 2 3 2 2 2 3" xfId="17493"/>
    <cellStyle name="Normal 2 3 2 2 3 2 2 3 2 2 2 4" xfId="17494"/>
    <cellStyle name="Normal 2 3 2 2 3 2 2 3 2 2 2 5" xfId="17495"/>
    <cellStyle name="Normal 2 3 2 2 3 2 2 3 2 2 2 6" xfId="17496"/>
    <cellStyle name="Normal 2 3 2 2 3 2 2 3 2 2 3" xfId="17497"/>
    <cellStyle name="Normal 2 3 2 2 3 2 2 3 2 2 4" xfId="17498"/>
    <cellStyle name="Normal 2 3 2 2 3 2 2 3 2 2 5" xfId="17499"/>
    <cellStyle name="Normal 2 3 2 2 3 2 2 3 2 2 6" xfId="17500"/>
    <cellStyle name="Normal 2 3 2 2 3 2 2 3 2 3" xfId="17501"/>
    <cellStyle name="Normal 2 3 2 2 3 2 2 3 2 4" xfId="17502"/>
    <cellStyle name="Normal 2 3 2 2 3 2 2 3 2 5" xfId="17503"/>
    <cellStyle name="Normal 2 3 2 2 3 2 2 3 2 6" xfId="17504"/>
    <cellStyle name="Normal 2 3 2 2 3 2 2 3 2 7" xfId="17505"/>
    <cellStyle name="Normal 2 3 2 2 3 2 2 3 2 8" xfId="17506"/>
    <cellStyle name="Normal 2 3 2 2 3 2 2 3 2 9" xfId="17507"/>
    <cellStyle name="Normal 2 3 2 2 3 2 2 3 3" xfId="17508"/>
    <cellStyle name="Normal 2 3 2 2 3 2 2 3 3 2" xfId="17509"/>
    <cellStyle name="Normal 2 3 2 2 3 2 2 3 3 2 2" xfId="17510"/>
    <cellStyle name="Normal 2 3 2 2 3 2 2 3 3 2 3" xfId="17511"/>
    <cellStyle name="Normal 2 3 2 2 3 2 2 3 3 2 4" xfId="17512"/>
    <cellStyle name="Normal 2 3 2 2 3 2 2 3 3 2 5" xfId="17513"/>
    <cellStyle name="Normal 2 3 2 2 3 2 2 3 3 2 6" xfId="17514"/>
    <cellStyle name="Normal 2 3 2 2 3 2 2 3 3 3" xfId="17515"/>
    <cellStyle name="Normal 2 3 2 2 3 2 2 3 3 4" xfId="17516"/>
    <cellStyle name="Normal 2 3 2 2 3 2 2 3 3 5" xfId="17517"/>
    <cellStyle name="Normal 2 3 2 2 3 2 2 3 3 6" xfId="17518"/>
    <cellStyle name="Normal 2 3 2 2 3 2 2 3 4" xfId="17519"/>
    <cellStyle name="Normal 2 3 2 2 3 2 2 3 5" xfId="17520"/>
    <cellStyle name="Normal 2 3 2 2 3 2 2 3 6" xfId="17521"/>
    <cellStyle name="Normal 2 3 2 2 3 2 2 3 7" xfId="17522"/>
    <cellStyle name="Normal 2 3 2 2 3 2 2 3 8" xfId="17523"/>
    <cellStyle name="Normal 2 3 2 2 3 2 2 3 9" xfId="17524"/>
    <cellStyle name="Normal 2 3 2 2 3 2 2 4" xfId="17525"/>
    <cellStyle name="Normal 2 3 2 2 3 2 2 5" xfId="17526"/>
    <cellStyle name="Normal 2 3 2 2 3 2 2 5 2" xfId="17527"/>
    <cellStyle name="Normal 2 3 2 2 3 2 2 5 2 2" xfId="17528"/>
    <cellStyle name="Normal 2 3 2 2 3 2 2 5 2 3" xfId="17529"/>
    <cellStyle name="Normal 2 3 2 2 3 2 2 5 2 4" xfId="17530"/>
    <cellStyle name="Normal 2 3 2 2 3 2 2 5 2 5" xfId="17531"/>
    <cellStyle name="Normal 2 3 2 2 3 2 2 5 2 6" xfId="17532"/>
    <cellStyle name="Normal 2 3 2 2 3 2 2 5 3" xfId="17533"/>
    <cellStyle name="Normal 2 3 2 2 3 2 2 5 4" xfId="17534"/>
    <cellStyle name="Normal 2 3 2 2 3 2 2 5 5" xfId="17535"/>
    <cellStyle name="Normal 2 3 2 2 3 2 2 5 6" xfId="17536"/>
    <cellStyle name="Normal 2 3 2 2 3 2 2 6" xfId="17537"/>
    <cellStyle name="Normal 2 3 2 2 3 2 2 7" xfId="17538"/>
    <cellStyle name="Normal 2 3 2 2 3 2 2 8" xfId="17539"/>
    <cellStyle name="Normal 2 3 2 2 3 2 2 9" xfId="17540"/>
    <cellStyle name="Normal 2 3 2 2 3 2 3" xfId="17541"/>
    <cellStyle name="Normal 2 3 2 2 3 2 4" xfId="17542"/>
    <cellStyle name="Normal 2 3 2 2 3 2 5" xfId="17543"/>
    <cellStyle name="Normal 2 3 2 2 3 2 5 2" xfId="17544"/>
    <cellStyle name="Normal 2 3 2 2 3 2 5 2 2" xfId="17545"/>
    <cellStyle name="Normal 2 3 2 2 3 2 5 2 2 2" xfId="17546"/>
    <cellStyle name="Normal 2 3 2 2 3 2 5 2 2 2 2" xfId="17547"/>
    <cellStyle name="Normal 2 3 2 2 3 2 5 2 2 2 3" xfId="17548"/>
    <cellStyle name="Normal 2 3 2 2 3 2 5 2 2 2 4" xfId="17549"/>
    <cellStyle name="Normal 2 3 2 2 3 2 5 2 2 2 5" xfId="17550"/>
    <cellStyle name="Normal 2 3 2 2 3 2 5 2 2 2 6" xfId="17551"/>
    <cellStyle name="Normal 2 3 2 2 3 2 5 2 2 3" xfId="17552"/>
    <cellStyle name="Normal 2 3 2 2 3 2 5 2 2 4" xfId="17553"/>
    <cellStyle name="Normal 2 3 2 2 3 2 5 2 2 5" xfId="17554"/>
    <cellStyle name="Normal 2 3 2 2 3 2 5 2 2 6" xfId="17555"/>
    <cellStyle name="Normal 2 3 2 2 3 2 5 2 3" xfId="17556"/>
    <cellStyle name="Normal 2 3 2 2 3 2 5 2 4" xfId="17557"/>
    <cellStyle name="Normal 2 3 2 2 3 2 5 2 5" xfId="17558"/>
    <cellStyle name="Normal 2 3 2 2 3 2 5 2 6" xfId="17559"/>
    <cellStyle name="Normal 2 3 2 2 3 2 5 2 7" xfId="17560"/>
    <cellStyle name="Normal 2 3 2 2 3 2 5 2 8" xfId="17561"/>
    <cellStyle name="Normal 2 3 2 2 3 2 5 2 9" xfId="17562"/>
    <cellStyle name="Normal 2 3 2 2 3 2 5 3" xfId="17563"/>
    <cellStyle name="Normal 2 3 2 2 3 2 5 3 2" xfId="17564"/>
    <cellStyle name="Normal 2 3 2 2 3 2 5 3 2 2" xfId="17565"/>
    <cellStyle name="Normal 2 3 2 2 3 2 5 3 2 3" xfId="17566"/>
    <cellStyle name="Normal 2 3 2 2 3 2 5 3 2 4" xfId="17567"/>
    <cellStyle name="Normal 2 3 2 2 3 2 5 3 2 5" xfId="17568"/>
    <cellStyle name="Normal 2 3 2 2 3 2 5 3 2 6" xfId="17569"/>
    <cellStyle name="Normal 2 3 2 2 3 2 5 3 3" xfId="17570"/>
    <cellStyle name="Normal 2 3 2 2 3 2 5 3 4" xfId="17571"/>
    <cellStyle name="Normal 2 3 2 2 3 2 5 3 5" xfId="17572"/>
    <cellStyle name="Normal 2 3 2 2 3 2 5 3 6" xfId="17573"/>
    <cellStyle name="Normal 2 3 2 2 3 2 5 4" xfId="17574"/>
    <cellStyle name="Normal 2 3 2 2 3 2 5 5" xfId="17575"/>
    <cellStyle name="Normal 2 3 2 2 3 2 5 6" xfId="17576"/>
    <cellStyle name="Normal 2 3 2 2 3 2 5 7" xfId="17577"/>
    <cellStyle name="Normal 2 3 2 2 3 2 5 8" xfId="17578"/>
    <cellStyle name="Normal 2 3 2 2 3 2 5 9" xfId="17579"/>
    <cellStyle name="Normal 2 3 2 2 3 2 6" xfId="17580"/>
    <cellStyle name="Normal 2 3 2 2 3 2 7" xfId="17581"/>
    <cellStyle name="Normal 2 3 2 2 3 2 8" xfId="17582"/>
    <cellStyle name="Normal 2 3 2 2 3 2 8 2" xfId="17583"/>
    <cellStyle name="Normal 2 3 2 2 3 2 8 2 2" xfId="17584"/>
    <cellStyle name="Normal 2 3 2 2 3 2 8 2 3" xfId="17585"/>
    <cellStyle name="Normal 2 3 2 2 3 2 8 2 4" xfId="17586"/>
    <cellStyle name="Normal 2 3 2 2 3 2 8 2 5" xfId="17587"/>
    <cellStyle name="Normal 2 3 2 2 3 2 8 2 6" xfId="17588"/>
    <cellStyle name="Normal 2 3 2 2 3 2 8 3" xfId="17589"/>
    <cellStyle name="Normal 2 3 2 2 3 2 8 4" xfId="17590"/>
    <cellStyle name="Normal 2 3 2 2 3 2 8 5" xfId="17591"/>
    <cellStyle name="Normal 2 3 2 2 3 2 8 6" xfId="17592"/>
    <cellStyle name="Normal 2 3 2 2 3 2 9" xfId="17593"/>
    <cellStyle name="Normal 2 3 2 2 3 3" xfId="17594"/>
    <cellStyle name="Normal 2 3 2 2 3 3 10" xfId="17595"/>
    <cellStyle name="Normal 2 3 2 2 3 3 11" xfId="17596"/>
    <cellStyle name="Normal 2 3 2 2 3 3 12" xfId="17597"/>
    <cellStyle name="Normal 2 3 2 2 3 3 2" xfId="17598"/>
    <cellStyle name="Normal 2 3 2 2 3 3 2 10" xfId="17599"/>
    <cellStyle name="Normal 2 3 2 2 3 3 2 11" xfId="17600"/>
    <cellStyle name="Normal 2 3 2 2 3 3 2 12" xfId="17601"/>
    <cellStyle name="Normal 2 3 2 2 3 3 2 2" xfId="17602"/>
    <cellStyle name="Normal 2 3 2 2 3 3 2 2 2" xfId="17603"/>
    <cellStyle name="Normal 2 3 2 2 3 3 2 2 2 2" xfId="17604"/>
    <cellStyle name="Normal 2 3 2 2 3 3 2 2 2 2 2" xfId="17605"/>
    <cellStyle name="Normal 2 3 2 2 3 3 2 2 2 2 2 2" xfId="17606"/>
    <cellStyle name="Normal 2 3 2 2 3 3 2 2 2 2 2 3" xfId="17607"/>
    <cellStyle name="Normal 2 3 2 2 3 3 2 2 2 2 2 4" xfId="17608"/>
    <cellStyle name="Normal 2 3 2 2 3 3 2 2 2 2 2 5" xfId="17609"/>
    <cellStyle name="Normal 2 3 2 2 3 3 2 2 2 2 2 6" xfId="17610"/>
    <cellStyle name="Normal 2 3 2 2 3 3 2 2 2 2 3" xfId="17611"/>
    <cellStyle name="Normal 2 3 2 2 3 3 2 2 2 2 4" xfId="17612"/>
    <cellStyle name="Normal 2 3 2 2 3 3 2 2 2 2 5" xfId="17613"/>
    <cellStyle name="Normal 2 3 2 2 3 3 2 2 2 2 6" xfId="17614"/>
    <cellStyle name="Normal 2 3 2 2 3 3 2 2 2 3" xfId="17615"/>
    <cellStyle name="Normal 2 3 2 2 3 3 2 2 2 4" xfId="17616"/>
    <cellStyle name="Normal 2 3 2 2 3 3 2 2 2 5" xfId="17617"/>
    <cellStyle name="Normal 2 3 2 2 3 3 2 2 2 6" xfId="17618"/>
    <cellStyle name="Normal 2 3 2 2 3 3 2 2 2 7" xfId="17619"/>
    <cellStyle name="Normal 2 3 2 2 3 3 2 2 2 8" xfId="17620"/>
    <cellStyle name="Normal 2 3 2 2 3 3 2 2 2 9" xfId="17621"/>
    <cellStyle name="Normal 2 3 2 2 3 3 2 2 3" xfId="17622"/>
    <cellStyle name="Normal 2 3 2 2 3 3 2 2 3 2" xfId="17623"/>
    <cellStyle name="Normal 2 3 2 2 3 3 2 2 3 2 2" xfId="17624"/>
    <cellStyle name="Normal 2 3 2 2 3 3 2 2 3 2 3" xfId="17625"/>
    <cellStyle name="Normal 2 3 2 2 3 3 2 2 3 2 4" xfId="17626"/>
    <cellStyle name="Normal 2 3 2 2 3 3 2 2 3 2 5" xfId="17627"/>
    <cellStyle name="Normal 2 3 2 2 3 3 2 2 3 2 6" xfId="17628"/>
    <cellStyle name="Normal 2 3 2 2 3 3 2 2 3 3" xfId="17629"/>
    <cellStyle name="Normal 2 3 2 2 3 3 2 2 3 4" xfId="17630"/>
    <cellStyle name="Normal 2 3 2 2 3 3 2 2 3 5" xfId="17631"/>
    <cellStyle name="Normal 2 3 2 2 3 3 2 2 3 6" xfId="17632"/>
    <cellStyle name="Normal 2 3 2 2 3 3 2 2 4" xfId="17633"/>
    <cellStyle name="Normal 2 3 2 2 3 3 2 2 5" xfId="17634"/>
    <cellStyle name="Normal 2 3 2 2 3 3 2 2 6" xfId="17635"/>
    <cellStyle name="Normal 2 3 2 2 3 3 2 2 7" xfId="17636"/>
    <cellStyle name="Normal 2 3 2 2 3 3 2 2 8" xfId="17637"/>
    <cellStyle name="Normal 2 3 2 2 3 3 2 2 9" xfId="17638"/>
    <cellStyle name="Normal 2 3 2 2 3 3 2 3" xfId="17639"/>
    <cellStyle name="Normal 2 3 2 2 3 3 2 4" xfId="17640"/>
    <cellStyle name="Normal 2 3 2 2 3 3 2 5" xfId="17641"/>
    <cellStyle name="Normal 2 3 2 2 3 3 2 5 2" xfId="17642"/>
    <cellStyle name="Normal 2 3 2 2 3 3 2 5 2 2" xfId="17643"/>
    <cellStyle name="Normal 2 3 2 2 3 3 2 5 2 3" xfId="17644"/>
    <cellStyle name="Normal 2 3 2 2 3 3 2 5 2 4" xfId="17645"/>
    <cellStyle name="Normal 2 3 2 2 3 3 2 5 2 5" xfId="17646"/>
    <cellStyle name="Normal 2 3 2 2 3 3 2 5 2 6" xfId="17647"/>
    <cellStyle name="Normal 2 3 2 2 3 3 2 5 3" xfId="17648"/>
    <cellStyle name="Normal 2 3 2 2 3 3 2 5 4" xfId="17649"/>
    <cellStyle name="Normal 2 3 2 2 3 3 2 5 5" xfId="17650"/>
    <cellStyle name="Normal 2 3 2 2 3 3 2 5 6" xfId="17651"/>
    <cellStyle name="Normal 2 3 2 2 3 3 2 6" xfId="17652"/>
    <cellStyle name="Normal 2 3 2 2 3 3 2 7" xfId="17653"/>
    <cellStyle name="Normal 2 3 2 2 3 3 2 8" xfId="17654"/>
    <cellStyle name="Normal 2 3 2 2 3 3 2 9" xfId="17655"/>
    <cellStyle name="Normal 2 3 2 2 3 3 3" xfId="17656"/>
    <cellStyle name="Normal 2 3 2 2 3 3 3 2" xfId="17657"/>
    <cellStyle name="Normal 2 3 2 2 3 3 3 2 2" xfId="17658"/>
    <cellStyle name="Normal 2 3 2 2 3 3 3 2 2 2" xfId="17659"/>
    <cellStyle name="Normal 2 3 2 2 3 3 3 2 2 2 2" xfId="17660"/>
    <cellStyle name="Normal 2 3 2 2 3 3 3 2 2 2 3" xfId="17661"/>
    <cellStyle name="Normal 2 3 2 2 3 3 3 2 2 2 4" xfId="17662"/>
    <cellStyle name="Normal 2 3 2 2 3 3 3 2 2 2 5" xfId="17663"/>
    <cellStyle name="Normal 2 3 2 2 3 3 3 2 2 2 6" xfId="17664"/>
    <cellStyle name="Normal 2 3 2 2 3 3 3 2 2 3" xfId="17665"/>
    <cellStyle name="Normal 2 3 2 2 3 3 3 2 2 4" xfId="17666"/>
    <cellStyle name="Normal 2 3 2 2 3 3 3 2 2 5" xfId="17667"/>
    <cellStyle name="Normal 2 3 2 2 3 3 3 2 2 6" xfId="17668"/>
    <cellStyle name="Normal 2 3 2 2 3 3 3 2 3" xfId="17669"/>
    <cellStyle name="Normal 2 3 2 2 3 3 3 2 4" xfId="17670"/>
    <cellStyle name="Normal 2 3 2 2 3 3 3 2 5" xfId="17671"/>
    <cellStyle name="Normal 2 3 2 2 3 3 3 2 6" xfId="17672"/>
    <cellStyle name="Normal 2 3 2 2 3 3 3 2 7" xfId="17673"/>
    <cellStyle name="Normal 2 3 2 2 3 3 3 2 8" xfId="17674"/>
    <cellStyle name="Normal 2 3 2 2 3 3 3 2 9" xfId="17675"/>
    <cellStyle name="Normal 2 3 2 2 3 3 3 3" xfId="17676"/>
    <cellStyle name="Normal 2 3 2 2 3 3 3 3 2" xfId="17677"/>
    <cellStyle name="Normal 2 3 2 2 3 3 3 3 2 2" xfId="17678"/>
    <cellStyle name="Normal 2 3 2 2 3 3 3 3 2 3" xfId="17679"/>
    <cellStyle name="Normal 2 3 2 2 3 3 3 3 2 4" xfId="17680"/>
    <cellStyle name="Normal 2 3 2 2 3 3 3 3 2 5" xfId="17681"/>
    <cellStyle name="Normal 2 3 2 2 3 3 3 3 2 6" xfId="17682"/>
    <cellStyle name="Normal 2 3 2 2 3 3 3 3 3" xfId="17683"/>
    <cellStyle name="Normal 2 3 2 2 3 3 3 3 4" xfId="17684"/>
    <cellStyle name="Normal 2 3 2 2 3 3 3 3 5" xfId="17685"/>
    <cellStyle name="Normal 2 3 2 2 3 3 3 3 6" xfId="17686"/>
    <cellStyle name="Normal 2 3 2 2 3 3 3 4" xfId="17687"/>
    <cellStyle name="Normal 2 3 2 2 3 3 3 5" xfId="17688"/>
    <cellStyle name="Normal 2 3 2 2 3 3 3 6" xfId="17689"/>
    <cellStyle name="Normal 2 3 2 2 3 3 3 7" xfId="17690"/>
    <cellStyle name="Normal 2 3 2 2 3 3 3 8" xfId="17691"/>
    <cellStyle name="Normal 2 3 2 2 3 3 3 9" xfId="17692"/>
    <cellStyle name="Normal 2 3 2 2 3 3 4" xfId="17693"/>
    <cellStyle name="Normal 2 3 2 2 3 3 5" xfId="17694"/>
    <cellStyle name="Normal 2 3 2 2 3 3 5 2" xfId="17695"/>
    <cellStyle name="Normal 2 3 2 2 3 3 5 2 2" xfId="17696"/>
    <cellStyle name="Normal 2 3 2 2 3 3 5 2 3" xfId="17697"/>
    <cellStyle name="Normal 2 3 2 2 3 3 5 2 4" xfId="17698"/>
    <cellStyle name="Normal 2 3 2 2 3 3 5 2 5" xfId="17699"/>
    <cellStyle name="Normal 2 3 2 2 3 3 5 2 6" xfId="17700"/>
    <cellStyle name="Normal 2 3 2 2 3 3 5 3" xfId="17701"/>
    <cellStyle name="Normal 2 3 2 2 3 3 5 4" xfId="17702"/>
    <cellStyle name="Normal 2 3 2 2 3 3 5 5" xfId="17703"/>
    <cellStyle name="Normal 2 3 2 2 3 3 5 6" xfId="17704"/>
    <cellStyle name="Normal 2 3 2 2 3 3 6" xfId="17705"/>
    <cellStyle name="Normal 2 3 2 2 3 3 7" xfId="17706"/>
    <cellStyle name="Normal 2 3 2 2 3 3 8" xfId="17707"/>
    <cellStyle name="Normal 2 3 2 2 3 3 9" xfId="17708"/>
    <cellStyle name="Normal 2 3 2 2 3 4" xfId="17709"/>
    <cellStyle name="Normal 2 3 2 2 3 5" xfId="17710"/>
    <cellStyle name="Normal 2 3 2 2 3 5 2" xfId="17711"/>
    <cellStyle name="Normal 2 3 2 2 3 5 2 2" xfId="17712"/>
    <cellStyle name="Normal 2 3 2 2 3 5 2 2 2" xfId="17713"/>
    <cellStyle name="Normal 2 3 2 2 3 5 2 2 2 2" xfId="17714"/>
    <cellStyle name="Normal 2 3 2 2 3 5 2 2 2 3" xfId="17715"/>
    <cellStyle name="Normal 2 3 2 2 3 5 2 2 2 4" xfId="17716"/>
    <cellStyle name="Normal 2 3 2 2 3 5 2 2 2 5" xfId="17717"/>
    <cellStyle name="Normal 2 3 2 2 3 5 2 2 2 6" xfId="17718"/>
    <cellStyle name="Normal 2 3 2 2 3 5 2 2 3" xfId="17719"/>
    <cellStyle name="Normal 2 3 2 2 3 5 2 2 4" xfId="17720"/>
    <cellStyle name="Normal 2 3 2 2 3 5 2 2 5" xfId="17721"/>
    <cellStyle name="Normal 2 3 2 2 3 5 2 2 6" xfId="17722"/>
    <cellStyle name="Normal 2 3 2 2 3 5 2 3" xfId="17723"/>
    <cellStyle name="Normal 2 3 2 2 3 5 2 4" xfId="17724"/>
    <cellStyle name="Normal 2 3 2 2 3 5 2 5" xfId="17725"/>
    <cellStyle name="Normal 2 3 2 2 3 5 2 6" xfId="17726"/>
    <cellStyle name="Normal 2 3 2 2 3 5 2 7" xfId="17727"/>
    <cellStyle name="Normal 2 3 2 2 3 5 2 8" xfId="17728"/>
    <cellStyle name="Normal 2 3 2 2 3 5 2 9" xfId="17729"/>
    <cellStyle name="Normal 2 3 2 2 3 5 3" xfId="17730"/>
    <cellStyle name="Normal 2 3 2 2 3 5 3 2" xfId="17731"/>
    <cellStyle name="Normal 2 3 2 2 3 5 3 2 2" xfId="17732"/>
    <cellStyle name="Normal 2 3 2 2 3 5 3 2 3" xfId="17733"/>
    <cellStyle name="Normal 2 3 2 2 3 5 3 2 4" xfId="17734"/>
    <cellStyle name="Normal 2 3 2 2 3 5 3 2 5" xfId="17735"/>
    <cellStyle name="Normal 2 3 2 2 3 5 3 2 6" xfId="17736"/>
    <cellStyle name="Normal 2 3 2 2 3 5 3 3" xfId="17737"/>
    <cellStyle name="Normal 2 3 2 2 3 5 3 4" xfId="17738"/>
    <cellStyle name="Normal 2 3 2 2 3 5 3 5" xfId="17739"/>
    <cellStyle name="Normal 2 3 2 2 3 5 3 6" xfId="17740"/>
    <cellStyle name="Normal 2 3 2 2 3 5 4" xfId="17741"/>
    <cellStyle name="Normal 2 3 2 2 3 5 5" xfId="17742"/>
    <cellStyle name="Normal 2 3 2 2 3 5 6" xfId="17743"/>
    <cellStyle name="Normal 2 3 2 2 3 5 7" xfId="17744"/>
    <cellStyle name="Normal 2 3 2 2 3 5 8" xfId="17745"/>
    <cellStyle name="Normal 2 3 2 2 3 5 9" xfId="17746"/>
    <cellStyle name="Normal 2 3 2 2 3 6" xfId="17747"/>
    <cellStyle name="Normal 2 3 2 2 3 7" xfId="17748"/>
    <cellStyle name="Normal 2 3 2 2 3 8" xfId="17749"/>
    <cellStyle name="Normal 2 3 2 2 3 8 2" xfId="17750"/>
    <cellStyle name="Normal 2 3 2 2 3 8 2 2" xfId="17751"/>
    <cellStyle name="Normal 2 3 2 2 3 8 2 3" xfId="17752"/>
    <cellStyle name="Normal 2 3 2 2 3 8 2 4" xfId="17753"/>
    <cellStyle name="Normal 2 3 2 2 3 8 2 5" xfId="17754"/>
    <cellStyle name="Normal 2 3 2 2 3 8 2 6" xfId="17755"/>
    <cellStyle name="Normal 2 3 2 2 3 8 3" xfId="17756"/>
    <cellStyle name="Normal 2 3 2 2 3 8 4" xfId="17757"/>
    <cellStyle name="Normal 2 3 2 2 3 8 5" xfId="17758"/>
    <cellStyle name="Normal 2 3 2 2 3 8 6" xfId="17759"/>
    <cellStyle name="Normal 2 3 2 2 3 9" xfId="17760"/>
    <cellStyle name="Normal 2 3 2 2 30" xfId="17761"/>
    <cellStyle name="Normal 2 3 2 2 31" xfId="17762"/>
    <cellStyle name="Normal 2 3 2 2 32" xfId="17763"/>
    <cellStyle name="Normal 2 3 2 2 33" xfId="17764"/>
    <cellStyle name="Normal 2 3 2 2 34" xfId="17765"/>
    <cellStyle name="Normal 2 3 2 2 35" xfId="17766"/>
    <cellStyle name="Normal 2 3 2 2 36" xfId="17767"/>
    <cellStyle name="Normal 2 3 2 2 37" xfId="17768"/>
    <cellStyle name="Normal 2 3 2 2 38" xfId="17769"/>
    <cellStyle name="Normal 2 3 2 2 38 10" xfId="17770"/>
    <cellStyle name="Normal 2 3 2 2 38 11" xfId="17771"/>
    <cellStyle name="Normal 2 3 2 2 38 12" xfId="17772"/>
    <cellStyle name="Normal 2 3 2 2 38 13" xfId="17773"/>
    <cellStyle name="Normal 2 3 2 2 38 14" xfId="17774"/>
    <cellStyle name="Normal 2 3 2 2 38 15" xfId="17775"/>
    <cellStyle name="Normal 2 3 2 2 38 16" xfId="17776"/>
    <cellStyle name="Normal 2 3 2 2 38 2" xfId="17777"/>
    <cellStyle name="Normal 2 3 2 2 38 3" xfId="17778"/>
    <cellStyle name="Normal 2 3 2 2 38 4" xfId="17779"/>
    <cellStyle name="Normal 2 3 2 2 38 5" xfId="17780"/>
    <cellStyle name="Normal 2 3 2 2 38 6" xfId="17781"/>
    <cellStyle name="Normal 2 3 2 2 38 7" xfId="17782"/>
    <cellStyle name="Normal 2 3 2 2 38 8" xfId="17783"/>
    <cellStyle name="Normal 2 3 2 2 38 9" xfId="17784"/>
    <cellStyle name="Normal 2 3 2 2 39" xfId="17785"/>
    <cellStyle name="Normal 2 3 2 2 4" xfId="17786"/>
    <cellStyle name="Normal 2 3 2 2 4 2" xfId="17787"/>
    <cellStyle name="Normal 2 3 2 2 4 3" xfId="17788"/>
    <cellStyle name="Normal 2 3 2 2 4 4" xfId="17789"/>
    <cellStyle name="Normal 2 3 2 2 4 5" xfId="17790"/>
    <cellStyle name="Normal 2 3 2 2 4 6" xfId="17791"/>
    <cellStyle name="Normal 2 3 2 2 40" xfId="17792"/>
    <cellStyle name="Normal 2 3 2 2 41" xfId="17793"/>
    <cellStyle name="Normal 2 3 2 2 42" xfId="17794"/>
    <cellStyle name="Normal 2 3 2 2 43" xfId="17795"/>
    <cellStyle name="Normal 2 3 2 2 44" xfId="17796"/>
    <cellStyle name="Normal 2 3 2 2 45" xfId="17797"/>
    <cellStyle name="Normal 2 3 2 2 46" xfId="17798"/>
    <cellStyle name="Normal 2 3 2 2 47" xfId="17799"/>
    <cellStyle name="Normal 2 3 2 2 48" xfId="17800"/>
    <cellStyle name="Normal 2 3 2 2 49" xfId="17801"/>
    <cellStyle name="Normal 2 3 2 2 5" xfId="17802"/>
    <cellStyle name="Normal 2 3 2 2 5 10" xfId="17803"/>
    <cellStyle name="Normal 2 3 2 2 5 11" xfId="17804"/>
    <cellStyle name="Normal 2 3 2 2 5 12" xfId="17805"/>
    <cellStyle name="Normal 2 3 2 2 5 13" xfId="17806"/>
    <cellStyle name="Normal 2 3 2 2 5 14" xfId="17807"/>
    <cellStyle name="Normal 2 3 2 2 5 15" xfId="17808"/>
    <cellStyle name="Normal 2 3 2 2 5 16" xfId="17809"/>
    <cellStyle name="Normal 2 3 2 2 5 17" xfId="17810"/>
    <cellStyle name="Normal 2 3 2 2 5 2" xfId="17811"/>
    <cellStyle name="Normal 2 3 2 2 5 2 10" xfId="17812"/>
    <cellStyle name="Normal 2 3 2 2 5 2 11" xfId="17813"/>
    <cellStyle name="Normal 2 3 2 2 5 2 12" xfId="17814"/>
    <cellStyle name="Normal 2 3 2 2 5 2 2" xfId="17815"/>
    <cellStyle name="Normal 2 3 2 2 5 2 2 2" xfId="17816"/>
    <cellStyle name="Normal 2 3 2 2 5 2 2 2 2" xfId="17817"/>
    <cellStyle name="Normal 2 3 2 2 5 2 2 2 2 2" xfId="17818"/>
    <cellStyle name="Normal 2 3 2 2 5 2 2 2 2 2 2" xfId="17819"/>
    <cellStyle name="Normal 2 3 2 2 5 2 2 2 2 2 3" xfId="17820"/>
    <cellStyle name="Normal 2 3 2 2 5 2 2 2 2 2 4" xfId="17821"/>
    <cellStyle name="Normal 2 3 2 2 5 2 2 2 2 2 5" xfId="17822"/>
    <cellStyle name="Normal 2 3 2 2 5 2 2 2 2 2 6" xfId="17823"/>
    <cellStyle name="Normal 2 3 2 2 5 2 2 2 2 3" xfId="17824"/>
    <cellStyle name="Normal 2 3 2 2 5 2 2 2 2 4" xfId="17825"/>
    <cellStyle name="Normal 2 3 2 2 5 2 2 2 2 5" xfId="17826"/>
    <cellStyle name="Normal 2 3 2 2 5 2 2 2 2 6" xfId="17827"/>
    <cellStyle name="Normal 2 3 2 2 5 2 2 2 3" xfId="17828"/>
    <cellStyle name="Normal 2 3 2 2 5 2 2 2 4" xfId="17829"/>
    <cellStyle name="Normal 2 3 2 2 5 2 2 2 5" xfId="17830"/>
    <cellStyle name="Normal 2 3 2 2 5 2 2 2 6" xfId="17831"/>
    <cellStyle name="Normal 2 3 2 2 5 2 2 2 7" xfId="17832"/>
    <cellStyle name="Normal 2 3 2 2 5 2 2 2 8" xfId="17833"/>
    <cellStyle name="Normal 2 3 2 2 5 2 2 2 9" xfId="17834"/>
    <cellStyle name="Normal 2 3 2 2 5 2 2 3" xfId="17835"/>
    <cellStyle name="Normal 2 3 2 2 5 2 2 3 2" xfId="17836"/>
    <cellStyle name="Normal 2 3 2 2 5 2 2 3 2 2" xfId="17837"/>
    <cellStyle name="Normal 2 3 2 2 5 2 2 3 2 3" xfId="17838"/>
    <cellStyle name="Normal 2 3 2 2 5 2 2 3 2 4" xfId="17839"/>
    <cellStyle name="Normal 2 3 2 2 5 2 2 3 2 5" xfId="17840"/>
    <cellStyle name="Normal 2 3 2 2 5 2 2 3 2 6" xfId="17841"/>
    <cellStyle name="Normal 2 3 2 2 5 2 2 3 3" xfId="17842"/>
    <cellStyle name="Normal 2 3 2 2 5 2 2 3 4" xfId="17843"/>
    <cellStyle name="Normal 2 3 2 2 5 2 2 3 5" xfId="17844"/>
    <cellStyle name="Normal 2 3 2 2 5 2 2 3 6" xfId="17845"/>
    <cellStyle name="Normal 2 3 2 2 5 2 2 4" xfId="17846"/>
    <cellStyle name="Normal 2 3 2 2 5 2 2 5" xfId="17847"/>
    <cellStyle name="Normal 2 3 2 2 5 2 2 6" xfId="17848"/>
    <cellStyle name="Normal 2 3 2 2 5 2 2 7" xfId="17849"/>
    <cellStyle name="Normal 2 3 2 2 5 2 2 8" xfId="17850"/>
    <cellStyle name="Normal 2 3 2 2 5 2 2 9" xfId="17851"/>
    <cellStyle name="Normal 2 3 2 2 5 2 3" xfId="17852"/>
    <cellStyle name="Normal 2 3 2 2 5 2 4" xfId="17853"/>
    <cellStyle name="Normal 2 3 2 2 5 2 5" xfId="17854"/>
    <cellStyle name="Normal 2 3 2 2 5 2 5 2" xfId="17855"/>
    <cellStyle name="Normal 2 3 2 2 5 2 5 2 2" xfId="17856"/>
    <cellStyle name="Normal 2 3 2 2 5 2 5 2 3" xfId="17857"/>
    <cellStyle name="Normal 2 3 2 2 5 2 5 2 4" xfId="17858"/>
    <cellStyle name="Normal 2 3 2 2 5 2 5 2 5" xfId="17859"/>
    <cellStyle name="Normal 2 3 2 2 5 2 5 2 6" xfId="17860"/>
    <cellStyle name="Normal 2 3 2 2 5 2 5 3" xfId="17861"/>
    <cellStyle name="Normal 2 3 2 2 5 2 5 4" xfId="17862"/>
    <cellStyle name="Normal 2 3 2 2 5 2 5 5" xfId="17863"/>
    <cellStyle name="Normal 2 3 2 2 5 2 5 6" xfId="17864"/>
    <cellStyle name="Normal 2 3 2 2 5 2 6" xfId="17865"/>
    <cellStyle name="Normal 2 3 2 2 5 2 7" xfId="17866"/>
    <cellStyle name="Normal 2 3 2 2 5 2 8" xfId="17867"/>
    <cellStyle name="Normal 2 3 2 2 5 2 9" xfId="17868"/>
    <cellStyle name="Normal 2 3 2 2 5 3" xfId="17869"/>
    <cellStyle name="Normal 2 3 2 2 5 3 2" xfId="17870"/>
    <cellStyle name="Normal 2 3 2 2 5 3 2 2" xfId="17871"/>
    <cellStyle name="Normal 2 3 2 2 5 3 2 2 2" xfId="17872"/>
    <cellStyle name="Normal 2 3 2 2 5 3 2 2 2 2" xfId="17873"/>
    <cellStyle name="Normal 2 3 2 2 5 3 2 2 2 3" xfId="17874"/>
    <cellStyle name="Normal 2 3 2 2 5 3 2 2 2 4" xfId="17875"/>
    <cellStyle name="Normal 2 3 2 2 5 3 2 2 2 5" xfId="17876"/>
    <cellStyle name="Normal 2 3 2 2 5 3 2 2 2 6" xfId="17877"/>
    <cellStyle name="Normal 2 3 2 2 5 3 2 2 3" xfId="17878"/>
    <cellStyle name="Normal 2 3 2 2 5 3 2 2 4" xfId="17879"/>
    <cellStyle name="Normal 2 3 2 2 5 3 2 2 5" xfId="17880"/>
    <cellStyle name="Normal 2 3 2 2 5 3 2 2 6" xfId="17881"/>
    <cellStyle name="Normal 2 3 2 2 5 3 2 3" xfId="17882"/>
    <cellStyle name="Normal 2 3 2 2 5 3 2 4" xfId="17883"/>
    <cellStyle name="Normal 2 3 2 2 5 3 2 5" xfId="17884"/>
    <cellStyle name="Normal 2 3 2 2 5 3 2 6" xfId="17885"/>
    <cellStyle name="Normal 2 3 2 2 5 3 2 7" xfId="17886"/>
    <cellStyle name="Normal 2 3 2 2 5 3 2 8" xfId="17887"/>
    <cellStyle name="Normal 2 3 2 2 5 3 2 9" xfId="17888"/>
    <cellStyle name="Normal 2 3 2 2 5 3 3" xfId="17889"/>
    <cellStyle name="Normal 2 3 2 2 5 3 3 2" xfId="17890"/>
    <cellStyle name="Normal 2 3 2 2 5 3 3 2 2" xfId="17891"/>
    <cellStyle name="Normal 2 3 2 2 5 3 3 2 3" xfId="17892"/>
    <cellStyle name="Normal 2 3 2 2 5 3 3 2 4" xfId="17893"/>
    <cellStyle name="Normal 2 3 2 2 5 3 3 2 5" xfId="17894"/>
    <cellStyle name="Normal 2 3 2 2 5 3 3 2 6" xfId="17895"/>
    <cellStyle name="Normal 2 3 2 2 5 3 3 3" xfId="17896"/>
    <cellStyle name="Normal 2 3 2 2 5 3 3 4" xfId="17897"/>
    <cellStyle name="Normal 2 3 2 2 5 3 3 5" xfId="17898"/>
    <cellStyle name="Normal 2 3 2 2 5 3 3 6" xfId="17899"/>
    <cellStyle name="Normal 2 3 2 2 5 3 4" xfId="17900"/>
    <cellStyle name="Normal 2 3 2 2 5 3 5" xfId="17901"/>
    <cellStyle name="Normal 2 3 2 2 5 3 6" xfId="17902"/>
    <cellStyle name="Normal 2 3 2 2 5 3 7" xfId="17903"/>
    <cellStyle name="Normal 2 3 2 2 5 3 8" xfId="17904"/>
    <cellStyle name="Normal 2 3 2 2 5 3 9" xfId="17905"/>
    <cellStyle name="Normal 2 3 2 2 5 4" xfId="17906"/>
    <cellStyle name="Normal 2 3 2 2 5 5" xfId="17907"/>
    <cellStyle name="Normal 2 3 2 2 5 5 2" xfId="17908"/>
    <cellStyle name="Normal 2 3 2 2 5 5 2 2" xfId="17909"/>
    <cellStyle name="Normal 2 3 2 2 5 5 2 3" xfId="17910"/>
    <cellStyle name="Normal 2 3 2 2 5 5 2 4" xfId="17911"/>
    <cellStyle name="Normal 2 3 2 2 5 5 2 5" xfId="17912"/>
    <cellStyle name="Normal 2 3 2 2 5 5 2 6" xfId="17913"/>
    <cellStyle name="Normal 2 3 2 2 5 5 3" xfId="17914"/>
    <cellStyle name="Normal 2 3 2 2 5 5 4" xfId="17915"/>
    <cellStyle name="Normal 2 3 2 2 5 5 5" xfId="17916"/>
    <cellStyle name="Normal 2 3 2 2 5 5 6" xfId="17917"/>
    <cellStyle name="Normal 2 3 2 2 5 6" xfId="17918"/>
    <cellStyle name="Normal 2 3 2 2 5 7" xfId="17919"/>
    <cellStyle name="Normal 2 3 2 2 5 8" xfId="17920"/>
    <cellStyle name="Normal 2 3 2 2 5 9" xfId="17921"/>
    <cellStyle name="Normal 2 3 2 2 50" xfId="17922"/>
    <cellStyle name="Normal 2 3 2 2 51" xfId="17923"/>
    <cellStyle name="Normal 2 3 2 2 52" xfId="17924"/>
    <cellStyle name="Normal 2 3 2 2 53" xfId="17925"/>
    <cellStyle name="Normal 2 3 2 2 54" xfId="17926"/>
    <cellStyle name="Normal 2 3 2 2 55" xfId="17927"/>
    <cellStyle name="Normal 2 3 2 2 56" xfId="17928"/>
    <cellStyle name="Normal 2 3 2 2 57" xfId="17929"/>
    <cellStyle name="Normal 2 3 2 2 58" xfId="17930"/>
    <cellStyle name="Normal 2 3 2 2 59" xfId="17931"/>
    <cellStyle name="Normal 2 3 2 2 6" xfId="17932"/>
    <cellStyle name="Normal 2 3 2 2 6 2" xfId="17933"/>
    <cellStyle name="Normal 2 3 2 2 6 3" xfId="17934"/>
    <cellStyle name="Normal 2 3 2 2 6 4" xfId="17935"/>
    <cellStyle name="Normal 2 3 2 2 6 5" xfId="17936"/>
    <cellStyle name="Normal 2 3 2 2 6 6" xfId="17937"/>
    <cellStyle name="Normal 2 3 2 2 60" xfId="17938"/>
    <cellStyle name="Normal 2 3 2 2 61" xfId="17939"/>
    <cellStyle name="Normal 2 3 2 2 62" xfId="17940"/>
    <cellStyle name="Normal 2 3 2 2 7" xfId="17941"/>
    <cellStyle name="Normal 2 3 2 2 7 2" xfId="17942"/>
    <cellStyle name="Normal 2 3 2 2 7 3" xfId="17943"/>
    <cellStyle name="Normal 2 3 2 2 7 4" xfId="17944"/>
    <cellStyle name="Normal 2 3 2 2 7 5" xfId="17945"/>
    <cellStyle name="Normal 2 3 2 2 7 6" xfId="17946"/>
    <cellStyle name="Normal 2 3 2 2 8" xfId="17947"/>
    <cellStyle name="Normal 2 3 2 2 8 10" xfId="17948"/>
    <cellStyle name="Normal 2 3 2 2 8 11" xfId="17949"/>
    <cellStyle name="Normal 2 3 2 2 8 12" xfId="17950"/>
    <cellStyle name="Normal 2 3 2 2 8 13" xfId="17951"/>
    <cellStyle name="Normal 2 3 2 2 8 14" xfId="17952"/>
    <cellStyle name="Normal 2 3 2 2 8 2" xfId="17953"/>
    <cellStyle name="Normal 2 3 2 2 8 2 2" xfId="17954"/>
    <cellStyle name="Normal 2 3 2 2 8 2 2 2" xfId="17955"/>
    <cellStyle name="Normal 2 3 2 2 8 2 2 2 2" xfId="17956"/>
    <cellStyle name="Normal 2 3 2 2 8 2 2 2 3" xfId="17957"/>
    <cellStyle name="Normal 2 3 2 2 8 2 2 2 4" xfId="17958"/>
    <cellStyle name="Normal 2 3 2 2 8 2 2 2 5" xfId="17959"/>
    <cellStyle name="Normal 2 3 2 2 8 2 2 2 6" xfId="17960"/>
    <cellStyle name="Normal 2 3 2 2 8 2 2 3" xfId="17961"/>
    <cellStyle name="Normal 2 3 2 2 8 2 2 4" xfId="17962"/>
    <cellStyle name="Normal 2 3 2 2 8 2 2 5" xfId="17963"/>
    <cellStyle name="Normal 2 3 2 2 8 2 2 6" xfId="17964"/>
    <cellStyle name="Normal 2 3 2 2 8 2 3" xfId="17965"/>
    <cellStyle name="Normal 2 3 2 2 8 2 4" xfId="17966"/>
    <cellStyle name="Normal 2 3 2 2 8 2 5" xfId="17967"/>
    <cellStyle name="Normal 2 3 2 2 8 2 6" xfId="17968"/>
    <cellStyle name="Normal 2 3 2 2 8 2 7" xfId="17969"/>
    <cellStyle name="Normal 2 3 2 2 8 2 8" xfId="17970"/>
    <cellStyle name="Normal 2 3 2 2 8 2 9" xfId="17971"/>
    <cellStyle name="Normal 2 3 2 2 8 3" xfId="17972"/>
    <cellStyle name="Normal 2 3 2 2 8 3 2" xfId="17973"/>
    <cellStyle name="Normal 2 3 2 2 8 3 2 2" xfId="17974"/>
    <cellStyle name="Normal 2 3 2 2 8 3 2 3" xfId="17975"/>
    <cellStyle name="Normal 2 3 2 2 8 3 2 4" xfId="17976"/>
    <cellStyle name="Normal 2 3 2 2 8 3 2 5" xfId="17977"/>
    <cellStyle name="Normal 2 3 2 2 8 3 2 6" xfId="17978"/>
    <cellStyle name="Normal 2 3 2 2 8 3 3" xfId="17979"/>
    <cellStyle name="Normal 2 3 2 2 8 3 4" xfId="17980"/>
    <cellStyle name="Normal 2 3 2 2 8 3 5" xfId="17981"/>
    <cellStyle name="Normal 2 3 2 2 8 3 6" xfId="17982"/>
    <cellStyle name="Normal 2 3 2 2 8 4" xfId="17983"/>
    <cellStyle name="Normal 2 3 2 2 8 5" xfId="17984"/>
    <cellStyle name="Normal 2 3 2 2 8 6" xfId="17985"/>
    <cellStyle name="Normal 2 3 2 2 8 7" xfId="17986"/>
    <cellStyle name="Normal 2 3 2 2 8 8" xfId="17987"/>
    <cellStyle name="Normal 2 3 2 2 8 9" xfId="17988"/>
    <cellStyle name="Normal 2 3 2 2 9" xfId="17989"/>
    <cellStyle name="Normal 2 3 2 2 9 2" xfId="17990"/>
    <cellStyle name="Normal 2 3 2 2 9 3" xfId="17991"/>
    <cellStyle name="Normal 2 3 2 2 9 4" xfId="17992"/>
    <cellStyle name="Normal 2 3 2 2 9 5" xfId="17993"/>
    <cellStyle name="Normal 2 3 2 2 9 6" xfId="17994"/>
    <cellStyle name="Normal 2 3 2 20" xfId="17995"/>
    <cellStyle name="Normal 2 3 2 20 2" xfId="17996"/>
    <cellStyle name="Normal 2 3 2 21" xfId="17997"/>
    <cellStyle name="Normal 2 3 2 21 2" xfId="17998"/>
    <cellStyle name="Normal 2 3 2 22" xfId="17999"/>
    <cellStyle name="Normal 2 3 2 23" xfId="18000"/>
    <cellStyle name="Normal 2 3 2 24" xfId="18001"/>
    <cellStyle name="Normal 2 3 2 25" xfId="18002"/>
    <cellStyle name="Normal 2 3 2 26" xfId="18003"/>
    <cellStyle name="Normal 2 3 2 27" xfId="18004"/>
    <cellStyle name="Normal 2 3 2 28" xfId="18005"/>
    <cellStyle name="Normal 2 3 2 28 2" xfId="18006"/>
    <cellStyle name="Normal 2 3 2 28 2 2" xfId="18007"/>
    <cellStyle name="Normal 2 3 2 28 2 2 2" xfId="18008"/>
    <cellStyle name="Normal 2 3 2 28 3" xfId="18009"/>
    <cellStyle name="Normal 2 3 2 28 4" xfId="18010"/>
    <cellStyle name="Normal 2 3 2 28 5" xfId="18011"/>
    <cellStyle name="Normal 2 3 2 28 6" xfId="18012"/>
    <cellStyle name="Normal 2 3 2 29" xfId="18013"/>
    <cellStyle name="Normal 2 3 2 29 2" xfId="18014"/>
    <cellStyle name="Normal 2 3 2 29 2 2" xfId="18015"/>
    <cellStyle name="Normal 2 3 2 3" xfId="18016"/>
    <cellStyle name="Normal 2 3 2 3 10" xfId="18017"/>
    <cellStyle name="Normal 2 3 2 3 11" xfId="18018"/>
    <cellStyle name="Normal 2 3 2 3 12" xfId="18019"/>
    <cellStyle name="Normal 2 3 2 3 13" xfId="18020"/>
    <cellStyle name="Normal 2 3 2 3 14" xfId="18021"/>
    <cellStyle name="Normal 2 3 2 3 15" xfId="18022"/>
    <cellStyle name="Normal 2 3 2 3 16" xfId="18023"/>
    <cellStyle name="Normal 2 3 2 3 17" xfId="18024"/>
    <cellStyle name="Normal 2 3 2 3 18" xfId="18025"/>
    <cellStyle name="Normal 2 3 2 3 19" xfId="18026"/>
    <cellStyle name="Normal 2 3 2 3 2" xfId="18027"/>
    <cellStyle name="Normal 2 3 2 3 2 10" xfId="18028"/>
    <cellStyle name="Normal 2 3 2 3 2 11" xfId="18029"/>
    <cellStyle name="Normal 2 3 2 3 2 12" xfId="18030"/>
    <cellStyle name="Normal 2 3 2 3 2 13" xfId="18031"/>
    <cellStyle name="Normal 2 3 2 3 2 14" xfId="18032"/>
    <cellStyle name="Normal 2 3 2 3 2 15" xfId="18033"/>
    <cellStyle name="Normal 2 3 2 3 2 16" xfId="18034"/>
    <cellStyle name="Normal 2 3 2 3 2 17" xfId="18035"/>
    <cellStyle name="Normal 2 3 2 3 2 2" xfId="18036"/>
    <cellStyle name="Normal 2 3 2 3 2 2 2" xfId="18037"/>
    <cellStyle name="Normal 2 3 2 3 2 2 2 2" xfId="18038"/>
    <cellStyle name="Normal 2 3 2 3 2 2 2 3" xfId="18039"/>
    <cellStyle name="Normal 2 3 2 3 2 2 2 4" xfId="18040"/>
    <cellStyle name="Normal 2 3 2 3 2 2 2 5" xfId="18041"/>
    <cellStyle name="Normal 2 3 2 3 2 2 2 6" xfId="18042"/>
    <cellStyle name="Normal 2 3 2 3 2 2 2 7" xfId="18043"/>
    <cellStyle name="Normal 2 3 2 3 2 2 2 8" xfId="18044"/>
    <cellStyle name="Normal 2 3 2 3 2 2 2 9" xfId="18045"/>
    <cellStyle name="Normal 2 3 2 3 2 2 3" xfId="18046"/>
    <cellStyle name="Normal 2 3 2 3 2 2 4" xfId="18047"/>
    <cellStyle name="Normal 2 3 2 3 2 2 5" xfId="18048"/>
    <cellStyle name="Normal 2 3 2 3 2 2 6" xfId="18049"/>
    <cellStyle name="Normal 2 3 2 3 2 2 7" xfId="18050"/>
    <cellStyle name="Normal 2 3 2 3 2 2 8" xfId="18051"/>
    <cellStyle name="Normal 2 3 2 3 2 2 9" xfId="18052"/>
    <cellStyle name="Normal 2 3 2 3 2 3" xfId="18053"/>
    <cellStyle name="Normal 2 3 2 3 2 4" xfId="18054"/>
    <cellStyle name="Normal 2 3 2 3 2 5" xfId="18055"/>
    <cellStyle name="Normal 2 3 2 3 2 6" xfId="18056"/>
    <cellStyle name="Normal 2 3 2 3 2 7" xfId="18057"/>
    <cellStyle name="Normal 2 3 2 3 2 8" xfId="18058"/>
    <cellStyle name="Normal 2 3 2 3 2 9" xfId="18059"/>
    <cellStyle name="Normal 2 3 2 3 20" xfId="18060"/>
    <cellStyle name="Normal 2 3 2 3 21" xfId="18061"/>
    <cellStyle name="Normal 2 3 2 3 22" xfId="18062"/>
    <cellStyle name="Normal 2 3 2 3 3" xfId="18063"/>
    <cellStyle name="Normal 2 3 2 3 3 2" xfId="18064"/>
    <cellStyle name="Normal 2 3 2 3 3 2 2" xfId="18065"/>
    <cellStyle name="Normal 2 3 2 3 3 2 3" xfId="18066"/>
    <cellStyle name="Normal 2 3 2 3 3 2 4" xfId="18067"/>
    <cellStyle name="Normal 2 3 2 3 3 2 5" xfId="18068"/>
    <cellStyle name="Normal 2 3 2 3 3 2 6" xfId="18069"/>
    <cellStyle name="Normal 2 3 2 3 3 2 7" xfId="18070"/>
    <cellStyle name="Normal 2 3 2 3 3 2 8" xfId="18071"/>
    <cellStyle name="Normal 2 3 2 3 3 2 9" xfId="18072"/>
    <cellStyle name="Normal 2 3 2 3 3 3" xfId="18073"/>
    <cellStyle name="Normal 2 3 2 3 3 4" xfId="18074"/>
    <cellStyle name="Normal 2 3 2 3 3 5" xfId="18075"/>
    <cellStyle name="Normal 2 3 2 3 3 6" xfId="18076"/>
    <cellStyle name="Normal 2 3 2 3 3 7" xfId="18077"/>
    <cellStyle name="Normal 2 3 2 3 3 8" xfId="18078"/>
    <cellStyle name="Normal 2 3 2 3 3 9" xfId="18079"/>
    <cellStyle name="Normal 2 3 2 3 4" xfId="18080"/>
    <cellStyle name="Normal 2 3 2 3 5" xfId="18081"/>
    <cellStyle name="Normal 2 3 2 3 6" xfId="18082"/>
    <cellStyle name="Normal 2 3 2 3 7" xfId="18083"/>
    <cellStyle name="Normal 2 3 2 3 8" xfId="18084"/>
    <cellStyle name="Normal 2 3 2 3 9" xfId="18085"/>
    <cellStyle name="Normal 2 3 2 30" xfId="18086"/>
    <cellStyle name="Normal 2 3 2 31" xfId="18087"/>
    <cellStyle name="Normal 2 3 2 32" xfId="18088"/>
    <cellStyle name="Normal 2 3 2 33" xfId="18089"/>
    <cellStyle name="Normal 2 3 2 34" xfId="18090"/>
    <cellStyle name="Normal 2 3 2 35" xfId="18091"/>
    <cellStyle name="Normal 2 3 2 36" xfId="18092"/>
    <cellStyle name="Normal 2 3 2 37" xfId="18093"/>
    <cellStyle name="Normal 2 3 2 38" xfId="18094"/>
    <cellStyle name="Normal 2 3 2 38 10" xfId="18095"/>
    <cellStyle name="Normal 2 3 2 38 11" xfId="18096"/>
    <cellStyle name="Normal 2 3 2 38 12" xfId="18097"/>
    <cellStyle name="Normal 2 3 2 38 13" xfId="18098"/>
    <cellStyle name="Normal 2 3 2 38 14" xfId="18099"/>
    <cellStyle name="Normal 2 3 2 38 15" xfId="18100"/>
    <cellStyle name="Normal 2 3 2 38 16" xfId="18101"/>
    <cellStyle name="Normal 2 3 2 38 2" xfId="18102"/>
    <cellStyle name="Normal 2 3 2 38 3" xfId="18103"/>
    <cellStyle name="Normal 2 3 2 38 4" xfId="18104"/>
    <cellStyle name="Normal 2 3 2 38 5" xfId="18105"/>
    <cellStyle name="Normal 2 3 2 38 6" xfId="18106"/>
    <cellStyle name="Normal 2 3 2 38 7" xfId="18107"/>
    <cellStyle name="Normal 2 3 2 38 8" xfId="18108"/>
    <cellStyle name="Normal 2 3 2 38 9" xfId="18109"/>
    <cellStyle name="Normal 2 3 2 39" xfId="18110"/>
    <cellStyle name="Normal 2 3 2 4" xfId="18111"/>
    <cellStyle name="Normal 2 3 2 4 2" xfId="18112"/>
    <cellStyle name="Normal 2 3 2 4 3" xfId="18113"/>
    <cellStyle name="Normal 2 3 2 4 4" xfId="18114"/>
    <cellStyle name="Normal 2 3 2 4 5" xfId="18115"/>
    <cellStyle name="Normal 2 3 2 4 6" xfId="18116"/>
    <cellStyle name="Normal 2 3 2 40" xfId="18117"/>
    <cellStyle name="Normal 2 3 2 41" xfId="18118"/>
    <cellStyle name="Normal 2 3 2 42" xfId="18119"/>
    <cellStyle name="Normal 2 3 2 43" xfId="18120"/>
    <cellStyle name="Normal 2 3 2 44" xfId="18121"/>
    <cellStyle name="Normal 2 3 2 45" xfId="18122"/>
    <cellStyle name="Normal 2 3 2 45 2" xfId="18123"/>
    <cellStyle name="Normal 2 3 2 45 3" xfId="18124"/>
    <cellStyle name="Normal 2 3 2 45 4" xfId="18125"/>
    <cellStyle name="Normal 2 3 2 45 5" xfId="18126"/>
    <cellStyle name="Normal 2 3 2 46" xfId="18127"/>
    <cellStyle name="Normal 2 3 2 47" xfId="18128"/>
    <cellStyle name="Normal 2 3 2 48" xfId="18129"/>
    <cellStyle name="Normal 2 3 2 49" xfId="18130"/>
    <cellStyle name="Normal 2 3 2 5" xfId="18131"/>
    <cellStyle name="Normal 2 3 2 5 10" xfId="18132"/>
    <cellStyle name="Normal 2 3 2 5 11" xfId="18133"/>
    <cellStyle name="Normal 2 3 2 5 12" xfId="18134"/>
    <cellStyle name="Normal 2 3 2 5 13" xfId="18135"/>
    <cellStyle name="Normal 2 3 2 5 14" xfId="18136"/>
    <cellStyle name="Normal 2 3 2 5 15" xfId="18137"/>
    <cellStyle name="Normal 2 3 2 5 16" xfId="18138"/>
    <cellStyle name="Normal 2 3 2 5 17" xfId="18139"/>
    <cellStyle name="Normal 2 3 2 5 18" xfId="18140"/>
    <cellStyle name="Normal 2 3 2 5 19" xfId="18141"/>
    <cellStyle name="Normal 2 3 2 5 2" xfId="18142"/>
    <cellStyle name="Normal 2 3 2 5 2 10" xfId="18143"/>
    <cellStyle name="Normal 2 3 2 5 2 11" xfId="18144"/>
    <cellStyle name="Normal 2 3 2 5 2 12" xfId="18145"/>
    <cellStyle name="Normal 2 3 2 5 2 13" xfId="18146"/>
    <cellStyle name="Normal 2 3 2 5 2 14" xfId="18147"/>
    <cellStyle name="Normal 2 3 2 5 2 15" xfId="18148"/>
    <cellStyle name="Normal 2 3 2 5 2 2" xfId="18149"/>
    <cellStyle name="Normal 2 3 2 5 2 2 10" xfId="18150"/>
    <cellStyle name="Normal 2 3 2 5 2 2 11" xfId="18151"/>
    <cellStyle name="Normal 2 3 2 5 2 2 12" xfId="18152"/>
    <cellStyle name="Normal 2 3 2 5 2 2 2" xfId="18153"/>
    <cellStyle name="Normal 2 3 2 5 2 2 2 10" xfId="18154"/>
    <cellStyle name="Normal 2 3 2 5 2 2 2 11" xfId="18155"/>
    <cellStyle name="Normal 2 3 2 5 2 2 2 12" xfId="18156"/>
    <cellStyle name="Normal 2 3 2 5 2 2 2 2" xfId="18157"/>
    <cellStyle name="Normal 2 3 2 5 2 2 2 2 2" xfId="18158"/>
    <cellStyle name="Normal 2 3 2 5 2 2 2 2 2 2" xfId="18159"/>
    <cellStyle name="Normal 2 3 2 5 2 2 2 2 2 2 2" xfId="18160"/>
    <cellStyle name="Normal 2 3 2 5 2 2 2 2 2 2 2 2" xfId="18161"/>
    <cellStyle name="Normal 2 3 2 5 2 2 2 2 2 2 2 3" xfId="18162"/>
    <cellStyle name="Normal 2 3 2 5 2 2 2 2 2 2 2 4" xfId="18163"/>
    <cellStyle name="Normal 2 3 2 5 2 2 2 2 2 2 2 5" xfId="18164"/>
    <cellStyle name="Normal 2 3 2 5 2 2 2 2 2 2 2 6" xfId="18165"/>
    <cellStyle name="Normal 2 3 2 5 2 2 2 2 2 2 3" xfId="18166"/>
    <cellStyle name="Normal 2 3 2 5 2 2 2 2 2 2 4" xfId="18167"/>
    <cellStyle name="Normal 2 3 2 5 2 2 2 2 2 2 5" xfId="18168"/>
    <cellStyle name="Normal 2 3 2 5 2 2 2 2 2 2 6" xfId="18169"/>
    <cellStyle name="Normal 2 3 2 5 2 2 2 2 2 3" xfId="18170"/>
    <cellStyle name="Normal 2 3 2 5 2 2 2 2 2 4" xfId="18171"/>
    <cellStyle name="Normal 2 3 2 5 2 2 2 2 2 5" xfId="18172"/>
    <cellStyle name="Normal 2 3 2 5 2 2 2 2 2 6" xfId="18173"/>
    <cellStyle name="Normal 2 3 2 5 2 2 2 2 2 7" xfId="18174"/>
    <cellStyle name="Normal 2 3 2 5 2 2 2 2 2 8" xfId="18175"/>
    <cellStyle name="Normal 2 3 2 5 2 2 2 2 2 9" xfId="18176"/>
    <cellStyle name="Normal 2 3 2 5 2 2 2 2 3" xfId="18177"/>
    <cellStyle name="Normal 2 3 2 5 2 2 2 2 3 2" xfId="18178"/>
    <cellStyle name="Normal 2 3 2 5 2 2 2 2 3 2 2" xfId="18179"/>
    <cellStyle name="Normal 2 3 2 5 2 2 2 2 3 2 3" xfId="18180"/>
    <cellStyle name="Normal 2 3 2 5 2 2 2 2 3 2 4" xfId="18181"/>
    <cellStyle name="Normal 2 3 2 5 2 2 2 2 3 2 5" xfId="18182"/>
    <cellStyle name="Normal 2 3 2 5 2 2 2 2 3 2 6" xfId="18183"/>
    <cellStyle name="Normal 2 3 2 5 2 2 2 2 3 3" xfId="18184"/>
    <cellStyle name="Normal 2 3 2 5 2 2 2 2 3 4" xfId="18185"/>
    <cellStyle name="Normal 2 3 2 5 2 2 2 2 3 5" xfId="18186"/>
    <cellStyle name="Normal 2 3 2 5 2 2 2 2 3 6" xfId="18187"/>
    <cellStyle name="Normal 2 3 2 5 2 2 2 2 4" xfId="18188"/>
    <cellStyle name="Normal 2 3 2 5 2 2 2 2 5" xfId="18189"/>
    <cellStyle name="Normal 2 3 2 5 2 2 2 2 6" xfId="18190"/>
    <cellStyle name="Normal 2 3 2 5 2 2 2 2 7" xfId="18191"/>
    <cellStyle name="Normal 2 3 2 5 2 2 2 2 8" xfId="18192"/>
    <cellStyle name="Normal 2 3 2 5 2 2 2 2 9" xfId="18193"/>
    <cellStyle name="Normal 2 3 2 5 2 2 2 3" xfId="18194"/>
    <cellStyle name="Normal 2 3 2 5 2 2 2 4" xfId="18195"/>
    <cellStyle name="Normal 2 3 2 5 2 2 2 5" xfId="18196"/>
    <cellStyle name="Normal 2 3 2 5 2 2 2 5 2" xfId="18197"/>
    <cellStyle name="Normal 2 3 2 5 2 2 2 5 2 2" xfId="18198"/>
    <cellStyle name="Normal 2 3 2 5 2 2 2 5 2 3" xfId="18199"/>
    <cellStyle name="Normal 2 3 2 5 2 2 2 5 2 4" xfId="18200"/>
    <cellStyle name="Normal 2 3 2 5 2 2 2 5 2 5" xfId="18201"/>
    <cellStyle name="Normal 2 3 2 5 2 2 2 5 2 6" xfId="18202"/>
    <cellStyle name="Normal 2 3 2 5 2 2 2 5 3" xfId="18203"/>
    <cellStyle name="Normal 2 3 2 5 2 2 2 5 4" xfId="18204"/>
    <cellStyle name="Normal 2 3 2 5 2 2 2 5 5" xfId="18205"/>
    <cellStyle name="Normal 2 3 2 5 2 2 2 5 6" xfId="18206"/>
    <cellStyle name="Normal 2 3 2 5 2 2 2 6" xfId="18207"/>
    <cellStyle name="Normal 2 3 2 5 2 2 2 7" xfId="18208"/>
    <cellStyle name="Normal 2 3 2 5 2 2 2 8" xfId="18209"/>
    <cellStyle name="Normal 2 3 2 5 2 2 2 9" xfId="18210"/>
    <cellStyle name="Normal 2 3 2 5 2 2 3" xfId="18211"/>
    <cellStyle name="Normal 2 3 2 5 2 2 3 2" xfId="18212"/>
    <cellStyle name="Normal 2 3 2 5 2 2 3 2 2" xfId="18213"/>
    <cellStyle name="Normal 2 3 2 5 2 2 3 2 2 2" xfId="18214"/>
    <cellStyle name="Normal 2 3 2 5 2 2 3 2 2 2 2" xfId="18215"/>
    <cellStyle name="Normal 2 3 2 5 2 2 3 2 2 2 3" xfId="18216"/>
    <cellStyle name="Normal 2 3 2 5 2 2 3 2 2 2 4" xfId="18217"/>
    <cellStyle name="Normal 2 3 2 5 2 2 3 2 2 2 5" xfId="18218"/>
    <cellStyle name="Normal 2 3 2 5 2 2 3 2 2 2 6" xfId="18219"/>
    <cellStyle name="Normal 2 3 2 5 2 2 3 2 2 3" xfId="18220"/>
    <cellStyle name="Normal 2 3 2 5 2 2 3 2 2 4" xfId="18221"/>
    <cellStyle name="Normal 2 3 2 5 2 2 3 2 2 5" xfId="18222"/>
    <cellStyle name="Normal 2 3 2 5 2 2 3 2 2 6" xfId="18223"/>
    <cellStyle name="Normal 2 3 2 5 2 2 3 2 3" xfId="18224"/>
    <cellStyle name="Normal 2 3 2 5 2 2 3 2 4" xfId="18225"/>
    <cellStyle name="Normal 2 3 2 5 2 2 3 2 5" xfId="18226"/>
    <cellStyle name="Normal 2 3 2 5 2 2 3 2 6" xfId="18227"/>
    <cellStyle name="Normal 2 3 2 5 2 2 3 2 7" xfId="18228"/>
    <cellStyle name="Normal 2 3 2 5 2 2 3 2 8" xfId="18229"/>
    <cellStyle name="Normal 2 3 2 5 2 2 3 2 9" xfId="18230"/>
    <cellStyle name="Normal 2 3 2 5 2 2 3 3" xfId="18231"/>
    <cellStyle name="Normal 2 3 2 5 2 2 3 3 2" xfId="18232"/>
    <cellStyle name="Normal 2 3 2 5 2 2 3 3 2 2" xfId="18233"/>
    <cellStyle name="Normal 2 3 2 5 2 2 3 3 2 3" xfId="18234"/>
    <cellStyle name="Normal 2 3 2 5 2 2 3 3 2 4" xfId="18235"/>
    <cellStyle name="Normal 2 3 2 5 2 2 3 3 2 5" xfId="18236"/>
    <cellStyle name="Normal 2 3 2 5 2 2 3 3 2 6" xfId="18237"/>
    <cellStyle name="Normal 2 3 2 5 2 2 3 3 3" xfId="18238"/>
    <cellStyle name="Normal 2 3 2 5 2 2 3 3 4" xfId="18239"/>
    <cellStyle name="Normal 2 3 2 5 2 2 3 3 5" xfId="18240"/>
    <cellStyle name="Normal 2 3 2 5 2 2 3 3 6" xfId="18241"/>
    <cellStyle name="Normal 2 3 2 5 2 2 3 4" xfId="18242"/>
    <cellStyle name="Normal 2 3 2 5 2 2 3 5" xfId="18243"/>
    <cellStyle name="Normal 2 3 2 5 2 2 3 6" xfId="18244"/>
    <cellStyle name="Normal 2 3 2 5 2 2 3 7" xfId="18245"/>
    <cellStyle name="Normal 2 3 2 5 2 2 3 8" xfId="18246"/>
    <cellStyle name="Normal 2 3 2 5 2 2 3 9" xfId="18247"/>
    <cellStyle name="Normal 2 3 2 5 2 2 4" xfId="18248"/>
    <cellStyle name="Normal 2 3 2 5 2 2 5" xfId="18249"/>
    <cellStyle name="Normal 2 3 2 5 2 2 5 2" xfId="18250"/>
    <cellStyle name="Normal 2 3 2 5 2 2 5 2 2" xfId="18251"/>
    <cellStyle name="Normal 2 3 2 5 2 2 5 2 3" xfId="18252"/>
    <cellStyle name="Normal 2 3 2 5 2 2 5 2 4" xfId="18253"/>
    <cellStyle name="Normal 2 3 2 5 2 2 5 2 5" xfId="18254"/>
    <cellStyle name="Normal 2 3 2 5 2 2 5 2 6" xfId="18255"/>
    <cellStyle name="Normal 2 3 2 5 2 2 5 3" xfId="18256"/>
    <cellStyle name="Normal 2 3 2 5 2 2 5 4" xfId="18257"/>
    <cellStyle name="Normal 2 3 2 5 2 2 5 5" xfId="18258"/>
    <cellStyle name="Normal 2 3 2 5 2 2 5 6" xfId="18259"/>
    <cellStyle name="Normal 2 3 2 5 2 2 6" xfId="18260"/>
    <cellStyle name="Normal 2 3 2 5 2 2 7" xfId="18261"/>
    <cellStyle name="Normal 2 3 2 5 2 2 8" xfId="18262"/>
    <cellStyle name="Normal 2 3 2 5 2 2 9" xfId="18263"/>
    <cellStyle name="Normal 2 3 2 5 2 3" xfId="18264"/>
    <cellStyle name="Normal 2 3 2 5 2 4" xfId="18265"/>
    <cellStyle name="Normal 2 3 2 5 2 5" xfId="18266"/>
    <cellStyle name="Normal 2 3 2 5 2 5 2" xfId="18267"/>
    <cellStyle name="Normal 2 3 2 5 2 5 2 2" xfId="18268"/>
    <cellStyle name="Normal 2 3 2 5 2 5 2 2 2" xfId="18269"/>
    <cellStyle name="Normal 2 3 2 5 2 5 2 2 2 2" xfId="18270"/>
    <cellStyle name="Normal 2 3 2 5 2 5 2 2 2 3" xfId="18271"/>
    <cellStyle name="Normal 2 3 2 5 2 5 2 2 2 4" xfId="18272"/>
    <cellStyle name="Normal 2 3 2 5 2 5 2 2 2 5" xfId="18273"/>
    <cellStyle name="Normal 2 3 2 5 2 5 2 2 2 6" xfId="18274"/>
    <cellStyle name="Normal 2 3 2 5 2 5 2 2 3" xfId="18275"/>
    <cellStyle name="Normal 2 3 2 5 2 5 2 2 4" xfId="18276"/>
    <cellStyle name="Normal 2 3 2 5 2 5 2 2 5" xfId="18277"/>
    <cellStyle name="Normal 2 3 2 5 2 5 2 2 6" xfId="18278"/>
    <cellStyle name="Normal 2 3 2 5 2 5 2 3" xfId="18279"/>
    <cellStyle name="Normal 2 3 2 5 2 5 2 4" xfId="18280"/>
    <cellStyle name="Normal 2 3 2 5 2 5 2 5" xfId="18281"/>
    <cellStyle name="Normal 2 3 2 5 2 5 2 6" xfId="18282"/>
    <cellStyle name="Normal 2 3 2 5 2 5 2 7" xfId="18283"/>
    <cellStyle name="Normal 2 3 2 5 2 5 2 8" xfId="18284"/>
    <cellStyle name="Normal 2 3 2 5 2 5 2 9" xfId="18285"/>
    <cellStyle name="Normal 2 3 2 5 2 5 3" xfId="18286"/>
    <cellStyle name="Normal 2 3 2 5 2 5 3 2" xfId="18287"/>
    <cellStyle name="Normal 2 3 2 5 2 5 3 2 2" xfId="18288"/>
    <cellStyle name="Normal 2 3 2 5 2 5 3 2 3" xfId="18289"/>
    <cellStyle name="Normal 2 3 2 5 2 5 3 2 4" xfId="18290"/>
    <cellStyle name="Normal 2 3 2 5 2 5 3 2 5" xfId="18291"/>
    <cellStyle name="Normal 2 3 2 5 2 5 3 2 6" xfId="18292"/>
    <cellStyle name="Normal 2 3 2 5 2 5 3 3" xfId="18293"/>
    <cellStyle name="Normal 2 3 2 5 2 5 3 4" xfId="18294"/>
    <cellStyle name="Normal 2 3 2 5 2 5 3 5" xfId="18295"/>
    <cellStyle name="Normal 2 3 2 5 2 5 3 6" xfId="18296"/>
    <cellStyle name="Normal 2 3 2 5 2 5 4" xfId="18297"/>
    <cellStyle name="Normal 2 3 2 5 2 5 5" xfId="18298"/>
    <cellStyle name="Normal 2 3 2 5 2 5 6" xfId="18299"/>
    <cellStyle name="Normal 2 3 2 5 2 5 7" xfId="18300"/>
    <cellStyle name="Normal 2 3 2 5 2 5 8" xfId="18301"/>
    <cellStyle name="Normal 2 3 2 5 2 5 9" xfId="18302"/>
    <cellStyle name="Normal 2 3 2 5 2 6" xfId="18303"/>
    <cellStyle name="Normal 2 3 2 5 2 7" xfId="18304"/>
    <cellStyle name="Normal 2 3 2 5 2 8" xfId="18305"/>
    <cellStyle name="Normal 2 3 2 5 2 8 2" xfId="18306"/>
    <cellStyle name="Normal 2 3 2 5 2 8 2 2" xfId="18307"/>
    <cellStyle name="Normal 2 3 2 5 2 8 2 3" xfId="18308"/>
    <cellStyle name="Normal 2 3 2 5 2 8 2 4" xfId="18309"/>
    <cellStyle name="Normal 2 3 2 5 2 8 2 5" xfId="18310"/>
    <cellStyle name="Normal 2 3 2 5 2 8 2 6" xfId="18311"/>
    <cellStyle name="Normal 2 3 2 5 2 8 3" xfId="18312"/>
    <cellStyle name="Normal 2 3 2 5 2 8 4" xfId="18313"/>
    <cellStyle name="Normal 2 3 2 5 2 8 5" xfId="18314"/>
    <cellStyle name="Normal 2 3 2 5 2 8 6" xfId="18315"/>
    <cellStyle name="Normal 2 3 2 5 2 9" xfId="18316"/>
    <cellStyle name="Normal 2 3 2 5 20" xfId="18317"/>
    <cellStyle name="Normal 2 3 2 5 3" xfId="18318"/>
    <cellStyle name="Normal 2 3 2 5 3 10" xfId="18319"/>
    <cellStyle name="Normal 2 3 2 5 3 11" xfId="18320"/>
    <cellStyle name="Normal 2 3 2 5 3 12" xfId="18321"/>
    <cellStyle name="Normal 2 3 2 5 3 2" xfId="18322"/>
    <cellStyle name="Normal 2 3 2 5 3 2 10" xfId="18323"/>
    <cellStyle name="Normal 2 3 2 5 3 2 11" xfId="18324"/>
    <cellStyle name="Normal 2 3 2 5 3 2 12" xfId="18325"/>
    <cellStyle name="Normal 2 3 2 5 3 2 2" xfId="18326"/>
    <cellStyle name="Normal 2 3 2 5 3 2 2 2" xfId="18327"/>
    <cellStyle name="Normal 2 3 2 5 3 2 2 2 2" xfId="18328"/>
    <cellStyle name="Normal 2 3 2 5 3 2 2 2 2 2" xfId="18329"/>
    <cellStyle name="Normal 2 3 2 5 3 2 2 2 2 2 2" xfId="18330"/>
    <cellStyle name="Normal 2 3 2 5 3 2 2 2 2 2 3" xfId="18331"/>
    <cellStyle name="Normal 2 3 2 5 3 2 2 2 2 2 4" xfId="18332"/>
    <cellStyle name="Normal 2 3 2 5 3 2 2 2 2 2 5" xfId="18333"/>
    <cellStyle name="Normal 2 3 2 5 3 2 2 2 2 2 6" xfId="18334"/>
    <cellStyle name="Normal 2 3 2 5 3 2 2 2 2 3" xfId="18335"/>
    <cellStyle name="Normal 2 3 2 5 3 2 2 2 2 4" xfId="18336"/>
    <cellStyle name="Normal 2 3 2 5 3 2 2 2 2 5" xfId="18337"/>
    <cellStyle name="Normal 2 3 2 5 3 2 2 2 2 6" xfId="18338"/>
    <cellStyle name="Normal 2 3 2 5 3 2 2 2 3" xfId="18339"/>
    <cellStyle name="Normal 2 3 2 5 3 2 2 2 4" xfId="18340"/>
    <cellStyle name="Normal 2 3 2 5 3 2 2 2 5" xfId="18341"/>
    <cellStyle name="Normal 2 3 2 5 3 2 2 2 6" xfId="18342"/>
    <cellStyle name="Normal 2 3 2 5 3 2 2 2 7" xfId="18343"/>
    <cellStyle name="Normal 2 3 2 5 3 2 2 2 8" xfId="18344"/>
    <cellStyle name="Normal 2 3 2 5 3 2 2 2 9" xfId="18345"/>
    <cellStyle name="Normal 2 3 2 5 3 2 2 3" xfId="18346"/>
    <cellStyle name="Normal 2 3 2 5 3 2 2 3 2" xfId="18347"/>
    <cellStyle name="Normal 2 3 2 5 3 2 2 3 2 2" xfId="18348"/>
    <cellStyle name="Normal 2 3 2 5 3 2 2 3 2 3" xfId="18349"/>
    <cellStyle name="Normal 2 3 2 5 3 2 2 3 2 4" xfId="18350"/>
    <cellStyle name="Normal 2 3 2 5 3 2 2 3 2 5" xfId="18351"/>
    <cellStyle name="Normal 2 3 2 5 3 2 2 3 2 6" xfId="18352"/>
    <cellStyle name="Normal 2 3 2 5 3 2 2 3 3" xfId="18353"/>
    <cellStyle name="Normal 2 3 2 5 3 2 2 3 4" xfId="18354"/>
    <cellStyle name="Normal 2 3 2 5 3 2 2 3 5" xfId="18355"/>
    <cellStyle name="Normal 2 3 2 5 3 2 2 3 6" xfId="18356"/>
    <cellStyle name="Normal 2 3 2 5 3 2 2 4" xfId="18357"/>
    <cellStyle name="Normal 2 3 2 5 3 2 2 5" xfId="18358"/>
    <cellStyle name="Normal 2 3 2 5 3 2 2 6" xfId="18359"/>
    <cellStyle name="Normal 2 3 2 5 3 2 2 7" xfId="18360"/>
    <cellStyle name="Normal 2 3 2 5 3 2 2 8" xfId="18361"/>
    <cellStyle name="Normal 2 3 2 5 3 2 2 9" xfId="18362"/>
    <cellStyle name="Normal 2 3 2 5 3 2 3" xfId="18363"/>
    <cellStyle name="Normal 2 3 2 5 3 2 4" xfId="18364"/>
    <cellStyle name="Normal 2 3 2 5 3 2 5" xfId="18365"/>
    <cellStyle name="Normal 2 3 2 5 3 2 5 2" xfId="18366"/>
    <cellStyle name="Normal 2 3 2 5 3 2 5 2 2" xfId="18367"/>
    <cellStyle name="Normal 2 3 2 5 3 2 5 2 3" xfId="18368"/>
    <cellStyle name="Normal 2 3 2 5 3 2 5 2 4" xfId="18369"/>
    <cellStyle name="Normal 2 3 2 5 3 2 5 2 5" xfId="18370"/>
    <cellStyle name="Normal 2 3 2 5 3 2 5 2 6" xfId="18371"/>
    <cellStyle name="Normal 2 3 2 5 3 2 5 3" xfId="18372"/>
    <cellStyle name="Normal 2 3 2 5 3 2 5 4" xfId="18373"/>
    <cellStyle name="Normal 2 3 2 5 3 2 5 5" xfId="18374"/>
    <cellStyle name="Normal 2 3 2 5 3 2 5 6" xfId="18375"/>
    <cellStyle name="Normal 2 3 2 5 3 2 6" xfId="18376"/>
    <cellStyle name="Normal 2 3 2 5 3 2 7" xfId="18377"/>
    <cellStyle name="Normal 2 3 2 5 3 2 8" xfId="18378"/>
    <cellStyle name="Normal 2 3 2 5 3 2 9" xfId="18379"/>
    <cellStyle name="Normal 2 3 2 5 3 3" xfId="18380"/>
    <cellStyle name="Normal 2 3 2 5 3 3 2" xfId="18381"/>
    <cellStyle name="Normal 2 3 2 5 3 3 2 2" xfId="18382"/>
    <cellStyle name="Normal 2 3 2 5 3 3 2 2 2" xfId="18383"/>
    <cellStyle name="Normal 2 3 2 5 3 3 2 2 2 2" xfId="18384"/>
    <cellStyle name="Normal 2 3 2 5 3 3 2 2 2 3" xfId="18385"/>
    <cellStyle name="Normal 2 3 2 5 3 3 2 2 2 4" xfId="18386"/>
    <cellStyle name="Normal 2 3 2 5 3 3 2 2 2 5" xfId="18387"/>
    <cellStyle name="Normal 2 3 2 5 3 3 2 2 2 6" xfId="18388"/>
    <cellStyle name="Normal 2 3 2 5 3 3 2 2 3" xfId="18389"/>
    <cellStyle name="Normal 2 3 2 5 3 3 2 2 4" xfId="18390"/>
    <cellStyle name="Normal 2 3 2 5 3 3 2 2 5" xfId="18391"/>
    <cellStyle name="Normal 2 3 2 5 3 3 2 2 6" xfId="18392"/>
    <cellStyle name="Normal 2 3 2 5 3 3 2 3" xfId="18393"/>
    <cellStyle name="Normal 2 3 2 5 3 3 2 4" xfId="18394"/>
    <cellStyle name="Normal 2 3 2 5 3 3 2 5" xfId="18395"/>
    <cellStyle name="Normal 2 3 2 5 3 3 2 6" xfId="18396"/>
    <cellStyle name="Normal 2 3 2 5 3 3 2 7" xfId="18397"/>
    <cellStyle name="Normal 2 3 2 5 3 3 2 8" xfId="18398"/>
    <cellStyle name="Normal 2 3 2 5 3 3 2 9" xfId="18399"/>
    <cellStyle name="Normal 2 3 2 5 3 3 3" xfId="18400"/>
    <cellStyle name="Normal 2 3 2 5 3 3 3 2" xfId="18401"/>
    <cellStyle name="Normal 2 3 2 5 3 3 3 2 2" xfId="18402"/>
    <cellStyle name="Normal 2 3 2 5 3 3 3 2 3" xfId="18403"/>
    <cellStyle name="Normal 2 3 2 5 3 3 3 2 4" xfId="18404"/>
    <cellStyle name="Normal 2 3 2 5 3 3 3 2 5" xfId="18405"/>
    <cellStyle name="Normal 2 3 2 5 3 3 3 2 6" xfId="18406"/>
    <cellStyle name="Normal 2 3 2 5 3 3 3 3" xfId="18407"/>
    <cellStyle name="Normal 2 3 2 5 3 3 3 4" xfId="18408"/>
    <cellStyle name="Normal 2 3 2 5 3 3 3 5" xfId="18409"/>
    <cellStyle name="Normal 2 3 2 5 3 3 3 6" xfId="18410"/>
    <cellStyle name="Normal 2 3 2 5 3 3 4" xfId="18411"/>
    <cellStyle name="Normal 2 3 2 5 3 3 5" xfId="18412"/>
    <cellStyle name="Normal 2 3 2 5 3 3 6" xfId="18413"/>
    <cellStyle name="Normal 2 3 2 5 3 3 7" xfId="18414"/>
    <cellStyle name="Normal 2 3 2 5 3 3 8" xfId="18415"/>
    <cellStyle name="Normal 2 3 2 5 3 3 9" xfId="18416"/>
    <cellStyle name="Normal 2 3 2 5 3 4" xfId="18417"/>
    <cellStyle name="Normal 2 3 2 5 3 5" xfId="18418"/>
    <cellStyle name="Normal 2 3 2 5 3 5 2" xfId="18419"/>
    <cellStyle name="Normal 2 3 2 5 3 5 2 2" xfId="18420"/>
    <cellStyle name="Normal 2 3 2 5 3 5 2 3" xfId="18421"/>
    <cellStyle name="Normal 2 3 2 5 3 5 2 4" xfId="18422"/>
    <cellStyle name="Normal 2 3 2 5 3 5 2 5" xfId="18423"/>
    <cellStyle name="Normal 2 3 2 5 3 5 2 6" xfId="18424"/>
    <cellStyle name="Normal 2 3 2 5 3 5 3" xfId="18425"/>
    <cellStyle name="Normal 2 3 2 5 3 5 4" xfId="18426"/>
    <cellStyle name="Normal 2 3 2 5 3 5 5" xfId="18427"/>
    <cellStyle name="Normal 2 3 2 5 3 5 6" xfId="18428"/>
    <cellStyle name="Normal 2 3 2 5 3 6" xfId="18429"/>
    <cellStyle name="Normal 2 3 2 5 3 7" xfId="18430"/>
    <cellStyle name="Normal 2 3 2 5 3 8" xfId="18431"/>
    <cellStyle name="Normal 2 3 2 5 3 9" xfId="18432"/>
    <cellStyle name="Normal 2 3 2 5 4" xfId="18433"/>
    <cellStyle name="Normal 2 3 2 5 5" xfId="18434"/>
    <cellStyle name="Normal 2 3 2 5 5 2" xfId="18435"/>
    <cellStyle name="Normal 2 3 2 5 5 2 2" xfId="18436"/>
    <cellStyle name="Normal 2 3 2 5 5 2 2 2" xfId="18437"/>
    <cellStyle name="Normal 2 3 2 5 5 2 2 2 2" xfId="18438"/>
    <cellStyle name="Normal 2 3 2 5 5 2 2 2 3" xfId="18439"/>
    <cellStyle name="Normal 2 3 2 5 5 2 2 2 4" xfId="18440"/>
    <cellStyle name="Normal 2 3 2 5 5 2 2 2 5" xfId="18441"/>
    <cellStyle name="Normal 2 3 2 5 5 2 2 2 6" xfId="18442"/>
    <cellStyle name="Normal 2 3 2 5 5 2 2 3" xfId="18443"/>
    <cellStyle name="Normal 2 3 2 5 5 2 2 4" xfId="18444"/>
    <cellStyle name="Normal 2 3 2 5 5 2 2 5" xfId="18445"/>
    <cellStyle name="Normal 2 3 2 5 5 2 2 6" xfId="18446"/>
    <cellStyle name="Normal 2 3 2 5 5 2 3" xfId="18447"/>
    <cellStyle name="Normal 2 3 2 5 5 2 4" xfId="18448"/>
    <cellStyle name="Normal 2 3 2 5 5 2 5" xfId="18449"/>
    <cellStyle name="Normal 2 3 2 5 5 2 6" xfId="18450"/>
    <cellStyle name="Normal 2 3 2 5 5 2 7" xfId="18451"/>
    <cellStyle name="Normal 2 3 2 5 5 2 8" xfId="18452"/>
    <cellStyle name="Normal 2 3 2 5 5 2 9" xfId="18453"/>
    <cellStyle name="Normal 2 3 2 5 5 3" xfId="18454"/>
    <cellStyle name="Normal 2 3 2 5 5 3 2" xfId="18455"/>
    <cellStyle name="Normal 2 3 2 5 5 3 2 2" xfId="18456"/>
    <cellStyle name="Normal 2 3 2 5 5 3 2 3" xfId="18457"/>
    <cellStyle name="Normal 2 3 2 5 5 3 2 4" xfId="18458"/>
    <cellStyle name="Normal 2 3 2 5 5 3 2 5" xfId="18459"/>
    <cellStyle name="Normal 2 3 2 5 5 3 2 6" xfId="18460"/>
    <cellStyle name="Normal 2 3 2 5 5 3 3" xfId="18461"/>
    <cellStyle name="Normal 2 3 2 5 5 3 4" xfId="18462"/>
    <cellStyle name="Normal 2 3 2 5 5 3 5" xfId="18463"/>
    <cellStyle name="Normal 2 3 2 5 5 3 6" xfId="18464"/>
    <cellStyle name="Normal 2 3 2 5 5 4" xfId="18465"/>
    <cellStyle name="Normal 2 3 2 5 5 5" xfId="18466"/>
    <cellStyle name="Normal 2 3 2 5 5 6" xfId="18467"/>
    <cellStyle name="Normal 2 3 2 5 5 7" xfId="18468"/>
    <cellStyle name="Normal 2 3 2 5 5 8" xfId="18469"/>
    <cellStyle name="Normal 2 3 2 5 5 9" xfId="18470"/>
    <cellStyle name="Normal 2 3 2 5 6" xfId="18471"/>
    <cellStyle name="Normal 2 3 2 5 7" xfId="18472"/>
    <cellStyle name="Normal 2 3 2 5 8" xfId="18473"/>
    <cellStyle name="Normal 2 3 2 5 8 2" xfId="18474"/>
    <cellStyle name="Normal 2 3 2 5 8 2 2" xfId="18475"/>
    <cellStyle name="Normal 2 3 2 5 8 2 3" xfId="18476"/>
    <cellStyle name="Normal 2 3 2 5 8 2 4" xfId="18477"/>
    <cellStyle name="Normal 2 3 2 5 8 2 5" xfId="18478"/>
    <cellStyle name="Normal 2 3 2 5 8 2 6" xfId="18479"/>
    <cellStyle name="Normal 2 3 2 5 8 3" xfId="18480"/>
    <cellStyle name="Normal 2 3 2 5 8 4" xfId="18481"/>
    <cellStyle name="Normal 2 3 2 5 8 5" xfId="18482"/>
    <cellStyle name="Normal 2 3 2 5 8 6" xfId="18483"/>
    <cellStyle name="Normal 2 3 2 5 9" xfId="18484"/>
    <cellStyle name="Normal 2 3 2 50" xfId="18485"/>
    <cellStyle name="Normal 2 3 2 51" xfId="18486"/>
    <cellStyle name="Normal 2 3 2 52" xfId="18487"/>
    <cellStyle name="Normal 2 3 2 53" xfId="18488"/>
    <cellStyle name="Normal 2 3 2 54" xfId="18489"/>
    <cellStyle name="Normal 2 3 2 55" xfId="18490"/>
    <cellStyle name="Normal 2 3 2 56" xfId="18491"/>
    <cellStyle name="Normal 2 3 2 57" xfId="18492"/>
    <cellStyle name="Normal 2 3 2 58" xfId="18493"/>
    <cellStyle name="Normal 2 3 2 59" xfId="18494"/>
    <cellStyle name="Normal 2 3 2 6" xfId="18495"/>
    <cellStyle name="Normal 2 3 2 6 2" xfId="18496"/>
    <cellStyle name="Normal 2 3 2 6 3" xfId="18497"/>
    <cellStyle name="Normal 2 3 2 6 4" xfId="18498"/>
    <cellStyle name="Normal 2 3 2 6 5" xfId="18499"/>
    <cellStyle name="Normal 2 3 2 6 6" xfId="18500"/>
    <cellStyle name="Normal 2 3 2 60" xfId="18501"/>
    <cellStyle name="Normal 2 3 2 61" xfId="18502"/>
    <cellStyle name="Normal 2 3 2 62" xfId="18503"/>
    <cellStyle name="Normal 2 3 2 63" xfId="18504"/>
    <cellStyle name="Normal 2 3 2 64" xfId="18505"/>
    <cellStyle name="Normal 2 3 2 65" xfId="18506"/>
    <cellStyle name="Normal 2 3 2 7" xfId="18507"/>
    <cellStyle name="Normal 2 3 2 7 2" xfId="18508"/>
    <cellStyle name="Normal 2 3 2 7 3" xfId="18509"/>
    <cellStyle name="Normal 2 3 2 7 4" xfId="18510"/>
    <cellStyle name="Normal 2 3 2 7 5" xfId="18511"/>
    <cellStyle name="Normal 2 3 2 7 6" xfId="18512"/>
    <cellStyle name="Normal 2 3 2 8" xfId="18513"/>
    <cellStyle name="Normal 2 3 2 8 10" xfId="18514"/>
    <cellStyle name="Normal 2 3 2 8 11" xfId="18515"/>
    <cellStyle name="Normal 2 3 2 8 12" xfId="18516"/>
    <cellStyle name="Normal 2 3 2 8 13" xfId="18517"/>
    <cellStyle name="Normal 2 3 2 8 14" xfId="18518"/>
    <cellStyle name="Normal 2 3 2 8 15" xfId="18519"/>
    <cellStyle name="Normal 2 3 2 8 16" xfId="18520"/>
    <cellStyle name="Normal 2 3 2 8 17" xfId="18521"/>
    <cellStyle name="Normal 2 3 2 8 2" xfId="18522"/>
    <cellStyle name="Normal 2 3 2 8 2 10" xfId="18523"/>
    <cellStyle name="Normal 2 3 2 8 2 11" xfId="18524"/>
    <cellStyle name="Normal 2 3 2 8 2 12" xfId="18525"/>
    <cellStyle name="Normal 2 3 2 8 2 2" xfId="18526"/>
    <cellStyle name="Normal 2 3 2 8 2 2 2" xfId="18527"/>
    <cellStyle name="Normal 2 3 2 8 2 2 2 2" xfId="18528"/>
    <cellStyle name="Normal 2 3 2 8 2 2 2 2 2" xfId="18529"/>
    <cellStyle name="Normal 2 3 2 8 2 2 2 2 2 2" xfId="18530"/>
    <cellStyle name="Normal 2 3 2 8 2 2 2 2 2 3" xfId="18531"/>
    <cellStyle name="Normal 2 3 2 8 2 2 2 2 2 4" xfId="18532"/>
    <cellStyle name="Normal 2 3 2 8 2 2 2 2 2 5" xfId="18533"/>
    <cellStyle name="Normal 2 3 2 8 2 2 2 2 2 6" xfId="18534"/>
    <cellStyle name="Normal 2 3 2 8 2 2 2 2 3" xfId="18535"/>
    <cellStyle name="Normal 2 3 2 8 2 2 2 2 4" xfId="18536"/>
    <cellStyle name="Normal 2 3 2 8 2 2 2 2 5" xfId="18537"/>
    <cellStyle name="Normal 2 3 2 8 2 2 2 2 6" xfId="18538"/>
    <cellStyle name="Normal 2 3 2 8 2 2 2 3" xfId="18539"/>
    <cellStyle name="Normal 2 3 2 8 2 2 2 4" xfId="18540"/>
    <cellStyle name="Normal 2 3 2 8 2 2 2 5" xfId="18541"/>
    <cellStyle name="Normal 2 3 2 8 2 2 2 6" xfId="18542"/>
    <cellStyle name="Normal 2 3 2 8 2 2 2 7" xfId="18543"/>
    <cellStyle name="Normal 2 3 2 8 2 2 2 8" xfId="18544"/>
    <cellStyle name="Normal 2 3 2 8 2 2 2 9" xfId="18545"/>
    <cellStyle name="Normal 2 3 2 8 2 2 3" xfId="18546"/>
    <cellStyle name="Normal 2 3 2 8 2 2 3 2" xfId="18547"/>
    <cellStyle name="Normal 2 3 2 8 2 2 3 2 2" xfId="18548"/>
    <cellStyle name="Normal 2 3 2 8 2 2 3 2 3" xfId="18549"/>
    <cellStyle name="Normal 2 3 2 8 2 2 3 2 4" xfId="18550"/>
    <cellStyle name="Normal 2 3 2 8 2 2 3 2 5" xfId="18551"/>
    <cellStyle name="Normal 2 3 2 8 2 2 3 2 6" xfId="18552"/>
    <cellStyle name="Normal 2 3 2 8 2 2 3 3" xfId="18553"/>
    <cellStyle name="Normal 2 3 2 8 2 2 3 4" xfId="18554"/>
    <cellStyle name="Normal 2 3 2 8 2 2 3 5" xfId="18555"/>
    <cellStyle name="Normal 2 3 2 8 2 2 3 6" xfId="18556"/>
    <cellStyle name="Normal 2 3 2 8 2 2 4" xfId="18557"/>
    <cellStyle name="Normal 2 3 2 8 2 2 5" xfId="18558"/>
    <cellStyle name="Normal 2 3 2 8 2 2 6" xfId="18559"/>
    <cellStyle name="Normal 2 3 2 8 2 2 7" xfId="18560"/>
    <cellStyle name="Normal 2 3 2 8 2 2 8" xfId="18561"/>
    <cellStyle name="Normal 2 3 2 8 2 2 9" xfId="18562"/>
    <cellStyle name="Normal 2 3 2 8 2 3" xfId="18563"/>
    <cellStyle name="Normal 2 3 2 8 2 4" xfId="18564"/>
    <cellStyle name="Normal 2 3 2 8 2 5" xfId="18565"/>
    <cellStyle name="Normal 2 3 2 8 2 5 2" xfId="18566"/>
    <cellStyle name="Normal 2 3 2 8 2 5 2 2" xfId="18567"/>
    <cellStyle name="Normal 2 3 2 8 2 5 2 3" xfId="18568"/>
    <cellStyle name="Normal 2 3 2 8 2 5 2 4" xfId="18569"/>
    <cellStyle name="Normal 2 3 2 8 2 5 2 5" xfId="18570"/>
    <cellStyle name="Normal 2 3 2 8 2 5 2 6" xfId="18571"/>
    <cellStyle name="Normal 2 3 2 8 2 5 3" xfId="18572"/>
    <cellStyle name="Normal 2 3 2 8 2 5 4" xfId="18573"/>
    <cellStyle name="Normal 2 3 2 8 2 5 5" xfId="18574"/>
    <cellStyle name="Normal 2 3 2 8 2 5 6" xfId="18575"/>
    <cellStyle name="Normal 2 3 2 8 2 6" xfId="18576"/>
    <cellStyle name="Normal 2 3 2 8 2 7" xfId="18577"/>
    <cellStyle name="Normal 2 3 2 8 2 8" xfId="18578"/>
    <cellStyle name="Normal 2 3 2 8 2 9" xfId="18579"/>
    <cellStyle name="Normal 2 3 2 8 3" xfId="18580"/>
    <cellStyle name="Normal 2 3 2 8 3 2" xfId="18581"/>
    <cellStyle name="Normal 2 3 2 8 3 2 2" xfId="18582"/>
    <cellStyle name="Normal 2 3 2 8 3 2 2 2" xfId="18583"/>
    <cellStyle name="Normal 2 3 2 8 3 2 2 2 2" xfId="18584"/>
    <cellStyle name="Normal 2 3 2 8 3 2 2 2 3" xfId="18585"/>
    <cellStyle name="Normal 2 3 2 8 3 2 2 2 4" xfId="18586"/>
    <cellStyle name="Normal 2 3 2 8 3 2 2 2 5" xfId="18587"/>
    <cellStyle name="Normal 2 3 2 8 3 2 2 2 6" xfId="18588"/>
    <cellStyle name="Normal 2 3 2 8 3 2 2 3" xfId="18589"/>
    <cellStyle name="Normal 2 3 2 8 3 2 2 4" xfId="18590"/>
    <cellStyle name="Normal 2 3 2 8 3 2 2 5" xfId="18591"/>
    <cellStyle name="Normal 2 3 2 8 3 2 2 6" xfId="18592"/>
    <cellStyle name="Normal 2 3 2 8 3 2 3" xfId="18593"/>
    <cellStyle name="Normal 2 3 2 8 3 2 4" xfId="18594"/>
    <cellStyle name="Normal 2 3 2 8 3 2 5" xfId="18595"/>
    <cellStyle name="Normal 2 3 2 8 3 2 6" xfId="18596"/>
    <cellStyle name="Normal 2 3 2 8 3 2 7" xfId="18597"/>
    <cellStyle name="Normal 2 3 2 8 3 2 8" xfId="18598"/>
    <cellStyle name="Normal 2 3 2 8 3 2 9" xfId="18599"/>
    <cellStyle name="Normal 2 3 2 8 3 3" xfId="18600"/>
    <cellStyle name="Normal 2 3 2 8 3 3 2" xfId="18601"/>
    <cellStyle name="Normal 2 3 2 8 3 3 2 2" xfId="18602"/>
    <cellStyle name="Normal 2 3 2 8 3 3 2 3" xfId="18603"/>
    <cellStyle name="Normal 2 3 2 8 3 3 2 4" xfId="18604"/>
    <cellStyle name="Normal 2 3 2 8 3 3 2 5" xfId="18605"/>
    <cellStyle name="Normal 2 3 2 8 3 3 2 6" xfId="18606"/>
    <cellStyle name="Normal 2 3 2 8 3 3 3" xfId="18607"/>
    <cellStyle name="Normal 2 3 2 8 3 3 4" xfId="18608"/>
    <cellStyle name="Normal 2 3 2 8 3 3 5" xfId="18609"/>
    <cellStyle name="Normal 2 3 2 8 3 3 6" xfId="18610"/>
    <cellStyle name="Normal 2 3 2 8 3 4" xfId="18611"/>
    <cellStyle name="Normal 2 3 2 8 3 5" xfId="18612"/>
    <cellStyle name="Normal 2 3 2 8 3 6" xfId="18613"/>
    <cellStyle name="Normal 2 3 2 8 3 7" xfId="18614"/>
    <cellStyle name="Normal 2 3 2 8 3 8" xfId="18615"/>
    <cellStyle name="Normal 2 3 2 8 3 9" xfId="18616"/>
    <cellStyle name="Normal 2 3 2 8 4" xfId="18617"/>
    <cellStyle name="Normal 2 3 2 8 5" xfId="18618"/>
    <cellStyle name="Normal 2 3 2 8 5 2" xfId="18619"/>
    <cellStyle name="Normal 2 3 2 8 5 2 2" xfId="18620"/>
    <cellStyle name="Normal 2 3 2 8 5 2 3" xfId="18621"/>
    <cellStyle name="Normal 2 3 2 8 5 2 4" xfId="18622"/>
    <cellStyle name="Normal 2 3 2 8 5 2 5" xfId="18623"/>
    <cellStyle name="Normal 2 3 2 8 5 2 6" xfId="18624"/>
    <cellStyle name="Normal 2 3 2 8 5 3" xfId="18625"/>
    <cellStyle name="Normal 2 3 2 8 5 4" xfId="18626"/>
    <cellStyle name="Normal 2 3 2 8 5 5" xfId="18627"/>
    <cellStyle name="Normal 2 3 2 8 5 6" xfId="18628"/>
    <cellStyle name="Normal 2 3 2 8 6" xfId="18629"/>
    <cellStyle name="Normal 2 3 2 8 7" xfId="18630"/>
    <cellStyle name="Normal 2 3 2 8 8" xfId="18631"/>
    <cellStyle name="Normal 2 3 2 8 9" xfId="18632"/>
    <cellStyle name="Normal 2 3 2 9" xfId="18633"/>
    <cellStyle name="Normal 2 3 2 9 2" xfId="18634"/>
    <cellStyle name="Normal 2 3 2 9 3" xfId="18635"/>
    <cellStyle name="Normal 2 3 2 9 4" xfId="18636"/>
    <cellStyle name="Normal 2 3 2 9 5" xfId="18637"/>
    <cellStyle name="Normal 2 3 2 9 6" xfId="18638"/>
    <cellStyle name="Normal 2 3 20" xfId="18639"/>
    <cellStyle name="Normal 2 3 20 2" xfId="18640"/>
    <cellStyle name="Normal 2 3 21" xfId="18641"/>
    <cellStyle name="Normal 2 3 21 2" xfId="18642"/>
    <cellStyle name="Normal 2 3 22" xfId="18643"/>
    <cellStyle name="Normal 2 3 23" xfId="18644"/>
    <cellStyle name="Normal 2 3 24" xfId="18645"/>
    <cellStyle name="Normal 2 3 25" xfId="18646"/>
    <cellStyle name="Normal 2 3 26" xfId="18647"/>
    <cellStyle name="Normal 2 3 27" xfId="18648"/>
    <cellStyle name="Normal 2 3 28" xfId="18649"/>
    <cellStyle name="Normal 2 3 29" xfId="18650"/>
    <cellStyle name="Normal 2 3 3" xfId="18651"/>
    <cellStyle name="Normal 2 3 3 10" xfId="18652"/>
    <cellStyle name="Normal 2 3 3 11" xfId="18653"/>
    <cellStyle name="Normal 2 3 3 11 2" xfId="18654"/>
    <cellStyle name="Normal 2 3 3 11 2 2" xfId="18655"/>
    <cellStyle name="Normal 2 3 3 11 2 3" xfId="18656"/>
    <cellStyle name="Normal 2 3 3 11 2 4" xfId="18657"/>
    <cellStyle name="Normal 2 3 3 11 2 5" xfId="18658"/>
    <cellStyle name="Normal 2 3 3 11 2 6" xfId="18659"/>
    <cellStyle name="Normal 2 3 3 11 3" xfId="18660"/>
    <cellStyle name="Normal 2 3 3 11 4" xfId="18661"/>
    <cellStyle name="Normal 2 3 3 11 5" xfId="18662"/>
    <cellStyle name="Normal 2 3 3 11 6" xfId="18663"/>
    <cellStyle name="Normal 2 3 3 12" xfId="18664"/>
    <cellStyle name="Normal 2 3 3 13" xfId="18665"/>
    <cellStyle name="Normal 2 3 3 14" xfId="18666"/>
    <cellStyle name="Normal 2 3 3 15" xfId="18667"/>
    <cellStyle name="Normal 2 3 3 16" xfId="18668"/>
    <cellStyle name="Normal 2 3 3 17" xfId="18669"/>
    <cellStyle name="Normal 2 3 3 18" xfId="18670"/>
    <cellStyle name="Normal 2 3 3 19" xfId="18671"/>
    <cellStyle name="Normal 2 3 3 2" xfId="18672"/>
    <cellStyle name="Normal 2 3 3 2 10" xfId="18673"/>
    <cellStyle name="Normal 2 3 3 2 11" xfId="18674"/>
    <cellStyle name="Normal 2 3 3 2 11 2" xfId="18675"/>
    <cellStyle name="Normal 2 3 3 2 11 2 2" xfId="18676"/>
    <cellStyle name="Normal 2 3 3 2 11 2 3" xfId="18677"/>
    <cellStyle name="Normal 2 3 3 2 11 2 4" xfId="18678"/>
    <cellStyle name="Normal 2 3 3 2 11 2 5" xfId="18679"/>
    <cellStyle name="Normal 2 3 3 2 11 2 6" xfId="18680"/>
    <cellStyle name="Normal 2 3 3 2 11 3" xfId="18681"/>
    <cellStyle name="Normal 2 3 3 2 11 4" xfId="18682"/>
    <cellStyle name="Normal 2 3 3 2 11 5" xfId="18683"/>
    <cellStyle name="Normal 2 3 3 2 11 6" xfId="18684"/>
    <cellStyle name="Normal 2 3 3 2 12" xfId="18685"/>
    <cellStyle name="Normal 2 3 3 2 13" xfId="18686"/>
    <cellStyle name="Normal 2 3 3 2 14" xfId="18687"/>
    <cellStyle name="Normal 2 3 3 2 15" xfId="18688"/>
    <cellStyle name="Normal 2 3 3 2 16" xfId="18689"/>
    <cellStyle name="Normal 2 3 3 2 17" xfId="18690"/>
    <cellStyle name="Normal 2 3 3 2 18" xfId="18691"/>
    <cellStyle name="Normal 2 3 3 2 2" xfId="18692"/>
    <cellStyle name="Normal 2 3 3 2 2 10" xfId="18693"/>
    <cellStyle name="Normal 2 3 3 2 2 11" xfId="18694"/>
    <cellStyle name="Normal 2 3 3 2 2 12" xfId="18695"/>
    <cellStyle name="Normal 2 3 3 2 2 13" xfId="18696"/>
    <cellStyle name="Normal 2 3 3 2 2 14" xfId="18697"/>
    <cellStyle name="Normal 2 3 3 2 2 15" xfId="18698"/>
    <cellStyle name="Normal 2 3 3 2 2 2" xfId="18699"/>
    <cellStyle name="Normal 2 3 3 2 2 2 10" xfId="18700"/>
    <cellStyle name="Normal 2 3 3 2 2 2 11" xfId="18701"/>
    <cellStyle name="Normal 2 3 3 2 2 2 12" xfId="18702"/>
    <cellStyle name="Normal 2 3 3 2 2 2 13" xfId="18703"/>
    <cellStyle name="Normal 2 3 3 2 2 2 14" xfId="18704"/>
    <cellStyle name="Normal 2 3 3 2 2 2 15" xfId="18705"/>
    <cellStyle name="Normal 2 3 3 2 2 2 2" xfId="18706"/>
    <cellStyle name="Normal 2 3 3 2 2 2 2 10" xfId="18707"/>
    <cellStyle name="Normal 2 3 3 2 2 2 2 11" xfId="18708"/>
    <cellStyle name="Normal 2 3 3 2 2 2 2 12" xfId="18709"/>
    <cellStyle name="Normal 2 3 3 2 2 2 2 2" xfId="18710"/>
    <cellStyle name="Normal 2 3 3 2 2 2 2 2 10" xfId="18711"/>
    <cellStyle name="Normal 2 3 3 2 2 2 2 2 11" xfId="18712"/>
    <cellStyle name="Normal 2 3 3 2 2 2 2 2 12" xfId="18713"/>
    <cellStyle name="Normal 2 3 3 2 2 2 2 2 2" xfId="18714"/>
    <cellStyle name="Normal 2 3 3 2 2 2 2 2 2 2" xfId="18715"/>
    <cellStyle name="Normal 2 3 3 2 2 2 2 2 2 2 2" xfId="18716"/>
    <cellStyle name="Normal 2 3 3 2 2 2 2 2 2 2 2 2" xfId="18717"/>
    <cellStyle name="Normal 2 3 3 2 2 2 2 2 2 2 2 2 2" xfId="18718"/>
    <cellStyle name="Normal 2 3 3 2 2 2 2 2 2 2 2 2 3" xfId="18719"/>
    <cellStyle name="Normal 2 3 3 2 2 2 2 2 2 2 2 2 4" xfId="18720"/>
    <cellStyle name="Normal 2 3 3 2 2 2 2 2 2 2 2 2 5" xfId="18721"/>
    <cellStyle name="Normal 2 3 3 2 2 2 2 2 2 2 2 2 6" xfId="18722"/>
    <cellStyle name="Normal 2 3 3 2 2 2 2 2 2 2 2 3" xfId="18723"/>
    <cellStyle name="Normal 2 3 3 2 2 2 2 2 2 2 2 4" xfId="18724"/>
    <cellStyle name="Normal 2 3 3 2 2 2 2 2 2 2 2 5" xfId="18725"/>
    <cellStyle name="Normal 2 3 3 2 2 2 2 2 2 2 2 6" xfId="18726"/>
    <cellStyle name="Normal 2 3 3 2 2 2 2 2 2 2 3" xfId="18727"/>
    <cellStyle name="Normal 2 3 3 2 2 2 2 2 2 2 4" xfId="18728"/>
    <cellStyle name="Normal 2 3 3 2 2 2 2 2 2 2 5" xfId="18729"/>
    <cellStyle name="Normal 2 3 3 2 2 2 2 2 2 2 6" xfId="18730"/>
    <cellStyle name="Normal 2 3 3 2 2 2 2 2 2 2 7" xfId="18731"/>
    <cellStyle name="Normal 2 3 3 2 2 2 2 2 2 2 8" xfId="18732"/>
    <cellStyle name="Normal 2 3 3 2 2 2 2 2 2 2 9" xfId="18733"/>
    <cellStyle name="Normal 2 3 3 2 2 2 2 2 2 3" xfId="18734"/>
    <cellStyle name="Normal 2 3 3 2 2 2 2 2 2 3 2" xfId="18735"/>
    <cellStyle name="Normal 2 3 3 2 2 2 2 2 2 3 2 2" xfId="18736"/>
    <cellStyle name="Normal 2 3 3 2 2 2 2 2 2 3 2 3" xfId="18737"/>
    <cellStyle name="Normal 2 3 3 2 2 2 2 2 2 3 2 4" xfId="18738"/>
    <cellStyle name="Normal 2 3 3 2 2 2 2 2 2 3 2 5" xfId="18739"/>
    <cellStyle name="Normal 2 3 3 2 2 2 2 2 2 3 2 6" xfId="18740"/>
    <cellStyle name="Normal 2 3 3 2 2 2 2 2 2 3 3" xfId="18741"/>
    <cellStyle name="Normal 2 3 3 2 2 2 2 2 2 3 4" xfId="18742"/>
    <cellStyle name="Normal 2 3 3 2 2 2 2 2 2 3 5" xfId="18743"/>
    <cellStyle name="Normal 2 3 3 2 2 2 2 2 2 3 6" xfId="18744"/>
    <cellStyle name="Normal 2 3 3 2 2 2 2 2 2 4" xfId="18745"/>
    <cellStyle name="Normal 2 3 3 2 2 2 2 2 2 5" xfId="18746"/>
    <cellStyle name="Normal 2 3 3 2 2 2 2 2 2 6" xfId="18747"/>
    <cellStyle name="Normal 2 3 3 2 2 2 2 2 2 7" xfId="18748"/>
    <cellStyle name="Normal 2 3 3 2 2 2 2 2 2 8" xfId="18749"/>
    <cellStyle name="Normal 2 3 3 2 2 2 2 2 2 9" xfId="18750"/>
    <cellStyle name="Normal 2 3 3 2 2 2 2 2 3" xfId="18751"/>
    <cellStyle name="Normal 2 3 3 2 2 2 2 2 4" xfId="18752"/>
    <cellStyle name="Normal 2 3 3 2 2 2 2 2 5" xfId="18753"/>
    <cellStyle name="Normal 2 3 3 2 2 2 2 2 5 2" xfId="18754"/>
    <cellStyle name="Normal 2 3 3 2 2 2 2 2 5 2 2" xfId="18755"/>
    <cellStyle name="Normal 2 3 3 2 2 2 2 2 5 2 3" xfId="18756"/>
    <cellStyle name="Normal 2 3 3 2 2 2 2 2 5 2 4" xfId="18757"/>
    <cellStyle name="Normal 2 3 3 2 2 2 2 2 5 2 5" xfId="18758"/>
    <cellStyle name="Normal 2 3 3 2 2 2 2 2 5 2 6" xfId="18759"/>
    <cellStyle name="Normal 2 3 3 2 2 2 2 2 5 3" xfId="18760"/>
    <cellStyle name="Normal 2 3 3 2 2 2 2 2 5 4" xfId="18761"/>
    <cellStyle name="Normal 2 3 3 2 2 2 2 2 5 5" xfId="18762"/>
    <cellStyle name="Normal 2 3 3 2 2 2 2 2 5 6" xfId="18763"/>
    <cellStyle name="Normal 2 3 3 2 2 2 2 2 6" xfId="18764"/>
    <cellStyle name="Normal 2 3 3 2 2 2 2 2 7" xfId="18765"/>
    <cellStyle name="Normal 2 3 3 2 2 2 2 2 8" xfId="18766"/>
    <cellStyle name="Normal 2 3 3 2 2 2 2 2 9" xfId="18767"/>
    <cellStyle name="Normal 2 3 3 2 2 2 2 3" xfId="18768"/>
    <cellStyle name="Normal 2 3 3 2 2 2 2 3 2" xfId="18769"/>
    <cellStyle name="Normal 2 3 3 2 2 2 2 3 2 2" xfId="18770"/>
    <cellStyle name="Normal 2 3 3 2 2 2 2 3 2 2 2" xfId="18771"/>
    <cellStyle name="Normal 2 3 3 2 2 2 2 3 2 2 2 2" xfId="18772"/>
    <cellStyle name="Normal 2 3 3 2 2 2 2 3 2 2 2 3" xfId="18773"/>
    <cellStyle name="Normal 2 3 3 2 2 2 2 3 2 2 2 4" xfId="18774"/>
    <cellStyle name="Normal 2 3 3 2 2 2 2 3 2 2 2 5" xfId="18775"/>
    <cellStyle name="Normal 2 3 3 2 2 2 2 3 2 2 2 6" xfId="18776"/>
    <cellStyle name="Normal 2 3 3 2 2 2 2 3 2 2 3" xfId="18777"/>
    <cellStyle name="Normal 2 3 3 2 2 2 2 3 2 2 4" xfId="18778"/>
    <cellStyle name="Normal 2 3 3 2 2 2 2 3 2 2 5" xfId="18779"/>
    <cellStyle name="Normal 2 3 3 2 2 2 2 3 2 2 6" xfId="18780"/>
    <cellStyle name="Normal 2 3 3 2 2 2 2 3 2 3" xfId="18781"/>
    <cellStyle name="Normal 2 3 3 2 2 2 2 3 2 4" xfId="18782"/>
    <cellStyle name="Normal 2 3 3 2 2 2 2 3 2 5" xfId="18783"/>
    <cellStyle name="Normal 2 3 3 2 2 2 2 3 2 6" xfId="18784"/>
    <cellStyle name="Normal 2 3 3 2 2 2 2 3 2 7" xfId="18785"/>
    <cellStyle name="Normal 2 3 3 2 2 2 2 3 2 8" xfId="18786"/>
    <cellStyle name="Normal 2 3 3 2 2 2 2 3 2 9" xfId="18787"/>
    <cellStyle name="Normal 2 3 3 2 2 2 2 3 3" xfId="18788"/>
    <cellStyle name="Normal 2 3 3 2 2 2 2 3 3 2" xfId="18789"/>
    <cellStyle name="Normal 2 3 3 2 2 2 2 3 3 2 2" xfId="18790"/>
    <cellStyle name="Normal 2 3 3 2 2 2 2 3 3 2 3" xfId="18791"/>
    <cellStyle name="Normal 2 3 3 2 2 2 2 3 3 2 4" xfId="18792"/>
    <cellStyle name="Normal 2 3 3 2 2 2 2 3 3 2 5" xfId="18793"/>
    <cellStyle name="Normal 2 3 3 2 2 2 2 3 3 2 6" xfId="18794"/>
    <cellStyle name="Normal 2 3 3 2 2 2 2 3 3 3" xfId="18795"/>
    <cellStyle name="Normal 2 3 3 2 2 2 2 3 3 4" xfId="18796"/>
    <cellStyle name="Normal 2 3 3 2 2 2 2 3 3 5" xfId="18797"/>
    <cellStyle name="Normal 2 3 3 2 2 2 2 3 3 6" xfId="18798"/>
    <cellStyle name="Normal 2 3 3 2 2 2 2 3 4" xfId="18799"/>
    <cellStyle name="Normal 2 3 3 2 2 2 2 3 5" xfId="18800"/>
    <cellStyle name="Normal 2 3 3 2 2 2 2 3 6" xfId="18801"/>
    <cellStyle name="Normal 2 3 3 2 2 2 2 3 7" xfId="18802"/>
    <cellStyle name="Normal 2 3 3 2 2 2 2 3 8" xfId="18803"/>
    <cellStyle name="Normal 2 3 3 2 2 2 2 3 9" xfId="18804"/>
    <cellStyle name="Normal 2 3 3 2 2 2 2 4" xfId="18805"/>
    <cellStyle name="Normal 2 3 3 2 2 2 2 5" xfId="18806"/>
    <cellStyle name="Normal 2 3 3 2 2 2 2 5 2" xfId="18807"/>
    <cellStyle name="Normal 2 3 3 2 2 2 2 5 2 2" xfId="18808"/>
    <cellStyle name="Normal 2 3 3 2 2 2 2 5 2 3" xfId="18809"/>
    <cellStyle name="Normal 2 3 3 2 2 2 2 5 2 4" xfId="18810"/>
    <cellStyle name="Normal 2 3 3 2 2 2 2 5 2 5" xfId="18811"/>
    <cellStyle name="Normal 2 3 3 2 2 2 2 5 2 6" xfId="18812"/>
    <cellStyle name="Normal 2 3 3 2 2 2 2 5 3" xfId="18813"/>
    <cellStyle name="Normal 2 3 3 2 2 2 2 5 4" xfId="18814"/>
    <cellStyle name="Normal 2 3 3 2 2 2 2 5 5" xfId="18815"/>
    <cellStyle name="Normal 2 3 3 2 2 2 2 5 6" xfId="18816"/>
    <cellStyle name="Normal 2 3 3 2 2 2 2 6" xfId="18817"/>
    <cellStyle name="Normal 2 3 3 2 2 2 2 7" xfId="18818"/>
    <cellStyle name="Normal 2 3 3 2 2 2 2 8" xfId="18819"/>
    <cellStyle name="Normal 2 3 3 2 2 2 2 9" xfId="18820"/>
    <cellStyle name="Normal 2 3 3 2 2 2 3" xfId="18821"/>
    <cellStyle name="Normal 2 3 3 2 2 2 4" xfId="18822"/>
    <cellStyle name="Normal 2 3 3 2 2 2 5" xfId="18823"/>
    <cellStyle name="Normal 2 3 3 2 2 2 5 2" xfId="18824"/>
    <cellStyle name="Normal 2 3 3 2 2 2 5 2 2" xfId="18825"/>
    <cellStyle name="Normal 2 3 3 2 2 2 5 2 2 2" xfId="18826"/>
    <cellStyle name="Normal 2 3 3 2 2 2 5 2 2 2 2" xfId="18827"/>
    <cellStyle name="Normal 2 3 3 2 2 2 5 2 2 2 3" xfId="18828"/>
    <cellStyle name="Normal 2 3 3 2 2 2 5 2 2 2 4" xfId="18829"/>
    <cellStyle name="Normal 2 3 3 2 2 2 5 2 2 2 5" xfId="18830"/>
    <cellStyle name="Normal 2 3 3 2 2 2 5 2 2 2 6" xfId="18831"/>
    <cellStyle name="Normal 2 3 3 2 2 2 5 2 2 3" xfId="18832"/>
    <cellStyle name="Normal 2 3 3 2 2 2 5 2 2 4" xfId="18833"/>
    <cellStyle name="Normal 2 3 3 2 2 2 5 2 2 5" xfId="18834"/>
    <cellStyle name="Normal 2 3 3 2 2 2 5 2 2 6" xfId="18835"/>
    <cellStyle name="Normal 2 3 3 2 2 2 5 2 3" xfId="18836"/>
    <cellStyle name="Normal 2 3 3 2 2 2 5 2 4" xfId="18837"/>
    <cellStyle name="Normal 2 3 3 2 2 2 5 2 5" xfId="18838"/>
    <cellStyle name="Normal 2 3 3 2 2 2 5 2 6" xfId="18839"/>
    <cellStyle name="Normal 2 3 3 2 2 2 5 2 7" xfId="18840"/>
    <cellStyle name="Normal 2 3 3 2 2 2 5 2 8" xfId="18841"/>
    <cellStyle name="Normal 2 3 3 2 2 2 5 2 9" xfId="18842"/>
    <cellStyle name="Normal 2 3 3 2 2 2 5 3" xfId="18843"/>
    <cellStyle name="Normal 2 3 3 2 2 2 5 3 2" xfId="18844"/>
    <cellStyle name="Normal 2 3 3 2 2 2 5 3 2 2" xfId="18845"/>
    <cellStyle name="Normal 2 3 3 2 2 2 5 3 2 3" xfId="18846"/>
    <cellStyle name="Normal 2 3 3 2 2 2 5 3 2 4" xfId="18847"/>
    <cellStyle name="Normal 2 3 3 2 2 2 5 3 2 5" xfId="18848"/>
    <cellStyle name="Normal 2 3 3 2 2 2 5 3 2 6" xfId="18849"/>
    <cellStyle name="Normal 2 3 3 2 2 2 5 3 3" xfId="18850"/>
    <cellStyle name="Normal 2 3 3 2 2 2 5 3 4" xfId="18851"/>
    <cellStyle name="Normal 2 3 3 2 2 2 5 3 5" xfId="18852"/>
    <cellStyle name="Normal 2 3 3 2 2 2 5 3 6" xfId="18853"/>
    <cellStyle name="Normal 2 3 3 2 2 2 5 4" xfId="18854"/>
    <cellStyle name="Normal 2 3 3 2 2 2 5 5" xfId="18855"/>
    <cellStyle name="Normal 2 3 3 2 2 2 5 6" xfId="18856"/>
    <cellStyle name="Normal 2 3 3 2 2 2 5 7" xfId="18857"/>
    <cellStyle name="Normal 2 3 3 2 2 2 5 8" xfId="18858"/>
    <cellStyle name="Normal 2 3 3 2 2 2 5 9" xfId="18859"/>
    <cellStyle name="Normal 2 3 3 2 2 2 6" xfId="18860"/>
    <cellStyle name="Normal 2 3 3 2 2 2 7" xfId="18861"/>
    <cellStyle name="Normal 2 3 3 2 2 2 8" xfId="18862"/>
    <cellStyle name="Normal 2 3 3 2 2 2 8 2" xfId="18863"/>
    <cellStyle name="Normal 2 3 3 2 2 2 8 2 2" xfId="18864"/>
    <cellStyle name="Normal 2 3 3 2 2 2 8 2 3" xfId="18865"/>
    <cellStyle name="Normal 2 3 3 2 2 2 8 2 4" xfId="18866"/>
    <cellStyle name="Normal 2 3 3 2 2 2 8 2 5" xfId="18867"/>
    <cellStyle name="Normal 2 3 3 2 2 2 8 2 6" xfId="18868"/>
    <cellStyle name="Normal 2 3 3 2 2 2 8 3" xfId="18869"/>
    <cellStyle name="Normal 2 3 3 2 2 2 8 4" xfId="18870"/>
    <cellStyle name="Normal 2 3 3 2 2 2 8 5" xfId="18871"/>
    <cellStyle name="Normal 2 3 3 2 2 2 8 6" xfId="18872"/>
    <cellStyle name="Normal 2 3 3 2 2 2 9" xfId="18873"/>
    <cellStyle name="Normal 2 3 3 2 2 3" xfId="18874"/>
    <cellStyle name="Normal 2 3 3 2 2 3 10" xfId="18875"/>
    <cellStyle name="Normal 2 3 3 2 2 3 11" xfId="18876"/>
    <cellStyle name="Normal 2 3 3 2 2 3 12" xfId="18877"/>
    <cellStyle name="Normal 2 3 3 2 2 3 2" xfId="18878"/>
    <cellStyle name="Normal 2 3 3 2 2 3 2 10" xfId="18879"/>
    <cellStyle name="Normal 2 3 3 2 2 3 2 11" xfId="18880"/>
    <cellStyle name="Normal 2 3 3 2 2 3 2 12" xfId="18881"/>
    <cellStyle name="Normal 2 3 3 2 2 3 2 2" xfId="18882"/>
    <cellStyle name="Normal 2 3 3 2 2 3 2 2 2" xfId="18883"/>
    <cellStyle name="Normal 2 3 3 2 2 3 2 2 2 2" xfId="18884"/>
    <cellStyle name="Normal 2 3 3 2 2 3 2 2 2 2 2" xfId="18885"/>
    <cellStyle name="Normal 2 3 3 2 2 3 2 2 2 2 2 2" xfId="18886"/>
    <cellStyle name="Normal 2 3 3 2 2 3 2 2 2 2 2 3" xfId="18887"/>
    <cellStyle name="Normal 2 3 3 2 2 3 2 2 2 2 2 4" xfId="18888"/>
    <cellStyle name="Normal 2 3 3 2 2 3 2 2 2 2 2 5" xfId="18889"/>
    <cellStyle name="Normal 2 3 3 2 2 3 2 2 2 2 2 6" xfId="18890"/>
    <cellStyle name="Normal 2 3 3 2 2 3 2 2 2 2 3" xfId="18891"/>
    <cellStyle name="Normal 2 3 3 2 2 3 2 2 2 2 4" xfId="18892"/>
    <cellStyle name="Normal 2 3 3 2 2 3 2 2 2 2 5" xfId="18893"/>
    <cellStyle name="Normal 2 3 3 2 2 3 2 2 2 2 6" xfId="18894"/>
    <cellStyle name="Normal 2 3 3 2 2 3 2 2 2 3" xfId="18895"/>
    <cellStyle name="Normal 2 3 3 2 2 3 2 2 2 4" xfId="18896"/>
    <cellStyle name="Normal 2 3 3 2 2 3 2 2 2 5" xfId="18897"/>
    <cellStyle name="Normal 2 3 3 2 2 3 2 2 2 6" xfId="18898"/>
    <cellStyle name="Normal 2 3 3 2 2 3 2 2 2 7" xfId="18899"/>
    <cellStyle name="Normal 2 3 3 2 2 3 2 2 2 8" xfId="18900"/>
    <cellStyle name="Normal 2 3 3 2 2 3 2 2 2 9" xfId="18901"/>
    <cellStyle name="Normal 2 3 3 2 2 3 2 2 3" xfId="18902"/>
    <cellStyle name="Normal 2 3 3 2 2 3 2 2 3 2" xfId="18903"/>
    <cellStyle name="Normal 2 3 3 2 2 3 2 2 3 2 2" xfId="18904"/>
    <cellStyle name="Normal 2 3 3 2 2 3 2 2 3 2 3" xfId="18905"/>
    <cellStyle name="Normal 2 3 3 2 2 3 2 2 3 2 4" xfId="18906"/>
    <cellStyle name="Normal 2 3 3 2 2 3 2 2 3 2 5" xfId="18907"/>
    <cellStyle name="Normal 2 3 3 2 2 3 2 2 3 2 6" xfId="18908"/>
    <cellStyle name="Normal 2 3 3 2 2 3 2 2 3 3" xfId="18909"/>
    <cellStyle name="Normal 2 3 3 2 2 3 2 2 3 4" xfId="18910"/>
    <cellStyle name="Normal 2 3 3 2 2 3 2 2 3 5" xfId="18911"/>
    <cellStyle name="Normal 2 3 3 2 2 3 2 2 3 6" xfId="18912"/>
    <cellStyle name="Normal 2 3 3 2 2 3 2 2 4" xfId="18913"/>
    <cellStyle name="Normal 2 3 3 2 2 3 2 2 5" xfId="18914"/>
    <cellStyle name="Normal 2 3 3 2 2 3 2 2 6" xfId="18915"/>
    <cellStyle name="Normal 2 3 3 2 2 3 2 2 7" xfId="18916"/>
    <cellStyle name="Normal 2 3 3 2 2 3 2 2 8" xfId="18917"/>
    <cellStyle name="Normal 2 3 3 2 2 3 2 2 9" xfId="18918"/>
    <cellStyle name="Normal 2 3 3 2 2 3 2 3" xfId="18919"/>
    <cellStyle name="Normal 2 3 3 2 2 3 2 4" xfId="18920"/>
    <cellStyle name="Normal 2 3 3 2 2 3 2 5" xfId="18921"/>
    <cellStyle name="Normal 2 3 3 2 2 3 2 5 2" xfId="18922"/>
    <cellStyle name="Normal 2 3 3 2 2 3 2 5 2 2" xfId="18923"/>
    <cellStyle name="Normal 2 3 3 2 2 3 2 5 2 3" xfId="18924"/>
    <cellStyle name="Normal 2 3 3 2 2 3 2 5 2 4" xfId="18925"/>
    <cellStyle name="Normal 2 3 3 2 2 3 2 5 2 5" xfId="18926"/>
    <cellStyle name="Normal 2 3 3 2 2 3 2 5 2 6" xfId="18927"/>
    <cellStyle name="Normal 2 3 3 2 2 3 2 5 3" xfId="18928"/>
    <cellStyle name="Normal 2 3 3 2 2 3 2 5 4" xfId="18929"/>
    <cellStyle name="Normal 2 3 3 2 2 3 2 5 5" xfId="18930"/>
    <cellStyle name="Normal 2 3 3 2 2 3 2 5 6" xfId="18931"/>
    <cellStyle name="Normal 2 3 3 2 2 3 2 6" xfId="18932"/>
    <cellStyle name="Normal 2 3 3 2 2 3 2 7" xfId="18933"/>
    <cellStyle name="Normal 2 3 3 2 2 3 2 8" xfId="18934"/>
    <cellStyle name="Normal 2 3 3 2 2 3 2 9" xfId="18935"/>
    <cellStyle name="Normal 2 3 3 2 2 3 3" xfId="18936"/>
    <cellStyle name="Normal 2 3 3 2 2 3 3 2" xfId="18937"/>
    <cellStyle name="Normal 2 3 3 2 2 3 3 2 2" xfId="18938"/>
    <cellStyle name="Normal 2 3 3 2 2 3 3 2 2 2" xfId="18939"/>
    <cellStyle name="Normal 2 3 3 2 2 3 3 2 2 2 2" xfId="18940"/>
    <cellStyle name="Normal 2 3 3 2 2 3 3 2 2 2 3" xfId="18941"/>
    <cellStyle name="Normal 2 3 3 2 2 3 3 2 2 2 4" xfId="18942"/>
    <cellStyle name="Normal 2 3 3 2 2 3 3 2 2 2 5" xfId="18943"/>
    <cellStyle name="Normal 2 3 3 2 2 3 3 2 2 2 6" xfId="18944"/>
    <cellStyle name="Normal 2 3 3 2 2 3 3 2 2 3" xfId="18945"/>
    <cellStyle name="Normal 2 3 3 2 2 3 3 2 2 4" xfId="18946"/>
    <cellStyle name="Normal 2 3 3 2 2 3 3 2 2 5" xfId="18947"/>
    <cellStyle name="Normal 2 3 3 2 2 3 3 2 2 6" xfId="18948"/>
    <cellStyle name="Normal 2 3 3 2 2 3 3 2 3" xfId="18949"/>
    <cellStyle name="Normal 2 3 3 2 2 3 3 2 4" xfId="18950"/>
    <cellStyle name="Normal 2 3 3 2 2 3 3 2 5" xfId="18951"/>
    <cellStyle name="Normal 2 3 3 2 2 3 3 2 6" xfId="18952"/>
    <cellStyle name="Normal 2 3 3 2 2 3 3 2 7" xfId="18953"/>
    <cellStyle name="Normal 2 3 3 2 2 3 3 2 8" xfId="18954"/>
    <cellStyle name="Normal 2 3 3 2 2 3 3 2 9" xfId="18955"/>
    <cellStyle name="Normal 2 3 3 2 2 3 3 3" xfId="18956"/>
    <cellStyle name="Normal 2 3 3 2 2 3 3 3 2" xfId="18957"/>
    <cellStyle name="Normal 2 3 3 2 2 3 3 3 2 2" xfId="18958"/>
    <cellStyle name="Normal 2 3 3 2 2 3 3 3 2 3" xfId="18959"/>
    <cellStyle name="Normal 2 3 3 2 2 3 3 3 2 4" xfId="18960"/>
    <cellStyle name="Normal 2 3 3 2 2 3 3 3 2 5" xfId="18961"/>
    <cellStyle name="Normal 2 3 3 2 2 3 3 3 2 6" xfId="18962"/>
    <cellStyle name="Normal 2 3 3 2 2 3 3 3 3" xfId="18963"/>
    <cellStyle name="Normal 2 3 3 2 2 3 3 3 4" xfId="18964"/>
    <cellStyle name="Normal 2 3 3 2 2 3 3 3 5" xfId="18965"/>
    <cellStyle name="Normal 2 3 3 2 2 3 3 3 6" xfId="18966"/>
    <cellStyle name="Normal 2 3 3 2 2 3 3 4" xfId="18967"/>
    <cellStyle name="Normal 2 3 3 2 2 3 3 5" xfId="18968"/>
    <cellStyle name="Normal 2 3 3 2 2 3 3 6" xfId="18969"/>
    <cellStyle name="Normal 2 3 3 2 2 3 3 7" xfId="18970"/>
    <cellStyle name="Normal 2 3 3 2 2 3 3 8" xfId="18971"/>
    <cellStyle name="Normal 2 3 3 2 2 3 3 9" xfId="18972"/>
    <cellStyle name="Normal 2 3 3 2 2 3 4" xfId="18973"/>
    <cellStyle name="Normal 2 3 3 2 2 3 5" xfId="18974"/>
    <cellStyle name="Normal 2 3 3 2 2 3 5 2" xfId="18975"/>
    <cellStyle name="Normal 2 3 3 2 2 3 5 2 2" xfId="18976"/>
    <cellStyle name="Normal 2 3 3 2 2 3 5 2 3" xfId="18977"/>
    <cellStyle name="Normal 2 3 3 2 2 3 5 2 4" xfId="18978"/>
    <cellStyle name="Normal 2 3 3 2 2 3 5 2 5" xfId="18979"/>
    <cellStyle name="Normal 2 3 3 2 2 3 5 2 6" xfId="18980"/>
    <cellStyle name="Normal 2 3 3 2 2 3 5 3" xfId="18981"/>
    <cellStyle name="Normal 2 3 3 2 2 3 5 4" xfId="18982"/>
    <cellStyle name="Normal 2 3 3 2 2 3 5 5" xfId="18983"/>
    <cellStyle name="Normal 2 3 3 2 2 3 5 6" xfId="18984"/>
    <cellStyle name="Normal 2 3 3 2 2 3 6" xfId="18985"/>
    <cellStyle name="Normal 2 3 3 2 2 3 7" xfId="18986"/>
    <cellStyle name="Normal 2 3 3 2 2 3 8" xfId="18987"/>
    <cellStyle name="Normal 2 3 3 2 2 3 9" xfId="18988"/>
    <cellStyle name="Normal 2 3 3 2 2 4" xfId="18989"/>
    <cellStyle name="Normal 2 3 3 2 2 5" xfId="18990"/>
    <cellStyle name="Normal 2 3 3 2 2 5 2" xfId="18991"/>
    <cellStyle name="Normal 2 3 3 2 2 5 2 2" xfId="18992"/>
    <cellStyle name="Normal 2 3 3 2 2 5 2 2 2" xfId="18993"/>
    <cellStyle name="Normal 2 3 3 2 2 5 2 2 2 2" xfId="18994"/>
    <cellStyle name="Normal 2 3 3 2 2 5 2 2 2 3" xfId="18995"/>
    <cellStyle name="Normal 2 3 3 2 2 5 2 2 2 4" xfId="18996"/>
    <cellStyle name="Normal 2 3 3 2 2 5 2 2 2 5" xfId="18997"/>
    <cellStyle name="Normal 2 3 3 2 2 5 2 2 2 6" xfId="18998"/>
    <cellStyle name="Normal 2 3 3 2 2 5 2 2 3" xfId="18999"/>
    <cellStyle name="Normal 2 3 3 2 2 5 2 2 4" xfId="19000"/>
    <cellStyle name="Normal 2 3 3 2 2 5 2 2 5" xfId="19001"/>
    <cellStyle name="Normal 2 3 3 2 2 5 2 2 6" xfId="19002"/>
    <cellStyle name="Normal 2 3 3 2 2 5 2 3" xfId="19003"/>
    <cellStyle name="Normal 2 3 3 2 2 5 2 4" xfId="19004"/>
    <cellStyle name="Normal 2 3 3 2 2 5 2 5" xfId="19005"/>
    <cellStyle name="Normal 2 3 3 2 2 5 2 6" xfId="19006"/>
    <cellStyle name="Normal 2 3 3 2 2 5 2 7" xfId="19007"/>
    <cellStyle name="Normal 2 3 3 2 2 5 2 8" xfId="19008"/>
    <cellStyle name="Normal 2 3 3 2 2 5 2 9" xfId="19009"/>
    <cellStyle name="Normal 2 3 3 2 2 5 3" xfId="19010"/>
    <cellStyle name="Normal 2 3 3 2 2 5 3 2" xfId="19011"/>
    <cellStyle name="Normal 2 3 3 2 2 5 3 2 2" xfId="19012"/>
    <cellStyle name="Normal 2 3 3 2 2 5 3 2 3" xfId="19013"/>
    <cellStyle name="Normal 2 3 3 2 2 5 3 2 4" xfId="19014"/>
    <cellStyle name="Normal 2 3 3 2 2 5 3 2 5" xfId="19015"/>
    <cellStyle name="Normal 2 3 3 2 2 5 3 2 6" xfId="19016"/>
    <cellStyle name="Normal 2 3 3 2 2 5 3 3" xfId="19017"/>
    <cellStyle name="Normal 2 3 3 2 2 5 3 4" xfId="19018"/>
    <cellStyle name="Normal 2 3 3 2 2 5 3 5" xfId="19019"/>
    <cellStyle name="Normal 2 3 3 2 2 5 3 6" xfId="19020"/>
    <cellStyle name="Normal 2 3 3 2 2 5 4" xfId="19021"/>
    <cellStyle name="Normal 2 3 3 2 2 5 5" xfId="19022"/>
    <cellStyle name="Normal 2 3 3 2 2 5 6" xfId="19023"/>
    <cellStyle name="Normal 2 3 3 2 2 5 7" xfId="19024"/>
    <cellStyle name="Normal 2 3 3 2 2 5 8" xfId="19025"/>
    <cellStyle name="Normal 2 3 3 2 2 5 9" xfId="19026"/>
    <cellStyle name="Normal 2 3 3 2 2 6" xfId="19027"/>
    <cellStyle name="Normal 2 3 3 2 2 7" xfId="19028"/>
    <cellStyle name="Normal 2 3 3 2 2 8" xfId="19029"/>
    <cellStyle name="Normal 2 3 3 2 2 8 2" xfId="19030"/>
    <cellStyle name="Normal 2 3 3 2 2 8 2 2" xfId="19031"/>
    <cellStyle name="Normal 2 3 3 2 2 8 2 3" xfId="19032"/>
    <cellStyle name="Normal 2 3 3 2 2 8 2 4" xfId="19033"/>
    <cellStyle name="Normal 2 3 3 2 2 8 2 5" xfId="19034"/>
    <cellStyle name="Normal 2 3 3 2 2 8 2 6" xfId="19035"/>
    <cellStyle name="Normal 2 3 3 2 2 8 3" xfId="19036"/>
    <cellStyle name="Normal 2 3 3 2 2 8 4" xfId="19037"/>
    <cellStyle name="Normal 2 3 3 2 2 8 5" xfId="19038"/>
    <cellStyle name="Normal 2 3 3 2 2 8 6" xfId="19039"/>
    <cellStyle name="Normal 2 3 3 2 2 9" xfId="19040"/>
    <cellStyle name="Normal 2 3 3 2 3" xfId="19041"/>
    <cellStyle name="Normal 2 3 3 2 4" xfId="19042"/>
    <cellStyle name="Normal 2 3 3 2 5" xfId="19043"/>
    <cellStyle name="Normal 2 3 3 2 5 10" xfId="19044"/>
    <cellStyle name="Normal 2 3 3 2 5 11" xfId="19045"/>
    <cellStyle name="Normal 2 3 3 2 5 12" xfId="19046"/>
    <cellStyle name="Normal 2 3 3 2 5 2" xfId="19047"/>
    <cellStyle name="Normal 2 3 3 2 5 2 10" xfId="19048"/>
    <cellStyle name="Normal 2 3 3 2 5 2 11" xfId="19049"/>
    <cellStyle name="Normal 2 3 3 2 5 2 12" xfId="19050"/>
    <cellStyle name="Normal 2 3 3 2 5 2 2" xfId="19051"/>
    <cellStyle name="Normal 2 3 3 2 5 2 2 2" xfId="19052"/>
    <cellStyle name="Normal 2 3 3 2 5 2 2 2 2" xfId="19053"/>
    <cellStyle name="Normal 2 3 3 2 5 2 2 2 2 2" xfId="19054"/>
    <cellStyle name="Normal 2 3 3 2 5 2 2 2 2 2 2" xfId="19055"/>
    <cellStyle name="Normal 2 3 3 2 5 2 2 2 2 2 3" xfId="19056"/>
    <cellStyle name="Normal 2 3 3 2 5 2 2 2 2 2 4" xfId="19057"/>
    <cellStyle name="Normal 2 3 3 2 5 2 2 2 2 2 5" xfId="19058"/>
    <cellStyle name="Normal 2 3 3 2 5 2 2 2 2 2 6" xfId="19059"/>
    <cellStyle name="Normal 2 3 3 2 5 2 2 2 2 3" xfId="19060"/>
    <cellStyle name="Normal 2 3 3 2 5 2 2 2 2 4" xfId="19061"/>
    <cellStyle name="Normal 2 3 3 2 5 2 2 2 2 5" xfId="19062"/>
    <cellStyle name="Normal 2 3 3 2 5 2 2 2 2 6" xfId="19063"/>
    <cellStyle name="Normal 2 3 3 2 5 2 2 2 3" xfId="19064"/>
    <cellStyle name="Normal 2 3 3 2 5 2 2 2 4" xfId="19065"/>
    <cellStyle name="Normal 2 3 3 2 5 2 2 2 5" xfId="19066"/>
    <cellStyle name="Normal 2 3 3 2 5 2 2 2 6" xfId="19067"/>
    <cellStyle name="Normal 2 3 3 2 5 2 2 2 7" xfId="19068"/>
    <cellStyle name="Normal 2 3 3 2 5 2 2 2 8" xfId="19069"/>
    <cellStyle name="Normal 2 3 3 2 5 2 2 2 9" xfId="19070"/>
    <cellStyle name="Normal 2 3 3 2 5 2 2 3" xfId="19071"/>
    <cellStyle name="Normal 2 3 3 2 5 2 2 3 2" xfId="19072"/>
    <cellStyle name="Normal 2 3 3 2 5 2 2 3 2 2" xfId="19073"/>
    <cellStyle name="Normal 2 3 3 2 5 2 2 3 2 3" xfId="19074"/>
    <cellStyle name="Normal 2 3 3 2 5 2 2 3 2 4" xfId="19075"/>
    <cellStyle name="Normal 2 3 3 2 5 2 2 3 2 5" xfId="19076"/>
    <cellStyle name="Normal 2 3 3 2 5 2 2 3 2 6" xfId="19077"/>
    <cellStyle name="Normal 2 3 3 2 5 2 2 3 3" xfId="19078"/>
    <cellStyle name="Normal 2 3 3 2 5 2 2 3 4" xfId="19079"/>
    <cellStyle name="Normal 2 3 3 2 5 2 2 3 5" xfId="19080"/>
    <cellStyle name="Normal 2 3 3 2 5 2 2 3 6" xfId="19081"/>
    <cellStyle name="Normal 2 3 3 2 5 2 2 4" xfId="19082"/>
    <cellStyle name="Normal 2 3 3 2 5 2 2 5" xfId="19083"/>
    <cellStyle name="Normal 2 3 3 2 5 2 2 6" xfId="19084"/>
    <cellStyle name="Normal 2 3 3 2 5 2 2 7" xfId="19085"/>
    <cellStyle name="Normal 2 3 3 2 5 2 2 8" xfId="19086"/>
    <cellStyle name="Normal 2 3 3 2 5 2 2 9" xfId="19087"/>
    <cellStyle name="Normal 2 3 3 2 5 2 3" xfId="19088"/>
    <cellStyle name="Normal 2 3 3 2 5 2 4" xfId="19089"/>
    <cellStyle name="Normal 2 3 3 2 5 2 5" xfId="19090"/>
    <cellStyle name="Normal 2 3 3 2 5 2 5 2" xfId="19091"/>
    <cellStyle name="Normal 2 3 3 2 5 2 5 2 2" xfId="19092"/>
    <cellStyle name="Normal 2 3 3 2 5 2 5 2 3" xfId="19093"/>
    <cellStyle name="Normal 2 3 3 2 5 2 5 2 4" xfId="19094"/>
    <cellStyle name="Normal 2 3 3 2 5 2 5 2 5" xfId="19095"/>
    <cellStyle name="Normal 2 3 3 2 5 2 5 2 6" xfId="19096"/>
    <cellStyle name="Normal 2 3 3 2 5 2 5 3" xfId="19097"/>
    <cellStyle name="Normal 2 3 3 2 5 2 5 4" xfId="19098"/>
    <cellStyle name="Normal 2 3 3 2 5 2 5 5" xfId="19099"/>
    <cellStyle name="Normal 2 3 3 2 5 2 5 6" xfId="19100"/>
    <cellStyle name="Normal 2 3 3 2 5 2 6" xfId="19101"/>
    <cellStyle name="Normal 2 3 3 2 5 2 7" xfId="19102"/>
    <cellStyle name="Normal 2 3 3 2 5 2 8" xfId="19103"/>
    <cellStyle name="Normal 2 3 3 2 5 2 9" xfId="19104"/>
    <cellStyle name="Normal 2 3 3 2 5 3" xfId="19105"/>
    <cellStyle name="Normal 2 3 3 2 5 3 2" xfId="19106"/>
    <cellStyle name="Normal 2 3 3 2 5 3 2 2" xfId="19107"/>
    <cellStyle name="Normal 2 3 3 2 5 3 2 2 2" xfId="19108"/>
    <cellStyle name="Normal 2 3 3 2 5 3 2 2 2 2" xfId="19109"/>
    <cellStyle name="Normal 2 3 3 2 5 3 2 2 2 3" xfId="19110"/>
    <cellStyle name="Normal 2 3 3 2 5 3 2 2 2 4" xfId="19111"/>
    <cellStyle name="Normal 2 3 3 2 5 3 2 2 2 5" xfId="19112"/>
    <cellStyle name="Normal 2 3 3 2 5 3 2 2 2 6" xfId="19113"/>
    <cellStyle name="Normal 2 3 3 2 5 3 2 2 3" xfId="19114"/>
    <cellStyle name="Normal 2 3 3 2 5 3 2 2 4" xfId="19115"/>
    <cellStyle name="Normal 2 3 3 2 5 3 2 2 5" xfId="19116"/>
    <cellStyle name="Normal 2 3 3 2 5 3 2 2 6" xfId="19117"/>
    <cellStyle name="Normal 2 3 3 2 5 3 2 3" xfId="19118"/>
    <cellStyle name="Normal 2 3 3 2 5 3 2 4" xfId="19119"/>
    <cellStyle name="Normal 2 3 3 2 5 3 2 5" xfId="19120"/>
    <cellStyle name="Normal 2 3 3 2 5 3 2 6" xfId="19121"/>
    <cellStyle name="Normal 2 3 3 2 5 3 2 7" xfId="19122"/>
    <cellStyle name="Normal 2 3 3 2 5 3 2 8" xfId="19123"/>
    <cellStyle name="Normal 2 3 3 2 5 3 2 9" xfId="19124"/>
    <cellStyle name="Normal 2 3 3 2 5 3 3" xfId="19125"/>
    <cellStyle name="Normal 2 3 3 2 5 3 3 2" xfId="19126"/>
    <cellStyle name="Normal 2 3 3 2 5 3 3 2 2" xfId="19127"/>
    <cellStyle name="Normal 2 3 3 2 5 3 3 2 3" xfId="19128"/>
    <cellStyle name="Normal 2 3 3 2 5 3 3 2 4" xfId="19129"/>
    <cellStyle name="Normal 2 3 3 2 5 3 3 2 5" xfId="19130"/>
    <cellStyle name="Normal 2 3 3 2 5 3 3 2 6" xfId="19131"/>
    <cellStyle name="Normal 2 3 3 2 5 3 3 3" xfId="19132"/>
    <cellStyle name="Normal 2 3 3 2 5 3 3 4" xfId="19133"/>
    <cellStyle name="Normal 2 3 3 2 5 3 3 5" xfId="19134"/>
    <cellStyle name="Normal 2 3 3 2 5 3 3 6" xfId="19135"/>
    <cellStyle name="Normal 2 3 3 2 5 3 4" xfId="19136"/>
    <cellStyle name="Normal 2 3 3 2 5 3 5" xfId="19137"/>
    <cellStyle name="Normal 2 3 3 2 5 3 6" xfId="19138"/>
    <cellStyle name="Normal 2 3 3 2 5 3 7" xfId="19139"/>
    <cellStyle name="Normal 2 3 3 2 5 3 8" xfId="19140"/>
    <cellStyle name="Normal 2 3 3 2 5 3 9" xfId="19141"/>
    <cellStyle name="Normal 2 3 3 2 5 4" xfId="19142"/>
    <cellStyle name="Normal 2 3 3 2 5 5" xfId="19143"/>
    <cellStyle name="Normal 2 3 3 2 5 5 2" xfId="19144"/>
    <cellStyle name="Normal 2 3 3 2 5 5 2 2" xfId="19145"/>
    <cellStyle name="Normal 2 3 3 2 5 5 2 3" xfId="19146"/>
    <cellStyle name="Normal 2 3 3 2 5 5 2 4" xfId="19147"/>
    <cellStyle name="Normal 2 3 3 2 5 5 2 5" xfId="19148"/>
    <cellStyle name="Normal 2 3 3 2 5 5 2 6" xfId="19149"/>
    <cellStyle name="Normal 2 3 3 2 5 5 3" xfId="19150"/>
    <cellStyle name="Normal 2 3 3 2 5 5 4" xfId="19151"/>
    <cellStyle name="Normal 2 3 3 2 5 5 5" xfId="19152"/>
    <cellStyle name="Normal 2 3 3 2 5 5 6" xfId="19153"/>
    <cellStyle name="Normal 2 3 3 2 5 6" xfId="19154"/>
    <cellStyle name="Normal 2 3 3 2 5 7" xfId="19155"/>
    <cellStyle name="Normal 2 3 3 2 5 8" xfId="19156"/>
    <cellStyle name="Normal 2 3 3 2 5 9" xfId="19157"/>
    <cellStyle name="Normal 2 3 3 2 6" xfId="19158"/>
    <cellStyle name="Normal 2 3 3 2 7" xfId="19159"/>
    <cellStyle name="Normal 2 3 3 2 8" xfId="19160"/>
    <cellStyle name="Normal 2 3 3 2 8 2" xfId="19161"/>
    <cellStyle name="Normal 2 3 3 2 8 2 2" xfId="19162"/>
    <cellStyle name="Normal 2 3 3 2 8 2 2 2" xfId="19163"/>
    <cellStyle name="Normal 2 3 3 2 8 2 2 2 2" xfId="19164"/>
    <cellStyle name="Normal 2 3 3 2 8 2 2 2 3" xfId="19165"/>
    <cellStyle name="Normal 2 3 3 2 8 2 2 2 4" xfId="19166"/>
    <cellStyle name="Normal 2 3 3 2 8 2 2 2 5" xfId="19167"/>
    <cellStyle name="Normal 2 3 3 2 8 2 2 2 6" xfId="19168"/>
    <cellStyle name="Normal 2 3 3 2 8 2 2 3" xfId="19169"/>
    <cellStyle name="Normal 2 3 3 2 8 2 2 4" xfId="19170"/>
    <cellStyle name="Normal 2 3 3 2 8 2 2 5" xfId="19171"/>
    <cellStyle name="Normal 2 3 3 2 8 2 2 6" xfId="19172"/>
    <cellStyle name="Normal 2 3 3 2 8 2 3" xfId="19173"/>
    <cellStyle name="Normal 2 3 3 2 8 2 4" xfId="19174"/>
    <cellStyle name="Normal 2 3 3 2 8 2 5" xfId="19175"/>
    <cellStyle name="Normal 2 3 3 2 8 2 6" xfId="19176"/>
    <cellStyle name="Normal 2 3 3 2 8 2 7" xfId="19177"/>
    <cellStyle name="Normal 2 3 3 2 8 2 8" xfId="19178"/>
    <cellStyle name="Normal 2 3 3 2 8 2 9" xfId="19179"/>
    <cellStyle name="Normal 2 3 3 2 8 3" xfId="19180"/>
    <cellStyle name="Normal 2 3 3 2 8 3 2" xfId="19181"/>
    <cellStyle name="Normal 2 3 3 2 8 3 2 2" xfId="19182"/>
    <cellStyle name="Normal 2 3 3 2 8 3 2 3" xfId="19183"/>
    <cellStyle name="Normal 2 3 3 2 8 3 2 4" xfId="19184"/>
    <cellStyle name="Normal 2 3 3 2 8 3 2 5" xfId="19185"/>
    <cellStyle name="Normal 2 3 3 2 8 3 2 6" xfId="19186"/>
    <cellStyle name="Normal 2 3 3 2 8 3 3" xfId="19187"/>
    <cellStyle name="Normal 2 3 3 2 8 3 4" xfId="19188"/>
    <cellStyle name="Normal 2 3 3 2 8 3 5" xfId="19189"/>
    <cellStyle name="Normal 2 3 3 2 8 3 6" xfId="19190"/>
    <cellStyle name="Normal 2 3 3 2 8 4" xfId="19191"/>
    <cellStyle name="Normal 2 3 3 2 8 5" xfId="19192"/>
    <cellStyle name="Normal 2 3 3 2 8 6" xfId="19193"/>
    <cellStyle name="Normal 2 3 3 2 8 7" xfId="19194"/>
    <cellStyle name="Normal 2 3 3 2 8 8" xfId="19195"/>
    <cellStyle name="Normal 2 3 3 2 8 9" xfId="19196"/>
    <cellStyle name="Normal 2 3 3 2 9" xfId="19197"/>
    <cellStyle name="Normal 2 3 3 20" xfId="19198"/>
    <cellStyle name="Normal 2 3 3 21" xfId="19199"/>
    <cellStyle name="Normal 2 3 3 22" xfId="19200"/>
    <cellStyle name="Normal 2 3 3 23" xfId="19201"/>
    <cellStyle name="Normal 2 3 3 24" xfId="19202"/>
    <cellStyle name="Normal 2 3 3 3" xfId="19203"/>
    <cellStyle name="Normal 2 3 3 3 10" xfId="19204"/>
    <cellStyle name="Normal 2 3 3 3 11" xfId="19205"/>
    <cellStyle name="Normal 2 3 3 3 12" xfId="19206"/>
    <cellStyle name="Normal 2 3 3 3 13" xfId="19207"/>
    <cellStyle name="Normal 2 3 3 3 14" xfId="19208"/>
    <cellStyle name="Normal 2 3 3 3 15" xfId="19209"/>
    <cellStyle name="Normal 2 3 3 3 16" xfId="19210"/>
    <cellStyle name="Normal 2 3 3 3 17" xfId="19211"/>
    <cellStyle name="Normal 2 3 3 3 18" xfId="19212"/>
    <cellStyle name="Normal 2 3 3 3 19" xfId="19213"/>
    <cellStyle name="Normal 2 3 3 3 2" xfId="19214"/>
    <cellStyle name="Normal 2 3 3 3 2 10" xfId="19215"/>
    <cellStyle name="Normal 2 3 3 3 2 11" xfId="19216"/>
    <cellStyle name="Normal 2 3 3 3 2 12" xfId="19217"/>
    <cellStyle name="Normal 2 3 3 3 2 13" xfId="19218"/>
    <cellStyle name="Normal 2 3 3 3 2 14" xfId="19219"/>
    <cellStyle name="Normal 2 3 3 3 2 15" xfId="19220"/>
    <cellStyle name="Normal 2 3 3 3 2 2" xfId="19221"/>
    <cellStyle name="Normal 2 3 3 3 2 2 10" xfId="19222"/>
    <cellStyle name="Normal 2 3 3 3 2 2 11" xfId="19223"/>
    <cellStyle name="Normal 2 3 3 3 2 2 12" xfId="19224"/>
    <cellStyle name="Normal 2 3 3 3 2 2 2" xfId="19225"/>
    <cellStyle name="Normal 2 3 3 3 2 2 2 10" xfId="19226"/>
    <cellStyle name="Normal 2 3 3 3 2 2 2 11" xfId="19227"/>
    <cellStyle name="Normal 2 3 3 3 2 2 2 12" xfId="19228"/>
    <cellStyle name="Normal 2 3 3 3 2 2 2 2" xfId="19229"/>
    <cellStyle name="Normal 2 3 3 3 2 2 2 2 2" xfId="19230"/>
    <cellStyle name="Normal 2 3 3 3 2 2 2 2 2 2" xfId="19231"/>
    <cellStyle name="Normal 2 3 3 3 2 2 2 2 2 2 2" xfId="19232"/>
    <cellStyle name="Normal 2 3 3 3 2 2 2 2 2 2 2 2" xfId="19233"/>
    <cellStyle name="Normal 2 3 3 3 2 2 2 2 2 2 2 3" xfId="19234"/>
    <cellStyle name="Normal 2 3 3 3 2 2 2 2 2 2 2 4" xfId="19235"/>
    <cellStyle name="Normal 2 3 3 3 2 2 2 2 2 2 2 5" xfId="19236"/>
    <cellStyle name="Normal 2 3 3 3 2 2 2 2 2 2 2 6" xfId="19237"/>
    <cellStyle name="Normal 2 3 3 3 2 2 2 2 2 2 3" xfId="19238"/>
    <cellStyle name="Normal 2 3 3 3 2 2 2 2 2 2 4" xfId="19239"/>
    <cellStyle name="Normal 2 3 3 3 2 2 2 2 2 2 5" xfId="19240"/>
    <cellStyle name="Normal 2 3 3 3 2 2 2 2 2 2 6" xfId="19241"/>
    <cellStyle name="Normal 2 3 3 3 2 2 2 2 2 3" xfId="19242"/>
    <cellStyle name="Normal 2 3 3 3 2 2 2 2 2 4" xfId="19243"/>
    <cellStyle name="Normal 2 3 3 3 2 2 2 2 2 5" xfId="19244"/>
    <cellStyle name="Normal 2 3 3 3 2 2 2 2 2 6" xfId="19245"/>
    <cellStyle name="Normal 2 3 3 3 2 2 2 2 2 7" xfId="19246"/>
    <cellStyle name="Normal 2 3 3 3 2 2 2 2 2 8" xfId="19247"/>
    <cellStyle name="Normal 2 3 3 3 2 2 2 2 2 9" xfId="19248"/>
    <cellStyle name="Normal 2 3 3 3 2 2 2 2 3" xfId="19249"/>
    <cellStyle name="Normal 2 3 3 3 2 2 2 2 3 2" xfId="19250"/>
    <cellStyle name="Normal 2 3 3 3 2 2 2 2 3 2 2" xfId="19251"/>
    <cellStyle name="Normal 2 3 3 3 2 2 2 2 3 2 3" xfId="19252"/>
    <cellStyle name="Normal 2 3 3 3 2 2 2 2 3 2 4" xfId="19253"/>
    <cellStyle name="Normal 2 3 3 3 2 2 2 2 3 2 5" xfId="19254"/>
    <cellStyle name="Normal 2 3 3 3 2 2 2 2 3 2 6" xfId="19255"/>
    <cellStyle name="Normal 2 3 3 3 2 2 2 2 3 3" xfId="19256"/>
    <cellStyle name="Normal 2 3 3 3 2 2 2 2 3 4" xfId="19257"/>
    <cellStyle name="Normal 2 3 3 3 2 2 2 2 3 5" xfId="19258"/>
    <cellStyle name="Normal 2 3 3 3 2 2 2 2 3 6" xfId="19259"/>
    <cellStyle name="Normal 2 3 3 3 2 2 2 2 4" xfId="19260"/>
    <cellStyle name="Normal 2 3 3 3 2 2 2 2 5" xfId="19261"/>
    <cellStyle name="Normal 2 3 3 3 2 2 2 2 6" xfId="19262"/>
    <cellStyle name="Normal 2 3 3 3 2 2 2 2 7" xfId="19263"/>
    <cellStyle name="Normal 2 3 3 3 2 2 2 2 8" xfId="19264"/>
    <cellStyle name="Normal 2 3 3 3 2 2 2 2 9" xfId="19265"/>
    <cellStyle name="Normal 2 3 3 3 2 2 2 3" xfId="19266"/>
    <cellStyle name="Normal 2 3 3 3 2 2 2 4" xfId="19267"/>
    <cellStyle name="Normal 2 3 3 3 2 2 2 5" xfId="19268"/>
    <cellStyle name="Normal 2 3 3 3 2 2 2 5 2" xfId="19269"/>
    <cellStyle name="Normal 2 3 3 3 2 2 2 5 2 2" xfId="19270"/>
    <cellStyle name="Normal 2 3 3 3 2 2 2 5 2 3" xfId="19271"/>
    <cellStyle name="Normal 2 3 3 3 2 2 2 5 2 4" xfId="19272"/>
    <cellStyle name="Normal 2 3 3 3 2 2 2 5 2 5" xfId="19273"/>
    <cellStyle name="Normal 2 3 3 3 2 2 2 5 2 6" xfId="19274"/>
    <cellStyle name="Normal 2 3 3 3 2 2 2 5 3" xfId="19275"/>
    <cellStyle name="Normal 2 3 3 3 2 2 2 5 4" xfId="19276"/>
    <cellStyle name="Normal 2 3 3 3 2 2 2 5 5" xfId="19277"/>
    <cellStyle name="Normal 2 3 3 3 2 2 2 5 6" xfId="19278"/>
    <cellStyle name="Normal 2 3 3 3 2 2 2 6" xfId="19279"/>
    <cellStyle name="Normal 2 3 3 3 2 2 2 7" xfId="19280"/>
    <cellStyle name="Normal 2 3 3 3 2 2 2 8" xfId="19281"/>
    <cellStyle name="Normal 2 3 3 3 2 2 2 9" xfId="19282"/>
    <cellStyle name="Normal 2 3 3 3 2 2 3" xfId="19283"/>
    <cellStyle name="Normal 2 3 3 3 2 2 3 2" xfId="19284"/>
    <cellStyle name="Normal 2 3 3 3 2 2 3 2 2" xfId="19285"/>
    <cellStyle name="Normal 2 3 3 3 2 2 3 2 2 2" xfId="19286"/>
    <cellStyle name="Normal 2 3 3 3 2 2 3 2 2 2 2" xfId="19287"/>
    <cellStyle name="Normal 2 3 3 3 2 2 3 2 2 2 3" xfId="19288"/>
    <cellStyle name="Normal 2 3 3 3 2 2 3 2 2 2 4" xfId="19289"/>
    <cellStyle name="Normal 2 3 3 3 2 2 3 2 2 2 5" xfId="19290"/>
    <cellStyle name="Normal 2 3 3 3 2 2 3 2 2 2 6" xfId="19291"/>
    <cellStyle name="Normal 2 3 3 3 2 2 3 2 2 3" xfId="19292"/>
    <cellStyle name="Normal 2 3 3 3 2 2 3 2 2 4" xfId="19293"/>
    <cellStyle name="Normal 2 3 3 3 2 2 3 2 2 5" xfId="19294"/>
    <cellStyle name="Normal 2 3 3 3 2 2 3 2 2 6" xfId="19295"/>
    <cellStyle name="Normal 2 3 3 3 2 2 3 2 3" xfId="19296"/>
    <cellStyle name="Normal 2 3 3 3 2 2 3 2 4" xfId="19297"/>
    <cellStyle name="Normal 2 3 3 3 2 2 3 2 5" xfId="19298"/>
    <cellStyle name="Normal 2 3 3 3 2 2 3 2 6" xfId="19299"/>
    <cellStyle name="Normal 2 3 3 3 2 2 3 2 7" xfId="19300"/>
    <cellStyle name="Normal 2 3 3 3 2 2 3 2 8" xfId="19301"/>
    <cellStyle name="Normal 2 3 3 3 2 2 3 2 9" xfId="19302"/>
    <cellStyle name="Normal 2 3 3 3 2 2 3 3" xfId="19303"/>
    <cellStyle name="Normal 2 3 3 3 2 2 3 3 2" xfId="19304"/>
    <cellStyle name="Normal 2 3 3 3 2 2 3 3 2 2" xfId="19305"/>
    <cellStyle name="Normal 2 3 3 3 2 2 3 3 2 3" xfId="19306"/>
    <cellStyle name="Normal 2 3 3 3 2 2 3 3 2 4" xfId="19307"/>
    <cellStyle name="Normal 2 3 3 3 2 2 3 3 2 5" xfId="19308"/>
    <cellStyle name="Normal 2 3 3 3 2 2 3 3 2 6" xfId="19309"/>
    <cellStyle name="Normal 2 3 3 3 2 2 3 3 3" xfId="19310"/>
    <cellStyle name="Normal 2 3 3 3 2 2 3 3 4" xfId="19311"/>
    <cellStyle name="Normal 2 3 3 3 2 2 3 3 5" xfId="19312"/>
    <cellStyle name="Normal 2 3 3 3 2 2 3 3 6" xfId="19313"/>
    <cellStyle name="Normal 2 3 3 3 2 2 3 4" xfId="19314"/>
    <cellStyle name="Normal 2 3 3 3 2 2 3 5" xfId="19315"/>
    <cellStyle name="Normal 2 3 3 3 2 2 3 6" xfId="19316"/>
    <cellStyle name="Normal 2 3 3 3 2 2 3 7" xfId="19317"/>
    <cellStyle name="Normal 2 3 3 3 2 2 3 8" xfId="19318"/>
    <cellStyle name="Normal 2 3 3 3 2 2 3 9" xfId="19319"/>
    <cellStyle name="Normal 2 3 3 3 2 2 4" xfId="19320"/>
    <cellStyle name="Normal 2 3 3 3 2 2 5" xfId="19321"/>
    <cellStyle name="Normal 2 3 3 3 2 2 5 2" xfId="19322"/>
    <cellStyle name="Normal 2 3 3 3 2 2 5 2 2" xfId="19323"/>
    <cellStyle name="Normal 2 3 3 3 2 2 5 2 3" xfId="19324"/>
    <cellStyle name="Normal 2 3 3 3 2 2 5 2 4" xfId="19325"/>
    <cellStyle name="Normal 2 3 3 3 2 2 5 2 5" xfId="19326"/>
    <cellStyle name="Normal 2 3 3 3 2 2 5 2 6" xfId="19327"/>
    <cellStyle name="Normal 2 3 3 3 2 2 5 3" xfId="19328"/>
    <cellStyle name="Normal 2 3 3 3 2 2 5 4" xfId="19329"/>
    <cellStyle name="Normal 2 3 3 3 2 2 5 5" xfId="19330"/>
    <cellStyle name="Normal 2 3 3 3 2 2 5 6" xfId="19331"/>
    <cellStyle name="Normal 2 3 3 3 2 2 6" xfId="19332"/>
    <cellStyle name="Normal 2 3 3 3 2 2 7" xfId="19333"/>
    <cellStyle name="Normal 2 3 3 3 2 2 8" xfId="19334"/>
    <cellStyle name="Normal 2 3 3 3 2 2 9" xfId="19335"/>
    <cellStyle name="Normal 2 3 3 3 2 3" xfId="19336"/>
    <cellStyle name="Normal 2 3 3 3 2 4" xfId="19337"/>
    <cellStyle name="Normal 2 3 3 3 2 5" xfId="19338"/>
    <cellStyle name="Normal 2 3 3 3 2 5 2" xfId="19339"/>
    <cellStyle name="Normal 2 3 3 3 2 5 2 2" xfId="19340"/>
    <cellStyle name="Normal 2 3 3 3 2 5 2 2 2" xfId="19341"/>
    <cellStyle name="Normal 2 3 3 3 2 5 2 2 2 2" xfId="19342"/>
    <cellStyle name="Normal 2 3 3 3 2 5 2 2 2 3" xfId="19343"/>
    <cellStyle name="Normal 2 3 3 3 2 5 2 2 2 4" xfId="19344"/>
    <cellStyle name="Normal 2 3 3 3 2 5 2 2 2 5" xfId="19345"/>
    <cellStyle name="Normal 2 3 3 3 2 5 2 2 2 6" xfId="19346"/>
    <cellStyle name="Normal 2 3 3 3 2 5 2 2 3" xfId="19347"/>
    <cellStyle name="Normal 2 3 3 3 2 5 2 2 4" xfId="19348"/>
    <cellStyle name="Normal 2 3 3 3 2 5 2 2 5" xfId="19349"/>
    <cellStyle name="Normal 2 3 3 3 2 5 2 2 6" xfId="19350"/>
    <cellStyle name="Normal 2 3 3 3 2 5 2 3" xfId="19351"/>
    <cellStyle name="Normal 2 3 3 3 2 5 2 4" xfId="19352"/>
    <cellStyle name="Normal 2 3 3 3 2 5 2 5" xfId="19353"/>
    <cellStyle name="Normal 2 3 3 3 2 5 2 6" xfId="19354"/>
    <cellStyle name="Normal 2 3 3 3 2 5 2 7" xfId="19355"/>
    <cellStyle name="Normal 2 3 3 3 2 5 2 8" xfId="19356"/>
    <cellStyle name="Normal 2 3 3 3 2 5 2 9" xfId="19357"/>
    <cellStyle name="Normal 2 3 3 3 2 5 3" xfId="19358"/>
    <cellStyle name="Normal 2 3 3 3 2 5 3 2" xfId="19359"/>
    <cellStyle name="Normal 2 3 3 3 2 5 3 2 2" xfId="19360"/>
    <cellStyle name="Normal 2 3 3 3 2 5 3 2 3" xfId="19361"/>
    <cellStyle name="Normal 2 3 3 3 2 5 3 2 4" xfId="19362"/>
    <cellStyle name="Normal 2 3 3 3 2 5 3 2 5" xfId="19363"/>
    <cellStyle name="Normal 2 3 3 3 2 5 3 2 6" xfId="19364"/>
    <cellStyle name="Normal 2 3 3 3 2 5 3 3" xfId="19365"/>
    <cellStyle name="Normal 2 3 3 3 2 5 3 4" xfId="19366"/>
    <cellStyle name="Normal 2 3 3 3 2 5 3 5" xfId="19367"/>
    <cellStyle name="Normal 2 3 3 3 2 5 3 6" xfId="19368"/>
    <cellStyle name="Normal 2 3 3 3 2 5 4" xfId="19369"/>
    <cellStyle name="Normal 2 3 3 3 2 5 5" xfId="19370"/>
    <cellStyle name="Normal 2 3 3 3 2 5 6" xfId="19371"/>
    <cellStyle name="Normal 2 3 3 3 2 5 7" xfId="19372"/>
    <cellStyle name="Normal 2 3 3 3 2 5 8" xfId="19373"/>
    <cellStyle name="Normal 2 3 3 3 2 5 9" xfId="19374"/>
    <cellStyle name="Normal 2 3 3 3 2 6" xfId="19375"/>
    <cellStyle name="Normal 2 3 3 3 2 7" xfId="19376"/>
    <cellStyle name="Normal 2 3 3 3 2 8" xfId="19377"/>
    <cellStyle name="Normal 2 3 3 3 2 8 2" xfId="19378"/>
    <cellStyle name="Normal 2 3 3 3 2 8 2 2" xfId="19379"/>
    <cellStyle name="Normal 2 3 3 3 2 8 2 3" xfId="19380"/>
    <cellStyle name="Normal 2 3 3 3 2 8 2 4" xfId="19381"/>
    <cellStyle name="Normal 2 3 3 3 2 8 2 5" xfId="19382"/>
    <cellStyle name="Normal 2 3 3 3 2 8 2 6" xfId="19383"/>
    <cellStyle name="Normal 2 3 3 3 2 8 3" xfId="19384"/>
    <cellStyle name="Normal 2 3 3 3 2 8 4" xfId="19385"/>
    <cellStyle name="Normal 2 3 3 3 2 8 5" xfId="19386"/>
    <cellStyle name="Normal 2 3 3 3 2 8 6" xfId="19387"/>
    <cellStyle name="Normal 2 3 3 3 2 9" xfId="19388"/>
    <cellStyle name="Normal 2 3 3 3 3" xfId="19389"/>
    <cellStyle name="Normal 2 3 3 3 3 10" xfId="19390"/>
    <cellStyle name="Normal 2 3 3 3 3 11" xfId="19391"/>
    <cellStyle name="Normal 2 3 3 3 3 12" xfId="19392"/>
    <cellStyle name="Normal 2 3 3 3 3 2" xfId="19393"/>
    <cellStyle name="Normal 2 3 3 3 3 2 10" xfId="19394"/>
    <cellStyle name="Normal 2 3 3 3 3 2 11" xfId="19395"/>
    <cellStyle name="Normal 2 3 3 3 3 2 12" xfId="19396"/>
    <cellStyle name="Normal 2 3 3 3 3 2 2" xfId="19397"/>
    <cellStyle name="Normal 2 3 3 3 3 2 2 2" xfId="19398"/>
    <cellStyle name="Normal 2 3 3 3 3 2 2 2 2" xfId="19399"/>
    <cellStyle name="Normal 2 3 3 3 3 2 2 2 2 2" xfId="19400"/>
    <cellStyle name="Normal 2 3 3 3 3 2 2 2 2 2 2" xfId="19401"/>
    <cellStyle name="Normal 2 3 3 3 3 2 2 2 2 2 3" xfId="19402"/>
    <cellStyle name="Normal 2 3 3 3 3 2 2 2 2 2 4" xfId="19403"/>
    <cellStyle name="Normal 2 3 3 3 3 2 2 2 2 2 5" xfId="19404"/>
    <cellStyle name="Normal 2 3 3 3 3 2 2 2 2 2 6" xfId="19405"/>
    <cellStyle name="Normal 2 3 3 3 3 2 2 2 2 3" xfId="19406"/>
    <cellStyle name="Normal 2 3 3 3 3 2 2 2 2 4" xfId="19407"/>
    <cellStyle name="Normal 2 3 3 3 3 2 2 2 2 5" xfId="19408"/>
    <cellStyle name="Normal 2 3 3 3 3 2 2 2 2 6" xfId="19409"/>
    <cellStyle name="Normal 2 3 3 3 3 2 2 2 3" xfId="19410"/>
    <cellStyle name="Normal 2 3 3 3 3 2 2 2 4" xfId="19411"/>
    <cellStyle name="Normal 2 3 3 3 3 2 2 2 5" xfId="19412"/>
    <cellStyle name="Normal 2 3 3 3 3 2 2 2 6" xfId="19413"/>
    <cellStyle name="Normal 2 3 3 3 3 2 2 2 7" xfId="19414"/>
    <cellStyle name="Normal 2 3 3 3 3 2 2 2 8" xfId="19415"/>
    <cellStyle name="Normal 2 3 3 3 3 2 2 2 9" xfId="19416"/>
    <cellStyle name="Normal 2 3 3 3 3 2 2 3" xfId="19417"/>
    <cellStyle name="Normal 2 3 3 3 3 2 2 3 2" xfId="19418"/>
    <cellStyle name="Normal 2 3 3 3 3 2 2 3 2 2" xfId="19419"/>
    <cellStyle name="Normal 2 3 3 3 3 2 2 3 2 3" xfId="19420"/>
    <cellStyle name="Normal 2 3 3 3 3 2 2 3 2 4" xfId="19421"/>
    <cellStyle name="Normal 2 3 3 3 3 2 2 3 2 5" xfId="19422"/>
    <cellStyle name="Normal 2 3 3 3 3 2 2 3 2 6" xfId="19423"/>
    <cellStyle name="Normal 2 3 3 3 3 2 2 3 3" xfId="19424"/>
    <cellStyle name="Normal 2 3 3 3 3 2 2 3 4" xfId="19425"/>
    <cellStyle name="Normal 2 3 3 3 3 2 2 3 5" xfId="19426"/>
    <cellStyle name="Normal 2 3 3 3 3 2 2 3 6" xfId="19427"/>
    <cellStyle name="Normal 2 3 3 3 3 2 2 4" xfId="19428"/>
    <cellStyle name="Normal 2 3 3 3 3 2 2 5" xfId="19429"/>
    <cellStyle name="Normal 2 3 3 3 3 2 2 6" xfId="19430"/>
    <cellStyle name="Normal 2 3 3 3 3 2 2 7" xfId="19431"/>
    <cellStyle name="Normal 2 3 3 3 3 2 2 8" xfId="19432"/>
    <cellStyle name="Normal 2 3 3 3 3 2 2 9" xfId="19433"/>
    <cellStyle name="Normal 2 3 3 3 3 2 3" xfId="19434"/>
    <cellStyle name="Normal 2 3 3 3 3 2 4" xfId="19435"/>
    <cellStyle name="Normal 2 3 3 3 3 2 5" xfId="19436"/>
    <cellStyle name="Normal 2 3 3 3 3 2 5 2" xfId="19437"/>
    <cellStyle name="Normal 2 3 3 3 3 2 5 2 2" xfId="19438"/>
    <cellStyle name="Normal 2 3 3 3 3 2 5 2 3" xfId="19439"/>
    <cellStyle name="Normal 2 3 3 3 3 2 5 2 4" xfId="19440"/>
    <cellStyle name="Normal 2 3 3 3 3 2 5 2 5" xfId="19441"/>
    <cellStyle name="Normal 2 3 3 3 3 2 5 2 6" xfId="19442"/>
    <cellStyle name="Normal 2 3 3 3 3 2 5 3" xfId="19443"/>
    <cellStyle name="Normal 2 3 3 3 3 2 5 4" xfId="19444"/>
    <cellStyle name="Normal 2 3 3 3 3 2 5 5" xfId="19445"/>
    <cellStyle name="Normal 2 3 3 3 3 2 5 6" xfId="19446"/>
    <cellStyle name="Normal 2 3 3 3 3 2 6" xfId="19447"/>
    <cellStyle name="Normal 2 3 3 3 3 2 7" xfId="19448"/>
    <cellStyle name="Normal 2 3 3 3 3 2 8" xfId="19449"/>
    <cellStyle name="Normal 2 3 3 3 3 2 9" xfId="19450"/>
    <cellStyle name="Normal 2 3 3 3 3 3" xfId="19451"/>
    <cellStyle name="Normal 2 3 3 3 3 3 2" xfId="19452"/>
    <cellStyle name="Normal 2 3 3 3 3 3 2 2" xfId="19453"/>
    <cellStyle name="Normal 2 3 3 3 3 3 2 2 2" xfId="19454"/>
    <cellStyle name="Normal 2 3 3 3 3 3 2 2 2 2" xfId="19455"/>
    <cellStyle name="Normal 2 3 3 3 3 3 2 2 2 3" xfId="19456"/>
    <cellStyle name="Normal 2 3 3 3 3 3 2 2 2 4" xfId="19457"/>
    <cellStyle name="Normal 2 3 3 3 3 3 2 2 2 5" xfId="19458"/>
    <cellStyle name="Normal 2 3 3 3 3 3 2 2 2 6" xfId="19459"/>
    <cellStyle name="Normal 2 3 3 3 3 3 2 2 3" xfId="19460"/>
    <cellStyle name="Normal 2 3 3 3 3 3 2 2 4" xfId="19461"/>
    <cellStyle name="Normal 2 3 3 3 3 3 2 2 5" xfId="19462"/>
    <cellStyle name="Normal 2 3 3 3 3 3 2 2 6" xfId="19463"/>
    <cellStyle name="Normal 2 3 3 3 3 3 2 3" xfId="19464"/>
    <cellStyle name="Normal 2 3 3 3 3 3 2 4" xfId="19465"/>
    <cellStyle name="Normal 2 3 3 3 3 3 2 5" xfId="19466"/>
    <cellStyle name="Normal 2 3 3 3 3 3 2 6" xfId="19467"/>
    <cellStyle name="Normal 2 3 3 3 3 3 2 7" xfId="19468"/>
    <cellStyle name="Normal 2 3 3 3 3 3 2 8" xfId="19469"/>
    <cellStyle name="Normal 2 3 3 3 3 3 2 9" xfId="19470"/>
    <cellStyle name="Normal 2 3 3 3 3 3 3" xfId="19471"/>
    <cellStyle name="Normal 2 3 3 3 3 3 3 2" xfId="19472"/>
    <cellStyle name="Normal 2 3 3 3 3 3 3 2 2" xfId="19473"/>
    <cellStyle name="Normal 2 3 3 3 3 3 3 2 3" xfId="19474"/>
    <cellStyle name="Normal 2 3 3 3 3 3 3 2 4" xfId="19475"/>
    <cellStyle name="Normal 2 3 3 3 3 3 3 2 5" xfId="19476"/>
    <cellStyle name="Normal 2 3 3 3 3 3 3 2 6" xfId="19477"/>
    <cellStyle name="Normal 2 3 3 3 3 3 3 3" xfId="19478"/>
    <cellStyle name="Normal 2 3 3 3 3 3 3 4" xfId="19479"/>
    <cellStyle name="Normal 2 3 3 3 3 3 3 5" xfId="19480"/>
    <cellStyle name="Normal 2 3 3 3 3 3 3 6" xfId="19481"/>
    <cellStyle name="Normal 2 3 3 3 3 3 4" xfId="19482"/>
    <cellStyle name="Normal 2 3 3 3 3 3 5" xfId="19483"/>
    <cellStyle name="Normal 2 3 3 3 3 3 6" xfId="19484"/>
    <cellStyle name="Normal 2 3 3 3 3 3 7" xfId="19485"/>
    <cellStyle name="Normal 2 3 3 3 3 3 8" xfId="19486"/>
    <cellStyle name="Normal 2 3 3 3 3 3 9" xfId="19487"/>
    <cellStyle name="Normal 2 3 3 3 3 4" xfId="19488"/>
    <cellStyle name="Normal 2 3 3 3 3 5" xfId="19489"/>
    <cellStyle name="Normal 2 3 3 3 3 5 2" xfId="19490"/>
    <cellStyle name="Normal 2 3 3 3 3 5 2 2" xfId="19491"/>
    <cellStyle name="Normal 2 3 3 3 3 5 2 3" xfId="19492"/>
    <cellStyle name="Normal 2 3 3 3 3 5 2 4" xfId="19493"/>
    <cellStyle name="Normal 2 3 3 3 3 5 2 5" xfId="19494"/>
    <cellStyle name="Normal 2 3 3 3 3 5 2 6" xfId="19495"/>
    <cellStyle name="Normal 2 3 3 3 3 5 3" xfId="19496"/>
    <cellStyle name="Normal 2 3 3 3 3 5 4" xfId="19497"/>
    <cellStyle name="Normal 2 3 3 3 3 5 5" xfId="19498"/>
    <cellStyle name="Normal 2 3 3 3 3 5 6" xfId="19499"/>
    <cellStyle name="Normal 2 3 3 3 3 6" xfId="19500"/>
    <cellStyle name="Normal 2 3 3 3 3 7" xfId="19501"/>
    <cellStyle name="Normal 2 3 3 3 3 8" xfId="19502"/>
    <cellStyle name="Normal 2 3 3 3 3 9" xfId="19503"/>
    <cellStyle name="Normal 2 3 3 3 4" xfId="19504"/>
    <cellStyle name="Normal 2 3 3 3 5" xfId="19505"/>
    <cellStyle name="Normal 2 3 3 3 5 2" xfId="19506"/>
    <cellStyle name="Normal 2 3 3 3 5 2 2" xfId="19507"/>
    <cellStyle name="Normal 2 3 3 3 5 2 2 2" xfId="19508"/>
    <cellStyle name="Normal 2 3 3 3 5 2 2 2 2" xfId="19509"/>
    <cellStyle name="Normal 2 3 3 3 5 2 2 2 3" xfId="19510"/>
    <cellStyle name="Normal 2 3 3 3 5 2 2 2 4" xfId="19511"/>
    <cellStyle name="Normal 2 3 3 3 5 2 2 2 5" xfId="19512"/>
    <cellStyle name="Normal 2 3 3 3 5 2 2 2 6" xfId="19513"/>
    <cellStyle name="Normal 2 3 3 3 5 2 2 3" xfId="19514"/>
    <cellStyle name="Normal 2 3 3 3 5 2 2 4" xfId="19515"/>
    <cellStyle name="Normal 2 3 3 3 5 2 2 5" xfId="19516"/>
    <cellStyle name="Normal 2 3 3 3 5 2 2 6" xfId="19517"/>
    <cellStyle name="Normal 2 3 3 3 5 2 3" xfId="19518"/>
    <cellStyle name="Normal 2 3 3 3 5 2 4" xfId="19519"/>
    <cellStyle name="Normal 2 3 3 3 5 2 5" xfId="19520"/>
    <cellStyle name="Normal 2 3 3 3 5 2 6" xfId="19521"/>
    <cellStyle name="Normal 2 3 3 3 5 2 7" xfId="19522"/>
    <cellStyle name="Normal 2 3 3 3 5 2 8" xfId="19523"/>
    <cellStyle name="Normal 2 3 3 3 5 2 9" xfId="19524"/>
    <cellStyle name="Normal 2 3 3 3 5 3" xfId="19525"/>
    <cellStyle name="Normal 2 3 3 3 5 3 2" xfId="19526"/>
    <cellStyle name="Normal 2 3 3 3 5 3 2 2" xfId="19527"/>
    <cellStyle name="Normal 2 3 3 3 5 3 2 3" xfId="19528"/>
    <cellStyle name="Normal 2 3 3 3 5 3 2 4" xfId="19529"/>
    <cellStyle name="Normal 2 3 3 3 5 3 2 5" xfId="19530"/>
    <cellStyle name="Normal 2 3 3 3 5 3 2 6" xfId="19531"/>
    <cellStyle name="Normal 2 3 3 3 5 3 3" xfId="19532"/>
    <cellStyle name="Normal 2 3 3 3 5 3 4" xfId="19533"/>
    <cellStyle name="Normal 2 3 3 3 5 3 5" xfId="19534"/>
    <cellStyle name="Normal 2 3 3 3 5 3 6" xfId="19535"/>
    <cellStyle name="Normal 2 3 3 3 5 4" xfId="19536"/>
    <cellStyle name="Normal 2 3 3 3 5 5" xfId="19537"/>
    <cellStyle name="Normal 2 3 3 3 5 6" xfId="19538"/>
    <cellStyle name="Normal 2 3 3 3 5 7" xfId="19539"/>
    <cellStyle name="Normal 2 3 3 3 5 8" xfId="19540"/>
    <cellStyle name="Normal 2 3 3 3 5 9" xfId="19541"/>
    <cellStyle name="Normal 2 3 3 3 6" xfId="19542"/>
    <cellStyle name="Normal 2 3 3 3 7" xfId="19543"/>
    <cellStyle name="Normal 2 3 3 3 8" xfId="19544"/>
    <cellStyle name="Normal 2 3 3 3 8 2" xfId="19545"/>
    <cellStyle name="Normal 2 3 3 3 8 2 2" xfId="19546"/>
    <cellStyle name="Normal 2 3 3 3 8 2 3" xfId="19547"/>
    <cellStyle name="Normal 2 3 3 3 8 2 4" xfId="19548"/>
    <cellStyle name="Normal 2 3 3 3 8 2 5" xfId="19549"/>
    <cellStyle name="Normal 2 3 3 3 8 2 6" xfId="19550"/>
    <cellStyle name="Normal 2 3 3 3 8 3" xfId="19551"/>
    <cellStyle name="Normal 2 3 3 3 8 4" xfId="19552"/>
    <cellStyle name="Normal 2 3 3 3 8 5" xfId="19553"/>
    <cellStyle name="Normal 2 3 3 3 8 6" xfId="19554"/>
    <cellStyle name="Normal 2 3 3 3 9" xfId="19555"/>
    <cellStyle name="Normal 2 3 3 4" xfId="19556"/>
    <cellStyle name="Normal 2 3 3 5" xfId="19557"/>
    <cellStyle name="Normal 2 3 3 5 10" xfId="19558"/>
    <cellStyle name="Normal 2 3 3 5 11" xfId="19559"/>
    <cellStyle name="Normal 2 3 3 5 12" xfId="19560"/>
    <cellStyle name="Normal 2 3 3 5 2" xfId="19561"/>
    <cellStyle name="Normal 2 3 3 5 2 10" xfId="19562"/>
    <cellStyle name="Normal 2 3 3 5 2 11" xfId="19563"/>
    <cellStyle name="Normal 2 3 3 5 2 12" xfId="19564"/>
    <cellStyle name="Normal 2 3 3 5 2 2" xfId="19565"/>
    <cellStyle name="Normal 2 3 3 5 2 2 2" xfId="19566"/>
    <cellStyle name="Normal 2 3 3 5 2 2 2 2" xfId="19567"/>
    <cellStyle name="Normal 2 3 3 5 2 2 2 2 2" xfId="19568"/>
    <cellStyle name="Normal 2 3 3 5 2 2 2 2 2 2" xfId="19569"/>
    <cellStyle name="Normal 2 3 3 5 2 2 2 2 2 3" xfId="19570"/>
    <cellStyle name="Normal 2 3 3 5 2 2 2 2 2 4" xfId="19571"/>
    <cellStyle name="Normal 2 3 3 5 2 2 2 2 2 5" xfId="19572"/>
    <cellStyle name="Normal 2 3 3 5 2 2 2 2 2 6" xfId="19573"/>
    <cellStyle name="Normal 2 3 3 5 2 2 2 2 3" xfId="19574"/>
    <cellStyle name="Normal 2 3 3 5 2 2 2 2 4" xfId="19575"/>
    <cellStyle name="Normal 2 3 3 5 2 2 2 2 5" xfId="19576"/>
    <cellStyle name="Normal 2 3 3 5 2 2 2 2 6" xfId="19577"/>
    <cellStyle name="Normal 2 3 3 5 2 2 2 3" xfId="19578"/>
    <cellStyle name="Normal 2 3 3 5 2 2 2 4" xfId="19579"/>
    <cellStyle name="Normal 2 3 3 5 2 2 2 5" xfId="19580"/>
    <cellStyle name="Normal 2 3 3 5 2 2 2 6" xfId="19581"/>
    <cellStyle name="Normal 2 3 3 5 2 2 2 7" xfId="19582"/>
    <cellStyle name="Normal 2 3 3 5 2 2 2 8" xfId="19583"/>
    <cellStyle name="Normal 2 3 3 5 2 2 2 9" xfId="19584"/>
    <cellStyle name="Normal 2 3 3 5 2 2 3" xfId="19585"/>
    <cellStyle name="Normal 2 3 3 5 2 2 3 2" xfId="19586"/>
    <cellStyle name="Normal 2 3 3 5 2 2 3 2 2" xfId="19587"/>
    <cellStyle name="Normal 2 3 3 5 2 2 3 2 3" xfId="19588"/>
    <cellStyle name="Normal 2 3 3 5 2 2 3 2 4" xfId="19589"/>
    <cellStyle name="Normal 2 3 3 5 2 2 3 2 5" xfId="19590"/>
    <cellStyle name="Normal 2 3 3 5 2 2 3 2 6" xfId="19591"/>
    <cellStyle name="Normal 2 3 3 5 2 2 3 3" xfId="19592"/>
    <cellStyle name="Normal 2 3 3 5 2 2 3 4" xfId="19593"/>
    <cellStyle name="Normal 2 3 3 5 2 2 3 5" xfId="19594"/>
    <cellStyle name="Normal 2 3 3 5 2 2 3 6" xfId="19595"/>
    <cellStyle name="Normal 2 3 3 5 2 2 4" xfId="19596"/>
    <cellStyle name="Normal 2 3 3 5 2 2 5" xfId="19597"/>
    <cellStyle name="Normal 2 3 3 5 2 2 6" xfId="19598"/>
    <cellStyle name="Normal 2 3 3 5 2 2 7" xfId="19599"/>
    <cellStyle name="Normal 2 3 3 5 2 2 8" xfId="19600"/>
    <cellStyle name="Normal 2 3 3 5 2 2 9" xfId="19601"/>
    <cellStyle name="Normal 2 3 3 5 2 3" xfId="19602"/>
    <cellStyle name="Normal 2 3 3 5 2 4" xfId="19603"/>
    <cellStyle name="Normal 2 3 3 5 2 5" xfId="19604"/>
    <cellStyle name="Normal 2 3 3 5 2 5 2" xfId="19605"/>
    <cellStyle name="Normal 2 3 3 5 2 5 2 2" xfId="19606"/>
    <cellStyle name="Normal 2 3 3 5 2 5 2 3" xfId="19607"/>
    <cellStyle name="Normal 2 3 3 5 2 5 2 4" xfId="19608"/>
    <cellStyle name="Normal 2 3 3 5 2 5 2 5" xfId="19609"/>
    <cellStyle name="Normal 2 3 3 5 2 5 2 6" xfId="19610"/>
    <cellStyle name="Normal 2 3 3 5 2 5 3" xfId="19611"/>
    <cellStyle name="Normal 2 3 3 5 2 5 4" xfId="19612"/>
    <cellStyle name="Normal 2 3 3 5 2 5 5" xfId="19613"/>
    <cellStyle name="Normal 2 3 3 5 2 5 6" xfId="19614"/>
    <cellStyle name="Normal 2 3 3 5 2 6" xfId="19615"/>
    <cellStyle name="Normal 2 3 3 5 2 7" xfId="19616"/>
    <cellStyle name="Normal 2 3 3 5 2 8" xfId="19617"/>
    <cellStyle name="Normal 2 3 3 5 2 9" xfId="19618"/>
    <cellStyle name="Normal 2 3 3 5 3" xfId="19619"/>
    <cellStyle name="Normal 2 3 3 5 3 2" xfId="19620"/>
    <cellStyle name="Normal 2 3 3 5 3 2 2" xfId="19621"/>
    <cellStyle name="Normal 2 3 3 5 3 2 2 2" xfId="19622"/>
    <cellStyle name="Normal 2 3 3 5 3 2 2 2 2" xfId="19623"/>
    <cellStyle name="Normal 2 3 3 5 3 2 2 2 3" xfId="19624"/>
    <cellStyle name="Normal 2 3 3 5 3 2 2 2 4" xfId="19625"/>
    <cellStyle name="Normal 2 3 3 5 3 2 2 2 5" xfId="19626"/>
    <cellStyle name="Normal 2 3 3 5 3 2 2 2 6" xfId="19627"/>
    <cellStyle name="Normal 2 3 3 5 3 2 2 3" xfId="19628"/>
    <cellStyle name="Normal 2 3 3 5 3 2 2 4" xfId="19629"/>
    <cellStyle name="Normal 2 3 3 5 3 2 2 5" xfId="19630"/>
    <cellStyle name="Normal 2 3 3 5 3 2 2 6" xfId="19631"/>
    <cellStyle name="Normal 2 3 3 5 3 2 3" xfId="19632"/>
    <cellStyle name="Normal 2 3 3 5 3 2 4" xfId="19633"/>
    <cellStyle name="Normal 2 3 3 5 3 2 5" xfId="19634"/>
    <cellStyle name="Normal 2 3 3 5 3 2 6" xfId="19635"/>
    <cellStyle name="Normal 2 3 3 5 3 2 7" xfId="19636"/>
    <cellStyle name="Normal 2 3 3 5 3 2 8" xfId="19637"/>
    <cellStyle name="Normal 2 3 3 5 3 2 9" xfId="19638"/>
    <cellStyle name="Normal 2 3 3 5 3 3" xfId="19639"/>
    <cellStyle name="Normal 2 3 3 5 3 3 2" xfId="19640"/>
    <cellStyle name="Normal 2 3 3 5 3 3 2 2" xfId="19641"/>
    <cellStyle name="Normal 2 3 3 5 3 3 2 3" xfId="19642"/>
    <cellStyle name="Normal 2 3 3 5 3 3 2 4" xfId="19643"/>
    <cellStyle name="Normal 2 3 3 5 3 3 2 5" xfId="19644"/>
    <cellStyle name="Normal 2 3 3 5 3 3 2 6" xfId="19645"/>
    <cellStyle name="Normal 2 3 3 5 3 3 3" xfId="19646"/>
    <cellStyle name="Normal 2 3 3 5 3 3 4" xfId="19647"/>
    <cellStyle name="Normal 2 3 3 5 3 3 5" xfId="19648"/>
    <cellStyle name="Normal 2 3 3 5 3 3 6" xfId="19649"/>
    <cellStyle name="Normal 2 3 3 5 3 4" xfId="19650"/>
    <cellStyle name="Normal 2 3 3 5 3 5" xfId="19651"/>
    <cellStyle name="Normal 2 3 3 5 3 6" xfId="19652"/>
    <cellStyle name="Normal 2 3 3 5 3 7" xfId="19653"/>
    <cellStyle name="Normal 2 3 3 5 3 8" xfId="19654"/>
    <cellStyle name="Normal 2 3 3 5 3 9" xfId="19655"/>
    <cellStyle name="Normal 2 3 3 5 4" xfId="19656"/>
    <cellStyle name="Normal 2 3 3 5 5" xfId="19657"/>
    <cellStyle name="Normal 2 3 3 5 5 2" xfId="19658"/>
    <cellStyle name="Normal 2 3 3 5 5 2 2" xfId="19659"/>
    <cellStyle name="Normal 2 3 3 5 5 2 3" xfId="19660"/>
    <cellStyle name="Normal 2 3 3 5 5 2 4" xfId="19661"/>
    <cellStyle name="Normal 2 3 3 5 5 2 5" xfId="19662"/>
    <cellStyle name="Normal 2 3 3 5 5 2 6" xfId="19663"/>
    <cellStyle name="Normal 2 3 3 5 5 3" xfId="19664"/>
    <cellStyle name="Normal 2 3 3 5 5 4" xfId="19665"/>
    <cellStyle name="Normal 2 3 3 5 5 5" xfId="19666"/>
    <cellStyle name="Normal 2 3 3 5 5 6" xfId="19667"/>
    <cellStyle name="Normal 2 3 3 5 6" xfId="19668"/>
    <cellStyle name="Normal 2 3 3 5 7" xfId="19669"/>
    <cellStyle name="Normal 2 3 3 5 8" xfId="19670"/>
    <cellStyle name="Normal 2 3 3 5 9" xfId="19671"/>
    <cellStyle name="Normal 2 3 3 6" xfId="19672"/>
    <cellStyle name="Normal 2 3 3 7" xfId="19673"/>
    <cellStyle name="Normal 2 3 3 8" xfId="19674"/>
    <cellStyle name="Normal 2 3 3 8 2" xfId="19675"/>
    <cellStyle name="Normal 2 3 3 8 2 2" xfId="19676"/>
    <cellStyle name="Normal 2 3 3 8 2 2 2" xfId="19677"/>
    <cellStyle name="Normal 2 3 3 8 2 2 2 2" xfId="19678"/>
    <cellStyle name="Normal 2 3 3 8 2 2 2 3" xfId="19679"/>
    <cellStyle name="Normal 2 3 3 8 2 2 2 4" xfId="19680"/>
    <cellStyle name="Normal 2 3 3 8 2 2 2 5" xfId="19681"/>
    <cellStyle name="Normal 2 3 3 8 2 2 2 6" xfId="19682"/>
    <cellStyle name="Normal 2 3 3 8 2 2 3" xfId="19683"/>
    <cellStyle name="Normal 2 3 3 8 2 2 4" xfId="19684"/>
    <cellStyle name="Normal 2 3 3 8 2 2 5" xfId="19685"/>
    <cellStyle name="Normal 2 3 3 8 2 2 6" xfId="19686"/>
    <cellStyle name="Normal 2 3 3 8 2 3" xfId="19687"/>
    <cellStyle name="Normal 2 3 3 8 2 4" xfId="19688"/>
    <cellStyle name="Normal 2 3 3 8 2 5" xfId="19689"/>
    <cellStyle name="Normal 2 3 3 8 2 6" xfId="19690"/>
    <cellStyle name="Normal 2 3 3 8 2 7" xfId="19691"/>
    <cellStyle name="Normal 2 3 3 8 2 8" xfId="19692"/>
    <cellStyle name="Normal 2 3 3 8 2 9" xfId="19693"/>
    <cellStyle name="Normal 2 3 3 8 3" xfId="19694"/>
    <cellStyle name="Normal 2 3 3 8 3 2" xfId="19695"/>
    <cellStyle name="Normal 2 3 3 8 3 2 2" xfId="19696"/>
    <cellStyle name="Normal 2 3 3 8 3 2 3" xfId="19697"/>
    <cellStyle name="Normal 2 3 3 8 3 2 4" xfId="19698"/>
    <cellStyle name="Normal 2 3 3 8 3 2 5" xfId="19699"/>
    <cellStyle name="Normal 2 3 3 8 3 2 6" xfId="19700"/>
    <cellStyle name="Normal 2 3 3 8 3 3" xfId="19701"/>
    <cellStyle name="Normal 2 3 3 8 3 4" xfId="19702"/>
    <cellStyle name="Normal 2 3 3 8 3 5" xfId="19703"/>
    <cellStyle name="Normal 2 3 3 8 3 6" xfId="19704"/>
    <cellStyle name="Normal 2 3 3 8 4" xfId="19705"/>
    <cellStyle name="Normal 2 3 3 8 5" xfId="19706"/>
    <cellStyle name="Normal 2 3 3 8 6" xfId="19707"/>
    <cellStyle name="Normal 2 3 3 8 7" xfId="19708"/>
    <cellStyle name="Normal 2 3 3 8 8" xfId="19709"/>
    <cellStyle name="Normal 2 3 3 8 9" xfId="19710"/>
    <cellStyle name="Normal 2 3 3 9" xfId="19711"/>
    <cellStyle name="Normal 2 3 30" xfId="19712"/>
    <cellStyle name="Normal 2 3 31" xfId="19713"/>
    <cellStyle name="Normal 2 3 32" xfId="19714"/>
    <cellStyle name="Normal 2 3 33" xfId="19715"/>
    <cellStyle name="Normal 2 3 34" xfId="19716"/>
    <cellStyle name="Normal 2 3 35" xfId="19717"/>
    <cellStyle name="Normal 2 3 36" xfId="19718"/>
    <cellStyle name="Normal 2 3 36 10" xfId="19719"/>
    <cellStyle name="Normal 2 3 36 11" xfId="19720"/>
    <cellStyle name="Normal 2 3 36 12" xfId="19721"/>
    <cellStyle name="Normal 2 3 36 13" xfId="19722"/>
    <cellStyle name="Normal 2 3 36 14" xfId="19723"/>
    <cellStyle name="Normal 2 3 36 15" xfId="19724"/>
    <cellStyle name="Normal 2 3 36 16" xfId="19725"/>
    <cellStyle name="Normal 2 3 36 17" xfId="19726"/>
    <cellStyle name="Normal 2 3 36 2" xfId="19727"/>
    <cellStyle name="Normal 2 3 36 2 10" xfId="19728"/>
    <cellStyle name="Normal 2 3 36 2 11" xfId="19729"/>
    <cellStyle name="Normal 2 3 36 2 12" xfId="19730"/>
    <cellStyle name="Normal 2 3 36 2 13" xfId="19731"/>
    <cellStyle name="Normal 2 3 36 2 14" xfId="19732"/>
    <cellStyle name="Normal 2 3 36 2 15" xfId="19733"/>
    <cellStyle name="Normal 2 3 36 2 16" xfId="19734"/>
    <cellStyle name="Normal 2 3 36 2 17" xfId="19735"/>
    <cellStyle name="Normal 2 3 36 2 2" xfId="19736"/>
    <cellStyle name="Normal 2 3 36 2 2 2" xfId="19737"/>
    <cellStyle name="Normal 2 3 36 2 2 2 2" xfId="19738"/>
    <cellStyle name="Normal 2 3 36 2 2 2 3" xfId="19739"/>
    <cellStyle name="Normal 2 3 36 2 2 2 4" xfId="19740"/>
    <cellStyle name="Normal 2 3 36 2 2 2 5" xfId="19741"/>
    <cellStyle name="Normal 2 3 36 2 2 2 6" xfId="19742"/>
    <cellStyle name="Normal 2 3 36 2 2 2 7" xfId="19743"/>
    <cellStyle name="Normal 2 3 36 2 2 2 8" xfId="19744"/>
    <cellStyle name="Normal 2 3 36 2 2 2 9" xfId="19745"/>
    <cellStyle name="Normal 2 3 36 2 2 3" xfId="19746"/>
    <cellStyle name="Normal 2 3 36 2 2 4" xfId="19747"/>
    <cellStyle name="Normal 2 3 36 2 2 5" xfId="19748"/>
    <cellStyle name="Normal 2 3 36 2 2 6" xfId="19749"/>
    <cellStyle name="Normal 2 3 36 2 2 7" xfId="19750"/>
    <cellStyle name="Normal 2 3 36 2 2 8" xfId="19751"/>
    <cellStyle name="Normal 2 3 36 2 2 9" xfId="19752"/>
    <cellStyle name="Normal 2 3 36 2 3" xfId="19753"/>
    <cellStyle name="Normal 2 3 36 2 4" xfId="19754"/>
    <cellStyle name="Normal 2 3 36 2 5" xfId="19755"/>
    <cellStyle name="Normal 2 3 36 2 6" xfId="19756"/>
    <cellStyle name="Normal 2 3 36 2 7" xfId="19757"/>
    <cellStyle name="Normal 2 3 36 2 8" xfId="19758"/>
    <cellStyle name="Normal 2 3 36 2 9" xfId="19759"/>
    <cellStyle name="Normal 2 3 36 3" xfId="19760"/>
    <cellStyle name="Normal 2 3 36 3 2" xfId="19761"/>
    <cellStyle name="Normal 2 3 36 3 2 2" xfId="19762"/>
    <cellStyle name="Normal 2 3 36 3 2 3" xfId="19763"/>
    <cellStyle name="Normal 2 3 36 3 2 4" xfId="19764"/>
    <cellStyle name="Normal 2 3 36 3 2 5" xfId="19765"/>
    <cellStyle name="Normal 2 3 36 3 2 6" xfId="19766"/>
    <cellStyle name="Normal 2 3 36 3 2 7" xfId="19767"/>
    <cellStyle name="Normal 2 3 36 3 2 8" xfId="19768"/>
    <cellStyle name="Normal 2 3 36 3 2 9" xfId="19769"/>
    <cellStyle name="Normal 2 3 36 3 3" xfId="19770"/>
    <cellStyle name="Normal 2 3 36 3 4" xfId="19771"/>
    <cellStyle name="Normal 2 3 36 3 5" xfId="19772"/>
    <cellStyle name="Normal 2 3 36 3 6" xfId="19773"/>
    <cellStyle name="Normal 2 3 36 3 7" xfId="19774"/>
    <cellStyle name="Normal 2 3 36 3 8" xfId="19775"/>
    <cellStyle name="Normal 2 3 36 3 9" xfId="19776"/>
    <cellStyle name="Normal 2 3 36 4" xfId="19777"/>
    <cellStyle name="Normal 2 3 36 5" xfId="19778"/>
    <cellStyle name="Normal 2 3 36 6" xfId="19779"/>
    <cellStyle name="Normal 2 3 36 7" xfId="19780"/>
    <cellStyle name="Normal 2 3 36 8" xfId="19781"/>
    <cellStyle name="Normal 2 3 36 9" xfId="19782"/>
    <cellStyle name="Normal 2 3 37" xfId="19783"/>
    <cellStyle name="Normal 2 3 38" xfId="19784"/>
    <cellStyle name="Normal 2 3 39" xfId="19785"/>
    <cellStyle name="Normal 2 3 4" xfId="19786"/>
    <cellStyle name="Normal 2 3 4 2" xfId="19787"/>
    <cellStyle name="Normal 2 3 4 3" xfId="19788"/>
    <cellStyle name="Normal 2 3 4 4" xfId="19789"/>
    <cellStyle name="Normal 2 3 4 5" xfId="19790"/>
    <cellStyle name="Normal 2 3 4 6" xfId="19791"/>
    <cellStyle name="Normal 2 3 40" xfId="19792"/>
    <cellStyle name="Normal 2 3 41" xfId="19793"/>
    <cellStyle name="Normal 2 3 42" xfId="19794"/>
    <cellStyle name="Normal 2 3 43" xfId="19795"/>
    <cellStyle name="Normal 2 3 44" xfId="19796"/>
    <cellStyle name="Normal 2 3 45" xfId="19797"/>
    <cellStyle name="Normal 2 3 46" xfId="19798"/>
    <cellStyle name="Normal 2 3 46 2" xfId="19799"/>
    <cellStyle name="Normal 2 3 46 2 2" xfId="19800"/>
    <cellStyle name="Normal 2 3 46 2 3" xfId="19801"/>
    <cellStyle name="Normal 2 3 46 2 4" xfId="19802"/>
    <cellStyle name="Normal 2 3 46 2 5" xfId="19803"/>
    <cellStyle name="Normal 2 3 46 2 6" xfId="19804"/>
    <cellStyle name="Normal 2 3 46 2 7" xfId="19805"/>
    <cellStyle name="Normal 2 3 46 2 8" xfId="19806"/>
    <cellStyle name="Normal 2 3 46 2 9" xfId="19807"/>
    <cellStyle name="Normal 2 3 46 3" xfId="19808"/>
    <cellStyle name="Normal 2 3 46 4" xfId="19809"/>
    <cellStyle name="Normal 2 3 46 5" xfId="19810"/>
    <cellStyle name="Normal 2 3 46 6" xfId="19811"/>
    <cellStyle name="Normal 2 3 46 7" xfId="19812"/>
    <cellStyle name="Normal 2 3 46 8" xfId="19813"/>
    <cellStyle name="Normal 2 3 46 9" xfId="19814"/>
    <cellStyle name="Normal 2 3 47" xfId="19815"/>
    <cellStyle name="Normal 2 3 48" xfId="19816"/>
    <cellStyle name="Normal 2 3 49" xfId="19817"/>
    <cellStyle name="Normal 2 3 5" xfId="19818"/>
    <cellStyle name="Normal 2 3 5 10" xfId="19819"/>
    <cellStyle name="Normal 2 3 5 11" xfId="19820"/>
    <cellStyle name="Normal 2 3 5 12" xfId="19821"/>
    <cellStyle name="Normal 2 3 5 13" xfId="19822"/>
    <cellStyle name="Normal 2 3 5 14" xfId="19823"/>
    <cellStyle name="Normal 2 3 5 15" xfId="19824"/>
    <cellStyle name="Normal 2 3 5 16" xfId="19825"/>
    <cellStyle name="Normal 2 3 5 17" xfId="19826"/>
    <cellStyle name="Normal 2 3 5 18" xfId="19827"/>
    <cellStyle name="Normal 2 3 5 19" xfId="19828"/>
    <cellStyle name="Normal 2 3 5 2" xfId="19829"/>
    <cellStyle name="Normal 2 3 5 2 10" xfId="19830"/>
    <cellStyle name="Normal 2 3 5 2 11" xfId="19831"/>
    <cellStyle name="Normal 2 3 5 2 12" xfId="19832"/>
    <cellStyle name="Normal 2 3 5 2 13" xfId="19833"/>
    <cellStyle name="Normal 2 3 5 2 14" xfId="19834"/>
    <cellStyle name="Normal 2 3 5 2 15" xfId="19835"/>
    <cellStyle name="Normal 2 3 5 2 2" xfId="19836"/>
    <cellStyle name="Normal 2 3 5 2 2 10" xfId="19837"/>
    <cellStyle name="Normal 2 3 5 2 2 11" xfId="19838"/>
    <cellStyle name="Normal 2 3 5 2 2 12" xfId="19839"/>
    <cellStyle name="Normal 2 3 5 2 2 2" xfId="19840"/>
    <cellStyle name="Normal 2 3 5 2 2 2 10" xfId="19841"/>
    <cellStyle name="Normal 2 3 5 2 2 2 11" xfId="19842"/>
    <cellStyle name="Normal 2 3 5 2 2 2 12" xfId="19843"/>
    <cellStyle name="Normal 2 3 5 2 2 2 2" xfId="19844"/>
    <cellStyle name="Normal 2 3 5 2 2 2 2 2" xfId="19845"/>
    <cellStyle name="Normal 2 3 5 2 2 2 2 2 2" xfId="19846"/>
    <cellStyle name="Normal 2 3 5 2 2 2 2 2 2 2" xfId="19847"/>
    <cellStyle name="Normal 2 3 5 2 2 2 2 2 2 2 2" xfId="19848"/>
    <cellStyle name="Normal 2 3 5 2 2 2 2 2 2 2 3" xfId="19849"/>
    <cellStyle name="Normal 2 3 5 2 2 2 2 2 2 2 4" xfId="19850"/>
    <cellStyle name="Normal 2 3 5 2 2 2 2 2 2 2 5" xfId="19851"/>
    <cellStyle name="Normal 2 3 5 2 2 2 2 2 2 2 6" xfId="19852"/>
    <cellStyle name="Normal 2 3 5 2 2 2 2 2 2 3" xfId="19853"/>
    <cellStyle name="Normal 2 3 5 2 2 2 2 2 2 4" xfId="19854"/>
    <cellStyle name="Normal 2 3 5 2 2 2 2 2 2 5" xfId="19855"/>
    <cellStyle name="Normal 2 3 5 2 2 2 2 2 2 6" xfId="19856"/>
    <cellStyle name="Normal 2 3 5 2 2 2 2 2 3" xfId="19857"/>
    <cellStyle name="Normal 2 3 5 2 2 2 2 2 4" xfId="19858"/>
    <cellStyle name="Normal 2 3 5 2 2 2 2 2 5" xfId="19859"/>
    <cellStyle name="Normal 2 3 5 2 2 2 2 2 6" xfId="19860"/>
    <cellStyle name="Normal 2 3 5 2 2 2 2 2 7" xfId="19861"/>
    <cellStyle name="Normal 2 3 5 2 2 2 2 2 8" xfId="19862"/>
    <cellStyle name="Normal 2 3 5 2 2 2 2 2 9" xfId="19863"/>
    <cellStyle name="Normal 2 3 5 2 2 2 2 3" xfId="19864"/>
    <cellStyle name="Normal 2 3 5 2 2 2 2 3 2" xfId="19865"/>
    <cellStyle name="Normal 2 3 5 2 2 2 2 3 2 2" xfId="19866"/>
    <cellStyle name="Normal 2 3 5 2 2 2 2 3 2 3" xfId="19867"/>
    <cellStyle name="Normal 2 3 5 2 2 2 2 3 2 4" xfId="19868"/>
    <cellStyle name="Normal 2 3 5 2 2 2 2 3 2 5" xfId="19869"/>
    <cellStyle name="Normal 2 3 5 2 2 2 2 3 2 6" xfId="19870"/>
    <cellStyle name="Normal 2 3 5 2 2 2 2 3 3" xfId="19871"/>
    <cellStyle name="Normal 2 3 5 2 2 2 2 3 4" xfId="19872"/>
    <cellStyle name="Normal 2 3 5 2 2 2 2 3 5" xfId="19873"/>
    <cellStyle name="Normal 2 3 5 2 2 2 2 3 6" xfId="19874"/>
    <cellStyle name="Normal 2 3 5 2 2 2 2 4" xfId="19875"/>
    <cellStyle name="Normal 2 3 5 2 2 2 2 5" xfId="19876"/>
    <cellStyle name="Normal 2 3 5 2 2 2 2 6" xfId="19877"/>
    <cellStyle name="Normal 2 3 5 2 2 2 2 7" xfId="19878"/>
    <cellStyle name="Normal 2 3 5 2 2 2 2 8" xfId="19879"/>
    <cellStyle name="Normal 2 3 5 2 2 2 2 9" xfId="19880"/>
    <cellStyle name="Normal 2 3 5 2 2 2 3" xfId="19881"/>
    <cellStyle name="Normal 2 3 5 2 2 2 4" xfId="19882"/>
    <cellStyle name="Normal 2 3 5 2 2 2 5" xfId="19883"/>
    <cellStyle name="Normal 2 3 5 2 2 2 5 2" xfId="19884"/>
    <cellStyle name="Normal 2 3 5 2 2 2 5 2 2" xfId="19885"/>
    <cellStyle name="Normal 2 3 5 2 2 2 5 2 3" xfId="19886"/>
    <cellStyle name="Normal 2 3 5 2 2 2 5 2 4" xfId="19887"/>
    <cellStyle name="Normal 2 3 5 2 2 2 5 2 5" xfId="19888"/>
    <cellStyle name="Normal 2 3 5 2 2 2 5 2 6" xfId="19889"/>
    <cellStyle name="Normal 2 3 5 2 2 2 5 3" xfId="19890"/>
    <cellStyle name="Normal 2 3 5 2 2 2 5 4" xfId="19891"/>
    <cellStyle name="Normal 2 3 5 2 2 2 5 5" xfId="19892"/>
    <cellStyle name="Normal 2 3 5 2 2 2 5 6" xfId="19893"/>
    <cellStyle name="Normal 2 3 5 2 2 2 6" xfId="19894"/>
    <cellStyle name="Normal 2 3 5 2 2 2 7" xfId="19895"/>
    <cellStyle name="Normal 2 3 5 2 2 2 8" xfId="19896"/>
    <cellStyle name="Normal 2 3 5 2 2 2 9" xfId="19897"/>
    <cellStyle name="Normal 2 3 5 2 2 3" xfId="19898"/>
    <cellStyle name="Normal 2 3 5 2 2 3 2" xfId="19899"/>
    <cellStyle name="Normal 2 3 5 2 2 3 2 2" xfId="19900"/>
    <cellStyle name="Normal 2 3 5 2 2 3 2 2 2" xfId="19901"/>
    <cellStyle name="Normal 2 3 5 2 2 3 2 2 2 2" xfId="19902"/>
    <cellStyle name="Normal 2 3 5 2 2 3 2 2 2 3" xfId="19903"/>
    <cellStyle name="Normal 2 3 5 2 2 3 2 2 2 4" xfId="19904"/>
    <cellStyle name="Normal 2 3 5 2 2 3 2 2 2 5" xfId="19905"/>
    <cellStyle name="Normal 2 3 5 2 2 3 2 2 2 6" xfId="19906"/>
    <cellStyle name="Normal 2 3 5 2 2 3 2 2 3" xfId="19907"/>
    <cellStyle name="Normal 2 3 5 2 2 3 2 2 4" xfId="19908"/>
    <cellStyle name="Normal 2 3 5 2 2 3 2 2 5" xfId="19909"/>
    <cellStyle name="Normal 2 3 5 2 2 3 2 2 6" xfId="19910"/>
    <cellStyle name="Normal 2 3 5 2 2 3 2 3" xfId="19911"/>
    <cellStyle name="Normal 2 3 5 2 2 3 2 4" xfId="19912"/>
    <cellStyle name="Normal 2 3 5 2 2 3 2 5" xfId="19913"/>
    <cellStyle name="Normal 2 3 5 2 2 3 2 6" xfId="19914"/>
    <cellStyle name="Normal 2 3 5 2 2 3 2 7" xfId="19915"/>
    <cellStyle name="Normal 2 3 5 2 2 3 2 8" xfId="19916"/>
    <cellStyle name="Normal 2 3 5 2 2 3 2 9" xfId="19917"/>
    <cellStyle name="Normal 2 3 5 2 2 3 3" xfId="19918"/>
    <cellStyle name="Normal 2 3 5 2 2 3 3 2" xfId="19919"/>
    <cellStyle name="Normal 2 3 5 2 2 3 3 2 2" xfId="19920"/>
    <cellStyle name="Normal 2 3 5 2 2 3 3 2 3" xfId="19921"/>
    <cellStyle name="Normal 2 3 5 2 2 3 3 2 4" xfId="19922"/>
    <cellStyle name="Normal 2 3 5 2 2 3 3 2 5" xfId="19923"/>
    <cellStyle name="Normal 2 3 5 2 2 3 3 2 6" xfId="19924"/>
    <cellStyle name="Normal 2 3 5 2 2 3 3 3" xfId="19925"/>
    <cellStyle name="Normal 2 3 5 2 2 3 3 4" xfId="19926"/>
    <cellStyle name="Normal 2 3 5 2 2 3 3 5" xfId="19927"/>
    <cellStyle name="Normal 2 3 5 2 2 3 3 6" xfId="19928"/>
    <cellStyle name="Normal 2 3 5 2 2 3 4" xfId="19929"/>
    <cellStyle name="Normal 2 3 5 2 2 3 5" xfId="19930"/>
    <cellStyle name="Normal 2 3 5 2 2 3 6" xfId="19931"/>
    <cellStyle name="Normal 2 3 5 2 2 3 7" xfId="19932"/>
    <cellStyle name="Normal 2 3 5 2 2 3 8" xfId="19933"/>
    <cellStyle name="Normal 2 3 5 2 2 3 9" xfId="19934"/>
    <cellStyle name="Normal 2 3 5 2 2 4" xfId="19935"/>
    <cellStyle name="Normal 2 3 5 2 2 5" xfId="19936"/>
    <cellStyle name="Normal 2 3 5 2 2 5 2" xfId="19937"/>
    <cellStyle name="Normal 2 3 5 2 2 5 2 2" xfId="19938"/>
    <cellStyle name="Normal 2 3 5 2 2 5 2 3" xfId="19939"/>
    <cellStyle name="Normal 2 3 5 2 2 5 2 4" xfId="19940"/>
    <cellStyle name="Normal 2 3 5 2 2 5 2 5" xfId="19941"/>
    <cellStyle name="Normal 2 3 5 2 2 5 2 6" xfId="19942"/>
    <cellStyle name="Normal 2 3 5 2 2 5 3" xfId="19943"/>
    <cellStyle name="Normal 2 3 5 2 2 5 4" xfId="19944"/>
    <cellStyle name="Normal 2 3 5 2 2 5 5" xfId="19945"/>
    <cellStyle name="Normal 2 3 5 2 2 5 6" xfId="19946"/>
    <cellStyle name="Normal 2 3 5 2 2 6" xfId="19947"/>
    <cellStyle name="Normal 2 3 5 2 2 7" xfId="19948"/>
    <cellStyle name="Normal 2 3 5 2 2 8" xfId="19949"/>
    <cellStyle name="Normal 2 3 5 2 2 9" xfId="19950"/>
    <cellStyle name="Normal 2 3 5 2 3" xfId="19951"/>
    <cellStyle name="Normal 2 3 5 2 4" xfId="19952"/>
    <cellStyle name="Normal 2 3 5 2 5" xfId="19953"/>
    <cellStyle name="Normal 2 3 5 2 5 2" xfId="19954"/>
    <cellStyle name="Normal 2 3 5 2 5 2 2" xfId="19955"/>
    <cellStyle name="Normal 2 3 5 2 5 2 2 2" xfId="19956"/>
    <cellStyle name="Normal 2 3 5 2 5 2 2 2 2" xfId="19957"/>
    <cellStyle name="Normal 2 3 5 2 5 2 2 2 3" xfId="19958"/>
    <cellStyle name="Normal 2 3 5 2 5 2 2 2 4" xfId="19959"/>
    <cellStyle name="Normal 2 3 5 2 5 2 2 2 5" xfId="19960"/>
    <cellStyle name="Normal 2 3 5 2 5 2 2 2 6" xfId="19961"/>
    <cellStyle name="Normal 2 3 5 2 5 2 2 3" xfId="19962"/>
    <cellStyle name="Normal 2 3 5 2 5 2 2 4" xfId="19963"/>
    <cellStyle name="Normal 2 3 5 2 5 2 2 5" xfId="19964"/>
    <cellStyle name="Normal 2 3 5 2 5 2 2 6" xfId="19965"/>
    <cellStyle name="Normal 2 3 5 2 5 2 3" xfId="19966"/>
    <cellStyle name="Normal 2 3 5 2 5 2 4" xfId="19967"/>
    <cellStyle name="Normal 2 3 5 2 5 2 5" xfId="19968"/>
    <cellStyle name="Normal 2 3 5 2 5 2 6" xfId="19969"/>
    <cellStyle name="Normal 2 3 5 2 5 2 7" xfId="19970"/>
    <cellStyle name="Normal 2 3 5 2 5 2 8" xfId="19971"/>
    <cellStyle name="Normal 2 3 5 2 5 2 9" xfId="19972"/>
    <cellStyle name="Normal 2 3 5 2 5 3" xfId="19973"/>
    <cellStyle name="Normal 2 3 5 2 5 3 2" xfId="19974"/>
    <cellStyle name="Normal 2 3 5 2 5 3 2 2" xfId="19975"/>
    <cellStyle name="Normal 2 3 5 2 5 3 2 3" xfId="19976"/>
    <cellStyle name="Normal 2 3 5 2 5 3 2 4" xfId="19977"/>
    <cellStyle name="Normal 2 3 5 2 5 3 2 5" xfId="19978"/>
    <cellStyle name="Normal 2 3 5 2 5 3 2 6" xfId="19979"/>
    <cellStyle name="Normal 2 3 5 2 5 3 3" xfId="19980"/>
    <cellStyle name="Normal 2 3 5 2 5 3 4" xfId="19981"/>
    <cellStyle name="Normal 2 3 5 2 5 3 5" xfId="19982"/>
    <cellStyle name="Normal 2 3 5 2 5 3 6" xfId="19983"/>
    <cellStyle name="Normal 2 3 5 2 5 4" xfId="19984"/>
    <cellStyle name="Normal 2 3 5 2 5 5" xfId="19985"/>
    <cellStyle name="Normal 2 3 5 2 5 6" xfId="19986"/>
    <cellStyle name="Normal 2 3 5 2 5 7" xfId="19987"/>
    <cellStyle name="Normal 2 3 5 2 5 8" xfId="19988"/>
    <cellStyle name="Normal 2 3 5 2 5 9" xfId="19989"/>
    <cellStyle name="Normal 2 3 5 2 6" xfId="19990"/>
    <cellStyle name="Normal 2 3 5 2 7" xfId="19991"/>
    <cellStyle name="Normal 2 3 5 2 8" xfId="19992"/>
    <cellStyle name="Normal 2 3 5 2 8 2" xfId="19993"/>
    <cellStyle name="Normal 2 3 5 2 8 2 2" xfId="19994"/>
    <cellStyle name="Normal 2 3 5 2 8 2 3" xfId="19995"/>
    <cellStyle name="Normal 2 3 5 2 8 2 4" xfId="19996"/>
    <cellStyle name="Normal 2 3 5 2 8 2 5" xfId="19997"/>
    <cellStyle name="Normal 2 3 5 2 8 2 6" xfId="19998"/>
    <cellStyle name="Normal 2 3 5 2 8 3" xfId="19999"/>
    <cellStyle name="Normal 2 3 5 2 8 4" xfId="20000"/>
    <cellStyle name="Normal 2 3 5 2 8 5" xfId="20001"/>
    <cellStyle name="Normal 2 3 5 2 8 6" xfId="20002"/>
    <cellStyle name="Normal 2 3 5 2 9" xfId="20003"/>
    <cellStyle name="Normal 2 3 5 20" xfId="20004"/>
    <cellStyle name="Normal 2 3 5 3" xfId="20005"/>
    <cellStyle name="Normal 2 3 5 3 10" xfId="20006"/>
    <cellStyle name="Normal 2 3 5 3 11" xfId="20007"/>
    <cellStyle name="Normal 2 3 5 3 12" xfId="20008"/>
    <cellStyle name="Normal 2 3 5 3 2" xfId="20009"/>
    <cellStyle name="Normal 2 3 5 3 2 10" xfId="20010"/>
    <cellStyle name="Normal 2 3 5 3 2 11" xfId="20011"/>
    <cellStyle name="Normal 2 3 5 3 2 12" xfId="20012"/>
    <cellStyle name="Normal 2 3 5 3 2 2" xfId="20013"/>
    <cellStyle name="Normal 2 3 5 3 2 2 2" xfId="20014"/>
    <cellStyle name="Normal 2 3 5 3 2 2 2 2" xfId="20015"/>
    <cellStyle name="Normal 2 3 5 3 2 2 2 2 2" xfId="20016"/>
    <cellStyle name="Normal 2 3 5 3 2 2 2 2 2 2" xfId="20017"/>
    <cellStyle name="Normal 2 3 5 3 2 2 2 2 2 3" xfId="20018"/>
    <cellStyle name="Normal 2 3 5 3 2 2 2 2 2 4" xfId="20019"/>
    <cellStyle name="Normal 2 3 5 3 2 2 2 2 2 5" xfId="20020"/>
    <cellStyle name="Normal 2 3 5 3 2 2 2 2 2 6" xfId="20021"/>
    <cellStyle name="Normal 2 3 5 3 2 2 2 2 3" xfId="20022"/>
    <cellStyle name="Normal 2 3 5 3 2 2 2 2 4" xfId="20023"/>
    <cellStyle name="Normal 2 3 5 3 2 2 2 2 5" xfId="20024"/>
    <cellStyle name="Normal 2 3 5 3 2 2 2 2 6" xfId="20025"/>
    <cellStyle name="Normal 2 3 5 3 2 2 2 3" xfId="20026"/>
    <cellStyle name="Normal 2 3 5 3 2 2 2 4" xfId="20027"/>
    <cellStyle name="Normal 2 3 5 3 2 2 2 5" xfId="20028"/>
    <cellStyle name="Normal 2 3 5 3 2 2 2 6" xfId="20029"/>
    <cellStyle name="Normal 2 3 5 3 2 2 2 7" xfId="20030"/>
    <cellStyle name="Normal 2 3 5 3 2 2 2 8" xfId="20031"/>
    <cellStyle name="Normal 2 3 5 3 2 2 2 9" xfId="20032"/>
    <cellStyle name="Normal 2 3 5 3 2 2 3" xfId="20033"/>
    <cellStyle name="Normal 2 3 5 3 2 2 3 2" xfId="20034"/>
    <cellStyle name="Normal 2 3 5 3 2 2 3 2 2" xfId="20035"/>
    <cellStyle name="Normal 2 3 5 3 2 2 3 2 3" xfId="20036"/>
    <cellStyle name="Normal 2 3 5 3 2 2 3 2 4" xfId="20037"/>
    <cellStyle name="Normal 2 3 5 3 2 2 3 2 5" xfId="20038"/>
    <cellStyle name="Normal 2 3 5 3 2 2 3 2 6" xfId="20039"/>
    <cellStyle name="Normal 2 3 5 3 2 2 3 3" xfId="20040"/>
    <cellStyle name="Normal 2 3 5 3 2 2 3 4" xfId="20041"/>
    <cellStyle name="Normal 2 3 5 3 2 2 3 5" xfId="20042"/>
    <cellStyle name="Normal 2 3 5 3 2 2 3 6" xfId="20043"/>
    <cellStyle name="Normal 2 3 5 3 2 2 4" xfId="20044"/>
    <cellStyle name="Normal 2 3 5 3 2 2 5" xfId="20045"/>
    <cellStyle name="Normal 2 3 5 3 2 2 6" xfId="20046"/>
    <cellStyle name="Normal 2 3 5 3 2 2 7" xfId="20047"/>
    <cellStyle name="Normal 2 3 5 3 2 2 8" xfId="20048"/>
    <cellStyle name="Normal 2 3 5 3 2 2 9" xfId="20049"/>
    <cellStyle name="Normal 2 3 5 3 2 3" xfId="20050"/>
    <cellStyle name="Normal 2 3 5 3 2 4" xfId="20051"/>
    <cellStyle name="Normal 2 3 5 3 2 5" xfId="20052"/>
    <cellStyle name="Normal 2 3 5 3 2 5 2" xfId="20053"/>
    <cellStyle name="Normal 2 3 5 3 2 5 2 2" xfId="20054"/>
    <cellStyle name="Normal 2 3 5 3 2 5 2 3" xfId="20055"/>
    <cellStyle name="Normal 2 3 5 3 2 5 2 4" xfId="20056"/>
    <cellStyle name="Normal 2 3 5 3 2 5 2 5" xfId="20057"/>
    <cellStyle name="Normal 2 3 5 3 2 5 2 6" xfId="20058"/>
    <cellStyle name="Normal 2 3 5 3 2 5 3" xfId="20059"/>
    <cellStyle name="Normal 2 3 5 3 2 5 4" xfId="20060"/>
    <cellStyle name="Normal 2 3 5 3 2 5 5" xfId="20061"/>
    <cellStyle name="Normal 2 3 5 3 2 5 6" xfId="20062"/>
    <cellStyle name="Normal 2 3 5 3 2 6" xfId="20063"/>
    <cellStyle name="Normal 2 3 5 3 2 7" xfId="20064"/>
    <cellStyle name="Normal 2 3 5 3 2 8" xfId="20065"/>
    <cellStyle name="Normal 2 3 5 3 2 9" xfId="20066"/>
    <cellStyle name="Normal 2 3 5 3 3" xfId="20067"/>
    <cellStyle name="Normal 2 3 5 3 3 2" xfId="20068"/>
    <cellStyle name="Normal 2 3 5 3 3 2 2" xfId="20069"/>
    <cellStyle name="Normal 2 3 5 3 3 2 2 2" xfId="20070"/>
    <cellStyle name="Normal 2 3 5 3 3 2 2 2 2" xfId="20071"/>
    <cellStyle name="Normal 2 3 5 3 3 2 2 2 3" xfId="20072"/>
    <cellStyle name="Normal 2 3 5 3 3 2 2 2 4" xfId="20073"/>
    <cellStyle name="Normal 2 3 5 3 3 2 2 2 5" xfId="20074"/>
    <cellStyle name="Normal 2 3 5 3 3 2 2 2 6" xfId="20075"/>
    <cellStyle name="Normal 2 3 5 3 3 2 2 3" xfId="20076"/>
    <cellStyle name="Normal 2 3 5 3 3 2 2 4" xfId="20077"/>
    <cellStyle name="Normal 2 3 5 3 3 2 2 5" xfId="20078"/>
    <cellStyle name="Normal 2 3 5 3 3 2 2 6" xfId="20079"/>
    <cellStyle name="Normal 2 3 5 3 3 2 3" xfId="20080"/>
    <cellStyle name="Normal 2 3 5 3 3 2 4" xfId="20081"/>
    <cellStyle name="Normal 2 3 5 3 3 2 5" xfId="20082"/>
    <cellStyle name="Normal 2 3 5 3 3 2 6" xfId="20083"/>
    <cellStyle name="Normal 2 3 5 3 3 2 7" xfId="20084"/>
    <cellStyle name="Normal 2 3 5 3 3 2 8" xfId="20085"/>
    <cellStyle name="Normal 2 3 5 3 3 2 9" xfId="20086"/>
    <cellStyle name="Normal 2 3 5 3 3 3" xfId="20087"/>
    <cellStyle name="Normal 2 3 5 3 3 3 2" xfId="20088"/>
    <cellStyle name="Normal 2 3 5 3 3 3 2 2" xfId="20089"/>
    <cellStyle name="Normal 2 3 5 3 3 3 2 3" xfId="20090"/>
    <cellStyle name="Normal 2 3 5 3 3 3 2 4" xfId="20091"/>
    <cellStyle name="Normal 2 3 5 3 3 3 2 5" xfId="20092"/>
    <cellStyle name="Normal 2 3 5 3 3 3 2 6" xfId="20093"/>
    <cellStyle name="Normal 2 3 5 3 3 3 3" xfId="20094"/>
    <cellStyle name="Normal 2 3 5 3 3 3 4" xfId="20095"/>
    <cellStyle name="Normal 2 3 5 3 3 3 5" xfId="20096"/>
    <cellStyle name="Normal 2 3 5 3 3 3 6" xfId="20097"/>
    <cellStyle name="Normal 2 3 5 3 3 4" xfId="20098"/>
    <cellStyle name="Normal 2 3 5 3 3 5" xfId="20099"/>
    <cellStyle name="Normal 2 3 5 3 3 6" xfId="20100"/>
    <cellStyle name="Normal 2 3 5 3 3 7" xfId="20101"/>
    <cellStyle name="Normal 2 3 5 3 3 8" xfId="20102"/>
    <cellStyle name="Normal 2 3 5 3 3 9" xfId="20103"/>
    <cellStyle name="Normal 2 3 5 3 4" xfId="20104"/>
    <cellStyle name="Normal 2 3 5 3 5" xfId="20105"/>
    <cellStyle name="Normal 2 3 5 3 5 2" xfId="20106"/>
    <cellStyle name="Normal 2 3 5 3 5 2 2" xfId="20107"/>
    <cellStyle name="Normal 2 3 5 3 5 2 3" xfId="20108"/>
    <cellStyle name="Normal 2 3 5 3 5 2 4" xfId="20109"/>
    <cellStyle name="Normal 2 3 5 3 5 2 5" xfId="20110"/>
    <cellStyle name="Normal 2 3 5 3 5 2 6" xfId="20111"/>
    <cellStyle name="Normal 2 3 5 3 5 3" xfId="20112"/>
    <cellStyle name="Normal 2 3 5 3 5 4" xfId="20113"/>
    <cellStyle name="Normal 2 3 5 3 5 5" xfId="20114"/>
    <cellStyle name="Normal 2 3 5 3 5 6" xfId="20115"/>
    <cellStyle name="Normal 2 3 5 3 6" xfId="20116"/>
    <cellStyle name="Normal 2 3 5 3 7" xfId="20117"/>
    <cellStyle name="Normal 2 3 5 3 8" xfId="20118"/>
    <cellStyle name="Normal 2 3 5 3 9" xfId="20119"/>
    <cellStyle name="Normal 2 3 5 4" xfId="20120"/>
    <cellStyle name="Normal 2 3 5 5" xfId="20121"/>
    <cellStyle name="Normal 2 3 5 5 2" xfId="20122"/>
    <cellStyle name="Normal 2 3 5 5 2 2" xfId="20123"/>
    <cellStyle name="Normal 2 3 5 5 2 2 2" xfId="20124"/>
    <cellStyle name="Normal 2 3 5 5 2 2 2 2" xfId="20125"/>
    <cellStyle name="Normal 2 3 5 5 2 2 2 3" xfId="20126"/>
    <cellStyle name="Normal 2 3 5 5 2 2 2 4" xfId="20127"/>
    <cellStyle name="Normal 2 3 5 5 2 2 2 5" xfId="20128"/>
    <cellStyle name="Normal 2 3 5 5 2 2 2 6" xfId="20129"/>
    <cellStyle name="Normal 2 3 5 5 2 2 3" xfId="20130"/>
    <cellStyle name="Normal 2 3 5 5 2 2 4" xfId="20131"/>
    <cellStyle name="Normal 2 3 5 5 2 2 5" xfId="20132"/>
    <cellStyle name="Normal 2 3 5 5 2 2 6" xfId="20133"/>
    <cellStyle name="Normal 2 3 5 5 2 3" xfId="20134"/>
    <cellStyle name="Normal 2 3 5 5 2 4" xfId="20135"/>
    <cellStyle name="Normal 2 3 5 5 2 5" xfId="20136"/>
    <cellStyle name="Normal 2 3 5 5 2 6" xfId="20137"/>
    <cellStyle name="Normal 2 3 5 5 2 7" xfId="20138"/>
    <cellStyle name="Normal 2 3 5 5 2 8" xfId="20139"/>
    <cellStyle name="Normal 2 3 5 5 2 9" xfId="20140"/>
    <cellStyle name="Normal 2 3 5 5 3" xfId="20141"/>
    <cellStyle name="Normal 2 3 5 5 3 2" xfId="20142"/>
    <cellStyle name="Normal 2 3 5 5 3 2 2" xfId="20143"/>
    <cellStyle name="Normal 2 3 5 5 3 2 3" xfId="20144"/>
    <cellStyle name="Normal 2 3 5 5 3 2 4" xfId="20145"/>
    <cellStyle name="Normal 2 3 5 5 3 2 5" xfId="20146"/>
    <cellStyle name="Normal 2 3 5 5 3 2 6" xfId="20147"/>
    <cellStyle name="Normal 2 3 5 5 3 3" xfId="20148"/>
    <cellStyle name="Normal 2 3 5 5 3 4" xfId="20149"/>
    <cellStyle name="Normal 2 3 5 5 3 5" xfId="20150"/>
    <cellStyle name="Normal 2 3 5 5 3 6" xfId="20151"/>
    <cellStyle name="Normal 2 3 5 5 4" xfId="20152"/>
    <cellStyle name="Normal 2 3 5 5 5" xfId="20153"/>
    <cellStyle name="Normal 2 3 5 5 6" xfId="20154"/>
    <cellStyle name="Normal 2 3 5 5 7" xfId="20155"/>
    <cellStyle name="Normal 2 3 5 5 8" xfId="20156"/>
    <cellStyle name="Normal 2 3 5 5 9" xfId="20157"/>
    <cellStyle name="Normal 2 3 5 6" xfId="20158"/>
    <cellStyle name="Normal 2 3 5 7" xfId="20159"/>
    <cellStyle name="Normal 2 3 5 8" xfId="20160"/>
    <cellStyle name="Normal 2 3 5 8 2" xfId="20161"/>
    <cellStyle name="Normal 2 3 5 8 2 2" xfId="20162"/>
    <cellStyle name="Normal 2 3 5 8 2 3" xfId="20163"/>
    <cellStyle name="Normal 2 3 5 8 2 4" xfId="20164"/>
    <cellStyle name="Normal 2 3 5 8 2 5" xfId="20165"/>
    <cellStyle name="Normal 2 3 5 8 2 6" xfId="20166"/>
    <cellStyle name="Normal 2 3 5 8 3" xfId="20167"/>
    <cellStyle name="Normal 2 3 5 8 4" xfId="20168"/>
    <cellStyle name="Normal 2 3 5 8 5" xfId="20169"/>
    <cellStyle name="Normal 2 3 5 8 6" xfId="20170"/>
    <cellStyle name="Normal 2 3 5 9" xfId="20171"/>
    <cellStyle name="Normal 2 3 50" xfId="20172"/>
    <cellStyle name="Normal 2 3 51" xfId="20173"/>
    <cellStyle name="Normal 2 3 52" xfId="20174"/>
    <cellStyle name="Normal 2 3 53" xfId="20175"/>
    <cellStyle name="Normal 2 3 54" xfId="20176"/>
    <cellStyle name="Normal 2 3 55" xfId="20177"/>
    <cellStyle name="Normal 2 3 56" xfId="20178"/>
    <cellStyle name="Normal 2 3 57" xfId="20179"/>
    <cellStyle name="Normal 2 3 58" xfId="20180"/>
    <cellStyle name="Normal 2 3 59" xfId="20181"/>
    <cellStyle name="Normal 2 3 6" xfId="20182"/>
    <cellStyle name="Normal 2 3 6 2" xfId="20183"/>
    <cellStyle name="Normal 2 3 6 3" xfId="20184"/>
    <cellStyle name="Normal 2 3 6 4" xfId="20185"/>
    <cellStyle name="Normal 2 3 6 5" xfId="20186"/>
    <cellStyle name="Normal 2 3 6 6" xfId="20187"/>
    <cellStyle name="Normal 2 3 60" xfId="20188"/>
    <cellStyle name="Normal 2 3 61" xfId="20189"/>
    <cellStyle name="Normal 2 3 62" xfId="20190"/>
    <cellStyle name="Normal 2 3 62 2" xfId="20191"/>
    <cellStyle name="Normal 2 3 62 2 2" xfId="20192"/>
    <cellStyle name="Normal 2 3 62 2 2 2" xfId="20193"/>
    <cellStyle name="Normal 2 3 62 3" xfId="20194"/>
    <cellStyle name="Normal 2 3 62 4" xfId="20195"/>
    <cellStyle name="Normal 2 3 62 5" xfId="20196"/>
    <cellStyle name="Normal 2 3 62 6" xfId="20197"/>
    <cellStyle name="Normal 2 3 63" xfId="20198"/>
    <cellStyle name="Normal 2 3 63 2" xfId="20199"/>
    <cellStyle name="Normal 2 3 63 2 2" xfId="20200"/>
    <cellStyle name="Normal 2 3 64" xfId="20201"/>
    <cellStyle name="Normal 2 3 65" xfId="20202"/>
    <cellStyle name="Normal 2 3 66" xfId="20203"/>
    <cellStyle name="Normal 2 3 67" xfId="20204"/>
    <cellStyle name="Normal 2 3 68" xfId="20205"/>
    <cellStyle name="Normal 2 3 69" xfId="20206"/>
    <cellStyle name="Normal 2 3 7" xfId="20207"/>
    <cellStyle name="Normal 2 3 7 2" xfId="20208"/>
    <cellStyle name="Normal 2 3 7 3" xfId="20209"/>
    <cellStyle name="Normal 2 3 7 4" xfId="20210"/>
    <cellStyle name="Normal 2 3 7 5" xfId="20211"/>
    <cellStyle name="Normal 2 3 7 6" xfId="20212"/>
    <cellStyle name="Normal 2 3 70" xfId="20213"/>
    <cellStyle name="Normal 2 3 71" xfId="20214"/>
    <cellStyle name="Normal 2 3 72" xfId="20215"/>
    <cellStyle name="Normal 2 3 72 10" xfId="20216"/>
    <cellStyle name="Normal 2 3 72 11" xfId="20217"/>
    <cellStyle name="Normal 2 3 72 12" xfId="20218"/>
    <cellStyle name="Normal 2 3 72 13" xfId="20219"/>
    <cellStyle name="Normal 2 3 72 14" xfId="20220"/>
    <cellStyle name="Normal 2 3 72 15" xfId="20221"/>
    <cellStyle name="Normal 2 3 72 16" xfId="20222"/>
    <cellStyle name="Normal 2 3 72 2" xfId="20223"/>
    <cellStyle name="Normal 2 3 72 3" xfId="20224"/>
    <cellStyle name="Normal 2 3 72 4" xfId="20225"/>
    <cellStyle name="Normal 2 3 72 5" xfId="20226"/>
    <cellStyle name="Normal 2 3 72 6" xfId="20227"/>
    <cellStyle name="Normal 2 3 72 7" xfId="20228"/>
    <cellStyle name="Normal 2 3 72 8" xfId="20229"/>
    <cellStyle name="Normal 2 3 72 9" xfId="20230"/>
    <cellStyle name="Normal 2 3 73" xfId="20231"/>
    <cellStyle name="Normal 2 3 74" xfId="20232"/>
    <cellStyle name="Normal 2 3 75" xfId="20233"/>
    <cellStyle name="Normal 2 3 76" xfId="20234"/>
    <cellStyle name="Normal 2 3 77" xfId="20235"/>
    <cellStyle name="Normal 2 3 78" xfId="20236"/>
    <cellStyle name="Normal 2 3 79" xfId="20237"/>
    <cellStyle name="Normal 2 3 8" xfId="20238"/>
    <cellStyle name="Normal 2 3 8 10" xfId="20239"/>
    <cellStyle name="Normal 2 3 8 11" xfId="20240"/>
    <cellStyle name="Normal 2 3 8 12" xfId="20241"/>
    <cellStyle name="Normal 2 3 8 13" xfId="20242"/>
    <cellStyle name="Normal 2 3 8 14" xfId="20243"/>
    <cellStyle name="Normal 2 3 8 15" xfId="20244"/>
    <cellStyle name="Normal 2 3 8 16" xfId="20245"/>
    <cellStyle name="Normal 2 3 8 17" xfId="20246"/>
    <cellStyle name="Normal 2 3 8 2" xfId="20247"/>
    <cellStyle name="Normal 2 3 8 2 10" xfId="20248"/>
    <cellStyle name="Normal 2 3 8 2 11" xfId="20249"/>
    <cellStyle name="Normal 2 3 8 2 12" xfId="20250"/>
    <cellStyle name="Normal 2 3 8 2 2" xfId="20251"/>
    <cellStyle name="Normal 2 3 8 2 2 2" xfId="20252"/>
    <cellStyle name="Normal 2 3 8 2 2 2 2" xfId="20253"/>
    <cellStyle name="Normal 2 3 8 2 2 2 2 2" xfId="20254"/>
    <cellStyle name="Normal 2 3 8 2 2 2 2 2 2" xfId="20255"/>
    <cellStyle name="Normal 2 3 8 2 2 2 2 2 3" xfId="20256"/>
    <cellStyle name="Normal 2 3 8 2 2 2 2 2 4" xfId="20257"/>
    <cellStyle name="Normal 2 3 8 2 2 2 2 2 5" xfId="20258"/>
    <cellStyle name="Normal 2 3 8 2 2 2 2 2 6" xfId="20259"/>
    <cellStyle name="Normal 2 3 8 2 2 2 2 3" xfId="20260"/>
    <cellStyle name="Normal 2 3 8 2 2 2 2 4" xfId="20261"/>
    <cellStyle name="Normal 2 3 8 2 2 2 2 5" xfId="20262"/>
    <cellStyle name="Normal 2 3 8 2 2 2 2 6" xfId="20263"/>
    <cellStyle name="Normal 2 3 8 2 2 2 3" xfId="20264"/>
    <cellStyle name="Normal 2 3 8 2 2 2 4" xfId="20265"/>
    <cellStyle name="Normal 2 3 8 2 2 2 5" xfId="20266"/>
    <cellStyle name="Normal 2 3 8 2 2 2 6" xfId="20267"/>
    <cellStyle name="Normal 2 3 8 2 2 2 7" xfId="20268"/>
    <cellStyle name="Normal 2 3 8 2 2 2 8" xfId="20269"/>
    <cellStyle name="Normal 2 3 8 2 2 2 9" xfId="20270"/>
    <cellStyle name="Normal 2 3 8 2 2 3" xfId="20271"/>
    <cellStyle name="Normal 2 3 8 2 2 3 2" xfId="20272"/>
    <cellStyle name="Normal 2 3 8 2 2 3 2 2" xfId="20273"/>
    <cellStyle name="Normal 2 3 8 2 2 3 2 3" xfId="20274"/>
    <cellStyle name="Normal 2 3 8 2 2 3 2 4" xfId="20275"/>
    <cellStyle name="Normal 2 3 8 2 2 3 2 5" xfId="20276"/>
    <cellStyle name="Normal 2 3 8 2 2 3 2 6" xfId="20277"/>
    <cellStyle name="Normal 2 3 8 2 2 3 3" xfId="20278"/>
    <cellStyle name="Normal 2 3 8 2 2 3 4" xfId="20279"/>
    <cellStyle name="Normal 2 3 8 2 2 3 5" xfId="20280"/>
    <cellStyle name="Normal 2 3 8 2 2 3 6" xfId="20281"/>
    <cellStyle name="Normal 2 3 8 2 2 4" xfId="20282"/>
    <cellStyle name="Normal 2 3 8 2 2 5" xfId="20283"/>
    <cellStyle name="Normal 2 3 8 2 2 6" xfId="20284"/>
    <cellStyle name="Normal 2 3 8 2 2 7" xfId="20285"/>
    <cellStyle name="Normal 2 3 8 2 2 8" xfId="20286"/>
    <cellStyle name="Normal 2 3 8 2 2 9" xfId="20287"/>
    <cellStyle name="Normal 2 3 8 2 3" xfId="20288"/>
    <cellStyle name="Normal 2 3 8 2 4" xfId="20289"/>
    <cellStyle name="Normal 2 3 8 2 5" xfId="20290"/>
    <cellStyle name="Normal 2 3 8 2 5 2" xfId="20291"/>
    <cellStyle name="Normal 2 3 8 2 5 2 2" xfId="20292"/>
    <cellStyle name="Normal 2 3 8 2 5 2 3" xfId="20293"/>
    <cellStyle name="Normal 2 3 8 2 5 2 4" xfId="20294"/>
    <cellStyle name="Normal 2 3 8 2 5 2 5" xfId="20295"/>
    <cellStyle name="Normal 2 3 8 2 5 2 6" xfId="20296"/>
    <cellStyle name="Normal 2 3 8 2 5 3" xfId="20297"/>
    <cellStyle name="Normal 2 3 8 2 5 4" xfId="20298"/>
    <cellStyle name="Normal 2 3 8 2 5 5" xfId="20299"/>
    <cellStyle name="Normal 2 3 8 2 5 6" xfId="20300"/>
    <cellStyle name="Normal 2 3 8 2 6" xfId="20301"/>
    <cellStyle name="Normal 2 3 8 2 7" xfId="20302"/>
    <cellStyle name="Normal 2 3 8 2 8" xfId="20303"/>
    <cellStyle name="Normal 2 3 8 2 9" xfId="20304"/>
    <cellStyle name="Normal 2 3 8 3" xfId="20305"/>
    <cellStyle name="Normal 2 3 8 3 2" xfId="20306"/>
    <cellStyle name="Normal 2 3 8 3 2 2" xfId="20307"/>
    <cellStyle name="Normal 2 3 8 3 2 2 2" xfId="20308"/>
    <cellStyle name="Normal 2 3 8 3 2 2 2 2" xfId="20309"/>
    <cellStyle name="Normal 2 3 8 3 2 2 2 3" xfId="20310"/>
    <cellStyle name="Normal 2 3 8 3 2 2 2 4" xfId="20311"/>
    <cellStyle name="Normal 2 3 8 3 2 2 2 5" xfId="20312"/>
    <cellStyle name="Normal 2 3 8 3 2 2 2 6" xfId="20313"/>
    <cellStyle name="Normal 2 3 8 3 2 2 3" xfId="20314"/>
    <cellStyle name="Normal 2 3 8 3 2 2 4" xfId="20315"/>
    <cellStyle name="Normal 2 3 8 3 2 2 5" xfId="20316"/>
    <cellStyle name="Normal 2 3 8 3 2 2 6" xfId="20317"/>
    <cellStyle name="Normal 2 3 8 3 2 3" xfId="20318"/>
    <cellStyle name="Normal 2 3 8 3 2 4" xfId="20319"/>
    <cellStyle name="Normal 2 3 8 3 2 5" xfId="20320"/>
    <cellStyle name="Normal 2 3 8 3 2 6" xfId="20321"/>
    <cellStyle name="Normal 2 3 8 3 2 7" xfId="20322"/>
    <cellStyle name="Normal 2 3 8 3 2 8" xfId="20323"/>
    <cellStyle name="Normal 2 3 8 3 2 9" xfId="20324"/>
    <cellStyle name="Normal 2 3 8 3 3" xfId="20325"/>
    <cellStyle name="Normal 2 3 8 3 3 2" xfId="20326"/>
    <cellStyle name="Normal 2 3 8 3 3 2 2" xfId="20327"/>
    <cellStyle name="Normal 2 3 8 3 3 2 3" xfId="20328"/>
    <cellStyle name="Normal 2 3 8 3 3 2 4" xfId="20329"/>
    <cellStyle name="Normal 2 3 8 3 3 2 5" xfId="20330"/>
    <cellStyle name="Normal 2 3 8 3 3 2 6" xfId="20331"/>
    <cellStyle name="Normal 2 3 8 3 3 3" xfId="20332"/>
    <cellStyle name="Normal 2 3 8 3 3 4" xfId="20333"/>
    <cellStyle name="Normal 2 3 8 3 3 5" xfId="20334"/>
    <cellStyle name="Normal 2 3 8 3 3 6" xfId="20335"/>
    <cellStyle name="Normal 2 3 8 3 4" xfId="20336"/>
    <cellStyle name="Normal 2 3 8 3 5" xfId="20337"/>
    <cellStyle name="Normal 2 3 8 3 6" xfId="20338"/>
    <cellStyle name="Normal 2 3 8 3 7" xfId="20339"/>
    <cellStyle name="Normal 2 3 8 3 8" xfId="20340"/>
    <cellStyle name="Normal 2 3 8 3 9" xfId="20341"/>
    <cellStyle name="Normal 2 3 8 4" xfId="20342"/>
    <cellStyle name="Normal 2 3 8 5" xfId="20343"/>
    <cellStyle name="Normal 2 3 8 5 2" xfId="20344"/>
    <cellStyle name="Normal 2 3 8 5 2 2" xfId="20345"/>
    <cellStyle name="Normal 2 3 8 5 2 3" xfId="20346"/>
    <cellStyle name="Normal 2 3 8 5 2 4" xfId="20347"/>
    <cellStyle name="Normal 2 3 8 5 2 5" xfId="20348"/>
    <cellStyle name="Normal 2 3 8 5 2 6" xfId="20349"/>
    <cellStyle name="Normal 2 3 8 5 3" xfId="20350"/>
    <cellStyle name="Normal 2 3 8 5 4" xfId="20351"/>
    <cellStyle name="Normal 2 3 8 5 5" xfId="20352"/>
    <cellStyle name="Normal 2 3 8 5 6" xfId="20353"/>
    <cellStyle name="Normal 2 3 8 6" xfId="20354"/>
    <cellStyle name="Normal 2 3 8 7" xfId="20355"/>
    <cellStyle name="Normal 2 3 8 8" xfId="20356"/>
    <cellStyle name="Normal 2 3 8 9" xfId="20357"/>
    <cellStyle name="Normal 2 3 80" xfId="20358"/>
    <cellStyle name="Normal 2 3 81" xfId="20359"/>
    <cellStyle name="Normal 2 3 82" xfId="20360"/>
    <cellStyle name="Normal 2 3 83" xfId="20361"/>
    <cellStyle name="Normal 2 3 84" xfId="20362"/>
    <cellStyle name="Normal 2 3 85" xfId="20363"/>
    <cellStyle name="Normal 2 3 86" xfId="20364"/>
    <cellStyle name="Normal 2 3 87" xfId="20365"/>
    <cellStyle name="Normal 2 3 88" xfId="20366"/>
    <cellStyle name="Normal 2 3 89" xfId="20367"/>
    <cellStyle name="Normal 2 3 9" xfId="20368"/>
    <cellStyle name="Normal 2 3 9 2" xfId="20369"/>
    <cellStyle name="Normal 2 3 9 3" xfId="20370"/>
    <cellStyle name="Normal 2 3 9 4" xfId="20371"/>
    <cellStyle name="Normal 2 3 9 5" xfId="20372"/>
    <cellStyle name="Normal 2 3 9 6" xfId="20373"/>
    <cellStyle name="Normal 2 3 90" xfId="20374"/>
    <cellStyle name="Normal 2 3 91" xfId="20375"/>
    <cellStyle name="Normal 2 3 92" xfId="20376"/>
    <cellStyle name="Normal 2 3 93" xfId="20377"/>
    <cellStyle name="Normal 2 3 94" xfId="20378"/>
    <cellStyle name="Normal 2 3 95" xfId="20379"/>
    <cellStyle name="Normal 2 3 96" xfId="20380"/>
    <cellStyle name="Normal 2 3 97" xfId="20381"/>
    <cellStyle name="Normal 2 3 98" xfId="20382"/>
    <cellStyle name="Normal 2 30" xfId="20383"/>
    <cellStyle name="Normal 2 30 2" xfId="20384"/>
    <cellStyle name="Normal 2 31" xfId="20385"/>
    <cellStyle name="Normal 2 31 2" xfId="20386"/>
    <cellStyle name="Normal 2 32" xfId="20387"/>
    <cellStyle name="Normal 2 32 10" xfId="20388"/>
    <cellStyle name="Normal 2 32 11" xfId="20389"/>
    <cellStyle name="Normal 2 32 2" xfId="20390"/>
    <cellStyle name="Normal 2 32 2 2" xfId="20391"/>
    <cellStyle name="Normal 2 32 2 3" xfId="20392"/>
    <cellStyle name="Normal 2 32 2 4" xfId="20393"/>
    <cellStyle name="Normal 2 32 2 5" xfId="20394"/>
    <cellStyle name="Normal 2 32 2 6" xfId="20395"/>
    <cellStyle name="Normal 2 32 2 7" xfId="20396"/>
    <cellStyle name="Normal 2 32 2 8" xfId="20397"/>
    <cellStyle name="Normal 2 32 2 9" xfId="20398"/>
    <cellStyle name="Normal 2 32 3" xfId="20399"/>
    <cellStyle name="Normal 2 32 4" xfId="20400"/>
    <cellStyle name="Normal 2 32 5" xfId="20401"/>
    <cellStyle name="Normal 2 32 6" xfId="20402"/>
    <cellStyle name="Normal 2 32 7" xfId="20403"/>
    <cellStyle name="Normal 2 32 8" xfId="20404"/>
    <cellStyle name="Normal 2 32 9" xfId="20405"/>
    <cellStyle name="Normal 2 33" xfId="20406"/>
    <cellStyle name="Normal 2 33 10" xfId="20407"/>
    <cellStyle name="Normal 2 33 11" xfId="20408"/>
    <cellStyle name="Normal 2 33 12" xfId="20409"/>
    <cellStyle name="Normal 2 33 13" xfId="20410"/>
    <cellStyle name="Normal 2 33 14" xfId="20411"/>
    <cellStyle name="Normal 2 33 15" xfId="20412"/>
    <cellStyle name="Normal 2 33 16" xfId="20413"/>
    <cellStyle name="Normal 2 33 2" xfId="20414"/>
    <cellStyle name="Normal 2 33 2 10" xfId="20415"/>
    <cellStyle name="Normal 2 33 2 11" xfId="20416"/>
    <cellStyle name="Normal 2 33 2 12" xfId="20417"/>
    <cellStyle name="Normal 2 33 2 13" xfId="20418"/>
    <cellStyle name="Normal 2 33 2 14" xfId="20419"/>
    <cellStyle name="Normal 2 33 2 15" xfId="20420"/>
    <cellStyle name="Normal 2 33 2 2" xfId="20421"/>
    <cellStyle name="Normal 2 33 2 2 10" xfId="20422"/>
    <cellStyle name="Normal 2 33 2 2 11" xfId="20423"/>
    <cellStyle name="Normal 2 33 2 2 12" xfId="20424"/>
    <cellStyle name="Normal 2 33 2 2 2" xfId="20425"/>
    <cellStyle name="Normal 2 33 2 2 2 10" xfId="20426"/>
    <cellStyle name="Normal 2 33 2 2 2 11" xfId="20427"/>
    <cellStyle name="Normal 2 33 2 2 2 12" xfId="20428"/>
    <cellStyle name="Normal 2 33 2 2 2 2" xfId="20429"/>
    <cellStyle name="Normal 2 33 2 2 2 2 2" xfId="20430"/>
    <cellStyle name="Normal 2 33 2 2 2 2 2 2" xfId="20431"/>
    <cellStyle name="Normal 2 33 2 2 2 2 2 2 2" xfId="20432"/>
    <cellStyle name="Normal 2 33 2 2 2 2 2 2 2 2" xfId="20433"/>
    <cellStyle name="Normal 2 33 2 2 2 2 2 2 2 3" xfId="20434"/>
    <cellStyle name="Normal 2 33 2 2 2 2 2 2 2 4" xfId="20435"/>
    <cellStyle name="Normal 2 33 2 2 2 2 2 2 2 5" xfId="20436"/>
    <cellStyle name="Normal 2 33 2 2 2 2 2 2 2 6" xfId="20437"/>
    <cellStyle name="Normal 2 33 2 2 2 2 2 2 3" xfId="20438"/>
    <cellStyle name="Normal 2 33 2 2 2 2 2 2 4" xfId="20439"/>
    <cellStyle name="Normal 2 33 2 2 2 2 2 2 5" xfId="20440"/>
    <cellStyle name="Normal 2 33 2 2 2 2 2 2 6" xfId="20441"/>
    <cellStyle name="Normal 2 33 2 2 2 2 2 3" xfId="20442"/>
    <cellStyle name="Normal 2 33 2 2 2 2 2 4" xfId="20443"/>
    <cellStyle name="Normal 2 33 2 2 2 2 2 5" xfId="20444"/>
    <cellStyle name="Normal 2 33 2 2 2 2 2 6" xfId="20445"/>
    <cellStyle name="Normal 2 33 2 2 2 2 2 7" xfId="20446"/>
    <cellStyle name="Normal 2 33 2 2 2 2 2 8" xfId="20447"/>
    <cellStyle name="Normal 2 33 2 2 2 2 2 9" xfId="20448"/>
    <cellStyle name="Normal 2 33 2 2 2 2 3" xfId="20449"/>
    <cellStyle name="Normal 2 33 2 2 2 2 3 2" xfId="20450"/>
    <cellStyle name="Normal 2 33 2 2 2 2 3 2 2" xfId="20451"/>
    <cellStyle name="Normal 2 33 2 2 2 2 3 2 3" xfId="20452"/>
    <cellStyle name="Normal 2 33 2 2 2 2 3 2 4" xfId="20453"/>
    <cellStyle name="Normal 2 33 2 2 2 2 3 2 5" xfId="20454"/>
    <cellStyle name="Normal 2 33 2 2 2 2 3 2 6" xfId="20455"/>
    <cellStyle name="Normal 2 33 2 2 2 2 3 3" xfId="20456"/>
    <cellStyle name="Normal 2 33 2 2 2 2 3 4" xfId="20457"/>
    <cellStyle name="Normal 2 33 2 2 2 2 3 5" xfId="20458"/>
    <cellStyle name="Normal 2 33 2 2 2 2 3 6" xfId="20459"/>
    <cellStyle name="Normal 2 33 2 2 2 2 4" xfId="20460"/>
    <cellStyle name="Normal 2 33 2 2 2 2 5" xfId="20461"/>
    <cellStyle name="Normal 2 33 2 2 2 2 6" xfId="20462"/>
    <cellStyle name="Normal 2 33 2 2 2 2 7" xfId="20463"/>
    <cellStyle name="Normal 2 33 2 2 2 2 8" xfId="20464"/>
    <cellStyle name="Normal 2 33 2 2 2 2 9" xfId="20465"/>
    <cellStyle name="Normal 2 33 2 2 2 3" xfId="20466"/>
    <cellStyle name="Normal 2 33 2 2 2 4" xfId="20467"/>
    <cellStyle name="Normal 2 33 2 2 2 5" xfId="20468"/>
    <cellStyle name="Normal 2 33 2 2 2 5 2" xfId="20469"/>
    <cellStyle name="Normal 2 33 2 2 2 5 2 2" xfId="20470"/>
    <cellStyle name="Normal 2 33 2 2 2 5 2 3" xfId="20471"/>
    <cellStyle name="Normal 2 33 2 2 2 5 2 4" xfId="20472"/>
    <cellStyle name="Normal 2 33 2 2 2 5 2 5" xfId="20473"/>
    <cellStyle name="Normal 2 33 2 2 2 5 2 6" xfId="20474"/>
    <cellStyle name="Normal 2 33 2 2 2 5 3" xfId="20475"/>
    <cellStyle name="Normal 2 33 2 2 2 5 4" xfId="20476"/>
    <cellStyle name="Normal 2 33 2 2 2 5 5" xfId="20477"/>
    <cellStyle name="Normal 2 33 2 2 2 5 6" xfId="20478"/>
    <cellStyle name="Normal 2 33 2 2 2 6" xfId="20479"/>
    <cellStyle name="Normal 2 33 2 2 2 7" xfId="20480"/>
    <cellStyle name="Normal 2 33 2 2 2 8" xfId="20481"/>
    <cellStyle name="Normal 2 33 2 2 2 9" xfId="20482"/>
    <cellStyle name="Normal 2 33 2 2 3" xfId="20483"/>
    <cellStyle name="Normal 2 33 2 2 3 2" xfId="20484"/>
    <cellStyle name="Normal 2 33 2 2 3 2 2" xfId="20485"/>
    <cellStyle name="Normal 2 33 2 2 3 2 2 2" xfId="20486"/>
    <cellStyle name="Normal 2 33 2 2 3 2 2 2 2" xfId="20487"/>
    <cellStyle name="Normal 2 33 2 2 3 2 2 2 3" xfId="20488"/>
    <cellStyle name="Normal 2 33 2 2 3 2 2 2 4" xfId="20489"/>
    <cellStyle name="Normal 2 33 2 2 3 2 2 2 5" xfId="20490"/>
    <cellStyle name="Normal 2 33 2 2 3 2 2 2 6" xfId="20491"/>
    <cellStyle name="Normal 2 33 2 2 3 2 2 3" xfId="20492"/>
    <cellStyle name="Normal 2 33 2 2 3 2 2 4" xfId="20493"/>
    <cellStyle name="Normal 2 33 2 2 3 2 2 5" xfId="20494"/>
    <cellStyle name="Normal 2 33 2 2 3 2 2 6" xfId="20495"/>
    <cellStyle name="Normal 2 33 2 2 3 2 3" xfId="20496"/>
    <cellStyle name="Normal 2 33 2 2 3 2 4" xfId="20497"/>
    <cellStyle name="Normal 2 33 2 2 3 2 5" xfId="20498"/>
    <cellStyle name="Normal 2 33 2 2 3 2 6" xfId="20499"/>
    <cellStyle name="Normal 2 33 2 2 3 2 7" xfId="20500"/>
    <cellStyle name="Normal 2 33 2 2 3 2 8" xfId="20501"/>
    <cellStyle name="Normal 2 33 2 2 3 2 9" xfId="20502"/>
    <cellStyle name="Normal 2 33 2 2 3 3" xfId="20503"/>
    <cellStyle name="Normal 2 33 2 2 3 3 2" xfId="20504"/>
    <cellStyle name="Normal 2 33 2 2 3 3 2 2" xfId="20505"/>
    <cellStyle name="Normal 2 33 2 2 3 3 2 3" xfId="20506"/>
    <cellStyle name="Normal 2 33 2 2 3 3 2 4" xfId="20507"/>
    <cellStyle name="Normal 2 33 2 2 3 3 2 5" xfId="20508"/>
    <cellStyle name="Normal 2 33 2 2 3 3 2 6" xfId="20509"/>
    <cellStyle name="Normal 2 33 2 2 3 3 3" xfId="20510"/>
    <cellStyle name="Normal 2 33 2 2 3 3 4" xfId="20511"/>
    <cellStyle name="Normal 2 33 2 2 3 3 5" xfId="20512"/>
    <cellStyle name="Normal 2 33 2 2 3 3 6" xfId="20513"/>
    <cellStyle name="Normal 2 33 2 2 3 4" xfId="20514"/>
    <cellStyle name="Normal 2 33 2 2 3 5" xfId="20515"/>
    <cellStyle name="Normal 2 33 2 2 3 6" xfId="20516"/>
    <cellStyle name="Normal 2 33 2 2 3 7" xfId="20517"/>
    <cellStyle name="Normal 2 33 2 2 3 8" xfId="20518"/>
    <cellStyle name="Normal 2 33 2 2 3 9" xfId="20519"/>
    <cellStyle name="Normal 2 33 2 2 4" xfId="20520"/>
    <cellStyle name="Normal 2 33 2 2 5" xfId="20521"/>
    <cellStyle name="Normal 2 33 2 2 5 2" xfId="20522"/>
    <cellStyle name="Normal 2 33 2 2 5 2 2" xfId="20523"/>
    <cellStyle name="Normal 2 33 2 2 5 2 3" xfId="20524"/>
    <cellStyle name="Normal 2 33 2 2 5 2 4" xfId="20525"/>
    <cellStyle name="Normal 2 33 2 2 5 2 5" xfId="20526"/>
    <cellStyle name="Normal 2 33 2 2 5 2 6" xfId="20527"/>
    <cellStyle name="Normal 2 33 2 2 5 3" xfId="20528"/>
    <cellStyle name="Normal 2 33 2 2 5 4" xfId="20529"/>
    <cellStyle name="Normal 2 33 2 2 5 5" xfId="20530"/>
    <cellStyle name="Normal 2 33 2 2 5 6" xfId="20531"/>
    <cellStyle name="Normal 2 33 2 2 6" xfId="20532"/>
    <cellStyle name="Normal 2 33 2 2 7" xfId="20533"/>
    <cellStyle name="Normal 2 33 2 2 8" xfId="20534"/>
    <cellStyle name="Normal 2 33 2 2 9" xfId="20535"/>
    <cellStyle name="Normal 2 33 2 3" xfId="20536"/>
    <cellStyle name="Normal 2 33 2 4" xfId="20537"/>
    <cellStyle name="Normal 2 33 2 5" xfId="20538"/>
    <cellStyle name="Normal 2 33 2 5 2" xfId="20539"/>
    <cellStyle name="Normal 2 33 2 5 2 2" xfId="20540"/>
    <cellStyle name="Normal 2 33 2 5 2 2 2" xfId="20541"/>
    <cellStyle name="Normal 2 33 2 5 2 2 2 2" xfId="20542"/>
    <cellStyle name="Normal 2 33 2 5 2 2 2 3" xfId="20543"/>
    <cellStyle name="Normal 2 33 2 5 2 2 2 4" xfId="20544"/>
    <cellStyle name="Normal 2 33 2 5 2 2 2 5" xfId="20545"/>
    <cellStyle name="Normal 2 33 2 5 2 2 2 6" xfId="20546"/>
    <cellStyle name="Normal 2 33 2 5 2 2 3" xfId="20547"/>
    <cellStyle name="Normal 2 33 2 5 2 2 4" xfId="20548"/>
    <cellStyle name="Normal 2 33 2 5 2 2 5" xfId="20549"/>
    <cellStyle name="Normal 2 33 2 5 2 2 6" xfId="20550"/>
    <cellStyle name="Normal 2 33 2 5 2 3" xfId="20551"/>
    <cellStyle name="Normal 2 33 2 5 2 4" xfId="20552"/>
    <cellStyle name="Normal 2 33 2 5 2 5" xfId="20553"/>
    <cellStyle name="Normal 2 33 2 5 2 6" xfId="20554"/>
    <cellStyle name="Normal 2 33 2 5 2 7" xfId="20555"/>
    <cellStyle name="Normal 2 33 2 5 2 8" xfId="20556"/>
    <cellStyle name="Normal 2 33 2 5 2 9" xfId="20557"/>
    <cellStyle name="Normal 2 33 2 5 3" xfId="20558"/>
    <cellStyle name="Normal 2 33 2 5 3 2" xfId="20559"/>
    <cellStyle name="Normal 2 33 2 5 3 2 2" xfId="20560"/>
    <cellStyle name="Normal 2 33 2 5 3 2 3" xfId="20561"/>
    <cellStyle name="Normal 2 33 2 5 3 2 4" xfId="20562"/>
    <cellStyle name="Normal 2 33 2 5 3 2 5" xfId="20563"/>
    <cellStyle name="Normal 2 33 2 5 3 2 6" xfId="20564"/>
    <cellStyle name="Normal 2 33 2 5 3 3" xfId="20565"/>
    <cellStyle name="Normal 2 33 2 5 3 4" xfId="20566"/>
    <cellStyle name="Normal 2 33 2 5 3 5" xfId="20567"/>
    <cellStyle name="Normal 2 33 2 5 3 6" xfId="20568"/>
    <cellStyle name="Normal 2 33 2 5 4" xfId="20569"/>
    <cellStyle name="Normal 2 33 2 5 5" xfId="20570"/>
    <cellStyle name="Normal 2 33 2 5 6" xfId="20571"/>
    <cellStyle name="Normal 2 33 2 5 7" xfId="20572"/>
    <cellStyle name="Normal 2 33 2 5 8" xfId="20573"/>
    <cellStyle name="Normal 2 33 2 5 9" xfId="20574"/>
    <cellStyle name="Normal 2 33 2 6" xfId="20575"/>
    <cellStyle name="Normal 2 33 2 7" xfId="20576"/>
    <cellStyle name="Normal 2 33 2 8" xfId="20577"/>
    <cellStyle name="Normal 2 33 2 8 2" xfId="20578"/>
    <cellStyle name="Normal 2 33 2 8 2 2" xfId="20579"/>
    <cellStyle name="Normal 2 33 2 8 2 3" xfId="20580"/>
    <cellStyle name="Normal 2 33 2 8 2 4" xfId="20581"/>
    <cellStyle name="Normal 2 33 2 8 2 5" xfId="20582"/>
    <cellStyle name="Normal 2 33 2 8 2 6" xfId="20583"/>
    <cellStyle name="Normal 2 33 2 8 3" xfId="20584"/>
    <cellStyle name="Normal 2 33 2 8 4" xfId="20585"/>
    <cellStyle name="Normal 2 33 2 8 5" xfId="20586"/>
    <cellStyle name="Normal 2 33 2 8 6" xfId="20587"/>
    <cellStyle name="Normal 2 33 2 9" xfId="20588"/>
    <cellStyle name="Normal 2 33 3" xfId="20589"/>
    <cellStyle name="Normal 2 33 3 10" xfId="20590"/>
    <cellStyle name="Normal 2 33 3 11" xfId="20591"/>
    <cellStyle name="Normal 2 33 3 12" xfId="20592"/>
    <cellStyle name="Normal 2 33 3 2" xfId="20593"/>
    <cellStyle name="Normal 2 33 3 2 10" xfId="20594"/>
    <cellStyle name="Normal 2 33 3 2 11" xfId="20595"/>
    <cellStyle name="Normal 2 33 3 2 12" xfId="20596"/>
    <cellStyle name="Normal 2 33 3 2 2" xfId="20597"/>
    <cellStyle name="Normal 2 33 3 2 2 2" xfId="20598"/>
    <cellStyle name="Normal 2 33 3 2 2 2 2" xfId="20599"/>
    <cellStyle name="Normal 2 33 3 2 2 2 2 2" xfId="20600"/>
    <cellStyle name="Normal 2 33 3 2 2 2 2 2 2" xfId="20601"/>
    <cellStyle name="Normal 2 33 3 2 2 2 2 2 3" xfId="20602"/>
    <cellStyle name="Normal 2 33 3 2 2 2 2 2 4" xfId="20603"/>
    <cellStyle name="Normal 2 33 3 2 2 2 2 2 5" xfId="20604"/>
    <cellStyle name="Normal 2 33 3 2 2 2 2 2 6" xfId="20605"/>
    <cellStyle name="Normal 2 33 3 2 2 2 2 3" xfId="20606"/>
    <cellStyle name="Normal 2 33 3 2 2 2 2 4" xfId="20607"/>
    <cellStyle name="Normal 2 33 3 2 2 2 2 5" xfId="20608"/>
    <cellStyle name="Normal 2 33 3 2 2 2 2 6" xfId="20609"/>
    <cellStyle name="Normal 2 33 3 2 2 2 3" xfId="20610"/>
    <cellStyle name="Normal 2 33 3 2 2 2 4" xfId="20611"/>
    <cellStyle name="Normal 2 33 3 2 2 2 5" xfId="20612"/>
    <cellStyle name="Normal 2 33 3 2 2 2 6" xfId="20613"/>
    <cellStyle name="Normal 2 33 3 2 2 2 7" xfId="20614"/>
    <cellStyle name="Normal 2 33 3 2 2 2 8" xfId="20615"/>
    <cellStyle name="Normal 2 33 3 2 2 2 9" xfId="20616"/>
    <cellStyle name="Normal 2 33 3 2 2 3" xfId="20617"/>
    <cellStyle name="Normal 2 33 3 2 2 3 2" xfId="20618"/>
    <cellStyle name="Normal 2 33 3 2 2 3 2 2" xfId="20619"/>
    <cellStyle name="Normal 2 33 3 2 2 3 2 3" xfId="20620"/>
    <cellStyle name="Normal 2 33 3 2 2 3 2 4" xfId="20621"/>
    <cellStyle name="Normal 2 33 3 2 2 3 2 5" xfId="20622"/>
    <cellStyle name="Normal 2 33 3 2 2 3 2 6" xfId="20623"/>
    <cellStyle name="Normal 2 33 3 2 2 3 3" xfId="20624"/>
    <cellStyle name="Normal 2 33 3 2 2 3 4" xfId="20625"/>
    <cellStyle name="Normal 2 33 3 2 2 3 5" xfId="20626"/>
    <cellStyle name="Normal 2 33 3 2 2 3 6" xfId="20627"/>
    <cellStyle name="Normal 2 33 3 2 2 4" xfId="20628"/>
    <cellStyle name="Normal 2 33 3 2 2 5" xfId="20629"/>
    <cellStyle name="Normal 2 33 3 2 2 6" xfId="20630"/>
    <cellStyle name="Normal 2 33 3 2 2 7" xfId="20631"/>
    <cellStyle name="Normal 2 33 3 2 2 8" xfId="20632"/>
    <cellStyle name="Normal 2 33 3 2 2 9" xfId="20633"/>
    <cellStyle name="Normal 2 33 3 2 3" xfId="20634"/>
    <cellStyle name="Normal 2 33 3 2 4" xfId="20635"/>
    <cellStyle name="Normal 2 33 3 2 5" xfId="20636"/>
    <cellStyle name="Normal 2 33 3 2 5 2" xfId="20637"/>
    <cellStyle name="Normal 2 33 3 2 5 2 2" xfId="20638"/>
    <cellStyle name="Normal 2 33 3 2 5 2 3" xfId="20639"/>
    <cellStyle name="Normal 2 33 3 2 5 2 4" xfId="20640"/>
    <cellStyle name="Normal 2 33 3 2 5 2 5" xfId="20641"/>
    <cellStyle name="Normal 2 33 3 2 5 2 6" xfId="20642"/>
    <cellStyle name="Normal 2 33 3 2 5 3" xfId="20643"/>
    <cellStyle name="Normal 2 33 3 2 5 4" xfId="20644"/>
    <cellStyle name="Normal 2 33 3 2 5 5" xfId="20645"/>
    <cellStyle name="Normal 2 33 3 2 5 6" xfId="20646"/>
    <cellStyle name="Normal 2 33 3 2 6" xfId="20647"/>
    <cellStyle name="Normal 2 33 3 2 7" xfId="20648"/>
    <cellStyle name="Normal 2 33 3 2 8" xfId="20649"/>
    <cellStyle name="Normal 2 33 3 2 9" xfId="20650"/>
    <cellStyle name="Normal 2 33 3 3" xfId="20651"/>
    <cellStyle name="Normal 2 33 3 3 2" xfId="20652"/>
    <cellStyle name="Normal 2 33 3 3 2 2" xfId="20653"/>
    <cellStyle name="Normal 2 33 3 3 2 2 2" xfId="20654"/>
    <cellStyle name="Normal 2 33 3 3 2 2 2 2" xfId="20655"/>
    <cellStyle name="Normal 2 33 3 3 2 2 2 3" xfId="20656"/>
    <cellStyle name="Normal 2 33 3 3 2 2 2 4" xfId="20657"/>
    <cellStyle name="Normal 2 33 3 3 2 2 2 5" xfId="20658"/>
    <cellStyle name="Normal 2 33 3 3 2 2 2 6" xfId="20659"/>
    <cellStyle name="Normal 2 33 3 3 2 2 3" xfId="20660"/>
    <cellStyle name="Normal 2 33 3 3 2 2 4" xfId="20661"/>
    <cellStyle name="Normal 2 33 3 3 2 2 5" xfId="20662"/>
    <cellStyle name="Normal 2 33 3 3 2 2 6" xfId="20663"/>
    <cellStyle name="Normal 2 33 3 3 2 3" xfId="20664"/>
    <cellStyle name="Normal 2 33 3 3 2 4" xfId="20665"/>
    <cellStyle name="Normal 2 33 3 3 2 5" xfId="20666"/>
    <cellStyle name="Normal 2 33 3 3 2 6" xfId="20667"/>
    <cellStyle name="Normal 2 33 3 3 2 7" xfId="20668"/>
    <cellStyle name="Normal 2 33 3 3 2 8" xfId="20669"/>
    <cellStyle name="Normal 2 33 3 3 2 9" xfId="20670"/>
    <cellStyle name="Normal 2 33 3 3 3" xfId="20671"/>
    <cellStyle name="Normal 2 33 3 3 3 2" xfId="20672"/>
    <cellStyle name="Normal 2 33 3 3 3 2 2" xfId="20673"/>
    <cellStyle name="Normal 2 33 3 3 3 2 3" xfId="20674"/>
    <cellStyle name="Normal 2 33 3 3 3 2 4" xfId="20675"/>
    <cellStyle name="Normal 2 33 3 3 3 2 5" xfId="20676"/>
    <cellStyle name="Normal 2 33 3 3 3 2 6" xfId="20677"/>
    <cellStyle name="Normal 2 33 3 3 3 3" xfId="20678"/>
    <cellStyle name="Normal 2 33 3 3 3 4" xfId="20679"/>
    <cellStyle name="Normal 2 33 3 3 3 5" xfId="20680"/>
    <cellStyle name="Normal 2 33 3 3 3 6" xfId="20681"/>
    <cellStyle name="Normal 2 33 3 3 4" xfId="20682"/>
    <cellStyle name="Normal 2 33 3 3 5" xfId="20683"/>
    <cellStyle name="Normal 2 33 3 3 6" xfId="20684"/>
    <cellStyle name="Normal 2 33 3 3 7" xfId="20685"/>
    <cellStyle name="Normal 2 33 3 3 8" xfId="20686"/>
    <cellStyle name="Normal 2 33 3 3 9" xfId="20687"/>
    <cellStyle name="Normal 2 33 3 4" xfId="20688"/>
    <cellStyle name="Normal 2 33 3 5" xfId="20689"/>
    <cellStyle name="Normal 2 33 3 5 2" xfId="20690"/>
    <cellStyle name="Normal 2 33 3 5 2 2" xfId="20691"/>
    <cellStyle name="Normal 2 33 3 5 2 3" xfId="20692"/>
    <cellStyle name="Normal 2 33 3 5 2 4" xfId="20693"/>
    <cellStyle name="Normal 2 33 3 5 2 5" xfId="20694"/>
    <cellStyle name="Normal 2 33 3 5 2 6" xfId="20695"/>
    <cellStyle name="Normal 2 33 3 5 3" xfId="20696"/>
    <cellStyle name="Normal 2 33 3 5 4" xfId="20697"/>
    <cellStyle name="Normal 2 33 3 5 5" xfId="20698"/>
    <cellStyle name="Normal 2 33 3 5 6" xfId="20699"/>
    <cellStyle name="Normal 2 33 3 6" xfId="20700"/>
    <cellStyle name="Normal 2 33 3 7" xfId="20701"/>
    <cellStyle name="Normal 2 33 3 8" xfId="20702"/>
    <cellStyle name="Normal 2 33 3 9" xfId="20703"/>
    <cellStyle name="Normal 2 33 4" xfId="20704"/>
    <cellStyle name="Normal 2 33 5" xfId="20705"/>
    <cellStyle name="Normal 2 33 5 2" xfId="20706"/>
    <cellStyle name="Normal 2 33 5 2 2" xfId="20707"/>
    <cellStyle name="Normal 2 33 5 2 2 2" xfId="20708"/>
    <cellStyle name="Normal 2 33 5 2 2 2 2" xfId="20709"/>
    <cellStyle name="Normal 2 33 5 2 2 2 3" xfId="20710"/>
    <cellStyle name="Normal 2 33 5 2 2 2 4" xfId="20711"/>
    <cellStyle name="Normal 2 33 5 2 2 2 5" xfId="20712"/>
    <cellStyle name="Normal 2 33 5 2 2 2 6" xfId="20713"/>
    <cellStyle name="Normal 2 33 5 2 2 3" xfId="20714"/>
    <cellStyle name="Normal 2 33 5 2 2 4" xfId="20715"/>
    <cellStyle name="Normal 2 33 5 2 2 5" xfId="20716"/>
    <cellStyle name="Normal 2 33 5 2 2 6" xfId="20717"/>
    <cellStyle name="Normal 2 33 5 2 3" xfId="20718"/>
    <cellStyle name="Normal 2 33 5 2 4" xfId="20719"/>
    <cellStyle name="Normal 2 33 5 2 5" xfId="20720"/>
    <cellStyle name="Normal 2 33 5 2 6" xfId="20721"/>
    <cellStyle name="Normal 2 33 5 2 7" xfId="20722"/>
    <cellStyle name="Normal 2 33 5 2 8" xfId="20723"/>
    <cellStyle name="Normal 2 33 5 2 9" xfId="20724"/>
    <cellStyle name="Normal 2 33 5 3" xfId="20725"/>
    <cellStyle name="Normal 2 33 5 3 2" xfId="20726"/>
    <cellStyle name="Normal 2 33 5 3 2 2" xfId="20727"/>
    <cellStyle name="Normal 2 33 5 3 2 3" xfId="20728"/>
    <cellStyle name="Normal 2 33 5 3 2 4" xfId="20729"/>
    <cellStyle name="Normal 2 33 5 3 2 5" xfId="20730"/>
    <cellStyle name="Normal 2 33 5 3 2 6" xfId="20731"/>
    <cellStyle name="Normal 2 33 5 3 3" xfId="20732"/>
    <cellStyle name="Normal 2 33 5 3 4" xfId="20733"/>
    <cellStyle name="Normal 2 33 5 3 5" xfId="20734"/>
    <cellStyle name="Normal 2 33 5 3 6" xfId="20735"/>
    <cellStyle name="Normal 2 33 5 4" xfId="20736"/>
    <cellStyle name="Normal 2 33 5 5" xfId="20737"/>
    <cellStyle name="Normal 2 33 5 6" xfId="20738"/>
    <cellStyle name="Normal 2 33 5 7" xfId="20739"/>
    <cellStyle name="Normal 2 33 5 8" xfId="20740"/>
    <cellStyle name="Normal 2 33 5 9" xfId="20741"/>
    <cellStyle name="Normal 2 33 6" xfId="20742"/>
    <cellStyle name="Normal 2 33 7" xfId="20743"/>
    <cellStyle name="Normal 2 33 8" xfId="20744"/>
    <cellStyle name="Normal 2 33 8 2" xfId="20745"/>
    <cellStyle name="Normal 2 33 8 2 2" xfId="20746"/>
    <cellStyle name="Normal 2 33 8 2 3" xfId="20747"/>
    <cellStyle name="Normal 2 33 8 2 4" xfId="20748"/>
    <cellStyle name="Normal 2 33 8 2 5" xfId="20749"/>
    <cellStyle name="Normal 2 33 8 2 6" xfId="20750"/>
    <cellStyle name="Normal 2 33 8 3" xfId="20751"/>
    <cellStyle name="Normal 2 33 8 4" xfId="20752"/>
    <cellStyle name="Normal 2 33 8 5" xfId="20753"/>
    <cellStyle name="Normal 2 33 8 6" xfId="20754"/>
    <cellStyle name="Normal 2 33 9" xfId="20755"/>
    <cellStyle name="Normal 2 34" xfId="20756"/>
    <cellStyle name="Normal 2 34 2" xfId="20757"/>
    <cellStyle name="Normal 2 35" xfId="20758"/>
    <cellStyle name="Normal 2 35 2" xfId="20759"/>
    <cellStyle name="Normal 2 36" xfId="20760"/>
    <cellStyle name="Normal 2 36 10" xfId="20761"/>
    <cellStyle name="Normal 2 36 11" xfId="20762"/>
    <cellStyle name="Normal 2 36 12" xfId="20763"/>
    <cellStyle name="Normal 2 36 13" xfId="20764"/>
    <cellStyle name="Normal 2 36 2" xfId="20765"/>
    <cellStyle name="Normal 2 36 2 10" xfId="20766"/>
    <cellStyle name="Normal 2 36 2 11" xfId="20767"/>
    <cellStyle name="Normal 2 36 2 12" xfId="20768"/>
    <cellStyle name="Normal 2 36 2 2" xfId="20769"/>
    <cellStyle name="Normal 2 36 2 2 2" xfId="20770"/>
    <cellStyle name="Normal 2 36 2 2 2 2" xfId="20771"/>
    <cellStyle name="Normal 2 36 2 2 2 2 2" xfId="20772"/>
    <cellStyle name="Normal 2 36 2 2 2 2 2 2" xfId="20773"/>
    <cellStyle name="Normal 2 36 2 2 2 2 2 3" xfId="20774"/>
    <cellStyle name="Normal 2 36 2 2 2 2 2 4" xfId="20775"/>
    <cellStyle name="Normal 2 36 2 2 2 2 2 5" xfId="20776"/>
    <cellStyle name="Normal 2 36 2 2 2 2 2 6" xfId="20777"/>
    <cellStyle name="Normal 2 36 2 2 2 2 3" xfId="20778"/>
    <cellStyle name="Normal 2 36 2 2 2 2 4" xfId="20779"/>
    <cellStyle name="Normal 2 36 2 2 2 2 5" xfId="20780"/>
    <cellStyle name="Normal 2 36 2 2 2 2 6" xfId="20781"/>
    <cellStyle name="Normal 2 36 2 2 2 3" xfId="20782"/>
    <cellStyle name="Normal 2 36 2 2 2 4" xfId="20783"/>
    <cellStyle name="Normal 2 36 2 2 2 5" xfId="20784"/>
    <cellStyle name="Normal 2 36 2 2 2 6" xfId="20785"/>
    <cellStyle name="Normal 2 36 2 2 2 7" xfId="20786"/>
    <cellStyle name="Normal 2 36 2 2 2 8" xfId="20787"/>
    <cellStyle name="Normal 2 36 2 2 2 9" xfId="20788"/>
    <cellStyle name="Normal 2 36 2 2 3" xfId="20789"/>
    <cellStyle name="Normal 2 36 2 2 3 2" xfId="20790"/>
    <cellStyle name="Normal 2 36 2 2 3 2 2" xfId="20791"/>
    <cellStyle name="Normal 2 36 2 2 3 2 3" xfId="20792"/>
    <cellStyle name="Normal 2 36 2 2 3 2 4" xfId="20793"/>
    <cellStyle name="Normal 2 36 2 2 3 2 5" xfId="20794"/>
    <cellStyle name="Normal 2 36 2 2 3 2 6" xfId="20795"/>
    <cellStyle name="Normal 2 36 2 2 3 3" xfId="20796"/>
    <cellStyle name="Normal 2 36 2 2 3 4" xfId="20797"/>
    <cellStyle name="Normal 2 36 2 2 3 5" xfId="20798"/>
    <cellStyle name="Normal 2 36 2 2 3 6" xfId="20799"/>
    <cellStyle name="Normal 2 36 2 2 4" xfId="20800"/>
    <cellStyle name="Normal 2 36 2 2 5" xfId="20801"/>
    <cellStyle name="Normal 2 36 2 2 6" xfId="20802"/>
    <cellStyle name="Normal 2 36 2 2 7" xfId="20803"/>
    <cellStyle name="Normal 2 36 2 2 8" xfId="20804"/>
    <cellStyle name="Normal 2 36 2 2 9" xfId="20805"/>
    <cellStyle name="Normal 2 36 2 3" xfId="20806"/>
    <cellStyle name="Normal 2 36 2 4" xfId="20807"/>
    <cellStyle name="Normal 2 36 2 5" xfId="20808"/>
    <cellStyle name="Normal 2 36 2 5 2" xfId="20809"/>
    <cellStyle name="Normal 2 36 2 5 2 2" xfId="20810"/>
    <cellStyle name="Normal 2 36 2 5 2 3" xfId="20811"/>
    <cellStyle name="Normal 2 36 2 5 2 4" xfId="20812"/>
    <cellStyle name="Normal 2 36 2 5 2 5" xfId="20813"/>
    <cellStyle name="Normal 2 36 2 5 2 6" xfId="20814"/>
    <cellStyle name="Normal 2 36 2 5 3" xfId="20815"/>
    <cellStyle name="Normal 2 36 2 5 4" xfId="20816"/>
    <cellStyle name="Normal 2 36 2 5 5" xfId="20817"/>
    <cellStyle name="Normal 2 36 2 5 6" xfId="20818"/>
    <cellStyle name="Normal 2 36 2 6" xfId="20819"/>
    <cellStyle name="Normal 2 36 2 7" xfId="20820"/>
    <cellStyle name="Normal 2 36 2 8" xfId="20821"/>
    <cellStyle name="Normal 2 36 2 9" xfId="20822"/>
    <cellStyle name="Normal 2 36 3" xfId="20823"/>
    <cellStyle name="Normal 2 36 3 2" xfId="20824"/>
    <cellStyle name="Normal 2 36 3 2 2" xfId="20825"/>
    <cellStyle name="Normal 2 36 3 2 2 2" xfId="20826"/>
    <cellStyle name="Normal 2 36 3 2 2 2 2" xfId="20827"/>
    <cellStyle name="Normal 2 36 3 2 2 2 3" xfId="20828"/>
    <cellStyle name="Normal 2 36 3 2 2 2 4" xfId="20829"/>
    <cellStyle name="Normal 2 36 3 2 2 2 5" xfId="20830"/>
    <cellStyle name="Normal 2 36 3 2 2 2 6" xfId="20831"/>
    <cellStyle name="Normal 2 36 3 2 2 3" xfId="20832"/>
    <cellStyle name="Normal 2 36 3 2 2 4" xfId="20833"/>
    <cellStyle name="Normal 2 36 3 2 2 5" xfId="20834"/>
    <cellStyle name="Normal 2 36 3 2 2 6" xfId="20835"/>
    <cellStyle name="Normal 2 36 3 2 3" xfId="20836"/>
    <cellStyle name="Normal 2 36 3 2 4" xfId="20837"/>
    <cellStyle name="Normal 2 36 3 2 5" xfId="20838"/>
    <cellStyle name="Normal 2 36 3 2 6" xfId="20839"/>
    <cellStyle name="Normal 2 36 3 2 7" xfId="20840"/>
    <cellStyle name="Normal 2 36 3 2 8" xfId="20841"/>
    <cellStyle name="Normal 2 36 3 2 9" xfId="20842"/>
    <cellStyle name="Normal 2 36 3 3" xfId="20843"/>
    <cellStyle name="Normal 2 36 3 3 2" xfId="20844"/>
    <cellStyle name="Normal 2 36 3 3 2 2" xfId="20845"/>
    <cellStyle name="Normal 2 36 3 3 2 3" xfId="20846"/>
    <cellStyle name="Normal 2 36 3 3 2 4" xfId="20847"/>
    <cellStyle name="Normal 2 36 3 3 2 5" xfId="20848"/>
    <cellStyle name="Normal 2 36 3 3 2 6" xfId="20849"/>
    <cellStyle name="Normal 2 36 3 3 3" xfId="20850"/>
    <cellStyle name="Normal 2 36 3 3 4" xfId="20851"/>
    <cellStyle name="Normal 2 36 3 3 5" xfId="20852"/>
    <cellStyle name="Normal 2 36 3 3 6" xfId="20853"/>
    <cellStyle name="Normal 2 36 3 4" xfId="20854"/>
    <cellStyle name="Normal 2 36 3 5" xfId="20855"/>
    <cellStyle name="Normal 2 36 3 6" xfId="20856"/>
    <cellStyle name="Normal 2 36 3 7" xfId="20857"/>
    <cellStyle name="Normal 2 36 3 8" xfId="20858"/>
    <cellStyle name="Normal 2 36 3 9" xfId="20859"/>
    <cellStyle name="Normal 2 36 4" xfId="20860"/>
    <cellStyle name="Normal 2 36 5" xfId="20861"/>
    <cellStyle name="Normal 2 36 5 2" xfId="20862"/>
    <cellStyle name="Normal 2 36 5 2 2" xfId="20863"/>
    <cellStyle name="Normal 2 36 5 2 3" xfId="20864"/>
    <cellStyle name="Normal 2 36 5 2 4" xfId="20865"/>
    <cellStyle name="Normal 2 36 5 2 5" xfId="20866"/>
    <cellStyle name="Normal 2 36 5 2 6" xfId="20867"/>
    <cellStyle name="Normal 2 36 5 3" xfId="20868"/>
    <cellStyle name="Normal 2 36 5 4" xfId="20869"/>
    <cellStyle name="Normal 2 36 5 5" xfId="20870"/>
    <cellStyle name="Normal 2 36 5 6" xfId="20871"/>
    <cellStyle name="Normal 2 36 6" xfId="20872"/>
    <cellStyle name="Normal 2 36 7" xfId="20873"/>
    <cellStyle name="Normal 2 36 8" xfId="20874"/>
    <cellStyle name="Normal 2 36 9" xfId="20875"/>
    <cellStyle name="Normal 2 37" xfId="20876"/>
    <cellStyle name="Normal 2 37 2" xfId="20877"/>
    <cellStyle name="Normal 2 38" xfId="20878"/>
    <cellStyle name="Normal 2 38 2" xfId="20879"/>
    <cellStyle name="Normal 2 39" xfId="20880"/>
    <cellStyle name="Normal 2 39 10" xfId="20881"/>
    <cellStyle name="Normal 2 39 2" xfId="20882"/>
    <cellStyle name="Normal 2 39 2 10" xfId="20883"/>
    <cellStyle name="Normal 2 39 2 2" xfId="20884"/>
    <cellStyle name="Normal 2 39 2 2 2" xfId="20885"/>
    <cellStyle name="Normal 2 39 2 2 2 2" xfId="20886"/>
    <cellStyle name="Normal 2 39 2 2 2 3" xfId="20887"/>
    <cellStyle name="Normal 2 39 2 2 2 4" xfId="20888"/>
    <cellStyle name="Normal 2 39 2 2 2 5" xfId="20889"/>
    <cellStyle name="Normal 2 39 2 2 2 6" xfId="20890"/>
    <cellStyle name="Normal 2 39 2 2 2 7" xfId="20891"/>
    <cellStyle name="Normal 2 39 2 2 3" xfId="20892"/>
    <cellStyle name="Normal 2 39 2 2 4" xfId="20893"/>
    <cellStyle name="Normal 2 39 2 2 5" xfId="20894"/>
    <cellStyle name="Normal 2 39 2 2 6" xfId="20895"/>
    <cellStyle name="Normal 2 39 2 2 7" xfId="20896"/>
    <cellStyle name="Normal 2 39 2 3" xfId="20897"/>
    <cellStyle name="Normal 2 39 2 4" xfId="20898"/>
    <cellStyle name="Normal 2 39 2 5" xfId="20899"/>
    <cellStyle name="Normal 2 39 2 6" xfId="20900"/>
    <cellStyle name="Normal 2 39 2 7" xfId="20901"/>
    <cellStyle name="Normal 2 39 2 8" xfId="20902"/>
    <cellStyle name="Normal 2 39 2 9" xfId="20903"/>
    <cellStyle name="Normal 2 39 3" xfId="20904"/>
    <cellStyle name="Normal 2 39 3 2" xfId="20905"/>
    <cellStyle name="Normal 2 39 3 2 2" xfId="20906"/>
    <cellStyle name="Normal 2 39 3 2 3" xfId="20907"/>
    <cellStyle name="Normal 2 39 3 2 4" xfId="20908"/>
    <cellStyle name="Normal 2 39 3 2 5" xfId="20909"/>
    <cellStyle name="Normal 2 39 3 2 6" xfId="20910"/>
    <cellStyle name="Normal 2 39 3 3" xfId="20911"/>
    <cellStyle name="Normal 2 39 3 4" xfId="20912"/>
    <cellStyle name="Normal 2 39 3 5" xfId="20913"/>
    <cellStyle name="Normal 2 39 3 6" xfId="20914"/>
    <cellStyle name="Normal 2 39 3 7" xfId="20915"/>
    <cellStyle name="Normal 2 39 4" xfId="20916"/>
    <cellStyle name="Normal 2 39 5" xfId="20917"/>
    <cellStyle name="Normal 2 39 6" xfId="20918"/>
    <cellStyle name="Normal 2 39 7" xfId="20919"/>
    <cellStyle name="Normal 2 39 8" xfId="20920"/>
    <cellStyle name="Normal 2 39 9" xfId="20921"/>
    <cellStyle name="Normal 2 4" xfId="20922"/>
    <cellStyle name="Normal 2 4 10" xfId="20923"/>
    <cellStyle name="Normal 2 4 11" xfId="20924"/>
    <cellStyle name="Normal 2 4 12" xfId="20925"/>
    <cellStyle name="Normal 2 4 12 2" xfId="20926"/>
    <cellStyle name="Normal 2 4 12 2 2" xfId="20927"/>
    <cellStyle name="Normal 2 4 12 2 3" xfId="20928"/>
    <cellStyle name="Normal 2 4 12 2 4" xfId="20929"/>
    <cellStyle name="Normal 2 4 12 2 5" xfId="20930"/>
    <cellStyle name="Normal 2 4 12 2 6" xfId="20931"/>
    <cellStyle name="Normal 2 4 12 2 7" xfId="20932"/>
    <cellStyle name="Normal 2 4 12 2 8" xfId="20933"/>
    <cellStyle name="Normal 2 4 12 2 9" xfId="20934"/>
    <cellStyle name="Normal 2 4 12 3" xfId="20935"/>
    <cellStyle name="Normal 2 4 12 4" xfId="20936"/>
    <cellStyle name="Normal 2 4 12 5" xfId="20937"/>
    <cellStyle name="Normal 2 4 12 6" xfId="20938"/>
    <cellStyle name="Normal 2 4 12 7" xfId="20939"/>
    <cellStyle name="Normal 2 4 12 8" xfId="20940"/>
    <cellStyle name="Normal 2 4 12 9" xfId="20941"/>
    <cellStyle name="Normal 2 4 13" xfId="20942"/>
    <cellStyle name="Normal 2 4 14" xfId="20943"/>
    <cellStyle name="Normal 2 4 15" xfId="20944"/>
    <cellStyle name="Normal 2 4 16" xfId="20945"/>
    <cellStyle name="Normal 2 4 17" xfId="20946"/>
    <cellStyle name="Normal 2 4 18" xfId="20947"/>
    <cellStyle name="Normal 2 4 19" xfId="20948"/>
    <cellStyle name="Normal 2 4 2" xfId="20949"/>
    <cellStyle name="Normal 2 4 2 10" xfId="20950"/>
    <cellStyle name="Normal 2 4 2 11" xfId="20951"/>
    <cellStyle name="Normal 2 4 2 12" xfId="20952"/>
    <cellStyle name="Normal 2 4 2 12 2" xfId="20953"/>
    <cellStyle name="Normal 2 4 2 12 2 2" xfId="20954"/>
    <cellStyle name="Normal 2 4 2 12 2 3" xfId="20955"/>
    <cellStyle name="Normal 2 4 2 12 2 4" xfId="20956"/>
    <cellStyle name="Normal 2 4 2 12 2 5" xfId="20957"/>
    <cellStyle name="Normal 2 4 2 12 2 6" xfId="20958"/>
    <cellStyle name="Normal 2 4 2 12 2 7" xfId="20959"/>
    <cellStyle name="Normal 2 4 2 12 2 8" xfId="20960"/>
    <cellStyle name="Normal 2 4 2 12 2 9" xfId="20961"/>
    <cellStyle name="Normal 2 4 2 12 3" xfId="20962"/>
    <cellStyle name="Normal 2 4 2 12 4" xfId="20963"/>
    <cellStyle name="Normal 2 4 2 12 5" xfId="20964"/>
    <cellStyle name="Normal 2 4 2 12 6" xfId="20965"/>
    <cellStyle name="Normal 2 4 2 12 7" xfId="20966"/>
    <cellStyle name="Normal 2 4 2 12 8" xfId="20967"/>
    <cellStyle name="Normal 2 4 2 12 9" xfId="20968"/>
    <cellStyle name="Normal 2 4 2 13" xfId="20969"/>
    <cellStyle name="Normal 2 4 2 14" xfId="20970"/>
    <cellStyle name="Normal 2 4 2 15" xfId="20971"/>
    <cellStyle name="Normal 2 4 2 16" xfId="20972"/>
    <cellStyle name="Normal 2 4 2 17" xfId="20973"/>
    <cellStyle name="Normal 2 4 2 18" xfId="20974"/>
    <cellStyle name="Normal 2 4 2 19" xfId="20975"/>
    <cellStyle name="Normal 2 4 2 2" xfId="20976"/>
    <cellStyle name="Normal 2 4 2 2 10" xfId="20977"/>
    <cellStyle name="Normal 2 4 2 2 11" xfId="20978"/>
    <cellStyle name="Normal 2 4 2 2 12" xfId="20979"/>
    <cellStyle name="Normal 2 4 2 2 13" xfId="20980"/>
    <cellStyle name="Normal 2 4 2 2 14" xfId="20981"/>
    <cellStyle name="Normal 2 4 2 2 15" xfId="20982"/>
    <cellStyle name="Normal 2 4 2 2 16" xfId="20983"/>
    <cellStyle name="Normal 2 4 2 2 17" xfId="20984"/>
    <cellStyle name="Normal 2 4 2 2 18" xfId="20985"/>
    <cellStyle name="Normal 2 4 2 2 18 2" xfId="20986"/>
    <cellStyle name="Normal 2 4 2 2 18 2 2" xfId="20987"/>
    <cellStyle name="Normal 2 4 2 2 18 2 2 2" xfId="20988"/>
    <cellStyle name="Normal 2 4 2 2 18 3" xfId="20989"/>
    <cellStyle name="Normal 2 4 2 2 18 4" xfId="20990"/>
    <cellStyle name="Normal 2 4 2 2 18 5" xfId="20991"/>
    <cellStyle name="Normal 2 4 2 2 18 6" xfId="20992"/>
    <cellStyle name="Normal 2 4 2 2 19" xfId="20993"/>
    <cellStyle name="Normal 2 4 2 2 19 2" xfId="20994"/>
    <cellStyle name="Normal 2 4 2 2 19 2 2" xfId="20995"/>
    <cellStyle name="Normal 2 4 2 2 2" xfId="20996"/>
    <cellStyle name="Normal 2 4 2 2 2 10" xfId="20997"/>
    <cellStyle name="Normal 2 4 2 2 2 11" xfId="20998"/>
    <cellStyle name="Normal 2 4 2 2 2 12" xfId="20999"/>
    <cellStyle name="Normal 2 4 2 2 2 13" xfId="21000"/>
    <cellStyle name="Normal 2 4 2 2 2 14" xfId="21001"/>
    <cellStyle name="Normal 2 4 2 2 2 15" xfId="21002"/>
    <cellStyle name="Normal 2 4 2 2 2 16" xfId="21003"/>
    <cellStyle name="Normal 2 4 2 2 2 17" xfId="21004"/>
    <cellStyle name="Normal 2 4 2 2 2 18" xfId="21005"/>
    <cellStyle name="Normal 2 4 2 2 2 18 2" xfId="21006"/>
    <cellStyle name="Normal 2 4 2 2 2 18 2 2" xfId="21007"/>
    <cellStyle name="Normal 2 4 2 2 2 18 2 2 2" xfId="21008"/>
    <cellStyle name="Normal 2 4 2 2 2 18 3" xfId="21009"/>
    <cellStyle name="Normal 2 4 2 2 2 18 4" xfId="21010"/>
    <cellStyle name="Normal 2 4 2 2 2 18 5" xfId="21011"/>
    <cellStyle name="Normal 2 4 2 2 2 18 6" xfId="21012"/>
    <cellStyle name="Normal 2 4 2 2 2 19" xfId="21013"/>
    <cellStyle name="Normal 2 4 2 2 2 19 2" xfId="21014"/>
    <cellStyle name="Normal 2 4 2 2 2 19 2 2" xfId="21015"/>
    <cellStyle name="Normal 2 4 2 2 2 2" xfId="21016"/>
    <cellStyle name="Normal 2 4 2 2 2 2 10" xfId="21017"/>
    <cellStyle name="Normal 2 4 2 2 2 2 10 2" xfId="21018"/>
    <cellStyle name="Normal 2 4 2 2 2 2 10 2 2" xfId="21019"/>
    <cellStyle name="Normal 2 4 2 2 2 2 10 2 2 2" xfId="21020"/>
    <cellStyle name="Normal 2 4 2 2 2 2 10 3" xfId="21021"/>
    <cellStyle name="Normal 2 4 2 2 2 2 10 4" xfId="21022"/>
    <cellStyle name="Normal 2 4 2 2 2 2 10 5" xfId="21023"/>
    <cellStyle name="Normal 2 4 2 2 2 2 10 6" xfId="21024"/>
    <cellStyle name="Normal 2 4 2 2 2 2 11" xfId="21025"/>
    <cellStyle name="Normal 2 4 2 2 2 2 11 2" xfId="21026"/>
    <cellStyle name="Normal 2 4 2 2 2 2 11 2 2" xfId="21027"/>
    <cellStyle name="Normal 2 4 2 2 2 2 12" xfId="21028"/>
    <cellStyle name="Normal 2 4 2 2 2 2 13" xfId="21029"/>
    <cellStyle name="Normal 2 4 2 2 2 2 14" xfId="21030"/>
    <cellStyle name="Normal 2 4 2 2 2 2 2" xfId="21031"/>
    <cellStyle name="Normal 2 4 2 2 2 2 2 10" xfId="21032"/>
    <cellStyle name="Normal 2 4 2 2 2 2 2 10 2" xfId="21033"/>
    <cellStyle name="Normal 2 4 2 2 2 2 2 10 2 2" xfId="21034"/>
    <cellStyle name="Normal 2 4 2 2 2 2 2 10 2 2 2" xfId="21035"/>
    <cellStyle name="Normal 2 4 2 2 2 2 2 10 3" xfId="21036"/>
    <cellStyle name="Normal 2 4 2 2 2 2 2 10 4" xfId="21037"/>
    <cellStyle name="Normal 2 4 2 2 2 2 2 10 5" xfId="21038"/>
    <cellStyle name="Normal 2 4 2 2 2 2 2 10 6" xfId="21039"/>
    <cellStyle name="Normal 2 4 2 2 2 2 2 11" xfId="21040"/>
    <cellStyle name="Normal 2 4 2 2 2 2 2 11 2" xfId="21041"/>
    <cellStyle name="Normal 2 4 2 2 2 2 2 11 2 2" xfId="21042"/>
    <cellStyle name="Normal 2 4 2 2 2 2 2 12" xfId="21043"/>
    <cellStyle name="Normal 2 4 2 2 2 2 2 13" xfId="21044"/>
    <cellStyle name="Normal 2 4 2 2 2 2 2 14" xfId="21045"/>
    <cellStyle name="Normal 2 4 2 2 2 2 2 2" xfId="21046"/>
    <cellStyle name="Normal 2 4 2 2 2 2 2 2 2" xfId="21047"/>
    <cellStyle name="Normal 2 4 2 2 2 2 2 2 2 2" xfId="21048"/>
    <cellStyle name="Normal 2 4 2 2 2 2 2 2 2 2 2" xfId="21049"/>
    <cellStyle name="Normal 2 4 2 2 2 2 2 2 2 2 2 2" xfId="21050"/>
    <cellStyle name="Normal 2 4 2 2 2 2 2 2 2 3" xfId="21051"/>
    <cellStyle name="Normal 2 4 2 2 2 2 2 2 2 4" xfId="21052"/>
    <cellStyle name="Normal 2 4 2 2 2 2 2 2 2 5" xfId="21053"/>
    <cellStyle name="Normal 2 4 2 2 2 2 2 2 2 6" xfId="21054"/>
    <cellStyle name="Normal 2 4 2 2 2 2 2 2 3" xfId="21055"/>
    <cellStyle name="Normal 2 4 2 2 2 2 2 2 4" xfId="21056"/>
    <cellStyle name="Normal 2 4 2 2 2 2 2 2 4 2" xfId="21057"/>
    <cellStyle name="Normal 2 4 2 2 2 2 2 2 4 2 2" xfId="21058"/>
    <cellStyle name="Normal 2 4 2 2 2 2 2 2 5" xfId="21059"/>
    <cellStyle name="Normal 2 4 2 2 2 2 2 2 6" xfId="21060"/>
    <cellStyle name="Normal 2 4 2 2 2 2 2 2 7" xfId="21061"/>
    <cellStyle name="Normal 2 4 2 2 2 2 2 3" xfId="21062"/>
    <cellStyle name="Normal 2 4 2 2 2 2 2 4" xfId="21063"/>
    <cellStyle name="Normal 2 4 2 2 2 2 2 5" xfId="21064"/>
    <cellStyle name="Normal 2 4 2 2 2 2 2 6" xfId="21065"/>
    <cellStyle name="Normal 2 4 2 2 2 2 2 7" xfId="21066"/>
    <cellStyle name="Normal 2 4 2 2 2 2 2 8" xfId="21067"/>
    <cellStyle name="Normal 2 4 2 2 2 2 2 9" xfId="21068"/>
    <cellStyle name="Normal 2 4 2 2 2 2 3" xfId="21069"/>
    <cellStyle name="Normal 2 4 2 2 2 2 4" xfId="21070"/>
    <cellStyle name="Normal 2 4 2 2 2 2 5" xfId="21071"/>
    <cellStyle name="Normal 2 4 2 2 2 2 6" xfId="21072"/>
    <cellStyle name="Normal 2 4 2 2 2 2 7" xfId="21073"/>
    <cellStyle name="Normal 2 4 2 2 2 2 8" xfId="21074"/>
    <cellStyle name="Normal 2 4 2 2 2 2 9" xfId="21075"/>
    <cellStyle name="Normal 2 4 2 2 2 20" xfId="21076"/>
    <cellStyle name="Normal 2 4 2 2 2 21" xfId="21077"/>
    <cellStyle name="Normal 2 4 2 2 2 22" xfId="21078"/>
    <cellStyle name="Normal 2 4 2 2 2 3" xfId="21079"/>
    <cellStyle name="Normal 2 4 2 2 2 4" xfId="21080"/>
    <cellStyle name="Normal 2 4 2 2 2 5" xfId="21081"/>
    <cellStyle name="Normal 2 4 2 2 2 6" xfId="21082"/>
    <cellStyle name="Normal 2 4 2 2 2 7" xfId="21083"/>
    <cellStyle name="Normal 2 4 2 2 2 8" xfId="21084"/>
    <cellStyle name="Normal 2 4 2 2 2 9" xfId="21085"/>
    <cellStyle name="Normal 2 4 2 2 20" xfId="21086"/>
    <cellStyle name="Normal 2 4 2 2 21" xfId="21087"/>
    <cellStyle name="Normal 2 4 2 2 22" xfId="21088"/>
    <cellStyle name="Normal 2 4 2 2 3" xfId="21089"/>
    <cellStyle name="Normal 2 4 2 2 3 2" xfId="21090"/>
    <cellStyle name="Normal 2 4 2 2 3 2 2" xfId="21091"/>
    <cellStyle name="Normal 2 4 2 2 3 2 3" xfId="21092"/>
    <cellStyle name="Normal 2 4 2 2 3 2 4" xfId="21093"/>
    <cellStyle name="Normal 2 4 2 2 3 2 5" xfId="21094"/>
    <cellStyle name="Normal 2 4 2 2 3 2 6" xfId="21095"/>
    <cellStyle name="Normal 2 4 2 2 3 2 7" xfId="21096"/>
    <cellStyle name="Normal 2 4 2 2 3 2 8" xfId="21097"/>
    <cellStyle name="Normal 2 4 2 2 3 2 9" xfId="21098"/>
    <cellStyle name="Normal 2 4 2 2 3 3" xfId="21099"/>
    <cellStyle name="Normal 2 4 2 2 3 4" xfId="21100"/>
    <cellStyle name="Normal 2 4 2 2 3 5" xfId="21101"/>
    <cellStyle name="Normal 2 4 2 2 3 6" xfId="21102"/>
    <cellStyle name="Normal 2 4 2 2 3 7" xfId="21103"/>
    <cellStyle name="Normal 2 4 2 2 3 8" xfId="21104"/>
    <cellStyle name="Normal 2 4 2 2 3 9" xfId="21105"/>
    <cellStyle name="Normal 2 4 2 2 4" xfId="21106"/>
    <cellStyle name="Normal 2 4 2 2 5" xfId="21107"/>
    <cellStyle name="Normal 2 4 2 2 6" xfId="21108"/>
    <cellStyle name="Normal 2 4 2 2 7" xfId="21109"/>
    <cellStyle name="Normal 2 4 2 2 8" xfId="21110"/>
    <cellStyle name="Normal 2 4 2 2 9" xfId="21111"/>
    <cellStyle name="Normal 2 4 2 20" xfId="21112"/>
    <cellStyle name="Normal 2 4 2 21" xfId="21113"/>
    <cellStyle name="Normal 2 4 2 22" xfId="21114"/>
    <cellStyle name="Normal 2 4 2 23" xfId="21115"/>
    <cellStyle name="Normal 2 4 2 24" xfId="21116"/>
    <cellStyle name="Normal 2 4 2 25" xfId="21117"/>
    <cellStyle name="Normal 2 4 2 26" xfId="21118"/>
    <cellStyle name="Normal 2 4 2 27" xfId="21119"/>
    <cellStyle name="Normal 2 4 2 28" xfId="21120"/>
    <cellStyle name="Normal 2 4 2 28 2" xfId="21121"/>
    <cellStyle name="Normal 2 4 2 28 2 2" xfId="21122"/>
    <cellStyle name="Normal 2 4 2 28 2 2 2" xfId="21123"/>
    <cellStyle name="Normal 2 4 2 28 3" xfId="21124"/>
    <cellStyle name="Normal 2 4 2 28 4" xfId="21125"/>
    <cellStyle name="Normal 2 4 2 28 5" xfId="21126"/>
    <cellStyle name="Normal 2 4 2 28 6" xfId="21127"/>
    <cellStyle name="Normal 2 4 2 29" xfId="21128"/>
    <cellStyle name="Normal 2 4 2 29 2" xfId="21129"/>
    <cellStyle name="Normal 2 4 2 29 2 2" xfId="21130"/>
    <cellStyle name="Normal 2 4 2 3" xfId="21131"/>
    <cellStyle name="Normal 2 4 2 30" xfId="21132"/>
    <cellStyle name="Normal 2 4 2 31" xfId="21133"/>
    <cellStyle name="Normal 2 4 2 32" xfId="21134"/>
    <cellStyle name="Normal 2 4 2 33" xfId="21135"/>
    <cellStyle name="Normal 2 4 2 4" xfId="21136"/>
    <cellStyle name="Normal 2 4 2 5" xfId="21137"/>
    <cellStyle name="Normal 2 4 2 6" xfId="21138"/>
    <cellStyle name="Normal 2 4 2 7" xfId="21139"/>
    <cellStyle name="Normal 2 4 2 8" xfId="21140"/>
    <cellStyle name="Normal 2 4 2 9" xfId="21141"/>
    <cellStyle name="Normal 2 4 20" xfId="21142"/>
    <cellStyle name="Normal 2 4 21" xfId="21143"/>
    <cellStyle name="Normal 2 4 22" xfId="21144"/>
    <cellStyle name="Normal 2 4 23" xfId="21145"/>
    <cellStyle name="Normal 2 4 24" xfId="21146"/>
    <cellStyle name="Normal 2 4 25" xfId="21147"/>
    <cellStyle name="Normal 2 4 26" xfId="21148"/>
    <cellStyle name="Normal 2 4 27" xfId="21149"/>
    <cellStyle name="Normal 2 4 28" xfId="21150"/>
    <cellStyle name="Normal 2 4 28 2" xfId="21151"/>
    <cellStyle name="Normal 2 4 28 2 2" xfId="21152"/>
    <cellStyle name="Normal 2 4 28 2 2 2" xfId="21153"/>
    <cellStyle name="Normal 2 4 28 3" xfId="21154"/>
    <cellStyle name="Normal 2 4 28 4" xfId="21155"/>
    <cellStyle name="Normal 2 4 28 5" xfId="21156"/>
    <cellStyle name="Normal 2 4 28 6" xfId="21157"/>
    <cellStyle name="Normal 2 4 29" xfId="21158"/>
    <cellStyle name="Normal 2 4 29 2" xfId="21159"/>
    <cellStyle name="Normal 2 4 29 2 2" xfId="21160"/>
    <cellStyle name="Normal 2 4 3" xfId="21161"/>
    <cellStyle name="Normal 2 4 3 10" xfId="21162"/>
    <cellStyle name="Normal 2 4 3 11" xfId="21163"/>
    <cellStyle name="Normal 2 4 3 12" xfId="21164"/>
    <cellStyle name="Normal 2 4 3 13" xfId="21165"/>
    <cellStyle name="Normal 2 4 3 14" xfId="21166"/>
    <cellStyle name="Normal 2 4 3 15" xfId="21167"/>
    <cellStyle name="Normal 2 4 3 16" xfId="21168"/>
    <cellStyle name="Normal 2 4 3 17" xfId="21169"/>
    <cellStyle name="Normal 2 4 3 2" xfId="21170"/>
    <cellStyle name="Normal 2 4 3 2 10" xfId="21171"/>
    <cellStyle name="Normal 2 4 3 2 11" xfId="21172"/>
    <cellStyle name="Normal 2 4 3 2 12" xfId="21173"/>
    <cellStyle name="Normal 2 4 3 2 13" xfId="21174"/>
    <cellStyle name="Normal 2 4 3 2 14" xfId="21175"/>
    <cellStyle name="Normal 2 4 3 2 15" xfId="21176"/>
    <cellStyle name="Normal 2 4 3 2 16" xfId="21177"/>
    <cellStyle name="Normal 2 4 3 2 17" xfId="21178"/>
    <cellStyle name="Normal 2 4 3 2 2" xfId="21179"/>
    <cellStyle name="Normal 2 4 3 2 2 2" xfId="21180"/>
    <cellStyle name="Normal 2 4 3 2 2 2 2" xfId="21181"/>
    <cellStyle name="Normal 2 4 3 2 2 2 3" xfId="21182"/>
    <cellStyle name="Normal 2 4 3 2 2 2 4" xfId="21183"/>
    <cellStyle name="Normal 2 4 3 2 2 2 5" xfId="21184"/>
    <cellStyle name="Normal 2 4 3 2 2 2 6" xfId="21185"/>
    <cellStyle name="Normal 2 4 3 2 2 2 7" xfId="21186"/>
    <cellStyle name="Normal 2 4 3 2 2 2 8" xfId="21187"/>
    <cellStyle name="Normal 2 4 3 2 2 2 9" xfId="21188"/>
    <cellStyle name="Normal 2 4 3 2 2 3" xfId="21189"/>
    <cellStyle name="Normal 2 4 3 2 2 4" xfId="21190"/>
    <cellStyle name="Normal 2 4 3 2 2 5" xfId="21191"/>
    <cellStyle name="Normal 2 4 3 2 2 6" xfId="21192"/>
    <cellStyle name="Normal 2 4 3 2 2 7" xfId="21193"/>
    <cellStyle name="Normal 2 4 3 2 2 8" xfId="21194"/>
    <cellStyle name="Normal 2 4 3 2 2 9" xfId="21195"/>
    <cellStyle name="Normal 2 4 3 2 3" xfId="21196"/>
    <cellStyle name="Normal 2 4 3 2 4" xfId="21197"/>
    <cellStyle name="Normal 2 4 3 2 5" xfId="21198"/>
    <cellStyle name="Normal 2 4 3 2 6" xfId="21199"/>
    <cellStyle name="Normal 2 4 3 2 7" xfId="21200"/>
    <cellStyle name="Normal 2 4 3 2 8" xfId="21201"/>
    <cellStyle name="Normal 2 4 3 2 9" xfId="21202"/>
    <cellStyle name="Normal 2 4 3 3" xfId="21203"/>
    <cellStyle name="Normal 2 4 3 3 2" xfId="21204"/>
    <cellStyle name="Normal 2 4 3 3 2 2" xfId="21205"/>
    <cellStyle name="Normal 2 4 3 3 2 3" xfId="21206"/>
    <cellStyle name="Normal 2 4 3 3 2 4" xfId="21207"/>
    <cellStyle name="Normal 2 4 3 3 2 5" xfId="21208"/>
    <cellStyle name="Normal 2 4 3 3 2 6" xfId="21209"/>
    <cellStyle name="Normal 2 4 3 3 2 7" xfId="21210"/>
    <cellStyle name="Normal 2 4 3 3 2 8" xfId="21211"/>
    <cellStyle name="Normal 2 4 3 3 2 9" xfId="21212"/>
    <cellStyle name="Normal 2 4 3 3 3" xfId="21213"/>
    <cellStyle name="Normal 2 4 3 3 4" xfId="21214"/>
    <cellStyle name="Normal 2 4 3 3 5" xfId="21215"/>
    <cellStyle name="Normal 2 4 3 3 6" xfId="21216"/>
    <cellStyle name="Normal 2 4 3 3 7" xfId="21217"/>
    <cellStyle name="Normal 2 4 3 3 8" xfId="21218"/>
    <cellStyle name="Normal 2 4 3 3 9" xfId="21219"/>
    <cellStyle name="Normal 2 4 3 4" xfId="21220"/>
    <cellStyle name="Normal 2 4 3 5" xfId="21221"/>
    <cellStyle name="Normal 2 4 3 6" xfId="21222"/>
    <cellStyle name="Normal 2 4 3 7" xfId="21223"/>
    <cellStyle name="Normal 2 4 3 8" xfId="21224"/>
    <cellStyle name="Normal 2 4 3 9" xfId="21225"/>
    <cellStyle name="Normal 2 4 30" xfId="21226"/>
    <cellStyle name="Normal 2 4 31" xfId="21227"/>
    <cellStyle name="Normal 2 4 32" xfId="21228"/>
    <cellStyle name="Normal 2 4 33" xfId="21229"/>
    <cellStyle name="Normal 2 4 34" xfId="21230"/>
    <cellStyle name="Normal 2 4 35" xfId="21231"/>
    <cellStyle name="Normal 2 4 36" xfId="21232"/>
    <cellStyle name="Normal 2 4 4" xfId="21233"/>
    <cellStyle name="Normal 2 4 5" xfId="21234"/>
    <cellStyle name="Normal 2 4 6" xfId="21235"/>
    <cellStyle name="Normal 2 4 7" xfId="21236"/>
    <cellStyle name="Normal 2 4 8" xfId="21237"/>
    <cellStyle name="Normal 2 4 9" xfId="21238"/>
    <cellStyle name="Normal 2 40" xfId="21239"/>
    <cellStyle name="Normal 2 40 2" xfId="21240"/>
    <cellStyle name="Normal 2 41" xfId="21241"/>
    <cellStyle name="Normal 2 41 10" xfId="21242"/>
    <cellStyle name="Normal 2 41 11" xfId="21243"/>
    <cellStyle name="Normal 2 41 12" xfId="21244"/>
    <cellStyle name="Normal 2 41 13" xfId="21245"/>
    <cellStyle name="Normal 2 41 14" xfId="21246"/>
    <cellStyle name="Normal 2 41 15" xfId="21247"/>
    <cellStyle name="Normal 2 41 16" xfId="21248"/>
    <cellStyle name="Normal 2 41 17" xfId="21249"/>
    <cellStyle name="Normal 2 41 18" xfId="21250"/>
    <cellStyle name="Normal 2 41 2" xfId="21251"/>
    <cellStyle name="Normal 2 41 2 10" xfId="21252"/>
    <cellStyle name="Normal 2 41 2 11" xfId="21253"/>
    <cellStyle name="Normal 2 41 2 12" xfId="21254"/>
    <cellStyle name="Normal 2 41 2 13" xfId="21255"/>
    <cellStyle name="Normal 2 41 2 14" xfId="21256"/>
    <cellStyle name="Normal 2 41 2 15" xfId="21257"/>
    <cellStyle name="Normal 2 41 2 16" xfId="21258"/>
    <cellStyle name="Normal 2 41 2 17" xfId="21259"/>
    <cellStyle name="Normal 2 41 2 2" xfId="21260"/>
    <cellStyle name="Normal 2 41 2 2 2" xfId="21261"/>
    <cellStyle name="Normal 2 41 2 2 2 2" xfId="21262"/>
    <cellStyle name="Normal 2 41 2 2 2 3" xfId="21263"/>
    <cellStyle name="Normal 2 41 2 2 2 4" xfId="21264"/>
    <cellStyle name="Normal 2 41 2 2 2 5" xfId="21265"/>
    <cellStyle name="Normal 2 41 2 2 2 6" xfId="21266"/>
    <cellStyle name="Normal 2 41 2 2 2 7" xfId="21267"/>
    <cellStyle name="Normal 2 41 2 2 2 8" xfId="21268"/>
    <cellStyle name="Normal 2 41 2 2 2 9" xfId="21269"/>
    <cellStyle name="Normal 2 41 2 2 3" xfId="21270"/>
    <cellStyle name="Normal 2 41 2 2 4" xfId="21271"/>
    <cellStyle name="Normal 2 41 2 2 5" xfId="21272"/>
    <cellStyle name="Normal 2 41 2 2 6" xfId="21273"/>
    <cellStyle name="Normal 2 41 2 2 7" xfId="21274"/>
    <cellStyle name="Normal 2 41 2 2 8" xfId="21275"/>
    <cellStyle name="Normal 2 41 2 2 9" xfId="21276"/>
    <cellStyle name="Normal 2 41 2 3" xfId="21277"/>
    <cellStyle name="Normal 2 41 2 4" xfId="21278"/>
    <cellStyle name="Normal 2 41 2 5" xfId="21279"/>
    <cellStyle name="Normal 2 41 2 6" xfId="21280"/>
    <cellStyle name="Normal 2 41 2 7" xfId="21281"/>
    <cellStyle name="Normal 2 41 2 8" xfId="21282"/>
    <cellStyle name="Normal 2 41 2 9" xfId="21283"/>
    <cellStyle name="Normal 2 41 3" xfId="21284"/>
    <cellStyle name="Normal 2 41 3 2" xfId="21285"/>
    <cellStyle name="Normal 2 41 3 2 2" xfId="21286"/>
    <cellStyle name="Normal 2 41 3 2 3" xfId="21287"/>
    <cellStyle name="Normal 2 41 3 2 4" xfId="21288"/>
    <cellStyle name="Normal 2 41 3 2 5" xfId="21289"/>
    <cellStyle name="Normal 2 41 3 2 6" xfId="21290"/>
    <cellStyle name="Normal 2 41 3 2 7" xfId="21291"/>
    <cellStyle name="Normal 2 41 3 2 8" xfId="21292"/>
    <cellStyle name="Normal 2 41 3 2 9" xfId="21293"/>
    <cellStyle name="Normal 2 41 3 3" xfId="21294"/>
    <cellStyle name="Normal 2 41 3 4" xfId="21295"/>
    <cellStyle name="Normal 2 41 3 5" xfId="21296"/>
    <cellStyle name="Normal 2 41 3 6" xfId="21297"/>
    <cellStyle name="Normal 2 41 3 7" xfId="21298"/>
    <cellStyle name="Normal 2 41 3 8" xfId="21299"/>
    <cellStyle name="Normal 2 41 3 9" xfId="21300"/>
    <cellStyle name="Normal 2 41 4" xfId="21301"/>
    <cellStyle name="Normal 2 41 5" xfId="21302"/>
    <cellStyle name="Normal 2 41 6" xfId="21303"/>
    <cellStyle name="Normal 2 41 7" xfId="21304"/>
    <cellStyle name="Normal 2 41 8" xfId="21305"/>
    <cellStyle name="Normal 2 41 9" xfId="21306"/>
    <cellStyle name="Normal 2 42" xfId="21307"/>
    <cellStyle name="Normal 2 42 10" xfId="21308"/>
    <cellStyle name="Normal 2 42 11" xfId="21309"/>
    <cellStyle name="Normal 2 42 2" xfId="21310"/>
    <cellStyle name="Normal 2 42 2 2" xfId="21311"/>
    <cellStyle name="Normal 2 42 2 3" xfId="21312"/>
    <cellStyle name="Normal 2 42 2 4" xfId="21313"/>
    <cellStyle name="Normal 2 42 2 5" xfId="21314"/>
    <cellStyle name="Normal 2 42 2 6" xfId="21315"/>
    <cellStyle name="Normal 2 42 3" xfId="21316"/>
    <cellStyle name="Normal 2 42 4" xfId="21317"/>
    <cellStyle name="Normal 2 42 5" xfId="21318"/>
    <cellStyle name="Normal 2 42 6" xfId="21319"/>
    <cellStyle name="Normal 2 42 7" xfId="21320"/>
    <cellStyle name="Normal 2 42 8" xfId="21321"/>
    <cellStyle name="Normal 2 42 9" xfId="21322"/>
    <cellStyle name="Normal 2 43" xfId="21323"/>
    <cellStyle name="Normal 2 43 10" xfId="21324"/>
    <cellStyle name="Normal 2 43 2" xfId="21325"/>
    <cellStyle name="Normal 2 43 3" xfId="21326"/>
    <cellStyle name="Normal 2 43 4" xfId="21327"/>
    <cellStyle name="Normal 2 43 5" xfId="21328"/>
    <cellStyle name="Normal 2 43 6" xfId="21329"/>
    <cellStyle name="Normal 2 43 7" xfId="21330"/>
    <cellStyle name="Normal 2 43 8" xfId="21331"/>
    <cellStyle name="Normal 2 43 9" xfId="21332"/>
    <cellStyle name="Normal 2 44" xfId="21333"/>
    <cellStyle name="Normal 2 44 2" xfId="21334"/>
    <cellStyle name="Normal 2 45" xfId="21335"/>
    <cellStyle name="Normal 2 45 2" xfId="21336"/>
    <cellStyle name="Normal 2 45 3" xfId="21337"/>
    <cellStyle name="Normal 2 46" xfId="21338"/>
    <cellStyle name="Normal 2 46 2" xfId="21339"/>
    <cellStyle name="Normal 2 46 3" xfId="21340"/>
    <cellStyle name="Normal 2 47" xfId="21341"/>
    <cellStyle name="Normal 2 47 2" xfId="21342"/>
    <cellStyle name="Normal 2 47 3" xfId="21343"/>
    <cellStyle name="Normal 2 48" xfId="21344"/>
    <cellStyle name="Normal 2 48 2" xfId="21345"/>
    <cellStyle name="Normal 2 49" xfId="21346"/>
    <cellStyle name="Normal 2 49 2" xfId="21347"/>
    <cellStyle name="Normal 2 5" xfId="21348"/>
    <cellStyle name="Normal 2 5 2" xfId="21349"/>
    <cellStyle name="Normal 2 5 2 2" xfId="21350"/>
    <cellStyle name="Normal 2 5 3" xfId="21351"/>
    <cellStyle name="Normal 2 5 4" xfId="21352"/>
    <cellStyle name="Normal 2 5 5" xfId="21353"/>
    <cellStyle name="Normal 2 50" xfId="21354"/>
    <cellStyle name="Normal 2 50 2" xfId="21355"/>
    <cellStyle name="Normal 2 51" xfId="21356"/>
    <cellStyle name="Normal 2 51 10" xfId="21357"/>
    <cellStyle name="Normal 2 51 2" xfId="21358"/>
    <cellStyle name="Normal 2 51 2 2" xfId="21359"/>
    <cellStyle name="Normal 2 51 2 3" xfId="21360"/>
    <cellStyle name="Normal 2 51 2 4" xfId="21361"/>
    <cellStyle name="Normal 2 51 2 5" xfId="21362"/>
    <cellStyle name="Normal 2 51 2 6" xfId="21363"/>
    <cellStyle name="Normal 2 51 2 7" xfId="21364"/>
    <cellStyle name="Normal 2 51 2 8" xfId="21365"/>
    <cellStyle name="Normal 2 51 2 9" xfId="21366"/>
    <cellStyle name="Normal 2 51 3" xfId="21367"/>
    <cellStyle name="Normal 2 51 4" xfId="21368"/>
    <cellStyle name="Normal 2 51 5" xfId="21369"/>
    <cellStyle name="Normal 2 51 6" xfId="21370"/>
    <cellStyle name="Normal 2 51 7" xfId="21371"/>
    <cellStyle name="Normal 2 51 8" xfId="21372"/>
    <cellStyle name="Normal 2 51 9" xfId="21373"/>
    <cellStyle name="Normal 2 52" xfId="21374"/>
    <cellStyle name="Normal 2 52 2" xfId="21375"/>
    <cellStyle name="Normal 2 52 3" xfId="21376"/>
    <cellStyle name="Normal 2 53" xfId="21377"/>
    <cellStyle name="Normal 2 53 2" xfId="21378"/>
    <cellStyle name="Normal 2 54" xfId="21379"/>
    <cellStyle name="Normal 2 54 2" xfId="21380"/>
    <cellStyle name="Normal 2 55" xfId="21381"/>
    <cellStyle name="Normal 2 55 2" xfId="21382"/>
    <cellStyle name="Normal 2 56" xfId="21383"/>
    <cellStyle name="Normal 2 56 2" xfId="21384"/>
    <cellStyle name="Normal 2 57" xfId="21385"/>
    <cellStyle name="Normal 2 57 2" xfId="21386"/>
    <cellStyle name="Normal 2 58" xfId="21387"/>
    <cellStyle name="Normal 2 58 2" xfId="21388"/>
    <cellStyle name="Normal 2 59" xfId="21389"/>
    <cellStyle name="Normal 2 59 2" xfId="21390"/>
    <cellStyle name="Normal 2 6" xfId="21391"/>
    <cellStyle name="Normal 2 6 2" xfId="21392"/>
    <cellStyle name="Normal 2 6 3" xfId="21393"/>
    <cellStyle name="Normal 2 6 4" xfId="21394"/>
    <cellStyle name="Normal 2 60" xfId="21395"/>
    <cellStyle name="Normal 2 60 2" xfId="21396"/>
    <cellStyle name="Normal 2 61" xfId="21397"/>
    <cellStyle name="Normal 2 61 2" xfId="21398"/>
    <cellStyle name="Normal 2 62" xfId="21399"/>
    <cellStyle name="Normal 2 62 2" xfId="21400"/>
    <cellStyle name="Normal 2 63" xfId="21401"/>
    <cellStyle name="Normal 2 63 2" xfId="21402"/>
    <cellStyle name="Normal 2 64" xfId="21403"/>
    <cellStyle name="Normal 2 64 2" xfId="21404"/>
    <cellStyle name="Normal 2 64 3" xfId="21405"/>
    <cellStyle name="Normal 2 65" xfId="21406"/>
    <cellStyle name="Normal 2 65 2" xfId="21407"/>
    <cellStyle name="Normal 2 66" xfId="21408"/>
    <cellStyle name="Normal 2 66 2" xfId="21409"/>
    <cellStyle name="Normal 2 67" xfId="21410"/>
    <cellStyle name="Normal 2 67 2" xfId="21411"/>
    <cellStyle name="Normal 2 67 2 2" xfId="21412"/>
    <cellStyle name="Normal 2 67 2 2 2" xfId="21413"/>
    <cellStyle name="Normal 2 67 2 3" xfId="21414"/>
    <cellStyle name="Normal 2 67 3" xfId="21415"/>
    <cellStyle name="Normal 2 67 3 2" xfId="21416"/>
    <cellStyle name="Normal 2 67 4" xfId="21417"/>
    <cellStyle name="Normal 2 67 4 2" xfId="21418"/>
    <cellStyle name="Normal 2 67 5" xfId="21419"/>
    <cellStyle name="Normal 2 67 6" xfId="21420"/>
    <cellStyle name="Normal 2 67 7" xfId="21421"/>
    <cellStyle name="Normal 2 67 8" xfId="21422"/>
    <cellStyle name="Normal 2 67 9" xfId="21423"/>
    <cellStyle name="Normal 2 68" xfId="21424"/>
    <cellStyle name="Normal 2 68 2" xfId="21425"/>
    <cellStyle name="Normal 2 68 2 2" xfId="21426"/>
    <cellStyle name="Normal 2 69" xfId="21427"/>
    <cellStyle name="Normal 2 7" xfId="21428"/>
    <cellStyle name="Normal 2 7 2" xfId="21429"/>
    <cellStyle name="Normal 2 7 3" xfId="21430"/>
    <cellStyle name="Normal 2 7 4" xfId="21431"/>
    <cellStyle name="Normal 2 70" xfId="21432"/>
    <cellStyle name="Normal 2 71" xfId="21433"/>
    <cellStyle name="Normal 2 72" xfId="21434"/>
    <cellStyle name="Normal 2 73" xfId="21435"/>
    <cellStyle name="Normal 2 74" xfId="21436"/>
    <cellStyle name="Normal 2 75" xfId="21437"/>
    <cellStyle name="Normal 2 76" xfId="21438"/>
    <cellStyle name="Normal 2 77" xfId="21439"/>
    <cellStyle name="Normal 2 78" xfId="21440"/>
    <cellStyle name="Normal 2 79" xfId="21441"/>
    <cellStyle name="Normal 2 79 10" xfId="21442"/>
    <cellStyle name="Normal 2 79 11" xfId="21443"/>
    <cellStyle name="Normal 2 79 11 10" xfId="21444"/>
    <cellStyle name="Normal 2 79 11 11" xfId="21445"/>
    <cellStyle name="Normal 2 79 11 11 2" xfId="21446"/>
    <cellStyle name="Normal 2 79 11 11 3" xfId="21447"/>
    <cellStyle name="Normal 2 79 11 11 4" xfId="21448"/>
    <cellStyle name="Normal 2 79 11 12" xfId="21449"/>
    <cellStyle name="Normal 2 79 11 13" xfId="21450"/>
    <cellStyle name="Normal 2 79 11 14" xfId="21451"/>
    <cellStyle name="Normal 2 79 11 2" xfId="21452"/>
    <cellStyle name="Normal 2 79 11 2 10" xfId="21453"/>
    <cellStyle name="Normal 2 79 11 2 11" xfId="21454"/>
    <cellStyle name="Normal 2 79 11 2 2" xfId="21455"/>
    <cellStyle name="Normal 2 79 11 2 2 10" xfId="21456"/>
    <cellStyle name="Normal 2 79 11 2 2 11" xfId="21457"/>
    <cellStyle name="Normal 2 79 11 2 2 2" xfId="21458"/>
    <cellStyle name="Normal 2 79 11 2 2 2 2" xfId="21459"/>
    <cellStyle name="Normal 2 79 11 2 2 2 2 2" xfId="21460"/>
    <cellStyle name="Normal 2 79 11 2 2 2 2 3" xfId="21461"/>
    <cellStyle name="Normal 2 79 11 2 2 2 2 4" xfId="21462"/>
    <cellStyle name="Normal 2 79 11 2 2 2 3" xfId="21463"/>
    <cellStyle name="Normal 2 79 11 2 2 2 4" xfId="21464"/>
    <cellStyle name="Normal 2 79 11 2 2 2 5" xfId="21465"/>
    <cellStyle name="Normal 2 79 11 2 2 2 6" xfId="21466"/>
    <cellStyle name="Normal 2 79 11 2 2 3" xfId="21467"/>
    <cellStyle name="Normal 2 79 11 2 2 4" xfId="21468"/>
    <cellStyle name="Normal 2 79 11 2 2 5" xfId="21469"/>
    <cellStyle name="Normal 2 79 11 2 2 6" xfId="21470"/>
    <cellStyle name="Normal 2 79 11 2 2 7" xfId="21471"/>
    <cellStyle name="Normal 2 79 11 2 2 8" xfId="21472"/>
    <cellStyle name="Normal 2 79 11 2 2 8 2" xfId="21473"/>
    <cellStyle name="Normal 2 79 11 2 2 8 3" xfId="21474"/>
    <cellStyle name="Normal 2 79 11 2 2 8 4" xfId="21475"/>
    <cellStyle name="Normal 2 79 11 2 2 9" xfId="21476"/>
    <cellStyle name="Normal 2 79 11 2 3" xfId="21477"/>
    <cellStyle name="Normal 2 79 11 2 3 2" xfId="21478"/>
    <cellStyle name="Normal 2 79 11 2 3 2 2" xfId="21479"/>
    <cellStyle name="Normal 2 79 11 2 3 2 3" xfId="21480"/>
    <cellStyle name="Normal 2 79 11 2 3 2 4" xfId="21481"/>
    <cellStyle name="Normal 2 79 11 2 3 3" xfId="21482"/>
    <cellStyle name="Normal 2 79 11 2 3 4" xfId="21483"/>
    <cellStyle name="Normal 2 79 11 2 3 5" xfId="21484"/>
    <cellStyle name="Normal 2 79 11 2 3 6" xfId="21485"/>
    <cellStyle name="Normal 2 79 11 2 4" xfId="21486"/>
    <cellStyle name="Normal 2 79 11 2 5" xfId="21487"/>
    <cellStyle name="Normal 2 79 11 2 6" xfId="21488"/>
    <cellStyle name="Normal 2 79 11 2 7" xfId="21489"/>
    <cellStyle name="Normal 2 79 11 2 8" xfId="21490"/>
    <cellStyle name="Normal 2 79 11 2 8 2" xfId="21491"/>
    <cellStyle name="Normal 2 79 11 2 8 3" xfId="21492"/>
    <cellStyle name="Normal 2 79 11 2 8 4" xfId="21493"/>
    <cellStyle name="Normal 2 79 11 2 9" xfId="21494"/>
    <cellStyle name="Normal 2 79 11 3" xfId="21495"/>
    <cellStyle name="Normal 2 79 11 4" xfId="21496"/>
    <cellStyle name="Normal 2 79 11 5" xfId="21497"/>
    <cellStyle name="Normal 2 79 11 5 2" xfId="21498"/>
    <cellStyle name="Normal 2 79 11 5 2 2" xfId="21499"/>
    <cellStyle name="Normal 2 79 11 5 2 3" xfId="21500"/>
    <cellStyle name="Normal 2 79 11 5 2 4" xfId="21501"/>
    <cellStyle name="Normal 2 79 11 5 3" xfId="21502"/>
    <cellStyle name="Normal 2 79 11 5 4" xfId="21503"/>
    <cellStyle name="Normal 2 79 11 5 5" xfId="21504"/>
    <cellStyle name="Normal 2 79 11 5 6" xfId="21505"/>
    <cellStyle name="Normal 2 79 11 6" xfId="21506"/>
    <cellStyle name="Normal 2 79 11 7" xfId="21507"/>
    <cellStyle name="Normal 2 79 11 8" xfId="21508"/>
    <cellStyle name="Normal 2 79 11 9" xfId="21509"/>
    <cellStyle name="Normal 2 79 12" xfId="21510"/>
    <cellStyle name="Normal 2 79 13" xfId="21511"/>
    <cellStyle name="Normal 2 79 13 10" xfId="21512"/>
    <cellStyle name="Normal 2 79 13 11" xfId="21513"/>
    <cellStyle name="Normal 2 79 13 2" xfId="21514"/>
    <cellStyle name="Normal 2 79 13 2 10" xfId="21515"/>
    <cellStyle name="Normal 2 79 13 2 11" xfId="21516"/>
    <cellStyle name="Normal 2 79 13 2 2" xfId="21517"/>
    <cellStyle name="Normal 2 79 13 2 2 2" xfId="21518"/>
    <cellStyle name="Normal 2 79 13 2 2 2 2" xfId="21519"/>
    <cellStyle name="Normal 2 79 13 2 2 2 3" xfId="21520"/>
    <cellStyle name="Normal 2 79 13 2 2 2 4" xfId="21521"/>
    <cellStyle name="Normal 2 79 13 2 2 3" xfId="21522"/>
    <cellStyle name="Normal 2 79 13 2 2 4" xfId="21523"/>
    <cellStyle name="Normal 2 79 13 2 2 5" xfId="21524"/>
    <cellStyle name="Normal 2 79 13 2 2 6" xfId="21525"/>
    <cellStyle name="Normal 2 79 13 2 3" xfId="21526"/>
    <cellStyle name="Normal 2 79 13 2 4" xfId="21527"/>
    <cellStyle name="Normal 2 79 13 2 5" xfId="21528"/>
    <cellStyle name="Normal 2 79 13 2 6" xfId="21529"/>
    <cellStyle name="Normal 2 79 13 2 7" xfId="21530"/>
    <cellStyle name="Normal 2 79 13 2 8" xfId="21531"/>
    <cellStyle name="Normal 2 79 13 2 8 2" xfId="21532"/>
    <cellStyle name="Normal 2 79 13 2 8 3" xfId="21533"/>
    <cellStyle name="Normal 2 79 13 2 8 4" xfId="21534"/>
    <cellStyle name="Normal 2 79 13 2 9" xfId="21535"/>
    <cellStyle name="Normal 2 79 13 3" xfId="21536"/>
    <cellStyle name="Normal 2 79 13 3 2" xfId="21537"/>
    <cellStyle name="Normal 2 79 13 3 2 2" xfId="21538"/>
    <cellStyle name="Normal 2 79 13 3 2 3" xfId="21539"/>
    <cellStyle name="Normal 2 79 13 3 2 4" xfId="21540"/>
    <cellStyle name="Normal 2 79 13 3 3" xfId="21541"/>
    <cellStyle name="Normal 2 79 13 3 4" xfId="21542"/>
    <cellStyle name="Normal 2 79 13 3 5" xfId="21543"/>
    <cellStyle name="Normal 2 79 13 3 6" xfId="21544"/>
    <cellStyle name="Normal 2 79 13 4" xfId="21545"/>
    <cellStyle name="Normal 2 79 13 5" xfId="21546"/>
    <cellStyle name="Normal 2 79 13 6" xfId="21547"/>
    <cellStyle name="Normal 2 79 13 7" xfId="21548"/>
    <cellStyle name="Normal 2 79 13 8" xfId="21549"/>
    <cellStyle name="Normal 2 79 13 8 2" xfId="21550"/>
    <cellStyle name="Normal 2 79 13 8 3" xfId="21551"/>
    <cellStyle name="Normal 2 79 13 8 4" xfId="21552"/>
    <cellStyle name="Normal 2 79 13 9" xfId="21553"/>
    <cellStyle name="Normal 2 79 14" xfId="21554"/>
    <cellStyle name="Normal 2 79 15" xfId="21555"/>
    <cellStyle name="Normal 2 79 15 2" xfId="21556"/>
    <cellStyle name="Normal 2 79 15 2 2" xfId="21557"/>
    <cellStyle name="Normal 2 79 15 2 3" xfId="21558"/>
    <cellStyle name="Normal 2 79 15 2 4" xfId="21559"/>
    <cellStyle name="Normal 2 79 15 3" xfId="21560"/>
    <cellStyle name="Normal 2 79 15 4" xfId="21561"/>
    <cellStyle name="Normal 2 79 15 5" xfId="21562"/>
    <cellStyle name="Normal 2 79 15 6" xfId="21563"/>
    <cellStyle name="Normal 2 79 16" xfId="21564"/>
    <cellStyle name="Normal 2 79 17" xfId="21565"/>
    <cellStyle name="Normal 2 79 18" xfId="21566"/>
    <cellStyle name="Normal 2 79 19" xfId="21567"/>
    <cellStyle name="Normal 2 79 2" xfId="21568"/>
    <cellStyle name="Normal 2 79 2 10" xfId="21569"/>
    <cellStyle name="Normal 2 79 2 11" xfId="21570"/>
    <cellStyle name="Normal 2 79 2 12" xfId="21571"/>
    <cellStyle name="Normal 2 79 2 13" xfId="21572"/>
    <cellStyle name="Normal 2 79 2 13 2" xfId="21573"/>
    <cellStyle name="Normal 2 79 2 13 3" xfId="21574"/>
    <cellStyle name="Normal 2 79 2 13 4" xfId="21575"/>
    <cellStyle name="Normal 2 79 2 14" xfId="21576"/>
    <cellStyle name="Normal 2 79 2 15" xfId="21577"/>
    <cellStyle name="Normal 2 79 2 16" xfId="21578"/>
    <cellStyle name="Normal 2 79 2 2" xfId="21579"/>
    <cellStyle name="Normal 2 79 2 2 10" xfId="21580"/>
    <cellStyle name="Normal 2 79 2 2 11" xfId="21581"/>
    <cellStyle name="Normal 2 79 2 2 11 2" xfId="21582"/>
    <cellStyle name="Normal 2 79 2 2 11 3" xfId="21583"/>
    <cellStyle name="Normal 2 79 2 2 11 4" xfId="21584"/>
    <cellStyle name="Normal 2 79 2 2 12" xfId="21585"/>
    <cellStyle name="Normal 2 79 2 2 13" xfId="21586"/>
    <cellStyle name="Normal 2 79 2 2 14" xfId="21587"/>
    <cellStyle name="Normal 2 79 2 2 2" xfId="21588"/>
    <cellStyle name="Normal 2 79 2 2 2 10" xfId="21589"/>
    <cellStyle name="Normal 2 79 2 2 2 11" xfId="21590"/>
    <cellStyle name="Normal 2 79 2 2 2 2" xfId="21591"/>
    <cellStyle name="Normal 2 79 2 2 2 2 10" xfId="21592"/>
    <cellStyle name="Normal 2 79 2 2 2 2 11" xfId="21593"/>
    <cellStyle name="Normal 2 79 2 2 2 2 2" xfId="21594"/>
    <cellStyle name="Normal 2 79 2 2 2 2 2 2" xfId="21595"/>
    <cellStyle name="Normal 2 79 2 2 2 2 2 2 2" xfId="21596"/>
    <cellStyle name="Normal 2 79 2 2 2 2 2 2 3" xfId="21597"/>
    <cellStyle name="Normal 2 79 2 2 2 2 2 2 4" xfId="21598"/>
    <cellStyle name="Normal 2 79 2 2 2 2 2 3" xfId="21599"/>
    <cellStyle name="Normal 2 79 2 2 2 2 2 4" xfId="21600"/>
    <cellStyle name="Normal 2 79 2 2 2 2 2 5" xfId="21601"/>
    <cellStyle name="Normal 2 79 2 2 2 2 2 6" xfId="21602"/>
    <cellStyle name="Normal 2 79 2 2 2 2 3" xfId="21603"/>
    <cellStyle name="Normal 2 79 2 2 2 2 4" xfId="21604"/>
    <cellStyle name="Normal 2 79 2 2 2 2 5" xfId="21605"/>
    <cellStyle name="Normal 2 79 2 2 2 2 6" xfId="21606"/>
    <cellStyle name="Normal 2 79 2 2 2 2 7" xfId="21607"/>
    <cellStyle name="Normal 2 79 2 2 2 2 8" xfId="21608"/>
    <cellStyle name="Normal 2 79 2 2 2 2 8 2" xfId="21609"/>
    <cellStyle name="Normal 2 79 2 2 2 2 8 3" xfId="21610"/>
    <cellStyle name="Normal 2 79 2 2 2 2 8 4" xfId="21611"/>
    <cellStyle name="Normal 2 79 2 2 2 2 9" xfId="21612"/>
    <cellStyle name="Normal 2 79 2 2 2 3" xfId="21613"/>
    <cellStyle name="Normal 2 79 2 2 2 3 2" xfId="21614"/>
    <cellStyle name="Normal 2 79 2 2 2 3 2 2" xfId="21615"/>
    <cellStyle name="Normal 2 79 2 2 2 3 2 3" xfId="21616"/>
    <cellStyle name="Normal 2 79 2 2 2 3 2 4" xfId="21617"/>
    <cellStyle name="Normal 2 79 2 2 2 3 3" xfId="21618"/>
    <cellStyle name="Normal 2 79 2 2 2 3 4" xfId="21619"/>
    <cellStyle name="Normal 2 79 2 2 2 3 5" xfId="21620"/>
    <cellStyle name="Normal 2 79 2 2 2 3 6" xfId="21621"/>
    <cellStyle name="Normal 2 79 2 2 2 4" xfId="21622"/>
    <cellStyle name="Normal 2 79 2 2 2 5" xfId="21623"/>
    <cellStyle name="Normal 2 79 2 2 2 6" xfId="21624"/>
    <cellStyle name="Normal 2 79 2 2 2 7" xfId="21625"/>
    <cellStyle name="Normal 2 79 2 2 2 8" xfId="21626"/>
    <cellStyle name="Normal 2 79 2 2 2 8 2" xfId="21627"/>
    <cellStyle name="Normal 2 79 2 2 2 8 3" xfId="21628"/>
    <cellStyle name="Normal 2 79 2 2 2 8 4" xfId="21629"/>
    <cellStyle name="Normal 2 79 2 2 2 9" xfId="21630"/>
    <cellStyle name="Normal 2 79 2 2 3" xfId="21631"/>
    <cellStyle name="Normal 2 79 2 2 4" xfId="21632"/>
    <cellStyle name="Normal 2 79 2 2 5" xfId="21633"/>
    <cellStyle name="Normal 2 79 2 2 5 2" xfId="21634"/>
    <cellStyle name="Normal 2 79 2 2 5 2 2" xfId="21635"/>
    <cellStyle name="Normal 2 79 2 2 5 2 3" xfId="21636"/>
    <cellStyle name="Normal 2 79 2 2 5 2 4" xfId="21637"/>
    <cellStyle name="Normal 2 79 2 2 5 3" xfId="21638"/>
    <cellStyle name="Normal 2 79 2 2 5 4" xfId="21639"/>
    <cellStyle name="Normal 2 79 2 2 5 5" xfId="21640"/>
    <cellStyle name="Normal 2 79 2 2 5 6" xfId="21641"/>
    <cellStyle name="Normal 2 79 2 2 6" xfId="21642"/>
    <cellStyle name="Normal 2 79 2 2 7" xfId="21643"/>
    <cellStyle name="Normal 2 79 2 2 8" xfId="21644"/>
    <cellStyle name="Normal 2 79 2 2 9" xfId="21645"/>
    <cellStyle name="Normal 2 79 2 3" xfId="21646"/>
    <cellStyle name="Normal 2 79 2 4" xfId="21647"/>
    <cellStyle name="Normal 2 79 2 5" xfId="21648"/>
    <cellStyle name="Normal 2 79 2 5 10" xfId="21649"/>
    <cellStyle name="Normal 2 79 2 5 11" xfId="21650"/>
    <cellStyle name="Normal 2 79 2 5 2" xfId="21651"/>
    <cellStyle name="Normal 2 79 2 5 2 10" xfId="21652"/>
    <cellStyle name="Normal 2 79 2 5 2 11" xfId="21653"/>
    <cellStyle name="Normal 2 79 2 5 2 2" xfId="21654"/>
    <cellStyle name="Normal 2 79 2 5 2 2 2" xfId="21655"/>
    <cellStyle name="Normal 2 79 2 5 2 2 2 2" xfId="21656"/>
    <cellStyle name="Normal 2 79 2 5 2 2 2 3" xfId="21657"/>
    <cellStyle name="Normal 2 79 2 5 2 2 2 4" xfId="21658"/>
    <cellStyle name="Normal 2 79 2 5 2 2 3" xfId="21659"/>
    <cellStyle name="Normal 2 79 2 5 2 2 4" xfId="21660"/>
    <cellStyle name="Normal 2 79 2 5 2 2 5" xfId="21661"/>
    <cellStyle name="Normal 2 79 2 5 2 2 6" xfId="21662"/>
    <cellStyle name="Normal 2 79 2 5 2 3" xfId="21663"/>
    <cellStyle name="Normal 2 79 2 5 2 4" xfId="21664"/>
    <cellStyle name="Normal 2 79 2 5 2 5" xfId="21665"/>
    <cellStyle name="Normal 2 79 2 5 2 6" xfId="21666"/>
    <cellStyle name="Normal 2 79 2 5 2 7" xfId="21667"/>
    <cellStyle name="Normal 2 79 2 5 2 8" xfId="21668"/>
    <cellStyle name="Normal 2 79 2 5 2 8 2" xfId="21669"/>
    <cellStyle name="Normal 2 79 2 5 2 8 3" xfId="21670"/>
    <cellStyle name="Normal 2 79 2 5 2 8 4" xfId="21671"/>
    <cellStyle name="Normal 2 79 2 5 2 9" xfId="21672"/>
    <cellStyle name="Normal 2 79 2 5 3" xfId="21673"/>
    <cellStyle name="Normal 2 79 2 5 3 2" xfId="21674"/>
    <cellStyle name="Normal 2 79 2 5 3 2 2" xfId="21675"/>
    <cellStyle name="Normal 2 79 2 5 3 2 3" xfId="21676"/>
    <cellStyle name="Normal 2 79 2 5 3 2 4" xfId="21677"/>
    <cellStyle name="Normal 2 79 2 5 3 3" xfId="21678"/>
    <cellStyle name="Normal 2 79 2 5 3 4" xfId="21679"/>
    <cellStyle name="Normal 2 79 2 5 3 5" xfId="21680"/>
    <cellStyle name="Normal 2 79 2 5 3 6" xfId="21681"/>
    <cellStyle name="Normal 2 79 2 5 4" xfId="21682"/>
    <cellStyle name="Normal 2 79 2 5 5" xfId="21683"/>
    <cellStyle name="Normal 2 79 2 5 6" xfId="21684"/>
    <cellStyle name="Normal 2 79 2 5 7" xfId="21685"/>
    <cellStyle name="Normal 2 79 2 5 8" xfId="21686"/>
    <cellStyle name="Normal 2 79 2 5 8 2" xfId="21687"/>
    <cellStyle name="Normal 2 79 2 5 8 3" xfId="21688"/>
    <cellStyle name="Normal 2 79 2 5 8 4" xfId="21689"/>
    <cellStyle name="Normal 2 79 2 5 9" xfId="21690"/>
    <cellStyle name="Normal 2 79 2 6" xfId="21691"/>
    <cellStyle name="Normal 2 79 2 7" xfId="21692"/>
    <cellStyle name="Normal 2 79 2 7 2" xfId="21693"/>
    <cellStyle name="Normal 2 79 2 7 2 2" xfId="21694"/>
    <cellStyle name="Normal 2 79 2 7 2 3" xfId="21695"/>
    <cellStyle name="Normal 2 79 2 7 2 4" xfId="21696"/>
    <cellStyle name="Normal 2 79 2 7 3" xfId="21697"/>
    <cellStyle name="Normal 2 79 2 7 4" xfId="21698"/>
    <cellStyle name="Normal 2 79 2 7 5" xfId="21699"/>
    <cellStyle name="Normal 2 79 2 7 6" xfId="21700"/>
    <cellStyle name="Normal 2 79 2 8" xfId="21701"/>
    <cellStyle name="Normal 2 79 2 9" xfId="21702"/>
    <cellStyle name="Normal 2 79 20" xfId="21703"/>
    <cellStyle name="Normal 2 79 21" xfId="21704"/>
    <cellStyle name="Normal 2 79 21 2" xfId="21705"/>
    <cellStyle name="Normal 2 79 21 3" xfId="21706"/>
    <cellStyle name="Normal 2 79 21 4" xfId="21707"/>
    <cellStyle name="Normal 2 79 22" xfId="21708"/>
    <cellStyle name="Normal 2 79 23" xfId="21709"/>
    <cellStyle name="Normal 2 79 24" xfId="21710"/>
    <cellStyle name="Normal 2 79 3" xfId="21711"/>
    <cellStyle name="Normal 2 79 4" xfId="21712"/>
    <cellStyle name="Normal 2 79 5" xfId="21713"/>
    <cellStyle name="Normal 2 79 6" xfId="21714"/>
    <cellStyle name="Normal 2 79 7" xfId="21715"/>
    <cellStyle name="Normal 2 79 8" xfId="21716"/>
    <cellStyle name="Normal 2 79 9" xfId="21717"/>
    <cellStyle name="Normal 2 8" xfId="21718"/>
    <cellStyle name="Normal 2 8 2" xfId="21719"/>
    <cellStyle name="Normal 2 8 3" xfId="21720"/>
    <cellStyle name="Normal 2 8 4" xfId="21721"/>
    <cellStyle name="Normal 2 80" xfId="21722"/>
    <cellStyle name="Normal 2 80 10" xfId="21723"/>
    <cellStyle name="Normal 2 80 11" xfId="21724"/>
    <cellStyle name="Normal 2 80 12" xfId="21725"/>
    <cellStyle name="Normal 2 80 13" xfId="21726"/>
    <cellStyle name="Normal 2 80 13 2" xfId="21727"/>
    <cellStyle name="Normal 2 80 13 3" xfId="21728"/>
    <cellStyle name="Normal 2 80 13 4" xfId="21729"/>
    <cellStyle name="Normal 2 80 14" xfId="21730"/>
    <cellStyle name="Normal 2 80 15" xfId="21731"/>
    <cellStyle name="Normal 2 80 16" xfId="21732"/>
    <cellStyle name="Normal 2 80 2" xfId="21733"/>
    <cellStyle name="Normal 2 80 2 10" xfId="21734"/>
    <cellStyle name="Normal 2 80 2 11" xfId="21735"/>
    <cellStyle name="Normal 2 80 2 11 2" xfId="21736"/>
    <cellStyle name="Normal 2 80 2 11 3" xfId="21737"/>
    <cellStyle name="Normal 2 80 2 11 4" xfId="21738"/>
    <cellStyle name="Normal 2 80 2 12" xfId="21739"/>
    <cellStyle name="Normal 2 80 2 13" xfId="21740"/>
    <cellStyle name="Normal 2 80 2 14" xfId="21741"/>
    <cellStyle name="Normal 2 80 2 2" xfId="21742"/>
    <cellStyle name="Normal 2 80 2 2 10" xfId="21743"/>
    <cellStyle name="Normal 2 80 2 2 11" xfId="21744"/>
    <cellStyle name="Normal 2 80 2 2 2" xfId="21745"/>
    <cellStyle name="Normal 2 80 2 2 2 10" xfId="21746"/>
    <cellStyle name="Normal 2 80 2 2 2 11" xfId="21747"/>
    <cellStyle name="Normal 2 80 2 2 2 2" xfId="21748"/>
    <cellStyle name="Normal 2 80 2 2 2 2 2" xfId="21749"/>
    <cellStyle name="Normal 2 80 2 2 2 2 2 2" xfId="21750"/>
    <cellStyle name="Normal 2 80 2 2 2 2 2 3" xfId="21751"/>
    <cellStyle name="Normal 2 80 2 2 2 2 2 4" xfId="21752"/>
    <cellStyle name="Normal 2 80 2 2 2 2 3" xfId="21753"/>
    <cellStyle name="Normal 2 80 2 2 2 2 4" xfId="21754"/>
    <cellStyle name="Normal 2 80 2 2 2 2 5" xfId="21755"/>
    <cellStyle name="Normal 2 80 2 2 2 2 6" xfId="21756"/>
    <cellStyle name="Normal 2 80 2 2 2 3" xfId="21757"/>
    <cellStyle name="Normal 2 80 2 2 2 4" xfId="21758"/>
    <cellStyle name="Normal 2 80 2 2 2 5" xfId="21759"/>
    <cellStyle name="Normal 2 80 2 2 2 6" xfId="21760"/>
    <cellStyle name="Normal 2 80 2 2 2 7" xfId="21761"/>
    <cellStyle name="Normal 2 80 2 2 2 8" xfId="21762"/>
    <cellStyle name="Normal 2 80 2 2 2 8 2" xfId="21763"/>
    <cellStyle name="Normal 2 80 2 2 2 8 3" xfId="21764"/>
    <cellStyle name="Normal 2 80 2 2 2 8 4" xfId="21765"/>
    <cellStyle name="Normal 2 80 2 2 2 9" xfId="21766"/>
    <cellStyle name="Normal 2 80 2 2 3" xfId="21767"/>
    <cellStyle name="Normal 2 80 2 2 3 2" xfId="21768"/>
    <cellStyle name="Normal 2 80 2 2 3 2 2" xfId="21769"/>
    <cellStyle name="Normal 2 80 2 2 3 2 3" xfId="21770"/>
    <cellStyle name="Normal 2 80 2 2 3 2 4" xfId="21771"/>
    <cellStyle name="Normal 2 80 2 2 3 3" xfId="21772"/>
    <cellStyle name="Normal 2 80 2 2 3 4" xfId="21773"/>
    <cellStyle name="Normal 2 80 2 2 3 5" xfId="21774"/>
    <cellStyle name="Normal 2 80 2 2 3 6" xfId="21775"/>
    <cellStyle name="Normal 2 80 2 2 4" xfId="21776"/>
    <cellStyle name="Normal 2 80 2 2 5" xfId="21777"/>
    <cellStyle name="Normal 2 80 2 2 6" xfId="21778"/>
    <cellStyle name="Normal 2 80 2 2 7" xfId="21779"/>
    <cellStyle name="Normal 2 80 2 2 8" xfId="21780"/>
    <cellStyle name="Normal 2 80 2 2 8 2" xfId="21781"/>
    <cellStyle name="Normal 2 80 2 2 8 3" xfId="21782"/>
    <cellStyle name="Normal 2 80 2 2 8 4" xfId="21783"/>
    <cellStyle name="Normal 2 80 2 2 9" xfId="21784"/>
    <cellStyle name="Normal 2 80 2 3" xfId="21785"/>
    <cellStyle name="Normal 2 80 2 4" xfId="21786"/>
    <cellStyle name="Normal 2 80 2 5" xfId="21787"/>
    <cellStyle name="Normal 2 80 2 5 2" xfId="21788"/>
    <cellStyle name="Normal 2 80 2 5 2 2" xfId="21789"/>
    <cellStyle name="Normal 2 80 2 5 2 3" xfId="21790"/>
    <cellStyle name="Normal 2 80 2 5 2 4" xfId="21791"/>
    <cellStyle name="Normal 2 80 2 5 3" xfId="21792"/>
    <cellStyle name="Normal 2 80 2 5 4" xfId="21793"/>
    <cellStyle name="Normal 2 80 2 5 5" xfId="21794"/>
    <cellStyle name="Normal 2 80 2 5 6" xfId="21795"/>
    <cellStyle name="Normal 2 80 2 6" xfId="21796"/>
    <cellStyle name="Normal 2 80 2 7" xfId="21797"/>
    <cellStyle name="Normal 2 80 2 8" xfId="21798"/>
    <cellStyle name="Normal 2 80 2 9" xfId="21799"/>
    <cellStyle name="Normal 2 80 3" xfId="21800"/>
    <cellStyle name="Normal 2 80 4" xfId="21801"/>
    <cellStyle name="Normal 2 80 5" xfId="21802"/>
    <cellStyle name="Normal 2 80 5 10" xfId="21803"/>
    <cellStyle name="Normal 2 80 5 11" xfId="21804"/>
    <cellStyle name="Normal 2 80 5 2" xfId="21805"/>
    <cellStyle name="Normal 2 80 5 2 10" xfId="21806"/>
    <cellStyle name="Normal 2 80 5 2 11" xfId="21807"/>
    <cellStyle name="Normal 2 80 5 2 2" xfId="21808"/>
    <cellStyle name="Normal 2 80 5 2 2 2" xfId="21809"/>
    <cellStyle name="Normal 2 80 5 2 2 2 2" xfId="21810"/>
    <cellStyle name="Normal 2 80 5 2 2 2 3" xfId="21811"/>
    <cellStyle name="Normal 2 80 5 2 2 2 4" xfId="21812"/>
    <cellStyle name="Normal 2 80 5 2 2 3" xfId="21813"/>
    <cellStyle name="Normal 2 80 5 2 2 4" xfId="21814"/>
    <cellStyle name="Normal 2 80 5 2 2 5" xfId="21815"/>
    <cellStyle name="Normal 2 80 5 2 2 6" xfId="21816"/>
    <cellStyle name="Normal 2 80 5 2 3" xfId="21817"/>
    <cellStyle name="Normal 2 80 5 2 4" xfId="21818"/>
    <cellStyle name="Normal 2 80 5 2 5" xfId="21819"/>
    <cellStyle name="Normal 2 80 5 2 6" xfId="21820"/>
    <cellStyle name="Normal 2 80 5 2 7" xfId="21821"/>
    <cellStyle name="Normal 2 80 5 2 8" xfId="21822"/>
    <cellStyle name="Normal 2 80 5 2 8 2" xfId="21823"/>
    <cellStyle name="Normal 2 80 5 2 8 3" xfId="21824"/>
    <cellStyle name="Normal 2 80 5 2 8 4" xfId="21825"/>
    <cellStyle name="Normal 2 80 5 2 9" xfId="21826"/>
    <cellStyle name="Normal 2 80 5 3" xfId="21827"/>
    <cellStyle name="Normal 2 80 5 3 2" xfId="21828"/>
    <cellStyle name="Normal 2 80 5 3 2 2" xfId="21829"/>
    <cellStyle name="Normal 2 80 5 3 2 3" xfId="21830"/>
    <cellStyle name="Normal 2 80 5 3 2 4" xfId="21831"/>
    <cellStyle name="Normal 2 80 5 3 3" xfId="21832"/>
    <cellStyle name="Normal 2 80 5 3 4" xfId="21833"/>
    <cellStyle name="Normal 2 80 5 3 5" xfId="21834"/>
    <cellStyle name="Normal 2 80 5 3 6" xfId="21835"/>
    <cellStyle name="Normal 2 80 5 4" xfId="21836"/>
    <cellStyle name="Normal 2 80 5 5" xfId="21837"/>
    <cellStyle name="Normal 2 80 5 6" xfId="21838"/>
    <cellStyle name="Normal 2 80 5 7" xfId="21839"/>
    <cellStyle name="Normal 2 80 5 8" xfId="21840"/>
    <cellStyle name="Normal 2 80 5 8 2" xfId="21841"/>
    <cellStyle name="Normal 2 80 5 8 3" xfId="21842"/>
    <cellStyle name="Normal 2 80 5 8 4" xfId="21843"/>
    <cellStyle name="Normal 2 80 5 9" xfId="21844"/>
    <cellStyle name="Normal 2 80 6" xfId="21845"/>
    <cellStyle name="Normal 2 80 7" xfId="21846"/>
    <cellStyle name="Normal 2 80 7 2" xfId="21847"/>
    <cellStyle name="Normal 2 80 7 2 2" xfId="21848"/>
    <cellStyle name="Normal 2 80 7 2 3" xfId="21849"/>
    <cellStyle name="Normal 2 80 7 2 4" xfId="21850"/>
    <cellStyle name="Normal 2 80 7 3" xfId="21851"/>
    <cellStyle name="Normal 2 80 7 4" xfId="21852"/>
    <cellStyle name="Normal 2 80 7 5" xfId="21853"/>
    <cellStyle name="Normal 2 80 7 6" xfId="21854"/>
    <cellStyle name="Normal 2 80 8" xfId="21855"/>
    <cellStyle name="Normal 2 80 9" xfId="21856"/>
    <cellStyle name="Normal 2 81" xfId="21857"/>
    <cellStyle name="Normal 2 82" xfId="21858"/>
    <cellStyle name="Normal 2 83" xfId="21859"/>
    <cellStyle name="Normal 2 84" xfId="21860"/>
    <cellStyle name="Normal 2 85" xfId="21861"/>
    <cellStyle name="Normal 2 86" xfId="21862"/>
    <cellStyle name="Normal 2 87" xfId="21863"/>
    <cellStyle name="Normal 2 88" xfId="21864"/>
    <cellStyle name="Normal 2 88 10" xfId="21865"/>
    <cellStyle name="Normal 2 88 11" xfId="21866"/>
    <cellStyle name="Normal 2 88 11 2" xfId="21867"/>
    <cellStyle name="Normal 2 88 11 3" xfId="21868"/>
    <cellStyle name="Normal 2 88 11 4" xfId="21869"/>
    <cellStyle name="Normal 2 88 12" xfId="21870"/>
    <cellStyle name="Normal 2 88 13" xfId="21871"/>
    <cellStyle name="Normal 2 88 14" xfId="21872"/>
    <cellStyle name="Normal 2 88 2" xfId="21873"/>
    <cellStyle name="Normal 2 88 2 10" xfId="21874"/>
    <cellStyle name="Normal 2 88 2 11" xfId="21875"/>
    <cellStyle name="Normal 2 88 2 2" xfId="21876"/>
    <cellStyle name="Normal 2 88 2 2 10" xfId="21877"/>
    <cellStyle name="Normal 2 88 2 2 11" xfId="21878"/>
    <cellStyle name="Normal 2 88 2 2 2" xfId="21879"/>
    <cellStyle name="Normal 2 88 2 2 2 2" xfId="21880"/>
    <cellStyle name="Normal 2 88 2 2 2 2 2" xfId="21881"/>
    <cellStyle name="Normal 2 88 2 2 2 2 3" xfId="21882"/>
    <cellStyle name="Normal 2 88 2 2 2 2 4" xfId="21883"/>
    <cellStyle name="Normal 2 88 2 2 2 3" xfId="21884"/>
    <cellStyle name="Normal 2 88 2 2 2 4" xfId="21885"/>
    <cellStyle name="Normal 2 88 2 2 2 5" xfId="21886"/>
    <cellStyle name="Normal 2 88 2 2 2 6" xfId="21887"/>
    <cellStyle name="Normal 2 88 2 2 3" xfId="21888"/>
    <cellStyle name="Normal 2 88 2 2 4" xfId="21889"/>
    <cellStyle name="Normal 2 88 2 2 5" xfId="21890"/>
    <cellStyle name="Normal 2 88 2 2 6" xfId="21891"/>
    <cellStyle name="Normal 2 88 2 2 7" xfId="21892"/>
    <cellStyle name="Normal 2 88 2 2 8" xfId="21893"/>
    <cellStyle name="Normal 2 88 2 2 8 2" xfId="21894"/>
    <cellStyle name="Normal 2 88 2 2 8 3" xfId="21895"/>
    <cellStyle name="Normal 2 88 2 2 8 4" xfId="21896"/>
    <cellStyle name="Normal 2 88 2 2 9" xfId="21897"/>
    <cellStyle name="Normal 2 88 2 3" xfId="21898"/>
    <cellStyle name="Normal 2 88 2 3 2" xfId="21899"/>
    <cellStyle name="Normal 2 88 2 3 2 2" xfId="21900"/>
    <cellStyle name="Normal 2 88 2 3 2 3" xfId="21901"/>
    <cellStyle name="Normal 2 88 2 3 2 4" xfId="21902"/>
    <cellStyle name="Normal 2 88 2 3 3" xfId="21903"/>
    <cellStyle name="Normal 2 88 2 3 4" xfId="21904"/>
    <cellStyle name="Normal 2 88 2 3 5" xfId="21905"/>
    <cellStyle name="Normal 2 88 2 3 6" xfId="21906"/>
    <cellStyle name="Normal 2 88 2 4" xfId="21907"/>
    <cellStyle name="Normal 2 88 2 5" xfId="21908"/>
    <cellStyle name="Normal 2 88 2 6" xfId="21909"/>
    <cellStyle name="Normal 2 88 2 7" xfId="21910"/>
    <cellStyle name="Normal 2 88 2 8" xfId="21911"/>
    <cellStyle name="Normal 2 88 2 8 2" xfId="21912"/>
    <cellStyle name="Normal 2 88 2 8 3" xfId="21913"/>
    <cellStyle name="Normal 2 88 2 8 4" xfId="21914"/>
    <cellStyle name="Normal 2 88 2 9" xfId="21915"/>
    <cellStyle name="Normal 2 88 3" xfId="21916"/>
    <cellStyle name="Normal 2 88 4" xfId="21917"/>
    <cellStyle name="Normal 2 88 5" xfId="21918"/>
    <cellStyle name="Normal 2 88 5 2" xfId="21919"/>
    <cellStyle name="Normal 2 88 5 2 2" xfId="21920"/>
    <cellStyle name="Normal 2 88 5 2 3" xfId="21921"/>
    <cellStyle name="Normal 2 88 5 2 4" xfId="21922"/>
    <cellStyle name="Normal 2 88 5 3" xfId="21923"/>
    <cellStyle name="Normal 2 88 5 4" xfId="21924"/>
    <cellStyle name="Normal 2 88 5 5" xfId="21925"/>
    <cellStyle name="Normal 2 88 5 6" xfId="21926"/>
    <cellStyle name="Normal 2 88 6" xfId="21927"/>
    <cellStyle name="Normal 2 88 7" xfId="21928"/>
    <cellStyle name="Normal 2 88 8" xfId="21929"/>
    <cellStyle name="Normal 2 88 9" xfId="21930"/>
    <cellStyle name="Normal 2 89" xfId="21931"/>
    <cellStyle name="Normal 2 9" xfId="21932"/>
    <cellStyle name="Normal 2 9 2" xfId="21933"/>
    <cellStyle name="Normal 2 9 3" xfId="21934"/>
    <cellStyle name="Normal 2 90" xfId="21935"/>
    <cellStyle name="Normal 2 90 10" xfId="21936"/>
    <cellStyle name="Normal 2 90 11" xfId="21937"/>
    <cellStyle name="Normal 2 90 2" xfId="21938"/>
    <cellStyle name="Normal 2 90 2 10" xfId="21939"/>
    <cellStyle name="Normal 2 90 2 11" xfId="21940"/>
    <cellStyle name="Normal 2 90 2 2" xfId="21941"/>
    <cellStyle name="Normal 2 90 2 2 2" xfId="21942"/>
    <cellStyle name="Normal 2 90 2 2 2 2" xfId="21943"/>
    <cellStyle name="Normal 2 90 2 2 2 3" xfId="21944"/>
    <cellStyle name="Normal 2 90 2 2 2 4" xfId="21945"/>
    <cellStyle name="Normal 2 90 2 2 3" xfId="21946"/>
    <cellStyle name="Normal 2 90 2 2 4" xfId="21947"/>
    <cellStyle name="Normal 2 90 2 2 5" xfId="21948"/>
    <cellStyle name="Normal 2 90 2 2 6" xfId="21949"/>
    <cellStyle name="Normal 2 90 2 3" xfId="21950"/>
    <cellStyle name="Normal 2 90 2 4" xfId="21951"/>
    <cellStyle name="Normal 2 90 2 5" xfId="21952"/>
    <cellStyle name="Normal 2 90 2 6" xfId="21953"/>
    <cellStyle name="Normal 2 90 2 7" xfId="21954"/>
    <cellStyle name="Normal 2 90 2 8" xfId="21955"/>
    <cellStyle name="Normal 2 90 2 8 2" xfId="21956"/>
    <cellStyle name="Normal 2 90 2 8 3" xfId="21957"/>
    <cellStyle name="Normal 2 90 2 8 4" xfId="21958"/>
    <cellStyle name="Normal 2 90 2 9" xfId="21959"/>
    <cellStyle name="Normal 2 90 3" xfId="21960"/>
    <cellStyle name="Normal 2 90 3 2" xfId="21961"/>
    <cellStyle name="Normal 2 90 3 2 2" xfId="21962"/>
    <cellStyle name="Normal 2 90 3 2 3" xfId="21963"/>
    <cellStyle name="Normal 2 90 3 2 4" xfId="21964"/>
    <cellStyle name="Normal 2 90 3 3" xfId="21965"/>
    <cellStyle name="Normal 2 90 3 4" xfId="21966"/>
    <cellStyle name="Normal 2 90 3 5" xfId="21967"/>
    <cellStyle name="Normal 2 90 3 6" xfId="21968"/>
    <cellStyle name="Normal 2 90 4" xfId="21969"/>
    <cellStyle name="Normal 2 90 5" xfId="21970"/>
    <cellStyle name="Normal 2 90 6" xfId="21971"/>
    <cellStyle name="Normal 2 90 7" xfId="21972"/>
    <cellStyle name="Normal 2 90 8" xfId="21973"/>
    <cellStyle name="Normal 2 90 8 2" xfId="21974"/>
    <cellStyle name="Normal 2 90 8 3" xfId="21975"/>
    <cellStyle name="Normal 2 90 8 4" xfId="21976"/>
    <cellStyle name="Normal 2 90 9" xfId="21977"/>
    <cellStyle name="Normal 2 91" xfId="21978"/>
    <cellStyle name="Normal 2 92" xfId="21979"/>
    <cellStyle name="Normal 2 92 2" xfId="21980"/>
    <cellStyle name="Normal 2 92 2 2" xfId="21981"/>
    <cellStyle name="Normal 2 92 2 3" xfId="21982"/>
    <cellStyle name="Normal 2 92 2 4" xfId="21983"/>
    <cellStyle name="Normal 2 92 3" xfId="21984"/>
    <cellStyle name="Normal 2 92 4" xfId="21985"/>
    <cellStyle name="Normal 2 92 5" xfId="21986"/>
    <cellStyle name="Normal 2 92 6" xfId="21987"/>
    <cellStyle name="Normal 2 93" xfId="21988"/>
    <cellStyle name="Normal 2 94" xfId="21989"/>
    <cellStyle name="Normal 2 95" xfId="21990"/>
    <cellStyle name="Normal 2 96" xfId="21991"/>
    <cellStyle name="Normal 2 97" xfId="21992"/>
    <cellStyle name="Normal 2 98" xfId="21993"/>
    <cellStyle name="Normal 2 98 2" xfId="21994"/>
    <cellStyle name="Normal 2 98 3" xfId="21995"/>
    <cellStyle name="Normal 2 98 4" xfId="21996"/>
    <cellStyle name="Normal 2 99" xfId="21997"/>
    <cellStyle name="Normal 2_110621 OBRoutput FSR transUpdate and tobacco jun25" xfId="21998"/>
    <cellStyle name="Normal 20" xfId="21999"/>
    <cellStyle name="Normal 20 10" xfId="22000"/>
    <cellStyle name="Normal 20 11" xfId="22001"/>
    <cellStyle name="Normal 20 12" xfId="22002"/>
    <cellStyle name="Normal 20 13" xfId="22003"/>
    <cellStyle name="Normal 20 14" xfId="22004"/>
    <cellStyle name="Normal 20 15" xfId="22005"/>
    <cellStyle name="Normal 20 16" xfId="22006"/>
    <cellStyle name="Normal 20 17" xfId="22007"/>
    <cellStyle name="Normal 20 18" xfId="22008"/>
    <cellStyle name="Normal 20 19" xfId="22009"/>
    <cellStyle name="Normal 20 2" xfId="22010"/>
    <cellStyle name="Normal 20 2 2" xfId="22011"/>
    <cellStyle name="Normal 20 2 2 2" xfId="22012"/>
    <cellStyle name="Normal 20 2 3" xfId="22013"/>
    <cellStyle name="Normal 20 20" xfId="22014"/>
    <cellStyle name="Normal 20 21" xfId="22015"/>
    <cellStyle name="Normal 20 22" xfId="22016"/>
    <cellStyle name="Normal 20 23" xfId="22017"/>
    <cellStyle name="Normal 20 3" xfId="22018"/>
    <cellStyle name="Normal 20 3 2" xfId="22019"/>
    <cellStyle name="Normal 20 4" xfId="22020"/>
    <cellStyle name="Normal 20 5" xfId="22021"/>
    <cellStyle name="Normal 20 6" xfId="22022"/>
    <cellStyle name="Normal 20 7" xfId="22023"/>
    <cellStyle name="Normal 20 8" xfId="22024"/>
    <cellStyle name="Normal 20 9" xfId="22025"/>
    <cellStyle name="Normal 200" xfId="22026"/>
    <cellStyle name="Normal 201" xfId="22027"/>
    <cellStyle name="Normal 202" xfId="22028"/>
    <cellStyle name="Normal 203" xfId="22029"/>
    <cellStyle name="Normal 204" xfId="22030"/>
    <cellStyle name="Normal 205" xfId="22031"/>
    <cellStyle name="Normal 206" xfId="22032"/>
    <cellStyle name="Normal 207" xfId="22033"/>
    <cellStyle name="Normal 208" xfId="22034"/>
    <cellStyle name="Normal 208 2" xfId="22035"/>
    <cellStyle name="Normal 208 3" xfId="22036"/>
    <cellStyle name="Normal 208 4" xfId="22037"/>
    <cellStyle name="Normal 209" xfId="22038"/>
    <cellStyle name="Normal 209 2" xfId="22039"/>
    <cellStyle name="Normal 209 2 2" xfId="22040"/>
    <cellStyle name="Normal 21" xfId="22041"/>
    <cellStyle name="Normal 21 10" xfId="22042"/>
    <cellStyle name="Normal 21 11" xfId="22043"/>
    <cellStyle name="Normal 21 12" xfId="22044"/>
    <cellStyle name="Normal 21 13" xfId="22045"/>
    <cellStyle name="Normal 21 14" xfId="22046"/>
    <cellStyle name="Normal 21 15" xfId="22047"/>
    <cellStyle name="Normal 21 16" xfId="22048"/>
    <cellStyle name="Normal 21 17" xfId="22049"/>
    <cellStyle name="Normal 21 18" xfId="22050"/>
    <cellStyle name="Normal 21 19" xfId="22051"/>
    <cellStyle name="Normal 21 2" xfId="22052"/>
    <cellStyle name="Normal 21 2 2" xfId="22053"/>
    <cellStyle name="Normal 21 20" xfId="22054"/>
    <cellStyle name="Normal 21 21" xfId="22055"/>
    <cellStyle name="Normal 21 22" xfId="22056"/>
    <cellStyle name="Normal 21 23" xfId="22057"/>
    <cellStyle name="Normal 21 3" xfId="22058"/>
    <cellStyle name="Normal 21 4" xfId="22059"/>
    <cellStyle name="Normal 21 5" xfId="22060"/>
    <cellStyle name="Normal 21 6" xfId="22061"/>
    <cellStyle name="Normal 21 7" xfId="22062"/>
    <cellStyle name="Normal 21 8" xfId="22063"/>
    <cellStyle name="Normal 21 9" xfId="22064"/>
    <cellStyle name="Normal 21_Book1" xfId="22065"/>
    <cellStyle name="Normal 210" xfId="22066"/>
    <cellStyle name="Normal 211" xfId="22067"/>
    <cellStyle name="Normal 212" xfId="22068"/>
    <cellStyle name="Normal 213" xfId="22069"/>
    <cellStyle name="Normal 214" xfId="22070"/>
    <cellStyle name="Normal 215" xfId="22071"/>
    <cellStyle name="Normal 216" xfId="22072"/>
    <cellStyle name="Normal 217" xfId="22073"/>
    <cellStyle name="Normal 218" xfId="22074"/>
    <cellStyle name="Normal 219" xfId="22075"/>
    <cellStyle name="Normal 22" xfId="22076"/>
    <cellStyle name="Normal 22 10" xfId="22077"/>
    <cellStyle name="Normal 22 11" xfId="22078"/>
    <cellStyle name="Normal 22 12" xfId="22079"/>
    <cellStyle name="Normal 22 13" xfId="22080"/>
    <cellStyle name="Normal 22 14" xfId="22081"/>
    <cellStyle name="Normal 22 15" xfId="22082"/>
    <cellStyle name="Normal 22 16" xfId="22083"/>
    <cellStyle name="Normal 22 17" xfId="22084"/>
    <cellStyle name="Normal 22 18" xfId="22085"/>
    <cellStyle name="Normal 22 19" xfId="22086"/>
    <cellStyle name="Normal 22 2" xfId="22087"/>
    <cellStyle name="Normal 22 2 2" xfId="22088"/>
    <cellStyle name="Normal 22 20" xfId="22089"/>
    <cellStyle name="Normal 22 21" xfId="22090"/>
    <cellStyle name="Normal 22 22" xfId="22091"/>
    <cellStyle name="Normal 22 23" xfId="22092"/>
    <cellStyle name="Normal 22 3" xfId="22093"/>
    <cellStyle name="Normal 22 4" xfId="22094"/>
    <cellStyle name="Normal 22 5" xfId="22095"/>
    <cellStyle name="Normal 22 6" xfId="22096"/>
    <cellStyle name="Normal 22 7" xfId="22097"/>
    <cellStyle name="Normal 22 8" xfId="22098"/>
    <cellStyle name="Normal 22 9" xfId="22099"/>
    <cellStyle name="Normal 22_Book1" xfId="22100"/>
    <cellStyle name="Normal 220" xfId="22101"/>
    <cellStyle name="Normal 221" xfId="22102"/>
    <cellStyle name="Normal 222" xfId="22103"/>
    <cellStyle name="Normal 223" xfId="22104"/>
    <cellStyle name="Normal 224" xfId="22105"/>
    <cellStyle name="Normal 225" xfId="22106"/>
    <cellStyle name="Normal 226" xfId="14"/>
    <cellStyle name="Normal 228" xfId="37857"/>
    <cellStyle name="Normal 23" xfId="22107"/>
    <cellStyle name="Normal 23 10" xfId="22108"/>
    <cellStyle name="Normal 23 11" xfId="22109"/>
    <cellStyle name="Normal 23 12" xfId="22110"/>
    <cellStyle name="Normal 23 13" xfId="22111"/>
    <cellStyle name="Normal 23 14" xfId="22112"/>
    <cellStyle name="Normal 23 15" xfId="22113"/>
    <cellStyle name="Normal 23 16" xfId="22114"/>
    <cellStyle name="Normal 23 17" xfId="22115"/>
    <cellStyle name="Normal 23 18" xfId="22116"/>
    <cellStyle name="Normal 23 19" xfId="22117"/>
    <cellStyle name="Normal 23 2" xfId="22118"/>
    <cellStyle name="Normal 23 20" xfId="22119"/>
    <cellStyle name="Normal 23 21" xfId="22120"/>
    <cellStyle name="Normal 23 22" xfId="22121"/>
    <cellStyle name="Normal 23 23" xfId="22122"/>
    <cellStyle name="Normal 23 3" xfId="22123"/>
    <cellStyle name="Normal 23 4" xfId="22124"/>
    <cellStyle name="Normal 23 5" xfId="22125"/>
    <cellStyle name="Normal 23 6" xfId="22126"/>
    <cellStyle name="Normal 23 7" xfId="22127"/>
    <cellStyle name="Normal 23 8" xfId="22128"/>
    <cellStyle name="Normal 23 9" xfId="22129"/>
    <cellStyle name="Normal 24" xfId="22130"/>
    <cellStyle name="Normal 24 10" xfId="22131"/>
    <cellStyle name="Normal 24 11" xfId="22132"/>
    <cellStyle name="Normal 24 12" xfId="22133"/>
    <cellStyle name="Normal 24 13" xfId="22134"/>
    <cellStyle name="Normal 24 14" xfId="22135"/>
    <cellStyle name="Normal 24 15" xfId="22136"/>
    <cellStyle name="Normal 24 16" xfId="22137"/>
    <cellStyle name="Normal 24 17" xfId="22138"/>
    <cellStyle name="Normal 24 18" xfId="22139"/>
    <cellStyle name="Normal 24 19" xfId="22140"/>
    <cellStyle name="Normal 24 2" xfId="22141"/>
    <cellStyle name="Normal 24 2 2" xfId="22142"/>
    <cellStyle name="Normal 24 2 3" xfId="22143"/>
    <cellStyle name="Normal 24 20" xfId="22144"/>
    <cellStyle name="Normal 24 21" xfId="22145"/>
    <cellStyle name="Normal 24 22" xfId="22146"/>
    <cellStyle name="Normal 24 23" xfId="22147"/>
    <cellStyle name="Normal 24 24" xfId="22148"/>
    <cellStyle name="Normal 24 25" xfId="22149"/>
    <cellStyle name="Normal 24 3" xfId="22150"/>
    <cellStyle name="Normal 24 3 2" xfId="22151"/>
    <cellStyle name="Normal 24 3 3" xfId="22152"/>
    <cellStyle name="Normal 24 4" xfId="22153"/>
    <cellStyle name="Normal 24 5" xfId="22154"/>
    <cellStyle name="Normal 24 6" xfId="22155"/>
    <cellStyle name="Normal 24 7" xfId="22156"/>
    <cellStyle name="Normal 24 8" xfId="22157"/>
    <cellStyle name="Normal 24 9" xfId="22158"/>
    <cellStyle name="Normal 25" xfId="22159"/>
    <cellStyle name="Normal 25 10" xfId="22160"/>
    <cellStyle name="Normal 25 11" xfId="22161"/>
    <cellStyle name="Normal 25 12" xfId="22162"/>
    <cellStyle name="Normal 25 13" xfId="22163"/>
    <cellStyle name="Normal 25 14" xfId="22164"/>
    <cellStyle name="Normal 25 15" xfId="22165"/>
    <cellStyle name="Normal 25 16" xfId="22166"/>
    <cellStyle name="Normal 25 17" xfId="22167"/>
    <cellStyle name="Normal 25 18" xfId="22168"/>
    <cellStyle name="Normal 25 19" xfId="22169"/>
    <cellStyle name="Normal 25 2" xfId="22170"/>
    <cellStyle name="Normal 25 20" xfId="22171"/>
    <cellStyle name="Normal 25 21" xfId="22172"/>
    <cellStyle name="Normal 25 3" xfId="22173"/>
    <cellStyle name="Normal 25 4" xfId="22174"/>
    <cellStyle name="Normal 25 5" xfId="22175"/>
    <cellStyle name="Normal 25 6" xfId="22176"/>
    <cellStyle name="Normal 25 7" xfId="22177"/>
    <cellStyle name="Normal 25 8" xfId="22178"/>
    <cellStyle name="Normal 25 9" xfId="22179"/>
    <cellStyle name="Normal 26" xfId="22180"/>
    <cellStyle name="Normal 26 10" xfId="22181"/>
    <cellStyle name="Normal 26 11" xfId="22182"/>
    <cellStyle name="Normal 26 12" xfId="22183"/>
    <cellStyle name="Normal 26 13" xfId="22184"/>
    <cellStyle name="Normal 26 14" xfId="22185"/>
    <cellStyle name="Normal 26 15" xfId="22186"/>
    <cellStyle name="Normal 26 16" xfId="22187"/>
    <cellStyle name="Normal 26 17" xfId="22188"/>
    <cellStyle name="Normal 26 18" xfId="22189"/>
    <cellStyle name="Normal 26 19" xfId="22190"/>
    <cellStyle name="Normal 26 2" xfId="22191"/>
    <cellStyle name="Normal 26 20" xfId="22192"/>
    <cellStyle name="Normal 26 3" xfId="22193"/>
    <cellStyle name="Normal 26 4" xfId="22194"/>
    <cellStyle name="Normal 26 5" xfId="22195"/>
    <cellStyle name="Normal 26 6" xfId="22196"/>
    <cellStyle name="Normal 26 7" xfId="22197"/>
    <cellStyle name="Normal 26 8" xfId="22198"/>
    <cellStyle name="Normal 26 9" xfId="22199"/>
    <cellStyle name="Normal 27" xfId="22200"/>
    <cellStyle name="Normal 27 10" xfId="22201"/>
    <cellStyle name="Normal 27 11" xfId="22202"/>
    <cellStyle name="Normal 27 12" xfId="22203"/>
    <cellStyle name="Normal 27 13" xfId="22204"/>
    <cellStyle name="Normal 27 14" xfId="22205"/>
    <cellStyle name="Normal 27 15" xfId="22206"/>
    <cellStyle name="Normal 27 16" xfId="22207"/>
    <cellStyle name="Normal 27 17" xfId="22208"/>
    <cellStyle name="Normal 27 18" xfId="22209"/>
    <cellStyle name="Normal 27 19" xfId="22210"/>
    <cellStyle name="Normal 27 2" xfId="22211"/>
    <cellStyle name="Normal 27 20" xfId="22212"/>
    <cellStyle name="Normal 27 21" xfId="22213"/>
    <cellStyle name="Normal 27 3" xfId="22214"/>
    <cellStyle name="Normal 27 4" xfId="22215"/>
    <cellStyle name="Normal 27 5" xfId="22216"/>
    <cellStyle name="Normal 27 6" xfId="22217"/>
    <cellStyle name="Normal 27 7" xfId="22218"/>
    <cellStyle name="Normal 27 8" xfId="22219"/>
    <cellStyle name="Normal 27 9" xfId="22220"/>
    <cellStyle name="Normal 28" xfId="22221"/>
    <cellStyle name="Normal 28 10" xfId="22222"/>
    <cellStyle name="Normal 28 11" xfId="22223"/>
    <cellStyle name="Normal 28 12" xfId="22224"/>
    <cellStyle name="Normal 28 13" xfId="22225"/>
    <cellStyle name="Normal 28 14" xfId="22226"/>
    <cellStyle name="Normal 28 15" xfId="22227"/>
    <cellStyle name="Normal 28 16" xfId="22228"/>
    <cellStyle name="Normal 28 17" xfId="22229"/>
    <cellStyle name="Normal 28 18" xfId="22230"/>
    <cellStyle name="Normal 28 19" xfId="22231"/>
    <cellStyle name="Normal 28 2" xfId="22232"/>
    <cellStyle name="Normal 28 2 10" xfId="22233"/>
    <cellStyle name="Normal 28 2 11" xfId="22234"/>
    <cellStyle name="Normal 28 2 12" xfId="22235"/>
    <cellStyle name="Normal 28 2 13" xfId="22236"/>
    <cellStyle name="Normal 28 2 14" xfId="22237"/>
    <cellStyle name="Normal 28 2 15" xfId="22238"/>
    <cellStyle name="Normal 28 2 16" xfId="22239"/>
    <cellStyle name="Normal 28 2 17" xfId="22240"/>
    <cellStyle name="Normal 28 2 18" xfId="22241"/>
    <cellStyle name="Normal 28 2 19" xfId="22242"/>
    <cellStyle name="Normal 28 2 2" xfId="22243"/>
    <cellStyle name="Normal 28 2 2 10" xfId="22244"/>
    <cellStyle name="Normal 28 2 2 11" xfId="22245"/>
    <cellStyle name="Normal 28 2 2 12" xfId="22246"/>
    <cellStyle name="Normal 28 2 2 2" xfId="22247"/>
    <cellStyle name="Normal 28 2 2 2 10" xfId="22248"/>
    <cellStyle name="Normal 28 2 2 2 11" xfId="22249"/>
    <cellStyle name="Normal 28 2 2 2 12" xfId="22250"/>
    <cellStyle name="Normal 28 2 2 2 2" xfId="22251"/>
    <cellStyle name="Normal 28 2 2 2 2 2" xfId="22252"/>
    <cellStyle name="Normal 28 2 2 2 2 2 2" xfId="22253"/>
    <cellStyle name="Normal 28 2 2 2 2 2 2 2" xfId="22254"/>
    <cellStyle name="Normal 28 2 2 2 2 2 2 2 2" xfId="22255"/>
    <cellStyle name="Normal 28 2 2 2 2 2 2 2 3" xfId="22256"/>
    <cellStyle name="Normal 28 2 2 2 2 2 2 2 4" xfId="22257"/>
    <cellStyle name="Normal 28 2 2 2 2 2 2 2 5" xfId="22258"/>
    <cellStyle name="Normal 28 2 2 2 2 2 2 2 6" xfId="22259"/>
    <cellStyle name="Normal 28 2 2 2 2 2 2 3" xfId="22260"/>
    <cellStyle name="Normal 28 2 2 2 2 2 2 4" xfId="22261"/>
    <cellStyle name="Normal 28 2 2 2 2 2 2 5" xfId="22262"/>
    <cellStyle name="Normal 28 2 2 2 2 2 2 6" xfId="22263"/>
    <cellStyle name="Normal 28 2 2 2 2 2 3" xfId="22264"/>
    <cellStyle name="Normal 28 2 2 2 2 2 4" xfId="22265"/>
    <cellStyle name="Normal 28 2 2 2 2 2 5" xfId="22266"/>
    <cellStyle name="Normal 28 2 2 2 2 2 6" xfId="22267"/>
    <cellStyle name="Normal 28 2 2 2 2 2 7" xfId="22268"/>
    <cellStyle name="Normal 28 2 2 2 2 2 8" xfId="22269"/>
    <cellStyle name="Normal 28 2 2 2 2 2 9" xfId="22270"/>
    <cellStyle name="Normal 28 2 2 2 2 3" xfId="22271"/>
    <cellStyle name="Normal 28 2 2 2 2 3 2" xfId="22272"/>
    <cellStyle name="Normal 28 2 2 2 2 3 2 2" xfId="22273"/>
    <cellStyle name="Normal 28 2 2 2 2 3 2 3" xfId="22274"/>
    <cellStyle name="Normal 28 2 2 2 2 3 2 4" xfId="22275"/>
    <cellStyle name="Normal 28 2 2 2 2 3 2 5" xfId="22276"/>
    <cellStyle name="Normal 28 2 2 2 2 3 2 6" xfId="22277"/>
    <cellStyle name="Normal 28 2 2 2 2 3 3" xfId="22278"/>
    <cellStyle name="Normal 28 2 2 2 2 3 4" xfId="22279"/>
    <cellStyle name="Normal 28 2 2 2 2 3 5" xfId="22280"/>
    <cellStyle name="Normal 28 2 2 2 2 3 6" xfId="22281"/>
    <cellStyle name="Normal 28 2 2 2 2 4" xfId="22282"/>
    <cellStyle name="Normal 28 2 2 2 2 5" xfId="22283"/>
    <cellStyle name="Normal 28 2 2 2 2 6" xfId="22284"/>
    <cellStyle name="Normal 28 2 2 2 2 7" xfId="22285"/>
    <cellStyle name="Normal 28 2 2 2 2 8" xfId="22286"/>
    <cellStyle name="Normal 28 2 2 2 2 9" xfId="22287"/>
    <cellStyle name="Normal 28 2 2 2 3" xfId="22288"/>
    <cellStyle name="Normal 28 2 2 2 4" xfId="22289"/>
    <cellStyle name="Normal 28 2 2 2 5" xfId="22290"/>
    <cellStyle name="Normal 28 2 2 2 5 2" xfId="22291"/>
    <cellStyle name="Normal 28 2 2 2 5 2 2" xfId="22292"/>
    <cellStyle name="Normal 28 2 2 2 5 2 3" xfId="22293"/>
    <cellStyle name="Normal 28 2 2 2 5 2 4" xfId="22294"/>
    <cellStyle name="Normal 28 2 2 2 5 2 5" xfId="22295"/>
    <cellStyle name="Normal 28 2 2 2 5 2 6" xfId="22296"/>
    <cellStyle name="Normal 28 2 2 2 5 3" xfId="22297"/>
    <cellStyle name="Normal 28 2 2 2 5 4" xfId="22298"/>
    <cellStyle name="Normal 28 2 2 2 5 5" xfId="22299"/>
    <cellStyle name="Normal 28 2 2 2 5 6" xfId="22300"/>
    <cellStyle name="Normal 28 2 2 2 6" xfId="22301"/>
    <cellStyle name="Normal 28 2 2 2 7" xfId="22302"/>
    <cellStyle name="Normal 28 2 2 2 8" xfId="22303"/>
    <cellStyle name="Normal 28 2 2 2 9" xfId="22304"/>
    <cellStyle name="Normal 28 2 2 3" xfId="22305"/>
    <cellStyle name="Normal 28 2 2 3 2" xfId="22306"/>
    <cellStyle name="Normal 28 2 2 3 2 2" xfId="22307"/>
    <cellStyle name="Normal 28 2 2 3 2 2 2" xfId="22308"/>
    <cellStyle name="Normal 28 2 2 3 2 2 2 2" xfId="22309"/>
    <cellStyle name="Normal 28 2 2 3 2 2 2 3" xfId="22310"/>
    <cellStyle name="Normal 28 2 2 3 2 2 2 4" xfId="22311"/>
    <cellStyle name="Normal 28 2 2 3 2 2 2 5" xfId="22312"/>
    <cellStyle name="Normal 28 2 2 3 2 2 2 6" xfId="22313"/>
    <cellStyle name="Normal 28 2 2 3 2 2 3" xfId="22314"/>
    <cellStyle name="Normal 28 2 2 3 2 2 4" xfId="22315"/>
    <cellStyle name="Normal 28 2 2 3 2 2 5" xfId="22316"/>
    <cellStyle name="Normal 28 2 2 3 2 2 6" xfId="22317"/>
    <cellStyle name="Normal 28 2 2 3 2 3" xfId="22318"/>
    <cellStyle name="Normal 28 2 2 3 2 4" xfId="22319"/>
    <cellStyle name="Normal 28 2 2 3 2 5" xfId="22320"/>
    <cellStyle name="Normal 28 2 2 3 2 6" xfId="22321"/>
    <cellStyle name="Normal 28 2 2 3 2 7" xfId="22322"/>
    <cellStyle name="Normal 28 2 2 3 2 8" xfId="22323"/>
    <cellStyle name="Normal 28 2 2 3 2 9" xfId="22324"/>
    <cellStyle name="Normal 28 2 2 3 3" xfId="22325"/>
    <cellStyle name="Normal 28 2 2 3 3 2" xfId="22326"/>
    <cellStyle name="Normal 28 2 2 3 3 2 2" xfId="22327"/>
    <cellStyle name="Normal 28 2 2 3 3 2 3" xfId="22328"/>
    <cellStyle name="Normal 28 2 2 3 3 2 4" xfId="22329"/>
    <cellStyle name="Normal 28 2 2 3 3 2 5" xfId="22330"/>
    <cellStyle name="Normal 28 2 2 3 3 2 6" xfId="22331"/>
    <cellStyle name="Normal 28 2 2 3 3 3" xfId="22332"/>
    <cellStyle name="Normal 28 2 2 3 3 4" xfId="22333"/>
    <cellStyle name="Normal 28 2 2 3 3 5" xfId="22334"/>
    <cellStyle name="Normal 28 2 2 3 3 6" xfId="22335"/>
    <cellStyle name="Normal 28 2 2 3 4" xfId="22336"/>
    <cellStyle name="Normal 28 2 2 3 5" xfId="22337"/>
    <cellStyle name="Normal 28 2 2 3 6" xfId="22338"/>
    <cellStyle name="Normal 28 2 2 3 7" xfId="22339"/>
    <cellStyle name="Normal 28 2 2 3 8" xfId="22340"/>
    <cellStyle name="Normal 28 2 2 3 9" xfId="22341"/>
    <cellStyle name="Normal 28 2 2 4" xfId="22342"/>
    <cellStyle name="Normal 28 2 2 5" xfId="22343"/>
    <cellStyle name="Normal 28 2 2 5 2" xfId="22344"/>
    <cellStyle name="Normal 28 2 2 5 2 2" xfId="22345"/>
    <cellStyle name="Normal 28 2 2 5 2 3" xfId="22346"/>
    <cellStyle name="Normal 28 2 2 5 2 4" xfId="22347"/>
    <cellStyle name="Normal 28 2 2 5 2 5" xfId="22348"/>
    <cellStyle name="Normal 28 2 2 5 2 6" xfId="22349"/>
    <cellStyle name="Normal 28 2 2 5 3" xfId="22350"/>
    <cellStyle name="Normal 28 2 2 5 4" xfId="22351"/>
    <cellStyle name="Normal 28 2 2 5 5" xfId="22352"/>
    <cellStyle name="Normal 28 2 2 5 6" xfId="22353"/>
    <cellStyle name="Normal 28 2 2 6" xfId="22354"/>
    <cellStyle name="Normal 28 2 2 7" xfId="22355"/>
    <cellStyle name="Normal 28 2 2 8" xfId="22356"/>
    <cellStyle name="Normal 28 2 2 9" xfId="22357"/>
    <cellStyle name="Normal 28 2 3" xfId="22358"/>
    <cellStyle name="Normal 28 2 4" xfId="22359"/>
    <cellStyle name="Normal 28 2 5" xfId="22360"/>
    <cellStyle name="Normal 28 2 5 2" xfId="22361"/>
    <cellStyle name="Normal 28 2 5 2 2" xfId="22362"/>
    <cellStyle name="Normal 28 2 5 2 2 2" xfId="22363"/>
    <cellStyle name="Normal 28 2 5 2 2 2 2" xfId="22364"/>
    <cellStyle name="Normal 28 2 5 2 2 2 3" xfId="22365"/>
    <cellStyle name="Normal 28 2 5 2 2 2 4" xfId="22366"/>
    <cellStyle name="Normal 28 2 5 2 2 2 5" xfId="22367"/>
    <cellStyle name="Normal 28 2 5 2 2 2 6" xfId="22368"/>
    <cellStyle name="Normal 28 2 5 2 2 3" xfId="22369"/>
    <cellStyle name="Normal 28 2 5 2 2 4" xfId="22370"/>
    <cellStyle name="Normal 28 2 5 2 2 5" xfId="22371"/>
    <cellStyle name="Normal 28 2 5 2 2 6" xfId="22372"/>
    <cellStyle name="Normal 28 2 5 2 3" xfId="22373"/>
    <cellStyle name="Normal 28 2 5 2 4" xfId="22374"/>
    <cellStyle name="Normal 28 2 5 2 5" xfId="22375"/>
    <cellStyle name="Normal 28 2 5 2 6" xfId="22376"/>
    <cellStyle name="Normal 28 2 5 2 7" xfId="22377"/>
    <cellStyle name="Normal 28 2 5 2 8" xfId="22378"/>
    <cellStyle name="Normal 28 2 5 2 9" xfId="22379"/>
    <cellStyle name="Normal 28 2 5 3" xfId="22380"/>
    <cellStyle name="Normal 28 2 5 3 2" xfId="22381"/>
    <cellStyle name="Normal 28 2 5 3 2 2" xfId="22382"/>
    <cellStyle name="Normal 28 2 5 3 2 3" xfId="22383"/>
    <cellStyle name="Normal 28 2 5 3 2 4" xfId="22384"/>
    <cellStyle name="Normal 28 2 5 3 2 5" xfId="22385"/>
    <cellStyle name="Normal 28 2 5 3 2 6" xfId="22386"/>
    <cellStyle name="Normal 28 2 5 3 3" xfId="22387"/>
    <cellStyle name="Normal 28 2 5 3 4" xfId="22388"/>
    <cellStyle name="Normal 28 2 5 3 5" xfId="22389"/>
    <cellStyle name="Normal 28 2 5 3 6" xfId="22390"/>
    <cellStyle name="Normal 28 2 5 4" xfId="22391"/>
    <cellStyle name="Normal 28 2 5 5" xfId="22392"/>
    <cellStyle name="Normal 28 2 5 6" xfId="22393"/>
    <cellStyle name="Normal 28 2 5 7" xfId="22394"/>
    <cellStyle name="Normal 28 2 5 8" xfId="22395"/>
    <cellStyle name="Normal 28 2 5 9" xfId="22396"/>
    <cellStyle name="Normal 28 2 6" xfId="22397"/>
    <cellStyle name="Normal 28 2 7" xfId="22398"/>
    <cellStyle name="Normal 28 2 8" xfId="22399"/>
    <cellStyle name="Normal 28 2 8 2" xfId="22400"/>
    <cellStyle name="Normal 28 2 8 2 2" xfId="22401"/>
    <cellStyle name="Normal 28 2 8 2 3" xfId="22402"/>
    <cellStyle name="Normal 28 2 8 2 4" xfId="22403"/>
    <cellStyle name="Normal 28 2 8 2 5" xfId="22404"/>
    <cellStyle name="Normal 28 2 8 2 6" xfId="22405"/>
    <cellStyle name="Normal 28 2 8 3" xfId="22406"/>
    <cellStyle name="Normal 28 2 8 4" xfId="22407"/>
    <cellStyle name="Normal 28 2 8 5" xfId="22408"/>
    <cellStyle name="Normal 28 2 8 6" xfId="22409"/>
    <cellStyle name="Normal 28 2 9" xfId="22410"/>
    <cellStyle name="Normal 28 20" xfId="22411"/>
    <cellStyle name="Normal 28 21" xfId="22412"/>
    <cellStyle name="Normal 28 3" xfId="22413"/>
    <cellStyle name="Normal 28 3 10" xfId="22414"/>
    <cellStyle name="Normal 28 3 11" xfId="22415"/>
    <cellStyle name="Normal 28 3 12" xfId="22416"/>
    <cellStyle name="Normal 28 3 13" xfId="22417"/>
    <cellStyle name="Normal 28 3 14" xfId="22418"/>
    <cellStyle name="Normal 28 3 15" xfId="22419"/>
    <cellStyle name="Normal 28 3 16" xfId="22420"/>
    <cellStyle name="Normal 28 3 2" xfId="22421"/>
    <cellStyle name="Normal 28 3 2 10" xfId="22422"/>
    <cellStyle name="Normal 28 3 2 11" xfId="22423"/>
    <cellStyle name="Normal 28 3 2 12" xfId="22424"/>
    <cellStyle name="Normal 28 3 2 2" xfId="22425"/>
    <cellStyle name="Normal 28 3 2 2 2" xfId="22426"/>
    <cellStyle name="Normal 28 3 2 2 2 2" xfId="22427"/>
    <cellStyle name="Normal 28 3 2 2 2 2 2" xfId="22428"/>
    <cellStyle name="Normal 28 3 2 2 2 2 2 2" xfId="22429"/>
    <cellStyle name="Normal 28 3 2 2 2 2 2 3" xfId="22430"/>
    <cellStyle name="Normal 28 3 2 2 2 2 2 4" xfId="22431"/>
    <cellStyle name="Normal 28 3 2 2 2 2 2 5" xfId="22432"/>
    <cellStyle name="Normal 28 3 2 2 2 2 2 6" xfId="22433"/>
    <cellStyle name="Normal 28 3 2 2 2 2 3" xfId="22434"/>
    <cellStyle name="Normal 28 3 2 2 2 2 4" xfId="22435"/>
    <cellStyle name="Normal 28 3 2 2 2 2 5" xfId="22436"/>
    <cellStyle name="Normal 28 3 2 2 2 2 6" xfId="22437"/>
    <cellStyle name="Normal 28 3 2 2 2 3" xfId="22438"/>
    <cellStyle name="Normal 28 3 2 2 2 4" xfId="22439"/>
    <cellStyle name="Normal 28 3 2 2 2 5" xfId="22440"/>
    <cellStyle name="Normal 28 3 2 2 2 6" xfId="22441"/>
    <cellStyle name="Normal 28 3 2 2 2 7" xfId="22442"/>
    <cellStyle name="Normal 28 3 2 2 2 8" xfId="22443"/>
    <cellStyle name="Normal 28 3 2 2 2 9" xfId="22444"/>
    <cellStyle name="Normal 28 3 2 2 3" xfId="22445"/>
    <cellStyle name="Normal 28 3 2 2 3 2" xfId="22446"/>
    <cellStyle name="Normal 28 3 2 2 3 2 2" xfId="22447"/>
    <cellStyle name="Normal 28 3 2 2 3 2 3" xfId="22448"/>
    <cellStyle name="Normal 28 3 2 2 3 2 4" xfId="22449"/>
    <cellStyle name="Normal 28 3 2 2 3 2 5" xfId="22450"/>
    <cellStyle name="Normal 28 3 2 2 3 2 6" xfId="22451"/>
    <cellStyle name="Normal 28 3 2 2 3 3" xfId="22452"/>
    <cellStyle name="Normal 28 3 2 2 3 4" xfId="22453"/>
    <cellStyle name="Normal 28 3 2 2 3 5" xfId="22454"/>
    <cellStyle name="Normal 28 3 2 2 3 6" xfId="22455"/>
    <cellStyle name="Normal 28 3 2 2 4" xfId="22456"/>
    <cellStyle name="Normal 28 3 2 2 5" xfId="22457"/>
    <cellStyle name="Normal 28 3 2 2 6" xfId="22458"/>
    <cellStyle name="Normal 28 3 2 2 7" xfId="22459"/>
    <cellStyle name="Normal 28 3 2 2 8" xfId="22460"/>
    <cellStyle name="Normal 28 3 2 2 9" xfId="22461"/>
    <cellStyle name="Normal 28 3 2 3" xfId="22462"/>
    <cellStyle name="Normal 28 3 2 4" xfId="22463"/>
    <cellStyle name="Normal 28 3 2 5" xfId="22464"/>
    <cellStyle name="Normal 28 3 2 5 2" xfId="22465"/>
    <cellStyle name="Normal 28 3 2 5 2 2" xfId="22466"/>
    <cellStyle name="Normal 28 3 2 5 2 3" xfId="22467"/>
    <cellStyle name="Normal 28 3 2 5 2 4" xfId="22468"/>
    <cellStyle name="Normal 28 3 2 5 2 5" xfId="22469"/>
    <cellStyle name="Normal 28 3 2 5 2 6" xfId="22470"/>
    <cellStyle name="Normal 28 3 2 5 3" xfId="22471"/>
    <cellStyle name="Normal 28 3 2 5 4" xfId="22472"/>
    <cellStyle name="Normal 28 3 2 5 5" xfId="22473"/>
    <cellStyle name="Normal 28 3 2 5 6" xfId="22474"/>
    <cellStyle name="Normal 28 3 2 6" xfId="22475"/>
    <cellStyle name="Normal 28 3 2 7" xfId="22476"/>
    <cellStyle name="Normal 28 3 2 8" xfId="22477"/>
    <cellStyle name="Normal 28 3 2 9" xfId="22478"/>
    <cellStyle name="Normal 28 3 3" xfId="22479"/>
    <cellStyle name="Normal 28 3 3 2" xfId="22480"/>
    <cellStyle name="Normal 28 3 3 2 2" xfId="22481"/>
    <cellStyle name="Normal 28 3 3 2 2 2" xfId="22482"/>
    <cellStyle name="Normal 28 3 3 2 2 2 2" xfId="22483"/>
    <cellStyle name="Normal 28 3 3 2 2 2 3" xfId="22484"/>
    <cellStyle name="Normal 28 3 3 2 2 2 4" xfId="22485"/>
    <cellStyle name="Normal 28 3 3 2 2 2 5" xfId="22486"/>
    <cellStyle name="Normal 28 3 3 2 2 2 6" xfId="22487"/>
    <cellStyle name="Normal 28 3 3 2 2 3" xfId="22488"/>
    <cellStyle name="Normal 28 3 3 2 2 4" xfId="22489"/>
    <cellStyle name="Normal 28 3 3 2 2 5" xfId="22490"/>
    <cellStyle name="Normal 28 3 3 2 2 6" xfId="22491"/>
    <cellStyle name="Normal 28 3 3 2 3" xfId="22492"/>
    <cellStyle name="Normal 28 3 3 2 4" xfId="22493"/>
    <cellStyle name="Normal 28 3 3 2 5" xfId="22494"/>
    <cellStyle name="Normal 28 3 3 2 6" xfId="22495"/>
    <cellStyle name="Normal 28 3 3 2 7" xfId="22496"/>
    <cellStyle name="Normal 28 3 3 2 8" xfId="22497"/>
    <cellStyle name="Normal 28 3 3 2 9" xfId="22498"/>
    <cellStyle name="Normal 28 3 3 3" xfId="22499"/>
    <cellStyle name="Normal 28 3 3 3 2" xfId="22500"/>
    <cellStyle name="Normal 28 3 3 3 2 2" xfId="22501"/>
    <cellStyle name="Normal 28 3 3 3 2 3" xfId="22502"/>
    <cellStyle name="Normal 28 3 3 3 2 4" xfId="22503"/>
    <cellStyle name="Normal 28 3 3 3 2 5" xfId="22504"/>
    <cellStyle name="Normal 28 3 3 3 2 6" xfId="22505"/>
    <cellStyle name="Normal 28 3 3 3 3" xfId="22506"/>
    <cellStyle name="Normal 28 3 3 3 4" xfId="22507"/>
    <cellStyle name="Normal 28 3 3 3 5" xfId="22508"/>
    <cellStyle name="Normal 28 3 3 3 6" xfId="22509"/>
    <cellStyle name="Normal 28 3 3 4" xfId="22510"/>
    <cellStyle name="Normal 28 3 3 5" xfId="22511"/>
    <cellStyle name="Normal 28 3 3 6" xfId="22512"/>
    <cellStyle name="Normal 28 3 3 7" xfId="22513"/>
    <cellStyle name="Normal 28 3 3 8" xfId="22514"/>
    <cellStyle name="Normal 28 3 3 9" xfId="22515"/>
    <cellStyle name="Normal 28 3 4" xfId="22516"/>
    <cellStyle name="Normal 28 3 5" xfId="22517"/>
    <cellStyle name="Normal 28 3 5 2" xfId="22518"/>
    <cellStyle name="Normal 28 3 5 2 2" xfId="22519"/>
    <cellStyle name="Normal 28 3 5 2 3" xfId="22520"/>
    <cellStyle name="Normal 28 3 5 2 4" xfId="22521"/>
    <cellStyle name="Normal 28 3 5 2 5" xfId="22522"/>
    <cellStyle name="Normal 28 3 5 2 6" xfId="22523"/>
    <cellStyle name="Normal 28 3 5 3" xfId="22524"/>
    <cellStyle name="Normal 28 3 5 4" xfId="22525"/>
    <cellStyle name="Normal 28 3 5 5" xfId="22526"/>
    <cellStyle name="Normal 28 3 5 6" xfId="22527"/>
    <cellStyle name="Normal 28 3 6" xfId="22528"/>
    <cellStyle name="Normal 28 3 7" xfId="22529"/>
    <cellStyle name="Normal 28 3 8" xfId="22530"/>
    <cellStyle name="Normal 28 3 9" xfId="22531"/>
    <cellStyle name="Normal 28 4" xfId="22532"/>
    <cellStyle name="Normal 28 4 2" xfId="22533"/>
    <cellStyle name="Normal 28 4 3" xfId="22534"/>
    <cellStyle name="Normal 28 4 4" xfId="22535"/>
    <cellStyle name="Normal 28 4 5" xfId="22536"/>
    <cellStyle name="Normal 28 5" xfId="22537"/>
    <cellStyle name="Normal 28 6" xfId="22538"/>
    <cellStyle name="Normal 28 7" xfId="22539"/>
    <cellStyle name="Normal 28 8" xfId="22540"/>
    <cellStyle name="Normal 28 9" xfId="22541"/>
    <cellStyle name="Normal 29" xfId="22542"/>
    <cellStyle name="Normal 29 10" xfId="22543"/>
    <cellStyle name="Normal 29 11" xfId="22544"/>
    <cellStyle name="Normal 29 12" xfId="22545"/>
    <cellStyle name="Normal 29 13" xfId="22546"/>
    <cellStyle name="Normal 29 14" xfId="22547"/>
    <cellStyle name="Normal 29 15" xfId="22548"/>
    <cellStyle name="Normal 29 16" xfId="22549"/>
    <cellStyle name="Normal 29 17" xfId="22550"/>
    <cellStyle name="Normal 29 18" xfId="22551"/>
    <cellStyle name="Normal 29 19" xfId="22552"/>
    <cellStyle name="Normal 29 2" xfId="22553"/>
    <cellStyle name="Normal 29 20" xfId="22554"/>
    <cellStyle name="Normal 29 21" xfId="22555"/>
    <cellStyle name="Normal 29 3" xfId="22556"/>
    <cellStyle name="Normal 29 4" xfId="22557"/>
    <cellStyle name="Normal 29 5" xfId="22558"/>
    <cellStyle name="Normal 29 6" xfId="22559"/>
    <cellStyle name="Normal 29 7" xfId="22560"/>
    <cellStyle name="Normal 29 8" xfId="22561"/>
    <cellStyle name="Normal 29 9" xfId="22562"/>
    <cellStyle name="Normal 3" xfId="6"/>
    <cellStyle name="Normal 3 10" xfId="22564"/>
    <cellStyle name="Normal 3 10 2" xfId="22565"/>
    <cellStyle name="Normal 3 10 3" xfId="22566"/>
    <cellStyle name="Normal 3 10 4" xfId="22567"/>
    <cellStyle name="Normal 3 11" xfId="22568"/>
    <cellStyle name="Normal 3 11 2" xfId="22569"/>
    <cellStyle name="Normal 3 11 3" xfId="22570"/>
    <cellStyle name="Normal 3 11 4" xfId="22571"/>
    <cellStyle name="Normal 3 12" xfId="22572"/>
    <cellStyle name="Normal 3 12 10" xfId="22573"/>
    <cellStyle name="Normal 3 12 11" xfId="22574"/>
    <cellStyle name="Normal 3 12 2" xfId="22575"/>
    <cellStyle name="Normal 3 12 2 10" xfId="22576"/>
    <cellStyle name="Normal 3 12 2 10 2" xfId="22577"/>
    <cellStyle name="Normal 3 12 2 10 3" xfId="22578"/>
    <cellStyle name="Normal 3 12 2 10 4" xfId="22579"/>
    <cellStyle name="Normal 3 12 2 10 5" xfId="22580"/>
    <cellStyle name="Normal 3 12 2 10 6" xfId="22581"/>
    <cellStyle name="Normal 3 12 2 11" xfId="22582"/>
    <cellStyle name="Normal 3 12 2 11 2" xfId="22583"/>
    <cellStyle name="Normal 3 12 2 11 3" xfId="22584"/>
    <cellStyle name="Normal 3 12 2 11 4" xfId="22585"/>
    <cellStyle name="Normal 3 12 2 11 5" xfId="22586"/>
    <cellStyle name="Normal 3 12 2 11 6" xfId="22587"/>
    <cellStyle name="Normal 3 12 2 12" xfId="22588"/>
    <cellStyle name="Normal 3 12 2 12 2" xfId="22589"/>
    <cellStyle name="Normal 3 12 2 12 3" xfId="22590"/>
    <cellStyle name="Normal 3 12 2 12 4" xfId="22591"/>
    <cellStyle name="Normal 3 12 2 12 5" xfId="22592"/>
    <cellStyle name="Normal 3 12 2 12 6" xfId="22593"/>
    <cellStyle name="Normal 3 12 2 13" xfId="22594"/>
    <cellStyle name="Normal 3 12 2 13 2" xfId="22595"/>
    <cellStyle name="Normal 3 12 2 13 3" xfId="22596"/>
    <cellStyle name="Normal 3 12 2 13 4" xfId="22597"/>
    <cellStyle name="Normal 3 12 2 13 5" xfId="22598"/>
    <cellStyle name="Normal 3 12 2 13 6" xfId="22599"/>
    <cellStyle name="Normal 3 12 2 14" xfId="22600"/>
    <cellStyle name="Normal 3 12 2 14 2" xfId="22601"/>
    <cellStyle name="Normal 3 12 2 14 3" xfId="22602"/>
    <cellStyle name="Normal 3 12 2 14 4" xfId="22603"/>
    <cellStyle name="Normal 3 12 2 14 5" xfId="22604"/>
    <cellStyle name="Normal 3 12 2 14 6" xfId="22605"/>
    <cellStyle name="Normal 3 12 2 15" xfId="22606"/>
    <cellStyle name="Normal 3 12 2 16" xfId="22607"/>
    <cellStyle name="Normal 3 12 2 17" xfId="22608"/>
    <cellStyle name="Normal 3 12 2 18" xfId="22609"/>
    <cellStyle name="Normal 3 12 2 19" xfId="22610"/>
    <cellStyle name="Normal 3 12 2 2" xfId="22611"/>
    <cellStyle name="Normal 3 12 2 3" xfId="22612"/>
    <cellStyle name="Normal 3 12 2 4" xfId="22613"/>
    <cellStyle name="Normal 3 12 2 5" xfId="22614"/>
    <cellStyle name="Normal 3 12 2 6" xfId="22615"/>
    <cellStyle name="Normal 3 12 2 7" xfId="22616"/>
    <cellStyle name="Normal 3 12 2 8" xfId="22617"/>
    <cellStyle name="Normal 3 12 2 9" xfId="22618"/>
    <cellStyle name="Normal 3 12 3" xfId="22619"/>
    <cellStyle name="Normal 3 12 3 10" xfId="22620"/>
    <cellStyle name="Normal 3 12 3 11" xfId="22621"/>
    <cellStyle name="Normal 3 12 3 2" xfId="22622"/>
    <cellStyle name="Normal 3 12 3 2 2" xfId="22623"/>
    <cellStyle name="Normal 3 12 3 2 3" xfId="22624"/>
    <cellStyle name="Normal 3 12 3 2 4" xfId="22625"/>
    <cellStyle name="Normal 3 12 3 2 5" xfId="22626"/>
    <cellStyle name="Normal 3 12 3 2 6" xfId="22627"/>
    <cellStyle name="Normal 3 12 3 3" xfId="22628"/>
    <cellStyle name="Normal 3 12 3 3 2" xfId="22629"/>
    <cellStyle name="Normal 3 12 3 3 3" xfId="22630"/>
    <cellStyle name="Normal 3 12 3 3 4" xfId="22631"/>
    <cellStyle name="Normal 3 12 3 3 5" xfId="22632"/>
    <cellStyle name="Normal 3 12 3 3 6" xfId="22633"/>
    <cellStyle name="Normal 3 12 3 4" xfId="22634"/>
    <cellStyle name="Normal 3 12 3 4 2" xfId="22635"/>
    <cellStyle name="Normal 3 12 3 4 3" xfId="22636"/>
    <cellStyle name="Normal 3 12 3 4 4" xfId="22637"/>
    <cellStyle name="Normal 3 12 3 4 5" xfId="22638"/>
    <cellStyle name="Normal 3 12 3 4 6" xfId="22639"/>
    <cellStyle name="Normal 3 12 3 5" xfId="22640"/>
    <cellStyle name="Normal 3 12 3 5 2" xfId="22641"/>
    <cellStyle name="Normal 3 12 3 5 3" xfId="22642"/>
    <cellStyle name="Normal 3 12 3 5 4" xfId="22643"/>
    <cellStyle name="Normal 3 12 3 5 5" xfId="22644"/>
    <cellStyle name="Normal 3 12 3 5 6" xfId="22645"/>
    <cellStyle name="Normal 3 12 3 6" xfId="22646"/>
    <cellStyle name="Normal 3 12 3 6 2" xfId="22647"/>
    <cellStyle name="Normal 3 12 3 6 3" xfId="22648"/>
    <cellStyle name="Normal 3 12 3 6 4" xfId="22649"/>
    <cellStyle name="Normal 3 12 3 6 5" xfId="22650"/>
    <cellStyle name="Normal 3 12 3 6 6" xfId="22651"/>
    <cellStyle name="Normal 3 12 3 7" xfId="22652"/>
    <cellStyle name="Normal 3 12 3 8" xfId="22653"/>
    <cellStyle name="Normal 3 12 3 9" xfId="22654"/>
    <cellStyle name="Normal 3 12 4" xfId="22655"/>
    <cellStyle name="Normal 3 12 4 10" xfId="22656"/>
    <cellStyle name="Normal 3 12 4 11" xfId="22657"/>
    <cellStyle name="Normal 3 12 4 2" xfId="22658"/>
    <cellStyle name="Normal 3 12 4 2 2" xfId="22659"/>
    <cellStyle name="Normal 3 12 4 2 3" xfId="22660"/>
    <cellStyle name="Normal 3 12 4 2 4" xfId="22661"/>
    <cellStyle name="Normal 3 12 4 2 5" xfId="22662"/>
    <cellStyle name="Normal 3 12 4 2 6" xfId="22663"/>
    <cellStyle name="Normal 3 12 4 3" xfId="22664"/>
    <cellStyle name="Normal 3 12 4 3 2" xfId="22665"/>
    <cellStyle name="Normal 3 12 4 3 3" xfId="22666"/>
    <cellStyle name="Normal 3 12 4 3 4" xfId="22667"/>
    <cellStyle name="Normal 3 12 4 3 5" xfId="22668"/>
    <cellStyle name="Normal 3 12 4 3 6" xfId="22669"/>
    <cellStyle name="Normal 3 12 4 4" xfId="22670"/>
    <cellStyle name="Normal 3 12 4 4 2" xfId="22671"/>
    <cellStyle name="Normal 3 12 4 4 3" xfId="22672"/>
    <cellStyle name="Normal 3 12 4 4 4" xfId="22673"/>
    <cellStyle name="Normal 3 12 4 4 5" xfId="22674"/>
    <cellStyle name="Normal 3 12 4 4 6" xfId="22675"/>
    <cellStyle name="Normal 3 12 4 5" xfId="22676"/>
    <cellStyle name="Normal 3 12 4 5 2" xfId="22677"/>
    <cellStyle name="Normal 3 12 4 5 3" xfId="22678"/>
    <cellStyle name="Normal 3 12 4 5 4" xfId="22679"/>
    <cellStyle name="Normal 3 12 4 5 5" xfId="22680"/>
    <cellStyle name="Normal 3 12 4 5 6" xfId="22681"/>
    <cellStyle name="Normal 3 12 4 6" xfId="22682"/>
    <cellStyle name="Normal 3 12 4 6 2" xfId="22683"/>
    <cellStyle name="Normal 3 12 4 6 3" xfId="22684"/>
    <cellStyle name="Normal 3 12 4 6 4" xfId="22685"/>
    <cellStyle name="Normal 3 12 4 6 5" xfId="22686"/>
    <cellStyle name="Normal 3 12 4 6 6" xfId="22687"/>
    <cellStyle name="Normal 3 12 4 7" xfId="22688"/>
    <cellStyle name="Normal 3 12 4 8" xfId="22689"/>
    <cellStyle name="Normal 3 12 4 9" xfId="22690"/>
    <cellStyle name="Normal 3 12 5" xfId="22691"/>
    <cellStyle name="Normal 3 12 5 10" xfId="22692"/>
    <cellStyle name="Normal 3 12 5 11" xfId="22693"/>
    <cellStyle name="Normal 3 12 5 2" xfId="22694"/>
    <cellStyle name="Normal 3 12 5 2 2" xfId="22695"/>
    <cellStyle name="Normal 3 12 5 2 3" xfId="22696"/>
    <cellStyle name="Normal 3 12 5 2 4" xfId="22697"/>
    <cellStyle name="Normal 3 12 5 2 5" xfId="22698"/>
    <cellStyle name="Normal 3 12 5 2 6" xfId="22699"/>
    <cellStyle name="Normal 3 12 5 3" xfId="22700"/>
    <cellStyle name="Normal 3 12 5 3 2" xfId="22701"/>
    <cellStyle name="Normal 3 12 5 3 3" xfId="22702"/>
    <cellStyle name="Normal 3 12 5 3 4" xfId="22703"/>
    <cellStyle name="Normal 3 12 5 3 5" xfId="22704"/>
    <cellStyle name="Normal 3 12 5 3 6" xfId="22705"/>
    <cellStyle name="Normal 3 12 5 4" xfId="22706"/>
    <cellStyle name="Normal 3 12 5 4 2" xfId="22707"/>
    <cellStyle name="Normal 3 12 5 4 3" xfId="22708"/>
    <cellStyle name="Normal 3 12 5 4 4" xfId="22709"/>
    <cellStyle name="Normal 3 12 5 4 5" xfId="22710"/>
    <cellStyle name="Normal 3 12 5 4 6" xfId="22711"/>
    <cellStyle name="Normal 3 12 5 5" xfId="22712"/>
    <cellStyle name="Normal 3 12 5 5 2" xfId="22713"/>
    <cellStyle name="Normal 3 12 5 5 3" xfId="22714"/>
    <cellStyle name="Normal 3 12 5 5 4" xfId="22715"/>
    <cellStyle name="Normal 3 12 5 5 5" xfId="22716"/>
    <cellStyle name="Normal 3 12 5 5 6" xfId="22717"/>
    <cellStyle name="Normal 3 12 5 6" xfId="22718"/>
    <cellStyle name="Normal 3 12 5 6 2" xfId="22719"/>
    <cellStyle name="Normal 3 12 5 6 3" xfId="22720"/>
    <cellStyle name="Normal 3 12 5 6 4" xfId="22721"/>
    <cellStyle name="Normal 3 12 5 6 5" xfId="22722"/>
    <cellStyle name="Normal 3 12 5 6 6" xfId="22723"/>
    <cellStyle name="Normal 3 12 5 7" xfId="22724"/>
    <cellStyle name="Normal 3 12 5 8" xfId="22725"/>
    <cellStyle name="Normal 3 12 5 9" xfId="22726"/>
    <cellStyle name="Normal 3 12 6" xfId="22727"/>
    <cellStyle name="Normal 3 12 6 10" xfId="22728"/>
    <cellStyle name="Normal 3 12 6 11" xfId="22729"/>
    <cellStyle name="Normal 3 12 6 2" xfId="22730"/>
    <cellStyle name="Normal 3 12 6 2 2" xfId="22731"/>
    <cellStyle name="Normal 3 12 6 2 3" xfId="22732"/>
    <cellStyle name="Normal 3 12 6 2 4" xfId="22733"/>
    <cellStyle name="Normal 3 12 6 2 5" xfId="22734"/>
    <cellStyle name="Normal 3 12 6 2 6" xfId="22735"/>
    <cellStyle name="Normal 3 12 6 3" xfId="22736"/>
    <cellStyle name="Normal 3 12 6 3 2" xfId="22737"/>
    <cellStyle name="Normal 3 12 6 3 3" xfId="22738"/>
    <cellStyle name="Normal 3 12 6 3 4" xfId="22739"/>
    <cellStyle name="Normal 3 12 6 3 5" xfId="22740"/>
    <cellStyle name="Normal 3 12 6 3 6" xfId="22741"/>
    <cellStyle name="Normal 3 12 6 4" xfId="22742"/>
    <cellStyle name="Normal 3 12 6 4 2" xfId="22743"/>
    <cellStyle name="Normal 3 12 6 4 3" xfId="22744"/>
    <cellStyle name="Normal 3 12 6 4 4" xfId="22745"/>
    <cellStyle name="Normal 3 12 6 4 5" xfId="22746"/>
    <cellStyle name="Normal 3 12 6 4 6" xfId="22747"/>
    <cellStyle name="Normal 3 12 6 5" xfId="22748"/>
    <cellStyle name="Normal 3 12 6 5 2" xfId="22749"/>
    <cellStyle name="Normal 3 12 6 5 3" xfId="22750"/>
    <cellStyle name="Normal 3 12 6 5 4" xfId="22751"/>
    <cellStyle name="Normal 3 12 6 5 5" xfId="22752"/>
    <cellStyle name="Normal 3 12 6 5 6" xfId="22753"/>
    <cellStyle name="Normal 3 12 6 6" xfId="22754"/>
    <cellStyle name="Normal 3 12 6 6 2" xfId="22755"/>
    <cellStyle name="Normal 3 12 6 6 3" xfId="22756"/>
    <cellStyle name="Normal 3 12 6 6 4" xfId="22757"/>
    <cellStyle name="Normal 3 12 6 6 5" xfId="22758"/>
    <cellStyle name="Normal 3 12 6 6 6" xfId="22759"/>
    <cellStyle name="Normal 3 12 6 7" xfId="22760"/>
    <cellStyle name="Normal 3 12 6 8" xfId="22761"/>
    <cellStyle name="Normal 3 12 6 9" xfId="22762"/>
    <cellStyle name="Normal 3 12 7" xfId="22763"/>
    <cellStyle name="Normal 3 12 7 10" xfId="22764"/>
    <cellStyle name="Normal 3 12 7 11" xfId="22765"/>
    <cellStyle name="Normal 3 12 7 2" xfId="22766"/>
    <cellStyle name="Normal 3 12 7 2 2" xfId="22767"/>
    <cellStyle name="Normal 3 12 7 2 3" xfId="22768"/>
    <cellStyle name="Normal 3 12 7 2 4" xfId="22769"/>
    <cellStyle name="Normal 3 12 7 2 5" xfId="22770"/>
    <cellStyle name="Normal 3 12 7 2 6" xfId="22771"/>
    <cellStyle name="Normal 3 12 7 3" xfId="22772"/>
    <cellStyle name="Normal 3 12 7 3 2" xfId="22773"/>
    <cellStyle name="Normal 3 12 7 3 3" xfId="22774"/>
    <cellStyle name="Normal 3 12 7 3 4" xfId="22775"/>
    <cellStyle name="Normal 3 12 7 3 5" xfId="22776"/>
    <cellStyle name="Normal 3 12 7 3 6" xfId="22777"/>
    <cellStyle name="Normal 3 12 7 4" xfId="22778"/>
    <cellStyle name="Normal 3 12 7 4 2" xfId="22779"/>
    <cellStyle name="Normal 3 12 7 4 3" xfId="22780"/>
    <cellStyle name="Normal 3 12 7 4 4" xfId="22781"/>
    <cellStyle name="Normal 3 12 7 4 5" xfId="22782"/>
    <cellStyle name="Normal 3 12 7 4 6" xfId="22783"/>
    <cellStyle name="Normal 3 12 7 5" xfId="22784"/>
    <cellStyle name="Normal 3 12 7 5 2" xfId="22785"/>
    <cellStyle name="Normal 3 12 7 5 3" xfId="22786"/>
    <cellStyle name="Normal 3 12 7 5 4" xfId="22787"/>
    <cellStyle name="Normal 3 12 7 5 5" xfId="22788"/>
    <cellStyle name="Normal 3 12 7 5 6" xfId="22789"/>
    <cellStyle name="Normal 3 12 7 6" xfId="22790"/>
    <cellStyle name="Normal 3 12 7 6 2" xfId="22791"/>
    <cellStyle name="Normal 3 12 7 6 3" xfId="22792"/>
    <cellStyle name="Normal 3 12 7 6 4" xfId="22793"/>
    <cellStyle name="Normal 3 12 7 6 5" xfId="22794"/>
    <cellStyle name="Normal 3 12 7 6 6" xfId="22795"/>
    <cellStyle name="Normal 3 12 7 7" xfId="22796"/>
    <cellStyle name="Normal 3 12 7 8" xfId="22797"/>
    <cellStyle name="Normal 3 12 7 9" xfId="22798"/>
    <cellStyle name="Normal 3 12 8" xfId="22799"/>
    <cellStyle name="Normal 3 12 8 10" xfId="22800"/>
    <cellStyle name="Normal 3 12 8 11" xfId="22801"/>
    <cellStyle name="Normal 3 12 8 2" xfId="22802"/>
    <cellStyle name="Normal 3 12 8 2 2" xfId="22803"/>
    <cellStyle name="Normal 3 12 8 2 3" xfId="22804"/>
    <cellStyle name="Normal 3 12 8 2 4" xfId="22805"/>
    <cellStyle name="Normal 3 12 8 2 5" xfId="22806"/>
    <cellStyle name="Normal 3 12 8 2 6" xfId="22807"/>
    <cellStyle name="Normal 3 12 8 3" xfId="22808"/>
    <cellStyle name="Normal 3 12 8 3 2" xfId="22809"/>
    <cellStyle name="Normal 3 12 8 3 3" xfId="22810"/>
    <cellStyle name="Normal 3 12 8 3 4" xfId="22811"/>
    <cellStyle name="Normal 3 12 8 3 5" xfId="22812"/>
    <cellStyle name="Normal 3 12 8 3 6" xfId="22813"/>
    <cellStyle name="Normal 3 12 8 4" xfId="22814"/>
    <cellStyle name="Normal 3 12 8 4 2" xfId="22815"/>
    <cellStyle name="Normal 3 12 8 4 3" xfId="22816"/>
    <cellStyle name="Normal 3 12 8 4 4" xfId="22817"/>
    <cellStyle name="Normal 3 12 8 4 5" xfId="22818"/>
    <cellStyle name="Normal 3 12 8 4 6" xfId="22819"/>
    <cellStyle name="Normal 3 12 8 5" xfId="22820"/>
    <cellStyle name="Normal 3 12 8 5 2" xfId="22821"/>
    <cellStyle name="Normal 3 12 8 5 3" xfId="22822"/>
    <cellStyle name="Normal 3 12 8 5 4" xfId="22823"/>
    <cellStyle name="Normal 3 12 8 5 5" xfId="22824"/>
    <cellStyle name="Normal 3 12 8 5 6" xfId="22825"/>
    <cellStyle name="Normal 3 12 8 6" xfId="22826"/>
    <cellStyle name="Normal 3 12 8 6 2" xfId="22827"/>
    <cellStyle name="Normal 3 12 8 6 3" xfId="22828"/>
    <cellStyle name="Normal 3 12 8 6 4" xfId="22829"/>
    <cellStyle name="Normal 3 12 8 6 5" xfId="22830"/>
    <cellStyle name="Normal 3 12 8 6 6" xfId="22831"/>
    <cellStyle name="Normal 3 12 8 7" xfId="22832"/>
    <cellStyle name="Normal 3 12 8 8" xfId="22833"/>
    <cellStyle name="Normal 3 12 8 9" xfId="22834"/>
    <cellStyle name="Normal 3 12 9" xfId="22835"/>
    <cellStyle name="Normal 3 12 9 10" xfId="22836"/>
    <cellStyle name="Normal 3 12 9 11" xfId="22837"/>
    <cellStyle name="Normal 3 12 9 2" xfId="22838"/>
    <cellStyle name="Normal 3 12 9 2 2" xfId="22839"/>
    <cellStyle name="Normal 3 12 9 2 3" xfId="22840"/>
    <cellStyle name="Normal 3 12 9 2 4" xfId="22841"/>
    <cellStyle name="Normal 3 12 9 2 5" xfId="22842"/>
    <cellStyle name="Normal 3 12 9 2 6" xfId="22843"/>
    <cellStyle name="Normal 3 12 9 3" xfId="22844"/>
    <cellStyle name="Normal 3 12 9 3 2" xfId="22845"/>
    <cellStyle name="Normal 3 12 9 3 3" xfId="22846"/>
    <cellStyle name="Normal 3 12 9 3 4" xfId="22847"/>
    <cellStyle name="Normal 3 12 9 3 5" xfId="22848"/>
    <cellStyle name="Normal 3 12 9 3 6" xfId="22849"/>
    <cellStyle name="Normal 3 12 9 4" xfId="22850"/>
    <cellStyle name="Normal 3 12 9 4 2" xfId="22851"/>
    <cellStyle name="Normal 3 12 9 4 3" xfId="22852"/>
    <cellStyle name="Normal 3 12 9 4 4" xfId="22853"/>
    <cellStyle name="Normal 3 12 9 4 5" xfId="22854"/>
    <cellStyle name="Normal 3 12 9 4 6" xfId="22855"/>
    <cellStyle name="Normal 3 12 9 5" xfId="22856"/>
    <cellStyle name="Normal 3 12 9 5 2" xfId="22857"/>
    <cellStyle name="Normal 3 12 9 5 3" xfId="22858"/>
    <cellStyle name="Normal 3 12 9 5 4" xfId="22859"/>
    <cellStyle name="Normal 3 12 9 5 5" xfId="22860"/>
    <cellStyle name="Normal 3 12 9 5 6" xfId="22861"/>
    <cellStyle name="Normal 3 12 9 6" xfId="22862"/>
    <cellStyle name="Normal 3 12 9 6 2" xfId="22863"/>
    <cellStyle name="Normal 3 12 9 6 3" xfId="22864"/>
    <cellStyle name="Normal 3 12 9 6 4" xfId="22865"/>
    <cellStyle name="Normal 3 12 9 6 5" xfId="22866"/>
    <cellStyle name="Normal 3 12 9 6 6" xfId="22867"/>
    <cellStyle name="Normal 3 12 9 7" xfId="22868"/>
    <cellStyle name="Normal 3 12 9 8" xfId="22869"/>
    <cellStyle name="Normal 3 12 9 9" xfId="22870"/>
    <cellStyle name="Normal 3 13" xfId="22871"/>
    <cellStyle name="Normal 3 13 2" xfId="22872"/>
    <cellStyle name="Normal 3 13 3" xfId="22873"/>
    <cellStyle name="Normal 3 14" xfId="22874"/>
    <cellStyle name="Normal 3 14 2" xfId="22875"/>
    <cellStyle name="Normal 3 14 3" xfId="22876"/>
    <cellStyle name="Normal 3 15" xfId="22877"/>
    <cellStyle name="Normal 3 15 2" xfId="22878"/>
    <cellStyle name="Normal 3 15 3" xfId="22879"/>
    <cellStyle name="Normal 3 16" xfId="22880"/>
    <cellStyle name="Normal 3 16 2" xfId="22881"/>
    <cellStyle name="Normal 3 16 3" xfId="22882"/>
    <cellStyle name="Normal 3 17" xfId="22883"/>
    <cellStyle name="Normal 3 17 2" xfId="22884"/>
    <cellStyle name="Normal 3 18" xfId="22885"/>
    <cellStyle name="Normal 3 18 2" xfId="22886"/>
    <cellStyle name="Normal 3 19" xfId="22887"/>
    <cellStyle name="Normal 3 19 2" xfId="22888"/>
    <cellStyle name="Normal 3 2" xfId="22889"/>
    <cellStyle name="Normal 3 2 10" xfId="22890"/>
    <cellStyle name="Normal 3 2 10 10" xfId="22891"/>
    <cellStyle name="Normal 3 2 10 11" xfId="22892"/>
    <cellStyle name="Normal 3 2 10 12" xfId="22893"/>
    <cellStyle name="Normal 3 2 10 2" xfId="22894"/>
    <cellStyle name="Normal 3 2 10 2 2" xfId="22895"/>
    <cellStyle name="Normal 3 2 10 2 3" xfId="22896"/>
    <cellStyle name="Normal 3 2 10 2 4" xfId="22897"/>
    <cellStyle name="Normal 3 2 10 2 5" xfId="22898"/>
    <cellStyle name="Normal 3 2 10 2 6" xfId="22899"/>
    <cellStyle name="Normal 3 2 10 3" xfId="22900"/>
    <cellStyle name="Normal 3 2 10 3 2" xfId="22901"/>
    <cellStyle name="Normal 3 2 10 3 3" xfId="22902"/>
    <cellStyle name="Normal 3 2 10 3 4" xfId="22903"/>
    <cellStyle name="Normal 3 2 10 3 5" xfId="22904"/>
    <cellStyle name="Normal 3 2 10 3 6" xfId="22905"/>
    <cellStyle name="Normal 3 2 10 4" xfId="22906"/>
    <cellStyle name="Normal 3 2 10 4 2" xfId="22907"/>
    <cellStyle name="Normal 3 2 10 4 3" xfId="22908"/>
    <cellStyle name="Normal 3 2 10 4 4" xfId="22909"/>
    <cellStyle name="Normal 3 2 10 4 5" xfId="22910"/>
    <cellStyle name="Normal 3 2 10 4 6" xfId="22911"/>
    <cellStyle name="Normal 3 2 10 5" xfId="22912"/>
    <cellStyle name="Normal 3 2 10 5 2" xfId="22913"/>
    <cellStyle name="Normal 3 2 10 5 3" xfId="22914"/>
    <cellStyle name="Normal 3 2 10 5 4" xfId="22915"/>
    <cellStyle name="Normal 3 2 10 5 5" xfId="22916"/>
    <cellStyle name="Normal 3 2 10 5 6" xfId="22917"/>
    <cellStyle name="Normal 3 2 10 6" xfId="22918"/>
    <cellStyle name="Normal 3 2 10 6 2" xfId="22919"/>
    <cellStyle name="Normal 3 2 10 6 3" xfId="22920"/>
    <cellStyle name="Normal 3 2 10 6 4" xfId="22921"/>
    <cellStyle name="Normal 3 2 10 6 5" xfId="22922"/>
    <cellStyle name="Normal 3 2 10 6 6" xfId="22923"/>
    <cellStyle name="Normal 3 2 10 7" xfId="22924"/>
    <cellStyle name="Normal 3 2 10 8" xfId="22925"/>
    <cellStyle name="Normal 3 2 10 9" xfId="22926"/>
    <cellStyle name="Normal 3 2 100" xfId="22927"/>
    <cellStyle name="Normal 3 2 101" xfId="22928"/>
    <cellStyle name="Normal 3 2 102" xfId="22929"/>
    <cellStyle name="Normal 3 2 103" xfId="22930"/>
    <cellStyle name="Normal 3 2 104" xfId="22931"/>
    <cellStyle name="Normal 3 2 105" xfId="22932"/>
    <cellStyle name="Normal 3 2 106" xfId="22933"/>
    <cellStyle name="Normal 3 2 107" xfId="22934"/>
    <cellStyle name="Normal 3 2 108" xfId="22935"/>
    <cellStyle name="Normal 3 2 109" xfId="22936"/>
    <cellStyle name="Normal 3 2 11" xfId="22937"/>
    <cellStyle name="Normal 3 2 11 10" xfId="22938"/>
    <cellStyle name="Normal 3 2 11 11" xfId="22939"/>
    <cellStyle name="Normal 3 2 11 2" xfId="22940"/>
    <cellStyle name="Normal 3 2 11 2 2" xfId="22941"/>
    <cellStyle name="Normal 3 2 11 2 3" xfId="22942"/>
    <cellStyle name="Normal 3 2 11 2 4" xfId="22943"/>
    <cellStyle name="Normal 3 2 11 2 5" xfId="22944"/>
    <cellStyle name="Normal 3 2 11 2 6" xfId="22945"/>
    <cellStyle name="Normal 3 2 11 3" xfId="22946"/>
    <cellStyle name="Normal 3 2 11 3 2" xfId="22947"/>
    <cellStyle name="Normal 3 2 11 3 3" xfId="22948"/>
    <cellStyle name="Normal 3 2 11 3 4" xfId="22949"/>
    <cellStyle name="Normal 3 2 11 3 5" xfId="22950"/>
    <cellStyle name="Normal 3 2 11 3 6" xfId="22951"/>
    <cellStyle name="Normal 3 2 11 4" xfId="22952"/>
    <cellStyle name="Normal 3 2 11 4 2" xfId="22953"/>
    <cellStyle name="Normal 3 2 11 4 3" xfId="22954"/>
    <cellStyle name="Normal 3 2 11 4 4" xfId="22955"/>
    <cellStyle name="Normal 3 2 11 4 5" xfId="22956"/>
    <cellStyle name="Normal 3 2 11 4 6" xfId="22957"/>
    <cellStyle name="Normal 3 2 11 5" xfId="22958"/>
    <cellStyle name="Normal 3 2 11 5 2" xfId="22959"/>
    <cellStyle name="Normal 3 2 11 5 3" xfId="22960"/>
    <cellStyle name="Normal 3 2 11 5 4" xfId="22961"/>
    <cellStyle name="Normal 3 2 11 5 5" xfId="22962"/>
    <cellStyle name="Normal 3 2 11 5 6" xfId="22963"/>
    <cellStyle name="Normal 3 2 11 6" xfId="22964"/>
    <cellStyle name="Normal 3 2 11 6 2" xfId="22965"/>
    <cellStyle name="Normal 3 2 11 6 3" xfId="22966"/>
    <cellStyle name="Normal 3 2 11 6 4" xfId="22967"/>
    <cellStyle name="Normal 3 2 11 6 5" xfId="22968"/>
    <cellStyle name="Normal 3 2 11 6 6" xfId="22969"/>
    <cellStyle name="Normal 3 2 11 7" xfId="22970"/>
    <cellStyle name="Normal 3 2 11 8" xfId="22971"/>
    <cellStyle name="Normal 3 2 11 9" xfId="22972"/>
    <cellStyle name="Normal 3 2 110" xfId="22973"/>
    <cellStyle name="Normal 3 2 111" xfId="22974"/>
    <cellStyle name="Normal 3 2 112" xfId="22975"/>
    <cellStyle name="Normal 3 2 113" xfId="22976"/>
    <cellStyle name="Normal 3 2 114" xfId="22977"/>
    <cellStyle name="Normal 3 2 115" xfId="22978"/>
    <cellStyle name="Normal 3 2 116" xfId="22979"/>
    <cellStyle name="Normal 3 2 117" xfId="22980"/>
    <cellStyle name="Normal 3 2 118" xfId="22981"/>
    <cellStyle name="Normal 3 2 119" xfId="22982"/>
    <cellStyle name="Normal 3 2 119 2" xfId="22983"/>
    <cellStyle name="Normal 3 2 119 3" xfId="22984"/>
    <cellStyle name="Normal 3 2 119 4" xfId="22985"/>
    <cellStyle name="Normal 3 2 12" xfId="22986"/>
    <cellStyle name="Normal 3 2 12 10" xfId="22987"/>
    <cellStyle name="Normal 3 2 12 10 2" xfId="22988"/>
    <cellStyle name="Normal 3 2 12 10 3" xfId="22989"/>
    <cellStyle name="Normal 3 2 12 10 4" xfId="22990"/>
    <cellStyle name="Normal 3 2 12 10 5" xfId="22991"/>
    <cellStyle name="Normal 3 2 12 10 6" xfId="22992"/>
    <cellStyle name="Normal 3 2 12 11" xfId="22993"/>
    <cellStyle name="Normal 3 2 12 11 2" xfId="22994"/>
    <cellStyle name="Normal 3 2 12 11 3" xfId="22995"/>
    <cellStyle name="Normal 3 2 12 11 4" xfId="22996"/>
    <cellStyle name="Normal 3 2 12 11 5" xfId="22997"/>
    <cellStyle name="Normal 3 2 12 11 6" xfId="22998"/>
    <cellStyle name="Normal 3 2 12 12" xfId="22999"/>
    <cellStyle name="Normal 3 2 12 12 2" xfId="23000"/>
    <cellStyle name="Normal 3 2 12 12 3" xfId="23001"/>
    <cellStyle name="Normal 3 2 12 12 4" xfId="23002"/>
    <cellStyle name="Normal 3 2 12 12 5" xfId="23003"/>
    <cellStyle name="Normal 3 2 12 12 6" xfId="23004"/>
    <cellStyle name="Normal 3 2 12 13" xfId="23005"/>
    <cellStyle name="Normal 3 2 12 13 2" xfId="23006"/>
    <cellStyle name="Normal 3 2 12 13 3" xfId="23007"/>
    <cellStyle name="Normal 3 2 12 13 4" xfId="23008"/>
    <cellStyle name="Normal 3 2 12 13 5" xfId="23009"/>
    <cellStyle name="Normal 3 2 12 13 6" xfId="23010"/>
    <cellStyle name="Normal 3 2 12 14" xfId="23011"/>
    <cellStyle name="Normal 3 2 12 14 2" xfId="23012"/>
    <cellStyle name="Normal 3 2 12 14 3" xfId="23013"/>
    <cellStyle name="Normal 3 2 12 14 4" xfId="23014"/>
    <cellStyle name="Normal 3 2 12 14 5" xfId="23015"/>
    <cellStyle name="Normal 3 2 12 14 6" xfId="23016"/>
    <cellStyle name="Normal 3 2 12 15" xfId="23017"/>
    <cellStyle name="Normal 3 2 12 16" xfId="23018"/>
    <cellStyle name="Normal 3 2 12 17" xfId="23019"/>
    <cellStyle name="Normal 3 2 12 18" xfId="23020"/>
    <cellStyle name="Normal 3 2 12 19" xfId="23021"/>
    <cellStyle name="Normal 3 2 12 2" xfId="23022"/>
    <cellStyle name="Normal 3 2 12 2 2" xfId="23023"/>
    <cellStyle name="Normal 3 2 12 2 2 10" xfId="23024"/>
    <cellStyle name="Normal 3 2 12 2 2 11" xfId="23025"/>
    <cellStyle name="Normal 3 2 12 2 2 2" xfId="23026"/>
    <cellStyle name="Normal 3 2 12 2 2 2 2" xfId="23027"/>
    <cellStyle name="Normal 3 2 12 2 2 2 3" xfId="23028"/>
    <cellStyle name="Normal 3 2 12 2 2 2 4" xfId="23029"/>
    <cellStyle name="Normal 3 2 12 2 2 2 5" xfId="23030"/>
    <cellStyle name="Normal 3 2 12 2 2 2 6" xfId="23031"/>
    <cellStyle name="Normal 3 2 12 2 2 3" xfId="23032"/>
    <cellStyle name="Normal 3 2 12 2 2 3 2" xfId="23033"/>
    <cellStyle name="Normal 3 2 12 2 2 3 3" xfId="23034"/>
    <cellStyle name="Normal 3 2 12 2 2 3 4" xfId="23035"/>
    <cellStyle name="Normal 3 2 12 2 2 3 5" xfId="23036"/>
    <cellStyle name="Normal 3 2 12 2 2 3 6" xfId="23037"/>
    <cellStyle name="Normal 3 2 12 2 2 4" xfId="23038"/>
    <cellStyle name="Normal 3 2 12 2 2 4 2" xfId="23039"/>
    <cellStyle name="Normal 3 2 12 2 2 4 3" xfId="23040"/>
    <cellStyle name="Normal 3 2 12 2 2 4 4" xfId="23041"/>
    <cellStyle name="Normal 3 2 12 2 2 4 5" xfId="23042"/>
    <cellStyle name="Normal 3 2 12 2 2 4 6" xfId="23043"/>
    <cellStyle name="Normal 3 2 12 2 2 5" xfId="23044"/>
    <cellStyle name="Normal 3 2 12 2 2 5 2" xfId="23045"/>
    <cellStyle name="Normal 3 2 12 2 2 5 3" xfId="23046"/>
    <cellStyle name="Normal 3 2 12 2 2 5 4" xfId="23047"/>
    <cellStyle name="Normal 3 2 12 2 2 5 5" xfId="23048"/>
    <cellStyle name="Normal 3 2 12 2 2 5 6" xfId="23049"/>
    <cellStyle name="Normal 3 2 12 2 2 6" xfId="23050"/>
    <cellStyle name="Normal 3 2 12 2 2 6 2" xfId="23051"/>
    <cellStyle name="Normal 3 2 12 2 2 6 3" xfId="23052"/>
    <cellStyle name="Normal 3 2 12 2 2 6 4" xfId="23053"/>
    <cellStyle name="Normal 3 2 12 2 2 6 5" xfId="23054"/>
    <cellStyle name="Normal 3 2 12 2 2 6 6" xfId="23055"/>
    <cellStyle name="Normal 3 2 12 2 2 7" xfId="23056"/>
    <cellStyle name="Normal 3 2 12 2 2 8" xfId="23057"/>
    <cellStyle name="Normal 3 2 12 2 2 9" xfId="23058"/>
    <cellStyle name="Normal 3 2 12 2 3" xfId="23059"/>
    <cellStyle name="Normal 3 2 12 2 3 10" xfId="23060"/>
    <cellStyle name="Normal 3 2 12 2 3 11" xfId="23061"/>
    <cellStyle name="Normal 3 2 12 2 3 2" xfId="23062"/>
    <cellStyle name="Normal 3 2 12 2 3 2 2" xfId="23063"/>
    <cellStyle name="Normal 3 2 12 2 3 2 3" xfId="23064"/>
    <cellStyle name="Normal 3 2 12 2 3 2 4" xfId="23065"/>
    <cellStyle name="Normal 3 2 12 2 3 2 5" xfId="23066"/>
    <cellStyle name="Normal 3 2 12 2 3 2 6" xfId="23067"/>
    <cellStyle name="Normal 3 2 12 2 3 3" xfId="23068"/>
    <cellStyle name="Normal 3 2 12 2 3 3 2" xfId="23069"/>
    <cellStyle name="Normal 3 2 12 2 3 3 3" xfId="23070"/>
    <cellStyle name="Normal 3 2 12 2 3 3 4" xfId="23071"/>
    <cellStyle name="Normal 3 2 12 2 3 3 5" xfId="23072"/>
    <cellStyle name="Normal 3 2 12 2 3 3 6" xfId="23073"/>
    <cellStyle name="Normal 3 2 12 2 3 4" xfId="23074"/>
    <cellStyle name="Normal 3 2 12 2 3 4 2" xfId="23075"/>
    <cellStyle name="Normal 3 2 12 2 3 4 3" xfId="23076"/>
    <cellStyle name="Normal 3 2 12 2 3 4 4" xfId="23077"/>
    <cellStyle name="Normal 3 2 12 2 3 4 5" xfId="23078"/>
    <cellStyle name="Normal 3 2 12 2 3 4 6" xfId="23079"/>
    <cellStyle name="Normal 3 2 12 2 3 5" xfId="23080"/>
    <cellStyle name="Normal 3 2 12 2 3 5 2" xfId="23081"/>
    <cellStyle name="Normal 3 2 12 2 3 5 3" xfId="23082"/>
    <cellStyle name="Normal 3 2 12 2 3 5 4" xfId="23083"/>
    <cellStyle name="Normal 3 2 12 2 3 5 5" xfId="23084"/>
    <cellStyle name="Normal 3 2 12 2 3 5 6" xfId="23085"/>
    <cellStyle name="Normal 3 2 12 2 3 6" xfId="23086"/>
    <cellStyle name="Normal 3 2 12 2 3 6 2" xfId="23087"/>
    <cellStyle name="Normal 3 2 12 2 3 6 3" xfId="23088"/>
    <cellStyle name="Normal 3 2 12 2 3 6 4" xfId="23089"/>
    <cellStyle name="Normal 3 2 12 2 3 6 5" xfId="23090"/>
    <cellStyle name="Normal 3 2 12 2 3 6 6" xfId="23091"/>
    <cellStyle name="Normal 3 2 12 2 3 7" xfId="23092"/>
    <cellStyle name="Normal 3 2 12 2 3 8" xfId="23093"/>
    <cellStyle name="Normal 3 2 12 2 3 9" xfId="23094"/>
    <cellStyle name="Normal 3 2 12 2 4" xfId="23095"/>
    <cellStyle name="Normal 3 2 12 2 4 10" xfId="23096"/>
    <cellStyle name="Normal 3 2 12 2 4 11" xfId="23097"/>
    <cellStyle name="Normal 3 2 12 2 4 2" xfId="23098"/>
    <cellStyle name="Normal 3 2 12 2 4 2 2" xfId="23099"/>
    <cellStyle name="Normal 3 2 12 2 4 2 3" xfId="23100"/>
    <cellStyle name="Normal 3 2 12 2 4 2 4" xfId="23101"/>
    <cellStyle name="Normal 3 2 12 2 4 2 5" xfId="23102"/>
    <cellStyle name="Normal 3 2 12 2 4 2 6" xfId="23103"/>
    <cellStyle name="Normal 3 2 12 2 4 3" xfId="23104"/>
    <cellStyle name="Normal 3 2 12 2 4 3 2" xfId="23105"/>
    <cellStyle name="Normal 3 2 12 2 4 3 3" xfId="23106"/>
    <cellStyle name="Normal 3 2 12 2 4 3 4" xfId="23107"/>
    <cellStyle name="Normal 3 2 12 2 4 3 5" xfId="23108"/>
    <cellStyle name="Normal 3 2 12 2 4 3 6" xfId="23109"/>
    <cellStyle name="Normal 3 2 12 2 4 4" xfId="23110"/>
    <cellStyle name="Normal 3 2 12 2 4 4 2" xfId="23111"/>
    <cellStyle name="Normal 3 2 12 2 4 4 3" xfId="23112"/>
    <cellStyle name="Normal 3 2 12 2 4 4 4" xfId="23113"/>
    <cellStyle name="Normal 3 2 12 2 4 4 5" xfId="23114"/>
    <cellStyle name="Normal 3 2 12 2 4 4 6" xfId="23115"/>
    <cellStyle name="Normal 3 2 12 2 4 5" xfId="23116"/>
    <cellStyle name="Normal 3 2 12 2 4 5 2" xfId="23117"/>
    <cellStyle name="Normal 3 2 12 2 4 5 3" xfId="23118"/>
    <cellStyle name="Normal 3 2 12 2 4 5 4" xfId="23119"/>
    <cellStyle name="Normal 3 2 12 2 4 5 5" xfId="23120"/>
    <cellStyle name="Normal 3 2 12 2 4 5 6" xfId="23121"/>
    <cellStyle name="Normal 3 2 12 2 4 6" xfId="23122"/>
    <cellStyle name="Normal 3 2 12 2 4 6 2" xfId="23123"/>
    <cellStyle name="Normal 3 2 12 2 4 6 3" xfId="23124"/>
    <cellStyle name="Normal 3 2 12 2 4 6 4" xfId="23125"/>
    <cellStyle name="Normal 3 2 12 2 4 6 5" xfId="23126"/>
    <cellStyle name="Normal 3 2 12 2 4 6 6" xfId="23127"/>
    <cellStyle name="Normal 3 2 12 2 4 7" xfId="23128"/>
    <cellStyle name="Normal 3 2 12 2 4 8" xfId="23129"/>
    <cellStyle name="Normal 3 2 12 2 4 9" xfId="23130"/>
    <cellStyle name="Normal 3 2 12 2 5" xfId="23131"/>
    <cellStyle name="Normal 3 2 12 2 5 10" xfId="23132"/>
    <cellStyle name="Normal 3 2 12 2 5 11" xfId="23133"/>
    <cellStyle name="Normal 3 2 12 2 5 2" xfId="23134"/>
    <cellStyle name="Normal 3 2 12 2 5 2 2" xfId="23135"/>
    <cellStyle name="Normal 3 2 12 2 5 2 3" xfId="23136"/>
    <cellStyle name="Normal 3 2 12 2 5 2 4" xfId="23137"/>
    <cellStyle name="Normal 3 2 12 2 5 2 5" xfId="23138"/>
    <cellStyle name="Normal 3 2 12 2 5 2 6" xfId="23139"/>
    <cellStyle name="Normal 3 2 12 2 5 3" xfId="23140"/>
    <cellStyle name="Normal 3 2 12 2 5 3 2" xfId="23141"/>
    <cellStyle name="Normal 3 2 12 2 5 3 3" xfId="23142"/>
    <cellStyle name="Normal 3 2 12 2 5 3 4" xfId="23143"/>
    <cellStyle name="Normal 3 2 12 2 5 3 5" xfId="23144"/>
    <cellStyle name="Normal 3 2 12 2 5 3 6" xfId="23145"/>
    <cellStyle name="Normal 3 2 12 2 5 4" xfId="23146"/>
    <cellStyle name="Normal 3 2 12 2 5 4 2" xfId="23147"/>
    <cellStyle name="Normal 3 2 12 2 5 4 3" xfId="23148"/>
    <cellStyle name="Normal 3 2 12 2 5 4 4" xfId="23149"/>
    <cellStyle name="Normal 3 2 12 2 5 4 5" xfId="23150"/>
    <cellStyle name="Normal 3 2 12 2 5 4 6" xfId="23151"/>
    <cellStyle name="Normal 3 2 12 2 5 5" xfId="23152"/>
    <cellStyle name="Normal 3 2 12 2 5 5 2" xfId="23153"/>
    <cellStyle name="Normal 3 2 12 2 5 5 3" xfId="23154"/>
    <cellStyle name="Normal 3 2 12 2 5 5 4" xfId="23155"/>
    <cellStyle name="Normal 3 2 12 2 5 5 5" xfId="23156"/>
    <cellStyle name="Normal 3 2 12 2 5 5 6" xfId="23157"/>
    <cellStyle name="Normal 3 2 12 2 5 6" xfId="23158"/>
    <cellStyle name="Normal 3 2 12 2 5 6 2" xfId="23159"/>
    <cellStyle name="Normal 3 2 12 2 5 6 3" xfId="23160"/>
    <cellStyle name="Normal 3 2 12 2 5 6 4" xfId="23161"/>
    <cellStyle name="Normal 3 2 12 2 5 6 5" xfId="23162"/>
    <cellStyle name="Normal 3 2 12 2 5 6 6" xfId="23163"/>
    <cellStyle name="Normal 3 2 12 2 5 7" xfId="23164"/>
    <cellStyle name="Normal 3 2 12 2 5 8" xfId="23165"/>
    <cellStyle name="Normal 3 2 12 2 5 9" xfId="23166"/>
    <cellStyle name="Normal 3 2 12 2 6" xfId="23167"/>
    <cellStyle name="Normal 3 2 12 2 6 10" xfId="23168"/>
    <cellStyle name="Normal 3 2 12 2 6 11" xfId="23169"/>
    <cellStyle name="Normal 3 2 12 2 6 2" xfId="23170"/>
    <cellStyle name="Normal 3 2 12 2 6 2 2" xfId="23171"/>
    <cellStyle name="Normal 3 2 12 2 6 2 3" xfId="23172"/>
    <cellStyle name="Normal 3 2 12 2 6 2 4" xfId="23173"/>
    <cellStyle name="Normal 3 2 12 2 6 2 5" xfId="23174"/>
    <cellStyle name="Normal 3 2 12 2 6 2 6" xfId="23175"/>
    <cellStyle name="Normal 3 2 12 2 6 3" xfId="23176"/>
    <cellStyle name="Normal 3 2 12 2 6 3 2" xfId="23177"/>
    <cellStyle name="Normal 3 2 12 2 6 3 3" xfId="23178"/>
    <cellStyle name="Normal 3 2 12 2 6 3 4" xfId="23179"/>
    <cellStyle name="Normal 3 2 12 2 6 3 5" xfId="23180"/>
    <cellStyle name="Normal 3 2 12 2 6 3 6" xfId="23181"/>
    <cellStyle name="Normal 3 2 12 2 6 4" xfId="23182"/>
    <cellStyle name="Normal 3 2 12 2 6 4 2" xfId="23183"/>
    <cellStyle name="Normal 3 2 12 2 6 4 3" xfId="23184"/>
    <cellStyle name="Normal 3 2 12 2 6 4 4" xfId="23185"/>
    <cellStyle name="Normal 3 2 12 2 6 4 5" xfId="23186"/>
    <cellStyle name="Normal 3 2 12 2 6 4 6" xfId="23187"/>
    <cellStyle name="Normal 3 2 12 2 6 5" xfId="23188"/>
    <cellStyle name="Normal 3 2 12 2 6 5 2" xfId="23189"/>
    <cellStyle name="Normal 3 2 12 2 6 5 3" xfId="23190"/>
    <cellStyle name="Normal 3 2 12 2 6 5 4" xfId="23191"/>
    <cellStyle name="Normal 3 2 12 2 6 5 5" xfId="23192"/>
    <cellStyle name="Normal 3 2 12 2 6 5 6" xfId="23193"/>
    <cellStyle name="Normal 3 2 12 2 6 6" xfId="23194"/>
    <cellStyle name="Normal 3 2 12 2 6 6 2" xfId="23195"/>
    <cellStyle name="Normal 3 2 12 2 6 6 3" xfId="23196"/>
    <cellStyle name="Normal 3 2 12 2 6 6 4" xfId="23197"/>
    <cellStyle name="Normal 3 2 12 2 6 6 5" xfId="23198"/>
    <cellStyle name="Normal 3 2 12 2 6 6 6" xfId="23199"/>
    <cellStyle name="Normal 3 2 12 2 6 7" xfId="23200"/>
    <cellStyle name="Normal 3 2 12 2 6 8" xfId="23201"/>
    <cellStyle name="Normal 3 2 12 2 6 9" xfId="23202"/>
    <cellStyle name="Normal 3 2 12 2 7" xfId="23203"/>
    <cellStyle name="Normal 3 2 12 2 7 10" xfId="23204"/>
    <cellStyle name="Normal 3 2 12 2 7 11" xfId="23205"/>
    <cellStyle name="Normal 3 2 12 2 7 2" xfId="23206"/>
    <cellStyle name="Normal 3 2 12 2 7 2 2" xfId="23207"/>
    <cellStyle name="Normal 3 2 12 2 7 2 3" xfId="23208"/>
    <cellStyle name="Normal 3 2 12 2 7 2 4" xfId="23209"/>
    <cellStyle name="Normal 3 2 12 2 7 2 5" xfId="23210"/>
    <cellStyle name="Normal 3 2 12 2 7 2 6" xfId="23211"/>
    <cellStyle name="Normal 3 2 12 2 7 3" xfId="23212"/>
    <cellStyle name="Normal 3 2 12 2 7 3 2" xfId="23213"/>
    <cellStyle name="Normal 3 2 12 2 7 3 3" xfId="23214"/>
    <cellStyle name="Normal 3 2 12 2 7 3 4" xfId="23215"/>
    <cellStyle name="Normal 3 2 12 2 7 3 5" xfId="23216"/>
    <cellStyle name="Normal 3 2 12 2 7 3 6" xfId="23217"/>
    <cellStyle name="Normal 3 2 12 2 7 4" xfId="23218"/>
    <cellStyle name="Normal 3 2 12 2 7 4 2" xfId="23219"/>
    <cellStyle name="Normal 3 2 12 2 7 4 3" xfId="23220"/>
    <cellStyle name="Normal 3 2 12 2 7 4 4" xfId="23221"/>
    <cellStyle name="Normal 3 2 12 2 7 4 5" xfId="23222"/>
    <cellStyle name="Normal 3 2 12 2 7 4 6" xfId="23223"/>
    <cellStyle name="Normal 3 2 12 2 7 5" xfId="23224"/>
    <cellStyle name="Normal 3 2 12 2 7 5 2" xfId="23225"/>
    <cellStyle name="Normal 3 2 12 2 7 5 3" xfId="23226"/>
    <cellStyle name="Normal 3 2 12 2 7 5 4" xfId="23227"/>
    <cellStyle name="Normal 3 2 12 2 7 5 5" xfId="23228"/>
    <cellStyle name="Normal 3 2 12 2 7 5 6" xfId="23229"/>
    <cellStyle name="Normal 3 2 12 2 7 6" xfId="23230"/>
    <cellStyle name="Normal 3 2 12 2 7 6 2" xfId="23231"/>
    <cellStyle name="Normal 3 2 12 2 7 6 3" xfId="23232"/>
    <cellStyle name="Normal 3 2 12 2 7 6 4" xfId="23233"/>
    <cellStyle name="Normal 3 2 12 2 7 6 5" xfId="23234"/>
    <cellStyle name="Normal 3 2 12 2 7 6 6" xfId="23235"/>
    <cellStyle name="Normal 3 2 12 2 7 7" xfId="23236"/>
    <cellStyle name="Normal 3 2 12 2 7 8" xfId="23237"/>
    <cellStyle name="Normal 3 2 12 2 7 9" xfId="23238"/>
    <cellStyle name="Normal 3 2 12 2 8" xfId="23239"/>
    <cellStyle name="Normal 3 2 12 2 8 10" xfId="23240"/>
    <cellStyle name="Normal 3 2 12 2 8 11" xfId="23241"/>
    <cellStyle name="Normal 3 2 12 2 8 2" xfId="23242"/>
    <cellStyle name="Normal 3 2 12 2 8 2 2" xfId="23243"/>
    <cellStyle name="Normal 3 2 12 2 8 2 3" xfId="23244"/>
    <cellStyle name="Normal 3 2 12 2 8 2 4" xfId="23245"/>
    <cellStyle name="Normal 3 2 12 2 8 2 5" xfId="23246"/>
    <cellStyle name="Normal 3 2 12 2 8 2 6" xfId="23247"/>
    <cellStyle name="Normal 3 2 12 2 8 3" xfId="23248"/>
    <cellStyle name="Normal 3 2 12 2 8 3 2" xfId="23249"/>
    <cellStyle name="Normal 3 2 12 2 8 3 3" xfId="23250"/>
    <cellStyle name="Normal 3 2 12 2 8 3 4" xfId="23251"/>
    <cellStyle name="Normal 3 2 12 2 8 3 5" xfId="23252"/>
    <cellStyle name="Normal 3 2 12 2 8 3 6" xfId="23253"/>
    <cellStyle name="Normal 3 2 12 2 8 4" xfId="23254"/>
    <cellStyle name="Normal 3 2 12 2 8 4 2" xfId="23255"/>
    <cellStyle name="Normal 3 2 12 2 8 4 3" xfId="23256"/>
    <cellStyle name="Normal 3 2 12 2 8 4 4" xfId="23257"/>
    <cellStyle name="Normal 3 2 12 2 8 4 5" xfId="23258"/>
    <cellStyle name="Normal 3 2 12 2 8 4 6" xfId="23259"/>
    <cellStyle name="Normal 3 2 12 2 8 5" xfId="23260"/>
    <cellStyle name="Normal 3 2 12 2 8 5 2" xfId="23261"/>
    <cellStyle name="Normal 3 2 12 2 8 5 3" xfId="23262"/>
    <cellStyle name="Normal 3 2 12 2 8 5 4" xfId="23263"/>
    <cellStyle name="Normal 3 2 12 2 8 5 5" xfId="23264"/>
    <cellStyle name="Normal 3 2 12 2 8 5 6" xfId="23265"/>
    <cellStyle name="Normal 3 2 12 2 8 6" xfId="23266"/>
    <cellStyle name="Normal 3 2 12 2 8 6 2" xfId="23267"/>
    <cellStyle name="Normal 3 2 12 2 8 6 3" xfId="23268"/>
    <cellStyle name="Normal 3 2 12 2 8 6 4" xfId="23269"/>
    <cellStyle name="Normal 3 2 12 2 8 6 5" xfId="23270"/>
    <cellStyle name="Normal 3 2 12 2 8 6 6" xfId="23271"/>
    <cellStyle name="Normal 3 2 12 2 8 7" xfId="23272"/>
    <cellStyle name="Normal 3 2 12 2 8 8" xfId="23273"/>
    <cellStyle name="Normal 3 2 12 2 8 9" xfId="23274"/>
    <cellStyle name="Normal 3 2 12 2 9" xfId="23275"/>
    <cellStyle name="Normal 3 2 12 2 9 10" xfId="23276"/>
    <cellStyle name="Normal 3 2 12 2 9 11" xfId="23277"/>
    <cellStyle name="Normal 3 2 12 2 9 2" xfId="23278"/>
    <cellStyle name="Normal 3 2 12 2 9 2 2" xfId="23279"/>
    <cellStyle name="Normal 3 2 12 2 9 2 3" xfId="23280"/>
    <cellStyle name="Normal 3 2 12 2 9 2 4" xfId="23281"/>
    <cellStyle name="Normal 3 2 12 2 9 2 5" xfId="23282"/>
    <cellStyle name="Normal 3 2 12 2 9 2 6" xfId="23283"/>
    <cellStyle name="Normal 3 2 12 2 9 3" xfId="23284"/>
    <cellStyle name="Normal 3 2 12 2 9 3 2" xfId="23285"/>
    <cellStyle name="Normal 3 2 12 2 9 3 3" xfId="23286"/>
    <cellStyle name="Normal 3 2 12 2 9 3 4" xfId="23287"/>
    <cellStyle name="Normal 3 2 12 2 9 3 5" xfId="23288"/>
    <cellStyle name="Normal 3 2 12 2 9 3 6" xfId="23289"/>
    <cellStyle name="Normal 3 2 12 2 9 4" xfId="23290"/>
    <cellStyle name="Normal 3 2 12 2 9 4 2" xfId="23291"/>
    <cellStyle name="Normal 3 2 12 2 9 4 3" xfId="23292"/>
    <cellStyle name="Normal 3 2 12 2 9 4 4" xfId="23293"/>
    <cellStyle name="Normal 3 2 12 2 9 4 5" xfId="23294"/>
    <cellStyle name="Normal 3 2 12 2 9 4 6" xfId="23295"/>
    <cellStyle name="Normal 3 2 12 2 9 5" xfId="23296"/>
    <cellStyle name="Normal 3 2 12 2 9 5 2" xfId="23297"/>
    <cellStyle name="Normal 3 2 12 2 9 5 3" xfId="23298"/>
    <cellStyle name="Normal 3 2 12 2 9 5 4" xfId="23299"/>
    <cellStyle name="Normal 3 2 12 2 9 5 5" xfId="23300"/>
    <cellStyle name="Normal 3 2 12 2 9 5 6" xfId="23301"/>
    <cellStyle name="Normal 3 2 12 2 9 6" xfId="23302"/>
    <cellStyle name="Normal 3 2 12 2 9 6 2" xfId="23303"/>
    <cellStyle name="Normal 3 2 12 2 9 6 3" xfId="23304"/>
    <cellStyle name="Normal 3 2 12 2 9 6 4" xfId="23305"/>
    <cellStyle name="Normal 3 2 12 2 9 6 5" xfId="23306"/>
    <cellStyle name="Normal 3 2 12 2 9 6 6" xfId="23307"/>
    <cellStyle name="Normal 3 2 12 2 9 7" xfId="23308"/>
    <cellStyle name="Normal 3 2 12 2 9 8" xfId="23309"/>
    <cellStyle name="Normal 3 2 12 2 9 9" xfId="23310"/>
    <cellStyle name="Normal 3 2 12 3" xfId="23311"/>
    <cellStyle name="Normal 3 2 12 4" xfId="23312"/>
    <cellStyle name="Normal 3 2 12 5" xfId="23313"/>
    <cellStyle name="Normal 3 2 12 6" xfId="23314"/>
    <cellStyle name="Normal 3 2 12 7" xfId="23315"/>
    <cellStyle name="Normal 3 2 12 8" xfId="23316"/>
    <cellStyle name="Normal 3 2 12 9" xfId="23317"/>
    <cellStyle name="Normal 3 2 120" xfId="23318"/>
    <cellStyle name="Normal 3 2 121" xfId="23319"/>
    <cellStyle name="Normal 3 2 122" xfId="23320"/>
    <cellStyle name="Normal 3 2 123" xfId="23321"/>
    <cellStyle name="Normal 3 2 13" xfId="23322"/>
    <cellStyle name="Normal 3 2 13 10" xfId="23323"/>
    <cellStyle name="Normal 3 2 13 11" xfId="23324"/>
    <cellStyle name="Normal 3 2 13 2" xfId="23325"/>
    <cellStyle name="Normal 3 2 13 2 2" xfId="23326"/>
    <cellStyle name="Normal 3 2 13 2 3" xfId="23327"/>
    <cellStyle name="Normal 3 2 13 2 4" xfId="23328"/>
    <cellStyle name="Normal 3 2 13 2 5" xfId="23329"/>
    <cellStyle name="Normal 3 2 13 2 6" xfId="23330"/>
    <cellStyle name="Normal 3 2 13 3" xfId="23331"/>
    <cellStyle name="Normal 3 2 13 3 2" xfId="23332"/>
    <cellStyle name="Normal 3 2 13 3 3" xfId="23333"/>
    <cellStyle name="Normal 3 2 13 3 4" xfId="23334"/>
    <cellStyle name="Normal 3 2 13 3 5" xfId="23335"/>
    <cellStyle name="Normal 3 2 13 3 6" xfId="23336"/>
    <cellStyle name="Normal 3 2 13 4" xfId="23337"/>
    <cellStyle name="Normal 3 2 13 4 2" xfId="23338"/>
    <cellStyle name="Normal 3 2 13 4 3" xfId="23339"/>
    <cellStyle name="Normal 3 2 13 4 4" xfId="23340"/>
    <cellStyle name="Normal 3 2 13 4 5" xfId="23341"/>
    <cellStyle name="Normal 3 2 13 4 6" xfId="23342"/>
    <cellStyle name="Normal 3 2 13 5" xfId="23343"/>
    <cellStyle name="Normal 3 2 13 5 2" xfId="23344"/>
    <cellStyle name="Normal 3 2 13 5 3" xfId="23345"/>
    <cellStyle name="Normal 3 2 13 5 4" xfId="23346"/>
    <cellStyle name="Normal 3 2 13 5 5" xfId="23347"/>
    <cellStyle name="Normal 3 2 13 5 6" xfId="23348"/>
    <cellStyle name="Normal 3 2 13 6" xfId="23349"/>
    <cellStyle name="Normal 3 2 13 6 2" xfId="23350"/>
    <cellStyle name="Normal 3 2 13 6 3" xfId="23351"/>
    <cellStyle name="Normal 3 2 13 6 4" xfId="23352"/>
    <cellStyle name="Normal 3 2 13 6 5" xfId="23353"/>
    <cellStyle name="Normal 3 2 13 6 6" xfId="23354"/>
    <cellStyle name="Normal 3 2 13 7" xfId="23355"/>
    <cellStyle name="Normal 3 2 13 8" xfId="23356"/>
    <cellStyle name="Normal 3 2 13 9" xfId="23357"/>
    <cellStyle name="Normal 3 2 14" xfId="23358"/>
    <cellStyle name="Normal 3 2 14 10" xfId="23359"/>
    <cellStyle name="Normal 3 2 14 11" xfId="23360"/>
    <cellStyle name="Normal 3 2 14 2" xfId="23361"/>
    <cellStyle name="Normal 3 2 14 2 2" xfId="23362"/>
    <cellStyle name="Normal 3 2 14 2 3" xfId="23363"/>
    <cellStyle name="Normal 3 2 14 2 4" xfId="23364"/>
    <cellStyle name="Normal 3 2 14 2 5" xfId="23365"/>
    <cellStyle name="Normal 3 2 14 2 6" xfId="23366"/>
    <cellStyle name="Normal 3 2 14 3" xfId="23367"/>
    <cellStyle name="Normal 3 2 14 3 2" xfId="23368"/>
    <cellStyle name="Normal 3 2 14 3 3" xfId="23369"/>
    <cellStyle name="Normal 3 2 14 3 4" xfId="23370"/>
    <cellStyle name="Normal 3 2 14 3 5" xfId="23371"/>
    <cellStyle name="Normal 3 2 14 3 6" xfId="23372"/>
    <cellStyle name="Normal 3 2 14 4" xfId="23373"/>
    <cellStyle name="Normal 3 2 14 4 2" xfId="23374"/>
    <cellStyle name="Normal 3 2 14 4 3" xfId="23375"/>
    <cellStyle name="Normal 3 2 14 4 4" xfId="23376"/>
    <cellStyle name="Normal 3 2 14 4 5" xfId="23377"/>
    <cellStyle name="Normal 3 2 14 4 6" xfId="23378"/>
    <cellStyle name="Normal 3 2 14 5" xfId="23379"/>
    <cellStyle name="Normal 3 2 14 5 2" xfId="23380"/>
    <cellStyle name="Normal 3 2 14 5 3" xfId="23381"/>
    <cellStyle name="Normal 3 2 14 5 4" xfId="23382"/>
    <cellStyle name="Normal 3 2 14 5 5" xfId="23383"/>
    <cellStyle name="Normal 3 2 14 5 6" xfId="23384"/>
    <cellStyle name="Normal 3 2 14 6" xfId="23385"/>
    <cellStyle name="Normal 3 2 14 6 2" xfId="23386"/>
    <cellStyle name="Normal 3 2 14 6 3" xfId="23387"/>
    <cellStyle name="Normal 3 2 14 6 4" xfId="23388"/>
    <cellStyle name="Normal 3 2 14 6 5" xfId="23389"/>
    <cellStyle name="Normal 3 2 14 6 6" xfId="23390"/>
    <cellStyle name="Normal 3 2 14 7" xfId="23391"/>
    <cellStyle name="Normal 3 2 14 8" xfId="23392"/>
    <cellStyle name="Normal 3 2 14 9" xfId="23393"/>
    <cellStyle name="Normal 3 2 15" xfId="23394"/>
    <cellStyle name="Normal 3 2 15 10" xfId="23395"/>
    <cellStyle name="Normal 3 2 15 11" xfId="23396"/>
    <cellStyle name="Normal 3 2 15 2" xfId="23397"/>
    <cellStyle name="Normal 3 2 15 2 2" xfId="23398"/>
    <cellStyle name="Normal 3 2 15 2 3" xfId="23399"/>
    <cellStyle name="Normal 3 2 15 2 4" xfId="23400"/>
    <cellStyle name="Normal 3 2 15 2 5" xfId="23401"/>
    <cellStyle name="Normal 3 2 15 2 6" xfId="23402"/>
    <cellStyle name="Normal 3 2 15 3" xfId="23403"/>
    <cellStyle name="Normal 3 2 15 3 2" xfId="23404"/>
    <cellStyle name="Normal 3 2 15 3 3" xfId="23405"/>
    <cellStyle name="Normal 3 2 15 3 4" xfId="23406"/>
    <cellStyle name="Normal 3 2 15 3 5" xfId="23407"/>
    <cellStyle name="Normal 3 2 15 3 6" xfId="23408"/>
    <cellStyle name="Normal 3 2 15 4" xfId="23409"/>
    <cellStyle name="Normal 3 2 15 4 2" xfId="23410"/>
    <cellStyle name="Normal 3 2 15 4 3" xfId="23411"/>
    <cellStyle name="Normal 3 2 15 4 4" xfId="23412"/>
    <cellStyle name="Normal 3 2 15 4 5" xfId="23413"/>
    <cellStyle name="Normal 3 2 15 4 6" xfId="23414"/>
    <cellStyle name="Normal 3 2 15 5" xfId="23415"/>
    <cellStyle name="Normal 3 2 15 5 2" xfId="23416"/>
    <cellStyle name="Normal 3 2 15 5 3" xfId="23417"/>
    <cellStyle name="Normal 3 2 15 5 4" xfId="23418"/>
    <cellStyle name="Normal 3 2 15 5 5" xfId="23419"/>
    <cellStyle name="Normal 3 2 15 5 6" xfId="23420"/>
    <cellStyle name="Normal 3 2 15 6" xfId="23421"/>
    <cellStyle name="Normal 3 2 15 6 2" xfId="23422"/>
    <cellStyle name="Normal 3 2 15 6 3" xfId="23423"/>
    <cellStyle name="Normal 3 2 15 6 4" xfId="23424"/>
    <cellStyle name="Normal 3 2 15 6 5" xfId="23425"/>
    <cellStyle name="Normal 3 2 15 6 6" xfId="23426"/>
    <cellStyle name="Normal 3 2 15 7" xfId="23427"/>
    <cellStyle name="Normal 3 2 15 8" xfId="23428"/>
    <cellStyle name="Normal 3 2 15 9" xfId="23429"/>
    <cellStyle name="Normal 3 2 16" xfId="23430"/>
    <cellStyle name="Normal 3 2 16 10" xfId="23431"/>
    <cellStyle name="Normal 3 2 16 11" xfId="23432"/>
    <cellStyle name="Normal 3 2 16 2" xfId="23433"/>
    <cellStyle name="Normal 3 2 16 2 2" xfId="23434"/>
    <cellStyle name="Normal 3 2 16 2 3" xfId="23435"/>
    <cellStyle name="Normal 3 2 16 2 4" xfId="23436"/>
    <cellStyle name="Normal 3 2 16 2 5" xfId="23437"/>
    <cellStyle name="Normal 3 2 16 2 6" xfId="23438"/>
    <cellStyle name="Normal 3 2 16 3" xfId="23439"/>
    <cellStyle name="Normal 3 2 16 3 2" xfId="23440"/>
    <cellStyle name="Normal 3 2 16 3 3" xfId="23441"/>
    <cellStyle name="Normal 3 2 16 3 4" xfId="23442"/>
    <cellStyle name="Normal 3 2 16 3 5" xfId="23443"/>
    <cellStyle name="Normal 3 2 16 3 6" xfId="23444"/>
    <cellStyle name="Normal 3 2 16 4" xfId="23445"/>
    <cellStyle name="Normal 3 2 16 4 2" xfId="23446"/>
    <cellStyle name="Normal 3 2 16 4 3" xfId="23447"/>
    <cellStyle name="Normal 3 2 16 4 4" xfId="23448"/>
    <cellStyle name="Normal 3 2 16 4 5" xfId="23449"/>
    <cellStyle name="Normal 3 2 16 4 6" xfId="23450"/>
    <cellStyle name="Normal 3 2 16 5" xfId="23451"/>
    <cellStyle name="Normal 3 2 16 5 2" xfId="23452"/>
    <cellStyle name="Normal 3 2 16 5 3" xfId="23453"/>
    <cellStyle name="Normal 3 2 16 5 4" xfId="23454"/>
    <cellStyle name="Normal 3 2 16 5 5" xfId="23455"/>
    <cellStyle name="Normal 3 2 16 5 6" xfId="23456"/>
    <cellStyle name="Normal 3 2 16 6" xfId="23457"/>
    <cellStyle name="Normal 3 2 16 6 2" xfId="23458"/>
    <cellStyle name="Normal 3 2 16 6 3" xfId="23459"/>
    <cellStyle name="Normal 3 2 16 6 4" xfId="23460"/>
    <cellStyle name="Normal 3 2 16 6 5" xfId="23461"/>
    <cellStyle name="Normal 3 2 16 6 6" xfId="23462"/>
    <cellStyle name="Normal 3 2 16 7" xfId="23463"/>
    <cellStyle name="Normal 3 2 16 8" xfId="23464"/>
    <cellStyle name="Normal 3 2 16 9" xfId="23465"/>
    <cellStyle name="Normal 3 2 17" xfId="23466"/>
    <cellStyle name="Normal 3 2 17 10" xfId="23467"/>
    <cellStyle name="Normal 3 2 17 11" xfId="23468"/>
    <cellStyle name="Normal 3 2 17 2" xfId="23469"/>
    <cellStyle name="Normal 3 2 17 2 2" xfId="23470"/>
    <cellStyle name="Normal 3 2 17 2 3" xfId="23471"/>
    <cellStyle name="Normal 3 2 17 2 4" xfId="23472"/>
    <cellStyle name="Normal 3 2 17 2 5" xfId="23473"/>
    <cellStyle name="Normal 3 2 17 2 6" xfId="23474"/>
    <cellStyle name="Normal 3 2 17 3" xfId="23475"/>
    <cellStyle name="Normal 3 2 17 3 2" xfId="23476"/>
    <cellStyle name="Normal 3 2 17 3 3" xfId="23477"/>
    <cellStyle name="Normal 3 2 17 3 4" xfId="23478"/>
    <cellStyle name="Normal 3 2 17 3 5" xfId="23479"/>
    <cellStyle name="Normal 3 2 17 3 6" xfId="23480"/>
    <cellStyle name="Normal 3 2 17 4" xfId="23481"/>
    <cellStyle name="Normal 3 2 17 4 2" xfId="23482"/>
    <cellStyle name="Normal 3 2 17 4 3" xfId="23483"/>
    <cellStyle name="Normal 3 2 17 4 4" xfId="23484"/>
    <cellStyle name="Normal 3 2 17 4 5" xfId="23485"/>
    <cellStyle name="Normal 3 2 17 4 6" xfId="23486"/>
    <cellStyle name="Normal 3 2 17 5" xfId="23487"/>
    <cellStyle name="Normal 3 2 17 5 2" xfId="23488"/>
    <cellStyle name="Normal 3 2 17 5 3" xfId="23489"/>
    <cellStyle name="Normal 3 2 17 5 4" xfId="23490"/>
    <cellStyle name="Normal 3 2 17 5 5" xfId="23491"/>
    <cellStyle name="Normal 3 2 17 5 6" xfId="23492"/>
    <cellStyle name="Normal 3 2 17 6" xfId="23493"/>
    <cellStyle name="Normal 3 2 17 6 2" xfId="23494"/>
    <cellStyle name="Normal 3 2 17 6 3" xfId="23495"/>
    <cellStyle name="Normal 3 2 17 6 4" xfId="23496"/>
    <cellStyle name="Normal 3 2 17 6 5" xfId="23497"/>
    <cellStyle name="Normal 3 2 17 6 6" xfId="23498"/>
    <cellStyle name="Normal 3 2 17 7" xfId="23499"/>
    <cellStyle name="Normal 3 2 17 8" xfId="23500"/>
    <cellStyle name="Normal 3 2 17 9" xfId="23501"/>
    <cellStyle name="Normal 3 2 18" xfId="23502"/>
    <cellStyle name="Normal 3 2 18 10" xfId="23503"/>
    <cellStyle name="Normal 3 2 18 11" xfId="23504"/>
    <cellStyle name="Normal 3 2 18 2" xfId="23505"/>
    <cellStyle name="Normal 3 2 18 2 2" xfId="23506"/>
    <cellStyle name="Normal 3 2 18 2 3" xfId="23507"/>
    <cellStyle name="Normal 3 2 18 2 4" xfId="23508"/>
    <cellStyle name="Normal 3 2 18 2 5" xfId="23509"/>
    <cellStyle name="Normal 3 2 18 2 6" xfId="23510"/>
    <cellStyle name="Normal 3 2 18 3" xfId="23511"/>
    <cellStyle name="Normal 3 2 18 3 2" xfId="23512"/>
    <cellStyle name="Normal 3 2 18 3 3" xfId="23513"/>
    <cellStyle name="Normal 3 2 18 3 4" xfId="23514"/>
    <cellStyle name="Normal 3 2 18 3 5" xfId="23515"/>
    <cellStyle name="Normal 3 2 18 3 6" xfId="23516"/>
    <cellStyle name="Normal 3 2 18 4" xfId="23517"/>
    <cellStyle name="Normal 3 2 18 4 2" xfId="23518"/>
    <cellStyle name="Normal 3 2 18 4 3" xfId="23519"/>
    <cellStyle name="Normal 3 2 18 4 4" xfId="23520"/>
    <cellStyle name="Normal 3 2 18 4 5" xfId="23521"/>
    <cellStyle name="Normal 3 2 18 4 6" xfId="23522"/>
    <cellStyle name="Normal 3 2 18 5" xfId="23523"/>
    <cellStyle name="Normal 3 2 18 5 2" xfId="23524"/>
    <cellStyle name="Normal 3 2 18 5 3" xfId="23525"/>
    <cellStyle name="Normal 3 2 18 5 4" xfId="23526"/>
    <cellStyle name="Normal 3 2 18 5 5" xfId="23527"/>
    <cellStyle name="Normal 3 2 18 5 6" xfId="23528"/>
    <cellStyle name="Normal 3 2 18 6" xfId="23529"/>
    <cellStyle name="Normal 3 2 18 6 2" xfId="23530"/>
    <cellStyle name="Normal 3 2 18 6 3" xfId="23531"/>
    <cellStyle name="Normal 3 2 18 6 4" xfId="23532"/>
    <cellStyle name="Normal 3 2 18 6 5" xfId="23533"/>
    <cellStyle name="Normal 3 2 18 6 6" xfId="23534"/>
    <cellStyle name="Normal 3 2 18 7" xfId="23535"/>
    <cellStyle name="Normal 3 2 18 8" xfId="23536"/>
    <cellStyle name="Normal 3 2 18 9" xfId="23537"/>
    <cellStyle name="Normal 3 2 19" xfId="23538"/>
    <cellStyle name="Normal 3 2 19 10" xfId="23539"/>
    <cellStyle name="Normal 3 2 19 11" xfId="23540"/>
    <cellStyle name="Normal 3 2 19 2" xfId="23541"/>
    <cellStyle name="Normal 3 2 19 2 2" xfId="23542"/>
    <cellStyle name="Normal 3 2 19 2 3" xfId="23543"/>
    <cellStyle name="Normal 3 2 19 2 4" xfId="23544"/>
    <cellStyle name="Normal 3 2 19 2 5" xfId="23545"/>
    <cellStyle name="Normal 3 2 19 2 6" xfId="23546"/>
    <cellStyle name="Normal 3 2 19 3" xfId="23547"/>
    <cellStyle name="Normal 3 2 19 3 2" xfId="23548"/>
    <cellStyle name="Normal 3 2 19 3 3" xfId="23549"/>
    <cellStyle name="Normal 3 2 19 3 4" xfId="23550"/>
    <cellStyle name="Normal 3 2 19 3 5" xfId="23551"/>
    <cellStyle name="Normal 3 2 19 3 6" xfId="23552"/>
    <cellStyle name="Normal 3 2 19 4" xfId="23553"/>
    <cellStyle name="Normal 3 2 19 4 2" xfId="23554"/>
    <cellStyle name="Normal 3 2 19 4 3" xfId="23555"/>
    <cellStyle name="Normal 3 2 19 4 4" xfId="23556"/>
    <cellStyle name="Normal 3 2 19 4 5" xfId="23557"/>
    <cellStyle name="Normal 3 2 19 4 6" xfId="23558"/>
    <cellStyle name="Normal 3 2 19 5" xfId="23559"/>
    <cellStyle name="Normal 3 2 19 5 2" xfId="23560"/>
    <cellStyle name="Normal 3 2 19 5 3" xfId="23561"/>
    <cellStyle name="Normal 3 2 19 5 4" xfId="23562"/>
    <cellStyle name="Normal 3 2 19 5 5" xfId="23563"/>
    <cellStyle name="Normal 3 2 19 5 6" xfId="23564"/>
    <cellStyle name="Normal 3 2 19 6" xfId="23565"/>
    <cellStyle name="Normal 3 2 19 6 2" xfId="23566"/>
    <cellStyle name="Normal 3 2 19 6 3" xfId="23567"/>
    <cellStyle name="Normal 3 2 19 6 4" xfId="23568"/>
    <cellStyle name="Normal 3 2 19 6 5" xfId="23569"/>
    <cellStyle name="Normal 3 2 19 6 6" xfId="23570"/>
    <cellStyle name="Normal 3 2 19 7" xfId="23571"/>
    <cellStyle name="Normal 3 2 19 8" xfId="23572"/>
    <cellStyle name="Normal 3 2 19 9" xfId="23573"/>
    <cellStyle name="Normal 3 2 2" xfId="23574"/>
    <cellStyle name="Normal 3 2 2 10" xfId="23575"/>
    <cellStyle name="Normal 3 2 2 11" xfId="23576"/>
    <cellStyle name="Normal 3 2 2 12" xfId="23577"/>
    <cellStyle name="Normal 3 2 2 13" xfId="23578"/>
    <cellStyle name="Normal 3 2 2 14" xfId="23579"/>
    <cellStyle name="Normal 3 2 2 15" xfId="23580"/>
    <cellStyle name="Normal 3 2 2 16" xfId="23581"/>
    <cellStyle name="Normal 3 2 2 17" xfId="23582"/>
    <cellStyle name="Normal 3 2 2 18" xfId="23583"/>
    <cellStyle name="Normal 3 2 2 18 2" xfId="23584"/>
    <cellStyle name="Normal 3 2 2 18 2 2" xfId="23585"/>
    <cellStyle name="Normal 3 2 2 18 2 2 2" xfId="23586"/>
    <cellStyle name="Normal 3 2 2 18 2 2 2 2" xfId="23587"/>
    <cellStyle name="Normal 3 2 2 18 2 2 2 3" xfId="23588"/>
    <cellStyle name="Normal 3 2 2 18 2 2 2 4" xfId="23589"/>
    <cellStyle name="Normal 3 2 2 18 2 2 2 5" xfId="23590"/>
    <cellStyle name="Normal 3 2 2 18 2 2 2 6" xfId="23591"/>
    <cellStyle name="Normal 3 2 2 18 2 3" xfId="23592"/>
    <cellStyle name="Normal 3 2 2 18 2 4" xfId="23593"/>
    <cellStyle name="Normal 3 2 2 18 2 5" xfId="23594"/>
    <cellStyle name="Normal 3 2 2 18 2 6" xfId="23595"/>
    <cellStyle name="Normal 3 2 2 18 2 7" xfId="23596"/>
    <cellStyle name="Normal 3 2 2 18 3" xfId="23597"/>
    <cellStyle name="Normal 3 2 2 18 3 2" xfId="23598"/>
    <cellStyle name="Normal 3 2 2 18 3 3" xfId="23599"/>
    <cellStyle name="Normal 3 2 2 18 3 4" xfId="23600"/>
    <cellStyle name="Normal 3 2 2 18 3 5" xfId="23601"/>
    <cellStyle name="Normal 3 2 2 18 3 6" xfId="23602"/>
    <cellStyle name="Normal 3 2 2 18 4" xfId="23603"/>
    <cellStyle name="Normal 3 2 2 18 4 2" xfId="23604"/>
    <cellStyle name="Normal 3 2 2 18 4 3" xfId="23605"/>
    <cellStyle name="Normal 3 2 2 18 4 4" xfId="23606"/>
    <cellStyle name="Normal 3 2 2 18 4 5" xfId="23607"/>
    <cellStyle name="Normal 3 2 2 18 4 6" xfId="23608"/>
    <cellStyle name="Normal 3 2 2 18 5" xfId="23609"/>
    <cellStyle name="Normal 3 2 2 18 5 2" xfId="23610"/>
    <cellStyle name="Normal 3 2 2 18 5 3" xfId="23611"/>
    <cellStyle name="Normal 3 2 2 18 5 4" xfId="23612"/>
    <cellStyle name="Normal 3 2 2 18 5 5" xfId="23613"/>
    <cellStyle name="Normal 3 2 2 18 5 6" xfId="23614"/>
    <cellStyle name="Normal 3 2 2 18 6" xfId="23615"/>
    <cellStyle name="Normal 3 2 2 18 6 2" xfId="23616"/>
    <cellStyle name="Normal 3 2 2 18 6 3" xfId="23617"/>
    <cellStyle name="Normal 3 2 2 18 6 4" xfId="23618"/>
    <cellStyle name="Normal 3 2 2 18 6 5" xfId="23619"/>
    <cellStyle name="Normal 3 2 2 18 6 6" xfId="23620"/>
    <cellStyle name="Normal 3 2 2 19" xfId="23621"/>
    <cellStyle name="Normal 3 2 2 19 2" xfId="23622"/>
    <cellStyle name="Normal 3 2 2 19 2 2" xfId="23623"/>
    <cellStyle name="Normal 3 2 2 19 2 3" xfId="23624"/>
    <cellStyle name="Normal 3 2 2 19 2 4" xfId="23625"/>
    <cellStyle name="Normal 3 2 2 19 2 5" xfId="23626"/>
    <cellStyle name="Normal 3 2 2 19 2 6" xfId="23627"/>
    <cellStyle name="Normal 3 2 2 19 2 7" xfId="23628"/>
    <cellStyle name="Normal 3 2 2 2" xfId="23629"/>
    <cellStyle name="Normal 3 2 2 2 10" xfId="23630"/>
    <cellStyle name="Normal 3 2 2 2 10 10" xfId="23631"/>
    <cellStyle name="Normal 3 2 2 2 10 11" xfId="23632"/>
    <cellStyle name="Normal 3 2 2 2 10 2" xfId="23633"/>
    <cellStyle name="Normal 3 2 2 2 10 2 2" xfId="23634"/>
    <cellStyle name="Normal 3 2 2 2 10 2 3" xfId="23635"/>
    <cellStyle name="Normal 3 2 2 2 10 2 4" xfId="23636"/>
    <cellStyle name="Normal 3 2 2 2 10 2 5" xfId="23637"/>
    <cellStyle name="Normal 3 2 2 2 10 2 6" xfId="23638"/>
    <cellStyle name="Normal 3 2 2 2 10 3" xfId="23639"/>
    <cellStyle name="Normal 3 2 2 2 10 3 2" xfId="23640"/>
    <cellStyle name="Normal 3 2 2 2 10 3 3" xfId="23641"/>
    <cellStyle name="Normal 3 2 2 2 10 3 4" xfId="23642"/>
    <cellStyle name="Normal 3 2 2 2 10 3 5" xfId="23643"/>
    <cellStyle name="Normal 3 2 2 2 10 3 6" xfId="23644"/>
    <cellStyle name="Normal 3 2 2 2 10 4" xfId="23645"/>
    <cellStyle name="Normal 3 2 2 2 10 4 2" xfId="23646"/>
    <cellStyle name="Normal 3 2 2 2 10 4 3" xfId="23647"/>
    <cellStyle name="Normal 3 2 2 2 10 4 4" xfId="23648"/>
    <cellStyle name="Normal 3 2 2 2 10 4 5" xfId="23649"/>
    <cellStyle name="Normal 3 2 2 2 10 4 6" xfId="23650"/>
    <cellStyle name="Normal 3 2 2 2 10 5" xfId="23651"/>
    <cellStyle name="Normal 3 2 2 2 10 5 2" xfId="23652"/>
    <cellStyle name="Normal 3 2 2 2 10 5 3" xfId="23653"/>
    <cellStyle name="Normal 3 2 2 2 10 5 4" xfId="23654"/>
    <cellStyle name="Normal 3 2 2 2 10 5 5" xfId="23655"/>
    <cellStyle name="Normal 3 2 2 2 10 5 6" xfId="23656"/>
    <cellStyle name="Normal 3 2 2 2 10 6" xfId="23657"/>
    <cellStyle name="Normal 3 2 2 2 10 6 2" xfId="23658"/>
    <cellStyle name="Normal 3 2 2 2 10 6 3" xfId="23659"/>
    <cellStyle name="Normal 3 2 2 2 10 6 4" xfId="23660"/>
    <cellStyle name="Normal 3 2 2 2 10 6 5" xfId="23661"/>
    <cellStyle name="Normal 3 2 2 2 10 6 6" xfId="23662"/>
    <cellStyle name="Normal 3 2 2 2 10 7" xfId="23663"/>
    <cellStyle name="Normal 3 2 2 2 10 8" xfId="23664"/>
    <cellStyle name="Normal 3 2 2 2 10 9" xfId="23665"/>
    <cellStyle name="Normal 3 2 2 2 11" xfId="23666"/>
    <cellStyle name="Normal 3 2 2 2 11 10" xfId="23667"/>
    <cellStyle name="Normal 3 2 2 2 11 11" xfId="23668"/>
    <cellStyle name="Normal 3 2 2 2 11 2" xfId="23669"/>
    <cellStyle name="Normal 3 2 2 2 11 2 2" xfId="23670"/>
    <cellStyle name="Normal 3 2 2 2 11 2 3" xfId="23671"/>
    <cellStyle name="Normal 3 2 2 2 11 2 4" xfId="23672"/>
    <cellStyle name="Normal 3 2 2 2 11 2 5" xfId="23673"/>
    <cellStyle name="Normal 3 2 2 2 11 2 6" xfId="23674"/>
    <cellStyle name="Normal 3 2 2 2 11 3" xfId="23675"/>
    <cellStyle name="Normal 3 2 2 2 11 3 2" xfId="23676"/>
    <cellStyle name="Normal 3 2 2 2 11 3 3" xfId="23677"/>
    <cellStyle name="Normal 3 2 2 2 11 3 4" xfId="23678"/>
    <cellStyle name="Normal 3 2 2 2 11 3 5" xfId="23679"/>
    <cellStyle name="Normal 3 2 2 2 11 3 6" xfId="23680"/>
    <cellStyle name="Normal 3 2 2 2 11 4" xfId="23681"/>
    <cellStyle name="Normal 3 2 2 2 11 4 2" xfId="23682"/>
    <cellStyle name="Normal 3 2 2 2 11 4 3" xfId="23683"/>
    <cellStyle name="Normal 3 2 2 2 11 4 4" xfId="23684"/>
    <cellStyle name="Normal 3 2 2 2 11 4 5" xfId="23685"/>
    <cellStyle name="Normal 3 2 2 2 11 4 6" xfId="23686"/>
    <cellStyle name="Normal 3 2 2 2 11 5" xfId="23687"/>
    <cellStyle name="Normal 3 2 2 2 11 5 2" xfId="23688"/>
    <cellStyle name="Normal 3 2 2 2 11 5 3" xfId="23689"/>
    <cellStyle name="Normal 3 2 2 2 11 5 4" xfId="23690"/>
    <cellStyle name="Normal 3 2 2 2 11 5 5" xfId="23691"/>
    <cellStyle name="Normal 3 2 2 2 11 5 6" xfId="23692"/>
    <cellStyle name="Normal 3 2 2 2 11 6" xfId="23693"/>
    <cellStyle name="Normal 3 2 2 2 11 6 2" xfId="23694"/>
    <cellStyle name="Normal 3 2 2 2 11 6 3" xfId="23695"/>
    <cellStyle name="Normal 3 2 2 2 11 6 4" xfId="23696"/>
    <cellStyle name="Normal 3 2 2 2 11 6 5" xfId="23697"/>
    <cellStyle name="Normal 3 2 2 2 11 6 6" xfId="23698"/>
    <cellStyle name="Normal 3 2 2 2 11 7" xfId="23699"/>
    <cellStyle name="Normal 3 2 2 2 11 8" xfId="23700"/>
    <cellStyle name="Normal 3 2 2 2 11 9" xfId="23701"/>
    <cellStyle name="Normal 3 2 2 2 12" xfId="23702"/>
    <cellStyle name="Normal 3 2 2 2 12 10" xfId="23703"/>
    <cellStyle name="Normal 3 2 2 2 12 11" xfId="23704"/>
    <cellStyle name="Normal 3 2 2 2 12 2" xfId="23705"/>
    <cellStyle name="Normal 3 2 2 2 12 2 2" xfId="23706"/>
    <cellStyle name="Normal 3 2 2 2 12 2 3" xfId="23707"/>
    <cellStyle name="Normal 3 2 2 2 12 2 4" xfId="23708"/>
    <cellStyle name="Normal 3 2 2 2 12 2 5" xfId="23709"/>
    <cellStyle name="Normal 3 2 2 2 12 2 6" xfId="23710"/>
    <cellStyle name="Normal 3 2 2 2 12 3" xfId="23711"/>
    <cellStyle name="Normal 3 2 2 2 12 3 2" xfId="23712"/>
    <cellStyle name="Normal 3 2 2 2 12 3 3" xfId="23713"/>
    <cellStyle name="Normal 3 2 2 2 12 3 4" xfId="23714"/>
    <cellStyle name="Normal 3 2 2 2 12 3 5" xfId="23715"/>
    <cellStyle name="Normal 3 2 2 2 12 3 6" xfId="23716"/>
    <cellStyle name="Normal 3 2 2 2 12 4" xfId="23717"/>
    <cellStyle name="Normal 3 2 2 2 12 4 2" xfId="23718"/>
    <cellStyle name="Normal 3 2 2 2 12 4 3" xfId="23719"/>
    <cellStyle name="Normal 3 2 2 2 12 4 4" xfId="23720"/>
    <cellStyle name="Normal 3 2 2 2 12 4 5" xfId="23721"/>
    <cellStyle name="Normal 3 2 2 2 12 4 6" xfId="23722"/>
    <cellStyle name="Normal 3 2 2 2 12 5" xfId="23723"/>
    <cellStyle name="Normal 3 2 2 2 12 5 2" xfId="23724"/>
    <cellStyle name="Normal 3 2 2 2 12 5 3" xfId="23725"/>
    <cellStyle name="Normal 3 2 2 2 12 5 4" xfId="23726"/>
    <cellStyle name="Normal 3 2 2 2 12 5 5" xfId="23727"/>
    <cellStyle name="Normal 3 2 2 2 12 5 6" xfId="23728"/>
    <cellStyle name="Normal 3 2 2 2 12 6" xfId="23729"/>
    <cellStyle name="Normal 3 2 2 2 12 6 2" xfId="23730"/>
    <cellStyle name="Normal 3 2 2 2 12 6 3" xfId="23731"/>
    <cellStyle name="Normal 3 2 2 2 12 6 4" xfId="23732"/>
    <cellStyle name="Normal 3 2 2 2 12 6 5" xfId="23733"/>
    <cellStyle name="Normal 3 2 2 2 12 6 6" xfId="23734"/>
    <cellStyle name="Normal 3 2 2 2 12 7" xfId="23735"/>
    <cellStyle name="Normal 3 2 2 2 12 8" xfId="23736"/>
    <cellStyle name="Normal 3 2 2 2 12 9" xfId="23737"/>
    <cellStyle name="Normal 3 2 2 2 13" xfId="23738"/>
    <cellStyle name="Normal 3 2 2 2 13 10" xfId="23739"/>
    <cellStyle name="Normal 3 2 2 2 13 11" xfId="23740"/>
    <cellStyle name="Normal 3 2 2 2 13 2" xfId="23741"/>
    <cellStyle name="Normal 3 2 2 2 13 2 2" xfId="23742"/>
    <cellStyle name="Normal 3 2 2 2 13 2 3" xfId="23743"/>
    <cellStyle name="Normal 3 2 2 2 13 2 4" xfId="23744"/>
    <cellStyle name="Normal 3 2 2 2 13 2 5" xfId="23745"/>
    <cellStyle name="Normal 3 2 2 2 13 2 6" xfId="23746"/>
    <cellStyle name="Normal 3 2 2 2 13 3" xfId="23747"/>
    <cellStyle name="Normal 3 2 2 2 13 3 2" xfId="23748"/>
    <cellStyle name="Normal 3 2 2 2 13 3 3" xfId="23749"/>
    <cellStyle name="Normal 3 2 2 2 13 3 4" xfId="23750"/>
    <cellStyle name="Normal 3 2 2 2 13 3 5" xfId="23751"/>
    <cellStyle name="Normal 3 2 2 2 13 3 6" xfId="23752"/>
    <cellStyle name="Normal 3 2 2 2 13 4" xfId="23753"/>
    <cellStyle name="Normal 3 2 2 2 13 4 2" xfId="23754"/>
    <cellStyle name="Normal 3 2 2 2 13 4 3" xfId="23755"/>
    <cellStyle name="Normal 3 2 2 2 13 4 4" xfId="23756"/>
    <cellStyle name="Normal 3 2 2 2 13 4 5" xfId="23757"/>
    <cellStyle name="Normal 3 2 2 2 13 4 6" xfId="23758"/>
    <cellStyle name="Normal 3 2 2 2 13 5" xfId="23759"/>
    <cellStyle name="Normal 3 2 2 2 13 5 2" xfId="23760"/>
    <cellStyle name="Normal 3 2 2 2 13 5 3" xfId="23761"/>
    <cellStyle name="Normal 3 2 2 2 13 5 4" xfId="23762"/>
    <cellStyle name="Normal 3 2 2 2 13 5 5" xfId="23763"/>
    <cellStyle name="Normal 3 2 2 2 13 5 6" xfId="23764"/>
    <cellStyle name="Normal 3 2 2 2 13 6" xfId="23765"/>
    <cellStyle name="Normal 3 2 2 2 13 6 2" xfId="23766"/>
    <cellStyle name="Normal 3 2 2 2 13 6 3" xfId="23767"/>
    <cellStyle name="Normal 3 2 2 2 13 6 4" xfId="23768"/>
    <cellStyle name="Normal 3 2 2 2 13 6 5" xfId="23769"/>
    <cellStyle name="Normal 3 2 2 2 13 6 6" xfId="23770"/>
    <cellStyle name="Normal 3 2 2 2 13 7" xfId="23771"/>
    <cellStyle name="Normal 3 2 2 2 13 8" xfId="23772"/>
    <cellStyle name="Normal 3 2 2 2 13 9" xfId="23773"/>
    <cellStyle name="Normal 3 2 2 2 14" xfId="23774"/>
    <cellStyle name="Normal 3 2 2 2 14 10" xfId="23775"/>
    <cellStyle name="Normal 3 2 2 2 14 11" xfId="23776"/>
    <cellStyle name="Normal 3 2 2 2 14 2" xfId="23777"/>
    <cellStyle name="Normal 3 2 2 2 14 2 2" xfId="23778"/>
    <cellStyle name="Normal 3 2 2 2 14 2 3" xfId="23779"/>
    <cellStyle name="Normal 3 2 2 2 14 2 4" xfId="23780"/>
    <cellStyle name="Normal 3 2 2 2 14 2 5" xfId="23781"/>
    <cellStyle name="Normal 3 2 2 2 14 2 6" xfId="23782"/>
    <cellStyle name="Normal 3 2 2 2 14 3" xfId="23783"/>
    <cellStyle name="Normal 3 2 2 2 14 3 2" xfId="23784"/>
    <cellStyle name="Normal 3 2 2 2 14 3 3" xfId="23785"/>
    <cellStyle name="Normal 3 2 2 2 14 3 4" xfId="23786"/>
    <cellStyle name="Normal 3 2 2 2 14 3 5" xfId="23787"/>
    <cellStyle name="Normal 3 2 2 2 14 3 6" xfId="23788"/>
    <cellStyle name="Normal 3 2 2 2 14 4" xfId="23789"/>
    <cellStyle name="Normal 3 2 2 2 14 4 2" xfId="23790"/>
    <cellStyle name="Normal 3 2 2 2 14 4 3" xfId="23791"/>
    <cellStyle name="Normal 3 2 2 2 14 4 4" xfId="23792"/>
    <cellStyle name="Normal 3 2 2 2 14 4 5" xfId="23793"/>
    <cellStyle name="Normal 3 2 2 2 14 4 6" xfId="23794"/>
    <cellStyle name="Normal 3 2 2 2 14 5" xfId="23795"/>
    <cellStyle name="Normal 3 2 2 2 14 5 2" xfId="23796"/>
    <cellStyle name="Normal 3 2 2 2 14 5 3" xfId="23797"/>
    <cellStyle name="Normal 3 2 2 2 14 5 4" xfId="23798"/>
    <cellStyle name="Normal 3 2 2 2 14 5 5" xfId="23799"/>
    <cellStyle name="Normal 3 2 2 2 14 5 6" xfId="23800"/>
    <cellStyle name="Normal 3 2 2 2 14 6" xfId="23801"/>
    <cellStyle name="Normal 3 2 2 2 14 6 2" xfId="23802"/>
    <cellStyle name="Normal 3 2 2 2 14 6 3" xfId="23803"/>
    <cellStyle name="Normal 3 2 2 2 14 6 4" xfId="23804"/>
    <cellStyle name="Normal 3 2 2 2 14 6 5" xfId="23805"/>
    <cellStyle name="Normal 3 2 2 2 14 6 6" xfId="23806"/>
    <cellStyle name="Normal 3 2 2 2 14 7" xfId="23807"/>
    <cellStyle name="Normal 3 2 2 2 14 8" xfId="23808"/>
    <cellStyle name="Normal 3 2 2 2 14 9" xfId="23809"/>
    <cellStyle name="Normal 3 2 2 2 15" xfId="23810"/>
    <cellStyle name="Normal 3 2 2 2 15 10" xfId="23811"/>
    <cellStyle name="Normal 3 2 2 2 15 11" xfId="23812"/>
    <cellStyle name="Normal 3 2 2 2 15 2" xfId="23813"/>
    <cellStyle name="Normal 3 2 2 2 15 2 2" xfId="23814"/>
    <cellStyle name="Normal 3 2 2 2 15 2 3" xfId="23815"/>
    <cellStyle name="Normal 3 2 2 2 15 2 4" xfId="23816"/>
    <cellStyle name="Normal 3 2 2 2 15 2 5" xfId="23817"/>
    <cellStyle name="Normal 3 2 2 2 15 2 6" xfId="23818"/>
    <cellStyle name="Normal 3 2 2 2 15 3" xfId="23819"/>
    <cellStyle name="Normal 3 2 2 2 15 3 2" xfId="23820"/>
    <cellStyle name="Normal 3 2 2 2 15 3 3" xfId="23821"/>
    <cellStyle name="Normal 3 2 2 2 15 3 4" xfId="23822"/>
    <cellStyle name="Normal 3 2 2 2 15 3 5" xfId="23823"/>
    <cellStyle name="Normal 3 2 2 2 15 3 6" xfId="23824"/>
    <cellStyle name="Normal 3 2 2 2 15 4" xfId="23825"/>
    <cellStyle name="Normal 3 2 2 2 15 4 2" xfId="23826"/>
    <cellStyle name="Normal 3 2 2 2 15 4 3" xfId="23827"/>
    <cellStyle name="Normal 3 2 2 2 15 4 4" xfId="23828"/>
    <cellStyle name="Normal 3 2 2 2 15 4 5" xfId="23829"/>
    <cellStyle name="Normal 3 2 2 2 15 4 6" xfId="23830"/>
    <cellStyle name="Normal 3 2 2 2 15 5" xfId="23831"/>
    <cellStyle name="Normal 3 2 2 2 15 5 2" xfId="23832"/>
    <cellStyle name="Normal 3 2 2 2 15 5 3" xfId="23833"/>
    <cellStyle name="Normal 3 2 2 2 15 5 4" xfId="23834"/>
    <cellStyle name="Normal 3 2 2 2 15 5 5" xfId="23835"/>
    <cellStyle name="Normal 3 2 2 2 15 5 6" xfId="23836"/>
    <cellStyle name="Normal 3 2 2 2 15 6" xfId="23837"/>
    <cellStyle name="Normal 3 2 2 2 15 6 2" xfId="23838"/>
    <cellStyle name="Normal 3 2 2 2 15 6 3" xfId="23839"/>
    <cellStyle name="Normal 3 2 2 2 15 6 4" xfId="23840"/>
    <cellStyle name="Normal 3 2 2 2 15 6 5" xfId="23841"/>
    <cellStyle name="Normal 3 2 2 2 15 6 6" xfId="23842"/>
    <cellStyle name="Normal 3 2 2 2 15 7" xfId="23843"/>
    <cellStyle name="Normal 3 2 2 2 15 8" xfId="23844"/>
    <cellStyle name="Normal 3 2 2 2 15 9" xfId="23845"/>
    <cellStyle name="Normal 3 2 2 2 16" xfId="23846"/>
    <cellStyle name="Normal 3 2 2 2 16 10" xfId="23847"/>
    <cellStyle name="Normal 3 2 2 2 16 11" xfId="23848"/>
    <cellStyle name="Normal 3 2 2 2 16 2" xfId="23849"/>
    <cellStyle name="Normal 3 2 2 2 16 2 2" xfId="23850"/>
    <cellStyle name="Normal 3 2 2 2 16 2 3" xfId="23851"/>
    <cellStyle name="Normal 3 2 2 2 16 2 4" xfId="23852"/>
    <cellStyle name="Normal 3 2 2 2 16 2 5" xfId="23853"/>
    <cellStyle name="Normal 3 2 2 2 16 2 6" xfId="23854"/>
    <cellStyle name="Normal 3 2 2 2 16 3" xfId="23855"/>
    <cellStyle name="Normal 3 2 2 2 16 3 2" xfId="23856"/>
    <cellStyle name="Normal 3 2 2 2 16 3 3" xfId="23857"/>
    <cellStyle name="Normal 3 2 2 2 16 3 4" xfId="23858"/>
    <cellStyle name="Normal 3 2 2 2 16 3 5" xfId="23859"/>
    <cellStyle name="Normal 3 2 2 2 16 3 6" xfId="23860"/>
    <cellStyle name="Normal 3 2 2 2 16 4" xfId="23861"/>
    <cellStyle name="Normal 3 2 2 2 16 4 2" xfId="23862"/>
    <cellStyle name="Normal 3 2 2 2 16 4 3" xfId="23863"/>
    <cellStyle name="Normal 3 2 2 2 16 4 4" xfId="23864"/>
    <cellStyle name="Normal 3 2 2 2 16 4 5" xfId="23865"/>
    <cellStyle name="Normal 3 2 2 2 16 4 6" xfId="23866"/>
    <cellStyle name="Normal 3 2 2 2 16 5" xfId="23867"/>
    <cellStyle name="Normal 3 2 2 2 16 5 2" xfId="23868"/>
    <cellStyle name="Normal 3 2 2 2 16 5 3" xfId="23869"/>
    <cellStyle name="Normal 3 2 2 2 16 5 4" xfId="23870"/>
    <cellStyle name="Normal 3 2 2 2 16 5 5" xfId="23871"/>
    <cellStyle name="Normal 3 2 2 2 16 5 6" xfId="23872"/>
    <cellStyle name="Normal 3 2 2 2 16 6" xfId="23873"/>
    <cellStyle name="Normal 3 2 2 2 16 6 2" xfId="23874"/>
    <cellStyle name="Normal 3 2 2 2 16 6 3" xfId="23875"/>
    <cellStyle name="Normal 3 2 2 2 16 6 4" xfId="23876"/>
    <cellStyle name="Normal 3 2 2 2 16 6 5" xfId="23877"/>
    <cellStyle name="Normal 3 2 2 2 16 6 6" xfId="23878"/>
    <cellStyle name="Normal 3 2 2 2 16 7" xfId="23879"/>
    <cellStyle name="Normal 3 2 2 2 16 8" xfId="23880"/>
    <cellStyle name="Normal 3 2 2 2 16 9" xfId="23881"/>
    <cellStyle name="Normal 3 2 2 2 17" xfId="23882"/>
    <cellStyle name="Normal 3 2 2 2 17 10" xfId="23883"/>
    <cellStyle name="Normal 3 2 2 2 17 11" xfId="23884"/>
    <cellStyle name="Normal 3 2 2 2 17 2" xfId="23885"/>
    <cellStyle name="Normal 3 2 2 2 17 2 2" xfId="23886"/>
    <cellStyle name="Normal 3 2 2 2 17 2 3" xfId="23887"/>
    <cellStyle name="Normal 3 2 2 2 17 2 4" xfId="23888"/>
    <cellStyle name="Normal 3 2 2 2 17 2 5" xfId="23889"/>
    <cellStyle name="Normal 3 2 2 2 17 2 6" xfId="23890"/>
    <cellStyle name="Normal 3 2 2 2 17 3" xfId="23891"/>
    <cellStyle name="Normal 3 2 2 2 17 3 2" xfId="23892"/>
    <cellStyle name="Normal 3 2 2 2 17 3 3" xfId="23893"/>
    <cellStyle name="Normal 3 2 2 2 17 3 4" xfId="23894"/>
    <cellStyle name="Normal 3 2 2 2 17 3 5" xfId="23895"/>
    <cellStyle name="Normal 3 2 2 2 17 3 6" xfId="23896"/>
    <cellStyle name="Normal 3 2 2 2 17 4" xfId="23897"/>
    <cellStyle name="Normal 3 2 2 2 17 4 2" xfId="23898"/>
    <cellStyle name="Normal 3 2 2 2 17 4 3" xfId="23899"/>
    <cellStyle name="Normal 3 2 2 2 17 4 4" xfId="23900"/>
    <cellStyle name="Normal 3 2 2 2 17 4 5" xfId="23901"/>
    <cellStyle name="Normal 3 2 2 2 17 4 6" xfId="23902"/>
    <cellStyle name="Normal 3 2 2 2 17 5" xfId="23903"/>
    <cellStyle name="Normal 3 2 2 2 17 5 2" xfId="23904"/>
    <cellStyle name="Normal 3 2 2 2 17 5 3" xfId="23905"/>
    <cellStyle name="Normal 3 2 2 2 17 5 4" xfId="23906"/>
    <cellStyle name="Normal 3 2 2 2 17 5 5" xfId="23907"/>
    <cellStyle name="Normal 3 2 2 2 17 5 6" xfId="23908"/>
    <cellStyle name="Normal 3 2 2 2 17 6" xfId="23909"/>
    <cellStyle name="Normal 3 2 2 2 17 6 2" xfId="23910"/>
    <cellStyle name="Normal 3 2 2 2 17 6 3" xfId="23911"/>
    <cellStyle name="Normal 3 2 2 2 17 6 4" xfId="23912"/>
    <cellStyle name="Normal 3 2 2 2 17 6 5" xfId="23913"/>
    <cellStyle name="Normal 3 2 2 2 17 6 6" xfId="23914"/>
    <cellStyle name="Normal 3 2 2 2 17 7" xfId="23915"/>
    <cellStyle name="Normal 3 2 2 2 17 8" xfId="23916"/>
    <cellStyle name="Normal 3 2 2 2 17 9" xfId="23917"/>
    <cellStyle name="Normal 3 2 2 2 18" xfId="23918"/>
    <cellStyle name="Normal 3 2 2 2 18 10" xfId="23919"/>
    <cellStyle name="Normal 3 2 2 2 18 11" xfId="23920"/>
    <cellStyle name="Normal 3 2 2 2 18 2" xfId="23921"/>
    <cellStyle name="Normal 3 2 2 2 18 2 2" xfId="23922"/>
    <cellStyle name="Normal 3 2 2 2 18 2 2 2" xfId="23923"/>
    <cellStyle name="Normal 3 2 2 2 18 2 2 3" xfId="23924"/>
    <cellStyle name="Normal 3 2 2 2 18 2 2 4" xfId="23925"/>
    <cellStyle name="Normal 3 2 2 2 18 2 2 5" xfId="23926"/>
    <cellStyle name="Normal 3 2 2 2 18 2 2 6" xfId="23927"/>
    <cellStyle name="Normal 3 2 2 2 18 2 2 7" xfId="23928"/>
    <cellStyle name="Normal 3 2 2 2 18 3" xfId="23929"/>
    <cellStyle name="Normal 3 2 2 2 18 4" xfId="23930"/>
    <cellStyle name="Normal 3 2 2 2 18 5" xfId="23931"/>
    <cellStyle name="Normal 3 2 2 2 18 6" xfId="23932"/>
    <cellStyle name="Normal 3 2 2 2 18 7" xfId="23933"/>
    <cellStyle name="Normal 3 2 2 2 18 8" xfId="23934"/>
    <cellStyle name="Normal 3 2 2 2 18 9" xfId="23935"/>
    <cellStyle name="Normal 3 2 2 2 19" xfId="23936"/>
    <cellStyle name="Normal 3 2 2 2 19 2" xfId="23937"/>
    <cellStyle name="Normal 3 2 2 2 19 2 2" xfId="23938"/>
    <cellStyle name="Normal 3 2 2 2 19 2 2 2" xfId="23939"/>
    <cellStyle name="Normal 3 2 2 2 19 2 2 3" xfId="23940"/>
    <cellStyle name="Normal 3 2 2 2 19 2 2 4" xfId="23941"/>
    <cellStyle name="Normal 3 2 2 2 19 2 2 5" xfId="23942"/>
    <cellStyle name="Normal 3 2 2 2 19 2 2 6" xfId="23943"/>
    <cellStyle name="Normal 3 2 2 2 19 3" xfId="23944"/>
    <cellStyle name="Normal 3 2 2 2 19 4" xfId="23945"/>
    <cellStyle name="Normal 3 2 2 2 19 5" xfId="23946"/>
    <cellStyle name="Normal 3 2 2 2 19 6" xfId="23947"/>
    <cellStyle name="Normal 3 2 2 2 19 7" xfId="23948"/>
    <cellStyle name="Normal 3 2 2 2 2" xfId="23949"/>
    <cellStyle name="Normal 3 2 2 2 2 10" xfId="23950"/>
    <cellStyle name="Normal 3 2 2 2 2 10 2" xfId="23951"/>
    <cellStyle name="Normal 3 2 2 2 2 10 2 2" xfId="23952"/>
    <cellStyle name="Normal 3 2 2 2 2 10 2 2 2" xfId="23953"/>
    <cellStyle name="Normal 3 2 2 2 2 10 2 2 2 2" xfId="23954"/>
    <cellStyle name="Normal 3 2 2 2 2 10 2 2 2 3" xfId="23955"/>
    <cellStyle name="Normal 3 2 2 2 2 10 2 2 2 4" xfId="23956"/>
    <cellStyle name="Normal 3 2 2 2 2 10 2 2 2 5" xfId="23957"/>
    <cellStyle name="Normal 3 2 2 2 2 10 2 2 2 6" xfId="23958"/>
    <cellStyle name="Normal 3 2 2 2 2 10 2 3" xfId="23959"/>
    <cellStyle name="Normal 3 2 2 2 2 10 2 4" xfId="23960"/>
    <cellStyle name="Normal 3 2 2 2 2 10 2 5" xfId="23961"/>
    <cellStyle name="Normal 3 2 2 2 2 10 2 6" xfId="23962"/>
    <cellStyle name="Normal 3 2 2 2 2 10 2 7" xfId="23963"/>
    <cellStyle name="Normal 3 2 2 2 2 10 3" xfId="23964"/>
    <cellStyle name="Normal 3 2 2 2 2 10 3 2" xfId="23965"/>
    <cellStyle name="Normal 3 2 2 2 2 10 3 3" xfId="23966"/>
    <cellStyle name="Normal 3 2 2 2 2 10 3 4" xfId="23967"/>
    <cellStyle name="Normal 3 2 2 2 2 10 3 5" xfId="23968"/>
    <cellStyle name="Normal 3 2 2 2 2 10 3 6" xfId="23969"/>
    <cellStyle name="Normal 3 2 2 2 2 10 4" xfId="23970"/>
    <cellStyle name="Normal 3 2 2 2 2 10 4 2" xfId="23971"/>
    <cellStyle name="Normal 3 2 2 2 2 10 4 3" xfId="23972"/>
    <cellStyle name="Normal 3 2 2 2 2 10 4 4" xfId="23973"/>
    <cellStyle name="Normal 3 2 2 2 2 10 4 5" xfId="23974"/>
    <cellStyle name="Normal 3 2 2 2 2 10 4 6" xfId="23975"/>
    <cellStyle name="Normal 3 2 2 2 2 10 5" xfId="23976"/>
    <cellStyle name="Normal 3 2 2 2 2 10 5 2" xfId="23977"/>
    <cellStyle name="Normal 3 2 2 2 2 10 5 3" xfId="23978"/>
    <cellStyle name="Normal 3 2 2 2 2 10 5 4" xfId="23979"/>
    <cellStyle name="Normal 3 2 2 2 2 10 5 5" xfId="23980"/>
    <cellStyle name="Normal 3 2 2 2 2 10 5 6" xfId="23981"/>
    <cellStyle name="Normal 3 2 2 2 2 10 6" xfId="23982"/>
    <cellStyle name="Normal 3 2 2 2 2 10 6 2" xfId="23983"/>
    <cellStyle name="Normal 3 2 2 2 2 10 6 3" xfId="23984"/>
    <cellStyle name="Normal 3 2 2 2 2 10 6 4" xfId="23985"/>
    <cellStyle name="Normal 3 2 2 2 2 10 6 5" xfId="23986"/>
    <cellStyle name="Normal 3 2 2 2 2 10 6 6" xfId="23987"/>
    <cellStyle name="Normal 3 2 2 2 2 11" xfId="23988"/>
    <cellStyle name="Normal 3 2 2 2 2 11 2" xfId="23989"/>
    <cellStyle name="Normal 3 2 2 2 2 11 2 2" xfId="23990"/>
    <cellStyle name="Normal 3 2 2 2 2 11 2 3" xfId="23991"/>
    <cellStyle name="Normal 3 2 2 2 2 11 2 4" xfId="23992"/>
    <cellStyle name="Normal 3 2 2 2 2 11 2 5" xfId="23993"/>
    <cellStyle name="Normal 3 2 2 2 2 11 2 6" xfId="23994"/>
    <cellStyle name="Normal 3 2 2 2 2 11 2 7" xfId="23995"/>
    <cellStyle name="Normal 3 2 2 2 2 12" xfId="23996"/>
    <cellStyle name="Normal 3 2 2 2 2 13" xfId="23997"/>
    <cellStyle name="Normal 3 2 2 2 2 14" xfId="23998"/>
    <cellStyle name="Normal 3 2 2 2 2 15" xfId="23999"/>
    <cellStyle name="Normal 3 2 2 2 2 16" xfId="24000"/>
    <cellStyle name="Normal 3 2 2 2 2 17" xfId="24001"/>
    <cellStyle name="Normal 3 2 2 2 2 18" xfId="24002"/>
    <cellStyle name="Normal 3 2 2 2 2 19" xfId="24003"/>
    <cellStyle name="Normal 3 2 2 2 2 2" xfId="24004"/>
    <cellStyle name="Normal 3 2 2 2 2 2 10" xfId="24005"/>
    <cellStyle name="Normal 3 2 2 2 2 2 10 10" xfId="24006"/>
    <cellStyle name="Normal 3 2 2 2 2 2 10 11" xfId="24007"/>
    <cellStyle name="Normal 3 2 2 2 2 2 10 2" xfId="24008"/>
    <cellStyle name="Normal 3 2 2 2 2 2 10 2 2" xfId="24009"/>
    <cellStyle name="Normal 3 2 2 2 2 2 10 2 2 2" xfId="24010"/>
    <cellStyle name="Normal 3 2 2 2 2 2 10 2 2 3" xfId="24011"/>
    <cellStyle name="Normal 3 2 2 2 2 2 10 2 2 4" xfId="24012"/>
    <cellStyle name="Normal 3 2 2 2 2 2 10 2 2 5" xfId="24013"/>
    <cellStyle name="Normal 3 2 2 2 2 2 10 2 2 6" xfId="24014"/>
    <cellStyle name="Normal 3 2 2 2 2 2 10 2 2 7" xfId="24015"/>
    <cellStyle name="Normal 3 2 2 2 2 2 10 3" xfId="24016"/>
    <cellStyle name="Normal 3 2 2 2 2 2 10 4" xfId="24017"/>
    <cellStyle name="Normal 3 2 2 2 2 2 10 5" xfId="24018"/>
    <cellStyle name="Normal 3 2 2 2 2 2 10 6" xfId="24019"/>
    <cellStyle name="Normal 3 2 2 2 2 2 10 7" xfId="24020"/>
    <cellStyle name="Normal 3 2 2 2 2 2 10 8" xfId="24021"/>
    <cellStyle name="Normal 3 2 2 2 2 2 10 9" xfId="24022"/>
    <cellStyle name="Normal 3 2 2 2 2 2 11" xfId="24023"/>
    <cellStyle name="Normal 3 2 2 2 2 2 11 2" xfId="24024"/>
    <cellStyle name="Normal 3 2 2 2 2 2 11 2 2" xfId="24025"/>
    <cellStyle name="Normal 3 2 2 2 2 2 11 2 2 2" xfId="24026"/>
    <cellStyle name="Normal 3 2 2 2 2 2 11 2 2 3" xfId="24027"/>
    <cellStyle name="Normal 3 2 2 2 2 2 11 2 2 4" xfId="24028"/>
    <cellStyle name="Normal 3 2 2 2 2 2 11 2 2 5" xfId="24029"/>
    <cellStyle name="Normal 3 2 2 2 2 2 11 2 2 6" xfId="24030"/>
    <cellStyle name="Normal 3 2 2 2 2 2 11 3" xfId="24031"/>
    <cellStyle name="Normal 3 2 2 2 2 2 11 4" xfId="24032"/>
    <cellStyle name="Normal 3 2 2 2 2 2 11 5" xfId="24033"/>
    <cellStyle name="Normal 3 2 2 2 2 2 11 6" xfId="24034"/>
    <cellStyle name="Normal 3 2 2 2 2 2 11 7" xfId="24035"/>
    <cellStyle name="Normal 3 2 2 2 2 2 12" xfId="24036"/>
    <cellStyle name="Normal 3 2 2 2 2 2 12 2" xfId="24037"/>
    <cellStyle name="Normal 3 2 2 2 2 2 12 3" xfId="24038"/>
    <cellStyle name="Normal 3 2 2 2 2 2 12 4" xfId="24039"/>
    <cellStyle name="Normal 3 2 2 2 2 2 12 5" xfId="24040"/>
    <cellStyle name="Normal 3 2 2 2 2 2 12 6" xfId="24041"/>
    <cellStyle name="Normal 3 2 2 2 2 2 13" xfId="24042"/>
    <cellStyle name="Normal 3 2 2 2 2 2 13 2" xfId="24043"/>
    <cellStyle name="Normal 3 2 2 2 2 2 13 3" xfId="24044"/>
    <cellStyle name="Normal 3 2 2 2 2 2 13 4" xfId="24045"/>
    <cellStyle name="Normal 3 2 2 2 2 2 13 5" xfId="24046"/>
    <cellStyle name="Normal 3 2 2 2 2 2 13 6" xfId="24047"/>
    <cellStyle name="Normal 3 2 2 2 2 2 14" xfId="24048"/>
    <cellStyle name="Normal 3 2 2 2 2 2 14 2" xfId="24049"/>
    <cellStyle name="Normal 3 2 2 2 2 2 14 3" xfId="24050"/>
    <cellStyle name="Normal 3 2 2 2 2 2 14 4" xfId="24051"/>
    <cellStyle name="Normal 3 2 2 2 2 2 14 5" xfId="24052"/>
    <cellStyle name="Normal 3 2 2 2 2 2 14 6" xfId="24053"/>
    <cellStyle name="Normal 3 2 2 2 2 2 15" xfId="24054"/>
    <cellStyle name="Normal 3 2 2 2 2 2 16" xfId="24055"/>
    <cellStyle name="Normal 3 2 2 2 2 2 17" xfId="24056"/>
    <cellStyle name="Normal 3 2 2 2 2 2 18" xfId="24057"/>
    <cellStyle name="Normal 3 2 2 2 2 2 19" xfId="24058"/>
    <cellStyle name="Normal 3 2 2 2 2 2 2" xfId="24059"/>
    <cellStyle name="Normal 3 2 2 2 2 2 2 10" xfId="24060"/>
    <cellStyle name="Normal 3 2 2 2 2 2 2 11" xfId="24061"/>
    <cellStyle name="Normal 3 2 2 2 2 2 2 12" xfId="24062"/>
    <cellStyle name="Normal 3 2 2 2 2 2 2 13" xfId="24063"/>
    <cellStyle name="Normal 3 2 2 2 2 2 2 13 10" xfId="24064"/>
    <cellStyle name="Normal 3 2 2 2 2 2 2 13 11" xfId="24065"/>
    <cellStyle name="Normal 3 2 2 2 2 2 2 13 11 10" xfId="24066"/>
    <cellStyle name="Normal 3 2 2 2 2 2 2 13 11 11" xfId="24067"/>
    <cellStyle name="Normal 3 2 2 2 2 2 2 13 11 11 2" xfId="24068"/>
    <cellStyle name="Normal 3 2 2 2 2 2 2 13 11 11 3" xfId="24069"/>
    <cellStyle name="Normal 3 2 2 2 2 2 2 13 11 11 4" xfId="24070"/>
    <cellStyle name="Normal 3 2 2 2 2 2 2 13 11 12" xfId="24071"/>
    <cellStyle name="Normal 3 2 2 2 2 2 2 13 11 13" xfId="24072"/>
    <cellStyle name="Normal 3 2 2 2 2 2 2 13 11 14" xfId="24073"/>
    <cellStyle name="Normal 3 2 2 2 2 2 2 13 11 2" xfId="24074"/>
    <cellStyle name="Normal 3 2 2 2 2 2 2 13 11 2 10" xfId="24075"/>
    <cellStyle name="Normal 3 2 2 2 2 2 2 13 11 2 11" xfId="24076"/>
    <cellStyle name="Normal 3 2 2 2 2 2 2 13 11 2 2" xfId="24077"/>
    <cellStyle name="Normal 3 2 2 2 2 2 2 13 11 2 2 10" xfId="24078"/>
    <cellStyle name="Normal 3 2 2 2 2 2 2 13 11 2 2 11" xfId="24079"/>
    <cellStyle name="Normal 3 2 2 2 2 2 2 13 11 2 2 2" xfId="24080"/>
    <cellStyle name="Normal 3 2 2 2 2 2 2 13 11 2 2 2 2" xfId="24081"/>
    <cellStyle name="Normal 3 2 2 2 2 2 2 13 11 2 2 2 2 2" xfId="24082"/>
    <cellStyle name="Normal 3 2 2 2 2 2 2 13 11 2 2 2 2 3" xfId="24083"/>
    <cellStyle name="Normal 3 2 2 2 2 2 2 13 11 2 2 2 2 4" xfId="24084"/>
    <cellStyle name="Normal 3 2 2 2 2 2 2 13 11 2 2 2 3" xfId="24085"/>
    <cellStyle name="Normal 3 2 2 2 2 2 2 13 11 2 2 2 4" xfId="24086"/>
    <cellStyle name="Normal 3 2 2 2 2 2 2 13 11 2 2 2 5" xfId="24087"/>
    <cellStyle name="Normal 3 2 2 2 2 2 2 13 11 2 2 2 6" xfId="24088"/>
    <cellStyle name="Normal 3 2 2 2 2 2 2 13 11 2 2 3" xfId="24089"/>
    <cellStyle name="Normal 3 2 2 2 2 2 2 13 11 2 2 4" xfId="24090"/>
    <cellStyle name="Normal 3 2 2 2 2 2 2 13 11 2 2 5" xfId="24091"/>
    <cellStyle name="Normal 3 2 2 2 2 2 2 13 11 2 2 6" xfId="24092"/>
    <cellStyle name="Normal 3 2 2 2 2 2 2 13 11 2 2 7" xfId="24093"/>
    <cellStyle name="Normal 3 2 2 2 2 2 2 13 11 2 2 8" xfId="24094"/>
    <cellStyle name="Normal 3 2 2 2 2 2 2 13 11 2 2 8 2" xfId="24095"/>
    <cellStyle name="Normal 3 2 2 2 2 2 2 13 11 2 2 8 3" xfId="24096"/>
    <cellStyle name="Normal 3 2 2 2 2 2 2 13 11 2 2 8 4" xfId="24097"/>
    <cellStyle name="Normal 3 2 2 2 2 2 2 13 11 2 2 9" xfId="24098"/>
    <cellStyle name="Normal 3 2 2 2 2 2 2 13 11 2 3" xfId="24099"/>
    <cellStyle name="Normal 3 2 2 2 2 2 2 13 11 2 3 2" xfId="24100"/>
    <cellStyle name="Normal 3 2 2 2 2 2 2 13 11 2 3 2 2" xfId="24101"/>
    <cellStyle name="Normal 3 2 2 2 2 2 2 13 11 2 3 2 3" xfId="24102"/>
    <cellStyle name="Normal 3 2 2 2 2 2 2 13 11 2 3 2 4" xfId="24103"/>
    <cellStyle name="Normal 3 2 2 2 2 2 2 13 11 2 3 3" xfId="24104"/>
    <cellStyle name="Normal 3 2 2 2 2 2 2 13 11 2 3 4" xfId="24105"/>
    <cellStyle name="Normal 3 2 2 2 2 2 2 13 11 2 3 5" xfId="24106"/>
    <cellStyle name="Normal 3 2 2 2 2 2 2 13 11 2 3 6" xfId="24107"/>
    <cellStyle name="Normal 3 2 2 2 2 2 2 13 11 2 4" xfId="24108"/>
    <cellStyle name="Normal 3 2 2 2 2 2 2 13 11 2 5" xfId="24109"/>
    <cellStyle name="Normal 3 2 2 2 2 2 2 13 11 2 6" xfId="24110"/>
    <cellStyle name="Normal 3 2 2 2 2 2 2 13 11 2 7" xfId="24111"/>
    <cellStyle name="Normal 3 2 2 2 2 2 2 13 11 2 8" xfId="24112"/>
    <cellStyle name="Normal 3 2 2 2 2 2 2 13 11 2 8 2" xfId="24113"/>
    <cellStyle name="Normal 3 2 2 2 2 2 2 13 11 2 8 3" xfId="24114"/>
    <cellStyle name="Normal 3 2 2 2 2 2 2 13 11 2 8 4" xfId="24115"/>
    <cellStyle name="Normal 3 2 2 2 2 2 2 13 11 2 9" xfId="24116"/>
    <cellStyle name="Normal 3 2 2 2 2 2 2 13 11 3" xfId="24117"/>
    <cellStyle name="Normal 3 2 2 2 2 2 2 13 11 4" xfId="24118"/>
    <cellStyle name="Normal 3 2 2 2 2 2 2 13 11 5" xfId="24119"/>
    <cellStyle name="Normal 3 2 2 2 2 2 2 13 11 5 2" xfId="24120"/>
    <cellStyle name="Normal 3 2 2 2 2 2 2 13 11 5 2 2" xfId="24121"/>
    <cellStyle name="Normal 3 2 2 2 2 2 2 13 11 5 2 3" xfId="24122"/>
    <cellStyle name="Normal 3 2 2 2 2 2 2 13 11 5 2 4" xfId="24123"/>
    <cellStyle name="Normal 3 2 2 2 2 2 2 13 11 5 3" xfId="24124"/>
    <cellStyle name="Normal 3 2 2 2 2 2 2 13 11 5 4" xfId="24125"/>
    <cellStyle name="Normal 3 2 2 2 2 2 2 13 11 5 5" xfId="24126"/>
    <cellStyle name="Normal 3 2 2 2 2 2 2 13 11 5 6" xfId="24127"/>
    <cellStyle name="Normal 3 2 2 2 2 2 2 13 11 6" xfId="24128"/>
    <cellStyle name="Normal 3 2 2 2 2 2 2 13 11 7" xfId="24129"/>
    <cellStyle name="Normal 3 2 2 2 2 2 2 13 11 8" xfId="24130"/>
    <cellStyle name="Normal 3 2 2 2 2 2 2 13 11 9" xfId="24131"/>
    <cellStyle name="Normal 3 2 2 2 2 2 2 13 12" xfId="24132"/>
    <cellStyle name="Normal 3 2 2 2 2 2 2 13 13" xfId="24133"/>
    <cellStyle name="Normal 3 2 2 2 2 2 2 13 13 10" xfId="24134"/>
    <cellStyle name="Normal 3 2 2 2 2 2 2 13 13 11" xfId="24135"/>
    <cellStyle name="Normal 3 2 2 2 2 2 2 13 13 2" xfId="24136"/>
    <cellStyle name="Normal 3 2 2 2 2 2 2 13 13 2 10" xfId="24137"/>
    <cellStyle name="Normal 3 2 2 2 2 2 2 13 13 2 11" xfId="24138"/>
    <cellStyle name="Normal 3 2 2 2 2 2 2 13 13 2 2" xfId="24139"/>
    <cellStyle name="Normal 3 2 2 2 2 2 2 13 13 2 2 2" xfId="24140"/>
    <cellStyle name="Normal 3 2 2 2 2 2 2 13 13 2 2 2 2" xfId="24141"/>
    <cellStyle name="Normal 3 2 2 2 2 2 2 13 13 2 2 2 3" xfId="24142"/>
    <cellStyle name="Normal 3 2 2 2 2 2 2 13 13 2 2 2 4" xfId="24143"/>
    <cellStyle name="Normal 3 2 2 2 2 2 2 13 13 2 2 3" xfId="24144"/>
    <cellStyle name="Normal 3 2 2 2 2 2 2 13 13 2 2 4" xfId="24145"/>
    <cellStyle name="Normal 3 2 2 2 2 2 2 13 13 2 2 5" xfId="24146"/>
    <cellStyle name="Normal 3 2 2 2 2 2 2 13 13 2 2 6" xfId="24147"/>
    <cellStyle name="Normal 3 2 2 2 2 2 2 13 13 2 3" xfId="24148"/>
    <cellStyle name="Normal 3 2 2 2 2 2 2 13 13 2 4" xfId="24149"/>
    <cellStyle name="Normal 3 2 2 2 2 2 2 13 13 2 5" xfId="24150"/>
    <cellStyle name="Normal 3 2 2 2 2 2 2 13 13 2 6" xfId="24151"/>
    <cellStyle name="Normal 3 2 2 2 2 2 2 13 13 2 7" xfId="24152"/>
    <cellStyle name="Normal 3 2 2 2 2 2 2 13 13 2 8" xfId="24153"/>
    <cellStyle name="Normal 3 2 2 2 2 2 2 13 13 2 8 2" xfId="24154"/>
    <cellStyle name="Normal 3 2 2 2 2 2 2 13 13 2 8 3" xfId="24155"/>
    <cellStyle name="Normal 3 2 2 2 2 2 2 13 13 2 8 4" xfId="24156"/>
    <cellStyle name="Normal 3 2 2 2 2 2 2 13 13 2 9" xfId="24157"/>
    <cellStyle name="Normal 3 2 2 2 2 2 2 13 13 3" xfId="24158"/>
    <cellStyle name="Normal 3 2 2 2 2 2 2 13 13 3 2" xfId="24159"/>
    <cellStyle name="Normal 3 2 2 2 2 2 2 13 13 3 2 2" xfId="24160"/>
    <cellStyle name="Normal 3 2 2 2 2 2 2 13 13 3 2 3" xfId="24161"/>
    <cellStyle name="Normal 3 2 2 2 2 2 2 13 13 3 2 4" xfId="24162"/>
    <cellStyle name="Normal 3 2 2 2 2 2 2 13 13 3 3" xfId="24163"/>
    <cellStyle name="Normal 3 2 2 2 2 2 2 13 13 3 4" xfId="24164"/>
    <cellStyle name="Normal 3 2 2 2 2 2 2 13 13 3 5" xfId="24165"/>
    <cellStyle name="Normal 3 2 2 2 2 2 2 13 13 3 6" xfId="24166"/>
    <cellStyle name="Normal 3 2 2 2 2 2 2 13 13 4" xfId="24167"/>
    <cellStyle name="Normal 3 2 2 2 2 2 2 13 13 5" xfId="24168"/>
    <cellStyle name="Normal 3 2 2 2 2 2 2 13 13 6" xfId="24169"/>
    <cellStyle name="Normal 3 2 2 2 2 2 2 13 13 7" xfId="24170"/>
    <cellStyle name="Normal 3 2 2 2 2 2 2 13 13 8" xfId="24171"/>
    <cellStyle name="Normal 3 2 2 2 2 2 2 13 13 8 2" xfId="24172"/>
    <cellStyle name="Normal 3 2 2 2 2 2 2 13 13 8 3" xfId="24173"/>
    <cellStyle name="Normal 3 2 2 2 2 2 2 13 13 8 4" xfId="24174"/>
    <cellStyle name="Normal 3 2 2 2 2 2 2 13 13 9" xfId="24175"/>
    <cellStyle name="Normal 3 2 2 2 2 2 2 13 14" xfId="24176"/>
    <cellStyle name="Normal 3 2 2 2 2 2 2 13 15" xfId="24177"/>
    <cellStyle name="Normal 3 2 2 2 2 2 2 13 15 2" xfId="24178"/>
    <cellStyle name="Normal 3 2 2 2 2 2 2 13 15 2 2" xfId="24179"/>
    <cellStyle name="Normal 3 2 2 2 2 2 2 13 15 2 3" xfId="24180"/>
    <cellStyle name="Normal 3 2 2 2 2 2 2 13 15 2 4" xfId="24181"/>
    <cellStyle name="Normal 3 2 2 2 2 2 2 13 15 3" xfId="24182"/>
    <cellStyle name="Normal 3 2 2 2 2 2 2 13 15 4" xfId="24183"/>
    <cellStyle name="Normal 3 2 2 2 2 2 2 13 15 5" xfId="24184"/>
    <cellStyle name="Normal 3 2 2 2 2 2 2 13 15 6" xfId="24185"/>
    <cellStyle name="Normal 3 2 2 2 2 2 2 13 16" xfId="24186"/>
    <cellStyle name="Normal 3 2 2 2 2 2 2 13 17" xfId="24187"/>
    <cellStyle name="Normal 3 2 2 2 2 2 2 13 18" xfId="24188"/>
    <cellStyle name="Normal 3 2 2 2 2 2 2 13 19" xfId="24189"/>
    <cellStyle name="Normal 3 2 2 2 2 2 2 13 2" xfId="24190"/>
    <cellStyle name="Normal 3 2 2 2 2 2 2 13 2 10" xfId="24191"/>
    <cellStyle name="Normal 3 2 2 2 2 2 2 13 2 11" xfId="24192"/>
    <cellStyle name="Normal 3 2 2 2 2 2 2 13 2 12" xfId="24193"/>
    <cellStyle name="Normal 3 2 2 2 2 2 2 13 2 13" xfId="24194"/>
    <cellStyle name="Normal 3 2 2 2 2 2 2 13 2 13 2" xfId="24195"/>
    <cellStyle name="Normal 3 2 2 2 2 2 2 13 2 13 3" xfId="24196"/>
    <cellStyle name="Normal 3 2 2 2 2 2 2 13 2 13 4" xfId="24197"/>
    <cellStyle name="Normal 3 2 2 2 2 2 2 13 2 14" xfId="24198"/>
    <cellStyle name="Normal 3 2 2 2 2 2 2 13 2 15" xfId="24199"/>
    <cellStyle name="Normal 3 2 2 2 2 2 2 13 2 16" xfId="24200"/>
    <cellStyle name="Normal 3 2 2 2 2 2 2 13 2 2" xfId="24201"/>
    <cellStyle name="Normal 3 2 2 2 2 2 2 13 2 2 10" xfId="24202"/>
    <cellStyle name="Normal 3 2 2 2 2 2 2 13 2 2 11" xfId="24203"/>
    <cellStyle name="Normal 3 2 2 2 2 2 2 13 2 2 11 2" xfId="24204"/>
    <cellStyle name="Normal 3 2 2 2 2 2 2 13 2 2 11 3" xfId="24205"/>
    <cellStyle name="Normal 3 2 2 2 2 2 2 13 2 2 11 4" xfId="24206"/>
    <cellStyle name="Normal 3 2 2 2 2 2 2 13 2 2 12" xfId="24207"/>
    <cellStyle name="Normal 3 2 2 2 2 2 2 13 2 2 13" xfId="24208"/>
    <cellStyle name="Normal 3 2 2 2 2 2 2 13 2 2 14" xfId="24209"/>
    <cellStyle name="Normal 3 2 2 2 2 2 2 13 2 2 2" xfId="24210"/>
    <cellStyle name="Normal 3 2 2 2 2 2 2 13 2 2 2 10" xfId="24211"/>
    <cellStyle name="Normal 3 2 2 2 2 2 2 13 2 2 2 11" xfId="24212"/>
    <cellStyle name="Normal 3 2 2 2 2 2 2 13 2 2 2 2" xfId="24213"/>
    <cellStyle name="Normal 3 2 2 2 2 2 2 13 2 2 2 2 10" xfId="24214"/>
    <cellStyle name="Normal 3 2 2 2 2 2 2 13 2 2 2 2 11" xfId="24215"/>
    <cellStyle name="Normal 3 2 2 2 2 2 2 13 2 2 2 2 2" xfId="24216"/>
    <cellStyle name="Normal 3 2 2 2 2 2 2 13 2 2 2 2 2 2" xfId="24217"/>
    <cellStyle name="Normal 3 2 2 2 2 2 2 13 2 2 2 2 2 2 2" xfId="24218"/>
    <cellStyle name="Normal 3 2 2 2 2 2 2 13 2 2 2 2 2 2 3" xfId="24219"/>
    <cellStyle name="Normal 3 2 2 2 2 2 2 13 2 2 2 2 2 2 4" xfId="24220"/>
    <cellStyle name="Normal 3 2 2 2 2 2 2 13 2 2 2 2 2 3" xfId="24221"/>
    <cellStyle name="Normal 3 2 2 2 2 2 2 13 2 2 2 2 2 4" xfId="24222"/>
    <cellStyle name="Normal 3 2 2 2 2 2 2 13 2 2 2 2 2 5" xfId="24223"/>
    <cellStyle name="Normal 3 2 2 2 2 2 2 13 2 2 2 2 2 6" xfId="24224"/>
    <cellStyle name="Normal 3 2 2 2 2 2 2 13 2 2 2 2 3" xfId="24225"/>
    <cellStyle name="Normal 3 2 2 2 2 2 2 13 2 2 2 2 4" xfId="24226"/>
    <cellStyle name="Normal 3 2 2 2 2 2 2 13 2 2 2 2 5" xfId="24227"/>
    <cellStyle name="Normal 3 2 2 2 2 2 2 13 2 2 2 2 6" xfId="24228"/>
    <cellStyle name="Normal 3 2 2 2 2 2 2 13 2 2 2 2 7" xfId="24229"/>
    <cellStyle name="Normal 3 2 2 2 2 2 2 13 2 2 2 2 8" xfId="24230"/>
    <cellStyle name="Normal 3 2 2 2 2 2 2 13 2 2 2 2 8 2" xfId="24231"/>
    <cellStyle name="Normal 3 2 2 2 2 2 2 13 2 2 2 2 8 3" xfId="24232"/>
    <cellStyle name="Normal 3 2 2 2 2 2 2 13 2 2 2 2 8 4" xfId="24233"/>
    <cellStyle name="Normal 3 2 2 2 2 2 2 13 2 2 2 2 9" xfId="24234"/>
    <cellStyle name="Normal 3 2 2 2 2 2 2 13 2 2 2 3" xfId="24235"/>
    <cellStyle name="Normal 3 2 2 2 2 2 2 13 2 2 2 3 2" xfId="24236"/>
    <cellStyle name="Normal 3 2 2 2 2 2 2 13 2 2 2 3 2 2" xfId="24237"/>
    <cellStyle name="Normal 3 2 2 2 2 2 2 13 2 2 2 3 2 3" xfId="24238"/>
    <cellStyle name="Normal 3 2 2 2 2 2 2 13 2 2 2 3 2 4" xfId="24239"/>
    <cellStyle name="Normal 3 2 2 2 2 2 2 13 2 2 2 3 3" xfId="24240"/>
    <cellStyle name="Normal 3 2 2 2 2 2 2 13 2 2 2 3 4" xfId="24241"/>
    <cellStyle name="Normal 3 2 2 2 2 2 2 13 2 2 2 3 5" xfId="24242"/>
    <cellStyle name="Normal 3 2 2 2 2 2 2 13 2 2 2 3 6" xfId="24243"/>
    <cellStyle name="Normal 3 2 2 2 2 2 2 13 2 2 2 4" xfId="24244"/>
    <cellStyle name="Normal 3 2 2 2 2 2 2 13 2 2 2 5" xfId="24245"/>
    <cellStyle name="Normal 3 2 2 2 2 2 2 13 2 2 2 6" xfId="24246"/>
    <cellStyle name="Normal 3 2 2 2 2 2 2 13 2 2 2 7" xfId="24247"/>
    <cellStyle name="Normal 3 2 2 2 2 2 2 13 2 2 2 8" xfId="24248"/>
    <cellStyle name="Normal 3 2 2 2 2 2 2 13 2 2 2 8 2" xfId="24249"/>
    <cellStyle name="Normal 3 2 2 2 2 2 2 13 2 2 2 8 3" xfId="24250"/>
    <cellStyle name="Normal 3 2 2 2 2 2 2 13 2 2 2 8 4" xfId="24251"/>
    <cellStyle name="Normal 3 2 2 2 2 2 2 13 2 2 2 9" xfId="24252"/>
    <cellStyle name="Normal 3 2 2 2 2 2 2 13 2 2 3" xfId="24253"/>
    <cellStyle name="Normal 3 2 2 2 2 2 2 13 2 2 4" xfId="24254"/>
    <cellStyle name="Normal 3 2 2 2 2 2 2 13 2 2 5" xfId="24255"/>
    <cellStyle name="Normal 3 2 2 2 2 2 2 13 2 2 5 2" xfId="24256"/>
    <cellStyle name="Normal 3 2 2 2 2 2 2 13 2 2 5 2 2" xfId="24257"/>
    <cellStyle name="Normal 3 2 2 2 2 2 2 13 2 2 5 2 3" xfId="24258"/>
    <cellStyle name="Normal 3 2 2 2 2 2 2 13 2 2 5 2 4" xfId="24259"/>
    <cellStyle name="Normal 3 2 2 2 2 2 2 13 2 2 5 3" xfId="24260"/>
    <cellStyle name="Normal 3 2 2 2 2 2 2 13 2 2 5 4" xfId="24261"/>
    <cellStyle name="Normal 3 2 2 2 2 2 2 13 2 2 5 5" xfId="24262"/>
    <cellStyle name="Normal 3 2 2 2 2 2 2 13 2 2 5 6" xfId="24263"/>
    <cellStyle name="Normal 3 2 2 2 2 2 2 13 2 2 6" xfId="24264"/>
    <cellStyle name="Normal 3 2 2 2 2 2 2 13 2 2 7" xfId="24265"/>
    <cellStyle name="Normal 3 2 2 2 2 2 2 13 2 2 8" xfId="24266"/>
    <cellStyle name="Normal 3 2 2 2 2 2 2 13 2 2 9" xfId="24267"/>
    <cellStyle name="Normal 3 2 2 2 2 2 2 13 2 3" xfId="24268"/>
    <cellStyle name="Normal 3 2 2 2 2 2 2 13 2 4" xfId="24269"/>
    <cellStyle name="Normal 3 2 2 2 2 2 2 13 2 5" xfId="24270"/>
    <cellStyle name="Normal 3 2 2 2 2 2 2 13 2 5 10" xfId="24271"/>
    <cellStyle name="Normal 3 2 2 2 2 2 2 13 2 5 11" xfId="24272"/>
    <cellStyle name="Normal 3 2 2 2 2 2 2 13 2 5 2" xfId="24273"/>
    <cellStyle name="Normal 3 2 2 2 2 2 2 13 2 5 2 10" xfId="24274"/>
    <cellStyle name="Normal 3 2 2 2 2 2 2 13 2 5 2 11" xfId="24275"/>
    <cellStyle name="Normal 3 2 2 2 2 2 2 13 2 5 2 2" xfId="24276"/>
    <cellStyle name="Normal 3 2 2 2 2 2 2 13 2 5 2 2 2" xfId="24277"/>
    <cellStyle name="Normal 3 2 2 2 2 2 2 13 2 5 2 2 2 2" xfId="24278"/>
    <cellStyle name="Normal 3 2 2 2 2 2 2 13 2 5 2 2 2 3" xfId="24279"/>
    <cellStyle name="Normal 3 2 2 2 2 2 2 13 2 5 2 2 2 4" xfId="24280"/>
    <cellStyle name="Normal 3 2 2 2 2 2 2 13 2 5 2 2 3" xfId="24281"/>
    <cellStyle name="Normal 3 2 2 2 2 2 2 13 2 5 2 2 4" xfId="24282"/>
    <cellStyle name="Normal 3 2 2 2 2 2 2 13 2 5 2 2 5" xfId="24283"/>
    <cellStyle name="Normal 3 2 2 2 2 2 2 13 2 5 2 2 6" xfId="24284"/>
    <cellStyle name="Normal 3 2 2 2 2 2 2 13 2 5 2 3" xfId="24285"/>
    <cellStyle name="Normal 3 2 2 2 2 2 2 13 2 5 2 4" xfId="24286"/>
    <cellStyle name="Normal 3 2 2 2 2 2 2 13 2 5 2 5" xfId="24287"/>
    <cellStyle name="Normal 3 2 2 2 2 2 2 13 2 5 2 6" xfId="24288"/>
    <cellStyle name="Normal 3 2 2 2 2 2 2 13 2 5 2 7" xfId="24289"/>
    <cellStyle name="Normal 3 2 2 2 2 2 2 13 2 5 2 8" xfId="24290"/>
    <cellStyle name="Normal 3 2 2 2 2 2 2 13 2 5 2 8 2" xfId="24291"/>
    <cellStyle name="Normal 3 2 2 2 2 2 2 13 2 5 2 8 3" xfId="24292"/>
    <cellStyle name="Normal 3 2 2 2 2 2 2 13 2 5 2 8 4" xfId="24293"/>
    <cellStyle name="Normal 3 2 2 2 2 2 2 13 2 5 2 9" xfId="24294"/>
    <cellStyle name="Normal 3 2 2 2 2 2 2 13 2 5 3" xfId="24295"/>
    <cellStyle name="Normal 3 2 2 2 2 2 2 13 2 5 3 2" xfId="24296"/>
    <cellStyle name="Normal 3 2 2 2 2 2 2 13 2 5 3 2 2" xfId="24297"/>
    <cellStyle name="Normal 3 2 2 2 2 2 2 13 2 5 3 2 3" xfId="24298"/>
    <cellStyle name="Normal 3 2 2 2 2 2 2 13 2 5 3 2 4" xfId="24299"/>
    <cellStyle name="Normal 3 2 2 2 2 2 2 13 2 5 3 3" xfId="24300"/>
    <cellStyle name="Normal 3 2 2 2 2 2 2 13 2 5 3 4" xfId="24301"/>
    <cellStyle name="Normal 3 2 2 2 2 2 2 13 2 5 3 5" xfId="24302"/>
    <cellStyle name="Normal 3 2 2 2 2 2 2 13 2 5 3 6" xfId="24303"/>
    <cellStyle name="Normal 3 2 2 2 2 2 2 13 2 5 4" xfId="24304"/>
    <cellStyle name="Normal 3 2 2 2 2 2 2 13 2 5 5" xfId="24305"/>
    <cellStyle name="Normal 3 2 2 2 2 2 2 13 2 5 6" xfId="24306"/>
    <cellStyle name="Normal 3 2 2 2 2 2 2 13 2 5 7" xfId="24307"/>
    <cellStyle name="Normal 3 2 2 2 2 2 2 13 2 5 8" xfId="24308"/>
    <cellStyle name="Normal 3 2 2 2 2 2 2 13 2 5 8 2" xfId="24309"/>
    <cellStyle name="Normal 3 2 2 2 2 2 2 13 2 5 8 3" xfId="24310"/>
    <cellStyle name="Normal 3 2 2 2 2 2 2 13 2 5 8 4" xfId="24311"/>
    <cellStyle name="Normal 3 2 2 2 2 2 2 13 2 5 9" xfId="24312"/>
    <cellStyle name="Normal 3 2 2 2 2 2 2 13 2 6" xfId="24313"/>
    <cellStyle name="Normal 3 2 2 2 2 2 2 13 2 7" xfId="24314"/>
    <cellStyle name="Normal 3 2 2 2 2 2 2 13 2 7 2" xfId="24315"/>
    <cellStyle name="Normal 3 2 2 2 2 2 2 13 2 7 2 2" xfId="24316"/>
    <cellStyle name="Normal 3 2 2 2 2 2 2 13 2 7 2 3" xfId="24317"/>
    <cellStyle name="Normal 3 2 2 2 2 2 2 13 2 7 2 4" xfId="24318"/>
    <cellStyle name="Normal 3 2 2 2 2 2 2 13 2 7 3" xfId="24319"/>
    <cellStyle name="Normal 3 2 2 2 2 2 2 13 2 7 4" xfId="24320"/>
    <cellStyle name="Normal 3 2 2 2 2 2 2 13 2 7 5" xfId="24321"/>
    <cellStyle name="Normal 3 2 2 2 2 2 2 13 2 7 6" xfId="24322"/>
    <cellStyle name="Normal 3 2 2 2 2 2 2 13 2 8" xfId="24323"/>
    <cellStyle name="Normal 3 2 2 2 2 2 2 13 2 9" xfId="24324"/>
    <cellStyle name="Normal 3 2 2 2 2 2 2 13 20" xfId="24325"/>
    <cellStyle name="Normal 3 2 2 2 2 2 2 13 21" xfId="24326"/>
    <cellStyle name="Normal 3 2 2 2 2 2 2 13 21 2" xfId="24327"/>
    <cellStyle name="Normal 3 2 2 2 2 2 2 13 21 3" xfId="24328"/>
    <cellStyle name="Normal 3 2 2 2 2 2 2 13 21 4" xfId="24329"/>
    <cellStyle name="Normal 3 2 2 2 2 2 2 13 22" xfId="24330"/>
    <cellStyle name="Normal 3 2 2 2 2 2 2 13 23" xfId="24331"/>
    <cellStyle name="Normal 3 2 2 2 2 2 2 13 24" xfId="24332"/>
    <cellStyle name="Normal 3 2 2 2 2 2 2 13 3" xfId="24333"/>
    <cellStyle name="Normal 3 2 2 2 2 2 2 13 4" xfId="24334"/>
    <cellStyle name="Normal 3 2 2 2 2 2 2 13 5" xfId="24335"/>
    <cellStyle name="Normal 3 2 2 2 2 2 2 13 6" xfId="24336"/>
    <cellStyle name="Normal 3 2 2 2 2 2 2 13 7" xfId="24337"/>
    <cellStyle name="Normal 3 2 2 2 2 2 2 13 8" xfId="24338"/>
    <cellStyle name="Normal 3 2 2 2 2 2 2 13 9" xfId="24339"/>
    <cellStyle name="Normal 3 2 2 2 2 2 2 14" xfId="24340"/>
    <cellStyle name="Normal 3 2 2 2 2 2 2 14 10" xfId="24341"/>
    <cellStyle name="Normal 3 2 2 2 2 2 2 14 11" xfId="24342"/>
    <cellStyle name="Normal 3 2 2 2 2 2 2 14 12" xfId="24343"/>
    <cellStyle name="Normal 3 2 2 2 2 2 2 14 13" xfId="24344"/>
    <cellStyle name="Normal 3 2 2 2 2 2 2 14 13 2" xfId="24345"/>
    <cellStyle name="Normal 3 2 2 2 2 2 2 14 13 3" xfId="24346"/>
    <cellStyle name="Normal 3 2 2 2 2 2 2 14 13 4" xfId="24347"/>
    <cellStyle name="Normal 3 2 2 2 2 2 2 14 14" xfId="24348"/>
    <cellStyle name="Normal 3 2 2 2 2 2 2 14 15" xfId="24349"/>
    <cellStyle name="Normal 3 2 2 2 2 2 2 14 16" xfId="24350"/>
    <cellStyle name="Normal 3 2 2 2 2 2 2 14 2" xfId="24351"/>
    <cellStyle name="Normal 3 2 2 2 2 2 2 14 2 10" xfId="24352"/>
    <cellStyle name="Normal 3 2 2 2 2 2 2 14 2 11" xfId="24353"/>
    <cellStyle name="Normal 3 2 2 2 2 2 2 14 2 11 2" xfId="24354"/>
    <cellStyle name="Normal 3 2 2 2 2 2 2 14 2 11 3" xfId="24355"/>
    <cellStyle name="Normal 3 2 2 2 2 2 2 14 2 11 4" xfId="24356"/>
    <cellStyle name="Normal 3 2 2 2 2 2 2 14 2 12" xfId="24357"/>
    <cellStyle name="Normal 3 2 2 2 2 2 2 14 2 13" xfId="24358"/>
    <cellStyle name="Normal 3 2 2 2 2 2 2 14 2 14" xfId="24359"/>
    <cellStyle name="Normal 3 2 2 2 2 2 2 14 2 2" xfId="24360"/>
    <cellStyle name="Normal 3 2 2 2 2 2 2 14 2 2 10" xfId="24361"/>
    <cellStyle name="Normal 3 2 2 2 2 2 2 14 2 2 11" xfId="24362"/>
    <cellStyle name="Normal 3 2 2 2 2 2 2 14 2 2 2" xfId="24363"/>
    <cellStyle name="Normal 3 2 2 2 2 2 2 14 2 2 2 10" xfId="24364"/>
    <cellStyle name="Normal 3 2 2 2 2 2 2 14 2 2 2 11" xfId="24365"/>
    <cellStyle name="Normal 3 2 2 2 2 2 2 14 2 2 2 2" xfId="24366"/>
    <cellStyle name="Normal 3 2 2 2 2 2 2 14 2 2 2 2 2" xfId="24367"/>
    <cellStyle name="Normal 3 2 2 2 2 2 2 14 2 2 2 2 2 2" xfId="24368"/>
    <cellStyle name="Normal 3 2 2 2 2 2 2 14 2 2 2 2 2 3" xfId="24369"/>
    <cellStyle name="Normal 3 2 2 2 2 2 2 14 2 2 2 2 2 4" xfId="24370"/>
    <cellStyle name="Normal 3 2 2 2 2 2 2 14 2 2 2 2 3" xfId="24371"/>
    <cellStyle name="Normal 3 2 2 2 2 2 2 14 2 2 2 2 4" xfId="24372"/>
    <cellStyle name="Normal 3 2 2 2 2 2 2 14 2 2 2 2 5" xfId="24373"/>
    <cellStyle name="Normal 3 2 2 2 2 2 2 14 2 2 2 2 6" xfId="24374"/>
    <cellStyle name="Normal 3 2 2 2 2 2 2 14 2 2 2 3" xfId="24375"/>
    <cellStyle name="Normal 3 2 2 2 2 2 2 14 2 2 2 4" xfId="24376"/>
    <cellStyle name="Normal 3 2 2 2 2 2 2 14 2 2 2 5" xfId="24377"/>
    <cellStyle name="Normal 3 2 2 2 2 2 2 14 2 2 2 6" xfId="24378"/>
    <cellStyle name="Normal 3 2 2 2 2 2 2 14 2 2 2 7" xfId="24379"/>
    <cellStyle name="Normal 3 2 2 2 2 2 2 14 2 2 2 8" xfId="24380"/>
    <cellStyle name="Normal 3 2 2 2 2 2 2 14 2 2 2 8 2" xfId="24381"/>
    <cellStyle name="Normal 3 2 2 2 2 2 2 14 2 2 2 8 3" xfId="24382"/>
    <cellStyle name="Normal 3 2 2 2 2 2 2 14 2 2 2 8 4" xfId="24383"/>
    <cellStyle name="Normal 3 2 2 2 2 2 2 14 2 2 2 9" xfId="24384"/>
    <cellStyle name="Normal 3 2 2 2 2 2 2 14 2 2 3" xfId="24385"/>
    <cellStyle name="Normal 3 2 2 2 2 2 2 14 2 2 3 2" xfId="24386"/>
    <cellStyle name="Normal 3 2 2 2 2 2 2 14 2 2 3 2 2" xfId="24387"/>
    <cellStyle name="Normal 3 2 2 2 2 2 2 14 2 2 3 2 3" xfId="24388"/>
    <cellStyle name="Normal 3 2 2 2 2 2 2 14 2 2 3 2 4" xfId="24389"/>
    <cellStyle name="Normal 3 2 2 2 2 2 2 14 2 2 3 3" xfId="24390"/>
    <cellStyle name="Normal 3 2 2 2 2 2 2 14 2 2 3 4" xfId="24391"/>
    <cellStyle name="Normal 3 2 2 2 2 2 2 14 2 2 3 5" xfId="24392"/>
    <cellStyle name="Normal 3 2 2 2 2 2 2 14 2 2 3 6" xfId="24393"/>
    <cellStyle name="Normal 3 2 2 2 2 2 2 14 2 2 4" xfId="24394"/>
    <cellStyle name="Normal 3 2 2 2 2 2 2 14 2 2 5" xfId="24395"/>
    <cellStyle name="Normal 3 2 2 2 2 2 2 14 2 2 6" xfId="24396"/>
    <cellStyle name="Normal 3 2 2 2 2 2 2 14 2 2 7" xfId="24397"/>
    <cellStyle name="Normal 3 2 2 2 2 2 2 14 2 2 8" xfId="24398"/>
    <cellStyle name="Normal 3 2 2 2 2 2 2 14 2 2 8 2" xfId="24399"/>
    <cellStyle name="Normal 3 2 2 2 2 2 2 14 2 2 8 3" xfId="24400"/>
    <cellStyle name="Normal 3 2 2 2 2 2 2 14 2 2 8 4" xfId="24401"/>
    <cellStyle name="Normal 3 2 2 2 2 2 2 14 2 2 9" xfId="24402"/>
    <cellStyle name="Normal 3 2 2 2 2 2 2 14 2 3" xfId="24403"/>
    <cellStyle name="Normal 3 2 2 2 2 2 2 14 2 4" xfId="24404"/>
    <cellStyle name="Normal 3 2 2 2 2 2 2 14 2 5" xfId="24405"/>
    <cellStyle name="Normal 3 2 2 2 2 2 2 14 2 5 2" xfId="24406"/>
    <cellStyle name="Normal 3 2 2 2 2 2 2 14 2 5 2 2" xfId="24407"/>
    <cellStyle name="Normal 3 2 2 2 2 2 2 14 2 5 2 3" xfId="24408"/>
    <cellStyle name="Normal 3 2 2 2 2 2 2 14 2 5 2 4" xfId="24409"/>
    <cellStyle name="Normal 3 2 2 2 2 2 2 14 2 5 3" xfId="24410"/>
    <cellStyle name="Normal 3 2 2 2 2 2 2 14 2 5 4" xfId="24411"/>
    <cellStyle name="Normal 3 2 2 2 2 2 2 14 2 5 5" xfId="24412"/>
    <cellStyle name="Normal 3 2 2 2 2 2 2 14 2 5 6" xfId="24413"/>
    <cellStyle name="Normal 3 2 2 2 2 2 2 14 2 6" xfId="24414"/>
    <cellStyle name="Normal 3 2 2 2 2 2 2 14 2 7" xfId="24415"/>
    <cellStyle name="Normal 3 2 2 2 2 2 2 14 2 8" xfId="24416"/>
    <cellStyle name="Normal 3 2 2 2 2 2 2 14 2 9" xfId="24417"/>
    <cellStyle name="Normal 3 2 2 2 2 2 2 14 3" xfId="24418"/>
    <cellStyle name="Normal 3 2 2 2 2 2 2 14 4" xfId="24419"/>
    <cellStyle name="Normal 3 2 2 2 2 2 2 14 5" xfId="24420"/>
    <cellStyle name="Normal 3 2 2 2 2 2 2 14 5 10" xfId="24421"/>
    <cellStyle name="Normal 3 2 2 2 2 2 2 14 5 11" xfId="24422"/>
    <cellStyle name="Normal 3 2 2 2 2 2 2 14 5 2" xfId="24423"/>
    <cellStyle name="Normal 3 2 2 2 2 2 2 14 5 2 10" xfId="24424"/>
    <cellStyle name="Normal 3 2 2 2 2 2 2 14 5 2 11" xfId="24425"/>
    <cellStyle name="Normal 3 2 2 2 2 2 2 14 5 2 2" xfId="24426"/>
    <cellStyle name="Normal 3 2 2 2 2 2 2 14 5 2 2 2" xfId="24427"/>
    <cellStyle name="Normal 3 2 2 2 2 2 2 14 5 2 2 2 2" xfId="24428"/>
    <cellStyle name="Normal 3 2 2 2 2 2 2 14 5 2 2 2 3" xfId="24429"/>
    <cellStyle name="Normal 3 2 2 2 2 2 2 14 5 2 2 2 4" xfId="24430"/>
    <cellStyle name="Normal 3 2 2 2 2 2 2 14 5 2 2 3" xfId="24431"/>
    <cellStyle name="Normal 3 2 2 2 2 2 2 14 5 2 2 4" xfId="24432"/>
    <cellStyle name="Normal 3 2 2 2 2 2 2 14 5 2 2 5" xfId="24433"/>
    <cellStyle name="Normal 3 2 2 2 2 2 2 14 5 2 2 6" xfId="24434"/>
    <cellStyle name="Normal 3 2 2 2 2 2 2 14 5 2 3" xfId="24435"/>
    <cellStyle name="Normal 3 2 2 2 2 2 2 14 5 2 4" xfId="24436"/>
    <cellStyle name="Normal 3 2 2 2 2 2 2 14 5 2 5" xfId="24437"/>
    <cellStyle name="Normal 3 2 2 2 2 2 2 14 5 2 6" xfId="24438"/>
    <cellStyle name="Normal 3 2 2 2 2 2 2 14 5 2 7" xfId="24439"/>
    <cellStyle name="Normal 3 2 2 2 2 2 2 14 5 2 8" xfId="24440"/>
    <cellStyle name="Normal 3 2 2 2 2 2 2 14 5 2 8 2" xfId="24441"/>
    <cellStyle name="Normal 3 2 2 2 2 2 2 14 5 2 8 3" xfId="24442"/>
    <cellStyle name="Normal 3 2 2 2 2 2 2 14 5 2 8 4" xfId="24443"/>
    <cellStyle name="Normal 3 2 2 2 2 2 2 14 5 2 9" xfId="24444"/>
    <cellStyle name="Normal 3 2 2 2 2 2 2 14 5 3" xfId="24445"/>
    <cellStyle name="Normal 3 2 2 2 2 2 2 14 5 3 2" xfId="24446"/>
    <cellStyle name="Normal 3 2 2 2 2 2 2 14 5 3 2 2" xfId="24447"/>
    <cellStyle name="Normal 3 2 2 2 2 2 2 14 5 3 2 3" xfId="24448"/>
    <cellStyle name="Normal 3 2 2 2 2 2 2 14 5 3 2 4" xfId="24449"/>
    <cellStyle name="Normal 3 2 2 2 2 2 2 14 5 3 3" xfId="24450"/>
    <cellStyle name="Normal 3 2 2 2 2 2 2 14 5 3 4" xfId="24451"/>
    <cellStyle name="Normal 3 2 2 2 2 2 2 14 5 3 5" xfId="24452"/>
    <cellStyle name="Normal 3 2 2 2 2 2 2 14 5 3 6" xfId="24453"/>
    <cellStyle name="Normal 3 2 2 2 2 2 2 14 5 4" xfId="24454"/>
    <cellStyle name="Normal 3 2 2 2 2 2 2 14 5 5" xfId="24455"/>
    <cellStyle name="Normal 3 2 2 2 2 2 2 14 5 6" xfId="24456"/>
    <cellStyle name="Normal 3 2 2 2 2 2 2 14 5 7" xfId="24457"/>
    <cellStyle name="Normal 3 2 2 2 2 2 2 14 5 8" xfId="24458"/>
    <cellStyle name="Normal 3 2 2 2 2 2 2 14 5 8 2" xfId="24459"/>
    <cellStyle name="Normal 3 2 2 2 2 2 2 14 5 8 3" xfId="24460"/>
    <cellStyle name="Normal 3 2 2 2 2 2 2 14 5 8 4" xfId="24461"/>
    <cellStyle name="Normal 3 2 2 2 2 2 2 14 5 9" xfId="24462"/>
    <cellStyle name="Normal 3 2 2 2 2 2 2 14 6" xfId="24463"/>
    <cellStyle name="Normal 3 2 2 2 2 2 2 14 7" xfId="24464"/>
    <cellStyle name="Normal 3 2 2 2 2 2 2 14 7 2" xfId="24465"/>
    <cellStyle name="Normal 3 2 2 2 2 2 2 14 7 2 2" xfId="24466"/>
    <cellStyle name="Normal 3 2 2 2 2 2 2 14 7 2 3" xfId="24467"/>
    <cellStyle name="Normal 3 2 2 2 2 2 2 14 7 2 4" xfId="24468"/>
    <cellStyle name="Normal 3 2 2 2 2 2 2 14 7 3" xfId="24469"/>
    <cellStyle name="Normal 3 2 2 2 2 2 2 14 7 4" xfId="24470"/>
    <cellStyle name="Normal 3 2 2 2 2 2 2 14 7 5" xfId="24471"/>
    <cellStyle name="Normal 3 2 2 2 2 2 2 14 7 6" xfId="24472"/>
    <cellStyle name="Normal 3 2 2 2 2 2 2 14 8" xfId="24473"/>
    <cellStyle name="Normal 3 2 2 2 2 2 2 14 9" xfId="24474"/>
    <cellStyle name="Normal 3 2 2 2 2 2 2 15" xfId="24475"/>
    <cellStyle name="Normal 3 2 2 2 2 2 2 16" xfId="24476"/>
    <cellStyle name="Normal 3 2 2 2 2 2 2 17" xfId="24477"/>
    <cellStyle name="Normal 3 2 2 2 2 2 2 18" xfId="24478"/>
    <cellStyle name="Normal 3 2 2 2 2 2 2 19" xfId="24479"/>
    <cellStyle name="Normal 3 2 2 2 2 2 2 2" xfId="24480"/>
    <cellStyle name="Normal 3 2 2 2 2 2 2 2 10" xfId="24481"/>
    <cellStyle name="Normal 3 2 2 2 2 2 2 2 11" xfId="24482"/>
    <cellStyle name="Normal 3 2 2 2 2 2 2 2 12" xfId="24483"/>
    <cellStyle name="Normal 3 2 2 2 2 2 2 2 12 10" xfId="24484"/>
    <cellStyle name="Normal 3 2 2 2 2 2 2 2 12 11" xfId="24485"/>
    <cellStyle name="Normal 3 2 2 2 2 2 2 2 12 11 10" xfId="24486"/>
    <cellStyle name="Normal 3 2 2 2 2 2 2 2 12 11 11" xfId="24487"/>
    <cellStyle name="Normal 3 2 2 2 2 2 2 2 12 11 11 2" xfId="24488"/>
    <cellStyle name="Normal 3 2 2 2 2 2 2 2 12 11 11 3" xfId="24489"/>
    <cellStyle name="Normal 3 2 2 2 2 2 2 2 12 11 11 4" xfId="24490"/>
    <cellStyle name="Normal 3 2 2 2 2 2 2 2 12 11 12" xfId="24491"/>
    <cellStyle name="Normal 3 2 2 2 2 2 2 2 12 11 13" xfId="24492"/>
    <cellStyle name="Normal 3 2 2 2 2 2 2 2 12 11 14" xfId="24493"/>
    <cellStyle name="Normal 3 2 2 2 2 2 2 2 12 11 2" xfId="24494"/>
    <cellStyle name="Normal 3 2 2 2 2 2 2 2 12 11 2 10" xfId="24495"/>
    <cellStyle name="Normal 3 2 2 2 2 2 2 2 12 11 2 11" xfId="24496"/>
    <cellStyle name="Normal 3 2 2 2 2 2 2 2 12 11 2 2" xfId="24497"/>
    <cellStyle name="Normal 3 2 2 2 2 2 2 2 12 11 2 2 10" xfId="24498"/>
    <cellStyle name="Normal 3 2 2 2 2 2 2 2 12 11 2 2 11" xfId="24499"/>
    <cellStyle name="Normal 3 2 2 2 2 2 2 2 12 11 2 2 2" xfId="24500"/>
    <cellStyle name="Normal 3 2 2 2 2 2 2 2 12 11 2 2 2 2" xfId="24501"/>
    <cellStyle name="Normal 3 2 2 2 2 2 2 2 12 11 2 2 2 2 2" xfId="24502"/>
    <cellStyle name="Normal 3 2 2 2 2 2 2 2 12 11 2 2 2 2 3" xfId="24503"/>
    <cellStyle name="Normal 3 2 2 2 2 2 2 2 12 11 2 2 2 2 4" xfId="24504"/>
    <cellStyle name="Normal 3 2 2 2 2 2 2 2 12 11 2 2 2 3" xfId="24505"/>
    <cellStyle name="Normal 3 2 2 2 2 2 2 2 12 11 2 2 2 4" xfId="24506"/>
    <cellStyle name="Normal 3 2 2 2 2 2 2 2 12 11 2 2 2 5" xfId="24507"/>
    <cellStyle name="Normal 3 2 2 2 2 2 2 2 12 11 2 2 2 6" xfId="24508"/>
    <cellStyle name="Normal 3 2 2 2 2 2 2 2 12 11 2 2 3" xfId="24509"/>
    <cellStyle name="Normal 3 2 2 2 2 2 2 2 12 11 2 2 4" xfId="24510"/>
    <cellStyle name="Normal 3 2 2 2 2 2 2 2 12 11 2 2 5" xfId="24511"/>
    <cellStyle name="Normal 3 2 2 2 2 2 2 2 12 11 2 2 6" xfId="24512"/>
    <cellStyle name="Normal 3 2 2 2 2 2 2 2 12 11 2 2 7" xfId="24513"/>
    <cellStyle name="Normal 3 2 2 2 2 2 2 2 12 11 2 2 8" xfId="24514"/>
    <cellStyle name="Normal 3 2 2 2 2 2 2 2 12 11 2 2 8 2" xfId="24515"/>
    <cellStyle name="Normal 3 2 2 2 2 2 2 2 12 11 2 2 8 3" xfId="24516"/>
    <cellStyle name="Normal 3 2 2 2 2 2 2 2 12 11 2 2 8 4" xfId="24517"/>
    <cellStyle name="Normal 3 2 2 2 2 2 2 2 12 11 2 2 9" xfId="24518"/>
    <cellStyle name="Normal 3 2 2 2 2 2 2 2 12 11 2 3" xfId="24519"/>
    <cellStyle name="Normal 3 2 2 2 2 2 2 2 12 11 2 3 2" xfId="24520"/>
    <cellStyle name="Normal 3 2 2 2 2 2 2 2 12 11 2 3 2 2" xfId="24521"/>
    <cellStyle name="Normal 3 2 2 2 2 2 2 2 12 11 2 3 2 3" xfId="24522"/>
    <cellStyle name="Normal 3 2 2 2 2 2 2 2 12 11 2 3 2 4" xfId="24523"/>
    <cellStyle name="Normal 3 2 2 2 2 2 2 2 12 11 2 3 3" xfId="24524"/>
    <cellStyle name="Normal 3 2 2 2 2 2 2 2 12 11 2 3 4" xfId="24525"/>
    <cellStyle name="Normal 3 2 2 2 2 2 2 2 12 11 2 3 5" xfId="24526"/>
    <cellStyle name="Normal 3 2 2 2 2 2 2 2 12 11 2 3 6" xfId="24527"/>
    <cellStyle name="Normal 3 2 2 2 2 2 2 2 12 11 2 4" xfId="24528"/>
    <cellStyle name="Normal 3 2 2 2 2 2 2 2 12 11 2 5" xfId="24529"/>
    <cellStyle name="Normal 3 2 2 2 2 2 2 2 12 11 2 6" xfId="24530"/>
    <cellStyle name="Normal 3 2 2 2 2 2 2 2 12 11 2 7" xfId="24531"/>
    <cellStyle name="Normal 3 2 2 2 2 2 2 2 12 11 2 8" xfId="24532"/>
    <cellStyle name="Normal 3 2 2 2 2 2 2 2 12 11 2 8 2" xfId="24533"/>
    <cellStyle name="Normal 3 2 2 2 2 2 2 2 12 11 2 8 3" xfId="24534"/>
    <cellStyle name="Normal 3 2 2 2 2 2 2 2 12 11 2 8 4" xfId="24535"/>
    <cellStyle name="Normal 3 2 2 2 2 2 2 2 12 11 2 9" xfId="24536"/>
    <cellStyle name="Normal 3 2 2 2 2 2 2 2 12 11 3" xfId="24537"/>
    <cellStyle name="Normal 3 2 2 2 2 2 2 2 12 11 4" xfId="24538"/>
    <cellStyle name="Normal 3 2 2 2 2 2 2 2 12 11 5" xfId="24539"/>
    <cellStyle name="Normal 3 2 2 2 2 2 2 2 12 11 5 2" xfId="24540"/>
    <cellStyle name="Normal 3 2 2 2 2 2 2 2 12 11 5 2 2" xfId="24541"/>
    <cellStyle name="Normal 3 2 2 2 2 2 2 2 12 11 5 2 3" xfId="24542"/>
    <cellStyle name="Normal 3 2 2 2 2 2 2 2 12 11 5 2 4" xfId="24543"/>
    <cellStyle name="Normal 3 2 2 2 2 2 2 2 12 11 5 3" xfId="24544"/>
    <cellStyle name="Normal 3 2 2 2 2 2 2 2 12 11 5 4" xfId="24545"/>
    <cellStyle name="Normal 3 2 2 2 2 2 2 2 12 11 5 5" xfId="24546"/>
    <cellStyle name="Normal 3 2 2 2 2 2 2 2 12 11 5 6" xfId="24547"/>
    <cellStyle name="Normal 3 2 2 2 2 2 2 2 12 11 6" xfId="24548"/>
    <cellStyle name="Normal 3 2 2 2 2 2 2 2 12 11 7" xfId="24549"/>
    <cellStyle name="Normal 3 2 2 2 2 2 2 2 12 11 8" xfId="24550"/>
    <cellStyle name="Normal 3 2 2 2 2 2 2 2 12 11 9" xfId="24551"/>
    <cellStyle name="Normal 3 2 2 2 2 2 2 2 12 12" xfId="24552"/>
    <cellStyle name="Normal 3 2 2 2 2 2 2 2 12 13" xfId="24553"/>
    <cellStyle name="Normal 3 2 2 2 2 2 2 2 12 13 10" xfId="24554"/>
    <cellStyle name="Normal 3 2 2 2 2 2 2 2 12 13 11" xfId="24555"/>
    <cellStyle name="Normal 3 2 2 2 2 2 2 2 12 13 2" xfId="24556"/>
    <cellStyle name="Normal 3 2 2 2 2 2 2 2 12 13 2 10" xfId="24557"/>
    <cellStyle name="Normal 3 2 2 2 2 2 2 2 12 13 2 11" xfId="24558"/>
    <cellStyle name="Normal 3 2 2 2 2 2 2 2 12 13 2 2" xfId="24559"/>
    <cellStyle name="Normal 3 2 2 2 2 2 2 2 12 13 2 2 2" xfId="24560"/>
    <cellStyle name="Normal 3 2 2 2 2 2 2 2 12 13 2 2 2 2" xfId="24561"/>
    <cellStyle name="Normal 3 2 2 2 2 2 2 2 12 13 2 2 2 3" xfId="24562"/>
    <cellStyle name="Normal 3 2 2 2 2 2 2 2 12 13 2 2 2 4" xfId="24563"/>
    <cellStyle name="Normal 3 2 2 2 2 2 2 2 12 13 2 2 3" xfId="24564"/>
    <cellStyle name="Normal 3 2 2 2 2 2 2 2 12 13 2 2 4" xfId="24565"/>
    <cellStyle name="Normal 3 2 2 2 2 2 2 2 12 13 2 2 5" xfId="24566"/>
    <cellStyle name="Normal 3 2 2 2 2 2 2 2 12 13 2 2 6" xfId="24567"/>
    <cellStyle name="Normal 3 2 2 2 2 2 2 2 12 13 2 3" xfId="24568"/>
    <cellStyle name="Normal 3 2 2 2 2 2 2 2 12 13 2 4" xfId="24569"/>
    <cellStyle name="Normal 3 2 2 2 2 2 2 2 12 13 2 5" xfId="24570"/>
    <cellStyle name="Normal 3 2 2 2 2 2 2 2 12 13 2 6" xfId="24571"/>
    <cellStyle name="Normal 3 2 2 2 2 2 2 2 12 13 2 7" xfId="24572"/>
    <cellStyle name="Normal 3 2 2 2 2 2 2 2 12 13 2 8" xfId="24573"/>
    <cellStyle name="Normal 3 2 2 2 2 2 2 2 12 13 2 8 2" xfId="24574"/>
    <cellStyle name="Normal 3 2 2 2 2 2 2 2 12 13 2 8 3" xfId="24575"/>
    <cellStyle name="Normal 3 2 2 2 2 2 2 2 12 13 2 8 4" xfId="24576"/>
    <cellStyle name="Normal 3 2 2 2 2 2 2 2 12 13 2 9" xfId="24577"/>
    <cellStyle name="Normal 3 2 2 2 2 2 2 2 12 13 3" xfId="24578"/>
    <cellStyle name="Normal 3 2 2 2 2 2 2 2 12 13 3 2" xfId="24579"/>
    <cellStyle name="Normal 3 2 2 2 2 2 2 2 12 13 3 2 2" xfId="24580"/>
    <cellStyle name="Normal 3 2 2 2 2 2 2 2 12 13 3 2 3" xfId="24581"/>
    <cellStyle name="Normal 3 2 2 2 2 2 2 2 12 13 3 2 4" xfId="24582"/>
    <cellStyle name="Normal 3 2 2 2 2 2 2 2 12 13 3 3" xfId="24583"/>
    <cellStyle name="Normal 3 2 2 2 2 2 2 2 12 13 3 4" xfId="24584"/>
    <cellStyle name="Normal 3 2 2 2 2 2 2 2 12 13 3 5" xfId="24585"/>
    <cellStyle name="Normal 3 2 2 2 2 2 2 2 12 13 3 6" xfId="24586"/>
    <cellStyle name="Normal 3 2 2 2 2 2 2 2 12 13 4" xfId="24587"/>
    <cellStyle name="Normal 3 2 2 2 2 2 2 2 12 13 5" xfId="24588"/>
    <cellStyle name="Normal 3 2 2 2 2 2 2 2 12 13 6" xfId="24589"/>
    <cellStyle name="Normal 3 2 2 2 2 2 2 2 12 13 7" xfId="24590"/>
    <cellStyle name="Normal 3 2 2 2 2 2 2 2 12 13 8" xfId="24591"/>
    <cellStyle name="Normal 3 2 2 2 2 2 2 2 12 13 8 2" xfId="24592"/>
    <cellStyle name="Normal 3 2 2 2 2 2 2 2 12 13 8 3" xfId="24593"/>
    <cellStyle name="Normal 3 2 2 2 2 2 2 2 12 13 8 4" xfId="24594"/>
    <cellStyle name="Normal 3 2 2 2 2 2 2 2 12 13 9" xfId="24595"/>
    <cellStyle name="Normal 3 2 2 2 2 2 2 2 12 14" xfId="24596"/>
    <cellStyle name="Normal 3 2 2 2 2 2 2 2 12 15" xfId="24597"/>
    <cellStyle name="Normal 3 2 2 2 2 2 2 2 12 15 2" xfId="24598"/>
    <cellStyle name="Normal 3 2 2 2 2 2 2 2 12 15 2 2" xfId="24599"/>
    <cellStyle name="Normal 3 2 2 2 2 2 2 2 12 15 2 3" xfId="24600"/>
    <cellStyle name="Normal 3 2 2 2 2 2 2 2 12 15 2 4" xfId="24601"/>
    <cellStyle name="Normal 3 2 2 2 2 2 2 2 12 15 3" xfId="24602"/>
    <cellStyle name="Normal 3 2 2 2 2 2 2 2 12 15 4" xfId="24603"/>
    <cellStyle name="Normal 3 2 2 2 2 2 2 2 12 15 5" xfId="24604"/>
    <cellStyle name="Normal 3 2 2 2 2 2 2 2 12 15 6" xfId="24605"/>
    <cellStyle name="Normal 3 2 2 2 2 2 2 2 12 16" xfId="24606"/>
    <cellStyle name="Normal 3 2 2 2 2 2 2 2 12 17" xfId="24607"/>
    <cellStyle name="Normal 3 2 2 2 2 2 2 2 12 18" xfId="24608"/>
    <cellStyle name="Normal 3 2 2 2 2 2 2 2 12 19" xfId="24609"/>
    <cellStyle name="Normal 3 2 2 2 2 2 2 2 12 2" xfId="24610"/>
    <cellStyle name="Normal 3 2 2 2 2 2 2 2 12 2 10" xfId="24611"/>
    <cellStyle name="Normal 3 2 2 2 2 2 2 2 12 2 11" xfId="24612"/>
    <cellStyle name="Normal 3 2 2 2 2 2 2 2 12 2 12" xfId="24613"/>
    <cellStyle name="Normal 3 2 2 2 2 2 2 2 12 2 13" xfId="24614"/>
    <cellStyle name="Normal 3 2 2 2 2 2 2 2 12 2 13 2" xfId="24615"/>
    <cellStyle name="Normal 3 2 2 2 2 2 2 2 12 2 13 3" xfId="24616"/>
    <cellStyle name="Normal 3 2 2 2 2 2 2 2 12 2 13 4" xfId="24617"/>
    <cellStyle name="Normal 3 2 2 2 2 2 2 2 12 2 14" xfId="24618"/>
    <cellStyle name="Normal 3 2 2 2 2 2 2 2 12 2 15" xfId="24619"/>
    <cellStyle name="Normal 3 2 2 2 2 2 2 2 12 2 16" xfId="24620"/>
    <cellStyle name="Normal 3 2 2 2 2 2 2 2 12 2 2" xfId="24621"/>
    <cellStyle name="Normal 3 2 2 2 2 2 2 2 12 2 2 10" xfId="24622"/>
    <cellStyle name="Normal 3 2 2 2 2 2 2 2 12 2 2 11" xfId="24623"/>
    <cellStyle name="Normal 3 2 2 2 2 2 2 2 12 2 2 11 2" xfId="24624"/>
    <cellStyle name="Normal 3 2 2 2 2 2 2 2 12 2 2 11 3" xfId="24625"/>
    <cellStyle name="Normal 3 2 2 2 2 2 2 2 12 2 2 11 4" xfId="24626"/>
    <cellStyle name="Normal 3 2 2 2 2 2 2 2 12 2 2 12" xfId="24627"/>
    <cellStyle name="Normal 3 2 2 2 2 2 2 2 12 2 2 13" xfId="24628"/>
    <cellStyle name="Normal 3 2 2 2 2 2 2 2 12 2 2 14" xfId="24629"/>
    <cellStyle name="Normal 3 2 2 2 2 2 2 2 12 2 2 2" xfId="24630"/>
    <cellStyle name="Normal 3 2 2 2 2 2 2 2 12 2 2 2 10" xfId="24631"/>
    <cellStyle name="Normal 3 2 2 2 2 2 2 2 12 2 2 2 11" xfId="24632"/>
    <cellStyle name="Normal 3 2 2 2 2 2 2 2 12 2 2 2 2" xfId="24633"/>
    <cellStyle name="Normal 3 2 2 2 2 2 2 2 12 2 2 2 2 10" xfId="24634"/>
    <cellStyle name="Normal 3 2 2 2 2 2 2 2 12 2 2 2 2 11" xfId="24635"/>
    <cellStyle name="Normal 3 2 2 2 2 2 2 2 12 2 2 2 2 2" xfId="24636"/>
    <cellStyle name="Normal 3 2 2 2 2 2 2 2 12 2 2 2 2 2 2" xfId="24637"/>
    <cellStyle name="Normal 3 2 2 2 2 2 2 2 12 2 2 2 2 2 2 2" xfId="24638"/>
    <cellStyle name="Normal 3 2 2 2 2 2 2 2 12 2 2 2 2 2 2 3" xfId="24639"/>
    <cellStyle name="Normal 3 2 2 2 2 2 2 2 12 2 2 2 2 2 2 4" xfId="24640"/>
    <cellStyle name="Normal 3 2 2 2 2 2 2 2 12 2 2 2 2 2 3" xfId="24641"/>
    <cellStyle name="Normal 3 2 2 2 2 2 2 2 12 2 2 2 2 2 4" xfId="24642"/>
    <cellStyle name="Normal 3 2 2 2 2 2 2 2 12 2 2 2 2 2 5" xfId="24643"/>
    <cellStyle name="Normal 3 2 2 2 2 2 2 2 12 2 2 2 2 2 6" xfId="24644"/>
    <cellStyle name="Normal 3 2 2 2 2 2 2 2 12 2 2 2 2 3" xfId="24645"/>
    <cellStyle name="Normal 3 2 2 2 2 2 2 2 12 2 2 2 2 4" xfId="24646"/>
    <cellStyle name="Normal 3 2 2 2 2 2 2 2 12 2 2 2 2 5" xfId="24647"/>
    <cellStyle name="Normal 3 2 2 2 2 2 2 2 12 2 2 2 2 6" xfId="24648"/>
    <cellStyle name="Normal 3 2 2 2 2 2 2 2 12 2 2 2 2 7" xfId="24649"/>
    <cellStyle name="Normal 3 2 2 2 2 2 2 2 12 2 2 2 2 8" xfId="24650"/>
    <cellStyle name="Normal 3 2 2 2 2 2 2 2 12 2 2 2 2 8 2" xfId="24651"/>
    <cellStyle name="Normal 3 2 2 2 2 2 2 2 12 2 2 2 2 8 3" xfId="24652"/>
    <cellStyle name="Normal 3 2 2 2 2 2 2 2 12 2 2 2 2 8 4" xfId="24653"/>
    <cellStyle name="Normal 3 2 2 2 2 2 2 2 12 2 2 2 2 9" xfId="24654"/>
    <cellStyle name="Normal 3 2 2 2 2 2 2 2 12 2 2 2 3" xfId="24655"/>
    <cellStyle name="Normal 3 2 2 2 2 2 2 2 12 2 2 2 3 2" xfId="24656"/>
    <cellStyle name="Normal 3 2 2 2 2 2 2 2 12 2 2 2 3 2 2" xfId="24657"/>
    <cellStyle name="Normal 3 2 2 2 2 2 2 2 12 2 2 2 3 2 3" xfId="24658"/>
    <cellStyle name="Normal 3 2 2 2 2 2 2 2 12 2 2 2 3 2 4" xfId="24659"/>
    <cellStyle name="Normal 3 2 2 2 2 2 2 2 12 2 2 2 3 3" xfId="24660"/>
    <cellStyle name="Normal 3 2 2 2 2 2 2 2 12 2 2 2 3 4" xfId="24661"/>
    <cellStyle name="Normal 3 2 2 2 2 2 2 2 12 2 2 2 3 5" xfId="24662"/>
    <cellStyle name="Normal 3 2 2 2 2 2 2 2 12 2 2 2 3 6" xfId="24663"/>
    <cellStyle name="Normal 3 2 2 2 2 2 2 2 12 2 2 2 4" xfId="24664"/>
    <cellStyle name="Normal 3 2 2 2 2 2 2 2 12 2 2 2 5" xfId="24665"/>
    <cellStyle name="Normal 3 2 2 2 2 2 2 2 12 2 2 2 6" xfId="24666"/>
    <cellStyle name="Normal 3 2 2 2 2 2 2 2 12 2 2 2 7" xfId="24667"/>
    <cellStyle name="Normal 3 2 2 2 2 2 2 2 12 2 2 2 8" xfId="24668"/>
    <cellStyle name="Normal 3 2 2 2 2 2 2 2 12 2 2 2 8 2" xfId="24669"/>
    <cellStyle name="Normal 3 2 2 2 2 2 2 2 12 2 2 2 8 3" xfId="24670"/>
    <cellStyle name="Normal 3 2 2 2 2 2 2 2 12 2 2 2 8 4" xfId="24671"/>
    <cellStyle name="Normal 3 2 2 2 2 2 2 2 12 2 2 2 9" xfId="24672"/>
    <cellStyle name="Normal 3 2 2 2 2 2 2 2 12 2 2 3" xfId="24673"/>
    <cellStyle name="Normal 3 2 2 2 2 2 2 2 12 2 2 4" xfId="24674"/>
    <cellStyle name="Normal 3 2 2 2 2 2 2 2 12 2 2 5" xfId="24675"/>
    <cellStyle name="Normal 3 2 2 2 2 2 2 2 12 2 2 5 2" xfId="24676"/>
    <cellStyle name="Normal 3 2 2 2 2 2 2 2 12 2 2 5 2 2" xfId="24677"/>
    <cellStyle name="Normal 3 2 2 2 2 2 2 2 12 2 2 5 2 3" xfId="24678"/>
    <cellStyle name="Normal 3 2 2 2 2 2 2 2 12 2 2 5 2 4" xfId="24679"/>
    <cellStyle name="Normal 3 2 2 2 2 2 2 2 12 2 2 5 3" xfId="24680"/>
    <cellStyle name="Normal 3 2 2 2 2 2 2 2 12 2 2 5 4" xfId="24681"/>
    <cellStyle name="Normal 3 2 2 2 2 2 2 2 12 2 2 5 5" xfId="24682"/>
    <cellStyle name="Normal 3 2 2 2 2 2 2 2 12 2 2 5 6" xfId="24683"/>
    <cellStyle name="Normal 3 2 2 2 2 2 2 2 12 2 2 6" xfId="24684"/>
    <cellStyle name="Normal 3 2 2 2 2 2 2 2 12 2 2 7" xfId="24685"/>
    <cellStyle name="Normal 3 2 2 2 2 2 2 2 12 2 2 8" xfId="24686"/>
    <cellStyle name="Normal 3 2 2 2 2 2 2 2 12 2 2 9" xfId="24687"/>
    <cellStyle name="Normal 3 2 2 2 2 2 2 2 12 2 3" xfId="24688"/>
    <cellStyle name="Normal 3 2 2 2 2 2 2 2 12 2 4" xfId="24689"/>
    <cellStyle name="Normal 3 2 2 2 2 2 2 2 12 2 5" xfId="24690"/>
    <cellStyle name="Normal 3 2 2 2 2 2 2 2 12 2 5 10" xfId="24691"/>
    <cellStyle name="Normal 3 2 2 2 2 2 2 2 12 2 5 11" xfId="24692"/>
    <cellStyle name="Normal 3 2 2 2 2 2 2 2 12 2 5 2" xfId="24693"/>
    <cellStyle name="Normal 3 2 2 2 2 2 2 2 12 2 5 2 10" xfId="24694"/>
    <cellStyle name="Normal 3 2 2 2 2 2 2 2 12 2 5 2 11" xfId="24695"/>
    <cellStyle name="Normal 3 2 2 2 2 2 2 2 12 2 5 2 2" xfId="24696"/>
    <cellStyle name="Normal 3 2 2 2 2 2 2 2 12 2 5 2 2 2" xfId="24697"/>
    <cellStyle name="Normal 3 2 2 2 2 2 2 2 12 2 5 2 2 2 2" xfId="24698"/>
    <cellStyle name="Normal 3 2 2 2 2 2 2 2 12 2 5 2 2 2 3" xfId="24699"/>
    <cellStyle name="Normal 3 2 2 2 2 2 2 2 12 2 5 2 2 2 4" xfId="24700"/>
    <cellStyle name="Normal 3 2 2 2 2 2 2 2 12 2 5 2 2 3" xfId="24701"/>
    <cellStyle name="Normal 3 2 2 2 2 2 2 2 12 2 5 2 2 4" xfId="24702"/>
    <cellStyle name="Normal 3 2 2 2 2 2 2 2 12 2 5 2 2 5" xfId="24703"/>
    <cellStyle name="Normal 3 2 2 2 2 2 2 2 12 2 5 2 2 6" xfId="24704"/>
    <cellStyle name="Normal 3 2 2 2 2 2 2 2 12 2 5 2 3" xfId="24705"/>
    <cellStyle name="Normal 3 2 2 2 2 2 2 2 12 2 5 2 4" xfId="24706"/>
    <cellStyle name="Normal 3 2 2 2 2 2 2 2 12 2 5 2 5" xfId="24707"/>
    <cellStyle name="Normal 3 2 2 2 2 2 2 2 12 2 5 2 6" xfId="24708"/>
    <cellStyle name="Normal 3 2 2 2 2 2 2 2 12 2 5 2 7" xfId="24709"/>
    <cellStyle name="Normal 3 2 2 2 2 2 2 2 12 2 5 2 8" xfId="24710"/>
    <cellStyle name="Normal 3 2 2 2 2 2 2 2 12 2 5 2 8 2" xfId="24711"/>
    <cellStyle name="Normal 3 2 2 2 2 2 2 2 12 2 5 2 8 3" xfId="24712"/>
    <cellStyle name="Normal 3 2 2 2 2 2 2 2 12 2 5 2 8 4" xfId="24713"/>
    <cellStyle name="Normal 3 2 2 2 2 2 2 2 12 2 5 2 9" xfId="24714"/>
    <cellStyle name="Normal 3 2 2 2 2 2 2 2 12 2 5 3" xfId="24715"/>
    <cellStyle name="Normal 3 2 2 2 2 2 2 2 12 2 5 3 2" xfId="24716"/>
    <cellStyle name="Normal 3 2 2 2 2 2 2 2 12 2 5 3 2 2" xfId="24717"/>
    <cellStyle name="Normal 3 2 2 2 2 2 2 2 12 2 5 3 2 3" xfId="24718"/>
    <cellStyle name="Normal 3 2 2 2 2 2 2 2 12 2 5 3 2 4" xfId="24719"/>
    <cellStyle name="Normal 3 2 2 2 2 2 2 2 12 2 5 3 3" xfId="24720"/>
    <cellStyle name="Normal 3 2 2 2 2 2 2 2 12 2 5 3 4" xfId="24721"/>
    <cellStyle name="Normal 3 2 2 2 2 2 2 2 12 2 5 3 5" xfId="24722"/>
    <cellStyle name="Normal 3 2 2 2 2 2 2 2 12 2 5 3 6" xfId="24723"/>
    <cellStyle name="Normal 3 2 2 2 2 2 2 2 12 2 5 4" xfId="24724"/>
    <cellStyle name="Normal 3 2 2 2 2 2 2 2 12 2 5 5" xfId="24725"/>
    <cellStyle name="Normal 3 2 2 2 2 2 2 2 12 2 5 6" xfId="24726"/>
    <cellStyle name="Normal 3 2 2 2 2 2 2 2 12 2 5 7" xfId="24727"/>
    <cellStyle name="Normal 3 2 2 2 2 2 2 2 12 2 5 8" xfId="24728"/>
    <cellStyle name="Normal 3 2 2 2 2 2 2 2 12 2 5 8 2" xfId="24729"/>
    <cellStyle name="Normal 3 2 2 2 2 2 2 2 12 2 5 8 3" xfId="24730"/>
    <cellStyle name="Normal 3 2 2 2 2 2 2 2 12 2 5 8 4" xfId="24731"/>
    <cellStyle name="Normal 3 2 2 2 2 2 2 2 12 2 5 9" xfId="24732"/>
    <cellStyle name="Normal 3 2 2 2 2 2 2 2 12 2 6" xfId="24733"/>
    <cellStyle name="Normal 3 2 2 2 2 2 2 2 12 2 7" xfId="24734"/>
    <cellStyle name="Normal 3 2 2 2 2 2 2 2 12 2 7 2" xfId="24735"/>
    <cellStyle name="Normal 3 2 2 2 2 2 2 2 12 2 7 2 2" xfId="24736"/>
    <cellStyle name="Normal 3 2 2 2 2 2 2 2 12 2 7 2 3" xfId="24737"/>
    <cellStyle name="Normal 3 2 2 2 2 2 2 2 12 2 7 2 4" xfId="24738"/>
    <cellStyle name="Normal 3 2 2 2 2 2 2 2 12 2 7 3" xfId="24739"/>
    <cellStyle name="Normal 3 2 2 2 2 2 2 2 12 2 7 4" xfId="24740"/>
    <cellStyle name="Normal 3 2 2 2 2 2 2 2 12 2 7 5" xfId="24741"/>
    <cellStyle name="Normal 3 2 2 2 2 2 2 2 12 2 7 6" xfId="24742"/>
    <cellStyle name="Normal 3 2 2 2 2 2 2 2 12 2 8" xfId="24743"/>
    <cellStyle name="Normal 3 2 2 2 2 2 2 2 12 2 9" xfId="24744"/>
    <cellStyle name="Normal 3 2 2 2 2 2 2 2 12 20" xfId="24745"/>
    <cellStyle name="Normal 3 2 2 2 2 2 2 2 12 21" xfId="24746"/>
    <cellStyle name="Normal 3 2 2 2 2 2 2 2 12 21 2" xfId="24747"/>
    <cellStyle name="Normal 3 2 2 2 2 2 2 2 12 21 3" xfId="24748"/>
    <cellStyle name="Normal 3 2 2 2 2 2 2 2 12 21 4" xfId="24749"/>
    <cellStyle name="Normal 3 2 2 2 2 2 2 2 12 22" xfId="24750"/>
    <cellStyle name="Normal 3 2 2 2 2 2 2 2 12 23" xfId="24751"/>
    <cellStyle name="Normal 3 2 2 2 2 2 2 2 12 24" xfId="24752"/>
    <cellStyle name="Normal 3 2 2 2 2 2 2 2 12 3" xfId="24753"/>
    <cellStyle name="Normal 3 2 2 2 2 2 2 2 12 4" xfId="24754"/>
    <cellStyle name="Normal 3 2 2 2 2 2 2 2 12 5" xfId="24755"/>
    <cellStyle name="Normal 3 2 2 2 2 2 2 2 12 6" xfId="24756"/>
    <cellStyle name="Normal 3 2 2 2 2 2 2 2 12 7" xfId="24757"/>
    <cellStyle name="Normal 3 2 2 2 2 2 2 2 12 8" xfId="24758"/>
    <cellStyle name="Normal 3 2 2 2 2 2 2 2 12 9" xfId="24759"/>
    <cellStyle name="Normal 3 2 2 2 2 2 2 2 13" xfId="24760"/>
    <cellStyle name="Normal 3 2 2 2 2 2 2 2 13 10" xfId="24761"/>
    <cellStyle name="Normal 3 2 2 2 2 2 2 2 13 11" xfId="24762"/>
    <cellStyle name="Normal 3 2 2 2 2 2 2 2 13 12" xfId="24763"/>
    <cellStyle name="Normal 3 2 2 2 2 2 2 2 13 13" xfId="24764"/>
    <cellStyle name="Normal 3 2 2 2 2 2 2 2 13 13 2" xfId="24765"/>
    <cellStyle name="Normal 3 2 2 2 2 2 2 2 13 13 3" xfId="24766"/>
    <cellStyle name="Normal 3 2 2 2 2 2 2 2 13 13 4" xfId="24767"/>
    <cellStyle name="Normal 3 2 2 2 2 2 2 2 13 14" xfId="24768"/>
    <cellStyle name="Normal 3 2 2 2 2 2 2 2 13 15" xfId="24769"/>
    <cellStyle name="Normal 3 2 2 2 2 2 2 2 13 16" xfId="24770"/>
    <cellStyle name="Normal 3 2 2 2 2 2 2 2 13 2" xfId="24771"/>
    <cellStyle name="Normal 3 2 2 2 2 2 2 2 13 2 10" xfId="24772"/>
    <cellStyle name="Normal 3 2 2 2 2 2 2 2 13 2 11" xfId="24773"/>
    <cellStyle name="Normal 3 2 2 2 2 2 2 2 13 2 11 2" xfId="24774"/>
    <cellStyle name="Normal 3 2 2 2 2 2 2 2 13 2 11 3" xfId="24775"/>
    <cellStyle name="Normal 3 2 2 2 2 2 2 2 13 2 11 4" xfId="24776"/>
    <cellStyle name="Normal 3 2 2 2 2 2 2 2 13 2 12" xfId="24777"/>
    <cellStyle name="Normal 3 2 2 2 2 2 2 2 13 2 13" xfId="24778"/>
    <cellStyle name="Normal 3 2 2 2 2 2 2 2 13 2 14" xfId="24779"/>
    <cellStyle name="Normal 3 2 2 2 2 2 2 2 13 2 2" xfId="24780"/>
    <cellStyle name="Normal 3 2 2 2 2 2 2 2 13 2 2 10" xfId="24781"/>
    <cellStyle name="Normal 3 2 2 2 2 2 2 2 13 2 2 11" xfId="24782"/>
    <cellStyle name="Normal 3 2 2 2 2 2 2 2 13 2 2 2" xfId="24783"/>
    <cellStyle name="Normal 3 2 2 2 2 2 2 2 13 2 2 2 10" xfId="24784"/>
    <cellStyle name="Normal 3 2 2 2 2 2 2 2 13 2 2 2 11" xfId="24785"/>
    <cellStyle name="Normal 3 2 2 2 2 2 2 2 13 2 2 2 2" xfId="24786"/>
    <cellStyle name="Normal 3 2 2 2 2 2 2 2 13 2 2 2 2 2" xfId="24787"/>
    <cellStyle name="Normal 3 2 2 2 2 2 2 2 13 2 2 2 2 2 2" xfId="24788"/>
    <cellStyle name="Normal 3 2 2 2 2 2 2 2 13 2 2 2 2 2 3" xfId="24789"/>
    <cellStyle name="Normal 3 2 2 2 2 2 2 2 13 2 2 2 2 2 4" xfId="24790"/>
    <cellStyle name="Normal 3 2 2 2 2 2 2 2 13 2 2 2 2 3" xfId="24791"/>
    <cellStyle name="Normal 3 2 2 2 2 2 2 2 13 2 2 2 2 4" xfId="24792"/>
    <cellStyle name="Normal 3 2 2 2 2 2 2 2 13 2 2 2 2 5" xfId="24793"/>
    <cellStyle name="Normal 3 2 2 2 2 2 2 2 13 2 2 2 2 6" xfId="24794"/>
    <cellStyle name="Normal 3 2 2 2 2 2 2 2 13 2 2 2 3" xfId="24795"/>
    <cellStyle name="Normal 3 2 2 2 2 2 2 2 13 2 2 2 4" xfId="24796"/>
    <cellStyle name="Normal 3 2 2 2 2 2 2 2 13 2 2 2 5" xfId="24797"/>
    <cellStyle name="Normal 3 2 2 2 2 2 2 2 13 2 2 2 6" xfId="24798"/>
    <cellStyle name="Normal 3 2 2 2 2 2 2 2 13 2 2 2 7" xfId="24799"/>
    <cellStyle name="Normal 3 2 2 2 2 2 2 2 13 2 2 2 8" xfId="24800"/>
    <cellStyle name="Normal 3 2 2 2 2 2 2 2 13 2 2 2 8 2" xfId="24801"/>
    <cellStyle name="Normal 3 2 2 2 2 2 2 2 13 2 2 2 8 3" xfId="24802"/>
    <cellStyle name="Normal 3 2 2 2 2 2 2 2 13 2 2 2 8 4" xfId="24803"/>
    <cellStyle name="Normal 3 2 2 2 2 2 2 2 13 2 2 2 9" xfId="24804"/>
    <cellStyle name="Normal 3 2 2 2 2 2 2 2 13 2 2 3" xfId="24805"/>
    <cellStyle name="Normal 3 2 2 2 2 2 2 2 13 2 2 3 2" xfId="24806"/>
    <cellStyle name="Normal 3 2 2 2 2 2 2 2 13 2 2 3 2 2" xfId="24807"/>
    <cellStyle name="Normal 3 2 2 2 2 2 2 2 13 2 2 3 2 3" xfId="24808"/>
    <cellStyle name="Normal 3 2 2 2 2 2 2 2 13 2 2 3 2 4" xfId="24809"/>
    <cellStyle name="Normal 3 2 2 2 2 2 2 2 13 2 2 3 3" xfId="24810"/>
    <cellStyle name="Normal 3 2 2 2 2 2 2 2 13 2 2 3 4" xfId="24811"/>
    <cellStyle name="Normal 3 2 2 2 2 2 2 2 13 2 2 3 5" xfId="24812"/>
    <cellStyle name="Normal 3 2 2 2 2 2 2 2 13 2 2 3 6" xfId="24813"/>
    <cellStyle name="Normal 3 2 2 2 2 2 2 2 13 2 2 4" xfId="24814"/>
    <cellStyle name="Normal 3 2 2 2 2 2 2 2 13 2 2 5" xfId="24815"/>
    <cellStyle name="Normal 3 2 2 2 2 2 2 2 13 2 2 6" xfId="24816"/>
    <cellStyle name="Normal 3 2 2 2 2 2 2 2 13 2 2 7" xfId="24817"/>
    <cellStyle name="Normal 3 2 2 2 2 2 2 2 13 2 2 8" xfId="24818"/>
    <cellStyle name="Normal 3 2 2 2 2 2 2 2 13 2 2 8 2" xfId="24819"/>
    <cellStyle name="Normal 3 2 2 2 2 2 2 2 13 2 2 8 3" xfId="24820"/>
    <cellStyle name="Normal 3 2 2 2 2 2 2 2 13 2 2 8 4" xfId="24821"/>
    <cellStyle name="Normal 3 2 2 2 2 2 2 2 13 2 2 9" xfId="24822"/>
    <cellStyle name="Normal 3 2 2 2 2 2 2 2 13 2 3" xfId="24823"/>
    <cellStyle name="Normal 3 2 2 2 2 2 2 2 13 2 4" xfId="24824"/>
    <cellStyle name="Normal 3 2 2 2 2 2 2 2 13 2 5" xfId="24825"/>
    <cellStyle name="Normal 3 2 2 2 2 2 2 2 13 2 5 2" xfId="24826"/>
    <cellStyle name="Normal 3 2 2 2 2 2 2 2 13 2 5 2 2" xfId="24827"/>
    <cellStyle name="Normal 3 2 2 2 2 2 2 2 13 2 5 2 3" xfId="24828"/>
    <cellStyle name="Normal 3 2 2 2 2 2 2 2 13 2 5 2 4" xfId="24829"/>
    <cellStyle name="Normal 3 2 2 2 2 2 2 2 13 2 5 3" xfId="24830"/>
    <cellStyle name="Normal 3 2 2 2 2 2 2 2 13 2 5 4" xfId="24831"/>
    <cellStyle name="Normal 3 2 2 2 2 2 2 2 13 2 5 5" xfId="24832"/>
    <cellStyle name="Normal 3 2 2 2 2 2 2 2 13 2 5 6" xfId="24833"/>
    <cellStyle name="Normal 3 2 2 2 2 2 2 2 13 2 6" xfId="24834"/>
    <cellStyle name="Normal 3 2 2 2 2 2 2 2 13 2 7" xfId="24835"/>
    <cellStyle name="Normal 3 2 2 2 2 2 2 2 13 2 8" xfId="24836"/>
    <cellStyle name="Normal 3 2 2 2 2 2 2 2 13 2 9" xfId="24837"/>
    <cellStyle name="Normal 3 2 2 2 2 2 2 2 13 3" xfId="24838"/>
    <cellStyle name="Normal 3 2 2 2 2 2 2 2 13 4" xfId="24839"/>
    <cellStyle name="Normal 3 2 2 2 2 2 2 2 13 5" xfId="24840"/>
    <cellStyle name="Normal 3 2 2 2 2 2 2 2 13 5 10" xfId="24841"/>
    <cellStyle name="Normal 3 2 2 2 2 2 2 2 13 5 11" xfId="24842"/>
    <cellStyle name="Normal 3 2 2 2 2 2 2 2 13 5 2" xfId="24843"/>
    <cellStyle name="Normal 3 2 2 2 2 2 2 2 13 5 2 10" xfId="24844"/>
    <cellStyle name="Normal 3 2 2 2 2 2 2 2 13 5 2 11" xfId="24845"/>
    <cellStyle name="Normal 3 2 2 2 2 2 2 2 13 5 2 2" xfId="24846"/>
    <cellStyle name="Normal 3 2 2 2 2 2 2 2 13 5 2 2 2" xfId="24847"/>
    <cellStyle name="Normal 3 2 2 2 2 2 2 2 13 5 2 2 2 2" xfId="24848"/>
    <cellStyle name="Normal 3 2 2 2 2 2 2 2 13 5 2 2 2 3" xfId="24849"/>
    <cellStyle name="Normal 3 2 2 2 2 2 2 2 13 5 2 2 2 4" xfId="24850"/>
    <cellStyle name="Normal 3 2 2 2 2 2 2 2 13 5 2 2 3" xfId="24851"/>
    <cellStyle name="Normal 3 2 2 2 2 2 2 2 13 5 2 2 4" xfId="24852"/>
    <cellStyle name="Normal 3 2 2 2 2 2 2 2 13 5 2 2 5" xfId="24853"/>
    <cellStyle name="Normal 3 2 2 2 2 2 2 2 13 5 2 2 6" xfId="24854"/>
    <cellStyle name="Normal 3 2 2 2 2 2 2 2 13 5 2 3" xfId="24855"/>
    <cellStyle name="Normal 3 2 2 2 2 2 2 2 13 5 2 4" xfId="24856"/>
    <cellStyle name="Normal 3 2 2 2 2 2 2 2 13 5 2 5" xfId="24857"/>
    <cellStyle name="Normal 3 2 2 2 2 2 2 2 13 5 2 6" xfId="24858"/>
    <cellStyle name="Normal 3 2 2 2 2 2 2 2 13 5 2 7" xfId="24859"/>
    <cellStyle name="Normal 3 2 2 2 2 2 2 2 13 5 2 8" xfId="24860"/>
    <cellStyle name="Normal 3 2 2 2 2 2 2 2 13 5 2 8 2" xfId="24861"/>
    <cellStyle name="Normal 3 2 2 2 2 2 2 2 13 5 2 8 3" xfId="24862"/>
    <cellStyle name="Normal 3 2 2 2 2 2 2 2 13 5 2 8 4" xfId="24863"/>
    <cellStyle name="Normal 3 2 2 2 2 2 2 2 13 5 2 9" xfId="24864"/>
    <cellStyle name="Normal 3 2 2 2 2 2 2 2 13 5 3" xfId="24865"/>
    <cellStyle name="Normal 3 2 2 2 2 2 2 2 13 5 3 2" xfId="24866"/>
    <cellStyle name="Normal 3 2 2 2 2 2 2 2 13 5 3 2 2" xfId="24867"/>
    <cellStyle name="Normal 3 2 2 2 2 2 2 2 13 5 3 2 3" xfId="24868"/>
    <cellStyle name="Normal 3 2 2 2 2 2 2 2 13 5 3 2 4" xfId="24869"/>
    <cellStyle name="Normal 3 2 2 2 2 2 2 2 13 5 3 3" xfId="24870"/>
    <cellStyle name="Normal 3 2 2 2 2 2 2 2 13 5 3 4" xfId="24871"/>
    <cellStyle name="Normal 3 2 2 2 2 2 2 2 13 5 3 5" xfId="24872"/>
    <cellStyle name="Normal 3 2 2 2 2 2 2 2 13 5 3 6" xfId="24873"/>
    <cellStyle name="Normal 3 2 2 2 2 2 2 2 13 5 4" xfId="24874"/>
    <cellStyle name="Normal 3 2 2 2 2 2 2 2 13 5 5" xfId="24875"/>
    <cellStyle name="Normal 3 2 2 2 2 2 2 2 13 5 6" xfId="24876"/>
    <cellStyle name="Normal 3 2 2 2 2 2 2 2 13 5 7" xfId="24877"/>
    <cellStyle name="Normal 3 2 2 2 2 2 2 2 13 5 8" xfId="24878"/>
    <cellStyle name="Normal 3 2 2 2 2 2 2 2 13 5 8 2" xfId="24879"/>
    <cellStyle name="Normal 3 2 2 2 2 2 2 2 13 5 8 3" xfId="24880"/>
    <cellStyle name="Normal 3 2 2 2 2 2 2 2 13 5 8 4" xfId="24881"/>
    <cellStyle name="Normal 3 2 2 2 2 2 2 2 13 5 9" xfId="24882"/>
    <cellStyle name="Normal 3 2 2 2 2 2 2 2 13 6" xfId="24883"/>
    <cellStyle name="Normal 3 2 2 2 2 2 2 2 13 7" xfId="24884"/>
    <cellStyle name="Normal 3 2 2 2 2 2 2 2 13 7 2" xfId="24885"/>
    <cellStyle name="Normal 3 2 2 2 2 2 2 2 13 7 2 2" xfId="24886"/>
    <cellStyle name="Normal 3 2 2 2 2 2 2 2 13 7 2 3" xfId="24887"/>
    <cellStyle name="Normal 3 2 2 2 2 2 2 2 13 7 2 4" xfId="24888"/>
    <cellStyle name="Normal 3 2 2 2 2 2 2 2 13 7 3" xfId="24889"/>
    <cellStyle name="Normal 3 2 2 2 2 2 2 2 13 7 4" xfId="24890"/>
    <cellStyle name="Normal 3 2 2 2 2 2 2 2 13 7 5" xfId="24891"/>
    <cellStyle name="Normal 3 2 2 2 2 2 2 2 13 7 6" xfId="24892"/>
    <cellStyle name="Normal 3 2 2 2 2 2 2 2 13 8" xfId="24893"/>
    <cellStyle name="Normal 3 2 2 2 2 2 2 2 13 9" xfId="24894"/>
    <cellStyle name="Normal 3 2 2 2 2 2 2 2 14" xfId="24895"/>
    <cellStyle name="Normal 3 2 2 2 2 2 2 2 15" xfId="24896"/>
    <cellStyle name="Normal 3 2 2 2 2 2 2 2 16" xfId="24897"/>
    <cellStyle name="Normal 3 2 2 2 2 2 2 2 17" xfId="24898"/>
    <cellStyle name="Normal 3 2 2 2 2 2 2 2 18" xfId="24899"/>
    <cellStyle name="Normal 3 2 2 2 2 2 2 2 19" xfId="24900"/>
    <cellStyle name="Normal 3 2 2 2 2 2 2 2 2" xfId="24901"/>
    <cellStyle name="Normal 3 2 2 2 2 2 2 2 2 10" xfId="24902"/>
    <cellStyle name="Normal 3 2 2 2 2 2 2 2 2 11" xfId="24903"/>
    <cellStyle name="Normal 3 2 2 2 2 2 2 2 2 12" xfId="24904"/>
    <cellStyle name="Normal 3 2 2 2 2 2 2 2 2 13" xfId="24905"/>
    <cellStyle name="Normal 3 2 2 2 2 2 2 2 2 14" xfId="24906"/>
    <cellStyle name="Normal 3 2 2 2 2 2 2 2 2 15" xfId="24907"/>
    <cellStyle name="Normal 3 2 2 2 2 2 2 2 2 16" xfId="24908"/>
    <cellStyle name="Normal 3 2 2 2 2 2 2 2 2 17" xfId="24909"/>
    <cellStyle name="Normal 3 2 2 2 2 2 2 2 2 17 10" xfId="24910"/>
    <cellStyle name="Normal 3 2 2 2 2 2 2 2 2 17 11" xfId="24911"/>
    <cellStyle name="Normal 3 2 2 2 2 2 2 2 2 17 11 2" xfId="24912"/>
    <cellStyle name="Normal 3 2 2 2 2 2 2 2 2 17 11 3" xfId="24913"/>
    <cellStyle name="Normal 3 2 2 2 2 2 2 2 2 17 11 4" xfId="24914"/>
    <cellStyle name="Normal 3 2 2 2 2 2 2 2 2 17 12" xfId="24915"/>
    <cellStyle name="Normal 3 2 2 2 2 2 2 2 2 17 13" xfId="24916"/>
    <cellStyle name="Normal 3 2 2 2 2 2 2 2 2 17 14" xfId="24917"/>
    <cellStyle name="Normal 3 2 2 2 2 2 2 2 2 17 2" xfId="24918"/>
    <cellStyle name="Normal 3 2 2 2 2 2 2 2 2 17 2 10" xfId="24919"/>
    <cellStyle name="Normal 3 2 2 2 2 2 2 2 2 17 2 11" xfId="24920"/>
    <cellStyle name="Normal 3 2 2 2 2 2 2 2 2 17 2 2" xfId="24921"/>
    <cellStyle name="Normal 3 2 2 2 2 2 2 2 2 17 2 2 10" xfId="24922"/>
    <cellStyle name="Normal 3 2 2 2 2 2 2 2 2 17 2 2 11" xfId="24923"/>
    <cellStyle name="Normal 3 2 2 2 2 2 2 2 2 17 2 2 2" xfId="24924"/>
    <cellStyle name="Normal 3 2 2 2 2 2 2 2 2 17 2 2 2 2" xfId="24925"/>
    <cellStyle name="Normal 3 2 2 2 2 2 2 2 2 17 2 2 2 2 2" xfId="24926"/>
    <cellStyle name="Normal 3 2 2 2 2 2 2 2 2 17 2 2 2 2 3" xfId="24927"/>
    <cellStyle name="Normal 3 2 2 2 2 2 2 2 2 17 2 2 2 2 4" xfId="24928"/>
    <cellStyle name="Normal 3 2 2 2 2 2 2 2 2 17 2 2 2 3" xfId="24929"/>
    <cellStyle name="Normal 3 2 2 2 2 2 2 2 2 17 2 2 2 4" xfId="24930"/>
    <cellStyle name="Normal 3 2 2 2 2 2 2 2 2 17 2 2 2 5" xfId="24931"/>
    <cellStyle name="Normal 3 2 2 2 2 2 2 2 2 17 2 2 2 6" xfId="24932"/>
    <cellStyle name="Normal 3 2 2 2 2 2 2 2 2 17 2 2 3" xfId="24933"/>
    <cellStyle name="Normal 3 2 2 2 2 2 2 2 2 17 2 2 4" xfId="24934"/>
    <cellStyle name="Normal 3 2 2 2 2 2 2 2 2 17 2 2 5" xfId="24935"/>
    <cellStyle name="Normal 3 2 2 2 2 2 2 2 2 17 2 2 6" xfId="24936"/>
    <cellStyle name="Normal 3 2 2 2 2 2 2 2 2 17 2 2 7" xfId="24937"/>
    <cellStyle name="Normal 3 2 2 2 2 2 2 2 2 17 2 2 8" xfId="24938"/>
    <cellStyle name="Normal 3 2 2 2 2 2 2 2 2 17 2 2 8 2" xfId="24939"/>
    <cellStyle name="Normal 3 2 2 2 2 2 2 2 2 17 2 2 8 3" xfId="24940"/>
    <cellStyle name="Normal 3 2 2 2 2 2 2 2 2 17 2 2 8 4" xfId="24941"/>
    <cellStyle name="Normal 3 2 2 2 2 2 2 2 2 17 2 2 9" xfId="24942"/>
    <cellStyle name="Normal 3 2 2 2 2 2 2 2 2 17 2 3" xfId="24943"/>
    <cellStyle name="Normal 3 2 2 2 2 2 2 2 2 17 2 3 2" xfId="24944"/>
    <cellStyle name="Normal 3 2 2 2 2 2 2 2 2 17 2 3 2 2" xfId="24945"/>
    <cellStyle name="Normal 3 2 2 2 2 2 2 2 2 17 2 3 2 3" xfId="24946"/>
    <cellStyle name="Normal 3 2 2 2 2 2 2 2 2 17 2 3 2 4" xfId="24947"/>
    <cellStyle name="Normal 3 2 2 2 2 2 2 2 2 17 2 3 3" xfId="24948"/>
    <cellStyle name="Normal 3 2 2 2 2 2 2 2 2 17 2 3 4" xfId="24949"/>
    <cellStyle name="Normal 3 2 2 2 2 2 2 2 2 17 2 3 5" xfId="24950"/>
    <cellStyle name="Normal 3 2 2 2 2 2 2 2 2 17 2 3 6" xfId="24951"/>
    <cellStyle name="Normal 3 2 2 2 2 2 2 2 2 17 2 4" xfId="24952"/>
    <cellStyle name="Normal 3 2 2 2 2 2 2 2 2 17 2 5" xfId="24953"/>
    <cellStyle name="Normal 3 2 2 2 2 2 2 2 2 17 2 6" xfId="24954"/>
    <cellStyle name="Normal 3 2 2 2 2 2 2 2 2 17 2 7" xfId="24955"/>
    <cellStyle name="Normal 3 2 2 2 2 2 2 2 2 17 2 8" xfId="24956"/>
    <cellStyle name="Normal 3 2 2 2 2 2 2 2 2 17 2 8 2" xfId="24957"/>
    <cellStyle name="Normal 3 2 2 2 2 2 2 2 2 17 2 8 3" xfId="24958"/>
    <cellStyle name="Normal 3 2 2 2 2 2 2 2 2 17 2 8 4" xfId="24959"/>
    <cellStyle name="Normal 3 2 2 2 2 2 2 2 2 17 2 9" xfId="24960"/>
    <cellStyle name="Normal 3 2 2 2 2 2 2 2 2 17 3" xfId="24961"/>
    <cellStyle name="Normal 3 2 2 2 2 2 2 2 2 17 4" xfId="24962"/>
    <cellStyle name="Normal 3 2 2 2 2 2 2 2 2 17 5" xfId="24963"/>
    <cellStyle name="Normal 3 2 2 2 2 2 2 2 2 17 5 2" xfId="24964"/>
    <cellStyle name="Normal 3 2 2 2 2 2 2 2 2 17 5 2 2" xfId="24965"/>
    <cellStyle name="Normal 3 2 2 2 2 2 2 2 2 17 5 2 3" xfId="24966"/>
    <cellStyle name="Normal 3 2 2 2 2 2 2 2 2 17 5 2 4" xfId="24967"/>
    <cellStyle name="Normal 3 2 2 2 2 2 2 2 2 17 5 3" xfId="24968"/>
    <cellStyle name="Normal 3 2 2 2 2 2 2 2 2 17 5 4" xfId="24969"/>
    <cellStyle name="Normal 3 2 2 2 2 2 2 2 2 17 5 5" xfId="24970"/>
    <cellStyle name="Normal 3 2 2 2 2 2 2 2 2 17 5 6" xfId="24971"/>
    <cellStyle name="Normal 3 2 2 2 2 2 2 2 2 17 6" xfId="24972"/>
    <cellStyle name="Normal 3 2 2 2 2 2 2 2 2 17 7" xfId="24973"/>
    <cellStyle name="Normal 3 2 2 2 2 2 2 2 2 17 8" xfId="24974"/>
    <cellStyle name="Normal 3 2 2 2 2 2 2 2 2 17 9" xfId="24975"/>
    <cellStyle name="Normal 3 2 2 2 2 2 2 2 2 18" xfId="24976"/>
    <cellStyle name="Normal 3 2 2 2 2 2 2 2 2 19" xfId="24977"/>
    <cellStyle name="Normal 3 2 2 2 2 2 2 2 2 19 10" xfId="24978"/>
    <cellStyle name="Normal 3 2 2 2 2 2 2 2 2 19 11" xfId="24979"/>
    <cellStyle name="Normal 3 2 2 2 2 2 2 2 2 19 2" xfId="24980"/>
    <cellStyle name="Normal 3 2 2 2 2 2 2 2 2 19 2 10" xfId="24981"/>
    <cellStyle name="Normal 3 2 2 2 2 2 2 2 2 19 2 11" xfId="24982"/>
    <cellStyle name="Normal 3 2 2 2 2 2 2 2 2 19 2 2" xfId="24983"/>
    <cellStyle name="Normal 3 2 2 2 2 2 2 2 2 19 2 2 2" xfId="24984"/>
    <cellStyle name="Normal 3 2 2 2 2 2 2 2 2 19 2 2 2 2" xfId="24985"/>
    <cellStyle name="Normal 3 2 2 2 2 2 2 2 2 19 2 2 2 3" xfId="24986"/>
    <cellStyle name="Normal 3 2 2 2 2 2 2 2 2 19 2 2 2 4" xfId="24987"/>
    <cellStyle name="Normal 3 2 2 2 2 2 2 2 2 19 2 2 3" xfId="24988"/>
    <cellStyle name="Normal 3 2 2 2 2 2 2 2 2 19 2 2 4" xfId="24989"/>
    <cellStyle name="Normal 3 2 2 2 2 2 2 2 2 19 2 2 5" xfId="24990"/>
    <cellStyle name="Normal 3 2 2 2 2 2 2 2 2 19 2 2 6" xfId="24991"/>
    <cellStyle name="Normal 3 2 2 2 2 2 2 2 2 19 2 3" xfId="24992"/>
    <cellStyle name="Normal 3 2 2 2 2 2 2 2 2 19 2 4" xfId="24993"/>
    <cellStyle name="Normal 3 2 2 2 2 2 2 2 2 19 2 5" xfId="24994"/>
    <cellStyle name="Normal 3 2 2 2 2 2 2 2 2 19 2 6" xfId="24995"/>
    <cellStyle name="Normal 3 2 2 2 2 2 2 2 2 19 2 7" xfId="24996"/>
    <cellStyle name="Normal 3 2 2 2 2 2 2 2 2 19 2 8" xfId="24997"/>
    <cellStyle name="Normal 3 2 2 2 2 2 2 2 2 19 2 8 2" xfId="24998"/>
    <cellStyle name="Normal 3 2 2 2 2 2 2 2 2 19 2 8 3" xfId="24999"/>
    <cellStyle name="Normal 3 2 2 2 2 2 2 2 2 19 2 8 4" xfId="25000"/>
    <cellStyle name="Normal 3 2 2 2 2 2 2 2 2 19 2 9" xfId="25001"/>
    <cellStyle name="Normal 3 2 2 2 2 2 2 2 2 19 3" xfId="25002"/>
    <cellStyle name="Normal 3 2 2 2 2 2 2 2 2 19 3 2" xfId="25003"/>
    <cellStyle name="Normal 3 2 2 2 2 2 2 2 2 19 3 2 2" xfId="25004"/>
    <cellStyle name="Normal 3 2 2 2 2 2 2 2 2 19 3 2 3" xfId="25005"/>
    <cellStyle name="Normal 3 2 2 2 2 2 2 2 2 19 3 2 4" xfId="25006"/>
    <cellStyle name="Normal 3 2 2 2 2 2 2 2 2 19 3 3" xfId="25007"/>
    <cellStyle name="Normal 3 2 2 2 2 2 2 2 2 19 3 4" xfId="25008"/>
    <cellStyle name="Normal 3 2 2 2 2 2 2 2 2 19 3 5" xfId="25009"/>
    <cellStyle name="Normal 3 2 2 2 2 2 2 2 2 19 3 6" xfId="25010"/>
    <cellStyle name="Normal 3 2 2 2 2 2 2 2 2 19 4" xfId="25011"/>
    <cellStyle name="Normal 3 2 2 2 2 2 2 2 2 19 5" xfId="25012"/>
    <cellStyle name="Normal 3 2 2 2 2 2 2 2 2 19 6" xfId="25013"/>
    <cellStyle name="Normal 3 2 2 2 2 2 2 2 2 19 7" xfId="25014"/>
    <cellStyle name="Normal 3 2 2 2 2 2 2 2 2 19 8" xfId="25015"/>
    <cellStyle name="Normal 3 2 2 2 2 2 2 2 2 19 8 2" xfId="25016"/>
    <cellStyle name="Normal 3 2 2 2 2 2 2 2 2 19 8 3" xfId="25017"/>
    <cellStyle name="Normal 3 2 2 2 2 2 2 2 2 19 8 4" xfId="25018"/>
    <cellStyle name="Normal 3 2 2 2 2 2 2 2 2 19 9" xfId="25019"/>
    <cellStyle name="Normal 3 2 2 2 2 2 2 2 2 2" xfId="25020"/>
    <cellStyle name="Normal 3 2 2 2 2 2 2 2 2 2 10" xfId="25021"/>
    <cellStyle name="Normal 3 2 2 2 2 2 2 2 2 2 11" xfId="25022"/>
    <cellStyle name="Normal 3 2 2 2 2 2 2 2 2 2 12" xfId="25023"/>
    <cellStyle name="Normal 3 2 2 2 2 2 2 2 2 2 13" xfId="25024"/>
    <cellStyle name="Normal 3 2 2 2 2 2 2 2 2 2 14" xfId="25025"/>
    <cellStyle name="Normal 3 2 2 2 2 2 2 2 2 2 15" xfId="25026"/>
    <cellStyle name="Normal 3 2 2 2 2 2 2 2 2 2 16" xfId="25027"/>
    <cellStyle name="Normal 3 2 2 2 2 2 2 2 2 2 17" xfId="25028"/>
    <cellStyle name="Normal 3 2 2 2 2 2 2 2 2 2 17 10" xfId="25029"/>
    <cellStyle name="Normal 3 2 2 2 2 2 2 2 2 2 17 11" xfId="25030"/>
    <cellStyle name="Normal 3 2 2 2 2 2 2 2 2 2 17 11 2" xfId="25031"/>
    <cellStyle name="Normal 3 2 2 2 2 2 2 2 2 2 17 11 3" xfId="25032"/>
    <cellStyle name="Normal 3 2 2 2 2 2 2 2 2 2 17 11 4" xfId="25033"/>
    <cellStyle name="Normal 3 2 2 2 2 2 2 2 2 2 17 12" xfId="25034"/>
    <cellStyle name="Normal 3 2 2 2 2 2 2 2 2 2 17 13" xfId="25035"/>
    <cellStyle name="Normal 3 2 2 2 2 2 2 2 2 2 17 14" xfId="25036"/>
    <cellStyle name="Normal 3 2 2 2 2 2 2 2 2 2 17 2" xfId="25037"/>
    <cellStyle name="Normal 3 2 2 2 2 2 2 2 2 2 17 2 10" xfId="25038"/>
    <cellStyle name="Normal 3 2 2 2 2 2 2 2 2 2 17 2 11" xfId="25039"/>
    <cellStyle name="Normal 3 2 2 2 2 2 2 2 2 2 17 2 2" xfId="25040"/>
    <cellStyle name="Normal 3 2 2 2 2 2 2 2 2 2 17 2 2 10" xfId="25041"/>
    <cellStyle name="Normal 3 2 2 2 2 2 2 2 2 2 17 2 2 11" xfId="25042"/>
    <cellStyle name="Normal 3 2 2 2 2 2 2 2 2 2 17 2 2 2" xfId="25043"/>
    <cellStyle name="Normal 3 2 2 2 2 2 2 2 2 2 17 2 2 2 2" xfId="25044"/>
    <cellStyle name="Normal 3 2 2 2 2 2 2 2 2 2 17 2 2 2 2 2" xfId="25045"/>
    <cellStyle name="Normal 3 2 2 2 2 2 2 2 2 2 17 2 2 2 2 3" xfId="25046"/>
    <cellStyle name="Normal 3 2 2 2 2 2 2 2 2 2 17 2 2 2 2 4" xfId="25047"/>
    <cellStyle name="Normal 3 2 2 2 2 2 2 2 2 2 17 2 2 2 3" xfId="25048"/>
    <cellStyle name="Normal 3 2 2 2 2 2 2 2 2 2 17 2 2 2 4" xfId="25049"/>
    <cellStyle name="Normal 3 2 2 2 2 2 2 2 2 2 17 2 2 2 5" xfId="25050"/>
    <cellStyle name="Normal 3 2 2 2 2 2 2 2 2 2 17 2 2 2 6" xfId="25051"/>
    <cellStyle name="Normal 3 2 2 2 2 2 2 2 2 2 17 2 2 3" xfId="25052"/>
    <cellStyle name="Normal 3 2 2 2 2 2 2 2 2 2 17 2 2 4" xfId="25053"/>
    <cellStyle name="Normal 3 2 2 2 2 2 2 2 2 2 17 2 2 5" xfId="25054"/>
    <cellStyle name="Normal 3 2 2 2 2 2 2 2 2 2 17 2 2 6" xfId="25055"/>
    <cellStyle name="Normal 3 2 2 2 2 2 2 2 2 2 17 2 2 7" xfId="25056"/>
    <cellStyle name="Normal 3 2 2 2 2 2 2 2 2 2 17 2 2 8" xfId="25057"/>
    <cellStyle name="Normal 3 2 2 2 2 2 2 2 2 2 17 2 2 8 2" xfId="25058"/>
    <cellStyle name="Normal 3 2 2 2 2 2 2 2 2 2 17 2 2 8 3" xfId="25059"/>
    <cellStyle name="Normal 3 2 2 2 2 2 2 2 2 2 17 2 2 8 4" xfId="25060"/>
    <cellStyle name="Normal 3 2 2 2 2 2 2 2 2 2 17 2 2 9" xfId="25061"/>
    <cellStyle name="Normal 3 2 2 2 2 2 2 2 2 2 17 2 3" xfId="25062"/>
    <cellStyle name="Normal 3 2 2 2 2 2 2 2 2 2 17 2 3 2" xfId="25063"/>
    <cellStyle name="Normal 3 2 2 2 2 2 2 2 2 2 17 2 3 2 2" xfId="25064"/>
    <cellStyle name="Normal 3 2 2 2 2 2 2 2 2 2 17 2 3 2 3" xfId="25065"/>
    <cellStyle name="Normal 3 2 2 2 2 2 2 2 2 2 17 2 3 2 4" xfId="25066"/>
    <cellStyle name="Normal 3 2 2 2 2 2 2 2 2 2 17 2 3 3" xfId="25067"/>
    <cellStyle name="Normal 3 2 2 2 2 2 2 2 2 2 17 2 3 4" xfId="25068"/>
    <cellStyle name="Normal 3 2 2 2 2 2 2 2 2 2 17 2 3 5" xfId="25069"/>
    <cellStyle name="Normal 3 2 2 2 2 2 2 2 2 2 17 2 3 6" xfId="25070"/>
    <cellStyle name="Normal 3 2 2 2 2 2 2 2 2 2 17 2 4" xfId="25071"/>
    <cellStyle name="Normal 3 2 2 2 2 2 2 2 2 2 17 2 5" xfId="25072"/>
    <cellStyle name="Normal 3 2 2 2 2 2 2 2 2 2 17 2 6" xfId="25073"/>
    <cellStyle name="Normal 3 2 2 2 2 2 2 2 2 2 17 2 7" xfId="25074"/>
    <cellStyle name="Normal 3 2 2 2 2 2 2 2 2 2 17 2 8" xfId="25075"/>
    <cellStyle name="Normal 3 2 2 2 2 2 2 2 2 2 17 2 8 2" xfId="25076"/>
    <cellStyle name="Normal 3 2 2 2 2 2 2 2 2 2 17 2 8 3" xfId="25077"/>
    <cellStyle name="Normal 3 2 2 2 2 2 2 2 2 2 17 2 8 4" xfId="25078"/>
    <cellStyle name="Normal 3 2 2 2 2 2 2 2 2 2 17 2 9" xfId="25079"/>
    <cellStyle name="Normal 3 2 2 2 2 2 2 2 2 2 17 3" xfId="25080"/>
    <cellStyle name="Normal 3 2 2 2 2 2 2 2 2 2 17 4" xfId="25081"/>
    <cellStyle name="Normal 3 2 2 2 2 2 2 2 2 2 17 5" xfId="25082"/>
    <cellStyle name="Normal 3 2 2 2 2 2 2 2 2 2 17 5 2" xfId="25083"/>
    <cellStyle name="Normal 3 2 2 2 2 2 2 2 2 2 17 5 2 2" xfId="25084"/>
    <cellStyle name="Normal 3 2 2 2 2 2 2 2 2 2 17 5 2 3" xfId="25085"/>
    <cellStyle name="Normal 3 2 2 2 2 2 2 2 2 2 17 5 2 4" xfId="25086"/>
    <cellStyle name="Normal 3 2 2 2 2 2 2 2 2 2 17 5 3" xfId="25087"/>
    <cellStyle name="Normal 3 2 2 2 2 2 2 2 2 2 17 5 4" xfId="25088"/>
    <cellStyle name="Normal 3 2 2 2 2 2 2 2 2 2 17 5 5" xfId="25089"/>
    <cellStyle name="Normal 3 2 2 2 2 2 2 2 2 2 17 5 6" xfId="25090"/>
    <cellStyle name="Normal 3 2 2 2 2 2 2 2 2 2 17 6" xfId="25091"/>
    <cellStyle name="Normal 3 2 2 2 2 2 2 2 2 2 17 7" xfId="25092"/>
    <cellStyle name="Normal 3 2 2 2 2 2 2 2 2 2 17 8" xfId="25093"/>
    <cellStyle name="Normal 3 2 2 2 2 2 2 2 2 2 17 9" xfId="25094"/>
    <cellStyle name="Normal 3 2 2 2 2 2 2 2 2 2 18" xfId="25095"/>
    <cellStyle name="Normal 3 2 2 2 2 2 2 2 2 2 19" xfId="25096"/>
    <cellStyle name="Normal 3 2 2 2 2 2 2 2 2 2 19 10" xfId="25097"/>
    <cellStyle name="Normal 3 2 2 2 2 2 2 2 2 2 19 11" xfId="25098"/>
    <cellStyle name="Normal 3 2 2 2 2 2 2 2 2 2 19 2" xfId="25099"/>
    <cellStyle name="Normal 3 2 2 2 2 2 2 2 2 2 19 2 10" xfId="25100"/>
    <cellStyle name="Normal 3 2 2 2 2 2 2 2 2 2 19 2 11" xfId="25101"/>
    <cellStyle name="Normal 3 2 2 2 2 2 2 2 2 2 19 2 2" xfId="25102"/>
    <cellStyle name="Normal 3 2 2 2 2 2 2 2 2 2 19 2 2 2" xfId="25103"/>
    <cellStyle name="Normal 3 2 2 2 2 2 2 2 2 2 19 2 2 2 2" xfId="25104"/>
    <cellStyle name="Normal 3 2 2 2 2 2 2 2 2 2 19 2 2 2 3" xfId="25105"/>
    <cellStyle name="Normal 3 2 2 2 2 2 2 2 2 2 19 2 2 2 4" xfId="25106"/>
    <cellStyle name="Normal 3 2 2 2 2 2 2 2 2 2 19 2 2 3" xfId="25107"/>
    <cellStyle name="Normal 3 2 2 2 2 2 2 2 2 2 19 2 2 4" xfId="25108"/>
    <cellStyle name="Normal 3 2 2 2 2 2 2 2 2 2 19 2 2 5" xfId="25109"/>
    <cellStyle name="Normal 3 2 2 2 2 2 2 2 2 2 19 2 2 6" xfId="25110"/>
    <cellStyle name="Normal 3 2 2 2 2 2 2 2 2 2 19 2 3" xfId="25111"/>
    <cellStyle name="Normal 3 2 2 2 2 2 2 2 2 2 19 2 4" xfId="25112"/>
    <cellStyle name="Normal 3 2 2 2 2 2 2 2 2 2 19 2 5" xfId="25113"/>
    <cellStyle name="Normal 3 2 2 2 2 2 2 2 2 2 19 2 6" xfId="25114"/>
    <cellStyle name="Normal 3 2 2 2 2 2 2 2 2 2 19 2 7" xfId="25115"/>
    <cellStyle name="Normal 3 2 2 2 2 2 2 2 2 2 19 2 8" xfId="25116"/>
    <cellStyle name="Normal 3 2 2 2 2 2 2 2 2 2 19 2 8 2" xfId="25117"/>
    <cellStyle name="Normal 3 2 2 2 2 2 2 2 2 2 19 2 8 3" xfId="25118"/>
    <cellStyle name="Normal 3 2 2 2 2 2 2 2 2 2 19 2 8 4" xfId="25119"/>
    <cellStyle name="Normal 3 2 2 2 2 2 2 2 2 2 19 2 9" xfId="25120"/>
    <cellStyle name="Normal 3 2 2 2 2 2 2 2 2 2 19 3" xfId="25121"/>
    <cellStyle name="Normal 3 2 2 2 2 2 2 2 2 2 19 3 2" xfId="25122"/>
    <cellStyle name="Normal 3 2 2 2 2 2 2 2 2 2 19 3 2 2" xfId="25123"/>
    <cellStyle name="Normal 3 2 2 2 2 2 2 2 2 2 19 3 2 3" xfId="25124"/>
    <cellStyle name="Normal 3 2 2 2 2 2 2 2 2 2 19 3 2 4" xfId="25125"/>
    <cellStyle name="Normal 3 2 2 2 2 2 2 2 2 2 19 3 3" xfId="25126"/>
    <cellStyle name="Normal 3 2 2 2 2 2 2 2 2 2 19 3 4" xfId="25127"/>
    <cellStyle name="Normal 3 2 2 2 2 2 2 2 2 2 19 3 5" xfId="25128"/>
    <cellStyle name="Normal 3 2 2 2 2 2 2 2 2 2 19 3 6" xfId="25129"/>
    <cellStyle name="Normal 3 2 2 2 2 2 2 2 2 2 19 4" xfId="25130"/>
    <cellStyle name="Normal 3 2 2 2 2 2 2 2 2 2 19 5" xfId="25131"/>
    <cellStyle name="Normal 3 2 2 2 2 2 2 2 2 2 19 6" xfId="25132"/>
    <cellStyle name="Normal 3 2 2 2 2 2 2 2 2 2 19 7" xfId="25133"/>
    <cellStyle name="Normal 3 2 2 2 2 2 2 2 2 2 19 8" xfId="25134"/>
    <cellStyle name="Normal 3 2 2 2 2 2 2 2 2 2 19 8 2" xfId="25135"/>
    <cellStyle name="Normal 3 2 2 2 2 2 2 2 2 2 19 8 3" xfId="25136"/>
    <cellStyle name="Normal 3 2 2 2 2 2 2 2 2 2 19 8 4" xfId="25137"/>
    <cellStyle name="Normal 3 2 2 2 2 2 2 2 2 2 19 9" xfId="25138"/>
    <cellStyle name="Normal 3 2 2 2 2 2 2 2 2 2 2" xfId="25139"/>
    <cellStyle name="Normal 3 2 2 2 2 2 2 2 2 2 2 10" xfId="25140"/>
    <cellStyle name="Normal 3 2 2 2 2 2 2 2 2 2 2 11" xfId="25141"/>
    <cellStyle name="Normal 3 2 2 2 2 2 2 2 2 2 2 12" xfId="25142"/>
    <cellStyle name="Normal 3 2 2 2 2 2 2 2 2 2 2 13" xfId="25143"/>
    <cellStyle name="Normal 3 2 2 2 2 2 2 2 2 2 2 14" xfId="25144"/>
    <cellStyle name="Normal 3 2 2 2 2 2 2 2 2 2 2 15" xfId="25145"/>
    <cellStyle name="Normal 3 2 2 2 2 2 2 2 2 2 2 16" xfId="25146"/>
    <cellStyle name="Normal 3 2 2 2 2 2 2 2 2 2 2 16 10" xfId="25147"/>
    <cellStyle name="Normal 3 2 2 2 2 2 2 2 2 2 2 16 11" xfId="25148"/>
    <cellStyle name="Normal 3 2 2 2 2 2 2 2 2 2 2 16 11 2" xfId="25149"/>
    <cellStyle name="Normal 3 2 2 2 2 2 2 2 2 2 2 16 11 3" xfId="25150"/>
    <cellStyle name="Normal 3 2 2 2 2 2 2 2 2 2 2 16 11 4" xfId="25151"/>
    <cellStyle name="Normal 3 2 2 2 2 2 2 2 2 2 2 16 12" xfId="25152"/>
    <cellStyle name="Normal 3 2 2 2 2 2 2 2 2 2 2 16 13" xfId="25153"/>
    <cellStyle name="Normal 3 2 2 2 2 2 2 2 2 2 2 16 14" xfId="25154"/>
    <cellStyle name="Normal 3 2 2 2 2 2 2 2 2 2 2 16 2" xfId="25155"/>
    <cellStyle name="Normal 3 2 2 2 2 2 2 2 2 2 2 16 2 10" xfId="25156"/>
    <cellStyle name="Normal 3 2 2 2 2 2 2 2 2 2 2 16 2 11" xfId="25157"/>
    <cellStyle name="Normal 3 2 2 2 2 2 2 2 2 2 2 16 2 2" xfId="25158"/>
    <cellStyle name="Normal 3 2 2 2 2 2 2 2 2 2 2 16 2 2 10" xfId="25159"/>
    <cellStyle name="Normal 3 2 2 2 2 2 2 2 2 2 2 16 2 2 11" xfId="25160"/>
    <cellStyle name="Normal 3 2 2 2 2 2 2 2 2 2 2 16 2 2 2" xfId="25161"/>
    <cellStyle name="Normal 3 2 2 2 2 2 2 2 2 2 2 16 2 2 2 2" xfId="25162"/>
    <cellStyle name="Normal 3 2 2 2 2 2 2 2 2 2 2 16 2 2 2 2 2" xfId="25163"/>
    <cellStyle name="Normal 3 2 2 2 2 2 2 2 2 2 2 16 2 2 2 2 3" xfId="25164"/>
    <cellStyle name="Normal 3 2 2 2 2 2 2 2 2 2 2 16 2 2 2 2 4" xfId="25165"/>
    <cellStyle name="Normal 3 2 2 2 2 2 2 2 2 2 2 16 2 2 2 3" xfId="25166"/>
    <cellStyle name="Normal 3 2 2 2 2 2 2 2 2 2 2 16 2 2 2 4" xfId="25167"/>
    <cellStyle name="Normal 3 2 2 2 2 2 2 2 2 2 2 16 2 2 2 5" xfId="25168"/>
    <cellStyle name="Normal 3 2 2 2 2 2 2 2 2 2 2 16 2 2 2 6" xfId="25169"/>
    <cellStyle name="Normal 3 2 2 2 2 2 2 2 2 2 2 16 2 2 3" xfId="25170"/>
    <cellStyle name="Normal 3 2 2 2 2 2 2 2 2 2 2 16 2 2 4" xfId="25171"/>
    <cellStyle name="Normal 3 2 2 2 2 2 2 2 2 2 2 16 2 2 5" xfId="25172"/>
    <cellStyle name="Normal 3 2 2 2 2 2 2 2 2 2 2 16 2 2 6" xfId="25173"/>
    <cellStyle name="Normal 3 2 2 2 2 2 2 2 2 2 2 16 2 2 7" xfId="25174"/>
    <cellStyle name="Normal 3 2 2 2 2 2 2 2 2 2 2 16 2 2 8" xfId="25175"/>
    <cellStyle name="Normal 3 2 2 2 2 2 2 2 2 2 2 16 2 2 8 2" xfId="25176"/>
    <cellStyle name="Normal 3 2 2 2 2 2 2 2 2 2 2 16 2 2 8 3" xfId="25177"/>
    <cellStyle name="Normal 3 2 2 2 2 2 2 2 2 2 2 16 2 2 8 4" xfId="25178"/>
    <cellStyle name="Normal 3 2 2 2 2 2 2 2 2 2 2 16 2 2 9" xfId="25179"/>
    <cellStyle name="Normal 3 2 2 2 2 2 2 2 2 2 2 16 2 3" xfId="25180"/>
    <cellStyle name="Normal 3 2 2 2 2 2 2 2 2 2 2 16 2 3 2" xfId="25181"/>
    <cellStyle name="Normal 3 2 2 2 2 2 2 2 2 2 2 16 2 3 2 2" xfId="25182"/>
    <cellStyle name="Normal 3 2 2 2 2 2 2 2 2 2 2 16 2 3 2 3" xfId="25183"/>
    <cellStyle name="Normal 3 2 2 2 2 2 2 2 2 2 2 16 2 3 2 4" xfId="25184"/>
    <cellStyle name="Normal 3 2 2 2 2 2 2 2 2 2 2 16 2 3 3" xfId="25185"/>
    <cellStyle name="Normal 3 2 2 2 2 2 2 2 2 2 2 16 2 3 4" xfId="25186"/>
    <cellStyle name="Normal 3 2 2 2 2 2 2 2 2 2 2 16 2 3 5" xfId="25187"/>
    <cellStyle name="Normal 3 2 2 2 2 2 2 2 2 2 2 16 2 3 6" xfId="25188"/>
    <cellStyle name="Normal 3 2 2 2 2 2 2 2 2 2 2 16 2 4" xfId="25189"/>
    <cellStyle name="Normal 3 2 2 2 2 2 2 2 2 2 2 16 2 5" xfId="25190"/>
    <cellStyle name="Normal 3 2 2 2 2 2 2 2 2 2 2 16 2 6" xfId="25191"/>
    <cellStyle name="Normal 3 2 2 2 2 2 2 2 2 2 2 16 2 7" xfId="25192"/>
    <cellStyle name="Normal 3 2 2 2 2 2 2 2 2 2 2 16 2 8" xfId="25193"/>
    <cellStyle name="Normal 3 2 2 2 2 2 2 2 2 2 2 16 2 8 2" xfId="25194"/>
    <cellStyle name="Normal 3 2 2 2 2 2 2 2 2 2 2 16 2 8 3" xfId="25195"/>
    <cellStyle name="Normal 3 2 2 2 2 2 2 2 2 2 2 16 2 8 4" xfId="25196"/>
    <cellStyle name="Normal 3 2 2 2 2 2 2 2 2 2 2 16 2 9" xfId="25197"/>
    <cellStyle name="Normal 3 2 2 2 2 2 2 2 2 2 2 16 3" xfId="25198"/>
    <cellStyle name="Normal 3 2 2 2 2 2 2 2 2 2 2 16 4" xfId="25199"/>
    <cellStyle name="Normal 3 2 2 2 2 2 2 2 2 2 2 16 5" xfId="25200"/>
    <cellStyle name="Normal 3 2 2 2 2 2 2 2 2 2 2 16 5 2" xfId="25201"/>
    <cellStyle name="Normal 3 2 2 2 2 2 2 2 2 2 2 16 5 2 2" xfId="25202"/>
    <cellStyle name="Normal 3 2 2 2 2 2 2 2 2 2 2 16 5 2 3" xfId="25203"/>
    <cellStyle name="Normal 3 2 2 2 2 2 2 2 2 2 2 16 5 2 4" xfId="25204"/>
    <cellStyle name="Normal 3 2 2 2 2 2 2 2 2 2 2 16 5 3" xfId="25205"/>
    <cellStyle name="Normal 3 2 2 2 2 2 2 2 2 2 2 16 5 4" xfId="25206"/>
    <cellStyle name="Normal 3 2 2 2 2 2 2 2 2 2 2 16 5 5" xfId="25207"/>
    <cellStyle name="Normal 3 2 2 2 2 2 2 2 2 2 2 16 5 6" xfId="25208"/>
    <cellStyle name="Normal 3 2 2 2 2 2 2 2 2 2 2 16 6" xfId="25209"/>
    <cellStyle name="Normal 3 2 2 2 2 2 2 2 2 2 2 16 7" xfId="25210"/>
    <cellStyle name="Normal 3 2 2 2 2 2 2 2 2 2 2 16 8" xfId="25211"/>
    <cellStyle name="Normal 3 2 2 2 2 2 2 2 2 2 2 16 9" xfId="25212"/>
    <cellStyle name="Normal 3 2 2 2 2 2 2 2 2 2 2 17" xfId="25213"/>
    <cellStyle name="Normal 3 2 2 2 2 2 2 2 2 2 2 18" xfId="25214"/>
    <cellStyle name="Normal 3 2 2 2 2 2 2 2 2 2 2 18 10" xfId="25215"/>
    <cellStyle name="Normal 3 2 2 2 2 2 2 2 2 2 2 18 11" xfId="25216"/>
    <cellStyle name="Normal 3 2 2 2 2 2 2 2 2 2 2 18 2" xfId="25217"/>
    <cellStyle name="Normal 3 2 2 2 2 2 2 2 2 2 2 18 2 10" xfId="25218"/>
    <cellStyle name="Normal 3 2 2 2 2 2 2 2 2 2 2 18 2 11" xfId="25219"/>
    <cellStyle name="Normal 3 2 2 2 2 2 2 2 2 2 2 18 2 2" xfId="25220"/>
    <cellStyle name="Normal 3 2 2 2 2 2 2 2 2 2 2 18 2 2 2" xfId="25221"/>
    <cellStyle name="Normal 3 2 2 2 2 2 2 2 2 2 2 18 2 2 2 2" xfId="25222"/>
    <cellStyle name="Normal 3 2 2 2 2 2 2 2 2 2 2 18 2 2 2 3" xfId="25223"/>
    <cellStyle name="Normal 3 2 2 2 2 2 2 2 2 2 2 18 2 2 2 4" xfId="25224"/>
    <cellStyle name="Normal 3 2 2 2 2 2 2 2 2 2 2 18 2 2 3" xfId="25225"/>
    <cellStyle name="Normal 3 2 2 2 2 2 2 2 2 2 2 18 2 2 4" xfId="25226"/>
    <cellStyle name="Normal 3 2 2 2 2 2 2 2 2 2 2 18 2 2 5" xfId="25227"/>
    <cellStyle name="Normal 3 2 2 2 2 2 2 2 2 2 2 18 2 2 6" xfId="25228"/>
    <cellStyle name="Normal 3 2 2 2 2 2 2 2 2 2 2 18 2 3" xfId="25229"/>
    <cellStyle name="Normal 3 2 2 2 2 2 2 2 2 2 2 18 2 4" xfId="25230"/>
    <cellStyle name="Normal 3 2 2 2 2 2 2 2 2 2 2 18 2 5" xfId="25231"/>
    <cellStyle name="Normal 3 2 2 2 2 2 2 2 2 2 2 18 2 6" xfId="25232"/>
    <cellStyle name="Normal 3 2 2 2 2 2 2 2 2 2 2 18 2 7" xfId="25233"/>
    <cellStyle name="Normal 3 2 2 2 2 2 2 2 2 2 2 18 2 8" xfId="25234"/>
    <cellStyle name="Normal 3 2 2 2 2 2 2 2 2 2 2 18 2 8 2" xfId="25235"/>
    <cellStyle name="Normal 3 2 2 2 2 2 2 2 2 2 2 18 2 8 3" xfId="25236"/>
    <cellStyle name="Normal 3 2 2 2 2 2 2 2 2 2 2 18 2 8 4" xfId="25237"/>
    <cellStyle name="Normal 3 2 2 2 2 2 2 2 2 2 2 18 2 9" xfId="25238"/>
    <cellStyle name="Normal 3 2 2 2 2 2 2 2 2 2 2 18 3" xfId="25239"/>
    <cellStyle name="Normal 3 2 2 2 2 2 2 2 2 2 2 18 3 2" xfId="25240"/>
    <cellStyle name="Normal 3 2 2 2 2 2 2 2 2 2 2 18 3 2 2" xfId="25241"/>
    <cellStyle name="Normal 3 2 2 2 2 2 2 2 2 2 2 18 3 2 3" xfId="25242"/>
    <cellStyle name="Normal 3 2 2 2 2 2 2 2 2 2 2 18 3 2 4" xfId="25243"/>
    <cellStyle name="Normal 3 2 2 2 2 2 2 2 2 2 2 18 3 3" xfId="25244"/>
    <cellStyle name="Normal 3 2 2 2 2 2 2 2 2 2 2 18 3 4" xfId="25245"/>
    <cellStyle name="Normal 3 2 2 2 2 2 2 2 2 2 2 18 3 5" xfId="25246"/>
    <cellStyle name="Normal 3 2 2 2 2 2 2 2 2 2 2 18 3 6" xfId="25247"/>
    <cellStyle name="Normal 3 2 2 2 2 2 2 2 2 2 2 18 4" xfId="25248"/>
    <cellStyle name="Normal 3 2 2 2 2 2 2 2 2 2 2 18 5" xfId="25249"/>
    <cellStyle name="Normal 3 2 2 2 2 2 2 2 2 2 2 18 6" xfId="25250"/>
    <cellStyle name="Normal 3 2 2 2 2 2 2 2 2 2 2 18 7" xfId="25251"/>
    <cellStyle name="Normal 3 2 2 2 2 2 2 2 2 2 2 18 8" xfId="25252"/>
    <cellStyle name="Normal 3 2 2 2 2 2 2 2 2 2 2 18 8 2" xfId="25253"/>
    <cellStyle name="Normal 3 2 2 2 2 2 2 2 2 2 2 18 8 3" xfId="25254"/>
    <cellStyle name="Normal 3 2 2 2 2 2 2 2 2 2 2 18 8 4" xfId="25255"/>
    <cellStyle name="Normal 3 2 2 2 2 2 2 2 2 2 2 18 9" xfId="25256"/>
    <cellStyle name="Normal 3 2 2 2 2 2 2 2 2 2 2 19" xfId="25257"/>
    <cellStyle name="Normal 3 2 2 2 2 2 2 2 2 2 2 2" xfId="25258"/>
    <cellStyle name="Normal 3 2 2 2 2 2 2 2 2 2 2 2 10" xfId="25259"/>
    <cellStyle name="Normal 3 2 2 2 2 2 2 2 2 2 2 2 11" xfId="25260"/>
    <cellStyle name="Normal 3 2 2 2 2 2 2 2 2 2 2 2 12" xfId="25261"/>
    <cellStyle name="Normal 3 2 2 2 2 2 2 2 2 2 2 2 13" xfId="25262"/>
    <cellStyle name="Normal 3 2 2 2 2 2 2 2 2 2 2 2 14" xfId="25263"/>
    <cellStyle name="Normal 3 2 2 2 2 2 2 2 2 2 2 2 15" xfId="25264"/>
    <cellStyle name="Normal 3 2 2 2 2 2 2 2 2 2 2 2 16" xfId="25265"/>
    <cellStyle name="Normal 3 2 2 2 2 2 2 2 2 2 2 2 16 10" xfId="25266"/>
    <cellStyle name="Normal 3 2 2 2 2 2 2 2 2 2 2 2 16 11" xfId="25267"/>
    <cellStyle name="Normal 3 2 2 2 2 2 2 2 2 2 2 2 16 11 2" xfId="25268"/>
    <cellStyle name="Normal 3 2 2 2 2 2 2 2 2 2 2 2 16 11 3" xfId="25269"/>
    <cellStyle name="Normal 3 2 2 2 2 2 2 2 2 2 2 2 16 11 4" xfId="25270"/>
    <cellStyle name="Normal 3 2 2 2 2 2 2 2 2 2 2 2 16 12" xfId="25271"/>
    <cellStyle name="Normal 3 2 2 2 2 2 2 2 2 2 2 2 16 13" xfId="25272"/>
    <cellStyle name="Normal 3 2 2 2 2 2 2 2 2 2 2 2 16 14" xfId="25273"/>
    <cellStyle name="Normal 3 2 2 2 2 2 2 2 2 2 2 2 16 2" xfId="25274"/>
    <cellStyle name="Normal 3 2 2 2 2 2 2 2 2 2 2 2 16 2 10" xfId="25275"/>
    <cellStyle name="Normal 3 2 2 2 2 2 2 2 2 2 2 2 16 2 11" xfId="25276"/>
    <cellStyle name="Normal 3 2 2 2 2 2 2 2 2 2 2 2 16 2 2" xfId="25277"/>
    <cellStyle name="Normal 3 2 2 2 2 2 2 2 2 2 2 2 16 2 2 10" xfId="25278"/>
    <cellStyle name="Normal 3 2 2 2 2 2 2 2 2 2 2 2 16 2 2 11" xfId="25279"/>
    <cellStyle name="Normal 3 2 2 2 2 2 2 2 2 2 2 2 16 2 2 2" xfId="25280"/>
    <cellStyle name="Normal 3 2 2 2 2 2 2 2 2 2 2 2 16 2 2 2 2" xfId="25281"/>
    <cellStyle name="Normal 3 2 2 2 2 2 2 2 2 2 2 2 16 2 2 2 2 2" xfId="25282"/>
    <cellStyle name="Normal 3 2 2 2 2 2 2 2 2 2 2 2 16 2 2 2 2 3" xfId="25283"/>
    <cellStyle name="Normal 3 2 2 2 2 2 2 2 2 2 2 2 16 2 2 2 2 4" xfId="25284"/>
    <cellStyle name="Normal 3 2 2 2 2 2 2 2 2 2 2 2 16 2 2 2 3" xfId="25285"/>
    <cellStyle name="Normal 3 2 2 2 2 2 2 2 2 2 2 2 16 2 2 2 4" xfId="25286"/>
    <cellStyle name="Normal 3 2 2 2 2 2 2 2 2 2 2 2 16 2 2 2 5" xfId="25287"/>
    <cellStyle name="Normal 3 2 2 2 2 2 2 2 2 2 2 2 16 2 2 2 6" xfId="25288"/>
    <cellStyle name="Normal 3 2 2 2 2 2 2 2 2 2 2 2 16 2 2 3" xfId="25289"/>
    <cellStyle name="Normal 3 2 2 2 2 2 2 2 2 2 2 2 16 2 2 4" xfId="25290"/>
    <cellStyle name="Normal 3 2 2 2 2 2 2 2 2 2 2 2 16 2 2 5" xfId="25291"/>
    <cellStyle name="Normal 3 2 2 2 2 2 2 2 2 2 2 2 16 2 2 6" xfId="25292"/>
    <cellStyle name="Normal 3 2 2 2 2 2 2 2 2 2 2 2 16 2 2 7" xfId="25293"/>
    <cellStyle name="Normal 3 2 2 2 2 2 2 2 2 2 2 2 16 2 2 8" xfId="25294"/>
    <cellStyle name="Normal 3 2 2 2 2 2 2 2 2 2 2 2 16 2 2 8 2" xfId="25295"/>
    <cellStyle name="Normal 3 2 2 2 2 2 2 2 2 2 2 2 16 2 2 8 3" xfId="25296"/>
    <cellStyle name="Normal 3 2 2 2 2 2 2 2 2 2 2 2 16 2 2 8 4" xfId="25297"/>
    <cellStyle name="Normal 3 2 2 2 2 2 2 2 2 2 2 2 16 2 2 9" xfId="25298"/>
    <cellStyle name="Normal 3 2 2 2 2 2 2 2 2 2 2 2 16 2 3" xfId="25299"/>
    <cellStyle name="Normal 3 2 2 2 2 2 2 2 2 2 2 2 16 2 3 2" xfId="25300"/>
    <cellStyle name="Normal 3 2 2 2 2 2 2 2 2 2 2 2 16 2 3 2 2" xfId="25301"/>
    <cellStyle name="Normal 3 2 2 2 2 2 2 2 2 2 2 2 16 2 3 2 3" xfId="25302"/>
    <cellStyle name="Normal 3 2 2 2 2 2 2 2 2 2 2 2 16 2 3 2 4" xfId="25303"/>
    <cellStyle name="Normal 3 2 2 2 2 2 2 2 2 2 2 2 16 2 3 3" xfId="25304"/>
    <cellStyle name="Normal 3 2 2 2 2 2 2 2 2 2 2 2 16 2 3 4" xfId="25305"/>
    <cellStyle name="Normal 3 2 2 2 2 2 2 2 2 2 2 2 16 2 3 5" xfId="25306"/>
    <cellStyle name="Normal 3 2 2 2 2 2 2 2 2 2 2 2 16 2 3 6" xfId="25307"/>
    <cellStyle name="Normal 3 2 2 2 2 2 2 2 2 2 2 2 16 2 4" xfId="25308"/>
    <cellStyle name="Normal 3 2 2 2 2 2 2 2 2 2 2 2 16 2 5" xfId="25309"/>
    <cellStyle name="Normal 3 2 2 2 2 2 2 2 2 2 2 2 16 2 6" xfId="25310"/>
    <cellStyle name="Normal 3 2 2 2 2 2 2 2 2 2 2 2 16 2 7" xfId="25311"/>
    <cellStyle name="Normal 3 2 2 2 2 2 2 2 2 2 2 2 16 2 8" xfId="25312"/>
    <cellStyle name="Normal 3 2 2 2 2 2 2 2 2 2 2 2 16 2 8 2" xfId="25313"/>
    <cellStyle name="Normal 3 2 2 2 2 2 2 2 2 2 2 2 16 2 8 3" xfId="25314"/>
    <cellStyle name="Normal 3 2 2 2 2 2 2 2 2 2 2 2 16 2 8 4" xfId="25315"/>
    <cellStyle name="Normal 3 2 2 2 2 2 2 2 2 2 2 2 16 2 9" xfId="25316"/>
    <cellStyle name="Normal 3 2 2 2 2 2 2 2 2 2 2 2 16 3" xfId="25317"/>
    <cellStyle name="Normal 3 2 2 2 2 2 2 2 2 2 2 2 16 4" xfId="25318"/>
    <cellStyle name="Normal 3 2 2 2 2 2 2 2 2 2 2 2 16 5" xfId="25319"/>
    <cellStyle name="Normal 3 2 2 2 2 2 2 2 2 2 2 2 16 5 2" xfId="25320"/>
    <cellStyle name="Normal 3 2 2 2 2 2 2 2 2 2 2 2 16 5 2 2" xfId="25321"/>
    <cellStyle name="Normal 3 2 2 2 2 2 2 2 2 2 2 2 16 5 2 3" xfId="25322"/>
    <cellStyle name="Normal 3 2 2 2 2 2 2 2 2 2 2 2 16 5 2 4" xfId="25323"/>
    <cellStyle name="Normal 3 2 2 2 2 2 2 2 2 2 2 2 16 5 3" xfId="25324"/>
    <cellStyle name="Normal 3 2 2 2 2 2 2 2 2 2 2 2 16 5 4" xfId="25325"/>
    <cellStyle name="Normal 3 2 2 2 2 2 2 2 2 2 2 2 16 5 5" xfId="25326"/>
    <cellStyle name="Normal 3 2 2 2 2 2 2 2 2 2 2 2 16 5 6" xfId="25327"/>
    <cellStyle name="Normal 3 2 2 2 2 2 2 2 2 2 2 2 16 6" xfId="25328"/>
    <cellStyle name="Normal 3 2 2 2 2 2 2 2 2 2 2 2 16 7" xfId="25329"/>
    <cellStyle name="Normal 3 2 2 2 2 2 2 2 2 2 2 2 16 8" xfId="25330"/>
    <cellStyle name="Normal 3 2 2 2 2 2 2 2 2 2 2 2 16 9" xfId="25331"/>
    <cellStyle name="Normal 3 2 2 2 2 2 2 2 2 2 2 2 17" xfId="25332"/>
    <cellStyle name="Normal 3 2 2 2 2 2 2 2 2 2 2 2 18" xfId="25333"/>
    <cellStyle name="Normal 3 2 2 2 2 2 2 2 2 2 2 2 18 10" xfId="25334"/>
    <cellStyle name="Normal 3 2 2 2 2 2 2 2 2 2 2 2 18 11" xfId="25335"/>
    <cellStyle name="Normal 3 2 2 2 2 2 2 2 2 2 2 2 18 2" xfId="25336"/>
    <cellStyle name="Normal 3 2 2 2 2 2 2 2 2 2 2 2 18 2 10" xfId="25337"/>
    <cellStyle name="Normal 3 2 2 2 2 2 2 2 2 2 2 2 18 2 11" xfId="25338"/>
    <cellStyle name="Normal 3 2 2 2 2 2 2 2 2 2 2 2 18 2 2" xfId="25339"/>
    <cellStyle name="Normal 3 2 2 2 2 2 2 2 2 2 2 2 18 2 2 2" xfId="25340"/>
    <cellStyle name="Normal 3 2 2 2 2 2 2 2 2 2 2 2 18 2 2 2 2" xfId="25341"/>
    <cellStyle name="Normal 3 2 2 2 2 2 2 2 2 2 2 2 18 2 2 2 3" xfId="25342"/>
    <cellStyle name="Normal 3 2 2 2 2 2 2 2 2 2 2 2 18 2 2 2 4" xfId="25343"/>
    <cellStyle name="Normal 3 2 2 2 2 2 2 2 2 2 2 2 18 2 2 3" xfId="25344"/>
    <cellStyle name="Normal 3 2 2 2 2 2 2 2 2 2 2 2 18 2 2 4" xfId="25345"/>
    <cellStyle name="Normal 3 2 2 2 2 2 2 2 2 2 2 2 18 2 2 5" xfId="25346"/>
    <cellStyle name="Normal 3 2 2 2 2 2 2 2 2 2 2 2 18 2 2 6" xfId="25347"/>
    <cellStyle name="Normal 3 2 2 2 2 2 2 2 2 2 2 2 18 2 3" xfId="25348"/>
    <cellStyle name="Normal 3 2 2 2 2 2 2 2 2 2 2 2 18 2 4" xfId="25349"/>
    <cellStyle name="Normal 3 2 2 2 2 2 2 2 2 2 2 2 18 2 5" xfId="25350"/>
    <cellStyle name="Normal 3 2 2 2 2 2 2 2 2 2 2 2 18 2 6" xfId="25351"/>
    <cellStyle name="Normal 3 2 2 2 2 2 2 2 2 2 2 2 18 2 7" xfId="25352"/>
    <cellStyle name="Normal 3 2 2 2 2 2 2 2 2 2 2 2 18 2 8" xfId="25353"/>
    <cellStyle name="Normal 3 2 2 2 2 2 2 2 2 2 2 2 18 2 8 2" xfId="25354"/>
    <cellStyle name="Normal 3 2 2 2 2 2 2 2 2 2 2 2 18 2 8 3" xfId="25355"/>
    <cellStyle name="Normal 3 2 2 2 2 2 2 2 2 2 2 2 18 2 8 4" xfId="25356"/>
    <cellStyle name="Normal 3 2 2 2 2 2 2 2 2 2 2 2 18 2 9" xfId="25357"/>
    <cellStyle name="Normal 3 2 2 2 2 2 2 2 2 2 2 2 18 3" xfId="25358"/>
    <cellStyle name="Normal 3 2 2 2 2 2 2 2 2 2 2 2 18 3 2" xfId="25359"/>
    <cellStyle name="Normal 3 2 2 2 2 2 2 2 2 2 2 2 18 3 2 2" xfId="25360"/>
    <cellStyle name="Normal 3 2 2 2 2 2 2 2 2 2 2 2 18 3 2 3" xfId="25361"/>
    <cellStyle name="Normal 3 2 2 2 2 2 2 2 2 2 2 2 18 3 2 4" xfId="25362"/>
    <cellStyle name="Normal 3 2 2 2 2 2 2 2 2 2 2 2 18 3 3" xfId="25363"/>
    <cellStyle name="Normal 3 2 2 2 2 2 2 2 2 2 2 2 18 3 4" xfId="25364"/>
    <cellStyle name="Normal 3 2 2 2 2 2 2 2 2 2 2 2 18 3 5" xfId="25365"/>
    <cellStyle name="Normal 3 2 2 2 2 2 2 2 2 2 2 2 18 3 6" xfId="25366"/>
    <cellStyle name="Normal 3 2 2 2 2 2 2 2 2 2 2 2 18 4" xfId="25367"/>
    <cellStyle name="Normal 3 2 2 2 2 2 2 2 2 2 2 2 18 5" xfId="25368"/>
    <cellStyle name="Normal 3 2 2 2 2 2 2 2 2 2 2 2 18 6" xfId="25369"/>
    <cellStyle name="Normal 3 2 2 2 2 2 2 2 2 2 2 2 18 7" xfId="25370"/>
    <cellStyle name="Normal 3 2 2 2 2 2 2 2 2 2 2 2 18 8" xfId="25371"/>
    <cellStyle name="Normal 3 2 2 2 2 2 2 2 2 2 2 2 18 8 2" xfId="25372"/>
    <cellStyle name="Normal 3 2 2 2 2 2 2 2 2 2 2 2 18 8 3" xfId="25373"/>
    <cellStyle name="Normal 3 2 2 2 2 2 2 2 2 2 2 2 18 8 4" xfId="25374"/>
    <cellStyle name="Normal 3 2 2 2 2 2 2 2 2 2 2 2 18 9" xfId="25375"/>
    <cellStyle name="Normal 3 2 2 2 2 2 2 2 2 2 2 2 19" xfId="25376"/>
    <cellStyle name="Normal 3 2 2 2 2 2 2 2 2 2 2 2 2" xfId="25377"/>
    <cellStyle name="Normal 3 2 2 2 2 2 2 2 2 2 2 2 2 10" xfId="25378"/>
    <cellStyle name="Normal 3 2 2 2 2 2 2 2 2 2 2 2 2 11" xfId="25379"/>
    <cellStyle name="Normal 3 2 2 2 2 2 2 2 2 2 2 2 2 12" xfId="25380"/>
    <cellStyle name="Normal 3 2 2 2 2 2 2 2 2 2 2 2 2 12 10" xfId="25381"/>
    <cellStyle name="Normal 3 2 2 2 2 2 2 2 2 2 2 2 2 12 11" xfId="25382"/>
    <cellStyle name="Normal 3 2 2 2 2 2 2 2 2 2 2 2 2 12 11 2" xfId="25383"/>
    <cellStyle name="Normal 3 2 2 2 2 2 2 2 2 2 2 2 2 12 11 3" xfId="25384"/>
    <cellStyle name="Normal 3 2 2 2 2 2 2 2 2 2 2 2 2 12 11 4" xfId="25385"/>
    <cellStyle name="Normal 3 2 2 2 2 2 2 2 2 2 2 2 2 12 12" xfId="25386"/>
    <cellStyle name="Normal 3 2 2 2 2 2 2 2 2 2 2 2 2 12 13" xfId="25387"/>
    <cellStyle name="Normal 3 2 2 2 2 2 2 2 2 2 2 2 2 12 14" xfId="25388"/>
    <cellStyle name="Normal 3 2 2 2 2 2 2 2 2 2 2 2 2 12 2" xfId="25389"/>
    <cellStyle name="Normal 3 2 2 2 2 2 2 2 2 2 2 2 2 12 2 10" xfId="25390"/>
    <cellStyle name="Normal 3 2 2 2 2 2 2 2 2 2 2 2 2 12 2 11" xfId="25391"/>
    <cellStyle name="Normal 3 2 2 2 2 2 2 2 2 2 2 2 2 12 2 2" xfId="25392"/>
    <cellStyle name="Normal 3 2 2 2 2 2 2 2 2 2 2 2 2 12 2 2 10" xfId="25393"/>
    <cellStyle name="Normal 3 2 2 2 2 2 2 2 2 2 2 2 2 12 2 2 11" xfId="25394"/>
    <cellStyle name="Normal 3 2 2 2 2 2 2 2 2 2 2 2 2 12 2 2 2" xfId="25395"/>
    <cellStyle name="Normal 3 2 2 2 2 2 2 2 2 2 2 2 2 12 2 2 2 2" xfId="25396"/>
    <cellStyle name="Normal 3 2 2 2 2 2 2 2 2 2 2 2 2 12 2 2 2 2 2" xfId="25397"/>
    <cellStyle name="Normal 3 2 2 2 2 2 2 2 2 2 2 2 2 12 2 2 2 2 3" xfId="25398"/>
    <cellStyle name="Normal 3 2 2 2 2 2 2 2 2 2 2 2 2 12 2 2 2 2 4" xfId="25399"/>
    <cellStyle name="Normal 3 2 2 2 2 2 2 2 2 2 2 2 2 12 2 2 2 3" xfId="25400"/>
    <cellStyle name="Normal 3 2 2 2 2 2 2 2 2 2 2 2 2 12 2 2 2 4" xfId="25401"/>
    <cellStyle name="Normal 3 2 2 2 2 2 2 2 2 2 2 2 2 12 2 2 2 5" xfId="25402"/>
    <cellStyle name="Normal 3 2 2 2 2 2 2 2 2 2 2 2 2 12 2 2 2 6" xfId="25403"/>
    <cellStyle name="Normal 3 2 2 2 2 2 2 2 2 2 2 2 2 12 2 2 3" xfId="25404"/>
    <cellStyle name="Normal 3 2 2 2 2 2 2 2 2 2 2 2 2 12 2 2 4" xfId="25405"/>
    <cellStyle name="Normal 3 2 2 2 2 2 2 2 2 2 2 2 2 12 2 2 5" xfId="25406"/>
    <cellStyle name="Normal 3 2 2 2 2 2 2 2 2 2 2 2 2 12 2 2 6" xfId="25407"/>
    <cellStyle name="Normal 3 2 2 2 2 2 2 2 2 2 2 2 2 12 2 2 7" xfId="25408"/>
    <cellStyle name="Normal 3 2 2 2 2 2 2 2 2 2 2 2 2 12 2 2 8" xfId="25409"/>
    <cellStyle name="Normal 3 2 2 2 2 2 2 2 2 2 2 2 2 12 2 2 8 2" xfId="25410"/>
    <cellStyle name="Normal 3 2 2 2 2 2 2 2 2 2 2 2 2 12 2 2 8 3" xfId="25411"/>
    <cellStyle name="Normal 3 2 2 2 2 2 2 2 2 2 2 2 2 12 2 2 8 4" xfId="25412"/>
    <cellStyle name="Normal 3 2 2 2 2 2 2 2 2 2 2 2 2 12 2 2 9" xfId="25413"/>
    <cellStyle name="Normal 3 2 2 2 2 2 2 2 2 2 2 2 2 12 2 3" xfId="25414"/>
    <cellStyle name="Normal 3 2 2 2 2 2 2 2 2 2 2 2 2 12 2 3 2" xfId="25415"/>
    <cellStyle name="Normal 3 2 2 2 2 2 2 2 2 2 2 2 2 12 2 3 2 2" xfId="25416"/>
    <cellStyle name="Normal 3 2 2 2 2 2 2 2 2 2 2 2 2 12 2 3 2 3" xfId="25417"/>
    <cellStyle name="Normal 3 2 2 2 2 2 2 2 2 2 2 2 2 12 2 3 2 4" xfId="25418"/>
    <cellStyle name="Normal 3 2 2 2 2 2 2 2 2 2 2 2 2 12 2 3 3" xfId="25419"/>
    <cellStyle name="Normal 3 2 2 2 2 2 2 2 2 2 2 2 2 12 2 3 4" xfId="25420"/>
    <cellStyle name="Normal 3 2 2 2 2 2 2 2 2 2 2 2 2 12 2 3 5" xfId="25421"/>
    <cellStyle name="Normal 3 2 2 2 2 2 2 2 2 2 2 2 2 12 2 3 6" xfId="25422"/>
    <cellStyle name="Normal 3 2 2 2 2 2 2 2 2 2 2 2 2 12 2 4" xfId="25423"/>
    <cellStyle name="Normal 3 2 2 2 2 2 2 2 2 2 2 2 2 12 2 5" xfId="25424"/>
    <cellStyle name="Normal 3 2 2 2 2 2 2 2 2 2 2 2 2 12 2 6" xfId="25425"/>
    <cellStyle name="Normal 3 2 2 2 2 2 2 2 2 2 2 2 2 12 2 7" xfId="25426"/>
    <cellStyle name="Normal 3 2 2 2 2 2 2 2 2 2 2 2 2 12 2 8" xfId="25427"/>
    <cellStyle name="Normal 3 2 2 2 2 2 2 2 2 2 2 2 2 12 2 8 2" xfId="25428"/>
    <cellStyle name="Normal 3 2 2 2 2 2 2 2 2 2 2 2 2 12 2 8 3" xfId="25429"/>
    <cellStyle name="Normal 3 2 2 2 2 2 2 2 2 2 2 2 2 12 2 8 4" xfId="25430"/>
    <cellStyle name="Normal 3 2 2 2 2 2 2 2 2 2 2 2 2 12 2 9" xfId="25431"/>
    <cellStyle name="Normal 3 2 2 2 2 2 2 2 2 2 2 2 2 12 3" xfId="25432"/>
    <cellStyle name="Normal 3 2 2 2 2 2 2 2 2 2 2 2 2 12 4" xfId="25433"/>
    <cellStyle name="Normal 3 2 2 2 2 2 2 2 2 2 2 2 2 12 5" xfId="25434"/>
    <cellStyle name="Normal 3 2 2 2 2 2 2 2 2 2 2 2 2 12 5 2" xfId="25435"/>
    <cellStyle name="Normal 3 2 2 2 2 2 2 2 2 2 2 2 2 12 5 2 2" xfId="25436"/>
    <cellStyle name="Normal 3 2 2 2 2 2 2 2 2 2 2 2 2 12 5 2 3" xfId="25437"/>
    <cellStyle name="Normal 3 2 2 2 2 2 2 2 2 2 2 2 2 12 5 2 4" xfId="25438"/>
    <cellStyle name="Normal 3 2 2 2 2 2 2 2 2 2 2 2 2 12 5 3" xfId="25439"/>
    <cellStyle name="Normal 3 2 2 2 2 2 2 2 2 2 2 2 2 12 5 4" xfId="25440"/>
    <cellStyle name="Normal 3 2 2 2 2 2 2 2 2 2 2 2 2 12 5 5" xfId="25441"/>
    <cellStyle name="Normal 3 2 2 2 2 2 2 2 2 2 2 2 2 12 5 6" xfId="25442"/>
    <cellStyle name="Normal 3 2 2 2 2 2 2 2 2 2 2 2 2 12 6" xfId="25443"/>
    <cellStyle name="Normal 3 2 2 2 2 2 2 2 2 2 2 2 2 12 7" xfId="25444"/>
    <cellStyle name="Normal 3 2 2 2 2 2 2 2 2 2 2 2 2 12 8" xfId="25445"/>
    <cellStyle name="Normal 3 2 2 2 2 2 2 2 2 2 2 2 2 12 9" xfId="25446"/>
    <cellStyle name="Normal 3 2 2 2 2 2 2 2 2 2 2 2 2 13" xfId="25447"/>
    <cellStyle name="Normal 3 2 2 2 2 2 2 2 2 2 2 2 2 14" xfId="25448"/>
    <cellStyle name="Normal 3 2 2 2 2 2 2 2 2 2 2 2 2 14 10" xfId="25449"/>
    <cellStyle name="Normal 3 2 2 2 2 2 2 2 2 2 2 2 2 14 11" xfId="25450"/>
    <cellStyle name="Normal 3 2 2 2 2 2 2 2 2 2 2 2 2 14 2" xfId="25451"/>
    <cellStyle name="Normal 3 2 2 2 2 2 2 2 2 2 2 2 2 14 2 10" xfId="25452"/>
    <cellStyle name="Normal 3 2 2 2 2 2 2 2 2 2 2 2 2 14 2 11" xfId="25453"/>
    <cellStyle name="Normal 3 2 2 2 2 2 2 2 2 2 2 2 2 14 2 2" xfId="25454"/>
    <cellStyle name="Normal 3 2 2 2 2 2 2 2 2 2 2 2 2 14 2 2 2" xfId="25455"/>
    <cellStyle name="Normal 3 2 2 2 2 2 2 2 2 2 2 2 2 14 2 2 2 2" xfId="25456"/>
    <cellStyle name="Normal 3 2 2 2 2 2 2 2 2 2 2 2 2 14 2 2 2 3" xfId="25457"/>
    <cellStyle name="Normal 3 2 2 2 2 2 2 2 2 2 2 2 2 14 2 2 2 4" xfId="25458"/>
    <cellStyle name="Normal 3 2 2 2 2 2 2 2 2 2 2 2 2 14 2 2 3" xfId="25459"/>
    <cellStyle name="Normal 3 2 2 2 2 2 2 2 2 2 2 2 2 14 2 2 4" xfId="25460"/>
    <cellStyle name="Normal 3 2 2 2 2 2 2 2 2 2 2 2 2 14 2 2 5" xfId="25461"/>
    <cellStyle name="Normal 3 2 2 2 2 2 2 2 2 2 2 2 2 14 2 2 6" xfId="25462"/>
    <cellStyle name="Normal 3 2 2 2 2 2 2 2 2 2 2 2 2 14 2 3" xfId="25463"/>
    <cellStyle name="Normal 3 2 2 2 2 2 2 2 2 2 2 2 2 14 2 4" xfId="25464"/>
    <cellStyle name="Normal 3 2 2 2 2 2 2 2 2 2 2 2 2 14 2 5" xfId="25465"/>
    <cellStyle name="Normal 3 2 2 2 2 2 2 2 2 2 2 2 2 14 2 6" xfId="25466"/>
    <cellStyle name="Normal 3 2 2 2 2 2 2 2 2 2 2 2 2 14 2 7" xfId="25467"/>
    <cellStyle name="Normal 3 2 2 2 2 2 2 2 2 2 2 2 2 14 2 8" xfId="25468"/>
    <cellStyle name="Normal 3 2 2 2 2 2 2 2 2 2 2 2 2 14 2 8 2" xfId="25469"/>
    <cellStyle name="Normal 3 2 2 2 2 2 2 2 2 2 2 2 2 14 2 8 3" xfId="25470"/>
    <cellStyle name="Normal 3 2 2 2 2 2 2 2 2 2 2 2 2 14 2 8 4" xfId="25471"/>
    <cellStyle name="Normal 3 2 2 2 2 2 2 2 2 2 2 2 2 14 2 9" xfId="25472"/>
    <cellStyle name="Normal 3 2 2 2 2 2 2 2 2 2 2 2 2 14 3" xfId="25473"/>
    <cellStyle name="Normal 3 2 2 2 2 2 2 2 2 2 2 2 2 14 3 2" xfId="25474"/>
    <cellStyle name="Normal 3 2 2 2 2 2 2 2 2 2 2 2 2 14 3 2 2" xfId="25475"/>
    <cellStyle name="Normal 3 2 2 2 2 2 2 2 2 2 2 2 2 14 3 2 3" xfId="25476"/>
    <cellStyle name="Normal 3 2 2 2 2 2 2 2 2 2 2 2 2 14 3 2 4" xfId="25477"/>
    <cellStyle name="Normal 3 2 2 2 2 2 2 2 2 2 2 2 2 14 3 3" xfId="25478"/>
    <cellStyle name="Normal 3 2 2 2 2 2 2 2 2 2 2 2 2 14 3 4" xfId="25479"/>
    <cellStyle name="Normal 3 2 2 2 2 2 2 2 2 2 2 2 2 14 3 5" xfId="25480"/>
    <cellStyle name="Normal 3 2 2 2 2 2 2 2 2 2 2 2 2 14 3 6" xfId="25481"/>
    <cellStyle name="Normal 3 2 2 2 2 2 2 2 2 2 2 2 2 14 4" xfId="25482"/>
    <cellStyle name="Normal 3 2 2 2 2 2 2 2 2 2 2 2 2 14 5" xfId="25483"/>
    <cellStyle name="Normal 3 2 2 2 2 2 2 2 2 2 2 2 2 14 6" xfId="25484"/>
    <cellStyle name="Normal 3 2 2 2 2 2 2 2 2 2 2 2 2 14 7" xfId="25485"/>
    <cellStyle name="Normal 3 2 2 2 2 2 2 2 2 2 2 2 2 14 8" xfId="25486"/>
    <cellStyle name="Normal 3 2 2 2 2 2 2 2 2 2 2 2 2 14 8 2" xfId="25487"/>
    <cellStyle name="Normal 3 2 2 2 2 2 2 2 2 2 2 2 2 14 8 3" xfId="25488"/>
    <cellStyle name="Normal 3 2 2 2 2 2 2 2 2 2 2 2 2 14 8 4" xfId="25489"/>
    <cellStyle name="Normal 3 2 2 2 2 2 2 2 2 2 2 2 2 14 9" xfId="25490"/>
    <cellStyle name="Normal 3 2 2 2 2 2 2 2 2 2 2 2 2 15" xfId="25491"/>
    <cellStyle name="Normal 3 2 2 2 2 2 2 2 2 2 2 2 2 16" xfId="25492"/>
    <cellStyle name="Normal 3 2 2 2 2 2 2 2 2 2 2 2 2 16 2" xfId="25493"/>
    <cellStyle name="Normal 3 2 2 2 2 2 2 2 2 2 2 2 2 16 2 2" xfId="25494"/>
    <cellStyle name="Normal 3 2 2 2 2 2 2 2 2 2 2 2 2 16 2 3" xfId="25495"/>
    <cellStyle name="Normal 3 2 2 2 2 2 2 2 2 2 2 2 2 16 2 4" xfId="25496"/>
    <cellStyle name="Normal 3 2 2 2 2 2 2 2 2 2 2 2 2 16 3" xfId="25497"/>
    <cellStyle name="Normal 3 2 2 2 2 2 2 2 2 2 2 2 2 16 4" xfId="25498"/>
    <cellStyle name="Normal 3 2 2 2 2 2 2 2 2 2 2 2 2 16 5" xfId="25499"/>
    <cellStyle name="Normal 3 2 2 2 2 2 2 2 2 2 2 2 2 16 6" xfId="25500"/>
    <cellStyle name="Normal 3 2 2 2 2 2 2 2 2 2 2 2 2 17" xfId="25501"/>
    <cellStyle name="Normal 3 2 2 2 2 2 2 2 2 2 2 2 2 18" xfId="25502"/>
    <cellStyle name="Normal 3 2 2 2 2 2 2 2 2 2 2 2 2 19" xfId="25503"/>
    <cellStyle name="Normal 3 2 2 2 2 2 2 2 2 2 2 2 2 2" xfId="25504"/>
    <cellStyle name="Normal 3 2 2 2 2 2 2 2 2 2 2 2 2 2 10" xfId="25505"/>
    <cellStyle name="Normal 3 2 2 2 2 2 2 2 2 2 2 2 2 2 11" xfId="25506"/>
    <cellStyle name="Normal 3 2 2 2 2 2 2 2 2 2 2 2 2 2 11 10" xfId="25507"/>
    <cellStyle name="Normal 3 2 2 2 2 2 2 2 2 2 2 2 2 2 11 11" xfId="25508"/>
    <cellStyle name="Normal 3 2 2 2 2 2 2 2 2 2 2 2 2 2 11 11 2" xfId="25509"/>
    <cellStyle name="Normal 3 2 2 2 2 2 2 2 2 2 2 2 2 2 11 11 3" xfId="25510"/>
    <cellStyle name="Normal 3 2 2 2 2 2 2 2 2 2 2 2 2 2 11 11 4" xfId="25511"/>
    <cellStyle name="Normal 3 2 2 2 2 2 2 2 2 2 2 2 2 2 11 12" xfId="25512"/>
    <cellStyle name="Normal 3 2 2 2 2 2 2 2 2 2 2 2 2 2 11 13" xfId="25513"/>
    <cellStyle name="Normal 3 2 2 2 2 2 2 2 2 2 2 2 2 2 11 14" xfId="25514"/>
    <cellStyle name="Normal 3 2 2 2 2 2 2 2 2 2 2 2 2 2 11 2" xfId="25515"/>
    <cellStyle name="Normal 3 2 2 2 2 2 2 2 2 2 2 2 2 2 11 2 10" xfId="25516"/>
    <cellStyle name="Normal 3 2 2 2 2 2 2 2 2 2 2 2 2 2 11 2 11" xfId="25517"/>
    <cellStyle name="Normal 3 2 2 2 2 2 2 2 2 2 2 2 2 2 11 2 2" xfId="25518"/>
    <cellStyle name="Normal 3 2 2 2 2 2 2 2 2 2 2 2 2 2 11 2 2 10" xfId="25519"/>
    <cellStyle name="Normal 3 2 2 2 2 2 2 2 2 2 2 2 2 2 11 2 2 11" xfId="25520"/>
    <cellStyle name="Normal 3 2 2 2 2 2 2 2 2 2 2 2 2 2 11 2 2 2" xfId="25521"/>
    <cellStyle name="Normal 3 2 2 2 2 2 2 2 2 2 2 2 2 2 11 2 2 2 2" xfId="25522"/>
    <cellStyle name="Normal 3 2 2 2 2 2 2 2 2 2 2 2 2 2 11 2 2 2 2 2" xfId="25523"/>
    <cellStyle name="Normal 3 2 2 2 2 2 2 2 2 2 2 2 2 2 11 2 2 2 2 3" xfId="25524"/>
    <cellStyle name="Normal 3 2 2 2 2 2 2 2 2 2 2 2 2 2 11 2 2 2 2 4" xfId="25525"/>
    <cellStyle name="Normal 3 2 2 2 2 2 2 2 2 2 2 2 2 2 11 2 2 2 3" xfId="25526"/>
    <cellStyle name="Normal 3 2 2 2 2 2 2 2 2 2 2 2 2 2 11 2 2 2 4" xfId="25527"/>
    <cellStyle name="Normal 3 2 2 2 2 2 2 2 2 2 2 2 2 2 11 2 2 2 5" xfId="25528"/>
    <cellStyle name="Normal 3 2 2 2 2 2 2 2 2 2 2 2 2 2 11 2 2 2 6" xfId="25529"/>
    <cellStyle name="Normal 3 2 2 2 2 2 2 2 2 2 2 2 2 2 11 2 2 3" xfId="25530"/>
    <cellStyle name="Normal 3 2 2 2 2 2 2 2 2 2 2 2 2 2 11 2 2 4" xfId="25531"/>
    <cellStyle name="Normal 3 2 2 2 2 2 2 2 2 2 2 2 2 2 11 2 2 5" xfId="25532"/>
    <cellStyle name="Normal 3 2 2 2 2 2 2 2 2 2 2 2 2 2 11 2 2 6" xfId="25533"/>
    <cellStyle name="Normal 3 2 2 2 2 2 2 2 2 2 2 2 2 2 11 2 2 7" xfId="25534"/>
    <cellStyle name="Normal 3 2 2 2 2 2 2 2 2 2 2 2 2 2 11 2 2 8" xfId="25535"/>
    <cellStyle name="Normal 3 2 2 2 2 2 2 2 2 2 2 2 2 2 11 2 2 8 2" xfId="25536"/>
    <cellStyle name="Normal 3 2 2 2 2 2 2 2 2 2 2 2 2 2 11 2 2 8 3" xfId="25537"/>
    <cellStyle name="Normal 3 2 2 2 2 2 2 2 2 2 2 2 2 2 11 2 2 8 4" xfId="25538"/>
    <cellStyle name="Normal 3 2 2 2 2 2 2 2 2 2 2 2 2 2 11 2 2 9" xfId="25539"/>
    <cellStyle name="Normal 3 2 2 2 2 2 2 2 2 2 2 2 2 2 11 2 3" xfId="25540"/>
    <cellStyle name="Normal 3 2 2 2 2 2 2 2 2 2 2 2 2 2 11 2 3 2" xfId="25541"/>
    <cellStyle name="Normal 3 2 2 2 2 2 2 2 2 2 2 2 2 2 11 2 3 2 2" xfId="25542"/>
    <cellStyle name="Normal 3 2 2 2 2 2 2 2 2 2 2 2 2 2 11 2 3 2 3" xfId="25543"/>
    <cellStyle name="Normal 3 2 2 2 2 2 2 2 2 2 2 2 2 2 11 2 3 2 4" xfId="25544"/>
    <cellStyle name="Normal 3 2 2 2 2 2 2 2 2 2 2 2 2 2 11 2 3 3" xfId="25545"/>
    <cellStyle name="Normal 3 2 2 2 2 2 2 2 2 2 2 2 2 2 11 2 3 4" xfId="25546"/>
    <cellStyle name="Normal 3 2 2 2 2 2 2 2 2 2 2 2 2 2 11 2 3 5" xfId="25547"/>
    <cellStyle name="Normal 3 2 2 2 2 2 2 2 2 2 2 2 2 2 11 2 3 6" xfId="25548"/>
    <cellStyle name="Normal 3 2 2 2 2 2 2 2 2 2 2 2 2 2 11 2 4" xfId="25549"/>
    <cellStyle name="Normal 3 2 2 2 2 2 2 2 2 2 2 2 2 2 11 2 5" xfId="25550"/>
    <cellStyle name="Normal 3 2 2 2 2 2 2 2 2 2 2 2 2 2 11 2 6" xfId="25551"/>
    <cellStyle name="Normal 3 2 2 2 2 2 2 2 2 2 2 2 2 2 11 2 7" xfId="25552"/>
    <cellStyle name="Normal 3 2 2 2 2 2 2 2 2 2 2 2 2 2 11 2 8" xfId="25553"/>
    <cellStyle name="Normal 3 2 2 2 2 2 2 2 2 2 2 2 2 2 11 2 8 2" xfId="25554"/>
    <cellStyle name="Normal 3 2 2 2 2 2 2 2 2 2 2 2 2 2 11 2 8 3" xfId="25555"/>
    <cellStyle name="Normal 3 2 2 2 2 2 2 2 2 2 2 2 2 2 11 2 8 4" xfId="25556"/>
    <cellStyle name="Normal 3 2 2 2 2 2 2 2 2 2 2 2 2 2 11 2 9" xfId="25557"/>
    <cellStyle name="Normal 3 2 2 2 2 2 2 2 2 2 2 2 2 2 11 3" xfId="25558"/>
    <cellStyle name="Normal 3 2 2 2 2 2 2 2 2 2 2 2 2 2 11 4" xfId="25559"/>
    <cellStyle name="Normal 3 2 2 2 2 2 2 2 2 2 2 2 2 2 11 5" xfId="25560"/>
    <cellStyle name="Normal 3 2 2 2 2 2 2 2 2 2 2 2 2 2 11 5 2" xfId="25561"/>
    <cellStyle name="Normal 3 2 2 2 2 2 2 2 2 2 2 2 2 2 11 5 2 2" xfId="25562"/>
    <cellStyle name="Normal 3 2 2 2 2 2 2 2 2 2 2 2 2 2 11 5 2 3" xfId="25563"/>
    <cellStyle name="Normal 3 2 2 2 2 2 2 2 2 2 2 2 2 2 11 5 2 4" xfId="25564"/>
    <cellStyle name="Normal 3 2 2 2 2 2 2 2 2 2 2 2 2 2 11 5 3" xfId="25565"/>
    <cellStyle name="Normal 3 2 2 2 2 2 2 2 2 2 2 2 2 2 11 5 4" xfId="25566"/>
    <cellStyle name="Normal 3 2 2 2 2 2 2 2 2 2 2 2 2 2 11 5 5" xfId="25567"/>
    <cellStyle name="Normal 3 2 2 2 2 2 2 2 2 2 2 2 2 2 11 5 6" xfId="25568"/>
    <cellStyle name="Normal 3 2 2 2 2 2 2 2 2 2 2 2 2 2 11 6" xfId="25569"/>
    <cellStyle name="Normal 3 2 2 2 2 2 2 2 2 2 2 2 2 2 11 7" xfId="25570"/>
    <cellStyle name="Normal 3 2 2 2 2 2 2 2 2 2 2 2 2 2 11 8" xfId="25571"/>
    <cellStyle name="Normal 3 2 2 2 2 2 2 2 2 2 2 2 2 2 11 9" xfId="25572"/>
    <cellStyle name="Normal 3 2 2 2 2 2 2 2 2 2 2 2 2 2 12" xfId="25573"/>
    <cellStyle name="Normal 3 2 2 2 2 2 2 2 2 2 2 2 2 2 13" xfId="25574"/>
    <cellStyle name="Normal 3 2 2 2 2 2 2 2 2 2 2 2 2 2 13 10" xfId="25575"/>
    <cellStyle name="Normal 3 2 2 2 2 2 2 2 2 2 2 2 2 2 13 11" xfId="25576"/>
    <cellStyle name="Normal 3 2 2 2 2 2 2 2 2 2 2 2 2 2 13 2" xfId="25577"/>
    <cellStyle name="Normal 3 2 2 2 2 2 2 2 2 2 2 2 2 2 13 2 10" xfId="25578"/>
    <cellStyle name="Normal 3 2 2 2 2 2 2 2 2 2 2 2 2 2 13 2 11" xfId="25579"/>
    <cellStyle name="Normal 3 2 2 2 2 2 2 2 2 2 2 2 2 2 13 2 2" xfId="25580"/>
    <cellStyle name="Normal 3 2 2 2 2 2 2 2 2 2 2 2 2 2 13 2 2 2" xfId="25581"/>
    <cellStyle name="Normal 3 2 2 2 2 2 2 2 2 2 2 2 2 2 13 2 2 2 2" xfId="25582"/>
    <cellStyle name="Normal 3 2 2 2 2 2 2 2 2 2 2 2 2 2 13 2 2 2 3" xfId="25583"/>
    <cellStyle name="Normal 3 2 2 2 2 2 2 2 2 2 2 2 2 2 13 2 2 2 4" xfId="25584"/>
    <cellStyle name="Normal 3 2 2 2 2 2 2 2 2 2 2 2 2 2 13 2 2 3" xfId="25585"/>
    <cellStyle name="Normal 3 2 2 2 2 2 2 2 2 2 2 2 2 2 13 2 2 4" xfId="25586"/>
    <cellStyle name="Normal 3 2 2 2 2 2 2 2 2 2 2 2 2 2 13 2 2 5" xfId="25587"/>
    <cellStyle name="Normal 3 2 2 2 2 2 2 2 2 2 2 2 2 2 13 2 2 6" xfId="25588"/>
    <cellStyle name="Normal 3 2 2 2 2 2 2 2 2 2 2 2 2 2 13 2 3" xfId="25589"/>
    <cellStyle name="Normal 3 2 2 2 2 2 2 2 2 2 2 2 2 2 13 2 4" xfId="25590"/>
    <cellStyle name="Normal 3 2 2 2 2 2 2 2 2 2 2 2 2 2 13 2 5" xfId="25591"/>
    <cellStyle name="Normal 3 2 2 2 2 2 2 2 2 2 2 2 2 2 13 2 6" xfId="25592"/>
    <cellStyle name="Normal 3 2 2 2 2 2 2 2 2 2 2 2 2 2 13 2 7" xfId="25593"/>
    <cellStyle name="Normal 3 2 2 2 2 2 2 2 2 2 2 2 2 2 13 2 8" xfId="25594"/>
    <cellStyle name="Normal 3 2 2 2 2 2 2 2 2 2 2 2 2 2 13 2 8 2" xfId="25595"/>
    <cellStyle name="Normal 3 2 2 2 2 2 2 2 2 2 2 2 2 2 13 2 8 3" xfId="25596"/>
    <cellStyle name="Normal 3 2 2 2 2 2 2 2 2 2 2 2 2 2 13 2 8 4" xfId="25597"/>
    <cellStyle name="Normal 3 2 2 2 2 2 2 2 2 2 2 2 2 2 13 2 9" xfId="25598"/>
    <cellStyle name="Normal 3 2 2 2 2 2 2 2 2 2 2 2 2 2 13 3" xfId="25599"/>
    <cellStyle name="Normal 3 2 2 2 2 2 2 2 2 2 2 2 2 2 13 3 2" xfId="25600"/>
    <cellStyle name="Normal 3 2 2 2 2 2 2 2 2 2 2 2 2 2 13 3 2 2" xfId="25601"/>
    <cellStyle name="Normal 3 2 2 2 2 2 2 2 2 2 2 2 2 2 13 3 2 3" xfId="25602"/>
    <cellStyle name="Normal 3 2 2 2 2 2 2 2 2 2 2 2 2 2 13 3 2 4" xfId="25603"/>
    <cellStyle name="Normal 3 2 2 2 2 2 2 2 2 2 2 2 2 2 13 3 3" xfId="25604"/>
    <cellStyle name="Normal 3 2 2 2 2 2 2 2 2 2 2 2 2 2 13 3 4" xfId="25605"/>
    <cellStyle name="Normal 3 2 2 2 2 2 2 2 2 2 2 2 2 2 13 3 5" xfId="25606"/>
    <cellStyle name="Normal 3 2 2 2 2 2 2 2 2 2 2 2 2 2 13 3 6" xfId="25607"/>
    <cellStyle name="Normal 3 2 2 2 2 2 2 2 2 2 2 2 2 2 13 4" xfId="25608"/>
    <cellStyle name="Normal 3 2 2 2 2 2 2 2 2 2 2 2 2 2 13 5" xfId="25609"/>
    <cellStyle name="Normal 3 2 2 2 2 2 2 2 2 2 2 2 2 2 13 6" xfId="25610"/>
    <cellStyle name="Normal 3 2 2 2 2 2 2 2 2 2 2 2 2 2 13 7" xfId="25611"/>
    <cellStyle name="Normal 3 2 2 2 2 2 2 2 2 2 2 2 2 2 13 8" xfId="25612"/>
    <cellStyle name="Normal 3 2 2 2 2 2 2 2 2 2 2 2 2 2 13 8 2" xfId="25613"/>
    <cellStyle name="Normal 3 2 2 2 2 2 2 2 2 2 2 2 2 2 13 8 3" xfId="25614"/>
    <cellStyle name="Normal 3 2 2 2 2 2 2 2 2 2 2 2 2 2 13 8 4" xfId="25615"/>
    <cellStyle name="Normal 3 2 2 2 2 2 2 2 2 2 2 2 2 2 13 9" xfId="25616"/>
    <cellStyle name="Normal 3 2 2 2 2 2 2 2 2 2 2 2 2 2 14" xfId="25617"/>
    <cellStyle name="Normal 3 2 2 2 2 2 2 2 2 2 2 2 2 2 15" xfId="25618"/>
    <cellStyle name="Normal 3 2 2 2 2 2 2 2 2 2 2 2 2 2 15 2" xfId="25619"/>
    <cellStyle name="Normal 3 2 2 2 2 2 2 2 2 2 2 2 2 2 15 2 2" xfId="25620"/>
    <cellStyle name="Normal 3 2 2 2 2 2 2 2 2 2 2 2 2 2 15 2 3" xfId="25621"/>
    <cellStyle name="Normal 3 2 2 2 2 2 2 2 2 2 2 2 2 2 15 2 4" xfId="25622"/>
    <cellStyle name="Normal 3 2 2 2 2 2 2 2 2 2 2 2 2 2 15 3" xfId="25623"/>
    <cellStyle name="Normal 3 2 2 2 2 2 2 2 2 2 2 2 2 2 15 4" xfId="25624"/>
    <cellStyle name="Normal 3 2 2 2 2 2 2 2 2 2 2 2 2 2 15 5" xfId="25625"/>
    <cellStyle name="Normal 3 2 2 2 2 2 2 2 2 2 2 2 2 2 15 6" xfId="25626"/>
    <cellStyle name="Normal 3 2 2 2 2 2 2 2 2 2 2 2 2 2 16" xfId="25627"/>
    <cellStyle name="Normal 3 2 2 2 2 2 2 2 2 2 2 2 2 2 17" xfId="25628"/>
    <cellStyle name="Normal 3 2 2 2 2 2 2 2 2 2 2 2 2 2 18" xfId="25629"/>
    <cellStyle name="Normal 3 2 2 2 2 2 2 2 2 2 2 2 2 2 19" xfId="25630"/>
    <cellStyle name="Normal 3 2 2 2 2 2 2 2 2 2 2 2 2 2 2" xfId="25631"/>
    <cellStyle name="Normal 3 2 2 2 2 2 2 2 2 2 2 2 2 2 2 10" xfId="25632"/>
    <cellStyle name="Normal 3 2 2 2 2 2 2 2 2 2 2 2 2 2 2 11" xfId="25633"/>
    <cellStyle name="Normal 3 2 2 2 2 2 2 2 2 2 2 2 2 2 2 12" xfId="25634"/>
    <cellStyle name="Normal 3 2 2 2 2 2 2 2 2 2 2 2 2 2 2 13" xfId="25635"/>
    <cellStyle name="Normal 3 2 2 2 2 2 2 2 2 2 2 2 2 2 2 13 2" xfId="25636"/>
    <cellStyle name="Normal 3 2 2 2 2 2 2 2 2 2 2 2 2 2 2 13 3" xfId="25637"/>
    <cellStyle name="Normal 3 2 2 2 2 2 2 2 2 2 2 2 2 2 2 13 4" xfId="25638"/>
    <cellStyle name="Normal 3 2 2 2 2 2 2 2 2 2 2 2 2 2 2 14" xfId="25639"/>
    <cellStyle name="Normal 3 2 2 2 2 2 2 2 2 2 2 2 2 2 2 15" xfId="25640"/>
    <cellStyle name="Normal 3 2 2 2 2 2 2 2 2 2 2 2 2 2 2 16" xfId="25641"/>
    <cellStyle name="Normal 3 2 2 2 2 2 2 2 2 2 2 2 2 2 2 17" xfId="25642"/>
    <cellStyle name="Normal 3 2 2 2 2 2 2 2 2 2 2 2 2 2 2 18" xfId="25643"/>
    <cellStyle name="Normal 3 2 2 2 2 2 2 2 2 2 2 2 2 2 2 19" xfId="25644"/>
    <cellStyle name="Normal 3 2 2 2 2 2 2 2 2 2 2 2 2 2 2 2" xfId="25645"/>
    <cellStyle name="Normal 3 2 2 2 2 2 2 2 2 2 2 2 2 2 2 2 10" xfId="25646"/>
    <cellStyle name="Normal 3 2 2 2 2 2 2 2 2 2 2 2 2 2 2 2 11" xfId="25647"/>
    <cellStyle name="Normal 3 2 2 2 2 2 2 2 2 2 2 2 2 2 2 2 11 2" xfId="25648"/>
    <cellStyle name="Normal 3 2 2 2 2 2 2 2 2 2 2 2 2 2 2 2 11 3" xfId="25649"/>
    <cellStyle name="Normal 3 2 2 2 2 2 2 2 2 2 2 2 2 2 2 2 11 4" xfId="25650"/>
    <cellStyle name="Normal 3 2 2 2 2 2 2 2 2 2 2 2 2 2 2 2 12" xfId="25651"/>
    <cellStyle name="Normal 3 2 2 2 2 2 2 2 2 2 2 2 2 2 2 2 13" xfId="25652"/>
    <cellStyle name="Normal 3 2 2 2 2 2 2 2 2 2 2 2 2 2 2 2 14" xfId="25653"/>
    <cellStyle name="Normal 3 2 2 2 2 2 2 2 2 2 2 2 2 2 2 2 15" xfId="25654"/>
    <cellStyle name="Normal 3 2 2 2 2 2 2 2 2 2 2 2 2 2 2 2 16" xfId="25655"/>
    <cellStyle name="Normal 3 2 2 2 2 2 2 2 2 2 2 2 2 2 2 2 17" xfId="25656"/>
    <cellStyle name="Normal 3 2 2 2 2 2 2 2 2 2 2 2 2 2 2 2 18" xfId="25657"/>
    <cellStyle name="Normal 3 2 2 2 2 2 2 2 2 2 2 2 2 2 2 2 19" xfId="25658"/>
    <cellStyle name="Normal 3 2 2 2 2 2 2 2 2 2 2 2 2 2 2 2 2" xfId="25659"/>
    <cellStyle name="Normal 3 2 2 2 2 2 2 2 2 2 2 2 2 2 2 2 2 10" xfId="25660"/>
    <cellStyle name="Normal 3 2 2 2 2 2 2 2 2 2 2 2 2 2 2 2 2 11" xfId="25661"/>
    <cellStyle name="Normal 3 2 2 2 2 2 2 2 2 2 2 2 2 2 2 2 2 12" xfId="25662"/>
    <cellStyle name="Normal 3 2 2 2 2 2 2 2 2 2 2 2 2 2 2 2 2 13" xfId="25663"/>
    <cellStyle name="Normal 3 2 2 2 2 2 2 2 2 2 2 2 2 2 2 2 2 14" xfId="25664"/>
    <cellStyle name="Normal 3 2 2 2 2 2 2 2 2 2 2 2 2 2 2 2 2 15" xfId="25665"/>
    <cellStyle name="Normal 3 2 2 2 2 2 2 2 2 2 2 2 2 2 2 2 2 16" xfId="25666"/>
    <cellStyle name="Normal 3 2 2 2 2 2 2 2 2 2 2 2 2 2 2 2 2 17" xfId="25667"/>
    <cellStyle name="Normal 3 2 2 2 2 2 2 2 2 2 2 2 2 2 2 2 2 18" xfId="25668"/>
    <cellStyle name="Normal 3 2 2 2 2 2 2 2 2 2 2 2 2 2 2 2 2 19" xfId="25669"/>
    <cellStyle name="Normal 3 2 2 2 2 2 2 2 2 2 2 2 2 2 2 2 2 2" xfId="25670"/>
    <cellStyle name="Normal 3 2 2 2 2 2 2 2 2 2 2 2 2 2 2 2 2 2 10" xfId="25671"/>
    <cellStyle name="Normal 3 2 2 2 2 2 2 2 2 2 2 2 2 2 2 2 2 2 11" xfId="25672"/>
    <cellStyle name="Normal 3 2 2 2 2 2 2 2 2 2 2 2 2 2 2 2 2 2 12" xfId="25673"/>
    <cellStyle name="Normal 3 2 2 2 2 2 2 2 2 2 2 2 2 2 2 2 2 2 13" xfId="25674"/>
    <cellStyle name="Normal 3 2 2 2 2 2 2 2 2 2 2 2 2 2 2 2 2 2 14" xfId="25675"/>
    <cellStyle name="Normal 3 2 2 2 2 2 2 2 2 2 2 2 2 2 2 2 2 2 15" xfId="25676"/>
    <cellStyle name="Normal 3 2 2 2 2 2 2 2 2 2 2 2 2 2 2 2 2 2 16" xfId="25677"/>
    <cellStyle name="Normal 3 2 2 2 2 2 2 2 2 2 2 2 2 2 2 2 2 2 17" xfId="25678"/>
    <cellStyle name="Normal 3 2 2 2 2 2 2 2 2 2 2 2 2 2 2 2 2 2 18" xfId="25679"/>
    <cellStyle name="Normal 3 2 2 2 2 2 2 2 2 2 2 2 2 2 2 2 2 2 19" xfId="25680"/>
    <cellStyle name="Normal 3 2 2 2 2 2 2 2 2 2 2 2 2 2 2 2 2 2 2" xfId="25681"/>
    <cellStyle name="Normal 3 2 2 2 2 2 2 2 2 2 2 2 2 2 2 2 2 2 2 10" xfId="25682"/>
    <cellStyle name="Normal 3 2 2 2 2 2 2 2 2 2 2 2 2 2 2 2 2 2 2 11" xfId="25683"/>
    <cellStyle name="Normal 3 2 2 2 2 2 2 2 2 2 2 2 2 2 2 2 2 2 2 12" xfId="25684"/>
    <cellStyle name="Normal 3 2 2 2 2 2 2 2 2 2 2 2 2 2 2 2 2 2 2 13" xfId="25685"/>
    <cellStyle name="Normal 3 2 2 2 2 2 2 2 2 2 2 2 2 2 2 2 2 2 2 14" xfId="25686"/>
    <cellStyle name="Normal 3 2 2 2 2 2 2 2 2 2 2 2 2 2 2 2 2 2 2 15" xfId="25687"/>
    <cellStyle name="Normal 3 2 2 2 2 2 2 2 2 2 2 2 2 2 2 2 2 2 2 16" xfId="25688"/>
    <cellStyle name="Normal 3 2 2 2 2 2 2 2 2 2 2 2 2 2 2 2 2 2 2 17" xfId="25689"/>
    <cellStyle name="Normal 3 2 2 2 2 2 2 2 2 2 2 2 2 2 2 2 2 2 2 18" xfId="25690"/>
    <cellStyle name="Normal 3 2 2 2 2 2 2 2 2 2 2 2 2 2 2 2 2 2 2 18 2" xfId="25691"/>
    <cellStyle name="Normal 3 2 2 2 2 2 2 2 2 2 2 2 2 2 2 2 2 2 2 18 3" xfId="25692"/>
    <cellStyle name="Normal 3 2 2 2 2 2 2 2 2 2 2 2 2 2 2 2 2 2 2 18 4" xfId="25693"/>
    <cellStyle name="Normal 3 2 2 2 2 2 2 2 2 2 2 2 2 2 2 2 2 2 2 18 5" xfId="25694"/>
    <cellStyle name="Normal 3 2 2 2 2 2 2 2 2 2 2 2 2 2 2 2 2 2 2 18 6" xfId="25695"/>
    <cellStyle name="Normal 3 2 2 2 2 2 2 2 2 2 2 2 2 2 2 2 2 2 2 18 7" xfId="25696"/>
    <cellStyle name="Normal 3 2 2 2 2 2 2 2 2 2 2 2 2 2 2 2 2 2 2 19" xfId="25697"/>
    <cellStyle name="Normal 3 2 2 2 2 2 2 2 2 2 2 2 2 2 2 2 2 2 2 2" xfId="25698"/>
    <cellStyle name="Normal 3 2 2 2 2 2 2 2 2 2 2 2 2 2 2 2 2 2 2 2 10" xfId="25699"/>
    <cellStyle name="Normal 3 2 2 2 2 2 2 2 2 2 2 2 2 2 2 2 2 2 2 2 11" xfId="25700"/>
    <cellStyle name="Normal 3 2 2 2 2 2 2 2 2 2 2 2 2 2 2 2 2 2 2 2 12" xfId="25701"/>
    <cellStyle name="Normal 3 2 2 2 2 2 2 2 2 2 2 2 2 2 2 2 2 2 2 2 13" xfId="25702"/>
    <cellStyle name="Normal 3 2 2 2 2 2 2 2 2 2 2 2 2 2 2 2 2 2 2 2 14" xfId="25703"/>
    <cellStyle name="Normal 3 2 2 2 2 2 2 2 2 2 2 2 2 2 2 2 2 2 2 2 15" xfId="25704"/>
    <cellStyle name="Normal 3 2 2 2 2 2 2 2 2 2 2 2 2 2 2 2 2 2 2 2 16" xfId="25705"/>
    <cellStyle name="Normal 3 2 2 2 2 2 2 2 2 2 2 2 2 2 2 2 2 2 2 2 16 2" xfId="25706"/>
    <cellStyle name="Normal 3 2 2 2 2 2 2 2 2 2 2 2 2 2 2 2 2 2 2 2 16 3" xfId="25707"/>
    <cellStyle name="Normal 3 2 2 2 2 2 2 2 2 2 2 2 2 2 2 2 2 2 2 2 16 4" xfId="25708"/>
    <cellStyle name="Normal 3 2 2 2 2 2 2 2 2 2 2 2 2 2 2 2 2 2 2 2 16 5" xfId="25709"/>
    <cellStyle name="Normal 3 2 2 2 2 2 2 2 2 2 2 2 2 2 2 2 2 2 2 2 16 6" xfId="25710"/>
    <cellStyle name="Normal 3 2 2 2 2 2 2 2 2 2 2 2 2 2 2 2 2 2 2 2 16 7" xfId="25711"/>
    <cellStyle name="Normal 3 2 2 2 2 2 2 2 2 2 2 2 2 2 2 2 2 2 2 2 17" xfId="25712"/>
    <cellStyle name="Normal 3 2 2 2 2 2 2 2 2 2 2 2 2 2 2 2 2 2 2 2 18" xfId="25713"/>
    <cellStyle name="Normal 3 2 2 2 2 2 2 2 2 2 2 2 2 2 2 2 2 2 2 2 19" xfId="25714"/>
    <cellStyle name="Normal 3 2 2 2 2 2 2 2 2 2 2 2 2 2 2 2 2 2 2 2 2" xfId="25715"/>
    <cellStyle name="Normal 3 2 2 2 2 2 2 2 2 2 2 2 2 2 2 2 2 2 2 2 2 10" xfId="25716"/>
    <cellStyle name="Normal 3 2 2 2 2 2 2 2 2 2 2 2 2 2 2 2 2 2 2 2 2 11" xfId="25717"/>
    <cellStyle name="Normal 3 2 2 2 2 2 2 2 2 2 2 2 2 2 2 2 2 2 2 2 2 12" xfId="25718"/>
    <cellStyle name="Normal 3 2 2 2 2 2 2 2 2 2 2 2 2 2 2 2 2 2 2 2 2 13" xfId="25719"/>
    <cellStyle name="Normal 3 2 2 2 2 2 2 2 2 2 2 2 2 2 2 2 2 2 2 2 2 13 2" xfId="25720"/>
    <cellStyle name="Normal 3 2 2 2 2 2 2 2 2 2 2 2 2 2 2 2 2 2 2 2 2 13 3" xfId="25721"/>
    <cellStyle name="Normal 3 2 2 2 2 2 2 2 2 2 2 2 2 2 2 2 2 2 2 2 2 13 4" xfId="25722"/>
    <cellStyle name="Normal 3 2 2 2 2 2 2 2 2 2 2 2 2 2 2 2 2 2 2 2 2 13 5" xfId="25723"/>
    <cellStyle name="Normal 3 2 2 2 2 2 2 2 2 2 2 2 2 2 2 2 2 2 2 2 2 13 6" xfId="25724"/>
    <cellStyle name="Normal 3 2 2 2 2 2 2 2 2 2 2 2 2 2 2 2 2 2 2 2 2 13 7" xfId="25725"/>
    <cellStyle name="Normal 3 2 2 2 2 2 2 2 2 2 2 2 2 2 2 2 2 2 2 2 2 14" xfId="25726"/>
    <cellStyle name="Normal 3 2 2 2 2 2 2 2 2 2 2 2 2 2 2 2 2 2 2 2 2 15" xfId="25727"/>
    <cellStyle name="Normal 3 2 2 2 2 2 2 2 2 2 2 2 2 2 2 2 2 2 2 2 2 16" xfId="25728"/>
    <cellStyle name="Normal 3 2 2 2 2 2 2 2 2 2 2 2 2 2 2 2 2 2 2 2 2 17" xfId="25729"/>
    <cellStyle name="Normal 3 2 2 2 2 2 2 2 2 2 2 2 2 2 2 2 2 2 2 2 2 18" xfId="25730"/>
    <cellStyle name="Normal 3 2 2 2 2 2 2 2 2 2 2 2 2 2 2 2 2 2 2 2 2 19" xfId="25731"/>
    <cellStyle name="Normal 3 2 2 2 2 2 2 2 2 2 2 2 2 2 2 2 2 2 2 2 2 2" xfId="25732"/>
    <cellStyle name="Normal 3 2 2 2 2 2 2 2 2 2 2 2 2 2 2 2 2 2 2 2 2 2 10" xfId="25733"/>
    <cellStyle name="Normal 3 2 2 2 2 2 2 2 2 2 2 2 2 2 2 2 2 2 2 2 2 2 11" xfId="25734"/>
    <cellStyle name="Normal 3 2 2 2 2 2 2 2 2 2 2 2 2 2 2 2 2 2 2 2 2 2 12" xfId="25735"/>
    <cellStyle name="Normal 3 2 2 2 2 2 2 2 2 2 2 2 2 2 2 2 2 2 2 2 2 2 13" xfId="25736"/>
    <cellStyle name="Normal 3 2 2 2 2 2 2 2 2 2 2 2 2 2 2 2 2 2 2 2 2 2 13 2" xfId="25737"/>
    <cellStyle name="Normal 3 2 2 2 2 2 2 2 2 2 2 2 2 2 2 2 2 2 2 2 2 2 13 3" xfId="25738"/>
    <cellStyle name="Normal 3 2 2 2 2 2 2 2 2 2 2 2 2 2 2 2 2 2 2 2 2 2 13 4" xfId="25739"/>
    <cellStyle name="Normal 3 2 2 2 2 2 2 2 2 2 2 2 2 2 2 2 2 2 2 2 2 2 13 5" xfId="25740"/>
    <cellStyle name="Normal 3 2 2 2 2 2 2 2 2 2 2 2 2 2 2 2 2 2 2 2 2 2 13 6" xfId="25741"/>
    <cellStyle name="Normal 3 2 2 2 2 2 2 2 2 2 2 2 2 2 2 2 2 2 2 2 2 2 13 7" xfId="25742"/>
    <cellStyle name="Normal 3 2 2 2 2 2 2 2 2 2 2 2 2 2 2 2 2 2 2 2 2 2 14" xfId="25743"/>
    <cellStyle name="Normal 3 2 2 2 2 2 2 2 2 2 2 2 2 2 2 2 2 2 2 2 2 2 15" xfId="25744"/>
    <cellStyle name="Normal 3 2 2 2 2 2 2 2 2 2 2 2 2 2 2 2 2 2 2 2 2 2 16" xfId="25745"/>
    <cellStyle name="Normal 3 2 2 2 2 2 2 2 2 2 2 2 2 2 2 2 2 2 2 2 2 2 17" xfId="25746"/>
    <cellStyle name="Normal 3 2 2 2 2 2 2 2 2 2 2 2 2 2 2 2 2 2 2 2 2 2 18" xfId="25747"/>
    <cellStyle name="Normal 3 2 2 2 2 2 2 2 2 2 2 2 2 2 2 2 2 2 2 2 2 2 19" xfId="25748"/>
    <cellStyle name="Normal 3 2 2 2 2 2 2 2 2 2 2 2 2 2 2 2 2 2 2 2 2 2 2" xfId="25749"/>
    <cellStyle name="Normal 3 2 2 2 2 2 2 2 2 2 2 2 2 2 2 2 2 2 2 2 2 2 2 10" xfId="25750"/>
    <cellStyle name="Normal 3 2 2 2 2 2 2 2 2 2 2 2 2 2 2 2 2 2 2 2 2 2 2 11" xfId="25751"/>
    <cellStyle name="Normal 3 2 2 2 2 2 2 2 2 2 2 2 2 2 2 2 2 2 2 2 2 2 2 12" xfId="25752"/>
    <cellStyle name="Normal 3 2 2 2 2 2 2 2 2 2 2 2 2 2 2 2 2 2 2 2 2 2 2 13" xfId="25753"/>
    <cellStyle name="Normal 3 2 2 2 2 2 2 2 2 2 2 2 2 2 2 2 2 2 2 2 2 2 2 14" xfId="25754"/>
    <cellStyle name="Normal 3 2 2 2 2 2 2 2 2 2 2 2 2 2 2 2 2 2 2 2 2 2 2 15" xfId="25755"/>
    <cellStyle name="Normal 3 2 2 2 2 2 2 2 2 2 2 2 2 2 2 2 2 2 2 2 2 2 2 16" xfId="25756"/>
    <cellStyle name="Normal 3 2 2 2 2 2 2 2 2 2 2 2 2 2 2 2 2 2 2 2 2 2 2 17" xfId="25757"/>
    <cellStyle name="Normal 3 2 2 2 2 2 2 2 2 2 2 2 2 2 2 2 2 2 2 2 2 2 2 18" xfId="25758"/>
    <cellStyle name="Normal 3 2 2 2 2 2 2 2 2 2 2 2 2 2 2 2 2 2 2 2 2 2 2 19" xfId="25759"/>
    <cellStyle name="Normal 3 2 2 2 2 2 2 2 2 2 2 2 2 2 2 2 2 2 2 2 2 2 2 2" xfId="25760"/>
    <cellStyle name="Normal 3 2 2 2 2 2 2 2 2 2 2 2 2 2 2 2 2 2 2 2 2 2 2 2 10" xfId="25761"/>
    <cellStyle name="Normal 3 2 2 2 2 2 2 2 2 2 2 2 2 2 2 2 2 2 2 2 2 2 2 2 11" xfId="25762"/>
    <cellStyle name="Normal 3 2 2 2 2 2 2 2 2 2 2 2 2 2 2 2 2 2 2 2 2 2 2 2 12" xfId="25763"/>
    <cellStyle name="Normal 3 2 2 2 2 2 2 2 2 2 2 2 2 2 2 2 2 2 2 2 2 2 2 2 13" xfId="25764"/>
    <cellStyle name="Normal 3 2 2 2 2 2 2 2 2 2 2 2 2 2 2 2 2 2 2 2 2 2 2 2 14" xfId="25765"/>
    <cellStyle name="Normal 3 2 2 2 2 2 2 2 2 2 2 2 2 2 2 2 2 2 2 2 2 2 2 2 15" xfId="25766"/>
    <cellStyle name="Normal 3 2 2 2 2 2 2 2 2 2 2 2 2 2 2 2 2 2 2 2 2 2 2 2 16" xfId="25767"/>
    <cellStyle name="Normal 3 2 2 2 2 2 2 2 2 2 2 2 2 2 2 2 2 2 2 2 2 2 2 2 17" xfId="25768"/>
    <cellStyle name="Normal 3 2 2 2 2 2 2 2 2 2 2 2 2 2 2 2 2 2 2 2 2 2 2 2 18" xfId="25769"/>
    <cellStyle name="Normal 3 2 2 2 2 2 2 2 2 2 2 2 2 2 2 2 2 2 2 2 2 2 2 2 19" xfId="25770"/>
    <cellStyle name="Normal 3 2 2 2 2 2 2 2 2 2 2 2 2 2 2 2 2 2 2 2 2 2 2 2 2" xfId="25771"/>
    <cellStyle name="Normal 3 2 2 2 2 2 2 2 2 2 2 2 2 2 2 2 2 2 2 2 2 2 2 2 2 10" xfId="25772"/>
    <cellStyle name="Normal 3 2 2 2 2 2 2 2 2 2 2 2 2 2 2 2 2 2 2 2 2 2 2 2 2 11" xfId="25773"/>
    <cellStyle name="Normal 3 2 2 2 2 2 2 2 2 2 2 2 2 2 2 2 2 2 2 2 2 2 2 2 2 12" xfId="25774"/>
    <cellStyle name="Normal 3 2 2 2 2 2 2 2 2 2 2 2 2 2 2 2 2 2 2 2 2 2 2 2 2 13" xfId="25775"/>
    <cellStyle name="Normal 3 2 2 2 2 2 2 2 2 2 2 2 2 2 2 2 2 2 2 2 2 2 2 2 2 14" xfId="25776"/>
    <cellStyle name="Normal 3 2 2 2 2 2 2 2 2 2 2 2 2 2 2 2 2 2 2 2 2 2 2 2 2 15" xfId="25777"/>
    <cellStyle name="Normal 3 2 2 2 2 2 2 2 2 2 2 2 2 2 2 2 2 2 2 2 2 2 2 2 2 16" xfId="25778"/>
    <cellStyle name="Normal 3 2 2 2 2 2 2 2 2 2 2 2 2 2 2 2 2 2 2 2 2 2 2 2 2 17" xfId="25779"/>
    <cellStyle name="Normal 3 2 2 2 2 2 2 2 2 2 2 2 2 2 2 2 2 2 2 2 2 2 2 2 2 18" xfId="25780"/>
    <cellStyle name="Normal 3 2 2 2 2 2 2 2 2 2 2 2 2 2 2 2 2 2 2 2 2 2 2 2 2 19" xfId="25781"/>
    <cellStyle name="Normal 3 2 2 2 2 2 2 2 2 2 2 2 2 2 2 2 2 2 2 2 2 2 2 2 2 2" xfId="25782"/>
    <cellStyle name="Normal 3 2 2 2 2 2 2 2 2 2 2 2 2 2 2 2 2 2 2 2 2 2 2 2 2 2 10" xfId="25783"/>
    <cellStyle name="Normal 3 2 2 2 2 2 2 2 2 2 2 2 2 2 2 2 2 2 2 2 2 2 2 2 2 2 11" xfId="25784"/>
    <cellStyle name="Normal 3 2 2 2 2 2 2 2 2 2 2 2 2 2 2 2 2 2 2 2 2 2 2 2 2 2 12" xfId="25785"/>
    <cellStyle name="Normal 3 2 2 2 2 2 2 2 2 2 2 2 2 2 2 2 2 2 2 2 2 2 2 2 2 2 13" xfId="25786"/>
    <cellStyle name="Normal 3 2 2 2 2 2 2 2 2 2 2 2 2 2 2 2 2 2 2 2 2 2 2 2 2 2 14" xfId="25787"/>
    <cellStyle name="Normal 3 2 2 2 2 2 2 2 2 2 2 2 2 2 2 2 2 2 2 2 2 2 2 2 2 2 15" xfId="25788"/>
    <cellStyle name="Normal 3 2 2 2 2 2 2 2 2 2 2 2 2 2 2 2 2 2 2 2 2 2 2 2 2 2 16" xfId="25789"/>
    <cellStyle name="Normal 3 2 2 2 2 2 2 2 2 2 2 2 2 2 2 2 2 2 2 2 2 2 2 2 2 2 17" xfId="25790"/>
    <cellStyle name="Normal 3 2 2 2 2 2 2 2 2 2 2 2 2 2 2 2 2 2 2 2 2 2 2 2 2 2 18" xfId="25791"/>
    <cellStyle name="Normal 3 2 2 2 2 2 2 2 2 2 2 2 2 2 2 2 2 2 2 2 2 2 2 2 2 2 19" xfId="25792"/>
    <cellStyle name="Normal 3 2 2 2 2 2 2 2 2 2 2 2 2 2 2 2 2 2 2 2 2 2 2 2 2 2 2" xfId="25793"/>
    <cellStyle name="Normal 3 2 2 2 2 2 2 2 2 2 2 2 2 2 2 2 2 2 2 2 2 2 2 2 2 2 2 10" xfId="25794"/>
    <cellStyle name="Normal 3 2 2 2 2 2 2 2 2 2 2 2 2 2 2 2 2 2 2 2 2 2 2 2 2 2 2 11" xfId="25795"/>
    <cellStyle name="Normal 3 2 2 2 2 2 2 2 2 2 2 2 2 2 2 2 2 2 2 2 2 2 2 2 2 2 2 12" xfId="25796"/>
    <cellStyle name="Normal 3 2 2 2 2 2 2 2 2 2 2 2 2 2 2 2 2 2 2 2 2 2 2 2 2 2 2 13" xfId="25797"/>
    <cellStyle name="Normal 3 2 2 2 2 2 2 2 2 2 2 2 2 2 2 2 2 2 2 2 2 2 2 2 2 2 2 14" xfId="25798"/>
    <cellStyle name="Normal 3 2 2 2 2 2 2 2 2 2 2 2 2 2 2 2 2 2 2 2 2 2 2 2 2 2 2 15" xfId="25799"/>
    <cellStyle name="Normal 3 2 2 2 2 2 2 2 2 2 2 2 2 2 2 2 2 2 2 2 2 2 2 2 2 2 2 16" xfId="25800"/>
    <cellStyle name="Normal 3 2 2 2 2 2 2 2 2 2 2 2 2 2 2 2 2 2 2 2 2 2 2 2 2 2 2 17" xfId="25801"/>
    <cellStyle name="Normal 3 2 2 2 2 2 2 2 2 2 2 2 2 2 2 2 2 2 2 2 2 2 2 2 2 2 2 18" xfId="25802"/>
    <cellStyle name="Normal 3 2 2 2 2 2 2 2 2 2 2 2 2 2 2 2 2 2 2 2 2 2 2 2 2 2 2 19" xfId="25803"/>
    <cellStyle name="Normal 3 2 2 2 2 2 2 2 2 2 2 2 2 2 2 2 2 2 2 2 2 2 2 2 2 2 2 2" xfId="25804"/>
    <cellStyle name="Normal 3 2 2 2 2 2 2 2 2 2 2 2 2 2 2 2 2 2 2 2 2 2 2 2 2 2 2 2 10" xfId="25805"/>
    <cellStyle name="Normal 3 2 2 2 2 2 2 2 2 2 2 2 2 2 2 2 2 2 2 2 2 2 2 2 2 2 2 2 11" xfId="25806"/>
    <cellStyle name="Normal 3 2 2 2 2 2 2 2 2 2 2 2 2 2 2 2 2 2 2 2 2 2 2 2 2 2 2 2 12" xfId="25807"/>
    <cellStyle name="Normal 3 2 2 2 2 2 2 2 2 2 2 2 2 2 2 2 2 2 2 2 2 2 2 2 2 2 2 2 13" xfId="25808"/>
    <cellStyle name="Normal 3 2 2 2 2 2 2 2 2 2 2 2 2 2 2 2 2 2 2 2 2 2 2 2 2 2 2 2 14" xfId="25809"/>
    <cellStyle name="Normal 3 2 2 2 2 2 2 2 2 2 2 2 2 2 2 2 2 2 2 2 2 2 2 2 2 2 2 2 15" xfId="25810"/>
    <cellStyle name="Normal 3 2 2 2 2 2 2 2 2 2 2 2 2 2 2 2 2 2 2 2 2 2 2 2 2 2 2 2 16" xfId="25811"/>
    <cellStyle name="Normal 3 2 2 2 2 2 2 2 2 2 2 2 2 2 2 2 2 2 2 2 2 2 2 2 2 2 2 2 17" xfId="25812"/>
    <cellStyle name="Normal 3 2 2 2 2 2 2 2 2 2 2 2 2 2 2 2 2 2 2 2 2 2 2 2 2 2 2 2 18" xfId="25813"/>
    <cellStyle name="Normal 3 2 2 2 2 2 2 2 2 2 2 2 2 2 2 2 2 2 2 2 2 2 2 2 2 2 2 2 19" xfId="25814"/>
    <cellStyle name="Normal 3 2 2 2 2 2 2 2 2 2 2 2 2 2 2 2 2 2 2 2 2 2 2 2 2 2 2 2 2" xfId="25815"/>
    <cellStyle name="Normal 3 2 2 2 2 2 2 2 2 2 2 2 2 2 2 2 2 2 2 2 2 2 2 2 2 2 2 2 2 10" xfId="25816"/>
    <cellStyle name="Normal 3 2 2 2 2 2 2 2 2 2 2 2 2 2 2 2 2 2 2 2 2 2 2 2 2 2 2 2 2 11" xfId="25817"/>
    <cellStyle name="Normal 3 2 2 2 2 2 2 2 2 2 2 2 2 2 2 2 2 2 2 2 2 2 2 2 2 2 2 2 2 12" xfId="25818"/>
    <cellStyle name="Normal 3 2 2 2 2 2 2 2 2 2 2 2 2 2 2 2 2 2 2 2 2 2 2 2 2 2 2 2 2 13" xfId="25819"/>
    <cellStyle name="Normal 3 2 2 2 2 2 2 2 2 2 2 2 2 2 2 2 2 2 2 2 2 2 2 2 2 2 2 2 2 14" xfId="25820"/>
    <cellStyle name="Normal 3 2 2 2 2 2 2 2 2 2 2 2 2 2 2 2 2 2 2 2 2 2 2 2 2 2 2 2 2 15" xfId="25821"/>
    <cellStyle name="Normal 3 2 2 2 2 2 2 2 2 2 2 2 2 2 2 2 2 2 2 2 2 2 2 2 2 2 2 2 2 16" xfId="25822"/>
    <cellStyle name="Normal 3 2 2 2 2 2 2 2 2 2 2 2 2 2 2 2 2 2 2 2 2 2 2 2 2 2 2 2 2 17" xfId="25823"/>
    <cellStyle name="Normal 3 2 2 2 2 2 2 2 2 2 2 2 2 2 2 2 2 2 2 2 2 2 2 2 2 2 2 2 2 18" xfId="25824"/>
    <cellStyle name="Normal 3 2 2 2 2 2 2 2 2 2 2 2 2 2 2 2 2 2 2 2 2 2 2 2 2 2 2 2 2 19" xfId="25825"/>
    <cellStyle name="Normal 3 2 2 2 2 2 2 2 2 2 2 2 2 2 2 2 2 2 2 2 2 2 2 2 2 2 2 2 2 2" xfId="25826"/>
    <cellStyle name="Normal 3 2 2 2 2 2 2 2 2 2 2 2 2 2 2 2 2 2 2 2 2 2 2 2 2 2 2 2 2 2 10" xfId="25827"/>
    <cellStyle name="Normal 3 2 2 2 2 2 2 2 2 2 2 2 2 2 2 2 2 2 2 2 2 2 2 2 2 2 2 2 2 2 11" xfId="25828"/>
    <cellStyle name="Normal 3 2 2 2 2 2 2 2 2 2 2 2 2 2 2 2 2 2 2 2 2 2 2 2 2 2 2 2 2 2 12" xfId="25829"/>
    <cellStyle name="Normal 3 2 2 2 2 2 2 2 2 2 2 2 2 2 2 2 2 2 2 2 2 2 2 2 2 2 2 2 2 2 13" xfId="25830"/>
    <cellStyle name="Normal 3 2 2 2 2 2 2 2 2 2 2 2 2 2 2 2 2 2 2 2 2 2 2 2 2 2 2 2 2 2 14" xfId="25831"/>
    <cellStyle name="Normal 3 2 2 2 2 2 2 2 2 2 2 2 2 2 2 2 2 2 2 2 2 2 2 2 2 2 2 2 2 2 15" xfId="25832"/>
    <cellStyle name="Normal 3 2 2 2 2 2 2 2 2 2 2 2 2 2 2 2 2 2 2 2 2 2 2 2 2 2 2 2 2 2 16" xfId="25833"/>
    <cellStyle name="Normal 3 2 2 2 2 2 2 2 2 2 2 2 2 2 2 2 2 2 2 2 2 2 2 2 2 2 2 2 2 2 17" xfId="25834"/>
    <cellStyle name="Normal 3 2 2 2 2 2 2 2 2 2 2 2 2 2 2 2 2 2 2 2 2 2 2 2 2 2 2 2 2 2 18" xfId="25835"/>
    <cellStyle name="Normal 3 2 2 2 2 2 2 2 2 2 2 2 2 2 2 2 2 2 2 2 2 2 2 2 2 2 2 2 2 2 19" xfId="25836"/>
    <cellStyle name="Normal 3 2 2 2 2 2 2 2 2 2 2 2 2 2 2 2 2 2 2 2 2 2 2 2 2 2 2 2 2 2 2" xfId="25837"/>
    <cellStyle name="Normal 3 2 2 2 2 2 2 2 2 2 2 2 2 2 2 2 2 2 2 2 2 2 2 2 2 2 2 2 2 2 2 2" xfId="25838"/>
    <cellStyle name="Normal 3 2 2 2 2 2 2 2 2 2 2 2 2 2 2 2 2 2 2 2 2 2 2 2 2 2 2 2 2 2 2 2 2" xfId="25839"/>
    <cellStyle name="Normal 3 2 2 2 2 2 2 2 2 2 2 2 2 2 2 2 2 2 2 2 2 2 2 2 2 2 2 2 2 2 2 2 2 2" xfId="25840"/>
    <cellStyle name="Normal 3 2 2 2 2 2 2 2 2 2 2 2 2 2 2 2 2 2 2 2 2 2 2 2 2 2 2 2 2 2 2 2 2 2 2" xfId="25841"/>
    <cellStyle name="Normal 3 2 2 2 2 2 2 2 2 2 2 2 2 2 2 2 2 2 2 2 2 2 2 2 2 2 2 2 2 2 2 2 2 2 2 2" xfId="25842"/>
    <cellStyle name="Normal 3 2 2 2 2 2 2 2 2 2 2 2 2 2 2 2 2 2 2 2 2 2 2 2 2 2 2 2 2 2 2 2 2 2 3" xfId="25843"/>
    <cellStyle name="Normal 3 2 2 2 2 2 2 2 2 2 2 2 2 2 2 2 2 2 2 2 2 2 2 2 2 2 2 2 2 2 2 2 2 2 4" xfId="25844"/>
    <cellStyle name="Normal 3 2 2 2 2 2 2 2 2 2 2 2 2 2 2 2 2 2 2 2 2 2 2 2 2 2 2 2 2 2 2 2 2 3" xfId="25845"/>
    <cellStyle name="Normal 3 2 2 2 2 2 2 2 2 2 2 2 2 2 2 2 2 2 2 2 2 2 2 2 2 2 2 2 2 2 2 2 2 4" xfId="25846"/>
    <cellStyle name="Normal 3 2 2 2 2 2 2 2 2 2 2 2 2 2 2 2 2 2 2 2 2 2 2 2 2 2 2 2 2 2 2 2 2 5" xfId="25847"/>
    <cellStyle name="Normal 3 2 2 2 2 2 2 2 2 2 2 2 2 2 2 2 2 2 2 2 2 2 2 2 2 2 2 2 2 2 2 2 3" xfId="25848"/>
    <cellStyle name="Normal 3 2 2 2 2 2 2 2 2 2 2 2 2 2 2 2 2 2 2 2 2 2 2 2 2 2 2 2 2 2 2 2 4" xfId="25849"/>
    <cellStyle name="Normal 3 2 2 2 2 2 2 2 2 2 2 2 2 2 2 2 2 2 2 2 2 2 2 2 2 2 2 2 2 2 2 2 5" xfId="25850"/>
    <cellStyle name="Normal 3 2 2 2 2 2 2 2 2 2 2 2 2 2 2 2 2 2 2 2 2 2 2 2 2 2 2 2 2 2 2 2 6" xfId="25851"/>
    <cellStyle name="Normal 3 2 2 2 2 2 2 2 2 2 2 2 2 2 2 2 2 2 2 2 2 2 2 2 2 2 2 2 2 2 2 2 6 2" xfId="25852"/>
    <cellStyle name="Normal 3 2 2 2 2 2 2 2 2 2 2 2 2 2 2 2 2 2 2 2 2 2 2 2 2 2 2 2 2 2 2 2 6 3" xfId="25853"/>
    <cellStyle name="Normal 3 2 2 2 2 2 2 2 2 2 2 2 2 2 2 2 2 2 2 2 2 2 2 2 2 2 2 2 2 2 2 2 6 4" xfId="25854"/>
    <cellStyle name="Normal 3 2 2 2 2 2 2 2 2 2 2 2 2 2 2 2 2 2 2 2 2 2 2 2 2 2 2 2 2 2 2 2 7" xfId="25855"/>
    <cellStyle name="Normal 3 2 2 2 2 2 2 2 2 2 2 2 2 2 2 2 2 2 2 2 2 2 2 2 2 2 2 2 2 2 2 2 8" xfId="25856"/>
    <cellStyle name="Normal 3 2 2 2 2 2 2 2 2 2 2 2 2 2 2 2 2 2 2 2 2 2 2 2 2 2 2 2 2 2 2 3" xfId="25857"/>
    <cellStyle name="Normal 3 2 2 2 2 2 2 2 2 2 2 2 2 2 2 2 2 2 2 2 2 2 2 2 2 2 2 2 2 2 2 4" xfId="25858"/>
    <cellStyle name="Normal 3 2 2 2 2 2 2 2 2 2 2 2 2 2 2 2 2 2 2 2 2 2 2 2 2 2 2 2 2 2 2 5" xfId="25859"/>
    <cellStyle name="Normal 3 2 2 2 2 2 2 2 2 2 2 2 2 2 2 2 2 2 2 2 2 2 2 2 2 2 2 2 2 2 2 6" xfId="25860"/>
    <cellStyle name="Normal 3 2 2 2 2 2 2 2 2 2 2 2 2 2 2 2 2 2 2 2 2 2 2 2 2 2 2 2 2 2 2 6 2" xfId="25861"/>
    <cellStyle name="Normal 3 2 2 2 2 2 2 2 2 2 2 2 2 2 2 2 2 2 2 2 2 2 2 2 2 2 2 2 2 2 2 6 3" xfId="25862"/>
    <cellStyle name="Normal 3 2 2 2 2 2 2 2 2 2 2 2 2 2 2 2 2 2 2 2 2 2 2 2 2 2 2 2 2 2 2 6 4" xfId="25863"/>
    <cellStyle name="Normal 3 2 2 2 2 2 2 2 2 2 2 2 2 2 2 2 2 2 2 2 2 2 2 2 2 2 2 2 2 2 2 7" xfId="25864"/>
    <cellStyle name="Normal 3 2 2 2 2 2 2 2 2 2 2 2 2 2 2 2 2 2 2 2 2 2 2 2 2 2 2 2 2 2 2 8" xfId="25865"/>
    <cellStyle name="Normal 3 2 2 2 2 2 2 2 2 2 2 2 2 2 2 2 2 2 2 2 2 2 2 2 2 2 2 2 2 2 20" xfId="25866"/>
    <cellStyle name="Normal 3 2 2 2 2 2 2 2 2 2 2 2 2 2 2 2 2 2 2 2 2 2 2 2 2 2 2 2 2 2 21" xfId="25867"/>
    <cellStyle name="Normal 3 2 2 2 2 2 2 2 2 2 2 2 2 2 2 2 2 2 2 2 2 2 2 2 2 2 2 2 2 2 22" xfId="25868"/>
    <cellStyle name="Normal 3 2 2 2 2 2 2 2 2 2 2 2 2 2 2 2 2 2 2 2 2 2 2 2 2 2 2 2 2 2 23" xfId="25869"/>
    <cellStyle name="Normal 3 2 2 2 2 2 2 2 2 2 2 2 2 2 2 2 2 2 2 2 2 2 2 2 2 2 2 2 2 2 24" xfId="25870"/>
    <cellStyle name="Normal 3 2 2 2 2 2 2 2 2 2 2 2 2 2 2 2 2 2 2 2 2 2 2 2 2 2 2 2 2 2 25" xfId="25871"/>
    <cellStyle name="Normal 3 2 2 2 2 2 2 2 2 2 2 2 2 2 2 2 2 2 2 2 2 2 2 2 2 2 2 2 2 2 25 2" xfId="25872"/>
    <cellStyle name="Normal 3 2 2 2 2 2 2 2 2 2 2 2 2 2 2 2 2 2 2 2 2 2 2 2 2 2 2 2 2 2 25 3" xfId="25873"/>
    <cellStyle name="Normal 3 2 2 2 2 2 2 2 2 2 2 2 2 2 2 2 2 2 2 2 2 2 2 2 2 2 2 2 2 2 25 4" xfId="25874"/>
    <cellStyle name="Normal 3 2 2 2 2 2 2 2 2 2 2 2 2 2 2 2 2 2 2 2 2 2 2 2 2 2 2 2 2 2 26" xfId="25875"/>
    <cellStyle name="Normal 3 2 2 2 2 2 2 2 2 2 2 2 2 2 2 2 2 2 2 2 2 2 2 2 2 2 2 2 2 2 27" xfId="25876"/>
    <cellStyle name="Normal 3 2 2 2 2 2 2 2 2 2 2 2 2 2 2 2 2 2 2 2 2 2 2 2 2 2 2 2 2 2 3" xfId="25877"/>
    <cellStyle name="Normal 3 2 2 2 2 2 2 2 2 2 2 2 2 2 2 2 2 2 2 2 2 2 2 2 2 2 2 2 2 2 4" xfId="25878"/>
    <cellStyle name="Normal 3 2 2 2 2 2 2 2 2 2 2 2 2 2 2 2 2 2 2 2 2 2 2 2 2 2 2 2 2 2 5" xfId="25879"/>
    <cellStyle name="Normal 3 2 2 2 2 2 2 2 2 2 2 2 2 2 2 2 2 2 2 2 2 2 2 2 2 2 2 2 2 2 6" xfId="25880"/>
    <cellStyle name="Normal 3 2 2 2 2 2 2 2 2 2 2 2 2 2 2 2 2 2 2 2 2 2 2 2 2 2 2 2 2 2 7" xfId="25881"/>
    <cellStyle name="Normal 3 2 2 2 2 2 2 2 2 2 2 2 2 2 2 2 2 2 2 2 2 2 2 2 2 2 2 2 2 2 8" xfId="25882"/>
    <cellStyle name="Normal 3 2 2 2 2 2 2 2 2 2 2 2 2 2 2 2 2 2 2 2 2 2 2 2 2 2 2 2 2 2 9" xfId="25883"/>
    <cellStyle name="Normal 3 2 2 2 2 2 2 2 2 2 2 2 2 2 2 2 2 2 2 2 2 2 2 2 2 2 2 2 2 20" xfId="25884"/>
    <cellStyle name="Normal 3 2 2 2 2 2 2 2 2 2 2 2 2 2 2 2 2 2 2 2 2 2 2 2 2 2 2 2 2 21" xfId="25885"/>
    <cellStyle name="Normal 3 2 2 2 2 2 2 2 2 2 2 2 2 2 2 2 2 2 2 2 2 2 2 2 2 2 2 2 2 22" xfId="25886"/>
    <cellStyle name="Normal 3 2 2 2 2 2 2 2 2 2 2 2 2 2 2 2 2 2 2 2 2 2 2 2 2 2 2 2 2 23" xfId="25887"/>
    <cellStyle name="Normal 3 2 2 2 2 2 2 2 2 2 2 2 2 2 2 2 2 2 2 2 2 2 2 2 2 2 2 2 2 24" xfId="25888"/>
    <cellStyle name="Normal 3 2 2 2 2 2 2 2 2 2 2 2 2 2 2 2 2 2 2 2 2 2 2 2 2 2 2 2 2 25" xfId="25889"/>
    <cellStyle name="Normal 3 2 2 2 2 2 2 2 2 2 2 2 2 2 2 2 2 2 2 2 2 2 2 2 2 2 2 2 2 25 2" xfId="25890"/>
    <cellStyle name="Normal 3 2 2 2 2 2 2 2 2 2 2 2 2 2 2 2 2 2 2 2 2 2 2 2 2 2 2 2 2 25 3" xfId="25891"/>
    <cellStyle name="Normal 3 2 2 2 2 2 2 2 2 2 2 2 2 2 2 2 2 2 2 2 2 2 2 2 2 2 2 2 2 25 4" xfId="25892"/>
    <cellStyle name="Normal 3 2 2 2 2 2 2 2 2 2 2 2 2 2 2 2 2 2 2 2 2 2 2 2 2 2 2 2 2 26" xfId="25893"/>
    <cellStyle name="Normal 3 2 2 2 2 2 2 2 2 2 2 2 2 2 2 2 2 2 2 2 2 2 2 2 2 2 2 2 2 27" xfId="25894"/>
    <cellStyle name="Normal 3 2 2 2 2 2 2 2 2 2 2 2 2 2 2 2 2 2 2 2 2 2 2 2 2 2 2 2 2 3" xfId="25895"/>
    <cellStyle name="Normal 3 2 2 2 2 2 2 2 2 2 2 2 2 2 2 2 2 2 2 2 2 2 2 2 2 2 2 2 2 4" xfId="25896"/>
    <cellStyle name="Normal 3 2 2 2 2 2 2 2 2 2 2 2 2 2 2 2 2 2 2 2 2 2 2 2 2 2 2 2 2 5" xfId="25897"/>
    <cellStyle name="Normal 3 2 2 2 2 2 2 2 2 2 2 2 2 2 2 2 2 2 2 2 2 2 2 2 2 2 2 2 2 6" xfId="25898"/>
    <cellStyle name="Normal 3 2 2 2 2 2 2 2 2 2 2 2 2 2 2 2 2 2 2 2 2 2 2 2 2 2 2 2 2 7" xfId="25899"/>
    <cellStyle name="Normal 3 2 2 2 2 2 2 2 2 2 2 2 2 2 2 2 2 2 2 2 2 2 2 2 2 2 2 2 2 8" xfId="25900"/>
    <cellStyle name="Normal 3 2 2 2 2 2 2 2 2 2 2 2 2 2 2 2 2 2 2 2 2 2 2 2 2 2 2 2 2 9" xfId="25901"/>
    <cellStyle name="Normal 3 2 2 2 2 2 2 2 2 2 2 2 2 2 2 2 2 2 2 2 2 2 2 2 2 2 2 2 20" xfId="25902"/>
    <cellStyle name="Normal 3 2 2 2 2 2 2 2 2 2 2 2 2 2 2 2 2 2 2 2 2 2 2 2 2 2 2 2 21" xfId="25903"/>
    <cellStyle name="Normal 3 2 2 2 2 2 2 2 2 2 2 2 2 2 2 2 2 2 2 2 2 2 2 2 2 2 2 2 22" xfId="25904"/>
    <cellStyle name="Normal 3 2 2 2 2 2 2 2 2 2 2 2 2 2 2 2 2 2 2 2 2 2 2 2 2 2 2 2 23" xfId="25905"/>
    <cellStyle name="Normal 3 2 2 2 2 2 2 2 2 2 2 2 2 2 2 2 2 2 2 2 2 2 2 2 2 2 2 2 24" xfId="25906"/>
    <cellStyle name="Normal 3 2 2 2 2 2 2 2 2 2 2 2 2 2 2 2 2 2 2 2 2 2 2 2 2 2 2 2 25" xfId="25907"/>
    <cellStyle name="Normal 3 2 2 2 2 2 2 2 2 2 2 2 2 2 2 2 2 2 2 2 2 2 2 2 2 2 2 2 26" xfId="25908"/>
    <cellStyle name="Normal 3 2 2 2 2 2 2 2 2 2 2 2 2 2 2 2 2 2 2 2 2 2 2 2 2 2 2 2 26 2" xfId="25909"/>
    <cellStyle name="Normal 3 2 2 2 2 2 2 2 2 2 2 2 2 2 2 2 2 2 2 2 2 2 2 2 2 2 2 2 26 3" xfId="25910"/>
    <cellStyle name="Normal 3 2 2 2 2 2 2 2 2 2 2 2 2 2 2 2 2 2 2 2 2 2 2 2 2 2 2 2 26 4" xfId="25911"/>
    <cellStyle name="Normal 3 2 2 2 2 2 2 2 2 2 2 2 2 2 2 2 2 2 2 2 2 2 2 2 2 2 2 2 27" xfId="25912"/>
    <cellStyle name="Normal 3 2 2 2 2 2 2 2 2 2 2 2 2 2 2 2 2 2 2 2 2 2 2 2 2 2 2 2 28" xfId="25913"/>
    <cellStyle name="Normal 3 2 2 2 2 2 2 2 2 2 2 2 2 2 2 2 2 2 2 2 2 2 2 2 2 2 2 2 3" xfId="25914"/>
    <cellStyle name="Normal 3 2 2 2 2 2 2 2 2 2 2 2 2 2 2 2 2 2 2 2 2 2 2 2 2 2 2 2 4" xfId="25915"/>
    <cellStyle name="Normal 3 2 2 2 2 2 2 2 2 2 2 2 2 2 2 2 2 2 2 2 2 2 2 2 2 2 2 2 5" xfId="25916"/>
    <cellStyle name="Normal 3 2 2 2 2 2 2 2 2 2 2 2 2 2 2 2 2 2 2 2 2 2 2 2 2 2 2 2 6" xfId="25917"/>
    <cellStyle name="Normal 3 2 2 2 2 2 2 2 2 2 2 2 2 2 2 2 2 2 2 2 2 2 2 2 2 2 2 2 7" xfId="25918"/>
    <cellStyle name="Normal 3 2 2 2 2 2 2 2 2 2 2 2 2 2 2 2 2 2 2 2 2 2 2 2 2 2 2 2 8" xfId="25919"/>
    <cellStyle name="Normal 3 2 2 2 2 2 2 2 2 2 2 2 2 2 2 2 2 2 2 2 2 2 2 2 2 2 2 2 9" xfId="25920"/>
    <cellStyle name="Normal 3 2 2 2 2 2 2 2 2 2 2 2 2 2 2 2 2 2 2 2 2 2 2 2 2 2 2 20" xfId="25921"/>
    <cellStyle name="Normal 3 2 2 2 2 2 2 2 2 2 2 2 2 2 2 2 2 2 2 2 2 2 2 2 2 2 2 21" xfId="25922"/>
    <cellStyle name="Normal 3 2 2 2 2 2 2 2 2 2 2 2 2 2 2 2 2 2 2 2 2 2 2 2 2 2 2 22" xfId="25923"/>
    <cellStyle name="Normal 3 2 2 2 2 2 2 2 2 2 2 2 2 2 2 2 2 2 2 2 2 2 2 2 2 2 2 23" xfId="25924"/>
    <cellStyle name="Normal 3 2 2 2 2 2 2 2 2 2 2 2 2 2 2 2 2 2 2 2 2 2 2 2 2 2 2 24" xfId="25925"/>
    <cellStyle name="Normal 3 2 2 2 2 2 2 2 2 2 2 2 2 2 2 2 2 2 2 2 2 2 2 2 2 2 2 25" xfId="25926"/>
    <cellStyle name="Normal 3 2 2 2 2 2 2 2 2 2 2 2 2 2 2 2 2 2 2 2 2 2 2 2 2 2 2 26" xfId="25927"/>
    <cellStyle name="Normal 3 2 2 2 2 2 2 2 2 2 2 2 2 2 2 2 2 2 2 2 2 2 2 2 2 2 2 26 2" xfId="25928"/>
    <cellStyle name="Normal 3 2 2 2 2 2 2 2 2 2 2 2 2 2 2 2 2 2 2 2 2 2 2 2 2 2 2 26 3" xfId="25929"/>
    <cellStyle name="Normal 3 2 2 2 2 2 2 2 2 2 2 2 2 2 2 2 2 2 2 2 2 2 2 2 2 2 2 26 4" xfId="25930"/>
    <cellStyle name="Normal 3 2 2 2 2 2 2 2 2 2 2 2 2 2 2 2 2 2 2 2 2 2 2 2 2 2 2 27" xfId="25931"/>
    <cellStyle name="Normal 3 2 2 2 2 2 2 2 2 2 2 2 2 2 2 2 2 2 2 2 2 2 2 2 2 2 2 28" xfId="25932"/>
    <cellStyle name="Normal 3 2 2 2 2 2 2 2 2 2 2 2 2 2 2 2 2 2 2 2 2 2 2 2 2 2 2 3" xfId="25933"/>
    <cellStyle name="Normal 3 2 2 2 2 2 2 2 2 2 2 2 2 2 2 2 2 2 2 2 2 2 2 2 2 2 2 4" xfId="25934"/>
    <cellStyle name="Normal 3 2 2 2 2 2 2 2 2 2 2 2 2 2 2 2 2 2 2 2 2 2 2 2 2 2 2 5" xfId="25935"/>
    <cellStyle name="Normal 3 2 2 2 2 2 2 2 2 2 2 2 2 2 2 2 2 2 2 2 2 2 2 2 2 2 2 6" xfId="25936"/>
    <cellStyle name="Normal 3 2 2 2 2 2 2 2 2 2 2 2 2 2 2 2 2 2 2 2 2 2 2 2 2 2 2 7" xfId="25937"/>
    <cellStyle name="Normal 3 2 2 2 2 2 2 2 2 2 2 2 2 2 2 2 2 2 2 2 2 2 2 2 2 2 2 8" xfId="25938"/>
    <cellStyle name="Normal 3 2 2 2 2 2 2 2 2 2 2 2 2 2 2 2 2 2 2 2 2 2 2 2 2 2 2 9" xfId="25939"/>
    <cellStyle name="Normal 3 2 2 2 2 2 2 2 2 2 2 2 2 2 2 2 2 2 2 2 2 2 2 2 2 2 20" xfId="25940"/>
    <cellStyle name="Normal 3 2 2 2 2 2 2 2 2 2 2 2 2 2 2 2 2 2 2 2 2 2 2 2 2 2 21" xfId="25941"/>
    <cellStyle name="Normal 3 2 2 2 2 2 2 2 2 2 2 2 2 2 2 2 2 2 2 2 2 2 2 2 2 2 22" xfId="25942"/>
    <cellStyle name="Normal 3 2 2 2 2 2 2 2 2 2 2 2 2 2 2 2 2 2 2 2 2 2 2 2 2 2 23" xfId="25943"/>
    <cellStyle name="Normal 3 2 2 2 2 2 2 2 2 2 2 2 2 2 2 2 2 2 2 2 2 2 2 2 2 2 24" xfId="25944"/>
    <cellStyle name="Normal 3 2 2 2 2 2 2 2 2 2 2 2 2 2 2 2 2 2 2 2 2 2 2 2 2 2 25" xfId="25945"/>
    <cellStyle name="Normal 3 2 2 2 2 2 2 2 2 2 2 2 2 2 2 2 2 2 2 2 2 2 2 2 2 2 26" xfId="25946"/>
    <cellStyle name="Normal 3 2 2 2 2 2 2 2 2 2 2 2 2 2 2 2 2 2 2 2 2 2 2 2 2 2 27" xfId="25947"/>
    <cellStyle name="Normal 3 2 2 2 2 2 2 2 2 2 2 2 2 2 2 2 2 2 2 2 2 2 2 2 2 2 28" xfId="25948"/>
    <cellStyle name="Normal 3 2 2 2 2 2 2 2 2 2 2 2 2 2 2 2 2 2 2 2 2 2 2 2 2 2 28 2" xfId="25949"/>
    <cellStyle name="Normal 3 2 2 2 2 2 2 2 2 2 2 2 2 2 2 2 2 2 2 2 2 2 2 2 2 2 28 3" xfId="25950"/>
    <cellStyle name="Normal 3 2 2 2 2 2 2 2 2 2 2 2 2 2 2 2 2 2 2 2 2 2 2 2 2 2 28 4" xfId="25951"/>
    <cellStyle name="Normal 3 2 2 2 2 2 2 2 2 2 2 2 2 2 2 2 2 2 2 2 2 2 2 2 2 2 29" xfId="25952"/>
    <cellStyle name="Normal 3 2 2 2 2 2 2 2 2 2 2 2 2 2 2 2 2 2 2 2 2 2 2 2 2 2 3" xfId="25953"/>
    <cellStyle name="Normal 3 2 2 2 2 2 2 2 2 2 2 2 2 2 2 2 2 2 2 2 2 2 2 2 2 2 30" xfId="25954"/>
    <cellStyle name="Normal 3 2 2 2 2 2 2 2 2 2 2 2 2 2 2 2 2 2 2 2 2 2 2 2 2 2 4" xfId="25955"/>
    <cellStyle name="Normal 3 2 2 2 2 2 2 2 2 2 2 2 2 2 2 2 2 2 2 2 2 2 2 2 2 2 5" xfId="25956"/>
    <cellStyle name="Normal 3 2 2 2 2 2 2 2 2 2 2 2 2 2 2 2 2 2 2 2 2 2 2 2 2 2 6" xfId="25957"/>
    <cellStyle name="Normal 3 2 2 2 2 2 2 2 2 2 2 2 2 2 2 2 2 2 2 2 2 2 2 2 2 2 7" xfId="25958"/>
    <cellStyle name="Normal 3 2 2 2 2 2 2 2 2 2 2 2 2 2 2 2 2 2 2 2 2 2 2 2 2 2 8" xfId="25959"/>
    <cellStyle name="Normal 3 2 2 2 2 2 2 2 2 2 2 2 2 2 2 2 2 2 2 2 2 2 2 2 2 2 9" xfId="25960"/>
    <cellStyle name="Normal 3 2 2 2 2 2 2 2 2 2 2 2 2 2 2 2 2 2 2 2 2 2 2 2 2 20" xfId="25961"/>
    <cellStyle name="Normal 3 2 2 2 2 2 2 2 2 2 2 2 2 2 2 2 2 2 2 2 2 2 2 2 2 21" xfId="25962"/>
    <cellStyle name="Normal 3 2 2 2 2 2 2 2 2 2 2 2 2 2 2 2 2 2 2 2 2 2 2 2 2 22" xfId="25963"/>
    <cellStyle name="Normal 3 2 2 2 2 2 2 2 2 2 2 2 2 2 2 2 2 2 2 2 2 2 2 2 2 23" xfId="25964"/>
    <cellStyle name="Normal 3 2 2 2 2 2 2 2 2 2 2 2 2 2 2 2 2 2 2 2 2 2 2 2 2 24" xfId="25965"/>
    <cellStyle name="Normal 3 2 2 2 2 2 2 2 2 2 2 2 2 2 2 2 2 2 2 2 2 2 2 2 2 25" xfId="25966"/>
    <cellStyle name="Normal 3 2 2 2 2 2 2 2 2 2 2 2 2 2 2 2 2 2 2 2 2 2 2 2 2 26" xfId="25967"/>
    <cellStyle name="Normal 3 2 2 2 2 2 2 2 2 2 2 2 2 2 2 2 2 2 2 2 2 2 2 2 2 27" xfId="25968"/>
    <cellStyle name="Normal 3 2 2 2 2 2 2 2 2 2 2 2 2 2 2 2 2 2 2 2 2 2 2 2 2 28" xfId="25969"/>
    <cellStyle name="Normal 3 2 2 2 2 2 2 2 2 2 2 2 2 2 2 2 2 2 2 2 2 2 2 2 2 28 2" xfId="25970"/>
    <cellStyle name="Normal 3 2 2 2 2 2 2 2 2 2 2 2 2 2 2 2 2 2 2 2 2 2 2 2 2 28 3" xfId="25971"/>
    <cellStyle name="Normal 3 2 2 2 2 2 2 2 2 2 2 2 2 2 2 2 2 2 2 2 2 2 2 2 2 28 4" xfId="25972"/>
    <cellStyle name="Normal 3 2 2 2 2 2 2 2 2 2 2 2 2 2 2 2 2 2 2 2 2 2 2 2 2 29" xfId="25973"/>
    <cellStyle name="Normal 3 2 2 2 2 2 2 2 2 2 2 2 2 2 2 2 2 2 2 2 2 2 2 2 2 3" xfId="25974"/>
    <cellStyle name="Normal 3 2 2 2 2 2 2 2 2 2 2 2 2 2 2 2 2 2 2 2 2 2 2 2 2 30" xfId="25975"/>
    <cellStyle name="Normal 3 2 2 2 2 2 2 2 2 2 2 2 2 2 2 2 2 2 2 2 2 2 2 2 2 4" xfId="25976"/>
    <cellStyle name="Normal 3 2 2 2 2 2 2 2 2 2 2 2 2 2 2 2 2 2 2 2 2 2 2 2 2 5" xfId="25977"/>
    <cellStyle name="Normal 3 2 2 2 2 2 2 2 2 2 2 2 2 2 2 2 2 2 2 2 2 2 2 2 2 6" xfId="25978"/>
    <cellStyle name="Normal 3 2 2 2 2 2 2 2 2 2 2 2 2 2 2 2 2 2 2 2 2 2 2 2 2 7" xfId="25979"/>
    <cellStyle name="Normal 3 2 2 2 2 2 2 2 2 2 2 2 2 2 2 2 2 2 2 2 2 2 2 2 2 8" xfId="25980"/>
    <cellStyle name="Normal 3 2 2 2 2 2 2 2 2 2 2 2 2 2 2 2 2 2 2 2 2 2 2 2 2 9" xfId="25981"/>
    <cellStyle name="Normal 3 2 2 2 2 2 2 2 2 2 2 2 2 2 2 2 2 2 2 2 2 2 2 2 20" xfId="25982"/>
    <cellStyle name="Normal 3 2 2 2 2 2 2 2 2 2 2 2 2 2 2 2 2 2 2 2 2 2 2 2 21" xfId="25983"/>
    <cellStyle name="Normal 3 2 2 2 2 2 2 2 2 2 2 2 2 2 2 2 2 2 2 2 2 2 2 2 22" xfId="25984"/>
    <cellStyle name="Normal 3 2 2 2 2 2 2 2 2 2 2 2 2 2 2 2 2 2 2 2 2 2 2 2 23" xfId="25985"/>
    <cellStyle name="Normal 3 2 2 2 2 2 2 2 2 2 2 2 2 2 2 2 2 2 2 2 2 2 2 2 24" xfId="25986"/>
    <cellStyle name="Normal 3 2 2 2 2 2 2 2 2 2 2 2 2 2 2 2 2 2 2 2 2 2 2 2 25" xfId="25987"/>
    <cellStyle name="Normal 3 2 2 2 2 2 2 2 2 2 2 2 2 2 2 2 2 2 2 2 2 2 2 2 26" xfId="25988"/>
    <cellStyle name="Normal 3 2 2 2 2 2 2 2 2 2 2 2 2 2 2 2 2 2 2 2 2 2 2 2 27" xfId="25989"/>
    <cellStyle name="Normal 3 2 2 2 2 2 2 2 2 2 2 2 2 2 2 2 2 2 2 2 2 2 2 2 28" xfId="25990"/>
    <cellStyle name="Normal 3 2 2 2 2 2 2 2 2 2 2 2 2 2 2 2 2 2 2 2 2 2 2 2 29" xfId="25991"/>
    <cellStyle name="Normal 3 2 2 2 2 2 2 2 2 2 2 2 2 2 2 2 2 2 2 2 2 2 2 2 3" xfId="25992"/>
    <cellStyle name="Normal 3 2 2 2 2 2 2 2 2 2 2 2 2 2 2 2 2 2 2 2 2 2 2 2 30" xfId="25993"/>
    <cellStyle name="Normal 3 2 2 2 2 2 2 2 2 2 2 2 2 2 2 2 2 2 2 2 2 2 2 2 31" xfId="25994"/>
    <cellStyle name="Normal 3 2 2 2 2 2 2 2 2 2 2 2 2 2 2 2 2 2 2 2 2 2 2 2 32" xfId="25995"/>
    <cellStyle name="Normal 3 2 2 2 2 2 2 2 2 2 2 2 2 2 2 2 2 2 2 2 2 2 2 2 33" xfId="25996"/>
    <cellStyle name="Normal 3 2 2 2 2 2 2 2 2 2 2 2 2 2 2 2 2 2 2 2 2 2 2 2 34" xfId="25997"/>
    <cellStyle name="Normal 3 2 2 2 2 2 2 2 2 2 2 2 2 2 2 2 2 2 2 2 2 2 2 2 34 2" xfId="25998"/>
    <cellStyle name="Normal 3 2 2 2 2 2 2 2 2 2 2 2 2 2 2 2 2 2 2 2 2 2 2 2 34 3" xfId="25999"/>
    <cellStyle name="Normal 3 2 2 2 2 2 2 2 2 2 2 2 2 2 2 2 2 2 2 2 2 2 2 2 34 4" xfId="26000"/>
    <cellStyle name="Normal 3 2 2 2 2 2 2 2 2 2 2 2 2 2 2 2 2 2 2 2 2 2 2 2 35" xfId="26001"/>
    <cellStyle name="Normal 3 2 2 2 2 2 2 2 2 2 2 2 2 2 2 2 2 2 2 2 2 2 2 2 36" xfId="26002"/>
    <cellStyle name="Normal 3 2 2 2 2 2 2 2 2 2 2 2 2 2 2 2 2 2 2 2 2 2 2 2 4" xfId="26003"/>
    <cellStyle name="Normal 3 2 2 2 2 2 2 2 2 2 2 2 2 2 2 2 2 2 2 2 2 2 2 2 5" xfId="26004"/>
    <cellStyle name="Normal 3 2 2 2 2 2 2 2 2 2 2 2 2 2 2 2 2 2 2 2 2 2 2 2 6" xfId="26005"/>
    <cellStyle name="Normal 3 2 2 2 2 2 2 2 2 2 2 2 2 2 2 2 2 2 2 2 2 2 2 2 7" xfId="26006"/>
    <cellStyle name="Normal 3 2 2 2 2 2 2 2 2 2 2 2 2 2 2 2 2 2 2 2 2 2 2 2 8" xfId="26007"/>
    <cellStyle name="Normal 3 2 2 2 2 2 2 2 2 2 2 2 2 2 2 2 2 2 2 2 2 2 2 2 9" xfId="26008"/>
    <cellStyle name="Normal 3 2 2 2 2 2 2 2 2 2 2 2 2 2 2 2 2 2 2 2 2 2 2 20" xfId="26009"/>
    <cellStyle name="Normal 3 2 2 2 2 2 2 2 2 2 2 2 2 2 2 2 2 2 2 2 2 2 2 21" xfId="26010"/>
    <cellStyle name="Normal 3 2 2 2 2 2 2 2 2 2 2 2 2 2 2 2 2 2 2 2 2 2 2 22" xfId="26011"/>
    <cellStyle name="Normal 3 2 2 2 2 2 2 2 2 2 2 2 2 2 2 2 2 2 2 2 2 2 2 23" xfId="26012"/>
    <cellStyle name="Normal 3 2 2 2 2 2 2 2 2 2 2 2 2 2 2 2 2 2 2 2 2 2 2 24" xfId="26013"/>
    <cellStyle name="Normal 3 2 2 2 2 2 2 2 2 2 2 2 2 2 2 2 2 2 2 2 2 2 2 25" xfId="26014"/>
    <cellStyle name="Normal 3 2 2 2 2 2 2 2 2 2 2 2 2 2 2 2 2 2 2 2 2 2 2 26" xfId="26015"/>
    <cellStyle name="Normal 3 2 2 2 2 2 2 2 2 2 2 2 2 2 2 2 2 2 2 2 2 2 2 27" xfId="26016"/>
    <cellStyle name="Normal 3 2 2 2 2 2 2 2 2 2 2 2 2 2 2 2 2 2 2 2 2 2 2 28" xfId="26017"/>
    <cellStyle name="Normal 3 2 2 2 2 2 2 2 2 2 2 2 2 2 2 2 2 2 2 2 2 2 2 29" xfId="26018"/>
    <cellStyle name="Normal 3 2 2 2 2 2 2 2 2 2 2 2 2 2 2 2 2 2 2 2 2 2 2 3" xfId="26019"/>
    <cellStyle name="Normal 3 2 2 2 2 2 2 2 2 2 2 2 2 2 2 2 2 2 2 2 2 2 2 30" xfId="26020"/>
    <cellStyle name="Normal 3 2 2 2 2 2 2 2 2 2 2 2 2 2 2 2 2 2 2 2 2 2 2 31" xfId="26021"/>
    <cellStyle name="Normal 3 2 2 2 2 2 2 2 2 2 2 2 2 2 2 2 2 2 2 2 2 2 2 32" xfId="26022"/>
    <cellStyle name="Normal 3 2 2 2 2 2 2 2 2 2 2 2 2 2 2 2 2 2 2 2 2 2 2 33" xfId="26023"/>
    <cellStyle name="Normal 3 2 2 2 2 2 2 2 2 2 2 2 2 2 2 2 2 2 2 2 2 2 2 34" xfId="26024"/>
    <cellStyle name="Normal 3 2 2 2 2 2 2 2 2 2 2 2 2 2 2 2 2 2 2 2 2 2 2 35" xfId="26025"/>
    <cellStyle name="Normal 3 2 2 2 2 2 2 2 2 2 2 2 2 2 2 2 2 2 2 2 2 2 2 35 2" xfId="26026"/>
    <cellStyle name="Normal 3 2 2 2 2 2 2 2 2 2 2 2 2 2 2 2 2 2 2 2 2 2 2 35 3" xfId="26027"/>
    <cellStyle name="Normal 3 2 2 2 2 2 2 2 2 2 2 2 2 2 2 2 2 2 2 2 2 2 2 35 4" xfId="26028"/>
    <cellStyle name="Normal 3 2 2 2 2 2 2 2 2 2 2 2 2 2 2 2 2 2 2 2 2 2 2 36" xfId="26029"/>
    <cellStyle name="Normal 3 2 2 2 2 2 2 2 2 2 2 2 2 2 2 2 2 2 2 2 2 2 2 37" xfId="26030"/>
    <cellStyle name="Normal 3 2 2 2 2 2 2 2 2 2 2 2 2 2 2 2 2 2 2 2 2 2 2 4" xfId="26031"/>
    <cellStyle name="Normal 3 2 2 2 2 2 2 2 2 2 2 2 2 2 2 2 2 2 2 2 2 2 2 5" xfId="26032"/>
    <cellStyle name="Normal 3 2 2 2 2 2 2 2 2 2 2 2 2 2 2 2 2 2 2 2 2 2 2 6" xfId="26033"/>
    <cellStyle name="Normal 3 2 2 2 2 2 2 2 2 2 2 2 2 2 2 2 2 2 2 2 2 2 2 7" xfId="26034"/>
    <cellStyle name="Normal 3 2 2 2 2 2 2 2 2 2 2 2 2 2 2 2 2 2 2 2 2 2 2 8" xfId="26035"/>
    <cellStyle name="Normal 3 2 2 2 2 2 2 2 2 2 2 2 2 2 2 2 2 2 2 2 2 2 2 9" xfId="26036"/>
    <cellStyle name="Normal 3 2 2 2 2 2 2 2 2 2 2 2 2 2 2 2 2 2 2 2 2 2 20" xfId="26037"/>
    <cellStyle name="Normal 3 2 2 2 2 2 2 2 2 2 2 2 2 2 2 2 2 2 2 2 2 2 21" xfId="26038"/>
    <cellStyle name="Normal 3 2 2 2 2 2 2 2 2 2 2 2 2 2 2 2 2 2 2 2 2 2 22" xfId="26039"/>
    <cellStyle name="Normal 3 2 2 2 2 2 2 2 2 2 2 2 2 2 2 2 2 2 2 2 2 2 23" xfId="26040"/>
    <cellStyle name="Normal 3 2 2 2 2 2 2 2 2 2 2 2 2 2 2 2 2 2 2 2 2 2 24" xfId="26041"/>
    <cellStyle name="Normal 3 2 2 2 2 2 2 2 2 2 2 2 2 2 2 2 2 2 2 2 2 2 25" xfId="26042"/>
    <cellStyle name="Normal 3 2 2 2 2 2 2 2 2 2 2 2 2 2 2 2 2 2 2 2 2 2 26" xfId="26043"/>
    <cellStyle name="Normal 3 2 2 2 2 2 2 2 2 2 2 2 2 2 2 2 2 2 2 2 2 2 27" xfId="26044"/>
    <cellStyle name="Normal 3 2 2 2 2 2 2 2 2 2 2 2 2 2 2 2 2 2 2 2 2 2 28" xfId="26045"/>
    <cellStyle name="Normal 3 2 2 2 2 2 2 2 2 2 2 2 2 2 2 2 2 2 2 2 2 2 29" xfId="26046"/>
    <cellStyle name="Normal 3 2 2 2 2 2 2 2 2 2 2 2 2 2 2 2 2 2 2 2 2 2 3" xfId="26047"/>
    <cellStyle name="Normal 3 2 2 2 2 2 2 2 2 2 2 2 2 2 2 2 2 2 2 2 2 2 30" xfId="26048"/>
    <cellStyle name="Normal 3 2 2 2 2 2 2 2 2 2 2 2 2 2 2 2 2 2 2 2 2 2 31" xfId="26049"/>
    <cellStyle name="Normal 3 2 2 2 2 2 2 2 2 2 2 2 2 2 2 2 2 2 2 2 2 2 32" xfId="26050"/>
    <cellStyle name="Normal 3 2 2 2 2 2 2 2 2 2 2 2 2 2 2 2 2 2 2 2 2 2 33" xfId="26051"/>
    <cellStyle name="Normal 3 2 2 2 2 2 2 2 2 2 2 2 2 2 2 2 2 2 2 2 2 2 34" xfId="26052"/>
    <cellStyle name="Normal 3 2 2 2 2 2 2 2 2 2 2 2 2 2 2 2 2 2 2 2 2 2 35" xfId="26053"/>
    <cellStyle name="Normal 3 2 2 2 2 2 2 2 2 2 2 2 2 2 2 2 2 2 2 2 2 2 36" xfId="26054"/>
    <cellStyle name="Normal 3 2 2 2 2 2 2 2 2 2 2 2 2 2 2 2 2 2 2 2 2 2 37" xfId="26055"/>
    <cellStyle name="Normal 3 2 2 2 2 2 2 2 2 2 2 2 2 2 2 2 2 2 2 2 2 2 38" xfId="26056"/>
    <cellStyle name="Normal 3 2 2 2 2 2 2 2 2 2 2 2 2 2 2 2 2 2 2 2 2 2 39" xfId="26057"/>
    <cellStyle name="Normal 3 2 2 2 2 2 2 2 2 2 2 2 2 2 2 2 2 2 2 2 2 2 4" xfId="26058"/>
    <cellStyle name="Normal 3 2 2 2 2 2 2 2 2 2 2 2 2 2 2 2 2 2 2 2 2 2 40" xfId="26059"/>
    <cellStyle name="Normal 3 2 2 2 2 2 2 2 2 2 2 2 2 2 2 2 2 2 2 2 2 2 41" xfId="26060"/>
    <cellStyle name="Normal 3 2 2 2 2 2 2 2 2 2 2 2 2 2 2 2 2 2 2 2 2 2 42" xfId="26061"/>
    <cellStyle name="Normal 3 2 2 2 2 2 2 2 2 2 2 2 2 2 2 2 2 2 2 2 2 2 43" xfId="26062"/>
    <cellStyle name="Normal 3 2 2 2 2 2 2 2 2 2 2 2 2 2 2 2 2 2 2 2 2 2 44" xfId="26063"/>
    <cellStyle name="Normal 3 2 2 2 2 2 2 2 2 2 2 2 2 2 2 2 2 2 2 2 2 2 45" xfId="26064"/>
    <cellStyle name="Normal 3 2 2 2 2 2 2 2 2 2 2 2 2 2 2 2 2 2 2 2 2 2 45 2" xfId="26065"/>
    <cellStyle name="Normal 3 2 2 2 2 2 2 2 2 2 2 2 2 2 2 2 2 2 2 2 2 2 45 3" xfId="26066"/>
    <cellStyle name="Normal 3 2 2 2 2 2 2 2 2 2 2 2 2 2 2 2 2 2 2 2 2 2 45 4" xfId="26067"/>
    <cellStyle name="Normal 3 2 2 2 2 2 2 2 2 2 2 2 2 2 2 2 2 2 2 2 2 2 46" xfId="26068"/>
    <cellStyle name="Normal 3 2 2 2 2 2 2 2 2 2 2 2 2 2 2 2 2 2 2 2 2 2 47" xfId="26069"/>
    <cellStyle name="Normal 3 2 2 2 2 2 2 2 2 2 2 2 2 2 2 2 2 2 2 2 2 2 5" xfId="26070"/>
    <cellStyle name="Normal 3 2 2 2 2 2 2 2 2 2 2 2 2 2 2 2 2 2 2 2 2 2 6" xfId="26071"/>
    <cellStyle name="Normal 3 2 2 2 2 2 2 2 2 2 2 2 2 2 2 2 2 2 2 2 2 2 7" xfId="26072"/>
    <cellStyle name="Normal 3 2 2 2 2 2 2 2 2 2 2 2 2 2 2 2 2 2 2 2 2 2 8" xfId="26073"/>
    <cellStyle name="Normal 3 2 2 2 2 2 2 2 2 2 2 2 2 2 2 2 2 2 2 2 2 2 9" xfId="26074"/>
    <cellStyle name="Normal 3 2 2 2 2 2 2 2 2 2 2 2 2 2 2 2 2 2 2 2 2 20" xfId="26075"/>
    <cellStyle name="Normal 3 2 2 2 2 2 2 2 2 2 2 2 2 2 2 2 2 2 2 2 2 21" xfId="26076"/>
    <cellStyle name="Normal 3 2 2 2 2 2 2 2 2 2 2 2 2 2 2 2 2 2 2 2 2 22" xfId="26077"/>
    <cellStyle name="Normal 3 2 2 2 2 2 2 2 2 2 2 2 2 2 2 2 2 2 2 2 2 23" xfId="26078"/>
    <cellStyle name="Normal 3 2 2 2 2 2 2 2 2 2 2 2 2 2 2 2 2 2 2 2 2 24" xfId="26079"/>
    <cellStyle name="Normal 3 2 2 2 2 2 2 2 2 2 2 2 2 2 2 2 2 2 2 2 2 25" xfId="26080"/>
    <cellStyle name="Normal 3 2 2 2 2 2 2 2 2 2 2 2 2 2 2 2 2 2 2 2 2 26" xfId="26081"/>
    <cellStyle name="Normal 3 2 2 2 2 2 2 2 2 2 2 2 2 2 2 2 2 2 2 2 2 27" xfId="26082"/>
    <cellStyle name="Normal 3 2 2 2 2 2 2 2 2 2 2 2 2 2 2 2 2 2 2 2 2 28" xfId="26083"/>
    <cellStyle name="Normal 3 2 2 2 2 2 2 2 2 2 2 2 2 2 2 2 2 2 2 2 2 29" xfId="26084"/>
    <cellStyle name="Normal 3 2 2 2 2 2 2 2 2 2 2 2 2 2 2 2 2 2 2 2 2 3" xfId="26085"/>
    <cellStyle name="Normal 3 2 2 2 2 2 2 2 2 2 2 2 2 2 2 2 2 2 2 2 2 30" xfId="26086"/>
    <cellStyle name="Normal 3 2 2 2 2 2 2 2 2 2 2 2 2 2 2 2 2 2 2 2 2 31" xfId="26087"/>
    <cellStyle name="Normal 3 2 2 2 2 2 2 2 2 2 2 2 2 2 2 2 2 2 2 2 2 32" xfId="26088"/>
    <cellStyle name="Normal 3 2 2 2 2 2 2 2 2 2 2 2 2 2 2 2 2 2 2 2 2 33" xfId="26089"/>
    <cellStyle name="Normal 3 2 2 2 2 2 2 2 2 2 2 2 2 2 2 2 2 2 2 2 2 34" xfId="26090"/>
    <cellStyle name="Normal 3 2 2 2 2 2 2 2 2 2 2 2 2 2 2 2 2 2 2 2 2 35" xfId="26091"/>
    <cellStyle name="Normal 3 2 2 2 2 2 2 2 2 2 2 2 2 2 2 2 2 2 2 2 2 36" xfId="26092"/>
    <cellStyle name="Normal 3 2 2 2 2 2 2 2 2 2 2 2 2 2 2 2 2 2 2 2 2 37" xfId="26093"/>
    <cellStyle name="Normal 3 2 2 2 2 2 2 2 2 2 2 2 2 2 2 2 2 2 2 2 2 38" xfId="26094"/>
    <cellStyle name="Normal 3 2 2 2 2 2 2 2 2 2 2 2 2 2 2 2 2 2 2 2 2 39" xfId="26095"/>
    <cellStyle name="Normal 3 2 2 2 2 2 2 2 2 2 2 2 2 2 2 2 2 2 2 2 2 4" xfId="26096"/>
    <cellStyle name="Normal 3 2 2 2 2 2 2 2 2 2 2 2 2 2 2 2 2 2 2 2 2 40" xfId="26097"/>
    <cellStyle name="Normal 3 2 2 2 2 2 2 2 2 2 2 2 2 2 2 2 2 2 2 2 2 41" xfId="26098"/>
    <cellStyle name="Normal 3 2 2 2 2 2 2 2 2 2 2 2 2 2 2 2 2 2 2 2 2 42" xfId="26099"/>
    <cellStyle name="Normal 3 2 2 2 2 2 2 2 2 2 2 2 2 2 2 2 2 2 2 2 2 43" xfId="26100"/>
    <cellStyle name="Normal 3 2 2 2 2 2 2 2 2 2 2 2 2 2 2 2 2 2 2 2 2 44" xfId="26101"/>
    <cellStyle name="Normal 3 2 2 2 2 2 2 2 2 2 2 2 2 2 2 2 2 2 2 2 2 45" xfId="26102"/>
    <cellStyle name="Normal 3 2 2 2 2 2 2 2 2 2 2 2 2 2 2 2 2 2 2 2 2 45 2" xfId="26103"/>
    <cellStyle name="Normal 3 2 2 2 2 2 2 2 2 2 2 2 2 2 2 2 2 2 2 2 2 45 3" xfId="26104"/>
    <cellStyle name="Normal 3 2 2 2 2 2 2 2 2 2 2 2 2 2 2 2 2 2 2 2 2 45 4" xfId="26105"/>
    <cellStyle name="Normal 3 2 2 2 2 2 2 2 2 2 2 2 2 2 2 2 2 2 2 2 2 46" xfId="26106"/>
    <cellStyle name="Normal 3 2 2 2 2 2 2 2 2 2 2 2 2 2 2 2 2 2 2 2 2 47" xfId="26107"/>
    <cellStyle name="Normal 3 2 2 2 2 2 2 2 2 2 2 2 2 2 2 2 2 2 2 2 2 5" xfId="26108"/>
    <cellStyle name="Normal 3 2 2 2 2 2 2 2 2 2 2 2 2 2 2 2 2 2 2 2 2 6" xfId="26109"/>
    <cellStyle name="Normal 3 2 2 2 2 2 2 2 2 2 2 2 2 2 2 2 2 2 2 2 2 7" xfId="26110"/>
    <cellStyle name="Normal 3 2 2 2 2 2 2 2 2 2 2 2 2 2 2 2 2 2 2 2 2 8" xfId="26111"/>
    <cellStyle name="Normal 3 2 2 2 2 2 2 2 2 2 2 2 2 2 2 2 2 2 2 2 2 9" xfId="26112"/>
    <cellStyle name="Normal 3 2 2 2 2 2 2 2 2 2 2 2 2 2 2 2 2 2 2 2 20" xfId="26113"/>
    <cellStyle name="Normal 3 2 2 2 2 2 2 2 2 2 2 2 2 2 2 2 2 2 2 2 21" xfId="26114"/>
    <cellStyle name="Normal 3 2 2 2 2 2 2 2 2 2 2 2 2 2 2 2 2 2 2 2 22" xfId="26115"/>
    <cellStyle name="Normal 3 2 2 2 2 2 2 2 2 2 2 2 2 2 2 2 2 2 2 2 23" xfId="26116"/>
    <cellStyle name="Normal 3 2 2 2 2 2 2 2 2 2 2 2 2 2 2 2 2 2 2 2 24" xfId="26117"/>
    <cellStyle name="Normal 3 2 2 2 2 2 2 2 2 2 2 2 2 2 2 2 2 2 2 2 25" xfId="26118"/>
    <cellStyle name="Normal 3 2 2 2 2 2 2 2 2 2 2 2 2 2 2 2 2 2 2 2 26" xfId="26119"/>
    <cellStyle name="Normal 3 2 2 2 2 2 2 2 2 2 2 2 2 2 2 2 2 2 2 2 27" xfId="26120"/>
    <cellStyle name="Normal 3 2 2 2 2 2 2 2 2 2 2 2 2 2 2 2 2 2 2 2 28" xfId="26121"/>
    <cellStyle name="Normal 3 2 2 2 2 2 2 2 2 2 2 2 2 2 2 2 2 2 2 2 29" xfId="26122"/>
    <cellStyle name="Normal 3 2 2 2 2 2 2 2 2 2 2 2 2 2 2 2 2 2 2 2 3" xfId="26123"/>
    <cellStyle name="Normal 3 2 2 2 2 2 2 2 2 2 2 2 2 2 2 2 2 2 2 2 30" xfId="26124"/>
    <cellStyle name="Normal 3 2 2 2 2 2 2 2 2 2 2 2 2 2 2 2 2 2 2 2 31" xfId="26125"/>
    <cellStyle name="Normal 3 2 2 2 2 2 2 2 2 2 2 2 2 2 2 2 2 2 2 2 32" xfId="26126"/>
    <cellStyle name="Normal 3 2 2 2 2 2 2 2 2 2 2 2 2 2 2 2 2 2 2 2 33" xfId="26127"/>
    <cellStyle name="Normal 3 2 2 2 2 2 2 2 2 2 2 2 2 2 2 2 2 2 2 2 34" xfId="26128"/>
    <cellStyle name="Normal 3 2 2 2 2 2 2 2 2 2 2 2 2 2 2 2 2 2 2 2 35" xfId="26129"/>
    <cellStyle name="Normal 3 2 2 2 2 2 2 2 2 2 2 2 2 2 2 2 2 2 2 2 36" xfId="26130"/>
    <cellStyle name="Normal 3 2 2 2 2 2 2 2 2 2 2 2 2 2 2 2 2 2 2 2 37" xfId="26131"/>
    <cellStyle name="Normal 3 2 2 2 2 2 2 2 2 2 2 2 2 2 2 2 2 2 2 2 38" xfId="26132"/>
    <cellStyle name="Normal 3 2 2 2 2 2 2 2 2 2 2 2 2 2 2 2 2 2 2 2 39" xfId="26133"/>
    <cellStyle name="Normal 3 2 2 2 2 2 2 2 2 2 2 2 2 2 2 2 2 2 2 2 4" xfId="26134"/>
    <cellStyle name="Normal 3 2 2 2 2 2 2 2 2 2 2 2 2 2 2 2 2 2 2 2 40" xfId="26135"/>
    <cellStyle name="Normal 3 2 2 2 2 2 2 2 2 2 2 2 2 2 2 2 2 2 2 2 41" xfId="26136"/>
    <cellStyle name="Normal 3 2 2 2 2 2 2 2 2 2 2 2 2 2 2 2 2 2 2 2 42" xfId="26137"/>
    <cellStyle name="Normal 3 2 2 2 2 2 2 2 2 2 2 2 2 2 2 2 2 2 2 2 43" xfId="26138"/>
    <cellStyle name="Normal 3 2 2 2 2 2 2 2 2 2 2 2 2 2 2 2 2 2 2 2 44" xfId="26139"/>
    <cellStyle name="Normal 3 2 2 2 2 2 2 2 2 2 2 2 2 2 2 2 2 2 2 2 45" xfId="26140"/>
    <cellStyle name="Normal 3 2 2 2 2 2 2 2 2 2 2 2 2 2 2 2 2 2 2 2 46" xfId="26141"/>
    <cellStyle name="Normal 3 2 2 2 2 2 2 2 2 2 2 2 2 2 2 2 2 2 2 2 47" xfId="26142"/>
    <cellStyle name="Normal 3 2 2 2 2 2 2 2 2 2 2 2 2 2 2 2 2 2 2 2 48" xfId="26143"/>
    <cellStyle name="Normal 3 2 2 2 2 2 2 2 2 2 2 2 2 2 2 2 2 2 2 2 48 2" xfId="26144"/>
    <cellStyle name="Normal 3 2 2 2 2 2 2 2 2 2 2 2 2 2 2 2 2 2 2 2 48 3" xfId="26145"/>
    <cellStyle name="Normal 3 2 2 2 2 2 2 2 2 2 2 2 2 2 2 2 2 2 2 2 48 4" xfId="26146"/>
    <cellStyle name="Normal 3 2 2 2 2 2 2 2 2 2 2 2 2 2 2 2 2 2 2 2 49" xfId="26147"/>
    <cellStyle name="Normal 3 2 2 2 2 2 2 2 2 2 2 2 2 2 2 2 2 2 2 2 5" xfId="26148"/>
    <cellStyle name="Normal 3 2 2 2 2 2 2 2 2 2 2 2 2 2 2 2 2 2 2 2 50" xfId="26149"/>
    <cellStyle name="Normal 3 2 2 2 2 2 2 2 2 2 2 2 2 2 2 2 2 2 2 2 6" xfId="26150"/>
    <cellStyle name="Normal 3 2 2 2 2 2 2 2 2 2 2 2 2 2 2 2 2 2 2 2 7" xfId="26151"/>
    <cellStyle name="Normal 3 2 2 2 2 2 2 2 2 2 2 2 2 2 2 2 2 2 2 2 8" xfId="26152"/>
    <cellStyle name="Normal 3 2 2 2 2 2 2 2 2 2 2 2 2 2 2 2 2 2 2 2 9" xfId="26153"/>
    <cellStyle name="Normal 3 2 2 2 2 2 2 2 2 2 2 2 2 2 2 2 2 2 2 20" xfId="26154"/>
    <cellStyle name="Normal 3 2 2 2 2 2 2 2 2 2 2 2 2 2 2 2 2 2 2 21" xfId="26155"/>
    <cellStyle name="Normal 3 2 2 2 2 2 2 2 2 2 2 2 2 2 2 2 2 2 2 22" xfId="26156"/>
    <cellStyle name="Normal 3 2 2 2 2 2 2 2 2 2 2 2 2 2 2 2 2 2 2 23" xfId="26157"/>
    <cellStyle name="Normal 3 2 2 2 2 2 2 2 2 2 2 2 2 2 2 2 2 2 2 24" xfId="26158"/>
    <cellStyle name="Normal 3 2 2 2 2 2 2 2 2 2 2 2 2 2 2 2 2 2 2 25" xfId="26159"/>
    <cellStyle name="Normal 3 2 2 2 2 2 2 2 2 2 2 2 2 2 2 2 2 2 2 26" xfId="26160"/>
    <cellStyle name="Normal 3 2 2 2 2 2 2 2 2 2 2 2 2 2 2 2 2 2 2 27" xfId="26161"/>
    <cellStyle name="Normal 3 2 2 2 2 2 2 2 2 2 2 2 2 2 2 2 2 2 2 28" xfId="26162"/>
    <cellStyle name="Normal 3 2 2 2 2 2 2 2 2 2 2 2 2 2 2 2 2 2 2 29" xfId="26163"/>
    <cellStyle name="Normal 3 2 2 2 2 2 2 2 2 2 2 2 2 2 2 2 2 2 2 3" xfId="26164"/>
    <cellStyle name="Normal 3 2 2 2 2 2 2 2 2 2 2 2 2 2 2 2 2 2 2 30" xfId="26165"/>
    <cellStyle name="Normal 3 2 2 2 2 2 2 2 2 2 2 2 2 2 2 2 2 2 2 31" xfId="26166"/>
    <cellStyle name="Normal 3 2 2 2 2 2 2 2 2 2 2 2 2 2 2 2 2 2 2 32" xfId="26167"/>
    <cellStyle name="Normal 3 2 2 2 2 2 2 2 2 2 2 2 2 2 2 2 2 2 2 33" xfId="26168"/>
    <cellStyle name="Normal 3 2 2 2 2 2 2 2 2 2 2 2 2 2 2 2 2 2 2 34" xfId="26169"/>
    <cellStyle name="Normal 3 2 2 2 2 2 2 2 2 2 2 2 2 2 2 2 2 2 2 35" xfId="26170"/>
    <cellStyle name="Normal 3 2 2 2 2 2 2 2 2 2 2 2 2 2 2 2 2 2 2 36" xfId="26171"/>
    <cellStyle name="Normal 3 2 2 2 2 2 2 2 2 2 2 2 2 2 2 2 2 2 2 37" xfId="26172"/>
    <cellStyle name="Normal 3 2 2 2 2 2 2 2 2 2 2 2 2 2 2 2 2 2 2 38" xfId="26173"/>
    <cellStyle name="Normal 3 2 2 2 2 2 2 2 2 2 2 2 2 2 2 2 2 2 2 39" xfId="26174"/>
    <cellStyle name="Normal 3 2 2 2 2 2 2 2 2 2 2 2 2 2 2 2 2 2 2 4" xfId="26175"/>
    <cellStyle name="Normal 3 2 2 2 2 2 2 2 2 2 2 2 2 2 2 2 2 2 2 40" xfId="26176"/>
    <cellStyle name="Normal 3 2 2 2 2 2 2 2 2 2 2 2 2 2 2 2 2 2 2 41" xfId="26177"/>
    <cellStyle name="Normal 3 2 2 2 2 2 2 2 2 2 2 2 2 2 2 2 2 2 2 42" xfId="26178"/>
    <cellStyle name="Normal 3 2 2 2 2 2 2 2 2 2 2 2 2 2 2 2 2 2 2 43" xfId="26179"/>
    <cellStyle name="Normal 3 2 2 2 2 2 2 2 2 2 2 2 2 2 2 2 2 2 2 44" xfId="26180"/>
    <cellStyle name="Normal 3 2 2 2 2 2 2 2 2 2 2 2 2 2 2 2 2 2 2 45" xfId="26181"/>
    <cellStyle name="Normal 3 2 2 2 2 2 2 2 2 2 2 2 2 2 2 2 2 2 2 46" xfId="26182"/>
    <cellStyle name="Normal 3 2 2 2 2 2 2 2 2 2 2 2 2 2 2 2 2 2 2 47" xfId="26183"/>
    <cellStyle name="Normal 3 2 2 2 2 2 2 2 2 2 2 2 2 2 2 2 2 2 2 48" xfId="26184"/>
    <cellStyle name="Normal 3 2 2 2 2 2 2 2 2 2 2 2 2 2 2 2 2 2 2 49" xfId="26185"/>
    <cellStyle name="Normal 3 2 2 2 2 2 2 2 2 2 2 2 2 2 2 2 2 2 2 5" xfId="26186"/>
    <cellStyle name="Normal 3 2 2 2 2 2 2 2 2 2 2 2 2 2 2 2 2 2 2 50" xfId="26187"/>
    <cellStyle name="Normal 3 2 2 2 2 2 2 2 2 2 2 2 2 2 2 2 2 2 2 50 2" xfId="26188"/>
    <cellStyle name="Normal 3 2 2 2 2 2 2 2 2 2 2 2 2 2 2 2 2 2 2 50 3" xfId="26189"/>
    <cellStyle name="Normal 3 2 2 2 2 2 2 2 2 2 2 2 2 2 2 2 2 2 2 50 4" xfId="26190"/>
    <cellStyle name="Normal 3 2 2 2 2 2 2 2 2 2 2 2 2 2 2 2 2 2 2 51" xfId="26191"/>
    <cellStyle name="Normal 3 2 2 2 2 2 2 2 2 2 2 2 2 2 2 2 2 2 2 52" xfId="26192"/>
    <cellStyle name="Normal 3 2 2 2 2 2 2 2 2 2 2 2 2 2 2 2 2 2 2 6" xfId="26193"/>
    <cellStyle name="Normal 3 2 2 2 2 2 2 2 2 2 2 2 2 2 2 2 2 2 2 7" xfId="26194"/>
    <cellStyle name="Normal 3 2 2 2 2 2 2 2 2 2 2 2 2 2 2 2 2 2 2 8" xfId="26195"/>
    <cellStyle name="Normal 3 2 2 2 2 2 2 2 2 2 2 2 2 2 2 2 2 2 2 9" xfId="26196"/>
    <cellStyle name="Normal 3 2 2 2 2 2 2 2 2 2 2 2 2 2 2 2 2 2 20" xfId="26197"/>
    <cellStyle name="Normal 3 2 2 2 2 2 2 2 2 2 2 2 2 2 2 2 2 2 21" xfId="26198"/>
    <cellStyle name="Normal 3 2 2 2 2 2 2 2 2 2 2 2 2 2 2 2 2 2 22" xfId="26199"/>
    <cellStyle name="Normal 3 2 2 2 2 2 2 2 2 2 2 2 2 2 2 2 2 2 23" xfId="26200"/>
    <cellStyle name="Normal 3 2 2 2 2 2 2 2 2 2 2 2 2 2 2 2 2 2 23 2" xfId="26201"/>
    <cellStyle name="Normal 3 2 2 2 2 2 2 2 2 2 2 2 2 2 2 2 2 2 23 3" xfId="26202"/>
    <cellStyle name="Normal 3 2 2 2 2 2 2 2 2 2 2 2 2 2 2 2 2 2 23 4" xfId="26203"/>
    <cellStyle name="Normal 3 2 2 2 2 2 2 2 2 2 2 2 2 2 2 2 2 2 23 5" xfId="26204"/>
    <cellStyle name="Normal 3 2 2 2 2 2 2 2 2 2 2 2 2 2 2 2 2 2 23 6" xfId="26205"/>
    <cellStyle name="Normal 3 2 2 2 2 2 2 2 2 2 2 2 2 2 2 2 2 2 23 7" xfId="26206"/>
    <cellStyle name="Normal 3 2 2 2 2 2 2 2 2 2 2 2 2 2 2 2 2 2 24" xfId="26207"/>
    <cellStyle name="Normal 3 2 2 2 2 2 2 2 2 2 2 2 2 2 2 2 2 2 25" xfId="26208"/>
    <cellStyle name="Normal 3 2 2 2 2 2 2 2 2 2 2 2 2 2 2 2 2 2 26" xfId="26209"/>
    <cellStyle name="Normal 3 2 2 2 2 2 2 2 2 2 2 2 2 2 2 2 2 2 27" xfId="26210"/>
    <cellStyle name="Normal 3 2 2 2 2 2 2 2 2 2 2 2 2 2 2 2 2 2 28" xfId="26211"/>
    <cellStyle name="Normal 3 2 2 2 2 2 2 2 2 2 2 2 2 2 2 2 2 2 29" xfId="26212"/>
    <cellStyle name="Normal 3 2 2 2 2 2 2 2 2 2 2 2 2 2 2 2 2 2 3" xfId="26213"/>
    <cellStyle name="Normal 3 2 2 2 2 2 2 2 2 2 2 2 2 2 2 2 2 2 30" xfId="26214"/>
    <cellStyle name="Normal 3 2 2 2 2 2 2 2 2 2 2 2 2 2 2 2 2 2 31" xfId="26215"/>
    <cellStyle name="Normal 3 2 2 2 2 2 2 2 2 2 2 2 2 2 2 2 2 2 32" xfId="26216"/>
    <cellStyle name="Normal 3 2 2 2 2 2 2 2 2 2 2 2 2 2 2 2 2 2 33" xfId="26217"/>
    <cellStyle name="Normal 3 2 2 2 2 2 2 2 2 2 2 2 2 2 2 2 2 2 34" xfId="26218"/>
    <cellStyle name="Normal 3 2 2 2 2 2 2 2 2 2 2 2 2 2 2 2 2 2 35" xfId="26219"/>
    <cellStyle name="Normal 3 2 2 2 2 2 2 2 2 2 2 2 2 2 2 2 2 2 36" xfId="26220"/>
    <cellStyle name="Normal 3 2 2 2 2 2 2 2 2 2 2 2 2 2 2 2 2 2 37" xfId="26221"/>
    <cellStyle name="Normal 3 2 2 2 2 2 2 2 2 2 2 2 2 2 2 2 2 2 38" xfId="26222"/>
    <cellStyle name="Normal 3 2 2 2 2 2 2 2 2 2 2 2 2 2 2 2 2 2 39" xfId="26223"/>
    <cellStyle name="Normal 3 2 2 2 2 2 2 2 2 2 2 2 2 2 2 2 2 2 4" xfId="26224"/>
    <cellStyle name="Normal 3 2 2 2 2 2 2 2 2 2 2 2 2 2 2 2 2 2 40" xfId="26225"/>
    <cellStyle name="Normal 3 2 2 2 2 2 2 2 2 2 2 2 2 2 2 2 2 2 41" xfId="26226"/>
    <cellStyle name="Normal 3 2 2 2 2 2 2 2 2 2 2 2 2 2 2 2 2 2 42" xfId="26227"/>
    <cellStyle name="Normal 3 2 2 2 2 2 2 2 2 2 2 2 2 2 2 2 2 2 43" xfId="26228"/>
    <cellStyle name="Normal 3 2 2 2 2 2 2 2 2 2 2 2 2 2 2 2 2 2 44" xfId="26229"/>
    <cellStyle name="Normal 3 2 2 2 2 2 2 2 2 2 2 2 2 2 2 2 2 2 45" xfId="26230"/>
    <cellStyle name="Normal 3 2 2 2 2 2 2 2 2 2 2 2 2 2 2 2 2 2 46" xfId="26231"/>
    <cellStyle name="Normal 3 2 2 2 2 2 2 2 2 2 2 2 2 2 2 2 2 2 47" xfId="26232"/>
    <cellStyle name="Normal 3 2 2 2 2 2 2 2 2 2 2 2 2 2 2 2 2 2 48" xfId="26233"/>
    <cellStyle name="Normal 3 2 2 2 2 2 2 2 2 2 2 2 2 2 2 2 2 2 49" xfId="26234"/>
    <cellStyle name="Normal 3 2 2 2 2 2 2 2 2 2 2 2 2 2 2 2 2 2 5" xfId="26235"/>
    <cellStyle name="Normal 3 2 2 2 2 2 2 2 2 2 2 2 2 2 2 2 2 2 50" xfId="26236"/>
    <cellStyle name="Normal 3 2 2 2 2 2 2 2 2 2 2 2 2 2 2 2 2 2 51" xfId="26237"/>
    <cellStyle name="Normal 3 2 2 2 2 2 2 2 2 2 2 2 2 2 2 2 2 2 52" xfId="26238"/>
    <cellStyle name="Normal 3 2 2 2 2 2 2 2 2 2 2 2 2 2 2 2 2 2 53" xfId="26239"/>
    <cellStyle name="Normal 3 2 2 2 2 2 2 2 2 2 2 2 2 2 2 2 2 2 54" xfId="26240"/>
    <cellStyle name="Normal 3 2 2 2 2 2 2 2 2 2 2 2 2 2 2 2 2 2 55" xfId="26241"/>
    <cellStyle name="Normal 3 2 2 2 2 2 2 2 2 2 2 2 2 2 2 2 2 2 55 2" xfId="26242"/>
    <cellStyle name="Normal 3 2 2 2 2 2 2 2 2 2 2 2 2 2 2 2 2 2 55 3" xfId="26243"/>
    <cellStyle name="Normal 3 2 2 2 2 2 2 2 2 2 2 2 2 2 2 2 2 2 55 4" xfId="26244"/>
    <cellStyle name="Normal 3 2 2 2 2 2 2 2 2 2 2 2 2 2 2 2 2 2 56" xfId="26245"/>
    <cellStyle name="Normal 3 2 2 2 2 2 2 2 2 2 2 2 2 2 2 2 2 2 57" xfId="26246"/>
    <cellStyle name="Normal 3 2 2 2 2 2 2 2 2 2 2 2 2 2 2 2 2 2 6" xfId="26247"/>
    <cellStyle name="Normal 3 2 2 2 2 2 2 2 2 2 2 2 2 2 2 2 2 2 7" xfId="26248"/>
    <cellStyle name="Normal 3 2 2 2 2 2 2 2 2 2 2 2 2 2 2 2 2 2 8" xfId="26249"/>
    <cellStyle name="Normal 3 2 2 2 2 2 2 2 2 2 2 2 2 2 2 2 2 2 8 2" xfId="26250"/>
    <cellStyle name="Normal 3 2 2 2 2 2 2 2 2 2 2 2 2 2 2 2 2 2 8 3" xfId="26251"/>
    <cellStyle name="Normal 3 2 2 2 2 2 2 2 2 2 2 2 2 2 2 2 2 2 8 4" xfId="26252"/>
    <cellStyle name="Normal 3 2 2 2 2 2 2 2 2 2 2 2 2 2 2 2 2 2 9" xfId="26253"/>
    <cellStyle name="Normal 3 2 2 2 2 2 2 2 2 2 2 2 2 2 2 2 2 20" xfId="26254"/>
    <cellStyle name="Normal 3 2 2 2 2 2 2 2 2 2 2 2 2 2 2 2 2 21" xfId="26255"/>
    <cellStyle name="Normal 3 2 2 2 2 2 2 2 2 2 2 2 2 2 2 2 2 22" xfId="26256"/>
    <cellStyle name="Normal 3 2 2 2 2 2 2 2 2 2 2 2 2 2 2 2 2 23" xfId="26257"/>
    <cellStyle name="Normal 3 2 2 2 2 2 2 2 2 2 2 2 2 2 2 2 2 23 2" xfId="26258"/>
    <cellStyle name="Normal 3 2 2 2 2 2 2 2 2 2 2 2 2 2 2 2 2 23 3" xfId="26259"/>
    <cellStyle name="Normal 3 2 2 2 2 2 2 2 2 2 2 2 2 2 2 2 2 23 4" xfId="26260"/>
    <cellStyle name="Normal 3 2 2 2 2 2 2 2 2 2 2 2 2 2 2 2 2 23 5" xfId="26261"/>
    <cellStyle name="Normal 3 2 2 2 2 2 2 2 2 2 2 2 2 2 2 2 2 23 6" xfId="26262"/>
    <cellStyle name="Normal 3 2 2 2 2 2 2 2 2 2 2 2 2 2 2 2 2 23 7" xfId="26263"/>
    <cellStyle name="Normal 3 2 2 2 2 2 2 2 2 2 2 2 2 2 2 2 2 24" xfId="26264"/>
    <cellStyle name="Normal 3 2 2 2 2 2 2 2 2 2 2 2 2 2 2 2 2 25" xfId="26265"/>
    <cellStyle name="Normal 3 2 2 2 2 2 2 2 2 2 2 2 2 2 2 2 2 26" xfId="26266"/>
    <cellStyle name="Normal 3 2 2 2 2 2 2 2 2 2 2 2 2 2 2 2 2 27" xfId="26267"/>
    <cellStyle name="Normal 3 2 2 2 2 2 2 2 2 2 2 2 2 2 2 2 2 28" xfId="26268"/>
    <cellStyle name="Normal 3 2 2 2 2 2 2 2 2 2 2 2 2 2 2 2 2 29" xfId="26269"/>
    <cellStyle name="Normal 3 2 2 2 2 2 2 2 2 2 2 2 2 2 2 2 2 3" xfId="26270"/>
    <cellStyle name="Normal 3 2 2 2 2 2 2 2 2 2 2 2 2 2 2 2 2 3 2" xfId="26271"/>
    <cellStyle name="Normal 3 2 2 2 2 2 2 2 2 2 2 2 2 2 2 2 2 3 2 2" xfId="26272"/>
    <cellStyle name="Normal 3 2 2 2 2 2 2 2 2 2 2 2 2 2 2 2 2 3 2 3" xfId="26273"/>
    <cellStyle name="Normal 3 2 2 2 2 2 2 2 2 2 2 2 2 2 2 2 2 3 2 4" xfId="26274"/>
    <cellStyle name="Normal 3 2 2 2 2 2 2 2 2 2 2 2 2 2 2 2 2 3 3" xfId="26275"/>
    <cellStyle name="Normal 3 2 2 2 2 2 2 2 2 2 2 2 2 2 2 2 2 3 4" xfId="26276"/>
    <cellStyle name="Normal 3 2 2 2 2 2 2 2 2 2 2 2 2 2 2 2 2 3 5" xfId="26277"/>
    <cellStyle name="Normal 3 2 2 2 2 2 2 2 2 2 2 2 2 2 2 2 2 3 6" xfId="26278"/>
    <cellStyle name="Normal 3 2 2 2 2 2 2 2 2 2 2 2 2 2 2 2 2 30" xfId="26279"/>
    <cellStyle name="Normal 3 2 2 2 2 2 2 2 2 2 2 2 2 2 2 2 2 31" xfId="26280"/>
    <cellStyle name="Normal 3 2 2 2 2 2 2 2 2 2 2 2 2 2 2 2 2 32" xfId="26281"/>
    <cellStyle name="Normal 3 2 2 2 2 2 2 2 2 2 2 2 2 2 2 2 2 33" xfId="26282"/>
    <cellStyle name="Normal 3 2 2 2 2 2 2 2 2 2 2 2 2 2 2 2 2 34" xfId="26283"/>
    <cellStyle name="Normal 3 2 2 2 2 2 2 2 2 2 2 2 2 2 2 2 2 35" xfId="26284"/>
    <cellStyle name="Normal 3 2 2 2 2 2 2 2 2 2 2 2 2 2 2 2 2 36" xfId="26285"/>
    <cellStyle name="Normal 3 2 2 2 2 2 2 2 2 2 2 2 2 2 2 2 2 37" xfId="26286"/>
    <cellStyle name="Normal 3 2 2 2 2 2 2 2 2 2 2 2 2 2 2 2 2 38" xfId="26287"/>
    <cellStyle name="Normal 3 2 2 2 2 2 2 2 2 2 2 2 2 2 2 2 2 39" xfId="26288"/>
    <cellStyle name="Normal 3 2 2 2 2 2 2 2 2 2 2 2 2 2 2 2 2 4" xfId="26289"/>
    <cellStyle name="Normal 3 2 2 2 2 2 2 2 2 2 2 2 2 2 2 2 2 40" xfId="26290"/>
    <cellStyle name="Normal 3 2 2 2 2 2 2 2 2 2 2 2 2 2 2 2 2 41" xfId="26291"/>
    <cellStyle name="Normal 3 2 2 2 2 2 2 2 2 2 2 2 2 2 2 2 2 42" xfId="26292"/>
    <cellStyle name="Normal 3 2 2 2 2 2 2 2 2 2 2 2 2 2 2 2 2 43" xfId="26293"/>
    <cellStyle name="Normal 3 2 2 2 2 2 2 2 2 2 2 2 2 2 2 2 2 44" xfId="26294"/>
    <cellStyle name="Normal 3 2 2 2 2 2 2 2 2 2 2 2 2 2 2 2 2 45" xfId="26295"/>
    <cellStyle name="Normal 3 2 2 2 2 2 2 2 2 2 2 2 2 2 2 2 2 46" xfId="26296"/>
    <cellStyle name="Normal 3 2 2 2 2 2 2 2 2 2 2 2 2 2 2 2 2 47" xfId="26297"/>
    <cellStyle name="Normal 3 2 2 2 2 2 2 2 2 2 2 2 2 2 2 2 2 48" xfId="26298"/>
    <cellStyle name="Normal 3 2 2 2 2 2 2 2 2 2 2 2 2 2 2 2 2 49" xfId="26299"/>
    <cellStyle name="Normal 3 2 2 2 2 2 2 2 2 2 2 2 2 2 2 2 2 5" xfId="26300"/>
    <cellStyle name="Normal 3 2 2 2 2 2 2 2 2 2 2 2 2 2 2 2 2 50" xfId="26301"/>
    <cellStyle name="Normal 3 2 2 2 2 2 2 2 2 2 2 2 2 2 2 2 2 51" xfId="26302"/>
    <cellStyle name="Normal 3 2 2 2 2 2 2 2 2 2 2 2 2 2 2 2 2 52" xfId="26303"/>
    <cellStyle name="Normal 3 2 2 2 2 2 2 2 2 2 2 2 2 2 2 2 2 53" xfId="26304"/>
    <cellStyle name="Normal 3 2 2 2 2 2 2 2 2 2 2 2 2 2 2 2 2 54" xfId="26305"/>
    <cellStyle name="Normal 3 2 2 2 2 2 2 2 2 2 2 2 2 2 2 2 2 55" xfId="26306"/>
    <cellStyle name="Normal 3 2 2 2 2 2 2 2 2 2 2 2 2 2 2 2 2 55 2" xfId="26307"/>
    <cellStyle name="Normal 3 2 2 2 2 2 2 2 2 2 2 2 2 2 2 2 2 55 3" xfId="26308"/>
    <cellStyle name="Normal 3 2 2 2 2 2 2 2 2 2 2 2 2 2 2 2 2 55 4" xfId="26309"/>
    <cellStyle name="Normal 3 2 2 2 2 2 2 2 2 2 2 2 2 2 2 2 2 56" xfId="26310"/>
    <cellStyle name="Normal 3 2 2 2 2 2 2 2 2 2 2 2 2 2 2 2 2 57" xfId="26311"/>
    <cellStyle name="Normal 3 2 2 2 2 2 2 2 2 2 2 2 2 2 2 2 2 6" xfId="26312"/>
    <cellStyle name="Normal 3 2 2 2 2 2 2 2 2 2 2 2 2 2 2 2 2 7" xfId="26313"/>
    <cellStyle name="Normal 3 2 2 2 2 2 2 2 2 2 2 2 2 2 2 2 2 8" xfId="26314"/>
    <cellStyle name="Normal 3 2 2 2 2 2 2 2 2 2 2 2 2 2 2 2 2 8 2" xfId="26315"/>
    <cellStyle name="Normal 3 2 2 2 2 2 2 2 2 2 2 2 2 2 2 2 2 8 3" xfId="26316"/>
    <cellStyle name="Normal 3 2 2 2 2 2 2 2 2 2 2 2 2 2 2 2 2 8 4" xfId="26317"/>
    <cellStyle name="Normal 3 2 2 2 2 2 2 2 2 2 2 2 2 2 2 2 2 9" xfId="26318"/>
    <cellStyle name="Normal 3 2 2 2 2 2 2 2 2 2 2 2 2 2 2 2 20" xfId="26319"/>
    <cellStyle name="Normal 3 2 2 2 2 2 2 2 2 2 2 2 2 2 2 2 21" xfId="26320"/>
    <cellStyle name="Normal 3 2 2 2 2 2 2 2 2 2 2 2 2 2 2 2 22" xfId="26321"/>
    <cellStyle name="Normal 3 2 2 2 2 2 2 2 2 2 2 2 2 2 2 2 23" xfId="26322"/>
    <cellStyle name="Normal 3 2 2 2 2 2 2 2 2 2 2 2 2 2 2 2 24" xfId="26323"/>
    <cellStyle name="Normal 3 2 2 2 2 2 2 2 2 2 2 2 2 2 2 2 25" xfId="26324"/>
    <cellStyle name="Normal 3 2 2 2 2 2 2 2 2 2 2 2 2 2 2 2 26" xfId="26325"/>
    <cellStyle name="Normal 3 2 2 2 2 2 2 2 2 2 2 2 2 2 2 2 26 2" xfId="26326"/>
    <cellStyle name="Normal 3 2 2 2 2 2 2 2 2 2 2 2 2 2 2 2 26 3" xfId="26327"/>
    <cellStyle name="Normal 3 2 2 2 2 2 2 2 2 2 2 2 2 2 2 2 26 4" xfId="26328"/>
    <cellStyle name="Normal 3 2 2 2 2 2 2 2 2 2 2 2 2 2 2 2 26 5" xfId="26329"/>
    <cellStyle name="Normal 3 2 2 2 2 2 2 2 2 2 2 2 2 2 2 2 26 6" xfId="26330"/>
    <cellStyle name="Normal 3 2 2 2 2 2 2 2 2 2 2 2 2 2 2 2 26 7" xfId="26331"/>
    <cellStyle name="Normal 3 2 2 2 2 2 2 2 2 2 2 2 2 2 2 2 27" xfId="26332"/>
    <cellStyle name="Normal 3 2 2 2 2 2 2 2 2 2 2 2 2 2 2 2 28" xfId="26333"/>
    <cellStyle name="Normal 3 2 2 2 2 2 2 2 2 2 2 2 2 2 2 2 29" xfId="26334"/>
    <cellStyle name="Normal 3 2 2 2 2 2 2 2 2 2 2 2 2 2 2 2 3" xfId="26335"/>
    <cellStyle name="Normal 3 2 2 2 2 2 2 2 2 2 2 2 2 2 2 2 30" xfId="26336"/>
    <cellStyle name="Normal 3 2 2 2 2 2 2 2 2 2 2 2 2 2 2 2 31" xfId="26337"/>
    <cellStyle name="Normal 3 2 2 2 2 2 2 2 2 2 2 2 2 2 2 2 32" xfId="26338"/>
    <cellStyle name="Normal 3 2 2 2 2 2 2 2 2 2 2 2 2 2 2 2 33" xfId="26339"/>
    <cellStyle name="Normal 3 2 2 2 2 2 2 2 2 2 2 2 2 2 2 2 34" xfId="26340"/>
    <cellStyle name="Normal 3 2 2 2 2 2 2 2 2 2 2 2 2 2 2 2 35" xfId="26341"/>
    <cellStyle name="Normal 3 2 2 2 2 2 2 2 2 2 2 2 2 2 2 2 36" xfId="26342"/>
    <cellStyle name="Normal 3 2 2 2 2 2 2 2 2 2 2 2 2 2 2 2 37" xfId="26343"/>
    <cellStyle name="Normal 3 2 2 2 2 2 2 2 2 2 2 2 2 2 2 2 38" xfId="26344"/>
    <cellStyle name="Normal 3 2 2 2 2 2 2 2 2 2 2 2 2 2 2 2 39" xfId="26345"/>
    <cellStyle name="Normal 3 2 2 2 2 2 2 2 2 2 2 2 2 2 2 2 4" xfId="26346"/>
    <cellStyle name="Normal 3 2 2 2 2 2 2 2 2 2 2 2 2 2 2 2 40" xfId="26347"/>
    <cellStyle name="Normal 3 2 2 2 2 2 2 2 2 2 2 2 2 2 2 2 41" xfId="26348"/>
    <cellStyle name="Normal 3 2 2 2 2 2 2 2 2 2 2 2 2 2 2 2 42" xfId="26349"/>
    <cellStyle name="Normal 3 2 2 2 2 2 2 2 2 2 2 2 2 2 2 2 43" xfId="26350"/>
    <cellStyle name="Normal 3 2 2 2 2 2 2 2 2 2 2 2 2 2 2 2 44" xfId="26351"/>
    <cellStyle name="Normal 3 2 2 2 2 2 2 2 2 2 2 2 2 2 2 2 45" xfId="26352"/>
    <cellStyle name="Normal 3 2 2 2 2 2 2 2 2 2 2 2 2 2 2 2 46" xfId="26353"/>
    <cellStyle name="Normal 3 2 2 2 2 2 2 2 2 2 2 2 2 2 2 2 47" xfId="26354"/>
    <cellStyle name="Normal 3 2 2 2 2 2 2 2 2 2 2 2 2 2 2 2 48" xfId="26355"/>
    <cellStyle name="Normal 3 2 2 2 2 2 2 2 2 2 2 2 2 2 2 2 49" xfId="26356"/>
    <cellStyle name="Normal 3 2 2 2 2 2 2 2 2 2 2 2 2 2 2 2 5" xfId="26357"/>
    <cellStyle name="Normal 3 2 2 2 2 2 2 2 2 2 2 2 2 2 2 2 5 2" xfId="26358"/>
    <cellStyle name="Normal 3 2 2 2 2 2 2 2 2 2 2 2 2 2 2 2 5 2 2" xfId="26359"/>
    <cellStyle name="Normal 3 2 2 2 2 2 2 2 2 2 2 2 2 2 2 2 5 2 3" xfId="26360"/>
    <cellStyle name="Normal 3 2 2 2 2 2 2 2 2 2 2 2 2 2 2 2 5 2 4" xfId="26361"/>
    <cellStyle name="Normal 3 2 2 2 2 2 2 2 2 2 2 2 2 2 2 2 5 3" xfId="26362"/>
    <cellStyle name="Normal 3 2 2 2 2 2 2 2 2 2 2 2 2 2 2 2 5 4" xfId="26363"/>
    <cellStyle name="Normal 3 2 2 2 2 2 2 2 2 2 2 2 2 2 2 2 5 5" xfId="26364"/>
    <cellStyle name="Normal 3 2 2 2 2 2 2 2 2 2 2 2 2 2 2 2 5 6" xfId="26365"/>
    <cellStyle name="Normal 3 2 2 2 2 2 2 2 2 2 2 2 2 2 2 2 50" xfId="26366"/>
    <cellStyle name="Normal 3 2 2 2 2 2 2 2 2 2 2 2 2 2 2 2 51" xfId="26367"/>
    <cellStyle name="Normal 3 2 2 2 2 2 2 2 2 2 2 2 2 2 2 2 52" xfId="26368"/>
    <cellStyle name="Normal 3 2 2 2 2 2 2 2 2 2 2 2 2 2 2 2 53" xfId="26369"/>
    <cellStyle name="Normal 3 2 2 2 2 2 2 2 2 2 2 2 2 2 2 2 54" xfId="26370"/>
    <cellStyle name="Normal 3 2 2 2 2 2 2 2 2 2 2 2 2 2 2 2 55" xfId="26371"/>
    <cellStyle name="Normal 3 2 2 2 2 2 2 2 2 2 2 2 2 2 2 2 56" xfId="26372"/>
    <cellStyle name="Normal 3 2 2 2 2 2 2 2 2 2 2 2 2 2 2 2 57" xfId="26373"/>
    <cellStyle name="Normal 3 2 2 2 2 2 2 2 2 2 2 2 2 2 2 2 58" xfId="26374"/>
    <cellStyle name="Normal 3 2 2 2 2 2 2 2 2 2 2 2 2 2 2 2 58 2" xfId="26375"/>
    <cellStyle name="Normal 3 2 2 2 2 2 2 2 2 2 2 2 2 2 2 2 58 3" xfId="26376"/>
    <cellStyle name="Normal 3 2 2 2 2 2 2 2 2 2 2 2 2 2 2 2 58 4" xfId="26377"/>
    <cellStyle name="Normal 3 2 2 2 2 2 2 2 2 2 2 2 2 2 2 2 59" xfId="26378"/>
    <cellStyle name="Normal 3 2 2 2 2 2 2 2 2 2 2 2 2 2 2 2 6" xfId="26379"/>
    <cellStyle name="Normal 3 2 2 2 2 2 2 2 2 2 2 2 2 2 2 2 60" xfId="26380"/>
    <cellStyle name="Normal 3 2 2 2 2 2 2 2 2 2 2 2 2 2 2 2 7" xfId="26381"/>
    <cellStyle name="Normal 3 2 2 2 2 2 2 2 2 2 2 2 2 2 2 2 8" xfId="26382"/>
    <cellStyle name="Normal 3 2 2 2 2 2 2 2 2 2 2 2 2 2 2 2 9" xfId="26383"/>
    <cellStyle name="Normal 3 2 2 2 2 2 2 2 2 2 2 2 2 2 2 20" xfId="26384"/>
    <cellStyle name="Normal 3 2 2 2 2 2 2 2 2 2 2 2 2 2 2 21" xfId="26385"/>
    <cellStyle name="Normal 3 2 2 2 2 2 2 2 2 2 2 2 2 2 2 22" xfId="26386"/>
    <cellStyle name="Normal 3 2 2 2 2 2 2 2 2 2 2 2 2 2 2 23" xfId="26387"/>
    <cellStyle name="Normal 3 2 2 2 2 2 2 2 2 2 2 2 2 2 2 24" xfId="26388"/>
    <cellStyle name="Normal 3 2 2 2 2 2 2 2 2 2 2 2 2 2 2 25" xfId="26389"/>
    <cellStyle name="Normal 3 2 2 2 2 2 2 2 2 2 2 2 2 2 2 26" xfId="26390"/>
    <cellStyle name="Normal 3 2 2 2 2 2 2 2 2 2 2 2 2 2 2 27" xfId="26391"/>
    <cellStyle name="Normal 3 2 2 2 2 2 2 2 2 2 2 2 2 2 2 28" xfId="26392"/>
    <cellStyle name="Normal 3 2 2 2 2 2 2 2 2 2 2 2 2 2 2 28 2" xfId="26393"/>
    <cellStyle name="Normal 3 2 2 2 2 2 2 2 2 2 2 2 2 2 2 28 3" xfId="26394"/>
    <cellStyle name="Normal 3 2 2 2 2 2 2 2 2 2 2 2 2 2 2 28 4" xfId="26395"/>
    <cellStyle name="Normal 3 2 2 2 2 2 2 2 2 2 2 2 2 2 2 28 5" xfId="26396"/>
    <cellStyle name="Normal 3 2 2 2 2 2 2 2 2 2 2 2 2 2 2 28 6" xfId="26397"/>
    <cellStyle name="Normal 3 2 2 2 2 2 2 2 2 2 2 2 2 2 2 28 7" xfId="26398"/>
    <cellStyle name="Normal 3 2 2 2 2 2 2 2 2 2 2 2 2 2 2 29" xfId="26399"/>
    <cellStyle name="Normal 3 2 2 2 2 2 2 2 2 2 2 2 2 2 2 3" xfId="26400"/>
    <cellStyle name="Normal 3 2 2 2 2 2 2 2 2 2 2 2 2 2 2 30" xfId="26401"/>
    <cellStyle name="Normal 3 2 2 2 2 2 2 2 2 2 2 2 2 2 2 31" xfId="26402"/>
    <cellStyle name="Normal 3 2 2 2 2 2 2 2 2 2 2 2 2 2 2 32" xfId="26403"/>
    <cellStyle name="Normal 3 2 2 2 2 2 2 2 2 2 2 2 2 2 2 33" xfId="26404"/>
    <cellStyle name="Normal 3 2 2 2 2 2 2 2 2 2 2 2 2 2 2 34" xfId="26405"/>
    <cellStyle name="Normal 3 2 2 2 2 2 2 2 2 2 2 2 2 2 2 35" xfId="26406"/>
    <cellStyle name="Normal 3 2 2 2 2 2 2 2 2 2 2 2 2 2 2 36" xfId="26407"/>
    <cellStyle name="Normal 3 2 2 2 2 2 2 2 2 2 2 2 2 2 2 37" xfId="26408"/>
    <cellStyle name="Normal 3 2 2 2 2 2 2 2 2 2 2 2 2 2 2 38" xfId="26409"/>
    <cellStyle name="Normal 3 2 2 2 2 2 2 2 2 2 2 2 2 2 2 39" xfId="26410"/>
    <cellStyle name="Normal 3 2 2 2 2 2 2 2 2 2 2 2 2 2 2 4" xfId="26411"/>
    <cellStyle name="Normal 3 2 2 2 2 2 2 2 2 2 2 2 2 2 2 40" xfId="26412"/>
    <cellStyle name="Normal 3 2 2 2 2 2 2 2 2 2 2 2 2 2 2 41" xfId="26413"/>
    <cellStyle name="Normal 3 2 2 2 2 2 2 2 2 2 2 2 2 2 2 42" xfId="26414"/>
    <cellStyle name="Normal 3 2 2 2 2 2 2 2 2 2 2 2 2 2 2 43" xfId="26415"/>
    <cellStyle name="Normal 3 2 2 2 2 2 2 2 2 2 2 2 2 2 2 44" xfId="26416"/>
    <cellStyle name="Normal 3 2 2 2 2 2 2 2 2 2 2 2 2 2 2 45" xfId="26417"/>
    <cellStyle name="Normal 3 2 2 2 2 2 2 2 2 2 2 2 2 2 2 46" xfId="26418"/>
    <cellStyle name="Normal 3 2 2 2 2 2 2 2 2 2 2 2 2 2 2 47" xfId="26419"/>
    <cellStyle name="Normal 3 2 2 2 2 2 2 2 2 2 2 2 2 2 2 48" xfId="26420"/>
    <cellStyle name="Normal 3 2 2 2 2 2 2 2 2 2 2 2 2 2 2 49" xfId="26421"/>
    <cellStyle name="Normal 3 2 2 2 2 2 2 2 2 2 2 2 2 2 2 5" xfId="26422"/>
    <cellStyle name="Normal 3 2 2 2 2 2 2 2 2 2 2 2 2 2 2 5 10" xfId="26423"/>
    <cellStyle name="Normal 3 2 2 2 2 2 2 2 2 2 2 2 2 2 2 5 11" xfId="26424"/>
    <cellStyle name="Normal 3 2 2 2 2 2 2 2 2 2 2 2 2 2 2 5 2" xfId="26425"/>
    <cellStyle name="Normal 3 2 2 2 2 2 2 2 2 2 2 2 2 2 2 5 2 10" xfId="26426"/>
    <cellStyle name="Normal 3 2 2 2 2 2 2 2 2 2 2 2 2 2 2 5 2 11" xfId="26427"/>
    <cellStyle name="Normal 3 2 2 2 2 2 2 2 2 2 2 2 2 2 2 5 2 2" xfId="26428"/>
    <cellStyle name="Normal 3 2 2 2 2 2 2 2 2 2 2 2 2 2 2 5 2 2 2" xfId="26429"/>
    <cellStyle name="Normal 3 2 2 2 2 2 2 2 2 2 2 2 2 2 2 5 2 2 2 2" xfId="26430"/>
    <cellStyle name="Normal 3 2 2 2 2 2 2 2 2 2 2 2 2 2 2 5 2 2 2 3" xfId="26431"/>
    <cellStyle name="Normal 3 2 2 2 2 2 2 2 2 2 2 2 2 2 2 5 2 2 2 4" xfId="26432"/>
    <cellStyle name="Normal 3 2 2 2 2 2 2 2 2 2 2 2 2 2 2 5 2 2 3" xfId="26433"/>
    <cellStyle name="Normal 3 2 2 2 2 2 2 2 2 2 2 2 2 2 2 5 2 2 4" xfId="26434"/>
    <cellStyle name="Normal 3 2 2 2 2 2 2 2 2 2 2 2 2 2 2 5 2 2 5" xfId="26435"/>
    <cellStyle name="Normal 3 2 2 2 2 2 2 2 2 2 2 2 2 2 2 5 2 2 6" xfId="26436"/>
    <cellStyle name="Normal 3 2 2 2 2 2 2 2 2 2 2 2 2 2 2 5 2 3" xfId="26437"/>
    <cellStyle name="Normal 3 2 2 2 2 2 2 2 2 2 2 2 2 2 2 5 2 4" xfId="26438"/>
    <cellStyle name="Normal 3 2 2 2 2 2 2 2 2 2 2 2 2 2 2 5 2 5" xfId="26439"/>
    <cellStyle name="Normal 3 2 2 2 2 2 2 2 2 2 2 2 2 2 2 5 2 6" xfId="26440"/>
    <cellStyle name="Normal 3 2 2 2 2 2 2 2 2 2 2 2 2 2 2 5 2 7" xfId="26441"/>
    <cellStyle name="Normal 3 2 2 2 2 2 2 2 2 2 2 2 2 2 2 5 2 8" xfId="26442"/>
    <cellStyle name="Normal 3 2 2 2 2 2 2 2 2 2 2 2 2 2 2 5 2 8 2" xfId="26443"/>
    <cellStyle name="Normal 3 2 2 2 2 2 2 2 2 2 2 2 2 2 2 5 2 8 3" xfId="26444"/>
    <cellStyle name="Normal 3 2 2 2 2 2 2 2 2 2 2 2 2 2 2 5 2 8 4" xfId="26445"/>
    <cellStyle name="Normal 3 2 2 2 2 2 2 2 2 2 2 2 2 2 2 5 2 9" xfId="26446"/>
    <cellStyle name="Normal 3 2 2 2 2 2 2 2 2 2 2 2 2 2 2 5 3" xfId="26447"/>
    <cellStyle name="Normal 3 2 2 2 2 2 2 2 2 2 2 2 2 2 2 5 3 2" xfId="26448"/>
    <cellStyle name="Normal 3 2 2 2 2 2 2 2 2 2 2 2 2 2 2 5 3 2 2" xfId="26449"/>
    <cellStyle name="Normal 3 2 2 2 2 2 2 2 2 2 2 2 2 2 2 5 3 2 3" xfId="26450"/>
    <cellStyle name="Normal 3 2 2 2 2 2 2 2 2 2 2 2 2 2 2 5 3 2 4" xfId="26451"/>
    <cellStyle name="Normal 3 2 2 2 2 2 2 2 2 2 2 2 2 2 2 5 3 3" xfId="26452"/>
    <cellStyle name="Normal 3 2 2 2 2 2 2 2 2 2 2 2 2 2 2 5 3 4" xfId="26453"/>
    <cellStyle name="Normal 3 2 2 2 2 2 2 2 2 2 2 2 2 2 2 5 3 5" xfId="26454"/>
    <cellStyle name="Normal 3 2 2 2 2 2 2 2 2 2 2 2 2 2 2 5 3 6" xfId="26455"/>
    <cellStyle name="Normal 3 2 2 2 2 2 2 2 2 2 2 2 2 2 2 5 4" xfId="26456"/>
    <cellStyle name="Normal 3 2 2 2 2 2 2 2 2 2 2 2 2 2 2 5 5" xfId="26457"/>
    <cellStyle name="Normal 3 2 2 2 2 2 2 2 2 2 2 2 2 2 2 5 6" xfId="26458"/>
    <cellStyle name="Normal 3 2 2 2 2 2 2 2 2 2 2 2 2 2 2 5 7" xfId="26459"/>
    <cellStyle name="Normal 3 2 2 2 2 2 2 2 2 2 2 2 2 2 2 5 8" xfId="26460"/>
    <cellStyle name="Normal 3 2 2 2 2 2 2 2 2 2 2 2 2 2 2 5 8 2" xfId="26461"/>
    <cellStyle name="Normal 3 2 2 2 2 2 2 2 2 2 2 2 2 2 2 5 8 3" xfId="26462"/>
    <cellStyle name="Normal 3 2 2 2 2 2 2 2 2 2 2 2 2 2 2 5 8 4" xfId="26463"/>
    <cellStyle name="Normal 3 2 2 2 2 2 2 2 2 2 2 2 2 2 2 5 9" xfId="26464"/>
    <cellStyle name="Normal 3 2 2 2 2 2 2 2 2 2 2 2 2 2 2 50" xfId="26465"/>
    <cellStyle name="Normal 3 2 2 2 2 2 2 2 2 2 2 2 2 2 2 51" xfId="26466"/>
    <cellStyle name="Normal 3 2 2 2 2 2 2 2 2 2 2 2 2 2 2 52" xfId="26467"/>
    <cellStyle name="Normal 3 2 2 2 2 2 2 2 2 2 2 2 2 2 2 53" xfId="26468"/>
    <cellStyle name="Normal 3 2 2 2 2 2 2 2 2 2 2 2 2 2 2 54" xfId="26469"/>
    <cellStyle name="Normal 3 2 2 2 2 2 2 2 2 2 2 2 2 2 2 55" xfId="26470"/>
    <cellStyle name="Normal 3 2 2 2 2 2 2 2 2 2 2 2 2 2 2 56" xfId="26471"/>
    <cellStyle name="Normal 3 2 2 2 2 2 2 2 2 2 2 2 2 2 2 57" xfId="26472"/>
    <cellStyle name="Normal 3 2 2 2 2 2 2 2 2 2 2 2 2 2 2 58" xfId="26473"/>
    <cellStyle name="Normal 3 2 2 2 2 2 2 2 2 2 2 2 2 2 2 59" xfId="26474"/>
    <cellStyle name="Normal 3 2 2 2 2 2 2 2 2 2 2 2 2 2 2 6" xfId="26475"/>
    <cellStyle name="Normal 3 2 2 2 2 2 2 2 2 2 2 2 2 2 2 60" xfId="26476"/>
    <cellStyle name="Normal 3 2 2 2 2 2 2 2 2 2 2 2 2 2 2 60 2" xfId="26477"/>
    <cellStyle name="Normal 3 2 2 2 2 2 2 2 2 2 2 2 2 2 2 60 3" xfId="26478"/>
    <cellStyle name="Normal 3 2 2 2 2 2 2 2 2 2 2 2 2 2 2 60 4" xfId="26479"/>
    <cellStyle name="Normal 3 2 2 2 2 2 2 2 2 2 2 2 2 2 2 61" xfId="26480"/>
    <cellStyle name="Normal 3 2 2 2 2 2 2 2 2 2 2 2 2 2 2 62" xfId="26481"/>
    <cellStyle name="Normal 3 2 2 2 2 2 2 2 2 2 2 2 2 2 2 7" xfId="26482"/>
    <cellStyle name="Normal 3 2 2 2 2 2 2 2 2 2 2 2 2 2 2 7 2" xfId="26483"/>
    <cellStyle name="Normal 3 2 2 2 2 2 2 2 2 2 2 2 2 2 2 7 2 2" xfId="26484"/>
    <cellStyle name="Normal 3 2 2 2 2 2 2 2 2 2 2 2 2 2 2 7 2 3" xfId="26485"/>
    <cellStyle name="Normal 3 2 2 2 2 2 2 2 2 2 2 2 2 2 2 7 2 4" xfId="26486"/>
    <cellStyle name="Normal 3 2 2 2 2 2 2 2 2 2 2 2 2 2 2 7 3" xfId="26487"/>
    <cellStyle name="Normal 3 2 2 2 2 2 2 2 2 2 2 2 2 2 2 7 4" xfId="26488"/>
    <cellStyle name="Normal 3 2 2 2 2 2 2 2 2 2 2 2 2 2 2 7 5" xfId="26489"/>
    <cellStyle name="Normal 3 2 2 2 2 2 2 2 2 2 2 2 2 2 2 7 6" xfId="26490"/>
    <cellStyle name="Normal 3 2 2 2 2 2 2 2 2 2 2 2 2 2 2 8" xfId="26491"/>
    <cellStyle name="Normal 3 2 2 2 2 2 2 2 2 2 2 2 2 2 2 9" xfId="26492"/>
    <cellStyle name="Normal 3 2 2 2 2 2 2 2 2 2 2 2 2 2 20" xfId="26493"/>
    <cellStyle name="Normal 3 2 2 2 2 2 2 2 2 2 2 2 2 2 21" xfId="26494"/>
    <cellStyle name="Normal 3 2 2 2 2 2 2 2 2 2 2 2 2 2 21 2" xfId="26495"/>
    <cellStyle name="Normal 3 2 2 2 2 2 2 2 2 2 2 2 2 2 21 3" xfId="26496"/>
    <cellStyle name="Normal 3 2 2 2 2 2 2 2 2 2 2 2 2 2 21 4" xfId="26497"/>
    <cellStyle name="Normal 3 2 2 2 2 2 2 2 2 2 2 2 2 2 22" xfId="26498"/>
    <cellStyle name="Normal 3 2 2 2 2 2 2 2 2 2 2 2 2 2 23" xfId="26499"/>
    <cellStyle name="Normal 3 2 2 2 2 2 2 2 2 2 2 2 2 2 24" xfId="26500"/>
    <cellStyle name="Normal 3 2 2 2 2 2 2 2 2 2 2 2 2 2 25" xfId="26501"/>
    <cellStyle name="Normal 3 2 2 2 2 2 2 2 2 2 2 2 2 2 26" xfId="26502"/>
    <cellStyle name="Normal 3 2 2 2 2 2 2 2 2 2 2 2 2 2 27" xfId="26503"/>
    <cellStyle name="Normal 3 2 2 2 2 2 2 2 2 2 2 2 2 2 28" xfId="26504"/>
    <cellStyle name="Normal 3 2 2 2 2 2 2 2 2 2 2 2 2 2 29" xfId="26505"/>
    <cellStyle name="Normal 3 2 2 2 2 2 2 2 2 2 2 2 2 2 3" xfId="26506"/>
    <cellStyle name="Normal 3 2 2 2 2 2 2 2 2 2 2 2 2 2 30" xfId="26507"/>
    <cellStyle name="Normal 3 2 2 2 2 2 2 2 2 2 2 2 2 2 31" xfId="26508"/>
    <cellStyle name="Normal 3 2 2 2 2 2 2 2 2 2 2 2 2 2 32" xfId="26509"/>
    <cellStyle name="Normal 3 2 2 2 2 2 2 2 2 2 2 2 2 2 33" xfId="26510"/>
    <cellStyle name="Normal 3 2 2 2 2 2 2 2 2 2 2 2 2 2 34" xfId="26511"/>
    <cellStyle name="Normal 3 2 2 2 2 2 2 2 2 2 2 2 2 2 35" xfId="26512"/>
    <cellStyle name="Normal 3 2 2 2 2 2 2 2 2 2 2 2 2 2 36" xfId="26513"/>
    <cellStyle name="Normal 3 2 2 2 2 2 2 2 2 2 2 2 2 2 36 2" xfId="26514"/>
    <cellStyle name="Normal 3 2 2 2 2 2 2 2 2 2 2 2 2 2 36 3" xfId="26515"/>
    <cellStyle name="Normal 3 2 2 2 2 2 2 2 2 2 2 2 2 2 36 4" xfId="26516"/>
    <cellStyle name="Normal 3 2 2 2 2 2 2 2 2 2 2 2 2 2 36 5" xfId="26517"/>
    <cellStyle name="Normal 3 2 2 2 2 2 2 2 2 2 2 2 2 2 36 6" xfId="26518"/>
    <cellStyle name="Normal 3 2 2 2 2 2 2 2 2 2 2 2 2 2 36 7" xfId="26519"/>
    <cellStyle name="Normal 3 2 2 2 2 2 2 2 2 2 2 2 2 2 37" xfId="26520"/>
    <cellStyle name="Normal 3 2 2 2 2 2 2 2 2 2 2 2 2 2 38" xfId="26521"/>
    <cellStyle name="Normal 3 2 2 2 2 2 2 2 2 2 2 2 2 2 39" xfId="26522"/>
    <cellStyle name="Normal 3 2 2 2 2 2 2 2 2 2 2 2 2 2 4" xfId="26523"/>
    <cellStyle name="Normal 3 2 2 2 2 2 2 2 2 2 2 2 2 2 40" xfId="26524"/>
    <cellStyle name="Normal 3 2 2 2 2 2 2 2 2 2 2 2 2 2 41" xfId="26525"/>
    <cellStyle name="Normal 3 2 2 2 2 2 2 2 2 2 2 2 2 2 42" xfId="26526"/>
    <cellStyle name="Normal 3 2 2 2 2 2 2 2 2 2 2 2 2 2 43" xfId="26527"/>
    <cellStyle name="Normal 3 2 2 2 2 2 2 2 2 2 2 2 2 2 44" xfId="26528"/>
    <cellStyle name="Normal 3 2 2 2 2 2 2 2 2 2 2 2 2 2 45" xfId="26529"/>
    <cellStyle name="Normal 3 2 2 2 2 2 2 2 2 2 2 2 2 2 46" xfId="26530"/>
    <cellStyle name="Normal 3 2 2 2 2 2 2 2 2 2 2 2 2 2 47" xfId="26531"/>
    <cellStyle name="Normal 3 2 2 2 2 2 2 2 2 2 2 2 2 2 48" xfId="26532"/>
    <cellStyle name="Normal 3 2 2 2 2 2 2 2 2 2 2 2 2 2 49" xfId="26533"/>
    <cellStyle name="Normal 3 2 2 2 2 2 2 2 2 2 2 2 2 2 5" xfId="26534"/>
    <cellStyle name="Normal 3 2 2 2 2 2 2 2 2 2 2 2 2 2 50" xfId="26535"/>
    <cellStyle name="Normal 3 2 2 2 2 2 2 2 2 2 2 2 2 2 51" xfId="26536"/>
    <cellStyle name="Normal 3 2 2 2 2 2 2 2 2 2 2 2 2 2 52" xfId="26537"/>
    <cellStyle name="Normal 3 2 2 2 2 2 2 2 2 2 2 2 2 2 53" xfId="26538"/>
    <cellStyle name="Normal 3 2 2 2 2 2 2 2 2 2 2 2 2 2 54" xfId="26539"/>
    <cellStyle name="Normal 3 2 2 2 2 2 2 2 2 2 2 2 2 2 55" xfId="26540"/>
    <cellStyle name="Normal 3 2 2 2 2 2 2 2 2 2 2 2 2 2 56" xfId="26541"/>
    <cellStyle name="Normal 3 2 2 2 2 2 2 2 2 2 2 2 2 2 57" xfId="26542"/>
    <cellStyle name="Normal 3 2 2 2 2 2 2 2 2 2 2 2 2 2 58" xfId="26543"/>
    <cellStyle name="Normal 3 2 2 2 2 2 2 2 2 2 2 2 2 2 59" xfId="26544"/>
    <cellStyle name="Normal 3 2 2 2 2 2 2 2 2 2 2 2 2 2 6" xfId="26545"/>
    <cellStyle name="Normal 3 2 2 2 2 2 2 2 2 2 2 2 2 2 60" xfId="26546"/>
    <cellStyle name="Normal 3 2 2 2 2 2 2 2 2 2 2 2 2 2 61" xfId="26547"/>
    <cellStyle name="Normal 3 2 2 2 2 2 2 2 2 2 2 2 2 2 62" xfId="26548"/>
    <cellStyle name="Normal 3 2 2 2 2 2 2 2 2 2 2 2 2 2 63" xfId="26549"/>
    <cellStyle name="Normal 3 2 2 2 2 2 2 2 2 2 2 2 2 2 64" xfId="26550"/>
    <cellStyle name="Normal 3 2 2 2 2 2 2 2 2 2 2 2 2 2 65" xfId="26551"/>
    <cellStyle name="Normal 3 2 2 2 2 2 2 2 2 2 2 2 2 2 66" xfId="26552"/>
    <cellStyle name="Normal 3 2 2 2 2 2 2 2 2 2 2 2 2 2 67" xfId="26553"/>
    <cellStyle name="Normal 3 2 2 2 2 2 2 2 2 2 2 2 2 2 68" xfId="26554"/>
    <cellStyle name="Normal 3 2 2 2 2 2 2 2 2 2 2 2 2 2 68 2" xfId="26555"/>
    <cellStyle name="Normal 3 2 2 2 2 2 2 2 2 2 2 2 2 2 68 3" xfId="26556"/>
    <cellStyle name="Normal 3 2 2 2 2 2 2 2 2 2 2 2 2 2 68 4" xfId="26557"/>
    <cellStyle name="Normal 3 2 2 2 2 2 2 2 2 2 2 2 2 2 69" xfId="26558"/>
    <cellStyle name="Normal 3 2 2 2 2 2 2 2 2 2 2 2 2 2 7" xfId="26559"/>
    <cellStyle name="Normal 3 2 2 2 2 2 2 2 2 2 2 2 2 2 70" xfId="26560"/>
    <cellStyle name="Normal 3 2 2 2 2 2 2 2 2 2 2 2 2 2 8" xfId="26561"/>
    <cellStyle name="Normal 3 2 2 2 2 2 2 2 2 2 2 2 2 2 9" xfId="26562"/>
    <cellStyle name="Normal 3 2 2 2 2 2 2 2 2 2 2 2 2 20" xfId="26563"/>
    <cellStyle name="Normal 3 2 2 2 2 2 2 2 2 2 2 2 2 21" xfId="26564"/>
    <cellStyle name="Normal 3 2 2 2 2 2 2 2 2 2 2 2 2 22" xfId="26565"/>
    <cellStyle name="Normal 3 2 2 2 2 2 2 2 2 2 2 2 2 22 2" xfId="26566"/>
    <cellStyle name="Normal 3 2 2 2 2 2 2 2 2 2 2 2 2 22 3" xfId="26567"/>
    <cellStyle name="Normal 3 2 2 2 2 2 2 2 2 2 2 2 2 22 4" xfId="26568"/>
    <cellStyle name="Normal 3 2 2 2 2 2 2 2 2 2 2 2 2 23" xfId="26569"/>
    <cellStyle name="Normal 3 2 2 2 2 2 2 2 2 2 2 2 2 24" xfId="26570"/>
    <cellStyle name="Normal 3 2 2 2 2 2 2 2 2 2 2 2 2 25" xfId="26571"/>
    <cellStyle name="Normal 3 2 2 2 2 2 2 2 2 2 2 2 2 26" xfId="26572"/>
    <cellStyle name="Normal 3 2 2 2 2 2 2 2 2 2 2 2 2 27" xfId="26573"/>
    <cellStyle name="Normal 3 2 2 2 2 2 2 2 2 2 2 2 2 28" xfId="26574"/>
    <cellStyle name="Normal 3 2 2 2 2 2 2 2 2 2 2 2 2 29" xfId="26575"/>
    <cellStyle name="Normal 3 2 2 2 2 2 2 2 2 2 2 2 2 3" xfId="26576"/>
    <cellStyle name="Normal 3 2 2 2 2 2 2 2 2 2 2 2 2 30" xfId="26577"/>
    <cellStyle name="Normal 3 2 2 2 2 2 2 2 2 2 2 2 2 31" xfId="26578"/>
    <cellStyle name="Normal 3 2 2 2 2 2 2 2 2 2 2 2 2 32" xfId="26579"/>
    <cellStyle name="Normal 3 2 2 2 2 2 2 2 2 2 2 2 2 33" xfId="26580"/>
    <cellStyle name="Normal 3 2 2 2 2 2 2 2 2 2 2 2 2 34" xfId="26581"/>
    <cellStyle name="Normal 3 2 2 2 2 2 2 2 2 2 2 2 2 35" xfId="26582"/>
    <cellStyle name="Normal 3 2 2 2 2 2 2 2 2 2 2 2 2 36" xfId="26583"/>
    <cellStyle name="Normal 3 2 2 2 2 2 2 2 2 2 2 2 2 37" xfId="26584"/>
    <cellStyle name="Normal 3 2 2 2 2 2 2 2 2 2 2 2 2 37 2" xfId="26585"/>
    <cellStyle name="Normal 3 2 2 2 2 2 2 2 2 2 2 2 2 37 3" xfId="26586"/>
    <cellStyle name="Normal 3 2 2 2 2 2 2 2 2 2 2 2 2 37 4" xfId="26587"/>
    <cellStyle name="Normal 3 2 2 2 2 2 2 2 2 2 2 2 2 37 5" xfId="26588"/>
    <cellStyle name="Normal 3 2 2 2 2 2 2 2 2 2 2 2 2 37 6" xfId="26589"/>
    <cellStyle name="Normal 3 2 2 2 2 2 2 2 2 2 2 2 2 37 7" xfId="26590"/>
    <cellStyle name="Normal 3 2 2 2 2 2 2 2 2 2 2 2 2 38" xfId="26591"/>
    <cellStyle name="Normal 3 2 2 2 2 2 2 2 2 2 2 2 2 39" xfId="26592"/>
    <cellStyle name="Normal 3 2 2 2 2 2 2 2 2 2 2 2 2 4" xfId="26593"/>
    <cellStyle name="Normal 3 2 2 2 2 2 2 2 2 2 2 2 2 4 10" xfId="26594"/>
    <cellStyle name="Normal 3 2 2 2 2 2 2 2 2 2 2 2 2 4 11" xfId="26595"/>
    <cellStyle name="Normal 3 2 2 2 2 2 2 2 2 2 2 2 2 4 12" xfId="26596"/>
    <cellStyle name="Normal 3 2 2 2 2 2 2 2 2 2 2 2 2 4 13" xfId="26597"/>
    <cellStyle name="Normal 3 2 2 2 2 2 2 2 2 2 2 2 2 4 13 2" xfId="26598"/>
    <cellStyle name="Normal 3 2 2 2 2 2 2 2 2 2 2 2 2 4 13 3" xfId="26599"/>
    <cellStyle name="Normal 3 2 2 2 2 2 2 2 2 2 2 2 2 4 13 4" xfId="26600"/>
    <cellStyle name="Normal 3 2 2 2 2 2 2 2 2 2 2 2 2 4 14" xfId="26601"/>
    <cellStyle name="Normal 3 2 2 2 2 2 2 2 2 2 2 2 2 4 15" xfId="26602"/>
    <cellStyle name="Normal 3 2 2 2 2 2 2 2 2 2 2 2 2 4 16" xfId="26603"/>
    <cellStyle name="Normal 3 2 2 2 2 2 2 2 2 2 2 2 2 4 2" xfId="26604"/>
    <cellStyle name="Normal 3 2 2 2 2 2 2 2 2 2 2 2 2 4 2 10" xfId="26605"/>
    <cellStyle name="Normal 3 2 2 2 2 2 2 2 2 2 2 2 2 4 2 11" xfId="26606"/>
    <cellStyle name="Normal 3 2 2 2 2 2 2 2 2 2 2 2 2 4 2 11 2" xfId="26607"/>
    <cellStyle name="Normal 3 2 2 2 2 2 2 2 2 2 2 2 2 4 2 11 3" xfId="26608"/>
    <cellStyle name="Normal 3 2 2 2 2 2 2 2 2 2 2 2 2 4 2 11 4" xfId="26609"/>
    <cellStyle name="Normal 3 2 2 2 2 2 2 2 2 2 2 2 2 4 2 12" xfId="26610"/>
    <cellStyle name="Normal 3 2 2 2 2 2 2 2 2 2 2 2 2 4 2 13" xfId="26611"/>
    <cellStyle name="Normal 3 2 2 2 2 2 2 2 2 2 2 2 2 4 2 14" xfId="26612"/>
    <cellStyle name="Normal 3 2 2 2 2 2 2 2 2 2 2 2 2 4 2 2" xfId="26613"/>
    <cellStyle name="Normal 3 2 2 2 2 2 2 2 2 2 2 2 2 4 2 2 10" xfId="26614"/>
    <cellStyle name="Normal 3 2 2 2 2 2 2 2 2 2 2 2 2 4 2 2 11" xfId="26615"/>
    <cellStyle name="Normal 3 2 2 2 2 2 2 2 2 2 2 2 2 4 2 2 2" xfId="26616"/>
    <cellStyle name="Normal 3 2 2 2 2 2 2 2 2 2 2 2 2 4 2 2 2 10" xfId="26617"/>
    <cellStyle name="Normal 3 2 2 2 2 2 2 2 2 2 2 2 2 4 2 2 2 11" xfId="26618"/>
    <cellStyle name="Normal 3 2 2 2 2 2 2 2 2 2 2 2 2 4 2 2 2 2" xfId="26619"/>
    <cellStyle name="Normal 3 2 2 2 2 2 2 2 2 2 2 2 2 4 2 2 2 2 2" xfId="26620"/>
    <cellStyle name="Normal 3 2 2 2 2 2 2 2 2 2 2 2 2 4 2 2 2 2 2 2" xfId="26621"/>
    <cellStyle name="Normal 3 2 2 2 2 2 2 2 2 2 2 2 2 4 2 2 2 2 2 3" xfId="26622"/>
    <cellStyle name="Normal 3 2 2 2 2 2 2 2 2 2 2 2 2 4 2 2 2 2 2 4" xfId="26623"/>
    <cellStyle name="Normal 3 2 2 2 2 2 2 2 2 2 2 2 2 4 2 2 2 2 3" xfId="26624"/>
    <cellStyle name="Normal 3 2 2 2 2 2 2 2 2 2 2 2 2 4 2 2 2 2 4" xfId="26625"/>
    <cellStyle name="Normal 3 2 2 2 2 2 2 2 2 2 2 2 2 4 2 2 2 2 5" xfId="26626"/>
    <cellStyle name="Normal 3 2 2 2 2 2 2 2 2 2 2 2 2 4 2 2 2 2 6" xfId="26627"/>
    <cellStyle name="Normal 3 2 2 2 2 2 2 2 2 2 2 2 2 4 2 2 2 3" xfId="26628"/>
    <cellStyle name="Normal 3 2 2 2 2 2 2 2 2 2 2 2 2 4 2 2 2 4" xfId="26629"/>
    <cellStyle name="Normal 3 2 2 2 2 2 2 2 2 2 2 2 2 4 2 2 2 5" xfId="26630"/>
    <cellStyle name="Normal 3 2 2 2 2 2 2 2 2 2 2 2 2 4 2 2 2 6" xfId="26631"/>
    <cellStyle name="Normal 3 2 2 2 2 2 2 2 2 2 2 2 2 4 2 2 2 7" xfId="26632"/>
    <cellStyle name="Normal 3 2 2 2 2 2 2 2 2 2 2 2 2 4 2 2 2 8" xfId="26633"/>
    <cellStyle name="Normal 3 2 2 2 2 2 2 2 2 2 2 2 2 4 2 2 2 8 2" xfId="26634"/>
    <cellStyle name="Normal 3 2 2 2 2 2 2 2 2 2 2 2 2 4 2 2 2 8 3" xfId="26635"/>
    <cellStyle name="Normal 3 2 2 2 2 2 2 2 2 2 2 2 2 4 2 2 2 8 4" xfId="26636"/>
    <cellStyle name="Normal 3 2 2 2 2 2 2 2 2 2 2 2 2 4 2 2 2 9" xfId="26637"/>
    <cellStyle name="Normal 3 2 2 2 2 2 2 2 2 2 2 2 2 4 2 2 3" xfId="26638"/>
    <cellStyle name="Normal 3 2 2 2 2 2 2 2 2 2 2 2 2 4 2 2 3 2" xfId="26639"/>
    <cellStyle name="Normal 3 2 2 2 2 2 2 2 2 2 2 2 2 4 2 2 3 2 2" xfId="26640"/>
    <cellStyle name="Normal 3 2 2 2 2 2 2 2 2 2 2 2 2 4 2 2 3 2 3" xfId="26641"/>
    <cellStyle name="Normal 3 2 2 2 2 2 2 2 2 2 2 2 2 4 2 2 3 2 4" xfId="26642"/>
    <cellStyle name="Normal 3 2 2 2 2 2 2 2 2 2 2 2 2 4 2 2 3 3" xfId="26643"/>
    <cellStyle name="Normal 3 2 2 2 2 2 2 2 2 2 2 2 2 4 2 2 3 4" xfId="26644"/>
    <cellStyle name="Normal 3 2 2 2 2 2 2 2 2 2 2 2 2 4 2 2 3 5" xfId="26645"/>
    <cellStyle name="Normal 3 2 2 2 2 2 2 2 2 2 2 2 2 4 2 2 3 6" xfId="26646"/>
    <cellStyle name="Normal 3 2 2 2 2 2 2 2 2 2 2 2 2 4 2 2 4" xfId="26647"/>
    <cellStyle name="Normal 3 2 2 2 2 2 2 2 2 2 2 2 2 4 2 2 5" xfId="26648"/>
    <cellStyle name="Normal 3 2 2 2 2 2 2 2 2 2 2 2 2 4 2 2 6" xfId="26649"/>
    <cellStyle name="Normal 3 2 2 2 2 2 2 2 2 2 2 2 2 4 2 2 7" xfId="26650"/>
    <cellStyle name="Normal 3 2 2 2 2 2 2 2 2 2 2 2 2 4 2 2 8" xfId="26651"/>
    <cellStyle name="Normal 3 2 2 2 2 2 2 2 2 2 2 2 2 4 2 2 8 2" xfId="26652"/>
    <cellStyle name="Normal 3 2 2 2 2 2 2 2 2 2 2 2 2 4 2 2 8 3" xfId="26653"/>
    <cellStyle name="Normal 3 2 2 2 2 2 2 2 2 2 2 2 2 4 2 2 8 4" xfId="26654"/>
    <cellStyle name="Normal 3 2 2 2 2 2 2 2 2 2 2 2 2 4 2 2 9" xfId="26655"/>
    <cellStyle name="Normal 3 2 2 2 2 2 2 2 2 2 2 2 2 4 2 3" xfId="26656"/>
    <cellStyle name="Normal 3 2 2 2 2 2 2 2 2 2 2 2 2 4 2 4" xfId="26657"/>
    <cellStyle name="Normal 3 2 2 2 2 2 2 2 2 2 2 2 2 4 2 5" xfId="26658"/>
    <cellStyle name="Normal 3 2 2 2 2 2 2 2 2 2 2 2 2 4 2 5 2" xfId="26659"/>
    <cellStyle name="Normal 3 2 2 2 2 2 2 2 2 2 2 2 2 4 2 5 2 2" xfId="26660"/>
    <cellStyle name="Normal 3 2 2 2 2 2 2 2 2 2 2 2 2 4 2 5 2 3" xfId="26661"/>
    <cellStyle name="Normal 3 2 2 2 2 2 2 2 2 2 2 2 2 4 2 5 2 4" xfId="26662"/>
    <cellStyle name="Normal 3 2 2 2 2 2 2 2 2 2 2 2 2 4 2 5 3" xfId="26663"/>
    <cellStyle name="Normal 3 2 2 2 2 2 2 2 2 2 2 2 2 4 2 5 4" xfId="26664"/>
    <cellStyle name="Normal 3 2 2 2 2 2 2 2 2 2 2 2 2 4 2 5 5" xfId="26665"/>
    <cellStyle name="Normal 3 2 2 2 2 2 2 2 2 2 2 2 2 4 2 5 6" xfId="26666"/>
    <cellStyle name="Normal 3 2 2 2 2 2 2 2 2 2 2 2 2 4 2 6" xfId="26667"/>
    <cellStyle name="Normal 3 2 2 2 2 2 2 2 2 2 2 2 2 4 2 7" xfId="26668"/>
    <cellStyle name="Normal 3 2 2 2 2 2 2 2 2 2 2 2 2 4 2 8" xfId="26669"/>
    <cellStyle name="Normal 3 2 2 2 2 2 2 2 2 2 2 2 2 4 2 9" xfId="26670"/>
    <cellStyle name="Normal 3 2 2 2 2 2 2 2 2 2 2 2 2 4 3" xfId="26671"/>
    <cellStyle name="Normal 3 2 2 2 2 2 2 2 2 2 2 2 2 4 4" xfId="26672"/>
    <cellStyle name="Normal 3 2 2 2 2 2 2 2 2 2 2 2 2 4 5" xfId="26673"/>
    <cellStyle name="Normal 3 2 2 2 2 2 2 2 2 2 2 2 2 4 5 10" xfId="26674"/>
    <cellStyle name="Normal 3 2 2 2 2 2 2 2 2 2 2 2 2 4 5 11" xfId="26675"/>
    <cellStyle name="Normal 3 2 2 2 2 2 2 2 2 2 2 2 2 4 5 2" xfId="26676"/>
    <cellStyle name="Normal 3 2 2 2 2 2 2 2 2 2 2 2 2 4 5 2 10" xfId="26677"/>
    <cellStyle name="Normal 3 2 2 2 2 2 2 2 2 2 2 2 2 4 5 2 11" xfId="26678"/>
    <cellStyle name="Normal 3 2 2 2 2 2 2 2 2 2 2 2 2 4 5 2 2" xfId="26679"/>
    <cellStyle name="Normal 3 2 2 2 2 2 2 2 2 2 2 2 2 4 5 2 2 2" xfId="26680"/>
    <cellStyle name="Normal 3 2 2 2 2 2 2 2 2 2 2 2 2 4 5 2 2 2 2" xfId="26681"/>
    <cellStyle name="Normal 3 2 2 2 2 2 2 2 2 2 2 2 2 4 5 2 2 2 3" xfId="26682"/>
    <cellStyle name="Normal 3 2 2 2 2 2 2 2 2 2 2 2 2 4 5 2 2 2 4" xfId="26683"/>
    <cellStyle name="Normal 3 2 2 2 2 2 2 2 2 2 2 2 2 4 5 2 2 3" xfId="26684"/>
    <cellStyle name="Normal 3 2 2 2 2 2 2 2 2 2 2 2 2 4 5 2 2 4" xfId="26685"/>
    <cellStyle name="Normal 3 2 2 2 2 2 2 2 2 2 2 2 2 4 5 2 2 5" xfId="26686"/>
    <cellStyle name="Normal 3 2 2 2 2 2 2 2 2 2 2 2 2 4 5 2 2 6" xfId="26687"/>
    <cellStyle name="Normal 3 2 2 2 2 2 2 2 2 2 2 2 2 4 5 2 3" xfId="26688"/>
    <cellStyle name="Normal 3 2 2 2 2 2 2 2 2 2 2 2 2 4 5 2 4" xfId="26689"/>
    <cellStyle name="Normal 3 2 2 2 2 2 2 2 2 2 2 2 2 4 5 2 5" xfId="26690"/>
    <cellStyle name="Normal 3 2 2 2 2 2 2 2 2 2 2 2 2 4 5 2 6" xfId="26691"/>
    <cellStyle name="Normal 3 2 2 2 2 2 2 2 2 2 2 2 2 4 5 2 7" xfId="26692"/>
    <cellStyle name="Normal 3 2 2 2 2 2 2 2 2 2 2 2 2 4 5 2 8" xfId="26693"/>
    <cellStyle name="Normal 3 2 2 2 2 2 2 2 2 2 2 2 2 4 5 2 8 2" xfId="26694"/>
    <cellStyle name="Normal 3 2 2 2 2 2 2 2 2 2 2 2 2 4 5 2 8 3" xfId="26695"/>
    <cellStyle name="Normal 3 2 2 2 2 2 2 2 2 2 2 2 2 4 5 2 8 4" xfId="26696"/>
    <cellStyle name="Normal 3 2 2 2 2 2 2 2 2 2 2 2 2 4 5 2 9" xfId="26697"/>
    <cellStyle name="Normal 3 2 2 2 2 2 2 2 2 2 2 2 2 4 5 3" xfId="26698"/>
    <cellStyle name="Normal 3 2 2 2 2 2 2 2 2 2 2 2 2 4 5 3 2" xfId="26699"/>
    <cellStyle name="Normal 3 2 2 2 2 2 2 2 2 2 2 2 2 4 5 3 2 2" xfId="26700"/>
    <cellStyle name="Normal 3 2 2 2 2 2 2 2 2 2 2 2 2 4 5 3 2 3" xfId="26701"/>
    <cellStyle name="Normal 3 2 2 2 2 2 2 2 2 2 2 2 2 4 5 3 2 4" xfId="26702"/>
    <cellStyle name="Normal 3 2 2 2 2 2 2 2 2 2 2 2 2 4 5 3 3" xfId="26703"/>
    <cellStyle name="Normal 3 2 2 2 2 2 2 2 2 2 2 2 2 4 5 3 4" xfId="26704"/>
    <cellStyle name="Normal 3 2 2 2 2 2 2 2 2 2 2 2 2 4 5 3 5" xfId="26705"/>
    <cellStyle name="Normal 3 2 2 2 2 2 2 2 2 2 2 2 2 4 5 3 6" xfId="26706"/>
    <cellStyle name="Normal 3 2 2 2 2 2 2 2 2 2 2 2 2 4 5 4" xfId="26707"/>
    <cellStyle name="Normal 3 2 2 2 2 2 2 2 2 2 2 2 2 4 5 5" xfId="26708"/>
    <cellStyle name="Normal 3 2 2 2 2 2 2 2 2 2 2 2 2 4 5 6" xfId="26709"/>
    <cellStyle name="Normal 3 2 2 2 2 2 2 2 2 2 2 2 2 4 5 7" xfId="26710"/>
    <cellStyle name="Normal 3 2 2 2 2 2 2 2 2 2 2 2 2 4 5 8" xfId="26711"/>
    <cellStyle name="Normal 3 2 2 2 2 2 2 2 2 2 2 2 2 4 5 8 2" xfId="26712"/>
    <cellStyle name="Normal 3 2 2 2 2 2 2 2 2 2 2 2 2 4 5 8 3" xfId="26713"/>
    <cellStyle name="Normal 3 2 2 2 2 2 2 2 2 2 2 2 2 4 5 8 4" xfId="26714"/>
    <cellStyle name="Normal 3 2 2 2 2 2 2 2 2 2 2 2 2 4 5 9" xfId="26715"/>
    <cellStyle name="Normal 3 2 2 2 2 2 2 2 2 2 2 2 2 4 6" xfId="26716"/>
    <cellStyle name="Normal 3 2 2 2 2 2 2 2 2 2 2 2 2 4 7" xfId="26717"/>
    <cellStyle name="Normal 3 2 2 2 2 2 2 2 2 2 2 2 2 4 7 2" xfId="26718"/>
    <cellStyle name="Normal 3 2 2 2 2 2 2 2 2 2 2 2 2 4 7 2 2" xfId="26719"/>
    <cellStyle name="Normal 3 2 2 2 2 2 2 2 2 2 2 2 2 4 7 2 3" xfId="26720"/>
    <cellStyle name="Normal 3 2 2 2 2 2 2 2 2 2 2 2 2 4 7 2 4" xfId="26721"/>
    <cellStyle name="Normal 3 2 2 2 2 2 2 2 2 2 2 2 2 4 7 3" xfId="26722"/>
    <cellStyle name="Normal 3 2 2 2 2 2 2 2 2 2 2 2 2 4 7 4" xfId="26723"/>
    <cellStyle name="Normal 3 2 2 2 2 2 2 2 2 2 2 2 2 4 7 5" xfId="26724"/>
    <cellStyle name="Normal 3 2 2 2 2 2 2 2 2 2 2 2 2 4 7 6" xfId="26725"/>
    <cellStyle name="Normal 3 2 2 2 2 2 2 2 2 2 2 2 2 4 8" xfId="26726"/>
    <cellStyle name="Normal 3 2 2 2 2 2 2 2 2 2 2 2 2 4 9" xfId="26727"/>
    <cellStyle name="Normal 3 2 2 2 2 2 2 2 2 2 2 2 2 40" xfId="26728"/>
    <cellStyle name="Normal 3 2 2 2 2 2 2 2 2 2 2 2 2 41" xfId="26729"/>
    <cellStyle name="Normal 3 2 2 2 2 2 2 2 2 2 2 2 2 42" xfId="26730"/>
    <cellStyle name="Normal 3 2 2 2 2 2 2 2 2 2 2 2 2 43" xfId="26731"/>
    <cellStyle name="Normal 3 2 2 2 2 2 2 2 2 2 2 2 2 44" xfId="26732"/>
    <cellStyle name="Normal 3 2 2 2 2 2 2 2 2 2 2 2 2 45" xfId="26733"/>
    <cellStyle name="Normal 3 2 2 2 2 2 2 2 2 2 2 2 2 46" xfId="26734"/>
    <cellStyle name="Normal 3 2 2 2 2 2 2 2 2 2 2 2 2 47" xfId="26735"/>
    <cellStyle name="Normal 3 2 2 2 2 2 2 2 2 2 2 2 2 48" xfId="26736"/>
    <cellStyle name="Normal 3 2 2 2 2 2 2 2 2 2 2 2 2 49" xfId="26737"/>
    <cellStyle name="Normal 3 2 2 2 2 2 2 2 2 2 2 2 2 5" xfId="26738"/>
    <cellStyle name="Normal 3 2 2 2 2 2 2 2 2 2 2 2 2 50" xfId="26739"/>
    <cellStyle name="Normal 3 2 2 2 2 2 2 2 2 2 2 2 2 51" xfId="26740"/>
    <cellStyle name="Normal 3 2 2 2 2 2 2 2 2 2 2 2 2 52" xfId="26741"/>
    <cellStyle name="Normal 3 2 2 2 2 2 2 2 2 2 2 2 2 53" xfId="26742"/>
    <cellStyle name="Normal 3 2 2 2 2 2 2 2 2 2 2 2 2 54" xfId="26743"/>
    <cellStyle name="Normal 3 2 2 2 2 2 2 2 2 2 2 2 2 55" xfId="26744"/>
    <cellStyle name="Normal 3 2 2 2 2 2 2 2 2 2 2 2 2 56" xfId="26745"/>
    <cellStyle name="Normal 3 2 2 2 2 2 2 2 2 2 2 2 2 57" xfId="26746"/>
    <cellStyle name="Normal 3 2 2 2 2 2 2 2 2 2 2 2 2 58" xfId="26747"/>
    <cellStyle name="Normal 3 2 2 2 2 2 2 2 2 2 2 2 2 59" xfId="26748"/>
    <cellStyle name="Normal 3 2 2 2 2 2 2 2 2 2 2 2 2 6" xfId="26749"/>
    <cellStyle name="Normal 3 2 2 2 2 2 2 2 2 2 2 2 2 60" xfId="26750"/>
    <cellStyle name="Normal 3 2 2 2 2 2 2 2 2 2 2 2 2 61" xfId="26751"/>
    <cellStyle name="Normal 3 2 2 2 2 2 2 2 2 2 2 2 2 62" xfId="26752"/>
    <cellStyle name="Normal 3 2 2 2 2 2 2 2 2 2 2 2 2 63" xfId="26753"/>
    <cellStyle name="Normal 3 2 2 2 2 2 2 2 2 2 2 2 2 64" xfId="26754"/>
    <cellStyle name="Normal 3 2 2 2 2 2 2 2 2 2 2 2 2 65" xfId="26755"/>
    <cellStyle name="Normal 3 2 2 2 2 2 2 2 2 2 2 2 2 66" xfId="26756"/>
    <cellStyle name="Normal 3 2 2 2 2 2 2 2 2 2 2 2 2 67" xfId="26757"/>
    <cellStyle name="Normal 3 2 2 2 2 2 2 2 2 2 2 2 2 68" xfId="26758"/>
    <cellStyle name="Normal 3 2 2 2 2 2 2 2 2 2 2 2 2 69" xfId="26759"/>
    <cellStyle name="Normal 3 2 2 2 2 2 2 2 2 2 2 2 2 69 2" xfId="26760"/>
    <cellStyle name="Normal 3 2 2 2 2 2 2 2 2 2 2 2 2 69 3" xfId="26761"/>
    <cellStyle name="Normal 3 2 2 2 2 2 2 2 2 2 2 2 2 69 4" xfId="26762"/>
    <cellStyle name="Normal 3 2 2 2 2 2 2 2 2 2 2 2 2 7" xfId="26763"/>
    <cellStyle name="Normal 3 2 2 2 2 2 2 2 2 2 2 2 2 70" xfId="26764"/>
    <cellStyle name="Normal 3 2 2 2 2 2 2 2 2 2 2 2 2 71" xfId="26765"/>
    <cellStyle name="Normal 3 2 2 2 2 2 2 2 2 2 2 2 2 8" xfId="26766"/>
    <cellStyle name="Normal 3 2 2 2 2 2 2 2 2 2 2 2 2 9" xfId="26767"/>
    <cellStyle name="Normal 3 2 2 2 2 2 2 2 2 2 2 2 20" xfId="26768"/>
    <cellStyle name="Normal 3 2 2 2 2 2 2 2 2 2 2 2 20 2" xfId="26769"/>
    <cellStyle name="Normal 3 2 2 2 2 2 2 2 2 2 2 2 20 2 2" xfId="26770"/>
    <cellStyle name="Normal 3 2 2 2 2 2 2 2 2 2 2 2 20 2 3" xfId="26771"/>
    <cellStyle name="Normal 3 2 2 2 2 2 2 2 2 2 2 2 20 2 4" xfId="26772"/>
    <cellStyle name="Normal 3 2 2 2 2 2 2 2 2 2 2 2 20 3" xfId="26773"/>
    <cellStyle name="Normal 3 2 2 2 2 2 2 2 2 2 2 2 20 4" xfId="26774"/>
    <cellStyle name="Normal 3 2 2 2 2 2 2 2 2 2 2 2 20 5" xfId="26775"/>
    <cellStyle name="Normal 3 2 2 2 2 2 2 2 2 2 2 2 20 6" xfId="26776"/>
    <cellStyle name="Normal 3 2 2 2 2 2 2 2 2 2 2 2 21" xfId="26777"/>
    <cellStyle name="Normal 3 2 2 2 2 2 2 2 2 2 2 2 22" xfId="26778"/>
    <cellStyle name="Normal 3 2 2 2 2 2 2 2 2 2 2 2 23" xfId="26779"/>
    <cellStyle name="Normal 3 2 2 2 2 2 2 2 2 2 2 2 24" xfId="26780"/>
    <cellStyle name="Normal 3 2 2 2 2 2 2 2 2 2 2 2 25" xfId="26781"/>
    <cellStyle name="Normal 3 2 2 2 2 2 2 2 2 2 2 2 26" xfId="26782"/>
    <cellStyle name="Normal 3 2 2 2 2 2 2 2 2 2 2 2 26 2" xfId="26783"/>
    <cellStyle name="Normal 3 2 2 2 2 2 2 2 2 2 2 2 26 3" xfId="26784"/>
    <cellStyle name="Normal 3 2 2 2 2 2 2 2 2 2 2 2 26 4" xfId="26785"/>
    <cellStyle name="Normal 3 2 2 2 2 2 2 2 2 2 2 2 27" xfId="26786"/>
    <cellStyle name="Normal 3 2 2 2 2 2 2 2 2 2 2 2 28" xfId="26787"/>
    <cellStyle name="Normal 3 2 2 2 2 2 2 2 2 2 2 2 29" xfId="26788"/>
    <cellStyle name="Normal 3 2 2 2 2 2 2 2 2 2 2 2 3" xfId="26789"/>
    <cellStyle name="Normal 3 2 2 2 2 2 2 2 2 2 2 2 30" xfId="26790"/>
    <cellStyle name="Normal 3 2 2 2 2 2 2 2 2 2 2 2 31" xfId="26791"/>
    <cellStyle name="Normal 3 2 2 2 2 2 2 2 2 2 2 2 32" xfId="26792"/>
    <cellStyle name="Normal 3 2 2 2 2 2 2 2 2 2 2 2 33" xfId="26793"/>
    <cellStyle name="Normal 3 2 2 2 2 2 2 2 2 2 2 2 34" xfId="26794"/>
    <cellStyle name="Normal 3 2 2 2 2 2 2 2 2 2 2 2 35" xfId="26795"/>
    <cellStyle name="Normal 3 2 2 2 2 2 2 2 2 2 2 2 36" xfId="26796"/>
    <cellStyle name="Normal 3 2 2 2 2 2 2 2 2 2 2 2 37" xfId="26797"/>
    <cellStyle name="Normal 3 2 2 2 2 2 2 2 2 2 2 2 38" xfId="26798"/>
    <cellStyle name="Normal 3 2 2 2 2 2 2 2 2 2 2 2 39" xfId="26799"/>
    <cellStyle name="Normal 3 2 2 2 2 2 2 2 2 2 2 2 4" xfId="26800"/>
    <cellStyle name="Normal 3 2 2 2 2 2 2 2 2 2 2 2 40" xfId="26801"/>
    <cellStyle name="Normal 3 2 2 2 2 2 2 2 2 2 2 2 41" xfId="26802"/>
    <cellStyle name="Normal 3 2 2 2 2 2 2 2 2 2 2 2 41 2" xfId="26803"/>
    <cellStyle name="Normal 3 2 2 2 2 2 2 2 2 2 2 2 41 3" xfId="26804"/>
    <cellStyle name="Normal 3 2 2 2 2 2 2 2 2 2 2 2 41 4" xfId="26805"/>
    <cellStyle name="Normal 3 2 2 2 2 2 2 2 2 2 2 2 41 5" xfId="26806"/>
    <cellStyle name="Normal 3 2 2 2 2 2 2 2 2 2 2 2 41 6" xfId="26807"/>
    <cellStyle name="Normal 3 2 2 2 2 2 2 2 2 2 2 2 41 7" xfId="26808"/>
    <cellStyle name="Normal 3 2 2 2 2 2 2 2 2 2 2 2 42" xfId="26809"/>
    <cellStyle name="Normal 3 2 2 2 2 2 2 2 2 2 2 2 43" xfId="26810"/>
    <cellStyle name="Normal 3 2 2 2 2 2 2 2 2 2 2 2 44" xfId="26811"/>
    <cellStyle name="Normal 3 2 2 2 2 2 2 2 2 2 2 2 45" xfId="26812"/>
    <cellStyle name="Normal 3 2 2 2 2 2 2 2 2 2 2 2 46" xfId="26813"/>
    <cellStyle name="Normal 3 2 2 2 2 2 2 2 2 2 2 2 47" xfId="26814"/>
    <cellStyle name="Normal 3 2 2 2 2 2 2 2 2 2 2 2 48" xfId="26815"/>
    <cellStyle name="Normal 3 2 2 2 2 2 2 2 2 2 2 2 49" xfId="26816"/>
    <cellStyle name="Normal 3 2 2 2 2 2 2 2 2 2 2 2 5" xfId="26817"/>
    <cellStyle name="Normal 3 2 2 2 2 2 2 2 2 2 2 2 50" xfId="26818"/>
    <cellStyle name="Normal 3 2 2 2 2 2 2 2 2 2 2 2 51" xfId="26819"/>
    <cellStyle name="Normal 3 2 2 2 2 2 2 2 2 2 2 2 52" xfId="26820"/>
    <cellStyle name="Normal 3 2 2 2 2 2 2 2 2 2 2 2 53" xfId="26821"/>
    <cellStyle name="Normal 3 2 2 2 2 2 2 2 2 2 2 2 54" xfId="26822"/>
    <cellStyle name="Normal 3 2 2 2 2 2 2 2 2 2 2 2 55" xfId="26823"/>
    <cellStyle name="Normal 3 2 2 2 2 2 2 2 2 2 2 2 56" xfId="26824"/>
    <cellStyle name="Normal 3 2 2 2 2 2 2 2 2 2 2 2 57" xfId="26825"/>
    <cellStyle name="Normal 3 2 2 2 2 2 2 2 2 2 2 2 58" xfId="26826"/>
    <cellStyle name="Normal 3 2 2 2 2 2 2 2 2 2 2 2 59" xfId="26827"/>
    <cellStyle name="Normal 3 2 2 2 2 2 2 2 2 2 2 2 6" xfId="26828"/>
    <cellStyle name="Normal 3 2 2 2 2 2 2 2 2 2 2 2 60" xfId="26829"/>
    <cellStyle name="Normal 3 2 2 2 2 2 2 2 2 2 2 2 61" xfId="26830"/>
    <cellStyle name="Normal 3 2 2 2 2 2 2 2 2 2 2 2 62" xfId="26831"/>
    <cellStyle name="Normal 3 2 2 2 2 2 2 2 2 2 2 2 63" xfId="26832"/>
    <cellStyle name="Normal 3 2 2 2 2 2 2 2 2 2 2 2 64" xfId="26833"/>
    <cellStyle name="Normal 3 2 2 2 2 2 2 2 2 2 2 2 65" xfId="26834"/>
    <cellStyle name="Normal 3 2 2 2 2 2 2 2 2 2 2 2 66" xfId="26835"/>
    <cellStyle name="Normal 3 2 2 2 2 2 2 2 2 2 2 2 67" xfId="26836"/>
    <cellStyle name="Normal 3 2 2 2 2 2 2 2 2 2 2 2 68" xfId="26837"/>
    <cellStyle name="Normal 3 2 2 2 2 2 2 2 2 2 2 2 69" xfId="26838"/>
    <cellStyle name="Normal 3 2 2 2 2 2 2 2 2 2 2 2 7" xfId="26839"/>
    <cellStyle name="Normal 3 2 2 2 2 2 2 2 2 2 2 2 7 10" xfId="26840"/>
    <cellStyle name="Normal 3 2 2 2 2 2 2 2 2 2 2 2 7 11" xfId="26841"/>
    <cellStyle name="Normal 3 2 2 2 2 2 2 2 2 2 2 2 7 11 10" xfId="26842"/>
    <cellStyle name="Normal 3 2 2 2 2 2 2 2 2 2 2 2 7 11 11" xfId="26843"/>
    <cellStyle name="Normal 3 2 2 2 2 2 2 2 2 2 2 2 7 11 11 2" xfId="26844"/>
    <cellStyle name="Normal 3 2 2 2 2 2 2 2 2 2 2 2 7 11 11 3" xfId="26845"/>
    <cellStyle name="Normal 3 2 2 2 2 2 2 2 2 2 2 2 7 11 11 4" xfId="26846"/>
    <cellStyle name="Normal 3 2 2 2 2 2 2 2 2 2 2 2 7 11 12" xfId="26847"/>
    <cellStyle name="Normal 3 2 2 2 2 2 2 2 2 2 2 2 7 11 13" xfId="26848"/>
    <cellStyle name="Normal 3 2 2 2 2 2 2 2 2 2 2 2 7 11 14" xfId="26849"/>
    <cellStyle name="Normal 3 2 2 2 2 2 2 2 2 2 2 2 7 11 2" xfId="26850"/>
    <cellStyle name="Normal 3 2 2 2 2 2 2 2 2 2 2 2 7 11 2 10" xfId="26851"/>
    <cellStyle name="Normal 3 2 2 2 2 2 2 2 2 2 2 2 7 11 2 11" xfId="26852"/>
    <cellStyle name="Normal 3 2 2 2 2 2 2 2 2 2 2 2 7 11 2 2" xfId="26853"/>
    <cellStyle name="Normal 3 2 2 2 2 2 2 2 2 2 2 2 7 11 2 2 10" xfId="26854"/>
    <cellStyle name="Normal 3 2 2 2 2 2 2 2 2 2 2 2 7 11 2 2 11" xfId="26855"/>
    <cellStyle name="Normal 3 2 2 2 2 2 2 2 2 2 2 2 7 11 2 2 2" xfId="26856"/>
    <cellStyle name="Normal 3 2 2 2 2 2 2 2 2 2 2 2 7 11 2 2 2 2" xfId="26857"/>
    <cellStyle name="Normal 3 2 2 2 2 2 2 2 2 2 2 2 7 11 2 2 2 2 2" xfId="26858"/>
    <cellStyle name="Normal 3 2 2 2 2 2 2 2 2 2 2 2 7 11 2 2 2 2 3" xfId="26859"/>
    <cellStyle name="Normal 3 2 2 2 2 2 2 2 2 2 2 2 7 11 2 2 2 2 4" xfId="26860"/>
    <cellStyle name="Normal 3 2 2 2 2 2 2 2 2 2 2 2 7 11 2 2 2 3" xfId="26861"/>
    <cellStyle name="Normal 3 2 2 2 2 2 2 2 2 2 2 2 7 11 2 2 2 4" xfId="26862"/>
    <cellStyle name="Normal 3 2 2 2 2 2 2 2 2 2 2 2 7 11 2 2 2 5" xfId="26863"/>
    <cellStyle name="Normal 3 2 2 2 2 2 2 2 2 2 2 2 7 11 2 2 2 6" xfId="26864"/>
    <cellStyle name="Normal 3 2 2 2 2 2 2 2 2 2 2 2 7 11 2 2 3" xfId="26865"/>
    <cellStyle name="Normal 3 2 2 2 2 2 2 2 2 2 2 2 7 11 2 2 4" xfId="26866"/>
    <cellStyle name="Normal 3 2 2 2 2 2 2 2 2 2 2 2 7 11 2 2 5" xfId="26867"/>
    <cellStyle name="Normal 3 2 2 2 2 2 2 2 2 2 2 2 7 11 2 2 6" xfId="26868"/>
    <cellStyle name="Normal 3 2 2 2 2 2 2 2 2 2 2 2 7 11 2 2 7" xfId="26869"/>
    <cellStyle name="Normal 3 2 2 2 2 2 2 2 2 2 2 2 7 11 2 2 8" xfId="26870"/>
    <cellStyle name="Normal 3 2 2 2 2 2 2 2 2 2 2 2 7 11 2 2 8 2" xfId="26871"/>
    <cellStyle name="Normal 3 2 2 2 2 2 2 2 2 2 2 2 7 11 2 2 8 3" xfId="26872"/>
    <cellStyle name="Normal 3 2 2 2 2 2 2 2 2 2 2 2 7 11 2 2 8 4" xfId="26873"/>
    <cellStyle name="Normal 3 2 2 2 2 2 2 2 2 2 2 2 7 11 2 2 9" xfId="26874"/>
    <cellStyle name="Normal 3 2 2 2 2 2 2 2 2 2 2 2 7 11 2 3" xfId="26875"/>
    <cellStyle name="Normal 3 2 2 2 2 2 2 2 2 2 2 2 7 11 2 3 2" xfId="26876"/>
    <cellStyle name="Normal 3 2 2 2 2 2 2 2 2 2 2 2 7 11 2 3 2 2" xfId="26877"/>
    <cellStyle name="Normal 3 2 2 2 2 2 2 2 2 2 2 2 7 11 2 3 2 3" xfId="26878"/>
    <cellStyle name="Normal 3 2 2 2 2 2 2 2 2 2 2 2 7 11 2 3 2 4" xfId="26879"/>
    <cellStyle name="Normal 3 2 2 2 2 2 2 2 2 2 2 2 7 11 2 3 3" xfId="26880"/>
    <cellStyle name="Normal 3 2 2 2 2 2 2 2 2 2 2 2 7 11 2 3 4" xfId="26881"/>
    <cellStyle name="Normal 3 2 2 2 2 2 2 2 2 2 2 2 7 11 2 3 5" xfId="26882"/>
    <cellStyle name="Normal 3 2 2 2 2 2 2 2 2 2 2 2 7 11 2 3 6" xfId="26883"/>
    <cellStyle name="Normal 3 2 2 2 2 2 2 2 2 2 2 2 7 11 2 4" xfId="26884"/>
    <cellStyle name="Normal 3 2 2 2 2 2 2 2 2 2 2 2 7 11 2 5" xfId="26885"/>
    <cellStyle name="Normal 3 2 2 2 2 2 2 2 2 2 2 2 7 11 2 6" xfId="26886"/>
    <cellStyle name="Normal 3 2 2 2 2 2 2 2 2 2 2 2 7 11 2 7" xfId="26887"/>
    <cellStyle name="Normal 3 2 2 2 2 2 2 2 2 2 2 2 7 11 2 8" xfId="26888"/>
    <cellStyle name="Normal 3 2 2 2 2 2 2 2 2 2 2 2 7 11 2 8 2" xfId="26889"/>
    <cellStyle name="Normal 3 2 2 2 2 2 2 2 2 2 2 2 7 11 2 8 3" xfId="26890"/>
    <cellStyle name="Normal 3 2 2 2 2 2 2 2 2 2 2 2 7 11 2 8 4" xfId="26891"/>
    <cellStyle name="Normal 3 2 2 2 2 2 2 2 2 2 2 2 7 11 2 9" xfId="26892"/>
    <cellStyle name="Normal 3 2 2 2 2 2 2 2 2 2 2 2 7 11 3" xfId="26893"/>
    <cellStyle name="Normal 3 2 2 2 2 2 2 2 2 2 2 2 7 11 4" xfId="26894"/>
    <cellStyle name="Normal 3 2 2 2 2 2 2 2 2 2 2 2 7 11 5" xfId="26895"/>
    <cellStyle name="Normal 3 2 2 2 2 2 2 2 2 2 2 2 7 11 5 2" xfId="26896"/>
    <cellStyle name="Normal 3 2 2 2 2 2 2 2 2 2 2 2 7 11 5 2 2" xfId="26897"/>
    <cellStyle name="Normal 3 2 2 2 2 2 2 2 2 2 2 2 7 11 5 2 3" xfId="26898"/>
    <cellStyle name="Normal 3 2 2 2 2 2 2 2 2 2 2 2 7 11 5 2 4" xfId="26899"/>
    <cellStyle name="Normal 3 2 2 2 2 2 2 2 2 2 2 2 7 11 5 3" xfId="26900"/>
    <cellStyle name="Normal 3 2 2 2 2 2 2 2 2 2 2 2 7 11 5 4" xfId="26901"/>
    <cellStyle name="Normal 3 2 2 2 2 2 2 2 2 2 2 2 7 11 5 5" xfId="26902"/>
    <cellStyle name="Normal 3 2 2 2 2 2 2 2 2 2 2 2 7 11 5 6" xfId="26903"/>
    <cellStyle name="Normal 3 2 2 2 2 2 2 2 2 2 2 2 7 11 6" xfId="26904"/>
    <cellStyle name="Normal 3 2 2 2 2 2 2 2 2 2 2 2 7 11 7" xfId="26905"/>
    <cellStyle name="Normal 3 2 2 2 2 2 2 2 2 2 2 2 7 11 8" xfId="26906"/>
    <cellStyle name="Normal 3 2 2 2 2 2 2 2 2 2 2 2 7 11 9" xfId="26907"/>
    <cellStyle name="Normal 3 2 2 2 2 2 2 2 2 2 2 2 7 12" xfId="26908"/>
    <cellStyle name="Normal 3 2 2 2 2 2 2 2 2 2 2 2 7 13" xfId="26909"/>
    <cellStyle name="Normal 3 2 2 2 2 2 2 2 2 2 2 2 7 13 10" xfId="26910"/>
    <cellStyle name="Normal 3 2 2 2 2 2 2 2 2 2 2 2 7 13 11" xfId="26911"/>
    <cellStyle name="Normal 3 2 2 2 2 2 2 2 2 2 2 2 7 13 2" xfId="26912"/>
    <cellStyle name="Normal 3 2 2 2 2 2 2 2 2 2 2 2 7 13 2 10" xfId="26913"/>
    <cellStyle name="Normal 3 2 2 2 2 2 2 2 2 2 2 2 7 13 2 11" xfId="26914"/>
    <cellStyle name="Normal 3 2 2 2 2 2 2 2 2 2 2 2 7 13 2 2" xfId="26915"/>
    <cellStyle name="Normal 3 2 2 2 2 2 2 2 2 2 2 2 7 13 2 2 2" xfId="26916"/>
    <cellStyle name="Normal 3 2 2 2 2 2 2 2 2 2 2 2 7 13 2 2 2 2" xfId="26917"/>
    <cellStyle name="Normal 3 2 2 2 2 2 2 2 2 2 2 2 7 13 2 2 2 3" xfId="26918"/>
    <cellStyle name="Normal 3 2 2 2 2 2 2 2 2 2 2 2 7 13 2 2 2 4" xfId="26919"/>
    <cellStyle name="Normal 3 2 2 2 2 2 2 2 2 2 2 2 7 13 2 2 3" xfId="26920"/>
    <cellStyle name="Normal 3 2 2 2 2 2 2 2 2 2 2 2 7 13 2 2 4" xfId="26921"/>
    <cellStyle name="Normal 3 2 2 2 2 2 2 2 2 2 2 2 7 13 2 2 5" xfId="26922"/>
    <cellStyle name="Normal 3 2 2 2 2 2 2 2 2 2 2 2 7 13 2 2 6" xfId="26923"/>
    <cellStyle name="Normal 3 2 2 2 2 2 2 2 2 2 2 2 7 13 2 3" xfId="26924"/>
    <cellStyle name="Normal 3 2 2 2 2 2 2 2 2 2 2 2 7 13 2 4" xfId="26925"/>
    <cellStyle name="Normal 3 2 2 2 2 2 2 2 2 2 2 2 7 13 2 5" xfId="26926"/>
    <cellStyle name="Normal 3 2 2 2 2 2 2 2 2 2 2 2 7 13 2 6" xfId="26927"/>
    <cellStyle name="Normal 3 2 2 2 2 2 2 2 2 2 2 2 7 13 2 7" xfId="26928"/>
    <cellStyle name="Normal 3 2 2 2 2 2 2 2 2 2 2 2 7 13 2 8" xfId="26929"/>
    <cellStyle name="Normal 3 2 2 2 2 2 2 2 2 2 2 2 7 13 2 8 2" xfId="26930"/>
    <cellStyle name="Normal 3 2 2 2 2 2 2 2 2 2 2 2 7 13 2 8 3" xfId="26931"/>
    <cellStyle name="Normal 3 2 2 2 2 2 2 2 2 2 2 2 7 13 2 8 4" xfId="26932"/>
    <cellStyle name="Normal 3 2 2 2 2 2 2 2 2 2 2 2 7 13 2 9" xfId="26933"/>
    <cellStyle name="Normal 3 2 2 2 2 2 2 2 2 2 2 2 7 13 3" xfId="26934"/>
    <cellStyle name="Normal 3 2 2 2 2 2 2 2 2 2 2 2 7 13 3 2" xfId="26935"/>
    <cellStyle name="Normal 3 2 2 2 2 2 2 2 2 2 2 2 7 13 3 2 2" xfId="26936"/>
    <cellStyle name="Normal 3 2 2 2 2 2 2 2 2 2 2 2 7 13 3 2 3" xfId="26937"/>
    <cellStyle name="Normal 3 2 2 2 2 2 2 2 2 2 2 2 7 13 3 2 4" xfId="26938"/>
    <cellStyle name="Normal 3 2 2 2 2 2 2 2 2 2 2 2 7 13 3 3" xfId="26939"/>
    <cellStyle name="Normal 3 2 2 2 2 2 2 2 2 2 2 2 7 13 3 4" xfId="26940"/>
    <cellStyle name="Normal 3 2 2 2 2 2 2 2 2 2 2 2 7 13 3 5" xfId="26941"/>
    <cellStyle name="Normal 3 2 2 2 2 2 2 2 2 2 2 2 7 13 3 6" xfId="26942"/>
    <cellStyle name="Normal 3 2 2 2 2 2 2 2 2 2 2 2 7 13 4" xfId="26943"/>
    <cellStyle name="Normal 3 2 2 2 2 2 2 2 2 2 2 2 7 13 5" xfId="26944"/>
    <cellStyle name="Normal 3 2 2 2 2 2 2 2 2 2 2 2 7 13 6" xfId="26945"/>
    <cellStyle name="Normal 3 2 2 2 2 2 2 2 2 2 2 2 7 13 7" xfId="26946"/>
    <cellStyle name="Normal 3 2 2 2 2 2 2 2 2 2 2 2 7 13 8" xfId="26947"/>
    <cellStyle name="Normal 3 2 2 2 2 2 2 2 2 2 2 2 7 13 8 2" xfId="26948"/>
    <cellStyle name="Normal 3 2 2 2 2 2 2 2 2 2 2 2 7 13 8 3" xfId="26949"/>
    <cellStyle name="Normal 3 2 2 2 2 2 2 2 2 2 2 2 7 13 8 4" xfId="26950"/>
    <cellStyle name="Normal 3 2 2 2 2 2 2 2 2 2 2 2 7 13 9" xfId="26951"/>
    <cellStyle name="Normal 3 2 2 2 2 2 2 2 2 2 2 2 7 14" xfId="26952"/>
    <cellStyle name="Normal 3 2 2 2 2 2 2 2 2 2 2 2 7 15" xfId="26953"/>
    <cellStyle name="Normal 3 2 2 2 2 2 2 2 2 2 2 2 7 15 2" xfId="26954"/>
    <cellStyle name="Normal 3 2 2 2 2 2 2 2 2 2 2 2 7 15 2 2" xfId="26955"/>
    <cellStyle name="Normal 3 2 2 2 2 2 2 2 2 2 2 2 7 15 2 3" xfId="26956"/>
    <cellStyle name="Normal 3 2 2 2 2 2 2 2 2 2 2 2 7 15 2 4" xfId="26957"/>
    <cellStyle name="Normal 3 2 2 2 2 2 2 2 2 2 2 2 7 15 3" xfId="26958"/>
    <cellStyle name="Normal 3 2 2 2 2 2 2 2 2 2 2 2 7 15 4" xfId="26959"/>
    <cellStyle name="Normal 3 2 2 2 2 2 2 2 2 2 2 2 7 15 5" xfId="26960"/>
    <cellStyle name="Normal 3 2 2 2 2 2 2 2 2 2 2 2 7 15 6" xfId="26961"/>
    <cellStyle name="Normal 3 2 2 2 2 2 2 2 2 2 2 2 7 16" xfId="26962"/>
    <cellStyle name="Normal 3 2 2 2 2 2 2 2 2 2 2 2 7 17" xfId="26963"/>
    <cellStyle name="Normal 3 2 2 2 2 2 2 2 2 2 2 2 7 18" xfId="26964"/>
    <cellStyle name="Normal 3 2 2 2 2 2 2 2 2 2 2 2 7 19" xfId="26965"/>
    <cellStyle name="Normal 3 2 2 2 2 2 2 2 2 2 2 2 7 2" xfId="26966"/>
    <cellStyle name="Normal 3 2 2 2 2 2 2 2 2 2 2 2 7 2 10" xfId="26967"/>
    <cellStyle name="Normal 3 2 2 2 2 2 2 2 2 2 2 2 7 2 11" xfId="26968"/>
    <cellStyle name="Normal 3 2 2 2 2 2 2 2 2 2 2 2 7 2 12" xfId="26969"/>
    <cellStyle name="Normal 3 2 2 2 2 2 2 2 2 2 2 2 7 2 13" xfId="26970"/>
    <cellStyle name="Normal 3 2 2 2 2 2 2 2 2 2 2 2 7 2 13 2" xfId="26971"/>
    <cellStyle name="Normal 3 2 2 2 2 2 2 2 2 2 2 2 7 2 13 3" xfId="26972"/>
    <cellStyle name="Normal 3 2 2 2 2 2 2 2 2 2 2 2 7 2 13 4" xfId="26973"/>
    <cellStyle name="Normal 3 2 2 2 2 2 2 2 2 2 2 2 7 2 14" xfId="26974"/>
    <cellStyle name="Normal 3 2 2 2 2 2 2 2 2 2 2 2 7 2 15" xfId="26975"/>
    <cellStyle name="Normal 3 2 2 2 2 2 2 2 2 2 2 2 7 2 16" xfId="26976"/>
    <cellStyle name="Normal 3 2 2 2 2 2 2 2 2 2 2 2 7 2 2" xfId="26977"/>
    <cellStyle name="Normal 3 2 2 2 2 2 2 2 2 2 2 2 7 2 2 10" xfId="26978"/>
    <cellStyle name="Normal 3 2 2 2 2 2 2 2 2 2 2 2 7 2 2 11" xfId="26979"/>
    <cellStyle name="Normal 3 2 2 2 2 2 2 2 2 2 2 2 7 2 2 11 2" xfId="26980"/>
    <cellStyle name="Normal 3 2 2 2 2 2 2 2 2 2 2 2 7 2 2 11 3" xfId="26981"/>
    <cellStyle name="Normal 3 2 2 2 2 2 2 2 2 2 2 2 7 2 2 11 4" xfId="26982"/>
    <cellStyle name="Normal 3 2 2 2 2 2 2 2 2 2 2 2 7 2 2 12" xfId="26983"/>
    <cellStyle name="Normal 3 2 2 2 2 2 2 2 2 2 2 2 7 2 2 13" xfId="26984"/>
    <cellStyle name="Normal 3 2 2 2 2 2 2 2 2 2 2 2 7 2 2 14" xfId="26985"/>
    <cellStyle name="Normal 3 2 2 2 2 2 2 2 2 2 2 2 7 2 2 2" xfId="26986"/>
    <cellStyle name="Normal 3 2 2 2 2 2 2 2 2 2 2 2 7 2 2 2 10" xfId="26987"/>
    <cellStyle name="Normal 3 2 2 2 2 2 2 2 2 2 2 2 7 2 2 2 11" xfId="26988"/>
    <cellStyle name="Normal 3 2 2 2 2 2 2 2 2 2 2 2 7 2 2 2 2" xfId="26989"/>
    <cellStyle name="Normal 3 2 2 2 2 2 2 2 2 2 2 2 7 2 2 2 2 10" xfId="26990"/>
    <cellStyle name="Normal 3 2 2 2 2 2 2 2 2 2 2 2 7 2 2 2 2 11" xfId="26991"/>
    <cellStyle name="Normal 3 2 2 2 2 2 2 2 2 2 2 2 7 2 2 2 2 2" xfId="26992"/>
    <cellStyle name="Normal 3 2 2 2 2 2 2 2 2 2 2 2 7 2 2 2 2 2 2" xfId="26993"/>
    <cellStyle name="Normal 3 2 2 2 2 2 2 2 2 2 2 2 7 2 2 2 2 2 2 2" xfId="26994"/>
    <cellStyle name="Normal 3 2 2 2 2 2 2 2 2 2 2 2 7 2 2 2 2 2 2 3" xfId="26995"/>
    <cellStyle name="Normal 3 2 2 2 2 2 2 2 2 2 2 2 7 2 2 2 2 2 2 4" xfId="26996"/>
    <cellStyle name="Normal 3 2 2 2 2 2 2 2 2 2 2 2 7 2 2 2 2 2 3" xfId="26997"/>
    <cellStyle name="Normal 3 2 2 2 2 2 2 2 2 2 2 2 7 2 2 2 2 2 4" xfId="26998"/>
    <cellStyle name="Normal 3 2 2 2 2 2 2 2 2 2 2 2 7 2 2 2 2 2 5" xfId="26999"/>
    <cellStyle name="Normal 3 2 2 2 2 2 2 2 2 2 2 2 7 2 2 2 2 2 6" xfId="27000"/>
    <cellStyle name="Normal 3 2 2 2 2 2 2 2 2 2 2 2 7 2 2 2 2 3" xfId="27001"/>
    <cellStyle name="Normal 3 2 2 2 2 2 2 2 2 2 2 2 7 2 2 2 2 4" xfId="27002"/>
    <cellStyle name="Normal 3 2 2 2 2 2 2 2 2 2 2 2 7 2 2 2 2 5" xfId="27003"/>
    <cellStyle name="Normal 3 2 2 2 2 2 2 2 2 2 2 2 7 2 2 2 2 6" xfId="27004"/>
    <cellStyle name="Normal 3 2 2 2 2 2 2 2 2 2 2 2 7 2 2 2 2 7" xfId="27005"/>
    <cellStyle name="Normal 3 2 2 2 2 2 2 2 2 2 2 2 7 2 2 2 2 8" xfId="27006"/>
    <cellStyle name="Normal 3 2 2 2 2 2 2 2 2 2 2 2 7 2 2 2 2 8 2" xfId="27007"/>
    <cellStyle name="Normal 3 2 2 2 2 2 2 2 2 2 2 2 7 2 2 2 2 8 3" xfId="27008"/>
    <cellStyle name="Normal 3 2 2 2 2 2 2 2 2 2 2 2 7 2 2 2 2 8 4" xfId="27009"/>
    <cellStyle name="Normal 3 2 2 2 2 2 2 2 2 2 2 2 7 2 2 2 2 9" xfId="27010"/>
    <cellStyle name="Normal 3 2 2 2 2 2 2 2 2 2 2 2 7 2 2 2 3" xfId="27011"/>
    <cellStyle name="Normal 3 2 2 2 2 2 2 2 2 2 2 2 7 2 2 2 3 2" xfId="27012"/>
    <cellStyle name="Normal 3 2 2 2 2 2 2 2 2 2 2 2 7 2 2 2 3 2 2" xfId="27013"/>
    <cellStyle name="Normal 3 2 2 2 2 2 2 2 2 2 2 2 7 2 2 2 3 2 3" xfId="27014"/>
    <cellStyle name="Normal 3 2 2 2 2 2 2 2 2 2 2 2 7 2 2 2 3 2 4" xfId="27015"/>
    <cellStyle name="Normal 3 2 2 2 2 2 2 2 2 2 2 2 7 2 2 2 3 3" xfId="27016"/>
    <cellStyle name="Normal 3 2 2 2 2 2 2 2 2 2 2 2 7 2 2 2 3 4" xfId="27017"/>
    <cellStyle name="Normal 3 2 2 2 2 2 2 2 2 2 2 2 7 2 2 2 3 5" xfId="27018"/>
    <cellStyle name="Normal 3 2 2 2 2 2 2 2 2 2 2 2 7 2 2 2 3 6" xfId="27019"/>
    <cellStyle name="Normal 3 2 2 2 2 2 2 2 2 2 2 2 7 2 2 2 4" xfId="27020"/>
    <cellStyle name="Normal 3 2 2 2 2 2 2 2 2 2 2 2 7 2 2 2 5" xfId="27021"/>
    <cellStyle name="Normal 3 2 2 2 2 2 2 2 2 2 2 2 7 2 2 2 6" xfId="27022"/>
    <cellStyle name="Normal 3 2 2 2 2 2 2 2 2 2 2 2 7 2 2 2 7" xfId="27023"/>
    <cellStyle name="Normal 3 2 2 2 2 2 2 2 2 2 2 2 7 2 2 2 8" xfId="27024"/>
    <cellStyle name="Normal 3 2 2 2 2 2 2 2 2 2 2 2 7 2 2 2 8 2" xfId="27025"/>
    <cellStyle name="Normal 3 2 2 2 2 2 2 2 2 2 2 2 7 2 2 2 8 3" xfId="27026"/>
    <cellStyle name="Normal 3 2 2 2 2 2 2 2 2 2 2 2 7 2 2 2 8 4" xfId="27027"/>
    <cellStyle name="Normal 3 2 2 2 2 2 2 2 2 2 2 2 7 2 2 2 9" xfId="27028"/>
    <cellStyle name="Normal 3 2 2 2 2 2 2 2 2 2 2 2 7 2 2 3" xfId="27029"/>
    <cellStyle name="Normal 3 2 2 2 2 2 2 2 2 2 2 2 7 2 2 4" xfId="27030"/>
    <cellStyle name="Normal 3 2 2 2 2 2 2 2 2 2 2 2 7 2 2 5" xfId="27031"/>
    <cellStyle name="Normal 3 2 2 2 2 2 2 2 2 2 2 2 7 2 2 5 2" xfId="27032"/>
    <cellStyle name="Normal 3 2 2 2 2 2 2 2 2 2 2 2 7 2 2 5 2 2" xfId="27033"/>
    <cellStyle name="Normal 3 2 2 2 2 2 2 2 2 2 2 2 7 2 2 5 2 3" xfId="27034"/>
    <cellStyle name="Normal 3 2 2 2 2 2 2 2 2 2 2 2 7 2 2 5 2 4" xfId="27035"/>
    <cellStyle name="Normal 3 2 2 2 2 2 2 2 2 2 2 2 7 2 2 5 3" xfId="27036"/>
    <cellStyle name="Normal 3 2 2 2 2 2 2 2 2 2 2 2 7 2 2 5 4" xfId="27037"/>
    <cellStyle name="Normal 3 2 2 2 2 2 2 2 2 2 2 2 7 2 2 5 5" xfId="27038"/>
    <cellStyle name="Normal 3 2 2 2 2 2 2 2 2 2 2 2 7 2 2 5 6" xfId="27039"/>
    <cellStyle name="Normal 3 2 2 2 2 2 2 2 2 2 2 2 7 2 2 6" xfId="27040"/>
    <cellStyle name="Normal 3 2 2 2 2 2 2 2 2 2 2 2 7 2 2 7" xfId="27041"/>
    <cellStyle name="Normal 3 2 2 2 2 2 2 2 2 2 2 2 7 2 2 8" xfId="27042"/>
    <cellStyle name="Normal 3 2 2 2 2 2 2 2 2 2 2 2 7 2 2 9" xfId="27043"/>
    <cellStyle name="Normal 3 2 2 2 2 2 2 2 2 2 2 2 7 2 3" xfId="27044"/>
    <cellStyle name="Normal 3 2 2 2 2 2 2 2 2 2 2 2 7 2 4" xfId="27045"/>
    <cellStyle name="Normal 3 2 2 2 2 2 2 2 2 2 2 2 7 2 5" xfId="27046"/>
    <cellStyle name="Normal 3 2 2 2 2 2 2 2 2 2 2 2 7 2 5 10" xfId="27047"/>
    <cellStyle name="Normal 3 2 2 2 2 2 2 2 2 2 2 2 7 2 5 11" xfId="27048"/>
    <cellStyle name="Normal 3 2 2 2 2 2 2 2 2 2 2 2 7 2 5 2" xfId="27049"/>
    <cellStyle name="Normal 3 2 2 2 2 2 2 2 2 2 2 2 7 2 5 2 10" xfId="27050"/>
    <cellStyle name="Normal 3 2 2 2 2 2 2 2 2 2 2 2 7 2 5 2 11" xfId="27051"/>
    <cellStyle name="Normal 3 2 2 2 2 2 2 2 2 2 2 2 7 2 5 2 2" xfId="27052"/>
    <cellStyle name="Normal 3 2 2 2 2 2 2 2 2 2 2 2 7 2 5 2 2 2" xfId="27053"/>
    <cellStyle name="Normal 3 2 2 2 2 2 2 2 2 2 2 2 7 2 5 2 2 2 2" xfId="27054"/>
    <cellStyle name="Normal 3 2 2 2 2 2 2 2 2 2 2 2 7 2 5 2 2 2 3" xfId="27055"/>
    <cellStyle name="Normal 3 2 2 2 2 2 2 2 2 2 2 2 7 2 5 2 2 2 4" xfId="27056"/>
    <cellStyle name="Normal 3 2 2 2 2 2 2 2 2 2 2 2 7 2 5 2 2 3" xfId="27057"/>
    <cellStyle name="Normal 3 2 2 2 2 2 2 2 2 2 2 2 7 2 5 2 2 4" xfId="27058"/>
    <cellStyle name="Normal 3 2 2 2 2 2 2 2 2 2 2 2 7 2 5 2 2 5" xfId="27059"/>
    <cellStyle name="Normal 3 2 2 2 2 2 2 2 2 2 2 2 7 2 5 2 2 6" xfId="27060"/>
    <cellStyle name="Normal 3 2 2 2 2 2 2 2 2 2 2 2 7 2 5 2 3" xfId="27061"/>
    <cellStyle name="Normal 3 2 2 2 2 2 2 2 2 2 2 2 7 2 5 2 4" xfId="27062"/>
    <cellStyle name="Normal 3 2 2 2 2 2 2 2 2 2 2 2 7 2 5 2 5" xfId="27063"/>
    <cellStyle name="Normal 3 2 2 2 2 2 2 2 2 2 2 2 7 2 5 2 6" xfId="27064"/>
    <cellStyle name="Normal 3 2 2 2 2 2 2 2 2 2 2 2 7 2 5 2 7" xfId="27065"/>
    <cellStyle name="Normal 3 2 2 2 2 2 2 2 2 2 2 2 7 2 5 2 8" xfId="27066"/>
    <cellStyle name="Normal 3 2 2 2 2 2 2 2 2 2 2 2 7 2 5 2 8 2" xfId="27067"/>
    <cellStyle name="Normal 3 2 2 2 2 2 2 2 2 2 2 2 7 2 5 2 8 3" xfId="27068"/>
    <cellStyle name="Normal 3 2 2 2 2 2 2 2 2 2 2 2 7 2 5 2 8 4" xfId="27069"/>
    <cellStyle name="Normal 3 2 2 2 2 2 2 2 2 2 2 2 7 2 5 2 9" xfId="27070"/>
    <cellStyle name="Normal 3 2 2 2 2 2 2 2 2 2 2 2 7 2 5 3" xfId="27071"/>
    <cellStyle name="Normal 3 2 2 2 2 2 2 2 2 2 2 2 7 2 5 3 2" xfId="27072"/>
    <cellStyle name="Normal 3 2 2 2 2 2 2 2 2 2 2 2 7 2 5 3 2 2" xfId="27073"/>
    <cellStyle name="Normal 3 2 2 2 2 2 2 2 2 2 2 2 7 2 5 3 2 3" xfId="27074"/>
    <cellStyle name="Normal 3 2 2 2 2 2 2 2 2 2 2 2 7 2 5 3 2 4" xfId="27075"/>
    <cellStyle name="Normal 3 2 2 2 2 2 2 2 2 2 2 2 7 2 5 3 3" xfId="27076"/>
    <cellStyle name="Normal 3 2 2 2 2 2 2 2 2 2 2 2 7 2 5 3 4" xfId="27077"/>
    <cellStyle name="Normal 3 2 2 2 2 2 2 2 2 2 2 2 7 2 5 3 5" xfId="27078"/>
    <cellStyle name="Normal 3 2 2 2 2 2 2 2 2 2 2 2 7 2 5 3 6" xfId="27079"/>
    <cellStyle name="Normal 3 2 2 2 2 2 2 2 2 2 2 2 7 2 5 4" xfId="27080"/>
    <cellStyle name="Normal 3 2 2 2 2 2 2 2 2 2 2 2 7 2 5 5" xfId="27081"/>
    <cellStyle name="Normal 3 2 2 2 2 2 2 2 2 2 2 2 7 2 5 6" xfId="27082"/>
    <cellStyle name="Normal 3 2 2 2 2 2 2 2 2 2 2 2 7 2 5 7" xfId="27083"/>
    <cellStyle name="Normal 3 2 2 2 2 2 2 2 2 2 2 2 7 2 5 8" xfId="27084"/>
    <cellStyle name="Normal 3 2 2 2 2 2 2 2 2 2 2 2 7 2 5 8 2" xfId="27085"/>
    <cellStyle name="Normal 3 2 2 2 2 2 2 2 2 2 2 2 7 2 5 8 3" xfId="27086"/>
    <cellStyle name="Normal 3 2 2 2 2 2 2 2 2 2 2 2 7 2 5 8 4" xfId="27087"/>
    <cellStyle name="Normal 3 2 2 2 2 2 2 2 2 2 2 2 7 2 5 9" xfId="27088"/>
    <cellStyle name="Normal 3 2 2 2 2 2 2 2 2 2 2 2 7 2 6" xfId="27089"/>
    <cellStyle name="Normal 3 2 2 2 2 2 2 2 2 2 2 2 7 2 7" xfId="27090"/>
    <cellStyle name="Normal 3 2 2 2 2 2 2 2 2 2 2 2 7 2 7 2" xfId="27091"/>
    <cellStyle name="Normal 3 2 2 2 2 2 2 2 2 2 2 2 7 2 7 2 2" xfId="27092"/>
    <cellStyle name="Normal 3 2 2 2 2 2 2 2 2 2 2 2 7 2 7 2 3" xfId="27093"/>
    <cellStyle name="Normal 3 2 2 2 2 2 2 2 2 2 2 2 7 2 7 2 4" xfId="27094"/>
    <cellStyle name="Normal 3 2 2 2 2 2 2 2 2 2 2 2 7 2 7 3" xfId="27095"/>
    <cellStyle name="Normal 3 2 2 2 2 2 2 2 2 2 2 2 7 2 7 4" xfId="27096"/>
    <cellStyle name="Normal 3 2 2 2 2 2 2 2 2 2 2 2 7 2 7 5" xfId="27097"/>
    <cellStyle name="Normal 3 2 2 2 2 2 2 2 2 2 2 2 7 2 7 6" xfId="27098"/>
    <cellStyle name="Normal 3 2 2 2 2 2 2 2 2 2 2 2 7 2 8" xfId="27099"/>
    <cellStyle name="Normal 3 2 2 2 2 2 2 2 2 2 2 2 7 2 9" xfId="27100"/>
    <cellStyle name="Normal 3 2 2 2 2 2 2 2 2 2 2 2 7 20" xfId="27101"/>
    <cellStyle name="Normal 3 2 2 2 2 2 2 2 2 2 2 2 7 21" xfId="27102"/>
    <cellStyle name="Normal 3 2 2 2 2 2 2 2 2 2 2 2 7 21 2" xfId="27103"/>
    <cellStyle name="Normal 3 2 2 2 2 2 2 2 2 2 2 2 7 21 3" xfId="27104"/>
    <cellStyle name="Normal 3 2 2 2 2 2 2 2 2 2 2 2 7 21 4" xfId="27105"/>
    <cellStyle name="Normal 3 2 2 2 2 2 2 2 2 2 2 2 7 22" xfId="27106"/>
    <cellStyle name="Normal 3 2 2 2 2 2 2 2 2 2 2 2 7 23" xfId="27107"/>
    <cellStyle name="Normal 3 2 2 2 2 2 2 2 2 2 2 2 7 24" xfId="27108"/>
    <cellStyle name="Normal 3 2 2 2 2 2 2 2 2 2 2 2 7 3" xfId="27109"/>
    <cellStyle name="Normal 3 2 2 2 2 2 2 2 2 2 2 2 7 4" xfId="27110"/>
    <cellStyle name="Normal 3 2 2 2 2 2 2 2 2 2 2 2 7 5" xfId="27111"/>
    <cellStyle name="Normal 3 2 2 2 2 2 2 2 2 2 2 2 7 6" xfId="27112"/>
    <cellStyle name="Normal 3 2 2 2 2 2 2 2 2 2 2 2 7 7" xfId="27113"/>
    <cellStyle name="Normal 3 2 2 2 2 2 2 2 2 2 2 2 7 8" xfId="27114"/>
    <cellStyle name="Normal 3 2 2 2 2 2 2 2 2 2 2 2 7 9" xfId="27115"/>
    <cellStyle name="Normal 3 2 2 2 2 2 2 2 2 2 2 2 70" xfId="27116"/>
    <cellStyle name="Normal 3 2 2 2 2 2 2 2 2 2 2 2 71" xfId="27117"/>
    <cellStyle name="Normal 3 2 2 2 2 2 2 2 2 2 2 2 72" xfId="27118"/>
    <cellStyle name="Normal 3 2 2 2 2 2 2 2 2 2 2 2 73" xfId="27119"/>
    <cellStyle name="Normal 3 2 2 2 2 2 2 2 2 2 2 2 73 2" xfId="27120"/>
    <cellStyle name="Normal 3 2 2 2 2 2 2 2 2 2 2 2 73 3" xfId="27121"/>
    <cellStyle name="Normal 3 2 2 2 2 2 2 2 2 2 2 2 73 4" xfId="27122"/>
    <cellStyle name="Normal 3 2 2 2 2 2 2 2 2 2 2 2 74" xfId="27123"/>
    <cellStyle name="Normal 3 2 2 2 2 2 2 2 2 2 2 2 75" xfId="27124"/>
    <cellStyle name="Normal 3 2 2 2 2 2 2 2 2 2 2 2 8" xfId="27125"/>
    <cellStyle name="Normal 3 2 2 2 2 2 2 2 2 2 2 2 8 10" xfId="27126"/>
    <cellStyle name="Normal 3 2 2 2 2 2 2 2 2 2 2 2 8 11" xfId="27127"/>
    <cellStyle name="Normal 3 2 2 2 2 2 2 2 2 2 2 2 8 12" xfId="27128"/>
    <cellStyle name="Normal 3 2 2 2 2 2 2 2 2 2 2 2 8 13" xfId="27129"/>
    <cellStyle name="Normal 3 2 2 2 2 2 2 2 2 2 2 2 8 13 2" xfId="27130"/>
    <cellStyle name="Normal 3 2 2 2 2 2 2 2 2 2 2 2 8 13 3" xfId="27131"/>
    <cellStyle name="Normal 3 2 2 2 2 2 2 2 2 2 2 2 8 13 4" xfId="27132"/>
    <cellStyle name="Normal 3 2 2 2 2 2 2 2 2 2 2 2 8 14" xfId="27133"/>
    <cellStyle name="Normal 3 2 2 2 2 2 2 2 2 2 2 2 8 15" xfId="27134"/>
    <cellStyle name="Normal 3 2 2 2 2 2 2 2 2 2 2 2 8 16" xfId="27135"/>
    <cellStyle name="Normal 3 2 2 2 2 2 2 2 2 2 2 2 8 2" xfId="27136"/>
    <cellStyle name="Normal 3 2 2 2 2 2 2 2 2 2 2 2 8 2 10" xfId="27137"/>
    <cellStyle name="Normal 3 2 2 2 2 2 2 2 2 2 2 2 8 2 11" xfId="27138"/>
    <cellStyle name="Normal 3 2 2 2 2 2 2 2 2 2 2 2 8 2 11 2" xfId="27139"/>
    <cellStyle name="Normal 3 2 2 2 2 2 2 2 2 2 2 2 8 2 11 3" xfId="27140"/>
    <cellStyle name="Normal 3 2 2 2 2 2 2 2 2 2 2 2 8 2 11 4" xfId="27141"/>
    <cellStyle name="Normal 3 2 2 2 2 2 2 2 2 2 2 2 8 2 12" xfId="27142"/>
    <cellStyle name="Normal 3 2 2 2 2 2 2 2 2 2 2 2 8 2 13" xfId="27143"/>
    <cellStyle name="Normal 3 2 2 2 2 2 2 2 2 2 2 2 8 2 14" xfId="27144"/>
    <cellStyle name="Normal 3 2 2 2 2 2 2 2 2 2 2 2 8 2 2" xfId="27145"/>
    <cellStyle name="Normal 3 2 2 2 2 2 2 2 2 2 2 2 8 2 2 10" xfId="27146"/>
    <cellStyle name="Normal 3 2 2 2 2 2 2 2 2 2 2 2 8 2 2 11" xfId="27147"/>
    <cellStyle name="Normal 3 2 2 2 2 2 2 2 2 2 2 2 8 2 2 2" xfId="27148"/>
    <cellStyle name="Normal 3 2 2 2 2 2 2 2 2 2 2 2 8 2 2 2 10" xfId="27149"/>
    <cellStyle name="Normal 3 2 2 2 2 2 2 2 2 2 2 2 8 2 2 2 11" xfId="27150"/>
    <cellStyle name="Normal 3 2 2 2 2 2 2 2 2 2 2 2 8 2 2 2 2" xfId="27151"/>
    <cellStyle name="Normal 3 2 2 2 2 2 2 2 2 2 2 2 8 2 2 2 2 2" xfId="27152"/>
    <cellStyle name="Normal 3 2 2 2 2 2 2 2 2 2 2 2 8 2 2 2 2 2 2" xfId="27153"/>
    <cellStyle name="Normal 3 2 2 2 2 2 2 2 2 2 2 2 8 2 2 2 2 2 3" xfId="27154"/>
    <cellStyle name="Normal 3 2 2 2 2 2 2 2 2 2 2 2 8 2 2 2 2 2 4" xfId="27155"/>
    <cellStyle name="Normal 3 2 2 2 2 2 2 2 2 2 2 2 8 2 2 2 2 3" xfId="27156"/>
    <cellStyle name="Normal 3 2 2 2 2 2 2 2 2 2 2 2 8 2 2 2 2 4" xfId="27157"/>
    <cellStyle name="Normal 3 2 2 2 2 2 2 2 2 2 2 2 8 2 2 2 2 5" xfId="27158"/>
    <cellStyle name="Normal 3 2 2 2 2 2 2 2 2 2 2 2 8 2 2 2 2 6" xfId="27159"/>
    <cellStyle name="Normal 3 2 2 2 2 2 2 2 2 2 2 2 8 2 2 2 3" xfId="27160"/>
    <cellStyle name="Normal 3 2 2 2 2 2 2 2 2 2 2 2 8 2 2 2 4" xfId="27161"/>
    <cellStyle name="Normal 3 2 2 2 2 2 2 2 2 2 2 2 8 2 2 2 5" xfId="27162"/>
    <cellStyle name="Normal 3 2 2 2 2 2 2 2 2 2 2 2 8 2 2 2 6" xfId="27163"/>
    <cellStyle name="Normal 3 2 2 2 2 2 2 2 2 2 2 2 8 2 2 2 7" xfId="27164"/>
    <cellStyle name="Normal 3 2 2 2 2 2 2 2 2 2 2 2 8 2 2 2 8" xfId="27165"/>
    <cellStyle name="Normal 3 2 2 2 2 2 2 2 2 2 2 2 8 2 2 2 8 2" xfId="27166"/>
    <cellStyle name="Normal 3 2 2 2 2 2 2 2 2 2 2 2 8 2 2 2 8 3" xfId="27167"/>
    <cellStyle name="Normal 3 2 2 2 2 2 2 2 2 2 2 2 8 2 2 2 8 4" xfId="27168"/>
    <cellStyle name="Normal 3 2 2 2 2 2 2 2 2 2 2 2 8 2 2 2 9" xfId="27169"/>
    <cellStyle name="Normal 3 2 2 2 2 2 2 2 2 2 2 2 8 2 2 3" xfId="27170"/>
    <cellStyle name="Normal 3 2 2 2 2 2 2 2 2 2 2 2 8 2 2 3 2" xfId="27171"/>
    <cellStyle name="Normal 3 2 2 2 2 2 2 2 2 2 2 2 8 2 2 3 2 2" xfId="27172"/>
    <cellStyle name="Normal 3 2 2 2 2 2 2 2 2 2 2 2 8 2 2 3 2 3" xfId="27173"/>
    <cellStyle name="Normal 3 2 2 2 2 2 2 2 2 2 2 2 8 2 2 3 2 4" xfId="27174"/>
    <cellStyle name="Normal 3 2 2 2 2 2 2 2 2 2 2 2 8 2 2 3 3" xfId="27175"/>
    <cellStyle name="Normal 3 2 2 2 2 2 2 2 2 2 2 2 8 2 2 3 4" xfId="27176"/>
    <cellStyle name="Normal 3 2 2 2 2 2 2 2 2 2 2 2 8 2 2 3 5" xfId="27177"/>
    <cellStyle name="Normal 3 2 2 2 2 2 2 2 2 2 2 2 8 2 2 3 6" xfId="27178"/>
    <cellStyle name="Normal 3 2 2 2 2 2 2 2 2 2 2 2 8 2 2 4" xfId="27179"/>
    <cellStyle name="Normal 3 2 2 2 2 2 2 2 2 2 2 2 8 2 2 5" xfId="27180"/>
    <cellStyle name="Normal 3 2 2 2 2 2 2 2 2 2 2 2 8 2 2 6" xfId="27181"/>
    <cellStyle name="Normal 3 2 2 2 2 2 2 2 2 2 2 2 8 2 2 7" xfId="27182"/>
    <cellStyle name="Normal 3 2 2 2 2 2 2 2 2 2 2 2 8 2 2 8" xfId="27183"/>
    <cellStyle name="Normal 3 2 2 2 2 2 2 2 2 2 2 2 8 2 2 8 2" xfId="27184"/>
    <cellStyle name="Normal 3 2 2 2 2 2 2 2 2 2 2 2 8 2 2 8 3" xfId="27185"/>
    <cellStyle name="Normal 3 2 2 2 2 2 2 2 2 2 2 2 8 2 2 8 4" xfId="27186"/>
    <cellStyle name="Normal 3 2 2 2 2 2 2 2 2 2 2 2 8 2 2 9" xfId="27187"/>
    <cellStyle name="Normal 3 2 2 2 2 2 2 2 2 2 2 2 8 2 3" xfId="27188"/>
    <cellStyle name="Normal 3 2 2 2 2 2 2 2 2 2 2 2 8 2 4" xfId="27189"/>
    <cellStyle name="Normal 3 2 2 2 2 2 2 2 2 2 2 2 8 2 5" xfId="27190"/>
    <cellStyle name="Normal 3 2 2 2 2 2 2 2 2 2 2 2 8 2 5 2" xfId="27191"/>
    <cellStyle name="Normal 3 2 2 2 2 2 2 2 2 2 2 2 8 2 5 2 2" xfId="27192"/>
    <cellStyle name="Normal 3 2 2 2 2 2 2 2 2 2 2 2 8 2 5 2 3" xfId="27193"/>
    <cellStyle name="Normal 3 2 2 2 2 2 2 2 2 2 2 2 8 2 5 2 4" xfId="27194"/>
    <cellStyle name="Normal 3 2 2 2 2 2 2 2 2 2 2 2 8 2 5 3" xfId="27195"/>
    <cellStyle name="Normal 3 2 2 2 2 2 2 2 2 2 2 2 8 2 5 4" xfId="27196"/>
    <cellStyle name="Normal 3 2 2 2 2 2 2 2 2 2 2 2 8 2 5 5" xfId="27197"/>
    <cellStyle name="Normal 3 2 2 2 2 2 2 2 2 2 2 2 8 2 5 6" xfId="27198"/>
    <cellStyle name="Normal 3 2 2 2 2 2 2 2 2 2 2 2 8 2 6" xfId="27199"/>
    <cellStyle name="Normal 3 2 2 2 2 2 2 2 2 2 2 2 8 2 7" xfId="27200"/>
    <cellStyle name="Normal 3 2 2 2 2 2 2 2 2 2 2 2 8 2 8" xfId="27201"/>
    <cellStyle name="Normal 3 2 2 2 2 2 2 2 2 2 2 2 8 2 9" xfId="27202"/>
    <cellStyle name="Normal 3 2 2 2 2 2 2 2 2 2 2 2 8 3" xfId="27203"/>
    <cellStyle name="Normal 3 2 2 2 2 2 2 2 2 2 2 2 8 4" xfId="27204"/>
    <cellStyle name="Normal 3 2 2 2 2 2 2 2 2 2 2 2 8 5" xfId="27205"/>
    <cellStyle name="Normal 3 2 2 2 2 2 2 2 2 2 2 2 8 5 10" xfId="27206"/>
    <cellStyle name="Normal 3 2 2 2 2 2 2 2 2 2 2 2 8 5 11" xfId="27207"/>
    <cellStyle name="Normal 3 2 2 2 2 2 2 2 2 2 2 2 8 5 2" xfId="27208"/>
    <cellStyle name="Normal 3 2 2 2 2 2 2 2 2 2 2 2 8 5 2 10" xfId="27209"/>
    <cellStyle name="Normal 3 2 2 2 2 2 2 2 2 2 2 2 8 5 2 11" xfId="27210"/>
    <cellStyle name="Normal 3 2 2 2 2 2 2 2 2 2 2 2 8 5 2 2" xfId="27211"/>
    <cellStyle name="Normal 3 2 2 2 2 2 2 2 2 2 2 2 8 5 2 2 2" xfId="27212"/>
    <cellStyle name="Normal 3 2 2 2 2 2 2 2 2 2 2 2 8 5 2 2 2 2" xfId="27213"/>
    <cellStyle name="Normal 3 2 2 2 2 2 2 2 2 2 2 2 8 5 2 2 2 3" xfId="27214"/>
    <cellStyle name="Normal 3 2 2 2 2 2 2 2 2 2 2 2 8 5 2 2 2 4" xfId="27215"/>
    <cellStyle name="Normal 3 2 2 2 2 2 2 2 2 2 2 2 8 5 2 2 3" xfId="27216"/>
    <cellStyle name="Normal 3 2 2 2 2 2 2 2 2 2 2 2 8 5 2 2 4" xfId="27217"/>
    <cellStyle name="Normal 3 2 2 2 2 2 2 2 2 2 2 2 8 5 2 2 5" xfId="27218"/>
    <cellStyle name="Normal 3 2 2 2 2 2 2 2 2 2 2 2 8 5 2 2 6" xfId="27219"/>
    <cellStyle name="Normal 3 2 2 2 2 2 2 2 2 2 2 2 8 5 2 3" xfId="27220"/>
    <cellStyle name="Normal 3 2 2 2 2 2 2 2 2 2 2 2 8 5 2 4" xfId="27221"/>
    <cellStyle name="Normal 3 2 2 2 2 2 2 2 2 2 2 2 8 5 2 5" xfId="27222"/>
    <cellStyle name="Normal 3 2 2 2 2 2 2 2 2 2 2 2 8 5 2 6" xfId="27223"/>
    <cellStyle name="Normal 3 2 2 2 2 2 2 2 2 2 2 2 8 5 2 7" xfId="27224"/>
    <cellStyle name="Normal 3 2 2 2 2 2 2 2 2 2 2 2 8 5 2 8" xfId="27225"/>
    <cellStyle name="Normal 3 2 2 2 2 2 2 2 2 2 2 2 8 5 2 8 2" xfId="27226"/>
    <cellStyle name="Normal 3 2 2 2 2 2 2 2 2 2 2 2 8 5 2 8 3" xfId="27227"/>
    <cellStyle name="Normal 3 2 2 2 2 2 2 2 2 2 2 2 8 5 2 8 4" xfId="27228"/>
    <cellStyle name="Normal 3 2 2 2 2 2 2 2 2 2 2 2 8 5 2 9" xfId="27229"/>
    <cellStyle name="Normal 3 2 2 2 2 2 2 2 2 2 2 2 8 5 3" xfId="27230"/>
    <cellStyle name="Normal 3 2 2 2 2 2 2 2 2 2 2 2 8 5 3 2" xfId="27231"/>
    <cellStyle name="Normal 3 2 2 2 2 2 2 2 2 2 2 2 8 5 3 2 2" xfId="27232"/>
    <cellStyle name="Normal 3 2 2 2 2 2 2 2 2 2 2 2 8 5 3 2 3" xfId="27233"/>
    <cellStyle name="Normal 3 2 2 2 2 2 2 2 2 2 2 2 8 5 3 2 4" xfId="27234"/>
    <cellStyle name="Normal 3 2 2 2 2 2 2 2 2 2 2 2 8 5 3 3" xfId="27235"/>
    <cellStyle name="Normal 3 2 2 2 2 2 2 2 2 2 2 2 8 5 3 4" xfId="27236"/>
    <cellStyle name="Normal 3 2 2 2 2 2 2 2 2 2 2 2 8 5 3 5" xfId="27237"/>
    <cellStyle name="Normal 3 2 2 2 2 2 2 2 2 2 2 2 8 5 3 6" xfId="27238"/>
    <cellStyle name="Normal 3 2 2 2 2 2 2 2 2 2 2 2 8 5 4" xfId="27239"/>
    <cellStyle name="Normal 3 2 2 2 2 2 2 2 2 2 2 2 8 5 5" xfId="27240"/>
    <cellStyle name="Normal 3 2 2 2 2 2 2 2 2 2 2 2 8 5 6" xfId="27241"/>
    <cellStyle name="Normal 3 2 2 2 2 2 2 2 2 2 2 2 8 5 7" xfId="27242"/>
    <cellStyle name="Normal 3 2 2 2 2 2 2 2 2 2 2 2 8 5 8" xfId="27243"/>
    <cellStyle name="Normal 3 2 2 2 2 2 2 2 2 2 2 2 8 5 8 2" xfId="27244"/>
    <cellStyle name="Normal 3 2 2 2 2 2 2 2 2 2 2 2 8 5 8 3" xfId="27245"/>
    <cellStyle name="Normal 3 2 2 2 2 2 2 2 2 2 2 2 8 5 8 4" xfId="27246"/>
    <cellStyle name="Normal 3 2 2 2 2 2 2 2 2 2 2 2 8 5 9" xfId="27247"/>
    <cellStyle name="Normal 3 2 2 2 2 2 2 2 2 2 2 2 8 6" xfId="27248"/>
    <cellStyle name="Normal 3 2 2 2 2 2 2 2 2 2 2 2 8 7" xfId="27249"/>
    <cellStyle name="Normal 3 2 2 2 2 2 2 2 2 2 2 2 8 7 2" xfId="27250"/>
    <cellStyle name="Normal 3 2 2 2 2 2 2 2 2 2 2 2 8 7 2 2" xfId="27251"/>
    <cellStyle name="Normal 3 2 2 2 2 2 2 2 2 2 2 2 8 7 2 3" xfId="27252"/>
    <cellStyle name="Normal 3 2 2 2 2 2 2 2 2 2 2 2 8 7 2 4" xfId="27253"/>
    <cellStyle name="Normal 3 2 2 2 2 2 2 2 2 2 2 2 8 7 3" xfId="27254"/>
    <cellStyle name="Normal 3 2 2 2 2 2 2 2 2 2 2 2 8 7 4" xfId="27255"/>
    <cellStyle name="Normal 3 2 2 2 2 2 2 2 2 2 2 2 8 7 5" xfId="27256"/>
    <cellStyle name="Normal 3 2 2 2 2 2 2 2 2 2 2 2 8 7 6" xfId="27257"/>
    <cellStyle name="Normal 3 2 2 2 2 2 2 2 2 2 2 2 8 8" xfId="27258"/>
    <cellStyle name="Normal 3 2 2 2 2 2 2 2 2 2 2 2 8 9" xfId="27259"/>
    <cellStyle name="Normal 3 2 2 2 2 2 2 2 2 2 2 2 9" xfId="27260"/>
    <cellStyle name="Normal 3 2 2 2 2 2 2 2 2 2 2 20" xfId="27261"/>
    <cellStyle name="Normal 3 2 2 2 2 2 2 2 2 2 2 20 2" xfId="27262"/>
    <cellStyle name="Normal 3 2 2 2 2 2 2 2 2 2 2 20 2 2" xfId="27263"/>
    <cellStyle name="Normal 3 2 2 2 2 2 2 2 2 2 2 20 2 3" xfId="27264"/>
    <cellStyle name="Normal 3 2 2 2 2 2 2 2 2 2 2 20 2 4" xfId="27265"/>
    <cellStyle name="Normal 3 2 2 2 2 2 2 2 2 2 2 20 3" xfId="27266"/>
    <cellStyle name="Normal 3 2 2 2 2 2 2 2 2 2 2 20 4" xfId="27267"/>
    <cellStyle name="Normal 3 2 2 2 2 2 2 2 2 2 2 20 5" xfId="27268"/>
    <cellStyle name="Normal 3 2 2 2 2 2 2 2 2 2 2 20 6" xfId="27269"/>
    <cellStyle name="Normal 3 2 2 2 2 2 2 2 2 2 2 21" xfId="27270"/>
    <cellStyle name="Normal 3 2 2 2 2 2 2 2 2 2 2 22" xfId="27271"/>
    <cellStyle name="Normal 3 2 2 2 2 2 2 2 2 2 2 23" xfId="27272"/>
    <cellStyle name="Normal 3 2 2 2 2 2 2 2 2 2 2 24" xfId="27273"/>
    <cellStyle name="Normal 3 2 2 2 2 2 2 2 2 2 2 25" xfId="27274"/>
    <cellStyle name="Normal 3 2 2 2 2 2 2 2 2 2 2 26" xfId="27275"/>
    <cellStyle name="Normal 3 2 2 2 2 2 2 2 2 2 2 26 2" xfId="27276"/>
    <cellStyle name="Normal 3 2 2 2 2 2 2 2 2 2 2 26 3" xfId="27277"/>
    <cellStyle name="Normal 3 2 2 2 2 2 2 2 2 2 2 26 4" xfId="27278"/>
    <cellStyle name="Normal 3 2 2 2 2 2 2 2 2 2 2 27" xfId="27279"/>
    <cellStyle name="Normal 3 2 2 2 2 2 2 2 2 2 2 28" xfId="27280"/>
    <cellStyle name="Normal 3 2 2 2 2 2 2 2 2 2 2 29" xfId="27281"/>
    <cellStyle name="Normal 3 2 2 2 2 2 2 2 2 2 2 3" xfId="27282"/>
    <cellStyle name="Normal 3 2 2 2 2 2 2 2 2 2 2 30" xfId="27283"/>
    <cellStyle name="Normal 3 2 2 2 2 2 2 2 2 2 2 31" xfId="27284"/>
    <cellStyle name="Normal 3 2 2 2 2 2 2 2 2 2 2 32" xfId="27285"/>
    <cellStyle name="Normal 3 2 2 2 2 2 2 2 2 2 2 33" xfId="27286"/>
    <cellStyle name="Normal 3 2 2 2 2 2 2 2 2 2 2 34" xfId="27287"/>
    <cellStyle name="Normal 3 2 2 2 2 2 2 2 2 2 2 35" xfId="27288"/>
    <cellStyle name="Normal 3 2 2 2 2 2 2 2 2 2 2 36" xfId="27289"/>
    <cellStyle name="Normal 3 2 2 2 2 2 2 2 2 2 2 37" xfId="27290"/>
    <cellStyle name="Normal 3 2 2 2 2 2 2 2 2 2 2 38" xfId="27291"/>
    <cellStyle name="Normal 3 2 2 2 2 2 2 2 2 2 2 39" xfId="27292"/>
    <cellStyle name="Normal 3 2 2 2 2 2 2 2 2 2 2 4" xfId="27293"/>
    <cellStyle name="Normal 3 2 2 2 2 2 2 2 2 2 2 40" xfId="27294"/>
    <cellStyle name="Normal 3 2 2 2 2 2 2 2 2 2 2 41" xfId="27295"/>
    <cellStyle name="Normal 3 2 2 2 2 2 2 2 2 2 2 41 2" xfId="27296"/>
    <cellStyle name="Normal 3 2 2 2 2 2 2 2 2 2 2 41 3" xfId="27297"/>
    <cellStyle name="Normal 3 2 2 2 2 2 2 2 2 2 2 41 4" xfId="27298"/>
    <cellStyle name="Normal 3 2 2 2 2 2 2 2 2 2 2 41 5" xfId="27299"/>
    <cellStyle name="Normal 3 2 2 2 2 2 2 2 2 2 2 41 6" xfId="27300"/>
    <cellStyle name="Normal 3 2 2 2 2 2 2 2 2 2 2 41 7" xfId="27301"/>
    <cellStyle name="Normal 3 2 2 2 2 2 2 2 2 2 2 42" xfId="27302"/>
    <cellStyle name="Normal 3 2 2 2 2 2 2 2 2 2 2 43" xfId="27303"/>
    <cellStyle name="Normal 3 2 2 2 2 2 2 2 2 2 2 44" xfId="27304"/>
    <cellStyle name="Normal 3 2 2 2 2 2 2 2 2 2 2 45" xfId="27305"/>
    <cellStyle name="Normal 3 2 2 2 2 2 2 2 2 2 2 46" xfId="27306"/>
    <cellStyle name="Normal 3 2 2 2 2 2 2 2 2 2 2 47" xfId="27307"/>
    <cellStyle name="Normal 3 2 2 2 2 2 2 2 2 2 2 48" xfId="27308"/>
    <cellStyle name="Normal 3 2 2 2 2 2 2 2 2 2 2 49" xfId="27309"/>
    <cellStyle name="Normal 3 2 2 2 2 2 2 2 2 2 2 5" xfId="27310"/>
    <cellStyle name="Normal 3 2 2 2 2 2 2 2 2 2 2 50" xfId="27311"/>
    <cellStyle name="Normal 3 2 2 2 2 2 2 2 2 2 2 51" xfId="27312"/>
    <cellStyle name="Normal 3 2 2 2 2 2 2 2 2 2 2 52" xfId="27313"/>
    <cellStyle name="Normal 3 2 2 2 2 2 2 2 2 2 2 53" xfId="27314"/>
    <cellStyle name="Normal 3 2 2 2 2 2 2 2 2 2 2 54" xfId="27315"/>
    <cellStyle name="Normal 3 2 2 2 2 2 2 2 2 2 2 55" xfId="27316"/>
    <cellStyle name="Normal 3 2 2 2 2 2 2 2 2 2 2 56" xfId="27317"/>
    <cellStyle name="Normal 3 2 2 2 2 2 2 2 2 2 2 57" xfId="27318"/>
    <cellStyle name="Normal 3 2 2 2 2 2 2 2 2 2 2 58" xfId="27319"/>
    <cellStyle name="Normal 3 2 2 2 2 2 2 2 2 2 2 59" xfId="27320"/>
    <cellStyle name="Normal 3 2 2 2 2 2 2 2 2 2 2 6" xfId="27321"/>
    <cellStyle name="Normal 3 2 2 2 2 2 2 2 2 2 2 60" xfId="27322"/>
    <cellStyle name="Normal 3 2 2 2 2 2 2 2 2 2 2 61" xfId="27323"/>
    <cellStyle name="Normal 3 2 2 2 2 2 2 2 2 2 2 62" xfId="27324"/>
    <cellStyle name="Normal 3 2 2 2 2 2 2 2 2 2 2 63" xfId="27325"/>
    <cellStyle name="Normal 3 2 2 2 2 2 2 2 2 2 2 64" xfId="27326"/>
    <cellStyle name="Normal 3 2 2 2 2 2 2 2 2 2 2 65" xfId="27327"/>
    <cellStyle name="Normal 3 2 2 2 2 2 2 2 2 2 2 66" xfId="27328"/>
    <cellStyle name="Normal 3 2 2 2 2 2 2 2 2 2 2 67" xfId="27329"/>
    <cellStyle name="Normal 3 2 2 2 2 2 2 2 2 2 2 68" xfId="27330"/>
    <cellStyle name="Normal 3 2 2 2 2 2 2 2 2 2 2 69" xfId="27331"/>
    <cellStyle name="Normal 3 2 2 2 2 2 2 2 2 2 2 7" xfId="27332"/>
    <cellStyle name="Normal 3 2 2 2 2 2 2 2 2 2 2 7 10" xfId="27333"/>
    <cellStyle name="Normal 3 2 2 2 2 2 2 2 2 2 2 7 11" xfId="27334"/>
    <cellStyle name="Normal 3 2 2 2 2 2 2 2 2 2 2 7 11 10" xfId="27335"/>
    <cellStyle name="Normal 3 2 2 2 2 2 2 2 2 2 2 7 11 11" xfId="27336"/>
    <cellStyle name="Normal 3 2 2 2 2 2 2 2 2 2 2 7 11 11 2" xfId="27337"/>
    <cellStyle name="Normal 3 2 2 2 2 2 2 2 2 2 2 7 11 11 3" xfId="27338"/>
    <cellStyle name="Normal 3 2 2 2 2 2 2 2 2 2 2 7 11 11 4" xfId="27339"/>
    <cellStyle name="Normal 3 2 2 2 2 2 2 2 2 2 2 7 11 12" xfId="27340"/>
    <cellStyle name="Normal 3 2 2 2 2 2 2 2 2 2 2 7 11 13" xfId="27341"/>
    <cellStyle name="Normal 3 2 2 2 2 2 2 2 2 2 2 7 11 14" xfId="27342"/>
    <cellStyle name="Normal 3 2 2 2 2 2 2 2 2 2 2 7 11 2" xfId="27343"/>
    <cellStyle name="Normal 3 2 2 2 2 2 2 2 2 2 2 7 11 2 10" xfId="27344"/>
    <cellStyle name="Normal 3 2 2 2 2 2 2 2 2 2 2 7 11 2 11" xfId="27345"/>
    <cellStyle name="Normal 3 2 2 2 2 2 2 2 2 2 2 7 11 2 2" xfId="27346"/>
    <cellStyle name="Normal 3 2 2 2 2 2 2 2 2 2 2 7 11 2 2 10" xfId="27347"/>
    <cellStyle name="Normal 3 2 2 2 2 2 2 2 2 2 2 7 11 2 2 11" xfId="27348"/>
    <cellStyle name="Normal 3 2 2 2 2 2 2 2 2 2 2 7 11 2 2 2" xfId="27349"/>
    <cellStyle name="Normal 3 2 2 2 2 2 2 2 2 2 2 7 11 2 2 2 2" xfId="27350"/>
    <cellStyle name="Normal 3 2 2 2 2 2 2 2 2 2 2 7 11 2 2 2 2 2" xfId="27351"/>
    <cellStyle name="Normal 3 2 2 2 2 2 2 2 2 2 2 7 11 2 2 2 2 3" xfId="27352"/>
    <cellStyle name="Normal 3 2 2 2 2 2 2 2 2 2 2 7 11 2 2 2 2 4" xfId="27353"/>
    <cellStyle name="Normal 3 2 2 2 2 2 2 2 2 2 2 7 11 2 2 2 3" xfId="27354"/>
    <cellStyle name="Normal 3 2 2 2 2 2 2 2 2 2 2 7 11 2 2 2 4" xfId="27355"/>
    <cellStyle name="Normal 3 2 2 2 2 2 2 2 2 2 2 7 11 2 2 2 5" xfId="27356"/>
    <cellStyle name="Normal 3 2 2 2 2 2 2 2 2 2 2 7 11 2 2 2 6" xfId="27357"/>
    <cellStyle name="Normal 3 2 2 2 2 2 2 2 2 2 2 7 11 2 2 3" xfId="27358"/>
    <cellStyle name="Normal 3 2 2 2 2 2 2 2 2 2 2 7 11 2 2 4" xfId="27359"/>
    <cellStyle name="Normal 3 2 2 2 2 2 2 2 2 2 2 7 11 2 2 5" xfId="27360"/>
    <cellStyle name="Normal 3 2 2 2 2 2 2 2 2 2 2 7 11 2 2 6" xfId="27361"/>
    <cellStyle name="Normal 3 2 2 2 2 2 2 2 2 2 2 7 11 2 2 7" xfId="27362"/>
    <cellStyle name="Normal 3 2 2 2 2 2 2 2 2 2 2 7 11 2 2 8" xfId="27363"/>
    <cellStyle name="Normal 3 2 2 2 2 2 2 2 2 2 2 7 11 2 2 8 2" xfId="27364"/>
    <cellStyle name="Normal 3 2 2 2 2 2 2 2 2 2 2 7 11 2 2 8 3" xfId="27365"/>
    <cellStyle name="Normal 3 2 2 2 2 2 2 2 2 2 2 7 11 2 2 8 4" xfId="27366"/>
    <cellStyle name="Normal 3 2 2 2 2 2 2 2 2 2 2 7 11 2 2 9" xfId="27367"/>
    <cellStyle name="Normal 3 2 2 2 2 2 2 2 2 2 2 7 11 2 3" xfId="27368"/>
    <cellStyle name="Normal 3 2 2 2 2 2 2 2 2 2 2 7 11 2 3 2" xfId="27369"/>
    <cellStyle name="Normal 3 2 2 2 2 2 2 2 2 2 2 7 11 2 3 2 2" xfId="27370"/>
    <cellStyle name="Normal 3 2 2 2 2 2 2 2 2 2 2 7 11 2 3 2 3" xfId="27371"/>
    <cellStyle name="Normal 3 2 2 2 2 2 2 2 2 2 2 7 11 2 3 2 4" xfId="27372"/>
    <cellStyle name="Normal 3 2 2 2 2 2 2 2 2 2 2 7 11 2 3 3" xfId="27373"/>
    <cellStyle name="Normal 3 2 2 2 2 2 2 2 2 2 2 7 11 2 3 4" xfId="27374"/>
    <cellStyle name="Normal 3 2 2 2 2 2 2 2 2 2 2 7 11 2 3 5" xfId="27375"/>
    <cellStyle name="Normal 3 2 2 2 2 2 2 2 2 2 2 7 11 2 3 6" xfId="27376"/>
    <cellStyle name="Normal 3 2 2 2 2 2 2 2 2 2 2 7 11 2 4" xfId="27377"/>
    <cellStyle name="Normal 3 2 2 2 2 2 2 2 2 2 2 7 11 2 5" xfId="27378"/>
    <cellStyle name="Normal 3 2 2 2 2 2 2 2 2 2 2 7 11 2 6" xfId="27379"/>
    <cellStyle name="Normal 3 2 2 2 2 2 2 2 2 2 2 7 11 2 7" xfId="27380"/>
    <cellStyle name="Normal 3 2 2 2 2 2 2 2 2 2 2 7 11 2 8" xfId="27381"/>
    <cellStyle name="Normal 3 2 2 2 2 2 2 2 2 2 2 7 11 2 8 2" xfId="27382"/>
    <cellStyle name="Normal 3 2 2 2 2 2 2 2 2 2 2 7 11 2 8 3" xfId="27383"/>
    <cellStyle name="Normal 3 2 2 2 2 2 2 2 2 2 2 7 11 2 8 4" xfId="27384"/>
    <cellStyle name="Normal 3 2 2 2 2 2 2 2 2 2 2 7 11 2 9" xfId="27385"/>
    <cellStyle name="Normal 3 2 2 2 2 2 2 2 2 2 2 7 11 3" xfId="27386"/>
    <cellStyle name="Normal 3 2 2 2 2 2 2 2 2 2 2 7 11 4" xfId="27387"/>
    <cellStyle name="Normal 3 2 2 2 2 2 2 2 2 2 2 7 11 5" xfId="27388"/>
    <cellStyle name="Normal 3 2 2 2 2 2 2 2 2 2 2 7 11 5 2" xfId="27389"/>
    <cellStyle name="Normal 3 2 2 2 2 2 2 2 2 2 2 7 11 5 2 2" xfId="27390"/>
    <cellStyle name="Normal 3 2 2 2 2 2 2 2 2 2 2 7 11 5 2 3" xfId="27391"/>
    <cellStyle name="Normal 3 2 2 2 2 2 2 2 2 2 2 7 11 5 2 4" xfId="27392"/>
    <cellStyle name="Normal 3 2 2 2 2 2 2 2 2 2 2 7 11 5 3" xfId="27393"/>
    <cellStyle name="Normal 3 2 2 2 2 2 2 2 2 2 2 7 11 5 4" xfId="27394"/>
    <cellStyle name="Normal 3 2 2 2 2 2 2 2 2 2 2 7 11 5 5" xfId="27395"/>
    <cellStyle name="Normal 3 2 2 2 2 2 2 2 2 2 2 7 11 5 6" xfId="27396"/>
    <cellStyle name="Normal 3 2 2 2 2 2 2 2 2 2 2 7 11 6" xfId="27397"/>
    <cellStyle name="Normal 3 2 2 2 2 2 2 2 2 2 2 7 11 7" xfId="27398"/>
    <cellStyle name="Normal 3 2 2 2 2 2 2 2 2 2 2 7 11 8" xfId="27399"/>
    <cellStyle name="Normal 3 2 2 2 2 2 2 2 2 2 2 7 11 9" xfId="27400"/>
    <cellStyle name="Normal 3 2 2 2 2 2 2 2 2 2 2 7 12" xfId="27401"/>
    <cellStyle name="Normal 3 2 2 2 2 2 2 2 2 2 2 7 13" xfId="27402"/>
    <cellStyle name="Normal 3 2 2 2 2 2 2 2 2 2 2 7 13 10" xfId="27403"/>
    <cellStyle name="Normal 3 2 2 2 2 2 2 2 2 2 2 7 13 11" xfId="27404"/>
    <cellStyle name="Normal 3 2 2 2 2 2 2 2 2 2 2 7 13 2" xfId="27405"/>
    <cellStyle name="Normal 3 2 2 2 2 2 2 2 2 2 2 7 13 2 10" xfId="27406"/>
    <cellStyle name="Normal 3 2 2 2 2 2 2 2 2 2 2 7 13 2 11" xfId="27407"/>
    <cellStyle name="Normal 3 2 2 2 2 2 2 2 2 2 2 7 13 2 2" xfId="27408"/>
    <cellStyle name="Normal 3 2 2 2 2 2 2 2 2 2 2 7 13 2 2 2" xfId="27409"/>
    <cellStyle name="Normal 3 2 2 2 2 2 2 2 2 2 2 7 13 2 2 2 2" xfId="27410"/>
    <cellStyle name="Normal 3 2 2 2 2 2 2 2 2 2 2 7 13 2 2 2 3" xfId="27411"/>
    <cellStyle name="Normal 3 2 2 2 2 2 2 2 2 2 2 7 13 2 2 2 4" xfId="27412"/>
    <cellStyle name="Normal 3 2 2 2 2 2 2 2 2 2 2 7 13 2 2 3" xfId="27413"/>
    <cellStyle name="Normal 3 2 2 2 2 2 2 2 2 2 2 7 13 2 2 4" xfId="27414"/>
    <cellStyle name="Normal 3 2 2 2 2 2 2 2 2 2 2 7 13 2 2 5" xfId="27415"/>
    <cellStyle name="Normal 3 2 2 2 2 2 2 2 2 2 2 7 13 2 2 6" xfId="27416"/>
    <cellStyle name="Normal 3 2 2 2 2 2 2 2 2 2 2 7 13 2 3" xfId="27417"/>
    <cellStyle name="Normal 3 2 2 2 2 2 2 2 2 2 2 7 13 2 4" xfId="27418"/>
    <cellStyle name="Normal 3 2 2 2 2 2 2 2 2 2 2 7 13 2 5" xfId="27419"/>
    <cellStyle name="Normal 3 2 2 2 2 2 2 2 2 2 2 7 13 2 6" xfId="27420"/>
    <cellStyle name="Normal 3 2 2 2 2 2 2 2 2 2 2 7 13 2 7" xfId="27421"/>
    <cellStyle name="Normal 3 2 2 2 2 2 2 2 2 2 2 7 13 2 8" xfId="27422"/>
    <cellStyle name="Normal 3 2 2 2 2 2 2 2 2 2 2 7 13 2 8 2" xfId="27423"/>
    <cellStyle name="Normal 3 2 2 2 2 2 2 2 2 2 2 7 13 2 8 3" xfId="27424"/>
    <cellStyle name="Normal 3 2 2 2 2 2 2 2 2 2 2 7 13 2 8 4" xfId="27425"/>
    <cellStyle name="Normal 3 2 2 2 2 2 2 2 2 2 2 7 13 2 9" xfId="27426"/>
    <cellStyle name="Normal 3 2 2 2 2 2 2 2 2 2 2 7 13 3" xfId="27427"/>
    <cellStyle name="Normal 3 2 2 2 2 2 2 2 2 2 2 7 13 3 2" xfId="27428"/>
    <cellStyle name="Normal 3 2 2 2 2 2 2 2 2 2 2 7 13 3 2 2" xfId="27429"/>
    <cellStyle name="Normal 3 2 2 2 2 2 2 2 2 2 2 7 13 3 2 3" xfId="27430"/>
    <cellStyle name="Normal 3 2 2 2 2 2 2 2 2 2 2 7 13 3 2 4" xfId="27431"/>
    <cellStyle name="Normal 3 2 2 2 2 2 2 2 2 2 2 7 13 3 3" xfId="27432"/>
    <cellStyle name="Normal 3 2 2 2 2 2 2 2 2 2 2 7 13 3 4" xfId="27433"/>
    <cellStyle name="Normal 3 2 2 2 2 2 2 2 2 2 2 7 13 3 5" xfId="27434"/>
    <cellStyle name="Normal 3 2 2 2 2 2 2 2 2 2 2 7 13 3 6" xfId="27435"/>
    <cellStyle name="Normal 3 2 2 2 2 2 2 2 2 2 2 7 13 4" xfId="27436"/>
    <cellStyle name="Normal 3 2 2 2 2 2 2 2 2 2 2 7 13 5" xfId="27437"/>
    <cellStyle name="Normal 3 2 2 2 2 2 2 2 2 2 2 7 13 6" xfId="27438"/>
    <cellStyle name="Normal 3 2 2 2 2 2 2 2 2 2 2 7 13 7" xfId="27439"/>
    <cellStyle name="Normal 3 2 2 2 2 2 2 2 2 2 2 7 13 8" xfId="27440"/>
    <cellStyle name="Normal 3 2 2 2 2 2 2 2 2 2 2 7 13 8 2" xfId="27441"/>
    <cellStyle name="Normal 3 2 2 2 2 2 2 2 2 2 2 7 13 8 3" xfId="27442"/>
    <cellStyle name="Normal 3 2 2 2 2 2 2 2 2 2 2 7 13 8 4" xfId="27443"/>
    <cellStyle name="Normal 3 2 2 2 2 2 2 2 2 2 2 7 13 9" xfId="27444"/>
    <cellStyle name="Normal 3 2 2 2 2 2 2 2 2 2 2 7 14" xfId="27445"/>
    <cellStyle name="Normal 3 2 2 2 2 2 2 2 2 2 2 7 15" xfId="27446"/>
    <cellStyle name="Normal 3 2 2 2 2 2 2 2 2 2 2 7 15 2" xfId="27447"/>
    <cellStyle name="Normal 3 2 2 2 2 2 2 2 2 2 2 7 15 2 2" xfId="27448"/>
    <cellStyle name="Normal 3 2 2 2 2 2 2 2 2 2 2 7 15 2 3" xfId="27449"/>
    <cellStyle name="Normal 3 2 2 2 2 2 2 2 2 2 2 7 15 2 4" xfId="27450"/>
    <cellStyle name="Normal 3 2 2 2 2 2 2 2 2 2 2 7 15 3" xfId="27451"/>
    <cellStyle name="Normal 3 2 2 2 2 2 2 2 2 2 2 7 15 4" xfId="27452"/>
    <cellStyle name="Normal 3 2 2 2 2 2 2 2 2 2 2 7 15 5" xfId="27453"/>
    <cellStyle name="Normal 3 2 2 2 2 2 2 2 2 2 2 7 15 6" xfId="27454"/>
    <cellStyle name="Normal 3 2 2 2 2 2 2 2 2 2 2 7 16" xfId="27455"/>
    <cellStyle name="Normal 3 2 2 2 2 2 2 2 2 2 2 7 17" xfId="27456"/>
    <cellStyle name="Normal 3 2 2 2 2 2 2 2 2 2 2 7 18" xfId="27457"/>
    <cellStyle name="Normal 3 2 2 2 2 2 2 2 2 2 2 7 19" xfId="27458"/>
    <cellStyle name="Normal 3 2 2 2 2 2 2 2 2 2 2 7 2" xfId="27459"/>
    <cellStyle name="Normal 3 2 2 2 2 2 2 2 2 2 2 7 2 10" xfId="27460"/>
    <cellStyle name="Normal 3 2 2 2 2 2 2 2 2 2 2 7 2 11" xfId="27461"/>
    <cellStyle name="Normal 3 2 2 2 2 2 2 2 2 2 2 7 2 12" xfId="27462"/>
    <cellStyle name="Normal 3 2 2 2 2 2 2 2 2 2 2 7 2 13" xfId="27463"/>
    <cellStyle name="Normal 3 2 2 2 2 2 2 2 2 2 2 7 2 13 2" xfId="27464"/>
    <cellStyle name="Normal 3 2 2 2 2 2 2 2 2 2 2 7 2 13 3" xfId="27465"/>
    <cellStyle name="Normal 3 2 2 2 2 2 2 2 2 2 2 7 2 13 4" xfId="27466"/>
    <cellStyle name="Normal 3 2 2 2 2 2 2 2 2 2 2 7 2 14" xfId="27467"/>
    <cellStyle name="Normal 3 2 2 2 2 2 2 2 2 2 2 7 2 15" xfId="27468"/>
    <cellStyle name="Normal 3 2 2 2 2 2 2 2 2 2 2 7 2 16" xfId="27469"/>
    <cellStyle name="Normal 3 2 2 2 2 2 2 2 2 2 2 7 2 2" xfId="27470"/>
    <cellStyle name="Normal 3 2 2 2 2 2 2 2 2 2 2 7 2 2 10" xfId="27471"/>
    <cellStyle name="Normal 3 2 2 2 2 2 2 2 2 2 2 7 2 2 11" xfId="27472"/>
    <cellStyle name="Normal 3 2 2 2 2 2 2 2 2 2 2 7 2 2 11 2" xfId="27473"/>
    <cellStyle name="Normal 3 2 2 2 2 2 2 2 2 2 2 7 2 2 11 3" xfId="27474"/>
    <cellStyle name="Normal 3 2 2 2 2 2 2 2 2 2 2 7 2 2 11 4" xfId="27475"/>
    <cellStyle name="Normal 3 2 2 2 2 2 2 2 2 2 2 7 2 2 12" xfId="27476"/>
    <cellStyle name="Normal 3 2 2 2 2 2 2 2 2 2 2 7 2 2 13" xfId="27477"/>
    <cellStyle name="Normal 3 2 2 2 2 2 2 2 2 2 2 7 2 2 14" xfId="27478"/>
    <cellStyle name="Normal 3 2 2 2 2 2 2 2 2 2 2 7 2 2 2" xfId="27479"/>
    <cellStyle name="Normal 3 2 2 2 2 2 2 2 2 2 2 7 2 2 2 10" xfId="27480"/>
    <cellStyle name="Normal 3 2 2 2 2 2 2 2 2 2 2 7 2 2 2 11" xfId="27481"/>
    <cellStyle name="Normal 3 2 2 2 2 2 2 2 2 2 2 7 2 2 2 2" xfId="27482"/>
    <cellStyle name="Normal 3 2 2 2 2 2 2 2 2 2 2 7 2 2 2 2 10" xfId="27483"/>
    <cellStyle name="Normal 3 2 2 2 2 2 2 2 2 2 2 7 2 2 2 2 11" xfId="27484"/>
    <cellStyle name="Normal 3 2 2 2 2 2 2 2 2 2 2 7 2 2 2 2 2" xfId="27485"/>
    <cellStyle name="Normal 3 2 2 2 2 2 2 2 2 2 2 7 2 2 2 2 2 2" xfId="27486"/>
    <cellStyle name="Normal 3 2 2 2 2 2 2 2 2 2 2 7 2 2 2 2 2 2 2" xfId="27487"/>
    <cellStyle name="Normal 3 2 2 2 2 2 2 2 2 2 2 7 2 2 2 2 2 2 3" xfId="27488"/>
    <cellStyle name="Normal 3 2 2 2 2 2 2 2 2 2 2 7 2 2 2 2 2 2 4" xfId="27489"/>
    <cellStyle name="Normal 3 2 2 2 2 2 2 2 2 2 2 7 2 2 2 2 2 3" xfId="27490"/>
    <cellStyle name="Normal 3 2 2 2 2 2 2 2 2 2 2 7 2 2 2 2 2 4" xfId="27491"/>
    <cellStyle name="Normal 3 2 2 2 2 2 2 2 2 2 2 7 2 2 2 2 2 5" xfId="27492"/>
    <cellStyle name="Normal 3 2 2 2 2 2 2 2 2 2 2 7 2 2 2 2 2 6" xfId="27493"/>
    <cellStyle name="Normal 3 2 2 2 2 2 2 2 2 2 2 7 2 2 2 2 3" xfId="27494"/>
    <cellStyle name="Normal 3 2 2 2 2 2 2 2 2 2 2 7 2 2 2 2 4" xfId="27495"/>
    <cellStyle name="Normal 3 2 2 2 2 2 2 2 2 2 2 7 2 2 2 2 5" xfId="27496"/>
    <cellStyle name="Normal 3 2 2 2 2 2 2 2 2 2 2 7 2 2 2 2 6" xfId="27497"/>
    <cellStyle name="Normal 3 2 2 2 2 2 2 2 2 2 2 7 2 2 2 2 7" xfId="27498"/>
    <cellStyle name="Normal 3 2 2 2 2 2 2 2 2 2 2 7 2 2 2 2 8" xfId="27499"/>
    <cellStyle name="Normal 3 2 2 2 2 2 2 2 2 2 2 7 2 2 2 2 8 2" xfId="27500"/>
    <cellStyle name="Normal 3 2 2 2 2 2 2 2 2 2 2 7 2 2 2 2 8 3" xfId="27501"/>
    <cellStyle name="Normal 3 2 2 2 2 2 2 2 2 2 2 7 2 2 2 2 8 4" xfId="27502"/>
    <cellStyle name="Normal 3 2 2 2 2 2 2 2 2 2 2 7 2 2 2 2 9" xfId="27503"/>
    <cellStyle name="Normal 3 2 2 2 2 2 2 2 2 2 2 7 2 2 2 3" xfId="27504"/>
    <cellStyle name="Normal 3 2 2 2 2 2 2 2 2 2 2 7 2 2 2 3 2" xfId="27505"/>
    <cellStyle name="Normal 3 2 2 2 2 2 2 2 2 2 2 7 2 2 2 3 2 2" xfId="27506"/>
    <cellStyle name="Normal 3 2 2 2 2 2 2 2 2 2 2 7 2 2 2 3 2 3" xfId="27507"/>
    <cellStyle name="Normal 3 2 2 2 2 2 2 2 2 2 2 7 2 2 2 3 2 4" xfId="27508"/>
    <cellStyle name="Normal 3 2 2 2 2 2 2 2 2 2 2 7 2 2 2 3 3" xfId="27509"/>
    <cellStyle name="Normal 3 2 2 2 2 2 2 2 2 2 2 7 2 2 2 3 4" xfId="27510"/>
    <cellStyle name="Normal 3 2 2 2 2 2 2 2 2 2 2 7 2 2 2 3 5" xfId="27511"/>
    <cellStyle name="Normal 3 2 2 2 2 2 2 2 2 2 2 7 2 2 2 3 6" xfId="27512"/>
    <cellStyle name="Normal 3 2 2 2 2 2 2 2 2 2 2 7 2 2 2 4" xfId="27513"/>
    <cellStyle name="Normal 3 2 2 2 2 2 2 2 2 2 2 7 2 2 2 5" xfId="27514"/>
    <cellStyle name="Normal 3 2 2 2 2 2 2 2 2 2 2 7 2 2 2 6" xfId="27515"/>
    <cellStyle name="Normal 3 2 2 2 2 2 2 2 2 2 2 7 2 2 2 7" xfId="27516"/>
    <cellStyle name="Normal 3 2 2 2 2 2 2 2 2 2 2 7 2 2 2 8" xfId="27517"/>
    <cellStyle name="Normal 3 2 2 2 2 2 2 2 2 2 2 7 2 2 2 8 2" xfId="27518"/>
    <cellStyle name="Normal 3 2 2 2 2 2 2 2 2 2 2 7 2 2 2 8 3" xfId="27519"/>
    <cellStyle name="Normal 3 2 2 2 2 2 2 2 2 2 2 7 2 2 2 8 4" xfId="27520"/>
    <cellStyle name="Normal 3 2 2 2 2 2 2 2 2 2 2 7 2 2 2 9" xfId="27521"/>
    <cellStyle name="Normal 3 2 2 2 2 2 2 2 2 2 2 7 2 2 3" xfId="27522"/>
    <cellStyle name="Normal 3 2 2 2 2 2 2 2 2 2 2 7 2 2 4" xfId="27523"/>
    <cellStyle name="Normal 3 2 2 2 2 2 2 2 2 2 2 7 2 2 5" xfId="27524"/>
    <cellStyle name="Normal 3 2 2 2 2 2 2 2 2 2 2 7 2 2 5 2" xfId="27525"/>
    <cellStyle name="Normal 3 2 2 2 2 2 2 2 2 2 2 7 2 2 5 2 2" xfId="27526"/>
    <cellStyle name="Normal 3 2 2 2 2 2 2 2 2 2 2 7 2 2 5 2 3" xfId="27527"/>
    <cellStyle name="Normal 3 2 2 2 2 2 2 2 2 2 2 7 2 2 5 2 4" xfId="27528"/>
    <cellStyle name="Normal 3 2 2 2 2 2 2 2 2 2 2 7 2 2 5 3" xfId="27529"/>
    <cellStyle name="Normal 3 2 2 2 2 2 2 2 2 2 2 7 2 2 5 4" xfId="27530"/>
    <cellStyle name="Normal 3 2 2 2 2 2 2 2 2 2 2 7 2 2 5 5" xfId="27531"/>
    <cellStyle name="Normal 3 2 2 2 2 2 2 2 2 2 2 7 2 2 5 6" xfId="27532"/>
    <cellStyle name="Normal 3 2 2 2 2 2 2 2 2 2 2 7 2 2 6" xfId="27533"/>
    <cellStyle name="Normal 3 2 2 2 2 2 2 2 2 2 2 7 2 2 7" xfId="27534"/>
    <cellStyle name="Normal 3 2 2 2 2 2 2 2 2 2 2 7 2 2 8" xfId="27535"/>
    <cellStyle name="Normal 3 2 2 2 2 2 2 2 2 2 2 7 2 2 9" xfId="27536"/>
    <cellStyle name="Normal 3 2 2 2 2 2 2 2 2 2 2 7 2 3" xfId="27537"/>
    <cellStyle name="Normal 3 2 2 2 2 2 2 2 2 2 2 7 2 4" xfId="27538"/>
    <cellStyle name="Normal 3 2 2 2 2 2 2 2 2 2 2 7 2 5" xfId="27539"/>
    <cellStyle name="Normal 3 2 2 2 2 2 2 2 2 2 2 7 2 5 10" xfId="27540"/>
    <cellStyle name="Normal 3 2 2 2 2 2 2 2 2 2 2 7 2 5 11" xfId="27541"/>
    <cellStyle name="Normal 3 2 2 2 2 2 2 2 2 2 2 7 2 5 2" xfId="27542"/>
    <cellStyle name="Normal 3 2 2 2 2 2 2 2 2 2 2 7 2 5 2 10" xfId="27543"/>
    <cellStyle name="Normal 3 2 2 2 2 2 2 2 2 2 2 7 2 5 2 11" xfId="27544"/>
    <cellStyle name="Normal 3 2 2 2 2 2 2 2 2 2 2 7 2 5 2 2" xfId="27545"/>
    <cellStyle name="Normal 3 2 2 2 2 2 2 2 2 2 2 7 2 5 2 2 2" xfId="27546"/>
    <cellStyle name="Normal 3 2 2 2 2 2 2 2 2 2 2 7 2 5 2 2 2 2" xfId="27547"/>
    <cellStyle name="Normal 3 2 2 2 2 2 2 2 2 2 2 7 2 5 2 2 2 3" xfId="27548"/>
    <cellStyle name="Normal 3 2 2 2 2 2 2 2 2 2 2 7 2 5 2 2 2 4" xfId="27549"/>
    <cellStyle name="Normal 3 2 2 2 2 2 2 2 2 2 2 7 2 5 2 2 3" xfId="27550"/>
    <cellStyle name="Normal 3 2 2 2 2 2 2 2 2 2 2 7 2 5 2 2 4" xfId="27551"/>
    <cellStyle name="Normal 3 2 2 2 2 2 2 2 2 2 2 7 2 5 2 2 5" xfId="27552"/>
    <cellStyle name="Normal 3 2 2 2 2 2 2 2 2 2 2 7 2 5 2 2 6" xfId="27553"/>
    <cellStyle name="Normal 3 2 2 2 2 2 2 2 2 2 2 7 2 5 2 3" xfId="27554"/>
    <cellStyle name="Normal 3 2 2 2 2 2 2 2 2 2 2 7 2 5 2 4" xfId="27555"/>
    <cellStyle name="Normal 3 2 2 2 2 2 2 2 2 2 2 7 2 5 2 5" xfId="27556"/>
    <cellStyle name="Normal 3 2 2 2 2 2 2 2 2 2 2 7 2 5 2 6" xfId="27557"/>
    <cellStyle name="Normal 3 2 2 2 2 2 2 2 2 2 2 7 2 5 2 7" xfId="27558"/>
    <cellStyle name="Normal 3 2 2 2 2 2 2 2 2 2 2 7 2 5 2 8" xfId="27559"/>
    <cellStyle name="Normal 3 2 2 2 2 2 2 2 2 2 2 7 2 5 2 8 2" xfId="27560"/>
    <cellStyle name="Normal 3 2 2 2 2 2 2 2 2 2 2 7 2 5 2 8 3" xfId="27561"/>
    <cellStyle name="Normal 3 2 2 2 2 2 2 2 2 2 2 7 2 5 2 8 4" xfId="27562"/>
    <cellStyle name="Normal 3 2 2 2 2 2 2 2 2 2 2 7 2 5 2 9" xfId="27563"/>
    <cellStyle name="Normal 3 2 2 2 2 2 2 2 2 2 2 7 2 5 3" xfId="27564"/>
    <cellStyle name="Normal 3 2 2 2 2 2 2 2 2 2 2 7 2 5 3 2" xfId="27565"/>
    <cellStyle name="Normal 3 2 2 2 2 2 2 2 2 2 2 7 2 5 3 2 2" xfId="27566"/>
    <cellStyle name="Normal 3 2 2 2 2 2 2 2 2 2 2 7 2 5 3 2 3" xfId="27567"/>
    <cellStyle name="Normal 3 2 2 2 2 2 2 2 2 2 2 7 2 5 3 2 4" xfId="27568"/>
    <cellStyle name="Normal 3 2 2 2 2 2 2 2 2 2 2 7 2 5 3 3" xfId="27569"/>
    <cellStyle name="Normal 3 2 2 2 2 2 2 2 2 2 2 7 2 5 3 4" xfId="27570"/>
    <cellStyle name="Normal 3 2 2 2 2 2 2 2 2 2 2 7 2 5 3 5" xfId="27571"/>
    <cellStyle name="Normal 3 2 2 2 2 2 2 2 2 2 2 7 2 5 3 6" xfId="27572"/>
    <cellStyle name="Normal 3 2 2 2 2 2 2 2 2 2 2 7 2 5 4" xfId="27573"/>
    <cellStyle name="Normal 3 2 2 2 2 2 2 2 2 2 2 7 2 5 5" xfId="27574"/>
    <cellStyle name="Normal 3 2 2 2 2 2 2 2 2 2 2 7 2 5 6" xfId="27575"/>
    <cellStyle name="Normal 3 2 2 2 2 2 2 2 2 2 2 7 2 5 7" xfId="27576"/>
    <cellStyle name="Normal 3 2 2 2 2 2 2 2 2 2 2 7 2 5 8" xfId="27577"/>
    <cellStyle name="Normal 3 2 2 2 2 2 2 2 2 2 2 7 2 5 8 2" xfId="27578"/>
    <cellStyle name="Normal 3 2 2 2 2 2 2 2 2 2 2 7 2 5 8 3" xfId="27579"/>
    <cellStyle name="Normal 3 2 2 2 2 2 2 2 2 2 2 7 2 5 8 4" xfId="27580"/>
    <cellStyle name="Normal 3 2 2 2 2 2 2 2 2 2 2 7 2 5 9" xfId="27581"/>
    <cellStyle name="Normal 3 2 2 2 2 2 2 2 2 2 2 7 2 6" xfId="27582"/>
    <cellStyle name="Normal 3 2 2 2 2 2 2 2 2 2 2 7 2 7" xfId="27583"/>
    <cellStyle name="Normal 3 2 2 2 2 2 2 2 2 2 2 7 2 7 2" xfId="27584"/>
    <cellStyle name="Normal 3 2 2 2 2 2 2 2 2 2 2 7 2 7 2 2" xfId="27585"/>
    <cellStyle name="Normal 3 2 2 2 2 2 2 2 2 2 2 7 2 7 2 3" xfId="27586"/>
    <cellStyle name="Normal 3 2 2 2 2 2 2 2 2 2 2 7 2 7 2 4" xfId="27587"/>
    <cellStyle name="Normal 3 2 2 2 2 2 2 2 2 2 2 7 2 7 3" xfId="27588"/>
    <cellStyle name="Normal 3 2 2 2 2 2 2 2 2 2 2 7 2 7 4" xfId="27589"/>
    <cellStyle name="Normal 3 2 2 2 2 2 2 2 2 2 2 7 2 7 5" xfId="27590"/>
    <cellStyle name="Normal 3 2 2 2 2 2 2 2 2 2 2 7 2 7 6" xfId="27591"/>
    <cellStyle name="Normal 3 2 2 2 2 2 2 2 2 2 2 7 2 8" xfId="27592"/>
    <cellStyle name="Normal 3 2 2 2 2 2 2 2 2 2 2 7 2 9" xfId="27593"/>
    <cellStyle name="Normal 3 2 2 2 2 2 2 2 2 2 2 7 20" xfId="27594"/>
    <cellStyle name="Normal 3 2 2 2 2 2 2 2 2 2 2 7 21" xfId="27595"/>
    <cellStyle name="Normal 3 2 2 2 2 2 2 2 2 2 2 7 21 2" xfId="27596"/>
    <cellStyle name="Normal 3 2 2 2 2 2 2 2 2 2 2 7 21 3" xfId="27597"/>
    <cellStyle name="Normal 3 2 2 2 2 2 2 2 2 2 2 7 21 4" xfId="27598"/>
    <cellStyle name="Normal 3 2 2 2 2 2 2 2 2 2 2 7 22" xfId="27599"/>
    <cellStyle name="Normal 3 2 2 2 2 2 2 2 2 2 2 7 23" xfId="27600"/>
    <cellStyle name="Normal 3 2 2 2 2 2 2 2 2 2 2 7 24" xfId="27601"/>
    <cellStyle name="Normal 3 2 2 2 2 2 2 2 2 2 2 7 3" xfId="27602"/>
    <cellStyle name="Normal 3 2 2 2 2 2 2 2 2 2 2 7 4" xfId="27603"/>
    <cellStyle name="Normal 3 2 2 2 2 2 2 2 2 2 2 7 5" xfId="27604"/>
    <cellStyle name="Normal 3 2 2 2 2 2 2 2 2 2 2 7 6" xfId="27605"/>
    <cellStyle name="Normal 3 2 2 2 2 2 2 2 2 2 2 7 7" xfId="27606"/>
    <cellStyle name="Normal 3 2 2 2 2 2 2 2 2 2 2 7 8" xfId="27607"/>
    <cellStyle name="Normal 3 2 2 2 2 2 2 2 2 2 2 7 9" xfId="27608"/>
    <cellStyle name="Normal 3 2 2 2 2 2 2 2 2 2 2 70" xfId="27609"/>
    <cellStyle name="Normal 3 2 2 2 2 2 2 2 2 2 2 71" xfId="27610"/>
    <cellStyle name="Normal 3 2 2 2 2 2 2 2 2 2 2 72" xfId="27611"/>
    <cellStyle name="Normal 3 2 2 2 2 2 2 2 2 2 2 73" xfId="27612"/>
    <cellStyle name="Normal 3 2 2 2 2 2 2 2 2 2 2 73 2" xfId="27613"/>
    <cellStyle name="Normal 3 2 2 2 2 2 2 2 2 2 2 73 3" xfId="27614"/>
    <cellStyle name="Normal 3 2 2 2 2 2 2 2 2 2 2 73 4" xfId="27615"/>
    <cellStyle name="Normal 3 2 2 2 2 2 2 2 2 2 2 74" xfId="27616"/>
    <cellStyle name="Normal 3 2 2 2 2 2 2 2 2 2 2 75" xfId="27617"/>
    <cellStyle name="Normal 3 2 2 2 2 2 2 2 2 2 2 8" xfId="27618"/>
    <cellStyle name="Normal 3 2 2 2 2 2 2 2 2 2 2 8 10" xfId="27619"/>
    <cellStyle name="Normal 3 2 2 2 2 2 2 2 2 2 2 8 11" xfId="27620"/>
    <cellStyle name="Normal 3 2 2 2 2 2 2 2 2 2 2 8 12" xfId="27621"/>
    <cellStyle name="Normal 3 2 2 2 2 2 2 2 2 2 2 8 13" xfId="27622"/>
    <cellStyle name="Normal 3 2 2 2 2 2 2 2 2 2 2 8 13 2" xfId="27623"/>
    <cellStyle name="Normal 3 2 2 2 2 2 2 2 2 2 2 8 13 3" xfId="27624"/>
    <cellStyle name="Normal 3 2 2 2 2 2 2 2 2 2 2 8 13 4" xfId="27625"/>
    <cellStyle name="Normal 3 2 2 2 2 2 2 2 2 2 2 8 14" xfId="27626"/>
    <cellStyle name="Normal 3 2 2 2 2 2 2 2 2 2 2 8 15" xfId="27627"/>
    <cellStyle name="Normal 3 2 2 2 2 2 2 2 2 2 2 8 16" xfId="27628"/>
    <cellStyle name="Normal 3 2 2 2 2 2 2 2 2 2 2 8 2" xfId="27629"/>
    <cellStyle name="Normal 3 2 2 2 2 2 2 2 2 2 2 8 2 10" xfId="27630"/>
    <cellStyle name="Normal 3 2 2 2 2 2 2 2 2 2 2 8 2 11" xfId="27631"/>
    <cellStyle name="Normal 3 2 2 2 2 2 2 2 2 2 2 8 2 11 2" xfId="27632"/>
    <cellStyle name="Normal 3 2 2 2 2 2 2 2 2 2 2 8 2 11 3" xfId="27633"/>
    <cellStyle name="Normal 3 2 2 2 2 2 2 2 2 2 2 8 2 11 4" xfId="27634"/>
    <cellStyle name="Normal 3 2 2 2 2 2 2 2 2 2 2 8 2 12" xfId="27635"/>
    <cellStyle name="Normal 3 2 2 2 2 2 2 2 2 2 2 8 2 13" xfId="27636"/>
    <cellStyle name="Normal 3 2 2 2 2 2 2 2 2 2 2 8 2 14" xfId="27637"/>
    <cellStyle name="Normal 3 2 2 2 2 2 2 2 2 2 2 8 2 2" xfId="27638"/>
    <cellStyle name="Normal 3 2 2 2 2 2 2 2 2 2 2 8 2 2 10" xfId="27639"/>
    <cellStyle name="Normal 3 2 2 2 2 2 2 2 2 2 2 8 2 2 11" xfId="27640"/>
    <cellStyle name="Normal 3 2 2 2 2 2 2 2 2 2 2 8 2 2 2" xfId="27641"/>
    <cellStyle name="Normal 3 2 2 2 2 2 2 2 2 2 2 8 2 2 2 10" xfId="27642"/>
    <cellStyle name="Normal 3 2 2 2 2 2 2 2 2 2 2 8 2 2 2 11" xfId="27643"/>
    <cellStyle name="Normal 3 2 2 2 2 2 2 2 2 2 2 8 2 2 2 2" xfId="27644"/>
    <cellStyle name="Normal 3 2 2 2 2 2 2 2 2 2 2 8 2 2 2 2 2" xfId="27645"/>
    <cellStyle name="Normal 3 2 2 2 2 2 2 2 2 2 2 8 2 2 2 2 2 2" xfId="27646"/>
    <cellStyle name="Normal 3 2 2 2 2 2 2 2 2 2 2 8 2 2 2 2 2 3" xfId="27647"/>
    <cellStyle name="Normal 3 2 2 2 2 2 2 2 2 2 2 8 2 2 2 2 2 4" xfId="27648"/>
    <cellStyle name="Normal 3 2 2 2 2 2 2 2 2 2 2 8 2 2 2 2 3" xfId="27649"/>
    <cellStyle name="Normal 3 2 2 2 2 2 2 2 2 2 2 8 2 2 2 2 4" xfId="27650"/>
    <cellStyle name="Normal 3 2 2 2 2 2 2 2 2 2 2 8 2 2 2 2 5" xfId="27651"/>
    <cellStyle name="Normal 3 2 2 2 2 2 2 2 2 2 2 8 2 2 2 2 6" xfId="27652"/>
    <cellStyle name="Normal 3 2 2 2 2 2 2 2 2 2 2 8 2 2 2 3" xfId="27653"/>
    <cellStyle name="Normal 3 2 2 2 2 2 2 2 2 2 2 8 2 2 2 4" xfId="27654"/>
    <cellStyle name="Normal 3 2 2 2 2 2 2 2 2 2 2 8 2 2 2 5" xfId="27655"/>
    <cellStyle name="Normal 3 2 2 2 2 2 2 2 2 2 2 8 2 2 2 6" xfId="27656"/>
    <cellStyle name="Normal 3 2 2 2 2 2 2 2 2 2 2 8 2 2 2 7" xfId="27657"/>
    <cellStyle name="Normal 3 2 2 2 2 2 2 2 2 2 2 8 2 2 2 8" xfId="27658"/>
    <cellStyle name="Normal 3 2 2 2 2 2 2 2 2 2 2 8 2 2 2 8 2" xfId="27659"/>
    <cellStyle name="Normal 3 2 2 2 2 2 2 2 2 2 2 8 2 2 2 8 3" xfId="27660"/>
    <cellStyle name="Normal 3 2 2 2 2 2 2 2 2 2 2 8 2 2 2 8 4" xfId="27661"/>
    <cellStyle name="Normal 3 2 2 2 2 2 2 2 2 2 2 8 2 2 2 9" xfId="27662"/>
    <cellStyle name="Normal 3 2 2 2 2 2 2 2 2 2 2 8 2 2 3" xfId="27663"/>
    <cellStyle name="Normal 3 2 2 2 2 2 2 2 2 2 2 8 2 2 3 2" xfId="27664"/>
    <cellStyle name="Normal 3 2 2 2 2 2 2 2 2 2 2 8 2 2 3 2 2" xfId="27665"/>
    <cellStyle name="Normal 3 2 2 2 2 2 2 2 2 2 2 8 2 2 3 2 3" xfId="27666"/>
    <cellStyle name="Normal 3 2 2 2 2 2 2 2 2 2 2 8 2 2 3 2 4" xfId="27667"/>
    <cellStyle name="Normal 3 2 2 2 2 2 2 2 2 2 2 8 2 2 3 3" xfId="27668"/>
    <cellStyle name="Normal 3 2 2 2 2 2 2 2 2 2 2 8 2 2 3 4" xfId="27669"/>
    <cellStyle name="Normal 3 2 2 2 2 2 2 2 2 2 2 8 2 2 3 5" xfId="27670"/>
    <cellStyle name="Normal 3 2 2 2 2 2 2 2 2 2 2 8 2 2 3 6" xfId="27671"/>
    <cellStyle name="Normal 3 2 2 2 2 2 2 2 2 2 2 8 2 2 4" xfId="27672"/>
    <cellStyle name="Normal 3 2 2 2 2 2 2 2 2 2 2 8 2 2 5" xfId="27673"/>
    <cellStyle name="Normal 3 2 2 2 2 2 2 2 2 2 2 8 2 2 6" xfId="27674"/>
    <cellStyle name="Normal 3 2 2 2 2 2 2 2 2 2 2 8 2 2 7" xfId="27675"/>
    <cellStyle name="Normal 3 2 2 2 2 2 2 2 2 2 2 8 2 2 8" xfId="27676"/>
    <cellStyle name="Normal 3 2 2 2 2 2 2 2 2 2 2 8 2 2 8 2" xfId="27677"/>
    <cellStyle name="Normal 3 2 2 2 2 2 2 2 2 2 2 8 2 2 8 3" xfId="27678"/>
    <cellStyle name="Normal 3 2 2 2 2 2 2 2 2 2 2 8 2 2 8 4" xfId="27679"/>
    <cellStyle name="Normal 3 2 2 2 2 2 2 2 2 2 2 8 2 2 9" xfId="27680"/>
    <cellStyle name="Normal 3 2 2 2 2 2 2 2 2 2 2 8 2 3" xfId="27681"/>
    <cellStyle name="Normal 3 2 2 2 2 2 2 2 2 2 2 8 2 4" xfId="27682"/>
    <cellStyle name="Normal 3 2 2 2 2 2 2 2 2 2 2 8 2 5" xfId="27683"/>
    <cellStyle name="Normal 3 2 2 2 2 2 2 2 2 2 2 8 2 5 2" xfId="27684"/>
    <cellStyle name="Normal 3 2 2 2 2 2 2 2 2 2 2 8 2 5 2 2" xfId="27685"/>
    <cellStyle name="Normal 3 2 2 2 2 2 2 2 2 2 2 8 2 5 2 3" xfId="27686"/>
    <cellStyle name="Normal 3 2 2 2 2 2 2 2 2 2 2 8 2 5 2 4" xfId="27687"/>
    <cellStyle name="Normal 3 2 2 2 2 2 2 2 2 2 2 8 2 5 3" xfId="27688"/>
    <cellStyle name="Normal 3 2 2 2 2 2 2 2 2 2 2 8 2 5 4" xfId="27689"/>
    <cellStyle name="Normal 3 2 2 2 2 2 2 2 2 2 2 8 2 5 5" xfId="27690"/>
    <cellStyle name="Normal 3 2 2 2 2 2 2 2 2 2 2 8 2 5 6" xfId="27691"/>
    <cellStyle name="Normal 3 2 2 2 2 2 2 2 2 2 2 8 2 6" xfId="27692"/>
    <cellStyle name="Normal 3 2 2 2 2 2 2 2 2 2 2 8 2 7" xfId="27693"/>
    <cellStyle name="Normal 3 2 2 2 2 2 2 2 2 2 2 8 2 8" xfId="27694"/>
    <cellStyle name="Normal 3 2 2 2 2 2 2 2 2 2 2 8 2 9" xfId="27695"/>
    <cellStyle name="Normal 3 2 2 2 2 2 2 2 2 2 2 8 3" xfId="27696"/>
    <cellStyle name="Normal 3 2 2 2 2 2 2 2 2 2 2 8 4" xfId="27697"/>
    <cellStyle name="Normal 3 2 2 2 2 2 2 2 2 2 2 8 5" xfId="27698"/>
    <cellStyle name="Normal 3 2 2 2 2 2 2 2 2 2 2 8 5 10" xfId="27699"/>
    <cellStyle name="Normal 3 2 2 2 2 2 2 2 2 2 2 8 5 11" xfId="27700"/>
    <cellStyle name="Normal 3 2 2 2 2 2 2 2 2 2 2 8 5 2" xfId="27701"/>
    <cellStyle name="Normal 3 2 2 2 2 2 2 2 2 2 2 8 5 2 10" xfId="27702"/>
    <cellStyle name="Normal 3 2 2 2 2 2 2 2 2 2 2 8 5 2 11" xfId="27703"/>
    <cellStyle name="Normal 3 2 2 2 2 2 2 2 2 2 2 8 5 2 2" xfId="27704"/>
    <cellStyle name="Normal 3 2 2 2 2 2 2 2 2 2 2 8 5 2 2 2" xfId="27705"/>
    <cellStyle name="Normal 3 2 2 2 2 2 2 2 2 2 2 8 5 2 2 2 2" xfId="27706"/>
    <cellStyle name="Normal 3 2 2 2 2 2 2 2 2 2 2 8 5 2 2 2 3" xfId="27707"/>
    <cellStyle name="Normal 3 2 2 2 2 2 2 2 2 2 2 8 5 2 2 2 4" xfId="27708"/>
    <cellStyle name="Normal 3 2 2 2 2 2 2 2 2 2 2 8 5 2 2 3" xfId="27709"/>
    <cellStyle name="Normal 3 2 2 2 2 2 2 2 2 2 2 8 5 2 2 4" xfId="27710"/>
    <cellStyle name="Normal 3 2 2 2 2 2 2 2 2 2 2 8 5 2 2 5" xfId="27711"/>
    <cellStyle name="Normal 3 2 2 2 2 2 2 2 2 2 2 8 5 2 2 6" xfId="27712"/>
    <cellStyle name="Normal 3 2 2 2 2 2 2 2 2 2 2 8 5 2 3" xfId="27713"/>
    <cellStyle name="Normal 3 2 2 2 2 2 2 2 2 2 2 8 5 2 4" xfId="27714"/>
    <cellStyle name="Normal 3 2 2 2 2 2 2 2 2 2 2 8 5 2 5" xfId="27715"/>
    <cellStyle name="Normal 3 2 2 2 2 2 2 2 2 2 2 8 5 2 6" xfId="27716"/>
    <cellStyle name="Normal 3 2 2 2 2 2 2 2 2 2 2 8 5 2 7" xfId="27717"/>
    <cellStyle name="Normal 3 2 2 2 2 2 2 2 2 2 2 8 5 2 8" xfId="27718"/>
    <cellStyle name="Normal 3 2 2 2 2 2 2 2 2 2 2 8 5 2 8 2" xfId="27719"/>
    <cellStyle name="Normal 3 2 2 2 2 2 2 2 2 2 2 8 5 2 8 3" xfId="27720"/>
    <cellStyle name="Normal 3 2 2 2 2 2 2 2 2 2 2 8 5 2 8 4" xfId="27721"/>
    <cellStyle name="Normal 3 2 2 2 2 2 2 2 2 2 2 8 5 2 9" xfId="27722"/>
    <cellStyle name="Normal 3 2 2 2 2 2 2 2 2 2 2 8 5 3" xfId="27723"/>
    <cellStyle name="Normal 3 2 2 2 2 2 2 2 2 2 2 8 5 3 2" xfId="27724"/>
    <cellStyle name="Normal 3 2 2 2 2 2 2 2 2 2 2 8 5 3 2 2" xfId="27725"/>
    <cellStyle name="Normal 3 2 2 2 2 2 2 2 2 2 2 8 5 3 2 3" xfId="27726"/>
    <cellStyle name="Normal 3 2 2 2 2 2 2 2 2 2 2 8 5 3 2 4" xfId="27727"/>
    <cellStyle name="Normal 3 2 2 2 2 2 2 2 2 2 2 8 5 3 3" xfId="27728"/>
    <cellStyle name="Normal 3 2 2 2 2 2 2 2 2 2 2 8 5 3 4" xfId="27729"/>
    <cellStyle name="Normal 3 2 2 2 2 2 2 2 2 2 2 8 5 3 5" xfId="27730"/>
    <cellStyle name="Normal 3 2 2 2 2 2 2 2 2 2 2 8 5 3 6" xfId="27731"/>
    <cellStyle name="Normal 3 2 2 2 2 2 2 2 2 2 2 8 5 4" xfId="27732"/>
    <cellStyle name="Normal 3 2 2 2 2 2 2 2 2 2 2 8 5 5" xfId="27733"/>
    <cellStyle name="Normal 3 2 2 2 2 2 2 2 2 2 2 8 5 6" xfId="27734"/>
    <cellStyle name="Normal 3 2 2 2 2 2 2 2 2 2 2 8 5 7" xfId="27735"/>
    <cellStyle name="Normal 3 2 2 2 2 2 2 2 2 2 2 8 5 8" xfId="27736"/>
    <cellStyle name="Normal 3 2 2 2 2 2 2 2 2 2 2 8 5 8 2" xfId="27737"/>
    <cellStyle name="Normal 3 2 2 2 2 2 2 2 2 2 2 8 5 8 3" xfId="27738"/>
    <cellStyle name="Normal 3 2 2 2 2 2 2 2 2 2 2 8 5 8 4" xfId="27739"/>
    <cellStyle name="Normal 3 2 2 2 2 2 2 2 2 2 2 8 5 9" xfId="27740"/>
    <cellStyle name="Normal 3 2 2 2 2 2 2 2 2 2 2 8 6" xfId="27741"/>
    <cellStyle name="Normal 3 2 2 2 2 2 2 2 2 2 2 8 7" xfId="27742"/>
    <cellStyle name="Normal 3 2 2 2 2 2 2 2 2 2 2 8 7 2" xfId="27743"/>
    <cellStyle name="Normal 3 2 2 2 2 2 2 2 2 2 2 8 7 2 2" xfId="27744"/>
    <cellStyle name="Normal 3 2 2 2 2 2 2 2 2 2 2 8 7 2 3" xfId="27745"/>
    <cellStyle name="Normal 3 2 2 2 2 2 2 2 2 2 2 8 7 2 4" xfId="27746"/>
    <cellStyle name="Normal 3 2 2 2 2 2 2 2 2 2 2 8 7 3" xfId="27747"/>
    <cellStyle name="Normal 3 2 2 2 2 2 2 2 2 2 2 8 7 4" xfId="27748"/>
    <cellStyle name="Normal 3 2 2 2 2 2 2 2 2 2 2 8 7 5" xfId="27749"/>
    <cellStyle name="Normal 3 2 2 2 2 2 2 2 2 2 2 8 7 6" xfId="27750"/>
    <cellStyle name="Normal 3 2 2 2 2 2 2 2 2 2 2 8 8" xfId="27751"/>
    <cellStyle name="Normal 3 2 2 2 2 2 2 2 2 2 2 8 9" xfId="27752"/>
    <cellStyle name="Normal 3 2 2 2 2 2 2 2 2 2 2 9" xfId="27753"/>
    <cellStyle name="Normal 3 2 2 2 2 2 2 2 2 2 20" xfId="27754"/>
    <cellStyle name="Normal 3 2 2 2 2 2 2 2 2 2 21" xfId="27755"/>
    <cellStyle name="Normal 3 2 2 2 2 2 2 2 2 2 21 2" xfId="27756"/>
    <cellStyle name="Normal 3 2 2 2 2 2 2 2 2 2 21 2 2" xfId="27757"/>
    <cellStyle name="Normal 3 2 2 2 2 2 2 2 2 2 21 2 3" xfId="27758"/>
    <cellStyle name="Normal 3 2 2 2 2 2 2 2 2 2 21 2 4" xfId="27759"/>
    <cellStyle name="Normal 3 2 2 2 2 2 2 2 2 2 21 3" xfId="27760"/>
    <cellStyle name="Normal 3 2 2 2 2 2 2 2 2 2 21 4" xfId="27761"/>
    <cellStyle name="Normal 3 2 2 2 2 2 2 2 2 2 21 5" xfId="27762"/>
    <cellStyle name="Normal 3 2 2 2 2 2 2 2 2 2 21 6" xfId="27763"/>
    <cellStyle name="Normal 3 2 2 2 2 2 2 2 2 2 22" xfId="27764"/>
    <cellStyle name="Normal 3 2 2 2 2 2 2 2 2 2 23" xfId="27765"/>
    <cellStyle name="Normal 3 2 2 2 2 2 2 2 2 2 24" xfId="27766"/>
    <cellStyle name="Normal 3 2 2 2 2 2 2 2 2 2 25" xfId="27767"/>
    <cellStyle name="Normal 3 2 2 2 2 2 2 2 2 2 26" xfId="27768"/>
    <cellStyle name="Normal 3 2 2 2 2 2 2 2 2 2 27" xfId="27769"/>
    <cellStyle name="Normal 3 2 2 2 2 2 2 2 2 2 27 2" xfId="27770"/>
    <cellStyle name="Normal 3 2 2 2 2 2 2 2 2 2 27 3" xfId="27771"/>
    <cellStyle name="Normal 3 2 2 2 2 2 2 2 2 2 27 4" xfId="27772"/>
    <cellStyle name="Normal 3 2 2 2 2 2 2 2 2 2 28" xfId="27773"/>
    <cellStyle name="Normal 3 2 2 2 2 2 2 2 2 2 29" xfId="27774"/>
    <cellStyle name="Normal 3 2 2 2 2 2 2 2 2 2 3" xfId="27775"/>
    <cellStyle name="Normal 3 2 2 2 2 2 2 2 2 2 30" xfId="27776"/>
    <cellStyle name="Normal 3 2 2 2 2 2 2 2 2 2 31" xfId="27777"/>
    <cellStyle name="Normal 3 2 2 2 2 2 2 2 2 2 32" xfId="27778"/>
    <cellStyle name="Normal 3 2 2 2 2 2 2 2 2 2 33" xfId="27779"/>
    <cellStyle name="Normal 3 2 2 2 2 2 2 2 2 2 34" xfId="27780"/>
    <cellStyle name="Normal 3 2 2 2 2 2 2 2 2 2 35" xfId="27781"/>
    <cellStyle name="Normal 3 2 2 2 2 2 2 2 2 2 36" xfId="27782"/>
    <cellStyle name="Normal 3 2 2 2 2 2 2 2 2 2 37" xfId="27783"/>
    <cellStyle name="Normal 3 2 2 2 2 2 2 2 2 2 38" xfId="27784"/>
    <cellStyle name="Normal 3 2 2 2 2 2 2 2 2 2 39" xfId="27785"/>
    <cellStyle name="Normal 3 2 2 2 2 2 2 2 2 2 4" xfId="27786"/>
    <cellStyle name="Normal 3 2 2 2 2 2 2 2 2 2 40" xfId="27787"/>
    <cellStyle name="Normal 3 2 2 2 2 2 2 2 2 2 41" xfId="27788"/>
    <cellStyle name="Normal 3 2 2 2 2 2 2 2 2 2 42" xfId="27789"/>
    <cellStyle name="Normal 3 2 2 2 2 2 2 2 2 2 42 2" xfId="27790"/>
    <cellStyle name="Normal 3 2 2 2 2 2 2 2 2 2 42 3" xfId="27791"/>
    <cellStyle name="Normal 3 2 2 2 2 2 2 2 2 2 42 4" xfId="27792"/>
    <cellStyle name="Normal 3 2 2 2 2 2 2 2 2 2 42 5" xfId="27793"/>
    <cellStyle name="Normal 3 2 2 2 2 2 2 2 2 2 42 6" xfId="27794"/>
    <cellStyle name="Normal 3 2 2 2 2 2 2 2 2 2 42 7" xfId="27795"/>
    <cellStyle name="Normal 3 2 2 2 2 2 2 2 2 2 43" xfId="27796"/>
    <cellStyle name="Normal 3 2 2 2 2 2 2 2 2 2 44" xfId="27797"/>
    <cellStyle name="Normal 3 2 2 2 2 2 2 2 2 2 45" xfId="27798"/>
    <cellStyle name="Normal 3 2 2 2 2 2 2 2 2 2 46" xfId="27799"/>
    <cellStyle name="Normal 3 2 2 2 2 2 2 2 2 2 47" xfId="27800"/>
    <cellStyle name="Normal 3 2 2 2 2 2 2 2 2 2 48" xfId="27801"/>
    <cellStyle name="Normal 3 2 2 2 2 2 2 2 2 2 49" xfId="27802"/>
    <cellStyle name="Normal 3 2 2 2 2 2 2 2 2 2 5" xfId="27803"/>
    <cellStyle name="Normal 3 2 2 2 2 2 2 2 2 2 50" xfId="27804"/>
    <cellStyle name="Normal 3 2 2 2 2 2 2 2 2 2 51" xfId="27805"/>
    <cellStyle name="Normal 3 2 2 2 2 2 2 2 2 2 52" xfId="27806"/>
    <cellStyle name="Normal 3 2 2 2 2 2 2 2 2 2 53" xfId="27807"/>
    <cellStyle name="Normal 3 2 2 2 2 2 2 2 2 2 54" xfId="27808"/>
    <cellStyle name="Normal 3 2 2 2 2 2 2 2 2 2 55" xfId="27809"/>
    <cellStyle name="Normal 3 2 2 2 2 2 2 2 2 2 56" xfId="27810"/>
    <cellStyle name="Normal 3 2 2 2 2 2 2 2 2 2 57" xfId="27811"/>
    <cellStyle name="Normal 3 2 2 2 2 2 2 2 2 2 58" xfId="27812"/>
    <cellStyle name="Normal 3 2 2 2 2 2 2 2 2 2 59" xfId="27813"/>
    <cellStyle name="Normal 3 2 2 2 2 2 2 2 2 2 6" xfId="27814"/>
    <cellStyle name="Normal 3 2 2 2 2 2 2 2 2 2 60" xfId="27815"/>
    <cellStyle name="Normal 3 2 2 2 2 2 2 2 2 2 61" xfId="27816"/>
    <cellStyle name="Normal 3 2 2 2 2 2 2 2 2 2 62" xfId="27817"/>
    <cellStyle name="Normal 3 2 2 2 2 2 2 2 2 2 63" xfId="27818"/>
    <cellStyle name="Normal 3 2 2 2 2 2 2 2 2 2 64" xfId="27819"/>
    <cellStyle name="Normal 3 2 2 2 2 2 2 2 2 2 65" xfId="27820"/>
    <cellStyle name="Normal 3 2 2 2 2 2 2 2 2 2 66" xfId="27821"/>
    <cellStyle name="Normal 3 2 2 2 2 2 2 2 2 2 67" xfId="27822"/>
    <cellStyle name="Normal 3 2 2 2 2 2 2 2 2 2 68" xfId="27823"/>
    <cellStyle name="Normal 3 2 2 2 2 2 2 2 2 2 69" xfId="27824"/>
    <cellStyle name="Normal 3 2 2 2 2 2 2 2 2 2 7" xfId="27825"/>
    <cellStyle name="Normal 3 2 2 2 2 2 2 2 2 2 70" xfId="27826"/>
    <cellStyle name="Normal 3 2 2 2 2 2 2 2 2 2 71" xfId="27827"/>
    <cellStyle name="Normal 3 2 2 2 2 2 2 2 2 2 72" xfId="27828"/>
    <cellStyle name="Normal 3 2 2 2 2 2 2 2 2 2 73" xfId="27829"/>
    <cellStyle name="Normal 3 2 2 2 2 2 2 2 2 2 74" xfId="27830"/>
    <cellStyle name="Normal 3 2 2 2 2 2 2 2 2 2 74 2" xfId="27831"/>
    <cellStyle name="Normal 3 2 2 2 2 2 2 2 2 2 74 3" xfId="27832"/>
    <cellStyle name="Normal 3 2 2 2 2 2 2 2 2 2 74 4" xfId="27833"/>
    <cellStyle name="Normal 3 2 2 2 2 2 2 2 2 2 75" xfId="27834"/>
    <cellStyle name="Normal 3 2 2 2 2 2 2 2 2 2 76" xfId="27835"/>
    <cellStyle name="Normal 3 2 2 2 2 2 2 2 2 2 8" xfId="27836"/>
    <cellStyle name="Normal 3 2 2 2 2 2 2 2 2 2 8 10" xfId="27837"/>
    <cellStyle name="Normal 3 2 2 2 2 2 2 2 2 2 8 11" xfId="27838"/>
    <cellStyle name="Normal 3 2 2 2 2 2 2 2 2 2 8 11 10" xfId="27839"/>
    <cellStyle name="Normal 3 2 2 2 2 2 2 2 2 2 8 11 11" xfId="27840"/>
    <cellStyle name="Normal 3 2 2 2 2 2 2 2 2 2 8 11 11 2" xfId="27841"/>
    <cellStyle name="Normal 3 2 2 2 2 2 2 2 2 2 8 11 11 3" xfId="27842"/>
    <cellStyle name="Normal 3 2 2 2 2 2 2 2 2 2 8 11 11 4" xfId="27843"/>
    <cellStyle name="Normal 3 2 2 2 2 2 2 2 2 2 8 11 12" xfId="27844"/>
    <cellStyle name="Normal 3 2 2 2 2 2 2 2 2 2 8 11 13" xfId="27845"/>
    <cellStyle name="Normal 3 2 2 2 2 2 2 2 2 2 8 11 14" xfId="27846"/>
    <cellStyle name="Normal 3 2 2 2 2 2 2 2 2 2 8 11 2" xfId="27847"/>
    <cellStyle name="Normal 3 2 2 2 2 2 2 2 2 2 8 11 2 10" xfId="27848"/>
    <cellStyle name="Normal 3 2 2 2 2 2 2 2 2 2 8 11 2 11" xfId="27849"/>
    <cellStyle name="Normal 3 2 2 2 2 2 2 2 2 2 8 11 2 2" xfId="27850"/>
    <cellStyle name="Normal 3 2 2 2 2 2 2 2 2 2 8 11 2 2 10" xfId="27851"/>
    <cellStyle name="Normal 3 2 2 2 2 2 2 2 2 2 8 11 2 2 11" xfId="27852"/>
    <cellStyle name="Normal 3 2 2 2 2 2 2 2 2 2 8 11 2 2 2" xfId="27853"/>
    <cellStyle name="Normal 3 2 2 2 2 2 2 2 2 2 8 11 2 2 2 2" xfId="27854"/>
    <cellStyle name="Normal 3 2 2 2 2 2 2 2 2 2 8 11 2 2 2 2 2" xfId="27855"/>
    <cellStyle name="Normal 3 2 2 2 2 2 2 2 2 2 8 11 2 2 2 2 3" xfId="27856"/>
    <cellStyle name="Normal 3 2 2 2 2 2 2 2 2 2 8 11 2 2 2 2 4" xfId="27857"/>
    <cellStyle name="Normal 3 2 2 2 2 2 2 2 2 2 8 11 2 2 2 3" xfId="27858"/>
    <cellStyle name="Normal 3 2 2 2 2 2 2 2 2 2 8 11 2 2 2 4" xfId="27859"/>
    <cellStyle name="Normal 3 2 2 2 2 2 2 2 2 2 8 11 2 2 2 5" xfId="27860"/>
    <cellStyle name="Normal 3 2 2 2 2 2 2 2 2 2 8 11 2 2 2 6" xfId="27861"/>
    <cellStyle name="Normal 3 2 2 2 2 2 2 2 2 2 8 11 2 2 3" xfId="27862"/>
    <cellStyle name="Normal 3 2 2 2 2 2 2 2 2 2 8 11 2 2 4" xfId="27863"/>
    <cellStyle name="Normal 3 2 2 2 2 2 2 2 2 2 8 11 2 2 5" xfId="27864"/>
    <cellStyle name="Normal 3 2 2 2 2 2 2 2 2 2 8 11 2 2 6" xfId="27865"/>
    <cellStyle name="Normal 3 2 2 2 2 2 2 2 2 2 8 11 2 2 7" xfId="27866"/>
    <cellStyle name="Normal 3 2 2 2 2 2 2 2 2 2 8 11 2 2 8" xfId="27867"/>
    <cellStyle name="Normal 3 2 2 2 2 2 2 2 2 2 8 11 2 2 8 2" xfId="27868"/>
    <cellStyle name="Normal 3 2 2 2 2 2 2 2 2 2 8 11 2 2 8 3" xfId="27869"/>
    <cellStyle name="Normal 3 2 2 2 2 2 2 2 2 2 8 11 2 2 8 4" xfId="27870"/>
    <cellStyle name="Normal 3 2 2 2 2 2 2 2 2 2 8 11 2 2 9" xfId="27871"/>
    <cellStyle name="Normal 3 2 2 2 2 2 2 2 2 2 8 11 2 3" xfId="27872"/>
    <cellStyle name="Normal 3 2 2 2 2 2 2 2 2 2 8 11 2 3 2" xfId="27873"/>
    <cellStyle name="Normal 3 2 2 2 2 2 2 2 2 2 8 11 2 3 2 2" xfId="27874"/>
    <cellStyle name="Normal 3 2 2 2 2 2 2 2 2 2 8 11 2 3 2 3" xfId="27875"/>
    <cellStyle name="Normal 3 2 2 2 2 2 2 2 2 2 8 11 2 3 2 4" xfId="27876"/>
    <cellStyle name="Normal 3 2 2 2 2 2 2 2 2 2 8 11 2 3 3" xfId="27877"/>
    <cellStyle name="Normal 3 2 2 2 2 2 2 2 2 2 8 11 2 3 4" xfId="27878"/>
    <cellStyle name="Normal 3 2 2 2 2 2 2 2 2 2 8 11 2 3 5" xfId="27879"/>
    <cellStyle name="Normal 3 2 2 2 2 2 2 2 2 2 8 11 2 3 6" xfId="27880"/>
    <cellStyle name="Normal 3 2 2 2 2 2 2 2 2 2 8 11 2 4" xfId="27881"/>
    <cellStyle name="Normal 3 2 2 2 2 2 2 2 2 2 8 11 2 5" xfId="27882"/>
    <cellStyle name="Normal 3 2 2 2 2 2 2 2 2 2 8 11 2 6" xfId="27883"/>
    <cellStyle name="Normal 3 2 2 2 2 2 2 2 2 2 8 11 2 7" xfId="27884"/>
    <cellStyle name="Normal 3 2 2 2 2 2 2 2 2 2 8 11 2 8" xfId="27885"/>
    <cellStyle name="Normal 3 2 2 2 2 2 2 2 2 2 8 11 2 8 2" xfId="27886"/>
    <cellStyle name="Normal 3 2 2 2 2 2 2 2 2 2 8 11 2 8 3" xfId="27887"/>
    <cellStyle name="Normal 3 2 2 2 2 2 2 2 2 2 8 11 2 8 4" xfId="27888"/>
    <cellStyle name="Normal 3 2 2 2 2 2 2 2 2 2 8 11 2 9" xfId="27889"/>
    <cellStyle name="Normal 3 2 2 2 2 2 2 2 2 2 8 11 3" xfId="27890"/>
    <cellStyle name="Normal 3 2 2 2 2 2 2 2 2 2 8 11 4" xfId="27891"/>
    <cellStyle name="Normal 3 2 2 2 2 2 2 2 2 2 8 11 5" xfId="27892"/>
    <cellStyle name="Normal 3 2 2 2 2 2 2 2 2 2 8 11 5 2" xfId="27893"/>
    <cellStyle name="Normal 3 2 2 2 2 2 2 2 2 2 8 11 5 2 2" xfId="27894"/>
    <cellStyle name="Normal 3 2 2 2 2 2 2 2 2 2 8 11 5 2 3" xfId="27895"/>
    <cellStyle name="Normal 3 2 2 2 2 2 2 2 2 2 8 11 5 2 4" xfId="27896"/>
    <cellStyle name="Normal 3 2 2 2 2 2 2 2 2 2 8 11 5 3" xfId="27897"/>
    <cellStyle name="Normal 3 2 2 2 2 2 2 2 2 2 8 11 5 4" xfId="27898"/>
    <cellStyle name="Normal 3 2 2 2 2 2 2 2 2 2 8 11 5 5" xfId="27899"/>
    <cellStyle name="Normal 3 2 2 2 2 2 2 2 2 2 8 11 5 6" xfId="27900"/>
    <cellStyle name="Normal 3 2 2 2 2 2 2 2 2 2 8 11 6" xfId="27901"/>
    <cellStyle name="Normal 3 2 2 2 2 2 2 2 2 2 8 11 7" xfId="27902"/>
    <cellStyle name="Normal 3 2 2 2 2 2 2 2 2 2 8 11 8" xfId="27903"/>
    <cellStyle name="Normal 3 2 2 2 2 2 2 2 2 2 8 11 9" xfId="27904"/>
    <cellStyle name="Normal 3 2 2 2 2 2 2 2 2 2 8 12" xfId="27905"/>
    <cellStyle name="Normal 3 2 2 2 2 2 2 2 2 2 8 13" xfId="27906"/>
    <cellStyle name="Normal 3 2 2 2 2 2 2 2 2 2 8 13 10" xfId="27907"/>
    <cellStyle name="Normal 3 2 2 2 2 2 2 2 2 2 8 13 11" xfId="27908"/>
    <cellStyle name="Normal 3 2 2 2 2 2 2 2 2 2 8 13 2" xfId="27909"/>
    <cellStyle name="Normal 3 2 2 2 2 2 2 2 2 2 8 13 2 10" xfId="27910"/>
    <cellStyle name="Normal 3 2 2 2 2 2 2 2 2 2 8 13 2 11" xfId="27911"/>
    <cellStyle name="Normal 3 2 2 2 2 2 2 2 2 2 8 13 2 2" xfId="27912"/>
    <cellStyle name="Normal 3 2 2 2 2 2 2 2 2 2 8 13 2 2 2" xfId="27913"/>
    <cellStyle name="Normal 3 2 2 2 2 2 2 2 2 2 8 13 2 2 2 2" xfId="27914"/>
    <cellStyle name="Normal 3 2 2 2 2 2 2 2 2 2 8 13 2 2 2 3" xfId="27915"/>
    <cellStyle name="Normal 3 2 2 2 2 2 2 2 2 2 8 13 2 2 2 4" xfId="27916"/>
    <cellStyle name="Normal 3 2 2 2 2 2 2 2 2 2 8 13 2 2 3" xfId="27917"/>
    <cellStyle name="Normal 3 2 2 2 2 2 2 2 2 2 8 13 2 2 4" xfId="27918"/>
    <cellStyle name="Normal 3 2 2 2 2 2 2 2 2 2 8 13 2 2 5" xfId="27919"/>
    <cellStyle name="Normal 3 2 2 2 2 2 2 2 2 2 8 13 2 2 6" xfId="27920"/>
    <cellStyle name="Normal 3 2 2 2 2 2 2 2 2 2 8 13 2 3" xfId="27921"/>
    <cellStyle name="Normal 3 2 2 2 2 2 2 2 2 2 8 13 2 4" xfId="27922"/>
    <cellStyle name="Normal 3 2 2 2 2 2 2 2 2 2 8 13 2 5" xfId="27923"/>
    <cellStyle name="Normal 3 2 2 2 2 2 2 2 2 2 8 13 2 6" xfId="27924"/>
    <cellStyle name="Normal 3 2 2 2 2 2 2 2 2 2 8 13 2 7" xfId="27925"/>
    <cellStyle name="Normal 3 2 2 2 2 2 2 2 2 2 8 13 2 8" xfId="27926"/>
    <cellStyle name="Normal 3 2 2 2 2 2 2 2 2 2 8 13 2 8 2" xfId="27927"/>
    <cellStyle name="Normal 3 2 2 2 2 2 2 2 2 2 8 13 2 8 3" xfId="27928"/>
    <cellStyle name="Normal 3 2 2 2 2 2 2 2 2 2 8 13 2 8 4" xfId="27929"/>
    <cellStyle name="Normal 3 2 2 2 2 2 2 2 2 2 8 13 2 9" xfId="27930"/>
    <cellStyle name="Normal 3 2 2 2 2 2 2 2 2 2 8 13 3" xfId="27931"/>
    <cellStyle name="Normal 3 2 2 2 2 2 2 2 2 2 8 13 3 2" xfId="27932"/>
    <cellStyle name="Normal 3 2 2 2 2 2 2 2 2 2 8 13 3 2 2" xfId="27933"/>
    <cellStyle name="Normal 3 2 2 2 2 2 2 2 2 2 8 13 3 2 3" xfId="27934"/>
    <cellStyle name="Normal 3 2 2 2 2 2 2 2 2 2 8 13 3 2 4" xfId="27935"/>
    <cellStyle name="Normal 3 2 2 2 2 2 2 2 2 2 8 13 3 3" xfId="27936"/>
    <cellStyle name="Normal 3 2 2 2 2 2 2 2 2 2 8 13 3 4" xfId="27937"/>
    <cellStyle name="Normal 3 2 2 2 2 2 2 2 2 2 8 13 3 5" xfId="27938"/>
    <cellStyle name="Normal 3 2 2 2 2 2 2 2 2 2 8 13 3 6" xfId="27939"/>
    <cellStyle name="Normal 3 2 2 2 2 2 2 2 2 2 8 13 4" xfId="27940"/>
    <cellStyle name="Normal 3 2 2 2 2 2 2 2 2 2 8 13 5" xfId="27941"/>
    <cellStyle name="Normal 3 2 2 2 2 2 2 2 2 2 8 13 6" xfId="27942"/>
    <cellStyle name="Normal 3 2 2 2 2 2 2 2 2 2 8 13 7" xfId="27943"/>
    <cellStyle name="Normal 3 2 2 2 2 2 2 2 2 2 8 13 8" xfId="27944"/>
    <cellStyle name="Normal 3 2 2 2 2 2 2 2 2 2 8 13 8 2" xfId="27945"/>
    <cellStyle name="Normal 3 2 2 2 2 2 2 2 2 2 8 13 8 3" xfId="27946"/>
    <cellStyle name="Normal 3 2 2 2 2 2 2 2 2 2 8 13 8 4" xfId="27947"/>
    <cellStyle name="Normal 3 2 2 2 2 2 2 2 2 2 8 13 9" xfId="27948"/>
    <cellStyle name="Normal 3 2 2 2 2 2 2 2 2 2 8 14" xfId="27949"/>
    <cellStyle name="Normal 3 2 2 2 2 2 2 2 2 2 8 15" xfId="27950"/>
    <cellStyle name="Normal 3 2 2 2 2 2 2 2 2 2 8 15 2" xfId="27951"/>
    <cellStyle name="Normal 3 2 2 2 2 2 2 2 2 2 8 15 2 2" xfId="27952"/>
    <cellStyle name="Normal 3 2 2 2 2 2 2 2 2 2 8 15 2 3" xfId="27953"/>
    <cellStyle name="Normal 3 2 2 2 2 2 2 2 2 2 8 15 2 4" xfId="27954"/>
    <cellStyle name="Normal 3 2 2 2 2 2 2 2 2 2 8 15 3" xfId="27955"/>
    <cellStyle name="Normal 3 2 2 2 2 2 2 2 2 2 8 15 4" xfId="27956"/>
    <cellStyle name="Normal 3 2 2 2 2 2 2 2 2 2 8 15 5" xfId="27957"/>
    <cellStyle name="Normal 3 2 2 2 2 2 2 2 2 2 8 15 6" xfId="27958"/>
    <cellStyle name="Normal 3 2 2 2 2 2 2 2 2 2 8 16" xfId="27959"/>
    <cellStyle name="Normal 3 2 2 2 2 2 2 2 2 2 8 17" xfId="27960"/>
    <cellStyle name="Normal 3 2 2 2 2 2 2 2 2 2 8 18" xfId="27961"/>
    <cellStyle name="Normal 3 2 2 2 2 2 2 2 2 2 8 19" xfId="27962"/>
    <cellStyle name="Normal 3 2 2 2 2 2 2 2 2 2 8 2" xfId="27963"/>
    <cellStyle name="Normal 3 2 2 2 2 2 2 2 2 2 8 2 10" xfId="27964"/>
    <cellStyle name="Normal 3 2 2 2 2 2 2 2 2 2 8 2 11" xfId="27965"/>
    <cellStyle name="Normal 3 2 2 2 2 2 2 2 2 2 8 2 12" xfId="27966"/>
    <cellStyle name="Normal 3 2 2 2 2 2 2 2 2 2 8 2 13" xfId="27967"/>
    <cellStyle name="Normal 3 2 2 2 2 2 2 2 2 2 8 2 13 2" xfId="27968"/>
    <cellStyle name="Normal 3 2 2 2 2 2 2 2 2 2 8 2 13 3" xfId="27969"/>
    <cellStyle name="Normal 3 2 2 2 2 2 2 2 2 2 8 2 13 4" xfId="27970"/>
    <cellStyle name="Normal 3 2 2 2 2 2 2 2 2 2 8 2 14" xfId="27971"/>
    <cellStyle name="Normal 3 2 2 2 2 2 2 2 2 2 8 2 15" xfId="27972"/>
    <cellStyle name="Normal 3 2 2 2 2 2 2 2 2 2 8 2 16" xfId="27973"/>
    <cellStyle name="Normal 3 2 2 2 2 2 2 2 2 2 8 2 2" xfId="27974"/>
    <cellStyle name="Normal 3 2 2 2 2 2 2 2 2 2 8 2 2 10" xfId="27975"/>
    <cellStyle name="Normal 3 2 2 2 2 2 2 2 2 2 8 2 2 11" xfId="27976"/>
    <cellStyle name="Normal 3 2 2 2 2 2 2 2 2 2 8 2 2 11 2" xfId="27977"/>
    <cellStyle name="Normal 3 2 2 2 2 2 2 2 2 2 8 2 2 11 3" xfId="27978"/>
    <cellStyle name="Normal 3 2 2 2 2 2 2 2 2 2 8 2 2 11 4" xfId="27979"/>
    <cellStyle name="Normal 3 2 2 2 2 2 2 2 2 2 8 2 2 12" xfId="27980"/>
    <cellStyle name="Normal 3 2 2 2 2 2 2 2 2 2 8 2 2 13" xfId="27981"/>
    <cellStyle name="Normal 3 2 2 2 2 2 2 2 2 2 8 2 2 14" xfId="27982"/>
    <cellStyle name="Normal 3 2 2 2 2 2 2 2 2 2 8 2 2 2" xfId="27983"/>
    <cellStyle name="Normal 3 2 2 2 2 2 2 2 2 2 8 2 2 2 10" xfId="27984"/>
    <cellStyle name="Normal 3 2 2 2 2 2 2 2 2 2 8 2 2 2 11" xfId="27985"/>
    <cellStyle name="Normal 3 2 2 2 2 2 2 2 2 2 8 2 2 2 2" xfId="27986"/>
    <cellStyle name="Normal 3 2 2 2 2 2 2 2 2 2 8 2 2 2 2 10" xfId="27987"/>
    <cellStyle name="Normal 3 2 2 2 2 2 2 2 2 2 8 2 2 2 2 11" xfId="27988"/>
    <cellStyle name="Normal 3 2 2 2 2 2 2 2 2 2 8 2 2 2 2 2" xfId="27989"/>
    <cellStyle name="Normal 3 2 2 2 2 2 2 2 2 2 8 2 2 2 2 2 2" xfId="27990"/>
    <cellStyle name="Normal 3 2 2 2 2 2 2 2 2 2 8 2 2 2 2 2 2 2" xfId="27991"/>
    <cellStyle name="Normal 3 2 2 2 2 2 2 2 2 2 8 2 2 2 2 2 2 3" xfId="27992"/>
    <cellStyle name="Normal 3 2 2 2 2 2 2 2 2 2 8 2 2 2 2 2 2 4" xfId="27993"/>
    <cellStyle name="Normal 3 2 2 2 2 2 2 2 2 2 8 2 2 2 2 2 3" xfId="27994"/>
    <cellStyle name="Normal 3 2 2 2 2 2 2 2 2 2 8 2 2 2 2 2 4" xfId="27995"/>
    <cellStyle name="Normal 3 2 2 2 2 2 2 2 2 2 8 2 2 2 2 2 5" xfId="27996"/>
    <cellStyle name="Normal 3 2 2 2 2 2 2 2 2 2 8 2 2 2 2 2 6" xfId="27997"/>
    <cellStyle name="Normal 3 2 2 2 2 2 2 2 2 2 8 2 2 2 2 3" xfId="27998"/>
    <cellStyle name="Normal 3 2 2 2 2 2 2 2 2 2 8 2 2 2 2 4" xfId="27999"/>
    <cellStyle name="Normal 3 2 2 2 2 2 2 2 2 2 8 2 2 2 2 5" xfId="28000"/>
    <cellStyle name="Normal 3 2 2 2 2 2 2 2 2 2 8 2 2 2 2 6" xfId="28001"/>
    <cellStyle name="Normal 3 2 2 2 2 2 2 2 2 2 8 2 2 2 2 7" xfId="28002"/>
    <cellStyle name="Normal 3 2 2 2 2 2 2 2 2 2 8 2 2 2 2 8" xfId="28003"/>
    <cellStyle name="Normal 3 2 2 2 2 2 2 2 2 2 8 2 2 2 2 8 2" xfId="28004"/>
    <cellStyle name="Normal 3 2 2 2 2 2 2 2 2 2 8 2 2 2 2 8 3" xfId="28005"/>
    <cellStyle name="Normal 3 2 2 2 2 2 2 2 2 2 8 2 2 2 2 8 4" xfId="28006"/>
    <cellStyle name="Normal 3 2 2 2 2 2 2 2 2 2 8 2 2 2 2 9" xfId="28007"/>
    <cellStyle name="Normal 3 2 2 2 2 2 2 2 2 2 8 2 2 2 3" xfId="28008"/>
    <cellStyle name="Normal 3 2 2 2 2 2 2 2 2 2 8 2 2 2 3 2" xfId="28009"/>
    <cellStyle name="Normal 3 2 2 2 2 2 2 2 2 2 8 2 2 2 3 2 2" xfId="28010"/>
    <cellStyle name="Normal 3 2 2 2 2 2 2 2 2 2 8 2 2 2 3 2 3" xfId="28011"/>
    <cellStyle name="Normal 3 2 2 2 2 2 2 2 2 2 8 2 2 2 3 2 4" xfId="28012"/>
    <cellStyle name="Normal 3 2 2 2 2 2 2 2 2 2 8 2 2 2 3 3" xfId="28013"/>
    <cellStyle name="Normal 3 2 2 2 2 2 2 2 2 2 8 2 2 2 3 4" xfId="28014"/>
    <cellStyle name="Normal 3 2 2 2 2 2 2 2 2 2 8 2 2 2 3 5" xfId="28015"/>
    <cellStyle name="Normal 3 2 2 2 2 2 2 2 2 2 8 2 2 2 3 6" xfId="28016"/>
    <cellStyle name="Normal 3 2 2 2 2 2 2 2 2 2 8 2 2 2 4" xfId="28017"/>
    <cellStyle name="Normal 3 2 2 2 2 2 2 2 2 2 8 2 2 2 5" xfId="28018"/>
    <cellStyle name="Normal 3 2 2 2 2 2 2 2 2 2 8 2 2 2 6" xfId="28019"/>
    <cellStyle name="Normal 3 2 2 2 2 2 2 2 2 2 8 2 2 2 7" xfId="28020"/>
    <cellStyle name="Normal 3 2 2 2 2 2 2 2 2 2 8 2 2 2 8" xfId="28021"/>
    <cellStyle name="Normal 3 2 2 2 2 2 2 2 2 2 8 2 2 2 8 2" xfId="28022"/>
    <cellStyle name="Normal 3 2 2 2 2 2 2 2 2 2 8 2 2 2 8 3" xfId="28023"/>
    <cellStyle name="Normal 3 2 2 2 2 2 2 2 2 2 8 2 2 2 8 4" xfId="28024"/>
    <cellStyle name="Normal 3 2 2 2 2 2 2 2 2 2 8 2 2 2 9" xfId="28025"/>
    <cellStyle name="Normal 3 2 2 2 2 2 2 2 2 2 8 2 2 3" xfId="28026"/>
    <cellStyle name="Normal 3 2 2 2 2 2 2 2 2 2 8 2 2 4" xfId="28027"/>
    <cellStyle name="Normal 3 2 2 2 2 2 2 2 2 2 8 2 2 5" xfId="28028"/>
    <cellStyle name="Normal 3 2 2 2 2 2 2 2 2 2 8 2 2 5 2" xfId="28029"/>
    <cellStyle name="Normal 3 2 2 2 2 2 2 2 2 2 8 2 2 5 2 2" xfId="28030"/>
    <cellStyle name="Normal 3 2 2 2 2 2 2 2 2 2 8 2 2 5 2 3" xfId="28031"/>
    <cellStyle name="Normal 3 2 2 2 2 2 2 2 2 2 8 2 2 5 2 4" xfId="28032"/>
    <cellStyle name="Normal 3 2 2 2 2 2 2 2 2 2 8 2 2 5 3" xfId="28033"/>
    <cellStyle name="Normal 3 2 2 2 2 2 2 2 2 2 8 2 2 5 4" xfId="28034"/>
    <cellStyle name="Normal 3 2 2 2 2 2 2 2 2 2 8 2 2 5 5" xfId="28035"/>
    <cellStyle name="Normal 3 2 2 2 2 2 2 2 2 2 8 2 2 5 6" xfId="28036"/>
    <cellStyle name="Normal 3 2 2 2 2 2 2 2 2 2 8 2 2 6" xfId="28037"/>
    <cellStyle name="Normal 3 2 2 2 2 2 2 2 2 2 8 2 2 7" xfId="28038"/>
    <cellStyle name="Normal 3 2 2 2 2 2 2 2 2 2 8 2 2 8" xfId="28039"/>
    <cellStyle name="Normal 3 2 2 2 2 2 2 2 2 2 8 2 2 9" xfId="28040"/>
    <cellStyle name="Normal 3 2 2 2 2 2 2 2 2 2 8 2 3" xfId="28041"/>
    <cellStyle name="Normal 3 2 2 2 2 2 2 2 2 2 8 2 4" xfId="28042"/>
    <cellStyle name="Normal 3 2 2 2 2 2 2 2 2 2 8 2 5" xfId="28043"/>
    <cellStyle name="Normal 3 2 2 2 2 2 2 2 2 2 8 2 5 10" xfId="28044"/>
    <cellStyle name="Normal 3 2 2 2 2 2 2 2 2 2 8 2 5 11" xfId="28045"/>
    <cellStyle name="Normal 3 2 2 2 2 2 2 2 2 2 8 2 5 2" xfId="28046"/>
    <cellStyle name="Normal 3 2 2 2 2 2 2 2 2 2 8 2 5 2 10" xfId="28047"/>
    <cellStyle name="Normal 3 2 2 2 2 2 2 2 2 2 8 2 5 2 11" xfId="28048"/>
    <cellStyle name="Normal 3 2 2 2 2 2 2 2 2 2 8 2 5 2 2" xfId="28049"/>
    <cellStyle name="Normal 3 2 2 2 2 2 2 2 2 2 8 2 5 2 2 2" xfId="28050"/>
    <cellStyle name="Normal 3 2 2 2 2 2 2 2 2 2 8 2 5 2 2 2 2" xfId="28051"/>
    <cellStyle name="Normal 3 2 2 2 2 2 2 2 2 2 8 2 5 2 2 2 3" xfId="28052"/>
    <cellStyle name="Normal 3 2 2 2 2 2 2 2 2 2 8 2 5 2 2 2 4" xfId="28053"/>
    <cellStyle name="Normal 3 2 2 2 2 2 2 2 2 2 8 2 5 2 2 3" xfId="28054"/>
    <cellStyle name="Normal 3 2 2 2 2 2 2 2 2 2 8 2 5 2 2 4" xfId="28055"/>
    <cellStyle name="Normal 3 2 2 2 2 2 2 2 2 2 8 2 5 2 2 5" xfId="28056"/>
    <cellStyle name="Normal 3 2 2 2 2 2 2 2 2 2 8 2 5 2 2 6" xfId="28057"/>
    <cellStyle name="Normal 3 2 2 2 2 2 2 2 2 2 8 2 5 2 3" xfId="28058"/>
    <cellStyle name="Normal 3 2 2 2 2 2 2 2 2 2 8 2 5 2 4" xfId="28059"/>
    <cellStyle name="Normal 3 2 2 2 2 2 2 2 2 2 8 2 5 2 5" xfId="28060"/>
    <cellStyle name="Normal 3 2 2 2 2 2 2 2 2 2 8 2 5 2 6" xfId="28061"/>
    <cellStyle name="Normal 3 2 2 2 2 2 2 2 2 2 8 2 5 2 7" xfId="28062"/>
    <cellStyle name="Normal 3 2 2 2 2 2 2 2 2 2 8 2 5 2 8" xfId="28063"/>
    <cellStyle name="Normal 3 2 2 2 2 2 2 2 2 2 8 2 5 2 8 2" xfId="28064"/>
    <cellStyle name="Normal 3 2 2 2 2 2 2 2 2 2 8 2 5 2 8 3" xfId="28065"/>
    <cellStyle name="Normal 3 2 2 2 2 2 2 2 2 2 8 2 5 2 8 4" xfId="28066"/>
    <cellStyle name="Normal 3 2 2 2 2 2 2 2 2 2 8 2 5 2 9" xfId="28067"/>
    <cellStyle name="Normal 3 2 2 2 2 2 2 2 2 2 8 2 5 3" xfId="28068"/>
    <cellStyle name="Normal 3 2 2 2 2 2 2 2 2 2 8 2 5 3 2" xfId="28069"/>
    <cellStyle name="Normal 3 2 2 2 2 2 2 2 2 2 8 2 5 3 2 2" xfId="28070"/>
    <cellStyle name="Normal 3 2 2 2 2 2 2 2 2 2 8 2 5 3 2 3" xfId="28071"/>
    <cellStyle name="Normal 3 2 2 2 2 2 2 2 2 2 8 2 5 3 2 4" xfId="28072"/>
    <cellStyle name="Normal 3 2 2 2 2 2 2 2 2 2 8 2 5 3 3" xfId="28073"/>
    <cellStyle name="Normal 3 2 2 2 2 2 2 2 2 2 8 2 5 3 4" xfId="28074"/>
    <cellStyle name="Normal 3 2 2 2 2 2 2 2 2 2 8 2 5 3 5" xfId="28075"/>
    <cellStyle name="Normal 3 2 2 2 2 2 2 2 2 2 8 2 5 3 6" xfId="28076"/>
    <cellStyle name="Normal 3 2 2 2 2 2 2 2 2 2 8 2 5 4" xfId="28077"/>
    <cellStyle name="Normal 3 2 2 2 2 2 2 2 2 2 8 2 5 5" xfId="28078"/>
    <cellStyle name="Normal 3 2 2 2 2 2 2 2 2 2 8 2 5 6" xfId="28079"/>
    <cellStyle name="Normal 3 2 2 2 2 2 2 2 2 2 8 2 5 7" xfId="28080"/>
    <cellStyle name="Normal 3 2 2 2 2 2 2 2 2 2 8 2 5 8" xfId="28081"/>
    <cellStyle name="Normal 3 2 2 2 2 2 2 2 2 2 8 2 5 8 2" xfId="28082"/>
    <cellStyle name="Normal 3 2 2 2 2 2 2 2 2 2 8 2 5 8 3" xfId="28083"/>
    <cellStyle name="Normal 3 2 2 2 2 2 2 2 2 2 8 2 5 8 4" xfId="28084"/>
    <cellStyle name="Normal 3 2 2 2 2 2 2 2 2 2 8 2 5 9" xfId="28085"/>
    <cellStyle name="Normal 3 2 2 2 2 2 2 2 2 2 8 2 6" xfId="28086"/>
    <cellStyle name="Normal 3 2 2 2 2 2 2 2 2 2 8 2 7" xfId="28087"/>
    <cellStyle name="Normal 3 2 2 2 2 2 2 2 2 2 8 2 7 2" xfId="28088"/>
    <cellStyle name="Normal 3 2 2 2 2 2 2 2 2 2 8 2 7 2 2" xfId="28089"/>
    <cellStyle name="Normal 3 2 2 2 2 2 2 2 2 2 8 2 7 2 3" xfId="28090"/>
    <cellStyle name="Normal 3 2 2 2 2 2 2 2 2 2 8 2 7 2 4" xfId="28091"/>
    <cellStyle name="Normal 3 2 2 2 2 2 2 2 2 2 8 2 7 3" xfId="28092"/>
    <cellStyle name="Normal 3 2 2 2 2 2 2 2 2 2 8 2 7 4" xfId="28093"/>
    <cellStyle name="Normal 3 2 2 2 2 2 2 2 2 2 8 2 7 5" xfId="28094"/>
    <cellStyle name="Normal 3 2 2 2 2 2 2 2 2 2 8 2 7 6" xfId="28095"/>
    <cellStyle name="Normal 3 2 2 2 2 2 2 2 2 2 8 2 8" xfId="28096"/>
    <cellStyle name="Normal 3 2 2 2 2 2 2 2 2 2 8 2 9" xfId="28097"/>
    <cellStyle name="Normal 3 2 2 2 2 2 2 2 2 2 8 20" xfId="28098"/>
    <cellStyle name="Normal 3 2 2 2 2 2 2 2 2 2 8 21" xfId="28099"/>
    <cellStyle name="Normal 3 2 2 2 2 2 2 2 2 2 8 21 2" xfId="28100"/>
    <cellStyle name="Normal 3 2 2 2 2 2 2 2 2 2 8 21 3" xfId="28101"/>
    <cellStyle name="Normal 3 2 2 2 2 2 2 2 2 2 8 21 4" xfId="28102"/>
    <cellStyle name="Normal 3 2 2 2 2 2 2 2 2 2 8 22" xfId="28103"/>
    <cellStyle name="Normal 3 2 2 2 2 2 2 2 2 2 8 23" xfId="28104"/>
    <cellStyle name="Normal 3 2 2 2 2 2 2 2 2 2 8 24" xfId="28105"/>
    <cellStyle name="Normal 3 2 2 2 2 2 2 2 2 2 8 3" xfId="28106"/>
    <cellStyle name="Normal 3 2 2 2 2 2 2 2 2 2 8 4" xfId="28107"/>
    <cellStyle name="Normal 3 2 2 2 2 2 2 2 2 2 8 5" xfId="28108"/>
    <cellStyle name="Normal 3 2 2 2 2 2 2 2 2 2 8 6" xfId="28109"/>
    <cellStyle name="Normal 3 2 2 2 2 2 2 2 2 2 8 7" xfId="28110"/>
    <cellStyle name="Normal 3 2 2 2 2 2 2 2 2 2 8 8" xfId="28111"/>
    <cellStyle name="Normal 3 2 2 2 2 2 2 2 2 2 8 9" xfId="28112"/>
    <cellStyle name="Normal 3 2 2 2 2 2 2 2 2 2 9" xfId="28113"/>
    <cellStyle name="Normal 3 2 2 2 2 2 2 2 2 2 9 10" xfId="28114"/>
    <cellStyle name="Normal 3 2 2 2 2 2 2 2 2 2 9 11" xfId="28115"/>
    <cellStyle name="Normal 3 2 2 2 2 2 2 2 2 2 9 12" xfId="28116"/>
    <cellStyle name="Normal 3 2 2 2 2 2 2 2 2 2 9 13" xfId="28117"/>
    <cellStyle name="Normal 3 2 2 2 2 2 2 2 2 2 9 13 2" xfId="28118"/>
    <cellStyle name="Normal 3 2 2 2 2 2 2 2 2 2 9 13 3" xfId="28119"/>
    <cellStyle name="Normal 3 2 2 2 2 2 2 2 2 2 9 13 4" xfId="28120"/>
    <cellStyle name="Normal 3 2 2 2 2 2 2 2 2 2 9 14" xfId="28121"/>
    <cellStyle name="Normal 3 2 2 2 2 2 2 2 2 2 9 15" xfId="28122"/>
    <cellStyle name="Normal 3 2 2 2 2 2 2 2 2 2 9 16" xfId="28123"/>
    <cellStyle name="Normal 3 2 2 2 2 2 2 2 2 2 9 2" xfId="28124"/>
    <cellStyle name="Normal 3 2 2 2 2 2 2 2 2 2 9 2 10" xfId="28125"/>
    <cellStyle name="Normal 3 2 2 2 2 2 2 2 2 2 9 2 11" xfId="28126"/>
    <cellStyle name="Normal 3 2 2 2 2 2 2 2 2 2 9 2 11 2" xfId="28127"/>
    <cellStyle name="Normal 3 2 2 2 2 2 2 2 2 2 9 2 11 3" xfId="28128"/>
    <cellStyle name="Normal 3 2 2 2 2 2 2 2 2 2 9 2 11 4" xfId="28129"/>
    <cellStyle name="Normal 3 2 2 2 2 2 2 2 2 2 9 2 12" xfId="28130"/>
    <cellStyle name="Normal 3 2 2 2 2 2 2 2 2 2 9 2 13" xfId="28131"/>
    <cellStyle name="Normal 3 2 2 2 2 2 2 2 2 2 9 2 14" xfId="28132"/>
    <cellStyle name="Normal 3 2 2 2 2 2 2 2 2 2 9 2 2" xfId="28133"/>
    <cellStyle name="Normal 3 2 2 2 2 2 2 2 2 2 9 2 2 10" xfId="28134"/>
    <cellStyle name="Normal 3 2 2 2 2 2 2 2 2 2 9 2 2 11" xfId="28135"/>
    <cellStyle name="Normal 3 2 2 2 2 2 2 2 2 2 9 2 2 2" xfId="28136"/>
    <cellStyle name="Normal 3 2 2 2 2 2 2 2 2 2 9 2 2 2 10" xfId="28137"/>
    <cellStyle name="Normal 3 2 2 2 2 2 2 2 2 2 9 2 2 2 11" xfId="28138"/>
    <cellStyle name="Normal 3 2 2 2 2 2 2 2 2 2 9 2 2 2 2" xfId="28139"/>
    <cellStyle name="Normal 3 2 2 2 2 2 2 2 2 2 9 2 2 2 2 2" xfId="28140"/>
    <cellStyle name="Normal 3 2 2 2 2 2 2 2 2 2 9 2 2 2 2 2 2" xfId="28141"/>
    <cellStyle name="Normal 3 2 2 2 2 2 2 2 2 2 9 2 2 2 2 2 3" xfId="28142"/>
    <cellStyle name="Normal 3 2 2 2 2 2 2 2 2 2 9 2 2 2 2 2 4" xfId="28143"/>
    <cellStyle name="Normal 3 2 2 2 2 2 2 2 2 2 9 2 2 2 2 3" xfId="28144"/>
    <cellStyle name="Normal 3 2 2 2 2 2 2 2 2 2 9 2 2 2 2 4" xfId="28145"/>
    <cellStyle name="Normal 3 2 2 2 2 2 2 2 2 2 9 2 2 2 2 5" xfId="28146"/>
    <cellStyle name="Normal 3 2 2 2 2 2 2 2 2 2 9 2 2 2 2 6" xfId="28147"/>
    <cellStyle name="Normal 3 2 2 2 2 2 2 2 2 2 9 2 2 2 3" xfId="28148"/>
    <cellStyle name="Normal 3 2 2 2 2 2 2 2 2 2 9 2 2 2 4" xfId="28149"/>
    <cellStyle name="Normal 3 2 2 2 2 2 2 2 2 2 9 2 2 2 5" xfId="28150"/>
    <cellStyle name="Normal 3 2 2 2 2 2 2 2 2 2 9 2 2 2 6" xfId="28151"/>
    <cellStyle name="Normal 3 2 2 2 2 2 2 2 2 2 9 2 2 2 7" xfId="28152"/>
    <cellStyle name="Normal 3 2 2 2 2 2 2 2 2 2 9 2 2 2 8" xfId="28153"/>
    <cellStyle name="Normal 3 2 2 2 2 2 2 2 2 2 9 2 2 2 8 2" xfId="28154"/>
    <cellStyle name="Normal 3 2 2 2 2 2 2 2 2 2 9 2 2 2 8 3" xfId="28155"/>
    <cellStyle name="Normal 3 2 2 2 2 2 2 2 2 2 9 2 2 2 8 4" xfId="28156"/>
    <cellStyle name="Normal 3 2 2 2 2 2 2 2 2 2 9 2 2 2 9" xfId="28157"/>
    <cellStyle name="Normal 3 2 2 2 2 2 2 2 2 2 9 2 2 3" xfId="28158"/>
    <cellStyle name="Normal 3 2 2 2 2 2 2 2 2 2 9 2 2 3 2" xfId="28159"/>
    <cellStyle name="Normal 3 2 2 2 2 2 2 2 2 2 9 2 2 3 2 2" xfId="28160"/>
    <cellStyle name="Normal 3 2 2 2 2 2 2 2 2 2 9 2 2 3 2 3" xfId="28161"/>
    <cellStyle name="Normal 3 2 2 2 2 2 2 2 2 2 9 2 2 3 2 4" xfId="28162"/>
    <cellStyle name="Normal 3 2 2 2 2 2 2 2 2 2 9 2 2 3 3" xfId="28163"/>
    <cellStyle name="Normal 3 2 2 2 2 2 2 2 2 2 9 2 2 3 4" xfId="28164"/>
    <cellStyle name="Normal 3 2 2 2 2 2 2 2 2 2 9 2 2 3 5" xfId="28165"/>
    <cellStyle name="Normal 3 2 2 2 2 2 2 2 2 2 9 2 2 3 6" xfId="28166"/>
    <cellStyle name="Normal 3 2 2 2 2 2 2 2 2 2 9 2 2 4" xfId="28167"/>
    <cellStyle name="Normal 3 2 2 2 2 2 2 2 2 2 9 2 2 5" xfId="28168"/>
    <cellStyle name="Normal 3 2 2 2 2 2 2 2 2 2 9 2 2 6" xfId="28169"/>
    <cellStyle name="Normal 3 2 2 2 2 2 2 2 2 2 9 2 2 7" xfId="28170"/>
    <cellStyle name="Normal 3 2 2 2 2 2 2 2 2 2 9 2 2 8" xfId="28171"/>
    <cellStyle name="Normal 3 2 2 2 2 2 2 2 2 2 9 2 2 8 2" xfId="28172"/>
    <cellStyle name="Normal 3 2 2 2 2 2 2 2 2 2 9 2 2 8 3" xfId="28173"/>
    <cellStyle name="Normal 3 2 2 2 2 2 2 2 2 2 9 2 2 8 4" xfId="28174"/>
    <cellStyle name="Normal 3 2 2 2 2 2 2 2 2 2 9 2 2 9" xfId="28175"/>
    <cellStyle name="Normal 3 2 2 2 2 2 2 2 2 2 9 2 3" xfId="28176"/>
    <cellStyle name="Normal 3 2 2 2 2 2 2 2 2 2 9 2 4" xfId="28177"/>
    <cellStyle name="Normal 3 2 2 2 2 2 2 2 2 2 9 2 5" xfId="28178"/>
    <cellStyle name="Normal 3 2 2 2 2 2 2 2 2 2 9 2 5 2" xfId="28179"/>
    <cellStyle name="Normal 3 2 2 2 2 2 2 2 2 2 9 2 5 2 2" xfId="28180"/>
    <cellStyle name="Normal 3 2 2 2 2 2 2 2 2 2 9 2 5 2 3" xfId="28181"/>
    <cellStyle name="Normal 3 2 2 2 2 2 2 2 2 2 9 2 5 2 4" xfId="28182"/>
    <cellStyle name="Normal 3 2 2 2 2 2 2 2 2 2 9 2 5 3" xfId="28183"/>
    <cellStyle name="Normal 3 2 2 2 2 2 2 2 2 2 9 2 5 4" xfId="28184"/>
    <cellStyle name="Normal 3 2 2 2 2 2 2 2 2 2 9 2 5 5" xfId="28185"/>
    <cellStyle name="Normal 3 2 2 2 2 2 2 2 2 2 9 2 5 6" xfId="28186"/>
    <cellStyle name="Normal 3 2 2 2 2 2 2 2 2 2 9 2 6" xfId="28187"/>
    <cellStyle name="Normal 3 2 2 2 2 2 2 2 2 2 9 2 7" xfId="28188"/>
    <cellStyle name="Normal 3 2 2 2 2 2 2 2 2 2 9 2 8" xfId="28189"/>
    <cellStyle name="Normal 3 2 2 2 2 2 2 2 2 2 9 2 9" xfId="28190"/>
    <cellStyle name="Normal 3 2 2 2 2 2 2 2 2 2 9 3" xfId="28191"/>
    <cellStyle name="Normal 3 2 2 2 2 2 2 2 2 2 9 4" xfId="28192"/>
    <cellStyle name="Normal 3 2 2 2 2 2 2 2 2 2 9 5" xfId="28193"/>
    <cellStyle name="Normal 3 2 2 2 2 2 2 2 2 2 9 5 10" xfId="28194"/>
    <cellStyle name="Normal 3 2 2 2 2 2 2 2 2 2 9 5 11" xfId="28195"/>
    <cellStyle name="Normal 3 2 2 2 2 2 2 2 2 2 9 5 2" xfId="28196"/>
    <cellStyle name="Normal 3 2 2 2 2 2 2 2 2 2 9 5 2 10" xfId="28197"/>
    <cellStyle name="Normal 3 2 2 2 2 2 2 2 2 2 9 5 2 11" xfId="28198"/>
    <cellStyle name="Normal 3 2 2 2 2 2 2 2 2 2 9 5 2 2" xfId="28199"/>
    <cellStyle name="Normal 3 2 2 2 2 2 2 2 2 2 9 5 2 2 2" xfId="28200"/>
    <cellStyle name="Normal 3 2 2 2 2 2 2 2 2 2 9 5 2 2 2 2" xfId="28201"/>
    <cellStyle name="Normal 3 2 2 2 2 2 2 2 2 2 9 5 2 2 2 3" xfId="28202"/>
    <cellStyle name="Normal 3 2 2 2 2 2 2 2 2 2 9 5 2 2 2 4" xfId="28203"/>
    <cellStyle name="Normal 3 2 2 2 2 2 2 2 2 2 9 5 2 2 3" xfId="28204"/>
    <cellStyle name="Normal 3 2 2 2 2 2 2 2 2 2 9 5 2 2 4" xfId="28205"/>
    <cellStyle name="Normal 3 2 2 2 2 2 2 2 2 2 9 5 2 2 5" xfId="28206"/>
    <cellStyle name="Normal 3 2 2 2 2 2 2 2 2 2 9 5 2 2 6" xfId="28207"/>
    <cellStyle name="Normal 3 2 2 2 2 2 2 2 2 2 9 5 2 3" xfId="28208"/>
    <cellStyle name="Normal 3 2 2 2 2 2 2 2 2 2 9 5 2 4" xfId="28209"/>
    <cellStyle name="Normal 3 2 2 2 2 2 2 2 2 2 9 5 2 5" xfId="28210"/>
    <cellStyle name="Normal 3 2 2 2 2 2 2 2 2 2 9 5 2 6" xfId="28211"/>
    <cellStyle name="Normal 3 2 2 2 2 2 2 2 2 2 9 5 2 7" xfId="28212"/>
    <cellStyle name="Normal 3 2 2 2 2 2 2 2 2 2 9 5 2 8" xfId="28213"/>
    <cellStyle name="Normal 3 2 2 2 2 2 2 2 2 2 9 5 2 8 2" xfId="28214"/>
    <cellStyle name="Normal 3 2 2 2 2 2 2 2 2 2 9 5 2 8 3" xfId="28215"/>
    <cellStyle name="Normal 3 2 2 2 2 2 2 2 2 2 9 5 2 8 4" xfId="28216"/>
    <cellStyle name="Normal 3 2 2 2 2 2 2 2 2 2 9 5 2 9" xfId="28217"/>
    <cellStyle name="Normal 3 2 2 2 2 2 2 2 2 2 9 5 3" xfId="28218"/>
    <cellStyle name="Normal 3 2 2 2 2 2 2 2 2 2 9 5 3 2" xfId="28219"/>
    <cellStyle name="Normal 3 2 2 2 2 2 2 2 2 2 9 5 3 2 2" xfId="28220"/>
    <cellStyle name="Normal 3 2 2 2 2 2 2 2 2 2 9 5 3 2 3" xfId="28221"/>
    <cellStyle name="Normal 3 2 2 2 2 2 2 2 2 2 9 5 3 2 4" xfId="28222"/>
    <cellStyle name="Normal 3 2 2 2 2 2 2 2 2 2 9 5 3 3" xfId="28223"/>
    <cellStyle name="Normal 3 2 2 2 2 2 2 2 2 2 9 5 3 4" xfId="28224"/>
    <cellStyle name="Normal 3 2 2 2 2 2 2 2 2 2 9 5 3 5" xfId="28225"/>
    <cellStyle name="Normal 3 2 2 2 2 2 2 2 2 2 9 5 3 6" xfId="28226"/>
    <cellStyle name="Normal 3 2 2 2 2 2 2 2 2 2 9 5 4" xfId="28227"/>
    <cellStyle name="Normal 3 2 2 2 2 2 2 2 2 2 9 5 5" xfId="28228"/>
    <cellStyle name="Normal 3 2 2 2 2 2 2 2 2 2 9 5 6" xfId="28229"/>
    <cellStyle name="Normal 3 2 2 2 2 2 2 2 2 2 9 5 7" xfId="28230"/>
    <cellStyle name="Normal 3 2 2 2 2 2 2 2 2 2 9 5 8" xfId="28231"/>
    <cellStyle name="Normal 3 2 2 2 2 2 2 2 2 2 9 5 8 2" xfId="28232"/>
    <cellStyle name="Normal 3 2 2 2 2 2 2 2 2 2 9 5 8 3" xfId="28233"/>
    <cellStyle name="Normal 3 2 2 2 2 2 2 2 2 2 9 5 8 4" xfId="28234"/>
    <cellStyle name="Normal 3 2 2 2 2 2 2 2 2 2 9 5 9" xfId="28235"/>
    <cellStyle name="Normal 3 2 2 2 2 2 2 2 2 2 9 6" xfId="28236"/>
    <cellStyle name="Normal 3 2 2 2 2 2 2 2 2 2 9 7" xfId="28237"/>
    <cellStyle name="Normal 3 2 2 2 2 2 2 2 2 2 9 7 2" xfId="28238"/>
    <cellStyle name="Normal 3 2 2 2 2 2 2 2 2 2 9 7 2 2" xfId="28239"/>
    <cellStyle name="Normal 3 2 2 2 2 2 2 2 2 2 9 7 2 3" xfId="28240"/>
    <cellStyle name="Normal 3 2 2 2 2 2 2 2 2 2 9 7 2 4" xfId="28241"/>
    <cellStyle name="Normal 3 2 2 2 2 2 2 2 2 2 9 7 3" xfId="28242"/>
    <cellStyle name="Normal 3 2 2 2 2 2 2 2 2 2 9 7 4" xfId="28243"/>
    <cellStyle name="Normal 3 2 2 2 2 2 2 2 2 2 9 7 5" xfId="28244"/>
    <cellStyle name="Normal 3 2 2 2 2 2 2 2 2 2 9 7 6" xfId="28245"/>
    <cellStyle name="Normal 3 2 2 2 2 2 2 2 2 2 9 8" xfId="28246"/>
    <cellStyle name="Normal 3 2 2 2 2 2 2 2 2 2 9 9" xfId="28247"/>
    <cellStyle name="Normal 3 2 2 2 2 2 2 2 2 20" xfId="28248"/>
    <cellStyle name="Normal 3 2 2 2 2 2 2 2 2 21" xfId="28249"/>
    <cellStyle name="Normal 3 2 2 2 2 2 2 2 2 21 2" xfId="28250"/>
    <cellStyle name="Normal 3 2 2 2 2 2 2 2 2 21 2 2" xfId="28251"/>
    <cellStyle name="Normal 3 2 2 2 2 2 2 2 2 21 2 3" xfId="28252"/>
    <cellStyle name="Normal 3 2 2 2 2 2 2 2 2 21 2 4" xfId="28253"/>
    <cellStyle name="Normal 3 2 2 2 2 2 2 2 2 21 3" xfId="28254"/>
    <cellStyle name="Normal 3 2 2 2 2 2 2 2 2 21 4" xfId="28255"/>
    <cellStyle name="Normal 3 2 2 2 2 2 2 2 2 21 5" xfId="28256"/>
    <cellStyle name="Normal 3 2 2 2 2 2 2 2 2 21 6" xfId="28257"/>
    <cellStyle name="Normal 3 2 2 2 2 2 2 2 2 22" xfId="28258"/>
    <cellStyle name="Normal 3 2 2 2 2 2 2 2 2 23" xfId="28259"/>
    <cellStyle name="Normal 3 2 2 2 2 2 2 2 2 24" xfId="28260"/>
    <cellStyle name="Normal 3 2 2 2 2 2 2 2 2 25" xfId="28261"/>
    <cellStyle name="Normal 3 2 2 2 2 2 2 2 2 26" xfId="28262"/>
    <cellStyle name="Normal 3 2 2 2 2 2 2 2 2 27" xfId="28263"/>
    <cellStyle name="Normal 3 2 2 2 2 2 2 2 2 27 2" xfId="28264"/>
    <cellStyle name="Normal 3 2 2 2 2 2 2 2 2 27 3" xfId="28265"/>
    <cellStyle name="Normal 3 2 2 2 2 2 2 2 2 27 4" xfId="28266"/>
    <cellStyle name="Normal 3 2 2 2 2 2 2 2 2 28" xfId="28267"/>
    <cellStyle name="Normal 3 2 2 2 2 2 2 2 2 29" xfId="28268"/>
    <cellStyle name="Normal 3 2 2 2 2 2 2 2 2 3" xfId="28269"/>
    <cellStyle name="Normal 3 2 2 2 2 2 2 2 2 30" xfId="28270"/>
    <cellStyle name="Normal 3 2 2 2 2 2 2 2 2 31" xfId="28271"/>
    <cellStyle name="Normal 3 2 2 2 2 2 2 2 2 32" xfId="28272"/>
    <cellStyle name="Normal 3 2 2 2 2 2 2 2 2 33" xfId="28273"/>
    <cellStyle name="Normal 3 2 2 2 2 2 2 2 2 34" xfId="28274"/>
    <cellStyle name="Normal 3 2 2 2 2 2 2 2 2 35" xfId="28275"/>
    <cellStyle name="Normal 3 2 2 2 2 2 2 2 2 36" xfId="28276"/>
    <cellStyle name="Normal 3 2 2 2 2 2 2 2 2 37" xfId="28277"/>
    <cellStyle name="Normal 3 2 2 2 2 2 2 2 2 38" xfId="28278"/>
    <cellStyle name="Normal 3 2 2 2 2 2 2 2 2 39" xfId="28279"/>
    <cellStyle name="Normal 3 2 2 2 2 2 2 2 2 4" xfId="28280"/>
    <cellStyle name="Normal 3 2 2 2 2 2 2 2 2 40" xfId="28281"/>
    <cellStyle name="Normal 3 2 2 2 2 2 2 2 2 41" xfId="28282"/>
    <cellStyle name="Normal 3 2 2 2 2 2 2 2 2 42" xfId="28283"/>
    <cellStyle name="Normal 3 2 2 2 2 2 2 2 2 42 2" xfId="28284"/>
    <cellStyle name="Normal 3 2 2 2 2 2 2 2 2 42 3" xfId="28285"/>
    <cellStyle name="Normal 3 2 2 2 2 2 2 2 2 42 4" xfId="28286"/>
    <cellStyle name="Normal 3 2 2 2 2 2 2 2 2 42 5" xfId="28287"/>
    <cellStyle name="Normal 3 2 2 2 2 2 2 2 2 42 6" xfId="28288"/>
    <cellStyle name="Normal 3 2 2 2 2 2 2 2 2 42 7" xfId="28289"/>
    <cellStyle name="Normal 3 2 2 2 2 2 2 2 2 43" xfId="28290"/>
    <cellStyle name="Normal 3 2 2 2 2 2 2 2 2 44" xfId="28291"/>
    <cellStyle name="Normal 3 2 2 2 2 2 2 2 2 45" xfId="28292"/>
    <cellStyle name="Normal 3 2 2 2 2 2 2 2 2 46" xfId="28293"/>
    <cellStyle name="Normal 3 2 2 2 2 2 2 2 2 47" xfId="28294"/>
    <cellStyle name="Normal 3 2 2 2 2 2 2 2 2 48" xfId="28295"/>
    <cellStyle name="Normal 3 2 2 2 2 2 2 2 2 49" xfId="28296"/>
    <cellStyle name="Normal 3 2 2 2 2 2 2 2 2 5" xfId="28297"/>
    <cellStyle name="Normal 3 2 2 2 2 2 2 2 2 50" xfId="28298"/>
    <cellStyle name="Normal 3 2 2 2 2 2 2 2 2 51" xfId="28299"/>
    <cellStyle name="Normal 3 2 2 2 2 2 2 2 2 52" xfId="28300"/>
    <cellStyle name="Normal 3 2 2 2 2 2 2 2 2 53" xfId="28301"/>
    <cellStyle name="Normal 3 2 2 2 2 2 2 2 2 54" xfId="28302"/>
    <cellStyle name="Normal 3 2 2 2 2 2 2 2 2 55" xfId="28303"/>
    <cellStyle name="Normal 3 2 2 2 2 2 2 2 2 56" xfId="28304"/>
    <cellStyle name="Normal 3 2 2 2 2 2 2 2 2 57" xfId="28305"/>
    <cellStyle name="Normal 3 2 2 2 2 2 2 2 2 58" xfId="28306"/>
    <cellStyle name="Normal 3 2 2 2 2 2 2 2 2 59" xfId="28307"/>
    <cellStyle name="Normal 3 2 2 2 2 2 2 2 2 6" xfId="28308"/>
    <cellStyle name="Normal 3 2 2 2 2 2 2 2 2 60" xfId="28309"/>
    <cellStyle name="Normal 3 2 2 2 2 2 2 2 2 61" xfId="28310"/>
    <cellStyle name="Normal 3 2 2 2 2 2 2 2 2 62" xfId="28311"/>
    <cellStyle name="Normal 3 2 2 2 2 2 2 2 2 63" xfId="28312"/>
    <cellStyle name="Normal 3 2 2 2 2 2 2 2 2 64" xfId="28313"/>
    <cellStyle name="Normal 3 2 2 2 2 2 2 2 2 65" xfId="28314"/>
    <cellStyle name="Normal 3 2 2 2 2 2 2 2 2 66" xfId="28315"/>
    <cellStyle name="Normal 3 2 2 2 2 2 2 2 2 67" xfId="28316"/>
    <cellStyle name="Normal 3 2 2 2 2 2 2 2 2 68" xfId="28317"/>
    <cellStyle name="Normal 3 2 2 2 2 2 2 2 2 69" xfId="28318"/>
    <cellStyle name="Normal 3 2 2 2 2 2 2 2 2 7" xfId="28319"/>
    <cellStyle name="Normal 3 2 2 2 2 2 2 2 2 70" xfId="28320"/>
    <cellStyle name="Normal 3 2 2 2 2 2 2 2 2 71" xfId="28321"/>
    <cellStyle name="Normal 3 2 2 2 2 2 2 2 2 72" xfId="28322"/>
    <cellStyle name="Normal 3 2 2 2 2 2 2 2 2 73" xfId="28323"/>
    <cellStyle name="Normal 3 2 2 2 2 2 2 2 2 74" xfId="28324"/>
    <cellStyle name="Normal 3 2 2 2 2 2 2 2 2 74 2" xfId="28325"/>
    <cellStyle name="Normal 3 2 2 2 2 2 2 2 2 74 3" xfId="28326"/>
    <cellStyle name="Normal 3 2 2 2 2 2 2 2 2 74 4" xfId="28327"/>
    <cellStyle name="Normal 3 2 2 2 2 2 2 2 2 75" xfId="28328"/>
    <cellStyle name="Normal 3 2 2 2 2 2 2 2 2 76" xfId="28329"/>
    <cellStyle name="Normal 3 2 2 2 2 2 2 2 2 8" xfId="28330"/>
    <cellStyle name="Normal 3 2 2 2 2 2 2 2 2 8 10" xfId="28331"/>
    <cellStyle name="Normal 3 2 2 2 2 2 2 2 2 8 11" xfId="28332"/>
    <cellStyle name="Normal 3 2 2 2 2 2 2 2 2 8 11 10" xfId="28333"/>
    <cellStyle name="Normal 3 2 2 2 2 2 2 2 2 8 11 11" xfId="28334"/>
    <cellStyle name="Normal 3 2 2 2 2 2 2 2 2 8 11 11 2" xfId="28335"/>
    <cellStyle name="Normal 3 2 2 2 2 2 2 2 2 8 11 11 3" xfId="28336"/>
    <cellStyle name="Normal 3 2 2 2 2 2 2 2 2 8 11 11 4" xfId="28337"/>
    <cellStyle name="Normal 3 2 2 2 2 2 2 2 2 8 11 12" xfId="28338"/>
    <cellStyle name="Normal 3 2 2 2 2 2 2 2 2 8 11 13" xfId="28339"/>
    <cellStyle name="Normal 3 2 2 2 2 2 2 2 2 8 11 14" xfId="28340"/>
    <cellStyle name="Normal 3 2 2 2 2 2 2 2 2 8 11 2" xfId="28341"/>
    <cellStyle name="Normal 3 2 2 2 2 2 2 2 2 8 11 2 10" xfId="28342"/>
    <cellStyle name="Normal 3 2 2 2 2 2 2 2 2 8 11 2 11" xfId="28343"/>
    <cellStyle name="Normal 3 2 2 2 2 2 2 2 2 8 11 2 2" xfId="28344"/>
    <cellStyle name="Normal 3 2 2 2 2 2 2 2 2 8 11 2 2 10" xfId="28345"/>
    <cellStyle name="Normal 3 2 2 2 2 2 2 2 2 8 11 2 2 11" xfId="28346"/>
    <cellStyle name="Normal 3 2 2 2 2 2 2 2 2 8 11 2 2 2" xfId="28347"/>
    <cellStyle name="Normal 3 2 2 2 2 2 2 2 2 8 11 2 2 2 2" xfId="28348"/>
    <cellStyle name="Normal 3 2 2 2 2 2 2 2 2 8 11 2 2 2 2 2" xfId="28349"/>
    <cellStyle name="Normal 3 2 2 2 2 2 2 2 2 8 11 2 2 2 2 3" xfId="28350"/>
    <cellStyle name="Normal 3 2 2 2 2 2 2 2 2 8 11 2 2 2 2 4" xfId="28351"/>
    <cellStyle name="Normal 3 2 2 2 2 2 2 2 2 8 11 2 2 2 3" xfId="28352"/>
    <cellStyle name="Normal 3 2 2 2 2 2 2 2 2 8 11 2 2 2 4" xfId="28353"/>
    <cellStyle name="Normal 3 2 2 2 2 2 2 2 2 8 11 2 2 2 5" xfId="28354"/>
    <cellStyle name="Normal 3 2 2 2 2 2 2 2 2 8 11 2 2 2 6" xfId="28355"/>
    <cellStyle name="Normal 3 2 2 2 2 2 2 2 2 8 11 2 2 3" xfId="28356"/>
    <cellStyle name="Normal 3 2 2 2 2 2 2 2 2 8 11 2 2 4" xfId="28357"/>
    <cellStyle name="Normal 3 2 2 2 2 2 2 2 2 8 11 2 2 5" xfId="28358"/>
    <cellStyle name="Normal 3 2 2 2 2 2 2 2 2 8 11 2 2 6" xfId="28359"/>
    <cellStyle name="Normal 3 2 2 2 2 2 2 2 2 8 11 2 2 7" xfId="28360"/>
    <cellStyle name="Normal 3 2 2 2 2 2 2 2 2 8 11 2 2 8" xfId="28361"/>
    <cellStyle name="Normal 3 2 2 2 2 2 2 2 2 8 11 2 2 8 2" xfId="28362"/>
    <cellStyle name="Normal 3 2 2 2 2 2 2 2 2 8 11 2 2 8 3" xfId="28363"/>
    <cellStyle name="Normal 3 2 2 2 2 2 2 2 2 8 11 2 2 8 4" xfId="28364"/>
    <cellStyle name="Normal 3 2 2 2 2 2 2 2 2 8 11 2 2 9" xfId="28365"/>
    <cellStyle name="Normal 3 2 2 2 2 2 2 2 2 8 11 2 3" xfId="28366"/>
    <cellStyle name="Normal 3 2 2 2 2 2 2 2 2 8 11 2 3 2" xfId="28367"/>
    <cellStyle name="Normal 3 2 2 2 2 2 2 2 2 8 11 2 3 2 2" xfId="28368"/>
    <cellStyle name="Normal 3 2 2 2 2 2 2 2 2 8 11 2 3 2 3" xfId="28369"/>
    <cellStyle name="Normal 3 2 2 2 2 2 2 2 2 8 11 2 3 2 4" xfId="28370"/>
    <cellStyle name="Normal 3 2 2 2 2 2 2 2 2 8 11 2 3 3" xfId="28371"/>
    <cellStyle name="Normal 3 2 2 2 2 2 2 2 2 8 11 2 3 4" xfId="28372"/>
    <cellStyle name="Normal 3 2 2 2 2 2 2 2 2 8 11 2 3 5" xfId="28373"/>
    <cellStyle name="Normal 3 2 2 2 2 2 2 2 2 8 11 2 3 6" xfId="28374"/>
    <cellStyle name="Normal 3 2 2 2 2 2 2 2 2 8 11 2 4" xfId="28375"/>
    <cellStyle name="Normal 3 2 2 2 2 2 2 2 2 8 11 2 5" xfId="28376"/>
    <cellStyle name="Normal 3 2 2 2 2 2 2 2 2 8 11 2 6" xfId="28377"/>
    <cellStyle name="Normal 3 2 2 2 2 2 2 2 2 8 11 2 7" xfId="28378"/>
    <cellStyle name="Normal 3 2 2 2 2 2 2 2 2 8 11 2 8" xfId="28379"/>
    <cellStyle name="Normal 3 2 2 2 2 2 2 2 2 8 11 2 8 2" xfId="28380"/>
    <cellStyle name="Normal 3 2 2 2 2 2 2 2 2 8 11 2 8 3" xfId="28381"/>
    <cellStyle name="Normal 3 2 2 2 2 2 2 2 2 8 11 2 8 4" xfId="28382"/>
    <cellStyle name="Normal 3 2 2 2 2 2 2 2 2 8 11 2 9" xfId="28383"/>
    <cellStyle name="Normal 3 2 2 2 2 2 2 2 2 8 11 3" xfId="28384"/>
    <cellStyle name="Normal 3 2 2 2 2 2 2 2 2 8 11 4" xfId="28385"/>
    <cellStyle name="Normal 3 2 2 2 2 2 2 2 2 8 11 5" xfId="28386"/>
    <cellStyle name="Normal 3 2 2 2 2 2 2 2 2 8 11 5 2" xfId="28387"/>
    <cellStyle name="Normal 3 2 2 2 2 2 2 2 2 8 11 5 2 2" xfId="28388"/>
    <cellStyle name="Normal 3 2 2 2 2 2 2 2 2 8 11 5 2 3" xfId="28389"/>
    <cellStyle name="Normal 3 2 2 2 2 2 2 2 2 8 11 5 2 4" xfId="28390"/>
    <cellStyle name="Normal 3 2 2 2 2 2 2 2 2 8 11 5 3" xfId="28391"/>
    <cellStyle name="Normal 3 2 2 2 2 2 2 2 2 8 11 5 4" xfId="28392"/>
    <cellStyle name="Normal 3 2 2 2 2 2 2 2 2 8 11 5 5" xfId="28393"/>
    <cellStyle name="Normal 3 2 2 2 2 2 2 2 2 8 11 5 6" xfId="28394"/>
    <cellStyle name="Normal 3 2 2 2 2 2 2 2 2 8 11 6" xfId="28395"/>
    <cellStyle name="Normal 3 2 2 2 2 2 2 2 2 8 11 7" xfId="28396"/>
    <cellStyle name="Normal 3 2 2 2 2 2 2 2 2 8 11 8" xfId="28397"/>
    <cellStyle name="Normal 3 2 2 2 2 2 2 2 2 8 11 9" xfId="28398"/>
    <cellStyle name="Normal 3 2 2 2 2 2 2 2 2 8 12" xfId="28399"/>
    <cellStyle name="Normal 3 2 2 2 2 2 2 2 2 8 13" xfId="28400"/>
    <cellStyle name="Normal 3 2 2 2 2 2 2 2 2 8 13 10" xfId="28401"/>
    <cellStyle name="Normal 3 2 2 2 2 2 2 2 2 8 13 11" xfId="28402"/>
    <cellStyle name="Normal 3 2 2 2 2 2 2 2 2 8 13 2" xfId="28403"/>
    <cellStyle name="Normal 3 2 2 2 2 2 2 2 2 8 13 2 10" xfId="28404"/>
    <cellStyle name="Normal 3 2 2 2 2 2 2 2 2 8 13 2 11" xfId="28405"/>
    <cellStyle name="Normal 3 2 2 2 2 2 2 2 2 8 13 2 2" xfId="28406"/>
    <cellStyle name="Normal 3 2 2 2 2 2 2 2 2 8 13 2 2 2" xfId="28407"/>
    <cellStyle name="Normal 3 2 2 2 2 2 2 2 2 8 13 2 2 2 2" xfId="28408"/>
    <cellStyle name="Normal 3 2 2 2 2 2 2 2 2 8 13 2 2 2 3" xfId="28409"/>
    <cellStyle name="Normal 3 2 2 2 2 2 2 2 2 8 13 2 2 2 4" xfId="28410"/>
    <cellStyle name="Normal 3 2 2 2 2 2 2 2 2 8 13 2 2 3" xfId="28411"/>
    <cellStyle name="Normal 3 2 2 2 2 2 2 2 2 8 13 2 2 4" xfId="28412"/>
    <cellStyle name="Normal 3 2 2 2 2 2 2 2 2 8 13 2 2 5" xfId="28413"/>
    <cellStyle name="Normal 3 2 2 2 2 2 2 2 2 8 13 2 2 6" xfId="28414"/>
    <cellStyle name="Normal 3 2 2 2 2 2 2 2 2 8 13 2 3" xfId="28415"/>
    <cellStyle name="Normal 3 2 2 2 2 2 2 2 2 8 13 2 4" xfId="28416"/>
    <cellStyle name="Normal 3 2 2 2 2 2 2 2 2 8 13 2 5" xfId="28417"/>
    <cellStyle name="Normal 3 2 2 2 2 2 2 2 2 8 13 2 6" xfId="28418"/>
    <cellStyle name="Normal 3 2 2 2 2 2 2 2 2 8 13 2 7" xfId="28419"/>
    <cellStyle name="Normal 3 2 2 2 2 2 2 2 2 8 13 2 8" xfId="28420"/>
    <cellStyle name="Normal 3 2 2 2 2 2 2 2 2 8 13 2 8 2" xfId="28421"/>
    <cellStyle name="Normal 3 2 2 2 2 2 2 2 2 8 13 2 8 3" xfId="28422"/>
    <cellStyle name="Normal 3 2 2 2 2 2 2 2 2 8 13 2 8 4" xfId="28423"/>
    <cellStyle name="Normal 3 2 2 2 2 2 2 2 2 8 13 2 9" xfId="28424"/>
    <cellStyle name="Normal 3 2 2 2 2 2 2 2 2 8 13 3" xfId="28425"/>
    <cellStyle name="Normal 3 2 2 2 2 2 2 2 2 8 13 3 2" xfId="28426"/>
    <cellStyle name="Normal 3 2 2 2 2 2 2 2 2 8 13 3 2 2" xfId="28427"/>
    <cellStyle name="Normal 3 2 2 2 2 2 2 2 2 8 13 3 2 3" xfId="28428"/>
    <cellStyle name="Normal 3 2 2 2 2 2 2 2 2 8 13 3 2 4" xfId="28429"/>
    <cellStyle name="Normal 3 2 2 2 2 2 2 2 2 8 13 3 3" xfId="28430"/>
    <cellStyle name="Normal 3 2 2 2 2 2 2 2 2 8 13 3 4" xfId="28431"/>
    <cellStyle name="Normal 3 2 2 2 2 2 2 2 2 8 13 3 5" xfId="28432"/>
    <cellStyle name="Normal 3 2 2 2 2 2 2 2 2 8 13 3 6" xfId="28433"/>
    <cellStyle name="Normal 3 2 2 2 2 2 2 2 2 8 13 4" xfId="28434"/>
    <cellStyle name="Normal 3 2 2 2 2 2 2 2 2 8 13 5" xfId="28435"/>
    <cellStyle name="Normal 3 2 2 2 2 2 2 2 2 8 13 6" xfId="28436"/>
    <cellStyle name="Normal 3 2 2 2 2 2 2 2 2 8 13 7" xfId="28437"/>
    <cellStyle name="Normal 3 2 2 2 2 2 2 2 2 8 13 8" xfId="28438"/>
    <cellStyle name="Normal 3 2 2 2 2 2 2 2 2 8 13 8 2" xfId="28439"/>
    <cellStyle name="Normal 3 2 2 2 2 2 2 2 2 8 13 8 3" xfId="28440"/>
    <cellStyle name="Normal 3 2 2 2 2 2 2 2 2 8 13 8 4" xfId="28441"/>
    <cellStyle name="Normal 3 2 2 2 2 2 2 2 2 8 13 9" xfId="28442"/>
    <cellStyle name="Normal 3 2 2 2 2 2 2 2 2 8 14" xfId="28443"/>
    <cellStyle name="Normal 3 2 2 2 2 2 2 2 2 8 15" xfId="28444"/>
    <cellStyle name="Normal 3 2 2 2 2 2 2 2 2 8 15 2" xfId="28445"/>
    <cellStyle name="Normal 3 2 2 2 2 2 2 2 2 8 15 2 2" xfId="28446"/>
    <cellStyle name="Normal 3 2 2 2 2 2 2 2 2 8 15 2 3" xfId="28447"/>
    <cellStyle name="Normal 3 2 2 2 2 2 2 2 2 8 15 2 4" xfId="28448"/>
    <cellStyle name="Normal 3 2 2 2 2 2 2 2 2 8 15 3" xfId="28449"/>
    <cellStyle name="Normal 3 2 2 2 2 2 2 2 2 8 15 4" xfId="28450"/>
    <cellStyle name="Normal 3 2 2 2 2 2 2 2 2 8 15 5" xfId="28451"/>
    <cellStyle name="Normal 3 2 2 2 2 2 2 2 2 8 15 6" xfId="28452"/>
    <cellStyle name="Normal 3 2 2 2 2 2 2 2 2 8 16" xfId="28453"/>
    <cellStyle name="Normal 3 2 2 2 2 2 2 2 2 8 17" xfId="28454"/>
    <cellStyle name="Normal 3 2 2 2 2 2 2 2 2 8 18" xfId="28455"/>
    <cellStyle name="Normal 3 2 2 2 2 2 2 2 2 8 19" xfId="28456"/>
    <cellStyle name="Normal 3 2 2 2 2 2 2 2 2 8 2" xfId="28457"/>
    <cellStyle name="Normal 3 2 2 2 2 2 2 2 2 8 2 10" xfId="28458"/>
    <cellStyle name="Normal 3 2 2 2 2 2 2 2 2 8 2 11" xfId="28459"/>
    <cellStyle name="Normal 3 2 2 2 2 2 2 2 2 8 2 12" xfId="28460"/>
    <cellStyle name="Normal 3 2 2 2 2 2 2 2 2 8 2 13" xfId="28461"/>
    <cellStyle name="Normal 3 2 2 2 2 2 2 2 2 8 2 13 2" xfId="28462"/>
    <cellStyle name="Normal 3 2 2 2 2 2 2 2 2 8 2 13 3" xfId="28463"/>
    <cellStyle name="Normal 3 2 2 2 2 2 2 2 2 8 2 13 4" xfId="28464"/>
    <cellStyle name="Normal 3 2 2 2 2 2 2 2 2 8 2 14" xfId="28465"/>
    <cellStyle name="Normal 3 2 2 2 2 2 2 2 2 8 2 15" xfId="28466"/>
    <cellStyle name="Normal 3 2 2 2 2 2 2 2 2 8 2 16" xfId="28467"/>
    <cellStyle name="Normal 3 2 2 2 2 2 2 2 2 8 2 2" xfId="28468"/>
    <cellStyle name="Normal 3 2 2 2 2 2 2 2 2 8 2 2 10" xfId="28469"/>
    <cellStyle name="Normal 3 2 2 2 2 2 2 2 2 8 2 2 11" xfId="28470"/>
    <cellStyle name="Normal 3 2 2 2 2 2 2 2 2 8 2 2 11 2" xfId="28471"/>
    <cellStyle name="Normal 3 2 2 2 2 2 2 2 2 8 2 2 11 3" xfId="28472"/>
    <cellStyle name="Normal 3 2 2 2 2 2 2 2 2 8 2 2 11 4" xfId="28473"/>
    <cellStyle name="Normal 3 2 2 2 2 2 2 2 2 8 2 2 12" xfId="28474"/>
    <cellStyle name="Normal 3 2 2 2 2 2 2 2 2 8 2 2 13" xfId="28475"/>
    <cellStyle name="Normal 3 2 2 2 2 2 2 2 2 8 2 2 14" xfId="28476"/>
    <cellStyle name="Normal 3 2 2 2 2 2 2 2 2 8 2 2 2" xfId="28477"/>
    <cellStyle name="Normal 3 2 2 2 2 2 2 2 2 8 2 2 2 10" xfId="28478"/>
    <cellStyle name="Normal 3 2 2 2 2 2 2 2 2 8 2 2 2 11" xfId="28479"/>
    <cellStyle name="Normal 3 2 2 2 2 2 2 2 2 8 2 2 2 2" xfId="28480"/>
    <cellStyle name="Normal 3 2 2 2 2 2 2 2 2 8 2 2 2 2 10" xfId="28481"/>
    <cellStyle name="Normal 3 2 2 2 2 2 2 2 2 8 2 2 2 2 11" xfId="28482"/>
    <cellStyle name="Normal 3 2 2 2 2 2 2 2 2 8 2 2 2 2 2" xfId="28483"/>
    <cellStyle name="Normal 3 2 2 2 2 2 2 2 2 8 2 2 2 2 2 2" xfId="28484"/>
    <cellStyle name="Normal 3 2 2 2 2 2 2 2 2 8 2 2 2 2 2 2 2" xfId="28485"/>
    <cellStyle name="Normal 3 2 2 2 2 2 2 2 2 8 2 2 2 2 2 2 3" xfId="28486"/>
    <cellStyle name="Normal 3 2 2 2 2 2 2 2 2 8 2 2 2 2 2 2 4" xfId="28487"/>
    <cellStyle name="Normal 3 2 2 2 2 2 2 2 2 8 2 2 2 2 2 3" xfId="28488"/>
    <cellStyle name="Normal 3 2 2 2 2 2 2 2 2 8 2 2 2 2 2 4" xfId="28489"/>
    <cellStyle name="Normal 3 2 2 2 2 2 2 2 2 8 2 2 2 2 2 5" xfId="28490"/>
    <cellStyle name="Normal 3 2 2 2 2 2 2 2 2 8 2 2 2 2 2 6" xfId="28491"/>
    <cellStyle name="Normal 3 2 2 2 2 2 2 2 2 8 2 2 2 2 3" xfId="28492"/>
    <cellStyle name="Normal 3 2 2 2 2 2 2 2 2 8 2 2 2 2 4" xfId="28493"/>
    <cellStyle name="Normal 3 2 2 2 2 2 2 2 2 8 2 2 2 2 5" xfId="28494"/>
    <cellStyle name="Normal 3 2 2 2 2 2 2 2 2 8 2 2 2 2 6" xfId="28495"/>
    <cellStyle name="Normal 3 2 2 2 2 2 2 2 2 8 2 2 2 2 7" xfId="28496"/>
    <cellStyle name="Normal 3 2 2 2 2 2 2 2 2 8 2 2 2 2 8" xfId="28497"/>
    <cellStyle name="Normal 3 2 2 2 2 2 2 2 2 8 2 2 2 2 8 2" xfId="28498"/>
    <cellStyle name="Normal 3 2 2 2 2 2 2 2 2 8 2 2 2 2 8 3" xfId="28499"/>
    <cellStyle name="Normal 3 2 2 2 2 2 2 2 2 8 2 2 2 2 8 4" xfId="28500"/>
    <cellStyle name="Normal 3 2 2 2 2 2 2 2 2 8 2 2 2 2 9" xfId="28501"/>
    <cellStyle name="Normal 3 2 2 2 2 2 2 2 2 8 2 2 2 3" xfId="28502"/>
    <cellStyle name="Normal 3 2 2 2 2 2 2 2 2 8 2 2 2 3 2" xfId="28503"/>
    <cellStyle name="Normal 3 2 2 2 2 2 2 2 2 8 2 2 2 3 2 2" xfId="28504"/>
    <cellStyle name="Normal 3 2 2 2 2 2 2 2 2 8 2 2 2 3 2 3" xfId="28505"/>
    <cellStyle name="Normal 3 2 2 2 2 2 2 2 2 8 2 2 2 3 2 4" xfId="28506"/>
    <cellStyle name="Normal 3 2 2 2 2 2 2 2 2 8 2 2 2 3 3" xfId="28507"/>
    <cellStyle name="Normal 3 2 2 2 2 2 2 2 2 8 2 2 2 3 4" xfId="28508"/>
    <cellStyle name="Normal 3 2 2 2 2 2 2 2 2 8 2 2 2 3 5" xfId="28509"/>
    <cellStyle name="Normal 3 2 2 2 2 2 2 2 2 8 2 2 2 3 6" xfId="28510"/>
    <cellStyle name="Normal 3 2 2 2 2 2 2 2 2 8 2 2 2 4" xfId="28511"/>
    <cellStyle name="Normal 3 2 2 2 2 2 2 2 2 8 2 2 2 5" xfId="28512"/>
    <cellStyle name="Normal 3 2 2 2 2 2 2 2 2 8 2 2 2 6" xfId="28513"/>
    <cellStyle name="Normal 3 2 2 2 2 2 2 2 2 8 2 2 2 7" xfId="28514"/>
    <cellStyle name="Normal 3 2 2 2 2 2 2 2 2 8 2 2 2 8" xfId="28515"/>
    <cellStyle name="Normal 3 2 2 2 2 2 2 2 2 8 2 2 2 8 2" xfId="28516"/>
    <cellStyle name="Normal 3 2 2 2 2 2 2 2 2 8 2 2 2 8 3" xfId="28517"/>
    <cellStyle name="Normal 3 2 2 2 2 2 2 2 2 8 2 2 2 8 4" xfId="28518"/>
    <cellStyle name="Normal 3 2 2 2 2 2 2 2 2 8 2 2 2 9" xfId="28519"/>
    <cellStyle name="Normal 3 2 2 2 2 2 2 2 2 8 2 2 3" xfId="28520"/>
    <cellStyle name="Normal 3 2 2 2 2 2 2 2 2 8 2 2 4" xfId="28521"/>
    <cellStyle name="Normal 3 2 2 2 2 2 2 2 2 8 2 2 5" xfId="28522"/>
    <cellStyle name="Normal 3 2 2 2 2 2 2 2 2 8 2 2 5 2" xfId="28523"/>
    <cellStyle name="Normal 3 2 2 2 2 2 2 2 2 8 2 2 5 2 2" xfId="28524"/>
    <cellStyle name="Normal 3 2 2 2 2 2 2 2 2 8 2 2 5 2 3" xfId="28525"/>
    <cellStyle name="Normal 3 2 2 2 2 2 2 2 2 8 2 2 5 2 4" xfId="28526"/>
    <cellStyle name="Normal 3 2 2 2 2 2 2 2 2 8 2 2 5 3" xfId="28527"/>
    <cellStyle name="Normal 3 2 2 2 2 2 2 2 2 8 2 2 5 4" xfId="28528"/>
    <cellStyle name="Normal 3 2 2 2 2 2 2 2 2 8 2 2 5 5" xfId="28529"/>
    <cellStyle name="Normal 3 2 2 2 2 2 2 2 2 8 2 2 5 6" xfId="28530"/>
    <cellStyle name="Normal 3 2 2 2 2 2 2 2 2 8 2 2 6" xfId="28531"/>
    <cellStyle name="Normal 3 2 2 2 2 2 2 2 2 8 2 2 7" xfId="28532"/>
    <cellStyle name="Normal 3 2 2 2 2 2 2 2 2 8 2 2 8" xfId="28533"/>
    <cellStyle name="Normal 3 2 2 2 2 2 2 2 2 8 2 2 9" xfId="28534"/>
    <cellStyle name="Normal 3 2 2 2 2 2 2 2 2 8 2 3" xfId="28535"/>
    <cellStyle name="Normal 3 2 2 2 2 2 2 2 2 8 2 4" xfId="28536"/>
    <cellStyle name="Normal 3 2 2 2 2 2 2 2 2 8 2 5" xfId="28537"/>
    <cellStyle name="Normal 3 2 2 2 2 2 2 2 2 8 2 5 10" xfId="28538"/>
    <cellStyle name="Normal 3 2 2 2 2 2 2 2 2 8 2 5 11" xfId="28539"/>
    <cellStyle name="Normal 3 2 2 2 2 2 2 2 2 8 2 5 2" xfId="28540"/>
    <cellStyle name="Normal 3 2 2 2 2 2 2 2 2 8 2 5 2 10" xfId="28541"/>
    <cellStyle name="Normal 3 2 2 2 2 2 2 2 2 8 2 5 2 11" xfId="28542"/>
    <cellStyle name="Normal 3 2 2 2 2 2 2 2 2 8 2 5 2 2" xfId="28543"/>
    <cellStyle name="Normal 3 2 2 2 2 2 2 2 2 8 2 5 2 2 2" xfId="28544"/>
    <cellStyle name="Normal 3 2 2 2 2 2 2 2 2 8 2 5 2 2 2 2" xfId="28545"/>
    <cellStyle name="Normal 3 2 2 2 2 2 2 2 2 8 2 5 2 2 2 3" xfId="28546"/>
    <cellStyle name="Normal 3 2 2 2 2 2 2 2 2 8 2 5 2 2 2 4" xfId="28547"/>
    <cellStyle name="Normal 3 2 2 2 2 2 2 2 2 8 2 5 2 2 3" xfId="28548"/>
    <cellStyle name="Normal 3 2 2 2 2 2 2 2 2 8 2 5 2 2 4" xfId="28549"/>
    <cellStyle name="Normal 3 2 2 2 2 2 2 2 2 8 2 5 2 2 5" xfId="28550"/>
    <cellStyle name="Normal 3 2 2 2 2 2 2 2 2 8 2 5 2 2 6" xfId="28551"/>
    <cellStyle name="Normal 3 2 2 2 2 2 2 2 2 8 2 5 2 3" xfId="28552"/>
    <cellStyle name="Normal 3 2 2 2 2 2 2 2 2 8 2 5 2 4" xfId="28553"/>
    <cellStyle name="Normal 3 2 2 2 2 2 2 2 2 8 2 5 2 5" xfId="28554"/>
    <cellStyle name="Normal 3 2 2 2 2 2 2 2 2 8 2 5 2 6" xfId="28555"/>
    <cellStyle name="Normal 3 2 2 2 2 2 2 2 2 8 2 5 2 7" xfId="28556"/>
    <cellStyle name="Normal 3 2 2 2 2 2 2 2 2 8 2 5 2 8" xfId="28557"/>
    <cellStyle name="Normal 3 2 2 2 2 2 2 2 2 8 2 5 2 8 2" xfId="28558"/>
    <cellStyle name="Normal 3 2 2 2 2 2 2 2 2 8 2 5 2 8 3" xfId="28559"/>
    <cellStyle name="Normal 3 2 2 2 2 2 2 2 2 8 2 5 2 8 4" xfId="28560"/>
    <cellStyle name="Normal 3 2 2 2 2 2 2 2 2 8 2 5 2 9" xfId="28561"/>
    <cellStyle name="Normal 3 2 2 2 2 2 2 2 2 8 2 5 3" xfId="28562"/>
    <cellStyle name="Normal 3 2 2 2 2 2 2 2 2 8 2 5 3 2" xfId="28563"/>
    <cellStyle name="Normal 3 2 2 2 2 2 2 2 2 8 2 5 3 2 2" xfId="28564"/>
    <cellStyle name="Normal 3 2 2 2 2 2 2 2 2 8 2 5 3 2 3" xfId="28565"/>
    <cellStyle name="Normal 3 2 2 2 2 2 2 2 2 8 2 5 3 2 4" xfId="28566"/>
    <cellStyle name="Normal 3 2 2 2 2 2 2 2 2 8 2 5 3 3" xfId="28567"/>
    <cellStyle name="Normal 3 2 2 2 2 2 2 2 2 8 2 5 3 4" xfId="28568"/>
    <cellStyle name="Normal 3 2 2 2 2 2 2 2 2 8 2 5 3 5" xfId="28569"/>
    <cellStyle name="Normal 3 2 2 2 2 2 2 2 2 8 2 5 3 6" xfId="28570"/>
    <cellStyle name="Normal 3 2 2 2 2 2 2 2 2 8 2 5 4" xfId="28571"/>
    <cellStyle name="Normal 3 2 2 2 2 2 2 2 2 8 2 5 5" xfId="28572"/>
    <cellStyle name="Normal 3 2 2 2 2 2 2 2 2 8 2 5 6" xfId="28573"/>
    <cellStyle name="Normal 3 2 2 2 2 2 2 2 2 8 2 5 7" xfId="28574"/>
    <cellStyle name="Normal 3 2 2 2 2 2 2 2 2 8 2 5 8" xfId="28575"/>
    <cellStyle name="Normal 3 2 2 2 2 2 2 2 2 8 2 5 8 2" xfId="28576"/>
    <cellStyle name="Normal 3 2 2 2 2 2 2 2 2 8 2 5 8 3" xfId="28577"/>
    <cellStyle name="Normal 3 2 2 2 2 2 2 2 2 8 2 5 8 4" xfId="28578"/>
    <cellStyle name="Normal 3 2 2 2 2 2 2 2 2 8 2 5 9" xfId="28579"/>
    <cellStyle name="Normal 3 2 2 2 2 2 2 2 2 8 2 6" xfId="28580"/>
    <cellStyle name="Normal 3 2 2 2 2 2 2 2 2 8 2 7" xfId="28581"/>
    <cellStyle name="Normal 3 2 2 2 2 2 2 2 2 8 2 7 2" xfId="28582"/>
    <cellStyle name="Normal 3 2 2 2 2 2 2 2 2 8 2 7 2 2" xfId="28583"/>
    <cellStyle name="Normal 3 2 2 2 2 2 2 2 2 8 2 7 2 3" xfId="28584"/>
    <cellStyle name="Normal 3 2 2 2 2 2 2 2 2 8 2 7 2 4" xfId="28585"/>
    <cellStyle name="Normal 3 2 2 2 2 2 2 2 2 8 2 7 3" xfId="28586"/>
    <cellStyle name="Normal 3 2 2 2 2 2 2 2 2 8 2 7 4" xfId="28587"/>
    <cellStyle name="Normal 3 2 2 2 2 2 2 2 2 8 2 7 5" xfId="28588"/>
    <cellStyle name="Normal 3 2 2 2 2 2 2 2 2 8 2 7 6" xfId="28589"/>
    <cellStyle name="Normal 3 2 2 2 2 2 2 2 2 8 2 8" xfId="28590"/>
    <cellStyle name="Normal 3 2 2 2 2 2 2 2 2 8 2 9" xfId="28591"/>
    <cellStyle name="Normal 3 2 2 2 2 2 2 2 2 8 20" xfId="28592"/>
    <cellStyle name="Normal 3 2 2 2 2 2 2 2 2 8 21" xfId="28593"/>
    <cellStyle name="Normal 3 2 2 2 2 2 2 2 2 8 21 2" xfId="28594"/>
    <cellStyle name="Normal 3 2 2 2 2 2 2 2 2 8 21 3" xfId="28595"/>
    <cellStyle name="Normal 3 2 2 2 2 2 2 2 2 8 21 4" xfId="28596"/>
    <cellStyle name="Normal 3 2 2 2 2 2 2 2 2 8 22" xfId="28597"/>
    <cellStyle name="Normal 3 2 2 2 2 2 2 2 2 8 23" xfId="28598"/>
    <cellStyle name="Normal 3 2 2 2 2 2 2 2 2 8 24" xfId="28599"/>
    <cellStyle name="Normal 3 2 2 2 2 2 2 2 2 8 3" xfId="28600"/>
    <cellStyle name="Normal 3 2 2 2 2 2 2 2 2 8 4" xfId="28601"/>
    <cellStyle name="Normal 3 2 2 2 2 2 2 2 2 8 5" xfId="28602"/>
    <cellStyle name="Normal 3 2 2 2 2 2 2 2 2 8 6" xfId="28603"/>
    <cellStyle name="Normal 3 2 2 2 2 2 2 2 2 8 7" xfId="28604"/>
    <cellStyle name="Normal 3 2 2 2 2 2 2 2 2 8 8" xfId="28605"/>
    <cellStyle name="Normal 3 2 2 2 2 2 2 2 2 8 9" xfId="28606"/>
    <cellStyle name="Normal 3 2 2 2 2 2 2 2 2 9" xfId="28607"/>
    <cellStyle name="Normal 3 2 2 2 2 2 2 2 2 9 10" xfId="28608"/>
    <cellStyle name="Normal 3 2 2 2 2 2 2 2 2 9 11" xfId="28609"/>
    <cellStyle name="Normal 3 2 2 2 2 2 2 2 2 9 12" xfId="28610"/>
    <cellStyle name="Normal 3 2 2 2 2 2 2 2 2 9 13" xfId="28611"/>
    <cellStyle name="Normal 3 2 2 2 2 2 2 2 2 9 13 2" xfId="28612"/>
    <cellStyle name="Normal 3 2 2 2 2 2 2 2 2 9 13 3" xfId="28613"/>
    <cellStyle name="Normal 3 2 2 2 2 2 2 2 2 9 13 4" xfId="28614"/>
    <cellStyle name="Normal 3 2 2 2 2 2 2 2 2 9 14" xfId="28615"/>
    <cellStyle name="Normal 3 2 2 2 2 2 2 2 2 9 15" xfId="28616"/>
    <cellStyle name="Normal 3 2 2 2 2 2 2 2 2 9 16" xfId="28617"/>
    <cellStyle name="Normal 3 2 2 2 2 2 2 2 2 9 2" xfId="28618"/>
    <cellStyle name="Normal 3 2 2 2 2 2 2 2 2 9 2 10" xfId="28619"/>
    <cellStyle name="Normal 3 2 2 2 2 2 2 2 2 9 2 11" xfId="28620"/>
    <cellStyle name="Normal 3 2 2 2 2 2 2 2 2 9 2 11 2" xfId="28621"/>
    <cellStyle name="Normal 3 2 2 2 2 2 2 2 2 9 2 11 3" xfId="28622"/>
    <cellStyle name="Normal 3 2 2 2 2 2 2 2 2 9 2 11 4" xfId="28623"/>
    <cellStyle name="Normal 3 2 2 2 2 2 2 2 2 9 2 12" xfId="28624"/>
    <cellStyle name="Normal 3 2 2 2 2 2 2 2 2 9 2 13" xfId="28625"/>
    <cellStyle name="Normal 3 2 2 2 2 2 2 2 2 9 2 14" xfId="28626"/>
    <cellStyle name="Normal 3 2 2 2 2 2 2 2 2 9 2 2" xfId="28627"/>
    <cellStyle name="Normal 3 2 2 2 2 2 2 2 2 9 2 2 10" xfId="28628"/>
    <cellStyle name="Normal 3 2 2 2 2 2 2 2 2 9 2 2 11" xfId="28629"/>
    <cellStyle name="Normal 3 2 2 2 2 2 2 2 2 9 2 2 2" xfId="28630"/>
    <cellStyle name="Normal 3 2 2 2 2 2 2 2 2 9 2 2 2 10" xfId="28631"/>
    <cellStyle name="Normal 3 2 2 2 2 2 2 2 2 9 2 2 2 11" xfId="28632"/>
    <cellStyle name="Normal 3 2 2 2 2 2 2 2 2 9 2 2 2 2" xfId="28633"/>
    <cellStyle name="Normal 3 2 2 2 2 2 2 2 2 9 2 2 2 2 2" xfId="28634"/>
    <cellStyle name="Normal 3 2 2 2 2 2 2 2 2 9 2 2 2 2 2 2" xfId="28635"/>
    <cellStyle name="Normal 3 2 2 2 2 2 2 2 2 9 2 2 2 2 2 3" xfId="28636"/>
    <cellStyle name="Normal 3 2 2 2 2 2 2 2 2 9 2 2 2 2 2 4" xfId="28637"/>
    <cellStyle name="Normal 3 2 2 2 2 2 2 2 2 9 2 2 2 2 3" xfId="28638"/>
    <cellStyle name="Normal 3 2 2 2 2 2 2 2 2 9 2 2 2 2 4" xfId="28639"/>
    <cellStyle name="Normal 3 2 2 2 2 2 2 2 2 9 2 2 2 2 5" xfId="28640"/>
    <cellStyle name="Normal 3 2 2 2 2 2 2 2 2 9 2 2 2 2 6" xfId="28641"/>
    <cellStyle name="Normal 3 2 2 2 2 2 2 2 2 9 2 2 2 3" xfId="28642"/>
    <cellStyle name="Normal 3 2 2 2 2 2 2 2 2 9 2 2 2 4" xfId="28643"/>
    <cellStyle name="Normal 3 2 2 2 2 2 2 2 2 9 2 2 2 5" xfId="28644"/>
    <cellStyle name="Normal 3 2 2 2 2 2 2 2 2 9 2 2 2 6" xfId="28645"/>
    <cellStyle name="Normal 3 2 2 2 2 2 2 2 2 9 2 2 2 7" xfId="28646"/>
    <cellStyle name="Normal 3 2 2 2 2 2 2 2 2 9 2 2 2 8" xfId="28647"/>
    <cellStyle name="Normal 3 2 2 2 2 2 2 2 2 9 2 2 2 8 2" xfId="28648"/>
    <cellStyle name="Normal 3 2 2 2 2 2 2 2 2 9 2 2 2 8 3" xfId="28649"/>
    <cellStyle name="Normal 3 2 2 2 2 2 2 2 2 9 2 2 2 8 4" xfId="28650"/>
    <cellStyle name="Normal 3 2 2 2 2 2 2 2 2 9 2 2 2 9" xfId="28651"/>
    <cellStyle name="Normal 3 2 2 2 2 2 2 2 2 9 2 2 3" xfId="28652"/>
    <cellStyle name="Normal 3 2 2 2 2 2 2 2 2 9 2 2 3 2" xfId="28653"/>
    <cellStyle name="Normal 3 2 2 2 2 2 2 2 2 9 2 2 3 2 2" xfId="28654"/>
    <cellStyle name="Normal 3 2 2 2 2 2 2 2 2 9 2 2 3 2 3" xfId="28655"/>
    <cellStyle name="Normal 3 2 2 2 2 2 2 2 2 9 2 2 3 2 4" xfId="28656"/>
    <cellStyle name="Normal 3 2 2 2 2 2 2 2 2 9 2 2 3 3" xfId="28657"/>
    <cellStyle name="Normal 3 2 2 2 2 2 2 2 2 9 2 2 3 4" xfId="28658"/>
    <cellStyle name="Normal 3 2 2 2 2 2 2 2 2 9 2 2 3 5" xfId="28659"/>
    <cellStyle name="Normal 3 2 2 2 2 2 2 2 2 9 2 2 3 6" xfId="28660"/>
    <cellStyle name="Normal 3 2 2 2 2 2 2 2 2 9 2 2 4" xfId="28661"/>
    <cellStyle name="Normal 3 2 2 2 2 2 2 2 2 9 2 2 5" xfId="28662"/>
    <cellStyle name="Normal 3 2 2 2 2 2 2 2 2 9 2 2 6" xfId="28663"/>
    <cellStyle name="Normal 3 2 2 2 2 2 2 2 2 9 2 2 7" xfId="28664"/>
    <cellStyle name="Normal 3 2 2 2 2 2 2 2 2 9 2 2 8" xfId="28665"/>
    <cellStyle name="Normal 3 2 2 2 2 2 2 2 2 9 2 2 8 2" xfId="28666"/>
    <cellStyle name="Normal 3 2 2 2 2 2 2 2 2 9 2 2 8 3" xfId="28667"/>
    <cellStyle name="Normal 3 2 2 2 2 2 2 2 2 9 2 2 8 4" xfId="28668"/>
    <cellStyle name="Normal 3 2 2 2 2 2 2 2 2 9 2 2 9" xfId="28669"/>
    <cellStyle name="Normal 3 2 2 2 2 2 2 2 2 9 2 3" xfId="28670"/>
    <cellStyle name="Normal 3 2 2 2 2 2 2 2 2 9 2 4" xfId="28671"/>
    <cellStyle name="Normal 3 2 2 2 2 2 2 2 2 9 2 5" xfId="28672"/>
    <cellStyle name="Normal 3 2 2 2 2 2 2 2 2 9 2 5 2" xfId="28673"/>
    <cellStyle name="Normal 3 2 2 2 2 2 2 2 2 9 2 5 2 2" xfId="28674"/>
    <cellStyle name="Normal 3 2 2 2 2 2 2 2 2 9 2 5 2 3" xfId="28675"/>
    <cellStyle name="Normal 3 2 2 2 2 2 2 2 2 9 2 5 2 4" xfId="28676"/>
    <cellStyle name="Normal 3 2 2 2 2 2 2 2 2 9 2 5 3" xfId="28677"/>
    <cellStyle name="Normal 3 2 2 2 2 2 2 2 2 9 2 5 4" xfId="28678"/>
    <cellStyle name="Normal 3 2 2 2 2 2 2 2 2 9 2 5 5" xfId="28679"/>
    <cellStyle name="Normal 3 2 2 2 2 2 2 2 2 9 2 5 6" xfId="28680"/>
    <cellStyle name="Normal 3 2 2 2 2 2 2 2 2 9 2 6" xfId="28681"/>
    <cellStyle name="Normal 3 2 2 2 2 2 2 2 2 9 2 7" xfId="28682"/>
    <cellStyle name="Normal 3 2 2 2 2 2 2 2 2 9 2 8" xfId="28683"/>
    <cellStyle name="Normal 3 2 2 2 2 2 2 2 2 9 2 9" xfId="28684"/>
    <cellStyle name="Normal 3 2 2 2 2 2 2 2 2 9 3" xfId="28685"/>
    <cellStyle name="Normal 3 2 2 2 2 2 2 2 2 9 4" xfId="28686"/>
    <cellStyle name="Normal 3 2 2 2 2 2 2 2 2 9 5" xfId="28687"/>
    <cellStyle name="Normal 3 2 2 2 2 2 2 2 2 9 5 10" xfId="28688"/>
    <cellStyle name="Normal 3 2 2 2 2 2 2 2 2 9 5 11" xfId="28689"/>
    <cellStyle name="Normal 3 2 2 2 2 2 2 2 2 9 5 2" xfId="28690"/>
    <cellStyle name="Normal 3 2 2 2 2 2 2 2 2 9 5 2 10" xfId="28691"/>
    <cellStyle name="Normal 3 2 2 2 2 2 2 2 2 9 5 2 11" xfId="28692"/>
    <cellStyle name="Normal 3 2 2 2 2 2 2 2 2 9 5 2 2" xfId="28693"/>
    <cellStyle name="Normal 3 2 2 2 2 2 2 2 2 9 5 2 2 2" xfId="28694"/>
    <cellStyle name="Normal 3 2 2 2 2 2 2 2 2 9 5 2 2 2 2" xfId="28695"/>
    <cellStyle name="Normal 3 2 2 2 2 2 2 2 2 9 5 2 2 2 3" xfId="28696"/>
    <cellStyle name="Normal 3 2 2 2 2 2 2 2 2 9 5 2 2 2 4" xfId="28697"/>
    <cellStyle name="Normal 3 2 2 2 2 2 2 2 2 9 5 2 2 3" xfId="28698"/>
    <cellStyle name="Normal 3 2 2 2 2 2 2 2 2 9 5 2 2 4" xfId="28699"/>
    <cellStyle name="Normal 3 2 2 2 2 2 2 2 2 9 5 2 2 5" xfId="28700"/>
    <cellStyle name="Normal 3 2 2 2 2 2 2 2 2 9 5 2 2 6" xfId="28701"/>
    <cellStyle name="Normal 3 2 2 2 2 2 2 2 2 9 5 2 3" xfId="28702"/>
    <cellStyle name="Normal 3 2 2 2 2 2 2 2 2 9 5 2 4" xfId="28703"/>
    <cellStyle name="Normal 3 2 2 2 2 2 2 2 2 9 5 2 5" xfId="28704"/>
    <cellStyle name="Normal 3 2 2 2 2 2 2 2 2 9 5 2 6" xfId="28705"/>
    <cellStyle name="Normal 3 2 2 2 2 2 2 2 2 9 5 2 7" xfId="28706"/>
    <cellStyle name="Normal 3 2 2 2 2 2 2 2 2 9 5 2 8" xfId="28707"/>
    <cellStyle name="Normal 3 2 2 2 2 2 2 2 2 9 5 2 8 2" xfId="28708"/>
    <cellStyle name="Normal 3 2 2 2 2 2 2 2 2 9 5 2 8 3" xfId="28709"/>
    <cellStyle name="Normal 3 2 2 2 2 2 2 2 2 9 5 2 8 4" xfId="28710"/>
    <cellStyle name="Normal 3 2 2 2 2 2 2 2 2 9 5 2 9" xfId="28711"/>
    <cellStyle name="Normal 3 2 2 2 2 2 2 2 2 9 5 3" xfId="28712"/>
    <cellStyle name="Normal 3 2 2 2 2 2 2 2 2 9 5 3 2" xfId="28713"/>
    <cellStyle name="Normal 3 2 2 2 2 2 2 2 2 9 5 3 2 2" xfId="28714"/>
    <cellStyle name="Normal 3 2 2 2 2 2 2 2 2 9 5 3 2 3" xfId="28715"/>
    <cellStyle name="Normal 3 2 2 2 2 2 2 2 2 9 5 3 2 4" xfId="28716"/>
    <cellStyle name="Normal 3 2 2 2 2 2 2 2 2 9 5 3 3" xfId="28717"/>
    <cellStyle name="Normal 3 2 2 2 2 2 2 2 2 9 5 3 4" xfId="28718"/>
    <cellStyle name="Normal 3 2 2 2 2 2 2 2 2 9 5 3 5" xfId="28719"/>
    <cellStyle name="Normal 3 2 2 2 2 2 2 2 2 9 5 3 6" xfId="28720"/>
    <cellStyle name="Normal 3 2 2 2 2 2 2 2 2 9 5 4" xfId="28721"/>
    <cellStyle name="Normal 3 2 2 2 2 2 2 2 2 9 5 5" xfId="28722"/>
    <cellStyle name="Normal 3 2 2 2 2 2 2 2 2 9 5 6" xfId="28723"/>
    <cellStyle name="Normal 3 2 2 2 2 2 2 2 2 9 5 7" xfId="28724"/>
    <cellStyle name="Normal 3 2 2 2 2 2 2 2 2 9 5 8" xfId="28725"/>
    <cellStyle name="Normal 3 2 2 2 2 2 2 2 2 9 5 8 2" xfId="28726"/>
    <cellStyle name="Normal 3 2 2 2 2 2 2 2 2 9 5 8 3" xfId="28727"/>
    <cellStyle name="Normal 3 2 2 2 2 2 2 2 2 9 5 8 4" xfId="28728"/>
    <cellStyle name="Normal 3 2 2 2 2 2 2 2 2 9 5 9" xfId="28729"/>
    <cellStyle name="Normal 3 2 2 2 2 2 2 2 2 9 6" xfId="28730"/>
    <cellStyle name="Normal 3 2 2 2 2 2 2 2 2 9 7" xfId="28731"/>
    <cellStyle name="Normal 3 2 2 2 2 2 2 2 2 9 7 2" xfId="28732"/>
    <cellStyle name="Normal 3 2 2 2 2 2 2 2 2 9 7 2 2" xfId="28733"/>
    <cellStyle name="Normal 3 2 2 2 2 2 2 2 2 9 7 2 3" xfId="28734"/>
    <cellStyle name="Normal 3 2 2 2 2 2 2 2 2 9 7 2 4" xfId="28735"/>
    <cellStyle name="Normal 3 2 2 2 2 2 2 2 2 9 7 3" xfId="28736"/>
    <cellStyle name="Normal 3 2 2 2 2 2 2 2 2 9 7 4" xfId="28737"/>
    <cellStyle name="Normal 3 2 2 2 2 2 2 2 2 9 7 5" xfId="28738"/>
    <cellStyle name="Normal 3 2 2 2 2 2 2 2 2 9 7 6" xfId="28739"/>
    <cellStyle name="Normal 3 2 2 2 2 2 2 2 2 9 8" xfId="28740"/>
    <cellStyle name="Normal 3 2 2 2 2 2 2 2 2 9 9" xfId="28741"/>
    <cellStyle name="Normal 3 2 2 2 2 2 2 2 20" xfId="28742"/>
    <cellStyle name="Normal 3 2 2 2 2 2 2 2 21" xfId="28743"/>
    <cellStyle name="Normal 3 2 2 2 2 2 2 2 21 10" xfId="28744"/>
    <cellStyle name="Normal 3 2 2 2 2 2 2 2 21 11" xfId="28745"/>
    <cellStyle name="Normal 3 2 2 2 2 2 2 2 21 11 2" xfId="28746"/>
    <cellStyle name="Normal 3 2 2 2 2 2 2 2 21 11 3" xfId="28747"/>
    <cellStyle name="Normal 3 2 2 2 2 2 2 2 21 11 4" xfId="28748"/>
    <cellStyle name="Normal 3 2 2 2 2 2 2 2 21 12" xfId="28749"/>
    <cellStyle name="Normal 3 2 2 2 2 2 2 2 21 13" xfId="28750"/>
    <cellStyle name="Normal 3 2 2 2 2 2 2 2 21 14" xfId="28751"/>
    <cellStyle name="Normal 3 2 2 2 2 2 2 2 21 2" xfId="28752"/>
    <cellStyle name="Normal 3 2 2 2 2 2 2 2 21 2 10" xfId="28753"/>
    <cellStyle name="Normal 3 2 2 2 2 2 2 2 21 2 11" xfId="28754"/>
    <cellStyle name="Normal 3 2 2 2 2 2 2 2 21 2 2" xfId="28755"/>
    <cellStyle name="Normal 3 2 2 2 2 2 2 2 21 2 2 10" xfId="28756"/>
    <cellStyle name="Normal 3 2 2 2 2 2 2 2 21 2 2 11" xfId="28757"/>
    <cellStyle name="Normal 3 2 2 2 2 2 2 2 21 2 2 2" xfId="28758"/>
    <cellStyle name="Normal 3 2 2 2 2 2 2 2 21 2 2 2 2" xfId="28759"/>
    <cellStyle name="Normal 3 2 2 2 2 2 2 2 21 2 2 2 2 2" xfId="28760"/>
    <cellStyle name="Normal 3 2 2 2 2 2 2 2 21 2 2 2 2 3" xfId="28761"/>
    <cellStyle name="Normal 3 2 2 2 2 2 2 2 21 2 2 2 2 4" xfId="28762"/>
    <cellStyle name="Normal 3 2 2 2 2 2 2 2 21 2 2 2 3" xfId="28763"/>
    <cellStyle name="Normal 3 2 2 2 2 2 2 2 21 2 2 2 4" xfId="28764"/>
    <cellStyle name="Normal 3 2 2 2 2 2 2 2 21 2 2 2 5" xfId="28765"/>
    <cellStyle name="Normal 3 2 2 2 2 2 2 2 21 2 2 2 6" xfId="28766"/>
    <cellStyle name="Normal 3 2 2 2 2 2 2 2 21 2 2 3" xfId="28767"/>
    <cellStyle name="Normal 3 2 2 2 2 2 2 2 21 2 2 4" xfId="28768"/>
    <cellStyle name="Normal 3 2 2 2 2 2 2 2 21 2 2 5" xfId="28769"/>
    <cellStyle name="Normal 3 2 2 2 2 2 2 2 21 2 2 6" xfId="28770"/>
    <cellStyle name="Normal 3 2 2 2 2 2 2 2 21 2 2 7" xfId="28771"/>
    <cellStyle name="Normal 3 2 2 2 2 2 2 2 21 2 2 8" xfId="28772"/>
    <cellStyle name="Normal 3 2 2 2 2 2 2 2 21 2 2 8 2" xfId="28773"/>
    <cellStyle name="Normal 3 2 2 2 2 2 2 2 21 2 2 8 3" xfId="28774"/>
    <cellStyle name="Normal 3 2 2 2 2 2 2 2 21 2 2 8 4" xfId="28775"/>
    <cellStyle name="Normal 3 2 2 2 2 2 2 2 21 2 2 9" xfId="28776"/>
    <cellStyle name="Normal 3 2 2 2 2 2 2 2 21 2 3" xfId="28777"/>
    <cellStyle name="Normal 3 2 2 2 2 2 2 2 21 2 3 2" xfId="28778"/>
    <cellStyle name="Normal 3 2 2 2 2 2 2 2 21 2 3 2 2" xfId="28779"/>
    <cellStyle name="Normal 3 2 2 2 2 2 2 2 21 2 3 2 3" xfId="28780"/>
    <cellStyle name="Normal 3 2 2 2 2 2 2 2 21 2 3 2 4" xfId="28781"/>
    <cellStyle name="Normal 3 2 2 2 2 2 2 2 21 2 3 3" xfId="28782"/>
    <cellStyle name="Normal 3 2 2 2 2 2 2 2 21 2 3 4" xfId="28783"/>
    <cellStyle name="Normal 3 2 2 2 2 2 2 2 21 2 3 5" xfId="28784"/>
    <cellStyle name="Normal 3 2 2 2 2 2 2 2 21 2 3 6" xfId="28785"/>
    <cellStyle name="Normal 3 2 2 2 2 2 2 2 21 2 4" xfId="28786"/>
    <cellStyle name="Normal 3 2 2 2 2 2 2 2 21 2 5" xfId="28787"/>
    <cellStyle name="Normal 3 2 2 2 2 2 2 2 21 2 6" xfId="28788"/>
    <cellStyle name="Normal 3 2 2 2 2 2 2 2 21 2 7" xfId="28789"/>
    <cellStyle name="Normal 3 2 2 2 2 2 2 2 21 2 8" xfId="28790"/>
    <cellStyle name="Normal 3 2 2 2 2 2 2 2 21 2 8 2" xfId="28791"/>
    <cellStyle name="Normal 3 2 2 2 2 2 2 2 21 2 8 3" xfId="28792"/>
    <cellStyle name="Normal 3 2 2 2 2 2 2 2 21 2 8 4" xfId="28793"/>
    <cellStyle name="Normal 3 2 2 2 2 2 2 2 21 2 9" xfId="28794"/>
    <cellStyle name="Normal 3 2 2 2 2 2 2 2 21 3" xfId="28795"/>
    <cellStyle name="Normal 3 2 2 2 2 2 2 2 21 4" xfId="28796"/>
    <cellStyle name="Normal 3 2 2 2 2 2 2 2 21 5" xfId="28797"/>
    <cellStyle name="Normal 3 2 2 2 2 2 2 2 21 5 2" xfId="28798"/>
    <cellStyle name="Normal 3 2 2 2 2 2 2 2 21 5 2 2" xfId="28799"/>
    <cellStyle name="Normal 3 2 2 2 2 2 2 2 21 5 2 3" xfId="28800"/>
    <cellStyle name="Normal 3 2 2 2 2 2 2 2 21 5 2 4" xfId="28801"/>
    <cellStyle name="Normal 3 2 2 2 2 2 2 2 21 5 3" xfId="28802"/>
    <cellStyle name="Normal 3 2 2 2 2 2 2 2 21 5 4" xfId="28803"/>
    <cellStyle name="Normal 3 2 2 2 2 2 2 2 21 5 5" xfId="28804"/>
    <cellStyle name="Normal 3 2 2 2 2 2 2 2 21 5 6" xfId="28805"/>
    <cellStyle name="Normal 3 2 2 2 2 2 2 2 21 6" xfId="28806"/>
    <cellStyle name="Normal 3 2 2 2 2 2 2 2 21 7" xfId="28807"/>
    <cellStyle name="Normal 3 2 2 2 2 2 2 2 21 8" xfId="28808"/>
    <cellStyle name="Normal 3 2 2 2 2 2 2 2 21 9" xfId="28809"/>
    <cellStyle name="Normal 3 2 2 2 2 2 2 2 22" xfId="28810"/>
    <cellStyle name="Normal 3 2 2 2 2 2 2 2 23" xfId="28811"/>
    <cellStyle name="Normal 3 2 2 2 2 2 2 2 23 10" xfId="28812"/>
    <cellStyle name="Normal 3 2 2 2 2 2 2 2 23 11" xfId="28813"/>
    <cellStyle name="Normal 3 2 2 2 2 2 2 2 23 2" xfId="28814"/>
    <cellStyle name="Normal 3 2 2 2 2 2 2 2 23 2 10" xfId="28815"/>
    <cellStyle name="Normal 3 2 2 2 2 2 2 2 23 2 11" xfId="28816"/>
    <cellStyle name="Normal 3 2 2 2 2 2 2 2 23 2 2" xfId="28817"/>
    <cellStyle name="Normal 3 2 2 2 2 2 2 2 23 2 2 2" xfId="28818"/>
    <cellStyle name="Normal 3 2 2 2 2 2 2 2 23 2 2 2 2" xfId="28819"/>
    <cellStyle name="Normal 3 2 2 2 2 2 2 2 23 2 2 2 3" xfId="28820"/>
    <cellStyle name="Normal 3 2 2 2 2 2 2 2 23 2 2 2 4" xfId="28821"/>
    <cellStyle name="Normal 3 2 2 2 2 2 2 2 23 2 2 3" xfId="28822"/>
    <cellStyle name="Normal 3 2 2 2 2 2 2 2 23 2 2 4" xfId="28823"/>
    <cellStyle name="Normal 3 2 2 2 2 2 2 2 23 2 2 5" xfId="28824"/>
    <cellStyle name="Normal 3 2 2 2 2 2 2 2 23 2 2 6" xfId="28825"/>
    <cellStyle name="Normal 3 2 2 2 2 2 2 2 23 2 3" xfId="28826"/>
    <cellStyle name="Normal 3 2 2 2 2 2 2 2 23 2 4" xfId="28827"/>
    <cellStyle name="Normal 3 2 2 2 2 2 2 2 23 2 5" xfId="28828"/>
    <cellStyle name="Normal 3 2 2 2 2 2 2 2 23 2 6" xfId="28829"/>
    <cellStyle name="Normal 3 2 2 2 2 2 2 2 23 2 7" xfId="28830"/>
    <cellStyle name="Normal 3 2 2 2 2 2 2 2 23 2 8" xfId="28831"/>
    <cellStyle name="Normal 3 2 2 2 2 2 2 2 23 2 8 2" xfId="28832"/>
    <cellStyle name="Normal 3 2 2 2 2 2 2 2 23 2 8 3" xfId="28833"/>
    <cellStyle name="Normal 3 2 2 2 2 2 2 2 23 2 8 4" xfId="28834"/>
    <cellStyle name="Normal 3 2 2 2 2 2 2 2 23 2 9" xfId="28835"/>
    <cellStyle name="Normal 3 2 2 2 2 2 2 2 23 3" xfId="28836"/>
    <cellStyle name="Normal 3 2 2 2 2 2 2 2 23 3 2" xfId="28837"/>
    <cellStyle name="Normal 3 2 2 2 2 2 2 2 23 3 2 2" xfId="28838"/>
    <cellStyle name="Normal 3 2 2 2 2 2 2 2 23 3 2 3" xfId="28839"/>
    <cellStyle name="Normal 3 2 2 2 2 2 2 2 23 3 2 4" xfId="28840"/>
    <cellStyle name="Normal 3 2 2 2 2 2 2 2 23 3 3" xfId="28841"/>
    <cellStyle name="Normal 3 2 2 2 2 2 2 2 23 3 4" xfId="28842"/>
    <cellStyle name="Normal 3 2 2 2 2 2 2 2 23 3 5" xfId="28843"/>
    <cellStyle name="Normal 3 2 2 2 2 2 2 2 23 3 6" xfId="28844"/>
    <cellStyle name="Normal 3 2 2 2 2 2 2 2 23 4" xfId="28845"/>
    <cellStyle name="Normal 3 2 2 2 2 2 2 2 23 5" xfId="28846"/>
    <cellStyle name="Normal 3 2 2 2 2 2 2 2 23 6" xfId="28847"/>
    <cellStyle name="Normal 3 2 2 2 2 2 2 2 23 7" xfId="28848"/>
    <cellStyle name="Normal 3 2 2 2 2 2 2 2 23 8" xfId="28849"/>
    <cellStyle name="Normal 3 2 2 2 2 2 2 2 23 8 2" xfId="28850"/>
    <cellStyle name="Normal 3 2 2 2 2 2 2 2 23 8 3" xfId="28851"/>
    <cellStyle name="Normal 3 2 2 2 2 2 2 2 23 8 4" xfId="28852"/>
    <cellStyle name="Normal 3 2 2 2 2 2 2 2 23 9" xfId="28853"/>
    <cellStyle name="Normal 3 2 2 2 2 2 2 2 24" xfId="28854"/>
    <cellStyle name="Normal 3 2 2 2 2 2 2 2 25" xfId="28855"/>
    <cellStyle name="Normal 3 2 2 2 2 2 2 2 25 2" xfId="28856"/>
    <cellStyle name="Normal 3 2 2 2 2 2 2 2 25 2 2" xfId="28857"/>
    <cellStyle name="Normal 3 2 2 2 2 2 2 2 25 2 3" xfId="28858"/>
    <cellStyle name="Normal 3 2 2 2 2 2 2 2 25 2 4" xfId="28859"/>
    <cellStyle name="Normal 3 2 2 2 2 2 2 2 25 3" xfId="28860"/>
    <cellStyle name="Normal 3 2 2 2 2 2 2 2 25 4" xfId="28861"/>
    <cellStyle name="Normal 3 2 2 2 2 2 2 2 25 5" xfId="28862"/>
    <cellStyle name="Normal 3 2 2 2 2 2 2 2 25 6" xfId="28863"/>
    <cellStyle name="Normal 3 2 2 2 2 2 2 2 26" xfId="28864"/>
    <cellStyle name="Normal 3 2 2 2 2 2 2 2 27" xfId="28865"/>
    <cellStyle name="Normal 3 2 2 2 2 2 2 2 28" xfId="28866"/>
    <cellStyle name="Normal 3 2 2 2 2 2 2 2 29" xfId="28867"/>
    <cellStyle name="Normal 3 2 2 2 2 2 2 2 3" xfId="28868"/>
    <cellStyle name="Normal 3 2 2 2 2 2 2 2 3 2" xfId="28869"/>
    <cellStyle name="Normal 3 2 2 2 2 2 2 2 3 3" xfId="28870"/>
    <cellStyle name="Normal 3 2 2 2 2 2 2 2 3 4" xfId="28871"/>
    <cellStyle name="Normal 3 2 2 2 2 2 2 2 3 5" xfId="28872"/>
    <cellStyle name="Normal 3 2 2 2 2 2 2 2 3 6" xfId="28873"/>
    <cellStyle name="Normal 3 2 2 2 2 2 2 2 30" xfId="28874"/>
    <cellStyle name="Normal 3 2 2 2 2 2 2 2 31" xfId="28875"/>
    <cellStyle name="Normal 3 2 2 2 2 2 2 2 31 2" xfId="28876"/>
    <cellStyle name="Normal 3 2 2 2 2 2 2 2 31 3" xfId="28877"/>
    <cellStyle name="Normal 3 2 2 2 2 2 2 2 31 4" xfId="28878"/>
    <cellStyle name="Normal 3 2 2 2 2 2 2 2 32" xfId="28879"/>
    <cellStyle name="Normal 3 2 2 2 2 2 2 2 33" xfId="28880"/>
    <cellStyle name="Normal 3 2 2 2 2 2 2 2 34" xfId="28881"/>
    <cellStyle name="Normal 3 2 2 2 2 2 2 2 35" xfId="28882"/>
    <cellStyle name="Normal 3 2 2 2 2 2 2 2 36" xfId="28883"/>
    <cellStyle name="Normal 3 2 2 2 2 2 2 2 37" xfId="28884"/>
    <cellStyle name="Normal 3 2 2 2 2 2 2 2 38" xfId="28885"/>
    <cellStyle name="Normal 3 2 2 2 2 2 2 2 39" xfId="28886"/>
    <cellStyle name="Normal 3 2 2 2 2 2 2 2 4" xfId="28887"/>
    <cellStyle name="Normal 3 2 2 2 2 2 2 2 4 2" xfId="28888"/>
    <cellStyle name="Normal 3 2 2 2 2 2 2 2 4 3" xfId="28889"/>
    <cellStyle name="Normal 3 2 2 2 2 2 2 2 4 4" xfId="28890"/>
    <cellStyle name="Normal 3 2 2 2 2 2 2 2 4 5" xfId="28891"/>
    <cellStyle name="Normal 3 2 2 2 2 2 2 2 4 6" xfId="28892"/>
    <cellStyle name="Normal 3 2 2 2 2 2 2 2 40" xfId="28893"/>
    <cellStyle name="Normal 3 2 2 2 2 2 2 2 41" xfId="28894"/>
    <cellStyle name="Normal 3 2 2 2 2 2 2 2 42" xfId="28895"/>
    <cellStyle name="Normal 3 2 2 2 2 2 2 2 43" xfId="28896"/>
    <cellStyle name="Normal 3 2 2 2 2 2 2 2 44" xfId="28897"/>
    <cellStyle name="Normal 3 2 2 2 2 2 2 2 45" xfId="28898"/>
    <cellStyle name="Normal 3 2 2 2 2 2 2 2 46" xfId="28899"/>
    <cellStyle name="Normal 3 2 2 2 2 2 2 2 46 2" xfId="28900"/>
    <cellStyle name="Normal 3 2 2 2 2 2 2 2 46 3" xfId="28901"/>
    <cellStyle name="Normal 3 2 2 2 2 2 2 2 46 4" xfId="28902"/>
    <cellStyle name="Normal 3 2 2 2 2 2 2 2 46 5" xfId="28903"/>
    <cellStyle name="Normal 3 2 2 2 2 2 2 2 46 6" xfId="28904"/>
    <cellStyle name="Normal 3 2 2 2 2 2 2 2 46 7" xfId="28905"/>
    <cellStyle name="Normal 3 2 2 2 2 2 2 2 47" xfId="28906"/>
    <cellStyle name="Normal 3 2 2 2 2 2 2 2 48" xfId="28907"/>
    <cellStyle name="Normal 3 2 2 2 2 2 2 2 49" xfId="28908"/>
    <cellStyle name="Normal 3 2 2 2 2 2 2 2 5" xfId="28909"/>
    <cellStyle name="Normal 3 2 2 2 2 2 2 2 5 2" xfId="28910"/>
    <cellStyle name="Normal 3 2 2 2 2 2 2 2 5 3" xfId="28911"/>
    <cellStyle name="Normal 3 2 2 2 2 2 2 2 5 4" xfId="28912"/>
    <cellStyle name="Normal 3 2 2 2 2 2 2 2 5 5" xfId="28913"/>
    <cellStyle name="Normal 3 2 2 2 2 2 2 2 5 6" xfId="28914"/>
    <cellStyle name="Normal 3 2 2 2 2 2 2 2 50" xfId="28915"/>
    <cellStyle name="Normal 3 2 2 2 2 2 2 2 51" xfId="28916"/>
    <cellStyle name="Normal 3 2 2 2 2 2 2 2 52" xfId="28917"/>
    <cellStyle name="Normal 3 2 2 2 2 2 2 2 53" xfId="28918"/>
    <cellStyle name="Normal 3 2 2 2 2 2 2 2 54" xfId="28919"/>
    <cellStyle name="Normal 3 2 2 2 2 2 2 2 55" xfId="28920"/>
    <cellStyle name="Normal 3 2 2 2 2 2 2 2 56" xfId="28921"/>
    <cellStyle name="Normal 3 2 2 2 2 2 2 2 57" xfId="28922"/>
    <cellStyle name="Normal 3 2 2 2 2 2 2 2 58" xfId="28923"/>
    <cellStyle name="Normal 3 2 2 2 2 2 2 2 59" xfId="28924"/>
    <cellStyle name="Normal 3 2 2 2 2 2 2 2 6" xfId="28925"/>
    <cellStyle name="Normal 3 2 2 2 2 2 2 2 6 2" xfId="28926"/>
    <cellStyle name="Normal 3 2 2 2 2 2 2 2 6 3" xfId="28927"/>
    <cellStyle name="Normal 3 2 2 2 2 2 2 2 6 4" xfId="28928"/>
    <cellStyle name="Normal 3 2 2 2 2 2 2 2 6 5" xfId="28929"/>
    <cellStyle name="Normal 3 2 2 2 2 2 2 2 6 6" xfId="28930"/>
    <cellStyle name="Normal 3 2 2 2 2 2 2 2 60" xfId="28931"/>
    <cellStyle name="Normal 3 2 2 2 2 2 2 2 61" xfId="28932"/>
    <cellStyle name="Normal 3 2 2 2 2 2 2 2 62" xfId="28933"/>
    <cellStyle name="Normal 3 2 2 2 2 2 2 2 63" xfId="28934"/>
    <cellStyle name="Normal 3 2 2 2 2 2 2 2 64" xfId="28935"/>
    <cellStyle name="Normal 3 2 2 2 2 2 2 2 65" xfId="28936"/>
    <cellStyle name="Normal 3 2 2 2 2 2 2 2 66" xfId="28937"/>
    <cellStyle name="Normal 3 2 2 2 2 2 2 2 67" xfId="28938"/>
    <cellStyle name="Normal 3 2 2 2 2 2 2 2 68" xfId="28939"/>
    <cellStyle name="Normal 3 2 2 2 2 2 2 2 69" xfId="28940"/>
    <cellStyle name="Normal 3 2 2 2 2 2 2 2 7" xfId="28941"/>
    <cellStyle name="Normal 3 2 2 2 2 2 2 2 70" xfId="28942"/>
    <cellStyle name="Normal 3 2 2 2 2 2 2 2 71" xfId="28943"/>
    <cellStyle name="Normal 3 2 2 2 2 2 2 2 72" xfId="28944"/>
    <cellStyle name="Normal 3 2 2 2 2 2 2 2 73" xfId="28945"/>
    <cellStyle name="Normal 3 2 2 2 2 2 2 2 74" xfId="28946"/>
    <cellStyle name="Normal 3 2 2 2 2 2 2 2 75" xfId="28947"/>
    <cellStyle name="Normal 3 2 2 2 2 2 2 2 76" xfId="28948"/>
    <cellStyle name="Normal 3 2 2 2 2 2 2 2 77" xfId="28949"/>
    <cellStyle name="Normal 3 2 2 2 2 2 2 2 78" xfId="28950"/>
    <cellStyle name="Normal 3 2 2 2 2 2 2 2 78 2" xfId="28951"/>
    <cellStyle name="Normal 3 2 2 2 2 2 2 2 78 3" xfId="28952"/>
    <cellStyle name="Normal 3 2 2 2 2 2 2 2 78 4" xfId="28953"/>
    <cellStyle name="Normal 3 2 2 2 2 2 2 2 79" xfId="28954"/>
    <cellStyle name="Normal 3 2 2 2 2 2 2 2 8" xfId="28955"/>
    <cellStyle name="Normal 3 2 2 2 2 2 2 2 80" xfId="28956"/>
    <cellStyle name="Normal 3 2 2 2 2 2 2 2 9" xfId="28957"/>
    <cellStyle name="Normal 3 2 2 2 2 2 2 20" xfId="28958"/>
    <cellStyle name="Normal 3 2 2 2 2 2 2 21" xfId="28959"/>
    <cellStyle name="Normal 3 2 2 2 2 2 2 22" xfId="28960"/>
    <cellStyle name="Normal 3 2 2 2 2 2 2 22 10" xfId="28961"/>
    <cellStyle name="Normal 3 2 2 2 2 2 2 22 11" xfId="28962"/>
    <cellStyle name="Normal 3 2 2 2 2 2 2 22 11 2" xfId="28963"/>
    <cellStyle name="Normal 3 2 2 2 2 2 2 22 11 3" xfId="28964"/>
    <cellStyle name="Normal 3 2 2 2 2 2 2 22 11 4" xfId="28965"/>
    <cellStyle name="Normal 3 2 2 2 2 2 2 22 12" xfId="28966"/>
    <cellStyle name="Normal 3 2 2 2 2 2 2 22 13" xfId="28967"/>
    <cellStyle name="Normal 3 2 2 2 2 2 2 22 14" xfId="28968"/>
    <cellStyle name="Normal 3 2 2 2 2 2 2 22 2" xfId="28969"/>
    <cellStyle name="Normal 3 2 2 2 2 2 2 22 2 10" xfId="28970"/>
    <cellStyle name="Normal 3 2 2 2 2 2 2 22 2 11" xfId="28971"/>
    <cellStyle name="Normal 3 2 2 2 2 2 2 22 2 2" xfId="28972"/>
    <cellStyle name="Normal 3 2 2 2 2 2 2 22 2 2 10" xfId="28973"/>
    <cellStyle name="Normal 3 2 2 2 2 2 2 22 2 2 11" xfId="28974"/>
    <cellStyle name="Normal 3 2 2 2 2 2 2 22 2 2 2" xfId="28975"/>
    <cellStyle name="Normal 3 2 2 2 2 2 2 22 2 2 2 2" xfId="28976"/>
    <cellStyle name="Normal 3 2 2 2 2 2 2 22 2 2 2 2 2" xfId="28977"/>
    <cellStyle name="Normal 3 2 2 2 2 2 2 22 2 2 2 2 3" xfId="28978"/>
    <cellStyle name="Normal 3 2 2 2 2 2 2 22 2 2 2 2 4" xfId="28979"/>
    <cellStyle name="Normal 3 2 2 2 2 2 2 22 2 2 2 3" xfId="28980"/>
    <cellStyle name="Normal 3 2 2 2 2 2 2 22 2 2 2 4" xfId="28981"/>
    <cellStyle name="Normal 3 2 2 2 2 2 2 22 2 2 2 5" xfId="28982"/>
    <cellStyle name="Normal 3 2 2 2 2 2 2 22 2 2 2 6" xfId="28983"/>
    <cellStyle name="Normal 3 2 2 2 2 2 2 22 2 2 3" xfId="28984"/>
    <cellStyle name="Normal 3 2 2 2 2 2 2 22 2 2 4" xfId="28985"/>
    <cellStyle name="Normal 3 2 2 2 2 2 2 22 2 2 5" xfId="28986"/>
    <cellStyle name="Normal 3 2 2 2 2 2 2 22 2 2 6" xfId="28987"/>
    <cellStyle name="Normal 3 2 2 2 2 2 2 22 2 2 7" xfId="28988"/>
    <cellStyle name="Normal 3 2 2 2 2 2 2 22 2 2 8" xfId="28989"/>
    <cellStyle name="Normal 3 2 2 2 2 2 2 22 2 2 8 2" xfId="28990"/>
    <cellStyle name="Normal 3 2 2 2 2 2 2 22 2 2 8 3" xfId="28991"/>
    <cellStyle name="Normal 3 2 2 2 2 2 2 22 2 2 8 4" xfId="28992"/>
    <cellStyle name="Normal 3 2 2 2 2 2 2 22 2 2 9" xfId="28993"/>
    <cellStyle name="Normal 3 2 2 2 2 2 2 22 2 3" xfId="28994"/>
    <cellStyle name="Normal 3 2 2 2 2 2 2 22 2 3 2" xfId="28995"/>
    <cellStyle name="Normal 3 2 2 2 2 2 2 22 2 3 2 2" xfId="28996"/>
    <cellStyle name="Normal 3 2 2 2 2 2 2 22 2 3 2 3" xfId="28997"/>
    <cellStyle name="Normal 3 2 2 2 2 2 2 22 2 3 2 4" xfId="28998"/>
    <cellStyle name="Normal 3 2 2 2 2 2 2 22 2 3 3" xfId="28999"/>
    <cellStyle name="Normal 3 2 2 2 2 2 2 22 2 3 4" xfId="29000"/>
    <cellStyle name="Normal 3 2 2 2 2 2 2 22 2 3 5" xfId="29001"/>
    <cellStyle name="Normal 3 2 2 2 2 2 2 22 2 3 6" xfId="29002"/>
    <cellStyle name="Normal 3 2 2 2 2 2 2 22 2 4" xfId="29003"/>
    <cellStyle name="Normal 3 2 2 2 2 2 2 22 2 5" xfId="29004"/>
    <cellStyle name="Normal 3 2 2 2 2 2 2 22 2 6" xfId="29005"/>
    <cellStyle name="Normal 3 2 2 2 2 2 2 22 2 7" xfId="29006"/>
    <cellStyle name="Normal 3 2 2 2 2 2 2 22 2 8" xfId="29007"/>
    <cellStyle name="Normal 3 2 2 2 2 2 2 22 2 8 2" xfId="29008"/>
    <cellStyle name="Normal 3 2 2 2 2 2 2 22 2 8 3" xfId="29009"/>
    <cellStyle name="Normal 3 2 2 2 2 2 2 22 2 8 4" xfId="29010"/>
    <cellStyle name="Normal 3 2 2 2 2 2 2 22 2 9" xfId="29011"/>
    <cellStyle name="Normal 3 2 2 2 2 2 2 22 3" xfId="29012"/>
    <cellStyle name="Normal 3 2 2 2 2 2 2 22 4" xfId="29013"/>
    <cellStyle name="Normal 3 2 2 2 2 2 2 22 5" xfId="29014"/>
    <cellStyle name="Normal 3 2 2 2 2 2 2 22 5 2" xfId="29015"/>
    <cellStyle name="Normal 3 2 2 2 2 2 2 22 5 2 2" xfId="29016"/>
    <cellStyle name="Normal 3 2 2 2 2 2 2 22 5 2 3" xfId="29017"/>
    <cellStyle name="Normal 3 2 2 2 2 2 2 22 5 2 4" xfId="29018"/>
    <cellStyle name="Normal 3 2 2 2 2 2 2 22 5 3" xfId="29019"/>
    <cellStyle name="Normal 3 2 2 2 2 2 2 22 5 4" xfId="29020"/>
    <cellStyle name="Normal 3 2 2 2 2 2 2 22 5 5" xfId="29021"/>
    <cellStyle name="Normal 3 2 2 2 2 2 2 22 5 6" xfId="29022"/>
    <cellStyle name="Normal 3 2 2 2 2 2 2 22 6" xfId="29023"/>
    <cellStyle name="Normal 3 2 2 2 2 2 2 22 7" xfId="29024"/>
    <cellStyle name="Normal 3 2 2 2 2 2 2 22 8" xfId="29025"/>
    <cellStyle name="Normal 3 2 2 2 2 2 2 22 9" xfId="29026"/>
    <cellStyle name="Normal 3 2 2 2 2 2 2 23" xfId="29027"/>
    <cellStyle name="Normal 3 2 2 2 2 2 2 24" xfId="29028"/>
    <cellStyle name="Normal 3 2 2 2 2 2 2 24 10" xfId="29029"/>
    <cellStyle name="Normal 3 2 2 2 2 2 2 24 11" xfId="29030"/>
    <cellStyle name="Normal 3 2 2 2 2 2 2 24 2" xfId="29031"/>
    <cellStyle name="Normal 3 2 2 2 2 2 2 24 2 10" xfId="29032"/>
    <cellStyle name="Normal 3 2 2 2 2 2 2 24 2 11" xfId="29033"/>
    <cellStyle name="Normal 3 2 2 2 2 2 2 24 2 2" xfId="29034"/>
    <cellStyle name="Normal 3 2 2 2 2 2 2 24 2 2 2" xfId="29035"/>
    <cellStyle name="Normal 3 2 2 2 2 2 2 24 2 2 2 2" xfId="29036"/>
    <cellStyle name="Normal 3 2 2 2 2 2 2 24 2 2 2 3" xfId="29037"/>
    <cellStyle name="Normal 3 2 2 2 2 2 2 24 2 2 2 4" xfId="29038"/>
    <cellStyle name="Normal 3 2 2 2 2 2 2 24 2 2 3" xfId="29039"/>
    <cellStyle name="Normal 3 2 2 2 2 2 2 24 2 2 4" xfId="29040"/>
    <cellStyle name="Normal 3 2 2 2 2 2 2 24 2 2 5" xfId="29041"/>
    <cellStyle name="Normal 3 2 2 2 2 2 2 24 2 2 6" xfId="29042"/>
    <cellStyle name="Normal 3 2 2 2 2 2 2 24 2 3" xfId="29043"/>
    <cellStyle name="Normal 3 2 2 2 2 2 2 24 2 4" xfId="29044"/>
    <cellStyle name="Normal 3 2 2 2 2 2 2 24 2 5" xfId="29045"/>
    <cellStyle name="Normal 3 2 2 2 2 2 2 24 2 6" xfId="29046"/>
    <cellStyle name="Normal 3 2 2 2 2 2 2 24 2 7" xfId="29047"/>
    <cellStyle name="Normal 3 2 2 2 2 2 2 24 2 8" xfId="29048"/>
    <cellStyle name="Normal 3 2 2 2 2 2 2 24 2 8 2" xfId="29049"/>
    <cellStyle name="Normal 3 2 2 2 2 2 2 24 2 8 3" xfId="29050"/>
    <cellStyle name="Normal 3 2 2 2 2 2 2 24 2 8 4" xfId="29051"/>
    <cellStyle name="Normal 3 2 2 2 2 2 2 24 2 9" xfId="29052"/>
    <cellStyle name="Normal 3 2 2 2 2 2 2 24 3" xfId="29053"/>
    <cellStyle name="Normal 3 2 2 2 2 2 2 24 3 2" xfId="29054"/>
    <cellStyle name="Normal 3 2 2 2 2 2 2 24 3 2 2" xfId="29055"/>
    <cellStyle name="Normal 3 2 2 2 2 2 2 24 3 2 3" xfId="29056"/>
    <cellStyle name="Normal 3 2 2 2 2 2 2 24 3 2 4" xfId="29057"/>
    <cellStyle name="Normal 3 2 2 2 2 2 2 24 3 3" xfId="29058"/>
    <cellStyle name="Normal 3 2 2 2 2 2 2 24 3 4" xfId="29059"/>
    <cellStyle name="Normal 3 2 2 2 2 2 2 24 3 5" xfId="29060"/>
    <cellStyle name="Normal 3 2 2 2 2 2 2 24 3 6" xfId="29061"/>
    <cellStyle name="Normal 3 2 2 2 2 2 2 24 4" xfId="29062"/>
    <cellStyle name="Normal 3 2 2 2 2 2 2 24 5" xfId="29063"/>
    <cellStyle name="Normal 3 2 2 2 2 2 2 24 6" xfId="29064"/>
    <cellStyle name="Normal 3 2 2 2 2 2 2 24 7" xfId="29065"/>
    <cellStyle name="Normal 3 2 2 2 2 2 2 24 8" xfId="29066"/>
    <cellStyle name="Normal 3 2 2 2 2 2 2 24 8 2" xfId="29067"/>
    <cellStyle name="Normal 3 2 2 2 2 2 2 24 8 3" xfId="29068"/>
    <cellStyle name="Normal 3 2 2 2 2 2 2 24 8 4" xfId="29069"/>
    <cellStyle name="Normal 3 2 2 2 2 2 2 24 9" xfId="29070"/>
    <cellStyle name="Normal 3 2 2 2 2 2 2 25" xfId="29071"/>
    <cellStyle name="Normal 3 2 2 2 2 2 2 26" xfId="29072"/>
    <cellStyle name="Normal 3 2 2 2 2 2 2 26 2" xfId="29073"/>
    <cellStyle name="Normal 3 2 2 2 2 2 2 26 2 2" xfId="29074"/>
    <cellStyle name="Normal 3 2 2 2 2 2 2 26 2 3" xfId="29075"/>
    <cellStyle name="Normal 3 2 2 2 2 2 2 26 2 4" xfId="29076"/>
    <cellStyle name="Normal 3 2 2 2 2 2 2 26 3" xfId="29077"/>
    <cellStyle name="Normal 3 2 2 2 2 2 2 26 4" xfId="29078"/>
    <cellStyle name="Normal 3 2 2 2 2 2 2 26 5" xfId="29079"/>
    <cellStyle name="Normal 3 2 2 2 2 2 2 26 6" xfId="29080"/>
    <cellStyle name="Normal 3 2 2 2 2 2 2 27" xfId="29081"/>
    <cellStyle name="Normal 3 2 2 2 2 2 2 28" xfId="29082"/>
    <cellStyle name="Normal 3 2 2 2 2 2 2 29" xfId="29083"/>
    <cellStyle name="Normal 3 2 2 2 2 2 2 3" xfId="29084"/>
    <cellStyle name="Normal 3 2 2 2 2 2 2 3 2" xfId="29085"/>
    <cellStyle name="Normal 3 2 2 2 2 2 2 3 3" xfId="29086"/>
    <cellStyle name="Normal 3 2 2 2 2 2 2 3 4" xfId="29087"/>
    <cellStyle name="Normal 3 2 2 2 2 2 2 3 5" xfId="29088"/>
    <cellStyle name="Normal 3 2 2 2 2 2 2 3 6" xfId="29089"/>
    <cellStyle name="Normal 3 2 2 2 2 2 2 30" xfId="29090"/>
    <cellStyle name="Normal 3 2 2 2 2 2 2 31" xfId="29091"/>
    <cellStyle name="Normal 3 2 2 2 2 2 2 32" xfId="29092"/>
    <cellStyle name="Normal 3 2 2 2 2 2 2 32 2" xfId="29093"/>
    <cellStyle name="Normal 3 2 2 2 2 2 2 32 3" xfId="29094"/>
    <cellStyle name="Normal 3 2 2 2 2 2 2 32 4" xfId="29095"/>
    <cellStyle name="Normal 3 2 2 2 2 2 2 33" xfId="29096"/>
    <cellStyle name="Normal 3 2 2 2 2 2 2 34" xfId="29097"/>
    <cellStyle name="Normal 3 2 2 2 2 2 2 35" xfId="29098"/>
    <cellStyle name="Normal 3 2 2 2 2 2 2 36" xfId="29099"/>
    <cellStyle name="Normal 3 2 2 2 2 2 2 37" xfId="29100"/>
    <cellStyle name="Normal 3 2 2 2 2 2 2 38" xfId="29101"/>
    <cellStyle name="Normal 3 2 2 2 2 2 2 39" xfId="29102"/>
    <cellStyle name="Normal 3 2 2 2 2 2 2 4" xfId="29103"/>
    <cellStyle name="Normal 3 2 2 2 2 2 2 4 2" xfId="29104"/>
    <cellStyle name="Normal 3 2 2 2 2 2 2 4 2 2" xfId="29105"/>
    <cellStyle name="Normal 3 2 2 2 2 2 2 4 2 3" xfId="29106"/>
    <cellStyle name="Normal 3 2 2 2 2 2 2 4 2 4" xfId="29107"/>
    <cellStyle name="Normal 3 2 2 2 2 2 2 4 2 5" xfId="29108"/>
    <cellStyle name="Normal 3 2 2 2 2 2 2 4 2 6" xfId="29109"/>
    <cellStyle name="Normal 3 2 2 2 2 2 2 4 2 7" xfId="29110"/>
    <cellStyle name="Normal 3 2 2 2 2 2 2 40" xfId="29111"/>
    <cellStyle name="Normal 3 2 2 2 2 2 2 41" xfId="29112"/>
    <cellStyle name="Normal 3 2 2 2 2 2 2 42" xfId="29113"/>
    <cellStyle name="Normal 3 2 2 2 2 2 2 43" xfId="29114"/>
    <cellStyle name="Normal 3 2 2 2 2 2 2 44" xfId="29115"/>
    <cellStyle name="Normal 3 2 2 2 2 2 2 45" xfId="29116"/>
    <cellStyle name="Normal 3 2 2 2 2 2 2 46" xfId="29117"/>
    <cellStyle name="Normal 3 2 2 2 2 2 2 47" xfId="29118"/>
    <cellStyle name="Normal 3 2 2 2 2 2 2 47 2" xfId="29119"/>
    <cellStyle name="Normal 3 2 2 2 2 2 2 47 3" xfId="29120"/>
    <cellStyle name="Normal 3 2 2 2 2 2 2 47 4" xfId="29121"/>
    <cellStyle name="Normal 3 2 2 2 2 2 2 47 5" xfId="29122"/>
    <cellStyle name="Normal 3 2 2 2 2 2 2 47 6" xfId="29123"/>
    <cellStyle name="Normal 3 2 2 2 2 2 2 47 7" xfId="29124"/>
    <cellStyle name="Normal 3 2 2 2 2 2 2 48" xfId="29125"/>
    <cellStyle name="Normal 3 2 2 2 2 2 2 49" xfId="29126"/>
    <cellStyle name="Normal 3 2 2 2 2 2 2 5" xfId="29127"/>
    <cellStyle name="Normal 3 2 2 2 2 2 2 50" xfId="29128"/>
    <cellStyle name="Normal 3 2 2 2 2 2 2 51" xfId="29129"/>
    <cellStyle name="Normal 3 2 2 2 2 2 2 52" xfId="29130"/>
    <cellStyle name="Normal 3 2 2 2 2 2 2 53" xfId="29131"/>
    <cellStyle name="Normal 3 2 2 2 2 2 2 54" xfId="29132"/>
    <cellStyle name="Normal 3 2 2 2 2 2 2 55" xfId="29133"/>
    <cellStyle name="Normal 3 2 2 2 2 2 2 56" xfId="29134"/>
    <cellStyle name="Normal 3 2 2 2 2 2 2 57" xfId="29135"/>
    <cellStyle name="Normal 3 2 2 2 2 2 2 58" xfId="29136"/>
    <cellStyle name="Normal 3 2 2 2 2 2 2 59" xfId="29137"/>
    <cellStyle name="Normal 3 2 2 2 2 2 2 6" xfId="29138"/>
    <cellStyle name="Normal 3 2 2 2 2 2 2 60" xfId="29139"/>
    <cellStyle name="Normal 3 2 2 2 2 2 2 61" xfId="29140"/>
    <cellStyle name="Normal 3 2 2 2 2 2 2 62" xfId="29141"/>
    <cellStyle name="Normal 3 2 2 2 2 2 2 63" xfId="29142"/>
    <cellStyle name="Normal 3 2 2 2 2 2 2 64" xfId="29143"/>
    <cellStyle name="Normal 3 2 2 2 2 2 2 65" xfId="29144"/>
    <cellStyle name="Normal 3 2 2 2 2 2 2 66" xfId="29145"/>
    <cellStyle name="Normal 3 2 2 2 2 2 2 67" xfId="29146"/>
    <cellStyle name="Normal 3 2 2 2 2 2 2 68" xfId="29147"/>
    <cellStyle name="Normal 3 2 2 2 2 2 2 69" xfId="29148"/>
    <cellStyle name="Normal 3 2 2 2 2 2 2 7" xfId="29149"/>
    <cellStyle name="Normal 3 2 2 2 2 2 2 70" xfId="29150"/>
    <cellStyle name="Normal 3 2 2 2 2 2 2 71" xfId="29151"/>
    <cellStyle name="Normal 3 2 2 2 2 2 2 72" xfId="29152"/>
    <cellStyle name="Normal 3 2 2 2 2 2 2 73" xfId="29153"/>
    <cellStyle name="Normal 3 2 2 2 2 2 2 74" xfId="29154"/>
    <cellStyle name="Normal 3 2 2 2 2 2 2 75" xfId="29155"/>
    <cellStyle name="Normal 3 2 2 2 2 2 2 76" xfId="29156"/>
    <cellStyle name="Normal 3 2 2 2 2 2 2 77" xfId="29157"/>
    <cellStyle name="Normal 3 2 2 2 2 2 2 78" xfId="29158"/>
    <cellStyle name="Normal 3 2 2 2 2 2 2 79" xfId="29159"/>
    <cellStyle name="Normal 3 2 2 2 2 2 2 79 2" xfId="29160"/>
    <cellStyle name="Normal 3 2 2 2 2 2 2 79 3" xfId="29161"/>
    <cellStyle name="Normal 3 2 2 2 2 2 2 79 4" xfId="29162"/>
    <cellStyle name="Normal 3 2 2 2 2 2 2 8" xfId="29163"/>
    <cellStyle name="Normal 3 2 2 2 2 2 2 80" xfId="29164"/>
    <cellStyle name="Normal 3 2 2 2 2 2 2 81" xfId="29165"/>
    <cellStyle name="Normal 3 2 2 2 2 2 2 9" xfId="29166"/>
    <cellStyle name="Normal 3 2 2 2 2 2 20" xfId="29167"/>
    <cellStyle name="Normal 3 2 2 2 2 2 20 10" xfId="29168"/>
    <cellStyle name="Normal 3 2 2 2 2 2 20 11" xfId="29169"/>
    <cellStyle name="Normal 3 2 2 2 2 2 20 11 10" xfId="29170"/>
    <cellStyle name="Normal 3 2 2 2 2 2 20 11 11" xfId="29171"/>
    <cellStyle name="Normal 3 2 2 2 2 2 20 11 11 2" xfId="29172"/>
    <cellStyle name="Normal 3 2 2 2 2 2 20 11 11 3" xfId="29173"/>
    <cellStyle name="Normal 3 2 2 2 2 2 20 11 11 4" xfId="29174"/>
    <cellStyle name="Normal 3 2 2 2 2 2 20 11 12" xfId="29175"/>
    <cellStyle name="Normal 3 2 2 2 2 2 20 11 13" xfId="29176"/>
    <cellStyle name="Normal 3 2 2 2 2 2 20 11 14" xfId="29177"/>
    <cellStyle name="Normal 3 2 2 2 2 2 20 11 2" xfId="29178"/>
    <cellStyle name="Normal 3 2 2 2 2 2 20 11 2 10" xfId="29179"/>
    <cellStyle name="Normal 3 2 2 2 2 2 20 11 2 11" xfId="29180"/>
    <cellStyle name="Normal 3 2 2 2 2 2 20 11 2 2" xfId="29181"/>
    <cellStyle name="Normal 3 2 2 2 2 2 20 11 2 2 10" xfId="29182"/>
    <cellStyle name="Normal 3 2 2 2 2 2 20 11 2 2 11" xfId="29183"/>
    <cellStyle name="Normal 3 2 2 2 2 2 20 11 2 2 2" xfId="29184"/>
    <cellStyle name="Normal 3 2 2 2 2 2 20 11 2 2 2 2" xfId="29185"/>
    <cellStyle name="Normal 3 2 2 2 2 2 20 11 2 2 2 2 2" xfId="29186"/>
    <cellStyle name="Normal 3 2 2 2 2 2 20 11 2 2 2 2 3" xfId="29187"/>
    <cellStyle name="Normal 3 2 2 2 2 2 20 11 2 2 2 2 4" xfId="29188"/>
    <cellStyle name="Normal 3 2 2 2 2 2 20 11 2 2 2 3" xfId="29189"/>
    <cellStyle name="Normal 3 2 2 2 2 2 20 11 2 2 2 4" xfId="29190"/>
    <cellStyle name="Normal 3 2 2 2 2 2 20 11 2 2 2 5" xfId="29191"/>
    <cellStyle name="Normal 3 2 2 2 2 2 20 11 2 2 2 6" xfId="29192"/>
    <cellStyle name="Normal 3 2 2 2 2 2 20 11 2 2 3" xfId="29193"/>
    <cellStyle name="Normal 3 2 2 2 2 2 20 11 2 2 4" xfId="29194"/>
    <cellStyle name="Normal 3 2 2 2 2 2 20 11 2 2 5" xfId="29195"/>
    <cellStyle name="Normal 3 2 2 2 2 2 20 11 2 2 6" xfId="29196"/>
    <cellStyle name="Normal 3 2 2 2 2 2 20 11 2 2 7" xfId="29197"/>
    <cellStyle name="Normal 3 2 2 2 2 2 20 11 2 2 8" xfId="29198"/>
    <cellStyle name="Normal 3 2 2 2 2 2 20 11 2 2 8 2" xfId="29199"/>
    <cellStyle name="Normal 3 2 2 2 2 2 20 11 2 2 8 3" xfId="29200"/>
    <cellStyle name="Normal 3 2 2 2 2 2 20 11 2 2 8 4" xfId="29201"/>
    <cellStyle name="Normal 3 2 2 2 2 2 20 11 2 2 9" xfId="29202"/>
    <cellStyle name="Normal 3 2 2 2 2 2 20 11 2 3" xfId="29203"/>
    <cellStyle name="Normal 3 2 2 2 2 2 20 11 2 3 2" xfId="29204"/>
    <cellStyle name="Normal 3 2 2 2 2 2 20 11 2 3 2 2" xfId="29205"/>
    <cellStyle name="Normal 3 2 2 2 2 2 20 11 2 3 2 3" xfId="29206"/>
    <cellStyle name="Normal 3 2 2 2 2 2 20 11 2 3 2 4" xfId="29207"/>
    <cellStyle name="Normal 3 2 2 2 2 2 20 11 2 3 3" xfId="29208"/>
    <cellStyle name="Normal 3 2 2 2 2 2 20 11 2 3 4" xfId="29209"/>
    <cellStyle name="Normal 3 2 2 2 2 2 20 11 2 3 5" xfId="29210"/>
    <cellStyle name="Normal 3 2 2 2 2 2 20 11 2 3 6" xfId="29211"/>
    <cellStyle name="Normal 3 2 2 2 2 2 20 11 2 4" xfId="29212"/>
    <cellStyle name="Normal 3 2 2 2 2 2 20 11 2 5" xfId="29213"/>
    <cellStyle name="Normal 3 2 2 2 2 2 20 11 2 6" xfId="29214"/>
    <cellStyle name="Normal 3 2 2 2 2 2 20 11 2 7" xfId="29215"/>
    <cellStyle name="Normal 3 2 2 2 2 2 20 11 2 8" xfId="29216"/>
    <cellStyle name="Normal 3 2 2 2 2 2 20 11 2 8 2" xfId="29217"/>
    <cellStyle name="Normal 3 2 2 2 2 2 20 11 2 8 3" xfId="29218"/>
    <cellStyle name="Normal 3 2 2 2 2 2 20 11 2 8 4" xfId="29219"/>
    <cellStyle name="Normal 3 2 2 2 2 2 20 11 2 9" xfId="29220"/>
    <cellStyle name="Normal 3 2 2 2 2 2 20 11 3" xfId="29221"/>
    <cellStyle name="Normal 3 2 2 2 2 2 20 11 4" xfId="29222"/>
    <cellStyle name="Normal 3 2 2 2 2 2 20 11 5" xfId="29223"/>
    <cellStyle name="Normal 3 2 2 2 2 2 20 11 5 2" xfId="29224"/>
    <cellStyle name="Normal 3 2 2 2 2 2 20 11 5 2 2" xfId="29225"/>
    <cellStyle name="Normal 3 2 2 2 2 2 20 11 5 2 3" xfId="29226"/>
    <cellStyle name="Normal 3 2 2 2 2 2 20 11 5 2 4" xfId="29227"/>
    <cellStyle name="Normal 3 2 2 2 2 2 20 11 5 3" xfId="29228"/>
    <cellStyle name="Normal 3 2 2 2 2 2 20 11 5 4" xfId="29229"/>
    <cellStyle name="Normal 3 2 2 2 2 2 20 11 5 5" xfId="29230"/>
    <cellStyle name="Normal 3 2 2 2 2 2 20 11 5 6" xfId="29231"/>
    <cellStyle name="Normal 3 2 2 2 2 2 20 11 6" xfId="29232"/>
    <cellStyle name="Normal 3 2 2 2 2 2 20 11 7" xfId="29233"/>
    <cellStyle name="Normal 3 2 2 2 2 2 20 11 8" xfId="29234"/>
    <cellStyle name="Normal 3 2 2 2 2 2 20 11 9" xfId="29235"/>
    <cellStyle name="Normal 3 2 2 2 2 2 20 12" xfId="29236"/>
    <cellStyle name="Normal 3 2 2 2 2 2 20 13" xfId="29237"/>
    <cellStyle name="Normal 3 2 2 2 2 2 20 13 10" xfId="29238"/>
    <cellStyle name="Normal 3 2 2 2 2 2 20 13 11" xfId="29239"/>
    <cellStyle name="Normal 3 2 2 2 2 2 20 13 2" xfId="29240"/>
    <cellStyle name="Normal 3 2 2 2 2 2 20 13 2 10" xfId="29241"/>
    <cellStyle name="Normal 3 2 2 2 2 2 20 13 2 11" xfId="29242"/>
    <cellStyle name="Normal 3 2 2 2 2 2 20 13 2 2" xfId="29243"/>
    <cellStyle name="Normal 3 2 2 2 2 2 20 13 2 2 2" xfId="29244"/>
    <cellStyle name="Normal 3 2 2 2 2 2 20 13 2 2 2 2" xfId="29245"/>
    <cellStyle name="Normal 3 2 2 2 2 2 20 13 2 2 2 3" xfId="29246"/>
    <cellStyle name="Normal 3 2 2 2 2 2 20 13 2 2 2 4" xfId="29247"/>
    <cellStyle name="Normal 3 2 2 2 2 2 20 13 2 2 3" xfId="29248"/>
    <cellStyle name="Normal 3 2 2 2 2 2 20 13 2 2 4" xfId="29249"/>
    <cellStyle name="Normal 3 2 2 2 2 2 20 13 2 2 5" xfId="29250"/>
    <cellStyle name="Normal 3 2 2 2 2 2 20 13 2 2 6" xfId="29251"/>
    <cellStyle name="Normal 3 2 2 2 2 2 20 13 2 3" xfId="29252"/>
    <cellStyle name="Normal 3 2 2 2 2 2 20 13 2 4" xfId="29253"/>
    <cellStyle name="Normal 3 2 2 2 2 2 20 13 2 5" xfId="29254"/>
    <cellStyle name="Normal 3 2 2 2 2 2 20 13 2 6" xfId="29255"/>
    <cellStyle name="Normal 3 2 2 2 2 2 20 13 2 7" xfId="29256"/>
    <cellStyle name="Normal 3 2 2 2 2 2 20 13 2 8" xfId="29257"/>
    <cellStyle name="Normal 3 2 2 2 2 2 20 13 2 8 2" xfId="29258"/>
    <cellStyle name="Normal 3 2 2 2 2 2 20 13 2 8 3" xfId="29259"/>
    <cellStyle name="Normal 3 2 2 2 2 2 20 13 2 8 4" xfId="29260"/>
    <cellStyle name="Normal 3 2 2 2 2 2 20 13 2 9" xfId="29261"/>
    <cellStyle name="Normal 3 2 2 2 2 2 20 13 3" xfId="29262"/>
    <cellStyle name="Normal 3 2 2 2 2 2 20 13 3 2" xfId="29263"/>
    <cellStyle name="Normal 3 2 2 2 2 2 20 13 3 2 2" xfId="29264"/>
    <cellStyle name="Normal 3 2 2 2 2 2 20 13 3 2 3" xfId="29265"/>
    <cellStyle name="Normal 3 2 2 2 2 2 20 13 3 2 4" xfId="29266"/>
    <cellStyle name="Normal 3 2 2 2 2 2 20 13 3 3" xfId="29267"/>
    <cellStyle name="Normal 3 2 2 2 2 2 20 13 3 4" xfId="29268"/>
    <cellStyle name="Normal 3 2 2 2 2 2 20 13 3 5" xfId="29269"/>
    <cellStyle name="Normal 3 2 2 2 2 2 20 13 3 6" xfId="29270"/>
    <cellStyle name="Normal 3 2 2 2 2 2 20 13 4" xfId="29271"/>
    <cellStyle name="Normal 3 2 2 2 2 2 20 13 5" xfId="29272"/>
    <cellStyle name="Normal 3 2 2 2 2 2 20 13 6" xfId="29273"/>
    <cellStyle name="Normal 3 2 2 2 2 2 20 13 7" xfId="29274"/>
    <cellStyle name="Normal 3 2 2 2 2 2 20 13 8" xfId="29275"/>
    <cellStyle name="Normal 3 2 2 2 2 2 20 13 8 2" xfId="29276"/>
    <cellStyle name="Normal 3 2 2 2 2 2 20 13 8 3" xfId="29277"/>
    <cellStyle name="Normal 3 2 2 2 2 2 20 13 8 4" xfId="29278"/>
    <cellStyle name="Normal 3 2 2 2 2 2 20 13 9" xfId="29279"/>
    <cellStyle name="Normal 3 2 2 2 2 2 20 14" xfId="29280"/>
    <cellStyle name="Normal 3 2 2 2 2 2 20 15" xfId="29281"/>
    <cellStyle name="Normal 3 2 2 2 2 2 20 15 2" xfId="29282"/>
    <cellStyle name="Normal 3 2 2 2 2 2 20 15 2 2" xfId="29283"/>
    <cellStyle name="Normal 3 2 2 2 2 2 20 15 2 3" xfId="29284"/>
    <cellStyle name="Normal 3 2 2 2 2 2 20 15 2 4" xfId="29285"/>
    <cellStyle name="Normal 3 2 2 2 2 2 20 15 3" xfId="29286"/>
    <cellStyle name="Normal 3 2 2 2 2 2 20 15 4" xfId="29287"/>
    <cellStyle name="Normal 3 2 2 2 2 2 20 15 5" xfId="29288"/>
    <cellStyle name="Normal 3 2 2 2 2 2 20 15 6" xfId="29289"/>
    <cellStyle name="Normal 3 2 2 2 2 2 20 16" xfId="29290"/>
    <cellStyle name="Normal 3 2 2 2 2 2 20 17" xfId="29291"/>
    <cellStyle name="Normal 3 2 2 2 2 2 20 18" xfId="29292"/>
    <cellStyle name="Normal 3 2 2 2 2 2 20 19" xfId="29293"/>
    <cellStyle name="Normal 3 2 2 2 2 2 20 2" xfId="29294"/>
    <cellStyle name="Normal 3 2 2 2 2 2 20 2 10" xfId="29295"/>
    <cellStyle name="Normal 3 2 2 2 2 2 20 2 11" xfId="29296"/>
    <cellStyle name="Normal 3 2 2 2 2 2 20 2 12" xfId="29297"/>
    <cellStyle name="Normal 3 2 2 2 2 2 20 2 13" xfId="29298"/>
    <cellStyle name="Normal 3 2 2 2 2 2 20 2 13 2" xfId="29299"/>
    <cellStyle name="Normal 3 2 2 2 2 2 20 2 13 3" xfId="29300"/>
    <cellStyle name="Normal 3 2 2 2 2 2 20 2 13 4" xfId="29301"/>
    <cellStyle name="Normal 3 2 2 2 2 2 20 2 14" xfId="29302"/>
    <cellStyle name="Normal 3 2 2 2 2 2 20 2 15" xfId="29303"/>
    <cellStyle name="Normal 3 2 2 2 2 2 20 2 16" xfId="29304"/>
    <cellStyle name="Normal 3 2 2 2 2 2 20 2 2" xfId="29305"/>
    <cellStyle name="Normal 3 2 2 2 2 2 20 2 2 10" xfId="29306"/>
    <cellStyle name="Normal 3 2 2 2 2 2 20 2 2 11" xfId="29307"/>
    <cellStyle name="Normal 3 2 2 2 2 2 20 2 2 11 2" xfId="29308"/>
    <cellStyle name="Normal 3 2 2 2 2 2 20 2 2 11 3" xfId="29309"/>
    <cellStyle name="Normal 3 2 2 2 2 2 20 2 2 11 4" xfId="29310"/>
    <cellStyle name="Normal 3 2 2 2 2 2 20 2 2 12" xfId="29311"/>
    <cellStyle name="Normal 3 2 2 2 2 2 20 2 2 13" xfId="29312"/>
    <cellStyle name="Normal 3 2 2 2 2 2 20 2 2 14" xfId="29313"/>
    <cellStyle name="Normal 3 2 2 2 2 2 20 2 2 2" xfId="29314"/>
    <cellStyle name="Normal 3 2 2 2 2 2 20 2 2 2 10" xfId="29315"/>
    <cellStyle name="Normal 3 2 2 2 2 2 20 2 2 2 11" xfId="29316"/>
    <cellStyle name="Normal 3 2 2 2 2 2 20 2 2 2 2" xfId="29317"/>
    <cellStyle name="Normal 3 2 2 2 2 2 20 2 2 2 2 10" xfId="29318"/>
    <cellStyle name="Normal 3 2 2 2 2 2 20 2 2 2 2 11" xfId="29319"/>
    <cellStyle name="Normal 3 2 2 2 2 2 20 2 2 2 2 2" xfId="29320"/>
    <cellStyle name="Normal 3 2 2 2 2 2 20 2 2 2 2 2 2" xfId="29321"/>
    <cellStyle name="Normal 3 2 2 2 2 2 20 2 2 2 2 2 2 2" xfId="29322"/>
    <cellStyle name="Normal 3 2 2 2 2 2 20 2 2 2 2 2 2 3" xfId="29323"/>
    <cellStyle name="Normal 3 2 2 2 2 2 20 2 2 2 2 2 2 4" xfId="29324"/>
    <cellStyle name="Normal 3 2 2 2 2 2 20 2 2 2 2 2 3" xfId="29325"/>
    <cellStyle name="Normal 3 2 2 2 2 2 20 2 2 2 2 2 4" xfId="29326"/>
    <cellStyle name="Normal 3 2 2 2 2 2 20 2 2 2 2 2 5" xfId="29327"/>
    <cellStyle name="Normal 3 2 2 2 2 2 20 2 2 2 2 2 6" xfId="29328"/>
    <cellStyle name="Normal 3 2 2 2 2 2 20 2 2 2 2 3" xfId="29329"/>
    <cellStyle name="Normal 3 2 2 2 2 2 20 2 2 2 2 4" xfId="29330"/>
    <cellStyle name="Normal 3 2 2 2 2 2 20 2 2 2 2 5" xfId="29331"/>
    <cellStyle name="Normal 3 2 2 2 2 2 20 2 2 2 2 6" xfId="29332"/>
    <cellStyle name="Normal 3 2 2 2 2 2 20 2 2 2 2 7" xfId="29333"/>
    <cellStyle name="Normal 3 2 2 2 2 2 20 2 2 2 2 8" xfId="29334"/>
    <cellStyle name="Normal 3 2 2 2 2 2 20 2 2 2 2 8 2" xfId="29335"/>
    <cellStyle name="Normal 3 2 2 2 2 2 20 2 2 2 2 8 3" xfId="29336"/>
    <cellStyle name="Normal 3 2 2 2 2 2 20 2 2 2 2 8 4" xfId="29337"/>
    <cellStyle name="Normal 3 2 2 2 2 2 20 2 2 2 2 9" xfId="29338"/>
    <cellStyle name="Normal 3 2 2 2 2 2 20 2 2 2 3" xfId="29339"/>
    <cellStyle name="Normal 3 2 2 2 2 2 20 2 2 2 3 2" xfId="29340"/>
    <cellStyle name="Normal 3 2 2 2 2 2 20 2 2 2 3 2 2" xfId="29341"/>
    <cellStyle name="Normal 3 2 2 2 2 2 20 2 2 2 3 2 3" xfId="29342"/>
    <cellStyle name="Normal 3 2 2 2 2 2 20 2 2 2 3 2 4" xfId="29343"/>
    <cellStyle name="Normal 3 2 2 2 2 2 20 2 2 2 3 3" xfId="29344"/>
    <cellStyle name="Normal 3 2 2 2 2 2 20 2 2 2 3 4" xfId="29345"/>
    <cellStyle name="Normal 3 2 2 2 2 2 20 2 2 2 3 5" xfId="29346"/>
    <cellStyle name="Normal 3 2 2 2 2 2 20 2 2 2 3 6" xfId="29347"/>
    <cellStyle name="Normal 3 2 2 2 2 2 20 2 2 2 4" xfId="29348"/>
    <cellStyle name="Normal 3 2 2 2 2 2 20 2 2 2 5" xfId="29349"/>
    <cellStyle name="Normal 3 2 2 2 2 2 20 2 2 2 6" xfId="29350"/>
    <cellStyle name="Normal 3 2 2 2 2 2 20 2 2 2 7" xfId="29351"/>
    <cellStyle name="Normal 3 2 2 2 2 2 20 2 2 2 8" xfId="29352"/>
    <cellStyle name="Normal 3 2 2 2 2 2 20 2 2 2 8 2" xfId="29353"/>
    <cellStyle name="Normal 3 2 2 2 2 2 20 2 2 2 8 3" xfId="29354"/>
    <cellStyle name="Normal 3 2 2 2 2 2 20 2 2 2 8 4" xfId="29355"/>
    <cellStyle name="Normal 3 2 2 2 2 2 20 2 2 2 9" xfId="29356"/>
    <cellStyle name="Normal 3 2 2 2 2 2 20 2 2 3" xfId="29357"/>
    <cellStyle name="Normal 3 2 2 2 2 2 20 2 2 4" xfId="29358"/>
    <cellStyle name="Normal 3 2 2 2 2 2 20 2 2 5" xfId="29359"/>
    <cellStyle name="Normal 3 2 2 2 2 2 20 2 2 5 2" xfId="29360"/>
    <cellStyle name="Normal 3 2 2 2 2 2 20 2 2 5 2 2" xfId="29361"/>
    <cellStyle name="Normal 3 2 2 2 2 2 20 2 2 5 2 3" xfId="29362"/>
    <cellStyle name="Normal 3 2 2 2 2 2 20 2 2 5 2 4" xfId="29363"/>
    <cellStyle name="Normal 3 2 2 2 2 2 20 2 2 5 3" xfId="29364"/>
    <cellStyle name="Normal 3 2 2 2 2 2 20 2 2 5 4" xfId="29365"/>
    <cellStyle name="Normal 3 2 2 2 2 2 20 2 2 5 5" xfId="29366"/>
    <cellStyle name="Normal 3 2 2 2 2 2 20 2 2 5 6" xfId="29367"/>
    <cellStyle name="Normal 3 2 2 2 2 2 20 2 2 6" xfId="29368"/>
    <cellStyle name="Normal 3 2 2 2 2 2 20 2 2 7" xfId="29369"/>
    <cellStyle name="Normal 3 2 2 2 2 2 20 2 2 8" xfId="29370"/>
    <cellStyle name="Normal 3 2 2 2 2 2 20 2 2 9" xfId="29371"/>
    <cellStyle name="Normal 3 2 2 2 2 2 20 2 3" xfId="29372"/>
    <cellStyle name="Normal 3 2 2 2 2 2 20 2 4" xfId="29373"/>
    <cellStyle name="Normal 3 2 2 2 2 2 20 2 5" xfId="29374"/>
    <cellStyle name="Normal 3 2 2 2 2 2 20 2 5 10" xfId="29375"/>
    <cellStyle name="Normal 3 2 2 2 2 2 20 2 5 11" xfId="29376"/>
    <cellStyle name="Normal 3 2 2 2 2 2 20 2 5 2" xfId="29377"/>
    <cellStyle name="Normal 3 2 2 2 2 2 20 2 5 2 10" xfId="29378"/>
    <cellStyle name="Normal 3 2 2 2 2 2 20 2 5 2 11" xfId="29379"/>
    <cellStyle name="Normal 3 2 2 2 2 2 20 2 5 2 2" xfId="29380"/>
    <cellStyle name="Normal 3 2 2 2 2 2 20 2 5 2 2 2" xfId="29381"/>
    <cellStyle name="Normal 3 2 2 2 2 2 20 2 5 2 2 2 2" xfId="29382"/>
    <cellStyle name="Normal 3 2 2 2 2 2 20 2 5 2 2 2 3" xfId="29383"/>
    <cellStyle name="Normal 3 2 2 2 2 2 20 2 5 2 2 2 4" xfId="29384"/>
    <cellStyle name="Normal 3 2 2 2 2 2 20 2 5 2 2 3" xfId="29385"/>
    <cellStyle name="Normal 3 2 2 2 2 2 20 2 5 2 2 4" xfId="29386"/>
    <cellStyle name="Normal 3 2 2 2 2 2 20 2 5 2 2 5" xfId="29387"/>
    <cellStyle name="Normal 3 2 2 2 2 2 20 2 5 2 2 6" xfId="29388"/>
    <cellStyle name="Normal 3 2 2 2 2 2 20 2 5 2 3" xfId="29389"/>
    <cellStyle name="Normal 3 2 2 2 2 2 20 2 5 2 4" xfId="29390"/>
    <cellStyle name="Normal 3 2 2 2 2 2 20 2 5 2 5" xfId="29391"/>
    <cellStyle name="Normal 3 2 2 2 2 2 20 2 5 2 6" xfId="29392"/>
    <cellStyle name="Normal 3 2 2 2 2 2 20 2 5 2 7" xfId="29393"/>
    <cellStyle name="Normal 3 2 2 2 2 2 20 2 5 2 8" xfId="29394"/>
    <cellStyle name="Normal 3 2 2 2 2 2 20 2 5 2 8 2" xfId="29395"/>
    <cellStyle name="Normal 3 2 2 2 2 2 20 2 5 2 8 3" xfId="29396"/>
    <cellStyle name="Normal 3 2 2 2 2 2 20 2 5 2 8 4" xfId="29397"/>
    <cellStyle name="Normal 3 2 2 2 2 2 20 2 5 2 9" xfId="29398"/>
    <cellStyle name="Normal 3 2 2 2 2 2 20 2 5 3" xfId="29399"/>
    <cellStyle name="Normal 3 2 2 2 2 2 20 2 5 3 2" xfId="29400"/>
    <cellStyle name="Normal 3 2 2 2 2 2 20 2 5 3 2 2" xfId="29401"/>
    <cellStyle name="Normal 3 2 2 2 2 2 20 2 5 3 2 3" xfId="29402"/>
    <cellStyle name="Normal 3 2 2 2 2 2 20 2 5 3 2 4" xfId="29403"/>
    <cellStyle name="Normal 3 2 2 2 2 2 20 2 5 3 3" xfId="29404"/>
    <cellStyle name="Normal 3 2 2 2 2 2 20 2 5 3 4" xfId="29405"/>
    <cellStyle name="Normal 3 2 2 2 2 2 20 2 5 3 5" xfId="29406"/>
    <cellStyle name="Normal 3 2 2 2 2 2 20 2 5 3 6" xfId="29407"/>
    <cellStyle name="Normal 3 2 2 2 2 2 20 2 5 4" xfId="29408"/>
    <cellStyle name="Normal 3 2 2 2 2 2 20 2 5 5" xfId="29409"/>
    <cellStyle name="Normal 3 2 2 2 2 2 20 2 5 6" xfId="29410"/>
    <cellStyle name="Normal 3 2 2 2 2 2 20 2 5 7" xfId="29411"/>
    <cellStyle name="Normal 3 2 2 2 2 2 20 2 5 8" xfId="29412"/>
    <cellStyle name="Normal 3 2 2 2 2 2 20 2 5 8 2" xfId="29413"/>
    <cellStyle name="Normal 3 2 2 2 2 2 20 2 5 8 3" xfId="29414"/>
    <cellStyle name="Normal 3 2 2 2 2 2 20 2 5 8 4" xfId="29415"/>
    <cellStyle name="Normal 3 2 2 2 2 2 20 2 5 9" xfId="29416"/>
    <cellStyle name="Normal 3 2 2 2 2 2 20 2 6" xfId="29417"/>
    <cellStyle name="Normal 3 2 2 2 2 2 20 2 7" xfId="29418"/>
    <cellStyle name="Normal 3 2 2 2 2 2 20 2 7 2" xfId="29419"/>
    <cellStyle name="Normal 3 2 2 2 2 2 20 2 7 2 2" xfId="29420"/>
    <cellStyle name="Normal 3 2 2 2 2 2 20 2 7 2 3" xfId="29421"/>
    <cellStyle name="Normal 3 2 2 2 2 2 20 2 7 2 4" xfId="29422"/>
    <cellStyle name="Normal 3 2 2 2 2 2 20 2 7 3" xfId="29423"/>
    <cellStyle name="Normal 3 2 2 2 2 2 20 2 7 4" xfId="29424"/>
    <cellStyle name="Normal 3 2 2 2 2 2 20 2 7 5" xfId="29425"/>
    <cellStyle name="Normal 3 2 2 2 2 2 20 2 7 6" xfId="29426"/>
    <cellStyle name="Normal 3 2 2 2 2 2 20 2 8" xfId="29427"/>
    <cellStyle name="Normal 3 2 2 2 2 2 20 2 9" xfId="29428"/>
    <cellStyle name="Normal 3 2 2 2 2 2 20 20" xfId="29429"/>
    <cellStyle name="Normal 3 2 2 2 2 2 20 21" xfId="29430"/>
    <cellStyle name="Normal 3 2 2 2 2 2 20 21 2" xfId="29431"/>
    <cellStyle name="Normal 3 2 2 2 2 2 20 21 3" xfId="29432"/>
    <cellStyle name="Normal 3 2 2 2 2 2 20 21 4" xfId="29433"/>
    <cellStyle name="Normal 3 2 2 2 2 2 20 22" xfId="29434"/>
    <cellStyle name="Normal 3 2 2 2 2 2 20 23" xfId="29435"/>
    <cellStyle name="Normal 3 2 2 2 2 2 20 24" xfId="29436"/>
    <cellStyle name="Normal 3 2 2 2 2 2 20 3" xfId="29437"/>
    <cellStyle name="Normal 3 2 2 2 2 2 20 4" xfId="29438"/>
    <cellStyle name="Normal 3 2 2 2 2 2 20 5" xfId="29439"/>
    <cellStyle name="Normal 3 2 2 2 2 2 20 6" xfId="29440"/>
    <cellStyle name="Normal 3 2 2 2 2 2 20 7" xfId="29441"/>
    <cellStyle name="Normal 3 2 2 2 2 2 20 8" xfId="29442"/>
    <cellStyle name="Normal 3 2 2 2 2 2 20 9" xfId="29443"/>
    <cellStyle name="Normal 3 2 2 2 2 2 21" xfId="29444"/>
    <cellStyle name="Normal 3 2 2 2 2 2 21 10" xfId="29445"/>
    <cellStyle name="Normal 3 2 2 2 2 2 21 11" xfId="29446"/>
    <cellStyle name="Normal 3 2 2 2 2 2 21 12" xfId="29447"/>
    <cellStyle name="Normal 3 2 2 2 2 2 21 13" xfId="29448"/>
    <cellStyle name="Normal 3 2 2 2 2 2 21 13 2" xfId="29449"/>
    <cellStyle name="Normal 3 2 2 2 2 2 21 13 3" xfId="29450"/>
    <cellStyle name="Normal 3 2 2 2 2 2 21 13 4" xfId="29451"/>
    <cellStyle name="Normal 3 2 2 2 2 2 21 14" xfId="29452"/>
    <cellStyle name="Normal 3 2 2 2 2 2 21 15" xfId="29453"/>
    <cellStyle name="Normal 3 2 2 2 2 2 21 16" xfId="29454"/>
    <cellStyle name="Normal 3 2 2 2 2 2 21 2" xfId="29455"/>
    <cellStyle name="Normal 3 2 2 2 2 2 21 2 10" xfId="29456"/>
    <cellStyle name="Normal 3 2 2 2 2 2 21 2 11" xfId="29457"/>
    <cellStyle name="Normal 3 2 2 2 2 2 21 2 11 2" xfId="29458"/>
    <cellStyle name="Normal 3 2 2 2 2 2 21 2 11 3" xfId="29459"/>
    <cellStyle name="Normal 3 2 2 2 2 2 21 2 11 4" xfId="29460"/>
    <cellStyle name="Normal 3 2 2 2 2 2 21 2 12" xfId="29461"/>
    <cellStyle name="Normal 3 2 2 2 2 2 21 2 13" xfId="29462"/>
    <cellStyle name="Normal 3 2 2 2 2 2 21 2 14" xfId="29463"/>
    <cellStyle name="Normal 3 2 2 2 2 2 21 2 2" xfId="29464"/>
    <cellStyle name="Normal 3 2 2 2 2 2 21 2 2 10" xfId="29465"/>
    <cellStyle name="Normal 3 2 2 2 2 2 21 2 2 11" xfId="29466"/>
    <cellStyle name="Normal 3 2 2 2 2 2 21 2 2 2" xfId="29467"/>
    <cellStyle name="Normal 3 2 2 2 2 2 21 2 2 2 10" xfId="29468"/>
    <cellStyle name="Normal 3 2 2 2 2 2 21 2 2 2 11" xfId="29469"/>
    <cellStyle name="Normal 3 2 2 2 2 2 21 2 2 2 2" xfId="29470"/>
    <cellStyle name="Normal 3 2 2 2 2 2 21 2 2 2 2 2" xfId="29471"/>
    <cellStyle name="Normal 3 2 2 2 2 2 21 2 2 2 2 2 2" xfId="29472"/>
    <cellStyle name="Normal 3 2 2 2 2 2 21 2 2 2 2 2 3" xfId="29473"/>
    <cellStyle name="Normal 3 2 2 2 2 2 21 2 2 2 2 2 4" xfId="29474"/>
    <cellStyle name="Normal 3 2 2 2 2 2 21 2 2 2 2 3" xfId="29475"/>
    <cellStyle name="Normal 3 2 2 2 2 2 21 2 2 2 2 4" xfId="29476"/>
    <cellStyle name="Normal 3 2 2 2 2 2 21 2 2 2 2 5" xfId="29477"/>
    <cellStyle name="Normal 3 2 2 2 2 2 21 2 2 2 2 6" xfId="29478"/>
    <cellStyle name="Normal 3 2 2 2 2 2 21 2 2 2 3" xfId="29479"/>
    <cellStyle name="Normal 3 2 2 2 2 2 21 2 2 2 4" xfId="29480"/>
    <cellStyle name="Normal 3 2 2 2 2 2 21 2 2 2 5" xfId="29481"/>
    <cellStyle name="Normal 3 2 2 2 2 2 21 2 2 2 6" xfId="29482"/>
    <cellStyle name="Normal 3 2 2 2 2 2 21 2 2 2 7" xfId="29483"/>
    <cellStyle name="Normal 3 2 2 2 2 2 21 2 2 2 8" xfId="29484"/>
    <cellStyle name="Normal 3 2 2 2 2 2 21 2 2 2 8 2" xfId="29485"/>
    <cellStyle name="Normal 3 2 2 2 2 2 21 2 2 2 8 3" xfId="29486"/>
    <cellStyle name="Normal 3 2 2 2 2 2 21 2 2 2 8 4" xfId="29487"/>
    <cellStyle name="Normal 3 2 2 2 2 2 21 2 2 2 9" xfId="29488"/>
    <cellStyle name="Normal 3 2 2 2 2 2 21 2 2 3" xfId="29489"/>
    <cellStyle name="Normal 3 2 2 2 2 2 21 2 2 3 2" xfId="29490"/>
    <cellStyle name="Normal 3 2 2 2 2 2 21 2 2 3 2 2" xfId="29491"/>
    <cellStyle name="Normal 3 2 2 2 2 2 21 2 2 3 2 3" xfId="29492"/>
    <cellStyle name="Normal 3 2 2 2 2 2 21 2 2 3 2 4" xfId="29493"/>
    <cellStyle name="Normal 3 2 2 2 2 2 21 2 2 3 3" xfId="29494"/>
    <cellStyle name="Normal 3 2 2 2 2 2 21 2 2 3 4" xfId="29495"/>
    <cellStyle name="Normal 3 2 2 2 2 2 21 2 2 3 5" xfId="29496"/>
    <cellStyle name="Normal 3 2 2 2 2 2 21 2 2 3 6" xfId="29497"/>
    <cellStyle name="Normal 3 2 2 2 2 2 21 2 2 4" xfId="29498"/>
    <cellStyle name="Normal 3 2 2 2 2 2 21 2 2 5" xfId="29499"/>
    <cellStyle name="Normal 3 2 2 2 2 2 21 2 2 6" xfId="29500"/>
    <cellStyle name="Normal 3 2 2 2 2 2 21 2 2 7" xfId="29501"/>
    <cellStyle name="Normal 3 2 2 2 2 2 21 2 2 8" xfId="29502"/>
    <cellStyle name="Normal 3 2 2 2 2 2 21 2 2 8 2" xfId="29503"/>
    <cellStyle name="Normal 3 2 2 2 2 2 21 2 2 8 3" xfId="29504"/>
    <cellStyle name="Normal 3 2 2 2 2 2 21 2 2 8 4" xfId="29505"/>
    <cellStyle name="Normal 3 2 2 2 2 2 21 2 2 9" xfId="29506"/>
    <cellStyle name="Normal 3 2 2 2 2 2 21 2 3" xfId="29507"/>
    <cellStyle name="Normal 3 2 2 2 2 2 21 2 4" xfId="29508"/>
    <cellStyle name="Normal 3 2 2 2 2 2 21 2 5" xfId="29509"/>
    <cellStyle name="Normal 3 2 2 2 2 2 21 2 5 2" xfId="29510"/>
    <cellStyle name="Normal 3 2 2 2 2 2 21 2 5 2 2" xfId="29511"/>
    <cellStyle name="Normal 3 2 2 2 2 2 21 2 5 2 3" xfId="29512"/>
    <cellStyle name="Normal 3 2 2 2 2 2 21 2 5 2 4" xfId="29513"/>
    <cellStyle name="Normal 3 2 2 2 2 2 21 2 5 3" xfId="29514"/>
    <cellStyle name="Normal 3 2 2 2 2 2 21 2 5 4" xfId="29515"/>
    <cellStyle name="Normal 3 2 2 2 2 2 21 2 5 5" xfId="29516"/>
    <cellStyle name="Normal 3 2 2 2 2 2 21 2 5 6" xfId="29517"/>
    <cellStyle name="Normal 3 2 2 2 2 2 21 2 6" xfId="29518"/>
    <cellStyle name="Normal 3 2 2 2 2 2 21 2 7" xfId="29519"/>
    <cellStyle name="Normal 3 2 2 2 2 2 21 2 8" xfId="29520"/>
    <cellStyle name="Normal 3 2 2 2 2 2 21 2 9" xfId="29521"/>
    <cellStyle name="Normal 3 2 2 2 2 2 21 3" xfId="29522"/>
    <cellStyle name="Normal 3 2 2 2 2 2 21 4" xfId="29523"/>
    <cellStyle name="Normal 3 2 2 2 2 2 21 5" xfId="29524"/>
    <cellStyle name="Normal 3 2 2 2 2 2 21 5 10" xfId="29525"/>
    <cellStyle name="Normal 3 2 2 2 2 2 21 5 11" xfId="29526"/>
    <cellStyle name="Normal 3 2 2 2 2 2 21 5 2" xfId="29527"/>
    <cellStyle name="Normal 3 2 2 2 2 2 21 5 2 10" xfId="29528"/>
    <cellStyle name="Normal 3 2 2 2 2 2 21 5 2 11" xfId="29529"/>
    <cellStyle name="Normal 3 2 2 2 2 2 21 5 2 2" xfId="29530"/>
    <cellStyle name="Normal 3 2 2 2 2 2 21 5 2 2 2" xfId="29531"/>
    <cellStyle name="Normal 3 2 2 2 2 2 21 5 2 2 2 2" xfId="29532"/>
    <cellStyle name="Normal 3 2 2 2 2 2 21 5 2 2 2 3" xfId="29533"/>
    <cellStyle name="Normal 3 2 2 2 2 2 21 5 2 2 2 4" xfId="29534"/>
    <cellStyle name="Normal 3 2 2 2 2 2 21 5 2 2 3" xfId="29535"/>
    <cellStyle name="Normal 3 2 2 2 2 2 21 5 2 2 4" xfId="29536"/>
    <cellStyle name="Normal 3 2 2 2 2 2 21 5 2 2 5" xfId="29537"/>
    <cellStyle name="Normal 3 2 2 2 2 2 21 5 2 2 6" xfId="29538"/>
    <cellStyle name="Normal 3 2 2 2 2 2 21 5 2 3" xfId="29539"/>
    <cellStyle name="Normal 3 2 2 2 2 2 21 5 2 4" xfId="29540"/>
    <cellStyle name="Normal 3 2 2 2 2 2 21 5 2 5" xfId="29541"/>
    <cellStyle name="Normal 3 2 2 2 2 2 21 5 2 6" xfId="29542"/>
    <cellStyle name="Normal 3 2 2 2 2 2 21 5 2 7" xfId="29543"/>
    <cellStyle name="Normal 3 2 2 2 2 2 21 5 2 8" xfId="29544"/>
    <cellStyle name="Normal 3 2 2 2 2 2 21 5 2 8 2" xfId="29545"/>
    <cellStyle name="Normal 3 2 2 2 2 2 21 5 2 8 3" xfId="29546"/>
    <cellStyle name="Normal 3 2 2 2 2 2 21 5 2 8 4" xfId="29547"/>
    <cellStyle name="Normal 3 2 2 2 2 2 21 5 2 9" xfId="29548"/>
    <cellStyle name="Normal 3 2 2 2 2 2 21 5 3" xfId="29549"/>
    <cellStyle name="Normal 3 2 2 2 2 2 21 5 3 2" xfId="29550"/>
    <cellStyle name="Normal 3 2 2 2 2 2 21 5 3 2 2" xfId="29551"/>
    <cellStyle name="Normal 3 2 2 2 2 2 21 5 3 2 3" xfId="29552"/>
    <cellStyle name="Normal 3 2 2 2 2 2 21 5 3 2 4" xfId="29553"/>
    <cellStyle name="Normal 3 2 2 2 2 2 21 5 3 3" xfId="29554"/>
    <cellStyle name="Normal 3 2 2 2 2 2 21 5 3 4" xfId="29555"/>
    <cellStyle name="Normal 3 2 2 2 2 2 21 5 3 5" xfId="29556"/>
    <cellStyle name="Normal 3 2 2 2 2 2 21 5 3 6" xfId="29557"/>
    <cellStyle name="Normal 3 2 2 2 2 2 21 5 4" xfId="29558"/>
    <cellStyle name="Normal 3 2 2 2 2 2 21 5 5" xfId="29559"/>
    <cellStyle name="Normal 3 2 2 2 2 2 21 5 6" xfId="29560"/>
    <cellStyle name="Normal 3 2 2 2 2 2 21 5 7" xfId="29561"/>
    <cellStyle name="Normal 3 2 2 2 2 2 21 5 8" xfId="29562"/>
    <cellStyle name="Normal 3 2 2 2 2 2 21 5 8 2" xfId="29563"/>
    <cellStyle name="Normal 3 2 2 2 2 2 21 5 8 3" xfId="29564"/>
    <cellStyle name="Normal 3 2 2 2 2 2 21 5 8 4" xfId="29565"/>
    <cellStyle name="Normal 3 2 2 2 2 2 21 5 9" xfId="29566"/>
    <cellStyle name="Normal 3 2 2 2 2 2 21 6" xfId="29567"/>
    <cellStyle name="Normal 3 2 2 2 2 2 21 7" xfId="29568"/>
    <cellStyle name="Normal 3 2 2 2 2 2 21 7 2" xfId="29569"/>
    <cellStyle name="Normal 3 2 2 2 2 2 21 7 2 2" xfId="29570"/>
    <cellStyle name="Normal 3 2 2 2 2 2 21 7 2 3" xfId="29571"/>
    <cellStyle name="Normal 3 2 2 2 2 2 21 7 2 4" xfId="29572"/>
    <cellStyle name="Normal 3 2 2 2 2 2 21 7 3" xfId="29573"/>
    <cellStyle name="Normal 3 2 2 2 2 2 21 7 4" xfId="29574"/>
    <cellStyle name="Normal 3 2 2 2 2 2 21 7 5" xfId="29575"/>
    <cellStyle name="Normal 3 2 2 2 2 2 21 7 6" xfId="29576"/>
    <cellStyle name="Normal 3 2 2 2 2 2 21 8" xfId="29577"/>
    <cellStyle name="Normal 3 2 2 2 2 2 21 9" xfId="29578"/>
    <cellStyle name="Normal 3 2 2 2 2 2 22" xfId="29579"/>
    <cellStyle name="Normal 3 2 2 2 2 2 23" xfId="29580"/>
    <cellStyle name="Normal 3 2 2 2 2 2 24" xfId="29581"/>
    <cellStyle name="Normal 3 2 2 2 2 2 25" xfId="29582"/>
    <cellStyle name="Normal 3 2 2 2 2 2 26" xfId="29583"/>
    <cellStyle name="Normal 3 2 2 2 2 2 27" xfId="29584"/>
    <cellStyle name="Normal 3 2 2 2 2 2 28" xfId="29585"/>
    <cellStyle name="Normal 3 2 2 2 2 2 29" xfId="29586"/>
    <cellStyle name="Normal 3 2 2 2 2 2 29 10" xfId="29587"/>
    <cellStyle name="Normal 3 2 2 2 2 2 29 11" xfId="29588"/>
    <cellStyle name="Normal 3 2 2 2 2 2 29 11 2" xfId="29589"/>
    <cellStyle name="Normal 3 2 2 2 2 2 29 11 3" xfId="29590"/>
    <cellStyle name="Normal 3 2 2 2 2 2 29 11 4" xfId="29591"/>
    <cellStyle name="Normal 3 2 2 2 2 2 29 12" xfId="29592"/>
    <cellStyle name="Normal 3 2 2 2 2 2 29 13" xfId="29593"/>
    <cellStyle name="Normal 3 2 2 2 2 2 29 14" xfId="29594"/>
    <cellStyle name="Normal 3 2 2 2 2 2 29 2" xfId="29595"/>
    <cellStyle name="Normal 3 2 2 2 2 2 29 2 10" xfId="29596"/>
    <cellStyle name="Normal 3 2 2 2 2 2 29 2 11" xfId="29597"/>
    <cellStyle name="Normal 3 2 2 2 2 2 29 2 2" xfId="29598"/>
    <cellStyle name="Normal 3 2 2 2 2 2 29 2 2 10" xfId="29599"/>
    <cellStyle name="Normal 3 2 2 2 2 2 29 2 2 11" xfId="29600"/>
    <cellStyle name="Normal 3 2 2 2 2 2 29 2 2 2" xfId="29601"/>
    <cellStyle name="Normal 3 2 2 2 2 2 29 2 2 2 2" xfId="29602"/>
    <cellStyle name="Normal 3 2 2 2 2 2 29 2 2 2 2 2" xfId="29603"/>
    <cellStyle name="Normal 3 2 2 2 2 2 29 2 2 2 2 3" xfId="29604"/>
    <cellStyle name="Normal 3 2 2 2 2 2 29 2 2 2 2 4" xfId="29605"/>
    <cellStyle name="Normal 3 2 2 2 2 2 29 2 2 2 3" xfId="29606"/>
    <cellStyle name="Normal 3 2 2 2 2 2 29 2 2 2 4" xfId="29607"/>
    <cellStyle name="Normal 3 2 2 2 2 2 29 2 2 2 5" xfId="29608"/>
    <cellStyle name="Normal 3 2 2 2 2 2 29 2 2 2 6" xfId="29609"/>
    <cellStyle name="Normal 3 2 2 2 2 2 29 2 2 3" xfId="29610"/>
    <cellStyle name="Normal 3 2 2 2 2 2 29 2 2 4" xfId="29611"/>
    <cellStyle name="Normal 3 2 2 2 2 2 29 2 2 5" xfId="29612"/>
    <cellStyle name="Normal 3 2 2 2 2 2 29 2 2 6" xfId="29613"/>
    <cellStyle name="Normal 3 2 2 2 2 2 29 2 2 7" xfId="29614"/>
    <cellStyle name="Normal 3 2 2 2 2 2 29 2 2 8" xfId="29615"/>
    <cellStyle name="Normal 3 2 2 2 2 2 29 2 2 8 2" xfId="29616"/>
    <cellStyle name="Normal 3 2 2 2 2 2 29 2 2 8 3" xfId="29617"/>
    <cellStyle name="Normal 3 2 2 2 2 2 29 2 2 8 4" xfId="29618"/>
    <cellStyle name="Normal 3 2 2 2 2 2 29 2 2 9" xfId="29619"/>
    <cellStyle name="Normal 3 2 2 2 2 2 29 2 3" xfId="29620"/>
    <cellStyle name="Normal 3 2 2 2 2 2 29 2 3 2" xfId="29621"/>
    <cellStyle name="Normal 3 2 2 2 2 2 29 2 3 2 2" xfId="29622"/>
    <cellStyle name="Normal 3 2 2 2 2 2 29 2 3 2 3" xfId="29623"/>
    <cellStyle name="Normal 3 2 2 2 2 2 29 2 3 2 4" xfId="29624"/>
    <cellStyle name="Normal 3 2 2 2 2 2 29 2 3 3" xfId="29625"/>
    <cellStyle name="Normal 3 2 2 2 2 2 29 2 3 4" xfId="29626"/>
    <cellStyle name="Normal 3 2 2 2 2 2 29 2 3 5" xfId="29627"/>
    <cellStyle name="Normal 3 2 2 2 2 2 29 2 3 6" xfId="29628"/>
    <cellStyle name="Normal 3 2 2 2 2 2 29 2 4" xfId="29629"/>
    <cellStyle name="Normal 3 2 2 2 2 2 29 2 5" xfId="29630"/>
    <cellStyle name="Normal 3 2 2 2 2 2 29 2 6" xfId="29631"/>
    <cellStyle name="Normal 3 2 2 2 2 2 29 2 7" xfId="29632"/>
    <cellStyle name="Normal 3 2 2 2 2 2 29 2 8" xfId="29633"/>
    <cellStyle name="Normal 3 2 2 2 2 2 29 2 8 2" xfId="29634"/>
    <cellStyle name="Normal 3 2 2 2 2 2 29 2 8 3" xfId="29635"/>
    <cellStyle name="Normal 3 2 2 2 2 2 29 2 8 4" xfId="29636"/>
    <cellStyle name="Normal 3 2 2 2 2 2 29 2 9" xfId="29637"/>
    <cellStyle name="Normal 3 2 2 2 2 2 29 3" xfId="29638"/>
    <cellStyle name="Normal 3 2 2 2 2 2 29 4" xfId="29639"/>
    <cellStyle name="Normal 3 2 2 2 2 2 29 5" xfId="29640"/>
    <cellStyle name="Normal 3 2 2 2 2 2 29 5 2" xfId="29641"/>
    <cellStyle name="Normal 3 2 2 2 2 2 29 5 2 2" xfId="29642"/>
    <cellStyle name="Normal 3 2 2 2 2 2 29 5 2 3" xfId="29643"/>
    <cellStyle name="Normal 3 2 2 2 2 2 29 5 2 4" xfId="29644"/>
    <cellStyle name="Normal 3 2 2 2 2 2 29 5 3" xfId="29645"/>
    <cellStyle name="Normal 3 2 2 2 2 2 29 5 4" xfId="29646"/>
    <cellStyle name="Normal 3 2 2 2 2 2 29 5 5" xfId="29647"/>
    <cellStyle name="Normal 3 2 2 2 2 2 29 5 6" xfId="29648"/>
    <cellStyle name="Normal 3 2 2 2 2 2 29 6" xfId="29649"/>
    <cellStyle name="Normal 3 2 2 2 2 2 29 7" xfId="29650"/>
    <cellStyle name="Normal 3 2 2 2 2 2 29 8" xfId="29651"/>
    <cellStyle name="Normal 3 2 2 2 2 2 29 9" xfId="29652"/>
    <cellStyle name="Normal 3 2 2 2 2 2 3" xfId="29653"/>
    <cellStyle name="Normal 3 2 2 2 2 2 3 10" xfId="29654"/>
    <cellStyle name="Normal 3 2 2 2 2 2 3 11" xfId="29655"/>
    <cellStyle name="Normal 3 2 2 2 2 2 3 2" xfId="29656"/>
    <cellStyle name="Normal 3 2 2 2 2 2 3 2 2" xfId="29657"/>
    <cellStyle name="Normal 3 2 2 2 2 2 3 2 3" xfId="29658"/>
    <cellStyle name="Normal 3 2 2 2 2 2 3 2 4" xfId="29659"/>
    <cellStyle name="Normal 3 2 2 2 2 2 3 2 5" xfId="29660"/>
    <cellStyle name="Normal 3 2 2 2 2 2 3 2 6" xfId="29661"/>
    <cellStyle name="Normal 3 2 2 2 2 2 3 3" xfId="29662"/>
    <cellStyle name="Normal 3 2 2 2 2 2 3 3 2" xfId="29663"/>
    <cellStyle name="Normal 3 2 2 2 2 2 3 3 3" xfId="29664"/>
    <cellStyle name="Normal 3 2 2 2 2 2 3 3 4" xfId="29665"/>
    <cellStyle name="Normal 3 2 2 2 2 2 3 3 5" xfId="29666"/>
    <cellStyle name="Normal 3 2 2 2 2 2 3 3 6" xfId="29667"/>
    <cellStyle name="Normal 3 2 2 2 2 2 3 4" xfId="29668"/>
    <cellStyle name="Normal 3 2 2 2 2 2 3 4 2" xfId="29669"/>
    <cellStyle name="Normal 3 2 2 2 2 2 3 4 3" xfId="29670"/>
    <cellStyle name="Normal 3 2 2 2 2 2 3 4 4" xfId="29671"/>
    <cellStyle name="Normal 3 2 2 2 2 2 3 4 5" xfId="29672"/>
    <cellStyle name="Normal 3 2 2 2 2 2 3 4 6" xfId="29673"/>
    <cellStyle name="Normal 3 2 2 2 2 2 3 5" xfId="29674"/>
    <cellStyle name="Normal 3 2 2 2 2 2 3 5 2" xfId="29675"/>
    <cellStyle name="Normal 3 2 2 2 2 2 3 5 3" xfId="29676"/>
    <cellStyle name="Normal 3 2 2 2 2 2 3 5 4" xfId="29677"/>
    <cellStyle name="Normal 3 2 2 2 2 2 3 5 5" xfId="29678"/>
    <cellStyle name="Normal 3 2 2 2 2 2 3 5 6" xfId="29679"/>
    <cellStyle name="Normal 3 2 2 2 2 2 3 6" xfId="29680"/>
    <cellStyle name="Normal 3 2 2 2 2 2 3 6 2" xfId="29681"/>
    <cellStyle name="Normal 3 2 2 2 2 2 3 6 3" xfId="29682"/>
    <cellStyle name="Normal 3 2 2 2 2 2 3 6 4" xfId="29683"/>
    <cellStyle name="Normal 3 2 2 2 2 2 3 6 5" xfId="29684"/>
    <cellStyle name="Normal 3 2 2 2 2 2 3 6 6" xfId="29685"/>
    <cellStyle name="Normal 3 2 2 2 2 2 3 7" xfId="29686"/>
    <cellStyle name="Normal 3 2 2 2 2 2 3 8" xfId="29687"/>
    <cellStyle name="Normal 3 2 2 2 2 2 3 9" xfId="29688"/>
    <cellStyle name="Normal 3 2 2 2 2 2 30" xfId="29689"/>
    <cellStyle name="Normal 3 2 2 2 2 2 31" xfId="29690"/>
    <cellStyle name="Normal 3 2 2 2 2 2 31 10" xfId="29691"/>
    <cellStyle name="Normal 3 2 2 2 2 2 31 11" xfId="29692"/>
    <cellStyle name="Normal 3 2 2 2 2 2 31 2" xfId="29693"/>
    <cellStyle name="Normal 3 2 2 2 2 2 31 2 10" xfId="29694"/>
    <cellStyle name="Normal 3 2 2 2 2 2 31 2 11" xfId="29695"/>
    <cellStyle name="Normal 3 2 2 2 2 2 31 2 2" xfId="29696"/>
    <cellStyle name="Normal 3 2 2 2 2 2 31 2 2 2" xfId="29697"/>
    <cellStyle name="Normal 3 2 2 2 2 2 31 2 2 2 2" xfId="29698"/>
    <cellStyle name="Normal 3 2 2 2 2 2 31 2 2 2 3" xfId="29699"/>
    <cellStyle name="Normal 3 2 2 2 2 2 31 2 2 2 4" xfId="29700"/>
    <cellStyle name="Normal 3 2 2 2 2 2 31 2 2 3" xfId="29701"/>
    <cellStyle name="Normal 3 2 2 2 2 2 31 2 2 4" xfId="29702"/>
    <cellStyle name="Normal 3 2 2 2 2 2 31 2 2 5" xfId="29703"/>
    <cellStyle name="Normal 3 2 2 2 2 2 31 2 2 6" xfId="29704"/>
    <cellStyle name="Normal 3 2 2 2 2 2 31 2 3" xfId="29705"/>
    <cellStyle name="Normal 3 2 2 2 2 2 31 2 4" xfId="29706"/>
    <cellStyle name="Normal 3 2 2 2 2 2 31 2 5" xfId="29707"/>
    <cellStyle name="Normal 3 2 2 2 2 2 31 2 6" xfId="29708"/>
    <cellStyle name="Normal 3 2 2 2 2 2 31 2 7" xfId="29709"/>
    <cellStyle name="Normal 3 2 2 2 2 2 31 2 8" xfId="29710"/>
    <cellStyle name="Normal 3 2 2 2 2 2 31 2 8 2" xfId="29711"/>
    <cellStyle name="Normal 3 2 2 2 2 2 31 2 8 3" xfId="29712"/>
    <cellStyle name="Normal 3 2 2 2 2 2 31 2 8 4" xfId="29713"/>
    <cellStyle name="Normal 3 2 2 2 2 2 31 2 9" xfId="29714"/>
    <cellStyle name="Normal 3 2 2 2 2 2 31 3" xfId="29715"/>
    <cellStyle name="Normal 3 2 2 2 2 2 31 3 2" xfId="29716"/>
    <cellStyle name="Normal 3 2 2 2 2 2 31 3 2 2" xfId="29717"/>
    <cellStyle name="Normal 3 2 2 2 2 2 31 3 2 3" xfId="29718"/>
    <cellStyle name="Normal 3 2 2 2 2 2 31 3 2 4" xfId="29719"/>
    <cellStyle name="Normal 3 2 2 2 2 2 31 3 3" xfId="29720"/>
    <cellStyle name="Normal 3 2 2 2 2 2 31 3 4" xfId="29721"/>
    <cellStyle name="Normal 3 2 2 2 2 2 31 3 5" xfId="29722"/>
    <cellStyle name="Normal 3 2 2 2 2 2 31 3 6" xfId="29723"/>
    <cellStyle name="Normal 3 2 2 2 2 2 31 4" xfId="29724"/>
    <cellStyle name="Normal 3 2 2 2 2 2 31 5" xfId="29725"/>
    <cellStyle name="Normal 3 2 2 2 2 2 31 6" xfId="29726"/>
    <cellStyle name="Normal 3 2 2 2 2 2 31 7" xfId="29727"/>
    <cellStyle name="Normal 3 2 2 2 2 2 31 8" xfId="29728"/>
    <cellStyle name="Normal 3 2 2 2 2 2 31 8 2" xfId="29729"/>
    <cellStyle name="Normal 3 2 2 2 2 2 31 8 3" xfId="29730"/>
    <cellStyle name="Normal 3 2 2 2 2 2 31 8 4" xfId="29731"/>
    <cellStyle name="Normal 3 2 2 2 2 2 31 9" xfId="29732"/>
    <cellStyle name="Normal 3 2 2 2 2 2 32" xfId="29733"/>
    <cellStyle name="Normal 3 2 2 2 2 2 33" xfId="29734"/>
    <cellStyle name="Normal 3 2 2 2 2 2 33 2" xfId="29735"/>
    <cellStyle name="Normal 3 2 2 2 2 2 33 2 2" xfId="29736"/>
    <cellStyle name="Normal 3 2 2 2 2 2 33 2 3" xfId="29737"/>
    <cellStyle name="Normal 3 2 2 2 2 2 33 2 4" xfId="29738"/>
    <cellStyle name="Normal 3 2 2 2 2 2 33 3" xfId="29739"/>
    <cellStyle name="Normal 3 2 2 2 2 2 33 4" xfId="29740"/>
    <cellStyle name="Normal 3 2 2 2 2 2 33 5" xfId="29741"/>
    <cellStyle name="Normal 3 2 2 2 2 2 33 6" xfId="29742"/>
    <cellStyle name="Normal 3 2 2 2 2 2 34" xfId="29743"/>
    <cellStyle name="Normal 3 2 2 2 2 2 35" xfId="29744"/>
    <cellStyle name="Normal 3 2 2 2 2 2 36" xfId="29745"/>
    <cellStyle name="Normal 3 2 2 2 2 2 37" xfId="29746"/>
    <cellStyle name="Normal 3 2 2 2 2 2 38" xfId="29747"/>
    <cellStyle name="Normal 3 2 2 2 2 2 39" xfId="29748"/>
    <cellStyle name="Normal 3 2 2 2 2 2 39 2" xfId="29749"/>
    <cellStyle name="Normal 3 2 2 2 2 2 39 3" xfId="29750"/>
    <cellStyle name="Normal 3 2 2 2 2 2 39 4" xfId="29751"/>
    <cellStyle name="Normal 3 2 2 2 2 2 4" xfId="29752"/>
    <cellStyle name="Normal 3 2 2 2 2 2 4 10" xfId="29753"/>
    <cellStyle name="Normal 3 2 2 2 2 2 4 11" xfId="29754"/>
    <cellStyle name="Normal 3 2 2 2 2 2 4 2" xfId="29755"/>
    <cellStyle name="Normal 3 2 2 2 2 2 4 2 2" xfId="29756"/>
    <cellStyle name="Normal 3 2 2 2 2 2 4 2 3" xfId="29757"/>
    <cellStyle name="Normal 3 2 2 2 2 2 4 2 4" xfId="29758"/>
    <cellStyle name="Normal 3 2 2 2 2 2 4 2 5" xfId="29759"/>
    <cellStyle name="Normal 3 2 2 2 2 2 4 2 6" xfId="29760"/>
    <cellStyle name="Normal 3 2 2 2 2 2 4 3" xfId="29761"/>
    <cellStyle name="Normal 3 2 2 2 2 2 4 3 2" xfId="29762"/>
    <cellStyle name="Normal 3 2 2 2 2 2 4 3 3" xfId="29763"/>
    <cellStyle name="Normal 3 2 2 2 2 2 4 3 4" xfId="29764"/>
    <cellStyle name="Normal 3 2 2 2 2 2 4 3 5" xfId="29765"/>
    <cellStyle name="Normal 3 2 2 2 2 2 4 3 6" xfId="29766"/>
    <cellStyle name="Normal 3 2 2 2 2 2 4 4" xfId="29767"/>
    <cellStyle name="Normal 3 2 2 2 2 2 4 4 2" xfId="29768"/>
    <cellStyle name="Normal 3 2 2 2 2 2 4 4 3" xfId="29769"/>
    <cellStyle name="Normal 3 2 2 2 2 2 4 4 4" xfId="29770"/>
    <cellStyle name="Normal 3 2 2 2 2 2 4 4 5" xfId="29771"/>
    <cellStyle name="Normal 3 2 2 2 2 2 4 4 6" xfId="29772"/>
    <cellStyle name="Normal 3 2 2 2 2 2 4 5" xfId="29773"/>
    <cellStyle name="Normal 3 2 2 2 2 2 4 5 2" xfId="29774"/>
    <cellStyle name="Normal 3 2 2 2 2 2 4 5 3" xfId="29775"/>
    <cellStyle name="Normal 3 2 2 2 2 2 4 5 4" xfId="29776"/>
    <cellStyle name="Normal 3 2 2 2 2 2 4 5 5" xfId="29777"/>
    <cellStyle name="Normal 3 2 2 2 2 2 4 5 6" xfId="29778"/>
    <cellStyle name="Normal 3 2 2 2 2 2 4 6" xfId="29779"/>
    <cellStyle name="Normal 3 2 2 2 2 2 4 6 2" xfId="29780"/>
    <cellStyle name="Normal 3 2 2 2 2 2 4 6 3" xfId="29781"/>
    <cellStyle name="Normal 3 2 2 2 2 2 4 6 4" xfId="29782"/>
    <cellStyle name="Normal 3 2 2 2 2 2 4 6 5" xfId="29783"/>
    <cellStyle name="Normal 3 2 2 2 2 2 4 6 6" xfId="29784"/>
    <cellStyle name="Normal 3 2 2 2 2 2 4 7" xfId="29785"/>
    <cellStyle name="Normal 3 2 2 2 2 2 4 8" xfId="29786"/>
    <cellStyle name="Normal 3 2 2 2 2 2 4 9" xfId="29787"/>
    <cellStyle name="Normal 3 2 2 2 2 2 40" xfId="29788"/>
    <cellStyle name="Normal 3 2 2 2 2 2 41" xfId="29789"/>
    <cellStyle name="Normal 3 2 2 2 2 2 42" xfId="29790"/>
    <cellStyle name="Normal 3 2 2 2 2 2 43" xfId="29791"/>
    <cellStyle name="Normal 3 2 2 2 2 2 44" xfId="29792"/>
    <cellStyle name="Normal 3 2 2 2 2 2 45" xfId="29793"/>
    <cellStyle name="Normal 3 2 2 2 2 2 46" xfId="29794"/>
    <cellStyle name="Normal 3 2 2 2 2 2 47" xfId="29795"/>
    <cellStyle name="Normal 3 2 2 2 2 2 48" xfId="29796"/>
    <cellStyle name="Normal 3 2 2 2 2 2 49" xfId="29797"/>
    <cellStyle name="Normal 3 2 2 2 2 2 5" xfId="29798"/>
    <cellStyle name="Normal 3 2 2 2 2 2 5 10" xfId="29799"/>
    <cellStyle name="Normal 3 2 2 2 2 2 5 11" xfId="29800"/>
    <cellStyle name="Normal 3 2 2 2 2 2 5 2" xfId="29801"/>
    <cellStyle name="Normal 3 2 2 2 2 2 5 2 2" xfId="29802"/>
    <cellStyle name="Normal 3 2 2 2 2 2 5 2 3" xfId="29803"/>
    <cellStyle name="Normal 3 2 2 2 2 2 5 2 4" xfId="29804"/>
    <cellStyle name="Normal 3 2 2 2 2 2 5 2 5" xfId="29805"/>
    <cellStyle name="Normal 3 2 2 2 2 2 5 2 6" xfId="29806"/>
    <cellStyle name="Normal 3 2 2 2 2 2 5 3" xfId="29807"/>
    <cellStyle name="Normal 3 2 2 2 2 2 5 3 2" xfId="29808"/>
    <cellStyle name="Normal 3 2 2 2 2 2 5 3 3" xfId="29809"/>
    <cellStyle name="Normal 3 2 2 2 2 2 5 3 4" xfId="29810"/>
    <cellStyle name="Normal 3 2 2 2 2 2 5 3 5" xfId="29811"/>
    <cellStyle name="Normal 3 2 2 2 2 2 5 3 6" xfId="29812"/>
    <cellStyle name="Normal 3 2 2 2 2 2 5 4" xfId="29813"/>
    <cellStyle name="Normal 3 2 2 2 2 2 5 4 2" xfId="29814"/>
    <cellStyle name="Normal 3 2 2 2 2 2 5 4 3" xfId="29815"/>
    <cellStyle name="Normal 3 2 2 2 2 2 5 4 4" xfId="29816"/>
    <cellStyle name="Normal 3 2 2 2 2 2 5 4 5" xfId="29817"/>
    <cellStyle name="Normal 3 2 2 2 2 2 5 4 6" xfId="29818"/>
    <cellStyle name="Normal 3 2 2 2 2 2 5 5" xfId="29819"/>
    <cellStyle name="Normal 3 2 2 2 2 2 5 5 2" xfId="29820"/>
    <cellStyle name="Normal 3 2 2 2 2 2 5 5 3" xfId="29821"/>
    <cellStyle name="Normal 3 2 2 2 2 2 5 5 4" xfId="29822"/>
    <cellStyle name="Normal 3 2 2 2 2 2 5 5 5" xfId="29823"/>
    <cellStyle name="Normal 3 2 2 2 2 2 5 5 6" xfId="29824"/>
    <cellStyle name="Normal 3 2 2 2 2 2 5 6" xfId="29825"/>
    <cellStyle name="Normal 3 2 2 2 2 2 5 6 2" xfId="29826"/>
    <cellStyle name="Normal 3 2 2 2 2 2 5 6 3" xfId="29827"/>
    <cellStyle name="Normal 3 2 2 2 2 2 5 6 4" xfId="29828"/>
    <cellStyle name="Normal 3 2 2 2 2 2 5 6 5" xfId="29829"/>
    <cellStyle name="Normal 3 2 2 2 2 2 5 6 6" xfId="29830"/>
    <cellStyle name="Normal 3 2 2 2 2 2 5 7" xfId="29831"/>
    <cellStyle name="Normal 3 2 2 2 2 2 5 8" xfId="29832"/>
    <cellStyle name="Normal 3 2 2 2 2 2 5 9" xfId="29833"/>
    <cellStyle name="Normal 3 2 2 2 2 2 50" xfId="29834"/>
    <cellStyle name="Normal 3 2 2 2 2 2 51" xfId="29835"/>
    <cellStyle name="Normal 3 2 2 2 2 2 52" xfId="29836"/>
    <cellStyle name="Normal 3 2 2 2 2 2 53" xfId="29837"/>
    <cellStyle name="Normal 3 2 2 2 2 2 54" xfId="29838"/>
    <cellStyle name="Normal 3 2 2 2 2 2 54 2" xfId="29839"/>
    <cellStyle name="Normal 3 2 2 2 2 2 54 3" xfId="29840"/>
    <cellStyle name="Normal 3 2 2 2 2 2 54 4" xfId="29841"/>
    <cellStyle name="Normal 3 2 2 2 2 2 54 5" xfId="29842"/>
    <cellStyle name="Normal 3 2 2 2 2 2 54 6" xfId="29843"/>
    <cellStyle name="Normal 3 2 2 2 2 2 54 7" xfId="29844"/>
    <cellStyle name="Normal 3 2 2 2 2 2 55" xfId="29845"/>
    <cellStyle name="Normal 3 2 2 2 2 2 56" xfId="29846"/>
    <cellStyle name="Normal 3 2 2 2 2 2 57" xfId="29847"/>
    <cellStyle name="Normal 3 2 2 2 2 2 58" xfId="29848"/>
    <cellStyle name="Normal 3 2 2 2 2 2 59" xfId="29849"/>
    <cellStyle name="Normal 3 2 2 2 2 2 6" xfId="29850"/>
    <cellStyle name="Normal 3 2 2 2 2 2 6 10" xfId="29851"/>
    <cellStyle name="Normal 3 2 2 2 2 2 6 11" xfId="29852"/>
    <cellStyle name="Normal 3 2 2 2 2 2 6 2" xfId="29853"/>
    <cellStyle name="Normal 3 2 2 2 2 2 6 2 2" xfId="29854"/>
    <cellStyle name="Normal 3 2 2 2 2 2 6 2 3" xfId="29855"/>
    <cellStyle name="Normal 3 2 2 2 2 2 6 2 4" xfId="29856"/>
    <cellStyle name="Normal 3 2 2 2 2 2 6 2 5" xfId="29857"/>
    <cellStyle name="Normal 3 2 2 2 2 2 6 2 6" xfId="29858"/>
    <cellStyle name="Normal 3 2 2 2 2 2 6 3" xfId="29859"/>
    <cellStyle name="Normal 3 2 2 2 2 2 6 3 2" xfId="29860"/>
    <cellStyle name="Normal 3 2 2 2 2 2 6 3 3" xfId="29861"/>
    <cellStyle name="Normal 3 2 2 2 2 2 6 3 4" xfId="29862"/>
    <cellStyle name="Normal 3 2 2 2 2 2 6 3 5" xfId="29863"/>
    <cellStyle name="Normal 3 2 2 2 2 2 6 3 6" xfId="29864"/>
    <cellStyle name="Normal 3 2 2 2 2 2 6 4" xfId="29865"/>
    <cellStyle name="Normal 3 2 2 2 2 2 6 4 2" xfId="29866"/>
    <cellStyle name="Normal 3 2 2 2 2 2 6 4 3" xfId="29867"/>
    <cellStyle name="Normal 3 2 2 2 2 2 6 4 4" xfId="29868"/>
    <cellStyle name="Normal 3 2 2 2 2 2 6 4 5" xfId="29869"/>
    <cellStyle name="Normal 3 2 2 2 2 2 6 4 6" xfId="29870"/>
    <cellStyle name="Normal 3 2 2 2 2 2 6 5" xfId="29871"/>
    <cellStyle name="Normal 3 2 2 2 2 2 6 5 2" xfId="29872"/>
    <cellStyle name="Normal 3 2 2 2 2 2 6 5 3" xfId="29873"/>
    <cellStyle name="Normal 3 2 2 2 2 2 6 5 4" xfId="29874"/>
    <cellStyle name="Normal 3 2 2 2 2 2 6 5 5" xfId="29875"/>
    <cellStyle name="Normal 3 2 2 2 2 2 6 5 6" xfId="29876"/>
    <cellStyle name="Normal 3 2 2 2 2 2 6 6" xfId="29877"/>
    <cellStyle name="Normal 3 2 2 2 2 2 6 6 2" xfId="29878"/>
    <cellStyle name="Normal 3 2 2 2 2 2 6 6 3" xfId="29879"/>
    <cellStyle name="Normal 3 2 2 2 2 2 6 6 4" xfId="29880"/>
    <cellStyle name="Normal 3 2 2 2 2 2 6 6 5" xfId="29881"/>
    <cellStyle name="Normal 3 2 2 2 2 2 6 6 6" xfId="29882"/>
    <cellStyle name="Normal 3 2 2 2 2 2 6 7" xfId="29883"/>
    <cellStyle name="Normal 3 2 2 2 2 2 6 8" xfId="29884"/>
    <cellStyle name="Normal 3 2 2 2 2 2 6 9" xfId="29885"/>
    <cellStyle name="Normal 3 2 2 2 2 2 60" xfId="29886"/>
    <cellStyle name="Normal 3 2 2 2 2 2 61" xfId="29887"/>
    <cellStyle name="Normal 3 2 2 2 2 2 62" xfId="29888"/>
    <cellStyle name="Normal 3 2 2 2 2 2 63" xfId="29889"/>
    <cellStyle name="Normal 3 2 2 2 2 2 64" xfId="29890"/>
    <cellStyle name="Normal 3 2 2 2 2 2 65" xfId="29891"/>
    <cellStyle name="Normal 3 2 2 2 2 2 66" xfId="29892"/>
    <cellStyle name="Normal 3 2 2 2 2 2 67" xfId="29893"/>
    <cellStyle name="Normal 3 2 2 2 2 2 68" xfId="29894"/>
    <cellStyle name="Normal 3 2 2 2 2 2 69" xfId="29895"/>
    <cellStyle name="Normal 3 2 2 2 2 2 7" xfId="29896"/>
    <cellStyle name="Normal 3 2 2 2 2 2 7 10" xfId="29897"/>
    <cellStyle name="Normal 3 2 2 2 2 2 7 11" xfId="29898"/>
    <cellStyle name="Normal 3 2 2 2 2 2 7 2" xfId="29899"/>
    <cellStyle name="Normal 3 2 2 2 2 2 7 2 2" xfId="29900"/>
    <cellStyle name="Normal 3 2 2 2 2 2 7 2 3" xfId="29901"/>
    <cellStyle name="Normal 3 2 2 2 2 2 7 2 4" xfId="29902"/>
    <cellStyle name="Normal 3 2 2 2 2 2 7 2 5" xfId="29903"/>
    <cellStyle name="Normal 3 2 2 2 2 2 7 2 6" xfId="29904"/>
    <cellStyle name="Normal 3 2 2 2 2 2 7 3" xfId="29905"/>
    <cellStyle name="Normal 3 2 2 2 2 2 7 3 2" xfId="29906"/>
    <cellStyle name="Normal 3 2 2 2 2 2 7 3 3" xfId="29907"/>
    <cellStyle name="Normal 3 2 2 2 2 2 7 3 4" xfId="29908"/>
    <cellStyle name="Normal 3 2 2 2 2 2 7 3 5" xfId="29909"/>
    <cellStyle name="Normal 3 2 2 2 2 2 7 3 6" xfId="29910"/>
    <cellStyle name="Normal 3 2 2 2 2 2 7 4" xfId="29911"/>
    <cellStyle name="Normal 3 2 2 2 2 2 7 4 2" xfId="29912"/>
    <cellStyle name="Normal 3 2 2 2 2 2 7 4 3" xfId="29913"/>
    <cellStyle name="Normal 3 2 2 2 2 2 7 4 4" xfId="29914"/>
    <cellStyle name="Normal 3 2 2 2 2 2 7 4 5" xfId="29915"/>
    <cellStyle name="Normal 3 2 2 2 2 2 7 4 6" xfId="29916"/>
    <cellStyle name="Normal 3 2 2 2 2 2 7 5" xfId="29917"/>
    <cellStyle name="Normal 3 2 2 2 2 2 7 5 2" xfId="29918"/>
    <cellStyle name="Normal 3 2 2 2 2 2 7 5 3" xfId="29919"/>
    <cellStyle name="Normal 3 2 2 2 2 2 7 5 4" xfId="29920"/>
    <cellStyle name="Normal 3 2 2 2 2 2 7 5 5" xfId="29921"/>
    <cellStyle name="Normal 3 2 2 2 2 2 7 5 6" xfId="29922"/>
    <cellStyle name="Normal 3 2 2 2 2 2 7 6" xfId="29923"/>
    <cellStyle name="Normal 3 2 2 2 2 2 7 6 2" xfId="29924"/>
    <cellStyle name="Normal 3 2 2 2 2 2 7 6 3" xfId="29925"/>
    <cellStyle name="Normal 3 2 2 2 2 2 7 6 4" xfId="29926"/>
    <cellStyle name="Normal 3 2 2 2 2 2 7 6 5" xfId="29927"/>
    <cellStyle name="Normal 3 2 2 2 2 2 7 6 6" xfId="29928"/>
    <cellStyle name="Normal 3 2 2 2 2 2 7 7" xfId="29929"/>
    <cellStyle name="Normal 3 2 2 2 2 2 7 8" xfId="29930"/>
    <cellStyle name="Normal 3 2 2 2 2 2 7 9" xfId="29931"/>
    <cellStyle name="Normal 3 2 2 2 2 2 70" xfId="29932"/>
    <cellStyle name="Normal 3 2 2 2 2 2 71" xfId="29933"/>
    <cellStyle name="Normal 3 2 2 2 2 2 72" xfId="29934"/>
    <cellStyle name="Normal 3 2 2 2 2 2 73" xfId="29935"/>
    <cellStyle name="Normal 3 2 2 2 2 2 74" xfId="29936"/>
    <cellStyle name="Normal 3 2 2 2 2 2 75" xfId="29937"/>
    <cellStyle name="Normal 3 2 2 2 2 2 76" xfId="29938"/>
    <cellStyle name="Normal 3 2 2 2 2 2 77" xfId="29939"/>
    <cellStyle name="Normal 3 2 2 2 2 2 78" xfId="29940"/>
    <cellStyle name="Normal 3 2 2 2 2 2 79" xfId="29941"/>
    <cellStyle name="Normal 3 2 2 2 2 2 8" xfId="29942"/>
    <cellStyle name="Normal 3 2 2 2 2 2 8 10" xfId="29943"/>
    <cellStyle name="Normal 3 2 2 2 2 2 8 11" xfId="29944"/>
    <cellStyle name="Normal 3 2 2 2 2 2 8 2" xfId="29945"/>
    <cellStyle name="Normal 3 2 2 2 2 2 8 2 2" xfId="29946"/>
    <cellStyle name="Normal 3 2 2 2 2 2 8 2 3" xfId="29947"/>
    <cellStyle name="Normal 3 2 2 2 2 2 8 2 4" xfId="29948"/>
    <cellStyle name="Normal 3 2 2 2 2 2 8 2 5" xfId="29949"/>
    <cellStyle name="Normal 3 2 2 2 2 2 8 2 6" xfId="29950"/>
    <cellStyle name="Normal 3 2 2 2 2 2 8 3" xfId="29951"/>
    <cellStyle name="Normal 3 2 2 2 2 2 8 3 2" xfId="29952"/>
    <cellStyle name="Normal 3 2 2 2 2 2 8 3 3" xfId="29953"/>
    <cellStyle name="Normal 3 2 2 2 2 2 8 3 4" xfId="29954"/>
    <cellStyle name="Normal 3 2 2 2 2 2 8 3 5" xfId="29955"/>
    <cellStyle name="Normal 3 2 2 2 2 2 8 3 6" xfId="29956"/>
    <cellStyle name="Normal 3 2 2 2 2 2 8 4" xfId="29957"/>
    <cellStyle name="Normal 3 2 2 2 2 2 8 4 2" xfId="29958"/>
    <cellStyle name="Normal 3 2 2 2 2 2 8 4 3" xfId="29959"/>
    <cellStyle name="Normal 3 2 2 2 2 2 8 4 4" xfId="29960"/>
    <cellStyle name="Normal 3 2 2 2 2 2 8 4 5" xfId="29961"/>
    <cellStyle name="Normal 3 2 2 2 2 2 8 4 6" xfId="29962"/>
    <cellStyle name="Normal 3 2 2 2 2 2 8 5" xfId="29963"/>
    <cellStyle name="Normal 3 2 2 2 2 2 8 5 2" xfId="29964"/>
    <cellStyle name="Normal 3 2 2 2 2 2 8 5 3" xfId="29965"/>
    <cellStyle name="Normal 3 2 2 2 2 2 8 5 4" xfId="29966"/>
    <cellStyle name="Normal 3 2 2 2 2 2 8 5 5" xfId="29967"/>
    <cellStyle name="Normal 3 2 2 2 2 2 8 5 6" xfId="29968"/>
    <cellStyle name="Normal 3 2 2 2 2 2 8 6" xfId="29969"/>
    <cellStyle name="Normal 3 2 2 2 2 2 8 6 2" xfId="29970"/>
    <cellStyle name="Normal 3 2 2 2 2 2 8 6 3" xfId="29971"/>
    <cellStyle name="Normal 3 2 2 2 2 2 8 6 4" xfId="29972"/>
    <cellStyle name="Normal 3 2 2 2 2 2 8 6 5" xfId="29973"/>
    <cellStyle name="Normal 3 2 2 2 2 2 8 6 6" xfId="29974"/>
    <cellStyle name="Normal 3 2 2 2 2 2 8 7" xfId="29975"/>
    <cellStyle name="Normal 3 2 2 2 2 2 8 8" xfId="29976"/>
    <cellStyle name="Normal 3 2 2 2 2 2 8 9" xfId="29977"/>
    <cellStyle name="Normal 3 2 2 2 2 2 80" xfId="29978"/>
    <cellStyle name="Normal 3 2 2 2 2 2 81" xfId="29979"/>
    <cellStyle name="Normal 3 2 2 2 2 2 82" xfId="29980"/>
    <cellStyle name="Normal 3 2 2 2 2 2 83" xfId="29981"/>
    <cellStyle name="Normal 3 2 2 2 2 2 84" xfId="29982"/>
    <cellStyle name="Normal 3 2 2 2 2 2 85" xfId="29983"/>
    <cellStyle name="Normal 3 2 2 2 2 2 86" xfId="29984"/>
    <cellStyle name="Normal 3 2 2 2 2 2 86 2" xfId="29985"/>
    <cellStyle name="Normal 3 2 2 2 2 2 86 3" xfId="29986"/>
    <cellStyle name="Normal 3 2 2 2 2 2 86 4" xfId="29987"/>
    <cellStyle name="Normal 3 2 2 2 2 2 87" xfId="29988"/>
    <cellStyle name="Normal 3 2 2 2 2 2 88" xfId="29989"/>
    <cellStyle name="Normal 3 2 2 2 2 2 9" xfId="29990"/>
    <cellStyle name="Normal 3 2 2 2 2 2 9 10" xfId="29991"/>
    <cellStyle name="Normal 3 2 2 2 2 2 9 11" xfId="29992"/>
    <cellStyle name="Normal 3 2 2 2 2 2 9 2" xfId="29993"/>
    <cellStyle name="Normal 3 2 2 2 2 2 9 2 2" xfId="29994"/>
    <cellStyle name="Normal 3 2 2 2 2 2 9 2 3" xfId="29995"/>
    <cellStyle name="Normal 3 2 2 2 2 2 9 2 4" xfId="29996"/>
    <cellStyle name="Normal 3 2 2 2 2 2 9 2 5" xfId="29997"/>
    <cellStyle name="Normal 3 2 2 2 2 2 9 2 6" xfId="29998"/>
    <cellStyle name="Normal 3 2 2 2 2 2 9 3" xfId="29999"/>
    <cellStyle name="Normal 3 2 2 2 2 2 9 3 2" xfId="30000"/>
    <cellStyle name="Normal 3 2 2 2 2 2 9 3 3" xfId="30001"/>
    <cellStyle name="Normal 3 2 2 2 2 2 9 3 4" xfId="30002"/>
    <cellStyle name="Normal 3 2 2 2 2 2 9 3 5" xfId="30003"/>
    <cellStyle name="Normal 3 2 2 2 2 2 9 3 6" xfId="30004"/>
    <cellStyle name="Normal 3 2 2 2 2 2 9 4" xfId="30005"/>
    <cellStyle name="Normal 3 2 2 2 2 2 9 4 2" xfId="30006"/>
    <cellStyle name="Normal 3 2 2 2 2 2 9 4 3" xfId="30007"/>
    <cellStyle name="Normal 3 2 2 2 2 2 9 4 4" xfId="30008"/>
    <cellStyle name="Normal 3 2 2 2 2 2 9 4 5" xfId="30009"/>
    <cellStyle name="Normal 3 2 2 2 2 2 9 4 6" xfId="30010"/>
    <cellStyle name="Normal 3 2 2 2 2 2 9 5" xfId="30011"/>
    <cellStyle name="Normal 3 2 2 2 2 2 9 5 2" xfId="30012"/>
    <cellStyle name="Normal 3 2 2 2 2 2 9 5 3" xfId="30013"/>
    <cellStyle name="Normal 3 2 2 2 2 2 9 5 4" xfId="30014"/>
    <cellStyle name="Normal 3 2 2 2 2 2 9 5 5" xfId="30015"/>
    <cellStyle name="Normal 3 2 2 2 2 2 9 5 6" xfId="30016"/>
    <cellStyle name="Normal 3 2 2 2 2 2 9 6" xfId="30017"/>
    <cellStyle name="Normal 3 2 2 2 2 2 9 6 2" xfId="30018"/>
    <cellStyle name="Normal 3 2 2 2 2 2 9 6 3" xfId="30019"/>
    <cellStyle name="Normal 3 2 2 2 2 2 9 6 4" xfId="30020"/>
    <cellStyle name="Normal 3 2 2 2 2 2 9 6 5" xfId="30021"/>
    <cellStyle name="Normal 3 2 2 2 2 2 9 6 6" xfId="30022"/>
    <cellStyle name="Normal 3 2 2 2 2 2 9 7" xfId="30023"/>
    <cellStyle name="Normal 3 2 2 2 2 2 9 8" xfId="30024"/>
    <cellStyle name="Normal 3 2 2 2 2 2 9 9" xfId="30025"/>
    <cellStyle name="Normal 3 2 2 2 2 20" xfId="30026"/>
    <cellStyle name="Normal 3 2 2 2 2 20 10" xfId="30027"/>
    <cellStyle name="Normal 3 2 2 2 2 20 11" xfId="30028"/>
    <cellStyle name="Normal 3 2 2 2 2 20 11 10" xfId="30029"/>
    <cellStyle name="Normal 3 2 2 2 2 20 11 11" xfId="30030"/>
    <cellStyle name="Normal 3 2 2 2 2 20 11 11 2" xfId="30031"/>
    <cellStyle name="Normal 3 2 2 2 2 20 11 11 3" xfId="30032"/>
    <cellStyle name="Normal 3 2 2 2 2 20 11 11 4" xfId="30033"/>
    <cellStyle name="Normal 3 2 2 2 2 20 11 12" xfId="30034"/>
    <cellStyle name="Normal 3 2 2 2 2 20 11 13" xfId="30035"/>
    <cellStyle name="Normal 3 2 2 2 2 20 11 14" xfId="30036"/>
    <cellStyle name="Normal 3 2 2 2 2 20 11 2" xfId="30037"/>
    <cellStyle name="Normal 3 2 2 2 2 20 11 2 10" xfId="30038"/>
    <cellStyle name="Normal 3 2 2 2 2 20 11 2 11" xfId="30039"/>
    <cellStyle name="Normal 3 2 2 2 2 20 11 2 2" xfId="30040"/>
    <cellStyle name="Normal 3 2 2 2 2 20 11 2 2 10" xfId="30041"/>
    <cellStyle name="Normal 3 2 2 2 2 20 11 2 2 11" xfId="30042"/>
    <cellStyle name="Normal 3 2 2 2 2 20 11 2 2 2" xfId="30043"/>
    <cellStyle name="Normal 3 2 2 2 2 20 11 2 2 2 2" xfId="30044"/>
    <cellStyle name="Normal 3 2 2 2 2 20 11 2 2 2 2 2" xfId="30045"/>
    <cellStyle name="Normal 3 2 2 2 2 20 11 2 2 2 2 3" xfId="30046"/>
    <cellStyle name="Normal 3 2 2 2 2 20 11 2 2 2 2 4" xfId="30047"/>
    <cellStyle name="Normal 3 2 2 2 2 20 11 2 2 2 3" xfId="30048"/>
    <cellStyle name="Normal 3 2 2 2 2 20 11 2 2 2 4" xfId="30049"/>
    <cellStyle name="Normal 3 2 2 2 2 20 11 2 2 2 5" xfId="30050"/>
    <cellStyle name="Normal 3 2 2 2 2 20 11 2 2 2 6" xfId="30051"/>
    <cellStyle name="Normal 3 2 2 2 2 20 11 2 2 3" xfId="30052"/>
    <cellStyle name="Normal 3 2 2 2 2 20 11 2 2 4" xfId="30053"/>
    <cellStyle name="Normal 3 2 2 2 2 20 11 2 2 5" xfId="30054"/>
    <cellStyle name="Normal 3 2 2 2 2 20 11 2 2 6" xfId="30055"/>
    <cellStyle name="Normal 3 2 2 2 2 20 11 2 2 7" xfId="30056"/>
    <cellStyle name="Normal 3 2 2 2 2 20 11 2 2 8" xfId="30057"/>
    <cellStyle name="Normal 3 2 2 2 2 20 11 2 2 8 2" xfId="30058"/>
    <cellStyle name="Normal 3 2 2 2 2 20 11 2 2 8 3" xfId="30059"/>
    <cellStyle name="Normal 3 2 2 2 2 20 11 2 2 8 4" xfId="30060"/>
    <cellStyle name="Normal 3 2 2 2 2 20 11 2 2 9" xfId="30061"/>
    <cellStyle name="Normal 3 2 2 2 2 20 11 2 3" xfId="30062"/>
    <cellStyle name="Normal 3 2 2 2 2 20 11 2 3 2" xfId="30063"/>
    <cellStyle name="Normal 3 2 2 2 2 20 11 2 3 2 2" xfId="30064"/>
    <cellStyle name="Normal 3 2 2 2 2 20 11 2 3 2 3" xfId="30065"/>
    <cellStyle name="Normal 3 2 2 2 2 20 11 2 3 2 4" xfId="30066"/>
    <cellStyle name="Normal 3 2 2 2 2 20 11 2 3 3" xfId="30067"/>
    <cellStyle name="Normal 3 2 2 2 2 20 11 2 3 4" xfId="30068"/>
    <cellStyle name="Normal 3 2 2 2 2 20 11 2 3 5" xfId="30069"/>
    <cellStyle name="Normal 3 2 2 2 2 20 11 2 3 6" xfId="30070"/>
    <cellStyle name="Normal 3 2 2 2 2 20 11 2 4" xfId="30071"/>
    <cellStyle name="Normal 3 2 2 2 2 20 11 2 5" xfId="30072"/>
    <cellStyle name="Normal 3 2 2 2 2 20 11 2 6" xfId="30073"/>
    <cellStyle name="Normal 3 2 2 2 2 20 11 2 7" xfId="30074"/>
    <cellStyle name="Normal 3 2 2 2 2 20 11 2 8" xfId="30075"/>
    <cellStyle name="Normal 3 2 2 2 2 20 11 2 8 2" xfId="30076"/>
    <cellStyle name="Normal 3 2 2 2 2 20 11 2 8 3" xfId="30077"/>
    <cellStyle name="Normal 3 2 2 2 2 20 11 2 8 4" xfId="30078"/>
    <cellStyle name="Normal 3 2 2 2 2 20 11 2 9" xfId="30079"/>
    <cellStyle name="Normal 3 2 2 2 2 20 11 3" xfId="30080"/>
    <cellStyle name="Normal 3 2 2 2 2 20 11 4" xfId="30081"/>
    <cellStyle name="Normal 3 2 2 2 2 20 11 5" xfId="30082"/>
    <cellStyle name="Normal 3 2 2 2 2 20 11 5 2" xfId="30083"/>
    <cellStyle name="Normal 3 2 2 2 2 20 11 5 2 2" xfId="30084"/>
    <cellStyle name="Normal 3 2 2 2 2 20 11 5 2 3" xfId="30085"/>
    <cellStyle name="Normal 3 2 2 2 2 20 11 5 2 4" xfId="30086"/>
    <cellStyle name="Normal 3 2 2 2 2 20 11 5 3" xfId="30087"/>
    <cellStyle name="Normal 3 2 2 2 2 20 11 5 4" xfId="30088"/>
    <cellStyle name="Normal 3 2 2 2 2 20 11 5 5" xfId="30089"/>
    <cellStyle name="Normal 3 2 2 2 2 20 11 5 6" xfId="30090"/>
    <cellStyle name="Normal 3 2 2 2 2 20 11 6" xfId="30091"/>
    <cellStyle name="Normal 3 2 2 2 2 20 11 7" xfId="30092"/>
    <cellStyle name="Normal 3 2 2 2 2 20 11 8" xfId="30093"/>
    <cellStyle name="Normal 3 2 2 2 2 20 11 9" xfId="30094"/>
    <cellStyle name="Normal 3 2 2 2 2 20 12" xfId="30095"/>
    <cellStyle name="Normal 3 2 2 2 2 20 13" xfId="30096"/>
    <cellStyle name="Normal 3 2 2 2 2 20 13 10" xfId="30097"/>
    <cellStyle name="Normal 3 2 2 2 2 20 13 11" xfId="30098"/>
    <cellStyle name="Normal 3 2 2 2 2 20 13 2" xfId="30099"/>
    <cellStyle name="Normal 3 2 2 2 2 20 13 2 10" xfId="30100"/>
    <cellStyle name="Normal 3 2 2 2 2 20 13 2 11" xfId="30101"/>
    <cellStyle name="Normal 3 2 2 2 2 20 13 2 2" xfId="30102"/>
    <cellStyle name="Normal 3 2 2 2 2 20 13 2 2 2" xfId="30103"/>
    <cellStyle name="Normal 3 2 2 2 2 20 13 2 2 2 2" xfId="30104"/>
    <cellStyle name="Normal 3 2 2 2 2 20 13 2 2 2 3" xfId="30105"/>
    <cellStyle name="Normal 3 2 2 2 2 20 13 2 2 2 4" xfId="30106"/>
    <cellStyle name="Normal 3 2 2 2 2 20 13 2 2 3" xfId="30107"/>
    <cellStyle name="Normal 3 2 2 2 2 20 13 2 2 4" xfId="30108"/>
    <cellStyle name="Normal 3 2 2 2 2 20 13 2 2 5" xfId="30109"/>
    <cellStyle name="Normal 3 2 2 2 2 20 13 2 2 6" xfId="30110"/>
    <cellStyle name="Normal 3 2 2 2 2 20 13 2 3" xfId="30111"/>
    <cellStyle name="Normal 3 2 2 2 2 20 13 2 4" xfId="30112"/>
    <cellStyle name="Normal 3 2 2 2 2 20 13 2 5" xfId="30113"/>
    <cellStyle name="Normal 3 2 2 2 2 20 13 2 6" xfId="30114"/>
    <cellStyle name="Normal 3 2 2 2 2 20 13 2 7" xfId="30115"/>
    <cellStyle name="Normal 3 2 2 2 2 20 13 2 8" xfId="30116"/>
    <cellStyle name="Normal 3 2 2 2 2 20 13 2 8 2" xfId="30117"/>
    <cellStyle name="Normal 3 2 2 2 2 20 13 2 8 3" xfId="30118"/>
    <cellStyle name="Normal 3 2 2 2 2 20 13 2 8 4" xfId="30119"/>
    <cellStyle name="Normal 3 2 2 2 2 20 13 2 9" xfId="30120"/>
    <cellStyle name="Normal 3 2 2 2 2 20 13 3" xfId="30121"/>
    <cellStyle name="Normal 3 2 2 2 2 20 13 3 2" xfId="30122"/>
    <cellStyle name="Normal 3 2 2 2 2 20 13 3 2 2" xfId="30123"/>
    <cellStyle name="Normal 3 2 2 2 2 20 13 3 2 3" xfId="30124"/>
    <cellStyle name="Normal 3 2 2 2 2 20 13 3 2 4" xfId="30125"/>
    <cellStyle name="Normal 3 2 2 2 2 20 13 3 3" xfId="30126"/>
    <cellStyle name="Normal 3 2 2 2 2 20 13 3 4" xfId="30127"/>
    <cellStyle name="Normal 3 2 2 2 2 20 13 3 5" xfId="30128"/>
    <cellStyle name="Normal 3 2 2 2 2 20 13 3 6" xfId="30129"/>
    <cellStyle name="Normal 3 2 2 2 2 20 13 4" xfId="30130"/>
    <cellStyle name="Normal 3 2 2 2 2 20 13 5" xfId="30131"/>
    <cellStyle name="Normal 3 2 2 2 2 20 13 6" xfId="30132"/>
    <cellStyle name="Normal 3 2 2 2 2 20 13 7" xfId="30133"/>
    <cellStyle name="Normal 3 2 2 2 2 20 13 8" xfId="30134"/>
    <cellStyle name="Normal 3 2 2 2 2 20 13 8 2" xfId="30135"/>
    <cellStyle name="Normal 3 2 2 2 2 20 13 8 3" xfId="30136"/>
    <cellStyle name="Normal 3 2 2 2 2 20 13 8 4" xfId="30137"/>
    <cellStyle name="Normal 3 2 2 2 2 20 13 9" xfId="30138"/>
    <cellStyle name="Normal 3 2 2 2 2 20 14" xfId="30139"/>
    <cellStyle name="Normal 3 2 2 2 2 20 15" xfId="30140"/>
    <cellStyle name="Normal 3 2 2 2 2 20 15 2" xfId="30141"/>
    <cellStyle name="Normal 3 2 2 2 2 20 15 2 2" xfId="30142"/>
    <cellStyle name="Normal 3 2 2 2 2 20 15 2 3" xfId="30143"/>
    <cellStyle name="Normal 3 2 2 2 2 20 15 2 4" xfId="30144"/>
    <cellStyle name="Normal 3 2 2 2 2 20 15 3" xfId="30145"/>
    <cellStyle name="Normal 3 2 2 2 2 20 15 4" xfId="30146"/>
    <cellStyle name="Normal 3 2 2 2 2 20 15 5" xfId="30147"/>
    <cellStyle name="Normal 3 2 2 2 2 20 15 6" xfId="30148"/>
    <cellStyle name="Normal 3 2 2 2 2 20 16" xfId="30149"/>
    <cellStyle name="Normal 3 2 2 2 2 20 17" xfId="30150"/>
    <cellStyle name="Normal 3 2 2 2 2 20 18" xfId="30151"/>
    <cellStyle name="Normal 3 2 2 2 2 20 19" xfId="30152"/>
    <cellStyle name="Normal 3 2 2 2 2 20 2" xfId="30153"/>
    <cellStyle name="Normal 3 2 2 2 2 20 2 10" xfId="30154"/>
    <cellStyle name="Normal 3 2 2 2 2 20 2 11" xfId="30155"/>
    <cellStyle name="Normal 3 2 2 2 2 20 2 12" xfId="30156"/>
    <cellStyle name="Normal 3 2 2 2 2 20 2 13" xfId="30157"/>
    <cellStyle name="Normal 3 2 2 2 2 20 2 13 2" xfId="30158"/>
    <cellStyle name="Normal 3 2 2 2 2 20 2 13 3" xfId="30159"/>
    <cellStyle name="Normal 3 2 2 2 2 20 2 13 4" xfId="30160"/>
    <cellStyle name="Normal 3 2 2 2 2 20 2 14" xfId="30161"/>
    <cellStyle name="Normal 3 2 2 2 2 20 2 15" xfId="30162"/>
    <cellStyle name="Normal 3 2 2 2 2 20 2 16" xfId="30163"/>
    <cellStyle name="Normal 3 2 2 2 2 20 2 2" xfId="30164"/>
    <cellStyle name="Normal 3 2 2 2 2 20 2 2 10" xfId="30165"/>
    <cellStyle name="Normal 3 2 2 2 2 20 2 2 11" xfId="30166"/>
    <cellStyle name="Normal 3 2 2 2 2 20 2 2 11 2" xfId="30167"/>
    <cellStyle name="Normal 3 2 2 2 2 20 2 2 11 3" xfId="30168"/>
    <cellStyle name="Normal 3 2 2 2 2 20 2 2 11 4" xfId="30169"/>
    <cellStyle name="Normal 3 2 2 2 2 20 2 2 12" xfId="30170"/>
    <cellStyle name="Normal 3 2 2 2 2 20 2 2 13" xfId="30171"/>
    <cellStyle name="Normal 3 2 2 2 2 20 2 2 14" xfId="30172"/>
    <cellStyle name="Normal 3 2 2 2 2 20 2 2 2" xfId="30173"/>
    <cellStyle name="Normal 3 2 2 2 2 20 2 2 2 10" xfId="30174"/>
    <cellStyle name="Normal 3 2 2 2 2 20 2 2 2 11" xfId="30175"/>
    <cellStyle name="Normal 3 2 2 2 2 20 2 2 2 2" xfId="30176"/>
    <cellStyle name="Normal 3 2 2 2 2 20 2 2 2 2 10" xfId="30177"/>
    <cellStyle name="Normal 3 2 2 2 2 20 2 2 2 2 11" xfId="30178"/>
    <cellStyle name="Normal 3 2 2 2 2 20 2 2 2 2 2" xfId="30179"/>
    <cellStyle name="Normal 3 2 2 2 2 20 2 2 2 2 2 2" xfId="30180"/>
    <cellStyle name="Normal 3 2 2 2 2 20 2 2 2 2 2 2 2" xfId="30181"/>
    <cellStyle name="Normal 3 2 2 2 2 20 2 2 2 2 2 2 3" xfId="30182"/>
    <cellStyle name="Normal 3 2 2 2 2 20 2 2 2 2 2 2 4" xfId="30183"/>
    <cellStyle name="Normal 3 2 2 2 2 20 2 2 2 2 2 3" xfId="30184"/>
    <cellStyle name="Normal 3 2 2 2 2 20 2 2 2 2 2 4" xfId="30185"/>
    <cellStyle name="Normal 3 2 2 2 2 20 2 2 2 2 2 5" xfId="30186"/>
    <cellStyle name="Normal 3 2 2 2 2 20 2 2 2 2 2 6" xfId="30187"/>
    <cellStyle name="Normal 3 2 2 2 2 20 2 2 2 2 3" xfId="30188"/>
    <cellStyle name="Normal 3 2 2 2 2 20 2 2 2 2 4" xfId="30189"/>
    <cellStyle name="Normal 3 2 2 2 2 20 2 2 2 2 5" xfId="30190"/>
    <cellStyle name="Normal 3 2 2 2 2 20 2 2 2 2 6" xfId="30191"/>
    <cellStyle name="Normal 3 2 2 2 2 20 2 2 2 2 7" xfId="30192"/>
    <cellStyle name="Normal 3 2 2 2 2 20 2 2 2 2 8" xfId="30193"/>
    <cellStyle name="Normal 3 2 2 2 2 20 2 2 2 2 8 2" xfId="30194"/>
    <cellStyle name="Normal 3 2 2 2 2 20 2 2 2 2 8 3" xfId="30195"/>
    <cellStyle name="Normal 3 2 2 2 2 20 2 2 2 2 8 4" xfId="30196"/>
    <cellStyle name="Normal 3 2 2 2 2 20 2 2 2 2 9" xfId="30197"/>
    <cellStyle name="Normal 3 2 2 2 2 20 2 2 2 3" xfId="30198"/>
    <cellStyle name="Normal 3 2 2 2 2 20 2 2 2 3 2" xfId="30199"/>
    <cellStyle name="Normal 3 2 2 2 2 20 2 2 2 3 2 2" xfId="30200"/>
    <cellStyle name="Normal 3 2 2 2 2 20 2 2 2 3 2 3" xfId="30201"/>
    <cellStyle name="Normal 3 2 2 2 2 20 2 2 2 3 2 4" xfId="30202"/>
    <cellStyle name="Normal 3 2 2 2 2 20 2 2 2 3 3" xfId="30203"/>
    <cellStyle name="Normal 3 2 2 2 2 20 2 2 2 3 4" xfId="30204"/>
    <cellStyle name="Normal 3 2 2 2 2 20 2 2 2 3 5" xfId="30205"/>
    <cellStyle name="Normal 3 2 2 2 2 20 2 2 2 3 6" xfId="30206"/>
    <cellStyle name="Normal 3 2 2 2 2 20 2 2 2 4" xfId="30207"/>
    <cellStyle name="Normal 3 2 2 2 2 20 2 2 2 5" xfId="30208"/>
    <cellStyle name="Normal 3 2 2 2 2 20 2 2 2 6" xfId="30209"/>
    <cellStyle name="Normal 3 2 2 2 2 20 2 2 2 7" xfId="30210"/>
    <cellStyle name="Normal 3 2 2 2 2 20 2 2 2 8" xfId="30211"/>
    <cellStyle name="Normal 3 2 2 2 2 20 2 2 2 8 2" xfId="30212"/>
    <cellStyle name="Normal 3 2 2 2 2 20 2 2 2 8 3" xfId="30213"/>
    <cellStyle name="Normal 3 2 2 2 2 20 2 2 2 8 4" xfId="30214"/>
    <cellStyle name="Normal 3 2 2 2 2 20 2 2 2 9" xfId="30215"/>
    <cellStyle name="Normal 3 2 2 2 2 20 2 2 3" xfId="30216"/>
    <cellStyle name="Normal 3 2 2 2 2 20 2 2 4" xfId="30217"/>
    <cellStyle name="Normal 3 2 2 2 2 20 2 2 5" xfId="30218"/>
    <cellStyle name="Normal 3 2 2 2 2 20 2 2 5 2" xfId="30219"/>
    <cellStyle name="Normal 3 2 2 2 2 20 2 2 5 2 2" xfId="30220"/>
    <cellStyle name="Normal 3 2 2 2 2 20 2 2 5 2 3" xfId="30221"/>
    <cellStyle name="Normal 3 2 2 2 2 20 2 2 5 2 4" xfId="30222"/>
    <cellStyle name="Normal 3 2 2 2 2 20 2 2 5 3" xfId="30223"/>
    <cellStyle name="Normal 3 2 2 2 2 20 2 2 5 4" xfId="30224"/>
    <cellStyle name="Normal 3 2 2 2 2 20 2 2 5 5" xfId="30225"/>
    <cellStyle name="Normal 3 2 2 2 2 20 2 2 5 6" xfId="30226"/>
    <cellStyle name="Normal 3 2 2 2 2 20 2 2 6" xfId="30227"/>
    <cellStyle name="Normal 3 2 2 2 2 20 2 2 7" xfId="30228"/>
    <cellStyle name="Normal 3 2 2 2 2 20 2 2 8" xfId="30229"/>
    <cellStyle name="Normal 3 2 2 2 2 20 2 2 9" xfId="30230"/>
    <cellStyle name="Normal 3 2 2 2 2 20 2 3" xfId="30231"/>
    <cellStyle name="Normal 3 2 2 2 2 20 2 4" xfId="30232"/>
    <cellStyle name="Normal 3 2 2 2 2 20 2 5" xfId="30233"/>
    <cellStyle name="Normal 3 2 2 2 2 20 2 5 10" xfId="30234"/>
    <cellStyle name="Normal 3 2 2 2 2 20 2 5 11" xfId="30235"/>
    <cellStyle name="Normal 3 2 2 2 2 20 2 5 2" xfId="30236"/>
    <cellStyle name="Normal 3 2 2 2 2 20 2 5 2 10" xfId="30237"/>
    <cellStyle name="Normal 3 2 2 2 2 20 2 5 2 11" xfId="30238"/>
    <cellStyle name="Normal 3 2 2 2 2 20 2 5 2 2" xfId="30239"/>
    <cellStyle name="Normal 3 2 2 2 2 20 2 5 2 2 2" xfId="30240"/>
    <cellStyle name="Normal 3 2 2 2 2 20 2 5 2 2 2 2" xfId="30241"/>
    <cellStyle name="Normal 3 2 2 2 2 20 2 5 2 2 2 3" xfId="30242"/>
    <cellStyle name="Normal 3 2 2 2 2 20 2 5 2 2 2 4" xfId="30243"/>
    <cellStyle name="Normal 3 2 2 2 2 20 2 5 2 2 3" xfId="30244"/>
    <cellStyle name="Normal 3 2 2 2 2 20 2 5 2 2 4" xfId="30245"/>
    <cellStyle name="Normal 3 2 2 2 2 20 2 5 2 2 5" xfId="30246"/>
    <cellStyle name="Normal 3 2 2 2 2 20 2 5 2 2 6" xfId="30247"/>
    <cellStyle name="Normal 3 2 2 2 2 20 2 5 2 3" xfId="30248"/>
    <cellStyle name="Normal 3 2 2 2 2 20 2 5 2 4" xfId="30249"/>
    <cellStyle name="Normal 3 2 2 2 2 20 2 5 2 5" xfId="30250"/>
    <cellStyle name="Normal 3 2 2 2 2 20 2 5 2 6" xfId="30251"/>
    <cellStyle name="Normal 3 2 2 2 2 20 2 5 2 7" xfId="30252"/>
    <cellStyle name="Normal 3 2 2 2 2 20 2 5 2 8" xfId="30253"/>
    <cellStyle name="Normal 3 2 2 2 2 20 2 5 2 8 2" xfId="30254"/>
    <cellStyle name="Normal 3 2 2 2 2 20 2 5 2 8 3" xfId="30255"/>
    <cellStyle name="Normal 3 2 2 2 2 20 2 5 2 8 4" xfId="30256"/>
    <cellStyle name="Normal 3 2 2 2 2 20 2 5 2 9" xfId="30257"/>
    <cellStyle name="Normal 3 2 2 2 2 20 2 5 3" xfId="30258"/>
    <cellStyle name="Normal 3 2 2 2 2 20 2 5 3 2" xfId="30259"/>
    <cellStyle name="Normal 3 2 2 2 2 20 2 5 3 2 2" xfId="30260"/>
    <cellStyle name="Normal 3 2 2 2 2 20 2 5 3 2 3" xfId="30261"/>
    <cellStyle name="Normal 3 2 2 2 2 20 2 5 3 2 4" xfId="30262"/>
    <cellStyle name="Normal 3 2 2 2 2 20 2 5 3 3" xfId="30263"/>
    <cellStyle name="Normal 3 2 2 2 2 20 2 5 3 4" xfId="30264"/>
    <cellStyle name="Normal 3 2 2 2 2 20 2 5 3 5" xfId="30265"/>
    <cellStyle name="Normal 3 2 2 2 2 20 2 5 3 6" xfId="30266"/>
    <cellStyle name="Normal 3 2 2 2 2 20 2 5 4" xfId="30267"/>
    <cellStyle name="Normal 3 2 2 2 2 20 2 5 5" xfId="30268"/>
    <cellStyle name="Normal 3 2 2 2 2 20 2 5 6" xfId="30269"/>
    <cellStyle name="Normal 3 2 2 2 2 20 2 5 7" xfId="30270"/>
    <cellStyle name="Normal 3 2 2 2 2 20 2 5 8" xfId="30271"/>
    <cellStyle name="Normal 3 2 2 2 2 20 2 5 8 2" xfId="30272"/>
    <cellStyle name="Normal 3 2 2 2 2 20 2 5 8 3" xfId="30273"/>
    <cellStyle name="Normal 3 2 2 2 2 20 2 5 8 4" xfId="30274"/>
    <cellStyle name="Normal 3 2 2 2 2 20 2 5 9" xfId="30275"/>
    <cellStyle name="Normal 3 2 2 2 2 20 2 6" xfId="30276"/>
    <cellStyle name="Normal 3 2 2 2 2 20 2 7" xfId="30277"/>
    <cellStyle name="Normal 3 2 2 2 2 20 2 7 2" xfId="30278"/>
    <cellStyle name="Normal 3 2 2 2 2 20 2 7 2 2" xfId="30279"/>
    <cellStyle name="Normal 3 2 2 2 2 20 2 7 2 3" xfId="30280"/>
    <cellStyle name="Normal 3 2 2 2 2 20 2 7 2 4" xfId="30281"/>
    <cellStyle name="Normal 3 2 2 2 2 20 2 7 3" xfId="30282"/>
    <cellStyle name="Normal 3 2 2 2 2 20 2 7 4" xfId="30283"/>
    <cellStyle name="Normal 3 2 2 2 2 20 2 7 5" xfId="30284"/>
    <cellStyle name="Normal 3 2 2 2 2 20 2 7 6" xfId="30285"/>
    <cellStyle name="Normal 3 2 2 2 2 20 2 8" xfId="30286"/>
    <cellStyle name="Normal 3 2 2 2 2 20 2 9" xfId="30287"/>
    <cellStyle name="Normal 3 2 2 2 2 20 20" xfId="30288"/>
    <cellStyle name="Normal 3 2 2 2 2 20 21" xfId="30289"/>
    <cellStyle name="Normal 3 2 2 2 2 20 21 2" xfId="30290"/>
    <cellStyle name="Normal 3 2 2 2 2 20 21 3" xfId="30291"/>
    <cellStyle name="Normal 3 2 2 2 2 20 21 4" xfId="30292"/>
    <cellStyle name="Normal 3 2 2 2 2 20 22" xfId="30293"/>
    <cellStyle name="Normal 3 2 2 2 2 20 23" xfId="30294"/>
    <cellStyle name="Normal 3 2 2 2 2 20 24" xfId="30295"/>
    <cellStyle name="Normal 3 2 2 2 2 20 3" xfId="30296"/>
    <cellStyle name="Normal 3 2 2 2 2 20 4" xfId="30297"/>
    <cellStyle name="Normal 3 2 2 2 2 20 5" xfId="30298"/>
    <cellStyle name="Normal 3 2 2 2 2 20 6" xfId="30299"/>
    <cellStyle name="Normal 3 2 2 2 2 20 7" xfId="30300"/>
    <cellStyle name="Normal 3 2 2 2 2 20 8" xfId="30301"/>
    <cellStyle name="Normal 3 2 2 2 2 20 9" xfId="30302"/>
    <cellStyle name="Normal 3 2 2 2 2 21" xfId="30303"/>
    <cellStyle name="Normal 3 2 2 2 2 21 10" xfId="30304"/>
    <cellStyle name="Normal 3 2 2 2 2 21 11" xfId="30305"/>
    <cellStyle name="Normal 3 2 2 2 2 21 12" xfId="30306"/>
    <cellStyle name="Normal 3 2 2 2 2 21 13" xfId="30307"/>
    <cellStyle name="Normal 3 2 2 2 2 21 13 2" xfId="30308"/>
    <cellStyle name="Normal 3 2 2 2 2 21 13 3" xfId="30309"/>
    <cellStyle name="Normal 3 2 2 2 2 21 13 4" xfId="30310"/>
    <cellStyle name="Normal 3 2 2 2 2 21 14" xfId="30311"/>
    <cellStyle name="Normal 3 2 2 2 2 21 15" xfId="30312"/>
    <cellStyle name="Normal 3 2 2 2 2 21 16" xfId="30313"/>
    <cellStyle name="Normal 3 2 2 2 2 21 2" xfId="30314"/>
    <cellStyle name="Normal 3 2 2 2 2 21 2 10" xfId="30315"/>
    <cellStyle name="Normal 3 2 2 2 2 21 2 11" xfId="30316"/>
    <cellStyle name="Normal 3 2 2 2 2 21 2 11 2" xfId="30317"/>
    <cellStyle name="Normal 3 2 2 2 2 21 2 11 3" xfId="30318"/>
    <cellStyle name="Normal 3 2 2 2 2 21 2 11 4" xfId="30319"/>
    <cellStyle name="Normal 3 2 2 2 2 21 2 12" xfId="30320"/>
    <cellStyle name="Normal 3 2 2 2 2 21 2 13" xfId="30321"/>
    <cellStyle name="Normal 3 2 2 2 2 21 2 14" xfId="30322"/>
    <cellStyle name="Normal 3 2 2 2 2 21 2 2" xfId="30323"/>
    <cellStyle name="Normal 3 2 2 2 2 21 2 2 10" xfId="30324"/>
    <cellStyle name="Normal 3 2 2 2 2 21 2 2 11" xfId="30325"/>
    <cellStyle name="Normal 3 2 2 2 2 21 2 2 2" xfId="30326"/>
    <cellStyle name="Normal 3 2 2 2 2 21 2 2 2 10" xfId="30327"/>
    <cellStyle name="Normal 3 2 2 2 2 21 2 2 2 11" xfId="30328"/>
    <cellStyle name="Normal 3 2 2 2 2 21 2 2 2 2" xfId="30329"/>
    <cellStyle name="Normal 3 2 2 2 2 21 2 2 2 2 2" xfId="30330"/>
    <cellStyle name="Normal 3 2 2 2 2 21 2 2 2 2 2 2" xfId="30331"/>
    <cellStyle name="Normal 3 2 2 2 2 21 2 2 2 2 2 3" xfId="30332"/>
    <cellStyle name="Normal 3 2 2 2 2 21 2 2 2 2 2 4" xfId="30333"/>
    <cellStyle name="Normal 3 2 2 2 2 21 2 2 2 2 3" xfId="30334"/>
    <cellStyle name="Normal 3 2 2 2 2 21 2 2 2 2 4" xfId="30335"/>
    <cellStyle name="Normal 3 2 2 2 2 21 2 2 2 2 5" xfId="30336"/>
    <cellStyle name="Normal 3 2 2 2 2 21 2 2 2 2 6" xfId="30337"/>
    <cellStyle name="Normal 3 2 2 2 2 21 2 2 2 3" xfId="30338"/>
    <cellStyle name="Normal 3 2 2 2 2 21 2 2 2 4" xfId="30339"/>
    <cellStyle name="Normal 3 2 2 2 2 21 2 2 2 5" xfId="30340"/>
    <cellStyle name="Normal 3 2 2 2 2 21 2 2 2 6" xfId="30341"/>
    <cellStyle name="Normal 3 2 2 2 2 21 2 2 2 7" xfId="30342"/>
    <cellStyle name="Normal 3 2 2 2 2 21 2 2 2 8" xfId="30343"/>
    <cellStyle name="Normal 3 2 2 2 2 21 2 2 2 8 2" xfId="30344"/>
    <cellStyle name="Normal 3 2 2 2 2 21 2 2 2 8 3" xfId="30345"/>
    <cellStyle name="Normal 3 2 2 2 2 21 2 2 2 8 4" xfId="30346"/>
    <cellStyle name="Normal 3 2 2 2 2 21 2 2 2 9" xfId="30347"/>
    <cellStyle name="Normal 3 2 2 2 2 21 2 2 3" xfId="30348"/>
    <cellStyle name="Normal 3 2 2 2 2 21 2 2 3 2" xfId="30349"/>
    <cellStyle name="Normal 3 2 2 2 2 21 2 2 3 2 2" xfId="30350"/>
    <cellStyle name="Normal 3 2 2 2 2 21 2 2 3 2 3" xfId="30351"/>
    <cellStyle name="Normal 3 2 2 2 2 21 2 2 3 2 4" xfId="30352"/>
    <cellStyle name="Normal 3 2 2 2 2 21 2 2 3 3" xfId="30353"/>
    <cellStyle name="Normal 3 2 2 2 2 21 2 2 3 4" xfId="30354"/>
    <cellStyle name="Normal 3 2 2 2 2 21 2 2 3 5" xfId="30355"/>
    <cellStyle name="Normal 3 2 2 2 2 21 2 2 3 6" xfId="30356"/>
    <cellStyle name="Normal 3 2 2 2 2 21 2 2 4" xfId="30357"/>
    <cellStyle name="Normal 3 2 2 2 2 21 2 2 5" xfId="30358"/>
    <cellStyle name="Normal 3 2 2 2 2 21 2 2 6" xfId="30359"/>
    <cellStyle name="Normal 3 2 2 2 2 21 2 2 7" xfId="30360"/>
    <cellStyle name="Normal 3 2 2 2 2 21 2 2 8" xfId="30361"/>
    <cellStyle name="Normal 3 2 2 2 2 21 2 2 8 2" xfId="30362"/>
    <cellStyle name="Normal 3 2 2 2 2 21 2 2 8 3" xfId="30363"/>
    <cellStyle name="Normal 3 2 2 2 2 21 2 2 8 4" xfId="30364"/>
    <cellStyle name="Normal 3 2 2 2 2 21 2 2 9" xfId="30365"/>
    <cellStyle name="Normal 3 2 2 2 2 21 2 3" xfId="30366"/>
    <cellStyle name="Normal 3 2 2 2 2 21 2 4" xfId="30367"/>
    <cellStyle name="Normal 3 2 2 2 2 21 2 5" xfId="30368"/>
    <cellStyle name="Normal 3 2 2 2 2 21 2 5 2" xfId="30369"/>
    <cellStyle name="Normal 3 2 2 2 2 21 2 5 2 2" xfId="30370"/>
    <cellStyle name="Normal 3 2 2 2 2 21 2 5 2 3" xfId="30371"/>
    <cellStyle name="Normal 3 2 2 2 2 21 2 5 2 4" xfId="30372"/>
    <cellStyle name="Normal 3 2 2 2 2 21 2 5 3" xfId="30373"/>
    <cellStyle name="Normal 3 2 2 2 2 21 2 5 4" xfId="30374"/>
    <cellStyle name="Normal 3 2 2 2 2 21 2 5 5" xfId="30375"/>
    <cellStyle name="Normal 3 2 2 2 2 21 2 5 6" xfId="30376"/>
    <cellStyle name="Normal 3 2 2 2 2 21 2 6" xfId="30377"/>
    <cellStyle name="Normal 3 2 2 2 2 21 2 7" xfId="30378"/>
    <cellStyle name="Normal 3 2 2 2 2 21 2 8" xfId="30379"/>
    <cellStyle name="Normal 3 2 2 2 2 21 2 9" xfId="30380"/>
    <cellStyle name="Normal 3 2 2 2 2 21 3" xfId="30381"/>
    <cellStyle name="Normal 3 2 2 2 2 21 4" xfId="30382"/>
    <cellStyle name="Normal 3 2 2 2 2 21 5" xfId="30383"/>
    <cellStyle name="Normal 3 2 2 2 2 21 5 10" xfId="30384"/>
    <cellStyle name="Normal 3 2 2 2 2 21 5 11" xfId="30385"/>
    <cellStyle name="Normal 3 2 2 2 2 21 5 2" xfId="30386"/>
    <cellStyle name="Normal 3 2 2 2 2 21 5 2 10" xfId="30387"/>
    <cellStyle name="Normal 3 2 2 2 2 21 5 2 11" xfId="30388"/>
    <cellStyle name="Normal 3 2 2 2 2 21 5 2 2" xfId="30389"/>
    <cellStyle name="Normal 3 2 2 2 2 21 5 2 2 2" xfId="30390"/>
    <cellStyle name="Normal 3 2 2 2 2 21 5 2 2 2 2" xfId="30391"/>
    <cellStyle name="Normal 3 2 2 2 2 21 5 2 2 2 3" xfId="30392"/>
    <cellStyle name="Normal 3 2 2 2 2 21 5 2 2 2 4" xfId="30393"/>
    <cellStyle name="Normal 3 2 2 2 2 21 5 2 2 3" xfId="30394"/>
    <cellStyle name="Normal 3 2 2 2 2 21 5 2 2 4" xfId="30395"/>
    <cellStyle name="Normal 3 2 2 2 2 21 5 2 2 5" xfId="30396"/>
    <cellStyle name="Normal 3 2 2 2 2 21 5 2 2 6" xfId="30397"/>
    <cellStyle name="Normal 3 2 2 2 2 21 5 2 3" xfId="30398"/>
    <cellStyle name="Normal 3 2 2 2 2 21 5 2 4" xfId="30399"/>
    <cellStyle name="Normal 3 2 2 2 2 21 5 2 5" xfId="30400"/>
    <cellStyle name="Normal 3 2 2 2 2 21 5 2 6" xfId="30401"/>
    <cellStyle name="Normal 3 2 2 2 2 21 5 2 7" xfId="30402"/>
    <cellStyle name="Normal 3 2 2 2 2 21 5 2 8" xfId="30403"/>
    <cellStyle name="Normal 3 2 2 2 2 21 5 2 8 2" xfId="30404"/>
    <cellStyle name="Normal 3 2 2 2 2 21 5 2 8 3" xfId="30405"/>
    <cellStyle name="Normal 3 2 2 2 2 21 5 2 8 4" xfId="30406"/>
    <cellStyle name="Normal 3 2 2 2 2 21 5 2 9" xfId="30407"/>
    <cellStyle name="Normal 3 2 2 2 2 21 5 3" xfId="30408"/>
    <cellStyle name="Normal 3 2 2 2 2 21 5 3 2" xfId="30409"/>
    <cellStyle name="Normal 3 2 2 2 2 21 5 3 2 2" xfId="30410"/>
    <cellStyle name="Normal 3 2 2 2 2 21 5 3 2 3" xfId="30411"/>
    <cellStyle name="Normal 3 2 2 2 2 21 5 3 2 4" xfId="30412"/>
    <cellStyle name="Normal 3 2 2 2 2 21 5 3 3" xfId="30413"/>
    <cellStyle name="Normal 3 2 2 2 2 21 5 3 4" xfId="30414"/>
    <cellStyle name="Normal 3 2 2 2 2 21 5 3 5" xfId="30415"/>
    <cellStyle name="Normal 3 2 2 2 2 21 5 3 6" xfId="30416"/>
    <cellStyle name="Normal 3 2 2 2 2 21 5 4" xfId="30417"/>
    <cellStyle name="Normal 3 2 2 2 2 21 5 5" xfId="30418"/>
    <cellStyle name="Normal 3 2 2 2 2 21 5 6" xfId="30419"/>
    <cellStyle name="Normal 3 2 2 2 2 21 5 7" xfId="30420"/>
    <cellStyle name="Normal 3 2 2 2 2 21 5 8" xfId="30421"/>
    <cellStyle name="Normal 3 2 2 2 2 21 5 8 2" xfId="30422"/>
    <cellStyle name="Normal 3 2 2 2 2 21 5 8 3" xfId="30423"/>
    <cellStyle name="Normal 3 2 2 2 2 21 5 8 4" xfId="30424"/>
    <cellStyle name="Normal 3 2 2 2 2 21 5 9" xfId="30425"/>
    <cellStyle name="Normal 3 2 2 2 2 21 6" xfId="30426"/>
    <cellStyle name="Normal 3 2 2 2 2 21 7" xfId="30427"/>
    <cellStyle name="Normal 3 2 2 2 2 21 7 2" xfId="30428"/>
    <cellStyle name="Normal 3 2 2 2 2 21 7 2 2" xfId="30429"/>
    <cellStyle name="Normal 3 2 2 2 2 21 7 2 3" xfId="30430"/>
    <cellStyle name="Normal 3 2 2 2 2 21 7 2 4" xfId="30431"/>
    <cellStyle name="Normal 3 2 2 2 2 21 7 3" xfId="30432"/>
    <cellStyle name="Normal 3 2 2 2 2 21 7 4" xfId="30433"/>
    <cellStyle name="Normal 3 2 2 2 2 21 7 5" xfId="30434"/>
    <cellStyle name="Normal 3 2 2 2 2 21 7 6" xfId="30435"/>
    <cellStyle name="Normal 3 2 2 2 2 21 8" xfId="30436"/>
    <cellStyle name="Normal 3 2 2 2 2 21 9" xfId="30437"/>
    <cellStyle name="Normal 3 2 2 2 2 22" xfId="30438"/>
    <cellStyle name="Normal 3 2 2 2 2 23" xfId="30439"/>
    <cellStyle name="Normal 3 2 2 2 2 24" xfId="30440"/>
    <cellStyle name="Normal 3 2 2 2 2 25" xfId="30441"/>
    <cellStyle name="Normal 3 2 2 2 2 26" xfId="30442"/>
    <cellStyle name="Normal 3 2 2 2 2 27" xfId="30443"/>
    <cellStyle name="Normal 3 2 2 2 2 28" xfId="30444"/>
    <cellStyle name="Normal 3 2 2 2 2 29" xfId="30445"/>
    <cellStyle name="Normal 3 2 2 2 2 29 10" xfId="30446"/>
    <cellStyle name="Normal 3 2 2 2 2 29 11" xfId="30447"/>
    <cellStyle name="Normal 3 2 2 2 2 29 11 2" xfId="30448"/>
    <cellStyle name="Normal 3 2 2 2 2 29 11 3" xfId="30449"/>
    <cellStyle name="Normal 3 2 2 2 2 29 11 4" xfId="30450"/>
    <cellStyle name="Normal 3 2 2 2 2 29 12" xfId="30451"/>
    <cellStyle name="Normal 3 2 2 2 2 29 13" xfId="30452"/>
    <cellStyle name="Normal 3 2 2 2 2 29 14" xfId="30453"/>
    <cellStyle name="Normal 3 2 2 2 2 29 2" xfId="30454"/>
    <cellStyle name="Normal 3 2 2 2 2 29 2 10" xfId="30455"/>
    <cellStyle name="Normal 3 2 2 2 2 29 2 11" xfId="30456"/>
    <cellStyle name="Normal 3 2 2 2 2 29 2 2" xfId="30457"/>
    <cellStyle name="Normal 3 2 2 2 2 29 2 2 10" xfId="30458"/>
    <cellStyle name="Normal 3 2 2 2 2 29 2 2 11" xfId="30459"/>
    <cellStyle name="Normal 3 2 2 2 2 29 2 2 2" xfId="30460"/>
    <cellStyle name="Normal 3 2 2 2 2 29 2 2 2 2" xfId="30461"/>
    <cellStyle name="Normal 3 2 2 2 2 29 2 2 2 2 2" xfId="30462"/>
    <cellStyle name="Normal 3 2 2 2 2 29 2 2 2 2 3" xfId="30463"/>
    <cellStyle name="Normal 3 2 2 2 2 29 2 2 2 2 4" xfId="30464"/>
    <cellStyle name="Normal 3 2 2 2 2 29 2 2 2 3" xfId="30465"/>
    <cellStyle name="Normal 3 2 2 2 2 29 2 2 2 4" xfId="30466"/>
    <cellStyle name="Normal 3 2 2 2 2 29 2 2 2 5" xfId="30467"/>
    <cellStyle name="Normal 3 2 2 2 2 29 2 2 2 6" xfId="30468"/>
    <cellStyle name="Normal 3 2 2 2 2 29 2 2 3" xfId="30469"/>
    <cellStyle name="Normal 3 2 2 2 2 29 2 2 4" xfId="30470"/>
    <cellStyle name="Normal 3 2 2 2 2 29 2 2 5" xfId="30471"/>
    <cellStyle name="Normal 3 2 2 2 2 29 2 2 6" xfId="30472"/>
    <cellStyle name="Normal 3 2 2 2 2 29 2 2 7" xfId="30473"/>
    <cellStyle name="Normal 3 2 2 2 2 29 2 2 8" xfId="30474"/>
    <cellStyle name="Normal 3 2 2 2 2 29 2 2 8 2" xfId="30475"/>
    <cellStyle name="Normal 3 2 2 2 2 29 2 2 8 3" xfId="30476"/>
    <cellStyle name="Normal 3 2 2 2 2 29 2 2 8 4" xfId="30477"/>
    <cellStyle name="Normal 3 2 2 2 2 29 2 2 9" xfId="30478"/>
    <cellStyle name="Normal 3 2 2 2 2 29 2 3" xfId="30479"/>
    <cellStyle name="Normal 3 2 2 2 2 29 2 3 2" xfId="30480"/>
    <cellStyle name="Normal 3 2 2 2 2 29 2 3 2 2" xfId="30481"/>
    <cellStyle name="Normal 3 2 2 2 2 29 2 3 2 3" xfId="30482"/>
    <cellStyle name="Normal 3 2 2 2 2 29 2 3 2 4" xfId="30483"/>
    <cellStyle name="Normal 3 2 2 2 2 29 2 3 3" xfId="30484"/>
    <cellStyle name="Normal 3 2 2 2 2 29 2 3 4" xfId="30485"/>
    <cellStyle name="Normal 3 2 2 2 2 29 2 3 5" xfId="30486"/>
    <cellStyle name="Normal 3 2 2 2 2 29 2 3 6" xfId="30487"/>
    <cellStyle name="Normal 3 2 2 2 2 29 2 4" xfId="30488"/>
    <cellStyle name="Normal 3 2 2 2 2 29 2 5" xfId="30489"/>
    <cellStyle name="Normal 3 2 2 2 2 29 2 6" xfId="30490"/>
    <cellStyle name="Normal 3 2 2 2 2 29 2 7" xfId="30491"/>
    <cellStyle name="Normal 3 2 2 2 2 29 2 8" xfId="30492"/>
    <cellStyle name="Normal 3 2 2 2 2 29 2 8 2" xfId="30493"/>
    <cellStyle name="Normal 3 2 2 2 2 29 2 8 3" xfId="30494"/>
    <cellStyle name="Normal 3 2 2 2 2 29 2 8 4" xfId="30495"/>
    <cellStyle name="Normal 3 2 2 2 2 29 2 9" xfId="30496"/>
    <cellStyle name="Normal 3 2 2 2 2 29 3" xfId="30497"/>
    <cellStyle name="Normal 3 2 2 2 2 29 4" xfId="30498"/>
    <cellStyle name="Normal 3 2 2 2 2 29 5" xfId="30499"/>
    <cellStyle name="Normal 3 2 2 2 2 29 5 2" xfId="30500"/>
    <cellStyle name="Normal 3 2 2 2 2 29 5 2 2" xfId="30501"/>
    <cellStyle name="Normal 3 2 2 2 2 29 5 2 3" xfId="30502"/>
    <cellStyle name="Normal 3 2 2 2 2 29 5 2 4" xfId="30503"/>
    <cellStyle name="Normal 3 2 2 2 2 29 5 3" xfId="30504"/>
    <cellStyle name="Normal 3 2 2 2 2 29 5 4" xfId="30505"/>
    <cellStyle name="Normal 3 2 2 2 2 29 5 5" xfId="30506"/>
    <cellStyle name="Normal 3 2 2 2 2 29 5 6" xfId="30507"/>
    <cellStyle name="Normal 3 2 2 2 2 29 6" xfId="30508"/>
    <cellStyle name="Normal 3 2 2 2 2 29 7" xfId="30509"/>
    <cellStyle name="Normal 3 2 2 2 2 29 8" xfId="30510"/>
    <cellStyle name="Normal 3 2 2 2 2 29 9" xfId="30511"/>
    <cellStyle name="Normal 3 2 2 2 2 3" xfId="30512"/>
    <cellStyle name="Normal 3 2 2 2 2 30" xfId="30513"/>
    <cellStyle name="Normal 3 2 2 2 2 31" xfId="30514"/>
    <cellStyle name="Normal 3 2 2 2 2 31 10" xfId="30515"/>
    <cellStyle name="Normal 3 2 2 2 2 31 11" xfId="30516"/>
    <cellStyle name="Normal 3 2 2 2 2 31 2" xfId="30517"/>
    <cellStyle name="Normal 3 2 2 2 2 31 2 10" xfId="30518"/>
    <cellStyle name="Normal 3 2 2 2 2 31 2 11" xfId="30519"/>
    <cellStyle name="Normal 3 2 2 2 2 31 2 2" xfId="30520"/>
    <cellStyle name="Normal 3 2 2 2 2 31 2 2 2" xfId="30521"/>
    <cellStyle name="Normal 3 2 2 2 2 31 2 2 2 2" xfId="30522"/>
    <cellStyle name="Normal 3 2 2 2 2 31 2 2 2 3" xfId="30523"/>
    <cellStyle name="Normal 3 2 2 2 2 31 2 2 2 4" xfId="30524"/>
    <cellStyle name="Normal 3 2 2 2 2 31 2 2 3" xfId="30525"/>
    <cellStyle name="Normal 3 2 2 2 2 31 2 2 4" xfId="30526"/>
    <cellStyle name="Normal 3 2 2 2 2 31 2 2 5" xfId="30527"/>
    <cellStyle name="Normal 3 2 2 2 2 31 2 2 6" xfId="30528"/>
    <cellStyle name="Normal 3 2 2 2 2 31 2 3" xfId="30529"/>
    <cellStyle name="Normal 3 2 2 2 2 31 2 4" xfId="30530"/>
    <cellStyle name="Normal 3 2 2 2 2 31 2 5" xfId="30531"/>
    <cellStyle name="Normal 3 2 2 2 2 31 2 6" xfId="30532"/>
    <cellStyle name="Normal 3 2 2 2 2 31 2 7" xfId="30533"/>
    <cellStyle name="Normal 3 2 2 2 2 31 2 8" xfId="30534"/>
    <cellStyle name="Normal 3 2 2 2 2 31 2 8 2" xfId="30535"/>
    <cellStyle name="Normal 3 2 2 2 2 31 2 8 3" xfId="30536"/>
    <cellStyle name="Normal 3 2 2 2 2 31 2 8 4" xfId="30537"/>
    <cellStyle name="Normal 3 2 2 2 2 31 2 9" xfId="30538"/>
    <cellStyle name="Normal 3 2 2 2 2 31 3" xfId="30539"/>
    <cellStyle name="Normal 3 2 2 2 2 31 3 2" xfId="30540"/>
    <cellStyle name="Normal 3 2 2 2 2 31 3 2 2" xfId="30541"/>
    <cellStyle name="Normal 3 2 2 2 2 31 3 2 3" xfId="30542"/>
    <cellStyle name="Normal 3 2 2 2 2 31 3 2 4" xfId="30543"/>
    <cellStyle name="Normal 3 2 2 2 2 31 3 3" xfId="30544"/>
    <cellStyle name="Normal 3 2 2 2 2 31 3 4" xfId="30545"/>
    <cellStyle name="Normal 3 2 2 2 2 31 3 5" xfId="30546"/>
    <cellStyle name="Normal 3 2 2 2 2 31 3 6" xfId="30547"/>
    <cellStyle name="Normal 3 2 2 2 2 31 4" xfId="30548"/>
    <cellStyle name="Normal 3 2 2 2 2 31 5" xfId="30549"/>
    <cellStyle name="Normal 3 2 2 2 2 31 6" xfId="30550"/>
    <cellStyle name="Normal 3 2 2 2 2 31 7" xfId="30551"/>
    <cellStyle name="Normal 3 2 2 2 2 31 8" xfId="30552"/>
    <cellStyle name="Normal 3 2 2 2 2 31 8 2" xfId="30553"/>
    <cellStyle name="Normal 3 2 2 2 2 31 8 3" xfId="30554"/>
    <cellStyle name="Normal 3 2 2 2 2 31 8 4" xfId="30555"/>
    <cellStyle name="Normal 3 2 2 2 2 31 9" xfId="30556"/>
    <cellStyle name="Normal 3 2 2 2 2 32" xfId="30557"/>
    <cellStyle name="Normal 3 2 2 2 2 33" xfId="30558"/>
    <cellStyle name="Normal 3 2 2 2 2 33 2" xfId="30559"/>
    <cellStyle name="Normal 3 2 2 2 2 33 2 2" xfId="30560"/>
    <cellStyle name="Normal 3 2 2 2 2 33 2 3" xfId="30561"/>
    <cellStyle name="Normal 3 2 2 2 2 33 2 4" xfId="30562"/>
    <cellStyle name="Normal 3 2 2 2 2 33 3" xfId="30563"/>
    <cellStyle name="Normal 3 2 2 2 2 33 4" xfId="30564"/>
    <cellStyle name="Normal 3 2 2 2 2 33 5" xfId="30565"/>
    <cellStyle name="Normal 3 2 2 2 2 33 6" xfId="30566"/>
    <cellStyle name="Normal 3 2 2 2 2 34" xfId="30567"/>
    <cellStyle name="Normal 3 2 2 2 2 35" xfId="30568"/>
    <cellStyle name="Normal 3 2 2 2 2 36" xfId="30569"/>
    <cellStyle name="Normal 3 2 2 2 2 37" xfId="30570"/>
    <cellStyle name="Normal 3 2 2 2 2 38" xfId="30571"/>
    <cellStyle name="Normal 3 2 2 2 2 39" xfId="30572"/>
    <cellStyle name="Normal 3 2 2 2 2 39 2" xfId="30573"/>
    <cellStyle name="Normal 3 2 2 2 2 39 3" xfId="30574"/>
    <cellStyle name="Normal 3 2 2 2 2 39 4" xfId="30575"/>
    <cellStyle name="Normal 3 2 2 2 2 4" xfId="30576"/>
    <cellStyle name="Normal 3 2 2 2 2 40" xfId="30577"/>
    <cellStyle name="Normal 3 2 2 2 2 41" xfId="30578"/>
    <cellStyle name="Normal 3 2 2 2 2 42" xfId="30579"/>
    <cellStyle name="Normal 3 2 2 2 2 43" xfId="30580"/>
    <cellStyle name="Normal 3 2 2 2 2 44" xfId="30581"/>
    <cellStyle name="Normal 3 2 2 2 2 45" xfId="30582"/>
    <cellStyle name="Normal 3 2 2 2 2 46" xfId="30583"/>
    <cellStyle name="Normal 3 2 2 2 2 47" xfId="30584"/>
    <cellStyle name="Normal 3 2 2 2 2 48" xfId="30585"/>
    <cellStyle name="Normal 3 2 2 2 2 49" xfId="30586"/>
    <cellStyle name="Normal 3 2 2 2 2 5" xfId="30587"/>
    <cellStyle name="Normal 3 2 2 2 2 50" xfId="30588"/>
    <cellStyle name="Normal 3 2 2 2 2 51" xfId="30589"/>
    <cellStyle name="Normal 3 2 2 2 2 52" xfId="30590"/>
    <cellStyle name="Normal 3 2 2 2 2 53" xfId="30591"/>
    <cellStyle name="Normal 3 2 2 2 2 54" xfId="30592"/>
    <cellStyle name="Normal 3 2 2 2 2 54 2" xfId="30593"/>
    <cellStyle name="Normal 3 2 2 2 2 54 3" xfId="30594"/>
    <cellStyle name="Normal 3 2 2 2 2 54 4" xfId="30595"/>
    <cellStyle name="Normal 3 2 2 2 2 54 5" xfId="30596"/>
    <cellStyle name="Normal 3 2 2 2 2 54 6" xfId="30597"/>
    <cellStyle name="Normal 3 2 2 2 2 54 7" xfId="30598"/>
    <cellStyle name="Normal 3 2 2 2 2 55" xfId="30599"/>
    <cellStyle name="Normal 3 2 2 2 2 56" xfId="30600"/>
    <cellStyle name="Normal 3 2 2 2 2 57" xfId="30601"/>
    <cellStyle name="Normal 3 2 2 2 2 58" xfId="30602"/>
    <cellStyle name="Normal 3 2 2 2 2 59" xfId="30603"/>
    <cellStyle name="Normal 3 2 2 2 2 6" xfId="30604"/>
    <cellStyle name="Normal 3 2 2 2 2 60" xfId="30605"/>
    <cellStyle name="Normal 3 2 2 2 2 61" xfId="30606"/>
    <cellStyle name="Normal 3 2 2 2 2 62" xfId="30607"/>
    <cellStyle name="Normal 3 2 2 2 2 63" xfId="30608"/>
    <cellStyle name="Normal 3 2 2 2 2 64" xfId="30609"/>
    <cellStyle name="Normal 3 2 2 2 2 65" xfId="30610"/>
    <cellStyle name="Normal 3 2 2 2 2 66" xfId="30611"/>
    <cellStyle name="Normal 3 2 2 2 2 67" xfId="30612"/>
    <cellStyle name="Normal 3 2 2 2 2 68" xfId="30613"/>
    <cellStyle name="Normal 3 2 2 2 2 69" xfId="30614"/>
    <cellStyle name="Normal 3 2 2 2 2 7" xfId="30615"/>
    <cellStyle name="Normal 3 2 2 2 2 70" xfId="30616"/>
    <cellStyle name="Normal 3 2 2 2 2 71" xfId="30617"/>
    <cellStyle name="Normal 3 2 2 2 2 72" xfId="30618"/>
    <cellStyle name="Normal 3 2 2 2 2 73" xfId="30619"/>
    <cellStyle name="Normal 3 2 2 2 2 74" xfId="30620"/>
    <cellStyle name="Normal 3 2 2 2 2 75" xfId="30621"/>
    <cellStyle name="Normal 3 2 2 2 2 76" xfId="30622"/>
    <cellStyle name="Normal 3 2 2 2 2 77" xfId="30623"/>
    <cellStyle name="Normal 3 2 2 2 2 78" xfId="30624"/>
    <cellStyle name="Normal 3 2 2 2 2 79" xfId="30625"/>
    <cellStyle name="Normal 3 2 2 2 2 8" xfId="30626"/>
    <cellStyle name="Normal 3 2 2 2 2 80" xfId="30627"/>
    <cellStyle name="Normal 3 2 2 2 2 81" xfId="30628"/>
    <cellStyle name="Normal 3 2 2 2 2 82" xfId="30629"/>
    <cellStyle name="Normal 3 2 2 2 2 83" xfId="30630"/>
    <cellStyle name="Normal 3 2 2 2 2 84" xfId="30631"/>
    <cellStyle name="Normal 3 2 2 2 2 85" xfId="30632"/>
    <cellStyle name="Normal 3 2 2 2 2 86" xfId="30633"/>
    <cellStyle name="Normal 3 2 2 2 2 86 2" xfId="30634"/>
    <cellStyle name="Normal 3 2 2 2 2 86 3" xfId="30635"/>
    <cellStyle name="Normal 3 2 2 2 2 86 4" xfId="30636"/>
    <cellStyle name="Normal 3 2 2 2 2 87" xfId="30637"/>
    <cellStyle name="Normal 3 2 2 2 2 88" xfId="30638"/>
    <cellStyle name="Normal 3 2 2 2 2 89" xfId="30639"/>
    <cellStyle name="Normal 3 2 2 2 2 9" xfId="30640"/>
    <cellStyle name="Normal 3 2 2 2 20" xfId="30641"/>
    <cellStyle name="Normal 3 2 2 2 20 2" xfId="30642"/>
    <cellStyle name="Normal 3 2 2 2 20 3" xfId="30643"/>
    <cellStyle name="Normal 3 2 2 2 20 4" xfId="30644"/>
    <cellStyle name="Normal 3 2 2 2 20 5" xfId="30645"/>
    <cellStyle name="Normal 3 2 2 2 20 6" xfId="30646"/>
    <cellStyle name="Normal 3 2 2 2 21" xfId="30647"/>
    <cellStyle name="Normal 3 2 2 2 21 2" xfId="30648"/>
    <cellStyle name="Normal 3 2 2 2 21 3" xfId="30649"/>
    <cellStyle name="Normal 3 2 2 2 21 4" xfId="30650"/>
    <cellStyle name="Normal 3 2 2 2 21 5" xfId="30651"/>
    <cellStyle name="Normal 3 2 2 2 21 6" xfId="30652"/>
    <cellStyle name="Normal 3 2 2 2 22" xfId="30653"/>
    <cellStyle name="Normal 3 2 2 2 22 2" xfId="30654"/>
    <cellStyle name="Normal 3 2 2 2 22 3" xfId="30655"/>
    <cellStyle name="Normal 3 2 2 2 22 4" xfId="30656"/>
    <cellStyle name="Normal 3 2 2 2 22 5" xfId="30657"/>
    <cellStyle name="Normal 3 2 2 2 22 6" xfId="30658"/>
    <cellStyle name="Normal 3 2 2 2 23" xfId="30659"/>
    <cellStyle name="Normal 3 2 2 2 24" xfId="30660"/>
    <cellStyle name="Normal 3 2 2 2 25" xfId="30661"/>
    <cellStyle name="Normal 3 2 2 2 26" xfId="30662"/>
    <cellStyle name="Normal 3 2 2 2 27" xfId="30663"/>
    <cellStyle name="Normal 3 2 2 2 28" xfId="30664"/>
    <cellStyle name="Normal 3 2 2 2 28 10" xfId="30665"/>
    <cellStyle name="Normal 3 2 2 2 28 11" xfId="30666"/>
    <cellStyle name="Normal 3 2 2 2 28 11 10" xfId="30667"/>
    <cellStyle name="Normal 3 2 2 2 28 11 11" xfId="30668"/>
    <cellStyle name="Normal 3 2 2 2 28 11 11 2" xfId="30669"/>
    <cellStyle name="Normal 3 2 2 2 28 11 11 3" xfId="30670"/>
    <cellStyle name="Normal 3 2 2 2 28 11 11 4" xfId="30671"/>
    <cellStyle name="Normal 3 2 2 2 28 11 12" xfId="30672"/>
    <cellStyle name="Normal 3 2 2 2 28 11 13" xfId="30673"/>
    <cellStyle name="Normal 3 2 2 2 28 11 14" xfId="30674"/>
    <cellStyle name="Normal 3 2 2 2 28 11 2" xfId="30675"/>
    <cellStyle name="Normal 3 2 2 2 28 11 2 10" xfId="30676"/>
    <cellStyle name="Normal 3 2 2 2 28 11 2 11" xfId="30677"/>
    <cellStyle name="Normal 3 2 2 2 28 11 2 2" xfId="30678"/>
    <cellStyle name="Normal 3 2 2 2 28 11 2 2 10" xfId="30679"/>
    <cellStyle name="Normal 3 2 2 2 28 11 2 2 11" xfId="30680"/>
    <cellStyle name="Normal 3 2 2 2 28 11 2 2 2" xfId="30681"/>
    <cellStyle name="Normal 3 2 2 2 28 11 2 2 2 2" xfId="30682"/>
    <cellStyle name="Normal 3 2 2 2 28 11 2 2 2 2 2" xfId="30683"/>
    <cellStyle name="Normal 3 2 2 2 28 11 2 2 2 2 3" xfId="30684"/>
    <cellStyle name="Normal 3 2 2 2 28 11 2 2 2 2 4" xfId="30685"/>
    <cellStyle name="Normal 3 2 2 2 28 11 2 2 2 3" xfId="30686"/>
    <cellStyle name="Normal 3 2 2 2 28 11 2 2 2 4" xfId="30687"/>
    <cellStyle name="Normal 3 2 2 2 28 11 2 2 2 5" xfId="30688"/>
    <cellStyle name="Normal 3 2 2 2 28 11 2 2 2 6" xfId="30689"/>
    <cellStyle name="Normal 3 2 2 2 28 11 2 2 3" xfId="30690"/>
    <cellStyle name="Normal 3 2 2 2 28 11 2 2 4" xfId="30691"/>
    <cellStyle name="Normal 3 2 2 2 28 11 2 2 5" xfId="30692"/>
    <cellStyle name="Normal 3 2 2 2 28 11 2 2 6" xfId="30693"/>
    <cellStyle name="Normal 3 2 2 2 28 11 2 2 7" xfId="30694"/>
    <cellStyle name="Normal 3 2 2 2 28 11 2 2 8" xfId="30695"/>
    <cellStyle name="Normal 3 2 2 2 28 11 2 2 8 2" xfId="30696"/>
    <cellStyle name="Normal 3 2 2 2 28 11 2 2 8 3" xfId="30697"/>
    <cellStyle name="Normal 3 2 2 2 28 11 2 2 8 4" xfId="30698"/>
    <cellStyle name="Normal 3 2 2 2 28 11 2 2 9" xfId="30699"/>
    <cellStyle name="Normal 3 2 2 2 28 11 2 3" xfId="30700"/>
    <cellStyle name="Normal 3 2 2 2 28 11 2 3 2" xfId="30701"/>
    <cellStyle name="Normal 3 2 2 2 28 11 2 3 2 2" xfId="30702"/>
    <cellStyle name="Normal 3 2 2 2 28 11 2 3 2 3" xfId="30703"/>
    <cellStyle name="Normal 3 2 2 2 28 11 2 3 2 4" xfId="30704"/>
    <cellStyle name="Normal 3 2 2 2 28 11 2 3 3" xfId="30705"/>
    <cellStyle name="Normal 3 2 2 2 28 11 2 3 4" xfId="30706"/>
    <cellStyle name="Normal 3 2 2 2 28 11 2 3 5" xfId="30707"/>
    <cellStyle name="Normal 3 2 2 2 28 11 2 3 6" xfId="30708"/>
    <cellStyle name="Normal 3 2 2 2 28 11 2 4" xfId="30709"/>
    <cellStyle name="Normal 3 2 2 2 28 11 2 5" xfId="30710"/>
    <cellStyle name="Normal 3 2 2 2 28 11 2 6" xfId="30711"/>
    <cellStyle name="Normal 3 2 2 2 28 11 2 7" xfId="30712"/>
    <cellStyle name="Normal 3 2 2 2 28 11 2 8" xfId="30713"/>
    <cellStyle name="Normal 3 2 2 2 28 11 2 8 2" xfId="30714"/>
    <cellStyle name="Normal 3 2 2 2 28 11 2 8 3" xfId="30715"/>
    <cellStyle name="Normal 3 2 2 2 28 11 2 8 4" xfId="30716"/>
    <cellStyle name="Normal 3 2 2 2 28 11 2 9" xfId="30717"/>
    <cellStyle name="Normal 3 2 2 2 28 11 3" xfId="30718"/>
    <cellStyle name="Normal 3 2 2 2 28 11 4" xfId="30719"/>
    <cellStyle name="Normal 3 2 2 2 28 11 5" xfId="30720"/>
    <cellStyle name="Normal 3 2 2 2 28 11 5 2" xfId="30721"/>
    <cellStyle name="Normal 3 2 2 2 28 11 5 2 2" xfId="30722"/>
    <cellStyle name="Normal 3 2 2 2 28 11 5 2 3" xfId="30723"/>
    <cellStyle name="Normal 3 2 2 2 28 11 5 2 4" xfId="30724"/>
    <cellStyle name="Normal 3 2 2 2 28 11 5 3" xfId="30725"/>
    <cellStyle name="Normal 3 2 2 2 28 11 5 4" xfId="30726"/>
    <cellStyle name="Normal 3 2 2 2 28 11 5 5" xfId="30727"/>
    <cellStyle name="Normal 3 2 2 2 28 11 5 6" xfId="30728"/>
    <cellStyle name="Normal 3 2 2 2 28 11 6" xfId="30729"/>
    <cellStyle name="Normal 3 2 2 2 28 11 7" xfId="30730"/>
    <cellStyle name="Normal 3 2 2 2 28 11 8" xfId="30731"/>
    <cellStyle name="Normal 3 2 2 2 28 11 9" xfId="30732"/>
    <cellStyle name="Normal 3 2 2 2 28 12" xfId="30733"/>
    <cellStyle name="Normal 3 2 2 2 28 13" xfId="30734"/>
    <cellStyle name="Normal 3 2 2 2 28 13 10" xfId="30735"/>
    <cellStyle name="Normal 3 2 2 2 28 13 11" xfId="30736"/>
    <cellStyle name="Normal 3 2 2 2 28 13 2" xfId="30737"/>
    <cellStyle name="Normal 3 2 2 2 28 13 2 10" xfId="30738"/>
    <cellStyle name="Normal 3 2 2 2 28 13 2 11" xfId="30739"/>
    <cellStyle name="Normal 3 2 2 2 28 13 2 2" xfId="30740"/>
    <cellStyle name="Normal 3 2 2 2 28 13 2 2 2" xfId="30741"/>
    <cellStyle name="Normal 3 2 2 2 28 13 2 2 2 2" xfId="30742"/>
    <cellStyle name="Normal 3 2 2 2 28 13 2 2 2 3" xfId="30743"/>
    <cellStyle name="Normal 3 2 2 2 28 13 2 2 2 4" xfId="30744"/>
    <cellStyle name="Normal 3 2 2 2 28 13 2 2 3" xfId="30745"/>
    <cellStyle name="Normal 3 2 2 2 28 13 2 2 4" xfId="30746"/>
    <cellStyle name="Normal 3 2 2 2 28 13 2 2 5" xfId="30747"/>
    <cellStyle name="Normal 3 2 2 2 28 13 2 2 6" xfId="30748"/>
    <cellStyle name="Normal 3 2 2 2 28 13 2 3" xfId="30749"/>
    <cellStyle name="Normal 3 2 2 2 28 13 2 4" xfId="30750"/>
    <cellStyle name="Normal 3 2 2 2 28 13 2 5" xfId="30751"/>
    <cellStyle name="Normal 3 2 2 2 28 13 2 6" xfId="30752"/>
    <cellStyle name="Normal 3 2 2 2 28 13 2 7" xfId="30753"/>
    <cellStyle name="Normal 3 2 2 2 28 13 2 8" xfId="30754"/>
    <cellStyle name="Normal 3 2 2 2 28 13 2 8 2" xfId="30755"/>
    <cellStyle name="Normal 3 2 2 2 28 13 2 8 3" xfId="30756"/>
    <cellStyle name="Normal 3 2 2 2 28 13 2 8 4" xfId="30757"/>
    <cellStyle name="Normal 3 2 2 2 28 13 2 9" xfId="30758"/>
    <cellStyle name="Normal 3 2 2 2 28 13 3" xfId="30759"/>
    <cellStyle name="Normal 3 2 2 2 28 13 3 2" xfId="30760"/>
    <cellStyle name="Normal 3 2 2 2 28 13 3 2 2" xfId="30761"/>
    <cellStyle name="Normal 3 2 2 2 28 13 3 2 3" xfId="30762"/>
    <cellStyle name="Normal 3 2 2 2 28 13 3 2 4" xfId="30763"/>
    <cellStyle name="Normal 3 2 2 2 28 13 3 3" xfId="30764"/>
    <cellStyle name="Normal 3 2 2 2 28 13 3 4" xfId="30765"/>
    <cellStyle name="Normal 3 2 2 2 28 13 3 5" xfId="30766"/>
    <cellStyle name="Normal 3 2 2 2 28 13 3 6" xfId="30767"/>
    <cellStyle name="Normal 3 2 2 2 28 13 4" xfId="30768"/>
    <cellStyle name="Normal 3 2 2 2 28 13 5" xfId="30769"/>
    <cellStyle name="Normal 3 2 2 2 28 13 6" xfId="30770"/>
    <cellStyle name="Normal 3 2 2 2 28 13 7" xfId="30771"/>
    <cellStyle name="Normal 3 2 2 2 28 13 8" xfId="30772"/>
    <cellStyle name="Normal 3 2 2 2 28 13 8 2" xfId="30773"/>
    <cellStyle name="Normal 3 2 2 2 28 13 8 3" xfId="30774"/>
    <cellStyle name="Normal 3 2 2 2 28 13 8 4" xfId="30775"/>
    <cellStyle name="Normal 3 2 2 2 28 13 9" xfId="30776"/>
    <cellStyle name="Normal 3 2 2 2 28 14" xfId="30777"/>
    <cellStyle name="Normal 3 2 2 2 28 15" xfId="30778"/>
    <cellStyle name="Normal 3 2 2 2 28 15 2" xfId="30779"/>
    <cellStyle name="Normal 3 2 2 2 28 15 2 2" xfId="30780"/>
    <cellStyle name="Normal 3 2 2 2 28 15 2 3" xfId="30781"/>
    <cellStyle name="Normal 3 2 2 2 28 15 2 4" xfId="30782"/>
    <cellStyle name="Normal 3 2 2 2 28 15 3" xfId="30783"/>
    <cellStyle name="Normal 3 2 2 2 28 15 4" xfId="30784"/>
    <cellStyle name="Normal 3 2 2 2 28 15 5" xfId="30785"/>
    <cellStyle name="Normal 3 2 2 2 28 15 6" xfId="30786"/>
    <cellStyle name="Normal 3 2 2 2 28 16" xfId="30787"/>
    <cellStyle name="Normal 3 2 2 2 28 17" xfId="30788"/>
    <cellStyle name="Normal 3 2 2 2 28 18" xfId="30789"/>
    <cellStyle name="Normal 3 2 2 2 28 19" xfId="30790"/>
    <cellStyle name="Normal 3 2 2 2 28 2" xfId="30791"/>
    <cellStyle name="Normal 3 2 2 2 28 2 10" xfId="30792"/>
    <cellStyle name="Normal 3 2 2 2 28 2 11" xfId="30793"/>
    <cellStyle name="Normal 3 2 2 2 28 2 12" xfId="30794"/>
    <cellStyle name="Normal 3 2 2 2 28 2 13" xfId="30795"/>
    <cellStyle name="Normal 3 2 2 2 28 2 13 2" xfId="30796"/>
    <cellStyle name="Normal 3 2 2 2 28 2 13 3" xfId="30797"/>
    <cellStyle name="Normal 3 2 2 2 28 2 13 4" xfId="30798"/>
    <cellStyle name="Normal 3 2 2 2 28 2 14" xfId="30799"/>
    <cellStyle name="Normal 3 2 2 2 28 2 15" xfId="30800"/>
    <cellStyle name="Normal 3 2 2 2 28 2 16" xfId="30801"/>
    <cellStyle name="Normal 3 2 2 2 28 2 2" xfId="30802"/>
    <cellStyle name="Normal 3 2 2 2 28 2 2 10" xfId="30803"/>
    <cellStyle name="Normal 3 2 2 2 28 2 2 11" xfId="30804"/>
    <cellStyle name="Normal 3 2 2 2 28 2 2 11 2" xfId="30805"/>
    <cellStyle name="Normal 3 2 2 2 28 2 2 11 3" xfId="30806"/>
    <cellStyle name="Normal 3 2 2 2 28 2 2 11 4" xfId="30807"/>
    <cellStyle name="Normal 3 2 2 2 28 2 2 12" xfId="30808"/>
    <cellStyle name="Normal 3 2 2 2 28 2 2 13" xfId="30809"/>
    <cellStyle name="Normal 3 2 2 2 28 2 2 14" xfId="30810"/>
    <cellStyle name="Normal 3 2 2 2 28 2 2 2" xfId="30811"/>
    <cellStyle name="Normal 3 2 2 2 28 2 2 2 10" xfId="30812"/>
    <cellStyle name="Normal 3 2 2 2 28 2 2 2 11" xfId="30813"/>
    <cellStyle name="Normal 3 2 2 2 28 2 2 2 2" xfId="30814"/>
    <cellStyle name="Normal 3 2 2 2 28 2 2 2 2 10" xfId="30815"/>
    <cellStyle name="Normal 3 2 2 2 28 2 2 2 2 11" xfId="30816"/>
    <cellStyle name="Normal 3 2 2 2 28 2 2 2 2 2" xfId="30817"/>
    <cellStyle name="Normal 3 2 2 2 28 2 2 2 2 2 2" xfId="30818"/>
    <cellStyle name="Normal 3 2 2 2 28 2 2 2 2 2 2 2" xfId="30819"/>
    <cellStyle name="Normal 3 2 2 2 28 2 2 2 2 2 2 3" xfId="30820"/>
    <cellStyle name="Normal 3 2 2 2 28 2 2 2 2 2 2 4" xfId="30821"/>
    <cellStyle name="Normal 3 2 2 2 28 2 2 2 2 2 3" xfId="30822"/>
    <cellStyle name="Normal 3 2 2 2 28 2 2 2 2 2 4" xfId="30823"/>
    <cellStyle name="Normal 3 2 2 2 28 2 2 2 2 2 5" xfId="30824"/>
    <cellStyle name="Normal 3 2 2 2 28 2 2 2 2 2 6" xfId="30825"/>
    <cellStyle name="Normal 3 2 2 2 28 2 2 2 2 3" xfId="30826"/>
    <cellStyle name="Normal 3 2 2 2 28 2 2 2 2 4" xfId="30827"/>
    <cellStyle name="Normal 3 2 2 2 28 2 2 2 2 5" xfId="30828"/>
    <cellStyle name="Normal 3 2 2 2 28 2 2 2 2 6" xfId="30829"/>
    <cellStyle name="Normal 3 2 2 2 28 2 2 2 2 7" xfId="30830"/>
    <cellStyle name="Normal 3 2 2 2 28 2 2 2 2 8" xfId="30831"/>
    <cellStyle name="Normal 3 2 2 2 28 2 2 2 2 8 2" xfId="30832"/>
    <cellStyle name="Normal 3 2 2 2 28 2 2 2 2 8 3" xfId="30833"/>
    <cellStyle name="Normal 3 2 2 2 28 2 2 2 2 8 4" xfId="30834"/>
    <cellStyle name="Normal 3 2 2 2 28 2 2 2 2 9" xfId="30835"/>
    <cellStyle name="Normal 3 2 2 2 28 2 2 2 3" xfId="30836"/>
    <cellStyle name="Normal 3 2 2 2 28 2 2 2 3 2" xfId="30837"/>
    <cellStyle name="Normal 3 2 2 2 28 2 2 2 3 2 2" xfId="30838"/>
    <cellStyle name="Normal 3 2 2 2 28 2 2 2 3 2 3" xfId="30839"/>
    <cellStyle name="Normal 3 2 2 2 28 2 2 2 3 2 4" xfId="30840"/>
    <cellStyle name="Normal 3 2 2 2 28 2 2 2 3 3" xfId="30841"/>
    <cellStyle name="Normal 3 2 2 2 28 2 2 2 3 4" xfId="30842"/>
    <cellStyle name="Normal 3 2 2 2 28 2 2 2 3 5" xfId="30843"/>
    <cellStyle name="Normal 3 2 2 2 28 2 2 2 3 6" xfId="30844"/>
    <cellStyle name="Normal 3 2 2 2 28 2 2 2 4" xfId="30845"/>
    <cellStyle name="Normal 3 2 2 2 28 2 2 2 5" xfId="30846"/>
    <cellStyle name="Normal 3 2 2 2 28 2 2 2 6" xfId="30847"/>
    <cellStyle name="Normal 3 2 2 2 28 2 2 2 7" xfId="30848"/>
    <cellStyle name="Normal 3 2 2 2 28 2 2 2 8" xfId="30849"/>
    <cellStyle name="Normal 3 2 2 2 28 2 2 2 8 2" xfId="30850"/>
    <cellStyle name="Normal 3 2 2 2 28 2 2 2 8 3" xfId="30851"/>
    <cellStyle name="Normal 3 2 2 2 28 2 2 2 8 4" xfId="30852"/>
    <cellStyle name="Normal 3 2 2 2 28 2 2 2 9" xfId="30853"/>
    <cellStyle name="Normal 3 2 2 2 28 2 2 3" xfId="30854"/>
    <cellStyle name="Normal 3 2 2 2 28 2 2 4" xfId="30855"/>
    <cellStyle name="Normal 3 2 2 2 28 2 2 5" xfId="30856"/>
    <cellStyle name="Normal 3 2 2 2 28 2 2 5 2" xfId="30857"/>
    <cellStyle name="Normal 3 2 2 2 28 2 2 5 2 2" xfId="30858"/>
    <cellStyle name="Normal 3 2 2 2 28 2 2 5 2 3" xfId="30859"/>
    <cellStyle name="Normal 3 2 2 2 28 2 2 5 2 4" xfId="30860"/>
    <cellStyle name="Normal 3 2 2 2 28 2 2 5 3" xfId="30861"/>
    <cellStyle name="Normal 3 2 2 2 28 2 2 5 4" xfId="30862"/>
    <cellStyle name="Normal 3 2 2 2 28 2 2 5 5" xfId="30863"/>
    <cellStyle name="Normal 3 2 2 2 28 2 2 5 6" xfId="30864"/>
    <cellStyle name="Normal 3 2 2 2 28 2 2 6" xfId="30865"/>
    <cellStyle name="Normal 3 2 2 2 28 2 2 7" xfId="30866"/>
    <cellStyle name="Normal 3 2 2 2 28 2 2 8" xfId="30867"/>
    <cellStyle name="Normal 3 2 2 2 28 2 2 9" xfId="30868"/>
    <cellStyle name="Normal 3 2 2 2 28 2 3" xfId="30869"/>
    <cellStyle name="Normal 3 2 2 2 28 2 4" xfId="30870"/>
    <cellStyle name="Normal 3 2 2 2 28 2 5" xfId="30871"/>
    <cellStyle name="Normal 3 2 2 2 28 2 5 10" xfId="30872"/>
    <cellStyle name="Normal 3 2 2 2 28 2 5 11" xfId="30873"/>
    <cellStyle name="Normal 3 2 2 2 28 2 5 2" xfId="30874"/>
    <cellStyle name="Normal 3 2 2 2 28 2 5 2 10" xfId="30875"/>
    <cellStyle name="Normal 3 2 2 2 28 2 5 2 11" xfId="30876"/>
    <cellStyle name="Normal 3 2 2 2 28 2 5 2 2" xfId="30877"/>
    <cellStyle name="Normal 3 2 2 2 28 2 5 2 2 2" xfId="30878"/>
    <cellStyle name="Normal 3 2 2 2 28 2 5 2 2 2 2" xfId="30879"/>
    <cellStyle name="Normal 3 2 2 2 28 2 5 2 2 2 3" xfId="30880"/>
    <cellStyle name="Normal 3 2 2 2 28 2 5 2 2 2 4" xfId="30881"/>
    <cellStyle name="Normal 3 2 2 2 28 2 5 2 2 3" xfId="30882"/>
    <cellStyle name="Normal 3 2 2 2 28 2 5 2 2 4" xfId="30883"/>
    <cellStyle name="Normal 3 2 2 2 28 2 5 2 2 5" xfId="30884"/>
    <cellStyle name="Normal 3 2 2 2 28 2 5 2 2 6" xfId="30885"/>
    <cellStyle name="Normal 3 2 2 2 28 2 5 2 3" xfId="30886"/>
    <cellStyle name="Normal 3 2 2 2 28 2 5 2 4" xfId="30887"/>
    <cellStyle name="Normal 3 2 2 2 28 2 5 2 5" xfId="30888"/>
    <cellStyle name="Normal 3 2 2 2 28 2 5 2 6" xfId="30889"/>
    <cellStyle name="Normal 3 2 2 2 28 2 5 2 7" xfId="30890"/>
    <cellStyle name="Normal 3 2 2 2 28 2 5 2 8" xfId="30891"/>
    <cellStyle name="Normal 3 2 2 2 28 2 5 2 8 2" xfId="30892"/>
    <cellStyle name="Normal 3 2 2 2 28 2 5 2 8 3" xfId="30893"/>
    <cellStyle name="Normal 3 2 2 2 28 2 5 2 8 4" xfId="30894"/>
    <cellStyle name="Normal 3 2 2 2 28 2 5 2 9" xfId="30895"/>
    <cellStyle name="Normal 3 2 2 2 28 2 5 3" xfId="30896"/>
    <cellStyle name="Normal 3 2 2 2 28 2 5 3 2" xfId="30897"/>
    <cellStyle name="Normal 3 2 2 2 28 2 5 3 2 2" xfId="30898"/>
    <cellStyle name="Normal 3 2 2 2 28 2 5 3 2 3" xfId="30899"/>
    <cellStyle name="Normal 3 2 2 2 28 2 5 3 2 4" xfId="30900"/>
    <cellStyle name="Normal 3 2 2 2 28 2 5 3 3" xfId="30901"/>
    <cellStyle name="Normal 3 2 2 2 28 2 5 3 4" xfId="30902"/>
    <cellStyle name="Normal 3 2 2 2 28 2 5 3 5" xfId="30903"/>
    <cellStyle name="Normal 3 2 2 2 28 2 5 3 6" xfId="30904"/>
    <cellStyle name="Normal 3 2 2 2 28 2 5 4" xfId="30905"/>
    <cellStyle name="Normal 3 2 2 2 28 2 5 5" xfId="30906"/>
    <cellStyle name="Normal 3 2 2 2 28 2 5 6" xfId="30907"/>
    <cellStyle name="Normal 3 2 2 2 28 2 5 7" xfId="30908"/>
    <cellStyle name="Normal 3 2 2 2 28 2 5 8" xfId="30909"/>
    <cellStyle name="Normal 3 2 2 2 28 2 5 8 2" xfId="30910"/>
    <cellStyle name="Normal 3 2 2 2 28 2 5 8 3" xfId="30911"/>
    <cellStyle name="Normal 3 2 2 2 28 2 5 8 4" xfId="30912"/>
    <cellStyle name="Normal 3 2 2 2 28 2 5 9" xfId="30913"/>
    <cellStyle name="Normal 3 2 2 2 28 2 6" xfId="30914"/>
    <cellStyle name="Normal 3 2 2 2 28 2 7" xfId="30915"/>
    <cellStyle name="Normal 3 2 2 2 28 2 7 2" xfId="30916"/>
    <cellStyle name="Normal 3 2 2 2 28 2 7 2 2" xfId="30917"/>
    <cellStyle name="Normal 3 2 2 2 28 2 7 2 3" xfId="30918"/>
    <cellStyle name="Normal 3 2 2 2 28 2 7 2 4" xfId="30919"/>
    <cellStyle name="Normal 3 2 2 2 28 2 7 3" xfId="30920"/>
    <cellStyle name="Normal 3 2 2 2 28 2 7 4" xfId="30921"/>
    <cellStyle name="Normal 3 2 2 2 28 2 7 5" xfId="30922"/>
    <cellStyle name="Normal 3 2 2 2 28 2 7 6" xfId="30923"/>
    <cellStyle name="Normal 3 2 2 2 28 2 8" xfId="30924"/>
    <cellStyle name="Normal 3 2 2 2 28 2 9" xfId="30925"/>
    <cellStyle name="Normal 3 2 2 2 28 20" xfId="30926"/>
    <cellStyle name="Normal 3 2 2 2 28 21" xfId="30927"/>
    <cellStyle name="Normal 3 2 2 2 28 21 2" xfId="30928"/>
    <cellStyle name="Normal 3 2 2 2 28 21 3" xfId="30929"/>
    <cellStyle name="Normal 3 2 2 2 28 21 4" xfId="30930"/>
    <cellStyle name="Normal 3 2 2 2 28 22" xfId="30931"/>
    <cellStyle name="Normal 3 2 2 2 28 23" xfId="30932"/>
    <cellStyle name="Normal 3 2 2 2 28 24" xfId="30933"/>
    <cellStyle name="Normal 3 2 2 2 28 3" xfId="30934"/>
    <cellStyle name="Normal 3 2 2 2 28 4" xfId="30935"/>
    <cellStyle name="Normal 3 2 2 2 28 5" xfId="30936"/>
    <cellStyle name="Normal 3 2 2 2 28 6" xfId="30937"/>
    <cellStyle name="Normal 3 2 2 2 28 7" xfId="30938"/>
    <cellStyle name="Normal 3 2 2 2 28 8" xfId="30939"/>
    <cellStyle name="Normal 3 2 2 2 28 9" xfId="30940"/>
    <cellStyle name="Normal 3 2 2 2 29" xfId="30941"/>
    <cellStyle name="Normal 3 2 2 2 29 10" xfId="30942"/>
    <cellStyle name="Normal 3 2 2 2 29 11" xfId="30943"/>
    <cellStyle name="Normal 3 2 2 2 29 12" xfId="30944"/>
    <cellStyle name="Normal 3 2 2 2 29 13" xfId="30945"/>
    <cellStyle name="Normal 3 2 2 2 29 13 2" xfId="30946"/>
    <cellStyle name="Normal 3 2 2 2 29 13 3" xfId="30947"/>
    <cellStyle name="Normal 3 2 2 2 29 13 4" xfId="30948"/>
    <cellStyle name="Normal 3 2 2 2 29 14" xfId="30949"/>
    <cellStyle name="Normal 3 2 2 2 29 15" xfId="30950"/>
    <cellStyle name="Normal 3 2 2 2 29 16" xfId="30951"/>
    <cellStyle name="Normal 3 2 2 2 29 2" xfId="30952"/>
    <cellStyle name="Normal 3 2 2 2 29 2 10" xfId="30953"/>
    <cellStyle name="Normal 3 2 2 2 29 2 11" xfId="30954"/>
    <cellStyle name="Normal 3 2 2 2 29 2 11 2" xfId="30955"/>
    <cellStyle name="Normal 3 2 2 2 29 2 11 3" xfId="30956"/>
    <cellStyle name="Normal 3 2 2 2 29 2 11 4" xfId="30957"/>
    <cellStyle name="Normal 3 2 2 2 29 2 12" xfId="30958"/>
    <cellStyle name="Normal 3 2 2 2 29 2 13" xfId="30959"/>
    <cellStyle name="Normal 3 2 2 2 29 2 14" xfId="30960"/>
    <cellStyle name="Normal 3 2 2 2 29 2 2" xfId="30961"/>
    <cellStyle name="Normal 3 2 2 2 29 2 2 10" xfId="30962"/>
    <cellStyle name="Normal 3 2 2 2 29 2 2 11" xfId="30963"/>
    <cellStyle name="Normal 3 2 2 2 29 2 2 2" xfId="30964"/>
    <cellStyle name="Normal 3 2 2 2 29 2 2 2 10" xfId="30965"/>
    <cellStyle name="Normal 3 2 2 2 29 2 2 2 11" xfId="30966"/>
    <cellStyle name="Normal 3 2 2 2 29 2 2 2 2" xfId="30967"/>
    <cellStyle name="Normal 3 2 2 2 29 2 2 2 2 2" xfId="30968"/>
    <cellStyle name="Normal 3 2 2 2 29 2 2 2 2 2 2" xfId="30969"/>
    <cellStyle name="Normal 3 2 2 2 29 2 2 2 2 2 3" xfId="30970"/>
    <cellStyle name="Normal 3 2 2 2 29 2 2 2 2 2 4" xfId="30971"/>
    <cellStyle name="Normal 3 2 2 2 29 2 2 2 2 3" xfId="30972"/>
    <cellStyle name="Normal 3 2 2 2 29 2 2 2 2 4" xfId="30973"/>
    <cellStyle name="Normal 3 2 2 2 29 2 2 2 2 5" xfId="30974"/>
    <cellStyle name="Normal 3 2 2 2 29 2 2 2 2 6" xfId="30975"/>
    <cellStyle name="Normal 3 2 2 2 29 2 2 2 3" xfId="30976"/>
    <cellStyle name="Normal 3 2 2 2 29 2 2 2 4" xfId="30977"/>
    <cellStyle name="Normal 3 2 2 2 29 2 2 2 5" xfId="30978"/>
    <cellStyle name="Normal 3 2 2 2 29 2 2 2 6" xfId="30979"/>
    <cellStyle name="Normal 3 2 2 2 29 2 2 2 7" xfId="30980"/>
    <cellStyle name="Normal 3 2 2 2 29 2 2 2 8" xfId="30981"/>
    <cellStyle name="Normal 3 2 2 2 29 2 2 2 8 2" xfId="30982"/>
    <cellStyle name="Normal 3 2 2 2 29 2 2 2 8 3" xfId="30983"/>
    <cellStyle name="Normal 3 2 2 2 29 2 2 2 8 4" xfId="30984"/>
    <cellStyle name="Normal 3 2 2 2 29 2 2 2 9" xfId="30985"/>
    <cellStyle name="Normal 3 2 2 2 29 2 2 3" xfId="30986"/>
    <cellStyle name="Normal 3 2 2 2 29 2 2 3 2" xfId="30987"/>
    <cellStyle name="Normal 3 2 2 2 29 2 2 3 2 2" xfId="30988"/>
    <cellStyle name="Normal 3 2 2 2 29 2 2 3 2 3" xfId="30989"/>
    <cellStyle name="Normal 3 2 2 2 29 2 2 3 2 4" xfId="30990"/>
    <cellStyle name="Normal 3 2 2 2 29 2 2 3 3" xfId="30991"/>
    <cellStyle name="Normal 3 2 2 2 29 2 2 3 4" xfId="30992"/>
    <cellStyle name="Normal 3 2 2 2 29 2 2 3 5" xfId="30993"/>
    <cellStyle name="Normal 3 2 2 2 29 2 2 3 6" xfId="30994"/>
    <cellStyle name="Normal 3 2 2 2 29 2 2 4" xfId="30995"/>
    <cellStyle name="Normal 3 2 2 2 29 2 2 5" xfId="30996"/>
    <cellStyle name="Normal 3 2 2 2 29 2 2 6" xfId="30997"/>
    <cellStyle name="Normal 3 2 2 2 29 2 2 7" xfId="30998"/>
    <cellStyle name="Normal 3 2 2 2 29 2 2 8" xfId="30999"/>
    <cellStyle name="Normal 3 2 2 2 29 2 2 8 2" xfId="31000"/>
    <cellStyle name="Normal 3 2 2 2 29 2 2 8 3" xfId="31001"/>
    <cellStyle name="Normal 3 2 2 2 29 2 2 8 4" xfId="31002"/>
    <cellStyle name="Normal 3 2 2 2 29 2 2 9" xfId="31003"/>
    <cellStyle name="Normal 3 2 2 2 29 2 3" xfId="31004"/>
    <cellStyle name="Normal 3 2 2 2 29 2 4" xfId="31005"/>
    <cellStyle name="Normal 3 2 2 2 29 2 5" xfId="31006"/>
    <cellStyle name="Normal 3 2 2 2 29 2 5 2" xfId="31007"/>
    <cellStyle name="Normal 3 2 2 2 29 2 5 2 2" xfId="31008"/>
    <cellStyle name="Normal 3 2 2 2 29 2 5 2 3" xfId="31009"/>
    <cellStyle name="Normal 3 2 2 2 29 2 5 2 4" xfId="31010"/>
    <cellStyle name="Normal 3 2 2 2 29 2 5 3" xfId="31011"/>
    <cellStyle name="Normal 3 2 2 2 29 2 5 4" xfId="31012"/>
    <cellStyle name="Normal 3 2 2 2 29 2 5 5" xfId="31013"/>
    <cellStyle name="Normal 3 2 2 2 29 2 5 6" xfId="31014"/>
    <cellStyle name="Normal 3 2 2 2 29 2 6" xfId="31015"/>
    <cellStyle name="Normal 3 2 2 2 29 2 7" xfId="31016"/>
    <cellStyle name="Normal 3 2 2 2 29 2 8" xfId="31017"/>
    <cellStyle name="Normal 3 2 2 2 29 2 9" xfId="31018"/>
    <cellStyle name="Normal 3 2 2 2 29 3" xfId="31019"/>
    <cellStyle name="Normal 3 2 2 2 29 4" xfId="31020"/>
    <cellStyle name="Normal 3 2 2 2 29 5" xfId="31021"/>
    <cellStyle name="Normal 3 2 2 2 29 5 10" xfId="31022"/>
    <cellStyle name="Normal 3 2 2 2 29 5 11" xfId="31023"/>
    <cellStyle name="Normal 3 2 2 2 29 5 2" xfId="31024"/>
    <cellStyle name="Normal 3 2 2 2 29 5 2 10" xfId="31025"/>
    <cellStyle name="Normal 3 2 2 2 29 5 2 11" xfId="31026"/>
    <cellStyle name="Normal 3 2 2 2 29 5 2 2" xfId="31027"/>
    <cellStyle name="Normal 3 2 2 2 29 5 2 2 2" xfId="31028"/>
    <cellStyle name="Normal 3 2 2 2 29 5 2 2 2 2" xfId="31029"/>
    <cellStyle name="Normal 3 2 2 2 29 5 2 2 2 3" xfId="31030"/>
    <cellStyle name="Normal 3 2 2 2 29 5 2 2 2 4" xfId="31031"/>
    <cellStyle name="Normal 3 2 2 2 29 5 2 2 3" xfId="31032"/>
    <cellStyle name="Normal 3 2 2 2 29 5 2 2 4" xfId="31033"/>
    <cellStyle name="Normal 3 2 2 2 29 5 2 2 5" xfId="31034"/>
    <cellStyle name="Normal 3 2 2 2 29 5 2 2 6" xfId="31035"/>
    <cellStyle name="Normal 3 2 2 2 29 5 2 3" xfId="31036"/>
    <cellStyle name="Normal 3 2 2 2 29 5 2 4" xfId="31037"/>
    <cellStyle name="Normal 3 2 2 2 29 5 2 5" xfId="31038"/>
    <cellStyle name="Normal 3 2 2 2 29 5 2 6" xfId="31039"/>
    <cellStyle name="Normal 3 2 2 2 29 5 2 7" xfId="31040"/>
    <cellStyle name="Normal 3 2 2 2 29 5 2 8" xfId="31041"/>
    <cellStyle name="Normal 3 2 2 2 29 5 2 8 2" xfId="31042"/>
    <cellStyle name="Normal 3 2 2 2 29 5 2 8 3" xfId="31043"/>
    <cellStyle name="Normal 3 2 2 2 29 5 2 8 4" xfId="31044"/>
    <cellStyle name="Normal 3 2 2 2 29 5 2 9" xfId="31045"/>
    <cellStyle name="Normal 3 2 2 2 29 5 3" xfId="31046"/>
    <cellStyle name="Normal 3 2 2 2 29 5 3 2" xfId="31047"/>
    <cellStyle name="Normal 3 2 2 2 29 5 3 2 2" xfId="31048"/>
    <cellStyle name="Normal 3 2 2 2 29 5 3 2 3" xfId="31049"/>
    <cellStyle name="Normal 3 2 2 2 29 5 3 2 4" xfId="31050"/>
    <cellStyle name="Normal 3 2 2 2 29 5 3 3" xfId="31051"/>
    <cellStyle name="Normal 3 2 2 2 29 5 3 4" xfId="31052"/>
    <cellStyle name="Normal 3 2 2 2 29 5 3 5" xfId="31053"/>
    <cellStyle name="Normal 3 2 2 2 29 5 3 6" xfId="31054"/>
    <cellStyle name="Normal 3 2 2 2 29 5 4" xfId="31055"/>
    <cellStyle name="Normal 3 2 2 2 29 5 5" xfId="31056"/>
    <cellStyle name="Normal 3 2 2 2 29 5 6" xfId="31057"/>
    <cellStyle name="Normal 3 2 2 2 29 5 7" xfId="31058"/>
    <cellStyle name="Normal 3 2 2 2 29 5 8" xfId="31059"/>
    <cellStyle name="Normal 3 2 2 2 29 5 8 2" xfId="31060"/>
    <cellStyle name="Normal 3 2 2 2 29 5 8 3" xfId="31061"/>
    <cellStyle name="Normal 3 2 2 2 29 5 8 4" xfId="31062"/>
    <cellStyle name="Normal 3 2 2 2 29 5 9" xfId="31063"/>
    <cellStyle name="Normal 3 2 2 2 29 6" xfId="31064"/>
    <cellStyle name="Normal 3 2 2 2 29 7" xfId="31065"/>
    <cellStyle name="Normal 3 2 2 2 29 7 2" xfId="31066"/>
    <cellStyle name="Normal 3 2 2 2 29 7 2 2" xfId="31067"/>
    <cellStyle name="Normal 3 2 2 2 29 7 2 3" xfId="31068"/>
    <cellStyle name="Normal 3 2 2 2 29 7 2 4" xfId="31069"/>
    <cellStyle name="Normal 3 2 2 2 29 7 3" xfId="31070"/>
    <cellStyle name="Normal 3 2 2 2 29 7 4" xfId="31071"/>
    <cellStyle name="Normal 3 2 2 2 29 7 5" xfId="31072"/>
    <cellStyle name="Normal 3 2 2 2 29 7 6" xfId="31073"/>
    <cellStyle name="Normal 3 2 2 2 29 8" xfId="31074"/>
    <cellStyle name="Normal 3 2 2 2 29 9" xfId="31075"/>
    <cellStyle name="Normal 3 2 2 2 3" xfId="31076"/>
    <cellStyle name="Normal 3 2 2 2 3 10" xfId="31077"/>
    <cellStyle name="Normal 3 2 2 2 3 11" xfId="31078"/>
    <cellStyle name="Normal 3 2 2 2 3 2" xfId="31079"/>
    <cellStyle name="Normal 3 2 2 2 3 2 2" xfId="31080"/>
    <cellStyle name="Normal 3 2 2 2 3 2 3" xfId="31081"/>
    <cellStyle name="Normal 3 2 2 2 3 2 4" xfId="31082"/>
    <cellStyle name="Normal 3 2 2 2 3 2 5" xfId="31083"/>
    <cellStyle name="Normal 3 2 2 2 3 2 6" xfId="31084"/>
    <cellStyle name="Normal 3 2 2 2 3 3" xfId="31085"/>
    <cellStyle name="Normal 3 2 2 2 3 3 2" xfId="31086"/>
    <cellStyle name="Normal 3 2 2 2 3 3 3" xfId="31087"/>
    <cellStyle name="Normal 3 2 2 2 3 3 4" xfId="31088"/>
    <cellStyle name="Normal 3 2 2 2 3 3 5" xfId="31089"/>
    <cellStyle name="Normal 3 2 2 2 3 3 6" xfId="31090"/>
    <cellStyle name="Normal 3 2 2 2 3 4" xfId="31091"/>
    <cellStyle name="Normal 3 2 2 2 3 4 2" xfId="31092"/>
    <cellStyle name="Normal 3 2 2 2 3 4 3" xfId="31093"/>
    <cellStyle name="Normal 3 2 2 2 3 4 4" xfId="31094"/>
    <cellStyle name="Normal 3 2 2 2 3 4 5" xfId="31095"/>
    <cellStyle name="Normal 3 2 2 2 3 4 6" xfId="31096"/>
    <cellStyle name="Normal 3 2 2 2 3 5" xfId="31097"/>
    <cellStyle name="Normal 3 2 2 2 3 5 2" xfId="31098"/>
    <cellStyle name="Normal 3 2 2 2 3 5 3" xfId="31099"/>
    <cellStyle name="Normal 3 2 2 2 3 5 4" xfId="31100"/>
    <cellStyle name="Normal 3 2 2 2 3 5 5" xfId="31101"/>
    <cellStyle name="Normal 3 2 2 2 3 5 6" xfId="31102"/>
    <cellStyle name="Normal 3 2 2 2 3 6" xfId="31103"/>
    <cellStyle name="Normal 3 2 2 2 3 6 2" xfId="31104"/>
    <cellStyle name="Normal 3 2 2 2 3 6 3" xfId="31105"/>
    <cellStyle name="Normal 3 2 2 2 3 6 4" xfId="31106"/>
    <cellStyle name="Normal 3 2 2 2 3 6 5" xfId="31107"/>
    <cellStyle name="Normal 3 2 2 2 3 6 6" xfId="31108"/>
    <cellStyle name="Normal 3 2 2 2 3 7" xfId="31109"/>
    <cellStyle name="Normal 3 2 2 2 3 8" xfId="31110"/>
    <cellStyle name="Normal 3 2 2 2 3 9" xfId="31111"/>
    <cellStyle name="Normal 3 2 2 2 30" xfId="31112"/>
    <cellStyle name="Normal 3 2 2 2 31" xfId="31113"/>
    <cellStyle name="Normal 3 2 2 2 32" xfId="31114"/>
    <cellStyle name="Normal 3 2 2 2 33" xfId="31115"/>
    <cellStyle name="Normal 3 2 2 2 34" xfId="31116"/>
    <cellStyle name="Normal 3 2 2 2 35" xfId="31117"/>
    <cellStyle name="Normal 3 2 2 2 36" xfId="31118"/>
    <cellStyle name="Normal 3 2 2 2 37" xfId="31119"/>
    <cellStyle name="Normal 3 2 2 2 37 10" xfId="31120"/>
    <cellStyle name="Normal 3 2 2 2 37 11" xfId="31121"/>
    <cellStyle name="Normal 3 2 2 2 37 11 2" xfId="31122"/>
    <cellStyle name="Normal 3 2 2 2 37 11 3" xfId="31123"/>
    <cellStyle name="Normal 3 2 2 2 37 11 4" xfId="31124"/>
    <cellStyle name="Normal 3 2 2 2 37 12" xfId="31125"/>
    <cellStyle name="Normal 3 2 2 2 37 13" xfId="31126"/>
    <cellStyle name="Normal 3 2 2 2 37 14" xfId="31127"/>
    <cellStyle name="Normal 3 2 2 2 37 2" xfId="31128"/>
    <cellStyle name="Normal 3 2 2 2 37 2 10" xfId="31129"/>
    <cellStyle name="Normal 3 2 2 2 37 2 11" xfId="31130"/>
    <cellStyle name="Normal 3 2 2 2 37 2 2" xfId="31131"/>
    <cellStyle name="Normal 3 2 2 2 37 2 2 10" xfId="31132"/>
    <cellStyle name="Normal 3 2 2 2 37 2 2 11" xfId="31133"/>
    <cellStyle name="Normal 3 2 2 2 37 2 2 2" xfId="31134"/>
    <cellStyle name="Normal 3 2 2 2 37 2 2 2 2" xfId="31135"/>
    <cellStyle name="Normal 3 2 2 2 37 2 2 2 2 2" xfId="31136"/>
    <cellStyle name="Normal 3 2 2 2 37 2 2 2 2 3" xfId="31137"/>
    <cellStyle name="Normal 3 2 2 2 37 2 2 2 2 4" xfId="31138"/>
    <cellStyle name="Normal 3 2 2 2 37 2 2 2 3" xfId="31139"/>
    <cellStyle name="Normal 3 2 2 2 37 2 2 2 4" xfId="31140"/>
    <cellStyle name="Normal 3 2 2 2 37 2 2 2 5" xfId="31141"/>
    <cellStyle name="Normal 3 2 2 2 37 2 2 2 6" xfId="31142"/>
    <cellStyle name="Normal 3 2 2 2 37 2 2 3" xfId="31143"/>
    <cellStyle name="Normal 3 2 2 2 37 2 2 4" xfId="31144"/>
    <cellStyle name="Normal 3 2 2 2 37 2 2 5" xfId="31145"/>
    <cellStyle name="Normal 3 2 2 2 37 2 2 6" xfId="31146"/>
    <cellStyle name="Normal 3 2 2 2 37 2 2 7" xfId="31147"/>
    <cellStyle name="Normal 3 2 2 2 37 2 2 8" xfId="31148"/>
    <cellStyle name="Normal 3 2 2 2 37 2 2 8 2" xfId="31149"/>
    <cellStyle name="Normal 3 2 2 2 37 2 2 8 3" xfId="31150"/>
    <cellStyle name="Normal 3 2 2 2 37 2 2 8 4" xfId="31151"/>
    <cellStyle name="Normal 3 2 2 2 37 2 2 9" xfId="31152"/>
    <cellStyle name="Normal 3 2 2 2 37 2 3" xfId="31153"/>
    <cellStyle name="Normal 3 2 2 2 37 2 3 2" xfId="31154"/>
    <cellStyle name="Normal 3 2 2 2 37 2 3 2 2" xfId="31155"/>
    <cellStyle name="Normal 3 2 2 2 37 2 3 2 3" xfId="31156"/>
    <cellStyle name="Normal 3 2 2 2 37 2 3 2 4" xfId="31157"/>
    <cellStyle name="Normal 3 2 2 2 37 2 3 3" xfId="31158"/>
    <cellStyle name="Normal 3 2 2 2 37 2 3 4" xfId="31159"/>
    <cellStyle name="Normal 3 2 2 2 37 2 3 5" xfId="31160"/>
    <cellStyle name="Normal 3 2 2 2 37 2 3 6" xfId="31161"/>
    <cellStyle name="Normal 3 2 2 2 37 2 4" xfId="31162"/>
    <cellStyle name="Normal 3 2 2 2 37 2 5" xfId="31163"/>
    <cellStyle name="Normal 3 2 2 2 37 2 6" xfId="31164"/>
    <cellStyle name="Normal 3 2 2 2 37 2 7" xfId="31165"/>
    <cellStyle name="Normal 3 2 2 2 37 2 8" xfId="31166"/>
    <cellStyle name="Normal 3 2 2 2 37 2 8 2" xfId="31167"/>
    <cellStyle name="Normal 3 2 2 2 37 2 8 3" xfId="31168"/>
    <cellStyle name="Normal 3 2 2 2 37 2 8 4" xfId="31169"/>
    <cellStyle name="Normal 3 2 2 2 37 2 9" xfId="31170"/>
    <cellStyle name="Normal 3 2 2 2 37 3" xfId="31171"/>
    <cellStyle name="Normal 3 2 2 2 37 4" xfId="31172"/>
    <cellStyle name="Normal 3 2 2 2 37 5" xfId="31173"/>
    <cellStyle name="Normal 3 2 2 2 37 5 2" xfId="31174"/>
    <cellStyle name="Normal 3 2 2 2 37 5 2 2" xfId="31175"/>
    <cellStyle name="Normal 3 2 2 2 37 5 2 3" xfId="31176"/>
    <cellStyle name="Normal 3 2 2 2 37 5 2 4" xfId="31177"/>
    <cellStyle name="Normal 3 2 2 2 37 5 3" xfId="31178"/>
    <cellStyle name="Normal 3 2 2 2 37 5 4" xfId="31179"/>
    <cellStyle name="Normal 3 2 2 2 37 5 5" xfId="31180"/>
    <cellStyle name="Normal 3 2 2 2 37 5 6" xfId="31181"/>
    <cellStyle name="Normal 3 2 2 2 37 6" xfId="31182"/>
    <cellStyle name="Normal 3 2 2 2 37 7" xfId="31183"/>
    <cellStyle name="Normal 3 2 2 2 37 8" xfId="31184"/>
    <cellStyle name="Normal 3 2 2 2 37 9" xfId="31185"/>
    <cellStyle name="Normal 3 2 2 2 38" xfId="31186"/>
    <cellStyle name="Normal 3 2 2 2 39" xfId="31187"/>
    <cellStyle name="Normal 3 2 2 2 39 10" xfId="31188"/>
    <cellStyle name="Normal 3 2 2 2 39 11" xfId="31189"/>
    <cellStyle name="Normal 3 2 2 2 39 2" xfId="31190"/>
    <cellStyle name="Normal 3 2 2 2 39 2 10" xfId="31191"/>
    <cellStyle name="Normal 3 2 2 2 39 2 11" xfId="31192"/>
    <cellStyle name="Normal 3 2 2 2 39 2 2" xfId="31193"/>
    <cellStyle name="Normal 3 2 2 2 39 2 2 2" xfId="31194"/>
    <cellStyle name="Normal 3 2 2 2 39 2 2 2 2" xfId="31195"/>
    <cellStyle name="Normal 3 2 2 2 39 2 2 2 3" xfId="31196"/>
    <cellStyle name="Normal 3 2 2 2 39 2 2 2 4" xfId="31197"/>
    <cellStyle name="Normal 3 2 2 2 39 2 2 3" xfId="31198"/>
    <cellStyle name="Normal 3 2 2 2 39 2 2 4" xfId="31199"/>
    <cellStyle name="Normal 3 2 2 2 39 2 2 5" xfId="31200"/>
    <cellStyle name="Normal 3 2 2 2 39 2 2 6" xfId="31201"/>
    <cellStyle name="Normal 3 2 2 2 39 2 3" xfId="31202"/>
    <cellStyle name="Normal 3 2 2 2 39 2 4" xfId="31203"/>
    <cellStyle name="Normal 3 2 2 2 39 2 5" xfId="31204"/>
    <cellStyle name="Normal 3 2 2 2 39 2 6" xfId="31205"/>
    <cellStyle name="Normal 3 2 2 2 39 2 7" xfId="31206"/>
    <cellStyle name="Normal 3 2 2 2 39 2 8" xfId="31207"/>
    <cellStyle name="Normal 3 2 2 2 39 2 8 2" xfId="31208"/>
    <cellStyle name="Normal 3 2 2 2 39 2 8 3" xfId="31209"/>
    <cellStyle name="Normal 3 2 2 2 39 2 8 4" xfId="31210"/>
    <cellStyle name="Normal 3 2 2 2 39 2 9" xfId="31211"/>
    <cellStyle name="Normal 3 2 2 2 39 3" xfId="31212"/>
    <cellStyle name="Normal 3 2 2 2 39 3 2" xfId="31213"/>
    <cellStyle name="Normal 3 2 2 2 39 3 2 2" xfId="31214"/>
    <cellStyle name="Normal 3 2 2 2 39 3 2 3" xfId="31215"/>
    <cellStyle name="Normal 3 2 2 2 39 3 2 4" xfId="31216"/>
    <cellStyle name="Normal 3 2 2 2 39 3 3" xfId="31217"/>
    <cellStyle name="Normal 3 2 2 2 39 3 4" xfId="31218"/>
    <cellStyle name="Normal 3 2 2 2 39 3 5" xfId="31219"/>
    <cellStyle name="Normal 3 2 2 2 39 3 6" xfId="31220"/>
    <cellStyle name="Normal 3 2 2 2 39 4" xfId="31221"/>
    <cellStyle name="Normal 3 2 2 2 39 5" xfId="31222"/>
    <cellStyle name="Normal 3 2 2 2 39 6" xfId="31223"/>
    <cellStyle name="Normal 3 2 2 2 39 7" xfId="31224"/>
    <cellStyle name="Normal 3 2 2 2 39 8" xfId="31225"/>
    <cellStyle name="Normal 3 2 2 2 39 8 2" xfId="31226"/>
    <cellStyle name="Normal 3 2 2 2 39 8 3" xfId="31227"/>
    <cellStyle name="Normal 3 2 2 2 39 8 4" xfId="31228"/>
    <cellStyle name="Normal 3 2 2 2 39 9" xfId="31229"/>
    <cellStyle name="Normal 3 2 2 2 4" xfId="31230"/>
    <cellStyle name="Normal 3 2 2 2 4 10" xfId="31231"/>
    <cellStyle name="Normal 3 2 2 2 4 11" xfId="31232"/>
    <cellStyle name="Normal 3 2 2 2 4 2" xfId="31233"/>
    <cellStyle name="Normal 3 2 2 2 4 2 2" xfId="31234"/>
    <cellStyle name="Normal 3 2 2 2 4 2 3" xfId="31235"/>
    <cellStyle name="Normal 3 2 2 2 4 2 4" xfId="31236"/>
    <cellStyle name="Normal 3 2 2 2 4 2 5" xfId="31237"/>
    <cellStyle name="Normal 3 2 2 2 4 2 6" xfId="31238"/>
    <cellStyle name="Normal 3 2 2 2 4 3" xfId="31239"/>
    <cellStyle name="Normal 3 2 2 2 4 3 2" xfId="31240"/>
    <cellStyle name="Normal 3 2 2 2 4 3 3" xfId="31241"/>
    <cellStyle name="Normal 3 2 2 2 4 3 4" xfId="31242"/>
    <cellStyle name="Normal 3 2 2 2 4 3 5" xfId="31243"/>
    <cellStyle name="Normal 3 2 2 2 4 3 6" xfId="31244"/>
    <cellStyle name="Normal 3 2 2 2 4 4" xfId="31245"/>
    <cellStyle name="Normal 3 2 2 2 4 4 2" xfId="31246"/>
    <cellStyle name="Normal 3 2 2 2 4 4 3" xfId="31247"/>
    <cellStyle name="Normal 3 2 2 2 4 4 4" xfId="31248"/>
    <cellStyle name="Normal 3 2 2 2 4 4 5" xfId="31249"/>
    <cellStyle name="Normal 3 2 2 2 4 4 6" xfId="31250"/>
    <cellStyle name="Normal 3 2 2 2 4 5" xfId="31251"/>
    <cellStyle name="Normal 3 2 2 2 4 5 2" xfId="31252"/>
    <cellStyle name="Normal 3 2 2 2 4 5 3" xfId="31253"/>
    <cellStyle name="Normal 3 2 2 2 4 5 4" xfId="31254"/>
    <cellStyle name="Normal 3 2 2 2 4 5 5" xfId="31255"/>
    <cellStyle name="Normal 3 2 2 2 4 5 6" xfId="31256"/>
    <cellStyle name="Normal 3 2 2 2 4 6" xfId="31257"/>
    <cellStyle name="Normal 3 2 2 2 4 6 2" xfId="31258"/>
    <cellStyle name="Normal 3 2 2 2 4 6 3" xfId="31259"/>
    <cellStyle name="Normal 3 2 2 2 4 6 4" xfId="31260"/>
    <cellStyle name="Normal 3 2 2 2 4 6 5" xfId="31261"/>
    <cellStyle name="Normal 3 2 2 2 4 6 6" xfId="31262"/>
    <cellStyle name="Normal 3 2 2 2 4 7" xfId="31263"/>
    <cellStyle name="Normal 3 2 2 2 4 8" xfId="31264"/>
    <cellStyle name="Normal 3 2 2 2 4 9" xfId="31265"/>
    <cellStyle name="Normal 3 2 2 2 40" xfId="31266"/>
    <cellStyle name="Normal 3 2 2 2 41" xfId="31267"/>
    <cellStyle name="Normal 3 2 2 2 41 2" xfId="31268"/>
    <cellStyle name="Normal 3 2 2 2 41 2 2" xfId="31269"/>
    <cellStyle name="Normal 3 2 2 2 41 2 3" xfId="31270"/>
    <cellStyle name="Normal 3 2 2 2 41 2 4" xfId="31271"/>
    <cellStyle name="Normal 3 2 2 2 41 3" xfId="31272"/>
    <cellStyle name="Normal 3 2 2 2 41 4" xfId="31273"/>
    <cellStyle name="Normal 3 2 2 2 41 5" xfId="31274"/>
    <cellStyle name="Normal 3 2 2 2 41 6" xfId="31275"/>
    <cellStyle name="Normal 3 2 2 2 42" xfId="31276"/>
    <cellStyle name="Normal 3 2 2 2 43" xfId="31277"/>
    <cellStyle name="Normal 3 2 2 2 44" xfId="31278"/>
    <cellStyle name="Normal 3 2 2 2 45" xfId="31279"/>
    <cellStyle name="Normal 3 2 2 2 46" xfId="31280"/>
    <cellStyle name="Normal 3 2 2 2 47" xfId="31281"/>
    <cellStyle name="Normal 3 2 2 2 47 2" xfId="31282"/>
    <cellStyle name="Normal 3 2 2 2 47 3" xfId="31283"/>
    <cellStyle name="Normal 3 2 2 2 47 4" xfId="31284"/>
    <cellStyle name="Normal 3 2 2 2 48" xfId="31285"/>
    <cellStyle name="Normal 3 2 2 2 49" xfId="31286"/>
    <cellStyle name="Normal 3 2 2 2 5" xfId="31287"/>
    <cellStyle name="Normal 3 2 2 2 5 10" xfId="31288"/>
    <cellStyle name="Normal 3 2 2 2 5 11" xfId="31289"/>
    <cellStyle name="Normal 3 2 2 2 5 2" xfId="31290"/>
    <cellStyle name="Normal 3 2 2 2 5 2 2" xfId="31291"/>
    <cellStyle name="Normal 3 2 2 2 5 2 3" xfId="31292"/>
    <cellStyle name="Normal 3 2 2 2 5 2 4" xfId="31293"/>
    <cellStyle name="Normal 3 2 2 2 5 2 5" xfId="31294"/>
    <cellStyle name="Normal 3 2 2 2 5 2 6" xfId="31295"/>
    <cellStyle name="Normal 3 2 2 2 5 3" xfId="31296"/>
    <cellStyle name="Normal 3 2 2 2 5 3 2" xfId="31297"/>
    <cellStyle name="Normal 3 2 2 2 5 3 3" xfId="31298"/>
    <cellStyle name="Normal 3 2 2 2 5 3 4" xfId="31299"/>
    <cellStyle name="Normal 3 2 2 2 5 3 5" xfId="31300"/>
    <cellStyle name="Normal 3 2 2 2 5 3 6" xfId="31301"/>
    <cellStyle name="Normal 3 2 2 2 5 4" xfId="31302"/>
    <cellStyle name="Normal 3 2 2 2 5 4 2" xfId="31303"/>
    <cellStyle name="Normal 3 2 2 2 5 4 3" xfId="31304"/>
    <cellStyle name="Normal 3 2 2 2 5 4 4" xfId="31305"/>
    <cellStyle name="Normal 3 2 2 2 5 4 5" xfId="31306"/>
    <cellStyle name="Normal 3 2 2 2 5 4 6" xfId="31307"/>
    <cellStyle name="Normal 3 2 2 2 5 5" xfId="31308"/>
    <cellStyle name="Normal 3 2 2 2 5 5 2" xfId="31309"/>
    <cellStyle name="Normal 3 2 2 2 5 5 3" xfId="31310"/>
    <cellStyle name="Normal 3 2 2 2 5 5 4" xfId="31311"/>
    <cellStyle name="Normal 3 2 2 2 5 5 5" xfId="31312"/>
    <cellStyle name="Normal 3 2 2 2 5 5 6" xfId="31313"/>
    <cellStyle name="Normal 3 2 2 2 5 6" xfId="31314"/>
    <cellStyle name="Normal 3 2 2 2 5 6 2" xfId="31315"/>
    <cellStyle name="Normal 3 2 2 2 5 6 3" xfId="31316"/>
    <cellStyle name="Normal 3 2 2 2 5 6 4" xfId="31317"/>
    <cellStyle name="Normal 3 2 2 2 5 6 5" xfId="31318"/>
    <cellStyle name="Normal 3 2 2 2 5 6 6" xfId="31319"/>
    <cellStyle name="Normal 3 2 2 2 5 7" xfId="31320"/>
    <cellStyle name="Normal 3 2 2 2 5 8" xfId="31321"/>
    <cellStyle name="Normal 3 2 2 2 5 9" xfId="31322"/>
    <cellStyle name="Normal 3 2 2 2 50" xfId="31323"/>
    <cellStyle name="Normal 3 2 2 2 51" xfId="31324"/>
    <cellStyle name="Normal 3 2 2 2 52" xfId="31325"/>
    <cellStyle name="Normal 3 2 2 2 53" xfId="31326"/>
    <cellStyle name="Normal 3 2 2 2 54" xfId="31327"/>
    <cellStyle name="Normal 3 2 2 2 55" xfId="31328"/>
    <cellStyle name="Normal 3 2 2 2 56" xfId="31329"/>
    <cellStyle name="Normal 3 2 2 2 57" xfId="31330"/>
    <cellStyle name="Normal 3 2 2 2 58" xfId="31331"/>
    <cellStyle name="Normal 3 2 2 2 59" xfId="31332"/>
    <cellStyle name="Normal 3 2 2 2 6" xfId="31333"/>
    <cellStyle name="Normal 3 2 2 2 6 10" xfId="31334"/>
    <cellStyle name="Normal 3 2 2 2 6 11" xfId="31335"/>
    <cellStyle name="Normal 3 2 2 2 6 2" xfId="31336"/>
    <cellStyle name="Normal 3 2 2 2 6 2 2" xfId="31337"/>
    <cellStyle name="Normal 3 2 2 2 6 2 3" xfId="31338"/>
    <cellStyle name="Normal 3 2 2 2 6 2 4" xfId="31339"/>
    <cellStyle name="Normal 3 2 2 2 6 2 5" xfId="31340"/>
    <cellStyle name="Normal 3 2 2 2 6 2 6" xfId="31341"/>
    <cellStyle name="Normal 3 2 2 2 6 3" xfId="31342"/>
    <cellStyle name="Normal 3 2 2 2 6 3 2" xfId="31343"/>
    <cellStyle name="Normal 3 2 2 2 6 3 3" xfId="31344"/>
    <cellStyle name="Normal 3 2 2 2 6 3 4" xfId="31345"/>
    <cellStyle name="Normal 3 2 2 2 6 3 5" xfId="31346"/>
    <cellStyle name="Normal 3 2 2 2 6 3 6" xfId="31347"/>
    <cellStyle name="Normal 3 2 2 2 6 4" xfId="31348"/>
    <cellStyle name="Normal 3 2 2 2 6 4 2" xfId="31349"/>
    <cellStyle name="Normal 3 2 2 2 6 4 3" xfId="31350"/>
    <cellStyle name="Normal 3 2 2 2 6 4 4" xfId="31351"/>
    <cellStyle name="Normal 3 2 2 2 6 4 5" xfId="31352"/>
    <cellStyle name="Normal 3 2 2 2 6 4 6" xfId="31353"/>
    <cellStyle name="Normal 3 2 2 2 6 5" xfId="31354"/>
    <cellStyle name="Normal 3 2 2 2 6 5 2" xfId="31355"/>
    <cellStyle name="Normal 3 2 2 2 6 5 3" xfId="31356"/>
    <cellStyle name="Normal 3 2 2 2 6 5 4" xfId="31357"/>
    <cellStyle name="Normal 3 2 2 2 6 5 5" xfId="31358"/>
    <cellStyle name="Normal 3 2 2 2 6 5 6" xfId="31359"/>
    <cellStyle name="Normal 3 2 2 2 6 6" xfId="31360"/>
    <cellStyle name="Normal 3 2 2 2 6 6 2" xfId="31361"/>
    <cellStyle name="Normal 3 2 2 2 6 6 3" xfId="31362"/>
    <cellStyle name="Normal 3 2 2 2 6 6 4" xfId="31363"/>
    <cellStyle name="Normal 3 2 2 2 6 6 5" xfId="31364"/>
    <cellStyle name="Normal 3 2 2 2 6 6 6" xfId="31365"/>
    <cellStyle name="Normal 3 2 2 2 6 7" xfId="31366"/>
    <cellStyle name="Normal 3 2 2 2 6 8" xfId="31367"/>
    <cellStyle name="Normal 3 2 2 2 6 9" xfId="31368"/>
    <cellStyle name="Normal 3 2 2 2 60" xfId="31369"/>
    <cellStyle name="Normal 3 2 2 2 61" xfId="31370"/>
    <cellStyle name="Normal 3 2 2 2 62" xfId="31371"/>
    <cellStyle name="Normal 3 2 2 2 62 2" xfId="31372"/>
    <cellStyle name="Normal 3 2 2 2 62 3" xfId="31373"/>
    <cellStyle name="Normal 3 2 2 2 62 4" xfId="31374"/>
    <cellStyle name="Normal 3 2 2 2 62 5" xfId="31375"/>
    <cellStyle name="Normal 3 2 2 2 62 6" xfId="31376"/>
    <cellStyle name="Normal 3 2 2 2 62 7" xfId="31377"/>
    <cellStyle name="Normal 3 2 2 2 63" xfId="31378"/>
    <cellStyle name="Normal 3 2 2 2 64" xfId="31379"/>
    <cellStyle name="Normal 3 2 2 2 65" xfId="31380"/>
    <cellStyle name="Normal 3 2 2 2 66" xfId="31381"/>
    <cellStyle name="Normal 3 2 2 2 67" xfId="31382"/>
    <cellStyle name="Normal 3 2 2 2 68" xfId="31383"/>
    <cellStyle name="Normal 3 2 2 2 69" xfId="31384"/>
    <cellStyle name="Normal 3 2 2 2 7" xfId="31385"/>
    <cellStyle name="Normal 3 2 2 2 7 10" xfId="31386"/>
    <cellStyle name="Normal 3 2 2 2 7 11" xfId="31387"/>
    <cellStyle name="Normal 3 2 2 2 7 2" xfId="31388"/>
    <cellStyle name="Normal 3 2 2 2 7 2 2" xfId="31389"/>
    <cellStyle name="Normal 3 2 2 2 7 2 3" xfId="31390"/>
    <cellStyle name="Normal 3 2 2 2 7 2 4" xfId="31391"/>
    <cellStyle name="Normal 3 2 2 2 7 2 5" xfId="31392"/>
    <cellStyle name="Normal 3 2 2 2 7 2 6" xfId="31393"/>
    <cellStyle name="Normal 3 2 2 2 7 3" xfId="31394"/>
    <cellStyle name="Normal 3 2 2 2 7 3 2" xfId="31395"/>
    <cellStyle name="Normal 3 2 2 2 7 3 3" xfId="31396"/>
    <cellStyle name="Normal 3 2 2 2 7 3 4" xfId="31397"/>
    <cellStyle name="Normal 3 2 2 2 7 3 5" xfId="31398"/>
    <cellStyle name="Normal 3 2 2 2 7 3 6" xfId="31399"/>
    <cellStyle name="Normal 3 2 2 2 7 4" xfId="31400"/>
    <cellStyle name="Normal 3 2 2 2 7 4 2" xfId="31401"/>
    <cellStyle name="Normal 3 2 2 2 7 4 3" xfId="31402"/>
    <cellStyle name="Normal 3 2 2 2 7 4 4" xfId="31403"/>
    <cellStyle name="Normal 3 2 2 2 7 4 5" xfId="31404"/>
    <cellStyle name="Normal 3 2 2 2 7 4 6" xfId="31405"/>
    <cellStyle name="Normal 3 2 2 2 7 5" xfId="31406"/>
    <cellStyle name="Normal 3 2 2 2 7 5 2" xfId="31407"/>
    <cellStyle name="Normal 3 2 2 2 7 5 3" xfId="31408"/>
    <cellStyle name="Normal 3 2 2 2 7 5 4" xfId="31409"/>
    <cellStyle name="Normal 3 2 2 2 7 5 5" xfId="31410"/>
    <cellStyle name="Normal 3 2 2 2 7 5 6" xfId="31411"/>
    <cellStyle name="Normal 3 2 2 2 7 6" xfId="31412"/>
    <cellStyle name="Normal 3 2 2 2 7 6 2" xfId="31413"/>
    <cellStyle name="Normal 3 2 2 2 7 6 3" xfId="31414"/>
    <cellStyle name="Normal 3 2 2 2 7 6 4" xfId="31415"/>
    <cellStyle name="Normal 3 2 2 2 7 6 5" xfId="31416"/>
    <cellStyle name="Normal 3 2 2 2 7 6 6" xfId="31417"/>
    <cellStyle name="Normal 3 2 2 2 7 7" xfId="31418"/>
    <cellStyle name="Normal 3 2 2 2 7 8" xfId="31419"/>
    <cellStyle name="Normal 3 2 2 2 7 9" xfId="31420"/>
    <cellStyle name="Normal 3 2 2 2 70" xfId="31421"/>
    <cellStyle name="Normal 3 2 2 2 71" xfId="31422"/>
    <cellStyle name="Normal 3 2 2 2 72" xfId="31423"/>
    <cellStyle name="Normal 3 2 2 2 73" xfId="31424"/>
    <cellStyle name="Normal 3 2 2 2 74" xfId="31425"/>
    <cellStyle name="Normal 3 2 2 2 75" xfId="31426"/>
    <cellStyle name="Normal 3 2 2 2 76" xfId="31427"/>
    <cellStyle name="Normal 3 2 2 2 77" xfId="31428"/>
    <cellStyle name="Normal 3 2 2 2 78" xfId="31429"/>
    <cellStyle name="Normal 3 2 2 2 79" xfId="31430"/>
    <cellStyle name="Normal 3 2 2 2 8" xfId="31431"/>
    <cellStyle name="Normal 3 2 2 2 8 10" xfId="31432"/>
    <cellStyle name="Normal 3 2 2 2 8 11" xfId="31433"/>
    <cellStyle name="Normal 3 2 2 2 8 2" xfId="31434"/>
    <cellStyle name="Normal 3 2 2 2 8 2 2" xfId="31435"/>
    <cellStyle name="Normal 3 2 2 2 8 2 3" xfId="31436"/>
    <cellStyle name="Normal 3 2 2 2 8 2 4" xfId="31437"/>
    <cellStyle name="Normal 3 2 2 2 8 2 5" xfId="31438"/>
    <cellStyle name="Normal 3 2 2 2 8 2 6" xfId="31439"/>
    <cellStyle name="Normal 3 2 2 2 8 3" xfId="31440"/>
    <cellStyle name="Normal 3 2 2 2 8 3 2" xfId="31441"/>
    <cellStyle name="Normal 3 2 2 2 8 3 3" xfId="31442"/>
    <cellStyle name="Normal 3 2 2 2 8 3 4" xfId="31443"/>
    <cellStyle name="Normal 3 2 2 2 8 3 5" xfId="31444"/>
    <cellStyle name="Normal 3 2 2 2 8 3 6" xfId="31445"/>
    <cellStyle name="Normal 3 2 2 2 8 4" xfId="31446"/>
    <cellStyle name="Normal 3 2 2 2 8 4 2" xfId="31447"/>
    <cellStyle name="Normal 3 2 2 2 8 4 3" xfId="31448"/>
    <cellStyle name="Normal 3 2 2 2 8 4 4" xfId="31449"/>
    <cellStyle name="Normal 3 2 2 2 8 4 5" xfId="31450"/>
    <cellStyle name="Normal 3 2 2 2 8 4 6" xfId="31451"/>
    <cellStyle name="Normal 3 2 2 2 8 5" xfId="31452"/>
    <cellStyle name="Normal 3 2 2 2 8 5 2" xfId="31453"/>
    <cellStyle name="Normal 3 2 2 2 8 5 3" xfId="31454"/>
    <cellStyle name="Normal 3 2 2 2 8 5 4" xfId="31455"/>
    <cellStyle name="Normal 3 2 2 2 8 5 5" xfId="31456"/>
    <cellStyle name="Normal 3 2 2 2 8 5 6" xfId="31457"/>
    <cellStyle name="Normal 3 2 2 2 8 6" xfId="31458"/>
    <cellStyle name="Normal 3 2 2 2 8 6 2" xfId="31459"/>
    <cellStyle name="Normal 3 2 2 2 8 6 3" xfId="31460"/>
    <cellStyle name="Normal 3 2 2 2 8 6 4" xfId="31461"/>
    <cellStyle name="Normal 3 2 2 2 8 6 5" xfId="31462"/>
    <cellStyle name="Normal 3 2 2 2 8 6 6" xfId="31463"/>
    <cellStyle name="Normal 3 2 2 2 8 7" xfId="31464"/>
    <cellStyle name="Normal 3 2 2 2 8 8" xfId="31465"/>
    <cellStyle name="Normal 3 2 2 2 8 9" xfId="31466"/>
    <cellStyle name="Normal 3 2 2 2 80" xfId="31467"/>
    <cellStyle name="Normal 3 2 2 2 81" xfId="31468"/>
    <cellStyle name="Normal 3 2 2 2 82" xfId="31469"/>
    <cellStyle name="Normal 3 2 2 2 83" xfId="31470"/>
    <cellStyle name="Normal 3 2 2 2 84" xfId="31471"/>
    <cellStyle name="Normal 3 2 2 2 85" xfId="31472"/>
    <cellStyle name="Normal 3 2 2 2 86" xfId="31473"/>
    <cellStyle name="Normal 3 2 2 2 87" xfId="31474"/>
    <cellStyle name="Normal 3 2 2 2 88" xfId="31475"/>
    <cellStyle name="Normal 3 2 2 2 89" xfId="31476"/>
    <cellStyle name="Normal 3 2 2 2 9" xfId="31477"/>
    <cellStyle name="Normal 3 2 2 2 9 10" xfId="31478"/>
    <cellStyle name="Normal 3 2 2 2 9 11" xfId="31479"/>
    <cellStyle name="Normal 3 2 2 2 9 2" xfId="31480"/>
    <cellStyle name="Normal 3 2 2 2 9 2 2" xfId="31481"/>
    <cellStyle name="Normal 3 2 2 2 9 2 3" xfId="31482"/>
    <cellStyle name="Normal 3 2 2 2 9 2 4" xfId="31483"/>
    <cellStyle name="Normal 3 2 2 2 9 2 5" xfId="31484"/>
    <cellStyle name="Normal 3 2 2 2 9 2 6" xfId="31485"/>
    <cellStyle name="Normal 3 2 2 2 9 3" xfId="31486"/>
    <cellStyle name="Normal 3 2 2 2 9 3 2" xfId="31487"/>
    <cellStyle name="Normal 3 2 2 2 9 3 3" xfId="31488"/>
    <cellStyle name="Normal 3 2 2 2 9 3 4" xfId="31489"/>
    <cellStyle name="Normal 3 2 2 2 9 3 5" xfId="31490"/>
    <cellStyle name="Normal 3 2 2 2 9 3 6" xfId="31491"/>
    <cellStyle name="Normal 3 2 2 2 9 4" xfId="31492"/>
    <cellStyle name="Normal 3 2 2 2 9 4 2" xfId="31493"/>
    <cellStyle name="Normal 3 2 2 2 9 4 3" xfId="31494"/>
    <cellStyle name="Normal 3 2 2 2 9 4 4" xfId="31495"/>
    <cellStyle name="Normal 3 2 2 2 9 4 5" xfId="31496"/>
    <cellStyle name="Normal 3 2 2 2 9 4 6" xfId="31497"/>
    <cellStyle name="Normal 3 2 2 2 9 5" xfId="31498"/>
    <cellStyle name="Normal 3 2 2 2 9 5 2" xfId="31499"/>
    <cellStyle name="Normal 3 2 2 2 9 5 3" xfId="31500"/>
    <cellStyle name="Normal 3 2 2 2 9 5 4" xfId="31501"/>
    <cellStyle name="Normal 3 2 2 2 9 5 5" xfId="31502"/>
    <cellStyle name="Normal 3 2 2 2 9 5 6" xfId="31503"/>
    <cellStyle name="Normal 3 2 2 2 9 6" xfId="31504"/>
    <cellStyle name="Normal 3 2 2 2 9 6 2" xfId="31505"/>
    <cellStyle name="Normal 3 2 2 2 9 6 3" xfId="31506"/>
    <cellStyle name="Normal 3 2 2 2 9 6 4" xfId="31507"/>
    <cellStyle name="Normal 3 2 2 2 9 6 5" xfId="31508"/>
    <cellStyle name="Normal 3 2 2 2 9 6 6" xfId="31509"/>
    <cellStyle name="Normal 3 2 2 2 9 7" xfId="31510"/>
    <cellStyle name="Normal 3 2 2 2 9 8" xfId="31511"/>
    <cellStyle name="Normal 3 2 2 2 9 9" xfId="31512"/>
    <cellStyle name="Normal 3 2 2 2 90" xfId="31513"/>
    <cellStyle name="Normal 3 2 2 2 91" xfId="31514"/>
    <cellStyle name="Normal 3 2 2 2 92" xfId="31515"/>
    <cellStyle name="Normal 3 2 2 2 93" xfId="31516"/>
    <cellStyle name="Normal 3 2 2 2 94" xfId="31517"/>
    <cellStyle name="Normal 3 2 2 2 94 2" xfId="31518"/>
    <cellStyle name="Normal 3 2 2 2 94 3" xfId="31519"/>
    <cellStyle name="Normal 3 2 2 2 94 4" xfId="31520"/>
    <cellStyle name="Normal 3 2 2 2 95" xfId="31521"/>
    <cellStyle name="Normal 3 2 2 2 96" xfId="31522"/>
    <cellStyle name="Normal 3 2 2 2 97" xfId="31523"/>
    <cellStyle name="Normal 3 2 2 20" xfId="31524"/>
    <cellStyle name="Normal 3 2 2 21" xfId="31525"/>
    <cellStyle name="Normal 3 2 2 22" xfId="31526"/>
    <cellStyle name="Normal 3 2 2 23" xfId="31527"/>
    <cellStyle name="Normal 3 2 2 24" xfId="31528"/>
    <cellStyle name="Normal 3 2 2 25" xfId="31529"/>
    <cellStyle name="Normal 3 2 2 26" xfId="31530"/>
    <cellStyle name="Normal 3 2 2 27" xfId="31531"/>
    <cellStyle name="Normal 3 2 2 28" xfId="31532"/>
    <cellStyle name="Normal 3 2 2 28 10" xfId="31533"/>
    <cellStyle name="Normal 3 2 2 28 11" xfId="31534"/>
    <cellStyle name="Normal 3 2 2 28 11 10" xfId="31535"/>
    <cellStyle name="Normal 3 2 2 28 11 11" xfId="31536"/>
    <cellStyle name="Normal 3 2 2 28 11 11 2" xfId="31537"/>
    <cellStyle name="Normal 3 2 2 28 11 11 3" xfId="31538"/>
    <cellStyle name="Normal 3 2 2 28 11 11 4" xfId="31539"/>
    <cellStyle name="Normal 3 2 2 28 11 12" xfId="31540"/>
    <cellStyle name="Normal 3 2 2 28 11 13" xfId="31541"/>
    <cellStyle name="Normal 3 2 2 28 11 14" xfId="31542"/>
    <cellStyle name="Normal 3 2 2 28 11 2" xfId="31543"/>
    <cellStyle name="Normal 3 2 2 28 11 2 10" xfId="31544"/>
    <cellStyle name="Normal 3 2 2 28 11 2 11" xfId="31545"/>
    <cellStyle name="Normal 3 2 2 28 11 2 2" xfId="31546"/>
    <cellStyle name="Normal 3 2 2 28 11 2 2 10" xfId="31547"/>
    <cellStyle name="Normal 3 2 2 28 11 2 2 11" xfId="31548"/>
    <cellStyle name="Normal 3 2 2 28 11 2 2 2" xfId="31549"/>
    <cellStyle name="Normal 3 2 2 28 11 2 2 2 2" xfId="31550"/>
    <cellStyle name="Normal 3 2 2 28 11 2 2 2 2 2" xfId="31551"/>
    <cellStyle name="Normal 3 2 2 28 11 2 2 2 2 3" xfId="31552"/>
    <cellStyle name="Normal 3 2 2 28 11 2 2 2 2 4" xfId="31553"/>
    <cellStyle name="Normal 3 2 2 28 11 2 2 2 3" xfId="31554"/>
    <cellStyle name="Normal 3 2 2 28 11 2 2 2 4" xfId="31555"/>
    <cellStyle name="Normal 3 2 2 28 11 2 2 2 5" xfId="31556"/>
    <cellStyle name="Normal 3 2 2 28 11 2 2 2 6" xfId="31557"/>
    <cellStyle name="Normal 3 2 2 28 11 2 2 3" xfId="31558"/>
    <cellStyle name="Normal 3 2 2 28 11 2 2 4" xfId="31559"/>
    <cellStyle name="Normal 3 2 2 28 11 2 2 5" xfId="31560"/>
    <cellStyle name="Normal 3 2 2 28 11 2 2 6" xfId="31561"/>
    <cellStyle name="Normal 3 2 2 28 11 2 2 7" xfId="31562"/>
    <cellStyle name="Normal 3 2 2 28 11 2 2 8" xfId="31563"/>
    <cellStyle name="Normal 3 2 2 28 11 2 2 8 2" xfId="31564"/>
    <cellStyle name="Normal 3 2 2 28 11 2 2 8 3" xfId="31565"/>
    <cellStyle name="Normal 3 2 2 28 11 2 2 8 4" xfId="31566"/>
    <cellStyle name="Normal 3 2 2 28 11 2 2 9" xfId="31567"/>
    <cellStyle name="Normal 3 2 2 28 11 2 3" xfId="31568"/>
    <cellStyle name="Normal 3 2 2 28 11 2 3 2" xfId="31569"/>
    <cellStyle name="Normal 3 2 2 28 11 2 3 2 2" xfId="31570"/>
    <cellStyle name="Normal 3 2 2 28 11 2 3 2 3" xfId="31571"/>
    <cellStyle name="Normal 3 2 2 28 11 2 3 2 4" xfId="31572"/>
    <cellStyle name="Normal 3 2 2 28 11 2 3 3" xfId="31573"/>
    <cellStyle name="Normal 3 2 2 28 11 2 3 4" xfId="31574"/>
    <cellStyle name="Normal 3 2 2 28 11 2 3 5" xfId="31575"/>
    <cellStyle name="Normal 3 2 2 28 11 2 3 6" xfId="31576"/>
    <cellStyle name="Normal 3 2 2 28 11 2 4" xfId="31577"/>
    <cellStyle name="Normal 3 2 2 28 11 2 5" xfId="31578"/>
    <cellStyle name="Normal 3 2 2 28 11 2 6" xfId="31579"/>
    <cellStyle name="Normal 3 2 2 28 11 2 7" xfId="31580"/>
    <cellStyle name="Normal 3 2 2 28 11 2 8" xfId="31581"/>
    <cellStyle name="Normal 3 2 2 28 11 2 8 2" xfId="31582"/>
    <cellStyle name="Normal 3 2 2 28 11 2 8 3" xfId="31583"/>
    <cellStyle name="Normal 3 2 2 28 11 2 8 4" xfId="31584"/>
    <cellStyle name="Normal 3 2 2 28 11 2 9" xfId="31585"/>
    <cellStyle name="Normal 3 2 2 28 11 3" xfId="31586"/>
    <cellStyle name="Normal 3 2 2 28 11 4" xfId="31587"/>
    <cellStyle name="Normal 3 2 2 28 11 5" xfId="31588"/>
    <cellStyle name="Normal 3 2 2 28 11 5 2" xfId="31589"/>
    <cellStyle name="Normal 3 2 2 28 11 5 2 2" xfId="31590"/>
    <cellStyle name="Normal 3 2 2 28 11 5 2 3" xfId="31591"/>
    <cellStyle name="Normal 3 2 2 28 11 5 2 4" xfId="31592"/>
    <cellStyle name="Normal 3 2 2 28 11 5 3" xfId="31593"/>
    <cellStyle name="Normal 3 2 2 28 11 5 4" xfId="31594"/>
    <cellStyle name="Normal 3 2 2 28 11 5 5" xfId="31595"/>
    <cellStyle name="Normal 3 2 2 28 11 5 6" xfId="31596"/>
    <cellStyle name="Normal 3 2 2 28 11 6" xfId="31597"/>
    <cellStyle name="Normal 3 2 2 28 11 7" xfId="31598"/>
    <cellStyle name="Normal 3 2 2 28 11 8" xfId="31599"/>
    <cellStyle name="Normal 3 2 2 28 11 9" xfId="31600"/>
    <cellStyle name="Normal 3 2 2 28 12" xfId="31601"/>
    <cellStyle name="Normal 3 2 2 28 13" xfId="31602"/>
    <cellStyle name="Normal 3 2 2 28 13 10" xfId="31603"/>
    <cellStyle name="Normal 3 2 2 28 13 11" xfId="31604"/>
    <cellStyle name="Normal 3 2 2 28 13 2" xfId="31605"/>
    <cellStyle name="Normal 3 2 2 28 13 2 10" xfId="31606"/>
    <cellStyle name="Normal 3 2 2 28 13 2 11" xfId="31607"/>
    <cellStyle name="Normal 3 2 2 28 13 2 2" xfId="31608"/>
    <cellStyle name="Normal 3 2 2 28 13 2 2 2" xfId="31609"/>
    <cellStyle name="Normal 3 2 2 28 13 2 2 2 2" xfId="31610"/>
    <cellStyle name="Normal 3 2 2 28 13 2 2 2 3" xfId="31611"/>
    <cellStyle name="Normal 3 2 2 28 13 2 2 2 4" xfId="31612"/>
    <cellStyle name="Normal 3 2 2 28 13 2 2 3" xfId="31613"/>
    <cellStyle name="Normal 3 2 2 28 13 2 2 4" xfId="31614"/>
    <cellStyle name="Normal 3 2 2 28 13 2 2 5" xfId="31615"/>
    <cellStyle name="Normal 3 2 2 28 13 2 2 6" xfId="31616"/>
    <cellStyle name="Normal 3 2 2 28 13 2 3" xfId="31617"/>
    <cellStyle name="Normal 3 2 2 28 13 2 4" xfId="31618"/>
    <cellStyle name="Normal 3 2 2 28 13 2 5" xfId="31619"/>
    <cellStyle name="Normal 3 2 2 28 13 2 6" xfId="31620"/>
    <cellStyle name="Normal 3 2 2 28 13 2 7" xfId="31621"/>
    <cellStyle name="Normal 3 2 2 28 13 2 8" xfId="31622"/>
    <cellStyle name="Normal 3 2 2 28 13 2 8 2" xfId="31623"/>
    <cellStyle name="Normal 3 2 2 28 13 2 8 3" xfId="31624"/>
    <cellStyle name="Normal 3 2 2 28 13 2 8 4" xfId="31625"/>
    <cellStyle name="Normal 3 2 2 28 13 2 9" xfId="31626"/>
    <cellStyle name="Normal 3 2 2 28 13 3" xfId="31627"/>
    <cellStyle name="Normal 3 2 2 28 13 3 2" xfId="31628"/>
    <cellStyle name="Normal 3 2 2 28 13 3 2 2" xfId="31629"/>
    <cellStyle name="Normal 3 2 2 28 13 3 2 3" xfId="31630"/>
    <cellStyle name="Normal 3 2 2 28 13 3 2 4" xfId="31631"/>
    <cellStyle name="Normal 3 2 2 28 13 3 3" xfId="31632"/>
    <cellStyle name="Normal 3 2 2 28 13 3 4" xfId="31633"/>
    <cellStyle name="Normal 3 2 2 28 13 3 5" xfId="31634"/>
    <cellStyle name="Normal 3 2 2 28 13 3 6" xfId="31635"/>
    <cellStyle name="Normal 3 2 2 28 13 4" xfId="31636"/>
    <cellStyle name="Normal 3 2 2 28 13 5" xfId="31637"/>
    <cellStyle name="Normal 3 2 2 28 13 6" xfId="31638"/>
    <cellStyle name="Normal 3 2 2 28 13 7" xfId="31639"/>
    <cellStyle name="Normal 3 2 2 28 13 8" xfId="31640"/>
    <cellStyle name="Normal 3 2 2 28 13 8 2" xfId="31641"/>
    <cellStyle name="Normal 3 2 2 28 13 8 3" xfId="31642"/>
    <cellStyle name="Normal 3 2 2 28 13 8 4" xfId="31643"/>
    <cellStyle name="Normal 3 2 2 28 13 9" xfId="31644"/>
    <cellStyle name="Normal 3 2 2 28 14" xfId="31645"/>
    <cellStyle name="Normal 3 2 2 28 15" xfId="31646"/>
    <cellStyle name="Normal 3 2 2 28 15 2" xfId="31647"/>
    <cellStyle name="Normal 3 2 2 28 15 2 2" xfId="31648"/>
    <cellStyle name="Normal 3 2 2 28 15 2 3" xfId="31649"/>
    <cellStyle name="Normal 3 2 2 28 15 2 4" xfId="31650"/>
    <cellStyle name="Normal 3 2 2 28 15 3" xfId="31651"/>
    <cellStyle name="Normal 3 2 2 28 15 4" xfId="31652"/>
    <cellStyle name="Normal 3 2 2 28 15 5" xfId="31653"/>
    <cellStyle name="Normal 3 2 2 28 15 6" xfId="31654"/>
    <cellStyle name="Normal 3 2 2 28 16" xfId="31655"/>
    <cellStyle name="Normal 3 2 2 28 17" xfId="31656"/>
    <cellStyle name="Normal 3 2 2 28 18" xfId="31657"/>
    <cellStyle name="Normal 3 2 2 28 19" xfId="31658"/>
    <cellStyle name="Normal 3 2 2 28 2" xfId="31659"/>
    <cellStyle name="Normal 3 2 2 28 2 10" xfId="31660"/>
    <cellStyle name="Normal 3 2 2 28 2 11" xfId="31661"/>
    <cellStyle name="Normal 3 2 2 28 2 12" xfId="31662"/>
    <cellStyle name="Normal 3 2 2 28 2 13" xfId="31663"/>
    <cellStyle name="Normal 3 2 2 28 2 13 2" xfId="31664"/>
    <cellStyle name="Normal 3 2 2 28 2 13 3" xfId="31665"/>
    <cellStyle name="Normal 3 2 2 28 2 13 4" xfId="31666"/>
    <cellStyle name="Normal 3 2 2 28 2 14" xfId="31667"/>
    <cellStyle name="Normal 3 2 2 28 2 15" xfId="31668"/>
    <cellStyle name="Normal 3 2 2 28 2 16" xfId="31669"/>
    <cellStyle name="Normal 3 2 2 28 2 2" xfId="31670"/>
    <cellStyle name="Normal 3 2 2 28 2 2 10" xfId="31671"/>
    <cellStyle name="Normal 3 2 2 28 2 2 11" xfId="31672"/>
    <cellStyle name="Normal 3 2 2 28 2 2 11 2" xfId="31673"/>
    <cellStyle name="Normal 3 2 2 28 2 2 11 3" xfId="31674"/>
    <cellStyle name="Normal 3 2 2 28 2 2 11 4" xfId="31675"/>
    <cellStyle name="Normal 3 2 2 28 2 2 12" xfId="31676"/>
    <cellStyle name="Normal 3 2 2 28 2 2 13" xfId="31677"/>
    <cellStyle name="Normal 3 2 2 28 2 2 14" xfId="31678"/>
    <cellStyle name="Normal 3 2 2 28 2 2 2" xfId="31679"/>
    <cellStyle name="Normal 3 2 2 28 2 2 2 10" xfId="31680"/>
    <cellStyle name="Normal 3 2 2 28 2 2 2 11" xfId="31681"/>
    <cellStyle name="Normal 3 2 2 28 2 2 2 2" xfId="31682"/>
    <cellStyle name="Normal 3 2 2 28 2 2 2 2 10" xfId="31683"/>
    <cellStyle name="Normal 3 2 2 28 2 2 2 2 11" xfId="31684"/>
    <cellStyle name="Normal 3 2 2 28 2 2 2 2 2" xfId="31685"/>
    <cellStyle name="Normal 3 2 2 28 2 2 2 2 2 2" xfId="31686"/>
    <cellStyle name="Normal 3 2 2 28 2 2 2 2 2 2 2" xfId="31687"/>
    <cellStyle name="Normal 3 2 2 28 2 2 2 2 2 2 3" xfId="31688"/>
    <cellStyle name="Normal 3 2 2 28 2 2 2 2 2 2 4" xfId="31689"/>
    <cellStyle name="Normal 3 2 2 28 2 2 2 2 2 3" xfId="31690"/>
    <cellStyle name="Normal 3 2 2 28 2 2 2 2 2 4" xfId="31691"/>
    <cellStyle name="Normal 3 2 2 28 2 2 2 2 2 5" xfId="31692"/>
    <cellStyle name="Normal 3 2 2 28 2 2 2 2 2 6" xfId="31693"/>
    <cellStyle name="Normal 3 2 2 28 2 2 2 2 3" xfId="31694"/>
    <cellStyle name="Normal 3 2 2 28 2 2 2 2 4" xfId="31695"/>
    <cellStyle name="Normal 3 2 2 28 2 2 2 2 5" xfId="31696"/>
    <cellStyle name="Normal 3 2 2 28 2 2 2 2 6" xfId="31697"/>
    <cellStyle name="Normal 3 2 2 28 2 2 2 2 7" xfId="31698"/>
    <cellStyle name="Normal 3 2 2 28 2 2 2 2 8" xfId="31699"/>
    <cellStyle name="Normal 3 2 2 28 2 2 2 2 8 2" xfId="31700"/>
    <cellStyle name="Normal 3 2 2 28 2 2 2 2 8 3" xfId="31701"/>
    <cellStyle name="Normal 3 2 2 28 2 2 2 2 8 4" xfId="31702"/>
    <cellStyle name="Normal 3 2 2 28 2 2 2 2 9" xfId="31703"/>
    <cellStyle name="Normal 3 2 2 28 2 2 2 3" xfId="31704"/>
    <cellStyle name="Normal 3 2 2 28 2 2 2 3 2" xfId="31705"/>
    <cellStyle name="Normal 3 2 2 28 2 2 2 3 2 2" xfId="31706"/>
    <cellStyle name="Normal 3 2 2 28 2 2 2 3 2 3" xfId="31707"/>
    <cellStyle name="Normal 3 2 2 28 2 2 2 3 2 4" xfId="31708"/>
    <cellStyle name="Normal 3 2 2 28 2 2 2 3 3" xfId="31709"/>
    <cellStyle name="Normal 3 2 2 28 2 2 2 3 4" xfId="31710"/>
    <cellStyle name="Normal 3 2 2 28 2 2 2 3 5" xfId="31711"/>
    <cellStyle name="Normal 3 2 2 28 2 2 2 3 6" xfId="31712"/>
    <cellStyle name="Normal 3 2 2 28 2 2 2 4" xfId="31713"/>
    <cellStyle name="Normal 3 2 2 28 2 2 2 5" xfId="31714"/>
    <cellStyle name="Normal 3 2 2 28 2 2 2 6" xfId="31715"/>
    <cellStyle name="Normal 3 2 2 28 2 2 2 7" xfId="31716"/>
    <cellStyle name="Normal 3 2 2 28 2 2 2 8" xfId="31717"/>
    <cellStyle name="Normal 3 2 2 28 2 2 2 8 2" xfId="31718"/>
    <cellStyle name="Normal 3 2 2 28 2 2 2 8 3" xfId="31719"/>
    <cellStyle name="Normal 3 2 2 28 2 2 2 8 4" xfId="31720"/>
    <cellStyle name="Normal 3 2 2 28 2 2 2 9" xfId="31721"/>
    <cellStyle name="Normal 3 2 2 28 2 2 3" xfId="31722"/>
    <cellStyle name="Normal 3 2 2 28 2 2 4" xfId="31723"/>
    <cellStyle name="Normal 3 2 2 28 2 2 5" xfId="31724"/>
    <cellStyle name="Normal 3 2 2 28 2 2 5 2" xfId="31725"/>
    <cellStyle name="Normal 3 2 2 28 2 2 5 2 2" xfId="31726"/>
    <cellStyle name="Normal 3 2 2 28 2 2 5 2 3" xfId="31727"/>
    <cellStyle name="Normal 3 2 2 28 2 2 5 2 4" xfId="31728"/>
    <cellStyle name="Normal 3 2 2 28 2 2 5 3" xfId="31729"/>
    <cellStyle name="Normal 3 2 2 28 2 2 5 4" xfId="31730"/>
    <cellStyle name="Normal 3 2 2 28 2 2 5 5" xfId="31731"/>
    <cellStyle name="Normal 3 2 2 28 2 2 5 6" xfId="31732"/>
    <cellStyle name="Normal 3 2 2 28 2 2 6" xfId="31733"/>
    <cellStyle name="Normal 3 2 2 28 2 2 7" xfId="31734"/>
    <cellStyle name="Normal 3 2 2 28 2 2 8" xfId="31735"/>
    <cellStyle name="Normal 3 2 2 28 2 2 9" xfId="31736"/>
    <cellStyle name="Normal 3 2 2 28 2 3" xfId="31737"/>
    <cellStyle name="Normal 3 2 2 28 2 4" xfId="31738"/>
    <cellStyle name="Normal 3 2 2 28 2 5" xfId="31739"/>
    <cellStyle name="Normal 3 2 2 28 2 5 10" xfId="31740"/>
    <cellStyle name="Normal 3 2 2 28 2 5 11" xfId="31741"/>
    <cellStyle name="Normal 3 2 2 28 2 5 2" xfId="31742"/>
    <cellStyle name="Normal 3 2 2 28 2 5 2 10" xfId="31743"/>
    <cellStyle name="Normal 3 2 2 28 2 5 2 11" xfId="31744"/>
    <cellStyle name="Normal 3 2 2 28 2 5 2 2" xfId="31745"/>
    <cellStyle name="Normal 3 2 2 28 2 5 2 2 2" xfId="31746"/>
    <cellStyle name="Normal 3 2 2 28 2 5 2 2 2 2" xfId="31747"/>
    <cellStyle name="Normal 3 2 2 28 2 5 2 2 2 3" xfId="31748"/>
    <cellStyle name="Normal 3 2 2 28 2 5 2 2 2 4" xfId="31749"/>
    <cellStyle name="Normal 3 2 2 28 2 5 2 2 3" xfId="31750"/>
    <cellStyle name="Normal 3 2 2 28 2 5 2 2 4" xfId="31751"/>
    <cellStyle name="Normal 3 2 2 28 2 5 2 2 5" xfId="31752"/>
    <cellStyle name="Normal 3 2 2 28 2 5 2 2 6" xfId="31753"/>
    <cellStyle name="Normal 3 2 2 28 2 5 2 3" xfId="31754"/>
    <cellStyle name="Normal 3 2 2 28 2 5 2 4" xfId="31755"/>
    <cellStyle name="Normal 3 2 2 28 2 5 2 5" xfId="31756"/>
    <cellStyle name="Normal 3 2 2 28 2 5 2 6" xfId="31757"/>
    <cellStyle name="Normal 3 2 2 28 2 5 2 7" xfId="31758"/>
    <cellStyle name="Normal 3 2 2 28 2 5 2 8" xfId="31759"/>
    <cellStyle name="Normal 3 2 2 28 2 5 2 8 2" xfId="31760"/>
    <cellStyle name="Normal 3 2 2 28 2 5 2 8 3" xfId="31761"/>
    <cellStyle name="Normal 3 2 2 28 2 5 2 8 4" xfId="31762"/>
    <cellStyle name="Normal 3 2 2 28 2 5 2 9" xfId="31763"/>
    <cellStyle name="Normal 3 2 2 28 2 5 3" xfId="31764"/>
    <cellStyle name="Normal 3 2 2 28 2 5 3 2" xfId="31765"/>
    <cellStyle name="Normal 3 2 2 28 2 5 3 2 2" xfId="31766"/>
    <cellStyle name="Normal 3 2 2 28 2 5 3 2 3" xfId="31767"/>
    <cellStyle name="Normal 3 2 2 28 2 5 3 2 4" xfId="31768"/>
    <cellStyle name="Normal 3 2 2 28 2 5 3 3" xfId="31769"/>
    <cellStyle name="Normal 3 2 2 28 2 5 3 4" xfId="31770"/>
    <cellStyle name="Normal 3 2 2 28 2 5 3 5" xfId="31771"/>
    <cellStyle name="Normal 3 2 2 28 2 5 3 6" xfId="31772"/>
    <cellStyle name="Normal 3 2 2 28 2 5 4" xfId="31773"/>
    <cellStyle name="Normal 3 2 2 28 2 5 5" xfId="31774"/>
    <cellStyle name="Normal 3 2 2 28 2 5 6" xfId="31775"/>
    <cellStyle name="Normal 3 2 2 28 2 5 7" xfId="31776"/>
    <cellStyle name="Normal 3 2 2 28 2 5 8" xfId="31777"/>
    <cellStyle name="Normal 3 2 2 28 2 5 8 2" xfId="31778"/>
    <cellStyle name="Normal 3 2 2 28 2 5 8 3" xfId="31779"/>
    <cellStyle name="Normal 3 2 2 28 2 5 8 4" xfId="31780"/>
    <cellStyle name="Normal 3 2 2 28 2 5 9" xfId="31781"/>
    <cellStyle name="Normal 3 2 2 28 2 6" xfId="31782"/>
    <cellStyle name="Normal 3 2 2 28 2 7" xfId="31783"/>
    <cellStyle name="Normal 3 2 2 28 2 7 2" xfId="31784"/>
    <cellStyle name="Normal 3 2 2 28 2 7 2 2" xfId="31785"/>
    <cellStyle name="Normal 3 2 2 28 2 7 2 3" xfId="31786"/>
    <cellStyle name="Normal 3 2 2 28 2 7 2 4" xfId="31787"/>
    <cellStyle name="Normal 3 2 2 28 2 7 3" xfId="31788"/>
    <cellStyle name="Normal 3 2 2 28 2 7 4" xfId="31789"/>
    <cellStyle name="Normal 3 2 2 28 2 7 5" xfId="31790"/>
    <cellStyle name="Normal 3 2 2 28 2 7 6" xfId="31791"/>
    <cellStyle name="Normal 3 2 2 28 2 8" xfId="31792"/>
    <cellStyle name="Normal 3 2 2 28 2 9" xfId="31793"/>
    <cellStyle name="Normal 3 2 2 28 20" xfId="31794"/>
    <cellStyle name="Normal 3 2 2 28 21" xfId="31795"/>
    <cellStyle name="Normal 3 2 2 28 21 2" xfId="31796"/>
    <cellStyle name="Normal 3 2 2 28 21 3" xfId="31797"/>
    <cellStyle name="Normal 3 2 2 28 21 4" xfId="31798"/>
    <cellStyle name="Normal 3 2 2 28 22" xfId="31799"/>
    <cellStyle name="Normal 3 2 2 28 23" xfId="31800"/>
    <cellStyle name="Normal 3 2 2 28 24" xfId="31801"/>
    <cellStyle name="Normal 3 2 2 28 3" xfId="31802"/>
    <cellStyle name="Normal 3 2 2 28 4" xfId="31803"/>
    <cellStyle name="Normal 3 2 2 28 5" xfId="31804"/>
    <cellStyle name="Normal 3 2 2 28 6" xfId="31805"/>
    <cellStyle name="Normal 3 2 2 28 7" xfId="31806"/>
    <cellStyle name="Normal 3 2 2 28 8" xfId="31807"/>
    <cellStyle name="Normal 3 2 2 28 9" xfId="31808"/>
    <cellStyle name="Normal 3 2 2 29" xfId="31809"/>
    <cellStyle name="Normal 3 2 2 29 10" xfId="31810"/>
    <cellStyle name="Normal 3 2 2 29 11" xfId="31811"/>
    <cellStyle name="Normal 3 2 2 29 12" xfId="31812"/>
    <cellStyle name="Normal 3 2 2 29 13" xfId="31813"/>
    <cellStyle name="Normal 3 2 2 29 13 2" xfId="31814"/>
    <cellStyle name="Normal 3 2 2 29 13 3" xfId="31815"/>
    <cellStyle name="Normal 3 2 2 29 13 4" xfId="31816"/>
    <cellStyle name="Normal 3 2 2 29 14" xfId="31817"/>
    <cellStyle name="Normal 3 2 2 29 15" xfId="31818"/>
    <cellStyle name="Normal 3 2 2 29 16" xfId="31819"/>
    <cellStyle name="Normal 3 2 2 29 2" xfId="31820"/>
    <cellStyle name="Normal 3 2 2 29 2 10" xfId="31821"/>
    <cellStyle name="Normal 3 2 2 29 2 11" xfId="31822"/>
    <cellStyle name="Normal 3 2 2 29 2 11 2" xfId="31823"/>
    <cellStyle name="Normal 3 2 2 29 2 11 3" xfId="31824"/>
    <cellStyle name="Normal 3 2 2 29 2 11 4" xfId="31825"/>
    <cellStyle name="Normal 3 2 2 29 2 12" xfId="31826"/>
    <cellStyle name="Normal 3 2 2 29 2 13" xfId="31827"/>
    <cellStyle name="Normal 3 2 2 29 2 14" xfId="31828"/>
    <cellStyle name="Normal 3 2 2 29 2 2" xfId="31829"/>
    <cellStyle name="Normal 3 2 2 29 2 2 10" xfId="31830"/>
    <cellStyle name="Normal 3 2 2 29 2 2 11" xfId="31831"/>
    <cellStyle name="Normal 3 2 2 29 2 2 2" xfId="31832"/>
    <cellStyle name="Normal 3 2 2 29 2 2 2 10" xfId="31833"/>
    <cellStyle name="Normal 3 2 2 29 2 2 2 11" xfId="31834"/>
    <cellStyle name="Normal 3 2 2 29 2 2 2 2" xfId="31835"/>
    <cellStyle name="Normal 3 2 2 29 2 2 2 2 2" xfId="31836"/>
    <cellStyle name="Normal 3 2 2 29 2 2 2 2 2 2" xfId="31837"/>
    <cellStyle name="Normal 3 2 2 29 2 2 2 2 2 3" xfId="31838"/>
    <cellStyle name="Normal 3 2 2 29 2 2 2 2 2 4" xfId="31839"/>
    <cellStyle name="Normal 3 2 2 29 2 2 2 2 3" xfId="31840"/>
    <cellStyle name="Normal 3 2 2 29 2 2 2 2 4" xfId="31841"/>
    <cellStyle name="Normal 3 2 2 29 2 2 2 2 5" xfId="31842"/>
    <cellStyle name="Normal 3 2 2 29 2 2 2 2 6" xfId="31843"/>
    <cellStyle name="Normal 3 2 2 29 2 2 2 3" xfId="31844"/>
    <cellStyle name="Normal 3 2 2 29 2 2 2 4" xfId="31845"/>
    <cellStyle name="Normal 3 2 2 29 2 2 2 5" xfId="31846"/>
    <cellStyle name="Normal 3 2 2 29 2 2 2 6" xfId="31847"/>
    <cellStyle name="Normal 3 2 2 29 2 2 2 7" xfId="31848"/>
    <cellStyle name="Normal 3 2 2 29 2 2 2 8" xfId="31849"/>
    <cellStyle name="Normal 3 2 2 29 2 2 2 8 2" xfId="31850"/>
    <cellStyle name="Normal 3 2 2 29 2 2 2 8 3" xfId="31851"/>
    <cellStyle name="Normal 3 2 2 29 2 2 2 8 4" xfId="31852"/>
    <cellStyle name="Normal 3 2 2 29 2 2 2 9" xfId="31853"/>
    <cellStyle name="Normal 3 2 2 29 2 2 3" xfId="31854"/>
    <cellStyle name="Normal 3 2 2 29 2 2 3 2" xfId="31855"/>
    <cellStyle name="Normal 3 2 2 29 2 2 3 2 2" xfId="31856"/>
    <cellStyle name="Normal 3 2 2 29 2 2 3 2 3" xfId="31857"/>
    <cellStyle name="Normal 3 2 2 29 2 2 3 2 4" xfId="31858"/>
    <cellStyle name="Normal 3 2 2 29 2 2 3 3" xfId="31859"/>
    <cellStyle name="Normal 3 2 2 29 2 2 3 4" xfId="31860"/>
    <cellStyle name="Normal 3 2 2 29 2 2 3 5" xfId="31861"/>
    <cellStyle name="Normal 3 2 2 29 2 2 3 6" xfId="31862"/>
    <cellStyle name="Normal 3 2 2 29 2 2 4" xfId="31863"/>
    <cellStyle name="Normal 3 2 2 29 2 2 5" xfId="31864"/>
    <cellStyle name="Normal 3 2 2 29 2 2 6" xfId="31865"/>
    <cellStyle name="Normal 3 2 2 29 2 2 7" xfId="31866"/>
    <cellStyle name="Normal 3 2 2 29 2 2 8" xfId="31867"/>
    <cellStyle name="Normal 3 2 2 29 2 2 8 2" xfId="31868"/>
    <cellStyle name="Normal 3 2 2 29 2 2 8 3" xfId="31869"/>
    <cellStyle name="Normal 3 2 2 29 2 2 8 4" xfId="31870"/>
    <cellStyle name="Normal 3 2 2 29 2 2 9" xfId="31871"/>
    <cellStyle name="Normal 3 2 2 29 2 3" xfId="31872"/>
    <cellStyle name="Normal 3 2 2 29 2 4" xfId="31873"/>
    <cellStyle name="Normal 3 2 2 29 2 5" xfId="31874"/>
    <cellStyle name="Normal 3 2 2 29 2 5 2" xfId="31875"/>
    <cellStyle name="Normal 3 2 2 29 2 5 2 2" xfId="31876"/>
    <cellStyle name="Normal 3 2 2 29 2 5 2 3" xfId="31877"/>
    <cellStyle name="Normal 3 2 2 29 2 5 2 4" xfId="31878"/>
    <cellStyle name="Normal 3 2 2 29 2 5 3" xfId="31879"/>
    <cellStyle name="Normal 3 2 2 29 2 5 4" xfId="31880"/>
    <cellStyle name="Normal 3 2 2 29 2 5 5" xfId="31881"/>
    <cellStyle name="Normal 3 2 2 29 2 5 6" xfId="31882"/>
    <cellStyle name="Normal 3 2 2 29 2 6" xfId="31883"/>
    <cellStyle name="Normal 3 2 2 29 2 7" xfId="31884"/>
    <cellStyle name="Normal 3 2 2 29 2 8" xfId="31885"/>
    <cellStyle name="Normal 3 2 2 29 2 9" xfId="31886"/>
    <cellStyle name="Normal 3 2 2 29 3" xfId="31887"/>
    <cellStyle name="Normal 3 2 2 29 4" xfId="31888"/>
    <cellStyle name="Normal 3 2 2 29 5" xfId="31889"/>
    <cellStyle name="Normal 3 2 2 29 5 10" xfId="31890"/>
    <cellStyle name="Normal 3 2 2 29 5 11" xfId="31891"/>
    <cellStyle name="Normal 3 2 2 29 5 2" xfId="31892"/>
    <cellStyle name="Normal 3 2 2 29 5 2 10" xfId="31893"/>
    <cellStyle name="Normal 3 2 2 29 5 2 11" xfId="31894"/>
    <cellStyle name="Normal 3 2 2 29 5 2 2" xfId="31895"/>
    <cellStyle name="Normal 3 2 2 29 5 2 2 2" xfId="31896"/>
    <cellStyle name="Normal 3 2 2 29 5 2 2 2 2" xfId="31897"/>
    <cellStyle name="Normal 3 2 2 29 5 2 2 2 3" xfId="31898"/>
    <cellStyle name="Normal 3 2 2 29 5 2 2 2 4" xfId="31899"/>
    <cellStyle name="Normal 3 2 2 29 5 2 2 3" xfId="31900"/>
    <cellStyle name="Normal 3 2 2 29 5 2 2 4" xfId="31901"/>
    <cellStyle name="Normal 3 2 2 29 5 2 2 5" xfId="31902"/>
    <cellStyle name="Normal 3 2 2 29 5 2 2 6" xfId="31903"/>
    <cellStyle name="Normal 3 2 2 29 5 2 3" xfId="31904"/>
    <cellStyle name="Normal 3 2 2 29 5 2 4" xfId="31905"/>
    <cellStyle name="Normal 3 2 2 29 5 2 5" xfId="31906"/>
    <cellStyle name="Normal 3 2 2 29 5 2 6" xfId="31907"/>
    <cellStyle name="Normal 3 2 2 29 5 2 7" xfId="31908"/>
    <cellStyle name="Normal 3 2 2 29 5 2 8" xfId="31909"/>
    <cellStyle name="Normal 3 2 2 29 5 2 8 2" xfId="31910"/>
    <cellStyle name="Normal 3 2 2 29 5 2 8 3" xfId="31911"/>
    <cellStyle name="Normal 3 2 2 29 5 2 8 4" xfId="31912"/>
    <cellStyle name="Normal 3 2 2 29 5 2 9" xfId="31913"/>
    <cellStyle name="Normal 3 2 2 29 5 3" xfId="31914"/>
    <cellStyle name="Normal 3 2 2 29 5 3 2" xfId="31915"/>
    <cellStyle name="Normal 3 2 2 29 5 3 2 2" xfId="31916"/>
    <cellStyle name="Normal 3 2 2 29 5 3 2 3" xfId="31917"/>
    <cellStyle name="Normal 3 2 2 29 5 3 2 4" xfId="31918"/>
    <cellStyle name="Normal 3 2 2 29 5 3 3" xfId="31919"/>
    <cellStyle name="Normal 3 2 2 29 5 3 4" xfId="31920"/>
    <cellStyle name="Normal 3 2 2 29 5 3 5" xfId="31921"/>
    <cellStyle name="Normal 3 2 2 29 5 3 6" xfId="31922"/>
    <cellStyle name="Normal 3 2 2 29 5 4" xfId="31923"/>
    <cellStyle name="Normal 3 2 2 29 5 5" xfId="31924"/>
    <cellStyle name="Normal 3 2 2 29 5 6" xfId="31925"/>
    <cellStyle name="Normal 3 2 2 29 5 7" xfId="31926"/>
    <cellStyle name="Normal 3 2 2 29 5 8" xfId="31927"/>
    <cellStyle name="Normal 3 2 2 29 5 8 2" xfId="31928"/>
    <cellStyle name="Normal 3 2 2 29 5 8 3" xfId="31929"/>
    <cellStyle name="Normal 3 2 2 29 5 8 4" xfId="31930"/>
    <cellStyle name="Normal 3 2 2 29 5 9" xfId="31931"/>
    <cellStyle name="Normal 3 2 2 29 6" xfId="31932"/>
    <cellStyle name="Normal 3 2 2 29 7" xfId="31933"/>
    <cellStyle name="Normal 3 2 2 29 7 2" xfId="31934"/>
    <cellStyle name="Normal 3 2 2 29 7 2 2" xfId="31935"/>
    <cellStyle name="Normal 3 2 2 29 7 2 3" xfId="31936"/>
    <cellStyle name="Normal 3 2 2 29 7 2 4" xfId="31937"/>
    <cellStyle name="Normal 3 2 2 29 7 3" xfId="31938"/>
    <cellStyle name="Normal 3 2 2 29 7 4" xfId="31939"/>
    <cellStyle name="Normal 3 2 2 29 7 5" xfId="31940"/>
    <cellStyle name="Normal 3 2 2 29 7 6" xfId="31941"/>
    <cellStyle name="Normal 3 2 2 29 8" xfId="31942"/>
    <cellStyle name="Normal 3 2 2 29 9" xfId="31943"/>
    <cellStyle name="Normal 3 2 2 3" xfId="31944"/>
    <cellStyle name="Normal 3 2 2 3 2" xfId="31945"/>
    <cellStyle name="Normal 3 2 2 3 2 10" xfId="31946"/>
    <cellStyle name="Normal 3 2 2 3 2 10 2" xfId="31947"/>
    <cellStyle name="Normal 3 2 2 3 2 10 3" xfId="31948"/>
    <cellStyle name="Normal 3 2 2 3 2 10 4" xfId="31949"/>
    <cellStyle name="Normal 3 2 2 3 2 10 5" xfId="31950"/>
    <cellStyle name="Normal 3 2 2 3 2 10 6" xfId="31951"/>
    <cellStyle name="Normal 3 2 2 3 2 11" xfId="31952"/>
    <cellStyle name="Normal 3 2 2 3 2 11 2" xfId="31953"/>
    <cellStyle name="Normal 3 2 2 3 2 11 3" xfId="31954"/>
    <cellStyle name="Normal 3 2 2 3 2 11 4" xfId="31955"/>
    <cellStyle name="Normal 3 2 2 3 2 11 5" xfId="31956"/>
    <cellStyle name="Normal 3 2 2 3 2 11 6" xfId="31957"/>
    <cellStyle name="Normal 3 2 2 3 2 12" xfId="31958"/>
    <cellStyle name="Normal 3 2 2 3 2 12 2" xfId="31959"/>
    <cellStyle name="Normal 3 2 2 3 2 12 3" xfId="31960"/>
    <cellStyle name="Normal 3 2 2 3 2 12 4" xfId="31961"/>
    <cellStyle name="Normal 3 2 2 3 2 12 5" xfId="31962"/>
    <cellStyle name="Normal 3 2 2 3 2 12 6" xfId="31963"/>
    <cellStyle name="Normal 3 2 2 3 2 13" xfId="31964"/>
    <cellStyle name="Normal 3 2 2 3 2 13 2" xfId="31965"/>
    <cellStyle name="Normal 3 2 2 3 2 13 3" xfId="31966"/>
    <cellStyle name="Normal 3 2 2 3 2 13 4" xfId="31967"/>
    <cellStyle name="Normal 3 2 2 3 2 13 5" xfId="31968"/>
    <cellStyle name="Normal 3 2 2 3 2 13 6" xfId="31969"/>
    <cellStyle name="Normal 3 2 2 3 2 14" xfId="31970"/>
    <cellStyle name="Normal 3 2 2 3 2 14 2" xfId="31971"/>
    <cellStyle name="Normal 3 2 2 3 2 14 3" xfId="31972"/>
    <cellStyle name="Normal 3 2 2 3 2 14 4" xfId="31973"/>
    <cellStyle name="Normal 3 2 2 3 2 14 5" xfId="31974"/>
    <cellStyle name="Normal 3 2 2 3 2 14 6" xfId="31975"/>
    <cellStyle name="Normal 3 2 2 3 2 15" xfId="31976"/>
    <cellStyle name="Normal 3 2 2 3 2 16" xfId="31977"/>
    <cellStyle name="Normal 3 2 2 3 2 17" xfId="31978"/>
    <cellStyle name="Normal 3 2 2 3 2 18" xfId="31979"/>
    <cellStyle name="Normal 3 2 2 3 2 19" xfId="31980"/>
    <cellStyle name="Normal 3 2 2 3 2 2" xfId="31981"/>
    <cellStyle name="Normal 3 2 2 3 2 3" xfId="31982"/>
    <cellStyle name="Normal 3 2 2 3 2 4" xfId="31983"/>
    <cellStyle name="Normal 3 2 2 3 2 5" xfId="31984"/>
    <cellStyle name="Normal 3 2 2 3 2 6" xfId="31985"/>
    <cellStyle name="Normal 3 2 2 3 2 7" xfId="31986"/>
    <cellStyle name="Normal 3 2 2 3 2 8" xfId="31987"/>
    <cellStyle name="Normal 3 2 2 3 2 9" xfId="31988"/>
    <cellStyle name="Normal 3 2 2 3 3" xfId="31989"/>
    <cellStyle name="Normal 3 2 2 3 3 10" xfId="31990"/>
    <cellStyle name="Normal 3 2 2 3 3 11" xfId="31991"/>
    <cellStyle name="Normal 3 2 2 3 3 2" xfId="31992"/>
    <cellStyle name="Normal 3 2 2 3 3 2 2" xfId="31993"/>
    <cellStyle name="Normal 3 2 2 3 3 2 3" xfId="31994"/>
    <cellStyle name="Normal 3 2 2 3 3 2 4" xfId="31995"/>
    <cellStyle name="Normal 3 2 2 3 3 2 5" xfId="31996"/>
    <cellStyle name="Normal 3 2 2 3 3 2 6" xfId="31997"/>
    <cellStyle name="Normal 3 2 2 3 3 3" xfId="31998"/>
    <cellStyle name="Normal 3 2 2 3 3 3 2" xfId="31999"/>
    <cellStyle name="Normal 3 2 2 3 3 3 3" xfId="32000"/>
    <cellStyle name="Normal 3 2 2 3 3 3 4" xfId="32001"/>
    <cellStyle name="Normal 3 2 2 3 3 3 5" xfId="32002"/>
    <cellStyle name="Normal 3 2 2 3 3 3 6" xfId="32003"/>
    <cellStyle name="Normal 3 2 2 3 3 4" xfId="32004"/>
    <cellStyle name="Normal 3 2 2 3 3 4 2" xfId="32005"/>
    <cellStyle name="Normal 3 2 2 3 3 4 3" xfId="32006"/>
    <cellStyle name="Normal 3 2 2 3 3 4 4" xfId="32007"/>
    <cellStyle name="Normal 3 2 2 3 3 4 5" xfId="32008"/>
    <cellStyle name="Normal 3 2 2 3 3 4 6" xfId="32009"/>
    <cellStyle name="Normal 3 2 2 3 3 5" xfId="32010"/>
    <cellStyle name="Normal 3 2 2 3 3 5 2" xfId="32011"/>
    <cellStyle name="Normal 3 2 2 3 3 5 3" xfId="32012"/>
    <cellStyle name="Normal 3 2 2 3 3 5 4" xfId="32013"/>
    <cellStyle name="Normal 3 2 2 3 3 5 5" xfId="32014"/>
    <cellStyle name="Normal 3 2 2 3 3 5 6" xfId="32015"/>
    <cellStyle name="Normal 3 2 2 3 3 6" xfId="32016"/>
    <cellStyle name="Normal 3 2 2 3 3 6 2" xfId="32017"/>
    <cellStyle name="Normal 3 2 2 3 3 6 3" xfId="32018"/>
    <cellStyle name="Normal 3 2 2 3 3 6 4" xfId="32019"/>
    <cellStyle name="Normal 3 2 2 3 3 6 5" xfId="32020"/>
    <cellStyle name="Normal 3 2 2 3 3 6 6" xfId="32021"/>
    <cellStyle name="Normal 3 2 2 3 3 7" xfId="32022"/>
    <cellStyle name="Normal 3 2 2 3 3 8" xfId="32023"/>
    <cellStyle name="Normal 3 2 2 3 3 9" xfId="32024"/>
    <cellStyle name="Normal 3 2 2 3 4" xfId="32025"/>
    <cellStyle name="Normal 3 2 2 3 4 10" xfId="32026"/>
    <cellStyle name="Normal 3 2 2 3 4 11" xfId="32027"/>
    <cellStyle name="Normal 3 2 2 3 4 2" xfId="32028"/>
    <cellStyle name="Normal 3 2 2 3 4 2 2" xfId="32029"/>
    <cellStyle name="Normal 3 2 2 3 4 2 3" xfId="32030"/>
    <cellStyle name="Normal 3 2 2 3 4 2 4" xfId="32031"/>
    <cellStyle name="Normal 3 2 2 3 4 2 5" xfId="32032"/>
    <cellStyle name="Normal 3 2 2 3 4 2 6" xfId="32033"/>
    <cellStyle name="Normal 3 2 2 3 4 3" xfId="32034"/>
    <cellStyle name="Normal 3 2 2 3 4 3 2" xfId="32035"/>
    <cellStyle name="Normal 3 2 2 3 4 3 3" xfId="32036"/>
    <cellStyle name="Normal 3 2 2 3 4 3 4" xfId="32037"/>
    <cellStyle name="Normal 3 2 2 3 4 3 5" xfId="32038"/>
    <cellStyle name="Normal 3 2 2 3 4 3 6" xfId="32039"/>
    <cellStyle name="Normal 3 2 2 3 4 4" xfId="32040"/>
    <cellStyle name="Normal 3 2 2 3 4 4 2" xfId="32041"/>
    <cellStyle name="Normal 3 2 2 3 4 4 3" xfId="32042"/>
    <cellStyle name="Normal 3 2 2 3 4 4 4" xfId="32043"/>
    <cellStyle name="Normal 3 2 2 3 4 4 5" xfId="32044"/>
    <cellStyle name="Normal 3 2 2 3 4 4 6" xfId="32045"/>
    <cellStyle name="Normal 3 2 2 3 4 5" xfId="32046"/>
    <cellStyle name="Normal 3 2 2 3 4 5 2" xfId="32047"/>
    <cellStyle name="Normal 3 2 2 3 4 5 3" xfId="32048"/>
    <cellStyle name="Normal 3 2 2 3 4 5 4" xfId="32049"/>
    <cellStyle name="Normal 3 2 2 3 4 5 5" xfId="32050"/>
    <cellStyle name="Normal 3 2 2 3 4 5 6" xfId="32051"/>
    <cellStyle name="Normal 3 2 2 3 4 6" xfId="32052"/>
    <cellStyle name="Normal 3 2 2 3 4 6 2" xfId="32053"/>
    <cellStyle name="Normal 3 2 2 3 4 6 3" xfId="32054"/>
    <cellStyle name="Normal 3 2 2 3 4 6 4" xfId="32055"/>
    <cellStyle name="Normal 3 2 2 3 4 6 5" xfId="32056"/>
    <cellStyle name="Normal 3 2 2 3 4 6 6" xfId="32057"/>
    <cellStyle name="Normal 3 2 2 3 4 7" xfId="32058"/>
    <cellStyle name="Normal 3 2 2 3 4 8" xfId="32059"/>
    <cellStyle name="Normal 3 2 2 3 4 9" xfId="32060"/>
    <cellStyle name="Normal 3 2 2 3 5" xfId="32061"/>
    <cellStyle name="Normal 3 2 2 3 5 10" xfId="32062"/>
    <cellStyle name="Normal 3 2 2 3 5 11" xfId="32063"/>
    <cellStyle name="Normal 3 2 2 3 5 2" xfId="32064"/>
    <cellStyle name="Normal 3 2 2 3 5 2 2" xfId="32065"/>
    <cellStyle name="Normal 3 2 2 3 5 2 3" xfId="32066"/>
    <cellStyle name="Normal 3 2 2 3 5 2 4" xfId="32067"/>
    <cellStyle name="Normal 3 2 2 3 5 2 5" xfId="32068"/>
    <cellStyle name="Normal 3 2 2 3 5 2 6" xfId="32069"/>
    <cellStyle name="Normal 3 2 2 3 5 3" xfId="32070"/>
    <cellStyle name="Normal 3 2 2 3 5 3 2" xfId="32071"/>
    <cellStyle name="Normal 3 2 2 3 5 3 3" xfId="32072"/>
    <cellStyle name="Normal 3 2 2 3 5 3 4" xfId="32073"/>
    <cellStyle name="Normal 3 2 2 3 5 3 5" xfId="32074"/>
    <cellStyle name="Normal 3 2 2 3 5 3 6" xfId="32075"/>
    <cellStyle name="Normal 3 2 2 3 5 4" xfId="32076"/>
    <cellStyle name="Normal 3 2 2 3 5 4 2" xfId="32077"/>
    <cellStyle name="Normal 3 2 2 3 5 4 3" xfId="32078"/>
    <cellStyle name="Normal 3 2 2 3 5 4 4" xfId="32079"/>
    <cellStyle name="Normal 3 2 2 3 5 4 5" xfId="32080"/>
    <cellStyle name="Normal 3 2 2 3 5 4 6" xfId="32081"/>
    <cellStyle name="Normal 3 2 2 3 5 5" xfId="32082"/>
    <cellStyle name="Normal 3 2 2 3 5 5 2" xfId="32083"/>
    <cellStyle name="Normal 3 2 2 3 5 5 3" xfId="32084"/>
    <cellStyle name="Normal 3 2 2 3 5 5 4" xfId="32085"/>
    <cellStyle name="Normal 3 2 2 3 5 5 5" xfId="32086"/>
    <cellStyle name="Normal 3 2 2 3 5 5 6" xfId="32087"/>
    <cellStyle name="Normal 3 2 2 3 5 6" xfId="32088"/>
    <cellStyle name="Normal 3 2 2 3 5 6 2" xfId="32089"/>
    <cellStyle name="Normal 3 2 2 3 5 6 3" xfId="32090"/>
    <cellStyle name="Normal 3 2 2 3 5 6 4" xfId="32091"/>
    <cellStyle name="Normal 3 2 2 3 5 6 5" xfId="32092"/>
    <cellStyle name="Normal 3 2 2 3 5 6 6" xfId="32093"/>
    <cellStyle name="Normal 3 2 2 3 5 7" xfId="32094"/>
    <cellStyle name="Normal 3 2 2 3 5 8" xfId="32095"/>
    <cellStyle name="Normal 3 2 2 3 5 9" xfId="32096"/>
    <cellStyle name="Normal 3 2 2 3 6" xfId="32097"/>
    <cellStyle name="Normal 3 2 2 3 6 10" xfId="32098"/>
    <cellStyle name="Normal 3 2 2 3 6 11" xfId="32099"/>
    <cellStyle name="Normal 3 2 2 3 6 2" xfId="32100"/>
    <cellStyle name="Normal 3 2 2 3 6 2 2" xfId="32101"/>
    <cellStyle name="Normal 3 2 2 3 6 2 3" xfId="32102"/>
    <cellStyle name="Normal 3 2 2 3 6 2 4" xfId="32103"/>
    <cellStyle name="Normal 3 2 2 3 6 2 5" xfId="32104"/>
    <cellStyle name="Normal 3 2 2 3 6 2 6" xfId="32105"/>
    <cellStyle name="Normal 3 2 2 3 6 3" xfId="32106"/>
    <cellStyle name="Normal 3 2 2 3 6 3 2" xfId="32107"/>
    <cellStyle name="Normal 3 2 2 3 6 3 3" xfId="32108"/>
    <cellStyle name="Normal 3 2 2 3 6 3 4" xfId="32109"/>
    <cellStyle name="Normal 3 2 2 3 6 3 5" xfId="32110"/>
    <cellStyle name="Normal 3 2 2 3 6 3 6" xfId="32111"/>
    <cellStyle name="Normal 3 2 2 3 6 4" xfId="32112"/>
    <cellStyle name="Normal 3 2 2 3 6 4 2" xfId="32113"/>
    <cellStyle name="Normal 3 2 2 3 6 4 3" xfId="32114"/>
    <cellStyle name="Normal 3 2 2 3 6 4 4" xfId="32115"/>
    <cellStyle name="Normal 3 2 2 3 6 4 5" xfId="32116"/>
    <cellStyle name="Normal 3 2 2 3 6 4 6" xfId="32117"/>
    <cellStyle name="Normal 3 2 2 3 6 5" xfId="32118"/>
    <cellStyle name="Normal 3 2 2 3 6 5 2" xfId="32119"/>
    <cellStyle name="Normal 3 2 2 3 6 5 3" xfId="32120"/>
    <cellStyle name="Normal 3 2 2 3 6 5 4" xfId="32121"/>
    <cellStyle name="Normal 3 2 2 3 6 5 5" xfId="32122"/>
    <cellStyle name="Normal 3 2 2 3 6 5 6" xfId="32123"/>
    <cellStyle name="Normal 3 2 2 3 6 6" xfId="32124"/>
    <cellStyle name="Normal 3 2 2 3 6 6 2" xfId="32125"/>
    <cellStyle name="Normal 3 2 2 3 6 6 3" xfId="32126"/>
    <cellStyle name="Normal 3 2 2 3 6 6 4" xfId="32127"/>
    <cellStyle name="Normal 3 2 2 3 6 6 5" xfId="32128"/>
    <cellStyle name="Normal 3 2 2 3 6 6 6" xfId="32129"/>
    <cellStyle name="Normal 3 2 2 3 6 7" xfId="32130"/>
    <cellStyle name="Normal 3 2 2 3 6 8" xfId="32131"/>
    <cellStyle name="Normal 3 2 2 3 6 9" xfId="32132"/>
    <cellStyle name="Normal 3 2 2 3 7" xfId="32133"/>
    <cellStyle name="Normal 3 2 2 3 7 10" xfId="32134"/>
    <cellStyle name="Normal 3 2 2 3 7 11" xfId="32135"/>
    <cellStyle name="Normal 3 2 2 3 7 2" xfId="32136"/>
    <cellStyle name="Normal 3 2 2 3 7 2 2" xfId="32137"/>
    <cellStyle name="Normal 3 2 2 3 7 2 3" xfId="32138"/>
    <cellStyle name="Normal 3 2 2 3 7 2 4" xfId="32139"/>
    <cellStyle name="Normal 3 2 2 3 7 2 5" xfId="32140"/>
    <cellStyle name="Normal 3 2 2 3 7 2 6" xfId="32141"/>
    <cellStyle name="Normal 3 2 2 3 7 3" xfId="32142"/>
    <cellStyle name="Normal 3 2 2 3 7 3 2" xfId="32143"/>
    <cellStyle name="Normal 3 2 2 3 7 3 3" xfId="32144"/>
    <cellStyle name="Normal 3 2 2 3 7 3 4" xfId="32145"/>
    <cellStyle name="Normal 3 2 2 3 7 3 5" xfId="32146"/>
    <cellStyle name="Normal 3 2 2 3 7 3 6" xfId="32147"/>
    <cellStyle name="Normal 3 2 2 3 7 4" xfId="32148"/>
    <cellStyle name="Normal 3 2 2 3 7 4 2" xfId="32149"/>
    <cellStyle name="Normal 3 2 2 3 7 4 3" xfId="32150"/>
    <cellStyle name="Normal 3 2 2 3 7 4 4" xfId="32151"/>
    <cellStyle name="Normal 3 2 2 3 7 4 5" xfId="32152"/>
    <cellStyle name="Normal 3 2 2 3 7 4 6" xfId="32153"/>
    <cellStyle name="Normal 3 2 2 3 7 5" xfId="32154"/>
    <cellStyle name="Normal 3 2 2 3 7 5 2" xfId="32155"/>
    <cellStyle name="Normal 3 2 2 3 7 5 3" xfId="32156"/>
    <cellStyle name="Normal 3 2 2 3 7 5 4" xfId="32157"/>
    <cellStyle name="Normal 3 2 2 3 7 5 5" xfId="32158"/>
    <cellStyle name="Normal 3 2 2 3 7 5 6" xfId="32159"/>
    <cellStyle name="Normal 3 2 2 3 7 6" xfId="32160"/>
    <cellStyle name="Normal 3 2 2 3 7 6 2" xfId="32161"/>
    <cellStyle name="Normal 3 2 2 3 7 6 3" xfId="32162"/>
    <cellStyle name="Normal 3 2 2 3 7 6 4" xfId="32163"/>
    <cellStyle name="Normal 3 2 2 3 7 6 5" xfId="32164"/>
    <cellStyle name="Normal 3 2 2 3 7 6 6" xfId="32165"/>
    <cellStyle name="Normal 3 2 2 3 7 7" xfId="32166"/>
    <cellStyle name="Normal 3 2 2 3 7 8" xfId="32167"/>
    <cellStyle name="Normal 3 2 2 3 7 9" xfId="32168"/>
    <cellStyle name="Normal 3 2 2 3 8" xfId="32169"/>
    <cellStyle name="Normal 3 2 2 3 8 10" xfId="32170"/>
    <cellStyle name="Normal 3 2 2 3 8 11" xfId="32171"/>
    <cellStyle name="Normal 3 2 2 3 8 2" xfId="32172"/>
    <cellStyle name="Normal 3 2 2 3 8 2 2" xfId="32173"/>
    <cellStyle name="Normal 3 2 2 3 8 2 3" xfId="32174"/>
    <cellStyle name="Normal 3 2 2 3 8 2 4" xfId="32175"/>
    <cellStyle name="Normal 3 2 2 3 8 2 5" xfId="32176"/>
    <cellStyle name="Normal 3 2 2 3 8 2 6" xfId="32177"/>
    <cellStyle name="Normal 3 2 2 3 8 3" xfId="32178"/>
    <cellStyle name="Normal 3 2 2 3 8 3 2" xfId="32179"/>
    <cellStyle name="Normal 3 2 2 3 8 3 3" xfId="32180"/>
    <cellStyle name="Normal 3 2 2 3 8 3 4" xfId="32181"/>
    <cellStyle name="Normal 3 2 2 3 8 3 5" xfId="32182"/>
    <cellStyle name="Normal 3 2 2 3 8 3 6" xfId="32183"/>
    <cellStyle name="Normal 3 2 2 3 8 4" xfId="32184"/>
    <cellStyle name="Normal 3 2 2 3 8 4 2" xfId="32185"/>
    <cellStyle name="Normal 3 2 2 3 8 4 3" xfId="32186"/>
    <cellStyle name="Normal 3 2 2 3 8 4 4" xfId="32187"/>
    <cellStyle name="Normal 3 2 2 3 8 4 5" xfId="32188"/>
    <cellStyle name="Normal 3 2 2 3 8 4 6" xfId="32189"/>
    <cellStyle name="Normal 3 2 2 3 8 5" xfId="32190"/>
    <cellStyle name="Normal 3 2 2 3 8 5 2" xfId="32191"/>
    <cellStyle name="Normal 3 2 2 3 8 5 3" xfId="32192"/>
    <cellStyle name="Normal 3 2 2 3 8 5 4" xfId="32193"/>
    <cellStyle name="Normal 3 2 2 3 8 5 5" xfId="32194"/>
    <cellStyle name="Normal 3 2 2 3 8 5 6" xfId="32195"/>
    <cellStyle name="Normal 3 2 2 3 8 6" xfId="32196"/>
    <cellStyle name="Normal 3 2 2 3 8 6 2" xfId="32197"/>
    <cellStyle name="Normal 3 2 2 3 8 6 3" xfId="32198"/>
    <cellStyle name="Normal 3 2 2 3 8 6 4" xfId="32199"/>
    <cellStyle name="Normal 3 2 2 3 8 6 5" xfId="32200"/>
    <cellStyle name="Normal 3 2 2 3 8 6 6" xfId="32201"/>
    <cellStyle name="Normal 3 2 2 3 8 7" xfId="32202"/>
    <cellStyle name="Normal 3 2 2 3 8 8" xfId="32203"/>
    <cellStyle name="Normal 3 2 2 3 8 9" xfId="32204"/>
    <cellStyle name="Normal 3 2 2 3 9" xfId="32205"/>
    <cellStyle name="Normal 3 2 2 3 9 10" xfId="32206"/>
    <cellStyle name="Normal 3 2 2 3 9 11" xfId="32207"/>
    <cellStyle name="Normal 3 2 2 3 9 2" xfId="32208"/>
    <cellStyle name="Normal 3 2 2 3 9 2 2" xfId="32209"/>
    <cellStyle name="Normal 3 2 2 3 9 2 3" xfId="32210"/>
    <cellStyle name="Normal 3 2 2 3 9 2 4" xfId="32211"/>
    <cellStyle name="Normal 3 2 2 3 9 2 5" xfId="32212"/>
    <cellStyle name="Normal 3 2 2 3 9 2 6" xfId="32213"/>
    <cellStyle name="Normal 3 2 2 3 9 3" xfId="32214"/>
    <cellStyle name="Normal 3 2 2 3 9 3 2" xfId="32215"/>
    <cellStyle name="Normal 3 2 2 3 9 3 3" xfId="32216"/>
    <cellStyle name="Normal 3 2 2 3 9 3 4" xfId="32217"/>
    <cellStyle name="Normal 3 2 2 3 9 3 5" xfId="32218"/>
    <cellStyle name="Normal 3 2 2 3 9 3 6" xfId="32219"/>
    <cellStyle name="Normal 3 2 2 3 9 4" xfId="32220"/>
    <cellStyle name="Normal 3 2 2 3 9 4 2" xfId="32221"/>
    <cellStyle name="Normal 3 2 2 3 9 4 3" xfId="32222"/>
    <cellStyle name="Normal 3 2 2 3 9 4 4" xfId="32223"/>
    <cellStyle name="Normal 3 2 2 3 9 4 5" xfId="32224"/>
    <cellStyle name="Normal 3 2 2 3 9 4 6" xfId="32225"/>
    <cellStyle name="Normal 3 2 2 3 9 5" xfId="32226"/>
    <cellStyle name="Normal 3 2 2 3 9 5 2" xfId="32227"/>
    <cellStyle name="Normal 3 2 2 3 9 5 3" xfId="32228"/>
    <cellStyle name="Normal 3 2 2 3 9 5 4" xfId="32229"/>
    <cellStyle name="Normal 3 2 2 3 9 5 5" xfId="32230"/>
    <cellStyle name="Normal 3 2 2 3 9 5 6" xfId="32231"/>
    <cellStyle name="Normal 3 2 2 3 9 6" xfId="32232"/>
    <cellStyle name="Normal 3 2 2 3 9 6 2" xfId="32233"/>
    <cellStyle name="Normal 3 2 2 3 9 6 3" xfId="32234"/>
    <cellStyle name="Normal 3 2 2 3 9 6 4" xfId="32235"/>
    <cellStyle name="Normal 3 2 2 3 9 6 5" xfId="32236"/>
    <cellStyle name="Normal 3 2 2 3 9 6 6" xfId="32237"/>
    <cellStyle name="Normal 3 2 2 3 9 7" xfId="32238"/>
    <cellStyle name="Normal 3 2 2 3 9 8" xfId="32239"/>
    <cellStyle name="Normal 3 2 2 3 9 9" xfId="32240"/>
    <cellStyle name="Normal 3 2 2 30" xfId="32241"/>
    <cellStyle name="Normal 3 2 2 31" xfId="32242"/>
    <cellStyle name="Normal 3 2 2 32" xfId="32243"/>
    <cellStyle name="Normal 3 2 2 33" xfId="32244"/>
    <cellStyle name="Normal 3 2 2 34" xfId="32245"/>
    <cellStyle name="Normal 3 2 2 35" xfId="32246"/>
    <cellStyle name="Normal 3 2 2 36" xfId="32247"/>
    <cellStyle name="Normal 3 2 2 37" xfId="32248"/>
    <cellStyle name="Normal 3 2 2 37 10" xfId="32249"/>
    <cellStyle name="Normal 3 2 2 37 11" xfId="32250"/>
    <cellStyle name="Normal 3 2 2 37 11 2" xfId="32251"/>
    <cellStyle name="Normal 3 2 2 37 11 3" xfId="32252"/>
    <cellStyle name="Normal 3 2 2 37 11 4" xfId="32253"/>
    <cellStyle name="Normal 3 2 2 37 12" xfId="32254"/>
    <cellStyle name="Normal 3 2 2 37 13" xfId="32255"/>
    <cellStyle name="Normal 3 2 2 37 14" xfId="32256"/>
    <cellStyle name="Normal 3 2 2 37 2" xfId="32257"/>
    <cellStyle name="Normal 3 2 2 37 2 10" xfId="32258"/>
    <cellStyle name="Normal 3 2 2 37 2 11" xfId="32259"/>
    <cellStyle name="Normal 3 2 2 37 2 2" xfId="32260"/>
    <cellStyle name="Normal 3 2 2 37 2 2 10" xfId="32261"/>
    <cellStyle name="Normal 3 2 2 37 2 2 11" xfId="32262"/>
    <cellStyle name="Normal 3 2 2 37 2 2 2" xfId="32263"/>
    <cellStyle name="Normal 3 2 2 37 2 2 2 2" xfId="32264"/>
    <cellStyle name="Normal 3 2 2 37 2 2 2 2 2" xfId="32265"/>
    <cellStyle name="Normal 3 2 2 37 2 2 2 2 3" xfId="32266"/>
    <cellStyle name="Normal 3 2 2 37 2 2 2 2 4" xfId="32267"/>
    <cellStyle name="Normal 3 2 2 37 2 2 2 3" xfId="32268"/>
    <cellStyle name="Normal 3 2 2 37 2 2 2 4" xfId="32269"/>
    <cellStyle name="Normal 3 2 2 37 2 2 2 5" xfId="32270"/>
    <cellStyle name="Normal 3 2 2 37 2 2 2 6" xfId="32271"/>
    <cellStyle name="Normal 3 2 2 37 2 2 3" xfId="32272"/>
    <cellStyle name="Normal 3 2 2 37 2 2 4" xfId="32273"/>
    <cellStyle name="Normal 3 2 2 37 2 2 5" xfId="32274"/>
    <cellStyle name="Normal 3 2 2 37 2 2 6" xfId="32275"/>
    <cellStyle name="Normal 3 2 2 37 2 2 7" xfId="32276"/>
    <cellStyle name="Normal 3 2 2 37 2 2 8" xfId="32277"/>
    <cellStyle name="Normal 3 2 2 37 2 2 8 2" xfId="32278"/>
    <cellStyle name="Normal 3 2 2 37 2 2 8 3" xfId="32279"/>
    <cellStyle name="Normal 3 2 2 37 2 2 8 4" xfId="32280"/>
    <cellStyle name="Normal 3 2 2 37 2 2 9" xfId="32281"/>
    <cellStyle name="Normal 3 2 2 37 2 3" xfId="32282"/>
    <cellStyle name="Normal 3 2 2 37 2 3 2" xfId="32283"/>
    <cellStyle name="Normal 3 2 2 37 2 3 2 2" xfId="32284"/>
    <cellStyle name="Normal 3 2 2 37 2 3 2 3" xfId="32285"/>
    <cellStyle name="Normal 3 2 2 37 2 3 2 4" xfId="32286"/>
    <cellStyle name="Normal 3 2 2 37 2 3 3" xfId="32287"/>
    <cellStyle name="Normal 3 2 2 37 2 3 4" xfId="32288"/>
    <cellStyle name="Normal 3 2 2 37 2 3 5" xfId="32289"/>
    <cellStyle name="Normal 3 2 2 37 2 3 6" xfId="32290"/>
    <cellStyle name="Normal 3 2 2 37 2 4" xfId="32291"/>
    <cellStyle name="Normal 3 2 2 37 2 5" xfId="32292"/>
    <cellStyle name="Normal 3 2 2 37 2 6" xfId="32293"/>
    <cellStyle name="Normal 3 2 2 37 2 7" xfId="32294"/>
    <cellStyle name="Normal 3 2 2 37 2 8" xfId="32295"/>
    <cellStyle name="Normal 3 2 2 37 2 8 2" xfId="32296"/>
    <cellStyle name="Normal 3 2 2 37 2 8 3" xfId="32297"/>
    <cellStyle name="Normal 3 2 2 37 2 8 4" xfId="32298"/>
    <cellStyle name="Normal 3 2 2 37 2 9" xfId="32299"/>
    <cellStyle name="Normal 3 2 2 37 3" xfId="32300"/>
    <cellStyle name="Normal 3 2 2 37 4" xfId="32301"/>
    <cellStyle name="Normal 3 2 2 37 5" xfId="32302"/>
    <cellStyle name="Normal 3 2 2 37 5 2" xfId="32303"/>
    <cellStyle name="Normal 3 2 2 37 5 2 2" xfId="32304"/>
    <cellStyle name="Normal 3 2 2 37 5 2 3" xfId="32305"/>
    <cellStyle name="Normal 3 2 2 37 5 2 4" xfId="32306"/>
    <cellStyle name="Normal 3 2 2 37 5 3" xfId="32307"/>
    <cellStyle name="Normal 3 2 2 37 5 4" xfId="32308"/>
    <cellStyle name="Normal 3 2 2 37 5 5" xfId="32309"/>
    <cellStyle name="Normal 3 2 2 37 5 6" xfId="32310"/>
    <cellStyle name="Normal 3 2 2 37 6" xfId="32311"/>
    <cellStyle name="Normal 3 2 2 37 7" xfId="32312"/>
    <cellStyle name="Normal 3 2 2 37 8" xfId="32313"/>
    <cellStyle name="Normal 3 2 2 37 9" xfId="32314"/>
    <cellStyle name="Normal 3 2 2 38" xfId="32315"/>
    <cellStyle name="Normal 3 2 2 39" xfId="32316"/>
    <cellStyle name="Normal 3 2 2 39 10" xfId="32317"/>
    <cellStyle name="Normal 3 2 2 39 11" xfId="32318"/>
    <cellStyle name="Normal 3 2 2 39 2" xfId="32319"/>
    <cellStyle name="Normal 3 2 2 39 2 10" xfId="32320"/>
    <cellStyle name="Normal 3 2 2 39 2 11" xfId="32321"/>
    <cellStyle name="Normal 3 2 2 39 2 2" xfId="32322"/>
    <cellStyle name="Normal 3 2 2 39 2 2 2" xfId="32323"/>
    <cellStyle name="Normal 3 2 2 39 2 2 2 2" xfId="32324"/>
    <cellStyle name="Normal 3 2 2 39 2 2 2 3" xfId="32325"/>
    <cellStyle name="Normal 3 2 2 39 2 2 2 4" xfId="32326"/>
    <cellStyle name="Normal 3 2 2 39 2 2 3" xfId="32327"/>
    <cellStyle name="Normal 3 2 2 39 2 2 4" xfId="32328"/>
    <cellStyle name="Normal 3 2 2 39 2 2 5" xfId="32329"/>
    <cellStyle name="Normal 3 2 2 39 2 2 6" xfId="32330"/>
    <cellStyle name="Normal 3 2 2 39 2 3" xfId="32331"/>
    <cellStyle name="Normal 3 2 2 39 2 4" xfId="32332"/>
    <cellStyle name="Normal 3 2 2 39 2 5" xfId="32333"/>
    <cellStyle name="Normal 3 2 2 39 2 6" xfId="32334"/>
    <cellStyle name="Normal 3 2 2 39 2 7" xfId="32335"/>
    <cellStyle name="Normal 3 2 2 39 2 8" xfId="32336"/>
    <cellStyle name="Normal 3 2 2 39 2 8 2" xfId="32337"/>
    <cellStyle name="Normal 3 2 2 39 2 8 3" xfId="32338"/>
    <cellStyle name="Normal 3 2 2 39 2 8 4" xfId="32339"/>
    <cellStyle name="Normal 3 2 2 39 2 9" xfId="32340"/>
    <cellStyle name="Normal 3 2 2 39 3" xfId="32341"/>
    <cellStyle name="Normal 3 2 2 39 3 2" xfId="32342"/>
    <cellStyle name="Normal 3 2 2 39 3 2 2" xfId="32343"/>
    <cellStyle name="Normal 3 2 2 39 3 2 3" xfId="32344"/>
    <cellStyle name="Normal 3 2 2 39 3 2 4" xfId="32345"/>
    <cellStyle name="Normal 3 2 2 39 3 3" xfId="32346"/>
    <cellStyle name="Normal 3 2 2 39 3 4" xfId="32347"/>
    <cellStyle name="Normal 3 2 2 39 3 5" xfId="32348"/>
    <cellStyle name="Normal 3 2 2 39 3 6" xfId="32349"/>
    <cellStyle name="Normal 3 2 2 39 4" xfId="32350"/>
    <cellStyle name="Normal 3 2 2 39 5" xfId="32351"/>
    <cellStyle name="Normal 3 2 2 39 6" xfId="32352"/>
    <cellStyle name="Normal 3 2 2 39 7" xfId="32353"/>
    <cellStyle name="Normal 3 2 2 39 8" xfId="32354"/>
    <cellStyle name="Normal 3 2 2 39 8 2" xfId="32355"/>
    <cellStyle name="Normal 3 2 2 39 8 3" xfId="32356"/>
    <cellStyle name="Normal 3 2 2 39 8 4" xfId="32357"/>
    <cellStyle name="Normal 3 2 2 39 9" xfId="32358"/>
    <cellStyle name="Normal 3 2 2 4" xfId="32359"/>
    <cellStyle name="Normal 3 2 2 40" xfId="32360"/>
    <cellStyle name="Normal 3 2 2 41" xfId="32361"/>
    <cellStyle name="Normal 3 2 2 41 2" xfId="32362"/>
    <cellStyle name="Normal 3 2 2 41 2 2" xfId="32363"/>
    <cellStyle name="Normal 3 2 2 41 2 3" xfId="32364"/>
    <cellStyle name="Normal 3 2 2 41 2 4" xfId="32365"/>
    <cellStyle name="Normal 3 2 2 41 3" xfId="32366"/>
    <cellStyle name="Normal 3 2 2 41 4" xfId="32367"/>
    <cellStyle name="Normal 3 2 2 41 5" xfId="32368"/>
    <cellStyle name="Normal 3 2 2 41 6" xfId="32369"/>
    <cellStyle name="Normal 3 2 2 42" xfId="32370"/>
    <cellStyle name="Normal 3 2 2 43" xfId="32371"/>
    <cellStyle name="Normal 3 2 2 44" xfId="32372"/>
    <cellStyle name="Normal 3 2 2 45" xfId="32373"/>
    <cellStyle name="Normal 3 2 2 46" xfId="32374"/>
    <cellStyle name="Normal 3 2 2 47" xfId="32375"/>
    <cellStyle name="Normal 3 2 2 47 2" xfId="32376"/>
    <cellStyle name="Normal 3 2 2 47 3" xfId="32377"/>
    <cellStyle name="Normal 3 2 2 47 4" xfId="32378"/>
    <cellStyle name="Normal 3 2 2 48" xfId="32379"/>
    <cellStyle name="Normal 3 2 2 49" xfId="32380"/>
    <cellStyle name="Normal 3 2 2 5" xfId="32381"/>
    <cellStyle name="Normal 3 2 2 50" xfId="32382"/>
    <cellStyle name="Normal 3 2 2 51" xfId="32383"/>
    <cellStyle name="Normal 3 2 2 52" xfId="32384"/>
    <cellStyle name="Normal 3 2 2 53" xfId="32385"/>
    <cellStyle name="Normal 3 2 2 54" xfId="32386"/>
    <cellStyle name="Normal 3 2 2 55" xfId="32387"/>
    <cellStyle name="Normal 3 2 2 56" xfId="32388"/>
    <cellStyle name="Normal 3 2 2 57" xfId="32389"/>
    <cellStyle name="Normal 3 2 2 58" xfId="32390"/>
    <cellStyle name="Normal 3 2 2 59" xfId="32391"/>
    <cellStyle name="Normal 3 2 2 6" xfId="32392"/>
    <cellStyle name="Normal 3 2 2 60" xfId="32393"/>
    <cellStyle name="Normal 3 2 2 61" xfId="32394"/>
    <cellStyle name="Normal 3 2 2 62" xfId="32395"/>
    <cellStyle name="Normal 3 2 2 62 2" xfId="32396"/>
    <cellStyle name="Normal 3 2 2 62 3" xfId="32397"/>
    <cellStyle name="Normal 3 2 2 62 4" xfId="32398"/>
    <cellStyle name="Normal 3 2 2 62 5" xfId="32399"/>
    <cellStyle name="Normal 3 2 2 62 6" xfId="32400"/>
    <cellStyle name="Normal 3 2 2 62 7" xfId="32401"/>
    <cellStyle name="Normal 3 2 2 63" xfId="32402"/>
    <cellStyle name="Normal 3 2 2 64" xfId="32403"/>
    <cellStyle name="Normal 3 2 2 65" xfId="32404"/>
    <cellStyle name="Normal 3 2 2 66" xfId="32405"/>
    <cellStyle name="Normal 3 2 2 67" xfId="32406"/>
    <cellStyle name="Normal 3 2 2 68" xfId="32407"/>
    <cellStyle name="Normal 3 2 2 69" xfId="32408"/>
    <cellStyle name="Normal 3 2 2 7" xfId="32409"/>
    <cellStyle name="Normal 3 2 2 70" xfId="32410"/>
    <cellStyle name="Normal 3 2 2 71" xfId="32411"/>
    <cellStyle name="Normal 3 2 2 72" xfId="32412"/>
    <cellStyle name="Normal 3 2 2 73" xfId="32413"/>
    <cellStyle name="Normal 3 2 2 74" xfId="32414"/>
    <cellStyle name="Normal 3 2 2 75" xfId="32415"/>
    <cellStyle name="Normal 3 2 2 76" xfId="32416"/>
    <cellStyle name="Normal 3 2 2 77" xfId="32417"/>
    <cellStyle name="Normal 3 2 2 78" xfId="32418"/>
    <cellStyle name="Normal 3 2 2 79" xfId="32419"/>
    <cellStyle name="Normal 3 2 2 8" xfId="32420"/>
    <cellStyle name="Normal 3 2 2 80" xfId="32421"/>
    <cellStyle name="Normal 3 2 2 81" xfId="32422"/>
    <cellStyle name="Normal 3 2 2 82" xfId="32423"/>
    <cellStyle name="Normal 3 2 2 83" xfId="32424"/>
    <cellStyle name="Normal 3 2 2 84" xfId="32425"/>
    <cellStyle name="Normal 3 2 2 85" xfId="32426"/>
    <cellStyle name="Normal 3 2 2 86" xfId="32427"/>
    <cellStyle name="Normal 3 2 2 87" xfId="32428"/>
    <cellStyle name="Normal 3 2 2 88" xfId="32429"/>
    <cellStyle name="Normal 3 2 2 89" xfId="32430"/>
    <cellStyle name="Normal 3 2 2 9" xfId="32431"/>
    <cellStyle name="Normal 3 2 2 90" xfId="32432"/>
    <cellStyle name="Normal 3 2 2 91" xfId="32433"/>
    <cellStyle name="Normal 3 2 2 92" xfId="32434"/>
    <cellStyle name="Normal 3 2 2 93" xfId="32435"/>
    <cellStyle name="Normal 3 2 2 94" xfId="32436"/>
    <cellStyle name="Normal 3 2 2 94 2" xfId="32437"/>
    <cellStyle name="Normal 3 2 2 94 3" xfId="32438"/>
    <cellStyle name="Normal 3 2 2 94 4" xfId="32439"/>
    <cellStyle name="Normal 3 2 2 95" xfId="32440"/>
    <cellStyle name="Normal 3 2 2 96" xfId="32441"/>
    <cellStyle name="Normal 3 2 2 97" xfId="32442"/>
    <cellStyle name="Normal 3 2 2 98" xfId="32443"/>
    <cellStyle name="Normal 3 2 20" xfId="32444"/>
    <cellStyle name="Normal 3 2 20 10" xfId="32445"/>
    <cellStyle name="Normal 3 2 20 11" xfId="32446"/>
    <cellStyle name="Normal 3 2 20 2" xfId="32447"/>
    <cellStyle name="Normal 3 2 20 2 2" xfId="32448"/>
    <cellStyle name="Normal 3 2 20 2 3" xfId="32449"/>
    <cellStyle name="Normal 3 2 20 2 4" xfId="32450"/>
    <cellStyle name="Normal 3 2 20 2 5" xfId="32451"/>
    <cellStyle name="Normal 3 2 20 2 6" xfId="32452"/>
    <cellStyle name="Normal 3 2 20 3" xfId="32453"/>
    <cellStyle name="Normal 3 2 20 3 2" xfId="32454"/>
    <cellStyle name="Normal 3 2 20 3 3" xfId="32455"/>
    <cellStyle name="Normal 3 2 20 3 4" xfId="32456"/>
    <cellStyle name="Normal 3 2 20 3 5" xfId="32457"/>
    <cellStyle name="Normal 3 2 20 3 6" xfId="32458"/>
    <cellStyle name="Normal 3 2 20 4" xfId="32459"/>
    <cellStyle name="Normal 3 2 20 4 2" xfId="32460"/>
    <cellStyle name="Normal 3 2 20 4 3" xfId="32461"/>
    <cellStyle name="Normal 3 2 20 4 4" xfId="32462"/>
    <cellStyle name="Normal 3 2 20 4 5" xfId="32463"/>
    <cellStyle name="Normal 3 2 20 4 6" xfId="32464"/>
    <cellStyle name="Normal 3 2 20 5" xfId="32465"/>
    <cellStyle name="Normal 3 2 20 5 2" xfId="32466"/>
    <cellStyle name="Normal 3 2 20 5 3" xfId="32467"/>
    <cellStyle name="Normal 3 2 20 5 4" xfId="32468"/>
    <cellStyle name="Normal 3 2 20 5 5" xfId="32469"/>
    <cellStyle name="Normal 3 2 20 5 6" xfId="32470"/>
    <cellStyle name="Normal 3 2 20 6" xfId="32471"/>
    <cellStyle name="Normal 3 2 20 6 2" xfId="32472"/>
    <cellStyle name="Normal 3 2 20 6 3" xfId="32473"/>
    <cellStyle name="Normal 3 2 20 6 4" xfId="32474"/>
    <cellStyle name="Normal 3 2 20 6 5" xfId="32475"/>
    <cellStyle name="Normal 3 2 20 6 6" xfId="32476"/>
    <cellStyle name="Normal 3 2 20 7" xfId="32477"/>
    <cellStyle name="Normal 3 2 20 8" xfId="32478"/>
    <cellStyle name="Normal 3 2 20 9" xfId="32479"/>
    <cellStyle name="Normal 3 2 21" xfId="32480"/>
    <cellStyle name="Normal 3 2 21 10" xfId="32481"/>
    <cellStyle name="Normal 3 2 21 11" xfId="32482"/>
    <cellStyle name="Normal 3 2 21 2" xfId="32483"/>
    <cellStyle name="Normal 3 2 21 2 2" xfId="32484"/>
    <cellStyle name="Normal 3 2 21 2 3" xfId="32485"/>
    <cellStyle name="Normal 3 2 21 2 4" xfId="32486"/>
    <cellStyle name="Normal 3 2 21 2 5" xfId="32487"/>
    <cellStyle name="Normal 3 2 21 2 6" xfId="32488"/>
    <cellStyle name="Normal 3 2 21 3" xfId="32489"/>
    <cellStyle name="Normal 3 2 21 3 2" xfId="32490"/>
    <cellStyle name="Normal 3 2 21 3 3" xfId="32491"/>
    <cellStyle name="Normal 3 2 21 3 4" xfId="32492"/>
    <cellStyle name="Normal 3 2 21 3 5" xfId="32493"/>
    <cellStyle name="Normal 3 2 21 3 6" xfId="32494"/>
    <cellStyle name="Normal 3 2 21 4" xfId="32495"/>
    <cellStyle name="Normal 3 2 21 4 2" xfId="32496"/>
    <cellStyle name="Normal 3 2 21 4 3" xfId="32497"/>
    <cellStyle name="Normal 3 2 21 4 4" xfId="32498"/>
    <cellStyle name="Normal 3 2 21 4 5" xfId="32499"/>
    <cellStyle name="Normal 3 2 21 4 6" xfId="32500"/>
    <cellStyle name="Normal 3 2 21 5" xfId="32501"/>
    <cellStyle name="Normal 3 2 21 5 2" xfId="32502"/>
    <cellStyle name="Normal 3 2 21 5 3" xfId="32503"/>
    <cellStyle name="Normal 3 2 21 5 4" xfId="32504"/>
    <cellStyle name="Normal 3 2 21 5 5" xfId="32505"/>
    <cellStyle name="Normal 3 2 21 5 6" xfId="32506"/>
    <cellStyle name="Normal 3 2 21 6" xfId="32507"/>
    <cellStyle name="Normal 3 2 21 6 2" xfId="32508"/>
    <cellStyle name="Normal 3 2 21 6 3" xfId="32509"/>
    <cellStyle name="Normal 3 2 21 6 4" xfId="32510"/>
    <cellStyle name="Normal 3 2 21 6 5" xfId="32511"/>
    <cellStyle name="Normal 3 2 21 6 6" xfId="32512"/>
    <cellStyle name="Normal 3 2 21 7" xfId="32513"/>
    <cellStyle name="Normal 3 2 21 8" xfId="32514"/>
    <cellStyle name="Normal 3 2 21 9" xfId="32515"/>
    <cellStyle name="Normal 3 2 22" xfId="32516"/>
    <cellStyle name="Normal 3 2 22 10" xfId="32517"/>
    <cellStyle name="Normal 3 2 22 11" xfId="32518"/>
    <cellStyle name="Normal 3 2 22 2" xfId="32519"/>
    <cellStyle name="Normal 3 2 22 2 2" xfId="32520"/>
    <cellStyle name="Normal 3 2 22 2 3" xfId="32521"/>
    <cellStyle name="Normal 3 2 22 2 4" xfId="32522"/>
    <cellStyle name="Normal 3 2 22 2 5" xfId="32523"/>
    <cellStyle name="Normal 3 2 22 2 6" xfId="32524"/>
    <cellStyle name="Normal 3 2 22 3" xfId="32525"/>
    <cellStyle name="Normal 3 2 22 3 2" xfId="32526"/>
    <cellStyle name="Normal 3 2 22 3 3" xfId="32527"/>
    <cellStyle name="Normal 3 2 22 3 4" xfId="32528"/>
    <cellStyle name="Normal 3 2 22 3 5" xfId="32529"/>
    <cellStyle name="Normal 3 2 22 3 6" xfId="32530"/>
    <cellStyle name="Normal 3 2 22 4" xfId="32531"/>
    <cellStyle name="Normal 3 2 22 4 2" xfId="32532"/>
    <cellStyle name="Normal 3 2 22 4 3" xfId="32533"/>
    <cellStyle name="Normal 3 2 22 4 4" xfId="32534"/>
    <cellStyle name="Normal 3 2 22 4 5" xfId="32535"/>
    <cellStyle name="Normal 3 2 22 4 6" xfId="32536"/>
    <cellStyle name="Normal 3 2 22 5" xfId="32537"/>
    <cellStyle name="Normal 3 2 22 5 2" xfId="32538"/>
    <cellStyle name="Normal 3 2 22 5 3" xfId="32539"/>
    <cellStyle name="Normal 3 2 22 5 4" xfId="32540"/>
    <cellStyle name="Normal 3 2 22 5 5" xfId="32541"/>
    <cellStyle name="Normal 3 2 22 5 6" xfId="32542"/>
    <cellStyle name="Normal 3 2 22 6" xfId="32543"/>
    <cellStyle name="Normal 3 2 22 6 2" xfId="32544"/>
    <cellStyle name="Normal 3 2 22 6 3" xfId="32545"/>
    <cellStyle name="Normal 3 2 22 6 4" xfId="32546"/>
    <cellStyle name="Normal 3 2 22 6 5" xfId="32547"/>
    <cellStyle name="Normal 3 2 22 6 6" xfId="32548"/>
    <cellStyle name="Normal 3 2 22 7" xfId="32549"/>
    <cellStyle name="Normal 3 2 22 8" xfId="32550"/>
    <cellStyle name="Normal 3 2 22 9" xfId="32551"/>
    <cellStyle name="Normal 3 2 23" xfId="32552"/>
    <cellStyle name="Normal 3 2 23 10" xfId="32553"/>
    <cellStyle name="Normal 3 2 23 11" xfId="32554"/>
    <cellStyle name="Normal 3 2 23 2" xfId="32555"/>
    <cellStyle name="Normal 3 2 23 2 2" xfId="32556"/>
    <cellStyle name="Normal 3 2 23 2 3" xfId="32557"/>
    <cellStyle name="Normal 3 2 23 2 4" xfId="32558"/>
    <cellStyle name="Normal 3 2 23 2 5" xfId="32559"/>
    <cellStyle name="Normal 3 2 23 2 6" xfId="32560"/>
    <cellStyle name="Normal 3 2 23 3" xfId="32561"/>
    <cellStyle name="Normal 3 2 23 3 2" xfId="32562"/>
    <cellStyle name="Normal 3 2 23 3 3" xfId="32563"/>
    <cellStyle name="Normal 3 2 23 3 4" xfId="32564"/>
    <cellStyle name="Normal 3 2 23 3 5" xfId="32565"/>
    <cellStyle name="Normal 3 2 23 3 6" xfId="32566"/>
    <cellStyle name="Normal 3 2 23 4" xfId="32567"/>
    <cellStyle name="Normal 3 2 23 4 2" xfId="32568"/>
    <cellStyle name="Normal 3 2 23 4 3" xfId="32569"/>
    <cellStyle name="Normal 3 2 23 4 4" xfId="32570"/>
    <cellStyle name="Normal 3 2 23 4 5" xfId="32571"/>
    <cellStyle name="Normal 3 2 23 4 6" xfId="32572"/>
    <cellStyle name="Normal 3 2 23 5" xfId="32573"/>
    <cellStyle name="Normal 3 2 23 5 2" xfId="32574"/>
    <cellStyle name="Normal 3 2 23 5 3" xfId="32575"/>
    <cellStyle name="Normal 3 2 23 5 4" xfId="32576"/>
    <cellStyle name="Normal 3 2 23 5 5" xfId="32577"/>
    <cellStyle name="Normal 3 2 23 5 6" xfId="32578"/>
    <cellStyle name="Normal 3 2 23 6" xfId="32579"/>
    <cellStyle name="Normal 3 2 23 6 2" xfId="32580"/>
    <cellStyle name="Normal 3 2 23 6 3" xfId="32581"/>
    <cellStyle name="Normal 3 2 23 6 4" xfId="32582"/>
    <cellStyle name="Normal 3 2 23 6 5" xfId="32583"/>
    <cellStyle name="Normal 3 2 23 6 6" xfId="32584"/>
    <cellStyle name="Normal 3 2 23 7" xfId="32585"/>
    <cellStyle name="Normal 3 2 23 8" xfId="32586"/>
    <cellStyle name="Normal 3 2 23 9" xfId="32587"/>
    <cellStyle name="Normal 3 2 24" xfId="32588"/>
    <cellStyle name="Normal 3 2 24 10" xfId="32589"/>
    <cellStyle name="Normal 3 2 24 11" xfId="32590"/>
    <cellStyle name="Normal 3 2 24 2" xfId="32591"/>
    <cellStyle name="Normal 3 2 24 2 2" xfId="32592"/>
    <cellStyle name="Normal 3 2 24 2 3" xfId="32593"/>
    <cellStyle name="Normal 3 2 24 2 4" xfId="32594"/>
    <cellStyle name="Normal 3 2 24 2 5" xfId="32595"/>
    <cellStyle name="Normal 3 2 24 2 6" xfId="32596"/>
    <cellStyle name="Normal 3 2 24 3" xfId="32597"/>
    <cellStyle name="Normal 3 2 24 3 2" xfId="32598"/>
    <cellStyle name="Normal 3 2 24 3 3" xfId="32599"/>
    <cellStyle name="Normal 3 2 24 3 4" xfId="32600"/>
    <cellStyle name="Normal 3 2 24 3 5" xfId="32601"/>
    <cellStyle name="Normal 3 2 24 3 6" xfId="32602"/>
    <cellStyle name="Normal 3 2 24 4" xfId="32603"/>
    <cellStyle name="Normal 3 2 24 4 2" xfId="32604"/>
    <cellStyle name="Normal 3 2 24 4 3" xfId="32605"/>
    <cellStyle name="Normal 3 2 24 4 4" xfId="32606"/>
    <cellStyle name="Normal 3 2 24 4 5" xfId="32607"/>
    <cellStyle name="Normal 3 2 24 4 6" xfId="32608"/>
    <cellStyle name="Normal 3 2 24 5" xfId="32609"/>
    <cellStyle name="Normal 3 2 24 5 2" xfId="32610"/>
    <cellStyle name="Normal 3 2 24 5 3" xfId="32611"/>
    <cellStyle name="Normal 3 2 24 5 4" xfId="32612"/>
    <cellStyle name="Normal 3 2 24 5 5" xfId="32613"/>
    <cellStyle name="Normal 3 2 24 5 6" xfId="32614"/>
    <cellStyle name="Normal 3 2 24 6" xfId="32615"/>
    <cellStyle name="Normal 3 2 24 6 2" xfId="32616"/>
    <cellStyle name="Normal 3 2 24 6 3" xfId="32617"/>
    <cellStyle name="Normal 3 2 24 6 4" xfId="32618"/>
    <cellStyle name="Normal 3 2 24 6 5" xfId="32619"/>
    <cellStyle name="Normal 3 2 24 6 6" xfId="32620"/>
    <cellStyle name="Normal 3 2 24 7" xfId="32621"/>
    <cellStyle name="Normal 3 2 24 8" xfId="32622"/>
    <cellStyle name="Normal 3 2 24 9" xfId="32623"/>
    <cellStyle name="Normal 3 2 25" xfId="32624"/>
    <cellStyle name="Normal 3 2 25 10" xfId="32625"/>
    <cellStyle name="Normal 3 2 25 11" xfId="32626"/>
    <cellStyle name="Normal 3 2 25 2" xfId="32627"/>
    <cellStyle name="Normal 3 2 25 2 2" xfId="32628"/>
    <cellStyle name="Normal 3 2 25 2 3" xfId="32629"/>
    <cellStyle name="Normal 3 2 25 2 4" xfId="32630"/>
    <cellStyle name="Normal 3 2 25 2 5" xfId="32631"/>
    <cellStyle name="Normal 3 2 25 2 6" xfId="32632"/>
    <cellStyle name="Normal 3 2 25 3" xfId="32633"/>
    <cellStyle name="Normal 3 2 25 3 2" xfId="32634"/>
    <cellStyle name="Normal 3 2 25 3 3" xfId="32635"/>
    <cellStyle name="Normal 3 2 25 3 4" xfId="32636"/>
    <cellStyle name="Normal 3 2 25 3 5" xfId="32637"/>
    <cellStyle name="Normal 3 2 25 3 6" xfId="32638"/>
    <cellStyle name="Normal 3 2 25 4" xfId="32639"/>
    <cellStyle name="Normal 3 2 25 4 2" xfId="32640"/>
    <cellStyle name="Normal 3 2 25 4 3" xfId="32641"/>
    <cellStyle name="Normal 3 2 25 4 4" xfId="32642"/>
    <cellStyle name="Normal 3 2 25 4 5" xfId="32643"/>
    <cellStyle name="Normal 3 2 25 4 6" xfId="32644"/>
    <cellStyle name="Normal 3 2 25 5" xfId="32645"/>
    <cellStyle name="Normal 3 2 25 5 2" xfId="32646"/>
    <cellStyle name="Normal 3 2 25 5 3" xfId="32647"/>
    <cellStyle name="Normal 3 2 25 5 4" xfId="32648"/>
    <cellStyle name="Normal 3 2 25 5 5" xfId="32649"/>
    <cellStyle name="Normal 3 2 25 5 6" xfId="32650"/>
    <cellStyle name="Normal 3 2 25 6" xfId="32651"/>
    <cellStyle name="Normal 3 2 25 6 2" xfId="32652"/>
    <cellStyle name="Normal 3 2 25 6 3" xfId="32653"/>
    <cellStyle name="Normal 3 2 25 6 4" xfId="32654"/>
    <cellStyle name="Normal 3 2 25 6 5" xfId="32655"/>
    <cellStyle name="Normal 3 2 25 6 6" xfId="32656"/>
    <cellStyle name="Normal 3 2 25 7" xfId="32657"/>
    <cellStyle name="Normal 3 2 25 8" xfId="32658"/>
    <cellStyle name="Normal 3 2 25 9" xfId="32659"/>
    <cellStyle name="Normal 3 2 26" xfId="32660"/>
    <cellStyle name="Normal 3 2 26 10" xfId="32661"/>
    <cellStyle name="Normal 3 2 26 11" xfId="32662"/>
    <cellStyle name="Normal 3 2 26 2" xfId="32663"/>
    <cellStyle name="Normal 3 2 26 2 2" xfId="32664"/>
    <cellStyle name="Normal 3 2 26 2 3" xfId="32665"/>
    <cellStyle name="Normal 3 2 26 2 4" xfId="32666"/>
    <cellStyle name="Normal 3 2 26 2 5" xfId="32667"/>
    <cellStyle name="Normal 3 2 26 2 6" xfId="32668"/>
    <cellStyle name="Normal 3 2 26 3" xfId="32669"/>
    <cellStyle name="Normal 3 2 26 3 2" xfId="32670"/>
    <cellStyle name="Normal 3 2 26 3 3" xfId="32671"/>
    <cellStyle name="Normal 3 2 26 3 4" xfId="32672"/>
    <cellStyle name="Normal 3 2 26 3 5" xfId="32673"/>
    <cellStyle name="Normal 3 2 26 3 6" xfId="32674"/>
    <cellStyle name="Normal 3 2 26 4" xfId="32675"/>
    <cellStyle name="Normal 3 2 26 4 2" xfId="32676"/>
    <cellStyle name="Normal 3 2 26 4 3" xfId="32677"/>
    <cellStyle name="Normal 3 2 26 4 4" xfId="32678"/>
    <cellStyle name="Normal 3 2 26 4 5" xfId="32679"/>
    <cellStyle name="Normal 3 2 26 4 6" xfId="32680"/>
    <cellStyle name="Normal 3 2 26 5" xfId="32681"/>
    <cellStyle name="Normal 3 2 26 5 2" xfId="32682"/>
    <cellStyle name="Normal 3 2 26 5 3" xfId="32683"/>
    <cellStyle name="Normal 3 2 26 5 4" xfId="32684"/>
    <cellStyle name="Normal 3 2 26 5 5" xfId="32685"/>
    <cellStyle name="Normal 3 2 26 5 6" xfId="32686"/>
    <cellStyle name="Normal 3 2 26 6" xfId="32687"/>
    <cellStyle name="Normal 3 2 26 6 2" xfId="32688"/>
    <cellStyle name="Normal 3 2 26 6 3" xfId="32689"/>
    <cellStyle name="Normal 3 2 26 6 4" xfId="32690"/>
    <cellStyle name="Normal 3 2 26 6 5" xfId="32691"/>
    <cellStyle name="Normal 3 2 26 6 6" xfId="32692"/>
    <cellStyle name="Normal 3 2 26 7" xfId="32693"/>
    <cellStyle name="Normal 3 2 26 8" xfId="32694"/>
    <cellStyle name="Normal 3 2 26 9" xfId="32695"/>
    <cellStyle name="Normal 3 2 27" xfId="32696"/>
    <cellStyle name="Normal 3 2 27 10" xfId="32697"/>
    <cellStyle name="Normal 3 2 27 11" xfId="32698"/>
    <cellStyle name="Normal 3 2 27 2" xfId="32699"/>
    <cellStyle name="Normal 3 2 27 2 2" xfId="32700"/>
    <cellStyle name="Normal 3 2 27 2 3" xfId="32701"/>
    <cellStyle name="Normal 3 2 27 2 4" xfId="32702"/>
    <cellStyle name="Normal 3 2 27 2 5" xfId="32703"/>
    <cellStyle name="Normal 3 2 27 2 6" xfId="32704"/>
    <cellStyle name="Normal 3 2 27 3" xfId="32705"/>
    <cellStyle name="Normal 3 2 27 3 2" xfId="32706"/>
    <cellStyle name="Normal 3 2 27 3 3" xfId="32707"/>
    <cellStyle name="Normal 3 2 27 3 4" xfId="32708"/>
    <cellStyle name="Normal 3 2 27 3 5" xfId="32709"/>
    <cellStyle name="Normal 3 2 27 3 6" xfId="32710"/>
    <cellStyle name="Normal 3 2 27 4" xfId="32711"/>
    <cellStyle name="Normal 3 2 27 4 2" xfId="32712"/>
    <cellStyle name="Normal 3 2 27 4 3" xfId="32713"/>
    <cellStyle name="Normal 3 2 27 4 4" xfId="32714"/>
    <cellStyle name="Normal 3 2 27 4 5" xfId="32715"/>
    <cellStyle name="Normal 3 2 27 4 6" xfId="32716"/>
    <cellStyle name="Normal 3 2 27 5" xfId="32717"/>
    <cellStyle name="Normal 3 2 27 5 2" xfId="32718"/>
    <cellStyle name="Normal 3 2 27 5 3" xfId="32719"/>
    <cellStyle name="Normal 3 2 27 5 4" xfId="32720"/>
    <cellStyle name="Normal 3 2 27 5 5" xfId="32721"/>
    <cellStyle name="Normal 3 2 27 5 6" xfId="32722"/>
    <cellStyle name="Normal 3 2 27 6" xfId="32723"/>
    <cellStyle name="Normal 3 2 27 6 2" xfId="32724"/>
    <cellStyle name="Normal 3 2 27 6 3" xfId="32725"/>
    <cellStyle name="Normal 3 2 27 6 4" xfId="32726"/>
    <cellStyle name="Normal 3 2 27 6 5" xfId="32727"/>
    <cellStyle name="Normal 3 2 27 6 6" xfId="32728"/>
    <cellStyle name="Normal 3 2 27 7" xfId="32729"/>
    <cellStyle name="Normal 3 2 27 8" xfId="32730"/>
    <cellStyle name="Normal 3 2 27 9" xfId="32731"/>
    <cellStyle name="Normal 3 2 28" xfId="32732"/>
    <cellStyle name="Normal 3 2 28 10" xfId="32733"/>
    <cellStyle name="Normal 3 2 28 11" xfId="32734"/>
    <cellStyle name="Normal 3 2 28 2" xfId="32735"/>
    <cellStyle name="Normal 3 2 28 2 2" xfId="32736"/>
    <cellStyle name="Normal 3 2 28 2 2 2" xfId="32737"/>
    <cellStyle name="Normal 3 2 28 2 2 3" xfId="32738"/>
    <cellStyle name="Normal 3 2 28 2 2 4" xfId="32739"/>
    <cellStyle name="Normal 3 2 28 2 2 5" xfId="32740"/>
    <cellStyle name="Normal 3 2 28 2 2 6" xfId="32741"/>
    <cellStyle name="Normal 3 2 28 2 2 7" xfId="32742"/>
    <cellStyle name="Normal 3 2 28 3" xfId="32743"/>
    <cellStyle name="Normal 3 2 28 4" xfId="32744"/>
    <cellStyle name="Normal 3 2 28 5" xfId="32745"/>
    <cellStyle name="Normal 3 2 28 6" xfId="32746"/>
    <cellStyle name="Normal 3 2 28 7" xfId="32747"/>
    <cellStyle name="Normal 3 2 28 8" xfId="32748"/>
    <cellStyle name="Normal 3 2 28 9" xfId="32749"/>
    <cellStyle name="Normal 3 2 29" xfId="32750"/>
    <cellStyle name="Normal 3 2 29 2" xfId="32751"/>
    <cellStyle name="Normal 3 2 29 2 2" xfId="32752"/>
    <cellStyle name="Normal 3 2 29 2 2 2" xfId="32753"/>
    <cellStyle name="Normal 3 2 29 2 2 3" xfId="32754"/>
    <cellStyle name="Normal 3 2 29 2 2 4" xfId="32755"/>
    <cellStyle name="Normal 3 2 29 2 2 5" xfId="32756"/>
    <cellStyle name="Normal 3 2 29 2 2 6" xfId="32757"/>
    <cellStyle name="Normal 3 2 29 3" xfId="32758"/>
    <cellStyle name="Normal 3 2 29 4" xfId="32759"/>
    <cellStyle name="Normal 3 2 29 5" xfId="32760"/>
    <cellStyle name="Normal 3 2 29 6" xfId="32761"/>
    <cellStyle name="Normal 3 2 29 7" xfId="32762"/>
    <cellStyle name="Normal 3 2 3" xfId="32763"/>
    <cellStyle name="Normal 3 2 3 10" xfId="32764"/>
    <cellStyle name="Normal 3 2 3 11" xfId="32765"/>
    <cellStyle name="Normal 3 2 3 12" xfId="32766"/>
    <cellStyle name="Normal 3 2 3 2" xfId="32767"/>
    <cellStyle name="Normal 3 2 3 2 2" xfId="32768"/>
    <cellStyle name="Normal 3 2 3 2 3" xfId="32769"/>
    <cellStyle name="Normal 3 2 3 2 4" xfId="32770"/>
    <cellStyle name="Normal 3 2 3 2 5" xfId="32771"/>
    <cellStyle name="Normal 3 2 3 2 6" xfId="32772"/>
    <cellStyle name="Normal 3 2 3 3" xfId="32773"/>
    <cellStyle name="Normal 3 2 3 3 2" xfId="32774"/>
    <cellStyle name="Normal 3 2 3 3 3" xfId="32775"/>
    <cellStyle name="Normal 3 2 3 3 4" xfId="32776"/>
    <cellStyle name="Normal 3 2 3 3 5" xfId="32777"/>
    <cellStyle name="Normal 3 2 3 3 6" xfId="32778"/>
    <cellStyle name="Normal 3 2 3 4" xfId="32779"/>
    <cellStyle name="Normal 3 2 3 4 2" xfId="32780"/>
    <cellStyle name="Normal 3 2 3 4 3" xfId="32781"/>
    <cellStyle name="Normal 3 2 3 4 4" xfId="32782"/>
    <cellStyle name="Normal 3 2 3 4 5" xfId="32783"/>
    <cellStyle name="Normal 3 2 3 4 6" xfId="32784"/>
    <cellStyle name="Normal 3 2 3 5" xfId="32785"/>
    <cellStyle name="Normal 3 2 3 5 2" xfId="32786"/>
    <cellStyle name="Normal 3 2 3 5 3" xfId="32787"/>
    <cellStyle name="Normal 3 2 3 5 4" xfId="32788"/>
    <cellStyle name="Normal 3 2 3 5 5" xfId="32789"/>
    <cellStyle name="Normal 3 2 3 5 6" xfId="32790"/>
    <cellStyle name="Normal 3 2 3 6" xfId="32791"/>
    <cellStyle name="Normal 3 2 3 6 2" xfId="32792"/>
    <cellStyle name="Normal 3 2 3 6 3" xfId="32793"/>
    <cellStyle name="Normal 3 2 3 6 4" xfId="32794"/>
    <cellStyle name="Normal 3 2 3 6 5" xfId="32795"/>
    <cellStyle name="Normal 3 2 3 6 6" xfId="32796"/>
    <cellStyle name="Normal 3 2 3 7" xfId="32797"/>
    <cellStyle name="Normal 3 2 3 8" xfId="32798"/>
    <cellStyle name="Normal 3 2 3 9" xfId="32799"/>
    <cellStyle name="Normal 3 2 30" xfId="32800"/>
    <cellStyle name="Normal 3 2 30 2" xfId="32801"/>
    <cellStyle name="Normal 3 2 30 3" xfId="32802"/>
    <cellStyle name="Normal 3 2 30 4" xfId="32803"/>
    <cellStyle name="Normal 3 2 30 5" xfId="32804"/>
    <cellStyle name="Normal 3 2 30 6" xfId="32805"/>
    <cellStyle name="Normal 3 2 31" xfId="32806"/>
    <cellStyle name="Normal 3 2 31 2" xfId="32807"/>
    <cellStyle name="Normal 3 2 31 3" xfId="32808"/>
    <cellStyle name="Normal 3 2 31 4" xfId="32809"/>
    <cellStyle name="Normal 3 2 31 5" xfId="32810"/>
    <cellStyle name="Normal 3 2 31 6" xfId="32811"/>
    <cellStyle name="Normal 3 2 32" xfId="32812"/>
    <cellStyle name="Normal 3 2 32 2" xfId="32813"/>
    <cellStyle name="Normal 3 2 32 3" xfId="32814"/>
    <cellStyle name="Normal 3 2 32 4" xfId="32815"/>
    <cellStyle name="Normal 3 2 32 5" xfId="32816"/>
    <cellStyle name="Normal 3 2 32 6" xfId="32817"/>
    <cellStyle name="Normal 3 2 33" xfId="32818"/>
    <cellStyle name="Normal 3 2 34" xfId="32819"/>
    <cellStyle name="Normal 3 2 35" xfId="32820"/>
    <cellStyle name="Normal 3 2 36" xfId="32821"/>
    <cellStyle name="Normal 3 2 37" xfId="32822"/>
    <cellStyle name="Normal 3 2 38" xfId="32823"/>
    <cellStyle name="Normal 3 2 38 10" xfId="32824"/>
    <cellStyle name="Normal 3 2 38 11" xfId="32825"/>
    <cellStyle name="Normal 3 2 38 11 10" xfId="32826"/>
    <cellStyle name="Normal 3 2 38 11 11" xfId="32827"/>
    <cellStyle name="Normal 3 2 38 11 11 2" xfId="32828"/>
    <cellStyle name="Normal 3 2 38 11 11 3" xfId="32829"/>
    <cellStyle name="Normal 3 2 38 11 11 4" xfId="32830"/>
    <cellStyle name="Normal 3 2 38 11 12" xfId="32831"/>
    <cellStyle name="Normal 3 2 38 11 13" xfId="32832"/>
    <cellStyle name="Normal 3 2 38 11 14" xfId="32833"/>
    <cellStyle name="Normal 3 2 38 11 2" xfId="32834"/>
    <cellStyle name="Normal 3 2 38 11 2 10" xfId="32835"/>
    <cellStyle name="Normal 3 2 38 11 2 11" xfId="32836"/>
    <cellStyle name="Normal 3 2 38 11 2 2" xfId="32837"/>
    <cellStyle name="Normal 3 2 38 11 2 2 10" xfId="32838"/>
    <cellStyle name="Normal 3 2 38 11 2 2 11" xfId="32839"/>
    <cellStyle name="Normal 3 2 38 11 2 2 2" xfId="32840"/>
    <cellStyle name="Normal 3 2 38 11 2 2 2 2" xfId="32841"/>
    <cellStyle name="Normal 3 2 38 11 2 2 2 2 2" xfId="32842"/>
    <cellStyle name="Normal 3 2 38 11 2 2 2 2 3" xfId="32843"/>
    <cellStyle name="Normal 3 2 38 11 2 2 2 2 4" xfId="32844"/>
    <cellStyle name="Normal 3 2 38 11 2 2 2 3" xfId="32845"/>
    <cellStyle name="Normal 3 2 38 11 2 2 2 4" xfId="32846"/>
    <cellStyle name="Normal 3 2 38 11 2 2 2 5" xfId="32847"/>
    <cellStyle name="Normal 3 2 38 11 2 2 2 6" xfId="32848"/>
    <cellStyle name="Normal 3 2 38 11 2 2 3" xfId="32849"/>
    <cellStyle name="Normal 3 2 38 11 2 2 4" xfId="32850"/>
    <cellStyle name="Normal 3 2 38 11 2 2 5" xfId="32851"/>
    <cellStyle name="Normal 3 2 38 11 2 2 6" xfId="32852"/>
    <cellStyle name="Normal 3 2 38 11 2 2 7" xfId="32853"/>
    <cellStyle name="Normal 3 2 38 11 2 2 8" xfId="32854"/>
    <cellStyle name="Normal 3 2 38 11 2 2 8 2" xfId="32855"/>
    <cellStyle name="Normal 3 2 38 11 2 2 8 3" xfId="32856"/>
    <cellStyle name="Normal 3 2 38 11 2 2 8 4" xfId="32857"/>
    <cellStyle name="Normal 3 2 38 11 2 2 9" xfId="32858"/>
    <cellStyle name="Normal 3 2 38 11 2 3" xfId="32859"/>
    <cellStyle name="Normal 3 2 38 11 2 3 2" xfId="32860"/>
    <cellStyle name="Normal 3 2 38 11 2 3 2 2" xfId="32861"/>
    <cellStyle name="Normal 3 2 38 11 2 3 2 3" xfId="32862"/>
    <cellStyle name="Normal 3 2 38 11 2 3 2 4" xfId="32863"/>
    <cellStyle name="Normal 3 2 38 11 2 3 3" xfId="32864"/>
    <cellStyle name="Normal 3 2 38 11 2 3 4" xfId="32865"/>
    <cellStyle name="Normal 3 2 38 11 2 3 5" xfId="32866"/>
    <cellStyle name="Normal 3 2 38 11 2 3 6" xfId="32867"/>
    <cellStyle name="Normal 3 2 38 11 2 4" xfId="32868"/>
    <cellStyle name="Normal 3 2 38 11 2 5" xfId="32869"/>
    <cellStyle name="Normal 3 2 38 11 2 6" xfId="32870"/>
    <cellStyle name="Normal 3 2 38 11 2 7" xfId="32871"/>
    <cellStyle name="Normal 3 2 38 11 2 8" xfId="32872"/>
    <cellStyle name="Normal 3 2 38 11 2 8 2" xfId="32873"/>
    <cellStyle name="Normal 3 2 38 11 2 8 3" xfId="32874"/>
    <cellStyle name="Normal 3 2 38 11 2 8 4" xfId="32875"/>
    <cellStyle name="Normal 3 2 38 11 2 9" xfId="32876"/>
    <cellStyle name="Normal 3 2 38 11 3" xfId="32877"/>
    <cellStyle name="Normal 3 2 38 11 4" xfId="32878"/>
    <cellStyle name="Normal 3 2 38 11 5" xfId="32879"/>
    <cellStyle name="Normal 3 2 38 11 5 2" xfId="32880"/>
    <cellStyle name="Normal 3 2 38 11 5 2 2" xfId="32881"/>
    <cellStyle name="Normal 3 2 38 11 5 2 3" xfId="32882"/>
    <cellStyle name="Normal 3 2 38 11 5 2 4" xfId="32883"/>
    <cellStyle name="Normal 3 2 38 11 5 3" xfId="32884"/>
    <cellStyle name="Normal 3 2 38 11 5 4" xfId="32885"/>
    <cellStyle name="Normal 3 2 38 11 5 5" xfId="32886"/>
    <cellStyle name="Normal 3 2 38 11 5 6" xfId="32887"/>
    <cellStyle name="Normal 3 2 38 11 6" xfId="32888"/>
    <cellStyle name="Normal 3 2 38 11 7" xfId="32889"/>
    <cellStyle name="Normal 3 2 38 11 8" xfId="32890"/>
    <cellStyle name="Normal 3 2 38 11 9" xfId="32891"/>
    <cellStyle name="Normal 3 2 38 12" xfId="32892"/>
    <cellStyle name="Normal 3 2 38 13" xfId="32893"/>
    <cellStyle name="Normal 3 2 38 13 10" xfId="32894"/>
    <cellStyle name="Normal 3 2 38 13 11" xfId="32895"/>
    <cellStyle name="Normal 3 2 38 13 2" xfId="32896"/>
    <cellStyle name="Normal 3 2 38 13 2 10" xfId="32897"/>
    <cellStyle name="Normal 3 2 38 13 2 11" xfId="32898"/>
    <cellStyle name="Normal 3 2 38 13 2 2" xfId="32899"/>
    <cellStyle name="Normal 3 2 38 13 2 2 2" xfId="32900"/>
    <cellStyle name="Normal 3 2 38 13 2 2 2 2" xfId="32901"/>
    <cellStyle name="Normal 3 2 38 13 2 2 2 3" xfId="32902"/>
    <cellStyle name="Normal 3 2 38 13 2 2 2 4" xfId="32903"/>
    <cellStyle name="Normal 3 2 38 13 2 2 3" xfId="32904"/>
    <cellStyle name="Normal 3 2 38 13 2 2 4" xfId="32905"/>
    <cellStyle name="Normal 3 2 38 13 2 2 5" xfId="32906"/>
    <cellStyle name="Normal 3 2 38 13 2 2 6" xfId="32907"/>
    <cellStyle name="Normal 3 2 38 13 2 3" xfId="32908"/>
    <cellStyle name="Normal 3 2 38 13 2 4" xfId="32909"/>
    <cellStyle name="Normal 3 2 38 13 2 5" xfId="32910"/>
    <cellStyle name="Normal 3 2 38 13 2 6" xfId="32911"/>
    <cellStyle name="Normal 3 2 38 13 2 7" xfId="32912"/>
    <cellStyle name="Normal 3 2 38 13 2 8" xfId="32913"/>
    <cellStyle name="Normal 3 2 38 13 2 8 2" xfId="32914"/>
    <cellStyle name="Normal 3 2 38 13 2 8 3" xfId="32915"/>
    <cellStyle name="Normal 3 2 38 13 2 8 4" xfId="32916"/>
    <cellStyle name="Normal 3 2 38 13 2 9" xfId="32917"/>
    <cellStyle name="Normal 3 2 38 13 3" xfId="32918"/>
    <cellStyle name="Normal 3 2 38 13 3 2" xfId="32919"/>
    <cellStyle name="Normal 3 2 38 13 3 2 2" xfId="32920"/>
    <cellStyle name="Normal 3 2 38 13 3 2 3" xfId="32921"/>
    <cellStyle name="Normal 3 2 38 13 3 2 4" xfId="32922"/>
    <cellStyle name="Normal 3 2 38 13 3 3" xfId="32923"/>
    <cellStyle name="Normal 3 2 38 13 3 4" xfId="32924"/>
    <cellStyle name="Normal 3 2 38 13 3 5" xfId="32925"/>
    <cellStyle name="Normal 3 2 38 13 3 6" xfId="32926"/>
    <cellStyle name="Normal 3 2 38 13 4" xfId="32927"/>
    <cellStyle name="Normal 3 2 38 13 5" xfId="32928"/>
    <cellStyle name="Normal 3 2 38 13 6" xfId="32929"/>
    <cellStyle name="Normal 3 2 38 13 7" xfId="32930"/>
    <cellStyle name="Normal 3 2 38 13 8" xfId="32931"/>
    <cellStyle name="Normal 3 2 38 13 8 2" xfId="32932"/>
    <cellStyle name="Normal 3 2 38 13 8 3" xfId="32933"/>
    <cellStyle name="Normal 3 2 38 13 8 4" xfId="32934"/>
    <cellStyle name="Normal 3 2 38 13 9" xfId="32935"/>
    <cellStyle name="Normal 3 2 38 14" xfId="32936"/>
    <cellStyle name="Normal 3 2 38 15" xfId="32937"/>
    <cellStyle name="Normal 3 2 38 15 2" xfId="32938"/>
    <cellStyle name="Normal 3 2 38 15 2 2" xfId="32939"/>
    <cellStyle name="Normal 3 2 38 15 2 3" xfId="32940"/>
    <cellStyle name="Normal 3 2 38 15 2 4" xfId="32941"/>
    <cellStyle name="Normal 3 2 38 15 3" xfId="32942"/>
    <cellStyle name="Normal 3 2 38 15 4" xfId="32943"/>
    <cellStyle name="Normal 3 2 38 15 5" xfId="32944"/>
    <cellStyle name="Normal 3 2 38 15 6" xfId="32945"/>
    <cellStyle name="Normal 3 2 38 16" xfId="32946"/>
    <cellStyle name="Normal 3 2 38 17" xfId="32947"/>
    <cellStyle name="Normal 3 2 38 18" xfId="32948"/>
    <cellStyle name="Normal 3 2 38 19" xfId="32949"/>
    <cellStyle name="Normal 3 2 38 2" xfId="32950"/>
    <cellStyle name="Normal 3 2 38 2 10" xfId="32951"/>
    <cellStyle name="Normal 3 2 38 2 11" xfId="32952"/>
    <cellStyle name="Normal 3 2 38 2 12" xfId="32953"/>
    <cellStyle name="Normal 3 2 38 2 13" xfId="32954"/>
    <cellStyle name="Normal 3 2 38 2 13 2" xfId="32955"/>
    <cellStyle name="Normal 3 2 38 2 13 3" xfId="32956"/>
    <cellStyle name="Normal 3 2 38 2 13 4" xfId="32957"/>
    <cellStyle name="Normal 3 2 38 2 14" xfId="32958"/>
    <cellStyle name="Normal 3 2 38 2 15" xfId="32959"/>
    <cellStyle name="Normal 3 2 38 2 16" xfId="32960"/>
    <cellStyle name="Normal 3 2 38 2 2" xfId="32961"/>
    <cellStyle name="Normal 3 2 38 2 2 10" xfId="32962"/>
    <cellStyle name="Normal 3 2 38 2 2 11" xfId="32963"/>
    <cellStyle name="Normal 3 2 38 2 2 11 2" xfId="32964"/>
    <cellStyle name="Normal 3 2 38 2 2 11 3" xfId="32965"/>
    <cellStyle name="Normal 3 2 38 2 2 11 4" xfId="32966"/>
    <cellStyle name="Normal 3 2 38 2 2 12" xfId="32967"/>
    <cellStyle name="Normal 3 2 38 2 2 13" xfId="32968"/>
    <cellStyle name="Normal 3 2 38 2 2 14" xfId="32969"/>
    <cellStyle name="Normal 3 2 38 2 2 2" xfId="32970"/>
    <cellStyle name="Normal 3 2 38 2 2 2 10" xfId="32971"/>
    <cellStyle name="Normal 3 2 38 2 2 2 11" xfId="32972"/>
    <cellStyle name="Normal 3 2 38 2 2 2 2" xfId="32973"/>
    <cellStyle name="Normal 3 2 38 2 2 2 2 10" xfId="32974"/>
    <cellStyle name="Normal 3 2 38 2 2 2 2 11" xfId="32975"/>
    <cellStyle name="Normal 3 2 38 2 2 2 2 2" xfId="32976"/>
    <cellStyle name="Normal 3 2 38 2 2 2 2 2 2" xfId="32977"/>
    <cellStyle name="Normal 3 2 38 2 2 2 2 2 2 2" xfId="32978"/>
    <cellStyle name="Normal 3 2 38 2 2 2 2 2 2 3" xfId="32979"/>
    <cellStyle name="Normal 3 2 38 2 2 2 2 2 2 4" xfId="32980"/>
    <cellStyle name="Normal 3 2 38 2 2 2 2 2 3" xfId="32981"/>
    <cellStyle name="Normal 3 2 38 2 2 2 2 2 4" xfId="32982"/>
    <cellStyle name="Normal 3 2 38 2 2 2 2 2 5" xfId="32983"/>
    <cellStyle name="Normal 3 2 38 2 2 2 2 2 6" xfId="32984"/>
    <cellStyle name="Normal 3 2 38 2 2 2 2 3" xfId="32985"/>
    <cellStyle name="Normal 3 2 38 2 2 2 2 4" xfId="32986"/>
    <cellStyle name="Normal 3 2 38 2 2 2 2 5" xfId="32987"/>
    <cellStyle name="Normal 3 2 38 2 2 2 2 6" xfId="32988"/>
    <cellStyle name="Normal 3 2 38 2 2 2 2 7" xfId="32989"/>
    <cellStyle name="Normal 3 2 38 2 2 2 2 8" xfId="32990"/>
    <cellStyle name="Normal 3 2 38 2 2 2 2 8 2" xfId="32991"/>
    <cellStyle name="Normal 3 2 38 2 2 2 2 8 3" xfId="32992"/>
    <cellStyle name="Normal 3 2 38 2 2 2 2 8 4" xfId="32993"/>
    <cellStyle name="Normal 3 2 38 2 2 2 2 9" xfId="32994"/>
    <cellStyle name="Normal 3 2 38 2 2 2 3" xfId="32995"/>
    <cellStyle name="Normal 3 2 38 2 2 2 3 2" xfId="32996"/>
    <cellStyle name="Normal 3 2 38 2 2 2 3 2 2" xfId="32997"/>
    <cellStyle name="Normal 3 2 38 2 2 2 3 2 3" xfId="32998"/>
    <cellStyle name="Normal 3 2 38 2 2 2 3 2 4" xfId="32999"/>
    <cellStyle name="Normal 3 2 38 2 2 2 3 3" xfId="33000"/>
    <cellStyle name="Normal 3 2 38 2 2 2 3 4" xfId="33001"/>
    <cellStyle name="Normal 3 2 38 2 2 2 3 5" xfId="33002"/>
    <cellStyle name="Normal 3 2 38 2 2 2 3 6" xfId="33003"/>
    <cellStyle name="Normal 3 2 38 2 2 2 4" xfId="33004"/>
    <cellStyle name="Normal 3 2 38 2 2 2 5" xfId="33005"/>
    <cellStyle name="Normal 3 2 38 2 2 2 6" xfId="33006"/>
    <cellStyle name="Normal 3 2 38 2 2 2 7" xfId="33007"/>
    <cellStyle name="Normal 3 2 38 2 2 2 8" xfId="33008"/>
    <cellStyle name="Normal 3 2 38 2 2 2 8 2" xfId="33009"/>
    <cellStyle name="Normal 3 2 38 2 2 2 8 3" xfId="33010"/>
    <cellStyle name="Normal 3 2 38 2 2 2 8 4" xfId="33011"/>
    <cellStyle name="Normal 3 2 38 2 2 2 9" xfId="33012"/>
    <cellStyle name="Normal 3 2 38 2 2 3" xfId="33013"/>
    <cellStyle name="Normal 3 2 38 2 2 4" xfId="33014"/>
    <cellStyle name="Normal 3 2 38 2 2 5" xfId="33015"/>
    <cellStyle name="Normal 3 2 38 2 2 5 2" xfId="33016"/>
    <cellStyle name="Normal 3 2 38 2 2 5 2 2" xfId="33017"/>
    <cellStyle name="Normal 3 2 38 2 2 5 2 3" xfId="33018"/>
    <cellStyle name="Normal 3 2 38 2 2 5 2 4" xfId="33019"/>
    <cellStyle name="Normal 3 2 38 2 2 5 3" xfId="33020"/>
    <cellStyle name="Normal 3 2 38 2 2 5 4" xfId="33021"/>
    <cellStyle name="Normal 3 2 38 2 2 5 5" xfId="33022"/>
    <cellStyle name="Normal 3 2 38 2 2 5 6" xfId="33023"/>
    <cellStyle name="Normal 3 2 38 2 2 6" xfId="33024"/>
    <cellStyle name="Normal 3 2 38 2 2 7" xfId="33025"/>
    <cellStyle name="Normal 3 2 38 2 2 8" xfId="33026"/>
    <cellStyle name="Normal 3 2 38 2 2 9" xfId="33027"/>
    <cellStyle name="Normal 3 2 38 2 3" xfId="33028"/>
    <cellStyle name="Normal 3 2 38 2 4" xfId="33029"/>
    <cellStyle name="Normal 3 2 38 2 5" xfId="33030"/>
    <cellStyle name="Normal 3 2 38 2 5 10" xfId="33031"/>
    <cellStyle name="Normal 3 2 38 2 5 11" xfId="33032"/>
    <cellStyle name="Normal 3 2 38 2 5 2" xfId="33033"/>
    <cellStyle name="Normal 3 2 38 2 5 2 10" xfId="33034"/>
    <cellStyle name="Normal 3 2 38 2 5 2 11" xfId="33035"/>
    <cellStyle name="Normal 3 2 38 2 5 2 2" xfId="33036"/>
    <cellStyle name="Normal 3 2 38 2 5 2 2 2" xfId="33037"/>
    <cellStyle name="Normal 3 2 38 2 5 2 2 2 2" xfId="33038"/>
    <cellStyle name="Normal 3 2 38 2 5 2 2 2 3" xfId="33039"/>
    <cellStyle name="Normal 3 2 38 2 5 2 2 2 4" xfId="33040"/>
    <cellStyle name="Normal 3 2 38 2 5 2 2 3" xfId="33041"/>
    <cellStyle name="Normal 3 2 38 2 5 2 2 4" xfId="33042"/>
    <cellStyle name="Normal 3 2 38 2 5 2 2 5" xfId="33043"/>
    <cellStyle name="Normal 3 2 38 2 5 2 2 6" xfId="33044"/>
    <cellStyle name="Normal 3 2 38 2 5 2 3" xfId="33045"/>
    <cellStyle name="Normal 3 2 38 2 5 2 4" xfId="33046"/>
    <cellStyle name="Normal 3 2 38 2 5 2 5" xfId="33047"/>
    <cellStyle name="Normal 3 2 38 2 5 2 6" xfId="33048"/>
    <cellStyle name="Normal 3 2 38 2 5 2 7" xfId="33049"/>
    <cellStyle name="Normal 3 2 38 2 5 2 8" xfId="33050"/>
    <cellStyle name="Normal 3 2 38 2 5 2 8 2" xfId="33051"/>
    <cellStyle name="Normal 3 2 38 2 5 2 8 3" xfId="33052"/>
    <cellStyle name="Normal 3 2 38 2 5 2 8 4" xfId="33053"/>
    <cellStyle name="Normal 3 2 38 2 5 2 9" xfId="33054"/>
    <cellStyle name="Normal 3 2 38 2 5 3" xfId="33055"/>
    <cellStyle name="Normal 3 2 38 2 5 3 2" xfId="33056"/>
    <cellStyle name="Normal 3 2 38 2 5 3 2 2" xfId="33057"/>
    <cellStyle name="Normal 3 2 38 2 5 3 2 3" xfId="33058"/>
    <cellStyle name="Normal 3 2 38 2 5 3 2 4" xfId="33059"/>
    <cellStyle name="Normal 3 2 38 2 5 3 3" xfId="33060"/>
    <cellStyle name="Normal 3 2 38 2 5 3 4" xfId="33061"/>
    <cellStyle name="Normal 3 2 38 2 5 3 5" xfId="33062"/>
    <cellStyle name="Normal 3 2 38 2 5 3 6" xfId="33063"/>
    <cellStyle name="Normal 3 2 38 2 5 4" xfId="33064"/>
    <cellStyle name="Normal 3 2 38 2 5 5" xfId="33065"/>
    <cellStyle name="Normal 3 2 38 2 5 6" xfId="33066"/>
    <cellStyle name="Normal 3 2 38 2 5 7" xfId="33067"/>
    <cellStyle name="Normal 3 2 38 2 5 8" xfId="33068"/>
    <cellStyle name="Normal 3 2 38 2 5 8 2" xfId="33069"/>
    <cellStyle name="Normal 3 2 38 2 5 8 3" xfId="33070"/>
    <cellStyle name="Normal 3 2 38 2 5 8 4" xfId="33071"/>
    <cellStyle name="Normal 3 2 38 2 5 9" xfId="33072"/>
    <cellStyle name="Normal 3 2 38 2 6" xfId="33073"/>
    <cellStyle name="Normal 3 2 38 2 7" xfId="33074"/>
    <cellStyle name="Normal 3 2 38 2 7 2" xfId="33075"/>
    <cellStyle name="Normal 3 2 38 2 7 2 2" xfId="33076"/>
    <cellStyle name="Normal 3 2 38 2 7 2 3" xfId="33077"/>
    <cellStyle name="Normal 3 2 38 2 7 2 4" xfId="33078"/>
    <cellStyle name="Normal 3 2 38 2 7 3" xfId="33079"/>
    <cellStyle name="Normal 3 2 38 2 7 4" xfId="33080"/>
    <cellStyle name="Normal 3 2 38 2 7 5" xfId="33081"/>
    <cellStyle name="Normal 3 2 38 2 7 6" xfId="33082"/>
    <cellStyle name="Normal 3 2 38 2 8" xfId="33083"/>
    <cellStyle name="Normal 3 2 38 2 9" xfId="33084"/>
    <cellStyle name="Normal 3 2 38 20" xfId="33085"/>
    <cellStyle name="Normal 3 2 38 21" xfId="33086"/>
    <cellStyle name="Normal 3 2 38 21 2" xfId="33087"/>
    <cellStyle name="Normal 3 2 38 21 3" xfId="33088"/>
    <cellStyle name="Normal 3 2 38 21 4" xfId="33089"/>
    <cellStyle name="Normal 3 2 38 22" xfId="33090"/>
    <cellStyle name="Normal 3 2 38 23" xfId="33091"/>
    <cellStyle name="Normal 3 2 38 24" xfId="33092"/>
    <cellStyle name="Normal 3 2 38 3" xfId="33093"/>
    <cellStyle name="Normal 3 2 38 4" xfId="33094"/>
    <cellStyle name="Normal 3 2 38 5" xfId="33095"/>
    <cellStyle name="Normal 3 2 38 6" xfId="33096"/>
    <cellStyle name="Normal 3 2 38 7" xfId="33097"/>
    <cellStyle name="Normal 3 2 38 8" xfId="33098"/>
    <cellStyle name="Normal 3 2 38 9" xfId="33099"/>
    <cellStyle name="Normal 3 2 39" xfId="33100"/>
    <cellStyle name="Normal 3 2 39 10" xfId="33101"/>
    <cellStyle name="Normal 3 2 39 11" xfId="33102"/>
    <cellStyle name="Normal 3 2 39 12" xfId="33103"/>
    <cellStyle name="Normal 3 2 39 13" xfId="33104"/>
    <cellStyle name="Normal 3 2 39 13 2" xfId="33105"/>
    <cellStyle name="Normal 3 2 39 13 3" xfId="33106"/>
    <cellStyle name="Normal 3 2 39 13 4" xfId="33107"/>
    <cellStyle name="Normal 3 2 39 14" xfId="33108"/>
    <cellStyle name="Normal 3 2 39 15" xfId="33109"/>
    <cellStyle name="Normal 3 2 39 16" xfId="33110"/>
    <cellStyle name="Normal 3 2 39 2" xfId="33111"/>
    <cellStyle name="Normal 3 2 39 2 10" xfId="33112"/>
    <cellStyle name="Normal 3 2 39 2 11" xfId="33113"/>
    <cellStyle name="Normal 3 2 39 2 11 2" xfId="33114"/>
    <cellStyle name="Normal 3 2 39 2 11 3" xfId="33115"/>
    <cellStyle name="Normal 3 2 39 2 11 4" xfId="33116"/>
    <cellStyle name="Normal 3 2 39 2 12" xfId="33117"/>
    <cellStyle name="Normal 3 2 39 2 13" xfId="33118"/>
    <cellStyle name="Normal 3 2 39 2 14" xfId="33119"/>
    <cellStyle name="Normal 3 2 39 2 2" xfId="33120"/>
    <cellStyle name="Normal 3 2 39 2 2 10" xfId="33121"/>
    <cellStyle name="Normal 3 2 39 2 2 11" xfId="33122"/>
    <cellStyle name="Normal 3 2 39 2 2 2" xfId="33123"/>
    <cellStyle name="Normal 3 2 39 2 2 2 10" xfId="33124"/>
    <cellStyle name="Normal 3 2 39 2 2 2 11" xfId="33125"/>
    <cellStyle name="Normal 3 2 39 2 2 2 2" xfId="33126"/>
    <cellStyle name="Normal 3 2 39 2 2 2 2 2" xfId="33127"/>
    <cellStyle name="Normal 3 2 39 2 2 2 2 2 2" xfId="33128"/>
    <cellStyle name="Normal 3 2 39 2 2 2 2 2 3" xfId="33129"/>
    <cellStyle name="Normal 3 2 39 2 2 2 2 2 4" xfId="33130"/>
    <cellStyle name="Normal 3 2 39 2 2 2 2 3" xfId="33131"/>
    <cellStyle name="Normal 3 2 39 2 2 2 2 4" xfId="33132"/>
    <cellStyle name="Normal 3 2 39 2 2 2 2 5" xfId="33133"/>
    <cellStyle name="Normal 3 2 39 2 2 2 2 6" xfId="33134"/>
    <cellStyle name="Normal 3 2 39 2 2 2 3" xfId="33135"/>
    <cellStyle name="Normal 3 2 39 2 2 2 4" xfId="33136"/>
    <cellStyle name="Normal 3 2 39 2 2 2 5" xfId="33137"/>
    <cellStyle name="Normal 3 2 39 2 2 2 6" xfId="33138"/>
    <cellStyle name="Normal 3 2 39 2 2 2 7" xfId="33139"/>
    <cellStyle name="Normal 3 2 39 2 2 2 8" xfId="33140"/>
    <cellStyle name="Normal 3 2 39 2 2 2 8 2" xfId="33141"/>
    <cellStyle name="Normal 3 2 39 2 2 2 8 3" xfId="33142"/>
    <cellStyle name="Normal 3 2 39 2 2 2 8 4" xfId="33143"/>
    <cellStyle name="Normal 3 2 39 2 2 2 9" xfId="33144"/>
    <cellStyle name="Normal 3 2 39 2 2 3" xfId="33145"/>
    <cellStyle name="Normal 3 2 39 2 2 3 2" xfId="33146"/>
    <cellStyle name="Normal 3 2 39 2 2 3 2 2" xfId="33147"/>
    <cellStyle name="Normal 3 2 39 2 2 3 2 3" xfId="33148"/>
    <cellStyle name="Normal 3 2 39 2 2 3 2 4" xfId="33149"/>
    <cellStyle name="Normal 3 2 39 2 2 3 3" xfId="33150"/>
    <cellStyle name="Normal 3 2 39 2 2 3 4" xfId="33151"/>
    <cellStyle name="Normal 3 2 39 2 2 3 5" xfId="33152"/>
    <cellStyle name="Normal 3 2 39 2 2 3 6" xfId="33153"/>
    <cellStyle name="Normal 3 2 39 2 2 4" xfId="33154"/>
    <cellStyle name="Normal 3 2 39 2 2 5" xfId="33155"/>
    <cellStyle name="Normal 3 2 39 2 2 6" xfId="33156"/>
    <cellStyle name="Normal 3 2 39 2 2 7" xfId="33157"/>
    <cellStyle name="Normal 3 2 39 2 2 8" xfId="33158"/>
    <cellStyle name="Normal 3 2 39 2 2 8 2" xfId="33159"/>
    <cellStyle name="Normal 3 2 39 2 2 8 3" xfId="33160"/>
    <cellStyle name="Normal 3 2 39 2 2 8 4" xfId="33161"/>
    <cellStyle name="Normal 3 2 39 2 2 9" xfId="33162"/>
    <cellStyle name="Normal 3 2 39 2 3" xfId="33163"/>
    <cellStyle name="Normal 3 2 39 2 4" xfId="33164"/>
    <cellStyle name="Normal 3 2 39 2 5" xfId="33165"/>
    <cellStyle name="Normal 3 2 39 2 5 2" xfId="33166"/>
    <cellStyle name="Normal 3 2 39 2 5 2 2" xfId="33167"/>
    <cellStyle name="Normal 3 2 39 2 5 2 3" xfId="33168"/>
    <cellStyle name="Normal 3 2 39 2 5 2 4" xfId="33169"/>
    <cellStyle name="Normal 3 2 39 2 5 3" xfId="33170"/>
    <cellStyle name="Normal 3 2 39 2 5 4" xfId="33171"/>
    <cellStyle name="Normal 3 2 39 2 5 5" xfId="33172"/>
    <cellStyle name="Normal 3 2 39 2 5 6" xfId="33173"/>
    <cellStyle name="Normal 3 2 39 2 6" xfId="33174"/>
    <cellStyle name="Normal 3 2 39 2 7" xfId="33175"/>
    <cellStyle name="Normal 3 2 39 2 8" xfId="33176"/>
    <cellStyle name="Normal 3 2 39 2 9" xfId="33177"/>
    <cellStyle name="Normal 3 2 39 3" xfId="33178"/>
    <cellStyle name="Normal 3 2 39 4" xfId="33179"/>
    <cellStyle name="Normal 3 2 39 5" xfId="33180"/>
    <cellStyle name="Normal 3 2 39 5 10" xfId="33181"/>
    <cellStyle name="Normal 3 2 39 5 11" xfId="33182"/>
    <cellStyle name="Normal 3 2 39 5 2" xfId="33183"/>
    <cellStyle name="Normal 3 2 39 5 2 10" xfId="33184"/>
    <cellStyle name="Normal 3 2 39 5 2 11" xfId="33185"/>
    <cellStyle name="Normal 3 2 39 5 2 2" xfId="33186"/>
    <cellStyle name="Normal 3 2 39 5 2 2 2" xfId="33187"/>
    <cellStyle name="Normal 3 2 39 5 2 2 2 2" xfId="33188"/>
    <cellStyle name="Normal 3 2 39 5 2 2 2 3" xfId="33189"/>
    <cellStyle name="Normal 3 2 39 5 2 2 2 4" xfId="33190"/>
    <cellStyle name="Normal 3 2 39 5 2 2 3" xfId="33191"/>
    <cellStyle name="Normal 3 2 39 5 2 2 4" xfId="33192"/>
    <cellStyle name="Normal 3 2 39 5 2 2 5" xfId="33193"/>
    <cellStyle name="Normal 3 2 39 5 2 2 6" xfId="33194"/>
    <cellStyle name="Normal 3 2 39 5 2 3" xfId="33195"/>
    <cellStyle name="Normal 3 2 39 5 2 4" xfId="33196"/>
    <cellStyle name="Normal 3 2 39 5 2 5" xfId="33197"/>
    <cellStyle name="Normal 3 2 39 5 2 6" xfId="33198"/>
    <cellStyle name="Normal 3 2 39 5 2 7" xfId="33199"/>
    <cellStyle name="Normal 3 2 39 5 2 8" xfId="33200"/>
    <cellStyle name="Normal 3 2 39 5 2 8 2" xfId="33201"/>
    <cellStyle name="Normal 3 2 39 5 2 8 3" xfId="33202"/>
    <cellStyle name="Normal 3 2 39 5 2 8 4" xfId="33203"/>
    <cellStyle name="Normal 3 2 39 5 2 9" xfId="33204"/>
    <cellStyle name="Normal 3 2 39 5 3" xfId="33205"/>
    <cellStyle name="Normal 3 2 39 5 3 2" xfId="33206"/>
    <cellStyle name="Normal 3 2 39 5 3 2 2" xfId="33207"/>
    <cellStyle name="Normal 3 2 39 5 3 2 3" xfId="33208"/>
    <cellStyle name="Normal 3 2 39 5 3 2 4" xfId="33209"/>
    <cellStyle name="Normal 3 2 39 5 3 3" xfId="33210"/>
    <cellStyle name="Normal 3 2 39 5 3 4" xfId="33211"/>
    <cellStyle name="Normal 3 2 39 5 3 5" xfId="33212"/>
    <cellStyle name="Normal 3 2 39 5 3 6" xfId="33213"/>
    <cellStyle name="Normal 3 2 39 5 4" xfId="33214"/>
    <cellStyle name="Normal 3 2 39 5 5" xfId="33215"/>
    <cellStyle name="Normal 3 2 39 5 6" xfId="33216"/>
    <cellStyle name="Normal 3 2 39 5 7" xfId="33217"/>
    <cellStyle name="Normal 3 2 39 5 8" xfId="33218"/>
    <cellStyle name="Normal 3 2 39 5 8 2" xfId="33219"/>
    <cellStyle name="Normal 3 2 39 5 8 3" xfId="33220"/>
    <cellStyle name="Normal 3 2 39 5 8 4" xfId="33221"/>
    <cellStyle name="Normal 3 2 39 5 9" xfId="33222"/>
    <cellStyle name="Normal 3 2 39 6" xfId="33223"/>
    <cellStyle name="Normal 3 2 39 7" xfId="33224"/>
    <cellStyle name="Normal 3 2 39 7 2" xfId="33225"/>
    <cellStyle name="Normal 3 2 39 7 2 2" xfId="33226"/>
    <cellStyle name="Normal 3 2 39 7 2 3" xfId="33227"/>
    <cellStyle name="Normal 3 2 39 7 2 4" xfId="33228"/>
    <cellStyle name="Normal 3 2 39 7 3" xfId="33229"/>
    <cellStyle name="Normal 3 2 39 7 4" xfId="33230"/>
    <cellStyle name="Normal 3 2 39 7 5" xfId="33231"/>
    <cellStyle name="Normal 3 2 39 7 6" xfId="33232"/>
    <cellStyle name="Normal 3 2 39 8" xfId="33233"/>
    <cellStyle name="Normal 3 2 39 9" xfId="33234"/>
    <cellStyle name="Normal 3 2 4" xfId="33235"/>
    <cellStyle name="Normal 3 2 4 10" xfId="33236"/>
    <cellStyle name="Normal 3 2 4 11" xfId="33237"/>
    <cellStyle name="Normal 3 2 4 2" xfId="33238"/>
    <cellStyle name="Normal 3 2 4 2 2" xfId="33239"/>
    <cellStyle name="Normal 3 2 4 2 3" xfId="33240"/>
    <cellStyle name="Normal 3 2 4 2 4" xfId="33241"/>
    <cellStyle name="Normal 3 2 4 2 5" xfId="33242"/>
    <cellStyle name="Normal 3 2 4 2 6" xfId="33243"/>
    <cellStyle name="Normal 3 2 4 3" xfId="33244"/>
    <cellStyle name="Normal 3 2 4 3 2" xfId="33245"/>
    <cellStyle name="Normal 3 2 4 3 3" xfId="33246"/>
    <cellStyle name="Normal 3 2 4 3 4" xfId="33247"/>
    <cellStyle name="Normal 3 2 4 3 5" xfId="33248"/>
    <cellStyle name="Normal 3 2 4 3 6" xfId="33249"/>
    <cellStyle name="Normal 3 2 4 4" xfId="33250"/>
    <cellStyle name="Normal 3 2 4 4 2" xfId="33251"/>
    <cellStyle name="Normal 3 2 4 4 3" xfId="33252"/>
    <cellStyle name="Normal 3 2 4 4 4" xfId="33253"/>
    <cellStyle name="Normal 3 2 4 4 5" xfId="33254"/>
    <cellStyle name="Normal 3 2 4 4 6" xfId="33255"/>
    <cellStyle name="Normal 3 2 4 5" xfId="33256"/>
    <cellStyle name="Normal 3 2 4 5 2" xfId="33257"/>
    <cellStyle name="Normal 3 2 4 5 3" xfId="33258"/>
    <cellStyle name="Normal 3 2 4 5 4" xfId="33259"/>
    <cellStyle name="Normal 3 2 4 5 5" xfId="33260"/>
    <cellStyle name="Normal 3 2 4 5 6" xfId="33261"/>
    <cellStyle name="Normal 3 2 4 6" xfId="33262"/>
    <cellStyle name="Normal 3 2 4 6 2" xfId="33263"/>
    <cellStyle name="Normal 3 2 4 6 3" xfId="33264"/>
    <cellStyle name="Normal 3 2 4 6 4" xfId="33265"/>
    <cellStyle name="Normal 3 2 4 6 5" xfId="33266"/>
    <cellStyle name="Normal 3 2 4 6 6" xfId="33267"/>
    <cellStyle name="Normal 3 2 4 7" xfId="33268"/>
    <cellStyle name="Normal 3 2 4 8" xfId="33269"/>
    <cellStyle name="Normal 3 2 4 9" xfId="33270"/>
    <cellStyle name="Normal 3 2 40" xfId="33271"/>
    <cellStyle name="Normal 3 2 41" xfId="33272"/>
    <cellStyle name="Normal 3 2 42" xfId="33273"/>
    <cellStyle name="Normal 3 2 43" xfId="33274"/>
    <cellStyle name="Normal 3 2 44" xfId="33275"/>
    <cellStyle name="Normal 3 2 45" xfId="33276"/>
    <cellStyle name="Normal 3 2 46" xfId="33277"/>
    <cellStyle name="Normal 3 2 47" xfId="33278"/>
    <cellStyle name="Normal 3 2 47 10" xfId="33279"/>
    <cellStyle name="Normal 3 2 47 11" xfId="33280"/>
    <cellStyle name="Normal 3 2 47 11 2" xfId="33281"/>
    <cellStyle name="Normal 3 2 47 11 3" xfId="33282"/>
    <cellStyle name="Normal 3 2 47 11 4" xfId="33283"/>
    <cellStyle name="Normal 3 2 47 12" xfId="33284"/>
    <cellStyle name="Normal 3 2 47 13" xfId="33285"/>
    <cellStyle name="Normal 3 2 47 14" xfId="33286"/>
    <cellStyle name="Normal 3 2 47 2" xfId="33287"/>
    <cellStyle name="Normal 3 2 47 2 10" xfId="33288"/>
    <cellStyle name="Normal 3 2 47 2 11" xfId="33289"/>
    <cellStyle name="Normal 3 2 47 2 2" xfId="33290"/>
    <cellStyle name="Normal 3 2 47 2 2 10" xfId="33291"/>
    <cellStyle name="Normal 3 2 47 2 2 11" xfId="33292"/>
    <cellStyle name="Normal 3 2 47 2 2 2" xfId="33293"/>
    <cellStyle name="Normal 3 2 47 2 2 2 2" xfId="33294"/>
    <cellStyle name="Normal 3 2 47 2 2 2 2 2" xfId="33295"/>
    <cellStyle name="Normal 3 2 47 2 2 2 2 3" xfId="33296"/>
    <cellStyle name="Normal 3 2 47 2 2 2 2 4" xfId="33297"/>
    <cellStyle name="Normal 3 2 47 2 2 2 3" xfId="33298"/>
    <cellStyle name="Normal 3 2 47 2 2 2 4" xfId="33299"/>
    <cellStyle name="Normal 3 2 47 2 2 2 5" xfId="33300"/>
    <cellStyle name="Normal 3 2 47 2 2 2 6" xfId="33301"/>
    <cellStyle name="Normal 3 2 47 2 2 3" xfId="33302"/>
    <cellStyle name="Normal 3 2 47 2 2 4" xfId="33303"/>
    <cellStyle name="Normal 3 2 47 2 2 5" xfId="33304"/>
    <cellStyle name="Normal 3 2 47 2 2 6" xfId="33305"/>
    <cellStyle name="Normal 3 2 47 2 2 7" xfId="33306"/>
    <cellStyle name="Normal 3 2 47 2 2 8" xfId="33307"/>
    <cellStyle name="Normal 3 2 47 2 2 8 2" xfId="33308"/>
    <cellStyle name="Normal 3 2 47 2 2 8 3" xfId="33309"/>
    <cellStyle name="Normal 3 2 47 2 2 8 4" xfId="33310"/>
    <cellStyle name="Normal 3 2 47 2 2 9" xfId="33311"/>
    <cellStyle name="Normal 3 2 47 2 3" xfId="33312"/>
    <cellStyle name="Normal 3 2 47 2 3 2" xfId="33313"/>
    <cellStyle name="Normal 3 2 47 2 3 2 2" xfId="33314"/>
    <cellStyle name="Normal 3 2 47 2 3 2 3" xfId="33315"/>
    <cellStyle name="Normal 3 2 47 2 3 2 4" xfId="33316"/>
    <cellStyle name="Normal 3 2 47 2 3 3" xfId="33317"/>
    <cellStyle name="Normal 3 2 47 2 3 4" xfId="33318"/>
    <cellStyle name="Normal 3 2 47 2 3 5" xfId="33319"/>
    <cellStyle name="Normal 3 2 47 2 3 6" xfId="33320"/>
    <cellStyle name="Normal 3 2 47 2 4" xfId="33321"/>
    <cellStyle name="Normal 3 2 47 2 5" xfId="33322"/>
    <cellStyle name="Normal 3 2 47 2 6" xfId="33323"/>
    <cellStyle name="Normal 3 2 47 2 7" xfId="33324"/>
    <cellStyle name="Normal 3 2 47 2 8" xfId="33325"/>
    <cellStyle name="Normal 3 2 47 2 8 2" xfId="33326"/>
    <cellStyle name="Normal 3 2 47 2 8 3" xfId="33327"/>
    <cellStyle name="Normal 3 2 47 2 8 4" xfId="33328"/>
    <cellStyle name="Normal 3 2 47 2 9" xfId="33329"/>
    <cellStyle name="Normal 3 2 47 3" xfId="33330"/>
    <cellStyle name="Normal 3 2 47 4" xfId="33331"/>
    <cellStyle name="Normal 3 2 47 5" xfId="33332"/>
    <cellStyle name="Normal 3 2 47 5 2" xfId="33333"/>
    <cellStyle name="Normal 3 2 47 5 2 2" xfId="33334"/>
    <cellStyle name="Normal 3 2 47 5 2 3" xfId="33335"/>
    <cellStyle name="Normal 3 2 47 5 2 4" xfId="33336"/>
    <cellStyle name="Normal 3 2 47 5 3" xfId="33337"/>
    <cellStyle name="Normal 3 2 47 5 4" xfId="33338"/>
    <cellStyle name="Normal 3 2 47 5 5" xfId="33339"/>
    <cellStyle name="Normal 3 2 47 5 6" xfId="33340"/>
    <cellStyle name="Normal 3 2 47 6" xfId="33341"/>
    <cellStyle name="Normal 3 2 47 7" xfId="33342"/>
    <cellStyle name="Normal 3 2 47 8" xfId="33343"/>
    <cellStyle name="Normal 3 2 47 9" xfId="33344"/>
    <cellStyle name="Normal 3 2 48" xfId="33345"/>
    <cellStyle name="Normal 3 2 49" xfId="33346"/>
    <cellStyle name="Normal 3 2 49 10" xfId="33347"/>
    <cellStyle name="Normal 3 2 49 11" xfId="33348"/>
    <cellStyle name="Normal 3 2 49 2" xfId="33349"/>
    <cellStyle name="Normal 3 2 49 2 10" xfId="33350"/>
    <cellStyle name="Normal 3 2 49 2 11" xfId="33351"/>
    <cellStyle name="Normal 3 2 49 2 2" xfId="33352"/>
    <cellStyle name="Normal 3 2 49 2 2 2" xfId="33353"/>
    <cellStyle name="Normal 3 2 49 2 2 2 2" xfId="33354"/>
    <cellStyle name="Normal 3 2 49 2 2 2 3" xfId="33355"/>
    <cellStyle name="Normal 3 2 49 2 2 2 4" xfId="33356"/>
    <cellStyle name="Normal 3 2 49 2 2 3" xfId="33357"/>
    <cellStyle name="Normal 3 2 49 2 2 4" xfId="33358"/>
    <cellStyle name="Normal 3 2 49 2 2 5" xfId="33359"/>
    <cellStyle name="Normal 3 2 49 2 2 6" xfId="33360"/>
    <cellStyle name="Normal 3 2 49 2 3" xfId="33361"/>
    <cellStyle name="Normal 3 2 49 2 4" xfId="33362"/>
    <cellStyle name="Normal 3 2 49 2 5" xfId="33363"/>
    <cellStyle name="Normal 3 2 49 2 6" xfId="33364"/>
    <cellStyle name="Normal 3 2 49 2 7" xfId="33365"/>
    <cellStyle name="Normal 3 2 49 2 8" xfId="33366"/>
    <cellStyle name="Normal 3 2 49 2 8 2" xfId="33367"/>
    <cellStyle name="Normal 3 2 49 2 8 3" xfId="33368"/>
    <cellStyle name="Normal 3 2 49 2 8 4" xfId="33369"/>
    <cellStyle name="Normal 3 2 49 2 9" xfId="33370"/>
    <cellStyle name="Normal 3 2 49 3" xfId="33371"/>
    <cellStyle name="Normal 3 2 49 3 2" xfId="33372"/>
    <cellStyle name="Normal 3 2 49 3 2 2" xfId="33373"/>
    <cellStyle name="Normal 3 2 49 3 2 3" xfId="33374"/>
    <cellStyle name="Normal 3 2 49 3 2 4" xfId="33375"/>
    <cellStyle name="Normal 3 2 49 3 3" xfId="33376"/>
    <cellStyle name="Normal 3 2 49 3 4" xfId="33377"/>
    <cellStyle name="Normal 3 2 49 3 5" xfId="33378"/>
    <cellStyle name="Normal 3 2 49 3 6" xfId="33379"/>
    <cellStyle name="Normal 3 2 49 4" xfId="33380"/>
    <cellStyle name="Normal 3 2 49 5" xfId="33381"/>
    <cellStyle name="Normal 3 2 49 6" xfId="33382"/>
    <cellStyle name="Normal 3 2 49 7" xfId="33383"/>
    <cellStyle name="Normal 3 2 49 8" xfId="33384"/>
    <cellStyle name="Normal 3 2 49 8 2" xfId="33385"/>
    <cellStyle name="Normal 3 2 49 8 3" xfId="33386"/>
    <cellStyle name="Normal 3 2 49 8 4" xfId="33387"/>
    <cellStyle name="Normal 3 2 49 9" xfId="33388"/>
    <cellStyle name="Normal 3 2 5" xfId="33389"/>
    <cellStyle name="Normal 3 2 5 10" xfId="33390"/>
    <cellStyle name="Normal 3 2 5 11" xfId="33391"/>
    <cellStyle name="Normal 3 2 5 2" xfId="33392"/>
    <cellStyle name="Normal 3 2 5 2 2" xfId="33393"/>
    <cellStyle name="Normal 3 2 5 2 3" xfId="33394"/>
    <cellStyle name="Normal 3 2 5 2 4" xfId="33395"/>
    <cellStyle name="Normal 3 2 5 2 5" xfId="33396"/>
    <cellStyle name="Normal 3 2 5 2 6" xfId="33397"/>
    <cellStyle name="Normal 3 2 5 3" xfId="33398"/>
    <cellStyle name="Normal 3 2 5 3 2" xfId="33399"/>
    <cellStyle name="Normal 3 2 5 3 3" xfId="33400"/>
    <cellStyle name="Normal 3 2 5 3 4" xfId="33401"/>
    <cellStyle name="Normal 3 2 5 3 5" xfId="33402"/>
    <cellStyle name="Normal 3 2 5 3 6" xfId="33403"/>
    <cellStyle name="Normal 3 2 5 4" xfId="33404"/>
    <cellStyle name="Normal 3 2 5 4 2" xfId="33405"/>
    <cellStyle name="Normal 3 2 5 4 3" xfId="33406"/>
    <cellStyle name="Normal 3 2 5 4 4" xfId="33407"/>
    <cellStyle name="Normal 3 2 5 4 5" xfId="33408"/>
    <cellStyle name="Normal 3 2 5 4 6" xfId="33409"/>
    <cellStyle name="Normal 3 2 5 5" xfId="33410"/>
    <cellStyle name="Normal 3 2 5 5 2" xfId="33411"/>
    <cellStyle name="Normal 3 2 5 5 3" xfId="33412"/>
    <cellStyle name="Normal 3 2 5 5 4" xfId="33413"/>
    <cellStyle name="Normal 3 2 5 5 5" xfId="33414"/>
    <cellStyle name="Normal 3 2 5 5 6" xfId="33415"/>
    <cellStyle name="Normal 3 2 5 6" xfId="33416"/>
    <cellStyle name="Normal 3 2 5 6 2" xfId="33417"/>
    <cellStyle name="Normal 3 2 5 6 3" xfId="33418"/>
    <cellStyle name="Normal 3 2 5 6 4" xfId="33419"/>
    <cellStyle name="Normal 3 2 5 6 5" xfId="33420"/>
    <cellStyle name="Normal 3 2 5 6 6" xfId="33421"/>
    <cellStyle name="Normal 3 2 5 7" xfId="33422"/>
    <cellStyle name="Normal 3 2 5 8" xfId="33423"/>
    <cellStyle name="Normal 3 2 5 9" xfId="33424"/>
    <cellStyle name="Normal 3 2 50" xfId="33425"/>
    <cellStyle name="Normal 3 2 51" xfId="33426"/>
    <cellStyle name="Normal 3 2 51 2" xfId="33427"/>
    <cellStyle name="Normal 3 2 51 2 2" xfId="33428"/>
    <cellStyle name="Normal 3 2 51 2 3" xfId="33429"/>
    <cellStyle name="Normal 3 2 51 2 4" xfId="33430"/>
    <cellStyle name="Normal 3 2 51 3" xfId="33431"/>
    <cellStyle name="Normal 3 2 51 4" xfId="33432"/>
    <cellStyle name="Normal 3 2 51 5" xfId="33433"/>
    <cellStyle name="Normal 3 2 51 6" xfId="33434"/>
    <cellStyle name="Normal 3 2 52" xfId="33435"/>
    <cellStyle name="Normal 3 2 53" xfId="33436"/>
    <cellStyle name="Normal 3 2 54" xfId="33437"/>
    <cellStyle name="Normal 3 2 55" xfId="33438"/>
    <cellStyle name="Normal 3 2 56" xfId="33439"/>
    <cellStyle name="Normal 3 2 57" xfId="33440"/>
    <cellStyle name="Normal 3 2 57 2" xfId="33441"/>
    <cellStyle name="Normal 3 2 57 3" xfId="33442"/>
    <cellStyle name="Normal 3 2 57 4" xfId="33443"/>
    <cellStyle name="Normal 3 2 58" xfId="33444"/>
    <cellStyle name="Normal 3 2 59" xfId="33445"/>
    <cellStyle name="Normal 3 2 6" xfId="33446"/>
    <cellStyle name="Normal 3 2 6 10" xfId="33447"/>
    <cellStyle name="Normal 3 2 6 11" xfId="33448"/>
    <cellStyle name="Normal 3 2 6 2" xfId="33449"/>
    <cellStyle name="Normal 3 2 6 2 2" xfId="33450"/>
    <cellStyle name="Normal 3 2 6 2 3" xfId="33451"/>
    <cellStyle name="Normal 3 2 6 2 4" xfId="33452"/>
    <cellStyle name="Normal 3 2 6 2 5" xfId="33453"/>
    <cellStyle name="Normal 3 2 6 2 6" xfId="33454"/>
    <cellStyle name="Normal 3 2 6 3" xfId="33455"/>
    <cellStyle name="Normal 3 2 6 3 2" xfId="33456"/>
    <cellStyle name="Normal 3 2 6 3 3" xfId="33457"/>
    <cellStyle name="Normal 3 2 6 3 4" xfId="33458"/>
    <cellStyle name="Normal 3 2 6 3 5" xfId="33459"/>
    <cellStyle name="Normal 3 2 6 3 6" xfId="33460"/>
    <cellStyle name="Normal 3 2 6 4" xfId="33461"/>
    <cellStyle name="Normal 3 2 6 4 2" xfId="33462"/>
    <cellStyle name="Normal 3 2 6 4 3" xfId="33463"/>
    <cellStyle name="Normal 3 2 6 4 4" xfId="33464"/>
    <cellStyle name="Normal 3 2 6 4 5" xfId="33465"/>
    <cellStyle name="Normal 3 2 6 4 6" xfId="33466"/>
    <cellStyle name="Normal 3 2 6 5" xfId="33467"/>
    <cellStyle name="Normal 3 2 6 5 2" xfId="33468"/>
    <cellStyle name="Normal 3 2 6 5 3" xfId="33469"/>
    <cellStyle name="Normal 3 2 6 5 4" xfId="33470"/>
    <cellStyle name="Normal 3 2 6 5 5" xfId="33471"/>
    <cellStyle name="Normal 3 2 6 5 6" xfId="33472"/>
    <cellStyle name="Normal 3 2 6 6" xfId="33473"/>
    <cellStyle name="Normal 3 2 6 6 2" xfId="33474"/>
    <cellStyle name="Normal 3 2 6 6 3" xfId="33475"/>
    <cellStyle name="Normal 3 2 6 6 4" xfId="33476"/>
    <cellStyle name="Normal 3 2 6 6 5" xfId="33477"/>
    <cellStyle name="Normal 3 2 6 6 6" xfId="33478"/>
    <cellStyle name="Normal 3 2 6 7" xfId="33479"/>
    <cellStyle name="Normal 3 2 6 8" xfId="33480"/>
    <cellStyle name="Normal 3 2 6 9" xfId="33481"/>
    <cellStyle name="Normal 3 2 60" xfId="33482"/>
    <cellStyle name="Normal 3 2 61" xfId="33483"/>
    <cellStyle name="Normal 3 2 62" xfId="33484"/>
    <cellStyle name="Normal 3 2 63" xfId="33485"/>
    <cellStyle name="Normal 3 2 64" xfId="33486"/>
    <cellStyle name="Normal 3 2 65" xfId="33487"/>
    <cellStyle name="Normal 3 2 66" xfId="33488"/>
    <cellStyle name="Normal 3 2 67" xfId="33489"/>
    <cellStyle name="Normal 3 2 68" xfId="33490"/>
    <cellStyle name="Normal 3 2 69" xfId="33491"/>
    <cellStyle name="Normal 3 2 7" xfId="33492"/>
    <cellStyle name="Normal 3 2 7 10" xfId="33493"/>
    <cellStyle name="Normal 3 2 7 11" xfId="33494"/>
    <cellStyle name="Normal 3 2 7 2" xfId="33495"/>
    <cellStyle name="Normal 3 2 7 2 2" xfId="33496"/>
    <cellStyle name="Normal 3 2 7 2 3" xfId="33497"/>
    <cellStyle name="Normal 3 2 7 2 4" xfId="33498"/>
    <cellStyle name="Normal 3 2 7 2 5" xfId="33499"/>
    <cellStyle name="Normal 3 2 7 2 6" xfId="33500"/>
    <cellStyle name="Normal 3 2 7 3" xfId="33501"/>
    <cellStyle name="Normal 3 2 7 3 2" xfId="33502"/>
    <cellStyle name="Normal 3 2 7 3 3" xfId="33503"/>
    <cellStyle name="Normal 3 2 7 3 4" xfId="33504"/>
    <cellStyle name="Normal 3 2 7 3 5" xfId="33505"/>
    <cellStyle name="Normal 3 2 7 3 6" xfId="33506"/>
    <cellStyle name="Normal 3 2 7 4" xfId="33507"/>
    <cellStyle name="Normal 3 2 7 4 2" xfId="33508"/>
    <cellStyle name="Normal 3 2 7 4 3" xfId="33509"/>
    <cellStyle name="Normal 3 2 7 4 4" xfId="33510"/>
    <cellStyle name="Normal 3 2 7 4 5" xfId="33511"/>
    <cellStyle name="Normal 3 2 7 4 6" xfId="33512"/>
    <cellStyle name="Normal 3 2 7 5" xfId="33513"/>
    <cellStyle name="Normal 3 2 7 5 2" xfId="33514"/>
    <cellStyle name="Normal 3 2 7 5 3" xfId="33515"/>
    <cellStyle name="Normal 3 2 7 5 4" xfId="33516"/>
    <cellStyle name="Normal 3 2 7 5 5" xfId="33517"/>
    <cellStyle name="Normal 3 2 7 5 6" xfId="33518"/>
    <cellStyle name="Normal 3 2 7 6" xfId="33519"/>
    <cellStyle name="Normal 3 2 7 6 2" xfId="33520"/>
    <cellStyle name="Normal 3 2 7 6 3" xfId="33521"/>
    <cellStyle name="Normal 3 2 7 6 4" xfId="33522"/>
    <cellStyle name="Normal 3 2 7 6 5" xfId="33523"/>
    <cellStyle name="Normal 3 2 7 6 6" xfId="33524"/>
    <cellStyle name="Normal 3 2 7 7" xfId="33525"/>
    <cellStyle name="Normal 3 2 7 8" xfId="33526"/>
    <cellStyle name="Normal 3 2 7 9" xfId="33527"/>
    <cellStyle name="Normal 3 2 70" xfId="33528"/>
    <cellStyle name="Normal 3 2 71" xfId="33529"/>
    <cellStyle name="Normal 3 2 72" xfId="33530"/>
    <cellStyle name="Normal 3 2 72 2" xfId="33531"/>
    <cellStyle name="Normal 3 2 72 3" xfId="33532"/>
    <cellStyle name="Normal 3 2 72 4" xfId="33533"/>
    <cellStyle name="Normal 3 2 72 5" xfId="33534"/>
    <cellStyle name="Normal 3 2 72 6" xfId="33535"/>
    <cellStyle name="Normal 3 2 72 7" xfId="33536"/>
    <cellStyle name="Normal 3 2 73" xfId="33537"/>
    <cellStyle name="Normal 3 2 74" xfId="33538"/>
    <cellStyle name="Normal 3 2 75" xfId="33539"/>
    <cellStyle name="Normal 3 2 76" xfId="33540"/>
    <cellStyle name="Normal 3 2 77" xfId="33541"/>
    <cellStyle name="Normal 3 2 78" xfId="33542"/>
    <cellStyle name="Normal 3 2 79" xfId="33543"/>
    <cellStyle name="Normal 3 2 8" xfId="33544"/>
    <cellStyle name="Normal 3 2 8 10" xfId="33545"/>
    <cellStyle name="Normal 3 2 8 11" xfId="33546"/>
    <cellStyle name="Normal 3 2 8 2" xfId="33547"/>
    <cellStyle name="Normal 3 2 8 2 2" xfId="33548"/>
    <cellStyle name="Normal 3 2 8 2 3" xfId="33549"/>
    <cellStyle name="Normal 3 2 8 2 4" xfId="33550"/>
    <cellStyle name="Normal 3 2 8 2 5" xfId="33551"/>
    <cellStyle name="Normal 3 2 8 2 6" xfId="33552"/>
    <cellStyle name="Normal 3 2 8 3" xfId="33553"/>
    <cellStyle name="Normal 3 2 8 3 2" xfId="33554"/>
    <cellStyle name="Normal 3 2 8 3 3" xfId="33555"/>
    <cellStyle name="Normal 3 2 8 3 4" xfId="33556"/>
    <cellStyle name="Normal 3 2 8 3 5" xfId="33557"/>
    <cellStyle name="Normal 3 2 8 3 6" xfId="33558"/>
    <cellStyle name="Normal 3 2 8 4" xfId="33559"/>
    <cellStyle name="Normal 3 2 8 4 2" xfId="33560"/>
    <cellStyle name="Normal 3 2 8 4 3" xfId="33561"/>
    <cellStyle name="Normal 3 2 8 4 4" xfId="33562"/>
    <cellStyle name="Normal 3 2 8 4 5" xfId="33563"/>
    <cellStyle name="Normal 3 2 8 4 6" xfId="33564"/>
    <cellStyle name="Normal 3 2 8 5" xfId="33565"/>
    <cellStyle name="Normal 3 2 8 5 2" xfId="33566"/>
    <cellStyle name="Normal 3 2 8 5 3" xfId="33567"/>
    <cellStyle name="Normal 3 2 8 5 4" xfId="33568"/>
    <cellStyle name="Normal 3 2 8 5 5" xfId="33569"/>
    <cellStyle name="Normal 3 2 8 5 6" xfId="33570"/>
    <cellStyle name="Normal 3 2 8 6" xfId="33571"/>
    <cellStyle name="Normal 3 2 8 6 2" xfId="33572"/>
    <cellStyle name="Normal 3 2 8 6 3" xfId="33573"/>
    <cellStyle name="Normal 3 2 8 6 4" xfId="33574"/>
    <cellStyle name="Normal 3 2 8 6 5" xfId="33575"/>
    <cellStyle name="Normal 3 2 8 6 6" xfId="33576"/>
    <cellStyle name="Normal 3 2 8 7" xfId="33577"/>
    <cellStyle name="Normal 3 2 8 8" xfId="33578"/>
    <cellStyle name="Normal 3 2 8 9" xfId="33579"/>
    <cellStyle name="Normal 3 2 80" xfId="33580"/>
    <cellStyle name="Normal 3 2 81" xfId="33581"/>
    <cellStyle name="Normal 3 2 82" xfId="33582"/>
    <cellStyle name="Normal 3 2 83" xfId="33583"/>
    <cellStyle name="Normal 3 2 84" xfId="33584"/>
    <cellStyle name="Normal 3 2 85" xfId="33585"/>
    <cellStyle name="Normal 3 2 86" xfId="33586"/>
    <cellStyle name="Normal 3 2 87" xfId="33587"/>
    <cellStyle name="Normal 3 2 88" xfId="33588"/>
    <cellStyle name="Normal 3 2 89" xfId="33589"/>
    <cellStyle name="Normal 3 2 9" xfId="33590"/>
    <cellStyle name="Normal 3 2 9 10" xfId="33591"/>
    <cellStyle name="Normal 3 2 9 11" xfId="33592"/>
    <cellStyle name="Normal 3 2 9 2" xfId="33593"/>
    <cellStyle name="Normal 3 2 9 2 2" xfId="33594"/>
    <cellStyle name="Normal 3 2 9 2 3" xfId="33595"/>
    <cellStyle name="Normal 3 2 9 2 4" xfId="33596"/>
    <cellStyle name="Normal 3 2 9 2 5" xfId="33597"/>
    <cellStyle name="Normal 3 2 9 2 6" xfId="33598"/>
    <cellStyle name="Normal 3 2 9 3" xfId="33599"/>
    <cellStyle name="Normal 3 2 9 3 2" xfId="33600"/>
    <cellStyle name="Normal 3 2 9 3 3" xfId="33601"/>
    <cellStyle name="Normal 3 2 9 3 4" xfId="33602"/>
    <cellStyle name="Normal 3 2 9 3 5" xfId="33603"/>
    <cellStyle name="Normal 3 2 9 3 6" xfId="33604"/>
    <cellStyle name="Normal 3 2 9 4" xfId="33605"/>
    <cellStyle name="Normal 3 2 9 4 2" xfId="33606"/>
    <cellStyle name="Normal 3 2 9 4 3" xfId="33607"/>
    <cellStyle name="Normal 3 2 9 4 4" xfId="33608"/>
    <cellStyle name="Normal 3 2 9 4 5" xfId="33609"/>
    <cellStyle name="Normal 3 2 9 4 6" xfId="33610"/>
    <cellStyle name="Normal 3 2 9 5" xfId="33611"/>
    <cellStyle name="Normal 3 2 9 5 2" xfId="33612"/>
    <cellStyle name="Normal 3 2 9 5 3" xfId="33613"/>
    <cellStyle name="Normal 3 2 9 5 4" xfId="33614"/>
    <cellStyle name="Normal 3 2 9 5 5" xfId="33615"/>
    <cellStyle name="Normal 3 2 9 5 6" xfId="33616"/>
    <cellStyle name="Normal 3 2 9 6" xfId="33617"/>
    <cellStyle name="Normal 3 2 9 6 2" xfId="33618"/>
    <cellStyle name="Normal 3 2 9 6 3" xfId="33619"/>
    <cellStyle name="Normal 3 2 9 6 4" xfId="33620"/>
    <cellStyle name="Normal 3 2 9 6 5" xfId="33621"/>
    <cellStyle name="Normal 3 2 9 6 6" xfId="33622"/>
    <cellStyle name="Normal 3 2 9 7" xfId="33623"/>
    <cellStyle name="Normal 3 2 9 8" xfId="33624"/>
    <cellStyle name="Normal 3 2 9 9" xfId="33625"/>
    <cellStyle name="Normal 3 2 90" xfId="33626"/>
    <cellStyle name="Normal 3 2 91" xfId="33627"/>
    <cellStyle name="Normal 3 2 92" xfId="33628"/>
    <cellStyle name="Normal 3 2 93" xfId="33629"/>
    <cellStyle name="Normal 3 2 94" xfId="33630"/>
    <cellStyle name="Normal 3 2 95" xfId="33631"/>
    <cellStyle name="Normal 3 2 96" xfId="33632"/>
    <cellStyle name="Normal 3 2 96 10" xfId="33633"/>
    <cellStyle name="Normal 3 2 96 11" xfId="33634"/>
    <cellStyle name="Normal 3 2 96 12" xfId="33635"/>
    <cellStyle name="Normal 3 2 96 13" xfId="33636"/>
    <cellStyle name="Normal 3 2 96 14" xfId="33637"/>
    <cellStyle name="Normal 3 2 96 15" xfId="33638"/>
    <cellStyle name="Normal 3 2 96 16" xfId="33639"/>
    <cellStyle name="Normal 3 2 96 17" xfId="33640"/>
    <cellStyle name="Normal 3 2 96 18" xfId="33641"/>
    <cellStyle name="Normal 3 2 96 19" xfId="33642"/>
    <cellStyle name="Normal 3 2 96 2" xfId="33643"/>
    <cellStyle name="Normal 3 2 96 20" xfId="33644"/>
    <cellStyle name="Normal 3 2 96 3" xfId="33645"/>
    <cellStyle name="Normal 3 2 96 4" xfId="33646"/>
    <cellStyle name="Normal 3 2 96 5" xfId="33647"/>
    <cellStyle name="Normal 3 2 96 6" xfId="33648"/>
    <cellStyle name="Normal 3 2 96 7" xfId="33649"/>
    <cellStyle name="Normal 3 2 96 8" xfId="33650"/>
    <cellStyle name="Normal 3 2 96 9" xfId="33651"/>
    <cellStyle name="Normal 3 2 97" xfId="33652"/>
    <cellStyle name="Normal 3 2 97 10" xfId="33653"/>
    <cellStyle name="Normal 3 2 97 11" xfId="33654"/>
    <cellStyle name="Normal 3 2 97 12" xfId="33655"/>
    <cellStyle name="Normal 3 2 97 13" xfId="33656"/>
    <cellStyle name="Normal 3 2 97 14" xfId="33657"/>
    <cellStyle name="Normal 3 2 97 15" xfId="33658"/>
    <cellStyle name="Normal 3 2 97 16" xfId="33659"/>
    <cellStyle name="Normal 3 2 97 17" xfId="33660"/>
    <cellStyle name="Normal 3 2 97 2" xfId="33661"/>
    <cellStyle name="Normal 3 2 97 3" xfId="33662"/>
    <cellStyle name="Normal 3 2 97 4" xfId="33663"/>
    <cellStyle name="Normal 3 2 97 5" xfId="33664"/>
    <cellStyle name="Normal 3 2 97 6" xfId="33665"/>
    <cellStyle name="Normal 3 2 97 7" xfId="33666"/>
    <cellStyle name="Normal 3 2 97 8" xfId="33667"/>
    <cellStyle name="Normal 3 2 97 9" xfId="33668"/>
    <cellStyle name="Normal 3 2 98" xfId="33669"/>
    <cellStyle name="Normal 3 2 98 10" xfId="33670"/>
    <cellStyle name="Normal 3 2 98 11" xfId="33671"/>
    <cellStyle name="Normal 3 2 98 12" xfId="33672"/>
    <cellStyle name="Normal 3 2 98 13" xfId="33673"/>
    <cellStyle name="Normal 3 2 98 14" xfId="33674"/>
    <cellStyle name="Normal 3 2 98 15" xfId="33675"/>
    <cellStyle name="Normal 3 2 98 16" xfId="33676"/>
    <cellStyle name="Normal 3 2 98 17" xfId="33677"/>
    <cellStyle name="Normal 3 2 98 2" xfId="33678"/>
    <cellStyle name="Normal 3 2 98 3" xfId="33679"/>
    <cellStyle name="Normal 3 2 98 4" xfId="33680"/>
    <cellStyle name="Normal 3 2 98 5" xfId="33681"/>
    <cellStyle name="Normal 3 2 98 6" xfId="33682"/>
    <cellStyle name="Normal 3 2 98 7" xfId="33683"/>
    <cellStyle name="Normal 3 2 98 8" xfId="33684"/>
    <cellStyle name="Normal 3 2 98 9" xfId="33685"/>
    <cellStyle name="Normal 3 2 99" xfId="33686"/>
    <cellStyle name="Normal 3 2 99 10" xfId="33687"/>
    <cellStyle name="Normal 3 2 99 11" xfId="33688"/>
    <cellStyle name="Normal 3 2 99 12" xfId="33689"/>
    <cellStyle name="Normal 3 2 99 13" xfId="33690"/>
    <cellStyle name="Normal 3 2 99 2" xfId="33691"/>
    <cellStyle name="Normal 3 2 99 3" xfId="33692"/>
    <cellStyle name="Normal 3 2 99 4" xfId="33693"/>
    <cellStyle name="Normal 3 2 99 5" xfId="33694"/>
    <cellStyle name="Normal 3 2 99 6" xfId="33695"/>
    <cellStyle name="Normal 3 2 99 7" xfId="33696"/>
    <cellStyle name="Normal 3 2 99 8" xfId="33697"/>
    <cellStyle name="Normal 3 2 99 9" xfId="33698"/>
    <cellStyle name="Normal 3 2_Ch4 v2" xfId="33699"/>
    <cellStyle name="Normal 3 20" xfId="33700"/>
    <cellStyle name="Normal 3 20 2" xfId="33701"/>
    <cellStyle name="Normal 3 20 3" xfId="33702"/>
    <cellStyle name="Normal 3 20 4" xfId="33703"/>
    <cellStyle name="Normal 3 20 5" xfId="33704"/>
    <cellStyle name="Normal 3 20 6" xfId="33705"/>
    <cellStyle name="Normal 3 20 7" xfId="33706"/>
    <cellStyle name="Normal 3 21" xfId="33707"/>
    <cellStyle name="Normal 3 21 2" xfId="33708"/>
    <cellStyle name="Normal 3 21 3" xfId="33709"/>
    <cellStyle name="Normal 3 21 4" xfId="33710"/>
    <cellStyle name="Normal 3 21 5" xfId="33711"/>
    <cellStyle name="Normal 3 21 6" xfId="33712"/>
    <cellStyle name="Normal 3 21 7" xfId="33713"/>
    <cellStyle name="Normal 3 22" xfId="33714"/>
    <cellStyle name="Normal 3 22 2" xfId="33715"/>
    <cellStyle name="Normal 3 23" xfId="33716"/>
    <cellStyle name="Normal 3 23 2" xfId="33717"/>
    <cellStyle name="Normal 3 24" xfId="33718"/>
    <cellStyle name="Normal 3 24 2" xfId="33719"/>
    <cellStyle name="Normal 3 25" xfId="33720"/>
    <cellStyle name="Normal 3 25 2" xfId="33721"/>
    <cellStyle name="Normal 3 26" xfId="33722"/>
    <cellStyle name="Normal 3 26 2" xfId="33723"/>
    <cellStyle name="Normal 3 27" xfId="33724"/>
    <cellStyle name="Normal 3 27 2" xfId="33725"/>
    <cellStyle name="Normal 3 28" xfId="33726"/>
    <cellStyle name="Normal 3 28 2" xfId="33727"/>
    <cellStyle name="Normal 3 28 3" xfId="33728"/>
    <cellStyle name="Normal 3 29" xfId="33729"/>
    <cellStyle name="Normal 3 29 2" xfId="33730"/>
    <cellStyle name="Normal 3 3" xfId="33731"/>
    <cellStyle name="Normal 3 3 10" xfId="33732"/>
    <cellStyle name="Normal 3 3 10 10" xfId="33733"/>
    <cellStyle name="Normal 3 3 10 11" xfId="33734"/>
    <cellStyle name="Normal 3 3 10 2" xfId="33735"/>
    <cellStyle name="Normal 3 3 10 2 2" xfId="33736"/>
    <cellStyle name="Normal 3 3 10 2 3" xfId="33737"/>
    <cellStyle name="Normal 3 3 10 2 4" xfId="33738"/>
    <cellStyle name="Normal 3 3 10 2 5" xfId="33739"/>
    <cellStyle name="Normal 3 3 10 2 6" xfId="33740"/>
    <cellStyle name="Normal 3 3 10 3" xfId="33741"/>
    <cellStyle name="Normal 3 3 10 3 2" xfId="33742"/>
    <cellStyle name="Normal 3 3 10 3 3" xfId="33743"/>
    <cellStyle name="Normal 3 3 10 3 4" xfId="33744"/>
    <cellStyle name="Normal 3 3 10 3 5" xfId="33745"/>
    <cellStyle name="Normal 3 3 10 3 6" xfId="33746"/>
    <cellStyle name="Normal 3 3 10 4" xfId="33747"/>
    <cellStyle name="Normal 3 3 10 4 2" xfId="33748"/>
    <cellStyle name="Normal 3 3 10 4 3" xfId="33749"/>
    <cellStyle name="Normal 3 3 10 4 4" xfId="33750"/>
    <cellStyle name="Normal 3 3 10 4 5" xfId="33751"/>
    <cellStyle name="Normal 3 3 10 4 6" xfId="33752"/>
    <cellStyle name="Normal 3 3 10 5" xfId="33753"/>
    <cellStyle name="Normal 3 3 10 5 2" xfId="33754"/>
    <cellStyle name="Normal 3 3 10 5 3" xfId="33755"/>
    <cellStyle name="Normal 3 3 10 5 4" xfId="33756"/>
    <cellStyle name="Normal 3 3 10 5 5" xfId="33757"/>
    <cellStyle name="Normal 3 3 10 5 6" xfId="33758"/>
    <cellStyle name="Normal 3 3 10 6" xfId="33759"/>
    <cellStyle name="Normal 3 3 10 6 2" xfId="33760"/>
    <cellStyle name="Normal 3 3 10 6 3" xfId="33761"/>
    <cellStyle name="Normal 3 3 10 6 4" xfId="33762"/>
    <cellStyle name="Normal 3 3 10 6 5" xfId="33763"/>
    <cellStyle name="Normal 3 3 10 6 6" xfId="33764"/>
    <cellStyle name="Normal 3 3 10 7" xfId="33765"/>
    <cellStyle name="Normal 3 3 10 8" xfId="33766"/>
    <cellStyle name="Normal 3 3 10 9" xfId="33767"/>
    <cellStyle name="Normal 3 3 11" xfId="33768"/>
    <cellStyle name="Normal 3 3 11 10" xfId="33769"/>
    <cellStyle name="Normal 3 3 11 11" xfId="33770"/>
    <cellStyle name="Normal 3 3 11 2" xfId="33771"/>
    <cellStyle name="Normal 3 3 11 2 2" xfId="33772"/>
    <cellStyle name="Normal 3 3 11 2 3" xfId="33773"/>
    <cellStyle name="Normal 3 3 11 2 4" xfId="33774"/>
    <cellStyle name="Normal 3 3 11 2 5" xfId="33775"/>
    <cellStyle name="Normal 3 3 11 2 6" xfId="33776"/>
    <cellStyle name="Normal 3 3 11 3" xfId="33777"/>
    <cellStyle name="Normal 3 3 11 3 2" xfId="33778"/>
    <cellStyle name="Normal 3 3 11 3 3" xfId="33779"/>
    <cellStyle name="Normal 3 3 11 3 4" xfId="33780"/>
    <cellStyle name="Normal 3 3 11 3 5" xfId="33781"/>
    <cellStyle name="Normal 3 3 11 3 6" xfId="33782"/>
    <cellStyle name="Normal 3 3 11 4" xfId="33783"/>
    <cellStyle name="Normal 3 3 11 4 2" xfId="33784"/>
    <cellStyle name="Normal 3 3 11 4 3" xfId="33785"/>
    <cellStyle name="Normal 3 3 11 4 4" xfId="33786"/>
    <cellStyle name="Normal 3 3 11 4 5" xfId="33787"/>
    <cellStyle name="Normal 3 3 11 4 6" xfId="33788"/>
    <cellStyle name="Normal 3 3 11 5" xfId="33789"/>
    <cellStyle name="Normal 3 3 11 5 2" xfId="33790"/>
    <cellStyle name="Normal 3 3 11 5 3" xfId="33791"/>
    <cellStyle name="Normal 3 3 11 5 4" xfId="33792"/>
    <cellStyle name="Normal 3 3 11 5 5" xfId="33793"/>
    <cellStyle name="Normal 3 3 11 5 6" xfId="33794"/>
    <cellStyle name="Normal 3 3 11 6" xfId="33795"/>
    <cellStyle name="Normal 3 3 11 6 2" xfId="33796"/>
    <cellStyle name="Normal 3 3 11 6 3" xfId="33797"/>
    <cellStyle name="Normal 3 3 11 6 4" xfId="33798"/>
    <cellStyle name="Normal 3 3 11 6 5" xfId="33799"/>
    <cellStyle name="Normal 3 3 11 6 6" xfId="33800"/>
    <cellStyle name="Normal 3 3 11 7" xfId="33801"/>
    <cellStyle name="Normal 3 3 11 8" xfId="33802"/>
    <cellStyle name="Normal 3 3 11 9" xfId="33803"/>
    <cellStyle name="Normal 3 3 12" xfId="33804"/>
    <cellStyle name="Normal 3 3 12 10" xfId="33805"/>
    <cellStyle name="Normal 3 3 12 11" xfId="33806"/>
    <cellStyle name="Normal 3 3 12 2" xfId="33807"/>
    <cellStyle name="Normal 3 3 12 2 2" xfId="33808"/>
    <cellStyle name="Normal 3 3 12 2 3" xfId="33809"/>
    <cellStyle name="Normal 3 3 12 2 4" xfId="33810"/>
    <cellStyle name="Normal 3 3 12 2 5" xfId="33811"/>
    <cellStyle name="Normal 3 3 12 2 6" xfId="33812"/>
    <cellStyle name="Normal 3 3 12 3" xfId="33813"/>
    <cellStyle name="Normal 3 3 12 3 2" xfId="33814"/>
    <cellStyle name="Normal 3 3 12 3 3" xfId="33815"/>
    <cellStyle name="Normal 3 3 12 3 4" xfId="33816"/>
    <cellStyle name="Normal 3 3 12 3 5" xfId="33817"/>
    <cellStyle name="Normal 3 3 12 3 6" xfId="33818"/>
    <cellStyle name="Normal 3 3 12 4" xfId="33819"/>
    <cellStyle name="Normal 3 3 12 4 2" xfId="33820"/>
    <cellStyle name="Normal 3 3 12 4 3" xfId="33821"/>
    <cellStyle name="Normal 3 3 12 4 4" xfId="33822"/>
    <cellStyle name="Normal 3 3 12 4 5" xfId="33823"/>
    <cellStyle name="Normal 3 3 12 4 6" xfId="33824"/>
    <cellStyle name="Normal 3 3 12 5" xfId="33825"/>
    <cellStyle name="Normal 3 3 12 5 2" xfId="33826"/>
    <cellStyle name="Normal 3 3 12 5 3" xfId="33827"/>
    <cellStyle name="Normal 3 3 12 5 4" xfId="33828"/>
    <cellStyle name="Normal 3 3 12 5 5" xfId="33829"/>
    <cellStyle name="Normal 3 3 12 5 6" xfId="33830"/>
    <cellStyle name="Normal 3 3 12 6" xfId="33831"/>
    <cellStyle name="Normal 3 3 12 6 2" xfId="33832"/>
    <cellStyle name="Normal 3 3 12 6 3" xfId="33833"/>
    <cellStyle name="Normal 3 3 12 6 4" xfId="33834"/>
    <cellStyle name="Normal 3 3 12 6 5" xfId="33835"/>
    <cellStyle name="Normal 3 3 12 6 6" xfId="33836"/>
    <cellStyle name="Normal 3 3 12 7" xfId="33837"/>
    <cellStyle name="Normal 3 3 12 8" xfId="33838"/>
    <cellStyle name="Normal 3 3 12 9" xfId="33839"/>
    <cellStyle name="Normal 3 3 13" xfId="33840"/>
    <cellStyle name="Normal 3 3 13 10" xfId="33841"/>
    <cellStyle name="Normal 3 3 13 11" xfId="33842"/>
    <cellStyle name="Normal 3 3 13 2" xfId="33843"/>
    <cellStyle name="Normal 3 3 13 2 2" xfId="33844"/>
    <cellStyle name="Normal 3 3 13 2 3" xfId="33845"/>
    <cellStyle name="Normal 3 3 13 2 4" xfId="33846"/>
    <cellStyle name="Normal 3 3 13 2 5" xfId="33847"/>
    <cellStyle name="Normal 3 3 13 2 6" xfId="33848"/>
    <cellStyle name="Normal 3 3 13 3" xfId="33849"/>
    <cellStyle name="Normal 3 3 13 3 2" xfId="33850"/>
    <cellStyle name="Normal 3 3 13 3 3" xfId="33851"/>
    <cellStyle name="Normal 3 3 13 3 4" xfId="33852"/>
    <cellStyle name="Normal 3 3 13 3 5" xfId="33853"/>
    <cellStyle name="Normal 3 3 13 3 6" xfId="33854"/>
    <cellStyle name="Normal 3 3 13 4" xfId="33855"/>
    <cellStyle name="Normal 3 3 13 4 2" xfId="33856"/>
    <cellStyle name="Normal 3 3 13 4 3" xfId="33857"/>
    <cellStyle name="Normal 3 3 13 4 4" xfId="33858"/>
    <cellStyle name="Normal 3 3 13 4 5" xfId="33859"/>
    <cellStyle name="Normal 3 3 13 4 6" xfId="33860"/>
    <cellStyle name="Normal 3 3 13 5" xfId="33861"/>
    <cellStyle name="Normal 3 3 13 5 2" xfId="33862"/>
    <cellStyle name="Normal 3 3 13 5 3" xfId="33863"/>
    <cellStyle name="Normal 3 3 13 5 4" xfId="33864"/>
    <cellStyle name="Normal 3 3 13 5 5" xfId="33865"/>
    <cellStyle name="Normal 3 3 13 5 6" xfId="33866"/>
    <cellStyle name="Normal 3 3 13 6" xfId="33867"/>
    <cellStyle name="Normal 3 3 13 6 2" xfId="33868"/>
    <cellStyle name="Normal 3 3 13 6 3" xfId="33869"/>
    <cellStyle name="Normal 3 3 13 6 4" xfId="33870"/>
    <cellStyle name="Normal 3 3 13 6 5" xfId="33871"/>
    <cellStyle name="Normal 3 3 13 6 6" xfId="33872"/>
    <cellStyle name="Normal 3 3 13 7" xfId="33873"/>
    <cellStyle name="Normal 3 3 13 8" xfId="33874"/>
    <cellStyle name="Normal 3 3 13 9" xfId="33875"/>
    <cellStyle name="Normal 3 3 14" xfId="33876"/>
    <cellStyle name="Normal 3 3 14 10" xfId="33877"/>
    <cellStyle name="Normal 3 3 14 11" xfId="33878"/>
    <cellStyle name="Normal 3 3 14 2" xfId="33879"/>
    <cellStyle name="Normal 3 3 14 2 2" xfId="33880"/>
    <cellStyle name="Normal 3 3 14 2 3" xfId="33881"/>
    <cellStyle name="Normal 3 3 14 2 4" xfId="33882"/>
    <cellStyle name="Normal 3 3 14 2 5" xfId="33883"/>
    <cellStyle name="Normal 3 3 14 2 6" xfId="33884"/>
    <cellStyle name="Normal 3 3 14 3" xfId="33885"/>
    <cellStyle name="Normal 3 3 14 3 2" xfId="33886"/>
    <cellStyle name="Normal 3 3 14 3 3" xfId="33887"/>
    <cellStyle name="Normal 3 3 14 3 4" xfId="33888"/>
    <cellStyle name="Normal 3 3 14 3 5" xfId="33889"/>
    <cellStyle name="Normal 3 3 14 3 6" xfId="33890"/>
    <cellStyle name="Normal 3 3 14 4" xfId="33891"/>
    <cellStyle name="Normal 3 3 14 4 2" xfId="33892"/>
    <cellStyle name="Normal 3 3 14 4 3" xfId="33893"/>
    <cellStyle name="Normal 3 3 14 4 4" xfId="33894"/>
    <cellStyle name="Normal 3 3 14 4 5" xfId="33895"/>
    <cellStyle name="Normal 3 3 14 4 6" xfId="33896"/>
    <cellStyle name="Normal 3 3 14 5" xfId="33897"/>
    <cellStyle name="Normal 3 3 14 5 2" xfId="33898"/>
    <cellStyle name="Normal 3 3 14 5 3" xfId="33899"/>
    <cellStyle name="Normal 3 3 14 5 4" xfId="33900"/>
    <cellStyle name="Normal 3 3 14 5 5" xfId="33901"/>
    <cellStyle name="Normal 3 3 14 5 6" xfId="33902"/>
    <cellStyle name="Normal 3 3 14 6" xfId="33903"/>
    <cellStyle name="Normal 3 3 14 6 2" xfId="33904"/>
    <cellStyle name="Normal 3 3 14 6 3" xfId="33905"/>
    <cellStyle name="Normal 3 3 14 6 4" xfId="33906"/>
    <cellStyle name="Normal 3 3 14 6 5" xfId="33907"/>
    <cellStyle name="Normal 3 3 14 6 6" xfId="33908"/>
    <cellStyle name="Normal 3 3 14 7" xfId="33909"/>
    <cellStyle name="Normal 3 3 14 8" xfId="33910"/>
    <cellStyle name="Normal 3 3 14 9" xfId="33911"/>
    <cellStyle name="Normal 3 3 15" xfId="33912"/>
    <cellStyle name="Normal 3 3 15 10" xfId="33913"/>
    <cellStyle name="Normal 3 3 15 11" xfId="33914"/>
    <cellStyle name="Normal 3 3 15 2" xfId="33915"/>
    <cellStyle name="Normal 3 3 15 2 2" xfId="33916"/>
    <cellStyle name="Normal 3 3 15 2 3" xfId="33917"/>
    <cellStyle name="Normal 3 3 15 2 4" xfId="33918"/>
    <cellStyle name="Normal 3 3 15 2 5" xfId="33919"/>
    <cellStyle name="Normal 3 3 15 2 6" xfId="33920"/>
    <cellStyle name="Normal 3 3 15 3" xfId="33921"/>
    <cellStyle name="Normal 3 3 15 3 2" xfId="33922"/>
    <cellStyle name="Normal 3 3 15 3 3" xfId="33923"/>
    <cellStyle name="Normal 3 3 15 3 4" xfId="33924"/>
    <cellStyle name="Normal 3 3 15 3 5" xfId="33925"/>
    <cellStyle name="Normal 3 3 15 3 6" xfId="33926"/>
    <cellStyle name="Normal 3 3 15 4" xfId="33927"/>
    <cellStyle name="Normal 3 3 15 4 2" xfId="33928"/>
    <cellStyle name="Normal 3 3 15 4 3" xfId="33929"/>
    <cellStyle name="Normal 3 3 15 4 4" xfId="33930"/>
    <cellStyle name="Normal 3 3 15 4 5" xfId="33931"/>
    <cellStyle name="Normal 3 3 15 4 6" xfId="33932"/>
    <cellStyle name="Normal 3 3 15 5" xfId="33933"/>
    <cellStyle name="Normal 3 3 15 5 2" xfId="33934"/>
    <cellStyle name="Normal 3 3 15 5 3" xfId="33935"/>
    <cellStyle name="Normal 3 3 15 5 4" xfId="33936"/>
    <cellStyle name="Normal 3 3 15 5 5" xfId="33937"/>
    <cellStyle name="Normal 3 3 15 5 6" xfId="33938"/>
    <cellStyle name="Normal 3 3 15 6" xfId="33939"/>
    <cellStyle name="Normal 3 3 15 6 2" xfId="33940"/>
    <cellStyle name="Normal 3 3 15 6 3" xfId="33941"/>
    <cellStyle name="Normal 3 3 15 6 4" xfId="33942"/>
    <cellStyle name="Normal 3 3 15 6 5" xfId="33943"/>
    <cellStyle name="Normal 3 3 15 6 6" xfId="33944"/>
    <cellStyle name="Normal 3 3 15 7" xfId="33945"/>
    <cellStyle name="Normal 3 3 15 8" xfId="33946"/>
    <cellStyle name="Normal 3 3 15 9" xfId="33947"/>
    <cellStyle name="Normal 3 3 16" xfId="33948"/>
    <cellStyle name="Normal 3 3 16 10" xfId="33949"/>
    <cellStyle name="Normal 3 3 16 11" xfId="33950"/>
    <cellStyle name="Normal 3 3 16 2" xfId="33951"/>
    <cellStyle name="Normal 3 3 16 2 2" xfId="33952"/>
    <cellStyle name="Normal 3 3 16 2 3" xfId="33953"/>
    <cellStyle name="Normal 3 3 16 2 4" xfId="33954"/>
    <cellStyle name="Normal 3 3 16 2 5" xfId="33955"/>
    <cellStyle name="Normal 3 3 16 2 6" xfId="33956"/>
    <cellStyle name="Normal 3 3 16 3" xfId="33957"/>
    <cellStyle name="Normal 3 3 16 3 2" xfId="33958"/>
    <cellStyle name="Normal 3 3 16 3 3" xfId="33959"/>
    <cellStyle name="Normal 3 3 16 3 4" xfId="33960"/>
    <cellStyle name="Normal 3 3 16 3 5" xfId="33961"/>
    <cellStyle name="Normal 3 3 16 3 6" xfId="33962"/>
    <cellStyle name="Normal 3 3 16 4" xfId="33963"/>
    <cellStyle name="Normal 3 3 16 4 2" xfId="33964"/>
    <cellStyle name="Normal 3 3 16 4 3" xfId="33965"/>
    <cellStyle name="Normal 3 3 16 4 4" xfId="33966"/>
    <cellStyle name="Normal 3 3 16 4 5" xfId="33967"/>
    <cellStyle name="Normal 3 3 16 4 6" xfId="33968"/>
    <cellStyle name="Normal 3 3 16 5" xfId="33969"/>
    <cellStyle name="Normal 3 3 16 5 2" xfId="33970"/>
    <cellStyle name="Normal 3 3 16 5 3" xfId="33971"/>
    <cellStyle name="Normal 3 3 16 5 4" xfId="33972"/>
    <cellStyle name="Normal 3 3 16 5 5" xfId="33973"/>
    <cellStyle name="Normal 3 3 16 5 6" xfId="33974"/>
    <cellStyle name="Normal 3 3 16 6" xfId="33975"/>
    <cellStyle name="Normal 3 3 16 6 2" xfId="33976"/>
    <cellStyle name="Normal 3 3 16 6 3" xfId="33977"/>
    <cellStyle name="Normal 3 3 16 6 4" xfId="33978"/>
    <cellStyle name="Normal 3 3 16 6 5" xfId="33979"/>
    <cellStyle name="Normal 3 3 16 6 6" xfId="33980"/>
    <cellStyle name="Normal 3 3 16 7" xfId="33981"/>
    <cellStyle name="Normal 3 3 16 8" xfId="33982"/>
    <cellStyle name="Normal 3 3 16 9" xfId="33983"/>
    <cellStyle name="Normal 3 3 17" xfId="33984"/>
    <cellStyle name="Normal 3 3 17 10" xfId="33985"/>
    <cellStyle name="Normal 3 3 17 11" xfId="33986"/>
    <cellStyle name="Normal 3 3 17 2" xfId="33987"/>
    <cellStyle name="Normal 3 3 17 2 2" xfId="33988"/>
    <cellStyle name="Normal 3 3 17 2 3" xfId="33989"/>
    <cellStyle name="Normal 3 3 17 2 4" xfId="33990"/>
    <cellStyle name="Normal 3 3 17 2 5" xfId="33991"/>
    <cellStyle name="Normal 3 3 17 2 6" xfId="33992"/>
    <cellStyle name="Normal 3 3 17 3" xfId="33993"/>
    <cellStyle name="Normal 3 3 17 3 2" xfId="33994"/>
    <cellStyle name="Normal 3 3 17 3 3" xfId="33995"/>
    <cellStyle name="Normal 3 3 17 3 4" xfId="33996"/>
    <cellStyle name="Normal 3 3 17 3 5" xfId="33997"/>
    <cellStyle name="Normal 3 3 17 3 6" xfId="33998"/>
    <cellStyle name="Normal 3 3 17 4" xfId="33999"/>
    <cellStyle name="Normal 3 3 17 4 2" xfId="34000"/>
    <cellStyle name="Normal 3 3 17 4 3" xfId="34001"/>
    <cellStyle name="Normal 3 3 17 4 4" xfId="34002"/>
    <cellStyle name="Normal 3 3 17 4 5" xfId="34003"/>
    <cellStyle name="Normal 3 3 17 4 6" xfId="34004"/>
    <cellStyle name="Normal 3 3 17 5" xfId="34005"/>
    <cellStyle name="Normal 3 3 17 5 2" xfId="34006"/>
    <cellStyle name="Normal 3 3 17 5 3" xfId="34007"/>
    <cellStyle name="Normal 3 3 17 5 4" xfId="34008"/>
    <cellStyle name="Normal 3 3 17 5 5" xfId="34009"/>
    <cellStyle name="Normal 3 3 17 5 6" xfId="34010"/>
    <cellStyle name="Normal 3 3 17 6" xfId="34011"/>
    <cellStyle name="Normal 3 3 17 6 2" xfId="34012"/>
    <cellStyle name="Normal 3 3 17 6 3" xfId="34013"/>
    <cellStyle name="Normal 3 3 17 6 4" xfId="34014"/>
    <cellStyle name="Normal 3 3 17 6 5" xfId="34015"/>
    <cellStyle name="Normal 3 3 17 6 6" xfId="34016"/>
    <cellStyle name="Normal 3 3 17 7" xfId="34017"/>
    <cellStyle name="Normal 3 3 17 8" xfId="34018"/>
    <cellStyle name="Normal 3 3 17 9" xfId="34019"/>
    <cellStyle name="Normal 3 3 18" xfId="34020"/>
    <cellStyle name="Normal 3 3 19" xfId="34021"/>
    <cellStyle name="Normal 3 3 2" xfId="34022"/>
    <cellStyle name="Normal 3 3 2 10" xfId="34023"/>
    <cellStyle name="Normal 3 3 2 11" xfId="34024"/>
    <cellStyle name="Normal 3 3 2 12" xfId="34025"/>
    <cellStyle name="Normal 3 3 2 13" xfId="34026"/>
    <cellStyle name="Normal 3 3 2 14" xfId="34027"/>
    <cellStyle name="Normal 3 3 2 15" xfId="34028"/>
    <cellStyle name="Normal 3 3 2 16" xfId="34029"/>
    <cellStyle name="Normal 3 3 2 17" xfId="34030"/>
    <cellStyle name="Normal 3 3 2 18" xfId="34031"/>
    <cellStyle name="Normal 3 3 2 18 2" xfId="34032"/>
    <cellStyle name="Normal 3 3 2 18 3" xfId="34033"/>
    <cellStyle name="Normal 3 3 2 18 4" xfId="34034"/>
    <cellStyle name="Normal 3 3 2 18 5" xfId="34035"/>
    <cellStyle name="Normal 3 3 2 18 6" xfId="34036"/>
    <cellStyle name="Normal 3 3 2 19" xfId="34037"/>
    <cellStyle name="Normal 3 3 2 19 2" xfId="34038"/>
    <cellStyle name="Normal 3 3 2 19 3" xfId="34039"/>
    <cellStyle name="Normal 3 3 2 19 4" xfId="34040"/>
    <cellStyle name="Normal 3 3 2 19 5" xfId="34041"/>
    <cellStyle name="Normal 3 3 2 19 6" xfId="34042"/>
    <cellStyle name="Normal 3 3 2 2" xfId="34043"/>
    <cellStyle name="Normal 3 3 2 2 2" xfId="34044"/>
    <cellStyle name="Normal 3 3 2 2 2 10" xfId="34045"/>
    <cellStyle name="Normal 3 3 2 2 2 10 2" xfId="34046"/>
    <cellStyle name="Normal 3 3 2 2 2 10 3" xfId="34047"/>
    <cellStyle name="Normal 3 3 2 2 2 10 4" xfId="34048"/>
    <cellStyle name="Normal 3 3 2 2 2 10 5" xfId="34049"/>
    <cellStyle name="Normal 3 3 2 2 2 10 6" xfId="34050"/>
    <cellStyle name="Normal 3 3 2 2 2 11" xfId="34051"/>
    <cellStyle name="Normal 3 3 2 2 2 11 2" xfId="34052"/>
    <cellStyle name="Normal 3 3 2 2 2 11 3" xfId="34053"/>
    <cellStyle name="Normal 3 3 2 2 2 11 4" xfId="34054"/>
    <cellStyle name="Normal 3 3 2 2 2 11 5" xfId="34055"/>
    <cellStyle name="Normal 3 3 2 2 2 11 6" xfId="34056"/>
    <cellStyle name="Normal 3 3 2 2 2 12" xfId="34057"/>
    <cellStyle name="Normal 3 3 2 2 2 12 2" xfId="34058"/>
    <cellStyle name="Normal 3 3 2 2 2 12 3" xfId="34059"/>
    <cellStyle name="Normal 3 3 2 2 2 12 4" xfId="34060"/>
    <cellStyle name="Normal 3 3 2 2 2 12 5" xfId="34061"/>
    <cellStyle name="Normal 3 3 2 2 2 12 6" xfId="34062"/>
    <cellStyle name="Normal 3 3 2 2 2 13" xfId="34063"/>
    <cellStyle name="Normal 3 3 2 2 2 13 2" xfId="34064"/>
    <cellStyle name="Normal 3 3 2 2 2 13 3" xfId="34065"/>
    <cellStyle name="Normal 3 3 2 2 2 13 4" xfId="34066"/>
    <cellStyle name="Normal 3 3 2 2 2 13 5" xfId="34067"/>
    <cellStyle name="Normal 3 3 2 2 2 13 6" xfId="34068"/>
    <cellStyle name="Normal 3 3 2 2 2 14" xfId="34069"/>
    <cellStyle name="Normal 3 3 2 2 2 14 2" xfId="34070"/>
    <cellStyle name="Normal 3 3 2 2 2 14 3" xfId="34071"/>
    <cellStyle name="Normal 3 3 2 2 2 14 4" xfId="34072"/>
    <cellStyle name="Normal 3 3 2 2 2 14 5" xfId="34073"/>
    <cellStyle name="Normal 3 3 2 2 2 14 6" xfId="34074"/>
    <cellStyle name="Normal 3 3 2 2 2 15" xfId="34075"/>
    <cellStyle name="Normal 3 3 2 2 2 16" xfId="34076"/>
    <cellStyle name="Normal 3 3 2 2 2 17" xfId="34077"/>
    <cellStyle name="Normal 3 3 2 2 2 18" xfId="34078"/>
    <cellStyle name="Normal 3 3 2 2 2 19" xfId="34079"/>
    <cellStyle name="Normal 3 3 2 2 2 2" xfId="34080"/>
    <cellStyle name="Normal 3 3 2 2 2 3" xfId="34081"/>
    <cellStyle name="Normal 3 3 2 2 2 4" xfId="34082"/>
    <cellStyle name="Normal 3 3 2 2 2 5" xfId="34083"/>
    <cellStyle name="Normal 3 3 2 2 2 6" xfId="34084"/>
    <cellStyle name="Normal 3 3 2 2 2 7" xfId="34085"/>
    <cellStyle name="Normal 3 3 2 2 2 8" xfId="34086"/>
    <cellStyle name="Normal 3 3 2 2 2 9" xfId="34087"/>
    <cellStyle name="Normal 3 3 2 2 3" xfId="34088"/>
    <cellStyle name="Normal 3 3 2 2 3 10" xfId="34089"/>
    <cellStyle name="Normal 3 3 2 2 3 11" xfId="34090"/>
    <cellStyle name="Normal 3 3 2 2 3 2" xfId="34091"/>
    <cellStyle name="Normal 3 3 2 2 3 2 2" xfId="34092"/>
    <cellStyle name="Normal 3 3 2 2 3 2 3" xfId="34093"/>
    <cellStyle name="Normal 3 3 2 2 3 2 4" xfId="34094"/>
    <cellStyle name="Normal 3 3 2 2 3 2 5" xfId="34095"/>
    <cellStyle name="Normal 3 3 2 2 3 2 6" xfId="34096"/>
    <cellStyle name="Normal 3 3 2 2 3 3" xfId="34097"/>
    <cellStyle name="Normal 3 3 2 2 3 3 2" xfId="34098"/>
    <cellStyle name="Normal 3 3 2 2 3 3 3" xfId="34099"/>
    <cellStyle name="Normal 3 3 2 2 3 3 4" xfId="34100"/>
    <cellStyle name="Normal 3 3 2 2 3 3 5" xfId="34101"/>
    <cellStyle name="Normal 3 3 2 2 3 3 6" xfId="34102"/>
    <cellStyle name="Normal 3 3 2 2 3 4" xfId="34103"/>
    <cellStyle name="Normal 3 3 2 2 3 4 2" xfId="34104"/>
    <cellStyle name="Normal 3 3 2 2 3 4 3" xfId="34105"/>
    <cellStyle name="Normal 3 3 2 2 3 4 4" xfId="34106"/>
    <cellStyle name="Normal 3 3 2 2 3 4 5" xfId="34107"/>
    <cellStyle name="Normal 3 3 2 2 3 4 6" xfId="34108"/>
    <cellStyle name="Normal 3 3 2 2 3 5" xfId="34109"/>
    <cellStyle name="Normal 3 3 2 2 3 5 2" xfId="34110"/>
    <cellStyle name="Normal 3 3 2 2 3 5 3" xfId="34111"/>
    <cellStyle name="Normal 3 3 2 2 3 5 4" xfId="34112"/>
    <cellStyle name="Normal 3 3 2 2 3 5 5" xfId="34113"/>
    <cellStyle name="Normal 3 3 2 2 3 5 6" xfId="34114"/>
    <cellStyle name="Normal 3 3 2 2 3 6" xfId="34115"/>
    <cellStyle name="Normal 3 3 2 2 3 6 2" xfId="34116"/>
    <cellStyle name="Normal 3 3 2 2 3 6 3" xfId="34117"/>
    <cellStyle name="Normal 3 3 2 2 3 6 4" xfId="34118"/>
    <cellStyle name="Normal 3 3 2 2 3 6 5" xfId="34119"/>
    <cellStyle name="Normal 3 3 2 2 3 6 6" xfId="34120"/>
    <cellStyle name="Normal 3 3 2 2 3 7" xfId="34121"/>
    <cellStyle name="Normal 3 3 2 2 3 8" xfId="34122"/>
    <cellStyle name="Normal 3 3 2 2 3 9" xfId="34123"/>
    <cellStyle name="Normal 3 3 2 2 4" xfId="34124"/>
    <cellStyle name="Normal 3 3 2 2 4 10" xfId="34125"/>
    <cellStyle name="Normal 3 3 2 2 4 11" xfId="34126"/>
    <cellStyle name="Normal 3 3 2 2 4 2" xfId="34127"/>
    <cellStyle name="Normal 3 3 2 2 4 2 2" xfId="34128"/>
    <cellStyle name="Normal 3 3 2 2 4 2 3" xfId="34129"/>
    <cellStyle name="Normal 3 3 2 2 4 2 4" xfId="34130"/>
    <cellStyle name="Normal 3 3 2 2 4 2 5" xfId="34131"/>
    <cellStyle name="Normal 3 3 2 2 4 2 6" xfId="34132"/>
    <cellStyle name="Normal 3 3 2 2 4 3" xfId="34133"/>
    <cellStyle name="Normal 3 3 2 2 4 3 2" xfId="34134"/>
    <cellStyle name="Normal 3 3 2 2 4 3 3" xfId="34135"/>
    <cellStyle name="Normal 3 3 2 2 4 3 4" xfId="34136"/>
    <cellStyle name="Normal 3 3 2 2 4 3 5" xfId="34137"/>
    <cellStyle name="Normal 3 3 2 2 4 3 6" xfId="34138"/>
    <cellStyle name="Normal 3 3 2 2 4 4" xfId="34139"/>
    <cellStyle name="Normal 3 3 2 2 4 4 2" xfId="34140"/>
    <cellStyle name="Normal 3 3 2 2 4 4 3" xfId="34141"/>
    <cellStyle name="Normal 3 3 2 2 4 4 4" xfId="34142"/>
    <cellStyle name="Normal 3 3 2 2 4 4 5" xfId="34143"/>
    <cellStyle name="Normal 3 3 2 2 4 4 6" xfId="34144"/>
    <cellStyle name="Normal 3 3 2 2 4 5" xfId="34145"/>
    <cellStyle name="Normal 3 3 2 2 4 5 2" xfId="34146"/>
    <cellStyle name="Normal 3 3 2 2 4 5 3" xfId="34147"/>
    <cellStyle name="Normal 3 3 2 2 4 5 4" xfId="34148"/>
    <cellStyle name="Normal 3 3 2 2 4 5 5" xfId="34149"/>
    <cellStyle name="Normal 3 3 2 2 4 5 6" xfId="34150"/>
    <cellStyle name="Normal 3 3 2 2 4 6" xfId="34151"/>
    <cellStyle name="Normal 3 3 2 2 4 6 2" xfId="34152"/>
    <cellStyle name="Normal 3 3 2 2 4 6 3" xfId="34153"/>
    <cellStyle name="Normal 3 3 2 2 4 6 4" xfId="34154"/>
    <cellStyle name="Normal 3 3 2 2 4 6 5" xfId="34155"/>
    <cellStyle name="Normal 3 3 2 2 4 6 6" xfId="34156"/>
    <cellStyle name="Normal 3 3 2 2 4 7" xfId="34157"/>
    <cellStyle name="Normal 3 3 2 2 4 8" xfId="34158"/>
    <cellStyle name="Normal 3 3 2 2 4 9" xfId="34159"/>
    <cellStyle name="Normal 3 3 2 2 5" xfId="34160"/>
    <cellStyle name="Normal 3 3 2 2 5 10" xfId="34161"/>
    <cellStyle name="Normal 3 3 2 2 5 11" xfId="34162"/>
    <cellStyle name="Normal 3 3 2 2 5 2" xfId="34163"/>
    <cellStyle name="Normal 3 3 2 2 5 2 2" xfId="34164"/>
    <cellStyle name="Normal 3 3 2 2 5 2 3" xfId="34165"/>
    <cellStyle name="Normal 3 3 2 2 5 2 4" xfId="34166"/>
    <cellStyle name="Normal 3 3 2 2 5 2 5" xfId="34167"/>
    <cellStyle name="Normal 3 3 2 2 5 2 6" xfId="34168"/>
    <cellStyle name="Normal 3 3 2 2 5 3" xfId="34169"/>
    <cellStyle name="Normal 3 3 2 2 5 3 2" xfId="34170"/>
    <cellStyle name="Normal 3 3 2 2 5 3 3" xfId="34171"/>
    <cellStyle name="Normal 3 3 2 2 5 3 4" xfId="34172"/>
    <cellStyle name="Normal 3 3 2 2 5 3 5" xfId="34173"/>
    <cellStyle name="Normal 3 3 2 2 5 3 6" xfId="34174"/>
    <cellStyle name="Normal 3 3 2 2 5 4" xfId="34175"/>
    <cellStyle name="Normal 3 3 2 2 5 4 2" xfId="34176"/>
    <cellStyle name="Normal 3 3 2 2 5 4 3" xfId="34177"/>
    <cellStyle name="Normal 3 3 2 2 5 4 4" xfId="34178"/>
    <cellStyle name="Normal 3 3 2 2 5 4 5" xfId="34179"/>
    <cellStyle name="Normal 3 3 2 2 5 4 6" xfId="34180"/>
    <cellStyle name="Normal 3 3 2 2 5 5" xfId="34181"/>
    <cellStyle name="Normal 3 3 2 2 5 5 2" xfId="34182"/>
    <cellStyle name="Normal 3 3 2 2 5 5 3" xfId="34183"/>
    <cellStyle name="Normal 3 3 2 2 5 5 4" xfId="34184"/>
    <cellStyle name="Normal 3 3 2 2 5 5 5" xfId="34185"/>
    <cellStyle name="Normal 3 3 2 2 5 5 6" xfId="34186"/>
    <cellStyle name="Normal 3 3 2 2 5 6" xfId="34187"/>
    <cellStyle name="Normal 3 3 2 2 5 6 2" xfId="34188"/>
    <cellStyle name="Normal 3 3 2 2 5 6 3" xfId="34189"/>
    <cellStyle name="Normal 3 3 2 2 5 6 4" xfId="34190"/>
    <cellStyle name="Normal 3 3 2 2 5 6 5" xfId="34191"/>
    <cellStyle name="Normal 3 3 2 2 5 6 6" xfId="34192"/>
    <cellStyle name="Normal 3 3 2 2 5 7" xfId="34193"/>
    <cellStyle name="Normal 3 3 2 2 5 8" xfId="34194"/>
    <cellStyle name="Normal 3 3 2 2 5 9" xfId="34195"/>
    <cellStyle name="Normal 3 3 2 2 6" xfId="34196"/>
    <cellStyle name="Normal 3 3 2 2 6 10" xfId="34197"/>
    <cellStyle name="Normal 3 3 2 2 6 11" xfId="34198"/>
    <cellStyle name="Normal 3 3 2 2 6 2" xfId="34199"/>
    <cellStyle name="Normal 3 3 2 2 6 2 2" xfId="34200"/>
    <cellStyle name="Normal 3 3 2 2 6 2 3" xfId="34201"/>
    <cellStyle name="Normal 3 3 2 2 6 2 4" xfId="34202"/>
    <cellStyle name="Normal 3 3 2 2 6 2 5" xfId="34203"/>
    <cellStyle name="Normal 3 3 2 2 6 2 6" xfId="34204"/>
    <cellStyle name="Normal 3 3 2 2 6 3" xfId="34205"/>
    <cellStyle name="Normal 3 3 2 2 6 3 2" xfId="34206"/>
    <cellStyle name="Normal 3 3 2 2 6 3 3" xfId="34207"/>
    <cellStyle name="Normal 3 3 2 2 6 3 4" xfId="34208"/>
    <cellStyle name="Normal 3 3 2 2 6 3 5" xfId="34209"/>
    <cellStyle name="Normal 3 3 2 2 6 3 6" xfId="34210"/>
    <cellStyle name="Normal 3 3 2 2 6 4" xfId="34211"/>
    <cellStyle name="Normal 3 3 2 2 6 4 2" xfId="34212"/>
    <cellStyle name="Normal 3 3 2 2 6 4 3" xfId="34213"/>
    <cellStyle name="Normal 3 3 2 2 6 4 4" xfId="34214"/>
    <cellStyle name="Normal 3 3 2 2 6 4 5" xfId="34215"/>
    <cellStyle name="Normal 3 3 2 2 6 4 6" xfId="34216"/>
    <cellStyle name="Normal 3 3 2 2 6 5" xfId="34217"/>
    <cellStyle name="Normal 3 3 2 2 6 5 2" xfId="34218"/>
    <cellStyle name="Normal 3 3 2 2 6 5 3" xfId="34219"/>
    <cellStyle name="Normal 3 3 2 2 6 5 4" xfId="34220"/>
    <cellStyle name="Normal 3 3 2 2 6 5 5" xfId="34221"/>
    <cellStyle name="Normal 3 3 2 2 6 5 6" xfId="34222"/>
    <cellStyle name="Normal 3 3 2 2 6 6" xfId="34223"/>
    <cellStyle name="Normal 3 3 2 2 6 6 2" xfId="34224"/>
    <cellStyle name="Normal 3 3 2 2 6 6 3" xfId="34225"/>
    <cellStyle name="Normal 3 3 2 2 6 6 4" xfId="34226"/>
    <cellStyle name="Normal 3 3 2 2 6 6 5" xfId="34227"/>
    <cellStyle name="Normal 3 3 2 2 6 6 6" xfId="34228"/>
    <cellStyle name="Normal 3 3 2 2 6 7" xfId="34229"/>
    <cellStyle name="Normal 3 3 2 2 6 8" xfId="34230"/>
    <cellStyle name="Normal 3 3 2 2 6 9" xfId="34231"/>
    <cellStyle name="Normal 3 3 2 2 7" xfId="34232"/>
    <cellStyle name="Normal 3 3 2 2 7 10" xfId="34233"/>
    <cellStyle name="Normal 3 3 2 2 7 11" xfId="34234"/>
    <cellStyle name="Normal 3 3 2 2 7 2" xfId="34235"/>
    <cellStyle name="Normal 3 3 2 2 7 2 2" xfId="34236"/>
    <cellStyle name="Normal 3 3 2 2 7 2 3" xfId="34237"/>
    <cellStyle name="Normal 3 3 2 2 7 2 4" xfId="34238"/>
    <cellStyle name="Normal 3 3 2 2 7 2 5" xfId="34239"/>
    <cellStyle name="Normal 3 3 2 2 7 2 6" xfId="34240"/>
    <cellStyle name="Normal 3 3 2 2 7 3" xfId="34241"/>
    <cellStyle name="Normal 3 3 2 2 7 3 2" xfId="34242"/>
    <cellStyle name="Normal 3 3 2 2 7 3 3" xfId="34243"/>
    <cellStyle name="Normal 3 3 2 2 7 3 4" xfId="34244"/>
    <cellStyle name="Normal 3 3 2 2 7 3 5" xfId="34245"/>
    <cellStyle name="Normal 3 3 2 2 7 3 6" xfId="34246"/>
    <cellStyle name="Normal 3 3 2 2 7 4" xfId="34247"/>
    <cellStyle name="Normal 3 3 2 2 7 4 2" xfId="34248"/>
    <cellStyle name="Normal 3 3 2 2 7 4 3" xfId="34249"/>
    <cellStyle name="Normal 3 3 2 2 7 4 4" xfId="34250"/>
    <cellStyle name="Normal 3 3 2 2 7 4 5" xfId="34251"/>
    <cellStyle name="Normal 3 3 2 2 7 4 6" xfId="34252"/>
    <cellStyle name="Normal 3 3 2 2 7 5" xfId="34253"/>
    <cellStyle name="Normal 3 3 2 2 7 5 2" xfId="34254"/>
    <cellStyle name="Normal 3 3 2 2 7 5 3" xfId="34255"/>
    <cellStyle name="Normal 3 3 2 2 7 5 4" xfId="34256"/>
    <cellStyle name="Normal 3 3 2 2 7 5 5" xfId="34257"/>
    <cellStyle name="Normal 3 3 2 2 7 5 6" xfId="34258"/>
    <cellStyle name="Normal 3 3 2 2 7 6" xfId="34259"/>
    <cellStyle name="Normal 3 3 2 2 7 6 2" xfId="34260"/>
    <cellStyle name="Normal 3 3 2 2 7 6 3" xfId="34261"/>
    <cellStyle name="Normal 3 3 2 2 7 6 4" xfId="34262"/>
    <cellStyle name="Normal 3 3 2 2 7 6 5" xfId="34263"/>
    <cellStyle name="Normal 3 3 2 2 7 6 6" xfId="34264"/>
    <cellStyle name="Normal 3 3 2 2 7 7" xfId="34265"/>
    <cellStyle name="Normal 3 3 2 2 7 8" xfId="34266"/>
    <cellStyle name="Normal 3 3 2 2 7 9" xfId="34267"/>
    <cellStyle name="Normal 3 3 2 2 8" xfId="34268"/>
    <cellStyle name="Normal 3 3 2 2 8 10" xfId="34269"/>
    <cellStyle name="Normal 3 3 2 2 8 11" xfId="34270"/>
    <cellStyle name="Normal 3 3 2 2 8 2" xfId="34271"/>
    <cellStyle name="Normal 3 3 2 2 8 2 2" xfId="34272"/>
    <cellStyle name="Normal 3 3 2 2 8 2 3" xfId="34273"/>
    <cellStyle name="Normal 3 3 2 2 8 2 4" xfId="34274"/>
    <cellStyle name="Normal 3 3 2 2 8 2 5" xfId="34275"/>
    <cellStyle name="Normal 3 3 2 2 8 2 6" xfId="34276"/>
    <cellStyle name="Normal 3 3 2 2 8 3" xfId="34277"/>
    <cellStyle name="Normal 3 3 2 2 8 3 2" xfId="34278"/>
    <cellStyle name="Normal 3 3 2 2 8 3 3" xfId="34279"/>
    <cellStyle name="Normal 3 3 2 2 8 3 4" xfId="34280"/>
    <cellStyle name="Normal 3 3 2 2 8 3 5" xfId="34281"/>
    <cellStyle name="Normal 3 3 2 2 8 3 6" xfId="34282"/>
    <cellStyle name="Normal 3 3 2 2 8 4" xfId="34283"/>
    <cellStyle name="Normal 3 3 2 2 8 4 2" xfId="34284"/>
    <cellStyle name="Normal 3 3 2 2 8 4 3" xfId="34285"/>
    <cellStyle name="Normal 3 3 2 2 8 4 4" xfId="34286"/>
    <cellStyle name="Normal 3 3 2 2 8 4 5" xfId="34287"/>
    <cellStyle name="Normal 3 3 2 2 8 4 6" xfId="34288"/>
    <cellStyle name="Normal 3 3 2 2 8 5" xfId="34289"/>
    <cellStyle name="Normal 3 3 2 2 8 5 2" xfId="34290"/>
    <cellStyle name="Normal 3 3 2 2 8 5 3" xfId="34291"/>
    <cellStyle name="Normal 3 3 2 2 8 5 4" xfId="34292"/>
    <cellStyle name="Normal 3 3 2 2 8 5 5" xfId="34293"/>
    <cellStyle name="Normal 3 3 2 2 8 5 6" xfId="34294"/>
    <cellStyle name="Normal 3 3 2 2 8 6" xfId="34295"/>
    <cellStyle name="Normal 3 3 2 2 8 6 2" xfId="34296"/>
    <cellStyle name="Normal 3 3 2 2 8 6 3" xfId="34297"/>
    <cellStyle name="Normal 3 3 2 2 8 6 4" xfId="34298"/>
    <cellStyle name="Normal 3 3 2 2 8 6 5" xfId="34299"/>
    <cellStyle name="Normal 3 3 2 2 8 6 6" xfId="34300"/>
    <cellStyle name="Normal 3 3 2 2 8 7" xfId="34301"/>
    <cellStyle name="Normal 3 3 2 2 8 8" xfId="34302"/>
    <cellStyle name="Normal 3 3 2 2 8 9" xfId="34303"/>
    <cellStyle name="Normal 3 3 2 2 9" xfId="34304"/>
    <cellStyle name="Normal 3 3 2 2 9 10" xfId="34305"/>
    <cellStyle name="Normal 3 3 2 2 9 11" xfId="34306"/>
    <cellStyle name="Normal 3 3 2 2 9 2" xfId="34307"/>
    <cellStyle name="Normal 3 3 2 2 9 2 2" xfId="34308"/>
    <cellStyle name="Normal 3 3 2 2 9 2 3" xfId="34309"/>
    <cellStyle name="Normal 3 3 2 2 9 2 4" xfId="34310"/>
    <cellStyle name="Normal 3 3 2 2 9 2 5" xfId="34311"/>
    <cellStyle name="Normal 3 3 2 2 9 2 6" xfId="34312"/>
    <cellStyle name="Normal 3 3 2 2 9 3" xfId="34313"/>
    <cellStyle name="Normal 3 3 2 2 9 3 2" xfId="34314"/>
    <cellStyle name="Normal 3 3 2 2 9 3 3" xfId="34315"/>
    <cellStyle name="Normal 3 3 2 2 9 3 4" xfId="34316"/>
    <cellStyle name="Normal 3 3 2 2 9 3 5" xfId="34317"/>
    <cellStyle name="Normal 3 3 2 2 9 3 6" xfId="34318"/>
    <cellStyle name="Normal 3 3 2 2 9 4" xfId="34319"/>
    <cellStyle name="Normal 3 3 2 2 9 4 2" xfId="34320"/>
    <cellStyle name="Normal 3 3 2 2 9 4 3" xfId="34321"/>
    <cellStyle name="Normal 3 3 2 2 9 4 4" xfId="34322"/>
    <cellStyle name="Normal 3 3 2 2 9 4 5" xfId="34323"/>
    <cellStyle name="Normal 3 3 2 2 9 4 6" xfId="34324"/>
    <cellStyle name="Normal 3 3 2 2 9 5" xfId="34325"/>
    <cellStyle name="Normal 3 3 2 2 9 5 2" xfId="34326"/>
    <cellStyle name="Normal 3 3 2 2 9 5 3" xfId="34327"/>
    <cellStyle name="Normal 3 3 2 2 9 5 4" xfId="34328"/>
    <cellStyle name="Normal 3 3 2 2 9 5 5" xfId="34329"/>
    <cellStyle name="Normal 3 3 2 2 9 5 6" xfId="34330"/>
    <cellStyle name="Normal 3 3 2 2 9 6" xfId="34331"/>
    <cellStyle name="Normal 3 3 2 2 9 6 2" xfId="34332"/>
    <cellStyle name="Normal 3 3 2 2 9 6 3" xfId="34333"/>
    <cellStyle name="Normal 3 3 2 2 9 6 4" xfId="34334"/>
    <cellStyle name="Normal 3 3 2 2 9 6 5" xfId="34335"/>
    <cellStyle name="Normal 3 3 2 2 9 6 6" xfId="34336"/>
    <cellStyle name="Normal 3 3 2 2 9 7" xfId="34337"/>
    <cellStyle name="Normal 3 3 2 2 9 8" xfId="34338"/>
    <cellStyle name="Normal 3 3 2 2 9 9" xfId="34339"/>
    <cellStyle name="Normal 3 3 2 20" xfId="34340"/>
    <cellStyle name="Normal 3 3 2 20 2" xfId="34341"/>
    <cellStyle name="Normal 3 3 2 20 3" xfId="34342"/>
    <cellStyle name="Normal 3 3 2 20 4" xfId="34343"/>
    <cellStyle name="Normal 3 3 2 20 5" xfId="34344"/>
    <cellStyle name="Normal 3 3 2 20 6" xfId="34345"/>
    <cellStyle name="Normal 3 3 2 21" xfId="34346"/>
    <cellStyle name="Normal 3 3 2 21 2" xfId="34347"/>
    <cellStyle name="Normal 3 3 2 21 3" xfId="34348"/>
    <cellStyle name="Normal 3 3 2 21 4" xfId="34349"/>
    <cellStyle name="Normal 3 3 2 21 5" xfId="34350"/>
    <cellStyle name="Normal 3 3 2 21 6" xfId="34351"/>
    <cellStyle name="Normal 3 3 2 22" xfId="34352"/>
    <cellStyle name="Normal 3 3 2 22 2" xfId="34353"/>
    <cellStyle name="Normal 3 3 2 22 3" xfId="34354"/>
    <cellStyle name="Normal 3 3 2 22 4" xfId="34355"/>
    <cellStyle name="Normal 3 3 2 22 5" xfId="34356"/>
    <cellStyle name="Normal 3 3 2 22 6" xfId="34357"/>
    <cellStyle name="Normal 3 3 2 23" xfId="34358"/>
    <cellStyle name="Normal 3 3 2 24" xfId="34359"/>
    <cellStyle name="Normal 3 3 2 25" xfId="34360"/>
    <cellStyle name="Normal 3 3 2 26" xfId="34361"/>
    <cellStyle name="Normal 3 3 2 27" xfId="34362"/>
    <cellStyle name="Normal 3 3 2 3" xfId="34363"/>
    <cellStyle name="Normal 3 3 2 4" xfId="34364"/>
    <cellStyle name="Normal 3 3 2 5" xfId="34365"/>
    <cellStyle name="Normal 3 3 2 6" xfId="34366"/>
    <cellStyle name="Normal 3 3 2 7" xfId="34367"/>
    <cellStyle name="Normal 3 3 2 8" xfId="34368"/>
    <cellStyle name="Normal 3 3 2 9" xfId="34369"/>
    <cellStyle name="Normal 3 3 20" xfId="34370"/>
    <cellStyle name="Normal 3 3 21" xfId="34371"/>
    <cellStyle name="Normal 3 3 22" xfId="34372"/>
    <cellStyle name="Normal 3 3 23" xfId="34373"/>
    <cellStyle name="Normal 3 3 24" xfId="34374"/>
    <cellStyle name="Normal 3 3 25" xfId="34375"/>
    <cellStyle name="Normal 3 3 3" xfId="34376"/>
    <cellStyle name="Normal 3 3 3 10" xfId="34377"/>
    <cellStyle name="Normal 3 3 3 10 2" xfId="34378"/>
    <cellStyle name="Normal 3 3 3 10 3" xfId="34379"/>
    <cellStyle name="Normal 3 3 3 10 4" xfId="34380"/>
    <cellStyle name="Normal 3 3 3 10 5" xfId="34381"/>
    <cellStyle name="Normal 3 3 3 10 6" xfId="34382"/>
    <cellStyle name="Normal 3 3 3 11" xfId="34383"/>
    <cellStyle name="Normal 3 3 3 11 2" xfId="34384"/>
    <cellStyle name="Normal 3 3 3 11 3" xfId="34385"/>
    <cellStyle name="Normal 3 3 3 11 4" xfId="34386"/>
    <cellStyle name="Normal 3 3 3 11 5" xfId="34387"/>
    <cellStyle name="Normal 3 3 3 11 6" xfId="34388"/>
    <cellStyle name="Normal 3 3 3 12" xfId="34389"/>
    <cellStyle name="Normal 3 3 3 12 2" xfId="34390"/>
    <cellStyle name="Normal 3 3 3 12 3" xfId="34391"/>
    <cellStyle name="Normal 3 3 3 12 4" xfId="34392"/>
    <cellStyle name="Normal 3 3 3 12 5" xfId="34393"/>
    <cellStyle name="Normal 3 3 3 12 6" xfId="34394"/>
    <cellStyle name="Normal 3 3 3 13" xfId="34395"/>
    <cellStyle name="Normal 3 3 3 13 2" xfId="34396"/>
    <cellStyle name="Normal 3 3 3 13 3" xfId="34397"/>
    <cellStyle name="Normal 3 3 3 13 4" xfId="34398"/>
    <cellStyle name="Normal 3 3 3 13 5" xfId="34399"/>
    <cellStyle name="Normal 3 3 3 13 6" xfId="34400"/>
    <cellStyle name="Normal 3 3 3 14" xfId="34401"/>
    <cellStyle name="Normal 3 3 3 14 2" xfId="34402"/>
    <cellStyle name="Normal 3 3 3 14 3" xfId="34403"/>
    <cellStyle name="Normal 3 3 3 14 4" xfId="34404"/>
    <cellStyle name="Normal 3 3 3 14 5" xfId="34405"/>
    <cellStyle name="Normal 3 3 3 14 6" xfId="34406"/>
    <cellStyle name="Normal 3 3 3 15" xfId="34407"/>
    <cellStyle name="Normal 3 3 3 16" xfId="34408"/>
    <cellStyle name="Normal 3 3 3 17" xfId="34409"/>
    <cellStyle name="Normal 3 3 3 18" xfId="34410"/>
    <cellStyle name="Normal 3 3 3 19" xfId="34411"/>
    <cellStyle name="Normal 3 3 3 2" xfId="34412"/>
    <cellStyle name="Normal 3 3 3 2 2" xfId="34413"/>
    <cellStyle name="Normal 3 3 3 2 2 10" xfId="34414"/>
    <cellStyle name="Normal 3 3 3 2 2 11" xfId="34415"/>
    <cellStyle name="Normal 3 3 3 2 2 2" xfId="34416"/>
    <cellStyle name="Normal 3 3 3 2 2 2 2" xfId="34417"/>
    <cellStyle name="Normal 3 3 3 2 2 2 3" xfId="34418"/>
    <cellStyle name="Normal 3 3 3 2 2 2 4" xfId="34419"/>
    <cellStyle name="Normal 3 3 3 2 2 2 5" xfId="34420"/>
    <cellStyle name="Normal 3 3 3 2 2 2 6" xfId="34421"/>
    <cellStyle name="Normal 3 3 3 2 2 3" xfId="34422"/>
    <cellStyle name="Normal 3 3 3 2 2 3 2" xfId="34423"/>
    <cellStyle name="Normal 3 3 3 2 2 3 3" xfId="34424"/>
    <cellStyle name="Normal 3 3 3 2 2 3 4" xfId="34425"/>
    <cellStyle name="Normal 3 3 3 2 2 3 5" xfId="34426"/>
    <cellStyle name="Normal 3 3 3 2 2 3 6" xfId="34427"/>
    <cellStyle name="Normal 3 3 3 2 2 4" xfId="34428"/>
    <cellStyle name="Normal 3 3 3 2 2 4 2" xfId="34429"/>
    <cellStyle name="Normal 3 3 3 2 2 4 3" xfId="34430"/>
    <cellStyle name="Normal 3 3 3 2 2 4 4" xfId="34431"/>
    <cellStyle name="Normal 3 3 3 2 2 4 5" xfId="34432"/>
    <cellStyle name="Normal 3 3 3 2 2 4 6" xfId="34433"/>
    <cellStyle name="Normal 3 3 3 2 2 5" xfId="34434"/>
    <cellStyle name="Normal 3 3 3 2 2 5 2" xfId="34435"/>
    <cellStyle name="Normal 3 3 3 2 2 5 3" xfId="34436"/>
    <cellStyle name="Normal 3 3 3 2 2 5 4" xfId="34437"/>
    <cellStyle name="Normal 3 3 3 2 2 5 5" xfId="34438"/>
    <cellStyle name="Normal 3 3 3 2 2 5 6" xfId="34439"/>
    <cellStyle name="Normal 3 3 3 2 2 6" xfId="34440"/>
    <cellStyle name="Normal 3 3 3 2 2 6 2" xfId="34441"/>
    <cellStyle name="Normal 3 3 3 2 2 6 3" xfId="34442"/>
    <cellStyle name="Normal 3 3 3 2 2 6 4" xfId="34443"/>
    <cellStyle name="Normal 3 3 3 2 2 6 5" xfId="34444"/>
    <cellStyle name="Normal 3 3 3 2 2 6 6" xfId="34445"/>
    <cellStyle name="Normal 3 3 3 2 2 7" xfId="34446"/>
    <cellStyle name="Normal 3 3 3 2 2 8" xfId="34447"/>
    <cellStyle name="Normal 3 3 3 2 2 9" xfId="34448"/>
    <cellStyle name="Normal 3 3 3 2 3" xfId="34449"/>
    <cellStyle name="Normal 3 3 3 2 3 10" xfId="34450"/>
    <cellStyle name="Normal 3 3 3 2 3 11" xfId="34451"/>
    <cellStyle name="Normal 3 3 3 2 3 2" xfId="34452"/>
    <cellStyle name="Normal 3 3 3 2 3 2 2" xfId="34453"/>
    <cellStyle name="Normal 3 3 3 2 3 2 3" xfId="34454"/>
    <cellStyle name="Normal 3 3 3 2 3 2 4" xfId="34455"/>
    <cellStyle name="Normal 3 3 3 2 3 2 5" xfId="34456"/>
    <cellStyle name="Normal 3 3 3 2 3 2 6" xfId="34457"/>
    <cellStyle name="Normal 3 3 3 2 3 3" xfId="34458"/>
    <cellStyle name="Normal 3 3 3 2 3 3 2" xfId="34459"/>
    <cellStyle name="Normal 3 3 3 2 3 3 3" xfId="34460"/>
    <cellStyle name="Normal 3 3 3 2 3 3 4" xfId="34461"/>
    <cellStyle name="Normal 3 3 3 2 3 3 5" xfId="34462"/>
    <cellStyle name="Normal 3 3 3 2 3 3 6" xfId="34463"/>
    <cellStyle name="Normal 3 3 3 2 3 4" xfId="34464"/>
    <cellStyle name="Normal 3 3 3 2 3 4 2" xfId="34465"/>
    <cellStyle name="Normal 3 3 3 2 3 4 3" xfId="34466"/>
    <cellStyle name="Normal 3 3 3 2 3 4 4" xfId="34467"/>
    <cellStyle name="Normal 3 3 3 2 3 4 5" xfId="34468"/>
    <cellStyle name="Normal 3 3 3 2 3 4 6" xfId="34469"/>
    <cellStyle name="Normal 3 3 3 2 3 5" xfId="34470"/>
    <cellStyle name="Normal 3 3 3 2 3 5 2" xfId="34471"/>
    <cellStyle name="Normal 3 3 3 2 3 5 3" xfId="34472"/>
    <cellStyle name="Normal 3 3 3 2 3 5 4" xfId="34473"/>
    <cellStyle name="Normal 3 3 3 2 3 5 5" xfId="34474"/>
    <cellStyle name="Normal 3 3 3 2 3 5 6" xfId="34475"/>
    <cellStyle name="Normal 3 3 3 2 3 6" xfId="34476"/>
    <cellStyle name="Normal 3 3 3 2 3 6 2" xfId="34477"/>
    <cellStyle name="Normal 3 3 3 2 3 6 3" xfId="34478"/>
    <cellStyle name="Normal 3 3 3 2 3 6 4" xfId="34479"/>
    <cellStyle name="Normal 3 3 3 2 3 6 5" xfId="34480"/>
    <cellStyle name="Normal 3 3 3 2 3 6 6" xfId="34481"/>
    <cellStyle name="Normal 3 3 3 2 3 7" xfId="34482"/>
    <cellStyle name="Normal 3 3 3 2 3 8" xfId="34483"/>
    <cellStyle name="Normal 3 3 3 2 3 9" xfId="34484"/>
    <cellStyle name="Normal 3 3 3 2 4" xfId="34485"/>
    <cellStyle name="Normal 3 3 3 2 4 10" xfId="34486"/>
    <cellStyle name="Normal 3 3 3 2 4 11" xfId="34487"/>
    <cellStyle name="Normal 3 3 3 2 4 2" xfId="34488"/>
    <cellStyle name="Normal 3 3 3 2 4 2 2" xfId="34489"/>
    <cellStyle name="Normal 3 3 3 2 4 2 3" xfId="34490"/>
    <cellStyle name="Normal 3 3 3 2 4 2 4" xfId="34491"/>
    <cellStyle name="Normal 3 3 3 2 4 2 5" xfId="34492"/>
    <cellStyle name="Normal 3 3 3 2 4 2 6" xfId="34493"/>
    <cellStyle name="Normal 3 3 3 2 4 3" xfId="34494"/>
    <cellStyle name="Normal 3 3 3 2 4 3 2" xfId="34495"/>
    <cellStyle name="Normal 3 3 3 2 4 3 3" xfId="34496"/>
    <cellStyle name="Normal 3 3 3 2 4 3 4" xfId="34497"/>
    <cellStyle name="Normal 3 3 3 2 4 3 5" xfId="34498"/>
    <cellStyle name="Normal 3 3 3 2 4 3 6" xfId="34499"/>
    <cellStyle name="Normal 3 3 3 2 4 4" xfId="34500"/>
    <cellStyle name="Normal 3 3 3 2 4 4 2" xfId="34501"/>
    <cellStyle name="Normal 3 3 3 2 4 4 3" xfId="34502"/>
    <cellStyle name="Normal 3 3 3 2 4 4 4" xfId="34503"/>
    <cellStyle name="Normal 3 3 3 2 4 4 5" xfId="34504"/>
    <cellStyle name="Normal 3 3 3 2 4 4 6" xfId="34505"/>
    <cellStyle name="Normal 3 3 3 2 4 5" xfId="34506"/>
    <cellStyle name="Normal 3 3 3 2 4 5 2" xfId="34507"/>
    <cellStyle name="Normal 3 3 3 2 4 5 3" xfId="34508"/>
    <cellStyle name="Normal 3 3 3 2 4 5 4" xfId="34509"/>
    <cellStyle name="Normal 3 3 3 2 4 5 5" xfId="34510"/>
    <cellStyle name="Normal 3 3 3 2 4 5 6" xfId="34511"/>
    <cellStyle name="Normal 3 3 3 2 4 6" xfId="34512"/>
    <cellStyle name="Normal 3 3 3 2 4 6 2" xfId="34513"/>
    <cellStyle name="Normal 3 3 3 2 4 6 3" xfId="34514"/>
    <cellStyle name="Normal 3 3 3 2 4 6 4" xfId="34515"/>
    <cellStyle name="Normal 3 3 3 2 4 6 5" xfId="34516"/>
    <cellStyle name="Normal 3 3 3 2 4 6 6" xfId="34517"/>
    <cellStyle name="Normal 3 3 3 2 4 7" xfId="34518"/>
    <cellStyle name="Normal 3 3 3 2 4 8" xfId="34519"/>
    <cellStyle name="Normal 3 3 3 2 4 9" xfId="34520"/>
    <cellStyle name="Normal 3 3 3 2 5" xfId="34521"/>
    <cellStyle name="Normal 3 3 3 2 5 10" xfId="34522"/>
    <cellStyle name="Normal 3 3 3 2 5 11" xfId="34523"/>
    <cellStyle name="Normal 3 3 3 2 5 2" xfId="34524"/>
    <cellStyle name="Normal 3 3 3 2 5 2 2" xfId="34525"/>
    <cellStyle name="Normal 3 3 3 2 5 2 3" xfId="34526"/>
    <cellStyle name="Normal 3 3 3 2 5 2 4" xfId="34527"/>
    <cellStyle name="Normal 3 3 3 2 5 2 5" xfId="34528"/>
    <cellStyle name="Normal 3 3 3 2 5 2 6" xfId="34529"/>
    <cellStyle name="Normal 3 3 3 2 5 3" xfId="34530"/>
    <cellStyle name="Normal 3 3 3 2 5 3 2" xfId="34531"/>
    <cellStyle name="Normal 3 3 3 2 5 3 3" xfId="34532"/>
    <cellStyle name="Normal 3 3 3 2 5 3 4" xfId="34533"/>
    <cellStyle name="Normal 3 3 3 2 5 3 5" xfId="34534"/>
    <cellStyle name="Normal 3 3 3 2 5 3 6" xfId="34535"/>
    <cellStyle name="Normal 3 3 3 2 5 4" xfId="34536"/>
    <cellStyle name="Normal 3 3 3 2 5 4 2" xfId="34537"/>
    <cellStyle name="Normal 3 3 3 2 5 4 3" xfId="34538"/>
    <cellStyle name="Normal 3 3 3 2 5 4 4" xfId="34539"/>
    <cellStyle name="Normal 3 3 3 2 5 4 5" xfId="34540"/>
    <cellStyle name="Normal 3 3 3 2 5 4 6" xfId="34541"/>
    <cellStyle name="Normal 3 3 3 2 5 5" xfId="34542"/>
    <cellStyle name="Normal 3 3 3 2 5 5 2" xfId="34543"/>
    <cellStyle name="Normal 3 3 3 2 5 5 3" xfId="34544"/>
    <cellStyle name="Normal 3 3 3 2 5 5 4" xfId="34545"/>
    <cellStyle name="Normal 3 3 3 2 5 5 5" xfId="34546"/>
    <cellStyle name="Normal 3 3 3 2 5 5 6" xfId="34547"/>
    <cellStyle name="Normal 3 3 3 2 5 6" xfId="34548"/>
    <cellStyle name="Normal 3 3 3 2 5 6 2" xfId="34549"/>
    <cellStyle name="Normal 3 3 3 2 5 6 3" xfId="34550"/>
    <cellStyle name="Normal 3 3 3 2 5 6 4" xfId="34551"/>
    <cellStyle name="Normal 3 3 3 2 5 6 5" xfId="34552"/>
    <cellStyle name="Normal 3 3 3 2 5 6 6" xfId="34553"/>
    <cellStyle name="Normal 3 3 3 2 5 7" xfId="34554"/>
    <cellStyle name="Normal 3 3 3 2 5 8" xfId="34555"/>
    <cellStyle name="Normal 3 3 3 2 5 9" xfId="34556"/>
    <cellStyle name="Normal 3 3 3 2 6" xfId="34557"/>
    <cellStyle name="Normal 3 3 3 2 6 10" xfId="34558"/>
    <cellStyle name="Normal 3 3 3 2 6 11" xfId="34559"/>
    <cellStyle name="Normal 3 3 3 2 6 2" xfId="34560"/>
    <cellStyle name="Normal 3 3 3 2 6 2 2" xfId="34561"/>
    <cellStyle name="Normal 3 3 3 2 6 2 3" xfId="34562"/>
    <cellStyle name="Normal 3 3 3 2 6 2 4" xfId="34563"/>
    <cellStyle name="Normal 3 3 3 2 6 2 5" xfId="34564"/>
    <cellStyle name="Normal 3 3 3 2 6 2 6" xfId="34565"/>
    <cellStyle name="Normal 3 3 3 2 6 3" xfId="34566"/>
    <cellStyle name="Normal 3 3 3 2 6 3 2" xfId="34567"/>
    <cellStyle name="Normal 3 3 3 2 6 3 3" xfId="34568"/>
    <cellStyle name="Normal 3 3 3 2 6 3 4" xfId="34569"/>
    <cellStyle name="Normal 3 3 3 2 6 3 5" xfId="34570"/>
    <cellStyle name="Normal 3 3 3 2 6 3 6" xfId="34571"/>
    <cellStyle name="Normal 3 3 3 2 6 4" xfId="34572"/>
    <cellStyle name="Normal 3 3 3 2 6 4 2" xfId="34573"/>
    <cellStyle name="Normal 3 3 3 2 6 4 3" xfId="34574"/>
    <cellStyle name="Normal 3 3 3 2 6 4 4" xfId="34575"/>
    <cellStyle name="Normal 3 3 3 2 6 4 5" xfId="34576"/>
    <cellStyle name="Normal 3 3 3 2 6 4 6" xfId="34577"/>
    <cellStyle name="Normal 3 3 3 2 6 5" xfId="34578"/>
    <cellStyle name="Normal 3 3 3 2 6 5 2" xfId="34579"/>
    <cellStyle name="Normal 3 3 3 2 6 5 3" xfId="34580"/>
    <cellStyle name="Normal 3 3 3 2 6 5 4" xfId="34581"/>
    <cellStyle name="Normal 3 3 3 2 6 5 5" xfId="34582"/>
    <cellStyle name="Normal 3 3 3 2 6 5 6" xfId="34583"/>
    <cellStyle name="Normal 3 3 3 2 6 6" xfId="34584"/>
    <cellStyle name="Normal 3 3 3 2 6 6 2" xfId="34585"/>
    <cellStyle name="Normal 3 3 3 2 6 6 3" xfId="34586"/>
    <cellStyle name="Normal 3 3 3 2 6 6 4" xfId="34587"/>
    <cellStyle name="Normal 3 3 3 2 6 6 5" xfId="34588"/>
    <cellStyle name="Normal 3 3 3 2 6 6 6" xfId="34589"/>
    <cellStyle name="Normal 3 3 3 2 6 7" xfId="34590"/>
    <cellStyle name="Normal 3 3 3 2 6 8" xfId="34591"/>
    <cellStyle name="Normal 3 3 3 2 6 9" xfId="34592"/>
    <cellStyle name="Normal 3 3 3 2 7" xfId="34593"/>
    <cellStyle name="Normal 3 3 3 2 7 10" xfId="34594"/>
    <cellStyle name="Normal 3 3 3 2 7 11" xfId="34595"/>
    <cellStyle name="Normal 3 3 3 2 7 2" xfId="34596"/>
    <cellStyle name="Normal 3 3 3 2 7 2 2" xfId="34597"/>
    <cellStyle name="Normal 3 3 3 2 7 2 3" xfId="34598"/>
    <cellStyle name="Normal 3 3 3 2 7 2 4" xfId="34599"/>
    <cellStyle name="Normal 3 3 3 2 7 2 5" xfId="34600"/>
    <cellStyle name="Normal 3 3 3 2 7 2 6" xfId="34601"/>
    <cellStyle name="Normal 3 3 3 2 7 3" xfId="34602"/>
    <cellStyle name="Normal 3 3 3 2 7 3 2" xfId="34603"/>
    <cellStyle name="Normal 3 3 3 2 7 3 3" xfId="34604"/>
    <cellStyle name="Normal 3 3 3 2 7 3 4" xfId="34605"/>
    <cellStyle name="Normal 3 3 3 2 7 3 5" xfId="34606"/>
    <cellStyle name="Normal 3 3 3 2 7 3 6" xfId="34607"/>
    <cellStyle name="Normal 3 3 3 2 7 4" xfId="34608"/>
    <cellStyle name="Normal 3 3 3 2 7 4 2" xfId="34609"/>
    <cellStyle name="Normal 3 3 3 2 7 4 3" xfId="34610"/>
    <cellStyle name="Normal 3 3 3 2 7 4 4" xfId="34611"/>
    <cellStyle name="Normal 3 3 3 2 7 4 5" xfId="34612"/>
    <cellStyle name="Normal 3 3 3 2 7 4 6" xfId="34613"/>
    <cellStyle name="Normal 3 3 3 2 7 5" xfId="34614"/>
    <cellStyle name="Normal 3 3 3 2 7 5 2" xfId="34615"/>
    <cellStyle name="Normal 3 3 3 2 7 5 3" xfId="34616"/>
    <cellStyle name="Normal 3 3 3 2 7 5 4" xfId="34617"/>
    <cellStyle name="Normal 3 3 3 2 7 5 5" xfId="34618"/>
    <cellStyle name="Normal 3 3 3 2 7 5 6" xfId="34619"/>
    <cellStyle name="Normal 3 3 3 2 7 6" xfId="34620"/>
    <cellStyle name="Normal 3 3 3 2 7 6 2" xfId="34621"/>
    <cellStyle name="Normal 3 3 3 2 7 6 3" xfId="34622"/>
    <cellStyle name="Normal 3 3 3 2 7 6 4" xfId="34623"/>
    <cellStyle name="Normal 3 3 3 2 7 6 5" xfId="34624"/>
    <cellStyle name="Normal 3 3 3 2 7 6 6" xfId="34625"/>
    <cellStyle name="Normal 3 3 3 2 7 7" xfId="34626"/>
    <cellStyle name="Normal 3 3 3 2 7 8" xfId="34627"/>
    <cellStyle name="Normal 3 3 3 2 7 9" xfId="34628"/>
    <cellStyle name="Normal 3 3 3 2 8" xfId="34629"/>
    <cellStyle name="Normal 3 3 3 2 8 10" xfId="34630"/>
    <cellStyle name="Normal 3 3 3 2 8 11" xfId="34631"/>
    <cellStyle name="Normal 3 3 3 2 8 2" xfId="34632"/>
    <cellStyle name="Normal 3 3 3 2 8 2 2" xfId="34633"/>
    <cellStyle name="Normal 3 3 3 2 8 2 3" xfId="34634"/>
    <cellStyle name="Normal 3 3 3 2 8 2 4" xfId="34635"/>
    <cellStyle name="Normal 3 3 3 2 8 2 5" xfId="34636"/>
    <cellStyle name="Normal 3 3 3 2 8 2 6" xfId="34637"/>
    <cellStyle name="Normal 3 3 3 2 8 3" xfId="34638"/>
    <cellStyle name="Normal 3 3 3 2 8 3 2" xfId="34639"/>
    <cellStyle name="Normal 3 3 3 2 8 3 3" xfId="34640"/>
    <cellStyle name="Normal 3 3 3 2 8 3 4" xfId="34641"/>
    <cellStyle name="Normal 3 3 3 2 8 3 5" xfId="34642"/>
    <cellStyle name="Normal 3 3 3 2 8 3 6" xfId="34643"/>
    <cellStyle name="Normal 3 3 3 2 8 4" xfId="34644"/>
    <cellStyle name="Normal 3 3 3 2 8 4 2" xfId="34645"/>
    <cellStyle name="Normal 3 3 3 2 8 4 3" xfId="34646"/>
    <cellStyle name="Normal 3 3 3 2 8 4 4" xfId="34647"/>
    <cellStyle name="Normal 3 3 3 2 8 4 5" xfId="34648"/>
    <cellStyle name="Normal 3 3 3 2 8 4 6" xfId="34649"/>
    <cellStyle name="Normal 3 3 3 2 8 5" xfId="34650"/>
    <cellStyle name="Normal 3 3 3 2 8 5 2" xfId="34651"/>
    <cellStyle name="Normal 3 3 3 2 8 5 3" xfId="34652"/>
    <cellStyle name="Normal 3 3 3 2 8 5 4" xfId="34653"/>
    <cellStyle name="Normal 3 3 3 2 8 5 5" xfId="34654"/>
    <cellStyle name="Normal 3 3 3 2 8 5 6" xfId="34655"/>
    <cellStyle name="Normal 3 3 3 2 8 6" xfId="34656"/>
    <cellStyle name="Normal 3 3 3 2 8 6 2" xfId="34657"/>
    <cellStyle name="Normal 3 3 3 2 8 6 3" xfId="34658"/>
    <cellStyle name="Normal 3 3 3 2 8 6 4" xfId="34659"/>
    <cellStyle name="Normal 3 3 3 2 8 6 5" xfId="34660"/>
    <cellStyle name="Normal 3 3 3 2 8 6 6" xfId="34661"/>
    <cellStyle name="Normal 3 3 3 2 8 7" xfId="34662"/>
    <cellStyle name="Normal 3 3 3 2 8 8" xfId="34663"/>
    <cellStyle name="Normal 3 3 3 2 8 9" xfId="34664"/>
    <cellStyle name="Normal 3 3 3 2 9" xfId="34665"/>
    <cellStyle name="Normal 3 3 3 2 9 10" xfId="34666"/>
    <cellStyle name="Normal 3 3 3 2 9 11" xfId="34667"/>
    <cellStyle name="Normal 3 3 3 2 9 2" xfId="34668"/>
    <cellStyle name="Normal 3 3 3 2 9 2 2" xfId="34669"/>
    <cellStyle name="Normal 3 3 3 2 9 2 3" xfId="34670"/>
    <cellStyle name="Normal 3 3 3 2 9 2 4" xfId="34671"/>
    <cellStyle name="Normal 3 3 3 2 9 2 5" xfId="34672"/>
    <cellStyle name="Normal 3 3 3 2 9 2 6" xfId="34673"/>
    <cellStyle name="Normal 3 3 3 2 9 3" xfId="34674"/>
    <cellStyle name="Normal 3 3 3 2 9 3 2" xfId="34675"/>
    <cellStyle name="Normal 3 3 3 2 9 3 3" xfId="34676"/>
    <cellStyle name="Normal 3 3 3 2 9 3 4" xfId="34677"/>
    <cellStyle name="Normal 3 3 3 2 9 3 5" xfId="34678"/>
    <cellStyle name="Normal 3 3 3 2 9 3 6" xfId="34679"/>
    <cellStyle name="Normal 3 3 3 2 9 4" xfId="34680"/>
    <cellStyle name="Normal 3 3 3 2 9 4 2" xfId="34681"/>
    <cellStyle name="Normal 3 3 3 2 9 4 3" xfId="34682"/>
    <cellStyle name="Normal 3 3 3 2 9 4 4" xfId="34683"/>
    <cellStyle name="Normal 3 3 3 2 9 4 5" xfId="34684"/>
    <cellStyle name="Normal 3 3 3 2 9 4 6" xfId="34685"/>
    <cellStyle name="Normal 3 3 3 2 9 5" xfId="34686"/>
    <cellStyle name="Normal 3 3 3 2 9 5 2" xfId="34687"/>
    <cellStyle name="Normal 3 3 3 2 9 5 3" xfId="34688"/>
    <cellStyle name="Normal 3 3 3 2 9 5 4" xfId="34689"/>
    <cellStyle name="Normal 3 3 3 2 9 5 5" xfId="34690"/>
    <cellStyle name="Normal 3 3 3 2 9 5 6" xfId="34691"/>
    <cellStyle name="Normal 3 3 3 2 9 6" xfId="34692"/>
    <cellStyle name="Normal 3 3 3 2 9 6 2" xfId="34693"/>
    <cellStyle name="Normal 3 3 3 2 9 6 3" xfId="34694"/>
    <cellStyle name="Normal 3 3 3 2 9 6 4" xfId="34695"/>
    <cellStyle name="Normal 3 3 3 2 9 6 5" xfId="34696"/>
    <cellStyle name="Normal 3 3 3 2 9 6 6" xfId="34697"/>
    <cellStyle name="Normal 3 3 3 2 9 7" xfId="34698"/>
    <cellStyle name="Normal 3 3 3 2 9 8" xfId="34699"/>
    <cellStyle name="Normal 3 3 3 2 9 9" xfId="34700"/>
    <cellStyle name="Normal 3 3 3 3" xfId="34701"/>
    <cellStyle name="Normal 3 3 3 4" xfId="34702"/>
    <cellStyle name="Normal 3 3 3 5" xfId="34703"/>
    <cellStyle name="Normal 3 3 3 6" xfId="34704"/>
    <cellStyle name="Normal 3 3 3 7" xfId="34705"/>
    <cellStyle name="Normal 3 3 3 8" xfId="34706"/>
    <cellStyle name="Normal 3 3 3 9" xfId="34707"/>
    <cellStyle name="Normal 3 3 4" xfId="34708"/>
    <cellStyle name="Normal 3 3 4 10" xfId="34709"/>
    <cellStyle name="Normal 3 3 4 11" xfId="34710"/>
    <cellStyle name="Normal 3 3 4 2" xfId="34711"/>
    <cellStyle name="Normal 3 3 4 2 2" xfId="34712"/>
    <cellStyle name="Normal 3 3 4 2 3" xfId="34713"/>
    <cellStyle name="Normal 3 3 4 2 4" xfId="34714"/>
    <cellStyle name="Normal 3 3 4 2 5" xfId="34715"/>
    <cellStyle name="Normal 3 3 4 2 6" xfId="34716"/>
    <cellStyle name="Normal 3 3 4 3" xfId="34717"/>
    <cellStyle name="Normal 3 3 4 3 2" xfId="34718"/>
    <cellStyle name="Normal 3 3 4 3 3" xfId="34719"/>
    <cellStyle name="Normal 3 3 4 3 4" xfId="34720"/>
    <cellStyle name="Normal 3 3 4 3 5" xfId="34721"/>
    <cellStyle name="Normal 3 3 4 3 6" xfId="34722"/>
    <cellStyle name="Normal 3 3 4 4" xfId="34723"/>
    <cellStyle name="Normal 3 3 4 4 2" xfId="34724"/>
    <cellStyle name="Normal 3 3 4 4 3" xfId="34725"/>
    <cellStyle name="Normal 3 3 4 4 4" xfId="34726"/>
    <cellStyle name="Normal 3 3 4 4 5" xfId="34727"/>
    <cellStyle name="Normal 3 3 4 4 6" xfId="34728"/>
    <cellStyle name="Normal 3 3 4 5" xfId="34729"/>
    <cellStyle name="Normal 3 3 4 5 2" xfId="34730"/>
    <cellStyle name="Normal 3 3 4 5 3" xfId="34731"/>
    <cellStyle name="Normal 3 3 4 5 4" xfId="34732"/>
    <cellStyle name="Normal 3 3 4 5 5" xfId="34733"/>
    <cellStyle name="Normal 3 3 4 5 6" xfId="34734"/>
    <cellStyle name="Normal 3 3 4 6" xfId="34735"/>
    <cellStyle name="Normal 3 3 4 6 2" xfId="34736"/>
    <cellStyle name="Normal 3 3 4 6 3" xfId="34737"/>
    <cellStyle name="Normal 3 3 4 6 4" xfId="34738"/>
    <cellStyle name="Normal 3 3 4 6 5" xfId="34739"/>
    <cellStyle name="Normal 3 3 4 6 6" xfId="34740"/>
    <cellStyle name="Normal 3 3 4 7" xfId="34741"/>
    <cellStyle name="Normal 3 3 4 8" xfId="34742"/>
    <cellStyle name="Normal 3 3 4 9" xfId="34743"/>
    <cellStyle name="Normal 3 3 5" xfId="34744"/>
    <cellStyle name="Normal 3 3 5 10" xfId="34745"/>
    <cellStyle name="Normal 3 3 5 11" xfId="34746"/>
    <cellStyle name="Normal 3 3 5 2" xfId="34747"/>
    <cellStyle name="Normal 3 3 5 2 2" xfId="34748"/>
    <cellStyle name="Normal 3 3 5 2 3" xfId="34749"/>
    <cellStyle name="Normal 3 3 5 2 4" xfId="34750"/>
    <cellStyle name="Normal 3 3 5 2 5" xfId="34751"/>
    <cellStyle name="Normal 3 3 5 2 6" xfId="34752"/>
    <cellStyle name="Normal 3 3 5 3" xfId="34753"/>
    <cellStyle name="Normal 3 3 5 3 2" xfId="34754"/>
    <cellStyle name="Normal 3 3 5 3 3" xfId="34755"/>
    <cellStyle name="Normal 3 3 5 3 4" xfId="34756"/>
    <cellStyle name="Normal 3 3 5 3 5" xfId="34757"/>
    <cellStyle name="Normal 3 3 5 3 6" xfId="34758"/>
    <cellStyle name="Normal 3 3 5 4" xfId="34759"/>
    <cellStyle name="Normal 3 3 5 4 2" xfId="34760"/>
    <cellStyle name="Normal 3 3 5 4 3" xfId="34761"/>
    <cellStyle name="Normal 3 3 5 4 4" xfId="34762"/>
    <cellStyle name="Normal 3 3 5 4 5" xfId="34763"/>
    <cellStyle name="Normal 3 3 5 4 6" xfId="34764"/>
    <cellStyle name="Normal 3 3 5 5" xfId="34765"/>
    <cellStyle name="Normal 3 3 5 5 2" xfId="34766"/>
    <cellStyle name="Normal 3 3 5 5 3" xfId="34767"/>
    <cellStyle name="Normal 3 3 5 5 4" xfId="34768"/>
    <cellStyle name="Normal 3 3 5 5 5" xfId="34769"/>
    <cellStyle name="Normal 3 3 5 5 6" xfId="34770"/>
    <cellStyle name="Normal 3 3 5 6" xfId="34771"/>
    <cellStyle name="Normal 3 3 5 6 2" xfId="34772"/>
    <cellStyle name="Normal 3 3 5 6 3" xfId="34773"/>
    <cellStyle name="Normal 3 3 5 6 4" xfId="34774"/>
    <cellStyle name="Normal 3 3 5 6 5" xfId="34775"/>
    <cellStyle name="Normal 3 3 5 6 6" xfId="34776"/>
    <cellStyle name="Normal 3 3 5 7" xfId="34777"/>
    <cellStyle name="Normal 3 3 5 8" xfId="34778"/>
    <cellStyle name="Normal 3 3 5 9" xfId="34779"/>
    <cellStyle name="Normal 3 3 6" xfId="34780"/>
    <cellStyle name="Normal 3 3 6 10" xfId="34781"/>
    <cellStyle name="Normal 3 3 6 11" xfId="34782"/>
    <cellStyle name="Normal 3 3 6 2" xfId="34783"/>
    <cellStyle name="Normal 3 3 6 2 2" xfId="34784"/>
    <cellStyle name="Normal 3 3 6 2 3" xfId="34785"/>
    <cellStyle name="Normal 3 3 6 2 4" xfId="34786"/>
    <cellStyle name="Normal 3 3 6 2 5" xfId="34787"/>
    <cellStyle name="Normal 3 3 6 2 6" xfId="34788"/>
    <cellStyle name="Normal 3 3 6 3" xfId="34789"/>
    <cellStyle name="Normal 3 3 6 3 2" xfId="34790"/>
    <cellStyle name="Normal 3 3 6 3 3" xfId="34791"/>
    <cellStyle name="Normal 3 3 6 3 4" xfId="34792"/>
    <cellStyle name="Normal 3 3 6 3 5" xfId="34793"/>
    <cellStyle name="Normal 3 3 6 3 6" xfId="34794"/>
    <cellStyle name="Normal 3 3 6 4" xfId="34795"/>
    <cellStyle name="Normal 3 3 6 4 2" xfId="34796"/>
    <cellStyle name="Normal 3 3 6 4 3" xfId="34797"/>
    <cellStyle name="Normal 3 3 6 4 4" xfId="34798"/>
    <cellStyle name="Normal 3 3 6 4 5" xfId="34799"/>
    <cellStyle name="Normal 3 3 6 4 6" xfId="34800"/>
    <cellStyle name="Normal 3 3 6 5" xfId="34801"/>
    <cellStyle name="Normal 3 3 6 5 2" xfId="34802"/>
    <cellStyle name="Normal 3 3 6 5 3" xfId="34803"/>
    <cellStyle name="Normal 3 3 6 5 4" xfId="34804"/>
    <cellStyle name="Normal 3 3 6 5 5" xfId="34805"/>
    <cellStyle name="Normal 3 3 6 5 6" xfId="34806"/>
    <cellStyle name="Normal 3 3 6 6" xfId="34807"/>
    <cellStyle name="Normal 3 3 6 6 2" xfId="34808"/>
    <cellStyle name="Normal 3 3 6 6 3" xfId="34809"/>
    <cellStyle name="Normal 3 3 6 6 4" xfId="34810"/>
    <cellStyle name="Normal 3 3 6 6 5" xfId="34811"/>
    <cellStyle name="Normal 3 3 6 6 6" xfId="34812"/>
    <cellStyle name="Normal 3 3 6 7" xfId="34813"/>
    <cellStyle name="Normal 3 3 6 8" xfId="34814"/>
    <cellStyle name="Normal 3 3 6 9" xfId="34815"/>
    <cellStyle name="Normal 3 3 7" xfId="34816"/>
    <cellStyle name="Normal 3 3 7 10" xfId="34817"/>
    <cellStyle name="Normal 3 3 7 11" xfId="34818"/>
    <cellStyle name="Normal 3 3 7 2" xfId="34819"/>
    <cellStyle name="Normal 3 3 7 2 2" xfId="34820"/>
    <cellStyle name="Normal 3 3 7 2 3" xfId="34821"/>
    <cellStyle name="Normal 3 3 7 2 4" xfId="34822"/>
    <cellStyle name="Normal 3 3 7 2 5" xfId="34823"/>
    <cellStyle name="Normal 3 3 7 2 6" xfId="34824"/>
    <cellStyle name="Normal 3 3 7 3" xfId="34825"/>
    <cellStyle name="Normal 3 3 7 3 2" xfId="34826"/>
    <cellStyle name="Normal 3 3 7 3 3" xfId="34827"/>
    <cellStyle name="Normal 3 3 7 3 4" xfId="34828"/>
    <cellStyle name="Normal 3 3 7 3 5" xfId="34829"/>
    <cellStyle name="Normal 3 3 7 3 6" xfId="34830"/>
    <cellStyle name="Normal 3 3 7 4" xfId="34831"/>
    <cellStyle name="Normal 3 3 7 4 2" xfId="34832"/>
    <cellStyle name="Normal 3 3 7 4 3" xfId="34833"/>
    <cellStyle name="Normal 3 3 7 4 4" xfId="34834"/>
    <cellStyle name="Normal 3 3 7 4 5" xfId="34835"/>
    <cellStyle name="Normal 3 3 7 4 6" xfId="34836"/>
    <cellStyle name="Normal 3 3 7 5" xfId="34837"/>
    <cellStyle name="Normal 3 3 7 5 2" xfId="34838"/>
    <cellStyle name="Normal 3 3 7 5 3" xfId="34839"/>
    <cellStyle name="Normal 3 3 7 5 4" xfId="34840"/>
    <cellStyle name="Normal 3 3 7 5 5" xfId="34841"/>
    <cellStyle name="Normal 3 3 7 5 6" xfId="34842"/>
    <cellStyle name="Normal 3 3 7 6" xfId="34843"/>
    <cellStyle name="Normal 3 3 7 6 2" xfId="34844"/>
    <cellStyle name="Normal 3 3 7 6 3" xfId="34845"/>
    <cellStyle name="Normal 3 3 7 6 4" xfId="34846"/>
    <cellStyle name="Normal 3 3 7 6 5" xfId="34847"/>
    <cellStyle name="Normal 3 3 7 6 6" xfId="34848"/>
    <cellStyle name="Normal 3 3 7 7" xfId="34849"/>
    <cellStyle name="Normal 3 3 7 8" xfId="34850"/>
    <cellStyle name="Normal 3 3 7 9" xfId="34851"/>
    <cellStyle name="Normal 3 3 8" xfId="34852"/>
    <cellStyle name="Normal 3 3 8 10" xfId="34853"/>
    <cellStyle name="Normal 3 3 8 11" xfId="34854"/>
    <cellStyle name="Normal 3 3 8 2" xfId="34855"/>
    <cellStyle name="Normal 3 3 8 2 2" xfId="34856"/>
    <cellStyle name="Normal 3 3 8 2 3" xfId="34857"/>
    <cellStyle name="Normal 3 3 8 2 4" xfId="34858"/>
    <cellStyle name="Normal 3 3 8 2 5" xfId="34859"/>
    <cellStyle name="Normal 3 3 8 2 6" xfId="34860"/>
    <cellStyle name="Normal 3 3 8 3" xfId="34861"/>
    <cellStyle name="Normal 3 3 8 3 2" xfId="34862"/>
    <cellStyle name="Normal 3 3 8 3 3" xfId="34863"/>
    <cellStyle name="Normal 3 3 8 3 4" xfId="34864"/>
    <cellStyle name="Normal 3 3 8 3 5" xfId="34865"/>
    <cellStyle name="Normal 3 3 8 3 6" xfId="34866"/>
    <cellStyle name="Normal 3 3 8 4" xfId="34867"/>
    <cellStyle name="Normal 3 3 8 4 2" xfId="34868"/>
    <cellStyle name="Normal 3 3 8 4 3" xfId="34869"/>
    <cellStyle name="Normal 3 3 8 4 4" xfId="34870"/>
    <cellStyle name="Normal 3 3 8 4 5" xfId="34871"/>
    <cellStyle name="Normal 3 3 8 4 6" xfId="34872"/>
    <cellStyle name="Normal 3 3 8 5" xfId="34873"/>
    <cellStyle name="Normal 3 3 8 5 2" xfId="34874"/>
    <cellStyle name="Normal 3 3 8 5 3" xfId="34875"/>
    <cellStyle name="Normal 3 3 8 5 4" xfId="34876"/>
    <cellStyle name="Normal 3 3 8 5 5" xfId="34877"/>
    <cellStyle name="Normal 3 3 8 5 6" xfId="34878"/>
    <cellStyle name="Normal 3 3 8 6" xfId="34879"/>
    <cellStyle name="Normal 3 3 8 6 2" xfId="34880"/>
    <cellStyle name="Normal 3 3 8 6 3" xfId="34881"/>
    <cellStyle name="Normal 3 3 8 6 4" xfId="34882"/>
    <cellStyle name="Normal 3 3 8 6 5" xfId="34883"/>
    <cellStyle name="Normal 3 3 8 6 6" xfId="34884"/>
    <cellStyle name="Normal 3 3 8 7" xfId="34885"/>
    <cellStyle name="Normal 3 3 8 8" xfId="34886"/>
    <cellStyle name="Normal 3 3 8 9" xfId="34887"/>
    <cellStyle name="Normal 3 3 9" xfId="34888"/>
    <cellStyle name="Normal 3 3 9 10" xfId="34889"/>
    <cellStyle name="Normal 3 3 9 11" xfId="34890"/>
    <cellStyle name="Normal 3 3 9 2" xfId="34891"/>
    <cellStyle name="Normal 3 3 9 2 2" xfId="34892"/>
    <cellStyle name="Normal 3 3 9 2 3" xfId="34893"/>
    <cellStyle name="Normal 3 3 9 2 4" xfId="34894"/>
    <cellStyle name="Normal 3 3 9 2 5" xfId="34895"/>
    <cellStyle name="Normal 3 3 9 2 6" xfId="34896"/>
    <cellStyle name="Normal 3 3 9 3" xfId="34897"/>
    <cellStyle name="Normal 3 3 9 3 2" xfId="34898"/>
    <cellStyle name="Normal 3 3 9 3 3" xfId="34899"/>
    <cellStyle name="Normal 3 3 9 3 4" xfId="34900"/>
    <cellStyle name="Normal 3 3 9 3 5" xfId="34901"/>
    <cellStyle name="Normal 3 3 9 3 6" xfId="34902"/>
    <cellStyle name="Normal 3 3 9 4" xfId="34903"/>
    <cellStyle name="Normal 3 3 9 4 2" xfId="34904"/>
    <cellStyle name="Normal 3 3 9 4 3" xfId="34905"/>
    <cellStyle name="Normal 3 3 9 4 4" xfId="34906"/>
    <cellStyle name="Normal 3 3 9 4 5" xfId="34907"/>
    <cellStyle name="Normal 3 3 9 4 6" xfId="34908"/>
    <cellStyle name="Normal 3 3 9 5" xfId="34909"/>
    <cellStyle name="Normal 3 3 9 5 2" xfId="34910"/>
    <cellStyle name="Normal 3 3 9 5 3" xfId="34911"/>
    <cellStyle name="Normal 3 3 9 5 4" xfId="34912"/>
    <cellStyle name="Normal 3 3 9 5 5" xfId="34913"/>
    <cellStyle name="Normal 3 3 9 5 6" xfId="34914"/>
    <cellStyle name="Normal 3 3 9 6" xfId="34915"/>
    <cellStyle name="Normal 3 3 9 6 2" xfId="34916"/>
    <cellStyle name="Normal 3 3 9 6 3" xfId="34917"/>
    <cellStyle name="Normal 3 3 9 6 4" xfId="34918"/>
    <cellStyle name="Normal 3 3 9 6 5" xfId="34919"/>
    <cellStyle name="Normal 3 3 9 6 6" xfId="34920"/>
    <cellStyle name="Normal 3 3 9 7" xfId="34921"/>
    <cellStyle name="Normal 3 3 9 8" xfId="34922"/>
    <cellStyle name="Normal 3 3 9 9" xfId="34923"/>
    <cellStyle name="Normal 3 30" xfId="34924"/>
    <cellStyle name="Normal 3 30 2" xfId="34925"/>
    <cellStyle name="Normal 3 31" xfId="34926"/>
    <cellStyle name="Normal 3 31 2" xfId="34927"/>
    <cellStyle name="Normal 3 32" xfId="34928"/>
    <cellStyle name="Normal 3 33" xfId="34929"/>
    <cellStyle name="Normal 3 34" xfId="34930"/>
    <cellStyle name="Normal 3 35" xfId="34931"/>
    <cellStyle name="Normal 3 36" xfId="34932"/>
    <cellStyle name="Normal 3 37" xfId="34933"/>
    <cellStyle name="Normal 3 38" xfId="34934"/>
    <cellStyle name="Normal 3 39" xfId="34935"/>
    <cellStyle name="Normal 3 4" xfId="34936"/>
    <cellStyle name="Normal 3 4 2" xfId="34937"/>
    <cellStyle name="Normal 3 4 3" xfId="34938"/>
    <cellStyle name="Normal 3 4 4" xfId="34939"/>
    <cellStyle name="Normal 3 4 5" xfId="34940"/>
    <cellStyle name="Normal 3 4 6" xfId="34941"/>
    <cellStyle name="Normal 3 4 7" xfId="34942"/>
    <cellStyle name="Normal 3 4 8" xfId="34943"/>
    <cellStyle name="Normal 3 4 9" xfId="34944"/>
    <cellStyle name="Normal 3 40" xfId="34945"/>
    <cellStyle name="Normal 3 41" xfId="34946"/>
    <cellStyle name="Normal 3 42" xfId="34947"/>
    <cellStyle name="Normal 3 43" xfId="34948"/>
    <cellStyle name="Normal 3 44" xfId="34949"/>
    <cellStyle name="Normal 3 45" xfId="34950"/>
    <cellStyle name="Normal 3 46" xfId="34951"/>
    <cellStyle name="Normal 3 47" xfId="22563"/>
    <cellStyle name="Normal 3 5" xfId="34952"/>
    <cellStyle name="Normal 3 5 2" xfId="34953"/>
    <cellStyle name="Normal 3 5 3" xfId="34954"/>
    <cellStyle name="Normal 3 5 4" xfId="34955"/>
    <cellStyle name="Normal 3 5 5" xfId="34956"/>
    <cellStyle name="Normal 3 5 6" xfId="34957"/>
    <cellStyle name="Normal 3 5 7" xfId="34958"/>
    <cellStyle name="Normal 3 5 8" xfId="34959"/>
    <cellStyle name="Normal 3 6" xfId="34960"/>
    <cellStyle name="Normal 3 6 2" xfId="34961"/>
    <cellStyle name="Normal 3 6 3" xfId="34962"/>
    <cellStyle name="Normal 3 6 4" xfId="34963"/>
    <cellStyle name="Normal 3 6 5" xfId="34964"/>
    <cellStyle name="Normal 3 6 6" xfId="34965"/>
    <cellStyle name="Normal 3 6 7" xfId="34966"/>
    <cellStyle name="Normal 3 6 8" xfId="34967"/>
    <cellStyle name="Normal 3 7" xfId="34968"/>
    <cellStyle name="Normal 3 7 2" xfId="34969"/>
    <cellStyle name="Normal 3 7 2 2" xfId="34970"/>
    <cellStyle name="Normal 3 7 3" xfId="34971"/>
    <cellStyle name="Normal 3 7 4" xfId="34972"/>
    <cellStyle name="Normal 3 7 5" xfId="34973"/>
    <cellStyle name="Normal 3 7 6" xfId="34974"/>
    <cellStyle name="Normal 3 7 7" xfId="34975"/>
    <cellStyle name="Normal 3 7 8" xfId="34976"/>
    <cellStyle name="Normal 3 8" xfId="34977"/>
    <cellStyle name="Normal 3 8 2" xfId="34978"/>
    <cellStyle name="Normal 3 8 2 2" xfId="34979"/>
    <cellStyle name="Normal 3 8 3" xfId="34980"/>
    <cellStyle name="Normal 3 8 4" xfId="34981"/>
    <cellStyle name="Normal 3 9" xfId="34982"/>
    <cellStyle name="Normal 3 9 2" xfId="34983"/>
    <cellStyle name="Normal 3 9 3" xfId="34984"/>
    <cellStyle name="Normal 3 9 4" xfId="34985"/>
    <cellStyle name="Normal 3 9 5" xfId="34986"/>
    <cellStyle name="Normal 3_April 17_Updated labor demand figures May 12 workshop" xfId="34987"/>
    <cellStyle name="Normal 30" xfId="34988"/>
    <cellStyle name="Normal 30 10" xfId="34989"/>
    <cellStyle name="Normal 30 11" xfId="34990"/>
    <cellStyle name="Normal 30 12" xfId="34991"/>
    <cellStyle name="Normal 30 13" xfId="34992"/>
    <cellStyle name="Normal 30 14" xfId="34993"/>
    <cellStyle name="Normal 30 15" xfId="34994"/>
    <cellStyle name="Normal 30 16" xfId="34995"/>
    <cellStyle name="Normal 30 2" xfId="34996"/>
    <cellStyle name="Normal 30 3" xfId="34997"/>
    <cellStyle name="Normal 30 4" xfId="34998"/>
    <cellStyle name="Normal 30 5" xfId="34999"/>
    <cellStyle name="Normal 30 6" xfId="35000"/>
    <cellStyle name="Normal 30 7" xfId="35001"/>
    <cellStyle name="Normal 30 8" xfId="35002"/>
    <cellStyle name="Normal 30 9" xfId="35003"/>
    <cellStyle name="Normal 31" xfId="35004"/>
    <cellStyle name="Normal 31 2" xfId="35005"/>
    <cellStyle name="Normal 32" xfId="35006"/>
    <cellStyle name="Normal 32 2" xfId="35007"/>
    <cellStyle name="Normal 32 3" xfId="35008"/>
    <cellStyle name="Normal 32 4" xfId="35009"/>
    <cellStyle name="Normal 32 5" xfId="35010"/>
    <cellStyle name="Normal 33" xfId="35011"/>
    <cellStyle name="Normal 33 2" xfId="35012"/>
    <cellStyle name="Normal 33 3" xfId="35013"/>
    <cellStyle name="Normal 33 4" xfId="35014"/>
    <cellStyle name="Normal 33 5" xfId="35015"/>
    <cellStyle name="Normal 33 6" xfId="35016"/>
    <cellStyle name="Normal 33 7" xfId="35017"/>
    <cellStyle name="Normal 34" xfId="35018"/>
    <cellStyle name="Normal 34 10" xfId="35019"/>
    <cellStyle name="Normal 34 2" xfId="35020"/>
    <cellStyle name="Normal 34 3" xfId="35021"/>
    <cellStyle name="Normal 34 4" xfId="35022"/>
    <cellStyle name="Normal 34 5" xfId="35023"/>
    <cellStyle name="Normal 34 6" xfId="35024"/>
    <cellStyle name="Normal 34 7" xfId="35025"/>
    <cellStyle name="Normal 34 8" xfId="35026"/>
    <cellStyle name="Normal 34 9" xfId="35027"/>
    <cellStyle name="Normal 35" xfId="35028"/>
    <cellStyle name="Normal 35 10" xfId="35029"/>
    <cellStyle name="Normal 35 2" xfId="35030"/>
    <cellStyle name="Normal 35 3" xfId="35031"/>
    <cellStyle name="Normal 35 4" xfId="35032"/>
    <cellStyle name="Normal 35 5" xfId="35033"/>
    <cellStyle name="Normal 35 6" xfId="35034"/>
    <cellStyle name="Normal 35 7" xfId="35035"/>
    <cellStyle name="Normal 35 8" xfId="35036"/>
    <cellStyle name="Normal 35 9" xfId="35037"/>
    <cellStyle name="Normal 36" xfId="35038"/>
    <cellStyle name="Normal 36 10" xfId="35039"/>
    <cellStyle name="Normal 36 2" xfId="35040"/>
    <cellStyle name="Normal 36 3" xfId="35041"/>
    <cellStyle name="Normal 36 4" xfId="35042"/>
    <cellStyle name="Normal 36 5" xfId="35043"/>
    <cellStyle name="Normal 36 6" xfId="35044"/>
    <cellStyle name="Normal 36 7" xfId="35045"/>
    <cellStyle name="Normal 36 8" xfId="35046"/>
    <cellStyle name="Normal 36 9" xfId="35047"/>
    <cellStyle name="Normal 37" xfId="35048"/>
    <cellStyle name="Normal 37 10" xfId="35049"/>
    <cellStyle name="Normal 37 2" xfId="35050"/>
    <cellStyle name="Normal 37 3" xfId="35051"/>
    <cellStyle name="Normal 37 4" xfId="35052"/>
    <cellStyle name="Normal 37 5" xfId="35053"/>
    <cellStyle name="Normal 37 6" xfId="35054"/>
    <cellStyle name="Normal 37 7" xfId="35055"/>
    <cellStyle name="Normal 37 8" xfId="35056"/>
    <cellStyle name="Normal 37 9" xfId="35057"/>
    <cellStyle name="Normal 38" xfId="35058"/>
    <cellStyle name="Normal 38 10" xfId="35059"/>
    <cellStyle name="Normal 38 2" xfId="35060"/>
    <cellStyle name="Normal 38 3" xfId="35061"/>
    <cellStyle name="Normal 38 4" xfId="35062"/>
    <cellStyle name="Normal 38 5" xfId="35063"/>
    <cellStyle name="Normal 38 6" xfId="35064"/>
    <cellStyle name="Normal 38 7" xfId="35065"/>
    <cellStyle name="Normal 38 8" xfId="35066"/>
    <cellStyle name="Normal 38 9" xfId="35067"/>
    <cellStyle name="Normal 39" xfId="35068"/>
    <cellStyle name="Normal 39 10" xfId="35069"/>
    <cellStyle name="Normal 39 2" xfId="35070"/>
    <cellStyle name="Normal 39 3" xfId="35071"/>
    <cellStyle name="Normal 39 4" xfId="35072"/>
    <cellStyle name="Normal 39 5" xfId="35073"/>
    <cellStyle name="Normal 39 6" xfId="35074"/>
    <cellStyle name="Normal 39 7" xfId="35075"/>
    <cellStyle name="Normal 39 8" xfId="35076"/>
    <cellStyle name="Normal 39 9" xfId="35077"/>
    <cellStyle name="Normal 4" xfId="7"/>
    <cellStyle name="Normal 4 10" xfId="35079"/>
    <cellStyle name="Normal 4 11" xfId="35080"/>
    <cellStyle name="Normal 4 12" xfId="35081"/>
    <cellStyle name="Normal 4 13" xfId="35082"/>
    <cellStyle name="Normal 4 14" xfId="35083"/>
    <cellStyle name="Normal 4 15" xfId="35084"/>
    <cellStyle name="Normal 4 16" xfId="35085"/>
    <cellStyle name="Normal 4 17" xfId="35086"/>
    <cellStyle name="Normal 4 18" xfId="35087"/>
    <cellStyle name="Normal 4 19" xfId="35088"/>
    <cellStyle name="Normal 4 2" xfId="35089"/>
    <cellStyle name="Normal 4 2 10" xfId="35090"/>
    <cellStyle name="Normal 4 2 11" xfId="35091"/>
    <cellStyle name="Normal 4 2 12" xfId="35092"/>
    <cellStyle name="Normal 4 2 13" xfId="35093"/>
    <cellStyle name="Normal 4 2 14" xfId="35094"/>
    <cellStyle name="Normal 4 2 15" xfId="35095"/>
    <cellStyle name="Normal 4 2 16" xfId="35096"/>
    <cellStyle name="Normal 4 2 17" xfId="35097"/>
    <cellStyle name="Normal 4 2 18" xfId="35098"/>
    <cellStyle name="Normal 4 2 19" xfId="35099"/>
    <cellStyle name="Normal 4 2 2" xfId="35100"/>
    <cellStyle name="Normal 4 2 2 10" xfId="35101"/>
    <cellStyle name="Normal 4 2 2 11" xfId="35102"/>
    <cellStyle name="Normal 4 2 2 12" xfId="35103"/>
    <cellStyle name="Normal 4 2 2 2" xfId="35104"/>
    <cellStyle name="Normal 4 2 2 2 2" xfId="35105"/>
    <cellStyle name="Normal 4 2 2 2 3" xfId="35106"/>
    <cellStyle name="Normal 4 2 2 2 4" xfId="35107"/>
    <cellStyle name="Normal 4 2 2 2 5" xfId="35108"/>
    <cellStyle name="Normal 4 2 2 2 6" xfId="35109"/>
    <cellStyle name="Normal 4 2 2 2 7" xfId="35110"/>
    <cellStyle name="Normal 4 2 2 2 8" xfId="35111"/>
    <cellStyle name="Normal 4 2 2 2 9" xfId="35112"/>
    <cellStyle name="Normal 4 2 2 3" xfId="35113"/>
    <cellStyle name="Normal 4 2 2 4" xfId="35114"/>
    <cellStyle name="Normal 4 2 2 5" xfId="35115"/>
    <cellStyle name="Normal 4 2 2 6" xfId="35116"/>
    <cellStyle name="Normal 4 2 2 7" xfId="35117"/>
    <cellStyle name="Normal 4 2 2 8" xfId="35118"/>
    <cellStyle name="Normal 4 2 2 9" xfId="35119"/>
    <cellStyle name="Normal 4 2 20" xfId="35120"/>
    <cellStyle name="Normal 4 2 21" xfId="35121"/>
    <cellStyle name="Normal 4 2 22" xfId="35122"/>
    <cellStyle name="Normal 4 2 23" xfId="35123"/>
    <cellStyle name="Normal 4 2 24" xfId="35124"/>
    <cellStyle name="Normal 4 2 25" xfId="35125"/>
    <cellStyle name="Normal 4 2 26" xfId="35126"/>
    <cellStyle name="Normal 4 2 3" xfId="35127"/>
    <cellStyle name="Normal 4 2 3 2" xfId="35128"/>
    <cellStyle name="Normal 4 2 4" xfId="35129"/>
    <cellStyle name="Normal 4 2 5" xfId="35130"/>
    <cellStyle name="Normal 4 2 6" xfId="35131"/>
    <cellStyle name="Normal 4 2 7" xfId="35132"/>
    <cellStyle name="Normal 4 2 8" xfId="35133"/>
    <cellStyle name="Normal 4 2 9" xfId="35134"/>
    <cellStyle name="Normal 4 2_Ch4 v2" xfId="35135"/>
    <cellStyle name="Normal 4 20" xfId="35136"/>
    <cellStyle name="Normal 4 21" xfId="35137"/>
    <cellStyle name="Normal 4 22" xfId="35138"/>
    <cellStyle name="Normal 4 23" xfId="35139"/>
    <cellStyle name="Normal 4 24" xfId="35140"/>
    <cellStyle name="Normal 4 25" xfId="35141"/>
    <cellStyle name="Normal 4 26" xfId="35142"/>
    <cellStyle name="Normal 4 27" xfId="35143"/>
    <cellStyle name="Normal 4 28" xfId="35144"/>
    <cellStyle name="Normal 4 29" xfId="35145"/>
    <cellStyle name="Normal 4 3" xfId="35146"/>
    <cellStyle name="Normal 4 3 10" xfId="35147"/>
    <cellStyle name="Normal 4 3 11" xfId="35148"/>
    <cellStyle name="Normal 4 3 12" xfId="35149"/>
    <cellStyle name="Normal 4 3 13" xfId="35150"/>
    <cellStyle name="Normal 4 3 14" xfId="35151"/>
    <cellStyle name="Normal 4 3 15" xfId="35152"/>
    <cellStyle name="Normal 4 3 16" xfId="35153"/>
    <cellStyle name="Normal 4 3 17" xfId="35154"/>
    <cellStyle name="Normal 4 3 2" xfId="35155"/>
    <cellStyle name="Normal 4 3 2 10" xfId="35156"/>
    <cellStyle name="Normal 4 3 2 11" xfId="35157"/>
    <cellStyle name="Normal 4 3 2 2" xfId="35158"/>
    <cellStyle name="Normal 4 3 2 3" xfId="35159"/>
    <cellStyle name="Normal 4 3 2 4" xfId="35160"/>
    <cellStyle name="Normal 4 3 2 5" xfId="35161"/>
    <cellStyle name="Normal 4 3 2 6" xfId="35162"/>
    <cellStyle name="Normal 4 3 2 7" xfId="35163"/>
    <cellStyle name="Normal 4 3 2 8" xfId="35164"/>
    <cellStyle name="Normal 4 3 2 9" xfId="35165"/>
    <cellStyle name="Normal 4 3 3" xfId="35166"/>
    <cellStyle name="Normal 4 3 4" xfId="35167"/>
    <cellStyle name="Normal 4 3 5" xfId="35168"/>
    <cellStyle name="Normal 4 3 6" xfId="35169"/>
    <cellStyle name="Normal 4 3 7" xfId="35170"/>
    <cellStyle name="Normal 4 3 8" xfId="35171"/>
    <cellStyle name="Normal 4 3 9" xfId="35172"/>
    <cellStyle name="Normal 4 30" xfId="35173"/>
    <cellStyle name="Normal 4 31" xfId="35174"/>
    <cellStyle name="Normal 4 32" xfId="35175"/>
    <cellStyle name="Normal 4 33" xfId="35176"/>
    <cellStyle name="Normal 4 34" xfId="35177"/>
    <cellStyle name="Normal 4 35" xfId="35178"/>
    <cellStyle name="Normal 4 36" xfId="35078"/>
    <cellStyle name="Normal 4 4" xfId="35179"/>
    <cellStyle name="Normal 4 4 2" xfId="35180"/>
    <cellStyle name="Normal 4 4 3" xfId="35181"/>
    <cellStyle name="Normal 4 4 4" xfId="35182"/>
    <cellStyle name="Normal 4 4 5" xfId="35183"/>
    <cellStyle name="Normal 4 4 6" xfId="35184"/>
    <cellStyle name="Normal 4 4 7" xfId="35185"/>
    <cellStyle name="Normal 4 4 8" xfId="35186"/>
    <cellStyle name="Normal 4 5" xfId="35187"/>
    <cellStyle name="Normal 4 5 2" xfId="35188"/>
    <cellStyle name="Normal 4 5 3" xfId="35189"/>
    <cellStyle name="Normal 4 5 4" xfId="35190"/>
    <cellStyle name="Normal 4 5 5" xfId="35191"/>
    <cellStyle name="Normal 4 5 6" xfId="35192"/>
    <cellStyle name="Normal 4 5 7" xfId="35193"/>
    <cellStyle name="Normal 4 5 8" xfId="35194"/>
    <cellStyle name="Normal 4 5 9" xfId="35195"/>
    <cellStyle name="Normal 4 6" xfId="35196"/>
    <cellStyle name="Normal 4 6 2" xfId="35197"/>
    <cellStyle name="Normal 4 6 3" xfId="35198"/>
    <cellStyle name="Normal 4 6 4" xfId="35199"/>
    <cellStyle name="Normal 4 6 5" xfId="35200"/>
    <cellStyle name="Normal 4 6 6" xfId="35201"/>
    <cellStyle name="Normal 4 6 7" xfId="35202"/>
    <cellStyle name="Normal 4 7" xfId="35203"/>
    <cellStyle name="Normal 4 7 2" xfId="35204"/>
    <cellStyle name="Normal 4 7 3" xfId="35205"/>
    <cellStyle name="Normal 4 7 4" xfId="35206"/>
    <cellStyle name="Normal 4 7 5" xfId="35207"/>
    <cellStyle name="Normal 4 7 6" xfId="35208"/>
    <cellStyle name="Normal 4 7 7" xfId="35209"/>
    <cellStyle name="Normal 4 8" xfId="35210"/>
    <cellStyle name="Normal 4 8 2" xfId="35211"/>
    <cellStyle name="Normal 4 8 3" xfId="35212"/>
    <cellStyle name="Normal 4 8 4" xfId="35213"/>
    <cellStyle name="Normal 4 8 5" xfId="35214"/>
    <cellStyle name="Normal 4 8 6" xfId="35215"/>
    <cellStyle name="Normal 4 8 7" xfId="35216"/>
    <cellStyle name="Normal 4 9" xfId="35217"/>
    <cellStyle name="Normal 4 9 2" xfId="35218"/>
    <cellStyle name="Normal 4 9 3" xfId="35219"/>
    <cellStyle name="Normal 4 9 4" xfId="35220"/>
    <cellStyle name="Normal 4 9 5" xfId="35221"/>
    <cellStyle name="Normal 4 9 6" xfId="35222"/>
    <cellStyle name="Normal 4_April 17_Updated labor demand figures May 12 workshop" xfId="35223"/>
    <cellStyle name="Normal 40" xfId="35224"/>
    <cellStyle name="Normal 40 2" xfId="35225"/>
    <cellStyle name="Normal 41" xfId="35226"/>
    <cellStyle name="Normal 41 10" xfId="35227"/>
    <cellStyle name="Normal 41 11" xfId="35228"/>
    <cellStyle name="Normal 41 12" xfId="35229"/>
    <cellStyle name="Normal 41 13" xfId="35230"/>
    <cellStyle name="Normal 41 14" xfId="35231"/>
    <cellStyle name="Normal 41 15" xfId="35232"/>
    <cellStyle name="Normal 41 16" xfId="35233"/>
    <cellStyle name="Normal 41 17" xfId="35234"/>
    <cellStyle name="Normal 41 18" xfId="35235"/>
    <cellStyle name="Normal 41 2" xfId="35236"/>
    <cellStyle name="Normal 41 3" xfId="35237"/>
    <cellStyle name="Normal 41 4" xfId="35238"/>
    <cellStyle name="Normal 41 5" xfId="35239"/>
    <cellStyle name="Normal 41 6" xfId="35240"/>
    <cellStyle name="Normal 41 7" xfId="35241"/>
    <cellStyle name="Normal 41 8" xfId="35242"/>
    <cellStyle name="Normal 41 9" xfId="35243"/>
    <cellStyle name="Normal 42" xfId="35244"/>
    <cellStyle name="Normal 42 10" xfId="35245"/>
    <cellStyle name="Normal 42 11" xfId="35246"/>
    <cellStyle name="Normal 42 12" xfId="35247"/>
    <cellStyle name="Normal 42 13" xfId="35248"/>
    <cellStyle name="Normal 42 14" xfId="35249"/>
    <cellStyle name="Normal 42 15" xfId="35250"/>
    <cellStyle name="Normal 42 16" xfId="35251"/>
    <cellStyle name="Normal 42 17" xfId="35252"/>
    <cellStyle name="Normal 42 18" xfId="35253"/>
    <cellStyle name="Normal 42 2" xfId="35254"/>
    <cellStyle name="Normal 42 3" xfId="35255"/>
    <cellStyle name="Normal 42 4" xfId="35256"/>
    <cellStyle name="Normal 42 5" xfId="35257"/>
    <cellStyle name="Normal 42 6" xfId="35258"/>
    <cellStyle name="Normal 42 7" xfId="35259"/>
    <cellStyle name="Normal 42 8" xfId="35260"/>
    <cellStyle name="Normal 42 9" xfId="35261"/>
    <cellStyle name="Normal 43" xfId="35262"/>
    <cellStyle name="Normal 43 10" xfId="35263"/>
    <cellStyle name="Normal 43 11" xfId="35264"/>
    <cellStyle name="Normal 43 12" xfId="35265"/>
    <cellStyle name="Normal 43 13" xfId="35266"/>
    <cellStyle name="Normal 43 14" xfId="35267"/>
    <cellStyle name="Normal 43 15" xfId="35268"/>
    <cellStyle name="Normal 43 16" xfId="35269"/>
    <cellStyle name="Normal 43 17" xfId="35270"/>
    <cellStyle name="Normal 43 18" xfId="35271"/>
    <cellStyle name="Normal 43 2" xfId="35272"/>
    <cellStyle name="Normal 43 3" xfId="35273"/>
    <cellStyle name="Normal 43 4" xfId="35274"/>
    <cellStyle name="Normal 43 5" xfId="35275"/>
    <cellStyle name="Normal 43 6" xfId="35276"/>
    <cellStyle name="Normal 43 7" xfId="35277"/>
    <cellStyle name="Normal 43 8" xfId="35278"/>
    <cellStyle name="Normal 43 9" xfId="35279"/>
    <cellStyle name="Normal 44" xfId="35280"/>
    <cellStyle name="Normal 44 10" xfId="35281"/>
    <cellStyle name="Normal 44 2" xfId="35282"/>
    <cellStyle name="Normal 44 2 2" xfId="35283"/>
    <cellStyle name="Normal 44 2 3" xfId="35284"/>
    <cellStyle name="Normal 44 2 4" xfId="35285"/>
    <cellStyle name="Normal 44 2 5" xfId="35286"/>
    <cellStyle name="Normal 44 2 6" xfId="35287"/>
    <cellStyle name="Normal 44 2 7" xfId="35288"/>
    <cellStyle name="Normal 44 2 8" xfId="35289"/>
    <cellStyle name="Normal 44 2 9" xfId="35290"/>
    <cellStyle name="Normal 44 3" xfId="35291"/>
    <cellStyle name="Normal 44 4" xfId="35292"/>
    <cellStyle name="Normal 44 5" xfId="35293"/>
    <cellStyle name="Normal 44 6" xfId="35294"/>
    <cellStyle name="Normal 44 7" xfId="35295"/>
    <cellStyle name="Normal 44 8" xfId="35296"/>
    <cellStyle name="Normal 44 9" xfId="35297"/>
    <cellStyle name="Normal 45" xfId="35298"/>
    <cellStyle name="Normal 45 10" xfId="35299"/>
    <cellStyle name="Normal 45 2" xfId="35300"/>
    <cellStyle name="Normal 45 3" xfId="35301"/>
    <cellStyle name="Normal 45 4" xfId="35302"/>
    <cellStyle name="Normal 45 5" xfId="35303"/>
    <cellStyle name="Normal 45 6" xfId="35304"/>
    <cellStyle name="Normal 45 7" xfId="35305"/>
    <cellStyle name="Normal 45 8" xfId="35306"/>
    <cellStyle name="Normal 45 9" xfId="35307"/>
    <cellStyle name="Normal 46" xfId="35308"/>
    <cellStyle name="Normal 46 10" xfId="35309"/>
    <cellStyle name="Normal 46 2" xfId="35310"/>
    <cellStyle name="Normal 46 3" xfId="35311"/>
    <cellStyle name="Normal 46 4" xfId="35312"/>
    <cellStyle name="Normal 46 5" xfId="35313"/>
    <cellStyle name="Normal 46 6" xfId="35314"/>
    <cellStyle name="Normal 46 7" xfId="35315"/>
    <cellStyle name="Normal 46 8" xfId="35316"/>
    <cellStyle name="Normal 46 9" xfId="35317"/>
    <cellStyle name="Normal 47" xfId="35318"/>
    <cellStyle name="Normal 47 10" xfId="35319"/>
    <cellStyle name="Normal 47 2" xfId="35320"/>
    <cellStyle name="Normal 47 3" xfId="35321"/>
    <cellStyle name="Normal 47 4" xfId="35322"/>
    <cellStyle name="Normal 47 5" xfId="35323"/>
    <cellStyle name="Normal 47 6" xfId="35324"/>
    <cellStyle name="Normal 47 7" xfId="35325"/>
    <cellStyle name="Normal 47 8" xfId="35326"/>
    <cellStyle name="Normal 47 9" xfId="35327"/>
    <cellStyle name="Normal 48" xfId="35328"/>
    <cellStyle name="Normal 48 10" xfId="35329"/>
    <cellStyle name="Normal 48 2" xfId="35330"/>
    <cellStyle name="Normal 48 3" xfId="35331"/>
    <cellStyle name="Normal 48 4" xfId="35332"/>
    <cellStyle name="Normal 48 5" xfId="35333"/>
    <cellStyle name="Normal 48 6" xfId="35334"/>
    <cellStyle name="Normal 48 7" xfId="35335"/>
    <cellStyle name="Normal 48 8" xfId="35336"/>
    <cellStyle name="Normal 48 9" xfId="35337"/>
    <cellStyle name="Normal 49" xfId="35338"/>
    <cellStyle name="Normal 49 10" xfId="35339"/>
    <cellStyle name="Normal 49 11" xfId="35340"/>
    <cellStyle name="Normal 49 12" xfId="35341"/>
    <cellStyle name="Normal 49 2" xfId="35342"/>
    <cellStyle name="Normal 49 2 2" xfId="35343"/>
    <cellStyle name="Normal 49 3" xfId="35344"/>
    <cellStyle name="Normal 49 3 2" xfId="35345"/>
    <cellStyle name="Normal 49 4" xfId="35346"/>
    <cellStyle name="Normal 49 4 2" xfId="35347"/>
    <cellStyle name="Normal 49 5" xfId="35348"/>
    <cellStyle name="Normal 49 6" xfId="35349"/>
    <cellStyle name="Normal 49 7" xfId="35350"/>
    <cellStyle name="Normal 49 8" xfId="35351"/>
    <cellStyle name="Normal 49 9" xfId="35352"/>
    <cellStyle name="Normal 5" xfId="35353"/>
    <cellStyle name="Normal 5 10" xfId="35354"/>
    <cellStyle name="Normal 5 11" xfId="35355"/>
    <cellStyle name="Normal 5 12" xfId="35356"/>
    <cellStyle name="Normal 5 13" xfId="35357"/>
    <cellStyle name="Normal 5 14" xfId="35358"/>
    <cellStyle name="Normal 5 15" xfId="35359"/>
    <cellStyle name="Normal 5 16" xfId="35360"/>
    <cellStyle name="Normal 5 17" xfId="35361"/>
    <cellStyle name="Normal 5 18" xfId="35362"/>
    <cellStyle name="Normal 5 19" xfId="35363"/>
    <cellStyle name="Normal 5 2" xfId="35364"/>
    <cellStyle name="Normal 5 2 2" xfId="35365"/>
    <cellStyle name="Normal 5 2 2 2" xfId="35366"/>
    <cellStyle name="Normal 5 2 3" xfId="35367"/>
    <cellStyle name="Normal 5 2 3 2" xfId="35368"/>
    <cellStyle name="Normal 5 2 4" xfId="35369"/>
    <cellStyle name="Normal 5 2 5" xfId="35370"/>
    <cellStyle name="Normal 5 20" xfId="35371"/>
    <cellStyle name="Normal 5 21" xfId="35372"/>
    <cellStyle name="Normal 5 22" xfId="35373"/>
    <cellStyle name="Normal 5 23" xfId="35374"/>
    <cellStyle name="Normal 5 24" xfId="35375"/>
    <cellStyle name="Normal 5 25" xfId="35376"/>
    <cellStyle name="Normal 5 26" xfId="35377"/>
    <cellStyle name="Normal 5 27" xfId="35378"/>
    <cellStyle name="Normal 5 28" xfId="35379"/>
    <cellStyle name="Normal 5 29" xfId="35380"/>
    <cellStyle name="Normal 5 3" xfId="35381"/>
    <cellStyle name="Normal 5 3 2" xfId="35382"/>
    <cellStyle name="Normal 5 3 3" xfId="35383"/>
    <cellStyle name="Normal 5 3 4" xfId="35384"/>
    <cellStyle name="Normal 5 30" xfId="35385"/>
    <cellStyle name="Normal 5 31" xfId="35386"/>
    <cellStyle name="Normal 5 32" xfId="35387"/>
    <cellStyle name="Normal 5 33" xfId="35388"/>
    <cellStyle name="Normal 5 34" xfId="35389"/>
    <cellStyle name="Normal 5 35" xfId="35390"/>
    <cellStyle name="Normal 5 4" xfId="35391"/>
    <cellStyle name="Normal 5 4 2" xfId="35392"/>
    <cellStyle name="Normal 5 4 3" xfId="35393"/>
    <cellStyle name="Normal 5 5" xfId="35394"/>
    <cellStyle name="Normal 5 5 2" xfId="35395"/>
    <cellStyle name="Normal 5 5 3" xfId="35396"/>
    <cellStyle name="Normal 5 6" xfId="35397"/>
    <cellStyle name="Normal 5 6 2" xfId="35398"/>
    <cellStyle name="Normal 5 6 3" xfId="35399"/>
    <cellStyle name="Normal 5 7" xfId="35400"/>
    <cellStyle name="Normal 5 8" xfId="35401"/>
    <cellStyle name="Normal 5 9" xfId="35402"/>
    <cellStyle name="Normal 5_April 17_Updated labor demand figures May 12 workshop" xfId="35403"/>
    <cellStyle name="Normal 50" xfId="35404"/>
    <cellStyle name="Normal 50 10" xfId="35405"/>
    <cellStyle name="Normal 50 2" xfId="35406"/>
    <cellStyle name="Normal 50 3" xfId="35407"/>
    <cellStyle name="Normal 50 4" xfId="35408"/>
    <cellStyle name="Normal 50 5" xfId="35409"/>
    <cellStyle name="Normal 50 6" xfId="35410"/>
    <cellStyle name="Normal 50 7" xfId="35411"/>
    <cellStyle name="Normal 50 8" xfId="35412"/>
    <cellStyle name="Normal 50 9" xfId="35413"/>
    <cellStyle name="Normal 51" xfId="35414"/>
    <cellStyle name="Normal 51 10" xfId="35415"/>
    <cellStyle name="Normal 51 2" xfId="35416"/>
    <cellStyle name="Normal 51 3" xfId="35417"/>
    <cellStyle name="Normal 51 4" xfId="35418"/>
    <cellStyle name="Normal 51 5" xfId="35419"/>
    <cellStyle name="Normal 51 6" xfId="35420"/>
    <cellStyle name="Normal 51 7" xfId="35421"/>
    <cellStyle name="Normal 51 8" xfId="35422"/>
    <cellStyle name="Normal 51 9" xfId="35423"/>
    <cellStyle name="Normal 52" xfId="35424"/>
    <cellStyle name="Normal 52 2" xfId="35425"/>
    <cellStyle name="Normal 53" xfId="35426"/>
    <cellStyle name="Normal 53 2" xfId="35427"/>
    <cellStyle name="Normal 54" xfId="35428"/>
    <cellStyle name="Normal 54 2" xfId="35429"/>
    <cellStyle name="Normal 55" xfId="35430"/>
    <cellStyle name="Normal 55 2" xfId="35431"/>
    <cellStyle name="Normal 56" xfId="35432"/>
    <cellStyle name="Normal 56 2" xfId="35433"/>
    <cellStyle name="Normal 57" xfId="35434"/>
    <cellStyle name="Normal 57 2" xfId="35435"/>
    <cellStyle name="Normal 58" xfId="35436"/>
    <cellStyle name="Normal 58 2" xfId="35437"/>
    <cellStyle name="Normal 59" xfId="35438"/>
    <cellStyle name="Normal 59 2" xfId="35439"/>
    <cellStyle name="Normal 6" xfId="35440"/>
    <cellStyle name="Normal 6 10" xfId="35441"/>
    <cellStyle name="Normal 6 11" xfId="35442"/>
    <cellStyle name="Normal 6 12" xfId="35443"/>
    <cellStyle name="Normal 6 13" xfId="35444"/>
    <cellStyle name="Normal 6 14" xfId="35445"/>
    <cellStyle name="Normal 6 15" xfId="35446"/>
    <cellStyle name="Normal 6 16" xfId="35447"/>
    <cellStyle name="Normal 6 17" xfId="35448"/>
    <cellStyle name="Normal 6 18" xfId="35449"/>
    <cellStyle name="Normal 6 19" xfId="35450"/>
    <cellStyle name="Normal 6 2" xfId="35451"/>
    <cellStyle name="Normal 6 2 2" xfId="35452"/>
    <cellStyle name="Normal 6 2 2 2" xfId="35453"/>
    <cellStyle name="Normal 6 2 3" xfId="35454"/>
    <cellStyle name="Normal 6 2 4" xfId="35455"/>
    <cellStyle name="Normal 6 20" xfId="35456"/>
    <cellStyle name="Normal 6 21" xfId="35457"/>
    <cellStyle name="Normal 6 22" xfId="35458"/>
    <cellStyle name="Normal 6 23" xfId="35459"/>
    <cellStyle name="Normal 6 24" xfId="35460"/>
    <cellStyle name="Normal 6 25" xfId="35461"/>
    <cellStyle name="Normal 6 26" xfId="35462"/>
    <cellStyle name="Normal 6 27" xfId="35463"/>
    <cellStyle name="Normal 6 28" xfId="35464"/>
    <cellStyle name="Normal 6 29" xfId="35465"/>
    <cellStyle name="Normal 6 3" xfId="35466"/>
    <cellStyle name="Normal 6 3 2" xfId="35467"/>
    <cellStyle name="Normal 6 30" xfId="35468"/>
    <cellStyle name="Normal 6 31" xfId="35469"/>
    <cellStyle name="Normal 6 32" xfId="35470"/>
    <cellStyle name="Normal 6 33" xfId="35471"/>
    <cellStyle name="Normal 6 4" xfId="35472"/>
    <cellStyle name="Normal 6 4 2" xfId="35473"/>
    <cellStyle name="Normal 6 5" xfId="35474"/>
    <cellStyle name="Normal 6 5 2" xfId="35475"/>
    <cellStyle name="Normal 6 6" xfId="35476"/>
    <cellStyle name="Normal 6 6 2" xfId="35477"/>
    <cellStyle name="Normal 6 7" xfId="35478"/>
    <cellStyle name="Normal 6 8" xfId="35479"/>
    <cellStyle name="Normal 6 9" xfId="35480"/>
    <cellStyle name="Normal 6_April 17_Updated labor demand figures May 12 workshop" xfId="35481"/>
    <cellStyle name="Normal 60" xfId="35482"/>
    <cellStyle name="Normal 60 2" xfId="35483"/>
    <cellStyle name="Normal 60 3" xfId="35484"/>
    <cellStyle name="Normal 61" xfId="35485"/>
    <cellStyle name="Normal 61 2" xfId="35486"/>
    <cellStyle name="Normal 61 2 2" xfId="35487"/>
    <cellStyle name="Normal 61 3" xfId="35488"/>
    <cellStyle name="Normal 62" xfId="35489"/>
    <cellStyle name="Normal 62 2" xfId="35490"/>
    <cellStyle name="Normal 62 3" xfId="35491"/>
    <cellStyle name="Normal 63" xfId="35492"/>
    <cellStyle name="Normal 63 2" xfId="35493"/>
    <cellStyle name="Normal 64" xfId="35494"/>
    <cellStyle name="Normal 65" xfId="35495"/>
    <cellStyle name="Normal 66" xfId="35496"/>
    <cellStyle name="Normal 67" xfId="35497"/>
    <cellStyle name="Normal 68" xfId="35498"/>
    <cellStyle name="Normal 69" xfId="35499"/>
    <cellStyle name="Normal 7" xfId="35500"/>
    <cellStyle name="Normal 7 10" xfId="35501"/>
    <cellStyle name="Normal 7 11" xfId="35502"/>
    <cellStyle name="Normal 7 12" xfId="35503"/>
    <cellStyle name="Normal 7 13" xfId="35504"/>
    <cellStyle name="Normal 7 14" xfId="35505"/>
    <cellStyle name="Normal 7 15" xfId="35506"/>
    <cellStyle name="Normal 7 16" xfId="35507"/>
    <cellStyle name="Normal 7 17" xfId="35508"/>
    <cellStyle name="Normal 7 18" xfId="35509"/>
    <cellStyle name="Normal 7 19" xfId="35510"/>
    <cellStyle name="Normal 7 2" xfId="35511"/>
    <cellStyle name="Normal 7 2 2" xfId="35512"/>
    <cellStyle name="Normal 7 20" xfId="35513"/>
    <cellStyle name="Normal 7 21" xfId="35514"/>
    <cellStyle name="Normal 7 22" xfId="35515"/>
    <cellStyle name="Normal 7 23" xfId="35516"/>
    <cellStyle name="Normal 7 24" xfId="35517"/>
    <cellStyle name="Normal 7 25" xfId="35518"/>
    <cellStyle name="Normal 7 26" xfId="35519"/>
    <cellStyle name="Normal 7 27" xfId="35520"/>
    <cellStyle name="Normal 7 28" xfId="35521"/>
    <cellStyle name="Normal 7 29" xfId="35522"/>
    <cellStyle name="Normal 7 3" xfId="35523"/>
    <cellStyle name="Normal 7 30" xfId="35524"/>
    <cellStyle name="Normal 7 31" xfId="35525"/>
    <cellStyle name="Normal 7 32" xfId="35526"/>
    <cellStyle name="Normal 7 33" xfId="35527"/>
    <cellStyle name="Normal 7 34" xfId="35528"/>
    <cellStyle name="Normal 7 4" xfId="35529"/>
    <cellStyle name="Normal 7 5" xfId="35530"/>
    <cellStyle name="Normal 7 6" xfId="35531"/>
    <cellStyle name="Normal 7 7" xfId="35532"/>
    <cellStyle name="Normal 7 8" xfId="35533"/>
    <cellStyle name="Normal 7 9" xfId="35534"/>
    <cellStyle name="Normal 70" xfId="35535"/>
    <cellStyle name="Normal 70 10" xfId="35536"/>
    <cellStyle name="Normal 70 11" xfId="35537"/>
    <cellStyle name="Normal 70 12" xfId="35538"/>
    <cellStyle name="Normal 70 13" xfId="35539"/>
    <cellStyle name="Normal 70 14" xfId="35540"/>
    <cellStyle name="Normal 70 15" xfId="35541"/>
    <cellStyle name="Normal 70 16" xfId="35542"/>
    <cellStyle name="Normal 70 17" xfId="35543"/>
    <cellStyle name="Normal 70 18" xfId="35544"/>
    <cellStyle name="Normal 70 19" xfId="35545"/>
    <cellStyle name="Normal 70 2" xfId="35546"/>
    <cellStyle name="Normal 70 20" xfId="35547"/>
    <cellStyle name="Normal 70 21" xfId="35548"/>
    <cellStyle name="Normal 70 22" xfId="35549"/>
    <cellStyle name="Normal 70 3" xfId="35550"/>
    <cellStyle name="Normal 70 4" xfId="35551"/>
    <cellStyle name="Normal 70 5" xfId="35552"/>
    <cellStyle name="Normal 70 6" xfId="35553"/>
    <cellStyle name="Normal 70 7" xfId="35554"/>
    <cellStyle name="Normal 70 8" xfId="35555"/>
    <cellStyle name="Normal 70 9" xfId="35556"/>
    <cellStyle name="Normal 71" xfId="35557"/>
    <cellStyle name="Normal 71 10" xfId="35558"/>
    <cellStyle name="Normal 71 11" xfId="35559"/>
    <cellStyle name="Normal 71 12" xfId="35560"/>
    <cellStyle name="Normal 71 13" xfId="35561"/>
    <cellStyle name="Normal 71 14" xfId="35562"/>
    <cellStyle name="Normal 71 15" xfId="35563"/>
    <cellStyle name="Normal 71 16" xfId="35564"/>
    <cellStyle name="Normal 71 17" xfId="35565"/>
    <cellStyle name="Normal 71 18" xfId="35566"/>
    <cellStyle name="Normal 71 19" xfId="35567"/>
    <cellStyle name="Normal 71 2" xfId="35568"/>
    <cellStyle name="Normal 71 20" xfId="35569"/>
    <cellStyle name="Normal 71 21" xfId="35570"/>
    <cellStyle name="Normal 71 22" xfId="35571"/>
    <cellStyle name="Normal 71 3" xfId="35572"/>
    <cellStyle name="Normal 71 4" xfId="35573"/>
    <cellStyle name="Normal 71 5" xfId="35574"/>
    <cellStyle name="Normal 71 6" xfId="35575"/>
    <cellStyle name="Normal 71 7" xfId="35576"/>
    <cellStyle name="Normal 71 8" xfId="35577"/>
    <cellStyle name="Normal 71 9" xfId="35578"/>
    <cellStyle name="Normal 72" xfId="35579"/>
    <cellStyle name="Normal 73" xfId="35580"/>
    <cellStyle name="Normal 73 2" xfId="35581"/>
    <cellStyle name="Normal 73 3" xfId="35582"/>
    <cellStyle name="Normal 73 4" xfId="35583"/>
    <cellStyle name="Normal 74" xfId="35584"/>
    <cellStyle name="Normal 74 10" xfId="35585"/>
    <cellStyle name="Normal 74 11" xfId="35586"/>
    <cellStyle name="Normal 74 12" xfId="35587"/>
    <cellStyle name="Normal 74 13" xfId="35588"/>
    <cellStyle name="Normal 74 2" xfId="35589"/>
    <cellStyle name="Normal 74 3" xfId="35590"/>
    <cellStyle name="Normal 74 4" xfId="35591"/>
    <cellStyle name="Normal 74 5" xfId="35592"/>
    <cellStyle name="Normal 74 6" xfId="35593"/>
    <cellStyle name="Normal 74 7" xfId="35594"/>
    <cellStyle name="Normal 74 8" xfId="35595"/>
    <cellStyle name="Normal 74 9" xfId="35596"/>
    <cellStyle name="Normal 75" xfId="35597"/>
    <cellStyle name="Normal 75 10" xfId="35598"/>
    <cellStyle name="Normal 75 11" xfId="35599"/>
    <cellStyle name="Normal 75 12" xfId="35600"/>
    <cellStyle name="Normal 75 13" xfId="35601"/>
    <cellStyle name="Normal 75 2" xfId="35602"/>
    <cellStyle name="Normal 75 3" xfId="35603"/>
    <cellStyle name="Normal 75 4" xfId="35604"/>
    <cellStyle name="Normal 75 5" xfId="35605"/>
    <cellStyle name="Normal 75 6" xfId="35606"/>
    <cellStyle name="Normal 75 7" xfId="35607"/>
    <cellStyle name="Normal 75 8" xfId="35608"/>
    <cellStyle name="Normal 75 9" xfId="35609"/>
    <cellStyle name="Normal 76" xfId="35610"/>
    <cellStyle name="Normal 76 10" xfId="35611"/>
    <cellStyle name="Normal 76 11" xfId="35612"/>
    <cellStyle name="Normal 76 12" xfId="35613"/>
    <cellStyle name="Normal 76 13" xfId="35614"/>
    <cellStyle name="Normal 76 2" xfId="35615"/>
    <cellStyle name="Normal 76 3" xfId="35616"/>
    <cellStyle name="Normal 76 4" xfId="35617"/>
    <cellStyle name="Normal 76 5" xfId="35618"/>
    <cellStyle name="Normal 76 6" xfId="35619"/>
    <cellStyle name="Normal 76 7" xfId="35620"/>
    <cellStyle name="Normal 76 8" xfId="35621"/>
    <cellStyle name="Normal 76 9" xfId="35622"/>
    <cellStyle name="Normal 77" xfId="35623"/>
    <cellStyle name="Normal 77 10" xfId="35624"/>
    <cellStyle name="Normal 77 11" xfId="35625"/>
    <cellStyle name="Normal 77 12" xfId="35626"/>
    <cellStyle name="Normal 77 13" xfId="35627"/>
    <cellStyle name="Normal 77 2" xfId="35628"/>
    <cellStyle name="Normal 77 3" xfId="35629"/>
    <cellStyle name="Normal 77 4" xfId="35630"/>
    <cellStyle name="Normal 77 5" xfId="35631"/>
    <cellStyle name="Normal 77 6" xfId="35632"/>
    <cellStyle name="Normal 77 7" xfId="35633"/>
    <cellStyle name="Normal 77 8" xfId="35634"/>
    <cellStyle name="Normal 77 9" xfId="35635"/>
    <cellStyle name="Normal 78" xfId="35636"/>
    <cellStyle name="Normal 78 10" xfId="35637"/>
    <cellStyle name="Normal 78 11" xfId="35638"/>
    <cellStyle name="Normal 78 12" xfId="35639"/>
    <cellStyle name="Normal 78 13" xfId="35640"/>
    <cellStyle name="Normal 78 2" xfId="35641"/>
    <cellStyle name="Normal 78 3" xfId="35642"/>
    <cellStyle name="Normal 78 4" xfId="35643"/>
    <cellStyle name="Normal 78 5" xfId="35644"/>
    <cellStyle name="Normal 78 6" xfId="35645"/>
    <cellStyle name="Normal 78 7" xfId="35646"/>
    <cellStyle name="Normal 78 8" xfId="35647"/>
    <cellStyle name="Normal 78 9" xfId="35648"/>
    <cellStyle name="Normal 79" xfId="35649"/>
    <cellStyle name="Normal 79 10" xfId="35650"/>
    <cellStyle name="Normal 79 11" xfId="35651"/>
    <cellStyle name="Normal 79 12" xfId="35652"/>
    <cellStyle name="Normal 79 13" xfId="35653"/>
    <cellStyle name="Normal 79 2" xfId="35654"/>
    <cellStyle name="Normal 79 3" xfId="35655"/>
    <cellStyle name="Normal 79 4" xfId="35656"/>
    <cellStyle name="Normal 79 5" xfId="35657"/>
    <cellStyle name="Normal 79 6" xfId="35658"/>
    <cellStyle name="Normal 79 7" xfId="35659"/>
    <cellStyle name="Normal 79 8" xfId="35660"/>
    <cellStyle name="Normal 79 9" xfId="35661"/>
    <cellStyle name="Normal 8" xfId="35662"/>
    <cellStyle name="Normal 8 10" xfId="35663"/>
    <cellStyle name="Normal 8 11" xfId="35664"/>
    <cellStyle name="Normal 8 12" xfId="35665"/>
    <cellStyle name="Normal 8 13" xfId="35666"/>
    <cellStyle name="Normal 8 14" xfId="35667"/>
    <cellStyle name="Normal 8 15" xfId="35668"/>
    <cellStyle name="Normal 8 16" xfId="35669"/>
    <cellStyle name="Normal 8 17" xfId="35670"/>
    <cellStyle name="Normal 8 18" xfId="35671"/>
    <cellStyle name="Normal 8 19" xfId="35672"/>
    <cellStyle name="Normal 8 2" xfId="35673"/>
    <cellStyle name="Normal 8 2 2" xfId="35674"/>
    <cellStyle name="Normal 8 2 3" xfId="35675"/>
    <cellStyle name="Normal 8 20" xfId="35676"/>
    <cellStyle name="Normal 8 21" xfId="35677"/>
    <cellStyle name="Normal 8 22" xfId="35678"/>
    <cellStyle name="Normal 8 23" xfId="35679"/>
    <cellStyle name="Normal 8 24" xfId="35680"/>
    <cellStyle name="Normal 8 25" xfId="35681"/>
    <cellStyle name="Normal 8 26" xfId="35682"/>
    <cellStyle name="Normal 8 27" xfId="35683"/>
    <cellStyle name="Normal 8 28" xfId="35684"/>
    <cellStyle name="Normal 8 29" xfId="35685"/>
    <cellStyle name="Normal 8 3" xfId="35686"/>
    <cellStyle name="Normal 8 30" xfId="35687"/>
    <cellStyle name="Normal 8 31" xfId="35688"/>
    <cellStyle name="Normal 8 32" xfId="35689"/>
    <cellStyle name="Normal 8 33" xfId="35690"/>
    <cellStyle name="Normal 8 34" xfId="35691"/>
    <cellStyle name="Normal 8 4" xfId="35692"/>
    <cellStyle name="Normal 8 5" xfId="35693"/>
    <cellStyle name="Normal 8 6" xfId="35694"/>
    <cellStyle name="Normal 8 7" xfId="35695"/>
    <cellStyle name="Normal 8 8" xfId="35696"/>
    <cellStyle name="Normal 8 9" xfId="35697"/>
    <cellStyle name="Normal 80" xfId="35698"/>
    <cellStyle name="Normal 80 10" xfId="35699"/>
    <cellStyle name="Normal 80 11" xfId="35700"/>
    <cellStyle name="Normal 80 12" xfId="35701"/>
    <cellStyle name="Normal 80 13" xfId="35702"/>
    <cellStyle name="Normal 80 2" xfId="35703"/>
    <cellStyle name="Normal 80 3" xfId="35704"/>
    <cellStyle name="Normal 80 4" xfId="35705"/>
    <cellStyle name="Normal 80 5" xfId="35706"/>
    <cellStyle name="Normal 80 6" xfId="35707"/>
    <cellStyle name="Normal 80 7" xfId="35708"/>
    <cellStyle name="Normal 80 8" xfId="35709"/>
    <cellStyle name="Normal 80 9" xfId="35710"/>
    <cellStyle name="Normal 81" xfId="35711"/>
    <cellStyle name="Normal 81 2" xfId="35712"/>
    <cellStyle name="Normal 81 3" xfId="35713"/>
    <cellStyle name="Normal 81 4" xfId="35714"/>
    <cellStyle name="Normal 81 5" xfId="35715"/>
    <cellStyle name="Normal 82" xfId="35716"/>
    <cellStyle name="Normal 82 2" xfId="35717"/>
    <cellStyle name="Normal 82 3" xfId="35718"/>
    <cellStyle name="Normal 82 4" xfId="35719"/>
    <cellStyle name="Normal 82 5" xfId="35720"/>
    <cellStyle name="Normal 83" xfId="35721"/>
    <cellStyle name="Normal 83 2" xfId="35722"/>
    <cellStyle name="Normal 83 3" xfId="35723"/>
    <cellStyle name="Normal 83 4" xfId="35724"/>
    <cellStyle name="Normal 83 5" xfId="35725"/>
    <cellStyle name="Normal 84" xfId="35726"/>
    <cellStyle name="Normal 84 2" xfId="35727"/>
    <cellStyle name="Normal 84 3" xfId="35728"/>
    <cellStyle name="Normal 84 4" xfId="35729"/>
    <cellStyle name="Normal 85" xfId="35730"/>
    <cellStyle name="Normal 85 2" xfId="35731"/>
    <cellStyle name="Normal 85 3" xfId="35732"/>
    <cellStyle name="Normal 85 4" xfId="35733"/>
    <cellStyle name="Normal 86" xfId="35734"/>
    <cellStyle name="Normal 86 2" xfId="35735"/>
    <cellStyle name="Normal 86 3" xfId="35736"/>
    <cellStyle name="Normal 86 4" xfId="35737"/>
    <cellStyle name="Normal 87" xfId="35738"/>
    <cellStyle name="Normal 87 2" xfId="35739"/>
    <cellStyle name="Normal 87 3" xfId="35740"/>
    <cellStyle name="Normal 87 4" xfId="35741"/>
    <cellStyle name="Normal 88" xfId="35742"/>
    <cellStyle name="Normal 88 2" xfId="35743"/>
    <cellStyle name="Normal 88 3" xfId="35744"/>
    <cellStyle name="Normal 88 4" xfId="35745"/>
    <cellStyle name="Normal 89" xfId="35746"/>
    <cellStyle name="Normal 89 2" xfId="35747"/>
    <cellStyle name="Normal 89 3" xfId="35748"/>
    <cellStyle name="Normal 89 4" xfId="35749"/>
    <cellStyle name="Normal 9" xfId="35750"/>
    <cellStyle name="Normal 9 10" xfId="35751"/>
    <cellStyle name="Normal 9 11" xfId="35752"/>
    <cellStyle name="Normal 9 12" xfId="35753"/>
    <cellStyle name="Normal 9 13" xfId="35754"/>
    <cellStyle name="Normal 9 14" xfId="35755"/>
    <cellStyle name="Normal 9 15" xfId="35756"/>
    <cellStyle name="Normal 9 16" xfId="35757"/>
    <cellStyle name="Normal 9 17" xfId="35758"/>
    <cellStyle name="Normal 9 18" xfId="35759"/>
    <cellStyle name="Normal 9 19" xfId="35760"/>
    <cellStyle name="Normal 9 2" xfId="35761"/>
    <cellStyle name="Normal 9 2 2" xfId="35762"/>
    <cellStyle name="Normal 9 2 3" xfId="35763"/>
    <cellStyle name="Normal 9 2 4" xfId="35764"/>
    <cellStyle name="Normal 9 20" xfId="35765"/>
    <cellStyle name="Normal 9 21" xfId="35766"/>
    <cellStyle name="Normal 9 22" xfId="35767"/>
    <cellStyle name="Normal 9 23" xfId="35768"/>
    <cellStyle name="Normal 9 24" xfId="35769"/>
    <cellStyle name="Normal 9 25" xfId="35770"/>
    <cellStyle name="Normal 9 26" xfId="35771"/>
    <cellStyle name="Normal 9 27" xfId="35772"/>
    <cellStyle name="Normal 9 28" xfId="35773"/>
    <cellStyle name="Normal 9 29" xfId="35774"/>
    <cellStyle name="Normal 9 3" xfId="35775"/>
    <cellStyle name="Normal 9 3 2" xfId="35776"/>
    <cellStyle name="Normal 9 30" xfId="35777"/>
    <cellStyle name="Normal 9 31" xfId="35778"/>
    <cellStyle name="Normal 9 32" xfId="35779"/>
    <cellStyle name="Normal 9 33" xfId="35780"/>
    <cellStyle name="Normal 9 34" xfId="35781"/>
    <cellStyle name="Normal 9 35" xfId="35782"/>
    <cellStyle name="Normal 9 4" xfId="35783"/>
    <cellStyle name="Normal 9 5" xfId="35784"/>
    <cellStyle name="Normal 9 6" xfId="35785"/>
    <cellStyle name="Normal 9 7" xfId="35786"/>
    <cellStyle name="Normal 9 8" xfId="35787"/>
    <cellStyle name="Normal 9 9" xfId="35788"/>
    <cellStyle name="Normal 9_Ch4 v2" xfId="35789"/>
    <cellStyle name="Normal 90" xfId="35790"/>
    <cellStyle name="Normal 91" xfId="35791"/>
    <cellStyle name="Normal 92" xfId="35792"/>
    <cellStyle name="Normal 93" xfId="35793"/>
    <cellStyle name="Normal 94" xfId="35794"/>
    <cellStyle name="Normal 95" xfId="35795"/>
    <cellStyle name="Normal 96" xfId="35796"/>
    <cellStyle name="Normal 97" xfId="35797"/>
    <cellStyle name="Normal 98" xfId="35798"/>
    <cellStyle name="Normal 99" xfId="35799"/>
    <cellStyle name="Normal GHG Numbers (0.00)" xfId="35800"/>
    <cellStyle name="Normal GHG whole table" xfId="35801"/>
    <cellStyle name="Normal GHG-Shade" xfId="35802"/>
    <cellStyle name="Normal GHG-Shade 2" xfId="35803"/>
    <cellStyle name="Normal GHG-Shade 3" xfId="35804"/>
    <cellStyle name="Normal millions" xfId="35805"/>
    <cellStyle name="Normal no decimal" xfId="35806"/>
    <cellStyle name="Normal thousands" xfId="35807"/>
    <cellStyle name="Normal two decimals" xfId="35808"/>
    <cellStyle name="Normal_060216 External congestion costs tables" xfId="8"/>
    <cellStyle name="Normal_060216 External congestion costs tables 2 2" xfId="37859"/>
    <cellStyle name="Normal_ROADCONG" xfId="9"/>
    <cellStyle name="Normal_ROADCONG 2 2" xfId="37858"/>
    <cellStyle name="Normal_Sheet1" xfId="10"/>
    <cellStyle name="Normale 2" xfId="35809"/>
    <cellStyle name="Normale_Common_output_v10" xfId="35810"/>
    <cellStyle name="Nota" xfId="35811"/>
    <cellStyle name="Nota 2" xfId="35812"/>
    <cellStyle name="Nota 3" xfId="35813"/>
    <cellStyle name="Nota 4" xfId="35814"/>
    <cellStyle name="Note 10" xfId="35815"/>
    <cellStyle name="Note 10 2" xfId="35816"/>
    <cellStyle name="Note 11" xfId="35817"/>
    <cellStyle name="Note 11 2" xfId="35818"/>
    <cellStyle name="Note 12" xfId="35819"/>
    <cellStyle name="Note 12 2" xfId="35820"/>
    <cellStyle name="Note 13" xfId="35821"/>
    <cellStyle name="Note 13 2" xfId="35822"/>
    <cellStyle name="Note 14" xfId="35823"/>
    <cellStyle name="Note 14 2" xfId="35824"/>
    <cellStyle name="Note 14 2 2" xfId="35825"/>
    <cellStyle name="Note 14 2 2 2" xfId="35826"/>
    <cellStyle name="Note 14 2 3" xfId="35827"/>
    <cellStyle name="Note 14 2 4" xfId="35828"/>
    <cellStyle name="Note 15" xfId="35829"/>
    <cellStyle name="Note 15 2" xfId="35830"/>
    <cellStyle name="Note 16" xfId="35831"/>
    <cellStyle name="Note 16 2" xfId="35832"/>
    <cellStyle name="Note 17" xfId="35833"/>
    <cellStyle name="Note 17 2" xfId="35834"/>
    <cellStyle name="Note 18" xfId="35835"/>
    <cellStyle name="Note 19" xfId="35836"/>
    <cellStyle name="Note 2" xfId="35837"/>
    <cellStyle name="Note 2 10" xfId="35838"/>
    <cellStyle name="Note 2 11" xfId="35839"/>
    <cellStyle name="Note 2 12" xfId="35840"/>
    <cellStyle name="Note 2 13" xfId="35841"/>
    <cellStyle name="Note 2 14" xfId="35842"/>
    <cellStyle name="Note 2 2" xfId="35843"/>
    <cellStyle name="Note 2 2 2" xfId="35844"/>
    <cellStyle name="Note 2 2 2 2" xfId="35845"/>
    <cellStyle name="Note 2 2 2 2 2" xfId="35846"/>
    <cellStyle name="Note 2 2 2 2 3" xfId="35847"/>
    <cellStyle name="Note 2 2 2 2 4" xfId="35848"/>
    <cellStyle name="Note 2 2 2 3" xfId="35849"/>
    <cellStyle name="Note 2 2 2 3 2" xfId="35850"/>
    <cellStyle name="Note 2 2 2 3 3" xfId="35851"/>
    <cellStyle name="Note 2 2 2 3 4" xfId="35852"/>
    <cellStyle name="Note 2 2 2 4" xfId="35853"/>
    <cellStyle name="Note 2 2 2 5" xfId="35854"/>
    <cellStyle name="Note 2 2 2 6" xfId="35855"/>
    <cellStyle name="Note 2 2 3" xfId="35856"/>
    <cellStyle name="Note 2 2 4" xfId="35857"/>
    <cellStyle name="Note 2 2 5" xfId="35858"/>
    <cellStyle name="Note 2 2 6" xfId="35859"/>
    <cellStyle name="Note 2 3" xfId="35860"/>
    <cellStyle name="Note 2 3 2" xfId="35861"/>
    <cellStyle name="Note 2 3 2 2" xfId="35862"/>
    <cellStyle name="Note 2 3 2 3" xfId="35863"/>
    <cellStyle name="Note 2 3 2 4" xfId="35864"/>
    <cellStyle name="Note 2 3 3" xfId="35865"/>
    <cellStyle name="Note 2 3 3 2" xfId="35866"/>
    <cellStyle name="Note 2 3 3 3" xfId="35867"/>
    <cellStyle name="Note 2 3 3 4" xfId="35868"/>
    <cellStyle name="Note 2 3 4" xfId="35869"/>
    <cellStyle name="Note 2 3 5" xfId="35870"/>
    <cellStyle name="Note 2 3 6" xfId="35871"/>
    <cellStyle name="Note 2 4" xfId="35872"/>
    <cellStyle name="Note 2 5" xfId="35873"/>
    <cellStyle name="Note 2 6" xfId="35874"/>
    <cellStyle name="Note 2 7" xfId="35875"/>
    <cellStyle name="Note 2 8" xfId="35876"/>
    <cellStyle name="Note 2 9" xfId="35877"/>
    <cellStyle name="Note 20" xfId="35878"/>
    <cellStyle name="Note 21" xfId="35879"/>
    <cellStyle name="Note 22" xfId="35880"/>
    <cellStyle name="Note 23" xfId="35881"/>
    <cellStyle name="Note 24" xfId="35882"/>
    <cellStyle name="Note 25" xfId="35883"/>
    <cellStyle name="Note 26" xfId="35884"/>
    <cellStyle name="Note 27" xfId="35885"/>
    <cellStyle name="Note 28" xfId="35886"/>
    <cellStyle name="Note 29" xfId="35887"/>
    <cellStyle name="Note 3" xfId="35888"/>
    <cellStyle name="Note 3 10" xfId="35889"/>
    <cellStyle name="Note 3 2" xfId="35890"/>
    <cellStyle name="Note 3 2 2" xfId="35891"/>
    <cellStyle name="Note 3 2 3" xfId="35892"/>
    <cellStyle name="Note 3 2 4" xfId="35893"/>
    <cellStyle name="Note 3 3" xfId="35894"/>
    <cellStyle name="Note 3 4" xfId="35895"/>
    <cellStyle name="Note 3 5" xfId="35896"/>
    <cellStyle name="Note 3 6" xfId="35897"/>
    <cellStyle name="Note 3 7" xfId="35898"/>
    <cellStyle name="Note 3 8" xfId="35899"/>
    <cellStyle name="Note 3 9" xfId="35900"/>
    <cellStyle name="Note 30" xfId="35901"/>
    <cellStyle name="Note 31" xfId="35902"/>
    <cellStyle name="Note 32" xfId="35903"/>
    <cellStyle name="Note 33" xfId="35904"/>
    <cellStyle name="Note 34" xfId="35905"/>
    <cellStyle name="Note 35" xfId="35906"/>
    <cellStyle name="Note 35 2" xfId="35907"/>
    <cellStyle name="Note 35 2 2" xfId="35908"/>
    <cellStyle name="Note 35 2 2 2" xfId="35909"/>
    <cellStyle name="Note 35 3" xfId="35910"/>
    <cellStyle name="Note 35 4" xfId="35911"/>
    <cellStyle name="Note 36" xfId="35912"/>
    <cellStyle name="Note 37" xfId="35913"/>
    <cellStyle name="Note 38" xfId="35914"/>
    <cellStyle name="Note 39" xfId="35915"/>
    <cellStyle name="Note 4" xfId="35916"/>
    <cellStyle name="Note 4 2" xfId="35917"/>
    <cellStyle name="Note 4 3" xfId="35918"/>
    <cellStyle name="Note 4 4" xfId="35919"/>
    <cellStyle name="Note 4 5" xfId="35920"/>
    <cellStyle name="Note 40" xfId="35921"/>
    <cellStyle name="Note 41" xfId="35922"/>
    <cellStyle name="Note 42" xfId="35923"/>
    <cellStyle name="Note 43" xfId="35924"/>
    <cellStyle name="Note 44" xfId="35925"/>
    <cellStyle name="Note 45" xfId="35926"/>
    <cellStyle name="Note 46" xfId="35927"/>
    <cellStyle name="Note 47" xfId="35928"/>
    <cellStyle name="Note 48" xfId="35929"/>
    <cellStyle name="Note 49" xfId="35930"/>
    <cellStyle name="Note 5" xfId="35931"/>
    <cellStyle name="Note 5 2" xfId="35932"/>
    <cellStyle name="Note 50" xfId="35933"/>
    <cellStyle name="Note 51" xfId="35934"/>
    <cellStyle name="Note 52" xfId="35935"/>
    <cellStyle name="Note 53" xfId="35936"/>
    <cellStyle name="Note 54" xfId="35937"/>
    <cellStyle name="Note 55" xfId="35938"/>
    <cellStyle name="Note 56" xfId="35939"/>
    <cellStyle name="Note 57" xfId="35940"/>
    <cellStyle name="Note 58" xfId="35941"/>
    <cellStyle name="Note 59" xfId="35942"/>
    <cellStyle name="Note 6" xfId="35943"/>
    <cellStyle name="Note 6 2" xfId="35944"/>
    <cellStyle name="Note 60" xfId="35945"/>
    <cellStyle name="Note 60 2" xfId="35946"/>
    <cellStyle name="Note 60 2 2" xfId="35947"/>
    <cellStyle name="Note 60 2 2 2" xfId="35948"/>
    <cellStyle name="Note 60 2 3" xfId="35949"/>
    <cellStyle name="Note 61" xfId="35950"/>
    <cellStyle name="Note 62" xfId="35951"/>
    <cellStyle name="Note 63" xfId="35952"/>
    <cellStyle name="Note 64" xfId="35953"/>
    <cellStyle name="Note 65" xfId="35954"/>
    <cellStyle name="Note 7" xfId="35955"/>
    <cellStyle name="Note 7 2" xfId="35956"/>
    <cellStyle name="Note 8" xfId="35957"/>
    <cellStyle name="Note 8 2" xfId="35958"/>
    <cellStyle name="Note 9" xfId="35959"/>
    <cellStyle name="Note 9 2" xfId="35960"/>
    <cellStyle name="notes" xfId="35961"/>
    <cellStyle name="Number" xfId="35962"/>
    <cellStyle name="Number." xfId="35963"/>
    <cellStyle name="ofwhich" xfId="35964"/>
    <cellStyle name="One" xfId="35965"/>
    <cellStyle name="One 2" xfId="35966"/>
    <cellStyle name="Option" xfId="35967"/>
    <cellStyle name="OptionHeading" xfId="35968"/>
    <cellStyle name="OptionHeading2" xfId="35969"/>
    <cellStyle name="Output 10" xfId="35970"/>
    <cellStyle name="Output 11" xfId="35971"/>
    <cellStyle name="Output 12" xfId="35972"/>
    <cellStyle name="Output 13" xfId="35973"/>
    <cellStyle name="Output 14" xfId="35974"/>
    <cellStyle name="Output 15" xfId="35975"/>
    <cellStyle name="Output 16" xfId="35976"/>
    <cellStyle name="Output 17" xfId="35977"/>
    <cellStyle name="Output 18" xfId="35978"/>
    <cellStyle name="Output 19" xfId="35979"/>
    <cellStyle name="Output 2" xfId="35980"/>
    <cellStyle name="Output 2 10" xfId="35981"/>
    <cellStyle name="Output 2 11" xfId="35982"/>
    <cellStyle name="Output 2 12" xfId="35983"/>
    <cellStyle name="Output 2 2" xfId="35984"/>
    <cellStyle name="Output 2 2 2" xfId="35985"/>
    <cellStyle name="Output 2 2 2 2" xfId="35986"/>
    <cellStyle name="Output 2 2 2 2 2" xfId="35987"/>
    <cellStyle name="Output 2 2 2 2 3" xfId="35988"/>
    <cellStyle name="Output 2 2 2 3" xfId="35989"/>
    <cellStyle name="Output 2 2 2 3 2" xfId="35990"/>
    <cellStyle name="Output 2 2 2 3 3" xfId="35991"/>
    <cellStyle name="Output 2 2 2 4" xfId="35992"/>
    <cellStyle name="Output 2 2 2 5" xfId="35993"/>
    <cellStyle name="Output 2 2 3" xfId="35994"/>
    <cellStyle name="Output 2 2 4" xfId="35995"/>
    <cellStyle name="Output 2 2 5" xfId="35996"/>
    <cellStyle name="Output 2 3" xfId="35997"/>
    <cellStyle name="Output 2 3 2" xfId="35998"/>
    <cellStyle name="Output 2 3 2 2" xfId="35999"/>
    <cellStyle name="Output 2 3 2 3" xfId="36000"/>
    <cellStyle name="Output 2 3 3" xfId="36001"/>
    <cellStyle name="Output 2 3 3 2" xfId="36002"/>
    <cellStyle name="Output 2 3 3 3" xfId="36003"/>
    <cellStyle name="Output 2 3 4" xfId="36004"/>
    <cellStyle name="Output 2 3 5" xfId="36005"/>
    <cellStyle name="Output 2 4" xfId="36006"/>
    <cellStyle name="Output 2 5" xfId="36007"/>
    <cellStyle name="Output 2 6" xfId="36008"/>
    <cellStyle name="Output 2 7" xfId="36009"/>
    <cellStyle name="Output 2 8" xfId="36010"/>
    <cellStyle name="Output 2 9" xfId="36011"/>
    <cellStyle name="Output 20" xfId="36012"/>
    <cellStyle name="Output 21" xfId="36013"/>
    <cellStyle name="Output 22" xfId="36014"/>
    <cellStyle name="Output 23" xfId="36015"/>
    <cellStyle name="Output 24" xfId="36016"/>
    <cellStyle name="Output 25" xfId="36017"/>
    <cellStyle name="Output 26" xfId="36018"/>
    <cellStyle name="Output 27" xfId="36019"/>
    <cellStyle name="Output 28" xfId="36020"/>
    <cellStyle name="Output 29" xfId="36021"/>
    <cellStyle name="Output 3" xfId="36022"/>
    <cellStyle name="Output 3 10" xfId="36023"/>
    <cellStyle name="Output 3 11" xfId="36024"/>
    <cellStyle name="Output 3 2" xfId="36025"/>
    <cellStyle name="Output 3 3" xfId="36026"/>
    <cellStyle name="Output 3 4" xfId="36027"/>
    <cellStyle name="Output 3 5" xfId="36028"/>
    <cellStyle name="Output 3 6" xfId="36029"/>
    <cellStyle name="Output 3 7" xfId="36030"/>
    <cellStyle name="Output 3 8" xfId="36031"/>
    <cellStyle name="Output 3 9" xfId="36032"/>
    <cellStyle name="Output 30" xfId="36033"/>
    <cellStyle name="Output 31" xfId="36034"/>
    <cellStyle name="Output 32" xfId="36035"/>
    <cellStyle name="Output 33" xfId="36036"/>
    <cellStyle name="Output 34" xfId="36037"/>
    <cellStyle name="Output 35" xfId="36038"/>
    <cellStyle name="Output 35 2" xfId="36039"/>
    <cellStyle name="Output 35 2 2" xfId="36040"/>
    <cellStyle name="Output 35 2 2 2" xfId="36041"/>
    <cellStyle name="Output 35 3" xfId="36042"/>
    <cellStyle name="Output 35 4" xfId="36043"/>
    <cellStyle name="Output 36" xfId="36044"/>
    <cellStyle name="Output 37" xfId="36045"/>
    <cellStyle name="Output 38" xfId="36046"/>
    <cellStyle name="Output 39" xfId="36047"/>
    <cellStyle name="Output 4" xfId="36048"/>
    <cellStyle name="Output 4 2" xfId="36049"/>
    <cellStyle name="Output 4 3" xfId="36050"/>
    <cellStyle name="Output 4 4" xfId="36051"/>
    <cellStyle name="Output 40" xfId="36052"/>
    <cellStyle name="Output 41" xfId="36053"/>
    <cellStyle name="Output 42" xfId="36054"/>
    <cellStyle name="Output 43" xfId="36055"/>
    <cellStyle name="Output 44" xfId="36056"/>
    <cellStyle name="Output 45" xfId="36057"/>
    <cellStyle name="Output 46" xfId="36058"/>
    <cellStyle name="Output 47" xfId="36059"/>
    <cellStyle name="Output 48" xfId="36060"/>
    <cellStyle name="Output 49" xfId="36061"/>
    <cellStyle name="Output 5" xfId="36062"/>
    <cellStyle name="Output 50" xfId="36063"/>
    <cellStyle name="Output 51" xfId="36064"/>
    <cellStyle name="Output 52" xfId="36065"/>
    <cellStyle name="Output 53" xfId="36066"/>
    <cellStyle name="Output 54" xfId="36067"/>
    <cellStyle name="Output 55" xfId="36068"/>
    <cellStyle name="Output 56" xfId="36069"/>
    <cellStyle name="Output 57" xfId="36070"/>
    <cellStyle name="Output 58" xfId="36071"/>
    <cellStyle name="Output 59" xfId="36072"/>
    <cellStyle name="Output 6" xfId="36073"/>
    <cellStyle name="Output 60" xfId="36074"/>
    <cellStyle name="Output 60 2" xfId="36075"/>
    <cellStyle name="Output 60 2 2" xfId="36076"/>
    <cellStyle name="Output 60 2 2 2" xfId="36077"/>
    <cellStyle name="Output 60 2 3" xfId="36078"/>
    <cellStyle name="Output 61" xfId="36079"/>
    <cellStyle name="Output 62" xfId="36080"/>
    <cellStyle name="Output 63" xfId="36081"/>
    <cellStyle name="Output 64" xfId="36082"/>
    <cellStyle name="Output 65" xfId="36083"/>
    <cellStyle name="Output 66" xfId="36084"/>
    <cellStyle name="Output 7" xfId="36085"/>
    <cellStyle name="Output 8" xfId="36086"/>
    <cellStyle name="Output 9" xfId="36087"/>
    <cellStyle name="Output Amounts" xfId="36088"/>
    <cellStyle name="Output Column Headings" xfId="36089"/>
    <cellStyle name="Output Line Items" xfId="36090"/>
    <cellStyle name="Output Report Heading" xfId="36091"/>
    <cellStyle name="Output Report Title" xfId="36092"/>
    <cellStyle name="OutputLbl_RP" xfId="36093"/>
    <cellStyle name="P" xfId="36094"/>
    <cellStyle name="P 2" xfId="36095"/>
    <cellStyle name="P 2 2" xfId="36096"/>
    <cellStyle name="P 3" xfId="36097"/>
    <cellStyle name="Page Number" xfId="36098"/>
    <cellStyle name="Pattern" xfId="36099"/>
    <cellStyle name="Percent" xfId="11" builtinId="5"/>
    <cellStyle name="Percent [0]" xfId="36100"/>
    <cellStyle name="Percent [0] 2" xfId="36101"/>
    <cellStyle name="Percent [1]" xfId="36102"/>
    <cellStyle name="Percent [1] 2" xfId="36103"/>
    <cellStyle name="Percent [2]" xfId="36104"/>
    <cellStyle name="Percent [2] 2" xfId="36105"/>
    <cellStyle name="Percent 10" xfId="36106"/>
    <cellStyle name="Percent 10 10" xfId="36107"/>
    <cellStyle name="Percent 10 11" xfId="36108"/>
    <cellStyle name="Percent 10 12" xfId="36109"/>
    <cellStyle name="Percent 10 13" xfId="36110"/>
    <cellStyle name="Percent 10 14" xfId="36111"/>
    <cellStyle name="Percent 10 15" xfId="36112"/>
    <cellStyle name="Percent 10 16" xfId="36113"/>
    <cellStyle name="Percent 10 17" xfId="36114"/>
    <cellStyle name="Percent 10 18" xfId="36115"/>
    <cellStyle name="Percent 10 19" xfId="36116"/>
    <cellStyle name="Percent 10 2" xfId="36117"/>
    <cellStyle name="Percent 10 2 2" xfId="36118"/>
    <cellStyle name="Percent 10 2 3" xfId="36119"/>
    <cellStyle name="Percent 10 20" xfId="36120"/>
    <cellStyle name="Percent 10 21" xfId="36121"/>
    <cellStyle name="Percent 10 22" xfId="36122"/>
    <cellStyle name="Percent 10 23" xfId="36123"/>
    <cellStyle name="Percent 10 24" xfId="36124"/>
    <cellStyle name="Percent 10 3" xfId="36125"/>
    <cellStyle name="Percent 10 3 2" xfId="36126"/>
    <cellStyle name="Percent 10 3 3" xfId="36127"/>
    <cellStyle name="Percent 10 4" xfId="36128"/>
    <cellStyle name="Percent 10 5" xfId="36129"/>
    <cellStyle name="Percent 10 6" xfId="36130"/>
    <cellStyle name="Percent 10 7" xfId="36131"/>
    <cellStyle name="Percent 10 8" xfId="36132"/>
    <cellStyle name="Percent 10 9" xfId="36133"/>
    <cellStyle name="Percent 11" xfId="36134"/>
    <cellStyle name="Percent 12" xfId="36135"/>
    <cellStyle name="Percent 12 10" xfId="36136"/>
    <cellStyle name="Percent 12 11" xfId="36137"/>
    <cellStyle name="Percent 12 12" xfId="36138"/>
    <cellStyle name="Percent 12 13" xfId="36139"/>
    <cellStyle name="Percent 12 14" xfId="36140"/>
    <cellStyle name="Percent 12 15" xfId="36141"/>
    <cellStyle name="Percent 12 16" xfId="36142"/>
    <cellStyle name="Percent 12 17" xfId="36143"/>
    <cellStyle name="Percent 12 18" xfId="36144"/>
    <cellStyle name="Percent 12 19" xfId="36145"/>
    <cellStyle name="Percent 12 2" xfId="36146"/>
    <cellStyle name="Percent 12 3" xfId="36147"/>
    <cellStyle name="Percent 12 4" xfId="36148"/>
    <cellStyle name="Percent 12 5" xfId="36149"/>
    <cellStyle name="Percent 12 6" xfId="36150"/>
    <cellStyle name="Percent 12 7" xfId="36151"/>
    <cellStyle name="Percent 12 8" xfId="36152"/>
    <cellStyle name="Percent 12 9" xfId="36153"/>
    <cellStyle name="Percent 13" xfId="36154"/>
    <cellStyle name="Percent 13 10" xfId="36155"/>
    <cellStyle name="Percent 13 11" xfId="36156"/>
    <cellStyle name="Percent 13 12" xfId="36157"/>
    <cellStyle name="Percent 13 13" xfId="36158"/>
    <cellStyle name="Percent 13 14" xfId="36159"/>
    <cellStyle name="Percent 13 15" xfId="36160"/>
    <cellStyle name="Percent 13 16" xfId="36161"/>
    <cellStyle name="Percent 13 17" xfId="36162"/>
    <cellStyle name="Percent 13 18" xfId="36163"/>
    <cellStyle name="Percent 13 19" xfId="36164"/>
    <cellStyle name="Percent 13 2" xfId="36165"/>
    <cellStyle name="Percent 13 20" xfId="36166"/>
    <cellStyle name="Percent 13 21" xfId="36167"/>
    <cellStyle name="Percent 13 3" xfId="36168"/>
    <cellStyle name="Percent 13 4" xfId="36169"/>
    <cellStyle name="Percent 13 5" xfId="36170"/>
    <cellStyle name="Percent 13 6" xfId="36171"/>
    <cellStyle name="Percent 13 7" xfId="36172"/>
    <cellStyle name="Percent 13 8" xfId="36173"/>
    <cellStyle name="Percent 13 9" xfId="36174"/>
    <cellStyle name="Percent 14" xfId="36175"/>
    <cellStyle name="Percent 15" xfId="36176"/>
    <cellStyle name="Percent 16" xfId="36177"/>
    <cellStyle name="Percent 16 10" xfId="36178"/>
    <cellStyle name="Percent 16 11" xfId="36179"/>
    <cellStyle name="Percent 16 12" xfId="36180"/>
    <cellStyle name="Percent 16 13" xfId="36181"/>
    <cellStyle name="Percent 16 14" xfId="36182"/>
    <cellStyle name="Percent 16 15" xfId="36183"/>
    <cellStyle name="Percent 16 16" xfId="36184"/>
    <cellStyle name="Percent 16 17" xfId="36185"/>
    <cellStyle name="Percent 16 18" xfId="36186"/>
    <cellStyle name="Percent 16 19" xfId="36187"/>
    <cellStyle name="Percent 16 2" xfId="36188"/>
    <cellStyle name="Percent 16 3" xfId="36189"/>
    <cellStyle name="Percent 16 4" xfId="36190"/>
    <cellStyle name="Percent 16 5" xfId="36191"/>
    <cellStyle name="Percent 16 6" xfId="36192"/>
    <cellStyle name="Percent 16 7" xfId="36193"/>
    <cellStyle name="Percent 16 8" xfId="36194"/>
    <cellStyle name="Percent 16 9" xfId="36195"/>
    <cellStyle name="Percent 17" xfId="36196"/>
    <cellStyle name="Percent 17 10" xfId="36197"/>
    <cellStyle name="Percent 17 2" xfId="36198"/>
    <cellStyle name="Percent 17 3" xfId="36199"/>
    <cellStyle name="Percent 17 4" xfId="36200"/>
    <cellStyle name="Percent 17 5" xfId="36201"/>
    <cellStyle name="Percent 17 6" xfId="36202"/>
    <cellStyle name="Percent 17 7" xfId="36203"/>
    <cellStyle name="Percent 17 8" xfId="36204"/>
    <cellStyle name="Percent 17 9" xfId="36205"/>
    <cellStyle name="Percent 18" xfId="36206"/>
    <cellStyle name="Percent 19" xfId="36207"/>
    <cellStyle name="Percent 2" xfId="36208"/>
    <cellStyle name="Percent 2 10" xfId="36209"/>
    <cellStyle name="Percent 2 10 2" xfId="36210"/>
    <cellStyle name="Percent 2 10 3" xfId="36211"/>
    <cellStyle name="Percent 2 10 3 2" xfId="36212"/>
    <cellStyle name="Percent 2 11" xfId="36213"/>
    <cellStyle name="Percent 2 12" xfId="36214"/>
    <cellStyle name="Percent 2 12 2" xfId="36215"/>
    <cellStyle name="Percent 2 13" xfId="36216"/>
    <cellStyle name="Percent 2 14" xfId="36217"/>
    <cellStyle name="Percent 2 15" xfId="36218"/>
    <cellStyle name="Percent 2 16" xfId="36219"/>
    <cellStyle name="Percent 2 17" xfId="36220"/>
    <cellStyle name="Percent 2 18" xfId="36221"/>
    <cellStyle name="Percent 2 19" xfId="36222"/>
    <cellStyle name="Percent 2 2" xfId="36223"/>
    <cellStyle name="Percent 2 2 2" xfId="36224"/>
    <cellStyle name="Percent 2 2 2 2" xfId="36225"/>
    <cellStyle name="Percent 2 2 2 3" xfId="36226"/>
    <cellStyle name="Percent 2 2 2 4" xfId="36227"/>
    <cellStyle name="Percent 2 2 3" xfId="36228"/>
    <cellStyle name="Percent 2 2 4" xfId="36229"/>
    <cellStyle name="Percent 2 2 5" xfId="36230"/>
    <cellStyle name="Percent 2 2 6" xfId="36231"/>
    <cellStyle name="Percent 2 2 7" xfId="36232"/>
    <cellStyle name="Percent 2 2 8" xfId="36233"/>
    <cellStyle name="Percent 2 2 9" xfId="36234"/>
    <cellStyle name="Percent 2 20" xfId="36235"/>
    <cellStyle name="Percent 2 21" xfId="36236"/>
    <cellStyle name="Percent 2 22" xfId="36237"/>
    <cellStyle name="Percent 2 23" xfId="36238"/>
    <cellStyle name="Percent 2 24" xfId="36239"/>
    <cellStyle name="Percent 2 25" xfId="36240"/>
    <cellStyle name="Percent 2 26" xfId="36241"/>
    <cellStyle name="Percent 2 27" xfId="36242"/>
    <cellStyle name="Percent 2 28" xfId="36243"/>
    <cellStyle name="Percent 2 29" xfId="36244"/>
    <cellStyle name="Percent 2 3" xfId="36245"/>
    <cellStyle name="Percent 2 3 2" xfId="36246"/>
    <cellStyle name="Percent 2 3 3" xfId="36247"/>
    <cellStyle name="Percent 2 30" xfId="36248"/>
    <cellStyle name="Percent 2 31" xfId="36249"/>
    <cellStyle name="Percent 2 32" xfId="36250"/>
    <cellStyle name="Percent 2 33" xfId="36251"/>
    <cellStyle name="Percent 2 34" xfId="36252"/>
    <cellStyle name="Percent 2 35" xfId="36253"/>
    <cellStyle name="Percent 2 36" xfId="36254"/>
    <cellStyle name="Percent 2 37" xfId="36255"/>
    <cellStyle name="Percent 2 38" xfId="36256"/>
    <cellStyle name="Percent 2 38 2" xfId="36257"/>
    <cellStyle name="Percent 2 38 2 2" xfId="36258"/>
    <cellStyle name="Percent 2 38 2 2 2" xfId="36259"/>
    <cellStyle name="Percent 2 38 3" xfId="36260"/>
    <cellStyle name="Percent 2 39" xfId="36261"/>
    <cellStyle name="Percent 2 4" xfId="36262"/>
    <cellStyle name="Percent 2 4 2" xfId="36263"/>
    <cellStyle name="Percent 2 4 3" xfId="36264"/>
    <cellStyle name="Percent 2 40" xfId="36265"/>
    <cellStyle name="Percent 2 41" xfId="36266"/>
    <cellStyle name="Percent 2 42" xfId="36267"/>
    <cellStyle name="Percent 2 43" xfId="36268"/>
    <cellStyle name="Percent 2 44" xfId="36269"/>
    <cellStyle name="Percent 2 45" xfId="36270"/>
    <cellStyle name="Percent 2 46" xfId="36271"/>
    <cellStyle name="Percent 2 47" xfId="36272"/>
    <cellStyle name="Percent 2 48" xfId="36273"/>
    <cellStyle name="Percent 2 49" xfId="36274"/>
    <cellStyle name="Percent 2 5" xfId="36275"/>
    <cellStyle name="Percent 2 5 2" xfId="36276"/>
    <cellStyle name="Percent 2 5 3" xfId="36277"/>
    <cellStyle name="Percent 2 50" xfId="36278"/>
    <cellStyle name="Percent 2 51" xfId="36279"/>
    <cellStyle name="Percent 2 52" xfId="36280"/>
    <cellStyle name="Percent 2 53" xfId="36281"/>
    <cellStyle name="Percent 2 54" xfId="36282"/>
    <cellStyle name="Percent 2 55" xfId="36283"/>
    <cellStyle name="Percent 2 56" xfId="36284"/>
    <cellStyle name="Percent 2 57" xfId="36285"/>
    <cellStyle name="Percent 2 58" xfId="36286"/>
    <cellStyle name="Percent 2 59" xfId="36287"/>
    <cellStyle name="Percent 2 6" xfId="36288"/>
    <cellStyle name="Percent 2 6 2" xfId="36289"/>
    <cellStyle name="Percent 2 6 3" xfId="36290"/>
    <cellStyle name="Percent 2 60" xfId="36291"/>
    <cellStyle name="Percent 2 61" xfId="36292"/>
    <cellStyle name="Percent 2 62" xfId="36293"/>
    <cellStyle name="Percent 2 63" xfId="36294"/>
    <cellStyle name="Percent 2 63 2" xfId="36295"/>
    <cellStyle name="Percent 2 64" xfId="36296"/>
    <cellStyle name="Percent 2 65" xfId="36297"/>
    <cellStyle name="Percent 2 66" xfId="36298"/>
    <cellStyle name="Percent 2 67" xfId="36299"/>
    <cellStyle name="Percent 2 68" xfId="36300"/>
    <cellStyle name="Percent 2 69" xfId="36301"/>
    <cellStyle name="Percent 2 7" xfId="36302"/>
    <cellStyle name="Percent 2 7 2" xfId="36303"/>
    <cellStyle name="Percent 2 70" xfId="36304"/>
    <cellStyle name="Percent 2 8" xfId="36305"/>
    <cellStyle name="Percent 2 8 2" xfId="36306"/>
    <cellStyle name="Percent 2 9" xfId="36307"/>
    <cellStyle name="Percent 2 9 2" xfId="36308"/>
    <cellStyle name="Percent 20" xfId="36309"/>
    <cellStyle name="Percent 21" xfId="36310"/>
    <cellStyle name="Percent 21 2" xfId="36311"/>
    <cellStyle name="Percent 21 3" xfId="36312"/>
    <cellStyle name="Percent 22" xfId="36313"/>
    <cellStyle name="Percent 22 10" xfId="36314"/>
    <cellStyle name="Percent 22 11" xfId="36315"/>
    <cellStyle name="Percent 22 12" xfId="36316"/>
    <cellStyle name="Percent 22 13" xfId="36317"/>
    <cellStyle name="Percent 22 14" xfId="36318"/>
    <cellStyle name="Percent 22 15" xfId="36319"/>
    <cellStyle name="Percent 22 16" xfId="36320"/>
    <cellStyle name="Percent 22 17" xfId="36321"/>
    <cellStyle name="Percent 22 18" xfId="36322"/>
    <cellStyle name="Percent 22 19" xfId="36323"/>
    <cellStyle name="Percent 22 2" xfId="36324"/>
    <cellStyle name="Percent 22 20" xfId="36325"/>
    <cellStyle name="Percent 22 21" xfId="36326"/>
    <cellStyle name="Percent 22 3" xfId="36327"/>
    <cellStyle name="Percent 22 4" xfId="36328"/>
    <cellStyle name="Percent 22 5" xfId="36329"/>
    <cellStyle name="Percent 22 6" xfId="36330"/>
    <cellStyle name="Percent 22 7" xfId="36331"/>
    <cellStyle name="Percent 22 8" xfId="36332"/>
    <cellStyle name="Percent 22 9" xfId="36333"/>
    <cellStyle name="Percent 23" xfId="36334"/>
    <cellStyle name="Percent 24" xfId="36335"/>
    <cellStyle name="Percent 25" xfId="36336"/>
    <cellStyle name="Percent 26" xfId="36337"/>
    <cellStyle name="Percent 27" xfId="36338"/>
    <cellStyle name="Percent 27 10" xfId="36339"/>
    <cellStyle name="Percent 27 11" xfId="36340"/>
    <cellStyle name="Percent 27 12" xfId="36341"/>
    <cellStyle name="Percent 27 13" xfId="36342"/>
    <cellStyle name="Percent 27 14" xfId="36343"/>
    <cellStyle name="Percent 27 15" xfId="36344"/>
    <cellStyle name="Percent 27 16" xfId="36345"/>
    <cellStyle name="Percent 27 17" xfId="36346"/>
    <cellStyle name="Percent 27 18" xfId="36347"/>
    <cellStyle name="Percent 27 2" xfId="36348"/>
    <cellStyle name="Percent 27 3" xfId="36349"/>
    <cellStyle name="Percent 27 4" xfId="36350"/>
    <cellStyle name="Percent 27 5" xfId="36351"/>
    <cellStyle name="Percent 27 6" xfId="36352"/>
    <cellStyle name="Percent 27 7" xfId="36353"/>
    <cellStyle name="Percent 27 8" xfId="36354"/>
    <cellStyle name="Percent 27 9" xfId="36355"/>
    <cellStyle name="Percent 28" xfId="36356"/>
    <cellStyle name="Percent 28 10" xfId="36357"/>
    <cellStyle name="Percent 28 11" xfId="36358"/>
    <cellStyle name="Percent 28 12" xfId="36359"/>
    <cellStyle name="Percent 28 13" xfId="36360"/>
    <cellStyle name="Percent 28 14" xfId="36361"/>
    <cellStyle name="Percent 28 15" xfId="36362"/>
    <cellStyle name="Percent 28 16" xfId="36363"/>
    <cellStyle name="Percent 28 17" xfId="36364"/>
    <cellStyle name="Percent 28 18" xfId="36365"/>
    <cellStyle name="Percent 28 19" xfId="36366"/>
    <cellStyle name="Percent 28 2" xfId="36367"/>
    <cellStyle name="Percent 28 3" xfId="36368"/>
    <cellStyle name="Percent 28 4" xfId="36369"/>
    <cellStyle name="Percent 28 5" xfId="36370"/>
    <cellStyle name="Percent 28 6" xfId="36371"/>
    <cellStyle name="Percent 28 7" xfId="36372"/>
    <cellStyle name="Percent 28 8" xfId="36373"/>
    <cellStyle name="Percent 28 9" xfId="36374"/>
    <cellStyle name="Percent 29" xfId="36375"/>
    <cellStyle name="Percent 3" xfId="36376"/>
    <cellStyle name="Percent 3 2" xfId="36377"/>
    <cellStyle name="Percent 3 2 2" xfId="36378"/>
    <cellStyle name="Percent 3 2 2 2" xfId="36379"/>
    <cellStyle name="Percent 3 2 3" xfId="36380"/>
    <cellStyle name="Percent 3 3" xfId="36381"/>
    <cellStyle name="Percent 3 3 2" xfId="36382"/>
    <cellStyle name="Percent 3 3 3" xfId="36383"/>
    <cellStyle name="Percent 3 4" xfId="36384"/>
    <cellStyle name="Percent 30" xfId="36385"/>
    <cellStyle name="Percent 30 10" xfId="36386"/>
    <cellStyle name="Percent 30 11" xfId="36387"/>
    <cellStyle name="Percent 30 12" xfId="36388"/>
    <cellStyle name="Percent 30 13" xfId="36389"/>
    <cellStyle name="Percent 30 14" xfId="36390"/>
    <cellStyle name="Percent 30 15" xfId="36391"/>
    <cellStyle name="Percent 30 2" xfId="36392"/>
    <cellStyle name="Percent 30 3" xfId="36393"/>
    <cellStyle name="Percent 30 4" xfId="36394"/>
    <cellStyle name="Percent 30 5" xfId="36395"/>
    <cellStyle name="Percent 30 6" xfId="36396"/>
    <cellStyle name="Percent 30 7" xfId="36397"/>
    <cellStyle name="Percent 30 8" xfId="36398"/>
    <cellStyle name="Percent 30 9" xfId="36399"/>
    <cellStyle name="Percent 31" xfId="36400"/>
    <cellStyle name="Percent 32" xfId="36401"/>
    <cellStyle name="Percent 33" xfId="15"/>
    <cellStyle name="Percent 36" xfId="36402"/>
    <cellStyle name="Percent 36 2" xfId="36403"/>
    <cellStyle name="Percent 36 3" xfId="36404"/>
    <cellStyle name="Percent 36 4" xfId="36405"/>
    <cellStyle name="Percent 36 5" xfId="36406"/>
    <cellStyle name="Percent 36 6" xfId="36407"/>
    <cellStyle name="Percent 36 7" xfId="36408"/>
    <cellStyle name="Percent 36 8" xfId="36409"/>
    <cellStyle name="Percent 36 9" xfId="36410"/>
    <cellStyle name="Percent 39 2" xfId="36411"/>
    <cellStyle name="Percent 39 3" xfId="36412"/>
    <cellStyle name="Percent 39 4" xfId="36413"/>
    <cellStyle name="Percent 39 5" xfId="36414"/>
    <cellStyle name="Percent 39 6" xfId="36415"/>
    <cellStyle name="Percent 39 7" xfId="36416"/>
    <cellStyle name="Percent 39 8" xfId="36417"/>
    <cellStyle name="Percent 39 9" xfId="36418"/>
    <cellStyle name="Percent 4" xfId="36419"/>
    <cellStyle name="Percent 4 10" xfId="36420"/>
    <cellStyle name="Percent 4 11" xfId="36421"/>
    <cellStyle name="Percent 4 12" xfId="36422"/>
    <cellStyle name="Percent 4 13" xfId="36423"/>
    <cellStyle name="Percent 4 14" xfId="36424"/>
    <cellStyle name="Percent 4 15" xfId="36425"/>
    <cellStyle name="Percent 4 16" xfId="36426"/>
    <cellStyle name="Percent 4 17" xfId="36427"/>
    <cellStyle name="Percent 4 18" xfId="36428"/>
    <cellStyle name="Percent 4 19" xfId="36429"/>
    <cellStyle name="Percent 4 2" xfId="36430"/>
    <cellStyle name="Percent 4 2 2" xfId="36431"/>
    <cellStyle name="Percent 4 20" xfId="36432"/>
    <cellStyle name="Percent 4 21" xfId="36433"/>
    <cellStyle name="Percent 4 22" xfId="36434"/>
    <cellStyle name="Percent 4 23" xfId="36435"/>
    <cellStyle name="Percent 4 24" xfId="36436"/>
    <cellStyle name="Percent 4 25" xfId="36437"/>
    <cellStyle name="Percent 4 26" xfId="36438"/>
    <cellStyle name="Percent 4 27" xfId="36439"/>
    <cellStyle name="Percent 4 28" xfId="36440"/>
    <cellStyle name="Percent 4 29" xfId="36441"/>
    <cellStyle name="Percent 4 3" xfId="36442"/>
    <cellStyle name="Percent 4 30" xfId="36443"/>
    <cellStyle name="Percent 4 31" xfId="36444"/>
    <cellStyle name="Percent 4 32" xfId="36445"/>
    <cellStyle name="Percent 4 4" xfId="36446"/>
    <cellStyle name="Percent 4 5" xfId="36447"/>
    <cellStyle name="Percent 4 6" xfId="36448"/>
    <cellStyle name="Percent 4 7" xfId="36449"/>
    <cellStyle name="Percent 4 8" xfId="36450"/>
    <cellStyle name="Percent 4 9" xfId="36451"/>
    <cellStyle name="Percent 43" xfId="36452"/>
    <cellStyle name="Percent 47" xfId="36453"/>
    <cellStyle name="Percent 5" xfId="36454"/>
    <cellStyle name="Percent 5 10" xfId="36455"/>
    <cellStyle name="Percent 5 11" xfId="36456"/>
    <cellStyle name="Percent 5 12" xfId="36457"/>
    <cellStyle name="Percent 5 13" xfId="36458"/>
    <cellStyle name="Percent 5 14" xfId="36459"/>
    <cellStyle name="Percent 5 15" xfId="36460"/>
    <cellStyle name="Percent 5 16" xfId="36461"/>
    <cellStyle name="Percent 5 2" xfId="36462"/>
    <cellStyle name="Percent 5 2 2" xfId="36463"/>
    <cellStyle name="Percent 5 3" xfId="36464"/>
    <cellStyle name="Percent 5 4" xfId="36465"/>
    <cellStyle name="Percent 5 5" xfId="36466"/>
    <cellStyle name="Percent 5 6" xfId="36467"/>
    <cellStyle name="Percent 5 7" xfId="36468"/>
    <cellStyle name="Percent 5 8" xfId="36469"/>
    <cellStyle name="Percent 5 9" xfId="36470"/>
    <cellStyle name="Percent 6" xfId="36471"/>
    <cellStyle name="Percent 6 2" xfId="36472"/>
    <cellStyle name="Percent 6 3" xfId="36473"/>
    <cellStyle name="Percent 6 4" xfId="36474"/>
    <cellStyle name="Percent 7" xfId="36475"/>
    <cellStyle name="Percent 7 10" xfId="36476"/>
    <cellStyle name="Percent 7 11" xfId="36477"/>
    <cellStyle name="Percent 7 12" xfId="36478"/>
    <cellStyle name="Percent 7 13" xfId="36479"/>
    <cellStyle name="Percent 7 14" xfId="36480"/>
    <cellStyle name="Percent 7 15" xfId="36481"/>
    <cellStyle name="Percent 7 16" xfId="36482"/>
    <cellStyle name="Percent 7 17" xfId="36483"/>
    <cellStyle name="Percent 7 18" xfId="36484"/>
    <cellStyle name="Percent 7 19" xfId="36485"/>
    <cellStyle name="Percent 7 2" xfId="36486"/>
    <cellStyle name="Percent 7 2 2" xfId="36487"/>
    <cellStyle name="Percent 7 2 3" xfId="36488"/>
    <cellStyle name="Percent 7 20" xfId="36489"/>
    <cellStyle name="Percent 7 21" xfId="36490"/>
    <cellStyle name="Percent 7 22" xfId="36491"/>
    <cellStyle name="Percent 7 23" xfId="36492"/>
    <cellStyle name="Percent 7 24" xfId="36493"/>
    <cellStyle name="Percent 7 25" xfId="36494"/>
    <cellStyle name="Percent 7 26" xfId="36495"/>
    <cellStyle name="Percent 7 27" xfId="36496"/>
    <cellStyle name="Percent 7 28" xfId="36497"/>
    <cellStyle name="Percent 7 29" xfId="36498"/>
    <cellStyle name="Percent 7 3" xfId="36499"/>
    <cellStyle name="Percent 7 30" xfId="36500"/>
    <cellStyle name="Percent 7 31" xfId="36501"/>
    <cellStyle name="Percent 7 32" xfId="36502"/>
    <cellStyle name="Percent 7 33" xfId="36503"/>
    <cellStyle name="Percent 7 34" xfId="36504"/>
    <cellStyle name="Percent 7 4" xfId="36505"/>
    <cellStyle name="Percent 7 5" xfId="36506"/>
    <cellStyle name="Percent 7 6" xfId="36507"/>
    <cellStyle name="Percent 7 7" xfId="36508"/>
    <cellStyle name="Percent 7 8" xfId="36509"/>
    <cellStyle name="Percent 7 9" xfId="36510"/>
    <cellStyle name="Percent 8" xfId="36511"/>
    <cellStyle name="Percent 8 2" xfId="36512"/>
    <cellStyle name="Percent 8 3" xfId="36513"/>
    <cellStyle name="Percent 8 4" xfId="36514"/>
    <cellStyle name="Percent 8 5" xfId="36515"/>
    <cellStyle name="Percent 8 6" xfId="36516"/>
    <cellStyle name="Percent 9" xfId="36517"/>
    <cellStyle name="Percent 9 10" xfId="36518"/>
    <cellStyle name="Percent 9 11" xfId="36519"/>
    <cellStyle name="Percent 9 12" xfId="36520"/>
    <cellStyle name="Percent 9 13" xfId="36521"/>
    <cellStyle name="Percent 9 2" xfId="36522"/>
    <cellStyle name="Percent 9 2 2" xfId="36523"/>
    <cellStyle name="Percent 9 2 2 2" xfId="36524"/>
    <cellStyle name="Percent 9 2 3" xfId="36525"/>
    <cellStyle name="Percent 9 3" xfId="36526"/>
    <cellStyle name="Percent 9 3 2" xfId="36527"/>
    <cellStyle name="Percent 9 3 3" xfId="36528"/>
    <cellStyle name="Percent 9 4" xfId="36529"/>
    <cellStyle name="Percent 9 4 2" xfId="36530"/>
    <cellStyle name="Percent 9 5" xfId="36531"/>
    <cellStyle name="Percent 9 6" xfId="36532"/>
    <cellStyle name="Percent 9 7" xfId="36533"/>
    <cellStyle name="Percent 9 8" xfId="36534"/>
    <cellStyle name="Percent 9 9" xfId="36535"/>
    <cellStyle name="Percent*" xfId="36536"/>
    <cellStyle name="Percent.0" xfId="36537"/>
    <cellStyle name="Percent.00" xfId="36538"/>
    <cellStyle name="Percent0" xfId="36539"/>
    <cellStyle name="Percentage" xfId="36540"/>
    <cellStyle name="Percentage 2" xfId="36541"/>
    <cellStyle name="Percentuale 2" xfId="36542"/>
    <cellStyle name="Percentuale 2 2" xfId="36543"/>
    <cellStyle name="Period" xfId="36544"/>
    <cellStyle name="Period +" xfId="36545"/>
    <cellStyle name="Price" xfId="36546"/>
    <cellStyle name="Problem Formula" xfId="36547"/>
    <cellStyle name="ProductClass" xfId="36548"/>
    <cellStyle name="ProductType" xfId="36549"/>
    <cellStyle name="ProgramArea_RP" xfId="36550"/>
    <cellStyle name="Publication_style" xfId="36551"/>
    <cellStyle name="QvB" xfId="36552"/>
    <cellStyle name="RebateValue" xfId="36553"/>
    <cellStyle name="Refdb standard" xfId="12"/>
    <cellStyle name="Refdb standard 2" xfId="36554"/>
    <cellStyle name="ReportData" xfId="36555"/>
    <cellStyle name="ReportElements" xfId="36556"/>
    <cellStyle name="ReportHeader" xfId="36557"/>
    <cellStyle name="ReportHeader 2" xfId="36558"/>
    <cellStyle name="Reports-0" xfId="36559"/>
    <cellStyle name="Reports-2" xfId="36560"/>
    <cellStyle name="ResellerType" xfId="36561"/>
    <cellStyle name="RISKbigPercent" xfId="36562"/>
    <cellStyle name="RISKbigPercent 2" xfId="36563"/>
    <cellStyle name="RISKbigPercent 2 2" xfId="36564"/>
    <cellStyle name="RISKbigPercent 2 3" xfId="36565"/>
    <cellStyle name="RISKbigPercent 2 4" xfId="36566"/>
    <cellStyle name="RISKbigPercent 2 5" xfId="36567"/>
    <cellStyle name="RISKbigPercent 3" xfId="36568"/>
    <cellStyle name="RISKbigPercent 4" xfId="36569"/>
    <cellStyle name="RISKbigPercent 5" xfId="36570"/>
    <cellStyle name="RISKbigPercent 6" xfId="36571"/>
    <cellStyle name="RISKbigPercent 7" xfId="36572"/>
    <cellStyle name="RISKbigPercent 8" xfId="36573"/>
    <cellStyle name="RISKblandrEdge" xfId="36574"/>
    <cellStyle name="RISKblandrEdge 2" xfId="36575"/>
    <cellStyle name="RISKblandrEdge 2 2" xfId="36576"/>
    <cellStyle name="RISKblandrEdge 2 3" xfId="36577"/>
    <cellStyle name="RISKblandrEdge 2 4" xfId="36578"/>
    <cellStyle name="RISKblandrEdge 2 5" xfId="36579"/>
    <cellStyle name="RISKblandrEdge 3" xfId="36580"/>
    <cellStyle name="RISKblandrEdge 4" xfId="36581"/>
    <cellStyle name="RISKblandrEdge 5" xfId="36582"/>
    <cellStyle name="RISKblandrEdge 6" xfId="36583"/>
    <cellStyle name="RISKblandrEdge 7" xfId="36584"/>
    <cellStyle name="RISKblandrEdge 8" xfId="36585"/>
    <cellStyle name="RISKblCorner" xfId="36586"/>
    <cellStyle name="RISKblCorner 2" xfId="36587"/>
    <cellStyle name="RISKblCorner 2 2" xfId="36588"/>
    <cellStyle name="RISKblCorner 2 3" xfId="36589"/>
    <cellStyle name="RISKblCorner 2 4" xfId="36590"/>
    <cellStyle name="RISKblCorner 2 5" xfId="36591"/>
    <cellStyle name="RISKblCorner 3" xfId="36592"/>
    <cellStyle name="RISKblCorner 4" xfId="36593"/>
    <cellStyle name="RISKblCorner 5" xfId="36594"/>
    <cellStyle name="RISKblCorner 6" xfId="36595"/>
    <cellStyle name="RISKblCorner 7" xfId="36596"/>
    <cellStyle name="RISKblCorner 8" xfId="36597"/>
    <cellStyle name="RISKbottomEdge" xfId="36598"/>
    <cellStyle name="RISKbottomEdge 2" xfId="36599"/>
    <cellStyle name="RISKbottomEdge 2 2" xfId="36600"/>
    <cellStyle name="RISKbottomEdge 2 3" xfId="36601"/>
    <cellStyle name="RISKbottomEdge 2 4" xfId="36602"/>
    <cellStyle name="RISKbottomEdge 2 5" xfId="36603"/>
    <cellStyle name="RISKbottomEdge 3" xfId="36604"/>
    <cellStyle name="RISKbottomEdge 4" xfId="36605"/>
    <cellStyle name="RISKbottomEdge 5" xfId="36606"/>
    <cellStyle name="RISKbottomEdge 6" xfId="36607"/>
    <cellStyle name="RISKbottomEdge 7" xfId="36608"/>
    <cellStyle name="RISKbottomEdge 8" xfId="36609"/>
    <cellStyle name="RISKbrCorner" xfId="36610"/>
    <cellStyle name="RISKbrCorner 2" xfId="36611"/>
    <cellStyle name="RISKbrCorner 2 2" xfId="36612"/>
    <cellStyle name="RISKbrCorner 2 3" xfId="36613"/>
    <cellStyle name="RISKbrCorner 2 4" xfId="36614"/>
    <cellStyle name="RISKbrCorner 2 5" xfId="36615"/>
    <cellStyle name="RISKbrCorner 3" xfId="36616"/>
    <cellStyle name="RISKbrCorner 4" xfId="36617"/>
    <cellStyle name="RISKbrCorner 5" xfId="36618"/>
    <cellStyle name="RISKbrCorner 6" xfId="36619"/>
    <cellStyle name="RISKbrCorner 7" xfId="36620"/>
    <cellStyle name="RISKbrCorner 8" xfId="36621"/>
    <cellStyle name="RISKdarkBoxed" xfId="36622"/>
    <cellStyle name="RISKdarkBoxed 2" xfId="36623"/>
    <cellStyle name="RISKdarkBoxed 2 2" xfId="36624"/>
    <cellStyle name="RISKdarkBoxed 2 3" xfId="36625"/>
    <cellStyle name="RISKdarkBoxed 2 4" xfId="36626"/>
    <cellStyle name="RISKdarkBoxed 2 5" xfId="36627"/>
    <cellStyle name="RISKdarkBoxed 3" xfId="36628"/>
    <cellStyle name="RISKdarkBoxed 4" xfId="36629"/>
    <cellStyle name="RISKdarkBoxed 5" xfId="36630"/>
    <cellStyle name="RISKdarkBoxed 6" xfId="36631"/>
    <cellStyle name="RISKdarkBoxed 7" xfId="36632"/>
    <cellStyle name="RISKdarkBoxed 8" xfId="36633"/>
    <cellStyle name="RISKdarkShade" xfId="36634"/>
    <cellStyle name="RISKdarkShade 2" xfId="36635"/>
    <cellStyle name="RISKdarkShade 2 2" xfId="36636"/>
    <cellStyle name="RISKdarkShade 2 3" xfId="36637"/>
    <cellStyle name="RISKdarkShade 2 4" xfId="36638"/>
    <cellStyle name="RISKdarkShade 2 5" xfId="36639"/>
    <cellStyle name="RISKdarkShade 3" xfId="36640"/>
    <cellStyle name="RISKdarkShade 4" xfId="36641"/>
    <cellStyle name="RISKdarkShade 5" xfId="36642"/>
    <cellStyle name="RISKdarkShade 6" xfId="36643"/>
    <cellStyle name="RISKdarkShade 7" xfId="36644"/>
    <cellStyle name="RISKdarkShade 8" xfId="36645"/>
    <cellStyle name="RISKdbottomEdge" xfId="36646"/>
    <cellStyle name="RISKdbottomEdge 2" xfId="36647"/>
    <cellStyle name="RISKdbottomEdge 2 2" xfId="36648"/>
    <cellStyle name="RISKdbottomEdge 2 3" xfId="36649"/>
    <cellStyle name="RISKdbottomEdge 2 4" xfId="36650"/>
    <cellStyle name="RISKdbottomEdge 2 5" xfId="36651"/>
    <cellStyle name="RISKdbottomEdge 3" xfId="36652"/>
    <cellStyle name="RISKdbottomEdge 4" xfId="36653"/>
    <cellStyle name="RISKdbottomEdge 5" xfId="36654"/>
    <cellStyle name="RISKdbottomEdge 6" xfId="36655"/>
    <cellStyle name="RISKdbottomEdge 7" xfId="36656"/>
    <cellStyle name="RISKdbottomEdge 8" xfId="36657"/>
    <cellStyle name="RISKdrightEdge" xfId="36658"/>
    <cellStyle name="RISKdrightEdge 2" xfId="36659"/>
    <cellStyle name="RISKdrightEdge 2 2" xfId="36660"/>
    <cellStyle name="RISKdrightEdge 2 3" xfId="36661"/>
    <cellStyle name="RISKdrightEdge 2 4" xfId="36662"/>
    <cellStyle name="RISKdrightEdge 2 5" xfId="36663"/>
    <cellStyle name="RISKdrightEdge 3" xfId="36664"/>
    <cellStyle name="RISKdrightEdge 4" xfId="36665"/>
    <cellStyle name="RISKdrightEdge 5" xfId="36666"/>
    <cellStyle name="RISKdrightEdge 6" xfId="36667"/>
    <cellStyle name="RISKdrightEdge 7" xfId="36668"/>
    <cellStyle name="RISKdrightEdge 8" xfId="36669"/>
    <cellStyle name="RISKdurationTime" xfId="36670"/>
    <cellStyle name="RISKdurationTime 2" xfId="36671"/>
    <cellStyle name="RISKdurationTime 2 2" xfId="36672"/>
    <cellStyle name="RISKdurationTime 2 3" xfId="36673"/>
    <cellStyle name="RISKdurationTime 2 4" xfId="36674"/>
    <cellStyle name="RISKdurationTime 2 5" xfId="36675"/>
    <cellStyle name="RISKdurationTime 3" xfId="36676"/>
    <cellStyle name="RISKdurationTime 4" xfId="36677"/>
    <cellStyle name="RISKdurationTime 5" xfId="36678"/>
    <cellStyle name="RISKdurationTime 6" xfId="36679"/>
    <cellStyle name="RISKdurationTime 7" xfId="36680"/>
    <cellStyle name="RISKdurationTime 8" xfId="36681"/>
    <cellStyle name="RISKinNumber" xfId="36682"/>
    <cellStyle name="RISKlandrEdge" xfId="36683"/>
    <cellStyle name="RISKlandrEdge 2" xfId="36684"/>
    <cellStyle name="RISKlandrEdge 2 2" xfId="36685"/>
    <cellStyle name="RISKlandrEdge 2 3" xfId="36686"/>
    <cellStyle name="RISKlandrEdge 2 4" xfId="36687"/>
    <cellStyle name="RISKlandrEdge 2 5" xfId="36688"/>
    <cellStyle name="RISKlandrEdge 3" xfId="36689"/>
    <cellStyle name="RISKlandrEdge 4" xfId="36690"/>
    <cellStyle name="RISKlandrEdge 5" xfId="36691"/>
    <cellStyle name="RISKlandrEdge 6" xfId="36692"/>
    <cellStyle name="RISKlandrEdge 7" xfId="36693"/>
    <cellStyle name="RISKlandrEdge 8" xfId="36694"/>
    <cellStyle name="RISKleftEdge" xfId="36695"/>
    <cellStyle name="RISKleftEdge 2" xfId="36696"/>
    <cellStyle name="RISKleftEdge 2 2" xfId="36697"/>
    <cellStyle name="RISKleftEdge 2 3" xfId="36698"/>
    <cellStyle name="RISKleftEdge 2 4" xfId="36699"/>
    <cellStyle name="RISKleftEdge 2 5" xfId="36700"/>
    <cellStyle name="RISKleftEdge 3" xfId="36701"/>
    <cellStyle name="RISKleftEdge 4" xfId="36702"/>
    <cellStyle name="RISKleftEdge 5" xfId="36703"/>
    <cellStyle name="RISKleftEdge 6" xfId="36704"/>
    <cellStyle name="RISKleftEdge 7" xfId="36705"/>
    <cellStyle name="RISKleftEdge 8" xfId="36706"/>
    <cellStyle name="RISKlightBoxed" xfId="36707"/>
    <cellStyle name="RISKlightBoxed 2" xfId="36708"/>
    <cellStyle name="RISKlightBoxed 2 2" xfId="36709"/>
    <cellStyle name="RISKlightBoxed 2 3" xfId="36710"/>
    <cellStyle name="RISKlightBoxed 2 4" xfId="36711"/>
    <cellStyle name="RISKlightBoxed 2 5" xfId="36712"/>
    <cellStyle name="RISKlightBoxed 3" xfId="36713"/>
    <cellStyle name="RISKlightBoxed 4" xfId="36714"/>
    <cellStyle name="RISKlightBoxed 5" xfId="36715"/>
    <cellStyle name="RISKlightBoxed 6" xfId="36716"/>
    <cellStyle name="RISKlightBoxed 7" xfId="36717"/>
    <cellStyle name="RISKlightBoxed 8" xfId="36718"/>
    <cellStyle name="RISKltandbEdge" xfId="36719"/>
    <cellStyle name="RISKltandbEdge 2" xfId="36720"/>
    <cellStyle name="RISKltandbEdge 2 2" xfId="36721"/>
    <cellStyle name="RISKltandbEdge 2 3" xfId="36722"/>
    <cellStyle name="RISKltandbEdge 2 4" xfId="36723"/>
    <cellStyle name="RISKltandbEdge 2 5" xfId="36724"/>
    <cellStyle name="RISKltandbEdge 3" xfId="36725"/>
    <cellStyle name="RISKltandbEdge 4" xfId="36726"/>
    <cellStyle name="RISKltandbEdge 5" xfId="36727"/>
    <cellStyle name="RISKltandbEdge 6" xfId="36728"/>
    <cellStyle name="RISKltandbEdge 7" xfId="36729"/>
    <cellStyle name="RISKltandbEdge 8" xfId="36730"/>
    <cellStyle name="RISKnormBoxed" xfId="36731"/>
    <cellStyle name="RISKnormBoxed 2" xfId="36732"/>
    <cellStyle name="RISKnormBoxed 2 2" xfId="36733"/>
    <cellStyle name="RISKnormBoxed 2 3" xfId="36734"/>
    <cellStyle name="RISKnormBoxed 2 4" xfId="36735"/>
    <cellStyle name="RISKnormBoxed 2 5" xfId="36736"/>
    <cellStyle name="RISKnormBoxed 3" xfId="36737"/>
    <cellStyle name="RISKnormBoxed 4" xfId="36738"/>
    <cellStyle name="RISKnormBoxed 5" xfId="36739"/>
    <cellStyle name="RISKnormBoxed 6" xfId="36740"/>
    <cellStyle name="RISKnormBoxed 7" xfId="36741"/>
    <cellStyle name="RISKnormBoxed 8" xfId="36742"/>
    <cellStyle name="RISKnormCenter" xfId="36743"/>
    <cellStyle name="RISKnormCenter 2" xfId="36744"/>
    <cellStyle name="RISKnormCenter 2 2" xfId="36745"/>
    <cellStyle name="RISKnormCenter 2 3" xfId="36746"/>
    <cellStyle name="RISKnormCenter 2 4" xfId="36747"/>
    <cellStyle name="RISKnormCenter 2 5" xfId="36748"/>
    <cellStyle name="RISKnormCenter 3" xfId="36749"/>
    <cellStyle name="RISKnormCenter 4" xfId="36750"/>
    <cellStyle name="RISKnormCenter 5" xfId="36751"/>
    <cellStyle name="RISKnormCenter 6" xfId="36752"/>
    <cellStyle name="RISKnormCenter 7" xfId="36753"/>
    <cellStyle name="RISKnormCenter 8" xfId="36754"/>
    <cellStyle name="RISKnormHeading" xfId="36755"/>
    <cellStyle name="RISKnormHeading 2" xfId="36756"/>
    <cellStyle name="RISKnormHeading 2 2" xfId="36757"/>
    <cellStyle name="RISKnormHeading 2 3" xfId="36758"/>
    <cellStyle name="RISKnormHeading 2 4" xfId="36759"/>
    <cellStyle name="RISKnormHeading 2 5" xfId="36760"/>
    <cellStyle name="RISKnormHeading 3" xfId="36761"/>
    <cellStyle name="RISKnormHeading 4" xfId="36762"/>
    <cellStyle name="RISKnormHeading 5" xfId="36763"/>
    <cellStyle name="RISKnormHeading 6" xfId="36764"/>
    <cellStyle name="RISKnormHeading 7" xfId="36765"/>
    <cellStyle name="RISKnormHeading 8" xfId="36766"/>
    <cellStyle name="RISKnormItal" xfId="36767"/>
    <cellStyle name="RISKnormItal 2" xfId="36768"/>
    <cellStyle name="RISKnormItal 2 2" xfId="36769"/>
    <cellStyle name="RISKnormItal 2 3" xfId="36770"/>
    <cellStyle name="RISKnormItal 2 4" xfId="36771"/>
    <cellStyle name="RISKnormItal 2 5" xfId="36772"/>
    <cellStyle name="RISKnormItal 3" xfId="36773"/>
    <cellStyle name="RISKnormItal 4" xfId="36774"/>
    <cellStyle name="RISKnormItal 5" xfId="36775"/>
    <cellStyle name="RISKnormItal 6" xfId="36776"/>
    <cellStyle name="RISKnormItal 7" xfId="36777"/>
    <cellStyle name="RISKnormItal 8" xfId="36778"/>
    <cellStyle name="RISKnormLabel" xfId="36779"/>
    <cellStyle name="RISKnormShade" xfId="36780"/>
    <cellStyle name="RISKnormShade 2" xfId="36781"/>
    <cellStyle name="RISKnormShade 2 2" xfId="36782"/>
    <cellStyle name="RISKnormShade 2 3" xfId="36783"/>
    <cellStyle name="RISKnormShade 2 4" xfId="36784"/>
    <cellStyle name="RISKnormShade 2 5" xfId="36785"/>
    <cellStyle name="RISKnormShade 3" xfId="36786"/>
    <cellStyle name="RISKnormShade 4" xfId="36787"/>
    <cellStyle name="RISKnormShade 5" xfId="36788"/>
    <cellStyle name="RISKnormShade 6" xfId="36789"/>
    <cellStyle name="RISKnormShade 7" xfId="36790"/>
    <cellStyle name="RISKnormShade 8" xfId="36791"/>
    <cellStyle name="RISKnormTitle" xfId="36792"/>
    <cellStyle name="RISKnormTitle 2" xfId="36793"/>
    <cellStyle name="RISKnormTitle 2 2" xfId="36794"/>
    <cellStyle name="RISKnormTitle 2 3" xfId="36795"/>
    <cellStyle name="RISKnormTitle 2 4" xfId="36796"/>
    <cellStyle name="RISKnormTitle 2 5" xfId="36797"/>
    <cellStyle name="RISKnormTitle 3" xfId="36798"/>
    <cellStyle name="RISKnormTitle 4" xfId="36799"/>
    <cellStyle name="RISKnormTitle 5" xfId="36800"/>
    <cellStyle name="RISKnormTitle 6" xfId="36801"/>
    <cellStyle name="RISKnormTitle 7" xfId="36802"/>
    <cellStyle name="RISKnormTitle 8" xfId="36803"/>
    <cellStyle name="RISKoutNumber" xfId="36804"/>
    <cellStyle name="RISKoutNumber 2" xfId="36805"/>
    <cellStyle name="RISKoutNumber 2 2" xfId="36806"/>
    <cellStyle name="RISKoutNumber 2 3" xfId="36807"/>
    <cellStyle name="RISKoutNumber 2 4" xfId="36808"/>
    <cellStyle name="RISKoutNumber 2 5" xfId="36809"/>
    <cellStyle name="RISKoutNumber 3" xfId="36810"/>
    <cellStyle name="RISKoutNumber 4" xfId="36811"/>
    <cellStyle name="RISKoutNumber 5" xfId="36812"/>
    <cellStyle name="RISKoutNumber 6" xfId="36813"/>
    <cellStyle name="RISKoutNumber 7" xfId="36814"/>
    <cellStyle name="RISKoutNumber 8" xfId="36815"/>
    <cellStyle name="RISKrightEdge" xfId="36816"/>
    <cellStyle name="RISKrightEdge 2" xfId="36817"/>
    <cellStyle name="RISKrightEdge 2 2" xfId="36818"/>
    <cellStyle name="RISKrightEdge 2 3" xfId="36819"/>
    <cellStyle name="RISKrightEdge 2 4" xfId="36820"/>
    <cellStyle name="RISKrightEdge 2 5" xfId="36821"/>
    <cellStyle name="RISKrightEdge 3" xfId="36822"/>
    <cellStyle name="RISKrightEdge 4" xfId="36823"/>
    <cellStyle name="RISKrightEdge 5" xfId="36824"/>
    <cellStyle name="RISKrightEdge 6" xfId="36825"/>
    <cellStyle name="RISKrightEdge 7" xfId="36826"/>
    <cellStyle name="RISKrightEdge 8" xfId="36827"/>
    <cellStyle name="RISKrtandbEdge" xfId="36828"/>
    <cellStyle name="RISKrtandbEdge 2" xfId="36829"/>
    <cellStyle name="RISKrtandbEdge 2 2" xfId="36830"/>
    <cellStyle name="RISKrtandbEdge 2 3" xfId="36831"/>
    <cellStyle name="RISKrtandbEdge 2 4" xfId="36832"/>
    <cellStyle name="RISKrtandbEdge 2 5" xfId="36833"/>
    <cellStyle name="RISKrtandbEdge 3" xfId="36834"/>
    <cellStyle name="RISKrtandbEdge 4" xfId="36835"/>
    <cellStyle name="RISKrtandbEdge 5" xfId="36836"/>
    <cellStyle name="RISKrtandbEdge 6" xfId="36837"/>
    <cellStyle name="RISKrtandbEdge 7" xfId="36838"/>
    <cellStyle name="RISKrtandbEdge 8" xfId="36839"/>
    <cellStyle name="RISKssTime" xfId="36840"/>
    <cellStyle name="RISKssTime 2" xfId="36841"/>
    <cellStyle name="RISKssTime 2 2" xfId="36842"/>
    <cellStyle name="RISKssTime 2 3" xfId="36843"/>
    <cellStyle name="RISKssTime 2 4" xfId="36844"/>
    <cellStyle name="RISKssTime 2 5" xfId="36845"/>
    <cellStyle name="RISKssTime 3" xfId="36846"/>
    <cellStyle name="RISKssTime 4" xfId="36847"/>
    <cellStyle name="RISKssTime 5" xfId="36848"/>
    <cellStyle name="RISKssTime 6" xfId="36849"/>
    <cellStyle name="RISKssTime 7" xfId="36850"/>
    <cellStyle name="RISKssTime 8" xfId="36851"/>
    <cellStyle name="RISKtandbEdge" xfId="36852"/>
    <cellStyle name="RISKtandbEdge 2" xfId="36853"/>
    <cellStyle name="RISKtandbEdge 2 2" xfId="36854"/>
    <cellStyle name="RISKtandbEdge 2 3" xfId="36855"/>
    <cellStyle name="RISKtandbEdge 2 4" xfId="36856"/>
    <cellStyle name="RISKtandbEdge 2 5" xfId="36857"/>
    <cellStyle name="RISKtandbEdge 3" xfId="36858"/>
    <cellStyle name="RISKtandbEdge 4" xfId="36859"/>
    <cellStyle name="RISKtandbEdge 5" xfId="36860"/>
    <cellStyle name="RISKtandbEdge 6" xfId="36861"/>
    <cellStyle name="RISKtandbEdge 7" xfId="36862"/>
    <cellStyle name="RISKtandbEdge 8" xfId="36863"/>
    <cellStyle name="RISKtlandrEdge" xfId="36864"/>
    <cellStyle name="RISKtlandrEdge 2" xfId="36865"/>
    <cellStyle name="RISKtlandrEdge 2 2" xfId="36866"/>
    <cellStyle name="RISKtlandrEdge 2 3" xfId="36867"/>
    <cellStyle name="RISKtlandrEdge 2 4" xfId="36868"/>
    <cellStyle name="RISKtlandrEdge 2 5" xfId="36869"/>
    <cellStyle name="RISKtlandrEdge 3" xfId="36870"/>
    <cellStyle name="RISKtlandrEdge 4" xfId="36871"/>
    <cellStyle name="RISKtlandrEdge 5" xfId="36872"/>
    <cellStyle name="RISKtlandrEdge 6" xfId="36873"/>
    <cellStyle name="RISKtlandrEdge 7" xfId="36874"/>
    <cellStyle name="RISKtlandrEdge 8" xfId="36875"/>
    <cellStyle name="RISKtlCorner" xfId="36876"/>
    <cellStyle name="RISKtlCorner 2" xfId="36877"/>
    <cellStyle name="RISKtlCorner 2 2" xfId="36878"/>
    <cellStyle name="RISKtlCorner 2 3" xfId="36879"/>
    <cellStyle name="RISKtlCorner 2 4" xfId="36880"/>
    <cellStyle name="RISKtlCorner 2 5" xfId="36881"/>
    <cellStyle name="RISKtlCorner 3" xfId="36882"/>
    <cellStyle name="RISKtlCorner 4" xfId="36883"/>
    <cellStyle name="RISKtlCorner 5" xfId="36884"/>
    <cellStyle name="RISKtlCorner 6" xfId="36885"/>
    <cellStyle name="RISKtlCorner 7" xfId="36886"/>
    <cellStyle name="RISKtlCorner 8" xfId="36887"/>
    <cellStyle name="RISKtopEdge" xfId="36888"/>
    <cellStyle name="RISKtopEdge 2" xfId="36889"/>
    <cellStyle name="RISKtopEdge 2 2" xfId="36890"/>
    <cellStyle name="RISKtopEdge 2 3" xfId="36891"/>
    <cellStyle name="RISKtopEdge 2 4" xfId="36892"/>
    <cellStyle name="RISKtopEdge 2 5" xfId="36893"/>
    <cellStyle name="RISKtopEdge 3" xfId="36894"/>
    <cellStyle name="RISKtopEdge 4" xfId="36895"/>
    <cellStyle name="RISKtopEdge 5" xfId="36896"/>
    <cellStyle name="RISKtopEdge 6" xfId="36897"/>
    <cellStyle name="RISKtopEdge 7" xfId="36898"/>
    <cellStyle name="RISKtopEdge 8" xfId="36899"/>
    <cellStyle name="RISKtrCorner" xfId="36900"/>
    <cellStyle name="RISKtrCorner 2" xfId="36901"/>
    <cellStyle name="RISKtrCorner 2 2" xfId="36902"/>
    <cellStyle name="RISKtrCorner 2 3" xfId="36903"/>
    <cellStyle name="RISKtrCorner 2 4" xfId="36904"/>
    <cellStyle name="RISKtrCorner 2 5" xfId="36905"/>
    <cellStyle name="RISKtrCorner 3" xfId="36906"/>
    <cellStyle name="RISKtrCorner 4" xfId="36907"/>
    <cellStyle name="RISKtrCorner 5" xfId="36908"/>
    <cellStyle name="RISKtrCorner 6" xfId="36909"/>
    <cellStyle name="RISKtrCorner 7" xfId="36910"/>
    <cellStyle name="RISKtrCorner 8" xfId="36911"/>
    <cellStyle name="rngLCDatePaste" xfId="36912"/>
    <cellStyle name="Row_CategoryHeadings" xfId="36913"/>
    <cellStyle name="Sample" xfId="36914"/>
    <cellStyle name="SAPBEXaggData" xfId="36915"/>
    <cellStyle name="SAPBEXaggData 2" xfId="36916"/>
    <cellStyle name="SAPBEXaggDataEmph" xfId="36917"/>
    <cellStyle name="SAPBEXaggDataEmph 2" xfId="36918"/>
    <cellStyle name="SAPBEXaggItem" xfId="36919"/>
    <cellStyle name="SAPBEXaggItem 2" xfId="36920"/>
    <cellStyle name="SAPBEXaggItemX" xfId="36921"/>
    <cellStyle name="SAPBEXaggItemX 2" xfId="36922"/>
    <cellStyle name="SAPBEXchaText" xfId="36923"/>
    <cellStyle name="SAPBEXchaText 2" xfId="36924"/>
    <cellStyle name="SAPBEXchaText 2 2" xfId="36925"/>
    <cellStyle name="SAPBEXchaText 2 3" xfId="36926"/>
    <cellStyle name="SAPBEXchaText 2 4" xfId="36927"/>
    <cellStyle name="SAPBEXchaText 2 5" xfId="36928"/>
    <cellStyle name="SAPBEXchaText 3" xfId="36929"/>
    <cellStyle name="SAPBEXchaText 4" xfId="36930"/>
    <cellStyle name="SAPBEXchaText 5" xfId="36931"/>
    <cellStyle name="SAPBEXchaText 6" xfId="36932"/>
    <cellStyle name="SAPBEXchaText 7" xfId="36933"/>
    <cellStyle name="SAPBEXchaText 8" xfId="36934"/>
    <cellStyle name="SAPBEXchaText 9" xfId="36935"/>
    <cellStyle name="SAPBEXexcBad7" xfId="36936"/>
    <cellStyle name="SAPBEXexcBad7 2" xfId="36937"/>
    <cellStyle name="SAPBEXexcBad8" xfId="36938"/>
    <cellStyle name="SAPBEXexcBad8 2" xfId="36939"/>
    <cellStyle name="SAPBEXexcBad9" xfId="36940"/>
    <cellStyle name="SAPBEXexcBad9 2" xfId="36941"/>
    <cellStyle name="SAPBEXexcCritical4" xfId="36942"/>
    <cellStyle name="SAPBEXexcCritical4 2" xfId="36943"/>
    <cellStyle name="SAPBEXexcCritical5" xfId="36944"/>
    <cellStyle name="SAPBEXexcCritical5 2" xfId="36945"/>
    <cellStyle name="SAPBEXexcCritical6" xfId="36946"/>
    <cellStyle name="SAPBEXexcCritical6 2" xfId="36947"/>
    <cellStyle name="SAPBEXexcGood1" xfId="36948"/>
    <cellStyle name="SAPBEXexcGood1 2" xfId="36949"/>
    <cellStyle name="SAPBEXexcGood2" xfId="36950"/>
    <cellStyle name="SAPBEXexcGood2 2" xfId="36951"/>
    <cellStyle name="SAPBEXexcGood3" xfId="36952"/>
    <cellStyle name="SAPBEXexcGood3 2" xfId="36953"/>
    <cellStyle name="SAPBEXfilterDrill" xfId="36954"/>
    <cellStyle name="SAPBEXfilterDrill 2" xfId="36955"/>
    <cellStyle name="SAPBEXfilterDrill 3" xfId="36956"/>
    <cellStyle name="SAPBEXfilterDrill 4" xfId="36957"/>
    <cellStyle name="SAPBEXfilterDrill 5" xfId="36958"/>
    <cellStyle name="SAPBEXfilterDrill 6" xfId="36959"/>
    <cellStyle name="SAPBEXfilterDrill 7" xfId="36960"/>
    <cellStyle name="SAPBEXfilterItem" xfId="36961"/>
    <cellStyle name="SAPBEXfilterText" xfId="36962"/>
    <cellStyle name="SAPBEXfilterText 2" xfId="36963"/>
    <cellStyle name="SAPBEXfilterText 3" xfId="36964"/>
    <cellStyle name="SAPBEXfilterText 4" xfId="36965"/>
    <cellStyle name="SAPBEXfilterText 5" xfId="36966"/>
    <cellStyle name="SAPBEXfilterText 6" xfId="36967"/>
    <cellStyle name="SAPBEXformats" xfId="36968"/>
    <cellStyle name="SAPBEXformats 2" xfId="36969"/>
    <cellStyle name="SAPBEXformats 2 2" xfId="36970"/>
    <cellStyle name="SAPBEXformats 2 3" xfId="36971"/>
    <cellStyle name="SAPBEXformats 2 4" xfId="36972"/>
    <cellStyle name="SAPBEXformats 2 5" xfId="36973"/>
    <cellStyle name="SAPBEXformats 3" xfId="36974"/>
    <cellStyle name="SAPBEXformats 4" xfId="36975"/>
    <cellStyle name="SAPBEXformats 5" xfId="36976"/>
    <cellStyle name="SAPBEXformats 6" xfId="36977"/>
    <cellStyle name="SAPBEXformats 7" xfId="36978"/>
    <cellStyle name="SAPBEXformats 8" xfId="36979"/>
    <cellStyle name="SAPBEXformats 9" xfId="36980"/>
    <cellStyle name="SAPBEXheaderItem" xfId="36981"/>
    <cellStyle name="SAPBEXheaderItem 2" xfId="36982"/>
    <cellStyle name="SAPBEXheaderItem 3" xfId="36983"/>
    <cellStyle name="SAPBEXheaderItem 4" xfId="36984"/>
    <cellStyle name="SAPBEXheaderItem 5" xfId="36985"/>
    <cellStyle name="SAPBEXheaderItem 6" xfId="36986"/>
    <cellStyle name="SAPBEXheaderItem 7" xfId="36987"/>
    <cellStyle name="SAPBEXheaderText" xfId="36988"/>
    <cellStyle name="SAPBEXheaderText 2" xfId="36989"/>
    <cellStyle name="SAPBEXheaderText 3" xfId="36990"/>
    <cellStyle name="SAPBEXheaderText 4" xfId="36991"/>
    <cellStyle name="SAPBEXheaderText 5" xfId="36992"/>
    <cellStyle name="SAPBEXheaderText 6" xfId="36993"/>
    <cellStyle name="SAPBEXheaderText 7" xfId="36994"/>
    <cellStyle name="SAPBEXHLevel0" xfId="36995"/>
    <cellStyle name="SAPBEXHLevel0 2" xfId="36996"/>
    <cellStyle name="SAPBEXHLevel0 2 2" xfId="36997"/>
    <cellStyle name="SAPBEXHLevel0 2 3" xfId="36998"/>
    <cellStyle name="SAPBEXHLevel0 2 4" xfId="36999"/>
    <cellStyle name="SAPBEXHLevel0 2 5" xfId="37000"/>
    <cellStyle name="SAPBEXHLevel0 3" xfId="37001"/>
    <cellStyle name="SAPBEXHLevel0 4" xfId="37002"/>
    <cellStyle name="SAPBEXHLevel0 5" xfId="37003"/>
    <cellStyle name="SAPBEXHLevel0 6" xfId="37004"/>
    <cellStyle name="SAPBEXHLevel0 7" xfId="37005"/>
    <cellStyle name="SAPBEXHLevel0 8" xfId="37006"/>
    <cellStyle name="SAPBEXHLevel0 9" xfId="37007"/>
    <cellStyle name="SAPBEXHLevel0X" xfId="37008"/>
    <cellStyle name="SAPBEXHLevel0X 2" xfId="37009"/>
    <cellStyle name="SAPBEXHLevel0X 2 2" xfId="37010"/>
    <cellStyle name="SAPBEXHLevel0X 2 3" xfId="37011"/>
    <cellStyle name="SAPBEXHLevel0X 2 4" xfId="37012"/>
    <cellStyle name="SAPBEXHLevel0X 2 5" xfId="37013"/>
    <cellStyle name="SAPBEXHLevel0X 3" xfId="37014"/>
    <cellStyle name="SAPBEXHLevel0X 4" xfId="37015"/>
    <cellStyle name="SAPBEXHLevel0X 5" xfId="37016"/>
    <cellStyle name="SAPBEXHLevel0X 6" xfId="37017"/>
    <cellStyle name="SAPBEXHLevel0X 7" xfId="37018"/>
    <cellStyle name="SAPBEXHLevel0X 8" xfId="37019"/>
    <cellStyle name="SAPBEXHLevel0X 9" xfId="37020"/>
    <cellStyle name="SAPBEXHLevel1" xfId="37021"/>
    <cellStyle name="SAPBEXHLevel1 2" xfId="37022"/>
    <cellStyle name="SAPBEXHLevel1 2 2" xfId="37023"/>
    <cellStyle name="SAPBEXHLevel1 2 3" xfId="37024"/>
    <cellStyle name="SAPBEXHLevel1 2 4" xfId="37025"/>
    <cellStyle name="SAPBEXHLevel1 2 5" xfId="37026"/>
    <cellStyle name="SAPBEXHLevel1 3" xfId="37027"/>
    <cellStyle name="SAPBEXHLevel1 4" xfId="37028"/>
    <cellStyle name="SAPBEXHLevel1 5" xfId="37029"/>
    <cellStyle name="SAPBEXHLevel1 6" xfId="37030"/>
    <cellStyle name="SAPBEXHLevel1 7" xfId="37031"/>
    <cellStyle name="SAPBEXHLevel1 8" xfId="37032"/>
    <cellStyle name="SAPBEXHLevel1 9" xfId="37033"/>
    <cellStyle name="SAPBEXHLevel1X" xfId="37034"/>
    <cellStyle name="SAPBEXHLevel1X 2" xfId="37035"/>
    <cellStyle name="SAPBEXHLevel1X 2 2" xfId="37036"/>
    <cellStyle name="SAPBEXHLevel1X 2 3" xfId="37037"/>
    <cellStyle name="SAPBEXHLevel1X 2 4" xfId="37038"/>
    <cellStyle name="SAPBEXHLevel1X 2 5" xfId="37039"/>
    <cellStyle name="SAPBEXHLevel1X 3" xfId="37040"/>
    <cellStyle name="SAPBEXHLevel1X 4" xfId="37041"/>
    <cellStyle name="SAPBEXHLevel1X 5" xfId="37042"/>
    <cellStyle name="SAPBEXHLevel1X 6" xfId="37043"/>
    <cellStyle name="SAPBEXHLevel1X 7" xfId="37044"/>
    <cellStyle name="SAPBEXHLevel1X 8" xfId="37045"/>
    <cellStyle name="SAPBEXHLevel1X 9" xfId="37046"/>
    <cellStyle name="SAPBEXHLevel2" xfId="37047"/>
    <cellStyle name="SAPBEXHLevel2 2" xfId="37048"/>
    <cellStyle name="SAPBEXHLevel2 2 2" xfId="37049"/>
    <cellStyle name="SAPBEXHLevel2 2 3" xfId="37050"/>
    <cellStyle name="SAPBEXHLevel2 2 4" xfId="37051"/>
    <cellStyle name="SAPBEXHLevel2 2 5" xfId="37052"/>
    <cellStyle name="SAPBEXHLevel2 3" xfId="37053"/>
    <cellStyle name="SAPBEXHLevel2 4" xfId="37054"/>
    <cellStyle name="SAPBEXHLevel2 5" xfId="37055"/>
    <cellStyle name="SAPBEXHLevel2 6" xfId="37056"/>
    <cellStyle name="SAPBEXHLevel2 7" xfId="37057"/>
    <cellStyle name="SAPBEXHLevel2 8" xfId="37058"/>
    <cellStyle name="SAPBEXHLevel2 9" xfId="37059"/>
    <cellStyle name="SAPBEXHLevel2X" xfId="37060"/>
    <cellStyle name="SAPBEXHLevel2X 2" xfId="37061"/>
    <cellStyle name="SAPBEXHLevel2X 2 2" xfId="37062"/>
    <cellStyle name="SAPBEXHLevel2X 2 3" xfId="37063"/>
    <cellStyle name="SAPBEXHLevel2X 2 4" xfId="37064"/>
    <cellStyle name="SAPBEXHLevel2X 2 5" xfId="37065"/>
    <cellStyle name="SAPBEXHLevel2X 3" xfId="37066"/>
    <cellStyle name="SAPBEXHLevel2X 4" xfId="37067"/>
    <cellStyle name="SAPBEXHLevel2X 5" xfId="37068"/>
    <cellStyle name="SAPBEXHLevel2X 6" xfId="37069"/>
    <cellStyle name="SAPBEXHLevel2X 7" xfId="37070"/>
    <cellStyle name="SAPBEXHLevel2X 8" xfId="37071"/>
    <cellStyle name="SAPBEXHLevel2X 9" xfId="37072"/>
    <cellStyle name="SAPBEXHLevel3" xfId="37073"/>
    <cellStyle name="SAPBEXHLevel3 2" xfId="37074"/>
    <cellStyle name="SAPBEXHLevel3 2 2" xfId="37075"/>
    <cellStyle name="SAPBEXHLevel3 2 3" xfId="37076"/>
    <cellStyle name="SAPBEXHLevel3 2 4" xfId="37077"/>
    <cellStyle name="SAPBEXHLevel3 2 5" xfId="37078"/>
    <cellStyle name="SAPBEXHLevel3 3" xfId="37079"/>
    <cellStyle name="SAPBEXHLevel3 4" xfId="37080"/>
    <cellStyle name="SAPBEXHLevel3 5" xfId="37081"/>
    <cellStyle name="SAPBEXHLevel3 6" xfId="37082"/>
    <cellStyle name="SAPBEXHLevel3 7" xfId="37083"/>
    <cellStyle name="SAPBEXHLevel3 8" xfId="37084"/>
    <cellStyle name="SAPBEXHLevel3 9" xfId="37085"/>
    <cellStyle name="SAPBEXHLevel3X" xfId="37086"/>
    <cellStyle name="SAPBEXHLevel3X 2" xfId="37087"/>
    <cellStyle name="SAPBEXHLevel3X 2 2" xfId="37088"/>
    <cellStyle name="SAPBEXHLevel3X 2 3" xfId="37089"/>
    <cellStyle name="SAPBEXHLevel3X 2 4" xfId="37090"/>
    <cellStyle name="SAPBEXHLevel3X 2 5" xfId="37091"/>
    <cellStyle name="SAPBEXHLevel3X 3" xfId="37092"/>
    <cellStyle name="SAPBEXHLevel3X 4" xfId="37093"/>
    <cellStyle name="SAPBEXHLevel3X 5" xfId="37094"/>
    <cellStyle name="SAPBEXHLevel3X 6" xfId="37095"/>
    <cellStyle name="SAPBEXHLevel3X 7" xfId="37096"/>
    <cellStyle name="SAPBEXHLevel3X 8" xfId="37097"/>
    <cellStyle name="SAPBEXHLevel3X 9" xfId="37098"/>
    <cellStyle name="SAPBEXresData" xfId="37099"/>
    <cellStyle name="SAPBEXresData 2" xfId="37100"/>
    <cellStyle name="SAPBEXresDataEmph" xfId="37101"/>
    <cellStyle name="SAPBEXresDataEmph 2" xfId="37102"/>
    <cellStyle name="SAPBEXresItem" xfId="37103"/>
    <cellStyle name="SAPBEXresItem 2" xfId="37104"/>
    <cellStyle name="SAPBEXresItemX" xfId="37105"/>
    <cellStyle name="SAPBEXresItemX 2" xfId="37106"/>
    <cellStyle name="SAPBEXstdData" xfId="37107"/>
    <cellStyle name="SAPBEXstdData 2" xfId="37108"/>
    <cellStyle name="SAPBEXstdDataEmph" xfId="37109"/>
    <cellStyle name="SAPBEXstdDataEmph 2" xfId="37110"/>
    <cellStyle name="SAPBEXstdItem" xfId="37111"/>
    <cellStyle name="SAPBEXstdItem 2" xfId="37112"/>
    <cellStyle name="SAPBEXstdItem 3" xfId="37113"/>
    <cellStyle name="SAPBEXstdItem 4" xfId="37114"/>
    <cellStyle name="SAPBEXstdItem 5" xfId="37115"/>
    <cellStyle name="SAPBEXstdItem 6" xfId="37116"/>
    <cellStyle name="SAPBEXstdItem 7" xfId="37117"/>
    <cellStyle name="SAPBEXstdItemX" xfId="37118"/>
    <cellStyle name="SAPBEXstdItemX 2" xfId="37119"/>
    <cellStyle name="SAPBEXstdItemX 2 2" xfId="37120"/>
    <cellStyle name="SAPBEXstdItemX 2 3" xfId="37121"/>
    <cellStyle name="SAPBEXstdItemX 2 4" xfId="37122"/>
    <cellStyle name="SAPBEXstdItemX 2 5" xfId="37123"/>
    <cellStyle name="SAPBEXstdItemX 3" xfId="37124"/>
    <cellStyle name="SAPBEXstdItemX 4" xfId="37125"/>
    <cellStyle name="SAPBEXstdItemX 5" xfId="37126"/>
    <cellStyle name="SAPBEXstdItemX 6" xfId="37127"/>
    <cellStyle name="SAPBEXstdItemX 7" xfId="37128"/>
    <cellStyle name="SAPBEXstdItemX 8" xfId="37129"/>
    <cellStyle name="SAPBEXstdItemX 9" xfId="37130"/>
    <cellStyle name="SAPBEXtitle" xfId="37131"/>
    <cellStyle name="SAPBEXundefined" xfId="37132"/>
    <cellStyle name="SAPBEXundefined 2" xfId="37133"/>
    <cellStyle name="Section 1_RHI Model Results-090505-033632" xfId="37134"/>
    <cellStyle name="semestre" xfId="37135"/>
    <cellStyle name="Shade" xfId="37136"/>
    <cellStyle name="Shade 2" xfId="37137"/>
    <cellStyle name="Shade 2 2" xfId="37138"/>
    <cellStyle name="Shade 2 3" xfId="37139"/>
    <cellStyle name="Shade 3" xfId="37140"/>
    <cellStyle name="Shade 3 2" xfId="37141"/>
    <cellStyle name="Shade 3 3" xfId="37142"/>
    <cellStyle name="Shade 4" xfId="37143"/>
    <cellStyle name="Shade 5" xfId="37144"/>
    <cellStyle name="Shade 6" xfId="37145"/>
    <cellStyle name="Sheet Heading" xfId="37146"/>
    <cellStyle name="Sheet Title." xfId="37147"/>
    <cellStyle name="single" xfId="37148"/>
    <cellStyle name="Single Cell Column Heading" xfId="37149"/>
    <cellStyle name="Single Cell Column Heading 2" xfId="37150"/>
    <cellStyle name="Single Cell Column Heading 3" xfId="37151"/>
    <cellStyle name="Single Cell Column Heading 4" xfId="37152"/>
    <cellStyle name="Single Cell Column Heading 5" xfId="37153"/>
    <cellStyle name="Single Cell Column Heading 6" xfId="37154"/>
    <cellStyle name="Single Cell Column Heading 7" xfId="37155"/>
    <cellStyle name="Single Cell Column Heading 8" xfId="37156"/>
    <cellStyle name="Single Cell Column Heading 9" xfId="37157"/>
    <cellStyle name="Size" xfId="37158"/>
    <cellStyle name="Source" xfId="37159"/>
    <cellStyle name="Source 2" xfId="37160"/>
    <cellStyle name="Source 3" xfId="37161"/>
    <cellStyle name="Source Hed" xfId="37162"/>
    <cellStyle name="Source Hed 2" xfId="37163"/>
    <cellStyle name="Source Text" xfId="37164"/>
    <cellStyle name="Source Text 2" xfId="37165"/>
    <cellStyle name="ss1" xfId="37166"/>
    <cellStyle name="ss10" xfId="37167"/>
    <cellStyle name="ss11" xfId="37168"/>
    <cellStyle name="ss12" xfId="37169"/>
    <cellStyle name="ss13" xfId="37170"/>
    <cellStyle name="ss14" xfId="37171"/>
    <cellStyle name="ss15" xfId="37172"/>
    <cellStyle name="ss16" xfId="37173"/>
    <cellStyle name="ss17" xfId="37174"/>
    <cellStyle name="ss18" xfId="37175"/>
    <cellStyle name="ss19" xfId="37176"/>
    <cellStyle name="ss2" xfId="37177"/>
    <cellStyle name="ss20" xfId="37178"/>
    <cellStyle name="ss21" xfId="37179"/>
    <cellStyle name="ss22" xfId="37180"/>
    <cellStyle name="ss23" xfId="37181"/>
    <cellStyle name="ss24" xfId="37182"/>
    <cellStyle name="ss25" xfId="37183"/>
    <cellStyle name="ss3" xfId="37184"/>
    <cellStyle name="ss4" xfId="37185"/>
    <cellStyle name="ss5" xfId="37186"/>
    <cellStyle name="ss6" xfId="37187"/>
    <cellStyle name="ss7" xfId="37188"/>
    <cellStyle name="ss8" xfId="37189"/>
    <cellStyle name="ss9" xfId="37190"/>
    <cellStyle name="sspecial" xfId="37191"/>
    <cellStyle name="Standaard_Sheet1" xfId="37192"/>
    <cellStyle name="Standard_0002VS" xfId="37193"/>
    <cellStyle name="Style 1" xfId="37194"/>
    <cellStyle name="Style 1 2" xfId="37195"/>
    <cellStyle name="Style 1 2 2" xfId="37196"/>
    <cellStyle name="Style 1 2 3" xfId="37197"/>
    <cellStyle name="Style 1 2 4" xfId="37198"/>
    <cellStyle name="Style 1 2 5" xfId="37199"/>
    <cellStyle name="Style 1 2 6" xfId="37200"/>
    <cellStyle name="Style 1 2 7" xfId="37201"/>
    <cellStyle name="Style 1 3" xfId="37202"/>
    <cellStyle name="Style 1 3 2" xfId="37203"/>
    <cellStyle name="Style 1 4" xfId="37204"/>
    <cellStyle name="Style 1 5" xfId="37205"/>
    <cellStyle name="Style 1 6" xfId="37206"/>
    <cellStyle name="Style 1 7" xfId="37207"/>
    <cellStyle name="Style 1 8" xfId="37208"/>
    <cellStyle name="Style 1 9" xfId="37209"/>
    <cellStyle name="Style 2" xfId="37210"/>
    <cellStyle name="Style 21" xfId="37211"/>
    <cellStyle name="Style 21 2" xfId="37212"/>
    <cellStyle name="Style 21 2 2" xfId="37213"/>
    <cellStyle name="Style 21 2 3" xfId="37214"/>
    <cellStyle name="Style 21 3" xfId="37215"/>
    <cellStyle name="Style 21 4" xfId="37216"/>
    <cellStyle name="Style 21 5" xfId="37217"/>
    <cellStyle name="Style 21 6" xfId="37218"/>
    <cellStyle name="Style 22" xfId="37219"/>
    <cellStyle name="Style 22 2" xfId="37220"/>
    <cellStyle name="Style 22 2 2" xfId="37221"/>
    <cellStyle name="Style 22 2 3" xfId="37222"/>
    <cellStyle name="Style 22 3" xfId="37223"/>
    <cellStyle name="Style 22 4" xfId="37224"/>
    <cellStyle name="Style 22 5" xfId="37225"/>
    <cellStyle name="Style 22 6" xfId="37226"/>
    <cellStyle name="Style 23" xfId="37227"/>
    <cellStyle name="Style 23 2" xfId="37228"/>
    <cellStyle name="Style 23 2 2" xfId="37229"/>
    <cellStyle name="Style 23 3" xfId="37230"/>
    <cellStyle name="Style 24" xfId="37231"/>
    <cellStyle name="Style 24 2" xfId="37232"/>
    <cellStyle name="Style 24 2 2" xfId="37233"/>
    <cellStyle name="Style 24 3" xfId="37234"/>
    <cellStyle name="Style 24 4" xfId="37235"/>
    <cellStyle name="Style 25" xfId="37236"/>
    <cellStyle name="Style 25 2" xfId="37237"/>
    <cellStyle name="Style 25 3" xfId="37238"/>
    <cellStyle name="Style 26" xfId="37239"/>
    <cellStyle name="Style 26 2" xfId="37240"/>
    <cellStyle name="Style 27" xfId="37241"/>
    <cellStyle name="Style 28" xfId="37242"/>
    <cellStyle name="Style 29" xfId="37243"/>
    <cellStyle name="Style 29 2" xfId="37244"/>
    <cellStyle name="Style 29 3" xfId="37245"/>
    <cellStyle name="Style 30" xfId="37246"/>
    <cellStyle name="Style 30 2" xfId="37247"/>
    <cellStyle name="Style 30 3" xfId="37248"/>
    <cellStyle name="Style 31" xfId="37249"/>
    <cellStyle name="Style 31 2" xfId="37250"/>
    <cellStyle name="Style 31 3" xfId="37251"/>
    <cellStyle name="Style 32" xfId="37252"/>
    <cellStyle name="Style 32 2" xfId="37253"/>
    <cellStyle name="Style 32 3" xfId="37254"/>
    <cellStyle name="Style 33" xfId="37255"/>
    <cellStyle name="Style 34" xfId="37256"/>
    <cellStyle name="Style 34 2" xfId="37257"/>
    <cellStyle name="Style 34 3" xfId="37258"/>
    <cellStyle name="Style 34 4" xfId="37259"/>
    <cellStyle name="Style 35" xfId="37260"/>
    <cellStyle name="Style 35 2" xfId="37261"/>
    <cellStyle name="Style 35 3" xfId="37262"/>
    <cellStyle name="Style 35 4" xfId="37263"/>
    <cellStyle name="Style 36" xfId="37264"/>
    <cellStyle name="Style 36 2" xfId="37265"/>
    <cellStyle name="Style 69" xfId="37266"/>
    <cellStyle name="Style 69 2" xfId="37267"/>
    <cellStyle name="Style 70" xfId="37268"/>
    <cellStyle name="Style 70 2" xfId="37269"/>
    <cellStyle name="Style 71" xfId="37270"/>
    <cellStyle name="Style 71 2" xfId="37271"/>
    <cellStyle name="Style 74" xfId="37272"/>
    <cellStyle name="Style 74 2" xfId="37273"/>
    <cellStyle name="Style 75" xfId="37274"/>
    <cellStyle name="Style 75 2" xfId="37275"/>
    <cellStyle name="Style1" xfId="37276"/>
    <cellStyle name="Style2" xfId="37277"/>
    <cellStyle name="Style3" xfId="37278"/>
    <cellStyle name="Style4" xfId="37279"/>
    <cellStyle name="Style5" xfId="37280"/>
    <cellStyle name="Style6" xfId="37281"/>
    <cellStyle name="styleColumnTitles" xfId="37282"/>
    <cellStyle name="styleDateRange" xfId="37283"/>
    <cellStyle name="styleNormal" xfId="37284"/>
    <cellStyle name="Styles" xfId="37285"/>
    <cellStyle name="styleSeriesAttributes" xfId="37286"/>
    <cellStyle name="styleSeriesData" xfId="37287"/>
    <cellStyle name="styleSeriesDataForecast" xfId="37288"/>
    <cellStyle name="styleSeriesDataNA" xfId="37289"/>
    <cellStyle name="Sub heading" xfId="37290"/>
    <cellStyle name="swiss" xfId="37291"/>
    <cellStyle name="swiss input" xfId="37292"/>
    <cellStyle name="swiss input1" xfId="37293"/>
    <cellStyle name="swiss input2" xfId="37294"/>
    <cellStyle name="swiss spec" xfId="37295"/>
    <cellStyle name="System" xfId="37296"/>
    <cellStyle name="System 2" xfId="37297"/>
    <cellStyle name="System 3" xfId="37298"/>
    <cellStyle name="table column" xfId="37299"/>
    <cellStyle name="table column +" xfId="37300"/>
    <cellStyle name="table column reg" xfId="37301"/>
    <cellStyle name="table column reg +" xfId="37302"/>
    <cellStyle name="Table Footnote" xfId="37303"/>
    <cellStyle name="Table Footnote 2" xfId="37304"/>
    <cellStyle name="Table Footnote 2 2" xfId="37305"/>
    <cellStyle name="Table Footnote_Additional charts" xfId="37306"/>
    <cellStyle name="Table head" xfId="37307"/>
    <cellStyle name="Table Head 2" xfId="37308"/>
    <cellStyle name="Table Head Aligned" xfId="37309"/>
    <cellStyle name="Table Head Blue" xfId="37310"/>
    <cellStyle name="Table Head Green" xfId="37311"/>
    <cellStyle name="Table Head_% Change" xfId="37312"/>
    <cellStyle name="Table Header" xfId="37313"/>
    <cellStyle name="Table Header 2" xfId="37314"/>
    <cellStyle name="Table Header 2 2" xfId="37315"/>
    <cellStyle name="Table Header_Additional charts" xfId="37316"/>
    <cellStyle name="Table Heading" xfId="37317"/>
    <cellStyle name="Table Heading 1" xfId="37318"/>
    <cellStyle name="Table Heading 1 2" xfId="37319"/>
    <cellStyle name="Table Heading 1 2 2" xfId="37320"/>
    <cellStyle name="Table Heading 1_Additional charts" xfId="37321"/>
    <cellStyle name="Table Heading 2" xfId="37322"/>
    <cellStyle name="Table Heading 2 2" xfId="37323"/>
    <cellStyle name="Table Heading 2_Additional charts" xfId="37324"/>
    <cellStyle name="Table Heading 3" xfId="37325"/>
    <cellStyle name="Table nos" xfId="37326"/>
    <cellStyle name="Table nos  red cust" xfId="37327"/>
    <cellStyle name="Table nos acct" xfId="37328"/>
    <cellStyle name="Table nos acct 3" xfId="37329"/>
    <cellStyle name="Table nos acct 3 base" xfId="37330"/>
    <cellStyle name="Table nos acct 5" xfId="37331"/>
    <cellStyle name="Table nos acct 5 base" xfId="37332"/>
    <cellStyle name="Table nos acct cust" xfId="37333"/>
    <cellStyle name="Table nos acct red" xfId="37334"/>
    <cellStyle name="Table nos acct red cust" xfId="37335"/>
    <cellStyle name="Table nos acct special" xfId="37336"/>
    <cellStyle name="Table nos B" xfId="37337"/>
    <cellStyle name="Table nos B acct" xfId="37338"/>
    <cellStyle name="Table nos B acct 3" xfId="37339"/>
    <cellStyle name="Table nos B acct 3 base" xfId="37340"/>
    <cellStyle name="Table nos B acct 5 base" xfId="37341"/>
    <cellStyle name="Table nos base" xfId="37342"/>
    <cellStyle name="Table nos base acct" xfId="37343"/>
    <cellStyle name="Table nos base B" xfId="37344"/>
    <cellStyle name="Table nos base B acct" xfId="37345"/>
    <cellStyle name="Table nos base B num" xfId="37346"/>
    <cellStyle name="Table nos base B num right" xfId="37347"/>
    <cellStyle name="Table nos base num" xfId="37348"/>
    <cellStyle name="Table nos base num right" xfId="37349"/>
    <cellStyle name="Table nos cust" xfId="37350"/>
    <cellStyle name="Table nos cust 3 red" xfId="37351"/>
    <cellStyle name="Table nos cust 3 red base" xfId="37352"/>
    <cellStyle name="Table nos cust base" xfId="37353"/>
    <cellStyle name="Table nos cust red base" xfId="37354"/>
    <cellStyle name="Table nos left" xfId="37355"/>
    <cellStyle name="Table nos num" xfId="37356"/>
    <cellStyle name="Table nos num B" xfId="37357"/>
    <cellStyle name="Table nos num base" xfId="37358"/>
    <cellStyle name="Table nos num base B" xfId="37359"/>
    <cellStyle name="Table nos num r" xfId="37360"/>
    <cellStyle name="Table nos num r B" xfId="37361"/>
    <cellStyle name="Table nos num r B base" xfId="37362"/>
    <cellStyle name="Table nos num r base" xfId="37363"/>
    <cellStyle name="Table nos num right" xfId="37364"/>
    <cellStyle name="Table nos period" xfId="37365"/>
    <cellStyle name="Table nos period base" xfId="37366"/>
    <cellStyle name="Table nos period base B" xfId="37367"/>
    <cellStyle name="Table nos period reg" xfId="37368"/>
    <cellStyle name="Table nos right" xfId="37369"/>
    <cellStyle name="Table Of Which" xfId="37370"/>
    <cellStyle name="Table Of Which 2" xfId="37371"/>
    <cellStyle name="Table Of Which_Additional charts" xfId="37372"/>
    <cellStyle name="Table Row Billions" xfId="37373"/>
    <cellStyle name="Table Row Billions 2" xfId="37374"/>
    <cellStyle name="Table Row Billions Check" xfId="37375"/>
    <cellStyle name="Table Row Billions Check 2" xfId="37376"/>
    <cellStyle name="Table Row Billions Check 3" xfId="37377"/>
    <cellStyle name="Table Row Billions Check_asset sales" xfId="37378"/>
    <cellStyle name="Table Row Billions_Additional charts" xfId="37379"/>
    <cellStyle name="Table Row Millions" xfId="37380"/>
    <cellStyle name="Table Row Millions 2" xfId="37381"/>
    <cellStyle name="Table Row Millions 2 2" xfId="37382"/>
    <cellStyle name="Table Row Millions Check" xfId="37383"/>
    <cellStyle name="Table Row Millions Check 2" xfId="37384"/>
    <cellStyle name="Table Row Millions Check 3" xfId="37385"/>
    <cellStyle name="Table Row Millions Check 4" xfId="37386"/>
    <cellStyle name="Table Row Millions Check_asset sales" xfId="37387"/>
    <cellStyle name="Table Row Millions_Additional charts" xfId="37388"/>
    <cellStyle name="Table Row Percentage" xfId="37389"/>
    <cellStyle name="Table Row Percentage 2" xfId="37390"/>
    <cellStyle name="Table Row Percentage Check" xfId="37391"/>
    <cellStyle name="Table Row Percentage Check 2" xfId="37392"/>
    <cellStyle name="Table Row Percentage Check 3" xfId="37393"/>
    <cellStyle name="Table Row Percentage Check_asset sales" xfId="37394"/>
    <cellStyle name="Table Row Percentage_Additional charts" xfId="37395"/>
    <cellStyle name="Table slash" xfId="37396"/>
    <cellStyle name="Table Source" xfId="37397"/>
    <cellStyle name="Table Text" xfId="37398"/>
    <cellStyle name="Table Title" xfId="37399"/>
    <cellStyle name="Table Total Billions" xfId="37400"/>
    <cellStyle name="Table Total Billions 2" xfId="37401"/>
    <cellStyle name="Table Total Billions 2 2" xfId="37402"/>
    <cellStyle name="Table Total Billions 3" xfId="37403"/>
    <cellStyle name="Table Total Billions_Additional charts" xfId="37404"/>
    <cellStyle name="Table Total Millions" xfId="37405"/>
    <cellStyle name="Table Total Millions 2" xfId="37406"/>
    <cellStyle name="Table Total Millions 2 2" xfId="37407"/>
    <cellStyle name="Table Total Millions 2 2 2" xfId="37408"/>
    <cellStyle name="Table Total Millions 2 3" xfId="37409"/>
    <cellStyle name="Table Total Millions 3" xfId="37410"/>
    <cellStyle name="Table Total Millions_Additional charts" xfId="37411"/>
    <cellStyle name="Table Total Percentage" xfId="37412"/>
    <cellStyle name="Table Total Percentage 2" xfId="37413"/>
    <cellStyle name="Table Total Percentage 2 2" xfId="37414"/>
    <cellStyle name="Table Total Percentage 3" xfId="37415"/>
    <cellStyle name="Table Total Percentage_Additional charts" xfId="37416"/>
    <cellStyle name="Table Units" xfId="37417"/>
    <cellStyle name="Table Units 2" xfId="37418"/>
    <cellStyle name="Table Units 2 2" xfId="37419"/>
    <cellStyle name="Table Units 3" xfId="37420"/>
    <cellStyle name="Table Units_Additional charts" xfId="37421"/>
    <cellStyle name="Table_center" xfId="37422"/>
    <cellStyle name="TableBody" xfId="37423"/>
    <cellStyle name="TableColHeads" xfId="37424"/>
    <cellStyle name="Term" xfId="37425"/>
    <cellStyle name="test" xfId="37426"/>
    <cellStyle name="test 2" xfId="37427"/>
    <cellStyle name="test 2 2" xfId="37428"/>
    <cellStyle name="test 2 3" xfId="37429"/>
    <cellStyle name="test 2 4" xfId="37430"/>
    <cellStyle name="test 2 5" xfId="37431"/>
    <cellStyle name="test 3" xfId="37432"/>
    <cellStyle name="test 4" xfId="37433"/>
    <cellStyle name="test 5" xfId="37434"/>
    <cellStyle name="test 6" xfId="37435"/>
    <cellStyle name="test 7" xfId="37436"/>
    <cellStyle name="test 8" xfId="37437"/>
    <cellStyle name="Testo avviso" xfId="37438"/>
    <cellStyle name="Testo avviso 2" xfId="37439"/>
    <cellStyle name="Testo descrittivo" xfId="37440"/>
    <cellStyle name="Testo descrittivo 2" xfId="37441"/>
    <cellStyle name="tête chapitre" xfId="37442"/>
    <cellStyle name="Text" xfId="37443"/>
    <cellStyle name="Text 1" xfId="37444"/>
    <cellStyle name="Text 2" xfId="37445"/>
    <cellStyle name="Text Head 1" xfId="37446"/>
    <cellStyle name="Text Head 2" xfId="37447"/>
    <cellStyle name="Text Indent 1" xfId="37448"/>
    <cellStyle name="Text Indent 2" xfId="37449"/>
    <cellStyle name="Text Level 1" xfId="37450"/>
    <cellStyle name="Text Level 1 2" xfId="37451"/>
    <cellStyle name="Text Level 2" xfId="37452"/>
    <cellStyle name="Text Level 2 2" xfId="37453"/>
    <cellStyle name="Text Level 3" xfId="37454"/>
    <cellStyle name="Text Level 3 2" xfId="37455"/>
    <cellStyle name="Text Level 4" xfId="37456"/>
    <cellStyle name="Text Level 4 2" xfId="37457"/>
    <cellStyle name="Tickmark" xfId="37458"/>
    <cellStyle name="TIME Detail" xfId="37459"/>
    <cellStyle name="TIME Detail 2" xfId="37460"/>
    <cellStyle name="TIME Period Start" xfId="37461"/>
    <cellStyle name="Timeline" xfId="37462"/>
    <cellStyle name="Times New Roman" xfId="37463"/>
    <cellStyle name="Title" xfId="13" builtinId="15"/>
    <cellStyle name="Title 1" xfId="37464"/>
    <cellStyle name="Title 10" xfId="37465"/>
    <cellStyle name="Title 11" xfId="37466"/>
    <cellStyle name="Title 12" xfId="37467"/>
    <cellStyle name="Title 13" xfId="37468"/>
    <cellStyle name="Title 14" xfId="37469"/>
    <cellStyle name="Title 15" xfId="37470"/>
    <cellStyle name="Title 16" xfId="37471"/>
    <cellStyle name="Title 17" xfId="37472"/>
    <cellStyle name="Title 18" xfId="37473"/>
    <cellStyle name="Title 19" xfId="37474"/>
    <cellStyle name="Title 2" xfId="37475"/>
    <cellStyle name="Title 2 2" xfId="37476"/>
    <cellStyle name="Title 2 2 2" xfId="37477"/>
    <cellStyle name="Title 2 3" xfId="37478"/>
    <cellStyle name="Title 20" xfId="37479"/>
    <cellStyle name="Title 21" xfId="37480"/>
    <cellStyle name="Title 22" xfId="37481"/>
    <cellStyle name="Title 23" xfId="37482"/>
    <cellStyle name="Title 24" xfId="37483"/>
    <cellStyle name="Title 25" xfId="37484"/>
    <cellStyle name="Title 26" xfId="37485"/>
    <cellStyle name="Title 27" xfId="37486"/>
    <cellStyle name="Title 28" xfId="37487"/>
    <cellStyle name="Title 29" xfId="37488"/>
    <cellStyle name="Title 3" xfId="37489"/>
    <cellStyle name="Title 3 2" xfId="37490"/>
    <cellStyle name="Title 30" xfId="37491"/>
    <cellStyle name="Title 31" xfId="37492"/>
    <cellStyle name="Title 32" xfId="37493"/>
    <cellStyle name="Title 33" xfId="37494"/>
    <cellStyle name="Title 34" xfId="37495"/>
    <cellStyle name="Title 35" xfId="37496"/>
    <cellStyle name="Title 35 2" xfId="37497"/>
    <cellStyle name="Title 35 2 2" xfId="37498"/>
    <cellStyle name="Title 35 2 2 2" xfId="37499"/>
    <cellStyle name="Title 35 3" xfId="37500"/>
    <cellStyle name="Title 35 4" xfId="37501"/>
    <cellStyle name="Title 36" xfId="37502"/>
    <cellStyle name="Title 37" xfId="37503"/>
    <cellStyle name="Title 38" xfId="37504"/>
    <cellStyle name="Title 39" xfId="37505"/>
    <cellStyle name="Title 4" xfId="37506"/>
    <cellStyle name="Title 4 2" xfId="37507"/>
    <cellStyle name="Title 40" xfId="37508"/>
    <cellStyle name="Title 41" xfId="37509"/>
    <cellStyle name="Title 42" xfId="37510"/>
    <cellStyle name="Title 43" xfId="37511"/>
    <cellStyle name="Title 44" xfId="37512"/>
    <cellStyle name="Title 45" xfId="37513"/>
    <cellStyle name="Title 46" xfId="37514"/>
    <cellStyle name="Title 47" xfId="37515"/>
    <cellStyle name="Title 48" xfId="37516"/>
    <cellStyle name="Title 49" xfId="37517"/>
    <cellStyle name="Title 5" xfId="37518"/>
    <cellStyle name="Title 50" xfId="37519"/>
    <cellStyle name="Title 51" xfId="37520"/>
    <cellStyle name="Title 52" xfId="37521"/>
    <cellStyle name="Title 53" xfId="37522"/>
    <cellStyle name="Title 54" xfId="37523"/>
    <cellStyle name="Title 55" xfId="37524"/>
    <cellStyle name="Title 56" xfId="37525"/>
    <cellStyle name="Title 57" xfId="37526"/>
    <cellStyle name="Title 58" xfId="37527"/>
    <cellStyle name="Title 59" xfId="37528"/>
    <cellStyle name="Title 6" xfId="37529"/>
    <cellStyle name="Title 60" xfId="37530"/>
    <cellStyle name="Title 60 2" xfId="37531"/>
    <cellStyle name="Title 60 2 2" xfId="37532"/>
    <cellStyle name="Title 60 2 2 2" xfId="37533"/>
    <cellStyle name="Title 60 2 3" xfId="37534"/>
    <cellStyle name="Title 60 3" xfId="37535"/>
    <cellStyle name="Title 61" xfId="37536"/>
    <cellStyle name="Title 62" xfId="37537"/>
    <cellStyle name="Title 63" xfId="37538"/>
    <cellStyle name="Title 64" xfId="37539"/>
    <cellStyle name="Title 7" xfId="37540"/>
    <cellStyle name="Title 8" xfId="37541"/>
    <cellStyle name="Title 9" xfId="37542"/>
    <cellStyle name="Title1" xfId="37543"/>
    <cellStyle name="Title-1" xfId="37544"/>
    <cellStyle name="Title1 10" xfId="37545"/>
    <cellStyle name="Title1 2" xfId="37546"/>
    <cellStyle name="Title-1 2" xfId="37547"/>
    <cellStyle name="Title1 2 2" xfId="37548"/>
    <cellStyle name="Title1 2 2 2" xfId="37549"/>
    <cellStyle name="Title1 3" xfId="37550"/>
    <cellStyle name="Title-1 3" xfId="37551"/>
    <cellStyle name="Title1 4" xfId="37552"/>
    <cellStyle name="Title-1 4" xfId="37553"/>
    <cellStyle name="Title1 5" xfId="37554"/>
    <cellStyle name="Title1 6" xfId="37555"/>
    <cellStyle name="Title1 7" xfId="37556"/>
    <cellStyle name="Title1 8" xfId="37557"/>
    <cellStyle name="Title1 9" xfId="37558"/>
    <cellStyle name="Title2" xfId="37559"/>
    <cellStyle name="Title-2" xfId="37560"/>
    <cellStyle name="Title2 2" xfId="37561"/>
    <cellStyle name="Title-2 2" xfId="37562"/>
    <cellStyle name="Title2 2 2" xfId="37563"/>
    <cellStyle name="Title2 3" xfId="37564"/>
    <cellStyle name="Title-2 3" xfId="37565"/>
    <cellStyle name="Title-2 4" xfId="37566"/>
    <cellStyle name="Title3" xfId="37567"/>
    <cellStyle name="Title3 2" xfId="37568"/>
    <cellStyle name="Title3 3" xfId="37569"/>
    <cellStyle name="Title3 4" xfId="37570"/>
    <cellStyle name="Title3 5" xfId="37571"/>
    <cellStyle name="Title3 6" xfId="37572"/>
    <cellStyle name="Title3 7" xfId="37573"/>
    <cellStyle name="Title3 8" xfId="37574"/>
    <cellStyle name="Title4" xfId="37575"/>
    <cellStyle name="Title4 10" xfId="37576"/>
    <cellStyle name="Title4 2" xfId="37577"/>
    <cellStyle name="Title4 2 2" xfId="37578"/>
    <cellStyle name="Title4 2 2 2" xfId="37579"/>
    <cellStyle name="Title4 3" xfId="37580"/>
    <cellStyle name="Title4 4" xfId="37581"/>
    <cellStyle name="Title4 5" xfId="37582"/>
    <cellStyle name="Title4 6" xfId="37583"/>
    <cellStyle name="Title4 7" xfId="37584"/>
    <cellStyle name="Title4 8" xfId="37585"/>
    <cellStyle name="Title4 9" xfId="37586"/>
    <cellStyle name="Title5" xfId="37587"/>
    <cellStyle name="Title5 10" xfId="37588"/>
    <cellStyle name="Title5 11" xfId="37589"/>
    <cellStyle name="Title5 2" xfId="37590"/>
    <cellStyle name="Title5 2 2" xfId="37591"/>
    <cellStyle name="Title5 2 2 2" xfId="37592"/>
    <cellStyle name="Title5 2 2 3" xfId="37593"/>
    <cellStyle name="Title5 3" xfId="37594"/>
    <cellStyle name="Title5 4" xfId="37595"/>
    <cellStyle name="Title5 5" xfId="37596"/>
    <cellStyle name="Title5 6" xfId="37597"/>
    <cellStyle name="Title5 7" xfId="37598"/>
    <cellStyle name="Title5 8" xfId="37599"/>
    <cellStyle name="Title5 9" xfId="37600"/>
    <cellStyle name="Title6" xfId="37601"/>
    <cellStyle name="Title6 10" xfId="37602"/>
    <cellStyle name="Title6 11" xfId="37603"/>
    <cellStyle name="Title6 2" xfId="37604"/>
    <cellStyle name="Title6 2 2" xfId="37605"/>
    <cellStyle name="Title6 2 2 2" xfId="37606"/>
    <cellStyle name="Title6 2 2 3" xfId="37607"/>
    <cellStyle name="Title6 3" xfId="37608"/>
    <cellStyle name="Title6 4" xfId="37609"/>
    <cellStyle name="Title6 5" xfId="37610"/>
    <cellStyle name="Title6 6" xfId="37611"/>
    <cellStyle name="Title6 7" xfId="37612"/>
    <cellStyle name="Title6 8" xfId="37613"/>
    <cellStyle name="Title6 9" xfId="37614"/>
    <cellStyle name="Titolo" xfId="37615"/>
    <cellStyle name="Titolo 1" xfId="37616"/>
    <cellStyle name="Titolo 1 2" xfId="37617"/>
    <cellStyle name="Titolo 2" xfId="37618"/>
    <cellStyle name="Titolo 2 2" xfId="37619"/>
    <cellStyle name="Titolo 3" xfId="37620"/>
    <cellStyle name="Titolo 3 2" xfId="37621"/>
    <cellStyle name="Titolo 4" xfId="37622"/>
    <cellStyle name="Titolo 4 2" xfId="37623"/>
    <cellStyle name="Titolo 5" xfId="37624"/>
    <cellStyle name="Titolo_Demand_Source_Cen" xfId="37625"/>
    <cellStyle name="titre" xfId="37626"/>
    <cellStyle name="Titre ligne" xfId="37627"/>
    <cellStyle name="Tmpl_Assumptions" xfId="37628"/>
    <cellStyle name="TOC 1" xfId="37629"/>
    <cellStyle name="TOC 2" xfId="37630"/>
    <cellStyle name="Total 10" xfId="37631"/>
    <cellStyle name="Total 11" xfId="37632"/>
    <cellStyle name="Total 12" xfId="37633"/>
    <cellStyle name="Total 13" xfId="37634"/>
    <cellStyle name="Total 14" xfId="37635"/>
    <cellStyle name="Total 15" xfId="37636"/>
    <cellStyle name="Total 16" xfId="37637"/>
    <cellStyle name="Total 17" xfId="37638"/>
    <cellStyle name="Total 18" xfId="37639"/>
    <cellStyle name="Total 19" xfId="37640"/>
    <cellStyle name="Total 2" xfId="37641"/>
    <cellStyle name="Total 2 10" xfId="37642"/>
    <cellStyle name="Total 2 11" xfId="37643"/>
    <cellStyle name="Total 2 12" xfId="37644"/>
    <cellStyle name="Total 2 2" xfId="37645"/>
    <cellStyle name="Total 2 2 2" xfId="37646"/>
    <cellStyle name="Total 2 2 3" xfId="37647"/>
    <cellStyle name="Total 2 2 4" xfId="37648"/>
    <cellStyle name="Total 2 2 5" xfId="37649"/>
    <cellStyle name="Total 2 3" xfId="37650"/>
    <cellStyle name="Total 2 4" xfId="37651"/>
    <cellStyle name="Total 2 5" xfId="37652"/>
    <cellStyle name="Total 2 6" xfId="37653"/>
    <cellStyle name="Total 2 7" xfId="37654"/>
    <cellStyle name="Total 2 8" xfId="37655"/>
    <cellStyle name="Total 2 9" xfId="37656"/>
    <cellStyle name="Total 20" xfId="37657"/>
    <cellStyle name="Total 21" xfId="37658"/>
    <cellStyle name="Total 22" xfId="37659"/>
    <cellStyle name="Total 23" xfId="37660"/>
    <cellStyle name="Total 24" xfId="37661"/>
    <cellStyle name="Total 25" xfId="37662"/>
    <cellStyle name="Total 26" xfId="37663"/>
    <cellStyle name="Total 27" xfId="37664"/>
    <cellStyle name="Total 28" xfId="37665"/>
    <cellStyle name="Total 29" xfId="37666"/>
    <cellStyle name="Total 3" xfId="37667"/>
    <cellStyle name="Total 3 10" xfId="37668"/>
    <cellStyle name="Total 3 2" xfId="37669"/>
    <cellStyle name="Total 3 3" xfId="37670"/>
    <cellStyle name="Total 3 4" xfId="37671"/>
    <cellStyle name="Total 3 5" xfId="37672"/>
    <cellStyle name="Total 3 6" xfId="37673"/>
    <cellStyle name="Total 3 7" xfId="37674"/>
    <cellStyle name="Total 3 8" xfId="37675"/>
    <cellStyle name="Total 3 9" xfId="37676"/>
    <cellStyle name="Total 30" xfId="37677"/>
    <cellStyle name="Total 31" xfId="37678"/>
    <cellStyle name="Total 32" xfId="37679"/>
    <cellStyle name="Total 33" xfId="37680"/>
    <cellStyle name="Total 34" xfId="37681"/>
    <cellStyle name="Total 35" xfId="37682"/>
    <cellStyle name="Total 35 2" xfId="37683"/>
    <cellStyle name="Total 35 2 2" xfId="37684"/>
    <cellStyle name="Total 35 2 2 2" xfId="37685"/>
    <cellStyle name="Total 35 3" xfId="37686"/>
    <cellStyle name="Total 35 4" xfId="37687"/>
    <cellStyle name="Total 36" xfId="37688"/>
    <cellStyle name="Total 37" xfId="37689"/>
    <cellStyle name="Total 38" xfId="37690"/>
    <cellStyle name="Total 39" xfId="37691"/>
    <cellStyle name="Total 4" xfId="37692"/>
    <cellStyle name="Total 4 2" xfId="37693"/>
    <cellStyle name="Total 4 3" xfId="37694"/>
    <cellStyle name="Total 40" xfId="37695"/>
    <cellStyle name="Total 41" xfId="37696"/>
    <cellStyle name="Total 42" xfId="37697"/>
    <cellStyle name="Total 43" xfId="37698"/>
    <cellStyle name="Total 44" xfId="37699"/>
    <cellStyle name="Total 45" xfId="37700"/>
    <cellStyle name="Total 46" xfId="37701"/>
    <cellStyle name="Total 47" xfId="37702"/>
    <cellStyle name="Total 48" xfId="37703"/>
    <cellStyle name="Total 49" xfId="37704"/>
    <cellStyle name="Total 5" xfId="37705"/>
    <cellStyle name="Total 50" xfId="37706"/>
    <cellStyle name="Total 51" xfId="37707"/>
    <cellStyle name="Total 52" xfId="37708"/>
    <cellStyle name="Total 53" xfId="37709"/>
    <cellStyle name="Total 54" xfId="37710"/>
    <cellStyle name="Total 55" xfId="37711"/>
    <cellStyle name="Total 56" xfId="37712"/>
    <cellStyle name="Total 57" xfId="37713"/>
    <cellStyle name="Total 58" xfId="37714"/>
    <cellStyle name="Total 59" xfId="37715"/>
    <cellStyle name="Total 6" xfId="37716"/>
    <cellStyle name="Total 60" xfId="37717"/>
    <cellStyle name="Total 60 2" xfId="37718"/>
    <cellStyle name="Total 60 2 2" xfId="37719"/>
    <cellStyle name="Total 60 2 2 2" xfId="37720"/>
    <cellStyle name="Total 60 2 3" xfId="37721"/>
    <cellStyle name="Total 61" xfId="37722"/>
    <cellStyle name="Total 62" xfId="37723"/>
    <cellStyle name="Total 63" xfId="37724"/>
    <cellStyle name="Total 64" xfId="37725"/>
    <cellStyle name="Total 65" xfId="37726"/>
    <cellStyle name="Total 66" xfId="37727"/>
    <cellStyle name="Total 7" xfId="37728"/>
    <cellStyle name="Total 8" xfId="37729"/>
    <cellStyle name="Total 9" xfId="37730"/>
    <cellStyle name="Total Currency" xfId="37731"/>
    <cellStyle name="Total intermediaire" xfId="37732"/>
    <cellStyle name="Total Normal" xfId="37733"/>
    <cellStyle name="Totale" xfId="37734"/>
    <cellStyle name="Totale 2" xfId="37735"/>
    <cellStyle name="Totale 3" xfId="37736"/>
    <cellStyle name="Totale 4" xfId="37737"/>
    <cellStyle name="Tusenskille [0]_rob4-mon.xls Diagram 1" xfId="37738"/>
    <cellStyle name="Tusenskille_rob4-mon.xls Diagram 1" xfId="37739"/>
    <cellStyle name="TypeNote" xfId="37740"/>
    <cellStyle name="Unit" xfId="37741"/>
    <cellStyle name="UnitOfMeasure" xfId="37742"/>
    <cellStyle name="Unprot" xfId="37743"/>
    <cellStyle name="Unprot 2" xfId="37744"/>
    <cellStyle name="Unprot$" xfId="37745"/>
    <cellStyle name="Unprot$ 2" xfId="37746"/>
    <cellStyle name="Unprot$ 3" xfId="37747"/>
    <cellStyle name="Unprot_OP" xfId="37748"/>
    <cellStyle name="Unprotect" xfId="37749"/>
    <cellStyle name="User input" xfId="37750"/>
    <cellStyle name="Valore non valido" xfId="37751"/>
    <cellStyle name="Valore non valido 2" xfId="37752"/>
    <cellStyle name="Valore valido" xfId="37753"/>
    <cellStyle name="Valore valido 2" xfId="37754"/>
    <cellStyle name="Value" xfId="37755"/>
    <cellStyle name="Valuta [0]_rob4-mon.xls Diagram 1" xfId="37756"/>
    <cellStyle name="Valuta_Copia di Tariffatorexx" xfId="37757"/>
    <cellStyle name="Vertical" xfId="37758"/>
    <cellStyle name="Währung [0]_0002VS" xfId="37759"/>
    <cellStyle name="Währung_0002VS" xfId="37760"/>
    <cellStyle name="Warning Text 10" xfId="37761"/>
    <cellStyle name="Warning Text 11" xfId="37762"/>
    <cellStyle name="Warning Text 12" xfId="37763"/>
    <cellStyle name="Warning Text 13" xfId="37764"/>
    <cellStyle name="Warning Text 14" xfId="37765"/>
    <cellStyle name="Warning Text 15" xfId="37766"/>
    <cellStyle name="Warning Text 16" xfId="37767"/>
    <cellStyle name="Warning Text 17" xfId="37768"/>
    <cellStyle name="Warning Text 18" xfId="37769"/>
    <cellStyle name="Warning Text 19" xfId="37770"/>
    <cellStyle name="Warning Text 2" xfId="37771"/>
    <cellStyle name="Warning Text 2 2" xfId="37772"/>
    <cellStyle name="Warning Text 2 2 2" xfId="37773"/>
    <cellStyle name="Warning Text 2 3" xfId="37774"/>
    <cellStyle name="Warning Text 2 4" xfId="37775"/>
    <cellStyle name="Warning Text 2 5" xfId="37776"/>
    <cellStyle name="Warning Text 20" xfId="37777"/>
    <cellStyle name="Warning Text 21" xfId="37778"/>
    <cellStyle name="Warning Text 22" xfId="37779"/>
    <cellStyle name="Warning Text 23" xfId="37780"/>
    <cellStyle name="Warning Text 24" xfId="37781"/>
    <cellStyle name="Warning Text 25" xfId="37782"/>
    <cellStyle name="Warning Text 26" xfId="37783"/>
    <cellStyle name="Warning Text 27" xfId="37784"/>
    <cellStyle name="Warning Text 28" xfId="37785"/>
    <cellStyle name="Warning Text 29" xfId="37786"/>
    <cellStyle name="Warning Text 3" xfId="37787"/>
    <cellStyle name="Warning Text 3 2" xfId="37788"/>
    <cellStyle name="Warning Text 30" xfId="37789"/>
    <cellStyle name="Warning Text 31" xfId="37790"/>
    <cellStyle name="Warning Text 32" xfId="37791"/>
    <cellStyle name="Warning Text 33" xfId="37792"/>
    <cellStyle name="Warning Text 34" xfId="37793"/>
    <cellStyle name="Warning Text 35" xfId="37794"/>
    <cellStyle name="Warning Text 35 2" xfId="37795"/>
    <cellStyle name="Warning Text 35 2 2" xfId="37796"/>
    <cellStyle name="Warning Text 35 2 2 2" xfId="37797"/>
    <cellStyle name="Warning Text 35 3" xfId="37798"/>
    <cellStyle name="Warning Text 35 4" xfId="37799"/>
    <cellStyle name="Warning Text 36" xfId="37800"/>
    <cellStyle name="Warning Text 37" xfId="37801"/>
    <cellStyle name="Warning Text 38" xfId="37802"/>
    <cellStyle name="Warning Text 39" xfId="37803"/>
    <cellStyle name="Warning Text 4" xfId="37804"/>
    <cellStyle name="Warning Text 40" xfId="37805"/>
    <cellStyle name="Warning Text 41" xfId="37806"/>
    <cellStyle name="Warning Text 42" xfId="37807"/>
    <cellStyle name="Warning Text 43" xfId="37808"/>
    <cellStyle name="Warning Text 44" xfId="37809"/>
    <cellStyle name="Warning Text 45" xfId="37810"/>
    <cellStyle name="Warning Text 46" xfId="37811"/>
    <cellStyle name="Warning Text 47" xfId="37812"/>
    <cellStyle name="Warning Text 48" xfId="37813"/>
    <cellStyle name="Warning Text 49" xfId="37814"/>
    <cellStyle name="Warning Text 5" xfId="37815"/>
    <cellStyle name="Warning Text 50" xfId="37816"/>
    <cellStyle name="Warning Text 51" xfId="37817"/>
    <cellStyle name="Warning Text 52" xfId="37818"/>
    <cellStyle name="Warning Text 53" xfId="37819"/>
    <cellStyle name="Warning Text 54" xfId="37820"/>
    <cellStyle name="Warning Text 55" xfId="37821"/>
    <cellStyle name="Warning Text 56" xfId="37822"/>
    <cellStyle name="Warning Text 57" xfId="37823"/>
    <cellStyle name="Warning Text 58" xfId="37824"/>
    <cellStyle name="Warning Text 59" xfId="37825"/>
    <cellStyle name="Warning Text 6" xfId="37826"/>
    <cellStyle name="Warning Text 60" xfId="37827"/>
    <cellStyle name="Warning Text 60 2" xfId="37828"/>
    <cellStyle name="Warning Text 60 2 2" xfId="37829"/>
    <cellStyle name="Warning Text 60 2 3" xfId="37830"/>
    <cellStyle name="Warning Text 61" xfId="37831"/>
    <cellStyle name="Warning Text 62" xfId="37832"/>
    <cellStyle name="Warning Text 63" xfId="37833"/>
    <cellStyle name="Warning Text 64" xfId="37834"/>
    <cellStyle name="Warning Text 65" xfId="37835"/>
    <cellStyle name="Warning Text 7" xfId="37836"/>
    <cellStyle name="Warning Text 8" xfId="37837"/>
    <cellStyle name="Warning Text 9" xfId="37838"/>
    <cellStyle name="Warnings" xfId="37839"/>
    <cellStyle name="Warnings 2" xfId="37840"/>
    <cellStyle name="whole number" xfId="37841"/>
    <cellStyle name="WIP" xfId="37842"/>
    <cellStyle name="WIP 2" xfId="37843"/>
    <cellStyle name="WIP 3" xfId="37844"/>
    <cellStyle name="WIP 4" xfId="37845"/>
    <cellStyle name="WIP 5" xfId="37846"/>
    <cellStyle name="WIP 6" xfId="37847"/>
    <cellStyle name="WIP 7" xfId="37848"/>
    <cellStyle name="WIP 8" xfId="37849"/>
    <cellStyle name="Work in progress" xfId="37850"/>
    <cellStyle name="Work in progress 2" xfId="37851"/>
    <cellStyle name="Year" xfId="37852"/>
    <cellStyle name="Year 2" xfId="37853"/>
    <cellStyle name="Year 3" xfId="37854"/>
    <cellStyle name="Обычный_2++_CRFReport-template" xfId="37855"/>
    <cellStyle name="常规_November Issue Standard" xfId="3785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calcChain" Target="calcChain.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externalLink" Target="externalLinks/externalLink1.xml"/><Relationship Id="rId12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theme" Target="theme/theme1.xml"/><Relationship Id="rId125" Type="http://schemas.openxmlformats.org/officeDocument/2006/relationships/customXml" Target="../customXml/item2.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61" Type="http://schemas.openxmlformats.org/officeDocument/2006/relationships/worksheet" Target="worksheets/sheet61.xml"/><Relationship Id="rId82"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1" Type="http://schemas.openxmlformats.org/officeDocument/2006/relationships/image" Target="../media/image9.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7.png"/></Relationships>
</file>

<file path=xl/drawings/_rels/drawing15.xml.rels><?xml version="1.0" encoding="UTF-8" standalone="yes"?>
<Relationships xmlns="http://schemas.openxmlformats.org/package/2006/relationships"><Relationship Id="rId1" Type="http://schemas.openxmlformats.org/officeDocument/2006/relationships/image" Target="../media/image8.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7.xml.rels><?xml version="1.0" encoding="UTF-8" standalone="yes"?>
<Relationships xmlns="http://schemas.openxmlformats.org/package/2006/relationships"><Relationship Id="rId1" Type="http://schemas.openxmlformats.org/officeDocument/2006/relationships/image" Target="../media/image8.png"/></Relationships>
</file>

<file path=xl/drawings/_rels/drawing18.xml.rels><?xml version="1.0" encoding="UTF-8" standalone="yes"?>
<Relationships xmlns="http://schemas.openxmlformats.org/package/2006/relationships"><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8.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3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3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39.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0.xml.rels><?xml version="1.0" encoding="UTF-8" standalone="yes"?>
<Relationships xmlns="http://schemas.openxmlformats.org/package/2006/relationships"><Relationship Id="rId1" Type="http://schemas.openxmlformats.org/officeDocument/2006/relationships/image" Target="../media/image17.png"/></Relationships>
</file>

<file path=xl/drawings/_rels/drawing41.xml.rels><?xml version="1.0" encoding="UTF-8" standalone="yes"?>
<Relationships xmlns="http://schemas.openxmlformats.org/package/2006/relationships"><Relationship Id="rId1" Type="http://schemas.openxmlformats.org/officeDocument/2006/relationships/image" Target="../media/image17.png"/></Relationships>
</file>

<file path=xl/drawings/_rels/drawing42.xml.rels><?xml version="1.0" encoding="UTF-8" standalone="yes"?>
<Relationships xmlns="http://schemas.openxmlformats.org/package/2006/relationships"><Relationship Id="rId1" Type="http://schemas.openxmlformats.org/officeDocument/2006/relationships/image" Target="../media/image18.png"/></Relationships>
</file>

<file path=xl/drawings/_rels/drawing4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4.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5.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6.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7.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6.png"/></Relationships>
</file>

<file path=xl/drawings/_rels/drawing48.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50.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15.png"/></Relationships>
</file>

<file path=xl/drawings/_rels/drawing53.xml.rels><?xml version="1.0" encoding="UTF-8" standalone="yes"?>
<Relationships xmlns="http://schemas.openxmlformats.org/package/2006/relationships"><Relationship Id="rId1" Type="http://schemas.openxmlformats.org/officeDocument/2006/relationships/image" Target="../media/image15.png"/></Relationships>
</file>

<file path=xl/drawings/_rels/drawing54.xml.rels><?xml version="1.0" encoding="UTF-8" standalone="yes"?>
<Relationships xmlns="http://schemas.openxmlformats.org/package/2006/relationships"><Relationship Id="rId1" Type="http://schemas.openxmlformats.org/officeDocument/2006/relationships/image" Target="../media/image17.png"/></Relationships>
</file>

<file path=xl/drawings/_rels/drawing5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56.xml.rels><?xml version="1.0" encoding="UTF-8" standalone="yes"?>
<Relationships xmlns="http://schemas.openxmlformats.org/package/2006/relationships"><Relationship Id="rId1" Type="http://schemas.openxmlformats.org/officeDocument/2006/relationships/image" Target="../media/image9.png"/></Relationships>
</file>

<file path=xl/drawings/_rels/drawing57.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0.xml.rels><?xml version="1.0" encoding="UTF-8" standalone="yes"?>
<Relationships xmlns="http://schemas.openxmlformats.org/package/2006/relationships"><Relationship Id="rId1" Type="http://schemas.openxmlformats.org/officeDocument/2006/relationships/image" Target="../media/image17.png"/></Relationships>
</file>

<file path=xl/drawings/_rels/drawing6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62.xml.rels><?xml version="1.0" encoding="UTF-8" standalone="yes"?>
<Relationships xmlns="http://schemas.openxmlformats.org/package/2006/relationships"><Relationship Id="rId1" Type="http://schemas.openxmlformats.org/officeDocument/2006/relationships/image" Target="../media/image20.png"/></Relationships>
</file>

<file path=xl/drawings/_rels/drawing6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65.xml.rels><?xml version="1.0" encoding="UTF-8" standalone="yes"?>
<Relationships xmlns="http://schemas.openxmlformats.org/package/2006/relationships"><Relationship Id="rId1" Type="http://schemas.openxmlformats.org/officeDocument/2006/relationships/image" Target="../media/image13.png"/></Relationships>
</file>

<file path=xl/drawings/_rels/drawing6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7.xml.rels><?xml version="1.0" encoding="UTF-8" standalone="yes"?>
<Relationships xmlns="http://schemas.openxmlformats.org/package/2006/relationships"><Relationship Id="rId1" Type="http://schemas.openxmlformats.org/officeDocument/2006/relationships/image" Target="../media/image7.png"/></Relationships>
</file>

<file path=xl/drawings/_rels/drawing68.xml.rels><?xml version="1.0" encoding="UTF-8" standalone="yes"?>
<Relationships xmlns="http://schemas.openxmlformats.org/package/2006/relationships"><Relationship Id="rId1" Type="http://schemas.openxmlformats.org/officeDocument/2006/relationships/image" Target="../media/image9.png"/></Relationships>
</file>

<file path=xl/drawings/_rels/drawing69.xml.rels><?xml version="1.0" encoding="UTF-8" standalone="yes"?>
<Relationships xmlns="http://schemas.openxmlformats.org/package/2006/relationships"><Relationship Id="rId1" Type="http://schemas.openxmlformats.org/officeDocument/2006/relationships/image" Target="../media/image16.png"/></Relationships>
</file>

<file path=xl/drawings/_rels/drawing70.xml.rels><?xml version="1.0" encoding="UTF-8" standalone="yes"?>
<Relationships xmlns="http://schemas.openxmlformats.org/package/2006/relationships"><Relationship Id="rId1" Type="http://schemas.openxmlformats.org/officeDocument/2006/relationships/image" Target="../media/image9.png"/></Relationships>
</file>

<file path=xl/drawings/_rels/drawing7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2.xml.rels><?xml version="1.0" encoding="UTF-8" standalone="yes"?>
<Relationships xmlns="http://schemas.openxmlformats.org/package/2006/relationships"><Relationship Id="rId1" Type="http://schemas.openxmlformats.org/officeDocument/2006/relationships/image" Target="../media/image16.png"/></Relationships>
</file>

<file path=xl/drawings/_rels/drawing7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7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5.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77.xml.rels><?xml version="1.0" encoding="UTF-8" standalone="yes"?>
<Relationships xmlns="http://schemas.openxmlformats.org/package/2006/relationships"><Relationship Id="rId1" Type="http://schemas.openxmlformats.org/officeDocument/2006/relationships/image" Target="../media/image9.png"/></Relationships>
</file>

<file path=xl/drawings/_rels/drawing78.xml.rels><?xml version="1.0" encoding="UTF-8" standalone="yes"?>
<Relationships xmlns="http://schemas.openxmlformats.org/package/2006/relationships"><Relationship Id="rId1" Type="http://schemas.openxmlformats.org/officeDocument/2006/relationships/image" Target="../media/image8.png"/></Relationships>
</file>

<file path=xl/drawings/_rels/drawing79.xml.rels><?xml version="1.0" encoding="UTF-8" standalone="yes"?>
<Relationships xmlns="http://schemas.openxmlformats.org/package/2006/relationships"><Relationship Id="rId1" Type="http://schemas.openxmlformats.org/officeDocument/2006/relationships/image" Target="../media/image8.png"/></Relationships>
</file>

<file path=xl/drawings/_rels/drawing80.xml.rels><?xml version="1.0" encoding="UTF-8" standalone="yes"?>
<Relationships xmlns="http://schemas.openxmlformats.org/package/2006/relationships"><Relationship Id="rId1" Type="http://schemas.openxmlformats.org/officeDocument/2006/relationships/image" Target="../media/image8.png"/></Relationships>
</file>

<file path=xl/drawings/_rels/drawing81.xml.rels><?xml version="1.0" encoding="UTF-8" standalone="yes"?>
<Relationships xmlns="http://schemas.openxmlformats.org/package/2006/relationships"><Relationship Id="rId1" Type="http://schemas.openxmlformats.org/officeDocument/2006/relationships/image" Target="../media/image8.png"/></Relationships>
</file>

<file path=xl/drawings/_rels/drawing82.xml.rels><?xml version="1.0" encoding="UTF-8" standalone="yes"?>
<Relationships xmlns="http://schemas.openxmlformats.org/package/2006/relationships"><Relationship Id="rId1" Type="http://schemas.openxmlformats.org/officeDocument/2006/relationships/image" Target="../media/image9.png"/></Relationships>
</file>

<file path=xl/drawings/_rels/drawing83.xml.rels><?xml version="1.0" encoding="UTF-8" standalone="yes"?>
<Relationships xmlns="http://schemas.openxmlformats.org/package/2006/relationships"><Relationship Id="rId1" Type="http://schemas.openxmlformats.org/officeDocument/2006/relationships/image" Target="../media/image9.png"/></Relationships>
</file>

<file path=xl/drawings/_rels/drawing8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8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8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8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8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89.xml.rels><?xml version="1.0" encoding="UTF-8" standalone="yes"?>
<Relationships xmlns="http://schemas.openxmlformats.org/package/2006/relationships"><Relationship Id="rId1" Type="http://schemas.openxmlformats.org/officeDocument/2006/relationships/image" Target="../media/image9.png"/></Relationships>
</file>

<file path=xl/drawings/_rels/drawing90.xml.rels><?xml version="1.0" encoding="UTF-8" standalone="yes"?>
<Relationships xmlns="http://schemas.openxmlformats.org/package/2006/relationships"><Relationship Id="rId1" Type="http://schemas.openxmlformats.org/officeDocument/2006/relationships/image" Target="../media/image8.png"/></Relationships>
</file>

<file path=xl/drawings/_rels/drawing91.xml.rels><?xml version="1.0" encoding="UTF-8" standalone="yes"?>
<Relationships xmlns="http://schemas.openxmlformats.org/package/2006/relationships"><Relationship Id="rId1" Type="http://schemas.openxmlformats.org/officeDocument/2006/relationships/image" Target="../media/image8.png"/></Relationships>
</file>

<file path=xl/drawings/_rels/drawing92.xml.rels><?xml version="1.0" encoding="UTF-8" standalone="yes"?>
<Relationships xmlns="http://schemas.openxmlformats.org/package/2006/relationships"><Relationship Id="rId1" Type="http://schemas.openxmlformats.org/officeDocument/2006/relationships/image" Target="../media/image8.png"/></Relationships>
</file>

<file path=xl/drawings/_rels/drawing93.xml.rels><?xml version="1.0" encoding="UTF-8" standalone="yes"?>
<Relationships xmlns="http://schemas.openxmlformats.org/package/2006/relationships"><Relationship Id="rId1" Type="http://schemas.openxmlformats.org/officeDocument/2006/relationships/image" Target="../media/image8.png"/></Relationships>
</file>

<file path=xl/drawings/_rels/drawing94.xml.rels><?xml version="1.0" encoding="UTF-8" standalone="yes"?>
<Relationships xmlns="http://schemas.openxmlformats.org/package/2006/relationships"><Relationship Id="rId1" Type="http://schemas.openxmlformats.org/officeDocument/2006/relationships/image" Target="../media/image8.png"/></Relationships>
</file>

<file path=xl/drawings/_rels/drawing95.xml.rels><?xml version="1.0" encoding="UTF-8" standalone="yes"?>
<Relationships xmlns="http://schemas.openxmlformats.org/package/2006/relationships"><Relationship Id="rId1" Type="http://schemas.openxmlformats.org/officeDocument/2006/relationships/image" Target="../media/image8.png"/></Relationships>
</file>

<file path=xl/drawings/_rels/drawing96.xml.rels><?xml version="1.0" encoding="UTF-8" standalone="yes"?>
<Relationships xmlns="http://schemas.openxmlformats.org/package/2006/relationships"><Relationship Id="rId1" Type="http://schemas.openxmlformats.org/officeDocument/2006/relationships/image" Target="../media/image8.png"/></Relationships>
</file>

<file path=xl/drawings/_rels/drawing97.xml.rels><?xml version="1.0" encoding="UTF-8" standalone="yes"?>
<Relationships xmlns="http://schemas.openxmlformats.org/package/2006/relationships"><Relationship Id="rId1" Type="http://schemas.openxmlformats.org/officeDocument/2006/relationships/image" Target="../media/image8.png"/></Relationships>
</file>

<file path=xl/drawings/_rels/drawing9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0.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01.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2.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3.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4.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5.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6.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7.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8.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10.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1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1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15.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16.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17.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18.xml.rels><?xml version="1.0" encoding="UTF-8" standalone="yes"?>
<Relationships xmlns="http://schemas.openxmlformats.org/package/2006/relationships"><Relationship Id="rId1"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xdr:twoCellAnchor>
    <xdr:from>
      <xdr:col>0</xdr:col>
      <xdr:colOff>7620</xdr:colOff>
      <xdr:row>0</xdr:row>
      <xdr:rowOff>0</xdr:rowOff>
    </xdr:from>
    <xdr:to>
      <xdr:col>1</xdr:col>
      <xdr:colOff>266700</xdr:colOff>
      <xdr:row>0</xdr:row>
      <xdr:rowOff>693420</xdr:rowOff>
    </xdr:to>
    <xdr:pic>
      <xdr:nvPicPr>
        <xdr:cNvPr id="1771" name="Picture 1" descr="DfT_3298_SML_AW">
          <a:extLst>
            <a:ext uri="{FF2B5EF4-FFF2-40B4-BE49-F238E27FC236}">
              <a16:creationId xmlns:a16="http://schemas.microsoft.com/office/drawing/2014/main" xmlns="" id="{00000000-0008-0000-0000-0000EB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7620" y="0"/>
          <a:ext cx="11430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419100</xdr:colOff>
          <xdr:row>5</xdr:row>
          <xdr:rowOff>99060</xdr:rowOff>
        </xdr:from>
        <xdr:to>
          <xdr:col>3</xdr:col>
          <xdr:colOff>533400</xdr:colOff>
          <xdr:row>7</xdr:row>
          <xdr:rowOff>76200</xdr:rowOff>
        </xdr:to>
        <xdr:sp macro="" textlink="">
          <xdr:nvSpPr>
            <xdr:cNvPr id="1716" name="Button 692" hidden="1">
              <a:extLst>
                <a:ext uri="{63B3BB69-23CF-44E3-9099-C40C66FF867C}">
                  <a14:compatExt spid="_x0000_s1716"/>
                </a:ext>
                <a:ext uri="{FF2B5EF4-FFF2-40B4-BE49-F238E27FC236}">
                  <a16:creationId xmlns:a16="http://schemas.microsoft.com/office/drawing/2014/main" xmlns="" id="{00000000-0008-0000-0000-0000B40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640080</xdr:colOff>
          <xdr:row>5</xdr:row>
          <xdr:rowOff>83820</xdr:rowOff>
        </xdr:from>
        <xdr:to>
          <xdr:col>4</xdr:col>
          <xdr:colOff>746760</xdr:colOff>
          <xdr:row>7</xdr:row>
          <xdr:rowOff>68580</xdr:rowOff>
        </xdr:to>
        <xdr:sp macro="" textlink="">
          <xdr:nvSpPr>
            <xdr:cNvPr id="1717" name="Button 693" hidden="1">
              <a:extLst>
                <a:ext uri="{63B3BB69-23CF-44E3-9099-C40C66FF867C}">
                  <a14:compatExt spid="_x0000_s1717"/>
                </a:ext>
                <a:ext uri="{FF2B5EF4-FFF2-40B4-BE49-F238E27FC236}">
                  <a16:creationId xmlns:a16="http://schemas.microsoft.com/office/drawing/2014/main" xmlns="" id="{00000000-0008-0000-0000-0000B50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Unhide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883920</xdr:colOff>
          <xdr:row>5</xdr:row>
          <xdr:rowOff>83820</xdr:rowOff>
        </xdr:from>
        <xdr:to>
          <xdr:col>6</xdr:col>
          <xdr:colOff>106680</xdr:colOff>
          <xdr:row>7</xdr:row>
          <xdr:rowOff>68580</xdr:rowOff>
        </xdr:to>
        <xdr:sp macro="" textlink="">
          <xdr:nvSpPr>
            <xdr:cNvPr id="1718" name="Button 694" hidden="1">
              <a:extLst>
                <a:ext uri="{63B3BB69-23CF-44E3-9099-C40C66FF867C}">
                  <a14:compatExt spid="_x0000_s1718"/>
                </a:ext>
                <a:ext uri="{FF2B5EF4-FFF2-40B4-BE49-F238E27FC236}">
                  <a16:creationId xmlns:a16="http://schemas.microsoft.com/office/drawing/2014/main" xmlns="" id="{00000000-0008-0000-0000-0000B60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236220</xdr:colOff>
          <xdr:row>5</xdr:row>
          <xdr:rowOff>76200</xdr:rowOff>
        </xdr:from>
        <xdr:to>
          <xdr:col>7</xdr:col>
          <xdr:colOff>464820</xdr:colOff>
          <xdr:row>7</xdr:row>
          <xdr:rowOff>60960</xdr:rowOff>
        </xdr:to>
        <xdr:sp macro="" textlink="">
          <xdr:nvSpPr>
            <xdr:cNvPr id="1719" name="Button 695" hidden="1">
              <a:extLst>
                <a:ext uri="{63B3BB69-23CF-44E3-9099-C40C66FF867C}">
                  <a14:compatExt spid="_x0000_s1719"/>
                </a:ext>
                <a:ext uri="{FF2B5EF4-FFF2-40B4-BE49-F238E27FC236}">
                  <a16:creationId xmlns:a16="http://schemas.microsoft.com/office/drawing/2014/main" xmlns="" id="{00000000-0008-0000-0000-0000B706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Arial"/>
                  <a:cs typeface="Arial"/>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0</xdr:row>
      <xdr:rowOff>716280</xdr:rowOff>
    </xdr:to>
    <xdr:pic>
      <xdr:nvPicPr>
        <xdr:cNvPr id="2791" name="Picture 1" descr="DfT_3298_SML_AW">
          <a:extLst>
            <a:ext uri="{FF2B5EF4-FFF2-40B4-BE49-F238E27FC236}">
              <a16:creationId xmlns:a16="http://schemas.microsoft.com/office/drawing/2014/main" xmlns="" id="{00000000-0008-0000-0100-0000E70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7620</xdr:rowOff>
    </xdr:to>
    <xdr:pic>
      <xdr:nvPicPr>
        <xdr:cNvPr id="3824" name="Picture 1" descr="DfT_3298_SML_AW">
          <a:extLst>
            <a:ext uri="{FF2B5EF4-FFF2-40B4-BE49-F238E27FC236}">
              <a16:creationId xmlns:a16="http://schemas.microsoft.com/office/drawing/2014/main" xmlns="" id="{00000000-0008-0000-0200-0000F00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7010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297180</xdr:colOff>
      <xdr:row>1</xdr:row>
      <xdr:rowOff>0</xdr:rowOff>
    </xdr:to>
    <xdr:pic>
      <xdr:nvPicPr>
        <xdr:cNvPr id="4839" name="Picture 1" descr="DfT_3298_SML_AW">
          <a:extLst>
            <a:ext uri="{FF2B5EF4-FFF2-40B4-BE49-F238E27FC236}">
              <a16:creationId xmlns:a16="http://schemas.microsoft.com/office/drawing/2014/main" xmlns="" id="{00000000-0008-0000-0300-0000E71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11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5865" name="Picture 3" descr="DfT_3298_SML_AW">
          <a:extLst>
            <a:ext uri="{FF2B5EF4-FFF2-40B4-BE49-F238E27FC236}">
              <a16:creationId xmlns:a16="http://schemas.microsoft.com/office/drawing/2014/main" xmlns="" id="{00000000-0008-0000-0400-0000E91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122599" name="Picture 1" descr="DfT_3298_SML_AW">
          <a:extLst>
            <a:ext uri="{FF2B5EF4-FFF2-40B4-BE49-F238E27FC236}">
              <a16:creationId xmlns:a16="http://schemas.microsoft.com/office/drawing/2014/main" xmlns="" id="{00000000-0008-0000-0500-0000E7DE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281940</xdr:colOff>
      <xdr:row>1</xdr:row>
      <xdr:rowOff>0</xdr:rowOff>
    </xdr:to>
    <xdr:pic>
      <xdr:nvPicPr>
        <xdr:cNvPr id="7911" name="Picture 1" descr="DfT_3298_SML_AW">
          <a:extLst>
            <a:ext uri="{FF2B5EF4-FFF2-40B4-BE49-F238E27FC236}">
              <a16:creationId xmlns:a16="http://schemas.microsoft.com/office/drawing/2014/main" xmlns="" id="{00000000-0008-0000-0600-0000E71E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658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8937" name="Picture 3" descr="DfT_3298_SML_AW">
          <a:extLst>
            <a:ext uri="{FF2B5EF4-FFF2-40B4-BE49-F238E27FC236}">
              <a16:creationId xmlns:a16="http://schemas.microsoft.com/office/drawing/2014/main" xmlns="" id="{00000000-0008-0000-0700-0000E92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9961" name="Picture 3" descr="DfT_3298_SML_AW">
          <a:extLst>
            <a:ext uri="{FF2B5EF4-FFF2-40B4-BE49-F238E27FC236}">
              <a16:creationId xmlns:a16="http://schemas.microsoft.com/office/drawing/2014/main" xmlns="" id="{00000000-0008-0000-0800-0000E92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9180" name="Picture 3" descr="DfT_3298_SML_AW">
          <a:extLst>
            <a:ext uri="{FF2B5EF4-FFF2-40B4-BE49-F238E27FC236}">
              <a16:creationId xmlns:a16="http://schemas.microsoft.com/office/drawing/2014/main" xmlns="" id="{00000000-0008-0000-0900-0000EC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20199" name="Picture 1" descr="DfT_3298_SML_AW">
          <a:extLst>
            <a:ext uri="{FF2B5EF4-FFF2-40B4-BE49-F238E27FC236}">
              <a16:creationId xmlns:a16="http://schemas.microsoft.com/office/drawing/2014/main" xmlns="" id="{00000000-0008-0000-0A00-0000E74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213360</xdr:colOff>
      <xdr:row>0</xdr:row>
      <xdr:rowOff>685800</xdr:rowOff>
    </xdr:to>
    <xdr:pic>
      <xdr:nvPicPr>
        <xdr:cNvPr id="21223" name="Picture 1" descr="DfT_3298_SML_AW">
          <a:extLst>
            <a:ext uri="{FF2B5EF4-FFF2-40B4-BE49-F238E27FC236}">
              <a16:creationId xmlns:a16="http://schemas.microsoft.com/office/drawing/2014/main" xmlns="" id="{00000000-0008-0000-0B00-0000E75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09728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22268" name="Picture 1" descr="DfT_3298_SML_AW">
          <a:extLst>
            <a:ext uri="{FF2B5EF4-FFF2-40B4-BE49-F238E27FC236}">
              <a16:creationId xmlns:a16="http://schemas.microsoft.com/office/drawing/2014/main" xmlns="" id="{00000000-0008-0000-0C00-0000FC5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963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9</xdr:col>
      <xdr:colOff>66675</xdr:colOff>
      <xdr:row>40</xdr:row>
      <xdr:rowOff>119062</xdr:rowOff>
    </xdr:from>
    <xdr:ext cx="65" cy="172227"/>
    <xdr:sp macro="" textlink="">
      <xdr:nvSpPr>
        <xdr:cNvPr id="3" name="TextBox 2">
          <a:extLst>
            <a:ext uri="{FF2B5EF4-FFF2-40B4-BE49-F238E27FC236}">
              <a16:creationId xmlns:a16="http://schemas.microsoft.com/office/drawing/2014/main" xmlns="" id="{00000000-0008-0000-0C00-000003000000}"/>
            </a:ext>
          </a:extLst>
        </xdr:cNvPr>
        <xdr:cNvSpPr txBox="1"/>
      </xdr:nvSpPr>
      <xdr:spPr>
        <a:xfrm>
          <a:off x="6254115" y="76704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9</xdr:col>
      <xdr:colOff>66675</xdr:colOff>
      <xdr:row>40</xdr:row>
      <xdr:rowOff>119062</xdr:rowOff>
    </xdr:from>
    <xdr:ext cx="65" cy="172227"/>
    <xdr:sp macro="" textlink="">
      <xdr:nvSpPr>
        <xdr:cNvPr id="4" name="TextBox 3">
          <a:extLst>
            <a:ext uri="{FF2B5EF4-FFF2-40B4-BE49-F238E27FC236}">
              <a16:creationId xmlns:a16="http://schemas.microsoft.com/office/drawing/2014/main" xmlns="" id="{00000000-0008-0000-0C00-000004000000}"/>
            </a:ext>
          </a:extLst>
        </xdr:cNvPr>
        <xdr:cNvSpPr txBox="1"/>
      </xdr:nvSpPr>
      <xdr:spPr>
        <a:xfrm>
          <a:off x="6254115" y="76704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9</xdr:col>
      <xdr:colOff>66675</xdr:colOff>
      <xdr:row>40</xdr:row>
      <xdr:rowOff>119062</xdr:rowOff>
    </xdr:from>
    <xdr:ext cx="65" cy="172227"/>
    <xdr:sp macro="" textlink="">
      <xdr:nvSpPr>
        <xdr:cNvPr id="5" name="TextBox 4">
          <a:extLst>
            <a:ext uri="{FF2B5EF4-FFF2-40B4-BE49-F238E27FC236}">
              <a16:creationId xmlns:a16="http://schemas.microsoft.com/office/drawing/2014/main" xmlns="" id="{00000000-0008-0000-0C00-000005000000}"/>
            </a:ext>
          </a:extLst>
        </xdr:cNvPr>
        <xdr:cNvSpPr txBox="1"/>
      </xdr:nvSpPr>
      <xdr:spPr>
        <a:xfrm>
          <a:off x="6254115" y="76704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9</xdr:col>
      <xdr:colOff>66675</xdr:colOff>
      <xdr:row>40</xdr:row>
      <xdr:rowOff>119062</xdr:rowOff>
    </xdr:from>
    <xdr:ext cx="65" cy="172227"/>
    <xdr:sp macro="" textlink="">
      <xdr:nvSpPr>
        <xdr:cNvPr id="6" name="TextBox 5">
          <a:extLst>
            <a:ext uri="{FF2B5EF4-FFF2-40B4-BE49-F238E27FC236}">
              <a16:creationId xmlns:a16="http://schemas.microsoft.com/office/drawing/2014/main" xmlns="" id="{00000000-0008-0000-0C00-000006000000}"/>
            </a:ext>
          </a:extLst>
        </xdr:cNvPr>
        <xdr:cNvSpPr txBox="1"/>
      </xdr:nvSpPr>
      <xdr:spPr>
        <a:xfrm>
          <a:off x="6254115" y="767048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343509" name="Picture 1" descr="DfT_3298_SML_AW">
          <a:extLst>
            <a:ext uri="{FF2B5EF4-FFF2-40B4-BE49-F238E27FC236}">
              <a16:creationId xmlns:a16="http://schemas.microsoft.com/office/drawing/2014/main" xmlns="" id="{00000000-0008-0000-0D00-0000D53D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8</xdr:col>
      <xdr:colOff>1</xdr:colOff>
      <xdr:row>24</xdr:row>
      <xdr:rowOff>39556</xdr:rowOff>
    </xdr:from>
    <xdr:ext cx="2150052" cy="1048233"/>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xmlns="" id="{00000000-0008-0000-0D00-000003000000}"/>
                </a:ext>
              </a:extLst>
            </xdr:cNvPr>
            <xdr:cNvSpPr txBox="1"/>
          </xdr:nvSpPr>
          <xdr:spPr>
            <a:xfrm>
              <a:off x="8393207" y="4415117"/>
              <a:ext cx="1520416" cy="4042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GB" sz="1100" b="0" i="1">
                        <a:solidFill>
                          <a:schemeClr val="tx1"/>
                        </a:solidFill>
                        <a:effectLst/>
                        <a:latin typeface="Cambria Math" panose="02040503050406030204" pitchFamily="18" charset="0"/>
                        <a:ea typeface="+mn-ea"/>
                        <a:cs typeface="+mn-cs"/>
                      </a:rPr>
                      <m:t>𝑉𝑇𝑇𝑆</m:t>
                    </m:r>
                    <m:r>
                      <a:rPr lang="en-GB" sz="1100" i="1">
                        <a:solidFill>
                          <a:schemeClr val="tx1"/>
                        </a:solidFill>
                        <a:effectLst/>
                        <a:latin typeface="Cambria Math" panose="02040503050406030204" pitchFamily="18" charset="0"/>
                        <a:ea typeface="+mn-ea"/>
                        <a:cs typeface="+mn-cs"/>
                      </a:rPr>
                      <m:t>=</m:t>
                    </m:r>
                    <m:f>
                      <m:fPr>
                        <m:ctrlPr>
                          <a:rPr lang="en-GB" sz="1100" i="1">
                            <a:solidFill>
                              <a:schemeClr val="tx1"/>
                            </a:solidFill>
                            <a:effectLst/>
                            <a:latin typeface="Cambria Math" panose="02040503050406030204" pitchFamily="18" charset="0"/>
                            <a:ea typeface="+mn-ea"/>
                            <a:cs typeface="+mn-cs"/>
                          </a:rPr>
                        </m:ctrlPr>
                      </m:fPr>
                      <m:num>
                        <m:r>
                          <a:rPr lang="en-GB" sz="1100" i="1">
                            <a:solidFill>
                              <a:schemeClr val="tx1"/>
                            </a:solidFill>
                            <a:effectLst/>
                            <a:latin typeface="Cambria Math" panose="02040503050406030204" pitchFamily="18" charset="0"/>
                            <a:ea typeface="+mn-ea"/>
                            <a:cs typeface="+mn-cs"/>
                          </a:rPr>
                          <m:t>𝑈</m:t>
                        </m:r>
                      </m:num>
                      <m:den>
                        <m:d>
                          <m:dPr>
                            <m:ctrlPr>
                              <a:rPr lang="en-GB" sz="1100" i="1">
                                <a:solidFill>
                                  <a:schemeClr val="tx1"/>
                                </a:solidFill>
                                <a:effectLst/>
                                <a:latin typeface="Cambria Math" panose="02040503050406030204" pitchFamily="18" charset="0"/>
                                <a:ea typeface="+mn-ea"/>
                                <a:cs typeface="+mn-cs"/>
                              </a:rPr>
                            </m:ctrlPr>
                          </m:dPr>
                          <m:e>
                            <m:r>
                              <a:rPr lang="en-GB" sz="1100" i="1">
                                <a:solidFill>
                                  <a:schemeClr val="tx1"/>
                                </a:solidFill>
                                <a:effectLst/>
                                <a:latin typeface="Cambria Math" panose="02040503050406030204" pitchFamily="18" charset="0"/>
                                <a:ea typeface="+mn-ea"/>
                                <a:cs typeface="+mn-cs"/>
                              </a:rPr>
                              <m:t>1+</m:t>
                            </m:r>
                            <m:sSup>
                              <m:sSupPr>
                                <m:ctrlPr>
                                  <a:rPr lang="en-GB" sz="1100" i="1">
                                    <a:solidFill>
                                      <a:schemeClr val="tx1"/>
                                    </a:solidFill>
                                    <a:effectLst/>
                                    <a:latin typeface="Cambria Math" panose="02040503050406030204" pitchFamily="18" charset="0"/>
                                    <a:ea typeface="+mn-ea"/>
                                    <a:cs typeface="+mn-cs"/>
                                  </a:rPr>
                                </m:ctrlPr>
                              </m:sSupPr>
                              <m:e>
                                <m:r>
                                  <a:rPr lang="en-GB" sz="1100" i="1">
                                    <a:solidFill>
                                      <a:schemeClr val="tx1"/>
                                    </a:solidFill>
                                    <a:effectLst/>
                                    <a:latin typeface="Cambria Math" panose="02040503050406030204" pitchFamily="18" charset="0"/>
                                    <a:ea typeface="+mn-ea"/>
                                    <a:cs typeface="+mn-cs"/>
                                  </a:rPr>
                                  <m:t>𝑒</m:t>
                                </m:r>
                              </m:e>
                              <m:sup>
                                <m:f>
                                  <m:fPr>
                                    <m:ctrlPr>
                                      <a:rPr lang="en-GB" sz="1100" i="1">
                                        <a:solidFill>
                                          <a:schemeClr val="tx1"/>
                                        </a:solidFill>
                                        <a:effectLst/>
                                        <a:latin typeface="Cambria Math" panose="02040503050406030204" pitchFamily="18" charset="0"/>
                                        <a:ea typeface="+mn-ea"/>
                                        <a:cs typeface="+mn-cs"/>
                                      </a:rPr>
                                    </m:ctrlPr>
                                  </m:fPr>
                                  <m:num>
                                    <m:sSub>
                                      <m:sSubPr>
                                        <m:ctrlPr>
                                          <a:rPr lang="en-GB" sz="1100" i="1">
                                            <a:solidFill>
                                              <a:schemeClr val="tx1"/>
                                            </a:solidFill>
                                            <a:effectLst/>
                                            <a:latin typeface="Cambria Math" panose="02040503050406030204" pitchFamily="18" charset="0"/>
                                            <a:ea typeface="+mn-ea"/>
                                            <a:cs typeface="+mn-cs"/>
                                          </a:rPr>
                                        </m:ctrlPr>
                                      </m:sSubPr>
                                      <m:e>
                                        <m:r>
                                          <a:rPr lang="en-GB" sz="1100" i="1">
                                            <a:solidFill>
                                              <a:schemeClr val="tx1"/>
                                            </a:solidFill>
                                            <a:effectLst/>
                                            <a:latin typeface="Cambria Math" panose="02040503050406030204" pitchFamily="18" charset="0"/>
                                            <a:ea typeface="+mn-ea"/>
                                            <a:cs typeface="+mn-cs"/>
                                          </a:rPr>
                                          <m:t>𝑥</m:t>
                                        </m:r>
                                      </m:e>
                                      <m:sub>
                                        <m:r>
                                          <a:rPr lang="en-GB" sz="1100" i="1">
                                            <a:solidFill>
                                              <a:schemeClr val="tx1"/>
                                            </a:solidFill>
                                            <a:effectLst/>
                                            <a:latin typeface="Cambria Math" panose="02040503050406030204" pitchFamily="18" charset="0"/>
                                            <a:ea typeface="+mn-ea"/>
                                            <a:cs typeface="+mn-cs"/>
                                          </a:rPr>
                                          <m:t>𝑚𝑖𝑑</m:t>
                                        </m:r>
                                      </m:sub>
                                    </m:sSub>
                                    <m:r>
                                      <a:rPr lang="en-GB" sz="1100" i="1">
                                        <a:solidFill>
                                          <a:schemeClr val="tx1"/>
                                        </a:solidFill>
                                        <a:effectLst/>
                                        <a:latin typeface="Cambria Math" panose="02040503050406030204" pitchFamily="18" charset="0"/>
                                        <a:ea typeface="+mn-ea"/>
                                        <a:cs typeface="+mn-cs"/>
                                      </a:rPr>
                                      <m:t>−</m:t>
                                    </m:r>
                                    <m:r>
                                      <a:rPr lang="en-GB" sz="1100" i="1">
                                        <a:solidFill>
                                          <a:schemeClr val="tx1"/>
                                        </a:solidFill>
                                        <a:effectLst/>
                                        <a:latin typeface="Cambria Math" panose="02040503050406030204" pitchFamily="18" charset="0"/>
                                        <a:ea typeface="+mn-ea"/>
                                        <a:cs typeface="+mn-cs"/>
                                      </a:rPr>
                                      <m:t>𝐷</m:t>
                                    </m:r>
                                  </m:num>
                                  <m:den>
                                    <m:r>
                                      <a:rPr lang="en-GB" sz="1100" i="1">
                                        <a:solidFill>
                                          <a:schemeClr val="tx1"/>
                                        </a:solidFill>
                                        <a:effectLst/>
                                        <a:latin typeface="Cambria Math" panose="02040503050406030204" pitchFamily="18" charset="0"/>
                                        <a:ea typeface="+mn-ea"/>
                                        <a:cs typeface="+mn-cs"/>
                                      </a:rPr>
                                      <m:t>𝑘</m:t>
                                    </m:r>
                                  </m:den>
                                </m:f>
                              </m:sup>
                            </m:sSup>
                          </m:e>
                        </m:d>
                      </m:den>
                    </m:f>
                    <m:r>
                      <a:rPr lang="en-GB" sz="1100" i="1">
                        <a:solidFill>
                          <a:schemeClr val="tx1"/>
                        </a:solidFill>
                        <a:effectLst/>
                        <a:latin typeface="Cambria Math" panose="02040503050406030204" pitchFamily="18" charset="0"/>
                        <a:ea typeface="+mn-ea"/>
                        <a:cs typeface="+mn-cs"/>
                      </a:rPr>
                      <m:t>    </m:t>
                    </m:r>
                  </m:oMath>
                </m:oMathPara>
              </a14:m>
              <a:endParaRPr lang="en-GB" sz="1100"/>
            </a:p>
          </xdr:txBody>
        </xdr:sp>
      </mc:Choice>
      <mc:Fallback xmlns="">
        <xdr:sp macro="" textlink="">
          <xdr:nvSpPr>
            <xdr:cNvPr id="3" name="TextBox 2">
              <a:extLst xmlns:a="http://schemas.openxmlformats.org/drawingml/2006/main">
                <a:ext uri="{FF2B5EF4-FFF2-40B4-BE49-F238E27FC236}">
                  <a16:creationId xmlns:a16="http://schemas.microsoft.com/office/drawing/2014/main" id="{245EE62F-C301-478E-92B2-62B75046ACB8}"/>
                </a:ext>
              </a:extLst>
            </xdr:cNvPr>
            <xdr:cNvSpPr txBox="1"/>
          </xdr:nvSpPr>
          <xdr:spPr>
            <a:xfrm xmlns:a="http://schemas.openxmlformats.org/drawingml/2006/main">
              <a:off x="8393207" y="4415117"/>
              <a:ext cx="1520416" cy="404213"/>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none" lIns="0" tIns="0" rIns="0" bIns="0" rtlCol="0" anchor="t">
              <a:spAutoFit/>
            </a:bodyPr>
            <a:lstStyle xmlns:a="http://schemas.openxmlformats.org/drawingml/2006/main"/>
            <a:p xmlns:a="http://schemas.openxmlformats.org/drawingml/2006/main">
              <a:pPr/>
              <a:r>
                <a:rPr lang="en-GB" sz="1100" b="0" i="0">
                  <a:solidFill>
                    <a:schemeClr val="tx1"/>
                  </a:solidFill>
                  <a:effectLst/>
                  <a:latin typeface="Cambria Math" panose="02040503050406030204" pitchFamily="18" charset="0"/>
                  <a:ea typeface="+mn-ea"/>
                  <a:cs typeface="+mn-cs"/>
                </a:rPr>
                <a:t>𝑉𝑇𝑇𝑆</a:t>
              </a:r>
              <a:r>
                <a:rPr lang="en-GB" sz="1100" i="0">
                  <a:solidFill>
                    <a:schemeClr val="tx1"/>
                  </a:solidFill>
                  <a:effectLst/>
                  <a:latin typeface="Cambria Math" panose="02040503050406030204" pitchFamily="18" charset="0"/>
                  <a:ea typeface="+mn-ea"/>
                  <a:cs typeface="+mn-cs"/>
                </a:rPr>
                <a:t>=𝑈/((1+𝑒^((𝑥_𝑚𝑖𝑑−𝐷)/𝑘) ) )     </a:t>
              </a:r>
              <a:endParaRPr lang="en-GB" sz="1100"/>
            </a:p>
          </xdr:txBody>
        </xdr:sp>
      </mc:Fallback>
    </mc:AlternateContent>
    <xdr:clientData/>
  </xdr:oneCellAnchor>
  <xdr:oneCellAnchor>
    <xdr:from>
      <xdr:col>7</xdr:col>
      <xdr:colOff>66675</xdr:colOff>
      <xdr:row>33</xdr:row>
      <xdr:rowOff>128587</xdr:rowOff>
    </xdr:from>
    <xdr:ext cx="65" cy="172227"/>
    <xdr:sp macro="" textlink="">
      <xdr:nvSpPr>
        <xdr:cNvPr id="5" name="TextBox 4">
          <a:extLst>
            <a:ext uri="{FF2B5EF4-FFF2-40B4-BE49-F238E27FC236}">
              <a16:creationId xmlns:a16="http://schemas.microsoft.com/office/drawing/2014/main" xmlns="" id="{00000000-0008-0000-0D00-000005000000}"/>
            </a:ext>
          </a:extLst>
        </xdr:cNvPr>
        <xdr:cNvSpPr txBox="1"/>
      </xdr:nvSpPr>
      <xdr:spPr>
        <a:xfrm>
          <a:off x="676275" y="18335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7</xdr:col>
      <xdr:colOff>66675</xdr:colOff>
      <xdr:row>41</xdr:row>
      <xdr:rowOff>119062</xdr:rowOff>
    </xdr:from>
    <xdr:ext cx="65" cy="172227"/>
    <xdr:sp macro="" textlink="">
      <xdr:nvSpPr>
        <xdr:cNvPr id="11" name="TextBox 10">
          <a:extLst>
            <a:ext uri="{FF2B5EF4-FFF2-40B4-BE49-F238E27FC236}">
              <a16:creationId xmlns:a16="http://schemas.microsoft.com/office/drawing/2014/main" xmlns="" id="{00000000-0008-0000-0D00-00000B000000}"/>
            </a:ext>
          </a:extLst>
        </xdr:cNvPr>
        <xdr:cNvSpPr txBox="1"/>
      </xdr:nvSpPr>
      <xdr:spPr>
        <a:xfrm>
          <a:off x="6106646" y="7873533"/>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7</xdr:col>
      <xdr:colOff>66675</xdr:colOff>
      <xdr:row>41</xdr:row>
      <xdr:rowOff>119062</xdr:rowOff>
    </xdr:from>
    <xdr:ext cx="65" cy="172227"/>
    <xdr:sp macro="" textlink="">
      <xdr:nvSpPr>
        <xdr:cNvPr id="14" name="TextBox 13">
          <a:extLst>
            <a:ext uri="{FF2B5EF4-FFF2-40B4-BE49-F238E27FC236}">
              <a16:creationId xmlns:a16="http://schemas.microsoft.com/office/drawing/2014/main" xmlns="" id="{00000000-0008-0000-0D00-00000E000000}"/>
            </a:ext>
          </a:extLst>
        </xdr:cNvPr>
        <xdr:cNvSpPr txBox="1"/>
      </xdr:nvSpPr>
      <xdr:spPr>
        <a:xfrm>
          <a:off x="6106646" y="61926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7</xdr:col>
      <xdr:colOff>66675</xdr:colOff>
      <xdr:row>41</xdr:row>
      <xdr:rowOff>119062</xdr:rowOff>
    </xdr:from>
    <xdr:ext cx="65" cy="172227"/>
    <xdr:sp macro="" textlink="">
      <xdr:nvSpPr>
        <xdr:cNvPr id="7" name="TextBox 6">
          <a:extLst>
            <a:ext uri="{FF2B5EF4-FFF2-40B4-BE49-F238E27FC236}">
              <a16:creationId xmlns:a16="http://schemas.microsoft.com/office/drawing/2014/main" xmlns="" id="{00000000-0008-0000-0D00-000007000000}"/>
            </a:ext>
          </a:extLst>
        </xdr:cNvPr>
        <xdr:cNvSpPr txBox="1"/>
      </xdr:nvSpPr>
      <xdr:spPr>
        <a:xfrm>
          <a:off x="6106646" y="76718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oneCellAnchor>
    <xdr:from>
      <xdr:col>7</xdr:col>
      <xdr:colOff>66675</xdr:colOff>
      <xdr:row>41</xdr:row>
      <xdr:rowOff>119062</xdr:rowOff>
    </xdr:from>
    <xdr:ext cx="65" cy="172227"/>
    <xdr:sp macro="" textlink="">
      <xdr:nvSpPr>
        <xdr:cNvPr id="8" name="TextBox 7">
          <a:extLst>
            <a:ext uri="{FF2B5EF4-FFF2-40B4-BE49-F238E27FC236}">
              <a16:creationId xmlns:a16="http://schemas.microsoft.com/office/drawing/2014/main" xmlns="" id="{00000000-0008-0000-0D00-000008000000}"/>
            </a:ext>
          </a:extLst>
        </xdr:cNvPr>
        <xdr:cNvSpPr txBox="1"/>
      </xdr:nvSpPr>
      <xdr:spPr>
        <a:xfrm>
          <a:off x="6106646" y="767182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25319" name="Picture 13" descr="DfT_3298_SML_AW">
          <a:extLst>
            <a:ext uri="{FF2B5EF4-FFF2-40B4-BE49-F238E27FC236}">
              <a16:creationId xmlns:a16="http://schemas.microsoft.com/office/drawing/2014/main" xmlns="" id="{00000000-0008-0000-0E00-0000E762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0</xdr:rowOff>
    </xdr:to>
    <xdr:pic>
      <xdr:nvPicPr>
        <xdr:cNvPr id="23271" name="Picture 1" descr="DfT_3298_SML_AW">
          <a:extLst>
            <a:ext uri="{FF2B5EF4-FFF2-40B4-BE49-F238E27FC236}">
              <a16:creationId xmlns:a16="http://schemas.microsoft.com/office/drawing/2014/main" xmlns="" id="{00000000-0008-0000-0F00-0000E75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26343" name="Picture 1" descr="DfT_3298_SML_AW">
          <a:extLst>
            <a:ext uri="{FF2B5EF4-FFF2-40B4-BE49-F238E27FC236}">
              <a16:creationId xmlns:a16="http://schemas.microsoft.com/office/drawing/2014/main" xmlns="" id="{00000000-0008-0000-1000-0000E76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27367" name="Picture 1" descr="DfT_3298_SML_AW">
          <a:extLst>
            <a:ext uri="{FF2B5EF4-FFF2-40B4-BE49-F238E27FC236}">
              <a16:creationId xmlns:a16="http://schemas.microsoft.com/office/drawing/2014/main" xmlns="" id="{00000000-0008-0000-1100-0000E76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281940</xdr:colOff>
      <xdr:row>1</xdr:row>
      <xdr:rowOff>0</xdr:rowOff>
    </xdr:to>
    <xdr:pic>
      <xdr:nvPicPr>
        <xdr:cNvPr id="28391" name="Picture 6" descr="DfT_3298_SML_AW">
          <a:extLst>
            <a:ext uri="{FF2B5EF4-FFF2-40B4-BE49-F238E27FC236}">
              <a16:creationId xmlns:a16="http://schemas.microsoft.com/office/drawing/2014/main" xmlns="" id="{00000000-0008-0000-1200-0000E76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658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0</xdr:rowOff>
    </xdr:to>
    <xdr:pic>
      <xdr:nvPicPr>
        <xdr:cNvPr id="29416" name="Picture 1" descr="DfT_3298_SML_AW">
          <a:extLst>
            <a:ext uri="{FF2B5EF4-FFF2-40B4-BE49-F238E27FC236}">
              <a16:creationId xmlns:a16="http://schemas.microsoft.com/office/drawing/2014/main" xmlns="" id="{00000000-0008-0000-1300-0000E87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30439" name="Picture 1" descr="DfT_3298_SML_AW">
          <a:extLst>
            <a:ext uri="{FF2B5EF4-FFF2-40B4-BE49-F238E27FC236}">
              <a16:creationId xmlns:a16="http://schemas.microsoft.com/office/drawing/2014/main" xmlns="" id="{00000000-0008-0000-1400-0000E7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963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31463" name="Picture 1" descr="DfT_3298_SML_AW">
          <a:extLst>
            <a:ext uri="{FF2B5EF4-FFF2-40B4-BE49-F238E27FC236}">
              <a16:creationId xmlns:a16="http://schemas.microsoft.com/office/drawing/2014/main" xmlns="" id="{00000000-0008-0000-1500-0000E77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963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0</xdr:rowOff>
    </xdr:to>
    <xdr:pic>
      <xdr:nvPicPr>
        <xdr:cNvPr id="32487" name="Picture 1" descr="DfT_3298_SML_AW">
          <a:extLst>
            <a:ext uri="{FF2B5EF4-FFF2-40B4-BE49-F238E27FC236}">
              <a16:creationId xmlns:a16="http://schemas.microsoft.com/office/drawing/2014/main" xmlns="" id="{00000000-0008-0000-1600-0000E77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0</xdr:rowOff>
    </xdr:to>
    <xdr:pic>
      <xdr:nvPicPr>
        <xdr:cNvPr id="33511" name="Picture 1" descr="DfT_3298_SML_AW">
          <a:extLst>
            <a:ext uri="{FF2B5EF4-FFF2-40B4-BE49-F238E27FC236}">
              <a16:creationId xmlns:a16="http://schemas.microsoft.com/office/drawing/2014/main" xmlns="" id="{00000000-0008-0000-1700-0000E78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34535" name="Picture 1" descr="DfT_3298_SML_AW">
          <a:extLst>
            <a:ext uri="{FF2B5EF4-FFF2-40B4-BE49-F238E27FC236}">
              <a16:creationId xmlns:a16="http://schemas.microsoft.com/office/drawing/2014/main" xmlns="" id="{00000000-0008-0000-1800-0000E78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963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35559" name="Picture 4" descr="DfT_3298_SML_AW">
          <a:extLst>
            <a:ext uri="{FF2B5EF4-FFF2-40B4-BE49-F238E27FC236}">
              <a16:creationId xmlns:a16="http://schemas.microsoft.com/office/drawing/2014/main" xmlns="" id="{00000000-0008-0000-1900-0000E78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36583" name="Picture 29" descr="DfT_3298_SML_AW">
          <a:extLst>
            <a:ext uri="{FF2B5EF4-FFF2-40B4-BE49-F238E27FC236}">
              <a16:creationId xmlns:a16="http://schemas.microsoft.com/office/drawing/2014/main" xmlns="" id="{00000000-0008-0000-1A00-0000E78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37608" name="Picture 1" descr="DfT_3298_SML_AW">
          <a:extLst>
            <a:ext uri="{FF2B5EF4-FFF2-40B4-BE49-F238E27FC236}">
              <a16:creationId xmlns:a16="http://schemas.microsoft.com/office/drawing/2014/main" xmlns="" id="{00000000-0008-0000-1B00-0000E89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38633" name="Picture 1" descr="DfT_3298_SML_AW">
          <a:extLst>
            <a:ext uri="{FF2B5EF4-FFF2-40B4-BE49-F238E27FC236}">
              <a16:creationId xmlns:a16="http://schemas.microsoft.com/office/drawing/2014/main" xmlns="" id="{00000000-0008-0000-1C00-0000E99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963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16462" name="Picture 1" descr="DfT_3298_SML_AW">
          <a:extLst>
            <a:ext uri="{FF2B5EF4-FFF2-40B4-BE49-F238E27FC236}">
              <a16:creationId xmlns:a16="http://schemas.microsoft.com/office/drawing/2014/main" xmlns="" id="{00000000-0008-0000-1D00-0000EEC6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17479" name="Picture 1" descr="DfT_3298_SML_AW">
          <a:extLst>
            <a:ext uri="{FF2B5EF4-FFF2-40B4-BE49-F238E27FC236}">
              <a16:creationId xmlns:a16="http://schemas.microsoft.com/office/drawing/2014/main" xmlns="" id="{00000000-0008-0000-1E00-0000E7CA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79943" name="Picture 1" descr="DfT_3298_SML_AW">
          <a:extLst>
            <a:ext uri="{FF2B5EF4-FFF2-40B4-BE49-F238E27FC236}">
              <a16:creationId xmlns:a16="http://schemas.microsoft.com/office/drawing/2014/main" xmlns="" id="{00000000-0008-0000-1F00-0000E7B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19527" name="Picture 1" descr="DfT_3298_SML_AW">
          <a:extLst>
            <a:ext uri="{FF2B5EF4-FFF2-40B4-BE49-F238E27FC236}">
              <a16:creationId xmlns:a16="http://schemas.microsoft.com/office/drawing/2014/main" xmlns="" id="{00000000-0008-0000-2000-0000E7D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396240</xdr:colOff>
      <xdr:row>1</xdr:row>
      <xdr:rowOff>0</xdr:rowOff>
    </xdr:to>
    <xdr:pic>
      <xdr:nvPicPr>
        <xdr:cNvPr id="172775" name="Picture 1" descr="DfT_3298_SML_AW">
          <a:extLst>
            <a:ext uri="{FF2B5EF4-FFF2-40B4-BE49-F238E27FC236}">
              <a16:creationId xmlns:a16="http://schemas.microsoft.com/office/drawing/2014/main" xmlns="" id="{00000000-0008-0000-2100-0000E7A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801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6888" name="Picture 3" descr="DfT_3298_SML_AW">
          <a:extLst>
            <a:ext uri="{FF2B5EF4-FFF2-40B4-BE49-F238E27FC236}">
              <a16:creationId xmlns:a16="http://schemas.microsoft.com/office/drawing/2014/main" xmlns="" id="{00000000-0008-0000-2200-0000E81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23625" name="Picture 3" descr="DfT_3298_SML_AW">
          <a:extLst>
            <a:ext uri="{FF2B5EF4-FFF2-40B4-BE49-F238E27FC236}">
              <a16:creationId xmlns:a16="http://schemas.microsoft.com/office/drawing/2014/main" xmlns="" id="{00000000-0008-0000-2300-0000E9E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24647" name="Picture 3" descr="DfT_3298_SML_AW">
          <a:extLst>
            <a:ext uri="{FF2B5EF4-FFF2-40B4-BE49-F238E27FC236}">
              <a16:creationId xmlns:a16="http://schemas.microsoft.com/office/drawing/2014/main" xmlns="" id="{00000000-0008-0000-2400-0000E7E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25671" name="Picture 20" descr="DfT_3298_SML_AW">
          <a:extLst>
            <a:ext uri="{FF2B5EF4-FFF2-40B4-BE49-F238E27FC236}">
              <a16:creationId xmlns:a16="http://schemas.microsoft.com/office/drawing/2014/main" xmlns="" id="{00000000-0008-0000-2500-0000E7EA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0</xdr:rowOff>
    </xdr:to>
    <xdr:pic>
      <xdr:nvPicPr>
        <xdr:cNvPr id="126695" name="Picture 9" descr="DfT_3298_SML_AW">
          <a:extLst>
            <a:ext uri="{FF2B5EF4-FFF2-40B4-BE49-F238E27FC236}">
              <a16:creationId xmlns:a16="http://schemas.microsoft.com/office/drawing/2014/main" xmlns="" id="{00000000-0008-0000-2600-0000E7EE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27720" name="Picture 1" descr="DfT_3298_SML_AW">
          <a:extLst>
            <a:ext uri="{FF2B5EF4-FFF2-40B4-BE49-F238E27FC236}">
              <a16:creationId xmlns:a16="http://schemas.microsoft.com/office/drawing/2014/main" xmlns="" id="{00000000-0008-0000-2700-0000E8F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28748" name="Picture 1" descr="DfT_3298_SML_AW">
          <a:extLst>
            <a:ext uri="{FF2B5EF4-FFF2-40B4-BE49-F238E27FC236}">
              <a16:creationId xmlns:a16="http://schemas.microsoft.com/office/drawing/2014/main" xmlns="" id="{00000000-0008-0000-2800-0000ECF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29767" name="Picture 5" descr="DfT_3298_SML_AW">
          <a:extLst>
            <a:ext uri="{FF2B5EF4-FFF2-40B4-BE49-F238E27FC236}">
              <a16:creationId xmlns:a16="http://schemas.microsoft.com/office/drawing/2014/main" xmlns="" id="{00000000-0008-0000-2900-0000E7FA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130791" name="Picture 1" descr="DfT_3298_SML_AW">
          <a:extLst>
            <a:ext uri="{FF2B5EF4-FFF2-40B4-BE49-F238E27FC236}">
              <a16:creationId xmlns:a16="http://schemas.microsoft.com/office/drawing/2014/main" xmlns="" id="{00000000-0008-0000-2A00-0000E7FE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131815" name="Picture 1" descr="DfT_3298_SML_AW">
          <a:extLst>
            <a:ext uri="{FF2B5EF4-FFF2-40B4-BE49-F238E27FC236}">
              <a16:creationId xmlns:a16="http://schemas.microsoft.com/office/drawing/2014/main" xmlns="" id="{00000000-0008-0000-2B00-0000E70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132839" name="Picture 1" descr="DfT_3298_SML_AW">
          <a:extLst>
            <a:ext uri="{FF2B5EF4-FFF2-40B4-BE49-F238E27FC236}">
              <a16:creationId xmlns:a16="http://schemas.microsoft.com/office/drawing/2014/main" xmlns="" id="{00000000-0008-0000-2C00-0000E70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133863" name="Picture 1" descr="DfT_3298_SML_AW">
          <a:extLst>
            <a:ext uri="{FF2B5EF4-FFF2-40B4-BE49-F238E27FC236}">
              <a16:creationId xmlns:a16="http://schemas.microsoft.com/office/drawing/2014/main" xmlns="" id="{00000000-0008-0000-2D00-0000E70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344265" name="Picture 1" descr="DfT_3298_SML_AW">
          <a:extLst>
            <a:ext uri="{FF2B5EF4-FFF2-40B4-BE49-F238E27FC236}">
              <a16:creationId xmlns:a16="http://schemas.microsoft.com/office/drawing/2014/main" xmlns="" id="{00000000-0008-0000-2E00-0000C940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350520</xdr:colOff>
      <xdr:row>1</xdr:row>
      <xdr:rowOff>0</xdr:rowOff>
    </xdr:to>
    <xdr:pic>
      <xdr:nvPicPr>
        <xdr:cNvPr id="344266" name="Picture 1" descr="DfT_3298_SML_AW">
          <a:extLst>
            <a:ext uri="{FF2B5EF4-FFF2-40B4-BE49-F238E27FC236}">
              <a16:creationId xmlns:a16="http://schemas.microsoft.com/office/drawing/2014/main" xmlns="" id="{00000000-0008-0000-2E00-0000CA4005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342900</xdr:colOff>
      <xdr:row>1</xdr:row>
      <xdr:rowOff>0</xdr:rowOff>
    </xdr:to>
    <xdr:pic>
      <xdr:nvPicPr>
        <xdr:cNvPr id="344267" name="Picture 1" descr="DfT_3298_SML_AW">
          <a:extLst>
            <a:ext uri="{FF2B5EF4-FFF2-40B4-BE49-F238E27FC236}">
              <a16:creationId xmlns:a16="http://schemas.microsoft.com/office/drawing/2014/main" xmlns="" id="{00000000-0008-0000-2E00-0000CB40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345222" name="Picture 1" descr="DfT_3298_SML_AW">
          <a:extLst>
            <a:ext uri="{FF2B5EF4-FFF2-40B4-BE49-F238E27FC236}">
              <a16:creationId xmlns:a16="http://schemas.microsoft.com/office/drawing/2014/main" xmlns="" id="{00000000-0008-0000-2F00-00008644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350520</xdr:colOff>
      <xdr:row>1</xdr:row>
      <xdr:rowOff>0</xdr:rowOff>
    </xdr:to>
    <xdr:pic>
      <xdr:nvPicPr>
        <xdr:cNvPr id="345223" name="Picture 1" descr="DfT_3298_SML_AW">
          <a:extLst>
            <a:ext uri="{FF2B5EF4-FFF2-40B4-BE49-F238E27FC236}">
              <a16:creationId xmlns:a16="http://schemas.microsoft.com/office/drawing/2014/main" xmlns="" id="{00000000-0008-0000-2F00-00008744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36935" name="Picture 1" descr="DfT_3298_SML_AW">
          <a:extLst>
            <a:ext uri="{FF2B5EF4-FFF2-40B4-BE49-F238E27FC236}">
              <a16:creationId xmlns:a16="http://schemas.microsoft.com/office/drawing/2014/main" xmlns="" id="{00000000-0008-0000-3000-0000E71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37959" name="Picture 1" descr="DfT_3298_SML_AW">
          <a:extLst>
            <a:ext uri="{FF2B5EF4-FFF2-40B4-BE49-F238E27FC236}">
              <a16:creationId xmlns:a16="http://schemas.microsoft.com/office/drawing/2014/main" xmlns="" id="{00000000-0008-0000-3100-0000E71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2" name="Picture 1" descr="DfT_3298_SML_AW">
          <a:extLst>
            <a:ext uri="{FF2B5EF4-FFF2-40B4-BE49-F238E27FC236}">
              <a16:creationId xmlns:a16="http://schemas.microsoft.com/office/drawing/2014/main" xmlns="" id="{00000000-0008-0000-3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396240</xdr:colOff>
      <xdr:row>1</xdr:row>
      <xdr:rowOff>0</xdr:rowOff>
    </xdr:to>
    <xdr:pic>
      <xdr:nvPicPr>
        <xdr:cNvPr id="2" name="Picture 1" descr="DfT_3298_SML_AW">
          <a:extLst>
            <a:ext uri="{FF2B5EF4-FFF2-40B4-BE49-F238E27FC236}">
              <a16:creationId xmlns:a16="http://schemas.microsoft.com/office/drawing/2014/main" xmlns="" id="{00000000-0008-0000-3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801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396240</xdr:colOff>
      <xdr:row>1</xdr:row>
      <xdr:rowOff>0</xdr:rowOff>
    </xdr:to>
    <xdr:pic>
      <xdr:nvPicPr>
        <xdr:cNvPr id="138983" name="Picture 1" descr="DfT_3298_SML_AW">
          <a:extLst>
            <a:ext uri="{FF2B5EF4-FFF2-40B4-BE49-F238E27FC236}">
              <a16:creationId xmlns:a16="http://schemas.microsoft.com/office/drawing/2014/main" xmlns="" id="{00000000-0008-0000-3400-0000E71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801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40007" name="Picture 1" descr="DfT_3298_SML_AW">
          <a:extLst>
            <a:ext uri="{FF2B5EF4-FFF2-40B4-BE49-F238E27FC236}">
              <a16:creationId xmlns:a16="http://schemas.microsoft.com/office/drawing/2014/main" xmlns="" id="{00000000-0008-0000-3500-0000E72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2" name="Picture 1" descr="DfT_3298_SML_AW">
          <a:extLst>
            <a:ext uri="{FF2B5EF4-FFF2-40B4-BE49-F238E27FC236}">
              <a16:creationId xmlns:a16="http://schemas.microsoft.com/office/drawing/2014/main" xmlns="" id="{00000000-0008-0000-3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41031" name="Picture 1" descr="DfT_3298_SML_AW">
          <a:extLst>
            <a:ext uri="{FF2B5EF4-FFF2-40B4-BE49-F238E27FC236}">
              <a16:creationId xmlns:a16="http://schemas.microsoft.com/office/drawing/2014/main" xmlns="" id="{00000000-0008-0000-3700-0000E72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42141" name="Picture 1" descr="DfT_3298_SML_AW">
          <a:extLst>
            <a:ext uri="{FF2B5EF4-FFF2-40B4-BE49-F238E27FC236}">
              <a16:creationId xmlns:a16="http://schemas.microsoft.com/office/drawing/2014/main" xmlns="" id="{00000000-0008-0000-3800-00003D2B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4935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43079" name="Picture 1" descr="DfT_3298_SML_AW">
          <a:extLst>
            <a:ext uri="{FF2B5EF4-FFF2-40B4-BE49-F238E27FC236}">
              <a16:creationId xmlns:a16="http://schemas.microsoft.com/office/drawing/2014/main" xmlns="" id="{00000000-0008-0000-3900-0000E72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2" name="Picture 1" descr="DfT_3298_SML_AW">
          <a:extLst>
            <a:ext uri="{FF2B5EF4-FFF2-40B4-BE49-F238E27FC236}">
              <a16:creationId xmlns:a16="http://schemas.microsoft.com/office/drawing/2014/main" xmlns="" id="{00000000-0008-0000-3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2" name="Picture 1" descr="DfT_3298_SML_AW">
          <a:extLst>
            <a:ext uri="{FF2B5EF4-FFF2-40B4-BE49-F238E27FC236}">
              <a16:creationId xmlns:a16="http://schemas.microsoft.com/office/drawing/2014/main" xmlns="" id="{00000000-0008-0000-3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44103" name="Picture 1" descr="DfT_3298_SML_AW">
          <a:extLst>
            <a:ext uri="{FF2B5EF4-FFF2-40B4-BE49-F238E27FC236}">
              <a16:creationId xmlns:a16="http://schemas.microsoft.com/office/drawing/2014/main" xmlns="" id="{00000000-0008-0000-3C00-0000E73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396240</xdr:colOff>
      <xdr:row>1</xdr:row>
      <xdr:rowOff>0</xdr:rowOff>
    </xdr:to>
    <xdr:pic>
      <xdr:nvPicPr>
        <xdr:cNvPr id="86764" name="Picture 1" descr="DfT_3298_SML_AW">
          <a:extLst>
            <a:ext uri="{FF2B5EF4-FFF2-40B4-BE49-F238E27FC236}">
              <a16:creationId xmlns:a16="http://schemas.microsoft.com/office/drawing/2014/main" xmlns="" id="{00000000-0008-0000-3D00-0000EC5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801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304800</xdr:colOff>
      <xdr:row>1</xdr:row>
      <xdr:rowOff>0</xdr:rowOff>
    </xdr:to>
    <xdr:pic>
      <xdr:nvPicPr>
        <xdr:cNvPr id="146151" name="Picture 1" descr="DfT_3298_SML_AW">
          <a:extLst>
            <a:ext uri="{FF2B5EF4-FFF2-40B4-BE49-F238E27FC236}">
              <a16:creationId xmlns:a16="http://schemas.microsoft.com/office/drawing/2014/main" xmlns="" id="{00000000-0008-0000-3E00-0000E73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887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396240</xdr:colOff>
      <xdr:row>1</xdr:row>
      <xdr:rowOff>0</xdr:rowOff>
    </xdr:to>
    <xdr:pic>
      <xdr:nvPicPr>
        <xdr:cNvPr id="145127" name="Picture 4" descr="DfT_3298_SML_AW">
          <a:extLst>
            <a:ext uri="{FF2B5EF4-FFF2-40B4-BE49-F238E27FC236}">
              <a16:creationId xmlns:a16="http://schemas.microsoft.com/office/drawing/2014/main" xmlns="" id="{00000000-0008-0000-3F00-0000E73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801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48199" name="Picture 1" descr="DfT_3298_SML_AW">
          <a:extLst>
            <a:ext uri="{FF2B5EF4-FFF2-40B4-BE49-F238E27FC236}">
              <a16:creationId xmlns:a16="http://schemas.microsoft.com/office/drawing/2014/main" xmlns="" id="{00000000-0008-0000-4000-0000E74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49223" name="Picture 4" descr="DfT_3298_SML_AW">
          <a:extLst>
            <a:ext uri="{FF2B5EF4-FFF2-40B4-BE49-F238E27FC236}">
              <a16:creationId xmlns:a16="http://schemas.microsoft.com/office/drawing/2014/main" xmlns="" id="{00000000-0008-0000-4100-0000E74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274320</xdr:colOff>
      <xdr:row>1</xdr:row>
      <xdr:rowOff>0</xdr:rowOff>
    </xdr:to>
    <xdr:pic>
      <xdr:nvPicPr>
        <xdr:cNvPr id="150247" name="Picture 1" descr="DfT_3298_SML_AW">
          <a:extLst>
            <a:ext uri="{FF2B5EF4-FFF2-40B4-BE49-F238E27FC236}">
              <a16:creationId xmlns:a16="http://schemas.microsoft.com/office/drawing/2014/main" xmlns="" id="{00000000-0008-0000-4200-0000E74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582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51273" name="Picture 1" descr="DfT_3298_SML_AW">
          <a:extLst>
            <a:ext uri="{FF2B5EF4-FFF2-40B4-BE49-F238E27FC236}">
              <a16:creationId xmlns:a16="http://schemas.microsoft.com/office/drawing/2014/main" xmlns="" id="{00000000-0008-0000-4300-0000E94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52295" name="Picture 1" descr="DfT_3298_SML_AW">
          <a:extLst>
            <a:ext uri="{FF2B5EF4-FFF2-40B4-BE49-F238E27FC236}">
              <a16:creationId xmlns:a16="http://schemas.microsoft.com/office/drawing/2014/main" xmlns="" id="{00000000-0008-0000-4400-0000E75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53319" name="Picture 1" descr="DfT_3298_SML_AW">
          <a:extLst>
            <a:ext uri="{FF2B5EF4-FFF2-40B4-BE49-F238E27FC236}">
              <a16:creationId xmlns:a16="http://schemas.microsoft.com/office/drawing/2014/main" xmlns="" id="{00000000-0008-0000-4500-0000E75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54343" name="Picture 1" descr="DfT_3298_SML_AW">
          <a:extLst>
            <a:ext uri="{FF2B5EF4-FFF2-40B4-BE49-F238E27FC236}">
              <a16:creationId xmlns:a16="http://schemas.microsoft.com/office/drawing/2014/main" xmlns="" id="{00000000-0008-0000-4600-0000E75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55367" name="Picture 1" descr="DfT_3298_SML_AW">
          <a:extLst>
            <a:ext uri="{FF2B5EF4-FFF2-40B4-BE49-F238E27FC236}">
              <a16:creationId xmlns:a16="http://schemas.microsoft.com/office/drawing/2014/main" xmlns="" id="{00000000-0008-0000-4700-0000E75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56391" name="Picture 1" descr="DfT_3298_SML_AW">
          <a:extLst>
            <a:ext uri="{FF2B5EF4-FFF2-40B4-BE49-F238E27FC236}">
              <a16:creationId xmlns:a16="http://schemas.microsoft.com/office/drawing/2014/main" xmlns="" id="{00000000-0008-0000-4800-0000E76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57415" name="Picture 2" descr="DfT_3298_SML_AW">
          <a:extLst>
            <a:ext uri="{FF2B5EF4-FFF2-40B4-BE49-F238E27FC236}">
              <a16:creationId xmlns:a16="http://schemas.microsoft.com/office/drawing/2014/main" xmlns="" id="{00000000-0008-0000-4900-0000E76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58439" name="Picture 1" descr="DfT_3298_SML_AW">
          <a:extLst>
            <a:ext uri="{FF2B5EF4-FFF2-40B4-BE49-F238E27FC236}">
              <a16:creationId xmlns:a16="http://schemas.microsoft.com/office/drawing/2014/main" xmlns="" id="{00000000-0008-0000-4A00-0000E76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59463" name="Picture 2" descr="DfT_3298_SML_AW">
          <a:extLst>
            <a:ext uri="{FF2B5EF4-FFF2-40B4-BE49-F238E27FC236}">
              <a16:creationId xmlns:a16="http://schemas.microsoft.com/office/drawing/2014/main" xmlns="" id="{00000000-0008-0000-4B00-0000E76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60487" name="Picture 1" descr="DfT_3298_SML_AW">
          <a:extLst>
            <a:ext uri="{FF2B5EF4-FFF2-40B4-BE49-F238E27FC236}">
              <a16:creationId xmlns:a16="http://schemas.microsoft.com/office/drawing/2014/main" xmlns="" id="{00000000-0008-0000-4C00-0000E77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83015" name="Picture 3" descr="DfT_3298_SML_AW">
          <a:extLst>
            <a:ext uri="{FF2B5EF4-FFF2-40B4-BE49-F238E27FC236}">
              <a16:creationId xmlns:a16="http://schemas.microsoft.com/office/drawing/2014/main" xmlns="" id="{00000000-0008-0000-4D00-0000E7CA0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1211580</xdr:colOff>
      <xdr:row>1</xdr:row>
      <xdr:rowOff>22860</xdr:rowOff>
    </xdr:to>
    <xdr:pic>
      <xdr:nvPicPr>
        <xdr:cNvPr id="281918" name="Picture 3" descr="DfT_3298_SML_AW">
          <a:extLst>
            <a:ext uri="{FF2B5EF4-FFF2-40B4-BE49-F238E27FC236}">
              <a16:creationId xmlns:a16="http://schemas.microsoft.com/office/drawing/2014/main" xmlns="" id="{00000000-0008-0000-4E00-00003E4D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1158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1211580</xdr:colOff>
      <xdr:row>1</xdr:row>
      <xdr:rowOff>22860</xdr:rowOff>
    </xdr:to>
    <xdr:pic>
      <xdr:nvPicPr>
        <xdr:cNvPr id="279875" name="Picture 3" descr="DfT_3298_SML_AW">
          <a:extLst>
            <a:ext uri="{FF2B5EF4-FFF2-40B4-BE49-F238E27FC236}">
              <a16:creationId xmlns:a16="http://schemas.microsoft.com/office/drawing/2014/main" xmlns="" id="{00000000-0008-0000-4F00-00004345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1158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84057" name="Picture 3" descr="DfT_3298_SML_AW">
          <a:extLst>
            <a:ext uri="{FF2B5EF4-FFF2-40B4-BE49-F238E27FC236}">
              <a16:creationId xmlns:a16="http://schemas.microsoft.com/office/drawing/2014/main" xmlns="" id="{00000000-0008-0000-5000-0000F9CE0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61511" name="Picture 1" descr="DfT_3298_SML_AW">
          <a:extLst>
            <a:ext uri="{FF2B5EF4-FFF2-40B4-BE49-F238E27FC236}">
              <a16:creationId xmlns:a16="http://schemas.microsoft.com/office/drawing/2014/main" xmlns="" id="{00000000-0008-0000-5100-0000E77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62535" name="Picture 1" descr="DfT_3298_SML_AW">
          <a:extLst>
            <a:ext uri="{FF2B5EF4-FFF2-40B4-BE49-F238E27FC236}">
              <a16:creationId xmlns:a16="http://schemas.microsoft.com/office/drawing/2014/main" xmlns="" id="{00000000-0008-0000-5200-0000E77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4" name="Picture 1" descr="DfT_3298_SML_AW">
          <a:extLst>
            <a:ext uri="{FF2B5EF4-FFF2-40B4-BE49-F238E27FC236}">
              <a16:creationId xmlns:a16="http://schemas.microsoft.com/office/drawing/2014/main" xmlns="" id="{00000000-0008-0000-5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64583" name="Picture 1" descr="DfT_3298_SML_AW">
          <a:extLst>
            <a:ext uri="{FF2B5EF4-FFF2-40B4-BE49-F238E27FC236}">
              <a16:creationId xmlns:a16="http://schemas.microsoft.com/office/drawing/2014/main" xmlns="" id="{00000000-0008-0000-5400-0000E78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165607" name="Picture 1" descr="DfT_3298_SML_AW">
          <a:extLst>
            <a:ext uri="{FF2B5EF4-FFF2-40B4-BE49-F238E27FC236}">
              <a16:creationId xmlns:a16="http://schemas.microsoft.com/office/drawing/2014/main" xmlns="" id="{00000000-0008-0000-5500-0000E7860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312420</xdr:colOff>
      <xdr:row>1</xdr:row>
      <xdr:rowOff>0</xdr:rowOff>
    </xdr:to>
    <xdr:pic>
      <xdr:nvPicPr>
        <xdr:cNvPr id="166631" name="Picture 1" descr="DfT_3298_SML_AW">
          <a:extLst>
            <a:ext uri="{FF2B5EF4-FFF2-40B4-BE49-F238E27FC236}">
              <a16:creationId xmlns:a16="http://schemas.microsoft.com/office/drawing/2014/main" xmlns="" id="{00000000-0008-0000-5600-0000E78A0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67655" name="Picture 1" descr="DfT_3298_SML_AW">
          <a:extLst>
            <a:ext uri="{FF2B5EF4-FFF2-40B4-BE49-F238E27FC236}">
              <a16:creationId xmlns:a16="http://schemas.microsoft.com/office/drawing/2014/main" xmlns="" id="{00000000-0008-0000-5700-0000E78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68679" name="Picture 1" descr="DfT_3298_SML_AW">
          <a:extLst>
            <a:ext uri="{FF2B5EF4-FFF2-40B4-BE49-F238E27FC236}">
              <a16:creationId xmlns:a16="http://schemas.microsoft.com/office/drawing/2014/main" xmlns="" id="{00000000-0008-0000-5800-0000E79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1211580</xdr:colOff>
      <xdr:row>1</xdr:row>
      <xdr:rowOff>22860</xdr:rowOff>
    </xdr:to>
    <xdr:pic>
      <xdr:nvPicPr>
        <xdr:cNvPr id="284984" name="Picture 3" descr="DfT_3298_SML_AW">
          <a:extLst>
            <a:ext uri="{FF2B5EF4-FFF2-40B4-BE49-F238E27FC236}">
              <a16:creationId xmlns:a16="http://schemas.microsoft.com/office/drawing/2014/main" xmlns="" id="{00000000-0008-0000-5900-00003859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1158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1211580</xdr:colOff>
      <xdr:row>1</xdr:row>
      <xdr:rowOff>22860</xdr:rowOff>
    </xdr:to>
    <xdr:pic>
      <xdr:nvPicPr>
        <xdr:cNvPr id="342084" name="Picture 3" descr="DfT_3298_SML_AW">
          <a:extLst>
            <a:ext uri="{FF2B5EF4-FFF2-40B4-BE49-F238E27FC236}">
              <a16:creationId xmlns:a16="http://schemas.microsoft.com/office/drawing/2014/main" xmlns="" id="{00000000-0008-0000-5A00-00004438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1158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1211580</xdr:colOff>
      <xdr:row>1</xdr:row>
      <xdr:rowOff>22860</xdr:rowOff>
    </xdr:to>
    <xdr:pic>
      <xdr:nvPicPr>
        <xdr:cNvPr id="341060" name="Picture 3" descr="DfT_3298_SML_AW">
          <a:extLst>
            <a:ext uri="{FF2B5EF4-FFF2-40B4-BE49-F238E27FC236}">
              <a16:creationId xmlns:a16="http://schemas.microsoft.com/office/drawing/2014/main" xmlns="" id="{00000000-0008-0000-5B00-00004434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1158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1211580</xdr:colOff>
      <xdr:row>1</xdr:row>
      <xdr:rowOff>22860</xdr:rowOff>
    </xdr:to>
    <xdr:pic>
      <xdr:nvPicPr>
        <xdr:cNvPr id="282940" name="Picture 3" descr="DfT_3298_SML_AW">
          <a:extLst>
            <a:ext uri="{FF2B5EF4-FFF2-40B4-BE49-F238E27FC236}">
              <a16:creationId xmlns:a16="http://schemas.microsoft.com/office/drawing/2014/main" xmlns="" id="{00000000-0008-0000-5C00-00003C5104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11580" cy="716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69703" name="Picture 1" descr="DfT_3298_SML_AW">
          <a:extLst>
            <a:ext uri="{FF2B5EF4-FFF2-40B4-BE49-F238E27FC236}">
              <a16:creationId xmlns:a16="http://schemas.microsoft.com/office/drawing/2014/main" xmlns="" id="{00000000-0008-0000-5D00-0000E79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70727" name="Picture 1" descr="DfT_3298_SML_AW">
          <a:extLst>
            <a:ext uri="{FF2B5EF4-FFF2-40B4-BE49-F238E27FC236}">
              <a16:creationId xmlns:a16="http://schemas.microsoft.com/office/drawing/2014/main" xmlns="" id="{00000000-0008-0000-5E00-0000E79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20553" name="Picture 1" descr="DfT_3298_SML_AW">
          <a:extLst>
            <a:ext uri="{FF2B5EF4-FFF2-40B4-BE49-F238E27FC236}">
              <a16:creationId xmlns:a16="http://schemas.microsoft.com/office/drawing/2014/main" xmlns="" id="{00000000-0008-0000-5F00-0000E9D6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73799" name="Picture 1" descr="DfT_3298_SML_AW">
          <a:extLst>
            <a:ext uri="{FF2B5EF4-FFF2-40B4-BE49-F238E27FC236}">
              <a16:creationId xmlns:a16="http://schemas.microsoft.com/office/drawing/2014/main" xmlns="" id="{00000000-0008-0000-6000-0000E7A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74823" name="Picture 1" descr="DfT_3298_SML_AW">
          <a:extLst>
            <a:ext uri="{FF2B5EF4-FFF2-40B4-BE49-F238E27FC236}">
              <a16:creationId xmlns:a16="http://schemas.microsoft.com/office/drawing/2014/main" xmlns="" id="{00000000-0008-0000-6100-0000E7A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320040</xdr:colOff>
      <xdr:row>1</xdr:row>
      <xdr:rowOff>0</xdr:rowOff>
    </xdr:to>
    <xdr:pic>
      <xdr:nvPicPr>
        <xdr:cNvPr id="175847" name="Picture 1" descr="DfT_3298_SML_AW">
          <a:extLst>
            <a:ext uri="{FF2B5EF4-FFF2-40B4-BE49-F238E27FC236}">
              <a16:creationId xmlns:a16="http://schemas.microsoft.com/office/drawing/2014/main" xmlns="" id="{00000000-0008-0000-6200-0000E7A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039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342900</xdr:colOff>
      <xdr:row>1</xdr:row>
      <xdr:rowOff>0</xdr:rowOff>
    </xdr:to>
    <xdr:pic>
      <xdr:nvPicPr>
        <xdr:cNvPr id="176871" name="Picture 1" descr="DfT_3298_SML_AW">
          <a:extLst>
            <a:ext uri="{FF2B5EF4-FFF2-40B4-BE49-F238E27FC236}">
              <a16:creationId xmlns:a16="http://schemas.microsoft.com/office/drawing/2014/main" xmlns="" id="{00000000-0008-0000-6300-0000E7B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268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346246" name="Picture 1" descr="DfT_3298_SML_AW">
          <a:extLst>
            <a:ext uri="{FF2B5EF4-FFF2-40B4-BE49-F238E27FC236}">
              <a16:creationId xmlns:a16="http://schemas.microsoft.com/office/drawing/2014/main" xmlns="" id="{00000000-0008-0000-6400-00008648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243840</xdr:colOff>
      <xdr:row>1</xdr:row>
      <xdr:rowOff>0</xdr:rowOff>
    </xdr:to>
    <xdr:pic>
      <xdr:nvPicPr>
        <xdr:cNvPr id="346247" name="Picture 1" descr="DfT_3298_SML_AW">
          <a:extLst>
            <a:ext uri="{FF2B5EF4-FFF2-40B4-BE49-F238E27FC236}">
              <a16:creationId xmlns:a16="http://schemas.microsoft.com/office/drawing/2014/main" xmlns="" id="{00000000-0008-0000-6400-00008748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329954" name="Picture 1" descr="DfT_3298_SML_AW">
          <a:extLst>
            <a:ext uri="{FF2B5EF4-FFF2-40B4-BE49-F238E27FC236}">
              <a16:creationId xmlns:a16="http://schemas.microsoft.com/office/drawing/2014/main" xmlns="" id="{00000000-0008-0000-6500-0000E208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243840</xdr:colOff>
      <xdr:row>1</xdr:row>
      <xdr:rowOff>0</xdr:rowOff>
    </xdr:to>
    <xdr:pic>
      <xdr:nvPicPr>
        <xdr:cNvPr id="329955" name="Picture 1" descr="DfT_3298_SML_AW">
          <a:extLst>
            <a:ext uri="{FF2B5EF4-FFF2-40B4-BE49-F238E27FC236}">
              <a16:creationId xmlns:a16="http://schemas.microsoft.com/office/drawing/2014/main" xmlns="" id="{00000000-0008-0000-6500-0000E308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335042" name="Picture 1" descr="DfT_3298_SML_AW">
          <a:extLst>
            <a:ext uri="{FF2B5EF4-FFF2-40B4-BE49-F238E27FC236}">
              <a16:creationId xmlns:a16="http://schemas.microsoft.com/office/drawing/2014/main" xmlns="" id="{00000000-0008-0000-6600-0000C21C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1</xdr:col>
      <xdr:colOff>243840</xdr:colOff>
      <xdr:row>1</xdr:row>
      <xdr:rowOff>0</xdr:rowOff>
    </xdr:to>
    <xdr:pic>
      <xdr:nvPicPr>
        <xdr:cNvPr id="335043" name="Picture 1" descr="DfT_3298_SML_AW">
          <a:extLst>
            <a:ext uri="{FF2B5EF4-FFF2-40B4-BE49-F238E27FC236}">
              <a16:creationId xmlns:a16="http://schemas.microsoft.com/office/drawing/2014/main" xmlns="" id="{00000000-0008-0000-6600-0000C31C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80967" name="Picture 1" descr="DfT_3298_SML_AW">
          <a:extLst>
            <a:ext uri="{FF2B5EF4-FFF2-40B4-BE49-F238E27FC236}">
              <a16:creationId xmlns:a16="http://schemas.microsoft.com/office/drawing/2014/main" xmlns="" id="{00000000-0008-0000-6700-0000E7C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181991" name="Picture 3" descr="DfT_3298_SML_AW">
          <a:extLst>
            <a:ext uri="{FF2B5EF4-FFF2-40B4-BE49-F238E27FC236}">
              <a16:creationId xmlns:a16="http://schemas.microsoft.com/office/drawing/2014/main" xmlns="" id="{00000000-0008-0000-6800-0000E7C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331882" name="Picture 1" descr="DfT_3298_SML_AW">
          <a:extLst>
            <a:ext uri="{FF2B5EF4-FFF2-40B4-BE49-F238E27FC236}">
              <a16:creationId xmlns:a16="http://schemas.microsoft.com/office/drawing/2014/main" xmlns="" id="{00000000-0008-0000-6900-00006A1005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2" name="Picture 1" descr="DfT_3298_SML_AW">
          <a:extLst>
            <a:ext uri="{FF2B5EF4-FFF2-40B4-BE49-F238E27FC236}">
              <a16:creationId xmlns:a16="http://schemas.microsoft.com/office/drawing/2014/main" xmlns="" id="{00000000-0008-0000-6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8.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243840</xdr:colOff>
      <xdr:row>1</xdr:row>
      <xdr:rowOff>0</xdr:rowOff>
    </xdr:to>
    <xdr:pic>
      <xdr:nvPicPr>
        <xdr:cNvPr id="2" name="Picture 1" descr="DfT_3298_SML_AW">
          <a:extLst>
            <a:ext uri="{FF2B5EF4-FFF2-40B4-BE49-F238E27FC236}">
              <a16:creationId xmlns:a16="http://schemas.microsoft.com/office/drawing/2014/main" xmlns="" id="{00000000-0008-0000-6B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42"/>
        <a:stretch>
          <a:fillRect/>
        </a:stretch>
      </xdr:blipFill>
      <xdr:spPr bwMode="auto">
        <a:xfrm>
          <a:off x="0" y="0"/>
          <a:ext cx="11277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350520</xdr:colOff>
      <xdr:row>1</xdr:row>
      <xdr:rowOff>0</xdr:rowOff>
    </xdr:to>
    <xdr:pic>
      <xdr:nvPicPr>
        <xdr:cNvPr id="185063" name="Picture 1" descr="DfT_3298_SML_AW">
          <a:extLst>
            <a:ext uri="{FF2B5EF4-FFF2-40B4-BE49-F238E27FC236}">
              <a16:creationId xmlns:a16="http://schemas.microsoft.com/office/drawing/2014/main" xmlns="" id="{00000000-0008-0000-6C00-0000E7D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344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0.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86087" name="Picture 1" descr="DfT_3298_SML_AW">
          <a:extLst>
            <a:ext uri="{FF2B5EF4-FFF2-40B4-BE49-F238E27FC236}">
              <a16:creationId xmlns:a16="http://schemas.microsoft.com/office/drawing/2014/main" xmlns="" id="{00000000-0008-0000-6D00-0000E7D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434340</xdr:colOff>
      <xdr:row>1</xdr:row>
      <xdr:rowOff>0</xdr:rowOff>
    </xdr:to>
    <xdr:pic>
      <xdr:nvPicPr>
        <xdr:cNvPr id="187111" name="Picture 1" descr="DfT_3298_SML_AW">
          <a:extLst>
            <a:ext uri="{FF2B5EF4-FFF2-40B4-BE49-F238E27FC236}">
              <a16:creationId xmlns:a16="http://schemas.microsoft.com/office/drawing/2014/main" xmlns="" id="{00000000-0008-0000-6E00-0000E7D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31826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1</xdr:row>
      <xdr:rowOff>0</xdr:rowOff>
    </xdr:to>
    <xdr:pic>
      <xdr:nvPicPr>
        <xdr:cNvPr id="188135" name="Picture 1" descr="DfT_3298_SML_AW">
          <a:extLst>
            <a:ext uri="{FF2B5EF4-FFF2-40B4-BE49-F238E27FC236}">
              <a16:creationId xmlns:a16="http://schemas.microsoft.com/office/drawing/2014/main" xmlns="" id="{00000000-0008-0000-6F00-0000E7D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3030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89159" name="Picture 1" descr="DfT_3298_SML_AW">
          <a:extLst>
            <a:ext uri="{FF2B5EF4-FFF2-40B4-BE49-F238E27FC236}">
              <a16:creationId xmlns:a16="http://schemas.microsoft.com/office/drawing/2014/main" xmlns="" id="{00000000-0008-0000-7000-0000E7E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449580</xdr:colOff>
      <xdr:row>1</xdr:row>
      <xdr:rowOff>0</xdr:rowOff>
    </xdr:to>
    <xdr:pic>
      <xdr:nvPicPr>
        <xdr:cNvPr id="190183" name="Picture 1" descr="DfT_3298_SML_AW">
          <a:extLst>
            <a:ext uri="{FF2B5EF4-FFF2-40B4-BE49-F238E27FC236}">
              <a16:creationId xmlns:a16="http://schemas.microsoft.com/office/drawing/2014/main" xmlns="" id="{00000000-0008-0000-7100-0000E7E6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3335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373380</xdr:colOff>
      <xdr:row>1</xdr:row>
      <xdr:rowOff>0</xdr:rowOff>
    </xdr:to>
    <xdr:pic>
      <xdr:nvPicPr>
        <xdr:cNvPr id="191207" name="Picture 1" descr="DfT_3298_SML_AW">
          <a:extLst>
            <a:ext uri="{FF2B5EF4-FFF2-40B4-BE49-F238E27FC236}">
              <a16:creationId xmlns:a16="http://schemas.microsoft.com/office/drawing/2014/main" xmlns="" id="{00000000-0008-0000-7200-0000E7EA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5730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419100</xdr:colOff>
      <xdr:row>1</xdr:row>
      <xdr:rowOff>0</xdr:rowOff>
    </xdr:to>
    <xdr:pic>
      <xdr:nvPicPr>
        <xdr:cNvPr id="192231" name="Picture 1" descr="DfT_3298_SML_AW">
          <a:extLst>
            <a:ext uri="{FF2B5EF4-FFF2-40B4-BE49-F238E27FC236}">
              <a16:creationId xmlns:a16="http://schemas.microsoft.com/office/drawing/2014/main" xmlns="" id="{00000000-0008-0000-7300-0000E7E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3030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381000</xdr:colOff>
      <xdr:row>1</xdr:row>
      <xdr:rowOff>0</xdr:rowOff>
    </xdr:to>
    <xdr:pic>
      <xdr:nvPicPr>
        <xdr:cNvPr id="193255" name="Picture 1" descr="DfT_3298_SML_AW">
          <a:extLst>
            <a:ext uri="{FF2B5EF4-FFF2-40B4-BE49-F238E27FC236}">
              <a16:creationId xmlns:a16="http://schemas.microsoft.com/office/drawing/2014/main" xmlns="" id="{00000000-0008-0000-7400-0000E7F2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26492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8.xml><?xml version="1.0" encoding="utf-8"?>
<xdr:wsDr xmlns:xdr="http://schemas.openxmlformats.org/drawingml/2006/spreadsheetDrawing" xmlns:a="http://schemas.openxmlformats.org/drawingml/2006/main">
  <xdr:twoCellAnchor>
    <xdr:from>
      <xdr:col>9</xdr:col>
      <xdr:colOff>91440</xdr:colOff>
      <xdr:row>14</xdr:row>
      <xdr:rowOff>99060</xdr:rowOff>
    </xdr:from>
    <xdr:to>
      <xdr:col>9</xdr:col>
      <xdr:colOff>617220</xdr:colOff>
      <xdr:row>14</xdr:row>
      <xdr:rowOff>99060</xdr:rowOff>
    </xdr:to>
    <xdr:cxnSp macro="">
      <xdr:nvCxnSpPr>
        <xdr:cNvPr id="359464" name="AutoShape 9">
          <a:extLst>
            <a:ext uri="{FF2B5EF4-FFF2-40B4-BE49-F238E27FC236}">
              <a16:creationId xmlns:a16="http://schemas.microsoft.com/office/drawing/2014/main" xmlns="" id="{00000000-0008-0000-7500-0000287C0500}"/>
            </a:ext>
          </a:extLst>
        </xdr:cNvPr>
        <xdr:cNvCxnSpPr>
          <a:cxnSpLocks noChangeShapeType="1"/>
        </xdr:cNvCxnSpPr>
      </xdr:nvCxnSpPr>
      <xdr:spPr bwMode="auto">
        <a:xfrm flipH="1">
          <a:off x="10728960" y="312420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60960</xdr:colOff>
      <xdr:row>14</xdr:row>
      <xdr:rowOff>198120</xdr:rowOff>
    </xdr:from>
    <xdr:to>
      <xdr:col>6</xdr:col>
      <xdr:colOff>487680</xdr:colOff>
      <xdr:row>14</xdr:row>
      <xdr:rowOff>213360</xdr:rowOff>
    </xdr:to>
    <xdr:cxnSp macro="">
      <xdr:nvCxnSpPr>
        <xdr:cNvPr id="359465" name="AutoShape 10">
          <a:extLst>
            <a:ext uri="{FF2B5EF4-FFF2-40B4-BE49-F238E27FC236}">
              <a16:creationId xmlns:a16="http://schemas.microsoft.com/office/drawing/2014/main" xmlns="" id="{00000000-0008-0000-7500-0000297C0500}"/>
            </a:ext>
          </a:extLst>
        </xdr:cNvPr>
        <xdr:cNvCxnSpPr>
          <a:cxnSpLocks noChangeShapeType="1"/>
        </xdr:cNvCxnSpPr>
      </xdr:nvCxnSpPr>
      <xdr:spPr bwMode="auto">
        <a:xfrm>
          <a:off x="2857500" y="3223260"/>
          <a:ext cx="1973580" cy="1524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99060</xdr:colOff>
      <xdr:row>17</xdr:row>
      <xdr:rowOff>53340</xdr:rowOff>
    </xdr:from>
    <xdr:to>
      <xdr:col>6</xdr:col>
      <xdr:colOff>350520</xdr:colOff>
      <xdr:row>17</xdr:row>
      <xdr:rowOff>68580</xdr:rowOff>
    </xdr:to>
    <xdr:cxnSp macro="">
      <xdr:nvCxnSpPr>
        <xdr:cNvPr id="359466" name="AutoShape 11">
          <a:extLst>
            <a:ext uri="{FF2B5EF4-FFF2-40B4-BE49-F238E27FC236}">
              <a16:creationId xmlns:a16="http://schemas.microsoft.com/office/drawing/2014/main" xmlns="" id="{00000000-0008-0000-7500-00002A7C0500}"/>
            </a:ext>
          </a:extLst>
        </xdr:cNvPr>
        <xdr:cNvCxnSpPr>
          <a:cxnSpLocks noChangeShapeType="1"/>
        </xdr:cNvCxnSpPr>
      </xdr:nvCxnSpPr>
      <xdr:spPr bwMode="auto">
        <a:xfrm flipV="1">
          <a:off x="2895600" y="3573780"/>
          <a:ext cx="1798320" cy="1524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76200</xdr:colOff>
      <xdr:row>26</xdr:row>
      <xdr:rowOff>243840</xdr:rowOff>
    </xdr:from>
    <xdr:to>
      <xdr:col>6</xdr:col>
      <xdr:colOff>510540</xdr:colOff>
      <xdr:row>26</xdr:row>
      <xdr:rowOff>259080</xdr:rowOff>
    </xdr:to>
    <xdr:cxnSp macro="">
      <xdr:nvCxnSpPr>
        <xdr:cNvPr id="359467" name="AutoShape 12">
          <a:extLst>
            <a:ext uri="{FF2B5EF4-FFF2-40B4-BE49-F238E27FC236}">
              <a16:creationId xmlns:a16="http://schemas.microsoft.com/office/drawing/2014/main" xmlns="" id="{00000000-0008-0000-7500-00002B7C0500}"/>
            </a:ext>
          </a:extLst>
        </xdr:cNvPr>
        <xdr:cNvCxnSpPr>
          <a:cxnSpLocks noChangeShapeType="1"/>
        </xdr:cNvCxnSpPr>
      </xdr:nvCxnSpPr>
      <xdr:spPr bwMode="auto">
        <a:xfrm>
          <a:off x="2872740" y="5928360"/>
          <a:ext cx="1981200" cy="15240"/>
        </a:xfrm>
        <a:prstGeom prst="straightConnector1">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381000</xdr:colOff>
      <xdr:row>20</xdr:row>
      <xdr:rowOff>45720</xdr:rowOff>
    </xdr:from>
    <xdr:to>
      <xdr:col>4</xdr:col>
      <xdr:colOff>579120</xdr:colOff>
      <xdr:row>20</xdr:row>
      <xdr:rowOff>45720</xdr:rowOff>
    </xdr:to>
    <xdr:cxnSp macro="">
      <xdr:nvCxnSpPr>
        <xdr:cNvPr id="359468" name="AutoShape 16">
          <a:extLst>
            <a:ext uri="{FF2B5EF4-FFF2-40B4-BE49-F238E27FC236}">
              <a16:creationId xmlns:a16="http://schemas.microsoft.com/office/drawing/2014/main" xmlns="" id="{00000000-0008-0000-7500-00002C7C0500}"/>
            </a:ext>
          </a:extLst>
        </xdr:cNvPr>
        <xdr:cNvCxnSpPr>
          <a:cxnSpLocks noChangeShapeType="1"/>
        </xdr:cNvCxnSpPr>
      </xdr:nvCxnSpPr>
      <xdr:spPr bwMode="auto">
        <a:xfrm>
          <a:off x="3177540" y="4251960"/>
          <a:ext cx="19812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1181100</xdr:colOff>
      <xdr:row>17</xdr:row>
      <xdr:rowOff>205740</xdr:rowOff>
    </xdr:from>
    <xdr:to>
      <xdr:col>4</xdr:col>
      <xdr:colOff>289560</xdr:colOff>
      <xdr:row>17</xdr:row>
      <xdr:rowOff>205740</xdr:rowOff>
    </xdr:to>
    <xdr:cxnSp macro="">
      <xdr:nvCxnSpPr>
        <xdr:cNvPr id="359469" name="AutoShape 17">
          <a:extLst>
            <a:ext uri="{FF2B5EF4-FFF2-40B4-BE49-F238E27FC236}">
              <a16:creationId xmlns:a16="http://schemas.microsoft.com/office/drawing/2014/main" xmlns="" id="{00000000-0008-0000-7500-00002D7C0500}"/>
            </a:ext>
          </a:extLst>
        </xdr:cNvPr>
        <xdr:cNvCxnSpPr>
          <a:cxnSpLocks noChangeShapeType="1"/>
        </xdr:cNvCxnSpPr>
      </xdr:nvCxnSpPr>
      <xdr:spPr bwMode="auto">
        <a:xfrm>
          <a:off x="2788920" y="3726180"/>
          <a:ext cx="2971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381000</xdr:colOff>
      <xdr:row>17</xdr:row>
      <xdr:rowOff>198120</xdr:rowOff>
    </xdr:from>
    <xdr:to>
      <xdr:col>4</xdr:col>
      <xdr:colOff>381000</xdr:colOff>
      <xdr:row>20</xdr:row>
      <xdr:rowOff>45720</xdr:rowOff>
    </xdr:to>
    <xdr:cxnSp macro="">
      <xdr:nvCxnSpPr>
        <xdr:cNvPr id="359470" name="AutoShape 18">
          <a:extLst>
            <a:ext uri="{FF2B5EF4-FFF2-40B4-BE49-F238E27FC236}">
              <a16:creationId xmlns:a16="http://schemas.microsoft.com/office/drawing/2014/main" xmlns="" id="{00000000-0008-0000-7500-00002E7C0500}"/>
            </a:ext>
          </a:extLst>
        </xdr:cNvPr>
        <xdr:cNvCxnSpPr>
          <a:cxnSpLocks noChangeShapeType="1"/>
        </xdr:cNvCxnSpPr>
      </xdr:nvCxnSpPr>
      <xdr:spPr bwMode="auto">
        <a:xfrm flipV="1">
          <a:off x="3177540" y="3718560"/>
          <a:ext cx="0" cy="53340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6</xdr:col>
      <xdr:colOff>68580</xdr:colOff>
      <xdr:row>20</xdr:row>
      <xdr:rowOff>190500</xdr:rowOff>
    </xdr:from>
    <xdr:to>
      <xdr:col>6</xdr:col>
      <xdr:colOff>541020</xdr:colOff>
      <xdr:row>20</xdr:row>
      <xdr:rowOff>190500</xdr:rowOff>
    </xdr:to>
    <xdr:cxnSp macro="">
      <xdr:nvCxnSpPr>
        <xdr:cNvPr id="359471" name="AutoShape 19">
          <a:extLst>
            <a:ext uri="{FF2B5EF4-FFF2-40B4-BE49-F238E27FC236}">
              <a16:creationId xmlns:a16="http://schemas.microsoft.com/office/drawing/2014/main" xmlns="" id="{00000000-0008-0000-7500-00002F7C0500}"/>
            </a:ext>
          </a:extLst>
        </xdr:cNvPr>
        <xdr:cNvCxnSpPr>
          <a:cxnSpLocks noChangeShapeType="1"/>
        </xdr:cNvCxnSpPr>
      </xdr:nvCxnSpPr>
      <xdr:spPr bwMode="auto">
        <a:xfrm>
          <a:off x="4411980" y="4396740"/>
          <a:ext cx="47244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403860</xdr:colOff>
      <xdr:row>15</xdr:row>
      <xdr:rowOff>53340</xdr:rowOff>
    </xdr:from>
    <xdr:to>
      <xdr:col>6</xdr:col>
      <xdr:colOff>541020</xdr:colOff>
      <xdr:row>15</xdr:row>
      <xdr:rowOff>53340</xdr:rowOff>
    </xdr:to>
    <xdr:cxnSp macro="">
      <xdr:nvCxnSpPr>
        <xdr:cNvPr id="359472" name="AutoShape 23">
          <a:extLst>
            <a:ext uri="{FF2B5EF4-FFF2-40B4-BE49-F238E27FC236}">
              <a16:creationId xmlns:a16="http://schemas.microsoft.com/office/drawing/2014/main" xmlns="" id="{00000000-0008-0000-7500-0000307C0500}"/>
            </a:ext>
          </a:extLst>
        </xdr:cNvPr>
        <xdr:cNvCxnSpPr>
          <a:cxnSpLocks noChangeShapeType="1"/>
        </xdr:cNvCxnSpPr>
      </xdr:nvCxnSpPr>
      <xdr:spPr bwMode="auto">
        <a:xfrm flipH="1">
          <a:off x="4747260" y="3329940"/>
          <a:ext cx="13716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6</xdr:col>
      <xdr:colOff>403860</xdr:colOff>
      <xdr:row>19</xdr:row>
      <xdr:rowOff>175260</xdr:rowOff>
    </xdr:from>
    <xdr:to>
      <xdr:col>6</xdr:col>
      <xdr:colOff>579120</xdr:colOff>
      <xdr:row>19</xdr:row>
      <xdr:rowOff>175260</xdr:rowOff>
    </xdr:to>
    <xdr:cxnSp macro="">
      <xdr:nvCxnSpPr>
        <xdr:cNvPr id="359473" name="AutoShape 25">
          <a:extLst>
            <a:ext uri="{FF2B5EF4-FFF2-40B4-BE49-F238E27FC236}">
              <a16:creationId xmlns:a16="http://schemas.microsoft.com/office/drawing/2014/main" xmlns="" id="{00000000-0008-0000-7500-0000317C0500}"/>
            </a:ext>
          </a:extLst>
        </xdr:cNvPr>
        <xdr:cNvCxnSpPr>
          <a:cxnSpLocks noChangeShapeType="1"/>
        </xdr:cNvCxnSpPr>
      </xdr:nvCxnSpPr>
      <xdr:spPr bwMode="auto">
        <a:xfrm>
          <a:off x="4747260" y="4130040"/>
          <a:ext cx="17526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403860</xdr:colOff>
      <xdr:row>15</xdr:row>
      <xdr:rowOff>53340</xdr:rowOff>
    </xdr:from>
    <xdr:to>
      <xdr:col>6</xdr:col>
      <xdr:colOff>403860</xdr:colOff>
      <xdr:row>19</xdr:row>
      <xdr:rowOff>160020</xdr:rowOff>
    </xdr:to>
    <xdr:cxnSp macro="">
      <xdr:nvCxnSpPr>
        <xdr:cNvPr id="359474" name="AutoShape 26">
          <a:extLst>
            <a:ext uri="{FF2B5EF4-FFF2-40B4-BE49-F238E27FC236}">
              <a16:creationId xmlns:a16="http://schemas.microsoft.com/office/drawing/2014/main" xmlns="" id="{00000000-0008-0000-7500-0000327C0500}"/>
            </a:ext>
          </a:extLst>
        </xdr:cNvPr>
        <xdr:cNvCxnSpPr>
          <a:cxnSpLocks noChangeShapeType="1"/>
        </xdr:cNvCxnSpPr>
      </xdr:nvCxnSpPr>
      <xdr:spPr bwMode="auto">
        <a:xfrm>
          <a:off x="4747260" y="3329940"/>
          <a:ext cx="0" cy="78486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cxnSp>
    <xdr:clientData/>
  </xdr:twoCellAnchor>
  <xdr:twoCellAnchor>
    <xdr:from>
      <xdr:col>4</xdr:col>
      <xdr:colOff>76200</xdr:colOff>
      <xdr:row>26</xdr:row>
      <xdr:rowOff>106680</xdr:rowOff>
    </xdr:from>
    <xdr:to>
      <xdr:col>6</xdr:col>
      <xdr:colOff>114300</xdr:colOff>
      <xdr:row>26</xdr:row>
      <xdr:rowOff>114300</xdr:rowOff>
    </xdr:to>
    <xdr:sp macro="" textlink="">
      <xdr:nvSpPr>
        <xdr:cNvPr id="359475" name="Line 33">
          <a:extLst>
            <a:ext uri="{FF2B5EF4-FFF2-40B4-BE49-F238E27FC236}">
              <a16:creationId xmlns:a16="http://schemas.microsoft.com/office/drawing/2014/main" xmlns="" id="{00000000-0008-0000-7500-0000337C0500}"/>
            </a:ext>
          </a:extLst>
        </xdr:cNvPr>
        <xdr:cNvSpPr>
          <a:spLocks noChangeShapeType="1"/>
        </xdr:cNvSpPr>
      </xdr:nvSpPr>
      <xdr:spPr bwMode="auto">
        <a:xfrm>
          <a:off x="2872740" y="5791200"/>
          <a:ext cx="1584960" cy="76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114300</xdr:colOff>
      <xdr:row>21</xdr:row>
      <xdr:rowOff>106680</xdr:rowOff>
    </xdr:from>
    <xdr:to>
      <xdr:col>6</xdr:col>
      <xdr:colOff>129540</xdr:colOff>
      <xdr:row>26</xdr:row>
      <xdr:rowOff>114300</xdr:rowOff>
    </xdr:to>
    <xdr:sp macro="" textlink="">
      <xdr:nvSpPr>
        <xdr:cNvPr id="359476" name="Line 34">
          <a:extLst>
            <a:ext uri="{FF2B5EF4-FFF2-40B4-BE49-F238E27FC236}">
              <a16:creationId xmlns:a16="http://schemas.microsoft.com/office/drawing/2014/main" xmlns="" id="{00000000-0008-0000-7500-0000347C0500}"/>
            </a:ext>
          </a:extLst>
        </xdr:cNvPr>
        <xdr:cNvSpPr>
          <a:spLocks noChangeShapeType="1"/>
        </xdr:cNvSpPr>
      </xdr:nvSpPr>
      <xdr:spPr bwMode="auto">
        <a:xfrm flipV="1">
          <a:off x="4457700" y="4884420"/>
          <a:ext cx="15240" cy="914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137160</xdr:colOff>
      <xdr:row>21</xdr:row>
      <xdr:rowOff>106680</xdr:rowOff>
    </xdr:from>
    <xdr:to>
      <xdr:col>6</xdr:col>
      <xdr:colOff>518160</xdr:colOff>
      <xdr:row>21</xdr:row>
      <xdr:rowOff>106680</xdr:rowOff>
    </xdr:to>
    <xdr:sp macro="" textlink="">
      <xdr:nvSpPr>
        <xdr:cNvPr id="359477" name="Line 35">
          <a:extLst>
            <a:ext uri="{FF2B5EF4-FFF2-40B4-BE49-F238E27FC236}">
              <a16:creationId xmlns:a16="http://schemas.microsoft.com/office/drawing/2014/main" xmlns="" id="{00000000-0008-0000-7500-0000357C0500}"/>
            </a:ext>
          </a:extLst>
        </xdr:cNvPr>
        <xdr:cNvSpPr>
          <a:spLocks noChangeShapeType="1"/>
        </xdr:cNvSpPr>
      </xdr:nvSpPr>
      <xdr:spPr bwMode="auto">
        <a:xfrm>
          <a:off x="4480560" y="4884420"/>
          <a:ext cx="381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213360</xdr:colOff>
      <xdr:row>36</xdr:row>
      <xdr:rowOff>160020</xdr:rowOff>
    </xdr:from>
    <xdr:to>
      <xdr:col>6</xdr:col>
      <xdr:colOff>480060</xdr:colOff>
      <xdr:row>36</xdr:row>
      <xdr:rowOff>160020</xdr:rowOff>
    </xdr:to>
    <xdr:sp macro="" textlink="">
      <xdr:nvSpPr>
        <xdr:cNvPr id="359478" name="Line 39">
          <a:extLst>
            <a:ext uri="{FF2B5EF4-FFF2-40B4-BE49-F238E27FC236}">
              <a16:creationId xmlns:a16="http://schemas.microsoft.com/office/drawing/2014/main" xmlns="" id="{00000000-0008-0000-7500-0000367C0500}"/>
            </a:ext>
          </a:extLst>
        </xdr:cNvPr>
        <xdr:cNvSpPr>
          <a:spLocks noChangeShapeType="1"/>
        </xdr:cNvSpPr>
      </xdr:nvSpPr>
      <xdr:spPr bwMode="auto">
        <a:xfrm flipH="1">
          <a:off x="4556760" y="8100060"/>
          <a:ext cx="266700" cy="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205740</xdr:colOff>
      <xdr:row>36</xdr:row>
      <xdr:rowOff>167640</xdr:rowOff>
    </xdr:from>
    <xdr:to>
      <xdr:col>6</xdr:col>
      <xdr:colOff>213360</xdr:colOff>
      <xdr:row>40</xdr:row>
      <xdr:rowOff>68580</xdr:rowOff>
    </xdr:to>
    <xdr:sp macro="" textlink="">
      <xdr:nvSpPr>
        <xdr:cNvPr id="359479" name="Line 40">
          <a:extLst>
            <a:ext uri="{FF2B5EF4-FFF2-40B4-BE49-F238E27FC236}">
              <a16:creationId xmlns:a16="http://schemas.microsoft.com/office/drawing/2014/main" xmlns="" id="{00000000-0008-0000-7500-0000377C0500}"/>
            </a:ext>
          </a:extLst>
        </xdr:cNvPr>
        <xdr:cNvSpPr>
          <a:spLocks noChangeShapeType="1"/>
        </xdr:cNvSpPr>
      </xdr:nvSpPr>
      <xdr:spPr bwMode="auto">
        <a:xfrm flipH="1">
          <a:off x="4549140" y="8107680"/>
          <a:ext cx="7620" cy="102870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213360</xdr:colOff>
      <xdr:row>38</xdr:row>
      <xdr:rowOff>68580</xdr:rowOff>
    </xdr:from>
    <xdr:to>
      <xdr:col>6</xdr:col>
      <xdr:colOff>480060</xdr:colOff>
      <xdr:row>38</xdr:row>
      <xdr:rowOff>76200</xdr:rowOff>
    </xdr:to>
    <xdr:sp macro="" textlink="">
      <xdr:nvSpPr>
        <xdr:cNvPr id="359480" name="Line 41">
          <a:extLst>
            <a:ext uri="{FF2B5EF4-FFF2-40B4-BE49-F238E27FC236}">
              <a16:creationId xmlns:a16="http://schemas.microsoft.com/office/drawing/2014/main" xmlns="" id="{00000000-0008-0000-7500-0000387C0500}"/>
            </a:ext>
          </a:extLst>
        </xdr:cNvPr>
        <xdr:cNvSpPr>
          <a:spLocks noChangeShapeType="1"/>
        </xdr:cNvSpPr>
      </xdr:nvSpPr>
      <xdr:spPr bwMode="auto">
        <a:xfrm>
          <a:off x="4556760" y="8511540"/>
          <a:ext cx="266700" cy="762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342900</xdr:colOff>
      <xdr:row>32</xdr:row>
      <xdr:rowOff>335280</xdr:rowOff>
    </xdr:from>
    <xdr:to>
      <xdr:col>5</xdr:col>
      <xdr:colOff>350520</xdr:colOff>
      <xdr:row>40</xdr:row>
      <xdr:rowOff>213360</xdr:rowOff>
    </xdr:to>
    <xdr:sp macro="" textlink="">
      <xdr:nvSpPr>
        <xdr:cNvPr id="359481" name="Line 43">
          <a:extLst>
            <a:ext uri="{FF2B5EF4-FFF2-40B4-BE49-F238E27FC236}">
              <a16:creationId xmlns:a16="http://schemas.microsoft.com/office/drawing/2014/main" xmlns="" id="{00000000-0008-0000-7500-0000397C0500}"/>
            </a:ext>
          </a:extLst>
        </xdr:cNvPr>
        <xdr:cNvSpPr>
          <a:spLocks noChangeShapeType="1"/>
        </xdr:cNvSpPr>
      </xdr:nvSpPr>
      <xdr:spPr bwMode="auto">
        <a:xfrm>
          <a:off x="3764280" y="7269480"/>
          <a:ext cx="7620" cy="201168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350520</xdr:colOff>
      <xdr:row>40</xdr:row>
      <xdr:rowOff>220980</xdr:rowOff>
    </xdr:from>
    <xdr:to>
      <xdr:col>6</xdr:col>
      <xdr:colOff>525780</xdr:colOff>
      <xdr:row>40</xdr:row>
      <xdr:rowOff>220980</xdr:rowOff>
    </xdr:to>
    <xdr:sp macro="" textlink="">
      <xdr:nvSpPr>
        <xdr:cNvPr id="359482" name="Line 44">
          <a:extLst>
            <a:ext uri="{FF2B5EF4-FFF2-40B4-BE49-F238E27FC236}">
              <a16:creationId xmlns:a16="http://schemas.microsoft.com/office/drawing/2014/main" xmlns="" id="{00000000-0008-0000-7500-00003A7C0500}"/>
            </a:ext>
          </a:extLst>
        </xdr:cNvPr>
        <xdr:cNvSpPr>
          <a:spLocks noChangeShapeType="1"/>
        </xdr:cNvSpPr>
      </xdr:nvSpPr>
      <xdr:spPr bwMode="auto">
        <a:xfrm>
          <a:off x="3771900" y="9288780"/>
          <a:ext cx="1097280" cy="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373380</xdr:colOff>
      <xdr:row>47</xdr:row>
      <xdr:rowOff>297180</xdr:rowOff>
    </xdr:from>
    <xdr:to>
      <xdr:col>6</xdr:col>
      <xdr:colOff>571500</xdr:colOff>
      <xdr:row>47</xdr:row>
      <xdr:rowOff>297180</xdr:rowOff>
    </xdr:to>
    <xdr:sp macro="" textlink="">
      <xdr:nvSpPr>
        <xdr:cNvPr id="359483" name="Line 45">
          <a:extLst>
            <a:ext uri="{FF2B5EF4-FFF2-40B4-BE49-F238E27FC236}">
              <a16:creationId xmlns:a16="http://schemas.microsoft.com/office/drawing/2014/main" xmlns="" id="{00000000-0008-0000-7500-00003B7C0500}"/>
            </a:ext>
          </a:extLst>
        </xdr:cNvPr>
        <xdr:cNvSpPr>
          <a:spLocks noChangeShapeType="1"/>
        </xdr:cNvSpPr>
      </xdr:nvSpPr>
      <xdr:spPr bwMode="auto">
        <a:xfrm flipH="1">
          <a:off x="4716780" y="10584180"/>
          <a:ext cx="1981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358140</xdr:colOff>
      <xdr:row>47</xdr:row>
      <xdr:rowOff>304800</xdr:rowOff>
    </xdr:from>
    <xdr:to>
      <xdr:col>6</xdr:col>
      <xdr:colOff>358140</xdr:colOff>
      <xdr:row>49</xdr:row>
      <xdr:rowOff>99060</xdr:rowOff>
    </xdr:to>
    <xdr:sp macro="" textlink="">
      <xdr:nvSpPr>
        <xdr:cNvPr id="359484" name="Line 46">
          <a:extLst>
            <a:ext uri="{FF2B5EF4-FFF2-40B4-BE49-F238E27FC236}">
              <a16:creationId xmlns:a16="http://schemas.microsoft.com/office/drawing/2014/main" xmlns="" id="{00000000-0008-0000-7500-00003C7C0500}"/>
            </a:ext>
          </a:extLst>
        </xdr:cNvPr>
        <xdr:cNvSpPr>
          <a:spLocks noChangeShapeType="1"/>
        </xdr:cNvSpPr>
      </xdr:nvSpPr>
      <xdr:spPr bwMode="auto">
        <a:xfrm>
          <a:off x="4701540" y="10591800"/>
          <a:ext cx="0" cy="2971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350520</xdr:colOff>
      <xdr:row>49</xdr:row>
      <xdr:rowOff>99060</xdr:rowOff>
    </xdr:from>
    <xdr:to>
      <xdr:col>6</xdr:col>
      <xdr:colOff>548640</xdr:colOff>
      <xdr:row>49</xdr:row>
      <xdr:rowOff>99060</xdr:rowOff>
    </xdr:to>
    <xdr:sp macro="" textlink="">
      <xdr:nvSpPr>
        <xdr:cNvPr id="359485" name="Line 47">
          <a:extLst>
            <a:ext uri="{FF2B5EF4-FFF2-40B4-BE49-F238E27FC236}">
              <a16:creationId xmlns:a16="http://schemas.microsoft.com/office/drawing/2014/main" xmlns="" id="{00000000-0008-0000-7500-00003D7C0500}"/>
            </a:ext>
          </a:extLst>
        </xdr:cNvPr>
        <xdr:cNvSpPr>
          <a:spLocks noChangeShapeType="1"/>
        </xdr:cNvSpPr>
      </xdr:nvSpPr>
      <xdr:spPr bwMode="auto">
        <a:xfrm>
          <a:off x="4693920" y="10888980"/>
          <a:ext cx="1981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0</xdr:colOff>
      <xdr:row>45</xdr:row>
      <xdr:rowOff>68580</xdr:rowOff>
    </xdr:from>
    <xdr:to>
      <xdr:col>6</xdr:col>
      <xdr:colOff>487680</xdr:colOff>
      <xdr:row>45</xdr:row>
      <xdr:rowOff>76200</xdr:rowOff>
    </xdr:to>
    <xdr:sp macro="" textlink="">
      <xdr:nvSpPr>
        <xdr:cNvPr id="359486" name="Line 48">
          <a:extLst>
            <a:ext uri="{FF2B5EF4-FFF2-40B4-BE49-F238E27FC236}">
              <a16:creationId xmlns:a16="http://schemas.microsoft.com/office/drawing/2014/main" xmlns="" id="{00000000-0008-0000-7500-00003E7C0500}"/>
            </a:ext>
          </a:extLst>
        </xdr:cNvPr>
        <xdr:cNvSpPr>
          <a:spLocks noChangeShapeType="1"/>
        </xdr:cNvSpPr>
      </xdr:nvSpPr>
      <xdr:spPr bwMode="auto">
        <a:xfrm flipH="1">
          <a:off x="4343400" y="10111740"/>
          <a:ext cx="487680" cy="76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45</xdr:row>
      <xdr:rowOff>68580</xdr:rowOff>
    </xdr:from>
    <xdr:to>
      <xdr:col>6</xdr:col>
      <xdr:colOff>7620</xdr:colOff>
      <xdr:row>49</xdr:row>
      <xdr:rowOff>198120</xdr:rowOff>
    </xdr:to>
    <xdr:sp macro="" textlink="">
      <xdr:nvSpPr>
        <xdr:cNvPr id="359487" name="Line 49">
          <a:extLst>
            <a:ext uri="{FF2B5EF4-FFF2-40B4-BE49-F238E27FC236}">
              <a16:creationId xmlns:a16="http://schemas.microsoft.com/office/drawing/2014/main" xmlns="" id="{00000000-0008-0000-7500-00003F7C0500}"/>
            </a:ext>
          </a:extLst>
        </xdr:cNvPr>
        <xdr:cNvSpPr>
          <a:spLocks noChangeShapeType="1"/>
        </xdr:cNvSpPr>
      </xdr:nvSpPr>
      <xdr:spPr bwMode="auto">
        <a:xfrm>
          <a:off x="4343400" y="10111740"/>
          <a:ext cx="7620" cy="8763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49</xdr:row>
      <xdr:rowOff>198120</xdr:rowOff>
    </xdr:from>
    <xdr:to>
      <xdr:col>6</xdr:col>
      <xdr:colOff>556260</xdr:colOff>
      <xdr:row>49</xdr:row>
      <xdr:rowOff>198120</xdr:rowOff>
    </xdr:to>
    <xdr:sp macro="" textlink="">
      <xdr:nvSpPr>
        <xdr:cNvPr id="359488" name="Line 50">
          <a:extLst>
            <a:ext uri="{FF2B5EF4-FFF2-40B4-BE49-F238E27FC236}">
              <a16:creationId xmlns:a16="http://schemas.microsoft.com/office/drawing/2014/main" xmlns="" id="{00000000-0008-0000-7500-0000407C0500}"/>
            </a:ext>
          </a:extLst>
        </xdr:cNvPr>
        <xdr:cNvSpPr>
          <a:spLocks noChangeShapeType="1"/>
        </xdr:cNvSpPr>
      </xdr:nvSpPr>
      <xdr:spPr bwMode="auto">
        <a:xfrm flipV="1">
          <a:off x="4343400" y="10988040"/>
          <a:ext cx="5562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68580</xdr:colOff>
      <xdr:row>44</xdr:row>
      <xdr:rowOff>106680</xdr:rowOff>
    </xdr:from>
    <xdr:to>
      <xdr:col>6</xdr:col>
      <xdr:colOff>472440</xdr:colOff>
      <xdr:row>44</xdr:row>
      <xdr:rowOff>106680</xdr:rowOff>
    </xdr:to>
    <xdr:sp macro="" textlink="">
      <xdr:nvSpPr>
        <xdr:cNvPr id="359489" name="Line 52">
          <a:extLst>
            <a:ext uri="{FF2B5EF4-FFF2-40B4-BE49-F238E27FC236}">
              <a16:creationId xmlns:a16="http://schemas.microsoft.com/office/drawing/2014/main" xmlns="" id="{00000000-0008-0000-7500-0000417C0500}"/>
            </a:ext>
          </a:extLst>
        </xdr:cNvPr>
        <xdr:cNvSpPr>
          <a:spLocks noChangeShapeType="1"/>
        </xdr:cNvSpPr>
      </xdr:nvSpPr>
      <xdr:spPr bwMode="auto">
        <a:xfrm>
          <a:off x="2865120" y="9921240"/>
          <a:ext cx="19507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289560</xdr:colOff>
      <xdr:row>43</xdr:row>
      <xdr:rowOff>45720</xdr:rowOff>
    </xdr:from>
    <xdr:to>
      <xdr:col>6</xdr:col>
      <xdr:colOff>502920</xdr:colOff>
      <xdr:row>43</xdr:row>
      <xdr:rowOff>45720</xdr:rowOff>
    </xdr:to>
    <xdr:sp macro="" textlink="">
      <xdr:nvSpPr>
        <xdr:cNvPr id="359490" name="Line 53">
          <a:extLst>
            <a:ext uri="{FF2B5EF4-FFF2-40B4-BE49-F238E27FC236}">
              <a16:creationId xmlns:a16="http://schemas.microsoft.com/office/drawing/2014/main" xmlns="" id="{00000000-0008-0000-7500-0000427C0500}"/>
            </a:ext>
          </a:extLst>
        </xdr:cNvPr>
        <xdr:cNvSpPr>
          <a:spLocks noChangeShapeType="1"/>
        </xdr:cNvSpPr>
      </xdr:nvSpPr>
      <xdr:spPr bwMode="auto">
        <a:xfrm flipH="1">
          <a:off x="4632960" y="9738360"/>
          <a:ext cx="2133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289560</xdr:colOff>
      <xdr:row>41</xdr:row>
      <xdr:rowOff>0</xdr:rowOff>
    </xdr:from>
    <xdr:to>
      <xdr:col>6</xdr:col>
      <xdr:colOff>289560</xdr:colOff>
      <xdr:row>43</xdr:row>
      <xdr:rowOff>45720</xdr:rowOff>
    </xdr:to>
    <xdr:sp macro="" textlink="">
      <xdr:nvSpPr>
        <xdr:cNvPr id="359491" name="Line 54">
          <a:extLst>
            <a:ext uri="{FF2B5EF4-FFF2-40B4-BE49-F238E27FC236}">
              <a16:creationId xmlns:a16="http://schemas.microsoft.com/office/drawing/2014/main" xmlns="" id="{00000000-0008-0000-7500-0000437C0500}"/>
            </a:ext>
          </a:extLst>
        </xdr:cNvPr>
        <xdr:cNvSpPr>
          <a:spLocks noChangeShapeType="1"/>
        </xdr:cNvSpPr>
      </xdr:nvSpPr>
      <xdr:spPr bwMode="auto">
        <a:xfrm flipH="1" flipV="1">
          <a:off x="4632960" y="9448800"/>
          <a:ext cx="0" cy="2895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289560</xdr:colOff>
      <xdr:row>40</xdr:row>
      <xdr:rowOff>373380</xdr:rowOff>
    </xdr:from>
    <xdr:to>
      <xdr:col>6</xdr:col>
      <xdr:colOff>510540</xdr:colOff>
      <xdr:row>40</xdr:row>
      <xdr:rowOff>373380</xdr:rowOff>
    </xdr:to>
    <xdr:sp macro="" textlink="">
      <xdr:nvSpPr>
        <xdr:cNvPr id="359492" name="Line 55">
          <a:extLst>
            <a:ext uri="{FF2B5EF4-FFF2-40B4-BE49-F238E27FC236}">
              <a16:creationId xmlns:a16="http://schemas.microsoft.com/office/drawing/2014/main" xmlns="" id="{00000000-0008-0000-7500-0000447C0500}"/>
            </a:ext>
          </a:extLst>
        </xdr:cNvPr>
        <xdr:cNvSpPr>
          <a:spLocks noChangeShapeType="1"/>
        </xdr:cNvSpPr>
      </xdr:nvSpPr>
      <xdr:spPr bwMode="auto">
        <a:xfrm>
          <a:off x="4632960" y="9441180"/>
          <a:ext cx="2209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21</xdr:col>
      <xdr:colOff>617220</xdr:colOff>
      <xdr:row>46</xdr:row>
      <xdr:rowOff>0</xdr:rowOff>
    </xdr:from>
    <xdr:to>
      <xdr:col>22</xdr:col>
      <xdr:colOff>518160</xdr:colOff>
      <xdr:row>46</xdr:row>
      <xdr:rowOff>0</xdr:rowOff>
    </xdr:to>
    <xdr:cxnSp macro="">
      <xdr:nvCxnSpPr>
        <xdr:cNvPr id="359493" name="AutoShape 59">
          <a:extLst>
            <a:ext uri="{FF2B5EF4-FFF2-40B4-BE49-F238E27FC236}">
              <a16:creationId xmlns:a16="http://schemas.microsoft.com/office/drawing/2014/main" xmlns="" id="{00000000-0008-0000-7500-0000457C0500}"/>
            </a:ext>
          </a:extLst>
        </xdr:cNvPr>
        <xdr:cNvCxnSpPr>
          <a:cxnSpLocks noChangeShapeType="1"/>
        </xdr:cNvCxnSpPr>
      </xdr:nvCxnSpPr>
      <xdr:spPr bwMode="auto">
        <a:xfrm flipH="1">
          <a:off x="22120860" y="10165080"/>
          <a:ext cx="78486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76200</xdr:colOff>
      <xdr:row>71</xdr:row>
      <xdr:rowOff>152400</xdr:rowOff>
    </xdr:from>
    <xdr:to>
      <xdr:col>6</xdr:col>
      <xdr:colOff>548640</xdr:colOff>
      <xdr:row>71</xdr:row>
      <xdr:rowOff>152400</xdr:rowOff>
    </xdr:to>
    <xdr:sp macro="" textlink="">
      <xdr:nvSpPr>
        <xdr:cNvPr id="359494" name="Line 61">
          <a:extLst>
            <a:ext uri="{FF2B5EF4-FFF2-40B4-BE49-F238E27FC236}">
              <a16:creationId xmlns:a16="http://schemas.microsoft.com/office/drawing/2014/main" xmlns="" id="{00000000-0008-0000-7500-0000467C0500}"/>
            </a:ext>
          </a:extLst>
        </xdr:cNvPr>
        <xdr:cNvSpPr>
          <a:spLocks noChangeShapeType="1"/>
        </xdr:cNvSpPr>
      </xdr:nvSpPr>
      <xdr:spPr bwMode="auto">
        <a:xfrm>
          <a:off x="2872740" y="16146780"/>
          <a:ext cx="2019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30480</xdr:colOff>
      <xdr:row>57</xdr:row>
      <xdr:rowOff>167640</xdr:rowOff>
    </xdr:from>
    <xdr:to>
      <xdr:col>9</xdr:col>
      <xdr:colOff>556260</xdr:colOff>
      <xdr:row>57</xdr:row>
      <xdr:rowOff>167640</xdr:rowOff>
    </xdr:to>
    <xdr:cxnSp macro="">
      <xdr:nvCxnSpPr>
        <xdr:cNvPr id="359495" name="AutoShape 78">
          <a:extLst>
            <a:ext uri="{FF2B5EF4-FFF2-40B4-BE49-F238E27FC236}">
              <a16:creationId xmlns:a16="http://schemas.microsoft.com/office/drawing/2014/main" xmlns="" id="{00000000-0008-0000-7500-0000477C0500}"/>
            </a:ext>
          </a:extLst>
        </xdr:cNvPr>
        <xdr:cNvCxnSpPr>
          <a:cxnSpLocks noChangeShapeType="1"/>
        </xdr:cNvCxnSpPr>
      </xdr:nvCxnSpPr>
      <xdr:spPr bwMode="auto">
        <a:xfrm flipH="1">
          <a:off x="10668000" y="1288542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68580</xdr:colOff>
      <xdr:row>57</xdr:row>
      <xdr:rowOff>99060</xdr:rowOff>
    </xdr:from>
    <xdr:to>
      <xdr:col>6</xdr:col>
      <xdr:colOff>548640</xdr:colOff>
      <xdr:row>57</xdr:row>
      <xdr:rowOff>99060</xdr:rowOff>
    </xdr:to>
    <xdr:sp macro="" textlink="">
      <xdr:nvSpPr>
        <xdr:cNvPr id="359496" name="Line 79">
          <a:extLst>
            <a:ext uri="{FF2B5EF4-FFF2-40B4-BE49-F238E27FC236}">
              <a16:creationId xmlns:a16="http://schemas.microsoft.com/office/drawing/2014/main" xmlns="" id="{00000000-0008-0000-7500-0000487C0500}"/>
            </a:ext>
          </a:extLst>
        </xdr:cNvPr>
        <xdr:cNvSpPr>
          <a:spLocks noChangeShapeType="1"/>
        </xdr:cNvSpPr>
      </xdr:nvSpPr>
      <xdr:spPr bwMode="auto">
        <a:xfrm>
          <a:off x="2865120" y="12816840"/>
          <a:ext cx="20269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68580</xdr:colOff>
      <xdr:row>61</xdr:row>
      <xdr:rowOff>167640</xdr:rowOff>
    </xdr:from>
    <xdr:to>
      <xdr:col>6</xdr:col>
      <xdr:colOff>480060</xdr:colOff>
      <xdr:row>61</xdr:row>
      <xdr:rowOff>182880</xdr:rowOff>
    </xdr:to>
    <xdr:sp macro="" textlink="">
      <xdr:nvSpPr>
        <xdr:cNvPr id="359497" name="Line 80">
          <a:extLst>
            <a:ext uri="{FF2B5EF4-FFF2-40B4-BE49-F238E27FC236}">
              <a16:creationId xmlns:a16="http://schemas.microsoft.com/office/drawing/2014/main" xmlns="" id="{00000000-0008-0000-7500-0000497C0500}"/>
            </a:ext>
          </a:extLst>
        </xdr:cNvPr>
        <xdr:cNvSpPr>
          <a:spLocks noChangeShapeType="1"/>
        </xdr:cNvSpPr>
      </xdr:nvSpPr>
      <xdr:spPr bwMode="auto">
        <a:xfrm>
          <a:off x="2865120" y="13700760"/>
          <a:ext cx="1958340" cy="15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22860</xdr:colOff>
      <xdr:row>61</xdr:row>
      <xdr:rowOff>137160</xdr:rowOff>
    </xdr:from>
    <xdr:to>
      <xdr:col>9</xdr:col>
      <xdr:colOff>548640</xdr:colOff>
      <xdr:row>61</xdr:row>
      <xdr:rowOff>137160</xdr:rowOff>
    </xdr:to>
    <xdr:cxnSp macro="">
      <xdr:nvCxnSpPr>
        <xdr:cNvPr id="359498" name="AutoShape 81">
          <a:extLst>
            <a:ext uri="{FF2B5EF4-FFF2-40B4-BE49-F238E27FC236}">
              <a16:creationId xmlns:a16="http://schemas.microsoft.com/office/drawing/2014/main" xmlns="" id="{00000000-0008-0000-7500-00004A7C0500}"/>
            </a:ext>
          </a:extLst>
        </xdr:cNvPr>
        <xdr:cNvCxnSpPr>
          <a:cxnSpLocks noChangeShapeType="1"/>
        </xdr:cNvCxnSpPr>
      </xdr:nvCxnSpPr>
      <xdr:spPr bwMode="auto">
        <a:xfrm flipH="1">
          <a:off x="10660380" y="1367028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99060</xdr:colOff>
      <xdr:row>67</xdr:row>
      <xdr:rowOff>106680</xdr:rowOff>
    </xdr:from>
    <xdr:to>
      <xdr:col>6</xdr:col>
      <xdr:colOff>518160</xdr:colOff>
      <xdr:row>67</xdr:row>
      <xdr:rowOff>106680</xdr:rowOff>
    </xdr:to>
    <xdr:sp macro="" textlink="">
      <xdr:nvSpPr>
        <xdr:cNvPr id="359499" name="Line 82">
          <a:extLst>
            <a:ext uri="{FF2B5EF4-FFF2-40B4-BE49-F238E27FC236}">
              <a16:creationId xmlns:a16="http://schemas.microsoft.com/office/drawing/2014/main" xmlns="" id="{00000000-0008-0000-7500-00004B7C0500}"/>
            </a:ext>
          </a:extLst>
        </xdr:cNvPr>
        <xdr:cNvSpPr>
          <a:spLocks noChangeShapeType="1"/>
        </xdr:cNvSpPr>
      </xdr:nvSpPr>
      <xdr:spPr bwMode="auto">
        <a:xfrm>
          <a:off x="2895600" y="15026640"/>
          <a:ext cx="1965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30480</xdr:colOff>
      <xdr:row>67</xdr:row>
      <xdr:rowOff>99060</xdr:rowOff>
    </xdr:from>
    <xdr:to>
      <xdr:col>9</xdr:col>
      <xdr:colOff>556260</xdr:colOff>
      <xdr:row>67</xdr:row>
      <xdr:rowOff>99060</xdr:rowOff>
    </xdr:to>
    <xdr:cxnSp macro="">
      <xdr:nvCxnSpPr>
        <xdr:cNvPr id="359500" name="AutoShape 83">
          <a:extLst>
            <a:ext uri="{FF2B5EF4-FFF2-40B4-BE49-F238E27FC236}">
              <a16:creationId xmlns:a16="http://schemas.microsoft.com/office/drawing/2014/main" xmlns="" id="{00000000-0008-0000-7500-00004C7C0500}"/>
            </a:ext>
          </a:extLst>
        </xdr:cNvPr>
        <xdr:cNvCxnSpPr>
          <a:cxnSpLocks noChangeShapeType="1"/>
        </xdr:cNvCxnSpPr>
      </xdr:nvCxnSpPr>
      <xdr:spPr bwMode="auto">
        <a:xfrm flipH="1">
          <a:off x="10668000" y="1501902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76200</xdr:colOff>
      <xdr:row>84</xdr:row>
      <xdr:rowOff>182880</xdr:rowOff>
    </xdr:from>
    <xdr:to>
      <xdr:col>6</xdr:col>
      <xdr:colOff>495300</xdr:colOff>
      <xdr:row>84</xdr:row>
      <xdr:rowOff>182880</xdr:rowOff>
    </xdr:to>
    <xdr:sp macro="" textlink="">
      <xdr:nvSpPr>
        <xdr:cNvPr id="359501" name="Line 84">
          <a:extLst>
            <a:ext uri="{FF2B5EF4-FFF2-40B4-BE49-F238E27FC236}">
              <a16:creationId xmlns:a16="http://schemas.microsoft.com/office/drawing/2014/main" xmlns="" id="{00000000-0008-0000-7500-00004D7C0500}"/>
            </a:ext>
          </a:extLst>
        </xdr:cNvPr>
        <xdr:cNvSpPr>
          <a:spLocks noChangeShapeType="1"/>
        </xdr:cNvSpPr>
      </xdr:nvSpPr>
      <xdr:spPr bwMode="auto">
        <a:xfrm>
          <a:off x="2872740" y="19057620"/>
          <a:ext cx="1965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99060</xdr:colOff>
      <xdr:row>80</xdr:row>
      <xdr:rowOff>106680</xdr:rowOff>
    </xdr:from>
    <xdr:to>
      <xdr:col>6</xdr:col>
      <xdr:colOff>518160</xdr:colOff>
      <xdr:row>80</xdr:row>
      <xdr:rowOff>106680</xdr:rowOff>
    </xdr:to>
    <xdr:sp macro="" textlink="">
      <xdr:nvSpPr>
        <xdr:cNvPr id="359502" name="Line 85">
          <a:extLst>
            <a:ext uri="{FF2B5EF4-FFF2-40B4-BE49-F238E27FC236}">
              <a16:creationId xmlns:a16="http://schemas.microsoft.com/office/drawing/2014/main" xmlns="" id="{00000000-0008-0000-7500-00004E7C0500}"/>
            </a:ext>
          </a:extLst>
        </xdr:cNvPr>
        <xdr:cNvSpPr>
          <a:spLocks noChangeShapeType="1"/>
        </xdr:cNvSpPr>
      </xdr:nvSpPr>
      <xdr:spPr bwMode="auto">
        <a:xfrm>
          <a:off x="2895600" y="18356580"/>
          <a:ext cx="1965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38100</xdr:colOff>
      <xdr:row>69</xdr:row>
      <xdr:rowOff>106680</xdr:rowOff>
    </xdr:from>
    <xdr:to>
      <xdr:col>9</xdr:col>
      <xdr:colOff>563880</xdr:colOff>
      <xdr:row>69</xdr:row>
      <xdr:rowOff>106680</xdr:rowOff>
    </xdr:to>
    <xdr:cxnSp macro="">
      <xdr:nvCxnSpPr>
        <xdr:cNvPr id="359503" name="AutoShape 86">
          <a:extLst>
            <a:ext uri="{FF2B5EF4-FFF2-40B4-BE49-F238E27FC236}">
              <a16:creationId xmlns:a16="http://schemas.microsoft.com/office/drawing/2014/main" xmlns="" id="{00000000-0008-0000-7500-00004F7C0500}"/>
            </a:ext>
          </a:extLst>
        </xdr:cNvPr>
        <xdr:cNvCxnSpPr>
          <a:cxnSpLocks noChangeShapeType="1"/>
        </xdr:cNvCxnSpPr>
      </xdr:nvCxnSpPr>
      <xdr:spPr bwMode="auto">
        <a:xfrm flipH="1">
          <a:off x="10675620" y="1559814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30480</xdr:colOff>
      <xdr:row>84</xdr:row>
      <xdr:rowOff>106680</xdr:rowOff>
    </xdr:from>
    <xdr:to>
      <xdr:col>9</xdr:col>
      <xdr:colOff>556260</xdr:colOff>
      <xdr:row>84</xdr:row>
      <xdr:rowOff>106680</xdr:rowOff>
    </xdr:to>
    <xdr:cxnSp macro="">
      <xdr:nvCxnSpPr>
        <xdr:cNvPr id="359504" name="AutoShape 88">
          <a:extLst>
            <a:ext uri="{FF2B5EF4-FFF2-40B4-BE49-F238E27FC236}">
              <a16:creationId xmlns:a16="http://schemas.microsoft.com/office/drawing/2014/main" xmlns="" id="{00000000-0008-0000-7500-0000507C0500}"/>
            </a:ext>
          </a:extLst>
        </xdr:cNvPr>
        <xdr:cNvCxnSpPr>
          <a:cxnSpLocks noChangeShapeType="1"/>
        </xdr:cNvCxnSpPr>
      </xdr:nvCxnSpPr>
      <xdr:spPr bwMode="auto">
        <a:xfrm flipH="1">
          <a:off x="10668000" y="1898142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30480</xdr:colOff>
      <xdr:row>80</xdr:row>
      <xdr:rowOff>99060</xdr:rowOff>
    </xdr:from>
    <xdr:to>
      <xdr:col>9</xdr:col>
      <xdr:colOff>556260</xdr:colOff>
      <xdr:row>80</xdr:row>
      <xdr:rowOff>99060</xdr:rowOff>
    </xdr:to>
    <xdr:cxnSp macro="">
      <xdr:nvCxnSpPr>
        <xdr:cNvPr id="359505" name="AutoShape 89">
          <a:extLst>
            <a:ext uri="{FF2B5EF4-FFF2-40B4-BE49-F238E27FC236}">
              <a16:creationId xmlns:a16="http://schemas.microsoft.com/office/drawing/2014/main" xmlns="" id="{00000000-0008-0000-7500-0000517C0500}"/>
            </a:ext>
          </a:extLst>
        </xdr:cNvPr>
        <xdr:cNvCxnSpPr>
          <a:cxnSpLocks noChangeShapeType="1"/>
        </xdr:cNvCxnSpPr>
      </xdr:nvCxnSpPr>
      <xdr:spPr bwMode="auto">
        <a:xfrm flipH="1">
          <a:off x="10668000" y="1834896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38100</xdr:colOff>
      <xdr:row>82</xdr:row>
      <xdr:rowOff>99060</xdr:rowOff>
    </xdr:from>
    <xdr:to>
      <xdr:col>9</xdr:col>
      <xdr:colOff>563880</xdr:colOff>
      <xdr:row>82</xdr:row>
      <xdr:rowOff>99060</xdr:rowOff>
    </xdr:to>
    <xdr:cxnSp macro="">
      <xdr:nvCxnSpPr>
        <xdr:cNvPr id="359506" name="AutoShape 90">
          <a:extLst>
            <a:ext uri="{FF2B5EF4-FFF2-40B4-BE49-F238E27FC236}">
              <a16:creationId xmlns:a16="http://schemas.microsoft.com/office/drawing/2014/main" xmlns="" id="{00000000-0008-0000-7500-0000527C0500}"/>
            </a:ext>
          </a:extLst>
        </xdr:cNvPr>
        <xdr:cNvCxnSpPr>
          <a:cxnSpLocks noChangeShapeType="1"/>
        </xdr:cNvCxnSpPr>
      </xdr:nvCxnSpPr>
      <xdr:spPr bwMode="auto">
        <a:xfrm flipH="1">
          <a:off x="10675620" y="1866138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91440</xdr:colOff>
      <xdr:row>86</xdr:row>
      <xdr:rowOff>106680</xdr:rowOff>
    </xdr:from>
    <xdr:to>
      <xdr:col>6</xdr:col>
      <xdr:colOff>510540</xdr:colOff>
      <xdr:row>86</xdr:row>
      <xdr:rowOff>106680</xdr:rowOff>
    </xdr:to>
    <xdr:sp macro="" textlink="">
      <xdr:nvSpPr>
        <xdr:cNvPr id="359507" name="Line 92">
          <a:extLst>
            <a:ext uri="{FF2B5EF4-FFF2-40B4-BE49-F238E27FC236}">
              <a16:creationId xmlns:a16="http://schemas.microsoft.com/office/drawing/2014/main" xmlns="" id="{00000000-0008-0000-7500-0000537C0500}"/>
            </a:ext>
          </a:extLst>
        </xdr:cNvPr>
        <xdr:cNvSpPr>
          <a:spLocks noChangeShapeType="1"/>
        </xdr:cNvSpPr>
      </xdr:nvSpPr>
      <xdr:spPr bwMode="auto">
        <a:xfrm>
          <a:off x="2887980" y="19324320"/>
          <a:ext cx="1965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60960</xdr:colOff>
      <xdr:row>19</xdr:row>
      <xdr:rowOff>30480</xdr:rowOff>
    </xdr:from>
    <xdr:to>
      <xdr:col>4</xdr:col>
      <xdr:colOff>297180</xdr:colOff>
      <xdr:row>19</xdr:row>
      <xdr:rowOff>30480</xdr:rowOff>
    </xdr:to>
    <xdr:sp macro="" textlink="">
      <xdr:nvSpPr>
        <xdr:cNvPr id="359508" name="Line 97">
          <a:extLst>
            <a:ext uri="{FF2B5EF4-FFF2-40B4-BE49-F238E27FC236}">
              <a16:creationId xmlns:a16="http://schemas.microsoft.com/office/drawing/2014/main" xmlns="" id="{00000000-0008-0000-7500-0000547C0500}"/>
            </a:ext>
          </a:extLst>
        </xdr:cNvPr>
        <xdr:cNvSpPr>
          <a:spLocks noChangeShapeType="1"/>
        </xdr:cNvSpPr>
      </xdr:nvSpPr>
      <xdr:spPr bwMode="auto">
        <a:xfrm>
          <a:off x="2857500" y="3985260"/>
          <a:ext cx="2362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304800</xdr:colOff>
      <xdr:row>19</xdr:row>
      <xdr:rowOff>38100</xdr:rowOff>
    </xdr:from>
    <xdr:to>
      <xdr:col>4</xdr:col>
      <xdr:colOff>304800</xdr:colOff>
      <xdr:row>20</xdr:row>
      <xdr:rowOff>152400</xdr:rowOff>
    </xdr:to>
    <xdr:sp macro="" textlink="">
      <xdr:nvSpPr>
        <xdr:cNvPr id="359509" name="Line 98">
          <a:extLst>
            <a:ext uri="{FF2B5EF4-FFF2-40B4-BE49-F238E27FC236}">
              <a16:creationId xmlns:a16="http://schemas.microsoft.com/office/drawing/2014/main" xmlns="" id="{00000000-0008-0000-7500-0000557C0500}"/>
            </a:ext>
          </a:extLst>
        </xdr:cNvPr>
        <xdr:cNvSpPr>
          <a:spLocks noChangeShapeType="1"/>
        </xdr:cNvSpPr>
      </xdr:nvSpPr>
      <xdr:spPr bwMode="auto">
        <a:xfrm>
          <a:off x="3101340" y="3992880"/>
          <a:ext cx="0" cy="3657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304800</xdr:colOff>
      <xdr:row>20</xdr:row>
      <xdr:rowOff>152400</xdr:rowOff>
    </xdr:from>
    <xdr:to>
      <xdr:col>4</xdr:col>
      <xdr:colOff>579120</xdr:colOff>
      <xdr:row>20</xdr:row>
      <xdr:rowOff>152400</xdr:rowOff>
    </xdr:to>
    <xdr:sp macro="" textlink="">
      <xdr:nvSpPr>
        <xdr:cNvPr id="359510" name="Line 99">
          <a:extLst>
            <a:ext uri="{FF2B5EF4-FFF2-40B4-BE49-F238E27FC236}">
              <a16:creationId xmlns:a16="http://schemas.microsoft.com/office/drawing/2014/main" xmlns="" id="{00000000-0008-0000-7500-0000567C0500}"/>
            </a:ext>
          </a:extLst>
        </xdr:cNvPr>
        <xdr:cNvSpPr>
          <a:spLocks noChangeShapeType="1"/>
        </xdr:cNvSpPr>
      </xdr:nvSpPr>
      <xdr:spPr bwMode="auto">
        <a:xfrm>
          <a:off x="3101340" y="4358640"/>
          <a:ext cx="2743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45720</xdr:colOff>
      <xdr:row>22</xdr:row>
      <xdr:rowOff>266700</xdr:rowOff>
    </xdr:from>
    <xdr:to>
      <xdr:col>4</xdr:col>
      <xdr:colOff>297180</xdr:colOff>
      <xdr:row>22</xdr:row>
      <xdr:rowOff>266700</xdr:rowOff>
    </xdr:to>
    <xdr:sp macro="" textlink="">
      <xdr:nvSpPr>
        <xdr:cNvPr id="359511" name="Line 100">
          <a:extLst>
            <a:ext uri="{FF2B5EF4-FFF2-40B4-BE49-F238E27FC236}">
              <a16:creationId xmlns:a16="http://schemas.microsoft.com/office/drawing/2014/main" xmlns="" id="{00000000-0008-0000-7500-0000577C0500}"/>
            </a:ext>
          </a:extLst>
        </xdr:cNvPr>
        <xdr:cNvSpPr>
          <a:spLocks noChangeShapeType="1"/>
        </xdr:cNvSpPr>
      </xdr:nvSpPr>
      <xdr:spPr bwMode="auto">
        <a:xfrm>
          <a:off x="2842260" y="5166360"/>
          <a:ext cx="2514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304800</xdr:colOff>
      <xdr:row>20</xdr:row>
      <xdr:rowOff>289560</xdr:rowOff>
    </xdr:from>
    <xdr:to>
      <xdr:col>4</xdr:col>
      <xdr:colOff>304800</xdr:colOff>
      <xdr:row>22</xdr:row>
      <xdr:rowOff>259080</xdr:rowOff>
    </xdr:to>
    <xdr:sp macro="" textlink="">
      <xdr:nvSpPr>
        <xdr:cNvPr id="359512" name="Line 101">
          <a:extLst>
            <a:ext uri="{FF2B5EF4-FFF2-40B4-BE49-F238E27FC236}">
              <a16:creationId xmlns:a16="http://schemas.microsoft.com/office/drawing/2014/main" xmlns="" id="{00000000-0008-0000-7500-0000587C0500}"/>
            </a:ext>
          </a:extLst>
        </xdr:cNvPr>
        <xdr:cNvSpPr>
          <a:spLocks noChangeShapeType="1"/>
        </xdr:cNvSpPr>
      </xdr:nvSpPr>
      <xdr:spPr bwMode="auto">
        <a:xfrm flipV="1">
          <a:off x="3101340" y="4495800"/>
          <a:ext cx="0" cy="6629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304800</xdr:colOff>
      <xdr:row>20</xdr:row>
      <xdr:rowOff>289560</xdr:rowOff>
    </xdr:from>
    <xdr:to>
      <xdr:col>4</xdr:col>
      <xdr:colOff>556260</xdr:colOff>
      <xdr:row>20</xdr:row>
      <xdr:rowOff>289560</xdr:rowOff>
    </xdr:to>
    <xdr:sp macro="" textlink="">
      <xdr:nvSpPr>
        <xdr:cNvPr id="359513" name="Line 102">
          <a:extLst>
            <a:ext uri="{FF2B5EF4-FFF2-40B4-BE49-F238E27FC236}">
              <a16:creationId xmlns:a16="http://schemas.microsoft.com/office/drawing/2014/main" xmlns="" id="{00000000-0008-0000-7500-0000597C0500}"/>
            </a:ext>
          </a:extLst>
        </xdr:cNvPr>
        <xdr:cNvSpPr>
          <a:spLocks noChangeShapeType="1"/>
        </xdr:cNvSpPr>
      </xdr:nvSpPr>
      <xdr:spPr bwMode="auto">
        <a:xfrm>
          <a:off x="3101340" y="4495800"/>
          <a:ext cx="2514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434340</xdr:colOff>
      <xdr:row>21</xdr:row>
      <xdr:rowOff>22860</xdr:rowOff>
    </xdr:from>
    <xdr:to>
      <xdr:col>5</xdr:col>
      <xdr:colOff>434340</xdr:colOff>
      <xdr:row>21</xdr:row>
      <xdr:rowOff>106680</xdr:rowOff>
    </xdr:to>
    <xdr:sp macro="" textlink="">
      <xdr:nvSpPr>
        <xdr:cNvPr id="359514" name="Line 103">
          <a:extLst>
            <a:ext uri="{FF2B5EF4-FFF2-40B4-BE49-F238E27FC236}">
              <a16:creationId xmlns:a16="http://schemas.microsoft.com/office/drawing/2014/main" xmlns="" id="{00000000-0008-0000-7500-00005A7C0500}"/>
            </a:ext>
          </a:extLst>
        </xdr:cNvPr>
        <xdr:cNvSpPr>
          <a:spLocks noChangeShapeType="1"/>
        </xdr:cNvSpPr>
      </xdr:nvSpPr>
      <xdr:spPr bwMode="auto">
        <a:xfrm>
          <a:off x="3855720" y="4800600"/>
          <a:ext cx="0" cy="838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28</xdr:row>
      <xdr:rowOff>83820</xdr:rowOff>
    </xdr:from>
    <xdr:to>
      <xdr:col>4</xdr:col>
      <xdr:colOff>312420</xdr:colOff>
      <xdr:row>28</xdr:row>
      <xdr:rowOff>83820</xdr:rowOff>
    </xdr:to>
    <xdr:sp macro="" textlink="">
      <xdr:nvSpPr>
        <xdr:cNvPr id="359515" name="Line 104">
          <a:extLst>
            <a:ext uri="{FF2B5EF4-FFF2-40B4-BE49-F238E27FC236}">
              <a16:creationId xmlns:a16="http://schemas.microsoft.com/office/drawing/2014/main" xmlns="" id="{00000000-0008-0000-7500-00005B7C0500}"/>
            </a:ext>
          </a:extLst>
        </xdr:cNvPr>
        <xdr:cNvSpPr>
          <a:spLocks noChangeShapeType="1"/>
        </xdr:cNvSpPr>
      </xdr:nvSpPr>
      <xdr:spPr bwMode="auto">
        <a:xfrm>
          <a:off x="2872740" y="6271260"/>
          <a:ext cx="2362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312420</xdr:colOff>
      <xdr:row>26</xdr:row>
      <xdr:rowOff>373380</xdr:rowOff>
    </xdr:from>
    <xdr:to>
      <xdr:col>4</xdr:col>
      <xdr:colOff>312420</xdr:colOff>
      <xdr:row>28</xdr:row>
      <xdr:rowOff>76200</xdr:rowOff>
    </xdr:to>
    <xdr:sp macro="" textlink="">
      <xdr:nvSpPr>
        <xdr:cNvPr id="359516" name="Line 105">
          <a:extLst>
            <a:ext uri="{FF2B5EF4-FFF2-40B4-BE49-F238E27FC236}">
              <a16:creationId xmlns:a16="http://schemas.microsoft.com/office/drawing/2014/main" xmlns="" id="{00000000-0008-0000-7500-00005C7C0500}"/>
            </a:ext>
          </a:extLst>
        </xdr:cNvPr>
        <xdr:cNvSpPr>
          <a:spLocks noChangeShapeType="1"/>
        </xdr:cNvSpPr>
      </xdr:nvSpPr>
      <xdr:spPr bwMode="auto">
        <a:xfrm flipH="1" flipV="1">
          <a:off x="3108960" y="6057900"/>
          <a:ext cx="0" cy="2057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312420</xdr:colOff>
      <xdr:row>27</xdr:row>
      <xdr:rowOff>0</xdr:rowOff>
    </xdr:from>
    <xdr:to>
      <xdr:col>6</xdr:col>
      <xdr:colOff>518160</xdr:colOff>
      <xdr:row>27</xdr:row>
      <xdr:rowOff>0</xdr:rowOff>
    </xdr:to>
    <xdr:sp macro="" textlink="">
      <xdr:nvSpPr>
        <xdr:cNvPr id="359517" name="Line 106">
          <a:extLst>
            <a:ext uri="{FF2B5EF4-FFF2-40B4-BE49-F238E27FC236}">
              <a16:creationId xmlns:a16="http://schemas.microsoft.com/office/drawing/2014/main" xmlns="" id="{00000000-0008-0000-7500-00005D7C0500}"/>
            </a:ext>
          </a:extLst>
        </xdr:cNvPr>
        <xdr:cNvSpPr>
          <a:spLocks noChangeShapeType="1"/>
        </xdr:cNvSpPr>
      </xdr:nvSpPr>
      <xdr:spPr bwMode="auto">
        <a:xfrm>
          <a:off x="3108960" y="6065520"/>
          <a:ext cx="1752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68580</xdr:colOff>
      <xdr:row>36</xdr:row>
      <xdr:rowOff>53340</xdr:rowOff>
    </xdr:from>
    <xdr:to>
      <xdr:col>6</xdr:col>
      <xdr:colOff>533400</xdr:colOff>
      <xdr:row>36</xdr:row>
      <xdr:rowOff>53340</xdr:rowOff>
    </xdr:to>
    <xdr:sp macro="" textlink="">
      <xdr:nvSpPr>
        <xdr:cNvPr id="359518" name="Line 107">
          <a:extLst>
            <a:ext uri="{FF2B5EF4-FFF2-40B4-BE49-F238E27FC236}">
              <a16:creationId xmlns:a16="http://schemas.microsoft.com/office/drawing/2014/main" xmlns="" id="{00000000-0008-0000-7500-00005E7C0500}"/>
            </a:ext>
          </a:extLst>
        </xdr:cNvPr>
        <xdr:cNvSpPr>
          <a:spLocks noChangeShapeType="1"/>
        </xdr:cNvSpPr>
      </xdr:nvSpPr>
      <xdr:spPr bwMode="auto">
        <a:xfrm>
          <a:off x="2865120" y="7993380"/>
          <a:ext cx="20116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45720</xdr:colOff>
      <xdr:row>47</xdr:row>
      <xdr:rowOff>106680</xdr:rowOff>
    </xdr:from>
    <xdr:to>
      <xdr:col>6</xdr:col>
      <xdr:colOff>518160</xdr:colOff>
      <xdr:row>47</xdr:row>
      <xdr:rowOff>106680</xdr:rowOff>
    </xdr:to>
    <xdr:sp macro="" textlink="">
      <xdr:nvSpPr>
        <xdr:cNvPr id="359519" name="Line 108">
          <a:extLst>
            <a:ext uri="{FF2B5EF4-FFF2-40B4-BE49-F238E27FC236}">
              <a16:creationId xmlns:a16="http://schemas.microsoft.com/office/drawing/2014/main" xmlns="" id="{00000000-0008-0000-7500-00005F7C0500}"/>
            </a:ext>
          </a:extLst>
        </xdr:cNvPr>
        <xdr:cNvSpPr>
          <a:spLocks noChangeShapeType="1"/>
        </xdr:cNvSpPr>
      </xdr:nvSpPr>
      <xdr:spPr bwMode="auto">
        <a:xfrm>
          <a:off x="2842260" y="10393680"/>
          <a:ext cx="20193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82</xdr:row>
      <xdr:rowOff>99060</xdr:rowOff>
    </xdr:from>
    <xdr:to>
      <xdr:col>6</xdr:col>
      <xdr:colOff>495300</xdr:colOff>
      <xdr:row>82</xdr:row>
      <xdr:rowOff>99060</xdr:rowOff>
    </xdr:to>
    <xdr:sp macro="" textlink="">
      <xdr:nvSpPr>
        <xdr:cNvPr id="359520" name="Line 110">
          <a:extLst>
            <a:ext uri="{FF2B5EF4-FFF2-40B4-BE49-F238E27FC236}">
              <a16:creationId xmlns:a16="http://schemas.microsoft.com/office/drawing/2014/main" xmlns="" id="{00000000-0008-0000-7500-0000607C0500}"/>
            </a:ext>
          </a:extLst>
        </xdr:cNvPr>
        <xdr:cNvSpPr>
          <a:spLocks noChangeShapeType="1"/>
        </xdr:cNvSpPr>
      </xdr:nvSpPr>
      <xdr:spPr bwMode="auto">
        <a:xfrm>
          <a:off x="2872740" y="18661380"/>
          <a:ext cx="1965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2</xdr:col>
      <xdr:colOff>320040</xdr:colOff>
      <xdr:row>1</xdr:row>
      <xdr:rowOff>0</xdr:rowOff>
    </xdr:to>
    <xdr:pic>
      <xdr:nvPicPr>
        <xdr:cNvPr id="359521" name="Picture 111" descr="DfT_3298_SML_AW">
          <a:extLst>
            <a:ext uri="{FF2B5EF4-FFF2-40B4-BE49-F238E27FC236}">
              <a16:creationId xmlns:a16="http://schemas.microsoft.com/office/drawing/2014/main" xmlns="" id="{00000000-0008-0000-7500-0000617C05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942"/>
        <a:stretch>
          <a:fillRect/>
        </a:stretch>
      </xdr:blipFill>
      <xdr:spPr bwMode="auto">
        <a:xfrm>
          <a:off x="0" y="0"/>
          <a:ext cx="1196340" cy="6934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99060</xdr:colOff>
      <xdr:row>77</xdr:row>
      <xdr:rowOff>213360</xdr:rowOff>
    </xdr:from>
    <xdr:to>
      <xdr:col>6</xdr:col>
      <xdr:colOff>449580</xdr:colOff>
      <xdr:row>77</xdr:row>
      <xdr:rowOff>213360</xdr:rowOff>
    </xdr:to>
    <xdr:sp macro="" textlink="">
      <xdr:nvSpPr>
        <xdr:cNvPr id="359522" name="Line 112">
          <a:extLst>
            <a:ext uri="{FF2B5EF4-FFF2-40B4-BE49-F238E27FC236}">
              <a16:creationId xmlns:a16="http://schemas.microsoft.com/office/drawing/2014/main" xmlns="" id="{00000000-0008-0000-7500-0000627C0500}"/>
            </a:ext>
          </a:extLst>
        </xdr:cNvPr>
        <xdr:cNvSpPr>
          <a:spLocks noChangeShapeType="1"/>
        </xdr:cNvSpPr>
      </xdr:nvSpPr>
      <xdr:spPr bwMode="auto">
        <a:xfrm>
          <a:off x="2895600" y="17838420"/>
          <a:ext cx="18973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0</xdr:colOff>
      <xdr:row>77</xdr:row>
      <xdr:rowOff>190500</xdr:rowOff>
    </xdr:from>
    <xdr:to>
      <xdr:col>9</xdr:col>
      <xdr:colOff>525780</xdr:colOff>
      <xdr:row>77</xdr:row>
      <xdr:rowOff>190500</xdr:rowOff>
    </xdr:to>
    <xdr:cxnSp macro="">
      <xdr:nvCxnSpPr>
        <xdr:cNvPr id="359523" name="AutoShape 113">
          <a:extLst>
            <a:ext uri="{FF2B5EF4-FFF2-40B4-BE49-F238E27FC236}">
              <a16:creationId xmlns:a16="http://schemas.microsoft.com/office/drawing/2014/main" xmlns="" id="{00000000-0008-0000-7500-0000637C0500}"/>
            </a:ext>
          </a:extLst>
        </xdr:cNvPr>
        <xdr:cNvCxnSpPr>
          <a:cxnSpLocks noChangeShapeType="1"/>
        </xdr:cNvCxnSpPr>
      </xdr:nvCxnSpPr>
      <xdr:spPr bwMode="auto">
        <a:xfrm flipH="1">
          <a:off x="10637520" y="1781556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38100</xdr:colOff>
      <xdr:row>47</xdr:row>
      <xdr:rowOff>190500</xdr:rowOff>
    </xdr:from>
    <xdr:to>
      <xdr:col>9</xdr:col>
      <xdr:colOff>563880</xdr:colOff>
      <xdr:row>47</xdr:row>
      <xdr:rowOff>190500</xdr:rowOff>
    </xdr:to>
    <xdr:cxnSp macro="">
      <xdr:nvCxnSpPr>
        <xdr:cNvPr id="359524" name="AutoShape 115">
          <a:extLst>
            <a:ext uri="{FF2B5EF4-FFF2-40B4-BE49-F238E27FC236}">
              <a16:creationId xmlns:a16="http://schemas.microsoft.com/office/drawing/2014/main" xmlns="" id="{00000000-0008-0000-7500-0000647C0500}"/>
            </a:ext>
          </a:extLst>
        </xdr:cNvPr>
        <xdr:cNvCxnSpPr>
          <a:cxnSpLocks noChangeShapeType="1"/>
        </xdr:cNvCxnSpPr>
      </xdr:nvCxnSpPr>
      <xdr:spPr bwMode="auto">
        <a:xfrm flipH="1">
          <a:off x="10675620" y="1047750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30480</xdr:colOff>
      <xdr:row>36</xdr:row>
      <xdr:rowOff>114300</xdr:rowOff>
    </xdr:from>
    <xdr:to>
      <xdr:col>9</xdr:col>
      <xdr:colOff>556260</xdr:colOff>
      <xdr:row>36</xdr:row>
      <xdr:rowOff>114300</xdr:rowOff>
    </xdr:to>
    <xdr:cxnSp macro="">
      <xdr:nvCxnSpPr>
        <xdr:cNvPr id="359525" name="AutoShape 116">
          <a:extLst>
            <a:ext uri="{FF2B5EF4-FFF2-40B4-BE49-F238E27FC236}">
              <a16:creationId xmlns:a16="http://schemas.microsoft.com/office/drawing/2014/main" xmlns="" id="{00000000-0008-0000-7500-0000657C0500}"/>
            </a:ext>
          </a:extLst>
        </xdr:cNvPr>
        <xdr:cNvCxnSpPr>
          <a:cxnSpLocks noChangeShapeType="1"/>
        </xdr:cNvCxnSpPr>
      </xdr:nvCxnSpPr>
      <xdr:spPr bwMode="auto">
        <a:xfrm flipH="1">
          <a:off x="10668000" y="805434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106680</xdr:colOff>
      <xdr:row>69</xdr:row>
      <xdr:rowOff>83820</xdr:rowOff>
    </xdr:from>
    <xdr:to>
      <xdr:col>6</xdr:col>
      <xdr:colOff>533400</xdr:colOff>
      <xdr:row>69</xdr:row>
      <xdr:rowOff>83820</xdr:rowOff>
    </xdr:to>
    <xdr:cxnSp macro="">
      <xdr:nvCxnSpPr>
        <xdr:cNvPr id="359526" name="AutoShape 117">
          <a:extLst>
            <a:ext uri="{FF2B5EF4-FFF2-40B4-BE49-F238E27FC236}">
              <a16:creationId xmlns:a16="http://schemas.microsoft.com/office/drawing/2014/main" xmlns="" id="{00000000-0008-0000-7500-0000667C0500}"/>
            </a:ext>
          </a:extLst>
        </xdr:cNvPr>
        <xdr:cNvCxnSpPr>
          <a:cxnSpLocks noChangeShapeType="1"/>
        </xdr:cNvCxnSpPr>
      </xdr:nvCxnSpPr>
      <xdr:spPr bwMode="auto">
        <a:xfrm>
          <a:off x="2903220" y="15575280"/>
          <a:ext cx="19735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7620</xdr:colOff>
      <xdr:row>75</xdr:row>
      <xdr:rowOff>198120</xdr:rowOff>
    </xdr:from>
    <xdr:to>
      <xdr:col>9</xdr:col>
      <xdr:colOff>533400</xdr:colOff>
      <xdr:row>75</xdr:row>
      <xdr:rowOff>198120</xdr:rowOff>
    </xdr:to>
    <xdr:cxnSp macro="">
      <xdr:nvCxnSpPr>
        <xdr:cNvPr id="359527" name="AutoShape 121">
          <a:extLst>
            <a:ext uri="{FF2B5EF4-FFF2-40B4-BE49-F238E27FC236}">
              <a16:creationId xmlns:a16="http://schemas.microsoft.com/office/drawing/2014/main" xmlns="" id="{00000000-0008-0000-7500-0000677C0500}"/>
            </a:ext>
          </a:extLst>
        </xdr:cNvPr>
        <xdr:cNvCxnSpPr>
          <a:cxnSpLocks noChangeShapeType="1"/>
        </xdr:cNvCxnSpPr>
      </xdr:nvCxnSpPr>
      <xdr:spPr bwMode="auto">
        <a:xfrm flipH="1">
          <a:off x="10645140" y="1732026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68580</xdr:colOff>
      <xdr:row>71</xdr:row>
      <xdr:rowOff>228600</xdr:rowOff>
    </xdr:from>
    <xdr:to>
      <xdr:col>6</xdr:col>
      <xdr:colOff>533400</xdr:colOff>
      <xdr:row>73</xdr:row>
      <xdr:rowOff>76200</xdr:rowOff>
    </xdr:to>
    <xdr:cxnSp macro="">
      <xdr:nvCxnSpPr>
        <xdr:cNvPr id="359528" name="AutoShape 122">
          <a:extLst>
            <a:ext uri="{FF2B5EF4-FFF2-40B4-BE49-F238E27FC236}">
              <a16:creationId xmlns:a16="http://schemas.microsoft.com/office/drawing/2014/main" xmlns="" id="{00000000-0008-0000-7500-0000687C0500}"/>
            </a:ext>
          </a:extLst>
        </xdr:cNvPr>
        <xdr:cNvCxnSpPr>
          <a:cxnSpLocks noChangeShapeType="1"/>
        </xdr:cNvCxnSpPr>
      </xdr:nvCxnSpPr>
      <xdr:spPr bwMode="auto">
        <a:xfrm>
          <a:off x="2865120" y="16222980"/>
          <a:ext cx="2011680" cy="350520"/>
        </a:xfrm>
        <a:prstGeom prst="bentConnector3">
          <a:avLst>
            <a:gd name="adj1" fmla="val 50000"/>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99060</xdr:colOff>
      <xdr:row>73</xdr:row>
      <xdr:rowOff>182880</xdr:rowOff>
    </xdr:from>
    <xdr:to>
      <xdr:col>6</xdr:col>
      <xdr:colOff>525780</xdr:colOff>
      <xdr:row>73</xdr:row>
      <xdr:rowOff>182880</xdr:rowOff>
    </xdr:to>
    <xdr:cxnSp macro="">
      <xdr:nvCxnSpPr>
        <xdr:cNvPr id="359529" name="AutoShape 123">
          <a:extLst>
            <a:ext uri="{FF2B5EF4-FFF2-40B4-BE49-F238E27FC236}">
              <a16:creationId xmlns:a16="http://schemas.microsoft.com/office/drawing/2014/main" xmlns="" id="{00000000-0008-0000-7500-0000697C0500}"/>
            </a:ext>
          </a:extLst>
        </xdr:cNvPr>
        <xdr:cNvCxnSpPr>
          <a:cxnSpLocks noChangeShapeType="1"/>
        </xdr:cNvCxnSpPr>
      </xdr:nvCxnSpPr>
      <xdr:spPr bwMode="auto">
        <a:xfrm>
          <a:off x="2895600" y="16680180"/>
          <a:ext cx="19735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45720</xdr:colOff>
      <xdr:row>73</xdr:row>
      <xdr:rowOff>350520</xdr:rowOff>
    </xdr:from>
    <xdr:to>
      <xdr:col>6</xdr:col>
      <xdr:colOff>525780</xdr:colOff>
      <xdr:row>75</xdr:row>
      <xdr:rowOff>38100</xdr:rowOff>
    </xdr:to>
    <xdr:cxnSp macro="">
      <xdr:nvCxnSpPr>
        <xdr:cNvPr id="359530" name="AutoShape 124">
          <a:extLst>
            <a:ext uri="{FF2B5EF4-FFF2-40B4-BE49-F238E27FC236}">
              <a16:creationId xmlns:a16="http://schemas.microsoft.com/office/drawing/2014/main" xmlns="" id="{00000000-0008-0000-7500-00006A7C0500}"/>
            </a:ext>
          </a:extLst>
        </xdr:cNvPr>
        <xdr:cNvCxnSpPr>
          <a:cxnSpLocks noChangeShapeType="1"/>
        </xdr:cNvCxnSpPr>
      </xdr:nvCxnSpPr>
      <xdr:spPr bwMode="auto">
        <a:xfrm flipV="1">
          <a:off x="2842260" y="16847820"/>
          <a:ext cx="2026920" cy="312420"/>
        </a:xfrm>
        <a:prstGeom prst="bentConnector3">
          <a:avLst>
            <a:gd name="adj1" fmla="val 49759"/>
          </a:avLst>
        </a:prstGeom>
        <a:noFill/>
        <a:ln w="9525">
          <a:solidFill>
            <a:srgbClr xmlns:mc="http://schemas.openxmlformats.org/markup-compatibility/2006" xmlns:a14="http://schemas.microsoft.com/office/drawing/2010/main" val="008000" mc:Ignorable="a14" a14:legacySpreadsheetColorIndex="17"/>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99060</xdr:colOff>
      <xdr:row>75</xdr:row>
      <xdr:rowOff>350520</xdr:rowOff>
    </xdr:from>
    <xdr:to>
      <xdr:col>6</xdr:col>
      <xdr:colOff>449580</xdr:colOff>
      <xdr:row>75</xdr:row>
      <xdr:rowOff>350520</xdr:rowOff>
    </xdr:to>
    <xdr:sp macro="" textlink="">
      <xdr:nvSpPr>
        <xdr:cNvPr id="359531" name="Line 127">
          <a:extLst>
            <a:ext uri="{FF2B5EF4-FFF2-40B4-BE49-F238E27FC236}">
              <a16:creationId xmlns:a16="http://schemas.microsoft.com/office/drawing/2014/main" xmlns="" id="{00000000-0008-0000-7500-00006B7C0500}"/>
            </a:ext>
          </a:extLst>
        </xdr:cNvPr>
        <xdr:cNvSpPr>
          <a:spLocks noChangeShapeType="1"/>
        </xdr:cNvSpPr>
      </xdr:nvSpPr>
      <xdr:spPr bwMode="auto">
        <a:xfrm>
          <a:off x="2895600" y="17472660"/>
          <a:ext cx="18973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91440</xdr:colOff>
      <xdr:row>73</xdr:row>
      <xdr:rowOff>281940</xdr:rowOff>
    </xdr:from>
    <xdr:to>
      <xdr:col>6</xdr:col>
      <xdr:colOff>441960</xdr:colOff>
      <xdr:row>75</xdr:row>
      <xdr:rowOff>266700</xdr:rowOff>
    </xdr:to>
    <xdr:cxnSp macro="">
      <xdr:nvCxnSpPr>
        <xdr:cNvPr id="359532" name="AutoShape 131">
          <a:extLst>
            <a:ext uri="{FF2B5EF4-FFF2-40B4-BE49-F238E27FC236}">
              <a16:creationId xmlns:a16="http://schemas.microsoft.com/office/drawing/2014/main" xmlns="" id="{00000000-0008-0000-7500-00006C7C0500}"/>
            </a:ext>
          </a:extLst>
        </xdr:cNvPr>
        <xdr:cNvCxnSpPr>
          <a:cxnSpLocks noChangeShapeType="1"/>
        </xdr:cNvCxnSpPr>
      </xdr:nvCxnSpPr>
      <xdr:spPr bwMode="auto">
        <a:xfrm>
          <a:off x="2887980" y="16779240"/>
          <a:ext cx="1897380" cy="609600"/>
        </a:xfrm>
        <a:prstGeom prst="bentConnector3">
          <a:avLst>
            <a:gd name="adj1" fmla="val 13403"/>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106680</xdr:colOff>
      <xdr:row>65</xdr:row>
      <xdr:rowOff>83820</xdr:rowOff>
    </xdr:from>
    <xdr:to>
      <xdr:col>6</xdr:col>
      <xdr:colOff>510540</xdr:colOff>
      <xdr:row>65</xdr:row>
      <xdr:rowOff>83820</xdr:rowOff>
    </xdr:to>
    <xdr:sp macro="" textlink="">
      <xdr:nvSpPr>
        <xdr:cNvPr id="359533" name="Line 132">
          <a:extLst>
            <a:ext uri="{FF2B5EF4-FFF2-40B4-BE49-F238E27FC236}">
              <a16:creationId xmlns:a16="http://schemas.microsoft.com/office/drawing/2014/main" xmlns="" id="{00000000-0008-0000-7500-00006D7C0500}"/>
            </a:ext>
          </a:extLst>
        </xdr:cNvPr>
        <xdr:cNvSpPr>
          <a:spLocks noChangeShapeType="1"/>
        </xdr:cNvSpPr>
      </xdr:nvSpPr>
      <xdr:spPr bwMode="auto">
        <a:xfrm>
          <a:off x="2903220" y="14432280"/>
          <a:ext cx="19507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68580</xdr:colOff>
      <xdr:row>10</xdr:row>
      <xdr:rowOff>53340</xdr:rowOff>
    </xdr:from>
    <xdr:to>
      <xdr:col>6</xdr:col>
      <xdr:colOff>129540</xdr:colOff>
      <xdr:row>10</xdr:row>
      <xdr:rowOff>53340</xdr:rowOff>
    </xdr:to>
    <xdr:sp macro="" textlink="">
      <xdr:nvSpPr>
        <xdr:cNvPr id="359534" name="Line 133">
          <a:extLst>
            <a:ext uri="{FF2B5EF4-FFF2-40B4-BE49-F238E27FC236}">
              <a16:creationId xmlns:a16="http://schemas.microsoft.com/office/drawing/2014/main" xmlns="" id="{00000000-0008-0000-7500-00006E7C0500}"/>
            </a:ext>
          </a:extLst>
        </xdr:cNvPr>
        <xdr:cNvSpPr>
          <a:spLocks noChangeShapeType="1"/>
        </xdr:cNvSpPr>
      </xdr:nvSpPr>
      <xdr:spPr bwMode="auto">
        <a:xfrm>
          <a:off x="2865120" y="2354580"/>
          <a:ext cx="16078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129540</xdr:colOff>
      <xdr:row>10</xdr:row>
      <xdr:rowOff>68580</xdr:rowOff>
    </xdr:from>
    <xdr:to>
      <xdr:col>6</xdr:col>
      <xdr:colOff>129540</xdr:colOff>
      <xdr:row>11</xdr:row>
      <xdr:rowOff>114300</xdr:rowOff>
    </xdr:to>
    <xdr:sp macro="" textlink="">
      <xdr:nvSpPr>
        <xdr:cNvPr id="359535" name="Line 134">
          <a:extLst>
            <a:ext uri="{FF2B5EF4-FFF2-40B4-BE49-F238E27FC236}">
              <a16:creationId xmlns:a16="http://schemas.microsoft.com/office/drawing/2014/main" xmlns="" id="{00000000-0008-0000-7500-00006F7C0500}"/>
            </a:ext>
          </a:extLst>
        </xdr:cNvPr>
        <xdr:cNvSpPr>
          <a:spLocks noChangeShapeType="1"/>
        </xdr:cNvSpPr>
      </xdr:nvSpPr>
      <xdr:spPr bwMode="auto">
        <a:xfrm flipH="1">
          <a:off x="4472940" y="2369820"/>
          <a:ext cx="0" cy="2971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137160</xdr:colOff>
      <xdr:row>11</xdr:row>
      <xdr:rowOff>114300</xdr:rowOff>
    </xdr:from>
    <xdr:to>
      <xdr:col>6</xdr:col>
      <xdr:colOff>548640</xdr:colOff>
      <xdr:row>11</xdr:row>
      <xdr:rowOff>114300</xdr:rowOff>
    </xdr:to>
    <xdr:sp macro="" textlink="">
      <xdr:nvSpPr>
        <xdr:cNvPr id="359536" name="Line 135">
          <a:extLst>
            <a:ext uri="{FF2B5EF4-FFF2-40B4-BE49-F238E27FC236}">
              <a16:creationId xmlns:a16="http://schemas.microsoft.com/office/drawing/2014/main" xmlns="" id="{00000000-0008-0000-7500-0000707C0500}"/>
            </a:ext>
          </a:extLst>
        </xdr:cNvPr>
        <xdr:cNvSpPr>
          <a:spLocks noChangeShapeType="1"/>
        </xdr:cNvSpPr>
      </xdr:nvSpPr>
      <xdr:spPr bwMode="auto">
        <a:xfrm>
          <a:off x="4480560" y="2667000"/>
          <a:ext cx="4114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91440</xdr:colOff>
      <xdr:row>10</xdr:row>
      <xdr:rowOff>182880</xdr:rowOff>
    </xdr:from>
    <xdr:to>
      <xdr:col>5</xdr:col>
      <xdr:colOff>365760</xdr:colOff>
      <xdr:row>10</xdr:row>
      <xdr:rowOff>182880</xdr:rowOff>
    </xdr:to>
    <xdr:sp macro="" textlink="">
      <xdr:nvSpPr>
        <xdr:cNvPr id="359537" name="Line 136">
          <a:extLst>
            <a:ext uri="{FF2B5EF4-FFF2-40B4-BE49-F238E27FC236}">
              <a16:creationId xmlns:a16="http://schemas.microsoft.com/office/drawing/2014/main" xmlns="" id="{00000000-0008-0000-7500-0000717C0500}"/>
            </a:ext>
          </a:extLst>
        </xdr:cNvPr>
        <xdr:cNvSpPr>
          <a:spLocks noChangeShapeType="1"/>
        </xdr:cNvSpPr>
      </xdr:nvSpPr>
      <xdr:spPr bwMode="auto">
        <a:xfrm>
          <a:off x="2887980" y="2484120"/>
          <a:ext cx="899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373380</xdr:colOff>
      <xdr:row>10</xdr:row>
      <xdr:rowOff>190500</xdr:rowOff>
    </xdr:from>
    <xdr:to>
      <xdr:col>5</xdr:col>
      <xdr:colOff>373380</xdr:colOff>
      <xdr:row>14</xdr:row>
      <xdr:rowOff>99060</xdr:rowOff>
    </xdr:to>
    <xdr:sp macro="" textlink="">
      <xdr:nvSpPr>
        <xdr:cNvPr id="359538" name="Line 137">
          <a:extLst>
            <a:ext uri="{FF2B5EF4-FFF2-40B4-BE49-F238E27FC236}">
              <a16:creationId xmlns:a16="http://schemas.microsoft.com/office/drawing/2014/main" xmlns="" id="{00000000-0008-0000-7500-0000727C0500}"/>
            </a:ext>
          </a:extLst>
        </xdr:cNvPr>
        <xdr:cNvSpPr>
          <a:spLocks noChangeShapeType="1"/>
        </xdr:cNvSpPr>
      </xdr:nvSpPr>
      <xdr:spPr bwMode="auto">
        <a:xfrm>
          <a:off x="3794760" y="2491740"/>
          <a:ext cx="0" cy="6324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373380</xdr:colOff>
      <xdr:row>14</xdr:row>
      <xdr:rowOff>106680</xdr:rowOff>
    </xdr:from>
    <xdr:to>
      <xdr:col>6</xdr:col>
      <xdr:colOff>518160</xdr:colOff>
      <xdr:row>14</xdr:row>
      <xdr:rowOff>106680</xdr:rowOff>
    </xdr:to>
    <xdr:sp macro="" textlink="">
      <xdr:nvSpPr>
        <xdr:cNvPr id="359539" name="Line 138">
          <a:extLst>
            <a:ext uri="{FF2B5EF4-FFF2-40B4-BE49-F238E27FC236}">
              <a16:creationId xmlns:a16="http://schemas.microsoft.com/office/drawing/2014/main" xmlns="" id="{00000000-0008-0000-7500-0000737C0500}"/>
            </a:ext>
          </a:extLst>
        </xdr:cNvPr>
        <xdr:cNvSpPr>
          <a:spLocks noChangeShapeType="1"/>
        </xdr:cNvSpPr>
      </xdr:nvSpPr>
      <xdr:spPr bwMode="auto">
        <a:xfrm>
          <a:off x="3794760" y="3131820"/>
          <a:ext cx="10668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99060</xdr:colOff>
      <xdr:row>26</xdr:row>
      <xdr:rowOff>38100</xdr:rowOff>
    </xdr:from>
    <xdr:to>
      <xdr:col>4</xdr:col>
      <xdr:colOff>411480</xdr:colOff>
      <xdr:row>26</xdr:row>
      <xdr:rowOff>38100</xdr:rowOff>
    </xdr:to>
    <xdr:sp macro="" textlink="">
      <xdr:nvSpPr>
        <xdr:cNvPr id="359540" name="Line 139">
          <a:extLst>
            <a:ext uri="{FF2B5EF4-FFF2-40B4-BE49-F238E27FC236}">
              <a16:creationId xmlns:a16="http://schemas.microsoft.com/office/drawing/2014/main" xmlns="" id="{00000000-0008-0000-7500-0000747C0500}"/>
            </a:ext>
          </a:extLst>
        </xdr:cNvPr>
        <xdr:cNvSpPr>
          <a:spLocks noChangeShapeType="1"/>
        </xdr:cNvSpPr>
      </xdr:nvSpPr>
      <xdr:spPr bwMode="auto">
        <a:xfrm>
          <a:off x="2895600" y="5722620"/>
          <a:ext cx="3124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411480</xdr:colOff>
      <xdr:row>20</xdr:row>
      <xdr:rowOff>449580</xdr:rowOff>
    </xdr:from>
    <xdr:to>
      <xdr:col>4</xdr:col>
      <xdr:colOff>411480</xdr:colOff>
      <xdr:row>26</xdr:row>
      <xdr:rowOff>30480</xdr:rowOff>
    </xdr:to>
    <xdr:sp macro="" textlink="">
      <xdr:nvSpPr>
        <xdr:cNvPr id="359541" name="Line 140">
          <a:extLst>
            <a:ext uri="{FF2B5EF4-FFF2-40B4-BE49-F238E27FC236}">
              <a16:creationId xmlns:a16="http://schemas.microsoft.com/office/drawing/2014/main" xmlns="" id="{00000000-0008-0000-7500-0000757C0500}"/>
            </a:ext>
          </a:extLst>
        </xdr:cNvPr>
        <xdr:cNvSpPr>
          <a:spLocks noChangeShapeType="1"/>
        </xdr:cNvSpPr>
      </xdr:nvSpPr>
      <xdr:spPr bwMode="auto">
        <a:xfrm flipV="1">
          <a:off x="3208020" y="4655820"/>
          <a:ext cx="0" cy="10591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419100</xdr:colOff>
      <xdr:row>20</xdr:row>
      <xdr:rowOff>449580</xdr:rowOff>
    </xdr:from>
    <xdr:to>
      <xdr:col>4</xdr:col>
      <xdr:colOff>533400</xdr:colOff>
      <xdr:row>20</xdr:row>
      <xdr:rowOff>449580</xdr:rowOff>
    </xdr:to>
    <xdr:sp macro="" textlink="">
      <xdr:nvSpPr>
        <xdr:cNvPr id="359542" name="Line 141">
          <a:extLst>
            <a:ext uri="{FF2B5EF4-FFF2-40B4-BE49-F238E27FC236}">
              <a16:creationId xmlns:a16="http://schemas.microsoft.com/office/drawing/2014/main" xmlns="" id="{00000000-0008-0000-7500-0000767C0500}"/>
            </a:ext>
          </a:extLst>
        </xdr:cNvPr>
        <xdr:cNvSpPr>
          <a:spLocks noChangeShapeType="1"/>
        </xdr:cNvSpPr>
      </xdr:nvSpPr>
      <xdr:spPr bwMode="auto">
        <a:xfrm flipV="1">
          <a:off x="3215640" y="465582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26</xdr:row>
      <xdr:rowOff>182880</xdr:rowOff>
    </xdr:from>
    <xdr:to>
      <xdr:col>6</xdr:col>
      <xdr:colOff>289560</xdr:colOff>
      <xdr:row>26</xdr:row>
      <xdr:rowOff>182880</xdr:rowOff>
    </xdr:to>
    <xdr:sp macro="" textlink="">
      <xdr:nvSpPr>
        <xdr:cNvPr id="359543" name="Line 142">
          <a:extLst>
            <a:ext uri="{FF2B5EF4-FFF2-40B4-BE49-F238E27FC236}">
              <a16:creationId xmlns:a16="http://schemas.microsoft.com/office/drawing/2014/main" xmlns="" id="{00000000-0008-0000-7500-0000777C0500}"/>
            </a:ext>
          </a:extLst>
        </xdr:cNvPr>
        <xdr:cNvSpPr>
          <a:spLocks noChangeShapeType="1"/>
        </xdr:cNvSpPr>
      </xdr:nvSpPr>
      <xdr:spPr bwMode="auto">
        <a:xfrm>
          <a:off x="2872740" y="5867400"/>
          <a:ext cx="17602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289560</xdr:colOff>
      <xdr:row>24</xdr:row>
      <xdr:rowOff>190500</xdr:rowOff>
    </xdr:from>
    <xdr:to>
      <xdr:col>6</xdr:col>
      <xdr:colOff>289560</xdr:colOff>
      <xdr:row>26</xdr:row>
      <xdr:rowOff>182880</xdr:rowOff>
    </xdr:to>
    <xdr:sp macro="" textlink="">
      <xdr:nvSpPr>
        <xdr:cNvPr id="359544" name="Line 143">
          <a:extLst>
            <a:ext uri="{FF2B5EF4-FFF2-40B4-BE49-F238E27FC236}">
              <a16:creationId xmlns:a16="http://schemas.microsoft.com/office/drawing/2014/main" xmlns="" id="{00000000-0008-0000-7500-0000787C0500}"/>
            </a:ext>
          </a:extLst>
        </xdr:cNvPr>
        <xdr:cNvSpPr>
          <a:spLocks noChangeShapeType="1"/>
        </xdr:cNvSpPr>
      </xdr:nvSpPr>
      <xdr:spPr bwMode="auto">
        <a:xfrm flipV="1">
          <a:off x="4632960" y="5524500"/>
          <a:ext cx="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289560</xdr:colOff>
      <xdr:row>24</xdr:row>
      <xdr:rowOff>182880</xdr:rowOff>
    </xdr:from>
    <xdr:to>
      <xdr:col>6</xdr:col>
      <xdr:colOff>525780</xdr:colOff>
      <xdr:row>24</xdr:row>
      <xdr:rowOff>182880</xdr:rowOff>
    </xdr:to>
    <xdr:sp macro="" textlink="">
      <xdr:nvSpPr>
        <xdr:cNvPr id="359545" name="Line 144">
          <a:extLst>
            <a:ext uri="{FF2B5EF4-FFF2-40B4-BE49-F238E27FC236}">
              <a16:creationId xmlns:a16="http://schemas.microsoft.com/office/drawing/2014/main" xmlns="" id="{00000000-0008-0000-7500-0000797C0500}"/>
            </a:ext>
          </a:extLst>
        </xdr:cNvPr>
        <xdr:cNvSpPr>
          <a:spLocks noChangeShapeType="1"/>
        </xdr:cNvSpPr>
      </xdr:nvSpPr>
      <xdr:spPr bwMode="auto">
        <a:xfrm>
          <a:off x="4632960" y="5516880"/>
          <a:ext cx="2362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76200</xdr:colOff>
      <xdr:row>20</xdr:row>
      <xdr:rowOff>419100</xdr:rowOff>
    </xdr:from>
    <xdr:to>
      <xdr:col>6</xdr:col>
      <xdr:colOff>350520</xdr:colOff>
      <xdr:row>20</xdr:row>
      <xdr:rowOff>419100</xdr:rowOff>
    </xdr:to>
    <xdr:sp macro="" textlink="">
      <xdr:nvSpPr>
        <xdr:cNvPr id="359546" name="Line 145">
          <a:extLst>
            <a:ext uri="{FF2B5EF4-FFF2-40B4-BE49-F238E27FC236}">
              <a16:creationId xmlns:a16="http://schemas.microsoft.com/office/drawing/2014/main" xmlns="" id="{00000000-0008-0000-7500-00007A7C0500}"/>
            </a:ext>
          </a:extLst>
        </xdr:cNvPr>
        <xdr:cNvSpPr>
          <a:spLocks noChangeShapeType="1"/>
        </xdr:cNvSpPr>
      </xdr:nvSpPr>
      <xdr:spPr bwMode="auto">
        <a:xfrm>
          <a:off x="4419600" y="4625340"/>
          <a:ext cx="2743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373380</xdr:colOff>
      <xdr:row>20</xdr:row>
      <xdr:rowOff>419100</xdr:rowOff>
    </xdr:from>
    <xdr:to>
      <xdr:col>6</xdr:col>
      <xdr:colOff>373380</xdr:colOff>
      <xdr:row>24</xdr:row>
      <xdr:rowOff>83820</xdr:rowOff>
    </xdr:to>
    <xdr:sp macro="" textlink="">
      <xdr:nvSpPr>
        <xdr:cNvPr id="359547" name="Line 146">
          <a:extLst>
            <a:ext uri="{FF2B5EF4-FFF2-40B4-BE49-F238E27FC236}">
              <a16:creationId xmlns:a16="http://schemas.microsoft.com/office/drawing/2014/main" xmlns="" id="{00000000-0008-0000-7500-00007B7C0500}"/>
            </a:ext>
          </a:extLst>
        </xdr:cNvPr>
        <xdr:cNvSpPr>
          <a:spLocks noChangeShapeType="1"/>
        </xdr:cNvSpPr>
      </xdr:nvSpPr>
      <xdr:spPr bwMode="auto">
        <a:xfrm>
          <a:off x="4716780" y="4625340"/>
          <a:ext cx="0" cy="7924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373380</xdr:colOff>
      <xdr:row>24</xdr:row>
      <xdr:rowOff>76200</xdr:rowOff>
    </xdr:from>
    <xdr:to>
      <xdr:col>6</xdr:col>
      <xdr:colOff>541020</xdr:colOff>
      <xdr:row>24</xdr:row>
      <xdr:rowOff>76200</xdr:rowOff>
    </xdr:to>
    <xdr:sp macro="" textlink="">
      <xdr:nvSpPr>
        <xdr:cNvPr id="359548" name="Line 147">
          <a:extLst>
            <a:ext uri="{FF2B5EF4-FFF2-40B4-BE49-F238E27FC236}">
              <a16:creationId xmlns:a16="http://schemas.microsoft.com/office/drawing/2014/main" xmlns="" id="{00000000-0008-0000-7500-00007C7C0500}"/>
            </a:ext>
          </a:extLst>
        </xdr:cNvPr>
        <xdr:cNvSpPr>
          <a:spLocks noChangeShapeType="1"/>
        </xdr:cNvSpPr>
      </xdr:nvSpPr>
      <xdr:spPr bwMode="auto">
        <a:xfrm>
          <a:off x="4716780" y="5410200"/>
          <a:ext cx="1676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91440</xdr:colOff>
      <xdr:row>15</xdr:row>
      <xdr:rowOff>30480</xdr:rowOff>
    </xdr:from>
    <xdr:to>
      <xdr:col>9</xdr:col>
      <xdr:colOff>236220</xdr:colOff>
      <xdr:row>15</xdr:row>
      <xdr:rowOff>30480</xdr:rowOff>
    </xdr:to>
    <xdr:sp macro="" textlink="">
      <xdr:nvSpPr>
        <xdr:cNvPr id="359549" name="Line 148">
          <a:extLst>
            <a:ext uri="{FF2B5EF4-FFF2-40B4-BE49-F238E27FC236}">
              <a16:creationId xmlns:a16="http://schemas.microsoft.com/office/drawing/2014/main" xmlns="" id="{00000000-0008-0000-7500-00007D7C0500}"/>
            </a:ext>
          </a:extLst>
        </xdr:cNvPr>
        <xdr:cNvSpPr>
          <a:spLocks noChangeShapeType="1"/>
        </xdr:cNvSpPr>
      </xdr:nvSpPr>
      <xdr:spPr bwMode="auto">
        <a:xfrm>
          <a:off x="10728960" y="3307080"/>
          <a:ext cx="1447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213360</xdr:colOff>
      <xdr:row>15</xdr:row>
      <xdr:rowOff>30480</xdr:rowOff>
    </xdr:from>
    <xdr:to>
      <xdr:col>9</xdr:col>
      <xdr:colOff>236220</xdr:colOff>
      <xdr:row>24</xdr:row>
      <xdr:rowOff>99060</xdr:rowOff>
    </xdr:to>
    <xdr:sp macro="" textlink="">
      <xdr:nvSpPr>
        <xdr:cNvPr id="359550" name="Line 149">
          <a:extLst>
            <a:ext uri="{FF2B5EF4-FFF2-40B4-BE49-F238E27FC236}">
              <a16:creationId xmlns:a16="http://schemas.microsoft.com/office/drawing/2014/main" xmlns="" id="{00000000-0008-0000-7500-00007E7C0500}"/>
            </a:ext>
          </a:extLst>
        </xdr:cNvPr>
        <xdr:cNvSpPr>
          <a:spLocks noChangeShapeType="1"/>
        </xdr:cNvSpPr>
      </xdr:nvSpPr>
      <xdr:spPr bwMode="auto">
        <a:xfrm flipH="1">
          <a:off x="10850880" y="3307080"/>
          <a:ext cx="22860" cy="21259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76200</xdr:colOff>
      <xdr:row>24</xdr:row>
      <xdr:rowOff>106680</xdr:rowOff>
    </xdr:from>
    <xdr:to>
      <xdr:col>9</xdr:col>
      <xdr:colOff>213360</xdr:colOff>
      <xdr:row>24</xdr:row>
      <xdr:rowOff>106680</xdr:rowOff>
    </xdr:to>
    <xdr:sp macro="" textlink="">
      <xdr:nvSpPr>
        <xdr:cNvPr id="359551" name="Line 150">
          <a:extLst>
            <a:ext uri="{FF2B5EF4-FFF2-40B4-BE49-F238E27FC236}">
              <a16:creationId xmlns:a16="http://schemas.microsoft.com/office/drawing/2014/main" xmlns="" id="{00000000-0008-0000-7500-00007F7C0500}"/>
            </a:ext>
          </a:extLst>
        </xdr:cNvPr>
        <xdr:cNvSpPr>
          <a:spLocks noChangeShapeType="1"/>
        </xdr:cNvSpPr>
      </xdr:nvSpPr>
      <xdr:spPr bwMode="auto">
        <a:xfrm flipH="1">
          <a:off x="10713720" y="544068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60960</xdr:colOff>
      <xdr:row>32</xdr:row>
      <xdr:rowOff>335280</xdr:rowOff>
    </xdr:from>
    <xdr:to>
      <xdr:col>5</xdr:col>
      <xdr:colOff>335280</xdr:colOff>
      <xdr:row>32</xdr:row>
      <xdr:rowOff>335280</xdr:rowOff>
    </xdr:to>
    <xdr:sp macro="" textlink="">
      <xdr:nvSpPr>
        <xdr:cNvPr id="359552" name="Line 154">
          <a:extLst>
            <a:ext uri="{FF2B5EF4-FFF2-40B4-BE49-F238E27FC236}">
              <a16:creationId xmlns:a16="http://schemas.microsoft.com/office/drawing/2014/main" xmlns="" id="{00000000-0008-0000-7500-0000807C0500}"/>
            </a:ext>
          </a:extLst>
        </xdr:cNvPr>
        <xdr:cNvSpPr>
          <a:spLocks noChangeShapeType="1"/>
        </xdr:cNvSpPr>
      </xdr:nvSpPr>
      <xdr:spPr bwMode="auto">
        <a:xfrm flipH="1">
          <a:off x="2857500" y="7269480"/>
          <a:ext cx="899160" cy="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68580</xdr:colOff>
      <xdr:row>32</xdr:row>
      <xdr:rowOff>167640</xdr:rowOff>
    </xdr:from>
    <xdr:to>
      <xdr:col>6</xdr:col>
      <xdr:colOff>525780</xdr:colOff>
      <xdr:row>32</xdr:row>
      <xdr:rowOff>167640</xdr:rowOff>
    </xdr:to>
    <xdr:sp macro="" textlink="">
      <xdr:nvSpPr>
        <xdr:cNvPr id="359553" name="Line 157">
          <a:extLst>
            <a:ext uri="{FF2B5EF4-FFF2-40B4-BE49-F238E27FC236}">
              <a16:creationId xmlns:a16="http://schemas.microsoft.com/office/drawing/2014/main" xmlns="" id="{00000000-0008-0000-7500-0000817C0500}"/>
            </a:ext>
          </a:extLst>
        </xdr:cNvPr>
        <xdr:cNvSpPr>
          <a:spLocks noChangeShapeType="1"/>
        </xdr:cNvSpPr>
      </xdr:nvSpPr>
      <xdr:spPr bwMode="auto">
        <a:xfrm>
          <a:off x="2865120" y="7101840"/>
          <a:ext cx="20040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144780</xdr:colOff>
      <xdr:row>32</xdr:row>
      <xdr:rowOff>76200</xdr:rowOff>
    </xdr:from>
    <xdr:to>
      <xdr:col>6</xdr:col>
      <xdr:colOff>548640</xdr:colOff>
      <xdr:row>32</xdr:row>
      <xdr:rowOff>76200</xdr:rowOff>
    </xdr:to>
    <xdr:sp macro="" textlink="">
      <xdr:nvSpPr>
        <xdr:cNvPr id="359554" name="Line 161">
          <a:extLst>
            <a:ext uri="{FF2B5EF4-FFF2-40B4-BE49-F238E27FC236}">
              <a16:creationId xmlns:a16="http://schemas.microsoft.com/office/drawing/2014/main" xmlns="" id="{00000000-0008-0000-7500-0000827C0500}"/>
            </a:ext>
          </a:extLst>
        </xdr:cNvPr>
        <xdr:cNvSpPr>
          <a:spLocks noChangeShapeType="1"/>
        </xdr:cNvSpPr>
      </xdr:nvSpPr>
      <xdr:spPr bwMode="auto">
        <a:xfrm>
          <a:off x="4488180" y="7010400"/>
          <a:ext cx="4038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59</xdr:row>
      <xdr:rowOff>106680</xdr:rowOff>
    </xdr:from>
    <xdr:to>
      <xdr:col>5</xdr:col>
      <xdr:colOff>304800</xdr:colOff>
      <xdr:row>59</xdr:row>
      <xdr:rowOff>106680</xdr:rowOff>
    </xdr:to>
    <xdr:sp macro="" textlink="">
      <xdr:nvSpPr>
        <xdr:cNvPr id="359555" name="Line 163">
          <a:extLst>
            <a:ext uri="{FF2B5EF4-FFF2-40B4-BE49-F238E27FC236}">
              <a16:creationId xmlns:a16="http://schemas.microsoft.com/office/drawing/2014/main" xmlns="" id="{00000000-0008-0000-7500-0000837C0500}"/>
            </a:ext>
          </a:extLst>
        </xdr:cNvPr>
        <xdr:cNvSpPr>
          <a:spLocks noChangeShapeType="1"/>
        </xdr:cNvSpPr>
      </xdr:nvSpPr>
      <xdr:spPr bwMode="auto">
        <a:xfrm>
          <a:off x="2872740" y="13327380"/>
          <a:ext cx="8534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556260</xdr:colOff>
      <xdr:row>148</xdr:row>
      <xdr:rowOff>7620</xdr:rowOff>
    </xdr:from>
    <xdr:to>
      <xdr:col>8</xdr:col>
      <xdr:colOff>693420</xdr:colOff>
      <xdr:row>148</xdr:row>
      <xdr:rowOff>7620</xdr:rowOff>
    </xdr:to>
    <xdr:sp macro="" textlink="">
      <xdr:nvSpPr>
        <xdr:cNvPr id="359556" name="Line 164">
          <a:extLst>
            <a:ext uri="{FF2B5EF4-FFF2-40B4-BE49-F238E27FC236}">
              <a16:creationId xmlns:a16="http://schemas.microsoft.com/office/drawing/2014/main" xmlns="" id="{00000000-0008-0000-7500-0000847C0500}"/>
            </a:ext>
          </a:extLst>
        </xdr:cNvPr>
        <xdr:cNvSpPr>
          <a:spLocks noChangeShapeType="1"/>
        </xdr:cNvSpPr>
      </xdr:nvSpPr>
      <xdr:spPr bwMode="auto">
        <a:xfrm>
          <a:off x="5524500" y="29596080"/>
          <a:ext cx="822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99060</xdr:colOff>
      <xdr:row>63</xdr:row>
      <xdr:rowOff>76200</xdr:rowOff>
    </xdr:from>
    <xdr:to>
      <xdr:col>5</xdr:col>
      <xdr:colOff>281940</xdr:colOff>
      <xdr:row>63</xdr:row>
      <xdr:rowOff>76200</xdr:rowOff>
    </xdr:to>
    <xdr:sp macro="" textlink="">
      <xdr:nvSpPr>
        <xdr:cNvPr id="359557" name="Line 165">
          <a:extLst>
            <a:ext uri="{FF2B5EF4-FFF2-40B4-BE49-F238E27FC236}">
              <a16:creationId xmlns:a16="http://schemas.microsoft.com/office/drawing/2014/main" xmlns="" id="{00000000-0008-0000-7500-0000857C0500}"/>
            </a:ext>
          </a:extLst>
        </xdr:cNvPr>
        <xdr:cNvSpPr>
          <a:spLocks noChangeShapeType="1"/>
        </xdr:cNvSpPr>
      </xdr:nvSpPr>
      <xdr:spPr bwMode="auto">
        <a:xfrm>
          <a:off x="2895600" y="14112240"/>
          <a:ext cx="8077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297180</xdr:colOff>
      <xdr:row>59</xdr:row>
      <xdr:rowOff>106680</xdr:rowOff>
    </xdr:from>
    <xdr:to>
      <xdr:col>5</xdr:col>
      <xdr:colOff>304800</xdr:colOff>
      <xdr:row>61</xdr:row>
      <xdr:rowOff>99060</xdr:rowOff>
    </xdr:to>
    <xdr:sp macro="" textlink="">
      <xdr:nvSpPr>
        <xdr:cNvPr id="359558" name="Line 166">
          <a:extLst>
            <a:ext uri="{FF2B5EF4-FFF2-40B4-BE49-F238E27FC236}">
              <a16:creationId xmlns:a16="http://schemas.microsoft.com/office/drawing/2014/main" xmlns="" id="{00000000-0008-0000-7500-0000867C0500}"/>
            </a:ext>
          </a:extLst>
        </xdr:cNvPr>
        <xdr:cNvSpPr>
          <a:spLocks noChangeShapeType="1"/>
        </xdr:cNvSpPr>
      </xdr:nvSpPr>
      <xdr:spPr bwMode="auto">
        <a:xfrm flipH="1">
          <a:off x="3718560" y="13327380"/>
          <a:ext cx="7620"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304800</xdr:colOff>
      <xdr:row>61</xdr:row>
      <xdr:rowOff>99060</xdr:rowOff>
    </xdr:from>
    <xdr:to>
      <xdr:col>6</xdr:col>
      <xdr:colOff>594360</xdr:colOff>
      <xdr:row>61</xdr:row>
      <xdr:rowOff>99060</xdr:rowOff>
    </xdr:to>
    <xdr:sp macro="" textlink="">
      <xdr:nvSpPr>
        <xdr:cNvPr id="359559" name="Line 167">
          <a:extLst>
            <a:ext uri="{FF2B5EF4-FFF2-40B4-BE49-F238E27FC236}">
              <a16:creationId xmlns:a16="http://schemas.microsoft.com/office/drawing/2014/main" xmlns="" id="{00000000-0008-0000-7500-0000877C0500}"/>
            </a:ext>
          </a:extLst>
        </xdr:cNvPr>
        <xdr:cNvSpPr>
          <a:spLocks noChangeShapeType="1"/>
        </xdr:cNvSpPr>
      </xdr:nvSpPr>
      <xdr:spPr bwMode="auto">
        <a:xfrm>
          <a:off x="3726180" y="13632180"/>
          <a:ext cx="12115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281940</xdr:colOff>
      <xdr:row>61</xdr:row>
      <xdr:rowOff>312420</xdr:rowOff>
    </xdr:from>
    <xdr:to>
      <xdr:col>5</xdr:col>
      <xdr:colOff>297180</xdr:colOff>
      <xdr:row>63</xdr:row>
      <xdr:rowOff>76200</xdr:rowOff>
    </xdr:to>
    <xdr:sp macro="" textlink="">
      <xdr:nvSpPr>
        <xdr:cNvPr id="359560" name="Line 169">
          <a:extLst>
            <a:ext uri="{FF2B5EF4-FFF2-40B4-BE49-F238E27FC236}">
              <a16:creationId xmlns:a16="http://schemas.microsoft.com/office/drawing/2014/main" xmlns="" id="{00000000-0008-0000-7500-0000887C0500}"/>
            </a:ext>
          </a:extLst>
        </xdr:cNvPr>
        <xdr:cNvSpPr>
          <a:spLocks noChangeShapeType="1"/>
        </xdr:cNvSpPr>
      </xdr:nvSpPr>
      <xdr:spPr bwMode="auto">
        <a:xfrm flipH="1" flipV="1">
          <a:off x="3703320" y="13845540"/>
          <a:ext cx="15240" cy="266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281940</xdr:colOff>
      <xdr:row>61</xdr:row>
      <xdr:rowOff>312420</xdr:rowOff>
    </xdr:from>
    <xdr:to>
      <xdr:col>6</xdr:col>
      <xdr:colOff>594360</xdr:colOff>
      <xdr:row>61</xdr:row>
      <xdr:rowOff>312420</xdr:rowOff>
    </xdr:to>
    <xdr:sp macro="" textlink="">
      <xdr:nvSpPr>
        <xdr:cNvPr id="359561" name="Line 170">
          <a:extLst>
            <a:ext uri="{FF2B5EF4-FFF2-40B4-BE49-F238E27FC236}">
              <a16:creationId xmlns:a16="http://schemas.microsoft.com/office/drawing/2014/main" xmlns="" id="{00000000-0008-0000-7500-0000897C0500}"/>
            </a:ext>
          </a:extLst>
        </xdr:cNvPr>
        <xdr:cNvSpPr>
          <a:spLocks noChangeShapeType="1"/>
        </xdr:cNvSpPr>
      </xdr:nvSpPr>
      <xdr:spPr bwMode="auto">
        <a:xfrm>
          <a:off x="3703320" y="13845540"/>
          <a:ext cx="12344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38100</xdr:colOff>
      <xdr:row>90</xdr:row>
      <xdr:rowOff>99060</xdr:rowOff>
    </xdr:from>
    <xdr:to>
      <xdr:col>9</xdr:col>
      <xdr:colOff>563880</xdr:colOff>
      <xdr:row>90</xdr:row>
      <xdr:rowOff>99060</xdr:rowOff>
    </xdr:to>
    <xdr:cxnSp macro="">
      <xdr:nvCxnSpPr>
        <xdr:cNvPr id="359562" name="AutoShape 172">
          <a:extLst>
            <a:ext uri="{FF2B5EF4-FFF2-40B4-BE49-F238E27FC236}">
              <a16:creationId xmlns:a16="http://schemas.microsoft.com/office/drawing/2014/main" xmlns="" id="{00000000-0008-0000-7500-00008A7C0500}"/>
            </a:ext>
          </a:extLst>
        </xdr:cNvPr>
        <xdr:cNvCxnSpPr>
          <a:cxnSpLocks noChangeShapeType="1"/>
        </xdr:cNvCxnSpPr>
      </xdr:nvCxnSpPr>
      <xdr:spPr bwMode="auto">
        <a:xfrm flipH="1">
          <a:off x="10675620" y="2001012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38100</xdr:colOff>
      <xdr:row>94</xdr:row>
      <xdr:rowOff>99060</xdr:rowOff>
    </xdr:from>
    <xdr:to>
      <xdr:col>9</xdr:col>
      <xdr:colOff>563880</xdr:colOff>
      <xdr:row>94</xdr:row>
      <xdr:rowOff>99060</xdr:rowOff>
    </xdr:to>
    <xdr:cxnSp macro="">
      <xdr:nvCxnSpPr>
        <xdr:cNvPr id="359563" name="AutoShape 173">
          <a:extLst>
            <a:ext uri="{FF2B5EF4-FFF2-40B4-BE49-F238E27FC236}">
              <a16:creationId xmlns:a16="http://schemas.microsoft.com/office/drawing/2014/main" xmlns="" id="{00000000-0008-0000-7500-00008B7C0500}"/>
            </a:ext>
          </a:extLst>
        </xdr:cNvPr>
        <xdr:cNvCxnSpPr>
          <a:cxnSpLocks noChangeShapeType="1"/>
        </xdr:cNvCxnSpPr>
      </xdr:nvCxnSpPr>
      <xdr:spPr bwMode="auto">
        <a:xfrm flipH="1">
          <a:off x="10675620" y="2063496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76200</xdr:colOff>
      <xdr:row>88</xdr:row>
      <xdr:rowOff>99060</xdr:rowOff>
    </xdr:from>
    <xdr:to>
      <xdr:col>6</xdr:col>
      <xdr:colOff>518160</xdr:colOff>
      <xdr:row>88</xdr:row>
      <xdr:rowOff>106680</xdr:rowOff>
    </xdr:to>
    <xdr:sp macro="" textlink="">
      <xdr:nvSpPr>
        <xdr:cNvPr id="359564" name="Line 174">
          <a:extLst>
            <a:ext uri="{FF2B5EF4-FFF2-40B4-BE49-F238E27FC236}">
              <a16:creationId xmlns:a16="http://schemas.microsoft.com/office/drawing/2014/main" xmlns="" id="{00000000-0008-0000-7500-00008C7C0500}"/>
            </a:ext>
          </a:extLst>
        </xdr:cNvPr>
        <xdr:cNvSpPr>
          <a:spLocks noChangeShapeType="1"/>
        </xdr:cNvSpPr>
      </xdr:nvSpPr>
      <xdr:spPr bwMode="auto">
        <a:xfrm flipV="1">
          <a:off x="2872740" y="19697700"/>
          <a:ext cx="1988820" cy="76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90</xdr:row>
      <xdr:rowOff>76200</xdr:rowOff>
    </xdr:from>
    <xdr:to>
      <xdr:col>6</xdr:col>
      <xdr:colOff>533400</xdr:colOff>
      <xdr:row>90</xdr:row>
      <xdr:rowOff>76200</xdr:rowOff>
    </xdr:to>
    <xdr:sp macro="" textlink="">
      <xdr:nvSpPr>
        <xdr:cNvPr id="359565" name="Line 175">
          <a:extLst>
            <a:ext uri="{FF2B5EF4-FFF2-40B4-BE49-F238E27FC236}">
              <a16:creationId xmlns:a16="http://schemas.microsoft.com/office/drawing/2014/main" xmlns="" id="{00000000-0008-0000-7500-00008D7C0500}"/>
            </a:ext>
          </a:extLst>
        </xdr:cNvPr>
        <xdr:cNvSpPr>
          <a:spLocks noChangeShapeType="1"/>
        </xdr:cNvSpPr>
      </xdr:nvSpPr>
      <xdr:spPr bwMode="auto">
        <a:xfrm>
          <a:off x="2872740" y="19987260"/>
          <a:ext cx="20040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92</xdr:row>
      <xdr:rowOff>99060</xdr:rowOff>
    </xdr:from>
    <xdr:to>
      <xdr:col>6</xdr:col>
      <xdr:colOff>525780</xdr:colOff>
      <xdr:row>92</xdr:row>
      <xdr:rowOff>99060</xdr:rowOff>
    </xdr:to>
    <xdr:sp macro="" textlink="">
      <xdr:nvSpPr>
        <xdr:cNvPr id="359566" name="Line 176">
          <a:extLst>
            <a:ext uri="{FF2B5EF4-FFF2-40B4-BE49-F238E27FC236}">
              <a16:creationId xmlns:a16="http://schemas.microsoft.com/office/drawing/2014/main" xmlns="" id="{00000000-0008-0000-7500-00008E7C0500}"/>
            </a:ext>
          </a:extLst>
        </xdr:cNvPr>
        <xdr:cNvSpPr>
          <a:spLocks noChangeShapeType="1"/>
        </xdr:cNvSpPr>
      </xdr:nvSpPr>
      <xdr:spPr bwMode="auto">
        <a:xfrm>
          <a:off x="2872740" y="20322540"/>
          <a:ext cx="19964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76200</xdr:colOff>
      <xdr:row>94</xdr:row>
      <xdr:rowOff>114300</xdr:rowOff>
    </xdr:from>
    <xdr:to>
      <xdr:col>6</xdr:col>
      <xdr:colOff>533400</xdr:colOff>
      <xdr:row>94</xdr:row>
      <xdr:rowOff>114300</xdr:rowOff>
    </xdr:to>
    <xdr:sp macro="" textlink="">
      <xdr:nvSpPr>
        <xdr:cNvPr id="359567" name="Line 177">
          <a:extLst>
            <a:ext uri="{FF2B5EF4-FFF2-40B4-BE49-F238E27FC236}">
              <a16:creationId xmlns:a16="http://schemas.microsoft.com/office/drawing/2014/main" xmlns="" id="{00000000-0008-0000-7500-00008F7C0500}"/>
            </a:ext>
          </a:extLst>
        </xdr:cNvPr>
        <xdr:cNvSpPr>
          <a:spLocks noChangeShapeType="1"/>
        </xdr:cNvSpPr>
      </xdr:nvSpPr>
      <xdr:spPr bwMode="auto">
        <a:xfrm>
          <a:off x="2872740" y="20650200"/>
          <a:ext cx="20040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69</xdr:row>
      <xdr:rowOff>312420</xdr:rowOff>
    </xdr:from>
    <xdr:to>
      <xdr:col>5</xdr:col>
      <xdr:colOff>7620</xdr:colOff>
      <xdr:row>69</xdr:row>
      <xdr:rowOff>312420</xdr:rowOff>
    </xdr:to>
    <xdr:sp macro="" textlink="">
      <xdr:nvSpPr>
        <xdr:cNvPr id="359568" name="Line 178">
          <a:extLst>
            <a:ext uri="{FF2B5EF4-FFF2-40B4-BE49-F238E27FC236}">
              <a16:creationId xmlns:a16="http://schemas.microsoft.com/office/drawing/2014/main" xmlns="" id="{00000000-0008-0000-7500-0000907C0500}"/>
            </a:ext>
          </a:extLst>
        </xdr:cNvPr>
        <xdr:cNvSpPr>
          <a:spLocks noChangeShapeType="1"/>
        </xdr:cNvSpPr>
      </xdr:nvSpPr>
      <xdr:spPr bwMode="auto">
        <a:xfrm>
          <a:off x="2910840" y="15803880"/>
          <a:ext cx="51816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7620</xdr:colOff>
      <xdr:row>69</xdr:row>
      <xdr:rowOff>312420</xdr:rowOff>
    </xdr:from>
    <xdr:to>
      <xdr:col>5</xdr:col>
      <xdr:colOff>7620</xdr:colOff>
      <xdr:row>75</xdr:row>
      <xdr:rowOff>99060</xdr:rowOff>
    </xdr:to>
    <xdr:sp macro="" textlink="">
      <xdr:nvSpPr>
        <xdr:cNvPr id="359569" name="Line 179">
          <a:extLst>
            <a:ext uri="{FF2B5EF4-FFF2-40B4-BE49-F238E27FC236}">
              <a16:creationId xmlns:a16="http://schemas.microsoft.com/office/drawing/2014/main" xmlns="" id="{00000000-0008-0000-7500-0000917C0500}"/>
            </a:ext>
          </a:extLst>
        </xdr:cNvPr>
        <xdr:cNvSpPr>
          <a:spLocks noChangeShapeType="1"/>
        </xdr:cNvSpPr>
      </xdr:nvSpPr>
      <xdr:spPr bwMode="auto">
        <a:xfrm>
          <a:off x="3429000" y="15803880"/>
          <a:ext cx="0" cy="141732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22860</xdr:colOff>
      <xdr:row>75</xdr:row>
      <xdr:rowOff>99060</xdr:rowOff>
    </xdr:from>
    <xdr:to>
      <xdr:col>6</xdr:col>
      <xdr:colOff>495300</xdr:colOff>
      <xdr:row>75</xdr:row>
      <xdr:rowOff>99060</xdr:rowOff>
    </xdr:to>
    <xdr:sp macro="" textlink="">
      <xdr:nvSpPr>
        <xdr:cNvPr id="359570" name="Line 180">
          <a:extLst>
            <a:ext uri="{FF2B5EF4-FFF2-40B4-BE49-F238E27FC236}">
              <a16:creationId xmlns:a16="http://schemas.microsoft.com/office/drawing/2014/main" xmlns="" id="{00000000-0008-0000-7500-0000927C0500}"/>
            </a:ext>
          </a:extLst>
        </xdr:cNvPr>
        <xdr:cNvSpPr>
          <a:spLocks noChangeShapeType="1"/>
        </xdr:cNvSpPr>
      </xdr:nvSpPr>
      <xdr:spPr bwMode="auto">
        <a:xfrm>
          <a:off x="3444240" y="17221200"/>
          <a:ext cx="139446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91440</xdr:colOff>
      <xdr:row>71</xdr:row>
      <xdr:rowOff>335280</xdr:rowOff>
    </xdr:from>
    <xdr:to>
      <xdr:col>4</xdr:col>
      <xdr:colOff>464820</xdr:colOff>
      <xdr:row>71</xdr:row>
      <xdr:rowOff>335280</xdr:rowOff>
    </xdr:to>
    <xdr:sp macro="" textlink="">
      <xdr:nvSpPr>
        <xdr:cNvPr id="359571" name="Line 181">
          <a:extLst>
            <a:ext uri="{FF2B5EF4-FFF2-40B4-BE49-F238E27FC236}">
              <a16:creationId xmlns:a16="http://schemas.microsoft.com/office/drawing/2014/main" xmlns="" id="{00000000-0008-0000-7500-0000937C0500}"/>
            </a:ext>
          </a:extLst>
        </xdr:cNvPr>
        <xdr:cNvSpPr>
          <a:spLocks noChangeShapeType="1"/>
        </xdr:cNvSpPr>
      </xdr:nvSpPr>
      <xdr:spPr bwMode="auto">
        <a:xfrm>
          <a:off x="2887980" y="16329660"/>
          <a:ext cx="3733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457200</xdr:colOff>
      <xdr:row>71</xdr:row>
      <xdr:rowOff>342900</xdr:rowOff>
    </xdr:from>
    <xdr:to>
      <xdr:col>4</xdr:col>
      <xdr:colOff>457200</xdr:colOff>
      <xdr:row>75</xdr:row>
      <xdr:rowOff>198120</xdr:rowOff>
    </xdr:to>
    <xdr:sp macro="" textlink="">
      <xdr:nvSpPr>
        <xdr:cNvPr id="359572" name="Line 182">
          <a:extLst>
            <a:ext uri="{FF2B5EF4-FFF2-40B4-BE49-F238E27FC236}">
              <a16:creationId xmlns:a16="http://schemas.microsoft.com/office/drawing/2014/main" xmlns="" id="{00000000-0008-0000-7500-0000947C0500}"/>
            </a:ext>
          </a:extLst>
        </xdr:cNvPr>
        <xdr:cNvSpPr>
          <a:spLocks noChangeShapeType="1"/>
        </xdr:cNvSpPr>
      </xdr:nvSpPr>
      <xdr:spPr bwMode="auto">
        <a:xfrm>
          <a:off x="3253740" y="16337280"/>
          <a:ext cx="0" cy="9829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472440</xdr:colOff>
      <xdr:row>75</xdr:row>
      <xdr:rowOff>198120</xdr:rowOff>
    </xdr:from>
    <xdr:to>
      <xdr:col>6</xdr:col>
      <xdr:colOff>510540</xdr:colOff>
      <xdr:row>75</xdr:row>
      <xdr:rowOff>198120</xdr:rowOff>
    </xdr:to>
    <xdr:sp macro="" textlink="">
      <xdr:nvSpPr>
        <xdr:cNvPr id="359573" name="Line 183">
          <a:extLst>
            <a:ext uri="{FF2B5EF4-FFF2-40B4-BE49-F238E27FC236}">
              <a16:creationId xmlns:a16="http://schemas.microsoft.com/office/drawing/2014/main" xmlns="" id="{00000000-0008-0000-7500-0000957C0500}"/>
            </a:ext>
          </a:extLst>
        </xdr:cNvPr>
        <xdr:cNvSpPr>
          <a:spLocks noChangeShapeType="1"/>
        </xdr:cNvSpPr>
      </xdr:nvSpPr>
      <xdr:spPr bwMode="auto">
        <a:xfrm>
          <a:off x="3268980" y="17320260"/>
          <a:ext cx="15849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38100</xdr:colOff>
      <xdr:row>14</xdr:row>
      <xdr:rowOff>68580</xdr:rowOff>
    </xdr:from>
    <xdr:to>
      <xdr:col>5</xdr:col>
      <xdr:colOff>22860</xdr:colOff>
      <xdr:row>14</xdr:row>
      <xdr:rowOff>68580</xdr:rowOff>
    </xdr:to>
    <xdr:sp macro="" textlink="">
      <xdr:nvSpPr>
        <xdr:cNvPr id="359574" name="Line 184">
          <a:extLst>
            <a:ext uri="{FF2B5EF4-FFF2-40B4-BE49-F238E27FC236}">
              <a16:creationId xmlns:a16="http://schemas.microsoft.com/office/drawing/2014/main" xmlns="" id="{00000000-0008-0000-7500-0000967C0500}"/>
            </a:ext>
          </a:extLst>
        </xdr:cNvPr>
        <xdr:cNvSpPr>
          <a:spLocks noChangeShapeType="1"/>
        </xdr:cNvSpPr>
      </xdr:nvSpPr>
      <xdr:spPr bwMode="auto">
        <a:xfrm>
          <a:off x="2834640" y="3093720"/>
          <a:ext cx="6096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30480</xdr:colOff>
      <xdr:row>12</xdr:row>
      <xdr:rowOff>160020</xdr:rowOff>
    </xdr:from>
    <xdr:to>
      <xdr:col>5</xdr:col>
      <xdr:colOff>30480</xdr:colOff>
      <xdr:row>14</xdr:row>
      <xdr:rowOff>68580</xdr:rowOff>
    </xdr:to>
    <xdr:sp macro="" textlink="">
      <xdr:nvSpPr>
        <xdr:cNvPr id="359575" name="Line 185">
          <a:extLst>
            <a:ext uri="{FF2B5EF4-FFF2-40B4-BE49-F238E27FC236}">
              <a16:creationId xmlns:a16="http://schemas.microsoft.com/office/drawing/2014/main" xmlns="" id="{00000000-0008-0000-7500-0000977C0500}"/>
            </a:ext>
          </a:extLst>
        </xdr:cNvPr>
        <xdr:cNvSpPr>
          <a:spLocks noChangeShapeType="1"/>
        </xdr:cNvSpPr>
      </xdr:nvSpPr>
      <xdr:spPr bwMode="auto">
        <a:xfrm flipV="1">
          <a:off x="3451860" y="2834640"/>
          <a:ext cx="0" cy="2590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38100</xdr:colOff>
      <xdr:row>12</xdr:row>
      <xdr:rowOff>152400</xdr:rowOff>
    </xdr:from>
    <xdr:to>
      <xdr:col>6</xdr:col>
      <xdr:colOff>556260</xdr:colOff>
      <xdr:row>12</xdr:row>
      <xdr:rowOff>160020</xdr:rowOff>
    </xdr:to>
    <xdr:sp macro="" textlink="">
      <xdr:nvSpPr>
        <xdr:cNvPr id="359576" name="Line 186">
          <a:extLst>
            <a:ext uri="{FF2B5EF4-FFF2-40B4-BE49-F238E27FC236}">
              <a16:creationId xmlns:a16="http://schemas.microsoft.com/office/drawing/2014/main" xmlns="" id="{00000000-0008-0000-7500-0000987C0500}"/>
            </a:ext>
          </a:extLst>
        </xdr:cNvPr>
        <xdr:cNvSpPr>
          <a:spLocks noChangeShapeType="1"/>
        </xdr:cNvSpPr>
      </xdr:nvSpPr>
      <xdr:spPr bwMode="auto">
        <a:xfrm flipV="1">
          <a:off x="3459480" y="2827020"/>
          <a:ext cx="1440180" cy="76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91440</xdr:colOff>
      <xdr:row>12</xdr:row>
      <xdr:rowOff>99060</xdr:rowOff>
    </xdr:from>
    <xdr:to>
      <xdr:col>9</xdr:col>
      <xdr:colOff>617220</xdr:colOff>
      <xdr:row>12</xdr:row>
      <xdr:rowOff>99060</xdr:rowOff>
    </xdr:to>
    <xdr:cxnSp macro="">
      <xdr:nvCxnSpPr>
        <xdr:cNvPr id="359577" name="AutoShape 188">
          <a:extLst>
            <a:ext uri="{FF2B5EF4-FFF2-40B4-BE49-F238E27FC236}">
              <a16:creationId xmlns:a16="http://schemas.microsoft.com/office/drawing/2014/main" xmlns="" id="{00000000-0008-0000-7500-0000997C0500}"/>
            </a:ext>
          </a:extLst>
        </xdr:cNvPr>
        <xdr:cNvCxnSpPr>
          <a:cxnSpLocks noChangeShapeType="1"/>
        </xdr:cNvCxnSpPr>
      </xdr:nvCxnSpPr>
      <xdr:spPr bwMode="auto">
        <a:xfrm flipH="1">
          <a:off x="10728960" y="277368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45720</xdr:colOff>
      <xdr:row>19</xdr:row>
      <xdr:rowOff>106680</xdr:rowOff>
    </xdr:from>
    <xdr:to>
      <xdr:col>5</xdr:col>
      <xdr:colOff>137160</xdr:colOff>
      <xdr:row>19</xdr:row>
      <xdr:rowOff>106680</xdr:rowOff>
    </xdr:to>
    <xdr:sp macro="" textlink="">
      <xdr:nvSpPr>
        <xdr:cNvPr id="359578" name="Line 189">
          <a:extLst>
            <a:ext uri="{FF2B5EF4-FFF2-40B4-BE49-F238E27FC236}">
              <a16:creationId xmlns:a16="http://schemas.microsoft.com/office/drawing/2014/main" xmlns="" id="{00000000-0008-0000-7500-00009A7C0500}"/>
            </a:ext>
          </a:extLst>
        </xdr:cNvPr>
        <xdr:cNvSpPr>
          <a:spLocks noChangeShapeType="1"/>
        </xdr:cNvSpPr>
      </xdr:nvSpPr>
      <xdr:spPr bwMode="auto">
        <a:xfrm>
          <a:off x="2842260" y="4061460"/>
          <a:ext cx="71628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137160</xdr:colOff>
      <xdr:row>17</xdr:row>
      <xdr:rowOff>144780</xdr:rowOff>
    </xdr:from>
    <xdr:to>
      <xdr:col>5</xdr:col>
      <xdr:colOff>137160</xdr:colOff>
      <xdr:row>19</xdr:row>
      <xdr:rowOff>106680</xdr:rowOff>
    </xdr:to>
    <xdr:sp macro="" textlink="">
      <xdr:nvSpPr>
        <xdr:cNvPr id="359579" name="Line 190">
          <a:extLst>
            <a:ext uri="{FF2B5EF4-FFF2-40B4-BE49-F238E27FC236}">
              <a16:creationId xmlns:a16="http://schemas.microsoft.com/office/drawing/2014/main" xmlns="" id="{00000000-0008-0000-7500-00009B7C0500}"/>
            </a:ext>
          </a:extLst>
        </xdr:cNvPr>
        <xdr:cNvSpPr>
          <a:spLocks noChangeShapeType="1"/>
        </xdr:cNvSpPr>
      </xdr:nvSpPr>
      <xdr:spPr bwMode="auto">
        <a:xfrm flipV="1">
          <a:off x="3558540" y="3665220"/>
          <a:ext cx="0" cy="39624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137160</xdr:colOff>
      <xdr:row>17</xdr:row>
      <xdr:rowOff>144780</xdr:rowOff>
    </xdr:from>
    <xdr:to>
      <xdr:col>6</xdr:col>
      <xdr:colOff>320040</xdr:colOff>
      <xdr:row>17</xdr:row>
      <xdr:rowOff>144780</xdr:rowOff>
    </xdr:to>
    <xdr:sp macro="" textlink="">
      <xdr:nvSpPr>
        <xdr:cNvPr id="359580" name="Line 191">
          <a:extLst>
            <a:ext uri="{FF2B5EF4-FFF2-40B4-BE49-F238E27FC236}">
              <a16:creationId xmlns:a16="http://schemas.microsoft.com/office/drawing/2014/main" xmlns="" id="{00000000-0008-0000-7500-00009C7C0500}"/>
            </a:ext>
          </a:extLst>
        </xdr:cNvPr>
        <xdr:cNvSpPr>
          <a:spLocks noChangeShapeType="1"/>
        </xdr:cNvSpPr>
      </xdr:nvSpPr>
      <xdr:spPr bwMode="auto">
        <a:xfrm>
          <a:off x="3558540" y="3665220"/>
          <a:ext cx="11049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45720</xdr:colOff>
      <xdr:row>22</xdr:row>
      <xdr:rowOff>68580</xdr:rowOff>
    </xdr:from>
    <xdr:to>
      <xdr:col>4</xdr:col>
      <xdr:colOff>144780</xdr:colOff>
      <xdr:row>22</xdr:row>
      <xdr:rowOff>68580</xdr:rowOff>
    </xdr:to>
    <xdr:sp macro="" textlink="">
      <xdr:nvSpPr>
        <xdr:cNvPr id="359581" name="Line 192">
          <a:extLst>
            <a:ext uri="{FF2B5EF4-FFF2-40B4-BE49-F238E27FC236}">
              <a16:creationId xmlns:a16="http://schemas.microsoft.com/office/drawing/2014/main" xmlns="" id="{00000000-0008-0000-7500-00009D7C0500}"/>
            </a:ext>
          </a:extLst>
        </xdr:cNvPr>
        <xdr:cNvSpPr>
          <a:spLocks noChangeShapeType="1"/>
        </xdr:cNvSpPr>
      </xdr:nvSpPr>
      <xdr:spPr bwMode="auto">
        <a:xfrm>
          <a:off x="2842260" y="4968240"/>
          <a:ext cx="99060" cy="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144780</xdr:colOff>
      <xdr:row>19</xdr:row>
      <xdr:rowOff>182880</xdr:rowOff>
    </xdr:from>
    <xdr:to>
      <xdr:col>4</xdr:col>
      <xdr:colOff>144780</xdr:colOff>
      <xdr:row>22</xdr:row>
      <xdr:rowOff>68580</xdr:rowOff>
    </xdr:to>
    <xdr:sp macro="" textlink="">
      <xdr:nvSpPr>
        <xdr:cNvPr id="359582" name="Line 193">
          <a:extLst>
            <a:ext uri="{FF2B5EF4-FFF2-40B4-BE49-F238E27FC236}">
              <a16:creationId xmlns:a16="http://schemas.microsoft.com/office/drawing/2014/main" xmlns="" id="{00000000-0008-0000-7500-00009E7C0500}"/>
            </a:ext>
          </a:extLst>
        </xdr:cNvPr>
        <xdr:cNvSpPr>
          <a:spLocks noChangeShapeType="1"/>
        </xdr:cNvSpPr>
      </xdr:nvSpPr>
      <xdr:spPr bwMode="auto">
        <a:xfrm flipV="1">
          <a:off x="2941320" y="4137660"/>
          <a:ext cx="0" cy="83058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411480</xdr:colOff>
      <xdr:row>17</xdr:row>
      <xdr:rowOff>266700</xdr:rowOff>
    </xdr:from>
    <xdr:to>
      <xdr:col>6</xdr:col>
      <xdr:colOff>312420</xdr:colOff>
      <xdr:row>17</xdr:row>
      <xdr:rowOff>266700</xdr:rowOff>
    </xdr:to>
    <xdr:sp macro="" textlink="">
      <xdr:nvSpPr>
        <xdr:cNvPr id="359583" name="Line 194">
          <a:extLst>
            <a:ext uri="{FF2B5EF4-FFF2-40B4-BE49-F238E27FC236}">
              <a16:creationId xmlns:a16="http://schemas.microsoft.com/office/drawing/2014/main" xmlns="" id="{00000000-0008-0000-7500-00009F7C0500}"/>
            </a:ext>
          </a:extLst>
        </xdr:cNvPr>
        <xdr:cNvSpPr>
          <a:spLocks noChangeShapeType="1"/>
        </xdr:cNvSpPr>
      </xdr:nvSpPr>
      <xdr:spPr bwMode="auto">
        <a:xfrm>
          <a:off x="3832860" y="3787140"/>
          <a:ext cx="822960" cy="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144780</xdr:colOff>
      <xdr:row>19</xdr:row>
      <xdr:rowOff>182880</xdr:rowOff>
    </xdr:from>
    <xdr:to>
      <xdr:col>5</xdr:col>
      <xdr:colOff>411480</xdr:colOff>
      <xdr:row>19</xdr:row>
      <xdr:rowOff>182880</xdr:rowOff>
    </xdr:to>
    <xdr:sp macro="" textlink="">
      <xdr:nvSpPr>
        <xdr:cNvPr id="359584" name="Line 195">
          <a:extLst>
            <a:ext uri="{FF2B5EF4-FFF2-40B4-BE49-F238E27FC236}">
              <a16:creationId xmlns:a16="http://schemas.microsoft.com/office/drawing/2014/main" xmlns="" id="{00000000-0008-0000-7500-0000A07C0500}"/>
            </a:ext>
          </a:extLst>
        </xdr:cNvPr>
        <xdr:cNvSpPr>
          <a:spLocks noChangeShapeType="1"/>
        </xdr:cNvSpPr>
      </xdr:nvSpPr>
      <xdr:spPr bwMode="auto">
        <a:xfrm>
          <a:off x="2941320" y="4137660"/>
          <a:ext cx="891540" cy="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411480</xdr:colOff>
      <xdr:row>17</xdr:row>
      <xdr:rowOff>266700</xdr:rowOff>
    </xdr:from>
    <xdr:to>
      <xdr:col>5</xdr:col>
      <xdr:colOff>411480</xdr:colOff>
      <xdr:row>19</xdr:row>
      <xdr:rowOff>182880</xdr:rowOff>
    </xdr:to>
    <xdr:sp macro="" textlink="">
      <xdr:nvSpPr>
        <xdr:cNvPr id="359585" name="Line 196">
          <a:extLst>
            <a:ext uri="{FF2B5EF4-FFF2-40B4-BE49-F238E27FC236}">
              <a16:creationId xmlns:a16="http://schemas.microsoft.com/office/drawing/2014/main" xmlns="" id="{00000000-0008-0000-7500-0000A17C0500}"/>
            </a:ext>
          </a:extLst>
        </xdr:cNvPr>
        <xdr:cNvSpPr>
          <a:spLocks noChangeShapeType="1"/>
        </xdr:cNvSpPr>
      </xdr:nvSpPr>
      <xdr:spPr bwMode="auto">
        <a:xfrm flipV="1">
          <a:off x="3832860" y="3787140"/>
          <a:ext cx="0" cy="35052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563880</xdr:colOff>
      <xdr:row>69</xdr:row>
      <xdr:rowOff>198120</xdr:rowOff>
    </xdr:from>
    <xdr:to>
      <xdr:col>2</xdr:col>
      <xdr:colOff>563880</xdr:colOff>
      <xdr:row>77</xdr:row>
      <xdr:rowOff>190500</xdr:rowOff>
    </xdr:to>
    <xdr:sp macro="" textlink="">
      <xdr:nvSpPr>
        <xdr:cNvPr id="359586" name="Line 197">
          <a:extLst>
            <a:ext uri="{FF2B5EF4-FFF2-40B4-BE49-F238E27FC236}">
              <a16:creationId xmlns:a16="http://schemas.microsoft.com/office/drawing/2014/main" xmlns="" id="{00000000-0008-0000-7500-0000A27C0500}"/>
            </a:ext>
          </a:extLst>
        </xdr:cNvPr>
        <xdr:cNvSpPr>
          <a:spLocks noChangeShapeType="1"/>
        </xdr:cNvSpPr>
      </xdr:nvSpPr>
      <xdr:spPr bwMode="auto">
        <a:xfrm>
          <a:off x="1440180" y="15689580"/>
          <a:ext cx="0" cy="212598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563880</xdr:colOff>
      <xdr:row>69</xdr:row>
      <xdr:rowOff>198120</xdr:rowOff>
    </xdr:from>
    <xdr:to>
      <xdr:col>2</xdr:col>
      <xdr:colOff>693420</xdr:colOff>
      <xdr:row>69</xdr:row>
      <xdr:rowOff>198120</xdr:rowOff>
    </xdr:to>
    <xdr:sp macro="" textlink="">
      <xdr:nvSpPr>
        <xdr:cNvPr id="359587" name="Line 198">
          <a:extLst>
            <a:ext uri="{FF2B5EF4-FFF2-40B4-BE49-F238E27FC236}">
              <a16:creationId xmlns:a16="http://schemas.microsoft.com/office/drawing/2014/main" xmlns="" id="{00000000-0008-0000-7500-0000A37C0500}"/>
            </a:ext>
          </a:extLst>
        </xdr:cNvPr>
        <xdr:cNvSpPr>
          <a:spLocks noChangeShapeType="1"/>
        </xdr:cNvSpPr>
      </xdr:nvSpPr>
      <xdr:spPr bwMode="auto">
        <a:xfrm>
          <a:off x="1440180" y="15689580"/>
          <a:ext cx="1295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579120</xdr:colOff>
      <xdr:row>77</xdr:row>
      <xdr:rowOff>190500</xdr:rowOff>
    </xdr:from>
    <xdr:to>
      <xdr:col>2</xdr:col>
      <xdr:colOff>693420</xdr:colOff>
      <xdr:row>77</xdr:row>
      <xdr:rowOff>190500</xdr:rowOff>
    </xdr:to>
    <xdr:sp macro="" textlink="">
      <xdr:nvSpPr>
        <xdr:cNvPr id="359588" name="Line 199">
          <a:extLst>
            <a:ext uri="{FF2B5EF4-FFF2-40B4-BE49-F238E27FC236}">
              <a16:creationId xmlns:a16="http://schemas.microsoft.com/office/drawing/2014/main" xmlns="" id="{00000000-0008-0000-7500-0000A47C0500}"/>
            </a:ext>
          </a:extLst>
        </xdr:cNvPr>
        <xdr:cNvSpPr>
          <a:spLocks noChangeShapeType="1"/>
        </xdr:cNvSpPr>
      </xdr:nvSpPr>
      <xdr:spPr bwMode="auto">
        <a:xfrm>
          <a:off x="1455420" y="1781556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175260</xdr:colOff>
      <xdr:row>73</xdr:row>
      <xdr:rowOff>457200</xdr:rowOff>
    </xdr:from>
    <xdr:to>
      <xdr:col>4</xdr:col>
      <xdr:colOff>182880</xdr:colOff>
      <xdr:row>97</xdr:row>
      <xdr:rowOff>160020</xdr:rowOff>
    </xdr:to>
    <xdr:sp macro="" textlink="">
      <xdr:nvSpPr>
        <xdr:cNvPr id="359589" name="Line 200">
          <a:extLst>
            <a:ext uri="{FF2B5EF4-FFF2-40B4-BE49-F238E27FC236}">
              <a16:creationId xmlns:a16="http://schemas.microsoft.com/office/drawing/2014/main" xmlns="" id="{00000000-0008-0000-7500-0000A57C0500}"/>
            </a:ext>
          </a:extLst>
        </xdr:cNvPr>
        <xdr:cNvSpPr>
          <a:spLocks noChangeShapeType="1"/>
        </xdr:cNvSpPr>
      </xdr:nvSpPr>
      <xdr:spPr bwMode="auto">
        <a:xfrm>
          <a:off x="2971800" y="16954500"/>
          <a:ext cx="7620" cy="429768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182880</xdr:colOff>
      <xdr:row>97</xdr:row>
      <xdr:rowOff>160020</xdr:rowOff>
    </xdr:from>
    <xdr:to>
      <xdr:col>6</xdr:col>
      <xdr:colOff>586740</xdr:colOff>
      <xdr:row>97</xdr:row>
      <xdr:rowOff>160020</xdr:rowOff>
    </xdr:to>
    <xdr:sp macro="" textlink="">
      <xdr:nvSpPr>
        <xdr:cNvPr id="359590" name="Line 201">
          <a:extLst>
            <a:ext uri="{FF2B5EF4-FFF2-40B4-BE49-F238E27FC236}">
              <a16:creationId xmlns:a16="http://schemas.microsoft.com/office/drawing/2014/main" xmlns="" id="{00000000-0008-0000-7500-0000A67C0500}"/>
            </a:ext>
          </a:extLst>
        </xdr:cNvPr>
        <xdr:cNvSpPr>
          <a:spLocks noChangeShapeType="1"/>
        </xdr:cNvSpPr>
      </xdr:nvSpPr>
      <xdr:spPr bwMode="auto">
        <a:xfrm flipV="1">
          <a:off x="2979420" y="21252180"/>
          <a:ext cx="195072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76200</xdr:colOff>
      <xdr:row>69</xdr:row>
      <xdr:rowOff>289560</xdr:rowOff>
    </xdr:from>
    <xdr:to>
      <xdr:col>6</xdr:col>
      <xdr:colOff>571500</xdr:colOff>
      <xdr:row>69</xdr:row>
      <xdr:rowOff>289560</xdr:rowOff>
    </xdr:to>
    <xdr:sp macro="" textlink="">
      <xdr:nvSpPr>
        <xdr:cNvPr id="359591" name="Line 203">
          <a:extLst>
            <a:ext uri="{FF2B5EF4-FFF2-40B4-BE49-F238E27FC236}">
              <a16:creationId xmlns:a16="http://schemas.microsoft.com/office/drawing/2014/main" xmlns="" id="{00000000-0008-0000-7500-0000A77C0500}"/>
            </a:ext>
          </a:extLst>
        </xdr:cNvPr>
        <xdr:cNvSpPr>
          <a:spLocks noChangeShapeType="1"/>
        </xdr:cNvSpPr>
      </xdr:nvSpPr>
      <xdr:spPr bwMode="auto">
        <a:xfrm flipH="1">
          <a:off x="4419600" y="15781020"/>
          <a:ext cx="495300" cy="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60960</xdr:colOff>
      <xdr:row>69</xdr:row>
      <xdr:rowOff>289560</xdr:rowOff>
    </xdr:from>
    <xdr:to>
      <xdr:col>6</xdr:col>
      <xdr:colOff>76200</xdr:colOff>
      <xdr:row>97</xdr:row>
      <xdr:rowOff>53340</xdr:rowOff>
    </xdr:to>
    <xdr:sp macro="" textlink="">
      <xdr:nvSpPr>
        <xdr:cNvPr id="359592" name="Line 205">
          <a:extLst>
            <a:ext uri="{FF2B5EF4-FFF2-40B4-BE49-F238E27FC236}">
              <a16:creationId xmlns:a16="http://schemas.microsoft.com/office/drawing/2014/main" xmlns="" id="{00000000-0008-0000-7500-0000A87C0500}"/>
            </a:ext>
          </a:extLst>
        </xdr:cNvPr>
        <xdr:cNvSpPr>
          <a:spLocks noChangeShapeType="1"/>
        </xdr:cNvSpPr>
      </xdr:nvSpPr>
      <xdr:spPr bwMode="auto">
        <a:xfrm flipH="1">
          <a:off x="4404360" y="15781020"/>
          <a:ext cx="15240" cy="536448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68580</xdr:colOff>
      <xdr:row>97</xdr:row>
      <xdr:rowOff>53340</xdr:rowOff>
    </xdr:from>
    <xdr:to>
      <xdr:col>6</xdr:col>
      <xdr:colOff>563880</xdr:colOff>
      <xdr:row>97</xdr:row>
      <xdr:rowOff>53340</xdr:rowOff>
    </xdr:to>
    <xdr:sp macro="" textlink="">
      <xdr:nvSpPr>
        <xdr:cNvPr id="359593" name="Line 206">
          <a:extLst>
            <a:ext uri="{FF2B5EF4-FFF2-40B4-BE49-F238E27FC236}">
              <a16:creationId xmlns:a16="http://schemas.microsoft.com/office/drawing/2014/main" xmlns="" id="{00000000-0008-0000-7500-0000A97C0500}"/>
            </a:ext>
          </a:extLst>
        </xdr:cNvPr>
        <xdr:cNvSpPr>
          <a:spLocks noChangeShapeType="1"/>
        </xdr:cNvSpPr>
      </xdr:nvSpPr>
      <xdr:spPr bwMode="auto">
        <a:xfrm>
          <a:off x="4411980" y="21145500"/>
          <a:ext cx="495300" cy="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60960</xdr:colOff>
      <xdr:row>71</xdr:row>
      <xdr:rowOff>76200</xdr:rowOff>
    </xdr:from>
    <xdr:to>
      <xdr:col>4</xdr:col>
      <xdr:colOff>449580</xdr:colOff>
      <xdr:row>71</xdr:row>
      <xdr:rowOff>76200</xdr:rowOff>
    </xdr:to>
    <xdr:sp macro="" textlink="">
      <xdr:nvSpPr>
        <xdr:cNvPr id="359594" name="Line 207">
          <a:extLst>
            <a:ext uri="{FF2B5EF4-FFF2-40B4-BE49-F238E27FC236}">
              <a16:creationId xmlns:a16="http://schemas.microsoft.com/office/drawing/2014/main" xmlns="" id="{00000000-0008-0000-7500-0000AA7C0500}"/>
            </a:ext>
          </a:extLst>
        </xdr:cNvPr>
        <xdr:cNvSpPr>
          <a:spLocks noChangeShapeType="1"/>
        </xdr:cNvSpPr>
      </xdr:nvSpPr>
      <xdr:spPr bwMode="auto">
        <a:xfrm>
          <a:off x="2857500" y="16070580"/>
          <a:ext cx="388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449580</xdr:colOff>
      <xdr:row>69</xdr:row>
      <xdr:rowOff>198120</xdr:rowOff>
    </xdr:from>
    <xdr:to>
      <xdr:col>4</xdr:col>
      <xdr:colOff>449580</xdr:colOff>
      <xdr:row>71</xdr:row>
      <xdr:rowOff>76200</xdr:rowOff>
    </xdr:to>
    <xdr:sp macro="" textlink="">
      <xdr:nvSpPr>
        <xdr:cNvPr id="359595" name="Line 209">
          <a:extLst>
            <a:ext uri="{FF2B5EF4-FFF2-40B4-BE49-F238E27FC236}">
              <a16:creationId xmlns:a16="http://schemas.microsoft.com/office/drawing/2014/main" xmlns="" id="{00000000-0008-0000-7500-0000AB7C0500}"/>
            </a:ext>
          </a:extLst>
        </xdr:cNvPr>
        <xdr:cNvSpPr>
          <a:spLocks noChangeShapeType="1"/>
        </xdr:cNvSpPr>
      </xdr:nvSpPr>
      <xdr:spPr bwMode="auto">
        <a:xfrm flipV="1">
          <a:off x="3246120" y="15689580"/>
          <a:ext cx="0" cy="3810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457200</xdr:colOff>
      <xdr:row>69</xdr:row>
      <xdr:rowOff>198120</xdr:rowOff>
    </xdr:from>
    <xdr:to>
      <xdr:col>6</xdr:col>
      <xdr:colOff>563880</xdr:colOff>
      <xdr:row>69</xdr:row>
      <xdr:rowOff>198120</xdr:rowOff>
    </xdr:to>
    <xdr:sp macro="" textlink="">
      <xdr:nvSpPr>
        <xdr:cNvPr id="359596" name="Line 210">
          <a:extLst>
            <a:ext uri="{FF2B5EF4-FFF2-40B4-BE49-F238E27FC236}">
              <a16:creationId xmlns:a16="http://schemas.microsoft.com/office/drawing/2014/main" xmlns="" id="{00000000-0008-0000-7500-0000AC7C0500}"/>
            </a:ext>
          </a:extLst>
        </xdr:cNvPr>
        <xdr:cNvSpPr>
          <a:spLocks noChangeShapeType="1"/>
        </xdr:cNvSpPr>
      </xdr:nvSpPr>
      <xdr:spPr bwMode="auto">
        <a:xfrm>
          <a:off x="3253740" y="15689580"/>
          <a:ext cx="16535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45720</xdr:colOff>
      <xdr:row>69</xdr:row>
      <xdr:rowOff>266700</xdr:rowOff>
    </xdr:from>
    <xdr:to>
      <xdr:col>9</xdr:col>
      <xdr:colOff>213360</xdr:colOff>
      <xdr:row>69</xdr:row>
      <xdr:rowOff>266700</xdr:rowOff>
    </xdr:to>
    <xdr:sp macro="" textlink="">
      <xdr:nvSpPr>
        <xdr:cNvPr id="359597" name="Line 211">
          <a:extLst>
            <a:ext uri="{FF2B5EF4-FFF2-40B4-BE49-F238E27FC236}">
              <a16:creationId xmlns:a16="http://schemas.microsoft.com/office/drawing/2014/main" xmlns="" id="{00000000-0008-0000-7500-0000AD7C0500}"/>
            </a:ext>
          </a:extLst>
        </xdr:cNvPr>
        <xdr:cNvSpPr>
          <a:spLocks noChangeShapeType="1"/>
        </xdr:cNvSpPr>
      </xdr:nvSpPr>
      <xdr:spPr bwMode="auto">
        <a:xfrm>
          <a:off x="10683240" y="15758160"/>
          <a:ext cx="1676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220980</xdr:colOff>
      <xdr:row>69</xdr:row>
      <xdr:rowOff>266700</xdr:rowOff>
    </xdr:from>
    <xdr:to>
      <xdr:col>9</xdr:col>
      <xdr:colOff>220980</xdr:colOff>
      <xdr:row>71</xdr:row>
      <xdr:rowOff>190500</xdr:rowOff>
    </xdr:to>
    <xdr:sp macro="" textlink="">
      <xdr:nvSpPr>
        <xdr:cNvPr id="359598" name="Line 212">
          <a:extLst>
            <a:ext uri="{FF2B5EF4-FFF2-40B4-BE49-F238E27FC236}">
              <a16:creationId xmlns:a16="http://schemas.microsoft.com/office/drawing/2014/main" xmlns="" id="{00000000-0008-0000-7500-0000AE7C0500}"/>
            </a:ext>
          </a:extLst>
        </xdr:cNvPr>
        <xdr:cNvSpPr>
          <a:spLocks noChangeShapeType="1"/>
        </xdr:cNvSpPr>
      </xdr:nvSpPr>
      <xdr:spPr bwMode="auto">
        <a:xfrm>
          <a:off x="10858500" y="15758160"/>
          <a:ext cx="0" cy="4267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38100</xdr:colOff>
      <xdr:row>71</xdr:row>
      <xdr:rowOff>190500</xdr:rowOff>
    </xdr:from>
    <xdr:to>
      <xdr:col>9</xdr:col>
      <xdr:colOff>213360</xdr:colOff>
      <xdr:row>71</xdr:row>
      <xdr:rowOff>190500</xdr:rowOff>
    </xdr:to>
    <xdr:sp macro="" textlink="">
      <xdr:nvSpPr>
        <xdr:cNvPr id="359599" name="Line 213">
          <a:extLst>
            <a:ext uri="{FF2B5EF4-FFF2-40B4-BE49-F238E27FC236}">
              <a16:creationId xmlns:a16="http://schemas.microsoft.com/office/drawing/2014/main" xmlns="" id="{00000000-0008-0000-7500-0000AF7C0500}"/>
            </a:ext>
          </a:extLst>
        </xdr:cNvPr>
        <xdr:cNvSpPr>
          <a:spLocks noChangeShapeType="1"/>
        </xdr:cNvSpPr>
      </xdr:nvSpPr>
      <xdr:spPr bwMode="auto">
        <a:xfrm flipH="1">
          <a:off x="10675620" y="16184880"/>
          <a:ext cx="1752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30480</xdr:colOff>
      <xdr:row>99</xdr:row>
      <xdr:rowOff>99060</xdr:rowOff>
    </xdr:from>
    <xdr:to>
      <xdr:col>9</xdr:col>
      <xdr:colOff>586740</xdr:colOff>
      <xdr:row>99</xdr:row>
      <xdr:rowOff>99060</xdr:rowOff>
    </xdr:to>
    <xdr:sp macro="" textlink="">
      <xdr:nvSpPr>
        <xdr:cNvPr id="359600" name="Line 214">
          <a:extLst>
            <a:ext uri="{FF2B5EF4-FFF2-40B4-BE49-F238E27FC236}">
              <a16:creationId xmlns:a16="http://schemas.microsoft.com/office/drawing/2014/main" xmlns="" id="{00000000-0008-0000-7500-0000B07C0500}"/>
            </a:ext>
          </a:extLst>
        </xdr:cNvPr>
        <xdr:cNvSpPr>
          <a:spLocks noChangeShapeType="1"/>
        </xdr:cNvSpPr>
      </xdr:nvSpPr>
      <xdr:spPr bwMode="auto">
        <a:xfrm flipH="1">
          <a:off x="10668000" y="21564600"/>
          <a:ext cx="5562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45720</xdr:colOff>
      <xdr:row>73</xdr:row>
      <xdr:rowOff>449580</xdr:rowOff>
    </xdr:from>
    <xdr:to>
      <xdr:col>4</xdr:col>
      <xdr:colOff>175260</xdr:colOff>
      <xdr:row>73</xdr:row>
      <xdr:rowOff>449580</xdr:rowOff>
    </xdr:to>
    <xdr:sp macro="" textlink="">
      <xdr:nvSpPr>
        <xdr:cNvPr id="359601" name="Line 216">
          <a:extLst>
            <a:ext uri="{FF2B5EF4-FFF2-40B4-BE49-F238E27FC236}">
              <a16:creationId xmlns:a16="http://schemas.microsoft.com/office/drawing/2014/main" xmlns="" id="{00000000-0008-0000-7500-0000B17C0500}"/>
            </a:ext>
          </a:extLst>
        </xdr:cNvPr>
        <xdr:cNvSpPr>
          <a:spLocks noChangeShapeType="1"/>
        </xdr:cNvSpPr>
      </xdr:nvSpPr>
      <xdr:spPr bwMode="auto">
        <a:xfrm>
          <a:off x="2842260" y="16946880"/>
          <a:ext cx="12954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99060</xdr:colOff>
      <xdr:row>30</xdr:row>
      <xdr:rowOff>76200</xdr:rowOff>
    </xdr:from>
    <xdr:to>
      <xdr:col>6</xdr:col>
      <xdr:colOff>563880</xdr:colOff>
      <xdr:row>30</xdr:row>
      <xdr:rowOff>76200</xdr:rowOff>
    </xdr:to>
    <xdr:sp macro="" textlink="">
      <xdr:nvSpPr>
        <xdr:cNvPr id="359602" name="Line 217">
          <a:extLst>
            <a:ext uri="{FF2B5EF4-FFF2-40B4-BE49-F238E27FC236}">
              <a16:creationId xmlns:a16="http://schemas.microsoft.com/office/drawing/2014/main" xmlns="" id="{00000000-0008-0000-7500-0000B27C0500}"/>
            </a:ext>
          </a:extLst>
        </xdr:cNvPr>
        <xdr:cNvSpPr>
          <a:spLocks noChangeShapeType="1"/>
        </xdr:cNvSpPr>
      </xdr:nvSpPr>
      <xdr:spPr bwMode="auto">
        <a:xfrm>
          <a:off x="2895600" y="6637020"/>
          <a:ext cx="20116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160020</xdr:colOff>
      <xdr:row>30</xdr:row>
      <xdr:rowOff>198120</xdr:rowOff>
    </xdr:from>
    <xdr:to>
      <xdr:col>6</xdr:col>
      <xdr:colOff>541020</xdr:colOff>
      <xdr:row>30</xdr:row>
      <xdr:rowOff>198120</xdr:rowOff>
    </xdr:to>
    <xdr:sp macro="" textlink="">
      <xdr:nvSpPr>
        <xdr:cNvPr id="359603" name="Line 218">
          <a:extLst>
            <a:ext uri="{FF2B5EF4-FFF2-40B4-BE49-F238E27FC236}">
              <a16:creationId xmlns:a16="http://schemas.microsoft.com/office/drawing/2014/main" xmlns="" id="{00000000-0008-0000-7500-0000B37C0500}"/>
            </a:ext>
          </a:extLst>
        </xdr:cNvPr>
        <xdr:cNvSpPr>
          <a:spLocks noChangeShapeType="1"/>
        </xdr:cNvSpPr>
      </xdr:nvSpPr>
      <xdr:spPr bwMode="auto">
        <a:xfrm>
          <a:off x="4503420" y="6758940"/>
          <a:ext cx="3810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144780</xdr:colOff>
      <xdr:row>30</xdr:row>
      <xdr:rowOff>213360</xdr:rowOff>
    </xdr:from>
    <xdr:to>
      <xdr:col>6</xdr:col>
      <xdr:colOff>144780</xdr:colOff>
      <xdr:row>32</xdr:row>
      <xdr:rowOff>76200</xdr:rowOff>
    </xdr:to>
    <xdr:sp macro="" textlink="">
      <xdr:nvSpPr>
        <xdr:cNvPr id="359604" name="Line 219">
          <a:extLst>
            <a:ext uri="{FF2B5EF4-FFF2-40B4-BE49-F238E27FC236}">
              <a16:creationId xmlns:a16="http://schemas.microsoft.com/office/drawing/2014/main" xmlns="" id="{00000000-0008-0000-7500-0000B47C0500}"/>
            </a:ext>
          </a:extLst>
        </xdr:cNvPr>
        <xdr:cNvSpPr>
          <a:spLocks noChangeShapeType="1"/>
        </xdr:cNvSpPr>
      </xdr:nvSpPr>
      <xdr:spPr bwMode="auto">
        <a:xfrm>
          <a:off x="4488180" y="6774180"/>
          <a:ext cx="0" cy="2362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60960</xdr:colOff>
      <xdr:row>32</xdr:row>
      <xdr:rowOff>259080</xdr:rowOff>
    </xdr:from>
    <xdr:to>
      <xdr:col>5</xdr:col>
      <xdr:colOff>647700</xdr:colOff>
      <xdr:row>32</xdr:row>
      <xdr:rowOff>259080</xdr:rowOff>
    </xdr:to>
    <xdr:sp macro="" textlink="">
      <xdr:nvSpPr>
        <xdr:cNvPr id="359605" name="Line 220">
          <a:extLst>
            <a:ext uri="{FF2B5EF4-FFF2-40B4-BE49-F238E27FC236}">
              <a16:creationId xmlns:a16="http://schemas.microsoft.com/office/drawing/2014/main" xmlns="" id="{00000000-0008-0000-7500-0000B57C0500}"/>
            </a:ext>
          </a:extLst>
        </xdr:cNvPr>
        <xdr:cNvSpPr>
          <a:spLocks noChangeShapeType="1"/>
        </xdr:cNvSpPr>
      </xdr:nvSpPr>
      <xdr:spPr bwMode="auto">
        <a:xfrm>
          <a:off x="2857500" y="7193280"/>
          <a:ext cx="12115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32</xdr:row>
      <xdr:rowOff>259080</xdr:rowOff>
    </xdr:from>
    <xdr:to>
      <xdr:col>5</xdr:col>
      <xdr:colOff>647700</xdr:colOff>
      <xdr:row>34</xdr:row>
      <xdr:rowOff>83820</xdr:rowOff>
    </xdr:to>
    <xdr:sp macro="" textlink="">
      <xdr:nvSpPr>
        <xdr:cNvPr id="359606" name="Line 221">
          <a:extLst>
            <a:ext uri="{FF2B5EF4-FFF2-40B4-BE49-F238E27FC236}">
              <a16:creationId xmlns:a16="http://schemas.microsoft.com/office/drawing/2014/main" xmlns="" id="{00000000-0008-0000-7500-0000B67C0500}"/>
            </a:ext>
          </a:extLst>
        </xdr:cNvPr>
        <xdr:cNvSpPr>
          <a:spLocks noChangeShapeType="1"/>
        </xdr:cNvSpPr>
      </xdr:nvSpPr>
      <xdr:spPr bwMode="auto">
        <a:xfrm>
          <a:off x="4069080" y="7193280"/>
          <a:ext cx="0" cy="3276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647700</xdr:colOff>
      <xdr:row>34</xdr:row>
      <xdr:rowOff>99060</xdr:rowOff>
    </xdr:from>
    <xdr:to>
      <xdr:col>6</xdr:col>
      <xdr:colOff>563880</xdr:colOff>
      <xdr:row>34</xdr:row>
      <xdr:rowOff>99060</xdr:rowOff>
    </xdr:to>
    <xdr:sp macro="" textlink="">
      <xdr:nvSpPr>
        <xdr:cNvPr id="359607" name="Line 222">
          <a:extLst>
            <a:ext uri="{FF2B5EF4-FFF2-40B4-BE49-F238E27FC236}">
              <a16:creationId xmlns:a16="http://schemas.microsoft.com/office/drawing/2014/main" xmlns="" id="{00000000-0008-0000-7500-0000B77C0500}"/>
            </a:ext>
          </a:extLst>
        </xdr:cNvPr>
        <xdr:cNvSpPr>
          <a:spLocks noChangeShapeType="1"/>
        </xdr:cNvSpPr>
      </xdr:nvSpPr>
      <xdr:spPr bwMode="auto">
        <a:xfrm>
          <a:off x="4069080" y="7536180"/>
          <a:ext cx="8382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205740</xdr:colOff>
      <xdr:row>40</xdr:row>
      <xdr:rowOff>76200</xdr:rowOff>
    </xdr:from>
    <xdr:to>
      <xdr:col>6</xdr:col>
      <xdr:colOff>579120</xdr:colOff>
      <xdr:row>40</xdr:row>
      <xdr:rowOff>83820</xdr:rowOff>
    </xdr:to>
    <xdr:sp macro="" textlink="">
      <xdr:nvSpPr>
        <xdr:cNvPr id="359608" name="Line 223">
          <a:extLst>
            <a:ext uri="{FF2B5EF4-FFF2-40B4-BE49-F238E27FC236}">
              <a16:creationId xmlns:a16="http://schemas.microsoft.com/office/drawing/2014/main" xmlns="" id="{00000000-0008-0000-7500-0000B87C0500}"/>
            </a:ext>
          </a:extLst>
        </xdr:cNvPr>
        <xdr:cNvSpPr>
          <a:spLocks noChangeShapeType="1"/>
        </xdr:cNvSpPr>
      </xdr:nvSpPr>
      <xdr:spPr bwMode="auto">
        <a:xfrm>
          <a:off x="4549140" y="9144000"/>
          <a:ext cx="373380" cy="7620"/>
        </a:xfrm>
        <a:prstGeom prst="line">
          <a:avLst/>
        </a:prstGeom>
        <a:noFill/>
        <a:ln w="9525">
          <a:solidFill>
            <a:srgbClr xmlns:mc="http://schemas.openxmlformats.org/markup-compatibility/2006" xmlns:a14="http://schemas.microsoft.com/office/drawing/2010/main" val="008000" mc:Ignorable="a14" a14:legacySpreadsheetColorIndex="17"/>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365760</xdr:colOff>
      <xdr:row>38</xdr:row>
      <xdr:rowOff>426720</xdr:rowOff>
    </xdr:from>
    <xdr:to>
      <xdr:col>6</xdr:col>
      <xdr:colOff>533400</xdr:colOff>
      <xdr:row>38</xdr:row>
      <xdr:rowOff>426720</xdr:rowOff>
    </xdr:to>
    <xdr:sp macro="" textlink="">
      <xdr:nvSpPr>
        <xdr:cNvPr id="359609" name="Line 224">
          <a:extLst>
            <a:ext uri="{FF2B5EF4-FFF2-40B4-BE49-F238E27FC236}">
              <a16:creationId xmlns:a16="http://schemas.microsoft.com/office/drawing/2014/main" xmlns="" id="{00000000-0008-0000-7500-0000B97C0500}"/>
            </a:ext>
          </a:extLst>
        </xdr:cNvPr>
        <xdr:cNvSpPr>
          <a:spLocks noChangeShapeType="1"/>
        </xdr:cNvSpPr>
      </xdr:nvSpPr>
      <xdr:spPr bwMode="auto">
        <a:xfrm>
          <a:off x="3787140" y="8869680"/>
          <a:ext cx="1089660" cy="0"/>
        </a:xfrm>
        <a:prstGeom prst="line">
          <a:avLst/>
        </a:prstGeom>
        <a:noFill/>
        <a:ln w="9525">
          <a:solidFill>
            <a:srgbClr xmlns:mc="http://schemas.openxmlformats.org/markup-compatibility/2006" xmlns:a14="http://schemas.microsoft.com/office/drawing/2010/main" val="0000FF" mc:Ignorable="a14" a14:legacySpreadsheetColorIndex="12"/>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777240</xdr:colOff>
      <xdr:row>32</xdr:row>
      <xdr:rowOff>312420</xdr:rowOff>
    </xdr:from>
    <xdr:to>
      <xdr:col>6</xdr:col>
      <xdr:colOff>525780</xdr:colOff>
      <xdr:row>32</xdr:row>
      <xdr:rowOff>312420</xdr:rowOff>
    </xdr:to>
    <xdr:sp macro="" textlink="">
      <xdr:nvSpPr>
        <xdr:cNvPr id="359610" name="Line 225">
          <a:extLst>
            <a:ext uri="{FF2B5EF4-FFF2-40B4-BE49-F238E27FC236}">
              <a16:creationId xmlns:a16="http://schemas.microsoft.com/office/drawing/2014/main" xmlns="" id="{00000000-0008-0000-7500-0000BA7C0500}"/>
            </a:ext>
          </a:extLst>
        </xdr:cNvPr>
        <xdr:cNvSpPr>
          <a:spLocks noChangeShapeType="1"/>
        </xdr:cNvSpPr>
      </xdr:nvSpPr>
      <xdr:spPr bwMode="auto">
        <a:xfrm flipH="1">
          <a:off x="4198620" y="7246620"/>
          <a:ext cx="67056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784860</xdr:colOff>
      <xdr:row>32</xdr:row>
      <xdr:rowOff>312420</xdr:rowOff>
    </xdr:from>
    <xdr:to>
      <xdr:col>5</xdr:col>
      <xdr:colOff>784860</xdr:colOff>
      <xdr:row>38</xdr:row>
      <xdr:rowOff>304800</xdr:rowOff>
    </xdr:to>
    <xdr:sp macro="" textlink="">
      <xdr:nvSpPr>
        <xdr:cNvPr id="359611" name="Line 226">
          <a:extLst>
            <a:ext uri="{FF2B5EF4-FFF2-40B4-BE49-F238E27FC236}">
              <a16:creationId xmlns:a16="http://schemas.microsoft.com/office/drawing/2014/main" xmlns="" id="{00000000-0008-0000-7500-0000BB7C0500}"/>
            </a:ext>
          </a:extLst>
        </xdr:cNvPr>
        <xdr:cNvSpPr>
          <a:spLocks noChangeShapeType="1"/>
        </xdr:cNvSpPr>
      </xdr:nvSpPr>
      <xdr:spPr bwMode="auto">
        <a:xfrm>
          <a:off x="4206240" y="7246620"/>
          <a:ext cx="0" cy="150114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784860</xdr:colOff>
      <xdr:row>38</xdr:row>
      <xdr:rowOff>312420</xdr:rowOff>
    </xdr:from>
    <xdr:to>
      <xdr:col>6</xdr:col>
      <xdr:colOff>525780</xdr:colOff>
      <xdr:row>38</xdr:row>
      <xdr:rowOff>320040</xdr:rowOff>
    </xdr:to>
    <xdr:sp macro="" textlink="">
      <xdr:nvSpPr>
        <xdr:cNvPr id="359612" name="Line 227">
          <a:extLst>
            <a:ext uri="{FF2B5EF4-FFF2-40B4-BE49-F238E27FC236}">
              <a16:creationId xmlns:a16="http://schemas.microsoft.com/office/drawing/2014/main" xmlns="" id="{00000000-0008-0000-7500-0000BC7C0500}"/>
            </a:ext>
          </a:extLst>
        </xdr:cNvPr>
        <xdr:cNvSpPr>
          <a:spLocks noChangeShapeType="1"/>
        </xdr:cNvSpPr>
      </xdr:nvSpPr>
      <xdr:spPr bwMode="auto">
        <a:xfrm>
          <a:off x="4206240" y="8755380"/>
          <a:ext cx="662940" cy="762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45720</xdr:colOff>
      <xdr:row>34</xdr:row>
      <xdr:rowOff>289560</xdr:rowOff>
    </xdr:from>
    <xdr:to>
      <xdr:col>6</xdr:col>
      <xdr:colOff>518160</xdr:colOff>
      <xdr:row>34</xdr:row>
      <xdr:rowOff>289560</xdr:rowOff>
    </xdr:to>
    <xdr:sp macro="" textlink="">
      <xdr:nvSpPr>
        <xdr:cNvPr id="359613" name="Line 228">
          <a:extLst>
            <a:ext uri="{FF2B5EF4-FFF2-40B4-BE49-F238E27FC236}">
              <a16:creationId xmlns:a16="http://schemas.microsoft.com/office/drawing/2014/main" xmlns="" id="{00000000-0008-0000-7500-0000BD7C0500}"/>
            </a:ext>
          </a:extLst>
        </xdr:cNvPr>
        <xdr:cNvSpPr>
          <a:spLocks noChangeShapeType="1"/>
        </xdr:cNvSpPr>
      </xdr:nvSpPr>
      <xdr:spPr bwMode="auto">
        <a:xfrm flipH="1">
          <a:off x="4389120" y="7726680"/>
          <a:ext cx="47244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45720</xdr:colOff>
      <xdr:row>34</xdr:row>
      <xdr:rowOff>289560</xdr:rowOff>
    </xdr:from>
    <xdr:to>
      <xdr:col>6</xdr:col>
      <xdr:colOff>45720</xdr:colOff>
      <xdr:row>38</xdr:row>
      <xdr:rowOff>190500</xdr:rowOff>
    </xdr:to>
    <xdr:sp macro="" textlink="">
      <xdr:nvSpPr>
        <xdr:cNvPr id="359614" name="Line 229">
          <a:extLst>
            <a:ext uri="{FF2B5EF4-FFF2-40B4-BE49-F238E27FC236}">
              <a16:creationId xmlns:a16="http://schemas.microsoft.com/office/drawing/2014/main" xmlns="" id="{00000000-0008-0000-7500-0000BE7C0500}"/>
            </a:ext>
          </a:extLst>
        </xdr:cNvPr>
        <xdr:cNvSpPr>
          <a:spLocks noChangeShapeType="1"/>
        </xdr:cNvSpPr>
      </xdr:nvSpPr>
      <xdr:spPr bwMode="auto">
        <a:xfrm>
          <a:off x="4389120" y="7726680"/>
          <a:ext cx="0" cy="90678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45720</xdr:colOff>
      <xdr:row>38</xdr:row>
      <xdr:rowOff>190500</xdr:rowOff>
    </xdr:from>
    <xdr:to>
      <xdr:col>6</xdr:col>
      <xdr:colOff>525780</xdr:colOff>
      <xdr:row>38</xdr:row>
      <xdr:rowOff>190500</xdr:rowOff>
    </xdr:to>
    <xdr:sp macro="" textlink="">
      <xdr:nvSpPr>
        <xdr:cNvPr id="359615" name="Line 230">
          <a:extLst>
            <a:ext uri="{FF2B5EF4-FFF2-40B4-BE49-F238E27FC236}">
              <a16:creationId xmlns:a16="http://schemas.microsoft.com/office/drawing/2014/main" xmlns="" id="{00000000-0008-0000-7500-0000BF7C0500}"/>
            </a:ext>
          </a:extLst>
        </xdr:cNvPr>
        <xdr:cNvSpPr>
          <a:spLocks noChangeShapeType="1"/>
        </xdr:cNvSpPr>
      </xdr:nvSpPr>
      <xdr:spPr bwMode="auto">
        <a:xfrm>
          <a:off x="4389120" y="8633460"/>
          <a:ext cx="48006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68580</xdr:colOff>
      <xdr:row>38</xdr:row>
      <xdr:rowOff>373380</xdr:rowOff>
    </xdr:from>
    <xdr:to>
      <xdr:col>9</xdr:col>
      <xdr:colOff>167640</xdr:colOff>
      <xdr:row>38</xdr:row>
      <xdr:rowOff>373380</xdr:rowOff>
    </xdr:to>
    <xdr:sp macro="" textlink="">
      <xdr:nvSpPr>
        <xdr:cNvPr id="359616" name="Line 231">
          <a:extLst>
            <a:ext uri="{FF2B5EF4-FFF2-40B4-BE49-F238E27FC236}">
              <a16:creationId xmlns:a16="http://schemas.microsoft.com/office/drawing/2014/main" xmlns="" id="{00000000-0008-0000-7500-0000C07C0500}"/>
            </a:ext>
          </a:extLst>
        </xdr:cNvPr>
        <xdr:cNvSpPr>
          <a:spLocks noChangeShapeType="1"/>
        </xdr:cNvSpPr>
      </xdr:nvSpPr>
      <xdr:spPr bwMode="auto">
        <a:xfrm>
          <a:off x="10706100" y="8816340"/>
          <a:ext cx="990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175260</xdr:colOff>
      <xdr:row>38</xdr:row>
      <xdr:rowOff>365760</xdr:rowOff>
    </xdr:from>
    <xdr:to>
      <xdr:col>9</xdr:col>
      <xdr:colOff>182880</xdr:colOff>
      <xdr:row>40</xdr:row>
      <xdr:rowOff>137160</xdr:rowOff>
    </xdr:to>
    <xdr:sp macro="" textlink="">
      <xdr:nvSpPr>
        <xdr:cNvPr id="359617" name="Line 232">
          <a:extLst>
            <a:ext uri="{FF2B5EF4-FFF2-40B4-BE49-F238E27FC236}">
              <a16:creationId xmlns:a16="http://schemas.microsoft.com/office/drawing/2014/main" xmlns="" id="{00000000-0008-0000-7500-0000C17C0500}"/>
            </a:ext>
          </a:extLst>
        </xdr:cNvPr>
        <xdr:cNvSpPr>
          <a:spLocks noChangeShapeType="1"/>
        </xdr:cNvSpPr>
      </xdr:nvSpPr>
      <xdr:spPr bwMode="auto">
        <a:xfrm flipH="1">
          <a:off x="10812780" y="8808720"/>
          <a:ext cx="7620" cy="3962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45720</xdr:colOff>
      <xdr:row>40</xdr:row>
      <xdr:rowOff>144780</xdr:rowOff>
    </xdr:from>
    <xdr:to>
      <xdr:col>9</xdr:col>
      <xdr:colOff>160020</xdr:colOff>
      <xdr:row>40</xdr:row>
      <xdr:rowOff>144780</xdr:rowOff>
    </xdr:to>
    <xdr:sp macro="" textlink="">
      <xdr:nvSpPr>
        <xdr:cNvPr id="359618" name="Line 233">
          <a:extLst>
            <a:ext uri="{FF2B5EF4-FFF2-40B4-BE49-F238E27FC236}">
              <a16:creationId xmlns:a16="http://schemas.microsoft.com/office/drawing/2014/main" xmlns="" id="{00000000-0008-0000-7500-0000C27C0500}"/>
            </a:ext>
          </a:extLst>
        </xdr:cNvPr>
        <xdr:cNvSpPr>
          <a:spLocks noChangeShapeType="1"/>
        </xdr:cNvSpPr>
      </xdr:nvSpPr>
      <xdr:spPr bwMode="auto">
        <a:xfrm flipH="1">
          <a:off x="10683240" y="921258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342900</xdr:colOff>
      <xdr:row>49</xdr:row>
      <xdr:rowOff>327660</xdr:rowOff>
    </xdr:from>
    <xdr:to>
      <xdr:col>6</xdr:col>
      <xdr:colOff>525780</xdr:colOff>
      <xdr:row>49</xdr:row>
      <xdr:rowOff>327660</xdr:rowOff>
    </xdr:to>
    <xdr:sp macro="" textlink="">
      <xdr:nvSpPr>
        <xdr:cNvPr id="359619" name="Line 234">
          <a:extLst>
            <a:ext uri="{FF2B5EF4-FFF2-40B4-BE49-F238E27FC236}">
              <a16:creationId xmlns:a16="http://schemas.microsoft.com/office/drawing/2014/main" xmlns="" id="{00000000-0008-0000-7500-0000C37C0500}"/>
            </a:ext>
          </a:extLst>
        </xdr:cNvPr>
        <xdr:cNvSpPr>
          <a:spLocks noChangeShapeType="1"/>
        </xdr:cNvSpPr>
      </xdr:nvSpPr>
      <xdr:spPr bwMode="auto">
        <a:xfrm flipH="1">
          <a:off x="4686300" y="11117580"/>
          <a:ext cx="1828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342900</xdr:colOff>
      <xdr:row>49</xdr:row>
      <xdr:rowOff>335280</xdr:rowOff>
    </xdr:from>
    <xdr:to>
      <xdr:col>6</xdr:col>
      <xdr:colOff>342900</xdr:colOff>
      <xdr:row>51</xdr:row>
      <xdr:rowOff>68580</xdr:rowOff>
    </xdr:to>
    <xdr:sp macro="" textlink="">
      <xdr:nvSpPr>
        <xdr:cNvPr id="359620" name="Line 235">
          <a:extLst>
            <a:ext uri="{FF2B5EF4-FFF2-40B4-BE49-F238E27FC236}">
              <a16:creationId xmlns:a16="http://schemas.microsoft.com/office/drawing/2014/main" xmlns="" id="{00000000-0008-0000-7500-0000C47C0500}"/>
            </a:ext>
          </a:extLst>
        </xdr:cNvPr>
        <xdr:cNvSpPr>
          <a:spLocks noChangeShapeType="1"/>
        </xdr:cNvSpPr>
      </xdr:nvSpPr>
      <xdr:spPr bwMode="auto">
        <a:xfrm flipH="1">
          <a:off x="4686300" y="11125200"/>
          <a:ext cx="0" cy="2362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342900</xdr:colOff>
      <xdr:row>51</xdr:row>
      <xdr:rowOff>68580</xdr:rowOff>
    </xdr:from>
    <xdr:to>
      <xdr:col>6</xdr:col>
      <xdr:colOff>541020</xdr:colOff>
      <xdr:row>51</xdr:row>
      <xdr:rowOff>68580</xdr:rowOff>
    </xdr:to>
    <xdr:sp macro="" textlink="">
      <xdr:nvSpPr>
        <xdr:cNvPr id="359621" name="Line 236">
          <a:extLst>
            <a:ext uri="{FF2B5EF4-FFF2-40B4-BE49-F238E27FC236}">
              <a16:creationId xmlns:a16="http://schemas.microsoft.com/office/drawing/2014/main" xmlns="" id="{00000000-0008-0000-7500-0000C57C0500}"/>
            </a:ext>
          </a:extLst>
        </xdr:cNvPr>
        <xdr:cNvSpPr>
          <a:spLocks noChangeShapeType="1"/>
        </xdr:cNvSpPr>
      </xdr:nvSpPr>
      <xdr:spPr bwMode="auto">
        <a:xfrm>
          <a:off x="4686300" y="11361420"/>
          <a:ext cx="1981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60960</xdr:colOff>
      <xdr:row>51</xdr:row>
      <xdr:rowOff>167640</xdr:rowOff>
    </xdr:from>
    <xdr:to>
      <xdr:col>6</xdr:col>
      <xdr:colOff>525780</xdr:colOff>
      <xdr:row>51</xdr:row>
      <xdr:rowOff>167640</xdr:rowOff>
    </xdr:to>
    <xdr:sp macro="" textlink="">
      <xdr:nvSpPr>
        <xdr:cNvPr id="359622" name="Line 237">
          <a:extLst>
            <a:ext uri="{FF2B5EF4-FFF2-40B4-BE49-F238E27FC236}">
              <a16:creationId xmlns:a16="http://schemas.microsoft.com/office/drawing/2014/main" xmlns="" id="{00000000-0008-0000-7500-0000C67C0500}"/>
            </a:ext>
          </a:extLst>
        </xdr:cNvPr>
        <xdr:cNvSpPr>
          <a:spLocks noChangeShapeType="1"/>
        </xdr:cNvSpPr>
      </xdr:nvSpPr>
      <xdr:spPr bwMode="auto">
        <a:xfrm flipH="1">
          <a:off x="2857500" y="11460480"/>
          <a:ext cx="20116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358140</xdr:colOff>
      <xdr:row>51</xdr:row>
      <xdr:rowOff>297180</xdr:rowOff>
    </xdr:from>
    <xdr:to>
      <xdr:col>6</xdr:col>
      <xdr:colOff>358140</xdr:colOff>
      <xdr:row>53</xdr:row>
      <xdr:rowOff>114300</xdr:rowOff>
    </xdr:to>
    <xdr:sp macro="" textlink="">
      <xdr:nvSpPr>
        <xdr:cNvPr id="359623" name="Line 239">
          <a:extLst>
            <a:ext uri="{FF2B5EF4-FFF2-40B4-BE49-F238E27FC236}">
              <a16:creationId xmlns:a16="http://schemas.microsoft.com/office/drawing/2014/main" xmlns="" id="{00000000-0008-0000-7500-0000C77C0500}"/>
            </a:ext>
          </a:extLst>
        </xdr:cNvPr>
        <xdr:cNvSpPr>
          <a:spLocks noChangeShapeType="1"/>
        </xdr:cNvSpPr>
      </xdr:nvSpPr>
      <xdr:spPr bwMode="auto">
        <a:xfrm>
          <a:off x="4701540" y="11590020"/>
          <a:ext cx="0" cy="32004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358140</xdr:colOff>
      <xdr:row>53</xdr:row>
      <xdr:rowOff>121920</xdr:rowOff>
    </xdr:from>
    <xdr:to>
      <xdr:col>6</xdr:col>
      <xdr:colOff>533400</xdr:colOff>
      <xdr:row>53</xdr:row>
      <xdr:rowOff>121920</xdr:rowOff>
    </xdr:to>
    <xdr:sp macro="" textlink="">
      <xdr:nvSpPr>
        <xdr:cNvPr id="359624" name="Line 240">
          <a:extLst>
            <a:ext uri="{FF2B5EF4-FFF2-40B4-BE49-F238E27FC236}">
              <a16:creationId xmlns:a16="http://schemas.microsoft.com/office/drawing/2014/main" xmlns="" id="{00000000-0008-0000-7500-0000C87C0500}"/>
            </a:ext>
          </a:extLst>
        </xdr:cNvPr>
        <xdr:cNvSpPr>
          <a:spLocks noChangeShapeType="1"/>
        </xdr:cNvSpPr>
      </xdr:nvSpPr>
      <xdr:spPr bwMode="auto">
        <a:xfrm>
          <a:off x="4701540" y="11917680"/>
          <a:ext cx="1752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xdr:col>
      <xdr:colOff>358140</xdr:colOff>
      <xdr:row>51</xdr:row>
      <xdr:rowOff>297180</xdr:rowOff>
    </xdr:from>
    <xdr:to>
      <xdr:col>6</xdr:col>
      <xdr:colOff>525780</xdr:colOff>
      <xdr:row>51</xdr:row>
      <xdr:rowOff>297180</xdr:rowOff>
    </xdr:to>
    <xdr:sp macro="" textlink="">
      <xdr:nvSpPr>
        <xdr:cNvPr id="359625" name="Line 241">
          <a:extLst>
            <a:ext uri="{FF2B5EF4-FFF2-40B4-BE49-F238E27FC236}">
              <a16:creationId xmlns:a16="http://schemas.microsoft.com/office/drawing/2014/main" xmlns="" id="{00000000-0008-0000-7500-0000C97C0500}"/>
            </a:ext>
          </a:extLst>
        </xdr:cNvPr>
        <xdr:cNvSpPr>
          <a:spLocks noChangeShapeType="1"/>
        </xdr:cNvSpPr>
      </xdr:nvSpPr>
      <xdr:spPr bwMode="auto">
        <a:xfrm>
          <a:off x="4701540" y="11590020"/>
          <a:ext cx="1676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76200</xdr:colOff>
      <xdr:row>51</xdr:row>
      <xdr:rowOff>304800</xdr:rowOff>
    </xdr:from>
    <xdr:to>
      <xdr:col>6</xdr:col>
      <xdr:colOff>7620</xdr:colOff>
      <xdr:row>51</xdr:row>
      <xdr:rowOff>312420</xdr:rowOff>
    </xdr:to>
    <xdr:sp macro="" textlink="">
      <xdr:nvSpPr>
        <xdr:cNvPr id="359626" name="Line 242">
          <a:extLst>
            <a:ext uri="{FF2B5EF4-FFF2-40B4-BE49-F238E27FC236}">
              <a16:creationId xmlns:a16="http://schemas.microsoft.com/office/drawing/2014/main" xmlns="" id="{00000000-0008-0000-7500-0000CA7C0500}"/>
            </a:ext>
          </a:extLst>
        </xdr:cNvPr>
        <xdr:cNvSpPr>
          <a:spLocks noChangeShapeType="1"/>
        </xdr:cNvSpPr>
      </xdr:nvSpPr>
      <xdr:spPr bwMode="auto">
        <a:xfrm flipV="1">
          <a:off x="2872740" y="11597640"/>
          <a:ext cx="1478280" cy="762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0</xdr:colOff>
      <xdr:row>51</xdr:row>
      <xdr:rowOff>297180</xdr:rowOff>
    </xdr:from>
    <xdr:to>
      <xdr:col>6</xdr:col>
      <xdr:colOff>7620</xdr:colOff>
      <xdr:row>55</xdr:row>
      <xdr:rowOff>152400</xdr:rowOff>
    </xdr:to>
    <xdr:sp macro="" textlink="">
      <xdr:nvSpPr>
        <xdr:cNvPr id="359627" name="Line 243">
          <a:extLst>
            <a:ext uri="{FF2B5EF4-FFF2-40B4-BE49-F238E27FC236}">
              <a16:creationId xmlns:a16="http://schemas.microsoft.com/office/drawing/2014/main" xmlns="" id="{00000000-0008-0000-7500-0000CB7C0500}"/>
            </a:ext>
          </a:extLst>
        </xdr:cNvPr>
        <xdr:cNvSpPr>
          <a:spLocks noChangeShapeType="1"/>
        </xdr:cNvSpPr>
      </xdr:nvSpPr>
      <xdr:spPr bwMode="auto">
        <a:xfrm flipH="1">
          <a:off x="4343400" y="11590020"/>
          <a:ext cx="7620" cy="70866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7620</xdr:colOff>
      <xdr:row>55</xdr:row>
      <xdr:rowOff>152400</xdr:rowOff>
    </xdr:from>
    <xdr:to>
      <xdr:col>6</xdr:col>
      <xdr:colOff>525780</xdr:colOff>
      <xdr:row>55</xdr:row>
      <xdr:rowOff>152400</xdr:rowOff>
    </xdr:to>
    <xdr:sp macro="" textlink="">
      <xdr:nvSpPr>
        <xdr:cNvPr id="359628" name="Line 244">
          <a:extLst>
            <a:ext uri="{FF2B5EF4-FFF2-40B4-BE49-F238E27FC236}">
              <a16:creationId xmlns:a16="http://schemas.microsoft.com/office/drawing/2014/main" xmlns="" id="{00000000-0008-0000-7500-0000CC7C0500}"/>
            </a:ext>
          </a:extLst>
        </xdr:cNvPr>
        <xdr:cNvSpPr>
          <a:spLocks noChangeShapeType="1"/>
        </xdr:cNvSpPr>
      </xdr:nvSpPr>
      <xdr:spPr bwMode="auto">
        <a:xfrm>
          <a:off x="4351020" y="12298680"/>
          <a:ext cx="518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38100</xdr:colOff>
      <xdr:row>55</xdr:row>
      <xdr:rowOff>190500</xdr:rowOff>
    </xdr:from>
    <xdr:to>
      <xdr:col>9</xdr:col>
      <xdr:colOff>563880</xdr:colOff>
      <xdr:row>55</xdr:row>
      <xdr:rowOff>190500</xdr:rowOff>
    </xdr:to>
    <xdr:cxnSp macro="">
      <xdr:nvCxnSpPr>
        <xdr:cNvPr id="359629" name="AutoShape 245">
          <a:extLst>
            <a:ext uri="{FF2B5EF4-FFF2-40B4-BE49-F238E27FC236}">
              <a16:creationId xmlns:a16="http://schemas.microsoft.com/office/drawing/2014/main" xmlns="" id="{00000000-0008-0000-7500-0000CD7C0500}"/>
            </a:ext>
          </a:extLst>
        </xdr:cNvPr>
        <xdr:cNvCxnSpPr>
          <a:cxnSpLocks noChangeShapeType="1"/>
        </xdr:cNvCxnSpPr>
      </xdr:nvCxnSpPr>
      <xdr:spPr bwMode="auto">
        <a:xfrm flipH="1">
          <a:off x="10675620" y="12336780"/>
          <a:ext cx="525780" cy="0"/>
        </a:xfrm>
        <a:prstGeom prst="straightConnector1">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9</xdr:col>
      <xdr:colOff>45720</xdr:colOff>
      <xdr:row>38</xdr:row>
      <xdr:rowOff>160020</xdr:rowOff>
    </xdr:from>
    <xdr:to>
      <xdr:col>9</xdr:col>
      <xdr:colOff>289560</xdr:colOff>
      <xdr:row>38</xdr:row>
      <xdr:rowOff>160020</xdr:rowOff>
    </xdr:to>
    <xdr:sp macro="" textlink="">
      <xdr:nvSpPr>
        <xdr:cNvPr id="359630" name="Line 246">
          <a:extLst>
            <a:ext uri="{FF2B5EF4-FFF2-40B4-BE49-F238E27FC236}">
              <a16:creationId xmlns:a16="http://schemas.microsoft.com/office/drawing/2014/main" xmlns="" id="{00000000-0008-0000-7500-0000CE7C0500}"/>
            </a:ext>
          </a:extLst>
        </xdr:cNvPr>
        <xdr:cNvSpPr>
          <a:spLocks noChangeShapeType="1"/>
        </xdr:cNvSpPr>
      </xdr:nvSpPr>
      <xdr:spPr bwMode="auto">
        <a:xfrm>
          <a:off x="10683240" y="8602980"/>
          <a:ext cx="24384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274320</xdr:colOff>
      <xdr:row>38</xdr:row>
      <xdr:rowOff>182880</xdr:rowOff>
    </xdr:from>
    <xdr:to>
      <xdr:col>9</xdr:col>
      <xdr:colOff>281940</xdr:colOff>
      <xdr:row>51</xdr:row>
      <xdr:rowOff>160020</xdr:rowOff>
    </xdr:to>
    <xdr:sp macro="" textlink="">
      <xdr:nvSpPr>
        <xdr:cNvPr id="359631" name="Line 247">
          <a:extLst>
            <a:ext uri="{FF2B5EF4-FFF2-40B4-BE49-F238E27FC236}">
              <a16:creationId xmlns:a16="http://schemas.microsoft.com/office/drawing/2014/main" xmlns="" id="{00000000-0008-0000-7500-0000CF7C0500}"/>
            </a:ext>
          </a:extLst>
        </xdr:cNvPr>
        <xdr:cNvSpPr>
          <a:spLocks noChangeShapeType="1"/>
        </xdr:cNvSpPr>
      </xdr:nvSpPr>
      <xdr:spPr bwMode="auto">
        <a:xfrm flipH="1">
          <a:off x="10911840" y="8625840"/>
          <a:ext cx="7620" cy="282702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68580</xdr:colOff>
      <xdr:row>51</xdr:row>
      <xdr:rowOff>167640</xdr:rowOff>
    </xdr:from>
    <xdr:to>
      <xdr:col>9</xdr:col>
      <xdr:colOff>274320</xdr:colOff>
      <xdr:row>51</xdr:row>
      <xdr:rowOff>167640</xdr:rowOff>
    </xdr:to>
    <xdr:sp macro="" textlink="">
      <xdr:nvSpPr>
        <xdr:cNvPr id="359632" name="Line 248">
          <a:extLst>
            <a:ext uri="{FF2B5EF4-FFF2-40B4-BE49-F238E27FC236}">
              <a16:creationId xmlns:a16="http://schemas.microsoft.com/office/drawing/2014/main" xmlns="" id="{00000000-0008-0000-7500-0000D07C0500}"/>
            </a:ext>
          </a:extLst>
        </xdr:cNvPr>
        <xdr:cNvSpPr>
          <a:spLocks noChangeShapeType="1"/>
        </xdr:cNvSpPr>
      </xdr:nvSpPr>
      <xdr:spPr bwMode="auto">
        <a:xfrm flipH="1">
          <a:off x="10706100" y="11460480"/>
          <a:ext cx="20574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68580</xdr:colOff>
      <xdr:row>41</xdr:row>
      <xdr:rowOff>0</xdr:rowOff>
    </xdr:from>
    <xdr:to>
      <xdr:col>9</xdr:col>
      <xdr:colOff>274320</xdr:colOff>
      <xdr:row>41</xdr:row>
      <xdr:rowOff>0</xdr:rowOff>
    </xdr:to>
    <xdr:sp macro="" textlink="">
      <xdr:nvSpPr>
        <xdr:cNvPr id="359633" name="Line 249">
          <a:extLst>
            <a:ext uri="{FF2B5EF4-FFF2-40B4-BE49-F238E27FC236}">
              <a16:creationId xmlns:a16="http://schemas.microsoft.com/office/drawing/2014/main" xmlns="" id="{00000000-0008-0000-7500-0000D17C0500}"/>
            </a:ext>
          </a:extLst>
        </xdr:cNvPr>
        <xdr:cNvSpPr>
          <a:spLocks noChangeShapeType="1"/>
        </xdr:cNvSpPr>
      </xdr:nvSpPr>
      <xdr:spPr bwMode="auto">
        <a:xfrm>
          <a:off x="10706100" y="9448800"/>
          <a:ext cx="205740" cy="0"/>
        </a:xfrm>
        <a:prstGeom prst="line">
          <a:avLst/>
        </a:prstGeom>
        <a:noFill/>
        <a:ln w="9525">
          <a:solidFill>
            <a:srgbClr xmlns:mc="http://schemas.openxmlformats.org/markup-compatibility/2006" xmlns:a14="http://schemas.microsoft.com/office/drawing/2010/main" val="FF00FF" mc:Ignorable="a14" a14:legacySpreadsheetColorIndex="14"/>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388620</xdr:colOff>
      <xdr:row>20</xdr:row>
      <xdr:rowOff>381000</xdr:rowOff>
    </xdr:from>
    <xdr:to>
      <xdr:col>9</xdr:col>
      <xdr:colOff>518160</xdr:colOff>
      <xdr:row>20</xdr:row>
      <xdr:rowOff>381000</xdr:rowOff>
    </xdr:to>
    <xdr:sp macro="" textlink="">
      <xdr:nvSpPr>
        <xdr:cNvPr id="359634" name="Line 250">
          <a:extLst>
            <a:ext uri="{FF2B5EF4-FFF2-40B4-BE49-F238E27FC236}">
              <a16:creationId xmlns:a16="http://schemas.microsoft.com/office/drawing/2014/main" xmlns="" id="{00000000-0008-0000-7500-0000D27C0500}"/>
            </a:ext>
          </a:extLst>
        </xdr:cNvPr>
        <xdr:cNvSpPr>
          <a:spLocks noChangeShapeType="1"/>
        </xdr:cNvSpPr>
      </xdr:nvSpPr>
      <xdr:spPr bwMode="auto">
        <a:xfrm flipH="1">
          <a:off x="11026140" y="4587240"/>
          <a:ext cx="1295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21</xdr:col>
      <xdr:colOff>198120</xdr:colOff>
      <xdr:row>41</xdr:row>
      <xdr:rowOff>22860</xdr:rowOff>
    </xdr:from>
    <xdr:to>
      <xdr:col>21</xdr:col>
      <xdr:colOff>327660</xdr:colOff>
      <xdr:row>41</xdr:row>
      <xdr:rowOff>22860</xdr:rowOff>
    </xdr:to>
    <xdr:sp macro="" textlink="">
      <xdr:nvSpPr>
        <xdr:cNvPr id="359635" name="Line 251">
          <a:extLst>
            <a:ext uri="{FF2B5EF4-FFF2-40B4-BE49-F238E27FC236}">
              <a16:creationId xmlns:a16="http://schemas.microsoft.com/office/drawing/2014/main" xmlns="" id="{00000000-0008-0000-7500-0000D37C0500}"/>
            </a:ext>
          </a:extLst>
        </xdr:cNvPr>
        <xdr:cNvSpPr>
          <a:spLocks noChangeShapeType="1"/>
        </xdr:cNvSpPr>
      </xdr:nvSpPr>
      <xdr:spPr bwMode="auto">
        <a:xfrm flipH="1">
          <a:off x="21701760" y="9471660"/>
          <a:ext cx="1295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441960</xdr:colOff>
      <xdr:row>22</xdr:row>
      <xdr:rowOff>182880</xdr:rowOff>
    </xdr:from>
    <xdr:to>
      <xdr:col>9</xdr:col>
      <xdr:colOff>556260</xdr:colOff>
      <xdr:row>22</xdr:row>
      <xdr:rowOff>182880</xdr:rowOff>
    </xdr:to>
    <xdr:sp macro="" textlink="">
      <xdr:nvSpPr>
        <xdr:cNvPr id="359636" name="Line 254">
          <a:extLst>
            <a:ext uri="{FF2B5EF4-FFF2-40B4-BE49-F238E27FC236}">
              <a16:creationId xmlns:a16="http://schemas.microsoft.com/office/drawing/2014/main" xmlns="" id="{00000000-0008-0000-7500-0000D47C0500}"/>
            </a:ext>
          </a:extLst>
        </xdr:cNvPr>
        <xdr:cNvSpPr>
          <a:spLocks noChangeShapeType="1"/>
        </xdr:cNvSpPr>
      </xdr:nvSpPr>
      <xdr:spPr bwMode="auto">
        <a:xfrm flipH="1">
          <a:off x="11079480" y="508254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419100</xdr:colOff>
      <xdr:row>24</xdr:row>
      <xdr:rowOff>114300</xdr:rowOff>
    </xdr:from>
    <xdr:to>
      <xdr:col>9</xdr:col>
      <xdr:colOff>556260</xdr:colOff>
      <xdr:row>24</xdr:row>
      <xdr:rowOff>114300</xdr:rowOff>
    </xdr:to>
    <xdr:sp macro="" textlink="">
      <xdr:nvSpPr>
        <xdr:cNvPr id="359637" name="Line 255">
          <a:extLst>
            <a:ext uri="{FF2B5EF4-FFF2-40B4-BE49-F238E27FC236}">
              <a16:creationId xmlns:a16="http://schemas.microsoft.com/office/drawing/2014/main" xmlns="" id="{00000000-0008-0000-7500-0000D57C0500}"/>
            </a:ext>
          </a:extLst>
        </xdr:cNvPr>
        <xdr:cNvSpPr>
          <a:spLocks noChangeShapeType="1"/>
        </xdr:cNvSpPr>
      </xdr:nvSpPr>
      <xdr:spPr bwMode="auto">
        <a:xfrm flipH="1">
          <a:off x="11056620" y="5448300"/>
          <a:ext cx="13716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403860</xdr:colOff>
      <xdr:row>32</xdr:row>
      <xdr:rowOff>182880</xdr:rowOff>
    </xdr:from>
    <xdr:to>
      <xdr:col>9</xdr:col>
      <xdr:colOff>563880</xdr:colOff>
      <xdr:row>32</xdr:row>
      <xdr:rowOff>182880</xdr:rowOff>
    </xdr:to>
    <xdr:sp macro="" textlink="">
      <xdr:nvSpPr>
        <xdr:cNvPr id="359638" name="Line 256">
          <a:extLst>
            <a:ext uri="{FF2B5EF4-FFF2-40B4-BE49-F238E27FC236}">
              <a16:creationId xmlns:a16="http://schemas.microsoft.com/office/drawing/2014/main" xmlns="" id="{00000000-0008-0000-7500-0000D67C0500}"/>
            </a:ext>
          </a:extLst>
        </xdr:cNvPr>
        <xdr:cNvSpPr>
          <a:spLocks noChangeShapeType="1"/>
        </xdr:cNvSpPr>
      </xdr:nvSpPr>
      <xdr:spPr bwMode="auto">
        <a:xfrm flipH="1">
          <a:off x="11041380" y="7117080"/>
          <a:ext cx="1600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441960</xdr:colOff>
      <xdr:row>38</xdr:row>
      <xdr:rowOff>274320</xdr:rowOff>
    </xdr:from>
    <xdr:to>
      <xdr:col>9</xdr:col>
      <xdr:colOff>556260</xdr:colOff>
      <xdr:row>38</xdr:row>
      <xdr:rowOff>274320</xdr:rowOff>
    </xdr:to>
    <xdr:sp macro="" textlink="">
      <xdr:nvSpPr>
        <xdr:cNvPr id="359639" name="Line 257">
          <a:extLst>
            <a:ext uri="{FF2B5EF4-FFF2-40B4-BE49-F238E27FC236}">
              <a16:creationId xmlns:a16="http://schemas.microsoft.com/office/drawing/2014/main" xmlns="" id="{00000000-0008-0000-7500-0000D77C0500}"/>
            </a:ext>
          </a:extLst>
        </xdr:cNvPr>
        <xdr:cNvSpPr>
          <a:spLocks noChangeShapeType="1"/>
        </xdr:cNvSpPr>
      </xdr:nvSpPr>
      <xdr:spPr bwMode="auto">
        <a:xfrm flipH="1">
          <a:off x="11079480" y="871728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426720</xdr:colOff>
      <xdr:row>40</xdr:row>
      <xdr:rowOff>167640</xdr:rowOff>
    </xdr:from>
    <xdr:to>
      <xdr:col>9</xdr:col>
      <xdr:colOff>556260</xdr:colOff>
      <xdr:row>40</xdr:row>
      <xdr:rowOff>167640</xdr:rowOff>
    </xdr:to>
    <xdr:sp macro="" textlink="">
      <xdr:nvSpPr>
        <xdr:cNvPr id="359640" name="Line 258">
          <a:extLst>
            <a:ext uri="{FF2B5EF4-FFF2-40B4-BE49-F238E27FC236}">
              <a16:creationId xmlns:a16="http://schemas.microsoft.com/office/drawing/2014/main" xmlns="" id="{00000000-0008-0000-7500-0000D87C0500}"/>
            </a:ext>
          </a:extLst>
        </xdr:cNvPr>
        <xdr:cNvSpPr>
          <a:spLocks noChangeShapeType="1"/>
        </xdr:cNvSpPr>
      </xdr:nvSpPr>
      <xdr:spPr bwMode="auto">
        <a:xfrm flipH="1">
          <a:off x="11064240" y="9235440"/>
          <a:ext cx="1295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441960</xdr:colOff>
      <xdr:row>49</xdr:row>
      <xdr:rowOff>198120</xdr:rowOff>
    </xdr:from>
    <xdr:to>
      <xdr:col>9</xdr:col>
      <xdr:colOff>556260</xdr:colOff>
      <xdr:row>49</xdr:row>
      <xdr:rowOff>198120</xdr:rowOff>
    </xdr:to>
    <xdr:sp macro="" textlink="">
      <xdr:nvSpPr>
        <xdr:cNvPr id="359641" name="Line 259">
          <a:extLst>
            <a:ext uri="{FF2B5EF4-FFF2-40B4-BE49-F238E27FC236}">
              <a16:creationId xmlns:a16="http://schemas.microsoft.com/office/drawing/2014/main" xmlns="" id="{00000000-0008-0000-7500-0000D97C0500}"/>
            </a:ext>
          </a:extLst>
        </xdr:cNvPr>
        <xdr:cNvSpPr>
          <a:spLocks noChangeShapeType="1"/>
        </xdr:cNvSpPr>
      </xdr:nvSpPr>
      <xdr:spPr bwMode="auto">
        <a:xfrm flipH="1">
          <a:off x="11079480" y="1098804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441960</xdr:colOff>
      <xdr:row>51</xdr:row>
      <xdr:rowOff>213360</xdr:rowOff>
    </xdr:from>
    <xdr:to>
      <xdr:col>9</xdr:col>
      <xdr:colOff>556260</xdr:colOff>
      <xdr:row>51</xdr:row>
      <xdr:rowOff>213360</xdr:rowOff>
    </xdr:to>
    <xdr:sp macro="" textlink="">
      <xdr:nvSpPr>
        <xdr:cNvPr id="359642" name="Line 260">
          <a:extLst>
            <a:ext uri="{FF2B5EF4-FFF2-40B4-BE49-F238E27FC236}">
              <a16:creationId xmlns:a16="http://schemas.microsoft.com/office/drawing/2014/main" xmlns="" id="{00000000-0008-0000-7500-0000DA7C0500}"/>
            </a:ext>
          </a:extLst>
        </xdr:cNvPr>
        <xdr:cNvSpPr>
          <a:spLocks noChangeShapeType="1"/>
        </xdr:cNvSpPr>
      </xdr:nvSpPr>
      <xdr:spPr bwMode="auto">
        <a:xfrm flipH="1">
          <a:off x="11079480" y="1150620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419100</xdr:colOff>
      <xdr:row>53</xdr:row>
      <xdr:rowOff>106680</xdr:rowOff>
    </xdr:from>
    <xdr:to>
      <xdr:col>9</xdr:col>
      <xdr:colOff>563880</xdr:colOff>
      <xdr:row>53</xdr:row>
      <xdr:rowOff>106680</xdr:rowOff>
    </xdr:to>
    <xdr:sp macro="" textlink="">
      <xdr:nvSpPr>
        <xdr:cNvPr id="359643" name="Line 261">
          <a:extLst>
            <a:ext uri="{FF2B5EF4-FFF2-40B4-BE49-F238E27FC236}">
              <a16:creationId xmlns:a16="http://schemas.microsoft.com/office/drawing/2014/main" xmlns="" id="{00000000-0008-0000-7500-0000DB7C0500}"/>
            </a:ext>
          </a:extLst>
        </xdr:cNvPr>
        <xdr:cNvSpPr>
          <a:spLocks noChangeShapeType="1"/>
        </xdr:cNvSpPr>
      </xdr:nvSpPr>
      <xdr:spPr bwMode="auto">
        <a:xfrm flipH="1">
          <a:off x="11056620" y="11902440"/>
          <a:ext cx="14478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411480</xdr:colOff>
      <xdr:row>65</xdr:row>
      <xdr:rowOff>190500</xdr:rowOff>
    </xdr:from>
    <xdr:to>
      <xdr:col>9</xdr:col>
      <xdr:colOff>571500</xdr:colOff>
      <xdr:row>65</xdr:row>
      <xdr:rowOff>190500</xdr:rowOff>
    </xdr:to>
    <xdr:sp macro="" textlink="">
      <xdr:nvSpPr>
        <xdr:cNvPr id="359644" name="Line 262">
          <a:extLst>
            <a:ext uri="{FF2B5EF4-FFF2-40B4-BE49-F238E27FC236}">
              <a16:creationId xmlns:a16="http://schemas.microsoft.com/office/drawing/2014/main" xmlns="" id="{00000000-0008-0000-7500-0000DC7C0500}"/>
            </a:ext>
          </a:extLst>
        </xdr:cNvPr>
        <xdr:cNvSpPr>
          <a:spLocks noChangeShapeType="1"/>
        </xdr:cNvSpPr>
      </xdr:nvSpPr>
      <xdr:spPr bwMode="auto">
        <a:xfrm flipH="1">
          <a:off x="11049000" y="14538960"/>
          <a:ext cx="1600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411480</xdr:colOff>
      <xdr:row>71</xdr:row>
      <xdr:rowOff>144780</xdr:rowOff>
    </xdr:from>
    <xdr:to>
      <xdr:col>9</xdr:col>
      <xdr:colOff>571500</xdr:colOff>
      <xdr:row>71</xdr:row>
      <xdr:rowOff>144780</xdr:rowOff>
    </xdr:to>
    <xdr:sp macro="" textlink="">
      <xdr:nvSpPr>
        <xdr:cNvPr id="359645" name="Line 263">
          <a:extLst>
            <a:ext uri="{FF2B5EF4-FFF2-40B4-BE49-F238E27FC236}">
              <a16:creationId xmlns:a16="http://schemas.microsoft.com/office/drawing/2014/main" xmlns="" id="{00000000-0008-0000-7500-0000DD7C0500}"/>
            </a:ext>
          </a:extLst>
        </xdr:cNvPr>
        <xdr:cNvSpPr>
          <a:spLocks noChangeShapeType="1"/>
        </xdr:cNvSpPr>
      </xdr:nvSpPr>
      <xdr:spPr bwMode="auto">
        <a:xfrm flipH="1">
          <a:off x="11049000" y="16139160"/>
          <a:ext cx="1600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449580</xdr:colOff>
      <xdr:row>73</xdr:row>
      <xdr:rowOff>266700</xdr:rowOff>
    </xdr:from>
    <xdr:to>
      <xdr:col>9</xdr:col>
      <xdr:colOff>563880</xdr:colOff>
      <xdr:row>73</xdr:row>
      <xdr:rowOff>266700</xdr:rowOff>
    </xdr:to>
    <xdr:sp macro="" textlink="">
      <xdr:nvSpPr>
        <xdr:cNvPr id="359646" name="Line 264">
          <a:extLst>
            <a:ext uri="{FF2B5EF4-FFF2-40B4-BE49-F238E27FC236}">
              <a16:creationId xmlns:a16="http://schemas.microsoft.com/office/drawing/2014/main" xmlns="" id="{00000000-0008-0000-7500-0000DE7C0500}"/>
            </a:ext>
          </a:extLst>
        </xdr:cNvPr>
        <xdr:cNvSpPr>
          <a:spLocks noChangeShapeType="1"/>
        </xdr:cNvSpPr>
      </xdr:nvSpPr>
      <xdr:spPr bwMode="auto">
        <a:xfrm flipH="1">
          <a:off x="11087100" y="16764000"/>
          <a:ext cx="11430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426720</xdr:colOff>
      <xdr:row>97</xdr:row>
      <xdr:rowOff>144780</xdr:rowOff>
    </xdr:from>
    <xdr:to>
      <xdr:col>9</xdr:col>
      <xdr:colOff>556260</xdr:colOff>
      <xdr:row>97</xdr:row>
      <xdr:rowOff>144780</xdr:rowOff>
    </xdr:to>
    <xdr:sp macro="" textlink="">
      <xdr:nvSpPr>
        <xdr:cNvPr id="359647" name="Line 265">
          <a:extLst>
            <a:ext uri="{FF2B5EF4-FFF2-40B4-BE49-F238E27FC236}">
              <a16:creationId xmlns:a16="http://schemas.microsoft.com/office/drawing/2014/main" xmlns="" id="{00000000-0008-0000-7500-0000DF7C0500}"/>
            </a:ext>
          </a:extLst>
        </xdr:cNvPr>
        <xdr:cNvSpPr>
          <a:spLocks noChangeShapeType="1"/>
        </xdr:cNvSpPr>
      </xdr:nvSpPr>
      <xdr:spPr bwMode="auto">
        <a:xfrm flipH="1">
          <a:off x="11064240" y="21236940"/>
          <a:ext cx="12954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virago\data\AFP\TASMAll\TASM\005%20GUIDANCE\002%20PROJECT%20APPRAISAL\0002%20ECONOMIC%20IMPACTS\MECCs\141110%20IT%20MECC%20new%20metho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Calcs"/>
      <sheetName val="Outputs"/>
    </sheetNames>
    <sheetDataSet>
      <sheetData sheetId="0" refreshError="1"/>
      <sheetData sheetId="1">
        <row r="261">
          <cell r="D261">
            <v>-4.4000000000000004</v>
          </cell>
          <cell r="E261">
            <v>-3.8</v>
          </cell>
          <cell r="F261">
            <v>-3.3</v>
          </cell>
          <cell r="G261">
            <v>-3</v>
          </cell>
          <cell r="H261">
            <v>-2.8</v>
          </cell>
          <cell r="I261">
            <v>-2.8</v>
          </cell>
        </row>
        <row r="262">
          <cell r="D262">
            <v>-5</v>
          </cell>
          <cell r="E262">
            <v>-4.3</v>
          </cell>
          <cell r="F262">
            <v>-3.8</v>
          </cell>
          <cell r="G262">
            <v>-3.3</v>
          </cell>
          <cell r="H262">
            <v>-3.1</v>
          </cell>
          <cell r="I262">
            <v>-3.1</v>
          </cell>
        </row>
        <row r="305">
          <cell r="D305">
            <v>-5.4</v>
          </cell>
          <cell r="E305">
            <v>-4.5</v>
          </cell>
          <cell r="F305">
            <v>-4</v>
          </cell>
          <cell r="G305">
            <v>-3.6</v>
          </cell>
          <cell r="H305">
            <v>-3.3</v>
          </cell>
          <cell r="I305">
            <v>-3.3</v>
          </cell>
        </row>
        <row r="306">
          <cell r="D306">
            <v>-5.6</v>
          </cell>
          <cell r="E306">
            <v>-4.7</v>
          </cell>
          <cell r="F306">
            <v>-4.3</v>
          </cell>
          <cell r="G306">
            <v>-4</v>
          </cell>
          <cell r="H306">
            <v>-3.8</v>
          </cell>
          <cell r="I306">
            <v>-3.8</v>
          </cell>
        </row>
        <row r="307">
          <cell r="D307">
            <v>-7.2</v>
          </cell>
          <cell r="E307">
            <v>-6</v>
          </cell>
          <cell r="F307">
            <v>-5.4</v>
          </cell>
          <cell r="G307">
            <v>-5</v>
          </cell>
          <cell r="H307">
            <v>-4.7</v>
          </cell>
          <cell r="I307">
            <v>-4.7</v>
          </cell>
        </row>
        <row r="308">
          <cell r="D308">
            <v>-5.2</v>
          </cell>
          <cell r="E308">
            <v>-4.4000000000000004</v>
          </cell>
          <cell r="F308">
            <v>-3.9</v>
          </cell>
          <cell r="G308">
            <v>-3.5</v>
          </cell>
          <cell r="H308">
            <v>-3.2</v>
          </cell>
          <cell r="I308">
            <v>-3.1</v>
          </cell>
        </row>
        <row r="309">
          <cell r="D309">
            <v>-5.2</v>
          </cell>
          <cell r="E309">
            <v>-4.4000000000000004</v>
          </cell>
          <cell r="F309">
            <v>-3.9</v>
          </cell>
          <cell r="G309">
            <v>-3.6</v>
          </cell>
          <cell r="H309">
            <v>-3.3</v>
          </cell>
          <cell r="I309">
            <v>-3.3</v>
          </cell>
        </row>
        <row r="310">
          <cell r="D310">
            <v>-5.7</v>
          </cell>
          <cell r="E310">
            <v>-4.8</v>
          </cell>
          <cell r="F310">
            <v>-4.3</v>
          </cell>
          <cell r="G310">
            <v>-3.9</v>
          </cell>
          <cell r="H310">
            <v>-3.7</v>
          </cell>
          <cell r="I310">
            <v>-3.7</v>
          </cell>
        </row>
        <row r="311">
          <cell r="D311">
            <v>-4.9000000000000004</v>
          </cell>
          <cell r="E311">
            <v>-4.0999999999999996</v>
          </cell>
          <cell r="F311">
            <v>-3.7</v>
          </cell>
          <cell r="G311">
            <v>-3.3</v>
          </cell>
          <cell r="H311">
            <v>-3.1</v>
          </cell>
          <cell r="I311">
            <v>-3.1</v>
          </cell>
        </row>
        <row r="312">
          <cell r="D312">
            <v>-5.5</v>
          </cell>
          <cell r="E312">
            <v>-4.5999999999999996</v>
          </cell>
          <cell r="F312">
            <v>-4.0999999999999996</v>
          </cell>
          <cell r="G312">
            <v>-3.7</v>
          </cell>
          <cell r="H312">
            <v>-3.5</v>
          </cell>
          <cell r="I312">
            <v>-3.4</v>
          </cell>
        </row>
        <row r="313">
          <cell r="D313">
            <v>-5.3</v>
          </cell>
          <cell r="E313">
            <v>-4.5</v>
          </cell>
          <cell r="F313">
            <v>-3.9</v>
          </cell>
          <cell r="G313">
            <v>-3.5</v>
          </cell>
          <cell r="H313">
            <v>-3.3</v>
          </cell>
          <cell r="I313">
            <v>-3.2</v>
          </cell>
        </row>
        <row r="314">
          <cell r="D314">
            <v>-4.9000000000000004</v>
          </cell>
          <cell r="E314">
            <v>-4.0999999999999996</v>
          </cell>
          <cell r="F314">
            <v>-3.6</v>
          </cell>
          <cell r="G314">
            <v>-3.3</v>
          </cell>
          <cell r="H314">
            <v>-3</v>
          </cell>
          <cell r="I314">
            <v>-3</v>
          </cell>
        </row>
        <row r="315">
          <cell r="D315">
            <v>-4.8</v>
          </cell>
          <cell r="E315">
            <v>-4</v>
          </cell>
          <cell r="F315">
            <v>-3.6</v>
          </cell>
          <cell r="G315">
            <v>-3.2</v>
          </cell>
          <cell r="H315">
            <v>-3</v>
          </cell>
          <cell r="I315">
            <v>-3</v>
          </cell>
        </row>
        <row r="316">
          <cell r="D316">
            <v>-5.2</v>
          </cell>
          <cell r="E316">
            <v>-4.3</v>
          </cell>
          <cell r="F316">
            <v>-3.9</v>
          </cell>
          <cell r="G316">
            <v>-3.5</v>
          </cell>
          <cell r="H316">
            <v>-3.3</v>
          </cell>
          <cell r="I316">
            <v>-3.2</v>
          </cell>
        </row>
      </sheetData>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mailto:TASM@dft.gsi.gov.uk" TargetMode="External"/><Relationship Id="rId1" Type="http://schemas.openxmlformats.org/officeDocument/2006/relationships/hyperlink" Target="mailto:TASM@dft.gsi.gov.u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hyperlink" Target="http://www.dft.gov.uk/webtag/documents/expert/pdf/u3_4_1-accidents-120817.pdf" TargetMode="External"/><Relationship Id="rId13" Type="http://schemas.openxmlformats.org/officeDocument/2006/relationships/hyperlink" Target="http://www.dft.gov.uk/webtag/documents/expert/pdf/u3_4_1-accidents-120817.pdf" TargetMode="External"/><Relationship Id="rId18" Type="http://schemas.openxmlformats.org/officeDocument/2006/relationships/hyperlink" Target="http://www.dft.gov.uk/webtag/documents/expert/pdf/u3_5_6-vot-op-cost-120723.pdf" TargetMode="External"/><Relationship Id="rId26" Type="http://schemas.openxmlformats.org/officeDocument/2006/relationships/hyperlink" Target="http://www.dft.gov.uk/webtag/documents/expert/pdf/u3_5_6-vot-op-cost-120723.pdf" TargetMode="External"/><Relationship Id="rId39" Type="http://schemas.openxmlformats.org/officeDocument/2006/relationships/hyperlink" Target="http://www.dft.gov.uk/webtag/documents/expert/pdf/u3_5_6-vot-op-cost-120723.pdf" TargetMode="External"/><Relationship Id="rId3" Type="http://schemas.openxmlformats.org/officeDocument/2006/relationships/hyperlink" Target="http://www.dft.gov.uk/webtag/documents/expert/pdf/U3_3_5-ghg-120723.pdf" TargetMode="External"/><Relationship Id="rId21" Type="http://schemas.openxmlformats.org/officeDocument/2006/relationships/hyperlink" Target="http://www.dft.gov.uk/webtag/documents/expert/pdf/u3_5_6-vot-op-cost-120723.pdf" TargetMode="External"/><Relationship Id="rId34" Type="http://schemas.openxmlformats.org/officeDocument/2006/relationships/hyperlink" Target="http://www.dft.gov.uk/webtag/documents/expert/pdf/u3_5_6-vot-op-cost-120723.pdf" TargetMode="External"/><Relationship Id="rId42" Type="http://schemas.openxmlformats.org/officeDocument/2006/relationships/hyperlink" Target="http://www.dft.gov.uk/webtag/documents/expert/pdf/u3_14_1-walking-and-cycling-120723.pdf" TargetMode="External"/><Relationship Id="rId47" Type="http://schemas.openxmlformats.org/officeDocument/2006/relationships/drawing" Target="../drawings/drawing7.xml"/><Relationship Id="rId7" Type="http://schemas.openxmlformats.org/officeDocument/2006/relationships/hyperlink" Target="http://www.dft.gov.uk/webtag/documents/expert/pdf/u3_4_1-accidents-120817.pdf" TargetMode="External"/><Relationship Id="rId12" Type="http://schemas.openxmlformats.org/officeDocument/2006/relationships/hyperlink" Target="http://www.dft.gov.uk/webtag/documents/expert/pdf/u3_4_1-accidents-120817.pdf" TargetMode="External"/><Relationship Id="rId17" Type="http://schemas.openxmlformats.org/officeDocument/2006/relationships/hyperlink" Target="http://www.dft.gov.uk/webtag/documents/expert/pdf/u3_5_6-vot-op-cost-120723.pdf" TargetMode="External"/><Relationship Id="rId25" Type="http://schemas.openxmlformats.org/officeDocument/2006/relationships/hyperlink" Target="http://www.dft.gov.uk/webtag/documents/expert/pdf/u3_5_6-vot-op-cost-120723.pdf" TargetMode="External"/><Relationship Id="rId33" Type="http://schemas.openxmlformats.org/officeDocument/2006/relationships/hyperlink" Target="http://www.dft.gov.uk/webtag/documents/expert/pdf/u3_5_6-vot-op-cost-120723.pdf" TargetMode="External"/><Relationship Id="rId38" Type="http://schemas.openxmlformats.org/officeDocument/2006/relationships/hyperlink" Target="http://www.dft.gov.uk/webtag/documents/expert/pdf/u3_5_6-vot-op-cost-120723.pdf" TargetMode="External"/><Relationship Id="rId46" Type="http://schemas.openxmlformats.org/officeDocument/2006/relationships/printerSettings" Target="../printerSettings/printerSettings7.bin"/><Relationship Id="rId2" Type="http://schemas.openxmlformats.org/officeDocument/2006/relationships/hyperlink" Target="http://www.dft.gov.uk/webtag/documents/expert/pdf/U3_3_3-air-quality-120723.pdf" TargetMode="External"/><Relationship Id="rId16" Type="http://schemas.openxmlformats.org/officeDocument/2006/relationships/hyperlink" Target="http://www.dft.gov.uk/webtag/documents/expert/pdf/u3_5_6-vot-op-cost-120723.pdf" TargetMode="External"/><Relationship Id="rId20" Type="http://schemas.openxmlformats.org/officeDocument/2006/relationships/hyperlink" Target="http://www.dft.gov.uk/webtag/documents/expert/pdf/u3_5_6-vot-op-cost-120723.pdf" TargetMode="External"/><Relationship Id="rId29" Type="http://schemas.openxmlformats.org/officeDocument/2006/relationships/hyperlink" Target="http://www.dft.gov.uk/webtag/documents/expert/pdf/u3_5_6-vot-op-cost-120723.pdf" TargetMode="External"/><Relationship Id="rId41" Type="http://schemas.openxmlformats.org/officeDocument/2006/relationships/hyperlink" Target="http://www.dft.gov.uk/webtag/documents/expert/pdf/u3_14_1-walking-and-cycling-120723.pdf" TargetMode="External"/><Relationship Id="rId1" Type="http://schemas.openxmlformats.org/officeDocument/2006/relationships/hyperlink" Target="http://www.dft.gov.uk/webtag/documents/expert/pdf/U3_3_2noise-120807.pdf" TargetMode="External"/><Relationship Id="rId6" Type="http://schemas.openxmlformats.org/officeDocument/2006/relationships/hyperlink" Target="http://www.dft.gov.uk/webtag/documents/expert/pdf/U3_3_2noise-120807.pdf" TargetMode="External"/><Relationship Id="rId11" Type="http://schemas.openxmlformats.org/officeDocument/2006/relationships/hyperlink" Target="http://www.dft.gov.uk/webtag/documents/expert/pdf/u3_4_1-accidents-120817.pdf" TargetMode="External"/><Relationship Id="rId24" Type="http://schemas.openxmlformats.org/officeDocument/2006/relationships/hyperlink" Target="http://www.dft.gov.uk/webtag/documents/expert/pdf/u3_5_6-vot-op-cost-120723.pdf" TargetMode="External"/><Relationship Id="rId32" Type="http://schemas.openxmlformats.org/officeDocument/2006/relationships/hyperlink" Target="http://www.dft.gov.uk/webtag/documents/expert/pdf/u3_5_6-vot-op-cost-120723.pdf" TargetMode="External"/><Relationship Id="rId37" Type="http://schemas.openxmlformats.org/officeDocument/2006/relationships/hyperlink" Target="http://www.dft.gov.uk/webtag/documents/expert/pdf/u3_5_6-vot-op-cost-120723.pdf" TargetMode="External"/><Relationship Id="rId40" Type="http://schemas.openxmlformats.org/officeDocument/2006/relationships/hyperlink" Target="http://www.dft.gov.uk/webtag/documents/expert/pdf/u3_6_1-option-values-120723.pdf" TargetMode="External"/><Relationship Id="rId45" Type="http://schemas.openxmlformats.org/officeDocument/2006/relationships/hyperlink" Target="http://www.dft.gov.uk/webtag/documents/expert/pdf/U3_13_2-external-costs-of-car-use-120723.pdf" TargetMode="External"/><Relationship Id="rId5" Type="http://schemas.openxmlformats.org/officeDocument/2006/relationships/hyperlink" Target="http://www.dft.gov.uk/webtag/documents/expert/pdf/U3_3_5-ghg-120723.pdf" TargetMode="External"/><Relationship Id="rId15" Type="http://schemas.openxmlformats.org/officeDocument/2006/relationships/hyperlink" Target="http://www.dft.gov.uk/webtag/documents/expert/pdf/u3_5_6-vot-op-cost-120723.pdf" TargetMode="External"/><Relationship Id="rId23" Type="http://schemas.openxmlformats.org/officeDocument/2006/relationships/hyperlink" Target="http://www.dft.gov.uk/webtag/documents/expert/pdf/u3_5_6-vot-op-cost-120723.pdf" TargetMode="External"/><Relationship Id="rId28" Type="http://schemas.openxmlformats.org/officeDocument/2006/relationships/hyperlink" Target="http://www.dft.gov.uk/webtag/documents/expert/pdf/u3_5_6-vot-op-cost-120723.pdf" TargetMode="External"/><Relationship Id="rId36" Type="http://schemas.openxmlformats.org/officeDocument/2006/relationships/hyperlink" Target="http://www.dft.gov.uk/webtag/documents/expert/pdf/u3_5_6-vot-op-cost-120723.pdf" TargetMode="External"/><Relationship Id="rId10" Type="http://schemas.openxmlformats.org/officeDocument/2006/relationships/hyperlink" Target="http://www.dft.gov.uk/webtag/documents/expert/pdf/u3_4_1-accidents-120817.pdf" TargetMode="External"/><Relationship Id="rId19" Type="http://schemas.openxmlformats.org/officeDocument/2006/relationships/hyperlink" Target="http://www.dft.gov.uk/webtag/documents/expert/pdf/u3_5_6-vot-op-cost-120723.pdf" TargetMode="External"/><Relationship Id="rId31" Type="http://schemas.openxmlformats.org/officeDocument/2006/relationships/hyperlink" Target="http://www.dft.gov.uk/webtag/documents/expert/pdf/u3_5_6-vot-op-cost-120723.pdf" TargetMode="External"/><Relationship Id="rId44" Type="http://schemas.openxmlformats.org/officeDocument/2006/relationships/hyperlink" Target="http://www.dft.gov.uk/webtag/documents/expert/pdf/U3_13_2-external-costs-of-car-use-120723.pdf" TargetMode="External"/><Relationship Id="rId4" Type="http://schemas.openxmlformats.org/officeDocument/2006/relationships/hyperlink" Target="http://www.dft.gov.uk/webtag/documents/expert/pdf/U3_3_5-ghg-120723.pdf" TargetMode="External"/><Relationship Id="rId9" Type="http://schemas.openxmlformats.org/officeDocument/2006/relationships/hyperlink" Target="http://www.dft.gov.uk/webtag/documents/expert/pdf/u3_4_1-accidents-120817.pdf" TargetMode="External"/><Relationship Id="rId14" Type="http://schemas.openxmlformats.org/officeDocument/2006/relationships/hyperlink" Target="http://www.dft.gov.uk/webtag/documents/expert/pdf/u3_5_4-cost-benefit-analysis-020723.pdf" TargetMode="External"/><Relationship Id="rId22" Type="http://schemas.openxmlformats.org/officeDocument/2006/relationships/hyperlink" Target="http://www.dft.gov.uk/webtag/documents/expert/pdf/u3_5_6-vot-op-cost-120723.pdf" TargetMode="External"/><Relationship Id="rId27" Type="http://schemas.openxmlformats.org/officeDocument/2006/relationships/hyperlink" Target="http://www.dft.gov.uk/webtag/documents/expert/pdf/u3_5_6-vot-op-cost-120723.pdf" TargetMode="External"/><Relationship Id="rId30" Type="http://schemas.openxmlformats.org/officeDocument/2006/relationships/hyperlink" Target="http://www.dft.gov.uk/webtag/documents/expert/pdf/u3_5_6-vot-op-cost-120723.pdf" TargetMode="External"/><Relationship Id="rId35" Type="http://schemas.openxmlformats.org/officeDocument/2006/relationships/hyperlink" Target="http://www.dft.gov.uk/webtag/documents/expert/pdf/u3_5_6-vot-op-cost-120723.pdf" TargetMode="External"/><Relationship Id="rId43" Type="http://schemas.openxmlformats.org/officeDocument/2006/relationships/hyperlink" Target="http://www.dft.gov.uk/webtag/documents/expert/pdf/unit3.15.2.pdf"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obr.uk/download/october-2018-economic-and-fiscal-outlook-supplementary-economy-tables/" TargetMode="External"/><Relationship Id="rId13" Type="http://schemas.openxmlformats.org/officeDocument/2006/relationships/drawing" Target="../drawings/drawing8.xml"/><Relationship Id="rId3" Type="http://schemas.openxmlformats.org/officeDocument/2006/relationships/hyperlink" Target="http://www.ons.gov.uk/economy/grossdomesticproductgdp/timeseries/abmi" TargetMode="External"/><Relationship Id="rId7" Type="http://schemas.openxmlformats.org/officeDocument/2006/relationships/hyperlink" Target="https://www.ons.gov.uk/file?uri=/peoplepopulationandcommunity/populationandmigration/populationprojections/datasets/tablea11principalprojectionuksummary/2016based/ukpppsummary16.xls" TargetMode="External"/><Relationship Id="rId12" Type="http://schemas.openxmlformats.org/officeDocument/2006/relationships/printerSettings" Target="../printerSettings/printerSettings8.bin"/><Relationship Id="rId2" Type="http://schemas.openxmlformats.org/officeDocument/2006/relationships/hyperlink" Target="https://obr.uk/download/october-2018-economic-and-fiscal-outlook-charts-and-tables-economy/" TargetMode="External"/><Relationship Id="rId1" Type="http://schemas.openxmlformats.org/officeDocument/2006/relationships/hyperlink" Target="https://www.gov.uk/government/publications/webtag-tag-unit-a1-3-user-and-provider-impacts" TargetMode="External"/><Relationship Id="rId6" Type="http://schemas.openxmlformats.org/officeDocument/2006/relationships/hyperlink" Target="https://www.ons.gov.uk/peoplepopulationandcommunity/populationandmigration/populationestimates/timeseries/ukpop" TargetMode="External"/><Relationship Id="rId11" Type="http://schemas.openxmlformats.org/officeDocument/2006/relationships/hyperlink" Target="http://obr.uk/download/long-term-economic-determinants-march-2018-economic-fiscal-outlook/" TargetMode="External"/><Relationship Id="rId5" Type="http://schemas.openxmlformats.org/officeDocument/2006/relationships/hyperlink" Target="https://www.gov.uk/government/uploads/system/uploads/attachment_data/file/536731/Household_Projections_Published_Tables.xlsx" TargetMode="External"/><Relationship Id="rId10" Type="http://schemas.openxmlformats.org/officeDocument/2006/relationships/hyperlink" Target="http://obr.uk/download/long-term-economic-determinants-march-2018-economic-fiscal-outlook/" TargetMode="External"/><Relationship Id="rId4" Type="http://schemas.openxmlformats.org/officeDocument/2006/relationships/hyperlink" Target="https://www.ons.gov.uk/peoplepopulationandcommunity/birthsdeathsandmarriages/families/datasets/familiesandhouseholdsfamiliesandhouseholds" TargetMode="External"/><Relationship Id="rId9" Type="http://schemas.openxmlformats.org/officeDocument/2006/relationships/hyperlink" Target="http://www.ons.gov.uk/economy/grossdomesticproductgdp/timeseries/mnf2"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obr.uk/download/october-2018-economic-and-fiscal-outlook-supplementary-economy-tables/" TargetMode="External"/><Relationship Id="rId13" Type="http://schemas.openxmlformats.org/officeDocument/2006/relationships/drawing" Target="../drawings/drawing9.xml"/><Relationship Id="rId3" Type="http://schemas.openxmlformats.org/officeDocument/2006/relationships/hyperlink" Target="http://www.ons.gov.uk/economy/grossdomesticproductgdp/timeseries/abmi" TargetMode="External"/><Relationship Id="rId7" Type="http://schemas.openxmlformats.org/officeDocument/2006/relationships/hyperlink" Target="https://www.ons.gov.uk/file?uri=/peoplepopulationandcommunity/populationandmigration/populationprojections/datasets/tablea11principalprojectionuksummary/2016based/ukpppsummary16.xls" TargetMode="External"/><Relationship Id="rId12" Type="http://schemas.openxmlformats.org/officeDocument/2006/relationships/printerSettings" Target="../printerSettings/printerSettings9.bin"/><Relationship Id="rId2" Type="http://schemas.openxmlformats.org/officeDocument/2006/relationships/hyperlink" Target="https://obr.uk/download/october-2018-economic-and-fiscal-outlook-charts-and-tables-economy/" TargetMode="External"/><Relationship Id="rId1" Type="http://schemas.openxmlformats.org/officeDocument/2006/relationships/hyperlink" Target="https://www.gov.uk/government/publications/webtag-tag-unit-a1-3-user-and-provider-impacts" TargetMode="External"/><Relationship Id="rId6" Type="http://schemas.openxmlformats.org/officeDocument/2006/relationships/hyperlink" Target="https://www.ons.gov.uk/peoplepopulationandcommunity/populationandmigration/populationestimates/timeseries/ukpop" TargetMode="External"/><Relationship Id="rId11" Type="http://schemas.openxmlformats.org/officeDocument/2006/relationships/hyperlink" Target="http://obr.uk/download/long-term-economic-determinants-march-2018-economic-fiscal-outlook/" TargetMode="External"/><Relationship Id="rId5" Type="http://schemas.openxmlformats.org/officeDocument/2006/relationships/hyperlink" Target="https://www.gov.uk/government/uploads/system/uploads/attachment_data/file/536731/Household_Projections_Published_Tables.xlsx" TargetMode="External"/><Relationship Id="rId10" Type="http://schemas.openxmlformats.org/officeDocument/2006/relationships/hyperlink" Target="http://obr.uk/download/long-term-economic-determinants-march-2018-economic-fiscal-outlook/" TargetMode="External"/><Relationship Id="rId4" Type="http://schemas.openxmlformats.org/officeDocument/2006/relationships/hyperlink" Target="https://www.ons.gov.uk/peoplepopulationandcommunity/birthsdeathsandmarriages/families/datasets/familiesandhouseholdsfamiliesandhouseholds" TargetMode="External"/><Relationship Id="rId9" Type="http://schemas.openxmlformats.org/officeDocument/2006/relationships/hyperlink" Target="http://www.ons.gov.uk/economy/grossdomesticproductgdp/timeseries/mnf2"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dft.gov.uk/webtag/documents/expert/pdf/u3_5_4-cost-benefit-analysis-020723.pdf" TargetMode="External"/><Relationship Id="rId1" Type="http://schemas.openxmlformats.org/officeDocument/2006/relationships/hyperlink" Target="http://www.hm-treasury.gov.uk/data_greenbook_index.htm" TargetMode="Externa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hyperlink" Target="file:///\\virago.internal.dtlr.gov.uk\data\AFP\TASMAll\TASM\005%20GUIDANCE\003%20GOVERNANCE\0001%20GOVERNANCE\Databook%20development\004%20WEBTAG%20RELEASE\0003%20UNIT%20RELEASES\DATA%20BOOK\2014%20November\130624%20Databook%20v9.xls" TargetMode="External"/><Relationship Id="rId2" Type="http://schemas.openxmlformats.org/officeDocument/2006/relationships/hyperlink" Target="http://www.dft.gov.uk/webtag/documents/expert/pdf/u3_5_4-cost-benefit-analysis-020723.pdf" TargetMode="External"/><Relationship Id="rId1" Type="http://schemas.openxmlformats.org/officeDocument/2006/relationships/hyperlink" Target="http://www.hm-treasury.gov.uk/data_greenbook_index.htm" TargetMode="External"/><Relationship Id="rId5" Type="http://schemas.openxmlformats.org/officeDocument/2006/relationships/drawing" Target="../drawings/drawing12.xm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government/uploads/system/uploads/attachment_data/file/527807/road-traffic-notes-definitions.pdf" TargetMode="Externa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5" Type="http://schemas.openxmlformats.org/officeDocument/2006/relationships/drawing" Target="../drawings/drawing14.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22.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drawing" Target="../drawings/drawing24.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hyperlink" Target="https://www.gov.uk/government/uploads/system/uploads/attachment_data/file/666406/Data_tables_1-19_supporting_the_toolkit_and_the_guidance_2017.xlsx" TargetMode="External"/><Relationship Id="rId7" Type="http://schemas.openxmlformats.org/officeDocument/2006/relationships/drawing" Target="../drawings/drawing28.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6" Type="http://schemas.openxmlformats.org/officeDocument/2006/relationships/printerSettings" Target="../printerSettings/printerSettings23.bin"/><Relationship Id="rId5" Type="http://schemas.openxmlformats.org/officeDocument/2006/relationships/hyperlink" Target="https://assets.publishing.service.gov.uk/government/uploads/system/uploads/attachment_data/file/793632/data-tables-1-19.xlsx" TargetMode="External"/><Relationship Id="rId4" Type="http://schemas.openxmlformats.org/officeDocument/2006/relationships/hyperlink" Target="https://www.gov.uk/government/uploads/system/uploads/attachment_data/file/666406/Data_tables_1-19_supporting_the_toolkit_and_the_guidance_2017.xlsx"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s://www.gov.uk/government/uploads/system/uploads/attachment_data/file/666406/Data_tables_1-19_supporting_the_toolkit_and_the_guidance_2017.xlsx" TargetMode="External"/><Relationship Id="rId7" Type="http://schemas.openxmlformats.org/officeDocument/2006/relationships/drawing" Target="../drawings/drawing29.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6" Type="http://schemas.openxmlformats.org/officeDocument/2006/relationships/printerSettings" Target="../printerSettings/printerSettings24.bin"/><Relationship Id="rId5" Type="http://schemas.openxmlformats.org/officeDocument/2006/relationships/hyperlink" Target="https://assets.publishing.service.gov.uk/government/uploads/system/uploads/attachment_data/file/793632/data-tables-1-19.xlsx" TargetMode="External"/><Relationship Id="rId4" Type="http://schemas.openxmlformats.org/officeDocument/2006/relationships/hyperlink" Target="https://www.gov.uk/government/uploads/system/uploads/attachment_data/file/666406/Data_tables_1-19_supporting_the_toolkit_and_the_guidance_2017.xlsx" TargetMode="External"/></Relationships>
</file>

<file path=xl/worksheets/_rels/sheet30.xml.rels><?xml version="1.0" encoding="UTF-8" standalone="yes"?>
<Relationships xmlns="http://schemas.openxmlformats.org/package/2006/relationships"><Relationship Id="rId3" Type="http://schemas.openxmlformats.org/officeDocument/2006/relationships/hyperlink" Target="https://assets.publishing.service.gov.uk/government/uploads/system/uploads/attachment_data/file/793632/data-tables-1-19.xlsx" TargetMode="External"/><Relationship Id="rId7" Type="http://schemas.openxmlformats.org/officeDocument/2006/relationships/comments" Target="../comments2.xm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6" Type="http://schemas.openxmlformats.org/officeDocument/2006/relationships/vmlDrawing" Target="../drawings/vmlDrawing3.vml"/><Relationship Id="rId5" Type="http://schemas.openxmlformats.org/officeDocument/2006/relationships/drawing" Target="../drawings/drawing30.xml"/><Relationship Id="rId4"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3" Type="http://schemas.openxmlformats.org/officeDocument/2006/relationships/hyperlink" Target="https://www.gov.uk/government/publications/webtag-tag-unit-a1-3-user-and-provider-impacts-march-2017" TargetMode="Externa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5" Type="http://schemas.openxmlformats.org/officeDocument/2006/relationships/drawing" Target="../drawings/drawing31.xml"/><Relationship Id="rId4"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3" Type="http://schemas.openxmlformats.org/officeDocument/2006/relationships/hyperlink" Target="https://www.gov.uk/government/collections/energy-and-emissions-projections" TargetMode="Externa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6" Type="http://schemas.openxmlformats.org/officeDocument/2006/relationships/drawing" Target="../drawings/drawing33.xml"/><Relationship Id="rId5" Type="http://schemas.openxmlformats.org/officeDocument/2006/relationships/printerSettings" Target="../printerSettings/printerSettings28.bin"/><Relationship Id="rId4" Type="http://schemas.openxmlformats.org/officeDocument/2006/relationships/hyperlink" Target="https://www.gov.uk/government/uploads/system/uploads/attachment_data/file/527807/road-traffic-notes-definitions.pdf" TargetMode="External"/></Relationships>
</file>

<file path=xl/worksheets/_rels/sheet34.xml.rels><?xml version="1.0" encoding="UTF-8" standalone="yes"?>
<Relationships xmlns="http://schemas.openxmlformats.org/package/2006/relationships"><Relationship Id="rId3" Type="http://schemas.openxmlformats.org/officeDocument/2006/relationships/hyperlink" Target="https://www.gov.uk/government/collections/energy-and-emissions-projections" TargetMode="External"/><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6" Type="http://schemas.openxmlformats.org/officeDocument/2006/relationships/drawing" Target="../drawings/drawing34.xml"/><Relationship Id="rId5" Type="http://schemas.openxmlformats.org/officeDocument/2006/relationships/printerSettings" Target="../printerSettings/printerSettings29.bin"/><Relationship Id="rId4" Type="http://schemas.openxmlformats.org/officeDocument/2006/relationships/hyperlink" Target="https://www.gov.uk/government/uploads/system/uploads/attachment_data/file/527807/road-traffic-notes-definitions.pdf" TargetMode="Externa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3" Type="http://schemas.openxmlformats.org/officeDocument/2006/relationships/printerSettings" Target="../printerSettings/printerSettings36.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37.bin"/><Relationship Id="rId2" Type="http://schemas.openxmlformats.org/officeDocument/2006/relationships/hyperlink" Target="https://www.gov.uk/government/publications/webtag-tag-unit-a1-3-user-and-provider-impacts" TargetMode="External"/><Relationship Id="rId1" Type="http://schemas.openxmlformats.org/officeDocument/2006/relationships/hyperlink" Target="http://www.dft.gov.uk/webtag/documents/expert/pdf/u3_5_6-vot-op-cost-120723.pdf" TargetMode="External"/><Relationship Id="rId4"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hyperlink" Target="https://www.gov.uk/government/publications/webtag-tag-unit-a1-3-user-and-provider-impacts" TargetMode="Externa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hyperlink" Target="https://www.gov.uk/government/publications/social-benefits-of-buses-valuing-the-social-impacts" TargetMode="External"/><Relationship Id="rId1" Type="http://schemas.openxmlformats.org/officeDocument/2006/relationships/hyperlink" Target="https://www.gov.uk/government/publications/webtag-tag-unit-a1-3-user-and-provider-impacts" TargetMode="External"/><Relationship Id="rId4"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hyperlink" Target="https://www.gov.uk/government/publications/social-benefits-of-buses-valuing-the-social-impacts" TargetMode="External"/><Relationship Id="rId1" Type="http://schemas.openxmlformats.org/officeDocument/2006/relationships/hyperlink" Target="https://www.gov.uk/government/publications/webtag-tag-unit-a1-3-user-and-provider-impacts" TargetMode="External"/><Relationship Id="rId4"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hyperlink" Target="https://www.gov.uk/government/publications/social-benefits-of-buses-valuing-the-social-impacts" TargetMode="External"/><Relationship Id="rId1" Type="http://schemas.openxmlformats.org/officeDocument/2006/relationships/hyperlink" Target="https://www.gov.uk/government/publications/webtag-tag-unit-a1-3-user-and-provider-impacts" TargetMode="External"/><Relationship Id="rId4"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3" Type="http://schemas.openxmlformats.org/officeDocument/2006/relationships/hyperlink" Target="https://www.gov.uk/guidance/noise-pollution-economic-analysis" TargetMode="External"/><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2noise-120807.pdf" TargetMode="External"/><Relationship Id="rId5" Type="http://schemas.openxmlformats.org/officeDocument/2006/relationships/drawing" Target="../drawings/drawing47.xml"/><Relationship Id="rId4" Type="http://schemas.openxmlformats.org/officeDocument/2006/relationships/printerSettings" Target="../printerSettings/printerSettings41.bin"/></Relationships>
</file>

<file path=xl/worksheets/_rels/sheet48.xml.rels><?xml version="1.0" encoding="UTF-8" standalone="yes"?>
<Relationships xmlns="http://schemas.openxmlformats.org/package/2006/relationships"><Relationship Id="rId3" Type="http://schemas.openxmlformats.org/officeDocument/2006/relationships/hyperlink" Target="https://www.gov.uk/guidance/noise-pollution-economic-analysis" TargetMode="External"/><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2noise-120807.pdf" TargetMode="External"/><Relationship Id="rId5" Type="http://schemas.openxmlformats.org/officeDocument/2006/relationships/drawing" Target="../drawings/drawing48.xml"/><Relationship Id="rId4" Type="http://schemas.openxmlformats.org/officeDocument/2006/relationships/printerSettings" Target="../printerSettings/printerSettings42.bin"/></Relationships>
</file>

<file path=xl/worksheets/_rels/sheet49.xml.rels><?xml version="1.0" encoding="UTF-8" standalone="yes"?>
<Relationships xmlns="http://schemas.openxmlformats.org/package/2006/relationships"><Relationship Id="rId3" Type="http://schemas.openxmlformats.org/officeDocument/2006/relationships/hyperlink" Target="http://www.dft.gov.uk/webtag/documents/expert/pdf/U3_3_3-air-quality-120723.pdf" TargetMode="External"/><Relationship Id="rId2" Type="http://schemas.openxmlformats.org/officeDocument/2006/relationships/hyperlink" Target="http://www.defra.gov.uk/environment/quality/air/air-quality/economic/abatement/" TargetMode="External"/><Relationship Id="rId1" Type="http://schemas.openxmlformats.org/officeDocument/2006/relationships/hyperlink" Target="http://www.defra.gov.uk/environment/quality/air/air-quality/economic/damage/" TargetMode="External"/><Relationship Id="rId6" Type="http://schemas.openxmlformats.org/officeDocument/2006/relationships/drawing" Target="../drawings/drawing49.xml"/><Relationship Id="rId5" Type="http://schemas.openxmlformats.org/officeDocument/2006/relationships/printerSettings" Target="../printerSettings/printerSettings43.bin"/><Relationship Id="rId4" Type="http://schemas.openxmlformats.org/officeDocument/2006/relationships/hyperlink" Target="https://www.gov.uk/government/publications/webtag-tag-unit-a3-environmental-impact-appraisal"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https://www.gov.uk/government/publications/webtag-tag-unit-a3-environmental-impact-appraisal" TargetMode="External"/><Relationship Id="rId2" Type="http://schemas.openxmlformats.org/officeDocument/2006/relationships/hyperlink" Target="http://www.dft.gov.uk/webtag/documents/expert/pdf/U3_3_3-air-quality-120723.pdf" TargetMode="External"/><Relationship Id="rId1" Type="http://schemas.openxmlformats.org/officeDocument/2006/relationships/hyperlink" Target="http://www.defra.gov.uk/environment/quality/air/air-quality/economic/damage/" TargetMode="External"/><Relationship Id="rId5" Type="http://schemas.openxmlformats.org/officeDocument/2006/relationships/drawing" Target="../drawings/drawing50.xml"/><Relationship Id="rId4" Type="http://schemas.openxmlformats.org/officeDocument/2006/relationships/printerSettings" Target="../printerSettings/printerSettings44.bin"/></Relationships>
</file>

<file path=xl/worksheets/_rels/sheet51.xml.rels><?xml version="1.0" encoding="UTF-8" standalone="yes"?>
<Relationships xmlns="http://schemas.openxmlformats.org/package/2006/relationships"><Relationship Id="rId3" Type="http://schemas.openxmlformats.org/officeDocument/2006/relationships/hyperlink" Target="https://www.gov.uk/government/publications/webtag-tag-unit-a3-environmental-impact-appraisal" TargetMode="External"/><Relationship Id="rId2" Type="http://schemas.openxmlformats.org/officeDocument/2006/relationships/hyperlink" Target="http://www.dft.gov.uk/webtag/documents/expert/pdf/U3_3_3-air-quality-120723.pdf" TargetMode="External"/><Relationship Id="rId1" Type="http://schemas.openxmlformats.org/officeDocument/2006/relationships/hyperlink" Target="http://www.defra.gov.uk/environment/quality/air/air-quality/economic/damage/" TargetMode="External"/><Relationship Id="rId5" Type="http://schemas.openxmlformats.org/officeDocument/2006/relationships/drawing" Target="../drawings/drawing51.xml"/><Relationship Id="rId4" Type="http://schemas.openxmlformats.org/officeDocument/2006/relationships/printerSettings" Target="../printerSettings/printerSettings45.bin"/></Relationships>
</file>

<file path=xl/worksheets/_rels/sheet52.xml.rels><?xml version="1.0" encoding="UTF-8" standalone="yes"?>
<Relationships xmlns="http://schemas.openxmlformats.org/package/2006/relationships"><Relationship Id="rId3" Type="http://schemas.openxmlformats.org/officeDocument/2006/relationships/printerSettings" Target="../printerSettings/printerSettings46.bin"/><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3-air-quality-120723.pdf" TargetMode="External"/><Relationship Id="rId4"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3" Type="http://schemas.openxmlformats.org/officeDocument/2006/relationships/drawing" Target="../drawings/drawing53.xml"/><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3-air-quality-120723.pdf" TargetMode="External"/></Relationships>
</file>

<file path=xl/worksheets/_rels/sheet54.xml.rels><?xml version="1.0" encoding="UTF-8" standalone="yes"?>
<Relationships xmlns="http://schemas.openxmlformats.org/package/2006/relationships"><Relationship Id="rId3" Type="http://schemas.openxmlformats.org/officeDocument/2006/relationships/drawing" Target="../drawings/drawing54.xml"/><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3-air-quality-120723.pdf" TargetMode="External"/></Relationships>
</file>

<file path=xl/worksheets/_rels/sheet55.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3-air-quality-120723.pdf" TargetMode="External"/><Relationship Id="rId4"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3" Type="http://schemas.openxmlformats.org/officeDocument/2006/relationships/hyperlink" Target="https://www.gov.uk/government/publications/webtag-tag-unit-a3-environmental-impact-appraisal" TargetMode="External"/><Relationship Id="rId2" Type="http://schemas.openxmlformats.org/officeDocument/2006/relationships/hyperlink" Target="http://www.dft.gov.uk/webtag/documents/expert/pdf/U3_3_5-ghg-120723.pdf" TargetMode="External"/><Relationship Id="rId1" Type="http://schemas.openxmlformats.org/officeDocument/2006/relationships/hyperlink" Target="http://www.decc.gov.uk/publications/basket.aspx?filetype=4&amp;filepath=Statistics%2fanalysis_group%2f81-iag-toolkit-tables-1-29.xls" TargetMode="External"/><Relationship Id="rId6" Type="http://schemas.openxmlformats.org/officeDocument/2006/relationships/drawing" Target="../drawings/drawing56.xml"/><Relationship Id="rId5" Type="http://schemas.openxmlformats.org/officeDocument/2006/relationships/printerSettings" Target="../printerSettings/printerSettings48.bin"/><Relationship Id="rId4" Type="http://schemas.openxmlformats.org/officeDocument/2006/relationships/hyperlink" Target="https://assets.publishing.service.gov.uk/government/uploads/system/uploads/attachment_data/file/793632/data-tables-1-19.xlsx" TargetMode="External"/></Relationships>
</file>

<file path=xl/worksheets/_rels/sheet57.xml.rels><?xml version="1.0" encoding="UTF-8" standalone="yes"?>
<Relationships xmlns="http://schemas.openxmlformats.org/package/2006/relationships"><Relationship Id="rId3" Type="http://schemas.openxmlformats.org/officeDocument/2006/relationships/hyperlink" Target="https://www.gov.uk/government/publications/webtag-tag-unit-a3-environmental-impact-appraisal" TargetMode="External"/><Relationship Id="rId2" Type="http://schemas.openxmlformats.org/officeDocument/2006/relationships/hyperlink" Target="http://www.dft.gov.uk/webtag/documents/expert/pdf/U3_3_5-ghg-120723.pdf" TargetMode="External"/><Relationship Id="rId1" Type="http://schemas.openxmlformats.org/officeDocument/2006/relationships/hyperlink" Target="http://www.decc.gov.uk/publications/basket.aspx?filetype=4&amp;filepath=Statistics%2fanalysis_group%2f81-iag-toolkit-tables-1-29.xls" TargetMode="External"/><Relationship Id="rId6" Type="http://schemas.openxmlformats.org/officeDocument/2006/relationships/drawing" Target="../drawings/drawing57.xml"/><Relationship Id="rId5" Type="http://schemas.openxmlformats.org/officeDocument/2006/relationships/printerSettings" Target="../printerSettings/printerSettings49.bin"/><Relationship Id="rId4" Type="http://schemas.openxmlformats.org/officeDocument/2006/relationships/hyperlink" Target="https://assets.publishing.service.gov.uk/government/uploads/system/uploads/attachment_data/file/793632/data-tables-1-19.xlsx" TargetMode="External"/></Relationships>
</file>

<file path=xl/worksheets/_rels/sheet58.xml.rels><?xml version="1.0" encoding="UTF-8" standalone="yes"?>
<Relationships xmlns="http://schemas.openxmlformats.org/package/2006/relationships"><Relationship Id="rId3" Type="http://schemas.openxmlformats.org/officeDocument/2006/relationships/hyperlink" Target="https://assets.publishing.service.gov.uk/government/uploads/system/uploads/attachment_data/file/793632/data-tables-1-19.xlsx" TargetMode="External"/><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5-ghg-120723.pdf" TargetMode="External"/><Relationship Id="rId5" Type="http://schemas.openxmlformats.org/officeDocument/2006/relationships/drawing" Target="../drawings/drawing58.xml"/><Relationship Id="rId4" Type="http://schemas.openxmlformats.org/officeDocument/2006/relationships/printerSettings" Target="../printerSettings/printerSettings50.bin"/></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5-ghg-120723.pdf" TargetMode="External"/><Relationship Id="rId4"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52.bin"/><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3-air-quality-120723.pdf" TargetMode="External"/><Relationship Id="rId4"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3" Type="http://schemas.openxmlformats.org/officeDocument/2006/relationships/hyperlink" Target="https://assets.publishing.service.gov.uk/government/uploads/system/uploads/attachment_data/file/793632/data-tables-1-19.xlsx" TargetMode="External"/><Relationship Id="rId2" Type="http://schemas.openxmlformats.org/officeDocument/2006/relationships/hyperlink" Target="https://www.gov.uk/government/publications/webtag-tag-unit-a3-environmental-impact-appraisal" TargetMode="External"/><Relationship Id="rId1" Type="http://schemas.openxmlformats.org/officeDocument/2006/relationships/hyperlink" Target="http://www.dft.gov.uk/webtag/documents/expert/pdf/U3_3_5-ghg-120723.pdf" TargetMode="External"/><Relationship Id="rId5" Type="http://schemas.openxmlformats.org/officeDocument/2006/relationships/drawing" Target="../drawings/drawing61.xml"/><Relationship Id="rId4" Type="http://schemas.openxmlformats.org/officeDocument/2006/relationships/printerSettings" Target="../printerSettings/printerSettings53.bin"/></Relationships>
</file>

<file path=xl/worksheets/_rels/sheet62.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s://www.gov.uk/government/statistical-data-sets/ras30-reported-casualties-in-road-accidents" TargetMode="External"/><Relationship Id="rId7" Type="http://schemas.openxmlformats.org/officeDocument/2006/relationships/vmlDrawing" Target="../drawings/vmlDrawing5.vml"/><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6" Type="http://schemas.openxmlformats.org/officeDocument/2006/relationships/drawing" Target="../drawings/drawing62.xml"/><Relationship Id="rId5" Type="http://schemas.openxmlformats.org/officeDocument/2006/relationships/printerSettings" Target="../printerSettings/printerSettings54.bin"/><Relationship Id="rId4" Type="http://schemas.openxmlformats.org/officeDocument/2006/relationships/hyperlink" Target="https://www.gov.uk/government/statistical-data-sets/ras40-reported-accidents-vehicles-and-casualties" TargetMode="External"/></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55.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63.xml"/></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56.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64.xml"/></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65.xml"/></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58.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66.xml"/></Relationships>
</file>

<file path=xl/worksheets/_rels/sheet67.xml.rels><?xml version="1.0" encoding="UTF-8" standalone="yes"?>
<Relationships xmlns="http://schemas.openxmlformats.org/package/2006/relationships"><Relationship Id="rId3" Type="http://schemas.openxmlformats.org/officeDocument/2006/relationships/hyperlink" Target="https://www.gov.uk/government/statistical-data-sets/ras10-reported-road-accidents" TargetMode="External"/><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6" Type="http://schemas.openxmlformats.org/officeDocument/2006/relationships/drawing" Target="../drawings/drawing67.xml"/><Relationship Id="rId5" Type="http://schemas.openxmlformats.org/officeDocument/2006/relationships/printerSettings" Target="../printerSettings/printerSettings59.bin"/><Relationship Id="rId4" Type="http://schemas.openxmlformats.org/officeDocument/2006/relationships/hyperlink" Target="http://webarchive.nationalarchives.gov.uk/20100304070241/http:/www.dft.gov.uk/pgr/economics/software/coba11usermanual/part2thevalofcostsandb3154.pdf" TargetMode="External"/></Relationships>
</file>

<file path=xl/worksheets/_rels/sheet68.xml.rels><?xml version="1.0" encoding="UTF-8" standalone="yes"?>
<Relationships xmlns="http://schemas.openxmlformats.org/package/2006/relationships"><Relationship Id="rId3" Type="http://schemas.openxmlformats.org/officeDocument/2006/relationships/printerSettings" Target="../printerSettings/printerSettings60.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68.xml"/></Relationships>
</file>

<file path=xl/worksheets/_rels/sheet69.xml.rels><?xml version="1.0" encoding="UTF-8" standalone="yes"?>
<Relationships xmlns="http://schemas.openxmlformats.org/package/2006/relationships"><Relationship Id="rId3" Type="http://schemas.openxmlformats.org/officeDocument/2006/relationships/printerSettings" Target="../printerSettings/printerSettings61.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69.xml"/></Relationships>
</file>

<file path=xl/worksheets/_rels/sheet70.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70.xml"/></Relationships>
</file>

<file path=xl/worksheets/_rels/sheet71.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4_1-accidents-120817.pdf" TargetMode="External"/><Relationship Id="rId4" Type="http://schemas.openxmlformats.org/officeDocument/2006/relationships/drawing" Target="../drawings/drawing71.xml"/></Relationships>
</file>

<file path=xl/worksheets/_rels/sheet72.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14_1-walking-and-cycling-120723.pdf" TargetMode="External"/><Relationship Id="rId4" Type="http://schemas.openxmlformats.org/officeDocument/2006/relationships/drawing" Target="../drawings/drawing72.xml"/></Relationships>
</file>

<file path=xl/worksheets/_rels/sheet73.xml.rels><?xml version="1.0" encoding="UTF-8" standalone="yes"?>
<Relationships xmlns="http://schemas.openxmlformats.org/package/2006/relationships"><Relationship Id="rId3" Type="http://schemas.openxmlformats.org/officeDocument/2006/relationships/hyperlink" Target="https://www.gov.uk/government/publications/webtag-tag-unit-a4-1-social-impact-appraisal" TargetMode="External"/><Relationship Id="rId2" Type="http://schemas.openxmlformats.org/officeDocument/2006/relationships/hyperlink" Target="http://www.dft.gov.uk/webtag/documents/expert/pdf/u3_14_1-walking-and-cycling-120723.pdf" TargetMode="External"/><Relationship Id="rId1" Type="http://schemas.openxmlformats.org/officeDocument/2006/relationships/hyperlink" Target="http://eprints.whiterose.ac.uk/2448/" TargetMode="External"/><Relationship Id="rId4" Type="http://schemas.openxmlformats.org/officeDocument/2006/relationships/drawing" Target="../drawings/drawing73.xml"/></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65.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14_1-walking-and-cycling-120723.pdf" TargetMode="External"/><Relationship Id="rId4" Type="http://schemas.openxmlformats.org/officeDocument/2006/relationships/drawing" Target="../drawings/drawing74.xml"/></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14_1-walking-and-cycling-120723.pdf" TargetMode="External"/><Relationship Id="rId4" Type="http://schemas.openxmlformats.org/officeDocument/2006/relationships/drawing" Target="../drawings/drawing75.xml"/></Relationships>
</file>

<file path=xl/worksheets/_rels/sheet76.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6_1-option-values-120723.pdf" TargetMode="External"/><Relationship Id="rId4" Type="http://schemas.openxmlformats.org/officeDocument/2006/relationships/drawing" Target="../drawings/drawing76.xml"/></Relationships>
</file>

<file path=xl/worksheets/_rels/sheet77.xml.rels><?xml version="1.0" encoding="UTF-8" standalone="yes"?>
<Relationships xmlns="http://schemas.openxmlformats.org/package/2006/relationships"><Relationship Id="rId3" Type="http://schemas.openxmlformats.org/officeDocument/2006/relationships/printerSettings" Target="../printerSettings/printerSettings68.bin"/><Relationship Id="rId2" Type="http://schemas.openxmlformats.org/officeDocument/2006/relationships/hyperlink" Target="https://www.gov.uk/government/publications/webtag-tag-unit-a4-1-social-impact-appraisal" TargetMode="External"/><Relationship Id="rId1" Type="http://schemas.openxmlformats.org/officeDocument/2006/relationships/hyperlink" Target="http://www.dft.gov.uk/webtag/documents/expert/pdf/u3_6_1-option-values-120723.pdf" TargetMode="External"/><Relationship Id="rId4" Type="http://schemas.openxmlformats.org/officeDocument/2006/relationships/drawing" Target="../drawings/drawing77.xml"/></Relationships>
</file>

<file path=xl/worksheets/_rels/sheet78.xml.rels><?xml version="1.0" encoding="UTF-8" standalone="yes"?>
<Relationships xmlns="http://schemas.openxmlformats.org/package/2006/relationships"><Relationship Id="rId8" Type="http://schemas.openxmlformats.org/officeDocument/2006/relationships/hyperlink" Target="https://www.ons.gov.uk/economy/inflationandpriceindices/timeseries/d7bt/mm23" TargetMode="External"/><Relationship Id="rId3" Type="http://schemas.openxmlformats.org/officeDocument/2006/relationships/hyperlink" Target="http://obr.uk/download/march-2018-economic-and-fiscal-outlook-supplementary-economy-tables/" TargetMode="External"/><Relationship Id="rId7" Type="http://schemas.openxmlformats.org/officeDocument/2006/relationships/hyperlink" Target="http://obr.uk/download/long-term-economic-determinants-march-2018-economic-fiscal-outlook/" TargetMode="External"/><Relationship Id="rId2" Type="http://schemas.openxmlformats.org/officeDocument/2006/relationships/hyperlink" Target="http://www.ons.gov.uk/economy/grossdomesticproductgdp/timeseries/l8gg" TargetMode="External"/><Relationship Id="rId1" Type="http://schemas.openxmlformats.org/officeDocument/2006/relationships/hyperlink" Target="https://www.gov.uk/government/publications/webtag-tag-unit-a5-3-rail-appraisal" TargetMode="External"/><Relationship Id="rId6" Type="http://schemas.openxmlformats.org/officeDocument/2006/relationships/hyperlink" Target="http://obr.uk/download/march-2018-economic-and-fiscal-outlook-supplementary-economy-tables/" TargetMode="External"/><Relationship Id="rId5" Type="http://schemas.openxmlformats.org/officeDocument/2006/relationships/hyperlink" Target="https://www.ons.gov.uk/economy/inflationandpriceindices/timeseries/chaw/mm23" TargetMode="External"/><Relationship Id="rId10" Type="http://schemas.openxmlformats.org/officeDocument/2006/relationships/drawing" Target="../drawings/drawing78.xml"/><Relationship Id="rId4" Type="http://schemas.openxmlformats.org/officeDocument/2006/relationships/hyperlink" Target="http://obr.uk/download/march-2018-economic-and-fiscal-outlook-supplementary-economy-tables/" TargetMode="External"/><Relationship Id="rId9" Type="http://schemas.openxmlformats.org/officeDocument/2006/relationships/printerSettings" Target="../printerSettings/printerSettings69.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79.xml"/><Relationship Id="rId2" Type="http://schemas.openxmlformats.org/officeDocument/2006/relationships/hyperlink" Target="https://www.gov.uk/government/publications/rail-demand-forecasting-estimation-study-phase-reports" TargetMode="External"/><Relationship Id="rId1" Type="http://schemas.openxmlformats.org/officeDocument/2006/relationships/hyperlink" Target="https://www.gov.uk/government/publications/webtag-tag-unit-a5-3-rail-appraisal" TargetMode="External"/></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hyperlink" Target="https://www.gov.uk/government/publications/webtag-tag-unit-a5-3-rail-appraisal" TargetMode="External"/></Relationships>
</file>

<file path=xl/worksheets/_rels/sheet81.xml.rels><?xml version="1.0" encoding="UTF-8" standalone="yes"?>
<Relationships xmlns="http://schemas.openxmlformats.org/package/2006/relationships"><Relationship Id="rId8" Type="http://schemas.openxmlformats.org/officeDocument/2006/relationships/hyperlink" Target="https://www.ons.gov.uk/economy/inflationandpriceindices/timeseries/d7bt/mm23" TargetMode="External"/><Relationship Id="rId3" Type="http://schemas.openxmlformats.org/officeDocument/2006/relationships/hyperlink" Target="https://obr.uk/download/october-2018-economic-and-fiscal-outlook-supplementary-economy-tables/" TargetMode="External"/><Relationship Id="rId7" Type="http://schemas.openxmlformats.org/officeDocument/2006/relationships/hyperlink" Target="http://obr.uk/download/long-term-economic-determinants-march-2018-economic-fiscal-outlook/" TargetMode="External"/><Relationship Id="rId2" Type="http://schemas.openxmlformats.org/officeDocument/2006/relationships/hyperlink" Target="http://www.ons.gov.uk/economy/grossdomesticproductgdp/timeseries/l8gg" TargetMode="External"/><Relationship Id="rId1" Type="http://schemas.openxmlformats.org/officeDocument/2006/relationships/hyperlink" Target="https://www.gov.uk/government/publications/webtag-tag-unit-a5-3-rail-appraisal" TargetMode="External"/><Relationship Id="rId6" Type="http://schemas.openxmlformats.org/officeDocument/2006/relationships/hyperlink" Target="https://obr.uk/download/october-2018-economic-and-fiscal-outlook-supplementary-economy-tables/" TargetMode="External"/><Relationship Id="rId5" Type="http://schemas.openxmlformats.org/officeDocument/2006/relationships/hyperlink" Target="https://www.ons.gov.uk/economy/inflationandpriceindices/timeseries/chaw/mm23" TargetMode="External"/><Relationship Id="rId10" Type="http://schemas.openxmlformats.org/officeDocument/2006/relationships/drawing" Target="../drawings/drawing81.xml"/><Relationship Id="rId4" Type="http://schemas.openxmlformats.org/officeDocument/2006/relationships/hyperlink" Target="https://obr.uk/download/october-2018-economic-and-fiscal-outlook-supplementary-economy-tables/" TargetMode="External"/><Relationship Id="rId9" Type="http://schemas.openxmlformats.org/officeDocument/2006/relationships/printerSettings" Target="../printerSettings/printerSettings70.bin"/></Relationships>
</file>

<file path=xl/worksheets/_rels/sheet82.xml.rels><?xml version="1.0" encoding="UTF-8" standalone="yes"?>
<Relationships xmlns="http://schemas.openxmlformats.org/package/2006/relationships"><Relationship Id="rId3" Type="http://schemas.openxmlformats.org/officeDocument/2006/relationships/drawing" Target="../drawings/drawing82.xml"/><Relationship Id="rId2" Type="http://schemas.openxmlformats.org/officeDocument/2006/relationships/printerSettings" Target="../printerSettings/printerSettings71.bin"/><Relationship Id="rId1" Type="http://schemas.openxmlformats.org/officeDocument/2006/relationships/hyperlink" Target="http://www.dft.gov.uk/webtag/documents/expert/pdf/U3_13_2-external-costs-of-car-use-120723.pdf" TargetMode="External"/></Relationships>
</file>

<file path=xl/worksheets/_rels/sheet83.xml.rels><?xml version="1.0" encoding="UTF-8" standalone="yes"?>
<Relationships xmlns="http://schemas.openxmlformats.org/package/2006/relationships"><Relationship Id="rId3" Type="http://schemas.openxmlformats.org/officeDocument/2006/relationships/drawing" Target="../drawings/drawing83.xml"/><Relationship Id="rId2" Type="http://schemas.openxmlformats.org/officeDocument/2006/relationships/printerSettings" Target="../printerSettings/printerSettings72.bin"/><Relationship Id="rId1" Type="http://schemas.openxmlformats.org/officeDocument/2006/relationships/hyperlink" Target="http://www.dft.gov.uk/webtag/documents/expert/pdf/U3_13_2-external-costs-of-car-use-120723.pdf" TargetMode="External"/></Relationships>
</file>

<file path=xl/worksheets/_rels/sheet84.xml.rels><?xml version="1.0" encoding="UTF-8" standalone="yes"?>
<Relationships xmlns="http://schemas.openxmlformats.org/package/2006/relationships"><Relationship Id="rId3" Type="http://schemas.openxmlformats.org/officeDocument/2006/relationships/printerSettings" Target="../printerSettings/printerSettings73.bin"/><Relationship Id="rId2" Type="http://schemas.openxmlformats.org/officeDocument/2006/relationships/hyperlink" Target="https://www.gov.uk/government/publications/webtag-tag-unit-a5-4-marginal-external-congestion-costs" TargetMode="External"/><Relationship Id="rId1" Type="http://schemas.openxmlformats.org/officeDocument/2006/relationships/hyperlink" Target="http://www.dft.gov.uk/webtag/documents/expert/pdf/U3_13_2-external-costs-of-car-use-120723.pdf" TargetMode="External"/><Relationship Id="rId4" Type="http://schemas.openxmlformats.org/officeDocument/2006/relationships/drawing" Target="../drawings/drawing84.xml"/></Relationships>
</file>

<file path=xl/worksheets/_rels/sheet85.xml.rels><?xml version="1.0" encoding="UTF-8" standalone="yes"?>
<Relationships xmlns="http://schemas.openxmlformats.org/package/2006/relationships"><Relationship Id="rId3" Type="http://schemas.openxmlformats.org/officeDocument/2006/relationships/printerSettings" Target="../printerSettings/printerSettings74.bin"/><Relationship Id="rId2" Type="http://schemas.openxmlformats.org/officeDocument/2006/relationships/hyperlink" Target="https://www.gov.uk/government/publications/webtag-tag-unit-a5-4-marginal-external-congestion-costs" TargetMode="External"/><Relationship Id="rId1" Type="http://schemas.openxmlformats.org/officeDocument/2006/relationships/hyperlink" Target="http://www.dft.gov.uk/webtag/documents/expert/pdf/U3_13_2-external-costs-of-car-use-120723.pdf" TargetMode="External"/><Relationship Id="rId4" Type="http://schemas.openxmlformats.org/officeDocument/2006/relationships/drawing" Target="../drawings/drawing85.xml"/></Relationships>
</file>

<file path=xl/worksheets/_rels/sheet86.xml.rels><?xml version="1.0" encoding="UTF-8" standalone="yes"?>
<Relationships xmlns="http://schemas.openxmlformats.org/package/2006/relationships"><Relationship Id="rId3" Type="http://schemas.openxmlformats.org/officeDocument/2006/relationships/printerSettings" Target="../printerSettings/printerSettings75.bin"/><Relationship Id="rId2" Type="http://schemas.openxmlformats.org/officeDocument/2006/relationships/hyperlink" Target="https://www.gov.uk/government/publications/webtag-tag-unit-a5-4-marginal-external-congestion-costs" TargetMode="External"/><Relationship Id="rId1" Type="http://schemas.openxmlformats.org/officeDocument/2006/relationships/hyperlink" Target="http://www.dft.gov.uk/webtag/documents/expert/pdf/U3_13_2-external-costs-of-car-use-120723.pdf" TargetMode="External"/><Relationship Id="rId4" Type="http://schemas.openxmlformats.org/officeDocument/2006/relationships/drawing" Target="../drawings/drawing86.xml"/></Relationships>
</file>

<file path=xl/worksheets/_rels/sheet87.xml.rels><?xml version="1.0" encoding="UTF-8" standalone="yes"?>
<Relationships xmlns="http://schemas.openxmlformats.org/package/2006/relationships"><Relationship Id="rId3" Type="http://schemas.openxmlformats.org/officeDocument/2006/relationships/printerSettings" Target="../printerSettings/printerSettings76.bin"/><Relationship Id="rId2" Type="http://schemas.openxmlformats.org/officeDocument/2006/relationships/hyperlink" Target="https://www.gov.uk/government/publications/webtag-tag-unit-a5-4-marginal-external-congestion-costs" TargetMode="External"/><Relationship Id="rId1" Type="http://schemas.openxmlformats.org/officeDocument/2006/relationships/hyperlink" Target="http://www.dft.gov.uk/webtag/documents/expert/pdf/U3_13_2-external-costs-of-car-use-120723.pdf" TargetMode="External"/><Relationship Id="rId4" Type="http://schemas.openxmlformats.org/officeDocument/2006/relationships/drawing" Target="../drawings/drawing87.xml"/></Relationships>
</file>

<file path=xl/worksheets/_rels/sheet88.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hyperlink" Target="https://www.gov.uk/government/publications/webtag-tag-unit-a5-4-marginal-external-congestion-costs" TargetMode="External"/><Relationship Id="rId1" Type="http://schemas.openxmlformats.org/officeDocument/2006/relationships/hyperlink" Target="http://www.dft.gov.uk/webtag/documents/expert/pdf/U3_13_2-external-costs-of-car-use-120723.pdf" TargetMode="External"/><Relationship Id="rId4" Type="http://schemas.openxmlformats.org/officeDocument/2006/relationships/drawing" Target="../drawings/drawing88.xml"/></Relationships>
</file>

<file path=xl/worksheets/_rels/sheet89.xml.rels><?xml version="1.0" encoding="UTF-8" standalone="yes"?>
<Relationships xmlns="http://schemas.openxmlformats.org/package/2006/relationships"><Relationship Id="rId3" Type="http://schemas.openxmlformats.org/officeDocument/2006/relationships/printerSettings" Target="../printerSettings/printerSettings78.bin"/><Relationship Id="rId2" Type="http://schemas.openxmlformats.org/officeDocument/2006/relationships/hyperlink" Target="https://www.gov.uk/government/publications/webtag-tag-unit-a5-4-marginal-external-congestion-costs" TargetMode="External"/><Relationship Id="rId1" Type="http://schemas.openxmlformats.org/officeDocument/2006/relationships/hyperlink" Target="http://www.dft.gov.uk/webtag/documents/expert/pdf/U3_13_2-external-costs-of-car-use-120723.pdf" TargetMode="External"/><Relationship Id="rId4" Type="http://schemas.openxmlformats.org/officeDocument/2006/relationships/drawing" Target="../drawings/drawing89.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90.xml"/><Relationship Id="rId2" Type="http://schemas.openxmlformats.org/officeDocument/2006/relationships/hyperlink" Target="https://www.raildeliverygroup.com/pdfc.html" TargetMode="External"/><Relationship Id="rId1" Type="http://schemas.openxmlformats.org/officeDocument/2006/relationships/hyperlink" Target="https://www.gov.uk/government/publications/webtag-tag-unit-a5-3-rail-appraisal" TargetMode="External"/></Relationships>
</file>

<file path=xl/worksheets/_rels/sheet91.xml.rels><?xml version="1.0" encoding="UTF-8" standalone="yes"?>
<Relationships xmlns="http://schemas.openxmlformats.org/package/2006/relationships"><Relationship Id="rId3" Type="http://schemas.openxmlformats.org/officeDocument/2006/relationships/drawing" Target="../drawings/drawing91.xml"/><Relationship Id="rId2" Type="http://schemas.openxmlformats.org/officeDocument/2006/relationships/printerSettings" Target="../printerSettings/printerSettings79.bin"/><Relationship Id="rId1" Type="http://schemas.openxmlformats.org/officeDocument/2006/relationships/hyperlink" Target="https://www.gov.uk/government/publications/webtag-tag-unit-a5-3-rail-appraisal" TargetMode="External"/></Relationships>
</file>

<file path=xl/worksheets/_rels/sheet92.xml.rels><?xml version="1.0" encoding="UTF-8" standalone="yes"?>
<Relationships xmlns="http://schemas.openxmlformats.org/package/2006/relationships"><Relationship Id="rId3" Type="http://schemas.openxmlformats.org/officeDocument/2006/relationships/drawing" Target="../drawings/drawing92.xml"/><Relationship Id="rId2" Type="http://schemas.openxmlformats.org/officeDocument/2006/relationships/printerSettings" Target="../printerSettings/printerSettings80.bin"/><Relationship Id="rId1" Type="http://schemas.openxmlformats.org/officeDocument/2006/relationships/hyperlink" Target="https://www.gov.uk/government/publications/webtag-tag-unit-a5-3-rail-appraisal" TargetMode="External"/></Relationships>
</file>

<file path=xl/worksheets/_rels/sheet93.xml.rels><?xml version="1.0" encoding="UTF-8" standalone="yes"?>
<Relationships xmlns="http://schemas.openxmlformats.org/package/2006/relationships"><Relationship Id="rId3" Type="http://schemas.openxmlformats.org/officeDocument/2006/relationships/drawing" Target="../drawings/drawing93.xml"/><Relationship Id="rId2" Type="http://schemas.openxmlformats.org/officeDocument/2006/relationships/printerSettings" Target="../printerSettings/printerSettings81.bin"/><Relationship Id="rId1" Type="http://schemas.openxmlformats.org/officeDocument/2006/relationships/hyperlink" Target="https://www.gov.uk/government/publications/webtag-tag-unit-a5-3-rail-appraisal" TargetMode="External"/></Relationships>
</file>

<file path=xl/worksheets/_rels/sheet94.xml.rels><?xml version="1.0" encoding="UTF-8" standalone="yes"?>
<Relationships xmlns="http://schemas.openxmlformats.org/package/2006/relationships"><Relationship Id="rId3" Type="http://schemas.openxmlformats.org/officeDocument/2006/relationships/drawing" Target="../drawings/drawing94.xml"/><Relationship Id="rId2" Type="http://schemas.openxmlformats.org/officeDocument/2006/relationships/printerSettings" Target="../printerSettings/printerSettings82.bin"/><Relationship Id="rId1" Type="http://schemas.openxmlformats.org/officeDocument/2006/relationships/hyperlink" Target="https://www.gov.uk/government/publications/webtag-tag-unit-m2-variable-demand-modelling" TargetMode="External"/></Relationships>
</file>

<file path=xl/worksheets/_rels/sheet95.xml.rels><?xml version="1.0" encoding="UTF-8" standalone="yes"?>
<Relationships xmlns="http://schemas.openxmlformats.org/package/2006/relationships"><Relationship Id="rId3" Type="http://schemas.openxmlformats.org/officeDocument/2006/relationships/drawing" Target="../drawings/drawing95.xml"/><Relationship Id="rId2" Type="http://schemas.openxmlformats.org/officeDocument/2006/relationships/printerSettings" Target="../printerSettings/printerSettings83.bin"/><Relationship Id="rId1" Type="http://schemas.openxmlformats.org/officeDocument/2006/relationships/hyperlink" Target="https://www.gov.uk/government/publications/webtag-tag-unit-m2-variable-demand-modelling" TargetMode="External"/></Relationships>
</file>

<file path=xl/worksheets/_rels/sheet96.xml.rels><?xml version="1.0" encoding="UTF-8" standalone="yes"?>
<Relationships xmlns="http://schemas.openxmlformats.org/package/2006/relationships"><Relationship Id="rId3" Type="http://schemas.openxmlformats.org/officeDocument/2006/relationships/drawing" Target="../drawings/drawing96.xml"/><Relationship Id="rId2" Type="http://schemas.openxmlformats.org/officeDocument/2006/relationships/printerSettings" Target="../printerSettings/printerSettings84.bin"/><Relationship Id="rId1" Type="http://schemas.openxmlformats.org/officeDocument/2006/relationships/hyperlink" Target="https://www.gov.uk/government/publications/webtag-tag-unit-m2-variable-demand-modelling" TargetMode="External"/><Relationship Id="rId5" Type="http://schemas.openxmlformats.org/officeDocument/2006/relationships/comments" Target="../comments5.xml"/><Relationship Id="rId4" Type="http://schemas.openxmlformats.org/officeDocument/2006/relationships/vmlDrawing" Target="../drawings/vmlDrawing6.vml"/></Relationships>
</file>

<file path=xl/worksheets/_rels/sheet97.xml.rels><?xml version="1.0" encoding="UTF-8" standalone="yes"?>
<Relationships xmlns="http://schemas.openxmlformats.org/package/2006/relationships"><Relationship Id="rId3" Type="http://schemas.openxmlformats.org/officeDocument/2006/relationships/printerSettings" Target="../printerSettings/printerSettings85.bin"/><Relationship Id="rId2" Type="http://schemas.openxmlformats.org/officeDocument/2006/relationships/hyperlink" Target="https://www.gov.uk/government/publications/webtag-tag-unit-m3-2-public-transport-assignment-modelling" TargetMode="External"/><Relationship Id="rId1" Type="http://schemas.openxmlformats.org/officeDocument/2006/relationships/hyperlink" Target="https://www.cambridge.gov.uk/sites/default/files/documents/rd-t-050.pdf" TargetMode="External"/><Relationship Id="rId4" Type="http://schemas.openxmlformats.org/officeDocument/2006/relationships/drawing" Target="../drawings/drawing97.xml"/></Relationships>
</file>

<file path=xl/worksheets/_rels/sheet98.xml.rels><?xml version="1.0" encoding="UTF-8" standalone="yes"?>
<Relationships xmlns="http://schemas.openxmlformats.org/package/2006/relationships"><Relationship Id="rId3" Type="http://schemas.openxmlformats.org/officeDocument/2006/relationships/drawing" Target="../drawings/drawing98.xml"/><Relationship Id="rId2" Type="http://schemas.openxmlformats.org/officeDocument/2006/relationships/hyperlink" Target="https://www.gov.uk/government/publications/webtag-tag-unit-m3-2-public-transport-assignment-modelling" TargetMode="External"/><Relationship Id="rId1" Type="http://schemas.openxmlformats.org/officeDocument/2006/relationships/hyperlink" Target="http://assets.dft.gov.uk/publications/role-of-soft-factors-in-the-bus-market-in-england/report.pdf" TargetMode="External"/></Relationships>
</file>

<file path=xl/worksheets/_rels/sheet99.xml.rels><?xml version="1.0" encoding="UTF-8" standalone="yes"?>
<Relationships xmlns="http://schemas.openxmlformats.org/package/2006/relationships"><Relationship Id="rId3" Type="http://schemas.openxmlformats.org/officeDocument/2006/relationships/printerSettings" Target="../printerSettings/printerSettings86.bin"/><Relationship Id="rId2" Type="http://schemas.openxmlformats.org/officeDocument/2006/relationships/hyperlink" Target="https://www.gov.uk/government/publications/webtag-tag-unit-m4-forecasting-and-uncertainty" TargetMode="External"/><Relationship Id="rId1" Type="http://schemas.openxmlformats.org/officeDocument/2006/relationships/hyperlink" Target="http://www.dft.gov.uk/webtag/documents/expert/pdf/unit3.15.2.pdf" TargetMode="External"/><Relationship Id="rId4" Type="http://schemas.openxmlformats.org/officeDocument/2006/relationships/drawing" Target="../drawings/drawing99.xml"/></Relationships>
</file>

<file path=xl/worksheets/_rels/sheet100.xml.rels><?xml version="1.0" encoding="UTF-8" standalone="yes"?>
<Relationships xmlns="http://schemas.openxmlformats.org/package/2006/relationships"><Relationship Id="rId3" Type="http://schemas.openxmlformats.org/officeDocument/2006/relationships/drawing" Target="../drawings/drawing100.xml"/><Relationship Id="rId2" Type="http://schemas.openxmlformats.org/officeDocument/2006/relationships/printerSettings" Target="../printerSettings/printerSettings87.bin"/><Relationship Id="rId1" Type="http://schemas.openxmlformats.org/officeDocument/2006/relationships/hyperlink" Target="http://www.dft.gov.uk/webtag/documents/expert/pdf/unit3.15.2.pdf" TargetMode="External"/></Relationships>
</file>

<file path=xl/worksheets/_rels/sheet101.xml.rels><?xml version="1.0" encoding="UTF-8" standalone="yes"?>
<Relationships xmlns="http://schemas.openxmlformats.org/package/2006/relationships"><Relationship Id="rId3" Type="http://schemas.openxmlformats.org/officeDocument/2006/relationships/drawing" Target="../drawings/drawing101.xml"/><Relationship Id="rId2" Type="http://schemas.openxmlformats.org/officeDocument/2006/relationships/printerSettings" Target="../printerSettings/printerSettings88.bin"/><Relationship Id="rId1" Type="http://schemas.openxmlformats.org/officeDocument/2006/relationships/hyperlink" Target="https://www.gov.uk/government/publications/webtag-tag-unit-m4-forecasting-and-uncertainty" TargetMode="External"/></Relationships>
</file>

<file path=xl/worksheets/_rels/sheet102.xml.rels><?xml version="1.0" encoding="UTF-8" standalone="yes"?>
<Relationships xmlns="http://schemas.openxmlformats.org/package/2006/relationships"><Relationship Id="rId3" Type="http://schemas.openxmlformats.org/officeDocument/2006/relationships/drawing" Target="../drawings/drawing102.xml"/><Relationship Id="rId2" Type="http://schemas.openxmlformats.org/officeDocument/2006/relationships/printerSettings" Target="../printerSettings/printerSettings89.bin"/><Relationship Id="rId1" Type="http://schemas.openxmlformats.org/officeDocument/2006/relationships/hyperlink" Target="https://www.gov.uk/government/publications/webtag-tag-unit-m4-forecasting-and-uncertainty" TargetMode="External"/><Relationship Id="rId5" Type="http://schemas.openxmlformats.org/officeDocument/2006/relationships/comments" Target="../comments6.xml"/><Relationship Id="rId4" Type="http://schemas.openxmlformats.org/officeDocument/2006/relationships/vmlDrawing" Target="../drawings/vmlDrawing7.vml"/></Relationships>
</file>

<file path=xl/worksheets/_rels/sheet103.xml.rels><?xml version="1.0" encoding="UTF-8" standalone="yes"?>
<Relationships xmlns="http://schemas.openxmlformats.org/package/2006/relationships"><Relationship Id="rId3" Type="http://schemas.openxmlformats.org/officeDocument/2006/relationships/drawing" Target="../drawings/drawing103.xml"/><Relationship Id="rId2" Type="http://schemas.openxmlformats.org/officeDocument/2006/relationships/printerSettings" Target="../printerSettings/printerSettings90.bin"/><Relationship Id="rId1" Type="http://schemas.openxmlformats.org/officeDocument/2006/relationships/hyperlink" Target="https://www.gov.uk/government/publications/webtag-tag-unit-m4-forecasting-and-uncertainty" TargetMode="External"/><Relationship Id="rId5" Type="http://schemas.openxmlformats.org/officeDocument/2006/relationships/comments" Target="../comments7.xml"/><Relationship Id="rId4" Type="http://schemas.openxmlformats.org/officeDocument/2006/relationships/vmlDrawing" Target="../drawings/vmlDrawing8.vml"/></Relationships>
</file>

<file path=xl/worksheets/_rels/sheet104.xml.rels><?xml version="1.0" encoding="UTF-8" standalone="yes"?>
<Relationships xmlns="http://schemas.openxmlformats.org/package/2006/relationships"><Relationship Id="rId3" Type="http://schemas.openxmlformats.org/officeDocument/2006/relationships/drawing" Target="../drawings/drawing104.xml"/><Relationship Id="rId2" Type="http://schemas.openxmlformats.org/officeDocument/2006/relationships/printerSettings" Target="../printerSettings/printerSettings91.bin"/><Relationship Id="rId1" Type="http://schemas.openxmlformats.org/officeDocument/2006/relationships/hyperlink" Target="https://www.gov.uk/government/publications/webtag-tag-unit-m4-forecasting-and-uncertainty" TargetMode="External"/></Relationships>
</file>

<file path=xl/worksheets/_rels/sheet105.xml.rels><?xml version="1.0" encoding="UTF-8" standalone="yes"?>
<Relationships xmlns="http://schemas.openxmlformats.org/package/2006/relationships"><Relationship Id="rId3" Type="http://schemas.openxmlformats.org/officeDocument/2006/relationships/drawing" Target="../drawings/drawing105.xml"/><Relationship Id="rId2" Type="http://schemas.openxmlformats.org/officeDocument/2006/relationships/printerSettings" Target="../printerSettings/printerSettings92.bin"/><Relationship Id="rId1" Type="http://schemas.openxmlformats.org/officeDocument/2006/relationships/hyperlink" Target="https://www.gov.uk/government/publications/webtag-tag-unit-m4-forecasting-and-uncertainty" TargetMode="External"/></Relationships>
</file>

<file path=xl/worksheets/_rels/sheet106.xml.rels><?xml version="1.0" encoding="UTF-8" standalone="yes"?>
<Relationships xmlns="http://schemas.openxmlformats.org/package/2006/relationships"><Relationship Id="rId3" Type="http://schemas.openxmlformats.org/officeDocument/2006/relationships/printerSettings" Target="../printerSettings/printerSettings93.bin"/><Relationship Id="rId2" Type="http://schemas.openxmlformats.org/officeDocument/2006/relationships/hyperlink" Target="https://www.gov.uk/government/publications/rail-demand-forecasting-estimation-study-phase-reports" TargetMode="External"/><Relationship Id="rId1" Type="http://schemas.openxmlformats.org/officeDocument/2006/relationships/hyperlink" Target="https://www.gov.uk/government/publications/webtag-tag-unit-m4-forecasting-and-uncertainty" TargetMode="External"/><Relationship Id="rId4" Type="http://schemas.openxmlformats.org/officeDocument/2006/relationships/drawing" Target="../drawings/drawing106.xml"/></Relationships>
</file>

<file path=xl/worksheets/_rels/sheet107.xml.rels><?xml version="1.0" encoding="UTF-8" standalone="yes"?>
<Relationships xmlns="http://schemas.openxmlformats.org/package/2006/relationships"><Relationship Id="rId3" Type="http://schemas.openxmlformats.org/officeDocument/2006/relationships/printerSettings" Target="../printerSettings/printerSettings94.bin"/><Relationship Id="rId2" Type="http://schemas.openxmlformats.org/officeDocument/2006/relationships/hyperlink" Target="https://www.gov.uk/government/publications/rail-journeys-per-ticket-study" TargetMode="External"/><Relationship Id="rId1" Type="http://schemas.openxmlformats.org/officeDocument/2006/relationships/hyperlink" Target="https://www.gov.uk/government/publications/webtag-tag-unit-m4-forecasting-and-uncertainty" TargetMode="External"/><Relationship Id="rId4" Type="http://schemas.openxmlformats.org/officeDocument/2006/relationships/drawing" Target="../drawings/drawing107.xml"/></Relationships>
</file>

<file path=xl/worksheets/_rels/sheet108.xml.rels><?xml version="1.0" encoding="UTF-8" standalone="yes"?>
<Relationships xmlns="http://schemas.openxmlformats.org/package/2006/relationships"><Relationship Id="rId3" Type="http://schemas.openxmlformats.org/officeDocument/2006/relationships/printerSettings" Target="../printerSettings/printerSettings95.bin"/><Relationship Id="rId2" Type="http://schemas.openxmlformats.org/officeDocument/2006/relationships/hyperlink" Target="https://www.gov.uk/government/publications/rail-journeys-per-ticket-study" TargetMode="External"/><Relationship Id="rId1" Type="http://schemas.openxmlformats.org/officeDocument/2006/relationships/hyperlink" Target="https://www.gov.uk/government/publications/webtag-tag-unit-m4-forecasting-and-uncertainty" TargetMode="External"/><Relationship Id="rId4" Type="http://schemas.openxmlformats.org/officeDocument/2006/relationships/drawing" Target="../drawings/drawing108.xml"/></Relationships>
</file>

<file path=xl/worksheets/_rels/sheet109.xml.rels><?xml version="1.0" encoding="UTF-8" standalone="yes"?>
<Relationships xmlns="http://schemas.openxmlformats.org/package/2006/relationships"><Relationship Id="rId3" Type="http://schemas.openxmlformats.org/officeDocument/2006/relationships/drawing" Target="../drawings/drawing109.xml"/><Relationship Id="rId2" Type="http://schemas.openxmlformats.org/officeDocument/2006/relationships/printerSettings" Target="../printerSettings/printerSettings96.bin"/><Relationship Id="rId1" Type="http://schemas.openxmlformats.org/officeDocument/2006/relationships/hyperlink" Target="http://webarchive.nationalarchives.gov.uk/20100304070241/http:/www.dft.gov.uk/pgr/economics/software/coba11usermanual/part2thevalofcostsandb3154.pdf" TargetMode="External"/></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110.xml"/><Relationship Id="rId1" Type="http://schemas.openxmlformats.org/officeDocument/2006/relationships/printerSettings" Target="../printerSettings/printerSettings97.bin"/></Relationships>
</file>

<file path=xl/worksheets/_rels/sheet111.xml.rels><?xml version="1.0" encoding="UTF-8" standalone="yes"?>
<Relationships xmlns="http://schemas.openxmlformats.org/package/2006/relationships"><Relationship Id="rId2" Type="http://schemas.openxmlformats.org/officeDocument/2006/relationships/drawing" Target="../drawings/drawing111.xml"/><Relationship Id="rId1" Type="http://schemas.openxmlformats.org/officeDocument/2006/relationships/printerSettings" Target="../printerSettings/printerSettings98.bin"/></Relationships>
</file>

<file path=xl/worksheets/_rels/sheet112.xml.rels><?xml version="1.0" encoding="UTF-8" standalone="yes"?>
<Relationships xmlns="http://schemas.openxmlformats.org/package/2006/relationships"><Relationship Id="rId2" Type="http://schemas.openxmlformats.org/officeDocument/2006/relationships/drawing" Target="../drawings/drawing112.xml"/><Relationship Id="rId1" Type="http://schemas.openxmlformats.org/officeDocument/2006/relationships/printerSettings" Target="../printerSettings/printerSettings99.bin"/></Relationships>
</file>

<file path=xl/worksheets/_rels/sheet113.xml.rels><?xml version="1.0" encoding="UTF-8" standalone="yes"?>
<Relationships xmlns="http://schemas.openxmlformats.org/package/2006/relationships"><Relationship Id="rId2" Type="http://schemas.openxmlformats.org/officeDocument/2006/relationships/drawing" Target="../drawings/drawing113.xml"/><Relationship Id="rId1" Type="http://schemas.openxmlformats.org/officeDocument/2006/relationships/printerSettings" Target="../printerSettings/printerSettings100.bin"/></Relationships>
</file>

<file path=xl/worksheets/_rels/sheet114.xml.rels><?xml version="1.0" encoding="UTF-8" standalone="yes"?>
<Relationships xmlns="http://schemas.openxmlformats.org/package/2006/relationships"><Relationship Id="rId3" Type="http://schemas.openxmlformats.org/officeDocument/2006/relationships/drawing" Target="../drawings/drawing114.xml"/><Relationship Id="rId2" Type="http://schemas.openxmlformats.org/officeDocument/2006/relationships/printerSettings" Target="../printerSettings/printerSettings101.bin"/><Relationship Id="rId1" Type="http://schemas.openxmlformats.org/officeDocument/2006/relationships/hyperlink" Target="http://webarchive.nationalarchives.gov.uk/20100304070241/http:/www.dft.gov.uk/pgr/economics/software/coba11usermanual/part2thevalofcostsandb3154.pdf" TargetMode="External"/></Relationships>
</file>

<file path=xl/worksheets/_rels/sheet115.xml.rels><?xml version="1.0" encoding="UTF-8" standalone="yes"?>
<Relationships xmlns="http://schemas.openxmlformats.org/package/2006/relationships"><Relationship Id="rId3" Type="http://schemas.openxmlformats.org/officeDocument/2006/relationships/drawing" Target="../drawings/drawing115.xml"/><Relationship Id="rId2" Type="http://schemas.openxmlformats.org/officeDocument/2006/relationships/printerSettings" Target="../printerSettings/printerSettings102.bin"/><Relationship Id="rId1" Type="http://schemas.openxmlformats.org/officeDocument/2006/relationships/hyperlink" Target="http://webarchive.nationalarchives.gov.uk/20100304070241/http:/www.dft.gov.uk/pgr/economics/software/coba11usermanual/part2thevalofcostsandb3154.pdf" TargetMode="External"/></Relationships>
</file>

<file path=xl/worksheets/_rels/sheet116.xml.rels><?xml version="1.0" encoding="UTF-8" standalone="yes"?>
<Relationships xmlns="http://schemas.openxmlformats.org/package/2006/relationships"><Relationship Id="rId3" Type="http://schemas.openxmlformats.org/officeDocument/2006/relationships/drawing" Target="../drawings/drawing116.xml"/><Relationship Id="rId2" Type="http://schemas.openxmlformats.org/officeDocument/2006/relationships/printerSettings" Target="../printerSettings/printerSettings103.bin"/><Relationship Id="rId1" Type="http://schemas.openxmlformats.org/officeDocument/2006/relationships/hyperlink" Target="http://webarchive.nationalarchives.gov.uk/20100304070241/http:/www.dft.gov.uk/pgr/economics/software/coba11usermanual/part2thevalofcostsandb3154.pdf" TargetMode="External"/></Relationships>
</file>

<file path=xl/worksheets/_rels/sheet117.xml.rels><?xml version="1.0" encoding="UTF-8" standalone="yes"?>
<Relationships xmlns="http://schemas.openxmlformats.org/package/2006/relationships"><Relationship Id="rId3" Type="http://schemas.openxmlformats.org/officeDocument/2006/relationships/drawing" Target="../drawings/drawing117.xml"/><Relationship Id="rId2" Type="http://schemas.openxmlformats.org/officeDocument/2006/relationships/printerSettings" Target="../printerSettings/printerSettings104.bin"/><Relationship Id="rId1" Type="http://schemas.openxmlformats.org/officeDocument/2006/relationships/hyperlink" Target="http://webarchive.nationalarchives.gov.uk/20100304070241/http:/www.dft.gov.uk/pgr/economics/software/coba11usermanual/part2thevalofcostsandb3154.pdf" TargetMode="External"/></Relationships>
</file>

<file path=xl/worksheets/_rels/sheet118.xml.rels><?xml version="1.0" encoding="UTF-8" standalone="yes"?>
<Relationships xmlns="http://schemas.openxmlformats.org/package/2006/relationships"><Relationship Id="rId2" Type="http://schemas.openxmlformats.org/officeDocument/2006/relationships/drawing" Target="../drawings/drawing118.xml"/><Relationship Id="rId1" Type="http://schemas.openxmlformats.org/officeDocument/2006/relationships/printerSettings" Target="../printerSettings/printerSettings10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indexed="42"/>
  </sheetPr>
  <dimension ref="A1:BL201"/>
  <sheetViews>
    <sheetView showGridLines="0" tabSelected="1" zoomScale="115" zoomScaleNormal="115" workbookViewId="0">
      <selection sqref="A1:B1"/>
    </sheetView>
  </sheetViews>
  <sheetFormatPr defaultColWidth="12.88671875" defaultRowHeight="13.2"/>
  <cols>
    <col min="1" max="13" width="12.88671875" style="33" customWidth="1"/>
    <col min="14" max="63" width="12.88671875" style="26" customWidth="1"/>
    <col min="64" max="16384" width="12.88671875" style="33"/>
  </cols>
  <sheetData>
    <row r="1" spans="1:64" ht="54.9" customHeight="1">
      <c r="A1" s="3569"/>
      <c r="B1" s="3569"/>
      <c r="C1" s="112"/>
    </row>
    <row r="2" spans="1:64" ht="5.0999999999999996" customHeight="1">
      <c r="C2" s="111"/>
    </row>
    <row r="3" spans="1:64" s="70" customFormat="1" ht="20.100000000000001" customHeight="1">
      <c r="A3" s="83" t="s">
        <v>2344</v>
      </c>
      <c r="B3" s="83"/>
      <c r="C3" s="83"/>
      <c r="D3" s="83"/>
      <c r="E3" s="83"/>
      <c r="F3" s="83"/>
      <c r="G3" s="84"/>
      <c r="H3" s="83"/>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46"/>
      <c r="BB3" s="84"/>
      <c r="BC3" s="84"/>
      <c r="BD3" s="84"/>
      <c r="BE3" s="84"/>
      <c r="BF3" s="84"/>
      <c r="BG3" s="84"/>
      <c r="BH3" s="84"/>
      <c r="BI3" s="84"/>
      <c r="BJ3" s="84"/>
      <c r="BK3" s="84"/>
      <c r="BL3" s="71"/>
    </row>
    <row r="4" spans="1:64" s="70" customFormat="1" ht="20.100000000000001" customHeight="1" thickBot="1">
      <c r="A4" s="109" t="str">
        <f>Audit!A12</f>
        <v>May 2019 v1.12</v>
      </c>
      <c r="B4" s="109"/>
      <c r="C4" s="109"/>
      <c r="D4" s="109"/>
      <c r="E4" s="109"/>
      <c r="F4" s="109"/>
      <c r="G4" s="110"/>
      <c r="H4" s="109"/>
      <c r="I4" s="110"/>
      <c r="J4" s="110"/>
      <c r="K4" s="110"/>
      <c r="L4" s="110"/>
      <c r="M4" s="110"/>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46"/>
      <c r="BB4" s="84"/>
      <c r="BC4" s="84"/>
      <c r="BD4" s="84"/>
      <c r="BE4" s="84"/>
      <c r="BF4" s="84"/>
      <c r="BG4" s="84"/>
      <c r="BH4" s="84"/>
      <c r="BI4" s="84"/>
      <c r="BJ4" s="84"/>
      <c r="BK4" s="84"/>
      <c r="BL4" s="71"/>
    </row>
    <row r="5" spans="1:64" s="38" customFormat="1" ht="9.9" customHeight="1" thickTop="1">
      <c r="B5" s="85"/>
      <c r="C5" s="85"/>
      <c r="D5" s="86"/>
      <c r="E5" s="85"/>
      <c r="F5" s="85"/>
      <c r="G5" s="86"/>
      <c r="H5" s="85"/>
      <c r="I5" s="86"/>
      <c r="J5" s="86"/>
      <c r="K5" s="86"/>
      <c r="L5" s="86"/>
      <c r="M5" s="86"/>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c r="AQ5" s="97"/>
      <c r="AR5" s="97"/>
      <c r="AS5" s="97"/>
      <c r="AT5" s="26"/>
      <c r="AU5" s="26"/>
      <c r="AV5" s="26"/>
      <c r="AW5" s="26"/>
      <c r="AX5" s="26"/>
      <c r="AY5" s="26"/>
      <c r="AZ5" s="26"/>
      <c r="BA5" s="31"/>
      <c r="BB5" s="26"/>
      <c r="BC5" s="26"/>
      <c r="BD5" s="26"/>
      <c r="BE5" s="26"/>
      <c r="BF5" s="26"/>
      <c r="BG5" s="26"/>
      <c r="BH5" s="26"/>
      <c r="BI5" s="26"/>
      <c r="BJ5" s="26"/>
      <c r="BK5" s="26"/>
      <c r="BL5" s="87"/>
    </row>
    <row r="6" spans="1:64" s="38" customFormat="1" ht="13.5" customHeight="1" thickBot="1">
      <c r="A6" s="172" t="s">
        <v>14</v>
      </c>
      <c r="B6" s="173"/>
      <c r="C6" s="85"/>
      <c r="D6" s="86"/>
      <c r="E6" s="85"/>
      <c r="F6" s="85"/>
      <c r="G6" s="86"/>
      <c r="H6" s="85"/>
      <c r="I6" s="86"/>
      <c r="J6" s="86"/>
      <c r="K6" s="86"/>
      <c r="L6" s="86"/>
      <c r="M6" s="86"/>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26"/>
      <c r="AU6" s="26"/>
      <c r="AV6" s="26"/>
      <c r="AW6" s="26"/>
      <c r="AX6" s="26"/>
      <c r="AY6" s="26"/>
      <c r="AZ6" s="26"/>
      <c r="BA6" s="31"/>
      <c r="BB6" s="26"/>
      <c r="BC6" s="26"/>
      <c r="BD6" s="26"/>
      <c r="BE6" s="26"/>
      <c r="BF6" s="26"/>
      <c r="BG6" s="26"/>
      <c r="BH6" s="26"/>
      <c r="BI6" s="26"/>
      <c r="BJ6" s="26"/>
      <c r="BK6" s="26"/>
      <c r="BL6" s="87"/>
    </row>
    <row r="7" spans="1:64" s="38" customFormat="1" ht="13.5" customHeight="1" thickBot="1">
      <c r="A7" s="3570" t="s">
        <v>1306</v>
      </c>
      <c r="B7" s="3571"/>
      <c r="C7" s="85"/>
      <c r="D7" s="86"/>
      <c r="E7" s="85"/>
      <c r="F7" s="85"/>
      <c r="G7" s="86"/>
      <c r="H7" s="85"/>
      <c r="I7" s="86"/>
      <c r="J7" s="86"/>
      <c r="K7" s="86"/>
      <c r="L7" s="86"/>
      <c r="M7" s="86"/>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26"/>
      <c r="AU7" s="26"/>
      <c r="AV7" s="26"/>
      <c r="AW7" s="26"/>
      <c r="AX7" s="26"/>
      <c r="AY7" s="26"/>
      <c r="AZ7" s="26"/>
      <c r="BA7" s="31"/>
      <c r="BB7" s="26"/>
      <c r="BC7" s="26"/>
      <c r="BD7" s="26"/>
      <c r="BE7" s="26"/>
      <c r="BF7" s="26"/>
      <c r="BG7" s="26"/>
      <c r="BH7" s="26"/>
      <c r="BI7" s="26"/>
      <c r="BJ7" s="26"/>
      <c r="BK7" s="26"/>
      <c r="BL7" s="87"/>
    </row>
    <row r="8" spans="1:64" s="38" customFormat="1" ht="13.5" customHeight="1">
      <c r="B8" s="85"/>
      <c r="C8" s="85"/>
      <c r="D8" s="86"/>
      <c r="E8" s="85"/>
      <c r="F8" s="85"/>
      <c r="G8" s="86"/>
      <c r="H8" s="85"/>
      <c r="I8" s="86"/>
      <c r="J8" s="86"/>
      <c r="K8" s="86"/>
      <c r="L8" s="86"/>
      <c r="M8" s="86"/>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26"/>
      <c r="AU8" s="26"/>
      <c r="AV8" s="26"/>
      <c r="AW8" s="26"/>
      <c r="AX8" s="26"/>
      <c r="AY8" s="26"/>
      <c r="AZ8" s="26"/>
      <c r="BA8" s="31"/>
      <c r="BB8" s="26"/>
      <c r="BC8" s="26"/>
      <c r="BD8" s="26"/>
      <c r="BE8" s="26"/>
      <c r="BF8" s="26"/>
      <c r="BG8" s="26"/>
      <c r="BH8" s="26"/>
      <c r="BI8" s="26"/>
      <c r="BJ8" s="26"/>
      <c r="BK8" s="26"/>
      <c r="BL8" s="87"/>
    </row>
    <row r="9" spans="1:64" ht="13.5" customHeight="1">
      <c r="A9" s="172" t="s">
        <v>144</v>
      </c>
      <c r="B9" s="173"/>
      <c r="C9" s="27"/>
      <c r="D9" s="43" t="s">
        <v>2120</v>
      </c>
      <c r="E9" s="27"/>
      <c r="F9" s="27"/>
      <c r="G9" s="27"/>
      <c r="H9" s="27"/>
      <c r="I9" s="27"/>
      <c r="J9" s="27"/>
      <c r="K9" s="27"/>
      <c r="L9" s="27"/>
      <c r="M9" s="27"/>
    </row>
    <row r="10" spans="1:64" s="26" customFormat="1" ht="13.5" customHeight="1">
      <c r="A10" s="184" t="s">
        <v>145</v>
      </c>
      <c r="B10" s="120"/>
      <c r="C10" s="120"/>
      <c r="D10" s="181"/>
      <c r="E10" s="182"/>
      <c r="F10" s="182"/>
      <c r="G10" s="182"/>
      <c r="H10" s="182"/>
      <c r="I10" s="182"/>
      <c r="J10" s="182"/>
      <c r="K10" s="182"/>
      <c r="L10" s="182"/>
      <c r="M10" s="182"/>
      <c r="N10" s="120"/>
      <c r="O10" s="30"/>
      <c r="P10" s="30"/>
      <c r="Q10" s="30"/>
      <c r="R10" s="30"/>
      <c r="S10" s="30"/>
      <c r="T10" s="30"/>
      <c r="U10" s="30"/>
      <c r="V10" s="30"/>
      <c r="W10" s="30"/>
      <c r="X10" s="30"/>
      <c r="Y10" s="30"/>
      <c r="Z10" s="30"/>
      <c r="AA10" s="30"/>
      <c r="AB10" s="30"/>
      <c r="AC10" s="30"/>
      <c r="AD10" s="120"/>
      <c r="AE10" s="30"/>
      <c r="AF10" s="30"/>
      <c r="AG10" s="30"/>
      <c r="AH10" s="30"/>
      <c r="AI10" s="30"/>
      <c r="AJ10" s="30"/>
      <c r="AK10" s="30"/>
      <c r="AL10" s="30"/>
      <c r="AM10" s="30"/>
      <c r="AN10" s="30"/>
      <c r="AO10" s="30"/>
      <c r="AP10" s="30"/>
      <c r="AQ10" s="30"/>
      <c r="AR10" s="30"/>
      <c r="AS10" s="30"/>
    </row>
    <row r="11" spans="1:64" s="29" customFormat="1" ht="13.5" customHeight="1">
      <c r="A11" s="184" t="s">
        <v>146</v>
      </c>
      <c r="B11" s="32"/>
      <c r="C11" s="183"/>
      <c r="D11" s="132"/>
      <c r="E11" s="132"/>
      <c r="F11" s="132"/>
      <c r="G11" s="132"/>
      <c r="H11" s="132"/>
      <c r="I11" s="132"/>
      <c r="J11" s="132"/>
      <c r="K11" s="132"/>
      <c r="L11" s="132"/>
      <c r="M11" s="132"/>
      <c r="N11" s="80"/>
      <c r="O11" s="80"/>
      <c r="P11" s="80"/>
      <c r="Q11" s="80"/>
      <c r="R11" s="80"/>
      <c r="S11" s="80"/>
      <c r="T11" s="80"/>
      <c r="U11" s="80"/>
      <c r="V11" s="80"/>
      <c r="W11" s="80"/>
      <c r="X11" s="80"/>
      <c r="Y11" s="80"/>
      <c r="Z11" s="80"/>
      <c r="AA11" s="80"/>
      <c r="AB11" s="119"/>
      <c r="AC11" s="119"/>
      <c r="AD11" s="80"/>
      <c r="AE11" s="80"/>
      <c r="AF11" s="80"/>
      <c r="AG11" s="80"/>
      <c r="AH11" s="80"/>
      <c r="AI11" s="80"/>
      <c r="AJ11" s="80"/>
      <c r="AK11" s="80"/>
      <c r="AL11" s="80"/>
      <c r="AM11" s="80"/>
      <c r="AN11" s="80"/>
      <c r="AO11" s="80"/>
      <c r="AP11" s="80"/>
      <c r="AQ11" s="80"/>
      <c r="AR11" s="119"/>
      <c r="AS11" s="119"/>
    </row>
    <row r="12" spans="1:64" s="29" customFormat="1" ht="13.5" customHeight="1">
      <c r="A12" s="184" t="s">
        <v>1485</v>
      </c>
      <c r="B12" s="32"/>
      <c r="C12" s="183"/>
      <c r="D12" s="132"/>
      <c r="E12" s="132"/>
      <c r="F12" s="132"/>
      <c r="G12" s="132"/>
      <c r="H12" s="132"/>
      <c r="I12" s="132"/>
      <c r="J12" s="132"/>
      <c r="K12" s="132"/>
      <c r="L12" s="132"/>
      <c r="M12" s="132"/>
      <c r="N12" s="80"/>
      <c r="O12" s="80"/>
      <c r="P12" s="80"/>
      <c r="Q12" s="80"/>
      <c r="R12" s="80"/>
      <c r="S12" s="80"/>
      <c r="T12" s="80"/>
      <c r="U12" s="80"/>
      <c r="V12" s="80"/>
      <c r="W12" s="80"/>
      <c r="X12" s="80"/>
      <c r="Y12" s="80"/>
      <c r="Z12" s="80"/>
      <c r="AA12" s="80"/>
      <c r="AB12" s="119"/>
      <c r="AC12" s="119"/>
      <c r="AD12" s="80"/>
      <c r="AE12" s="80"/>
      <c r="AF12" s="80"/>
      <c r="AG12" s="80"/>
      <c r="AH12" s="80"/>
      <c r="AI12" s="80"/>
      <c r="AJ12" s="80"/>
      <c r="AK12" s="80"/>
      <c r="AL12" s="80"/>
      <c r="AM12" s="80"/>
      <c r="AN12" s="80"/>
      <c r="AO12" s="80"/>
      <c r="AP12" s="80"/>
      <c r="AQ12" s="80"/>
      <c r="AR12" s="119"/>
      <c r="AS12" s="119"/>
    </row>
    <row r="13" spans="1:64" s="26" customFormat="1" ht="13.5" customHeight="1">
      <c r="A13" s="184" t="s">
        <v>1486</v>
      </c>
      <c r="B13" s="82"/>
      <c r="C13" s="183"/>
      <c r="D13" s="129"/>
      <c r="E13" s="129"/>
      <c r="F13" s="129"/>
      <c r="G13" s="129"/>
      <c r="H13" s="129"/>
      <c r="I13" s="129"/>
      <c r="J13" s="129"/>
      <c r="K13" s="129"/>
      <c r="L13" s="129"/>
      <c r="M13" s="129"/>
      <c r="N13" s="73"/>
      <c r="O13" s="73"/>
      <c r="P13" s="73"/>
      <c r="Q13" s="73"/>
      <c r="R13" s="73"/>
      <c r="S13" s="73"/>
      <c r="T13" s="73"/>
      <c r="U13" s="73"/>
      <c r="V13" s="73"/>
      <c r="W13" s="73"/>
      <c r="X13" s="73"/>
      <c r="Y13" s="73"/>
      <c r="Z13" s="73"/>
      <c r="AA13" s="73"/>
      <c r="AB13" s="65"/>
      <c r="AC13" s="65"/>
      <c r="AD13" s="73"/>
      <c r="AE13" s="73"/>
      <c r="AF13" s="73"/>
      <c r="AG13" s="73"/>
      <c r="AH13" s="73"/>
      <c r="AI13" s="73"/>
      <c r="AJ13" s="73"/>
      <c r="AK13" s="73"/>
      <c r="AL13" s="73"/>
      <c r="AM13" s="73"/>
      <c r="AN13" s="73"/>
      <c r="AO13" s="73"/>
      <c r="AP13" s="73"/>
      <c r="AQ13" s="73"/>
      <c r="AR13" s="65"/>
      <c r="AS13" s="65"/>
    </row>
    <row r="14" spans="1:64" s="26" customFormat="1" ht="13.5" customHeight="1">
      <c r="A14" s="184" t="s">
        <v>1487</v>
      </c>
      <c r="B14" s="82"/>
      <c r="C14" s="183"/>
      <c r="D14" s="129"/>
      <c r="E14" s="129"/>
      <c r="F14" s="129"/>
      <c r="G14" s="129"/>
      <c r="H14" s="129"/>
      <c r="I14" s="129"/>
      <c r="J14" s="129"/>
      <c r="K14" s="129"/>
      <c r="L14" s="129"/>
      <c r="M14" s="129"/>
      <c r="N14" s="73"/>
      <c r="O14" s="73"/>
      <c r="P14" s="73"/>
      <c r="Q14" s="73"/>
      <c r="R14" s="73"/>
      <c r="S14" s="73"/>
      <c r="T14" s="73"/>
      <c r="U14" s="73"/>
      <c r="V14" s="73"/>
      <c r="W14" s="73"/>
      <c r="X14" s="73"/>
      <c r="Y14" s="73"/>
      <c r="Z14" s="73"/>
      <c r="AA14" s="73"/>
      <c r="AB14" s="65"/>
      <c r="AC14" s="65"/>
      <c r="AD14" s="73"/>
      <c r="AE14" s="73"/>
      <c r="AF14" s="73"/>
      <c r="AG14" s="73"/>
      <c r="AH14" s="73"/>
      <c r="AI14" s="73"/>
      <c r="AJ14" s="73"/>
      <c r="AK14" s="73"/>
      <c r="AL14" s="73"/>
      <c r="AM14" s="73"/>
      <c r="AN14" s="73"/>
      <c r="AO14" s="73"/>
      <c r="AP14" s="73"/>
      <c r="AQ14" s="73"/>
      <c r="AR14" s="65"/>
      <c r="AS14" s="65"/>
    </row>
    <row r="15" spans="1:64" s="26" customFormat="1" ht="13.5" customHeight="1" thickBot="1">
      <c r="A15" s="184" t="s">
        <v>1488</v>
      </c>
      <c r="B15" s="82"/>
      <c r="C15" s="183"/>
      <c r="D15" s="129"/>
      <c r="E15" s="129"/>
      <c r="F15" s="129"/>
      <c r="G15" s="129"/>
      <c r="H15" s="129"/>
      <c r="I15" s="129"/>
      <c r="J15" s="129"/>
      <c r="K15" s="129"/>
      <c r="L15" s="129"/>
      <c r="M15" s="129"/>
      <c r="N15" s="73"/>
      <c r="O15" s="73"/>
      <c r="P15" s="73"/>
      <c r="Q15" s="73"/>
      <c r="R15" s="73"/>
      <c r="S15" s="73"/>
      <c r="T15" s="73"/>
      <c r="U15" s="73"/>
      <c r="V15" s="73"/>
      <c r="W15" s="73"/>
      <c r="X15" s="73"/>
      <c r="Y15" s="73"/>
      <c r="Z15" s="73"/>
      <c r="AA15" s="73"/>
      <c r="AB15" s="65"/>
      <c r="AC15" s="65"/>
      <c r="AD15" s="73"/>
      <c r="AE15" s="73"/>
      <c r="AF15" s="73"/>
      <c r="AG15" s="73"/>
      <c r="AH15" s="73"/>
      <c r="AI15" s="73"/>
      <c r="AJ15" s="73"/>
      <c r="AK15" s="73"/>
      <c r="AL15" s="73"/>
      <c r="AM15" s="73"/>
      <c r="AN15" s="73"/>
      <c r="AO15" s="73"/>
      <c r="AP15" s="73"/>
      <c r="AQ15" s="73"/>
      <c r="AR15" s="65"/>
      <c r="AS15" s="65"/>
      <c r="AU15" s="121"/>
      <c r="AV15" s="53"/>
      <c r="AW15" s="53"/>
      <c r="AX15" s="53"/>
      <c r="AY15" s="53"/>
      <c r="AZ15" s="53"/>
      <c r="BA15" s="53"/>
      <c r="BB15" s="53"/>
      <c r="BC15" s="53"/>
      <c r="BD15" s="53"/>
      <c r="BE15" s="53"/>
      <c r="BF15" s="53"/>
      <c r="BG15" s="53"/>
      <c r="BH15" s="53"/>
      <c r="BI15" s="53"/>
      <c r="BJ15" s="53"/>
      <c r="BK15" s="53"/>
    </row>
    <row r="16" spans="1:64" s="26" customFormat="1" ht="13.5" customHeight="1" thickBot="1">
      <c r="A16" s="3572" t="s">
        <v>147</v>
      </c>
      <c r="B16" s="3573"/>
      <c r="C16" s="183"/>
      <c r="D16" s="129"/>
      <c r="E16" s="129"/>
      <c r="F16" s="129"/>
      <c r="G16" s="129"/>
      <c r="H16" s="129"/>
      <c r="I16" s="129"/>
      <c r="J16" s="129"/>
      <c r="K16" s="129"/>
      <c r="L16" s="129"/>
      <c r="M16" s="129"/>
      <c r="N16" s="73"/>
      <c r="O16" s="73"/>
      <c r="P16" s="73"/>
      <c r="Q16" s="73"/>
      <c r="R16" s="73"/>
      <c r="S16" s="73"/>
      <c r="T16" s="73"/>
      <c r="U16" s="73"/>
      <c r="V16" s="73"/>
      <c r="W16" s="73"/>
      <c r="X16" s="73"/>
      <c r="Y16" s="73"/>
      <c r="Z16" s="73"/>
      <c r="AA16" s="73"/>
      <c r="AB16" s="65"/>
      <c r="AC16" s="65"/>
      <c r="AD16" s="73"/>
      <c r="AE16" s="73"/>
      <c r="AF16" s="73"/>
      <c r="AG16" s="73"/>
      <c r="AH16" s="73"/>
      <c r="AI16" s="73"/>
      <c r="AJ16" s="73"/>
      <c r="AK16" s="73"/>
      <c r="AL16" s="73"/>
      <c r="AM16" s="73"/>
      <c r="AN16" s="73"/>
      <c r="AO16" s="73"/>
      <c r="AP16" s="73"/>
      <c r="AQ16" s="73"/>
      <c r="AR16" s="65"/>
      <c r="AS16" s="65"/>
      <c r="AU16" s="53"/>
      <c r="AV16" s="53"/>
      <c r="AW16" s="53"/>
      <c r="AX16" s="53"/>
      <c r="AY16" s="53"/>
      <c r="AZ16" s="53"/>
      <c r="BA16" s="53"/>
      <c r="BB16" s="53"/>
      <c r="BC16" s="53"/>
      <c r="BD16" s="53"/>
      <c r="BE16" s="53"/>
      <c r="BF16" s="53"/>
      <c r="BG16" s="53"/>
      <c r="BH16" s="53"/>
      <c r="BI16" s="53"/>
      <c r="BJ16" s="53"/>
      <c r="BK16" s="53"/>
    </row>
    <row r="17" spans="1:47" s="26" customFormat="1" ht="13.5" customHeight="1">
      <c r="B17" s="82"/>
      <c r="C17" s="183"/>
      <c r="D17" s="129"/>
      <c r="E17" s="129"/>
      <c r="F17" s="129"/>
      <c r="G17" s="129"/>
      <c r="H17" s="129"/>
      <c r="I17" s="129"/>
      <c r="J17" s="129"/>
      <c r="K17" s="129"/>
      <c r="L17" s="129"/>
      <c r="M17" s="129"/>
      <c r="N17" s="73"/>
      <c r="O17" s="73"/>
      <c r="P17" s="73"/>
      <c r="Q17" s="73"/>
      <c r="R17" s="73"/>
      <c r="S17" s="73"/>
      <c r="T17" s="73"/>
      <c r="U17" s="73"/>
      <c r="V17" s="73"/>
      <c r="W17" s="73"/>
      <c r="X17" s="73"/>
      <c r="Y17" s="73"/>
      <c r="Z17" s="73"/>
      <c r="AA17" s="73"/>
      <c r="AB17" s="65"/>
      <c r="AC17" s="65"/>
      <c r="AD17" s="73"/>
      <c r="AE17" s="73"/>
      <c r="AF17" s="73"/>
      <c r="AG17" s="73"/>
      <c r="AH17" s="73"/>
      <c r="AI17" s="73"/>
      <c r="AJ17" s="73"/>
      <c r="AK17" s="73"/>
      <c r="AL17" s="73"/>
      <c r="AM17" s="73"/>
      <c r="AN17" s="73"/>
      <c r="AO17" s="73"/>
      <c r="AP17" s="73"/>
      <c r="AQ17" s="73"/>
      <c r="AR17" s="65"/>
      <c r="AS17" s="65"/>
    </row>
    <row r="18" spans="1:47" s="26" customFormat="1" ht="13.5" customHeight="1">
      <c r="A18" s="29"/>
      <c r="B18" s="82"/>
      <c r="C18" s="183"/>
      <c r="D18" s="129"/>
      <c r="E18" s="129"/>
      <c r="F18" s="129"/>
      <c r="G18" s="129"/>
      <c r="H18" s="129"/>
      <c r="I18" s="129"/>
      <c r="J18" s="129"/>
      <c r="K18" s="129"/>
      <c r="L18" s="129"/>
      <c r="M18" s="129"/>
      <c r="N18" s="73"/>
      <c r="O18" s="73"/>
      <c r="P18" s="73"/>
      <c r="Q18" s="73"/>
      <c r="R18" s="73"/>
      <c r="S18" s="73"/>
      <c r="T18" s="73"/>
      <c r="U18" s="73"/>
      <c r="V18" s="73"/>
      <c r="W18" s="73"/>
      <c r="X18" s="73"/>
      <c r="Y18" s="73"/>
      <c r="Z18" s="73"/>
      <c r="AA18" s="73"/>
      <c r="AB18" s="65"/>
      <c r="AC18" s="65"/>
      <c r="AD18" s="73"/>
      <c r="AE18" s="73"/>
      <c r="AF18" s="73"/>
      <c r="AG18" s="73"/>
      <c r="AH18" s="73"/>
      <c r="AI18" s="73"/>
      <c r="AJ18" s="73"/>
      <c r="AK18" s="73"/>
      <c r="AL18" s="73"/>
      <c r="AM18" s="73"/>
      <c r="AN18" s="73"/>
      <c r="AO18" s="73"/>
      <c r="AP18" s="73"/>
      <c r="AQ18" s="73"/>
      <c r="AR18" s="65"/>
      <c r="AS18" s="65"/>
    </row>
    <row r="19" spans="1:47" s="26" customFormat="1" ht="13.5" customHeight="1">
      <c r="A19" s="29"/>
      <c r="B19" s="82"/>
      <c r="C19" s="183"/>
      <c r="D19" s="129"/>
      <c r="E19" s="129"/>
      <c r="F19" s="129"/>
      <c r="G19" s="129"/>
      <c r="H19" s="129"/>
      <c r="I19" s="129"/>
      <c r="J19" s="129"/>
      <c r="K19" s="129"/>
      <c r="L19" s="129"/>
      <c r="M19" s="129"/>
      <c r="N19" s="73"/>
      <c r="O19" s="73"/>
      <c r="P19" s="73"/>
      <c r="Q19" s="73"/>
      <c r="R19" s="73"/>
      <c r="S19" s="73"/>
      <c r="T19" s="73"/>
      <c r="U19" s="73"/>
      <c r="V19" s="73"/>
      <c r="W19" s="73"/>
      <c r="X19" s="73"/>
      <c r="Y19" s="73"/>
      <c r="Z19" s="73"/>
      <c r="AA19" s="73"/>
      <c r="AB19" s="65"/>
      <c r="AC19" s="65"/>
      <c r="AD19" s="73"/>
      <c r="AE19" s="73"/>
      <c r="AF19" s="73"/>
      <c r="AG19" s="73"/>
      <c r="AH19" s="73"/>
      <c r="AI19" s="73"/>
      <c r="AJ19" s="73"/>
      <c r="AK19" s="73"/>
      <c r="AL19" s="73"/>
      <c r="AM19" s="73"/>
      <c r="AN19" s="73"/>
      <c r="AO19" s="73"/>
      <c r="AP19" s="73"/>
      <c r="AQ19" s="73"/>
      <c r="AR19" s="65"/>
      <c r="AS19" s="65"/>
    </row>
    <row r="20" spans="1:47" s="26" customFormat="1" ht="13.5" customHeight="1">
      <c r="A20" s="2700"/>
      <c r="B20" s="82"/>
      <c r="C20" s="183"/>
      <c r="D20" s="129"/>
      <c r="E20" s="129"/>
      <c r="F20" s="129"/>
      <c r="G20" s="129"/>
      <c r="H20" s="129"/>
      <c r="I20" s="129"/>
      <c r="J20" s="129"/>
      <c r="K20" s="129"/>
      <c r="L20" s="129"/>
      <c r="M20" s="129"/>
      <c r="N20" s="73"/>
      <c r="O20" s="73"/>
      <c r="P20" s="73"/>
      <c r="Q20" s="73"/>
      <c r="R20" s="73"/>
      <c r="S20" s="73"/>
      <c r="T20" s="73"/>
      <c r="U20" s="73"/>
      <c r="V20" s="73"/>
      <c r="W20" s="73"/>
      <c r="X20" s="73"/>
      <c r="Y20" s="73"/>
      <c r="Z20" s="73"/>
      <c r="AA20" s="73"/>
      <c r="AB20" s="65"/>
      <c r="AC20" s="65"/>
      <c r="AD20" s="73"/>
      <c r="AE20" s="73"/>
      <c r="AF20" s="73"/>
      <c r="AG20" s="73"/>
      <c r="AH20" s="73"/>
      <c r="AI20" s="73"/>
      <c r="AJ20" s="73"/>
      <c r="AK20" s="73"/>
      <c r="AL20" s="73"/>
      <c r="AM20" s="73"/>
      <c r="AN20" s="73"/>
      <c r="AO20" s="73"/>
      <c r="AP20" s="73"/>
      <c r="AQ20" s="73"/>
      <c r="AR20" s="65"/>
      <c r="AS20" s="65"/>
    </row>
    <row r="21" spans="1:47" s="29" customFormat="1" ht="13.5" customHeight="1">
      <c r="A21" s="2701"/>
      <c r="B21" s="32"/>
      <c r="C21" s="183"/>
      <c r="D21" s="132"/>
      <c r="E21" s="132"/>
      <c r="F21" s="132"/>
      <c r="G21" s="132"/>
      <c r="H21" s="132"/>
      <c r="I21" s="132"/>
      <c r="J21" s="132"/>
      <c r="K21" s="132"/>
      <c r="L21" s="132"/>
      <c r="M21" s="132"/>
      <c r="N21" s="80"/>
      <c r="O21" s="80"/>
      <c r="P21" s="80"/>
      <c r="Q21" s="80"/>
      <c r="R21" s="80"/>
      <c r="S21" s="80"/>
      <c r="T21" s="80"/>
      <c r="U21" s="80"/>
      <c r="V21" s="80"/>
      <c r="W21" s="80"/>
      <c r="X21" s="80"/>
      <c r="Y21" s="80"/>
      <c r="Z21" s="80"/>
      <c r="AA21" s="80"/>
      <c r="AB21" s="119"/>
      <c r="AC21" s="119"/>
      <c r="AD21" s="80"/>
      <c r="AE21" s="80"/>
      <c r="AF21" s="80"/>
      <c r="AG21" s="80"/>
      <c r="AH21" s="80"/>
      <c r="AI21" s="80"/>
      <c r="AJ21" s="80"/>
      <c r="AK21" s="80"/>
      <c r="AL21" s="80"/>
      <c r="AM21" s="80"/>
      <c r="AN21" s="80"/>
      <c r="AO21" s="80"/>
      <c r="AP21" s="80"/>
      <c r="AQ21" s="80"/>
      <c r="AR21" s="119"/>
      <c r="AS21" s="119"/>
      <c r="AU21" s="26"/>
    </row>
    <row r="22" spans="1:47" s="26" customFormat="1" ht="13.5" customHeight="1">
      <c r="A22" s="335"/>
      <c r="B22" s="82"/>
      <c r="C22" s="183"/>
      <c r="D22" s="129"/>
      <c r="E22" s="129"/>
      <c r="F22" s="129"/>
      <c r="G22" s="129"/>
      <c r="H22" s="129"/>
      <c r="I22" s="129"/>
      <c r="J22" s="129"/>
      <c r="K22" s="129"/>
      <c r="L22" s="129"/>
      <c r="M22" s="129"/>
      <c r="N22" s="73"/>
      <c r="O22" s="73"/>
      <c r="P22" s="73"/>
      <c r="Q22" s="73"/>
      <c r="R22" s="73"/>
      <c r="S22" s="73"/>
      <c r="T22" s="73"/>
      <c r="U22" s="73"/>
      <c r="V22" s="73"/>
      <c r="W22" s="73"/>
      <c r="X22" s="73"/>
      <c r="Y22" s="73"/>
      <c r="Z22" s="73"/>
      <c r="AA22" s="73"/>
      <c r="AB22" s="65"/>
      <c r="AC22" s="65"/>
      <c r="AD22" s="73"/>
      <c r="AE22" s="73"/>
      <c r="AF22" s="73"/>
      <c r="AG22" s="73"/>
      <c r="AH22" s="73"/>
      <c r="AI22" s="73"/>
      <c r="AJ22" s="73"/>
      <c r="AK22" s="73"/>
      <c r="AL22" s="73"/>
      <c r="AM22" s="73"/>
      <c r="AN22" s="73"/>
      <c r="AO22" s="73"/>
      <c r="AP22" s="73"/>
      <c r="AQ22" s="73"/>
      <c r="AR22" s="65"/>
      <c r="AS22" s="65"/>
    </row>
    <row r="23" spans="1:47" s="26" customFormat="1" ht="13.5" customHeight="1">
      <c r="A23" s="335"/>
      <c r="B23" s="82"/>
      <c r="C23" s="183"/>
      <c r="D23" s="129"/>
      <c r="E23" s="129"/>
      <c r="F23" s="129"/>
      <c r="G23" s="129"/>
      <c r="H23" s="129"/>
      <c r="I23" s="129"/>
      <c r="J23" s="129"/>
      <c r="K23" s="129"/>
      <c r="L23" s="129"/>
      <c r="M23" s="129"/>
      <c r="N23" s="73"/>
      <c r="O23" s="73"/>
      <c r="P23" s="73"/>
      <c r="Q23" s="73"/>
      <c r="R23" s="73"/>
      <c r="S23" s="73"/>
      <c r="T23" s="73"/>
      <c r="U23" s="73"/>
      <c r="V23" s="73"/>
      <c r="W23" s="73"/>
      <c r="X23" s="73"/>
      <c r="Y23" s="73"/>
      <c r="Z23" s="73"/>
      <c r="AA23" s="73"/>
      <c r="AB23" s="65"/>
      <c r="AC23" s="65"/>
      <c r="AD23" s="73"/>
      <c r="AE23" s="73"/>
      <c r="AF23" s="73"/>
      <c r="AG23" s="73"/>
      <c r="AH23" s="73"/>
      <c r="AI23" s="73"/>
      <c r="AJ23" s="73"/>
      <c r="AK23" s="73"/>
      <c r="AL23" s="73"/>
      <c r="AM23" s="73"/>
      <c r="AN23" s="73"/>
      <c r="AO23" s="73"/>
      <c r="AP23" s="73"/>
      <c r="AQ23" s="73"/>
      <c r="AR23" s="65"/>
      <c r="AS23" s="65"/>
    </row>
    <row r="24" spans="1:47" s="26" customFormat="1" ht="13.5" customHeight="1">
      <c r="A24" s="335"/>
      <c r="B24" s="82"/>
      <c r="C24" s="183"/>
      <c r="D24" s="129"/>
      <c r="E24" s="129"/>
      <c r="F24" s="129"/>
      <c r="G24" s="129"/>
      <c r="H24" s="129"/>
      <c r="I24" s="129"/>
      <c r="J24" s="129"/>
      <c r="K24" s="129"/>
      <c r="L24" s="129"/>
      <c r="M24" s="129"/>
      <c r="N24" s="73"/>
      <c r="O24" s="73"/>
      <c r="P24" s="73"/>
      <c r="Q24" s="73"/>
      <c r="R24" s="73"/>
      <c r="S24" s="73"/>
      <c r="T24" s="73"/>
      <c r="U24" s="73"/>
      <c r="V24" s="73"/>
      <c r="W24" s="73"/>
      <c r="X24" s="73"/>
      <c r="Y24" s="73"/>
      <c r="Z24" s="73"/>
      <c r="AA24" s="73"/>
      <c r="AB24" s="65"/>
      <c r="AC24" s="65"/>
      <c r="AD24" s="73"/>
      <c r="AE24" s="73"/>
      <c r="AF24" s="73"/>
      <c r="AG24" s="73"/>
      <c r="AH24" s="73"/>
      <c r="AI24" s="73"/>
      <c r="AJ24" s="73"/>
      <c r="AK24" s="73"/>
      <c r="AL24" s="73"/>
      <c r="AM24" s="73"/>
      <c r="AN24" s="73"/>
      <c r="AO24" s="73"/>
      <c r="AP24" s="73"/>
      <c r="AQ24" s="73"/>
      <c r="AR24" s="65"/>
      <c r="AS24" s="65"/>
    </row>
    <row r="25" spans="1:47" s="26" customFormat="1" ht="13.5" customHeight="1">
      <c r="B25" s="82"/>
      <c r="C25" s="183"/>
      <c r="D25" s="129"/>
      <c r="E25" s="129"/>
      <c r="F25" s="129"/>
      <c r="G25" s="129"/>
      <c r="H25" s="129"/>
      <c r="I25" s="129"/>
      <c r="J25" s="129"/>
      <c r="K25" s="129"/>
      <c r="L25" s="129"/>
      <c r="M25" s="129"/>
      <c r="N25" s="73"/>
      <c r="O25" s="73"/>
      <c r="P25" s="73"/>
      <c r="Q25" s="73"/>
      <c r="R25" s="73"/>
      <c r="S25" s="73"/>
      <c r="T25" s="73"/>
      <c r="U25" s="73"/>
      <c r="V25" s="73"/>
      <c r="W25" s="73"/>
      <c r="X25" s="73"/>
      <c r="Y25" s="73"/>
      <c r="Z25" s="73"/>
      <c r="AA25" s="73"/>
      <c r="AB25" s="65"/>
      <c r="AC25" s="65"/>
      <c r="AD25" s="73"/>
      <c r="AE25" s="73"/>
      <c r="AF25" s="73"/>
      <c r="AG25" s="73"/>
      <c r="AH25" s="73"/>
      <c r="AI25" s="73"/>
      <c r="AJ25" s="73"/>
      <c r="AK25" s="73"/>
      <c r="AL25" s="73"/>
      <c r="AM25" s="73"/>
      <c r="AN25" s="73"/>
      <c r="AO25" s="73"/>
      <c r="AP25" s="73"/>
      <c r="AQ25" s="73"/>
      <c r="AR25" s="65"/>
      <c r="AS25" s="65"/>
    </row>
    <row r="26" spans="1:47" s="26" customFormat="1" ht="13.5" customHeight="1">
      <c r="B26" s="82"/>
      <c r="C26" s="183"/>
      <c r="D26" s="129"/>
      <c r="E26" s="129"/>
      <c r="F26" s="129"/>
      <c r="G26" s="129"/>
      <c r="H26" s="129"/>
      <c r="I26" s="129"/>
      <c r="J26" s="129"/>
      <c r="K26" s="129"/>
      <c r="L26" s="129"/>
      <c r="M26" s="129"/>
      <c r="N26" s="73"/>
      <c r="O26" s="73"/>
      <c r="P26" s="73"/>
      <c r="Q26" s="73"/>
      <c r="R26" s="73"/>
      <c r="S26" s="73"/>
      <c r="T26" s="73"/>
      <c r="U26" s="73"/>
      <c r="V26" s="73"/>
      <c r="W26" s="73"/>
      <c r="X26" s="73"/>
      <c r="Y26" s="73"/>
      <c r="Z26" s="73"/>
      <c r="AA26" s="73"/>
      <c r="AB26" s="65"/>
      <c r="AC26" s="65"/>
      <c r="AD26" s="73"/>
      <c r="AE26" s="73"/>
      <c r="AF26" s="73"/>
      <c r="AG26" s="73"/>
      <c r="AH26" s="73"/>
      <c r="AI26" s="73"/>
      <c r="AJ26" s="73"/>
      <c r="AK26" s="73"/>
      <c r="AL26" s="73"/>
      <c r="AM26" s="73"/>
      <c r="AN26" s="73"/>
      <c r="AO26" s="73"/>
      <c r="AP26" s="73"/>
      <c r="AQ26" s="73"/>
      <c r="AR26" s="65"/>
      <c r="AS26" s="65"/>
    </row>
    <row r="27" spans="1:47" s="26" customFormat="1" ht="13.5" customHeight="1">
      <c r="B27" s="82"/>
      <c r="C27" s="183"/>
      <c r="D27" s="129"/>
      <c r="E27" s="129"/>
      <c r="F27" s="129"/>
      <c r="G27" s="129"/>
      <c r="H27" s="129"/>
      <c r="I27" s="129"/>
      <c r="J27" s="129"/>
      <c r="K27" s="129"/>
      <c r="L27" s="129"/>
      <c r="M27" s="129"/>
      <c r="N27" s="73"/>
      <c r="O27" s="73"/>
      <c r="P27" s="73"/>
      <c r="Q27" s="73"/>
      <c r="R27" s="73"/>
      <c r="S27" s="73"/>
      <c r="T27" s="73"/>
      <c r="U27" s="73"/>
      <c r="V27" s="73"/>
      <c r="W27" s="73"/>
      <c r="X27" s="73"/>
      <c r="Y27" s="73"/>
      <c r="Z27" s="73"/>
      <c r="AA27" s="73"/>
      <c r="AB27" s="65"/>
      <c r="AC27" s="65"/>
      <c r="AD27" s="73"/>
      <c r="AE27" s="73"/>
      <c r="AF27" s="73"/>
      <c r="AG27" s="73"/>
      <c r="AH27" s="73"/>
      <c r="AI27" s="73"/>
      <c r="AJ27" s="73"/>
      <c r="AK27" s="73"/>
      <c r="AL27" s="73"/>
      <c r="AM27" s="73"/>
      <c r="AN27" s="73"/>
      <c r="AO27" s="73"/>
      <c r="AP27" s="73"/>
      <c r="AQ27" s="73"/>
      <c r="AR27" s="65"/>
      <c r="AS27" s="65"/>
    </row>
    <row r="28" spans="1:47" s="26" customFormat="1" ht="13.5" customHeight="1">
      <c r="B28" s="82"/>
      <c r="C28" s="183"/>
      <c r="D28" s="129"/>
      <c r="E28" s="129"/>
      <c r="F28" s="129"/>
      <c r="G28" s="129"/>
      <c r="H28" s="129"/>
      <c r="I28" s="129"/>
      <c r="J28" s="129"/>
      <c r="K28" s="129"/>
      <c r="L28" s="129"/>
      <c r="M28" s="129"/>
      <c r="N28" s="73"/>
      <c r="O28" s="73"/>
      <c r="P28" s="73"/>
      <c r="Q28" s="73"/>
      <c r="R28" s="73"/>
      <c r="S28" s="73"/>
      <c r="T28" s="73"/>
      <c r="U28" s="73"/>
      <c r="V28" s="73"/>
      <c r="W28" s="73"/>
      <c r="X28" s="73"/>
      <c r="Y28" s="73"/>
      <c r="Z28" s="73"/>
      <c r="AA28" s="73"/>
      <c r="AB28" s="65"/>
      <c r="AC28" s="65"/>
      <c r="AD28" s="73"/>
      <c r="AE28" s="73"/>
      <c r="AF28" s="73"/>
      <c r="AG28" s="73"/>
      <c r="AH28" s="73"/>
      <c r="AI28" s="73"/>
      <c r="AJ28" s="73"/>
      <c r="AK28" s="73"/>
      <c r="AL28" s="73"/>
      <c r="AM28" s="73"/>
      <c r="AN28" s="73"/>
      <c r="AO28" s="73"/>
      <c r="AP28" s="73"/>
      <c r="AQ28" s="73"/>
      <c r="AR28" s="65"/>
      <c r="AS28" s="65"/>
    </row>
    <row r="29" spans="1:47" s="26" customFormat="1" ht="13.5" customHeight="1">
      <c r="B29" s="82"/>
      <c r="C29" s="183"/>
      <c r="D29" s="129"/>
      <c r="E29" s="129"/>
      <c r="F29" s="129"/>
      <c r="G29" s="129"/>
      <c r="H29" s="129"/>
      <c r="I29" s="129"/>
      <c r="J29" s="129"/>
      <c r="K29" s="129"/>
      <c r="L29" s="129"/>
      <c r="M29" s="129"/>
      <c r="N29" s="73"/>
      <c r="O29" s="73"/>
      <c r="P29" s="73"/>
      <c r="Q29" s="73"/>
      <c r="R29" s="73"/>
      <c r="S29" s="73"/>
      <c r="T29" s="73"/>
      <c r="U29" s="73"/>
      <c r="V29" s="73"/>
      <c r="W29" s="73"/>
      <c r="X29" s="73"/>
      <c r="Y29" s="73"/>
      <c r="Z29" s="73"/>
      <c r="AA29" s="73"/>
      <c r="AB29" s="65"/>
      <c r="AC29" s="65"/>
      <c r="AD29" s="73"/>
      <c r="AE29" s="73"/>
      <c r="AF29" s="73"/>
      <c r="AG29" s="73"/>
      <c r="AH29" s="73"/>
      <c r="AI29" s="73"/>
      <c r="AJ29" s="73"/>
      <c r="AK29" s="73"/>
      <c r="AL29" s="73"/>
      <c r="AM29" s="73"/>
      <c r="AN29" s="73"/>
      <c r="AO29" s="73"/>
      <c r="AP29" s="73"/>
      <c r="AQ29" s="73"/>
      <c r="AR29" s="65"/>
      <c r="AS29" s="65"/>
    </row>
    <row r="30" spans="1:47" s="26" customFormat="1" ht="13.5" customHeight="1">
      <c r="B30" s="82"/>
      <c r="C30" s="183"/>
      <c r="D30" s="129"/>
      <c r="E30" s="129"/>
      <c r="F30" s="129"/>
      <c r="G30" s="129"/>
      <c r="H30" s="129"/>
      <c r="I30" s="129"/>
      <c r="J30" s="129"/>
      <c r="K30" s="129"/>
      <c r="L30" s="129"/>
      <c r="M30" s="129"/>
      <c r="N30" s="73"/>
      <c r="O30" s="73"/>
      <c r="P30" s="73"/>
      <c r="Q30" s="73"/>
      <c r="R30" s="73"/>
      <c r="S30" s="73"/>
      <c r="T30" s="73"/>
      <c r="U30" s="73"/>
      <c r="V30" s="73"/>
      <c r="W30" s="73"/>
      <c r="X30" s="73"/>
      <c r="Y30" s="73"/>
      <c r="Z30" s="73"/>
      <c r="AA30" s="73"/>
      <c r="AB30" s="65"/>
      <c r="AC30" s="65"/>
      <c r="AD30" s="73"/>
      <c r="AE30" s="73"/>
      <c r="AF30" s="73"/>
      <c r="AG30" s="73"/>
      <c r="AH30" s="73"/>
      <c r="AI30" s="73"/>
      <c r="AJ30" s="73"/>
      <c r="AK30" s="73"/>
      <c r="AL30" s="73"/>
      <c r="AM30" s="73"/>
      <c r="AN30" s="73"/>
      <c r="AO30" s="73"/>
      <c r="AP30" s="73"/>
      <c r="AQ30" s="73"/>
      <c r="AR30" s="65"/>
      <c r="AS30" s="65"/>
    </row>
    <row r="31" spans="1:47" s="26" customFormat="1" ht="13.5" customHeight="1">
      <c r="B31" s="82"/>
      <c r="C31" s="183"/>
      <c r="D31" s="129"/>
      <c r="E31" s="129"/>
      <c r="F31" s="129"/>
      <c r="G31" s="129"/>
      <c r="H31" s="129"/>
      <c r="I31" s="129"/>
      <c r="J31" s="129"/>
      <c r="K31" s="129"/>
      <c r="L31" s="129"/>
      <c r="M31" s="129"/>
      <c r="N31" s="73"/>
      <c r="O31" s="73"/>
      <c r="P31" s="73"/>
      <c r="Q31" s="73"/>
      <c r="R31" s="73"/>
      <c r="S31" s="73"/>
      <c r="T31" s="73"/>
      <c r="U31" s="73"/>
      <c r="V31" s="73"/>
      <c r="W31" s="73"/>
      <c r="X31" s="73"/>
      <c r="Y31" s="73"/>
      <c r="Z31" s="73"/>
      <c r="AA31" s="73"/>
      <c r="AB31" s="65"/>
      <c r="AC31" s="65"/>
      <c r="AD31" s="73"/>
      <c r="AE31" s="73"/>
      <c r="AF31" s="73"/>
      <c r="AG31" s="73"/>
      <c r="AH31" s="73"/>
      <c r="AI31" s="73"/>
      <c r="AJ31" s="73"/>
      <c r="AK31" s="73"/>
      <c r="AL31" s="73"/>
      <c r="AM31" s="73"/>
      <c r="AN31" s="73"/>
      <c r="AO31" s="73"/>
      <c r="AP31" s="73"/>
      <c r="AQ31" s="73"/>
      <c r="AR31" s="65"/>
      <c r="AS31" s="65"/>
    </row>
    <row r="32" spans="1:47" s="26" customFormat="1" ht="13.5" customHeight="1">
      <c r="B32" s="82"/>
      <c r="C32" s="183"/>
      <c r="D32" s="129"/>
      <c r="E32" s="129"/>
      <c r="F32" s="129"/>
      <c r="G32" s="129"/>
      <c r="H32" s="129"/>
      <c r="I32" s="129"/>
      <c r="J32" s="129"/>
      <c r="K32" s="129"/>
      <c r="L32" s="129"/>
      <c r="M32" s="129"/>
      <c r="N32" s="73"/>
      <c r="O32" s="73"/>
      <c r="P32" s="73"/>
      <c r="Q32" s="73"/>
      <c r="R32" s="73"/>
      <c r="S32" s="73"/>
      <c r="T32" s="73"/>
      <c r="U32" s="73"/>
      <c r="V32" s="73"/>
      <c r="W32" s="73"/>
      <c r="X32" s="73"/>
      <c r="Y32" s="73"/>
      <c r="Z32" s="73"/>
      <c r="AA32" s="73"/>
      <c r="AB32" s="65"/>
      <c r="AC32" s="65"/>
      <c r="AD32" s="73"/>
      <c r="AE32" s="73"/>
      <c r="AF32" s="73"/>
      <c r="AG32" s="73"/>
      <c r="AH32" s="73"/>
      <c r="AI32" s="73"/>
      <c r="AJ32" s="73"/>
      <c r="AK32" s="73"/>
      <c r="AL32" s="73"/>
      <c r="AM32" s="73"/>
      <c r="AN32" s="73"/>
      <c r="AO32" s="73"/>
      <c r="AP32" s="73"/>
      <c r="AQ32" s="73"/>
      <c r="AR32" s="65"/>
      <c r="AS32" s="65"/>
    </row>
    <row r="33" spans="2:45" s="26" customFormat="1" ht="13.5" customHeight="1">
      <c r="B33" s="82"/>
      <c r="C33" s="183"/>
      <c r="D33" s="129"/>
      <c r="E33" s="129"/>
      <c r="F33" s="129"/>
      <c r="G33" s="129"/>
      <c r="H33" s="129"/>
      <c r="I33" s="129"/>
      <c r="J33" s="129"/>
      <c r="K33" s="129"/>
      <c r="L33" s="129"/>
      <c r="M33" s="129"/>
      <c r="N33" s="73"/>
      <c r="O33" s="73"/>
      <c r="P33" s="73"/>
      <c r="Q33" s="73"/>
      <c r="R33" s="73"/>
      <c r="S33" s="73"/>
      <c r="T33" s="73"/>
      <c r="U33" s="73"/>
      <c r="V33" s="73"/>
      <c r="W33" s="73"/>
      <c r="X33" s="73"/>
      <c r="Y33" s="73"/>
      <c r="Z33" s="73"/>
      <c r="AA33" s="73"/>
      <c r="AB33" s="65"/>
      <c r="AC33" s="65"/>
      <c r="AD33" s="73"/>
      <c r="AE33" s="73"/>
      <c r="AF33" s="73"/>
      <c r="AG33" s="73"/>
      <c r="AH33" s="73"/>
      <c r="AI33" s="73"/>
      <c r="AJ33" s="73"/>
      <c r="AK33" s="73"/>
      <c r="AL33" s="73"/>
      <c r="AM33" s="73"/>
      <c r="AN33" s="73"/>
      <c r="AO33" s="73"/>
      <c r="AP33" s="73"/>
      <c r="AQ33" s="73"/>
      <c r="AR33" s="65"/>
      <c r="AS33" s="65"/>
    </row>
    <row r="34" spans="2:45" s="26" customFormat="1" ht="13.5" customHeight="1">
      <c r="B34" s="82"/>
      <c r="C34" s="183"/>
      <c r="D34" s="129"/>
      <c r="E34" s="129"/>
      <c r="F34" s="129"/>
      <c r="G34" s="129"/>
      <c r="H34" s="129"/>
      <c r="I34" s="129"/>
      <c r="J34" s="129"/>
      <c r="K34" s="129"/>
      <c r="L34" s="129"/>
      <c r="M34" s="129"/>
      <c r="N34" s="73"/>
      <c r="O34" s="73"/>
      <c r="P34" s="73"/>
      <c r="Q34" s="73"/>
      <c r="R34" s="73"/>
      <c r="S34" s="73"/>
      <c r="T34" s="73"/>
      <c r="U34" s="73"/>
      <c r="V34" s="73"/>
      <c r="W34" s="73"/>
      <c r="X34" s="73"/>
      <c r="Y34" s="73"/>
      <c r="Z34" s="73"/>
      <c r="AA34" s="73"/>
      <c r="AB34" s="65"/>
      <c r="AC34" s="65"/>
      <c r="AD34" s="73"/>
      <c r="AE34" s="73"/>
      <c r="AF34" s="73"/>
      <c r="AG34" s="73"/>
      <c r="AH34" s="73"/>
      <c r="AI34" s="73"/>
      <c r="AJ34" s="73"/>
      <c r="AK34" s="73"/>
      <c r="AL34" s="73"/>
      <c r="AM34" s="73"/>
      <c r="AN34" s="73"/>
      <c r="AO34" s="73"/>
      <c r="AP34" s="73"/>
      <c r="AQ34" s="73"/>
      <c r="AR34" s="65"/>
      <c r="AS34" s="65"/>
    </row>
    <row r="35" spans="2:45" s="26" customFormat="1" ht="13.5" customHeight="1">
      <c r="B35" s="82"/>
      <c r="C35" s="183"/>
      <c r="D35" s="129"/>
      <c r="E35" s="129"/>
      <c r="F35" s="129"/>
      <c r="G35" s="129"/>
      <c r="H35" s="129"/>
      <c r="I35" s="129"/>
      <c r="J35" s="129"/>
      <c r="K35" s="129"/>
      <c r="L35" s="129"/>
      <c r="M35" s="129"/>
      <c r="N35" s="73"/>
      <c r="O35" s="73"/>
      <c r="P35" s="73"/>
      <c r="Q35" s="73"/>
      <c r="R35" s="73"/>
      <c r="S35" s="73"/>
      <c r="T35" s="73"/>
      <c r="U35" s="73"/>
      <c r="V35" s="73"/>
      <c r="W35" s="73"/>
      <c r="X35" s="73"/>
      <c r="Y35" s="73"/>
      <c r="Z35" s="73"/>
      <c r="AA35" s="73"/>
      <c r="AB35" s="65"/>
      <c r="AC35" s="65"/>
      <c r="AD35" s="73"/>
      <c r="AE35" s="73"/>
      <c r="AF35" s="73"/>
      <c r="AG35" s="73"/>
      <c r="AH35" s="73"/>
      <c r="AI35" s="73"/>
      <c r="AJ35" s="73"/>
      <c r="AK35" s="73"/>
      <c r="AL35" s="73"/>
      <c r="AM35" s="73"/>
      <c r="AN35" s="73"/>
      <c r="AO35" s="73"/>
      <c r="AP35" s="73"/>
      <c r="AQ35" s="73"/>
      <c r="AR35" s="65"/>
      <c r="AS35" s="65"/>
    </row>
    <row r="36" spans="2:45" s="26" customFormat="1" ht="13.5" customHeight="1">
      <c r="B36" s="82"/>
      <c r="C36" s="183"/>
      <c r="D36" s="129"/>
      <c r="E36" s="129"/>
      <c r="F36" s="129"/>
      <c r="G36" s="129"/>
      <c r="H36" s="129"/>
      <c r="I36" s="129"/>
      <c r="J36" s="129"/>
      <c r="K36" s="129"/>
      <c r="L36" s="129"/>
      <c r="M36" s="129"/>
      <c r="N36" s="73"/>
      <c r="O36" s="73"/>
      <c r="P36" s="73"/>
      <c r="Q36" s="73"/>
      <c r="R36" s="73"/>
      <c r="S36" s="73"/>
      <c r="T36" s="73"/>
      <c r="U36" s="73"/>
      <c r="V36" s="73"/>
      <c r="W36" s="73"/>
      <c r="X36" s="73"/>
      <c r="Y36" s="73"/>
      <c r="Z36" s="73"/>
      <c r="AA36" s="73"/>
      <c r="AB36" s="65"/>
      <c r="AC36" s="65"/>
      <c r="AD36" s="73"/>
      <c r="AE36" s="73"/>
      <c r="AF36" s="73"/>
      <c r="AG36" s="73"/>
      <c r="AH36" s="73"/>
      <c r="AI36" s="73"/>
      <c r="AJ36" s="73"/>
      <c r="AK36" s="73"/>
      <c r="AL36" s="73"/>
      <c r="AM36" s="73"/>
      <c r="AN36" s="73"/>
      <c r="AO36" s="73"/>
      <c r="AP36" s="73"/>
      <c r="AQ36" s="73"/>
      <c r="AR36" s="65"/>
      <c r="AS36" s="65"/>
    </row>
    <row r="37" spans="2:45" s="26" customFormat="1" ht="13.5" customHeight="1">
      <c r="B37" s="82"/>
      <c r="C37" s="183"/>
      <c r="D37" s="129"/>
      <c r="E37" s="129"/>
      <c r="F37" s="129"/>
      <c r="G37" s="129"/>
      <c r="H37" s="129"/>
      <c r="I37" s="129"/>
      <c r="J37" s="129"/>
      <c r="K37" s="129"/>
      <c r="L37" s="129"/>
      <c r="M37" s="129"/>
      <c r="N37" s="73"/>
      <c r="O37" s="73"/>
      <c r="P37" s="73"/>
      <c r="Q37" s="73"/>
      <c r="R37" s="73"/>
      <c r="S37" s="73"/>
      <c r="T37" s="73"/>
      <c r="U37" s="73"/>
      <c r="V37" s="73"/>
      <c r="W37" s="73"/>
      <c r="X37" s="73"/>
      <c r="Y37" s="73"/>
      <c r="Z37" s="73"/>
      <c r="AA37" s="73"/>
      <c r="AB37" s="65"/>
      <c r="AC37" s="65"/>
      <c r="AD37" s="73"/>
      <c r="AE37" s="73"/>
      <c r="AF37" s="73"/>
      <c r="AG37" s="73"/>
      <c r="AH37" s="73"/>
      <c r="AI37" s="73"/>
      <c r="AJ37" s="73"/>
      <c r="AK37" s="73"/>
      <c r="AL37" s="73"/>
      <c r="AM37" s="73"/>
      <c r="AN37" s="73"/>
      <c r="AO37" s="73"/>
      <c r="AP37" s="73"/>
      <c r="AQ37" s="73"/>
      <c r="AR37" s="65"/>
      <c r="AS37" s="65"/>
    </row>
    <row r="38" spans="2:45" s="26" customFormat="1" ht="13.5" customHeight="1">
      <c r="B38" s="82"/>
      <c r="C38" s="183"/>
      <c r="D38" s="129"/>
      <c r="E38" s="129"/>
      <c r="F38" s="129"/>
      <c r="G38" s="129"/>
      <c r="H38" s="129"/>
      <c r="I38" s="129"/>
      <c r="J38" s="129"/>
      <c r="K38" s="129"/>
      <c r="L38" s="129"/>
      <c r="M38" s="129"/>
      <c r="N38" s="73"/>
      <c r="O38" s="73"/>
      <c r="P38" s="73"/>
      <c r="Q38" s="73"/>
      <c r="R38" s="73"/>
      <c r="S38" s="73"/>
      <c r="T38" s="73"/>
      <c r="U38" s="73"/>
      <c r="V38" s="73"/>
      <c r="W38" s="73"/>
      <c r="X38" s="73"/>
      <c r="Y38" s="73"/>
      <c r="Z38" s="73"/>
      <c r="AA38" s="73"/>
      <c r="AB38" s="65"/>
      <c r="AC38" s="65"/>
      <c r="AD38" s="73"/>
      <c r="AE38" s="73"/>
      <c r="AF38" s="73"/>
      <c r="AG38" s="73"/>
      <c r="AH38" s="73"/>
      <c r="AI38" s="73"/>
      <c r="AJ38" s="73"/>
      <c r="AK38" s="73"/>
      <c r="AL38" s="73"/>
      <c r="AM38" s="73"/>
      <c r="AN38" s="73"/>
      <c r="AO38" s="73"/>
      <c r="AP38" s="73"/>
      <c r="AQ38" s="73"/>
      <c r="AR38" s="65"/>
      <c r="AS38" s="65"/>
    </row>
    <row r="39" spans="2:45" s="26" customFormat="1" ht="13.5" customHeight="1">
      <c r="B39" s="82"/>
      <c r="C39" s="183"/>
      <c r="D39" s="129"/>
      <c r="E39" s="129"/>
      <c r="F39" s="129"/>
      <c r="G39" s="129"/>
      <c r="H39" s="129"/>
      <c r="I39" s="129"/>
      <c r="J39" s="129"/>
      <c r="K39" s="129"/>
      <c r="L39" s="129"/>
      <c r="M39" s="129"/>
      <c r="N39" s="73"/>
      <c r="O39" s="73"/>
      <c r="P39" s="73"/>
      <c r="Q39" s="73"/>
      <c r="R39" s="73"/>
      <c r="S39" s="73"/>
      <c r="T39" s="73"/>
      <c r="U39" s="73"/>
      <c r="V39" s="73"/>
      <c r="W39" s="73"/>
      <c r="X39" s="73"/>
      <c r="Y39" s="73"/>
      <c r="Z39" s="73"/>
      <c r="AA39" s="73"/>
      <c r="AB39" s="65"/>
      <c r="AC39" s="65"/>
      <c r="AD39" s="73"/>
      <c r="AE39" s="73"/>
      <c r="AF39" s="73"/>
      <c r="AG39" s="73"/>
      <c r="AH39" s="73"/>
      <c r="AI39" s="73"/>
      <c r="AJ39" s="73"/>
      <c r="AK39" s="73"/>
      <c r="AL39" s="73"/>
      <c r="AM39" s="73"/>
      <c r="AN39" s="73"/>
      <c r="AO39" s="73"/>
      <c r="AP39" s="73"/>
      <c r="AQ39" s="73"/>
      <c r="AR39" s="65"/>
      <c r="AS39" s="65"/>
    </row>
    <row r="40" spans="2:45" s="26" customFormat="1" ht="13.5" customHeight="1">
      <c r="B40" s="82"/>
      <c r="C40" s="183"/>
      <c r="D40" s="129"/>
      <c r="E40" s="129"/>
      <c r="F40" s="129"/>
      <c r="G40" s="129"/>
      <c r="H40" s="129"/>
      <c r="I40" s="129"/>
      <c r="J40" s="129"/>
      <c r="K40" s="129"/>
      <c r="L40" s="129"/>
      <c r="M40" s="129"/>
      <c r="N40" s="73"/>
      <c r="O40" s="73"/>
      <c r="P40" s="73"/>
      <c r="Q40" s="73"/>
      <c r="R40" s="73"/>
      <c r="S40" s="73"/>
      <c r="T40" s="73"/>
      <c r="U40" s="73"/>
      <c r="V40" s="73"/>
      <c r="W40" s="73"/>
      <c r="X40" s="73"/>
      <c r="Y40" s="73"/>
      <c r="Z40" s="73"/>
      <c r="AA40" s="73"/>
      <c r="AB40" s="65"/>
      <c r="AC40" s="65"/>
      <c r="AD40" s="73"/>
      <c r="AE40" s="73"/>
      <c r="AF40" s="73"/>
      <c r="AG40" s="73"/>
      <c r="AH40" s="73"/>
      <c r="AI40" s="73"/>
      <c r="AJ40" s="73"/>
      <c r="AK40" s="73"/>
      <c r="AL40" s="73"/>
      <c r="AM40" s="73"/>
      <c r="AN40" s="73"/>
      <c r="AO40" s="73"/>
      <c r="AP40" s="73"/>
      <c r="AQ40" s="73"/>
      <c r="AR40" s="65"/>
      <c r="AS40" s="65"/>
    </row>
    <row r="41" spans="2:45" s="26" customFormat="1" ht="13.5" customHeight="1">
      <c r="B41" s="82"/>
      <c r="C41" s="183"/>
      <c r="D41" s="129"/>
      <c r="E41" s="129"/>
      <c r="F41" s="129"/>
      <c r="G41" s="129"/>
      <c r="H41" s="129"/>
      <c r="I41" s="129"/>
      <c r="J41" s="129"/>
      <c r="K41" s="129"/>
      <c r="L41" s="129"/>
      <c r="M41" s="129"/>
      <c r="N41" s="73"/>
      <c r="O41" s="73"/>
      <c r="P41" s="73"/>
      <c r="Q41" s="73"/>
      <c r="R41" s="73"/>
      <c r="S41" s="73"/>
      <c r="T41" s="73"/>
      <c r="U41" s="73"/>
      <c r="V41" s="73"/>
      <c r="W41" s="73"/>
      <c r="X41" s="73"/>
      <c r="Y41" s="73"/>
      <c r="Z41" s="73"/>
      <c r="AA41" s="73"/>
      <c r="AB41" s="65"/>
      <c r="AC41" s="65"/>
      <c r="AD41" s="73"/>
      <c r="AE41" s="73"/>
      <c r="AF41" s="73"/>
      <c r="AG41" s="73"/>
      <c r="AH41" s="73"/>
      <c r="AI41" s="73"/>
      <c r="AJ41" s="73"/>
      <c r="AK41" s="73"/>
      <c r="AL41" s="73"/>
      <c r="AM41" s="73"/>
      <c r="AN41" s="73"/>
      <c r="AO41" s="73"/>
      <c r="AP41" s="73"/>
      <c r="AQ41" s="73"/>
      <c r="AR41" s="65"/>
      <c r="AS41" s="65"/>
    </row>
    <row r="42" spans="2:45" s="26" customFormat="1" ht="13.5" customHeight="1">
      <c r="B42" s="82"/>
      <c r="C42" s="183"/>
      <c r="D42" s="129"/>
      <c r="E42" s="129"/>
      <c r="F42" s="129"/>
      <c r="G42" s="129"/>
      <c r="H42" s="129"/>
      <c r="I42" s="129"/>
      <c r="J42" s="129"/>
      <c r="K42" s="129"/>
      <c r="L42" s="129"/>
      <c r="M42" s="129"/>
      <c r="N42" s="73"/>
      <c r="O42" s="73"/>
      <c r="P42" s="73"/>
      <c r="Q42" s="73"/>
      <c r="R42" s="73"/>
      <c r="S42" s="73"/>
      <c r="T42" s="73"/>
      <c r="U42" s="73"/>
      <c r="V42" s="73"/>
      <c r="W42" s="73"/>
      <c r="X42" s="73"/>
      <c r="Y42" s="73"/>
      <c r="Z42" s="73"/>
      <c r="AA42" s="73"/>
      <c r="AB42" s="65"/>
      <c r="AC42" s="65"/>
      <c r="AD42" s="73"/>
      <c r="AE42" s="73"/>
      <c r="AF42" s="73"/>
      <c r="AG42" s="73"/>
      <c r="AH42" s="73"/>
      <c r="AI42" s="73"/>
      <c r="AJ42" s="73"/>
      <c r="AK42" s="73"/>
      <c r="AL42" s="73"/>
      <c r="AM42" s="73"/>
      <c r="AN42" s="73"/>
      <c r="AO42" s="73"/>
      <c r="AP42" s="73"/>
      <c r="AQ42" s="73"/>
      <c r="AR42" s="65"/>
      <c r="AS42" s="65"/>
    </row>
    <row r="43" spans="2:45" s="26" customFormat="1" ht="13.5" customHeight="1">
      <c r="B43" s="82"/>
      <c r="C43" s="183"/>
      <c r="D43" s="129"/>
      <c r="E43" s="129"/>
      <c r="F43" s="129"/>
      <c r="G43" s="129"/>
      <c r="H43" s="129"/>
      <c r="I43" s="129"/>
      <c r="J43" s="129"/>
      <c r="K43" s="129"/>
      <c r="L43" s="129"/>
      <c r="M43" s="129"/>
      <c r="N43" s="73"/>
      <c r="O43" s="73"/>
      <c r="P43" s="73"/>
      <c r="Q43" s="73"/>
      <c r="R43" s="73"/>
      <c r="S43" s="73"/>
      <c r="T43" s="73"/>
      <c r="U43" s="73"/>
      <c r="V43" s="73"/>
      <c r="W43" s="73"/>
      <c r="X43" s="73"/>
      <c r="Y43" s="73"/>
      <c r="Z43" s="73"/>
      <c r="AA43" s="73"/>
      <c r="AB43" s="65"/>
      <c r="AC43" s="65"/>
      <c r="AD43" s="73"/>
      <c r="AE43" s="73"/>
      <c r="AF43" s="73"/>
      <c r="AG43" s="73"/>
      <c r="AH43" s="73"/>
      <c r="AI43" s="73"/>
      <c r="AJ43" s="73"/>
      <c r="AK43" s="73"/>
      <c r="AL43" s="73"/>
      <c r="AM43" s="73"/>
      <c r="AN43" s="73"/>
      <c r="AO43" s="73"/>
      <c r="AP43" s="73"/>
      <c r="AQ43" s="73"/>
      <c r="AR43" s="65"/>
      <c r="AS43" s="65"/>
    </row>
    <row r="44" spans="2:45" s="26" customFormat="1" ht="13.5" customHeight="1">
      <c r="B44" s="82"/>
      <c r="C44" s="183"/>
      <c r="D44" s="129"/>
      <c r="E44" s="129"/>
      <c r="F44" s="129"/>
      <c r="G44" s="129"/>
      <c r="H44" s="129"/>
      <c r="I44" s="129"/>
      <c r="J44" s="129"/>
      <c r="K44" s="129"/>
      <c r="L44" s="129"/>
      <c r="M44" s="129"/>
      <c r="N44" s="73"/>
      <c r="O44" s="73"/>
      <c r="P44" s="73"/>
      <c r="Q44" s="73"/>
      <c r="R44" s="73"/>
      <c r="S44" s="73"/>
      <c r="T44" s="73"/>
      <c r="U44" s="73"/>
      <c r="V44" s="73"/>
      <c r="W44" s="73"/>
      <c r="X44" s="73"/>
      <c r="Y44" s="73"/>
      <c r="Z44" s="73"/>
      <c r="AA44" s="73"/>
      <c r="AB44" s="65"/>
      <c r="AC44" s="65"/>
      <c r="AD44" s="73"/>
      <c r="AE44" s="73"/>
      <c r="AF44" s="73"/>
      <c r="AG44" s="73"/>
      <c r="AH44" s="73"/>
      <c r="AI44" s="73"/>
      <c r="AJ44" s="73"/>
      <c r="AK44" s="73"/>
      <c r="AL44" s="73"/>
      <c r="AM44" s="73"/>
      <c r="AN44" s="73"/>
      <c r="AO44" s="73"/>
      <c r="AP44" s="73"/>
      <c r="AQ44" s="73"/>
      <c r="AR44" s="65"/>
      <c r="AS44" s="65"/>
    </row>
    <row r="45" spans="2:45" s="26" customFormat="1" ht="13.5" customHeight="1">
      <c r="B45" s="82"/>
      <c r="C45" s="183"/>
      <c r="D45" s="129"/>
      <c r="E45" s="129"/>
      <c r="F45" s="129"/>
      <c r="G45" s="129"/>
      <c r="H45" s="129"/>
      <c r="I45" s="129"/>
      <c r="J45" s="129"/>
      <c r="K45" s="129"/>
      <c r="L45" s="129"/>
      <c r="M45" s="129"/>
      <c r="N45" s="73"/>
      <c r="O45" s="73"/>
      <c r="P45" s="73"/>
      <c r="Q45" s="73"/>
      <c r="R45" s="73"/>
      <c r="S45" s="73"/>
      <c r="T45" s="73"/>
      <c r="U45" s="73"/>
      <c r="V45" s="73"/>
      <c r="W45" s="73"/>
      <c r="X45" s="73"/>
      <c r="Y45" s="73"/>
      <c r="Z45" s="73"/>
      <c r="AA45" s="73"/>
      <c r="AB45" s="65"/>
      <c r="AC45" s="65"/>
      <c r="AD45" s="73"/>
      <c r="AE45" s="73"/>
      <c r="AF45" s="73"/>
      <c r="AG45" s="73"/>
      <c r="AH45" s="73"/>
      <c r="AI45" s="73"/>
      <c r="AJ45" s="73"/>
      <c r="AK45" s="73"/>
      <c r="AL45" s="73"/>
      <c r="AM45" s="73"/>
      <c r="AN45" s="73"/>
      <c r="AO45" s="73"/>
      <c r="AP45" s="73"/>
      <c r="AQ45" s="73"/>
      <c r="AR45" s="65"/>
      <c r="AS45" s="65"/>
    </row>
    <row r="46" spans="2:45" s="26" customFormat="1" ht="13.5" customHeight="1">
      <c r="B46" s="82"/>
      <c r="C46" s="183"/>
      <c r="D46" s="129"/>
      <c r="E46" s="129"/>
      <c r="F46" s="129"/>
      <c r="G46" s="129"/>
      <c r="H46" s="129"/>
      <c r="I46" s="129"/>
      <c r="J46" s="129"/>
      <c r="K46" s="129"/>
      <c r="L46" s="129"/>
      <c r="M46" s="129"/>
      <c r="N46" s="73"/>
      <c r="O46" s="73"/>
      <c r="P46" s="73"/>
      <c r="Q46" s="73"/>
      <c r="R46" s="73"/>
      <c r="S46" s="73"/>
      <c r="T46" s="73"/>
      <c r="U46" s="73"/>
      <c r="V46" s="73"/>
      <c r="W46" s="73"/>
      <c r="X46" s="73"/>
      <c r="Y46" s="73"/>
      <c r="Z46" s="73"/>
      <c r="AA46" s="73"/>
      <c r="AB46" s="65"/>
      <c r="AC46" s="65"/>
      <c r="AD46" s="73"/>
      <c r="AE46" s="73"/>
      <c r="AF46" s="73"/>
      <c r="AG46" s="73"/>
      <c r="AH46" s="73"/>
      <c r="AI46" s="73"/>
      <c r="AJ46" s="73"/>
      <c r="AK46" s="73"/>
      <c r="AL46" s="73"/>
      <c r="AM46" s="73"/>
      <c r="AN46" s="73"/>
      <c r="AO46" s="73"/>
      <c r="AP46" s="73"/>
      <c r="AQ46" s="73"/>
      <c r="AR46" s="65"/>
      <c r="AS46" s="65"/>
    </row>
    <row r="47" spans="2:45" s="26" customFormat="1" ht="13.5" customHeight="1">
      <c r="B47" s="82"/>
      <c r="C47" s="183"/>
      <c r="D47" s="129"/>
      <c r="E47" s="129"/>
      <c r="F47" s="129"/>
      <c r="G47" s="129"/>
      <c r="H47" s="129"/>
      <c r="I47" s="129"/>
      <c r="J47" s="129"/>
      <c r="K47" s="129"/>
      <c r="L47" s="129"/>
      <c r="M47" s="129"/>
      <c r="N47" s="73"/>
      <c r="O47" s="73"/>
      <c r="P47" s="73"/>
      <c r="Q47" s="73"/>
      <c r="R47" s="73"/>
      <c r="S47" s="73"/>
      <c r="T47" s="73"/>
      <c r="U47" s="73"/>
      <c r="V47" s="73"/>
      <c r="W47" s="73"/>
      <c r="X47" s="73"/>
      <c r="Y47" s="73"/>
      <c r="Z47" s="73"/>
      <c r="AA47" s="73"/>
      <c r="AB47" s="65"/>
      <c r="AC47" s="65"/>
      <c r="AD47" s="73"/>
      <c r="AE47" s="73"/>
      <c r="AF47" s="73"/>
      <c r="AG47" s="73"/>
      <c r="AH47" s="73"/>
      <c r="AI47" s="73"/>
      <c r="AJ47" s="73"/>
      <c r="AK47" s="73"/>
      <c r="AL47" s="73"/>
      <c r="AM47" s="73"/>
      <c r="AN47" s="73"/>
      <c r="AO47" s="73"/>
      <c r="AP47" s="73"/>
      <c r="AQ47" s="73"/>
      <c r="AR47" s="65"/>
      <c r="AS47" s="65"/>
    </row>
    <row r="48" spans="2:45" s="26" customFormat="1" ht="13.5" customHeight="1">
      <c r="B48" s="82"/>
      <c r="C48" s="183"/>
      <c r="D48" s="129"/>
      <c r="E48" s="129"/>
      <c r="F48" s="129"/>
      <c r="G48" s="129"/>
      <c r="H48" s="129"/>
      <c r="I48" s="129"/>
      <c r="J48" s="129"/>
      <c r="K48" s="129"/>
      <c r="L48" s="129"/>
      <c r="M48" s="129"/>
      <c r="N48" s="73"/>
      <c r="O48" s="73"/>
      <c r="P48" s="73"/>
      <c r="Q48" s="73"/>
      <c r="R48" s="73"/>
      <c r="S48" s="73"/>
      <c r="T48" s="73"/>
      <c r="U48" s="73"/>
      <c r="V48" s="73"/>
      <c r="W48" s="73"/>
      <c r="X48" s="73"/>
      <c r="Y48" s="73"/>
      <c r="Z48" s="73"/>
      <c r="AA48" s="73"/>
      <c r="AB48" s="65"/>
      <c r="AC48" s="65"/>
      <c r="AD48" s="73"/>
      <c r="AE48" s="73"/>
      <c r="AF48" s="73"/>
      <c r="AG48" s="73"/>
      <c r="AH48" s="73"/>
      <c r="AI48" s="73"/>
      <c r="AJ48" s="73"/>
      <c r="AK48" s="73"/>
      <c r="AL48" s="73"/>
      <c r="AM48" s="73"/>
      <c r="AN48" s="73"/>
      <c r="AO48" s="73"/>
      <c r="AP48" s="73"/>
      <c r="AQ48" s="73"/>
      <c r="AR48" s="65"/>
      <c r="AS48" s="65"/>
    </row>
    <row r="49" spans="2:45" s="26" customFormat="1" ht="13.5" customHeight="1">
      <c r="B49" s="82"/>
      <c r="C49" s="183"/>
      <c r="D49" s="129"/>
      <c r="E49" s="129"/>
      <c r="F49" s="129"/>
      <c r="G49" s="129"/>
      <c r="H49" s="129"/>
      <c r="I49" s="129"/>
      <c r="J49" s="129"/>
      <c r="K49" s="129"/>
      <c r="L49" s="129"/>
      <c r="M49" s="129"/>
      <c r="N49" s="73"/>
      <c r="O49" s="73"/>
      <c r="P49" s="73"/>
      <c r="Q49" s="73"/>
      <c r="R49" s="73"/>
      <c r="S49" s="73"/>
      <c r="T49" s="73"/>
      <c r="U49" s="73"/>
      <c r="V49" s="73"/>
      <c r="W49" s="73"/>
      <c r="X49" s="73"/>
      <c r="Y49" s="73"/>
      <c r="Z49" s="73"/>
      <c r="AA49" s="73"/>
      <c r="AB49" s="65"/>
      <c r="AC49" s="65"/>
      <c r="AD49" s="73"/>
      <c r="AE49" s="73"/>
      <c r="AF49" s="73"/>
      <c r="AG49" s="73"/>
      <c r="AH49" s="73"/>
      <c r="AI49" s="73"/>
      <c r="AJ49" s="73"/>
      <c r="AK49" s="73"/>
      <c r="AL49" s="73"/>
      <c r="AM49" s="73"/>
      <c r="AN49" s="73"/>
      <c r="AO49" s="73"/>
      <c r="AP49" s="73"/>
      <c r="AQ49" s="73"/>
      <c r="AR49" s="65"/>
      <c r="AS49" s="65"/>
    </row>
    <row r="50" spans="2:45" s="26" customFormat="1" ht="13.5" customHeight="1">
      <c r="B50" s="82"/>
      <c r="C50" s="183"/>
      <c r="D50" s="129"/>
      <c r="E50" s="129"/>
      <c r="F50" s="129"/>
      <c r="G50" s="129"/>
      <c r="H50" s="129"/>
      <c r="I50" s="129"/>
      <c r="J50" s="129"/>
      <c r="K50" s="129"/>
      <c r="L50" s="129"/>
      <c r="M50" s="129"/>
      <c r="N50" s="73"/>
      <c r="O50" s="73"/>
      <c r="P50" s="73"/>
      <c r="Q50" s="73"/>
      <c r="R50" s="73"/>
      <c r="S50" s="73"/>
      <c r="T50" s="73"/>
      <c r="U50" s="73"/>
      <c r="V50" s="73"/>
      <c r="W50" s="73"/>
      <c r="X50" s="73"/>
      <c r="Y50" s="73"/>
      <c r="Z50" s="73"/>
      <c r="AA50" s="73"/>
      <c r="AB50" s="65"/>
      <c r="AC50" s="65"/>
      <c r="AD50" s="73"/>
      <c r="AE50" s="73"/>
      <c r="AF50" s="73"/>
      <c r="AG50" s="73"/>
      <c r="AH50" s="73"/>
      <c r="AI50" s="73"/>
      <c r="AJ50" s="73"/>
      <c r="AK50" s="73"/>
      <c r="AL50" s="73"/>
      <c r="AM50" s="73"/>
      <c r="AN50" s="73"/>
      <c r="AO50" s="73"/>
      <c r="AP50" s="73"/>
      <c r="AQ50" s="73"/>
      <c r="AR50" s="65"/>
      <c r="AS50" s="65"/>
    </row>
    <row r="51" spans="2:45" s="26" customFormat="1" ht="13.5" customHeight="1">
      <c r="B51" s="82"/>
      <c r="C51" s="183"/>
      <c r="D51" s="129"/>
      <c r="E51" s="129"/>
      <c r="F51" s="129"/>
      <c r="G51" s="129"/>
      <c r="H51" s="129"/>
      <c r="I51" s="129"/>
      <c r="J51" s="129"/>
      <c r="K51" s="129"/>
      <c r="L51" s="129"/>
      <c r="M51" s="129"/>
      <c r="N51" s="73"/>
      <c r="O51" s="73"/>
      <c r="P51" s="73"/>
      <c r="Q51" s="73"/>
      <c r="R51" s="73"/>
      <c r="S51" s="73"/>
      <c r="T51" s="73"/>
      <c r="U51" s="73"/>
      <c r="V51" s="73"/>
      <c r="W51" s="73"/>
      <c r="X51" s="73"/>
      <c r="Y51" s="73"/>
      <c r="Z51" s="73"/>
      <c r="AA51" s="73"/>
      <c r="AB51" s="65"/>
      <c r="AC51" s="65"/>
      <c r="AD51" s="73"/>
      <c r="AE51" s="73"/>
      <c r="AF51" s="73"/>
      <c r="AG51" s="73"/>
      <c r="AH51" s="73"/>
      <c r="AI51" s="73"/>
      <c r="AJ51" s="73"/>
      <c r="AK51" s="73"/>
      <c r="AL51" s="73"/>
      <c r="AM51" s="73"/>
      <c r="AN51" s="73"/>
      <c r="AO51" s="73"/>
      <c r="AP51" s="73"/>
      <c r="AQ51" s="73"/>
      <c r="AR51" s="65"/>
      <c r="AS51" s="65"/>
    </row>
    <row r="52" spans="2:45" s="26" customFormat="1" ht="13.5" customHeight="1">
      <c r="B52" s="82"/>
      <c r="C52" s="183"/>
      <c r="D52" s="129"/>
      <c r="E52" s="129"/>
      <c r="F52" s="129"/>
      <c r="G52" s="129"/>
      <c r="H52" s="129"/>
      <c r="I52" s="129"/>
      <c r="J52" s="129"/>
      <c r="K52" s="129"/>
      <c r="L52" s="129"/>
      <c r="M52" s="129"/>
      <c r="N52" s="73"/>
      <c r="O52" s="73"/>
      <c r="P52" s="73"/>
      <c r="Q52" s="73"/>
      <c r="R52" s="73"/>
      <c r="S52" s="73"/>
      <c r="T52" s="73"/>
      <c r="U52" s="73"/>
      <c r="V52" s="73"/>
      <c r="W52" s="73"/>
      <c r="X52" s="73"/>
      <c r="Y52" s="73"/>
      <c r="Z52" s="73"/>
      <c r="AA52" s="73"/>
      <c r="AB52" s="65"/>
      <c r="AC52" s="65"/>
      <c r="AD52" s="73"/>
      <c r="AE52" s="73"/>
      <c r="AF52" s="73"/>
      <c r="AG52" s="73"/>
      <c r="AH52" s="73"/>
      <c r="AI52" s="73"/>
      <c r="AJ52" s="73"/>
      <c r="AK52" s="73"/>
      <c r="AL52" s="73"/>
      <c r="AM52" s="73"/>
      <c r="AN52" s="73"/>
      <c r="AO52" s="73"/>
      <c r="AP52" s="73"/>
      <c r="AQ52" s="73"/>
      <c r="AR52" s="65"/>
      <c r="AS52" s="65"/>
    </row>
    <row r="53" spans="2:45" s="26" customFormat="1" ht="13.5" customHeight="1">
      <c r="B53" s="82"/>
      <c r="C53" s="183"/>
      <c r="D53" s="129"/>
      <c r="E53" s="129"/>
      <c r="F53" s="129"/>
      <c r="G53" s="129"/>
      <c r="H53" s="129"/>
      <c r="I53" s="129"/>
      <c r="J53" s="129"/>
      <c r="K53" s="129"/>
      <c r="L53" s="129"/>
      <c r="M53" s="129"/>
      <c r="N53" s="73"/>
      <c r="O53" s="73"/>
      <c r="P53" s="73"/>
      <c r="Q53" s="73"/>
      <c r="R53" s="73"/>
      <c r="S53" s="73"/>
      <c r="T53" s="73"/>
      <c r="U53" s="73"/>
      <c r="V53" s="73"/>
      <c r="W53" s="73"/>
      <c r="X53" s="73"/>
      <c r="Y53" s="73"/>
      <c r="Z53" s="73"/>
      <c r="AA53" s="73"/>
      <c r="AB53" s="65"/>
      <c r="AC53" s="65"/>
      <c r="AD53" s="73"/>
      <c r="AE53" s="73"/>
      <c r="AF53" s="73"/>
      <c r="AG53" s="73"/>
      <c r="AH53" s="73"/>
      <c r="AI53" s="73"/>
      <c r="AJ53" s="73"/>
      <c r="AK53" s="73"/>
      <c r="AL53" s="73"/>
      <c r="AM53" s="73"/>
      <c r="AN53" s="73"/>
      <c r="AO53" s="73"/>
      <c r="AP53" s="73"/>
      <c r="AQ53" s="73"/>
      <c r="AR53" s="65"/>
      <c r="AS53" s="65"/>
    </row>
    <row r="54" spans="2:45" s="26" customFormat="1" ht="13.5" customHeight="1">
      <c r="B54" s="82"/>
      <c r="C54" s="183"/>
      <c r="D54" s="129"/>
      <c r="E54" s="129"/>
      <c r="F54" s="129"/>
      <c r="G54" s="129"/>
      <c r="H54" s="129"/>
      <c r="I54" s="129"/>
      <c r="J54" s="129"/>
      <c r="K54" s="129"/>
      <c r="L54" s="129"/>
      <c r="M54" s="129"/>
      <c r="N54" s="73"/>
      <c r="O54" s="73"/>
      <c r="P54" s="73"/>
      <c r="Q54" s="73"/>
      <c r="R54" s="73"/>
      <c r="S54" s="73"/>
      <c r="T54" s="73"/>
      <c r="U54" s="73"/>
      <c r="V54" s="73"/>
      <c r="W54" s="73"/>
      <c r="X54" s="73"/>
      <c r="Y54" s="73"/>
      <c r="Z54" s="73"/>
      <c r="AA54" s="73"/>
      <c r="AB54" s="65"/>
      <c r="AC54" s="65"/>
      <c r="AD54" s="73"/>
      <c r="AE54" s="73"/>
      <c r="AF54" s="73"/>
      <c r="AG54" s="73"/>
      <c r="AH54" s="73"/>
      <c r="AI54" s="73"/>
      <c r="AJ54" s="73"/>
      <c r="AK54" s="73"/>
      <c r="AL54" s="73"/>
      <c r="AM54" s="73"/>
      <c r="AN54" s="73"/>
      <c r="AO54" s="73"/>
      <c r="AP54" s="73"/>
      <c r="AQ54" s="73"/>
      <c r="AR54" s="65"/>
      <c r="AS54" s="65"/>
    </row>
    <row r="55" spans="2:45" s="26" customFormat="1" ht="13.5" customHeight="1">
      <c r="B55" s="82"/>
      <c r="C55" s="183"/>
      <c r="D55" s="129"/>
      <c r="E55" s="129"/>
      <c r="F55" s="129"/>
      <c r="G55" s="129"/>
      <c r="H55" s="129"/>
      <c r="I55" s="129"/>
      <c r="J55" s="129"/>
      <c r="K55" s="129"/>
      <c r="L55" s="129"/>
      <c r="M55" s="129"/>
      <c r="N55" s="73"/>
      <c r="O55" s="73"/>
      <c r="P55" s="73"/>
      <c r="Q55" s="73"/>
      <c r="R55" s="73"/>
      <c r="S55" s="73"/>
      <c r="T55" s="73"/>
      <c r="U55" s="73"/>
      <c r="V55" s="73"/>
      <c r="W55" s="73"/>
      <c r="X55" s="73"/>
      <c r="Y55" s="73"/>
      <c r="Z55" s="73"/>
      <c r="AA55" s="73"/>
      <c r="AB55" s="65"/>
      <c r="AC55" s="65"/>
      <c r="AD55" s="73"/>
      <c r="AE55" s="73"/>
      <c r="AF55" s="73"/>
      <c r="AG55" s="73"/>
      <c r="AH55" s="73"/>
      <c r="AI55" s="73"/>
      <c r="AJ55" s="73"/>
      <c r="AK55" s="73"/>
      <c r="AL55" s="73"/>
      <c r="AM55" s="73"/>
      <c r="AN55" s="73"/>
      <c r="AO55" s="73"/>
      <c r="AP55" s="73"/>
      <c r="AQ55" s="73"/>
      <c r="AR55" s="65"/>
      <c r="AS55" s="65"/>
    </row>
    <row r="56" spans="2:45" s="26" customFormat="1" ht="13.5" customHeight="1">
      <c r="B56" s="82"/>
      <c r="C56" s="183"/>
      <c r="D56" s="129"/>
      <c r="E56" s="129"/>
      <c r="F56" s="129"/>
      <c r="G56" s="129"/>
      <c r="H56" s="129"/>
      <c r="I56" s="129"/>
      <c r="J56" s="129"/>
      <c r="K56" s="129"/>
      <c r="L56" s="129"/>
      <c r="M56" s="129"/>
      <c r="N56" s="73"/>
      <c r="O56" s="73"/>
      <c r="P56" s="73"/>
      <c r="Q56" s="73"/>
      <c r="R56" s="73"/>
      <c r="S56" s="73"/>
      <c r="T56" s="73"/>
      <c r="U56" s="73"/>
      <c r="V56" s="73"/>
      <c r="W56" s="73"/>
      <c r="X56" s="73"/>
      <c r="Y56" s="73"/>
      <c r="Z56" s="73"/>
      <c r="AA56" s="73"/>
      <c r="AB56" s="65"/>
      <c r="AC56" s="65"/>
      <c r="AD56" s="73"/>
      <c r="AE56" s="73"/>
      <c r="AF56" s="73"/>
      <c r="AG56" s="73"/>
      <c r="AH56" s="73"/>
      <c r="AI56" s="73"/>
      <c r="AJ56" s="73"/>
      <c r="AK56" s="73"/>
      <c r="AL56" s="73"/>
      <c r="AM56" s="73"/>
      <c r="AN56" s="73"/>
      <c r="AO56" s="73"/>
      <c r="AP56" s="73"/>
      <c r="AQ56" s="73"/>
      <c r="AR56" s="65"/>
      <c r="AS56" s="65"/>
    </row>
    <row r="57" spans="2:45" s="26" customFormat="1" ht="13.5" customHeight="1">
      <c r="B57" s="82"/>
      <c r="C57" s="183"/>
      <c r="D57" s="129"/>
      <c r="E57" s="129"/>
      <c r="F57" s="129"/>
      <c r="G57" s="129"/>
      <c r="H57" s="129"/>
      <c r="I57" s="129"/>
      <c r="J57" s="129"/>
      <c r="K57" s="129"/>
      <c r="L57" s="129"/>
      <c r="M57" s="129"/>
      <c r="N57" s="73"/>
      <c r="O57" s="73"/>
      <c r="P57" s="73"/>
      <c r="Q57" s="73"/>
      <c r="R57" s="73"/>
      <c r="S57" s="73"/>
      <c r="T57" s="73"/>
      <c r="U57" s="73"/>
      <c r="V57" s="73"/>
      <c r="W57" s="73"/>
      <c r="X57" s="73"/>
      <c r="Y57" s="73"/>
      <c r="Z57" s="73"/>
      <c r="AA57" s="73"/>
      <c r="AB57" s="65"/>
      <c r="AC57" s="65"/>
      <c r="AD57" s="73"/>
      <c r="AE57" s="73"/>
      <c r="AF57" s="73"/>
      <c r="AG57" s="73"/>
      <c r="AH57" s="73"/>
      <c r="AI57" s="73"/>
      <c r="AJ57" s="73"/>
      <c r="AK57" s="73"/>
      <c r="AL57" s="73"/>
      <c r="AM57" s="73"/>
      <c r="AN57" s="73"/>
      <c r="AO57" s="73"/>
      <c r="AP57" s="73"/>
      <c r="AQ57" s="73"/>
      <c r="AR57" s="65"/>
      <c r="AS57" s="65"/>
    </row>
    <row r="58" spans="2:45" s="26" customFormat="1" ht="13.5" customHeight="1">
      <c r="B58" s="82"/>
      <c r="C58" s="183"/>
      <c r="D58" s="129"/>
      <c r="E58" s="129"/>
      <c r="F58" s="129"/>
      <c r="G58" s="129"/>
      <c r="H58" s="129"/>
      <c r="I58" s="129"/>
      <c r="J58" s="129"/>
      <c r="K58" s="129"/>
      <c r="L58" s="129"/>
      <c r="M58" s="129"/>
      <c r="N58" s="73"/>
      <c r="O58" s="73"/>
      <c r="P58" s="73"/>
      <c r="Q58" s="73"/>
      <c r="R58" s="73"/>
      <c r="S58" s="73"/>
      <c r="T58" s="73"/>
      <c r="U58" s="73"/>
      <c r="V58" s="73"/>
      <c r="W58" s="73"/>
      <c r="X58" s="73"/>
      <c r="Y58" s="73"/>
      <c r="Z58" s="73"/>
      <c r="AA58" s="73"/>
      <c r="AB58" s="65"/>
      <c r="AC58" s="65"/>
      <c r="AD58" s="73"/>
      <c r="AE58" s="73"/>
      <c r="AF58" s="73"/>
      <c r="AG58" s="73"/>
      <c r="AH58" s="73"/>
      <c r="AI58" s="73"/>
      <c r="AJ58" s="73"/>
      <c r="AK58" s="73"/>
      <c r="AL58" s="73"/>
      <c r="AM58" s="73"/>
      <c r="AN58" s="73"/>
      <c r="AO58" s="73"/>
      <c r="AP58" s="73"/>
      <c r="AQ58" s="73"/>
      <c r="AR58" s="65"/>
      <c r="AS58" s="65"/>
    </row>
    <row r="59" spans="2:45" s="26" customFormat="1" ht="13.5" customHeight="1">
      <c r="B59" s="82"/>
      <c r="C59" s="183"/>
      <c r="D59" s="129"/>
      <c r="E59" s="129"/>
      <c r="F59" s="129"/>
      <c r="G59" s="129"/>
      <c r="H59" s="129"/>
      <c r="I59" s="129"/>
      <c r="J59" s="129"/>
      <c r="K59" s="129"/>
      <c r="L59" s="129"/>
      <c r="M59" s="129"/>
      <c r="N59" s="73"/>
      <c r="O59" s="73"/>
      <c r="P59" s="73"/>
      <c r="Q59" s="73"/>
      <c r="R59" s="73"/>
      <c r="S59" s="73"/>
      <c r="T59" s="73"/>
      <c r="U59" s="73"/>
      <c r="V59" s="73"/>
      <c r="W59" s="73"/>
      <c r="X59" s="73"/>
      <c r="Y59" s="73"/>
      <c r="Z59" s="73"/>
      <c r="AA59" s="73"/>
      <c r="AB59" s="65"/>
      <c r="AC59" s="65"/>
      <c r="AD59" s="73"/>
      <c r="AE59" s="73"/>
      <c r="AF59" s="73"/>
      <c r="AG59" s="73"/>
      <c r="AH59" s="73"/>
      <c r="AI59" s="73"/>
      <c r="AJ59" s="73"/>
      <c r="AK59" s="73"/>
      <c r="AL59" s="73"/>
      <c r="AM59" s="73"/>
      <c r="AN59" s="73"/>
      <c r="AO59" s="73"/>
      <c r="AP59" s="73"/>
      <c r="AQ59" s="73"/>
      <c r="AR59" s="65"/>
      <c r="AS59" s="65"/>
    </row>
    <row r="60" spans="2:45" s="26" customFormat="1" ht="13.5" customHeight="1">
      <c r="B60" s="82"/>
      <c r="C60" s="183"/>
      <c r="D60" s="129"/>
      <c r="E60" s="129"/>
      <c r="F60" s="129"/>
      <c r="G60" s="129"/>
      <c r="H60" s="129"/>
      <c r="I60" s="129"/>
      <c r="J60" s="129"/>
      <c r="K60" s="129"/>
      <c r="L60" s="129"/>
      <c r="M60" s="129"/>
      <c r="N60" s="73"/>
      <c r="O60" s="73"/>
      <c r="P60" s="73"/>
      <c r="Q60" s="73"/>
      <c r="R60" s="73"/>
      <c r="S60" s="73"/>
      <c r="T60" s="73"/>
      <c r="U60" s="73"/>
      <c r="V60" s="73"/>
      <c r="W60" s="73"/>
      <c r="X60" s="73"/>
      <c r="Y60" s="73"/>
      <c r="Z60" s="73"/>
      <c r="AA60" s="73"/>
      <c r="AB60" s="65"/>
      <c r="AC60" s="65"/>
      <c r="AD60" s="73"/>
      <c r="AE60" s="73"/>
      <c r="AF60" s="73"/>
      <c r="AG60" s="73"/>
      <c r="AH60" s="73"/>
      <c r="AI60" s="73"/>
      <c r="AJ60" s="73"/>
      <c r="AK60" s="73"/>
      <c r="AL60" s="73"/>
      <c r="AM60" s="73"/>
      <c r="AN60" s="73"/>
      <c r="AO60" s="73"/>
      <c r="AP60" s="73"/>
      <c r="AQ60" s="73"/>
      <c r="AR60" s="65"/>
      <c r="AS60" s="65"/>
    </row>
    <row r="61" spans="2:45" s="26" customFormat="1" ht="13.5" customHeight="1">
      <c r="B61" s="82"/>
      <c r="C61" s="183"/>
      <c r="D61" s="129"/>
      <c r="E61" s="129"/>
      <c r="F61" s="129"/>
      <c r="G61" s="129"/>
      <c r="H61" s="129"/>
      <c r="I61" s="129"/>
      <c r="J61" s="129"/>
      <c r="K61" s="129"/>
      <c r="L61" s="129"/>
      <c r="M61" s="129"/>
      <c r="N61" s="73"/>
      <c r="O61" s="73"/>
      <c r="P61" s="73"/>
      <c r="Q61" s="73"/>
      <c r="R61" s="73"/>
      <c r="S61" s="73"/>
      <c r="T61" s="73"/>
      <c r="U61" s="73"/>
      <c r="V61" s="73"/>
      <c r="W61" s="73"/>
      <c r="X61" s="73"/>
      <c r="Y61" s="73"/>
      <c r="Z61" s="73"/>
      <c r="AA61" s="73"/>
      <c r="AB61" s="65"/>
      <c r="AC61" s="65"/>
      <c r="AD61" s="73"/>
      <c r="AE61" s="73"/>
      <c r="AF61" s="73"/>
      <c r="AG61" s="73"/>
      <c r="AH61" s="73"/>
      <c r="AI61" s="73"/>
      <c r="AJ61" s="73"/>
      <c r="AK61" s="73"/>
      <c r="AL61" s="73"/>
      <c r="AM61" s="73"/>
      <c r="AN61" s="73"/>
      <c r="AO61" s="73"/>
      <c r="AP61" s="73"/>
      <c r="AQ61" s="73"/>
      <c r="AR61" s="65"/>
      <c r="AS61" s="65"/>
    </row>
    <row r="62" spans="2:45" s="26" customFormat="1" ht="13.5" customHeight="1">
      <c r="B62" s="82"/>
      <c r="C62" s="183"/>
      <c r="D62" s="129"/>
      <c r="E62" s="129"/>
      <c r="F62" s="129"/>
      <c r="G62" s="129"/>
      <c r="H62" s="129"/>
      <c r="I62" s="129"/>
      <c r="J62" s="129"/>
      <c r="K62" s="129"/>
      <c r="L62" s="129"/>
      <c r="M62" s="129"/>
      <c r="N62" s="73"/>
      <c r="O62" s="73"/>
      <c r="P62" s="73"/>
      <c r="Q62" s="73"/>
      <c r="R62" s="73"/>
      <c r="S62" s="73"/>
      <c r="T62" s="73"/>
      <c r="U62" s="73"/>
      <c r="V62" s="73"/>
      <c r="W62" s="73"/>
      <c r="X62" s="73"/>
      <c r="Y62" s="73"/>
      <c r="Z62" s="73"/>
      <c r="AA62" s="73"/>
      <c r="AB62" s="65"/>
      <c r="AC62" s="65"/>
      <c r="AD62" s="73"/>
      <c r="AE62" s="73"/>
      <c r="AF62" s="73"/>
      <c r="AG62" s="73"/>
      <c r="AH62" s="73"/>
      <c r="AI62" s="73"/>
      <c r="AJ62" s="73"/>
      <c r="AK62" s="73"/>
      <c r="AL62" s="73"/>
      <c r="AM62" s="73"/>
      <c r="AN62" s="73"/>
      <c r="AO62" s="73"/>
      <c r="AP62" s="73"/>
      <c r="AQ62" s="73"/>
      <c r="AR62" s="65"/>
      <c r="AS62" s="65"/>
    </row>
    <row r="63" spans="2:45" s="26" customFormat="1" ht="13.5" customHeight="1">
      <c r="B63" s="82"/>
      <c r="C63" s="183"/>
      <c r="D63" s="129"/>
      <c r="E63" s="129"/>
      <c r="F63" s="129"/>
      <c r="G63" s="129"/>
      <c r="H63" s="129"/>
      <c r="I63" s="129"/>
      <c r="J63" s="129"/>
      <c r="K63" s="129"/>
      <c r="L63" s="129"/>
      <c r="M63" s="129"/>
      <c r="N63" s="73"/>
      <c r="O63" s="73"/>
      <c r="P63" s="73"/>
      <c r="Q63" s="73"/>
      <c r="R63" s="73"/>
      <c r="S63" s="73"/>
      <c r="T63" s="73"/>
      <c r="U63" s="73"/>
      <c r="V63" s="73"/>
      <c r="W63" s="73"/>
      <c r="X63" s="73"/>
      <c r="Y63" s="73"/>
      <c r="Z63" s="73"/>
      <c r="AA63" s="73"/>
      <c r="AB63" s="65"/>
      <c r="AC63" s="65"/>
      <c r="AD63" s="73"/>
      <c r="AE63" s="73"/>
      <c r="AF63" s="73"/>
      <c r="AG63" s="73"/>
      <c r="AH63" s="73"/>
      <c r="AI63" s="73"/>
      <c r="AJ63" s="73"/>
      <c r="AK63" s="73"/>
      <c r="AL63" s="73"/>
      <c r="AM63" s="73"/>
      <c r="AN63" s="73"/>
      <c r="AO63" s="73"/>
      <c r="AP63" s="73"/>
      <c r="AQ63" s="73"/>
      <c r="AR63" s="65"/>
      <c r="AS63" s="65"/>
    </row>
    <row r="64" spans="2:45" s="26" customFormat="1" ht="13.5" customHeight="1">
      <c r="B64" s="82"/>
      <c r="C64" s="183"/>
      <c r="D64" s="129"/>
      <c r="E64" s="129"/>
      <c r="F64" s="129"/>
      <c r="G64" s="129"/>
      <c r="H64" s="129"/>
      <c r="I64" s="129"/>
      <c r="J64" s="129"/>
      <c r="K64" s="129"/>
      <c r="L64" s="129"/>
      <c r="M64" s="129"/>
      <c r="N64" s="73"/>
      <c r="O64" s="73"/>
      <c r="P64" s="73"/>
      <c r="Q64" s="73"/>
      <c r="R64" s="73"/>
      <c r="S64" s="73"/>
      <c r="T64" s="73"/>
      <c r="U64" s="73"/>
      <c r="V64" s="73"/>
      <c r="W64" s="73"/>
      <c r="X64" s="73"/>
      <c r="Y64" s="73"/>
      <c r="Z64" s="73"/>
      <c r="AA64" s="73"/>
      <c r="AB64" s="65"/>
      <c r="AC64" s="65"/>
      <c r="AD64" s="73"/>
      <c r="AE64" s="73"/>
      <c r="AF64" s="73"/>
      <c r="AG64" s="73"/>
      <c r="AH64" s="73"/>
      <c r="AI64" s="73"/>
      <c r="AJ64" s="73"/>
      <c r="AK64" s="73"/>
      <c r="AL64" s="73"/>
      <c r="AM64" s="73"/>
      <c r="AN64" s="73"/>
      <c r="AO64" s="73"/>
      <c r="AP64" s="73"/>
      <c r="AQ64" s="73"/>
      <c r="AR64" s="65"/>
      <c r="AS64" s="65"/>
    </row>
    <row r="65" spans="2:45" s="26" customFormat="1" ht="13.5" customHeight="1">
      <c r="B65" s="82"/>
      <c r="C65" s="183"/>
      <c r="D65" s="129"/>
      <c r="E65" s="129"/>
      <c r="F65" s="129"/>
      <c r="G65" s="129"/>
      <c r="H65" s="129"/>
      <c r="I65" s="129"/>
      <c r="J65" s="129"/>
      <c r="K65" s="129"/>
      <c r="L65" s="129"/>
      <c r="M65" s="129"/>
      <c r="N65" s="73"/>
      <c r="O65" s="73"/>
      <c r="P65" s="73"/>
      <c r="Q65" s="73"/>
      <c r="R65" s="73"/>
      <c r="S65" s="73"/>
      <c r="T65" s="73"/>
      <c r="U65" s="73"/>
      <c r="V65" s="73"/>
      <c r="W65" s="73"/>
      <c r="X65" s="73"/>
      <c r="Y65" s="73"/>
      <c r="Z65" s="73"/>
      <c r="AA65" s="73"/>
      <c r="AB65" s="65"/>
      <c r="AC65" s="65"/>
      <c r="AD65" s="73"/>
      <c r="AE65" s="73"/>
      <c r="AF65" s="73"/>
      <c r="AG65" s="73"/>
      <c r="AH65" s="73"/>
      <c r="AI65" s="73"/>
      <c r="AJ65" s="73"/>
      <c r="AK65" s="73"/>
      <c r="AL65" s="73"/>
      <c r="AM65" s="73"/>
      <c r="AN65" s="73"/>
      <c r="AO65" s="73"/>
      <c r="AP65" s="73"/>
      <c r="AQ65" s="73"/>
      <c r="AR65" s="65"/>
      <c r="AS65" s="65"/>
    </row>
    <row r="66" spans="2:45" s="26" customFormat="1" ht="13.5" customHeight="1">
      <c r="B66" s="82"/>
      <c r="C66" s="183"/>
      <c r="D66" s="129"/>
      <c r="E66" s="129"/>
      <c r="F66" s="129"/>
      <c r="G66" s="129"/>
      <c r="H66" s="129"/>
      <c r="I66" s="129"/>
      <c r="J66" s="129"/>
      <c r="K66" s="129"/>
      <c r="L66" s="129"/>
      <c r="M66" s="129"/>
      <c r="N66" s="73"/>
      <c r="O66" s="73"/>
      <c r="P66" s="73"/>
      <c r="Q66" s="73"/>
      <c r="R66" s="73"/>
      <c r="S66" s="73"/>
      <c r="T66" s="73"/>
      <c r="U66" s="73"/>
      <c r="V66" s="73"/>
      <c r="W66" s="73"/>
      <c r="X66" s="73"/>
      <c r="Y66" s="73"/>
      <c r="Z66" s="73"/>
      <c r="AA66" s="73"/>
      <c r="AB66" s="65"/>
      <c r="AC66" s="65"/>
      <c r="AD66" s="73"/>
      <c r="AE66" s="73"/>
      <c r="AF66" s="73"/>
      <c r="AG66" s="73"/>
      <c r="AH66" s="73"/>
      <c r="AI66" s="73"/>
      <c r="AJ66" s="73"/>
      <c r="AK66" s="73"/>
      <c r="AL66" s="73"/>
      <c r="AM66" s="73"/>
      <c r="AN66" s="73"/>
      <c r="AO66" s="73"/>
      <c r="AP66" s="73"/>
      <c r="AQ66" s="73"/>
      <c r="AR66" s="65"/>
      <c r="AS66" s="65"/>
    </row>
    <row r="67" spans="2:45" s="26" customFormat="1" ht="13.5" customHeight="1">
      <c r="B67" s="82"/>
      <c r="C67" s="183"/>
      <c r="D67" s="129"/>
      <c r="E67" s="129"/>
      <c r="F67" s="129"/>
      <c r="G67" s="129"/>
      <c r="H67" s="129"/>
      <c r="I67" s="129"/>
      <c r="J67" s="129"/>
      <c r="K67" s="129"/>
      <c r="L67" s="129"/>
      <c r="M67" s="129"/>
      <c r="N67" s="73"/>
      <c r="O67" s="73"/>
      <c r="P67" s="73"/>
      <c r="Q67" s="73"/>
      <c r="R67" s="73"/>
      <c r="S67" s="73"/>
      <c r="T67" s="73"/>
      <c r="U67" s="73"/>
      <c r="V67" s="73"/>
      <c r="W67" s="73"/>
      <c r="X67" s="73"/>
      <c r="Y67" s="73"/>
      <c r="Z67" s="73"/>
      <c r="AA67" s="73"/>
      <c r="AB67" s="65"/>
      <c r="AC67" s="65"/>
      <c r="AD67" s="73"/>
      <c r="AE67" s="73"/>
      <c r="AF67" s="73"/>
      <c r="AG67" s="73"/>
      <c r="AH67" s="73"/>
      <c r="AI67" s="73"/>
      <c r="AJ67" s="73"/>
      <c r="AK67" s="73"/>
      <c r="AL67" s="73"/>
      <c r="AM67" s="73"/>
      <c r="AN67" s="73"/>
      <c r="AO67" s="73"/>
      <c r="AP67" s="73"/>
      <c r="AQ67" s="73"/>
      <c r="AR67" s="65"/>
      <c r="AS67" s="65"/>
    </row>
    <row r="68" spans="2:45" s="26" customFormat="1" ht="13.5" customHeight="1">
      <c r="B68" s="82"/>
      <c r="C68" s="183"/>
      <c r="D68" s="129"/>
      <c r="E68" s="129"/>
      <c r="F68" s="129"/>
      <c r="G68" s="129"/>
      <c r="H68" s="129"/>
      <c r="I68" s="129"/>
      <c r="J68" s="129"/>
      <c r="K68" s="129"/>
      <c r="L68" s="129"/>
      <c r="M68" s="129"/>
      <c r="N68" s="73"/>
      <c r="O68" s="73"/>
      <c r="P68" s="73"/>
      <c r="Q68" s="73"/>
      <c r="R68" s="73"/>
      <c r="S68" s="73"/>
      <c r="T68" s="73"/>
      <c r="U68" s="73"/>
      <c r="V68" s="73"/>
      <c r="W68" s="73"/>
      <c r="X68" s="73"/>
      <c r="Y68" s="73"/>
      <c r="Z68" s="73"/>
      <c r="AA68" s="73"/>
      <c r="AB68" s="65"/>
      <c r="AC68" s="65"/>
      <c r="AD68" s="73"/>
      <c r="AE68" s="73"/>
      <c r="AF68" s="73"/>
      <c r="AG68" s="73"/>
      <c r="AH68" s="73"/>
      <c r="AI68" s="73"/>
      <c r="AJ68" s="73"/>
      <c r="AK68" s="73"/>
      <c r="AL68" s="73"/>
      <c r="AM68" s="73"/>
      <c r="AN68" s="73"/>
      <c r="AO68" s="73"/>
      <c r="AP68" s="73"/>
      <c r="AQ68" s="73"/>
      <c r="AR68" s="65"/>
      <c r="AS68" s="65"/>
    </row>
    <row r="69" spans="2:45" s="26" customFormat="1" ht="13.5" customHeight="1">
      <c r="B69" s="82"/>
      <c r="C69" s="183"/>
      <c r="D69" s="129"/>
      <c r="E69" s="129"/>
      <c r="F69" s="129"/>
      <c r="G69" s="129"/>
      <c r="H69" s="129"/>
      <c r="I69" s="129"/>
      <c r="J69" s="129"/>
      <c r="K69" s="129"/>
      <c r="L69" s="129"/>
      <c r="M69" s="129"/>
      <c r="N69" s="73"/>
      <c r="O69" s="73"/>
      <c r="P69" s="73"/>
      <c r="Q69" s="73"/>
      <c r="R69" s="73"/>
      <c r="S69" s="73"/>
      <c r="T69" s="73"/>
      <c r="U69" s="73"/>
      <c r="V69" s="73"/>
      <c r="W69" s="73"/>
      <c r="X69" s="73"/>
      <c r="Y69" s="73"/>
      <c r="Z69" s="73"/>
      <c r="AA69" s="73"/>
      <c r="AB69" s="65"/>
      <c r="AC69" s="65"/>
      <c r="AD69" s="73"/>
      <c r="AE69" s="73"/>
      <c r="AF69" s="73"/>
      <c r="AG69" s="73"/>
      <c r="AH69" s="73"/>
      <c r="AI69" s="73"/>
      <c r="AJ69" s="73"/>
      <c r="AK69" s="73"/>
      <c r="AL69" s="73"/>
      <c r="AM69" s="73"/>
      <c r="AN69" s="73"/>
      <c r="AO69" s="73"/>
      <c r="AP69" s="73"/>
      <c r="AQ69" s="73"/>
      <c r="AR69" s="65"/>
      <c r="AS69" s="65"/>
    </row>
    <row r="70" spans="2:45" s="26" customFormat="1" ht="13.5" customHeight="1">
      <c r="B70" s="82"/>
      <c r="C70" s="183"/>
      <c r="D70" s="129"/>
      <c r="E70" s="129"/>
      <c r="F70" s="129"/>
      <c r="G70" s="129"/>
      <c r="H70" s="129"/>
      <c r="I70" s="129"/>
      <c r="J70" s="129"/>
      <c r="K70" s="129"/>
      <c r="L70" s="129"/>
      <c r="M70" s="129"/>
      <c r="N70" s="73"/>
      <c r="O70" s="73"/>
      <c r="P70" s="73"/>
      <c r="Q70" s="73"/>
      <c r="R70" s="73"/>
      <c r="S70" s="73"/>
      <c r="T70" s="73"/>
      <c r="U70" s="73"/>
      <c r="V70" s="73"/>
      <c r="W70" s="73"/>
      <c r="X70" s="73"/>
      <c r="Y70" s="73"/>
      <c r="Z70" s="73"/>
      <c r="AA70" s="73"/>
      <c r="AB70" s="65"/>
      <c r="AC70" s="65"/>
      <c r="AD70" s="73"/>
      <c r="AE70" s="73"/>
      <c r="AF70" s="73"/>
      <c r="AG70" s="73"/>
      <c r="AH70" s="73"/>
      <c r="AI70" s="73"/>
      <c r="AJ70" s="73"/>
      <c r="AK70" s="73"/>
      <c r="AL70" s="73"/>
      <c r="AM70" s="73"/>
      <c r="AN70" s="73"/>
      <c r="AO70" s="73"/>
      <c r="AP70" s="73"/>
      <c r="AQ70" s="73"/>
      <c r="AR70" s="65"/>
      <c r="AS70" s="65"/>
    </row>
    <row r="71" spans="2:45" s="26" customFormat="1" ht="13.5" customHeight="1">
      <c r="B71" s="82"/>
      <c r="C71" s="183"/>
      <c r="D71" s="129"/>
      <c r="E71" s="129"/>
      <c r="F71" s="129"/>
      <c r="G71" s="129"/>
      <c r="H71" s="129"/>
      <c r="I71" s="129"/>
      <c r="J71" s="129"/>
      <c r="K71" s="129"/>
      <c r="L71" s="129"/>
      <c r="M71" s="129"/>
      <c r="N71" s="73"/>
      <c r="O71" s="73"/>
      <c r="P71" s="73"/>
      <c r="Q71" s="73"/>
      <c r="R71" s="73"/>
      <c r="S71" s="73"/>
      <c r="T71" s="73"/>
      <c r="U71" s="73"/>
      <c r="V71" s="73"/>
      <c r="W71" s="73"/>
      <c r="X71" s="73"/>
      <c r="Y71" s="73"/>
      <c r="Z71" s="73"/>
      <c r="AA71" s="73"/>
      <c r="AB71" s="65"/>
      <c r="AC71" s="65"/>
      <c r="AD71" s="73"/>
      <c r="AE71" s="73"/>
      <c r="AF71" s="73"/>
      <c r="AG71" s="73"/>
      <c r="AH71" s="73"/>
      <c r="AI71" s="73"/>
      <c r="AJ71" s="73"/>
      <c r="AK71" s="73"/>
      <c r="AL71" s="73"/>
      <c r="AM71" s="73"/>
      <c r="AN71" s="73"/>
      <c r="AO71" s="73"/>
      <c r="AP71" s="73"/>
      <c r="AQ71" s="73"/>
      <c r="AR71" s="65"/>
      <c r="AS71" s="65"/>
    </row>
    <row r="72" spans="2:45" s="26" customFormat="1" ht="13.5" customHeight="1">
      <c r="B72" s="82"/>
      <c r="C72" s="183"/>
      <c r="D72" s="129"/>
      <c r="E72" s="129"/>
      <c r="F72" s="129"/>
      <c r="G72" s="129"/>
      <c r="H72" s="129"/>
      <c r="I72" s="129"/>
      <c r="J72" s="129"/>
      <c r="K72" s="129"/>
      <c r="L72" s="129"/>
      <c r="M72" s="129"/>
      <c r="N72" s="73"/>
      <c r="O72" s="73"/>
      <c r="P72" s="73"/>
      <c r="Q72" s="73"/>
      <c r="R72" s="73"/>
      <c r="S72" s="73"/>
      <c r="T72" s="73"/>
      <c r="U72" s="73"/>
      <c r="V72" s="73"/>
      <c r="W72" s="73"/>
      <c r="X72" s="73"/>
      <c r="Y72" s="73"/>
      <c r="Z72" s="73"/>
      <c r="AA72" s="73"/>
      <c r="AB72" s="65"/>
      <c r="AC72" s="65"/>
      <c r="AD72" s="73"/>
      <c r="AE72" s="73"/>
      <c r="AF72" s="73"/>
      <c r="AG72" s="73"/>
      <c r="AH72" s="73"/>
      <c r="AI72" s="73"/>
      <c r="AJ72" s="73"/>
      <c r="AK72" s="73"/>
      <c r="AL72" s="73"/>
      <c r="AM72" s="73"/>
      <c r="AN72" s="73"/>
      <c r="AO72" s="73"/>
      <c r="AP72" s="73"/>
      <c r="AQ72" s="73"/>
      <c r="AR72" s="65"/>
      <c r="AS72" s="65"/>
    </row>
    <row r="73" spans="2:45" s="26" customFormat="1" ht="13.5" customHeight="1">
      <c r="B73" s="82"/>
      <c r="C73" s="183"/>
      <c r="D73" s="129"/>
      <c r="E73" s="129"/>
      <c r="F73" s="129"/>
      <c r="G73" s="129"/>
      <c r="H73" s="129"/>
      <c r="I73" s="129"/>
      <c r="J73" s="129"/>
      <c r="K73" s="129"/>
      <c r="L73" s="129"/>
      <c r="M73" s="129"/>
      <c r="N73" s="73"/>
      <c r="O73" s="73"/>
      <c r="P73" s="73"/>
      <c r="Q73" s="73"/>
      <c r="R73" s="73"/>
      <c r="S73" s="73"/>
      <c r="T73" s="73"/>
      <c r="U73" s="73"/>
      <c r="V73" s="73"/>
      <c r="W73" s="73"/>
      <c r="X73" s="73"/>
      <c r="Y73" s="73"/>
      <c r="Z73" s="73"/>
      <c r="AA73" s="73"/>
      <c r="AB73" s="65"/>
      <c r="AC73" s="65"/>
      <c r="AD73" s="73"/>
      <c r="AE73" s="73"/>
      <c r="AF73" s="73"/>
      <c r="AG73" s="73"/>
      <c r="AH73" s="73"/>
      <c r="AI73" s="73"/>
      <c r="AJ73" s="73"/>
      <c r="AK73" s="73"/>
      <c r="AL73" s="73"/>
      <c r="AM73" s="73"/>
      <c r="AN73" s="73"/>
      <c r="AO73" s="73"/>
      <c r="AP73" s="73"/>
      <c r="AQ73" s="73"/>
      <c r="AR73" s="65"/>
      <c r="AS73" s="65"/>
    </row>
    <row r="74" spans="2:45" s="26" customFormat="1" ht="13.5" customHeight="1">
      <c r="B74" s="82"/>
      <c r="C74" s="183"/>
      <c r="D74" s="129"/>
      <c r="E74" s="129"/>
      <c r="F74" s="129"/>
      <c r="G74" s="129"/>
      <c r="H74" s="129"/>
      <c r="I74" s="129"/>
      <c r="J74" s="129"/>
      <c r="K74" s="129"/>
      <c r="L74" s="129"/>
      <c r="M74" s="129"/>
      <c r="N74" s="73"/>
      <c r="O74" s="73"/>
      <c r="P74" s="73"/>
      <c r="Q74" s="73"/>
      <c r="R74" s="73"/>
      <c r="S74" s="73"/>
      <c r="T74" s="73"/>
      <c r="U74" s="73"/>
      <c r="V74" s="73"/>
      <c r="W74" s="73"/>
      <c r="X74" s="73"/>
      <c r="Y74" s="73"/>
      <c r="Z74" s="73"/>
      <c r="AA74" s="73"/>
      <c r="AB74" s="65"/>
      <c r="AC74" s="65"/>
      <c r="AD74" s="73"/>
      <c r="AE74" s="73"/>
      <c r="AF74" s="73"/>
      <c r="AG74" s="73"/>
      <c r="AH74" s="73"/>
      <c r="AI74" s="73"/>
      <c r="AJ74" s="73"/>
      <c r="AK74" s="73"/>
      <c r="AL74" s="73"/>
      <c r="AM74" s="73"/>
      <c r="AN74" s="73"/>
      <c r="AO74" s="73"/>
      <c r="AP74" s="73"/>
      <c r="AQ74" s="73"/>
      <c r="AR74" s="65"/>
      <c r="AS74" s="65"/>
    </row>
    <row r="75" spans="2:45" s="26" customFormat="1" ht="13.5" customHeight="1">
      <c r="B75" s="82"/>
      <c r="C75" s="183"/>
      <c r="D75" s="129"/>
      <c r="E75" s="129"/>
      <c r="F75" s="129"/>
      <c r="G75" s="129"/>
      <c r="H75" s="129"/>
      <c r="I75" s="129"/>
      <c r="J75" s="129"/>
      <c r="K75" s="129"/>
      <c r="L75" s="129"/>
      <c r="M75" s="129"/>
      <c r="N75" s="73"/>
      <c r="O75" s="73"/>
      <c r="P75" s="73"/>
      <c r="Q75" s="73"/>
      <c r="R75" s="73"/>
      <c r="S75" s="73"/>
      <c r="T75" s="73"/>
      <c r="U75" s="73"/>
      <c r="V75" s="73"/>
      <c r="W75" s="73"/>
      <c r="X75" s="73"/>
      <c r="Y75" s="73"/>
      <c r="Z75" s="73"/>
      <c r="AA75" s="73"/>
      <c r="AB75" s="65"/>
      <c r="AC75" s="65"/>
      <c r="AD75" s="73"/>
      <c r="AE75" s="73"/>
      <c r="AF75" s="73"/>
      <c r="AG75" s="73"/>
      <c r="AH75" s="73"/>
      <c r="AI75" s="73"/>
      <c r="AJ75" s="73"/>
      <c r="AK75" s="73"/>
      <c r="AL75" s="73"/>
      <c r="AM75" s="73"/>
      <c r="AN75" s="73"/>
      <c r="AO75" s="73"/>
      <c r="AP75" s="73"/>
      <c r="AQ75" s="73"/>
      <c r="AR75" s="65"/>
      <c r="AS75" s="65"/>
    </row>
    <row r="76" spans="2:45" s="26" customFormat="1" ht="13.5" customHeight="1">
      <c r="B76" s="82"/>
      <c r="C76" s="183"/>
      <c r="D76" s="129"/>
      <c r="E76" s="129"/>
      <c r="F76" s="129"/>
      <c r="G76" s="129"/>
      <c r="H76" s="129"/>
      <c r="I76" s="129"/>
      <c r="J76" s="129"/>
      <c r="K76" s="129"/>
      <c r="L76" s="129"/>
      <c r="M76" s="129"/>
      <c r="N76" s="73"/>
      <c r="O76" s="73"/>
      <c r="P76" s="73"/>
      <c r="Q76" s="73"/>
      <c r="R76" s="73"/>
      <c r="S76" s="73"/>
      <c r="T76" s="73"/>
      <c r="U76" s="73"/>
      <c r="V76" s="73"/>
      <c r="W76" s="73"/>
      <c r="X76" s="73"/>
      <c r="Y76" s="73"/>
      <c r="Z76" s="73"/>
      <c r="AA76" s="73"/>
      <c r="AB76" s="65"/>
      <c r="AC76" s="65"/>
      <c r="AD76" s="73"/>
      <c r="AE76" s="73"/>
      <c r="AF76" s="73"/>
      <c r="AG76" s="73"/>
      <c r="AH76" s="73"/>
      <c r="AI76" s="73"/>
      <c r="AJ76" s="73"/>
      <c r="AK76" s="73"/>
      <c r="AL76" s="73"/>
      <c r="AM76" s="73"/>
      <c r="AN76" s="73"/>
      <c r="AO76" s="73"/>
      <c r="AP76" s="73"/>
      <c r="AQ76" s="73"/>
      <c r="AR76" s="65"/>
      <c r="AS76" s="65"/>
    </row>
    <row r="77" spans="2:45" s="26" customFormat="1" ht="13.5" customHeight="1">
      <c r="B77" s="82"/>
      <c r="C77" s="183"/>
      <c r="D77" s="129"/>
      <c r="E77" s="129"/>
      <c r="F77" s="129"/>
      <c r="G77" s="129"/>
      <c r="H77" s="129"/>
      <c r="I77" s="129"/>
      <c r="J77" s="129"/>
      <c r="K77" s="129"/>
      <c r="L77" s="129"/>
      <c r="M77" s="129"/>
      <c r="N77" s="73"/>
      <c r="O77" s="73"/>
      <c r="P77" s="73"/>
      <c r="Q77" s="73"/>
      <c r="R77" s="73"/>
      <c r="S77" s="73"/>
      <c r="T77" s="73"/>
      <c r="U77" s="73"/>
      <c r="V77" s="73"/>
      <c r="W77" s="73"/>
      <c r="X77" s="73"/>
      <c r="Y77" s="73"/>
      <c r="Z77" s="73"/>
      <c r="AA77" s="73"/>
      <c r="AB77" s="65"/>
      <c r="AC77" s="65"/>
      <c r="AD77" s="73"/>
      <c r="AE77" s="73"/>
      <c r="AF77" s="73"/>
      <c r="AG77" s="73"/>
      <c r="AH77" s="73"/>
      <c r="AI77" s="73"/>
      <c r="AJ77" s="73"/>
      <c r="AK77" s="73"/>
      <c r="AL77" s="73"/>
      <c r="AM77" s="73"/>
      <c r="AN77" s="73"/>
      <c r="AO77" s="73"/>
      <c r="AP77" s="73"/>
      <c r="AQ77" s="73"/>
      <c r="AR77" s="65"/>
      <c r="AS77" s="65"/>
    </row>
    <row r="78" spans="2:45" s="26" customFormat="1" ht="13.5" customHeight="1">
      <c r="B78" s="82"/>
      <c r="C78" s="183"/>
      <c r="D78" s="129"/>
      <c r="E78" s="129"/>
      <c r="F78" s="129"/>
      <c r="G78" s="129"/>
      <c r="H78" s="129"/>
      <c r="I78" s="129"/>
      <c r="J78" s="129"/>
      <c r="K78" s="129"/>
      <c r="L78" s="129"/>
      <c r="M78" s="129"/>
      <c r="N78" s="73"/>
      <c r="O78" s="73"/>
      <c r="P78" s="73"/>
      <c r="Q78" s="73"/>
      <c r="R78" s="73"/>
      <c r="S78" s="73"/>
      <c r="T78" s="73"/>
      <c r="U78" s="73"/>
      <c r="V78" s="73"/>
      <c r="W78" s="73"/>
      <c r="X78" s="73"/>
      <c r="Y78" s="73"/>
      <c r="Z78" s="73"/>
      <c r="AA78" s="73"/>
      <c r="AB78" s="65"/>
      <c r="AC78" s="65"/>
      <c r="AD78" s="73"/>
      <c r="AE78" s="73"/>
      <c r="AF78" s="73"/>
      <c r="AG78" s="73"/>
      <c r="AH78" s="73"/>
      <c r="AI78" s="73"/>
      <c r="AJ78" s="73"/>
      <c r="AK78" s="73"/>
      <c r="AL78" s="73"/>
      <c r="AM78" s="73"/>
      <c r="AN78" s="73"/>
      <c r="AO78" s="73"/>
      <c r="AP78" s="73"/>
      <c r="AQ78" s="73"/>
      <c r="AR78" s="65"/>
      <c r="AS78" s="65"/>
    </row>
    <row r="79" spans="2:45" s="26" customFormat="1" ht="13.5" customHeight="1">
      <c r="B79" s="82"/>
      <c r="C79" s="183"/>
      <c r="D79" s="129"/>
      <c r="E79" s="129"/>
      <c r="F79" s="129"/>
      <c r="G79" s="129"/>
      <c r="H79" s="129"/>
      <c r="I79" s="129"/>
      <c r="J79" s="129"/>
      <c r="K79" s="129"/>
      <c r="L79" s="129"/>
      <c r="M79" s="129"/>
      <c r="N79" s="73"/>
      <c r="O79" s="73"/>
      <c r="P79" s="73"/>
      <c r="Q79" s="73"/>
      <c r="R79" s="73"/>
      <c r="S79" s="73"/>
      <c r="T79" s="73"/>
      <c r="U79" s="73"/>
      <c r="V79" s="73"/>
      <c r="W79" s="73"/>
      <c r="X79" s="73"/>
      <c r="Y79" s="73"/>
      <c r="Z79" s="73"/>
      <c r="AA79" s="73"/>
      <c r="AB79" s="65"/>
      <c r="AC79" s="65"/>
      <c r="AD79" s="73"/>
      <c r="AE79" s="73"/>
      <c r="AF79" s="73"/>
      <c r="AG79" s="73"/>
      <c r="AH79" s="73"/>
      <c r="AI79" s="73"/>
      <c r="AJ79" s="73"/>
      <c r="AK79" s="73"/>
      <c r="AL79" s="73"/>
      <c r="AM79" s="73"/>
      <c r="AN79" s="73"/>
      <c r="AO79" s="73"/>
      <c r="AP79" s="73"/>
      <c r="AQ79" s="73"/>
      <c r="AR79" s="65"/>
      <c r="AS79" s="65"/>
    </row>
    <row r="80" spans="2:45" s="26" customFormat="1" ht="13.5" customHeight="1">
      <c r="B80" s="82"/>
      <c r="C80" s="183"/>
      <c r="D80" s="129"/>
      <c r="E80" s="129"/>
      <c r="F80" s="129"/>
      <c r="G80" s="129"/>
      <c r="H80" s="129"/>
      <c r="I80" s="129"/>
      <c r="J80" s="129"/>
      <c r="K80" s="129"/>
      <c r="L80" s="129"/>
      <c r="M80" s="129"/>
      <c r="N80" s="73"/>
      <c r="O80" s="73"/>
      <c r="P80" s="73"/>
      <c r="Q80" s="73"/>
      <c r="R80" s="73"/>
      <c r="S80" s="73"/>
      <c r="T80" s="73"/>
      <c r="U80" s="73"/>
      <c r="V80" s="73"/>
      <c r="W80" s="73"/>
      <c r="X80" s="73"/>
      <c r="Y80" s="73"/>
      <c r="Z80" s="73"/>
      <c r="AA80" s="73"/>
      <c r="AB80" s="65"/>
      <c r="AC80" s="65"/>
      <c r="AD80" s="73"/>
      <c r="AE80" s="73"/>
      <c r="AF80" s="73"/>
      <c r="AG80" s="73"/>
      <c r="AH80" s="73"/>
      <c r="AI80" s="73"/>
      <c r="AJ80" s="73"/>
      <c r="AK80" s="73"/>
      <c r="AL80" s="73"/>
      <c r="AM80" s="73"/>
      <c r="AN80" s="73"/>
      <c r="AO80" s="73"/>
      <c r="AP80" s="73"/>
      <c r="AQ80" s="73"/>
      <c r="AR80" s="65"/>
      <c r="AS80" s="65"/>
    </row>
    <row r="81" spans="2:45" s="26" customFormat="1" ht="13.5" customHeight="1">
      <c r="B81" s="82"/>
      <c r="C81" s="183"/>
      <c r="D81" s="129"/>
      <c r="E81" s="129"/>
      <c r="F81" s="129"/>
      <c r="G81" s="129"/>
      <c r="H81" s="129"/>
      <c r="I81" s="129"/>
      <c r="J81" s="129"/>
      <c r="K81" s="129"/>
      <c r="L81" s="129"/>
      <c r="M81" s="129"/>
      <c r="N81" s="73"/>
      <c r="O81" s="73"/>
      <c r="P81" s="73"/>
      <c r="Q81" s="73"/>
      <c r="R81" s="73"/>
      <c r="S81" s="73"/>
      <c r="T81" s="73"/>
      <c r="U81" s="73"/>
      <c r="V81" s="73"/>
      <c r="W81" s="73"/>
      <c r="X81" s="73"/>
      <c r="Y81" s="73"/>
      <c r="Z81" s="73"/>
      <c r="AA81" s="73"/>
      <c r="AB81" s="65"/>
      <c r="AC81" s="65"/>
      <c r="AD81" s="73"/>
      <c r="AE81" s="73"/>
      <c r="AF81" s="73"/>
      <c r="AG81" s="73"/>
      <c r="AH81" s="73"/>
      <c r="AI81" s="73"/>
      <c r="AJ81" s="73"/>
      <c r="AK81" s="73"/>
      <c r="AL81" s="73"/>
      <c r="AM81" s="73"/>
      <c r="AN81" s="73"/>
      <c r="AO81" s="73"/>
      <c r="AP81" s="73"/>
      <c r="AQ81" s="73"/>
      <c r="AR81" s="65"/>
      <c r="AS81" s="65"/>
    </row>
    <row r="82" spans="2:45" s="26" customFormat="1" ht="13.5" customHeight="1">
      <c r="B82" s="82"/>
      <c r="C82" s="183"/>
      <c r="D82" s="129"/>
      <c r="E82" s="129"/>
      <c r="F82" s="129"/>
      <c r="G82" s="129"/>
      <c r="H82" s="129"/>
      <c r="I82" s="129"/>
      <c r="J82" s="129"/>
      <c r="K82" s="129"/>
      <c r="L82" s="129"/>
      <c r="M82" s="129"/>
      <c r="N82" s="73"/>
      <c r="O82" s="73"/>
      <c r="P82" s="73"/>
      <c r="Q82" s="73"/>
      <c r="R82" s="73"/>
      <c r="S82" s="73"/>
      <c r="T82" s="73"/>
      <c r="U82" s="73"/>
      <c r="V82" s="73"/>
      <c r="W82" s="73"/>
      <c r="X82" s="73"/>
      <c r="Y82" s="73"/>
      <c r="Z82" s="73"/>
      <c r="AA82" s="73"/>
      <c r="AB82" s="65"/>
      <c r="AC82" s="65"/>
      <c r="AD82" s="73"/>
      <c r="AE82" s="73"/>
      <c r="AF82" s="73"/>
      <c r="AG82" s="73"/>
      <c r="AH82" s="73"/>
      <c r="AI82" s="73"/>
      <c r="AJ82" s="73"/>
      <c r="AK82" s="73"/>
      <c r="AL82" s="73"/>
      <c r="AM82" s="73"/>
      <c r="AN82" s="73"/>
      <c r="AO82" s="73"/>
      <c r="AP82" s="73"/>
      <c r="AQ82" s="73"/>
      <c r="AR82" s="65"/>
      <c r="AS82" s="65"/>
    </row>
    <row r="83" spans="2:45" s="26" customFormat="1" ht="13.5" customHeight="1">
      <c r="B83" s="82"/>
      <c r="C83" s="183"/>
      <c r="D83" s="129"/>
      <c r="E83" s="129"/>
      <c r="F83" s="129"/>
      <c r="G83" s="129"/>
      <c r="H83" s="129"/>
      <c r="I83" s="129"/>
      <c r="J83" s="129"/>
      <c r="K83" s="129"/>
      <c r="L83" s="129"/>
      <c r="M83" s="129"/>
      <c r="N83" s="73"/>
      <c r="O83" s="73"/>
      <c r="P83" s="73"/>
      <c r="Q83" s="73"/>
      <c r="R83" s="73"/>
      <c r="S83" s="73"/>
      <c r="T83" s="73"/>
      <c r="U83" s="73"/>
      <c r="V83" s="73"/>
      <c r="W83" s="73"/>
      <c r="X83" s="73"/>
      <c r="Y83" s="73"/>
      <c r="Z83" s="73"/>
      <c r="AA83" s="73"/>
      <c r="AB83" s="65"/>
      <c r="AC83" s="65"/>
      <c r="AD83" s="73"/>
      <c r="AE83" s="73"/>
      <c r="AF83" s="73"/>
      <c r="AG83" s="73"/>
      <c r="AH83" s="73"/>
      <c r="AI83" s="73"/>
      <c r="AJ83" s="73"/>
      <c r="AK83" s="73"/>
      <c r="AL83" s="73"/>
      <c r="AM83" s="73"/>
      <c r="AN83" s="73"/>
      <c r="AO83" s="73"/>
      <c r="AP83" s="73"/>
      <c r="AQ83" s="73"/>
      <c r="AR83" s="65"/>
      <c r="AS83" s="65"/>
    </row>
    <row r="84" spans="2:45" s="26" customFormat="1" ht="13.5" customHeight="1">
      <c r="B84" s="82"/>
      <c r="C84" s="183"/>
      <c r="D84" s="129"/>
      <c r="E84" s="129"/>
      <c r="F84" s="129"/>
      <c r="G84" s="129"/>
      <c r="H84" s="129"/>
      <c r="I84" s="129"/>
      <c r="J84" s="129"/>
      <c r="K84" s="129"/>
      <c r="L84" s="129"/>
      <c r="M84" s="129"/>
      <c r="N84" s="73"/>
      <c r="O84" s="73"/>
      <c r="P84" s="73"/>
      <c r="Q84" s="73"/>
      <c r="R84" s="73"/>
      <c r="S84" s="73"/>
      <c r="T84" s="73"/>
      <c r="U84" s="73"/>
      <c r="V84" s="73"/>
      <c r="W84" s="73"/>
      <c r="X84" s="73"/>
      <c r="Y84" s="73"/>
      <c r="Z84" s="73"/>
      <c r="AA84" s="73"/>
      <c r="AB84" s="65"/>
      <c r="AC84" s="65"/>
      <c r="AD84" s="73"/>
      <c r="AE84" s="73"/>
      <c r="AF84" s="73"/>
      <c r="AG84" s="73"/>
      <c r="AH84" s="73"/>
      <c r="AI84" s="73"/>
      <c r="AJ84" s="73"/>
      <c r="AK84" s="73"/>
      <c r="AL84" s="73"/>
      <c r="AM84" s="73"/>
      <c r="AN84" s="73"/>
      <c r="AO84" s="73"/>
      <c r="AP84" s="73"/>
      <c r="AQ84" s="73"/>
      <c r="AR84" s="65"/>
      <c r="AS84" s="65"/>
    </row>
    <row r="85" spans="2:45" s="26" customFormat="1" ht="13.5" customHeight="1">
      <c r="B85" s="82"/>
      <c r="C85" s="183"/>
      <c r="D85" s="129"/>
      <c r="E85" s="129"/>
      <c r="F85" s="129"/>
      <c r="G85" s="129"/>
      <c r="H85" s="129"/>
      <c r="I85" s="129"/>
      <c r="J85" s="129"/>
      <c r="K85" s="129"/>
      <c r="L85" s="129"/>
      <c r="M85" s="129"/>
      <c r="N85" s="73"/>
      <c r="O85" s="73"/>
      <c r="P85" s="73"/>
      <c r="Q85" s="73"/>
      <c r="R85" s="73"/>
      <c r="S85" s="73"/>
      <c r="T85" s="73"/>
      <c r="U85" s="73"/>
      <c r="V85" s="73"/>
      <c r="W85" s="73"/>
      <c r="X85" s="73"/>
      <c r="Y85" s="73"/>
      <c r="Z85" s="73"/>
      <c r="AA85" s="73"/>
      <c r="AB85" s="65"/>
      <c r="AC85" s="65"/>
      <c r="AD85" s="73"/>
      <c r="AE85" s="73"/>
      <c r="AF85" s="73"/>
      <c r="AG85" s="73"/>
      <c r="AH85" s="73"/>
      <c r="AI85" s="73"/>
      <c r="AJ85" s="73"/>
      <c r="AK85" s="73"/>
      <c r="AL85" s="73"/>
      <c r="AM85" s="73"/>
      <c r="AN85" s="73"/>
      <c r="AO85" s="73"/>
      <c r="AP85" s="73"/>
      <c r="AQ85" s="73"/>
      <c r="AR85" s="65"/>
      <c r="AS85" s="65"/>
    </row>
    <row r="86" spans="2:45" s="26" customFormat="1" ht="13.5" customHeight="1">
      <c r="B86" s="82"/>
      <c r="C86" s="183"/>
      <c r="D86" s="129"/>
      <c r="E86" s="129"/>
      <c r="F86" s="129"/>
      <c r="G86" s="129"/>
      <c r="H86" s="129"/>
      <c r="I86" s="129"/>
      <c r="J86" s="129"/>
      <c r="K86" s="129"/>
      <c r="L86" s="129"/>
      <c r="M86" s="129"/>
      <c r="N86" s="73"/>
      <c r="O86" s="73"/>
      <c r="P86" s="73"/>
      <c r="Q86" s="73"/>
      <c r="R86" s="73"/>
      <c r="S86" s="73"/>
      <c r="T86" s="73"/>
      <c r="U86" s="73"/>
      <c r="V86" s="73"/>
      <c r="W86" s="73"/>
      <c r="X86" s="73"/>
      <c r="Y86" s="73"/>
      <c r="Z86" s="73"/>
      <c r="AA86" s="73"/>
      <c r="AB86" s="65"/>
      <c r="AC86" s="65"/>
      <c r="AD86" s="73"/>
      <c r="AE86" s="73"/>
      <c r="AF86" s="73"/>
      <c r="AG86" s="73"/>
      <c r="AH86" s="73"/>
      <c r="AI86" s="73"/>
      <c r="AJ86" s="73"/>
      <c r="AK86" s="73"/>
      <c r="AL86" s="73"/>
      <c r="AM86" s="73"/>
      <c r="AN86" s="73"/>
      <c r="AO86" s="73"/>
      <c r="AP86" s="73"/>
      <c r="AQ86" s="73"/>
      <c r="AR86" s="65"/>
      <c r="AS86" s="65"/>
    </row>
    <row r="87" spans="2:45" s="26" customFormat="1" ht="13.5" customHeight="1">
      <c r="B87" s="82"/>
      <c r="C87" s="183"/>
      <c r="D87" s="129"/>
      <c r="E87" s="129"/>
      <c r="F87" s="129"/>
      <c r="G87" s="129"/>
      <c r="H87" s="129"/>
      <c r="I87" s="129"/>
      <c r="J87" s="129"/>
      <c r="K87" s="129"/>
      <c r="L87" s="129"/>
      <c r="M87" s="129"/>
      <c r="N87" s="73"/>
      <c r="O87" s="73"/>
      <c r="P87" s="73"/>
      <c r="Q87" s="73"/>
      <c r="R87" s="73"/>
      <c r="S87" s="73"/>
      <c r="T87" s="73"/>
      <c r="U87" s="73"/>
      <c r="V87" s="73"/>
      <c r="W87" s="73"/>
      <c r="X87" s="73"/>
      <c r="Y87" s="73"/>
      <c r="Z87" s="73"/>
      <c r="AA87" s="73"/>
      <c r="AB87" s="65"/>
      <c r="AC87" s="65"/>
      <c r="AD87" s="73"/>
      <c r="AE87" s="73"/>
      <c r="AF87" s="73"/>
      <c r="AG87" s="73"/>
      <c r="AH87" s="73"/>
      <c r="AI87" s="73"/>
      <c r="AJ87" s="73"/>
      <c r="AK87" s="73"/>
      <c r="AL87" s="73"/>
      <c r="AM87" s="73"/>
      <c r="AN87" s="73"/>
      <c r="AO87" s="73"/>
      <c r="AP87" s="73"/>
      <c r="AQ87" s="73"/>
      <c r="AR87" s="65"/>
      <c r="AS87" s="65"/>
    </row>
    <row r="88" spans="2:45" s="26" customFormat="1" ht="13.5" customHeight="1">
      <c r="B88" s="82"/>
      <c r="C88" s="183"/>
      <c r="D88" s="129"/>
      <c r="E88" s="129"/>
      <c r="F88" s="129"/>
      <c r="G88" s="129"/>
      <c r="H88" s="129"/>
      <c r="I88" s="129"/>
      <c r="J88" s="129"/>
      <c r="K88" s="129"/>
      <c r="L88" s="129"/>
      <c r="M88" s="129"/>
      <c r="N88" s="73"/>
      <c r="O88" s="73"/>
      <c r="P88" s="73"/>
      <c r="Q88" s="73"/>
      <c r="R88" s="73"/>
      <c r="S88" s="73"/>
      <c r="T88" s="73"/>
      <c r="U88" s="73"/>
      <c r="V88" s="73"/>
      <c r="W88" s="73"/>
      <c r="X88" s="73"/>
      <c r="Y88" s="73"/>
      <c r="Z88" s="73"/>
      <c r="AA88" s="73"/>
      <c r="AB88" s="65"/>
      <c r="AC88" s="65"/>
      <c r="AD88" s="73"/>
      <c r="AE88" s="73"/>
      <c r="AF88" s="73"/>
      <c r="AG88" s="73"/>
      <c r="AH88" s="73"/>
      <c r="AI88" s="73"/>
      <c r="AJ88" s="73"/>
      <c r="AK88" s="73"/>
      <c r="AL88" s="73"/>
      <c r="AM88" s="73"/>
      <c r="AN88" s="73"/>
      <c r="AO88" s="73"/>
      <c r="AP88" s="73"/>
      <c r="AQ88" s="73"/>
      <c r="AR88" s="65"/>
      <c r="AS88" s="65"/>
    </row>
    <row r="89" spans="2:45" s="26" customFormat="1" ht="13.5" customHeight="1">
      <c r="B89" s="82"/>
      <c r="C89" s="183"/>
      <c r="D89" s="129"/>
      <c r="E89" s="129"/>
      <c r="F89" s="129"/>
      <c r="G89" s="129"/>
      <c r="H89" s="129"/>
      <c r="I89" s="129"/>
      <c r="J89" s="129"/>
      <c r="K89" s="129"/>
      <c r="L89" s="129"/>
      <c r="M89" s="129"/>
      <c r="N89" s="73"/>
      <c r="O89" s="73"/>
      <c r="P89" s="73"/>
      <c r="Q89" s="73"/>
      <c r="R89" s="73"/>
      <c r="S89" s="73"/>
      <c r="T89" s="73"/>
      <c r="U89" s="73"/>
      <c r="V89" s="73"/>
      <c r="W89" s="73"/>
      <c r="X89" s="73"/>
      <c r="Y89" s="73"/>
      <c r="Z89" s="73"/>
      <c r="AA89" s="73"/>
      <c r="AB89" s="65"/>
      <c r="AC89" s="65"/>
      <c r="AD89" s="73"/>
      <c r="AE89" s="73"/>
      <c r="AF89" s="73"/>
      <c r="AG89" s="73"/>
      <c r="AH89" s="73"/>
      <c r="AI89" s="73"/>
      <c r="AJ89" s="73"/>
      <c r="AK89" s="73"/>
      <c r="AL89" s="73"/>
      <c r="AM89" s="73"/>
      <c r="AN89" s="73"/>
      <c r="AO89" s="73"/>
      <c r="AP89" s="73"/>
      <c r="AQ89" s="73"/>
      <c r="AR89" s="65"/>
      <c r="AS89" s="65"/>
    </row>
    <row r="90" spans="2:45" s="26" customFormat="1" ht="13.5" customHeight="1">
      <c r="B90" s="82"/>
      <c r="C90" s="183"/>
      <c r="D90" s="129"/>
      <c r="E90" s="129"/>
      <c r="F90" s="129"/>
      <c r="G90" s="129"/>
      <c r="H90" s="129"/>
      <c r="I90" s="129"/>
      <c r="J90" s="129"/>
      <c r="K90" s="129"/>
      <c r="L90" s="129"/>
      <c r="M90" s="129"/>
      <c r="N90" s="73"/>
      <c r="O90" s="73"/>
      <c r="P90" s="73"/>
      <c r="Q90" s="73"/>
      <c r="R90" s="73"/>
      <c r="S90" s="73"/>
      <c r="T90" s="73"/>
      <c r="U90" s="73"/>
      <c r="V90" s="73"/>
      <c r="W90" s="73"/>
      <c r="X90" s="73"/>
      <c r="Y90" s="73"/>
      <c r="Z90" s="73"/>
      <c r="AA90" s="73"/>
      <c r="AB90" s="65"/>
      <c r="AC90" s="65"/>
      <c r="AD90" s="73"/>
      <c r="AE90" s="73"/>
      <c r="AF90" s="73"/>
      <c r="AG90" s="73"/>
      <c r="AH90" s="73"/>
      <c r="AI90" s="73"/>
      <c r="AJ90" s="73"/>
      <c r="AK90" s="73"/>
      <c r="AL90" s="73"/>
      <c r="AM90" s="73"/>
      <c r="AN90" s="73"/>
      <c r="AO90" s="73"/>
      <c r="AP90" s="73"/>
      <c r="AQ90" s="73"/>
      <c r="AR90" s="65"/>
      <c r="AS90" s="65"/>
    </row>
    <row r="91" spans="2:45" s="26" customFormat="1" ht="13.5" customHeight="1">
      <c r="B91" s="82"/>
      <c r="C91" s="183"/>
      <c r="D91" s="129"/>
      <c r="E91" s="129"/>
      <c r="F91" s="129"/>
      <c r="G91" s="129"/>
      <c r="H91" s="129"/>
      <c r="I91" s="129"/>
      <c r="J91" s="129"/>
      <c r="K91" s="129"/>
      <c r="L91" s="129"/>
      <c r="M91" s="129"/>
      <c r="N91" s="73"/>
      <c r="O91" s="73"/>
      <c r="P91" s="73"/>
      <c r="Q91" s="73"/>
      <c r="R91" s="73"/>
      <c r="S91" s="73"/>
      <c r="T91" s="73"/>
      <c r="U91" s="73"/>
      <c r="V91" s="73"/>
      <c r="W91" s="73"/>
      <c r="X91" s="73"/>
      <c r="Y91" s="73"/>
      <c r="Z91" s="73"/>
      <c r="AA91" s="73"/>
      <c r="AB91" s="65"/>
      <c r="AC91" s="65"/>
      <c r="AD91" s="73"/>
      <c r="AE91" s="73"/>
      <c r="AF91" s="73"/>
      <c r="AG91" s="73"/>
      <c r="AH91" s="73"/>
      <c r="AI91" s="73"/>
      <c r="AJ91" s="73"/>
      <c r="AK91" s="73"/>
      <c r="AL91" s="73"/>
      <c r="AM91" s="73"/>
      <c r="AN91" s="73"/>
      <c r="AO91" s="73"/>
      <c r="AP91" s="73"/>
      <c r="AQ91" s="73"/>
      <c r="AR91" s="65"/>
      <c r="AS91" s="65"/>
    </row>
    <row r="92" spans="2:45" s="26" customFormat="1" ht="13.5" customHeight="1">
      <c r="B92" s="82"/>
      <c r="C92" s="183"/>
      <c r="D92" s="129"/>
      <c r="E92" s="129"/>
      <c r="F92" s="129"/>
      <c r="G92" s="129"/>
      <c r="H92" s="129"/>
      <c r="I92" s="129"/>
      <c r="J92" s="129"/>
      <c r="K92" s="129"/>
      <c r="L92" s="129"/>
      <c r="M92" s="129"/>
      <c r="N92" s="73"/>
      <c r="O92" s="73"/>
      <c r="P92" s="73"/>
      <c r="Q92" s="73"/>
      <c r="R92" s="73"/>
      <c r="S92" s="73"/>
      <c r="T92" s="73"/>
      <c r="U92" s="73"/>
      <c r="V92" s="73"/>
      <c r="W92" s="73"/>
      <c r="X92" s="73"/>
      <c r="Y92" s="73"/>
      <c r="Z92" s="73"/>
      <c r="AA92" s="73"/>
      <c r="AB92" s="65"/>
      <c r="AC92" s="65"/>
      <c r="AD92" s="73"/>
      <c r="AE92" s="73"/>
      <c r="AF92" s="73"/>
      <c r="AG92" s="73"/>
      <c r="AH92" s="73"/>
      <c r="AI92" s="73"/>
      <c r="AJ92" s="73"/>
      <c r="AK92" s="73"/>
      <c r="AL92" s="73"/>
      <c r="AM92" s="73"/>
      <c r="AN92" s="73"/>
      <c r="AO92" s="73"/>
      <c r="AP92" s="73"/>
      <c r="AQ92" s="73"/>
      <c r="AR92" s="65"/>
      <c r="AS92" s="65"/>
    </row>
    <row r="93" spans="2:45" s="26" customFormat="1" ht="13.5" customHeight="1">
      <c r="B93" s="82"/>
      <c r="C93" s="183"/>
      <c r="D93" s="129"/>
      <c r="E93" s="129"/>
      <c r="F93" s="129"/>
      <c r="G93" s="129"/>
      <c r="H93" s="129"/>
      <c r="I93" s="129"/>
      <c r="J93" s="129"/>
      <c r="K93" s="129"/>
      <c r="L93" s="129"/>
      <c r="M93" s="129"/>
      <c r="N93" s="73"/>
      <c r="O93" s="73"/>
      <c r="P93" s="73"/>
      <c r="Q93" s="73"/>
      <c r="R93" s="73"/>
      <c r="S93" s="73"/>
      <c r="T93" s="73"/>
      <c r="U93" s="73"/>
      <c r="V93" s="73"/>
      <c r="W93" s="73"/>
      <c r="X93" s="73"/>
      <c r="Y93" s="73"/>
      <c r="Z93" s="73"/>
      <c r="AA93" s="73"/>
      <c r="AB93" s="65"/>
      <c r="AC93" s="65"/>
      <c r="AD93" s="73"/>
      <c r="AE93" s="73"/>
      <c r="AF93" s="73"/>
      <c r="AG93" s="73"/>
      <c r="AH93" s="73"/>
      <c r="AI93" s="73"/>
      <c r="AJ93" s="73"/>
      <c r="AK93" s="73"/>
      <c r="AL93" s="73"/>
      <c r="AM93" s="73"/>
      <c r="AN93" s="73"/>
      <c r="AO93" s="73"/>
      <c r="AP93" s="73"/>
      <c r="AQ93" s="73"/>
      <c r="AR93" s="65"/>
      <c r="AS93" s="65"/>
    </row>
    <row r="94" spans="2:45" s="26" customFormat="1" ht="13.5" customHeight="1">
      <c r="B94" s="82"/>
      <c r="C94" s="183"/>
      <c r="D94" s="129"/>
      <c r="E94" s="129"/>
      <c r="F94" s="129"/>
      <c r="G94" s="129"/>
      <c r="H94" s="129"/>
      <c r="I94" s="129"/>
      <c r="J94" s="129"/>
      <c r="K94" s="129"/>
      <c r="L94" s="129"/>
      <c r="M94" s="129"/>
      <c r="N94" s="73"/>
      <c r="O94" s="73"/>
      <c r="P94" s="73"/>
      <c r="Q94" s="73"/>
      <c r="R94" s="73"/>
      <c r="S94" s="73"/>
      <c r="T94" s="73"/>
      <c r="U94" s="73"/>
      <c r="V94" s="73"/>
      <c r="W94" s="73"/>
      <c r="X94" s="73"/>
      <c r="Y94" s="73"/>
      <c r="Z94" s="73"/>
      <c r="AA94" s="73"/>
      <c r="AB94" s="65"/>
      <c r="AC94" s="65"/>
      <c r="AD94" s="73"/>
      <c r="AE94" s="73"/>
      <c r="AF94" s="73"/>
      <c r="AG94" s="73"/>
      <c r="AH94" s="73"/>
      <c r="AI94" s="73"/>
      <c r="AJ94" s="73"/>
      <c r="AK94" s="73"/>
      <c r="AL94" s="73"/>
      <c r="AM94" s="73"/>
      <c r="AN94" s="73"/>
      <c r="AO94" s="73"/>
      <c r="AP94" s="73"/>
      <c r="AQ94" s="73"/>
      <c r="AR94" s="65"/>
      <c r="AS94" s="65"/>
    </row>
    <row r="95" spans="2:45" s="26" customFormat="1" ht="13.5" customHeight="1">
      <c r="B95" s="82"/>
      <c r="C95" s="183"/>
      <c r="D95" s="129"/>
      <c r="E95" s="129"/>
      <c r="F95" s="129"/>
      <c r="G95" s="129"/>
      <c r="H95" s="129"/>
      <c r="I95" s="129"/>
      <c r="J95" s="129"/>
      <c r="K95" s="129"/>
      <c r="L95" s="129"/>
      <c r="M95" s="129"/>
      <c r="N95" s="73"/>
      <c r="O95" s="73"/>
      <c r="P95" s="73"/>
      <c r="Q95" s="73"/>
      <c r="R95" s="73"/>
      <c r="S95" s="73"/>
      <c r="T95" s="73"/>
      <c r="U95" s="73"/>
      <c r="V95" s="73"/>
      <c r="W95" s="73"/>
      <c r="X95" s="73"/>
      <c r="Y95" s="73"/>
      <c r="Z95" s="73"/>
      <c r="AA95" s="73"/>
      <c r="AB95" s="65"/>
      <c r="AC95" s="65"/>
      <c r="AD95" s="73"/>
      <c r="AE95" s="73"/>
      <c r="AF95" s="73"/>
      <c r="AG95" s="73"/>
      <c r="AH95" s="73"/>
      <c r="AI95" s="73"/>
      <c r="AJ95" s="73"/>
      <c r="AK95" s="73"/>
      <c r="AL95" s="73"/>
      <c r="AM95" s="73"/>
      <c r="AN95" s="73"/>
      <c r="AO95" s="73"/>
      <c r="AP95" s="73"/>
      <c r="AQ95" s="73"/>
      <c r="AR95" s="65"/>
      <c r="AS95" s="65"/>
    </row>
    <row r="96" spans="2:45" s="26" customFormat="1" ht="13.5" customHeight="1">
      <c r="B96" s="82"/>
      <c r="C96" s="183"/>
      <c r="D96" s="129"/>
      <c r="E96" s="129"/>
      <c r="F96" s="129"/>
      <c r="G96" s="129"/>
      <c r="H96" s="129"/>
      <c r="I96" s="129"/>
      <c r="J96" s="129"/>
      <c r="K96" s="129"/>
      <c r="L96" s="129"/>
      <c r="M96" s="129"/>
      <c r="N96" s="73"/>
      <c r="O96" s="73"/>
      <c r="P96" s="73"/>
      <c r="Q96" s="73"/>
      <c r="R96" s="73"/>
      <c r="S96" s="73"/>
      <c r="T96" s="73"/>
      <c r="U96" s="73"/>
      <c r="V96" s="73"/>
      <c r="W96" s="73"/>
      <c r="X96" s="73"/>
      <c r="Y96" s="73"/>
      <c r="Z96" s="73"/>
      <c r="AA96" s="73"/>
      <c r="AB96" s="65"/>
      <c r="AC96" s="65"/>
      <c r="AD96" s="73"/>
      <c r="AE96" s="73"/>
      <c r="AF96" s="73"/>
      <c r="AG96" s="73"/>
      <c r="AH96" s="73"/>
      <c r="AI96" s="73"/>
      <c r="AJ96" s="73"/>
      <c r="AK96" s="73"/>
      <c r="AL96" s="73"/>
      <c r="AM96" s="73"/>
      <c r="AN96" s="73"/>
      <c r="AO96" s="73"/>
      <c r="AP96" s="73"/>
      <c r="AQ96" s="73"/>
      <c r="AR96" s="65"/>
      <c r="AS96" s="65"/>
    </row>
    <row r="97" spans="2:45" s="26" customFormat="1" ht="13.5" customHeight="1">
      <c r="B97" s="82"/>
      <c r="C97" s="183"/>
      <c r="D97" s="129"/>
      <c r="E97" s="129"/>
      <c r="F97" s="129"/>
      <c r="G97" s="129"/>
      <c r="H97" s="129"/>
      <c r="I97" s="129"/>
      <c r="J97" s="129"/>
      <c r="K97" s="129"/>
      <c r="L97" s="129"/>
      <c r="M97" s="129"/>
      <c r="N97" s="73"/>
      <c r="O97" s="73"/>
      <c r="P97" s="73"/>
      <c r="Q97" s="73"/>
      <c r="R97" s="73"/>
      <c r="S97" s="73"/>
      <c r="T97" s="73"/>
      <c r="U97" s="73"/>
      <c r="V97" s="73"/>
      <c r="W97" s="73"/>
      <c r="X97" s="73"/>
      <c r="Y97" s="73"/>
      <c r="Z97" s="73"/>
      <c r="AA97" s="73"/>
      <c r="AB97" s="65"/>
      <c r="AC97" s="65"/>
      <c r="AD97" s="73"/>
      <c r="AE97" s="73"/>
      <c r="AF97" s="73"/>
      <c r="AG97" s="73"/>
      <c r="AH97" s="73"/>
      <c r="AI97" s="73"/>
      <c r="AJ97" s="73"/>
      <c r="AK97" s="73"/>
      <c r="AL97" s="73"/>
      <c r="AM97" s="73"/>
      <c r="AN97" s="73"/>
      <c r="AO97" s="73"/>
      <c r="AP97" s="73"/>
      <c r="AQ97" s="73"/>
      <c r="AR97" s="65"/>
      <c r="AS97" s="65"/>
    </row>
    <row r="98" spans="2:45" s="26" customFormat="1" ht="13.5" customHeight="1">
      <c r="B98" s="82"/>
      <c r="C98" s="183"/>
      <c r="D98" s="129"/>
      <c r="E98" s="129"/>
      <c r="F98" s="129"/>
      <c r="G98" s="129"/>
      <c r="H98" s="129"/>
      <c r="I98" s="129"/>
      <c r="J98" s="129"/>
      <c r="K98" s="129"/>
      <c r="L98" s="129"/>
      <c r="M98" s="129"/>
      <c r="N98" s="73"/>
      <c r="O98" s="73"/>
      <c r="P98" s="73"/>
      <c r="Q98" s="73"/>
      <c r="R98" s="73"/>
      <c r="S98" s="73"/>
      <c r="T98" s="73"/>
      <c r="U98" s="73"/>
      <c r="V98" s="73"/>
      <c r="W98" s="73"/>
      <c r="X98" s="73"/>
      <c r="Y98" s="73"/>
      <c r="Z98" s="73"/>
      <c r="AA98" s="73"/>
      <c r="AB98" s="65"/>
      <c r="AC98" s="65"/>
      <c r="AD98" s="73"/>
      <c r="AE98" s="73"/>
      <c r="AF98" s="73"/>
      <c r="AG98" s="73"/>
      <c r="AH98" s="73"/>
      <c r="AI98" s="73"/>
      <c r="AJ98" s="73"/>
      <c r="AK98" s="73"/>
      <c r="AL98" s="73"/>
      <c r="AM98" s="73"/>
      <c r="AN98" s="73"/>
      <c r="AO98" s="73"/>
      <c r="AP98" s="73"/>
      <c r="AQ98" s="73"/>
      <c r="AR98" s="65"/>
      <c r="AS98" s="65"/>
    </row>
    <row r="99" spans="2:45" s="26" customFormat="1" ht="13.5" customHeight="1">
      <c r="B99" s="82"/>
      <c r="C99" s="183"/>
      <c r="D99" s="129"/>
      <c r="E99" s="129"/>
      <c r="F99" s="129"/>
      <c r="G99" s="129"/>
      <c r="H99" s="129"/>
      <c r="I99" s="129"/>
      <c r="J99" s="129"/>
      <c r="K99" s="129"/>
      <c r="L99" s="129"/>
      <c r="M99" s="129"/>
      <c r="N99" s="73"/>
      <c r="O99" s="73"/>
      <c r="P99" s="73"/>
      <c r="Q99" s="73"/>
      <c r="R99" s="73"/>
      <c r="S99" s="73"/>
      <c r="T99" s="73"/>
      <c r="U99" s="73"/>
      <c r="V99" s="73"/>
      <c r="W99" s="73"/>
      <c r="X99" s="73"/>
      <c r="Y99" s="73"/>
      <c r="Z99" s="73"/>
      <c r="AA99" s="73"/>
      <c r="AB99" s="65"/>
      <c r="AC99" s="65"/>
      <c r="AD99" s="73"/>
      <c r="AE99" s="73"/>
      <c r="AF99" s="73"/>
      <c r="AG99" s="73"/>
      <c r="AH99" s="73"/>
      <c r="AI99" s="73"/>
      <c r="AJ99" s="73"/>
      <c r="AK99" s="73"/>
      <c r="AL99" s="73"/>
      <c r="AM99" s="73"/>
      <c r="AN99" s="73"/>
      <c r="AO99" s="73"/>
      <c r="AP99" s="73"/>
      <c r="AQ99" s="73"/>
      <c r="AR99" s="65"/>
      <c r="AS99" s="65"/>
    </row>
    <row r="100" spans="2:45" s="26" customFormat="1" ht="13.5" customHeight="1">
      <c r="B100" s="82"/>
      <c r="C100" s="183"/>
      <c r="D100" s="129"/>
      <c r="E100" s="129"/>
      <c r="F100" s="129"/>
      <c r="G100" s="129"/>
      <c r="H100" s="129"/>
      <c r="I100" s="129"/>
      <c r="J100" s="129"/>
      <c r="K100" s="129"/>
      <c r="L100" s="129"/>
      <c r="M100" s="129"/>
      <c r="N100" s="73"/>
      <c r="O100" s="73"/>
      <c r="P100" s="73"/>
      <c r="Q100" s="73"/>
      <c r="R100" s="73"/>
      <c r="S100" s="73"/>
      <c r="T100" s="73"/>
      <c r="U100" s="73"/>
      <c r="V100" s="73"/>
      <c r="W100" s="73"/>
      <c r="X100" s="73"/>
      <c r="Y100" s="73"/>
      <c r="Z100" s="73"/>
      <c r="AA100" s="73"/>
      <c r="AB100" s="65"/>
      <c r="AC100" s="65"/>
      <c r="AD100" s="73"/>
      <c r="AE100" s="73"/>
      <c r="AF100" s="73"/>
      <c r="AG100" s="73"/>
      <c r="AH100" s="73"/>
      <c r="AI100" s="73"/>
      <c r="AJ100" s="73"/>
      <c r="AK100" s="73"/>
      <c r="AL100" s="73"/>
      <c r="AM100" s="73"/>
      <c r="AN100" s="73"/>
      <c r="AO100" s="73"/>
      <c r="AP100" s="73"/>
      <c r="AQ100" s="73"/>
      <c r="AR100" s="65"/>
      <c r="AS100" s="65"/>
    </row>
    <row r="101" spans="2:45" s="26" customFormat="1" ht="13.5" customHeight="1">
      <c r="B101" s="82"/>
      <c r="C101" s="183"/>
      <c r="D101" s="129"/>
      <c r="E101" s="129"/>
      <c r="F101" s="129"/>
      <c r="G101" s="129"/>
      <c r="H101" s="129"/>
      <c r="I101" s="129"/>
      <c r="J101" s="129"/>
      <c r="K101" s="129"/>
      <c r="L101" s="129"/>
      <c r="M101" s="129"/>
      <c r="N101" s="73"/>
      <c r="O101" s="73"/>
      <c r="P101" s="73"/>
      <c r="Q101" s="73"/>
      <c r="R101" s="73"/>
      <c r="S101" s="73"/>
      <c r="T101" s="73"/>
      <c r="U101" s="73"/>
      <c r="V101" s="73"/>
      <c r="W101" s="73"/>
      <c r="X101" s="73"/>
      <c r="Y101" s="73"/>
      <c r="Z101" s="73"/>
      <c r="AA101" s="73"/>
      <c r="AB101" s="65"/>
      <c r="AC101" s="65"/>
      <c r="AD101" s="73"/>
      <c r="AE101" s="73"/>
      <c r="AF101" s="73"/>
      <c r="AG101" s="73"/>
      <c r="AH101" s="73"/>
      <c r="AI101" s="73"/>
      <c r="AJ101" s="73"/>
      <c r="AK101" s="73"/>
      <c r="AL101" s="73"/>
      <c r="AM101" s="73"/>
      <c r="AN101" s="73"/>
      <c r="AO101" s="73"/>
      <c r="AP101" s="73"/>
      <c r="AQ101" s="73"/>
      <c r="AR101" s="65"/>
      <c r="AS101" s="65"/>
    </row>
    <row r="102" spans="2:45" s="26" customFormat="1" ht="13.5" customHeight="1">
      <c r="B102" s="82"/>
      <c r="C102" s="183"/>
      <c r="D102" s="129"/>
      <c r="E102" s="129"/>
      <c r="F102" s="129"/>
      <c r="G102" s="129"/>
      <c r="H102" s="129"/>
      <c r="I102" s="129"/>
      <c r="J102" s="129"/>
      <c r="K102" s="129"/>
      <c r="L102" s="129"/>
      <c r="M102" s="129"/>
      <c r="N102" s="73"/>
      <c r="O102" s="73"/>
      <c r="P102" s="73"/>
      <c r="Q102" s="73"/>
      <c r="R102" s="73"/>
      <c r="S102" s="73"/>
      <c r="T102" s="73"/>
      <c r="U102" s="73"/>
      <c r="V102" s="73"/>
      <c r="W102" s="73"/>
      <c r="X102" s="73"/>
      <c r="Y102" s="73"/>
      <c r="Z102" s="73"/>
      <c r="AA102" s="73"/>
      <c r="AB102" s="65"/>
      <c r="AC102" s="65"/>
      <c r="AD102" s="73"/>
      <c r="AE102" s="73"/>
      <c r="AF102" s="73"/>
      <c r="AG102" s="73"/>
      <c r="AH102" s="73"/>
      <c r="AI102" s="73"/>
      <c r="AJ102" s="73"/>
      <c r="AK102" s="73"/>
      <c r="AL102" s="73"/>
      <c r="AM102" s="73"/>
      <c r="AN102" s="73"/>
      <c r="AO102" s="73"/>
      <c r="AP102" s="73"/>
      <c r="AQ102" s="73"/>
      <c r="AR102" s="65"/>
      <c r="AS102" s="65"/>
    </row>
    <row r="103" spans="2:45" s="26" customFormat="1" ht="13.5" customHeight="1">
      <c r="B103" s="82"/>
      <c r="C103" s="183"/>
      <c r="D103" s="129"/>
      <c r="E103" s="129"/>
      <c r="F103" s="129"/>
      <c r="G103" s="129"/>
      <c r="H103" s="129"/>
      <c r="I103" s="129"/>
      <c r="J103" s="129"/>
      <c r="K103" s="129"/>
      <c r="L103" s="129"/>
      <c r="M103" s="129"/>
      <c r="N103" s="73"/>
      <c r="O103" s="73"/>
      <c r="P103" s="73"/>
      <c r="Q103" s="73"/>
      <c r="R103" s="73"/>
      <c r="S103" s="73"/>
      <c r="T103" s="73"/>
      <c r="U103" s="73"/>
      <c r="V103" s="73"/>
      <c r="W103" s="73"/>
      <c r="X103" s="73"/>
      <c r="Y103" s="73"/>
      <c r="Z103" s="73"/>
      <c r="AA103" s="73"/>
      <c r="AB103" s="65"/>
      <c r="AC103" s="65"/>
      <c r="AD103" s="73"/>
      <c r="AE103" s="73"/>
      <c r="AF103" s="73"/>
      <c r="AG103" s="73"/>
      <c r="AH103" s="73"/>
      <c r="AI103" s="73"/>
      <c r="AJ103" s="73"/>
      <c r="AK103" s="73"/>
      <c r="AL103" s="73"/>
      <c r="AM103" s="73"/>
      <c r="AN103" s="73"/>
      <c r="AO103" s="73"/>
      <c r="AP103" s="73"/>
      <c r="AQ103" s="73"/>
      <c r="AR103" s="65"/>
      <c r="AS103" s="65"/>
    </row>
    <row r="104" spans="2:45" s="26" customFormat="1" ht="13.5" customHeight="1">
      <c r="B104" s="82"/>
      <c r="C104" s="183"/>
      <c r="D104" s="129"/>
      <c r="E104" s="129"/>
      <c r="F104" s="129"/>
      <c r="G104" s="129"/>
      <c r="H104" s="129"/>
      <c r="I104" s="129"/>
      <c r="J104" s="129"/>
      <c r="K104" s="129"/>
      <c r="L104" s="129"/>
      <c r="M104" s="129"/>
      <c r="N104" s="73"/>
      <c r="O104" s="73"/>
      <c r="P104" s="73"/>
      <c r="Q104" s="73"/>
      <c r="R104" s="73"/>
      <c r="S104" s="73"/>
      <c r="T104" s="73"/>
      <c r="U104" s="73"/>
      <c r="V104" s="73"/>
      <c r="W104" s="73"/>
      <c r="X104" s="73"/>
      <c r="Y104" s="73"/>
      <c r="Z104" s="73"/>
      <c r="AA104" s="73"/>
      <c r="AB104" s="65"/>
      <c r="AC104" s="65"/>
      <c r="AD104" s="73"/>
      <c r="AE104" s="73"/>
      <c r="AF104" s="73"/>
      <c r="AG104" s="73"/>
      <c r="AH104" s="73"/>
      <c r="AI104" s="73"/>
      <c r="AJ104" s="73"/>
      <c r="AK104" s="73"/>
      <c r="AL104" s="73"/>
      <c r="AM104" s="73"/>
      <c r="AN104" s="73"/>
      <c r="AO104" s="73"/>
      <c r="AP104" s="73"/>
      <c r="AQ104" s="73"/>
      <c r="AR104" s="65"/>
      <c r="AS104" s="65"/>
    </row>
    <row r="105" spans="2:45" s="26" customFormat="1" ht="13.5" customHeight="1">
      <c r="B105" s="82"/>
      <c r="C105" s="183"/>
      <c r="D105" s="129"/>
      <c r="E105" s="129"/>
      <c r="F105" s="129"/>
      <c r="G105" s="129"/>
      <c r="H105" s="129"/>
      <c r="I105" s="129"/>
      <c r="J105" s="129"/>
      <c r="K105" s="129"/>
      <c r="L105" s="129"/>
      <c r="M105" s="129"/>
      <c r="N105" s="73"/>
      <c r="O105" s="73"/>
      <c r="P105" s="73"/>
      <c r="Q105" s="73"/>
      <c r="R105" s="73"/>
      <c r="S105" s="73"/>
      <c r="T105" s="73"/>
      <c r="U105" s="73"/>
      <c r="V105" s="73"/>
      <c r="W105" s="73"/>
      <c r="X105" s="73"/>
      <c r="Y105" s="73"/>
      <c r="Z105" s="73"/>
      <c r="AA105" s="73"/>
      <c r="AB105" s="65"/>
      <c r="AC105" s="65"/>
      <c r="AD105" s="73"/>
      <c r="AE105" s="73"/>
      <c r="AF105" s="73"/>
      <c r="AG105" s="73"/>
      <c r="AH105" s="73"/>
      <c r="AI105" s="73"/>
      <c r="AJ105" s="73"/>
      <c r="AK105" s="73"/>
      <c r="AL105" s="73"/>
      <c r="AM105" s="73"/>
      <c r="AN105" s="73"/>
      <c r="AO105" s="73"/>
      <c r="AP105" s="73"/>
      <c r="AQ105" s="73"/>
      <c r="AR105" s="65"/>
      <c r="AS105" s="65"/>
    </row>
    <row r="106" spans="2:45" s="26" customFormat="1" ht="13.5" customHeight="1">
      <c r="B106" s="82"/>
      <c r="C106" s="183"/>
      <c r="D106" s="129"/>
      <c r="E106" s="129"/>
      <c r="F106" s="129"/>
      <c r="G106" s="129"/>
      <c r="H106" s="129"/>
      <c r="I106" s="129"/>
      <c r="J106" s="129"/>
      <c r="K106" s="129"/>
      <c r="L106" s="129"/>
      <c r="M106" s="129"/>
      <c r="N106" s="73"/>
      <c r="O106" s="73"/>
      <c r="P106" s="73"/>
      <c r="Q106" s="73"/>
      <c r="R106" s="73"/>
      <c r="S106" s="73"/>
      <c r="T106" s="73"/>
      <c r="U106" s="73"/>
      <c r="V106" s="73"/>
      <c r="W106" s="73"/>
      <c r="X106" s="73"/>
      <c r="Y106" s="73"/>
      <c r="Z106" s="73"/>
      <c r="AA106" s="73"/>
      <c r="AB106" s="65"/>
      <c r="AC106" s="65"/>
      <c r="AD106" s="73"/>
      <c r="AE106" s="73"/>
      <c r="AF106" s="73"/>
      <c r="AG106" s="73"/>
      <c r="AH106" s="73"/>
      <c r="AI106" s="73"/>
      <c r="AJ106" s="73"/>
      <c r="AK106" s="73"/>
      <c r="AL106" s="73"/>
      <c r="AM106" s="73"/>
      <c r="AN106" s="73"/>
      <c r="AO106" s="73"/>
      <c r="AP106" s="73"/>
      <c r="AQ106" s="73"/>
      <c r="AR106" s="65"/>
      <c r="AS106" s="65"/>
    </row>
    <row r="107" spans="2:45" s="26" customFormat="1" ht="13.5" customHeight="1">
      <c r="B107" s="82"/>
      <c r="C107" s="183"/>
      <c r="D107" s="129"/>
      <c r="E107" s="129"/>
      <c r="F107" s="129"/>
      <c r="G107" s="129"/>
      <c r="H107" s="129"/>
      <c r="I107" s="129"/>
      <c r="J107" s="129"/>
      <c r="K107" s="129"/>
      <c r="L107" s="129"/>
      <c r="M107" s="129"/>
      <c r="N107" s="73"/>
      <c r="O107" s="73"/>
      <c r="P107" s="73"/>
      <c r="Q107" s="73"/>
      <c r="R107" s="73"/>
      <c r="S107" s="73"/>
      <c r="T107" s="73"/>
      <c r="U107" s="73"/>
      <c r="V107" s="73"/>
      <c r="W107" s="73"/>
      <c r="X107" s="73"/>
      <c r="Y107" s="73"/>
      <c r="Z107" s="73"/>
      <c r="AA107" s="73"/>
      <c r="AB107" s="65"/>
      <c r="AC107" s="65"/>
      <c r="AD107" s="73"/>
      <c r="AE107" s="73"/>
      <c r="AF107" s="73"/>
      <c r="AG107" s="73"/>
      <c r="AH107" s="73"/>
      <c r="AI107" s="73"/>
      <c r="AJ107" s="73"/>
      <c r="AK107" s="73"/>
      <c r="AL107" s="73"/>
      <c r="AM107" s="73"/>
      <c r="AN107" s="73"/>
      <c r="AO107" s="73"/>
      <c r="AP107" s="73"/>
      <c r="AQ107" s="73"/>
      <c r="AR107" s="65"/>
      <c r="AS107" s="65"/>
    </row>
    <row r="108" spans="2:45" s="26" customFormat="1" ht="13.5" customHeight="1">
      <c r="B108" s="82"/>
      <c r="C108" s="183"/>
      <c r="D108" s="129"/>
      <c r="E108" s="129"/>
      <c r="F108" s="129"/>
      <c r="G108" s="129"/>
      <c r="H108" s="129"/>
      <c r="I108" s="129"/>
      <c r="J108" s="129"/>
      <c r="K108" s="129"/>
      <c r="L108" s="129"/>
      <c r="M108" s="129"/>
      <c r="N108" s="73"/>
      <c r="O108" s="73"/>
      <c r="P108" s="73"/>
      <c r="Q108" s="73"/>
      <c r="R108" s="73"/>
      <c r="S108" s="73"/>
      <c r="T108" s="73"/>
      <c r="U108" s="73"/>
      <c r="V108" s="73"/>
      <c r="W108" s="73"/>
      <c r="X108" s="73"/>
      <c r="Y108" s="73"/>
      <c r="Z108" s="73"/>
      <c r="AA108" s="73"/>
      <c r="AB108" s="65"/>
      <c r="AC108" s="65"/>
      <c r="AD108" s="73"/>
      <c r="AE108" s="73"/>
      <c r="AF108" s="73"/>
      <c r="AG108" s="73"/>
      <c r="AH108" s="73"/>
      <c r="AI108" s="73"/>
      <c r="AJ108" s="73"/>
      <c r="AK108" s="73"/>
      <c r="AL108" s="73"/>
      <c r="AM108" s="73"/>
      <c r="AN108" s="73"/>
      <c r="AO108" s="73"/>
      <c r="AP108" s="73"/>
      <c r="AQ108" s="73"/>
      <c r="AR108" s="65"/>
      <c r="AS108" s="65"/>
    </row>
    <row r="109" spans="2:45" s="26" customFormat="1" ht="13.5" customHeight="1">
      <c r="B109" s="82"/>
      <c r="C109" s="183"/>
      <c r="D109" s="129"/>
      <c r="E109" s="129"/>
      <c r="F109" s="129"/>
      <c r="G109" s="129"/>
      <c r="H109" s="129"/>
      <c r="I109" s="129"/>
      <c r="J109" s="129"/>
      <c r="K109" s="129"/>
      <c r="L109" s="129"/>
      <c r="M109" s="129"/>
      <c r="N109" s="73"/>
      <c r="O109" s="73"/>
      <c r="P109" s="73"/>
      <c r="Q109" s="73"/>
      <c r="R109" s="73"/>
      <c r="S109" s="73"/>
      <c r="T109" s="73"/>
      <c r="U109" s="73"/>
      <c r="V109" s="73"/>
      <c r="W109" s="73"/>
      <c r="X109" s="73"/>
      <c r="Y109" s="73"/>
      <c r="Z109" s="73"/>
      <c r="AA109" s="73"/>
      <c r="AB109" s="65"/>
      <c r="AC109" s="65"/>
      <c r="AD109" s="73"/>
      <c r="AE109" s="73"/>
      <c r="AF109" s="73"/>
      <c r="AG109" s="73"/>
      <c r="AH109" s="73"/>
      <c r="AI109" s="73"/>
      <c r="AJ109" s="73"/>
      <c r="AK109" s="73"/>
      <c r="AL109" s="73"/>
      <c r="AM109" s="73"/>
      <c r="AN109" s="73"/>
      <c r="AO109" s="73"/>
      <c r="AP109" s="73"/>
      <c r="AQ109" s="73"/>
      <c r="AR109" s="65"/>
      <c r="AS109" s="65"/>
    </row>
    <row r="110" spans="2:45" s="26" customFormat="1" ht="13.5" customHeight="1">
      <c r="B110" s="82"/>
      <c r="C110" s="183"/>
      <c r="D110" s="129"/>
      <c r="E110" s="129"/>
      <c r="F110" s="129"/>
      <c r="G110" s="129"/>
      <c r="H110" s="129"/>
      <c r="I110" s="129"/>
      <c r="J110" s="129"/>
      <c r="K110" s="129"/>
      <c r="L110" s="129"/>
      <c r="M110" s="129"/>
      <c r="N110" s="73"/>
      <c r="O110" s="73"/>
      <c r="P110" s="73"/>
      <c r="Q110" s="73"/>
      <c r="R110" s="73"/>
      <c r="S110" s="73"/>
      <c r="T110" s="73"/>
      <c r="U110" s="73"/>
      <c r="V110" s="73"/>
      <c r="W110" s="73"/>
      <c r="X110" s="73"/>
      <c r="Y110" s="73"/>
      <c r="Z110" s="73"/>
      <c r="AA110" s="73"/>
      <c r="AB110" s="65"/>
      <c r="AC110" s="65"/>
      <c r="AD110" s="73"/>
      <c r="AE110" s="73"/>
      <c r="AF110" s="73"/>
      <c r="AG110" s="73"/>
      <c r="AH110" s="73"/>
      <c r="AI110" s="73"/>
      <c r="AJ110" s="73"/>
      <c r="AK110" s="73"/>
      <c r="AL110" s="73"/>
      <c r="AM110" s="73"/>
      <c r="AN110" s="73"/>
      <c r="AO110" s="73"/>
      <c r="AP110" s="73"/>
      <c r="AQ110" s="73"/>
      <c r="AR110" s="65"/>
      <c r="AS110" s="65"/>
    </row>
    <row r="111" spans="2:45" s="26" customFormat="1" ht="13.5" customHeight="1">
      <c r="B111" s="82"/>
      <c r="C111" s="183"/>
      <c r="D111" s="129"/>
      <c r="E111" s="129"/>
      <c r="F111" s="129"/>
      <c r="G111" s="129"/>
      <c r="H111" s="129"/>
      <c r="I111" s="129"/>
      <c r="J111" s="129"/>
      <c r="K111" s="129"/>
      <c r="L111" s="129"/>
      <c r="M111" s="129"/>
      <c r="N111" s="73"/>
      <c r="O111" s="73"/>
      <c r="P111" s="73"/>
      <c r="Q111" s="73"/>
      <c r="R111" s="73"/>
      <c r="S111" s="73"/>
      <c r="T111" s="73"/>
      <c r="U111" s="73"/>
      <c r="V111" s="73"/>
      <c r="W111" s="73"/>
      <c r="X111" s="73"/>
      <c r="Y111" s="73"/>
      <c r="Z111" s="73"/>
      <c r="AA111" s="73"/>
      <c r="AB111" s="65"/>
      <c r="AC111" s="65"/>
      <c r="AD111" s="73"/>
      <c r="AE111" s="73"/>
      <c r="AF111" s="73"/>
      <c r="AG111" s="73"/>
      <c r="AH111" s="73"/>
      <c r="AI111" s="73"/>
      <c r="AJ111" s="73"/>
      <c r="AK111" s="73"/>
      <c r="AL111" s="73"/>
      <c r="AM111" s="73"/>
      <c r="AN111" s="73"/>
      <c r="AO111" s="73"/>
      <c r="AP111" s="73"/>
      <c r="AQ111" s="73"/>
      <c r="AR111" s="65"/>
      <c r="AS111" s="65"/>
    </row>
    <row r="112" spans="2:45" s="26" customFormat="1" ht="13.5" customHeight="1"/>
    <row r="113" spans="4:4" ht="13.5" customHeight="1">
      <c r="D113" s="31"/>
    </row>
    <row r="114" spans="4:4" ht="13.5" customHeight="1"/>
    <row r="115" spans="4:4" ht="13.5" customHeight="1"/>
    <row r="116" spans="4:4" ht="13.5" customHeight="1"/>
    <row r="117" spans="4:4" ht="13.5" customHeight="1"/>
    <row r="118" spans="4:4" ht="13.5" customHeight="1"/>
    <row r="119" spans="4:4" ht="13.5" customHeight="1"/>
    <row r="120" spans="4:4" ht="13.5" customHeight="1"/>
    <row r="121" spans="4:4" ht="13.5" customHeight="1"/>
    <row r="122" spans="4:4" ht="13.5" customHeight="1"/>
    <row r="123" spans="4:4" ht="13.5" customHeight="1"/>
    <row r="124" spans="4:4" ht="13.5" customHeight="1"/>
    <row r="125" spans="4:4" ht="13.5" customHeight="1"/>
    <row r="126" spans="4:4" ht="13.5" customHeight="1"/>
    <row r="127" spans="4:4" ht="13.5" customHeight="1"/>
    <row r="128" spans="4:4"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sheetData>
  <sheetProtection sheet="1" objects="1" scenarios="1"/>
  <mergeCells count="3">
    <mergeCell ref="A1:B1"/>
    <mergeCell ref="A7:B7"/>
    <mergeCell ref="A16:B16"/>
  </mergeCells>
  <phoneticPr fontId="8" type="noConversion"/>
  <hyperlinks>
    <hyperlink ref="A7" location="Contents!A1" display="Contents"/>
    <hyperlink ref="A16" r:id="rId1" display="mailto:TASM@dft.gsi.gov.uk"/>
    <hyperlink ref="A16:B16" r:id="rId2" display="Email TASM"/>
  </hyperlinks>
  <pageMargins left="0.15748031496062992" right="0.15748031496062992" top="0.59055118110236227" bottom="0.39370078740157483" header="0.11811023622047245" footer="0.11811023622047245"/>
  <pageSetup paperSize="9" scale="83" pageOrder="overThenDown" orientation="landscape" r:id="rId3"/>
  <headerFooter alignWithMargins="0"/>
  <colBreaks count="1" manualBreakCount="1">
    <brk id="13" max="1048575" man="1"/>
  </colBreaks>
  <drawing r:id="rId4"/>
  <legacyDrawing r:id="rId5"/>
  <mc:AlternateContent xmlns:mc="http://schemas.openxmlformats.org/markup-compatibility/2006">
    <mc:Choice Requires="x14">
      <controls>
        <mc:AlternateContent xmlns:mc="http://schemas.openxmlformats.org/markup-compatibility/2006">
          <mc:Choice Requires="x14">
            <control shapeId="1716" r:id="rId6" name="Button 692">
              <controlPr defaultSize="0" print="0" autoFill="0" autoPict="0" macro="[0]!hide_sheets">
                <anchor moveWithCells="1" sizeWithCells="1">
                  <from>
                    <xdr:col>2</xdr:col>
                    <xdr:colOff>419100</xdr:colOff>
                    <xdr:row>5</xdr:row>
                    <xdr:rowOff>99060</xdr:rowOff>
                  </from>
                  <to>
                    <xdr:col>3</xdr:col>
                    <xdr:colOff>533400</xdr:colOff>
                    <xdr:row>7</xdr:row>
                    <xdr:rowOff>76200</xdr:rowOff>
                  </to>
                </anchor>
              </controlPr>
            </control>
          </mc:Choice>
        </mc:AlternateContent>
        <mc:AlternateContent xmlns:mc="http://schemas.openxmlformats.org/markup-compatibility/2006">
          <mc:Choice Requires="x14">
            <control shapeId="1717" r:id="rId7" name="Button 693">
              <controlPr defaultSize="0" print="0" autoFill="0" autoPict="0" macro="[0]!unhide_sheets">
                <anchor moveWithCells="1" sizeWithCells="1">
                  <from>
                    <xdr:col>3</xdr:col>
                    <xdr:colOff>640080</xdr:colOff>
                    <xdr:row>5</xdr:row>
                    <xdr:rowOff>83820</xdr:rowOff>
                  </from>
                  <to>
                    <xdr:col>4</xdr:col>
                    <xdr:colOff>746760</xdr:colOff>
                    <xdr:row>7</xdr:row>
                    <xdr:rowOff>68580</xdr:rowOff>
                  </to>
                </anchor>
              </controlPr>
            </control>
          </mc:Choice>
        </mc:AlternateContent>
        <mc:AlternateContent xmlns:mc="http://schemas.openxmlformats.org/markup-compatibility/2006">
          <mc:Choice Requires="x14">
            <control shapeId="1718" r:id="rId8" name="Button 694">
              <controlPr defaultSize="0" print="0" autoFill="0" autoPict="0" macro="[0]!Protect">
                <anchor moveWithCells="1" sizeWithCells="1">
                  <from>
                    <xdr:col>4</xdr:col>
                    <xdr:colOff>883920</xdr:colOff>
                    <xdr:row>5</xdr:row>
                    <xdr:rowOff>83820</xdr:rowOff>
                  </from>
                  <to>
                    <xdr:col>6</xdr:col>
                    <xdr:colOff>106680</xdr:colOff>
                    <xdr:row>7</xdr:row>
                    <xdr:rowOff>68580</xdr:rowOff>
                  </to>
                </anchor>
              </controlPr>
            </control>
          </mc:Choice>
        </mc:AlternateContent>
        <mc:AlternateContent xmlns:mc="http://schemas.openxmlformats.org/markup-compatibility/2006">
          <mc:Choice Requires="x14">
            <control shapeId="1719" r:id="rId9" name="Button 695">
              <controlPr defaultSize="0" print="0" autoFill="0" autoPict="0" macro="[0]!Unprotect">
                <anchor moveWithCells="1" sizeWithCells="1">
                  <from>
                    <xdr:col>6</xdr:col>
                    <xdr:colOff>236220</xdr:colOff>
                    <xdr:row>5</xdr:row>
                    <xdr:rowOff>76200</xdr:rowOff>
                  </from>
                  <to>
                    <xdr:col>7</xdr:col>
                    <xdr:colOff>464820</xdr:colOff>
                    <xdr:row>7</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2"/>
  </sheetPr>
  <dimension ref="A1:P258"/>
  <sheetViews>
    <sheetView showGridLines="0" zoomScale="85" zoomScaleNormal="85" workbookViewId="0">
      <selection activeCell="E23" sqref="E23:F23"/>
    </sheetView>
  </sheetViews>
  <sheetFormatPr defaultColWidth="9.109375" defaultRowHeight="13.2"/>
  <cols>
    <col min="1" max="46" width="12.88671875" style="21" customWidth="1"/>
    <col min="47" max="16384" width="9.109375" style="21"/>
  </cols>
  <sheetData>
    <row r="1" spans="1:16" ht="54.9" customHeight="1" thickTop="1">
      <c r="A1" s="3569"/>
      <c r="B1" s="3569"/>
      <c r="E1" s="3584" t="s">
        <v>2345</v>
      </c>
      <c r="F1" s="3585"/>
      <c r="G1" s="3585"/>
      <c r="H1" s="3585"/>
      <c r="I1" s="3585"/>
      <c r="J1" s="3585"/>
      <c r="K1" s="3585"/>
      <c r="L1" s="3585"/>
      <c r="M1" s="3585"/>
      <c r="N1" s="3586"/>
      <c r="O1" s="2322"/>
    </row>
    <row r="2" spans="1:16" ht="5.0999999999999996" customHeight="1">
      <c r="A2" s="33"/>
      <c r="B2" s="33"/>
      <c r="E2" s="3587"/>
      <c r="F2" s="3588"/>
      <c r="G2" s="3588"/>
      <c r="H2" s="3588"/>
      <c r="I2" s="3588"/>
      <c r="J2" s="3588"/>
      <c r="K2" s="3588"/>
      <c r="L2" s="3588"/>
      <c r="M2" s="3588"/>
      <c r="N2" s="3589"/>
      <c r="O2" s="2322"/>
    </row>
    <row r="3" spans="1:16" s="300" customFormat="1" ht="20.100000000000001" customHeight="1" thickBot="1">
      <c r="A3" s="83" t="s">
        <v>2344</v>
      </c>
      <c r="B3" s="83"/>
      <c r="E3" s="3590"/>
      <c r="F3" s="3591"/>
      <c r="G3" s="3591"/>
      <c r="H3" s="3591"/>
      <c r="I3" s="3591"/>
      <c r="J3" s="3591"/>
      <c r="K3" s="3591"/>
      <c r="L3" s="3591"/>
      <c r="M3" s="3591"/>
      <c r="N3" s="3592"/>
      <c r="O3" s="2322"/>
    </row>
    <row r="4" spans="1:16" s="300" customFormat="1" ht="20.100000000000001" customHeight="1" thickTop="1" thickBot="1">
      <c r="A4" s="109" t="s">
        <v>2346</v>
      </c>
      <c r="B4" s="109"/>
      <c r="C4" s="109"/>
      <c r="D4" s="109"/>
      <c r="E4" s="109"/>
      <c r="F4" s="109"/>
      <c r="G4" s="109"/>
      <c r="H4" s="109"/>
      <c r="I4" s="109"/>
      <c r="J4" s="109"/>
      <c r="K4" s="109"/>
      <c r="L4" s="109"/>
      <c r="M4" s="109"/>
      <c r="N4" s="109"/>
      <c r="O4" s="83"/>
    </row>
    <row r="5" spans="1:16" s="307" customFormat="1" ht="9.9" customHeight="1" thickTop="1"/>
    <row r="6" spans="1:16" s="307" customFormat="1" ht="13.5" customHeight="1"/>
    <row r="7" spans="1:16" s="309" customFormat="1" ht="13.5" customHeight="1" thickBot="1">
      <c r="A7" s="28" t="s">
        <v>1148</v>
      </c>
    </row>
    <row r="8" spans="1:16" s="307" customFormat="1" ht="13.5" customHeight="1" thickBot="1">
      <c r="A8" s="308" t="s">
        <v>1361</v>
      </c>
      <c r="F8" s="2323" t="s">
        <v>1362</v>
      </c>
      <c r="G8" s="307" t="s">
        <v>453</v>
      </c>
      <c r="P8" s="2123"/>
    </row>
    <row r="9" spans="1:16" ht="13.5" customHeight="1" thickBot="1"/>
    <row r="10" spans="1:16" ht="13.5" customHeight="1" thickTop="1" thickBot="1">
      <c r="A10" s="339" t="s">
        <v>544</v>
      </c>
      <c r="B10" s="340" t="s">
        <v>676</v>
      </c>
      <c r="C10" s="2110" t="s">
        <v>677</v>
      </c>
      <c r="D10" s="342"/>
      <c r="E10" s="1311" t="s">
        <v>1018</v>
      </c>
      <c r="F10" s="1311"/>
      <c r="G10" s="341" t="s">
        <v>1145</v>
      </c>
      <c r="H10" s="342"/>
      <c r="I10" s="342"/>
      <c r="J10" s="342"/>
      <c r="K10" s="342"/>
      <c r="L10" s="342"/>
      <c r="M10" s="342"/>
      <c r="N10" s="343"/>
    </row>
    <row r="11" spans="1:16" s="15" customFormat="1" ht="13.5" customHeight="1" thickTop="1" thickBot="1">
      <c r="A11" s="344"/>
      <c r="B11" s="345"/>
      <c r="C11" s="346"/>
      <c r="D11" s="347"/>
      <c r="E11" s="3582" t="s">
        <v>900</v>
      </c>
      <c r="F11" s="3583"/>
      <c r="G11" s="348" t="s">
        <v>1119</v>
      </c>
      <c r="H11" s="347"/>
      <c r="I11" s="347"/>
      <c r="J11" s="347"/>
      <c r="K11" s="347"/>
      <c r="L11" s="347"/>
      <c r="M11" s="347"/>
      <c r="N11" s="349"/>
    </row>
    <row r="12" spans="1:16" s="15" customFormat="1" ht="13.5" customHeight="1" thickBot="1">
      <c r="A12" s="350"/>
      <c r="B12" s="312"/>
      <c r="C12" s="310"/>
      <c r="D12" s="311"/>
      <c r="E12" s="3570" t="s">
        <v>540</v>
      </c>
      <c r="F12" s="3581"/>
      <c r="G12" s="26" t="s">
        <v>1037</v>
      </c>
      <c r="H12" s="311"/>
      <c r="I12" s="311"/>
      <c r="J12" s="311"/>
      <c r="K12" s="311"/>
      <c r="L12" s="311"/>
      <c r="M12" s="311"/>
      <c r="N12" s="351"/>
    </row>
    <row r="13" spans="1:16" s="15" customFormat="1" ht="13.5" customHeight="1" thickBot="1">
      <c r="A13" s="350"/>
      <c r="B13" s="312"/>
      <c r="C13" s="310"/>
      <c r="D13" s="311"/>
      <c r="E13" s="3570" t="s">
        <v>542</v>
      </c>
      <c r="F13" s="3581"/>
      <c r="G13" s="26" t="s">
        <v>1120</v>
      </c>
      <c r="H13" s="311"/>
      <c r="I13" s="311"/>
      <c r="J13" s="311"/>
      <c r="K13" s="311"/>
      <c r="L13" s="311"/>
      <c r="M13" s="311"/>
      <c r="N13" s="351"/>
    </row>
    <row r="14" spans="1:16" s="15" customFormat="1" ht="13.5" customHeight="1" thickBot="1">
      <c r="A14" s="350"/>
      <c r="B14" s="312"/>
      <c r="C14" s="310"/>
      <c r="D14" s="311"/>
      <c r="E14" s="3570" t="s">
        <v>85</v>
      </c>
      <c r="F14" s="3581"/>
      <c r="G14" s="26" t="s">
        <v>2212</v>
      </c>
      <c r="H14" s="311"/>
      <c r="I14" s="311"/>
      <c r="J14" s="311"/>
      <c r="K14" s="311"/>
      <c r="L14" s="311"/>
      <c r="M14" s="311"/>
      <c r="N14" s="351"/>
    </row>
    <row r="15" spans="1:16" ht="13.5" customHeight="1" thickBot="1">
      <c r="A15" s="352"/>
      <c r="B15" s="2623"/>
      <c r="C15" s="302"/>
      <c r="D15" s="302"/>
      <c r="E15" s="3570" t="s">
        <v>774</v>
      </c>
      <c r="F15" s="3581"/>
      <c r="G15" s="336" t="s">
        <v>1121</v>
      </c>
      <c r="H15" s="302"/>
      <c r="I15" s="302"/>
      <c r="J15" s="302"/>
      <c r="K15" s="302"/>
      <c r="L15" s="302"/>
      <c r="M15" s="302"/>
      <c r="N15" s="353"/>
    </row>
    <row r="16" spans="1:16" ht="13.5" customHeight="1" thickBot="1">
      <c r="A16" s="354" t="s">
        <v>105</v>
      </c>
      <c r="B16" s="2111" t="s">
        <v>333</v>
      </c>
      <c r="C16" s="2111"/>
      <c r="D16" s="2111"/>
      <c r="E16" s="3570" t="s">
        <v>669</v>
      </c>
      <c r="F16" s="3581"/>
      <c r="G16" s="2111" t="s">
        <v>1138</v>
      </c>
      <c r="H16" s="2111"/>
      <c r="I16" s="2111"/>
      <c r="J16" s="2111"/>
      <c r="K16" s="2111"/>
      <c r="L16" s="2111"/>
      <c r="M16" s="2111"/>
      <c r="N16" s="2112"/>
    </row>
    <row r="17" spans="1:14" ht="13.5" customHeight="1" thickBot="1">
      <c r="A17" s="354" t="s">
        <v>106</v>
      </c>
      <c r="B17" s="26" t="s">
        <v>1493</v>
      </c>
      <c r="C17" s="38" t="s">
        <v>1490</v>
      </c>
      <c r="D17" s="15"/>
      <c r="E17" s="3570" t="s">
        <v>966</v>
      </c>
      <c r="F17" s="3574"/>
      <c r="G17" s="15" t="s">
        <v>434</v>
      </c>
      <c r="H17" s="30"/>
      <c r="I17" s="15"/>
      <c r="J17" s="30"/>
      <c r="K17" s="15"/>
      <c r="L17" s="15"/>
      <c r="M17" s="15"/>
      <c r="N17" s="41"/>
    </row>
    <row r="18" spans="1:14" ht="13.5" customHeight="1" thickBot="1">
      <c r="A18" s="354"/>
      <c r="B18" s="38" t="s">
        <v>1492</v>
      </c>
      <c r="C18" s="15"/>
      <c r="D18" s="15"/>
      <c r="E18" s="3570" t="s">
        <v>967</v>
      </c>
      <c r="F18" s="3574"/>
      <c r="G18" s="41" t="s">
        <v>176</v>
      </c>
      <c r="H18" s="30"/>
      <c r="I18" s="15"/>
      <c r="J18" s="30"/>
      <c r="K18" s="15"/>
      <c r="L18" s="15"/>
      <c r="M18" s="15"/>
      <c r="N18" s="41"/>
    </row>
    <row r="19" spans="1:14" ht="13.5" customHeight="1" thickBot="1">
      <c r="A19" s="354"/>
      <c r="B19" s="26" t="s">
        <v>678</v>
      </c>
      <c r="C19" s="15"/>
      <c r="D19" s="15"/>
      <c r="E19" s="3570" t="s">
        <v>968</v>
      </c>
      <c r="F19" s="3574"/>
      <c r="G19" s="15" t="s">
        <v>389</v>
      </c>
      <c r="H19" s="30"/>
      <c r="I19" s="15"/>
      <c r="J19" s="30"/>
      <c r="K19" s="15"/>
      <c r="L19" s="15"/>
      <c r="M19" s="15"/>
      <c r="N19" s="41"/>
    </row>
    <row r="20" spans="1:14" ht="13.5" customHeight="1" thickBot="1">
      <c r="A20" s="354"/>
      <c r="B20" s="15"/>
      <c r="C20" s="15"/>
      <c r="D20" s="15"/>
      <c r="E20" s="3570" t="s">
        <v>970</v>
      </c>
      <c r="F20" s="3574"/>
      <c r="G20" s="15" t="s">
        <v>398</v>
      </c>
      <c r="H20" s="30"/>
      <c r="I20" s="15"/>
      <c r="J20" s="30"/>
      <c r="K20" s="15"/>
      <c r="L20" s="15"/>
      <c r="M20" s="15"/>
      <c r="N20" s="41"/>
    </row>
    <row r="21" spans="1:14" ht="13.5" customHeight="1" thickBot="1">
      <c r="A21" s="354"/>
      <c r="B21" s="15"/>
      <c r="C21" s="15"/>
      <c r="D21" s="15"/>
      <c r="E21" s="3570" t="s">
        <v>971</v>
      </c>
      <c r="F21" s="3574"/>
      <c r="G21" s="15" t="s">
        <v>1039</v>
      </c>
      <c r="H21" s="30"/>
      <c r="I21" s="15"/>
      <c r="J21" s="30"/>
      <c r="K21" s="15"/>
      <c r="L21" s="15"/>
      <c r="M21" s="15"/>
      <c r="N21" s="41"/>
    </row>
    <row r="22" spans="1:14" ht="13.5" customHeight="1" thickBot="1">
      <c r="A22" s="354"/>
      <c r="B22" s="15"/>
      <c r="C22" s="303"/>
      <c r="D22" s="303"/>
      <c r="E22" s="3570" t="s">
        <v>972</v>
      </c>
      <c r="F22" s="3574"/>
      <c r="G22" s="303" t="s">
        <v>671</v>
      </c>
      <c r="H22" s="305"/>
      <c r="I22" s="303"/>
      <c r="J22" s="305"/>
      <c r="K22" s="303"/>
      <c r="L22" s="303"/>
      <c r="M22" s="303"/>
      <c r="N22" s="304"/>
    </row>
    <row r="23" spans="1:14" ht="13.5" customHeight="1" thickBot="1">
      <c r="A23" s="354"/>
      <c r="B23" s="2630"/>
      <c r="C23" s="26" t="s">
        <v>1491</v>
      </c>
      <c r="D23" s="15"/>
      <c r="E23" s="3570" t="s">
        <v>973</v>
      </c>
      <c r="F23" s="3574"/>
      <c r="G23" s="15" t="s">
        <v>1391</v>
      </c>
      <c r="H23" s="30"/>
      <c r="I23" s="15"/>
      <c r="J23" s="30"/>
      <c r="K23" s="15"/>
      <c r="L23" s="15"/>
      <c r="M23" s="15"/>
      <c r="N23" s="41"/>
    </row>
    <row r="24" spans="1:14" ht="13.5" customHeight="1" thickBot="1">
      <c r="A24" s="354"/>
      <c r="B24" s="15"/>
      <c r="C24" s="15"/>
      <c r="D24" s="15"/>
      <c r="E24" s="3570" t="s">
        <v>974</v>
      </c>
      <c r="F24" s="3574"/>
      <c r="G24" s="15" t="s">
        <v>129</v>
      </c>
      <c r="H24" s="30"/>
      <c r="I24" s="15"/>
      <c r="J24" s="30"/>
      <c r="K24" s="15"/>
      <c r="L24" s="15"/>
      <c r="M24" s="15"/>
      <c r="N24" s="41"/>
    </row>
    <row r="25" spans="1:14" ht="13.5" customHeight="1" thickBot="1">
      <c r="A25" s="354"/>
      <c r="B25" s="15"/>
      <c r="C25" s="15"/>
      <c r="D25" s="15"/>
      <c r="E25" s="3570" t="s">
        <v>975</v>
      </c>
      <c r="F25" s="3574"/>
      <c r="G25" s="15" t="s">
        <v>1106</v>
      </c>
      <c r="H25" s="30"/>
      <c r="I25" s="15"/>
      <c r="J25" s="30"/>
      <c r="K25" s="15"/>
      <c r="L25" s="15"/>
      <c r="M25" s="15"/>
      <c r="N25" s="41"/>
    </row>
    <row r="26" spans="1:14" ht="13.5" customHeight="1" thickBot="1">
      <c r="A26" s="354"/>
      <c r="B26" s="15"/>
      <c r="C26" s="15"/>
      <c r="D26" s="15"/>
      <c r="E26" s="3570" t="s">
        <v>976</v>
      </c>
      <c r="F26" s="3574"/>
      <c r="G26" s="15" t="s">
        <v>645</v>
      </c>
      <c r="H26" s="30"/>
      <c r="I26" s="15"/>
      <c r="J26" s="30"/>
      <c r="K26" s="15"/>
      <c r="L26" s="15"/>
      <c r="M26" s="15"/>
      <c r="N26" s="41"/>
    </row>
    <row r="27" spans="1:14" ht="13.5" customHeight="1" thickBot="1">
      <c r="A27" s="354"/>
      <c r="B27" s="15"/>
      <c r="C27" s="15"/>
      <c r="D27" s="15"/>
      <c r="E27" s="3570" t="s">
        <v>977</v>
      </c>
      <c r="F27" s="3574"/>
      <c r="G27" s="335" t="s">
        <v>98</v>
      </c>
      <c r="H27" s="30"/>
      <c r="I27" s="15"/>
      <c r="J27" s="30"/>
      <c r="K27" s="15"/>
      <c r="L27" s="15"/>
      <c r="M27" s="15"/>
      <c r="N27" s="41"/>
    </row>
    <row r="28" spans="1:14" s="15" customFormat="1" ht="13.5" customHeight="1" thickBot="1">
      <c r="A28" s="354"/>
      <c r="E28" s="3570" t="s">
        <v>99</v>
      </c>
      <c r="F28" s="3574"/>
      <c r="G28" s="322" t="s">
        <v>100</v>
      </c>
      <c r="H28" s="30"/>
      <c r="J28" s="30"/>
      <c r="N28" s="41"/>
    </row>
    <row r="29" spans="1:14" ht="13.5" customHeight="1" thickBot="1">
      <c r="A29" s="354"/>
      <c r="B29" s="15"/>
      <c r="C29" s="15"/>
      <c r="D29" s="15"/>
      <c r="E29" s="3570" t="s">
        <v>101</v>
      </c>
      <c r="F29" s="3574"/>
      <c r="G29" s="335" t="s">
        <v>102</v>
      </c>
      <c r="H29" s="30"/>
      <c r="I29" s="15"/>
      <c r="J29" s="30"/>
      <c r="K29" s="15"/>
      <c r="L29" s="15"/>
      <c r="M29" s="15"/>
      <c r="N29" s="41"/>
    </row>
    <row r="30" spans="1:14" ht="13.5" customHeight="1" thickBot="1">
      <c r="A30" s="354"/>
      <c r="B30" s="15"/>
      <c r="C30" s="15"/>
      <c r="D30" s="15"/>
      <c r="E30" s="3570" t="s">
        <v>103</v>
      </c>
      <c r="F30" s="3574"/>
      <c r="G30" s="15" t="s">
        <v>1048</v>
      </c>
      <c r="H30" s="30"/>
      <c r="I30" s="15"/>
      <c r="J30" s="30"/>
      <c r="K30" s="15"/>
      <c r="L30" s="15"/>
      <c r="M30" s="15"/>
      <c r="N30" s="41"/>
    </row>
    <row r="31" spans="1:14" ht="13.5" customHeight="1" thickBot="1">
      <c r="A31" s="354"/>
      <c r="B31" s="15"/>
      <c r="C31" s="303"/>
      <c r="D31" s="303"/>
      <c r="E31" s="3570" t="s">
        <v>104</v>
      </c>
      <c r="F31" s="3574"/>
      <c r="G31" s="327" t="s">
        <v>928</v>
      </c>
      <c r="H31" s="30"/>
      <c r="I31" s="15"/>
      <c r="J31" s="30"/>
      <c r="K31" s="15"/>
      <c r="L31" s="15"/>
      <c r="M31" s="15"/>
      <c r="N31" s="41"/>
    </row>
    <row r="32" spans="1:14" ht="13.5" customHeight="1" thickBot="1">
      <c r="A32" s="354"/>
      <c r="B32" s="2630"/>
      <c r="C32" s="335" t="s">
        <v>1568</v>
      </c>
      <c r="D32" s="15"/>
      <c r="E32" s="3570" t="s">
        <v>1565</v>
      </c>
      <c r="F32" s="3574"/>
      <c r="G32" s="327" t="s">
        <v>1533</v>
      </c>
      <c r="H32" s="30"/>
      <c r="I32" s="15"/>
      <c r="J32" s="30"/>
      <c r="K32" s="15"/>
      <c r="L32" s="15"/>
      <c r="M32" s="15"/>
      <c r="N32" s="41"/>
    </row>
    <row r="33" spans="1:14" ht="13.5" customHeight="1" thickBot="1">
      <c r="A33" s="354"/>
      <c r="B33" s="2630"/>
      <c r="C33" s="15"/>
      <c r="D33" s="15"/>
      <c r="E33" s="3570" t="s">
        <v>1566</v>
      </c>
      <c r="F33" s="3574"/>
      <c r="G33" s="327" t="s">
        <v>1569</v>
      </c>
      <c r="H33" s="30"/>
      <c r="I33" s="15"/>
      <c r="J33" s="30"/>
      <c r="K33" s="15"/>
      <c r="L33" s="15"/>
      <c r="M33" s="15"/>
      <c r="N33" s="41"/>
    </row>
    <row r="34" spans="1:14" ht="13.5" customHeight="1" thickBot="1">
      <c r="A34" s="355"/>
      <c r="B34" s="2623"/>
      <c r="C34" s="302"/>
      <c r="D34" s="302"/>
      <c r="E34" s="3570" t="s">
        <v>1567</v>
      </c>
      <c r="F34" s="3574"/>
      <c r="G34" s="302" t="s">
        <v>1573</v>
      </c>
      <c r="H34" s="337"/>
      <c r="I34" s="302"/>
      <c r="J34" s="337"/>
      <c r="K34" s="302"/>
      <c r="L34" s="302"/>
      <c r="M34" s="302"/>
      <c r="N34" s="353"/>
    </row>
    <row r="35" spans="1:14" ht="13.5" customHeight="1" thickBot="1">
      <c r="A35" s="2052" t="s">
        <v>107</v>
      </c>
      <c r="B35" s="15" t="s">
        <v>897</v>
      </c>
      <c r="C35" s="15" t="s">
        <v>396</v>
      </c>
      <c r="D35" s="15"/>
      <c r="E35" s="3579" t="s">
        <v>107</v>
      </c>
      <c r="F35" s="3580"/>
      <c r="G35" s="15" t="s">
        <v>1750</v>
      </c>
      <c r="H35" s="30"/>
      <c r="I35" s="15"/>
      <c r="J35" s="30"/>
      <c r="K35" s="15"/>
      <c r="L35" s="15"/>
      <c r="M35" s="15"/>
      <c r="N35" s="41"/>
    </row>
    <row r="36" spans="1:14" ht="13.5" customHeight="1" thickBot="1">
      <c r="A36" s="2052" t="s">
        <v>959</v>
      </c>
      <c r="B36" s="15" t="s">
        <v>678</v>
      </c>
      <c r="C36" s="15" t="s">
        <v>334</v>
      </c>
      <c r="D36" s="15"/>
      <c r="E36" s="3575" t="s">
        <v>959</v>
      </c>
      <c r="F36" s="3576"/>
      <c r="G36" s="15" t="s">
        <v>852</v>
      </c>
      <c r="H36" s="30"/>
      <c r="I36" s="15"/>
      <c r="J36" s="30"/>
      <c r="K36" s="15"/>
      <c r="L36" s="15"/>
      <c r="M36" s="15"/>
      <c r="N36" s="41"/>
    </row>
    <row r="37" spans="1:14" ht="13.5" customHeight="1" thickBot="1">
      <c r="A37" s="2052" t="s">
        <v>960</v>
      </c>
      <c r="B37" s="15"/>
      <c r="C37" s="1352" t="s">
        <v>397</v>
      </c>
      <c r="D37" s="1485"/>
      <c r="E37" s="3575" t="s">
        <v>960</v>
      </c>
      <c r="F37" s="3576"/>
      <c r="G37" s="1482" t="s">
        <v>1315</v>
      </c>
      <c r="H37" s="1483"/>
      <c r="I37" s="1352"/>
      <c r="J37" s="1483"/>
      <c r="K37" s="1352"/>
      <c r="L37" s="1352"/>
      <c r="M37" s="1352"/>
      <c r="N37" s="1484"/>
    </row>
    <row r="38" spans="1:14" ht="13.5" customHeight="1" thickBot="1">
      <c r="A38" s="2081" t="s">
        <v>961</v>
      </c>
      <c r="B38" s="302"/>
      <c r="C38" s="302"/>
      <c r="D38" s="302"/>
      <c r="E38" s="3575" t="s">
        <v>961</v>
      </c>
      <c r="F38" s="3576"/>
      <c r="G38" s="327" t="s">
        <v>703</v>
      </c>
      <c r="H38" s="337"/>
      <c r="I38" s="302"/>
      <c r="J38" s="337"/>
      <c r="K38" s="302"/>
      <c r="L38" s="302"/>
      <c r="M38" s="302"/>
      <c r="N38" s="353"/>
    </row>
    <row r="39" spans="1:14" ht="13.5" customHeight="1" thickBot="1">
      <c r="A39" s="354" t="s">
        <v>125</v>
      </c>
      <c r="B39" s="313" t="s">
        <v>679</v>
      </c>
      <c r="C39" s="313" t="s">
        <v>899</v>
      </c>
      <c r="D39" s="15"/>
      <c r="E39" s="3575" t="s">
        <v>118</v>
      </c>
      <c r="F39" s="3576"/>
      <c r="G39" s="1316" t="s">
        <v>444</v>
      </c>
      <c r="H39" s="30"/>
      <c r="I39" s="15"/>
      <c r="J39" s="30"/>
      <c r="K39" s="15"/>
      <c r="L39" s="15"/>
      <c r="M39" s="15"/>
      <c r="N39" s="41"/>
    </row>
    <row r="40" spans="1:14" ht="13.5" customHeight="1" thickBot="1">
      <c r="A40" s="354"/>
      <c r="B40" s="15" t="s">
        <v>680</v>
      </c>
      <c r="C40" s="313" t="s">
        <v>898</v>
      </c>
      <c r="D40" s="15"/>
      <c r="E40" s="3575" t="s">
        <v>119</v>
      </c>
      <c r="F40" s="3576"/>
      <c r="G40" s="15" t="s">
        <v>445</v>
      </c>
      <c r="H40" s="30"/>
      <c r="I40" s="15"/>
      <c r="J40" s="30"/>
      <c r="K40" s="15"/>
      <c r="L40" s="15"/>
      <c r="M40" s="15"/>
      <c r="N40" s="41"/>
    </row>
    <row r="41" spans="1:14" ht="13.5" customHeight="1" thickBot="1">
      <c r="A41" s="354"/>
      <c r="B41" s="313" t="s">
        <v>678</v>
      </c>
      <c r="C41" s="15"/>
      <c r="D41" s="15"/>
      <c r="E41" s="3575" t="s">
        <v>120</v>
      </c>
      <c r="F41" s="3576"/>
      <c r="G41" s="327" t="s">
        <v>1350</v>
      </c>
      <c r="H41" s="30"/>
      <c r="I41" s="15"/>
      <c r="J41" s="30"/>
      <c r="K41" s="15"/>
      <c r="L41" s="15"/>
      <c r="M41" s="15"/>
      <c r="N41" s="41"/>
    </row>
    <row r="42" spans="1:14" ht="13.5" customHeight="1" thickBot="1">
      <c r="A42" s="354"/>
      <c r="B42" s="15"/>
      <c r="C42" s="15"/>
      <c r="D42" s="15"/>
      <c r="E42" s="3575" t="s">
        <v>121</v>
      </c>
      <c r="F42" s="3576"/>
      <c r="G42" s="335" t="s">
        <v>114</v>
      </c>
      <c r="H42" s="30"/>
      <c r="I42" s="15"/>
      <c r="J42" s="30"/>
      <c r="K42" s="15"/>
      <c r="L42" s="15"/>
      <c r="M42" s="15"/>
      <c r="N42" s="41"/>
    </row>
    <row r="43" spans="1:14" ht="13.5" customHeight="1" thickBot="1">
      <c r="A43" s="354"/>
      <c r="B43" s="15"/>
      <c r="C43" s="15"/>
      <c r="D43" s="15"/>
      <c r="E43" s="3575" t="s">
        <v>122</v>
      </c>
      <c r="F43" s="3576"/>
      <c r="G43" s="335" t="s">
        <v>400</v>
      </c>
      <c r="H43" s="30"/>
      <c r="I43" s="15"/>
      <c r="J43" s="30"/>
      <c r="K43" s="15"/>
      <c r="L43" s="15"/>
      <c r="M43" s="15"/>
      <c r="N43" s="41"/>
    </row>
    <row r="44" spans="1:14" ht="13.5" customHeight="1" thickBot="1">
      <c r="A44" s="354"/>
      <c r="B44" s="15"/>
      <c r="C44" s="15"/>
      <c r="D44" s="15"/>
      <c r="E44" s="3575" t="s">
        <v>123</v>
      </c>
      <c r="F44" s="3576"/>
      <c r="G44" s="335" t="s">
        <v>115</v>
      </c>
      <c r="H44" s="30"/>
      <c r="I44" s="15"/>
      <c r="J44" s="30"/>
      <c r="K44" s="15"/>
      <c r="L44" s="15"/>
      <c r="M44" s="15"/>
      <c r="N44" s="41"/>
    </row>
    <row r="45" spans="1:14" ht="13.5" customHeight="1" thickBot="1">
      <c r="A45" s="354"/>
      <c r="B45" s="15"/>
      <c r="C45" s="15"/>
      <c r="D45" s="15"/>
      <c r="E45" s="3575" t="s">
        <v>124</v>
      </c>
      <c r="F45" s="3576"/>
      <c r="G45" s="335" t="s">
        <v>116</v>
      </c>
      <c r="H45" s="30"/>
      <c r="I45" s="15"/>
      <c r="J45" s="30"/>
      <c r="K45" s="15"/>
      <c r="L45" s="15"/>
      <c r="M45" s="15"/>
      <c r="N45" s="41"/>
    </row>
    <row r="46" spans="1:14" ht="13.5" customHeight="1" thickBot="1">
      <c r="A46" s="355"/>
      <c r="B46" s="302"/>
      <c r="C46" s="302"/>
      <c r="D46" s="302"/>
      <c r="E46" s="3575" t="s">
        <v>126</v>
      </c>
      <c r="F46" s="3576"/>
      <c r="G46" s="2051" t="s">
        <v>1040</v>
      </c>
      <c r="H46" s="337"/>
      <c r="I46" s="302"/>
      <c r="J46" s="337"/>
      <c r="K46" s="302"/>
      <c r="L46" s="302"/>
      <c r="M46" s="302"/>
      <c r="N46" s="353"/>
    </row>
    <row r="47" spans="1:14" ht="13.5" customHeight="1" thickBot="1">
      <c r="A47" s="2052" t="s">
        <v>1659</v>
      </c>
      <c r="B47" s="15" t="s">
        <v>683</v>
      </c>
      <c r="C47" s="335" t="s">
        <v>1660</v>
      </c>
      <c r="D47" s="15"/>
      <c r="E47" s="3575" t="s">
        <v>1661</v>
      </c>
      <c r="F47" s="3576"/>
      <c r="G47" s="335" t="s">
        <v>1699</v>
      </c>
      <c r="H47" s="30"/>
      <c r="I47" s="15"/>
      <c r="J47" s="30"/>
      <c r="K47" s="15"/>
      <c r="L47" s="15"/>
      <c r="M47" s="15"/>
      <c r="N47" s="41"/>
    </row>
    <row r="48" spans="1:14" ht="13.5" customHeight="1" thickBot="1">
      <c r="A48" s="2052"/>
      <c r="B48" s="15"/>
      <c r="C48" s="335"/>
      <c r="D48" s="15"/>
      <c r="E48" s="3575" t="s">
        <v>1834</v>
      </c>
      <c r="F48" s="3576"/>
      <c r="G48" s="335" t="s">
        <v>1850</v>
      </c>
      <c r="H48" s="30"/>
      <c r="I48" s="15"/>
      <c r="J48" s="30"/>
      <c r="K48" s="15"/>
      <c r="L48" s="15"/>
      <c r="M48" s="15"/>
      <c r="N48" s="41"/>
    </row>
    <row r="49" spans="1:14" ht="13.5" customHeight="1" thickBot="1">
      <c r="A49" s="354" t="s">
        <v>108</v>
      </c>
      <c r="B49" s="15" t="s">
        <v>898</v>
      </c>
      <c r="C49" s="15" t="s">
        <v>681</v>
      </c>
      <c r="D49" s="15"/>
      <c r="E49" s="3575" t="s">
        <v>1024</v>
      </c>
      <c r="F49" s="3576"/>
      <c r="G49" s="335" t="s">
        <v>117</v>
      </c>
      <c r="H49" s="30"/>
      <c r="I49" s="15"/>
      <c r="J49" s="30"/>
      <c r="K49" s="15"/>
      <c r="L49" s="15"/>
      <c r="M49" s="15"/>
      <c r="N49" s="41"/>
    </row>
    <row r="50" spans="1:14" ht="13.5" customHeight="1" thickBot="1">
      <c r="A50" s="354"/>
      <c r="C50" s="15" t="s">
        <v>682</v>
      </c>
      <c r="D50" s="15"/>
      <c r="E50" s="3575" t="s">
        <v>1025</v>
      </c>
      <c r="F50" s="3576"/>
      <c r="G50" s="15" t="s">
        <v>1832</v>
      </c>
      <c r="H50" s="30"/>
      <c r="I50" s="15"/>
      <c r="J50" s="30"/>
      <c r="K50" s="15"/>
      <c r="L50" s="15"/>
      <c r="M50" s="15"/>
      <c r="N50" s="41"/>
    </row>
    <row r="51" spans="1:14" ht="13.5" customHeight="1" thickBot="1">
      <c r="A51" s="354"/>
      <c r="B51" s="15"/>
      <c r="C51" s="15"/>
      <c r="D51" s="15"/>
      <c r="E51" s="3575" t="s">
        <v>1026</v>
      </c>
      <c r="F51" s="3576"/>
      <c r="G51" s="15" t="s">
        <v>1284</v>
      </c>
      <c r="H51" s="30"/>
      <c r="I51" s="15"/>
      <c r="J51" s="30"/>
      <c r="K51" s="15"/>
      <c r="L51" s="15"/>
      <c r="M51" s="15"/>
      <c r="N51" s="41"/>
    </row>
    <row r="52" spans="1:14" ht="13.5" customHeight="1" thickBot="1">
      <c r="A52" s="354"/>
      <c r="B52" s="15"/>
      <c r="C52" s="15"/>
      <c r="D52" s="15"/>
      <c r="E52" s="3579" t="s">
        <v>1027</v>
      </c>
      <c r="F52" s="3580"/>
      <c r="G52" s="15" t="s">
        <v>1833</v>
      </c>
      <c r="H52" s="30"/>
      <c r="I52" s="15"/>
      <c r="J52" s="30"/>
      <c r="K52" s="15"/>
      <c r="L52" s="15"/>
      <c r="M52" s="15"/>
      <c r="N52" s="41"/>
    </row>
    <row r="53" spans="1:14" ht="13.5" customHeight="1" thickBot="1">
      <c r="A53" s="354"/>
      <c r="B53" s="15"/>
      <c r="C53" s="15"/>
      <c r="D53" s="15"/>
      <c r="E53" s="3579" t="s">
        <v>1831</v>
      </c>
      <c r="F53" s="3580"/>
      <c r="G53" s="335" t="s">
        <v>1835</v>
      </c>
      <c r="H53" s="30"/>
      <c r="I53" s="15"/>
      <c r="J53" s="30"/>
      <c r="K53" s="15"/>
      <c r="L53" s="15"/>
      <c r="M53" s="15"/>
      <c r="N53" s="41"/>
    </row>
    <row r="54" spans="1:14" ht="13.5" customHeight="1" thickBot="1">
      <c r="A54" s="354"/>
      <c r="B54" s="15"/>
      <c r="C54" s="15"/>
      <c r="D54" s="15"/>
      <c r="E54" s="3579" t="s">
        <v>2115</v>
      </c>
      <c r="F54" s="3580"/>
      <c r="G54" s="335" t="s">
        <v>2097</v>
      </c>
      <c r="H54" s="30"/>
      <c r="I54" s="15"/>
      <c r="J54" s="30"/>
      <c r="K54" s="15"/>
      <c r="L54" s="15"/>
      <c r="M54" s="15"/>
      <c r="N54" s="41"/>
    </row>
    <row r="55" spans="1:14" ht="13.5" customHeight="1" thickBot="1">
      <c r="A55" s="355"/>
      <c r="B55" s="302"/>
      <c r="C55" s="302"/>
      <c r="D55" s="302"/>
      <c r="E55" s="3575" t="s">
        <v>2116</v>
      </c>
      <c r="F55" s="3576"/>
      <c r="G55" s="2051" t="s">
        <v>2082</v>
      </c>
      <c r="H55" s="337"/>
      <c r="I55" s="302"/>
      <c r="J55" s="337"/>
      <c r="K55" s="302"/>
      <c r="L55" s="302"/>
      <c r="M55" s="302"/>
      <c r="N55" s="353"/>
    </row>
    <row r="56" spans="1:14" ht="13.5" customHeight="1" thickBot="1">
      <c r="A56" s="2052" t="s">
        <v>110</v>
      </c>
      <c r="B56" s="15" t="s">
        <v>684</v>
      </c>
      <c r="C56" s="15"/>
      <c r="D56" s="15"/>
      <c r="E56" s="3577" t="s">
        <v>110</v>
      </c>
      <c r="F56" s="3578"/>
      <c r="G56" s="335" t="s">
        <v>1346</v>
      </c>
      <c r="H56" s="30"/>
      <c r="I56" s="15"/>
      <c r="J56" s="30"/>
      <c r="K56" s="15"/>
      <c r="L56" s="15"/>
      <c r="M56" s="15"/>
      <c r="N56" s="41"/>
    </row>
    <row r="57" spans="1:14" ht="13.5" customHeight="1" thickBot="1">
      <c r="A57" s="2052" t="s">
        <v>111</v>
      </c>
      <c r="B57" s="15"/>
      <c r="C57" s="15"/>
      <c r="D57" s="15"/>
      <c r="E57" s="3575" t="s">
        <v>111</v>
      </c>
      <c r="F57" s="3576"/>
      <c r="G57" s="335" t="s">
        <v>1347</v>
      </c>
      <c r="H57" s="30"/>
      <c r="I57" s="15"/>
      <c r="J57" s="30"/>
      <c r="K57" s="15"/>
      <c r="L57" s="15"/>
      <c r="M57" s="15"/>
      <c r="N57" s="41"/>
    </row>
    <row r="58" spans="1:14" ht="13.5" customHeight="1" thickBot="1">
      <c r="A58" s="2052" t="s">
        <v>127</v>
      </c>
      <c r="B58" s="15" t="s">
        <v>685</v>
      </c>
      <c r="C58" s="15"/>
      <c r="D58" s="15"/>
      <c r="E58" s="3575" t="s">
        <v>112</v>
      </c>
      <c r="F58" s="3576"/>
      <c r="G58" s="335" t="s">
        <v>113</v>
      </c>
      <c r="H58" s="30"/>
      <c r="I58" s="15"/>
      <c r="J58" s="30"/>
      <c r="K58" s="15"/>
      <c r="L58" s="15"/>
      <c r="M58" s="15"/>
      <c r="N58" s="41"/>
    </row>
    <row r="59" spans="1:14" ht="13.5" customHeight="1" thickBot="1">
      <c r="A59" s="354" t="s">
        <v>109</v>
      </c>
      <c r="B59" s="15" t="s">
        <v>686</v>
      </c>
      <c r="C59" s="15"/>
      <c r="D59" s="15"/>
      <c r="E59" s="3601" t="s">
        <v>536</v>
      </c>
      <c r="F59" s="3602"/>
      <c r="G59" s="15" t="s">
        <v>1215</v>
      </c>
      <c r="H59" s="30"/>
      <c r="I59" s="15"/>
      <c r="J59" s="30"/>
      <c r="K59" s="15"/>
      <c r="L59" s="15"/>
      <c r="M59" s="15"/>
      <c r="N59" s="41"/>
    </row>
    <row r="60" spans="1:14" ht="13.5" customHeight="1" thickBot="1">
      <c r="A60" s="354"/>
      <c r="B60" s="15"/>
      <c r="C60" s="15"/>
      <c r="D60" s="15"/>
      <c r="E60" s="3575" t="s">
        <v>1172</v>
      </c>
      <c r="F60" s="3576"/>
      <c r="G60" s="15" t="s">
        <v>381</v>
      </c>
      <c r="H60" s="30"/>
      <c r="I60" s="15"/>
      <c r="J60" s="30"/>
      <c r="K60" s="15"/>
      <c r="L60" s="15"/>
      <c r="M60" s="15"/>
      <c r="N60" s="41"/>
    </row>
    <row r="61" spans="1:14" ht="13.5" customHeight="1" thickBot="1">
      <c r="A61" s="354"/>
      <c r="B61" s="15"/>
      <c r="C61" s="15"/>
      <c r="D61" s="15"/>
      <c r="E61" s="3579" t="s">
        <v>1662</v>
      </c>
      <c r="F61" s="3580"/>
      <c r="G61" s="3182" t="s">
        <v>1631</v>
      </c>
      <c r="H61" s="30"/>
      <c r="I61" s="15"/>
      <c r="J61" s="30"/>
      <c r="K61" s="15"/>
      <c r="L61" s="15"/>
      <c r="M61" s="15"/>
      <c r="N61" s="41"/>
    </row>
    <row r="62" spans="1:14" ht="13.5" customHeight="1" thickBot="1">
      <c r="A62" s="355"/>
      <c r="B62" s="302"/>
      <c r="C62" s="302"/>
      <c r="D62" s="302"/>
      <c r="E62" s="3575" t="s">
        <v>2000</v>
      </c>
      <c r="F62" s="3576"/>
      <c r="G62" s="3183" t="s">
        <v>2001</v>
      </c>
      <c r="H62" s="337"/>
      <c r="I62" s="302"/>
      <c r="J62" s="337"/>
      <c r="K62" s="302"/>
      <c r="L62" s="302"/>
      <c r="M62" s="302"/>
      <c r="N62" s="353"/>
    </row>
    <row r="63" spans="1:14" ht="13.5" customHeight="1" thickBot="1">
      <c r="A63" s="2052" t="s">
        <v>704</v>
      </c>
      <c r="B63" s="335" t="s">
        <v>1021</v>
      </c>
      <c r="C63" s="15"/>
      <c r="D63" s="15"/>
      <c r="E63" s="3577" t="s">
        <v>63</v>
      </c>
      <c r="F63" s="3578"/>
      <c r="G63" s="18" t="s">
        <v>1216</v>
      </c>
      <c r="H63" s="30"/>
      <c r="I63" s="15"/>
      <c r="J63" s="30"/>
      <c r="K63" s="15"/>
      <c r="L63" s="15"/>
      <c r="M63" s="15"/>
      <c r="N63" s="41"/>
    </row>
    <row r="64" spans="1:14" ht="13.5" customHeight="1" thickBot="1">
      <c r="A64" s="354"/>
      <c r="B64" s="15"/>
      <c r="C64" s="15"/>
      <c r="D64" s="15"/>
      <c r="E64" s="3575" t="s">
        <v>64</v>
      </c>
      <c r="F64" s="3576"/>
      <c r="G64" s="18" t="s">
        <v>1217</v>
      </c>
      <c r="H64" s="30"/>
      <c r="I64" s="15"/>
      <c r="J64" s="30"/>
      <c r="K64" s="15"/>
      <c r="L64" s="15"/>
      <c r="M64" s="15"/>
      <c r="N64" s="41"/>
    </row>
    <row r="65" spans="1:14" ht="13.5" customHeight="1" thickBot="1">
      <c r="A65" s="354"/>
      <c r="B65" s="15"/>
      <c r="C65" s="15"/>
      <c r="D65" s="15"/>
      <c r="E65" s="3575" t="s">
        <v>65</v>
      </c>
      <c r="F65" s="3576"/>
      <c r="G65" s="18" t="s">
        <v>696</v>
      </c>
      <c r="H65" s="30"/>
      <c r="I65" s="15"/>
      <c r="J65" s="30"/>
      <c r="K65" s="15"/>
      <c r="L65" s="15"/>
      <c r="M65" s="15"/>
      <c r="N65" s="41"/>
    </row>
    <row r="66" spans="1:14" ht="13.5" customHeight="1" thickBot="1">
      <c r="A66" s="354"/>
      <c r="B66" s="15"/>
      <c r="C66" s="15"/>
      <c r="D66" s="15"/>
      <c r="E66" s="3575" t="s">
        <v>66</v>
      </c>
      <c r="F66" s="3576"/>
      <c r="G66" s="18" t="s">
        <v>698</v>
      </c>
      <c r="H66" s="30"/>
      <c r="I66" s="15"/>
      <c r="J66" s="30"/>
      <c r="K66" s="15"/>
      <c r="L66" s="15"/>
      <c r="M66" s="15"/>
      <c r="N66" s="41"/>
    </row>
    <row r="67" spans="1:14" ht="13.5" customHeight="1" thickBot="1">
      <c r="A67" s="354"/>
      <c r="B67" s="15"/>
      <c r="C67" s="15"/>
      <c r="D67" s="15"/>
      <c r="E67" s="3575" t="s">
        <v>662</v>
      </c>
      <c r="F67" s="3576"/>
      <c r="G67" s="18" t="s">
        <v>697</v>
      </c>
      <c r="H67" s="30"/>
      <c r="I67" s="15"/>
      <c r="J67" s="30"/>
      <c r="K67" s="15"/>
      <c r="L67" s="15"/>
      <c r="M67" s="15"/>
      <c r="N67" s="41"/>
    </row>
    <row r="68" spans="1:14" ht="13.5" customHeight="1" thickBot="1">
      <c r="A68" s="354"/>
      <c r="B68" s="15"/>
      <c r="C68" s="15"/>
      <c r="D68" s="15"/>
      <c r="E68" s="3579" t="s">
        <v>663</v>
      </c>
      <c r="F68" s="3580"/>
      <c r="G68" s="18" t="s">
        <v>1218</v>
      </c>
      <c r="H68" s="30"/>
      <c r="I68" s="15"/>
      <c r="J68" s="30"/>
      <c r="K68" s="15"/>
      <c r="L68" s="15"/>
      <c r="M68" s="15"/>
      <c r="N68" s="41"/>
    </row>
    <row r="69" spans="1:14" ht="13.5" customHeight="1" thickBot="1">
      <c r="A69" s="354"/>
      <c r="B69" s="15"/>
      <c r="C69" s="15"/>
      <c r="D69" s="15"/>
      <c r="E69" s="3575" t="s">
        <v>664</v>
      </c>
      <c r="F69" s="3576"/>
      <c r="G69" s="18" t="s">
        <v>821</v>
      </c>
      <c r="H69" s="30"/>
      <c r="I69" s="15"/>
      <c r="J69" s="30"/>
      <c r="K69" s="15"/>
      <c r="L69" s="15"/>
      <c r="M69" s="15"/>
      <c r="N69" s="41"/>
    </row>
    <row r="70" spans="1:14" ht="13.5" customHeight="1" thickBot="1">
      <c r="A70" s="354"/>
      <c r="B70" s="15"/>
      <c r="C70" s="15"/>
      <c r="D70" s="15"/>
      <c r="E70" s="3575" t="s">
        <v>665</v>
      </c>
      <c r="F70" s="3576"/>
      <c r="G70" s="18" t="s">
        <v>695</v>
      </c>
      <c r="H70" s="30"/>
      <c r="I70" s="15"/>
      <c r="J70" s="30"/>
      <c r="K70" s="15"/>
      <c r="L70" s="15"/>
      <c r="M70" s="15"/>
      <c r="N70" s="41"/>
    </row>
    <row r="71" spans="1:14" ht="13.5" customHeight="1" thickBot="1">
      <c r="A71" s="356"/>
      <c r="B71" s="306"/>
      <c r="C71" s="306"/>
      <c r="D71" s="306"/>
      <c r="E71" s="3597" t="s">
        <v>865</v>
      </c>
      <c r="F71" s="3598"/>
      <c r="G71" s="2109" t="s">
        <v>822</v>
      </c>
      <c r="H71" s="338"/>
      <c r="I71" s="306"/>
      <c r="J71" s="338"/>
      <c r="K71" s="306"/>
      <c r="L71" s="306"/>
      <c r="M71" s="306"/>
      <c r="N71" s="357"/>
    </row>
    <row r="72" spans="1:14" s="15" customFormat="1" ht="13.5" hidden="1" customHeight="1" thickTop="1" thickBot="1">
      <c r="A72" s="3593" t="s">
        <v>162</v>
      </c>
      <c r="B72" s="3594"/>
      <c r="C72" s="2500"/>
      <c r="D72" s="2501"/>
      <c r="E72" s="3595" t="s">
        <v>541</v>
      </c>
      <c r="F72" s="3596"/>
      <c r="G72" s="2502" t="s">
        <v>306</v>
      </c>
      <c r="H72" s="2501"/>
      <c r="I72" s="2501"/>
      <c r="J72" s="2501"/>
      <c r="K72" s="2501"/>
      <c r="L72" s="2501"/>
      <c r="M72" s="2501"/>
      <c r="N72" s="2503"/>
    </row>
    <row r="73" spans="1:14" s="15" customFormat="1" ht="13.5" hidden="1" customHeight="1" thickBot="1">
      <c r="A73" s="2504"/>
      <c r="B73" s="2505"/>
      <c r="C73" s="2500"/>
      <c r="D73" s="2501"/>
      <c r="E73" s="3570" t="s">
        <v>839</v>
      </c>
      <c r="F73" s="3581"/>
      <c r="G73" s="2506" t="s">
        <v>1121</v>
      </c>
      <c r="H73" s="2501"/>
      <c r="I73" s="2501"/>
      <c r="J73" s="2501"/>
      <c r="K73" s="2501"/>
      <c r="L73" s="2501"/>
      <c r="M73" s="2501"/>
      <c r="N73" s="2503"/>
    </row>
    <row r="74" spans="1:14" s="15" customFormat="1" ht="13.5" hidden="1" customHeight="1" thickBot="1">
      <c r="A74" s="2504"/>
      <c r="B74" s="2505"/>
      <c r="C74" s="2500"/>
      <c r="D74" s="2501"/>
      <c r="E74" s="3570" t="s">
        <v>171</v>
      </c>
      <c r="F74" s="3581"/>
      <c r="G74" s="2507" t="s">
        <v>1139</v>
      </c>
      <c r="H74" s="2501"/>
      <c r="I74" s="2501"/>
      <c r="J74" s="2501"/>
      <c r="K74" s="2501"/>
      <c r="L74" s="2501"/>
      <c r="M74" s="2501"/>
      <c r="N74" s="2503"/>
    </row>
    <row r="75" spans="1:14" s="15" customFormat="1" ht="13.5" hidden="1" customHeight="1" thickBot="1">
      <c r="A75" s="2504"/>
      <c r="B75" s="2505"/>
      <c r="C75" s="2500"/>
      <c r="D75" s="2501"/>
      <c r="E75" s="3570" t="s">
        <v>157</v>
      </c>
      <c r="F75" s="3581"/>
      <c r="G75" s="2049" t="s">
        <v>410</v>
      </c>
      <c r="H75" s="2501"/>
      <c r="I75" s="2501"/>
      <c r="J75" s="2501"/>
      <c r="K75" s="2501"/>
      <c r="L75" s="2501"/>
      <c r="M75" s="2501"/>
      <c r="N75" s="2503"/>
    </row>
    <row r="76" spans="1:14" ht="13.5" hidden="1" customHeight="1" thickBot="1">
      <c r="A76" s="2508"/>
      <c r="B76" s="2049"/>
      <c r="C76" s="2049"/>
      <c r="D76" s="2049"/>
      <c r="E76" s="3606" t="s">
        <v>401</v>
      </c>
      <c r="F76" s="3607"/>
      <c r="G76" s="2049" t="s">
        <v>402</v>
      </c>
      <c r="H76" s="2049"/>
      <c r="I76" s="2049"/>
      <c r="J76" s="2049"/>
      <c r="K76" s="2049"/>
      <c r="L76" s="2049"/>
      <c r="M76" s="2049"/>
      <c r="N76" s="2509"/>
    </row>
    <row r="77" spans="1:14" ht="13.5" hidden="1" customHeight="1" thickBot="1">
      <c r="A77" s="2510"/>
      <c r="B77" s="2510"/>
      <c r="C77" s="2511" t="s">
        <v>465</v>
      </c>
      <c r="D77" s="2511"/>
      <c r="E77" s="3570" t="s">
        <v>391</v>
      </c>
      <c r="F77" s="3581"/>
      <c r="G77" s="2511" t="s">
        <v>435</v>
      </c>
      <c r="H77" s="2511"/>
      <c r="I77" s="2511"/>
      <c r="J77" s="2511"/>
      <c r="K77" s="2511"/>
      <c r="L77" s="2511"/>
      <c r="M77" s="2511"/>
      <c r="N77" s="2512"/>
    </row>
    <row r="78" spans="1:14" ht="13.5" hidden="1" customHeight="1" thickBot="1">
      <c r="A78" s="2508"/>
      <c r="B78" s="2049"/>
      <c r="C78" s="2049"/>
      <c r="D78" s="2049"/>
      <c r="E78" s="3570" t="s">
        <v>1240</v>
      </c>
      <c r="F78" s="3581"/>
      <c r="G78" s="2049" t="s">
        <v>1041</v>
      </c>
      <c r="H78" s="2049"/>
      <c r="I78" s="2049"/>
      <c r="J78" s="2049"/>
      <c r="K78" s="2049"/>
      <c r="L78" s="2049"/>
      <c r="M78" s="2049"/>
      <c r="N78" s="2509"/>
    </row>
    <row r="79" spans="1:14" ht="13.5" hidden="1" customHeight="1" thickBot="1">
      <c r="A79" s="2508"/>
      <c r="B79" s="2049"/>
      <c r="C79" s="2049"/>
      <c r="D79" s="2049"/>
      <c r="E79" s="3570" t="s">
        <v>1241</v>
      </c>
      <c r="F79" s="3581"/>
      <c r="G79" s="2049" t="s">
        <v>1042</v>
      </c>
      <c r="H79" s="2049"/>
      <c r="I79" s="2049"/>
      <c r="J79" s="2049"/>
      <c r="K79" s="2049"/>
      <c r="L79" s="2049"/>
      <c r="M79" s="2049"/>
      <c r="N79" s="2509"/>
    </row>
    <row r="80" spans="1:14" ht="13.5" hidden="1" customHeight="1" thickBot="1">
      <c r="A80" s="2508"/>
      <c r="B80" s="2049"/>
      <c r="C80" s="2049"/>
      <c r="D80" s="2049"/>
      <c r="E80" s="3570" t="s">
        <v>969</v>
      </c>
      <c r="F80" s="3581"/>
      <c r="G80" s="2049" t="str">
        <f>CONCATENATE("Vehicle occupancies based on vehicle kilometres travelled (",'Default Pars'!L19,")")</f>
        <v>Vehicle occupancies based on vehicle kilometres travelled (2010)</v>
      </c>
      <c r="H80" s="2049"/>
      <c r="I80" s="2049"/>
      <c r="J80" s="2049"/>
      <c r="K80" s="2049"/>
      <c r="L80" s="2049"/>
      <c r="M80" s="2049"/>
      <c r="N80" s="2509"/>
    </row>
    <row r="81" spans="1:14" ht="13.5" hidden="1" customHeight="1" thickBot="1">
      <c r="A81" s="2508"/>
      <c r="B81" s="2049"/>
      <c r="C81" s="2049"/>
      <c r="D81" s="2049"/>
      <c r="E81" s="3570" t="s">
        <v>1242</v>
      </c>
      <c r="F81" s="3581"/>
      <c r="G81" s="2049" t="s">
        <v>390</v>
      </c>
      <c r="H81" s="2049"/>
      <c r="I81" s="2049"/>
      <c r="J81" s="2049"/>
      <c r="K81" s="2049"/>
      <c r="L81" s="2049"/>
      <c r="M81" s="2049"/>
      <c r="N81" s="2509"/>
    </row>
    <row r="82" spans="1:14" ht="13.5" hidden="1" customHeight="1" thickBot="1">
      <c r="A82" s="2508"/>
      <c r="B82" s="2049"/>
      <c r="C82" s="2049"/>
      <c r="D82" s="2049"/>
      <c r="E82" s="3570" t="s">
        <v>1243</v>
      </c>
      <c r="F82" s="3581"/>
      <c r="G82" s="2049" t="s">
        <v>1049</v>
      </c>
      <c r="H82" s="2049"/>
      <c r="I82" s="2049"/>
      <c r="J82" s="2049"/>
      <c r="K82" s="2049"/>
      <c r="L82" s="2049"/>
      <c r="M82" s="2049"/>
      <c r="N82" s="2509"/>
    </row>
    <row r="83" spans="1:14" ht="13.5" hidden="1" customHeight="1" thickBot="1">
      <c r="A83" s="2508"/>
      <c r="B83" s="2049"/>
      <c r="C83" s="2049"/>
      <c r="D83" s="2049"/>
      <c r="E83" s="3570" t="s">
        <v>1244</v>
      </c>
      <c r="F83" s="3581"/>
      <c r="G83" s="2049" t="s">
        <v>1050</v>
      </c>
      <c r="H83" s="2049"/>
      <c r="I83" s="2049"/>
      <c r="J83" s="2049"/>
      <c r="K83" s="2049"/>
      <c r="L83" s="2049"/>
      <c r="M83" s="2049"/>
      <c r="N83" s="2509"/>
    </row>
    <row r="84" spans="1:14" ht="13.5" hidden="1" customHeight="1" thickBot="1">
      <c r="A84" s="2508"/>
      <c r="B84" s="2049"/>
      <c r="C84" s="2049" t="s">
        <v>599</v>
      </c>
      <c r="D84" s="2049"/>
      <c r="E84" s="3570" t="s">
        <v>130</v>
      </c>
      <c r="F84" s="3581"/>
      <c r="G84" s="2049" t="s">
        <v>131</v>
      </c>
      <c r="H84" s="2049"/>
      <c r="I84" s="2049"/>
      <c r="J84" s="2049"/>
      <c r="K84" s="2049"/>
      <c r="L84" s="2049"/>
      <c r="M84" s="2049"/>
      <c r="N84" s="2509"/>
    </row>
    <row r="85" spans="1:14" ht="13.5" hidden="1" customHeight="1" thickBot="1">
      <c r="A85" s="2508"/>
      <c r="B85" s="2049"/>
      <c r="C85" s="2510"/>
      <c r="D85" s="2049"/>
      <c r="E85" s="3570" t="s">
        <v>1072</v>
      </c>
      <c r="F85" s="3581"/>
      <c r="G85" s="2593" t="s">
        <v>646</v>
      </c>
      <c r="H85" s="2049"/>
      <c r="I85" s="2049"/>
      <c r="J85" s="2049"/>
      <c r="K85" s="2049"/>
      <c r="L85" s="2049"/>
      <c r="M85" s="2049"/>
      <c r="N85" s="2509"/>
    </row>
    <row r="86" spans="1:14" ht="13.5" hidden="1" customHeight="1" thickBot="1">
      <c r="A86" s="2508"/>
      <c r="B86" s="2049"/>
      <c r="C86" s="2049"/>
      <c r="D86" s="2049"/>
      <c r="E86" s="3570" t="s">
        <v>1073</v>
      </c>
      <c r="F86" s="3581"/>
      <c r="G86" s="2049" t="s">
        <v>1105</v>
      </c>
      <c r="H86" s="2049"/>
      <c r="I86" s="2049"/>
      <c r="J86" s="2049"/>
      <c r="K86" s="2049"/>
      <c r="L86" s="2049"/>
      <c r="M86" s="2049"/>
      <c r="N86" s="2509"/>
    </row>
    <row r="87" spans="1:14" ht="13.5" hidden="1" customHeight="1" thickBot="1">
      <c r="A87" s="2508"/>
      <c r="B87" s="2049"/>
      <c r="C87" s="2049"/>
      <c r="D87" s="2049"/>
      <c r="E87" s="3570" t="s">
        <v>300</v>
      </c>
      <c r="F87" s="3581"/>
      <c r="G87" s="2049" t="s">
        <v>1392</v>
      </c>
      <c r="H87" s="2049"/>
      <c r="I87" s="2049"/>
      <c r="J87" s="2049"/>
      <c r="K87" s="2049"/>
      <c r="L87" s="2049"/>
      <c r="M87" s="2049"/>
      <c r="N87" s="2509"/>
    </row>
    <row r="88" spans="1:14" ht="13.5" hidden="1" customHeight="1" thickBot="1">
      <c r="A88" s="2508"/>
      <c r="B88" s="2049"/>
      <c r="C88" s="2049"/>
      <c r="D88" s="2049"/>
      <c r="E88" s="3570" t="s">
        <v>547</v>
      </c>
      <c r="F88" s="3581"/>
      <c r="G88" s="2507" t="s">
        <v>922</v>
      </c>
      <c r="H88" s="2049"/>
      <c r="I88" s="2049"/>
      <c r="J88" s="2049"/>
      <c r="K88" s="2049"/>
      <c r="L88" s="2049"/>
      <c r="M88" s="2049"/>
      <c r="N88" s="2509"/>
    </row>
    <row r="89" spans="1:14" ht="13.5" hidden="1" customHeight="1" thickBot="1">
      <c r="A89" s="2508"/>
      <c r="B89" s="2049"/>
      <c r="C89" s="2513"/>
      <c r="D89" s="2513"/>
      <c r="E89" s="3570" t="s">
        <v>1580</v>
      </c>
      <c r="F89" s="3581"/>
      <c r="G89" s="2609" t="s">
        <v>1582</v>
      </c>
      <c r="H89" s="2513"/>
      <c r="I89" s="2513"/>
      <c r="J89" s="2513"/>
      <c r="K89" s="2513"/>
      <c r="L89" s="2513"/>
      <c r="M89" s="2513"/>
      <c r="N89" s="2515"/>
    </row>
    <row r="90" spans="1:14" ht="13.5" hidden="1" customHeight="1">
      <c r="A90" s="2508"/>
      <c r="B90" s="2049"/>
      <c r="C90" s="2049" t="s">
        <v>666</v>
      </c>
      <c r="D90" s="2049"/>
      <c r="E90" s="3599" t="s">
        <v>1074</v>
      </c>
      <c r="F90" s="3600"/>
      <c r="G90" s="2049" t="s">
        <v>399</v>
      </c>
      <c r="H90" s="2049"/>
      <c r="I90" s="2049"/>
      <c r="J90" s="2049"/>
      <c r="K90" s="2049"/>
      <c r="L90" s="2049"/>
      <c r="M90" s="2049"/>
      <c r="N90" s="2509"/>
    </row>
    <row r="91" spans="1:14" ht="13.5" hidden="1" customHeight="1" thickBot="1">
      <c r="A91" s="2508"/>
      <c r="B91" s="2049"/>
      <c r="C91" s="2049"/>
      <c r="D91" s="2049"/>
      <c r="E91" s="3604"/>
      <c r="F91" s="3605"/>
      <c r="G91" s="2516" t="s">
        <v>923</v>
      </c>
      <c r="H91" s="2049"/>
      <c r="I91" s="2049"/>
      <c r="J91" s="2049"/>
      <c r="K91" s="2049"/>
      <c r="L91" s="2049"/>
      <c r="M91" s="2049"/>
      <c r="N91" s="2509"/>
    </row>
    <row r="92" spans="1:14" ht="13.5" hidden="1" customHeight="1" thickBot="1">
      <c r="A92" s="2508"/>
      <c r="B92" s="2049"/>
      <c r="C92" s="2049"/>
      <c r="D92" s="2049"/>
      <c r="E92" s="3570" t="s">
        <v>853</v>
      </c>
      <c r="F92" s="3581"/>
      <c r="G92" s="2516" t="s">
        <v>1136</v>
      </c>
      <c r="H92" s="2049"/>
      <c r="I92" s="2049"/>
      <c r="J92" s="2049"/>
      <c r="K92" s="2049"/>
      <c r="L92" s="2049"/>
      <c r="M92" s="2049"/>
      <c r="N92" s="2509"/>
    </row>
    <row r="93" spans="1:14" ht="13.5" hidden="1" customHeight="1" thickBot="1">
      <c r="A93" s="2508"/>
      <c r="B93" s="2049"/>
      <c r="C93" s="2049"/>
      <c r="D93" s="2049"/>
      <c r="E93" s="3570" t="s">
        <v>643</v>
      </c>
      <c r="F93" s="3581"/>
      <c r="G93" s="2516" t="s">
        <v>1314</v>
      </c>
      <c r="H93" s="2049"/>
      <c r="I93" s="2049"/>
      <c r="J93" s="2049"/>
      <c r="K93" s="2049"/>
      <c r="L93" s="2049"/>
      <c r="M93" s="2049"/>
      <c r="N93" s="2509"/>
    </row>
    <row r="94" spans="1:14" ht="13.5" hidden="1" customHeight="1" thickBot="1">
      <c r="A94" s="2508"/>
      <c r="B94" s="2049"/>
      <c r="C94" s="2049"/>
      <c r="D94" s="2049"/>
      <c r="E94" s="3570" t="s">
        <v>854</v>
      </c>
      <c r="F94" s="3581"/>
      <c r="G94" s="2516" t="s">
        <v>855</v>
      </c>
      <c r="H94" s="2049"/>
      <c r="I94" s="2049"/>
      <c r="J94" s="2049"/>
      <c r="K94" s="2049"/>
      <c r="L94" s="2049"/>
      <c r="M94" s="2049"/>
      <c r="N94" s="2509"/>
    </row>
    <row r="95" spans="1:14" ht="13.5" hidden="1" customHeight="1" thickBot="1">
      <c r="A95" s="2508"/>
      <c r="B95" s="2049"/>
      <c r="C95" s="2049"/>
      <c r="D95" s="2049"/>
      <c r="E95" s="3570" t="s">
        <v>1316</v>
      </c>
      <c r="F95" s="3581"/>
      <c r="G95" s="2049" t="s">
        <v>1315</v>
      </c>
      <c r="H95" s="2049"/>
      <c r="I95" s="2049"/>
      <c r="J95" s="2049"/>
      <c r="K95" s="2049"/>
      <c r="L95" s="2049"/>
      <c r="M95" s="2049"/>
      <c r="N95" s="2509"/>
    </row>
    <row r="96" spans="1:14" ht="13.5" hidden="1" customHeight="1" thickBot="1">
      <c r="A96" s="2508"/>
      <c r="B96" s="2049"/>
      <c r="C96" s="2049"/>
      <c r="D96" s="2049"/>
      <c r="E96" s="3570" t="s">
        <v>161</v>
      </c>
      <c r="F96" s="3603"/>
      <c r="G96" s="2516" t="s">
        <v>1343</v>
      </c>
      <c r="H96" s="2510"/>
      <c r="I96" s="2510"/>
      <c r="J96" s="2049"/>
      <c r="K96" s="2049"/>
      <c r="L96" s="2049"/>
      <c r="M96" s="2049"/>
      <c r="N96" s="2509"/>
    </row>
    <row r="97" spans="1:14" ht="13.5" hidden="1" customHeight="1" thickBot="1">
      <c r="A97" s="2508"/>
      <c r="B97" s="2505"/>
      <c r="C97" s="2513"/>
      <c r="D97" s="2513"/>
      <c r="E97" s="3570" t="s">
        <v>581</v>
      </c>
      <c r="F97" s="3581"/>
      <c r="G97" s="2513" t="s">
        <v>29</v>
      </c>
      <c r="H97" s="2513"/>
      <c r="I97" s="2513"/>
      <c r="J97" s="2513"/>
      <c r="K97" s="2513"/>
      <c r="L97" s="2513"/>
      <c r="M97" s="2513"/>
      <c r="N97" s="2515"/>
    </row>
    <row r="98" spans="1:14" ht="13.5" hidden="1" customHeight="1" thickBot="1">
      <c r="A98" s="2508"/>
      <c r="B98" s="2049"/>
      <c r="C98" s="2049" t="s">
        <v>667</v>
      </c>
      <c r="D98" s="2049"/>
      <c r="E98" s="3570" t="s">
        <v>61</v>
      </c>
      <c r="F98" s="3581"/>
      <c r="G98" s="2049" t="s">
        <v>924</v>
      </c>
      <c r="H98" s="2049"/>
      <c r="I98" s="2049"/>
      <c r="J98" s="2049"/>
      <c r="K98" s="2049"/>
      <c r="L98" s="2049"/>
      <c r="M98" s="2049"/>
      <c r="N98" s="2509"/>
    </row>
    <row r="99" spans="1:14" ht="13.5" hidden="1" customHeight="1" thickBot="1">
      <c r="A99" s="2508"/>
      <c r="B99" s="2049"/>
      <c r="C99" s="2049"/>
      <c r="D99" s="2049"/>
      <c r="E99" s="3570" t="s">
        <v>62</v>
      </c>
      <c r="F99" s="3581"/>
      <c r="G99" s="2049" t="s">
        <v>925</v>
      </c>
      <c r="H99" s="2049"/>
      <c r="I99" s="2049"/>
      <c r="J99" s="2049"/>
      <c r="K99" s="2049"/>
      <c r="L99" s="2049"/>
      <c r="M99" s="2049"/>
      <c r="N99" s="2509"/>
    </row>
    <row r="100" spans="1:14" ht="13.5" hidden="1" customHeight="1" thickBot="1">
      <c r="A100" s="2508"/>
      <c r="B100" s="2049"/>
      <c r="C100" s="2049"/>
      <c r="D100" s="2049"/>
      <c r="E100" s="3570" t="s">
        <v>538</v>
      </c>
      <c r="F100" s="3581"/>
      <c r="G100" s="2516" t="s">
        <v>754</v>
      </c>
      <c r="H100" s="2049"/>
      <c r="I100" s="2049"/>
      <c r="J100" s="2049"/>
      <c r="K100" s="2049"/>
      <c r="L100" s="2049"/>
      <c r="M100" s="2049"/>
      <c r="N100" s="2509"/>
    </row>
    <row r="101" spans="1:14" ht="13.5" hidden="1" customHeight="1" thickBot="1">
      <c r="A101" s="2508"/>
      <c r="B101" s="2049"/>
      <c r="C101" s="2049"/>
      <c r="D101" s="2049"/>
      <c r="E101" s="3570" t="s">
        <v>539</v>
      </c>
      <c r="F101" s="3581"/>
      <c r="G101" s="2516" t="s">
        <v>756</v>
      </c>
      <c r="H101" s="2049"/>
      <c r="I101" s="2049"/>
      <c r="J101" s="2049"/>
      <c r="K101" s="2049"/>
      <c r="L101" s="2049"/>
      <c r="M101" s="2049"/>
      <c r="N101" s="2509"/>
    </row>
    <row r="102" spans="1:14" ht="13.5" hidden="1" customHeight="1" thickBot="1">
      <c r="A102" s="2508"/>
      <c r="B102" s="2049"/>
      <c r="C102" s="2049"/>
      <c r="D102" s="2049"/>
      <c r="E102" s="3570" t="s">
        <v>584</v>
      </c>
      <c r="F102" s="3581"/>
      <c r="G102" s="2049" t="s">
        <v>372</v>
      </c>
      <c r="H102" s="2049"/>
      <c r="I102" s="2049"/>
      <c r="J102" s="2049"/>
      <c r="K102" s="2049"/>
      <c r="L102" s="2049"/>
      <c r="M102" s="2049"/>
      <c r="N102" s="2509"/>
    </row>
    <row r="103" spans="1:14" ht="13.5" hidden="1" customHeight="1" thickBot="1">
      <c r="A103" s="2508"/>
      <c r="B103" s="2049"/>
      <c r="C103" s="2049"/>
      <c r="D103" s="2049"/>
      <c r="E103" s="3570" t="s">
        <v>160</v>
      </c>
      <c r="F103" s="3581"/>
      <c r="G103" s="2049" t="s">
        <v>755</v>
      </c>
      <c r="H103" s="2049"/>
      <c r="I103" s="2049"/>
      <c r="J103" s="2049"/>
      <c r="K103" s="2049"/>
      <c r="L103" s="2049"/>
      <c r="M103" s="2049"/>
      <c r="N103" s="2509"/>
    </row>
    <row r="104" spans="1:14" ht="13.5" hidden="1" customHeight="1" thickBot="1">
      <c r="A104" s="2508"/>
      <c r="B104" s="2049"/>
      <c r="C104" s="2049"/>
      <c r="D104" s="2049"/>
      <c r="E104" s="3570" t="s">
        <v>340</v>
      </c>
      <c r="F104" s="3581"/>
      <c r="G104" s="2049" t="s">
        <v>723</v>
      </c>
      <c r="H104" s="2049"/>
      <c r="I104" s="2049"/>
      <c r="J104" s="2049"/>
      <c r="K104" s="2049"/>
      <c r="L104" s="2049"/>
      <c r="M104" s="2049"/>
      <c r="N104" s="2509"/>
    </row>
    <row r="105" spans="1:14" ht="13.5" hidden="1" customHeight="1" thickBot="1">
      <c r="A105" s="2508"/>
      <c r="B105" s="2049"/>
      <c r="C105" s="2513"/>
      <c r="D105" s="2513"/>
      <c r="E105" s="3570" t="s">
        <v>371</v>
      </c>
      <c r="F105" s="3581"/>
      <c r="G105" s="2514" t="s">
        <v>757</v>
      </c>
      <c r="H105" s="2513"/>
      <c r="I105" s="2513"/>
      <c r="J105" s="2513"/>
      <c r="K105" s="2513"/>
      <c r="L105" s="2513"/>
      <c r="M105" s="2513"/>
      <c r="N105" s="2515"/>
    </row>
    <row r="106" spans="1:14" ht="13.5" hidden="1" customHeight="1" thickBot="1">
      <c r="A106" s="2508"/>
      <c r="B106" s="2049"/>
      <c r="C106" s="2049" t="s">
        <v>1028</v>
      </c>
      <c r="D106" s="2049"/>
      <c r="E106" s="3599" t="s">
        <v>1029</v>
      </c>
      <c r="F106" s="3600"/>
      <c r="G106" s="2049" t="s">
        <v>1032</v>
      </c>
      <c r="H106" s="2049"/>
      <c r="I106" s="2049"/>
      <c r="J106" s="2049"/>
      <c r="K106" s="2049"/>
      <c r="L106" s="2049"/>
      <c r="M106" s="2049"/>
      <c r="N106" s="2517"/>
    </row>
    <row r="107" spans="1:14" ht="13.5" hidden="1" customHeight="1" thickBot="1">
      <c r="A107" s="2508"/>
      <c r="B107" s="2049"/>
      <c r="C107" s="2049"/>
      <c r="D107" s="2049"/>
      <c r="E107" s="3599" t="s">
        <v>1030</v>
      </c>
      <c r="F107" s="3600"/>
      <c r="G107" s="2049" t="s">
        <v>1033</v>
      </c>
      <c r="H107" s="2049"/>
      <c r="I107" s="2049"/>
      <c r="J107" s="2049"/>
      <c r="K107" s="2049"/>
      <c r="L107" s="2049"/>
      <c r="M107" s="2049"/>
      <c r="N107" s="2509"/>
    </row>
    <row r="108" spans="1:14" ht="13.5" hidden="1" customHeight="1" thickBot="1">
      <c r="A108" s="2508"/>
      <c r="B108" s="2049"/>
      <c r="C108" s="2049"/>
      <c r="D108" s="2049"/>
      <c r="E108" s="3599" t="s">
        <v>1031</v>
      </c>
      <c r="F108" s="3600"/>
      <c r="G108" s="2049" t="s">
        <v>1034</v>
      </c>
      <c r="H108" s="2049"/>
      <c r="I108" s="2049"/>
      <c r="J108" s="2049"/>
      <c r="K108" s="2049"/>
      <c r="L108" s="2049"/>
      <c r="M108" s="2049"/>
      <c r="N108" s="2509"/>
    </row>
    <row r="109" spans="1:14" ht="13.5" hidden="1" customHeight="1" thickBot="1">
      <c r="A109" s="2508"/>
      <c r="B109" s="2049"/>
      <c r="C109" s="2049"/>
      <c r="D109" s="2049"/>
      <c r="E109" s="3570" t="s">
        <v>1035</v>
      </c>
      <c r="F109" s="3581"/>
      <c r="G109" s="2049" t="s">
        <v>1281</v>
      </c>
      <c r="H109" s="2049"/>
      <c r="I109" s="2049"/>
      <c r="J109" s="2049"/>
      <c r="K109" s="2049"/>
      <c r="L109" s="2049"/>
      <c r="M109" s="2049"/>
      <c r="N109" s="2509"/>
    </row>
    <row r="110" spans="1:14" ht="13.5" hidden="1" customHeight="1" thickBot="1">
      <c r="A110" s="2508"/>
      <c r="B110" s="2049"/>
      <c r="C110" s="2049" t="s">
        <v>1651</v>
      </c>
      <c r="D110" s="2679"/>
      <c r="E110" s="3595" t="s">
        <v>1398</v>
      </c>
      <c r="F110" s="3596"/>
      <c r="G110" s="2680" t="s">
        <v>644</v>
      </c>
      <c r="H110" s="2678"/>
      <c r="I110" s="2678"/>
      <c r="J110" s="2678"/>
      <c r="K110" s="2678"/>
      <c r="L110" s="2678"/>
      <c r="M110" s="2678"/>
      <c r="N110" s="2517"/>
    </row>
    <row r="111" spans="1:14" ht="13.5" hidden="1" customHeight="1" thickBot="1">
      <c r="A111" s="2508"/>
      <c r="B111" s="2049"/>
      <c r="C111" s="2049"/>
      <c r="D111" s="2049"/>
      <c r="E111" s="3570" t="s">
        <v>892</v>
      </c>
      <c r="F111" s="3581"/>
      <c r="G111" s="2049" t="s">
        <v>1373</v>
      </c>
      <c r="H111" s="2049"/>
      <c r="I111" s="2049"/>
      <c r="J111" s="2049"/>
      <c r="K111" s="2049"/>
      <c r="L111" s="2049"/>
      <c r="M111" s="2049"/>
      <c r="N111" s="2509"/>
    </row>
    <row r="112" spans="1:14" ht="13.5" hidden="1" customHeight="1" thickBot="1">
      <c r="A112" s="2508"/>
      <c r="B112" s="2049"/>
      <c r="C112" s="2049"/>
      <c r="D112" s="2049"/>
      <c r="E112" s="2670"/>
      <c r="F112" s="2671"/>
      <c r="G112" s="2049"/>
      <c r="H112" s="2049"/>
      <c r="I112" s="2049"/>
      <c r="J112" s="2049"/>
      <c r="K112" s="2049"/>
      <c r="L112" s="2049"/>
      <c r="M112" s="2049"/>
      <c r="N112" s="2509"/>
    </row>
    <row r="113" spans="1:14" ht="13.5" hidden="1" customHeight="1" thickBot="1">
      <c r="A113" s="2508"/>
      <c r="B113" s="2049"/>
      <c r="C113" s="2513"/>
      <c r="D113" s="2513"/>
      <c r="E113" s="2670"/>
      <c r="F113" s="2671"/>
      <c r="G113" s="2514"/>
      <c r="H113" s="2513"/>
      <c r="I113" s="2513"/>
      <c r="J113" s="2513"/>
      <c r="K113" s="2513"/>
      <c r="L113" s="2513"/>
      <c r="M113" s="2513"/>
      <c r="N113" s="2515"/>
    </row>
    <row r="114" spans="1:14" ht="13.5" hidden="1" customHeight="1" thickBot="1">
      <c r="A114" s="2508"/>
      <c r="B114" s="2049"/>
      <c r="C114" s="2049" t="s">
        <v>668</v>
      </c>
      <c r="D114" s="2049"/>
      <c r="E114" s="3595" t="s">
        <v>63</v>
      </c>
      <c r="F114" s="3596"/>
      <c r="G114" s="2516" t="s">
        <v>463</v>
      </c>
      <c r="H114" s="2049"/>
      <c r="I114" s="2049"/>
      <c r="J114" s="2049"/>
      <c r="K114" s="2049"/>
      <c r="L114" s="2049"/>
      <c r="M114" s="2049"/>
      <c r="N114" s="2509"/>
    </row>
    <row r="115" spans="1:14" ht="13.5" hidden="1" customHeight="1" thickBot="1">
      <c r="A115" s="2508"/>
      <c r="B115" s="2049"/>
      <c r="C115" s="2049"/>
      <c r="D115" s="2049"/>
      <c r="E115" s="3570" t="s">
        <v>64</v>
      </c>
      <c r="F115" s="3581"/>
      <c r="G115" s="2516" t="s">
        <v>464</v>
      </c>
      <c r="H115" s="2049"/>
      <c r="I115" s="2049"/>
      <c r="J115" s="2049"/>
      <c r="K115" s="2049"/>
      <c r="L115" s="2049"/>
      <c r="M115" s="2049"/>
      <c r="N115" s="2509"/>
    </row>
    <row r="116" spans="1:14" ht="13.5" hidden="1" customHeight="1" thickBot="1">
      <c r="A116" s="2508"/>
      <c r="B116" s="2049"/>
      <c r="C116" s="2049"/>
      <c r="D116" s="2049"/>
      <c r="E116" s="3570" t="s">
        <v>65</v>
      </c>
      <c r="F116" s="3581"/>
      <c r="G116" s="2516" t="s">
        <v>724</v>
      </c>
      <c r="H116" s="2049"/>
      <c r="I116" s="2049"/>
      <c r="J116" s="2049"/>
      <c r="K116" s="2049"/>
      <c r="L116" s="2049"/>
      <c r="M116" s="2049"/>
      <c r="N116" s="2509"/>
    </row>
    <row r="117" spans="1:14" ht="13.5" hidden="1" customHeight="1" thickBot="1">
      <c r="A117" s="2508"/>
      <c r="B117" s="2049"/>
      <c r="C117" s="2049"/>
      <c r="D117" s="2049"/>
      <c r="E117" s="3570" t="s">
        <v>66</v>
      </c>
      <c r="F117" s="3581"/>
      <c r="G117" s="2516" t="s">
        <v>726</v>
      </c>
      <c r="H117" s="2049"/>
      <c r="I117" s="2049"/>
      <c r="J117" s="2049"/>
      <c r="K117" s="2049"/>
      <c r="L117" s="2049"/>
      <c r="M117" s="2049"/>
      <c r="N117" s="2509"/>
    </row>
    <row r="118" spans="1:14" ht="13.5" hidden="1" customHeight="1" thickBot="1">
      <c r="A118" s="2508"/>
      <c r="B118" s="2049"/>
      <c r="C118" s="2049"/>
      <c r="D118" s="2049"/>
      <c r="E118" s="3570" t="s">
        <v>662</v>
      </c>
      <c r="F118" s="3581"/>
      <c r="G118" s="2516" t="s">
        <v>727</v>
      </c>
      <c r="H118" s="2049"/>
      <c r="I118" s="2049"/>
      <c r="J118" s="2049"/>
      <c r="K118" s="2049"/>
      <c r="L118" s="2049"/>
      <c r="M118" s="2049"/>
      <c r="N118" s="2509"/>
    </row>
    <row r="119" spans="1:14" ht="13.5" hidden="1" customHeight="1" thickBot="1">
      <c r="A119" s="2508"/>
      <c r="B119" s="2049"/>
      <c r="C119" s="2049"/>
      <c r="D119" s="2049"/>
      <c r="E119" s="3570" t="s">
        <v>663</v>
      </c>
      <c r="F119" s="3581"/>
      <c r="G119" s="2516" t="s">
        <v>725</v>
      </c>
      <c r="H119" s="2049"/>
      <c r="I119" s="2049"/>
      <c r="J119" s="2049"/>
      <c r="K119" s="2049"/>
      <c r="L119" s="2049"/>
      <c r="M119" s="2049"/>
      <c r="N119" s="2509"/>
    </row>
    <row r="120" spans="1:14" ht="13.5" hidden="1" customHeight="1" thickBot="1">
      <c r="A120" s="2508"/>
      <c r="B120" s="2049"/>
      <c r="C120" s="2049"/>
      <c r="D120" s="2049"/>
      <c r="E120" s="3570" t="s">
        <v>664</v>
      </c>
      <c r="F120" s="3581"/>
      <c r="G120" s="2516" t="s">
        <v>728</v>
      </c>
      <c r="H120" s="2049"/>
      <c r="I120" s="2049"/>
      <c r="J120" s="2049"/>
      <c r="K120" s="2049"/>
      <c r="L120" s="2049"/>
      <c r="M120" s="2049"/>
      <c r="N120" s="2509"/>
    </row>
    <row r="121" spans="1:14" ht="13.5" hidden="1" customHeight="1" thickBot="1">
      <c r="A121" s="2518"/>
      <c r="B121" s="2519"/>
      <c r="C121" s="2519"/>
      <c r="D121" s="2519"/>
      <c r="E121" s="3608" t="s">
        <v>665</v>
      </c>
      <c r="F121" s="3609"/>
      <c r="G121" s="2520" t="s">
        <v>1016</v>
      </c>
      <c r="H121" s="2519"/>
      <c r="I121" s="2519"/>
      <c r="J121" s="2519"/>
      <c r="K121" s="2519"/>
      <c r="L121" s="2519"/>
      <c r="M121" s="2519"/>
      <c r="N121" s="2521"/>
    </row>
    <row r="122" spans="1:14" ht="13.5" customHeight="1" thickTop="1"/>
    <row r="123" spans="1:14" ht="13.5" customHeight="1"/>
    <row r="124" spans="1:14" ht="13.5" customHeight="1"/>
    <row r="125" spans="1:14" ht="13.5" customHeight="1"/>
    <row r="126" spans="1:14" ht="13.5" customHeight="1"/>
    <row r="127" spans="1:14" ht="13.5" customHeight="1"/>
    <row r="128" spans="1:14"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sheetData>
  <sheetProtection sheet="1" objects="1" scenarios="1"/>
  <mergeCells count="111">
    <mergeCell ref="E121:F121"/>
    <mergeCell ref="E119:F119"/>
    <mergeCell ref="E120:F120"/>
    <mergeCell ref="E114:F114"/>
    <mergeCell ref="E110:F110"/>
    <mergeCell ref="E115:F115"/>
    <mergeCell ref="E62:F62"/>
    <mergeCell ref="E48:F48"/>
    <mergeCell ref="E79:F79"/>
    <mergeCell ref="E81:F81"/>
    <mergeCell ref="E80:F80"/>
    <mergeCell ref="E107:F107"/>
    <mergeCell ref="E104:F104"/>
    <mergeCell ref="E101:F101"/>
    <mergeCell ref="E105:F105"/>
    <mergeCell ref="E95:F95"/>
    <mergeCell ref="E116:F116"/>
    <mergeCell ref="E117:F117"/>
    <mergeCell ref="E118:F118"/>
    <mergeCell ref="E111:F111"/>
    <mergeCell ref="E98:F98"/>
    <mergeCell ref="E99:F99"/>
    <mergeCell ref="E100:F100"/>
    <mergeCell ref="E103:F103"/>
    <mergeCell ref="E59:F59"/>
    <mergeCell ref="E78:F78"/>
    <mergeCell ref="E96:F96"/>
    <mergeCell ref="E97:F97"/>
    <mergeCell ref="E94:F94"/>
    <mergeCell ref="E90:F91"/>
    <mergeCell ref="E77:F77"/>
    <mergeCell ref="E75:F75"/>
    <mergeCell ref="E76:F76"/>
    <mergeCell ref="E73:F73"/>
    <mergeCell ref="E74:F74"/>
    <mergeCell ref="E106:F106"/>
    <mergeCell ref="E109:F109"/>
    <mergeCell ref="E108:F108"/>
    <mergeCell ref="E102:F102"/>
    <mergeCell ref="E89:F89"/>
    <mergeCell ref="E92:F92"/>
    <mergeCell ref="E93:F93"/>
    <mergeCell ref="E82:F82"/>
    <mergeCell ref="E83:F83"/>
    <mergeCell ref="E84:F84"/>
    <mergeCell ref="E86:F86"/>
    <mergeCell ref="E87:F87"/>
    <mergeCell ref="E88:F88"/>
    <mergeCell ref="E85:F85"/>
    <mergeCell ref="A72:B72"/>
    <mergeCell ref="E36:F36"/>
    <mergeCell ref="E37:F37"/>
    <mergeCell ref="E38:F38"/>
    <mergeCell ref="E26:F26"/>
    <mergeCell ref="E50:F50"/>
    <mergeCell ref="E60:F60"/>
    <mergeCell ref="E72:F72"/>
    <mergeCell ref="E57:F57"/>
    <mergeCell ref="E58:F58"/>
    <mergeCell ref="E70:F70"/>
    <mergeCell ref="E61:F61"/>
    <mergeCell ref="E64:F64"/>
    <mergeCell ref="E65:F65"/>
    <mergeCell ref="E66:F66"/>
    <mergeCell ref="E67:F67"/>
    <mergeCell ref="E71:F71"/>
    <mergeCell ref="E68:F68"/>
    <mergeCell ref="E69:F69"/>
    <mergeCell ref="E63:F63"/>
    <mergeCell ref="E30:F30"/>
    <mergeCell ref="E31:F31"/>
    <mergeCell ref="E42:F42"/>
    <mergeCell ref="E52:F52"/>
    <mergeCell ref="E16:F16"/>
    <mergeCell ref="E15:F15"/>
    <mergeCell ref="E22:F22"/>
    <mergeCell ref="E23:F23"/>
    <mergeCell ref="E18:F18"/>
    <mergeCell ref="E19:F19"/>
    <mergeCell ref="A1:B1"/>
    <mergeCell ref="E11:F11"/>
    <mergeCell ref="E12:F12"/>
    <mergeCell ref="E21:F21"/>
    <mergeCell ref="E20:F20"/>
    <mergeCell ref="E1:N3"/>
    <mergeCell ref="E17:F17"/>
    <mergeCell ref="E13:F13"/>
    <mergeCell ref="E14:F14"/>
    <mergeCell ref="E24:F24"/>
    <mergeCell ref="E47:F47"/>
    <mergeCell ref="E32:F32"/>
    <mergeCell ref="E33:F33"/>
    <mergeCell ref="E34:F34"/>
    <mergeCell ref="E27:F27"/>
    <mergeCell ref="E56:F56"/>
    <mergeCell ref="E29:F29"/>
    <mergeCell ref="E25:F25"/>
    <mergeCell ref="E28:F28"/>
    <mergeCell ref="E44:F44"/>
    <mergeCell ref="E39:F39"/>
    <mergeCell ref="E45:F45"/>
    <mergeCell ref="E46:F46"/>
    <mergeCell ref="E40:F40"/>
    <mergeCell ref="E43:F43"/>
    <mergeCell ref="E41:F41"/>
    <mergeCell ref="E54:F54"/>
    <mergeCell ref="E55:F55"/>
    <mergeCell ref="E53:F53"/>
    <mergeCell ref="E51:F51"/>
    <mergeCell ref="E49:F49"/>
    <mergeCell ref="E35:F35"/>
  </mergeCells>
  <phoneticPr fontId="8" type="noConversion"/>
  <hyperlinks>
    <hyperlink ref="E15" location="'Annual Parameters'!A1" display="Annual Parameters"/>
    <hyperlink ref="E59" location="M4.2.1!A1" display="M 4.2.1"/>
    <hyperlink ref="E76" location="'Future occupancies'!A1" display="Future occupancies"/>
    <hyperlink ref="E77" location="VoT!A1" display="VoT"/>
    <hyperlink ref="E16" location="'Discount %'!A1" display="Discount %"/>
    <hyperlink ref="E85" location="'VoC Efficiency'!A1" display="VoC Efficiency"/>
    <hyperlink ref="E86" location="'VoC Mileage %'!A1" display="VoC Mileage %"/>
    <hyperlink ref="E90" location="Noise!A1" display="Noise"/>
    <hyperlink ref="E92" location="'Air Quality'!A1" display="Air Quality"/>
    <hyperlink ref="E96" location="GHG!A1" display="GHG"/>
    <hyperlink ref="E103" location="'Option values'!A1" display="Option values"/>
    <hyperlink ref="E105" location="Walking!A1" display="Walking"/>
    <hyperlink ref="E114" location="'COBALT 1'!A1" display="COBALT 1"/>
    <hyperlink ref="E115" location="'COBALT 2'!A1" display="COBALT 2"/>
    <hyperlink ref="E116" location="'COBALT 3'!A1" display="COBALT 3"/>
    <hyperlink ref="E117" location="'COBALT 4'!A1" display="COBALT 4"/>
    <hyperlink ref="E118" location="'COBALT 5'!A1" display="COBALT 5"/>
    <hyperlink ref="E119" location="'COBALT 6'!A1" display="COBALT 6"/>
    <hyperlink ref="E120" location="'COBALT 7'!A1" display="COBALT 7"/>
    <hyperlink ref="E121" location="'COBALT 8'!A1" display="COBALT 8"/>
    <hyperlink ref="E98" location="'Casualty costs'!A1" display="Casualty costs"/>
    <hyperlink ref="E99" location="'Accident costs'!A1" display="Accident costs"/>
    <hyperlink ref="E100" location="'Casualty data'!A1" display="Casualty data"/>
    <hyperlink ref="E101" location="'Accident data'!A1" display="Accident data"/>
    <hyperlink ref="E11" location="Cover!A1" display="Cover"/>
    <hyperlink ref="E12" location="'User Parameters'!A1" display="User Parameters"/>
    <hyperlink ref="E72" location="'Default Pars'!A1" display="Default Pars"/>
    <hyperlink ref="E13" location="Audit!A1" display="Audit"/>
    <hyperlink ref="E14" location="TAG1!A1" display="TAG1"/>
    <hyperlink ref="E88" location="'VoC Non-Fuel'!A1" display="VoC Non-Fuel"/>
    <hyperlink ref="E93" location="'Air Health £'!A1" display="Air Health £"/>
    <hyperlink ref="E104" location="Cycling!A1" display="Cycling"/>
    <hyperlink ref="E87" location="'VoC Fuel'!A1" display="VoC Fuel"/>
    <hyperlink ref="E76:F76" location="'Forecast occupancies'!A1" display="Forecast occupancies"/>
    <hyperlink ref="E77:F77" location="VoT1!A1" display="VoT1"/>
    <hyperlink ref="E78:F78" location="VoT2!A1" display="VoT2"/>
    <hyperlink ref="E79:F79" location="VoT3!A1" display="VoT3"/>
    <hyperlink ref="E81:F81" location="VoT4!A1" display="VoT4"/>
    <hyperlink ref="E82:F82" location="VoT5!A1" display="VoT5"/>
    <hyperlink ref="E83:F83" location="VoT6!A1" display="VoT6"/>
    <hyperlink ref="E102" location="'Accident data'!A1" display="Accident data"/>
    <hyperlink ref="E102:F102" location="Rail!A1" display="Rail"/>
    <hyperlink ref="E95" location="'Air Health £'!A1" display="Air Health £"/>
    <hyperlink ref="E95:F95" location="'CO2'!A1" display="CO2"/>
    <hyperlink ref="E73" location="'Default Pars'!A1" display="Default Pars"/>
    <hyperlink ref="E73:F73" location="'Annual Parameters Source'!A1" display="Annual Parameters Source"/>
    <hyperlink ref="E92:F92" location="'NOx damage'!A1" display="NOx damage"/>
    <hyperlink ref="E93:F93" location="'PM10 damage'!A1" display="PM10 damage"/>
    <hyperlink ref="E94" location="'Air Health £'!A1" display="Air Health £"/>
    <hyperlink ref="E94:F94" location="'NOx abatement'!A1" display="NOx abatement"/>
    <hyperlink ref="E74" location="'Default Pars'!A1" display="Default Pars"/>
    <hyperlink ref="E74:F74" location="'Discount %'!A1" display="Discount %"/>
    <hyperlink ref="E16:F16" location="A1.1.1!A1" tooltip="Discount rates" display="A 1.1.1"/>
    <hyperlink ref="E84:F84" location="'Fuel consumption'!A1" display="Fuel consumption"/>
    <hyperlink ref="E110" location="Walking!A1" display="Walking"/>
    <hyperlink ref="E110:F110" location="'Adjustment Factors'!A1" display="Adjustment Factors"/>
    <hyperlink ref="E49:F49" location="A5.4.1!A1" tooltip="Proportion of total traffic by region, congestion band, area type &amp; road type" display="A 5.4.1"/>
    <hyperlink ref="E50:F50" location="A5.4.2!A1" tooltip="Marginal External Costs by road type &amp; congestion band" display="A 5.4.2"/>
    <hyperlink ref="E51:F51" location="A5.4.3!A1" tooltip="Car traffic shares by time of day" display="A 5.4.3"/>
    <hyperlink ref="E52:F52" location="A5.4.4!A1" tooltip="Marginal External Costs by region and time of day" display="A 5.4.4"/>
    <hyperlink ref="E106:F106" location="'Total - Traffic %'!A1" display="Total - Traffic %"/>
    <hyperlink ref="E107:F107" location="'Car - MECs'!A1" display="Car - MECs"/>
    <hyperlink ref="E108:F108" location="'Car Traffic Shares'!A1" display="Car Traffic Shares"/>
    <hyperlink ref="E109:F109" location="'MECs - time of day'!A1" display="MECs - time of day"/>
    <hyperlink ref="E75:F75" location="'Indirect tax correction'!A1" display="Indirect tax correction"/>
    <hyperlink ref="E11:F11" location="Cover!A1" tooltip="Department for Transport contact information" display="Cover"/>
    <hyperlink ref="E63" location="'COBALT 1'!A1" display="COBALT 1"/>
    <hyperlink ref="E64" location="'COBALT 2'!A1" display="COBALT 2"/>
    <hyperlink ref="E65" location="'COBALT 3'!A1" display="COBALT 3"/>
    <hyperlink ref="E66" location="'COBALT 4'!A1" display="COBALT 4"/>
    <hyperlink ref="E67" location="'COBALT 5'!A1" display="COBALT 5"/>
    <hyperlink ref="E68" location="'COBALT 6'!A1" display="COBALT 6"/>
    <hyperlink ref="E69" location="'COBALT 7'!A1" display="COBALT 7"/>
    <hyperlink ref="E70" location="'COBALT 8'!A1" display="COBALT 8"/>
    <hyperlink ref="E12:F12" location="'User Parameters'!A1" tooltip="User-defined price year &amp; initial forecast year" display="User Parameters"/>
    <hyperlink ref="E13:F13" location="Audit!A1" tooltip="Version log" display="Audit"/>
    <hyperlink ref="E14:F14" location="TAG1!A1" tooltip="WebTAG1 table look-up" display="TAG1"/>
    <hyperlink ref="E15:F15" location="'Annual Parameters'!A1" tooltip="Forecast annual economic &amp; demographic parameters" display="Annual Parameters"/>
    <hyperlink ref="E18:F18" location="A1.3.2!A1" tooltip="Forecast values of time per person (working &amp; non-working)" display="A 1.3.2"/>
    <hyperlink ref="E19:F19" location="A1.3.3!A1" tooltip="Car &amp; vehicle occupancies (2000); Annual % change in car passenger occupancy up to 2036" display="A 1.3.3"/>
    <hyperlink ref="E80:F80" location="A1.3.3.2!A1" tooltip="Vehicle occupancies based on vehicle kilometres travelled (2010)" display="A 1.3.3.2"/>
    <hyperlink ref="E20:F20" location="A1.3.4!A1" tooltip="Proportion of travel &amp; trips in work &amp; non-work time" display="A 1.3.4"/>
    <hyperlink ref="E21:F21" location="A1.3.5!A1" tooltip="Market price values of time per vehicle based on distance travelled" display="A 1.3.5"/>
    <hyperlink ref="E22:F22" location="A1.3.6!A1" tooltip="Forecast market price values of time per vehicle based on distance travelled" display="A 1.3.6"/>
    <hyperlink ref="E23:F23" location="A1.3.7!A1" tooltip="Fuel and electricity prices &amp; components" display="A 1.3.7"/>
    <hyperlink ref="E24:F24" location="A1.3.8!A1" tooltip="Fuel / energy consumption parameter values" display="A 1.3.8"/>
    <hyperlink ref="E25:F25" location="A1.3.9!A1" tooltip="Forecast proportion of car, LGV &amp; other vehicle kms using petrol / diesel / electricity" display="A 1.3.9"/>
    <hyperlink ref="E26:F26" location="A1.3.10!A1" tooltip="Forecast assumed vehicle fuel efficiency improvements to 2035" display="A 1.3.10"/>
    <hyperlink ref="E27:F27" location="A1.3.11!A1" tooltip="Forecast fuel / energy consumption parameters" display="A 1.3.11"/>
    <hyperlink ref="E28:F28" location="A1.3.12!A1" tooltip="Forecast vehicle fuel / energy cost formulae parameters (work)" display="A 1.3.12"/>
    <hyperlink ref="E29:F29" location="A1.3.13!A1" tooltip="Forecast vehicle fuel / energy cost formulae parameters (non-work)" display="A 1.3.13"/>
    <hyperlink ref="E30:F30" location="A1.3.14!A1" tooltip="Non-fuel resource vehicle operating costs" display="A 1.3.14"/>
    <hyperlink ref="E31:F31" location="A1.3.15!A1" tooltip="Forecast non-fuel resource car operating costs to 2035" display="A 1.3.15"/>
    <hyperlink ref="E36:F36" location="A3.2!A1" tooltip="Damage cost &amp; marginal abatement cost values by pollutant" display="A 3.2"/>
    <hyperlink ref="E37:F37" location="A3.3!A1" tooltip="Carbon dioxide emissions per litre of fuel burnt / kWh used" display="A 3.3"/>
    <hyperlink ref="E38:F38" location="A3.4!A1" tooltip="Forecast non-traded, £ per tonne of CO2e" display="A 3.4"/>
    <hyperlink ref="E39:F39" location="A4.1.1!A1" tooltip="Average value of prevention per casualty by severity &amp; element of cost" display="A 4.1.1"/>
    <hyperlink ref="E40:F40" location="A4.1.2!A1" tooltip="Average value of prevention per road casualty by class of road user" display="A 4.1.2"/>
    <hyperlink ref="E41:F41" location="A4.1.3!A1" tooltip="Average value of prevention of road accidents by severity &amp; element of cost" display="A 4.1.3"/>
    <hyperlink ref="E42:F42" location="A4.1.4!A1" tooltip="Average value of prevention per road accident by severity &amp; class of road: all hours" display="A 4.1.4"/>
    <hyperlink ref="E43:F43" location="A4.1.5!A1" tooltip="Rail injury classification, weights and values" display="A 4.1.5"/>
    <hyperlink ref="E44:F44" location="A4.1.6!A1" tooltip="Value of journey quality benefit of cycle facilities, relative to no facilities" display="A 4.1.6"/>
    <hyperlink ref="E56:F56" location="M2.1!A1" tooltip="Values of time per income group for non-work purposes (£/hr)" display="M 2.1"/>
    <hyperlink ref="E57:F57" location="M2.2!A1" tooltip="Values of time per income group for work purposes (£/hr)" display="M 2.2"/>
    <hyperlink ref="E58:F58" location="M3.2.1!A1" tooltip="Segmented values of bus quality interventions (generalised minutes)" display="M 3.2.1"/>
    <hyperlink ref="E59:F59" location="M4.2.1!A1" tooltip="Forecast fuel price and income adjustment factors" display="M 4.2.1"/>
    <hyperlink ref="E63:F63" location="'COBALT 1'!A1" tooltip="Costs per Accident / Casualty" display="COBALT 1"/>
    <hyperlink ref="E64:F64" location="'COBALT 2'!A1" tooltip="Annual Rates of Growth of Accident Values" display="COBALT 2"/>
    <hyperlink ref="E65:F65" location="'COBALT 3'!A1" tooltip="Accident rates (Link / Combined)" display="COBALT 3"/>
    <hyperlink ref="E66:F66" location="'COBALT 4'!A1" tooltip="Severity rates (Link / Combined)" display="COBALT 4"/>
    <hyperlink ref="E67:F67" location="'COBALT 5'!A1" tooltip="Casualty rates (Link / Combined)" display="COBALT 5"/>
    <hyperlink ref="E68:F68" location="'COBALT 6'!A1" tooltip="Accident rates &amp; change factors (Junction only) " display="COBALT 6"/>
    <hyperlink ref="E69:F69" location="'COBALT 7'!A1" tooltip=" Accident rates &amp; change factors (Junction only)" display="COBALT 7"/>
    <hyperlink ref="E70:F70" location="'COBALT 8'!A1" tooltip="Severity rates (Junction only)" display="COBALT 8"/>
    <hyperlink ref="E71:F71" location="'COBALT 9'!A1" tooltip="Casualty rates (Junction only)" display="COBALT 9'"/>
    <hyperlink ref="E97:F97" location="Electricity!A1" display="Electricity"/>
    <hyperlink ref="E111:F111" location="'Car speeds'!A1" tooltip="Car speeds &amp; costs for rail forecasts" display="Speeds"/>
    <hyperlink ref="E60:F60" location="M4.2.2!A1" tooltip="Car cost series for rail demand forecasting" display="M 4.2.2"/>
    <hyperlink ref="E32:F32" location="A1.3.16!A1" tooltip="Proportion of bus trips by car ownership, trip purpose and concessionary traevl pass status" display="A 1.3.16"/>
    <hyperlink ref="E33:F33" location="A1.3.17!A1" tooltip="Proportion of bus trips that would &quot;not go&quot; if bus not available" display="A 1.3.17"/>
    <hyperlink ref="E34:F34" location="A1.3.18!A1" tooltip="Value of the social impact per return bus trip" display="A 1.3.18"/>
    <hyperlink ref="E89" location="'VoC Non-Fuel'!A1" display="VoC Non-Fuel"/>
    <hyperlink ref="E89:F89" location="'Bus Social Impacts'!A1" display="Bus Social Impacts"/>
    <hyperlink ref="E17" location="A1.3.1!A1" tooltip="Values of time per person (working &amp; non-working)" display="A 1.3.1"/>
    <hyperlink ref="E35:F35" location="A3.1!A1" tooltip="Noise impacts" display="A 3.1"/>
    <hyperlink ref="E47:F47" location="A5.3.1!A1" tooltip="Proportion of total traffic by region, congestion band, area type &amp; road type" display="A 5.3.1"/>
    <hyperlink ref="E61:F61" location="M4.2.3!A1" tooltip="Car cost series for rail demand forecasting" display="M 4.2.3"/>
    <hyperlink ref="E48:F48" location="A5.3.2!C23" display="A 5.3.2"/>
    <hyperlink ref="E53:F53" location="A5.4.5!B23" display="A 5.4.5"/>
    <hyperlink ref="E62:F62" location="M4.2.4!A1" display="M 4.2.4"/>
    <hyperlink ref="E54:F54" location="A5.4.6!A1" display="A5.4.6"/>
    <hyperlink ref="E55:F55" location="A5.4.7!A1" display="A5.4.7"/>
    <hyperlink ref="E45:F45" location="A4.1.7!A1" tooltip="Values of aspects of pedestrian environment, used in valuation of London Strategic Walk Network" display="A 4.1.7"/>
    <hyperlink ref="E46:F46" location="A4.1.8!A1" tooltip="Option and non-use values" display="A 4.1.8"/>
  </hyperlinks>
  <printOptions gridLines="1"/>
  <pageMargins left="0.35433070866141736" right="0.35433070866141736" top="0.59055118110236227" bottom="0.39370078740157483" header="0.31496062992125984" footer="0.11811023622047245"/>
  <pageSetup paperSize="9" scale="79" orientation="landscape" r:id="rId1"/>
  <headerFooter alignWithMargins="0"/>
  <rowBreaks count="2" manualBreakCount="2">
    <brk id="9" max="16383" man="1"/>
    <brk id="76"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CCFFCC"/>
  </sheetPr>
  <dimension ref="A1:BJ200"/>
  <sheetViews>
    <sheetView showGridLines="0" zoomScale="85" zoomScaleNormal="85" workbookViewId="0">
      <selection activeCell="J23" sqref="J23"/>
    </sheetView>
  </sheetViews>
  <sheetFormatPr defaultColWidth="12.88671875" defaultRowHeight="13.2"/>
  <cols>
    <col min="1" max="13" width="12.88671875" style="33" customWidth="1"/>
    <col min="14" max="61" width="12.88671875" style="26" customWidth="1"/>
    <col min="62" max="16384" width="12.88671875" style="33"/>
  </cols>
  <sheetData>
    <row r="1" spans="1:62" ht="54.9" customHeight="1">
      <c r="A1" s="3569"/>
      <c r="B1" s="3569"/>
      <c r="L1" s="112"/>
      <c r="M1" s="112"/>
    </row>
    <row r="2" spans="1:62" ht="5.0999999999999996" customHeight="1">
      <c r="L2" s="111"/>
      <c r="M2" s="111"/>
    </row>
    <row r="3" spans="1:62" s="70" customFormat="1" ht="20.100000000000001" customHeight="1">
      <c r="A3" s="83" t="s">
        <v>2344</v>
      </c>
      <c r="B3" s="83"/>
      <c r="C3" s="83"/>
      <c r="D3" s="83"/>
      <c r="E3" s="83"/>
      <c r="F3" s="84"/>
      <c r="G3" s="83"/>
      <c r="H3" s="84"/>
      <c r="I3" s="84"/>
      <c r="J3" s="84"/>
      <c r="K3" s="84"/>
      <c r="L3" s="83"/>
      <c r="M3" s="83"/>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46"/>
      <c r="AZ3" s="84"/>
      <c r="BA3" s="84"/>
      <c r="BB3" s="84"/>
      <c r="BC3" s="84"/>
      <c r="BD3" s="84"/>
      <c r="BE3" s="84"/>
      <c r="BF3" s="84"/>
      <c r="BG3" s="84"/>
      <c r="BH3" s="84"/>
      <c r="BI3" s="84"/>
      <c r="BJ3" s="71"/>
    </row>
    <row r="4" spans="1:62" s="70" customFormat="1" ht="20.100000000000001" customHeight="1" thickBot="1">
      <c r="A4" s="109" t="s">
        <v>148</v>
      </c>
      <c r="B4" s="109"/>
      <c r="C4" s="109"/>
      <c r="D4" s="109"/>
      <c r="E4" s="109"/>
      <c r="F4" s="110"/>
      <c r="G4" s="109"/>
      <c r="H4" s="110"/>
      <c r="I4" s="110"/>
      <c r="J4" s="110"/>
      <c r="K4" s="110"/>
      <c r="L4" s="109"/>
      <c r="M4" s="109"/>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46"/>
      <c r="AZ4" s="84"/>
      <c r="BA4" s="84"/>
      <c r="BB4" s="84"/>
      <c r="BC4" s="84"/>
      <c r="BD4" s="84"/>
      <c r="BE4" s="84"/>
      <c r="BF4" s="84"/>
      <c r="BG4" s="84"/>
      <c r="BH4" s="84"/>
      <c r="BI4" s="84"/>
      <c r="BJ4" s="71"/>
    </row>
    <row r="5" spans="1:62" s="38" customFormat="1" ht="9.9" customHeight="1" thickTop="1">
      <c r="B5" s="85"/>
      <c r="C5" s="86"/>
      <c r="D5" s="85"/>
      <c r="E5" s="85"/>
      <c r="F5" s="86"/>
      <c r="G5" s="85"/>
      <c r="H5" s="86"/>
      <c r="I5" s="86"/>
      <c r="J5" s="86"/>
      <c r="K5" s="86"/>
      <c r="L5" s="85"/>
      <c r="M5" s="85"/>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c r="AQ5" s="97"/>
      <c r="AR5" s="26"/>
      <c r="AS5" s="26"/>
      <c r="AT5" s="26"/>
      <c r="AU5" s="26"/>
      <c r="AV5" s="26"/>
      <c r="AW5" s="26"/>
      <c r="AX5" s="26"/>
      <c r="AY5" s="31"/>
      <c r="AZ5" s="26"/>
      <c r="BA5" s="26"/>
      <c r="BB5" s="26"/>
      <c r="BC5" s="26"/>
      <c r="BD5" s="26"/>
      <c r="BE5" s="26"/>
      <c r="BF5" s="26"/>
      <c r="BG5" s="26"/>
      <c r="BH5" s="26"/>
      <c r="BI5" s="26"/>
      <c r="BJ5" s="87"/>
    </row>
    <row r="6" spans="1:62" s="38" customFormat="1" ht="13.5" customHeight="1" thickBot="1">
      <c r="A6" s="172" t="s">
        <v>14</v>
      </c>
      <c r="B6" s="173"/>
      <c r="C6" s="86"/>
      <c r="D6" s="85"/>
      <c r="E6" s="85"/>
      <c r="F6" s="86"/>
      <c r="G6" s="85"/>
      <c r="H6" s="86"/>
      <c r="I6" s="86"/>
      <c r="J6" s="86"/>
      <c r="K6" s="86"/>
      <c r="L6" s="85"/>
      <c r="M6" s="85"/>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26"/>
      <c r="AS6" s="26"/>
      <c r="AT6" s="26"/>
      <c r="AU6" s="26"/>
      <c r="AV6" s="26"/>
      <c r="AW6" s="26"/>
      <c r="AX6" s="26"/>
      <c r="AY6" s="31"/>
      <c r="AZ6" s="26"/>
      <c r="BA6" s="26"/>
      <c r="BB6" s="26"/>
      <c r="BC6" s="26"/>
      <c r="BD6" s="26"/>
      <c r="BE6" s="26"/>
      <c r="BF6" s="26"/>
      <c r="BG6" s="26"/>
      <c r="BH6" s="26"/>
      <c r="BI6" s="26"/>
      <c r="BJ6" s="87"/>
    </row>
    <row r="7" spans="1:62" s="38" customFormat="1" ht="13.5" customHeight="1" thickBot="1">
      <c r="A7" s="3570" t="s">
        <v>1306</v>
      </c>
      <c r="B7" s="3610"/>
      <c r="C7" s="86"/>
      <c r="D7" s="85"/>
      <c r="E7" s="85"/>
      <c r="F7" s="86"/>
      <c r="G7" s="85"/>
      <c r="H7" s="86"/>
      <c r="I7" s="86"/>
      <c r="J7" s="86"/>
      <c r="K7" s="86"/>
      <c r="L7" s="85"/>
      <c r="M7" s="85"/>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26"/>
      <c r="AS7" s="26"/>
      <c r="AT7" s="26"/>
      <c r="AU7" s="26"/>
      <c r="AV7" s="26"/>
      <c r="AW7" s="26"/>
      <c r="AX7" s="26"/>
      <c r="AY7" s="31"/>
      <c r="AZ7" s="26"/>
      <c r="BA7" s="26"/>
      <c r="BB7" s="26"/>
      <c r="BC7" s="26"/>
      <c r="BD7" s="26"/>
      <c r="BE7" s="26"/>
      <c r="BF7" s="26"/>
      <c r="BG7" s="26"/>
      <c r="BH7" s="26"/>
      <c r="BI7" s="26"/>
      <c r="BJ7" s="87"/>
    </row>
    <row r="8" spans="1:62" s="38" customFormat="1" ht="13.5" customHeight="1">
      <c r="B8" s="85"/>
      <c r="C8" s="86"/>
      <c r="D8" s="85"/>
      <c r="E8" s="85"/>
      <c r="F8" s="86"/>
      <c r="G8" s="85"/>
      <c r="H8" s="86"/>
      <c r="I8" s="86"/>
      <c r="J8" s="86"/>
      <c r="K8" s="86"/>
      <c r="L8" s="85"/>
      <c r="M8" s="85"/>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26"/>
      <c r="AS8" s="26"/>
      <c r="AT8" s="26"/>
      <c r="AU8" s="26"/>
      <c r="AV8" s="26"/>
      <c r="AW8" s="26"/>
      <c r="AX8" s="26"/>
      <c r="AY8" s="31"/>
      <c r="AZ8" s="26"/>
      <c r="BA8" s="26"/>
      <c r="BB8" s="26"/>
      <c r="BC8" s="26"/>
      <c r="BD8" s="26"/>
      <c r="BE8" s="26"/>
      <c r="BF8" s="26"/>
      <c r="BG8" s="26"/>
      <c r="BH8" s="26"/>
      <c r="BI8" s="26"/>
      <c r="BJ8" s="87"/>
    </row>
    <row r="9" spans="1:62" ht="13.5" customHeight="1" thickBot="1">
      <c r="A9" s="22" t="s">
        <v>1182</v>
      </c>
      <c r="B9" s="27"/>
      <c r="C9" s="69"/>
      <c r="D9" s="37"/>
      <c r="E9" s="37"/>
      <c r="F9" s="37"/>
      <c r="G9" s="37"/>
      <c r="H9" s="37"/>
      <c r="I9" s="37"/>
      <c r="J9" s="37"/>
      <c r="K9" s="37"/>
      <c r="L9" s="27"/>
      <c r="M9" s="27"/>
    </row>
    <row r="10" spans="1:62" ht="13.5" customHeight="1" thickTop="1" thickBot="1">
      <c r="A10" s="122" t="s">
        <v>149</v>
      </c>
      <c r="B10" s="126"/>
      <c r="C10" s="125" t="s">
        <v>150</v>
      </c>
      <c r="D10" s="123"/>
      <c r="E10" s="123"/>
      <c r="F10" s="123"/>
      <c r="G10" s="123"/>
      <c r="H10" s="123"/>
      <c r="I10" s="123"/>
      <c r="J10" s="123"/>
      <c r="K10" s="124"/>
      <c r="L10" s="127" t="s">
        <v>274</v>
      </c>
      <c r="M10" s="127" t="s">
        <v>57</v>
      </c>
      <c r="N10" s="30"/>
      <c r="O10" s="30"/>
      <c r="P10" s="30"/>
      <c r="Q10" s="30"/>
      <c r="R10" s="30"/>
      <c r="S10" s="30"/>
      <c r="T10" s="30"/>
      <c r="U10" s="30"/>
      <c r="V10" s="30"/>
      <c r="W10" s="30"/>
      <c r="X10" s="30"/>
      <c r="Y10" s="30"/>
      <c r="Z10" s="30"/>
      <c r="AA10" s="30"/>
      <c r="AB10" s="120"/>
      <c r="AC10" s="30"/>
      <c r="AD10" s="30"/>
      <c r="AE10" s="30"/>
      <c r="AF10" s="30"/>
      <c r="AG10" s="30"/>
      <c r="AH10" s="30"/>
      <c r="AI10" s="30"/>
      <c r="AJ10" s="30"/>
      <c r="AK10" s="30"/>
      <c r="AL10" s="30"/>
      <c r="AM10" s="30"/>
      <c r="AN10" s="30"/>
      <c r="AO10" s="30"/>
      <c r="AP10" s="30"/>
      <c r="AQ10" s="30"/>
    </row>
    <row r="11" spans="1:62" ht="13.5" customHeight="1" thickTop="1" thickBot="1">
      <c r="A11" s="137" t="s">
        <v>58</v>
      </c>
      <c r="B11" s="143"/>
      <c r="C11" s="206"/>
      <c r="D11" s="142"/>
      <c r="E11" s="142"/>
      <c r="F11" s="142"/>
      <c r="G11" s="142"/>
      <c r="H11" s="142"/>
      <c r="I11" s="142"/>
      <c r="J11" s="142"/>
      <c r="K11" s="142"/>
      <c r="L11" s="143"/>
      <c r="M11" s="2413" t="s">
        <v>59</v>
      </c>
      <c r="N11" s="30"/>
      <c r="O11" s="30"/>
      <c r="P11" s="30"/>
      <c r="Q11" s="30"/>
      <c r="R11" s="30"/>
      <c r="S11" s="30"/>
      <c r="T11" s="30"/>
      <c r="U11" s="30"/>
      <c r="V11" s="30"/>
      <c r="W11" s="30"/>
      <c r="X11" s="30"/>
      <c r="Y11" s="30"/>
      <c r="Z11" s="30"/>
      <c r="AA11" s="30"/>
      <c r="AB11" s="120"/>
      <c r="AC11" s="30"/>
      <c r="AD11" s="30"/>
      <c r="AE11" s="30"/>
      <c r="AF11" s="30"/>
      <c r="AG11" s="30"/>
      <c r="AH11" s="30"/>
      <c r="AI11" s="30"/>
      <c r="AJ11" s="30"/>
      <c r="AK11" s="30"/>
      <c r="AL11" s="30"/>
      <c r="AM11" s="30"/>
      <c r="AN11" s="30"/>
      <c r="AO11" s="30"/>
      <c r="AP11" s="30"/>
      <c r="AQ11" s="30"/>
    </row>
    <row r="12" spans="1:62" ht="13.5" customHeight="1" thickTop="1" thickBot="1">
      <c r="A12" s="180"/>
      <c r="B12" s="45"/>
      <c r="C12" s="207"/>
      <c r="D12" s="82"/>
      <c r="E12" s="82"/>
      <c r="F12" s="82"/>
      <c r="G12" s="82"/>
      <c r="H12" s="82"/>
      <c r="I12" s="82"/>
      <c r="J12" s="82"/>
      <c r="K12" s="42"/>
      <c r="L12" s="209"/>
      <c r="M12" s="209"/>
      <c r="N12" s="30"/>
      <c r="O12" s="30"/>
      <c r="P12" s="30"/>
      <c r="Q12" s="30"/>
      <c r="R12" s="30"/>
      <c r="S12" s="30"/>
      <c r="T12" s="30"/>
      <c r="U12" s="30"/>
      <c r="V12" s="30"/>
      <c r="W12" s="30"/>
      <c r="X12" s="30"/>
      <c r="Y12" s="30"/>
      <c r="Z12" s="30"/>
      <c r="AA12" s="30"/>
      <c r="AB12" s="120"/>
      <c r="AC12" s="30"/>
      <c r="AD12" s="30"/>
      <c r="AE12" s="30"/>
      <c r="AF12" s="30"/>
      <c r="AG12" s="30"/>
      <c r="AH12" s="30"/>
      <c r="AI12" s="30"/>
      <c r="AJ12" s="30"/>
      <c r="AK12" s="30"/>
      <c r="AL12" s="30"/>
      <c r="AM12" s="30"/>
      <c r="AN12" s="30"/>
      <c r="AO12" s="30"/>
      <c r="AP12" s="30"/>
      <c r="AQ12" s="30"/>
    </row>
    <row r="13" spans="1:62" s="22" customFormat="1" ht="13.5" customHeight="1" thickTop="1" thickBot="1">
      <c r="A13" s="189" t="s">
        <v>785</v>
      </c>
      <c r="B13" s="185"/>
      <c r="C13" s="188" t="s">
        <v>449</v>
      </c>
      <c r="D13" s="186"/>
      <c r="E13" s="186"/>
      <c r="F13" s="186"/>
      <c r="G13" s="186"/>
      <c r="H13" s="186"/>
      <c r="I13" s="186"/>
      <c r="J13" s="186"/>
      <c r="K13" s="187"/>
      <c r="L13" s="2411">
        <v>2010</v>
      </c>
      <c r="M13" s="2413" t="s">
        <v>59</v>
      </c>
      <c r="N13" s="80"/>
      <c r="O13" s="80"/>
      <c r="P13" s="80"/>
      <c r="Q13" s="80"/>
      <c r="R13" s="80"/>
      <c r="S13" s="80"/>
      <c r="T13" s="80"/>
      <c r="U13" s="80"/>
      <c r="V13" s="80"/>
      <c r="W13" s="80"/>
      <c r="X13" s="80"/>
      <c r="Y13" s="80"/>
      <c r="Z13" s="119"/>
      <c r="AA13" s="119"/>
      <c r="AB13" s="80"/>
      <c r="AC13" s="80"/>
      <c r="AD13" s="80"/>
      <c r="AE13" s="80"/>
      <c r="AF13" s="80"/>
      <c r="AG13" s="80"/>
      <c r="AH13" s="80"/>
      <c r="AI13" s="80"/>
      <c r="AJ13" s="80"/>
      <c r="AK13" s="80"/>
      <c r="AL13" s="80"/>
      <c r="AM13" s="80"/>
      <c r="AN13" s="80"/>
      <c r="AO13" s="80"/>
      <c r="AP13" s="119"/>
      <c r="AQ13" s="119"/>
      <c r="AR13" s="29"/>
      <c r="AS13" s="29"/>
      <c r="AT13" s="29"/>
      <c r="AU13" s="29"/>
      <c r="AV13" s="29"/>
      <c r="AW13" s="29"/>
      <c r="AX13" s="29"/>
      <c r="AY13" s="29"/>
      <c r="AZ13" s="29"/>
      <c r="BA13" s="29"/>
      <c r="BB13" s="29"/>
      <c r="BC13" s="29"/>
      <c r="BD13" s="29"/>
      <c r="BE13" s="29"/>
      <c r="BF13" s="29"/>
      <c r="BG13" s="29"/>
      <c r="BH13" s="29"/>
      <c r="BI13" s="29"/>
    </row>
    <row r="14" spans="1:62" ht="13.5" customHeight="1" thickTop="1">
      <c r="A14" s="91"/>
      <c r="B14" s="45"/>
      <c r="C14" s="128" t="s">
        <v>2213</v>
      </c>
      <c r="D14" s="129"/>
      <c r="E14" s="129"/>
      <c r="F14" s="129"/>
      <c r="G14" s="129"/>
      <c r="H14" s="129"/>
      <c r="I14" s="129"/>
      <c r="J14" s="129"/>
      <c r="K14" s="130"/>
      <c r="L14" s="191"/>
      <c r="M14" s="191"/>
      <c r="N14" s="73"/>
      <c r="O14" s="73"/>
      <c r="P14" s="73"/>
      <c r="Q14" s="73"/>
      <c r="R14" s="73"/>
      <c r="S14" s="73"/>
      <c r="T14" s="73"/>
      <c r="U14" s="73"/>
      <c r="V14" s="73"/>
      <c r="W14" s="73"/>
      <c r="X14" s="73"/>
      <c r="Y14" s="73"/>
      <c r="Z14" s="65"/>
      <c r="AA14" s="65"/>
      <c r="AB14" s="73"/>
      <c r="AC14" s="73"/>
      <c r="AD14" s="73"/>
      <c r="AE14" s="73"/>
      <c r="AF14" s="73"/>
      <c r="AG14" s="73"/>
      <c r="AH14" s="73"/>
      <c r="AI14" s="73"/>
      <c r="AJ14" s="73"/>
      <c r="AK14" s="73"/>
      <c r="AL14" s="73"/>
      <c r="AM14" s="73"/>
      <c r="AN14" s="73"/>
      <c r="AO14" s="73"/>
      <c r="AP14" s="65"/>
      <c r="AQ14" s="65"/>
    </row>
    <row r="15" spans="1:62" ht="13.5" customHeight="1" thickBot="1">
      <c r="A15" s="91"/>
      <c r="B15" s="45"/>
      <c r="C15" s="128"/>
      <c r="D15" s="129"/>
      <c r="E15" s="129"/>
      <c r="F15" s="129"/>
      <c r="G15" s="129"/>
      <c r="H15" s="129"/>
      <c r="I15" s="129"/>
      <c r="J15" s="129"/>
      <c r="K15" s="130"/>
      <c r="L15" s="191"/>
      <c r="M15" s="191"/>
      <c r="N15" s="73"/>
      <c r="O15" s="73"/>
      <c r="P15" s="73"/>
      <c r="Q15" s="73"/>
      <c r="R15" s="73"/>
      <c r="S15" s="73"/>
      <c r="T15" s="73"/>
      <c r="U15" s="73"/>
      <c r="V15" s="73"/>
      <c r="W15" s="73"/>
      <c r="X15" s="73"/>
      <c r="Y15" s="73"/>
      <c r="Z15" s="65"/>
      <c r="AA15" s="65"/>
      <c r="AB15" s="73"/>
      <c r="AC15" s="73"/>
      <c r="AD15" s="73"/>
      <c r="AE15" s="73"/>
      <c r="AF15" s="73"/>
      <c r="AG15" s="73"/>
      <c r="AH15" s="73"/>
      <c r="AI15" s="73"/>
      <c r="AJ15" s="73"/>
      <c r="AK15" s="73"/>
      <c r="AL15" s="73"/>
      <c r="AM15" s="73"/>
      <c r="AN15" s="73"/>
      <c r="AO15" s="73"/>
      <c r="AP15" s="65"/>
      <c r="AQ15" s="65"/>
      <c r="AS15" s="121"/>
      <c r="AT15" s="53"/>
      <c r="AU15" s="53"/>
      <c r="AV15" s="53"/>
      <c r="AW15" s="53"/>
      <c r="AX15" s="53"/>
      <c r="AY15" s="53"/>
      <c r="AZ15" s="53"/>
      <c r="BA15" s="53"/>
      <c r="BB15" s="53"/>
      <c r="BC15" s="53"/>
      <c r="BD15" s="53"/>
      <c r="BE15" s="53"/>
      <c r="BF15" s="53"/>
      <c r="BG15" s="53"/>
      <c r="BH15" s="53"/>
      <c r="BI15" s="53"/>
    </row>
    <row r="16" spans="1:62" ht="13.5" customHeight="1" thickTop="1" thickBot="1">
      <c r="A16" s="91" t="s">
        <v>1038</v>
      </c>
      <c r="B16" s="45"/>
      <c r="C16" s="128" t="s">
        <v>151</v>
      </c>
      <c r="D16" s="129"/>
      <c r="E16" s="129"/>
      <c r="F16" s="129"/>
      <c r="G16" s="129"/>
      <c r="H16" s="129"/>
      <c r="I16" s="129"/>
      <c r="J16" s="129"/>
      <c r="K16" s="130"/>
      <c r="L16" s="2412">
        <v>2010</v>
      </c>
      <c r="M16" s="2413" t="s">
        <v>59</v>
      </c>
      <c r="N16" s="73"/>
      <c r="O16" s="73"/>
      <c r="P16" s="73"/>
      <c r="Q16" s="73"/>
      <c r="R16" s="73"/>
      <c r="S16" s="73"/>
      <c r="T16" s="73"/>
      <c r="U16" s="73"/>
      <c r="V16" s="73"/>
      <c r="W16" s="73"/>
      <c r="X16" s="73"/>
      <c r="Y16" s="73"/>
      <c r="Z16" s="65"/>
      <c r="AA16" s="65"/>
      <c r="AB16" s="73"/>
      <c r="AC16" s="73"/>
      <c r="AD16" s="73"/>
      <c r="AE16" s="73"/>
      <c r="AF16" s="73"/>
      <c r="AG16" s="73"/>
      <c r="AH16" s="73"/>
      <c r="AI16" s="73"/>
      <c r="AJ16" s="73"/>
      <c r="AK16" s="73"/>
      <c r="AL16" s="73"/>
      <c r="AM16" s="73"/>
      <c r="AN16" s="73"/>
      <c r="AO16" s="73"/>
      <c r="AP16" s="65"/>
      <c r="AQ16" s="65"/>
      <c r="AS16" s="53"/>
      <c r="AT16" s="53"/>
      <c r="AU16" s="53"/>
      <c r="AV16" s="53"/>
      <c r="AW16" s="53"/>
      <c r="AX16" s="53"/>
      <c r="AY16" s="53"/>
      <c r="AZ16" s="53"/>
      <c r="BA16" s="53"/>
      <c r="BB16" s="53"/>
      <c r="BC16" s="53"/>
      <c r="BD16" s="53"/>
      <c r="BE16" s="53"/>
      <c r="BF16" s="53"/>
      <c r="BG16" s="53"/>
      <c r="BH16" s="53"/>
      <c r="BI16" s="53"/>
    </row>
    <row r="17" spans="1:61" ht="13.5" customHeight="1" thickTop="1">
      <c r="A17" s="91"/>
      <c r="B17" s="45"/>
      <c r="C17" s="128" t="s">
        <v>152</v>
      </c>
      <c r="D17" s="129"/>
      <c r="E17" s="129"/>
      <c r="F17" s="129"/>
      <c r="G17" s="129"/>
      <c r="H17" s="129"/>
      <c r="I17" s="129"/>
      <c r="J17" s="129"/>
      <c r="K17" s="130"/>
      <c r="L17" s="191"/>
      <c r="M17" s="191"/>
      <c r="N17" s="73"/>
      <c r="O17" s="73"/>
      <c r="P17" s="73"/>
      <c r="Q17" s="73"/>
      <c r="R17" s="73"/>
      <c r="S17" s="73"/>
      <c r="T17" s="73"/>
      <c r="U17" s="73"/>
      <c r="V17" s="73"/>
      <c r="W17" s="73"/>
      <c r="X17" s="73"/>
      <c r="Y17" s="73"/>
      <c r="Z17" s="65"/>
      <c r="AA17" s="65"/>
      <c r="AB17" s="73"/>
      <c r="AC17" s="73"/>
      <c r="AD17" s="73"/>
      <c r="AE17" s="73"/>
      <c r="AF17" s="73"/>
      <c r="AG17" s="73"/>
      <c r="AH17" s="73"/>
      <c r="AI17" s="73"/>
      <c r="AJ17" s="73"/>
      <c r="AK17" s="73"/>
      <c r="AL17" s="73"/>
      <c r="AM17" s="73"/>
      <c r="AN17" s="73"/>
      <c r="AO17" s="73"/>
      <c r="AP17" s="65"/>
      <c r="AQ17" s="65"/>
    </row>
    <row r="18" spans="1:61" ht="13.5" customHeight="1" thickBot="1">
      <c r="A18" s="91"/>
      <c r="B18" s="45"/>
      <c r="C18" s="128"/>
      <c r="D18" s="129"/>
      <c r="E18" s="129"/>
      <c r="F18" s="129"/>
      <c r="G18" s="129"/>
      <c r="H18" s="129"/>
      <c r="I18" s="129"/>
      <c r="J18" s="129"/>
      <c r="K18" s="130"/>
      <c r="L18" s="191"/>
      <c r="M18" s="191"/>
      <c r="N18" s="73"/>
      <c r="O18" s="73"/>
      <c r="P18" s="73"/>
      <c r="Q18" s="73"/>
      <c r="R18" s="73"/>
      <c r="S18" s="73"/>
      <c r="T18" s="73"/>
      <c r="U18" s="73"/>
      <c r="V18" s="73"/>
      <c r="W18" s="73"/>
      <c r="X18" s="73"/>
      <c r="Y18" s="73"/>
      <c r="Z18" s="65"/>
      <c r="AA18" s="65"/>
      <c r="AB18" s="73"/>
      <c r="AC18" s="73"/>
      <c r="AD18" s="73"/>
      <c r="AE18" s="73"/>
      <c r="AF18" s="73"/>
      <c r="AG18" s="73"/>
      <c r="AH18" s="73"/>
      <c r="AI18" s="73"/>
      <c r="AJ18" s="73"/>
      <c r="AK18" s="73"/>
      <c r="AL18" s="73"/>
      <c r="AM18" s="73"/>
      <c r="AN18" s="73"/>
      <c r="AO18" s="73"/>
      <c r="AP18" s="65"/>
      <c r="AQ18" s="65"/>
    </row>
    <row r="19" spans="1:61" ht="13.5" customHeight="1" thickTop="1" thickBot="1">
      <c r="A19" s="91" t="s">
        <v>786</v>
      </c>
      <c r="B19" s="45"/>
      <c r="C19" s="128" t="s">
        <v>56</v>
      </c>
      <c r="D19" s="129"/>
      <c r="E19" s="129"/>
      <c r="F19" s="129"/>
      <c r="G19" s="129"/>
      <c r="H19" s="129"/>
      <c r="I19" s="129"/>
      <c r="J19" s="129"/>
      <c r="K19" s="130"/>
      <c r="L19" s="2411">
        <v>2010</v>
      </c>
      <c r="M19" s="2413" t="s">
        <v>59</v>
      </c>
      <c r="N19" s="73"/>
      <c r="O19" s="73"/>
      <c r="P19" s="73"/>
      <c r="Q19" s="73"/>
      <c r="R19" s="73"/>
      <c r="S19" s="73"/>
      <c r="T19" s="73"/>
      <c r="U19" s="73"/>
      <c r="V19" s="73"/>
      <c r="W19" s="73"/>
      <c r="X19" s="73"/>
      <c r="Y19" s="73"/>
      <c r="Z19" s="65"/>
      <c r="AA19" s="65"/>
      <c r="AB19" s="73"/>
      <c r="AC19" s="73"/>
      <c r="AD19" s="73"/>
      <c r="AE19" s="73"/>
      <c r="AF19" s="73"/>
      <c r="AG19" s="73"/>
      <c r="AH19" s="73"/>
      <c r="AI19" s="73"/>
      <c r="AJ19" s="73"/>
      <c r="AK19" s="73"/>
      <c r="AL19" s="73"/>
      <c r="AM19" s="73"/>
      <c r="AN19" s="73"/>
      <c r="AO19" s="73"/>
      <c r="AP19" s="65"/>
      <c r="AQ19" s="65"/>
    </row>
    <row r="20" spans="1:61" s="24" customFormat="1" ht="13.5" customHeight="1" thickTop="1">
      <c r="A20" s="91"/>
      <c r="B20" s="45"/>
      <c r="C20" s="131"/>
      <c r="D20" s="132"/>
      <c r="E20" s="132"/>
      <c r="F20" s="132"/>
      <c r="G20" s="132"/>
      <c r="H20" s="132"/>
      <c r="I20" s="132"/>
      <c r="J20" s="132"/>
      <c r="K20" s="133"/>
      <c r="L20" s="191"/>
      <c r="M20" s="191"/>
      <c r="N20" s="80"/>
      <c r="O20" s="80"/>
      <c r="P20" s="80"/>
      <c r="Q20" s="80"/>
      <c r="R20" s="80"/>
      <c r="S20" s="80"/>
      <c r="T20" s="80"/>
      <c r="U20" s="80"/>
      <c r="V20" s="80"/>
      <c r="W20" s="80"/>
      <c r="X20" s="80"/>
      <c r="Y20" s="80"/>
      <c r="Z20" s="119"/>
      <c r="AA20" s="119"/>
      <c r="AB20" s="80"/>
      <c r="AC20" s="80"/>
      <c r="AD20" s="80"/>
      <c r="AE20" s="80"/>
      <c r="AF20" s="80"/>
      <c r="AG20" s="80"/>
      <c r="AH20" s="80"/>
      <c r="AI20" s="80"/>
      <c r="AJ20" s="80"/>
      <c r="AK20" s="80"/>
      <c r="AL20" s="80"/>
      <c r="AM20" s="80"/>
      <c r="AN20" s="80"/>
      <c r="AO20" s="80"/>
      <c r="AP20" s="119"/>
      <c r="AQ20" s="119"/>
      <c r="AR20" s="29"/>
      <c r="AS20" s="26"/>
      <c r="AT20" s="29"/>
      <c r="AU20" s="29"/>
      <c r="AV20" s="29"/>
      <c r="AW20" s="29"/>
      <c r="AX20" s="29"/>
      <c r="AY20" s="29"/>
      <c r="AZ20" s="29"/>
      <c r="BA20" s="29"/>
      <c r="BB20" s="29"/>
      <c r="BC20" s="29"/>
      <c r="BD20" s="29"/>
      <c r="BE20" s="29"/>
      <c r="BF20" s="29"/>
      <c r="BG20" s="29"/>
      <c r="BH20" s="29"/>
      <c r="BI20" s="29"/>
    </row>
    <row r="21" spans="1:61" ht="13.5" customHeight="1">
      <c r="A21" s="91"/>
      <c r="B21" s="45"/>
      <c r="C21" s="128"/>
      <c r="D21" s="129"/>
      <c r="E21" s="129"/>
      <c r="F21" s="129"/>
      <c r="G21" s="129"/>
      <c r="H21" s="129"/>
      <c r="I21" s="129"/>
      <c r="J21" s="129"/>
      <c r="K21" s="130"/>
      <c r="L21" s="191"/>
      <c r="M21" s="191"/>
      <c r="N21" s="73"/>
      <c r="O21" s="73"/>
      <c r="P21" s="73"/>
      <c r="Q21" s="73"/>
      <c r="R21" s="73"/>
      <c r="S21" s="73"/>
      <c r="T21" s="73"/>
      <c r="U21" s="73"/>
      <c r="V21" s="73"/>
      <c r="W21" s="73"/>
      <c r="X21" s="73"/>
      <c r="Y21" s="73"/>
      <c r="Z21" s="65"/>
      <c r="AA21" s="65"/>
      <c r="AB21" s="73"/>
      <c r="AC21" s="73"/>
      <c r="AD21" s="73"/>
      <c r="AE21" s="73"/>
      <c r="AF21" s="73"/>
      <c r="AG21" s="73"/>
      <c r="AH21" s="73"/>
      <c r="AI21" s="73"/>
      <c r="AJ21" s="73"/>
      <c r="AK21" s="73"/>
      <c r="AL21" s="73"/>
      <c r="AM21" s="73"/>
      <c r="AN21" s="73"/>
      <c r="AO21" s="73"/>
      <c r="AP21" s="65"/>
      <c r="AQ21" s="65"/>
    </row>
    <row r="22" spans="1:61" ht="13.5" customHeight="1">
      <c r="A22" s="91"/>
      <c r="B22" s="45"/>
      <c r="C22" s="128"/>
      <c r="D22" s="129"/>
      <c r="E22" s="129"/>
      <c r="F22" s="129"/>
      <c r="G22" s="129"/>
      <c r="H22" s="129"/>
      <c r="I22" s="129"/>
      <c r="J22" s="129"/>
      <c r="K22" s="130"/>
      <c r="L22" s="130"/>
      <c r="M22" s="130"/>
      <c r="N22" s="130"/>
      <c r="O22" s="73"/>
      <c r="P22" s="73"/>
      <c r="Q22" s="73"/>
      <c r="R22" s="73"/>
      <c r="S22" s="73"/>
      <c r="T22" s="73"/>
      <c r="U22" s="73"/>
      <c r="V22" s="73"/>
      <c r="W22" s="73"/>
      <c r="X22" s="73"/>
      <c r="Y22" s="73"/>
      <c r="Z22" s="65"/>
      <c r="AA22" s="65"/>
      <c r="AB22" s="73"/>
      <c r="AC22" s="73"/>
      <c r="AD22" s="73"/>
      <c r="AE22" s="73"/>
      <c r="AF22" s="73"/>
      <c r="AG22" s="73"/>
      <c r="AH22" s="73"/>
      <c r="AI22" s="73"/>
      <c r="AJ22" s="73"/>
      <c r="AK22" s="73"/>
      <c r="AL22" s="73"/>
      <c r="AM22" s="73"/>
      <c r="AN22" s="73"/>
      <c r="AO22" s="73"/>
      <c r="AP22" s="65"/>
      <c r="AQ22" s="65"/>
    </row>
    <row r="23" spans="1:61" ht="13.5" customHeight="1">
      <c r="A23" s="91"/>
      <c r="B23" s="45"/>
      <c r="C23" s="128"/>
      <c r="D23" s="129"/>
      <c r="E23" s="129"/>
      <c r="F23" s="129"/>
      <c r="G23" s="129"/>
      <c r="H23" s="129"/>
      <c r="I23" s="129"/>
      <c r="J23" s="129"/>
      <c r="K23" s="130"/>
      <c r="L23" s="191"/>
      <c r="M23" s="191"/>
      <c r="N23" s="73"/>
      <c r="O23" s="73"/>
      <c r="P23" s="73"/>
      <c r="Q23" s="73"/>
      <c r="R23" s="73"/>
      <c r="S23" s="73"/>
      <c r="T23" s="73"/>
      <c r="U23" s="73"/>
      <c r="V23" s="73"/>
      <c r="W23" s="73"/>
      <c r="X23" s="73"/>
      <c r="Y23" s="73"/>
      <c r="Z23" s="65"/>
      <c r="AA23" s="65"/>
      <c r="AB23" s="73"/>
      <c r="AC23" s="73"/>
      <c r="AD23" s="73"/>
      <c r="AE23" s="73"/>
      <c r="AF23" s="73"/>
      <c r="AG23" s="73"/>
      <c r="AH23" s="73"/>
      <c r="AI23" s="73"/>
      <c r="AJ23" s="73"/>
      <c r="AK23" s="73"/>
      <c r="AL23" s="73"/>
      <c r="AM23" s="73"/>
      <c r="AN23" s="73"/>
      <c r="AO23" s="73"/>
      <c r="AP23" s="65"/>
      <c r="AQ23" s="65"/>
    </row>
    <row r="24" spans="1:61" ht="13.5" customHeight="1">
      <c r="A24" s="91"/>
      <c r="B24" s="45"/>
      <c r="C24" s="128"/>
      <c r="D24" s="129"/>
      <c r="E24" s="129"/>
      <c r="F24" s="129"/>
      <c r="G24" s="129"/>
      <c r="H24" s="129"/>
      <c r="I24" s="129"/>
      <c r="J24" s="129"/>
      <c r="K24" s="130"/>
      <c r="L24" s="191"/>
      <c r="M24" s="191"/>
      <c r="N24" s="73"/>
      <c r="O24" s="73"/>
      <c r="P24" s="73"/>
      <c r="Q24" s="73"/>
      <c r="R24" s="73"/>
      <c r="S24" s="73"/>
      <c r="T24" s="73"/>
      <c r="U24" s="73"/>
      <c r="V24" s="73"/>
      <c r="W24" s="73"/>
      <c r="X24" s="73"/>
      <c r="Y24" s="73"/>
      <c r="Z24" s="65"/>
      <c r="AA24" s="65"/>
      <c r="AB24" s="73"/>
      <c r="AC24" s="73"/>
      <c r="AD24" s="73"/>
      <c r="AE24" s="73"/>
      <c r="AF24" s="73"/>
      <c r="AG24" s="73"/>
      <c r="AH24" s="73"/>
      <c r="AI24" s="73"/>
      <c r="AJ24" s="73"/>
      <c r="AK24" s="73"/>
      <c r="AL24" s="73"/>
      <c r="AM24" s="73"/>
      <c r="AN24" s="73"/>
      <c r="AO24" s="73"/>
      <c r="AP24" s="65"/>
      <c r="AQ24" s="65"/>
    </row>
    <row r="25" spans="1:61" ht="13.5" customHeight="1">
      <c r="A25" s="91"/>
      <c r="B25" s="45"/>
      <c r="C25" s="128"/>
      <c r="D25" s="129"/>
      <c r="E25" s="129"/>
      <c r="F25" s="129"/>
      <c r="G25" s="129"/>
      <c r="H25" s="129"/>
      <c r="I25" s="129"/>
      <c r="J25" s="129"/>
      <c r="K25" s="130"/>
      <c r="L25" s="191"/>
      <c r="M25" s="191"/>
      <c r="N25" s="73"/>
      <c r="O25" s="73"/>
      <c r="P25" s="73"/>
      <c r="Q25" s="73"/>
      <c r="R25" s="73"/>
      <c r="S25" s="73"/>
      <c r="T25" s="73"/>
      <c r="U25" s="73"/>
      <c r="V25" s="73"/>
      <c r="W25" s="73"/>
      <c r="X25" s="73"/>
      <c r="Y25" s="73"/>
      <c r="Z25" s="65"/>
      <c r="AA25" s="65"/>
      <c r="AB25" s="73"/>
      <c r="AC25" s="73"/>
      <c r="AD25" s="73"/>
      <c r="AE25" s="73"/>
      <c r="AF25" s="73"/>
      <c r="AG25" s="73"/>
      <c r="AH25" s="73"/>
      <c r="AI25" s="73"/>
      <c r="AJ25" s="73"/>
      <c r="AK25" s="73"/>
      <c r="AL25" s="73"/>
      <c r="AM25" s="73"/>
      <c r="AN25" s="73"/>
      <c r="AO25" s="73"/>
      <c r="AP25" s="65"/>
      <c r="AQ25" s="65"/>
    </row>
    <row r="26" spans="1:61" ht="13.5" customHeight="1">
      <c r="A26" s="91"/>
      <c r="B26" s="45"/>
      <c r="C26" s="128"/>
      <c r="D26" s="129"/>
      <c r="E26" s="129"/>
      <c r="F26" s="129"/>
      <c r="G26" s="129"/>
      <c r="H26" s="129"/>
      <c r="I26" s="129"/>
      <c r="J26" s="129"/>
      <c r="K26" s="130"/>
      <c r="L26" s="191"/>
      <c r="M26" s="191"/>
      <c r="N26" s="73"/>
      <c r="O26" s="73"/>
      <c r="P26" s="73"/>
      <c r="Q26" s="73"/>
      <c r="R26" s="73"/>
      <c r="S26" s="73"/>
      <c r="T26" s="73"/>
      <c r="U26" s="73"/>
      <c r="V26" s="73"/>
      <c r="W26" s="73"/>
      <c r="X26" s="73"/>
      <c r="Y26" s="73"/>
      <c r="Z26" s="65"/>
      <c r="AA26" s="65"/>
      <c r="AB26" s="73"/>
      <c r="AC26" s="73"/>
      <c r="AD26" s="73"/>
      <c r="AE26" s="73"/>
      <c r="AF26" s="73"/>
      <c r="AG26" s="73"/>
      <c r="AH26" s="73"/>
      <c r="AI26" s="73"/>
      <c r="AJ26" s="73"/>
      <c r="AK26" s="73"/>
      <c r="AL26" s="73"/>
      <c r="AM26" s="73"/>
      <c r="AN26" s="73"/>
      <c r="AO26" s="73"/>
      <c r="AP26" s="65"/>
      <c r="AQ26" s="65"/>
    </row>
    <row r="27" spans="1:61" ht="13.5" customHeight="1">
      <c r="A27" s="91"/>
      <c r="B27" s="45"/>
      <c r="C27" s="128"/>
      <c r="D27" s="129"/>
      <c r="E27" s="129"/>
      <c r="F27" s="129"/>
      <c r="G27" s="129"/>
      <c r="H27" s="129"/>
      <c r="I27" s="129"/>
      <c r="J27" s="129"/>
      <c r="K27" s="130"/>
      <c r="L27" s="191"/>
      <c r="M27" s="191"/>
      <c r="N27" s="73"/>
      <c r="O27" s="73"/>
      <c r="P27" s="73"/>
      <c r="Q27" s="73"/>
      <c r="R27" s="73"/>
      <c r="S27" s="73"/>
      <c r="T27" s="73"/>
      <c r="U27" s="73"/>
      <c r="V27" s="73"/>
      <c r="W27" s="73"/>
      <c r="X27" s="73"/>
      <c r="Y27" s="73"/>
      <c r="Z27" s="65"/>
      <c r="AA27" s="65"/>
      <c r="AB27" s="73"/>
      <c r="AC27" s="73"/>
      <c r="AD27" s="73"/>
      <c r="AE27" s="73"/>
      <c r="AF27" s="73"/>
      <c r="AG27" s="73"/>
      <c r="AH27" s="73"/>
      <c r="AI27" s="73"/>
      <c r="AJ27" s="73"/>
      <c r="AK27" s="73"/>
      <c r="AL27" s="73"/>
      <c r="AM27" s="73"/>
      <c r="AN27" s="73"/>
      <c r="AO27" s="73"/>
      <c r="AP27" s="65"/>
      <c r="AQ27" s="65"/>
    </row>
    <row r="28" spans="1:61" ht="13.5" customHeight="1">
      <c r="A28" s="91"/>
      <c r="B28" s="45"/>
      <c r="C28" s="128"/>
      <c r="D28" s="129"/>
      <c r="E28" s="129"/>
      <c r="F28" s="129"/>
      <c r="G28" s="129"/>
      <c r="H28" s="129"/>
      <c r="I28" s="129"/>
      <c r="J28" s="129"/>
      <c r="K28" s="130"/>
      <c r="L28" s="191"/>
      <c r="M28" s="191"/>
      <c r="N28" s="73"/>
      <c r="O28" s="73"/>
      <c r="P28" s="73"/>
      <c r="Q28" s="73"/>
      <c r="R28" s="73"/>
      <c r="S28" s="73"/>
      <c r="T28" s="73"/>
      <c r="U28" s="73"/>
      <c r="V28" s="73"/>
      <c r="W28" s="73"/>
      <c r="X28" s="73"/>
      <c r="Y28" s="73"/>
      <c r="Z28" s="65"/>
      <c r="AA28" s="65"/>
      <c r="AB28" s="73"/>
      <c r="AC28" s="73"/>
      <c r="AD28" s="73"/>
      <c r="AE28" s="73"/>
      <c r="AF28" s="73"/>
      <c r="AG28" s="73"/>
      <c r="AH28" s="73"/>
      <c r="AI28" s="73"/>
      <c r="AJ28" s="73"/>
      <c r="AK28" s="73"/>
      <c r="AL28" s="73"/>
      <c r="AM28" s="73"/>
      <c r="AN28" s="73"/>
      <c r="AO28" s="73"/>
      <c r="AP28" s="65"/>
      <c r="AQ28" s="65"/>
    </row>
    <row r="29" spans="1:61" ht="13.5" customHeight="1">
      <c r="A29" s="91"/>
      <c r="B29" s="45"/>
      <c r="C29" s="128"/>
      <c r="D29" s="129"/>
      <c r="E29" s="129"/>
      <c r="F29" s="129"/>
      <c r="G29" s="129"/>
      <c r="H29" s="129"/>
      <c r="I29" s="129"/>
      <c r="J29" s="129"/>
      <c r="K29" s="130"/>
      <c r="L29" s="191"/>
      <c r="M29" s="191"/>
      <c r="N29" s="73"/>
      <c r="O29" s="73"/>
      <c r="P29" s="73"/>
      <c r="Q29" s="73"/>
      <c r="R29" s="73"/>
      <c r="S29" s="73"/>
      <c r="T29" s="73"/>
      <c r="U29" s="73"/>
      <c r="V29" s="73"/>
      <c r="W29" s="73"/>
      <c r="X29" s="73"/>
      <c r="Y29" s="73"/>
      <c r="Z29" s="65"/>
      <c r="AA29" s="65"/>
      <c r="AB29" s="73"/>
      <c r="AC29" s="73"/>
      <c r="AD29" s="73"/>
      <c r="AE29" s="73"/>
      <c r="AF29" s="73"/>
      <c r="AG29" s="73"/>
      <c r="AH29" s="73"/>
      <c r="AI29" s="73"/>
      <c r="AJ29" s="73"/>
      <c r="AK29" s="73"/>
      <c r="AL29" s="73"/>
      <c r="AM29" s="73"/>
      <c r="AN29" s="73"/>
      <c r="AO29" s="73"/>
      <c r="AP29" s="65"/>
      <c r="AQ29" s="65"/>
    </row>
    <row r="30" spans="1:61" ht="13.5" customHeight="1">
      <c r="A30" s="91"/>
      <c r="B30" s="45"/>
      <c r="C30" s="128"/>
      <c r="D30" s="129"/>
      <c r="E30" s="129"/>
      <c r="F30" s="129"/>
      <c r="G30" s="129"/>
      <c r="H30" s="129"/>
      <c r="I30" s="129"/>
      <c r="J30" s="129"/>
      <c r="K30" s="130"/>
      <c r="L30" s="191"/>
      <c r="M30" s="191"/>
      <c r="N30" s="73"/>
      <c r="O30" s="73"/>
      <c r="P30" s="73"/>
      <c r="Q30" s="73"/>
      <c r="R30" s="73"/>
      <c r="S30" s="73"/>
      <c r="T30" s="73"/>
      <c r="U30" s="73"/>
      <c r="V30" s="73"/>
      <c r="W30" s="73"/>
      <c r="X30" s="73"/>
      <c r="Y30" s="73"/>
      <c r="Z30" s="65"/>
      <c r="AA30" s="65"/>
      <c r="AB30" s="73"/>
      <c r="AC30" s="73"/>
      <c r="AD30" s="73"/>
      <c r="AE30" s="73"/>
      <c r="AF30" s="73"/>
      <c r="AG30" s="73"/>
      <c r="AH30" s="73"/>
      <c r="AI30" s="73"/>
      <c r="AJ30" s="73"/>
      <c r="AK30" s="73"/>
      <c r="AL30" s="73"/>
      <c r="AM30" s="73"/>
      <c r="AN30" s="73"/>
      <c r="AO30" s="73"/>
      <c r="AP30" s="65"/>
      <c r="AQ30" s="65"/>
    </row>
    <row r="31" spans="1:61" ht="13.5" customHeight="1">
      <c r="A31" s="91"/>
      <c r="B31" s="45"/>
      <c r="C31" s="128"/>
      <c r="D31" s="129"/>
      <c r="E31" s="129"/>
      <c r="F31" s="129"/>
      <c r="G31" s="129"/>
      <c r="H31" s="129"/>
      <c r="I31" s="129"/>
      <c r="J31" s="129"/>
      <c r="K31" s="130"/>
      <c r="L31" s="191"/>
      <c r="M31" s="191"/>
      <c r="N31" s="73"/>
      <c r="O31" s="73"/>
      <c r="P31" s="73"/>
      <c r="Q31" s="73"/>
      <c r="R31" s="73"/>
      <c r="S31" s="73"/>
      <c r="T31" s="73"/>
      <c r="U31" s="73"/>
      <c r="V31" s="73"/>
      <c r="W31" s="73"/>
      <c r="X31" s="73"/>
      <c r="Y31" s="73"/>
      <c r="Z31" s="65"/>
      <c r="AA31" s="65"/>
      <c r="AB31" s="73"/>
      <c r="AC31" s="73"/>
      <c r="AD31" s="73"/>
      <c r="AE31" s="73"/>
      <c r="AF31" s="73"/>
      <c r="AG31" s="73"/>
      <c r="AH31" s="73"/>
      <c r="AI31" s="73"/>
      <c r="AJ31" s="73"/>
      <c r="AK31" s="73"/>
      <c r="AL31" s="73"/>
      <c r="AM31" s="73"/>
      <c r="AN31" s="73"/>
      <c r="AO31" s="73"/>
      <c r="AP31" s="65"/>
      <c r="AQ31" s="65"/>
    </row>
    <row r="32" spans="1:61" ht="13.5" customHeight="1">
      <c r="A32" s="91"/>
      <c r="B32" s="45"/>
      <c r="C32" s="128"/>
      <c r="D32" s="129"/>
      <c r="E32" s="129"/>
      <c r="F32" s="129"/>
      <c r="G32" s="129"/>
      <c r="H32" s="129"/>
      <c r="I32" s="129"/>
      <c r="J32" s="129"/>
      <c r="K32" s="130"/>
      <c r="L32" s="191"/>
      <c r="M32" s="191"/>
      <c r="N32" s="73"/>
      <c r="O32" s="73"/>
      <c r="P32" s="73"/>
      <c r="Q32" s="73"/>
      <c r="R32" s="73"/>
      <c r="S32" s="73"/>
      <c r="T32" s="73"/>
      <c r="U32" s="73"/>
      <c r="V32" s="73"/>
      <c r="W32" s="73"/>
      <c r="X32" s="73"/>
      <c r="Y32" s="73"/>
      <c r="Z32" s="65"/>
      <c r="AA32" s="65"/>
      <c r="AB32" s="73"/>
      <c r="AC32" s="73"/>
      <c r="AD32" s="73"/>
      <c r="AE32" s="73"/>
      <c r="AF32" s="73"/>
      <c r="AG32" s="73"/>
      <c r="AH32" s="73"/>
      <c r="AI32" s="73"/>
      <c r="AJ32" s="73"/>
      <c r="AK32" s="73"/>
      <c r="AL32" s="73"/>
      <c r="AM32" s="73"/>
      <c r="AN32" s="73"/>
      <c r="AO32" s="73"/>
      <c r="AP32" s="65"/>
      <c r="AQ32" s="65"/>
    </row>
    <row r="33" spans="1:43" ht="13.5" customHeight="1">
      <c r="A33" s="91"/>
      <c r="B33" s="45"/>
      <c r="C33" s="128"/>
      <c r="D33" s="129"/>
      <c r="E33" s="129"/>
      <c r="F33" s="129"/>
      <c r="G33" s="129"/>
      <c r="H33" s="129"/>
      <c r="I33" s="129"/>
      <c r="J33" s="129"/>
      <c r="K33" s="130"/>
      <c r="L33" s="191"/>
      <c r="M33" s="191"/>
      <c r="N33" s="73"/>
      <c r="O33" s="73"/>
      <c r="P33" s="73"/>
      <c r="Q33" s="73"/>
      <c r="R33" s="73"/>
      <c r="S33" s="73"/>
      <c r="T33" s="73"/>
      <c r="U33" s="73"/>
      <c r="V33" s="73"/>
      <c r="W33" s="73"/>
      <c r="X33" s="73"/>
      <c r="Y33" s="73"/>
      <c r="Z33" s="65"/>
      <c r="AA33" s="65"/>
      <c r="AB33" s="73"/>
      <c r="AC33" s="73"/>
      <c r="AD33" s="73"/>
      <c r="AE33" s="73"/>
      <c r="AF33" s="73"/>
      <c r="AG33" s="73"/>
      <c r="AH33" s="73"/>
      <c r="AI33" s="73"/>
      <c r="AJ33" s="73"/>
      <c r="AK33" s="73"/>
      <c r="AL33" s="73"/>
      <c r="AM33" s="73"/>
      <c r="AN33" s="73"/>
      <c r="AO33" s="73"/>
      <c r="AP33" s="65"/>
      <c r="AQ33" s="65"/>
    </row>
    <row r="34" spans="1:43" ht="13.5" customHeight="1">
      <c r="A34" s="91"/>
      <c r="B34" s="45"/>
      <c r="C34" s="128"/>
      <c r="D34" s="129"/>
      <c r="E34" s="129"/>
      <c r="F34" s="129"/>
      <c r="G34" s="129"/>
      <c r="H34" s="129"/>
      <c r="I34" s="129"/>
      <c r="J34" s="129"/>
      <c r="K34" s="130"/>
      <c r="L34" s="191"/>
      <c r="M34" s="191"/>
      <c r="N34" s="73"/>
      <c r="O34" s="73"/>
      <c r="P34" s="73"/>
      <c r="Q34" s="73"/>
      <c r="R34" s="73"/>
      <c r="S34" s="73"/>
      <c r="T34" s="73"/>
      <c r="U34" s="73"/>
      <c r="V34" s="73"/>
      <c r="W34" s="73"/>
      <c r="X34" s="73"/>
      <c r="Y34" s="73"/>
      <c r="Z34" s="65"/>
      <c r="AA34" s="65"/>
      <c r="AB34" s="73"/>
      <c r="AC34" s="73"/>
      <c r="AD34" s="73"/>
      <c r="AE34" s="73"/>
      <c r="AF34" s="73"/>
      <c r="AG34" s="73"/>
      <c r="AH34" s="73"/>
      <c r="AI34" s="73"/>
      <c r="AJ34" s="73"/>
      <c r="AK34" s="73"/>
      <c r="AL34" s="73"/>
      <c r="AM34" s="73"/>
      <c r="AN34" s="73"/>
      <c r="AO34" s="73"/>
      <c r="AP34" s="65"/>
      <c r="AQ34" s="65"/>
    </row>
    <row r="35" spans="1:43" ht="13.5" customHeight="1">
      <c r="A35" s="91"/>
      <c r="B35" s="45"/>
      <c r="C35" s="128"/>
      <c r="D35" s="129"/>
      <c r="E35" s="129"/>
      <c r="F35" s="129"/>
      <c r="G35" s="129"/>
      <c r="H35" s="129"/>
      <c r="I35" s="129"/>
      <c r="J35" s="129"/>
      <c r="K35" s="130"/>
      <c r="L35" s="191"/>
      <c r="M35" s="191"/>
      <c r="N35" s="73"/>
      <c r="O35" s="73"/>
      <c r="P35" s="73"/>
      <c r="Q35" s="73"/>
      <c r="R35" s="73"/>
      <c r="S35" s="73"/>
      <c r="T35" s="73"/>
      <c r="U35" s="73"/>
      <c r="V35" s="73"/>
      <c r="W35" s="73"/>
      <c r="X35" s="73"/>
      <c r="Y35" s="73"/>
      <c r="Z35" s="65"/>
      <c r="AA35" s="65"/>
      <c r="AB35" s="73"/>
      <c r="AC35" s="73"/>
      <c r="AD35" s="73"/>
      <c r="AE35" s="73"/>
      <c r="AF35" s="73"/>
      <c r="AG35" s="73"/>
      <c r="AH35" s="73"/>
      <c r="AI35" s="73"/>
      <c r="AJ35" s="73"/>
      <c r="AK35" s="73"/>
      <c r="AL35" s="73"/>
      <c r="AM35" s="73"/>
      <c r="AN35" s="73"/>
      <c r="AO35" s="73"/>
      <c r="AP35" s="65"/>
      <c r="AQ35" s="65"/>
    </row>
    <row r="36" spans="1:43" ht="13.5" customHeight="1">
      <c r="A36" s="91"/>
      <c r="B36" s="45"/>
      <c r="C36" s="128"/>
      <c r="D36" s="129"/>
      <c r="E36" s="129"/>
      <c r="F36" s="129"/>
      <c r="G36" s="129"/>
      <c r="H36" s="129"/>
      <c r="I36" s="129"/>
      <c r="J36" s="129"/>
      <c r="K36" s="130"/>
      <c r="L36" s="191"/>
      <c r="M36" s="191"/>
      <c r="N36" s="73"/>
      <c r="O36" s="73"/>
      <c r="P36" s="73"/>
      <c r="Q36" s="73"/>
      <c r="R36" s="73"/>
      <c r="S36" s="73"/>
      <c r="T36" s="73"/>
      <c r="U36" s="73"/>
      <c r="V36" s="73"/>
      <c r="W36" s="73"/>
      <c r="X36" s="73"/>
      <c r="Y36" s="73"/>
      <c r="Z36" s="65"/>
      <c r="AA36" s="65"/>
      <c r="AB36" s="73"/>
      <c r="AC36" s="73"/>
      <c r="AD36" s="73"/>
      <c r="AE36" s="73"/>
      <c r="AF36" s="73"/>
      <c r="AG36" s="73"/>
      <c r="AH36" s="73"/>
      <c r="AI36" s="73"/>
      <c r="AJ36" s="73"/>
      <c r="AK36" s="73"/>
      <c r="AL36" s="73"/>
      <c r="AM36" s="73"/>
      <c r="AN36" s="73"/>
      <c r="AO36" s="73"/>
      <c r="AP36" s="65"/>
      <c r="AQ36" s="65"/>
    </row>
    <row r="37" spans="1:43" ht="13.5" customHeight="1">
      <c r="A37" s="91"/>
      <c r="B37" s="45"/>
      <c r="C37" s="128"/>
      <c r="D37" s="129"/>
      <c r="E37" s="129"/>
      <c r="F37" s="129"/>
      <c r="G37" s="129"/>
      <c r="H37" s="129"/>
      <c r="I37" s="129"/>
      <c r="J37" s="129"/>
      <c r="K37" s="130"/>
      <c r="L37" s="191"/>
      <c r="M37" s="191"/>
      <c r="N37" s="73"/>
      <c r="O37" s="73"/>
      <c r="P37" s="73"/>
      <c r="Q37" s="73"/>
      <c r="R37" s="73"/>
      <c r="S37" s="73"/>
      <c r="T37" s="73"/>
      <c r="U37" s="73"/>
      <c r="V37" s="73"/>
      <c r="W37" s="73"/>
      <c r="X37" s="73"/>
      <c r="Y37" s="73"/>
      <c r="Z37" s="65"/>
      <c r="AA37" s="65"/>
      <c r="AB37" s="73"/>
      <c r="AC37" s="73"/>
      <c r="AD37" s="73"/>
      <c r="AE37" s="73"/>
      <c r="AF37" s="73"/>
      <c r="AG37" s="73"/>
      <c r="AH37" s="73"/>
      <c r="AI37" s="73"/>
      <c r="AJ37" s="73"/>
      <c r="AK37" s="73"/>
      <c r="AL37" s="73"/>
      <c r="AM37" s="73"/>
      <c r="AN37" s="73"/>
      <c r="AO37" s="73"/>
      <c r="AP37" s="65"/>
      <c r="AQ37" s="65"/>
    </row>
    <row r="38" spans="1:43" ht="13.5" customHeight="1">
      <c r="A38" s="91"/>
      <c r="B38" s="45"/>
      <c r="C38" s="128"/>
      <c r="D38" s="129"/>
      <c r="E38" s="129"/>
      <c r="F38" s="129"/>
      <c r="G38" s="129"/>
      <c r="H38" s="129"/>
      <c r="I38" s="129"/>
      <c r="J38" s="129"/>
      <c r="K38" s="130"/>
      <c r="L38" s="191"/>
      <c r="M38" s="191"/>
      <c r="N38" s="73"/>
      <c r="O38" s="73"/>
      <c r="P38" s="73"/>
      <c r="Q38" s="73"/>
      <c r="R38" s="73"/>
      <c r="S38" s="73"/>
      <c r="T38" s="73"/>
      <c r="U38" s="73"/>
      <c r="V38" s="73"/>
      <c r="W38" s="73"/>
      <c r="X38" s="73"/>
      <c r="Y38" s="73"/>
      <c r="Z38" s="65"/>
      <c r="AA38" s="65"/>
      <c r="AB38" s="73"/>
      <c r="AC38" s="73"/>
      <c r="AD38" s="73"/>
      <c r="AE38" s="73"/>
      <c r="AF38" s="73"/>
      <c r="AG38" s="73"/>
      <c r="AH38" s="73"/>
      <c r="AI38" s="73"/>
      <c r="AJ38" s="73"/>
      <c r="AK38" s="73"/>
      <c r="AL38" s="73"/>
      <c r="AM38" s="73"/>
      <c r="AN38" s="73"/>
      <c r="AO38" s="73"/>
      <c r="AP38" s="65"/>
      <c r="AQ38" s="65"/>
    </row>
    <row r="39" spans="1:43" ht="13.5" customHeight="1">
      <c r="A39" s="91"/>
      <c r="B39" s="45"/>
      <c r="C39" s="128"/>
      <c r="D39" s="129"/>
      <c r="E39" s="129"/>
      <c r="F39" s="129"/>
      <c r="G39" s="129"/>
      <c r="H39" s="129"/>
      <c r="I39" s="129"/>
      <c r="J39" s="129"/>
      <c r="K39" s="130"/>
      <c r="L39" s="191"/>
      <c r="M39" s="191"/>
      <c r="N39" s="73"/>
      <c r="O39" s="73"/>
      <c r="P39" s="73"/>
      <c r="Q39" s="73"/>
      <c r="R39" s="73"/>
      <c r="S39" s="73"/>
      <c r="T39" s="73"/>
      <c r="U39" s="73"/>
      <c r="V39" s="73"/>
      <c r="W39" s="73"/>
      <c r="X39" s="73"/>
      <c r="Y39" s="73"/>
      <c r="Z39" s="65"/>
      <c r="AA39" s="65"/>
      <c r="AB39" s="73"/>
      <c r="AC39" s="73"/>
      <c r="AD39" s="73"/>
      <c r="AE39" s="73"/>
      <c r="AF39" s="73"/>
      <c r="AG39" s="73"/>
      <c r="AH39" s="73"/>
      <c r="AI39" s="73"/>
      <c r="AJ39" s="73"/>
      <c r="AK39" s="73"/>
      <c r="AL39" s="73"/>
      <c r="AM39" s="73"/>
      <c r="AN39" s="73"/>
      <c r="AO39" s="73"/>
      <c r="AP39" s="65"/>
      <c r="AQ39" s="65"/>
    </row>
    <row r="40" spans="1:43" ht="13.5" customHeight="1">
      <c r="A40" s="91"/>
      <c r="B40" s="45"/>
      <c r="C40" s="128"/>
      <c r="D40" s="129"/>
      <c r="E40" s="129"/>
      <c r="F40" s="129"/>
      <c r="G40" s="129"/>
      <c r="H40" s="129"/>
      <c r="I40" s="129"/>
      <c r="J40" s="129"/>
      <c r="K40" s="130"/>
      <c r="L40" s="191"/>
      <c r="M40" s="191"/>
      <c r="N40" s="73"/>
      <c r="O40" s="73"/>
      <c r="P40" s="73"/>
      <c r="Q40" s="73"/>
      <c r="R40" s="73"/>
      <c r="S40" s="73"/>
      <c r="T40" s="73"/>
      <c r="U40" s="73"/>
      <c r="V40" s="73"/>
      <c r="W40" s="73"/>
      <c r="X40" s="73"/>
      <c r="Y40" s="73"/>
      <c r="Z40" s="65"/>
      <c r="AA40" s="65"/>
      <c r="AB40" s="73"/>
      <c r="AC40" s="73"/>
      <c r="AD40" s="73"/>
      <c r="AE40" s="73"/>
      <c r="AF40" s="73"/>
      <c r="AG40" s="73"/>
      <c r="AH40" s="73"/>
      <c r="AI40" s="73"/>
      <c r="AJ40" s="73"/>
      <c r="AK40" s="73"/>
      <c r="AL40" s="73"/>
      <c r="AM40" s="73"/>
      <c r="AN40" s="73"/>
      <c r="AO40" s="73"/>
      <c r="AP40" s="65"/>
      <c r="AQ40" s="65"/>
    </row>
    <row r="41" spans="1:43" ht="13.5" customHeight="1">
      <c r="A41" s="91"/>
      <c r="B41" s="45"/>
      <c r="C41" s="128"/>
      <c r="D41" s="129"/>
      <c r="E41" s="129"/>
      <c r="F41" s="129"/>
      <c r="G41" s="129"/>
      <c r="H41" s="129"/>
      <c r="I41" s="129"/>
      <c r="J41" s="129"/>
      <c r="K41" s="130"/>
      <c r="L41" s="191"/>
      <c r="M41" s="191"/>
      <c r="N41" s="73"/>
      <c r="O41" s="73"/>
      <c r="P41" s="73"/>
      <c r="Q41" s="73"/>
      <c r="R41" s="73"/>
      <c r="S41" s="73"/>
      <c r="T41" s="73"/>
      <c r="U41" s="73"/>
      <c r="V41" s="73"/>
      <c r="W41" s="73"/>
      <c r="X41" s="73"/>
      <c r="Y41" s="73"/>
      <c r="Z41" s="65"/>
      <c r="AA41" s="65"/>
      <c r="AB41" s="73"/>
      <c r="AC41" s="73"/>
      <c r="AD41" s="73"/>
      <c r="AE41" s="73"/>
      <c r="AF41" s="73"/>
      <c r="AG41" s="73"/>
      <c r="AH41" s="73"/>
      <c r="AI41" s="73"/>
      <c r="AJ41" s="73"/>
      <c r="AK41" s="73"/>
      <c r="AL41" s="73"/>
      <c r="AM41" s="73"/>
      <c r="AN41" s="73"/>
      <c r="AO41" s="73"/>
      <c r="AP41" s="65"/>
      <c r="AQ41" s="65"/>
    </row>
    <row r="42" spans="1:43" ht="13.5" customHeight="1">
      <c r="A42" s="91"/>
      <c r="B42" s="45"/>
      <c r="C42" s="128"/>
      <c r="D42" s="129"/>
      <c r="E42" s="129"/>
      <c r="F42" s="129"/>
      <c r="G42" s="129"/>
      <c r="H42" s="129"/>
      <c r="I42" s="129"/>
      <c r="J42" s="129"/>
      <c r="K42" s="130"/>
      <c r="L42" s="191"/>
      <c r="M42" s="191"/>
      <c r="N42" s="73"/>
      <c r="O42" s="73"/>
      <c r="P42" s="73"/>
      <c r="Q42" s="73"/>
      <c r="R42" s="73"/>
      <c r="S42" s="73"/>
      <c r="T42" s="73"/>
      <c r="U42" s="73"/>
      <c r="V42" s="73"/>
      <c r="W42" s="73"/>
      <c r="X42" s="73"/>
      <c r="Y42" s="73"/>
      <c r="Z42" s="65"/>
      <c r="AA42" s="65"/>
      <c r="AB42" s="73"/>
      <c r="AC42" s="73"/>
      <c r="AD42" s="73"/>
      <c r="AE42" s="73"/>
      <c r="AF42" s="73"/>
      <c r="AG42" s="73"/>
      <c r="AH42" s="73"/>
      <c r="AI42" s="73"/>
      <c r="AJ42" s="73"/>
      <c r="AK42" s="73"/>
      <c r="AL42" s="73"/>
      <c r="AM42" s="73"/>
      <c r="AN42" s="73"/>
      <c r="AO42" s="73"/>
      <c r="AP42" s="65"/>
      <c r="AQ42" s="65"/>
    </row>
    <row r="43" spans="1:43" ht="13.5" customHeight="1">
      <c r="A43" s="91"/>
      <c r="B43" s="45"/>
      <c r="C43" s="128"/>
      <c r="D43" s="129"/>
      <c r="E43" s="129"/>
      <c r="F43" s="129"/>
      <c r="G43" s="129"/>
      <c r="H43" s="129"/>
      <c r="I43" s="129"/>
      <c r="J43" s="129"/>
      <c r="K43" s="130"/>
      <c r="L43" s="191"/>
      <c r="M43" s="191"/>
      <c r="N43" s="73"/>
      <c r="O43" s="73"/>
      <c r="P43" s="73"/>
      <c r="Q43" s="73"/>
      <c r="R43" s="73"/>
      <c r="S43" s="73"/>
      <c r="T43" s="73"/>
      <c r="U43" s="73"/>
      <c r="V43" s="73"/>
      <c r="W43" s="73"/>
      <c r="X43" s="73"/>
      <c r="Y43" s="73"/>
      <c r="Z43" s="65"/>
      <c r="AA43" s="65"/>
      <c r="AB43" s="73"/>
      <c r="AC43" s="73"/>
      <c r="AD43" s="73"/>
      <c r="AE43" s="73"/>
      <c r="AF43" s="73"/>
      <c r="AG43" s="73"/>
      <c r="AH43" s="73"/>
      <c r="AI43" s="73"/>
      <c r="AJ43" s="73"/>
      <c r="AK43" s="73"/>
      <c r="AL43" s="73"/>
      <c r="AM43" s="73"/>
      <c r="AN43" s="73"/>
      <c r="AO43" s="73"/>
      <c r="AP43" s="65"/>
      <c r="AQ43" s="65"/>
    </row>
    <row r="44" spans="1:43" ht="13.5" customHeight="1">
      <c r="A44" s="91"/>
      <c r="B44" s="45"/>
      <c r="C44" s="128"/>
      <c r="D44" s="129"/>
      <c r="E44" s="129"/>
      <c r="F44" s="129"/>
      <c r="G44" s="129"/>
      <c r="H44" s="129"/>
      <c r="I44" s="129"/>
      <c r="J44" s="129"/>
      <c r="K44" s="130"/>
      <c r="L44" s="191"/>
      <c r="M44" s="191"/>
      <c r="N44" s="73"/>
      <c r="O44" s="73"/>
      <c r="P44" s="73"/>
      <c r="Q44" s="73"/>
      <c r="R44" s="73"/>
      <c r="S44" s="73"/>
      <c r="T44" s="73"/>
      <c r="U44" s="73"/>
      <c r="V44" s="73"/>
      <c r="W44" s="73"/>
      <c r="X44" s="73"/>
      <c r="Y44" s="73"/>
      <c r="Z44" s="65"/>
      <c r="AA44" s="65"/>
      <c r="AB44" s="73"/>
      <c r="AC44" s="73"/>
      <c r="AD44" s="73"/>
      <c r="AE44" s="73"/>
      <c r="AF44" s="73"/>
      <c r="AG44" s="73"/>
      <c r="AH44" s="73"/>
      <c r="AI44" s="73"/>
      <c r="AJ44" s="73"/>
      <c r="AK44" s="73"/>
      <c r="AL44" s="73"/>
      <c r="AM44" s="73"/>
      <c r="AN44" s="73"/>
      <c r="AO44" s="73"/>
      <c r="AP44" s="65"/>
      <c r="AQ44" s="65"/>
    </row>
    <row r="45" spans="1:43" ht="13.5" customHeight="1">
      <c r="A45" s="91"/>
      <c r="B45" s="45"/>
      <c r="C45" s="128"/>
      <c r="D45" s="129"/>
      <c r="E45" s="129"/>
      <c r="F45" s="129"/>
      <c r="G45" s="129"/>
      <c r="H45" s="129"/>
      <c r="I45" s="129"/>
      <c r="J45" s="129"/>
      <c r="K45" s="130"/>
      <c r="L45" s="191"/>
      <c r="M45" s="191"/>
      <c r="N45" s="73"/>
      <c r="O45" s="73"/>
      <c r="P45" s="73"/>
      <c r="Q45" s="73"/>
      <c r="R45" s="73"/>
      <c r="S45" s="73"/>
      <c r="T45" s="73"/>
      <c r="U45" s="73"/>
      <c r="V45" s="73"/>
      <c r="W45" s="73"/>
      <c r="X45" s="73"/>
      <c r="Y45" s="73"/>
      <c r="Z45" s="65"/>
      <c r="AA45" s="65"/>
      <c r="AB45" s="73"/>
      <c r="AC45" s="73"/>
      <c r="AD45" s="73"/>
      <c r="AE45" s="73"/>
      <c r="AF45" s="73"/>
      <c r="AG45" s="73"/>
      <c r="AH45" s="73"/>
      <c r="AI45" s="73"/>
      <c r="AJ45" s="73"/>
      <c r="AK45" s="73"/>
      <c r="AL45" s="73"/>
      <c r="AM45" s="73"/>
      <c r="AN45" s="73"/>
      <c r="AO45" s="73"/>
      <c r="AP45" s="65"/>
      <c r="AQ45" s="65"/>
    </row>
    <row r="46" spans="1:43" ht="13.5" customHeight="1">
      <c r="A46" s="91"/>
      <c r="B46" s="45"/>
      <c r="C46" s="128"/>
      <c r="D46" s="129"/>
      <c r="E46" s="129"/>
      <c r="F46" s="129"/>
      <c r="G46" s="129"/>
      <c r="H46" s="129"/>
      <c r="I46" s="129"/>
      <c r="J46" s="129"/>
      <c r="K46" s="130"/>
      <c r="L46" s="191"/>
      <c r="M46" s="191"/>
      <c r="N46" s="73"/>
      <c r="O46" s="73"/>
      <c r="P46" s="73"/>
      <c r="Q46" s="73"/>
      <c r="R46" s="73"/>
      <c r="S46" s="73"/>
      <c r="T46" s="73"/>
      <c r="U46" s="73"/>
      <c r="V46" s="73"/>
      <c r="W46" s="73"/>
      <c r="X46" s="73"/>
      <c r="Y46" s="73"/>
      <c r="Z46" s="65"/>
      <c r="AA46" s="65"/>
      <c r="AB46" s="73"/>
      <c r="AC46" s="73"/>
      <c r="AD46" s="73"/>
      <c r="AE46" s="73"/>
      <c r="AF46" s="73"/>
      <c r="AG46" s="73"/>
      <c r="AH46" s="73"/>
      <c r="AI46" s="73"/>
      <c r="AJ46" s="73"/>
      <c r="AK46" s="73"/>
      <c r="AL46" s="73"/>
      <c r="AM46" s="73"/>
      <c r="AN46" s="73"/>
      <c r="AO46" s="73"/>
      <c r="AP46" s="65"/>
      <c r="AQ46" s="65"/>
    </row>
    <row r="47" spans="1:43" ht="13.5" customHeight="1">
      <c r="A47" s="91"/>
      <c r="B47" s="45"/>
      <c r="C47" s="128"/>
      <c r="D47" s="129"/>
      <c r="E47" s="129"/>
      <c r="F47" s="129"/>
      <c r="G47" s="129"/>
      <c r="H47" s="129"/>
      <c r="I47" s="129"/>
      <c r="J47" s="129"/>
      <c r="K47" s="130"/>
      <c r="L47" s="191"/>
      <c r="M47" s="191"/>
      <c r="N47" s="73"/>
      <c r="O47" s="73"/>
      <c r="P47" s="73"/>
      <c r="Q47" s="73"/>
      <c r="R47" s="73"/>
      <c r="S47" s="73"/>
      <c r="T47" s="73"/>
      <c r="U47" s="73"/>
      <c r="V47" s="73"/>
      <c r="W47" s="73"/>
      <c r="X47" s="73"/>
      <c r="Y47" s="73"/>
      <c r="Z47" s="65"/>
      <c r="AA47" s="65"/>
      <c r="AB47" s="73"/>
      <c r="AC47" s="73"/>
      <c r="AD47" s="73"/>
      <c r="AE47" s="73"/>
      <c r="AF47" s="73"/>
      <c r="AG47" s="73"/>
      <c r="AH47" s="73"/>
      <c r="AI47" s="73"/>
      <c r="AJ47" s="73"/>
      <c r="AK47" s="73"/>
      <c r="AL47" s="73"/>
      <c r="AM47" s="73"/>
      <c r="AN47" s="73"/>
      <c r="AO47" s="73"/>
      <c r="AP47" s="65"/>
      <c r="AQ47" s="65"/>
    </row>
    <row r="48" spans="1:43" ht="13.5" customHeight="1">
      <c r="A48" s="91"/>
      <c r="B48" s="45"/>
      <c r="C48" s="128"/>
      <c r="D48" s="129"/>
      <c r="E48" s="129"/>
      <c r="F48" s="129"/>
      <c r="G48" s="129"/>
      <c r="H48" s="129"/>
      <c r="I48" s="129"/>
      <c r="J48" s="129"/>
      <c r="K48" s="130"/>
      <c r="L48" s="191"/>
      <c r="M48" s="191"/>
      <c r="N48" s="73"/>
      <c r="O48" s="73"/>
      <c r="P48" s="73"/>
      <c r="Q48" s="73"/>
      <c r="R48" s="73"/>
      <c r="S48" s="73"/>
      <c r="T48" s="73"/>
      <c r="U48" s="73"/>
      <c r="V48" s="73"/>
      <c r="W48" s="73"/>
      <c r="X48" s="73"/>
      <c r="Y48" s="73"/>
      <c r="Z48" s="65"/>
      <c r="AA48" s="65"/>
      <c r="AB48" s="73"/>
      <c r="AC48" s="73"/>
      <c r="AD48" s="73"/>
      <c r="AE48" s="73"/>
      <c r="AF48" s="73"/>
      <c r="AG48" s="73"/>
      <c r="AH48" s="73"/>
      <c r="AI48" s="73"/>
      <c r="AJ48" s="73"/>
      <c r="AK48" s="73"/>
      <c r="AL48" s="73"/>
      <c r="AM48" s="73"/>
      <c r="AN48" s="73"/>
      <c r="AO48" s="73"/>
      <c r="AP48" s="65"/>
      <c r="AQ48" s="65"/>
    </row>
    <row r="49" spans="1:43" ht="13.5" customHeight="1">
      <c r="A49" s="91"/>
      <c r="B49" s="45"/>
      <c r="C49" s="128"/>
      <c r="D49" s="129"/>
      <c r="E49" s="129"/>
      <c r="F49" s="129"/>
      <c r="G49" s="129"/>
      <c r="H49" s="129"/>
      <c r="I49" s="129"/>
      <c r="J49" s="129"/>
      <c r="K49" s="130"/>
      <c r="L49" s="191"/>
      <c r="M49" s="191"/>
      <c r="N49" s="73"/>
      <c r="O49" s="73"/>
      <c r="P49" s="73"/>
      <c r="Q49" s="73"/>
      <c r="R49" s="73"/>
      <c r="S49" s="73"/>
      <c r="T49" s="73"/>
      <c r="U49" s="73"/>
      <c r="V49" s="73"/>
      <c r="W49" s="73"/>
      <c r="X49" s="73"/>
      <c r="Y49" s="73"/>
      <c r="Z49" s="65"/>
      <c r="AA49" s="65"/>
      <c r="AB49" s="73"/>
      <c r="AC49" s="73"/>
      <c r="AD49" s="73"/>
      <c r="AE49" s="73"/>
      <c r="AF49" s="73"/>
      <c r="AG49" s="73"/>
      <c r="AH49" s="73"/>
      <c r="AI49" s="73"/>
      <c r="AJ49" s="73"/>
      <c r="AK49" s="73"/>
      <c r="AL49" s="73"/>
      <c r="AM49" s="73"/>
      <c r="AN49" s="73"/>
      <c r="AO49" s="73"/>
      <c r="AP49" s="65"/>
      <c r="AQ49" s="65"/>
    </row>
    <row r="50" spans="1:43" ht="13.5" customHeight="1">
      <c r="A50" s="91"/>
      <c r="B50" s="45"/>
      <c r="C50" s="128"/>
      <c r="D50" s="129"/>
      <c r="E50" s="129"/>
      <c r="F50" s="129"/>
      <c r="G50" s="129"/>
      <c r="H50" s="129"/>
      <c r="I50" s="129"/>
      <c r="J50" s="129"/>
      <c r="K50" s="130"/>
      <c r="L50" s="191"/>
      <c r="M50" s="191"/>
      <c r="N50" s="73"/>
      <c r="O50" s="73"/>
      <c r="P50" s="73"/>
      <c r="Q50" s="73"/>
      <c r="R50" s="73"/>
      <c r="S50" s="73"/>
      <c r="T50" s="73"/>
      <c r="U50" s="73"/>
      <c r="V50" s="73"/>
      <c r="W50" s="73"/>
      <c r="X50" s="73"/>
      <c r="Y50" s="73"/>
      <c r="Z50" s="65"/>
      <c r="AA50" s="65"/>
      <c r="AB50" s="73"/>
      <c r="AC50" s="73"/>
      <c r="AD50" s="73"/>
      <c r="AE50" s="73"/>
      <c r="AF50" s="73"/>
      <c r="AG50" s="73"/>
      <c r="AH50" s="73"/>
      <c r="AI50" s="73"/>
      <c r="AJ50" s="73"/>
      <c r="AK50" s="73"/>
      <c r="AL50" s="73"/>
      <c r="AM50" s="73"/>
      <c r="AN50" s="73"/>
      <c r="AO50" s="73"/>
      <c r="AP50" s="65"/>
      <c r="AQ50" s="65"/>
    </row>
    <row r="51" spans="1:43" ht="13.5" customHeight="1">
      <c r="A51" s="91"/>
      <c r="B51" s="45"/>
      <c r="C51" s="128"/>
      <c r="D51" s="129"/>
      <c r="E51" s="129"/>
      <c r="F51" s="129"/>
      <c r="G51" s="129"/>
      <c r="H51" s="129"/>
      <c r="I51" s="129"/>
      <c r="J51" s="129"/>
      <c r="K51" s="130"/>
      <c r="L51" s="191"/>
      <c r="M51" s="191"/>
      <c r="N51" s="73"/>
      <c r="O51" s="73"/>
      <c r="P51" s="73"/>
      <c r="Q51" s="73"/>
      <c r="R51" s="73"/>
      <c r="S51" s="73"/>
      <c r="T51" s="73"/>
      <c r="U51" s="73"/>
      <c r="V51" s="73"/>
      <c r="W51" s="73"/>
      <c r="X51" s="73"/>
      <c r="Y51" s="73"/>
      <c r="Z51" s="65"/>
      <c r="AA51" s="65"/>
      <c r="AB51" s="73"/>
      <c r="AC51" s="73"/>
      <c r="AD51" s="73"/>
      <c r="AE51" s="73"/>
      <c r="AF51" s="73"/>
      <c r="AG51" s="73"/>
      <c r="AH51" s="73"/>
      <c r="AI51" s="73"/>
      <c r="AJ51" s="73"/>
      <c r="AK51" s="73"/>
      <c r="AL51" s="73"/>
      <c r="AM51" s="73"/>
      <c r="AN51" s="73"/>
      <c r="AO51" s="73"/>
      <c r="AP51" s="65"/>
      <c r="AQ51" s="65"/>
    </row>
    <row r="52" spans="1:43" ht="13.5" customHeight="1">
      <c r="A52" s="91"/>
      <c r="B52" s="45"/>
      <c r="C52" s="128"/>
      <c r="D52" s="129"/>
      <c r="E52" s="129"/>
      <c r="F52" s="129"/>
      <c r="G52" s="129"/>
      <c r="H52" s="129"/>
      <c r="I52" s="129"/>
      <c r="J52" s="129"/>
      <c r="K52" s="130"/>
      <c r="L52" s="191"/>
      <c r="M52" s="191"/>
      <c r="N52" s="73"/>
      <c r="O52" s="73"/>
      <c r="P52" s="73"/>
      <c r="Q52" s="73"/>
      <c r="R52" s="73"/>
      <c r="S52" s="73"/>
      <c r="T52" s="73"/>
      <c r="U52" s="73"/>
      <c r="V52" s="73"/>
      <c r="W52" s="73"/>
      <c r="X52" s="73"/>
      <c r="Y52" s="73"/>
      <c r="Z52" s="65"/>
      <c r="AA52" s="65"/>
      <c r="AB52" s="73"/>
      <c r="AC52" s="73"/>
      <c r="AD52" s="73"/>
      <c r="AE52" s="73"/>
      <c r="AF52" s="73"/>
      <c r="AG52" s="73"/>
      <c r="AH52" s="73"/>
      <c r="AI52" s="73"/>
      <c r="AJ52" s="73"/>
      <c r="AK52" s="73"/>
      <c r="AL52" s="73"/>
      <c r="AM52" s="73"/>
      <c r="AN52" s="73"/>
      <c r="AO52" s="73"/>
      <c r="AP52" s="65"/>
      <c r="AQ52" s="65"/>
    </row>
    <row r="53" spans="1:43" ht="13.5" customHeight="1">
      <c r="A53" s="91"/>
      <c r="B53" s="45"/>
      <c r="C53" s="128"/>
      <c r="D53" s="129"/>
      <c r="E53" s="129"/>
      <c r="F53" s="129"/>
      <c r="G53" s="129"/>
      <c r="H53" s="129"/>
      <c r="I53" s="129"/>
      <c r="J53" s="129"/>
      <c r="K53" s="130"/>
      <c r="L53" s="191"/>
      <c r="M53" s="191"/>
      <c r="N53" s="73"/>
      <c r="O53" s="73"/>
      <c r="P53" s="73"/>
      <c r="Q53" s="73"/>
      <c r="R53" s="73"/>
      <c r="S53" s="73"/>
      <c r="T53" s="73"/>
      <c r="U53" s="73"/>
      <c r="V53" s="73"/>
      <c r="W53" s="73"/>
      <c r="X53" s="73"/>
      <c r="Y53" s="73"/>
      <c r="Z53" s="65"/>
      <c r="AA53" s="65"/>
      <c r="AB53" s="73"/>
      <c r="AC53" s="73"/>
      <c r="AD53" s="73"/>
      <c r="AE53" s="73"/>
      <c r="AF53" s="73"/>
      <c r="AG53" s="73"/>
      <c r="AH53" s="73"/>
      <c r="AI53" s="73"/>
      <c r="AJ53" s="73"/>
      <c r="AK53" s="73"/>
      <c r="AL53" s="73"/>
      <c r="AM53" s="73"/>
      <c r="AN53" s="73"/>
      <c r="AO53" s="73"/>
      <c r="AP53" s="65"/>
      <c r="AQ53" s="65"/>
    </row>
    <row r="54" spans="1:43" ht="13.5" customHeight="1">
      <c r="A54" s="91"/>
      <c r="B54" s="45"/>
      <c r="C54" s="128"/>
      <c r="D54" s="129"/>
      <c r="E54" s="129"/>
      <c r="F54" s="129"/>
      <c r="G54" s="129"/>
      <c r="H54" s="129"/>
      <c r="I54" s="129"/>
      <c r="J54" s="129"/>
      <c r="K54" s="130"/>
      <c r="L54" s="191"/>
      <c r="M54" s="191"/>
      <c r="N54" s="73"/>
      <c r="O54" s="73"/>
      <c r="P54" s="73"/>
      <c r="Q54" s="73"/>
      <c r="R54" s="73"/>
      <c r="S54" s="73"/>
      <c r="T54" s="73"/>
      <c r="U54" s="73"/>
      <c r="V54" s="73"/>
      <c r="W54" s="73"/>
      <c r="X54" s="73"/>
      <c r="Y54" s="73"/>
      <c r="Z54" s="65"/>
      <c r="AA54" s="65"/>
      <c r="AB54" s="73"/>
      <c r="AC54" s="73"/>
      <c r="AD54" s="73"/>
      <c r="AE54" s="73"/>
      <c r="AF54" s="73"/>
      <c r="AG54" s="73"/>
      <c r="AH54" s="73"/>
      <c r="AI54" s="73"/>
      <c r="AJ54" s="73"/>
      <c r="AK54" s="73"/>
      <c r="AL54" s="73"/>
      <c r="AM54" s="73"/>
      <c r="AN54" s="73"/>
      <c r="AO54" s="73"/>
      <c r="AP54" s="65"/>
      <c r="AQ54" s="65"/>
    </row>
    <row r="55" spans="1:43" ht="13.5" customHeight="1">
      <c r="A55" s="91"/>
      <c r="B55" s="45"/>
      <c r="C55" s="128"/>
      <c r="D55" s="129"/>
      <c r="E55" s="129"/>
      <c r="F55" s="129"/>
      <c r="G55" s="129"/>
      <c r="H55" s="129"/>
      <c r="I55" s="129"/>
      <c r="J55" s="129"/>
      <c r="K55" s="130"/>
      <c r="L55" s="191"/>
      <c r="M55" s="191"/>
      <c r="N55" s="73"/>
      <c r="O55" s="73"/>
      <c r="P55" s="73"/>
      <c r="Q55" s="73"/>
      <c r="R55" s="73"/>
      <c r="S55" s="73"/>
      <c r="T55" s="73"/>
      <c r="U55" s="73"/>
      <c r="V55" s="73"/>
      <c r="W55" s="73"/>
      <c r="X55" s="73"/>
      <c r="Y55" s="73"/>
      <c r="Z55" s="65"/>
      <c r="AA55" s="65"/>
      <c r="AB55" s="73"/>
      <c r="AC55" s="73"/>
      <c r="AD55" s="73"/>
      <c r="AE55" s="73"/>
      <c r="AF55" s="73"/>
      <c r="AG55" s="73"/>
      <c r="AH55" s="73"/>
      <c r="AI55" s="73"/>
      <c r="AJ55" s="73"/>
      <c r="AK55" s="73"/>
      <c r="AL55" s="73"/>
      <c r="AM55" s="73"/>
      <c r="AN55" s="73"/>
      <c r="AO55" s="73"/>
      <c r="AP55" s="65"/>
      <c r="AQ55" s="65"/>
    </row>
    <row r="56" spans="1:43" ht="13.5" customHeight="1">
      <c r="A56" s="91"/>
      <c r="B56" s="45"/>
      <c r="C56" s="128"/>
      <c r="D56" s="129"/>
      <c r="E56" s="129"/>
      <c r="F56" s="129"/>
      <c r="G56" s="129"/>
      <c r="H56" s="129"/>
      <c r="I56" s="129"/>
      <c r="J56" s="129"/>
      <c r="K56" s="130"/>
      <c r="L56" s="191"/>
      <c r="M56" s="191"/>
      <c r="N56" s="73"/>
      <c r="O56" s="73"/>
      <c r="P56" s="73"/>
      <c r="Q56" s="73"/>
      <c r="R56" s="73"/>
      <c r="S56" s="73"/>
      <c r="T56" s="73"/>
      <c r="U56" s="73"/>
      <c r="V56" s="73"/>
      <c r="W56" s="73"/>
      <c r="X56" s="73"/>
      <c r="Y56" s="73"/>
      <c r="Z56" s="65"/>
      <c r="AA56" s="65"/>
      <c r="AB56" s="73"/>
      <c r="AC56" s="73"/>
      <c r="AD56" s="73"/>
      <c r="AE56" s="73"/>
      <c r="AF56" s="73"/>
      <c r="AG56" s="73"/>
      <c r="AH56" s="73"/>
      <c r="AI56" s="73"/>
      <c r="AJ56" s="73"/>
      <c r="AK56" s="73"/>
      <c r="AL56" s="73"/>
      <c r="AM56" s="73"/>
      <c r="AN56" s="73"/>
      <c r="AO56" s="73"/>
      <c r="AP56" s="65"/>
      <c r="AQ56" s="65"/>
    </row>
    <row r="57" spans="1:43" ht="13.5" customHeight="1">
      <c r="A57" s="91"/>
      <c r="B57" s="45"/>
      <c r="C57" s="128"/>
      <c r="D57" s="129"/>
      <c r="E57" s="129"/>
      <c r="F57" s="129"/>
      <c r="G57" s="129"/>
      <c r="H57" s="129"/>
      <c r="I57" s="129"/>
      <c r="J57" s="129"/>
      <c r="K57" s="130"/>
      <c r="L57" s="191"/>
      <c r="M57" s="191"/>
      <c r="N57" s="73"/>
      <c r="O57" s="73"/>
      <c r="P57" s="73"/>
      <c r="Q57" s="73"/>
      <c r="R57" s="73"/>
      <c r="S57" s="73"/>
      <c r="T57" s="73"/>
      <c r="U57" s="73"/>
      <c r="V57" s="73"/>
      <c r="W57" s="73"/>
      <c r="X57" s="73"/>
      <c r="Y57" s="73"/>
      <c r="Z57" s="65"/>
      <c r="AA57" s="65"/>
      <c r="AB57" s="73"/>
      <c r="AC57" s="73"/>
      <c r="AD57" s="73"/>
      <c r="AE57" s="73"/>
      <c r="AF57" s="73"/>
      <c r="AG57" s="73"/>
      <c r="AH57" s="73"/>
      <c r="AI57" s="73"/>
      <c r="AJ57" s="73"/>
      <c r="AK57" s="73"/>
      <c r="AL57" s="73"/>
      <c r="AM57" s="73"/>
      <c r="AN57" s="73"/>
      <c r="AO57" s="73"/>
      <c r="AP57" s="65"/>
      <c r="AQ57" s="65"/>
    </row>
    <row r="58" spans="1:43" ht="13.5" customHeight="1">
      <c r="A58" s="91"/>
      <c r="B58" s="45"/>
      <c r="C58" s="128"/>
      <c r="D58" s="129"/>
      <c r="E58" s="129"/>
      <c r="F58" s="129"/>
      <c r="G58" s="129"/>
      <c r="H58" s="129"/>
      <c r="I58" s="129"/>
      <c r="J58" s="129"/>
      <c r="K58" s="130"/>
      <c r="L58" s="191"/>
      <c r="M58" s="191"/>
      <c r="N58" s="73"/>
      <c r="O58" s="73"/>
      <c r="P58" s="73"/>
      <c r="Q58" s="73"/>
      <c r="R58" s="73"/>
      <c r="S58" s="73"/>
      <c r="T58" s="73"/>
      <c r="U58" s="73"/>
      <c r="V58" s="73"/>
      <c r="W58" s="73"/>
      <c r="X58" s="73"/>
      <c r="Y58" s="73"/>
      <c r="Z58" s="65"/>
      <c r="AA58" s="65"/>
      <c r="AB58" s="73"/>
      <c r="AC58" s="73"/>
      <c r="AD58" s="73"/>
      <c r="AE58" s="73"/>
      <c r="AF58" s="73"/>
      <c r="AG58" s="73"/>
      <c r="AH58" s="73"/>
      <c r="AI58" s="73"/>
      <c r="AJ58" s="73"/>
      <c r="AK58" s="73"/>
      <c r="AL58" s="73"/>
      <c r="AM58" s="73"/>
      <c r="AN58" s="73"/>
      <c r="AO58" s="73"/>
      <c r="AP58" s="65"/>
      <c r="AQ58" s="65"/>
    </row>
    <row r="59" spans="1:43" ht="13.5" customHeight="1">
      <c r="A59" s="91"/>
      <c r="B59" s="45"/>
      <c r="C59" s="128"/>
      <c r="D59" s="129"/>
      <c r="E59" s="129"/>
      <c r="F59" s="129"/>
      <c r="G59" s="129"/>
      <c r="H59" s="129"/>
      <c r="I59" s="129"/>
      <c r="J59" s="129"/>
      <c r="K59" s="130"/>
      <c r="L59" s="191"/>
      <c r="M59" s="191"/>
      <c r="N59" s="73"/>
      <c r="O59" s="73"/>
      <c r="P59" s="73"/>
      <c r="Q59" s="73"/>
      <c r="R59" s="73"/>
      <c r="S59" s="73"/>
      <c r="T59" s="73"/>
      <c r="U59" s="73"/>
      <c r="V59" s="73"/>
      <c r="W59" s="73"/>
      <c r="X59" s="73"/>
      <c r="Y59" s="73"/>
      <c r="Z59" s="65"/>
      <c r="AA59" s="65"/>
      <c r="AB59" s="73"/>
      <c r="AC59" s="73"/>
      <c r="AD59" s="73"/>
      <c r="AE59" s="73"/>
      <c r="AF59" s="73"/>
      <c r="AG59" s="73"/>
      <c r="AH59" s="73"/>
      <c r="AI59" s="73"/>
      <c r="AJ59" s="73"/>
      <c r="AK59" s="73"/>
      <c r="AL59" s="73"/>
      <c r="AM59" s="73"/>
      <c r="AN59" s="73"/>
      <c r="AO59" s="73"/>
      <c r="AP59" s="65"/>
      <c r="AQ59" s="65"/>
    </row>
    <row r="60" spans="1:43" ht="13.5" customHeight="1">
      <c r="A60" s="91"/>
      <c r="B60" s="45"/>
      <c r="C60" s="128"/>
      <c r="D60" s="129"/>
      <c r="E60" s="129"/>
      <c r="F60" s="129"/>
      <c r="G60" s="129"/>
      <c r="H60" s="129"/>
      <c r="I60" s="129"/>
      <c r="J60" s="129"/>
      <c r="K60" s="130"/>
      <c r="L60" s="191"/>
      <c r="M60" s="191"/>
      <c r="N60" s="73"/>
      <c r="O60" s="73"/>
      <c r="P60" s="73"/>
      <c r="Q60" s="73"/>
      <c r="R60" s="73"/>
      <c r="S60" s="73"/>
      <c r="T60" s="73"/>
      <c r="U60" s="73"/>
      <c r="V60" s="73"/>
      <c r="W60" s="73"/>
      <c r="X60" s="73"/>
      <c r="Y60" s="73"/>
      <c r="Z60" s="65"/>
      <c r="AA60" s="65"/>
      <c r="AB60" s="73"/>
      <c r="AC60" s="73"/>
      <c r="AD60" s="73"/>
      <c r="AE60" s="73"/>
      <c r="AF60" s="73"/>
      <c r="AG60" s="73"/>
      <c r="AH60" s="73"/>
      <c r="AI60" s="73"/>
      <c r="AJ60" s="73"/>
      <c r="AK60" s="73"/>
      <c r="AL60" s="73"/>
      <c r="AM60" s="73"/>
      <c r="AN60" s="73"/>
      <c r="AO60" s="73"/>
      <c r="AP60" s="65"/>
      <c r="AQ60" s="65"/>
    </row>
    <row r="61" spans="1:43" ht="13.5" customHeight="1">
      <c r="A61" s="91"/>
      <c r="B61" s="45"/>
      <c r="C61" s="128"/>
      <c r="D61" s="129"/>
      <c r="E61" s="129"/>
      <c r="F61" s="129"/>
      <c r="G61" s="129"/>
      <c r="H61" s="129"/>
      <c r="I61" s="129"/>
      <c r="J61" s="129"/>
      <c r="K61" s="130"/>
      <c r="L61" s="191"/>
      <c r="M61" s="191"/>
      <c r="N61" s="73"/>
      <c r="O61" s="73"/>
      <c r="P61" s="73"/>
      <c r="Q61" s="73"/>
      <c r="R61" s="73"/>
      <c r="S61" s="73"/>
      <c r="T61" s="73"/>
      <c r="U61" s="73"/>
      <c r="V61" s="73"/>
      <c r="W61" s="73"/>
      <c r="X61" s="73"/>
      <c r="Y61" s="73"/>
      <c r="Z61" s="65"/>
      <c r="AA61" s="65"/>
      <c r="AB61" s="73"/>
      <c r="AC61" s="73"/>
      <c r="AD61" s="73"/>
      <c r="AE61" s="73"/>
      <c r="AF61" s="73"/>
      <c r="AG61" s="73"/>
      <c r="AH61" s="73"/>
      <c r="AI61" s="73"/>
      <c r="AJ61" s="73"/>
      <c r="AK61" s="73"/>
      <c r="AL61" s="73"/>
      <c r="AM61" s="73"/>
      <c r="AN61" s="73"/>
      <c r="AO61" s="73"/>
      <c r="AP61" s="65"/>
      <c r="AQ61" s="65"/>
    </row>
    <row r="62" spans="1:43" ht="13.5" customHeight="1">
      <c r="A62" s="91"/>
      <c r="B62" s="45"/>
      <c r="C62" s="128"/>
      <c r="D62" s="129"/>
      <c r="E62" s="129"/>
      <c r="F62" s="129"/>
      <c r="G62" s="129"/>
      <c r="H62" s="129"/>
      <c r="I62" s="129"/>
      <c r="J62" s="129"/>
      <c r="K62" s="130"/>
      <c r="L62" s="191"/>
      <c r="M62" s="191"/>
      <c r="N62" s="73"/>
      <c r="O62" s="73"/>
      <c r="P62" s="73"/>
      <c r="Q62" s="73"/>
      <c r="R62" s="73"/>
      <c r="S62" s="73"/>
      <c r="T62" s="73"/>
      <c r="U62" s="73"/>
      <c r="V62" s="73"/>
      <c r="W62" s="73"/>
      <c r="X62" s="73"/>
      <c r="Y62" s="73"/>
      <c r="Z62" s="65"/>
      <c r="AA62" s="65"/>
      <c r="AB62" s="73"/>
      <c r="AC62" s="73"/>
      <c r="AD62" s="73"/>
      <c r="AE62" s="73"/>
      <c r="AF62" s="73"/>
      <c r="AG62" s="73"/>
      <c r="AH62" s="73"/>
      <c r="AI62" s="73"/>
      <c r="AJ62" s="73"/>
      <c r="AK62" s="73"/>
      <c r="AL62" s="73"/>
      <c r="AM62" s="73"/>
      <c r="AN62" s="73"/>
      <c r="AO62" s="73"/>
      <c r="AP62" s="65"/>
      <c r="AQ62" s="65"/>
    </row>
    <row r="63" spans="1:43" ht="13.5" customHeight="1">
      <c r="A63" s="91"/>
      <c r="B63" s="45"/>
      <c r="C63" s="128"/>
      <c r="D63" s="129"/>
      <c r="E63" s="129"/>
      <c r="F63" s="129"/>
      <c r="G63" s="129"/>
      <c r="H63" s="129"/>
      <c r="I63" s="129"/>
      <c r="J63" s="129"/>
      <c r="K63" s="130"/>
      <c r="L63" s="191"/>
      <c r="M63" s="191"/>
      <c r="N63" s="73"/>
      <c r="O63" s="73"/>
      <c r="P63" s="73"/>
      <c r="Q63" s="73"/>
      <c r="R63" s="73"/>
      <c r="S63" s="73"/>
      <c r="T63" s="73"/>
      <c r="U63" s="73"/>
      <c r="V63" s="73"/>
      <c r="W63" s="73"/>
      <c r="X63" s="73"/>
      <c r="Y63" s="73"/>
      <c r="Z63" s="65"/>
      <c r="AA63" s="65"/>
      <c r="AB63" s="73"/>
      <c r="AC63" s="73"/>
      <c r="AD63" s="73"/>
      <c r="AE63" s="73"/>
      <c r="AF63" s="73"/>
      <c r="AG63" s="73"/>
      <c r="AH63" s="73"/>
      <c r="AI63" s="73"/>
      <c r="AJ63" s="73"/>
      <c r="AK63" s="73"/>
      <c r="AL63" s="73"/>
      <c r="AM63" s="73"/>
      <c r="AN63" s="73"/>
      <c r="AO63" s="73"/>
      <c r="AP63" s="65"/>
      <c r="AQ63" s="65"/>
    </row>
    <row r="64" spans="1:43" ht="13.5" customHeight="1">
      <c r="A64" s="91"/>
      <c r="B64" s="45"/>
      <c r="C64" s="128"/>
      <c r="D64" s="129"/>
      <c r="E64" s="129"/>
      <c r="F64" s="129"/>
      <c r="G64" s="129"/>
      <c r="H64" s="129"/>
      <c r="I64" s="129"/>
      <c r="J64" s="129"/>
      <c r="K64" s="130"/>
      <c r="L64" s="191"/>
      <c r="M64" s="191"/>
      <c r="N64" s="73"/>
      <c r="O64" s="73"/>
      <c r="P64" s="73"/>
      <c r="Q64" s="73"/>
      <c r="R64" s="73"/>
      <c r="S64" s="73"/>
      <c r="T64" s="73"/>
      <c r="U64" s="73"/>
      <c r="V64" s="73"/>
      <c r="W64" s="73"/>
      <c r="X64" s="73"/>
      <c r="Y64" s="73"/>
      <c r="Z64" s="65"/>
      <c r="AA64" s="65"/>
      <c r="AB64" s="73"/>
      <c r="AC64" s="73"/>
      <c r="AD64" s="73"/>
      <c r="AE64" s="73"/>
      <c r="AF64" s="73"/>
      <c r="AG64" s="73"/>
      <c r="AH64" s="73"/>
      <c r="AI64" s="73"/>
      <c r="AJ64" s="73"/>
      <c r="AK64" s="73"/>
      <c r="AL64" s="73"/>
      <c r="AM64" s="73"/>
      <c r="AN64" s="73"/>
      <c r="AO64" s="73"/>
      <c r="AP64" s="65"/>
      <c r="AQ64" s="65"/>
    </row>
    <row r="65" spans="1:43" ht="13.5" customHeight="1">
      <c r="A65" s="91"/>
      <c r="B65" s="45"/>
      <c r="C65" s="128"/>
      <c r="D65" s="129"/>
      <c r="E65" s="129"/>
      <c r="F65" s="129"/>
      <c r="G65" s="129"/>
      <c r="H65" s="129"/>
      <c r="I65" s="129"/>
      <c r="J65" s="129"/>
      <c r="K65" s="130"/>
      <c r="L65" s="191"/>
      <c r="M65" s="191"/>
      <c r="N65" s="73"/>
      <c r="O65" s="73"/>
      <c r="P65" s="73"/>
      <c r="Q65" s="73"/>
      <c r="R65" s="73"/>
      <c r="S65" s="73"/>
      <c r="T65" s="73"/>
      <c r="U65" s="73"/>
      <c r="V65" s="73"/>
      <c r="W65" s="73"/>
      <c r="X65" s="73"/>
      <c r="Y65" s="73"/>
      <c r="Z65" s="65"/>
      <c r="AA65" s="65"/>
      <c r="AB65" s="73"/>
      <c r="AC65" s="73"/>
      <c r="AD65" s="73"/>
      <c r="AE65" s="73"/>
      <c r="AF65" s="73"/>
      <c r="AG65" s="73"/>
      <c r="AH65" s="73"/>
      <c r="AI65" s="73"/>
      <c r="AJ65" s="73"/>
      <c r="AK65" s="73"/>
      <c r="AL65" s="73"/>
      <c r="AM65" s="73"/>
      <c r="AN65" s="73"/>
      <c r="AO65" s="73"/>
      <c r="AP65" s="65"/>
      <c r="AQ65" s="65"/>
    </row>
    <row r="66" spans="1:43" ht="13.5" customHeight="1">
      <c r="A66" s="91"/>
      <c r="B66" s="45"/>
      <c r="C66" s="128"/>
      <c r="D66" s="129"/>
      <c r="E66" s="129"/>
      <c r="F66" s="129"/>
      <c r="G66" s="129"/>
      <c r="H66" s="129"/>
      <c r="I66" s="129"/>
      <c r="J66" s="129"/>
      <c r="K66" s="130"/>
      <c r="L66" s="191"/>
      <c r="M66" s="191"/>
      <c r="N66" s="73"/>
      <c r="O66" s="73"/>
      <c r="P66" s="73"/>
      <c r="Q66" s="73"/>
      <c r="R66" s="73"/>
      <c r="S66" s="73"/>
      <c r="T66" s="73"/>
      <c r="U66" s="73"/>
      <c r="V66" s="73"/>
      <c r="W66" s="73"/>
      <c r="X66" s="73"/>
      <c r="Y66" s="73"/>
      <c r="Z66" s="65"/>
      <c r="AA66" s="65"/>
      <c r="AB66" s="73"/>
      <c r="AC66" s="73"/>
      <c r="AD66" s="73"/>
      <c r="AE66" s="73"/>
      <c r="AF66" s="73"/>
      <c r="AG66" s="73"/>
      <c r="AH66" s="73"/>
      <c r="AI66" s="73"/>
      <c r="AJ66" s="73"/>
      <c r="AK66" s="73"/>
      <c r="AL66" s="73"/>
      <c r="AM66" s="73"/>
      <c r="AN66" s="73"/>
      <c r="AO66" s="73"/>
      <c r="AP66" s="65"/>
      <c r="AQ66" s="65"/>
    </row>
    <row r="67" spans="1:43" ht="13.5" customHeight="1">
      <c r="A67" s="91"/>
      <c r="B67" s="45"/>
      <c r="C67" s="128"/>
      <c r="D67" s="129"/>
      <c r="E67" s="129"/>
      <c r="F67" s="129"/>
      <c r="G67" s="129"/>
      <c r="H67" s="129"/>
      <c r="I67" s="129"/>
      <c r="J67" s="129"/>
      <c r="K67" s="130"/>
      <c r="L67" s="191"/>
      <c r="M67" s="191"/>
      <c r="N67" s="73"/>
      <c r="O67" s="73"/>
      <c r="P67" s="73"/>
      <c r="Q67" s="73"/>
      <c r="R67" s="73"/>
      <c r="S67" s="73"/>
      <c r="T67" s="73"/>
      <c r="U67" s="73"/>
      <c r="V67" s="73"/>
      <c r="W67" s="73"/>
      <c r="X67" s="73"/>
      <c r="Y67" s="73"/>
      <c r="Z67" s="65"/>
      <c r="AA67" s="65"/>
      <c r="AB67" s="73"/>
      <c r="AC67" s="73"/>
      <c r="AD67" s="73"/>
      <c r="AE67" s="73"/>
      <c r="AF67" s="73"/>
      <c r="AG67" s="73"/>
      <c r="AH67" s="73"/>
      <c r="AI67" s="73"/>
      <c r="AJ67" s="73"/>
      <c r="AK67" s="73"/>
      <c r="AL67" s="73"/>
      <c r="AM67" s="73"/>
      <c r="AN67" s="73"/>
      <c r="AO67" s="73"/>
      <c r="AP67" s="65"/>
      <c r="AQ67" s="65"/>
    </row>
    <row r="68" spans="1:43" ht="13.5" customHeight="1">
      <c r="A68" s="91"/>
      <c r="B68" s="45"/>
      <c r="C68" s="128"/>
      <c r="D68" s="129"/>
      <c r="E68" s="129"/>
      <c r="F68" s="129"/>
      <c r="G68" s="129"/>
      <c r="H68" s="129"/>
      <c r="I68" s="129"/>
      <c r="J68" s="129"/>
      <c r="K68" s="130"/>
      <c r="L68" s="191"/>
      <c r="M68" s="191"/>
      <c r="N68" s="73"/>
      <c r="O68" s="73"/>
      <c r="P68" s="73"/>
      <c r="Q68" s="73"/>
      <c r="R68" s="73"/>
      <c r="S68" s="73"/>
      <c r="T68" s="73"/>
      <c r="U68" s="73"/>
      <c r="V68" s="73"/>
      <c r="W68" s="73"/>
      <c r="X68" s="73"/>
      <c r="Y68" s="73"/>
      <c r="Z68" s="65"/>
      <c r="AA68" s="65"/>
      <c r="AB68" s="73"/>
      <c r="AC68" s="73"/>
      <c r="AD68" s="73"/>
      <c r="AE68" s="73"/>
      <c r="AF68" s="73"/>
      <c r="AG68" s="73"/>
      <c r="AH68" s="73"/>
      <c r="AI68" s="73"/>
      <c r="AJ68" s="73"/>
      <c r="AK68" s="73"/>
      <c r="AL68" s="73"/>
      <c r="AM68" s="73"/>
      <c r="AN68" s="73"/>
      <c r="AO68" s="73"/>
      <c r="AP68" s="65"/>
      <c r="AQ68" s="65"/>
    </row>
    <row r="69" spans="1:43" ht="13.5" customHeight="1">
      <c r="A69" s="91"/>
      <c r="B69" s="45"/>
      <c r="C69" s="128"/>
      <c r="D69" s="129"/>
      <c r="E69" s="129"/>
      <c r="F69" s="129"/>
      <c r="G69" s="129"/>
      <c r="H69" s="129"/>
      <c r="I69" s="129"/>
      <c r="J69" s="129"/>
      <c r="K69" s="130"/>
      <c r="L69" s="191"/>
      <c r="M69" s="191"/>
      <c r="N69" s="73"/>
      <c r="O69" s="73"/>
      <c r="P69" s="73"/>
      <c r="Q69" s="73"/>
      <c r="R69" s="73"/>
      <c r="S69" s="73"/>
      <c r="T69" s="73"/>
      <c r="U69" s="73"/>
      <c r="V69" s="73"/>
      <c r="W69" s="73"/>
      <c r="X69" s="73"/>
      <c r="Y69" s="73"/>
      <c r="Z69" s="65"/>
      <c r="AA69" s="65"/>
      <c r="AB69" s="73"/>
      <c r="AC69" s="73"/>
      <c r="AD69" s="73"/>
      <c r="AE69" s="73"/>
      <c r="AF69" s="73"/>
      <c r="AG69" s="73"/>
      <c r="AH69" s="73"/>
      <c r="AI69" s="73"/>
      <c r="AJ69" s="73"/>
      <c r="AK69" s="73"/>
      <c r="AL69" s="73"/>
      <c r="AM69" s="73"/>
      <c r="AN69" s="73"/>
      <c r="AO69" s="73"/>
      <c r="AP69" s="65"/>
      <c r="AQ69" s="65"/>
    </row>
    <row r="70" spans="1:43" ht="13.5" customHeight="1">
      <c r="A70" s="91"/>
      <c r="B70" s="45"/>
      <c r="C70" s="128"/>
      <c r="D70" s="129"/>
      <c r="E70" s="129"/>
      <c r="F70" s="129"/>
      <c r="G70" s="129"/>
      <c r="H70" s="129"/>
      <c r="I70" s="129"/>
      <c r="J70" s="129"/>
      <c r="K70" s="130"/>
      <c r="L70" s="191"/>
      <c r="M70" s="191"/>
      <c r="N70" s="73"/>
      <c r="O70" s="73"/>
      <c r="P70" s="73"/>
      <c r="Q70" s="73"/>
      <c r="R70" s="73"/>
      <c r="S70" s="73"/>
      <c r="T70" s="73"/>
      <c r="U70" s="73"/>
      <c r="V70" s="73"/>
      <c r="W70" s="73"/>
      <c r="X70" s="73"/>
      <c r="Y70" s="73"/>
      <c r="Z70" s="65"/>
      <c r="AA70" s="65"/>
      <c r="AB70" s="73"/>
      <c r="AC70" s="73"/>
      <c r="AD70" s="73"/>
      <c r="AE70" s="73"/>
      <c r="AF70" s="73"/>
      <c r="AG70" s="73"/>
      <c r="AH70" s="73"/>
      <c r="AI70" s="73"/>
      <c r="AJ70" s="73"/>
      <c r="AK70" s="73"/>
      <c r="AL70" s="73"/>
      <c r="AM70" s="73"/>
      <c r="AN70" s="73"/>
      <c r="AO70" s="73"/>
      <c r="AP70" s="65"/>
      <c r="AQ70" s="65"/>
    </row>
    <row r="71" spans="1:43" ht="13.5" customHeight="1">
      <c r="A71" s="91"/>
      <c r="B71" s="45"/>
      <c r="C71" s="128"/>
      <c r="D71" s="129"/>
      <c r="E71" s="129"/>
      <c r="F71" s="129"/>
      <c r="G71" s="129"/>
      <c r="H71" s="129"/>
      <c r="I71" s="129"/>
      <c r="J71" s="129"/>
      <c r="K71" s="130"/>
      <c r="L71" s="191"/>
      <c r="M71" s="191"/>
      <c r="N71" s="73"/>
      <c r="O71" s="73"/>
      <c r="P71" s="73"/>
      <c r="Q71" s="73"/>
      <c r="R71" s="73"/>
      <c r="S71" s="73"/>
      <c r="T71" s="73"/>
      <c r="U71" s="73"/>
      <c r="V71" s="73"/>
      <c r="W71" s="73"/>
      <c r="X71" s="73"/>
      <c r="Y71" s="73"/>
      <c r="Z71" s="65"/>
      <c r="AA71" s="65"/>
      <c r="AB71" s="73"/>
      <c r="AC71" s="73"/>
      <c r="AD71" s="73"/>
      <c r="AE71" s="73"/>
      <c r="AF71" s="73"/>
      <c r="AG71" s="73"/>
      <c r="AH71" s="73"/>
      <c r="AI71" s="73"/>
      <c r="AJ71" s="73"/>
      <c r="AK71" s="73"/>
      <c r="AL71" s="73"/>
      <c r="AM71" s="73"/>
      <c r="AN71" s="73"/>
      <c r="AO71" s="73"/>
      <c r="AP71" s="65"/>
      <c r="AQ71" s="65"/>
    </row>
    <row r="72" spans="1:43" ht="13.5" customHeight="1">
      <c r="A72" s="91"/>
      <c r="B72" s="45"/>
      <c r="C72" s="128"/>
      <c r="D72" s="129"/>
      <c r="E72" s="129"/>
      <c r="F72" s="129"/>
      <c r="G72" s="129"/>
      <c r="H72" s="129"/>
      <c r="I72" s="129"/>
      <c r="J72" s="129"/>
      <c r="K72" s="130"/>
      <c r="L72" s="191"/>
      <c r="M72" s="191"/>
      <c r="N72" s="73"/>
      <c r="O72" s="73"/>
      <c r="P72" s="73"/>
      <c r="Q72" s="73"/>
      <c r="R72" s="73"/>
      <c r="S72" s="73"/>
      <c r="T72" s="73"/>
      <c r="U72" s="73"/>
      <c r="V72" s="73"/>
      <c r="W72" s="73"/>
      <c r="X72" s="73"/>
      <c r="Y72" s="73"/>
      <c r="Z72" s="65"/>
      <c r="AA72" s="65"/>
      <c r="AB72" s="73"/>
      <c r="AC72" s="73"/>
      <c r="AD72" s="73"/>
      <c r="AE72" s="73"/>
      <c r="AF72" s="73"/>
      <c r="AG72" s="73"/>
      <c r="AH72" s="73"/>
      <c r="AI72" s="73"/>
      <c r="AJ72" s="73"/>
      <c r="AK72" s="73"/>
      <c r="AL72" s="73"/>
      <c r="AM72" s="73"/>
      <c r="AN72" s="73"/>
      <c r="AO72" s="73"/>
      <c r="AP72" s="65"/>
      <c r="AQ72" s="65"/>
    </row>
    <row r="73" spans="1:43" ht="13.5" customHeight="1">
      <c r="A73" s="91"/>
      <c r="B73" s="45"/>
      <c r="C73" s="128"/>
      <c r="D73" s="129"/>
      <c r="E73" s="129"/>
      <c r="F73" s="129"/>
      <c r="G73" s="129"/>
      <c r="H73" s="129"/>
      <c r="I73" s="129"/>
      <c r="J73" s="129"/>
      <c r="K73" s="130"/>
      <c r="L73" s="191"/>
      <c r="M73" s="191"/>
      <c r="N73" s="73"/>
      <c r="O73" s="73"/>
      <c r="P73" s="73"/>
      <c r="Q73" s="73"/>
      <c r="R73" s="73"/>
      <c r="S73" s="73"/>
      <c r="T73" s="73"/>
      <c r="U73" s="73"/>
      <c r="V73" s="73"/>
      <c r="W73" s="73"/>
      <c r="X73" s="73"/>
      <c r="Y73" s="73"/>
      <c r="Z73" s="65"/>
      <c r="AA73" s="65"/>
      <c r="AB73" s="73"/>
      <c r="AC73" s="73"/>
      <c r="AD73" s="73"/>
      <c r="AE73" s="73"/>
      <c r="AF73" s="73"/>
      <c r="AG73" s="73"/>
      <c r="AH73" s="73"/>
      <c r="AI73" s="73"/>
      <c r="AJ73" s="73"/>
      <c r="AK73" s="73"/>
      <c r="AL73" s="73"/>
      <c r="AM73" s="73"/>
      <c r="AN73" s="73"/>
      <c r="AO73" s="73"/>
      <c r="AP73" s="65"/>
      <c r="AQ73" s="65"/>
    </row>
    <row r="74" spans="1:43" ht="13.5" customHeight="1">
      <c r="A74" s="91"/>
      <c r="B74" s="45"/>
      <c r="C74" s="128"/>
      <c r="D74" s="129"/>
      <c r="E74" s="129"/>
      <c r="F74" s="129"/>
      <c r="G74" s="129"/>
      <c r="H74" s="129"/>
      <c r="I74" s="129"/>
      <c r="J74" s="129"/>
      <c r="K74" s="130"/>
      <c r="L74" s="191"/>
      <c r="M74" s="191"/>
      <c r="N74" s="73"/>
      <c r="O74" s="73"/>
      <c r="P74" s="73"/>
      <c r="Q74" s="73"/>
      <c r="R74" s="73"/>
      <c r="S74" s="73"/>
      <c r="T74" s="73"/>
      <c r="U74" s="73"/>
      <c r="V74" s="73"/>
      <c r="W74" s="73"/>
      <c r="X74" s="73"/>
      <c r="Y74" s="73"/>
      <c r="Z74" s="65"/>
      <c r="AA74" s="65"/>
      <c r="AB74" s="73"/>
      <c r="AC74" s="73"/>
      <c r="AD74" s="73"/>
      <c r="AE74" s="73"/>
      <c r="AF74" s="73"/>
      <c r="AG74" s="73"/>
      <c r="AH74" s="73"/>
      <c r="AI74" s="73"/>
      <c r="AJ74" s="73"/>
      <c r="AK74" s="73"/>
      <c r="AL74" s="73"/>
      <c r="AM74" s="73"/>
      <c r="AN74" s="73"/>
      <c r="AO74" s="73"/>
      <c r="AP74" s="65"/>
      <c r="AQ74" s="65"/>
    </row>
    <row r="75" spans="1:43" ht="13.5" customHeight="1">
      <c r="A75" s="91"/>
      <c r="B75" s="45"/>
      <c r="C75" s="128"/>
      <c r="D75" s="129"/>
      <c r="E75" s="129"/>
      <c r="F75" s="129"/>
      <c r="G75" s="129"/>
      <c r="H75" s="129"/>
      <c r="I75" s="129"/>
      <c r="J75" s="129"/>
      <c r="K75" s="130"/>
      <c r="L75" s="191"/>
      <c r="M75" s="191"/>
      <c r="N75" s="73"/>
      <c r="O75" s="73"/>
      <c r="P75" s="73"/>
      <c r="Q75" s="73"/>
      <c r="R75" s="73"/>
      <c r="S75" s="73"/>
      <c r="T75" s="73"/>
      <c r="U75" s="73"/>
      <c r="V75" s="73"/>
      <c r="W75" s="73"/>
      <c r="X75" s="73"/>
      <c r="Y75" s="73"/>
      <c r="Z75" s="65"/>
      <c r="AA75" s="65"/>
      <c r="AB75" s="73"/>
      <c r="AC75" s="73"/>
      <c r="AD75" s="73"/>
      <c r="AE75" s="73"/>
      <c r="AF75" s="73"/>
      <c r="AG75" s="73"/>
      <c r="AH75" s="73"/>
      <c r="AI75" s="73"/>
      <c r="AJ75" s="73"/>
      <c r="AK75" s="73"/>
      <c r="AL75" s="73"/>
      <c r="AM75" s="73"/>
      <c r="AN75" s="73"/>
      <c r="AO75" s="73"/>
      <c r="AP75" s="65"/>
      <c r="AQ75" s="65"/>
    </row>
    <row r="76" spans="1:43" ht="13.5" customHeight="1">
      <c r="A76" s="91"/>
      <c r="B76" s="45"/>
      <c r="C76" s="128"/>
      <c r="D76" s="129"/>
      <c r="E76" s="129"/>
      <c r="F76" s="129"/>
      <c r="G76" s="129"/>
      <c r="H76" s="129"/>
      <c r="I76" s="129"/>
      <c r="J76" s="129"/>
      <c r="K76" s="130"/>
      <c r="L76" s="191"/>
      <c r="M76" s="191"/>
      <c r="N76" s="73"/>
      <c r="O76" s="73"/>
      <c r="P76" s="73"/>
      <c r="Q76" s="73"/>
      <c r="R76" s="73"/>
      <c r="S76" s="73"/>
      <c r="T76" s="73"/>
      <c r="U76" s="73"/>
      <c r="V76" s="73"/>
      <c r="W76" s="73"/>
      <c r="X76" s="73"/>
      <c r="Y76" s="73"/>
      <c r="Z76" s="65"/>
      <c r="AA76" s="65"/>
      <c r="AB76" s="73"/>
      <c r="AC76" s="73"/>
      <c r="AD76" s="73"/>
      <c r="AE76" s="73"/>
      <c r="AF76" s="73"/>
      <c r="AG76" s="73"/>
      <c r="AH76" s="73"/>
      <c r="AI76" s="73"/>
      <c r="AJ76" s="73"/>
      <c r="AK76" s="73"/>
      <c r="AL76" s="73"/>
      <c r="AM76" s="73"/>
      <c r="AN76" s="73"/>
      <c r="AO76" s="73"/>
      <c r="AP76" s="65"/>
      <c r="AQ76" s="65"/>
    </row>
    <row r="77" spans="1:43" ht="13.5" customHeight="1">
      <c r="A77" s="91"/>
      <c r="B77" s="45"/>
      <c r="C77" s="128"/>
      <c r="D77" s="129"/>
      <c r="E77" s="129"/>
      <c r="F77" s="129"/>
      <c r="G77" s="129"/>
      <c r="H77" s="129"/>
      <c r="I77" s="129"/>
      <c r="J77" s="129"/>
      <c r="K77" s="130"/>
      <c r="L77" s="191"/>
      <c r="M77" s="191"/>
      <c r="N77" s="73"/>
      <c r="O77" s="73"/>
      <c r="P77" s="73"/>
      <c r="Q77" s="73"/>
      <c r="R77" s="73"/>
      <c r="S77" s="73"/>
      <c r="T77" s="73"/>
      <c r="U77" s="73"/>
      <c r="V77" s="73"/>
      <c r="W77" s="73"/>
      <c r="X77" s="73"/>
      <c r="Y77" s="73"/>
      <c r="Z77" s="65"/>
      <c r="AA77" s="65"/>
      <c r="AB77" s="73"/>
      <c r="AC77" s="73"/>
      <c r="AD77" s="73"/>
      <c r="AE77" s="73"/>
      <c r="AF77" s="73"/>
      <c r="AG77" s="73"/>
      <c r="AH77" s="73"/>
      <c r="AI77" s="73"/>
      <c r="AJ77" s="73"/>
      <c r="AK77" s="73"/>
      <c r="AL77" s="73"/>
      <c r="AM77" s="73"/>
      <c r="AN77" s="73"/>
      <c r="AO77" s="73"/>
      <c r="AP77" s="65"/>
      <c r="AQ77" s="65"/>
    </row>
    <row r="78" spans="1:43" ht="13.5" customHeight="1">
      <c r="A78" s="91"/>
      <c r="B78" s="45"/>
      <c r="C78" s="128"/>
      <c r="D78" s="129"/>
      <c r="E78" s="129"/>
      <c r="F78" s="129"/>
      <c r="G78" s="129"/>
      <c r="H78" s="129"/>
      <c r="I78" s="129"/>
      <c r="J78" s="129"/>
      <c r="K78" s="130"/>
      <c r="L78" s="191"/>
      <c r="M78" s="191"/>
      <c r="N78" s="73"/>
      <c r="O78" s="73"/>
      <c r="P78" s="73"/>
      <c r="Q78" s="73"/>
      <c r="R78" s="73"/>
      <c r="S78" s="73"/>
      <c r="T78" s="73"/>
      <c r="U78" s="73"/>
      <c r="V78" s="73"/>
      <c r="W78" s="73"/>
      <c r="X78" s="73"/>
      <c r="Y78" s="73"/>
      <c r="Z78" s="65"/>
      <c r="AA78" s="65"/>
      <c r="AB78" s="73"/>
      <c r="AC78" s="73"/>
      <c r="AD78" s="73"/>
      <c r="AE78" s="73"/>
      <c r="AF78" s="73"/>
      <c r="AG78" s="73"/>
      <c r="AH78" s="73"/>
      <c r="AI78" s="73"/>
      <c r="AJ78" s="73"/>
      <c r="AK78" s="73"/>
      <c r="AL78" s="73"/>
      <c r="AM78" s="73"/>
      <c r="AN78" s="73"/>
      <c r="AO78" s="73"/>
      <c r="AP78" s="65"/>
      <c r="AQ78" s="65"/>
    </row>
    <row r="79" spans="1:43" ht="13.5" customHeight="1">
      <c r="A79" s="91"/>
      <c r="B79" s="45"/>
      <c r="C79" s="128"/>
      <c r="D79" s="129"/>
      <c r="E79" s="129"/>
      <c r="F79" s="129"/>
      <c r="G79" s="129"/>
      <c r="H79" s="129"/>
      <c r="I79" s="129"/>
      <c r="J79" s="129"/>
      <c r="K79" s="130"/>
      <c r="L79" s="191"/>
      <c r="M79" s="191"/>
      <c r="N79" s="73"/>
      <c r="O79" s="73"/>
      <c r="P79" s="73"/>
      <c r="Q79" s="73"/>
      <c r="R79" s="73"/>
      <c r="S79" s="73"/>
      <c r="T79" s="73"/>
      <c r="U79" s="73"/>
      <c r="V79" s="73"/>
      <c r="W79" s="73"/>
      <c r="X79" s="73"/>
      <c r="Y79" s="73"/>
      <c r="Z79" s="65"/>
      <c r="AA79" s="65"/>
      <c r="AB79" s="73"/>
      <c r="AC79" s="73"/>
      <c r="AD79" s="73"/>
      <c r="AE79" s="73"/>
      <c r="AF79" s="73"/>
      <c r="AG79" s="73"/>
      <c r="AH79" s="73"/>
      <c r="AI79" s="73"/>
      <c r="AJ79" s="73"/>
      <c r="AK79" s="73"/>
      <c r="AL79" s="73"/>
      <c r="AM79" s="73"/>
      <c r="AN79" s="73"/>
      <c r="AO79" s="73"/>
      <c r="AP79" s="65"/>
      <c r="AQ79" s="65"/>
    </row>
    <row r="80" spans="1:43" ht="13.5" customHeight="1">
      <c r="A80" s="91"/>
      <c r="B80" s="45"/>
      <c r="C80" s="128"/>
      <c r="D80" s="129"/>
      <c r="E80" s="129"/>
      <c r="F80" s="129"/>
      <c r="G80" s="129"/>
      <c r="H80" s="129"/>
      <c r="I80" s="129"/>
      <c r="J80" s="129"/>
      <c r="K80" s="130"/>
      <c r="L80" s="191"/>
      <c r="M80" s="191"/>
      <c r="N80" s="73"/>
      <c r="O80" s="73"/>
      <c r="P80" s="73"/>
      <c r="Q80" s="73"/>
      <c r="R80" s="73"/>
      <c r="S80" s="73"/>
      <c r="T80" s="73"/>
      <c r="U80" s="73"/>
      <c r="V80" s="73"/>
      <c r="W80" s="73"/>
      <c r="X80" s="73"/>
      <c r="Y80" s="73"/>
      <c r="Z80" s="65"/>
      <c r="AA80" s="65"/>
      <c r="AB80" s="73"/>
      <c r="AC80" s="73"/>
      <c r="AD80" s="73"/>
      <c r="AE80" s="73"/>
      <c r="AF80" s="73"/>
      <c r="AG80" s="73"/>
      <c r="AH80" s="73"/>
      <c r="AI80" s="73"/>
      <c r="AJ80" s="73"/>
      <c r="AK80" s="73"/>
      <c r="AL80" s="73"/>
      <c r="AM80" s="73"/>
      <c r="AN80" s="73"/>
      <c r="AO80" s="73"/>
      <c r="AP80" s="65"/>
      <c r="AQ80" s="65"/>
    </row>
    <row r="81" spans="1:43" ht="13.5" customHeight="1">
      <c r="A81" s="91"/>
      <c r="B81" s="45"/>
      <c r="C81" s="128"/>
      <c r="D81" s="129"/>
      <c r="E81" s="129"/>
      <c r="F81" s="129"/>
      <c r="G81" s="129"/>
      <c r="H81" s="129"/>
      <c r="I81" s="129"/>
      <c r="J81" s="129"/>
      <c r="K81" s="130"/>
      <c r="L81" s="191"/>
      <c r="M81" s="191"/>
      <c r="N81" s="73"/>
      <c r="O81" s="73"/>
      <c r="P81" s="73"/>
      <c r="Q81" s="73"/>
      <c r="R81" s="73"/>
      <c r="S81" s="73"/>
      <c r="T81" s="73"/>
      <c r="U81" s="73"/>
      <c r="V81" s="73"/>
      <c r="W81" s="73"/>
      <c r="X81" s="73"/>
      <c r="Y81" s="73"/>
      <c r="Z81" s="65"/>
      <c r="AA81" s="65"/>
      <c r="AB81" s="73"/>
      <c r="AC81" s="73"/>
      <c r="AD81" s="73"/>
      <c r="AE81" s="73"/>
      <c r="AF81" s="73"/>
      <c r="AG81" s="73"/>
      <c r="AH81" s="73"/>
      <c r="AI81" s="73"/>
      <c r="AJ81" s="73"/>
      <c r="AK81" s="73"/>
      <c r="AL81" s="73"/>
      <c r="AM81" s="73"/>
      <c r="AN81" s="73"/>
      <c r="AO81" s="73"/>
      <c r="AP81" s="65"/>
      <c r="AQ81" s="65"/>
    </row>
    <row r="82" spans="1:43" ht="13.5" customHeight="1">
      <c r="A82" s="91"/>
      <c r="B82" s="45"/>
      <c r="C82" s="128"/>
      <c r="D82" s="129"/>
      <c r="E82" s="129"/>
      <c r="F82" s="129"/>
      <c r="G82" s="129"/>
      <c r="H82" s="129"/>
      <c r="I82" s="129"/>
      <c r="J82" s="129"/>
      <c r="K82" s="130"/>
      <c r="L82" s="191"/>
      <c r="M82" s="191"/>
      <c r="N82" s="73"/>
      <c r="O82" s="73"/>
      <c r="P82" s="73"/>
      <c r="Q82" s="73"/>
      <c r="R82" s="73"/>
      <c r="S82" s="73"/>
      <c r="T82" s="73"/>
      <c r="U82" s="73"/>
      <c r="V82" s="73"/>
      <c r="W82" s="73"/>
      <c r="X82" s="73"/>
      <c r="Y82" s="73"/>
      <c r="Z82" s="65"/>
      <c r="AA82" s="65"/>
      <c r="AB82" s="73"/>
      <c r="AC82" s="73"/>
      <c r="AD82" s="73"/>
      <c r="AE82" s="73"/>
      <c r="AF82" s="73"/>
      <c r="AG82" s="73"/>
      <c r="AH82" s="73"/>
      <c r="AI82" s="73"/>
      <c r="AJ82" s="73"/>
      <c r="AK82" s="73"/>
      <c r="AL82" s="73"/>
      <c r="AM82" s="73"/>
      <c r="AN82" s="73"/>
      <c r="AO82" s="73"/>
      <c r="AP82" s="65"/>
      <c r="AQ82" s="65"/>
    </row>
    <row r="83" spans="1:43" ht="13.5" customHeight="1">
      <c r="A83" s="91"/>
      <c r="B83" s="45"/>
      <c r="C83" s="128"/>
      <c r="D83" s="129"/>
      <c r="E83" s="129"/>
      <c r="F83" s="129"/>
      <c r="G83" s="129"/>
      <c r="H83" s="129"/>
      <c r="I83" s="129"/>
      <c r="J83" s="129"/>
      <c r="K83" s="130"/>
      <c r="L83" s="191"/>
      <c r="M83" s="191"/>
      <c r="N83" s="73"/>
      <c r="O83" s="73"/>
      <c r="P83" s="73"/>
      <c r="Q83" s="73"/>
      <c r="R83" s="73"/>
      <c r="S83" s="73"/>
      <c r="T83" s="73"/>
      <c r="U83" s="73"/>
      <c r="V83" s="73"/>
      <c r="W83" s="73"/>
      <c r="X83" s="73"/>
      <c r="Y83" s="73"/>
      <c r="Z83" s="65"/>
      <c r="AA83" s="65"/>
      <c r="AB83" s="73"/>
      <c r="AC83" s="73"/>
      <c r="AD83" s="73"/>
      <c r="AE83" s="73"/>
      <c r="AF83" s="73"/>
      <c r="AG83" s="73"/>
      <c r="AH83" s="73"/>
      <c r="AI83" s="73"/>
      <c r="AJ83" s="73"/>
      <c r="AK83" s="73"/>
      <c r="AL83" s="73"/>
      <c r="AM83" s="73"/>
      <c r="AN83" s="73"/>
      <c r="AO83" s="73"/>
      <c r="AP83" s="65"/>
      <c r="AQ83" s="65"/>
    </row>
    <row r="84" spans="1:43" ht="13.5" customHeight="1">
      <c r="A84" s="91"/>
      <c r="B84" s="45"/>
      <c r="C84" s="128"/>
      <c r="D84" s="129"/>
      <c r="E84" s="129"/>
      <c r="F84" s="129"/>
      <c r="G84" s="129"/>
      <c r="H84" s="129"/>
      <c r="I84" s="129"/>
      <c r="J84" s="129"/>
      <c r="K84" s="130"/>
      <c r="L84" s="191"/>
      <c r="M84" s="191"/>
      <c r="N84" s="73"/>
      <c r="O84" s="73"/>
      <c r="P84" s="73"/>
      <c r="Q84" s="73"/>
      <c r="R84" s="73"/>
      <c r="S84" s="73"/>
      <c r="T84" s="73"/>
      <c r="U84" s="73"/>
      <c r="V84" s="73"/>
      <c r="W84" s="73"/>
      <c r="X84" s="73"/>
      <c r="Y84" s="73"/>
      <c r="Z84" s="65"/>
      <c r="AA84" s="65"/>
      <c r="AB84" s="73"/>
      <c r="AC84" s="73"/>
      <c r="AD84" s="73"/>
      <c r="AE84" s="73"/>
      <c r="AF84" s="73"/>
      <c r="AG84" s="73"/>
      <c r="AH84" s="73"/>
      <c r="AI84" s="73"/>
      <c r="AJ84" s="73"/>
      <c r="AK84" s="73"/>
      <c r="AL84" s="73"/>
      <c r="AM84" s="73"/>
      <c r="AN84" s="73"/>
      <c r="AO84" s="73"/>
      <c r="AP84" s="65"/>
      <c r="AQ84" s="65"/>
    </row>
    <row r="85" spans="1:43" ht="13.5" customHeight="1">
      <c r="A85" s="91"/>
      <c r="B85" s="45"/>
      <c r="C85" s="128"/>
      <c r="D85" s="129"/>
      <c r="E85" s="129"/>
      <c r="F85" s="129"/>
      <c r="G85" s="129"/>
      <c r="H85" s="129"/>
      <c r="I85" s="129"/>
      <c r="J85" s="129"/>
      <c r="K85" s="130"/>
      <c r="L85" s="191"/>
      <c r="M85" s="191"/>
      <c r="N85" s="73"/>
      <c r="O85" s="73"/>
      <c r="P85" s="73"/>
      <c r="Q85" s="73"/>
      <c r="R85" s="73"/>
      <c r="S85" s="73"/>
      <c r="T85" s="73"/>
      <c r="U85" s="73"/>
      <c r="V85" s="73"/>
      <c r="W85" s="73"/>
      <c r="X85" s="73"/>
      <c r="Y85" s="73"/>
      <c r="Z85" s="65"/>
      <c r="AA85" s="65"/>
      <c r="AB85" s="73"/>
      <c r="AC85" s="73"/>
      <c r="AD85" s="73"/>
      <c r="AE85" s="73"/>
      <c r="AF85" s="73"/>
      <c r="AG85" s="73"/>
      <c r="AH85" s="73"/>
      <c r="AI85" s="73"/>
      <c r="AJ85" s="73"/>
      <c r="AK85" s="73"/>
      <c r="AL85" s="73"/>
      <c r="AM85" s="73"/>
      <c r="AN85" s="73"/>
      <c r="AO85" s="73"/>
      <c r="AP85" s="65"/>
      <c r="AQ85" s="65"/>
    </row>
    <row r="86" spans="1:43" ht="13.5" customHeight="1">
      <c r="A86" s="91"/>
      <c r="B86" s="45"/>
      <c r="C86" s="128"/>
      <c r="D86" s="129"/>
      <c r="E86" s="129"/>
      <c r="F86" s="129"/>
      <c r="G86" s="129"/>
      <c r="H86" s="129"/>
      <c r="I86" s="129"/>
      <c r="J86" s="129"/>
      <c r="K86" s="130"/>
      <c r="L86" s="191"/>
      <c r="M86" s="191"/>
      <c r="N86" s="73"/>
      <c r="O86" s="73"/>
      <c r="P86" s="73"/>
      <c r="Q86" s="73"/>
      <c r="R86" s="73"/>
      <c r="S86" s="73"/>
      <c r="T86" s="73"/>
      <c r="U86" s="73"/>
      <c r="V86" s="73"/>
      <c r="W86" s="73"/>
      <c r="X86" s="73"/>
      <c r="Y86" s="73"/>
      <c r="Z86" s="65"/>
      <c r="AA86" s="65"/>
      <c r="AB86" s="73"/>
      <c r="AC86" s="73"/>
      <c r="AD86" s="73"/>
      <c r="AE86" s="73"/>
      <c r="AF86" s="73"/>
      <c r="AG86" s="73"/>
      <c r="AH86" s="73"/>
      <c r="AI86" s="73"/>
      <c r="AJ86" s="73"/>
      <c r="AK86" s="73"/>
      <c r="AL86" s="73"/>
      <c r="AM86" s="73"/>
      <c r="AN86" s="73"/>
      <c r="AO86" s="73"/>
      <c r="AP86" s="65"/>
      <c r="AQ86" s="65"/>
    </row>
    <row r="87" spans="1:43" ht="13.5" customHeight="1">
      <c r="A87" s="91"/>
      <c r="B87" s="45"/>
      <c r="C87" s="128"/>
      <c r="D87" s="129"/>
      <c r="E87" s="129"/>
      <c r="F87" s="129"/>
      <c r="G87" s="129"/>
      <c r="H87" s="129"/>
      <c r="I87" s="129"/>
      <c r="J87" s="129"/>
      <c r="K87" s="130"/>
      <c r="L87" s="191"/>
      <c r="M87" s="191"/>
      <c r="N87" s="73"/>
      <c r="O87" s="73"/>
      <c r="P87" s="73"/>
      <c r="Q87" s="73"/>
      <c r="R87" s="73"/>
      <c r="S87" s="73"/>
      <c r="T87" s="73"/>
      <c r="U87" s="73"/>
      <c r="V87" s="73"/>
      <c r="W87" s="73"/>
      <c r="X87" s="73"/>
      <c r="Y87" s="73"/>
      <c r="Z87" s="65"/>
      <c r="AA87" s="65"/>
      <c r="AB87" s="73"/>
      <c r="AC87" s="73"/>
      <c r="AD87" s="73"/>
      <c r="AE87" s="73"/>
      <c r="AF87" s="73"/>
      <c r="AG87" s="73"/>
      <c r="AH87" s="73"/>
      <c r="AI87" s="73"/>
      <c r="AJ87" s="73"/>
      <c r="AK87" s="73"/>
      <c r="AL87" s="73"/>
      <c r="AM87" s="73"/>
      <c r="AN87" s="73"/>
      <c r="AO87" s="73"/>
      <c r="AP87" s="65"/>
      <c r="AQ87" s="65"/>
    </row>
    <row r="88" spans="1:43" ht="13.5" customHeight="1">
      <c r="A88" s="91"/>
      <c r="B88" s="45"/>
      <c r="C88" s="128"/>
      <c r="D88" s="129"/>
      <c r="E88" s="129"/>
      <c r="F88" s="129"/>
      <c r="G88" s="129"/>
      <c r="H88" s="129"/>
      <c r="I88" s="129"/>
      <c r="J88" s="129"/>
      <c r="K88" s="130"/>
      <c r="L88" s="191"/>
      <c r="M88" s="191"/>
      <c r="N88" s="73"/>
      <c r="O88" s="73"/>
      <c r="P88" s="73"/>
      <c r="Q88" s="73"/>
      <c r="R88" s="73"/>
      <c r="S88" s="73"/>
      <c r="T88" s="73"/>
      <c r="U88" s="73"/>
      <c r="V88" s="73"/>
      <c r="W88" s="73"/>
      <c r="X88" s="73"/>
      <c r="Y88" s="73"/>
      <c r="Z88" s="65"/>
      <c r="AA88" s="65"/>
      <c r="AB88" s="73"/>
      <c r="AC88" s="73"/>
      <c r="AD88" s="73"/>
      <c r="AE88" s="73"/>
      <c r="AF88" s="73"/>
      <c r="AG88" s="73"/>
      <c r="AH88" s="73"/>
      <c r="AI88" s="73"/>
      <c r="AJ88" s="73"/>
      <c r="AK88" s="73"/>
      <c r="AL88" s="73"/>
      <c r="AM88" s="73"/>
      <c r="AN88" s="73"/>
      <c r="AO88" s="73"/>
      <c r="AP88" s="65"/>
      <c r="AQ88" s="65"/>
    </row>
    <row r="89" spans="1:43" ht="13.5" customHeight="1">
      <c r="A89" s="91"/>
      <c r="B89" s="45"/>
      <c r="C89" s="128"/>
      <c r="D89" s="129"/>
      <c r="E89" s="129"/>
      <c r="F89" s="129"/>
      <c r="G89" s="129"/>
      <c r="H89" s="129"/>
      <c r="I89" s="129"/>
      <c r="J89" s="129"/>
      <c r="K89" s="130"/>
      <c r="L89" s="191"/>
      <c r="M89" s="191"/>
      <c r="N89" s="73"/>
      <c r="O89" s="73"/>
      <c r="P89" s="73"/>
      <c r="Q89" s="73"/>
      <c r="R89" s="73"/>
      <c r="S89" s="73"/>
      <c r="T89" s="73"/>
      <c r="U89" s="73"/>
      <c r="V89" s="73"/>
      <c r="W89" s="73"/>
      <c r="X89" s="73"/>
      <c r="Y89" s="73"/>
      <c r="Z89" s="65"/>
      <c r="AA89" s="65"/>
      <c r="AB89" s="73"/>
      <c r="AC89" s="73"/>
      <c r="AD89" s="73"/>
      <c r="AE89" s="73"/>
      <c r="AF89" s="73"/>
      <c r="AG89" s="73"/>
      <c r="AH89" s="73"/>
      <c r="AI89" s="73"/>
      <c r="AJ89" s="73"/>
      <c r="AK89" s="73"/>
      <c r="AL89" s="73"/>
      <c r="AM89" s="73"/>
      <c r="AN89" s="73"/>
      <c r="AO89" s="73"/>
      <c r="AP89" s="65"/>
      <c r="AQ89" s="65"/>
    </row>
    <row r="90" spans="1:43" ht="13.5" customHeight="1">
      <c r="A90" s="91"/>
      <c r="B90" s="45"/>
      <c r="C90" s="128"/>
      <c r="D90" s="129"/>
      <c r="E90" s="129"/>
      <c r="F90" s="129"/>
      <c r="G90" s="129"/>
      <c r="H90" s="129"/>
      <c r="I90" s="129"/>
      <c r="J90" s="129"/>
      <c r="K90" s="130"/>
      <c r="L90" s="191"/>
      <c r="M90" s="191"/>
      <c r="N90" s="73"/>
      <c r="O90" s="73"/>
      <c r="P90" s="73"/>
      <c r="Q90" s="73"/>
      <c r="R90" s="73"/>
      <c r="S90" s="73"/>
      <c r="T90" s="73"/>
      <c r="U90" s="73"/>
      <c r="V90" s="73"/>
      <c r="W90" s="73"/>
      <c r="X90" s="73"/>
      <c r="Y90" s="73"/>
      <c r="Z90" s="65"/>
      <c r="AA90" s="65"/>
      <c r="AB90" s="73"/>
      <c r="AC90" s="73"/>
      <c r="AD90" s="73"/>
      <c r="AE90" s="73"/>
      <c r="AF90" s="73"/>
      <c r="AG90" s="73"/>
      <c r="AH90" s="73"/>
      <c r="AI90" s="73"/>
      <c r="AJ90" s="73"/>
      <c r="AK90" s="73"/>
      <c r="AL90" s="73"/>
      <c r="AM90" s="73"/>
      <c r="AN90" s="73"/>
      <c r="AO90" s="73"/>
      <c r="AP90" s="65"/>
      <c r="AQ90" s="65"/>
    </row>
    <row r="91" spans="1:43" ht="13.5" customHeight="1">
      <c r="A91" s="91"/>
      <c r="B91" s="45"/>
      <c r="C91" s="128"/>
      <c r="D91" s="129"/>
      <c r="E91" s="129"/>
      <c r="F91" s="129"/>
      <c r="G91" s="129"/>
      <c r="H91" s="129"/>
      <c r="I91" s="129"/>
      <c r="J91" s="129"/>
      <c r="K91" s="130"/>
      <c r="L91" s="191"/>
      <c r="M91" s="191"/>
      <c r="N91" s="73"/>
      <c r="O91" s="73"/>
      <c r="P91" s="73"/>
      <c r="Q91" s="73"/>
      <c r="R91" s="73"/>
      <c r="S91" s="73"/>
      <c r="T91" s="73"/>
      <c r="U91" s="73"/>
      <c r="V91" s="73"/>
      <c r="W91" s="73"/>
      <c r="X91" s="73"/>
      <c r="Y91" s="73"/>
      <c r="Z91" s="65"/>
      <c r="AA91" s="65"/>
      <c r="AB91" s="73"/>
      <c r="AC91" s="73"/>
      <c r="AD91" s="73"/>
      <c r="AE91" s="73"/>
      <c r="AF91" s="73"/>
      <c r="AG91" s="73"/>
      <c r="AH91" s="73"/>
      <c r="AI91" s="73"/>
      <c r="AJ91" s="73"/>
      <c r="AK91" s="73"/>
      <c r="AL91" s="73"/>
      <c r="AM91" s="73"/>
      <c r="AN91" s="73"/>
      <c r="AO91" s="73"/>
      <c r="AP91" s="65"/>
      <c r="AQ91" s="65"/>
    </row>
    <row r="92" spans="1:43" ht="13.5" customHeight="1">
      <c r="A92" s="91"/>
      <c r="B92" s="45"/>
      <c r="C92" s="128"/>
      <c r="D92" s="129"/>
      <c r="E92" s="129"/>
      <c r="F92" s="129"/>
      <c r="G92" s="129"/>
      <c r="H92" s="129"/>
      <c r="I92" s="129"/>
      <c r="J92" s="129"/>
      <c r="K92" s="130"/>
      <c r="L92" s="191"/>
      <c r="M92" s="191"/>
      <c r="N92" s="73"/>
      <c r="O92" s="73"/>
      <c r="P92" s="73"/>
      <c r="Q92" s="73"/>
      <c r="R92" s="73"/>
      <c r="S92" s="73"/>
      <c r="T92" s="73"/>
      <c r="U92" s="73"/>
      <c r="V92" s="73"/>
      <c r="W92" s="73"/>
      <c r="X92" s="73"/>
      <c r="Y92" s="73"/>
      <c r="Z92" s="65"/>
      <c r="AA92" s="65"/>
      <c r="AB92" s="73"/>
      <c r="AC92" s="73"/>
      <c r="AD92" s="73"/>
      <c r="AE92" s="73"/>
      <c r="AF92" s="73"/>
      <c r="AG92" s="73"/>
      <c r="AH92" s="73"/>
      <c r="AI92" s="73"/>
      <c r="AJ92" s="73"/>
      <c r="AK92" s="73"/>
      <c r="AL92" s="73"/>
      <c r="AM92" s="73"/>
      <c r="AN92" s="73"/>
      <c r="AO92" s="73"/>
      <c r="AP92" s="65"/>
      <c r="AQ92" s="65"/>
    </row>
    <row r="93" spans="1:43" ht="13.5" customHeight="1">
      <c r="A93" s="91"/>
      <c r="B93" s="45"/>
      <c r="C93" s="128"/>
      <c r="D93" s="129"/>
      <c r="E93" s="129"/>
      <c r="F93" s="129"/>
      <c r="G93" s="129"/>
      <c r="H93" s="129"/>
      <c r="I93" s="129"/>
      <c r="J93" s="129"/>
      <c r="K93" s="130"/>
      <c r="L93" s="191"/>
      <c r="M93" s="191"/>
      <c r="N93" s="73"/>
      <c r="O93" s="73"/>
      <c r="P93" s="73"/>
      <c r="Q93" s="73"/>
      <c r="R93" s="73"/>
      <c r="S93" s="73"/>
      <c r="T93" s="73"/>
      <c r="U93" s="73"/>
      <c r="V93" s="73"/>
      <c r="W93" s="73"/>
      <c r="X93" s="73"/>
      <c r="Y93" s="73"/>
      <c r="Z93" s="65"/>
      <c r="AA93" s="65"/>
      <c r="AB93" s="73"/>
      <c r="AC93" s="73"/>
      <c r="AD93" s="73"/>
      <c r="AE93" s="73"/>
      <c r="AF93" s="73"/>
      <c r="AG93" s="73"/>
      <c r="AH93" s="73"/>
      <c r="AI93" s="73"/>
      <c r="AJ93" s="73"/>
      <c r="AK93" s="73"/>
      <c r="AL93" s="73"/>
      <c r="AM93" s="73"/>
      <c r="AN93" s="73"/>
      <c r="AO93" s="73"/>
      <c r="AP93" s="65"/>
      <c r="AQ93" s="65"/>
    </row>
    <row r="94" spans="1:43" ht="13.5" customHeight="1">
      <c r="A94" s="91"/>
      <c r="B94" s="45"/>
      <c r="C94" s="128"/>
      <c r="D94" s="129"/>
      <c r="E94" s="129"/>
      <c r="F94" s="129"/>
      <c r="G94" s="129"/>
      <c r="H94" s="129"/>
      <c r="I94" s="129"/>
      <c r="J94" s="129"/>
      <c r="K94" s="130"/>
      <c r="L94" s="191"/>
      <c r="M94" s="191"/>
      <c r="N94" s="73"/>
      <c r="O94" s="73"/>
      <c r="P94" s="73"/>
      <c r="Q94" s="73"/>
      <c r="R94" s="73"/>
      <c r="S94" s="73"/>
      <c r="T94" s="73"/>
      <c r="U94" s="73"/>
      <c r="V94" s="73"/>
      <c r="W94" s="73"/>
      <c r="X94" s="73"/>
      <c r="Y94" s="73"/>
      <c r="Z94" s="65"/>
      <c r="AA94" s="65"/>
      <c r="AB94" s="73"/>
      <c r="AC94" s="73"/>
      <c r="AD94" s="73"/>
      <c r="AE94" s="73"/>
      <c r="AF94" s="73"/>
      <c r="AG94" s="73"/>
      <c r="AH94" s="73"/>
      <c r="AI94" s="73"/>
      <c r="AJ94" s="73"/>
      <c r="AK94" s="73"/>
      <c r="AL94" s="73"/>
      <c r="AM94" s="73"/>
      <c r="AN94" s="73"/>
      <c r="AO94" s="73"/>
      <c r="AP94" s="65"/>
      <c r="AQ94" s="65"/>
    </row>
    <row r="95" spans="1:43" ht="13.5" customHeight="1">
      <c r="A95" s="91"/>
      <c r="B95" s="45"/>
      <c r="C95" s="128"/>
      <c r="D95" s="129"/>
      <c r="E95" s="129"/>
      <c r="F95" s="129"/>
      <c r="G95" s="129"/>
      <c r="H95" s="129"/>
      <c r="I95" s="129"/>
      <c r="J95" s="129"/>
      <c r="K95" s="130"/>
      <c r="L95" s="191"/>
      <c r="M95" s="191"/>
      <c r="N95" s="73"/>
      <c r="O95" s="73"/>
      <c r="P95" s="73"/>
      <c r="Q95" s="73"/>
      <c r="R95" s="73"/>
      <c r="S95" s="73"/>
      <c r="T95" s="73"/>
      <c r="U95" s="73"/>
      <c r="V95" s="73"/>
      <c r="W95" s="73"/>
      <c r="X95" s="73"/>
      <c r="Y95" s="73"/>
      <c r="Z95" s="65"/>
      <c r="AA95" s="65"/>
      <c r="AB95" s="73"/>
      <c r="AC95" s="73"/>
      <c r="AD95" s="73"/>
      <c r="AE95" s="73"/>
      <c r="AF95" s="73"/>
      <c r="AG95" s="73"/>
      <c r="AH95" s="73"/>
      <c r="AI95" s="73"/>
      <c r="AJ95" s="73"/>
      <c r="AK95" s="73"/>
      <c r="AL95" s="73"/>
      <c r="AM95" s="73"/>
      <c r="AN95" s="73"/>
      <c r="AO95" s="73"/>
      <c r="AP95" s="65"/>
      <c r="AQ95" s="65"/>
    </row>
    <row r="96" spans="1:43" ht="13.5" customHeight="1">
      <c r="A96" s="91"/>
      <c r="B96" s="45"/>
      <c r="C96" s="128"/>
      <c r="D96" s="129"/>
      <c r="E96" s="129"/>
      <c r="F96" s="129"/>
      <c r="G96" s="129"/>
      <c r="H96" s="129"/>
      <c r="I96" s="129"/>
      <c r="J96" s="129"/>
      <c r="K96" s="130"/>
      <c r="L96" s="191"/>
      <c r="M96" s="191"/>
      <c r="N96" s="73"/>
      <c r="O96" s="73"/>
      <c r="P96" s="73"/>
      <c r="Q96" s="73"/>
      <c r="R96" s="73"/>
      <c r="S96" s="73"/>
      <c r="T96" s="73"/>
      <c r="U96" s="73"/>
      <c r="V96" s="73"/>
      <c r="W96" s="73"/>
      <c r="X96" s="73"/>
      <c r="Y96" s="73"/>
      <c r="Z96" s="65"/>
      <c r="AA96" s="65"/>
      <c r="AB96" s="73"/>
      <c r="AC96" s="73"/>
      <c r="AD96" s="73"/>
      <c r="AE96" s="73"/>
      <c r="AF96" s="73"/>
      <c r="AG96" s="73"/>
      <c r="AH96" s="73"/>
      <c r="AI96" s="73"/>
      <c r="AJ96" s="73"/>
      <c r="AK96" s="73"/>
      <c r="AL96" s="73"/>
      <c r="AM96" s="73"/>
      <c r="AN96" s="73"/>
      <c r="AO96" s="73"/>
      <c r="AP96" s="65"/>
      <c r="AQ96" s="65"/>
    </row>
    <row r="97" spans="1:43" ht="13.5" customHeight="1">
      <c r="A97" s="91"/>
      <c r="B97" s="45"/>
      <c r="C97" s="128"/>
      <c r="D97" s="129"/>
      <c r="E97" s="129"/>
      <c r="F97" s="129"/>
      <c r="G97" s="129"/>
      <c r="H97" s="129"/>
      <c r="I97" s="129"/>
      <c r="J97" s="129"/>
      <c r="K97" s="130"/>
      <c r="L97" s="191"/>
      <c r="M97" s="191"/>
      <c r="N97" s="73"/>
      <c r="O97" s="73"/>
      <c r="P97" s="73"/>
      <c r="Q97" s="73"/>
      <c r="R97" s="73"/>
      <c r="S97" s="73"/>
      <c r="T97" s="73"/>
      <c r="U97" s="73"/>
      <c r="V97" s="73"/>
      <c r="W97" s="73"/>
      <c r="X97" s="73"/>
      <c r="Y97" s="73"/>
      <c r="Z97" s="65"/>
      <c r="AA97" s="65"/>
      <c r="AB97" s="73"/>
      <c r="AC97" s="73"/>
      <c r="AD97" s="73"/>
      <c r="AE97" s="73"/>
      <c r="AF97" s="73"/>
      <c r="AG97" s="73"/>
      <c r="AH97" s="73"/>
      <c r="AI97" s="73"/>
      <c r="AJ97" s="73"/>
      <c r="AK97" s="73"/>
      <c r="AL97" s="73"/>
      <c r="AM97" s="73"/>
      <c r="AN97" s="73"/>
      <c r="AO97" s="73"/>
      <c r="AP97" s="65"/>
      <c r="AQ97" s="65"/>
    </row>
    <row r="98" spans="1:43" ht="13.5" customHeight="1">
      <c r="A98" s="91"/>
      <c r="B98" s="45"/>
      <c r="C98" s="128"/>
      <c r="D98" s="129"/>
      <c r="E98" s="129"/>
      <c r="F98" s="129"/>
      <c r="G98" s="129"/>
      <c r="H98" s="129"/>
      <c r="I98" s="129"/>
      <c r="J98" s="129"/>
      <c r="K98" s="130"/>
      <c r="L98" s="191"/>
      <c r="M98" s="191"/>
      <c r="N98" s="73"/>
      <c r="O98" s="73"/>
      <c r="P98" s="73"/>
      <c r="Q98" s="73"/>
      <c r="R98" s="73"/>
      <c r="S98" s="73"/>
      <c r="T98" s="73"/>
      <c r="U98" s="73"/>
      <c r="V98" s="73"/>
      <c r="W98" s="73"/>
      <c r="X98" s="73"/>
      <c r="Y98" s="73"/>
      <c r="Z98" s="65"/>
      <c r="AA98" s="65"/>
      <c r="AB98" s="73"/>
      <c r="AC98" s="73"/>
      <c r="AD98" s="73"/>
      <c r="AE98" s="73"/>
      <c r="AF98" s="73"/>
      <c r="AG98" s="73"/>
      <c r="AH98" s="73"/>
      <c r="AI98" s="73"/>
      <c r="AJ98" s="73"/>
      <c r="AK98" s="73"/>
      <c r="AL98" s="73"/>
      <c r="AM98" s="73"/>
      <c r="AN98" s="73"/>
      <c r="AO98" s="73"/>
      <c r="AP98" s="65"/>
      <c r="AQ98" s="65"/>
    </row>
    <row r="99" spans="1:43" ht="13.5" customHeight="1">
      <c r="A99" s="91"/>
      <c r="B99" s="45"/>
      <c r="C99" s="128"/>
      <c r="D99" s="129"/>
      <c r="E99" s="129"/>
      <c r="F99" s="129"/>
      <c r="G99" s="129"/>
      <c r="H99" s="129"/>
      <c r="I99" s="129"/>
      <c r="J99" s="129"/>
      <c r="K99" s="130"/>
      <c r="L99" s="191"/>
      <c r="M99" s="191"/>
      <c r="N99" s="73"/>
      <c r="O99" s="73"/>
      <c r="P99" s="73"/>
      <c r="Q99" s="73"/>
      <c r="R99" s="73"/>
      <c r="S99" s="73"/>
      <c r="T99" s="73"/>
      <c r="U99" s="73"/>
      <c r="V99" s="73"/>
      <c r="W99" s="73"/>
      <c r="X99" s="73"/>
      <c r="Y99" s="73"/>
      <c r="Z99" s="65"/>
      <c r="AA99" s="65"/>
      <c r="AB99" s="73"/>
      <c r="AC99" s="73"/>
      <c r="AD99" s="73"/>
      <c r="AE99" s="73"/>
      <c r="AF99" s="73"/>
      <c r="AG99" s="73"/>
      <c r="AH99" s="73"/>
      <c r="AI99" s="73"/>
      <c r="AJ99" s="73"/>
      <c r="AK99" s="73"/>
      <c r="AL99" s="73"/>
      <c r="AM99" s="73"/>
      <c r="AN99" s="73"/>
      <c r="AO99" s="73"/>
      <c r="AP99" s="65"/>
      <c r="AQ99" s="65"/>
    </row>
    <row r="100" spans="1:43" ht="13.5" customHeight="1">
      <c r="A100" s="91"/>
      <c r="B100" s="45"/>
      <c r="C100" s="128"/>
      <c r="D100" s="129"/>
      <c r="E100" s="129"/>
      <c r="F100" s="129"/>
      <c r="G100" s="129"/>
      <c r="H100" s="129"/>
      <c r="I100" s="129"/>
      <c r="J100" s="129"/>
      <c r="K100" s="130"/>
      <c r="L100" s="191"/>
      <c r="M100" s="191"/>
      <c r="N100" s="73"/>
      <c r="O100" s="73"/>
      <c r="P100" s="73"/>
      <c r="Q100" s="73"/>
      <c r="R100" s="73"/>
      <c r="S100" s="73"/>
      <c r="T100" s="73"/>
      <c r="U100" s="73"/>
      <c r="V100" s="73"/>
      <c r="W100" s="73"/>
      <c r="X100" s="73"/>
      <c r="Y100" s="73"/>
      <c r="Z100" s="65"/>
      <c r="AA100" s="65"/>
      <c r="AB100" s="73"/>
      <c r="AC100" s="73"/>
      <c r="AD100" s="73"/>
      <c r="AE100" s="73"/>
      <c r="AF100" s="73"/>
      <c r="AG100" s="73"/>
      <c r="AH100" s="73"/>
      <c r="AI100" s="73"/>
      <c r="AJ100" s="73"/>
      <c r="AK100" s="73"/>
      <c r="AL100" s="73"/>
      <c r="AM100" s="73"/>
      <c r="AN100" s="73"/>
      <c r="AO100" s="73"/>
      <c r="AP100" s="65"/>
      <c r="AQ100" s="65"/>
    </row>
    <row r="101" spans="1:43" ht="13.5" customHeight="1">
      <c r="A101" s="91"/>
      <c r="B101" s="45"/>
      <c r="C101" s="128"/>
      <c r="D101" s="129"/>
      <c r="E101" s="129"/>
      <c r="F101" s="129"/>
      <c r="G101" s="129"/>
      <c r="H101" s="129"/>
      <c r="I101" s="129"/>
      <c r="J101" s="129"/>
      <c r="K101" s="130"/>
      <c r="L101" s="191"/>
      <c r="M101" s="191"/>
      <c r="N101" s="73"/>
      <c r="O101" s="73"/>
      <c r="P101" s="73"/>
      <c r="Q101" s="73"/>
      <c r="R101" s="73"/>
      <c r="S101" s="73"/>
      <c r="T101" s="73"/>
      <c r="U101" s="73"/>
      <c r="V101" s="73"/>
      <c r="W101" s="73"/>
      <c r="X101" s="73"/>
      <c r="Y101" s="73"/>
      <c r="Z101" s="65"/>
      <c r="AA101" s="65"/>
      <c r="AB101" s="73"/>
      <c r="AC101" s="73"/>
      <c r="AD101" s="73"/>
      <c r="AE101" s="73"/>
      <c r="AF101" s="73"/>
      <c r="AG101" s="73"/>
      <c r="AH101" s="73"/>
      <c r="AI101" s="73"/>
      <c r="AJ101" s="73"/>
      <c r="AK101" s="73"/>
      <c r="AL101" s="73"/>
      <c r="AM101" s="73"/>
      <c r="AN101" s="73"/>
      <c r="AO101" s="73"/>
      <c r="AP101" s="65"/>
      <c r="AQ101" s="65"/>
    </row>
    <row r="102" spans="1:43" ht="13.5" customHeight="1">
      <c r="A102" s="91"/>
      <c r="B102" s="45"/>
      <c r="C102" s="128"/>
      <c r="D102" s="129"/>
      <c r="E102" s="129"/>
      <c r="F102" s="129"/>
      <c r="G102" s="129"/>
      <c r="H102" s="129"/>
      <c r="I102" s="129"/>
      <c r="J102" s="129"/>
      <c r="K102" s="130"/>
      <c r="L102" s="191"/>
      <c r="M102" s="191"/>
      <c r="N102" s="73"/>
      <c r="O102" s="73"/>
      <c r="P102" s="73"/>
      <c r="Q102" s="73"/>
      <c r="R102" s="73"/>
      <c r="S102" s="73"/>
      <c r="T102" s="73"/>
      <c r="U102" s="73"/>
      <c r="V102" s="73"/>
      <c r="W102" s="73"/>
      <c r="X102" s="73"/>
      <c r="Y102" s="73"/>
      <c r="Z102" s="65"/>
      <c r="AA102" s="65"/>
      <c r="AB102" s="73"/>
      <c r="AC102" s="73"/>
      <c r="AD102" s="73"/>
      <c r="AE102" s="73"/>
      <c r="AF102" s="73"/>
      <c r="AG102" s="73"/>
      <c r="AH102" s="73"/>
      <c r="AI102" s="73"/>
      <c r="AJ102" s="73"/>
      <c r="AK102" s="73"/>
      <c r="AL102" s="73"/>
      <c r="AM102" s="73"/>
      <c r="AN102" s="73"/>
      <c r="AO102" s="73"/>
      <c r="AP102" s="65"/>
      <c r="AQ102" s="65"/>
    </row>
    <row r="103" spans="1:43" ht="13.5" customHeight="1">
      <c r="A103" s="91"/>
      <c r="B103" s="45"/>
      <c r="C103" s="128"/>
      <c r="D103" s="129"/>
      <c r="E103" s="129"/>
      <c r="F103" s="129"/>
      <c r="G103" s="129"/>
      <c r="H103" s="129"/>
      <c r="I103" s="129"/>
      <c r="J103" s="129"/>
      <c r="K103" s="130"/>
      <c r="L103" s="191"/>
      <c r="M103" s="191"/>
      <c r="N103" s="73"/>
      <c r="O103" s="73"/>
      <c r="P103" s="73"/>
      <c r="Q103" s="73"/>
      <c r="R103" s="73"/>
      <c r="S103" s="73"/>
      <c r="T103" s="73"/>
      <c r="U103" s="73"/>
      <c r="V103" s="73"/>
      <c r="W103" s="73"/>
      <c r="X103" s="73"/>
      <c r="Y103" s="73"/>
      <c r="Z103" s="65"/>
      <c r="AA103" s="65"/>
      <c r="AB103" s="73"/>
      <c r="AC103" s="73"/>
      <c r="AD103" s="73"/>
      <c r="AE103" s="73"/>
      <c r="AF103" s="73"/>
      <c r="AG103" s="73"/>
      <c r="AH103" s="73"/>
      <c r="AI103" s="73"/>
      <c r="AJ103" s="73"/>
      <c r="AK103" s="73"/>
      <c r="AL103" s="73"/>
      <c r="AM103" s="73"/>
      <c r="AN103" s="73"/>
      <c r="AO103" s="73"/>
      <c r="AP103" s="65"/>
      <c r="AQ103" s="65"/>
    </row>
    <row r="104" spans="1:43" ht="13.5" customHeight="1">
      <c r="A104" s="91"/>
      <c r="B104" s="45"/>
      <c r="C104" s="128"/>
      <c r="D104" s="129"/>
      <c r="E104" s="129"/>
      <c r="F104" s="129"/>
      <c r="G104" s="129"/>
      <c r="H104" s="129"/>
      <c r="I104" s="129"/>
      <c r="J104" s="129"/>
      <c r="K104" s="130"/>
      <c r="L104" s="191"/>
      <c r="M104" s="191"/>
      <c r="N104" s="73"/>
      <c r="O104" s="73"/>
      <c r="P104" s="73"/>
      <c r="Q104" s="73"/>
      <c r="R104" s="73"/>
      <c r="S104" s="73"/>
      <c r="T104" s="73"/>
      <c r="U104" s="73"/>
      <c r="V104" s="73"/>
      <c r="W104" s="73"/>
      <c r="X104" s="73"/>
      <c r="Y104" s="73"/>
      <c r="Z104" s="65"/>
      <c r="AA104" s="65"/>
      <c r="AB104" s="73"/>
      <c r="AC104" s="73"/>
      <c r="AD104" s="73"/>
      <c r="AE104" s="73"/>
      <c r="AF104" s="73"/>
      <c r="AG104" s="73"/>
      <c r="AH104" s="73"/>
      <c r="AI104" s="73"/>
      <c r="AJ104" s="73"/>
      <c r="AK104" s="73"/>
      <c r="AL104" s="73"/>
      <c r="AM104" s="73"/>
      <c r="AN104" s="73"/>
      <c r="AO104" s="73"/>
      <c r="AP104" s="65"/>
      <c r="AQ104" s="65"/>
    </row>
    <row r="105" spans="1:43" ht="13.5" customHeight="1">
      <c r="A105" s="91"/>
      <c r="B105" s="45"/>
      <c r="C105" s="128"/>
      <c r="D105" s="129"/>
      <c r="E105" s="129"/>
      <c r="F105" s="129"/>
      <c r="G105" s="129"/>
      <c r="H105" s="129"/>
      <c r="I105" s="129"/>
      <c r="J105" s="129"/>
      <c r="K105" s="130"/>
      <c r="L105" s="191"/>
      <c r="M105" s="191"/>
      <c r="N105" s="73"/>
      <c r="O105" s="73"/>
      <c r="P105" s="73"/>
      <c r="Q105" s="73"/>
      <c r="R105" s="73"/>
      <c r="S105" s="73"/>
      <c r="T105" s="73"/>
      <c r="U105" s="73"/>
      <c r="V105" s="73"/>
      <c r="W105" s="73"/>
      <c r="X105" s="73"/>
      <c r="Y105" s="73"/>
      <c r="Z105" s="65"/>
      <c r="AA105" s="65"/>
      <c r="AB105" s="73"/>
      <c r="AC105" s="73"/>
      <c r="AD105" s="73"/>
      <c r="AE105" s="73"/>
      <c r="AF105" s="73"/>
      <c r="AG105" s="73"/>
      <c r="AH105" s="73"/>
      <c r="AI105" s="73"/>
      <c r="AJ105" s="73"/>
      <c r="AK105" s="73"/>
      <c r="AL105" s="73"/>
      <c r="AM105" s="73"/>
      <c r="AN105" s="73"/>
      <c r="AO105" s="73"/>
      <c r="AP105" s="65"/>
      <c r="AQ105" s="65"/>
    </row>
    <row r="106" spans="1:43" ht="13.5" customHeight="1">
      <c r="A106" s="91"/>
      <c r="B106" s="45"/>
      <c r="C106" s="128"/>
      <c r="D106" s="129"/>
      <c r="E106" s="129"/>
      <c r="F106" s="129"/>
      <c r="G106" s="129"/>
      <c r="H106" s="129"/>
      <c r="I106" s="129"/>
      <c r="J106" s="129"/>
      <c r="K106" s="130"/>
      <c r="L106" s="191"/>
      <c r="M106" s="191"/>
      <c r="N106" s="73"/>
      <c r="O106" s="73"/>
      <c r="P106" s="73"/>
      <c r="Q106" s="73"/>
      <c r="R106" s="73"/>
      <c r="S106" s="73"/>
      <c r="T106" s="73"/>
      <c r="U106" s="73"/>
      <c r="V106" s="73"/>
      <c r="W106" s="73"/>
      <c r="X106" s="73"/>
      <c r="Y106" s="73"/>
      <c r="Z106" s="65"/>
      <c r="AA106" s="65"/>
      <c r="AB106" s="73"/>
      <c r="AC106" s="73"/>
      <c r="AD106" s="73"/>
      <c r="AE106" s="73"/>
      <c r="AF106" s="73"/>
      <c r="AG106" s="73"/>
      <c r="AH106" s="73"/>
      <c r="AI106" s="73"/>
      <c r="AJ106" s="73"/>
      <c r="AK106" s="73"/>
      <c r="AL106" s="73"/>
      <c r="AM106" s="73"/>
      <c r="AN106" s="73"/>
      <c r="AO106" s="73"/>
      <c r="AP106" s="65"/>
      <c r="AQ106" s="65"/>
    </row>
    <row r="107" spans="1:43" ht="13.5" customHeight="1">
      <c r="A107" s="91"/>
      <c r="B107" s="45"/>
      <c r="C107" s="128"/>
      <c r="D107" s="129"/>
      <c r="E107" s="129"/>
      <c r="F107" s="129"/>
      <c r="G107" s="129"/>
      <c r="H107" s="129"/>
      <c r="I107" s="129"/>
      <c r="J107" s="129"/>
      <c r="K107" s="130"/>
      <c r="L107" s="191"/>
      <c r="M107" s="191"/>
      <c r="N107" s="73"/>
      <c r="O107" s="73"/>
      <c r="P107" s="73"/>
      <c r="Q107" s="73"/>
      <c r="R107" s="73"/>
      <c r="S107" s="73"/>
      <c r="T107" s="73"/>
      <c r="U107" s="73"/>
      <c r="V107" s="73"/>
      <c r="W107" s="73"/>
      <c r="X107" s="73"/>
      <c r="Y107" s="73"/>
      <c r="Z107" s="65"/>
      <c r="AA107" s="65"/>
      <c r="AB107" s="73"/>
      <c r="AC107" s="73"/>
      <c r="AD107" s="73"/>
      <c r="AE107" s="73"/>
      <c r="AF107" s="73"/>
      <c r="AG107" s="73"/>
      <c r="AH107" s="73"/>
      <c r="AI107" s="73"/>
      <c r="AJ107" s="73"/>
      <c r="AK107" s="73"/>
      <c r="AL107" s="73"/>
      <c r="AM107" s="73"/>
      <c r="AN107" s="73"/>
      <c r="AO107" s="73"/>
      <c r="AP107" s="65"/>
      <c r="AQ107" s="65"/>
    </row>
    <row r="108" spans="1:43" ht="13.5" customHeight="1">
      <c r="A108" s="91"/>
      <c r="B108" s="45"/>
      <c r="C108" s="128"/>
      <c r="D108" s="129"/>
      <c r="E108" s="129"/>
      <c r="F108" s="129"/>
      <c r="G108" s="129"/>
      <c r="H108" s="129"/>
      <c r="I108" s="129"/>
      <c r="J108" s="129"/>
      <c r="K108" s="130"/>
      <c r="L108" s="191"/>
      <c r="M108" s="191"/>
      <c r="N108" s="73"/>
      <c r="O108" s="73"/>
      <c r="P108" s="73"/>
      <c r="Q108" s="73"/>
      <c r="R108" s="73"/>
      <c r="S108" s="73"/>
      <c r="T108" s="73"/>
      <c r="U108" s="73"/>
      <c r="V108" s="73"/>
      <c r="W108" s="73"/>
      <c r="X108" s="73"/>
      <c r="Y108" s="73"/>
      <c r="Z108" s="65"/>
      <c r="AA108" s="65"/>
      <c r="AB108" s="73"/>
      <c r="AC108" s="73"/>
      <c r="AD108" s="73"/>
      <c r="AE108" s="73"/>
      <c r="AF108" s="73"/>
      <c r="AG108" s="73"/>
      <c r="AH108" s="73"/>
      <c r="AI108" s="73"/>
      <c r="AJ108" s="73"/>
      <c r="AK108" s="73"/>
      <c r="AL108" s="73"/>
      <c r="AM108" s="73"/>
      <c r="AN108" s="73"/>
      <c r="AO108" s="73"/>
      <c r="AP108" s="65"/>
      <c r="AQ108" s="65"/>
    </row>
    <row r="109" spans="1:43" ht="13.5" customHeight="1">
      <c r="A109" s="91"/>
      <c r="B109" s="45"/>
      <c r="C109" s="128"/>
      <c r="D109" s="129"/>
      <c r="E109" s="129"/>
      <c r="F109" s="129"/>
      <c r="G109" s="129"/>
      <c r="H109" s="129"/>
      <c r="I109" s="129"/>
      <c r="J109" s="129"/>
      <c r="K109" s="130"/>
      <c r="L109" s="191"/>
      <c r="M109" s="191"/>
      <c r="N109" s="73"/>
      <c r="O109" s="73"/>
      <c r="P109" s="73"/>
      <c r="Q109" s="73"/>
      <c r="R109" s="73"/>
      <c r="S109" s="73"/>
      <c r="T109" s="73"/>
      <c r="U109" s="73"/>
      <c r="V109" s="73"/>
      <c r="W109" s="73"/>
      <c r="X109" s="73"/>
      <c r="Y109" s="73"/>
      <c r="Z109" s="65"/>
      <c r="AA109" s="65"/>
      <c r="AB109" s="73"/>
      <c r="AC109" s="73"/>
      <c r="AD109" s="73"/>
      <c r="AE109" s="73"/>
      <c r="AF109" s="73"/>
      <c r="AG109" s="73"/>
      <c r="AH109" s="73"/>
      <c r="AI109" s="73"/>
      <c r="AJ109" s="73"/>
      <c r="AK109" s="73"/>
      <c r="AL109" s="73"/>
      <c r="AM109" s="73"/>
      <c r="AN109" s="73"/>
      <c r="AO109" s="73"/>
      <c r="AP109" s="65"/>
      <c r="AQ109" s="65"/>
    </row>
    <row r="110" spans="1:43" ht="13.5" customHeight="1" thickBot="1">
      <c r="A110" s="36"/>
      <c r="B110" s="190"/>
      <c r="C110" s="134"/>
      <c r="D110" s="135"/>
      <c r="E110" s="135"/>
      <c r="F110" s="135"/>
      <c r="G110" s="135"/>
      <c r="H110" s="135"/>
      <c r="I110" s="135"/>
      <c r="J110" s="135"/>
      <c r="K110" s="136"/>
      <c r="L110" s="192"/>
      <c r="M110" s="192"/>
      <c r="N110" s="73"/>
      <c r="O110" s="73"/>
      <c r="P110" s="73"/>
      <c r="Q110" s="73"/>
      <c r="R110" s="73"/>
      <c r="S110" s="73"/>
      <c r="T110" s="73"/>
      <c r="U110" s="73"/>
      <c r="V110" s="73"/>
      <c r="W110" s="73"/>
      <c r="X110" s="73"/>
      <c r="Y110" s="73"/>
      <c r="Z110" s="65"/>
      <c r="AA110" s="65"/>
      <c r="AB110" s="73"/>
      <c r="AC110" s="73"/>
      <c r="AD110" s="73"/>
      <c r="AE110" s="73"/>
      <c r="AF110" s="73"/>
      <c r="AG110" s="73"/>
      <c r="AH110" s="73"/>
      <c r="AI110" s="73"/>
      <c r="AJ110" s="73"/>
      <c r="AK110" s="73"/>
      <c r="AL110" s="73"/>
      <c r="AM110" s="73"/>
      <c r="AN110" s="73"/>
      <c r="AO110" s="73"/>
      <c r="AP110" s="65"/>
      <c r="AQ110" s="65"/>
    </row>
    <row r="111" spans="1:43" ht="13.5" customHeight="1" thickTop="1"/>
    <row r="112" spans="1:43" ht="13.5" customHeight="1">
      <c r="C112" s="31"/>
    </row>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sheetData>
  <sheetProtection sheet="1" objects="1" scenarios="1"/>
  <dataConsolidate/>
  <mergeCells count="2">
    <mergeCell ref="A1:B1"/>
    <mergeCell ref="A7:B7"/>
  </mergeCells>
  <phoneticPr fontId="8" type="noConversion"/>
  <dataValidations count="3">
    <dataValidation type="list" allowBlank="1" showInputMessage="1" showErrorMessage="1" error="The year has to be within the range 1990 - 2014." prompt="Select a year from the drop-down menu, between 1990 and 2040." sqref="L19">
      <formula1>Price_Yr</formula1>
    </dataValidation>
    <dataValidation type="list" allowBlank="1" showInputMessage="1" showErrorMessage="1" error="The year has to be in the range 2002 - 2010." prompt="Select a year from the drop-down menu, between 2002 and 2010." sqref="L16">
      <formula1>Init_Yr</formula1>
    </dataValidation>
    <dataValidation type="list" allowBlank="1" showInputMessage="1" showErrorMessage="1" error="The year has to be within the range 1990 - 2014." prompt="Select a year from the drop-down menu, between 1990 and 2040." sqref="L13">
      <formula1>Price_Yr</formula1>
    </dataValidation>
  </dataValidations>
  <hyperlinks>
    <hyperlink ref="A7" location="Contents!A1" display="Contents"/>
    <hyperlink ref="A7:B7" location="Contents!A1" tooltip="Contents page" display="Contents"/>
  </hyperlinks>
  <pageMargins left="0.15748031496062992" right="0.15748031496062992" top="0.59055118110236227" bottom="0.39370078740157483" header="0.11811023622047245" footer="0.11811023622047245"/>
  <pageSetup paperSize="9" scale="83" pageOrder="overThenDown"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10"/>
  </sheetPr>
  <dimension ref="A1:BJ200"/>
  <sheetViews>
    <sheetView showGridLines="0" zoomScale="85" zoomScaleNormal="85" workbookViewId="0">
      <selection activeCell="E23" sqref="E23:F23"/>
    </sheetView>
  </sheetViews>
  <sheetFormatPr defaultColWidth="12.88671875" defaultRowHeight="13.2"/>
  <cols>
    <col min="1" max="12" width="12.88671875" style="33" customWidth="1"/>
    <col min="13" max="61" width="12.88671875" style="26" customWidth="1"/>
    <col min="62" max="16384" width="12.88671875" style="33"/>
  </cols>
  <sheetData>
    <row r="1" spans="1:62" ht="54.9" customHeight="1">
      <c r="A1" s="3569"/>
      <c r="B1" s="3569"/>
      <c r="L1" s="112"/>
    </row>
    <row r="2" spans="1:62" ht="5.0999999999999996" customHeight="1">
      <c r="L2" s="111"/>
    </row>
    <row r="3" spans="1:62" s="70" customFormat="1" ht="20.100000000000001" customHeight="1">
      <c r="A3" s="83" t="s">
        <v>2344</v>
      </c>
      <c r="B3" s="83"/>
      <c r="C3" s="83"/>
      <c r="D3" s="83"/>
      <c r="E3" s="83"/>
      <c r="F3" s="84"/>
      <c r="G3" s="83"/>
      <c r="H3" s="84"/>
      <c r="I3" s="84"/>
      <c r="J3" s="84"/>
      <c r="K3" s="84"/>
      <c r="L3" s="83"/>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46"/>
      <c r="AZ3" s="84"/>
      <c r="BA3" s="84"/>
      <c r="BB3" s="84"/>
      <c r="BC3" s="84"/>
      <c r="BD3" s="84"/>
      <c r="BE3" s="84"/>
      <c r="BF3" s="84"/>
      <c r="BG3" s="84"/>
      <c r="BH3" s="84"/>
      <c r="BI3" s="84"/>
      <c r="BJ3" s="71"/>
    </row>
    <row r="4" spans="1:62" s="70" customFormat="1" ht="20.100000000000001" customHeight="1" thickBot="1">
      <c r="A4" s="204" t="s">
        <v>55</v>
      </c>
      <c r="B4" s="204"/>
      <c r="C4" s="204"/>
      <c r="D4" s="204"/>
      <c r="E4" s="204"/>
      <c r="F4" s="205"/>
      <c r="G4" s="204"/>
      <c r="H4" s="205"/>
      <c r="I4" s="205"/>
      <c r="J4" s="205"/>
      <c r="K4" s="205"/>
      <c r="L4" s="204"/>
      <c r="M4" s="205"/>
      <c r="N4" s="205"/>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46"/>
      <c r="AZ4" s="84"/>
      <c r="BA4" s="84"/>
      <c r="BB4" s="84"/>
      <c r="BC4" s="84"/>
      <c r="BD4" s="84"/>
      <c r="BE4" s="84"/>
      <c r="BF4" s="84"/>
      <c r="BG4" s="84"/>
      <c r="BH4" s="84"/>
      <c r="BI4" s="84"/>
      <c r="BJ4" s="71"/>
    </row>
    <row r="5" spans="1:62" s="38" customFormat="1" ht="9.9" customHeight="1" thickTop="1">
      <c r="B5" s="85"/>
      <c r="C5" s="86"/>
      <c r="D5" s="85"/>
      <c r="E5" s="85"/>
      <c r="F5" s="86"/>
      <c r="G5" s="85"/>
      <c r="H5" s="86"/>
      <c r="I5" s="86"/>
      <c r="J5" s="86"/>
      <c r="K5" s="86"/>
      <c r="L5" s="85"/>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c r="AQ5" s="97"/>
      <c r="AR5" s="26"/>
      <c r="AS5" s="26"/>
      <c r="AT5" s="26"/>
      <c r="AU5" s="26"/>
      <c r="AV5" s="26"/>
      <c r="AW5" s="26"/>
      <c r="AX5" s="26"/>
      <c r="AY5" s="31"/>
      <c r="AZ5" s="26"/>
      <c r="BA5" s="26"/>
      <c r="BB5" s="26"/>
      <c r="BC5" s="26"/>
      <c r="BD5" s="26"/>
      <c r="BE5" s="26"/>
      <c r="BF5" s="26"/>
      <c r="BG5" s="26"/>
      <c r="BH5" s="26"/>
      <c r="BI5" s="26"/>
      <c r="BJ5" s="87"/>
    </row>
    <row r="6" spans="1:62" s="38" customFormat="1" ht="13.5" customHeight="1" thickBot="1">
      <c r="A6" s="202" t="s">
        <v>14</v>
      </c>
      <c r="B6" s="203"/>
      <c r="C6" s="86"/>
      <c r="D6" s="85"/>
      <c r="E6" s="85"/>
      <c r="F6" s="86"/>
      <c r="G6" s="85"/>
      <c r="H6" s="86"/>
      <c r="I6" s="86"/>
      <c r="J6" s="86"/>
      <c r="K6" s="86"/>
      <c r="L6" s="85"/>
      <c r="M6" s="97"/>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26"/>
      <c r="AS6" s="26"/>
      <c r="AT6" s="26"/>
      <c r="AU6" s="26"/>
      <c r="AV6" s="26"/>
      <c r="AW6" s="26"/>
      <c r="AX6" s="26"/>
      <c r="AY6" s="31"/>
      <c r="AZ6" s="26"/>
      <c r="BA6" s="26"/>
      <c r="BB6" s="26"/>
      <c r="BC6" s="26"/>
      <c r="BD6" s="26"/>
      <c r="BE6" s="26"/>
      <c r="BF6" s="26"/>
      <c r="BG6" s="26"/>
      <c r="BH6" s="26"/>
      <c r="BI6" s="26"/>
      <c r="BJ6" s="87"/>
    </row>
    <row r="7" spans="1:62" s="38" customFormat="1" ht="13.5" customHeight="1" thickBot="1">
      <c r="A7" s="3611" t="s">
        <v>1306</v>
      </c>
      <c r="B7" s="3612"/>
      <c r="C7" s="86"/>
      <c r="D7" s="85"/>
      <c r="E7" s="85"/>
      <c r="F7" s="86"/>
      <c r="G7" s="85"/>
      <c r="H7" s="86"/>
      <c r="I7" s="86"/>
      <c r="J7" s="86"/>
      <c r="K7" s="86"/>
      <c r="L7" s="85"/>
      <c r="M7" s="97"/>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26"/>
      <c r="AS7" s="26"/>
      <c r="AT7" s="26"/>
      <c r="AU7" s="26"/>
      <c r="AV7" s="26"/>
      <c r="AW7" s="26"/>
      <c r="AX7" s="26"/>
      <c r="AY7" s="31"/>
      <c r="AZ7" s="26"/>
      <c r="BA7" s="26"/>
      <c r="BB7" s="26"/>
      <c r="BC7" s="26"/>
      <c r="BD7" s="26"/>
      <c r="BE7" s="26"/>
      <c r="BF7" s="26"/>
      <c r="BG7" s="26"/>
      <c r="BH7" s="26"/>
      <c r="BI7" s="26"/>
      <c r="BJ7" s="87"/>
    </row>
    <row r="8" spans="1:62" s="38" customFormat="1" ht="13.5" customHeight="1">
      <c r="B8" s="85"/>
      <c r="C8" s="86"/>
      <c r="D8" s="85"/>
      <c r="E8" s="85"/>
      <c r="F8" s="86"/>
      <c r="G8" s="85"/>
      <c r="H8" s="86"/>
      <c r="I8" s="86"/>
      <c r="J8" s="86"/>
      <c r="K8" s="86"/>
      <c r="L8" s="85"/>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26"/>
      <c r="AS8" s="26"/>
      <c r="AT8" s="26"/>
      <c r="AU8" s="26"/>
      <c r="AV8" s="26"/>
      <c r="AW8" s="26"/>
      <c r="AX8" s="26"/>
      <c r="AY8" s="31"/>
      <c r="AZ8" s="26"/>
      <c r="BA8" s="26"/>
      <c r="BB8" s="26"/>
      <c r="BC8" s="26"/>
      <c r="BD8" s="26"/>
      <c r="BE8" s="26"/>
      <c r="BF8" s="26"/>
      <c r="BG8" s="26"/>
      <c r="BH8" s="26"/>
      <c r="BI8" s="26"/>
      <c r="BJ8" s="87"/>
    </row>
    <row r="9" spans="1:62" ht="13.5" customHeight="1" thickBot="1">
      <c r="A9" s="22"/>
      <c r="B9" s="27"/>
      <c r="C9" s="69"/>
      <c r="D9" s="37"/>
      <c r="E9" s="37"/>
      <c r="F9" s="37"/>
      <c r="G9" s="37"/>
      <c r="H9" s="37"/>
      <c r="I9" s="37"/>
      <c r="J9" s="37"/>
      <c r="K9" s="37"/>
      <c r="L9" s="27"/>
    </row>
    <row r="10" spans="1:62" ht="13.5" customHeight="1" thickTop="1" thickBot="1">
      <c r="A10" s="196" t="s">
        <v>149</v>
      </c>
      <c r="B10" s="197"/>
      <c r="C10" s="198" t="s">
        <v>150</v>
      </c>
      <c r="D10" s="199"/>
      <c r="E10" s="199"/>
      <c r="F10" s="199"/>
      <c r="G10" s="199"/>
      <c r="H10" s="199"/>
      <c r="I10" s="199"/>
      <c r="J10" s="199"/>
      <c r="K10" s="200"/>
      <c r="L10" s="201" t="s">
        <v>274</v>
      </c>
      <c r="M10" s="1258" t="s">
        <v>450</v>
      </c>
      <c r="N10" s="2291"/>
      <c r="O10" s="30"/>
      <c r="P10" s="30"/>
      <c r="Q10" s="30"/>
      <c r="R10" s="30"/>
      <c r="S10" s="30"/>
      <c r="T10" s="30"/>
      <c r="U10" s="30"/>
      <c r="V10" s="30"/>
      <c r="W10" s="30"/>
      <c r="X10" s="30"/>
      <c r="Y10" s="30"/>
      <c r="Z10" s="30"/>
      <c r="AA10" s="30"/>
      <c r="AB10" s="120"/>
      <c r="AC10" s="30"/>
      <c r="AD10" s="30"/>
      <c r="AE10" s="30"/>
      <c r="AF10" s="30"/>
      <c r="AG10" s="30"/>
      <c r="AH10" s="30"/>
      <c r="AI10" s="30"/>
      <c r="AJ10" s="30"/>
      <c r="AK10" s="30"/>
      <c r="AL10" s="30"/>
      <c r="AM10" s="30"/>
      <c r="AN10" s="30"/>
      <c r="AO10" s="30"/>
      <c r="AP10" s="30"/>
      <c r="AQ10" s="30"/>
    </row>
    <row r="11" spans="1:62" ht="13.5" customHeight="1" thickTop="1">
      <c r="A11" s="215"/>
      <c r="B11" s="216"/>
      <c r="C11" s="217"/>
      <c r="D11" s="218"/>
      <c r="E11" s="218"/>
      <c r="F11" s="218"/>
      <c r="G11" s="218"/>
      <c r="H11" s="218"/>
      <c r="I11" s="218"/>
      <c r="J11" s="218"/>
      <c r="K11" s="219"/>
      <c r="L11" s="214"/>
      <c r="M11" s="2292" t="s">
        <v>451</v>
      </c>
      <c r="N11" s="2293" t="s">
        <v>452</v>
      </c>
      <c r="O11" s="30"/>
      <c r="P11" s="30"/>
      <c r="Q11" s="30"/>
      <c r="R11" s="30"/>
      <c r="S11" s="30"/>
      <c r="T11" s="30"/>
      <c r="U11" s="30"/>
      <c r="V11" s="30"/>
      <c r="W11" s="30"/>
      <c r="X11" s="30"/>
      <c r="Y11" s="30"/>
      <c r="Z11" s="30"/>
      <c r="AA11" s="30"/>
      <c r="AB11" s="120"/>
      <c r="AC11" s="30"/>
      <c r="AD11" s="30"/>
      <c r="AE11" s="30"/>
      <c r="AF11" s="30"/>
      <c r="AG11" s="30"/>
      <c r="AH11" s="30"/>
      <c r="AI11" s="30"/>
      <c r="AJ11" s="30"/>
      <c r="AK11" s="30"/>
      <c r="AL11" s="30"/>
      <c r="AM11" s="30"/>
      <c r="AN11" s="30"/>
      <c r="AO11" s="30"/>
      <c r="AP11" s="30"/>
      <c r="AQ11" s="30"/>
    </row>
    <row r="12" spans="1:62" ht="13.5" customHeight="1">
      <c r="A12" s="210"/>
      <c r="B12" s="211"/>
      <c r="C12" s="212"/>
      <c r="D12" s="182"/>
      <c r="E12" s="182"/>
      <c r="F12" s="182"/>
      <c r="G12" s="182"/>
      <c r="H12" s="182"/>
      <c r="I12" s="182"/>
      <c r="J12" s="182"/>
      <c r="K12" s="213"/>
      <c r="L12" s="220"/>
      <c r="M12" s="1395">
        <v>1990</v>
      </c>
      <c r="N12" s="1278">
        <v>2002</v>
      </c>
      <c r="O12" s="30"/>
      <c r="P12" s="30"/>
      <c r="Q12" s="30"/>
      <c r="R12" s="30"/>
      <c r="S12" s="30"/>
      <c r="T12" s="30"/>
      <c r="U12" s="30"/>
      <c r="V12" s="30"/>
      <c r="W12" s="30"/>
      <c r="X12" s="30"/>
      <c r="Y12" s="30"/>
      <c r="Z12" s="30"/>
      <c r="AA12" s="30"/>
      <c r="AB12" s="120"/>
      <c r="AC12" s="30"/>
      <c r="AD12" s="30"/>
      <c r="AE12" s="30"/>
      <c r="AF12" s="30"/>
      <c r="AG12" s="30"/>
      <c r="AH12" s="30"/>
      <c r="AI12" s="30"/>
      <c r="AJ12" s="30"/>
      <c r="AK12" s="30"/>
      <c r="AL12" s="30"/>
      <c r="AM12" s="30"/>
      <c r="AN12" s="30"/>
      <c r="AO12" s="30"/>
      <c r="AP12" s="30"/>
      <c r="AQ12" s="30"/>
    </row>
    <row r="13" spans="1:62" s="22" customFormat="1" ht="13.5" customHeight="1">
      <c r="A13" s="189" t="s">
        <v>785</v>
      </c>
      <c r="B13" s="185"/>
      <c r="C13" s="188" t="s">
        <v>53</v>
      </c>
      <c r="D13" s="186"/>
      <c r="E13" s="186"/>
      <c r="F13" s="186"/>
      <c r="G13" s="186"/>
      <c r="H13" s="186"/>
      <c r="I13" s="186"/>
      <c r="J13" s="186"/>
      <c r="K13" s="187"/>
      <c r="L13" s="208">
        <v>2010</v>
      </c>
      <c r="M13" s="1395">
        <v>1991</v>
      </c>
      <c r="N13" s="1278">
        <v>2003</v>
      </c>
      <c r="O13" s="80"/>
      <c r="P13" s="80"/>
      <c r="Q13" s="80"/>
      <c r="R13" s="80"/>
      <c r="S13" s="80"/>
      <c r="T13" s="80"/>
      <c r="U13" s="80"/>
      <c r="V13" s="80"/>
      <c r="W13" s="80"/>
      <c r="X13" s="80"/>
      <c r="Y13" s="80"/>
      <c r="Z13" s="119"/>
      <c r="AA13" s="119"/>
      <c r="AB13" s="80"/>
      <c r="AC13" s="80"/>
      <c r="AD13" s="80"/>
      <c r="AE13" s="80"/>
      <c r="AF13" s="80"/>
      <c r="AG13" s="80"/>
      <c r="AH13" s="80"/>
      <c r="AI13" s="80"/>
      <c r="AJ13" s="80"/>
      <c r="AK13" s="80"/>
      <c r="AL13" s="80"/>
      <c r="AM13" s="80"/>
      <c r="AN13" s="80"/>
      <c r="AO13" s="80"/>
      <c r="AP13" s="119"/>
      <c r="AQ13" s="119"/>
      <c r="AR13" s="29"/>
      <c r="AS13" s="29"/>
      <c r="AT13" s="29"/>
      <c r="AU13" s="29"/>
      <c r="AV13" s="29"/>
      <c r="AW13" s="29"/>
      <c r="AX13" s="29"/>
      <c r="AY13" s="29"/>
      <c r="AZ13" s="29"/>
      <c r="BA13" s="29"/>
      <c r="BB13" s="29"/>
      <c r="BC13" s="29"/>
      <c r="BD13" s="29"/>
      <c r="BE13" s="29"/>
      <c r="BF13" s="29"/>
      <c r="BG13" s="29"/>
      <c r="BH13" s="29"/>
      <c r="BI13" s="29"/>
    </row>
    <row r="14" spans="1:62" ht="13.5" customHeight="1">
      <c r="A14" s="91"/>
      <c r="B14" s="45"/>
      <c r="C14" s="128" t="s">
        <v>2213</v>
      </c>
      <c r="D14" s="129"/>
      <c r="E14" s="129"/>
      <c r="F14" s="129"/>
      <c r="G14" s="129"/>
      <c r="H14" s="129"/>
      <c r="I14" s="129"/>
      <c r="J14" s="129"/>
      <c r="K14" s="130"/>
      <c r="L14" s="191"/>
      <c r="M14" s="1395">
        <v>1992</v>
      </c>
      <c r="N14" s="1278">
        <v>2004</v>
      </c>
      <c r="O14" s="73"/>
      <c r="P14" s="73"/>
      <c r="Q14" s="73"/>
      <c r="R14" s="73"/>
      <c r="S14" s="73"/>
      <c r="T14" s="73"/>
      <c r="U14" s="73"/>
      <c r="V14" s="73"/>
      <c r="W14" s="73"/>
      <c r="X14" s="73"/>
      <c r="Y14" s="73"/>
      <c r="Z14" s="65"/>
      <c r="AA14" s="65"/>
      <c r="AB14" s="73"/>
      <c r="AC14" s="73"/>
      <c r="AD14" s="73"/>
      <c r="AE14" s="73"/>
      <c r="AF14" s="73"/>
      <c r="AG14" s="73"/>
      <c r="AH14" s="73"/>
      <c r="AI14" s="73"/>
      <c r="AJ14" s="73"/>
      <c r="AK14" s="73"/>
      <c r="AL14" s="73"/>
      <c r="AM14" s="73"/>
      <c r="AN14" s="73"/>
      <c r="AO14" s="73"/>
      <c r="AP14" s="65"/>
      <c r="AQ14" s="65"/>
    </row>
    <row r="15" spans="1:62" ht="13.5" customHeight="1">
      <c r="A15" s="91"/>
      <c r="B15" s="45"/>
      <c r="C15" s="128"/>
      <c r="D15" s="129"/>
      <c r="E15" s="129"/>
      <c r="F15" s="129"/>
      <c r="G15" s="129"/>
      <c r="H15" s="129"/>
      <c r="I15" s="129"/>
      <c r="J15" s="129"/>
      <c r="K15" s="130"/>
      <c r="L15" s="191"/>
      <c r="M15" s="1395">
        <v>1993</v>
      </c>
      <c r="N15" s="1278">
        <v>2005</v>
      </c>
      <c r="O15" s="73"/>
      <c r="P15" s="73"/>
      <c r="Q15" s="73"/>
      <c r="R15" s="73"/>
      <c r="S15" s="73"/>
      <c r="T15" s="73"/>
      <c r="U15" s="73"/>
      <c r="V15" s="73"/>
      <c r="W15" s="73"/>
      <c r="X15" s="73"/>
      <c r="Y15" s="73"/>
      <c r="Z15" s="65"/>
      <c r="AA15" s="65"/>
      <c r="AB15" s="73"/>
      <c r="AC15" s="73"/>
      <c r="AD15" s="73"/>
      <c r="AE15" s="73"/>
      <c r="AF15" s="73"/>
      <c r="AG15" s="73"/>
      <c r="AH15" s="73"/>
      <c r="AI15" s="73"/>
      <c r="AJ15" s="73"/>
      <c r="AK15" s="73"/>
      <c r="AL15" s="73"/>
      <c r="AM15" s="73"/>
      <c r="AN15" s="73"/>
      <c r="AO15" s="73"/>
      <c r="AP15" s="65"/>
      <c r="AQ15" s="65"/>
      <c r="AS15" s="121"/>
      <c r="AT15" s="53"/>
      <c r="AU15" s="53"/>
      <c r="AV15" s="53"/>
      <c r="AW15" s="53"/>
      <c r="AX15" s="53"/>
      <c r="AY15" s="53"/>
      <c r="AZ15" s="53"/>
      <c r="BA15" s="53"/>
      <c r="BB15" s="53"/>
      <c r="BC15" s="53"/>
      <c r="BD15" s="53"/>
      <c r="BE15" s="53"/>
      <c r="BF15" s="53"/>
      <c r="BG15" s="53"/>
      <c r="BH15" s="53"/>
      <c r="BI15" s="53"/>
    </row>
    <row r="16" spans="1:62" ht="13.5" customHeight="1">
      <c r="A16" s="91" t="s">
        <v>1038</v>
      </c>
      <c r="B16" s="45"/>
      <c r="C16" s="128" t="s">
        <v>151</v>
      </c>
      <c r="D16" s="129"/>
      <c r="E16" s="129"/>
      <c r="F16" s="129"/>
      <c r="G16" s="129"/>
      <c r="H16" s="129"/>
      <c r="I16" s="129"/>
      <c r="J16" s="129"/>
      <c r="K16" s="130"/>
      <c r="L16" s="191">
        <v>2010</v>
      </c>
      <c r="M16" s="1395">
        <v>1994</v>
      </c>
      <c r="N16" s="1278">
        <v>2006</v>
      </c>
      <c r="O16" s="73"/>
      <c r="P16" s="73"/>
      <c r="Q16" s="73"/>
      <c r="R16" s="73"/>
      <c r="S16" s="73"/>
      <c r="T16" s="73"/>
      <c r="U16" s="73"/>
      <c r="V16" s="73"/>
      <c r="W16" s="73"/>
      <c r="X16" s="73"/>
      <c r="Y16" s="73"/>
      <c r="Z16" s="65"/>
      <c r="AA16" s="65"/>
      <c r="AB16" s="73"/>
      <c r="AC16" s="73"/>
      <c r="AD16" s="73"/>
      <c r="AE16" s="73"/>
      <c r="AF16" s="73"/>
      <c r="AG16" s="73"/>
      <c r="AH16" s="73"/>
      <c r="AI16" s="73"/>
      <c r="AJ16" s="73"/>
      <c r="AK16" s="73"/>
      <c r="AL16" s="73"/>
      <c r="AM16" s="73"/>
      <c r="AN16" s="73"/>
      <c r="AO16" s="73"/>
      <c r="AP16" s="65"/>
      <c r="AQ16" s="65"/>
      <c r="AS16" s="53"/>
      <c r="AT16" s="53"/>
      <c r="AU16" s="53"/>
      <c r="AV16" s="53"/>
      <c r="AW16" s="53"/>
      <c r="AX16" s="53"/>
      <c r="AY16" s="53"/>
      <c r="AZ16" s="53"/>
      <c r="BA16" s="53"/>
      <c r="BB16" s="53"/>
      <c r="BC16" s="53"/>
      <c r="BD16" s="53"/>
      <c r="BE16" s="53"/>
      <c r="BF16" s="53"/>
      <c r="BG16" s="53"/>
      <c r="BH16" s="53"/>
      <c r="BI16" s="53"/>
    </row>
    <row r="17" spans="1:61" ht="13.5" customHeight="1">
      <c r="A17" s="91"/>
      <c r="B17" s="45"/>
      <c r="C17" s="128" t="s">
        <v>152</v>
      </c>
      <c r="D17" s="129"/>
      <c r="E17" s="129"/>
      <c r="F17" s="129"/>
      <c r="G17" s="129"/>
      <c r="H17" s="129"/>
      <c r="I17" s="129"/>
      <c r="J17" s="129"/>
      <c r="K17" s="130"/>
      <c r="L17" s="191"/>
      <c r="M17" s="1395">
        <v>1995</v>
      </c>
      <c r="N17" s="1278">
        <v>2007</v>
      </c>
      <c r="O17" s="73"/>
      <c r="P17" s="73"/>
      <c r="Q17" s="73"/>
      <c r="R17" s="73"/>
      <c r="S17" s="73"/>
      <c r="T17" s="73"/>
      <c r="U17" s="73"/>
      <c r="V17" s="73"/>
      <c r="W17" s="73"/>
      <c r="X17" s="73"/>
      <c r="Y17" s="73"/>
      <c r="Z17" s="65"/>
      <c r="AA17" s="65"/>
      <c r="AB17" s="73"/>
      <c r="AC17" s="73"/>
      <c r="AD17" s="73"/>
      <c r="AE17" s="73"/>
      <c r="AF17" s="73"/>
      <c r="AG17" s="73"/>
      <c r="AH17" s="73"/>
      <c r="AI17" s="73"/>
      <c r="AJ17" s="73"/>
      <c r="AK17" s="73"/>
      <c r="AL17" s="73"/>
      <c r="AM17" s="73"/>
      <c r="AN17" s="73"/>
      <c r="AO17" s="73"/>
      <c r="AP17" s="65"/>
      <c r="AQ17" s="65"/>
    </row>
    <row r="18" spans="1:61" ht="13.5" customHeight="1">
      <c r="A18" s="91"/>
      <c r="B18" s="45"/>
      <c r="C18" s="128"/>
      <c r="D18" s="129"/>
      <c r="E18" s="129"/>
      <c r="F18" s="129"/>
      <c r="G18" s="129"/>
      <c r="H18" s="129"/>
      <c r="I18" s="129"/>
      <c r="J18" s="129"/>
      <c r="K18" s="130"/>
      <c r="L18" s="191"/>
      <c r="M18" s="1395">
        <v>1996</v>
      </c>
      <c r="N18" s="1278">
        <v>2008</v>
      </c>
      <c r="O18" s="73"/>
      <c r="P18" s="73"/>
      <c r="Q18" s="73"/>
      <c r="R18" s="73"/>
      <c r="S18" s="73"/>
      <c r="T18" s="73"/>
      <c r="U18" s="73"/>
      <c r="V18" s="73"/>
      <c r="W18" s="73"/>
      <c r="X18" s="73"/>
      <c r="Y18" s="73"/>
      <c r="Z18" s="65"/>
      <c r="AA18" s="65"/>
      <c r="AB18" s="73"/>
      <c r="AC18" s="73"/>
      <c r="AD18" s="73"/>
      <c r="AE18" s="73"/>
      <c r="AF18" s="73"/>
      <c r="AG18" s="73"/>
      <c r="AH18" s="73"/>
      <c r="AI18" s="73"/>
      <c r="AJ18" s="73"/>
      <c r="AK18" s="73"/>
      <c r="AL18" s="73"/>
      <c r="AM18" s="73"/>
      <c r="AN18" s="73"/>
      <c r="AO18" s="73"/>
      <c r="AP18" s="65"/>
      <c r="AQ18" s="65"/>
    </row>
    <row r="19" spans="1:61" ht="13.5" customHeight="1">
      <c r="A19" s="91" t="s">
        <v>786</v>
      </c>
      <c r="B19" s="45"/>
      <c r="C19" s="128" t="s">
        <v>56</v>
      </c>
      <c r="D19" s="129"/>
      <c r="E19" s="129"/>
      <c r="F19" s="129"/>
      <c r="G19" s="129"/>
      <c r="H19" s="129"/>
      <c r="I19" s="129"/>
      <c r="J19" s="129"/>
      <c r="K19" s="130"/>
      <c r="L19" s="191">
        <v>2010</v>
      </c>
      <c r="M19" s="1395">
        <v>1997</v>
      </c>
      <c r="N19" s="1278">
        <v>2009</v>
      </c>
      <c r="O19" s="73"/>
      <c r="P19" s="73"/>
      <c r="Q19" s="73"/>
      <c r="R19" s="73"/>
      <c r="S19" s="73"/>
      <c r="T19" s="73"/>
      <c r="U19" s="73"/>
      <c r="V19" s="73"/>
      <c r="W19" s="73"/>
      <c r="X19" s="73"/>
      <c r="Y19" s="73"/>
      <c r="Z19" s="65"/>
      <c r="AA19" s="65"/>
      <c r="AB19" s="73"/>
      <c r="AC19" s="73"/>
      <c r="AD19" s="73"/>
      <c r="AE19" s="73"/>
      <c r="AF19" s="73"/>
      <c r="AG19" s="73"/>
      <c r="AH19" s="73"/>
      <c r="AI19" s="73"/>
      <c r="AJ19" s="73"/>
      <c r="AK19" s="73"/>
      <c r="AL19" s="73"/>
      <c r="AM19" s="73"/>
      <c r="AN19" s="73"/>
      <c r="AO19" s="73"/>
      <c r="AP19" s="65"/>
      <c r="AQ19" s="65"/>
    </row>
    <row r="20" spans="1:61" s="24" customFormat="1" ht="13.5" customHeight="1">
      <c r="A20" s="91"/>
      <c r="B20" s="45"/>
      <c r="C20" s="128"/>
      <c r="D20" s="132"/>
      <c r="E20" s="132"/>
      <c r="F20" s="132"/>
      <c r="G20" s="132"/>
      <c r="H20" s="132"/>
      <c r="I20" s="132"/>
      <c r="J20" s="132"/>
      <c r="K20" s="133"/>
      <c r="L20" s="191"/>
      <c r="M20" s="1395">
        <v>1998</v>
      </c>
      <c r="N20" s="1278">
        <v>2010</v>
      </c>
      <c r="O20" s="80"/>
      <c r="P20" s="80"/>
      <c r="Q20" s="80"/>
      <c r="R20" s="80"/>
      <c r="S20" s="80"/>
      <c r="T20" s="80"/>
      <c r="U20" s="80"/>
      <c r="V20" s="80"/>
      <c r="W20" s="80"/>
      <c r="X20" s="80"/>
      <c r="Y20" s="80"/>
      <c r="Z20" s="119"/>
      <c r="AA20" s="119"/>
      <c r="AB20" s="80"/>
      <c r="AC20" s="80"/>
      <c r="AD20" s="80"/>
      <c r="AE20" s="80"/>
      <c r="AF20" s="80"/>
      <c r="AG20" s="80"/>
      <c r="AH20" s="80"/>
      <c r="AI20" s="80"/>
      <c r="AJ20" s="80"/>
      <c r="AK20" s="80"/>
      <c r="AL20" s="80"/>
      <c r="AM20" s="80"/>
      <c r="AN20" s="80"/>
      <c r="AO20" s="80"/>
      <c r="AP20" s="119"/>
      <c r="AQ20" s="119"/>
      <c r="AR20" s="29"/>
      <c r="AS20" s="26"/>
      <c r="AT20" s="29"/>
      <c r="AU20" s="29"/>
      <c r="AV20" s="29"/>
      <c r="AW20" s="29"/>
      <c r="AX20" s="29"/>
      <c r="AY20" s="29"/>
      <c r="AZ20" s="29"/>
      <c r="BA20" s="29"/>
      <c r="BB20" s="29"/>
      <c r="BC20" s="29"/>
      <c r="BD20" s="29"/>
      <c r="BE20" s="29"/>
      <c r="BF20" s="29"/>
      <c r="BG20" s="29"/>
      <c r="BH20" s="29"/>
      <c r="BI20" s="29"/>
    </row>
    <row r="21" spans="1:61" ht="13.5" customHeight="1" thickBot="1">
      <c r="A21" s="91"/>
      <c r="B21" s="45"/>
      <c r="C21" s="128"/>
      <c r="D21" s="129"/>
      <c r="E21" s="129"/>
      <c r="F21" s="129"/>
      <c r="G21" s="129"/>
      <c r="H21" s="129"/>
      <c r="I21" s="129"/>
      <c r="J21" s="129"/>
      <c r="K21" s="130"/>
      <c r="L21" s="191"/>
      <c r="M21" s="1395">
        <v>1999</v>
      </c>
      <c r="N21" s="1278"/>
      <c r="O21" s="73"/>
      <c r="P21" s="73"/>
      <c r="Q21" s="73"/>
      <c r="R21" s="73"/>
      <c r="S21" s="73"/>
      <c r="T21" s="73"/>
      <c r="U21" s="73"/>
      <c r="V21" s="73"/>
      <c r="W21" s="73"/>
      <c r="X21" s="73"/>
      <c r="Y21" s="73"/>
      <c r="Z21" s="65"/>
      <c r="AA21" s="65"/>
      <c r="AB21" s="73"/>
      <c r="AC21" s="73"/>
      <c r="AD21" s="73"/>
      <c r="AE21" s="73"/>
      <c r="AF21" s="73"/>
      <c r="AG21" s="73"/>
      <c r="AH21" s="73"/>
      <c r="AI21" s="73"/>
      <c r="AJ21" s="73"/>
      <c r="AK21" s="73"/>
      <c r="AL21" s="73"/>
      <c r="AM21" s="73"/>
      <c r="AN21" s="73"/>
      <c r="AO21" s="73"/>
      <c r="AP21" s="65"/>
      <c r="AQ21" s="65"/>
    </row>
    <row r="22" spans="1:61" ht="13.5" customHeight="1" thickBot="1">
      <c r="A22" s="91" t="s">
        <v>602</v>
      </c>
      <c r="B22" s="45"/>
      <c r="C22" s="1642" t="s">
        <v>1363</v>
      </c>
      <c r="D22" s="129"/>
      <c r="E22" s="129"/>
      <c r="F22" s="129"/>
      <c r="G22" s="129"/>
      <c r="H22" s="129"/>
      <c r="I22" s="3613" t="s">
        <v>157</v>
      </c>
      <c r="J22" s="3614"/>
      <c r="K22" s="130"/>
      <c r="L22" s="1638">
        <v>0.19</v>
      </c>
      <c r="M22" s="1395">
        <v>2000</v>
      </c>
      <c r="N22" s="1278"/>
      <c r="O22" s="73"/>
      <c r="P22" s="73"/>
      <c r="Q22" s="73"/>
      <c r="R22" s="73"/>
      <c r="S22" s="73"/>
      <c r="T22" s="73"/>
      <c r="U22" s="73"/>
      <c r="V22" s="73"/>
      <c r="W22" s="73"/>
      <c r="X22" s="73"/>
      <c r="Y22" s="73"/>
      <c r="Z22" s="65"/>
      <c r="AA22" s="65"/>
      <c r="AB22" s="73"/>
      <c r="AC22" s="73"/>
      <c r="AD22" s="73"/>
      <c r="AE22" s="73"/>
      <c r="AF22" s="73"/>
      <c r="AG22" s="73"/>
      <c r="AH22" s="73"/>
      <c r="AI22" s="73"/>
      <c r="AJ22" s="73"/>
      <c r="AK22" s="73"/>
      <c r="AL22" s="73"/>
      <c r="AM22" s="73"/>
      <c r="AN22" s="73"/>
      <c r="AO22" s="73"/>
      <c r="AP22" s="65"/>
      <c r="AQ22" s="65"/>
    </row>
    <row r="23" spans="1:61" ht="13.5" customHeight="1">
      <c r="A23" s="91"/>
      <c r="B23" s="45"/>
      <c r="C23" s="128"/>
      <c r="D23" s="129"/>
      <c r="E23" s="129"/>
      <c r="F23" s="129"/>
      <c r="G23" s="129"/>
      <c r="H23" s="129"/>
      <c r="I23" s="129"/>
      <c r="J23" s="129"/>
      <c r="K23" s="130"/>
      <c r="L23" s="191"/>
      <c r="M23" s="1395">
        <v>2001</v>
      </c>
      <c r="N23" s="74"/>
      <c r="O23" s="73"/>
      <c r="P23" s="73"/>
      <c r="Q23" s="73"/>
      <c r="R23" s="73"/>
      <c r="S23" s="73"/>
      <c r="T23" s="73"/>
      <c r="U23" s="73"/>
      <c r="V23" s="73"/>
      <c r="W23" s="73"/>
      <c r="X23" s="73"/>
      <c r="Y23" s="73"/>
      <c r="Z23" s="65"/>
      <c r="AA23" s="65"/>
      <c r="AB23" s="73"/>
      <c r="AC23" s="73"/>
      <c r="AD23" s="73"/>
      <c r="AE23" s="73"/>
      <c r="AF23" s="73"/>
      <c r="AG23" s="73"/>
      <c r="AH23" s="73"/>
      <c r="AI23" s="73"/>
      <c r="AJ23" s="73"/>
      <c r="AK23" s="73"/>
      <c r="AL23" s="73"/>
      <c r="AM23" s="73"/>
      <c r="AN23" s="73"/>
      <c r="AO23" s="73"/>
      <c r="AP23" s="65"/>
      <c r="AQ23" s="65"/>
    </row>
    <row r="24" spans="1:61" ht="13.5" customHeight="1">
      <c r="A24" s="91" t="s">
        <v>1357</v>
      </c>
      <c r="B24" s="45"/>
      <c r="C24" s="128" t="s">
        <v>51</v>
      </c>
      <c r="D24" s="129"/>
      <c r="E24" s="129"/>
      <c r="F24" s="129"/>
      <c r="G24" s="129"/>
      <c r="H24" s="129"/>
      <c r="I24" s="129"/>
      <c r="J24" s="129"/>
      <c r="K24" s="130"/>
      <c r="L24" s="1643">
        <v>1</v>
      </c>
      <c r="M24" s="1395">
        <v>2002</v>
      </c>
      <c r="N24" s="74"/>
      <c r="O24" s="73"/>
      <c r="P24" s="73"/>
      <c r="Q24" s="73"/>
      <c r="R24" s="73"/>
      <c r="S24" s="73"/>
      <c r="T24" s="73"/>
      <c r="U24" s="73"/>
      <c r="V24" s="73"/>
      <c r="W24" s="73"/>
      <c r="X24" s="73"/>
      <c r="Y24" s="73"/>
      <c r="Z24" s="65"/>
      <c r="AA24" s="65"/>
      <c r="AB24" s="73"/>
      <c r="AC24" s="73"/>
      <c r="AD24" s="73"/>
      <c r="AE24" s="73"/>
      <c r="AF24" s="73"/>
      <c r="AG24" s="73"/>
      <c r="AH24" s="73"/>
      <c r="AI24" s="73"/>
      <c r="AJ24" s="73"/>
      <c r="AK24" s="73"/>
      <c r="AL24" s="73"/>
      <c r="AM24" s="73"/>
      <c r="AN24" s="73"/>
      <c r="AO24" s="73"/>
      <c r="AP24" s="65"/>
      <c r="AQ24" s="65"/>
    </row>
    <row r="25" spans="1:61" ht="13.5" customHeight="1">
      <c r="A25" s="91" t="s">
        <v>1358</v>
      </c>
      <c r="B25" s="45"/>
      <c r="C25" s="128" t="s">
        <v>52</v>
      </c>
      <c r="D25" s="129"/>
      <c r="E25" s="129"/>
      <c r="F25" s="129"/>
      <c r="G25" s="129"/>
      <c r="H25" s="129"/>
      <c r="I25" s="129"/>
      <c r="J25" s="129"/>
      <c r="K25" s="130"/>
      <c r="L25" s="1643">
        <v>1</v>
      </c>
      <c r="M25" s="1395">
        <v>2003</v>
      </c>
      <c r="N25" s="74"/>
      <c r="O25" s="73"/>
      <c r="P25" s="73"/>
      <c r="Q25" s="73"/>
      <c r="R25" s="73"/>
      <c r="S25" s="73"/>
      <c r="T25" s="73"/>
      <c r="U25" s="73"/>
      <c r="V25" s="73"/>
      <c r="W25" s="73"/>
      <c r="X25" s="73"/>
      <c r="Y25" s="73"/>
      <c r="Z25" s="65"/>
      <c r="AA25" s="65"/>
      <c r="AB25" s="73"/>
      <c r="AC25" s="73"/>
      <c r="AD25" s="73"/>
      <c r="AE25" s="73"/>
      <c r="AF25" s="73"/>
      <c r="AG25" s="73"/>
      <c r="AH25" s="73"/>
      <c r="AI25" s="73"/>
      <c r="AJ25" s="73"/>
      <c r="AK25" s="73"/>
      <c r="AL25" s="73"/>
      <c r="AM25" s="73"/>
      <c r="AN25" s="73"/>
      <c r="AO25" s="73"/>
      <c r="AP25" s="65"/>
      <c r="AQ25" s="65"/>
    </row>
    <row r="26" spans="1:61" ht="13.5" customHeight="1">
      <c r="A26" s="91"/>
      <c r="B26" s="45"/>
      <c r="C26" s="128"/>
      <c r="D26" s="129"/>
      <c r="E26" s="129"/>
      <c r="F26" s="129"/>
      <c r="G26" s="129"/>
      <c r="H26" s="129"/>
      <c r="I26" s="129"/>
      <c r="J26" s="129"/>
      <c r="K26" s="130"/>
      <c r="L26" s="191"/>
      <c r="M26" s="1395">
        <v>2004</v>
      </c>
      <c r="N26" s="74"/>
      <c r="O26" s="73"/>
      <c r="P26" s="73"/>
      <c r="Q26" s="73"/>
      <c r="R26" s="73"/>
      <c r="S26" s="73"/>
      <c r="T26" s="73"/>
      <c r="U26" s="73"/>
      <c r="V26" s="73"/>
      <c r="W26" s="73"/>
      <c r="X26" s="73"/>
      <c r="Y26" s="73"/>
      <c r="Z26" s="65"/>
      <c r="AA26" s="65"/>
      <c r="AB26" s="73"/>
      <c r="AC26" s="73"/>
      <c r="AD26" s="73"/>
      <c r="AE26" s="73"/>
      <c r="AF26" s="73"/>
      <c r="AG26" s="73"/>
      <c r="AH26" s="73"/>
      <c r="AI26" s="73"/>
      <c r="AJ26" s="73"/>
      <c r="AK26" s="73"/>
      <c r="AL26" s="73"/>
      <c r="AM26" s="73"/>
      <c r="AN26" s="73"/>
      <c r="AO26" s="73"/>
      <c r="AP26" s="65"/>
      <c r="AQ26" s="65"/>
    </row>
    <row r="27" spans="1:61" ht="13.5" customHeight="1">
      <c r="A27" s="91"/>
      <c r="B27" s="45"/>
      <c r="C27" s="128" t="s">
        <v>385</v>
      </c>
      <c r="D27" s="129"/>
      <c r="E27" s="129"/>
      <c r="F27" s="129"/>
      <c r="G27" s="129"/>
      <c r="H27" s="129"/>
      <c r="I27" s="129"/>
      <c r="J27" s="129"/>
      <c r="K27" s="130"/>
      <c r="L27" s="191"/>
      <c r="M27" s="1395">
        <v>2005</v>
      </c>
      <c r="N27" s="74"/>
      <c r="O27" s="73"/>
      <c r="P27" s="73"/>
      <c r="Q27" s="73"/>
      <c r="R27" s="73"/>
      <c r="S27" s="73"/>
      <c r="T27" s="73"/>
      <c r="U27" s="73"/>
      <c r="V27" s="73"/>
      <c r="W27" s="73"/>
      <c r="X27" s="73"/>
      <c r="Y27" s="73"/>
      <c r="Z27" s="65"/>
      <c r="AA27" s="65"/>
      <c r="AB27" s="73"/>
      <c r="AC27" s="73"/>
      <c r="AD27" s="73"/>
      <c r="AE27" s="73"/>
      <c r="AF27" s="73"/>
      <c r="AG27" s="73"/>
      <c r="AH27" s="73"/>
      <c r="AI27" s="73"/>
      <c r="AJ27" s="73"/>
      <c r="AK27" s="73"/>
      <c r="AL27" s="73"/>
      <c r="AM27" s="73"/>
      <c r="AN27" s="73"/>
      <c r="AO27" s="73"/>
      <c r="AP27" s="65"/>
      <c r="AQ27" s="65"/>
    </row>
    <row r="28" spans="1:61" ht="13.5" customHeight="1">
      <c r="A28" s="91"/>
      <c r="B28" s="45"/>
      <c r="C28" s="128" t="s">
        <v>1294</v>
      </c>
      <c r="D28" s="129"/>
      <c r="E28" s="129"/>
      <c r="F28" s="129"/>
      <c r="G28" s="129"/>
      <c r="H28" s="129"/>
      <c r="I28" s="129"/>
      <c r="J28" s="129"/>
      <c r="K28" s="130"/>
      <c r="L28" s="191"/>
      <c r="M28" s="1395">
        <v>2006</v>
      </c>
      <c r="N28" s="74"/>
      <c r="O28" s="73"/>
      <c r="P28" s="73"/>
      <c r="Q28" s="73"/>
      <c r="R28" s="73"/>
      <c r="S28" s="73"/>
      <c r="T28" s="73"/>
      <c r="U28" s="73"/>
      <c r="V28" s="73"/>
      <c r="W28" s="73"/>
      <c r="X28" s="73"/>
      <c r="Y28" s="73"/>
      <c r="Z28" s="65"/>
      <c r="AA28" s="65"/>
      <c r="AB28" s="73"/>
      <c r="AC28" s="73"/>
      <c r="AD28" s="73"/>
      <c r="AE28" s="73"/>
      <c r="AF28" s="73"/>
      <c r="AG28" s="73"/>
      <c r="AH28" s="73"/>
      <c r="AI28" s="73"/>
      <c r="AJ28" s="73"/>
      <c r="AK28" s="73"/>
      <c r="AL28" s="73"/>
      <c r="AM28" s="73"/>
      <c r="AN28" s="73"/>
      <c r="AO28" s="73"/>
      <c r="AP28" s="65"/>
      <c r="AQ28" s="65"/>
    </row>
    <row r="29" spans="1:61" ht="13.5" customHeight="1">
      <c r="A29" s="91"/>
      <c r="B29" s="45"/>
      <c r="C29" s="128"/>
      <c r="D29" s="129"/>
      <c r="E29" s="129"/>
      <c r="F29" s="129"/>
      <c r="G29" s="129"/>
      <c r="H29" s="129"/>
      <c r="I29" s="129"/>
      <c r="J29" s="129"/>
      <c r="K29" s="130"/>
      <c r="L29" s="191"/>
      <c r="M29" s="1395">
        <v>2007</v>
      </c>
      <c r="N29" s="74"/>
      <c r="O29" s="73"/>
      <c r="P29" s="73"/>
      <c r="Q29" s="73"/>
      <c r="R29" s="73"/>
      <c r="S29" s="73"/>
      <c r="T29" s="73"/>
      <c r="U29" s="73"/>
      <c r="V29" s="73"/>
      <c r="W29" s="73"/>
      <c r="X29" s="73"/>
      <c r="Y29" s="73"/>
      <c r="Z29" s="65"/>
      <c r="AA29" s="65"/>
      <c r="AB29" s="73"/>
      <c r="AC29" s="73"/>
      <c r="AD29" s="73"/>
      <c r="AE29" s="73"/>
      <c r="AF29" s="73"/>
      <c r="AG29" s="73"/>
      <c r="AH29" s="73"/>
      <c r="AI29" s="73"/>
      <c r="AJ29" s="73"/>
      <c r="AK29" s="73"/>
      <c r="AL29" s="73"/>
      <c r="AM29" s="73"/>
      <c r="AN29" s="73"/>
      <c r="AO29" s="73"/>
      <c r="AP29" s="65"/>
      <c r="AQ29" s="65"/>
    </row>
    <row r="30" spans="1:61" ht="13.5" customHeight="1">
      <c r="A30" s="91"/>
      <c r="B30" s="45"/>
      <c r="C30" s="128" t="s">
        <v>1181</v>
      </c>
      <c r="D30" s="129"/>
      <c r="E30" s="129"/>
      <c r="F30" s="129"/>
      <c r="G30" s="129"/>
      <c r="H30" s="129"/>
      <c r="I30" s="129"/>
      <c r="J30" s="129"/>
      <c r="K30" s="130"/>
      <c r="L30" s="191"/>
      <c r="M30" s="1395">
        <v>2008</v>
      </c>
      <c r="N30" s="74"/>
      <c r="O30" s="73"/>
      <c r="P30" s="73"/>
      <c r="Q30" s="73"/>
      <c r="R30" s="73"/>
      <c r="S30" s="73"/>
      <c r="T30" s="73"/>
      <c r="U30" s="73"/>
      <c r="V30" s="73"/>
      <c r="W30" s="73"/>
      <c r="X30" s="73"/>
      <c r="Y30" s="73"/>
      <c r="Z30" s="65"/>
      <c r="AA30" s="65"/>
      <c r="AB30" s="73"/>
      <c r="AC30" s="73"/>
      <c r="AD30" s="73"/>
      <c r="AE30" s="73"/>
      <c r="AF30" s="73"/>
      <c r="AG30" s="73"/>
      <c r="AH30" s="73"/>
      <c r="AI30" s="73"/>
      <c r="AJ30" s="73"/>
      <c r="AK30" s="73"/>
      <c r="AL30" s="73"/>
      <c r="AM30" s="73"/>
      <c r="AN30" s="73"/>
      <c r="AO30" s="73"/>
      <c r="AP30" s="65"/>
      <c r="AQ30" s="65"/>
    </row>
    <row r="31" spans="1:61" ht="13.5" customHeight="1">
      <c r="A31" s="91"/>
      <c r="B31" s="45"/>
      <c r="C31" s="128"/>
      <c r="D31" s="129"/>
      <c r="E31" s="129"/>
      <c r="F31" s="129"/>
      <c r="G31" s="129"/>
      <c r="H31" s="129"/>
      <c r="I31" s="129"/>
      <c r="J31" s="129"/>
      <c r="K31" s="130"/>
      <c r="L31" s="191"/>
      <c r="M31" s="1395">
        <v>2009</v>
      </c>
      <c r="N31" s="74"/>
      <c r="O31" s="73"/>
      <c r="P31" s="73"/>
      <c r="Q31" s="73"/>
      <c r="R31" s="73"/>
      <c r="S31" s="73"/>
      <c r="T31" s="73"/>
      <c r="U31" s="73"/>
      <c r="V31" s="73"/>
      <c r="W31" s="73"/>
      <c r="X31" s="73"/>
      <c r="Y31" s="73"/>
      <c r="Z31" s="65"/>
      <c r="AA31" s="65"/>
      <c r="AB31" s="73"/>
      <c r="AC31" s="73"/>
      <c r="AD31" s="73"/>
      <c r="AE31" s="73"/>
      <c r="AF31" s="73"/>
      <c r="AG31" s="73"/>
      <c r="AH31" s="73"/>
      <c r="AI31" s="73"/>
      <c r="AJ31" s="73"/>
      <c r="AK31" s="73"/>
      <c r="AL31" s="73"/>
      <c r="AM31" s="73"/>
      <c r="AN31" s="73"/>
      <c r="AO31" s="73"/>
      <c r="AP31" s="65"/>
      <c r="AQ31" s="65"/>
    </row>
    <row r="32" spans="1:61" ht="13.5" customHeight="1">
      <c r="A32" s="91"/>
      <c r="B32" s="45"/>
      <c r="C32" s="128"/>
      <c r="D32" s="129"/>
      <c r="E32" s="129"/>
      <c r="F32" s="129"/>
      <c r="G32" s="129"/>
      <c r="H32" s="129"/>
      <c r="I32" s="129"/>
      <c r="J32" s="129"/>
      <c r="K32" s="130"/>
      <c r="L32" s="191"/>
      <c r="M32" s="1395">
        <v>2010</v>
      </c>
      <c r="N32" s="74"/>
      <c r="O32" s="73"/>
      <c r="P32" s="73"/>
      <c r="Q32" s="73"/>
      <c r="R32" s="73"/>
      <c r="S32" s="73"/>
      <c r="T32" s="73"/>
      <c r="U32" s="73"/>
      <c r="V32" s="73"/>
      <c r="W32" s="73"/>
      <c r="X32" s="73"/>
      <c r="Y32" s="73"/>
      <c r="Z32" s="65"/>
      <c r="AA32" s="65"/>
      <c r="AB32" s="73"/>
      <c r="AC32" s="73"/>
      <c r="AD32" s="73"/>
      <c r="AE32" s="73"/>
      <c r="AF32" s="73"/>
      <c r="AG32" s="73"/>
      <c r="AH32" s="73"/>
      <c r="AI32" s="73"/>
      <c r="AJ32" s="73"/>
      <c r="AK32" s="73"/>
      <c r="AL32" s="73"/>
      <c r="AM32" s="73"/>
      <c r="AN32" s="73"/>
      <c r="AO32" s="73"/>
      <c r="AP32" s="65"/>
      <c r="AQ32" s="65"/>
    </row>
    <row r="33" spans="1:43" ht="13.5" customHeight="1">
      <c r="A33" s="91"/>
      <c r="B33" s="45"/>
      <c r="C33" s="128"/>
      <c r="D33" s="129"/>
      <c r="E33" s="129"/>
      <c r="F33" s="129"/>
      <c r="G33" s="129"/>
      <c r="H33" s="129"/>
      <c r="I33" s="129"/>
      <c r="J33" s="129"/>
      <c r="K33" s="130"/>
      <c r="L33" s="191"/>
      <c r="M33" s="1395">
        <v>2011</v>
      </c>
      <c r="N33" s="74"/>
      <c r="O33" s="73"/>
      <c r="P33" s="73"/>
      <c r="Q33" s="73"/>
      <c r="R33" s="73"/>
      <c r="S33" s="73"/>
      <c r="T33" s="73"/>
      <c r="U33" s="73"/>
      <c r="V33" s="73"/>
      <c r="W33" s="73"/>
      <c r="X33" s="73"/>
      <c r="Y33" s="73"/>
      <c r="Z33" s="65"/>
      <c r="AA33" s="65"/>
      <c r="AB33" s="73"/>
      <c r="AC33" s="73"/>
      <c r="AD33" s="73"/>
      <c r="AE33" s="73"/>
      <c r="AF33" s="73"/>
      <c r="AG33" s="73"/>
      <c r="AH33" s="73"/>
      <c r="AI33" s="73"/>
      <c r="AJ33" s="73"/>
      <c r="AK33" s="73"/>
      <c r="AL33" s="73"/>
      <c r="AM33" s="73"/>
      <c r="AN33" s="73"/>
      <c r="AO33" s="73"/>
      <c r="AP33" s="65"/>
      <c r="AQ33" s="65"/>
    </row>
    <row r="34" spans="1:43" ht="13.5" customHeight="1">
      <c r="A34" s="91"/>
      <c r="B34" s="45"/>
      <c r="C34" s="128"/>
      <c r="D34" s="129"/>
      <c r="E34" s="129"/>
      <c r="F34" s="129"/>
      <c r="G34" s="129"/>
      <c r="H34" s="129"/>
      <c r="I34" s="129"/>
      <c r="J34" s="129"/>
      <c r="K34" s="130"/>
      <c r="L34" s="191"/>
      <c r="M34" s="1395">
        <v>2012</v>
      </c>
      <c r="N34" s="74"/>
      <c r="O34" s="73"/>
      <c r="P34" s="73"/>
      <c r="Q34" s="73"/>
      <c r="R34" s="73"/>
      <c r="S34" s="73"/>
      <c r="T34" s="73"/>
      <c r="U34" s="73"/>
      <c r="V34" s="73"/>
      <c r="W34" s="73"/>
      <c r="X34" s="73"/>
      <c r="Y34" s="73"/>
      <c r="Z34" s="65"/>
      <c r="AA34" s="65"/>
      <c r="AB34" s="73"/>
      <c r="AC34" s="73"/>
      <c r="AD34" s="73"/>
      <c r="AE34" s="73"/>
      <c r="AF34" s="73"/>
      <c r="AG34" s="73"/>
      <c r="AH34" s="73"/>
      <c r="AI34" s="73"/>
      <c r="AJ34" s="73"/>
      <c r="AK34" s="73"/>
      <c r="AL34" s="73"/>
      <c r="AM34" s="73"/>
      <c r="AN34" s="73"/>
      <c r="AO34" s="73"/>
      <c r="AP34" s="65"/>
      <c r="AQ34" s="65"/>
    </row>
    <row r="35" spans="1:43" ht="13.5" customHeight="1">
      <c r="A35" s="91"/>
      <c r="B35" s="45"/>
      <c r="C35" s="128"/>
      <c r="D35" s="129"/>
      <c r="E35" s="129"/>
      <c r="F35" s="129"/>
      <c r="G35" s="129"/>
      <c r="H35" s="129"/>
      <c r="I35" s="129"/>
      <c r="J35" s="129"/>
      <c r="K35" s="130"/>
      <c r="L35" s="191"/>
      <c r="M35" s="1395">
        <v>2013</v>
      </c>
      <c r="N35" s="74"/>
      <c r="O35" s="73"/>
      <c r="P35" s="73"/>
      <c r="Q35" s="73"/>
      <c r="R35" s="73"/>
      <c r="S35" s="73"/>
      <c r="T35" s="73"/>
      <c r="U35" s="73"/>
      <c r="V35" s="73"/>
      <c r="W35" s="73"/>
      <c r="X35" s="73"/>
      <c r="Y35" s="73"/>
      <c r="Z35" s="65"/>
      <c r="AA35" s="65"/>
      <c r="AB35" s="73"/>
      <c r="AC35" s="73"/>
      <c r="AD35" s="73"/>
      <c r="AE35" s="73"/>
      <c r="AF35" s="73"/>
      <c r="AG35" s="73"/>
      <c r="AH35" s="73"/>
      <c r="AI35" s="73"/>
      <c r="AJ35" s="73"/>
      <c r="AK35" s="73"/>
      <c r="AL35" s="73"/>
      <c r="AM35" s="73"/>
      <c r="AN35" s="73"/>
      <c r="AO35" s="73"/>
      <c r="AP35" s="65"/>
      <c r="AQ35" s="65"/>
    </row>
    <row r="36" spans="1:43" ht="13.5" customHeight="1">
      <c r="A36" s="91"/>
      <c r="B36" s="45"/>
      <c r="C36" s="128"/>
      <c r="D36" s="129"/>
      <c r="E36" s="129"/>
      <c r="F36" s="129"/>
      <c r="G36" s="129"/>
      <c r="H36" s="129"/>
      <c r="I36" s="129"/>
      <c r="J36" s="129"/>
      <c r="K36" s="130"/>
      <c r="L36" s="191"/>
      <c r="M36" s="1395">
        <v>2014</v>
      </c>
      <c r="N36" s="74"/>
      <c r="O36" s="73"/>
      <c r="P36" s="73"/>
      <c r="Q36" s="73"/>
      <c r="R36" s="73"/>
      <c r="S36" s="73"/>
      <c r="T36" s="73"/>
      <c r="U36" s="73"/>
      <c r="V36" s="73"/>
      <c r="W36" s="73"/>
      <c r="X36" s="73"/>
      <c r="Y36" s="73"/>
      <c r="Z36" s="65"/>
      <c r="AA36" s="65"/>
      <c r="AB36" s="73"/>
      <c r="AC36" s="73"/>
      <c r="AD36" s="73"/>
      <c r="AE36" s="73"/>
      <c r="AF36" s="73"/>
      <c r="AG36" s="73"/>
      <c r="AH36" s="73"/>
      <c r="AI36" s="73"/>
      <c r="AJ36" s="73"/>
      <c r="AK36" s="73"/>
      <c r="AL36" s="73"/>
      <c r="AM36" s="73"/>
      <c r="AN36" s="73"/>
      <c r="AO36" s="73"/>
      <c r="AP36" s="65"/>
      <c r="AQ36" s="65"/>
    </row>
    <row r="37" spans="1:43" ht="13.5" customHeight="1">
      <c r="A37" s="91"/>
      <c r="B37" s="45"/>
      <c r="C37" s="128"/>
      <c r="D37" s="129"/>
      <c r="E37" s="129"/>
      <c r="F37" s="129"/>
      <c r="G37" s="129"/>
      <c r="H37" s="129"/>
      <c r="I37" s="129"/>
      <c r="J37" s="129"/>
      <c r="K37" s="130"/>
      <c r="L37" s="191"/>
      <c r="M37" s="1395">
        <v>2015</v>
      </c>
      <c r="N37" s="74"/>
      <c r="O37" s="73"/>
      <c r="P37" s="73"/>
      <c r="Q37" s="73"/>
      <c r="R37" s="73"/>
      <c r="S37" s="73"/>
      <c r="T37" s="73"/>
      <c r="U37" s="73"/>
      <c r="V37" s="73"/>
      <c r="W37" s="73"/>
      <c r="X37" s="73"/>
      <c r="Y37" s="73"/>
      <c r="Z37" s="65"/>
      <c r="AA37" s="65"/>
      <c r="AB37" s="73"/>
      <c r="AC37" s="73"/>
      <c r="AD37" s="73"/>
      <c r="AE37" s="73"/>
      <c r="AF37" s="73"/>
      <c r="AG37" s="73"/>
      <c r="AH37" s="73"/>
      <c r="AI37" s="73"/>
      <c r="AJ37" s="73"/>
      <c r="AK37" s="73"/>
      <c r="AL37" s="73"/>
      <c r="AM37" s="73"/>
      <c r="AN37" s="73"/>
      <c r="AO37" s="73"/>
      <c r="AP37" s="65"/>
      <c r="AQ37" s="65"/>
    </row>
    <row r="38" spans="1:43" ht="13.5" customHeight="1">
      <c r="A38" s="91"/>
      <c r="B38" s="45"/>
      <c r="C38" s="128"/>
      <c r="D38" s="129"/>
      <c r="E38" s="129"/>
      <c r="F38" s="129"/>
      <c r="G38" s="129"/>
      <c r="H38" s="129"/>
      <c r="I38" s="129"/>
      <c r="J38" s="129"/>
      <c r="K38" s="130"/>
      <c r="L38" s="191"/>
      <c r="M38" s="1395">
        <v>2016</v>
      </c>
      <c r="N38" s="74"/>
      <c r="O38" s="73"/>
      <c r="P38" s="73"/>
      <c r="Q38" s="73"/>
      <c r="R38" s="73"/>
      <c r="S38" s="73"/>
      <c r="T38" s="73"/>
      <c r="U38" s="73"/>
      <c r="V38" s="73"/>
      <c r="W38" s="73"/>
      <c r="X38" s="73"/>
      <c r="Y38" s="73"/>
      <c r="Z38" s="65"/>
      <c r="AA38" s="65"/>
      <c r="AB38" s="73"/>
      <c r="AC38" s="73"/>
      <c r="AD38" s="73"/>
      <c r="AE38" s="73"/>
      <c r="AF38" s="73"/>
      <c r="AG38" s="73"/>
      <c r="AH38" s="73"/>
      <c r="AI38" s="73"/>
      <c r="AJ38" s="73"/>
      <c r="AK38" s="73"/>
      <c r="AL38" s="73"/>
      <c r="AM38" s="73"/>
      <c r="AN38" s="73"/>
      <c r="AO38" s="73"/>
      <c r="AP38" s="65"/>
      <c r="AQ38" s="65"/>
    </row>
    <row r="39" spans="1:43" ht="13.5" customHeight="1">
      <c r="A39" s="91"/>
      <c r="B39" s="45"/>
      <c r="C39" s="128"/>
      <c r="D39" s="129"/>
      <c r="E39" s="129"/>
      <c r="F39" s="129"/>
      <c r="G39" s="129"/>
      <c r="H39" s="129"/>
      <c r="I39" s="129"/>
      <c r="J39" s="129"/>
      <c r="K39" s="130"/>
      <c r="L39" s="191"/>
      <c r="M39" s="1395">
        <v>2017</v>
      </c>
      <c r="N39" s="74"/>
      <c r="O39" s="73"/>
      <c r="P39" s="73"/>
      <c r="Q39" s="73"/>
      <c r="R39" s="73"/>
      <c r="S39" s="73"/>
      <c r="T39" s="73"/>
      <c r="U39" s="73"/>
      <c r="V39" s="73"/>
      <c r="W39" s="73"/>
      <c r="X39" s="73"/>
      <c r="Y39" s="73"/>
      <c r="Z39" s="65"/>
      <c r="AA39" s="65"/>
      <c r="AB39" s="73"/>
      <c r="AC39" s="73"/>
      <c r="AD39" s="73"/>
      <c r="AE39" s="73"/>
      <c r="AF39" s="73"/>
      <c r="AG39" s="73"/>
      <c r="AH39" s="73"/>
      <c r="AI39" s="73"/>
      <c r="AJ39" s="73"/>
      <c r="AK39" s="73"/>
      <c r="AL39" s="73"/>
      <c r="AM39" s="73"/>
      <c r="AN39" s="73"/>
      <c r="AO39" s="73"/>
      <c r="AP39" s="65"/>
      <c r="AQ39" s="65"/>
    </row>
    <row r="40" spans="1:43" ht="13.5" customHeight="1">
      <c r="A40" s="91"/>
      <c r="B40" s="45"/>
      <c r="C40" s="128"/>
      <c r="D40" s="129"/>
      <c r="E40" s="129"/>
      <c r="F40" s="129"/>
      <c r="G40" s="129"/>
      <c r="H40" s="129"/>
      <c r="I40" s="129"/>
      <c r="J40" s="129"/>
      <c r="K40" s="130"/>
      <c r="L40" s="191"/>
      <c r="M40" s="1395">
        <v>2018</v>
      </c>
      <c r="N40" s="74"/>
      <c r="O40" s="73"/>
      <c r="P40" s="73"/>
      <c r="Q40" s="73"/>
      <c r="R40" s="73"/>
      <c r="S40" s="73"/>
      <c r="T40" s="73"/>
      <c r="U40" s="73"/>
      <c r="V40" s="73"/>
      <c r="W40" s="73"/>
      <c r="X40" s="73"/>
      <c r="Y40" s="73"/>
      <c r="Z40" s="65"/>
      <c r="AA40" s="65"/>
      <c r="AB40" s="73"/>
      <c r="AC40" s="73"/>
      <c r="AD40" s="73"/>
      <c r="AE40" s="73"/>
      <c r="AF40" s="73"/>
      <c r="AG40" s="73"/>
      <c r="AH40" s="73"/>
      <c r="AI40" s="73"/>
      <c r="AJ40" s="73"/>
      <c r="AK40" s="73"/>
      <c r="AL40" s="73"/>
      <c r="AM40" s="73"/>
      <c r="AN40" s="73"/>
      <c r="AO40" s="73"/>
      <c r="AP40" s="65"/>
      <c r="AQ40" s="65"/>
    </row>
    <row r="41" spans="1:43" ht="13.5" customHeight="1">
      <c r="A41" s="91"/>
      <c r="B41" s="45"/>
      <c r="C41" s="128"/>
      <c r="D41" s="129"/>
      <c r="E41" s="129"/>
      <c r="F41" s="129"/>
      <c r="G41" s="129"/>
      <c r="H41" s="129"/>
      <c r="I41" s="129"/>
      <c r="J41" s="129"/>
      <c r="K41" s="130"/>
      <c r="L41" s="191"/>
      <c r="M41" s="1395">
        <v>2019</v>
      </c>
      <c r="N41" s="74"/>
      <c r="O41" s="73"/>
      <c r="P41" s="73"/>
      <c r="Q41" s="73"/>
      <c r="R41" s="73"/>
      <c r="S41" s="73"/>
      <c r="T41" s="73"/>
      <c r="U41" s="73"/>
      <c r="V41" s="73"/>
      <c r="W41" s="73"/>
      <c r="X41" s="73"/>
      <c r="Y41" s="73"/>
      <c r="Z41" s="65"/>
      <c r="AA41" s="65"/>
      <c r="AB41" s="73"/>
      <c r="AC41" s="73"/>
      <c r="AD41" s="73"/>
      <c r="AE41" s="73"/>
      <c r="AF41" s="73"/>
      <c r="AG41" s="73"/>
      <c r="AH41" s="73"/>
      <c r="AI41" s="73"/>
      <c r="AJ41" s="73"/>
      <c r="AK41" s="73"/>
      <c r="AL41" s="73"/>
      <c r="AM41" s="73"/>
      <c r="AN41" s="73"/>
      <c r="AO41" s="73"/>
      <c r="AP41" s="65"/>
      <c r="AQ41" s="65"/>
    </row>
    <row r="42" spans="1:43" ht="13.5" customHeight="1">
      <c r="A42" s="91"/>
      <c r="B42" s="45"/>
      <c r="C42" s="128"/>
      <c r="D42" s="129"/>
      <c r="E42" s="129"/>
      <c r="F42" s="129"/>
      <c r="G42" s="129"/>
      <c r="H42" s="129"/>
      <c r="I42" s="129"/>
      <c r="J42" s="129"/>
      <c r="K42" s="130"/>
      <c r="L42" s="191"/>
      <c r="M42" s="1395">
        <v>2020</v>
      </c>
      <c r="N42" s="74"/>
      <c r="O42" s="73"/>
      <c r="P42" s="73"/>
      <c r="Q42" s="73"/>
      <c r="R42" s="73"/>
      <c r="S42" s="73"/>
      <c r="T42" s="73"/>
      <c r="U42" s="73"/>
      <c r="V42" s="73"/>
      <c r="W42" s="73"/>
      <c r="X42" s="73"/>
      <c r="Y42" s="73"/>
      <c r="Z42" s="65"/>
      <c r="AA42" s="65"/>
      <c r="AB42" s="73"/>
      <c r="AC42" s="73"/>
      <c r="AD42" s="73"/>
      <c r="AE42" s="73"/>
      <c r="AF42" s="73"/>
      <c r="AG42" s="73"/>
      <c r="AH42" s="73"/>
      <c r="AI42" s="73"/>
      <c r="AJ42" s="73"/>
      <c r="AK42" s="73"/>
      <c r="AL42" s="73"/>
      <c r="AM42" s="73"/>
      <c r="AN42" s="73"/>
      <c r="AO42" s="73"/>
      <c r="AP42" s="65"/>
      <c r="AQ42" s="65"/>
    </row>
    <row r="43" spans="1:43" ht="13.5" customHeight="1">
      <c r="A43" s="91"/>
      <c r="B43" s="45"/>
      <c r="C43" s="128"/>
      <c r="D43" s="129"/>
      <c r="E43" s="129"/>
      <c r="F43" s="129"/>
      <c r="G43" s="129"/>
      <c r="H43" s="129"/>
      <c r="I43" s="129"/>
      <c r="J43" s="129"/>
      <c r="K43" s="130"/>
      <c r="L43" s="191"/>
      <c r="M43" s="1395">
        <v>2021</v>
      </c>
      <c r="N43" s="74"/>
      <c r="O43" s="73"/>
      <c r="P43" s="73"/>
      <c r="Q43" s="73"/>
      <c r="R43" s="73"/>
      <c r="S43" s="73"/>
      <c r="T43" s="73"/>
      <c r="U43" s="73"/>
      <c r="V43" s="73"/>
      <c r="W43" s="73"/>
      <c r="X43" s="73"/>
      <c r="Y43" s="73"/>
      <c r="Z43" s="65"/>
      <c r="AA43" s="65"/>
      <c r="AB43" s="73"/>
      <c r="AC43" s="73"/>
      <c r="AD43" s="73"/>
      <c r="AE43" s="73"/>
      <c r="AF43" s="73"/>
      <c r="AG43" s="73"/>
      <c r="AH43" s="73"/>
      <c r="AI43" s="73"/>
      <c r="AJ43" s="73"/>
      <c r="AK43" s="73"/>
      <c r="AL43" s="73"/>
      <c r="AM43" s="73"/>
      <c r="AN43" s="73"/>
      <c r="AO43" s="73"/>
      <c r="AP43" s="65"/>
      <c r="AQ43" s="65"/>
    </row>
    <row r="44" spans="1:43" ht="13.5" customHeight="1">
      <c r="A44" s="91"/>
      <c r="B44" s="45"/>
      <c r="C44" s="128"/>
      <c r="D44" s="129"/>
      <c r="E44" s="129"/>
      <c r="F44" s="129"/>
      <c r="G44" s="129"/>
      <c r="H44" s="129"/>
      <c r="I44" s="129"/>
      <c r="J44" s="129"/>
      <c r="K44" s="130"/>
      <c r="L44" s="191"/>
      <c r="M44" s="1395">
        <v>2022</v>
      </c>
      <c r="N44" s="74"/>
      <c r="O44" s="73"/>
      <c r="P44" s="73"/>
      <c r="Q44" s="73"/>
      <c r="R44" s="73"/>
      <c r="S44" s="73"/>
      <c r="T44" s="73"/>
      <c r="U44" s="73"/>
      <c r="V44" s="73"/>
      <c r="W44" s="73"/>
      <c r="X44" s="73"/>
      <c r="Y44" s="73"/>
      <c r="Z44" s="65"/>
      <c r="AA44" s="65"/>
      <c r="AB44" s="73"/>
      <c r="AC44" s="73"/>
      <c r="AD44" s="73"/>
      <c r="AE44" s="73"/>
      <c r="AF44" s="73"/>
      <c r="AG44" s="73"/>
      <c r="AH44" s="73"/>
      <c r="AI44" s="73"/>
      <c r="AJ44" s="73"/>
      <c r="AK44" s="73"/>
      <c r="AL44" s="73"/>
      <c r="AM44" s="73"/>
      <c r="AN44" s="73"/>
      <c r="AO44" s="73"/>
      <c r="AP44" s="65"/>
      <c r="AQ44" s="65"/>
    </row>
    <row r="45" spans="1:43" ht="13.5" customHeight="1">
      <c r="A45" s="91"/>
      <c r="B45" s="45"/>
      <c r="C45" s="128"/>
      <c r="D45" s="129"/>
      <c r="E45" s="129"/>
      <c r="F45" s="129"/>
      <c r="G45" s="129"/>
      <c r="H45" s="129"/>
      <c r="I45" s="129"/>
      <c r="J45" s="129"/>
      <c r="K45" s="130"/>
      <c r="L45" s="191"/>
      <c r="M45" s="1395">
        <v>2023</v>
      </c>
      <c r="N45" s="74"/>
      <c r="O45" s="73"/>
      <c r="P45" s="73"/>
      <c r="Q45" s="73"/>
      <c r="R45" s="73"/>
      <c r="S45" s="73"/>
      <c r="T45" s="73"/>
      <c r="U45" s="73"/>
      <c r="V45" s="73"/>
      <c r="W45" s="73"/>
      <c r="X45" s="73"/>
      <c r="Y45" s="73"/>
      <c r="Z45" s="65"/>
      <c r="AA45" s="65"/>
      <c r="AB45" s="73"/>
      <c r="AC45" s="73"/>
      <c r="AD45" s="73"/>
      <c r="AE45" s="73"/>
      <c r="AF45" s="73"/>
      <c r="AG45" s="73"/>
      <c r="AH45" s="73"/>
      <c r="AI45" s="73"/>
      <c r="AJ45" s="73"/>
      <c r="AK45" s="73"/>
      <c r="AL45" s="73"/>
      <c r="AM45" s="73"/>
      <c r="AN45" s="73"/>
      <c r="AO45" s="73"/>
      <c r="AP45" s="65"/>
      <c r="AQ45" s="65"/>
    </row>
    <row r="46" spans="1:43" ht="13.5" customHeight="1">
      <c r="A46" s="91"/>
      <c r="B46" s="45"/>
      <c r="C46" s="128"/>
      <c r="D46" s="129"/>
      <c r="E46" s="129"/>
      <c r="F46" s="129"/>
      <c r="G46" s="129"/>
      <c r="H46" s="129"/>
      <c r="I46" s="129"/>
      <c r="J46" s="129"/>
      <c r="K46" s="130"/>
      <c r="L46" s="191"/>
      <c r="M46" s="1395">
        <v>2024</v>
      </c>
      <c r="N46" s="74"/>
      <c r="O46" s="73"/>
      <c r="P46" s="73"/>
      <c r="Q46" s="73"/>
      <c r="R46" s="73"/>
      <c r="S46" s="73"/>
      <c r="T46" s="73"/>
      <c r="U46" s="73"/>
      <c r="V46" s="73"/>
      <c r="W46" s="73"/>
      <c r="X46" s="73"/>
      <c r="Y46" s="73"/>
      <c r="Z46" s="65"/>
      <c r="AA46" s="65"/>
      <c r="AB46" s="73"/>
      <c r="AC46" s="73"/>
      <c r="AD46" s="73"/>
      <c r="AE46" s="73"/>
      <c r="AF46" s="73"/>
      <c r="AG46" s="73"/>
      <c r="AH46" s="73"/>
      <c r="AI46" s="73"/>
      <c r="AJ46" s="73"/>
      <c r="AK46" s="73"/>
      <c r="AL46" s="73"/>
      <c r="AM46" s="73"/>
      <c r="AN46" s="73"/>
      <c r="AO46" s="73"/>
      <c r="AP46" s="65"/>
      <c r="AQ46" s="65"/>
    </row>
    <row r="47" spans="1:43" ht="13.5" customHeight="1">
      <c r="A47" s="91"/>
      <c r="B47" s="45"/>
      <c r="C47" s="128"/>
      <c r="D47" s="129"/>
      <c r="E47" s="129"/>
      <c r="F47" s="129"/>
      <c r="G47" s="129"/>
      <c r="H47" s="129"/>
      <c r="I47" s="129"/>
      <c r="J47" s="129"/>
      <c r="K47" s="130"/>
      <c r="L47" s="191"/>
      <c r="M47" s="1395">
        <v>2025</v>
      </c>
      <c r="N47" s="74"/>
      <c r="O47" s="73"/>
      <c r="P47" s="73"/>
      <c r="Q47" s="73"/>
      <c r="R47" s="73"/>
      <c r="S47" s="73"/>
      <c r="T47" s="73"/>
      <c r="U47" s="73"/>
      <c r="V47" s="73"/>
      <c r="W47" s="73"/>
      <c r="X47" s="73"/>
      <c r="Y47" s="73"/>
      <c r="Z47" s="65"/>
      <c r="AA47" s="65"/>
      <c r="AB47" s="73"/>
      <c r="AC47" s="73"/>
      <c r="AD47" s="73"/>
      <c r="AE47" s="73"/>
      <c r="AF47" s="73"/>
      <c r="AG47" s="73"/>
      <c r="AH47" s="73"/>
      <c r="AI47" s="73"/>
      <c r="AJ47" s="73"/>
      <c r="AK47" s="73"/>
      <c r="AL47" s="73"/>
      <c r="AM47" s="73"/>
      <c r="AN47" s="73"/>
      <c r="AO47" s="73"/>
      <c r="AP47" s="65"/>
      <c r="AQ47" s="65"/>
    </row>
    <row r="48" spans="1:43" ht="13.5" customHeight="1">
      <c r="A48" s="91"/>
      <c r="B48" s="45"/>
      <c r="C48" s="128"/>
      <c r="D48" s="129"/>
      <c r="E48" s="129"/>
      <c r="F48" s="129"/>
      <c r="G48" s="129"/>
      <c r="H48" s="129"/>
      <c r="I48" s="129"/>
      <c r="J48" s="129"/>
      <c r="K48" s="130"/>
      <c r="L48" s="191"/>
      <c r="M48" s="1395">
        <v>2026</v>
      </c>
      <c r="N48" s="74"/>
      <c r="O48" s="73"/>
      <c r="P48" s="73"/>
      <c r="Q48" s="73"/>
      <c r="R48" s="73"/>
      <c r="S48" s="73"/>
      <c r="T48" s="73"/>
      <c r="U48" s="73"/>
      <c r="V48" s="73"/>
      <c r="W48" s="73"/>
      <c r="X48" s="73"/>
      <c r="Y48" s="73"/>
      <c r="Z48" s="65"/>
      <c r="AA48" s="65"/>
      <c r="AB48" s="73"/>
      <c r="AC48" s="73"/>
      <c r="AD48" s="73"/>
      <c r="AE48" s="73"/>
      <c r="AF48" s="73"/>
      <c r="AG48" s="73"/>
      <c r="AH48" s="73"/>
      <c r="AI48" s="73"/>
      <c r="AJ48" s="73"/>
      <c r="AK48" s="73"/>
      <c r="AL48" s="73"/>
      <c r="AM48" s="73"/>
      <c r="AN48" s="73"/>
      <c r="AO48" s="73"/>
      <c r="AP48" s="65"/>
      <c r="AQ48" s="65"/>
    </row>
    <row r="49" spans="1:43" ht="13.5" customHeight="1">
      <c r="A49" s="91"/>
      <c r="B49" s="45"/>
      <c r="C49" s="128"/>
      <c r="D49" s="129"/>
      <c r="E49" s="129"/>
      <c r="F49" s="129"/>
      <c r="G49" s="129"/>
      <c r="H49" s="129"/>
      <c r="I49" s="129"/>
      <c r="J49" s="129"/>
      <c r="K49" s="130"/>
      <c r="L49" s="191"/>
      <c r="M49" s="1395">
        <v>2027</v>
      </c>
      <c r="N49" s="74"/>
      <c r="O49" s="73"/>
      <c r="P49" s="73"/>
      <c r="Q49" s="73"/>
      <c r="R49" s="73"/>
      <c r="S49" s="73"/>
      <c r="T49" s="73"/>
      <c r="U49" s="73"/>
      <c r="V49" s="73"/>
      <c r="W49" s="73"/>
      <c r="X49" s="73"/>
      <c r="Y49" s="73"/>
      <c r="Z49" s="65"/>
      <c r="AA49" s="65"/>
      <c r="AB49" s="73"/>
      <c r="AC49" s="73"/>
      <c r="AD49" s="73"/>
      <c r="AE49" s="73"/>
      <c r="AF49" s="73"/>
      <c r="AG49" s="73"/>
      <c r="AH49" s="73"/>
      <c r="AI49" s="73"/>
      <c r="AJ49" s="73"/>
      <c r="AK49" s="73"/>
      <c r="AL49" s="73"/>
      <c r="AM49" s="73"/>
      <c r="AN49" s="73"/>
      <c r="AO49" s="73"/>
      <c r="AP49" s="65"/>
      <c r="AQ49" s="65"/>
    </row>
    <row r="50" spans="1:43" ht="13.5" customHeight="1">
      <c r="A50" s="91"/>
      <c r="B50" s="45"/>
      <c r="C50" s="128"/>
      <c r="D50" s="129"/>
      <c r="E50" s="129"/>
      <c r="F50" s="129"/>
      <c r="G50" s="129"/>
      <c r="H50" s="129"/>
      <c r="I50" s="129"/>
      <c r="J50" s="129"/>
      <c r="K50" s="130"/>
      <c r="L50" s="191"/>
      <c r="M50" s="1395">
        <v>2028</v>
      </c>
      <c r="N50" s="74"/>
      <c r="O50" s="73"/>
      <c r="P50" s="73"/>
      <c r="Q50" s="73"/>
      <c r="R50" s="73"/>
      <c r="S50" s="73"/>
      <c r="T50" s="73"/>
      <c r="U50" s="73"/>
      <c r="V50" s="73"/>
      <c r="W50" s="73"/>
      <c r="X50" s="73"/>
      <c r="Y50" s="73"/>
      <c r="Z50" s="65"/>
      <c r="AA50" s="65"/>
      <c r="AB50" s="73"/>
      <c r="AC50" s="73"/>
      <c r="AD50" s="73"/>
      <c r="AE50" s="73"/>
      <c r="AF50" s="73"/>
      <c r="AG50" s="73"/>
      <c r="AH50" s="73"/>
      <c r="AI50" s="73"/>
      <c r="AJ50" s="73"/>
      <c r="AK50" s="73"/>
      <c r="AL50" s="73"/>
      <c r="AM50" s="73"/>
      <c r="AN50" s="73"/>
      <c r="AO50" s="73"/>
      <c r="AP50" s="65"/>
      <c r="AQ50" s="65"/>
    </row>
    <row r="51" spans="1:43" ht="13.5" customHeight="1">
      <c r="A51" s="91"/>
      <c r="B51" s="45"/>
      <c r="C51" s="128"/>
      <c r="D51" s="129"/>
      <c r="E51" s="129"/>
      <c r="F51" s="129"/>
      <c r="G51" s="129"/>
      <c r="H51" s="129"/>
      <c r="I51" s="129"/>
      <c r="J51" s="129"/>
      <c r="K51" s="130"/>
      <c r="L51" s="191"/>
      <c r="M51" s="1395">
        <v>2029</v>
      </c>
      <c r="N51" s="74"/>
      <c r="O51" s="73"/>
      <c r="P51" s="73"/>
      <c r="Q51" s="73"/>
      <c r="R51" s="73"/>
      <c r="S51" s="73"/>
      <c r="T51" s="73"/>
      <c r="U51" s="73"/>
      <c r="V51" s="73"/>
      <c r="W51" s="73"/>
      <c r="X51" s="73"/>
      <c r="Y51" s="73"/>
      <c r="Z51" s="65"/>
      <c r="AA51" s="65"/>
      <c r="AB51" s="73"/>
      <c r="AC51" s="73"/>
      <c r="AD51" s="73"/>
      <c r="AE51" s="73"/>
      <c r="AF51" s="73"/>
      <c r="AG51" s="73"/>
      <c r="AH51" s="73"/>
      <c r="AI51" s="73"/>
      <c r="AJ51" s="73"/>
      <c r="AK51" s="73"/>
      <c r="AL51" s="73"/>
      <c r="AM51" s="73"/>
      <c r="AN51" s="73"/>
      <c r="AO51" s="73"/>
      <c r="AP51" s="65"/>
      <c r="AQ51" s="65"/>
    </row>
    <row r="52" spans="1:43" ht="13.5" customHeight="1">
      <c r="A52" s="91"/>
      <c r="B52" s="45"/>
      <c r="C52" s="128"/>
      <c r="D52" s="129"/>
      <c r="E52" s="129"/>
      <c r="F52" s="129"/>
      <c r="G52" s="129"/>
      <c r="H52" s="129"/>
      <c r="I52" s="129"/>
      <c r="J52" s="129"/>
      <c r="K52" s="130"/>
      <c r="L52" s="191"/>
      <c r="M52" s="1395">
        <v>2030</v>
      </c>
      <c r="N52" s="74"/>
      <c r="O52" s="73"/>
      <c r="P52" s="73"/>
      <c r="Q52" s="73"/>
      <c r="R52" s="73"/>
      <c r="S52" s="73"/>
      <c r="T52" s="73"/>
      <c r="U52" s="73"/>
      <c r="V52" s="73"/>
      <c r="W52" s="73"/>
      <c r="X52" s="73"/>
      <c r="Y52" s="73"/>
      <c r="Z52" s="65"/>
      <c r="AA52" s="65"/>
      <c r="AB52" s="73"/>
      <c r="AC52" s="73"/>
      <c r="AD52" s="73"/>
      <c r="AE52" s="73"/>
      <c r="AF52" s="73"/>
      <c r="AG52" s="73"/>
      <c r="AH52" s="73"/>
      <c r="AI52" s="73"/>
      <c r="AJ52" s="73"/>
      <c r="AK52" s="73"/>
      <c r="AL52" s="73"/>
      <c r="AM52" s="73"/>
      <c r="AN52" s="73"/>
      <c r="AO52" s="73"/>
      <c r="AP52" s="65"/>
      <c r="AQ52" s="65"/>
    </row>
    <row r="53" spans="1:43" ht="13.5" customHeight="1">
      <c r="A53" s="91"/>
      <c r="B53" s="45"/>
      <c r="C53" s="128"/>
      <c r="D53" s="129"/>
      <c r="E53" s="129"/>
      <c r="F53" s="129"/>
      <c r="G53" s="129"/>
      <c r="H53" s="129"/>
      <c r="I53" s="129"/>
      <c r="J53" s="129"/>
      <c r="K53" s="130"/>
      <c r="L53" s="191"/>
      <c r="M53" s="1395">
        <v>2031</v>
      </c>
      <c r="N53" s="74"/>
      <c r="O53" s="73"/>
      <c r="P53" s="73"/>
      <c r="Q53" s="73"/>
      <c r="R53" s="73"/>
      <c r="S53" s="73"/>
      <c r="T53" s="73"/>
      <c r="U53" s="73"/>
      <c r="V53" s="73"/>
      <c r="W53" s="73"/>
      <c r="X53" s="73"/>
      <c r="Y53" s="73"/>
      <c r="Z53" s="65"/>
      <c r="AA53" s="65"/>
      <c r="AB53" s="73"/>
      <c r="AC53" s="73"/>
      <c r="AD53" s="73"/>
      <c r="AE53" s="73"/>
      <c r="AF53" s="73"/>
      <c r="AG53" s="73"/>
      <c r="AH53" s="73"/>
      <c r="AI53" s="73"/>
      <c r="AJ53" s="73"/>
      <c r="AK53" s="73"/>
      <c r="AL53" s="73"/>
      <c r="AM53" s="73"/>
      <c r="AN53" s="73"/>
      <c r="AO53" s="73"/>
      <c r="AP53" s="65"/>
      <c r="AQ53" s="65"/>
    </row>
    <row r="54" spans="1:43" ht="13.5" customHeight="1">
      <c r="A54" s="91"/>
      <c r="B54" s="45"/>
      <c r="C54" s="128"/>
      <c r="D54" s="129"/>
      <c r="E54" s="129"/>
      <c r="F54" s="129"/>
      <c r="G54" s="129"/>
      <c r="H54" s="129"/>
      <c r="I54" s="129"/>
      <c r="J54" s="129"/>
      <c r="K54" s="130"/>
      <c r="L54" s="191"/>
      <c r="M54" s="1395">
        <v>2032</v>
      </c>
      <c r="N54" s="74"/>
      <c r="O54" s="73"/>
      <c r="P54" s="73"/>
      <c r="Q54" s="73"/>
      <c r="R54" s="73"/>
      <c r="S54" s="73"/>
      <c r="T54" s="73"/>
      <c r="U54" s="73"/>
      <c r="V54" s="73"/>
      <c r="W54" s="73"/>
      <c r="X54" s="73"/>
      <c r="Y54" s="73"/>
      <c r="Z54" s="65"/>
      <c r="AA54" s="65"/>
      <c r="AB54" s="73"/>
      <c r="AC54" s="73"/>
      <c r="AD54" s="73"/>
      <c r="AE54" s="73"/>
      <c r="AF54" s="73"/>
      <c r="AG54" s="73"/>
      <c r="AH54" s="73"/>
      <c r="AI54" s="73"/>
      <c r="AJ54" s="73"/>
      <c r="AK54" s="73"/>
      <c r="AL54" s="73"/>
      <c r="AM54" s="73"/>
      <c r="AN54" s="73"/>
      <c r="AO54" s="73"/>
      <c r="AP54" s="65"/>
      <c r="AQ54" s="65"/>
    </row>
    <row r="55" spans="1:43" ht="13.5" customHeight="1">
      <c r="A55" s="91"/>
      <c r="B55" s="45"/>
      <c r="C55" s="128"/>
      <c r="D55" s="129"/>
      <c r="E55" s="129"/>
      <c r="F55" s="129"/>
      <c r="G55" s="129"/>
      <c r="H55" s="129"/>
      <c r="I55" s="129"/>
      <c r="J55" s="129"/>
      <c r="K55" s="130"/>
      <c r="L55" s="191"/>
      <c r="M55" s="1395">
        <v>2033</v>
      </c>
      <c r="N55" s="74"/>
      <c r="O55" s="73"/>
      <c r="P55" s="73"/>
      <c r="Q55" s="73"/>
      <c r="R55" s="73"/>
      <c r="S55" s="73"/>
      <c r="T55" s="73"/>
      <c r="U55" s="73"/>
      <c r="V55" s="73"/>
      <c r="W55" s="73"/>
      <c r="X55" s="73"/>
      <c r="Y55" s="73"/>
      <c r="Z55" s="65"/>
      <c r="AA55" s="65"/>
      <c r="AB55" s="73"/>
      <c r="AC55" s="73"/>
      <c r="AD55" s="73"/>
      <c r="AE55" s="73"/>
      <c r="AF55" s="73"/>
      <c r="AG55" s="73"/>
      <c r="AH55" s="73"/>
      <c r="AI55" s="73"/>
      <c r="AJ55" s="73"/>
      <c r="AK55" s="73"/>
      <c r="AL55" s="73"/>
      <c r="AM55" s="73"/>
      <c r="AN55" s="73"/>
      <c r="AO55" s="73"/>
      <c r="AP55" s="65"/>
      <c r="AQ55" s="65"/>
    </row>
    <row r="56" spans="1:43" ht="13.5" customHeight="1">
      <c r="A56" s="91"/>
      <c r="B56" s="45"/>
      <c r="C56" s="128"/>
      <c r="D56" s="129"/>
      <c r="E56" s="129"/>
      <c r="F56" s="129"/>
      <c r="G56" s="129"/>
      <c r="H56" s="129"/>
      <c r="I56" s="129"/>
      <c r="J56" s="129"/>
      <c r="K56" s="130"/>
      <c r="L56" s="191"/>
      <c r="M56" s="1395">
        <v>2034</v>
      </c>
      <c r="N56" s="74"/>
      <c r="O56" s="73"/>
      <c r="P56" s="73"/>
      <c r="Q56" s="73"/>
      <c r="R56" s="73"/>
      <c r="S56" s="73"/>
      <c r="T56" s="73"/>
      <c r="U56" s="73"/>
      <c r="V56" s="73"/>
      <c r="W56" s="73"/>
      <c r="X56" s="73"/>
      <c r="Y56" s="73"/>
      <c r="Z56" s="65"/>
      <c r="AA56" s="65"/>
      <c r="AB56" s="73"/>
      <c r="AC56" s="73"/>
      <c r="AD56" s="73"/>
      <c r="AE56" s="73"/>
      <c r="AF56" s="73"/>
      <c r="AG56" s="73"/>
      <c r="AH56" s="73"/>
      <c r="AI56" s="73"/>
      <c r="AJ56" s="73"/>
      <c r="AK56" s="73"/>
      <c r="AL56" s="73"/>
      <c r="AM56" s="73"/>
      <c r="AN56" s="73"/>
      <c r="AO56" s="73"/>
      <c r="AP56" s="65"/>
      <c r="AQ56" s="65"/>
    </row>
    <row r="57" spans="1:43" ht="13.5" customHeight="1">
      <c r="A57" s="91"/>
      <c r="B57" s="45"/>
      <c r="C57" s="128"/>
      <c r="D57" s="129"/>
      <c r="E57" s="129"/>
      <c r="F57" s="129"/>
      <c r="G57" s="129"/>
      <c r="H57" s="129"/>
      <c r="I57" s="129"/>
      <c r="J57" s="129"/>
      <c r="K57" s="130"/>
      <c r="L57" s="191"/>
      <c r="M57" s="1395">
        <v>2035</v>
      </c>
      <c r="N57" s="74"/>
      <c r="O57" s="73"/>
      <c r="P57" s="73"/>
      <c r="Q57" s="73"/>
      <c r="R57" s="73"/>
      <c r="S57" s="73"/>
      <c r="T57" s="73"/>
      <c r="U57" s="73"/>
      <c r="V57" s="73"/>
      <c r="W57" s="73"/>
      <c r="X57" s="73"/>
      <c r="Y57" s="73"/>
      <c r="Z57" s="65"/>
      <c r="AA57" s="65"/>
      <c r="AB57" s="73"/>
      <c r="AC57" s="73"/>
      <c r="AD57" s="73"/>
      <c r="AE57" s="73"/>
      <c r="AF57" s="73"/>
      <c r="AG57" s="73"/>
      <c r="AH57" s="73"/>
      <c r="AI57" s="73"/>
      <c r="AJ57" s="73"/>
      <c r="AK57" s="73"/>
      <c r="AL57" s="73"/>
      <c r="AM57" s="73"/>
      <c r="AN57" s="73"/>
      <c r="AO57" s="73"/>
      <c r="AP57" s="65"/>
      <c r="AQ57" s="65"/>
    </row>
    <row r="58" spans="1:43" ht="13.5" customHeight="1">
      <c r="A58" s="91"/>
      <c r="B58" s="45"/>
      <c r="C58" s="128"/>
      <c r="D58" s="129"/>
      <c r="E58" s="129"/>
      <c r="F58" s="129"/>
      <c r="G58" s="129"/>
      <c r="H58" s="129"/>
      <c r="I58" s="129"/>
      <c r="J58" s="129"/>
      <c r="K58" s="130"/>
      <c r="L58" s="191"/>
      <c r="M58" s="1395">
        <v>2036</v>
      </c>
      <c r="N58" s="74"/>
      <c r="O58" s="73"/>
      <c r="P58" s="73"/>
      <c r="Q58" s="73"/>
      <c r="R58" s="73"/>
      <c r="S58" s="73"/>
      <c r="T58" s="73"/>
      <c r="U58" s="73"/>
      <c r="V58" s="73"/>
      <c r="W58" s="73"/>
      <c r="X58" s="73"/>
      <c r="Y58" s="73"/>
      <c r="Z58" s="65"/>
      <c r="AA58" s="65"/>
      <c r="AB58" s="73"/>
      <c r="AC58" s="73"/>
      <c r="AD58" s="73"/>
      <c r="AE58" s="73"/>
      <c r="AF58" s="73"/>
      <c r="AG58" s="73"/>
      <c r="AH58" s="73"/>
      <c r="AI58" s="73"/>
      <c r="AJ58" s="73"/>
      <c r="AK58" s="73"/>
      <c r="AL58" s="73"/>
      <c r="AM58" s="73"/>
      <c r="AN58" s="73"/>
      <c r="AO58" s="73"/>
      <c r="AP58" s="65"/>
      <c r="AQ58" s="65"/>
    </row>
    <row r="59" spans="1:43" ht="13.5" customHeight="1">
      <c r="A59" s="91"/>
      <c r="B59" s="45"/>
      <c r="C59" s="128"/>
      <c r="D59" s="129"/>
      <c r="E59" s="129"/>
      <c r="F59" s="129"/>
      <c r="G59" s="129"/>
      <c r="H59" s="129"/>
      <c r="I59" s="129"/>
      <c r="J59" s="129"/>
      <c r="K59" s="130"/>
      <c r="L59" s="191"/>
      <c r="M59" s="1395">
        <v>2037</v>
      </c>
      <c r="N59" s="74"/>
      <c r="O59" s="73"/>
      <c r="P59" s="73"/>
      <c r="Q59" s="73"/>
      <c r="R59" s="73"/>
      <c r="S59" s="73"/>
      <c r="T59" s="73"/>
      <c r="U59" s="73"/>
      <c r="V59" s="73"/>
      <c r="W59" s="73"/>
      <c r="X59" s="73"/>
      <c r="Y59" s="73"/>
      <c r="Z59" s="65"/>
      <c r="AA59" s="65"/>
      <c r="AB59" s="73"/>
      <c r="AC59" s="73"/>
      <c r="AD59" s="73"/>
      <c r="AE59" s="73"/>
      <c r="AF59" s="73"/>
      <c r="AG59" s="73"/>
      <c r="AH59" s="73"/>
      <c r="AI59" s="73"/>
      <c r="AJ59" s="73"/>
      <c r="AK59" s="73"/>
      <c r="AL59" s="73"/>
      <c r="AM59" s="73"/>
      <c r="AN59" s="73"/>
      <c r="AO59" s="73"/>
      <c r="AP59" s="65"/>
      <c r="AQ59" s="65"/>
    </row>
    <row r="60" spans="1:43" ht="13.5" customHeight="1">
      <c r="A60" s="91"/>
      <c r="B60" s="45"/>
      <c r="C60" s="128"/>
      <c r="D60" s="129"/>
      <c r="E60" s="129"/>
      <c r="F60" s="129"/>
      <c r="G60" s="129"/>
      <c r="H60" s="129"/>
      <c r="I60" s="129"/>
      <c r="J60" s="129"/>
      <c r="K60" s="130"/>
      <c r="L60" s="191"/>
      <c r="M60" s="1395">
        <v>2038</v>
      </c>
      <c r="N60" s="74"/>
      <c r="O60" s="73"/>
      <c r="P60" s="73"/>
      <c r="Q60" s="73"/>
      <c r="R60" s="73"/>
      <c r="S60" s="73"/>
      <c r="T60" s="73"/>
      <c r="U60" s="73"/>
      <c r="V60" s="73"/>
      <c r="W60" s="73"/>
      <c r="X60" s="73"/>
      <c r="Y60" s="73"/>
      <c r="Z60" s="65"/>
      <c r="AA60" s="65"/>
      <c r="AB60" s="73"/>
      <c r="AC60" s="73"/>
      <c r="AD60" s="73"/>
      <c r="AE60" s="73"/>
      <c r="AF60" s="73"/>
      <c r="AG60" s="73"/>
      <c r="AH60" s="73"/>
      <c r="AI60" s="73"/>
      <c r="AJ60" s="73"/>
      <c r="AK60" s="73"/>
      <c r="AL60" s="73"/>
      <c r="AM60" s="73"/>
      <c r="AN60" s="73"/>
      <c r="AO60" s="73"/>
      <c r="AP60" s="65"/>
      <c r="AQ60" s="65"/>
    </row>
    <row r="61" spans="1:43" ht="13.5" customHeight="1">
      <c r="A61" s="91"/>
      <c r="B61" s="45"/>
      <c r="C61" s="128"/>
      <c r="D61" s="129"/>
      <c r="E61" s="129"/>
      <c r="F61" s="129"/>
      <c r="G61" s="129"/>
      <c r="H61" s="129"/>
      <c r="I61" s="129"/>
      <c r="J61" s="129"/>
      <c r="K61" s="130"/>
      <c r="L61" s="191"/>
      <c r="M61" s="1395">
        <v>2039</v>
      </c>
      <c r="N61" s="74"/>
      <c r="O61" s="73"/>
      <c r="P61" s="73"/>
      <c r="Q61" s="73"/>
      <c r="R61" s="73"/>
      <c r="S61" s="73"/>
      <c r="T61" s="73"/>
      <c r="U61" s="73"/>
      <c r="V61" s="73"/>
      <c r="W61" s="73"/>
      <c r="X61" s="73"/>
      <c r="Y61" s="73"/>
      <c r="Z61" s="65"/>
      <c r="AA61" s="65"/>
      <c r="AB61" s="73"/>
      <c r="AC61" s="73"/>
      <c r="AD61" s="73"/>
      <c r="AE61" s="73"/>
      <c r="AF61" s="73"/>
      <c r="AG61" s="73"/>
      <c r="AH61" s="73"/>
      <c r="AI61" s="73"/>
      <c r="AJ61" s="73"/>
      <c r="AK61" s="73"/>
      <c r="AL61" s="73"/>
      <c r="AM61" s="73"/>
      <c r="AN61" s="73"/>
      <c r="AO61" s="73"/>
      <c r="AP61" s="65"/>
      <c r="AQ61" s="65"/>
    </row>
    <row r="62" spans="1:43" ht="13.5" customHeight="1">
      <c r="A62" s="91"/>
      <c r="B62" s="45"/>
      <c r="C62" s="128"/>
      <c r="D62" s="129"/>
      <c r="E62" s="129"/>
      <c r="F62" s="129"/>
      <c r="G62" s="129"/>
      <c r="H62" s="129"/>
      <c r="I62" s="129"/>
      <c r="J62" s="129"/>
      <c r="K62" s="130"/>
      <c r="L62" s="191"/>
      <c r="M62" s="1395">
        <v>2040</v>
      </c>
      <c r="N62" s="74"/>
      <c r="O62" s="73"/>
      <c r="P62" s="73"/>
      <c r="Q62" s="73"/>
      <c r="R62" s="73"/>
      <c r="S62" s="73"/>
      <c r="T62" s="73"/>
      <c r="U62" s="73"/>
      <c r="V62" s="73"/>
      <c r="W62" s="73"/>
      <c r="X62" s="73"/>
      <c r="Y62" s="73"/>
      <c r="Z62" s="65"/>
      <c r="AA62" s="65"/>
      <c r="AB62" s="73"/>
      <c r="AC62" s="73"/>
      <c r="AD62" s="73"/>
      <c r="AE62" s="73"/>
      <c r="AF62" s="73"/>
      <c r="AG62" s="73"/>
      <c r="AH62" s="73"/>
      <c r="AI62" s="73"/>
      <c r="AJ62" s="73"/>
      <c r="AK62" s="73"/>
      <c r="AL62" s="73"/>
      <c r="AM62" s="73"/>
      <c r="AN62" s="73"/>
      <c r="AO62" s="73"/>
      <c r="AP62" s="65"/>
      <c r="AQ62" s="65"/>
    </row>
    <row r="63" spans="1:43" ht="13.5" customHeight="1">
      <c r="A63" s="91"/>
      <c r="B63" s="45"/>
      <c r="C63" s="128"/>
      <c r="D63" s="129"/>
      <c r="E63" s="129"/>
      <c r="F63" s="129"/>
      <c r="G63" s="129"/>
      <c r="H63" s="129"/>
      <c r="I63" s="129"/>
      <c r="J63" s="129"/>
      <c r="K63" s="130"/>
      <c r="L63" s="191"/>
      <c r="M63" s="117"/>
      <c r="N63" s="74"/>
      <c r="O63" s="73"/>
      <c r="P63" s="73"/>
      <c r="Q63" s="73"/>
      <c r="R63" s="73"/>
      <c r="S63" s="73"/>
      <c r="T63" s="73"/>
      <c r="U63" s="73"/>
      <c r="V63" s="73"/>
      <c r="W63" s="73"/>
      <c r="X63" s="73"/>
      <c r="Y63" s="73"/>
      <c r="Z63" s="65"/>
      <c r="AA63" s="65"/>
      <c r="AB63" s="73"/>
      <c r="AC63" s="73"/>
      <c r="AD63" s="73"/>
      <c r="AE63" s="73"/>
      <c r="AF63" s="73"/>
      <c r="AG63" s="73"/>
      <c r="AH63" s="73"/>
      <c r="AI63" s="73"/>
      <c r="AJ63" s="73"/>
      <c r="AK63" s="73"/>
      <c r="AL63" s="73"/>
      <c r="AM63" s="73"/>
      <c r="AN63" s="73"/>
      <c r="AO63" s="73"/>
      <c r="AP63" s="65"/>
      <c r="AQ63" s="65"/>
    </row>
    <row r="64" spans="1:43" ht="13.5" customHeight="1">
      <c r="A64" s="91"/>
      <c r="B64" s="45"/>
      <c r="C64" s="128"/>
      <c r="D64" s="129"/>
      <c r="E64" s="129"/>
      <c r="F64" s="129"/>
      <c r="G64" s="129"/>
      <c r="H64" s="129"/>
      <c r="I64" s="129"/>
      <c r="J64" s="129"/>
      <c r="K64" s="130"/>
      <c r="L64" s="191"/>
      <c r="M64" s="117"/>
      <c r="N64" s="74"/>
      <c r="O64" s="73"/>
      <c r="P64" s="73"/>
      <c r="Q64" s="73"/>
      <c r="R64" s="73"/>
      <c r="S64" s="73"/>
      <c r="T64" s="73"/>
      <c r="U64" s="73"/>
      <c r="V64" s="73"/>
      <c r="W64" s="73"/>
      <c r="X64" s="73"/>
      <c r="Y64" s="73"/>
      <c r="Z64" s="65"/>
      <c r="AA64" s="65"/>
      <c r="AB64" s="73"/>
      <c r="AC64" s="73"/>
      <c r="AD64" s="73"/>
      <c r="AE64" s="73"/>
      <c r="AF64" s="73"/>
      <c r="AG64" s="73"/>
      <c r="AH64" s="73"/>
      <c r="AI64" s="73"/>
      <c r="AJ64" s="73"/>
      <c r="AK64" s="73"/>
      <c r="AL64" s="73"/>
      <c r="AM64" s="73"/>
      <c r="AN64" s="73"/>
      <c r="AO64" s="73"/>
      <c r="AP64" s="65"/>
      <c r="AQ64" s="65"/>
    </row>
    <row r="65" spans="1:43" ht="13.5" customHeight="1">
      <c r="A65" s="91"/>
      <c r="B65" s="45"/>
      <c r="C65" s="128"/>
      <c r="D65" s="129"/>
      <c r="E65" s="129"/>
      <c r="F65" s="129"/>
      <c r="G65" s="129"/>
      <c r="H65" s="129"/>
      <c r="I65" s="129"/>
      <c r="J65" s="129"/>
      <c r="K65" s="130"/>
      <c r="L65" s="191"/>
      <c r="M65" s="117"/>
      <c r="N65" s="74"/>
      <c r="O65" s="73"/>
      <c r="P65" s="73"/>
      <c r="Q65" s="73"/>
      <c r="R65" s="73"/>
      <c r="S65" s="73"/>
      <c r="T65" s="73"/>
      <c r="U65" s="73"/>
      <c r="V65" s="73"/>
      <c r="W65" s="73"/>
      <c r="X65" s="73"/>
      <c r="Y65" s="73"/>
      <c r="Z65" s="65"/>
      <c r="AA65" s="65"/>
      <c r="AB65" s="73"/>
      <c r="AC65" s="73"/>
      <c r="AD65" s="73"/>
      <c r="AE65" s="73"/>
      <c r="AF65" s="73"/>
      <c r="AG65" s="73"/>
      <c r="AH65" s="73"/>
      <c r="AI65" s="73"/>
      <c r="AJ65" s="73"/>
      <c r="AK65" s="73"/>
      <c r="AL65" s="73"/>
      <c r="AM65" s="73"/>
      <c r="AN65" s="73"/>
      <c r="AO65" s="73"/>
      <c r="AP65" s="65"/>
      <c r="AQ65" s="65"/>
    </row>
    <row r="66" spans="1:43" ht="13.5" customHeight="1">
      <c r="A66" s="91"/>
      <c r="B66" s="45"/>
      <c r="C66" s="128"/>
      <c r="D66" s="129"/>
      <c r="E66" s="129"/>
      <c r="F66" s="129"/>
      <c r="G66" s="129"/>
      <c r="H66" s="129"/>
      <c r="I66" s="129"/>
      <c r="J66" s="129"/>
      <c r="K66" s="130"/>
      <c r="L66" s="191"/>
      <c r="M66" s="117"/>
      <c r="N66" s="74"/>
      <c r="O66" s="73"/>
      <c r="P66" s="73"/>
      <c r="Q66" s="73"/>
      <c r="R66" s="73"/>
      <c r="S66" s="73"/>
      <c r="T66" s="73"/>
      <c r="U66" s="73"/>
      <c r="V66" s="73"/>
      <c r="W66" s="73"/>
      <c r="X66" s="73"/>
      <c r="Y66" s="73"/>
      <c r="Z66" s="65"/>
      <c r="AA66" s="65"/>
      <c r="AB66" s="73"/>
      <c r="AC66" s="73"/>
      <c r="AD66" s="73"/>
      <c r="AE66" s="73"/>
      <c r="AF66" s="73"/>
      <c r="AG66" s="73"/>
      <c r="AH66" s="73"/>
      <c r="AI66" s="73"/>
      <c r="AJ66" s="73"/>
      <c r="AK66" s="73"/>
      <c r="AL66" s="73"/>
      <c r="AM66" s="73"/>
      <c r="AN66" s="73"/>
      <c r="AO66" s="73"/>
      <c r="AP66" s="65"/>
      <c r="AQ66" s="65"/>
    </row>
    <row r="67" spans="1:43" ht="13.5" customHeight="1">
      <c r="A67" s="91"/>
      <c r="B67" s="45"/>
      <c r="C67" s="128"/>
      <c r="D67" s="129"/>
      <c r="E67" s="129"/>
      <c r="F67" s="129"/>
      <c r="G67" s="129"/>
      <c r="H67" s="129"/>
      <c r="I67" s="129"/>
      <c r="J67" s="129"/>
      <c r="K67" s="130"/>
      <c r="L67" s="191"/>
      <c r="M67" s="117"/>
      <c r="N67" s="74"/>
      <c r="O67" s="73"/>
      <c r="P67" s="73"/>
      <c r="Q67" s="73"/>
      <c r="R67" s="73"/>
      <c r="S67" s="73"/>
      <c r="T67" s="73"/>
      <c r="U67" s="73"/>
      <c r="V67" s="73"/>
      <c r="W67" s="73"/>
      <c r="X67" s="73"/>
      <c r="Y67" s="73"/>
      <c r="Z67" s="65"/>
      <c r="AA67" s="65"/>
      <c r="AB67" s="73"/>
      <c r="AC67" s="73"/>
      <c r="AD67" s="73"/>
      <c r="AE67" s="73"/>
      <c r="AF67" s="73"/>
      <c r="AG67" s="73"/>
      <c r="AH67" s="73"/>
      <c r="AI67" s="73"/>
      <c r="AJ67" s="73"/>
      <c r="AK67" s="73"/>
      <c r="AL67" s="73"/>
      <c r="AM67" s="73"/>
      <c r="AN67" s="73"/>
      <c r="AO67" s="73"/>
      <c r="AP67" s="65"/>
      <c r="AQ67" s="65"/>
    </row>
    <row r="68" spans="1:43" ht="13.5" customHeight="1">
      <c r="A68" s="91"/>
      <c r="B68" s="45"/>
      <c r="C68" s="128"/>
      <c r="D68" s="129"/>
      <c r="E68" s="129"/>
      <c r="F68" s="129"/>
      <c r="G68" s="129"/>
      <c r="H68" s="129"/>
      <c r="I68" s="129"/>
      <c r="J68" s="129"/>
      <c r="K68" s="130"/>
      <c r="L68" s="191"/>
      <c r="M68" s="117"/>
      <c r="N68" s="74"/>
      <c r="O68" s="73"/>
      <c r="P68" s="73"/>
      <c r="Q68" s="73"/>
      <c r="R68" s="73"/>
      <c r="S68" s="73"/>
      <c r="T68" s="73"/>
      <c r="U68" s="73"/>
      <c r="V68" s="73"/>
      <c r="W68" s="73"/>
      <c r="X68" s="73"/>
      <c r="Y68" s="73"/>
      <c r="Z68" s="65"/>
      <c r="AA68" s="65"/>
      <c r="AB68" s="73"/>
      <c r="AC68" s="73"/>
      <c r="AD68" s="73"/>
      <c r="AE68" s="73"/>
      <c r="AF68" s="73"/>
      <c r="AG68" s="73"/>
      <c r="AH68" s="73"/>
      <c r="AI68" s="73"/>
      <c r="AJ68" s="73"/>
      <c r="AK68" s="73"/>
      <c r="AL68" s="73"/>
      <c r="AM68" s="73"/>
      <c r="AN68" s="73"/>
      <c r="AO68" s="73"/>
      <c r="AP68" s="65"/>
      <c r="AQ68" s="65"/>
    </row>
    <row r="69" spans="1:43" ht="13.5" customHeight="1">
      <c r="A69" s="91"/>
      <c r="B69" s="45"/>
      <c r="C69" s="128"/>
      <c r="D69" s="129"/>
      <c r="E69" s="129"/>
      <c r="F69" s="129"/>
      <c r="G69" s="129"/>
      <c r="H69" s="129"/>
      <c r="I69" s="129"/>
      <c r="J69" s="129"/>
      <c r="K69" s="130"/>
      <c r="L69" s="191"/>
      <c r="M69" s="117"/>
      <c r="N69" s="74"/>
      <c r="O69" s="73"/>
      <c r="P69" s="73"/>
      <c r="Q69" s="73"/>
      <c r="R69" s="73"/>
      <c r="S69" s="73"/>
      <c r="T69" s="73"/>
      <c r="U69" s="73"/>
      <c r="V69" s="73"/>
      <c r="W69" s="73"/>
      <c r="X69" s="73"/>
      <c r="Y69" s="73"/>
      <c r="Z69" s="65"/>
      <c r="AA69" s="65"/>
      <c r="AB69" s="73"/>
      <c r="AC69" s="73"/>
      <c r="AD69" s="73"/>
      <c r="AE69" s="73"/>
      <c r="AF69" s="73"/>
      <c r="AG69" s="73"/>
      <c r="AH69" s="73"/>
      <c r="AI69" s="73"/>
      <c r="AJ69" s="73"/>
      <c r="AK69" s="73"/>
      <c r="AL69" s="73"/>
      <c r="AM69" s="73"/>
      <c r="AN69" s="73"/>
      <c r="AO69" s="73"/>
      <c r="AP69" s="65"/>
      <c r="AQ69" s="65"/>
    </row>
    <row r="70" spans="1:43" ht="13.5" customHeight="1">
      <c r="A70" s="91"/>
      <c r="B70" s="45"/>
      <c r="C70" s="128"/>
      <c r="D70" s="129"/>
      <c r="E70" s="129"/>
      <c r="F70" s="129"/>
      <c r="G70" s="129"/>
      <c r="H70" s="129"/>
      <c r="I70" s="129"/>
      <c r="J70" s="129"/>
      <c r="K70" s="130"/>
      <c r="L70" s="191"/>
      <c r="M70" s="117"/>
      <c r="N70" s="74"/>
      <c r="O70" s="73"/>
      <c r="P70" s="73"/>
      <c r="Q70" s="73"/>
      <c r="R70" s="73"/>
      <c r="S70" s="73"/>
      <c r="T70" s="73"/>
      <c r="U70" s="73"/>
      <c r="V70" s="73"/>
      <c r="W70" s="73"/>
      <c r="X70" s="73"/>
      <c r="Y70" s="73"/>
      <c r="Z70" s="65"/>
      <c r="AA70" s="65"/>
      <c r="AB70" s="73"/>
      <c r="AC70" s="73"/>
      <c r="AD70" s="73"/>
      <c r="AE70" s="73"/>
      <c r="AF70" s="73"/>
      <c r="AG70" s="73"/>
      <c r="AH70" s="73"/>
      <c r="AI70" s="73"/>
      <c r="AJ70" s="73"/>
      <c r="AK70" s="73"/>
      <c r="AL70" s="73"/>
      <c r="AM70" s="73"/>
      <c r="AN70" s="73"/>
      <c r="AO70" s="73"/>
      <c r="AP70" s="65"/>
      <c r="AQ70" s="65"/>
    </row>
    <row r="71" spans="1:43" ht="13.5" customHeight="1">
      <c r="A71" s="91"/>
      <c r="B71" s="45"/>
      <c r="C71" s="128"/>
      <c r="D71" s="129"/>
      <c r="E71" s="129"/>
      <c r="F71" s="129"/>
      <c r="G71" s="129"/>
      <c r="H71" s="129"/>
      <c r="I71" s="129"/>
      <c r="J71" s="129"/>
      <c r="K71" s="130"/>
      <c r="L71" s="191"/>
      <c r="M71" s="117"/>
      <c r="N71" s="74"/>
      <c r="O71" s="73"/>
      <c r="P71" s="73"/>
      <c r="Q71" s="73"/>
      <c r="R71" s="73"/>
      <c r="S71" s="73"/>
      <c r="T71" s="73"/>
      <c r="U71" s="73"/>
      <c r="V71" s="73"/>
      <c r="W71" s="73"/>
      <c r="X71" s="73"/>
      <c r="Y71" s="73"/>
      <c r="Z71" s="65"/>
      <c r="AA71" s="65"/>
      <c r="AB71" s="73"/>
      <c r="AC71" s="73"/>
      <c r="AD71" s="73"/>
      <c r="AE71" s="73"/>
      <c r="AF71" s="73"/>
      <c r="AG71" s="73"/>
      <c r="AH71" s="73"/>
      <c r="AI71" s="73"/>
      <c r="AJ71" s="73"/>
      <c r="AK71" s="73"/>
      <c r="AL71" s="73"/>
      <c r="AM71" s="73"/>
      <c r="AN71" s="73"/>
      <c r="AO71" s="73"/>
      <c r="AP71" s="65"/>
      <c r="AQ71" s="65"/>
    </row>
    <row r="72" spans="1:43" ht="13.5" customHeight="1">
      <c r="A72" s="91"/>
      <c r="B72" s="45"/>
      <c r="C72" s="128"/>
      <c r="D72" s="129"/>
      <c r="E72" s="129"/>
      <c r="F72" s="129"/>
      <c r="G72" s="129"/>
      <c r="H72" s="129"/>
      <c r="I72" s="129"/>
      <c r="J72" s="129"/>
      <c r="K72" s="130"/>
      <c r="L72" s="191"/>
      <c r="M72" s="117"/>
      <c r="N72" s="74"/>
      <c r="O72" s="73"/>
      <c r="P72" s="73"/>
      <c r="Q72" s="73"/>
      <c r="R72" s="73"/>
      <c r="S72" s="73"/>
      <c r="T72" s="73"/>
      <c r="U72" s="73"/>
      <c r="V72" s="73"/>
      <c r="W72" s="73"/>
      <c r="X72" s="73"/>
      <c r="Y72" s="73"/>
      <c r="Z72" s="65"/>
      <c r="AA72" s="65"/>
      <c r="AB72" s="73"/>
      <c r="AC72" s="73"/>
      <c r="AD72" s="73"/>
      <c r="AE72" s="73"/>
      <c r="AF72" s="73"/>
      <c r="AG72" s="73"/>
      <c r="AH72" s="73"/>
      <c r="AI72" s="73"/>
      <c r="AJ72" s="73"/>
      <c r="AK72" s="73"/>
      <c r="AL72" s="73"/>
      <c r="AM72" s="73"/>
      <c r="AN72" s="73"/>
      <c r="AO72" s="73"/>
      <c r="AP72" s="65"/>
      <c r="AQ72" s="65"/>
    </row>
    <row r="73" spans="1:43" ht="13.5" customHeight="1">
      <c r="A73" s="91"/>
      <c r="B73" s="45"/>
      <c r="C73" s="128"/>
      <c r="D73" s="129"/>
      <c r="E73" s="129"/>
      <c r="F73" s="129"/>
      <c r="G73" s="129"/>
      <c r="H73" s="129"/>
      <c r="I73" s="129"/>
      <c r="J73" s="129"/>
      <c r="K73" s="130"/>
      <c r="L73" s="191"/>
      <c r="M73" s="117"/>
      <c r="N73" s="74"/>
      <c r="O73" s="73"/>
      <c r="P73" s="73"/>
      <c r="Q73" s="73"/>
      <c r="R73" s="73"/>
      <c r="S73" s="73"/>
      <c r="T73" s="73"/>
      <c r="U73" s="73"/>
      <c r="V73" s="73"/>
      <c r="W73" s="73"/>
      <c r="X73" s="73"/>
      <c r="Y73" s="73"/>
      <c r="Z73" s="65"/>
      <c r="AA73" s="65"/>
      <c r="AB73" s="73"/>
      <c r="AC73" s="73"/>
      <c r="AD73" s="73"/>
      <c r="AE73" s="73"/>
      <c r="AF73" s="73"/>
      <c r="AG73" s="73"/>
      <c r="AH73" s="73"/>
      <c r="AI73" s="73"/>
      <c r="AJ73" s="73"/>
      <c r="AK73" s="73"/>
      <c r="AL73" s="73"/>
      <c r="AM73" s="73"/>
      <c r="AN73" s="73"/>
      <c r="AO73" s="73"/>
      <c r="AP73" s="65"/>
      <c r="AQ73" s="65"/>
    </row>
    <row r="74" spans="1:43" ht="13.5" customHeight="1">
      <c r="A74" s="91"/>
      <c r="B74" s="45"/>
      <c r="C74" s="128"/>
      <c r="D74" s="129"/>
      <c r="E74" s="129"/>
      <c r="F74" s="129"/>
      <c r="G74" s="129"/>
      <c r="H74" s="129"/>
      <c r="I74" s="129"/>
      <c r="J74" s="129"/>
      <c r="K74" s="130"/>
      <c r="L74" s="191"/>
      <c r="M74" s="117"/>
      <c r="N74" s="74"/>
      <c r="O74" s="73"/>
      <c r="P74" s="73"/>
      <c r="Q74" s="73"/>
      <c r="R74" s="73"/>
      <c r="S74" s="73"/>
      <c r="T74" s="73"/>
      <c r="U74" s="73"/>
      <c r="V74" s="73"/>
      <c r="W74" s="73"/>
      <c r="X74" s="73"/>
      <c r="Y74" s="73"/>
      <c r="Z74" s="65"/>
      <c r="AA74" s="65"/>
      <c r="AB74" s="73"/>
      <c r="AC74" s="73"/>
      <c r="AD74" s="73"/>
      <c r="AE74" s="73"/>
      <c r="AF74" s="73"/>
      <c r="AG74" s="73"/>
      <c r="AH74" s="73"/>
      <c r="AI74" s="73"/>
      <c r="AJ74" s="73"/>
      <c r="AK74" s="73"/>
      <c r="AL74" s="73"/>
      <c r="AM74" s="73"/>
      <c r="AN74" s="73"/>
      <c r="AO74" s="73"/>
      <c r="AP74" s="65"/>
      <c r="AQ74" s="65"/>
    </row>
    <row r="75" spans="1:43" ht="13.5" customHeight="1">
      <c r="A75" s="91"/>
      <c r="B75" s="45"/>
      <c r="C75" s="128"/>
      <c r="D75" s="129"/>
      <c r="E75" s="129"/>
      <c r="F75" s="129"/>
      <c r="G75" s="129"/>
      <c r="H75" s="129"/>
      <c r="I75" s="129"/>
      <c r="J75" s="129"/>
      <c r="K75" s="130"/>
      <c r="L75" s="191"/>
      <c r="M75" s="117"/>
      <c r="N75" s="74"/>
      <c r="O75" s="73"/>
      <c r="P75" s="73"/>
      <c r="Q75" s="73"/>
      <c r="R75" s="73"/>
      <c r="S75" s="73"/>
      <c r="T75" s="73"/>
      <c r="U75" s="73"/>
      <c r="V75" s="73"/>
      <c r="W75" s="73"/>
      <c r="X75" s="73"/>
      <c r="Y75" s="73"/>
      <c r="Z75" s="65"/>
      <c r="AA75" s="65"/>
      <c r="AB75" s="73"/>
      <c r="AC75" s="73"/>
      <c r="AD75" s="73"/>
      <c r="AE75" s="73"/>
      <c r="AF75" s="73"/>
      <c r="AG75" s="73"/>
      <c r="AH75" s="73"/>
      <c r="AI75" s="73"/>
      <c r="AJ75" s="73"/>
      <c r="AK75" s="73"/>
      <c r="AL75" s="73"/>
      <c r="AM75" s="73"/>
      <c r="AN75" s="73"/>
      <c r="AO75" s="73"/>
      <c r="AP75" s="65"/>
      <c r="AQ75" s="65"/>
    </row>
    <row r="76" spans="1:43" ht="13.5" customHeight="1">
      <c r="A76" s="91"/>
      <c r="B76" s="45"/>
      <c r="C76" s="128"/>
      <c r="D76" s="129"/>
      <c r="E76" s="129"/>
      <c r="F76" s="129"/>
      <c r="G76" s="129"/>
      <c r="H76" s="129"/>
      <c r="I76" s="129"/>
      <c r="J76" s="129"/>
      <c r="K76" s="130"/>
      <c r="L76" s="191"/>
      <c r="M76" s="117"/>
      <c r="N76" s="74"/>
      <c r="O76" s="73"/>
      <c r="P76" s="73"/>
      <c r="Q76" s="73"/>
      <c r="R76" s="73"/>
      <c r="S76" s="73"/>
      <c r="T76" s="73"/>
      <c r="U76" s="73"/>
      <c r="V76" s="73"/>
      <c r="W76" s="73"/>
      <c r="X76" s="73"/>
      <c r="Y76" s="73"/>
      <c r="Z76" s="65"/>
      <c r="AA76" s="65"/>
      <c r="AB76" s="73"/>
      <c r="AC76" s="73"/>
      <c r="AD76" s="73"/>
      <c r="AE76" s="73"/>
      <c r="AF76" s="73"/>
      <c r="AG76" s="73"/>
      <c r="AH76" s="73"/>
      <c r="AI76" s="73"/>
      <c r="AJ76" s="73"/>
      <c r="AK76" s="73"/>
      <c r="AL76" s="73"/>
      <c r="AM76" s="73"/>
      <c r="AN76" s="73"/>
      <c r="AO76" s="73"/>
      <c r="AP76" s="65"/>
      <c r="AQ76" s="65"/>
    </row>
    <row r="77" spans="1:43" ht="13.5" customHeight="1">
      <c r="A77" s="91"/>
      <c r="B77" s="45"/>
      <c r="C77" s="128"/>
      <c r="D77" s="129"/>
      <c r="E77" s="129"/>
      <c r="F77" s="129"/>
      <c r="G77" s="129"/>
      <c r="H77" s="129"/>
      <c r="I77" s="129"/>
      <c r="J77" s="129"/>
      <c r="K77" s="130"/>
      <c r="L77" s="191"/>
      <c r="M77" s="117"/>
      <c r="N77" s="74"/>
      <c r="O77" s="73"/>
      <c r="P77" s="73"/>
      <c r="Q77" s="73"/>
      <c r="R77" s="73"/>
      <c r="S77" s="73"/>
      <c r="T77" s="73"/>
      <c r="U77" s="73"/>
      <c r="V77" s="73"/>
      <c r="W77" s="73"/>
      <c r="X77" s="73"/>
      <c r="Y77" s="73"/>
      <c r="Z77" s="65"/>
      <c r="AA77" s="65"/>
      <c r="AB77" s="73"/>
      <c r="AC77" s="73"/>
      <c r="AD77" s="73"/>
      <c r="AE77" s="73"/>
      <c r="AF77" s="73"/>
      <c r="AG77" s="73"/>
      <c r="AH77" s="73"/>
      <c r="AI77" s="73"/>
      <c r="AJ77" s="73"/>
      <c r="AK77" s="73"/>
      <c r="AL77" s="73"/>
      <c r="AM77" s="73"/>
      <c r="AN77" s="73"/>
      <c r="AO77" s="73"/>
      <c r="AP77" s="65"/>
      <c r="AQ77" s="65"/>
    </row>
    <row r="78" spans="1:43" ht="13.5" customHeight="1">
      <c r="A78" s="91"/>
      <c r="B78" s="45"/>
      <c r="C78" s="128"/>
      <c r="D78" s="129"/>
      <c r="E78" s="129"/>
      <c r="F78" s="129"/>
      <c r="G78" s="129"/>
      <c r="H78" s="129"/>
      <c r="I78" s="129"/>
      <c r="J78" s="129"/>
      <c r="K78" s="130"/>
      <c r="L78" s="191"/>
      <c r="M78" s="117"/>
      <c r="N78" s="74"/>
      <c r="O78" s="73"/>
      <c r="P78" s="73"/>
      <c r="Q78" s="73"/>
      <c r="R78" s="73"/>
      <c r="S78" s="73"/>
      <c r="T78" s="73"/>
      <c r="U78" s="73"/>
      <c r="V78" s="73"/>
      <c r="W78" s="73"/>
      <c r="X78" s="73"/>
      <c r="Y78" s="73"/>
      <c r="Z78" s="65"/>
      <c r="AA78" s="65"/>
      <c r="AB78" s="73"/>
      <c r="AC78" s="73"/>
      <c r="AD78" s="73"/>
      <c r="AE78" s="73"/>
      <c r="AF78" s="73"/>
      <c r="AG78" s="73"/>
      <c r="AH78" s="73"/>
      <c r="AI78" s="73"/>
      <c r="AJ78" s="73"/>
      <c r="AK78" s="73"/>
      <c r="AL78" s="73"/>
      <c r="AM78" s="73"/>
      <c r="AN78" s="73"/>
      <c r="AO78" s="73"/>
      <c r="AP78" s="65"/>
      <c r="AQ78" s="65"/>
    </row>
    <row r="79" spans="1:43" ht="13.5" customHeight="1">
      <c r="A79" s="91"/>
      <c r="B79" s="45"/>
      <c r="C79" s="128"/>
      <c r="D79" s="129"/>
      <c r="E79" s="129"/>
      <c r="F79" s="129"/>
      <c r="G79" s="129"/>
      <c r="H79" s="129"/>
      <c r="I79" s="129"/>
      <c r="J79" s="129"/>
      <c r="K79" s="130"/>
      <c r="L79" s="191"/>
      <c r="M79" s="117"/>
      <c r="N79" s="74"/>
      <c r="O79" s="73"/>
      <c r="P79" s="73"/>
      <c r="Q79" s="73"/>
      <c r="R79" s="73"/>
      <c r="S79" s="73"/>
      <c r="T79" s="73"/>
      <c r="U79" s="73"/>
      <c r="V79" s="73"/>
      <c r="W79" s="73"/>
      <c r="X79" s="73"/>
      <c r="Y79" s="73"/>
      <c r="Z79" s="65"/>
      <c r="AA79" s="65"/>
      <c r="AB79" s="73"/>
      <c r="AC79" s="73"/>
      <c r="AD79" s="73"/>
      <c r="AE79" s="73"/>
      <c r="AF79" s="73"/>
      <c r="AG79" s="73"/>
      <c r="AH79" s="73"/>
      <c r="AI79" s="73"/>
      <c r="AJ79" s="73"/>
      <c r="AK79" s="73"/>
      <c r="AL79" s="73"/>
      <c r="AM79" s="73"/>
      <c r="AN79" s="73"/>
      <c r="AO79" s="73"/>
      <c r="AP79" s="65"/>
      <c r="AQ79" s="65"/>
    </row>
    <row r="80" spans="1:43" ht="13.5" customHeight="1">
      <c r="A80" s="91"/>
      <c r="B80" s="45"/>
      <c r="C80" s="128"/>
      <c r="D80" s="129"/>
      <c r="E80" s="129"/>
      <c r="F80" s="129"/>
      <c r="G80" s="129"/>
      <c r="H80" s="129"/>
      <c r="I80" s="129"/>
      <c r="J80" s="129"/>
      <c r="K80" s="130"/>
      <c r="L80" s="191"/>
      <c r="M80" s="117"/>
      <c r="N80" s="74"/>
      <c r="O80" s="73"/>
      <c r="P80" s="73"/>
      <c r="Q80" s="73"/>
      <c r="R80" s="73"/>
      <c r="S80" s="73"/>
      <c r="T80" s="73"/>
      <c r="U80" s="73"/>
      <c r="V80" s="73"/>
      <c r="W80" s="73"/>
      <c r="X80" s="73"/>
      <c r="Y80" s="73"/>
      <c r="Z80" s="65"/>
      <c r="AA80" s="65"/>
      <c r="AB80" s="73"/>
      <c r="AC80" s="73"/>
      <c r="AD80" s="73"/>
      <c r="AE80" s="73"/>
      <c r="AF80" s="73"/>
      <c r="AG80" s="73"/>
      <c r="AH80" s="73"/>
      <c r="AI80" s="73"/>
      <c r="AJ80" s="73"/>
      <c r="AK80" s="73"/>
      <c r="AL80" s="73"/>
      <c r="AM80" s="73"/>
      <c r="AN80" s="73"/>
      <c r="AO80" s="73"/>
      <c r="AP80" s="65"/>
      <c r="AQ80" s="65"/>
    </row>
    <row r="81" spans="1:43" ht="13.5" customHeight="1">
      <c r="A81" s="91"/>
      <c r="B81" s="45"/>
      <c r="C81" s="128"/>
      <c r="D81" s="129"/>
      <c r="E81" s="129"/>
      <c r="F81" s="129"/>
      <c r="G81" s="129"/>
      <c r="H81" s="129"/>
      <c r="I81" s="129"/>
      <c r="J81" s="129"/>
      <c r="K81" s="130"/>
      <c r="L81" s="191"/>
      <c r="M81" s="117"/>
      <c r="N81" s="74"/>
      <c r="O81" s="73"/>
      <c r="P81" s="73"/>
      <c r="Q81" s="73"/>
      <c r="R81" s="73"/>
      <c r="S81" s="73"/>
      <c r="T81" s="73"/>
      <c r="U81" s="73"/>
      <c r="V81" s="73"/>
      <c r="W81" s="73"/>
      <c r="X81" s="73"/>
      <c r="Y81" s="73"/>
      <c r="Z81" s="65"/>
      <c r="AA81" s="65"/>
      <c r="AB81" s="73"/>
      <c r="AC81" s="73"/>
      <c r="AD81" s="73"/>
      <c r="AE81" s="73"/>
      <c r="AF81" s="73"/>
      <c r="AG81" s="73"/>
      <c r="AH81" s="73"/>
      <c r="AI81" s="73"/>
      <c r="AJ81" s="73"/>
      <c r="AK81" s="73"/>
      <c r="AL81" s="73"/>
      <c r="AM81" s="73"/>
      <c r="AN81" s="73"/>
      <c r="AO81" s="73"/>
      <c r="AP81" s="65"/>
      <c r="AQ81" s="65"/>
    </row>
    <row r="82" spans="1:43" ht="13.5" customHeight="1">
      <c r="A82" s="91"/>
      <c r="B82" s="45"/>
      <c r="C82" s="128"/>
      <c r="D82" s="129"/>
      <c r="E82" s="129"/>
      <c r="F82" s="129"/>
      <c r="G82" s="129"/>
      <c r="H82" s="129"/>
      <c r="I82" s="129"/>
      <c r="J82" s="129"/>
      <c r="K82" s="130"/>
      <c r="L82" s="191"/>
      <c r="M82" s="117"/>
      <c r="N82" s="74"/>
      <c r="O82" s="73"/>
      <c r="P82" s="73"/>
      <c r="Q82" s="73"/>
      <c r="R82" s="73"/>
      <c r="S82" s="73"/>
      <c r="T82" s="73"/>
      <c r="U82" s="73"/>
      <c r="V82" s="73"/>
      <c r="W82" s="73"/>
      <c r="X82" s="73"/>
      <c r="Y82" s="73"/>
      <c r="Z82" s="65"/>
      <c r="AA82" s="65"/>
      <c r="AB82" s="73"/>
      <c r="AC82" s="73"/>
      <c r="AD82" s="73"/>
      <c r="AE82" s="73"/>
      <c r="AF82" s="73"/>
      <c r="AG82" s="73"/>
      <c r="AH82" s="73"/>
      <c r="AI82" s="73"/>
      <c r="AJ82" s="73"/>
      <c r="AK82" s="73"/>
      <c r="AL82" s="73"/>
      <c r="AM82" s="73"/>
      <c r="AN82" s="73"/>
      <c r="AO82" s="73"/>
      <c r="AP82" s="65"/>
      <c r="AQ82" s="65"/>
    </row>
    <row r="83" spans="1:43" ht="13.5" customHeight="1">
      <c r="A83" s="91"/>
      <c r="B83" s="45"/>
      <c r="C83" s="128"/>
      <c r="D83" s="129"/>
      <c r="E83" s="129"/>
      <c r="F83" s="129"/>
      <c r="G83" s="129"/>
      <c r="H83" s="129"/>
      <c r="I83" s="129"/>
      <c r="J83" s="129"/>
      <c r="K83" s="130"/>
      <c r="L83" s="191"/>
      <c r="M83" s="117"/>
      <c r="N83" s="74"/>
      <c r="O83" s="73"/>
      <c r="P83" s="73"/>
      <c r="Q83" s="73"/>
      <c r="R83" s="73"/>
      <c r="S83" s="73"/>
      <c r="T83" s="73"/>
      <c r="U83" s="73"/>
      <c r="V83" s="73"/>
      <c r="W83" s="73"/>
      <c r="X83" s="73"/>
      <c r="Y83" s="73"/>
      <c r="Z83" s="65"/>
      <c r="AA83" s="65"/>
      <c r="AB83" s="73"/>
      <c r="AC83" s="73"/>
      <c r="AD83" s="73"/>
      <c r="AE83" s="73"/>
      <c r="AF83" s="73"/>
      <c r="AG83" s="73"/>
      <c r="AH83" s="73"/>
      <c r="AI83" s="73"/>
      <c r="AJ83" s="73"/>
      <c r="AK83" s="73"/>
      <c r="AL83" s="73"/>
      <c r="AM83" s="73"/>
      <c r="AN83" s="73"/>
      <c r="AO83" s="73"/>
      <c r="AP83" s="65"/>
      <c r="AQ83" s="65"/>
    </row>
    <row r="84" spans="1:43" ht="13.5" customHeight="1">
      <c r="A84" s="91"/>
      <c r="B84" s="45"/>
      <c r="C84" s="128"/>
      <c r="D84" s="129"/>
      <c r="E84" s="129"/>
      <c r="F84" s="129"/>
      <c r="G84" s="129"/>
      <c r="H84" s="129"/>
      <c r="I84" s="129"/>
      <c r="J84" s="129"/>
      <c r="K84" s="130"/>
      <c r="L84" s="191"/>
      <c r="M84" s="117"/>
      <c r="N84" s="74"/>
      <c r="O84" s="73"/>
      <c r="P84" s="73"/>
      <c r="Q84" s="73"/>
      <c r="R84" s="73"/>
      <c r="S84" s="73"/>
      <c r="T84" s="73"/>
      <c r="U84" s="73"/>
      <c r="V84" s="73"/>
      <c r="W84" s="73"/>
      <c r="X84" s="73"/>
      <c r="Y84" s="73"/>
      <c r="Z84" s="65"/>
      <c r="AA84" s="65"/>
      <c r="AB84" s="73"/>
      <c r="AC84" s="73"/>
      <c r="AD84" s="73"/>
      <c r="AE84" s="73"/>
      <c r="AF84" s="73"/>
      <c r="AG84" s="73"/>
      <c r="AH84" s="73"/>
      <c r="AI84" s="73"/>
      <c r="AJ84" s="73"/>
      <c r="AK84" s="73"/>
      <c r="AL84" s="73"/>
      <c r="AM84" s="73"/>
      <c r="AN84" s="73"/>
      <c r="AO84" s="73"/>
      <c r="AP84" s="65"/>
      <c r="AQ84" s="65"/>
    </row>
    <row r="85" spans="1:43" ht="13.5" customHeight="1">
      <c r="A85" s="91"/>
      <c r="B85" s="45"/>
      <c r="C85" s="128"/>
      <c r="D85" s="129"/>
      <c r="E85" s="129"/>
      <c r="F85" s="129"/>
      <c r="G85" s="129"/>
      <c r="H85" s="129"/>
      <c r="I85" s="129"/>
      <c r="J85" s="129"/>
      <c r="K85" s="130"/>
      <c r="L85" s="191"/>
      <c r="M85" s="117"/>
      <c r="N85" s="74"/>
      <c r="O85" s="73"/>
      <c r="P85" s="73"/>
      <c r="Q85" s="73"/>
      <c r="R85" s="73"/>
      <c r="S85" s="73"/>
      <c r="T85" s="73"/>
      <c r="U85" s="73"/>
      <c r="V85" s="73"/>
      <c r="W85" s="73"/>
      <c r="X85" s="73"/>
      <c r="Y85" s="73"/>
      <c r="Z85" s="65"/>
      <c r="AA85" s="65"/>
      <c r="AB85" s="73"/>
      <c r="AC85" s="73"/>
      <c r="AD85" s="73"/>
      <c r="AE85" s="73"/>
      <c r="AF85" s="73"/>
      <c r="AG85" s="73"/>
      <c r="AH85" s="73"/>
      <c r="AI85" s="73"/>
      <c r="AJ85" s="73"/>
      <c r="AK85" s="73"/>
      <c r="AL85" s="73"/>
      <c r="AM85" s="73"/>
      <c r="AN85" s="73"/>
      <c r="AO85" s="73"/>
      <c r="AP85" s="65"/>
      <c r="AQ85" s="65"/>
    </row>
    <row r="86" spans="1:43" ht="13.5" customHeight="1">
      <c r="A86" s="91"/>
      <c r="B86" s="45"/>
      <c r="C86" s="128"/>
      <c r="D86" s="129"/>
      <c r="E86" s="129"/>
      <c r="F86" s="129"/>
      <c r="G86" s="129"/>
      <c r="H86" s="129"/>
      <c r="I86" s="129"/>
      <c r="J86" s="129"/>
      <c r="K86" s="130"/>
      <c r="L86" s="191"/>
      <c r="M86" s="117"/>
      <c r="N86" s="74"/>
      <c r="O86" s="73"/>
      <c r="P86" s="73"/>
      <c r="Q86" s="73"/>
      <c r="R86" s="73"/>
      <c r="S86" s="73"/>
      <c r="T86" s="73"/>
      <c r="U86" s="73"/>
      <c r="V86" s="73"/>
      <c r="W86" s="73"/>
      <c r="X86" s="73"/>
      <c r="Y86" s="73"/>
      <c r="Z86" s="65"/>
      <c r="AA86" s="65"/>
      <c r="AB86" s="73"/>
      <c r="AC86" s="73"/>
      <c r="AD86" s="73"/>
      <c r="AE86" s="73"/>
      <c r="AF86" s="73"/>
      <c r="AG86" s="73"/>
      <c r="AH86" s="73"/>
      <c r="AI86" s="73"/>
      <c r="AJ86" s="73"/>
      <c r="AK86" s="73"/>
      <c r="AL86" s="73"/>
      <c r="AM86" s="73"/>
      <c r="AN86" s="73"/>
      <c r="AO86" s="73"/>
      <c r="AP86" s="65"/>
      <c r="AQ86" s="65"/>
    </row>
    <row r="87" spans="1:43" ht="13.5" customHeight="1">
      <c r="A87" s="91"/>
      <c r="B87" s="45"/>
      <c r="C87" s="128"/>
      <c r="D87" s="129"/>
      <c r="E87" s="129"/>
      <c r="F87" s="129"/>
      <c r="G87" s="129"/>
      <c r="H87" s="129"/>
      <c r="I87" s="129"/>
      <c r="J87" s="129"/>
      <c r="K87" s="130"/>
      <c r="L87" s="191"/>
      <c r="M87" s="117"/>
      <c r="N87" s="74"/>
      <c r="O87" s="73"/>
      <c r="P87" s="73"/>
      <c r="Q87" s="73"/>
      <c r="R87" s="73"/>
      <c r="S87" s="73"/>
      <c r="T87" s="73"/>
      <c r="U87" s="73"/>
      <c r="V87" s="73"/>
      <c r="W87" s="73"/>
      <c r="X87" s="73"/>
      <c r="Y87" s="73"/>
      <c r="Z87" s="65"/>
      <c r="AA87" s="65"/>
      <c r="AB87" s="73"/>
      <c r="AC87" s="73"/>
      <c r="AD87" s="73"/>
      <c r="AE87" s="73"/>
      <c r="AF87" s="73"/>
      <c r="AG87" s="73"/>
      <c r="AH87" s="73"/>
      <c r="AI87" s="73"/>
      <c r="AJ87" s="73"/>
      <c r="AK87" s="73"/>
      <c r="AL87" s="73"/>
      <c r="AM87" s="73"/>
      <c r="AN87" s="73"/>
      <c r="AO87" s="73"/>
      <c r="AP87" s="65"/>
      <c r="AQ87" s="65"/>
    </row>
    <row r="88" spans="1:43" ht="13.5" customHeight="1">
      <c r="A88" s="91"/>
      <c r="B88" s="45"/>
      <c r="C88" s="128"/>
      <c r="D88" s="129"/>
      <c r="E88" s="129"/>
      <c r="F88" s="129"/>
      <c r="G88" s="129"/>
      <c r="H88" s="129"/>
      <c r="I88" s="129"/>
      <c r="J88" s="129"/>
      <c r="K88" s="130"/>
      <c r="L88" s="191"/>
      <c r="M88" s="117"/>
      <c r="N88" s="74"/>
      <c r="O88" s="73"/>
      <c r="P88" s="73"/>
      <c r="Q88" s="73"/>
      <c r="R88" s="73"/>
      <c r="S88" s="73"/>
      <c r="T88" s="73"/>
      <c r="U88" s="73"/>
      <c r="V88" s="73"/>
      <c r="W88" s="73"/>
      <c r="X88" s="73"/>
      <c r="Y88" s="73"/>
      <c r="Z88" s="65"/>
      <c r="AA88" s="65"/>
      <c r="AB88" s="73"/>
      <c r="AC88" s="73"/>
      <c r="AD88" s="73"/>
      <c r="AE88" s="73"/>
      <c r="AF88" s="73"/>
      <c r="AG88" s="73"/>
      <c r="AH88" s="73"/>
      <c r="AI88" s="73"/>
      <c r="AJ88" s="73"/>
      <c r="AK88" s="73"/>
      <c r="AL88" s="73"/>
      <c r="AM88" s="73"/>
      <c r="AN88" s="73"/>
      <c r="AO88" s="73"/>
      <c r="AP88" s="65"/>
      <c r="AQ88" s="65"/>
    </row>
    <row r="89" spans="1:43" ht="13.5" customHeight="1">
      <c r="A89" s="91"/>
      <c r="B89" s="45"/>
      <c r="C89" s="128"/>
      <c r="D89" s="129"/>
      <c r="E89" s="129"/>
      <c r="F89" s="129"/>
      <c r="G89" s="129"/>
      <c r="H89" s="129"/>
      <c r="I89" s="129"/>
      <c r="J89" s="129"/>
      <c r="K89" s="130"/>
      <c r="L89" s="191"/>
      <c r="M89" s="117"/>
      <c r="N89" s="74"/>
      <c r="O89" s="73"/>
      <c r="P89" s="73"/>
      <c r="Q89" s="73"/>
      <c r="R89" s="73"/>
      <c r="S89" s="73"/>
      <c r="T89" s="73"/>
      <c r="U89" s="73"/>
      <c r="V89" s="73"/>
      <c r="W89" s="73"/>
      <c r="X89" s="73"/>
      <c r="Y89" s="73"/>
      <c r="Z89" s="65"/>
      <c r="AA89" s="65"/>
      <c r="AB89" s="73"/>
      <c r="AC89" s="73"/>
      <c r="AD89" s="73"/>
      <c r="AE89" s="73"/>
      <c r="AF89" s="73"/>
      <c r="AG89" s="73"/>
      <c r="AH89" s="73"/>
      <c r="AI89" s="73"/>
      <c r="AJ89" s="73"/>
      <c r="AK89" s="73"/>
      <c r="AL89" s="73"/>
      <c r="AM89" s="73"/>
      <c r="AN89" s="73"/>
      <c r="AO89" s="73"/>
      <c r="AP89" s="65"/>
      <c r="AQ89" s="65"/>
    </row>
    <row r="90" spans="1:43" ht="13.5" customHeight="1">
      <c r="A90" s="91"/>
      <c r="B90" s="45"/>
      <c r="C90" s="128"/>
      <c r="D90" s="129"/>
      <c r="E90" s="129"/>
      <c r="F90" s="129"/>
      <c r="G90" s="129"/>
      <c r="H90" s="129"/>
      <c r="I90" s="129"/>
      <c r="J90" s="129"/>
      <c r="K90" s="130"/>
      <c r="L90" s="191"/>
      <c r="M90" s="117"/>
      <c r="N90" s="74"/>
      <c r="O90" s="73"/>
      <c r="P90" s="73"/>
      <c r="Q90" s="73"/>
      <c r="R90" s="73"/>
      <c r="S90" s="73"/>
      <c r="T90" s="73"/>
      <c r="U90" s="73"/>
      <c r="V90" s="73"/>
      <c r="W90" s="73"/>
      <c r="X90" s="73"/>
      <c r="Y90" s="73"/>
      <c r="Z90" s="65"/>
      <c r="AA90" s="65"/>
      <c r="AB90" s="73"/>
      <c r="AC90" s="73"/>
      <c r="AD90" s="73"/>
      <c r="AE90" s="73"/>
      <c r="AF90" s="73"/>
      <c r="AG90" s="73"/>
      <c r="AH90" s="73"/>
      <c r="AI90" s="73"/>
      <c r="AJ90" s="73"/>
      <c r="AK90" s="73"/>
      <c r="AL90" s="73"/>
      <c r="AM90" s="73"/>
      <c r="AN90" s="73"/>
      <c r="AO90" s="73"/>
      <c r="AP90" s="65"/>
      <c r="AQ90" s="65"/>
    </row>
    <row r="91" spans="1:43" ht="13.5" customHeight="1">
      <c r="A91" s="91"/>
      <c r="B91" s="45"/>
      <c r="C91" s="128"/>
      <c r="D91" s="129"/>
      <c r="E91" s="129"/>
      <c r="F91" s="129"/>
      <c r="G91" s="129"/>
      <c r="H91" s="129"/>
      <c r="I91" s="129"/>
      <c r="J91" s="129"/>
      <c r="K91" s="130"/>
      <c r="L91" s="191"/>
      <c r="M91" s="117"/>
      <c r="N91" s="74"/>
      <c r="O91" s="73"/>
      <c r="P91" s="73"/>
      <c r="Q91" s="73"/>
      <c r="R91" s="73"/>
      <c r="S91" s="73"/>
      <c r="T91" s="73"/>
      <c r="U91" s="73"/>
      <c r="V91" s="73"/>
      <c r="W91" s="73"/>
      <c r="X91" s="73"/>
      <c r="Y91" s="73"/>
      <c r="Z91" s="65"/>
      <c r="AA91" s="65"/>
      <c r="AB91" s="73"/>
      <c r="AC91" s="73"/>
      <c r="AD91" s="73"/>
      <c r="AE91" s="73"/>
      <c r="AF91" s="73"/>
      <c r="AG91" s="73"/>
      <c r="AH91" s="73"/>
      <c r="AI91" s="73"/>
      <c r="AJ91" s="73"/>
      <c r="AK91" s="73"/>
      <c r="AL91" s="73"/>
      <c r="AM91" s="73"/>
      <c r="AN91" s="73"/>
      <c r="AO91" s="73"/>
      <c r="AP91" s="65"/>
      <c r="AQ91" s="65"/>
    </row>
    <row r="92" spans="1:43" ht="13.5" customHeight="1">
      <c r="A92" s="91"/>
      <c r="B92" s="45"/>
      <c r="C92" s="128"/>
      <c r="D92" s="129"/>
      <c r="E92" s="129"/>
      <c r="F92" s="129"/>
      <c r="G92" s="129"/>
      <c r="H92" s="129"/>
      <c r="I92" s="129"/>
      <c r="J92" s="129"/>
      <c r="K92" s="130"/>
      <c r="L92" s="191"/>
      <c r="M92" s="117"/>
      <c r="N92" s="74"/>
      <c r="O92" s="73"/>
      <c r="P92" s="73"/>
      <c r="Q92" s="73"/>
      <c r="R92" s="73"/>
      <c r="S92" s="73"/>
      <c r="T92" s="73"/>
      <c r="U92" s="73"/>
      <c r="V92" s="73"/>
      <c r="W92" s="73"/>
      <c r="X92" s="73"/>
      <c r="Y92" s="73"/>
      <c r="Z92" s="65"/>
      <c r="AA92" s="65"/>
      <c r="AB92" s="73"/>
      <c r="AC92" s="73"/>
      <c r="AD92" s="73"/>
      <c r="AE92" s="73"/>
      <c r="AF92" s="73"/>
      <c r="AG92" s="73"/>
      <c r="AH92" s="73"/>
      <c r="AI92" s="73"/>
      <c r="AJ92" s="73"/>
      <c r="AK92" s="73"/>
      <c r="AL92" s="73"/>
      <c r="AM92" s="73"/>
      <c r="AN92" s="73"/>
      <c r="AO92" s="73"/>
      <c r="AP92" s="65"/>
      <c r="AQ92" s="65"/>
    </row>
    <row r="93" spans="1:43" ht="13.5" customHeight="1">
      <c r="A93" s="91"/>
      <c r="B93" s="45"/>
      <c r="C93" s="128"/>
      <c r="D93" s="129"/>
      <c r="E93" s="129"/>
      <c r="F93" s="129"/>
      <c r="G93" s="129"/>
      <c r="H93" s="129"/>
      <c r="I93" s="129"/>
      <c r="J93" s="129"/>
      <c r="K93" s="130"/>
      <c r="L93" s="191"/>
      <c r="M93" s="117"/>
      <c r="N93" s="74"/>
      <c r="O93" s="73"/>
      <c r="P93" s="73"/>
      <c r="Q93" s="73"/>
      <c r="R93" s="73"/>
      <c r="S93" s="73"/>
      <c r="T93" s="73"/>
      <c r="U93" s="73"/>
      <c r="V93" s="73"/>
      <c r="W93" s="73"/>
      <c r="X93" s="73"/>
      <c r="Y93" s="73"/>
      <c r="Z93" s="65"/>
      <c r="AA93" s="65"/>
      <c r="AB93" s="73"/>
      <c r="AC93" s="73"/>
      <c r="AD93" s="73"/>
      <c r="AE93" s="73"/>
      <c r="AF93" s="73"/>
      <c r="AG93" s="73"/>
      <c r="AH93" s="73"/>
      <c r="AI93" s="73"/>
      <c r="AJ93" s="73"/>
      <c r="AK93" s="73"/>
      <c r="AL93" s="73"/>
      <c r="AM93" s="73"/>
      <c r="AN93" s="73"/>
      <c r="AO93" s="73"/>
      <c r="AP93" s="65"/>
      <c r="AQ93" s="65"/>
    </row>
    <row r="94" spans="1:43" ht="13.5" customHeight="1">
      <c r="A94" s="91"/>
      <c r="B94" s="45"/>
      <c r="C94" s="128"/>
      <c r="D94" s="129"/>
      <c r="E94" s="129"/>
      <c r="F94" s="129"/>
      <c r="G94" s="129"/>
      <c r="H94" s="129"/>
      <c r="I94" s="129"/>
      <c r="J94" s="129"/>
      <c r="K94" s="130"/>
      <c r="L94" s="191"/>
      <c r="M94" s="117"/>
      <c r="N94" s="74"/>
      <c r="O94" s="73"/>
      <c r="P94" s="73"/>
      <c r="Q94" s="73"/>
      <c r="R94" s="73"/>
      <c r="S94" s="73"/>
      <c r="T94" s="73"/>
      <c r="U94" s="73"/>
      <c r="V94" s="73"/>
      <c r="W94" s="73"/>
      <c r="X94" s="73"/>
      <c r="Y94" s="73"/>
      <c r="Z94" s="65"/>
      <c r="AA94" s="65"/>
      <c r="AB94" s="73"/>
      <c r="AC94" s="73"/>
      <c r="AD94" s="73"/>
      <c r="AE94" s="73"/>
      <c r="AF94" s="73"/>
      <c r="AG94" s="73"/>
      <c r="AH94" s="73"/>
      <c r="AI94" s="73"/>
      <c r="AJ94" s="73"/>
      <c r="AK94" s="73"/>
      <c r="AL94" s="73"/>
      <c r="AM94" s="73"/>
      <c r="AN94" s="73"/>
      <c r="AO94" s="73"/>
      <c r="AP94" s="65"/>
      <c r="AQ94" s="65"/>
    </row>
    <row r="95" spans="1:43" ht="13.5" customHeight="1">
      <c r="A95" s="91"/>
      <c r="B95" s="45"/>
      <c r="C95" s="128"/>
      <c r="D95" s="129"/>
      <c r="E95" s="129"/>
      <c r="F95" s="129"/>
      <c r="G95" s="129"/>
      <c r="H95" s="129"/>
      <c r="I95" s="129"/>
      <c r="J95" s="129"/>
      <c r="K95" s="130"/>
      <c r="L95" s="191"/>
      <c r="M95" s="117"/>
      <c r="N95" s="74"/>
      <c r="O95" s="73"/>
      <c r="P95" s="73"/>
      <c r="Q95" s="73"/>
      <c r="R95" s="73"/>
      <c r="S95" s="73"/>
      <c r="T95" s="73"/>
      <c r="U95" s="73"/>
      <c r="V95" s="73"/>
      <c r="W95" s="73"/>
      <c r="X95" s="73"/>
      <c r="Y95" s="73"/>
      <c r="Z95" s="65"/>
      <c r="AA95" s="65"/>
      <c r="AB95" s="73"/>
      <c r="AC95" s="73"/>
      <c r="AD95" s="73"/>
      <c r="AE95" s="73"/>
      <c r="AF95" s="73"/>
      <c r="AG95" s="73"/>
      <c r="AH95" s="73"/>
      <c r="AI95" s="73"/>
      <c r="AJ95" s="73"/>
      <c r="AK95" s="73"/>
      <c r="AL95" s="73"/>
      <c r="AM95" s="73"/>
      <c r="AN95" s="73"/>
      <c r="AO95" s="73"/>
      <c r="AP95" s="65"/>
      <c r="AQ95" s="65"/>
    </row>
    <row r="96" spans="1:43" ht="13.5" customHeight="1">
      <c r="A96" s="91"/>
      <c r="B96" s="45"/>
      <c r="C96" s="128"/>
      <c r="D96" s="129"/>
      <c r="E96" s="129"/>
      <c r="F96" s="129"/>
      <c r="G96" s="129"/>
      <c r="H96" s="129"/>
      <c r="I96" s="129"/>
      <c r="J96" s="129"/>
      <c r="K96" s="130"/>
      <c r="L96" s="191"/>
      <c r="M96" s="117"/>
      <c r="N96" s="74"/>
      <c r="O96" s="73"/>
      <c r="P96" s="73"/>
      <c r="Q96" s="73"/>
      <c r="R96" s="73"/>
      <c r="S96" s="73"/>
      <c r="T96" s="73"/>
      <c r="U96" s="73"/>
      <c r="V96" s="73"/>
      <c r="W96" s="73"/>
      <c r="X96" s="73"/>
      <c r="Y96" s="73"/>
      <c r="Z96" s="65"/>
      <c r="AA96" s="65"/>
      <c r="AB96" s="73"/>
      <c r="AC96" s="73"/>
      <c r="AD96" s="73"/>
      <c r="AE96" s="73"/>
      <c r="AF96" s="73"/>
      <c r="AG96" s="73"/>
      <c r="AH96" s="73"/>
      <c r="AI96" s="73"/>
      <c r="AJ96" s="73"/>
      <c r="AK96" s="73"/>
      <c r="AL96" s="73"/>
      <c r="AM96" s="73"/>
      <c r="AN96" s="73"/>
      <c r="AO96" s="73"/>
      <c r="AP96" s="65"/>
      <c r="AQ96" s="65"/>
    </row>
    <row r="97" spans="1:43" ht="13.5" customHeight="1">
      <c r="A97" s="91"/>
      <c r="B97" s="45"/>
      <c r="C97" s="128"/>
      <c r="D97" s="129"/>
      <c r="E97" s="129"/>
      <c r="F97" s="129"/>
      <c r="G97" s="129"/>
      <c r="H97" s="129"/>
      <c r="I97" s="129"/>
      <c r="J97" s="129"/>
      <c r="K97" s="130"/>
      <c r="L97" s="191"/>
      <c r="M97" s="117"/>
      <c r="N97" s="74"/>
      <c r="O97" s="73"/>
      <c r="P97" s="73"/>
      <c r="Q97" s="73"/>
      <c r="R97" s="73"/>
      <c r="S97" s="73"/>
      <c r="T97" s="73"/>
      <c r="U97" s="73"/>
      <c r="V97" s="73"/>
      <c r="W97" s="73"/>
      <c r="X97" s="73"/>
      <c r="Y97" s="73"/>
      <c r="Z97" s="65"/>
      <c r="AA97" s="65"/>
      <c r="AB97" s="73"/>
      <c r="AC97" s="73"/>
      <c r="AD97" s="73"/>
      <c r="AE97" s="73"/>
      <c r="AF97" s="73"/>
      <c r="AG97" s="73"/>
      <c r="AH97" s="73"/>
      <c r="AI97" s="73"/>
      <c r="AJ97" s="73"/>
      <c r="AK97" s="73"/>
      <c r="AL97" s="73"/>
      <c r="AM97" s="73"/>
      <c r="AN97" s="73"/>
      <c r="AO97" s="73"/>
      <c r="AP97" s="65"/>
      <c r="AQ97" s="65"/>
    </row>
    <row r="98" spans="1:43" ht="13.5" customHeight="1">
      <c r="A98" s="91"/>
      <c r="B98" s="45"/>
      <c r="C98" s="128"/>
      <c r="D98" s="129"/>
      <c r="E98" s="129"/>
      <c r="F98" s="129"/>
      <c r="G98" s="129"/>
      <c r="H98" s="129"/>
      <c r="I98" s="129"/>
      <c r="J98" s="129"/>
      <c r="K98" s="130"/>
      <c r="L98" s="191"/>
      <c r="M98" s="117"/>
      <c r="N98" s="74"/>
      <c r="O98" s="73"/>
      <c r="P98" s="73"/>
      <c r="Q98" s="73"/>
      <c r="R98" s="73"/>
      <c r="S98" s="73"/>
      <c r="T98" s="73"/>
      <c r="U98" s="73"/>
      <c r="V98" s="73"/>
      <c r="W98" s="73"/>
      <c r="X98" s="73"/>
      <c r="Y98" s="73"/>
      <c r="Z98" s="65"/>
      <c r="AA98" s="65"/>
      <c r="AB98" s="73"/>
      <c r="AC98" s="73"/>
      <c r="AD98" s="73"/>
      <c r="AE98" s="73"/>
      <c r="AF98" s="73"/>
      <c r="AG98" s="73"/>
      <c r="AH98" s="73"/>
      <c r="AI98" s="73"/>
      <c r="AJ98" s="73"/>
      <c r="AK98" s="73"/>
      <c r="AL98" s="73"/>
      <c r="AM98" s="73"/>
      <c r="AN98" s="73"/>
      <c r="AO98" s="73"/>
      <c r="AP98" s="65"/>
      <c r="AQ98" s="65"/>
    </row>
    <row r="99" spans="1:43" ht="13.5" customHeight="1">
      <c r="A99" s="91"/>
      <c r="B99" s="45"/>
      <c r="C99" s="128"/>
      <c r="D99" s="129"/>
      <c r="E99" s="129"/>
      <c r="F99" s="129"/>
      <c r="G99" s="129"/>
      <c r="H99" s="129"/>
      <c r="I99" s="129"/>
      <c r="J99" s="129"/>
      <c r="K99" s="130"/>
      <c r="L99" s="191"/>
      <c r="M99" s="117"/>
      <c r="N99" s="74"/>
      <c r="O99" s="73"/>
      <c r="P99" s="73"/>
      <c r="Q99" s="73"/>
      <c r="R99" s="73"/>
      <c r="S99" s="73"/>
      <c r="T99" s="73"/>
      <c r="U99" s="73"/>
      <c r="V99" s="73"/>
      <c r="W99" s="73"/>
      <c r="X99" s="73"/>
      <c r="Y99" s="73"/>
      <c r="Z99" s="65"/>
      <c r="AA99" s="65"/>
      <c r="AB99" s="73"/>
      <c r="AC99" s="73"/>
      <c r="AD99" s="73"/>
      <c r="AE99" s="73"/>
      <c r="AF99" s="73"/>
      <c r="AG99" s="73"/>
      <c r="AH99" s="73"/>
      <c r="AI99" s="73"/>
      <c r="AJ99" s="73"/>
      <c r="AK99" s="73"/>
      <c r="AL99" s="73"/>
      <c r="AM99" s="73"/>
      <c r="AN99" s="73"/>
      <c r="AO99" s="73"/>
      <c r="AP99" s="65"/>
      <c r="AQ99" s="65"/>
    </row>
    <row r="100" spans="1:43" ht="13.5" customHeight="1">
      <c r="A100" s="91"/>
      <c r="B100" s="45"/>
      <c r="C100" s="128"/>
      <c r="D100" s="129"/>
      <c r="E100" s="129"/>
      <c r="F100" s="129"/>
      <c r="G100" s="129"/>
      <c r="H100" s="129"/>
      <c r="I100" s="129"/>
      <c r="J100" s="129"/>
      <c r="K100" s="130"/>
      <c r="L100" s="191"/>
      <c r="M100" s="117"/>
      <c r="N100" s="74"/>
      <c r="O100" s="73"/>
      <c r="P100" s="73"/>
      <c r="Q100" s="73"/>
      <c r="R100" s="73"/>
      <c r="S100" s="73"/>
      <c r="T100" s="73"/>
      <c r="U100" s="73"/>
      <c r="V100" s="73"/>
      <c r="W100" s="73"/>
      <c r="X100" s="73"/>
      <c r="Y100" s="73"/>
      <c r="Z100" s="65"/>
      <c r="AA100" s="65"/>
      <c r="AB100" s="73"/>
      <c r="AC100" s="73"/>
      <c r="AD100" s="73"/>
      <c r="AE100" s="73"/>
      <c r="AF100" s="73"/>
      <c r="AG100" s="73"/>
      <c r="AH100" s="73"/>
      <c r="AI100" s="73"/>
      <c r="AJ100" s="73"/>
      <c r="AK100" s="73"/>
      <c r="AL100" s="73"/>
      <c r="AM100" s="73"/>
      <c r="AN100" s="73"/>
      <c r="AO100" s="73"/>
      <c r="AP100" s="65"/>
      <c r="AQ100" s="65"/>
    </row>
    <row r="101" spans="1:43" ht="13.5" customHeight="1">
      <c r="A101" s="91"/>
      <c r="B101" s="45"/>
      <c r="C101" s="128"/>
      <c r="D101" s="129"/>
      <c r="E101" s="129"/>
      <c r="F101" s="129"/>
      <c r="G101" s="129"/>
      <c r="H101" s="129"/>
      <c r="I101" s="129"/>
      <c r="J101" s="129"/>
      <c r="K101" s="130"/>
      <c r="L101" s="191"/>
      <c r="M101" s="117"/>
      <c r="N101" s="74"/>
      <c r="O101" s="73"/>
      <c r="P101" s="73"/>
      <c r="Q101" s="73"/>
      <c r="R101" s="73"/>
      <c r="S101" s="73"/>
      <c r="T101" s="73"/>
      <c r="U101" s="73"/>
      <c r="V101" s="73"/>
      <c r="W101" s="73"/>
      <c r="X101" s="73"/>
      <c r="Y101" s="73"/>
      <c r="Z101" s="65"/>
      <c r="AA101" s="65"/>
      <c r="AB101" s="73"/>
      <c r="AC101" s="73"/>
      <c r="AD101" s="73"/>
      <c r="AE101" s="73"/>
      <c r="AF101" s="73"/>
      <c r="AG101" s="73"/>
      <c r="AH101" s="73"/>
      <c r="AI101" s="73"/>
      <c r="AJ101" s="73"/>
      <c r="AK101" s="73"/>
      <c r="AL101" s="73"/>
      <c r="AM101" s="73"/>
      <c r="AN101" s="73"/>
      <c r="AO101" s="73"/>
      <c r="AP101" s="65"/>
      <c r="AQ101" s="65"/>
    </row>
    <row r="102" spans="1:43" ht="13.5" customHeight="1">
      <c r="A102" s="91"/>
      <c r="B102" s="45"/>
      <c r="C102" s="128"/>
      <c r="D102" s="129"/>
      <c r="E102" s="129"/>
      <c r="F102" s="129"/>
      <c r="G102" s="129"/>
      <c r="H102" s="129"/>
      <c r="I102" s="129"/>
      <c r="J102" s="129"/>
      <c r="K102" s="130"/>
      <c r="L102" s="191"/>
      <c r="M102" s="117"/>
      <c r="N102" s="74"/>
      <c r="O102" s="73"/>
      <c r="P102" s="73"/>
      <c r="Q102" s="73"/>
      <c r="R102" s="73"/>
      <c r="S102" s="73"/>
      <c r="T102" s="73"/>
      <c r="U102" s="73"/>
      <c r="V102" s="73"/>
      <c r="W102" s="73"/>
      <c r="X102" s="73"/>
      <c r="Y102" s="73"/>
      <c r="Z102" s="65"/>
      <c r="AA102" s="65"/>
      <c r="AB102" s="73"/>
      <c r="AC102" s="73"/>
      <c r="AD102" s="73"/>
      <c r="AE102" s="73"/>
      <c r="AF102" s="73"/>
      <c r="AG102" s="73"/>
      <c r="AH102" s="73"/>
      <c r="AI102" s="73"/>
      <c r="AJ102" s="73"/>
      <c r="AK102" s="73"/>
      <c r="AL102" s="73"/>
      <c r="AM102" s="73"/>
      <c r="AN102" s="73"/>
      <c r="AO102" s="73"/>
      <c r="AP102" s="65"/>
      <c r="AQ102" s="65"/>
    </row>
    <row r="103" spans="1:43" ht="13.5" customHeight="1">
      <c r="A103" s="91"/>
      <c r="B103" s="45"/>
      <c r="C103" s="128"/>
      <c r="D103" s="129"/>
      <c r="E103" s="129"/>
      <c r="F103" s="129"/>
      <c r="G103" s="129"/>
      <c r="H103" s="129"/>
      <c r="I103" s="129"/>
      <c r="J103" s="129"/>
      <c r="K103" s="130"/>
      <c r="L103" s="191"/>
      <c r="M103" s="117"/>
      <c r="N103" s="74"/>
      <c r="O103" s="73"/>
      <c r="P103" s="73"/>
      <c r="Q103" s="73"/>
      <c r="R103" s="73"/>
      <c r="S103" s="73"/>
      <c r="T103" s="73"/>
      <c r="U103" s="73"/>
      <c r="V103" s="73"/>
      <c r="W103" s="73"/>
      <c r="X103" s="73"/>
      <c r="Y103" s="73"/>
      <c r="Z103" s="65"/>
      <c r="AA103" s="65"/>
      <c r="AB103" s="73"/>
      <c r="AC103" s="73"/>
      <c r="AD103" s="73"/>
      <c r="AE103" s="73"/>
      <c r="AF103" s="73"/>
      <c r="AG103" s="73"/>
      <c r="AH103" s="73"/>
      <c r="AI103" s="73"/>
      <c r="AJ103" s="73"/>
      <c r="AK103" s="73"/>
      <c r="AL103" s="73"/>
      <c r="AM103" s="73"/>
      <c r="AN103" s="73"/>
      <c r="AO103" s="73"/>
      <c r="AP103" s="65"/>
      <c r="AQ103" s="65"/>
    </row>
    <row r="104" spans="1:43" ht="13.5" customHeight="1">
      <c r="A104" s="91"/>
      <c r="B104" s="45"/>
      <c r="C104" s="128"/>
      <c r="D104" s="129"/>
      <c r="E104" s="129"/>
      <c r="F104" s="129"/>
      <c r="G104" s="129"/>
      <c r="H104" s="129"/>
      <c r="I104" s="129"/>
      <c r="J104" s="129"/>
      <c r="K104" s="130"/>
      <c r="L104" s="191"/>
      <c r="M104" s="117"/>
      <c r="N104" s="74"/>
      <c r="O104" s="73"/>
      <c r="P104" s="73"/>
      <c r="Q104" s="73"/>
      <c r="R104" s="73"/>
      <c r="S104" s="73"/>
      <c r="T104" s="73"/>
      <c r="U104" s="73"/>
      <c r="V104" s="73"/>
      <c r="W104" s="73"/>
      <c r="X104" s="73"/>
      <c r="Y104" s="73"/>
      <c r="Z104" s="65"/>
      <c r="AA104" s="65"/>
      <c r="AB104" s="73"/>
      <c r="AC104" s="73"/>
      <c r="AD104" s="73"/>
      <c r="AE104" s="73"/>
      <c r="AF104" s="73"/>
      <c r="AG104" s="73"/>
      <c r="AH104" s="73"/>
      <c r="AI104" s="73"/>
      <c r="AJ104" s="73"/>
      <c r="AK104" s="73"/>
      <c r="AL104" s="73"/>
      <c r="AM104" s="73"/>
      <c r="AN104" s="73"/>
      <c r="AO104" s="73"/>
      <c r="AP104" s="65"/>
      <c r="AQ104" s="65"/>
    </row>
    <row r="105" spans="1:43" ht="13.5" customHeight="1">
      <c r="A105" s="91"/>
      <c r="B105" s="45"/>
      <c r="C105" s="128"/>
      <c r="D105" s="129"/>
      <c r="E105" s="129"/>
      <c r="F105" s="129"/>
      <c r="G105" s="129"/>
      <c r="H105" s="129"/>
      <c r="I105" s="129"/>
      <c r="J105" s="129"/>
      <c r="K105" s="130"/>
      <c r="L105" s="191"/>
      <c r="M105" s="117"/>
      <c r="N105" s="74"/>
      <c r="O105" s="73"/>
      <c r="P105" s="73"/>
      <c r="Q105" s="73"/>
      <c r="R105" s="73"/>
      <c r="S105" s="73"/>
      <c r="T105" s="73"/>
      <c r="U105" s="73"/>
      <c r="V105" s="73"/>
      <c r="W105" s="73"/>
      <c r="X105" s="73"/>
      <c r="Y105" s="73"/>
      <c r="Z105" s="65"/>
      <c r="AA105" s="65"/>
      <c r="AB105" s="73"/>
      <c r="AC105" s="73"/>
      <c r="AD105" s="73"/>
      <c r="AE105" s="73"/>
      <c r="AF105" s="73"/>
      <c r="AG105" s="73"/>
      <c r="AH105" s="73"/>
      <c r="AI105" s="73"/>
      <c r="AJ105" s="73"/>
      <c r="AK105" s="73"/>
      <c r="AL105" s="73"/>
      <c r="AM105" s="73"/>
      <c r="AN105" s="73"/>
      <c r="AO105" s="73"/>
      <c r="AP105" s="65"/>
      <c r="AQ105" s="65"/>
    </row>
    <row r="106" spans="1:43" ht="13.5" customHeight="1">
      <c r="A106" s="91"/>
      <c r="B106" s="45"/>
      <c r="C106" s="128"/>
      <c r="D106" s="129"/>
      <c r="E106" s="129"/>
      <c r="F106" s="129"/>
      <c r="G106" s="129"/>
      <c r="H106" s="129"/>
      <c r="I106" s="129"/>
      <c r="J106" s="129"/>
      <c r="K106" s="130"/>
      <c r="L106" s="191"/>
      <c r="M106" s="117"/>
      <c r="N106" s="74"/>
      <c r="O106" s="73"/>
      <c r="P106" s="73"/>
      <c r="Q106" s="73"/>
      <c r="R106" s="73"/>
      <c r="S106" s="73"/>
      <c r="T106" s="73"/>
      <c r="U106" s="73"/>
      <c r="V106" s="73"/>
      <c r="W106" s="73"/>
      <c r="X106" s="73"/>
      <c r="Y106" s="73"/>
      <c r="Z106" s="65"/>
      <c r="AA106" s="65"/>
      <c r="AB106" s="73"/>
      <c r="AC106" s="73"/>
      <c r="AD106" s="73"/>
      <c r="AE106" s="73"/>
      <c r="AF106" s="73"/>
      <c r="AG106" s="73"/>
      <c r="AH106" s="73"/>
      <c r="AI106" s="73"/>
      <c r="AJ106" s="73"/>
      <c r="AK106" s="73"/>
      <c r="AL106" s="73"/>
      <c r="AM106" s="73"/>
      <c r="AN106" s="73"/>
      <c r="AO106" s="73"/>
      <c r="AP106" s="65"/>
      <c r="AQ106" s="65"/>
    </row>
    <row r="107" spans="1:43" ht="13.5" customHeight="1">
      <c r="A107" s="91"/>
      <c r="B107" s="45"/>
      <c r="C107" s="128"/>
      <c r="D107" s="129"/>
      <c r="E107" s="129"/>
      <c r="F107" s="129"/>
      <c r="G107" s="129"/>
      <c r="H107" s="129"/>
      <c r="I107" s="129"/>
      <c r="J107" s="129"/>
      <c r="K107" s="130"/>
      <c r="L107" s="191"/>
      <c r="M107" s="117"/>
      <c r="N107" s="74"/>
      <c r="O107" s="73"/>
      <c r="P107" s="73"/>
      <c r="Q107" s="73"/>
      <c r="R107" s="73"/>
      <c r="S107" s="73"/>
      <c r="T107" s="73"/>
      <c r="U107" s="73"/>
      <c r="V107" s="73"/>
      <c r="W107" s="73"/>
      <c r="X107" s="73"/>
      <c r="Y107" s="73"/>
      <c r="Z107" s="65"/>
      <c r="AA107" s="65"/>
      <c r="AB107" s="73"/>
      <c r="AC107" s="73"/>
      <c r="AD107" s="73"/>
      <c r="AE107" s="73"/>
      <c r="AF107" s="73"/>
      <c r="AG107" s="73"/>
      <c r="AH107" s="73"/>
      <c r="AI107" s="73"/>
      <c r="AJ107" s="73"/>
      <c r="AK107" s="73"/>
      <c r="AL107" s="73"/>
      <c r="AM107" s="73"/>
      <c r="AN107" s="73"/>
      <c r="AO107" s="73"/>
      <c r="AP107" s="65"/>
      <c r="AQ107" s="65"/>
    </row>
    <row r="108" spans="1:43" ht="13.5" customHeight="1">
      <c r="A108" s="91"/>
      <c r="B108" s="45"/>
      <c r="C108" s="128"/>
      <c r="D108" s="129"/>
      <c r="E108" s="129"/>
      <c r="F108" s="129"/>
      <c r="G108" s="129"/>
      <c r="H108" s="129"/>
      <c r="I108" s="129"/>
      <c r="J108" s="129"/>
      <c r="K108" s="130"/>
      <c r="L108" s="191"/>
      <c r="M108" s="117"/>
      <c r="N108" s="74"/>
      <c r="O108" s="73"/>
      <c r="P108" s="73"/>
      <c r="Q108" s="73"/>
      <c r="R108" s="73"/>
      <c r="S108" s="73"/>
      <c r="T108" s="73"/>
      <c r="U108" s="73"/>
      <c r="V108" s="73"/>
      <c r="W108" s="73"/>
      <c r="X108" s="73"/>
      <c r="Y108" s="73"/>
      <c r="Z108" s="65"/>
      <c r="AA108" s="65"/>
      <c r="AB108" s="73"/>
      <c r="AC108" s="73"/>
      <c r="AD108" s="73"/>
      <c r="AE108" s="73"/>
      <c r="AF108" s="73"/>
      <c r="AG108" s="73"/>
      <c r="AH108" s="73"/>
      <c r="AI108" s="73"/>
      <c r="AJ108" s="73"/>
      <c r="AK108" s="73"/>
      <c r="AL108" s="73"/>
      <c r="AM108" s="73"/>
      <c r="AN108" s="73"/>
      <c r="AO108" s="73"/>
      <c r="AP108" s="65"/>
      <c r="AQ108" s="65"/>
    </row>
    <row r="109" spans="1:43" ht="13.5" customHeight="1">
      <c r="A109" s="91"/>
      <c r="B109" s="45"/>
      <c r="C109" s="128"/>
      <c r="D109" s="129"/>
      <c r="E109" s="129"/>
      <c r="F109" s="129"/>
      <c r="G109" s="129"/>
      <c r="H109" s="129"/>
      <c r="I109" s="129"/>
      <c r="J109" s="129"/>
      <c r="K109" s="130"/>
      <c r="L109" s="191"/>
      <c r="M109" s="117"/>
      <c r="N109" s="74"/>
      <c r="O109" s="73"/>
      <c r="P109" s="73"/>
      <c r="Q109" s="73"/>
      <c r="R109" s="73"/>
      <c r="S109" s="73"/>
      <c r="T109" s="73"/>
      <c r="U109" s="73"/>
      <c r="V109" s="73"/>
      <c r="W109" s="73"/>
      <c r="X109" s="73"/>
      <c r="Y109" s="73"/>
      <c r="Z109" s="65"/>
      <c r="AA109" s="65"/>
      <c r="AB109" s="73"/>
      <c r="AC109" s="73"/>
      <c r="AD109" s="73"/>
      <c r="AE109" s="73"/>
      <c r="AF109" s="73"/>
      <c r="AG109" s="73"/>
      <c r="AH109" s="73"/>
      <c r="AI109" s="73"/>
      <c r="AJ109" s="73"/>
      <c r="AK109" s="73"/>
      <c r="AL109" s="73"/>
      <c r="AM109" s="73"/>
      <c r="AN109" s="73"/>
      <c r="AO109" s="73"/>
      <c r="AP109" s="65"/>
      <c r="AQ109" s="65"/>
    </row>
    <row r="110" spans="1:43" ht="13.5" customHeight="1" thickBot="1">
      <c r="A110" s="36"/>
      <c r="B110" s="190"/>
      <c r="C110" s="134"/>
      <c r="D110" s="135"/>
      <c r="E110" s="135"/>
      <c r="F110" s="135"/>
      <c r="G110" s="135"/>
      <c r="H110" s="135"/>
      <c r="I110" s="135"/>
      <c r="J110" s="135"/>
      <c r="K110" s="136"/>
      <c r="L110" s="192"/>
      <c r="M110" s="98"/>
      <c r="N110" s="79"/>
      <c r="O110" s="73"/>
      <c r="P110" s="73"/>
      <c r="Q110" s="73"/>
      <c r="R110" s="73"/>
      <c r="S110" s="73"/>
      <c r="T110" s="73"/>
      <c r="U110" s="73"/>
      <c r="V110" s="73"/>
      <c r="W110" s="73"/>
      <c r="X110" s="73"/>
      <c r="Y110" s="73"/>
      <c r="Z110" s="65"/>
      <c r="AA110" s="65"/>
      <c r="AB110" s="73"/>
      <c r="AC110" s="73"/>
      <c r="AD110" s="73"/>
      <c r="AE110" s="73"/>
      <c r="AF110" s="73"/>
      <c r="AG110" s="73"/>
      <c r="AH110" s="73"/>
      <c r="AI110" s="73"/>
      <c r="AJ110" s="73"/>
      <c r="AK110" s="73"/>
      <c r="AL110" s="73"/>
      <c r="AM110" s="73"/>
      <c r="AN110" s="73"/>
      <c r="AO110" s="73"/>
      <c r="AP110" s="65"/>
      <c r="AQ110" s="65"/>
    </row>
    <row r="111" spans="1:43" ht="13.5" customHeight="1" thickTop="1"/>
    <row r="112" spans="1:43" ht="13.5" customHeight="1">
      <c r="C112" s="31"/>
    </row>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sheetData>
  <sheetProtection sheet="1" objects="1" scenarios="1"/>
  <mergeCells count="3">
    <mergeCell ref="A1:B1"/>
    <mergeCell ref="A7:B7"/>
    <mergeCell ref="I22:J22"/>
  </mergeCells>
  <phoneticPr fontId="8" type="noConversion"/>
  <hyperlinks>
    <hyperlink ref="I22" location="'Indirect tax correction'!A1" display="Indirect tax correction"/>
    <hyperlink ref="A7" location="Contents!A1" display="Contents"/>
    <hyperlink ref="A7:B7" location="Contents!A1" tooltip="Contents page" display="Contents"/>
  </hyperlinks>
  <pageMargins left="0.15748031496062992" right="0.15748031496062992" top="0.59055118110236227" bottom="0.39370078740157483" header="0.11811023622047245" footer="0.11811023622047245"/>
  <pageSetup paperSize="9" scale="83" pageOrder="overThenDown"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42"/>
  </sheetPr>
  <dimension ref="A1:BL172"/>
  <sheetViews>
    <sheetView showGridLines="0" zoomScale="85" zoomScaleNormal="85" workbookViewId="0">
      <selection activeCell="E14" sqref="E14"/>
    </sheetView>
  </sheetViews>
  <sheetFormatPr defaultColWidth="12.88671875" defaultRowHeight="13.2"/>
  <cols>
    <col min="1" max="1" width="12.88671875" style="33" customWidth="1"/>
    <col min="2" max="2" width="22.6640625" style="33" customWidth="1"/>
    <col min="3" max="12" width="12.88671875" style="33" customWidth="1"/>
    <col min="13" max="13" width="35.44140625" style="33" customWidth="1"/>
    <col min="14" max="63" width="12.88671875" style="26" customWidth="1"/>
    <col min="64" max="16384" width="12.88671875" style="33"/>
  </cols>
  <sheetData>
    <row r="1" spans="1:64" ht="54.9" customHeight="1">
      <c r="A1" s="3569"/>
      <c r="B1" s="3569"/>
      <c r="C1" s="112"/>
    </row>
    <row r="2" spans="1:64" ht="5.0999999999999996" customHeight="1">
      <c r="C2" s="111"/>
    </row>
    <row r="3" spans="1:64" s="70" customFormat="1" ht="20.100000000000001" customHeight="1">
      <c r="A3" s="83" t="s">
        <v>2344</v>
      </c>
      <c r="B3" s="83"/>
      <c r="C3" s="83"/>
      <c r="D3" s="83"/>
      <c r="E3" s="83"/>
      <c r="F3" s="83"/>
      <c r="G3" s="84"/>
      <c r="H3" s="83"/>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46"/>
      <c r="BB3" s="84"/>
      <c r="BC3" s="84"/>
      <c r="BD3" s="84"/>
      <c r="BE3" s="84"/>
      <c r="BF3" s="84"/>
      <c r="BG3" s="84"/>
      <c r="BH3" s="84"/>
      <c r="BI3" s="84"/>
      <c r="BJ3" s="84"/>
      <c r="BK3" s="84"/>
      <c r="BL3" s="71"/>
    </row>
    <row r="4" spans="1:64" s="70" customFormat="1" ht="20.100000000000001" customHeight="1" thickBot="1">
      <c r="A4" s="109" t="s">
        <v>605</v>
      </c>
      <c r="B4" s="109"/>
      <c r="C4" s="109"/>
      <c r="D4" s="109"/>
      <c r="E4" s="109"/>
      <c r="F4" s="109"/>
      <c r="G4" s="110"/>
      <c r="H4" s="109"/>
      <c r="I4" s="110"/>
      <c r="J4" s="110"/>
      <c r="K4" s="110"/>
      <c r="L4" s="110"/>
      <c r="M4" s="110"/>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46"/>
      <c r="BB4" s="84"/>
      <c r="BC4" s="84"/>
      <c r="BD4" s="84"/>
      <c r="BE4" s="84"/>
      <c r="BF4" s="84"/>
      <c r="BG4" s="84"/>
      <c r="BH4" s="84"/>
      <c r="BI4" s="84"/>
      <c r="BJ4" s="84"/>
      <c r="BK4" s="84"/>
      <c r="BL4" s="71"/>
    </row>
    <row r="5" spans="1:64" s="38" customFormat="1" ht="9.9" customHeight="1" thickTop="1" thickBot="1">
      <c r="B5" s="85"/>
      <c r="C5" s="85"/>
      <c r="D5" s="86"/>
      <c r="E5" s="85"/>
      <c r="F5" s="85"/>
      <c r="G5" s="86"/>
      <c r="H5" s="85"/>
      <c r="I5" s="86"/>
      <c r="J5" s="86"/>
      <c r="K5" s="86"/>
      <c r="L5" s="86"/>
      <c r="M5" s="86"/>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c r="AQ5" s="97"/>
      <c r="AR5" s="97"/>
      <c r="AS5" s="97"/>
      <c r="AT5" s="26"/>
      <c r="AU5" s="26"/>
      <c r="AV5" s="26"/>
      <c r="AW5" s="26"/>
      <c r="AX5" s="26"/>
      <c r="AY5" s="26"/>
      <c r="AZ5" s="26"/>
      <c r="BA5" s="31"/>
      <c r="BB5" s="26"/>
      <c r="BC5" s="26"/>
      <c r="BD5" s="26"/>
      <c r="BE5" s="26"/>
      <c r="BF5" s="26"/>
      <c r="BG5" s="26"/>
      <c r="BH5" s="26"/>
      <c r="BI5" s="26"/>
      <c r="BJ5" s="26"/>
      <c r="BK5" s="26"/>
      <c r="BL5" s="87"/>
    </row>
    <row r="6" spans="1:64" s="38" customFormat="1" ht="13.5" customHeight="1" thickTop="1" thickBot="1">
      <c r="A6" s="172" t="s">
        <v>14</v>
      </c>
      <c r="B6" s="173"/>
      <c r="C6" s="85"/>
      <c r="D6" s="3107" t="s">
        <v>2347</v>
      </c>
      <c r="E6" s="3108"/>
      <c r="F6" s="3108"/>
      <c r="G6" s="3109"/>
      <c r="H6" s="3108"/>
      <c r="I6" s="3109"/>
      <c r="J6" s="3109"/>
      <c r="K6" s="3109"/>
      <c r="L6" s="3109"/>
      <c r="M6" s="3110"/>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26"/>
      <c r="AU6" s="26"/>
      <c r="AV6" s="26"/>
      <c r="AW6" s="26"/>
      <c r="AX6" s="26"/>
      <c r="AY6" s="26"/>
      <c r="AZ6" s="26"/>
      <c r="BA6" s="31"/>
      <c r="BB6" s="26"/>
      <c r="BC6" s="26"/>
      <c r="BD6" s="26"/>
      <c r="BE6" s="26"/>
      <c r="BF6" s="26"/>
      <c r="BG6" s="26"/>
      <c r="BH6" s="26"/>
      <c r="BI6" s="26"/>
      <c r="BJ6" s="26"/>
      <c r="BK6" s="26"/>
      <c r="BL6" s="87"/>
    </row>
    <row r="7" spans="1:64" s="38" customFormat="1" ht="13.5" customHeight="1" thickBot="1">
      <c r="A7" s="3570" t="s">
        <v>1306</v>
      </c>
      <c r="B7" s="3610"/>
      <c r="C7" s="85"/>
      <c r="D7" s="3115" t="s">
        <v>2348</v>
      </c>
      <c r="E7" s="1998"/>
      <c r="F7" s="1998"/>
      <c r="G7" s="97"/>
      <c r="H7" s="1998"/>
      <c r="I7" s="97"/>
      <c r="J7" s="97"/>
      <c r="K7" s="97"/>
      <c r="L7" s="97"/>
      <c r="M7" s="3116"/>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26"/>
      <c r="AU7" s="26"/>
      <c r="AV7" s="26"/>
      <c r="AW7" s="26"/>
      <c r="AX7" s="26"/>
      <c r="AY7" s="26"/>
      <c r="AZ7" s="26"/>
      <c r="BA7" s="31"/>
      <c r="BB7" s="26"/>
      <c r="BC7" s="26"/>
      <c r="BD7" s="26"/>
      <c r="BE7" s="26"/>
      <c r="BF7" s="26"/>
      <c r="BG7" s="26"/>
      <c r="BH7" s="26"/>
      <c r="BI7" s="26"/>
      <c r="BJ7" s="26"/>
      <c r="BK7" s="26"/>
      <c r="BL7" s="87"/>
    </row>
    <row r="8" spans="1:64" s="38" customFormat="1" ht="13.5" customHeight="1" thickBot="1">
      <c r="B8" s="85"/>
      <c r="C8" s="85"/>
      <c r="D8" s="3111" t="s">
        <v>2349</v>
      </c>
      <c r="E8" s="3112"/>
      <c r="F8" s="3112"/>
      <c r="G8" s="3113"/>
      <c r="H8" s="3112"/>
      <c r="I8" s="3113"/>
      <c r="J8" s="3113"/>
      <c r="K8" s="3113"/>
      <c r="L8" s="3113"/>
      <c r="M8" s="3114"/>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26"/>
      <c r="AU8" s="26"/>
      <c r="AV8" s="26"/>
      <c r="AW8" s="26"/>
      <c r="AX8" s="26"/>
      <c r="AY8" s="26"/>
      <c r="AZ8" s="26"/>
      <c r="BA8" s="31"/>
      <c r="BB8" s="26"/>
      <c r="BC8" s="26"/>
      <c r="BD8" s="26"/>
      <c r="BE8" s="26"/>
      <c r="BF8" s="26"/>
      <c r="BG8" s="26"/>
      <c r="BH8" s="26"/>
      <c r="BI8" s="26"/>
      <c r="BJ8" s="26"/>
      <c r="BK8" s="26"/>
      <c r="BL8" s="87"/>
    </row>
    <row r="9" spans="1:64" s="38" customFormat="1" ht="13.5" customHeight="1" thickTop="1" thickBot="1">
      <c r="B9" s="85"/>
      <c r="C9" s="85"/>
      <c r="D9" s="3165"/>
      <c r="E9" s="1998"/>
      <c r="F9" s="1998"/>
      <c r="G9" s="97"/>
      <c r="H9" s="1998"/>
      <c r="I9" s="97"/>
      <c r="J9" s="97"/>
      <c r="K9" s="97"/>
      <c r="L9" s="97"/>
      <c r="M9" s="97"/>
      <c r="N9" s="97"/>
      <c r="O9" s="97"/>
      <c r="P9" s="97"/>
      <c r="Q9" s="97"/>
      <c r="R9" s="97"/>
      <c r="S9" s="97"/>
      <c r="T9" s="97"/>
      <c r="U9" s="97"/>
      <c r="V9" s="97"/>
      <c r="W9" s="97"/>
      <c r="X9" s="97"/>
      <c r="Y9" s="97"/>
      <c r="Z9" s="97"/>
      <c r="AA9" s="97"/>
      <c r="AB9" s="97"/>
      <c r="AC9" s="97"/>
      <c r="AD9" s="97"/>
      <c r="AE9" s="97"/>
      <c r="AF9" s="97"/>
      <c r="AG9" s="97"/>
      <c r="AH9" s="97"/>
      <c r="AI9" s="97"/>
      <c r="AJ9" s="97"/>
      <c r="AK9" s="97"/>
      <c r="AL9" s="97"/>
      <c r="AM9" s="97"/>
      <c r="AN9" s="97"/>
      <c r="AO9" s="97"/>
      <c r="AP9" s="97"/>
      <c r="AQ9" s="97"/>
      <c r="AR9" s="97"/>
      <c r="AS9" s="97"/>
      <c r="AT9" s="26"/>
      <c r="AU9" s="26"/>
      <c r="AV9" s="26"/>
      <c r="AW9" s="26"/>
      <c r="AX9" s="26"/>
      <c r="AY9" s="26"/>
      <c r="AZ9" s="26"/>
      <c r="BA9" s="31"/>
      <c r="BB9" s="26"/>
      <c r="BC9" s="26"/>
      <c r="BD9" s="26"/>
      <c r="BE9" s="26"/>
      <c r="BF9" s="26"/>
      <c r="BG9" s="26"/>
      <c r="BH9" s="26"/>
      <c r="BI9" s="26"/>
      <c r="BJ9" s="26"/>
      <c r="BK9" s="26"/>
      <c r="BL9" s="87"/>
    </row>
    <row r="10" spans="1:64" s="22" customFormat="1" ht="13.5" customHeight="1" thickTop="1" thickBot="1">
      <c r="A10" s="137" t="s">
        <v>608</v>
      </c>
      <c r="B10" s="143"/>
      <c r="C10" s="145"/>
      <c r="D10" s="138"/>
      <c r="E10" s="138"/>
      <c r="F10" s="138"/>
      <c r="G10" s="138"/>
      <c r="H10" s="138"/>
      <c r="I10" s="138"/>
      <c r="J10" s="138"/>
      <c r="K10" s="138"/>
      <c r="L10" s="138"/>
      <c r="M10" s="139"/>
      <c r="N10" s="80"/>
      <c r="O10" s="80"/>
      <c r="P10" s="80"/>
      <c r="Q10" s="80"/>
      <c r="R10" s="80"/>
      <c r="S10" s="80"/>
      <c r="T10" s="80"/>
      <c r="U10" s="80"/>
      <c r="V10" s="80"/>
      <c r="W10" s="80"/>
      <c r="X10" s="80"/>
      <c r="Y10" s="80"/>
      <c r="Z10" s="80"/>
      <c r="AA10" s="80"/>
      <c r="AB10" s="119"/>
      <c r="AC10" s="119"/>
      <c r="AD10" s="80"/>
      <c r="AE10" s="80"/>
      <c r="AF10" s="80"/>
      <c r="AG10" s="80"/>
      <c r="AH10" s="80"/>
      <c r="AI10" s="80"/>
      <c r="AJ10" s="80"/>
      <c r="AK10" s="80"/>
      <c r="AL10" s="80"/>
      <c r="AM10" s="80"/>
      <c r="AN10" s="80"/>
      <c r="AO10" s="80"/>
      <c r="AP10" s="80"/>
      <c r="AQ10" s="80"/>
      <c r="AR10" s="119"/>
      <c r="AS10" s="119"/>
      <c r="AT10" s="29"/>
      <c r="AU10" s="29"/>
      <c r="AV10" s="29"/>
      <c r="AW10" s="29"/>
      <c r="AX10" s="29"/>
      <c r="AY10" s="29"/>
      <c r="AZ10" s="29"/>
      <c r="BA10" s="29"/>
      <c r="BB10" s="29"/>
      <c r="BC10" s="29"/>
      <c r="BD10" s="29"/>
      <c r="BE10" s="29"/>
      <c r="BF10" s="29"/>
      <c r="BG10" s="29"/>
      <c r="BH10" s="29"/>
      <c r="BI10" s="29"/>
      <c r="BJ10" s="29"/>
      <c r="BK10" s="29"/>
    </row>
    <row r="11" spans="1:64" ht="13.5" customHeight="1" thickTop="1" thickBot="1">
      <c r="A11" s="122" t="s">
        <v>606</v>
      </c>
      <c r="B11" s="126"/>
      <c r="C11" s="127" t="s">
        <v>607</v>
      </c>
      <c r="D11" s="125" t="s">
        <v>609</v>
      </c>
      <c r="E11" s="123"/>
      <c r="F11" s="123"/>
      <c r="G11" s="123"/>
      <c r="H11" s="123"/>
      <c r="I11" s="123"/>
      <c r="J11" s="123"/>
      <c r="K11" s="123"/>
      <c r="L11" s="123"/>
      <c r="M11" s="124"/>
      <c r="N11" s="120"/>
      <c r="O11" s="30"/>
      <c r="P11" s="30"/>
      <c r="Q11" s="30"/>
      <c r="R11" s="30"/>
      <c r="S11" s="30"/>
      <c r="T11" s="30"/>
      <c r="U11" s="30"/>
      <c r="V11" s="30"/>
      <c r="W11" s="30"/>
      <c r="X11" s="30"/>
      <c r="Y11" s="30"/>
      <c r="Z11" s="30"/>
      <c r="AA11" s="30"/>
      <c r="AB11" s="30"/>
      <c r="AC11" s="30"/>
      <c r="AD11" s="120"/>
      <c r="AE11" s="30"/>
      <c r="AF11" s="30"/>
      <c r="AG11" s="30"/>
      <c r="AH11" s="30"/>
      <c r="AI11" s="30"/>
      <c r="AJ11" s="30"/>
      <c r="AK11" s="30"/>
      <c r="AL11" s="30"/>
      <c r="AM11" s="30"/>
      <c r="AN11" s="30"/>
      <c r="AO11" s="30"/>
      <c r="AP11" s="30"/>
      <c r="AQ11" s="30"/>
      <c r="AR11" s="30"/>
      <c r="AS11" s="30"/>
    </row>
    <row r="12" spans="1:64" s="3308" customFormat="1" ht="13.5" customHeight="1" thickTop="1">
      <c r="A12" s="3418" t="s">
        <v>2491</v>
      </c>
      <c r="C12" s="3136">
        <v>43586</v>
      </c>
      <c r="D12" s="3449" t="s">
        <v>2460</v>
      </c>
      <c r="M12" s="2499"/>
      <c r="N12" s="120"/>
      <c r="O12" s="2647"/>
      <c r="P12" s="3310"/>
      <c r="Q12" s="3310"/>
      <c r="R12" s="3310"/>
      <c r="S12" s="3310"/>
      <c r="T12" s="3310"/>
      <c r="U12" s="3310"/>
      <c r="V12" s="3310"/>
      <c r="W12" s="3310"/>
      <c r="X12" s="3310"/>
      <c r="Y12" s="3310"/>
      <c r="Z12" s="3310"/>
      <c r="AA12" s="3310"/>
      <c r="AB12" s="3310"/>
      <c r="AC12" s="3310"/>
      <c r="AD12" s="120"/>
      <c r="AE12" s="3310"/>
      <c r="AF12" s="3310"/>
      <c r="AG12" s="3310"/>
      <c r="AH12" s="3310"/>
      <c r="AI12" s="3310"/>
      <c r="AJ12" s="3310"/>
      <c r="AK12" s="3310"/>
      <c r="AL12" s="3310"/>
      <c r="AM12" s="3310"/>
      <c r="AN12" s="3310"/>
      <c r="AO12" s="3310"/>
      <c r="AP12" s="3310"/>
      <c r="AQ12" s="3310"/>
      <c r="AR12" s="3310"/>
      <c r="AS12" s="3310"/>
      <c r="AT12" s="3309"/>
      <c r="AU12" s="3309"/>
      <c r="AV12" s="3309"/>
      <c r="AW12" s="3309"/>
      <c r="AX12" s="3309"/>
      <c r="AY12" s="3309"/>
      <c r="AZ12" s="3309"/>
      <c r="BA12" s="3309"/>
      <c r="BB12" s="3309"/>
      <c r="BC12" s="3309"/>
      <c r="BD12" s="3309"/>
      <c r="BE12" s="3309"/>
      <c r="BF12" s="3309"/>
      <c r="BG12" s="3309"/>
      <c r="BH12" s="3309"/>
      <c r="BI12" s="3309"/>
      <c r="BJ12" s="3309"/>
      <c r="BK12" s="3309"/>
    </row>
    <row r="13" spans="1:64">
      <c r="C13" s="3451"/>
      <c r="D13" s="2560" t="s">
        <v>2459</v>
      </c>
      <c r="M13" s="55"/>
    </row>
    <row r="14" spans="1:64" s="3417" customFormat="1">
      <c r="C14" s="3451"/>
      <c r="D14" s="2560" t="s">
        <v>2495</v>
      </c>
      <c r="M14" s="55"/>
      <c r="N14" s="3420"/>
      <c r="O14" s="3420"/>
      <c r="P14" s="3420"/>
      <c r="Q14" s="3420"/>
      <c r="R14" s="3420"/>
      <c r="S14" s="3420"/>
      <c r="T14" s="3420"/>
      <c r="U14" s="3420"/>
      <c r="V14" s="3420"/>
      <c r="W14" s="3420"/>
      <c r="X14" s="3420"/>
      <c r="Y14" s="3420"/>
      <c r="Z14" s="3420"/>
      <c r="AA14" s="3420"/>
      <c r="AB14" s="3420"/>
      <c r="AC14" s="3420"/>
      <c r="AD14" s="3420"/>
      <c r="AE14" s="3420"/>
      <c r="AF14" s="3420"/>
      <c r="AG14" s="3420"/>
      <c r="AH14" s="3420"/>
      <c r="AI14" s="3420"/>
      <c r="AJ14" s="3420"/>
      <c r="AK14" s="3420"/>
      <c r="AL14" s="3420"/>
      <c r="AM14" s="3420"/>
      <c r="AN14" s="3420"/>
      <c r="AO14" s="3420"/>
      <c r="AP14" s="3420"/>
      <c r="AQ14" s="3420"/>
      <c r="AR14" s="3420"/>
      <c r="AS14" s="3420"/>
      <c r="AT14" s="3420"/>
      <c r="AU14" s="3420"/>
      <c r="AV14" s="3420"/>
      <c r="AW14" s="3420"/>
      <c r="AX14" s="3420"/>
      <c r="AY14" s="3420"/>
      <c r="AZ14" s="3420"/>
      <c r="BA14" s="3420"/>
      <c r="BB14" s="3420"/>
      <c r="BC14" s="3420"/>
      <c r="BD14" s="3420"/>
      <c r="BE14" s="3420"/>
      <c r="BF14" s="3420"/>
      <c r="BG14" s="3420"/>
      <c r="BH14" s="3420"/>
      <c r="BI14" s="3420"/>
      <c r="BJ14" s="3420"/>
      <c r="BK14" s="3420"/>
    </row>
    <row r="15" spans="1:64" s="3417" customFormat="1">
      <c r="A15" s="3422"/>
      <c r="C15" s="3452"/>
      <c r="D15" s="2560" t="s">
        <v>2457</v>
      </c>
      <c r="M15" s="55"/>
      <c r="N15" s="3420"/>
      <c r="O15" s="3420"/>
      <c r="P15" s="3420"/>
      <c r="Q15" s="3420"/>
      <c r="R15" s="3420"/>
      <c r="S15" s="3420"/>
      <c r="T15" s="3420"/>
      <c r="U15" s="3420"/>
      <c r="V15" s="3420"/>
      <c r="W15" s="3420"/>
      <c r="X15" s="3420"/>
      <c r="Y15" s="3420"/>
      <c r="Z15" s="3420"/>
      <c r="AA15" s="3420"/>
      <c r="AB15" s="3420"/>
      <c r="AC15" s="3420"/>
      <c r="AD15" s="3420"/>
      <c r="AE15" s="3420"/>
      <c r="AF15" s="3420"/>
      <c r="AG15" s="3420"/>
      <c r="AH15" s="3420"/>
      <c r="AI15" s="3420"/>
      <c r="AJ15" s="3420"/>
      <c r="AK15" s="3420"/>
      <c r="AL15" s="3420"/>
      <c r="AM15" s="3420"/>
      <c r="AN15" s="3420"/>
      <c r="AO15" s="3420"/>
      <c r="AP15" s="3420"/>
      <c r="AQ15" s="3420"/>
      <c r="AR15" s="3420"/>
      <c r="AS15" s="3420"/>
      <c r="AT15" s="3420"/>
      <c r="AU15" s="3420"/>
      <c r="AV15" s="3420"/>
      <c r="AW15" s="3420"/>
      <c r="AX15" s="3420"/>
      <c r="AY15" s="3420"/>
      <c r="AZ15" s="3420"/>
      <c r="BA15" s="3420"/>
      <c r="BB15" s="3420"/>
      <c r="BC15" s="3420"/>
      <c r="BD15" s="3420"/>
      <c r="BE15" s="3420"/>
      <c r="BF15" s="3420"/>
      <c r="BG15" s="3420"/>
      <c r="BH15" s="3420"/>
      <c r="BI15" s="3420"/>
      <c r="BJ15" s="3420"/>
      <c r="BK15" s="3420"/>
    </row>
    <row r="16" spans="1:64" s="3417" customFormat="1">
      <c r="A16" s="3422"/>
      <c r="C16" s="3452"/>
      <c r="D16" s="2560" t="s">
        <v>2458</v>
      </c>
      <c r="M16" s="55"/>
      <c r="N16" s="3420"/>
      <c r="O16" s="3420"/>
      <c r="P16" s="3420"/>
      <c r="Q16" s="3420"/>
      <c r="R16" s="3420"/>
      <c r="S16" s="3420"/>
      <c r="T16" s="3420"/>
      <c r="U16" s="3420"/>
      <c r="V16" s="3420"/>
      <c r="W16" s="3420"/>
      <c r="X16" s="3420"/>
      <c r="Y16" s="3420"/>
      <c r="Z16" s="3420"/>
      <c r="AA16" s="3420"/>
      <c r="AB16" s="3420"/>
      <c r="AC16" s="3420"/>
      <c r="AD16" s="3420"/>
      <c r="AE16" s="3420"/>
      <c r="AF16" s="3420"/>
      <c r="AG16" s="3420"/>
      <c r="AH16" s="3420"/>
      <c r="AI16" s="3420"/>
      <c r="AJ16" s="3420"/>
      <c r="AK16" s="3420"/>
      <c r="AL16" s="3420"/>
      <c r="AM16" s="3420"/>
      <c r="AN16" s="3420"/>
      <c r="AO16" s="3420"/>
      <c r="AP16" s="3420"/>
      <c r="AQ16" s="3420"/>
      <c r="AR16" s="3420"/>
      <c r="AS16" s="3420"/>
      <c r="AT16" s="3420"/>
      <c r="AU16" s="3420"/>
      <c r="AV16" s="3420"/>
      <c r="AW16" s="3420"/>
      <c r="AX16" s="3420"/>
      <c r="AY16" s="3420"/>
      <c r="AZ16" s="3420"/>
      <c r="BA16" s="3420"/>
      <c r="BB16" s="3420"/>
      <c r="BC16" s="3420"/>
      <c r="BD16" s="3420"/>
      <c r="BE16" s="3420"/>
      <c r="BF16" s="3420"/>
      <c r="BG16" s="3420"/>
      <c r="BH16" s="3420"/>
      <c r="BI16" s="3420"/>
      <c r="BJ16" s="3420"/>
      <c r="BK16" s="3420"/>
    </row>
    <row r="17" spans="1:63" s="3417" customFormat="1">
      <c r="A17" s="3422"/>
      <c r="C17" s="3452"/>
      <c r="D17" s="188" t="s">
        <v>2454</v>
      </c>
      <c r="M17" s="55"/>
      <c r="N17" s="3420"/>
      <c r="O17" s="3420"/>
      <c r="P17" s="3420"/>
      <c r="Q17" s="3420"/>
      <c r="R17" s="3420"/>
      <c r="S17" s="3420"/>
      <c r="T17" s="3420"/>
      <c r="U17" s="3420"/>
      <c r="V17" s="3420"/>
      <c r="W17" s="3420"/>
      <c r="X17" s="3420"/>
      <c r="Y17" s="3420"/>
      <c r="Z17" s="3420"/>
      <c r="AA17" s="3420"/>
      <c r="AB17" s="3420"/>
      <c r="AC17" s="3420"/>
      <c r="AD17" s="3420"/>
      <c r="AE17" s="3420"/>
      <c r="AF17" s="3420"/>
      <c r="AG17" s="3420"/>
      <c r="AH17" s="3420"/>
      <c r="AI17" s="3420"/>
      <c r="AJ17" s="3420"/>
      <c r="AK17" s="3420"/>
      <c r="AL17" s="3420"/>
      <c r="AM17" s="3420"/>
      <c r="AN17" s="3420"/>
      <c r="AO17" s="3420"/>
      <c r="AP17" s="3420"/>
      <c r="AQ17" s="3420"/>
      <c r="AR17" s="3420"/>
      <c r="AS17" s="3420"/>
      <c r="AT17" s="3420"/>
      <c r="AU17" s="3420"/>
      <c r="AV17" s="3420"/>
      <c r="AW17" s="3420"/>
      <c r="AX17" s="3420"/>
      <c r="AY17" s="3420"/>
      <c r="AZ17" s="3420"/>
      <c r="BA17" s="3420"/>
      <c r="BB17" s="3420"/>
      <c r="BC17" s="3420"/>
      <c r="BD17" s="3420"/>
      <c r="BE17" s="3420"/>
      <c r="BF17" s="3420"/>
      <c r="BG17" s="3420"/>
      <c r="BH17" s="3420"/>
      <c r="BI17" s="3420"/>
      <c r="BJ17" s="3420"/>
      <c r="BK17" s="3420"/>
    </row>
    <row r="18" spans="1:63" s="3417" customFormat="1">
      <c r="A18" s="3422"/>
      <c r="C18" s="3162"/>
      <c r="D18" s="188" t="s">
        <v>2455</v>
      </c>
      <c r="E18" s="186"/>
      <c r="F18" s="186"/>
      <c r="G18" s="186"/>
      <c r="H18" s="186"/>
      <c r="I18" s="186"/>
      <c r="J18" s="186"/>
      <c r="K18" s="186"/>
      <c r="L18" s="186"/>
      <c r="M18" s="187"/>
      <c r="N18" s="3420"/>
      <c r="O18" s="3420"/>
      <c r="P18" s="3420"/>
      <c r="Q18" s="3420"/>
      <c r="R18" s="3420"/>
      <c r="S18" s="3420"/>
      <c r="T18" s="3420"/>
      <c r="U18" s="3420"/>
      <c r="V18" s="3420"/>
      <c r="W18" s="3420"/>
      <c r="X18" s="3420"/>
      <c r="Y18" s="3420"/>
      <c r="Z18" s="3420"/>
      <c r="AA18" s="3420"/>
      <c r="AB18" s="3420"/>
      <c r="AC18" s="3420"/>
      <c r="AD18" s="3420"/>
      <c r="AE18" s="3420"/>
      <c r="AF18" s="3420"/>
      <c r="AG18" s="3420"/>
      <c r="AH18" s="3420"/>
      <c r="AI18" s="3420"/>
      <c r="AJ18" s="3420"/>
      <c r="AK18" s="3420"/>
      <c r="AL18" s="3420"/>
      <c r="AM18" s="3420"/>
      <c r="AN18" s="3420"/>
      <c r="AO18" s="3420"/>
      <c r="AP18" s="3420"/>
      <c r="AQ18" s="3420"/>
      <c r="AR18" s="3420"/>
      <c r="AS18" s="3420"/>
      <c r="AT18" s="3420"/>
      <c r="AU18" s="3420"/>
      <c r="AV18" s="3420"/>
      <c r="AW18" s="3420"/>
      <c r="AX18" s="3420"/>
      <c r="AY18" s="3420"/>
      <c r="AZ18" s="3420"/>
      <c r="BA18" s="3420"/>
      <c r="BB18" s="3420"/>
      <c r="BC18" s="3420"/>
      <c r="BD18" s="3420"/>
      <c r="BE18" s="3420"/>
      <c r="BF18" s="3420"/>
      <c r="BG18" s="3420"/>
      <c r="BH18" s="3420"/>
      <c r="BI18" s="3420"/>
      <c r="BJ18" s="3420"/>
      <c r="BK18" s="3420"/>
    </row>
    <row r="19" spans="1:63" ht="13.5" customHeight="1" thickBot="1">
      <c r="A19" s="2850"/>
      <c r="B19" s="37"/>
      <c r="C19" s="3468"/>
      <c r="D19" s="3450" t="s">
        <v>2456</v>
      </c>
      <c r="E19" s="3141"/>
      <c r="F19" s="3141"/>
      <c r="G19" s="3141"/>
      <c r="H19" s="3141"/>
      <c r="I19" s="3141"/>
      <c r="J19" s="3141"/>
      <c r="K19" s="3141"/>
      <c r="L19" s="3141"/>
      <c r="M19" s="3142"/>
      <c r="N19" s="120"/>
      <c r="O19" s="2647"/>
      <c r="P19" s="30"/>
      <c r="Q19" s="30"/>
      <c r="R19" s="30"/>
      <c r="S19" s="30"/>
      <c r="T19" s="30"/>
      <c r="U19" s="30"/>
      <c r="V19" s="30"/>
      <c r="W19" s="30"/>
      <c r="X19" s="30"/>
      <c r="Y19" s="30"/>
      <c r="Z19" s="30"/>
      <c r="AA19" s="30"/>
      <c r="AB19" s="30"/>
      <c r="AC19" s="30"/>
      <c r="AD19" s="120"/>
      <c r="AE19" s="30"/>
      <c r="AF19" s="30"/>
      <c r="AG19" s="30"/>
      <c r="AH19" s="30"/>
      <c r="AI19" s="30"/>
      <c r="AJ19" s="30"/>
      <c r="AK19" s="30"/>
      <c r="AL19" s="30"/>
      <c r="AM19" s="30"/>
      <c r="AN19" s="30"/>
      <c r="AO19" s="30"/>
      <c r="AP19" s="30"/>
      <c r="AQ19" s="30"/>
      <c r="AR19" s="30"/>
      <c r="AS19" s="30"/>
    </row>
    <row r="20" spans="1:63" ht="14.4" thickTop="1" thickBot="1">
      <c r="A20" s="137" t="s">
        <v>9</v>
      </c>
      <c r="B20" s="142"/>
      <c r="C20" s="145"/>
      <c r="D20" s="140"/>
      <c r="E20" s="140"/>
      <c r="F20" s="140"/>
      <c r="G20" s="140"/>
      <c r="H20" s="140"/>
      <c r="I20" s="140"/>
      <c r="J20" s="140"/>
      <c r="K20" s="140"/>
      <c r="L20" s="140"/>
      <c r="M20" s="141"/>
      <c r="N20" s="73"/>
      <c r="O20" s="73"/>
      <c r="P20" s="73"/>
      <c r="Q20" s="73"/>
      <c r="R20" s="73"/>
      <c r="S20" s="73"/>
      <c r="T20" s="73"/>
      <c r="U20" s="73"/>
      <c r="V20" s="73"/>
      <c r="W20" s="73"/>
      <c r="X20" s="73"/>
      <c r="Y20" s="73"/>
      <c r="Z20" s="73"/>
      <c r="AA20" s="73"/>
      <c r="AB20" s="65"/>
      <c r="AC20" s="65"/>
      <c r="AD20" s="73"/>
      <c r="AE20" s="73"/>
      <c r="AF20" s="73"/>
      <c r="AG20" s="73"/>
      <c r="AH20" s="73"/>
      <c r="AI20" s="73"/>
      <c r="AJ20" s="73"/>
      <c r="AK20" s="73"/>
      <c r="AL20" s="73"/>
      <c r="AM20" s="73"/>
      <c r="AN20" s="73"/>
      <c r="AO20" s="73"/>
      <c r="AP20" s="73"/>
      <c r="AQ20" s="73"/>
      <c r="AR20" s="65"/>
      <c r="AS20" s="65"/>
    </row>
    <row r="21" spans="1:63" ht="13.5" customHeight="1" thickTop="1">
      <c r="A21" s="189" t="s">
        <v>2140</v>
      </c>
      <c r="B21" s="242"/>
      <c r="C21" s="3162">
        <v>43405</v>
      </c>
      <c r="D21" s="2498" t="s">
        <v>2136</v>
      </c>
      <c r="E21" s="2498"/>
      <c r="F21" s="2498"/>
      <c r="G21" s="2498"/>
      <c r="H21" s="2498"/>
      <c r="I21" s="2498"/>
      <c r="J21" s="2498"/>
      <c r="K21" s="2498"/>
      <c r="L21" s="2498"/>
      <c r="M21" s="2499"/>
      <c r="N21" s="120"/>
      <c r="O21" s="2647"/>
      <c r="P21" s="30"/>
      <c r="Q21" s="30"/>
      <c r="R21" s="30"/>
      <c r="S21" s="30"/>
      <c r="T21" s="30"/>
      <c r="U21" s="30"/>
      <c r="V21" s="30"/>
      <c r="W21" s="30"/>
      <c r="X21" s="30"/>
      <c r="Y21" s="30"/>
      <c r="Z21" s="30"/>
      <c r="AA21" s="30"/>
      <c r="AB21" s="30"/>
      <c r="AC21" s="30"/>
      <c r="AD21" s="120"/>
      <c r="AE21" s="30"/>
      <c r="AF21" s="30"/>
      <c r="AG21" s="30"/>
      <c r="AH21" s="30"/>
      <c r="AI21" s="30"/>
      <c r="AJ21" s="30"/>
      <c r="AK21" s="30"/>
      <c r="AL21" s="30"/>
      <c r="AM21" s="30"/>
      <c r="AN21" s="30"/>
      <c r="AO21" s="30"/>
      <c r="AP21" s="30"/>
      <c r="AQ21" s="30"/>
      <c r="AR21" s="30"/>
      <c r="AS21" s="30"/>
    </row>
    <row r="22" spans="1:63" ht="13.5" customHeight="1">
      <c r="A22" s="22"/>
      <c r="B22" s="242"/>
      <c r="C22" s="3162"/>
      <c r="D22" s="128" t="s">
        <v>2137</v>
      </c>
      <c r="L22" s="186"/>
      <c r="M22" s="187"/>
      <c r="N22" s="120"/>
      <c r="O22" s="30"/>
      <c r="P22" s="2647"/>
      <c r="Q22" s="30"/>
      <c r="R22" s="30"/>
      <c r="S22" s="30"/>
      <c r="T22" s="30"/>
      <c r="U22" s="30"/>
      <c r="V22" s="30"/>
      <c r="W22" s="30"/>
      <c r="X22" s="30"/>
      <c r="Y22" s="30"/>
      <c r="Z22" s="30"/>
      <c r="AA22" s="30"/>
      <c r="AB22" s="30"/>
      <c r="AC22" s="30"/>
      <c r="AD22" s="120"/>
      <c r="AE22" s="30"/>
      <c r="AF22" s="30"/>
      <c r="AG22" s="30"/>
      <c r="AH22" s="30"/>
      <c r="AI22" s="30"/>
      <c r="AJ22" s="30"/>
      <c r="AK22" s="30"/>
      <c r="AL22" s="30"/>
      <c r="AM22" s="30"/>
      <c r="AN22" s="30"/>
      <c r="AO22" s="30"/>
      <c r="AP22" s="30"/>
      <c r="AQ22" s="30"/>
      <c r="AR22" s="30"/>
      <c r="AS22" s="30"/>
    </row>
    <row r="23" spans="1:63" ht="13.5" customHeight="1">
      <c r="A23" s="22"/>
      <c r="B23" s="242"/>
      <c r="C23" s="3162"/>
      <c r="D23" s="2498" t="s">
        <v>2138</v>
      </c>
      <c r="L23" s="186"/>
      <c r="M23" s="187"/>
      <c r="N23" s="120"/>
      <c r="O23" s="30"/>
      <c r="P23" s="30"/>
      <c r="Q23" s="30"/>
      <c r="R23" s="30"/>
      <c r="S23" s="30"/>
      <c r="T23" s="30"/>
      <c r="U23" s="30"/>
      <c r="V23" s="30"/>
      <c r="W23" s="30"/>
      <c r="X23" s="30"/>
      <c r="Y23" s="30"/>
      <c r="Z23" s="30"/>
      <c r="AA23" s="30"/>
      <c r="AB23" s="30"/>
      <c r="AC23" s="30"/>
      <c r="AD23" s="120"/>
      <c r="AE23" s="30"/>
      <c r="AF23" s="30"/>
      <c r="AG23" s="30"/>
      <c r="AH23" s="30"/>
      <c r="AI23" s="30"/>
      <c r="AJ23" s="30"/>
      <c r="AK23" s="30"/>
      <c r="AL23" s="30"/>
      <c r="AM23" s="30"/>
      <c r="AN23" s="30"/>
      <c r="AO23" s="30"/>
      <c r="AP23" s="30"/>
      <c r="AQ23" s="30"/>
      <c r="AR23" s="30"/>
      <c r="AS23" s="30"/>
    </row>
    <row r="24" spans="1:63" ht="13.5" customHeight="1">
      <c r="A24" s="22"/>
      <c r="B24" s="242"/>
      <c r="C24" s="3162"/>
      <c r="D24" s="2498" t="s">
        <v>2139</v>
      </c>
      <c r="L24" s="186"/>
      <c r="M24" s="187"/>
      <c r="N24" s="120"/>
      <c r="O24" s="30"/>
      <c r="P24" s="30"/>
      <c r="Q24" s="30"/>
      <c r="R24" s="30"/>
      <c r="S24" s="30"/>
      <c r="T24" s="30"/>
      <c r="U24" s="30"/>
      <c r="V24" s="30"/>
      <c r="W24" s="30"/>
      <c r="X24" s="30"/>
      <c r="Y24" s="30"/>
      <c r="Z24" s="30"/>
      <c r="AA24" s="30"/>
      <c r="AB24" s="30"/>
      <c r="AC24" s="30"/>
      <c r="AD24" s="120"/>
      <c r="AE24" s="30"/>
      <c r="AF24" s="30"/>
      <c r="AG24" s="30"/>
      <c r="AH24" s="30"/>
      <c r="AI24" s="30"/>
      <c r="AJ24" s="30"/>
      <c r="AK24" s="30"/>
      <c r="AL24" s="30"/>
      <c r="AM24" s="30"/>
      <c r="AN24" s="30"/>
      <c r="AO24" s="30"/>
      <c r="AP24" s="30"/>
      <c r="AQ24" s="30"/>
      <c r="AR24" s="30"/>
      <c r="AS24" s="30"/>
    </row>
    <row r="25" spans="1:63" ht="13.2" customHeight="1" thickBot="1">
      <c r="C25" s="3162"/>
      <c r="D25" s="2498" t="s">
        <v>2127</v>
      </c>
      <c r="L25" s="186"/>
      <c r="M25" s="187"/>
      <c r="N25" s="120"/>
      <c r="O25" s="30"/>
      <c r="P25" s="30"/>
      <c r="Q25" s="30"/>
      <c r="R25" s="30"/>
      <c r="S25" s="30"/>
      <c r="T25" s="30"/>
      <c r="U25" s="30"/>
      <c r="V25" s="30"/>
      <c r="W25" s="30"/>
      <c r="X25" s="30"/>
      <c r="Y25" s="30"/>
      <c r="Z25" s="30"/>
      <c r="AA25" s="30"/>
      <c r="AB25" s="30"/>
      <c r="AC25" s="30"/>
      <c r="AD25" s="120"/>
      <c r="AE25" s="30"/>
      <c r="AF25" s="30"/>
      <c r="AG25" s="30"/>
      <c r="AH25" s="30"/>
      <c r="AI25" s="30"/>
      <c r="AJ25" s="30"/>
      <c r="AK25" s="30"/>
      <c r="AL25" s="30"/>
      <c r="AM25" s="30"/>
      <c r="AN25" s="30"/>
      <c r="AO25" s="30"/>
      <c r="AP25" s="30"/>
      <c r="AQ25" s="30"/>
      <c r="AR25" s="30"/>
      <c r="AS25" s="30"/>
    </row>
    <row r="26" spans="1:63" ht="13.5" customHeight="1" thickTop="1">
      <c r="A26" s="3027" t="s">
        <v>2122</v>
      </c>
      <c r="B26" s="3153"/>
      <c r="C26" s="3136">
        <v>43252</v>
      </c>
      <c r="D26" s="3157" t="s">
        <v>2125</v>
      </c>
      <c r="E26" s="3158"/>
      <c r="F26" s="3158"/>
      <c r="G26" s="3158"/>
      <c r="H26" s="3158"/>
      <c r="I26" s="3158"/>
      <c r="J26" s="3158"/>
      <c r="K26" s="3158"/>
      <c r="L26" s="186"/>
      <c r="M26" s="2499"/>
      <c r="N26" s="120"/>
      <c r="O26" s="30"/>
      <c r="P26" s="30"/>
      <c r="Q26" s="30"/>
      <c r="R26" s="30"/>
      <c r="S26" s="30"/>
      <c r="T26" s="30"/>
      <c r="U26" s="30"/>
      <c r="V26" s="30"/>
      <c r="W26" s="30"/>
      <c r="X26" s="30"/>
      <c r="Y26" s="30"/>
      <c r="Z26" s="30"/>
      <c r="AA26" s="30"/>
      <c r="AB26" s="30"/>
      <c r="AC26" s="30"/>
      <c r="AD26" s="120"/>
      <c r="AE26" s="30"/>
      <c r="AF26" s="30"/>
      <c r="AG26" s="30"/>
      <c r="AH26" s="30"/>
      <c r="AI26" s="30"/>
      <c r="AJ26" s="30"/>
      <c r="AK26" s="30"/>
      <c r="AL26" s="30"/>
      <c r="AM26" s="30"/>
      <c r="AN26" s="30"/>
      <c r="AO26" s="30"/>
      <c r="AP26" s="30"/>
      <c r="AQ26" s="30"/>
      <c r="AR26" s="30"/>
      <c r="AS26" s="30"/>
    </row>
    <row r="27" spans="1:63" ht="13.5" customHeight="1" thickBot="1">
      <c r="A27" s="3139" t="s">
        <v>2123</v>
      </c>
      <c r="B27" s="3047"/>
      <c r="C27" s="3160"/>
      <c r="D27" s="3140" t="s">
        <v>2124</v>
      </c>
      <c r="E27" s="3141"/>
      <c r="F27" s="3141"/>
      <c r="G27" s="3141"/>
      <c r="H27" s="3141"/>
      <c r="I27" s="3141"/>
      <c r="J27" s="3141"/>
      <c r="K27" s="3141"/>
      <c r="L27" s="3141"/>
      <c r="M27" s="3142"/>
      <c r="N27" s="120"/>
      <c r="O27" s="30"/>
      <c r="P27" s="30"/>
      <c r="Q27" s="30"/>
      <c r="R27" s="30"/>
      <c r="S27" s="30"/>
      <c r="T27" s="30"/>
      <c r="U27" s="30"/>
      <c r="V27" s="30"/>
      <c r="W27" s="30"/>
      <c r="X27" s="30"/>
      <c r="Y27" s="30"/>
      <c r="Z27" s="30"/>
      <c r="AA27" s="30"/>
      <c r="AB27" s="30"/>
      <c r="AC27" s="30"/>
      <c r="AD27" s="120"/>
      <c r="AE27" s="30"/>
      <c r="AF27" s="30"/>
      <c r="AG27" s="30"/>
      <c r="AH27" s="30"/>
      <c r="AI27" s="30"/>
      <c r="AJ27" s="30"/>
      <c r="AK27" s="30"/>
      <c r="AL27" s="30"/>
      <c r="AM27" s="30"/>
      <c r="AN27" s="30"/>
      <c r="AO27" s="30"/>
      <c r="AP27" s="30"/>
      <c r="AQ27" s="30"/>
      <c r="AR27" s="30"/>
      <c r="AS27" s="30"/>
    </row>
    <row r="28" spans="1:63" ht="13.5" customHeight="1" thickTop="1">
      <c r="A28" s="91" t="s">
        <v>2074</v>
      </c>
      <c r="B28" s="3206"/>
      <c r="C28" s="3162">
        <v>43221</v>
      </c>
      <c r="D28" s="2498" t="s">
        <v>1973</v>
      </c>
      <c r="E28" s="186"/>
      <c r="F28" s="186"/>
      <c r="G28" s="186"/>
      <c r="H28" s="186"/>
      <c r="I28" s="186"/>
      <c r="J28" s="186"/>
      <c r="K28" s="186"/>
      <c r="L28" s="186"/>
      <c r="M28" s="2499"/>
      <c r="N28" s="120"/>
      <c r="O28" s="30"/>
      <c r="P28" s="30"/>
      <c r="Q28" s="30"/>
      <c r="R28" s="30"/>
      <c r="S28" s="30"/>
      <c r="T28" s="30"/>
      <c r="U28" s="30"/>
      <c r="V28" s="30"/>
      <c r="W28" s="30"/>
      <c r="X28" s="30"/>
      <c r="Y28" s="30"/>
      <c r="Z28" s="30"/>
      <c r="AA28" s="30"/>
      <c r="AB28" s="30"/>
      <c r="AC28" s="30"/>
      <c r="AD28" s="120"/>
      <c r="AE28" s="30"/>
      <c r="AF28" s="30"/>
      <c r="AG28" s="30"/>
      <c r="AH28" s="30"/>
      <c r="AI28" s="30"/>
      <c r="AJ28" s="30"/>
      <c r="AK28" s="30"/>
      <c r="AL28" s="30"/>
      <c r="AM28" s="30"/>
      <c r="AN28" s="30"/>
      <c r="AO28" s="30"/>
      <c r="AP28" s="30"/>
      <c r="AQ28" s="30"/>
      <c r="AR28" s="30"/>
      <c r="AS28" s="30"/>
    </row>
    <row r="29" spans="1:63" ht="13.5" customHeight="1">
      <c r="A29" s="189"/>
      <c r="B29" s="3206"/>
      <c r="C29" s="3162"/>
      <c r="D29" s="2498" t="s">
        <v>2075</v>
      </c>
      <c r="E29" s="186"/>
      <c r="F29" s="186"/>
      <c r="G29" s="186"/>
      <c r="H29" s="186"/>
      <c r="I29" s="186"/>
      <c r="J29" s="186"/>
      <c r="K29" s="186"/>
      <c r="L29" s="186"/>
      <c r="M29" s="187"/>
      <c r="N29" s="120"/>
      <c r="O29" s="30"/>
      <c r="P29" s="30"/>
      <c r="Q29" s="30"/>
      <c r="R29" s="30"/>
      <c r="S29" s="30"/>
      <c r="T29" s="30"/>
      <c r="U29" s="30"/>
      <c r="V29" s="30"/>
      <c r="W29" s="30"/>
      <c r="X29" s="30"/>
      <c r="Y29" s="30"/>
      <c r="Z29" s="30"/>
      <c r="AA29" s="30"/>
      <c r="AB29" s="30"/>
      <c r="AC29" s="30"/>
      <c r="AD29" s="120"/>
      <c r="AE29" s="30"/>
      <c r="AF29" s="30"/>
      <c r="AG29" s="30"/>
      <c r="AH29" s="30"/>
      <c r="AI29" s="30"/>
      <c r="AJ29" s="30"/>
      <c r="AK29" s="30"/>
      <c r="AL29" s="30"/>
      <c r="AM29" s="30"/>
      <c r="AN29" s="30"/>
      <c r="AO29" s="30"/>
      <c r="AP29" s="30"/>
      <c r="AQ29" s="30"/>
      <c r="AR29" s="30"/>
      <c r="AS29" s="30"/>
    </row>
    <row r="30" spans="1:63" ht="13.5" customHeight="1">
      <c r="A30" s="189"/>
      <c r="B30" s="3206"/>
      <c r="C30" s="3162"/>
      <c r="D30" s="2498" t="s">
        <v>2076</v>
      </c>
      <c r="E30" s="186"/>
      <c r="F30" s="186"/>
      <c r="G30" s="186"/>
      <c r="H30" s="186"/>
      <c r="I30" s="186"/>
      <c r="J30" s="186"/>
      <c r="K30" s="186"/>
      <c r="L30" s="186"/>
      <c r="M30" s="187"/>
      <c r="N30" s="120"/>
      <c r="O30" s="30"/>
      <c r="P30" s="30"/>
      <c r="Q30" s="30"/>
      <c r="R30" s="30"/>
      <c r="S30" s="30"/>
      <c r="T30" s="30"/>
      <c r="U30" s="30"/>
      <c r="V30" s="30"/>
      <c r="W30" s="30"/>
      <c r="X30" s="30"/>
      <c r="Y30" s="30"/>
      <c r="Z30" s="30"/>
      <c r="AA30" s="30"/>
      <c r="AB30" s="30"/>
      <c r="AC30" s="30"/>
      <c r="AD30" s="120"/>
      <c r="AE30" s="30"/>
      <c r="AF30" s="30"/>
      <c r="AG30" s="30"/>
      <c r="AH30" s="30"/>
      <c r="AI30" s="30"/>
      <c r="AJ30" s="30"/>
      <c r="AK30" s="30"/>
      <c r="AL30" s="30"/>
      <c r="AM30" s="30"/>
      <c r="AN30" s="30"/>
      <c r="AO30" s="30"/>
      <c r="AP30" s="30"/>
      <c r="AQ30" s="30"/>
      <c r="AR30" s="30"/>
      <c r="AS30" s="30"/>
    </row>
    <row r="31" spans="1:63" ht="13.5" customHeight="1">
      <c r="A31" s="189"/>
      <c r="B31" s="3206"/>
      <c r="C31" s="3162"/>
      <c r="D31" s="2498" t="s">
        <v>2077</v>
      </c>
      <c r="E31" s="186"/>
      <c r="F31" s="186"/>
      <c r="G31" s="186"/>
      <c r="H31" s="186"/>
      <c r="I31" s="186"/>
      <c r="J31" s="186"/>
      <c r="K31" s="186"/>
      <c r="L31" s="186"/>
      <c r="M31" s="187"/>
      <c r="N31" s="120"/>
      <c r="O31" s="30"/>
      <c r="P31" s="30"/>
      <c r="Q31" s="30"/>
      <c r="R31" s="30"/>
      <c r="S31" s="30"/>
      <c r="T31" s="30"/>
      <c r="U31" s="30"/>
      <c r="V31" s="30"/>
      <c r="W31" s="30"/>
      <c r="X31" s="30"/>
      <c r="Y31" s="30"/>
      <c r="Z31" s="30"/>
      <c r="AA31" s="30"/>
      <c r="AB31" s="30"/>
      <c r="AC31" s="30"/>
      <c r="AD31" s="120"/>
      <c r="AE31" s="30"/>
      <c r="AF31" s="30"/>
      <c r="AG31" s="30"/>
      <c r="AH31" s="30"/>
      <c r="AI31" s="30"/>
      <c r="AJ31" s="30"/>
      <c r="AK31" s="30"/>
      <c r="AL31" s="30"/>
      <c r="AM31" s="30"/>
      <c r="AN31" s="30"/>
      <c r="AO31" s="30"/>
      <c r="AP31" s="30"/>
      <c r="AQ31" s="30"/>
      <c r="AR31" s="30"/>
      <c r="AS31" s="30"/>
    </row>
    <row r="32" spans="1:63" ht="13.5" customHeight="1">
      <c r="A32" s="189"/>
      <c r="B32" s="3206"/>
      <c r="C32" s="3162"/>
      <c r="D32" s="2498" t="s">
        <v>2117</v>
      </c>
      <c r="E32" s="186"/>
      <c r="F32" s="186"/>
      <c r="G32" s="186"/>
      <c r="H32" s="186"/>
      <c r="I32" s="186"/>
      <c r="J32" s="186"/>
      <c r="K32" s="186"/>
      <c r="L32" s="186"/>
      <c r="M32" s="187"/>
      <c r="N32" s="120"/>
      <c r="O32" s="30"/>
      <c r="P32" s="30"/>
      <c r="Q32" s="30"/>
      <c r="R32" s="30"/>
      <c r="S32" s="30"/>
      <c r="T32" s="30"/>
      <c r="U32" s="30"/>
      <c r="V32" s="30"/>
      <c r="W32" s="30"/>
      <c r="X32" s="30"/>
      <c r="Y32" s="30"/>
      <c r="Z32" s="30"/>
      <c r="AA32" s="30"/>
      <c r="AB32" s="30"/>
      <c r="AC32" s="30"/>
      <c r="AD32" s="120"/>
      <c r="AE32" s="30"/>
      <c r="AF32" s="30"/>
      <c r="AG32" s="30"/>
      <c r="AH32" s="30"/>
      <c r="AI32" s="30"/>
      <c r="AJ32" s="30"/>
      <c r="AK32" s="30"/>
      <c r="AL32" s="30"/>
      <c r="AM32" s="30"/>
      <c r="AN32" s="30"/>
      <c r="AO32" s="30"/>
      <c r="AP32" s="30"/>
      <c r="AQ32" s="30"/>
      <c r="AR32" s="30"/>
      <c r="AS32" s="30"/>
    </row>
    <row r="33" spans="1:63" ht="13.5" customHeight="1">
      <c r="A33" s="189"/>
      <c r="B33" s="3206"/>
      <c r="C33" s="3162"/>
      <c r="D33" s="2498" t="s">
        <v>2118</v>
      </c>
      <c r="E33" s="186"/>
      <c r="F33" s="186"/>
      <c r="G33" s="186"/>
      <c r="H33" s="186"/>
      <c r="I33" s="186"/>
      <c r="J33" s="186"/>
      <c r="K33" s="186"/>
      <c r="L33" s="186"/>
      <c r="M33" s="187"/>
      <c r="N33" s="120"/>
      <c r="O33" s="30"/>
      <c r="P33" s="30"/>
      <c r="Q33" s="30"/>
      <c r="R33" s="30"/>
      <c r="S33" s="30"/>
      <c r="T33" s="30"/>
      <c r="U33" s="30"/>
      <c r="V33" s="30"/>
      <c r="W33" s="30"/>
      <c r="X33" s="30"/>
      <c r="Y33" s="30"/>
      <c r="Z33" s="30"/>
      <c r="AA33" s="30"/>
      <c r="AB33" s="30"/>
      <c r="AC33" s="30"/>
      <c r="AD33" s="120"/>
      <c r="AE33" s="30"/>
      <c r="AF33" s="30"/>
      <c r="AG33" s="30"/>
      <c r="AH33" s="30"/>
      <c r="AI33" s="30"/>
      <c r="AJ33" s="30"/>
      <c r="AK33" s="30"/>
      <c r="AL33" s="30"/>
      <c r="AM33" s="30"/>
      <c r="AN33" s="30"/>
      <c r="AO33" s="30"/>
      <c r="AP33" s="30"/>
      <c r="AQ33" s="30"/>
      <c r="AR33" s="30"/>
      <c r="AS33" s="30"/>
    </row>
    <row r="34" spans="1:63" ht="13.5" customHeight="1" thickBot="1">
      <c r="A34" s="189"/>
      <c r="B34" s="3206"/>
      <c r="C34" s="3162"/>
      <c r="D34" s="2498" t="s">
        <v>2119</v>
      </c>
      <c r="E34" s="186"/>
      <c r="F34" s="186"/>
      <c r="G34" s="186"/>
      <c r="H34" s="186"/>
      <c r="I34" s="186"/>
      <c r="J34" s="186"/>
      <c r="K34" s="186"/>
      <c r="L34" s="186"/>
      <c r="M34" s="187"/>
      <c r="N34" s="120"/>
      <c r="O34" s="30"/>
      <c r="P34" s="30"/>
      <c r="Q34" s="30"/>
      <c r="R34" s="30"/>
      <c r="S34" s="30"/>
      <c r="T34" s="30"/>
      <c r="U34" s="30"/>
      <c r="V34" s="30"/>
      <c r="W34" s="30"/>
      <c r="X34" s="30"/>
      <c r="Y34" s="30"/>
      <c r="Z34" s="30"/>
      <c r="AA34" s="30"/>
      <c r="AB34" s="30"/>
      <c r="AC34" s="30"/>
      <c r="AD34" s="120"/>
      <c r="AE34" s="30"/>
      <c r="AF34" s="30"/>
      <c r="AG34" s="30"/>
      <c r="AH34" s="30"/>
      <c r="AI34" s="30"/>
      <c r="AJ34" s="30"/>
      <c r="AK34" s="30"/>
      <c r="AL34" s="30"/>
      <c r="AM34" s="30"/>
      <c r="AN34" s="30"/>
      <c r="AO34" s="30"/>
      <c r="AP34" s="30"/>
      <c r="AQ34" s="30"/>
      <c r="AR34" s="30"/>
      <c r="AS34" s="30"/>
    </row>
    <row r="35" spans="1:63" s="22" customFormat="1" ht="13.5" customHeight="1" thickTop="1">
      <c r="A35" s="3027" t="s">
        <v>1966</v>
      </c>
      <c r="B35" s="3161"/>
      <c r="C35" s="3136">
        <v>43070</v>
      </c>
      <c r="D35" s="3157" t="s">
        <v>1956</v>
      </c>
      <c r="E35" s="3158"/>
      <c r="F35" s="3158"/>
      <c r="G35" s="3158"/>
      <c r="H35" s="3158"/>
      <c r="I35" s="3158"/>
      <c r="J35" s="3158"/>
      <c r="K35" s="3158"/>
      <c r="L35" s="3158"/>
      <c r="M35" s="3159"/>
      <c r="N35" s="80"/>
      <c r="O35" s="80"/>
      <c r="P35" s="80"/>
      <c r="Q35" s="80"/>
      <c r="R35" s="80"/>
      <c r="S35" s="80"/>
      <c r="T35" s="80"/>
      <c r="U35" s="80"/>
      <c r="V35" s="80"/>
      <c r="W35" s="80"/>
      <c r="X35" s="80"/>
      <c r="Y35" s="80"/>
      <c r="Z35" s="80"/>
      <c r="AA35" s="80"/>
      <c r="AB35" s="119"/>
      <c r="AC35" s="119"/>
      <c r="AD35" s="80"/>
      <c r="AE35" s="80"/>
      <c r="AF35" s="80"/>
      <c r="AG35" s="80"/>
      <c r="AH35" s="80"/>
      <c r="AI35" s="80"/>
      <c r="AJ35" s="80"/>
      <c r="AK35" s="80"/>
      <c r="AL35" s="80"/>
      <c r="AM35" s="80"/>
      <c r="AN35" s="80"/>
      <c r="AO35" s="80"/>
      <c r="AP35" s="80"/>
      <c r="AQ35" s="80"/>
      <c r="AR35" s="119"/>
      <c r="AS35" s="119"/>
      <c r="AT35" s="29"/>
      <c r="AU35" s="29"/>
      <c r="AV35" s="29"/>
      <c r="AW35" s="29"/>
      <c r="AX35" s="29"/>
      <c r="AY35" s="29"/>
      <c r="AZ35" s="29"/>
      <c r="BA35" s="29"/>
      <c r="BB35" s="29"/>
      <c r="BC35" s="29"/>
      <c r="BD35" s="29"/>
      <c r="BE35" s="29"/>
      <c r="BF35" s="29"/>
      <c r="BG35" s="29"/>
      <c r="BH35" s="29"/>
      <c r="BI35" s="29"/>
      <c r="BJ35" s="29"/>
      <c r="BK35" s="29"/>
    </row>
    <row r="36" spans="1:63" s="22" customFormat="1" ht="13.5" customHeight="1">
      <c r="A36" s="189"/>
      <c r="B36" s="242"/>
      <c r="C36" s="3162"/>
      <c r="D36" s="2498" t="s">
        <v>1949</v>
      </c>
      <c r="E36" s="186"/>
      <c r="F36" s="186"/>
      <c r="G36" s="186"/>
      <c r="H36" s="186"/>
      <c r="I36" s="186"/>
      <c r="J36" s="186"/>
      <c r="K36" s="186"/>
      <c r="L36" s="186"/>
      <c r="M36" s="187"/>
      <c r="N36" s="80"/>
      <c r="O36" s="80"/>
      <c r="P36" s="80"/>
      <c r="Q36" s="80"/>
      <c r="R36" s="80"/>
      <c r="S36" s="80"/>
      <c r="T36" s="80"/>
      <c r="U36" s="80"/>
      <c r="V36" s="80"/>
      <c r="W36" s="80"/>
      <c r="X36" s="80"/>
      <c r="Y36" s="80"/>
      <c r="Z36" s="80"/>
      <c r="AA36" s="80"/>
      <c r="AB36" s="119"/>
      <c r="AC36" s="119"/>
      <c r="AD36" s="80"/>
      <c r="AE36" s="80"/>
      <c r="AF36" s="80"/>
      <c r="AG36" s="80"/>
      <c r="AH36" s="80"/>
      <c r="AI36" s="80"/>
      <c r="AJ36" s="80"/>
      <c r="AK36" s="80"/>
      <c r="AL36" s="80"/>
      <c r="AM36" s="80"/>
      <c r="AN36" s="80"/>
      <c r="AO36" s="80"/>
      <c r="AP36" s="80"/>
      <c r="AQ36" s="80"/>
      <c r="AR36" s="119"/>
      <c r="AS36" s="119"/>
      <c r="AT36" s="29"/>
      <c r="AU36" s="29"/>
      <c r="AV36" s="29"/>
      <c r="AW36" s="29"/>
      <c r="AX36" s="29"/>
      <c r="AY36" s="29"/>
      <c r="AZ36" s="29"/>
      <c r="BA36" s="29"/>
      <c r="BB36" s="29"/>
      <c r="BC36" s="29"/>
      <c r="BD36" s="29"/>
      <c r="BE36" s="29"/>
      <c r="BF36" s="29"/>
      <c r="BG36" s="29"/>
      <c r="BH36" s="29"/>
      <c r="BI36" s="29"/>
      <c r="BJ36" s="29"/>
      <c r="BK36" s="29"/>
    </row>
    <row r="37" spans="1:63" s="22" customFormat="1" ht="13.5" customHeight="1">
      <c r="A37" s="189"/>
      <c r="B37" s="242"/>
      <c r="C37" s="3162"/>
      <c r="D37" s="2498" t="s">
        <v>1961</v>
      </c>
      <c r="E37" s="186"/>
      <c r="F37" s="186"/>
      <c r="G37" s="186"/>
      <c r="H37" s="186"/>
      <c r="I37" s="186"/>
      <c r="J37" s="186"/>
      <c r="K37" s="186"/>
      <c r="L37" s="186"/>
      <c r="M37" s="187"/>
      <c r="N37" s="80"/>
      <c r="O37" s="80"/>
      <c r="P37" s="80"/>
      <c r="Q37" s="80"/>
      <c r="R37" s="80"/>
      <c r="S37" s="80"/>
      <c r="T37" s="80"/>
      <c r="U37" s="80"/>
      <c r="V37" s="80"/>
      <c r="W37" s="80"/>
      <c r="X37" s="80"/>
      <c r="Y37" s="80"/>
      <c r="Z37" s="80"/>
      <c r="AA37" s="80"/>
      <c r="AB37" s="119"/>
      <c r="AC37" s="119"/>
      <c r="AD37" s="80"/>
      <c r="AE37" s="80"/>
      <c r="AF37" s="80"/>
      <c r="AG37" s="80"/>
      <c r="AH37" s="80"/>
      <c r="AI37" s="80"/>
      <c r="AJ37" s="80"/>
      <c r="AK37" s="80"/>
      <c r="AL37" s="80"/>
      <c r="AM37" s="80"/>
      <c r="AN37" s="80"/>
      <c r="AO37" s="80"/>
      <c r="AP37" s="80"/>
      <c r="AQ37" s="80"/>
      <c r="AR37" s="119"/>
      <c r="AS37" s="119"/>
      <c r="AT37" s="29"/>
      <c r="AU37" s="29"/>
      <c r="AV37" s="29"/>
      <c r="AW37" s="29"/>
      <c r="AX37" s="29"/>
      <c r="AY37" s="29"/>
      <c r="AZ37" s="29"/>
      <c r="BA37" s="29"/>
      <c r="BB37" s="29"/>
      <c r="BC37" s="29"/>
      <c r="BD37" s="29"/>
      <c r="BE37" s="29"/>
      <c r="BF37" s="29"/>
      <c r="BG37" s="29"/>
      <c r="BH37" s="29"/>
      <c r="BI37" s="29"/>
      <c r="BJ37" s="29"/>
      <c r="BK37" s="29"/>
    </row>
    <row r="38" spans="1:63" s="22" customFormat="1" ht="13.5" customHeight="1">
      <c r="A38" s="189"/>
      <c r="B38" s="242"/>
      <c r="C38" s="3162"/>
      <c r="D38" s="2498" t="s">
        <v>1962</v>
      </c>
      <c r="E38" s="186"/>
      <c r="F38" s="186"/>
      <c r="G38" s="186"/>
      <c r="H38" s="186"/>
      <c r="I38" s="186"/>
      <c r="J38" s="186"/>
      <c r="K38" s="186"/>
      <c r="L38" s="186"/>
      <c r="M38" s="187"/>
      <c r="N38" s="80"/>
      <c r="O38" s="80"/>
      <c r="P38" s="80"/>
      <c r="Q38" s="80"/>
      <c r="R38" s="80"/>
      <c r="S38" s="80"/>
      <c r="T38" s="80"/>
      <c r="U38" s="80"/>
      <c r="V38" s="80"/>
      <c r="W38" s="80"/>
      <c r="X38" s="80"/>
      <c r="Y38" s="80"/>
      <c r="Z38" s="80"/>
      <c r="AA38" s="80"/>
      <c r="AB38" s="119"/>
      <c r="AC38" s="119"/>
      <c r="AD38" s="80"/>
      <c r="AE38" s="80"/>
      <c r="AF38" s="80"/>
      <c r="AG38" s="80"/>
      <c r="AH38" s="80"/>
      <c r="AI38" s="80"/>
      <c r="AJ38" s="80"/>
      <c r="AK38" s="80"/>
      <c r="AL38" s="80"/>
      <c r="AM38" s="80"/>
      <c r="AN38" s="80"/>
      <c r="AO38" s="80"/>
      <c r="AP38" s="80"/>
      <c r="AQ38" s="80"/>
      <c r="AR38" s="119"/>
      <c r="AS38" s="119"/>
      <c r="AT38" s="29"/>
      <c r="AU38" s="29"/>
      <c r="AV38" s="29"/>
      <c r="AW38" s="29"/>
      <c r="AX38" s="29"/>
      <c r="AY38" s="29"/>
      <c r="AZ38" s="29"/>
      <c r="BA38" s="29"/>
      <c r="BB38" s="29"/>
      <c r="BC38" s="29"/>
      <c r="BD38" s="29"/>
      <c r="BE38" s="29"/>
      <c r="BF38" s="29"/>
      <c r="BG38" s="29"/>
      <c r="BH38" s="29"/>
      <c r="BI38" s="29"/>
      <c r="BJ38" s="29"/>
      <c r="BK38" s="29"/>
    </row>
    <row r="39" spans="1:63" s="22" customFormat="1" ht="13.5" customHeight="1" thickBot="1">
      <c r="A39" s="3139"/>
      <c r="B39" s="3047"/>
      <c r="C39" s="3160"/>
      <c r="D39" s="3140" t="s">
        <v>1964</v>
      </c>
      <c r="E39" s="3141"/>
      <c r="F39" s="3141"/>
      <c r="G39" s="3141"/>
      <c r="H39" s="3141"/>
      <c r="I39" s="3141"/>
      <c r="J39" s="3141"/>
      <c r="K39" s="3141"/>
      <c r="L39" s="3141"/>
      <c r="M39" s="3142"/>
      <c r="N39" s="80"/>
      <c r="O39" s="80"/>
      <c r="P39" s="80"/>
      <c r="Q39" s="80"/>
      <c r="R39" s="80"/>
      <c r="S39" s="80"/>
      <c r="T39" s="80"/>
      <c r="U39" s="80"/>
      <c r="V39" s="80"/>
      <c r="W39" s="80"/>
      <c r="X39" s="80"/>
      <c r="Y39" s="80"/>
      <c r="Z39" s="80"/>
      <c r="AA39" s="80"/>
      <c r="AB39" s="119"/>
      <c r="AC39" s="119"/>
      <c r="AD39" s="80"/>
      <c r="AE39" s="80"/>
      <c r="AF39" s="80"/>
      <c r="AG39" s="80"/>
      <c r="AH39" s="80"/>
      <c r="AI39" s="80"/>
      <c r="AJ39" s="80"/>
      <c r="AK39" s="80"/>
      <c r="AL39" s="80"/>
      <c r="AM39" s="80"/>
      <c r="AN39" s="80"/>
      <c r="AO39" s="80"/>
      <c r="AP39" s="80"/>
      <c r="AQ39" s="80"/>
      <c r="AR39" s="119"/>
      <c r="AS39" s="119"/>
      <c r="AT39" s="29"/>
      <c r="AU39" s="29"/>
      <c r="AV39" s="29"/>
      <c r="AW39" s="29"/>
      <c r="AX39" s="29"/>
      <c r="AY39" s="29"/>
      <c r="AZ39" s="29"/>
      <c r="BA39" s="29"/>
      <c r="BB39" s="29"/>
      <c r="BC39" s="29"/>
      <c r="BD39" s="29"/>
      <c r="BE39" s="29"/>
      <c r="BF39" s="29"/>
      <c r="BG39" s="29"/>
      <c r="BH39" s="29"/>
      <c r="BI39" s="29"/>
      <c r="BJ39" s="29"/>
      <c r="BK39" s="29"/>
    </row>
    <row r="40" spans="1:63" s="22" customFormat="1" ht="13.5" customHeight="1" thickTop="1">
      <c r="A40" s="3027" t="s">
        <v>1953</v>
      </c>
      <c r="B40" s="3153"/>
      <c r="C40" s="3162">
        <v>43009</v>
      </c>
      <c r="D40" s="3157" t="s">
        <v>1951</v>
      </c>
      <c r="E40" s="3158"/>
      <c r="F40" s="3158"/>
      <c r="G40" s="3158"/>
      <c r="H40" s="3158"/>
      <c r="I40" s="3158"/>
      <c r="J40" s="3158"/>
      <c r="K40" s="3158"/>
      <c r="L40" s="3158"/>
      <c r="M40" s="3159"/>
      <c r="N40" s="80"/>
      <c r="O40" s="80"/>
      <c r="P40" s="80"/>
      <c r="Q40" s="80"/>
      <c r="R40" s="80"/>
      <c r="S40" s="80"/>
      <c r="T40" s="80"/>
      <c r="U40" s="80"/>
      <c r="V40" s="80"/>
      <c r="W40" s="80"/>
      <c r="X40" s="80"/>
      <c r="Y40" s="80"/>
      <c r="Z40" s="80"/>
      <c r="AA40" s="80"/>
      <c r="AB40" s="119"/>
      <c r="AC40" s="119"/>
      <c r="AD40" s="80"/>
      <c r="AE40" s="80"/>
      <c r="AF40" s="80"/>
      <c r="AG40" s="80"/>
      <c r="AH40" s="80"/>
      <c r="AI40" s="80"/>
      <c r="AJ40" s="80"/>
      <c r="AK40" s="80"/>
      <c r="AL40" s="80"/>
      <c r="AM40" s="80"/>
      <c r="AN40" s="80"/>
      <c r="AO40" s="80"/>
      <c r="AP40" s="80"/>
      <c r="AQ40" s="80"/>
      <c r="AR40" s="119"/>
      <c r="AS40" s="119"/>
      <c r="AT40" s="29"/>
      <c r="AU40" s="29"/>
      <c r="AV40" s="29"/>
      <c r="AW40" s="29"/>
      <c r="AX40" s="29"/>
      <c r="AY40" s="29"/>
      <c r="AZ40" s="29"/>
      <c r="BA40" s="29"/>
      <c r="BB40" s="29"/>
      <c r="BC40" s="29"/>
      <c r="BD40" s="29"/>
      <c r="BE40" s="29"/>
      <c r="BF40" s="29"/>
      <c r="BG40" s="29"/>
      <c r="BH40" s="29"/>
      <c r="BI40" s="29"/>
      <c r="BJ40" s="29"/>
      <c r="BK40" s="29"/>
    </row>
    <row r="41" spans="1:63" s="22" customFormat="1" ht="13.5" customHeight="1" thickBot="1">
      <c r="A41" s="3139" t="s">
        <v>1952</v>
      </c>
      <c r="B41" s="3047"/>
      <c r="C41" s="3160"/>
      <c r="D41" s="3140"/>
      <c r="E41" s="3141"/>
      <c r="F41" s="3141"/>
      <c r="G41" s="3141"/>
      <c r="H41" s="3141"/>
      <c r="I41" s="3141"/>
      <c r="J41" s="3141"/>
      <c r="K41" s="3141"/>
      <c r="L41" s="3141"/>
      <c r="M41" s="3142"/>
      <c r="N41" s="80"/>
      <c r="O41" s="80"/>
      <c r="P41" s="80"/>
      <c r="Q41" s="80"/>
      <c r="R41" s="80"/>
      <c r="S41" s="80"/>
      <c r="T41" s="80"/>
      <c r="U41" s="80"/>
      <c r="V41" s="80"/>
      <c r="W41" s="80"/>
      <c r="X41" s="80"/>
      <c r="Y41" s="80"/>
      <c r="Z41" s="80"/>
      <c r="AA41" s="80"/>
      <c r="AB41" s="119"/>
      <c r="AC41" s="119"/>
      <c r="AD41" s="80"/>
      <c r="AE41" s="80"/>
      <c r="AF41" s="80"/>
      <c r="AG41" s="80"/>
      <c r="AH41" s="80"/>
      <c r="AI41" s="80"/>
      <c r="AJ41" s="80"/>
      <c r="AK41" s="80"/>
      <c r="AL41" s="80"/>
      <c r="AM41" s="80"/>
      <c r="AN41" s="80"/>
      <c r="AO41" s="80"/>
      <c r="AP41" s="80"/>
      <c r="AQ41" s="80"/>
      <c r="AR41" s="119"/>
      <c r="AS41" s="119"/>
      <c r="AT41" s="29"/>
      <c r="AU41" s="29"/>
      <c r="AV41" s="29"/>
      <c r="AW41" s="29"/>
      <c r="AX41" s="29"/>
      <c r="AY41" s="29"/>
      <c r="AZ41" s="29"/>
      <c r="BA41" s="29"/>
      <c r="BB41" s="29"/>
      <c r="BC41" s="29"/>
      <c r="BD41" s="29"/>
      <c r="BE41" s="29"/>
      <c r="BF41" s="29"/>
      <c r="BG41" s="29"/>
      <c r="BH41" s="29"/>
      <c r="BI41" s="29"/>
      <c r="BJ41" s="29"/>
      <c r="BK41" s="29"/>
    </row>
    <row r="42" spans="1:63" s="22" customFormat="1" ht="13.5" customHeight="1" thickTop="1">
      <c r="A42" s="3027" t="s">
        <v>1942</v>
      </c>
      <c r="B42" s="3138"/>
      <c r="C42" s="3136">
        <v>42948</v>
      </c>
      <c r="D42" s="2498" t="s">
        <v>1943</v>
      </c>
      <c r="E42" s="186"/>
      <c r="F42" s="186"/>
      <c r="G42" s="186"/>
      <c r="H42" s="186"/>
      <c r="I42" s="186"/>
      <c r="J42" s="186"/>
      <c r="K42" s="186"/>
      <c r="L42" s="186"/>
      <c r="M42" s="187"/>
      <c r="N42" s="80"/>
      <c r="O42" s="80"/>
      <c r="P42" s="80"/>
      <c r="Q42" s="80"/>
      <c r="R42" s="80"/>
      <c r="S42" s="80"/>
      <c r="T42" s="80"/>
      <c r="U42" s="80"/>
      <c r="V42" s="80"/>
      <c r="W42" s="80"/>
      <c r="X42" s="80"/>
      <c r="Y42" s="80"/>
      <c r="Z42" s="80"/>
      <c r="AA42" s="80"/>
      <c r="AB42" s="119"/>
      <c r="AC42" s="119"/>
      <c r="AD42" s="80"/>
      <c r="AE42" s="80"/>
      <c r="AF42" s="80"/>
      <c r="AG42" s="80"/>
      <c r="AH42" s="80"/>
      <c r="AI42" s="80"/>
      <c r="AJ42" s="80"/>
      <c r="AK42" s="80"/>
      <c r="AL42" s="80"/>
      <c r="AM42" s="80"/>
      <c r="AN42" s="80"/>
      <c r="AO42" s="80"/>
      <c r="AP42" s="80"/>
      <c r="AQ42" s="80"/>
      <c r="AR42" s="119"/>
      <c r="AS42" s="119"/>
      <c r="AT42" s="29"/>
      <c r="AU42" s="29"/>
      <c r="AV42" s="29"/>
      <c r="AW42" s="29"/>
      <c r="AX42" s="29"/>
      <c r="AY42" s="29"/>
      <c r="AZ42" s="29"/>
      <c r="BA42" s="29"/>
      <c r="BB42" s="29"/>
      <c r="BC42" s="29"/>
      <c r="BD42" s="29"/>
      <c r="BE42" s="29"/>
      <c r="BF42" s="29"/>
      <c r="BG42" s="29"/>
      <c r="BH42" s="29"/>
      <c r="BI42" s="29"/>
      <c r="BJ42" s="29"/>
      <c r="BK42" s="29"/>
    </row>
    <row r="43" spans="1:63" s="22" customFormat="1" ht="13.5" customHeight="1">
      <c r="A43" s="189" t="s">
        <v>1941</v>
      </c>
      <c r="B43" s="185"/>
      <c r="C43" s="2646"/>
      <c r="D43" s="2498" t="s">
        <v>1944</v>
      </c>
      <c r="E43" s="186"/>
      <c r="F43" s="186"/>
      <c r="G43" s="186"/>
      <c r="H43" s="186"/>
      <c r="I43" s="186"/>
      <c r="J43" s="186"/>
      <c r="K43" s="186"/>
      <c r="L43" s="186"/>
      <c r="M43" s="187"/>
      <c r="N43" s="80"/>
      <c r="O43" s="80"/>
      <c r="P43" s="80"/>
      <c r="Q43" s="80"/>
      <c r="R43" s="80"/>
      <c r="S43" s="80"/>
      <c r="T43" s="80"/>
      <c r="U43" s="80"/>
      <c r="V43" s="80"/>
      <c r="W43" s="80"/>
      <c r="X43" s="80"/>
      <c r="Y43" s="80"/>
      <c r="Z43" s="80"/>
      <c r="AA43" s="80"/>
      <c r="AB43" s="119"/>
      <c r="AC43" s="119"/>
      <c r="AD43" s="80"/>
      <c r="AE43" s="80"/>
      <c r="AF43" s="80"/>
      <c r="AG43" s="80"/>
      <c r="AH43" s="80"/>
      <c r="AI43" s="80"/>
      <c r="AJ43" s="80"/>
      <c r="AK43" s="80"/>
      <c r="AL43" s="80"/>
      <c r="AM43" s="80"/>
      <c r="AN43" s="80"/>
      <c r="AO43" s="80"/>
      <c r="AP43" s="80"/>
      <c r="AQ43" s="80"/>
      <c r="AR43" s="119"/>
      <c r="AS43" s="119"/>
      <c r="AT43" s="29"/>
      <c r="AU43" s="29"/>
      <c r="AV43" s="29"/>
      <c r="AW43" s="29"/>
      <c r="AX43" s="29"/>
      <c r="AY43" s="29"/>
      <c r="AZ43" s="29"/>
      <c r="BA43" s="29"/>
      <c r="BB43" s="29"/>
      <c r="BC43" s="29"/>
      <c r="BD43" s="29"/>
      <c r="BE43" s="29"/>
      <c r="BF43" s="29"/>
      <c r="BG43" s="29"/>
      <c r="BH43" s="29"/>
      <c r="BI43" s="29"/>
      <c r="BJ43" s="29"/>
      <c r="BK43" s="29"/>
    </row>
    <row r="44" spans="1:63" s="22" customFormat="1" ht="13.5" customHeight="1" thickBot="1">
      <c r="A44" s="3139"/>
      <c r="B44" s="3047"/>
      <c r="C44" s="3137"/>
      <c r="D44" s="3140" t="s">
        <v>1945</v>
      </c>
      <c r="E44" s="3141"/>
      <c r="F44" s="3141"/>
      <c r="G44" s="3141"/>
      <c r="H44" s="3141"/>
      <c r="I44" s="3141"/>
      <c r="J44" s="3141"/>
      <c r="K44" s="3141"/>
      <c r="L44" s="3141"/>
      <c r="M44" s="3142"/>
      <c r="N44" s="80"/>
      <c r="O44" s="80"/>
      <c r="P44" s="80"/>
      <c r="Q44" s="80"/>
      <c r="R44" s="80"/>
      <c r="S44" s="80"/>
      <c r="T44" s="80"/>
      <c r="U44" s="80"/>
      <c r="V44" s="80"/>
      <c r="W44" s="80"/>
      <c r="X44" s="80"/>
      <c r="Y44" s="80"/>
      <c r="Z44" s="80"/>
      <c r="AA44" s="80"/>
      <c r="AB44" s="119"/>
      <c r="AC44" s="119"/>
      <c r="AD44" s="80"/>
      <c r="AE44" s="80"/>
      <c r="AF44" s="80"/>
      <c r="AG44" s="80"/>
      <c r="AH44" s="80"/>
      <c r="AI44" s="80"/>
      <c r="AJ44" s="80"/>
      <c r="AK44" s="80"/>
      <c r="AL44" s="80"/>
      <c r="AM44" s="80"/>
      <c r="AN44" s="80"/>
      <c r="AO44" s="80"/>
      <c r="AP44" s="80"/>
      <c r="AQ44" s="80"/>
      <c r="AR44" s="119"/>
      <c r="AS44" s="119"/>
      <c r="AT44" s="29"/>
      <c r="AU44" s="29"/>
      <c r="AV44" s="29"/>
      <c r="AW44" s="29"/>
      <c r="AX44" s="29"/>
      <c r="AY44" s="29"/>
      <c r="AZ44" s="29"/>
      <c r="BA44" s="29"/>
      <c r="BB44" s="29"/>
      <c r="BC44" s="29"/>
      <c r="BD44" s="29"/>
      <c r="BE44" s="29"/>
      <c r="BF44" s="29"/>
      <c r="BG44" s="29"/>
      <c r="BH44" s="29"/>
      <c r="BI44" s="29"/>
      <c r="BJ44" s="29"/>
      <c r="BK44" s="29"/>
    </row>
    <row r="45" spans="1:63" s="22" customFormat="1" ht="14.25" customHeight="1" thickTop="1">
      <c r="A45" s="1687" t="s">
        <v>1909</v>
      </c>
      <c r="C45" s="2497">
        <v>42917</v>
      </c>
      <c r="D45" s="128" t="s">
        <v>1810</v>
      </c>
      <c r="E45" s="132"/>
      <c r="F45" s="132"/>
      <c r="G45" s="132"/>
      <c r="H45" s="132"/>
      <c r="I45" s="132"/>
      <c r="J45" s="132"/>
      <c r="K45" s="132"/>
      <c r="L45" s="132"/>
      <c r="M45" s="133"/>
      <c r="N45" s="80"/>
      <c r="O45" s="80"/>
      <c r="P45" s="80"/>
      <c r="Q45" s="80"/>
      <c r="R45" s="80"/>
      <c r="S45" s="80"/>
      <c r="T45" s="80"/>
      <c r="U45" s="80"/>
      <c r="V45" s="80"/>
      <c r="W45" s="80"/>
      <c r="X45" s="80"/>
      <c r="Y45" s="80"/>
      <c r="Z45" s="80"/>
      <c r="AA45" s="80"/>
      <c r="AB45" s="119"/>
      <c r="AC45" s="119"/>
      <c r="AD45" s="80"/>
      <c r="AE45" s="80"/>
      <c r="AF45" s="80"/>
      <c r="AG45" s="80"/>
      <c r="AH45" s="80"/>
      <c r="AI45" s="80"/>
      <c r="AJ45" s="80"/>
      <c r="AK45" s="80"/>
      <c r="AL45" s="80"/>
      <c r="AM45" s="80"/>
      <c r="AN45" s="80"/>
      <c r="AO45" s="80"/>
      <c r="AP45" s="80"/>
      <c r="AQ45" s="80"/>
      <c r="AR45" s="119"/>
      <c r="AS45" s="119"/>
      <c r="AT45" s="29"/>
      <c r="AU45" s="29"/>
      <c r="AV45" s="29"/>
      <c r="AW45" s="29"/>
      <c r="AX45" s="29"/>
      <c r="AY45" s="29"/>
      <c r="AZ45" s="29"/>
      <c r="BA45" s="29"/>
      <c r="BB45" s="29"/>
      <c r="BC45" s="29"/>
      <c r="BD45" s="29"/>
      <c r="BE45" s="29"/>
      <c r="BF45" s="29"/>
      <c r="BG45" s="29"/>
      <c r="BH45" s="29"/>
      <c r="BI45" s="29"/>
      <c r="BJ45" s="29"/>
      <c r="BK45" s="29"/>
    </row>
    <row r="46" spans="1:63" s="22" customFormat="1" ht="13.5" customHeight="1">
      <c r="A46" s="91"/>
      <c r="C46" s="2631"/>
      <c r="D46" s="128" t="s">
        <v>1815</v>
      </c>
      <c r="E46" s="132"/>
      <c r="F46" s="132"/>
      <c r="G46" s="132"/>
      <c r="H46" s="132"/>
      <c r="I46" s="132"/>
      <c r="J46" s="132"/>
      <c r="K46" s="132"/>
      <c r="L46" s="132"/>
      <c r="M46" s="133"/>
      <c r="N46" s="80"/>
      <c r="O46" s="80"/>
      <c r="P46" s="80"/>
      <c r="Q46" s="80"/>
      <c r="R46" s="80"/>
      <c r="S46" s="80"/>
      <c r="T46" s="80"/>
      <c r="U46" s="80"/>
      <c r="V46" s="80"/>
      <c r="W46" s="80"/>
      <c r="X46" s="80"/>
      <c r="Y46" s="80"/>
      <c r="Z46" s="80"/>
      <c r="AA46" s="80"/>
      <c r="AB46" s="119"/>
      <c r="AC46" s="119"/>
      <c r="AD46" s="80"/>
      <c r="AE46" s="80"/>
      <c r="AF46" s="80"/>
      <c r="AG46" s="80"/>
      <c r="AH46" s="80"/>
      <c r="AI46" s="80"/>
      <c r="AJ46" s="80"/>
      <c r="AK46" s="80"/>
      <c r="AL46" s="80"/>
      <c r="AM46" s="80"/>
      <c r="AN46" s="80"/>
      <c r="AO46" s="80"/>
      <c r="AP46" s="80"/>
      <c r="AQ46" s="80"/>
      <c r="AR46" s="119"/>
      <c r="AS46" s="119"/>
      <c r="AT46" s="29"/>
      <c r="AU46" s="29"/>
      <c r="AV46" s="29"/>
      <c r="AW46" s="29"/>
      <c r="AX46" s="29"/>
      <c r="AY46" s="29"/>
      <c r="AZ46" s="29"/>
      <c r="BA46" s="29"/>
      <c r="BB46" s="29"/>
      <c r="BC46" s="29"/>
      <c r="BD46" s="29"/>
      <c r="BE46" s="29"/>
      <c r="BF46" s="29"/>
      <c r="BG46" s="29"/>
      <c r="BH46" s="29"/>
      <c r="BI46" s="29"/>
      <c r="BJ46" s="29"/>
      <c r="BK46" s="29"/>
    </row>
    <row r="47" spans="1:63" s="22" customFormat="1" ht="13.5" customHeight="1">
      <c r="A47" s="91"/>
      <c r="C47" s="2631"/>
      <c r="D47" s="128" t="s">
        <v>1948</v>
      </c>
      <c r="F47" s="132"/>
      <c r="G47" s="132"/>
      <c r="H47" s="132"/>
      <c r="I47" s="132"/>
      <c r="J47" s="132"/>
      <c r="K47" s="132"/>
      <c r="L47" s="132"/>
      <c r="M47" s="133"/>
      <c r="N47" s="80"/>
      <c r="O47" s="80"/>
      <c r="P47" s="80"/>
      <c r="Q47" s="80"/>
      <c r="R47" s="80"/>
      <c r="S47" s="80"/>
      <c r="T47" s="80"/>
      <c r="U47" s="80"/>
      <c r="V47" s="80"/>
      <c r="W47" s="80"/>
      <c r="X47" s="80"/>
      <c r="Y47" s="80"/>
      <c r="Z47" s="80"/>
      <c r="AA47" s="80"/>
      <c r="AB47" s="119"/>
      <c r="AC47" s="119"/>
      <c r="AD47" s="80"/>
      <c r="AE47" s="80"/>
      <c r="AF47" s="80"/>
      <c r="AG47" s="80"/>
      <c r="AH47" s="80"/>
      <c r="AI47" s="80"/>
      <c r="AJ47" s="80"/>
      <c r="AK47" s="80"/>
      <c r="AL47" s="80"/>
      <c r="AM47" s="80"/>
      <c r="AN47" s="80"/>
      <c r="AO47" s="80"/>
      <c r="AP47" s="80"/>
      <c r="AQ47" s="80"/>
      <c r="AR47" s="119"/>
      <c r="AS47" s="119"/>
      <c r="AT47" s="29"/>
      <c r="AU47" s="29"/>
      <c r="AV47" s="29"/>
      <c r="AW47" s="29"/>
      <c r="AX47" s="29"/>
      <c r="AY47" s="29"/>
      <c r="AZ47" s="29"/>
      <c r="BA47" s="29"/>
      <c r="BB47" s="29"/>
      <c r="BC47" s="29"/>
      <c r="BD47" s="29"/>
      <c r="BE47" s="29"/>
      <c r="BF47" s="29"/>
      <c r="BG47" s="29"/>
      <c r="BH47" s="29"/>
      <c r="BI47" s="29"/>
      <c r="BJ47" s="29"/>
      <c r="BK47" s="29"/>
    </row>
    <row r="48" spans="1:63" s="22" customFormat="1" ht="13.5" customHeight="1">
      <c r="A48" s="91"/>
      <c r="C48" s="2631"/>
      <c r="D48" s="128" t="s">
        <v>1949</v>
      </c>
      <c r="E48" s="132"/>
      <c r="F48" s="132"/>
      <c r="G48" s="132"/>
      <c r="H48" s="132"/>
      <c r="I48" s="132"/>
      <c r="J48" s="132"/>
      <c r="K48" s="132"/>
      <c r="L48" s="132"/>
      <c r="M48" s="133"/>
      <c r="N48" s="80"/>
      <c r="O48" s="80"/>
      <c r="P48" s="80"/>
      <c r="Q48" s="80"/>
      <c r="R48" s="80"/>
      <c r="S48" s="80"/>
      <c r="T48" s="80"/>
      <c r="U48" s="80"/>
      <c r="V48" s="80"/>
      <c r="W48" s="80"/>
      <c r="X48" s="80"/>
      <c r="Y48" s="80"/>
      <c r="Z48" s="80"/>
      <c r="AA48" s="80"/>
      <c r="AB48" s="119"/>
      <c r="AC48" s="119"/>
      <c r="AD48" s="80"/>
      <c r="AE48" s="80"/>
      <c r="AF48" s="80"/>
      <c r="AG48" s="80"/>
      <c r="AH48" s="80"/>
      <c r="AI48" s="80"/>
      <c r="AJ48" s="80"/>
      <c r="AK48" s="80"/>
      <c r="AL48" s="80"/>
      <c r="AM48" s="80"/>
      <c r="AN48" s="80"/>
      <c r="AO48" s="80"/>
      <c r="AP48" s="80"/>
      <c r="AQ48" s="80"/>
      <c r="AR48" s="119"/>
      <c r="AS48" s="119"/>
      <c r="AT48" s="29"/>
      <c r="AU48" s="29"/>
      <c r="AV48" s="29"/>
      <c r="AW48" s="29"/>
      <c r="AX48" s="29"/>
      <c r="AY48" s="29"/>
      <c r="AZ48" s="29"/>
      <c r="BA48" s="29"/>
      <c r="BB48" s="29"/>
      <c r="BC48" s="29"/>
      <c r="BD48" s="29"/>
      <c r="BE48" s="29"/>
      <c r="BF48" s="29"/>
      <c r="BG48" s="29"/>
      <c r="BH48" s="29"/>
      <c r="BI48" s="29"/>
      <c r="BJ48" s="29"/>
      <c r="BK48" s="29"/>
    </row>
    <row r="49" spans="1:63" s="22" customFormat="1" ht="13.5" customHeight="1">
      <c r="A49" s="91"/>
      <c r="C49" s="2631"/>
      <c r="D49" s="128" t="s">
        <v>1947</v>
      </c>
      <c r="E49" s="132"/>
      <c r="F49" s="132"/>
      <c r="G49" s="132"/>
      <c r="H49" s="132"/>
      <c r="I49" s="132"/>
      <c r="J49" s="132"/>
      <c r="K49" s="132"/>
      <c r="L49" s="132"/>
      <c r="M49" s="133"/>
      <c r="N49" s="80"/>
      <c r="O49" s="80"/>
      <c r="P49" s="80"/>
      <c r="Q49" s="80"/>
      <c r="R49" s="80"/>
      <c r="S49" s="80"/>
      <c r="T49" s="80"/>
      <c r="U49" s="80"/>
      <c r="V49" s="80"/>
      <c r="W49" s="80"/>
      <c r="X49" s="80"/>
      <c r="Y49" s="80"/>
      <c r="Z49" s="80"/>
      <c r="AA49" s="80"/>
      <c r="AB49" s="119"/>
      <c r="AC49" s="119"/>
      <c r="AD49" s="80"/>
      <c r="AE49" s="80"/>
      <c r="AF49" s="80"/>
      <c r="AG49" s="80"/>
      <c r="AH49" s="80"/>
      <c r="AI49" s="80"/>
      <c r="AJ49" s="80"/>
      <c r="AK49" s="80"/>
      <c r="AL49" s="80"/>
      <c r="AM49" s="80"/>
      <c r="AN49" s="80"/>
      <c r="AO49" s="80"/>
      <c r="AP49" s="80"/>
      <c r="AQ49" s="80"/>
      <c r="AR49" s="119"/>
      <c r="AS49" s="119"/>
      <c r="AT49" s="29"/>
      <c r="AU49" s="29"/>
      <c r="AV49" s="29"/>
      <c r="AW49" s="29"/>
      <c r="AX49" s="29"/>
      <c r="AY49" s="29"/>
      <c r="AZ49" s="29"/>
      <c r="BA49" s="29"/>
      <c r="BB49" s="29"/>
      <c r="BC49" s="29"/>
      <c r="BD49" s="29"/>
      <c r="BE49" s="29"/>
      <c r="BF49" s="29"/>
      <c r="BG49" s="29"/>
      <c r="BH49" s="29"/>
      <c r="BI49" s="29"/>
      <c r="BJ49" s="29"/>
      <c r="BK49" s="29"/>
    </row>
    <row r="50" spans="1:63" s="22" customFormat="1" ht="13.5" customHeight="1">
      <c r="A50" s="91"/>
      <c r="C50" s="2631"/>
      <c r="D50" s="128" t="s">
        <v>1946</v>
      </c>
      <c r="E50" s="132"/>
      <c r="F50" s="132"/>
      <c r="G50" s="132"/>
      <c r="H50" s="132"/>
      <c r="I50" s="132"/>
      <c r="J50" s="132"/>
      <c r="K50" s="132"/>
      <c r="L50" s="132"/>
      <c r="M50" s="133"/>
      <c r="N50" s="80"/>
      <c r="O50" s="80"/>
      <c r="P50" s="80"/>
      <c r="Q50" s="80"/>
      <c r="R50" s="80"/>
      <c r="S50" s="80"/>
      <c r="T50" s="80"/>
      <c r="U50" s="80"/>
      <c r="V50" s="80"/>
      <c r="W50" s="80"/>
      <c r="X50" s="80"/>
      <c r="Y50" s="80"/>
      <c r="Z50" s="80"/>
      <c r="AA50" s="80"/>
      <c r="AB50" s="119"/>
      <c r="AC50" s="119"/>
      <c r="AD50" s="80"/>
      <c r="AE50" s="80"/>
      <c r="AF50" s="80"/>
      <c r="AG50" s="80"/>
      <c r="AH50" s="80"/>
      <c r="AI50" s="80"/>
      <c r="AJ50" s="80"/>
      <c r="AK50" s="80"/>
      <c r="AL50" s="80"/>
      <c r="AM50" s="80"/>
      <c r="AN50" s="80"/>
      <c r="AO50" s="80"/>
      <c r="AP50" s="80"/>
      <c r="AQ50" s="80"/>
      <c r="AR50" s="119"/>
      <c r="AS50" s="119"/>
      <c r="AT50" s="29"/>
      <c r="AU50" s="29"/>
      <c r="AV50" s="29"/>
      <c r="AW50" s="29"/>
      <c r="AX50" s="29"/>
      <c r="AY50" s="29"/>
      <c r="AZ50" s="29"/>
      <c r="BA50" s="29"/>
      <c r="BB50" s="29"/>
      <c r="BC50" s="29"/>
      <c r="BD50" s="29"/>
      <c r="BE50" s="29"/>
      <c r="BF50" s="29"/>
      <c r="BG50" s="29"/>
      <c r="BH50" s="29"/>
      <c r="BI50" s="29"/>
      <c r="BJ50" s="29"/>
      <c r="BK50" s="29"/>
    </row>
    <row r="51" spans="1:63" s="22" customFormat="1" ht="13.5" customHeight="1">
      <c r="A51" s="91"/>
      <c r="C51" s="2631"/>
      <c r="D51" s="128" t="s">
        <v>1825</v>
      </c>
      <c r="E51" s="132"/>
      <c r="F51" s="132"/>
      <c r="G51" s="132"/>
      <c r="H51" s="132"/>
      <c r="I51" s="132"/>
      <c r="J51" s="132"/>
      <c r="K51" s="132"/>
      <c r="L51" s="132"/>
      <c r="M51" s="133"/>
      <c r="N51" s="80"/>
      <c r="O51" s="80"/>
      <c r="P51" s="80"/>
      <c r="Q51" s="80"/>
      <c r="R51" s="80"/>
      <c r="S51" s="80"/>
      <c r="T51" s="80"/>
      <c r="U51" s="80"/>
      <c r="V51" s="80"/>
      <c r="W51" s="80"/>
      <c r="X51" s="80"/>
      <c r="Y51" s="80"/>
      <c r="Z51" s="80"/>
      <c r="AA51" s="80"/>
      <c r="AB51" s="119"/>
      <c r="AC51" s="119"/>
      <c r="AD51" s="80"/>
      <c r="AE51" s="80"/>
      <c r="AF51" s="80"/>
      <c r="AG51" s="80"/>
      <c r="AH51" s="80"/>
      <c r="AI51" s="80"/>
      <c r="AJ51" s="80"/>
      <c r="AK51" s="80"/>
      <c r="AL51" s="80"/>
      <c r="AM51" s="80"/>
      <c r="AN51" s="80"/>
      <c r="AO51" s="80"/>
      <c r="AP51" s="80"/>
      <c r="AQ51" s="80"/>
      <c r="AR51" s="119"/>
      <c r="AS51" s="119"/>
      <c r="AT51" s="29"/>
      <c r="AU51" s="29"/>
      <c r="AV51" s="29"/>
      <c r="AW51" s="29"/>
      <c r="AX51" s="29"/>
      <c r="AY51" s="29"/>
      <c r="AZ51" s="29"/>
      <c r="BA51" s="29"/>
      <c r="BB51" s="29"/>
      <c r="BC51" s="29"/>
      <c r="BD51" s="29"/>
      <c r="BE51" s="29"/>
      <c r="BF51" s="29"/>
      <c r="BG51" s="29"/>
      <c r="BH51" s="29"/>
      <c r="BI51" s="29"/>
      <c r="BJ51" s="29"/>
      <c r="BK51" s="29"/>
    </row>
    <row r="52" spans="1:63" s="22" customFormat="1" ht="13.5" customHeight="1">
      <c r="A52" s="91"/>
      <c r="C52" s="2631"/>
      <c r="D52" s="128" t="s">
        <v>1826</v>
      </c>
      <c r="E52" s="132"/>
      <c r="F52" s="132"/>
      <c r="G52" s="132"/>
      <c r="H52" s="132"/>
      <c r="I52" s="132"/>
      <c r="J52" s="132"/>
      <c r="K52" s="132"/>
      <c r="L52" s="132"/>
      <c r="M52" s="133"/>
      <c r="N52" s="80"/>
      <c r="O52" s="80"/>
      <c r="P52" s="80"/>
      <c r="Q52" s="80"/>
      <c r="R52" s="80"/>
      <c r="S52" s="80"/>
      <c r="T52" s="80"/>
      <c r="U52" s="80"/>
      <c r="V52" s="80"/>
      <c r="W52" s="80"/>
      <c r="X52" s="80"/>
      <c r="Y52" s="80"/>
      <c r="Z52" s="80"/>
      <c r="AA52" s="80"/>
      <c r="AB52" s="119"/>
      <c r="AC52" s="119"/>
      <c r="AD52" s="80"/>
      <c r="AE52" s="80"/>
      <c r="AF52" s="80"/>
      <c r="AG52" s="80"/>
      <c r="AH52" s="80"/>
      <c r="AI52" s="80"/>
      <c r="AJ52" s="80"/>
      <c r="AK52" s="80"/>
      <c r="AL52" s="80"/>
      <c r="AM52" s="80"/>
      <c r="AN52" s="80"/>
      <c r="AO52" s="80"/>
      <c r="AP52" s="80"/>
      <c r="AQ52" s="80"/>
      <c r="AR52" s="119"/>
      <c r="AS52" s="119"/>
      <c r="AT52" s="29"/>
      <c r="AU52" s="29"/>
      <c r="AV52" s="29"/>
      <c r="AW52" s="29"/>
      <c r="AX52" s="29"/>
      <c r="AY52" s="29"/>
      <c r="AZ52" s="29"/>
      <c r="BA52" s="29"/>
      <c r="BB52" s="29"/>
      <c r="BC52" s="29"/>
      <c r="BD52" s="29"/>
      <c r="BE52" s="29"/>
      <c r="BF52" s="29"/>
      <c r="BG52" s="29"/>
      <c r="BH52" s="29"/>
      <c r="BI52" s="29"/>
      <c r="BJ52" s="29"/>
      <c r="BK52" s="29"/>
    </row>
    <row r="53" spans="1:63" ht="13.5" customHeight="1">
      <c r="A53" s="90"/>
      <c r="B53" s="42"/>
      <c r="C53" s="144"/>
      <c r="D53" s="128" t="s">
        <v>1830</v>
      </c>
      <c r="E53" s="129"/>
      <c r="F53" s="129"/>
      <c r="G53" s="129"/>
      <c r="H53" s="129"/>
      <c r="I53" s="129"/>
      <c r="J53" s="129"/>
      <c r="K53" s="129"/>
      <c r="L53" s="129"/>
      <c r="M53" s="130"/>
      <c r="N53" s="73"/>
      <c r="O53" s="73"/>
      <c r="P53" s="73"/>
      <c r="Q53" s="73"/>
      <c r="R53" s="73"/>
      <c r="S53" s="73"/>
      <c r="T53" s="73"/>
      <c r="U53" s="73"/>
      <c r="V53" s="73"/>
      <c r="W53" s="73"/>
      <c r="X53" s="73"/>
      <c r="Y53" s="73"/>
      <c r="Z53" s="73"/>
      <c r="AA53" s="73"/>
      <c r="AB53" s="65"/>
      <c r="AC53" s="65"/>
      <c r="AD53" s="73"/>
      <c r="AE53" s="73"/>
      <c r="AF53" s="73"/>
      <c r="AG53" s="73"/>
      <c r="AH53" s="73"/>
      <c r="AI53" s="73"/>
      <c r="AJ53" s="73"/>
      <c r="AK53" s="73"/>
      <c r="AL53" s="73"/>
      <c r="AM53" s="73"/>
      <c r="AN53" s="73"/>
      <c r="AO53" s="73"/>
      <c r="AP53" s="73"/>
      <c r="AQ53" s="73"/>
      <c r="AR53" s="65"/>
      <c r="AS53" s="65"/>
    </row>
    <row r="54" spans="1:63" s="22" customFormat="1" ht="13.5" customHeight="1">
      <c r="A54" s="91"/>
      <c r="C54" s="2631"/>
      <c r="D54" s="128" t="s">
        <v>1883</v>
      </c>
      <c r="E54" s="132"/>
      <c r="F54" s="132"/>
      <c r="G54" s="132"/>
      <c r="H54" s="132"/>
      <c r="I54" s="132"/>
      <c r="J54" s="132"/>
      <c r="K54" s="132"/>
      <c r="L54" s="132"/>
      <c r="M54" s="133"/>
      <c r="N54" s="80"/>
      <c r="O54" s="80"/>
      <c r="P54" s="80"/>
      <c r="Q54" s="80"/>
      <c r="R54" s="80"/>
      <c r="S54" s="80"/>
      <c r="T54" s="80"/>
      <c r="U54" s="80"/>
      <c r="V54" s="80"/>
      <c r="W54" s="80"/>
      <c r="X54" s="80"/>
      <c r="Y54" s="80"/>
      <c r="Z54" s="80"/>
      <c r="AA54" s="80"/>
      <c r="AB54" s="119"/>
      <c r="AC54" s="119"/>
      <c r="AD54" s="80"/>
      <c r="AE54" s="80"/>
      <c r="AF54" s="80"/>
      <c r="AG54" s="80"/>
      <c r="AH54" s="80"/>
      <c r="AI54" s="80"/>
      <c r="AJ54" s="80"/>
      <c r="AK54" s="80"/>
      <c r="AL54" s="80"/>
      <c r="AM54" s="80"/>
      <c r="AN54" s="80"/>
      <c r="AO54" s="80"/>
      <c r="AP54" s="80"/>
      <c r="AQ54" s="80"/>
      <c r="AR54" s="119"/>
      <c r="AS54" s="119"/>
      <c r="AT54" s="29"/>
      <c r="AU54" s="29"/>
      <c r="AV54" s="29"/>
      <c r="AW54" s="29"/>
      <c r="AX54" s="29"/>
      <c r="AY54" s="29"/>
      <c r="AZ54" s="29"/>
      <c r="BA54" s="29"/>
      <c r="BB54" s="29"/>
      <c r="BC54" s="29"/>
      <c r="BD54" s="29"/>
      <c r="BE54" s="29"/>
      <c r="BF54" s="29"/>
      <c r="BG54" s="29"/>
      <c r="BH54" s="29"/>
      <c r="BI54" s="29"/>
      <c r="BJ54" s="29"/>
      <c r="BK54" s="29"/>
    </row>
    <row r="55" spans="1:63" s="22" customFormat="1" ht="13.5" customHeight="1">
      <c r="A55" s="91"/>
      <c r="C55" s="2631"/>
      <c r="D55" s="128" t="s">
        <v>1891</v>
      </c>
      <c r="E55" s="132"/>
      <c r="F55" s="132"/>
      <c r="G55" s="132"/>
      <c r="H55" s="132"/>
      <c r="I55" s="132"/>
      <c r="J55" s="132"/>
      <c r="K55" s="132"/>
      <c r="L55" s="132"/>
      <c r="M55" s="133"/>
      <c r="N55" s="80"/>
      <c r="O55" s="80"/>
      <c r="P55" s="80"/>
      <c r="Q55" s="80"/>
      <c r="R55" s="80"/>
      <c r="S55" s="80"/>
      <c r="T55" s="80"/>
      <c r="U55" s="80"/>
      <c r="V55" s="80"/>
      <c r="W55" s="80"/>
      <c r="X55" s="80"/>
      <c r="Y55" s="80"/>
      <c r="Z55" s="80"/>
      <c r="AA55" s="80"/>
      <c r="AB55" s="119"/>
      <c r="AC55" s="119"/>
      <c r="AD55" s="80"/>
      <c r="AE55" s="80"/>
      <c r="AF55" s="80"/>
      <c r="AG55" s="80"/>
      <c r="AH55" s="80"/>
      <c r="AI55" s="80"/>
      <c r="AJ55" s="80"/>
      <c r="AK55" s="80"/>
      <c r="AL55" s="80"/>
      <c r="AM55" s="80"/>
      <c r="AN55" s="80"/>
      <c r="AO55" s="80"/>
      <c r="AP55" s="80"/>
      <c r="AQ55" s="80"/>
      <c r="AR55" s="119"/>
      <c r="AS55" s="119"/>
      <c r="AT55" s="29"/>
      <c r="AU55" s="29"/>
      <c r="AV55" s="29"/>
      <c r="AW55" s="29"/>
      <c r="AX55" s="29"/>
      <c r="AY55" s="29"/>
      <c r="AZ55" s="29"/>
      <c r="BA55" s="29"/>
      <c r="BB55" s="29"/>
      <c r="BC55" s="29"/>
      <c r="BD55" s="29"/>
      <c r="BE55" s="29"/>
      <c r="BF55" s="29"/>
      <c r="BG55" s="29"/>
      <c r="BH55" s="29"/>
      <c r="BI55" s="29"/>
      <c r="BJ55" s="29"/>
      <c r="BK55" s="29"/>
    </row>
    <row r="56" spans="1:63" s="22" customFormat="1" ht="13.5" customHeight="1">
      <c r="A56" s="91"/>
      <c r="C56" s="2631"/>
      <c r="D56" s="128" t="s">
        <v>1884</v>
      </c>
      <c r="E56" s="132"/>
      <c r="F56" s="132"/>
      <c r="G56" s="132"/>
      <c r="H56" s="132"/>
      <c r="I56" s="132"/>
      <c r="J56" s="132"/>
      <c r="K56" s="132"/>
      <c r="L56" s="132"/>
      <c r="M56" s="133"/>
      <c r="N56" s="80"/>
      <c r="O56" s="80"/>
      <c r="P56" s="80"/>
      <c r="Q56" s="80"/>
      <c r="R56" s="80"/>
      <c r="S56" s="80"/>
      <c r="T56" s="80"/>
      <c r="U56" s="80"/>
      <c r="V56" s="80"/>
      <c r="W56" s="80"/>
      <c r="X56" s="80"/>
      <c r="Y56" s="80"/>
      <c r="Z56" s="80"/>
      <c r="AA56" s="80"/>
      <c r="AB56" s="119"/>
      <c r="AC56" s="119"/>
      <c r="AD56" s="80"/>
      <c r="AE56" s="80"/>
      <c r="AF56" s="80"/>
      <c r="AG56" s="80"/>
      <c r="AH56" s="80"/>
      <c r="AI56" s="80"/>
      <c r="AJ56" s="80"/>
      <c r="AK56" s="80"/>
      <c r="AL56" s="80"/>
      <c r="AM56" s="80"/>
      <c r="AN56" s="80"/>
      <c r="AO56" s="80"/>
      <c r="AP56" s="80"/>
      <c r="AQ56" s="80"/>
      <c r="AR56" s="119"/>
      <c r="AS56" s="119"/>
      <c r="AT56" s="29"/>
      <c r="AU56" s="29"/>
      <c r="AV56" s="29"/>
      <c r="AW56" s="29"/>
      <c r="AX56" s="29"/>
      <c r="AY56" s="29"/>
      <c r="AZ56" s="29"/>
      <c r="BA56" s="29"/>
      <c r="BB56" s="29"/>
      <c r="BC56" s="29"/>
      <c r="BD56" s="29"/>
      <c r="BE56" s="29"/>
      <c r="BF56" s="29"/>
      <c r="BG56" s="29"/>
      <c r="BH56" s="29"/>
      <c r="BI56" s="29"/>
      <c r="BJ56" s="29"/>
      <c r="BK56" s="29"/>
    </row>
    <row r="57" spans="1:63" s="22" customFormat="1" ht="13.5" customHeight="1">
      <c r="A57" s="91"/>
      <c r="C57" s="2631"/>
      <c r="D57" s="129" t="s">
        <v>1895</v>
      </c>
      <c r="E57" s="132"/>
      <c r="F57" s="132"/>
      <c r="G57" s="132"/>
      <c r="H57" s="132"/>
      <c r="I57" s="132"/>
      <c r="J57" s="132"/>
      <c r="K57" s="132"/>
      <c r="L57" s="132"/>
      <c r="M57" s="133"/>
      <c r="N57" s="80"/>
      <c r="O57" s="80"/>
      <c r="P57" s="80"/>
      <c r="Q57" s="80"/>
      <c r="R57" s="80"/>
      <c r="S57" s="80"/>
      <c r="T57" s="80"/>
      <c r="U57" s="80"/>
      <c r="V57" s="80"/>
      <c r="W57" s="80"/>
      <c r="X57" s="80"/>
      <c r="Y57" s="80"/>
      <c r="Z57" s="80"/>
      <c r="AA57" s="80"/>
      <c r="AB57" s="119"/>
      <c r="AC57" s="119"/>
      <c r="AD57" s="80"/>
      <c r="AE57" s="80"/>
      <c r="AF57" s="80"/>
      <c r="AG57" s="80"/>
      <c r="AH57" s="80"/>
      <c r="AI57" s="80"/>
      <c r="AJ57" s="80"/>
      <c r="AK57" s="80"/>
      <c r="AL57" s="80"/>
      <c r="AM57" s="80"/>
      <c r="AN57" s="80"/>
      <c r="AO57" s="80"/>
      <c r="AP57" s="80"/>
      <c r="AQ57" s="80"/>
      <c r="AR57" s="119"/>
      <c r="AS57" s="119"/>
      <c r="AT57" s="29"/>
      <c r="AU57" s="29"/>
      <c r="AV57" s="29"/>
      <c r="AW57" s="29"/>
      <c r="AX57" s="29"/>
      <c r="AY57" s="29"/>
      <c r="AZ57" s="29"/>
      <c r="BA57" s="29"/>
      <c r="BB57" s="29"/>
      <c r="BC57" s="29"/>
      <c r="BD57" s="29"/>
      <c r="BE57" s="29"/>
      <c r="BF57" s="29"/>
      <c r="BG57" s="29"/>
      <c r="BH57" s="29"/>
      <c r="BI57" s="29"/>
      <c r="BJ57" s="29"/>
      <c r="BK57" s="29"/>
    </row>
    <row r="58" spans="1:63" s="22" customFormat="1" ht="13.5" customHeight="1">
      <c r="A58" s="91"/>
      <c r="B58" s="24"/>
      <c r="C58" s="2631"/>
      <c r="D58" s="129" t="s">
        <v>1898</v>
      </c>
      <c r="E58" s="132"/>
      <c r="F58" s="132"/>
      <c r="G58" s="132"/>
      <c r="H58" s="132"/>
      <c r="I58" s="132"/>
      <c r="J58" s="132"/>
      <c r="K58" s="132"/>
      <c r="L58" s="132"/>
      <c r="M58" s="133"/>
      <c r="N58" s="80"/>
      <c r="O58" s="80"/>
      <c r="P58" s="80"/>
      <c r="Q58" s="80"/>
      <c r="R58" s="80"/>
      <c r="S58" s="80"/>
      <c r="T58" s="80"/>
      <c r="U58" s="80"/>
      <c r="V58" s="80"/>
      <c r="W58" s="80"/>
      <c r="X58" s="80"/>
      <c r="Y58" s="80"/>
      <c r="Z58" s="80"/>
      <c r="AA58" s="80"/>
      <c r="AB58" s="119"/>
      <c r="AC58" s="119"/>
      <c r="AD58" s="80"/>
      <c r="AE58" s="80"/>
      <c r="AF58" s="80"/>
      <c r="AG58" s="80"/>
      <c r="AH58" s="80"/>
      <c r="AI58" s="80"/>
      <c r="AJ58" s="80"/>
      <c r="AK58" s="80"/>
      <c r="AL58" s="80"/>
      <c r="AM58" s="80"/>
      <c r="AN58" s="80"/>
      <c r="AO58" s="80"/>
      <c r="AP58" s="80"/>
      <c r="AQ58" s="80"/>
      <c r="AR58" s="119"/>
      <c r="AS58" s="119"/>
      <c r="AT58" s="29"/>
      <c r="AU58" s="29"/>
      <c r="AV58" s="29"/>
      <c r="AW58" s="29"/>
      <c r="AX58" s="29"/>
      <c r="AY58" s="29"/>
      <c r="AZ58" s="29"/>
      <c r="BA58" s="29"/>
      <c r="BB58" s="29"/>
      <c r="BC58" s="29"/>
      <c r="BD58" s="29"/>
      <c r="BE58" s="29"/>
      <c r="BF58" s="29"/>
      <c r="BG58" s="29"/>
      <c r="BH58" s="29"/>
      <c r="BI58" s="29"/>
      <c r="BJ58" s="29"/>
      <c r="BK58" s="29"/>
    </row>
    <row r="59" spans="1:63" s="22" customFormat="1" ht="13.5" customHeight="1">
      <c r="A59" s="3118"/>
      <c r="B59" s="3131"/>
      <c r="C59" s="3132"/>
      <c r="D59" s="3133" t="s">
        <v>1908</v>
      </c>
      <c r="E59" s="3134"/>
      <c r="F59" s="3134"/>
      <c r="G59" s="3134"/>
      <c r="H59" s="3134"/>
      <c r="I59" s="3134"/>
      <c r="J59" s="3134"/>
      <c r="K59" s="3134"/>
      <c r="L59" s="3134"/>
      <c r="M59" s="3135"/>
      <c r="N59" s="80"/>
      <c r="O59" s="80"/>
      <c r="P59" s="80"/>
      <c r="Q59" s="80"/>
      <c r="R59" s="80"/>
      <c r="S59" s="80"/>
      <c r="T59" s="80"/>
      <c r="U59" s="80"/>
      <c r="V59" s="80"/>
      <c r="W59" s="80"/>
      <c r="X59" s="80"/>
      <c r="Y59" s="80"/>
      <c r="Z59" s="80"/>
      <c r="AA59" s="80"/>
      <c r="AB59" s="119"/>
      <c r="AC59" s="119"/>
      <c r="AD59" s="80"/>
      <c r="AE59" s="80"/>
      <c r="AF59" s="80"/>
      <c r="AG59" s="80"/>
      <c r="AH59" s="80"/>
      <c r="AI59" s="80"/>
      <c r="AJ59" s="80"/>
      <c r="AK59" s="80"/>
      <c r="AL59" s="80"/>
      <c r="AM59" s="80"/>
      <c r="AN59" s="80"/>
      <c r="AO59" s="80"/>
      <c r="AP59" s="80"/>
      <c r="AQ59" s="80"/>
      <c r="AR59" s="119"/>
      <c r="AS59" s="119"/>
      <c r="AT59" s="29"/>
      <c r="AU59" s="29"/>
      <c r="AV59" s="29"/>
      <c r="AW59" s="29"/>
      <c r="AX59" s="29"/>
      <c r="AY59" s="29"/>
      <c r="AZ59" s="29"/>
      <c r="BA59" s="29"/>
      <c r="BB59" s="29"/>
      <c r="BC59" s="29"/>
      <c r="BD59" s="29"/>
      <c r="BE59" s="29"/>
      <c r="BF59" s="29"/>
      <c r="BG59" s="29"/>
      <c r="BH59" s="29"/>
      <c r="BI59" s="29"/>
      <c r="BJ59" s="29"/>
      <c r="BK59" s="29"/>
    </row>
    <row r="60" spans="1:63" ht="13.5" customHeight="1">
      <c r="A60" s="91" t="s">
        <v>1910</v>
      </c>
      <c r="B60" s="242"/>
      <c r="C60" s="2714">
        <v>42795</v>
      </c>
      <c r="D60" s="2614" t="s">
        <v>1922</v>
      </c>
      <c r="E60" s="2498"/>
      <c r="F60" s="2498"/>
      <c r="G60" s="2498"/>
      <c r="H60" s="2498"/>
      <c r="I60" s="2498"/>
      <c r="J60" s="2498"/>
      <c r="K60" s="2498"/>
      <c r="L60" s="2498"/>
      <c r="M60" s="2499"/>
      <c r="N60" s="73"/>
      <c r="O60" s="73"/>
      <c r="P60" s="73"/>
      <c r="Q60" s="73"/>
      <c r="R60" s="73"/>
      <c r="S60" s="73"/>
      <c r="T60" s="73"/>
      <c r="U60" s="73"/>
      <c r="V60" s="73"/>
      <c r="W60" s="73"/>
      <c r="X60" s="73"/>
      <c r="Y60" s="73"/>
      <c r="Z60" s="73"/>
      <c r="AA60" s="73"/>
      <c r="AB60" s="65"/>
      <c r="AC60" s="65"/>
      <c r="AD60" s="73"/>
      <c r="AE60" s="73"/>
      <c r="AF60" s="73"/>
      <c r="AG60" s="73"/>
      <c r="AH60" s="73"/>
      <c r="AI60" s="73"/>
      <c r="AJ60" s="73"/>
      <c r="AK60" s="73"/>
      <c r="AL60" s="73"/>
      <c r="AM60" s="73"/>
      <c r="AN60" s="73"/>
      <c r="AO60" s="73"/>
      <c r="AP60" s="73"/>
      <c r="AQ60" s="73"/>
      <c r="AR60" s="65"/>
      <c r="AS60" s="65"/>
    </row>
    <row r="61" spans="1:63" ht="13.5" customHeight="1">
      <c r="A61" s="91"/>
      <c r="B61" s="242"/>
      <c r="C61" s="2714"/>
      <c r="D61" s="3033" t="s">
        <v>1914</v>
      </c>
      <c r="E61" s="2498"/>
      <c r="F61" s="2498"/>
      <c r="G61" s="2498"/>
      <c r="H61" s="2498"/>
      <c r="I61" s="2498"/>
      <c r="J61" s="2498"/>
      <c r="K61" s="2498"/>
      <c r="L61" s="2498"/>
      <c r="M61" s="2499"/>
      <c r="N61" s="73"/>
      <c r="O61" s="73"/>
      <c r="P61" s="73"/>
      <c r="Q61" s="73"/>
      <c r="R61" s="73"/>
      <c r="S61" s="73"/>
      <c r="T61" s="73"/>
      <c r="U61" s="73"/>
      <c r="V61" s="73"/>
      <c r="W61" s="73"/>
      <c r="X61" s="73"/>
      <c r="Y61" s="73"/>
      <c r="Z61" s="73"/>
      <c r="AA61" s="73"/>
      <c r="AB61" s="65"/>
      <c r="AC61" s="65"/>
      <c r="AD61" s="73"/>
      <c r="AE61" s="73"/>
      <c r="AF61" s="73"/>
      <c r="AG61" s="73"/>
      <c r="AH61" s="73"/>
      <c r="AI61" s="73"/>
      <c r="AJ61" s="73"/>
      <c r="AK61" s="73"/>
      <c r="AL61" s="73"/>
      <c r="AM61" s="73"/>
      <c r="AN61" s="73"/>
      <c r="AO61" s="73"/>
      <c r="AP61" s="73"/>
      <c r="AQ61" s="73"/>
      <c r="AR61" s="65"/>
      <c r="AS61" s="65"/>
    </row>
    <row r="62" spans="1:63" ht="13.5" customHeight="1">
      <c r="A62" s="91"/>
      <c r="B62" s="242"/>
      <c r="C62" s="2714"/>
      <c r="D62" s="2557" t="s">
        <v>1918</v>
      </c>
      <c r="E62" s="2498"/>
      <c r="F62" s="2498"/>
      <c r="G62" s="2498"/>
      <c r="H62" s="2498"/>
      <c r="I62" s="2498"/>
      <c r="J62" s="2498"/>
      <c r="K62" s="2498"/>
      <c r="L62" s="2498"/>
      <c r="M62" s="2499"/>
      <c r="N62" s="73"/>
      <c r="O62" s="73"/>
      <c r="P62" s="73"/>
      <c r="Q62" s="73"/>
      <c r="R62" s="73"/>
      <c r="S62" s="73"/>
      <c r="T62" s="73"/>
      <c r="U62" s="73"/>
      <c r="V62" s="73"/>
      <c r="W62" s="73"/>
      <c r="X62" s="73"/>
      <c r="Y62" s="73"/>
      <c r="Z62" s="73"/>
      <c r="AA62" s="73"/>
      <c r="AB62" s="65"/>
      <c r="AC62" s="65"/>
      <c r="AD62" s="73"/>
      <c r="AE62" s="73"/>
      <c r="AF62" s="73"/>
      <c r="AG62" s="73"/>
      <c r="AH62" s="73"/>
      <c r="AI62" s="73"/>
      <c r="AJ62" s="73"/>
      <c r="AK62" s="73"/>
      <c r="AL62" s="73"/>
      <c r="AM62" s="73"/>
      <c r="AN62" s="73"/>
      <c r="AO62" s="73"/>
      <c r="AP62" s="73"/>
      <c r="AQ62" s="73"/>
      <c r="AR62" s="65"/>
      <c r="AS62" s="65"/>
    </row>
    <row r="63" spans="1:63" ht="13.5" customHeight="1">
      <c r="A63" s="3118"/>
      <c r="B63" s="3119"/>
      <c r="C63" s="3120"/>
      <c r="D63" s="3121" t="s">
        <v>1921</v>
      </c>
      <c r="E63" s="3122"/>
      <c r="F63" s="3122"/>
      <c r="G63" s="3122"/>
      <c r="H63" s="3122"/>
      <c r="I63" s="3122"/>
      <c r="J63" s="3122"/>
      <c r="K63" s="3122"/>
      <c r="L63" s="3122"/>
      <c r="M63" s="3123"/>
      <c r="N63" s="73"/>
      <c r="O63" s="73"/>
      <c r="P63" s="73"/>
      <c r="Q63" s="73"/>
      <c r="R63" s="73"/>
      <c r="S63" s="73"/>
      <c r="T63" s="73"/>
      <c r="U63" s="73"/>
      <c r="V63" s="73"/>
      <c r="W63" s="73"/>
      <c r="X63" s="73"/>
      <c r="Y63" s="73"/>
      <c r="Z63" s="73"/>
      <c r="AA63" s="73"/>
      <c r="AB63" s="65"/>
      <c r="AC63" s="65"/>
      <c r="AD63" s="73"/>
      <c r="AE63" s="73"/>
      <c r="AF63" s="73"/>
      <c r="AG63" s="73"/>
      <c r="AH63" s="73"/>
      <c r="AI63" s="73"/>
      <c r="AJ63" s="73"/>
      <c r="AK63" s="73"/>
      <c r="AL63" s="73"/>
      <c r="AM63" s="73"/>
      <c r="AN63" s="73"/>
      <c r="AO63" s="73"/>
      <c r="AP63" s="73"/>
      <c r="AQ63" s="73"/>
      <c r="AR63" s="65"/>
      <c r="AS63" s="65"/>
    </row>
    <row r="64" spans="1:63" s="22" customFormat="1" ht="14.25" customHeight="1">
      <c r="A64" s="91" t="s">
        <v>1806</v>
      </c>
      <c r="C64" s="2631">
        <v>42552</v>
      </c>
      <c r="D64" s="2555" t="s">
        <v>1760</v>
      </c>
      <c r="E64" s="132"/>
      <c r="F64" s="132"/>
      <c r="G64" s="132"/>
      <c r="H64" s="132"/>
      <c r="I64" s="132"/>
      <c r="J64" s="132"/>
      <c r="K64" s="132"/>
      <c r="L64" s="132"/>
      <c r="M64" s="133"/>
      <c r="N64" s="80"/>
      <c r="O64" s="80"/>
      <c r="P64" s="80"/>
      <c r="Q64" s="80"/>
      <c r="R64" s="80"/>
      <c r="S64" s="80"/>
      <c r="T64" s="80"/>
      <c r="U64" s="80"/>
      <c r="V64" s="80"/>
      <c r="W64" s="80"/>
      <c r="X64" s="80"/>
      <c r="Y64" s="80"/>
      <c r="Z64" s="80"/>
      <c r="AA64" s="80"/>
      <c r="AB64" s="119"/>
      <c r="AC64" s="119"/>
      <c r="AD64" s="80"/>
      <c r="AE64" s="80"/>
      <c r="AF64" s="80"/>
      <c r="AG64" s="80"/>
      <c r="AH64" s="80"/>
      <c r="AI64" s="80"/>
      <c r="AJ64" s="80"/>
      <c r="AK64" s="80"/>
      <c r="AL64" s="80"/>
      <c r="AM64" s="80"/>
      <c r="AN64" s="80"/>
      <c r="AO64" s="80"/>
      <c r="AP64" s="80"/>
      <c r="AQ64" s="80"/>
      <c r="AR64" s="119"/>
      <c r="AS64" s="119"/>
      <c r="AT64" s="29"/>
      <c r="AU64" s="29"/>
      <c r="AV64" s="29"/>
      <c r="AW64" s="29"/>
      <c r="AX64" s="29"/>
      <c r="AY64" s="29"/>
      <c r="AZ64" s="29"/>
      <c r="BA64" s="29"/>
      <c r="BB64" s="29"/>
      <c r="BC64" s="29"/>
      <c r="BD64" s="29"/>
      <c r="BE64" s="29"/>
      <c r="BF64" s="29"/>
      <c r="BG64" s="29"/>
      <c r="BH64" s="29"/>
      <c r="BI64" s="29"/>
      <c r="BJ64" s="29"/>
      <c r="BK64" s="29"/>
    </row>
    <row r="65" spans="1:63" s="22" customFormat="1" ht="13.5" customHeight="1">
      <c r="A65" s="91"/>
      <c r="C65" s="2631"/>
      <c r="D65" s="128" t="s">
        <v>1762</v>
      </c>
      <c r="E65" s="132"/>
      <c r="F65" s="132"/>
      <c r="G65" s="132"/>
      <c r="H65" s="132"/>
      <c r="I65" s="132"/>
      <c r="J65" s="132"/>
      <c r="K65" s="132"/>
      <c r="L65" s="132"/>
      <c r="M65" s="133"/>
      <c r="N65" s="80"/>
      <c r="O65" s="80"/>
      <c r="P65" s="80"/>
      <c r="Q65" s="80"/>
      <c r="R65" s="80"/>
      <c r="S65" s="80"/>
      <c r="T65" s="80"/>
      <c r="U65" s="80"/>
      <c r="V65" s="80"/>
      <c r="W65" s="80"/>
      <c r="X65" s="80"/>
      <c r="Y65" s="80"/>
      <c r="Z65" s="80"/>
      <c r="AA65" s="80"/>
      <c r="AB65" s="119"/>
      <c r="AC65" s="119"/>
      <c r="AD65" s="80"/>
      <c r="AE65" s="80"/>
      <c r="AF65" s="80"/>
      <c r="AG65" s="80"/>
      <c r="AH65" s="80"/>
      <c r="AI65" s="80"/>
      <c r="AJ65" s="80"/>
      <c r="AK65" s="80"/>
      <c r="AL65" s="80"/>
      <c r="AM65" s="80"/>
      <c r="AN65" s="80"/>
      <c r="AO65" s="80"/>
      <c r="AP65" s="80"/>
      <c r="AQ65" s="80"/>
      <c r="AR65" s="119"/>
      <c r="AS65" s="119"/>
      <c r="AT65" s="29"/>
      <c r="AU65" s="29"/>
      <c r="AV65" s="29"/>
      <c r="AW65" s="29"/>
      <c r="AX65" s="29"/>
      <c r="AY65" s="29"/>
      <c r="AZ65" s="29"/>
      <c r="BA65" s="29"/>
      <c r="BB65" s="29"/>
      <c r="BC65" s="29"/>
      <c r="BD65" s="29"/>
      <c r="BE65" s="29"/>
      <c r="BF65" s="29"/>
      <c r="BG65" s="29"/>
      <c r="BH65" s="29"/>
      <c r="BI65" s="29"/>
      <c r="BJ65" s="29"/>
      <c r="BK65" s="29"/>
    </row>
    <row r="66" spans="1:63" s="22" customFormat="1" ht="13.5" customHeight="1">
      <c r="A66" s="91"/>
      <c r="C66" s="2631"/>
      <c r="D66" s="128" t="s">
        <v>1761</v>
      </c>
      <c r="F66" s="132"/>
      <c r="G66" s="132"/>
      <c r="H66" s="132"/>
      <c r="I66" s="132"/>
      <c r="J66" s="132"/>
      <c r="K66" s="132"/>
      <c r="L66" s="132"/>
      <c r="M66" s="133"/>
      <c r="N66" s="80"/>
      <c r="O66" s="80"/>
      <c r="P66" s="80"/>
      <c r="Q66" s="80"/>
      <c r="R66" s="80"/>
      <c r="S66" s="80"/>
      <c r="T66" s="80"/>
      <c r="U66" s="80"/>
      <c r="V66" s="80"/>
      <c r="W66" s="80"/>
      <c r="X66" s="80"/>
      <c r="Y66" s="80"/>
      <c r="Z66" s="80"/>
      <c r="AA66" s="80"/>
      <c r="AB66" s="119"/>
      <c r="AC66" s="119"/>
      <c r="AD66" s="80"/>
      <c r="AE66" s="80"/>
      <c r="AF66" s="80"/>
      <c r="AG66" s="80"/>
      <c r="AH66" s="80"/>
      <c r="AI66" s="80"/>
      <c r="AJ66" s="80"/>
      <c r="AK66" s="80"/>
      <c r="AL66" s="80"/>
      <c r="AM66" s="80"/>
      <c r="AN66" s="80"/>
      <c r="AO66" s="80"/>
      <c r="AP66" s="80"/>
      <c r="AQ66" s="80"/>
      <c r="AR66" s="119"/>
      <c r="AS66" s="119"/>
      <c r="AT66" s="29"/>
      <c r="AU66" s="29"/>
      <c r="AV66" s="29"/>
      <c r="AW66" s="29"/>
      <c r="AX66" s="29"/>
      <c r="AY66" s="29"/>
      <c r="AZ66" s="29"/>
      <c r="BA66" s="29"/>
      <c r="BB66" s="29"/>
      <c r="BC66" s="29"/>
      <c r="BD66" s="29"/>
      <c r="BE66" s="29"/>
      <c r="BF66" s="29"/>
      <c r="BG66" s="29"/>
      <c r="BH66" s="29"/>
      <c r="BI66" s="29"/>
      <c r="BJ66" s="29"/>
      <c r="BK66" s="29"/>
    </row>
    <row r="67" spans="1:63" s="22" customFormat="1" ht="13.5" customHeight="1">
      <c r="A67" s="91"/>
      <c r="C67" s="2631"/>
      <c r="D67" s="2555" t="s">
        <v>1788</v>
      </c>
      <c r="E67" s="132"/>
      <c r="F67" s="132"/>
      <c r="G67" s="132"/>
      <c r="H67" s="132"/>
      <c r="I67" s="132"/>
      <c r="J67" s="132"/>
      <c r="K67" s="132"/>
      <c r="L67" s="132"/>
      <c r="M67" s="133"/>
      <c r="N67" s="80"/>
      <c r="O67" s="80"/>
      <c r="P67" s="80"/>
      <c r="Q67" s="80"/>
      <c r="R67" s="80"/>
      <c r="S67" s="80"/>
      <c r="T67" s="80"/>
      <c r="U67" s="80"/>
      <c r="V67" s="80"/>
      <c r="W67" s="80"/>
      <c r="X67" s="80"/>
      <c r="Y67" s="80"/>
      <c r="Z67" s="80"/>
      <c r="AA67" s="80"/>
      <c r="AB67" s="119"/>
      <c r="AC67" s="119"/>
      <c r="AD67" s="80"/>
      <c r="AE67" s="80"/>
      <c r="AF67" s="80"/>
      <c r="AG67" s="80"/>
      <c r="AH67" s="80"/>
      <c r="AI67" s="80"/>
      <c r="AJ67" s="80"/>
      <c r="AK67" s="80"/>
      <c r="AL67" s="80"/>
      <c r="AM67" s="80"/>
      <c r="AN67" s="80"/>
      <c r="AO67" s="80"/>
      <c r="AP67" s="80"/>
      <c r="AQ67" s="80"/>
      <c r="AR67" s="119"/>
      <c r="AS67" s="119"/>
      <c r="AT67" s="29"/>
      <c r="AU67" s="29"/>
      <c r="AV67" s="29"/>
      <c r="AW67" s="29"/>
      <c r="AX67" s="29"/>
      <c r="AY67" s="29"/>
      <c r="AZ67" s="29"/>
      <c r="BA67" s="29"/>
      <c r="BB67" s="29"/>
      <c r="BC67" s="29"/>
      <c r="BD67" s="29"/>
      <c r="BE67" s="29"/>
      <c r="BF67" s="29"/>
      <c r="BG67" s="29"/>
      <c r="BH67" s="29"/>
      <c r="BI67" s="29"/>
      <c r="BJ67" s="29"/>
      <c r="BK67" s="29"/>
    </row>
    <row r="68" spans="1:63" s="22" customFormat="1" ht="13.5" customHeight="1">
      <c r="A68" s="91"/>
      <c r="C68" s="2631"/>
      <c r="D68" s="128" t="s">
        <v>1767</v>
      </c>
      <c r="E68" s="132"/>
      <c r="F68" s="132"/>
      <c r="G68" s="132"/>
      <c r="H68" s="132"/>
      <c r="I68" s="132"/>
      <c r="J68" s="132"/>
      <c r="K68" s="132"/>
      <c r="L68" s="132"/>
      <c r="M68" s="133"/>
      <c r="N68" s="80"/>
      <c r="O68" s="80"/>
      <c r="P68" s="80"/>
      <c r="Q68" s="80"/>
      <c r="R68" s="80"/>
      <c r="S68" s="80"/>
      <c r="T68" s="80"/>
      <c r="U68" s="80"/>
      <c r="V68" s="80"/>
      <c r="W68" s="80"/>
      <c r="X68" s="80"/>
      <c r="Y68" s="80"/>
      <c r="Z68" s="80"/>
      <c r="AA68" s="80"/>
      <c r="AB68" s="119"/>
      <c r="AC68" s="119"/>
      <c r="AD68" s="80"/>
      <c r="AE68" s="80"/>
      <c r="AF68" s="80"/>
      <c r="AG68" s="80"/>
      <c r="AH68" s="80"/>
      <c r="AI68" s="80"/>
      <c r="AJ68" s="80"/>
      <c r="AK68" s="80"/>
      <c r="AL68" s="80"/>
      <c r="AM68" s="80"/>
      <c r="AN68" s="80"/>
      <c r="AO68" s="80"/>
      <c r="AP68" s="80"/>
      <c r="AQ68" s="80"/>
      <c r="AR68" s="119"/>
      <c r="AS68" s="119"/>
      <c r="AT68" s="29"/>
      <c r="AU68" s="29"/>
      <c r="AV68" s="29"/>
      <c r="AW68" s="29"/>
      <c r="AX68" s="29"/>
      <c r="AY68" s="29"/>
      <c r="AZ68" s="29"/>
      <c r="BA68" s="29"/>
      <c r="BB68" s="29"/>
      <c r="BC68" s="29"/>
      <c r="BD68" s="29"/>
      <c r="BE68" s="29"/>
      <c r="BF68" s="29"/>
      <c r="BG68" s="29"/>
      <c r="BH68" s="29"/>
      <c r="BI68" s="29"/>
      <c r="BJ68" s="29"/>
      <c r="BK68" s="29"/>
    </row>
    <row r="69" spans="1:63" ht="13.5" customHeight="1">
      <c r="A69" s="2953" t="s">
        <v>1756</v>
      </c>
      <c r="B69" s="2971"/>
      <c r="C69" s="2964">
        <v>42370</v>
      </c>
      <c r="D69" s="2955" t="s">
        <v>1759</v>
      </c>
      <c r="E69" s="2960"/>
      <c r="F69" s="2960"/>
      <c r="G69" s="2960"/>
      <c r="H69" s="2960"/>
      <c r="I69" s="2955"/>
      <c r="J69" s="2955"/>
      <c r="K69" s="2955"/>
      <c r="L69" s="2955"/>
      <c r="M69" s="2956"/>
      <c r="N69" s="73"/>
      <c r="O69" s="73"/>
      <c r="P69" s="73"/>
      <c r="Q69" s="73"/>
      <c r="R69" s="73"/>
      <c r="S69" s="73"/>
      <c r="T69" s="73"/>
      <c r="U69" s="73"/>
      <c r="V69" s="73"/>
      <c r="W69" s="73"/>
      <c r="X69" s="73"/>
      <c r="Y69" s="73"/>
      <c r="Z69" s="73"/>
      <c r="AA69" s="73"/>
      <c r="AB69" s="65"/>
      <c r="AC69" s="65"/>
      <c r="AD69" s="73"/>
      <c r="AE69" s="73"/>
      <c r="AF69" s="73"/>
      <c r="AG69" s="73"/>
      <c r="AH69" s="73"/>
      <c r="AI69" s="73"/>
      <c r="AJ69" s="73"/>
      <c r="AK69" s="73"/>
      <c r="AL69" s="73"/>
      <c r="AM69" s="73"/>
      <c r="AN69" s="73"/>
      <c r="AO69" s="73"/>
      <c r="AP69" s="73"/>
      <c r="AQ69" s="73"/>
      <c r="AR69" s="65"/>
      <c r="AS69" s="65"/>
    </row>
    <row r="70" spans="1:63" ht="13.5" customHeight="1">
      <c r="A70" s="90"/>
      <c r="B70" s="82"/>
      <c r="C70" s="2631">
        <v>42339</v>
      </c>
      <c r="D70" s="129" t="s">
        <v>1705</v>
      </c>
      <c r="E70" s="129"/>
      <c r="F70" s="129"/>
      <c r="G70" s="129"/>
      <c r="H70" s="129"/>
      <c r="I70" s="129"/>
      <c r="J70" s="129"/>
      <c r="K70" s="129"/>
      <c r="L70" s="129"/>
      <c r="M70" s="130"/>
      <c r="N70" s="73"/>
      <c r="O70" s="73"/>
      <c r="P70" s="73"/>
      <c r="Q70" s="73"/>
      <c r="R70" s="73"/>
      <c r="S70" s="73"/>
      <c r="T70" s="73"/>
      <c r="U70" s="73"/>
      <c r="V70" s="73"/>
      <c r="W70" s="73"/>
      <c r="X70" s="73"/>
      <c r="Y70" s="73"/>
      <c r="Z70" s="73"/>
      <c r="AA70" s="73"/>
      <c r="AB70" s="65"/>
      <c r="AC70" s="65"/>
      <c r="AD70" s="73"/>
      <c r="AE70" s="73"/>
      <c r="AF70" s="73"/>
      <c r="AG70" s="73"/>
      <c r="AH70" s="73"/>
      <c r="AI70" s="73"/>
      <c r="AJ70" s="73"/>
      <c r="AK70" s="73"/>
      <c r="AL70" s="73"/>
      <c r="AM70" s="73"/>
      <c r="AN70" s="73"/>
      <c r="AO70" s="73"/>
      <c r="AP70" s="73"/>
      <c r="AQ70" s="73"/>
      <c r="AR70" s="65"/>
      <c r="AS70" s="65"/>
    </row>
    <row r="71" spans="1:63" ht="13.5" customHeight="1">
      <c r="A71" s="180"/>
      <c r="B71" s="28"/>
      <c r="C71" s="2714"/>
      <c r="D71" s="2619" t="s">
        <v>1723</v>
      </c>
      <c r="E71" s="132"/>
      <c r="F71" s="132"/>
      <c r="G71" s="132"/>
      <c r="H71" s="132"/>
      <c r="I71" s="129"/>
      <c r="J71" s="129"/>
      <c r="K71" s="129"/>
      <c r="L71" s="129"/>
      <c r="M71" s="130"/>
      <c r="N71" s="73"/>
      <c r="O71" s="73"/>
      <c r="P71" s="73"/>
      <c r="Q71" s="73"/>
      <c r="R71" s="73"/>
      <c r="S71" s="73"/>
      <c r="T71" s="73"/>
      <c r="U71" s="73"/>
      <c r="V71" s="73"/>
      <c r="W71" s="73"/>
      <c r="X71" s="73"/>
      <c r="Y71" s="73"/>
      <c r="Z71" s="73"/>
      <c r="AA71" s="73"/>
      <c r="AB71" s="65"/>
      <c r="AC71" s="65"/>
      <c r="AD71" s="73"/>
      <c r="AE71" s="73"/>
      <c r="AF71" s="73"/>
      <c r="AG71" s="73"/>
      <c r="AH71" s="73"/>
      <c r="AI71" s="73"/>
      <c r="AJ71" s="73"/>
      <c r="AK71" s="73"/>
      <c r="AL71" s="73"/>
      <c r="AM71" s="73"/>
      <c r="AN71" s="73"/>
      <c r="AO71" s="73"/>
      <c r="AP71" s="73"/>
      <c r="AQ71" s="73"/>
      <c r="AR71" s="65"/>
      <c r="AS71" s="65"/>
    </row>
    <row r="72" spans="1:63" ht="13.5" customHeight="1">
      <c r="A72" s="180"/>
      <c r="B72" s="28"/>
      <c r="C72" s="2714"/>
      <c r="D72" s="128" t="s">
        <v>1743</v>
      </c>
      <c r="E72" s="132"/>
      <c r="F72" s="132"/>
      <c r="G72" s="132"/>
      <c r="H72" s="132"/>
      <c r="I72" s="129"/>
      <c r="J72" s="129"/>
      <c r="K72" s="129"/>
      <c r="L72" s="129"/>
      <c r="M72" s="130"/>
      <c r="N72" s="73"/>
      <c r="O72" s="73"/>
      <c r="P72" s="73"/>
      <c r="Q72" s="73"/>
      <c r="R72" s="73"/>
      <c r="S72" s="73"/>
      <c r="T72" s="73"/>
      <c r="U72" s="73"/>
      <c r="V72" s="73"/>
      <c r="W72" s="73"/>
      <c r="X72" s="73"/>
      <c r="Y72" s="73"/>
      <c r="Z72" s="73"/>
      <c r="AA72" s="73"/>
      <c r="AB72" s="65"/>
      <c r="AC72" s="65"/>
      <c r="AD72" s="73"/>
      <c r="AE72" s="73"/>
      <c r="AF72" s="73"/>
      <c r="AG72" s="73"/>
      <c r="AH72" s="73"/>
      <c r="AI72" s="73"/>
      <c r="AJ72" s="73"/>
      <c r="AK72" s="73"/>
      <c r="AL72" s="73"/>
      <c r="AM72" s="73"/>
      <c r="AN72" s="73"/>
      <c r="AO72" s="73"/>
      <c r="AP72" s="73"/>
      <c r="AQ72" s="73"/>
      <c r="AR72" s="65"/>
      <c r="AS72" s="65"/>
    </row>
    <row r="73" spans="1:63" ht="13.5" customHeight="1">
      <c r="A73" s="180"/>
      <c r="B73" s="28"/>
      <c r="C73" s="2714"/>
      <c r="D73" s="128" t="s">
        <v>1749</v>
      </c>
      <c r="E73" s="132"/>
      <c r="F73" s="132"/>
      <c r="G73" s="132"/>
      <c r="H73" s="132"/>
      <c r="I73" s="129"/>
      <c r="J73" s="129"/>
      <c r="K73" s="129"/>
      <c r="L73" s="129"/>
      <c r="M73" s="130"/>
      <c r="N73" s="73"/>
      <c r="O73" s="73"/>
      <c r="P73" s="73"/>
      <c r="Q73" s="73"/>
      <c r="R73" s="73"/>
      <c r="S73" s="73"/>
      <c r="T73" s="73"/>
      <c r="U73" s="73"/>
      <c r="V73" s="73"/>
      <c r="W73" s="73"/>
      <c r="X73" s="73"/>
      <c r="Y73" s="73"/>
      <c r="Z73" s="73"/>
      <c r="AA73" s="73"/>
      <c r="AB73" s="65"/>
      <c r="AC73" s="65"/>
      <c r="AD73" s="73"/>
      <c r="AE73" s="73"/>
      <c r="AF73" s="73"/>
      <c r="AG73" s="73"/>
      <c r="AH73" s="73"/>
      <c r="AI73" s="73"/>
      <c r="AJ73" s="73"/>
      <c r="AK73" s="73"/>
      <c r="AL73" s="73"/>
      <c r="AM73" s="73"/>
      <c r="AN73" s="73"/>
      <c r="AO73" s="73"/>
      <c r="AP73" s="73"/>
      <c r="AQ73" s="73"/>
      <c r="AR73" s="65"/>
      <c r="AS73" s="65"/>
    </row>
    <row r="74" spans="1:63" ht="13.5" customHeight="1">
      <c r="A74" s="180"/>
      <c r="B74" s="28"/>
      <c r="C74" s="2714"/>
      <c r="D74" s="2619" t="s">
        <v>1748</v>
      </c>
      <c r="E74" s="132"/>
      <c r="F74" s="132"/>
      <c r="G74" s="132"/>
      <c r="H74" s="132"/>
      <c r="I74" s="129"/>
      <c r="J74" s="129"/>
      <c r="K74" s="129"/>
      <c r="L74" s="129"/>
      <c r="M74" s="130"/>
      <c r="N74" s="73"/>
      <c r="O74" s="73"/>
      <c r="P74" s="73"/>
      <c r="Q74" s="73"/>
      <c r="R74" s="73"/>
      <c r="S74" s="73"/>
      <c r="T74" s="73"/>
      <c r="U74" s="73"/>
      <c r="V74" s="73"/>
      <c r="W74" s="73"/>
      <c r="X74" s="73"/>
      <c r="Y74" s="73"/>
      <c r="Z74" s="73"/>
      <c r="AA74" s="73"/>
      <c r="AB74" s="65"/>
      <c r="AC74" s="65"/>
      <c r="AD74" s="73"/>
      <c r="AE74" s="73"/>
      <c r="AF74" s="73"/>
      <c r="AG74" s="73"/>
      <c r="AH74" s="73"/>
      <c r="AI74" s="73"/>
      <c r="AJ74" s="73"/>
      <c r="AK74" s="73"/>
      <c r="AL74" s="73"/>
      <c r="AM74" s="73"/>
      <c r="AN74" s="73"/>
      <c r="AO74" s="73"/>
      <c r="AP74" s="73"/>
      <c r="AQ74" s="73"/>
      <c r="AR74" s="65"/>
      <c r="AS74" s="65"/>
    </row>
    <row r="75" spans="1:63" ht="13.5" customHeight="1">
      <c r="A75" s="180"/>
      <c r="B75" s="28"/>
      <c r="C75" s="2714"/>
      <c r="D75" s="128" t="s">
        <v>1745</v>
      </c>
      <c r="E75" s="132"/>
      <c r="F75" s="132"/>
      <c r="G75" s="132"/>
      <c r="H75" s="132"/>
      <c r="I75" s="129"/>
      <c r="J75" s="129"/>
      <c r="K75" s="129"/>
      <c r="L75" s="129"/>
      <c r="M75" s="130"/>
      <c r="N75" s="73"/>
      <c r="O75" s="73"/>
      <c r="P75" s="73"/>
      <c r="Q75" s="73"/>
      <c r="R75" s="73"/>
      <c r="S75" s="73"/>
      <c r="T75" s="73"/>
      <c r="U75" s="73"/>
      <c r="V75" s="73"/>
      <c r="W75" s="73"/>
      <c r="X75" s="73"/>
      <c r="Y75" s="73"/>
      <c r="Z75" s="73"/>
      <c r="AA75" s="73"/>
      <c r="AB75" s="65"/>
      <c r="AC75" s="65"/>
      <c r="AD75" s="73"/>
      <c r="AE75" s="73"/>
      <c r="AF75" s="73"/>
      <c r="AG75" s="73"/>
      <c r="AH75" s="73"/>
      <c r="AI75" s="73"/>
      <c r="AJ75" s="73"/>
      <c r="AK75" s="73"/>
      <c r="AL75" s="73"/>
      <c r="AM75" s="73"/>
      <c r="AN75" s="73"/>
      <c r="AO75" s="73"/>
      <c r="AP75" s="73"/>
      <c r="AQ75" s="73"/>
      <c r="AR75" s="65"/>
      <c r="AS75" s="65"/>
    </row>
    <row r="76" spans="1:63" ht="13.5" customHeight="1">
      <c r="A76" s="180"/>
      <c r="B76" s="28"/>
      <c r="C76" s="2714"/>
      <c r="D76" s="128" t="s">
        <v>1746</v>
      </c>
      <c r="E76" s="132"/>
      <c r="F76" s="132"/>
      <c r="G76" s="132"/>
      <c r="H76" s="132"/>
      <c r="I76" s="129"/>
      <c r="J76" s="129"/>
      <c r="K76" s="129"/>
      <c r="L76" s="129"/>
      <c r="M76" s="130"/>
      <c r="N76" s="73"/>
      <c r="O76" s="73"/>
      <c r="P76" s="73"/>
      <c r="Q76" s="73"/>
      <c r="R76" s="73"/>
      <c r="S76" s="73"/>
      <c r="T76" s="73"/>
      <c r="U76" s="73"/>
      <c r="V76" s="73"/>
      <c r="W76" s="73"/>
      <c r="X76" s="73"/>
      <c r="Y76" s="73"/>
      <c r="Z76" s="73"/>
      <c r="AA76" s="73"/>
      <c r="AB76" s="65"/>
      <c r="AC76" s="65"/>
      <c r="AD76" s="73"/>
      <c r="AE76" s="73"/>
      <c r="AF76" s="73"/>
      <c r="AG76" s="73"/>
      <c r="AH76" s="73"/>
      <c r="AI76" s="73"/>
      <c r="AJ76" s="73"/>
      <c r="AK76" s="73"/>
      <c r="AL76" s="73"/>
      <c r="AM76" s="73"/>
      <c r="AN76" s="73"/>
      <c r="AO76" s="73"/>
      <c r="AP76" s="73"/>
      <c r="AQ76" s="73"/>
      <c r="AR76" s="65"/>
      <c r="AS76" s="65"/>
    </row>
    <row r="77" spans="1:63" ht="13.5" customHeight="1">
      <c r="A77" s="180"/>
      <c r="B77" s="28"/>
      <c r="C77" s="2714"/>
      <c r="D77" s="128" t="s">
        <v>1747</v>
      </c>
      <c r="E77" s="132"/>
      <c r="F77" s="132"/>
      <c r="G77" s="132"/>
      <c r="H77" s="132"/>
      <c r="I77" s="129"/>
      <c r="J77" s="129"/>
      <c r="K77" s="129"/>
      <c r="L77" s="129"/>
      <c r="M77" s="130"/>
      <c r="N77" s="73"/>
      <c r="O77" s="73"/>
      <c r="P77" s="73"/>
      <c r="Q77" s="73"/>
      <c r="R77" s="73"/>
      <c r="S77" s="73"/>
      <c r="T77" s="73"/>
      <c r="U77" s="73"/>
      <c r="V77" s="73"/>
      <c r="W77" s="73"/>
      <c r="X77" s="73"/>
      <c r="Y77" s="73"/>
      <c r="Z77" s="73"/>
      <c r="AA77" s="73"/>
      <c r="AB77" s="65"/>
      <c r="AC77" s="65"/>
      <c r="AD77" s="73"/>
      <c r="AE77" s="73"/>
      <c r="AF77" s="73"/>
      <c r="AG77" s="73"/>
      <c r="AH77" s="73"/>
      <c r="AI77" s="73"/>
      <c r="AJ77" s="73"/>
      <c r="AK77" s="73"/>
      <c r="AL77" s="73"/>
      <c r="AM77" s="73"/>
      <c r="AN77" s="73"/>
      <c r="AO77" s="73"/>
      <c r="AP77" s="73"/>
      <c r="AQ77" s="73"/>
      <c r="AR77" s="65"/>
      <c r="AS77" s="65"/>
    </row>
    <row r="78" spans="1:63" ht="13.5" customHeight="1">
      <c r="A78" s="180"/>
      <c r="B78" s="28"/>
      <c r="C78" s="2714"/>
      <c r="D78" s="129" t="s">
        <v>1753</v>
      </c>
      <c r="E78" s="132"/>
      <c r="F78" s="132"/>
      <c r="G78" s="132"/>
      <c r="H78" s="132"/>
      <c r="I78" s="129"/>
      <c r="J78" s="129"/>
      <c r="K78" s="129"/>
      <c r="L78" s="129"/>
      <c r="M78" s="130"/>
      <c r="N78" s="73"/>
      <c r="O78" s="73"/>
      <c r="P78" s="73"/>
      <c r="Q78" s="73"/>
      <c r="R78" s="73"/>
      <c r="S78" s="73"/>
      <c r="T78" s="73"/>
      <c r="U78" s="73"/>
      <c r="V78" s="73"/>
      <c r="W78" s="73"/>
      <c r="X78" s="73"/>
      <c r="Y78" s="73"/>
      <c r="Z78" s="73"/>
      <c r="AA78" s="73"/>
      <c r="AB78" s="65"/>
      <c r="AC78" s="65"/>
      <c r="AD78" s="73"/>
      <c r="AE78" s="73"/>
      <c r="AF78" s="73"/>
      <c r="AG78" s="73"/>
      <c r="AH78" s="73"/>
      <c r="AI78" s="73"/>
      <c r="AJ78" s="73"/>
      <c r="AK78" s="73"/>
      <c r="AL78" s="73"/>
      <c r="AM78" s="73"/>
      <c r="AN78" s="73"/>
      <c r="AO78" s="73"/>
      <c r="AP78" s="73"/>
      <c r="AQ78" s="73"/>
      <c r="AR78" s="65"/>
      <c r="AS78" s="65"/>
    </row>
    <row r="79" spans="1:63" ht="13.5" customHeight="1">
      <c r="A79" s="180"/>
      <c r="B79" s="28"/>
      <c r="C79" s="2714"/>
      <c r="D79" s="129" t="s">
        <v>1754</v>
      </c>
      <c r="E79" s="132"/>
      <c r="F79" s="132"/>
      <c r="G79" s="132"/>
      <c r="H79" s="132"/>
      <c r="I79" s="129"/>
      <c r="J79" s="129"/>
      <c r="K79" s="129"/>
      <c r="L79" s="129"/>
      <c r="M79" s="130"/>
      <c r="N79" s="73"/>
      <c r="O79" s="73"/>
      <c r="P79" s="73"/>
      <c r="Q79" s="73"/>
      <c r="R79" s="73"/>
      <c r="S79" s="73"/>
      <c r="T79" s="73"/>
      <c r="U79" s="73"/>
      <c r="V79" s="73"/>
      <c r="W79" s="73"/>
      <c r="X79" s="73"/>
      <c r="Y79" s="73"/>
      <c r="Z79" s="73"/>
      <c r="AA79" s="73"/>
      <c r="AB79" s="65"/>
      <c r="AC79" s="65"/>
      <c r="AD79" s="73"/>
      <c r="AE79" s="73"/>
      <c r="AF79" s="73"/>
      <c r="AG79" s="73"/>
      <c r="AH79" s="73"/>
      <c r="AI79" s="73"/>
      <c r="AJ79" s="73"/>
      <c r="AK79" s="73"/>
      <c r="AL79" s="73"/>
      <c r="AM79" s="73"/>
      <c r="AN79" s="73"/>
      <c r="AO79" s="73"/>
      <c r="AP79" s="73"/>
      <c r="AQ79" s="73"/>
      <c r="AR79" s="65"/>
      <c r="AS79" s="65"/>
    </row>
    <row r="80" spans="1:63" ht="13.5" customHeight="1">
      <c r="A80" s="180"/>
      <c r="B80" s="28"/>
      <c r="C80" s="2714"/>
      <c r="D80" s="129" t="s">
        <v>1755</v>
      </c>
      <c r="E80" s="132"/>
      <c r="F80" s="132"/>
      <c r="G80" s="132"/>
      <c r="H80" s="132"/>
      <c r="I80" s="129"/>
      <c r="J80" s="129"/>
      <c r="K80" s="129"/>
      <c r="L80" s="129"/>
      <c r="M80" s="130"/>
      <c r="N80" s="73"/>
      <c r="O80" s="73"/>
      <c r="P80" s="73"/>
      <c r="Q80" s="73"/>
      <c r="R80" s="73"/>
      <c r="S80" s="73"/>
      <c r="T80" s="73"/>
      <c r="U80" s="73"/>
      <c r="V80" s="73"/>
      <c r="W80" s="73"/>
      <c r="X80" s="73"/>
      <c r="Y80" s="73"/>
      <c r="Z80" s="73"/>
      <c r="AA80" s="73"/>
      <c r="AB80" s="65"/>
      <c r="AC80" s="65"/>
      <c r="AD80" s="73"/>
      <c r="AE80" s="73"/>
      <c r="AF80" s="73"/>
      <c r="AG80" s="73"/>
      <c r="AH80" s="73"/>
      <c r="AI80" s="73"/>
      <c r="AJ80" s="73"/>
      <c r="AK80" s="73"/>
      <c r="AL80" s="73"/>
      <c r="AM80" s="73"/>
      <c r="AN80" s="73"/>
      <c r="AO80" s="73"/>
      <c r="AP80" s="73"/>
      <c r="AQ80" s="73"/>
      <c r="AR80" s="65"/>
      <c r="AS80" s="65"/>
    </row>
    <row r="81" spans="1:63" ht="13.5" customHeight="1">
      <c r="A81" s="2957" t="s">
        <v>1621</v>
      </c>
      <c r="B81" s="2958"/>
      <c r="C81" s="2954">
        <v>41760</v>
      </c>
      <c r="D81" s="2959" t="s">
        <v>1605</v>
      </c>
      <c r="E81" s="2960"/>
      <c r="F81" s="2960"/>
      <c r="G81" s="2960"/>
      <c r="H81" s="2960"/>
      <c r="I81" s="2960"/>
      <c r="J81" s="2960"/>
      <c r="K81" s="2960"/>
      <c r="L81" s="2960"/>
      <c r="M81" s="2961"/>
      <c r="N81" s="73"/>
      <c r="O81" s="73"/>
      <c r="P81" s="73"/>
      <c r="Q81" s="73"/>
      <c r="R81" s="73"/>
      <c r="S81" s="73"/>
      <c r="T81" s="73"/>
      <c r="U81" s="73"/>
      <c r="V81" s="73"/>
      <c r="W81" s="73"/>
      <c r="X81" s="73"/>
      <c r="Y81" s="73"/>
      <c r="Z81" s="73"/>
      <c r="AA81" s="73"/>
      <c r="AB81" s="65"/>
      <c r="AC81" s="65"/>
      <c r="AD81" s="73"/>
      <c r="AE81" s="73"/>
      <c r="AF81" s="73"/>
      <c r="AG81" s="73"/>
      <c r="AH81" s="73"/>
      <c r="AI81" s="73"/>
      <c r="AJ81" s="73"/>
      <c r="AK81" s="73"/>
      <c r="AL81" s="73"/>
      <c r="AM81" s="73"/>
      <c r="AN81" s="73"/>
      <c r="AO81" s="73"/>
      <c r="AP81" s="73"/>
      <c r="AQ81" s="73"/>
      <c r="AR81" s="65"/>
      <c r="AS81" s="65"/>
      <c r="AU81" s="121"/>
      <c r="AV81" s="53"/>
      <c r="AW81" s="53"/>
      <c r="AX81" s="53"/>
      <c r="AY81" s="53"/>
      <c r="AZ81" s="53"/>
      <c r="BA81" s="53"/>
      <c r="BB81" s="53"/>
      <c r="BC81" s="53"/>
      <c r="BD81" s="53"/>
      <c r="BE81" s="53"/>
      <c r="BF81" s="53"/>
      <c r="BG81" s="53"/>
      <c r="BH81" s="53"/>
      <c r="BI81" s="53"/>
      <c r="BJ81" s="53"/>
      <c r="BK81" s="53"/>
    </row>
    <row r="82" spans="1:63" ht="13.5" customHeight="1">
      <c r="A82" s="91"/>
      <c r="B82" s="22"/>
      <c r="C82" s="2631"/>
      <c r="D82" s="128" t="s">
        <v>1603</v>
      </c>
      <c r="E82" s="132"/>
      <c r="F82" s="132"/>
      <c r="G82" s="132"/>
      <c r="H82" s="132"/>
      <c r="I82" s="132"/>
      <c r="J82" s="132"/>
      <c r="K82" s="132"/>
      <c r="L82" s="132"/>
      <c r="M82" s="133"/>
      <c r="N82" s="73"/>
      <c r="O82" s="73"/>
      <c r="P82" s="73"/>
      <c r="Q82" s="73"/>
      <c r="R82" s="73"/>
      <c r="S82" s="73"/>
      <c r="T82" s="73"/>
      <c r="U82" s="73"/>
      <c r="V82" s="73"/>
      <c r="W82" s="73"/>
      <c r="X82" s="73"/>
      <c r="Y82" s="73"/>
      <c r="Z82" s="73"/>
      <c r="AA82" s="73"/>
      <c r="AB82" s="65"/>
      <c r="AC82" s="65"/>
      <c r="AD82" s="73"/>
      <c r="AE82" s="73"/>
      <c r="AF82" s="73"/>
      <c r="AG82" s="73"/>
      <c r="AH82" s="73"/>
      <c r="AI82" s="73"/>
      <c r="AJ82" s="73"/>
      <c r="AK82" s="73"/>
      <c r="AL82" s="73"/>
      <c r="AM82" s="73"/>
      <c r="AN82" s="73"/>
      <c r="AO82" s="73"/>
      <c r="AP82" s="73"/>
      <c r="AQ82" s="73"/>
      <c r="AR82" s="65"/>
      <c r="AS82" s="65"/>
      <c r="AU82" s="53"/>
      <c r="AV82" s="53"/>
      <c r="AW82" s="53"/>
      <c r="AX82" s="53"/>
      <c r="AY82" s="53"/>
      <c r="AZ82" s="53"/>
      <c r="BA82" s="53"/>
      <c r="BB82" s="53"/>
      <c r="BC82" s="53"/>
      <c r="BD82" s="53"/>
      <c r="BE82" s="53"/>
      <c r="BF82" s="53"/>
      <c r="BG82" s="53"/>
      <c r="BH82" s="53"/>
      <c r="BI82" s="53"/>
      <c r="BJ82" s="53"/>
      <c r="BK82" s="53"/>
    </row>
    <row r="83" spans="1:63" ht="13.5" customHeight="1">
      <c r="A83" s="91"/>
      <c r="B83" s="22"/>
      <c r="C83" s="2631"/>
      <c r="D83" s="128" t="s">
        <v>1607</v>
      </c>
      <c r="E83" s="132"/>
      <c r="F83" s="132"/>
      <c r="G83" s="132"/>
      <c r="H83" s="132"/>
      <c r="I83" s="132"/>
      <c r="J83" s="132"/>
      <c r="K83" s="132"/>
      <c r="L83" s="132"/>
      <c r="M83" s="133"/>
      <c r="N83" s="73"/>
      <c r="O83" s="73"/>
      <c r="P83" s="73"/>
      <c r="Q83" s="73"/>
      <c r="R83" s="73"/>
      <c r="S83" s="73"/>
      <c r="T83" s="73"/>
      <c r="U83" s="73"/>
      <c r="V83" s="73"/>
      <c r="W83" s="73"/>
      <c r="X83" s="73"/>
      <c r="Y83" s="73"/>
      <c r="Z83" s="73"/>
      <c r="AA83" s="73"/>
      <c r="AB83" s="65"/>
      <c r="AC83" s="65"/>
      <c r="AD83" s="73"/>
      <c r="AE83" s="73"/>
      <c r="AF83" s="73"/>
      <c r="AG83" s="73"/>
      <c r="AH83" s="73"/>
      <c r="AI83" s="73"/>
      <c r="AJ83" s="73"/>
      <c r="AK83" s="73"/>
      <c r="AL83" s="73"/>
      <c r="AM83" s="73"/>
      <c r="AN83" s="73"/>
      <c r="AO83" s="73"/>
      <c r="AP83" s="73"/>
      <c r="AQ83" s="73"/>
      <c r="AR83" s="65"/>
      <c r="AS83" s="65"/>
    </row>
    <row r="84" spans="1:63" ht="13.5" customHeight="1">
      <c r="A84" s="91"/>
      <c r="B84" s="22"/>
      <c r="C84" s="2631"/>
      <c r="D84" s="128" t="s">
        <v>1500</v>
      </c>
      <c r="E84" s="132"/>
      <c r="F84" s="132"/>
      <c r="G84" s="132"/>
      <c r="H84" s="132"/>
      <c r="I84" s="132"/>
      <c r="J84" s="132"/>
      <c r="K84" s="132"/>
      <c r="L84" s="132"/>
      <c r="M84" s="133"/>
      <c r="N84" s="73"/>
      <c r="O84" s="73"/>
      <c r="P84" s="73"/>
      <c r="Q84" s="73"/>
      <c r="R84" s="73"/>
      <c r="S84" s="73"/>
      <c r="T84" s="73"/>
      <c r="U84" s="73"/>
      <c r="V84" s="73"/>
      <c r="W84" s="73"/>
      <c r="X84" s="73"/>
      <c r="Y84" s="73"/>
      <c r="Z84" s="73"/>
      <c r="AA84" s="73"/>
      <c r="AB84" s="65"/>
      <c r="AC84" s="65"/>
      <c r="AD84" s="73"/>
      <c r="AE84" s="73"/>
      <c r="AF84" s="73"/>
      <c r="AG84" s="73"/>
      <c r="AH84" s="73"/>
      <c r="AI84" s="73"/>
      <c r="AJ84" s="73"/>
      <c r="AK84" s="73"/>
      <c r="AL84" s="73"/>
      <c r="AM84" s="73"/>
      <c r="AN84" s="73"/>
      <c r="AO84" s="73"/>
      <c r="AP84" s="73"/>
      <c r="AQ84" s="73"/>
      <c r="AR84" s="65"/>
      <c r="AS84" s="65"/>
    </row>
    <row r="85" spans="1:63" ht="13.5" customHeight="1">
      <c r="A85" s="91"/>
      <c r="B85" s="22"/>
      <c r="C85" s="2631"/>
      <c r="D85" s="128" t="s">
        <v>1600</v>
      </c>
      <c r="E85" s="132"/>
      <c r="F85" s="132"/>
      <c r="G85" s="132"/>
      <c r="H85" s="132"/>
      <c r="I85" s="132"/>
      <c r="J85" s="132"/>
      <c r="K85" s="132"/>
      <c r="L85" s="132"/>
      <c r="M85" s="133"/>
      <c r="N85" s="73"/>
      <c r="O85" s="73"/>
      <c r="P85" s="73"/>
      <c r="Q85" s="73"/>
      <c r="R85" s="73"/>
      <c r="S85" s="73"/>
      <c r="T85" s="73"/>
      <c r="U85" s="73"/>
      <c r="V85" s="73"/>
      <c r="W85" s="73"/>
      <c r="X85" s="73"/>
      <c r="Y85" s="73"/>
      <c r="Z85" s="73"/>
      <c r="AA85" s="73"/>
      <c r="AB85" s="65"/>
      <c r="AC85" s="65"/>
      <c r="AD85" s="73"/>
      <c r="AE85" s="73"/>
      <c r="AF85" s="73"/>
      <c r="AG85" s="73"/>
      <c r="AH85" s="73"/>
      <c r="AI85" s="73"/>
      <c r="AJ85" s="73"/>
      <c r="AK85" s="73"/>
      <c r="AL85" s="73"/>
      <c r="AM85" s="73"/>
      <c r="AN85" s="73"/>
      <c r="AO85" s="73"/>
      <c r="AP85" s="73"/>
      <c r="AQ85" s="73"/>
      <c r="AR85" s="65"/>
      <c r="AS85" s="65"/>
    </row>
    <row r="86" spans="1:63" s="24" customFormat="1" ht="13.5" customHeight="1">
      <c r="A86" s="91"/>
      <c r="B86" s="22"/>
      <c r="C86" s="2631"/>
      <c r="D86" s="129" t="s">
        <v>1501</v>
      </c>
      <c r="E86" s="132"/>
      <c r="F86" s="132"/>
      <c r="G86" s="132"/>
      <c r="H86" s="132"/>
      <c r="I86" s="132"/>
      <c r="J86" s="132"/>
      <c r="K86" s="132"/>
      <c r="L86" s="132"/>
      <c r="M86" s="133"/>
      <c r="N86" s="80"/>
      <c r="O86" s="80"/>
      <c r="P86" s="80"/>
      <c r="Q86" s="80"/>
      <c r="R86" s="80"/>
      <c r="S86" s="80"/>
      <c r="T86" s="80"/>
      <c r="U86" s="80"/>
      <c r="V86" s="80"/>
      <c r="W86" s="80"/>
      <c r="X86" s="80"/>
      <c r="Y86" s="80"/>
      <c r="Z86" s="80"/>
      <c r="AA86" s="80"/>
      <c r="AB86" s="119"/>
      <c r="AC86" s="119"/>
      <c r="AD86" s="80"/>
      <c r="AE86" s="80"/>
      <c r="AF86" s="80"/>
      <c r="AG86" s="80"/>
      <c r="AH86" s="80"/>
      <c r="AI86" s="80"/>
      <c r="AJ86" s="80"/>
      <c r="AK86" s="80"/>
      <c r="AL86" s="80"/>
      <c r="AM86" s="80"/>
      <c r="AN86" s="80"/>
      <c r="AO86" s="80"/>
      <c r="AP86" s="80"/>
      <c r="AQ86" s="80"/>
      <c r="AR86" s="119"/>
      <c r="AS86" s="119"/>
      <c r="AT86" s="29"/>
      <c r="AU86" s="26"/>
      <c r="AV86" s="29"/>
      <c r="AW86" s="29"/>
      <c r="AX86" s="29"/>
      <c r="AY86" s="29"/>
      <c r="AZ86" s="29"/>
      <c r="BA86" s="29"/>
      <c r="BB86" s="29"/>
      <c r="BC86" s="29"/>
      <c r="BD86" s="29"/>
      <c r="BE86" s="29"/>
      <c r="BF86" s="29"/>
      <c r="BG86" s="29"/>
      <c r="BH86" s="29"/>
      <c r="BI86" s="29"/>
      <c r="BJ86" s="29"/>
      <c r="BK86" s="29"/>
    </row>
    <row r="87" spans="1:63" ht="13.5" customHeight="1">
      <c r="A87" s="91"/>
      <c r="B87" s="22"/>
      <c r="C87" s="2631"/>
      <c r="D87" s="129" t="s">
        <v>1604</v>
      </c>
      <c r="E87" s="132"/>
      <c r="F87" s="132"/>
      <c r="G87" s="132"/>
      <c r="H87" s="132"/>
      <c r="I87" s="132"/>
      <c r="J87" s="132"/>
      <c r="K87" s="132"/>
      <c r="L87" s="132"/>
      <c r="M87" s="133"/>
      <c r="N87" s="73"/>
      <c r="O87" s="73"/>
      <c r="P87" s="73"/>
      <c r="Q87" s="73"/>
      <c r="R87" s="73"/>
      <c r="S87" s="73"/>
      <c r="T87" s="73"/>
      <c r="U87" s="73"/>
      <c r="V87" s="73"/>
      <c r="W87" s="73"/>
      <c r="X87" s="73"/>
      <c r="Y87" s="73"/>
      <c r="Z87" s="73"/>
      <c r="AA87" s="73"/>
      <c r="AB87" s="65"/>
      <c r="AC87" s="65"/>
      <c r="AD87" s="73"/>
      <c r="AE87" s="73"/>
      <c r="AF87" s="73"/>
      <c r="AG87" s="73"/>
      <c r="AH87" s="73"/>
      <c r="AI87" s="73"/>
      <c r="AJ87" s="73"/>
      <c r="AK87" s="73"/>
      <c r="AL87" s="73"/>
      <c r="AM87" s="73"/>
      <c r="AN87" s="73"/>
      <c r="AO87" s="73"/>
      <c r="AP87" s="73"/>
      <c r="AQ87" s="73"/>
      <c r="AR87" s="65"/>
      <c r="AS87" s="65"/>
    </row>
    <row r="88" spans="1:63" ht="13.5" customHeight="1">
      <c r="A88" s="91"/>
      <c r="B88" s="22"/>
      <c r="C88" s="2631"/>
      <c r="D88" s="129" t="s">
        <v>1601</v>
      </c>
      <c r="E88" s="132"/>
      <c r="F88" s="132"/>
      <c r="G88" s="132"/>
      <c r="H88" s="132"/>
      <c r="I88" s="132"/>
      <c r="J88" s="132"/>
      <c r="K88" s="132"/>
      <c r="L88" s="132"/>
      <c r="M88" s="133"/>
      <c r="N88" s="73"/>
      <c r="O88" s="73"/>
      <c r="P88" s="73"/>
      <c r="Q88" s="73"/>
      <c r="R88" s="73"/>
      <c r="S88" s="73"/>
      <c r="T88" s="73"/>
      <c r="U88" s="73"/>
      <c r="V88" s="73"/>
      <c r="W88" s="73"/>
      <c r="X88" s="73"/>
      <c r="Y88" s="73"/>
      <c r="Z88" s="73"/>
      <c r="AA88" s="73"/>
      <c r="AB88" s="65"/>
      <c r="AC88" s="65"/>
      <c r="AD88" s="73"/>
      <c r="AE88" s="73"/>
      <c r="AF88" s="73"/>
      <c r="AG88" s="73"/>
      <c r="AH88" s="73"/>
      <c r="AI88" s="73"/>
      <c r="AJ88" s="73"/>
      <c r="AK88" s="73"/>
      <c r="AL88" s="73"/>
      <c r="AM88" s="73"/>
      <c r="AN88" s="73"/>
      <c r="AO88" s="73"/>
      <c r="AP88" s="73"/>
      <c r="AQ88" s="73"/>
      <c r="AR88" s="65"/>
      <c r="AS88" s="65"/>
    </row>
    <row r="89" spans="1:63" ht="13.5" customHeight="1">
      <c r="A89" s="91"/>
      <c r="B89" s="22"/>
      <c r="C89" s="2631"/>
      <c r="D89" s="129" t="s">
        <v>1520</v>
      </c>
      <c r="E89" s="132"/>
      <c r="F89" s="132"/>
      <c r="G89" s="132"/>
      <c r="H89" s="132"/>
      <c r="I89" s="132"/>
      <c r="J89" s="132"/>
      <c r="K89" s="132"/>
      <c r="L89" s="132"/>
      <c r="M89" s="133"/>
      <c r="N89" s="73"/>
      <c r="O89" s="73"/>
      <c r="P89" s="73"/>
      <c r="Q89" s="73"/>
      <c r="R89" s="73"/>
      <c r="S89" s="73"/>
      <c r="T89" s="73"/>
      <c r="U89" s="73"/>
      <c r="V89" s="73"/>
      <c r="W89" s="73"/>
      <c r="X89" s="73"/>
      <c r="Y89" s="73"/>
      <c r="Z89" s="73"/>
      <c r="AA89" s="73"/>
      <c r="AB89" s="65"/>
      <c r="AC89" s="65"/>
      <c r="AD89" s="73"/>
      <c r="AE89" s="73"/>
      <c r="AF89" s="73"/>
      <c r="AG89" s="73"/>
      <c r="AH89" s="73"/>
      <c r="AI89" s="73"/>
      <c r="AJ89" s="73"/>
      <c r="AK89" s="73"/>
      <c r="AL89" s="73"/>
      <c r="AM89" s="73"/>
      <c r="AN89" s="73"/>
      <c r="AO89" s="73"/>
      <c r="AP89" s="73"/>
      <c r="AQ89" s="73"/>
      <c r="AR89" s="65"/>
      <c r="AS89" s="65"/>
    </row>
    <row r="90" spans="1:63" ht="13.5" customHeight="1">
      <c r="A90" s="91"/>
      <c r="B90" s="22"/>
      <c r="C90" s="2631"/>
      <c r="D90" s="129" t="s">
        <v>1581</v>
      </c>
      <c r="E90" s="132"/>
      <c r="F90" s="132"/>
      <c r="G90" s="132"/>
      <c r="H90" s="132"/>
      <c r="I90" s="132"/>
      <c r="J90" s="132"/>
      <c r="K90" s="132"/>
      <c r="L90" s="132"/>
      <c r="M90" s="133"/>
      <c r="N90" s="73"/>
      <c r="O90" s="73"/>
      <c r="P90" s="73"/>
      <c r="Q90" s="73"/>
      <c r="R90" s="73"/>
      <c r="S90" s="73"/>
      <c r="T90" s="73"/>
      <c r="U90" s="73"/>
      <c r="V90" s="73"/>
      <c r="W90" s="73"/>
      <c r="X90" s="73"/>
      <c r="Y90" s="73"/>
      <c r="Z90" s="73"/>
      <c r="AA90" s="73"/>
      <c r="AB90" s="65"/>
      <c r="AC90" s="65"/>
      <c r="AD90" s="73"/>
      <c r="AE90" s="73"/>
      <c r="AF90" s="73"/>
      <c r="AG90" s="73"/>
      <c r="AH90" s="73"/>
      <c r="AI90" s="73"/>
      <c r="AJ90" s="73"/>
      <c r="AK90" s="73"/>
      <c r="AL90" s="73"/>
      <c r="AM90" s="73"/>
      <c r="AN90" s="73"/>
      <c r="AO90" s="73"/>
      <c r="AP90" s="73"/>
      <c r="AQ90" s="73"/>
      <c r="AR90" s="65"/>
      <c r="AS90" s="65"/>
    </row>
    <row r="91" spans="1:63" ht="13.5" customHeight="1">
      <c r="A91" s="2962" t="s">
        <v>287</v>
      </c>
      <c r="B91" s="2963"/>
      <c r="C91" s="2964">
        <v>41640</v>
      </c>
      <c r="D91" s="2959" t="s">
        <v>902</v>
      </c>
      <c r="E91" s="2955"/>
      <c r="F91" s="2955"/>
      <c r="G91" s="2955"/>
      <c r="H91" s="2955"/>
      <c r="I91" s="2955"/>
      <c r="J91" s="2955"/>
      <c r="K91" s="2955"/>
      <c r="L91" s="2955"/>
      <c r="M91" s="2956"/>
      <c r="N91" s="73"/>
      <c r="O91" s="73"/>
      <c r="P91" s="73"/>
      <c r="Q91" s="73"/>
      <c r="R91" s="73"/>
      <c r="S91" s="73"/>
      <c r="T91" s="73"/>
      <c r="U91" s="73"/>
      <c r="V91" s="73"/>
      <c r="W91" s="73"/>
      <c r="X91" s="73"/>
      <c r="Y91" s="73"/>
      <c r="Z91" s="73"/>
      <c r="AA91" s="73"/>
      <c r="AB91" s="65"/>
      <c r="AC91" s="65"/>
      <c r="AD91" s="73"/>
      <c r="AE91" s="73"/>
      <c r="AF91" s="73"/>
      <c r="AG91" s="73"/>
      <c r="AH91" s="73"/>
      <c r="AI91" s="73"/>
      <c r="AJ91" s="73"/>
      <c r="AK91" s="73"/>
      <c r="AL91" s="73"/>
      <c r="AM91" s="73"/>
      <c r="AN91" s="73"/>
      <c r="AO91" s="73"/>
      <c r="AP91" s="73"/>
      <c r="AQ91" s="73"/>
      <c r="AR91" s="65"/>
      <c r="AS91" s="65"/>
    </row>
    <row r="92" spans="1:63" ht="13.5" customHeight="1" thickBot="1">
      <c r="A92" s="2965" t="s">
        <v>1110</v>
      </c>
      <c r="B92" s="2966"/>
      <c r="C92" s="2967">
        <v>41548</v>
      </c>
      <c r="D92" s="2968" t="s">
        <v>2214</v>
      </c>
      <c r="E92" s="2969"/>
      <c r="F92" s="2969"/>
      <c r="G92" s="2969"/>
      <c r="H92" s="2969"/>
      <c r="I92" s="2969"/>
      <c r="J92" s="2969"/>
      <c r="K92" s="2969"/>
      <c r="L92" s="2969"/>
      <c r="M92" s="2970"/>
      <c r="N92" s="73"/>
      <c r="O92" s="73"/>
      <c r="P92" s="73"/>
      <c r="Q92" s="73"/>
      <c r="R92" s="73"/>
      <c r="S92" s="73"/>
      <c r="T92" s="73"/>
      <c r="U92" s="73"/>
      <c r="V92" s="73"/>
      <c r="W92" s="73"/>
      <c r="X92" s="73"/>
      <c r="Y92" s="73"/>
      <c r="Z92" s="73"/>
      <c r="AA92" s="73"/>
      <c r="AB92" s="65"/>
      <c r="AC92" s="65"/>
      <c r="AD92" s="73"/>
      <c r="AE92" s="73"/>
      <c r="AF92" s="73"/>
      <c r="AG92" s="73"/>
      <c r="AH92" s="73"/>
      <c r="AI92" s="73"/>
      <c r="AJ92" s="73"/>
      <c r="AK92" s="73"/>
      <c r="AL92" s="73"/>
      <c r="AM92" s="73"/>
      <c r="AN92" s="73"/>
      <c r="AO92" s="73"/>
      <c r="AP92" s="73"/>
      <c r="AQ92" s="73"/>
      <c r="AR92" s="65"/>
      <c r="AS92" s="65"/>
    </row>
    <row r="93" spans="1:63" ht="13.5" customHeight="1" thickTop="1"/>
    <row r="94" spans="1:63" ht="13.5" customHeight="1">
      <c r="D94" s="31"/>
    </row>
    <row r="95" spans="1:63" ht="13.5" customHeight="1"/>
    <row r="96" spans="1:63"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sheetData>
  <sheetProtection sheet="1" objects="1" scenarios="1"/>
  <mergeCells count="2">
    <mergeCell ref="A1:B1"/>
    <mergeCell ref="A7:B7"/>
  </mergeCells>
  <phoneticPr fontId="8" type="noConversion"/>
  <hyperlinks>
    <hyperlink ref="A7" location="Contents!A1" display="Contents"/>
    <hyperlink ref="A7:B7" location="Contents!A1" tooltip="Contents page" display="Contents"/>
  </hyperlinks>
  <pageMargins left="0.15748031496062992" right="0.15748031496062992" top="0.59055118110236227" bottom="0.39370078740157483" header="0.11811023622047245" footer="0.11811023622047245"/>
  <pageSetup paperSize="9" scale="83" pageOrder="overThenDown" orientation="landscape" r:id="rId1"/>
  <headerFooter alignWithMargins="0"/>
  <colBreaks count="1" manualBreakCount="1">
    <brk id="13"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10"/>
  </sheetPr>
  <dimension ref="A1:BL270"/>
  <sheetViews>
    <sheetView showGridLines="0" zoomScale="85" zoomScaleNormal="85" workbookViewId="0">
      <selection activeCell="E23" sqref="E23:F23"/>
    </sheetView>
  </sheetViews>
  <sheetFormatPr defaultColWidth="12.88671875" defaultRowHeight="13.2"/>
  <cols>
    <col min="1" max="1" width="12.88671875" style="33" customWidth="1"/>
    <col min="2" max="2" width="23.109375" style="33" customWidth="1"/>
    <col min="3" max="12" width="12.88671875" style="33" customWidth="1"/>
    <col min="13" max="13" width="35.33203125" style="33" customWidth="1"/>
    <col min="14" max="63" width="12.88671875" style="26" customWidth="1"/>
    <col min="64" max="16384" width="12.88671875" style="33"/>
  </cols>
  <sheetData>
    <row r="1" spans="1:64" ht="54.9" customHeight="1">
      <c r="A1" s="3569"/>
      <c r="B1" s="3569"/>
      <c r="C1" s="112"/>
    </row>
    <row r="2" spans="1:64" ht="5.0999999999999996" customHeight="1">
      <c r="C2" s="111"/>
    </row>
    <row r="3" spans="1:64" s="70" customFormat="1" ht="20.100000000000001" customHeight="1">
      <c r="A3" s="83" t="s">
        <v>2344</v>
      </c>
      <c r="B3" s="83"/>
      <c r="C3" s="83"/>
      <c r="D3" s="83"/>
      <c r="E3" s="83"/>
      <c r="F3" s="83"/>
      <c r="G3" s="84"/>
      <c r="H3" s="83"/>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46"/>
      <c r="BB3" s="84"/>
      <c r="BC3" s="84"/>
      <c r="BD3" s="84"/>
      <c r="BE3" s="84"/>
      <c r="BF3" s="84"/>
      <c r="BG3" s="84"/>
      <c r="BH3" s="84"/>
      <c r="BI3" s="84"/>
      <c r="BJ3" s="84"/>
      <c r="BK3" s="84"/>
      <c r="BL3" s="71"/>
    </row>
    <row r="4" spans="1:64" s="70" customFormat="1" ht="20.100000000000001" customHeight="1" thickBot="1">
      <c r="A4" s="109" t="s">
        <v>175</v>
      </c>
      <c r="B4" s="109"/>
      <c r="C4" s="109"/>
      <c r="D4" s="109"/>
      <c r="E4" s="109"/>
      <c r="F4" s="109"/>
      <c r="G4" s="110"/>
      <c r="H4" s="109"/>
      <c r="I4" s="110"/>
      <c r="J4" s="110"/>
      <c r="K4" s="110"/>
      <c r="L4" s="110"/>
      <c r="M4" s="110"/>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46"/>
      <c r="BB4" s="84"/>
      <c r="BC4" s="84"/>
      <c r="BD4" s="84"/>
      <c r="BE4" s="84"/>
      <c r="BF4" s="84"/>
      <c r="BG4" s="84"/>
      <c r="BH4" s="84"/>
      <c r="BI4" s="84"/>
      <c r="BJ4" s="84"/>
      <c r="BK4" s="84"/>
      <c r="BL4" s="71"/>
    </row>
    <row r="5" spans="1:64" s="38" customFormat="1" ht="9.9" customHeight="1" thickTop="1">
      <c r="B5" s="85"/>
      <c r="C5" s="85"/>
      <c r="D5" s="86"/>
      <c r="E5" s="85"/>
      <c r="F5" s="85"/>
      <c r="G5" s="86"/>
      <c r="H5" s="85"/>
      <c r="I5" s="86"/>
      <c r="J5" s="86"/>
      <c r="K5" s="86"/>
      <c r="L5" s="86"/>
      <c r="M5" s="86"/>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c r="AQ5" s="97"/>
      <c r="AR5" s="97"/>
      <c r="AS5" s="97"/>
      <c r="AT5" s="26"/>
      <c r="AU5" s="26"/>
      <c r="AV5" s="26"/>
      <c r="AW5" s="26"/>
      <c r="AX5" s="26"/>
      <c r="AY5" s="26"/>
      <c r="AZ5" s="26"/>
      <c r="BA5" s="31"/>
      <c r="BB5" s="26"/>
      <c r="BC5" s="26"/>
      <c r="BD5" s="26"/>
      <c r="BE5" s="26"/>
      <c r="BF5" s="26"/>
      <c r="BG5" s="26"/>
      <c r="BH5" s="26"/>
      <c r="BI5" s="26"/>
      <c r="BJ5" s="26"/>
      <c r="BK5" s="26"/>
      <c r="BL5" s="87"/>
    </row>
    <row r="6" spans="1:64" s="38" customFormat="1" ht="13.5" customHeight="1" thickBot="1">
      <c r="A6" s="172" t="s">
        <v>14</v>
      </c>
      <c r="B6" s="173"/>
      <c r="C6" s="85"/>
      <c r="D6" s="86"/>
      <c r="E6" s="85"/>
      <c r="F6" s="85"/>
      <c r="G6" s="86"/>
      <c r="H6" s="85"/>
      <c r="I6" s="86"/>
      <c r="J6" s="86"/>
      <c r="K6" s="86"/>
      <c r="L6" s="86"/>
      <c r="M6" s="86"/>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26"/>
      <c r="AU6" s="26"/>
      <c r="AV6" s="26"/>
      <c r="AW6" s="26"/>
      <c r="AX6" s="26"/>
      <c r="AY6" s="26"/>
      <c r="AZ6" s="26"/>
      <c r="BA6" s="31"/>
      <c r="BB6" s="26"/>
      <c r="BC6" s="26"/>
      <c r="BD6" s="26"/>
      <c r="BE6" s="26"/>
      <c r="BF6" s="26"/>
      <c r="BG6" s="26"/>
      <c r="BH6" s="26"/>
      <c r="BI6" s="26"/>
      <c r="BJ6" s="26"/>
      <c r="BK6" s="26"/>
      <c r="BL6" s="87"/>
    </row>
    <row r="7" spans="1:64" s="38" customFormat="1" ht="13.5" customHeight="1" thickBot="1">
      <c r="A7" s="3611" t="s">
        <v>1306</v>
      </c>
      <c r="B7" s="3612"/>
      <c r="C7" s="85"/>
      <c r="D7" s="86"/>
      <c r="E7" s="85"/>
      <c r="F7" s="85"/>
      <c r="G7" s="86"/>
      <c r="H7" s="85"/>
      <c r="I7" s="86"/>
      <c r="J7" s="86"/>
      <c r="K7" s="86"/>
      <c r="L7" s="86"/>
      <c r="M7" s="86"/>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26"/>
      <c r="AU7" s="26"/>
      <c r="AV7" s="26"/>
      <c r="AW7" s="26"/>
      <c r="AX7" s="26"/>
      <c r="AY7" s="26"/>
      <c r="AZ7" s="26"/>
      <c r="BA7" s="31"/>
      <c r="BB7" s="26"/>
      <c r="BC7" s="26"/>
      <c r="BD7" s="26"/>
      <c r="BE7" s="26"/>
      <c r="BF7" s="26"/>
      <c r="BG7" s="26"/>
      <c r="BH7" s="26"/>
      <c r="BI7" s="26"/>
      <c r="BJ7" s="26"/>
      <c r="BK7" s="26"/>
      <c r="BL7" s="87"/>
    </row>
    <row r="8" spans="1:64" s="38" customFormat="1" ht="13.5" customHeight="1" thickBot="1">
      <c r="B8" s="85"/>
      <c r="C8" s="85"/>
      <c r="D8" s="86"/>
      <c r="E8" s="85"/>
      <c r="F8" s="85"/>
      <c r="G8" s="86"/>
      <c r="H8" s="85"/>
      <c r="I8" s="86"/>
      <c r="J8" s="86"/>
      <c r="K8" s="86"/>
      <c r="L8" s="86"/>
      <c r="M8" s="86"/>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26"/>
      <c r="AU8" s="26"/>
      <c r="AV8" s="26"/>
      <c r="AW8" s="26"/>
      <c r="AX8" s="26"/>
      <c r="AY8" s="26"/>
      <c r="AZ8" s="26"/>
      <c r="BA8" s="31"/>
      <c r="BB8" s="26"/>
      <c r="BC8" s="26"/>
      <c r="BD8" s="26"/>
      <c r="BE8" s="26"/>
      <c r="BF8" s="26"/>
      <c r="BG8" s="26"/>
      <c r="BH8" s="26"/>
      <c r="BI8" s="26"/>
      <c r="BJ8" s="26"/>
      <c r="BK8" s="26"/>
      <c r="BL8" s="87"/>
    </row>
    <row r="9" spans="1:64" s="22" customFormat="1" ht="13.5" customHeight="1" thickTop="1" thickBot="1">
      <c r="A9" s="137" t="s">
        <v>608</v>
      </c>
      <c r="B9" s="143"/>
      <c r="C9" s="145"/>
      <c r="D9" s="138"/>
      <c r="E9" s="138"/>
      <c r="F9" s="138"/>
      <c r="G9" s="138"/>
      <c r="H9" s="138"/>
      <c r="I9" s="138"/>
      <c r="J9" s="138"/>
      <c r="K9" s="138"/>
      <c r="L9" s="138"/>
      <c r="M9" s="139"/>
      <c r="N9" s="80"/>
      <c r="O9" s="80"/>
      <c r="P9" s="80"/>
      <c r="Q9" s="80"/>
      <c r="R9" s="80"/>
      <c r="S9" s="80"/>
      <c r="T9" s="80"/>
      <c r="U9" s="80"/>
      <c r="V9" s="80"/>
      <c r="W9" s="80"/>
      <c r="X9" s="80"/>
      <c r="Y9" s="80"/>
      <c r="Z9" s="80"/>
      <c r="AA9" s="80"/>
      <c r="AB9" s="119"/>
      <c r="AC9" s="119"/>
      <c r="AD9" s="80"/>
      <c r="AE9" s="80"/>
      <c r="AF9" s="80"/>
      <c r="AG9" s="80"/>
      <c r="AH9" s="80"/>
      <c r="AI9" s="80"/>
      <c r="AJ9" s="80"/>
      <c r="AK9" s="80"/>
      <c r="AL9" s="80"/>
      <c r="AM9" s="80"/>
      <c r="AN9" s="80"/>
      <c r="AO9" s="80"/>
      <c r="AP9" s="80"/>
      <c r="AQ9" s="80"/>
      <c r="AR9" s="119"/>
      <c r="AS9" s="119"/>
      <c r="AT9" s="29"/>
      <c r="AU9" s="29"/>
      <c r="AV9" s="29"/>
      <c r="AW9" s="29"/>
      <c r="AX9" s="29"/>
      <c r="AY9" s="29"/>
      <c r="AZ9" s="29"/>
      <c r="BA9" s="29"/>
      <c r="BB9" s="29"/>
      <c r="BC9" s="29"/>
      <c r="BD9" s="29"/>
      <c r="BE9" s="29"/>
      <c r="BF9" s="29"/>
      <c r="BG9" s="29"/>
      <c r="BH9" s="29"/>
      <c r="BI9" s="29"/>
      <c r="BJ9" s="29"/>
      <c r="BK9" s="29"/>
    </row>
    <row r="10" spans="1:64" ht="13.5" customHeight="1" thickTop="1" thickBot="1">
      <c r="A10" s="122" t="s">
        <v>606</v>
      </c>
      <c r="B10" s="126"/>
      <c r="C10" s="127" t="s">
        <v>607</v>
      </c>
      <c r="D10" s="125" t="s">
        <v>609</v>
      </c>
      <c r="E10" s="123"/>
      <c r="F10" s="123"/>
      <c r="G10" s="123"/>
      <c r="H10" s="123"/>
      <c r="I10" s="123"/>
      <c r="J10" s="123"/>
      <c r="K10" s="123"/>
      <c r="L10" s="123"/>
      <c r="M10" s="124"/>
      <c r="N10" s="120"/>
      <c r="O10" s="30"/>
      <c r="P10" s="30"/>
      <c r="Q10" s="30"/>
      <c r="R10" s="30"/>
      <c r="S10" s="30"/>
      <c r="T10" s="30"/>
      <c r="U10" s="30"/>
      <c r="V10" s="30"/>
      <c r="W10" s="30"/>
      <c r="X10" s="30"/>
      <c r="Y10" s="30"/>
      <c r="Z10" s="30"/>
      <c r="AA10" s="30"/>
      <c r="AB10" s="30"/>
      <c r="AC10" s="30"/>
      <c r="AD10" s="120"/>
      <c r="AE10" s="30"/>
      <c r="AF10" s="30"/>
      <c r="AG10" s="30"/>
      <c r="AH10" s="30"/>
      <c r="AI10" s="30"/>
      <c r="AJ10" s="30"/>
      <c r="AK10" s="30"/>
      <c r="AL10" s="30"/>
      <c r="AM10" s="30"/>
      <c r="AN10" s="30"/>
      <c r="AO10" s="30"/>
      <c r="AP10" s="30"/>
      <c r="AQ10" s="30"/>
      <c r="AR10" s="30"/>
      <c r="AS10" s="30"/>
    </row>
    <row r="11" spans="1:64" s="3236" customFormat="1" ht="13.5" customHeight="1" thickTop="1">
      <c r="A11" s="3465" t="s">
        <v>2491</v>
      </c>
      <c r="B11" s="3464"/>
      <c r="C11" s="3136">
        <v>43586</v>
      </c>
      <c r="D11" s="3449" t="s">
        <v>2460</v>
      </c>
      <c r="E11" s="3464"/>
      <c r="F11" s="3464"/>
      <c r="G11" s="3464"/>
      <c r="H11" s="3464"/>
      <c r="I11" s="3464"/>
      <c r="J11" s="3464"/>
      <c r="K11" s="3464"/>
      <c r="L11" s="3464"/>
      <c r="M11" s="2499"/>
      <c r="N11" s="120"/>
      <c r="O11" s="2647"/>
      <c r="P11" s="3238"/>
      <c r="Q11" s="3238"/>
      <c r="R11" s="3238"/>
      <c r="S11" s="3238"/>
      <c r="T11" s="3238"/>
      <c r="U11" s="3238"/>
      <c r="V11" s="3238"/>
      <c r="W11" s="3238"/>
      <c r="X11" s="3238"/>
      <c r="Y11" s="3238"/>
      <c r="Z11" s="3238"/>
      <c r="AA11" s="3238"/>
      <c r="AB11" s="3238"/>
      <c r="AC11" s="3238"/>
      <c r="AD11" s="120"/>
      <c r="AE11" s="3238"/>
      <c r="AF11" s="3238"/>
      <c r="AG11" s="3238"/>
      <c r="AH11" s="3238"/>
      <c r="AI11" s="3238"/>
      <c r="AJ11" s="3238"/>
      <c r="AK11" s="3238"/>
      <c r="AL11" s="3238"/>
      <c r="AM11" s="3238"/>
      <c r="AN11" s="3238"/>
      <c r="AO11" s="3238"/>
      <c r="AP11" s="3238"/>
      <c r="AQ11" s="3238"/>
      <c r="AR11" s="3238"/>
      <c r="AS11" s="3238"/>
      <c r="AT11" s="3237"/>
      <c r="AU11" s="3237"/>
      <c r="AV11" s="3237"/>
      <c r="AW11" s="3237"/>
      <c r="AX11" s="3237"/>
      <c r="AY11" s="3237"/>
      <c r="AZ11" s="3237"/>
      <c r="BA11" s="3237"/>
      <c r="BB11" s="3237"/>
      <c r="BC11" s="3237"/>
      <c r="BD11" s="3237"/>
      <c r="BE11" s="3237"/>
      <c r="BF11" s="3237"/>
      <c r="BG11" s="3237"/>
      <c r="BH11" s="3237"/>
      <c r="BI11" s="3237"/>
      <c r="BJ11" s="3237"/>
      <c r="BK11" s="3237"/>
    </row>
    <row r="12" spans="1:64" s="3417" customFormat="1" ht="13.5" customHeight="1">
      <c r="A12" s="3464"/>
      <c r="B12" s="3464"/>
      <c r="C12" s="3451"/>
      <c r="D12" s="2560" t="s">
        <v>2459</v>
      </c>
      <c r="E12" s="3464"/>
      <c r="F12" s="3464"/>
      <c r="G12" s="3464"/>
      <c r="H12" s="3464"/>
      <c r="I12" s="3464"/>
      <c r="J12" s="3464"/>
      <c r="K12" s="3464"/>
      <c r="L12" s="3464"/>
      <c r="M12" s="55"/>
      <c r="N12" s="120"/>
      <c r="O12" s="2647"/>
      <c r="P12" s="3421"/>
      <c r="Q12" s="3421"/>
      <c r="R12" s="3421"/>
      <c r="S12" s="3421"/>
      <c r="T12" s="3421"/>
      <c r="U12" s="3421"/>
      <c r="V12" s="3421"/>
      <c r="W12" s="3421"/>
      <c r="X12" s="3421"/>
      <c r="Y12" s="3421"/>
      <c r="Z12" s="3421"/>
      <c r="AA12" s="3421"/>
      <c r="AB12" s="3421"/>
      <c r="AC12" s="3421"/>
      <c r="AD12" s="120"/>
      <c r="AE12" s="3421"/>
      <c r="AF12" s="3421"/>
      <c r="AG12" s="3421"/>
      <c r="AH12" s="3421"/>
      <c r="AI12" s="3421"/>
      <c r="AJ12" s="3421"/>
      <c r="AK12" s="3421"/>
      <c r="AL12" s="3421"/>
      <c r="AM12" s="3421"/>
      <c r="AN12" s="3421"/>
      <c r="AO12" s="3421"/>
      <c r="AP12" s="3421"/>
      <c r="AQ12" s="3421"/>
      <c r="AR12" s="3421"/>
      <c r="AS12" s="3421"/>
      <c r="AT12" s="3420"/>
      <c r="AU12" s="3420"/>
      <c r="AV12" s="3420"/>
      <c r="AW12" s="3420"/>
      <c r="AX12" s="3420"/>
      <c r="AY12" s="3420"/>
      <c r="AZ12" s="3420"/>
      <c r="BA12" s="3420"/>
      <c r="BB12" s="3420"/>
      <c r="BC12" s="3420"/>
      <c r="BD12" s="3420"/>
      <c r="BE12" s="3420"/>
      <c r="BF12" s="3420"/>
      <c r="BG12" s="3420"/>
      <c r="BH12" s="3420"/>
      <c r="BI12" s="3420"/>
      <c r="BJ12" s="3420"/>
      <c r="BK12" s="3420"/>
    </row>
    <row r="13" spans="1:64" s="3417" customFormat="1" ht="13.5" customHeight="1">
      <c r="A13" s="3464"/>
      <c r="B13" s="3464"/>
      <c r="C13" s="3451"/>
      <c r="D13" s="2560" t="s">
        <v>2495</v>
      </c>
      <c r="E13" s="3464"/>
      <c r="F13" s="3464"/>
      <c r="G13" s="3464"/>
      <c r="H13" s="3464"/>
      <c r="I13" s="3464"/>
      <c r="J13" s="3464"/>
      <c r="K13" s="3464"/>
      <c r="L13" s="3464"/>
      <c r="M13" s="55"/>
      <c r="N13" s="120"/>
      <c r="O13" s="2647"/>
      <c r="P13" s="3421"/>
      <c r="Q13" s="3421"/>
      <c r="R13" s="3421"/>
      <c r="S13" s="3421"/>
      <c r="T13" s="3421"/>
      <c r="U13" s="3421"/>
      <c r="V13" s="3421"/>
      <c r="W13" s="3421"/>
      <c r="X13" s="3421"/>
      <c r="Y13" s="3421"/>
      <c r="Z13" s="3421"/>
      <c r="AA13" s="3421"/>
      <c r="AB13" s="3421"/>
      <c r="AC13" s="3421"/>
      <c r="AD13" s="120"/>
      <c r="AE13" s="3421"/>
      <c r="AF13" s="3421"/>
      <c r="AG13" s="3421"/>
      <c r="AH13" s="3421"/>
      <c r="AI13" s="3421"/>
      <c r="AJ13" s="3421"/>
      <c r="AK13" s="3421"/>
      <c r="AL13" s="3421"/>
      <c r="AM13" s="3421"/>
      <c r="AN13" s="3421"/>
      <c r="AO13" s="3421"/>
      <c r="AP13" s="3421"/>
      <c r="AQ13" s="3421"/>
      <c r="AR13" s="3421"/>
      <c r="AS13" s="3421"/>
      <c r="AT13" s="3420"/>
      <c r="AU13" s="3420"/>
      <c r="AV13" s="3420"/>
      <c r="AW13" s="3420"/>
      <c r="AX13" s="3420"/>
      <c r="AY13" s="3420"/>
      <c r="AZ13" s="3420"/>
      <c r="BA13" s="3420"/>
      <c r="BB13" s="3420"/>
      <c r="BC13" s="3420"/>
      <c r="BD13" s="3420"/>
      <c r="BE13" s="3420"/>
      <c r="BF13" s="3420"/>
      <c r="BG13" s="3420"/>
      <c r="BH13" s="3420"/>
      <c r="BI13" s="3420"/>
      <c r="BJ13" s="3420"/>
      <c r="BK13" s="3420"/>
    </row>
    <row r="14" spans="1:64" s="3417" customFormat="1" ht="13.5" customHeight="1">
      <c r="A14" s="3466"/>
      <c r="B14" s="3464"/>
      <c r="C14" s="3452"/>
      <c r="D14" s="2560" t="s">
        <v>2457</v>
      </c>
      <c r="E14" s="3464"/>
      <c r="F14" s="3464"/>
      <c r="G14" s="3464"/>
      <c r="H14" s="3464"/>
      <c r="I14" s="3464"/>
      <c r="J14" s="3464"/>
      <c r="K14" s="3464"/>
      <c r="L14" s="3464"/>
      <c r="M14" s="55"/>
      <c r="N14" s="120"/>
      <c r="O14" s="2647"/>
      <c r="P14" s="3421"/>
      <c r="Q14" s="3421"/>
      <c r="R14" s="3421"/>
      <c r="S14" s="3421"/>
      <c r="T14" s="3421"/>
      <c r="U14" s="3421"/>
      <c r="V14" s="3421"/>
      <c r="W14" s="3421"/>
      <c r="X14" s="3421"/>
      <c r="Y14" s="3421"/>
      <c r="Z14" s="3421"/>
      <c r="AA14" s="3421"/>
      <c r="AB14" s="3421"/>
      <c r="AC14" s="3421"/>
      <c r="AD14" s="120"/>
      <c r="AE14" s="3421"/>
      <c r="AF14" s="3421"/>
      <c r="AG14" s="3421"/>
      <c r="AH14" s="3421"/>
      <c r="AI14" s="3421"/>
      <c r="AJ14" s="3421"/>
      <c r="AK14" s="3421"/>
      <c r="AL14" s="3421"/>
      <c r="AM14" s="3421"/>
      <c r="AN14" s="3421"/>
      <c r="AO14" s="3421"/>
      <c r="AP14" s="3421"/>
      <c r="AQ14" s="3421"/>
      <c r="AR14" s="3421"/>
      <c r="AS14" s="3421"/>
      <c r="AT14" s="3420"/>
      <c r="AU14" s="3420"/>
      <c r="AV14" s="3420"/>
      <c r="AW14" s="3420"/>
      <c r="AX14" s="3420"/>
      <c r="AY14" s="3420"/>
      <c r="AZ14" s="3420"/>
      <c r="BA14" s="3420"/>
      <c r="BB14" s="3420"/>
      <c r="BC14" s="3420"/>
      <c r="BD14" s="3420"/>
      <c r="BE14" s="3420"/>
      <c r="BF14" s="3420"/>
      <c r="BG14" s="3420"/>
      <c r="BH14" s="3420"/>
      <c r="BI14" s="3420"/>
      <c r="BJ14" s="3420"/>
      <c r="BK14" s="3420"/>
    </row>
    <row r="15" spans="1:64" s="3417" customFormat="1" ht="13.5" customHeight="1">
      <c r="A15" s="3466"/>
      <c r="B15" s="3464"/>
      <c r="C15" s="3452"/>
      <c r="D15" s="2560" t="s">
        <v>2458</v>
      </c>
      <c r="E15" s="3464"/>
      <c r="F15" s="3464"/>
      <c r="G15" s="3464"/>
      <c r="H15" s="3464"/>
      <c r="I15" s="3464"/>
      <c r="J15" s="3464"/>
      <c r="K15" s="3464"/>
      <c r="L15" s="3464"/>
      <c r="M15" s="55"/>
      <c r="N15" s="120"/>
      <c r="O15" s="2647"/>
      <c r="P15" s="3421"/>
      <c r="Q15" s="3421"/>
      <c r="R15" s="3421"/>
      <c r="S15" s="3421"/>
      <c r="T15" s="3421"/>
      <c r="U15" s="3421"/>
      <c r="V15" s="3421"/>
      <c r="W15" s="3421"/>
      <c r="X15" s="3421"/>
      <c r="Y15" s="3421"/>
      <c r="Z15" s="3421"/>
      <c r="AA15" s="3421"/>
      <c r="AB15" s="3421"/>
      <c r="AC15" s="3421"/>
      <c r="AD15" s="120"/>
      <c r="AE15" s="3421"/>
      <c r="AF15" s="3421"/>
      <c r="AG15" s="3421"/>
      <c r="AH15" s="3421"/>
      <c r="AI15" s="3421"/>
      <c r="AJ15" s="3421"/>
      <c r="AK15" s="3421"/>
      <c r="AL15" s="3421"/>
      <c r="AM15" s="3421"/>
      <c r="AN15" s="3421"/>
      <c r="AO15" s="3421"/>
      <c r="AP15" s="3421"/>
      <c r="AQ15" s="3421"/>
      <c r="AR15" s="3421"/>
      <c r="AS15" s="3421"/>
      <c r="AT15" s="3420"/>
      <c r="AU15" s="3420"/>
      <c r="AV15" s="3420"/>
      <c r="AW15" s="3420"/>
      <c r="AX15" s="3420"/>
      <c r="AY15" s="3420"/>
      <c r="AZ15" s="3420"/>
      <c r="BA15" s="3420"/>
      <c r="BB15" s="3420"/>
      <c r="BC15" s="3420"/>
      <c r="BD15" s="3420"/>
      <c r="BE15" s="3420"/>
      <c r="BF15" s="3420"/>
      <c r="BG15" s="3420"/>
      <c r="BH15" s="3420"/>
      <c r="BI15" s="3420"/>
      <c r="BJ15" s="3420"/>
      <c r="BK15" s="3420"/>
    </row>
    <row r="16" spans="1:64" s="3417" customFormat="1" ht="13.5" customHeight="1">
      <c r="A16" s="3466"/>
      <c r="B16" s="3464"/>
      <c r="C16" s="3452"/>
      <c r="D16" s="188" t="s">
        <v>2454</v>
      </c>
      <c r="E16" s="3464"/>
      <c r="F16" s="3464"/>
      <c r="G16" s="3464"/>
      <c r="H16" s="3464"/>
      <c r="I16" s="3464"/>
      <c r="J16" s="3464"/>
      <c r="K16" s="3464"/>
      <c r="L16" s="3464"/>
      <c r="M16" s="55"/>
      <c r="N16" s="120"/>
      <c r="O16" s="2647"/>
      <c r="P16" s="3421"/>
      <c r="Q16" s="3421"/>
      <c r="R16" s="3421"/>
      <c r="S16" s="3421"/>
      <c r="T16" s="3421"/>
      <c r="U16" s="3421"/>
      <c r="V16" s="3421"/>
      <c r="W16" s="3421"/>
      <c r="X16" s="3421"/>
      <c r="Y16" s="3421"/>
      <c r="Z16" s="3421"/>
      <c r="AA16" s="3421"/>
      <c r="AB16" s="3421"/>
      <c r="AC16" s="3421"/>
      <c r="AD16" s="120"/>
      <c r="AE16" s="3421"/>
      <c r="AF16" s="3421"/>
      <c r="AG16" s="3421"/>
      <c r="AH16" s="3421"/>
      <c r="AI16" s="3421"/>
      <c r="AJ16" s="3421"/>
      <c r="AK16" s="3421"/>
      <c r="AL16" s="3421"/>
      <c r="AM16" s="3421"/>
      <c r="AN16" s="3421"/>
      <c r="AO16" s="3421"/>
      <c r="AP16" s="3421"/>
      <c r="AQ16" s="3421"/>
      <c r="AR16" s="3421"/>
      <c r="AS16" s="3421"/>
      <c r="AT16" s="3420"/>
      <c r="AU16" s="3420"/>
      <c r="AV16" s="3420"/>
      <c r="AW16" s="3420"/>
      <c r="AX16" s="3420"/>
      <c r="AY16" s="3420"/>
      <c r="AZ16" s="3420"/>
      <c r="BA16" s="3420"/>
      <c r="BB16" s="3420"/>
      <c r="BC16" s="3420"/>
      <c r="BD16" s="3420"/>
      <c r="BE16" s="3420"/>
      <c r="BF16" s="3420"/>
      <c r="BG16" s="3420"/>
      <c r="BH16" s="3420"/>
      <c r="BI16" s="3420"/>
      <c r="BJ16" s="3420"/>
      <c r="BK16" s="3420"/>
    </row>
    <row r="17" spans="1:63" s="3417" customFormat="1" ht="13.5" customHeight="1">
      <c r="A17" s="3466"/>
      <c r="B17" s="3464"/>
      <c r="C17" s="3162"/>
      <c r="D17" s="188" t="s">
        <v>2455</v>
      </c>
      <c r="E17" s="186"/>
      <c r="F17" s="186"/>
      <c r="G17" s="186"/>
      <c r="H17" s="186"/>
      <c r="I17" s="186"/>
      <c r="J17" s="186"/>
      <c r="K17" s="186"/>
      <c r="L17" s="186"/>
      <c r="M17" s="187"/>
      <c r="N17" s="120"/>
      <c r="O17" s="2647"/>
      <c r="P17" s="3421"/>
      <c r="Q17" s="3421"/>
      <c r="R17" s="3421"/>
      <c r="S17" s="3421"/>
      <c r="T17" s="3421"/>
      <c r="U17" s="3421"/>
      <c r="V17" s="3421"/>
      <c r="W17" s="3421"/>
      <c r="X17" s="3421"/>
      <c r="Y17" s="3421"/>
      <c r="Z17" s="3421"/>
      <c r="AA17" s="3421"/>
      <c r="AB17" s="3421"/>
      <c r="AC17" s="3421"/>
      <c r="AD17" s="120"/>
      <c r="AE17" s="3421"/>
      <c r="AF17" s="3421"/>
      <c r="AG17" s="3421"/>
      <c r="AH17" s="3421"/>
      <c r="AI17" s="3421"/>
      <c r="AJ17" s="3421"/>
      <c r="AK17" s="3421"/>
      <c r="AL17" s="3421"/>
      <c r="AM17" s="3421"/>
      <c r="AN17" s="3421"/>
      <c r="AO17" s="3421"/>
      <c r="AP17" s="3421"/>
      <c r="AQ17" s="3421"/>
      <c r="AR17" s="3421"/>
      <c r="AS17" s="3421"/>
      <c r="AT17" s="3420"/>
      <c r="AU17" s="3420"/>
      <c r="AV17" s="3420"/>
      <c r="AW17" s="3420"/>
      <c r="AX17" s="3420"/>
      <c r="AY17" s="3420"/>
      <c r="AZ17" s="3420"/>
      <c r="BA17" s="3420"/>
      <c r="BB17" s="3420"/>
      <c r="BC17" s="3420"/>
      <c r="BD17" s="3420"/>
      <c r="BE17" s="3420"/>
      <c r="BF17" s="3420"/>
      <c r="BG17" s="3420"/>
      <c r="BH17" s="3420"/>
      <c r="BI17" s="3420"/>
      <c r="BJ17" s="3420"/>
      <c r="BK17" s="3420"/>
    </row>
    <row r="18" spans="1:63" s="3417" customFormat="1" ht="13.5" customHeight="1" thickBot="1">
      <c r="A18" s="2850"/>
      <c r="B18" s="37"/>
      <c r="C18" s="3468"/>
      <c r="D18" s="3450" t="s">
        <v>2456</v>
      </c>
      <c r="E18" s="3141"/>
      <c r="F18" s="3141"/>
      <c r="G18" s="3141"/>
      <c r="H18" s="3141"/>
      <c r="I18" s="3141"/>
      <c r="J18" s="3141"/>
      <c r="K18" s="3141"/>
      <c r="L18" s="3141"/>
      <c r="M18" s="3142"/>
      <c r="N18" s="120"/>
      <c r="O18" s="2647"/>
      <c r="P18" s="3421"/>
      <c r="Q18" s="3421"/>
      <c r="R18" s="3421"/>
      <c r="S18" s="3421"/>
      <c r="T18" s="3421"/>
      <c r="U18" s="3421"/>
      <c r="V18" s="3421"/>
      <c r="W18" s="3421"/>
      <c r="X18" s="3421"/>
      <c r="Y18" s="3421"/>
      <c r="Z18" s="3421"/>
      <c r="AA18" s="3421"/>
      <c r="AB18" s="3421"/>
      <c r="AC18" s="3421"/>
      <c r="AD18" s="120"/>
      <c r="AE18" s="3421"/>
      <c r="AF18" s="3421"/>
      <c r="AG18" s="3421"/>
      <c r="AH18" s="3421"/>
      <c r="AI18" s="3421"/>
      <c r="AJ18" s="3421"/>
      <c r="AK18" s="3421"/>
      <c r="AL18" s="3421"/>
      <c r="AM18" s="3421"/>
      <c r="AN18" s="3421"/>
      <c r="AO18" s="3421"/>
      <c r="AP18" s="3421"/>
      <c r="AQ18" s="3421"/>
      <c r="AR18" s="3421"/>
      <c r="AS18" s="3421"/>
      <c r="AT18" s="3420"/>
      <c r="AU18" s="3420"/>
      <c r="AV18" s="3420"/>
      <c r="AW18" s="3420"/>
      <c r="AX18" s="3420"/>
      <c r="AY18" s="3420"/>
      <c r="AZ18" s="3420"/>
      <c r="BA18" s="3420"/>
      <c r="BB18" s="3420"/>
      <c r="BC18" s="3420"/>
      <c r="BD18" s="3420"/>
      <c r="BE18" s="3420"/>
      <c r="BF18" s="3420"/>
      <c r="BG18" s="3420"/>
      <c r="BH18" s="3420"/>
      <c r="BI18" s="3420"/>
      <c r="BJ18" s="3420"/>
      <c r="BK18" s="3420"/>
    </row>
    <row r="19" spans="1:63" ht="13.5" customHeight="1" thickTop="1" thickBot="1">
      <c r="A19" s="137" t="s">
        <v>9</v>
      </c>
      <c r="B19" s="142"/>
      <c r="C19" s="145"/>
      <c r="D19" s="140"/>
      <c r="E19" s="140"/>
      <c r="F19" s="140"/>
      <c r="G19" s="140"/>
      <c r="H19" s="140"/>
      <c r="I19" s="140"/>
      <c r="J19" s="140"/>
      <c r="K19" s="140"/>
      <c r="L19" s="140"/>
      <c r="M19" s="141"/>
      <c r="N19" s="73"/>
      <c r="O19" s="73"/>
      <c r="P19" s="73"/>
      <c r="Q19" s="73"/>
      <c r="R19" s="73"/>
      <c r="S19" s="73"/>
      <c r="T19" s="73"/>
      <c r="U19" s="73"/>
      <c r="V19" s="73"/>
      <c r="W19" s="73"/>
      <c r="X19" s="73"/>
      <c r="Y19" s="73"/>
      <c r="Z19" s="73"/>
      <c r="AA19" s="73"/>
      <c r="AB19" s="65"/>
      <c r="AC19" s="65"/>
      <c r="AD19" s="73"/>
      <c r="AE19" s="73"/>
      <c r="AF19" s="73"/>
      <c r="AG19" s="73"/>
      <c r="AH19" s="73"/>
      <c r="AI19" s="73"/>
      <c r="AJ19" s="73"/>
      <c r="AK19" s="73"/>
      <c r="AL19" s="73"/>
      <c r="AM19" s="73"/>
      <c r="AN19" s="73"/>
      <c r="AO19" s="73"/>
      <c r="AP19" s="73"/>
      <c r="AQ19" s="73"/>
      <c r="AR19" s="65"/>
      <c r="AS19" s="65"/>
    </row>
    <row r="20" spans="1:63" ht="13.5" customHeight="1" thickTop="1">
      <c r="A20" s="3422" t="s">
        <v>2126</v>
      </c>
      <c r="B20" s="242"/>
      <c r="C20" s="3166">
        <v>43405</v>
      </c>
      <c r="D20" s="2498" t="s">
        <v>2136</v>
      </c>
      <c r="L20" s="186"/>
      <c r="M20" s="187"/>
      <c r="N20" s="120"/>
      <c r="O20" s="30"/>
      <c r="P20" s="30"/>
      <c r="Q20" s="30"/>
      <c r="R20" s="30"/>
      <c r="S20" s="30"/>
      <c r="T20" s="30"/>
      <c r="U20" s="30"/>
      <c r="V20" s="30"/>
      <c r="W20" s="30"/>
      <c r="X20" s="30"/>
      <c r="Y20" s="30"/>
      <c r="Z20" s="30"/>
      <c r="AA20" s="30"/>
      <c r="AB20" s="30"/>
      <c r="AC20" s="30"/>
      <c r="AD20" s="120"/>
      <c r="AE20" s="30"/>
      <c r="AF20" s="30"/>
      <c r="AG20" s="30"/>
      <c r="AH20" s="30"/>
      <c r="AI20" s="30"/>
      <c r="AJ20" s="30"/>
      <c r="AK20" s="30"/>
      <c r="AL20" s="30"/>
      <c r="AM20" s="30"/>
      <c r="AN20" s="30"/>
      <c r="AO20" s="30"/>
      <c r="AP20" s="30"/>
      <c r="AQ20" s="30"/>
      <c r="AR20" s="30"/>
      <c r="AS20" s="30"/>
    </row>
    <row r="21" spans="1:63" ht="13.5" customHeight="1">
      <c r="A21" s="22"/>
      <c r="B21" s="242"/>
      <c r="C21" s="3162"/>
      <c r="D21" s="128" t="s">
        <v>2137</v>
      </c>
      <c r="L21" s="186"/>
      <c r="M21" s="187"/>
      <c r="N21" s="120"/>
      <c r="O21" s="30"/>
      <c r="P21" s="30"/>
      <c r="Q21" s="30"/>
      <c r="R21" s="30"/>
      <c r="S21" s="30"/>
      <c r="T21" s="30"/>
      <c r="U21" s="30"/>
      <c r="V21" s="30"/>
      <c r="W21" s="30"/>
      <c r="X21" s="30"/>
      <c r="Y21" s="30"/>
      <c r="Z21" s="30"/>
      <c r="AA21" s="30"/>
      <c r="AB21" s="30"/>
      <c r="AC21" s="30"/>
      <c r="AD21" s="120"/>
      <c r="AE21" s="30"/>
      <c r="AF21" s="30"/>
      <c r="AG21" s="30"/>
      <c r="AH21" s="30"/>
      <c r="AI21" s="30"/>
      <c r="AJ21" s="30"/>
      <c r="AK21" s="30"/>
      <c r="AL21" s="30"/>
      <c r="AM21" s="30"/>
      <c r="AN21" s="30"/>
      <c r="AO21" s="30"/>
      <c r="AP21" s="30"/>
      <c r="AQ21" s="30"/>
      <c r="AR21" s="30"/>
      <c r="AS21" s="30"/>
    </row>
    <row r="22" spans="1:63" ht="13.5" customHeight="1">
      <c r="A22" s="22"/>
      <c r="B22" s="242"/>
      <c r="C22" s="3162"/>
      <c r="D22" s="2498" t="s">
        <v>2138</v>
      </c>
      <c r="L22" s="186"/>
      <c r="M22" s="187"/>
      <c r="N22" s="120"/>
      <c r="O22" s="30"/>
      <c r="P22" s="30"/>
      <c r="Q22" s="30"/>
      <c r="R22" s="30"/>
      <c r="S22" s="30"/>
      <c r="T22" s="30"/>
      <c r="U22" s="30"/>
      <c r="V22" s="30"/>
      <c r="W22" s="30"/>
      <c r="X22" s="30"/>
      <c r="Y22" s="30"/>
      <c r="Z22" s="30"/>
      <c r="AA22" s="30"/>
      <c r="AB22" s="30"/>
      <c r="AC22" s="30"/>
      <c r="AD22" s="120"/>
      <c r="AE22" s="30"/>
      <c r="AF22" s="30"/>
      <c r="AG22" s="30"/>
      <c r="AH22" s="30"/>
      <c r="AI22" s="30"/>
      <c r="AJ22" s="30"/>
      <c r="AK22" s="30"/>
      <c r="AL22" s="30"/>
      <c r="AM22" s="30"/>
      <c r="AN22" s="30"/>
      <c r="AO22" s="30"/>
      <c r="AP22" s="30"/>
      <c r="AQ22" s="30"/>
      <c r="AR22" s="30"/>
      <c r="AS22" s="30"/>
    </row>
    <row r="23" spans="1:63" ht="13.5" customHeight="1">
      <c r="A23" s="22"/>
      <c r="B23" s="242"/>
      <c r="C23" s="3162"/>
      <c r="D23" s="2498" t="s">
        <v>2139</v>
      </c>
      <c r="L23" s="186"/>
      <c r="M23" s="187"/>
      <c r="N23" s="120"/>
      <c r="O23" s="30"/>
      <c r="P23" s="30"/>
      <c r="Q23" s="30"/>
      <c r="R23" s="30"/>
      <c r="S23" s="30"/>
      <c r="T23" s="30"/>
      <c r="U23" s="30"/>
      <c r="V23" s="30"/>
      <c r="W23" s="30"/>
      <c r="X23" s="30"/>
      <c r="Y23" s="30"/>
      <c r="Z23" s="30"/>
      <c r="AA23" s="30"/>
      <c r="AB23" s="30"/>
      <c r="AC23" s="30"/>
      <c r="AD23" s="120"/>
      <c r="AE23" s="30"/>
      <c r="AF23" s="30"/>
      <c r="AG23" s="30"/>
      <c r="AH23" s="30"/>
      <c r="AI23" s="30"/>
      <c r="AJ23" s="30"/>
      <c r="AK23" s="30"/>
      <c r="AL23" s="30"/>
      <c r="AM23" s="30"/>
      <c r="AN23" s="30"/>
      <c r="AO23" s="30"/>
      <c r="AP23" s="30"/>
      <c r="AQ23" s="30"/>
      <c r="AR23" s="30"/>
      <c r="AS23" s="30"/>
    </row>
    <row r="24" spans="1:63" ht="13.2" customHeight="1">
      <c r="C24" s="3162"/>
      <c r="D24" s="2498" t="s">
        <v>2127</v>
      </c>
      <c r="L24" s="186"/>
      <c r="M24" s="187"/>
      <c r="N24" s="120"/>
      <c r="O24" s="30"/>
      <c r="P24" s="30"/>
      <c r="Q24" s="30"/>
      <c r="R24" s="30"/>
      <c r="S24" s="30"/>
      <c r="T24" s="30"/>
      <c r="U24" s="30"/>
      <c r="V24" s="30"/>
      <c r="W24" s="30"/>
      <c r="X24" s="30"/>
      <c r="Y24" s="30"/>
      <c r="Z24" s="30"/>
      <c r="AA24" s="30"/>
      <c r="AB24" s="30"/>
      <c r="AC24" s="30"/>
      <c r="AD24" s="120"/>
      <c r="AE24" s="30"/>
      <c r="AF24" s="30"/>
      <c r="AG24" s="30"/>
      <c r="AH24" s="30"/>
      <c r="AI24" s="30"/>
      <c r="AJ24" s="30"/>
      <c r="AK24" s="30"/>
      <c r="AL24" s="30"/>
      <c r="AM24" s="30"/>
      <c r="AN24" s="30"/>
      <c r="AO24" s="30"/>
      <c r="AP24" s="30"/>
      <c r="AQ24" s="30"/>
      <c r="AR24" s="30"/>
      <c r="AS24" s="30"/>
    </row>
    <row r="25" spans="1:63" ht="13.5" customHeight="1">
      <c r="A25" s="2614" t="s">
        <v>2122</v>
      </c>
      <c r="B25" s="3167"/>
      <c r="C25" s="3166">
        <v>43252</v>
      </c>
      <c r="D25" s="2498" t="s">
        <v>2125</v>
      </c>
      <c r="E25" s="186"/>
      <c r="F25" s="186"/>
      <c r="G25" s="186"/>
      <c r="H25" s="186"/>
      <c r="I25" s="186"/>
      <c r="J25" s="186"/>
      <c r="K25" s="186"/>
      <c r="L25" s="186"/>
      <c r="M25" s="187"/>
      <c r="N25" s="120"/>
      <c r="O25" s="30"/>
      <c r="P25" s="30"/>
      <c r="Q25" s="30"/>
      <c r="R25" s="30"/>
      <c r="S25" s="30"/>
      <c r="T25" s="30"/>
      <c r="U25" s="30"/>
      <c r="V25" s="30"/>
      <c r="W25" s="30"/>
      <c r="X25" s="30"/>
      <c r="Y25" s="30"/>
      <c r="Z25" s="30"/>
      <c r="AA25" s="30"/>
      <c r="AB25" s="30"/>
      <c r="AC25" s="30"/>
      <c r="AD25" s="120"/>
      <c r="AE25" s="30"/>
      <c r="AF25" s="30"/>
      <c r="AG25" s="30"/>
      <c r="AH25" s="30"/>
      <c r="AI25" s="30"/>
      <c r="AJ25" s="30"/>
      <c r="AK25" s="30"/>
      <c r="AL25" s="30"/>
      <c r="AM25" s="30"/>
      <c r="AN25" s="30"/>
      <c r="AO25" s="30"/>
      <c r="AP25" s="30"/>
      <c r="AQ25" s="30"/>
      <c r="AR25" s="30"/>
      <c r="AS25" s="30"/>
    </row>
    <row r="26" spans="1:63" ht="13.5" customHeight="1">
      <c r="A26" s="2614" t="s">
        <v>2123</v>
      </c>
      <c r="B26" s="3167"/>
      <c r="C26" s="3166"/>
      <c r="D26" s="2498" t="s">
        <v>2124</v>
      </c>
      <c r="E26" s="186"/>
      <c r="F26" s="186"/>
      <c r="G26" s="186"/>
      <c r="H26" s="186"/>
      <c r="I26" s="186"/>
      <c r="J26" s="186"/>
      <c r="K26" s="186"/>
      <c r="L26" s="186"/>
      <c r="M26" s="187"/>
      <c r="N26" s="120"/>
      <c r="O26" s="30"/>
      <c r="P26" s="30"/>
      <c r="Q26" s="30"/>
      <c r="R26" s="30"/>
      <c r="S26" s="30"/>
      <c r="T26" s="30"/>
      <c r="U26" s="30"/>
      <c r="V26" s="30"/>
      <c r="W26" s="30"/>
      <c r="X26" s="30"/>
      <c r="Y26" s="30"/>
      <c r="Z26" s="30"/>
      <c r="AA26" s="30"/>
      <c r="AB26" s="30"/>
      <c r="AC26" s="30"/>
      <c r="AD26" s="120"/>
      <c r="AE26" s="30"/>
      <c r="AF26" s="30"/>
      <c r="AG26" s="30"/>
      <c r="AH26" s="30"/>
      <c r="AI26" s="30"/>
      <c r="AJ26" s="30"/>
      <c r="AK26" s="30"/>
      <c r="AL26" s="30"/>
      <c r="AM26" s="30"/>
      <c r="AN26" s="30"/>
      <c r="AO26" s="30"/>
      <c r="AP26" s="30"/>
      <c r="AQ26" s="30"/>
      <c r="AR26" s="30"/>
      <c r="AS26" s="30"/>
    </row>
    <row r="27" spans="1:63" ht="13.5" customHeight="1">
      <c r="A27" s="2614" t="s">
        <v>2074</v>
      </c>
      <c r="B27" s="3167"/>
      <c r="C27" s="3166">
        <v>43221</v>
      </c>
      <c r="D27" s="2498" t="s">
        <v>1973</v>
      </c>
      <c r="E27" s="186"/>
      <c r="F27" s="186"/>
      <c r="G27" s="186"/>
      <c r="H27" s="186"/>
      <c r="I27" s="186"/>
      <c r="J27" s="186"/>
      <c r="K27" s="186"/>
      <c r="L27" s="186"/>
      <c r="M27" s="187"/>
      <c r="N27" s="120"/>
      <c r="O27" s="30"/>
      <c r="P27" s="30"/>
      <c r="Q27" s="30"/>
      <c r="R27" s="30"/>
      <c r="S27" s="30"/>
      <c r="T27" s="30"/>
      <c r="U27" s="30"/>
      <c r="V27" s="30"/>
      <c r="W27" s="30"/>
      <c r="X27" s="30"/>
      <c r="Y27" s="30"/>
      <c r="Z27" s="30"/>
      <c r="AA27" s="30"/>
      <c r="AB27" s="30"/>
      <c r="AC27" s="30"/>
      <c r="AD27" s="120"/>
      <c r="AE27" s="30"/>
      <c r="AF27" s="30"/>
      <c r="AG27" s="30"/>
      <c r="AH27" s="30"/>
      <c r="AI27" s="30"/>
      <c r="AJ27" s="30"/>
      <c r="AK27" s="30"/>
      <c r="AL27" s="30"/>
      <c r="AM27" s="30"/>
      <c r="AN27" s="30"/>
      <c r="AO27" s="30"/>
      <c r="AP27" s="30"/>
      <c r="AQ27" s="30"/>
      <c r="AR27" s="30"/>
      <c r="AS27" s="30"/>
    </row>
    <row r="28" spans="1:63" ht="13.5" customHeight="1">
      <c r="A28" s="2614"/>
      <c r="B28" s="3167"/>
      <c r="C28" s="3166"/>
      <c r="D28" s="2498" t="s">
        <v>1978</v>
      </c>
      <c r="E28" s="186"/>
      <c r="F28" s="186"/>
      <c r="G28" s="186"/>
      <c r="H28" s="186"/>
      <c r="I28" s="186"/>
      <c r="J28" s="186"/>
      <c r="K28" s="186"/>
      <c r="L28" s="186"/>
      <c r="M28" s="187"/>
      <c r="N28" s="120"/>
      <c r="O28" s="30"/>
      <c r="P28" s="30"/>
      <c r="Q28" s="30"/>
      <c r="R28" s="30"/>
      <c r="S28" s="30"/>
      <c r="T28" s="30"/>
      <c r="U28" s="30"/>
      <c r="V28" s="30"/>
      <c r="W28" s="30"/>
      <c r="X28" s="30"/>
      <c r="Y28" s="30"/>
      <c r="Z28" s="30"/>
      <c r="AA28" s="30"/>
      <c r="AB28" s="30"/>
      <c r="AC28" s="30"/>
      <c r="AD28" s="120"/>
      <c r="AE28" s="30"/>
      <c r="AF28" s="30"/>
      <c r="AG28" s="30"/>
      <c r="AH28" s="30"/>
      <c r="AI28" s="30"/>
      <c r="AJ28" s="30"/>
      <c r="AK28" s="30"/>
      <c r="AL28" s="30"/>
      <c r="AM28" s="30"/>
      <c r="AN28" s="30"/>
      <c r="AO28" s="30"/>
      <c r="AP28" s="30"/>
      <c r="AQ28" s="30"/>
      <c r="AR28" s="30"/>
      <c r="AS28" s="30"/>
    </row>
    <row r="29" spans="1:63" ht="13.5" customHeight="1">
      <c r="A29" s="2614"/>
      <c r="B29" s="3167"/>
      <c r="C29" s="3166"/>
      <c r="D29" s="2498" t="s">
        <v>2068</v>
      </c>
      <c r="E29" s="186"/>
      <c r="F29" s="186"/>
      <c r="G29" s="186"/>
      <c r="H29" s="186"/>
      <c r="I29" s="186"/>
      <c r="J29" s="186"/>
      <c r="K29" s="186"/>
      <c r="L29" s="186"/>
      <c r="M29" s="187"/>
      <c r="N29" s="120"/>
      <c r="O29" s="30"/>
      <c r="P29" s="30"/>
      <c r="Q29" s="30"/>
      <c r="R29" s="30"/>
      <c r="S29" s="30"/>
      <c r="T29" s="30"/>
      <c r="U29" s="30"/>
      <c r="V29" s="30"/>
      <c r="W29" s="30"/>
      <c r="X29" s="30"/>
      <c r="Y29" s="30"/>
      <c r="Z29" s="30"/>
      <c r="AA29" s="30"/>
      <c r="AB29" s="30"/>
      <c r="AC29" s="30"/>
      <c r="AD29" s="120"/>
      <c r="AE29" s="30"/>
      <c r="AF29" s="30"/>
      <c r="AG29" s="30"/>
      <c r="AH29" s="30"/>
      <c r="AI29" s="30"/>
      <c r="AJ29" s="30"/>
      <c r="AK29" s="30"/>
      <c r="AL29" s="30"/>
      <c r="AM29" s="30"/>
      <c r="AN29" s="30"/>
      <c r="AO29" s="30"/>
      <c r="AP29" s="30"/>
      <c r="AQ29" s="30"/>
      <c r="AR29" s="30"/>
      <c r="AS29" s="30"/>
    </row>
    <row r="30" spans="1:63" ht="13.5" customHeight="1">
      <c r="A30" s="2614"/>
      <c r="B30" s="3167"/>
      <c r="C30" s="3166"/>
      <c r="D30" s="2498" t="s">
        <v>2071</v>
      </c>
      <c r="E30" s="186"/>
      <c r="F30" s="186"/>
      <c r="G30" s="186"/>
      <c r="H30" s="186"/>
      <c r="I30" s="186"/>
      <c r="J30" s="186"/>
      <c r="K30" s="186"/>
      <c r="L30" s="186"/>
      <c r="M30" s="187"/>
      <c r="N30" s="120"/>
      <c r="O30" s="30"/>
      <c r="P30" s="30"/>
      <c r="Q30" s="30"/>
      <c r="R30" s="30"/>
      <c r="S30" s="30"/>
      <c r="T30" s="30"/>
      <c r="U30" s="30"/>
      <c r="V30" s="30"/>
      <c r="W30" s="30"/>
      <c r="X30" s="30"/>
      <c r="Y30" s="30"/>
      <c r="Z30" s="30"/>
      <c r="AA30" s="30"/>
      <c r="AB30" s="30"/>
      <c r="AC30" s="30"/>
      <c r="AD30" s="120"/>
      <c r="AE30" s="30"/>
      <c r="AF30" s="30"/>
      <c r="AG30" s="30"/>
      <c r="AH30" s="30"/>
      <c r="AI30" s="30"/>
      <c r="AJ30" s="30"/>
      <c r="AK30" s="30"/>
      <c r="AL30" s="30"/>
      <c r="AM30" s="30"/>
      <c r="AN30" s="30"/>
      <c r="AO30" s="30"/>
      <c r="AP30" s="30"/>
      <c r="AQ30" s="30"/>
      <c r="AR30" s="30"/>
      <c r="AS30" s="30"/>
    </row>
    <row r="31" spans="1:63" ht="13.5" customHeight="1">
      <c r="A31" s="2614"/>
      <c r="B31" s="3167"/>
      <c r="C31" s="3166"/>
      <c r="D31" s="2498" t="s">
        <v>2117</v>
      </c>
      <c r="E31" s="186"/>
      <c r="F31" s="186"/>
      <c r="G31" s="186"/>
      <c r="H31" s="186"/>
      <c r="I31" s="186"/>
      <c r="J31" s="186"/>
      <c r="K31" s="186"/>
      <c r="L31" s="186"/>
      <c r="M31" s="187"/>
      <c r="N31" s="120"/>
      <c r="O31" s="30"/>
      <c r="P31" s="30"/>
      <c r="Q31" s="30"/>
      <c r="R31" s="30"/>
      <c r="S31" s="30"/>
      <c r="T31" s="30"/>
      <c r="U31" s="30"/>
      <c r="V31" s="30"/>
      <c r="W31" s="30"/>
      <c r="X31" s="30"/>
      <c r="Y31" s="30"/>
      <c r="Z31" s="30"/>
      <c r="AA31" s="30"/>
      <c r="AB31" s="30"/>
      <c r="AC31" s="30"/>
      <c r="AD31" s="120"/>
      <c r="AE31" s="30"/>
      <c r="AF31" s="30"/>
      <c r="AG31" s="30"/>
      <c r="AH31" s="30"/>
      <c r="AI31" s="30"/>
      <c r="AJ31" s="30"/>
      <c r="AK31" s="30"/>
      <c r="AL31" s="30"/>
      <c r="AM31" s="30"/>
      <c r="AN31" s="30"/>
      <c r="AO31" s="30"/>
      <c r="AP31" s="30"/>
      <c r="AQ31" s="30"/>
      <c r="AR31" s="30"/>
      <c r="AS31" s="30"/>
    </row>
    <row r="32" spans="1:63" ht="13.5" customHeight="1">
      <c r="A32" s="2614"/>
      <c r="B32" s="3167"/>
      <c r="C32" s="3166"/>
      <c r="D32" s="2498" t="s">
        <v>2118</v>
      </c>
      <c r="E32" s="186"/>
      <c r="F32" s="186"/>
      <c r="G32" s="186"/>
      <c r="H32" s="186"/>
      <c r="I32" s="186"/>
      <c r="J32" s="186"/>
      <c r="K32" s="186"/>
      <c r="L32" s="186"/>
      <c r="M32" s="187"/>
      <c r="N32" s="120"/>
      <c r="O32" s="30"/>
      <c r="P32" s="30"/>
      <c r="Q32" s="30"/>
      <c r="R32" s="30"/>
      <c r="S32" s="30"/>
      <c r="T32" s="30"/>
      <c r="U32" s="30"/>
      <c r="V32" s="30"/>
      <c r="W32" s="30"/>
      <c r="X32" s="30"/>
      <c r="Y32" s="30"/>
      <c r="Z32" s="30"/>
      <c r="AA32" s="30"/>
      <c r="AB32" s="30"/>
      <c r="AC32" s="30"/>
      <c r="AD32" s="120"/>
      <c r="AE32" s="30"/>
      <c r="AF32" s="30"/>
      <c r="AG32" s="30"/>
      <c r="AH32" s="30"/>
      <c r="AI32" s="30"/>
      <c r="AJ32" s="30"/>
      <c r="AK32" s="30"/>
      <c r="AL32" s="30"/>
      <c r="AM32" s="30"/>
      <c r="AN32" s="30"/>
      <c r="AO32" s="30"/>
      <c r="AP32" s="30"/>
      <c r="AQ32" s="30"/>
      <c r="AR32" s="30"/>
      <c r="AS32" s="30"/>
    </row>
    <row r="33" spans="1:63" ht="13.5" customHeight="1">
      <c r="A33" s="2614"/>
      <c r="B33" s="3167"/>
      <c r="C33" s="3166"/>
      <c r="D33" s="33" t="s">
        <v>2119</v>
      </c>
      <c r="E33" s="186"/>
      <c r="F33" s="186"/>
      <c r="G33" s="186"/>
      <c r="H33" s="186"/>
      <c r="I33" s="186"/>
      <c r="J33" s="186"/>
      <c r="K33" s="186"/>
      <c r="L33" s="186"/>
      <c r="M33" s="187"/>
      <c r="N33" s="120"/>
      <c r="O33" s="30"/>
      <c r="P33" s="30"/>
      <c r="Q33" s="30"/>
      <c r="R33" s="30"/>
      <c r="S33" s="30"/>
      <c r="T33" s="30"/>
      <c r="U33" s="30"/>
      <c r="V33" s="30"/>
      <c r="W33" s="30"/>
      <c r="X33" s="30"/>
      <c r="Y33" s="30"/>
      <c r="Z33" s="30"/>
      <c r="AA33" s="30"/>
      <c r="AB33" s="30"/>
      <c r="AC33" s="30"/>
      <c r="AD33" s="120"/>
      <c r="AE33" s="30"/>
      <c r="AF33" s="30"/>
      <c r="AG33" s="30"/>
      <c r="AH33" s="30"/>
      <c r="AI33" s="30"/>
      <c r="AJ33" s="30"/>
      <c r="AK33" s="30"/>
      <c r="AL33" s="30"/>
      <c r="AM33" s="30"/>
      <c r="AN33" s="30"/>
      <c r="AO33" s="30"/>
      <c r="AP33" s="30"/>
      <c r="AQ33" s="30"/>
      <c r="AR33" s="30"/>
      <c r="AS33" s="30"/>
    </row>
    <row r="34" spans="1:63" ht="13.5" customHeight="1">
      <c r="A34" s="2614" t="s">
        <v>1966</v>
      </c>
      <c r="B34" s="3167"/>
      <c r="C34" s="3166">
        <v>43070</v>
      </c>
      <c r="D34" s="188" t="s">
        <v>1956</v>
      </c>
      <c r="E34" s="186"/>
      <c r="F34" s="186"/>
      <c r="G34" s="186"/>
      <c r="H34" s="186"/>
      <c r="I34" s="186"/>
      <c r="J34" s="186"/>
      <c r="K34" s="186"/>
      <c r="L34" s="186"/>
      <c r="M34" s="187"/>
      <c r="N34" s="120"/>
      <c r="O34" s="30"/>
      <c r="P34" s="30"/>
      <c r="Q34" s="30"/>
      <c r="R34" s="30"/>
      <c r="S34" s="30"/>
      <c r="T34" s="30"/>
      <c r="U34" s="30"/>
      <c r="V34" s="30"/>
      <c r="W34" s="30"/>
      <c r="X34" s="30"/>
      <c r="Y34" s="30"/>
      <c r="Z34" s="30"/>
      <c r="AA34" s="30"/>
      <c r="AB34" s="30"/>
      <c r="AC34" s="30"/>
      <c r="AD34" s="120"/>
      <c r="AE34" s="30"/>
      <c r="AF34" s="30"/>
      <c r="AG34" s="30"/>
      <c r="AH34" s="30"/>
      <c r="AI34" s="30"/>
      <c r="AJ34" s="30"/>
      <c r="AK34" s="30"/>
      <c r="AL34" s="30"/>
      <c r="AM34" s="30"/>
      <c r="AN34" s="30"/>
      <c r="AO34" s="30"/>
      <c r="AP34" s="30"/>
      <c r="AQ34" s="30"/>
      <c r="AR34" s="30"/>
      <c r="AS34" s="30"/>
    </row>
    <row r="35" spans="1:63" ht="13.5" customHeight="1">
      <c r="A35" s="2614"/>
      <c r="B35" s="3167"/>
      <c r="C35" s="3166"/>
      <c r="D35" s="188" t="s">
        <v>1949</v>
      </c>
      <c r="E35" s="186"/>
      <c r="F35" s="186"/>
      <c r="G35" s="186"/>
      <c r="H35" s="186"/>
      <c r="I35" s="186"/>
      <c r="J35" s="186"/>
      <c r="K35" s="186"/>
      <c r="L35" s="186"/>
      <c r="M35" s="187"/>
      <c r="N35" s="120"/>
      <c r="O35" s="30"/>
      <c r="P35" s="30"/>
      <c r="Q35" s="30"/>
      <c r="R35" s="30"/>
      <c r="S35" s="30"/>
      <c r="T35" s="30"/>
      <c r="U35" s="30"/>
      <c r="V35" s="30"/>
      <c r="W35" s="30"/>
      <c r="X35" s="30"/>
      <c r="Y35" s="30"/>
      <c r="Z35" s="30"/>
      <c r="AA35" s="30"/>
      <c r="AB35" s="30"/>
      <c r="AC35" s="30"/>
      <c r="AD35" s="120"/>
      <c r="AE35" s="30"/>
      <c r="AF35" s="30"/>
      <c r="AG35" s="30"/>
      <c r="AH35" s="30"/>
      <c r="AI35" s="30"/>
      <c r="AJ35" s="30"/>
      <c r="AK35" s="30"/>
      <c r="AL35" s="30"/>
      <c r="AM35" s="30"/>
      <c r="AN35" s="30"/>
      <c r="AO35" s="30"/>
      <c r="AP35" s="30"/>
      <c r="AQ35" s="30"/>
      <c r="AR35" s="30"/>
      <c r="AS35" s="30"/>
    </row>
    <row r="36" spans="1:63" ht="13.5" customHeight="1">
      <c r="A36" s="2614"/>
      <c r="B36" s="3167"/>
      <c r="C36" s="3166"/>
      <c r="D36" s="188" t="s">
        <v>1961</v>
      </c>
      <c r="E36" s="186"/>
      <c r="F36" s="186"/>
      <c r="G36" s="186"/>
      <c r="H36" s="186"/>
      <c r="I36" s="186"/>
      <c r="J36" s="186"/>
      <c r="K36" s="186"/>
      <c r="L36" s="186"/>
      <c r="M36" s="187"/>
      <c r="N36" s="120"/>
      <c r="O36" s="30"/>
      <c r="P36" s="30"/>
      <c r="Q36" s="30"/>
      <c r="R36" s="30"/>
      <c r="S36" s="30"/>
      <c r="T36" s="30"/>
      <c r="U36" s="30"/>
      <c r="V36" s="30"/>
      <c r="W36" s="30"/>
      <c r="X36" s="30"/>
      <c r="Y36" s="30"/>
      <c r="Z36" s="30"/>
      <c r="AA36" s="30"/>
      <c r="AB36" s="30"/>
      <c r="AC36" s="30"/>
      <c r="AD36" s="120"/>
      <c r="AE36" s="30"/>
      <c r="AF36" s="30"/>
      <c r="AG36" s="30"/>
      <c r="AH36" s="30"/>
      <c r="AI36" s="30"/>
      <c r="AJ36" s="30"/>
      <c r="AK36" s="30"/>
      <c r="AL36" s="30"/>
      <c r="AM36" s="30"/>
      <c r="AN36" s="30"/>
      <c r="AO36" s="30"/>
      <c r="AP36" s="30"/>
      <c r="AQ36" s="30"/>
      <c r="AR36" s="30"/>
      <c r="AS36" s="30"/>
    </row>
    <row r="37" spans="1:63" ht="13.5" customHeight="1">
      <c r="A37" s="2614"/>
      <c r="B37" s="3167"/>
      <c r="C37" s="3166"/>
      <c r="D37" s="188" t="s">
        <v>1962</v>
      </c>
      <c r="E37" s="186"/>
      <c r="F37" s="186"/>
      <c r="G37" s="186"/>
      <c r="H37" s="186"/>
      <c r="I37" s="186"/>
      <c r="J37" s="186"/>
      <c r="K37" s="186"/>
      <c r="L37" s="186"/>
      <c r="M37" s="187"/>
      <c r="N37" s="120"/>
      <c r="O37" s="30"/>
      <c r="P37" s="30"/>
      <c r="Q37" s="30"/>
      <c r="R37" s="30"/>
      <c r="S37" s="30"/>
      <c r="T37" s="30"/>
      <c r="U37" s="30"/>
      <c r="V37" s="30"/>
      <c r="W37" s="30"/>
      <c r="X37" s="30"/>
      <c r="Y37" s="30"/>
      <c r="Z37" s="30"/>
      <c r="AA37" s="30"/>
      <c r="AB37" s="30"/>
      <c r="AC37" s="30"/>
      <c r="AD37" s="120"/>
      <c r="AE37" s="30"/>
      <c r="AF37" s="30"/>
      <c r="AG37" s="30"/>
      <c r="AH37" s="30"/>
      <c r="AI37" s="30"/>
      <c r="AJ37" s="30"/>
      <c r="AK37" s="30"/>
      <c r="AL37" s="30"/>
      <c r="AM37" s="30"/>
      <c r="AN37" s="30"/>
      <c r="AO37" s="30"/>
      <c r="AP37" s="30"/>
      <c r="AQ37" s="30"/>
      <c r="AR37" s="30"/>
      <c r="AS37" s="30"/>
    </row>
    <row r="38" spans="1:63" ht="13.5" customHeight="1">
      <c r="A38" s="189"/>
      <c r="B38" s="242"/>
      <c r="C38" s="3162"/>
      <c r="D38" s="188" t="s">
        <v>1964</v>
      </c>
      <c r="E38" s="186"/>
      <c r="F38" s="186"/>
      <c r="G38" s="186"/>
      <c r="H38" s="186"/>
      <c r="I38" s="186"/>
      <c r="J38" s="186"/>
      <c r="K38" s="186"/>
      <c r="L38" s="186"/>
      <c r="M38" s="187"/>
      <c r="N38" s="120"/>
      <c r="O38" s="30"/>
      <c r="P38" s="30"/>
      <c r="Q38" s="30"/>
      <c r="R38" s="30"/>
      <c r="S38" s="30"/>
      <c r="T38" s="30"/>
      <c r="U38" s="30"/>
      <c r="V38" s="30"/>
      <c r="W38" s="30"/>
      <c r="X38" s="30"/>
      <c r="Y38" s="30"/>
      <c r="Z38" s="30"/>
      <c r="AA38" s="30"/>
      <c r="AB38" s="30"/>
      <c r="AC38" s="30"/>
      <c r="AD38" s="120"/>
      <c r="AE38" s="30"/>
      <c r="AF38" s="30"/>
      <c r="AG38" s="30"/>
      <c r="AH38" s="30"/>
      <c r="AI38" s="30"/>
      <c r="AJ38" s="30"/>
      <c r="AK38" s="30"/>
      <c r="AL38" s="30"/>
      <c r="AM38" s="30"/>
      <c r="AN38" s="30"/>
      <c r="AO38" s="30"/>
      <c r="AP38" s="30"/>
      <c r="AQ38" s="30"/>
      <c r="AR38" s="30"/>
      <c r="AS38" s="30"/>
    </row>
    <row r="39" spans="1:63" s="22" customFormat="1" ht="13.5" customHeight="1">
      <c r="A39" s="2614" t="s">
        <v>1950</v>
      </c>
      <c r="B39" s="3167"/>
      <c r="C39" s="3166">
        <v>43009</v>
      </c>
      <c r="D39" s="188" t="s">
        <v>1951</v>
      </c>
      <c r="E39" s="186"/>
      <c r="F39" s="186"/>
      <c r="G39" s="186"/>
      <c r="H39" s="186"/>
      <c r="I39" s="186"/>
      <c r="J39" s="186"/>
      <c r="K39" s="186"/>
      <c r="L39" s="186"/>
      <c r="M39" s="187"/>
      <c r="N39" s="80"/>
      <c r="O39" s="80"/>
      <c r="P39" s="80"/>
      <c r="Q39" s="80"/>
      <c r="R39" s="80"/>
      <c r="S39" s="80"/>
      <c r="T39" s="80"/>
      <c r="U39" s="80"/>
      <c r="V39" s="80"/>
      <c r="W39" s="80"/>
      <c r="X39" s="80"/>
      <c r="Y39" s="80"/>
      <c r="Z39" s="80"/>
      <c r="AA39" s="80"/>
      <c r="AB39" s="119"/>
      <c r="AC39" s="119"/>
      <c r="AD39" s="80"/>
      <c r="AE39" s="80"/>
      <c r="AF39" s="80"/>
      <c r="AG39" s="80"/>
      <c r="AH39" s="80"/>
      <c r="AI39" s="80"/>
      <c r="AJ39" s="80"/>
      <c r="AK39" s="80"/>
      <c r="AL39" s="80"/>
      <c r="AM39" s="80"/>
      <c r="AN39" s="80"/>
      <c r="AO39" s="80"/>
      <c r="AP39" s="80"/>
      <c r="AQ39" s="80"/>
      <c r="AR39" s="119"/>
      <c r="AS39" s="119"/>
      <c r="AT39" s="29"/>
      <c r="AU39" s="29"/>
      <c r="AV39" s="29"/>
      <c r="AW39" s="29"/>
      <c r="AX39" s="29"/>
      <c r="AY39" s="29"/>
      <c r="AZ39" s="29"/>
      <c r="BA39" s="29"/>
      <c r="BB39" s="29"/>
      <c r="BC39" s="29"/>
      <c r="BD39" s="29"/>
      <c r="BE39" s="29"/>
      <c r="BF39" s="29"/>
      <c r="BG39" s="29"/>
      <c r="BH39" s="29"/>
      <c r="BI39" s="29"/>
      <c r="BJ39" s="29"/>
      <c r="BK39" s="29"/>
    </row>
    <row r="40" spans="1:63" s="22" customFormat="1" ht="13.5" customHeight="1">
      <c r="A40" s="2614" t="s">
        <v>1952</v>
      </c>
      <c r="B40" s="3167"/>
      <c r="C40" s="3166"/>
      <c r="D40" s="188"/>
      <c r="E40" s="186"/>
      <c r="F40" s="186"/>
      <c r="G40" s="186"/>
      <c r="H40" s="186"/>
      <c r="I40" s="186"/>
      <c r="J40" s="186"/>
      <c r="K40" s="186"/>
      <c r="L40" s="186"/>
      <c r="M40" s="187"/>
      <c r="N40" s="80"/>
      <c r="O40" s="80"/>
      <c r="P40" s="80"/>
      <c r="Q40" s="80"/>
      <c r="R40" s="80"/>
      <c r="S40" s="80"/>
      <c r="T40" s="80"/>
      <c r="U40" s="80"/>
      <c r="V40" s="80"/>
      <c r="W40" s="80"/>
      <c r="X40" s="80"/>
      <c r="Y40" s="80"/>
      <c r="Z40" s="80"/>
      <c r="AA40" s="80"/>
      <c r="AB40" s="119"/>
      <c r="AC40" s="119"/>
      <c r="AD40" s="80"/>
      <c r="AE40" s="80"/>
      <c r="AF40" s="80"/>
      <c r="AG40" s="80"/>
      <c r="AH40" s="80"/>
      <c r="AI40" s="80"/>
      <c r="AJ40" s="80"/>
      <c r="AK40" s="80"/>
      <c r="AL40" s="80"/>
      <c r="AM40" s="80"/>
      <c r="AN40" s="80"/>
      <c r="AO40" s="80"/>
      <c r="AP40" s="80"/>
      <c r="AQ40" s="80"/>
      <c r="AR40" s="119"/>
      <c r="AS40" s="119"/>
      <c r="AT40" s="29"/>
      <c r="AU40" s="29"/>
      <c r="AV40" s="29"/>
      <c r="AW40" s="29"/>
      <c r="AX40" s="29"/>
      <c r="AY40" s="29"/>
      <c r="AZ40" s="29"/>
      <c r="BA40" s="29"/>
      <c r="BB40" s="29"/>
      <c r="BC40" s="29"/>
      <c r="BD40" s="29"/>
      <c r="BE40" s="29"/>
      <c r="BF40" s="29"/>
      <c r="BG40" s="29"/>
      <c r="BH40" s="29"/>
      <c r="BI40" s="29"/>
      <c r="BJ40" s="29"/>
      <c r="BK40" s="29"/>
    </row>
    <row r="41" spans="1:63" s="22" customFormat="1" ht="13.5" customHeight="1">
      <c r="A41" s="2614" t="s">
        <v>1942</v>
      </c>
      <c r="B41" s="3036"/>
      <c r="C41" s="3166">
        <v>42948</v>
      </c>
      <c r="D41" s="2498" t="s">
        <v>1943</v>
      </c>
      <c r="E41" s="186"/>
      <c r="F41" s="186"/>
      <c r="G41" s="186"/>
      <c r="H41" s="186"/>
      <c r="I41" s="186"/>
      <c r="J41" s="186"/>
      <c r="K41" s="186"/>
      <c r="L41" s="186"/>
      <c r="M41" s="187"/>
      <c r="N41" s="80"/>
      <c r="O41" s="80"/>
      <c r="P41" s="80"/>
      <c r="Q41" s="80"/>
      <c r="R41" s="80"/>
      <c r="S41" s="80"/>
      <c r="T41" s="80"/>
      <c r="U41" s="80"/>
      <c r="V41" s="80"/>
      <c r="W41" s="80"/>
      <c r="X41" s="80"/>
      <c r="Y41" s="80"/>
      <c r="Z41" s="80"/>
      <c r="AA41" s="80"/>
      <c r="AB41" s="119"/>
      <c r="AC41" s="119"/>
      <c r="AD41" s="80"/>
      <c r="AE41" s="80"/>
      <c r="AF41" s="80"/>
      <c r="AG41" s="80"/>
      <c r="AH41" s="80"/>
      <c r="AI41" s="80"/>
      <c r="AJ41" s="80"/>
      <c r="AK41" s="80"/>
      <c r="AL41" s="80"/>
      <c r="AM41" s="80"/>
      <c r="AN41" s="80"/>
      <c r="AO41" s="80"/>
      <c r="AP41" s="80"/>
      <c r="AQ41" s="80"/>
      <c r="AR41" s="119"/>
      <c r="AS41" s="119"/>
      <c r="AT41" s="29"/>
      <c r="AU41" s="29"/>
      <c r="AV41" s="29"/>
      <c r="AW41" s="29"/>
      <c r="AX41" s="29"/>
      <c r="AY41" s="29"/>
      <c r="AZ41" s="29"/>
      <c r="BA41" s="29"/>
      <c r="BB41" s="29"/>
      <c r="BC41" s="29"/>
      <c r="BD41" s="29"/>
      <c r="BE41" s="29"/>
      <c r="BF41" s="29"/>
      <c r="BG41" s="29"/>
      <c r="BH41" s="29"/>
      <c r="BI41" s="29"/>
      <c r="BJ41" s="29"/>
      <c r="BK41" s="29"/>
    </row>
    <row r="42" spans="1:63" s="22" customFormat="1" ht="13.5" customHeight="1">
      <c r="A42" s="2614" t="s">
        <v>1941</v>
      </c>
      <c r="B42" s="3155"/>
      <c r="C42" s="3156"/>
      <c r="D42" s="2498" t="s">
        <v>1944</v>
      </c>
      <c r="E42" s="186"/>
      <c r="F42" s="186"/>
      <c r="G42" s="186"/>
      <c r="H42" s="186"/>
      <c r="I42" s="186"/>
      <c r="J42" s="186"/>
      <c r="K42" s="186"/>
      <c r="L42" s="186"/>
      <c r="M42" s="187"/>
      <c r="N42" s="80"/>
      <c r="O42" s="80"/>
      <c r="P42" s="80"/>
      <c r="Q42" s="80"/>
      <c r="R42" s="80"/>
      <c r="S42" s="80"/>
      <c r="T42" s="80"/>
      <c r="U42" s="80"/>
      <c r="V42" s="80"/>
      <c r="W42" s="80"/>
      <c r="X42" s="80"/>
      <c r="Y42" s="80"/>
      <c r="Z42" s="80"/>
      <c r="AA42" s="80"/>
      <c r="AB42" s="119"/>
      <c r="AC42" s="119"/>
      <c r="AD42" s="80"/>
      <c r="AE42" s="80"/>
      <c r="AF42" s="80"/>
      <c r="AG42" s="80"/>
      <c r="AH42" s="80"/>
      <c r="AI42" s="80"/>
      <c r="AJ42" s="80"/>
      <c r="AK42" s="80"/>
      <c r="AL42" s="80"/>
      <c r="AM42" s="80"/>
      <c r="AN42" s="80"/>
      <c r="AO42" s="80"/>
      <c r="AP42" s="80"/>
      <c r="AQ42" s="80"/>
      <c r="AR42" s="119"/>
      <c r="AS42" s="119"/>
      <c r="AT42" s="29"/>
      <c r="AU42" s="29"/>
      <c r="AV42" s="29"/>
      <c r="AW42" s="29"/>
      <c r="AX42" s="29"/>
      <c r="AY42" s="29"/>
      <c r="AZ42" s="29"/>
      <c r="BA42" s="29"/>
      <c r="BB42" s="29"/>
      <c r="BC42" s="29"/>
      <c r="BD42" s="29"/>
      <c r="BE42" s="29"/>
      <c r="BF42" s="29"/>
      <c r="BG42" s="29"/>
      <c r="BH42" s="29"/>
      <c r="BI42" s="29"/>
      <c r="BJ42" s="29"/>
      <c r="BK42" s="29"/>
    </row>
    <row r="43" spans="1:63" s="22" customFormat="1" ht="13.5" customHeight="1">
      <c r="A43" s="189"/>
      <c r="B43" s="242"/>
      <c r="C43" s="2646"/>
      <c r="D43" s="2498" t="s">
        <v>1945</v>
      </c>
      <c r="E43" s="186"/>
      <c r="F43" s="186"/>
      <c r="G43" s="186"/>
      <c r="H43" s="186"/>
      <c r="I43" s="186"/>
      <c r="J43" s="186"/>
      <c r="K43" s="186"/>
      <c r="L43" s="186"/>
      <c r="M43" s="187"/>
      <c r="N43" s="80"/>
      <c r="O43" s="80"/>
      <c r="P43" s="80"/>
      <c r="Q43" s="80"/>
      <c r="R43" s="80"/>
      <c r="S43" s="80"/>
      <c r="T43" s="80"/>
      <c r="U43" s="80"/>
      <c r="V43" s="80"/>
      <c r="W43" s="80"/>
      <c r="X43" s="80"/>
      <c r="Y43" s="80"/>
      <c r="Z43" s="80"/>
      <c r="AA43" s="80"/>
      <c r="AB43" s="119"/>
      <c r="AC43" s="119"/>
      <c r="AD43" s="80"/>
      <c r="AE43" s="80"/>
      <c r="AF43" s="80"/>
      <c r="AG43" s="80"/>
      <c r="AH43" s="80"/>
      <c r="AI43" s="80"/>
      <c r="AJ43" s="80"/>
      <c r="AK43" s="80"/>
      <c r="AL43" s="80"/>
      <c r="AM43" s="80"/>
      <c r="AN43" s="80"/>
      <c r="AO43" s="80"/>
      <c r="AP43" s="80"/>
      <c r="AQ43" s="80"/>
      <c r="AR43" s="119"/>
      <c r="AS43" s="119"/>
      <c r="AT43" s="29"/>
      <c r="AU43" s="29"/>
      <c r="AV43" s="29"/>
      <c r="AW43" s="29"/>
      <c r="AX43" s="29"/>
      <c r="AY43" s="29"/>
      <c r="AZ43" s="29"/>
      <c r="BA43" s="29"/>
      <c r="BB43" s="29"/>
      <c r="BC43" s="29"/>
      <c r="BD43" s="29"/>
      <c r="BE43" s="29"/>
      <c r="BF43" s="29"/>
      <c r="BG43" s="29"/>
      <c r="BH43" s="29"/>
      <c r="BI43" s="29"/>
      <c r="BJ43" s="29"/>
      <c r="BK43" s="29"/>
    </row>
    <row r="44" spans="1:63" ht="13.5" customHeight="1">
      <c r="A44" s="2560" t="s">
        <v>1909</v>
      </c>
      <c r="B44" s="2555"/>
      <c r="C44" s="3154">
        <v>42917</v>
      </c>
      <c r="D44" s="128" t="s">
        <v>1810</v>
      </c>
      <c r="E44" s="132"/>
      <c r="F44" s="129"/>
      <c r="G44" s="129"/>
      <c r="H44" s="129"/>
      <c r="I44" s="129"/>
      <c r="J44" s="129"/>
      <c r="K44" s="129"/>
      <c r="L44" s="129"/>
      <c r="M44" s="130"/>
      <c r="N44" s="73"/>
      <c r="O44" s="73"/>
      <c r="P44" s="73"/>
      <c r="Q44" s="73"/>
      <c r="R44" s="73"/>
      <c r="S44" s="73"/>
      <c r="T44" s="73"/>
      <c r="U44" s="73"/>
      <c r="V44" s="73"/>
      <c r="W44" s="73"/>
      <c r="X44" s="73"/>
      <c r="Y44" s="73"/>
      <c r="Z44" s="73"/>
      <c r="AA44" s="73"/>
      <c r="AB44" s="65"/>
      <c r="AC44" s="65"/>
      <c r="AD44" s="73"/>
      <c r="AE44" s="73"/>
      <c r="AF44" s="73"/>
      <c r="AG44" s="73"/>
      <c r="AH44" s="73"/>
      <c r="AI44" s="73"/>
      <c r="AJ44" s="73"/>
      <c r="AK44" s="73"/>
      <c r="AL44" s="73"/>
      <c r="AM44" s="73"/>
      <c r="AN44" s="73"/>
      <c r="AO44" s="73"/>
      <c r="AP44" s="73"/>
      <c r="AQ44" s="73"/>
      <c r="AR44" s="65"/>
      <c r="AS44" s="65"/>
    </row>
    <row r="45" spans="1:63" ht="13.5" customHeight="1">
      <c r="A45" s="91"/>
      <c r="B45" s="22"/>
      <c r="C45" s="2631"/>
      <c r="D45" s="128" t="s">
        <v>1815</v>
      </c>
      <c r="E45" s="132"/>
      <c r="F45" s="129"/>
      <c r="G45" s="129"/>
      <c r="H45" s="129"/>
      <c r="I45" s="129"/>
      <c r="J45" s="129"/>
      <c r="K45" s="129"/>
      <c r="L45" s="129"/>
      <c r="M45" s="130"/>
      <c r="N45" s="73"/>
      <c r="O45" s="73"/>
      <c r="P45" s="73"/>
      <c r="Q45" s="73"/>
      <c r="R45" s="73"/>
      <c r="S45" s="73"/>
      <c r="T45" s="73"/>
      <c r="U45" s="73"/>
      <c r="V45" s="73"/>
      <c r="W45" s="73"/>
      <c r="X45" s="73"/>
      <c r="Y45" s="73"/>
      <c r="Z45" s="73"/>
      <c r="AA45" s="73"/>
      <c r="AB45" s="65"/>
      <c r="AC45" s="65"/>
      <c r="AD45" s="73"/>
      <c r="AE45" s="73"/>
      <c r="AF45" s="73"/>
      <c r="AG45" s="73"/>
      <c r="AH45" s="73"/>
      <c r="AI45" s="73"/>
      <c r="AJ45" s="73"/>
      <c r="AK45" s="73"/>
      <c r="AL45" s="73"/>
      <c r="AM45" s="73"/>
      <c r="AN45" s="73"/>
      <c r="AO45" s="73"/>
      <c r="AP45" s="73"/>
      <c r="AQ45" s="73"/>
      <c r="AR45" s="65"/>
      <c r="AS45" s="65"/>
    </row>
    <row r="46" spans="1:63" ht="13.5" customHeight="1">
      <c r="A46" s="91"/>
      <c r="B46" s="22"/>
      <c r="C46" s="2631"/>
      <c r="D46" s="128" t="s">
        <v>1819</v>
      </c>
      <c r="E46" s="22"/>
      <c r="F46" s="129"/>
      <c r="G46" s="129"/>
      <c r="H46" s="129"/>
      <c r="I46" s="129"/>
      <c r="J46" s="129"/>
      <c r="K46" s="129"/>
      <c r="L46" s="129"/>
      <c r="M46" s="130"/>
      <c r="N46" s="73"/>
      <c r="O46" s="73"/>
      <c r="P46" s="73"/>
      <c r="Q46" s="73"/>
      <c r="R46" s="73"/>
      <c r="S46" s="73"/>
      <c r="T46" s="73"/>
      <c r="U46" s="73"/>
      <c r="V46" s="73"/>
      <c r="W46" s="73"/>
      <c r="X46" s="73"/>
      <c r="Y46" s="73"/>
      <c r="Z46" s="73"/>
      <c r="AA46" s="73"/>
      <c r="AB46" s="65"/>
      <c r="AC46" s="65"/>
      <c r="AD46" s="73"/>
      <c r="AE46" s="73"/>
      <c r="AF46" s="73"/>
      <c r="AG46" s="73"/>
      <c r="AH46" s="73"/>
      <c r="AI46" s="73"/>
      <c r="AJ46" s="73"/>
      <c r="AK46" s="73"/>
      <c r="AL46" s="73"/>
      <c r="AM46" s="73"/>
      <c r="AN46" s="73"/>
      <c r="AO46" s="73"/>
      <c r="AP46" s="73"/>
      <c r="AQ46" s="73"/>
      <c r="AR46" s="65"/>
      <c r="AS46" s="65"/>
    </row>
    <row r="47" spans="1:63" ht="13.5" customHeight="1">
      <c r="A47" s="91"/>
      <c r="B47" s="22"/>
      <c r="C47" s="2631"/>
      <c r="D47" s="128" t="s">
        <v>1818</v>
      </c>
      <c r="E47" s="132"/>
      <c r="F47" s="129"/>
      <c r="G47" s="129"/>
      <c r="H47" s="129"/>
      <c r="I47" s="129"/>
      <c r="J47" s="129"/>
      <c r="K47" s="129"/>
      <c r="L47" s="129"/>
      <c r="M47" s="130"/>
      <c r="N47" s="73"/>
      <c r="O47" s="73"/>
      <c r="P47" s="73"/>
      <c r="Q47" s="73"/>
      <c r="R47" s="73"/>
      <c r="S47" s="73"/>
      <c r="T47" s="73"/>
      <c r="U47" s="73"/>
      <c r="V47" s="73"/>
      <c r="W47" s="73"/>
      <c r="X47" s="73"/>
      <c r="Y47" s="73"/>
      <c r="Z47" s="73"/>
      <c r="AA47" s="73"/>
      <c r="AB47" s="65"/>
      <c r="AC47" s="65"/>
      <c r="AD47" s="73"/>
      <c r="AE47" s="73"/>
      <c r="AF47" s="73"/>
      <c r="AG47" s="73"/>
      <c r="AH47" s="73"/>
      <c r="AI47" s="73"/>
      <c r="AJ47" s="73"/>
      <c r="AK47" s="73"/>
      <c r="AL47" s="73"/>
      <c r="AM47" s="73"/>
      <c r="AN47" s="73"/>
      <c r="AO47" s="73"/>
      <c r="AP47" s="73"/>
      <c r="AQ47" s="73"/>
      <c r="AR47" s="65"/>
      <c r="AS47" s="65"/>
    </row>
    <row r="48" spans="1:63" ht="13.5" customHeight="1">
      <c r="A48" s="91"/>
      <c r="B48" s="22"/>
      <c r="C48" s="2631"/>
      <c r="D48" s="128" t="s">
        <v>1816</v>
      </c>
      <c r="E48" s="132"/>
      <c r="F48" s="129"/>
      <c r="G48" s="129"/>
      <c r="H48" s="129"/>
      <c r="I48" s="129"/>
      <c r="J48" s="129"/>
      <c r="K48" s="129"/>
      <c r="L48" s="129"/>
      <c r="M48" s="130"/>
      <c r="N48" s="73"/>
      <c r="O48" s="73"/>
      <c r="P48" s="73"/>
      <c r="Q48" s="73"/>
      <c r="R48" s="73"/>
      <c r="S48" s="73"/>
      <c r="T48" s="73"/>
      <c r="U48" s="73"/>
      <c r="V48" s="73"/>
      <c r="W48" s="73"/>
      <c r="X48" s="73"/>
      <c r="Y48" s="73"/>
      <c r="Z48" s="73"/>
      <c r="AA48" s="73"/>
      <c r="AB48" s="65"/>
      <c r="AC48" s="65"/>
      <c r="AD48" s="73"/>
      <c r="AE48" s="73"/>
      <c r="AF48" s="73"/>
      <c r="AG48" s="73"/>
      <c r="AH48" s="73"/>
      <c r="AI48" s="73"/>
      <c r="AJ48" s="73"/>
      <c r="AK48" s="73"/>
      <c r="AL48" s="73"/>
      <c r="AM48" s="73"/>
      <c r="AN48" s="73"/>
      <c r="AO48" s="73"/>
      <c r="AP48" s="73"/>
      <c r="AQ48" s="73"/>
      <c r="AR48" s="65"/>
      <c r="AS48" s="65"/>
    </row>
    <row r="49" spans="1:63" ht="13.5" customHeight="1">
      <c r="A49" s="91"/>
      <c r="B49" s="22"/>
      <c r="C49" s="2631"/>
      <c r="D49" s="128" t="s">
        <v>1817</v>
      </c>
      <c r="E49" s="132"/>
      <c r="F49" s="129"/>
      <c r="G49" s="129"/>
      <c r="H49" s="129"/>
      <c r="I49" s="129"/>
      <c r="J49" s="129"/>
      <c r="K49" s="129"/>
      <c r="L49" s="129"/>
      <c r="M49" s="130"/>
      <c r="N49" s="73"/>
      <c r="O49" s="73"/>
      <c r="P49" s="73"/>
      <c r="Q49" s="73"/>
      <c r="R49" s="73"/>
      <c r="S49" s="73"/>
      <c r="T49" s="73"/>
      <c r="U49" s="73"/>
      <c r="V49" s="73"/>
      <c r="W49" s="73"/>
      <c r="X49" s="73"/>
      <c r="Y49" s="73"/>
      <c r="Z49" s="73"/>
      <c r="AA49" s="73"/>
      <c r="AB49" s="65"/>
      <c r="AC49" s="65"/>
      <c r="AD49" s="73"/>
      <c r="AE49" s="73"/>
      <c r="AF49" s="73"/>
      <c r="AG49" s="73"/>
      <c r="AH49" s="73"/>
      <c r="AI49" s="73"/>
      <c r="AJ49" s="73"/>
      <c r="AK49" s="73"/>
      <c r="AL49" s="73"/>
      <c r="AM49" s="73"/>
      <c r="AN49" s="73"/>
      <c r="AO49" s="73"/>
      <c r="AP49" s="73"/>
      <c r="AQ49" s="73"/>
      <c r="AR49" s="65"/>
      <c r="AS49" s="65"/>
    </row>
    <row r="50" spans="1:63" ht="13.5" customHeight="1">
      <c r="A50" s="91"/>
      <c r="B50" s="22"/>
      <c r="C50" s="2631"/>
      <c r="D50" s="128" t="s">
        <v>1825</v>
      </c>
      <c r="E50" s="132"/>
      <c r="F50" s="129"/>
      <c r="G50" s="129"/>
      <c r="H50" s="129"/>
      <c r="I50" s="129"/>
      <c r="J50" s="129"/>
      <c r="K50" s="129"/>
      <c r="L50" s="129"/>
      <c r="M50" s="130"/>
      <c r="N50" s="73"/>
      <c r="O50" s="73"/>
      <c r="P50" s="73"/>
      <c r="Q50" s="73"/>
      <c r="R50" s="73"/>
      <c r="S50" s="73"/>
      <c r="T50" s="73"/>
      <c r="U50" s="73"/>
      <c r="V50" s="73"/>
      <c r="W50" s="73"/>
      <c r="X50" s="73"/>
      <c r="Y50" s="73"/>
      <c r="Z50" s="73"/>
      <c r="AA50" s="73"/>
      <c r="AB50" s="65"/>
      <c r="AC50" s="65"/>
      <c r="AD50" s="73"/>
      <c r="AE50" s="73"/>
      <c r="AF50" s="73"/>
      <c r="AG50" s="73"/>
      <c r="AH50" s="73"/>
      <c r="AI50" s="73"/>
      <c r="AJ50" s="73"/>
      <c r="AK50" s="73"/>
      <c r="AL50" s="73"/>
      <c r="AM50" s="73"/>
      <c r="AN50" s="73"/>
      <c r="AO50" s="73"/>
      <c r="AP50" s="73"/>
      <c r="AQ50" s="73"/>
      <c r="AR50" s="65"/>
      <c r="AS50" s="65"/>
    </row>
    <row r="51" spans="1:63" ht="13.5" customHeight="1">
      <c r="A51" s="91"/>
      <c r="B51" s="22"/>
      <c r="C51" s="2631"/>
      <c r="D51" s="128" t="s">
        <v>1826</v>
      </c>
      <c r="E51" s="132"/>
      <c r="F51" s="129"/>
      <c r="G51" s="129"/>
      <c r="H51" s="129"/>
      <c r="I51" s="129"/>
      <c r="J51" s="129"/>
      <c r="K51" s="129"/>
      <c r="L51" s="129"/>
      <c r="M51" s="130"/>
      <c r="N51" s="73"/>
      <c r="O51" s="73"/>
      <c r="P51" s="73"/>
      <c r="Q51" s="73"/>
      <c r="R51" s="73"/>
      <c r="S51" s="73"/>
      <c r="T51" s="73"/>
      <c r="U51" s="73"/>
      <c r="V51" s="73"/>
      <c r="W51" s="73"/>
      <c r="X51" s="73"/>
      <c r="Y51" s="73"/>
      <c r="Z51" s="73"/>
      <c r="AA51" s="73"/>
      <c r="AB51" s="65"/>
      <c r="AC51" s="65"/>
      <c r="AD51" s="73"/>
      <c r="AE51" s="73"/>
      <c r="AF51" s="73"/>
      <c r="AG51" s="73"/>
      <c r="AH51" s="73"/>
      <c r="AI51" s="73"/>
      <c r="AJ51" s="73"/>
      <c r="AK51" s="73"/>
      <c r="AL51" s="73"/>
      <c r="AM51" s="73"/>
      <c r="AN51" s="73"/>
      <c r="AO51" s="73"/>
      <c r="AP51" s="73"/>
      <c r="AQ51" s="73"/>
      <c r="AR51" s="65"/>
      <c r="AS51" s="65"/>
    </row>
    <row r="52" spans="1:63" ht="13.5" customHeight="1">
      <c r="A52" s="90"/>
      <c r="B52" s="42"/>
      <c r="C52" s="144"/>
      <c r="D52" s="128" t="s">
        <v>1830</v>
      </c>
      <c r="E52" s="129"/>
      <c r="F52" s="129"/>
      <c r="G52" s="129"/>
      <c r="H52" s="129"/>
      <c r="I52" s="129"/>
      <c r="J52" s="129"/>
      <c r="K52" s="129"/>
      <c r="L52" s="129"/>
      <c r="M52" s="130"/>
      <c r="N52" s="73"/>
      <c r="O52" s="73"/>
      <c r="P52" s="73"/>
      <c r="Q52" s="73"/>
      <c r="R52" s="73"/>
      <c r="S52" s="73"/>
      <c r="T52" s="73"/>
      <c r="U52" s="73"/>
      <c r="V52" s="73"/>
      <c r="W52" s="73"/>
      <c r="X52" s="73"/>
      <c r="Y52" s="73"/>
      <c r="Z52" s="73"/>
      <c r="AA52" s="73"/>
      <c r="AB52" s="65"/>
      <c r="AC52" s="65"/>
      <c r="AD52" s="73"/>
      <c r="AE52" s="73"/>
      <c r="AF52" s="73"/>
      <c r="AG52" s="73"/>
      <c r="AH52" s="73"/>
      <c r="AI52" s="73"/>
      <c r="AJ52" s="73"/>
      <c r="AK52" s="73"/>
      <c r="AL52" s="73"/>
      <c r="AM52" s="73"/>
      <c r="AN52" s="73"/>
      <c r="AO52" s="73"/>
      <c r="AP52" s="73"/>
      <c r="AQ52" s="73"/>
      <c r="AR52" s="65"/>
      <c r="AS52" s="65"/>
    </row>
    <row r="53" spans="1:63" ht="13.5" customHeight="1">
      <c r="A53" s="91"/>
      <c r="B53" s="22"/>
      <c r="C53" s="2631"/>
      <c r="D53" s="128" t="s">
        <v>1883</v>
      </c>
      <c r="E53" s="132"/>
      <c r="F53" s="129"/>
      <c r="G53" s="129"/>
      <c r="H53" s="129"/>
      <c r="I53" s="129"/>
      <c r="J53" s="129"/>
      <c r="K53" s="129"/>
      <c r="L53" s="129"/>
      <c r="M53" s="130"/>
      <c r="N53" s="73"/>
      <c r="O53" s="73"/>
      <c r="P53" s="73"/>
      <c r="Q53" s="73"/>
      <c r="R53" s="73"/>
      <c r="S53" s="73"/>
      <c r="T53" s="73"/>
      <c r="U53" s="73"/>
      <c r="V53" s="73"/>
      <c r="W53" s="73"/>
      <c r="X53" s="73"/>
      <c r="Y53" s="73"/>
      <c r="Z53" s="73"/>
      <c r="AA53" s="73"/>
      <c r="AB53" s="65"/>
      <c r="AC53" s="65"/>
      <c r="AD53" s="73"/>
      <c r="AE53" s="73"/>
      <c r="AF53" s="73"/>
      <c r="AG53" s="73"/>
      <c r="AH53" s="73"/>
      <c r="AI53" s="73"/>
      <c r="AJ53" s="73"/>
      <c r="AK53" s="73"/>
      <c r="AL53" s="73"/>
      <c r="AM53" s="73"/>
      <c r="AN53" s="73"/>
      <c r="AO53" s="73"/>
      <c r="AP53" s="73"/>
      <c r="AQ53" s="73"/>
      <c r="AR53" s="65"/>
      <c r="AS53" s="65"/>
    </row>
    <row r="54" spans="1:63" ht="13.5" customHeight="1">
      <c r="A54" s="91"/>
      <c r="B54" s="22"/>
      <c r="C54" s="2631"/>
      <c r="D54" s="128" t="s">
        <v>1891</v>
      </c>
      <c r="E54" s="132"/>
      <c r="F54" s="129"/>
      <c r="G54" s="129"/>
      <c r="H54" s="129"/>
      <c r="I54" s="129"/>
      <c r="J54" s="129"/>
      <c r="K54" s="129"/>
      <c r="L54" s="129"/>
      <c r="M54" s="130"/>
      <c r="N54" s="73"/>
      <c r="O54" s="73"/>
      <c r="P54" s="73"/>
      <c r="Q54" s="73"/>
      <c r="R54" s="73"/>
      <c r="S54" s="73"/>
      <c r="T54" s="73"/>
      <c r="U54" s="73"/>
      <c r="V54" s="73"/>
      <c r="W54" s="73"/>
      <c r="X54" s="73"/>
      <c r="Y54" s="73"/>
      <c r="Z54" s="73"/>
      <c r="AA54" s="73"/>
      <c r="AB54" s="65"/>
      <c r="AC54" s="65"/>
      <c r="AD54" s="73"/>
      <c r="AE54" s="73"/>
      <c r="AF54" s="73"/>
      <c r="AG54" s="73"/>
      <c r="AH54" s="73"/>
      <c r="AI54" s="73"/>
      <c r="AJ54" s="73"/>
      <c r="AK54" s="73"/>
      <c r="AL54" s="73"/>
      <c r="AM54" s="73"/>
      <c r="AN54" s="73"/>
      <c r="AO54" s="73"/>
      <c r="AP54" s="73"/>
      <c r="AQ54" s="73"/>
      <c r="AR54" s="65"/>
      <c r="AS54" s="65"/>
    </row>
    <row r="55" spans="1:63" ht="13.5" customHeight="1">
      <c r="A55" s="91"/>
      <c r="B55" s="22"/>
      <c r="C55" s="2631"/>
      <c r="D55" s="128" t="s">
        <v>1884</v>
      </c>
      <c r="E55" s="132"/>
      <c r="F55" s="129"/>
      <c r="G55" s="129"/>
      <c r="H55" s="129"/>
      <c r="I55" s="129"/>
      <c r="J55" s="129"/>
      <c r="K55" s="129"/>
      <c r="L55" s="129"/>
      <c r="M55" s="130"/>
      <c r="N55" s="73"/>
      <c r="O55" s="73"/>
      <c r="P55" s="73"/>
      <c r="Q55" s="73"/>
      <c r="R55" s="73"/>
      <c r="S55" s="73"/>
      <c r="T55" s="73"/>
      <c r="U55" s="73"/>
      <c r="V55" s="73"/>
      <c r="W55" s="73"/>
      <c r="X55" s="73"/>
      <c r="Y55" s="73"/>
      <c r="Z55" s="73"/>
      <c r="AA55" s="73"/>
      <c r="AB55" s="65"/>
      <c r="AC55" s="65"/>
      <c r="AD55" s="73"/>
      <c r="AE55" s="73"/>
      <c r="AF55" s="73"/>
      <c r="AG55" s="73"/>
      <c r="AH55" s="73"/>
      <c r="AI55" s="73"/>
      <c r="AJ55" s="73"/>
      <c r="AK55" s="73"/>
      <c r="AL55" s="73"/>
      <c r="AM55" s="73"/>
      <c r="AN55" s="73"/>
      <c r="AO55" s="73"/>
      <c r="AP55" s="73"/>
      <c r="AQ55" s="73"/>
      <c r="AR55" s="65"/>
      <c r="AS55" s="65"/>
    </row>
    <row r="56" spans="1:63" ht="13.5" customHeight="1">
      <c r="A56" s="91"/>
      <c r="B56" s="22"/>
      <c r="C56" s="2631"/>
      <c r="D56" s="129" t="s">
        <v>1895</v>
      </c>
      <c r="E56" s="132"/>
      <c r="F56" s="129"/>
      <c r="G56" s="129"/>
      <c r="H56" s="129"/>
      <c r="I56" s="129"/>
      <c r="J56" s="129"/>
      <c r="K56" s="129"/>
      <c r="L56" s="129"/>
      <c r="M56" s="130"/>
      <c r="N56" s="73"/>
      <c r="O56" s="73"/>
      <c r="P56" s="73"/>
      <c r="Q56" s="73"/>
      <c r="R56" s="73"/>
      <c r="S56" s="73"/>
      <c r="T56" s="73"/>
      <c r="U56" s="73"/>
      <c r="V56" s="73"/>
      <c r="W56" s="73"/>
      <c r="X56" s="73"/>
      <c r="Y56" s="73"/>
      <c r="Z56" s="73"/>
      <c r="AA56" s="73"/>
      <c r="AB56" s="65"/>
      <c r="AC56" s="65"/>
      <c r="AD56" s="73"/>
      <c r="AE56" s="73"/>
      <c r="AF56" s="73"/>
      <c r="AG56" s="73"/>
      <c r="AH56" s="73"/>
      <c r="AI56" s="73"/>
      <c r="AJ56" s="73"/>
      <c r="AK56" s="73"/>
      <c r="AL56" s="73"/>
      <c r="AM56" s="73"/>
      <c r="AN56" s="73"/>
      <c r="AO56" s="73"/>
      <c r="AP56" s="73"/>
      <c r="AQ56" s="73"/>
      <c r="AR56" s="65"/>
      <c r="AS56" s="65"/>
    </row>
    <row r="57" spans="1:63" ht="13.5" customHeight="1">
      <c r="A57" s="91"/>
      <c r="B57" s="22"/>
      <c r="C57" s="2631"/>
      <c r="D57" s="129" t="s">
        <v>1898</v>
      </c>
      <c r="E57" s="132"/>
      <c r="F57" s="129"/>
      <c r="G57" s="129"/>
      <c r="H57" s="129"/>
      <c r="I57" s="129"/>
      <c r="J57" s="129"/>
      <c r="K57" s="129"/>
      <c r="L57" s="129"/>
      <c r="M57" s="130"/>
      <c r="N57" s="73"/>
      <c r="O57" s="73"/>
      <c r="P57" s="73"/>
      <c r="Q57" s="73"/>
      <c r="R57" s="73"/>
      <c r="S57" s="73"/>
      <c r="T57" s="73"/>
      <c r="U57" s="73"/>
      <c r="V57" s="73"/>
      <c r="W57" s="73"/>
      <c r="X57" s="73"/>
      <c r="Y57" s="73"/>
      <c r="Z57" s="73"/>
      <c r="AA57" s="73"/>
      <c r="AB57" s="65"/>
      <c r="AC57" s="65"/>
      <c r="AD57" s="73"/>
      <c r="AE57" s="73"/>
      <c r="AF57" s="73"/>
      <c r="AG57" s="73"/>
      <c r="AH57" s="73"/>
      <c r="AI57" s="73"/>
      <c r="AJ57" s="73"/>
      <c r="AK57" s="73"/>
      <c r="AL57" s="73"/>
      <c r="AM57" s="73"/>
      <c r="AN57" s="73"/>
      <c r="AO57" s="73"/>
      <c r="AP57" s="73"/>
      <c r="AQ57" s="73"/>
      <c r="AR57" s="65"/>
      <c r="AS57" s="65"/>
    </row>
    <row r="58" spans="1:63" ht="13.5" customHeight="1">
      <c r="A58" s="91"/>
      <c r="B58" s="24"/>
      <c r="C58" s="2631"/>
      <c r="D58" s="129" t="s">
        <v>1908</v>
      </c>
      <c r="E58" s="132"/>
      <c r="F58" s="129"/>
      <c r="G58" s="129"/>
      <c r="H58" s="129"/>
      <c r="I58" s="129"/>
      <c r="J58" s="129"/>
      <c r="K58" s="129"/>
      <c r="L58" s="129"/>
      <c r="M58" s="130"/>
      <c r="N58" s="73"/>
      <c r="O58" s="73"/>
      <c r="P58" s="73"/>
      <c r="Q58" s="73"/>
      <c r="R58" s="73"/>
      <c r="S58" s="73"/>
      <c r="T58" s="73"/>
      <c r="U58" s="73"/>
      <c r="V58" s="73"/>
      <c r="W58" s="73"/>
      <c r="X58" s="73"/>
      <c r="Y58" s="73"/>
      <c r="Z58" s="73"/>
      <c r="AA58" s="73"/>
      <c r="AB58" s="65"/>
      <c r="AC58" s="65"/>
      <c r="AD58" s="73"/>
      <c r="AE58" s="73"/>
      <c r="AF58" s="73"/>
      <c r="AG58" s="73"/>
      <c r="AH58" s="73"/>
      <c r="AI58" s="73"/>
      <c r="AJ58" s="73"/>
      <c r="AK58" s="73"/>
      <c r="AL58" s="73"/>
      <c r="AM58" s="73"/>
      <c r="AN58" s="73"/>
      <c r="AO58" s="73"/>
      <c r="AP58" s="73"/>
      <c r="AQ58" s="73"/>
      <c r="AR58" s="65"/>
      <c r="AS58" s="65"/>
    </row>
    <row r="59" spans="1:63" ht="13.5" customHeight="1">
      <c r="A59" s="91" t="s">
        <v>1910</v>
      </c>
      <c r="B59" s="242"/>
      <c r="C59" s="3104">
        <v>42795</v>
      </c>
      <c r="D59" s="3033" t="s">
        <v>1913</v>
      </c>
      <c r="E59" s="2498"/>
      <c r="F59" s="2498"/>
      <c r="G59" s="2498"/>
      <c r="H59" s="2498"/>
      <c r="I59" s="2498"/>
      <c r="J59" s="2498"/>
      <c r="K59" s="2498"/>
      <c r="L59" s="2498"/>
      <c r="M59" s="2499"/>
      <c r="N59" s="73"/>
      <c r="O59" s="73"/>
      <c r="P59" s="73"/>
      <c r="Q59" s="73"/>
      <c r="R59" s="73"/>
      <c r="S59" s="73"/>
      <c r="T59" s="73"/>
      <c r="U59" s="73"/>
      <c r="V59" s="73"/>
      <c r="W59" s="73"/>
      <c r="X59" s="73"/>
      <c r="Y59" s="73"/>
      <c r="Z59" s="73"/>
      <c r="AA59" s="73"/>
      <c r="AB59" s="65"/>
      <c r="AC59" s="65"/>
      <c r="AD59" s="73"/>
      <c r="AE59" s="73"/>
      <c r="AF59" s="73"/>
      <c r="AG59" s="73"/>
      <c r="AH59" s="73"/>
      <c r="AI59" s="73"/>
      <c r="AJ59" s="73"/>
      <c r="AK59" s="73"/>
      <c r="AL59" s="73"/>
      <c r="AM59" s="73"/>
      <c r="AN59" s="73"/>
      <c r="AO59" s="73"/>
      <c r="AP59" s="73"/>
      <c r="AQ59" s="73"/>
      <c r="AR59" s="65"/>
      <c r="AS59" s="65"/>
    </row>
    <row r="60" spans="1:63" ht="13.5" customHeight="1">
      <c r="A60" s="91"/>
      <c r="B60" s="242"/>
      <c r="C60" s="3104"/>
      <c r="D60" s="3033" t="s">
        <v>1914</v>
      </c>
      <c r="E60" s="2498"/>
      <c r="F60" s="2498"/>
      <c r="G60" s="2498"/>
      <c r="H60" s="2498"/>
      <c r="I60" s="2498"/>
      <c r="J60" s="2498"/>
      <c r="K60" s="2498"/>
      <c r="L60" s="2498"/>
      <c r="M60" s="2499"/>
      <c r="N60" s="73"/>
      <c r="O60" s="73"/>
      <c r="P60" s="73"/>
      <c r="Q60" s="73"/>
      <c r="R60" s="73"/>
      <c r="S60" s="73"/>
      <c r="T60" s="73"/>
      <c r="U60" s="73"/>
      <c r="V60" s="73"/>
      <c r="W60" s="73"/>
      <c r="X60" s="73"/>
      <c r="Y60" s="73"/>
      <c r="Z60" s="73"/>
      <c r="AA60" s="73"/>
      <c r="AB60" s="65"/>
      <c r="AC60" s="65"/>
      <c r="AD60" s="73"/>
      <c r="AE60" s="73"/>
      <c r="AF60" s="73"/>
      <c r="AG60" s="73"/>
      <c r="AH60" s="73"/>
      <c r="AI60" s="73"/>
      <c r="AJ60" s="73"/>
      <c r="AK60" s="73"/>
      <c r="AL60" s="73"/>
      <c r="AM60" s="73"/>
      <c r="AN60" s="73"/>
      <c r="AO60" s="73"/>
      <c r="AP60" s="73"/>
      <c r="AQ60" s="73"/>
      <c r="AR60" s="65"/>
      <c r="AS60" s="65"/>
    </row>
    <row r="61" spans="1:63" ht="13.5" customHeight="1">
      <c r="A61" s="91"/>
      <c r="B61" s="242"/>
      <c r="C61" s="3104"/>
      <c r="D61" s="3033" t="s">
        <v>1918</v>
      </c>
      <c r="E61" s="2498"/>
      <c r="F61" s="2498"/>
      <c r="G61" s="2498"/>
      <c r="H61" s="2498"/>
      <c r="I61" s="2498"/>
      <c r="J61" s="2498"/>
      <c r="K61" s="2498"/>
      <c r="L61" s="2498"/>
      <c r="M61" s="2499"/>
      <c r="N61" s="73"/>
      <c r="O61" s="73"/>
      <c r="P61" s="73"/>
      <c r="Q61" s="73"/>
      <c r="R61" s="73"/>
      <c r="S61" s="73"/>
      <c r="T61" s="73"/>
      <c r="U61" s="73"/>
      <c r="V61" s="73"/>
      <c r="W61" s="73"/>
      <c r="X61" s="73"/>
      <c r="Y61" s="73"/>
      <c r="Z61" s="73"/>
      <c r="AA61" s="73"/>
      <c r="AB61" s="65"/>
      <c r="AC61" s="65"/>
      <c r="AD61" s="73"/>
      <c r="AE61" s="73"/>
      <c r="AF61" s="73"/>
      <c r="AG61" s="73"/>
      <c r="AH61" s="73"/>
      <c r="AI61" s="73"/>
      <c r="AJ61" s="73"/>
      <c r="AK61" s="73"/>
      <c r="AL61" s="73"/>
      <c r="AM61" s="73"/>
      <c r="AN61" s="73"/>
      <c r="AO61" s="73"/>
      <c r="AP61" s="73"/>
      <c r="AQ61" s="73"/>
      <c r="AR61" s="65"/>
      <c r="AS61" s="65"/>
    </row>
    <row r="62" spans="1:63" ht="13.5" customHeight="1">
      <c r="A62" s="91"/>
      <c r="B62" s="242"/>
      <c r="C62" s="3104"/>
      <c r="D62" s="3033" t="s">
        <v>1921</v>
      </c>
      <c r="E62" s="2498"/>
      <c r="F62" s="2498"/>
      <c r="G62" s="2498"/>
      <c r="H62" s="2498"/>
      <c r="I62" s="2498"/>
      <c r="J62" s="2498"/>
      <c r="K62" s="2498"/>
      <c r="L62" s="2498"/>
      <c r="M62" s="2499"/>
      <c r="N62" s="73"/>
      <c r="O62" s="73"/>
      <c r="P62" s="73"/>
      <c r="Q62" s="73"/>
      <c r="R62" s="73"/>
      <c r="S62" s="73"/>
      <c r="T62" s="73"/>
      <c r="U62" s="73"/>
      <c r="V62" s="73"/>
      <c r="W62" s="73"/>
      <c r="X62" s="73"/>
      <c r="Y62" s="73"/>
      <c r="Z62" s="73"/>
      <c r="AA62" s="73"/>
      <c r="AB62" s="65"/>
      <c r="AC62" s="65"/>
      <c r="AD62" s="73"/>
      <c r="AE62" s="73"/>
      <c r="AF62" s="73"/>
      <c r="AG62" s="73"/>
      <c r="AH62" s="73"/>
      <c r="AI62" s="73"/>
      <c r="AJ62" s="73"/>
      <c r="AK62" s="73"/>
      <c r="AL62" s="73"/>
      <c r="AM62" s="73"/>
      <c r="AN62" s="73"/>
      <c r="AO62" s="73"/>
      <c r="AP62" s="73"/>
      <c r="AQ62" s="73"/>
      <c r="AR62" s="65"/>
      <c r="AS62" s="65"/>
    </row>
    <row r="63" spans="1:63" s="22" customFormat="1" ht="13.5" customHeight="1">
      <c r="A63" s="91" t="s">
        <v>1920</v>
      </c>
      <c r="C63" s="3104">
        <v>42552</v>
      </c>
      <c r="D63" s="2555" t="s">
        <v>1760</v>
      </c>
      <c r="E63" s="132"/>
      <c r="F63" s="132"/>
      <c r="G63" s="132"/>
      <c r="H63" s="132"/>
      <c r="I63" s="132"/>
      <c r="J63" s="132"/>
      <c r="K63" s="132"/>
      <c r="L63" s="132"/>
      <c r="M63" s="133"/>
      <c r="N63" s="80"/>
      <c r="O63" s="80"/>
      <c r="P63" s="80"/>
      <c r="Q63" s="80"/>
      <c r="R63" s="80"/>
      <c r="S63" s="80"/>
      <c r="T63" s="80"/>
      <c r="U63" s="80"/>
      <c r="V63" s="80"/>
      <c r="W63" s="80"/>
      <c r="X63" s="80"/>
      <c r="Y63" s="80"/>
      <c r="Z63" s="80"/>
      <c r="AA63" s="80"/>
      <c r="AB63" s="119"/>
      <c r="AC63" s="119"/>
      <c r="AD63" s="80"/>
      <c r="AE63" s="80"/>
      <c r="AF63" s="80"/>
      <c r="AG63" s="80"/>
      <c r="AH63" s="80"/>
      <c r="AI63" s="80"/>
      <c r="AJ63" s="80"/>
      <c r="AK63" s="80"/>
      <c r="AL63" s="80"/>
      <c r="AM63" s="80"/>
      <c r="AN63" s="80"/>
      <c r="AO63" s="80"/>
      <c r="AP63" s="80"/>
      <c r="AQ63" s="80"/>
      <c r="AR63" s="119"/>
      <c r="AS63" s="119"/>
      <c r="AT63" s="29"/>
      <c r="AU63" s="29"/>
      <c r="AV63" s="29"/>
      <c r="AW63" s="29"/>
      <c r="AX63" s="29"/>
      <c r="AY63" s="29"/>
      <c r="AZ63" s="29"/>
      <c r="BA63" s="29"/>
      <c r="BB63" s="29"/>
      <c r="BC63" s="29"/>
      <c r="BD63" s="29"/>
      <c r="BE63" s="29"/>
      <c r="BF63" s="29"/>
      <c r="BG63" s="29"/>
      <c r="BH63" s="29"/>
      <c r="BI63" s="29"/>
      <c r="BJ63" s="29"/>
      <c r="BK63" s="29"/>
    </row>
    <row r="64" spans="1:63" s="22" customFormat="1" ht="13.5" customHeight="1">
      <c r="A64" s="91"/>
      <c r="C64" s="3104">
        <v>42552</v>
      </c>
      <c r="D64" s="128" t="s">
        <v>1762</v>
      </c>
      <c r="E64" s="132"/>
      <c r="F64" s="132"/>
      <c r="G64" s="132"/>
      <c r="H64" s="132"/>
      <c r="I64" s="132"/>
      <c r="J64" s="132"/>
      <c r="K64" s="132"/>
      <c r="L64" s="132"/>
      <c r="M64" s="133"/>
      <c r="N64" s="80"/>
      <c r="O64" s="80"/>
      <c r="P64" s="80"/>
      <c r="Q64" s="80"/>
      <c r="R64" s="80"/>
      <c r="S64" s="80"/>
      <c r="T64" s="80"/>
      <c r="U64" s="80"/>
      <c r="V64" s="80"/>
      <c r="W64" s="80"/>
      <c r="X64" s="80"/>
      <c r="Y64" s="80"/>
      <c r="Z64" s="80"/>
      <c r="AA64" s="80"/>
      <c r="AB64" s="119"/>
      <c r="AC64" s="119"/>
      <c r="AD64" s="80"/>
      <c r="AE64" s="80"/>
      <c r="AF64" s="80"/>
      <c r="AG64" s="80"/>
      <c r="AH64" s="80"/>
      <c r="AI64" s="80"/>
      <c r="AJ64" s="80"/>
      <c r="AK64" s="80"/>
      <c r="AL64" s="80"/>
      <c r="AM64" s="80"/>
      <c r="AN64" s="80"/>
      <c r="AO64" s="80"/>
      <c r="AP64" s="80"/>
      <c r="AQ64" s="80"/>
      <c r="AR64" s="119"/>
      <c r="AS64" s="119"/>
      <c r="AT64" s="29"/>
      <c r="AU64" s="29"/>
      <c r="AV64" s="29"/>
      <c r="AW64" s="29"/>
      <c r="AX64" s="29"/>
      <c r="AY64" s="29"/>
      <c r="AZ64" s="29"/>
      <c r="BA64" s="29"/>
      <c r="BB64" s="29"/>
      <c r="BC64" s="29"/>
      <c r="BD64" s="29"/>
      <c r="BE64" s="29"/>
      <c r="BF64" s="29"/>
      <c r="BG64" s="29"/>
      <c r="BH64" s="29"/>
      <c r="BI64" s="29"/>
      <c r="BJ64" s="29"/>
      <c r="BK64" s="29"/>
    </row>
    <row r="65" spans="1:63" s="22" customFormat="1" ht="13.5" customHeight="1">
      <c r="A65" s="91"/>
      <c r="C65" s="3104">
        <v>42552</v>
      </c>
      <c r="D65" s="128" t="s">
        <v>1761</v>
      </c>
      <c r="E65" s="132"/>
      <c r="F65" s="132"/>
      <c r="G65" s="132"/>
      <c r="H65" s="132"/>
      <c r="I65" s="132"/>
      <c r="J65" s="132"/>
      <c r="K65" s="132"/>
      <c r="L65" s="132"/>
      <c r="M65" s="133"/>
      <c r="N65" s="80"/>
      <c r="O65" s="80"/>
      <c r="P65" s="80"/>
      <c r="Q65" s="80"/>
      <c r="R65" s="80"/>
      <c r="S65" s="80"/>
      <c r="T65" s="80"/>
      <c r="U65" s="80"/>
      <c r="V65" s="80"/>
      <c r="W65" s="80"/>
      <c r="X65" s="80"/>
      <c r="Y65" s="80"/>
      <c r="Z65" s="80"/>
      <c r="AA65" s="80"/>
      <c r="AB65" s="119"/>
      <c r="AC65" s="119"/>
      <c r="AD65" s="80"/>
      <c r="AE65" s="80"/>
      <c r="AF65" s="80"/>
      <c r="AG65" s="80"/>
      <c r="AH65" s="80"/>
      <c r="AI65" s="80"/>
      <c r="AJ65" s="80"/>
      <c r="AK65" s="80"/>
      <c r="AL65" s="80"/>
      <c r="AM65" s="80"/>
      <c r="AN65" s="80"/>
      <c r="AO65" s="80"/>
      <c r="AP65" s="80"/>
      <c r="AQ65" s="80"/>
      <c r="AR65" s="119"/>
      <c r="AS65" s="119"/>
      <c r="AT65" s="29"/>
      <c r="AU65" s="29"/>
      <c r="AV65" s="29"/>
      <c r="AW65" s="29"/>
      <c r="AX65" s="29"/>
      <c r="AY65" s="29"/>
      <c r="AZ65" s="29"/>
      <c r="BA65" s="29"/>
      <c r="BB65" s="29"/>
      <c r="BC65" s="29"/>
      <c r="BD65" s="29"/>
      <c r="BE65" s="29"/>
      <c r="BF65" s="29"/>
      <c r="BG65" s="29"/>
      <c r="BH65" s="29"/>
      <c r="BI65" s="29"/>
      <c r="BJ65" s="29"/>
      <c r="BK65" s="29"/>
    </row>
    <row r="66" spans="1:63" s="22" customFormat="1" ht="13.5" customHeight="1">
      <c r="A66" s="91"/>
      <c r="C66" s="3104">
        <v>42552</v>
      </c>
      <c r="D66" s="2555" t="s">
        <v>1788</v>
      </c>
      <c r="E66" s="132"/>
      <c r="F66" s="132"/>
      <c r="G66" s="132"/>
      <c r="H66" s="132"/>
      <c r="I66" s="132"/>
      <c r="J66" s="132"/>
      <c r="K66" s="132"/>
      <c r="L66" s="132"/>
      <c r="M66" s="133"/>
      <c r="N66" s="80"/>
      <c r="O66" s="80"/>
      <c r="P66" s="80"/>
      <c r="Q66" s="80"/>
      <c r="R66" s="80"/>
      <c r="S66" s="80"/>
      <c r="T66" s="80"/>
      <c r="U66" s="80"/>
      <c r="V66" s="80"/>
      <c r="W66" s="80"/>
      <c r="X66" s="80"/>
      <c r="Y66" s="80"/>
      <c r="Z66" s="80"/>
      <c r="AA66" s="80"/>
      <c r="AB66" s="119"/>
      <c r="AC66" s="119"/>
      <c r="AD66" s="80"/>
      <c r="AE66" s="80"/>
      <c r="AF66" s="80"/>
      <c r="AG66" s="80"/>
      <c r="AH66" s="80"/>
      <c r="AI66" s="80"/>
      <c r="AJ66" s="80"/>
      <c r="AK66" s="80"/>
      <c r="AL66" s="80"/>
      <c r="AM66" s="80"/>
      <c r="AN66" s="80"/>
      <c r="AO66" s="80"/>
      <c r="AP66" s="80"/>
      <c r="AQ66" s="80"/>
      <c r="AR66" s="119"/>
      <c r="AS66" s="119"/>
      <c r="AT66" s="29"/>
      <c r="AU66" s="29"/>
      <c r="AV66" s="29"/>
      <c r="AW66" s="29"/>
      <c r="AX66" s="29"/>
      <c r="AY66" s="29"/>
      <c r="AZ66" s="29"/>
      <c r="BA66" s="29"/>
      <c r="BB66" s="29"/>
      <c r="BC66" s="29"/>
      <c r="BD66" s="29"/>
      <c r="BE66" s="29"/>
      <c r="BF66" s="29"/>
      <c r="BG66" s="29"/>
      <c r="BH66" s="29"/>
      <c r="BI66" s="29"/>
      <c r="BJ66" s="29"/>
      <c r="BK66" s="29"/>
    </row>
    <row r="67" spans="1:63" ht="13.5" customHeight="1">
      <c r="A67" s="90"/>
      <c r="B67" s="82"/>
      <c r="C67" s="3104">
        <v>42552</v>
      </c>
      <c r="D67" s="128" t="s">
        <v>1767</v>
      </c>
      <c r="E67" s="129"/>
      <c r="F67" s="129"/>
      <c r="G67" s="129"/>
      <c r="H67" s="129"/>
      <c r="I67" s="129"/>
      <c r="J67" s="129"/>
      <c r="K67"/>
      <c r="L67"/>
      <c r="M67" s="2904"/>
      <c r="N67" s="73"/>
      <c r="O67" s="73"/>
      <c r="P67" s="73"/>
      <c r="Q67" s="73"/>
      <c r="R67" s="73"/>
      <c r="S67" s="73"/>
      <c r="T67" s="73"/>
      <c r="U67" s="73"/>
      <c r="V67" s="73"/>
      <c r="W67" s="73"/>
      <c r="X67" s="73"/>
      <c r="Y67" s="73"/>
      <c r="Z67" s="73"/>
      <c r="AA67" s="73"/>
      <c r="AB67" s="65"/>
      <c r="AC67" s="65"/>
      <c r="AD67" s="73"/>
      <c r="AE67" s="73"/>
      <c r="AF67" s="73"/>
      <c r="AG67" s="73"/>
      <c r="AH67" s="73"/>
      <c r="AI67" s="73"/>
      <c r="AJ67" s="73"/>
      <c r="AK67" s="73"/>
      <c r="AL67" s="73"/>
      <c r="AM67" s="73"/>
      <c r="AN67" s="73"/>
      <c r="AO67" s="73"/>
      <c r="AP67" s="73"/>
      <c r="AQ67" s="73"/>
      <c r="AR67" s="65"/>
      <c r="AS67" s="65"/>
    </row>
    <row r="68" spans="1:63" ht="13.5" customHeight="1">
      <c r="A68" s="2560" t="s">
        <v>1763</v>
      </c>
      <c r="B68" s="45"/>
      <c r="C68" s="144">
        <v>42268</v>
      </c>
      <c r="D68" s="128" t="s">
        <v>1705</v>
      </c>
      <c r="E68" s="132"/>
      <c r="F68" s="132"/>
      <c r="G68" s="132"/>
      <c r="H68" s="132"/>
      <c r="I68" s="132"/>
      <c r="J68" s="132"/>
      <c r="K68" s="129"/>
      <c r="L68" s="129"/>
      <c r="M68" s="130"/>
      <c r="N68" s="73"/>
      <c r="O68" s="73"/>
      <c r="P68" s="73"/>
      <c r="Q68" s="73"/>
      <c r="R68" s="73"/>
      <c r="S68" s="73"/>
      <c r="T68" s="73"/>
      <c r="U68" s="73"/>
      <c r="V68" s="73"/>
      <c r="W68" s="73"/>
      <c r="X68" s="73"/>
      <c r="Y68" s="73"/>
      <c r="Z68" s="73"/>
      <c r="AA68" s="73"/>
      <c r="AB68" s="65"/>
      <c r="AC68" s="65"/>
      <c r="AD68" s="73"/>
      <c r="AE68" s="73"/>
      <c r="AF68" s="73"/>
      <c r="AG68" s="73"/>
      <c r="AH68" s="73"/>
      <c r="AI68" s="73"/>
      <c r="AJ68" s="73"/>
      <c r="AK68" s="73"/>
      <c r="AL68" s="73"/>
      <c r="AM68" s="73"/>
      <c r="AN68" s="73"/>
      <c r="AO68" s="73"/>
      <c r="AP68" s="73"/>
      <c r="AQ68" s="73"/>
      <c r="AR68" s="65"/>
      <c r="AS68" s="65"/>
    </row>
    <row r="69" spans="1:63" ht="13.5" customHeight="1">
      <c r="A69" s="90"/>
      <c r="B69" s="45"/>
      <c r="C69" s="144">
        <v>42268</v>
      </c>
      <c r="D69" s="128" t="s">
        <v>1723</v>
      </c>
      <c r="E69" s="132"/>
      <c r="F69" s="132"/>
      <c r="G69" s="132"/>
      <c r="H69" s="132"/>
      <c r="I69" s="132"/>
      <c r="J69" s="132"/>
      <c r="K69" s="129"/>
      <c r="L69" s="129"/>
      <c r="M69" s="130"/>
      <c r="N69" s="73"/>
      <c r="O69" s="73"/>
      <c r="P69" s="73"/>
      <c r="Q69" s="73"/>
      <c r="R69" s="73"/>
      <c r="S69" s="73"/>
      <c r="T69" s="73"/>
      <c r="U69" s="73"/>
      <c r="V69" s="73"/>
      <c r="W69" s="73"/>
      <c r="X69" s="73"/>
      <c r="Y69" s="73"/>
      <c r="Z69" s="73"/>
      <c r="AA69" s="73"/>
      <c r="AB69" s="65"/>
      <c r="AC69" s="65"/>
      <c r="AD69" s="73"/>
      <c r="AE69" s="73"/>
      <c r="AF69" s="73"/>
      <c r="AG69" s="73"/>
      <c r="AH69" s="73"/>
      <c r="AI69" s="73"/>
      <c r="AJ69" s="73"/>
      <c r="AK69" s="73"/>
      <c r="AL69" s="73"/>
      <c r="AM69" s="73"/>
      <c r="AN69" s="73"/>
      <c r="AO69" s="73"/>
      <c r="AP69" s="73"/>
      <c r="AQ69" s="73"/>
      <c r="AR69" s="65"/>
      <c r="AS69" s="65"/>
    </row>
    <row r="70" spans="1:63" ht="13.5" customHeight="1">
      <c r="A70" s="90"/>
      <c r="B70" s="45"/>
      <c r="C70" s="144">
        <v>42268</v>
      </c>
      <c r="D70" s="128" t="s">
        <v>1743</v>
      </c>
      <c r="E70" s="132"/>
      <c r="F70" s="132"/>
      <c r="G70" s="132"/>
      <c r="H70" s="132"/>
      <c r="I70" s="132"/>
      <c r="J70" s="132"/>
      <c r="K70" s="129"/>
      <c r="L70" s="129"/>
      <c r="M70" s="130"/>
      <c r="N70" s="73"/>
      <c r="O70" s="73"/>
      <c r="P70" s="73"/>
      <c r="Q70" s="73"/>
      <c r="R70" s="73"/>
      <c r="S70" s="73"/>
      <c r="T70" s="73"/>
      <c r="U70" s="73"/>
      <c r="V70" s="73"/>
      <c r="W70" s="73"/>
      <c r="X70" s="73"/>
      <c r="Y70" s="73"/>
      <c r="Z70" s="73"/>
      <c r="AA70" s="73"/>
      <c r="AB70" s="65"/>
      <c r="AC70" s="65"/>
      <c r="AD70" s="73"/>
      <c r="AE70" s="73"/>
      <c r="AF70" s="73"/>
      <c r="AG70" s="73"/>
      <c r="AH70" s="73"/>
      <c r="AI70" s="73"/>
      <c r="AJ70" s="73"/>
      <c r="AK70" s="73"/>
      <c r="AL70" s="73"/>
      <c r="AM70" s="73"/>
      <c r="AN70" s="73"/>
      <c r="AO70" s="73"/>
      <c r="AP70" s="73"/>
      <c r="AQ70" s="73"/>
      <c r="AR70" s="65"/>
      <c r="AS70" s="65"/>
    </row>
    <row r="71" spans="1:63" ht="13.5" customHeight="1">
      <c r="A71" s="90"/>
      <c r="B71" s="45"/>
      <c r="C71" s="144">
        <v>42268</v>
      </c>
      <c r="D71" s="128" t="s">
        <v>1749</v>
      </c>
      <c r="E71" s="132"/>
      <c r="F71" s="132"/>
      <c r="G71" s="132"/>
      <c r="H71" s="132"/>
      <c r="I71" s="132"/>
      <c r="J71" s="132"/>
      <c r="K71" s="129"/>
      <c r="L71" s="129"/>
      <c r="M71" s="130"/>
      <c r="N71" s="73"/>
      <c r="O71" s="73"/>
      <c r="P71" s="73"/>
      <c r="Q71" s="73"/>
      <c r="R71" s="73"/>
      <c r="S71" s="73"/>
      <c r="T71" s="73"/>
      <c r="U71" s="73"/>
      <c r="V71" s="73"/>
      <c r="W71" s="73"/>
      <c r="X71" s="73"/>
      <c r="Y71" s="73"/>
      <c r="Z71" s="73"/>
      <c r="AA71" s="73"/>
      <c r="AB71" s="65"/>
      <c r="AC71" s="65"/>
      <c r="AD71" s="73"/>
      <c r="AE71" s="73"/>
      <c r="AF71" s="73"/>
      <c r="AG71" s="73"/>
      <c r="AH71" s="73"/>
      <c r="AI71" s="73"/>
      <c r="AJ71" s="73"/>
      <c r="AK71" s="73"/>
      <c r="AL71" s="73"/>
      <c r="AM71" s="73"/>
      <c r="AN71" s="73"/>
      <c r="AO71" s="73"/>
      <c r="AP71" s="73"/>
      <c r="AQ71" s="73"/>
      <c r="AR71" s="65"/>
      <c r="AS71" s="65"/>
    </row>
    <row r="72" spans="1:63" ht="13.5" customHeight="1">
      <c r="A72" s="90"/>
      <c r="B72" s="42"/>
      <c r="C72" s="144">
        <v>42268</v>
      </c>
      <c r="D72" s="128" t="s">
        <v>1748</v>
      </c>
      <c r="E72" s="129"/>
      <c r="F72" s="129"/>
      <c r="G72" s="129"/>
      <c r="H72" s="129"/>
      <c r="I72" s="129"/>
      <c r="J72" s="129"/>
      <c r="K72" s="129"/>
      <c r="L72" s="129"/>
      <c r="M72" s="130"/>
      <c r="N72" s="73"/>
      <c r="O72" s="73"/>
      <c r="P72" s="73"/>
      <c r="Q72" s="73"/>
      <c r="R72" s="73"/>
      <c r="S72" s="73"/>
      <c r="T72" s="73"/>
      <c r="U72" s="73"/>
      <c r="V72" s="73"/>
      <c r="W72" s="73"/>
      <c r="X72" s="73"/>
      <c r="Y72" s="73"/>
      <c r="Z72" s="73"/>
      <c r="AA72" s="73"/>
      <c r="AB72" s="65"/>
      <c r="AC72" s="65"/>
      <c r="AD72" s="73"/>
      <c r="AE72" s="73"/>
      <c r="AF72" s="73"/>
      <c r="AG72" s="73"/>
      <c r="AH72" s="73"/>
      <c r="AI72" s="73"/>
      <c r="AJ72" s="73"/>
      <c r="AK72" s="73"/>
      <c r="AL72" s="73"/>
      <c r="AM72" s="73"/>
      <c r="AN72" s="73"/>
      <c r="AO72" s="73"/>
      <c r="AP72" s="73"/>
      <c r="AQ72" s="73"/>
      <c r="AR72" s="65"/>
      <c r="AS72" s="65"/>
    </row>
    <row r="73" spans="1:63" ht="13.5" customHeight="1">
      <c r="A73" s="90"/>
      <c r="B73" s="82"/>
      <c r="C73" s="144">
        <v>42268</v>
      </c>
      <c r="D73" s="129" t="s">
        <v>1745</v>
      </c>
      <c r="E73" s="129"/>
      <c r="F73" s="129"/>
      <c r="G73" s="129"/>
      <c r="H73" s="129"/>
      <c r="I73" s="129"/>
      <c r="J73" s="129"/>
      <c r="K73" s="129"/>
      <c r="L73" s="129"/>
      <c r="M73" s="130"/>
      <c r="N73" s="73"/>
      <c r="O73" s="73"/>
      <c r="P73" s="73"/>
      <c r="Q73" s="73"/>
      <c r="R73" s="73"/>
      <c r="S73" s="73"/>
      <c r="T73" s="73"/>
      <c r="U73" s="73"/>
      <c r="V73" s="73"/>
      <c r="W73" s="73"/>
      <c r="X73" s="73"/>
      <c r="Y73" s="73"/>
      <c r="Z73" s="73"/>
      <c r="AA73" s="73"/>
      <c r="AB73" s="65"/>
      <c r="AC73" s="65"/>
      <c r="AD73" s="73"/>
      <c r="AE73" s="73"/>
      <c r="AF73" s="73"/>
      <c r="AG73" s="73"/>
      <c r="AH73" s="73"/>
      <c r="AI73" s="73"/>
      <c r="AJ73" s="73"/>
      <c r="AK73" s="73"/>
      <c r="AL73" s="73"/>
      <c r="AM73" s="73"/>
      <c r="AN73" s="73"/>
      <c r="AO73" s="73"/>
      <c r="AP73" s="73"/>
      <c r="AQ73" s="73"/>
      <c r="AR73" s="65"/>
      <c r="AS73" s="65"/>
    </row>
    <row r="74" spans="1:63" ht="13.5" customHeight="1">
      <c r="A74" s="90"/>
      <c r="B74" s="82"/>
      <c r="C74" s="144">
        <v>42268</v>
      </c>
      <c r="D74" s="129" t="s">
        <v>1746</v>
      </c>
      <c r="E74" s="129"/>
      <c r="F74" s="129"/>
      <c r="G74" s="129"/>
      <c r="H74" s="129"/>
      <c r="I74" s="129"/>
      <c r="J74" s="129"/>
      <c r="K74" s="129"/>
      <c r="L74" s="129"/>
      <c r="M74" s="130"/>
      <c r="N74" s="73"/>
      <c r="O74" s="73"/>
      <c r="P74" s="73"/>
      <c r="Q74" s="73"/>
      <c r="R74" s="73"/>
      <c r="S74" s="73"/>
      <c r="T74" s="73"/>
      <c r="U74" s="73"/>
      <c r="V74" s="73"/>
      <c r="W74" s="73"/>
      <c r="X74" s="73"/>
      <c r="Y74" s="73"/>
      <c r="Z74" s="73"/>
      <c r="AA74" s="73"/>
      <c r="AB74" s="65"/>
      <c r="AC74" s="65"/>
      <c r="AD74" s="73"/>
      <c r="AE74" s="73"/>
      <c r="AF74" s="73"/>
      <c r="AG74" s="73"/>
      <c r="AH74" s="73"/>
      <c r="AI74" s="73"/>
      <c r="AJ74" s="73"/>
      <c r="AK74" s="73"/>
      <c r="AL74" s="73"/>
      <c r="AM74" s="73"/>
      <c r="AN74" s="73"/>
      <c r="AO74" s="73"/>
      <c r="AP74" s="73"/>
      <c r="AQ74" s="73"/>
      <c r="AR74" s="65"/>
      <c r="AS74" s="65"/>
    </row>
    <row r="75" spans="1:63" ht="13.5" customHeight="1">
      <c r="A75" s="90"/>
      <c r="B75" s="82"/>
      <c r="C75" s="144">
        <v>42269</v>
      </c>
      <c r="D75" s="129" t="s">
        <v>1747</v>
      </c>
      <c r="E75" s="129"/>
      <c r="F75" s="129"/>
      <c r="G75" s="129"/>
      <c r="H75" s="129"/>
      <c r="I75" s="129"/>
      <c r="J75" s="129"/>
      <c r="K75" s="129"/>
      <c r="L75" s="129"/>
      <c r="M75" s="130"/>
      <c r="N75" s="73"/>
      <c r="O75" s="73"/>
      <c r="P75" s="73"/>
      <c r="Q75" s="73"/>
      <c r="R75" s="73"/>
      <c r="S75" s="73"/>
      <c r="T75" s="73"/>
      <c r="U75" s="73"/>
      <c r="V75" s="73"/>
      <c r="W75" s="73"/>
      <c r="X75" s="73"/>
      <c r="Y75" s="73"/>
      <c r="Z75" s="73"/>
      <c r="AA75" s="73"/>
      <c r="AB75" s="65"/>
      <c r="AC75" s="65"/>
      <c r="AD75" s="73"/>
      <c r="AE75" s="73"/>
      <c r="AF75" s="73"/>
      <c r="AG75" s="73"/>
      <c r="AH75" s="73"/>
      <c r="AI75" s="73"/>
      <c r="AJ75" s="73"/>
      <c r="AK75" s="73"/>
      <c r="AL75" s="73"/>
      <c r="AM75" s="73"/>
      <c r="AN75" s="73"/>
      <c r="AO75" s="73"/>
      <c r="AP75" s="73"/>
      <c r="AQ75" s="73"/>
      <c r="AR75" s="65"/>
      <c r="AS75" s="65"/>
    </row>
    <row r="76" spans="1:63" ht="13.5" customHeight="1">
      <c r="A76" s="90"/>
      <c r="B76" s="82"/>
      <c r="C76" s="144">
        <v>42354</v>
      </c>
      <c r="D76" s="129" t="s">
        <v>1753</v>
      </c>
      <c r="E76" s="129"/>
      <c r="F76" s="129"/>
      <c r="G76" s="129"/>
      <c r="H76" s="129"/>
      <c r="I76" s="129"/>
      <c r="J76" s="129"/>
      <c r="K76" s="129"/>
      <c r="L76" s="129"/>
      <c r="M76" s="130"/>
      <c r="N76" s="73"/>
      <c r="O76" s="73"/>
      <c r="P76" s="73"/>
      <c r="Q76" s="73"/>
      <c r="R76" s="73"/>
      <c r="S76" s="73"/>
      <c r="T76" s="73"/>
      <c r="U76" s="73"/>
      <c r="V76" s="73"/>
      <c r="W76" s="73"/>
      <c r="X76" s="73"/>
      <c r="Y76" s="73"/>
      <c r="Z76" s="73"/>
      <c r="AA76" s="73"/>
      <c r="AB76" s="65"/>
      <c r="AC76" s="65"/>
      <c r="AD76" s="73"/>
      <c r="AE76" s="73"/>
      <c r="AF76" s="73"/>
      <c r="AG76" s="73"/>
      <c r="AH76" s="73"/>
      <c r="AI76" s="73"/>
      <c r="AJ76" s="73"/>
      <c r="AK76" s="73"/>
      <c r="AL76" s="73"/>
      <c r="AM76" s="73"/>
      <c r="AN76" s="73"/>
      <c r="AO76" s="73"/>
      <c r="AP76" s="73"/>
      <c r="AQ76" s="73"/>
      <c r="AR76" s="65"/>
      <c r="AS76" s="65"/>
    </row>
    <row r="77" spans="1:63" ht="13.5" customHeight="1">
      <c r="A77" s="90"/>
      <c r="B77" s="82"/>
      <c r="C77" s="144">
        <v>42355</v>
      </c>
      <c r="D77" s="129" t="s">
        <v>1754</v>
      </c>
      <c r="E77" s="129"/>
      <c r="F77" s="129"/>
      <c r="G77" s="129"/>
      <c r="H77" s="129"/>
      <c r="I77" s="129"/>
      <c r="J77" s="129"/>
      <c r="K77" s="129"/>
      <c r="L77" s="129"/>
      <c r="M77" s="130"/>
      <c r="N77" s="73"/>
      <c r="O77" s="73"/>
      <c r="P77" s="73"/>
      <c r="Q77" s="73"/>
      <c r="R77" s="73"/>
      <c r="S77" s="73"/>
      <c r="T77" s="73"/>
      <c r="U77" s="73"/>
      <c r="V77" s="73"/>
      <c r="W77" s="73"/>
      <c r="X77" s="73"/>
      <c r="Y77" s="73"/>
      <c r="Z77" s="73"/>
      <c r="AA77" s="73"/>
      <c r="AB77" s="65"/>
      <c r="AC77" s="65"/>
      <c r="AD77" s="73"/>
      <c r="AE77" s="73"/>
      <c r="AF77" s="73"/>
      <c r="AG77" s="73"/>
      <c r="AH77" s="73"/>
      <c r="AI77" s="73"/>
      <c r="AJ77" s="73"/>
      <c r="AK77" s="73"/>
      <c r="AL77" s="73"/>
      <c r="AM77" s="73"/>
      <c r="AN77" s="73"/>
      <c r="AO77" s="73"/>
      <c r="AP77" s="73"/>
      <c r="AQ77" s="73"/>
      <c r="AR77" s="65"/>
      <c r="AS77" s="65"/>
    </row>
    <row r="78" spans="1:63" ht="13.5" customHeight="1">
      <c r="A78" s="90"/>
      <c r="B78" s="82"/>
      <c r="C78" s="144">
        <v>42356</v>
      </c>
      <c r="D78" s="129" t="s">
        <v>1755</v>
      </c>
      <c r="E78" s="129"/>
      <c r="F78" s="129"/>
      <c r="G78" s="129"/>
      <c r="H78" s="129"/>
      <c r="I78" s="129"/>
      <c r="J78" s="129"/>
      <c r="K78" s="129"/>
      <c r="L78" s="129"/>
      <c r="M78" s="130"/>
      <c r="N78" s="73"/>
      <c r="O78" s="73"/>
      <c r="P78" s="73"/>
      <c r="Q78" s="73"/>
      <c r="R78" s="73"/>
      <c r="S78" s="73"/>
      <c r="T78" s="73"/>
      <c r="U78" s="73"/>
      <c r="V78" s="73"/>
      <c r="W78" s="73"/>
      <c r="X78" s="73"/>
      <c r="Y78" s="73"/>
      <c r="Z78" s="73"/>
      <c r="AA78" s="73"/>
      <c r="AB78" s="65"/>
      <c r="AC78" s="65"/>
      <c r="AD78" s="73"/>
      <c r="AE78" s="73"/>
      <c r="AF78" s="73"/>
      <c r="AG78" s="73"/>
      <c r="AH78" s="73"/>
      <c r="AI78" s="73"/>
      <c r="AJ78" s="73"/>
      <c r="AK78" s="73"/>
      <c r="AL78" s="73"/>
      <c r="AM78" s="73"/>
      <c r="AN78" s="73"/>
      <c r="AO78" s="73"/>
      <c r="AP78" s="73"/>
      <c r="AQ78" s="73"/>
      <c r="AR78" s="65"/>
      <c r="AS78" s="65"/>
    </row>
    <row r="79" spans="1:63" ht="13.5" customHeight="1">
      <c r="A79" s="90"/>
      <c r="B79" s="82"/>
      <c r="C79" s="144">
        <v>42377</v>
      </c>
      <c r="D79" s="129" t="s">
        <v>1759</v>
      </c>
      <c r="E79" s="129"/>
      <c r="F79" s="129"/>
      <c r="G79" s="129"/>
      <c r="H79" s="129"/>
      <c r="I79" s="129"/>
      <c r="J79" s="129"/>
      <c r="K79"/>
      <c r="L79"/>
      <c r="M79" s="2904"/>
      <c r="N79" s="73"/>
      <c r="O79" s="73"/>
      <c r="P79" s="73"/>
      <c r="Q79" s="73"/>
      <c r="R79" s="73"/>
      <c r="S79" s="73"/>
      <c r="T79" s="73"/>
      <c r="U79" s="73"/>
      <c r="V79" s="73"/>
      <c r="W79" s="73"/>
      <c r="X79" s="73"/>
      <c r="Y79" s="73"/>
      <c r="Z79" s="73"/>
      <c r="AA79" s="73"/>
      <c r="AB79" s="65"/>
      <c r="AC79" s="65"/>
      <c r="AD79" s="73"/>
      <c r="AE79" s="73"/>
      <c r="AF79" s="73"/>
      <c r="AG79" s="73"/>
      <c r="AH79" s="73"/>
      <c r="AI79" s="73"/>
      <c r="AJ79" s="73"/>
      <c r="AK79" s="73"/>
      <c r="AL79" s="73"/>
      <c r="AM79" s="73"/>
      <c r="AN79" s="73"/>
      <c r="AO79" s="73"/>
      <c r="AP79" s="73"/>
      <c r="AQ79" s="73"/>
      <c r="AR79" s="65"/>
      <c r="AS79" s="65"/>
    </row>
    <row r="80" spans="1:63" ht="13.5" customHeight="1">
      <c r="A80" s="180"/>
      <c r="B80" s="82"/>
      <c r="C80" s="144"/>
      <c r="D80" s="129"/>
      <c r="E80" s="129"/>
      <c r="F80" s="129"/>
      <c r="G80" s="129"/>
      <c r="H80" s="129"/>
      <c r="I80" s="129"/>
      <c r="J80" s="129"/>
      <c r="K80" s="132"/>
      <c r="L80" s="132"/>
      <c r="M80" s="133"/>
      <c r="N80" s="73"/>
      <c r="O80" s="73"/>
      <c r="P80" s="73"/>
      <c r="Q80" s="73"/>
      <c r="R80" s="73"/>
      <c r="S80" s="73"/>
      <c r="T80" s="73"/>
      <c r="U80" s="73"/>
      <c r="V80" s="73"/>
      <c r="W80" s="73"/>
      <c r="X80" s="73"/>
      <c r="Y80" s="73"/>
      <c r="Z80" s="73"/>
      <c r="AA80" s="73"/>
      <c r="AB80" s="65"/>
      <c r="AC80" s="65"/>
      <c r="AD80" s="73"/>
      <c r="AE80" s="73"/>
      <c r="AF80" s="73"/>
      <c r="AG80" s="73"/>
      <c r="AH80" s="73"/>
      <c r="AI80" s="73"/>
      <c r="AJ80" s="73"/>
      <c r="AK80" s="73"/>
      <c r="AL80" s="73"/>
      <c r="AM80" s="73"/>
      <c r="AN80" s="73"/>
      <c r="AO80" s="73"/>
      <c r="AP80" s="73"/>
      <c r="AQ80" s="73"/>
      <c r="AR80" s="65"/>
      <c r="AS80" s="65"/>
    </row>
    <row r="81" spans="1:63" s="38" customFormat="1" ht="13.5" customHeight="1">
      <c r="A81" s="2560" t="s">
        <v>1652</v>
      </c>
      <c r="B81" s="45"/>
      <c r="C81" s="144">
        <v>41944</v>
      </c>
      <c r="D81" s="128" t="s">
        <v>1653</v>
      </c>
      <c r="E81" s="132"/>
      <c r="F81" s="132"/>
      <c r="G81" s="132"/>
      <c r="H81" s="132"/>
      <c r="I81" s="132"/>
      <c r="J81" s="132"/>
      <c r="K81" s="132"/>
      <c r="L81" s="132"/>
      <c r="M81" s="133"/>
      <c r="N81" s="73"/>
      <c r="O81" s="73"/>
      <c r="P81" s="73"/>
      <c r="Q81" s="73"/>
      <c r="R81" s="73"/>
      <c r="S81" s="73"/>
      <c r="T81" s="73"/>
      <c r="U81" s="73"/>
      <c r="V81" s="73"/>
      <c r="W81" s="73"/>
      <c r="X81" s="73"/>
      <c r="Y81" s="73"/>
      <c r="Z81" s="73"/>
      <c r="AA81" s="73"/>
      <c r="AB81" s="65"/>
      <c r="AC81" s="65"/>
      <c r="AD81" s="73"/>
      <c r="AE81" s="73"/>
      <c r="AF81" s="73"/>
      <c r="AG81" s="73"/>
      <c r="AH81" s="73"/>
      <c r="AI81" s="73"/>
      <c r="AJ81" s="73"/>
      <c r="AK81" s="73"/>
      <c r="AL81" s="73"/>
      <c r="AM81" s="73"/>
      <c r="AN81" s="73"/>
      <c r="AO81" s="73"/>
      <c r="AP81" s="73"/>
      <c r="AQ81" s="73"/>
      <c r="AR81" s="65"/>
      <c r="AS81" s="65"/>
      <c r="AT81" s="26"/>
      <c r="AU81" s="26"/>
      <c r="AV81" s="26"/>
      <c r="AW81" s="26"/>
      <c r="AX81" s="26"/>
      <c r="AY81" s="26"/>
      <c r="AZ81" s="26"/>
      <c r="BA81" s="26"/>
      <c r="BB81" s="26"/>
      <c r="BC81" s="26"/>
      <c r="BD81" s="26"/>
      <c r="BE81" s="26"/>
      <c r="BF81" s="26"/>
      <c r="BG81" s="26"/>
      <c r="BH81" s="26"/>
      <c r="BI81" s="26"/>
      <c r="BJ81" s="26"/>
      <c r="BK81" s="26"/>
    </row>
    <row r="82" spans="1:63" ht="13.5" customHeight="1">
      <c r="A82" s="90"/>
      <c r="B82" s="45"/>
      <c r="C82" s="144"/>
      <c r="D82" s="128" t="s">
        <v>1654</v>
      </c>
      <c r="E82" s="132"/>
      <c r="F82" s="132"/>
      <c r="G82" s="132"/>
      <c r="H82" s="132"/>
      <c r="I82" s="132"/>
      <c r="J82" s="132"/>
      <c r="K82" s="132"/>
      <c r="L82" s="132"/>
      <c r="M82" s="133"/>
      <c r="N82" s="73"/>
      <c r="O82" s="73"/>
      <c r="P82" s="73"/>
      <c r="Q82" s="73"/>
      <c r="R82" s="73"/>
      <c r="S82" s="73"/>
      <c r="T82" s="73"/>
      <c r="U82" s="73"/>
      <c r="V82" s="73"/>
      <c r="W82" s="73"/>
      <c r="X82" s="73"/>
      <c r="Y82" s="73"/>
      <c r="Z82" s="73"/>
      <c r="AA82" s="73"/>
      <c r="AB82" s="65"/>
      <c r="AC82" s="65"/>
      <c r="AD82" s="73"/>
      <c r="AE82" s="73"/>
      <c r="AF82" s="73"/>
      <c r="AG82" s="73"/>
      <c r="AH82" s="73"/>
      <c r="AI82" s="73"/>
      <c r="AJ82" s="73"/>
      <c r="AK82" s="73"/>
      <c r="AL82" s="73"/>
      <c r="AM82" s="73"/>
      <c r="AN82" s="73"/>
      <c r="AO82" s="73"/>
      <c r="AP82" s="73"/>
      <c r="AQ82" s="73"/>
      <c r="AR82" s="65"/>
      <c r="AS82" s="65"/>
    </row>
    <row r="83" spans="1:63" ht="13.5" customHeight="1">
      <c r="A83" s="90"/>
      <c r="B83" s="45"/>
      <c r="C83" s="144"/>
      <c r="D83" s="128"/>
      <c r="E83" s="132"/>
      <c r="F83" s="132"/>
      <c r="G83" s="132"/>
      <c r="H83" s="132"/>
      <c r="I83" s="132"/>
      <c r="J83" s="132"/>
      <c r="K83" s="132"/>
      <c r="L83" s="132"/>
      <c r="M83" s="133"/>
      <c r="N83" s="73"/>
      <c r="O83" s="73"/>
      <c r="P83" s="73"/>
      <c r="Q83" s="73"/>
      <c r="R83" s="73"/>
      <c r="S83" s="73"/>
      <c r="T83" s="73"/>
      <c r="U83" s="73"/>
      <c r="V83" s="73"/>
      <c r="W83" s="73"/>
      <c r="X83" s="73"/>
      <c r="Y83" s="73"/>
      <c r="Z83" s="73"/>
      <c r="AA83" s="73"/>
      <c r="AB83" s="65"/>
      <c r="AC83" s="65"/>
      <c r="AD83" s="73"/>
      <c r="AE83" s="73"/>
      <c r="AF83" s="73"/>
      <c r="AG83" s="73"/>
      <c r="AH83" s="73"/>
      <c r="AI83" s="73"/>
      <c r="AJ83" s="73"/>
      <c r="AK83" s="73"/>
      <c r="AL83" s="73"/>
      <c r="AM83" s="73"/>
      <c r="AN83" s="73"/>
      <c r="AO83" s="73"/>
      <c r="AP83" s="73"/>
      <c r="AQ83" s="73"/>
      <c r="AR83" s="65"/>
      <c r="AS83" s="65"/>
    </row>
    <row r="84" spans="1:63" ht="13.5" customHeight="1">
      <c r="A84" s="90" t="s">
        <v>1494</v>
      </c>
      <c r="B84" s="45"/>
      <c r="C84" s="144">
        <v>41760</v>
      </c>
      <c r="D84" s="128" t="s">
        <v>1606</v>
      </c>
      <c r="E84" s="132"/>
      <c r="F84" s="132"/>
      <c r="G84" s="132"/>
      <c r="H84" s="132"/>
      <c r="I84" s="132"/>
      <c r="J84" s="132"/>
      <c r="K84" s="129"/>
      <c r="L84" s="129"/>
      <c r="M84" s="130"/>
      <c r="N84" s="73"/>
      <c r="O84" s="73"/>
      <c r="P84" s="73"/>
      <c r="Q84" s="73"/>
      <c r="R84" s="73"/>
      <c r="S84" s="73"/>
      <c r="T84" s="73"/>
      <c r="U84" s="73"/>
      <c r="V84" s="73"/>
      <c r="W84" s="73"/>
      <c r="X84" s="73"/>
      <c r="Y84" s="73"/>
      <c r="Z84" s="73"/>
      <c r="AA84" s="73"/>
      <c r="AB84" s="65"/>
      <c r="AC84" s="65"/>
      <c r="AD84" s="73"/>
      <c r="AE84" s="73"/>
      <c r="AF84" s="73"/>
      <c r="AG84" s="73"/>
      <c r="AH84" s="73"/>
      <c r="AI84" s="73"/>
      <c r="AJ84" s="73"/>
      <c r="AK84" s="73"/>
      <c r="AL84" s="73"/>
      <c r="AM84" s="73"/>
      <c r="AN84" s="73"/>
      <c r="AO84" s="73"/>
      <c r="AP84" s="73"/>
      <c r="AQ84" s="73"/>
      <c r="AR84" s="65"/>
      <c r="AS84" s="65"/>
    </row>
    <row r="85" spans="1:63" ht="13.5" customHeight="1">
      <c r="A85" s="90"/>
      <c r="B85" s="45"/>
      <c r="C85" s="144"/>
      <c r="D85" s="128" t="s">
        <v>1599</v>
      </c>
      <c r="E85" s="132"/>
      <c r="F85" s="132"/>
      <c r="G85" s="132"/>
      <c r="H85" s="132"/>
      <c r="I85" s="132"/>
      <c r="J85" s="132"/>
      <c r="K85" s="129"/>
      <c r="L85" s="129"/>
      <c r="M85" s="130"/>
      <c r="N85" s="73"/>
      <c r="O85" s="73"/>
      <c r="P85" s="73"/>
      <c r="Q85" s="73"/>
      <c r="R85" s="73"/>
      <c r="S85" s="73"/>
      <c r="T85" s="73"/>
      <c r="U85" s="73"/>
      <c r="V85" s="73"/>
      <c r="W85" s="73"/>
      <c r="X85" s="73"/>
      <c r="Y85" s="73"/>
      <c r="Z85" s="73"/>
      <c r="AA85" s="73"/>
      <c r="AB85" s="65"/>
      <c r="AC85" s="65"/>
      <c r="AD85" s="73"/>
      <c r="AE85" s="73"/>
      <c r="AF85" s="73"/>
      <c r="AG85" s="73"/>
      <c r="AH85" s="73"/>
      <c r="AI85" s="73"/>
      <c r="AJ85" s="73"/>
      <c r="AK85" s="73"/>
      <c r="AL85" s="73"/>
      <c r="AM85" s="73"/>
      <c r="AN85" s="73"/>
      <c r="AO85" s="73"/>
      <c r="AP85" s="73"/>
      <c r="AQ85" s="73"/>
      <c r="AR85" s="65"/>
      <c r="AS85" s="65"/>
      <c r="AU85" s="121"/>
      <c r="AV85" s="53"/>
      <c r="AW85" s="53"/>
      <c r="AX85" s="53"/>
      <c r="AY85" s="53"/>
      <c r="AZ85" s="53"/>
      <c r="BA85" s="53"/>
      <c r="BB85" s="53"/>
      <c r="BC85" s="53"/>
      <c r="BD85" s="53"/>
      <c r="BE85" s="53"/>
      <c r="BF85" s="53"/>
      <c r="BG85" s="53"/>
      <c r="BH85" s="53"/>
      <c r="BI85" s="53"/>
      <c r="BJ85" s="53"/>
      <c r="BK85" s="53"/>
    </row>
    <row r="86" spans="1:63" ht="13.5" customHeight="1">
      <c r="A86" s="90"/>
      <c r="B86" s="45"/>
      <c r="C86" s="144"/>
      <c r="D86" s="128" t="s">
        <v>1608</v>
      </c>
      <c r="E86" s="132"/>
      <c r="F86" s="132"/>
      <c r="G86" s="132"/>
      <c r="H86" s="132"/>
      <c r="I86" s="132"/>
      <c r="J86" s="132"/>
      <c r="K86" s="129"/>
      <c r="L86" s="129"/>
      <c r="M86" s="130"/>
      <c r="N86" s="73"/>
      <c r="O86" s="73"/>
      <c r="P86" s="73"/>
      <c r="Q86" s="73"/>
      <c r="R86" s="73"/>
      <c r="S86" s="73"/>
      <c r="T86" s="73"/>
      <c r="U86" s="73"/>
      <c r="V86" s="73"/>
      <c r="W86" s="73"/>
      <c r="X86" s="73"/>
      <c r="Y86" s="73"/>
      <c r="Z86" s="73"/>
      <c r="AA86" s="73"/>
      <c r="AB86" s="65"/>
      <c r="AC86" s="65"/>
      <c r="AD86" s="73"/>
      <c r="AE86" s="73"/>
      <c r="AF86" s="73"/>
      <c r="AG86" s="73"/>
      <c r="AH86" s="73"/>
      <c r="AI86" s="73"/>
      <c r="AJ86" s="73"/>
      <c r="AK86" s="73"/>
      <c r="AL86" s="73"/>
      <c r="AM86" s="73"/>
      <c r="AN86" s="73"/>
      <c r="AO86" s="73"/>
      <c r="AP86" s="73"/>
      <c r="AQ86" s="73"/>
      <c r="AR86" s="65"/>
      <c r="AS86" s="65"/>
      <c r="AU86" s="53"/>
      <c r="AV86" s="53"/>
      <c r="AW86" s="53"/>
      <c r="AX86" s="53"/>
      <c r="AY86" s="53"/>
      <c r="AZ86" s="53"/>
      <c r="BA86" s="53"/>
      <c r="BB86" s="53"/>
      <c r="BC86" s="53"/>
      <c r="BD86" s="53"/>
      <c r="BE86" s="53"/>
      <c r="BF86" s="53"/>
      <c r="BG86" s="53"/>
      <c r="BH86" s="53"/>
      <c r="BI86" s="53"/>
      <c r="BJ86" s="53"/>
      <c r="BK86" s="53"/>
    </row>
    <row r="87" spans="1:63" ht="13.5" customHeight="1">
      <c r="A87" s="90"/>
      <c r="B87" s="45"/>
      <c r="C87" s="144"/>
      <c r="D87" s="128" t="s">
        <v>1500</v>
      </c>
      <c r="E87" s="132"/>
      <c r="F87" s="132"/>
      <c r="G87" s="132"/>
      <c r="H87" s="132"/>
      <c r="I87" s="132"/>
      <c r="J87" s="132"/>
      <c r="K87" s="129"/>
      <c r="L87" s="129"/>
      <c r="M87" s="130"/>
      <c r="N87" s="73"/>
      <c r="O87" s="73"/>
      <c r="P87" s="73"/>
      <c r="Q87" s="73"/>
      <c r="R87" s="73"/>
      <c r="S87" s="73"/>
      <c r="T87" s="73"/>
      <c r="U87" s="73"/>
      <c r="V87" s="73"/>
      <c r="W87" s="73"/>
      <c r="X87" s="73"/>
      <c r="Y87" s="73"/>
      <c r="Z87" s="73"/>
      <c r="AA87" s="73"/>
      <c r="AB87" s="65"/>
      <c r="AC87" s="65"/>
      <c r="AD87" s="73"/>
      <c r="AE87" s="73"/>
      <c r="AF87" s="73"/>
      <c r="AG87" s="73"/>
      <c r="AH87" s="73"/>
      <c r="AI87" s="73"/>
      <c r="AJ87" s="73"/>
      <c r="AK87" s="73"/>
      <c r="AL87" s="73"/>
      <c r="AM87" s="73"/>
      <c r="AN87" s="73"/>
      <c r="AO87" s="73"/>
      <c r="AP87" s="73"/>
      <c r="AQ87" s="73"/>
      <c r="AR87" s="65"/>
      <c r="AS87" s="65"/>
    </row>
    <row r="88" spans="1:63" ht="13.5" customHeight="1">
      <c r="A88" s="90"/>
      <c r="B88" s="42"/>
      <c r="C88" s="144"/>
      <c r="D88" s="128" t="s">
        <v>1600</v>
      </c>
      <c r="E88" s="129"/>
      <c r="F88" s="129"/>
      <c r="G88" s="129"/>
      <c r="H88" s="129"/>
      <c r="I88" s="129"/>
      <c r="J88" s="129"/>
      <c r="K88" s="129"/>
      <c r="L88" s="129"/>
      <c r="M88" s="130"/>
      <c r="N88" s="73"/>
      <c r="O88" s="73"/>
      <c r="P88" s="73"/>
      <c r="Q88" s="73"/>
      <c r="R88" s="73"/>
      <c r="S88" s="73"/>
      <c r="T88" s="73"/>
      <c r="U88" s="73"/>
      <c r="V88" s="73"/>
      <c r="W88" s="73"/>
      <c r="X88" s="73"/>
      <c r="Y88" s="73"/>
      <c r="Z88" s="73"/>
      <c r="AA88" s="73"/>
      <c r="AB88" s="65"/>
      <c r="AC88" s="65"/>
      <c r="AD88" s="73"/>
      <c r="AE88" s="73"/>
      <c r="AF88" s="73"/>
      <c r="AG88" s="73"/>
      <c r="AH88" s="73"/>
      <c r="AI88" s="73"/>
      <c r="AJ88" s="73"/>
      <c r="AK88" s="73"/>
      <c r="AL88" s="73"/>
      <c r="AM88" s="73"/>
      <c r="AN88" s="73"/>
      <c r="AO88" s="73"/>
      <c r="AP88" s="73"/>
      <c r="AQ88" s="73"/>
      <c r="AR88" s="65"/>
      <c r="AS88" s="65"/>
    </row>
    <row r="89" spans="1:63" ht="13.5" customHeight="1">
      <c r="A89" s="90"/>
      <c r="B89" s="82"/>
      <c r="C89" s="144"/>
      <c r="D89" s="129" t="s">
        <v>1501</v>
      </c>
      <c r="E89" s="129"/>
      <c r="F89" s="129"/>
      <c r="G89" s="129"/>
      <c r="H89" s="129"/>
      <c r="I89" s="129"/>
      <c r="J89" s="129"/>
      <c r="K89" s="129"/>
      <c r="L89" s="129"/>
      <c r="M89" s="130"/>
      <c r="N89" s="73"/>
      <c r="O89" s="73"/>
      <c r="P89" s="73"/>
      <c r="Q89" s="73"/>
      <c r="R89" s="73"/>
      <c r="S89" s="73"/>
      <c r="T89" s="73"/>
      <c r="U89" s="73"/>
      <c r="V89" s="73"/>
      <c r="W89" s="73"/>
      <c r="X89" s="73"/>
      <c r="Y89" s="73"/>
      <c r="Z89" s="73"/>
      <c r="AA89" s="73"/>
      <c r="AB89" s="65"/>
      <c r="AC89" s="65"/>
      <c r="AD89" s="73"/>
      <c r="AE89" s="73"/>
      <c r="AF89" s="73"/>
      <c r="AG89" s="73"/>
      <c r="AH89" s="73"/>
      <c r="AI89" s="73"/>
      <c r="AJ89" s="73"/>
      <c r="AK89" s="73"/>
      <c r="AL89" s="73"/>
      <c r="AM89" s="73"/>
      <c r="AN89" s="73"/>
      <c r="AO89" s="73"/>
      <c r="AP89" s="73"/>
      <c r="AQ89" s="73"/>
      <c r="AR89" s="65"/>
      <c r="AS89" s="65"/>
    </row>
    <row r="90" spans="1:63" s="24" customFormat="1" ht="13.5" customHeight="1">
      <c r="A90" s="90"/>
      <c r="B90" s="82"/>
      <c r="C90" s="144"/>
      <c r="D90" s="129" t="s">
        <v>1504</v>
      </c>
      <c r="E90" s="129"/>
      <c r="F90" s="129"/>
      <c r="G90" s="129"/>
      <c r="H90" s="129"/>
      <c r="I90" s="129"/>
      <c r="J90" s="129"/>
      <c r="K90" s="129"/>
      <c r="L90" s="129"/>
      <c r="M90" s="130"/>
      <c r="N90" s="80"/>
      <c r="O90" s="80"/>
      <c r="P90" s="80"/>
      <c r="Q90" s="80"/>
      <c r="R90" s="80"/>
      <c r="S90" s="80"/>
      <c r="T90" s="80"/>
      <c r="U90" s="80"/>
      <c r="V90" s="80"/>
      <c r="W90" s="80"/>
      <c r="X90" s="80"/>
      <c r="Y90" s="80"/>
      <c r="Z90" s="80"/>
      <c r="AA90" s="80"/>
      <c r="AB90" s="119"/>
      <c r="AC90" s="119"/>
      <c r="AD90" s="80"/>
      <c r="AE90" s="80"/>
      <c r="AF90" s="80"/>
      <c r="AG90" s="80"/>
      <c r="AH90" s="80"/>
      <c r="AI90" s="80"/>
      <c r="AJ90" s="80"/>
      <c r="AK90" s="80"/>
      <c r="AL90" s="80"/>
      <c r="AM90" s="80"/>
      <c r="AN90" s="80"/>
      <c r="AO90" s="80"/>
      <c r="AP90" s="80"/>
      <c r="AQ90" s="80"/>
      <c r="AR90" s="119"/>
      <c r="AS90" s="119"/>
      <c r="AT90" s="29"/>
      <c r="AU90" s="26"/>
      <c r="AV90" s="29"/>
      <c r="AW90" s="29"/>
      <c r="AX90" s="29"/>
      <c r="AY90" s="29"/>
      <c r="AZ90" s="29"/>
      <c r="BA90" s="29"/>
      <c r="BB90" s="29"/>
      <c r="BC90" s="29"/>
      <c r="BD90" s="29"/>
      <c r="BE90" s="29"/>
      <c r="BF90" s="29"/>
      <c r="BG90" s="29"/>
      <c r="BH90" s="29"/>
      <c r="BI90" s="29"/>
      <c r="BJ90" s="29"/>
      <c r="BK90" s="29"/>
    </row>
    <row r="91" spans="1:63" ht="13.5" customHeight="1">
      <c r="A91" s="90"/>
      <c r="B91" s="82"/>
      <c r="C91" s="144"/>
      <c r="D91" s="129" t="s">
        <v>1590</v>
      </c>
      <c r="E91" s="129"/>
      <c r="F91" s="129"/>
      <c r="G91" s="129"/>
      <c r="H91" s="129"/>
      <c r="I91" s="129"/>
      <c r="J91" s="129"/>
      <c r="K91" s="129"/>
      <c r="L91" s="129"/>
      <c r="M91" s="130"/>
      <c r="N91" s="73"/>
      <c r="O91" s="73"/>
      <c r="P91" s="73"/>
      <c r="Q91" s="73"/>
      <c r="R91" s="73"/>
      <c r="S91" s="73"/>
      <c r="T91" s="73"/>
      <c r="U91" s="73"/>
      <c r="V91" s="73"/>
      <c r="W91" s="73"/>
      <c r="X91" s="73"/>
      <c r="Y91" s="73"/>
      <c r="Z91" s="73"/>
      <c r="AA91" s="73"/>
      <c r="AB91" s="65"/>
      <c r="AC91" s="65"/>
      <c r="AD91" s="73"/>
      <c r="AE91" s="73"/>
      <c r="AF91" s="73"/>
      <c r="AG91" s="73"/>
      <c r="AH91" s="73"/>
      <c r="AI91" s="73"/>
      <c r="AJ91" s="73"/>
      <c r="AK91" s="73"/>
      <c r="AL91" s="73"/>
      <c r="AM91" s="73"/>
      <c r="AN91" s="73"/>
      <c r="AO91" s="73"/>
      <c r="AP91" s="73"/>
      <c r="AQ91" s="73"/>
      <c r="AR91" s="65"/>
      <c r="AS91" s="65"/>
    </row>
    <row r="92" spans="1:63" ht="13.5" customHeight="1">
      <c r="A92" s="90"/>
      <c r="B92" s="82"/>
      <c r="C92" s="144"/>
      <c r="D92" s="129" t="s">
        <v>1601</v>
      </c>
      <c r="E92" s="129"/>
      <c r="F92" s="129"/>
      <c r="G92" s="129"/>
      <c r="H92" s="129"/>
      <c r="I92" s="129"/>
      <c r="J92" s="129"/>
      <c r="K92" s="129"/>
      <c r="L92" s="129"/>
      <c r="M92" s="130"/>
      <c r="N92" s="73"/>
      <c r="O92" s="73"/>
      <c r="P92" s="73"/>
      <c r="Q92" s="73"/>
      <c r="R92" s="73"/>
      <c r="S92" s="73"/>
      <c r="T92" s="73"/>
      <c r="U92" s="73"/>
      <c r="V92" s="73"/>
      <c r="W92" s="73"/>
      <c r="X92" s="73"/>
      <c r="Y92" s="73"/>
      <c r="Z92" s="73"/>
      <c r="AA92" s="73"/>
      <c r="AB92" s="65"/>
      <c r="AC92" s="65"/>
      <c r="AD92" s="73"/>
      <c r="AE92" s="73"/>
      <c r="AF92" s="73"/>
      <c r="AG92" s="73"/>
      <c r="AH92" s="73"/>
      <c r="AI92" s="73"/>
      <c r="AJ92" s="73"/>
      <c r="AK92" s="73"/>
      <c r="AL92" s="73"/>
      <c r="AM92" s="73"/>
      <c r="AN92" s="73"/>
      <c r="AO92" s="73"/>
      <c r="AP92" s="73"/>
      <c r="AQ92" s="73"/>
      <c r="AR92" s="65"/>
      <c r="AS92" s="65"/>
    </row>
    <row r="93" spans="1:63" ht="13.5" customHeight="1">
      <c r="A93" s="90"/>
      <c r="B93" s="82"/>
      <c r="C93" s="144"/>
      <c r="D93" s="129" t="s">
        <v>1520</v>
      </c>
      <c r="E93" s="129"/>
      <c r="F93" s="129"/>
      <c r="G93" s="129"/>
      <c r="H93" s="129"/>
      <c r="I93" s="129"/>
      <c r="J93" s="129"/>
      <c r="K93" s="129"/>
      <c r="L93" s="129"/>
      <c r="M93" s="130"/>
      <c r="N93" s="73"/>
      <c r="O93" s="73"/>
      <c r="P93" s="73"/>
      <c r="Q93" s="73"/>
      <c r="R93" s="73"/>
      <c r="S93" s="73"/>
      <c r="T93" s="73"/>
      <c r="U93" s="73"/>
      <c r="V93" s="73"/>
      <c r="W93" s="73"/>
      <c r="X93" s="73"/>
      <c r="Y93" s="73"/>
      <c r="Z93" s="73"/>
      <c r="AA93" s="73"/>
      <c r="AB93" s="65"/>
      <c r="AC93" s="65"/>
      <c r="AD93" s="73"/>
      <c r="AE93" s="73"/>
      <c r="AF93" s="73"/>
      <c r="AG93" s="73"/>
      <c r="AH93" s="73"/>
      <c r="AI93" s="73"/>
      <c r="AJ93" s="73"/>
      <c r="AK93" s="73"/>
      <c r="AL93" s="73"/>
      <c r="AM93" s="73"/>
      <c r="AN93" s="73"/>
      <c r="AO93" s="73"/>
      <c r="AP93" s="73"/>
      <c r="AQ93" s="73"/>
      <c r="AR93" s="65"/>
      <c r="AS93" s="65"/>
    </row>
    <row r="94" spans="1:63" ht="13.5" customHeight="1">
      <c r="A94" s="90"/>
      <c r="B94" s="82"/>
      <c r="C94" s="144"/>
      <c r="D94" s="129" t="s">
        <v>1581</v>
      </c>
      <c r="E94" s="129"/>
      <c r="F94" s="129"/>
      <c r="G94" s="129"/>
      <c r="H94" s="129"/>
      <c r="I94" s="129"/>
      <c r="J94" s="129"/>
      <c r="K94" s="2498"/>
      <c r="L94" s="2498"/>
      <c r="M94" s="2499"/>
      <c r="N94" s="73"/>
      <c r="O94" s="73"/>
      <c r="P94" s="73"/>
      <c r="Q94" s="73"/>
      <c r="R94" s="73"/>
      <c r="S94" s="73"/>
      <c r="T94" s="73"/>
      <c r="U94" s="73"/>
      <c r="V94" s="73"/>
      <c r="W94" s="73"/>
      <c r="X94" s="73"/>
      <c r="Y94" s="73"/>
      <c r="Z94" s="73"/>
      <c r="AA94" s="73"/>
      <c r="AB94" s="65"/>
      <c r="AC94" s="65"/>
      <c r="AD94" s="73"/>
      <c r="AE94" s="73"/>
      <c r="AF94" s="73"/>
      <c r="AG94" s="73"/>
      <c r="AH94" s="73"/>
      <c r="AI94" s="73"/>
      <c r="AJ94" s="73"/>
      <c r="AK94" s="73"/>
      <c r="AL94" s="73"/>
      <c r="AM94" s="73"/>
      <c r="AN94" s="73"/>
      <c r="AO94" s="73"/>
      <c r="AP94" s="73"/>
      <c r="AQ94" s="73"/>
      <c r="AR94" s="65"/>
      <c r="AS94" s="65"/>
    </row>
    <row r="95" spans="1:63" ht="13.5" customHeight="1">
      <c r="A95" s="90"/>
      <c r="B95" s="82"/>
      <c r="C95" s="144"/>
      <c r="D95" s="129" t="s">
        <v>1592</v>
      </c>
      <c r="E95" s="129"/>
      <c r="F95" s="129"/>
      <c r="G95" s="129"/>
      <c r="H95" s="129"/>
      <c r="I95" s="129"/>
      <c r="J95" s="129"/>
      <c r="K95" s="2498"/>
      <c r="L95" s="2498"/>
      <c r="M95" s="2499"/>
      <c r="N95" s="73"/>
      <c r="O95" s="73"/>
      <c r="P95" s="73"/>
      <c r="Q95" s="73"/>
      <c r="R95" s="73"/>
      <c r="S95" s="73"/>
      <c r="T95" s="73"/>
      <c r="U95" s="73"/>
      <c r="V95" s="73"/>
      <c r="W95" s="73"/>
      <c r="X95" s="73"/>
      <c r="Y95" s="73"/>
      <c r="Z95" s="73"/>
      <c r="AA95" s="73"/>
      <c r="AB95" s="65"/>
      <c r="AC95" s="65"/>
      <c r="AD95" s="73"/>
      <c r="AE95" s="73"/>
      <c r="AF95" s="73"/>
      <c r="AG95" s="73"/>
      <c r="AH95" s="73"/>
      <c r="AI95" s="73"/>
      <c r="AJ95" s="73"/>
      <c r="AK95" s="73"/>
      <c r="AL95" s="73"/>
      <c r="AM95" s="73"/>
      <c r="AN95" s="73"/>
      <c r="AO95" s="73"/>
      <c r="AP95" s="73"/>
      <c r="AQ95" s="73"/>
      <c r="AR95" s="65"/>
      <c r="AS95" s="65"/>
    </row>
    <row r="96" spans="1:63" ht="13.5" customHeight="1">
      <c r="A96" s="90"/>
      <c r="B96" s="82"/>
      <c r="C96" s="144"/>
      <c r="D96" s="129" t="s">
        <v>1591</v>
      </c>
      <c r="E96" s="129"/>
      <c r="F96" s="129"/>
      <c r="G96" s="129"/>
      <c r="H96" s="129"/>
      <c r="I96" s="129"/>
      <c r="J96" s="129"/>
      <c r="K96" s="129"/>
      <c r="L96" s="129"/>
      <c r="M96" s="130"/>
      <c r="N96" s="73"/>
      <c r="O96" s="73"/>
      <c r="P96" s="73"/>
      <c r="Q96" s="73"/>
      <c r="R96" s="73"/>
      <c r="S96" s="73"/>
      <c r="T96" s="73"/>
      <c r="U96" s="73"/>
      <c r="V96" s="73"/>
      <c r="W96" s="73"/>
      <c r="X96" s="73"/>
      <c r="Y96" s="73"/>
      <c r="Z96" s="73"/>
      <c r="AA96" s="73"/>
      <c r="AB96" s="65"/>
      <c r="AC96" s="65"/>
      <c r="AD96" s="73"/>
      <c r="AE96" s="73"/>
      <c r="AF96" s="73"/>
      <c r="AG96" s="73"/>
      <c r="AH96" s="73"/>
      <c r="AI96" s="73"/>
      <c r="AJ96" s="73"/>
      <c r="AK96" s="73"/>
      <c r="AL96" s="73"/>
      <c r="AM96" s="73"/>
      <c r="AN96" s="73"/>
      <c r="AO96" s="73"/>
      <c r="AP96" s="73"/>
      <c r="AQ96" s="73"/>
      <c r="AR96" s="65"/>
      <c r="AS96" s="65"/>
    </row>
    <row r="97" spans="1:45" ht="13.5" customHeight="1">
      <c r="A97" s="90"/>
      <c r="B97" s="82"/>
      <c r="C97" s="144"/>
      <c r="D97" s="129" t="s">
        <v>1602</v>
      </c>
      <c r="E97" s="129"/>
      <c r="F97" s="129"/>
      <c r="G97" s="129"/>
      <c r="H97" s="129"/>
      <c r="I97" s="129"/>
      <c r="J97" s="129"/>
      <c r="K97" s="129"/>
      <c r="L97" s="129"/>
      <c r="M97" s="130"/>
      <c r="N97" s="73"/>
      <c r="O97" s="73"/>
      <c r="P97" s="73"/>
      <c r="Q97" s="73"/>
      <c r="R97" s="73"/>
      <c r="S97" s="73"/>
      <c r="T97" s="73"/>
      <c r="U97" s="73"/>
      <c r="V97" s="73"/>
      <c r="W97" s="73"/>
      <c r="X97" s="73"/>
      <c r="Y97" s="73"/>
      <c r="Z97" s="73"/>
      <c r="AA97" s="73"/>
      <c r="AB97" s="65"/>
      <c r="AC97" s="65"/>
      <c r="AD97" s="73"/>
      <c r="AE97" s="73"/>
      <c r="AF97" s="73"/>
      <c r="AG97" s="73"/>
      <c r="AH97" s="73"/>
      <c r="AI97" s="73"/>
      <c r="AJ97" s="73"/>
      <c r="AK97" s="73"/>
      <c r="AL97" s="73"/>
      <c r="AM97" s="73"/>
      <c r="AN97" s="73"/>
      <c r="AO97" s="73"/>
      <c r="AP97" s="73"/>
      <c r="AQ97" s="73"/>
      <c r="AR97" s="65"/>
      <c r="AS97" s="65"/>
    </row>
    <row r="98" spans="1:45" ht="13.5" customHeight="1">
      <c r="A98" s="189"/>
      <c r="B98" s="238"/>
      <c r="C98" s="2646"/>
      <c r="D98" s="2498"/>
      <c r="E98" s="2498"/>
      <c r="F98" s="2498"/>
      <c r="G98" s="2498"/>
      <c r="H98" s="2498"/>
      <c r="I98" s="2498"/>
      <c r="J98" s="2498"/>
      <c r="K98" s="129"/>
      <c r="L98" s="129"/>
      <c r="M98" s="130"/>
      <c r="N98" s="73"/>
      <c r="O98" s="73"/>
      <c r="P98" s="73"/>
      <c r="Q98" s="73"/>
      <c r="R98" s="73"/>
      <c r="S98" s="73"/>
      <c r="T98" s="73"/>
      <c r="U98" s="73"/>
      <c r="V98" s="73"/>
      <c r="W98" s="73"/>
      <c r="X98" s="73"/>
      <c r="Y98" s="73"/>
      <c r="Z98" s="73"/>
      <c r="AA98" s="73"/>
      <c r="AB98" s="65"/>
      <c r="AC98" s="65"/>
      <c r="AD98" s="73"/>
      <c r="AE98" s="73"/>
      <c r="AF98" s="73"/>
      <c r="AG98" s="73"/>
      <c r="AH98" s="73"/>
      <c r="AI98" s="73"/>
      <c r="AJ98" s="73"/>
      <c r="AK98" s="73"/>
      <c r="AL98" s="73"/>
      <c r="AM98" s="73"/>
      <c r="AN98" s="73"/>
      <c r="AO98" s="73"/>
      <c r="AP98" s="73"/>
      <c r="AQ98" s="73"/>
      <c r="AR98" s="65"/>
      <c r="AS98" s="65"/>
    </row>
    <row r="99" spans="1:45" ht="13.5" customHeight="1">
      <c r="A99" s="90" t="s">
        <v>288</v>
      </c>
      <c r="B99" s="45"/>
      <c r="C99" s="144">
        <v>41640</v>
      </c>
      <c r="D99" s="128" t="s">
        <v>901</v>
      </c>
      <c r="E99" s="2498"/>
      <c r="F99" s="2498"/>
      <c r="G99" s="2498"/>
      <c r="H99" s="2498"/>
      <c r="I99" s="2498"/>
      <c r="J99" s="2498"/>
      <c r="K99" s="129"/>
      <c r="L99" s="129"/>
      <c r="M99" s="130"/>
      <c r="N99" s="73"/>
      <c r="O99" s="73"/>
      <c r="P99" s="73"/>
      <c r="Q99" s="73"/>
      <c r="R99" s="73"/>
      <c r="S99" s="73"/>
      <c r="T99" s="73"/>
      <c r="U99" s="73"/>
      <c r="V99" s="73"/>
      <c r="W99" s="73"/>
      <c r="X99" s="73"/>
      <c r="Y99" s="73"/>
      <c r="Z99" s="73"/>
      <c r="AA99" s="73"/>
      <c r="AB99" s="65"/>
      <c r="AC99" s="65"/>
      <c r="AD99" s="73"/>
      <c r="AE99" s="73"/>
      <c r="AF99" s="73"/>
      <c r="AG99" s="73"/>
      <c r="AH99" s="73"/>
      <c r="AI99" s="73"/>
      <c r="AJ99" s="73"/>
      <c r="AK99" s="73"/>
      <c r="AL99" s="73"/>
      <c r="AM99" s="73"/>
      <c r="AN99" s="73"/>
      <c r="AO99" s="73"/>
      <c r="AP99" s="73"/>
      <c r="AQ99" s="73"/>
      <c r="AR99" s="65"/>
      <c r="AS99" s="65"/>
    </row>
    <row r="100" spans="1:45" ht="13.5" customHeight="1">
      <c r="A100" s="90" t="s">
        <v>843</v>
      </c>
      <c r="B100" s="45"/>
      <c r="C100" s="144">
        <v>41544</v>
      </c>
      <c r="D100" s="128" t="s">
        <v>286</v>
      </c>
      <c r="E100" s="129"/>
      <c r="F100" s="129"/>
      <c r="G100" s="129"/>
      <c r="H100" s="129"/>
      <c r="I100" s="129"/>
      <c r="J100" s="129"/>
      <c r="K100" s="129"/>
      <c r="L100" s="129"/>
      <c r="M100" s="130"/>
      <c r="N100" s="73"/>
      <c r="O100" s="73"/>
      <c r="P100" s="73"/>
      <c r="Q100" s="73"/>
      <c r="R100" s="73"/>
      <c r="S100" s="73"/>
      <c r="T100" s="73"/>
      <c r="U100" s="73"/>
      <c r="V100" s="73"/>
      <c r="W100" s="73"/>
      <c r="X100" s="73"/>
      <c r="Y100" s="73"/>
      <c r="Z100" s="73"/>
      <c r="AA100" s="73"/>
      <c r="AB100" s="65"/>
      <c r="AC100" s="65"/>
      <c r="AD100" s="73"/>
      <c r="AE100" s="73"/>
      <c r="AF100" s="73"/>
      <c r="AG100" s="73"/>
      <c r="AH100" s="73"/>
      <c r="AI100" s="73"/>
      <c r="AJ100" s="73"/>
      <c r="AK100" s="73"/>
      <c r="AL100" s="73"/>
      <c r="AM100" s="73"/>
      <c r="AN100" s="73"/>
      <c r="AO100" s="73"/>
      <c r="AP100" s="73"/>
      <c r="AQ100" s="73"/>
      <c r="AR100" s="65"/>
      <c r="AS100" s="65"/>
    </row>
    <row r="101" spans="1:45" ht="13.5" customHeight="1">
      <c r="A101" s="113" t="s">
        <v>173</v>
      </c>
      <c r="B101" s="82"/>
      <c r="C101" s="144">
        <v>41508</v>
      </c>
      <c r="D101" s="129" t="s">
        <v>188</v>
      </c>
      <c r="E101" s="129"/>
      <c r="F101" s="129"/>
      <c r="G101" s="129"/>
      <c r="H101" s="129"/>
      <c r="I101" s="129"/>
      <c r="J101" s="129"/>
      <c r="K101" s="129"/>
      <c r="L101" s="129"/>
      <c r="M101" s="130"/>
      <c r="N101" s="73"/>
      <c r="O101" s="73"/>
      <c r="P101" s="73"/>
      <c r="Q101" s="73"/>
      <c r="R101" s="73"/>
      <c r="S101" s="73"/>
      <c r="T101" s="73"/>
      <c r="U101" s="73"/>
      <c r="V101" s="73"/>
      <c r="W101" s="73"/>
      <c r="X101" s="73"/>
      <c r="Y101" s="73"/>
      <c r="Z101" s="73"/>
      <c r="AA101" s="73"/>
      <c r="AB101" s="65"/>
      <c r="AC101" s="65"/>
      <c r="AD101" s="73"/>
      <c r="AE101" s="73"/>
      <c r="AF101" s="73"/>
      <c r="AG101" s="73"/>
      <c r="AH101" s="73"/>
      <c r="AI101" s="73"/>
      <c r="AJ101" s="73"/>
      <c r="AK101" s="73"/>
      <c r="AL101" s="73"/>
      <c r="AM101" s="73"/>
      <c r="AN101" s="73"/>
      <c r="AO101" s="73"/>
      <c r="AP101" s="73"/>
      <c r="AQ101" s="73"/>
      <c r="AR101" s="65"/>
      <c r="AS101" s="65"/>
    </row>
    <row r="102" spans="1:45" ht="13.5" customHeight="1">
      <c r="A102" s="180"/>
      <c r="B102" s="82"/>
      <c r="C102" s="144"/>
      <c r="D102" s="129"/>
      <c r="E102" s="129"/>
      <c r="F102" s="129"/>
      <c r="G102" s="129"/>
      <c r="H102" s="129"/>
      <c r="I102" s="129"/>
      <c r="J102" s="129"/>
      <c r="K102" s="129"/>
      <c r="L102" s="129"/>
      <c r="M102" s="130"/>
      <c r="N102" s="73"/>
      <c r="O102" s="73"/>
      <c r="P102" s="73"/>
      <c r="Q102" s="73"/>
      <c r="R102" s="73"/>
      <c r="S102" s="73"/>
      <c r="T102" s="73"/>
      <c r="U102" s="73"/>
      <c r="V102" s="73"/>
      <c r="W102" s="73"/>
      <c r="X102" s="73"/>
      <c r="Y102" s="73"/>
      <c r="Z102" s="73"/>
      <c r="AA102" s="73"/>
      <c r="AB102" s="65"/>
      <c r="AC102" s="65"/>
      <c r="AD102" s="73"/>
      <c r="AE102" s="73"/>
      <c r="AF102" s="73"/>
      <c r="AG102" s="73"/>
      <c r="AH102" s="73"/>
      <c r="AI102" s="73"/>
      <c r="AJ102" s="73"/>
      <c r="AK102" s="73"/>
      <c r="AL102" s="73"/>
      <c r="AM102" s="73"/>
      <c r="AN102" s="73"/>
      <c r="AO102" s="73"/>
      <c r="AP102" s="73"/>
      <c r="AQ102" s="73"/>
      <c r="AR102" s="65"/>
      <c r="AS102" s="65"/>
    </row>
    <row r="103" spans="1:45" ht="13.5" customHeight="1">
      <c r="A103" s="180"/>
      <c r="B103" s="82"/>
      <c r="C103" s="144"/>
      <c r="D103" s="129"/>
      <c r="E103" s="129"/>
      <c r="F103" s="129"/>
      <c r="G103" s="129"/>
      <c r="H103" s="129"/>
      <c r="I103" s="129"/>
      <c r="J103" s="129"/>
      <c r="K103" s="129"/>
      <c r="L103" s="129"/>
      <c r="M103" s="130"/>
      <c r="N103" s="73"/>
      <c r="O103" s="73"/>
      <c r="P103" s="73"/>
      <c r="Q103" s="73"/>
      <c r="R103" s="73"/>
      <c r="S103" s="73"/>
      <c r="T103" s="73"/>
      <c r="U103" s="73"/>
      <c r="V103" s="73"/>
      <c r="W103" s="73"/>
      <c r="X103" s="73"/>
      <c r="Y103" s="73"/>
      <c r="Z103" s="73"/>
      <c r="AA103" s="73"/>
      <c r="AB103" s="65"/>
      <c r="AC103" s="65"/>
      <c r="AD103" s="73"/>
      <c r="AE103" s="73"/>
      <c r="AF103" s="73"/>
      <c r="AG103" s="73"/>
      <c r="AH103" s="73"/>
      <c r="AI103" s="73"/>
      <c r="AJ103" s="73"/>
      <c r="AK103" s="73"/>
      <c r="AL103" s="73"/>
      <c r="AM103" s="73"/>
      <c r="AN103" s="73"/>
      <c r="AO103" s="73"/>
      <c r="AP103" s="73"/>
      <c r="AQ103" s="73"/>
      <c r="AR103" s="65"/>
      <c r="AS103" s="65"/>
    </row>
    <row r="104" spans="1:45" ht="13.5" customHeight="1">
      <c r="A104" s="90" t="s">
        <v>174</v>
      </c>
      <c r="B104" s="82"/>
      <c r="C104" s="144">
        <v>41477</v>
      </c>
      <c r="D104" s="129" t="s">
        <v>190</v>
      </c>
      <c r="E104" s="129"/>
      <c r="F104" s="129"/>
      <c r="G104" s="129"/>
      <c r="H104" s="129"/>
      <c r="I104" s="129"/>
      <c r="J104" s="129"/>
      <c r="K104" s="129"/>
      <c r="L104" s="129"/>
      <c r="M104" s="130"/>
      <c r="N104" s="73"/>
      <c r="O104" s="73"/>
      <c r="P104" s="73"/>
      <c r="Q104" s="73"/>
      <c r="R104" s="73"/>
      <c r="S104" s="73"/>
      <c r="T104" s="73"/>
      <c r="U104" s="73"/>
      <c r="V104" s="73"/>
      <c r="W104" s="73"/>
      <c r="X104" s="73"/>
      <c r="Y104" s="73"/>
      <c r="Z104" s="73"/>
      <c r="AA104" s="73"/>
      <c r="AB104" s="65"/>
      <c r="AC104" s="65"/>
      <c r="AD104" s="73"/>
      <c r="AE104" s="73"/>
      <c r="AF104" s="73"/>
      <c r="AG104" s="73"/>
      <c r="AH104" s="73"/>
      <c r="AI104" s="73"/>
      <c r="AJ104" s="73"/>
      <c r="AK104" s="73"/>
      <c r="AL104" s="73"/>
      <c r="AM104" s="73"/>
      <c r="AN104" s="73"/>
      <c r="AO104" s="73"/>
      <c r="AP104" s="73"/>
      <c r="AQ104" s="73"/>
      <c r="AR104" s="65"/>
      <c r="AS104" s="65"/>
    </row>
    <row r="105" spans="1:45" ht="13.5" customHeight="1">
      <c r="A105" s="90"/>
      <c r="B105" s="42"/>
      <c r="C105" s="144"/>
      <c r="D105" s="128" t="s">
        <v>191</v>
      </c>
      <c r="E105" s="129"/>
      <c r="F105" s="129"/>
      <c r="G105" s="129"/>
      <c r="H105" s="129"/>
      <c r="I105" s="129"/>
      <c r="J105" s="129"/>
      <c r="K105" s="132"/>
      <c r="L105" s="132"/>
      <c r="M105" s="133"/>
      <c r="N105" s="73"/>
      <c r="O105" s="73"/>
      <c r="P105" s="73"/>
      <c r="Q105" s="73"/>
      <c r="R105" s="73"/>
      <c r="S105" s="73"/>
      <c r="T105" s="73"/>
      <c r="U105" s="73"/>
      <c r="V105" s="73"/>
      <c r="W105" s="73"/>
      <c r="X105" s="73"/>
      <c r="Y105" s="73"/>
      <c r="Z105" s="73"/>
      <c r="AA105" s="73"/>
      <c r="AB105" s="65"/>
      <c r="AC105" s="65"/>
      <c r="AD105" s="73"/>
      <c r="AE105" s="73"/>
      <c r="AF105" s="73"/>
      <c r="AG105" s="73"/>
      <c r="AH105" s="73"/>
      <c r="AI105" s="73"/>
      <c r="AJ105" s="73"/>
      <c r="AK105" s="73"/>
      <c r="AL105" s="73"/>
      <c r="AM105" s="73"/>
      <c r="AN105" s="73"/>
      <c r="AO105" s="73"/>
      <c r="AP105" s="73"/>
      <c r="AQ105" s="73"/>
      <c r="AR105" s="65"/>
      <c r="AS105" s="65"/>
    </row>
    <row r="106" spans="1:45" ht="13.5" customHeight="1">
      <c r="A106" s="90"/>
      <c r="B106" s="42"/>
      <c r="C106" s="144"/>
      <c r="D106" s="128" t="s">
        <v>192</v>
      </c>
      <c r="E106" s="129"/>
      <c r="F106" s="129"/>
      <c r="G106" s="129"/>
      <c r="H106" s="129"/>
      <c r="I106" s="129"/>
      <c r="J106" s="129"/>
      <c r="K106" s="129"/>
      <c r="L106" s="129"/>
      <c r="M106" s="130"/>
      <c r="N106" s="73"/>
      <c r="O106" s="73"/>
      <c r="P106" s="73"/>
      <c r="Q106" s="73"/>
      <c r="R106" s="73"/>
      <c r="S106" s="73"/>
      <c r="T106" s="73"/>
      <c r="U106" s="73"/>
      <c r="V106" s="73"/>
      <c r="W106" s="73"/>
      <c r="X106" s="73"/>
      <c r="Y106" s="73"/>
      <c r="Z106" s="73"/>
      <c r="AA106" s="73"/>
      <c r="AB106" s="65"/>
      <c r="AC106" s="65"/>
      <c r="AD106" s="73"/>
      <c r="AE106" s="73"/>
      <c r="AF106" s="73"/>
      <c r="AG106" s="73"/>
      <c r="AH106" s="73"/>
      <c r="AI106" s="73"/>
      <c r="AJ106" s="73"/>
      <c r="AK106" s="73"/>
      <c r="AL106" s="73"/>
      <c r="AM106" s="73"/>
      <c r="AN106" s="73"/>
      <c r="AO106" s="73"/>
      <c r="AP106" s="73"/>
      <c r="AQ106" s="73"/>
      <c r="AR106" s="65"/>
      <c r="AS106" s="65"/>
    </row>
    <row r="107" spans="1:45" ht="13.5" customHeight="1">
      <c r="A107" s="90"/>
      <c r="B107" s="42"/>
      <c r="C107" s="144"/>
      <c r="D107" s="128"/>
      <c r="E107" s="129"/>
      <c r="F107" s="129"/>
      <c r="G107" s="129"/>
      <c r="H107" s="129"/>
      <c r="I107" s="129"/>
      <c r="J107" s="129"/>
      <c r="K107" s="129"/>
      <c r="L107" s="129"/>
      <c r="M107" s="130"/>
      <c r="N107" s="73"/>
      <c r="O107" s="73"/>
      <c r="P107" s="73"/>
      <c r="Q107" s="73"/>
      <c r="R107" s="73"/>
      <c r="S107" s="73"/>
      <c r="T107" s="73"/>
      <c r="U107" s="73"/>
      <c r="V107" s="73"/>
      <c r="W107" s="73"/>
      <c r="X107" s="73"/>
      <c r="Y107" s="73"/>
      <c r="Z107" s="73"/>
      <c r="AA107" s="73"/>
      <c r="AB107" s="65"/>
      <c r="AC107" s="65"/>
      <c r="AD107" s="73"/>
      <c r="AE107" s="73"/>
      <c r="AF107" s="73"/>
      <c r="AG107" s="73"/>
      <c r="AH107" s="73"/>
      <c r="AI107" s="73"/>
      <c r="AJ107" s="73"/>
      <c r="AK107" s="73"/>
      <c r="AL107" s="73"/>
      <c r="AM107" s="73"/>
      <c r="AN107" s="73"/>
      <c r="AO107" s="73"/>
      <c r="AP107" s="73"/>
      <c r="AQ107" s="73"/>
      <c r="AR107" s="65"/>
      <c r="AS107" s="65"/>
    </row>
    <row r="108" spans="1:45" ht="13.5" customHeight="1">
      <c r="A108" s="90"/>
      <c r="B108" s="42"/>
      <c r="C108" s="144"/>
      <c r="D108" s="128"/>
      <c r="E108" s="129"/>
      <c r="F108" s="129"/>
      <c r="G108" s="129"/>
      <c r="H108" s="129"/>
      <c r="I108" s="129"/>
      <c r="J108" s="129"/>
      <c r="K108" s="129"/>
      <c r="L108" s="129"/>
      <c r="M108" s="130"/>
      <c r="N108" s="73"/>
      <c r="O108" s="73"/>
      <c r="P108" s="73"/>
      <c r="Q108" s="73"/>
      <c r="R108" s="73"/>
      <c r="S108" s="73"/>
      <c r="T108" s="73"/>
      <c r="U108" s="73"/>
      <c r="V108" s="73"/>
      <c r="W108" s="73"/>
      <c r="X108" s="73"/>
      <c r="Y108" s="73"/>
      <c r="Z108" s="73"/>
      <c r="AA108" s="73"/>
      <c r="AB108" s="65"/>
      <c r="AC108" s="65"/>
      <c r="AD108" s="73"/>
      <c r="AE108" s="73"/>
      <c r="AF108" s="73"/>
      <c r="AG108" s="73"/>
      <c r="AH108" s="73"/>
      <c r="AI108" s="73"/>
      <c r="AJ108" s="73"/>
      <c r="AK108" s="73"/>
      <c r="AL108" s="73"/>
      <c r="AM108" s="73"/>
      <c r="AN108" s="73"/>
      <c r="AO108" s="73"/>
      <c r="AP108" s="73"/>
      <c r="AQ108" s="73"/>
      <c r="AR108" s="65"/>
      <c r="AS108" s="65"/>
    </row>
    <row r="109" spans="1:45" ht="13.5" customHeight="1">
      <c r="A109" s="91"/>
      <c r="B109" s="45"/>
      <c r="C109" s="144"/>
      <c r="D109" s="131"/>
      <c r="E109" s="132"/>
      <c r="F109" s="132"/>
      <c r="G109" s="132"/>
      <c r="H109" s="132"/>
      <c r="I109" s="132"/>
      <c r="J109" s="132"/>
      <c r="K109" s="129"/>
      <c r="L109" s="129"/>
      <c r="M109" s="130"/>
      <c r="N109" s="73"/>
      <c r="O109" s="73"/>
      <c r="P109" s="73"/>
      <c r="Q109" s="73"/>
      <c r="R109" s="73"/>
      <c r="S109" s="73"/>
      <c r="T109" s="73"/>
      <c r="U109" s="73"/>
      <c r="V109" s="73"/>
      <c r="W109" s="73"/>
      <c r="X109" s="73"/>
      <c r="Y109" s="73"/>
      <c r="Z109" s="73"/>
      <c r="AA109" s="73"/>
      <c r="AB109" s="65"/>
      <c r="AC109" s="65"/>
      <c r="AD109" s="73"/>
      <c r="AE109" s="73"/>
      <c r="AF109" s="73"/>
      <c r="AG109" s="73"/>
      <c r="AH109" s="73"/>
      <c r="AI109" s="73"/>
      <c r="AJ109" s="73"/>
      <c r="AK109" s="73"/>
      <c r="AL109" s="73"/>
      <c r="AM109" s="73"/>
      <c r="AN109" s="73"/>
      <c r="AO109" s="73"/>
      <c r="AP109" s="73"/>
      <c r="AQ109" s="73"/>
      <c r="AR109" s="65"/>
      <c r="AS109" s="65"/>
    </row>
    <row r="110" spans="1:45" ht="13.5" customHeight="1">
      <c r="A110" s="90"/>
      <c r="B110" s="42"/>
      <c r="C110" s="144"/>
      <c r="D110" s="128"/>
      <c r="E110" s="129"/>
      <c r="F110" s="129"/>
      <c r="G110" s="129"/>
      <c r="H110" s="129"/>
      <c r="I110" s="129"/>
      <c r="J110" s="129"/>
      <c r="K110" s="129"/>
      <c r="L110" s="129"/>
      <c r="M110" s="130"/>
      <c r="N110" s="73"/>
      <c r="O110" s="73"/>
      <c r="P110" s="73"/>
      <c r="Q110" s="73"/>
      <c r="R110" s="73"/>
      <c r="S110" s="73"/>
      <c r="T110" s="73"/>
      <c r="U110" s="73"/>
      <c r="V110" s="73"/>
      <c r="W110" s="73"/>
      <c r="X110" s="73"/>
      <c r="Y110" s="73"/>
      <c r="Z110" s="73"/>
      <c r="AA110" s="73"/>
      <c r="AB110" s="65"/>
      <c r="AC110" s="65"/>
      <c r="AD110" s="73"/>
      <c r="AE110" s="73"/>
      <c r="AF110" s="73"/>
      <c r="AG110" s="73"/>
      <c r="AH110" s="73"/>
      <c r="AI110" s="73"/>
      <c r="AJ110" s="73"/>
      <c r="AK110" s="73"/>
      <c r="AL110" s="73"/>
      <c r="AM110" s="73"/>
      <c r="AN110" s="73"/>
      <c r="AO110" s="73"/>
      <c r="AP110" s="73"/>
      <c r="AQ110" s="73"/>
      <c r="AR110" s="65"/>
      <c r="AS110" s="65"/>
    </row>
    <row r="111" spans="1:45" ht="13.5" customHeight="1">
      <c r="A111" s="90"/>
      <c r="B111" s="42"/>
      <c r="C111" s="144"/>
      <c r="D111" s="128"/>
      <c r="E111" s="129"/>
      <c r="F111" s="129"/>
      <c r="G111" s="129"/>
      <c r="H111" s="129"/>
      <c r="I111" s="129"/>
      <c r="J111" s="129"/>
      <c r="K111" s="129"/>
      <c r="L111" s="129"/>
      <c r="M111" s="130"/>
      <c r="N111" s="73"/>
      <c r="O111" s="73"/>
      <c r="P111" s="73"/>
      <c r="Q111" s="73"/>
      <c r="R111" s="73"/>
      <c r="S111" s="73"/>
      <c r="T111" s="73"/>
      <c r="U111" s="73"/>
      <c r="V111" s="73"/>
      <c r="W111" s="73"/>
      <c r="X111" s="73"/>
      <c r="Y111" s="73"/>
      <c r="Z111" s="73"/>
      <c r="AA111" s="73"/>
      <c r="AB111" s="65"/>
      <c r="AC111" s="65"/>
      <c r="AD111" s="73"/>
      <c r="AE111" s="73"/>
      <c r="AF111" s="73"/>
      <c r="AG111" s="73"/>
      <c r="AH111" s="73"/>
      <c r="AI111" s="73"/>
      <c r="AJ111" s="73"/>
      <c r="AK111" s="73"/>
      <c r="AL111" s="73"/>
      <c r="AM111" s="73"/>
      <c r="AN111" s="73"/>
      <c r="AO111" s="73"/>
      <c r="AP111" s="73"/>
      <c r="AQ111" s="73"/>
      <c r="AR111" s="65"/>
      <c r="AS111" s="65"/>
    </row>
    <row r="112" spans="1:45" ht="13.5" customHeight="1">
      <c r="A112" s="90"/>
      <c r="B112" s="42"/>
      <c r="C112" s="144"/>
      <c r="D112" s="128"/>
      <c r="E112" s="129"/>
      <c r="F112" s="129"/>
      <c r="G112" s="129"/>
      <c r="H112" s="129"/>
      <c r="I112" s="129"/>
      <c r="J112" s="129"/>
      <c r="K112" s="129"/>
      <c r="L112" s="129"/>
      <c r="M112" s="130"/>
      <c r="N112" s="73"/>
      <c r="O112" s="73"/>
      <c r="P112" s="73"/>
      <c r="Q112" s="73"/>
      <c r="R112" s="73"/>
      <c r="S112" s="73"/>
      <c r="T112" s="73"/>
      <c r="U112" s="73"/>
      <c r="V112" s="73"/>
      <c r="W112" s="73"/>
      <c r="X112" s="73"/>
      <c r="Y112" s="73"/>
      <c r="Z112" s="73"/>
      <c r="AA112" s="73"/>
      <c r="AB112" s="65"/>
      <c r="AC112" s="65"/>
      <c r="AD112" s="73"/>
      <c r="AE112" s="73"/>
      <c r="AF112" s="73"/>
      <c r="AG112" s="73"/>
      <c r="AH112" s="73"/>
      <c r="AI112" s="73"/>
      <c r="AJ112" s="73"/>
      <c r="AK112" s="73"/>
      <c r="AL112" s="73"/>
      <c r="AM112" s="73"/>
      <c r="AN112" s="73"/>
      <c r="AO112" s="73"/>
      <c r="AP112" s="73"/>
      <c r="AQ112" s="73"/>
      <c r="AR112" s="65"/>
      <c r="AS112" s="65"/>
    </row>
    <row r="113" spans="1:45" ht="13.5" customHeight="1">
      <c r="A113" s="90"/>
      <c r="B113" s="42"/>
      <c r="C113" s="144"/>
      <c r="D113" s="128"/>
      <c r="E113" s="129"/>
      <c r="F113" s="129"/>
      <c r="G113" s="129"/>
      <c r="H113" s="129"/>
      <c r="I113" s="129"/>
      <c r="J113" s="129"/>
      <c r="K113" s="129"/>
      <c r="L113" s="129"/>
      <c r="M113" s="130"/>
      <c r="N113" s="73"/>
      <c r="O113" s="73"/>
      <c r="P113" s="73"/>
      <c r="Q113" s="73"/>
      <c r="R113" s="73"/>
      <c r="S113" s="73"/>
      <c r="T113" s="73"/>
      <c r="U113" s="73"/>
      <c r="V113" s="73"/>
      <c r="W113" s="73"/>
      <c r="X113" s="73"/>
      <c r="Y113" s="73"/>
      <c r="Z113" s="73"/>
      <c r="AA113" s="73"/>
      <c r="AB113" s="65"/>
      <c r="AC113" s="65"/>
      <c r="AD113" s="73"/>
      <c r="AE113" s="73"/>
      <c r="AF113" s="73"/>
      <c r="AG113" s="73"/>
      <c r="AH113" s="73"/>
      <c r="AI113" s="73"/>
      <c r="AJ113" s="73"/>
      <c r="AK113" s="73"/>
      <c r="AL113" s="73"/>
      <c r="AM113" s="73"/>
      <c r="AN113" s="73"/>
      <c r="AO113" s="73"/>
      <c r="AP113" s="73"/>
      <c r="AQ113" s="73"/>
      <c r="AR113" s="65"/>
      <c r="AS113" s="65"/>
    </row>
    <row r="114" spans="1:45" ht="13.5" customHeight="1">
      <c r="A114" s="90"/>
      <c r="B114" s="42"/>
      <c r="C114" s="144"/>
      <c r="D114" s="128"/>
      <c r="E114" s="129"/>
      <c r="F114" s="129"/>
      <c r="G114" s="129"/>
      <c r="H114" s="129"/>
      <c r="I114" s="129"/>
      <c r="J114" s="129"/>
      <c r="K114" s="129"/>
      <c r="L114" s="129"/>
      <c r="M114" s="130"/>
      <c r="N114" s="73"/>
      <c r="O114" s="73"/>
      <c r="P114" s="73"/>
      <c r="Q114" s="73"/>
      <c r="R114" s="73"/>
      <c r="S114" s="73"/>
      <c r="T114" s="73"/>
      <c r="U114" s="73"/>
      <c r="V114" s="73"/>
      <c r="W114" s="73"/>
      <c r="X114" s="73"/>
      <c r="Y114" s="73"/>
      <c r="Z114" s="73"/>
      <c r="AA114" s="73"/>
      <c r="AB114" s="65"/>
      <c r="AC114" s="65"/>
      <c r="AD114" s="73"/>
      <c r="AE114" s="73"/>
      <c r="AF114" s="73"/>
      <c r="AG114" s="73"/>
      <c r="AH114" s="73"/>
      <c r="AI114" s="73"/>
      <c r="AJ114" s="73"/>
      <c r="AK114" s="73"/>
      <c r="AL114" s="73"/>
      <c r="AM114" s="73"/>
      <c r="AN114" s="73"/>
      <c r="AO114" s="73"/>
      <c r="AP114" s="73"/>
      <c r="AQ114" s="73"/>
      <c r="AR114" s="65"/>
      <c r="AS114" s="65"/>
    </row>
    <row r="115" spans="1:45" ht="13.5" customHeight="1">
      <c r="A115" s="90"/>
      <c r="B115" s="42"/>
      <c r="C115" s="144"/>
      <c r="D115" s="128"/>
      <c r="E115" s="129"/>
      <c r="F115" s="129"/>
      <c r="G115" s="129"/>
      <c r="H115" s="129"/>
      <c r="I115" s="129"/>
      <c r="J115" s="129"/>
      <c r="K115" s="129"/>
      <c r="L115" s="129"/>
      <c r="M115" s="130"/>
      <c r="N115" s="73"/>
      <c r="O115" s="73"/>
      <c r="P115" s="73"/>
      <c r="Q115" s="73"/>
      <c r="R115" s="73"/>
      <c r="S115" s="73"/>
      <c r="T115" s="73"/>
      <c r="U115" s="73"/>
      <c r="V115" s="73"/>
      <c r="W115" s="73"/>
      <c r="X115" s="73"/>
      <c r="Y115" s="73"/>
      <c r="Z115" s="73"/>
      <c r="AA115" s="73"/>
      <c r="AB115" s="65"/>
      <c r="AC115" s="65"/>
      <c r="AD115" s="73"/>
      <c r="AE115" s="73"/>
      <c r="AF115" s="73"/>
      <c r="AG115" s="73"/>
      <c r="AH115" s="73"/>
      <c r="AI115" s="73"/>
      <c r="AJ115" s="73"/>
      <c r="AK115" s="73"/>
      <c r="AL115" s="73"/>
      <c r="AM115" s="73"/>
      <c r="AN115" s="73"/>
      <c r="AO115" s="73"/>
      <c r="AP115" s="73"/>
      <c r="AQ115" s="73"/>
      <c r="AR115" s="65"/>
      <c r="AS115" s="65"/>
    </row>
    <row r="116" spans="1:45" ht="13.5" customHeight="1">
      <c r="A116" s="90"/>
      <c r="B116" s="42"/>
      <c r="C116" s="144"/>
      <c r="D116" s="128"/>
      <c r="E116" s="129"/>
      <c r="F116" s="129"/>
      <c r="G116" s="129"/>
      <c r="H116" s="129"/>
      <c r="I116" s="129"/>
      <c r="J116" s="129"/>
      <c r="K116" s="129"/>
      <c r="L116" s="129"/>
      <c r="M116" s="130"/>
      <c r="N116" s="73"/>
      <c r="O116" s="73"/>
      <c r="P116" s="73"/>
      <c r="Q116" s="73"/>
      <c r="R116" s="73"/>
      <c r="S116" s="73"/>
      <c r="T116" s="73"/>
      <c r="U116" s="73"/>
      <c r="V116" s="73"/>
      <c r="W116" s="73"/>
      <c r="X116" s="73"/>
      <c r="Y116" s="73"/>
      <c r="Z116" s="73"/>
      <c r="AA116" s="73"/>
      <c r="AB116" s="65"/>
      <c r="AC116" s="65"/>
      <c r="AD116" s="73"/>
      <c r="AE116" s="73"/>
      <c r="AF116" s="73"/>
      <c r="AG116" s="73"/>
      <c r="AH116" s="73"/>
      <c r="AI116" s="73"/>
      <c r="AJ116" s="73"/>
      <c r="AK116" s="73"/>
      <c r="AL116" s="73"/>
      <c r="AM116" s="73"/>
      <c r="AN116" s="73"/>
      <c r="AO116" s="73"/>
      <c r="AP116" s="73"/>
      <c r="AQ116" s="73"/>
      <c r="AR116" s="65"/>
      <c r="AS116" s="65"/>
    </row>
    <row r="117" spans="1:45" ht="13.5" customHeight="1">
      <c r="A117" s="90"/>
      <c r="B117" s="42"/>
      <c r="C117" s="144"/>
      <c r="D117" s="128"/>
      <c r="E117" s="129"/>
      <c r="F117" s="129"/>
      <c r="G117" s="129"/>
      <c r="H117" s="129"/>
      <c r="I117" s="129"/>
      <c r="J117" s="129"/>
      <c r="K117" s="129"/>
      <c r="L117" s="129"/>
      <c r="M117" s="130"/>
      <c r="N117" s="73"/>
      <c r="O117" s="73"/>
      <c r="P117" s="73"/>
      <c r="Q117" s="73"/>
      <c r="R117" s="73"/>
      <c r="S117" s="73"/>
      <c r="T117" s="73"/>
      <c r="U117" s="73"/>
      <c r="V117" s="73"/>
      <c r="W117" s="73"/>
      <c r="X117" s="73"/>
      <c r="Y117" s="73"/>
      <c r="Z117" s="73"/>
      <c r="AA117" s="73"/>
      <c r="AB117" s="65"/>
      <c r="AC117" s="65"/>
      <c r="AD117" s="73"/>
      <c r="AE117" s="73"/>
      <c r="AF117" s="73"/>
      <c r="AG117" s="73"/>
      <c r="AH117" s="73"/>
      <c r="AI117" s="73"/>
      <c r="AJ117" s="73"/>
      <c r="AK117" s="73"/>
      <c r="AL117" s="73"/>
      <c r="AM117" s="73"/>
      <c r="AN117" s="73"/>
      <c r="AO117" s="73"/>
      <c r="AP117" s="73"/>
      <c r="AQ117" s="73"/>
      <c r="AR117" s="65"/>
      <c r="AS117" s="65"/>
    </row>
    <row r="118" spans="1:45" ht="13.5" customHeight="1">
      <c r="A118" s="90"/>
      <c r="B118" s="42"/>
      <c r="C118" s="144"/>
      <c r="D118" s="128"/>
      <c r="E118" s="129"/>
      <c r="F118" s="129"/>
      <c r="G118" s="129"/>
      <c r="H118" s="129"/>
      <c r="I118" s="129"/>
      <c r="J118" s="129"/>
      <c r="K118" s="129"/>
      <c r="L118" s="129"/>
      <c r="M118" s="130"/>
      <c r="N118" s="73"/>
      <c r="O118" s="73"/>
      <c r="P118" s="73"/>
      <c r="Q118" s="73"/>
      <c r="R118" s="73"/>
      <c r="S118" s="73"/>
      <c r="T118" s="73"/>
      <c r="U118" s="73"/>
      <c r="V118" s="73"/>
      <c r="W118" s="73"/>
      <c r="X118" s="73"/>
      <c r="Y118" s="73"/>
      <c r="Z118" s="73"/>
      <c r="AA118" s="73"/>
      <c r="AB118" s="65"/>
      <c r="AC118" s="65"/>
      <c r="AD118" s="73"/>
      <c r="AE118" s="73"/>
      <c r="AF118" s="73"/>
      <c r="AG118" s="73"/>
      <c r="AH118" s="73"/>
      <c r="AI118" s="73"/>
      <c r="AJ118" s="73"/>
      <c r="AK118" s="73"/>
      <c r="AL118" s="73"/>
      <c r="AM118" s="73"/>
      <c r="AN118" s="73"/>
      <c r="AO118" s="73"/>
      <c r="AP118" s="73"/>
      <c r="AQ118" s="73"/>
      <c r="AR118" s="65"/>
      <c r="AS118" s="65"/>
    </row>
    <row r="119" spans="1:45" ht="13.5" customHeight="1">
      <c r="A119" s="90"/>
      <c r="B119" s="42"/>
      <c r="C119" s="144"/>
      <c r="D119" s="128"/>
      <c r="E119" s="129"/>
      <c r="F119" s="129"/>
      <c r="G119" s="129"/>
      <c r="H119" s="129"/>
      <c r="I119" s="129"/>
      <c r="J119" s="129"/>
      <c r="K119" s="129"/>
      <c r="L119" s="129"/>
      <c r="M119" s="130"/>
      <c r="N119" s="73"/>
      <c r="O119" s="73"/>
      <c r="P119" s="73"/>
      <c r="Q119" s="73"/>
      <c r="R119" s="73"/>
      <c r="S119" s="73"/>
      <c r="T119" s="73"/>
      <c r="U119" s="73"/>
      <c r="V119" s="73"/>
      <c r="W119" s="73"/>
      <c r="X119" s="73"/>
      <c r="Y119" s="73"/>
      <c r="Z119" s="73"/>
      <c r="AA119" s="73"/>
      <c r="AB119" s="65"/>
      <c r="AC119" s="65"/>
      <c r="AD119" s="73"/>
      <c r="AE119" s="73"/>
      <c r="AF119" s="73"/>
      <c r="AG119" s="73"/>
      <c r="AH119" s="73"/>
      <c r="AI119" s="73"/>
      <c r="AJ119" s="73"/>
      <c r="AK119" s="73"/>
      <c r="AL119" s="73"/>
      <c r="AM119" s="73"/>
      <c r="AN119" s="73"/>
      <c r="AO119" s="73"/>
      <c r="AP119" s="73"/>
      <c r="AQ119" s="73"/>
      <c r="AR119" s="65"/>
      <c r="AS119" s="65"/>
    </row>
    <row r="120" spans="1:45" ht="13.5" customHeight="1">
      <c r="A120" s="90"/>
      <c r="B120" s="42"/>
      <c r="C120" s="144"/>
      <c r="D120" s="128"/>
      <c r="E120" s="129"/>
      <c r="F120" s="129"/>
      <c r="G120" s="129"/>
      <c r="H120" s="129"/>
      <c r="I120" s="129"/>
      <c r="J120" s="129"/>
      <c r="K120" s="129"/>
      <c r="L120" s="129"/>
      <c r="M120" s="130"/>
      <c r="N120" s="73"/>
      <c r="O120" s="73"/>
      <c r="P120" s="73"/>
      <c r="Q120" s="73"/>
      <c r="R120" s="73"/>
      <c r="S120" s="73"/>
      <c r="T120" s="73"/>
      <c r="U120" s="73"/>
      <c r="V120" s="73"/>
      <c r="W120" s="73"/>
      <c r="X120" s="73"/>
      <c r="Y120" s="73"/>
      <c r="Z120" s="73"/>
      <c r="AA120" s="73"/>
      <c r="AB120" s="65"/>
      <c r="AC120" s="65"/>
      <c r="AD120" s="73"/>
      <c r="AE120" s="73"/>
      <c r="AF120" s="73"/>
      <c r="AG120" s="73"/>
      <c r="AH120" s="73"/>
      <c r="AI120" s="73"/>
      <c r="AJ120" s="73"/>
      <c r="AK120" s="73"/>
      <c r="AL120" s="73"/>
      <c r="AM120" s="73"/>
      <c r="AN120" s="73"/>
      <c r="AO120" s="73"/>
      <c r="AP120" s="73"/>
      <c r="AQ120" s="73"/>
      <c r="AR120" s="65"/>
      <c r="AS120" s="65"/>
    </row>
    <row r="121" spans="1:45" ht="13.5" customHeight="1">
      <c r="A121" s="90"/>
      <c r="B121" s="42"/>
      <c r="C121" s="144"/>
      <c r="D121" s="128"/>
      <c r="E121" s="129"/>
      <c r="F121" s="129"/>
      <c r="G121" s="129"/>
      <c r="H121" s="129"/>
      <c r="I121" s="129"/>
      <c r="J121" s="129"/>
      <c r="K121" s="129"/>
      <c r="L121" s="129"/>
      <c r="M121" s="130"/>
      <c r="N121" s="73"/>
      <c r="O121" s="73"/>
      <c r="P121" s="73"/>
      <c r="Q121" s="73"/>
      <c r="R121" s="73"/>
      <c r="S121" s="73"/>
      <c r="T121" s="73"/>
      <c r="U121" s="73"/>
      <c r="V121" s="73"/>
      <c r="W121" s="73"/>
      <c r="X121" s="73"/>
      <c r="Y121" s="73"/>
      <c r="Z121" s="73"/>
      <c r="AA121" s="73"/>
      <c r="AB121" s="65"/>
      <c r="AC121" s="65"/>
      <c r="AD121" s="73"/>
      <c r="AE121" s="73"/>
      <c r="AF121" s="73"/>
      <c r="AG121" s="73"/>
      <c r="AH121" s="73"/>
      <c r="AI121" s="73"/>
      <c r="AJ121" s="73"/>
      <c r="AK121" s="73"/>
      <c r="AL121" s="73"/>
      <c r="AM121" s="73"/>
      <c r="AN121" s="73"/>
      <c r="AO121" s="73"/>
      <c r="AP121" s="73"/>
      <c r="AQ121" s="73"/>
      <c r="AR121" s="65"/>
      <c r="AS121" s="65"/>
    </row>
    <row r="122" spans="1:45" ht="13.5" customHeight="1">
      <c r="A122" s="90"/>
      <c r="B122" s="42"/>
      <c r="C122" s="144"/>
      <c r="D122" s="128"/>
      <c r="E122" s="129"/>
      <c r="F122" s="129"/>
      <c r="G122" s="129"/>
      <c r="H122" s="129"/>
      <c r="I122" s="129"/>
      <c r="J122" s="129"/>
      <c r="K122" s="129"/>
      <c r="L122" s="129"/>
      <c r="M122" s="130"/>
      <c r="N122" s="73"/>
      <c r="O122" s="73"/>
      <c r="P122" s="73"/>
      <c r="Q122" s="73"/>
      <c r="R122" s="73"/>
      <c r="S122" s="73"/>
      <c r="T122" s="73"/>
      <c r="U122" s="73"/>
      <c r="V122" s="73"/>
      <c r="W122" s="73"/>
      <c r="X122" s="73"/>
      <c r="Y122" s="73"/>
      <c r="Z122" s="73"/>
      <c r="AA122" s="73"/>
      <c r="AB122" s="65"/>
      <c r="AC122" s="65"/>
      <c r="AD122" s="73"/>
      <c r="AE122" s="73"/>
      <c r="AF122" s="73"/>
      <c r="AG122" s="73"/>
      <c r="AH122" s="73"/>
      <c r="AI122" s="73"/>
      <c r="AJ122" s="73"/>
      <c r="AK122" s="73"/>
      <c r="AL122" s="73"/>
      <c r="AM122" s="73"/>
      <c r="AN122" s="73"/>
      <c r="AO122" s="73"/>
      <c r="AP122" s="73"/>
      <c r="AQ122" s="73"/>
      <c r="AR122" s="65"/>
      <c r="AS122" s="65"/>
    </row>
    <row r="123" spans="1:45" ht="13.5" customHeight="1">
      <c r="A123" s="90"/>
      <c r="B123" s="42"/>
      <c r="C123" s="144"/>
      <c r="D123" s="128"/>
      <c r="E123" s="129"/>
      <c r="F123" s="129"/>
      <c r="G123" s="129"/>
      <c r="H123" s="129"/>
      <c r="I123" s="129"/>
      <c r="J123" s="129"/>
      <c r="K123" s="129"/>
      <c r="L123" s="129"/>
      <c r="M123" s="130"/>
      <c r="N123" s="73"/>
      <c r="O123" s="73"/>
      <c r="P123" s="73"/>
      <c r="Q123" s="73"/>
      <c r="R123" s="73"/>
      <c r="S123" s="73"/>
      <c r="T123" s="73"/>
      <c r="U123" s="73"/>
      <c r="V123" s="73"/>
      <c r="W123" s="73"/>
      <c r="X123" s="73"/>
      <c r="Y123" s="73"/>
      <c r="Z123" s="73"/>
      <c r="AA123" s="73"/>
      <c r="AB123" s="65"/>
      <c r="AC123" s="65"/>
      <c r="AD123" s="73"/>
      <c r="AE123" s="73"/>
      <c r="AF123" s="73"/>
      <c r="AG123" s="73"/>
      <c r="AH123" s="73"/>
      <c r="AI123" s="73"/>
      <c r="AJ123" s="73"/>
      <c r="AK123" s="73"/>
      <c r="AL123" s="73"/>
      <c r="AM123" s="73"/>
      <c r="AN123" s="73"/>
      <c r="AO123" s="73"/>
      <c r="AP123" s="73"/>
      <c r="AQ123" s="73"/>
      <c r="AR123" s="65"/>
      <c r="AS123" s="65"/>
    </row>
    <row r="124" spans="1:45" ht="13.5" customHeight="1">
      <c r="A124" s="90"/>
      <c r="B124" s="42"/>
      <c r="C124" s="144"/>
      <c r="D124" s="128"/>
      <c r="E124" s="129"/>
      <c r="F124" s="129"/>
      <c r="G124" s="129"/>
      <c r="H124" s="129"/>
      <c r="I124" s="129"/>
      <c r="J124" s="129"/>
      <c r="K124" s="129"/>
      <c r="L124" s="129"/>
      <c r="M124" s="130"/>
      <c r="N124" s="73"/>
      <c r="O124" s="73"/>
      <c r="P124" s="73"/>
      <c r="Q124" s="73"/>
      <c r="R124" s="73"/>
      <c r="S124" s="73"/>
      <c r="T124" s="73"/>
      <c r="U124" s="73"/>
      <c r="V124" s="73"/>
      <c r="W124" s="73"/>
      <c r="X124" s="73"/>
      <c r="Y124" s="73"/>
      <c r="Z124" s="73"/>
      <c r="AA124" s="73"/>
      <c r="AB124" s="65"/>
      <c r="AC124" s="65"/>
      <c r="AD124" s="73"/>
      <c r="AE124" s="73"/>
      <c r="AF124" s="73"/>
      <c r="AG124" s="73"/>
      <c r="AH124" s="73"/>
      <c r="AI124" s="73"/>
      <c r="AJ124" s="73"/>
      <c r="AK124" s="73"/>
      <c r="AL124" s="73"/>
      <c r="AM124" s="73"/>
      <c r="AN124" s="73"/>
      <c r="AO124" s="73"/>
      <c r="AP124" s="73"/>
      <c r="AQ124" s="73"/>
      <c r="AR124" s="65"/>
      <c r="AS124" s="65"/>
    </row>
    <row r="125" spans="1:45" ht="13.5" customHeight="1">
      <c r="A125" s="90"/>
      <c r="B125" s="42"/>
      <c r="C125" s="144"/>
      <c r="D125" s="128"/>
      <c r="E125" s="129"/>
      <c r="F125" s="129"/>
      <c r="G125" s="129"/>
      <c r="H125" s="129"/>
      <c r="I125" s="129"/>
      <c r="J125" s="129"/>
      <c r="K125" s="129"/>
      <c r="L125" s="129"/>
      <c r="M125" s="130"/>
      <c r="N125" s="73"/>
      <c r="O125" s="73"/>
      <c r="P125" s="73"/>
      <c r="Q125" s="73"/>
      <c r="R125" s="73"/>
      <c r="S125" s="73"/>
      <c r="T125" s="73"/>
      <c r="U125" s="73"/>
      <c r="V125" s="73"/>
      <c r="W125" s="73"/>
      <c r="X125" s="73"/>
      <c r="Y125" s="73"/>
      <c r="Z125" s="73"/>
      <c r="AA125" s="73"/>
      <c r="AB125" s="65"/>
      <c r="AC125" s="65"/>
      <c r="AD125" s="73"/>
      <c r="AE125" s="73"/>
      <c r="AF125" s="73"/>
      <c r="AG125" s="73"/>
      <c r="AH125" s="73"/>
      <c r="AI125" s="73"/>
      <c r="AJ125" s="73"/>
      <c r="AK125" s="73"/>
      <c r="AL125" s="73"/>
      <c r="AM125" s="73"/>
      <c r="AN125" s="73"/>
      <c r="AO125" s="73"/>
      <c r="AP125" s="73"/>
      <c r="AQ125" s="73"/>
      <c r="AR125" s="65"/>
      <c r="AS125" s="65"/>
    </row>
    <row r="126" spans="1:45" ht="13.5" customHeight="1">
      <c r="A126" s="90"/>
      <c r="B126" s="42"/>
      <c r="C126" s="144"/>
      <c r="D126" s="128"/>
      <c r="E126" s="129"/>
      <c r="F126" s="129"/>
      <c r="G126" s="129"/>
      <c r="H126" s="129"/>
      <c r="I126" s="129"/>
      <c r="J126" s="129"/>
      <c r="K126" s="129"/>
      <c r="L126" s="129"/>
      <c r="M126" s="130"/>
      <c r="N126" s="73"/>
      <c r="O126" s="73"/>
      <c r="P126" s="73"/>
      <c r="Q126" s="73"/>
      <c r="R126" s="73"/>
      <c r="S126" s="73"/>
      <c r="T126" s="73"/>
      <c r="U126" s="73"/>
      <c r="V126" s="73"/>
      <c r="W126" s="73"/>
      <c r="X126" s="73"/>
      <c r="Y126" s="73"/>
      <c r="Z126" s="73"/>
      <c r="AA126" s="73"/>
      <c r="AB126" s="65"/>
      <c r="AC126" s="65"/>
      <c r="AD126" s="73"/>
      <c r="AE126" s="73"/>
      <c r="AF126" s="73"/>
      <c r="AG126" s="73"/>
      <c r="AH126" s="73"/>
      <c r="AI126" s="73"/>
      <c r="AJ126" s="73"/>
      <c r="AK126" s="73"/>
      <c r="AL126" s="73"/>
      <c r="AM126" s="73"/>
      <c r="AN126" s="73"/>
      <c r="AO126" s="73"/>
      <c r="AP126" s="73"/>
      <c r="AQ126" s="73"/>
      <c r="AR126" s="65"/>
      <c r="AS126" s="65"/>
    </row>
    <row r="127" spans="1:45" ht="13.5" customHeight="1">
      <c r="A127" s="90"/>
      <c r="B127" s="42"/>
      <c r="C127" s="144"/>
      <c r="D127" s="128"/>
      <c r="E127" s="129"/>
      <c r="F127" s="129"/>
      <c r="G127" s="129"/>
      <c r="H127" s="129"/>
      <c r="I127" s="129"/>
      <c r="J127" s="129"/>
      <c r="K127" s="129"/>
      <c r="L127" s="129"/>
      <c r="M127" s="130"/>
      <c r="N127" s="73"/>
      <c r="O127" s="73"/>
      <c r="P127" s="73"/>
      <c r="Q127" s="73"/>
      <c r="R127" s="73"/>
      <c r="S127" s="73"/>
      <c r="T127" s="73"/>
      <c r="U127" s="73"/>
      <c r="V127" s="73"/>
      <c r="W127" s="73"/>
      <c r="X127" s="73"/>
      <c r="Y127" s="73"/>
      <c r="Z127" s="73"/>
      <c r="AA127" s="73"/>
      <c r="AB127" s="65"/>
      <c r="AC127" s="65"/>
      <c r="AD127" s="73"/>
      <c r="AE127" s="73"/>
      <c r="AF127" s="73"/>
      <c r="AG127" s="73"/>
      <c r="AH127" s="73"/>
      <c r="AI127" s="73"/>
      <c r="AJ127" s="73"/>
      <c r="AK127" s="73"/>
      <c r="AL127" s="73"/>
      <c r="AM127" s="73"/>
      <c r="AN127" s="73"/>
      <c r="AO127" s="73"/>
      <c r="AP127" s="73"/>
      <c r="AQ127" s="73"/>
      <c r="AR127" s="65"/>
      <c r="AS127" s="65"/>
    </row>
    <row r="128" spans="1:45" ht="13.5" customHeight="1">
      <c r="A128" s="90"/>
      <c r="B128" s="42"/>
      <c r="C128" s="144"/>
      <c r="D128" s="128"/>
      <c r="E128" s="129"/>
      <c r="F128" s="129"/>
      <c r="G128" s="129"/>
      <c r="H128" s="129"/>
      <c r="I128" s="129"/>
      <c r="J128" s="129"/>
      <c r="K128" s="129"/>
      <c r="L128" s="129"/>
      <c r="M128" s="130"/>
      <c r="N128" s="73"/>
      <c r="O128" s="73"/>
      <c r="P128" s="73"/>
      <c r="Q128" s="73"/>
      <c r="R128" s="73"/>
      <c r="S128" s="73"/>
      <c r="T128" s="73"/>
      <c r="U128" s="73"/>
      <c r="V128" s="73"/>
      <c r="W128" s="73"/>
      <c r="X128" s="73"/>
      <c r="Y128" s="73"/>
      <c r="Z128" s="73"/>
      <c r="AA128" s="73"/>
      <c r="AB128" s="65"/>
      <c r="AC128" s="65"/>
      <c r="AD128" s="73"/>
      <c r="AE128" s="73"/>
      <c r="AF128" s="73"/>
      <c r="AG128" s="73"/>
      <c r="AH128" s="73"/>
      <c r="AI128" s="73"/>
      <c r="AJ128" s="73"/>
      <c r="AK128" s="73"/>
      <c r="AL128" s="73"/>
      <c r="AM128" s="73"/>
      <c r="AN128" s="73"/>
      <c r="AO128" s="73"/>
      <c r="AP128" s="73"/>
      <c r="AQ128" s="73"/>
      <c r="AR128" s="65"/>
      <c r="AS128" s="65"/>
    </row>
    <row r="129" spans="1:45" ht="13.5" customHeight="1">
      <c r="A129" s="90"/>
      <c r="B129" s="42"/>
      <c r="C129" s="144"/>
      <c r="D129" s="128"/>
      <c r="E129" s="129"/>
      <c r="F129" s="129"/>
      <c r="G129" s="129"/>
      <c r="H129" s="129"/>
      <c r="I129" s="129"/>
      <c r="J129" s="129"/>
      <c r="K129" s="129"/>
      <c r="L129" s="129"/>
      <c r="M129" s="130"/>
      <c r="N129" s="73"/>
      <c r="O129" s="73"/>
      <c r="P129" s="73"/>
      <c r="Q129" s="73"/>
      <c r="R129" s="73"/>
      <c r="S129" s="73"/>
      <c r="T129" s="73"/>
      <c r="U129" s="73"/>
      <c r="V129" s="73"/>
      <c r="W129" s="73"/>
      <c r="X129" s="73"/>
      <c r="Y129" s="73"/>
      <c r="Z129" s="73"/>
      <c r="AA129" s="73"/>
      <c r="AB129" s="65"/>
      <c r="AC129" s="65"/>
      <c r="AD129" s="73"/>
      <c r="AE129" s="73"/>
      <c r="AF129" s="73"/>
      <c r="AG129" s="73"/>
      <c r="AH129" s="73"/>
      <c r="AI129" s="73"/>
      <c r="AJ129" s="73"/>
      <c r="AK129" s="73"/>
      <c r="AL129" s="73"/>
      <c r="AM129" s="73"/>
      <c r="AN129" s="73"/>
      <c r="AO129" s="73"/>
      <c r="AP129" s="73"/>
      <c r="AQ129" s="73"/>
      <c r="AR129" s="65"/>
      <c r="AS129" s="65"/>
    </row>
    <row r="130" spans="1:45" ht="13.5" customHeight="1">
      <c r="A130" s="90"/>
      <c r="B130" s="42"/>
      <c r="C130" s="144"/>
      <c r="D130" s="128"/>
      <c r="E130" s="129"/>
      <c r="F130" s="129"/>
      <c r="G130" s="129"/>
      <c r="H130" s="129"/>
      <c r="I130" s="129"/>
      <c r="J130" s="129"/>
      <c r="K130" s="129"/>
      <c r="L130" s="129"/>
      <c r="M130" s="130"/>
      <c r="N130" s="73"/>
      <c r="O130" s="73"/>
      <c r="P130" s="73"/>
      <c r="Q130" s="73"/>
      <c r="R130" s="73"/>
      <c r="S130" s="73"/>
      <c r="T130" s="73"/>
      <c r="U130" s="73"/>
      <c r="V130" s="73"/>
      <c r="W130" s="73"/>
      <c r="X130" s="73"/>
      <c r="Y130" s="73"/>
      <c r="Z130" s="73"/>
      <c r="AA130" s="73"/>
      <c r="AB130" s="65"/>
      <c r="AC130" s="65"/>
      <c r="AD130" s="73"/>
      <c r="AE130" s="73"/>
      <c r="AF130" s="73"/>
      <c r="AG130" s="73"/>
      <c r="AH130" s="73"/>
      <c r="AI130" s="73"/>
      <c r="AJ130" s="73"/>
      <c r="AK130" s="73"/>
      <c r="AL130" s="73"/>
      <c r="AM130" s="73"/>
      <c r="AN130" s="73"/>
      <c r="AO130" s="73"/>
      <c r="AP130" s="73"/>
      <c r="AQ130" s="73"/>
      <c r="AR130" s="65"/>
      <c r="AS130" s="65"/>
    </row>
    <row r="131" spans="1:45" ht="13.5" customHeight="1">
      <c r="A131" s="90"/>
      <c r="B131" s="42"/>
      <c r="C131" s="144"/>
      <c r="D131" s="128"/>
      <c r="E131" s="129"/>
      <c r="F131" s="129"/>
      <c r="G131" s="129"/>
      <c r="H131" s="129"/>
      <c r="I131" s="129"/>
      <c r="J131" s="129"/>
      <c r="K131" s="129"/>
      <c r="L131" s="129"/>
      <c r="M131" s="130"/>
      <c r="N131" s="73"/>
      <c r="O131" s="73"/>
      <c r="P131" s="73"/>
      <c r="Q131" s="73"/>
      <c r="R131" s="73"/>
      <c r="S131" s="73"/>
      <c r="T131" s="73"/>
      <c r="U131" s="73"/>
      <c r="V131" s="73"/>
      <c r="W131" s="73"/>
      <c r="X131" s="73"/>
      <c r="Y131" s="73"/>
      <c r="Z131" s="73"/>
      <c r="AA131" s="73"/>
      <c r="AB131" s="65"/>
      <c r="AC131" s="65"/>
      <c r="AD131" s="73"/>
      <c r="AE131" s="73"/>
      <c r="AF131" s="73"/>
      <c r="AG131" s="73"/>
      <c r="AH131" s="73"/>
      <c r="AI131" s="73"/>
      <c r="AJ131" s="73"/>
      <c r="AK131" s="73"/>
      <c r="AL131" s="73"/>
      <c r="AM131" s="73"/>
      <c r="AN131" s="73"/>
      <c r="AO131" s="73"/>
      <c r="AP131" s="73"/>
      <c r="AQ131" s="73"/>
      <c r="AR131" s="65"/>
      <c r="AS131" s="65"/>
    </row>
    <row r="132" spans="1:45" ht="13.5" customHeight="1">
      <c r="A132" s="90"/>
      <c r="B132" s="42"/>
      <c r="C132" s="144"/>
      <c r="D132" s="128"/>
      <c r="E132" s="129"/>
      <c r="F132" s="129"/>
      <c r="G132" s="129"/>
      <c r="H132" s="129"/>
      <c r="I132" s="129"/>
      <c r="J132" s="129"/>
      <c r="K132" s="129"/>
      <c r="L132" s="129"/>
      <c r="M132" s="130"/>
      <c r="N132" s="73"/>
      <c r="O132" s="73"/>
      <c r="P132" s="73"/>
      <c r="Q132" s="73"/>
      <c r="R132" s="73"/>
      <c r="S132" s="73"/>
      <c r="T132" s="73"/>
      <c r="U132" s="73"/>
      <c r="V132" s="73"/>
      <c r="W132" s="73"/>
      <c r="X132" s="73"/>
      <c r="Y132" s="73"/>
      <c r="Z132" s="73"/>
      <c r="AA132" s="73"/>
      <c r="AB132" s="65"/>
      <c r="AC132" s="65"/>
      <c r="AD132" s="73"/>
      <c r="AE132" s="73"/>
      <c r="AF132" s="73"/>
      <c r="AG132" s="73"/>
      <c r="AH132" s="73"/>
      <c r="AI132" s="73"/>
      <c r="AJ132" s="73"/>
      <c r="AK132" s="73"/>
      <c r="AL132" s="73"/>
      <c r="AM132" s="73"/>
      <c r="AN132" s="73"/>
      <c r="AO132" s="73"/>
      <c r="AP132" s="73"/>
      <c r="AQ132" s="73"/>
      <c r="AR132" s="65"/>
      <c r="AS132" s="65"/>
    </row>
    <row r="133" spans="1:45" ht="13.5" customHeight="1">
      <c r="A133" s="90"/>
      <c r="B133" s="42"/>
      <c r="C133" s="144"/>
      <c r="D133" s="128"/>
      <c r="E133" s="129"/>
      <c r="F133" s="129"/>
      <c r="G133" s="129"/>
      <c r="H133" s="129"/>
      <c r="I133" s="129"/>
      <c r="J133" s="129"/>
      <c r="K133" s="129"/>
      <c r="L133" s="129"/>
      <c r="M133" s="130"/>
      <c r="N133" s="73"/>
      <c r="O133" s="73"/>
      <c r="P133" s="73"/>
      <c r="Q133" s="73"/>
      <c r="R133" s="73"/>
      <c r="S133" s="73"/>
      <c r="T133" s="73"/>
      <c r="U133" s="73"/>
      <c r="V133" s="73"/>
      <c r="W133" s="73"/>
      <c r="X133" s="73"/>
      <c r="Y133" s="73"/>
      <c r="Z133" s="73"/>
      <c r="AA133" s="73"/>
      <c r="AB133" s="65"/>
      <c r="AC133" s="65"/>
      <c r="AD133" s="73"/>
      <c r="AE133" s="73"/>
      <c r="AF133" s="73"/>
      <c r="AG133" s="73"/>
      <c r="AH133" s="73"/>
      <c r="AI133" s="73"/>
      <c r="AJ133" s="73"/>
      <c r="AK133" s="73"/>
      <c r="AL133" s="73"/>
      <c r="AM133" s="73"/>
      <c r="AN133" s="73"/>
      <c r="AO133" s="73"/>
      <c r="AP133" s="73"/>
      <c r="AQ133" s="73"/>
      <c r="AR133" s="65"/>
      <c r="AS133" s="65"/>
    </row>
    <row r="134" spans="1:45" ht="13.5" customHeight="1">
      <c r="A134" s="90"/>
      <c r="B134" s="42"/>
      <c r="C134" s="144"/>
      <c r="D134" s="128"/>
      <c r="E134" s="129"/>
      <c r="F134" s="129"/>
      <c r="G134" s="129"/>
      <c r="H134" s="129"/>
      <c r="I134" s="129"/>
      <c r="J134" s="129"/>
      <c r="K134" s="129"/>
      <c r="L134" s="129"/>
      <c r="M134" s="130"/>
      <c r="N134" s="73"/>
      <c r="O134" s="73"/>
      <c r="P134" s="73"/>
      <c r="Q134" s="73"/>
      <c r="R134" s="73"/>
      <c r="S134" s="73"/>
      <c r="T134" s="73"/>
      <c r="U134" s="73"/>
      <c r="V134" s="73"/>
      <c r="W134" s="73"/>
      <c r="X134" s="73"/>
      <c r="Y134" s="73"/>
      <c r="Z134" s="73"/>
      <c r="AA134" s="73"/>
      <c r="AB134" s="65"/>
      <c r="AC134" s="65"/>
      <c r="AD134" s="73"/>
      <c r="AE134" s="73"/>
      <c r="AF134" s="73"/>
      <c r="AG134" s="73"/>
      <c r="AH134" s="73"/>
      <c r="AI134" s="73"/>
      <c r="AJ134" s="73"/>
      <c r="AK134" s="73"/>
      <c r="AL134" s="73"/>
      <c r="AM134" s="73"/>
      <c r="AN134" s="73"/>
      <c r="AO134" s="73"/>
      <c r="AP134" s="73"/>
      <c r="AQ134" s="73"/>
      <c r="AR134" s="65"/>
      <c r="AS134" s="65"/>
    </row>
    <row r="135" spans="1:45" ht="13.5" customHeight="1">
      <c r="A135" s="90"/>
      <c r="B135" s="42"/>
      <c r="C135" s="144"/>
      <c r="D135" s="128"/>
      <c r="E135" s="129"/>
      <c r="F135" s="129"/>
      <c r="G135" s="129"/>
      <c r="H135" s="129"/>
      <c r="I135" s="129"/>
      <c r="J135" s="129"/>
      <c r="K135" s="129"/>
      <c r="L135" s="129"/>
      <c r="M135" s="130"/>
      <c r="N135" s="73"/>
      <c r="O135" s="73"/>
      <c r="P135" s="73"/>
      <c r="Q135" s="73"/>
      <c r="R135" s="73"/>
      <c r="S135" s="73"/>
      <c r="T135" s="73"/>
      <c r="U135" s="73"/>
      <c r="V135" s="73"/>
      <c r="W135" s="73"/>
      <c r="X135" s="73"/>
      <c r="Y135" s="73"/>
      <c r="Z135" s="73"/>
      <c r="AA135" s="73"/>
      <c r="AB135" s="65"/>
      <c r="AC135" s="65"/>
      <c r="AD135" s="73"/>
      <c r="AE135" s="73"/>
      <c r="AF135" s="73"/>
      <c r="AG135" s="73"/>
      <c r="AH135" s="73"/>
      <c r="AI135" s="73"/>
      <c r="AJ135" s="73"/>
      <c r="AK135" s="73"/>
      <c r="AL135" s="73"/>
      <c r="AM135" s="73"/>
      <c r="AN135" s="73"/>
      <c r="AO135" s="73"/>
      <c r="AP135" s="73"/>
      <c r="AQ135" s="73"/>
      <c r="AR135" s="65"/>
      <c r="AS135" s="65"/>
    </row>
    <row r="136" spans="1:45" ht="13.5" customHeight="1">
      <c r="A136" s="90"/>
      <c r="B136" s="42"/>
      <c r="C136" s="144"/>
      <c r="D136" s="128"/>
      <c r="E136" s="129"/>
      <c r="F136" s="129"/>
      <c r="G136" s="129"/>
      <c r="H136" s="129"/>
      <c r="I136" s="129"/>
      <c r="J136" s="129"/>
      <c r="K136" s="129"/>
      <c r="L136" s="129"/>
      <c r="M136" s="130"/>
      <c r="N136" s="73"/>
      <c r="O136" s="73"/>
      <c r="P136" s="73"/>
      <c r="Q136" s="73"/>
      <c r="R136" s="73"/>
      <c r="S136" s="73"/>
      <c r="T136" s="73"/>
      <c r="U136" s="73"/>
      <c r="V136" s="73"/>
      <c r="W136" s="73"/>
      <c r="X136" s="73"/>
      <c r="Y136" s="73"/>
      <c r="Z136" s="73"/>
      <c r="AA136" s="73"/>
      <c r="AB136" s="65"/>
      <c r="AC136" s="65"/>
      <c r="AD136" s="73"/>
      <c r="AE136" s="73"/>
      <c r="AF136" s="73"/>
      <c r="AG136" s="73"/>
      <c r="AH136" s="73"/>
      <c r="AI136" s="73"/>
      <c r="AJ136" s="73"/>
      <c r="AK136" s="73"/>
      <c r="AL136" s="73"/>
      <c r="AM136" s="73"/>
      <c r="AN136" s="73"/>
      <c r="AO136" s="73"/>
      <c r="AP136" s="73"/>
      <c r="AQ136" s="73"/>
      <c r="AR136" s="65"/>
      <c r="AS136" s="65"/>
    </row>
    <row r="137" spans="1:45" ht="13.5" customHeight="1">
      <c r="A137" s="90"/>
      <c r="B137" s="42"/>
      <c r="C137" s="144"/>
      <c r="D137" s="128"/>
      <c r="E137" s="129"/>
      <c r="F137" s="129"/>
      <c r="G137" s="129"/>
      <c r="H137" s="129"/>
      <c r="I137" s="129"/>
      <c r="J137" s="129"/>
      <c r="K137" s="129"/>
      <c r="L137" s="129"/>
      <c r="M137" s="130"/>
      <c r="N137" s="73"/>
      <c r="O137" s="73"/>
      <c r="P137" s="73"/>
      <c r="Q137" s="73"/>
      <c r="R137" s="73"/>
      <c r="S137" s="73"/>
      <c r="T137" s="73"/>
      <c r="U137" s="73"/>
      <c r="V137" s="73"/>
      <c r="W137" s="73"/>
      <c r="X137" s="73"/>
      <c r="Y137" s="73"/>
      <c r="Z137" s="73"/>
      <c r="AA137" s="73"/>
      <c r="AB137" s="65"/>
      <c r="AC137" s="65"/>
      <c r="AD137" s="73"/>
      <c r="AE137" s="73"/>
      <c r="AF137" s="73"/>
      <c r="AG137" s="73"/>
      <c r="AH137" s="73"/>
      <c r="AI137" s="73"/>
      <c r="AJ137" s="73"/>
      <c r="AK137" s="73"/>
      <c r="AL137" s="73"/>
      <c r="AM137" s="73"/>
      <c r="AN137" s="73"/>
      <c r="AO137" s="73"/>
      <c r="AP137" s="73"/>
      <c r="AQ137" s="73"/>
      <c r="AR137" s="65"/>
      <c r="AS137" s="65"/>
    </row>
    <row r="138" spans="1:45" ht="13.5" customHeight="1">
      <c r="A138" s="90"/>
      <c r="B138" s="42"/>
      <c r="C138" s="144"/>
      <c r="D138" s="128"/>
      <c r="E138" s="129"/>
      <c r="F138" s="129"/>
      <c r="G138" s="129"/>
      <c r="H138" s="129"/>
      <c r="I138" s="129"/>
      <c r="J138" s="129"/>
      <c r="K138" s="129"/>
      <c r="L138" s="129"/>
      <c r="M138" s="130"/>
      <c r="N138" s="73"/>
      <c r="O138" s="73"/>
      <c r="P138" s="73"/>
      <c r="Q138" s="73"/>
      <c r="R138" s="73"/>
      <c r="S138" s="73"/>
      <c r="T138" s="73"/>
      <c r="U138" s="73"/>
      <c r="V138" s="73"/>
      <c r="W138" s="73"/>
      <c r="X138" s="73"/>
      <c r="Y138" s="73"/>
      <c r="Z138" s="73"/>
      <c r="AA138" s="73"/>
      <c r="AB138" s="65"/>
      <c r="AC138" s="65"/>
      <c r="AD138" s="73"/>
      <c r="AE138" s="73"/>
      <c r="AF138" s="73"/>
      <c r="AG138" s="73"/>
      <c r="AH138" s="73"/>
      <c r="AI138" s="73"/>
      <c r="AJ138" s="73"/>
      <c r="AK138" s="73"/>
      <c r="AL138" s="73"/>
      <c r="AM138" s="73"/>
      <c r="AN138" s="73"/>
      <c r="AO138" s="73"/>
      <c r="AP138" s="73"/>
      <c r="AQ138" s="73"/>
      <c r="AR138" s="65"/>
      <c r="AS138" s="65"/>
    </row>
    <row r="139" spans="1:45" ht="13.5" customHeight="1">
      <c r="A139" s="90"/>
      <c r="B139" s="42"/>
      <c r="C139" s="144"/>
      <c r="D139" s="128"/>
      <c r="E139" s="129"/>
      <c r="F139" s="129"/>
      <c r="G139" s="129"/>
      <c r="H139" s="129"/>
      <c r="I139" s="129"/>
      <c r="J139" s="129"/>
      <c r="K139" s="129"/>
      <c r="L139" s="129"/>
      <c r="M139" s="130"/>
      <c r="N139" s="73"/>
      <c r="O139" s="73"/>
      <c r="P139" s="73"/>
      <c r="Q139" s="73"/>
      <c r="R139" s="73"/>
      <c r="S139" s="73"/>
      <c r="T139" s="73"/>
      <c r="U139" s="73"/>
      <c r="V139" s="73"/>
      <c r="W139" s="73"/>
      <c r="X139" s="73"/>
      <c r="Y139" s="73"/>
      <c r="Z139" s="73"/>
      <c r="AA139" s="73"/>
      <c r="AB139" s="65"/>
      <c r="AC139" s="65"/>
      <c r="AD139" s="73"/>
      <c r="AE139" s="73"/>
      <c r="AF139" s="73"/>
      <c r="AG139" s="73"/>
      <c r="AH139" s="73"/>
      <c r="AI139" s="73"/>
      <c r="AJ139" s="73"/>
      <c r="AK139" s="73"/>
      <c r="AL139" s="73"/>
      <c r="AM139" s="73"/>
      <c r="AN139" s="73"/>
      <c r="AO139" s="73"/>
      <c r="AP139" s="73"/>
      <c r="AQ139" s="73"/>
      <c r="AR139" s="65"/>
      <c r="AS139" s="65"/>
    </row>
    <row r="140" spans="1:45" ht="13.5" customHeight="1">
      <c r="A140" s="90"/>
      <c r="B140" s="42"/>
      <c r="C140" s="144"/>
      <c r="D140" s="128"/>
      <c r="E140" s="129"/>
      <c r="F140" s="129"/>
      <c r="G140" s="129"/>
      <c r="H140" s="129"/>
      <c r="I140" s="129"/>
      <c r="J140" s="129"/>
      <c r="K140" s="129"/>
      <c r="L140" s="129"/>
      <c r="M140" s="130"/>
      <c r="N140" s="73"/>
      <c r="O140" s="73"/>
      <c r="P140" s="73"/>
      <c r="Q140" s="73"/>
      <c r="R140" s="73"/>
      <c r="S140" s="73"/>
      <c r="T140" s="73"/>
      <c r="U140" s="73"/>
      <c r="V140" s="73"/>
      <c r="W140" s="73"/>
      <c r="X140" s="73"/>
      <c r="Y140" s="73"/>
      <c r="Z140" s="73"/>
      <c r="AA140" s="73"/>
      <c r="AB140" s="65"/>
      <c r="AC140" s="65"/>
      <c r="AD140" s="73"/>
      <c r="AE140" s="73"/>
      <c r="AF140" s="73"/>
      <c r="AG140" s="73"/>
      <c r="AH140" s="73"/>
      <c r="AI140" s="73"/>
      <c r="AJ140" s="73"/>
      <c r="AK140" s="73"/>
      <c r="AL140" s="73"/>
      <c r="AM140" s="73"/>
      <c r="AN140" s="73"/>
      <c r="AO140" s="73"/>
      <c r="AP140" s="73"/>
      <c r="AQ140" s="73"/>
      <c r="AR140" s="65"/>
      <c r="AS140" s="65"/>
    </row>
    <row r="141" spans="1:45" ht="13.5" customHeight="1">
      <c r="A141" s="90"/>
      <c r="B141" s="42"/>
      <c r="C141" s="144"/>
      <c r="D141" s="128"/>
      <c r="E141" s="129"/>
      <c r="F141" s="129"/>
      <c r="G141" s="129"/>
      <c r="H141" s="129"/>
      <c r="I141" s="129"/>
      <c r="J141" s="129"/>
      <c r="K141" s="129"/>
      <c r="L141" s="129"/>
      <c r="M141" s="130"/>
      <c r="N141" s="73"/>
      <c r="O141" s="73"/>
      <c r="P141" s="73"/>
      <c r="Q141" s="73"/>
      <c r="R141" s="73"/>
      <c r="S141" s="73"/>
      <c r="T141" s="73"/>
      <c r="U141" s="73"/>
      <c r="V141" s="73"/>
      <c r="W141" s="73"/>
      <c r="X141" s="73"/>
      <c r="Y141" s="73"/>
      <c r="Z141" s="73"/>
      <c r="AA141" s="73"/>
      <c r="AB141" s="65"/>
      <c r="AC141" s="65"/>
      <c r="AD141" s="73"/>
      <c r="AE141" s="73"/>
      <c r="AF141" s="73"/>
      <c r="AG141" s="73"/>
      <c r="AH141" s="73"/>
      <c r="AI141" s="73"/>
      <c r="AJ141" s="73"/>
      <c r="AK141" s="73"/>
      <c r="AL141" s="73"/>
      <c r="AM141" s="73"/>
      <c r="AN141" s="73"/>
      <c r="AO141" s="73"/>
      <c r="AP141" s="73"/>
      <c r="AQ141" s="73"/>
      <c r="AR141" s="65"/>
      <c r="AS141" s="65"/>
    </row>
    <row r="142" spans="1:45" ht="13.5" customHeight="1">
      <c r="A142" s="90"/>
      <c r="B142" s="42"/>
      <c r="C142" s="144"/>
      <c r="D142" s="128"/>
      <c r="E142" s="129"/>
      <c r="F142" s="129"/>
      <c r="G142" s="129"/>
      <c r="H142" s="129"/>
      <c r="I142" s="129"/>
      <c r="J142" s="129"/>
      <c r="K142" s="129"/>
      <c r="L142" s="129"/>
      <c r="M142" s="130"/>
      <c r="N142" s="73"/>
      <c r="O142" s="73"/>
      <c r="P142" s="73"/>
      <c r="Q142" s="73"/>
      <c r="R142" s="73"/>
      <c r="S142" s="73"/>
      <c r="T142" s="73"/>
      <c r="U142" s="73"/>
      <c r="V142" s="73"/>
      <c r="W142" s="73"/>
      <c r="X142" s="73"/>
      <c r="Y142" s="73"/>
      <c r="Z142" s="73"/>
      <c r="AA142" s="73"/>
      <c r="AB142" s="65"/>
      <c r="AC142" s="65"/>
      <c r="AD142" s="73"/>
      <c r="AE142" s="73"/>
      <c r="AF142" s="73"/>
      <c r="AG142" s="73"/>
      <c r="AH142" s="73"/>
      <c r="AI142" s="73"/>
      <c r="AJ142" s="73"/>
      <c r="AK142" s="73"/>
      <c r="AL142" s="73"/>
      <c r="AM142" s="73"/>
      <c r="AN142" s="73"/>
      <c r="AO142" s="73"/>
      <c r="AP142" s="73"/>
      <c r="AQ142" s="73"/>
      <c r="AR142" s="65"/>
      <c r="AS142" s="65"/>
    </row>
    <row r="143" spans="1:45" ht="13.5" customHeight="1">
      <c r="A143" s="90"/>
      <c r="B143" s="42"/>
      <c r="C143" s="144"/>
      <c r="D143" s="128"/>
      <c r="E143" s="129"/>
      <c r="F143" s="129"/>
      <c r="G143" s="129"/>
      <c r="H143" s="129"/>
      <c r="I143" s="129"/>
      <c r="J143" s="129"/>
      <c r="K143" s="129"/>
      <c r="L143" s="129"/>
      <c r="M143" s="130"/>
      <c r="N143" s="73"/>
      <c r="O143" s="73"/>
      <c r="P143" s="73"/>
      <c r="Q143" s="73"/>
      <c r="R143" s="73"/>
      <c r="S143" s="73"/>
      <c r="T143" s="73"/>
      <c r="U143" s="73"/>
      <c r="V143" s="73"/>
      <c r="W143" s="73"/>
      <c r="X143" s="73"/>
      <c r="Y143" s="73"/>
      <c r="Z143" s="73"/>
      <c r="AA143" s="73"/>
      <c r="AB143" s="65"/>
      <c r="AC143" s="65"/>
      <c r="AD143" s="73"/>
      <c r="AE143" s="73"/>
      <c r="AF143" s="73"/>
      <c r="AG143" s="73"/>
      <c r="AH143" s="73"/>
      <c r="AI143" s="73"/>
      <c r="AJ143" s="73"/>
      <c r="AK143" s="73"/>
      <c r="AL143" s="73"/>
      <c r="AM143" s="73"/>
      <c r="AN143" s="73"/>
      <c r="AO143" s="73"/>
      <c r="AP143" s="73"/>
      <c r="AQ143" s="73"/>
      <c r="AR143" s="65"/>
      <c r="AS143" s="65"/>
    </row>
    <row r="144" spans="1:45" ht="13.5" customHeight="1">
      <c r="A144" s="90"/>
      <c r="B144" s="42"/>
      <c r="C144" s="144"/>
      <c r="D144" s="128"/>
      <c r="E144" s="129"/>
      <c r="F144" s="129"/>
      <c r="G144" s="129"/>
      <c r="H144" s="129"/>
      <c r="I144" s="129"/>
      <c r="J144" s="129"/>
      <c r="K144" s="129"/>
      <c r="L144" s="129"/>
      <c r="M144" s="130"/>
      <c r="N144" s="73"/>
      <c r="O144" s="73"/>
      <c r="P144" s="73"/>
      <c r="Q144" s="73"/>
      <c r="R144" s="73"/>
      <c r="S144" s="73"/>
      <c r="T144" s="73"/>
      <c r="U144" s="73"/>
      <c r="V144" s="73"/>
      <c r="W144" s="73"/>
      <c r="X144" s="73"/>
      <c r="Y144" s="73"/>
      <c r="Z144" s="73"/>
      <c r="AA144" s="73"/>
      <c r="AB144" s="65"/>
      <c r="AC144" s="65"/>
      <c r="AD144" s="73"/>
      <c r="AE144" s="73"/>
      <c r="AF144" s="73"/>
      <c r="AG144" s="73"/>
      <c r="AH144" s="73"/>
      <c r="AI144" s="73"/>
      <c r="AJ144" s="73"/>
      <c r="AK144" s="73"/>
      <c r="AL144" s="73"/>
      <c r="AM144" s="73"/>
      <c r="AN144" s="73"/>
      <c r="AO144" s="73"/>
      <c r="AP144" s="73"/>
      <c r="AQ144" s="73"/>
      <c r="AR144" s="65"/>
      <c r="AS144" s="65"/>
    </row>
    <row r="145" spans="1:45" ht="13.5" customHeight="1">
      <c r="A145" s="90"/>
      <c r="B145" s="42"/>
      <c r="C145" s="144"/>
      <c r="D145" s="128"/>
      <c r="E145" s="129"/>
      <c r="F145" s="129"/>
      <c r="G145" s="129"/>
      <c r="H145" s="129"/>
      <c r="I145" s="129"/>
      <c r="J145" s="129"/>
      <c r="K145" s="129"/>
      <c r="L145" s="129"/>
      <c r="M145" s="130"/>
      <c r="N145" s="73"/>
      <c r="O145" s="73"/>
      <c r="P145" s="73"/>
      <c r="Q145" s="73"/>
      <c r="R145" s="73"/>
      <c r="S145" s="73"/>
      <c r="T145" s="73"/>
      <c r="U145" s="73"/>
      <c r="V145" s="73"/>
      <c r="W145" s="73"/>
      <c r="X145" s="73"/>
      <c r="Y145" s="73"/>
      <c r="Z145" s="73"/>
      <c r="AA145" s="73"/>
      <c r="AB145" s="65"/>
      <c r="AC145" s="65"/>
      <c r="AD145" s="73"/>
      <c r="AE145" s="73"/>
      <c r="AF145" s="73"/>
      <c r="AG145" s="73"/>
      <c r="AH145" s="73"/>
      <c r="AI145" s="73"/>
      <c r="AJ145" s="73"/>
      <c r="AK145" s="73"/>
      <c r="AL145" s="73"/>
      <c r="AM145" s="73"/>
      <c r="AN145" s="73"/>
      <c r="AO145" s="73"/>
      <c r="AP145" s="73"/>
      <c r="AQ145" s="73"/>
      <c r="AR145" s="65"/>
      <c r="AS145" s="65"/>
    </row>
    <row r="146" spans="1:45" ht="13.5" customHeight="1">
      <c r="A146" s="90"/>
      <c r="B146" s="42"/>
      <c r="C146" s="144"/>
      <c r="D146" s="128"/>
      <c r="E146" s="129"/>
      <c r="F146" s="129"/>
      <c r="G146" s="129"/>
      <c r="H146" s="129"/>
      <c r="I146" s="129"/>
      <c r="J146" s="129"/>
      <c r="K146" s="129"/>
      <c r="L146" s="129"/>
      <c r="M146" s="130"/>
      <c r="N146" s="73"/>
      <c r="O146" s="73"/>
      <c r="P146" s="73"/>
      <c r="Q146" s="73"/>
      <c r="R146" s="73"/>
      <c r="S146" s="73"/>
      <c r="T146" s="73"/>
      <c r="U146" s="73"/>
      <c r="V146" s="73"/>
      <c r="W146" s="73"/>
      <c r="X146" s="73"/>
      <c r="Y146" s="73"/>
      <c r="Z146" s="73"/>
      <c r="AA146" s="73"/>
      <c r="AB146" s="65"/>
      <c r="AC146" s="65"/>
      <c r="AD146" s="73"/>
      <c r="AE146" s="73"/>
      <c r="AF146" s="73"/>
      <c r="AG146" s="73"/>
      <c r="AH146" s="73"/>
      <c r="AI146" s="73"/>
      <c r="AJ146" s="73"/>
      <c r="AK146" s="73"/>
      <c r="AL146" s="73"/>
      <c r="AM146" s="73"/>
      <c r="AN146" s="73"/>
      <c r="AO146" s="73"/>
      <c r="AP146" s="73"/>
      <c r="AQ146" s="73"/>
      <c r="AR146" s="65"/>
      <c r="AS146" s="65"/>
    </row>
    <row r="147" spans="1:45" ht="13.5" customHeight="1">
      <c r="A147" s="90"/>
      <c r="B147" s="42"/>
      <c r="C147" s="144"/>
      <c r="D147" s="128"/>
      <c r="E147" s="129"/>
      <c r="F147" s="129"/>
      <c r="G147" s="129"/>
      <c r="H147" s="129"/>
      <c r="I147" s="129"/>
      <c r="J147" s="129"/>
      <c r="K147" s="129"/>
      <c r="L147" s="129"/>
      <c r="M147" s="130"/>
      <c r="N147" s="73"/>
      <c r="O147" s="73"/>
      <c r="P147" s="73"/>
      <c r="Q147" s="73"/>
      <c r="R147" s="73"/>
      <c r="S147" s="73"/>
      <c r="T147" s="73"/>
      <c r="U147" s="73"/>
      <c r="V147" s="73"/>
      <c r="W147" s="73"/>
      <c r="X147" s="73"/>
      <c r="Y147" s="73"/>
      <c r="Z147" s="73"/>
      <c r="AA147" s="73"/>
      <c r="AB147" s="65"/>
      <c r="AC147" s="65"/>
      <c r="AD147" s="73"/>
      <c r="AE147" s="73"/>
      <c r="AF147" s="73"/>
      <c r="AG147" s="73"/>
      <c r="AH147" s="73"/>
      <c r="AI147" s="73"/>
      <c r="AJ147" s="73"/>
      <c r="AK147" s="73"/>
      <c r="AL147" s="73"/>
      <c r="AM147" s="73"/>
      <c r="AN147" s="73"/>
      <c r="AO147" s="73"/>
      <c r="AP147" s="73"/>
      <c r="AQ147" s="73"/>
      <c r="AR147" s="65"/>
      <c r="AS147" s="65"/>
    </row>
    <row r="148" spans="1:45" ht="13.5" customHeight="1">
      <c r="A148" s="90"/>
      <c r="B148" s="42"/>
      <c r="C148" s="144"/>
      <c r="D148" s="128"/>
      <c r="E148" s="129"/>
      <c r="F148" s="129"/>
      <c r="G148" s="129"/>
      <c r="H148" s="129"/>
      <c r="I148" s="129"/>
      <c r="J148" s="129"/>
      <c r="K148" s="129"/>
      <c r="L148" s="129"/>
      <c r="M148" s="130"/>
      <c r="N148" s="73"/>
      <c r="O148" s="73"/>
      <c r="P148" s="73"/>
      <c r="Q148" s="73"/>
      <c r="R148" s="73"/>
      <c r="S148" s="73"/>
      <c r="T148" s="73"/>
      <c r="U148" s="73"/>
      <c r="V148" s="73"/>
      <c r="W148" s="73"/>
      <c r="X148" s="73"/>
      <c r="Y148" s="73"/>
      <c r="Z148" s="73"/>
      <c r="AA148" s="73"/>
      <c r="AB148" s="65"/>
      <c r="AC148" s="65"/>
      <c r="AD148" s="73"/>
      <c r="AE148" s="73"/>
      <c r="AF148" s="73"/>
      <c r="AG148" s="73"/>
      <c r="AH148" s="73"/>
      <c r="AI148" s="73"/>
      <c r="AJ148" s="73"/>
      <c r="AK148" s="73"/>
      <c r="AL148" s="73"/>
      <c r="AM148" s="73"/>
      <c r="AN148" s="73"/>
      <c r="AO148" s="73"/>
      <c r="AP148" s="73"/>
      <c r="AQ148" s="73"/>
      <c r="AR148" s="65"/>
      <c r="AS148" s="65"/>
    </row>
    <row r="149" spans="1:45" ht="13.5" customHeight="1">
      <c r="A149" s="90"/>
      <c r="B149" s="42"/>
      <c r="C149" s="144"/>
      <c r="D149" s="128"/>
      <c r="E149" s="129"/>
      <c r="F149" s="129"/>
      <c r="G149" s="129"/>
      <c r="H149" s="129"/>
      <c r="I149" s="129"/>
      <c r="J149" s="129"/>
      <c r="K149" s="129"/>
      <c r="L149" s="129"/>
      <c r="M149" s="130"/>
      <c r="N149" s="73"/>
      <c r="O149" s="73"/>
      <c r="P149" s="73"/>
      <c r="Q149" s="73"/>
      <c r="R149" s="73"/>
      <c r="S149" s="73"/>
      <c r="T149" s="73"/>
      <c r="U149" s="73"/>
      <c r="V149" s="73"/>
      <c r="W149" s="73"/>
      <c r="X149" s="73"/>
      <c r="Y149" s="73"/>
      <c r="Z149" s="73"/>
      <c r="AA149" s="73"/>
      <c r="AB149" s="65"/>
      <c r="AC149" s="65"/>
      <c r="AD149" s="73"/>
      <c r="AE149" s="73"/>
      <c r="AF149" s="73"/>
      <c r="AG149" s="73"/>
      <c r="AH149" s="73"/>
      <c r="AI149" s="73"/>
      <c r="AJ149" s="73"/>
      <c r="AK149" s="73"/>
      <c r="AL149" s="73"/>
      <c r="AM149" s="73"/>
      <c r="AN149" s="73"/>
      <c r="AO149" s="73"/>
      <c r="AP149" s="73"/>
      <c r="AQ149" s="73"/>
      <c r="AR149" s="65"/>
      <c r="AS149" s="65"/>
    </row>
    <row r="150" spans="1:45" ht="13.5" customHeight="1">
      <c r="A150" s="90"/>
      <c r="B150" s="42"/>
      <c r="C150" s="144"/>
      <c r="D150" s="128"/>
      <c r="E150" s="129"/>
      <c r="F150" s="129"/>
      <c r="G150" s="129"/>
      <c r="H150" s="129"/>
      <c r="I150" s="129"/>
      <c r="J150" s="129"/>
      <c r="K150" s="129"/>
      <c r="L150" s="129"/>
      <c r="M150" s="130"/>
      <c r="N150" s="73"/>
      <c r="O150" s="73"/>
      <c r="P150" s="73"/>
      <c r="Q150" s="73"/>
      <c r="R150" s="73"/>
      <c r="S150" s="73"/>
      <c r="T150" s="73"/>
      <c r="U150" s="73"/>
      <c r="V150" s="73"/>
      <c r="W150" s="73"/>
      <c r="X150" s="73"/>
      <c r="Y150" s="73"/>
      <c r="Z150" s="73"/>
      <c r="AA150" s="73"/>
      <c r="AB150" s="65"/>
      <c r="AC150" s="65"/>
      <c r="AD150" s="73"/>
      <c r="AE150" s="73"/>
      <c r="AF150" s="73"/>
      <c r="AG150" s="73"/>
      <c r="AH150" s="73"/>
      <c r="AI150" s="73"/>
      <c r="AJ150" s="73"/>
      <c r="AK150" s="73"/>
      <c r="AL150" s="73"/>
      <c r="AM150" s="73"/>
      <c r="AN150" s="73"/>
      <c r="AO150" s="73"/>
      <c r="AP150" s="73"/>
      <c r="AQ150" s="73"/>
      <c r="AR150" s="65"/>
      <c r="AS150" s="65"/>
    </row>
    <row r="151" spans="1:45" ht="13.5" customHeight="1">
      <c r="A151" s="90"/>
      <c r="B151" s="42"/>
      <c r="C151" s="144"/>
      <c r="D151" s="128"/>
      <c r="E151" s="129"/>
      <c r="F151" s="129"/>
      <c r="G151" s="129"/>
      <c r="H151" s="129"/>
      <c r="I151" s="129"/>
      <c r="J151" s="129"/>
      <c r="K151" s="129"/>
      <c r="L151" s="129"/>
      <c r="M151" s="130"/>
      <c r="N151" s="73"/>
      <c r="O151" s="73"/>
      <c r="P151" s="73"/>
      <c r="Q151" s="73"/>
      <c r="R151" s="73"/>
      <c r="S151" s="73"/>
      <c r="T151" s="73"/>
      <c r="U151" s="73"/>
      <c r="V151" s="73"/>
      <c r="W151" s="73"/>
      <c r="X151" s="73"/>
      <c r="Y151" s="73"/>
      <c r="Z151" s="73"/>
      <c r="AA151" s="73"/>
      <c r="AB151" s="65"/>
      <c r="AC151" s="65"/>
      <c r="AD151" s="73"/>
      <c r="AE151" s="73"/>
      <c r="AF151" s="73"/>
      <c r="AG151" s="73"/>
      <c r="AH151" s="73"/>
      <c r="AI151" s="73"/>
      <c r="AJ151" s="73"/>
      <c r="AK151" s="73"/>
      <c r="AL151" s="73"/>
      <c r="AM151" s="73"/>
      <c r="AN151" s="73"/>
      <c r="AO151" s="73"/>
      <c r="AP151" s="73"/>
      <c r="AQ151" s="73"/>
      <c r="AR151" s="65"/>
      <c r="AS151" s="65"/>
    </row>
    <row r="152" spans="1:45" ht="13.5" customHeight="1">
      <c r="A152" s="90"/>
      <c r="B152" s="42"/>
      <c r="C152" s="144"/>
      <c r="D152" s="128"/>
      <c r="E152" s="129"/>
      <c r="F152" s="129"/>
      <c r="G152" s="129"/>
      <c r="H152" s="129"/>
      <c r="I152" s="129"/>
      <c r="J152" s="129"/>
      <c r="K152" s="129"/>
      <c r="L152" s="129"/>
      <c r="M152" s="130"/>
      <c r="N152" s="73"/>
      <c r="O152" s="73"/>
      <c r="P152" s="73"/>
      <c r="Q152" s="73"/>
      <c r="R152" s="73"/>
      <c r="S152" s="73"/>
      <c r="T152" s="73"/>
      <c r="U152" s="73"/>
      <c r="V152" s="73"/>
      <c r="W152" s="73"/>
      <c r="X152" s="73"/>
      <c r="Y152" s="73"/>
      <c r="Z152" s="73"/>
      <c r="AA152" s="73"/>
      <c r="AB152" s="65"/>
      <c r="AC152" s="65"/>
      <c r="AD152" s="73"/>
      <c r="AE152" s="73"/>
      <c r="AF152" s="73"/>
      <c r="AG152" s="73"/>
      <c r="AH152" s="73"/>
      <c r="AI152" s="73"/>
      <c r="AJ152" s="73"/>
      <c r="AK152" s="73"/>
      <c r="AL152" s="73"/>
      <c r="AM152" s="73"/>
      <c r="AN152" s="73"/>
      <c r="AO152" s="73"/>
      <c r="AP152" s="73"/>
      <c r="AQ152" s="73"/>
      <c r="AR152" s="65"/>
      <c r="AS152" s="65"/>
    </row>
    <row r="153" spans="1:45" ht="13.5" customHeight="1">
      <c r="A153" s="90"/>
      <c r="B153" s="42"/>
      <c r="C153" s="144"/>
      <c r="D153" s="128"/>
      <c r="E153" s="129"/>
      <c r="F153" s="129"/>
      <c r="G153" s="129"/>
      <c r="H153" s="129"/>
      <c r="I153" s="129"/>
      <c r="J153" s="129"/>
      <c r="K153" s="129"/>
      <c r="L153" s="129"/>
      <c r="M153" s="130"/>
      <c r="N153" s="73"/>
      <c r="O153" s="73"/>
      <c r="P153" s="73"/>
      <c r="Q153" s="73"/>
      <c r="R153" s="73"/>
      <c r="S153" s="73"/>
      <c r="T153" s="73"/>
      <c r="U153" s="73"/>
      <c r="V153" s="73"/>
      <c r="W153" s="73"/>
      <c r="X153" s="73"/>
      <c r="Y153" s="73"/>
      <c r="Z153" s="73"/>
      <c r="AA153" s="73"/>
      <c r="AB153" s="65"/>
      <c r="AC153" s="65"/>
      <c r="AD153" s="73"/>
      <c r="AE153" s="73"/>
      <c r="AF153" s="73"/>
      <c r="AG153" s="73"/>
      <c r="AH153" s="73"/>
      <c r="AI153" s="73"/>
      <c r="AJ153" s="73"/>
      <c r="AK153" s="73"/>
      <c r="AL153" s="73"/>
      <c r="AM153" s="73"/>
      <c r="AN153" s="73"/>
      <c r="AO153" s="73"/>
      <c r="AP153" s="73"/>
      <c r="AQ153" s="73"/>
      <c r="AR153" s="65"/>
      <c r="AS153" s="65"/>
    </row>
    <row r="154" spans="1:45" ht="13.5" customHeight="1">
      <c r="A154" s="90"/>
      <c r="B154" s="42"/>
      <c r="C154" s="144"/>
      <c r="D154" s="128"/>
      <c r="E154" s="129"/>
      <c r="F154" s="129"/>
      <c r="G154" s="129"/>
      <c r="H154" s="129"/>
      <c r="I154" s="129"/>
      <c r="J154" s="129"/>
      <c r="K154" s="129"/>
      <c r="L154" s="129"/>
      <c r="M154" s="130"/>
      <c r="N154" s="73"/>
      <c r="O154" s="73"/>
      <c r="P154" s="73"/>
      <c r="Q154" s="73"/>
      <c r="R154" s="73"/>
      <c r="S154" s="73"/>
      <c r="T154" s="73"/>
      <c r="U154" s="73"/>
      <c r="V154" s="73"/>
      <c r="W154" s="73"/>
      <c r="X154" s="73"/>
      <c r="Y154" s="73"/>
      <c r="Z154" s="73"/>
      <c r="AA154" s="73"/>
      <c r="AB154" s="65"/>
      <c r="AC154" s="65"/>
      <c r="AD154" s="73"/>
      <c r="AE154" s="73"/>
      <c r="AF154" s="73"/>
      <c r="AG154" s="73"/>
      <c r="AH154" s="73"/>
      <c r="AI154" s="73"/>
      <c r="AJ154" s="73"/>
      <c r="AK154" s="73"/>
      <c r="AL154" s="73"/>
      <c r="AM154" s="73"/>
      <c r="AN154" s="73"/>
      <c r="AO154" s="73"/>
      <c r="AP154" s="73"/>
      <c r="AQ154" s="73"/>
      <c r="AR154" s="65"/>
      <c r="AS154" s="65"/>
    </row>
    <row r="155" spans="1:45" ht="13.5" customHeight="1">
      <c r="A155" s="90"/>
      <c r="B155" s="42"/>
      <c r="C155" s="144"/>
      <c r="D155" s="128"/>
      <c r="E155" s="129"/>
      <c r="F155" s="129"/>
      <c r="G155" s="129"/>
      <c r="H155" s="129"/>
      <c r="I155" s="129"/>
      <c r="J155" s="129"/>
      <c r="K155" s="129"/>
      <c r="L155" s="129"/>
      <c r="M155" s="130"/>
      <c r="N155" s="73"/>
      <c r="O155" s="73"/>
      <c r="P155" s="73"/>
      <c r="Q155" s="73"/>
      <c r="R155" s="73"/>
      <c r="S155" s="73"/>
      <c r="T155" s="73"/>
      <c r="U155" s="73"/>
      <c r="V155" s="73"/>
      <c r="W155" s="73"/>
      <c r="X155" s="73"/>
      <c r="Y155" s="73"/>
      <c r="Z155" s="73"/>
      <c r="AA155" s="73"/>
      <c r="AB155" s="65"/>
      <c r="AC155" s="65"/>
      <c r="AD155" s="73"/>
      <c r="AE155" s="73"/>
      <c r="AF155" s="73"/>
      <c r="AG155" s="73"/>
      <c r="AH155" s="73"/>
      <c r="AI155" s="73"/>
      <c r="AJ155" s="73"/>
      <c r="AK155" s="73"/>
      <c r="AL155" s="73"/>
      <c r="AM155" s="73"/>
      <c r="AN155" s="73"/>
      <c r="AO155" s="73"/>
      <c r="AP155" s="73"/>
      <c r="AQ155" s="73"/>
      <c r="AR155" s="65"/>
      <c r="AS155" s="65"/>
    </row>
    <row r="156" spans="1:45" ht="13.5" customHeight="1">
      <c r="A156" s="90"/>
      <c r="B156" s="42"/>
      <c r="C156" s="144"/>
      <c r="D156" s="128"/>
      <c r="E156" s="129"/>
      <c r="F156" s="129"/>
      <c r="G156" s="129"/>
      <c r="H156" s="129"/>
      <c r="I156" s="129"/>
      <c r="J156" s="129"/>
      <c r="K156" s="129"/>
      <c r="L156" s="129"/>
      <c r="M156" s="130"/>
      <c r="N156" s="73"/>
      <c r="O156" s="73"/>
      <c r="P156" s="73"/>
      <c r="Q156" s="73"/>
      <c r="R156" s="73"/>
      <c r="S156" s="73"/>
      <c r="T156" s="73"/>
      <c r="U156" s="73"/>
      <c r="V156" s="73"/>
      <c r="W156" s="73"/>
      <c r="X156" s="73"/>
      <c r="Y156" s="73"/>
      <c r="Z156" s="73"/>
      <c r="AA156" s="73"/>
      <c r="AB156" s="65"/>
      <c r="AC156" s="65"/>
      <c r="AD156" s="73"/>
      <c r="AE156" s="73"/>
      <c r="AF156" s="73"/>
      <c r="AG156" s="73"/>
      <c r="AH156" s="73"/>
      <c r="AI156" s="73"/>
      <c r="AJ156" s="73"/>
      <c r="AK156" s="73"/>
      <c r="AL156" s="73"/>
      <c r="AM156" s="73"/>
      <c r="AN156" s="73"/>
      <c r="AO156" s="73"/>
      <c r="AP156" s="73"/>
      <c r="AQ156" s="73"/>
      <c r="AR156" s="65"/>
      <c r="AS156" s="65"/>
    </row>
    <row r="157" spans="1:45" ht="13.5" customHeight="1">
      <c r="A157" s="90"/>
      <c r="B157" s="42"/>
      <c r="C157" s="144"/>
      <c r="D157" s="128"/>
      <c r="E157" s="129"/>
      <c r="F157" s="129"/>
      <c r="G157" s="129"/>
      <c r="H157" s="129"/>
      <c r="I157" s="129"/>
      <c r="J157" s="129"/>
      <c r="K157" s="129"/>
      <c r="L157" s="129"/>
      <c r="M157" s="130"/>
      <c r="N157" s="73"/>
      <c r="O157" s="73"/>
      <c r="P157" s="73"/>
      <c r="Q157" s="73"/>
      <c r="R157" s="73"/>
      <c r="S157" s="73"/>
      <c r="T157" s="73"/>
      <c r="U157" s="73"/>
      <c r="V157" s="73"/>
      <c r="W157" s="73"/>
      <c r="X157" s="73"/>
      <c r="Y157" s="73"/>
      <c r="Z157" s="73"/>
      <c r="AA157" s="73"/>
      <c r="AB157" s="65"/>
      <c r="AC157" s="65"/>
      <c r="AD157" s="73"/>
      <c r="AE157" s="73"/>
      <c r="AF157" s="73"/>
      <c r="AG157" s="73"/>
      <c r="AH157" s="73"/>
      <c r="AI157" s="73"/>
      <c r="AJ157" s="73"/>
      <c r="AK157" s="73"/>
      <c r="AL157" s="73"/>
      <c r="AM157" s="73"/>
      <c r="AN157" s="73"/>
      <c r="AO157" s="73"/>
      <c r="AP157" s="73"/>
      <c r="AQ157" s="73"/>
      <c r="AR157" s="65"/>
      <c r="AS157" s="65"/>
    </row>
    <row r="158" spans="1:45" ht="13.5" customHeight="1">
      <c r="A158" s="90"/>
      <c r="B158" s="42"/>
      <c r="C158" s="144"/>
      <c r="D158" s="128"/>
      <c r="E158" s="129"/>
      <c r="F158" s="129"/>
      <c r="G158" s="129"/>
      <c r="H158" s="129"/>
      <c r="I158" s="129"/>
      <c r="J158" s="129"/>
      <c r="K158" s="129"/>
      <c r="L158" s="129"/>
      <c r="M158" s="130"/>
      <c r="N158" s="73"/>
      <c r="O158" s="73"/>
      <c r="P158" s="73"/>
      <c r="Q158" s="73"/>
      <c r="R158" s="73"/>
      <c r="S158" s="73"/>
      <c r="T158" s="73"/>
      <c r="U158" s="73"/>
      <c r="V158" s="73"/>
      <c r="W158" s="73"/>
      <c r="X158" s="73"/>
      <c r="Y158" s="73"/>
      <c r="Z158" s="73"/>
      <c r="AA158" s="73"/>
      <c r="AB158" s="65"/>
      <c r="AC158" s="65"/>
      <c r="AD158" s="73"/>
      <c r="AE158" s="73"/>
      <c r="AF158" s="73"/>
      <c r="AG158" s="73"/>
      <c r="AH158" s="73"/>
      <c r="AI158" s="73"/>
      <c r="AJ158" s="73"/>
      <c r="AK158" s="73"/>
      <c r="AL158" s="73"/>
      <c r="AM158" s="73"/>
      <c r="AN158" s="73"/>
      <c r="AO158" s="73"/>
      <c r="AP158" s="73"/>
      <c r="AQ158" s="73"/>
      <c r="AR158" s="65"/>
      <c r="AS158" s="65"/>
    </row>
    <row r="159" spans="1:45" ht="13.5" customHeight="1">
      <c r="A159" s="90"/>
      <c r="B159" s="42"/>
      <c r="C159" s="144"/>
      <c r="D159" s="128"/>
      <c r="E159" s="129"/>
      <c r="F159" s="129"/>
      <c r="G159" s="129"/>
      <c r="H159" s="129"/>
      <c r="I159" s="129"/>
      <c r="J159" s="129"/>
      <c r="K159" s="129"/>
      <c r="L159" s="129"/>
      <c r="M159" s="130"/>
      <c r="N159" s="73"/>
      <c r="O159" s="73"/>
      <c r="P159" s="73"/>
      <c r="Q159" s="73"/>
      <c r="R159" s="73"/>
      <c r="S159" s="73"/>
      <c r="T159" s="73"/>
      <c r="U159" s="73"/>
      <c r="V159" s="73"/>
      <c r="W159" s="73"/>
      <c r="X159" s="73"/>
      <c r="Y159" s="73"/>
      <c r="Z159" s="73"/>
      <c r="AA159" s="73"/>
      <c r="AB159" s="65"/>
      <c r="AC159" s="65"/>
      <c r="AD159" s="73"/>
      <c r="AE159" s="73"/>
      <c r="AF159" s="73"/>
      <c r="AG159" s="73"/>
      <c r="AH159" s="73"/>
      <c r="AI159" s="73"/>
      <c r="AJ159" s="73"/>
      <c r="AK159" s="73"/>
      <c r="AL159" s="73"/>
      <c r="AM159" s="73"/>
      <c r="AN159" s="73"/>
      <c r="AO159" s="73"/>
      <c r="AP159" s="73"/>
      <c r="AQ159" s="73"/>
      <c r="AR159" s="65"/>
      <c r="AS159" s="65"/>
    </row>
    <row r="160" spans="1:45" ht="13.5" customHeight="1">
      <c r="A160" s="90"/>
      <c r="B160" s="42"/>
      <c r="C160" s="144"/>
      <c r="D160" s="128"/>
      <c r="E160" s="129"/>
      <c r="F160" s="129"/>
      <c r="G160" s="129"/>
      <c r="H160" s="129"/>
      <c r="I160" s="129"/>
      <c r="J160" s="129"/>
      <c r="K160" s="129"/>
      <c r="L160" s="129"/>
      <c r="M160" s="130"/>
      <c r="N160" s="73"/>
      <c r="O160" s="73"/>
      <c r="P160" s="73"/>
      <c r="Q160" s="73"/>
      <c r="R160" s="73"/>
      <c r="S160" s="73"/>
      <c r="T160" s="73"/>
      <c r="U160" s="73"/>
      <c r="V160" s="73"/>
      <c r="W160" s="73"/>
      <c r="X160" s="73"/>
      <c r="Y160" s="73"/>
      <c r="Z160" s="73"/>
      <c r="AA160" s="73"/>
      <c r="AB160" s="65"/>
      <c r="AC160" s="65"/>
      <c r="AD160" s="73"/>
      <c r="AE160" s="73"/>
      <c r="AF160" s="73"/>
      <c r="AG160" s="73"/>
      <c r="AH160" s="73"/>
      <c r="AI160" s="73"/>
      <c r="AJ160" s="73"/>
      <c r="AK160" s="73"/>
      <c r="AL160" s="73"/>
      <c r="AM160" s="73"/>
      <c r="AN160" s="73"/>
      <c r="AO160" s="73"/>
      <c r="AP160" s="73"/>
      <c r="AQ160" s="73"/>
      <c r="AR160" s="65"/>
      <c r="AS160" s="65"/>
    </row>
    <row r="161" spans="1:45" ht="13.5" customHeight="1">
      <c r="A161" s="90"/>
      <c r="B161" s="42"/>
      <c r="C161" s="144"/>
      <c r="D161" s="128"/>
      <c r="E161" s="129"/>
      <c r="F161" s="129"/>
      <c r="G161" s="129"/>
      <c r="H161" s="129"/>
      <c r="I161" s="129"/>
      <c r="J161" s="129"/>
      <c r="K161" s="129"/>
      <c r="L161" s="129"/>
      <c r="M161" s="130"/>
      <c r="N161" s="73"/>
      <c r="O161" s="73"/>
      <c r="P161" s="73"/>
      <c r="Q161" s="73"/>
      <c r="R161" s="73"/>
      <c r="S161" s="73"/>
      <c r="T161" s="73"/>
      <c r="U161" s="73"/>
      <c r="V161" s="73"/>
      <c r="W161" s="73"/>
      <c r="X161" s="73"/>
      <c r="Y161" s="73"/>
      <c r="Z161" s="73"/>
      <c r="AA161" s="73"/>
      <c r="AB161" s="65"/>
      <c r="AC161" s="65"/>
      <c r="AD161" s="73"/>
      <c r="AE161" s="73"/>
      <c r="AF161" s="73"/>
      <c r="AG161" s="73"/>
      <c r="AH161" s="73"/>
      <c r="AI161" s="73"/>
      <c r="AJ161" s="73"/>
      <c r="AK161" s="73"/>
      <c r="AL161" s="73"/>
      <c r="AM161" s="73"/>
      <c r="AN161" s="73"/>
      <c r="AO161" s="73"/>
      <c r="AP161" s="73"/>
      <c r="AQ161" s="73"/>
      <c r="AR161" s="65"/>
      <c r="AS161" s="65"/>
    </row>
    <row r="162" spans="1:45" ht="13.5" customHeight="1">
      <c r="A162" s="90"/>
      <c r="B162" s="42"/>
      <c r="C162" s="144"/>
      <c r="D162" s="128"/>
      <c r="E162" s="129"/>
      <c r="F162" s="129"/>
      <c r="G162" s="129"/>
      <c r="H162" s="129"/>
      <c r="I162" s="129"/>
      <c r="J162" s="129"/>
      <c r="K162" s="129"/>
      <c r="L162" s="129"/>
      <c r="M162" s="130"/>
      <c r="N162" s="73"/>
      <c r="O162" s="73"/>
      <c r="P162" s="73"/>
      <c r="Q162" s="73"/>
      <c r="R162" s="73"/>
      <c r="S162" s="73"/>
      <c r="T162" s="73"/>
      <c r="U162" s="73"/>
      <c r="V162" s="73"/>
      <c r="W162" s="73"/>
      <c r="X162" s="73"/>
      <c r="Y162" s="73"/>
      <c r="Z162" s="73"/>
      <c r="AA162" s="73"/>
      <c r="AB162" s="65"/>
      <c r="AC162" s="65"/>
      <c r="AD162" s="73"/>
      <c r="AE162" s="73"/>
      <c r="AF162" s="73"/>
      <c r="AG162" s="73"/>
      <c r="AH162" s="73"/>
      <c r="AI162" s="73"/>
      <c r="AJ162" s="73"/>
      <c r="AK162" s="73"/>
      <c r="AL162" s="73"/>
      <c r="AM162" s="73"/>
      <c r="AN162" s="73"/>
      <c r="AO162" s="73"/>
      <c r="AP162" s="73"/>
      <c r="AQ162" s="73"/>
      <c r="AR162" s="65"/>
      <c r="AS162" s="65"/>
    </row>
    <row r="163" spans="1:45" ht="13.5" customHeight="1">
      <c r="A163" s="90"/>
      <c r="B163" s="42"/>
      <c r="C163" s="144"/>
      <c r="D163" s="128"/>
      <c r="E163" s="129"/>
      <c r="F163" s="129"/>
      <c r="G163" s="129"/>
      <c r="H163" s="129"/>
      <c r="I163" s="129"/>
      <c r="J163" s="129"/>
      <c r="K163" s="129"/>
      <c r="L163" s="129"/>
      <c r="M163" s="130"/>
      <c r="N163" s="73"/>
      <c r="O163" s="73"/>
      <c r="P163" s="73"/>
      <c r="Q163" s="73"/>
      <c r="R163" s="73"/>
      <c r="S163" s="73"/>
      <c r="T163" s="73"/>
      <c r="U163" s="73"/>
      <c r="V163" s="73"/>
      <c r="W163" s="73"/>
      <c r="X163" s="73"/>
      <c r="Y163" s="73"/>
      <c r="Z163" s="73"/>
      <c r="AA163" s="73"/>
      <c r="AB163" s="65"/>
      <c r="AC163" s="65"/>
      <c r="AD163" s="73"/>
      <c r="AE163" s="73"/>
      <c r="AF163" s="73"/>
      <c r="AG163" s="73"/>
      <c r="AH163" s="73"/>
      <c r="AI163" s="73"/>
      <c r="AJ163" s="73"/>
      <c r="AK163" s="73"/>
      <c r="AL163" s="73"/>
      <c r="AM163" s="73"/>
      <c r="AN163" s="73"/>
      <c r="AO163" s="73"/>
      <c r="AP163" s="73"/>
      <c r="AQ163" s="73"/>
      <c r="AR163" s="65"/>
      <c r="AS163" s="65"/>
    </row>
    <row r="164" spans="1:45" ht="13.5" customHeight="1">
      <c r="A164" s="90"/>
      <c r="B164" s="42"/>
      <c r="C164" s="144"/>
      <c r="D164" s="128"/>
      <c r="E164" s="129"/>
      <c r="F164" s="129"/>
      <c r="G164" s="129"/>
      <c r="H164" s="129"/>
      <c r="I164" s="129"/>
      <c r="J164" s="129"/>
      <c r="K164" s="129"/>
      <c r="L164" s="129"/>
      <c r="M164" s="130"/>
      <c r="N164" s="73"/>
      <c r="O164" s="73"/>
      <c r="P164" s="73"/>
      <c r="Q164" s="73"/>
      <c r="R164" s="73"/>
      <c r="S164" s="73"/>
      <c r="T164" s="73"/>
      <c r="U164" s="73"/>
      <c r="V164" s="73"/>
      <c r="W164" s="73"/>
      <c r="X164" s="73"/>
      <c r="Y164" s="73"/>
      <c r="Z164" s="73"/>
      <c r="AA164" s="73"/>
      <c r="AB164" s="65"/>
      <c r="AC164" s="65"/>
      <c r="AD164" s="73"/>
      <c r="AE164" s="73"/>
      <c r="AF164" s="73"/>
      <c r="AG164" s="73"/>
      <c r="AH164" s="73"/>
      <c r="AI164" s="73"/>
      <c r="AJ164" s="73"/>
      <c r="AK164" s="73"/>
      <c r="AL164" s="73"/>
      <c r="AM164" s="73"/>
      <c r="AN164" s="73"/>
      <c r="AO164" s="73"/>
      <c r="AP164" s="73"/>
      <c r="AQ164" s="73"/>
      <c r="AR164" s="65"/>
      <c r="AS164" s="65"/>
    </row>
    <row r="165" spans="1:45" ht="13.5" customHeight="1">
      <c r="A165" s="90"/>
      <c r="B165" s="42"/>
      <c r="C165" s="144"/>
      <c r="D165" s="128"/>
      <c r="E165" s="129"/>
      <c r="F165" s="129"/>
      <c r="G165" s="129"/>
      <c r="H165" s="129"/>
      <c r="I165" s="129"/>
      <c r="J165" s="129"/>
      <c r="K165" s="129"/>
      <c r="L165" s="129"/>
      <c r="M165" s="130"/>
      <c r="N165" s="73"/>
      <c r="O165" s="73"/>
      <c r="P165" s="73"/>
      <c r="Q165" s="73"/>
      <c r="R165" s="73"/>
      <c r="S165" s="73"/>
      <c r="T165" s="73"/>
      <c r="U165" s="73"/>
      <c r="V165" s="73"/>
      <c r="W165" s="73"/>
      <c r="X165" s="73"/>
      <c r="Y165" s="73"/>
      <c r="Z165" s="73"/>
      <c r="AA165" s="73"/>
      <c r="AB165" s="65"/>
      <c r="AC165" s="65"/>
      <c r="AD165" s="73"/>
      <c r="AE165" s="73"/>
      <c r="AF165" s="73"/>
      <c r="AG165" s="73"/>
      <c r="AH165" s="73"/>
      <c r="AI165" s="73"/>
      <c r="AJ165" s="73"/>
      <c r="AK165" s="73"/>
      <c r="AL165" s="73"/>
      <c r="AM165" s="73"/>
      <c r="AN165" s="73"/>
      <c r="AO165" s="73"/>
      <c r="AP165" s="73"/>
      <c r="AQ165" s="73"/>
      <c r="AR165" s="65"/>
      <c r="AS165" s="65"/>
    </row>
    <row r="166" spans="1:45" ht="13.5" customHeight="1">
      <c r="A166" s="90"/>
      <c r="B166" s="42"/>
      <c r="C166" s="144"/>
      <c r="D166" s="128"/>
      <c r="E166" s="129"/>
      <c r="F166" s="129"/>
      <c r="G166" s="129"/>
      <c r="H166" s="129"/>
      <c r="I166" s="129"/>
      <c r="J166" s="129"/>
      <c r="K166" s="129"/>
      <c r="L166" s="129"/>
      <c r="M166" s="130"/>
      <c r="N166" s="73"/>
      <c r="O166" s="73"/>
      <c r="P166" s="73"/>
      <c r="Q166" s="73"/>
      <c r="R166" s="73"/>
      <c r="S166" s="73"/>
      <c r="T166" s="73"/>
      <c r="U166" s="73"/>
      <c r="V166" s="73"/>
      <c r="W166" s="73"/>
      <c r="X166" s="73"/>
      <c r="Y166" s="73"/>
      <c r="Z166" s="73"/>
      <c r="AA166" s="73"/>
      <c r="AB166" s="65"/>
      <c r="AC166" s="65"/>
      <c r="AD166" s="73"/>
      <c r="AE166" s="73"/>
      <c r="AF166" s="73"/>
      <c r="AG166" s="73"/>
      <c r="AH166" s="73"/>
      <c r="AI166" s="73"/>
      <c r="AJ166" s="73"/>
      <c r="AK166" s="73"/>
      <c r="AL166" s="73"/>
      <c r="AM166" s="73"/>
      <c r="AN166" s="73"/>
      <c r="AO166" s="73"/>
      <c r="AP166" s="73"/>
      <c r="AQ166" s="73"/>
      <c r="AR166" s="65"/>
      <c r="AS166" s="65"/>
    </row>
    <row r="167" spans="1:45" ht="13.5" customHeight="1">
      <c r="A167" s="90"/>
      <c r="B167" s="42"/>
      <c r="C167" s="144"/>
      <c r="D167" s="128"/>
      <c r="E167" s="129"/>
      <c r="F167" s="129"/>
      <c r="G167" s="129"/>
      <c r="H167" s="129"/>
      <c r="I167" s="129"/>
      <c r="J167" s="129"/>
      <c r="K167" s="129"/>
      <c r="L167" s="129"/>
      <c r="M167" s="130"/>
      <c r="N167" s="73"/>
      <c r="O167" s="73"/>
      <c r="P167" s="73"/>
      <c r="Q167" s="73"/>
      <c r="R167" s="73"/>
      <c r="S167" s="73"/>
      <c r="T167" s="73"/>
      <c r="U167" s="73"/>
      <c r="V167" s="73"/>
      <c r="W167" s="73"/>
      <c r="X167" s="73"/>
      <c r="Y167" s="73"/>
      <c r="Z167" s="73"/>
      <c r="AA167" s="73"/>
      <c r="AB167" s="65"/>
      <c r="AC167" s="65"/>
      <c r="AD167" s="73"/>
      <c r="AE167" s="73"/>
      <c r="AF167" s="73"/>
      <c r="AG167" s="73"/>
      <c r="AH167" s="73"/>
      <c r="AI167" s="73"/>
      <c r="AJ167" s="73"/>
      <c r="AK167" s="73"/>
      <c r="AL167" s="73"/>
      <c r="AM167" s="73"/>
      <c r="AN167" s="73"/>
      <c r="AO167" s="73"/>
      <c r="AP167" s="73"/>
      <c r="AQ167" s="73"/>
      <c r="AR167" s="65"/>
      <c r="AS167" s="65"/>
    </row>
    <row r="168" spans="1:45" ht="13.5" customHeight="1">
      <c r="A168" s="90"/>
      <c r="B168" s="42"/>
      <c r="C168" s="144"/>
      <c r="D168" s="128"/>
      <c r="E168" s="129"/>
      <c r="F168" s="129"/>
      <c r="G168" s="129"/>
      <c r="H168" s="129"/>
      <c r="I168" s="129"/>
      <c r="J168" s="129"/>
      <c r="K168" s="129"/>
      <c r="L168" s="129"/>
      <c r="M168" s="130"/>
      <c r="N168" s="73"/>
      <c r="O168" s="73"/>
      <c r="P168" s="73"/>
      <c r="Q168" s="73"/>
      <c r="R168" s="73"/>
      <c r="S168" s="73"/>
      <c r="T168" s="73"/>
      <c r="U168" s="73"/>
      <c r="V168" s="73"/>
      <c r="W168" s="73"/>
      <c r="X168" s="73"/>
      <c r="Y168" s="73"/>
      <c r="Z168" s="73"/>
      <c r="AA168" s="73"/>
      <c r="AB168" s="65"/>
      <c r="AC168" s="65"/>
      <c r="AD168" s="73"/>
      <c r="AE168" s="73"/>
      <c r="AF168" s="73"/>
      <c r="AG168" s="73"/>
      <c r="AH168" s="73"/>
      <c r="AI168" s="73"/>
      <c r="AJ168" s="73"/>
      <c r="AK168" s="73"/>
      <c r="AL168" s="73"/>
      <c r="AM168" s="73"/>
      <c r="AN168" s="73"/>
      <c r="AO168" s="73"/>
      <c r="AP168" s="73"/>
      <c r="AQ168" s="73"/>
      <c r="AR168" s="65"/>
      <c r="AS168" s="65"/>
    </row>
    <row r="169" spans="1:45" ht="13.5" customHeight="1">
      <c r="A169" s="90"/>
      <c r="B169" s="42"/>
      <c r="C169" s="144"/>
      <c r="D169" s="128"/>
      <c r="E169" s="129"/>
      <c r="F169" s="129"/>
      <c r="G169" s="129"/>
      <c r="H169" s="129"/>
      <c r="I169" s="129"/>
      <c r="J169" s="129"/>
      <c r="K169" s="129"/>
      <c r="L169" s="129"/>
      <c r="M169" s="130"/>
      <c r="N169" s="73"/>
      <c r="O169" s="73"/>
      <c r="P169" s="73"/>
      <c r="Q169" s="73"/>
      <c r="R169" s="73"/>
      <c r="S169" s="73"/>
      <c r="T169" s="73"/>
      <c r="U169" s="73"/>
      <c r="V169" s="73"/>
      <c r="W169" s="73"/>
      <c r="X169" s="73"/>
      <c r="Y169" s="73"/>
      <c r="Z169" s="73"/>
      <c r="AA169" s="73"/>
      <c r="AB169" s="65"/>
      <c r="AC169" s="65"/>
      <c r="AD169" s="73"/>
      <c r="AE169" s="73"/>
      <c r="AF169" s="73"/>
      <c r="AG169" s="73"/>
      <c r="AH169" s="73"/>
      <c r="AI169" s="73"/>
      <c r="AJ169" s="73"/>
      <c r="AK169" s="73"/>
      <c r="AL169" s="73"/>
      <c r="AM169" s="73"/>
      <c r="AN169" s="73"/>
      <c r="AO169" s="73"/>
      <c r="AP169" s="73"/>
      <c r="AQ169" s="73"/>
      <c r="AR169" s="65"/>
      <c r="AS169" s="65"/>
    </row>
    <row r="170" spans="1:45" ht="13.5" customHeight="1">
      <c r="A170" s="90"/>
      <c r="B170" s="42"/>
      <c r="C170" s="144"/>
      <c r="D170" s="128"/>
      <c r="E170" s="129"/>
      <c r="F170" s="129"/>
      <c r="G170" s="129"/>
      <c r="H170" s="129"/>
      <c r="I170" s="129"/>
      <c r="J170" s="129"/>
      <c r="K170" s="129"/>
      <c r="L170" s="129"/>
      <c r="M170" s="130"/>
      <c r="N170" s="73"/>
      <c r="O170" s="73"/>
      <c r="P170" s="73"/>
      <c r="Q170" s="73"/>
      <c r="R170" s="73"/>
      <c r="S170" s="73"/>
      <c r="T170" s="73"/>
      <c r="U170" s="73"/>
      <c r="V170" s="73"/>
      <c r="W170" s="73"/>
      <c r="X170" s="73"/>
      <c r="Y170" s="73"/>
      <c r="Z170" s="73"/>
      <c r="AA170" s="73"/>
      <c r="AB170" s="65"/>
      <c r="AC170" s="65"/>
      <c r="AD170" s="73"/>
      <c r="AE170" s="73"/>
      <c r="AF170" s="73"/>
      <c r="AG170" s="73"/>
      <c r="AH170" s="73"/>
      <c r="AI170" s="73"/>
      <c r="AJ170" s="73"/>
      <c r="AK170" s="73"/>
      <c r="AL170" s="73"/>
      <c r="AM170" s="73"/>
      <c r="AN170" s="73"/>
      <c r="AO170" s="73"/>
      <c r="AP170" s="73"/>
      <c r="AQ170" s="73"/>
      <c r="AR170" s="65"/>
      <c r="AS170" s="65"/>
    </row>
    <row r="171" spans="1:45" ht="13.5" customHeight="1">
      <c r="A171" s="90"/>
      <c r="B171" s="42"/>
      <c r="C171" s="144"/>
      <c r="D171" s="128"/>
      <c r="E171" s="129"/>
      <c r="F171" s="129"/>
      <c r="G171" s="129"/>
      <c r="H171" s="129"/>
      <c r="I171" s="129"/>
      <c r="J171" s="129"/>
      <c r="K171" s="129"/>
      <c r="L171" s="129"/>
      <c r="M171" s="130"/>
      <c r="N171" s="73"/>
      <c r="O171" s="73"/>
      <c r="P171" s="73"/>
      <c r="Q171" s="73"/>
      <c r="R171" s="73"/>
      <c r="S171" s="73"/>
      <c r="T171" s="73"/>
      <c r="U171" s="73"/>
      <c r="V171" s="73"/>
      <c r="W171" s="73"/>
      <c r="X171" s="73"/>
      <c r="Y171" s="73"/>
      <c r="Z171" s="73"/>
      <c r="AA171" s="73"/>
      <c r="AB171" s="65"/>
      <c r="AC171" s="65"/>
      <c r="AD171" s="73"/>
      <c r="AE171" s="73"/>
      <c r="AF171" s="73"/>
      <c r="AG171" s="73"/>
      <c r="AH171" s="73"/>
      <c r="AI171" s="73"/>
      <c r="AJ171" s="73"/>
      <c r="AK171" s="73"/>
      <c r="AL171" s="73"/>
      <c r="AM171" s="73"/>
      <c r="AN171" s="73"/>
      <c r="AO171" s="73"/>
      <c r="AP171" s="73"/>
      <c r="AQ171" s="73"/>
      <c r="AR171" s="65"/>
      <c r="AS171" s="65"/>
    </row>
    <row r="172" spans="1:45" ht="13.5" customHeight="1">
      <c r="A172" s="90"/>
      <c r="B172" s="42"/>
      <c r="C172" s="144"/>
      <c r="D172" s="128"/>
      <c r="E172" s="129"/>
      <c r="F172" s="129"/>
      <c r="G172" s="129"/>
      <c r="H172" s="129"/>
      <c r="I172" s="129"/>
      <c r="J172" s="129"/>
      <c r="K172" s="129"/>
      <c r="L172" s="129"/>
      <c r="M172" s="130"/>
      <c r="N172" s="73"/>
      <c r="O172" s="73"/>
      <c r="P172" s="73"/>
      <c r="Q172" s="73"/>
      <c r="R172" s="73"/>
      <c r="S172" s="73"/>
      <c r="T172" s="73"/>
      <c r="U172" s="73"/>
      <c r="V172" s="73"/>
      <c r="W172" s="73"/>
      <c r="X172" s="73"/>
      <c r="Y172" s="73"/>
      <c r="Z172" s="73"/>
      <c r="AA172" s="73"/>
      <c r="AB172" s="65"/>
      <c r="AC172" s="65"/>
      <c r="AD172" s="73"/>
      <c r="AE172" s="73"/>
      <c r="AF172" s="73"/>
      <c r="AG172" s="73"/>
      <c r="AH172" s="73"/>
      <c r="AI172" s="73"/>
      <c r="AJ172" s="73"/>
      <c r="AK172" s="73"/>
      <c r="AL172" s="73"/>
      <c r="AM172" s="73"/>
      <c r="AN172" s="73"/>
      <c r="AO172" s="73"/>
      <c r="AP172" s="73"/>
      <c r="AQ172" s="73"/>
      <c r="AR172" s="65"/>
      <c r="AS172" s="65"/>
    </row>
    <row r="173" spans="1:45" ht="13.5" customHeight="1">
      <c r="A173" s="90"/>
      <c r="B173" s="42"/>
      <c r="C173" s="144"/>
      <c r="D173" s="128"/>
      <c r="E173" s="129"/>
      <c r="F173" s="129"/>
      <c r="G173" s="129"/>
      <c r="H173" s="129"/>
      <c r="I173" s="129"/>
      <c r="J173" s="129"/>
      <c r="K173" s="129"/>
      <c r="L173" s="129"/>
      <c r="M173" s="130"/>
      <c r="N173" s="73"/>
      <c r="O173" s="73"/>
      <c r="P173" s="73"/>
      <c r="Q173" s="73"/>
      <c r="R173" s="73"/>
      <c r="S173" s="73"/>
      <c r="T173" s="73"/>
      <c r="U173" s="73"/>
      <c r="V173" s="73"/>
      <c r="W173" s="73"/>
      <c r="X173" s="73"/>
      <c r="Y173" s="73"/>
      <c r="Z173" s="73"/>
      <c r="AA173" s="73"/>
      <c r="AB173" s="65"/>
      <c r="AC173" s="65"/>
      <c r="AD173" s="73"/>
      <c r="AE173" s="73"/>
      <c r="AF173" s="73"/>
      <c r="AG173" s="73"/>
      <c r="AH173" s="73"/>
      <c r="AI173" s="73"/>
      <c r="AJ173" s="73"/>
      <c r="AK173" s="73"/>
      <c r="AL173" s="73"/>
      <c r="AM173" s="73"/>
      <c r="AN173" s="73"/>
      <c r="AO173" s="73"/>
      <c r="AP173" s="73"/>
      <c r="AQ173" s="73"/>
      <c r="AR173" s="65"/>
      <c r="AS173" s="65"/>
    </row>
    <row r="174" spans="1:45" ht="13.5" customHeight="1">
      <c r="A174" s="90"/>
      <c r="B174" s="42"/>
      <c r="C174" s="144"/>
      <c r="D174" s="128"/>
      <c r="E174" s="129"/>
      <c r="F174" s="129"/>
      <c r="G174" s="129"/>
      <c r="H174" s="129"/>
      <c r="I174" s="129"/>
      <c r="J174" s="129"/>
      <c r="K174" s="129"/>
      <c r="L174" s="129"/>
      <c r="M174" s="130"/>
      <c r="N174" s="73"/>
      <c r="O174" s="73"/>
      <c r="P174" s="73"/>
      <c r="Q174" s="73"/>
      <c r="R174" s="73"/>
      <c r="S174" s="73"/>
      <c r="T174" s="73"/>
      <c r="U174" s="73"/>
      <c r="V174" s="73"/>
      <c r="W174" s="73"/>
      <c r="X174" s="73"/>
      <c r="Y174" s="73"/>
      <c r="Z174" s="73"/>
      <c r="AA174" s="73"/>
      <c r="AB174" s="65"/>
      <c r="AC174" s="65"/>
      <c r="AD174" s="73"/>
      <c r="AE174" s="73"/>
      <c r="AF174" s="73"/>
      <c r="AG174" s="73"/>
      <c r="AH174" s="73"/>
      <c r="AI174" s="73"/>
      <c r="AJ174" s="73"/>
      <c r="AK174" s="73"/>
      <c r="AL174" s="73"/>
      <c r="AM174" s="73"/>
      <c r="AN174" s="73"/>
      <c r="AO174" s="73"/>
      <c r="AP174" s="73"/>
      <c r="AQ174" s="73"/>
      <c r="AR174" s="65"/>
      <c r="AS174" s="65"/>
    </row>
    <row r="175" spans="1:45" ht="13.5" customHeight="1">
      <c r="A175" s="90"/>
      <c r="B175" s="42"/>
      <c r="C175" s="144"/>
      <c r="D175" s="128"/>
      <c r="E175" s="129"/>
      <c r="F175" s="129"/>
      <c r="G175" s="129"/>
      <c r="H175" s="129"/>
      <c r="I175" s="129"/>
      <c r="J175" s="129"/>
      <c r="K175" s="129"/>
      <c r="L175" s="129"/>
      <c r="M175" s="130"/>
      <c r="N175" s="73"/>
      <c r="O175" s="73"/>
      <c r="P175" s="73"/>
      <c r="Q175" s="73"/>
      <c r="R175" s="73"/>
      <c r="S175" s="73"/>
      <c r="T175" s="73"/>
      <c r="U175" s="73"/>
      <c r="V175" s="73"/>
      <c r="W175" s="73"/>
      <c r="X175" s="73"/>
      <c r="Y175" s="73"/>
      <c r="Z175" s="73"/>
      <c r="AA175" s="73"/>
      <c r="AB175" s="65"/>
      <c r="AC175" s="65"/>
      <c r="AD175" s="73"/>
      <c r="AE175" s="73"/>
      <c r="AF175" s="73"/>
      <c r="AG175" s="73"/>
      <c r="AH175" s="73"/>
      <c r="AI175" s="73"/>
      <c r="AJ175" s="73"/>
      <c r="AK175" s="73"/>
      <c r="AL175" s="73"/>
      <c r="AM175" s="73"/>
      <c r="AN175" s="73"/>
      <c r="AO175" s="73"/>
      <c r="AP175" s="73"/>
      <c r="AQ175" s="73"/>
      <c r="AR175" s="65"/>
      <c r="AS175" s="65"/>
    </row>
    <row r="176" spans="1:45" ht="13.5" customHeight="1">
      <c r="A176" s="90"/>
      <c r="B176" s="42"/>
      <c r="C176" s="144"/>
      <c r="D176" s="128"/>
      <c r="E176" s="129"/>
      <c r="F176" s="129"/>
      <c r="G176" s="129"/>
      <c r="H176" s="129"/>
      <c r="I176" s="129"/>
      <c r="J176" s="129"/>
      <c r="K176" s="129"/>
      <c r="L176" s="129"/>
      <c r="M176" s="130"/>
      <c r="N176" s="73"/>
      <c r="O176" s="73"/>
      <c r="P176" s="73"/>
      <c r="Q176" s="73"/>
      <c r="R176" s="73"/>
      <c r="S176" s="73"/>
      <c r="T176" s="73"/>
      <c r="U176" s="73"/>
      <c r="V176" s="73"/>
      <c r="W176" s="73"/>
      <c r="X176" s="73"/>
      <c r="Y176" s="73"/>
      <c r="Z176" s="73"/>
      <c r="AA176" s="73"/>
      <c r="AB176" s="65"/>
      <c r="AC176" s="65"/>
      <c r="AD176" s="73"/>
      <c r="AE176" s="73"/>
      <c r="AF176" s="73"/>
      <c r="AG176" s="73"/>
      <c r="AH176" s="73"/>
      <c r="AI176" s="73"/>
      <c r="AJ176" s="73"/>
      <c r="AK176" s="73"/>
      <c r="AL176" s="73"/>
      <c r="AM176" s="73"/>
      <c r="AN176" s="73"/>
      <c r="AO176" s="73"/>
      <c r="AP176" s="73"/>
      <c r="AQ176" s="73"/>
      <c r="AR176" s="65"/>
      <c r="AS176" s="65"/>
    </row>
    <row r="177" spans="1:45" ht="13.5" customHeight="1">
      <c r="A177" s="90"/>
      <c r="B177" s="42"/>
      <c r="C177" s="144"/>
      <c r="D177" s="128"/>
      <c r="E177" s="129"/>
      <c r="F177" s="129"/>
      <c r="G177" s="129"/>
      <c r="H177" s="129"/>
      <c r="I177" s="129"/>
      <c r="J177" s="129"/>
      <c r="K177" s="129"/>
      <c r="L177" s="129"/>
      <c r="M177" s="130"/>
      <c r="N177" s="73"/>
      <c r="O177" s="73"/>
      <c r="P177" s="73"/>
      <c r="Q177" s="73"/>
      <c r="R177" s="73"/>
      <c r="S177" s="73"/>
      <c r="T177" s="73"/>
      <c r="U177" s="73"/>
      <c r="V177" s="73"/>
      <c r="W177" s="73"/>
      <c r="X177" s="73"/>
      <c r="Y177" s="73"/>
      <c r="Z177" s="73"/>
      <c r="AA177" s="73"/>
      <c r="AB177" s="65"/>
      <c r="AC177" s="65"/>
      <c r="AD177" s="73"/>
      <c r="AE177" s="73"/>
      <c r="AF177" s="73"/>
      <c r="AG177" s="73"/>
      <c r="AH177" s="73"/>
      <c r="AI177" s="73"/>
      <c r="AJ177" s="73"/>
      <c r="AK177" s="73"/>
      <c r="AL177" s="73"/>
      <c r="AM177" s="73"/>
      <c r="AN177" s="73"/>
      <c r="AO177" s="73"/>
      <c r="AP177" s="73"/>
      <c r="AQ177" s="73"/>
      <c r="AR177" s="65"/>
      <c r="AS177" s="65"/>
    </row>
    <row r="178" spans="1:45" ht="13.5" customHeight="1">
      <c r="A178" s="90"/>
      <c r="B178" s="42"/>
      <c r="C178" s="144"/>
      <c r="D178" s="128"/>
      <c r="E178" s="129"/>
      <c r="F178" s="129"/>
      <c r="G178" s="129"/>
      <c r="H178" s="129"/>
      <c r="I178" s="129"/>
      <c r="J178" s="129"/>
      <c r="K178" s="129"/>
      <c r="L178" s="129"/>
      <c r="M178" s="130"/>
      <c r="N178" s="73"/>
      <c r="O178" s="73"/>
      <c r="P178" s="73"/>
      <c r="Q178" s="73"/>
      <c r="R178" s="73"/>
      <c r="S178" s="73"/>
      <c r="T178" s="73"/>
      <c r="U178" s="73"/>
      <c r="V178" s="73"/>
      <c r="W178" s="73"/>
      <c r="X178" s="73"/>
      <c r="Y178" s="73"/>
      <c r="Z178" s="73"/>
      <c r="AA178" s="73"/>
      <c r="AB178" s="65"/>
      <c r="AC178" s="65"/>
      <c r="AD178" s="73"/>
      <c r="AE178" s="73"/>
      <c r="AF178" s="73"/>
      <c r="AG178" s="73"/>
      <c r="AH178" s="73"/>
      <c r="AI178" s="73"/>
      <c r="AJ178" s="73"/>
      <c r="AK178" s="73"/>
      <c r="AL178" s="73"/>
      <c r="AM178" s="73"/>
      <c r="AN178" s="73"/>
      <c r="AO178" s="73"/>
      <c r="AP178" s="73"/>
      <c r="AQ178" s="73"/>
      <c r="AR178" s="65"/>
      <c r="AS178" s="65"/>
    </row>
    <row r="179" spans="1:45" ht="13.5" customHeight="1">
      <c r="A179" s="90"/>
      <c r="B179" s="42"/>
      <c r="C179" s="144"/>
      <c r="D179" s="128"/>
      <c r="E179" s="129"/>
      <c r="F179" s="129"/>
      <c r="G179" s="129"/>
      <c r="H179" s="129"/>
      <c r="I179" s="129"/>
      <c r="J179" s="129"/>
      <c r="K179" s="129"/>
      <c r="L179" s="129"/>
      <c r="M179" s="130"/>
      <c r="N179" s="73"/>
      <c r="O179" s="73"/>
      <c r="P179" s="73"/>
      <c r="Q179" s="73"/>
      <c r="R179" s="73"/>
      <c r="S179" s="73"/>
      <c r="T179" s="73"/>
      <c r="U179" s="73"/>
      <c r="V179" s="73"/>
      <c r="W179" s="73"/>
      <c r="X179" s="73"/>
      <c r="Y179" s="73"/>
      <c r="Z179" s="73"/>
      <c r="AA179" s="73"/>
      <c r="AB179" s="65"/>
      <c r="AC179" s="65"/>
      <c r="AD179" s="73"/>
      <c r="AE179" s="73"/>
      <c r="AF179" s="73"/>
      <c r="AG179" s="73"/>
      <c r="AH179" s="73"/>
      <c r="AI179" s="73"/>
      <c r="AJ179" s="73"/>
      <c r="AK179" s="73"/>
      <c r="AL179" s="73"/>
      <c r="AM179" s="73"/>
      <c r="AN179" s="73"/>
      <c r="AO179" s="73"/>
      <c r="AP179" s="73"/>
      <c r="AQ179" s="73"/>
      <c r="AR179" s="65"/>
      <c r="AS179" s="65"/>
    </row>
    <row r="180" spans="1:45" ht="13.5" customHeight="1">
      <c r="A180" s="90"/>
      <c r="B180" s="42"/>
      <c r="C180" s="144"/>
      <c r="D180" s="128"/>
      <c r="E180" s="129"/>
      <c r="F180" s="129"/>
      <c r="G180" s="129"/>
      <c r="H180" s="129"/>
      <c r="I180" s="129"/>
      <c r="J180" s="129"/>
      <c r="K180" s="129"/>
      <c r="L180" s="129"/>
      <c r="M180" s="130"/>
      <c r="N180" s="73"/>
      <c r="O180" s="73"/>
      <c r="P180" s="73"/>
      <c r="Q180" s="73"/>
      <c r="R180" s="73"/>
      <c r="S180" s="73"/>
      <c r="T180" s="73"/>
      <c r="U180" s="73"/>
      <c r="V180" s="73"/>
      <c r="W180" s="73"/>
      <c r="X180" s="73"/>
      <c r="Y180" s="73"/>
      <c r="Z180" s="73"/>
      <c r="AA180" s="73"/>
      <c r="AB180" s="65"/>
      <c r="AC180" s="65"/>
      <c r="AD180" s="73"/>
      <c r="AE180" s="73"/>
      <c r="AF180" s="73"/>
      <c r="AG180" s="73"/>
      <c r="AH180" s="73"/>
      <c r="AI180" s="73"/>
      <c r="AJ180" s="73"/>
      <c r="AK180" s="73"/>
      <c r="AL180" s="73"/>
      <c r="AM180" s="73"/>
      <c r="AN180" s="73"/>
      <c r="AO180" s="73"/>
      <c r="AP180" s="73"/>
      <c r="AQ180" s="73"/>
      <c r="AR180" s="65"/>
      <c r="AS180" s="65"/>
    </row>
    <row r="181" spans="1:45" ht="13.5" customHeight="1">
      <c r="A181" s="90"/>
      <c r="B181" s="42"/>
      <c r="C181" s="144"/>
      <c r="D181" s="128"/>
      <c r="E181" s="129"/>
      <c r="F181" s="129"/>
      <c r="G181" s="129"/>
      <c r="H181" s="129"/>
      <c r="I181" s="129"/>
      <c r="J181" s="129"/>
      <c r="K181" s="129"/>
      <c r="L181" s="129"/>
      <c r="M181" s="130"/>
    </row>
    <row r="182" spans="1:45" ht="13.5" customHeight="1">
      <c r="A182" s="90"/>
      <c r="B182" s="42"/>
      <c r="C182" s="144"/>
      <c r="D182" s="128"/>
      <c r="E182" s="129"/>
      <c r="F182" s="129"/>
      <c r="G182" s="129"/>
      <c r="H182" s="129"/>
      <c r="I182" s="129"/>
      <c r="J182" s="129"/>
      <c r="K182" s="129"/>
      <c r="L182" s="129"/>
      <c r="M182" s="130"/>
    </row>
    <row r="183" spans="1:45" ht="13.5" customHeight="1">
      <c r="A183" s="90"/>
      <c r="B183" s="42"/>
      <c r="C183" s="144"/>
      <c r="D183" s="128"/>
      <c r="E183" s="129"/>
      <c r="F183" s="129"/>
      <c r="G183" s="129"/>
      <c r="H183" s="129"/>
      <c r="I183" s="129"/>
      <c r="J183" s="129"/>
      <c r="K183" s="129"/>
      <c r="L183" s="129"/>
      <c r="M183" s="130"/>
    </row>
    <row r="184" spans="1:45" ht="13.5" customHeight="1">
      <c r="A184" s="90"/>
      <c r="B184" s="42"/>
      <c r="C184" s="144"/>
      <c r="D184" s="128"/>
      <c r="E184" s="129"/>
      <c r="F184" s="129"/>
      <c r="G184" s="129"/>
      <c r="H184" s="129"/>
      <c r="I184" s="129"/>
      <c r="J184" s="129"/>
      <c r="K184" s="129"/>
      <c r="L184" s="129"/>
      <c r="M184" s="130"/>
    </row>
    <row r="185" spans="1:45" ht="13.5" customHeight="1">
      <c r="A185" s="90"/>
      <c r="B185" s="42"/>
      <c r="C185" s="144"/>
      <c r="D185" s="128"/>
      <c r="E185" s="129"/>
      <c r="F185" s="129"/>
      <c r="G185" s="129"/>
      <c r="H185" s="129"/>
      <c r="I185" s="129"/>
      <c r="J185" s="129"/>
      <c r="K185" s="129"/>
      <c r="L185" s="129"/>
      <c r="M185" s="130"/>
    </row>
    <row r="186" spans="1:45" ht="13.5" customHeight="1">
      <c r="A186" s="90"/>
      <c r="B186" s="42"/>
      <c r="C186" s="144"/>
      <c r="D186" s="128"/>
      <c r="E186" s="129"/>
      <c r="F186" s="129"/>
      <c r="G186" s="129"/>
      <c r="H186" s="129"/>
      <c r="I186" s="129"/>
      <c r="J186" s="129"/>
      <c r="K186" s="129"/>
      <c r="L186" s="129"/>
      <c r="M186" s="130"/>
    </row>
    <row r="187" spans="1:45" ht="13.5" customHeight="1">
      <c r="A187" s="90"/>
      <c r="B187" s="42"/>
      <c r="C187" s="144"/>
      <c r="D187" s="128"/>
      <c r="E187" s="129"/>
      <c r="F187" s="129"/>
      <c r="G187" s="129"/>
      <c r="H187" s="129"/>
      <c r="I187" s="129"/>
      <c r="J187" s="129"/>
      <c r="K187" s="129"/>
      <c r="L187" s="129"/>
      <c r="M187" s="130"/>
    </row>
    <row r="188" spans="1:45" ht="13.5" customHeight="1">
      <c r="A188" s="90"/>
      <c r="B188" s="42"/>
      <c r="C188" s="144"/>
      <c r="D188" s="128"/>
      <c r="E188" s="129"/>
      <c r="F188" s="129"/>
      <c r="G188" s="129"/>
      <c r="H188" s="129"/>
      <c r="I188" s="129"/>
      <c r="J188" s="129"/>
      <c r="K188" s="129"/>
      <c r="L188" s="129"/>
      <c r="M188" s="130"/>
    </row>
    <row r="189" spans="1:45" ht="13.5" customHeight="1">
      <c r="A189" s="90"/>
      <c r="B189" s="42"/>
      <c r="C189" s="144"/>
      <c r="D189" s="128"/>
      <c r="E189" s="129"/>
      <c r="F189" s="129"/>
      <c r="G189" s="129"/>
      <c r="H189" s="129"/>
      <c r="I189" s="129"/>
      <c r="J189" s="129"/>
      <c r="K189" s="129"/>
      <c r="L189" s="129"/>
      <c r="M189" s="130"/>
    </row>
    <row r="190" spans="1:45" ht="13.5" customHeight="1">
      <c r="A190" s="90"/>
      <c r="B190" s="42"/>
      <c r="C190" s="144"/>
      <c r="D190" s="128"/>
      <c r="E190" s="129"/>
      <c r="F190" s="129"/>
      <c r="G190" s="129"/>
      <c r="H190" s="129"/>
      <c r="I190" s="129"/>
      <c r="J190" s="129"/>
      <c r="K190" s="129"/>
      <c r="L190" s="129"/>
      <c r="M190" s="130"/>
    </row>
    <row r="191" spans="1:45" ht="13.5" customHeight="1">
      <c r="A191" s="90"/>
      <c r="B191" s="42"/>
      <c r="C191" s="144"/>
      <c r="D191" s="128"/>
      <c r="E191" s="129"/>
      <c r="F191" s="129"/>
      <c r="G191" s="129"/>
      <c r="H191" s="129"/>
      <c r="I191" s="129"/>
      <c r="J191" s="129"/>
      <c r="K191" s="129"/>
      <c r="L191" s="129"/>
      <c r="M191" s="130"/>
    </row>
    <row r="192" spans="1:45" ht="13.5" customHeight="1">
      <c r="A192" s="90"/>
      <c r="B192" s="42"/>
      <c r="C192" s="144"/>
      <c r="D192" s="128"/>
      <c r="E192" s="129"/>
      <c r="F192" s="129"/>
      <c r="G192" s="129"/>
      <c r="H192" s="129"/>
      <c r="I192" s="129"/>
      <c r="J192" s="129"/>
      <c r="K192" s="129"/>
      <c r="L192" s="129"/>
      <c r="M192" s="130"/>
    </row>
    <row r="193" spans="1:13" ht="13.5" customHeight="1">
      <c r="A193" s="90"/>
      <c r="B193" s="42"/>
      <c r="C193" s="144"/>
      <c r="D193" s="128"/>
      <c r="E193" s="129"/>
      <c r="F193" s="129"/>
      <c r="G193" s="129"/>
      <c r="H193" s="129"/>
      <c r="I193" s="129"/>
      <c r="J193" s="129"/>
      <c r="K193" s="129"/>
      <c r="L193" s="129"/>
      <c r="M193" s="130"/>
    </row>
    <row r="194" spans="1:13" ht="13.5" customHeight="1">
      <c r="A194" s="90"/>
      <c r="B194" s="42"/>
      <c r="C194" s="144"/>
      <c r="D194" s="128"/>
      <c r="E194" s="129"/>
      <c r="F194" s="129"/>
      <c r="G194" s="129"/>
      <c r="H194" s="129"/>
      <c r="I194" s="129"/>
      <c r="J194" s="129"/>
      <c r="K194" s="129"/>
      <c r="L194" s="129"/>
      <c r="M194" s="130"/>
    </row>
    <row r="195" spans="1:13" ht="13.5" customHeight="1" thickBot="1">
      <c r="A195" s="90"/>
      <c r="B195" s="42"/>
      <c r="C195" s="144"/>
      <c r="D195" s="128"/>
      <c r="E195" s="129"/>
      <c r="F195" s="129"/>
      <c r="G195" s="129"/>
      <c r="H195" s="129"/>
      <c r="I195" s="129"/>
      <c r="J195" s="129"/>
      <c r="K195" s="135"/>
      <c r="L195" s="135"/>
      <c r="M195" s="136"/>
    </row>
    <row r="196" spans="1:13" ht="13.5" customHeight="1" thickTop="1">
      <c r="A196" s="90"/>
      <c r="B196" s="42"/>
      <c r="C196" s="144"/>
      <c r="D196" s="128"/>
      <c r="E196" s="129"/>
      <c r="F196" s="129"/>
      <c r="G196" s="129"/>
      <c r="H196" s="129"/>
      <c r="I196" s="129"/>
      <c r="J196" s="129"/>
    </row>
    <row r="197" spans="1:13" ht="13.5" customHeight="1">
      <c r="A197" s="90"/>
      <c r="B197" s="42"/>
      <c r="C197" s="144"/>
      <c r="D197" s="128"/>
      <c r="E197" s="129"/>
      <c r="F197" s="129"/>
      <c r="G197" s="129"/>
      <c r="H197" s="129"/>
      <c r="I197" s="129"/>
      <c r="J197" s="129"/>
    </row>
    <row r="198" spans="1:13" ht="13.5" customHeight="1">
      <c r="A198" s="90"/>
      <c r="B198" s="42"/>
      <c r="C198" s="144"/>
      <c r="D198" s="128"/>
      <c r="E198" s="129"/>
      <c r="F198" s="129"/>
      <c r="G198" s="129"/>
      <c r="H198" s="129"/>
      <c r="I198" s="129"/>
      <c r="J198" s="129"/>
    </row>
    <row r="199" spans="1:13" ht="13.5" customHeight="1" thickBot="1">
      <c r="A199" s="92"/>
      <c r="B199" s="94"/>
      <c r="C199" s="146"/>
      <c r="D199" s="134"/>
      <c r="E199" s="135"/>
      <c r="F199" s="135"/>
      <c r="G199" s="135"/>
      <c r="H199" s="135"/>
      <c r="I199" s="135"/>
      <c r="J199" s="135"/>
    </row>
    <row r="200" spans="1:13" ht="13.5" customHeight="1" thickTop="1"/>
    <row r="201" spans="1:13" ht="13.5" customHeight="1">
      <c r="D201" s="31"/>
    </row>
    <row r="202" spans="1:13" ht="13.5" customHeight="1"/>
    <row r="203" spans="1:13" ht="13.5" customHeight="1"/>
    <row r="204" spans="1:13" ht="13.5" customHeight="1"/>
    <row r="205" spans="1:13" ht="13.5" customHeight="1"/>
    <row r="206" spans="1:13" ht="13.5" customHeight="1"/>
    <row r="207" spans="1:13" ht="13.5" customHeight="1"/>
    <row r="208" spans="1:13"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sheetData>
  <sheetProtection sheet="1" objects="1" scenarios="1"/>
  <mergeCells count="2">
    <mergeCell ref="A1:B1"/>
    <mergeCell ref="A7:B7"/>
  </mergeCells>
  <phoneticPr fontId="8" type="noConversion"/>
  <hyperlinks>
    <hyperlink ref="A7" location="Contents!A1" display="Contents"/>
    <hyperlink ref="A7:B7" location="Contents!A1" tooltip="Contents page" display="Contents"/>
  </hyperlinks>
  <pageMargins left="0.15748031496062992" right="0.15748031496062992" top="0.59055118110236227" bottom="0.39370078740157483" header="0.11811023622047245" footer="0.11811023622047245"/>
  <pageSetup paperSize="9" scale="83" pageOrder="overThenDown" orientation="landscape" r:id="rId1"/>
  <headerFooter alignWithMargins="0"/>
  <colBreaks count="1" manualBreakCount="1">
    <brk id="13" max="1048575"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indexed="42"/>
  </sheetPr>
  <dimension ref="A1:S58"/>
  <sheetViews>
    <sheetView showGridLines="0" topLeftCell="A25" zoomScaleNormal="100" workbookViewId="0">
      <selection activeCell="A26" sqref="A26"/>
    </sheetView>
  </sheetViews>
  <sheetFormatPr defaultColWidth="12.88671875" defaultRowHeight="13.5" customHeight="1"/>
  <cols>
    <col min="1" max="16384" width="12.88671875" style="317"/>
  </cols>
  <sheetData>
    <row r="1" spans="1:19" ht="54.9" customHeight="1"/>
    <row r="2" spans="1:19" s="319" customFormat="1" ht="5.0999999999999996" customHeight="1">
      <c r="A2" s="318"/>
    </row>
    <row r="3" spans="1:19" s="319" customFormat="1" ht="20.100000000000001" customHeight="1">
      <c r="A3" s="83" t="s">
        <v>2344</v>
      </c>
    </row>
    <row r="4" spans="1:19" s="322" customFormat="1" ht="20.100000000000001" customHeight="1" thickBot="1">
      <c r="A4" s="986" t="s">
        <v>2215</v>
      </c>
      <c r="B4" s="320"/>
      <c r="C4" s="320"/>
      <c r="D4" s="320"/>
      <c r="E4" s="320"/>
      <c r="F4" s="320"/>
      <c r="G4" s="320"/>
      <c r="H4" s="320"/>
      <c r="I4" s="320"/>
      <c r="J4" s="320"/>
      <c r="K4" s="320"/>
      <c r="L4" s="320"/>
      <c r="M4" s="320"/>
    </row>
    <row r="5" spans="1:19" ht="9.9" customHeight="1" thickTop="1"/>
    <row r="6" spans="1:19" s="38" customFormat="1" ht="13.5" customHeight="1" thickBot="1">
      <c r="A6" s="172" t="s">
        <v>14</v>
      </c>
      <c r="B6" s="173"/>
      <c r="E6" s="3617"/>
      <c r="F6" s="3618"/>
      <c r="G6" s="3618"/>
      <c r="H6" s="3618"/>
      <c r="I6" s="3618"/>
      <c r="J6" s="3618"/>
      <c r="K6" s="3618"/>
      <c r="L6" s="3618"/>
      <c r="M6" s="3618"/>
      <c r="N6" s="3618"/>
      <c r="O6" s="3618"/>
      <c r="P6" s="3618"/>
      <c r="Q6" s="3618"/>
      <c r="R6" s="3618"/>
      <c r="S6" s="3618"/>
    </row>
    <row r="7" spans="1:19" s="38" customFormat="1" ht="13.5" customHeight="1" thickBot="1">
      <c r="A7" s="3611" t="s">
        <v>1306</v>
      </c>
      <c r="B7" s="3612"/>
      <c r="E7" s="26"/>
      <c r="F7" s="29"/>
      <c r="G7" s="26"/>
      <c r="H7" s="26"/>
      <c r="I7" s="26"/>
      <c r="J7" s="26"/>
      <c r="K7" s="26"/>
      <c r="L7" s="26"/>
      <c r="M7" s="26"/>
      <c r="N7" s="26"/>
      <c r="O7" s="26"/>
      <c r="P7" s="26"/>
      <c r="Q7" s="26"/>
      <c r="R7" s="26"/>
      <c r="S7" s="26"/>
    </row>
    <row r="8" spans="1:19" s="38" customFormat="1" ht="13.5" customHeight="1">
      <c r="A8" s="323"/>
      <c r="B8" s="32"/>
      <c r="C8" s="321"/>
      <c r="D8" s="321"/>
      <c r="E8" s="26"/>
      <c r="F8" s="315"/>
      <c r="G8" s="26"/>
      <c r="H8" s="26"/>
      <c r="I8" s="26"/>
      <c r="J8" s="26"/>
      <c r="K8" s="26"/>
      <c r="L8" s="26"/>
      <c r="M8" s="26"/>
      <c r="N8" s="26"/>
      <c r="O8" s="26"/>
      <c r="P8" s="26"/>
      <c r="Q8" s="26"/>
      <c r="R8" s="26"/>
      <c r="S8" s="26"/>
    </row>
    <row r="9" spans="1:19" s="38" customFormat="1" ht="13.5" customHeight="1" thickBot="1">
      <c r="C9" s="321"/>
      <c r="D9" s="321"/>
      <c r="E9" s="26"/>
      <c r="F9" s="26"/>
      <c r="G9" s="26"/>
      <c r="H9" s="26"/>
      <c r="I9" s="26"/>
      <c r="J9" s="26"/>
      <c r="K9" s="315"/>
      <c r="L9" s="26"/>
      <c r="M9" s="26"/>
      <c r="N9" s="26"/>
      <c r="O9" s="26"/>
      <c r="P9" s="26"/>
      <c r="Q9" s="26"/>
      <c r="R9" s="26"/>
      <c r="S9" s="26"/>
    </row>
    <row r="10" spans="1:19" s="38" customFormat="1" ht="13.5" customHeight="1" thickTop="1" thickBot="1">
      <c r="A10" s="122" t="s">
        <v>85</v>
      </c>
      <c r="B10" s="362"/>
      <c r="C10" s="363"/>
      <c r="D10" s="363"/>
      <c r="E10" s="362"/>
      <c r="F10" s="362"/>
      <c r="G10" s="362"/>
      <c r="H10" s="378"/>
      <c r="I10" s="823" t="s">
        <v>2350</v>
      </c>
      <c r="J10" s="278"/>
      <c r="K10" s="315"/>
      <c r="L10" s="26"/>
      <c r="M10" s="26"/>
      <c r="N10" s="26"/>
      <c r="O10" s="26"/>
      <c r="P10" s="26"/>
      <c r="Q10" s="26"/>
      <c r="R10" s="26"/>
      <c r="S10" s="26"/>
    </row>
    <row r="11" spans="1:19" s="38" customFormat="1" ht="13.5" customHeight="1" thickTop="1" thickBot="1">
      <c r="A11" s="364" t="s">
        <v>543</v>
      </c>
      <c r="B11" s="365" t="s">
        <v>82</v>
      </c>
      <c r="C11" s="366" t="s">
        <v>1145</v>
      </c>
      <c r="D11" s="367"/>
      <c r="E11" s="368"/>
      <c r="F11" s="368"/>
      <c r="G11" s="368"/>
      <c r="H11" s="369"/>
      <c r="I11" s="1312" t="s">
        <v>1018</v>
      </c>
      <c r="J11" s="2419"/>
      <c r="K11" s="26"/>
      <c r="L11" s="26"/>
      <c r="M11" s="26"/>
      <c r="N11" s="26"/>
      <c r="O11" s="26"/>
      <c r="P11" s="26"/>
      <c r="Q11" s="26"/>
      <c r="R11" s="26"/>
      <c r="S11" s="26"/>
    </row>
    <row r="12" spans="1:19" ht="13.5" customHeight="1" thickBot="1">
      <c r="A12" s="2414" t="s">
        <v>1307</v>
      </c>
      <c r="B12" s="326">
        <v>1</v>
      </c>
      <c r="C12" s="327" t="s">
        <v>1019</v>
      </c>
      <c r="D12" s="322"/>
      <c r="E12" s="322"/>
      <c r="F12" s="322"/>
      <c r="G12" s="322"/>
      <c r="H12" s="372"/>
      <c r="I12" s="3619" t="s">
        <v>107</v>
      </c>
      <c r="J12" s="3620"/>
      <c r="K12" s="2418"/>
      <c r="L12" s="322"/>
    </row>
    <row r="13" spans="1:19" ht="13.5" customHeight="1" thickBot="1">
      <c r="A13" s="2414" t="s">
        <v>1307</v>
      </c>
      <c r="B13" s="329">
        <v>2</v>
      </c>
      <c r="C13" s="330" t="s">
        <v>342</v>
      </c>
      <c r="D13" s="334"/>
      <c r="E13" s="334"/>
      <c r="F13" s="334"/>
      <c r="G13" s="334"/>
      <c r="H13" s="373"/>
      <c r="I13" s="3619" t="s">
        <v>107</v>
      </c>
      <c r="J13" s="3620"/>
      <c r="K13" s="335"/>
    </row>
    <row r="14" spans="1:19" ht="13.5" customHeight="1" thickBot="1">
      <c r="A14" s="2415" t="s">
        <v>1308</v>
      </c>
      <c r="B14" s="326">
        <v>4</v>
      </c>
      <c r="C14" s="15" t="s">
        <v>852</v>
      </c>
      <c r="D14" s="322"/>
      <c r="E14" s="322"/>
      <c r="F14" s="322"/>
      <c r="G14" s="322"/>
      <c r="H14" s="372"/>
      <c r="I14" s="3570" t="s">
        <v>959</v>
      </c>
      <c r="J14" s="3574"/>
      <c r="K14" s="335"/>
    </row>
    <row r="15" spans="1:19" ht="13.5" customHeight="1" thickBot="1">
      <c r="A15" s="2414" t="s">
        <v>1309</v>
      </c>
      <c r="B15" s="1479">
        <v>1</v>
      </c>
      <c r="C15" s="1352" t="s">
        <v>1315</v>
      </c>
      <c r="D15" s="1480"/>
      <c r="E15" s="1480"/>
      <c r="F15" s="1480"/>
      <c r="G15" s="1480"/>
      <c r="H15" s="1481"/>
      <c r="I15" s="3570" t="s">
        <v>960</v>
      </c>
      <c r="J15" s="3574"/>
      <c r="K15" s="15"/>
      <c r="L15" s="322"/>
    </row>
    <row r="16" spans="1:19" ht="13.5" customHeight="1" thickBot="1">
      <c r="A16" s="2414" t="s">
        <v>1309</v>
      </c>
      <c r="B16" s="326" t="s">
        <v>77</v>
      </c>
      <c r="C16" s="327" t="s">
        <v>134</v>
      </c>
      <c r="D16" s="322"/>
      <c r="E16" s="322"/>
      <c r="F16" s="322"/>
      <c r="G16" s="322"/>
      <c r="H16" s="372"/>
      <c r="I16" s="3570" t="s">
        <v>961</v>
      </c>
      <c r="J16" s="3574"/>
      <c r="K16" s="15"/>
      <c r="L16" s="322"/>
    </row>
    <row r="17" spans="1:19" ht="13.5" customHeight="1" thickBot="1">
      <c r="A17" s="2414" t="s">
        <v>1309</v>
      </c>
      <c r="B17" s="329" t="s">
        <v>78</v>
      </c>
      <c r="C17" s="327" t="s">
        <v>135</v>
      </c>
      <c r="D17" s="334"/>
      <c r="E17" s="334"/>
      <c r="F17" s="334"/>
      <c r="G17" s="334"/>
      <c r="H17" s="373"/>
      <c r="I17" s="3570" t="s">
        <v>961</v>
      </c>
      <c r="J17" s="3574"/>
      <c r="K17" s="15"/>
      <c r="L17" s="322"/>
    </row>
    <row r="18" spans="1:19" ht="13.5" customHeight="1" thickBot="1">
      <c r="A18" s="2414" t="s">
        <v>1310</v>
      </c>
      <c r="B18" s="326">
        <v>1</v>
      </c>
      <c r="C18" s="1352" t="s">
        <v>444</v>
      </c>
      <c r="D18" s="322"/>
      <c r="E18" s="322"/>
      <c r="F18" s="322"/>
      <c r="G18" s="322"/>
      <c r="H18" s="372"/>
      <c r="I18" s="3570" t="s">
        <v>118</v>
      </c>
      <c r="J18" s="3574"/>
      <c r="K18" s="15"/>
      <c r="L18" s="322"/>
    </row>
    <row r="19" spans="1:19" ht="13.5" customHeight="1" thickBot="1">
      <c r="A19" s="2414" t="s">
        <v>1310</v>
      </c>
      <c r="B19" s="326">
        <v>2</v>
      </c>
      <c r="C19" s="327" t="s">
        <v>445</v>
      </c>
      <c r="D19" s="322"/>
      <c r="E19" s="322"/>
      <c r="F19" s="322"/>
      <c r="G19" s="322"/>
      <c r="H19" s="372"/>
      <c r="I19" s="3570" t="s">
        <v>119</v>
      </c>
      <c r="J19" s="3574"/>
    </row>
    <row r="20" spans="1:19" ht="13.5" customHeight="1" thickBot="1">
      <c r="A20" s="2414" t="s">
        <v>1310</v>
      </c>
      <c r="B20" s="326">
        <v>3</v>
      </c>
      <c r="C20" s="327" t="s">
        <v>1350</v>
      </c>
      <c r="D20" s="322"/>
      <c r="E20" s="322"/>
      <c r="F20" s="322"/>
      <c r="G20" s="322"/>
      <c r="H20" s="372"/>
      <c r="I20" s="3570" t="s">
        <v>120</v>
      </c>
      <c r="J20" s="3574"/>
    </row>
    <row r="21" spans="1:19" ht="13.5" customHeight="1" thickBot="1">
      <c r="A21" s="2414" t="s">
        <v>1310</v>
      </c>
      <c r="B21" s="326" t="s">
        <v>79</v>
      </c>
      <c r="C21" s="327" t="s">
        <v>748</v>
      </c>
      <c r="D21" s="322"/>
      <c r="E21" s="322"/>
      <c r="F21" s="322"/>
      <c r="G21" s="322"/>
      <c r="H21" s="372"/>
      <c r="I21" s="3570" t="s">
        <v>121</v>
      </c>
      <c r="J21" s="3574"/>
    </row>
    <row r="22" spans="1:19" ht="13.5" customHeight="1" thickBot="1">
      <c r="A22" s="2414" t="s">
        <v>1310</v>
      </c>
      <c r="B22" s="326" t="s">
        <v>80</v>
      </c>
      <c r="C22" s="327" t="s">
        <v>749</v>
      </c>
      <c r="D22" s="322"/>
      <c r="E22" s="322"/>
      <c r="F22" s="322"/>
      <c r="G22" s="322"/>
      <c r="H22" s="372"/>
      <c r="I22" s="3621" t="s">
        <v>823</v>
      </c>
      <c r="J22" s="3622"/>
    </row>
    <row r="23" spans="1:19" ht="13.5" customHeight="1" thickBot="1">
      <c r="A23" s="2414" t="s">
        <v>1310</v>
      </c>
      <c r="B23" s="326" t="s">
        <v>81</v>
      </c>
      <c r="C23" s="327" t="s">
        <v>750</v>
      </c>
      <c r="D23" s="322"/>
      <c r="E23" s="322"/>
      <c r="F23" s="322"/>
      <c r="G23" s="322"/>
      <c r="H23" s="372"/>
      <c r="I23" s="3621" t="s">
        <v>823</v>
      </c>
      <c r="J23" s="3622"/>
    </row>
    <row r="24" spans="1:19" ht="13.5" customHeight="1" thickBot="1">
      <c r="A24" s="2414" t="s">
        <v>1310</v>
      </c>
      <c r="B24" s="329">
        <v>5</v>
      </c>
      <c r="C24" s="330" t="s">
        <v>400</v>
      </c>
      <c r="D24" s="334"/>
      <c r="E24" s="334"/>
      <c r="F24" s="334"/>
      <c r="G24" s="334"/>
      <c r="H24" s="373"/>
      <c r="I24" s="3570" t="s">
        <v>122</v>
      </c>
      <c r="J24" s="3574"/>
    </row>
    <row r="25" spans="1:19" s="38" customFormat="1" ht="13.5" customHeight="1" thickBot="1">
      <c r="A25" s="2414" t="s">
        <v>545</v>
      </c>
      <c r="B25" s="324">
        <v>1</v>
      </c>
      <c r="C25" s="325" t="s">
        <v>1313</v>
      </c>
      <c r="D25" s="360"/>
      <c r="E25" s="361"/>
      <c r="F25" s="361"/>
      <c r="G25" s="361"/>
      <c r="H25" s="370"/>
      <c r="I25" s="3599" t="s">
        <v>669</v>
      </c>
      <c r="J25" s="3600"/>
      <c r="K25" s="29"/>
      <c r="L25" s="61"/>
      <c r="M25" s="26"/>
      <c r="N25" s="26"/>
      <c r="O25" s="26"/>
      <c r="P25" s="26"/>
      <c r="Q25" s="26"/>
      <c r="R25" s="26"/>
      <c r="S25" s="26"/>
    </row>
    <row r="26" spans="1:19" s="38" customFormat="1" ht="13.5" customHeight="1" thickBot="1">
      <c r="A26" s="2414" t="s">
        <v>535</v>
      </c>
      <c r="B26" s="326">
        <v>1</v>
      </c>
      <c r="C26" s="327" t="s">
        <v>432</v>
      </c>
      <c r="D26" s="72"/>
      <c r="E26" s="26"/>
      <c r="F26" s="53"/>
      <c r="G26" s="53"/>
      <c r="H26" s="379"/>
      <c r="I26" s="3570" t="s">
        <v>966</v>
      </c>
      <c r="J26" s="3616"/>
      <c r="K26" s="15"/>
      <c r="L26" s="17"/>
      <c r="M26" s="53"/>
      <c r="N26" s="53"/>
      <c r="O26" s="53"/>
      <c r="P26" s="53"/>
      <c r="Q26" s="53"/>
      <c r="R26" s="53"/>
      <c r="S26" s="53"/>
    </row>
    <row r="27" spans="1:19" s="38" customFormat="1" ht="13.5" customHeight="1" thickBot="1">
      <c r="A27" s="2414" t="s">
        <v>535</v>
      </c>
      <c r="B27" s="326">
        <v>2</v>
      </c>
      <c r="C27" s="327" t="s">
        <v>603</v>
      </c>
      <c r="D27" s="72"/>
      <c r="E27" s="26"/>
      <c r="F27" s="26"/>
      <c r="G27" s="26"/>
      <c r="H27" s="147"/>
      <c r="I27" s="3570" t="s">
        <v>966</v>
      </c>
      <c r="J27" s="3616"/>
      <c r="K27" s="15"/>
      <c r="L27" s="17"/>
      <c r="M27" s="26"/>
      <c r="N27" s="26"/>
      <c r="O27" s="26"/>
      <c r="P27" s="26"/>
      <c r="Q27" s="26"/>
      <c r="R27" s="26"/>
      <c r="S27" s="26"/>
    </row>
    <row r="28" spans="1:19" s="38" customFormat="1" ht="13.5" customHeight="1" thickBot="1">
      <c r="A28" s="2414" t="s">
        <v>535</v>
      </c>
      <c r="B28" s="326" t="s">
        <v>42</v>
      </c>
      <c r="C28" s="332" t="s">
        <v>177</v>
      </c>
      <c r="D28" s="72"/>
      <c r="E28" s="26"/>
      <c r="F28" s="26"/>
      <c r="G28" s="26"/>
      <c r="H28" s="147"/>
      <c r="I28" s="3570" t="s">
        <v>967</v>
      </c>
      <c r="J28" s="3574"/>
      <c r="K28" s="15"/>
      <c r="L28" s="17"/>
      <c r="M28" s="26"/>
      <c r="N28" s="26"/>
      <c r="O28" s="26"/>
      <c r="P28" s="26"/>
      <c r="Q28" s="26"/>
      <c r="R28" s="26"/>
      <c r="S28" s="26"/>
    </row>
    <row r="29" spans="1:19" s="38" customFormat="1" ht="13.5" customHeight="1" thickBot="1">
      <c r="A29" s="2414" t="s">
        <v>535</v>
      </c>
      <c r="B29" s="326" t="s">
        <v>546</v>
      </c>
      <c r="C29" s="371" t="s">
        <v>837</v>
      </c>
      <c r="D29" s="72"/>
      <c r="E29" s="26"/>
      <c r="F29" s="26"/>
      <c r="G29" s="26"/>
      <c r="H29" s="147"/>
      <c r="I29" s="3599" t="s">
        <v>774</v>
      </c>
      <c r="J29" s="3600"/>
      <c r="K29" s="15"/>
      <c r="L29" s="17"/>
      <c r="M29" s="26"/>
      <c r="N29" s="26"/>
      <c r="O29" s="26"/>
      <c r="P29" s="26"/>
      <c r="Q29" s="26"/>
      <c r="R29" s="26"/>
      <c r="S29" s="26"/>
    </row>
    <row r="30" spans="1:19" s="38" customFormat="1" ht="13.5" customHeight="1" thickBot="1">
      <c r="A30" s="2414" t="s">
        <v>535</v>
      </c>
      <c r="B30" s="326" t="s">
        <v>548</v>
      </c>
      <c r="C30" s="327" t="s">
        <v>838</v>
      </c>
      <c r="D30" s="72"/>
      <c r="E30" s="26"/>
      <c r="F30" s="26"/>
      <c r="G30" s="26"/>
      <c r="H30" s="147"/>
      <c r="I30" s="3599" t="s">
        <v>774</v>
      </c>
      <c r="J30" s="3600"/>
      <c r="K30" s="15"/>
      <c r="L30" s="17"/>
      <c r="M30" s="26"/>
      <c r="N30" s="26"/>
      <c r="O30" s="26"/>
      <c r="P30" s="26"/>
      <c r="Q30" s="26"/>
      <c r="R30" s="26"/>
      <c r="S30" s="26"/>
    </row>
    <row r="31" spans="1:19" s="38" customFormat="1" ht="13.5" customHeight="1" thickBot="1">
      <c r="A31" s="2414" t="s">
        <v>535</v>
      </c>
      <c r="B31" s="326">
        <v>4</v>
      </c>
      <c r="C31" s="327" t="s">
        <v>549</v>
      </c>
      <c r="D31" s="72"/>
      <c r="E31" s="26"/>
      <c r="F31" s="26"/>
      <c r="G31" s="26"/>
      <c r="H31" s="147"/>
      <c r="I31" s="3570" t="s">
        <v>968</v>
      </c>
      <c r="J31" s="3574"/>
      <c r="K31" s="15"/>
      <c r="L31" s="17"/>
      <c r="M31" s="26"/>
      <c r="N31" s="26"/>
      <c r="O31" s="26"/>
      <c r="P31" s="26"/>
      <c r="Q31" s="26"/>
      <c r="R31" s="26"/>
      <c r="S31" s="26"/>
    </row>
    <row r="32" spans="1:19" s="38" customFormat="1" ht="13.5" customHeight="1" thickBot="1">
      <c r="A32" s="2414" t="s">
        <v>535</v>
      </c>
      <c r="B32" s="326">
        <v>5</v>
      </c>
      <c r="C32" s="327" t="s">
        <v>550</v>
      </c>
      <c r="D32" s="72"/>
      <c r="E32" s="43"/>
      <c r="F32" s="26"/>
      <c r="G32" s="26"/>
      <c r="H32" s="147"/>
      <c r="I32" s="3570" t="s">
        <v>968</v>
      </c>
      <c r="J32" s="3574"/>
      <c r="K32" s="15"/>
      <c r="L32" s="17"/>
      <c r="M32" s="26"/>
      <c r="N32" s="26"/>
      <c r="O32" s="26"/>
      <c r="P32" s="26"/>
      <c r="Q32" s="26"/>
      <c r="R32" s="26"/>
      <c r="S32" s="26"/>
    </row>
    <row r="33" spans="1:19" s="38" customFormat="1" ht="13.5" customHeight="1" thickBot="1">
      <c r="A33" s="2414" t="s">
        <v>535</v>
      </c>
      <c r="B33" s="326">
        <v>6</v>
      </c>
      <c r="C33" s="327" t="s">
        <v>388</v>
      </c>
      <c r="D33" s="72"/>
      <c r="E33" s="26"/>
      <c r="F33" s="26"/>
      <c r="G33" s="26"/>
      <c r="H33" s="147"/>
      <c r="I33" s="3570" t="s">
        <v>968</v>
      </c>
      <c r="J33" s="3574"/>
      <c r="K33" s="15"/>
      <c r="L33" s="17"/>
      <c r="M33" s="26"/>
      <c r="N33" s="26"/>
      <c r="O33" s="26"/>
      <c r="P33" s="26"/>
      <c r="Q33" s="26"/>
      <c r="R33" s="26"/>
      <c r="S33" s="26"/>
    </row>
    <row r="34" spans="1:19" s="38" customFormat="1" ht="13.5" customHeight="1" thickBot="1">
      <c r="A34" s="2414" t="s">
        <v>535</v>
      </c>
      <c r="B34" s="326" t="s">
        <v>1302</v>
      </c>
      <c r="C34" s="327" t="s">
        <v>1303</v>
      </c>
      <c r="D34" s="72"/>
      <c r="E34" s="26"/>
      <c r="F34" s="26"/>
      <c r="G34" s="26"/>
      <c r="H34" s="147"/>
      <c r="I34" s="3570" t="s">
        <v>969</v>
      </c>
      <c r="J34" s="3574"/>
      <c r="K34" s="15"/>
      <c r="L34" s="17"/>
      <c r="M34" s="26"/>
      <c r="N34" s="26"/>
      <c r="O34" s="26"/>
      <c r="P34" s="26"/>
      <c r="Q34" s="26"/>
      <c r="R34" s="26"/>
      <c r="S34" s="26"/>
    </row>
    <row r="35" spans="1:19" s="38" customFormat="1" ht="13.5" customHeight="1" thickBot="1">
      <c r="A35" s="2414" t="s">
        <v>535</v>
      </c>
      <c r="B35" s="326">
        <v>7</v>
      </c>
      <c r="C35" s="327" t="s">
        <v>455</v>
      </c>
      <c r="D35" s="72"/>
      <c r="E35" s="26"/>
      <c r="F35" s="26"/>
      <c r="G35" s="26"/>
      <c r="H35" s="147"/>
      <c r="I35" s="3570" t="s">
        <v>970</v>
      </c>
      <c r="J35" s="3574"/>
      <c r="K35" s="15"/>
      <c r="L35" s="17"/>
      <c r="M35" s="26"/>
      <c r="N35" s="26"/>
      <c r="O35" s="26"/>
      <c r="P35" s="26"/>
      <c r="Q35" s="26"/>
      <c r="R35" s="26"/>
      <c r="S35" s="26"/>
    </row>
    <row r="36" spans="1:19" s="38" customFormat="1" ht="13.5" customHeight="1" thickBot="1">
      <c r="A36" s="2414" t="s">
        <v>535</v>
      </c>
      <c r="B36" s="326">
        <v>8</v>
      </c>
      <c r="C36" s="327" t="s">
        <v>456</v>
      </c>
      <c r="D36" s="72"/>
      <c r="E36" s="26"/>
      <c r="F36" s="29"/>
      <c r="G36" s="29"/>
      <c r="H36" s="332"/>
      <c r="I36" s="3570" t="s">
        <v>970</v>
      </c>
      <c r="J36" s="3574"/>
      <c r="K36" s="15"/>
      <c r="L36" s="17"/>
      <c r="M36" s="29"/>
      <c r="N36" s="29"/>
      <c r="O36" s="29"/>
      <c r="P36" s="29"/>
      <c r="Q36" s="29"/>
      <c r="R36" s="29"/>
      <c r="S36" s="29"/>
    </row>
    <row r="37" spans="1:19" s="38" customFormat="1" ht="13.5" customHeight="1" thickBot="1">
      <c r="A37" s="2414" t="s">
        <v>535</v>
      </c>
      <c r="B37" s="326">
        <v>9</v>
      </c>
      <c r="C37" s="327" t="s">
        <v>1039</v>
      </c>
      <c r="D37" s="72"/>
      <c r="E37" s="26"/>
      <c r="F37" s="29"/>
      <c r="G37" s="29"/>
      <c r="H37" s="332"/>
      <c r="I37" s="3570" t="s">
        <v>971</v>
      </c>
      <c r="J37" s="3574"/>
      <c r="K37" s="15"/>
      <c r="L37" s="17"/>
      <c r="M37" s="29"/>
      <c r="N37" s="29"/>
      <c r="O37" s="29"/>
      <c r="P37" s="29"/>
      <c r="Q37" s="29"/>
      <c r="R37" s="29"/>
      <c r="S37" s="29"/>
    </row>
    <row r="38" spans="1:19" ht="13.5" customHeight="1" thickBot="1">
      <c r="A38" s="2414" t="s">
        <v>535</v>
      </c>
      <c r="B38" s="329">
        <v>9</v>
      </c>
      <c r="C38" s="333" t="s">
        <v>1221</v>
      </c>
      <c r="D38" s="334"/>
      <c r="E38" s="334"/>
      <c r="F38" s="334"/>
      <c r="G38" s="334"/>
      <c r="H38" s="373"/>
      <c r="I38" s="3570" t="s">
        <v>972</v>
      </c>
      <c r="J38" s="3574"/>
      <c r="K38" s="15"/>
      <c r="L38" s="17"/>
    </row>
    <row r="39" spans="1:19" ht="13.5" customHeight="1" thickBot="1">
      <c r="A39" s="2414" t="s">
        <v>535</v>
      </c>
      <c r="B39" s="326">
        <v>10</v>
      </c>
      <c r="C39" s="327" t="s">
        <v>129</v>
      </c>
      <c r="D39" s="322"/>
      <c r="E39" s="322"/>
      <c r="F39" s="322"/>
      <c r="G39" s="322"/>
      <c r="H39" s="322"/>
      <c r="I39" s="3570" t="s">
        <v>974</v>
      </c>
      <c r="J39" s="3574"/>
      <c r="K39" s="3615"/>
      <c r="L39" s="3615"/>
    </row>
    <row r="40" spans="1:19" ht="13.5" customHeight="1" thickBot="1">
      <c r="A40" s="2414" t="s">
        <v>535</v>
      </c>
      <c r="B40" s="326">
        <v>10</v>
      </c>
      <c r="C40" s="331" t="s">
        <v>1046</v>
      </c>
      <c r="D40" s="322"/>
      <c r="E40" s="322"/>
      <c r="F40" s="322"/>
      <c r="G40" s="322"/>
      <c r="H40" s="322"/>
      <c r="I40" s="3570" t="s">
        <v>977</v>
      </c>
      <c r="J40" s="3574"/>
      <c r="K40" s="3615"/>
      <c r="L40" s="3615"/>
    </row>
    <row r="41" spans="1:19" ht="13.5" customHeight="1" thickBot="1">
      <c r="A41" s="2414" t="s">
        <v>535</v>
      </c>
      <c r="B41" s="326" t="s">
        <v>83</v>
      </c>
      <c r="C41" s="327" t="s">
        <v>281</v>
      </c>
      <c r="D41" s="322"/>
      <c r="E41" s="322"/>
      <c r="F41" s="322"/>
      <c r="G41" s="322"/>
      <c r="H41" s="322"/>
      <c r="I41" s="3570" t="s">
        <v>99</v>
      </c>
      <c r="J41" s="3574"/>
      <c r="K41" s="3615"/>
      <c r="L41" s="3615"/>
    </row>
    <row r="42" spans="1:19" ht="13.5" customHeight="1" thickBot="1">
      <c r="A42" s="2414" t="s">
        <v>535</v>
      </c>
      <c r="B42" s="326" t="s">
        <v>84</v>
      </c>
      <c r="C42" s="327" t="s">
        <v>282</v>
      </c>
      <c r="D42" s="322"/>
      <c r="E42" s="322"/>
      <c r="F42" s="322"/>
      <c r="G42" s="322"/>
      <c r="H42" s="322"/>
      <c r="I42" s="3570" t="s">
        <v>101</v>
      </c>
      <c r="J42" s="3574"/>
      <c r="K42" s="3615"/>
      <c r="L42" s="3615"/>
    </row>
    <row r="43" spans="1:19" ht="13.5" customHeight="1" thickBot="1">
      <c r="A43" s="2414" t="s">
        <v>535</v>
      </c>
      <c r="B43" s="326" t="s">
        <v>551</v>
      </c>
      <c r="C43" s="15" t="s">
        <v>1391</v>
      </c>
      <c r="D43" s="322"/>
      <c r="E43" s="322"/>
      <c r="F43" s="322"/>
      <c r="G43" s="322"/>
      <c r="H43" s="322"/>
      <c r="I43" s="3570" t="s">
        <v>973</v>
      </c>
      <c r="J43" s="3574"/>
      <c r="K43" s="3615"/>
      <c r="L43" s="3615"/>
    </row>
    <row r="44" spans="1:19" ht="13.5" customHeight="1" thickBot="1">
      <c r="A44" s="2414" t="s">
        <v>535</v>
      </c>
      <c r="B44" s="326" t="s">
        <v>552</v>
      </c>
      <c r="C44" s="15" t="s">
        <v>1391</v>
      </c>
      <c r="D44" s="322"/>
      <c r="E44" s="322"/>
      <c r="F44" s="322"/>
      <c r="G44" s="322"/>
      <c r="H44" s="322"/>
      <c r="I44" s="3570" t="s">
        <v>973</v>
      </c>
      <c r="J44" s="3574"/>
      <c r="K44" s="3615"/>
      <c r="L44" s="3615"/>
    </row>
    <row r="45" spans="1:19" ht="13.5" customHeight="1" thickBot="1">
      <c r="A45" s="2414" t="s">
        <v>535</v>
      </c>
      <c r="B45" s="326">
        <v>12</v>
      </c>
      <c r="C45" s="327" t="s">
        <v>1107</v>
      </c>
      <c r="D45" s="322"/>
      <c r="E45" s="322"/>
      <c r="F45" s="322"/>
      <c r="G45" s="322"/>
      <c r="H45" s="322"/>
      <c r="I45" s="3570" t="s">
        <v>975</v>
      </c>
      <c r="J45" s="3574"/>
      <c r="K45" s="3615"/>
      <c r="L45" s="3615"/>
    </row>
    <row r="46" spans="1:19" ht="13.5" customHeight="1" thickBot="1">
      <c r="A46" s="2414" t="s">
        <v>535</v>
      </c>
      <c r="B46" s="326">
        <v>13</v>
      </c>
      <c r="C46" s="327" t="s">
        <v>645</v>
      </c>
      <c r="D46" s="322"/>
      <c r="E46" s="322"/>
      <c r="F46" s="322"/>
      <c r="G46" s="322"/>
      <c r="H46" s="322"/>
      <c r="I46" s="3570" t="s">
        <v>976</v>
      </c>
      <c r="J46" s="3574"/>
      <c r="K46" s="3615"/>
      <c r="L46" s="3615"/>
    </row>
    <row r="47" spans="1:19" ht="13.5" customHeight="1" thickBot="1">
      <c r="A47" s="2414" t="s">
        <v>535</v>
      </c>
      <c r="B47" s="326">
        <v>14</v>
      </c>
      <c r="C47" s="327" t="s">
        <v>1232</v>
      </c>
      <c r="D47" s="322"/>
      <c r="E47" s="322"/>
      <c r="F47" s="322"/>
      <c r="G47" s="322"/>
      <c r="H47" s="322"/>
      <c r="I47" s="3570" t="s">
        <v>99</v>
      </c>
      <c r="J47" s="3574"/>
      <c r="K47" s="3615"/>
      <c r="L47" s="3615"/>
    </row>
    <row r="48" spans="1:19" ht="13.5" customHeight="1" thickBot="1">
      <c r="A48" s="2414" t="s">
        <v>535</v>
      </c>
      <c r="B48" s="326">
        <v>14</v>
      </c>
      <c r="C48" s="327" t="s">
        <v>1233</v>
      </c>
      <c r="D48" s="322"/>
      <c r="E48" s="322"/>
      <c r="F48" s="322"/>
      <c r="G48" s="322"/>
      <c r="H48" s="322"/>
      <c r="I48" s="3570" t="s">
        <v>101</v>
      </c>
      <c r="J48" s="3574"/>
      <c r="K48" s="3615"/>
      <c r="L48" s="3615"/>
    </row>
    <row r="49" spans="1:12" ht="13.5" customHeight="1" thickBot="1">
      <c r="A49" s="2414" t="s">
        <v>535</v>
      </c>
      <c r="B49" s="326">
        <v>15</v>
      </c>
      <c r="C49" s="327" t="s">
        <v>1048</v>
      </c>
      <c r="D49" s="322"/>
      <c r="E49" s="322"/>
      <c r="F49" s="322"/>
      <c r="G49" s="322"/>
      <c r="H49" s="322"/>
      <c r="I49" s="3570" t="s">
        <v>103</v>
      </c>
      <c r="J49" s="3574"/>
      <c r="K49" s="3615"/>
      <c r="L49" s="3615"/>
    </row>
    <row r="50" spans="1:12" ht="13.5" customHeight="1" thickBot="1">
      <c r="A50" s="2414" t="s">
        <v>535</v>
      </c>
      <c r="B50" s="2029">
        <v>16</v>
      </c>
      <c r="C50" s="2030" t="s">
        <v>928</v>
      </c>
      <c r="D50" s="2031"/>
      <c r="E50" s="2031"/>
      <c r="F50" s="2031"/>
      <c r="G50" s="2031"/>
      <c r="H50" s="2031"/>
      <c r="I50" s="3570" t="s">
        <v>104</v>
      </c>
      <c r="J50" s="3574"/>
      <c r="K50" s="3615"/>
      <c r="L50" s="3615"/>
    </row>
    <row r="51" spans="1:12" ht="13.5" customHeight="1" thickBot="1">
      <c r="A51" s="2414" t="s">
        <v>275</v>
      </c>
      <c r="B51" s="2032">
        <v>2</v>
      </c>
      <c r="C51" s="2033" t="s">
        <v>1040</v>
      </c>
      <c r="D51" s="2034"/>
      <c r="E51" s="2034"/>
      <c r="F51" s="2034"/>
      <c r="G51" s="2034"/>
      <c r="H51" s="2034"/>
      <c r="I51" s="3570" t="s">
        <v>126</v>
      </c>
      <c r="J51" s="3574"/>
      <c r="K51" s="322"/>
      <c r="L51" s="322"/>
    </row>
    <row r="52" spans="1:12" ht="13.5" customHeight="1" thickBot="1">
      <c r="A52" s="2416" t="s">
        <v>877</v>
      </c>
      <c r="B52" s="326" t="s">
        <v>529</v>
      </c>
      <c r="C52" s="15" t="s">
        <v>1017</v>
      </c>
      <c r="D52" s="322"/>
      <c r="E52" s="322"/>
      <c r="F52" s="322"/>
      <c r="G52" s="322"/>
      <c r="H52" s="372"/>
      <c r="I52" s="3570" t="s">
        <v>1024</v>
      </c>
      <c r="J52" s="3574"/>
    </row>
    <row r="53" spans="1:12" ht="13.5" customHeight="1" thickBot="1">
      <c r="A53" s="2416" t="s">
        <v>877</v>
      </c>
      <c r="B53" s="326" t="s">
        <v>530</v>
      </c>
      <c r="C53" s="15" t="s">
        <v>1283</v>
      </c>
      <c r="D53" s="322"/>
      <c r="E53" s="322"/>
      <c r="F53" s="322"/>
      <c r="G53" s="322"/>
      <c r="H53" s="372"/>
      <c r="I53" s="3570" t="s">
        <v>1025</v>
      </c>
      <c r="J53" s="3574"/>
    </row>
    <row r="54" spans="1:12" ht="13.5" customHeight="1" thickBot="1">
      <c r="A54" s="2416" t="s">
        <v>877</v>
      </c>
      <c r="B54" s="326" t="s">
        <v>531</v>
      </c>
      <c r="C54" s="15" t="s">
        <v>1284</v>
      </c>
      <c r="D54" s="322"/>
      <c r="E54" s="322"/>
      <c r="F54" s="322"/>
      <c r="G54" s="322"/>
      <c r="H54" s="372"/>
      <c r="I54" s="3570" t="s">
        <v>1026</v>
      </c>
      <c r="J54" s="3574"/>
    </row>
    <row r="55" spans="1:12" ht="13.5" customHeight="1" thickBot="1">
      <c r="A55" s="2416" t="s">
        <v>877</v>
      </c>
      <c r="B55" s="326" t="s">
        <v>531</v>
      </c>
      <c r="C55" s="302" t="s">
        <v>1282</v>
      </c>
      <c r="D55" s="2031"/>
      <c r="E55" s="2031"/>
      <c r="F55" s="2031"/>
      <c r="G55" s="2031"/>
      <c r="H55" s="971"/>
      <c r="I55" s="3570" t="s">
        <v>1027</v>
      </c>
      <c r="J55" s="3574"/>
    </row>
    <row r="56" spans="1:12" ht="13.5" customHeight="1" thickBot="1">
      <c r="A56" s="2416" t="s">
        <v>447</v>
      </c>
      <c r="B56" s="326">
        <v>4</v>
      </c>
      <c r="C56" s="327" t="s">
        <v>722</v>
      </c>
      <c r="D56" s="322"/>
      <c r="E56" s="322"/>
      <c r="F56" s="322"/>
      <c r="G56" s="322"/>
      <c r="H56" s="372"/>
      <c r="I56" s="3570" t="s">
        <v>123</v>
      </c>
      <c r="J56" s="3574"/>
    </row>
    <row r="57" spans="1:12" ht="13.5" customHeight="1" thickBot="1">
      <c r="A57" s="2414" t="s">
        <v>447</v>
      </c>
      <c r="B57" s="2029">
        <v>5</v>
      </c>
      <c r="C57" s="2030" t="s">
        <v>1300</v>
      </c>
      <c r="D57" s="2031"/>
      <c r="E57" s="2031"/>
      <c r="F57" s="2031"/>
      <c r="G57" s="2031"/>
      <c r="H57" s="971"/>
      <c r="I57" s="3570" t="s">
        <v>124</v>
      </c>
      <c r="J57" s="3574"/>
      <c r="L57" s="322"/>
    </row>
    <row r="58" spans="1:12" ht="13.5" customHeight="1" thickBot="1">
      <c r="A58" s="2416" t="s">
        <v>1113</v>
      </c>
      <c r="B58" s="374">
        <v>1</v>
      </c>
      <c r="C58" s="375" t="s">
        <v>1051</v>
      </c>
      <c r="D58" s="376"/>
      <c r="E58" s="376"/>
      <c r="F58" s="376"/>
      <c r="G58" s="376"/>
      <c r="H58" s="377"/>
      <c r="I58" s="3595" t="s">
        <v>536</v>
      </c>
      <c r="J58" s="3596"/>
    </row>
  </sheetData>
  <sheetProtection sheet="1" objects="1" scenarios="1"/>
  <mergeCells count="61">
    <mergeCell ref="K44:L44"/>
    <mergeCell ref="K45:L45"/>
    <mergeCell ref="K46:L46"/>
    <mergeCell ref="K47:L47"/>
    <mergeCell ref="K40:L40"/>
    <mergeCell ref="K41:L41"/>
    <mergeCell ref="K42:L42"/>
    <mergeCell ref="I20:J20"/>
    <mergeCell ref="I24:J24"/>
    <mergeCell ref="E6:S6"/>
    <mergeCell ref="A7:B7"/>
    <mergeCell ref="I26:J26"/>
    <mergeCell ref="I12:J12"/>
    <mergeCell ref="I13:J13"/>
    <mergeCell ref="I18:J18"/>
    <mergeCell ref="I15:J15"/>
    <mergeCell ref="I23:J23"/>
    <mergeCell ref="I14:J14"/>
    <mergeCell ref="I19:J19"/>
    <mergeCell ref="I16:J16"/>
    <mergeCell ref="I17:J17"/>
    <mergeCell ref="I21:J21"/>
    <mergeCell ref="I22:J22"/>
    <mergeCell ref="I25:J25"/>
    <mergeCell ref="I32:J32"/>
    <mergeCell ref="I27:J27"/>
    <mergeCell ref="I28:J28"/>
    <mergeCell ref="I29:J29"/>
    <mergeCell ref="I30:J30"/>
    <mergeCell ref="I47:J47"/>
    <mergeCell ref="I48:J48"/>
    <mergeCell ref="I49:J49"/>
    <mergeCell ref="I44:J44"/>
    <mergeCell ref="I40:J40"/>
    <mergeCell ref="I33:J33"/>
    <mergeCell ref="I34:J34"/>
    <mergeCell ref="I45:J45"/>
    <mergeCell ref="I46:J46"/>
    <mergeCell ref="I39:J39"/>
    <mergeCell ref="I43:J43"/>
    <mergeCell ref="I35:J35"/>
    <mergeCell ref="I36:J36"/>
    <mergeCell ref="I37:J37"/>
    <mergeCell ref="I42:J42"/>
    <mergeCell ref="I38:J38"/>
    <mergeCell ref="K39:L39"/>
    <mergeCell ref="I31:J31"/>
    <mergeCell ref="I41:J41"/>
    <mergeCell ref="I58:J58"/>
    <mergeCell ref="I51:J51"/>
    <mergeCell ref="I56:J56"/>
    <mergeCell ref="I55:J55"/>
    <mergeCell ref="I53:J53"/>
    <mergeCell ref="I54:J54"/>
    <mergeCell ref="I52:J52"/>
    <mergeCell ref="I57:J57"/>
    <mergeCell ref="K43:L43"/>
    <mergeCell ref="K48:L48"/>
    <mergeCell ref="K49:L49"/>
    <mergeCell ref="K50:L50"/>
    <mergeCell ref="I50:J50"/>
  </mergeCells>
  <phoneticPr fontId="8" type="noConversion"/>
  <hyperlinks>
    <hyperlink ref="I12" location="'2.2 Env Noise'!A1" display="'2.2 Env Noise'!A1"/>
    <hyperlink ref="I32:I33" location="A1.2.3!A1" display="A 1.2.3"/>
    <hyperlink ref="A12" r:id="rId1"/>
    <hyperlink ref="A14" r:id="rId2"/>
    <hyperlink ref="A15" r:id="rId3"/>
    <hyperlink ref="A16" r:id="rId4"/>
    <hyperlink ref="A17" r:id="rId5"/>
    <hyperlink ref="A13" r:id="rId6"/>
    <hyperlink ref="A18" r:id="rId7"/>
    <hyperlink ref="A19" r:id="rId8"/>
    <hyperlink ref="A20" r:id="rId9"/>
    <hyperlink ref="A21" r:id="rId10"/>
    <hyperlink ref="A22" r:id="rId11"/>
    <hyperlink ref="A23" r:id="rId12"/>
    <hyperlink ref="A24" r:id="rId13"/>
    <hyperlink ref="A25" r:id="rId14"/>
    <hyperlink ref="A26" r:id="rId15"/>
    <hyperlink ref="A27" r:id="rId16"/>
    <hyperlink ref="A28" r:id="rId17"/>
    <hyperlink ref="A29" r:id="rId18"/>
    <hyperlink ref="A30" r:id="rId19"/>
    <hyperlink ref="A31" r:id="rId20"/>
    <hyperlink ref="A32" r:id="rId21"/>
    <hyperlink ref="A33" r:id="rId22"/>
    <hyperlink ref="A35" r:id="rId23"/>
    <hyperlink ref="A36" r:id="rId24"/>
    <hyperlink ref="A37" r:id="rId25"/>
    <hyperlink ref="A38" r:id="rId26"/>
    <hyperlink ref="A39" r:id="rId27"/>
    <hyperlink ref="A40" r:id="rId28"/>
    <hyperlink ref="A41" r:id="rId29"/>
    <hyperlink ref="A42" r:id="rId30"/>
    <hyperlink ref="A43" r:id="rId31"/>
    <hyperlink ref="A44" r:id="rId32"/>
    <hyperlink ref="A45" r:id="rId33"/>
    <hyperlink ref="A46" r:id="rId34"/>
    <hyperlink ref="A47" r:id="rId35"/>
    <hyperlink ref="A48" r:id="rId36"/>
    <hyperlink ref="A49" r:id="rId37"/>
    <hyperlink ref="A50" r:id="rId38"/>
    <hyperlink ref="A34" r:id="rId39"/>
    <hyperlink ref="A51" r:id="rId40"/>
    <hyperlink ref="A56" r:id="rId41"/>
    <hyperlink ref="A57" r:id="rId42"/>
    <hyperlink ref="A58" r:id="rId43"/>
    <hyperlink ref="A52" r:id="rId44"/>
    <hyperlink ref="A53:A55" r:id="rId45" display="3.13.2"/>
    <hyperlink ref="A7" location="Contents!A1" display="Contents"/>
    <hyperlink ref="A7:B7" location="Contents!A1" tooltip="Contents page" display="Contents"/>
    <hyperlink ref="I12:J12" location="A3.1!A1" tooltip="Noise impacts" display="A3.1!A1"/>
    <hyperlink ref="I13" location="'2.2 Env Noise'!A1" display="'2.2 Env Noise'!A1"/>
    <hyperlink ref="I13:J13" location="A3.1!A1" tooltip="Noise impacts" display="A3.1!A1"/>
    <hyperlink ref="I14:J14" location="A3.2!A1" tooltip="Damage cost &amp; marginal abatement cost values by pollutant" display="A 3.2"/>
    <hyperlink ref="I15:J15" location="A3.3!A1" tooltip="Carbon dioxide emissions per litre of fuel burnt / kWh used" display="A 3.3"/>
    <hyperlink ref="I16:J16" location="A3.4!A1" tooltip="Forecast non-traded, £ per tonne of CO2e" display="A 3.4"/>
    <hyperlink ref="I17:J17" location="A3.4!A1" tooltip="Forecast non-traded, £ per tonne of CO2e" display="A 3.4"/>
    <hyperlink ref="I18:J18" location="A4.1.1!A1" tooltip="Average value of prevention per casualty by severity &amp; element of cost" display="A 4.1.1"/>
    <hyperlink ref="I19:J19" location="A4.1.2!A1" tooltip="Average value of prevention per road casualty by class of road user" display="A 4.1.2"/>
    <hyperlink ref="I20:J20" location="A4.1.3!A1" tooltip="Average value of prevention of road accidents by severity &amp; element of cost" display="A 4.1.3"/>
    <hyperlink ref="I21:J21" location="A4.1.4!A1" tooltip="Average value of prevention per road accident by severity &amp; class of road: all hours" display="A 4.1.4"/>
    <hyperlink ref="I24:J24" location="A4.1.5!A1" tooltip="Rail injury classification, weights and values" display="A 4.1.5"/>
    <hyperlink ref="I25" location="'Discount %'!A1" display="Discount %"/>
    <hyperlink ref="I25:J25" location="A1.1.1!A1" tooltip="Discount rates" display="A 1.1.1"/>
    <hyperlink ref="I27" location="A1.3.1!A1" tooltip="Values of time per person (working &amp; non-working)" display="A 1.3.1"/>
    <hyperlink ref="I28:J28" location="A1.3.2!A1" tooltip="Forecast values of time per person (working &amp; non-working)" display="A 1.3.2"/>
    <hyperlink ref="I26" location="A1.3.1!A1" tooltip="Values of time per person (working &amp; non-working)" display="A 1.3.1"/>
    <hyperlink ref="I29" location="'Annual Parameters'!A1" display="Annual Parameters"/>
    <hyperlink ref="I29:J29" location="'Annual Parameters'!A1" tooltip="Forecast annual economic &amp; demographic parameters" display="Annual Parameters"/>
    <hyperlink ref="I30" location="'Annual Parameters'!A1" display="Annual Parameters"/>
    <hyperlink ref="I30:J30" location="'Annual Parameters'!A1" tooltip="Forecast annual economic &amp; demographic parameters" display="Annual Parameters"/>
    <hyperlink ref="I31:J31" location="A1.3.3!A1" tooltip="Car &amp; vehicle occupancies (2000); Annual % change in car passenger occupancy up to 2036" display="A 1.3.3"/>
    <hyperlink ref="I32:J32" location="A1.3.3!A1" tooltip="Car &amp; vehicle occupancies (2000); Annual % change in car passenger occupancy up to 2036" display="A 1.3.3"/>
    <hyperlink ref="I33:J33" location="A1.3.3!A1" tooltip="Car &amp; vehicle occupancies (2000); Annual % change in car passenger occupancy up to 2036" display="A 1.3.3"/>
    <hyperlink ref="I34:J34" location="A1.3.3.2!A1" tooltip="Vehicle occupancies based on vehicle kilometres travelled (2010)" display="A 1.3.3.2"/>
    <hyperlink ref="I36:J36" location="A1.3.4!A1" tooltip="Proportion of travel &amp; trips in work &amp; non-work time" display="A 1.3.4"/>
    <hyperlink ref="I37:J37" location="A1.3.5!A1" tooltip="Market price values of time per vehicle based on distance travelled" display="A 1.3.5"/>
    <hyperlink ref="I38:J38" location="A1.3.6!A1" tooltip="Forecast market price values of time per vehicle based on distance travelled" display="A 1.3.6"/>
    <hyperlink ref="I35:J35" location="A1.3.4!A1" tooltip="Proportion of travel &amp; trips in work &amp; non-work time" display="A 1.3.4"/>
    <hyperlink ref="I39:J39" location="A1.3.8!A1" tooltip="Fuel / energy consumption parameter values" display="A 1.3.8"/>
    <hyperlink ref="I40:J40" location="A1.3.11!A1" tooltip="Forecast fuel / energy consumption parameters" display="A 1.3.11"/>
    <hyperlink ref="I41:J41" location="A1.3.12!A1" tooltip="Forecast vehicle fuel / energy cost formulae parameters (work)" display="A 1.3.12"/>
    <hyperlink ref="I42:J42" location="A1.3.13!A1" tooltip="Forecast vehicle fuel / energy cost formulae parameters (non-work)" display="A 1.3.13"/>
    <hyperlink ref="I43:J43" location="A1.3.7!A1" tooltip="Fuel and electricity prices &amp; components" display="A 1.3.7"/>
    <hyperlink ref="I44:J44" location="A1.3.7!A1" tooltip="Fuel and electricity prices &amp; components" display="A 1.3.7"/>
    <hyperlink ref="I45:J45" location="A1.3.9!A1" tooltip="Forecast proportion of car, LGV &amp; other vehicle kms using petrol / diesel / electricity" display="A 1.3.9"/>
    <hyperlink ref="I46:J46" location="A1.3.10!A1" tooltip="Forecast assumed vehicle fuel efficiency improvements to 2035" display="A 1.3.10"/>
    <hyperlink ref="I47:J47" location="A1.3.12!A1" tooltip="Forecast vehicle fuel / energy cost formulae parameters (work)" display="A 1.3.12"/>
    <hyperlink ref="I48:J48" location="A1.3.13!A1" tooltip="Forecast vehicle fuel / energy cost formulae parameters (non-work)" display="A 1.3.13"/>
    <hyperlink ref="I49:J49" location="A1.3.14!A1" tooltip="Non-fuel resource vehicle operating costs" display="A 1.3.14"/>
    <hyperlink ref="I50:J50" location="A1.3.15!A1" tooltip="Forecast non-fuel resource car operating costs to 2035" display="A 1.3.15"/>
    <hyperlink ref="I51:J51" location="A4.1.8!A1" tooltip="Option and non-use values" display="A 4.1.8"/>
    <hyperlink ref="I52:J52" location="A5.4.1!A1" tooltip="Proportion of total traffic by region, congestion band, area type &amp; road type" display="A 5.4.1"/>
    <hyperlink ref="I53:J53" location="A5.4.2!A1" tooltip="Marginal External Costs by road type &amp; congestion band" display="A 5.4.2"/>
    <hyperlink ref="I54:J54" location="A5.4.3!A1" tooltip="Car traffic shares by time of day" display="A 5.4.3"/>
    <hyperlink ref="I55:J55" location="A5.4.4!A1" tooltip="Marginal External Costs by region and time of day" display="A 5.4.4"/>
    <hyperlink ref="I56:J56" location="A4.1.6!A1" tooltip="Value of journey quality benefit of cycle facilities, relative to no facilities" display="A 4.1.6"/>
    <hyperlink ref="I57:J57" location="A4.1.7!A1" tooltip="Values of aspects of pedestrian environment, used in valuation of London Strategic Walk Network" display="A 4.1.7"/>
    <hyperlink ref="I58" location="M4.2.1!A1" display="M 4.2.1"/>
    <hyperlink ref="I58:J58" location="M4.2.1!A1" tooltip="Forecast fuel price and income adjustment factors" display="M 4.2.1"/>
  </hyperlinks>
  <pageMargins left="0.75" right="0.75" top="1" bottom="1" header="0.5" footer="0.5"/>
  <pageSetup paperSize="9" orientation="portrait" r:id="rId46"/>
  <headerFooter alignWithMargins="0"/>
  <drawing r:id="rId4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8000"/>
    <pageSetUpPr fitToPage="1"/>
  </sheetPr>
  <dimension ref="A1:Z146"/>
  <sheetViews>
    <sheetView showGridLines="0" topLeftCell="A16" zoomScale="70" zoomScaleNormal="70" workbookViewId="0">
      <pane xSplit="2" topLeftCell="C1" activePane="topRight" state="frozen"/>
      <selection activeCell="A19" sqref="A19"/>
      <selection pane="topRight" activeCell="D83" sqref="D83"/>
    </sheetView>
  </sheetViews>
  <sheetFormatPr defaultColWidth="12.88671875" defaultRowHeight="13.5" customHeight="1"/>
  <cols>
    <col min="1" max="4" width="12.88671875" style="2165" customWidth="1"/>
    <col min="5" max="5" width="17.5546875" style="2165" customWidth="1"/>
    <col min="6" max="11" width="12.88671875" style="2165" customWidth="1"/>
    <col min="12" max="12" width="60.88671875" style="2165" customWidth="1"/>
    <col min="13" max="13" width="12.88671875" style="2165" customWidth="1"/>
    <col min="14" max="14" width="51.88671875" style="2165" customWidth="1"/>
    <col min="15" max="18" width="12.88671875" style="2165" customWidth="1"/>
    <col min="19" max="19" width="73.109375" style="2165" customWidth="1"/>
    <col min="20" max="21" width="12.88671875" style="2165" customWidth="1"/>
    <col min="22" max="22" width="12.88671875" style="2166" customWidth="1"/>
    <col min="23" max="16384" width="12.88671875" style="2165"/>
  </cols>
  <sheetData>
    <row r="1" spans="1:25" ht="54.9" customHeight="1">
      <c r="A1" s="2164"/>
      <c r="B1" s="2164"/>
    </row>
    <row r="2" spans="1:25" s="2167" customFormat="1" ht="5.0999999999999996" customHeight="1">
      <c r="H2" s="2168"/>
      <c r="S2" s="2169"/>
      <c r="V2" s="2170"/>
      <c r="Y2" s="2169"/>
    </row>
    <row r="3" spans="1:25" s="2167" customFormat="1" ht="20.100000000000001" customHeight="1">
      <c r="A3" s="2171" t="s">
        <v>2344</v>
      </c>
      <c r="B3" s="2172"/>
      <c r="C3" s="2169"/>
      <c r="H3" s="2168"/>
      <c r="V3" s="2170"/>
    </row>
    <row r="4" spans="1:25" ht="20.100000000000001" customHeight="1" thickBot="1">
      <c r="A4" s="2173" t="s">
        <v>774</v>
      </c>
      <c r="B4" s="2174"/>
      <c r="C4" s="2175"/>
      <c r="D4" s="2176"/>
      <c r="E4" s="2176"/>
      <c r="F4" s="2176"/>
      <c r="G4" s="2176"/>
      <c r="H4" s="2177"/>
      <c r="I4" s="2174"/>
      <c r="J4" s="2174"/>
      <c r="K4" s="2174"/>
      <c r="L4" s="2174"/>
      <c r="M4" s="2174"/>
      <c r="N4" s="2174"/>
      <c r="O4" s="2174"/>
      <c r="P4" s="2174"/>
      <c r="Q4" s="2174"/>
      <c r="R4" s="2174"/>
      <c r="S4" s="2174"/>
      <c r="T4" s="2174"/>
      <c r="U4" s="2174"/>
      <c r="V4" s="2178"/>
      <c r="W4" s="2174"/>
    </row>
    <row r="5" spans="1:25" ht="9.9" customHeight="1" thickTop="1" thickBot="1">
      <c r="A5" s="2179"/>
      <c r="B5" s="2180"/>
      <c r="C5" s="2181"/>
      <c r="E5" s="2182"/>
      <c r="F5" s="2182"/>
      <c r="G5" s="2182"/>
      <c r="H5" s="2183"/>
      <c r="Q5" s="2184"/>
      <c r="R5" s="2184"/>
      <c r="S5" s="2185"/>
      <c r="T5" s="2182"/>
      <c r="U5" s="2182"/>
      <c r="V5" s="2186"/>
      <c r="W5" s="2182"/>
    </row>
    <row r="6" spans="1:25" s="2180" customFormat="1" ht="13.5" customHeight="1" thickTop="1">
      <c r="A6" s="2187" t="s">
        <v>10</v>
      </c>
      <c r="B6" s="2187"/>
      <c r="E6" s="3626" t="s">
        <v>255</v>
      </c>
      <c r="F6" s="3627"/>
      <c r="G6" s="3627"/>
      <c r="H6" s="3627"/>
      <c r="I6" s="3627"/>
      <c r="J6" s="3627"/>
      <c r="K6" s="3627"/>
      <c r="L6" s="3627"/>
      <c r="M6" s="3627"/>
      <c r="N6" s="3627"/>
      <c r="O6" s="3627"/>
      <c r="P6" s="3627"/>
      <c r="Q6" s="3627"/>
      <c r="R6" s="3627"/>
      <c r="S6" s="3627"/>
      <c r="T6" s="1394"/>
      <c r="U6" s="1394"/>
      <c r="V6" s="1394"/>
      <c r="W6" s="294"/>
      <c r="X6" s="2188"/>
    </row>
    <row r="7" spans="1:25" s="2180" customFormat="1" ht="13.5" customHeight="1">
      <c r="A7" s="3628" t="str">
        <f>Audit!A12</f>
        <v>May 2019 v1.12</v>
      </c>
      <c r="B7" s="3629"/>
      <c r="E7" s="189" t="s">
        <v>1111</v>
      </c>
      <c r="F7" s="236"/>
      <c r="G7" s="236"/>
      <c r="H7" s="237"/>
      <c r="I7" s="236"/>
      <c r="J7" s="237"/>
      <c r="K7" s="237"/>
      <c r="L7" s="237"/>
      <c r="M7" s="236"/>
      <c r="N7" s="237"/>
      <c r="O7" s="237"/>
      <c r="P7" s="237"/>
      <c r="Q7" s="237"/>
      <c r="R7" s="237"/>
      <c r="S7" s="237"/>
      <c r="T7" s="237"/>
      <c r="U7" s="237"/>
      <c r="V7" s="237"/>
      <c r="W7" s="247"/>
      <c r="X7" s="2188"/>
    </row>
    <row r="8" spans="1:25" s="2180" customFormat="1" ht="13.5" customHeight="1">
      <c r="A8" s="3630">
        <f>Audit!C12</f>
        <v>43586</v>
      </c>
      <c r="B8" s="3631"/>
      <c r="C8" s="2190"/>
      <c r="D8" s="2190"/>
      <c r="E8" s="2622" t="s">
        <v>1765</v>
      </c>
      <c r="F8" s="2939" t="s">
        <v>2446</v>
      </c>
      <c r="G8" s="2188"/>
      <c r="H8" s="2188"/>
      <c r="I8" s="237"/>
      <c r="J8" s="2188"/>
      <c r="K8" s="2188"/>
      <c r="L8" s="237"/>
      <c r="M8" s="2188"/>
      <c r="N8" s="2188"/>
      <c r="O8" s="2188"/>
      <c r="P8" s="2188"/>
      <c r="Q8" s="26"/>
      <c r="R8" s="26"/>
      <c r="S8" s="26"/>
      <c r="T8" s="56"/>
      <c r="U8" s="26"/>
      <c r="V8" s="26"/>
      <c r="W8" s="147"/>
      <c r="X8" s="2188"/>
    </row>
    <row r="9" spans="1:25" s="2180" customFormat="1" ht="13.5" customHeight="1" thickBot="1">
      <c r="A9" s="2191" t="s">
        <v>14</v>
      </c>
      <c r="B9" s="2192"/>
      <c r="D9" s="2190"/>
      <c r="E9" s="265"/>
      <c r="F9" s="2939" t="s">
        <v>2447</v>
      </c>
      <c r="G9" s="237"/>
      <c r="H9" s="237"/>
      <c r="I9" s="237"/>
      <c r="J9" s="237"/>
      <c r="K9" s="237"/>
      <c r="L9" s="237"/>
      <c r="M9" s="237"/>
      <c r="N9" s="237"/>
      <c r="O9" s="237"/>
      <c r="P9" s="237"/>
      <c r="Q9" s="237"/>
      <c r="R9" s="237"/>
      <c r="S9" s="26"/>
      <c r="T9" s="56"/>
      <c r="U9" s="26"/>
      <c r="V9" s="26"/>
      <c r="W9" s="147"/>
      <c r="X9" s="2188"/>
    </row>
    <row r="10" spans="1:25" s="2180" customFormat="1" ht="13.5" customHeight="1" thickBot="1">
      <c r="A10" s="3632" t="s">
        <v>1306</v>
      </c>
      <c r="B10" s="3634"/>
      <c r="D10" s="2190"/>
      <c r="E10" s="265"/>
      <c r="F10" s="3168" t="s">
        <v>2448</v>
      </c>
      <c r="G10" s="237"/>
      <c r="H10" s="237"/>
      <c r="I10" s="237"/>
      <c r="J10" s="237"/>
      <c r="K10" s="237"/>
      <c r="L10" s="237"/>
      <c r="M10" s="237"/>
      <c r="N10" s="237"/>
      <c r="O10" s="237"/>
      <c r="P10" s="237"/>
      <c r="Q10" s="237"/>
      <c r="R10" s="237"/>
      <c r="S10" s="26"/>
      <c r="T10" s="2632"/>
      <c r="U10" s="26"/>
      <c r="V10" s="26"/>
      <c r="W10" s="147"/>
      <c r="X10" s="2188"/>
    </row>
    <row r="11" spans="1:25" s="2180" customFormat="1" ht="13.5" customHeight="1" thickBot="1">
      <c r="A11" s="3632" t="s">
        <v>2216</v>
      </c>
      <c r="B11" s="3633"/>
      <c r="D11" s="2190"/>
      <c r="E11" s="2622" t="s">
        <v>1752</v>
      </c>
      <c r="F11" s="2939" t="s">
        <v>2449</v>
      </c>
      <c r="G11" s="237"/>
      <c r="H11" s="237"/>
      <c r="I11" s="237"/>
      <c r="J11" s="237"/>
      <c r="K11" s="237"/>
      <c r="L11" s="237"/>
      <c r="M11" s="237"/>
      <c r="N11" s="237"/>
      <c r="O11" s="237"/>
      <c r="P11" s="237"/>
      <c r="Q11" s="237"/>
      <c r="R11" s="237"/>
      <c r="S11" s="237"/>
      <c r="T11" s="237"/>
      <c r="U11" s="237"/>
      <c r="V11" s="237"/>
      <c r="W11" s="247"/>
      <c r="X11" s="2188"/>
    </row>
    <row r="12" spans="1:25" s="2180" customFormat="1" ht="13.5" customHeight="1" thickBot="1">
      <c r="A12" s="3570" t="s">
        <v>2217</v>
      </c>
      <c r="B12" s="3581"/>
      <c r="D12" s="2190"/>
      <c r="E12" s="265"/>
      <c r="F12" s="2939" t="s">
        <v>2450</v>
      </c>
      <c r="G12" s="237"/>
      <c r="H12" s="237"/>
      <c r="I12" s="237"/>
      <c r="J12" s="237"/>
      <c r="K12" s="237"/>
      <c r="L12" s="237"/>
      <c r="M12" s="237"/>
      <c r="N12" s="237"/>
      <c r="O12" s="237"/>
      <c r="P12" s="237"/>
      <c r="Q12" s="237"/>
      <c r="R12" s="237"/>
      <c r="S12" s="237"/>
      <c r="T12" s="237"/>
      <c r="U12" s="237"/>
      <c r="V12" s="237"/>
      <c r="W12" s="247"/>
      <c r="X12" s="2188"/>
    </row>
    <row r="13" spans="1:25" s="2180" customFormat="1" ht="13.5" customHeight="1">
      <c r="A13" s="3623" t="s">
        <v>252</v>
      </c>
      <c r="B13" s="3624"/>
      <c r="D13" s="2190"/>
      <c r="E13" s="265"/>
      <c r="F13" s="3168" t="s">
        <v>2448</v>
      </c>
      <c r="G13" s="237"/>
      <c r="H13" s="237"/>
      <c r="I13" s="237"/>
      <c r="J13" s="237"/>
      <c r="K13" s="237"/>
      <c r="L13" s="237"/>
      <c r="M13" s="240"/>
      <c r="N13" s="237"/>
      <c r="O13" s="237"/>
      <c r="P13" s="237"/>
      <c r="Q13" s="237"/>
      <c r="R13" s="237"/>
      <c r="S13" s="237"/>
      <c r="T13" s="237"/>
      <c r="U13" s="237"/>
      <c r="V13" s="237"/>
      <c r="W13" s="247"/>
      <c r="X13" s="2188"/>
    </row>
    <row r="14" spans="1:25" s="2180" customFormat="1" ht="13.5" customHeight="1">
      <c r="A14" s="2452" t="s">
        <v>799</v>
      </c>
      <c r="B14" s="2451">
        <f>'User Parameters'!L13</f>
        <v>2010</v>
      </c>
      <c r="C14" s="2190"/>
      <c r="D14" s="2190"/>
      <c r="E14" s="2622" t="s">
        <v>1595</v>
      </c>
      <c r="F14" s="3163" t="s">
        <v>2128</v>
      </c>
      <c r="G14" s="2188"/>
      <c r="H14" s="2188"/>
      <c r="I14" s="2632"/>
      <c r="J14" s="2188"/>
      <c r="K14" s="237"/>
      <c r="L14" s="237"/>
      <c r="M14" s="237"/>
      <c r="N14" s="237"/>
      <c r="O14" s="237"/>
      <c r="P14" s="2188"/>
      <c r="Q14" s="26"/>
      <c r="R14" s="237"/>
      <c r="S14" s="26"/>
      <c r="T14" s="56"/>
      <c r="U14" s="26"/>
      <c r="V14" s="26"/>
      <c r="W14" s="147"/>
      <c r="X14" s="2188"/>
    </row>
    <row r="15" spans="1:25" s="2180" customFormat="1" ht="13.5" customHeight="1">
      <c r="A15" s="2193"/>
      <c r="B15" s="2181"/>
      <c r="C15" s="2190"/>
      <c r="D15" s="2190"/>
      <c r="E15" s="265"/>
      <c r="F15" s="2939" t="s">
        <v>2129</v>
      </c>
      <c r="G15" s="2188"/>
      <c r="H15" s="2188"/>
      <c r="I15" s="2188"/>
      <c r="J15" s="2188"/>
      <c r="K15" s="237"/>
      <c r="L15" s="2940"/>
      <c r="M15" s="2941"/>
      <c r="N15" s="237"/>
      <c r="O15" s="2942"/>
      <c r="P15" s="2188"/>
      <c r="Q15" s="237"/>
      <c r="R15" s="237"/>
      <c r="S15" s="53"/>
      <c r="T15" s="56"/>
      <c r="U15" s="26"/>
      <c r="V15" s="26"/>
      <c r="W15" s="147"/>
      <c r="X15" s="2188"/>
    </row>
    <row r="16" spans="1:25" s="2180" customFormat="1" ht="13.5" customHeight="1">
      <c r="C16" s="2190"/>
      <c r="D16" s="2190"/>
      <c r="E16" s="2622" t="s">
        <v>1598</v>
      </c>
      <c r="F16" s="2939" t="s">
        <v>1954</v>
      </c>
      <c r="G16" s="237"/>
      <c r="H16" s="237"/>
      <c r="I16" s="237"/>
      <c r="J16" s="237"/>
      <c r="K16" s="2188"/>
      <c r="L16" s="237"/>
      <c r="M16" s="2188"/>
      <c r="N16" s="2188"/>
      <c r="O16" s="2685"/>
      <c r="P16" s="237"/>
      <c r="Q16" s="26"/>
      <c r="R16" s="26"/>
      <c r="S16" s="26"/>
      <c r="T16" s="56"/>
      <c r="U16" s="26"/>
      <c r="V16" s="26"/>
      <c r="W16" s="147"/>
      <c r="X16" s="2188"/>
    </row>
    <row r="17" spans="1:24" s="2180" customFormat="1" ht="13.5" customHeight="1">
      <c r="A17" s="2187" t="s">
        <v>253</v>
      </c>
      <c r="B17" s="2194"/>
      <c r="C17" s="2190"/>
      <c r="D17" s="2195"/>
      <c r="E17" s="2614"/>
      <c r="F17" s="2685" t="s">
        <v>1955</v>
      </c>
      <c r="G17" s="2188"/>
      <c r="H17" s="2188"/>
      <c r="I17" s="3164"/>
      <c r="J17" s="2942"/>
      <c r="K17" s="237"/>
      <c r="L17" s="237"/>
      <c r="M17" s="237"/>
      <c r="N17" s="237"/>
      <c r="O17" s="237"/>
      <c r="P17" s="237"/>
      <c r="Q17" s="237"/>
      <c r="R17" s="237"/>
      <c r="S17" s="26"/>
      <c r="T17" s="56"/>
      <c r="U17" s="26"/>
      <c r="V17" s="26"/>
      <c r="W17" s="147"/>
      <c r="X17" s="2188"/>
    </row>
    <row r="18" spans="1:24" s="2180" customFormat="1" ht="13.5" customHeight="1">
      <c r="A18" s="3625"/>
      <c r="B18" s="3625"/>
      <c r="C18" s="2190"/>
      <c r="D18" s="2195"/>
      <c r="E18" s="265"/>
      <c r="F18" s="2941" t="s">
        <v>1885</v>
      </c>
      <c r="G18" s="26"/>
      <c r="H18" s="26"/>
      <c r="I18" s="26"/>
      <c r="J18" s="26"/>
      <c r="K18" s="2188"/>
      <c r="L18" s="237"/>
      <c r="M18" s="2188"/>
      <c r="N18" s="2188"/>
      <c r="O18" s="2188"/>
      <c r="P18" s="237"/>
      <c r="Q18" s="53"/>
      <c r="R18" s="26"/>
      <c r="S18" s="237"/>
      <c r="T18" s="269"/>
      <c r="U18" s="237"/>
      <c r="V18" s="237"/>
      <c r="W18" s="247"/>
      <c r="X18" s="2188"/>
    </row>
    <row r="19" spans="1:24" s="2180" customFormat="1" ht="13.5" customHeight="1">
      <c r="A19" s="3625"/>
      <c r="B19" s="3625"/>
      <c r="C19" s="2190"/>
      <c r="D19" s="2195"/>
      <c r="E19" s="265"/>
      <c r="F19" s="240"/>
      <c r="G19" s="237"/>
      <c r="H19" s="237"/>
      <c r="I19" s="237"/>
      <c r="J19" s="237"/>
      <c r="K19" s="26"/>
      <c r="L19" s="26"/>
      <c r="M19" s="26"/>
      <c r="N19" s="26"/>
      <c r="O19" s="26"/>
      <c r="P19" s="26"/>
      <c r="Q19" s="26"/>
      <c r="R19" s="26"/>
      <c r="S19" s="237"/>
      <c r="T19" s="269"/>
      <c r="U19" s="237"/>
      <c r="V19" s="237"/>
      <c r="W19" s="247"/>
      <c r="X19" s="2188"/>
    </row>
    <row r="20" spans="1:24" ht="13.5" customHeight="1">
      <c r="A20" s="2179"/>
      <c r="B20" s="2180"/>
      <c r="C20" s="2181"/>
      <c r="D20" s="2180"/>
      <c r="E20" s="265"/>
      <c r="F20" s="237"/>
      <c r="G20" s="237"/>
      <c r="H20" s="237"/>
      <c r="I20" s="237"/>
      <c r="J20" s="237"/>
      <c r="K20" s="237"/>
      <c r="L20" s="237"/>
      <c r="M20" s="237"/>
      <c r="N20" s="237"/>
      <c r="O20" s="237"/>
      <c r="P20" s="237"/>
      <c r="Q20" s="237"/>
      <c r="R20" s="237"/>
      <c r="S20" s="237"/>
      <c r="T20" s="237"/>
      <c r="U20" s="237"/>
      <c r="V20" s="238"/>
      <c r="W20" s="247"/>
      <c r="X20" s="2188"/>
    </row>
    <row r="21" spans="1:24" ht="13.5" customHeight="1">
      <c r="A21" s="2179"/>
      <c r="B21" s="2180"/>
      <c r="C21" s="2181"/>
      <c r="D21" s="2180"/>
      <c r="E21" s="265"/>
      <c r="F21" s="237"/>
      <c r="G21" s="237"/>
      <c r="H21" s="237"/>
      <c r="I21" s="237"/>
      <c r="J21" s="237"/>
      <c r="K21" s="237"/>
      <c r="L21" s="237"/>
      <c r="M21" s="237"/>
      <c r="N21" s="237"/>
      <c r="O21" s="237"/>
      <c r="P21" s="237"/>
      <c r="Q21" s="237"/>
      <c r="R21" s="237"/>
      <c r="S21" s="237"/>
      <c r="T21" s="237"/>
      <c r="U21" s="237"/>
      <c r="V21" s="237"/>
      <c r="W21" s="247"/>
    </row>
    <row r="22" spans="1:24" ht="13.5" customHeight="1">
      <c r="A22" s="2179"/>
      <c r="B22" s="2180"/>
      <c r="C22" s="2181"/>
      <c r="D22" s="2180"/>
      <c r="E22" s="265" t="s">
        <v>50</v>
      </c>
      <c r="F22" s="237"/>
      <c r="G22" s="237"/>
      <c r="H22" s="237"/>
      <c r="I22" s="237"/>
      <c r="J22" s="237"/>
      <c r="K22" s="237"/>
      <c r="L22" s="237"/>
      <c r="M22" s="237"/>
      <c r="N22" s="237"/>
      <c r="O22" s="237"/>
      <c r="P22" s="237"/>
      <c r="Q22" s="237"/>
      <c r="R22" s="237"/>
      <c r="S22" s="237"/>
      <c r="T22" s="237"/>
      <c r="U22" s="237"/>
      <c r="V22" s="237"/>
      <c r="W22" s="247"/>
    </row>
    <row r="23" spans="1:24" ht="13.5" customHeight="1">
      <c r="A23" s="2179"/>
      <c r="B23" s="2180"/>
      <c r="C23" s="2181"/>
      <c r="D23" s="2180"/>
      <c r="E23" s="265" t="s">
        <v>214</v>
      </c>
      <c r="F23" s="237"/>
      <c r="G23" s="237"/>
      <c r="H23" s="237"/>
      <c r="I23" s="237"/>
      <c r="J23" s="237"/>
      <c r="K23" s="237"/>
      <c r="L23" s="237"/>
      <c r="M23" s="237"/>
      <c r="N23" s="237"/>
      <c r="O23" s="237"/>
      <c r="P23" s="237"/>
      <c r="Q23" s="237"/>
      <c r="R23" s="237"/>
      <c r="S23" s="237"/>
      <c r="T23" s="237"/>
      <c r="U23" s="237"/>
      <c r="V23" s="237"/>
      <c r="W23" s="247"/>
    </row>
    <row r="24" spans="1:24" ht="13.5" customHeight="1">
      <c r="A24" s="2179"/>
      <c r="B24" s="2180"/>
      <c r="C24" s="2181"/>
      <c r="D24" s="2180"/>
      <c r="E24" s="265"/>
      <c r="F24" s="237"/>
      <c r="G24" s="237"/>
      <c r="H24" s="237"/>
      <c r="I24" s="237"/>
      <c r="J24" s="237"/>
      <c r="K24" s="237"/>
      <c r="L24" s="237"/>
      <c r="M24" s="237"/>
      <c r="N24" s="237"/>
      <c r="O24" s="237"/>
      <c r="P24" s="237"/>
      <c r="Q24" s="237"/>
      <c r="R24" s="237"/>
      <c r="S24" s="237"/>
      <c r="T24" s="237"/>
      <c r="U24" s="237"/>
      <c r="V24" s="237"/>
      <c r="W24" s="247"/>
    </row>
    <row r="25" spans="1:24" ht="13.5" customHeight="1" thickBot="1">
      <c r="A25" s="2179"/>
      <c r="B25" s="2180"/>
      <c r="C25" s="2181"/>
      <c r="D25" s="2180"/>
      <c r="E25" s="92" t="s">
        <v>2218</v>
      </c>
      <c r="F25" s="270"/>
      <c r="G25" s="246"/>
      <c r="H25" s="270"/>
      <c r="I25" s="270"/>
      <c r="J25" s="2260"/>
      <c r="K25" s="270"/>
      <c r="L25" s="270"/>
      <c r="M25" s="270"/>
      <c r="N25" s="270"/>
      <c r="O25" s="270"/>
      <c r="P25" s="270"/>
      <c r="Q25" s="270"/>
      <c r="R25" s="270"/>
      <c r="S25" s="270"/>
      <c r="T25" s="270"/>
      <c r="U25" s="246"/>
      <c r="V25" s="246"/>
      <c r="W25" s="249"/>
    </row>
    <row r="26" spans="1:24" ht="13.5" customHeight="1" thickTop="1" thickBot="1">
      <c r="A26" s="2180"/>
      <c r="B26" s="2198"/>
      <c r="C26" s="2134"/>
      <c r="D26" s="2199"/>
      <c r="E26" s="2167"/>
      <c r="F26" s="2134"/>
      <c r="P26" s="2198"/>
    </row>
    <row r="27" spans="1:24" ht="13.5" customHeight="1" thickTop="1" thickBot="1">
      <c r="A27" s="2200" t="s">
        <v>774</v>
      </c>
      <c r="B27" s="2201"/>
      <c r="C27" s="2201"/>
      <c r="D27" s="2201"/>
      <c r="E27" s="2201"/>
      <c r="F27" s="2201"/>
      <c r="G27" s="2201"/>
      <c r="H27" s="2201"/>
      <c r="I27" s="2201"/>
      <c r="J27" s="2201"/>
      <c r="K27" s="2201"/>
      <c r="L27" s="2201"/>
      <c r="M27" s="2201"/>
      <c r="N27" s="2201"/>
      <c r="O27" s="2201"/>
      <c r="P27" s="2201"/>
      <c r="Q27" s="2201"/>
      <c r="R27" s="2201"/>
      <c r="S27" s="2201"/>
      <c r="T27" s="2201"/>
      <c r="U27" s="2201"/>
      <c r="V27" s="2201"/>
      <c r="W27" s="2202"/>
      <c r="X27" s="2188"/>
    </row>
    <row r="28" spans="1:24" ht="27" customHeight="1" thickTop="1">
      <c r="A28" s="2203"/>
      <c r="B28" s="2204"/>
      <c r="C28" s="2205"/>
      <c r="D28" s="1222" t="s">
        <v>1593</v>
      </c>
      <c r="E28" s="2206" t="s">
        <v>1594</v>
      </c>
      <c r="F28" s="2206"/>
      <c r="G28" s="2207"/>
      <c r="H28" s="2206" t="s">
        <v>1596</v>
      </c>
      <c r="I28" s="2206"/>
      <c r="J28" s="2207"/>
      <c r="K28" s="2208" t="s">
        <v>1597</v>
      </c>
      <c r="L28" s="2209"/>
      <c r="M28" s="2210"/>
      <c r="N28" s="2206" t="s">
        <v>1365</v>
      </c>
      <c r="O28" s="2211"/>
      <c r="P28" s="2212"/>
      <c r="Q28" s="2208" t="s">
        <v>1353</v>
      </c>
      <c r="R28" s="2209"/>
      <c r="S28" s="2210"/>
      <c r="T28" s="2206" t="s">
        <v>558</v>
      </c>
      <c r="U28" s="2213"/>
      <c r="V28" s="2213"/>
      <c r="W28" s="2214"/>
      <c r="X28" s="2188"/>
    </row>
    <row r="29" spans="1:24" ht="13.5" customHeight="1">
      <c r="A29" s="2215"/>
      <c r="B29" s="2192"/>
      <c r="C29" s="2205"/>
      <c r="D29" s="279"/>
      <c r="E29" s="2217"/>
      <c r="F29" s="2218"/>
      <c r="G29" s="2207"/>
      <c r="H29" s="2217"/>
      <c r="I29" s="2218"/>
      <c r="J29" s="2207"/>
      <c r="K29" s="2217"/>
      <c r="L29" s="2218"/>
      <c r="M29" s="2207"/>
      <c r="N29" s="2217"/>
      <c r="O29" s="2218"/>
      <c r="P29" s="2207"/>
      <c r="Q29" s="2217"/>
      <c r="R29" s="2218"/>
      <c r="S29" s="2207"/>
      <c r="T29" s="2219" t="s">
        <v>1441</v>
      </c>
      <c r="U29" s="2219" t="s">
        <v>596</v>
      </c>
      <c r="V29" s="2219"/>
      <c r="W29" s="2220"/>
      <c r="X29" s="2221"/>
    </row>
    <row r="30" spans="1:24" ht="13.5" customHeight="1">
      <c r="A30" s="2203"/>
      <c r="B30" s="2204"/>
      <c r="C30" s="2205"/>
      <c r="D30" s="1398"/>
      <c r="E30" s="2204" t="s">
        <v>1366</v>
      </c>
      <c r="F30" s="2219" t="s">
        <v>1367</v>
      </c>
      <c r="G30" s="2207" t="s">
        <v>775</v>
      </c>
      <c r="H30" s="2204" t="s">
        <v>1366</v>
      </c>
      <c r="I30" s="2219" t="s">
        <v>1367</v>
      </c>
      <c r="J30" s="2207" t="s">
        <v>775</v>
      </c>
      <c r="K30" s="2204" t="s">
        <v>1366</v>
      </c>
      <c r="L30" s="2219" t="s">
        <v>1367</v>
      </c>
      <c r="M30" s="2207" t="s">
        <v>775</v>
      </c>
      <c r="N30" s="2204" t="s">
        <v>1366</v>
      </c>
      <c r="O30" s="2219" t="s">
        <v>1367</v>
      </c>
      <c r="P30" s="2207" t="s">
        <v>775</v>
      </c>
      <c r="Q30" s="2204" t="s">
        <v>1366</v>
      </c>
      <c r="R30" s="2219" t="s">
        <v>1367</v>
      </c>
      <c r="S30" s="2207" t="s">
        <v>775</v>
      </c>
      <c r="T30" s="2219" t="s">
        <v>1071</v>
      </c>
      <c r="U30" s="2219" t="s">
        <v>1071</v>
      </c>
      <c r="V30" s="2219" t="s">
        <v>1441</v>
      </c>
      <c r="W30" s="2220" t="s">
        <v>256</v>
      </c>
      <c r="X30" s="2222"/>
    </row>
    <row r="31" spans="1:24" ht="13.5" customHeight="1">
      <c r="A31" s="2215"/>
      <c r="B31" s="2192"/>
      <c r="C31" s="2205"/>
      <c r="D31" s="2216" t="str">
        <f>"("&amp;B14&amp;" = 100)"</f>
        <v>(2010 = 100)</v>
      </c>
      <c r="E31" s="2223" t="s">
        <v>274</v>
      </c>
      <c r="F31" s="2204" t="s">
        <v>180</v>
      </c>
      <c r="G31" s="2224" t="s">
        <v>776</v>
      </c>
      <c r="H31" s="2223" t="s">
        <v>274</v>
      </c>
      <c r="I31" s="2204" t="s">
        <v>180</v>
      </c>
      <c r="J31" s="2224" t="s">
        <v>776</v>
      </c>
      <c r="K31" s="2618" t="s">
        <v>274</v>
      </c>
      <c r="L31" s="2204" t="s">
        <v>180</v>
      </c>
      <c r="M31" s="2224" t="s">
        <v>1371</v>
      </c>
      <c r="N31" s="2223" t="s">
        <v>274</v>
      </c>
      <c r="O31" s="2204" t="s">
        <v>180</v>
      </c>
      <c r="P31" s="2224" t="s">
        <v>776</v>
      </c>
      <c r="Q31" s="2223" t="s">
        <v>274</v>
      </c>
      <c r="R31" s="2204" t="s">
        <v>180</v>
      </c>
      <c r="S31" s="2224" t="s">
        <v>1371</v>
      </c>
      <c r="T31" s="2204" t="s">
        <v>180</v>
      </c>
      <c r="U31" s="2204" t="s">
        <v>180</v>
      </c>
      <c r="V31" s="2204" t="s">
        <v>775</v>
      </c>
      <c r="W31" s="2224" t="s">
        <v>775</v>
      </c>
      <c r="X31" s="2225"/>
    </row>
    <row r="32" spans="1:24" ht="13.5" customHeight="1">
      <c r="A32" s="2215"/>
      <c r="B32" s="2204" t="s">
        <v>1450</v>
      </c>
      <c r="C32" s="2205"/>
      <c r="D32" s="2220"/>
      <c r="E32" s="2223"/>
      <c r="F32" s="2204" t="s">
        <v>179</v>
      </c>
      <c r="G32" s="2224"/>
      <c r="H32" s="2223"/>
      <c r="I32" s="2204" t="s">
        <v>179</v>
      </c>
      <c r="J32" s="2224"/>
      <c r="K32" s="2223"/>
      <c r="L32" s="2204" t="s">
        <v>179</v>
      </c>
      <c r="M32" s="2224"/>
      <c r="N32" s="2223"/>
      <c r="O32" s="2204" t="s">
        <v>179</v>
      </c>
      <c r="P32" s="2224"/>
      <c r="Q32" s="2223"/>
      <c r="R32" s="2204" t="s">
        <v>179</v>
      </c>
      <c r="S32" s="2224"/>
      <c r="T32" s="2204" t="s">
        <v>181</v>
      </c>
      <c r="U32" s="2204" t="s">
        <v>181</v>
      </c>
      <c r="V32" s="2204" t="s">
        <v>836</v>
      </c>
      <c r="W32" s="2224" t="s">
        <v>836</v>
      </c>
      <c r="X32" s="2221"/>
    </row>
    <row r="33" spans="1:26" ht="13.5" customHeight="1">
      <c r="A33" s="2226"/>
      <c r="B33" s="2166">
        <v>1990</v>
      </c>
      <c r="C33" s="2189"/>
      <c r="D33" s="2227">
        <f>IF('Annual Parameters Source'!D34="","-",'Annual Parameters Source'!D34/VLOOKUP($B$14,'Annual Parameters Source'!$B$34:$D$144,3,1)*100)</f>
        <v>63.098306132612827</v>
      </c>
      <c r="E33" s="2163">
        <f>IF('Annual Parameters Source'!E34="","-",'Annual Parameters Source'!E34)</f>
        <v>1162976</v>
      </c>
      <c r="F33" s="2228" t="str">
        <f>IF('Annual Parameters Source'!F34="","-",'Annual Parameters Source'!F34)</f>
        <v>-</v>
      </c>
      <c r="G33" s="2229">
        <f>IF('Annual Parameters Source'!G34="","-",'Annual Parameters Source'!G34)</f>
        <v>100</v>
      </c>
      <c r="H33" s="2163">
        <f>IF('Annual Parameters Source'!H34="","-",'Annual Parameters Source'!H34)</f>
        <v>57237.5</v>
      </c>
      <c r="I33" s="2228" t="str">
        <f>IF('Annual Parameters Source'!I34="","-",'Annual Parameters Source'!I34)</f>
        <v>-</v>
      </c>
      <c r="J33" s="2229">
        <f>IF('Annual Parameters Source'!J34="","-",'Annual Parameters Source'!J34)</f>
        <v>100</v>
      </c>
      <c r="K33" s="2163" t="str">
        <f>IF('Annual Parameters Source'!K34="","-",'Annual Parameters Source'!K34)</f>
        <v>-</v>
      </c>
      <c r="L33" s="2228" t="str">
        <f>IF('Annual Parameters Source'!L34="","-",'Annual Parameters Source'!L34)</f>
        <v>-</v>
      </c>
      <c r="M33" s="2229" t="str">
        <f>IF('Annual Parameters Source'!M34="","-",'Annual Parameters Source'!M34)</f>
        <v>-</v>
      </c>
      <c r="N33" s="2163">
        <f>IF('Annual Parameters Source'!N34="","-",'Annual Parameters Source'!N34)</f>
        <v>20318.427604280412</v>
      </c>
      <c r="O33" s="2228" t="str">
        <f>IF('Annual Parameters Source'!O34="","-",'Annual Parameters Source'!O34)</f>
        <v>-</v>
      </c>
      <c r="P33" s="2229">
        <f>IF('Annual Parameters Source'!P34="","-",'Annual Parameters Source'!P34)</f>
        <v>100</v>
      </c>
      <c r="Q33" s="2163" t="str">
        <f>IF('Annual Parameters Source'!Q34="","-",'Annual Parameters Source'!Q34)</f>
        <v>-</v>
      </c>
      <c r="R33" s="2228" t="str">
        <f>IF('Annual Parameters Source'!R34="","-",'Annual Parameters Source'!R34)</f>
        <v>-</v>
      </c>
      <c r="S33" s="2229" t="str">
        <f>IF('Annual Parameters Source'!S34="","-",'Annual Parameters Source'!S34)</f>
        <v>-</v>
      </c>
      <c r="T33" s="2228" t="str">
        <f>IF('Annual Parameters Source'!T34="","-",'Annual Parameters Source'!T34)</f>
        <v>-</v>
      </c>
      <c r="U33" s="2228" t="str">
        <f>IF('Annual Parameters Source'!U34="","-",'Annual Parameters Source'!U34)</f>
        <v>-</v>
      </c>
      <c r="V33" s="2230" t="str">
        <f>IF('Annual Parameters Source'!V34="","-",'Annual Parameters Source'!V34)</f>
        <v>-</v>
      </c>
      <c r="W33" s="2231" t="str">
        <f>IF('Annual Parameters Source'!W34="","-",'Annual Parameters Source'!W34)</f>
        <v>-</v>
      </c>
    </row>
    <row r="34" spans="1:26" ht="13.5" customHeight="1">
      <c r="A34" s="2226"/>
      <c r="B34" s="2166">
        <v>1991</v>
      </c>
      <c r="C34" s="2189"/>
      <c r="D34" s="2227">
        <f>IF('Annual Parameters Source'!D35="","-",'Annual Parameters Source'!D35/VLOOKUP($B$14,'Annual Parameters Source'!$B$34:$D$144,3,1)*100)</f>
        <v>67.255751650075283</v>
      </c>
      <c r="E34" s="2163">
        <f>IF('Annual Parameters Source'!E35="","-",'Annual Parameters Source'!E35)</f>
        <v>1150324</v>
      </c>
      <c r="F34" s="2228">
        <f>IF('Annual Parameters Source'!F35="","-",'Annual Parameters Source'!F35)</f>
        <v>-1.087898632473929</v>
      </c>
      <c r="G34" s="2229">
        <f>IF('Annual Parameters Source'!G35="","-",'Annual Parameters Source'!G35)</f>
        <v>98.912101367526077</v>
      </c>
      <c r="H34" s="2163">
        <f>IF('Annual Parameters Source'!H35="","-",'Annual Parameters Source'!H35)</f>
        <v>57438.7</v>
      </c>
      <c r="I34" s="2228">
        <f>IF('Annual Parameters Source'!I35="","-",'Annual Parameters Source'!I35)</f>
        <v>0.35151779864598748</v>
      </c>
      <c r="J34" s="2229">
        <f>IF('Annual Parameters Source'!J35="","-",'Annual Parameters Source'!J35)</f>
        <v>100.35151779864599</v>
      </c>
      <c r="K34" s="2163" t="str">
        <f>IF('Annual Parameters Source'!K35="","-",'Annual Parameters Source'!K35)</f>
        <v>-</v>
      </c>
      <c r="L34" s="2228" t="str">
        <f>IF('Annual Parameters Source'!L35="","-",'Annual Parameters Source'!L35)</f>
        <v>-</v>
      </c>
      <c r="M34" s="2229" t="str">
        <f>IF('Annual Parameters Source'!M35="","-",'Annual Parameters Source'!M35)</f>
        <v>-</v>
      </c>
      <c r="N34" s="2163">
        <f>IF('Annual Parameters Source'!N35="","-",'Annual Parameters Source'!N35)</f>
        <v>20026.98529040525</v>
      </c>
      <c r="O34" s="2228">
        <f>IF('Annual Parameters Source'!O35="","-",'Annual Parameters Source'!O35)</f>
        <v>-1.4343743499805384</v>
      </c>
      <c r="P34" s="2229">
        <f>IF('Annual Parameters Source'!P35="","-",'Annual Parameters Source'!P35)</f>
        <v>98.56562565001947</v>
      </c>
      <c r="Q34" s="2163" t="str">
        <f>IF('Annual Parameters Source'!Q35="","-",'Annual Parameters Source'!Q35)</f>
        <v>-</v>
      </c>
      <c r="R34" s="2228" t="str">
        <f>IF('Annual Parameters Source'!R35="","-",'Annual Parameters Source'!R35)</f>
        <v>-</v>
      </c>
      <c r="S34" s="2229" t="str">
        <f>IF('Annual Parameters Source'!S35="","-",'Annual Parameters Source'!S35)</f>
        <v>-</v>
      </c>
      <c r="T34" s="2228" t="str">
        <f>IF('Annual Parameters Source'!T35="","-",'Annual Parameters Source'!T35)</f>
        <v>-</v>
      </c>
      <c r="U34" s="2228" t="str">
        <f>IF('Annual Parameters Source'!U35="","-",'Annual Parameters Source'!U35)</f>
        <v>-</v>
      </c>
      <c r="V34" s="2230" t="str">
        <f>IF('Annual Parameters Source'!V35="","-",'Annual Parameters Source'!V35)</f>
        <v>-</v>
      </c>
      <c r="W34" s="2231" t="str">
        <f>IF('Annual Parameters Source'!W35="","-",'Annual Parameters Source'!W35)</f>
        <v>-</v>
      </c>
    </row>
    <row r="35" spans="1:26" ht="13.5" customHeight="1">
      <c r="A35" s="2226"/>
      <c r="B35" s="2166">
        <v>1992</v>
      </c>
      <c r="C35" s="2189"/>
      <c r="D35" s="2227">
        <f>IF('Annual Parameters Source'!D36="","-",'Annual Parameters Source'!D36/VLOOKUP($B$14,'Annual Parameters Source'!$B$34:$D$144,3,1)*100)</f>
        <v>69.313122177126218</v>
      </c>
      <c r="E35" s="2163">
        <f>IF('Annual Parameters Source'!E36="","-",'Annual Parameters Source'!E36)</f>
        <v>1154592</v>
      </c>
      <c r="F35" s="2228">
        <f>IF('Annual Parameters Source'!F36="","-",'Annual Parameters Source'!F36)</f>
        <v>0.37102590226753507</v>
      </c>
      <c r="G35" s="2229">
        <f>IF('Annual Parameters Source'!G36="","-",'Annual Parameters Source'!G36)</f>
        <v>99.279090884076723</v>
      </c>
      <c r="H35" s="2163">
        <f>IF('Annual Parameters Source'!H36="","-",'Annual Parameters Source'!H36)</f>
        <v>57584.5</v>
      </c>
      <c r="I35" s="2228">
        <f>IF('Annual Parameters Source'!I36="","-",'Annual Parameters Source'!I36)</f>
        <v>0.25383582845712549</v>
      </c>
      <c r="J35" s="2229">
        <f>IF('Annual Parameters Source'!J36="","-",'Annual Parameters Source'!J36)</f>
        <v>100.60624590521948</v>
      </c>
      <c r="K35" s="2163" t="str">
        <f>IF('Annual Parameters Source'!K36="","-",'Annual Parameters Source'!K36)</f>
        <v>-</v>
      </c>
      <c r="L35" s="2228" t="str">
        <f>IF('Annual Parameters Source'!L36="","-",'Annual Parameters Source'!L36)</f>
        <v>-</v>
      </c>
      <c r="M35" s="2229" t="str">
        <f>IF('Annual Parameters Source'!M36="","-",'Annual Parameters Source'!M36)</f>
        <v>-</v>
      </c>
      <c r="N35" s="2163">
        <f>IF('Annual Parameters Source'!N36="","-",'Annual Parameters Source'!N36)</f>
        <v>20050.39550573505</v>
      </c>
      <c r="O35" s="2228">
        <f>IF('Annual Parameters Source'!O36="","-",'Annual Parameters Source'!O36)</f>
        <v>0.11689335659030853</v>
      </c>
      <c r="P35" s="2229">
        <f>IF('Annual Parameters Source'!P36="","-",'Annual Parameters Source'!P36)</f>
        <v>98.680842318286011</v>
      </c>
      <c r="Q35" s="2163" t="str">
        <f>IF('Annual Parameters Source'!Q36="","-",'Annual Parameters Source'!Q36)</f>
        <v>-</v>
      </c>
      <c r="R35" s="2228" t="str">
        <f>IF('Annual Parameters Source'!R36="","-",'Annual Parameters Source'!R36)</f>
        <v>-</v>
      </c>
      <c r="S35" s="2229" t="str">
        <f>IF('Annual Parameters Source'!S36="","-",'Annual Parameters Source'!S36)</f>
        <v>-</v>
      </c>
      <c r="T35" s="2228" t="str">
        <f>IF('Annual Parameters Source'!T36="","-",'Annual Parameters Source'!T36)</f>
        <v>-</v>
      </c>
      <c r="U35" s="2228" t="str">
        <f>IF('Annual Parameters Source'!U36="","-",'Annual Parameters Source'!U36)</f>
        <v>-</v>
      </c>
      <c r="V35" s="2230" t="str">
        <f>IF('Annual Parameters Source'!V36="","-",'Annual Parameters Source'!V36)</f>
        <v>-</v>
      </c>
      <c r="W35" s="2231" t="str">
        <f>IF('Annual Parameters Source'!W36="","-",'Annual Parameters Source'!W36)</f>
        <v>-</v>
      </c>
    </row>
    <row r="36" spans="1:26" ht="13.5" customHeight="1">
      <c r="A36" s="2226"/>
      <c r="B36" s="2166">
        <v>1993</v>
      </c>
      <c r="C36" s="2189"/>
      <c r="D36" s="2227">
        <f>IF('Annual Parameters Source'!D37="","-",'Annual Parameters Source'!D37/VLOOKUP($B$14,'Annual Parameters Source'!$B$34:$D$144,3,1)*100)</f>
        <v>71.173342339815321</v>
      </c>
      <c r="E36" s="2163">
        <f>IF('Annual Parameters Source'!E37="","-",'Annual Parameters Source'!E37)</f>
        <v>1183761</v>
      </c>
      <c r="F36" s="2228">
        <f>IF('Annual Parameters Source'!F37="","-",'Annual Parameters Source'!F37)</f>
        <v>2.5263469693190324</v>
      </c>
      <c r="G36" s="2229">
        <f>IF('Annual Parameters Source'!G37="","-",'Annual Parameters Source'!G37)</f>
        <v>101.78722518779408</v>
      </c>
      <c r="H36" s="2163">
        <f>IF('Annual Parameters Source'!H37="","-",'Annual Parameters Source'!H37)</f>
        <v>57713.9</v>
      </c>
      <c r="I36" s="2228">
        <f>IF('Annual Parameters Source'!I37="","-",'Annual Parameters Source'!I37)</f>
        <v>0.22471324748847599</v>
      </c>
      <c r="J36" s="2229">
        <f>IF('Annual Parameters Source'!J37="","-",'Annual Parameters Source'!J37)</f>
        <v>100.83232146756934</v>
      </c>
      <c r="K36" s="2163" t="str">
        <f>IF('Annual Parameters Source'!K37="","-",'Annual Parameters Source'!K37)</f>
        <v>-</v>
      </c>
      <c r="L36" s="2228" t="str">
        <f>IF('Annual Parameters Source'!L37="","-",'Annual Parameters Source'!L37)</f>
        <v>-</v>
      </c>
      <c r="M36" s="2229" t="str">
        <f>IF('Annual Parameters Source'!M37="","-",'Annual Parameters Source'!M37)</f>
        <v>-</v>
      </c>
      <c r="N36" s="2163">
        <f>IF('Annual Parameters Source'!N37="","-",'Annual Parameters Source'!N37)</f>
        <v>20510.847473485588</v>
      </c>
      <c r="O36" s="2228">
        <f>IF('Annual Parameters Source'!O37="","-",'Annual Parameters Source'!O37)</f>
        <v>2.2964732422302347</v>
      </c>
      <c r="P36" s="2229">
        <f>IF('Annual Parameters Source'!P37="","-",'Annual Parameters Source'!P37)</f>
        <v>100.94702145733287</v>
      </c>
      <c r="Q36" s="2163" t="str">
        <f>IF('Annual Parameters Source'!Q37="","-",'Annual Parameters Source'!Q37)</f>
        <v>-</v>
      </c>
      <c r="R36" s="2228" t="str">
        <f>IF('Annual Parameters Source'!R37="","-",'Annual Parameters Source'!R37)</f>
        <v>-</v>
      </c>
      <c r="S36" s="2229" t="str">
        <f>IF('Annual Parameters Source'!S37="","-",'Annual Parameters Source'!S37)</f>
        <v>-</v>
      </c>
      <c r="T36" s="2228" t="str">
        <f>IF('Annual Parameters Source'!T37="","-",'Annual Parameters Source'!T37)</f>
        <v>-</v>
      </c>
      <c r="U36" s="2228" t="str">
        <f>IF('Annual Parameters Source'!U37="","-",'Annual Parameters Source'!U37)</f>
        <v>-</v>
      </c>
      <c r="V36" s="2230" t="str">
        <f>IF('Annual Parameters Source'!V37="","-",'Annual Parameters Source'!V37)</f>
        <v>-</v>
      </c>
      <c r="W36" s="2231" t="str">
        <f>IF('Annual Parameters Source'!W37="","-",'Annual Parameters Source'!W37)</f>
        <v>-</v>
      </c>
    </row>
    <row r="37" spans="1:26" ht="13.5" customHeight="1">
      <c r="A37" s="2226"/>
      <c r="B37" s="2166">
        <v>1994</v>
      </c>
      <c r="C37" s="2189"/>
      <c r="D37" s="2227">
        <f>IF('Annual Parameters Source'!D38="","-",'Annual Parameters Source'!D38/VLOOKUP($B$14,'Annual Parameters Source'!$B$34:$D$144,3,1)*100)</f>
        <v>72.081928455712728</v>
      </c>
      <c r="E37" s="2163">
        <f>IF('Annual Parameters Source'!E38="","-",'Annual Parameters Source'!E38)</f>
        <v>1229868</v>
      </c>
      <c r="F37" s="2228">
        <f>IF('Annual Parameters Source'!F38="","-",'Annual Parameters Source'!F38)</f>
        <v>3.8949585262565671</v>
      </c>
      <c r="G37" s="2229">
        <f>IF('Annual Parameters Source'!G38="","-",'Annual Parameters Source'!G38)</f>
        <v>105.75179539388604</v>
      </c>
      <c r="H37" s="2163">
        <f>IF('Annual Parameters Source'!H38="","-",'Annual Parameters Source'!H38)</f>
        <v>57862.1</v>
      </c>
      <c r="I37" s="2228">
        <f>IF('Annual Parameters Source'!I38="","-",'Annual Parameters Source'!I38)</f>
        <v>0.25678389434780374</v>
      </c>
      <c r="J37" s="2229">
        <f>IF('Annual Parameters Source'!J38="","-",'Annual Parameters Source'!J38)</f>
        <v>101.09124262939507</v>
      </c>
      <c r="K37" s="2163" t="str">
        <f>IF('Annual Parameters Source'!K38="","-",'Annual Parameters Source'!K38)</f>
        <v>-</v>
      </c>
      <c r="L37" s="2228" t="str">
        <f>IF('Annual Parameters Source'!L38="","-",'Annual Parameters Source'!L38)</f>
        <v>-</v>
      </c>
      <c r="M37" s="2229" t="str">
        <f>IF('Annual Parameters Source'!M38="","-",'Annual Parameters Source'!M38)</f>
        <v>-</v>
      </c>
      <c r="N37" s="2163">
        <f>IF('Annual Parameters Source'!N38="","-",'Annual Parameters Source'!N38)</f>
        <v>21255.156656948158</v>
      </c>
      <c r="O37" s="2228">
        <f>IF('Annual Parameters Source'!O38="","-",'Annual Parameters Source'!O38)</f>
        <v>3.6288563133470619</v>
      </c>
      <c r="P37" s="2229">
        <f>IF('Annual Parameters Source'!P38="","-",'Annual Parameters Source'!P38)</f>
        <v>104.61024381862309</v>
      </c>
      <c r="Q37" s="2163" t="str">
        <f>IF('Annual Parameters Source'!Q38="","-",'Annual Parameters Source'!Q38)</f>
        <v>-</v>
      </c>
      <c r="R37" s="2228" t="str">
        <f>IF('Annual Parameters Source'!R38="","-",'Annual Parameters Source'!R38)</f>
        <v>-</v>
      </c>
      <c r="S37" s="2229" t="str">
        <f>IF('Annual Parameters Source'!S38="","-",'Annual Parameters Source'!S38)</f>
        <v>-</v>
      </c>
      <c r="T37" s="2228" t="str">
        <f>IF('Annual Parameters Source'!T38="","-",'Annual Parameters Source'!T38)</f>
        <v>-</v>
      </c>
      <c r="U37" s="2228" t="str">
        <f>IF('Annual Parameters Source'!U38="","-",'Annual Parameters Source'!U38)</f>
        <v>-</v>
      </c>
      <c r="V37" s="2230" t="str">
        <f>IF('Annual Parameters Source'!V38="","-",'Annual Parameters Source'!V38)</f>
        <v>-</v>
      </c>
      <c r="W37" s="2231" t="str">
        <f>IF('Annual Parameters Source'!W38="","-",'Annual Parameters Source'!W38)</f>
        <v>-</v>
      </c>
    </row>
    <row r="38" spans="1:26" ht="13.5" customHeight="1">
      <c r="A38" s="2226"/>
      <c r="B38" s="2166">
        <v>1995</v>
      </c>
      <c r="C38" s="2189"/>
      <c r="D38" s="2227">
        <f>IF('Annual Parameters Source'!D39="","-",'Annual Parameters Source'!D39/VLOOKUP($B$14,'Annual Parameters Source'!$B$34:$D$144,3,1)*100)</f>
        <v>73.852389102920043</v>
      </c>
      <c r="E38" s="2163">
        <f>IF('Annual Parameters Source'!E39="","-",'Annual Parameters Source'!E39)</f>
        <v>1260065</v>
      </c>
      <c r="F38" s="2228">
        <f>IF('Annual Parameters Source'!F39="","-",'Annual Parameters Source'!F39)</f>
        <v>2.4553041464612462</v>
      </c>
      <c r="G38" s="2229">
        <f>IF('Annual Parameters Source'!G39="","-",'Annual Parameters Source'!G39)</f>
        <v>108.34832361114934</v>
      </c>
      <c r="H38" s="2163">
        <f>IF('Annual Parameters Source'!H39="","-",'Annual Parameters Source'!H39)</f>
        <v>58024.800000000003</v>
      </c>
      <c r="I38" s="2228">
        <f>IF('Annual Parameters Source'!I39="","-",'Annual Parameters Source'!I39)</f>
        <v>0.2811857848228882</v>
      </c>
      <c r="J38" s="2229">
        <f>IF('Annual Parameters Source'!J39="","-",'Annual Parameters Source'!J39)</f>
        <v>101.37549683336974</v>
      </c>
      <c r="K38" s="2163" t="str">
        <f>IF('Annual Parameters Source'!K39="","-",'Annual Parameters Source'!K39)</f>
        <v>-</v>
      </c>
      <c r="L38" s="2228" t="str">
        <f>IF('Annual Parameters Source'!L39="","-",'Annual Parameters Source'!L39)</f>
        <v>-</v>
      </c>
      <c r="M38" s="2229" t="str">
        <f>IF('Annual Parameters Source'!M39="","-",'Annual Parameters Source'!M39)</f>
        <v>-</v>
      </c>
      <c r="N38" s="2163">
        <f>IF('Annual Parameters Source'!N39="","-",'Annual Parameters Source'!N39)</f>
        <v>21715.973170092788</v>
      </c>
      <c r="O38" s="2228">
        <f>IF('Annual Parameters Source'!O39="","-",'Annual Parameters Source'!O39)</f>
        <v>2.1680221914242681</v>
      </c>
      <c r="P38" s="2229">
        <f>IF('Annual Parameters Source'!P39="","-",'Annual Parameters Source'!P39)</f>
        <v>106.87821711911387</v>
      </c>
      <c r="Q38" s="2163" t="str">
        <f>IF('Annual Parameters Source'!Q39="","-",'Annual Parameters Source'!Q39)</f>
        <v>-</v>
      </c>
      <c r="R38" s="2228" t="str">
        <f>IF('Annual Parameters Source'!R39="","-",'Annual Parameters Source'!R39)</f>
        <v>-</v>
      </c>
      <c r="S38" s="2229" t="str">
        <f>IF('Annual Parameters Source'!S39="","-",'Annual Parameters Source'!S39)</f>
        <v>-</v>
      </c>
      <c r="T38" s="2228" t="str">
        <f>IF('Annual Parameters Source'!T39="","-",'Annual Parameters Source'!T39)</f>
        <v>-</v>
      </c>
      <c r="U38" s="2228" t="str">
        <f>IF('Annual Parameters Source'!U39="","-",'Annual Parameters Source'!U39)</f>
        <v>-</v>
      </c>
      <c r="V38" s="2230" t="str">
        <f>IF('Annual Parameters Source'!V39="","-",'Annual Parameters Source'!V39)</f>
        <v>-</v>
      </c>
      <c r="W38" s="2231" t="str">
        <f>IF('Annual Parameters Source'!W39="","-",'Annual Parameters Source'!W39)</f>
        <v>-</v>
      </c>
    </row>
    <row r="39" spans="1:26" ht="13.5" customHeight="1">
      <c r="A39" s="2226"/>
      <c r="B39" s="2166">
        <v>1996</v>
      </c>
      <c r="C39" s="2189"/>
      <c r="D39" s="2227">
        <f>IF('Annual Parameters Source'!D40="","-",'Annual Parameters Source'!D40/VLOOKUP($B$14,'Annual Parameters Source'!$B$34:$D$144,3,1)*100)</f>
        <v>76.86780507072568</v>
      </c>
      <c r="E39" s="2163">
        <f>IF('Annual Parameters Source'!E40="","-",'Annual Parameters Source'!E40)</f>
        <v>1292011</v>
      </c>
      <c r="F39" s="2228">
        <f>IF('Annual Parameters Source'!F40="","-",'Annual Parameters Source'!F40)</f>
        <v>2.535266037863126</v>
      </c>
      <c r="G39" s="2229">
        <f>IF('Annual Parameters Source'!G40="","-",'Annual Parameters Source'!G40)</f>
        <v>111.09524186225684</v>
      </c>
      <c r="H39" s="2163">
        <f>IF('Annual Parameters Source'!H40="","-",'Annual Parameters Source'!H40)</f>
        <v>58164.4</v>
      </c>
      <c r="I39" s="2228">
        <f>IF('Annual Parameters Source'!I40="","-",'Annual Parameters Source'!I40)</f>
        <v>0.24058678358218991</v>
      </c>
      <c r="J39" s="2229">
        <f>IF('Annual Parameters Source'!J40="","-",'Annual Parameters Source'!J40)</f>
        <v>101.6193928805416</v>
      </c>
      <c r="K39" s="2163">
        <f>IF('Annual Parameters Source'!K40="","-",'Annual Parameters Source'!K40)</f>
        <v>23738</v>
      </c>
      <c r="L39" s="2228" t="str">
        <f>IF('Annual Parameters Source'!L40="","-",'Annual Parameters Source'!L40)</f>
        <v>-</v>
      </c>
      <c r="M39" s="2229">
        <f>IF('Annual Parameters Source'!M40="","-",'Annual Parameters Source'!M40)</f>
        <v>100</v>
      </c>
      <c r="N39" s="2163">
        <f>IF('Annual Parameters Source'!N40="","-",'Annual Parameters Source'!N40)</f>
        <v>22213.089106051124</v>
      </c>
      <c r="O39" s="2228">
        <f>IF('Annual Parameters Source'!O40="","-",'Annual Parameters Source'!O40)</f>
        <v>2.2891718094538938</v>
      </c>
      <c r="P39" s="2229">
        <f>IF('Annual Parameters Source'!P40="","-",'Annual Parameters Source'!P40)</f>
        <v>109.32484313585155</v>
      </c>
      <c r="Q39" s="2163">
        <f>IF('Annual Parameters Source'!Q40="","-",'Annual Parameters Source'!Q40)</f>
        <v>54427.963602662399</v>
      </c>
      <c r="R39" s="2228" t="str">
        <f>IF('Annual Parameters Source'!R40="","-",'Annual Parameters Source'!R40)</f>
        <v>-</v>
      </c>
      <c r="S39" s="2229">
        <f>IF('Annual Parameters Source'!S40="","-",'Annual Parameters Source'!S40)</f>
        <v>100</v>
      </c>
      <c r="T39" s="2228" t="str">
        <f>IF('Annual Parameters Source'!T40="","-",'Annual Parameters Source'!T40)</f>
        <v>-</v>
      </c>
      <c r="U39" s="2228" t="str">
        <f>IF('Annual Parameters Source'!U40="","-",'Annual Parameters Source'!U40)</f>
        <v>-</v>
      </c>
      <c r="V39" s="2230" t="str">
        <f>IF('Annual Parameters Source'!V40="","-",'Annual Parameters Source'!V40)</f>
        <v>-</v>
      </c>
      <c r="W39" s="2231" t="str">
        <f>IF('Annual Parameters Source'!W40="","-",'Annual Parameters Source'!W40)</f>
        <v>-</v>
      </c>
    </row>
    <row r="40" spans="1:26" ht="13.5" customHeight="1">
      <c r="A40" s="2226"/>
      <c r="B40" s="2166">
        <v>1997</v>
      </c>
      <c r="C40" s="2189"/>
      <c r="D40" s="2227">
        <f>IF('Annual Parameters Source'!D41="","-",'Annual Parameters Source'!D41/VLOOKUP($B$14,'Annual Parameters Source'!$B$34:$D$144,3,1)*100)</f>
        <v>77.419299440720366</v>
      </c>
      <c r="E40" s="2163">
        <f>IF('Annual Parameters Source'!E41="","-",'Annual Parameters Source'!E41)</f>
        <v>1347478</v>
      </c>
      <c r="F40" s="2228">
        <f>IF('Annual Parameters Source'!F41="","-",'Annual Parameters Source'!F41)</f>
        <v>4.2930749041610321</v>
      </c>
      <c r="G40" s="2229">
        <f>IF('Annual Parameters Source'!G41="","-",'Annual Parameters Source'!G41)</f>
        <v>115.8646438103624</v>
      </c>
      <c r="H40" s="2163">
        <f>IF('Annual Parameters Source'!H41="","-",'Annual Parameters Source'!H41)</f>
        <v>58314.2</v>
      </c>
      <c r="I40" s="2228">
        <f>IF('Annual Parameters Source'!I41="","-",'Annual Parameters Source'!I41)</f>
        <v>0.2575458527896714</v>
      </c>
      <c r="J40" s="2229">
        <f>IF('Annual Parameters Source'!J41="","-",'Annual Parameters Source'!J41)</f>
        <v>101.88110941253548</v>
      </c>
      <c r="K40" s="2163">
        <f>IF('Annual Parameters Source'!K41="","-",'Annual Parameters Source'!K41)</f>
        <v>23865</v>
      </c>
      <c r="L40" s="2228">
        <f>IF('Annual Parameters Source'!L41="","-",'Annual Parameters Source'!L41)</f>
        <v>0.53500716151318561</v>
      </c>
      <c r="M40" s="2229">
        <f>IF('Annual Parameters Source'!M41="","-",'Annual Parameters Source'!M41)</f>
        <v>100.53500716151319</v>
      </c>
      <c r="N40" s="2163">
        <f>IF('Annual Parameters Source'!N41="","-",'Annual Parameters Source'!N41)</f>
        <v>23107.202019405224</v>
      </c>
      <c r="O40" s="2228">
        <f>IF('Annual Parameters Source'!O41="","-",'Annual Parameters Source'!O41)</f>
        <v>4.0251624125098973</v>
      </c>
      <c r="P40" s="2229">
        <f>IF('Annual Parameters Source'!P41="","-",'Annual Parameters Source'!P41)</f>
        <v>113.72534562929125</v>
      </c>
      <c r="Q40" s="2163">
        <f>IF('Annual Parameters Source'!Q41="","-",'Annual Parameters Source'!Q41)</f>
        <v>56462.518332285777</v>
      </c>
      <c r="R40" s="2228">
        <f>IF('Annual Parameters Source'!R41="","-",'Annual Parameters Source'!R41)</f>
        <v>3.7380688068290091</v>
      </c>
      <c r="S40" s="2229">
        <f>IF('Annual Parameters Source'!S41="","-",'Annual Parameters Source'!S41)</f>
        <v>103.73806880682899</v>
      </c>
      <c r="T40" s="2228" t="str">
        <f>IF('Annual Parameters Source'!T41="","-",'Annual Parameters Source'!T41)</f>
        <v>-</v>
      </c>
      <c r="U40" s="2228" t="str">
        <f>IF('Annual Parameters Source'!U41="","-",'Annual Parameters Source'!U41)</f>
        <v>-</v>
      </c>
      <c r="V40" s="2230" t="str">
        <f>IF('Annual Parameters Source'!V41="","-",'Annual Parameters Source'!V41)</f>
        <v>-</v>
      </c>
      <c r="W40" s="2231" t="str">
        <f>IF('Annual Parameters Source'!W41="","-",'Annual Parameters Source'!W41)</f>
        <v>-</v>
      </c>
    </row>
    <row r="41" spans="1:26" ht="13.5" customHeight="1">
      <c r="A41" s="2226"/>
      <c r="B41" s="2166">
        <v>1998</v>
      </c>
      <c r="C41" s="2189"/>
      <c r="D41" s="2227">
        <f>IF('Annual Parameters Source'!D42="","-",'Annual Parameters Source'!D42/VLOOKUP($B$14,'Annual Parameters Source'!$B$34:$D$144,3,1)*100)</f>
        <v>78.251177807417761</v>
      </c>
      <c r="E41" s="2163">
        <f>IF('Annual Parameters Source'!E42="","-",'Annual Parameters Source'!E42)</f>
        <v>1392501</v>
      </c>
      <c r="F41" s="2228">
        <f>IF('Annual Parameters Source'!F42="","-",'Annual Parameters Source'!F42)</f>
        <v>3.3412790412904703</v>
      </c>
      <c r="G41" s="2229">
        <f>IF('Annual Parameters Source'!G42="","-",'Annual Parameters Source'!G42)</f>
        <v>119.7360048702639</v>
      </c>
      <c r="H41" s="2163">
        <f>IF('Annual Parameters Source'!H42="","-",'Annual Parameters Source'!H42)</f>
        <v>58474.9</v>
      </c>
      <c r="I41" s="2228">
        <f>IF('Annual Parameters Source'!I42="","-",'Annual Parameters Source'!I42)</f>
        <v>0.27557610324758697</v>
      </c>
      <c r="J41" s="2229">
        <f>IF('Annual Parameters Source'!J42="","-",'Annual Parameters Source'!J42)</f>
        <v>102.16186940379995</v>
      </c>
      <c r="K41" s="2163">
        <f>IF('Annual Parameters Source'!K42="","-",'Annual Parameters Source'!K42)</f>
        <v>24036</v>
      </c>
      <c r="L41" s="2228">
        <f>IF('Annual Parameters Source'!L42="","-",'Annual Parameters Source'!L42)</f>
        <v>0.71653048397234442</v>
      </c>
      <c r="M41" s="2229">
        <f>IF('Annual Parameters Source'!M42="","-",'Annual Parameters Source'!M42)</f>
        <v>101.25537113488922</v>
      </c>
      <c r="N41" s="2163">
        <f>IF('Annual Parameters Source'!N42="","-",'Annual Parameters Source'!N42)</f>
        <v>23813.653379484189</v>
      </c>
      <c r="O41" s="2228">
        <f>IF('Annual Parameters Source'!O42="","-",'Annual Parameters Source'!O42)</f>
        <v>3.0572778109859255</v>
      </c>
      <c r="P41" s="2229">
        <f>IF('Annual Parameters Source'!P42="","-",'Annual Parameters Source'!P42)</f>
        <v>117.20224538668262</v>
      </c>
      <c r="Q41" s="2163">
        <f>IF('Annual Parameters Source'!Q42="","-",'Annual Parameters Source'!Q42)</f>
        <v>57933.974038941589</v>
      </c>
      <c r="R41" s="2228">
        <f>IF('Annual Parameters Source'!R42="","-",'Annual Parameters Source'!R42)</f>
        <v>2.6060752338324722</v>
      </c>
      <c r="S41" s="2229">
        <f>IF('Annual Parameters Source'!S42="","-",'Annual Parameters Source'!S42)</f>
        <v>106.44156092605985</v>
      </c>
      <c r="T41" s="2228" t="str">
        <f>IF('Annual Parameters Source'!T42="","-",'Annual Parameters Source'!T42)</f>
        <v>-</v>
      </c>
      <c r="U41" s="2228" t="str">
        <f>IF('Annual Parameters Source'!U42="","-",'Annual Parameters Source'!U42)</f>
        <v>-</v>
      </c>
      <c r="V41" s="2230" t="str">
        <f>IF('Annual Parameters Source'!V42="","-",'Annual Parameters Source'!V42)</f>
        <v>-</v>
      </c>
      <c r="W41" s="2231" t="str">
        <f>IF('Annual Parameters Source'!W42="","-",'Annual Parameters Source'!W42)</f>
        <v>-</v>
      </c>
    </row>
    <row r="42" spans="1:26" ht="13.5" customHeight="1">
      <c r="A42" s="2226"/>
      <c r="B42" s="2166">
        <v>1999</v>
      </c>
      <c r="C42" s="2189"/>
      <c r="D42" s="2227">
        <f>IF('Annual Parameters Source'!D43="","-",'Annual Parameters Source'!D43/VLOOKUP($B$14,'Annual Parameters Source'!$B$34:$D$144,3,1)*100)</f>
        <v>78.876975653876329</v>
      </c>
      <c r="E42" s="2163">
        <f>IF('Annual Parameters Source'!E43="","-",'Annual Parameters Source'!E43)</f>
        <v>1437253</v>
      </c>
      <c r="F42" s="2228">
        <f>IF('Annual Parameters Source'!F43="","-",'Annual Parameters Source'!F43)</f>
        <v>3.213785842882698</v>
      </c>
      <c r="G42" s="2229">
        <f>IF('Annual Parameters Source'!G43="","-",'Annual Parameters Source'!G43)</f>
        <v>123.58406364361777</v>
      </c>
      <c r="H42" s="2163">
        <f>IF('Annual Parameters Source'!H43="","-",'Annual Parameters Source'!H43)</f>
        <v>58684.4</v>
      </c>
      <c r="I42" s="2228">
        <f>IF('Annual Parameters Source'!I43="","-",'Annual Parameters Source'!I43)</f>
        <v>0.35827337883433746</v>
      </c>
      <c r="J42" s="2229">
        <f>IF('Annual Parameters Source'!J43="","-",'Annual Parameters Source'!J43)</f>
        <v>102.52788818519328</v>
      </c>
      <c r="K42" s="2163">
        <f>IF('Annual Parameters Source'!K43="","-",'Annual Parameters Source'!K43)</f>
        <v>24209</v>
      </c>
      <c r="L42" s="2228">
        <f>IF('Annual Parameters Source'!L43="","-",'Annual Parameters Source'!L43)</f>
        <v>0.71975370277916462</v>
      </c>
      <c r="M42" s="2229">
        <f>IF('Annual Parameters Source'!M43="","-",'Annual Parameters Source'!M43)</f>
        <v>101.98416041789537</v>
      </c>
      <c r="N42" s="2163">
        <f>IF('Annual Parameters Source'!N43="","-",'Annual Parameters Source'!N43)</f>
        <v>24491.22765164166</v>
      </c>
      <c r="O42" s="2228">
        <f>IF('Annual Parameters Source'!O43="","-",'Annual Parameters Source'!O43)</f>
        <v>2.8453184455150105</v>
      </c>
      <c r="P42" s="2229">
        <f>IF('Annual Parameters Source'!P43="","-",'Annual Parameters Source'!P43)</f>
        <v>120.53702249322765</v>
      </c>
      <c r="Q42" s="2163">
        <f>IF('Annual Parameters Source'!Q43="","-",'Annual Parameters Source'!Q43)</f>
        <v>59368.54062538725</v>
      </c>
      <c r="R42" s="2228">
        <f>IF('Annual Parameters Source'!R43="","-",'Annual Parameters Source'!R43)</f>
        <v>2.4762095303204834</v>
      </c>
      <c r="S42" s="2229">
        <f>IF('Annual Parameters Source'!S43="","-",'Annual Parameters Source'!S43)</f>
        <v>109.07727700193283</v>
      </c>
      <c r="T42" s="2228" t="str">
        <f>IF('Annual Parameters Source'!T43="","-",'Annual Parameters Source'!T43)</f>
        <v>-</v>
      </c>
      <c r="U42" s="2228" t="str">
        <f>IF('Annual Parameters Source'!U43="","-",'Annual Parameters Source'!U43)</f>
        <v>-</v>
      </c>
      <c r="V42" s="2230" t="str">
        <f>IF('Annual Parameters Source'!V43="","-",'Annual Parameters Source'!V43)</f>
        <v>-</v>
      </c>
      <c r="W42" s="2231" t="str">
        <f>IF('Annual Parameters Source'!W43="","-",'Annual Parameters Source'!W43)</f>
        <v>-</v>
      </c>
    </row>
    <row r="43" spans="1:26" ht="13.5" customHeight="1">
      <c r="A43" s="2226"/>
      <c r="B43" s="2166">
        <v>2000</v>
      </c>
      <c r="C43" s="2189"/>
      <c r="D43" s="2227">
        <f>IF('Annual Parameters Source'!D44="","-",'Annual Parameters Source'!D44/VLOOKUP($B$14,'Annual Parameters Source'!$B$34:$D$144,3,1)*100)</f>
        <v>80.540617898093188</v>
      </c>
      <c r="E43" s="2163">
        <f>IF('Annual Parameters Source'!E44="","-",'Annual Parameters Source'!E44)</f>
        <v>1486888</v>
      </c>
      <c r="F43" s="2228">
        <f>IF('Annual Parameters Source'!F44="","-",'Annual Parameters Source'!F44)</f>
        <v>3.4534629602442997</v>
      </c>
      <c r="G43" s="2229">
        <f>IF('Annual Parameters Source'!G44="","-",'Annual Parameters Source'!G44)</f>
        <v>127.85199350631484</v>
      </c>
      <c r="H43" s="2163">
        <f>IF('Annual Parameters Source'!H44="","-",'Annual Parameters Source'!H44)</f>
        <v>58886.1</v>
      </c>
      <c r="I43" s="2228">
        <f>IF('Annual Parameters Source'!I44="","-",'Annual Parameters Source'!I44)</f>
        <v>0.34370292616095088</v>
      </c>
      <c r="J43" s="2229">
        <f>IF('Annual Parameters Source'!J44="","-",'Annual Parameters Source'!J44)</f>
        <v>102.88027953701682</v>
      </c>
      <c r="K43" s="2163">
        <f>IF('Annual Parameters Source'!K44="","-",'Annual Parameters Source'!K44)</f>
        <v>24396</v>
      </c>
      <c r="L43" s="2228">
        <f>IF('Annual Parameters Source'!L44="","-",'Annual Parameters Source'!L44)</f>
        <v>0.77244000165227811</v>
      </c>
      <c r="M43" s="2229">
        <f>IF('Annual Parameters Source'!M44="","-",'Annual Parameters Source'!M44)</f>
        <v>102.77192686831242</v>
      </c>
      <c r="N43" s="2163">
        <f>IF('Annual Parameters Source'!N44="","-",'Annual Parameters Source'!N44)</f>
        <v>25250.237322559995</v>
      </c>
      <c r="O43" s="2228">
        <f>IF('Annual Parameters Source'!O44="","-",'Annual Parameters Source'!O44)</f>
        <v>3.0991083081433723</v>
      </c>
      <c r="P43" s="2229">
        <f>IF('Annual Parameters Source'!P44="","-",'Annual Parameters Source'!P44)</f>
        <v>124.27259537170391</v>
      </c>
      <c r="Q43" s="2163">
        <f>IF('Annual Parameters Source'!Q44="","-",'Annual Parameters Source'!Q44)</f>
        <v>60948.024266273162</v>
      </c>
      <c r="R43" s="2228">
        <f>IF('Annual Parameters Source'!R44="","-",'Annual Parameters Source'!R44)</f>
        <v>2.6604724054990037</v>
      </c>
      <c r="S43" s="2229">
        <f>IF('Annual Parameters Source'!S44="","-",'Annual Parameters Source'!S44)</f>
        <v>111.97924785723897</v>
      </c>
      <c r="T43" s="2228" t="str">
        <f>IF('Annual Parameters Source'!T44="","-",'Annual Parameters Source'!T44)</f>
        <v>-</v>
      </c>
      <c r="U43" s="2228" t="str">
        <f>IF('Annual Parameters Source'!U44="","-",'Annual Parameters Source'!U44)</f>
        <v>-</v>
      </c>
      <c r="V43" s="2230" t="str">
        <f>IF('Annual Parameters Source'!V44="","-",'Annual Parameters Source'!V44)</f>
        <v>-</v>
      </c>
      <c r="W43" s="2231" t="str">
        <f>IF('Annual Parameters Source'!W44="","-",'Annual Parameters Source'!W44)</f>
        <v>-</v>
      </c>
    </row>
    <row r="44" spans="1:26" ht="13.5" customHeight="1">
      <c r="A44" s="2226"/>
      <c r="B44" s="2166">
        <v>2001</v>
      </c>
      <c r="C44" s="2189"/>
      <c r="D44" s="2227">
        <f>IF('Annual Parameters Source'!D45="","-",'Annual Parameters Source'!D45/VLOOKUP($B$14,'Annual Parameters Source'!$B$34:$D$144,3,1)*100)</f>
        <v>81.199045160256233</v>
      </c>
      <c r="E44" s="2163">
        <f>IF('Annual Parameters Source'!E45="","-",'Annual Parameters Source'!E45)</f>
        <v>1529127</v>
      </c>
      <c r="F44" s="2228">
        <f>IF('Annual Parameters Source'!F45="","-",'Annual Parameters Source'!F45)</f>
        <v>2.8407654107101545</v>
      </c>
      <c r="G44" s="2229">
        <f>IF('Annual Parameters Source'!G45="","-",'Annual Parameters Source'!G45)</f>
        <v>131.48396871474563</v>
      </c>
      <c r="H44" s="2163">
        <f>IF('Annual Parameters Source'!H45="","-",'Annual Parameters Source'!H45)</f>
        <v>59113</v>
      </c>
      <c r="I44" s="2228">
        <f>IF('Annual Parameters Source'!I45="","-",'Annual Parameters Source'!I45)</f>
        <v>0.38532013497243228</v>
      </c>
      <c r="J44" s="2229">
        <f>IF('Annual Parameters Source'!J45="","-",'Annual Parameters Source'!J45)</f>
        <v>103.27669796898887</v>
      </c>
      <c r="K44" s="2163">
        <f>IF('Annual Parameters Source'!K45="","-",'Annual Parameters Source'!K45)</f>
        <v>24535</v>
      </c>
      <c r="L44" s="2228">
        <f>IF('Annual Parameters Source'!L45="","-",'Annual Parameters Source'!L45)</f>
        <v>0.56976553533366125</v>
      </c>
      <c r="M44" s="2229">
        <f>IF('Annual Parameters Source'!M45="","-",'Annual Parameters Source'!M45)</f>
        <v>103.35748588760639</v>
      </c>
      <c r="N44" s="2163">
        <f>IF('Annual Parameters Source'!N45="","-",'Annual Parameters Source'!N45)</f>
        <v>25867.863244971497</v>
      </c>
      <c r="O44" s="2228">
        <f>IF('Annual Parameters Source'!O45="","-",'Annual Parameters Source'!O45)</f>
        <v>2.4460202671429121</v>
      </c>
      <c r="P44" s="2229">
        <f>IF('Annual Parameters Source'!P45="","-",'Annual Parameters Source'!P45)</f>
        <v>127.3123282410003</v>
      </c>
      <c r="Q44" s="2163">
        <f>IF('Annual Parameters Source'!Q45="","-",'Annual Parameters Source'!Q45)</f>
        <v>62324.312207051153</v>
      </c>
      <c r="R44" s="2228">
        <f>IF('Annual Parameters Source'!R45="","-",'Annual Parameters Source'!R45)</f>
        <v>2.2581338072013457</v>
      </c>
      <c r="S44" s="2229">
        <f>IF('Annual Parameters Source'!S45="","-",'Annual Parameters Source'!S45)</f>
        <v>114.50788911015309</v>
      </c>
      <c r="T44" s="2228" t="str">
        <f>IF('Annual Parameters Source'!T45="","-",'Annual Parameters Source'!T45)</f>
        <v>-</v>
      </c>
      <c r="U44" s="2228" t="str">
        <f>IF('Annual Parameters Source'!U45="","-",'Annual Parameters Source'!U45)</f>
        <v>-</v>
      </c>
      <c r="V44" s="2230" t="str">
        <f>IF('Annual Parameters Source'!V45="","-",'Annual Parameters Source'!V45)</f>
        <v>-</v>
      </c>
      <c r="W44" s="2231" t="str">
        <f>IF('Annual Parameters Source'!W45="","-",'Annual Parameters Source'!W45)</f>
        <v>-</v>
      </c>
    </row>
    <row r="45" spans="1:26" ht="13.5" customHeight="1">
      <c r="A45" s="2226"/>
      <c r="B45" s="2166">
        <v>2002</v>
      </c>
      <c r="C45" s="2189"/>
      <c r="D45" s="2227">
        <f>IF('Annual Parameters Source'!D46="","-",'Annual Parameters Source'!D46/VLOOKUP($B$14,'Annual Parameters Source'!$B$34:$D$144,3,1)*100)</f>
        <v>82.968131937328636</v>
      </c>
      <c r="E45" s="2163">
        <f>IF('Annual Parameters Source'!E46="","-",'Annual Parameters Source'!E46)</f>
        <v>1567351</v>
      </c>
      <c r="F45" s="2228">
        <f>IF('Annual Parameters Source'!F46="","-",'Annual Parameters Source'!F46)</f>
        <v>2.4997269683943846</v>
      </c>
      <c r="G45" s="2229">
        <f>IF('Annual Parameters Source'!G46="","-",'Annual Parameters Source'!G46)</f>
        <v>134.77070893982335</v>
      </c>
      <c r="H45" s="2163">
        <f>IF('Annual Parameters Source'!H46="","-",'Annual Parameters Source'!H46)</f>
        <v>59365.7</v>
      </c>
      <c r="I45" s="2228">
        <f>IF('Annual Parameters Source'!I46="","-",'Annual Parameters Source'!I46)</f>
        <v>0.427486339722222</v>
      </c>
      <c r="J45" s="2229">
        <f>IF('Annual Parameters Source'!J46="","-",'Annual Parameters Source'!J46)</f>
        <v>103.71819174492248</v>
      </c>
      <c r="K45" s="2163">
        <f>IF('Annual Parameters Source'!K46="","-",'Annual Parameters Source'!K46)</f>
        <v>24792</v>
      </c>
      <c r="L45" s="2228">
        <f>IF('Annual Parameters Source'!L46="","-",'Annual Parameters Source'!L46)</f>
        <v>1.0474831872834724</v>
      </c>
      <c r="M45" s="2229">
        <f>IF('Annual Parameters Source'!M46="","-",'Annual Parameters Source'!M46)</f>
        <v>104.44013817507795</v>
      </c>
      <c r="N45" s="2163">
        <f>IF('Annual Parameters Source'!N46="","-",'Annual Parameters Source'!N46)</f>
        <v>26401.625854660182</v>
      </c>
      <c r="O45" s="2228">
        <f>IF('Annual Parameters Source'!O46="","-",'Annual Parameters Source'!O46)</f>
        <v>2.063419790934784</v>
      </c>
      <c r="P45" s="2229">
        <f>IF('Annual Parameters Source'!P46="","-",'Annual Parameters Source'!P46)</f>
        <v>129.93931601822496</v>
      </c>
      <c r="Q45" s="2163">
        <f>IF('Annual Parameters Source'!Q46="","-",'Annual Parameters Source'!Q46)</f>
        <v>63220.030655050017</v>
      </c>
      <c r="R45" s="2228">
        <f>IF('Annual Parameters Source'!R46="","-",'Annual Parameters Source'!R46)</f>
        <v>1.4371894631153737</v>
      </c>
      <c r="S45" s="2229">
        <f>IF('Annual Parameters Source'!S46="","-",'Annual Parameters Source'!S46)</f>
        <v>116.15358442688004</v>
      </c>
      <c r="T45" s="2228" t="str">
        <f>IF('Annual Parameters Source'!T46="","-",'Annual Parameters Source'!T46)</f>
        <v>-</v>
      </c>
      <c r="U45" s="2228" t="str">
        <f>IF('Annual Parameters Source'!U46="","-",'Annual Parameters Source'!U46)</f>
        <v>-</v>
      </c>
      <c r="V45" s="2230">
        <f>IF('Annual Parameters Source'!V46="","-",'Annual Parameters Source'!V46)</f>
        <v>100</v>
      </c>
      <c r="W45" s="2231">
        <f>IF('Annual Parameters Source'!W46="","-",'Annual Parameters Source'!W46)</f>
        <v>100</v>
      </c>
      <c r="Z45" s="2232"/>
    </row>
    <row r="46" spans="1:26" ht="13.5" customHeight="1">
      <c r="A46" s="2226"/>
      <c r="B46" s="2166">
        <v>2003</v>
      </c>
      <c r="C46" s="2189"/>
      <c r="D46" s="2227">
        <f>IF('Annual Parameters Source'!D47="","-",'Annual Parameters Source'!D47/VLOOKUP($B$14,'Annual Parameters Source'!$B$34:$D$144,3,1)*100)</f>
        <v>84.963907286663726</v>
      </c>
      <c r="E46" s="2163">
        <f>IF('Annual Parameters Source'!E47="","-",'Annual Parameters Source'!E47)</f>
        <v>1619692</v>
      </c>
      <c r="F46" s="2228">
        <f>IF('Annual Parameters Source'!F47="","-",'Annual Parameters Source'!F47)</f>
        <v>3.3394561907320055</v>
      </c>
      <c r="G46" s="2229">
        <f>IF('Annual Parameters Source'!G47="","-",'Annual Parameters Source'!G47)</f>
        <v>139.27131772280768</v>
      </c>
      <c r="H46" s="2163">
        <f>IF('Annual Parameters Source'!H47="","-",'Annual Parameters Source'!H47)</f>
        <v>59636.7</v>
      </c>
      <c r="I46" s="2228">
        <f>IF('Annual Parameters Source'!I47="","-",'Annual Parameters Source'!I47)</f>
        <v>0.45649255378105541</v>
      </c>
      <c r="J46" s="2229">
        <f>IF('Annual Parameters Source'!J47="","-",'Annual Parameters Source'!J47)</f>
        <v>104.19165756715442</v>
      </c>
      <c r="K46" s="2163">
        <f>IF('Annual Parameters Source'!K47="","-",'Annual Parameters Source'!K47)</f>
        <v>24917</v>
      </c>
      <c r="L46" s="2228">
        <f>IF('Annual Parameters Source'!L47="","-",'Annual Parameters Source'!L47)</f>
        <v>0.50419490158115521</v>
      </c>
      <c r="M46" s="2229">
        <f>IF('Annual Parameters Source'!M47="","-",'Annual Parameters Source'!M47)</f>
        <v>104.96672002696101</v>
      </c>
      <c r="N46" s="2163">
        <f>IF('Annual Parameters Source'!N47="","-",'Annual Parameters Source'!N47)</f>
        <v>27159.316327026816</v>
      </c>
      <c r="O46" s="2228">
        <f>IF('Annual Parameters Source'!O47="","-",'Annual Parameters Source'!O47)</f>
        <v>2.8698629263882669</v>
      </c>
      <c r="P46" s="2229">
        <f>IF('Annual Parameters Source'!P47="","-",'Annual Parameters Source'!P47)</f>
        <v>133.66839627543447</v>
      </c>
      <c r="Q46" s="2163">
        <f>IF('Annual Parameters Source'!Q47="","-",'Annual Parameters Source'!Q47)</f>
        <v>65003.491592085724</v>
      </c>
      <c r="R46" s="2228">
        <f>IF('Annual Parameters Source'!R47="","-",'Annual Parameters Source'!R47)</f>
        <v>2.8210377605902837</v>
      </c>
      <c r="S46" s="2229">
        <f>IF('Annual Parameters Source'!S47="","-",'Annual Parameters Source'!S47)</f>
        <v>119.43032090384146</v>
      </c>
      <c r="T46" s="2228">
        <f>IF('Annual Parameters Source'!T47="","-",'Annual Parameters Source'!T47)</f>
        <v>2.8698629263882669</v>
      </c>
      <c r="U46" s="2228">
        <f>IF('Annual Parameters Source'!U47="","-",'Annual Parameters Source'!U47)</f>
        <v>2.8698629263882669</v>
      </c>
      <c r="V46" s="2230">
        <f>IF('Annual Parameters Source'!V47="","-",'Annual Parameters Source'!V47)</f>
        <v>102.86986292638827</v>
      </c>
      <c r="W46" s="2231">
        <f>IF('Annual Parameters Source'!W47="","-",'Annual Parameters Source'!W47)</f>
        <v>102.86986292638827</v>
      </c>
      <c r="Z46" s="2232"/>
    </row>
    <row r="47" spans="1:26" ht="13.5" customHeight="1">
      <c r="A47" s="2226"/>
      <c r="B47" s="2166">
        <v>2004</v>
      </c>
      <c r="C47" s="2189"/>
      <c r="D47" s="2227">
        <f>IF('Annual Parameters Source'!D48="","-",'Annual Parameters Source'!D48/VLOOKUP($B$14,'Annual Parameters Source'!$B$34:$D$144,3,1)*100)</f>
        <v>87.063409831185709</v>
      </c>
      <c r="E47" s="2163">
        <f>IF('Annual Parameters Source'!E48="","-",'Annual Parameters Source'!E48)</f>
        <v>1657719</v>
      </c>
      <c r="F47" s="2228">
        <f>IF('Annual Parameters Source'!F48="","-",'Annual Parameters Source'!F48)</f>
        <v>2.3477920493525932</v>
      </c>
      <c r="G47" s="2229">
        <f>IF('Annual Parameters Source'!G48="","-",'Annual Parameters Source'!G48)</f>
        <v>142.54111864733235</v>
      </c>
      <c r="H47" s="2163">
        <f>IF('Annual Parameters Source'!H48="","-",'Annual Parameters Source'!H48)</f>
        <v>59950.400000000001</v>
      </c>
      <c r="I47" s="2228">
        <f>IF('Annual Parameters Source'!I48="","-",'Annual Parameters Source'!I48)</f>
        <v>0.52601837459149203</v>
      </c>
      <c r="J47" s="2229">
        <f>IF('Annual Parameters Source'!J48="","-",'Annual Parameters Source'!J48)</f>
        <v>104.7397248307491</v>
      </c>
      <c r="K47" s="2163">
        <f>IF('Annual Parameters Source'!K48="","-",'Annual Parameters Source'!K48)</f>
        <v>24993</v>
      </c>
      <c r="L47" s="2228">
        <f>IF('Annual Parameters Source'!L48="","-",'Annual Parameters Source'!L48)</f>
        <v>0.30501264197134487</v>
      </c>
      <c r="M47" s="2229">
        <f>IF('Annual Parameters Source'!M48="","-",'Annual Parameters Source'!M48)</f>
        <v>105.28688179290592</v>
      </c>
      <c r="N47" s="2163">
        <f>IF('Annual Parameters Source'!N48="","-",'Annual Parameters Source'!N48)</f>
        <v>27651.508580426485</v>
      </c>
      <c r="O47" s="2228">
        <f>IF('Annual Parameters Source'!O48="","-",'Annual Parameters Source'!O48)</f>
        <v>1.8122409543493534</v>
      </c>
      <c r="P47" s="2229">
        <f>IF('Annual Parameters Source'!P48="","-",'Annual Parameters Source'!P48)</f>
        <v>136.0907896957599</v>
      </c>
      <c r="Q47" s="2163">
        <f>IF('Annual Parameters Source'!Q48="","-",'Annual Parameters Source'!Q48)</f>
        <v>66327.331652862806</v>
      </c>
      <c r="R47" s="2228">
        <f>IF('Annual Parameters Source'!R48="","-",'Annual Parameters Source'!R48)</f>
        <v>2.0365676186819615</v>
      </c>
      <c r="S47" s="2229">
        <f>IF('Annual Parameters Source'!S48="","-",'Annual Parameters Source'!S48)</f>
        <v>121.86260014625705</v>
      </c>
      <c r="T47" s="2228">
        <f>IF('Annual Parameters Source'!T48="","-",'Annual Parameters Source'!T48)</f>
        <v>1.8122409543493534</v>
      </c>
      <c r="U47" s="2228">
        <f>IF('Annual Parameters Source'!U48="","-",'Annual Parameters Source'!U48)</f>
        <v>1.8122409543493534</v>
      </c>
      <c r="V47" s="2230">
        <f>IF('Annual Parameters Source'!V48="","-",'Annual Parameters Source'!V48)</f>
        <v>104.73411271202332</v>
      </c>
      <c r="W47" s="2231">
        <f>IF('Annual Parameters Source'!W48="","-",'Annual Parameters Source'!W48)</f>
        <v>104.73411271202332</v>
      </c>
      <c r="Z47" s="2232"/>
    </row>
    <row r="48" spans="1:26" ht="13.5" customHeight="1">
      <c r="A48" s="2226"/>
      <c r="B48" s="2166">
        <v>2005</v>
      </c>
      <c r="C48" s="2189"/>
      <c r="D48" s="2227">
        <f>IF('Annual Parameters Source'!D49="","-",'Annual Parameters Source'!D49/VLOOKUP($B$14,'Annual Parameters Source'!$B$34:$D$144,3,1)*100)</f>
        <v>89.278889912930978</v>
      </c>
      <c r="E48" s="2163">
        <f>IF('Annual Parameters Source'!E49="","-",'Annual Parameters Source'!E49)</f>
        <v>1709916</v>
      </c>
      <c r="F48" s="2228">
        <f>IF('Annual Parameters Source'!F49="","-",'Annual Parameters Source'!F49)</f>
        <v>3.1487242409600178</v>
      </c>
      <c r="G48" s="2229">
        <f>IF('Annual Parameters Source'!G49="","-",'Annual Parameters Source'!G49)</f>
        <v>147.02934540351649</v>
      </c>
      <c r="H48" s="2163">
        <f>IF('Annual Parameters Source'!H49="","-",'Annual Parameters Source'!H49)</f>
        <v>60413.3</v>
      </c>
      <c r="I48" s="2228">
        <f>IF('Annual Parameters Source'!I49="","-",'Annual Parameters Source'!I49)</f>
        <v>0.77213830099549197</v>
      </c>
      <c r="J48" s="2229">
        <f>IF('Annual Parameters Source'!J49="","-",'Annual Parameters Source'!J49)</f>
        <v>105.54846036252461</v>
      </c>
      <c r="K48" s="2163">
        <f>IF('Annual Parameters Source'!K49="","-",'Annual Parameters Source'!K49)</f>
        <v>25217</v>
      </c>
      <c r="L48" s="2228">
        <f>IF('Annual Parameters Source'!L49="","-",'Annual Parameters Source'!L49)</f>
        <v>0.89625095026607449</v>
      </c>
      <c r="M48" s="2229">
        <f>IF('Annual Parameters Source'!M49="","-",'Annual Parameters Source'!M49)</f>
        <v>106.23051647148036</v>
      </c>
      <c r="N48" s="2163">
        <f>IF('Annual Parameters Source'!N49="","-",'Annual Parameters Source'!N49)</f>
        <v>28303.635126702233</v>
      </c>
      <c r="O48" s="2228">
        <f>IF('Annual Parameters Source'!O49="","-",'Annual Parameters Source'!O49)</f>
        <v>2.3583760154676225</v>
      </c>
      <c r="P48" s="2229">
        <f>IF('Annual Parameters Source'!P49="","-",'Annual Parameters Source'!P49)</f>
        <v>139.30032223920517</v>
      </c>
      <c r="Q48" s="2163">
        <f>IF('Annual Parameters Source'!Q49="","-",'Annual Parameters Source'!Q49)</f>
        <v>67808.065987230832</v>
      </c>
      <c r="R48" s="2228">
        <f>IF('Annual Parameters Source'!R49="","-",'Annual Parameters Source'!R49)</f>
        <v>2.2324648036766259</v>
      </c>
      <c r="S48" s="2229">
        <f>IF('Annual Parameters Source'!S49="","-",'Annual Parameters Source'!S49)</f>
        <v>124.58313980336742</v>
      </c>
      <c r="T48" s="2228">
        <f>IF('Annual Parameters Source'!T49="","-",'Annual Parameters Source'!T49)</f>
        <v>2.3583760154676225</v>
      </c>
      <c r="U48" s="2228">
        <f>IF('Annual Parameters Source'!U49="","-",'Annual Parameters Source'!U49)</f>
        <v>2.3583760154676225</v>
      </c>
      <c r="V48" s="2230">
        <f>IF('Annual Parameters Source'!V49="","-",'Annual Parameters Source'!V49)</f>
        <v>107.2041369062365</v>
      </c>
      <c r="W48" s="2231">
        <f>IF('Annual Parameters Source'!W49="","-",'Annual Parameters Source'!W49)</f>
        <v>107.2041369062365</v>
      </c>
      <c r="Z48" s="2232"/>
    </row>
    <row r="49" spans="1:26" ht="13.5" customHeight="1">
      <c r="A49" s="2226"/>
      <c r="B49" s="2166">
        <v>2006</v>
      </c>
      <c r="C49" s="2189"/>
      <c r="D49" s="2227">
        <f>IF('Annual Parameters Source'!D50="","-",'Annual Parameters Source'!D50/VLOOKUP($B$14,'Annual Parameters Source'!$B$34:$D$144,3,1)*100)</f>
        <v>91.903783294884065</v>
      </c>
      <c r="E49" s="2163">
        <f>IF('Annual Parameters Source'!E50="","-",'Annual Parameters Source'!E50)</f>
        <v>1753486</v>
      </c>
      <c r="F49" s="2228">
        <f>IF('Annual Parameters Source'!F50="","-",'Annual Parameters Source'!F50)</f>
        <v>2.5480783851370479</v>
      </c>
      <c r="G49" s="2229">
        <f>IF('Annual Parameters Source'!G50="","-",'Annual Parameters Source'!G50)</f>
        <v>150.77576837355198</v>
      </c>
      <c r="H49" s="2163">
        <f>IF('Annual Parameters Source'!H50="","-",'Annual Parameters Source'!H50)</f>
        <v>60827.1</v>
      </c>
      <c r="I49" s="2228">
        <f>IF('Annual Parameters Source'!I50="","-",'Annual Parameters Source'!I50)</f>
        <v>0.68494851299299264</v>
      </c>
      <c r="J49" s="2229">
        <f>IF('Annual Parameters Source'!J50="","-",'Annual Parameters Source'!J50)</f>
        <v>106.27141297226471</v>
      </c>
      <c r="K49" s="2163">
        <f>IF('Annual Parameters Source'!K50="","-",'Annual Parameters Source'!K50)</f>
        <v>25379</v>
      </c>
      <c r="L49" s="2228">
        <f>IF('Annual Parameters Source'!L50="","-",'Annual Parameters Source'!L50)</f>
        <v>0.64242376174802707</v>
      </c>
      <c r="M49" s="2229">
        <f>IF('Annual Parameters Source'!M50="","-",'Annual Parameters Source'!M50)</f>
        <v>106.91296655152078</v>
      </c>
      <c r="N49" s="2163">
        <f>IF('Annual Parameters Source'!N50="","-",'Annual Parameters Source'!N50)</f>
        <v>28827.381216595892</v>
      </c>
      <c r="O49" s="2228">
        <f>IF('Annual Parameters Source'!O50="","-",'Annual Parameters Source'!O50)</f>
        <v>1.8504552067220015</v>
      </c>
      <c r="P49" s="2229">
        <f>IF('Annual Parameters Source'!P50="","-",'Annual Parameters Source'!P50)</f>
        <v>141.87801230506108</v>
      </c>
      <c r="Q49" s="2163">
        <f>IF('Annual Parameters Source'!Q50="","-",'Annual Parameters Source'!Q50)</f>
        <v>69092.005201150561</v>
      </c>
      <c r="R49" s="2228">
        <f>IF('Annual Parameters Source'!R50="","-",'Annual Parameters Source'!R50)</f>
        <v>1.8934903911896006</v>
      </c>
      <c r="S49" s="2229">
        <f>IF('Annual Parameters Source'!S50="","-",'Annual Parameters Source'!S50)</f>
        <v>126.94210958458649</v>
      </c>
      <c r="T49" s="2228">
        <f>IF('Annual Parameters Source'!T50="","-",'Annual Parameters Source'!T50)</f>
        <v>1.8504552067220015</v>
      </c>
      <c r="U49" s="2228">
        <f>IF('Annual Parameters Source'!U50="","-",'Annual Parameters Source'!U50)</f>
        <v>1.8504552067220015</v>
      </c>
      <c r="V49" s="2230">
        <f>IF('Annual Parameters Source'!V50="","-",'Annual Parameters Source'!V50)</f>
        <v>109.18790143943933</v>
      </c>
      <c r="W49" s="2231">
        <f>IF('Annual Parameters Source'!W50="","-",'Annual Parameters Source'!W50)</f>
        <v>109.18790143943933</v>
      </c>
      <c r="Z49" s="2232"/>
    </row>
    <row r="50" spans="1:26" ht="13.5" customHeight="1">
      <c r="A50" s="2226"/>
      <c r="B50" s="2166">
        <v>2007</v>
      </c>
      <c r="C50" s="2189"/>
      <c r="D50" s="2227">
        <f>IF('Annual Parameters Source'!D51="","-",'Annual Parameters Source'!D51/VLOOKUP($B$14,'Annual Parameters Source'!$B$34:$D$144,3,1)*100)</f>
        <v>94.23707274069919</v>
      </c>
      <c r="E50" s="2163">
        <f>IF('Annual Parameters Source'!E51="","-",'Annual Parameters Source'!E51)</f>
        <v>1798121</v>
      </c>
      <c r="F50" s="2228">
        <f>IF('Annual Parameters Source'!F51="","-",'Annual Parameters Source'!F51)</f>
        <v>2.545500790995765</v>
      </c>
      <c r="G50" s="2229">
        <f>IF('Annual Parameters Source'!G51="","-",'Annual Parameters Source'!G51)</f>
        <v>154.61376675013068</v>
      </c>
      <c r="H50" s="2163">
        <f>IF('Annual Parameters Source'!H51="","-",'Annual Parameters Source'!H51)</f>
        <v>61319.1</v>
      </c>
      <c r="I50" s="2228">
        <f>IF('Annual Parameters Source'!I51="","-",'Annual Parameters Source'!I51)</f>
        <v>0.80885000271260676</v>
      </c>
      <c r="J50" s="2229">
        <f>IF('Annual Parameters Source'!J51="","-",'Annual Parameters Source'!J51)</f>
        <v>107.1309892989736</v>
      </c>
      <c r="K50" s="2163">
        <f>IF('Annual Parameters Source'!K51="","-",'Annual Parameters Source'!K51)</f>
        <v>25609</v>
      </c>
      <c r="L50" s="2228">
        <f>IF('Annual Parameters Source'!L51="","-",'Annual Parameters Source'!L51)</f>
        <v>0.90626108199692668</v>
      </c>
      <c r="M50" s="2229">
        <f>IF('Annual Parameters Source'!M51="","-",'Annual Parameters Source'!M51)</f>
        <v>107.8818771589856</v>
      </c>
      <c r="N50" s="2163">
        <f>IF('Annual Parameters Source'!N51="","-",'Annual Parameters Source'!N51)</f>
        <v>29323.995296734622</v>
      </c>
      <c r="O50" s="2228">
        <f>IF('Annual Parameters Source'!O51="","-",'Annual Parameters Source'!O51)</f>
        <v>1.7227165950573164</v>
      </c>
      <c r="P50" s="2229">
        <f>IF('Annual Parameters Source'!P51="","-",'Annual Parameters Source'!P51)</f>
        <v>144.32216836777783</v>
      </c>
      <c r="Q50" s="2163">
        <f>IF('Annual Parameters Source'!Q51="","-",'Annual Parameters Source'!Q51)</f>
        <v>70214.416806591427</v>
      </c>
      <c r="R50" s="2228">
        <f>IF('Annual Parameters Source'!R51="","-",'Annual Parameters Source'!R51)</f>
        <v>1.6245173405709412</v>
      </c>
      <c r="S50" s="2229">
        <f>IF('Annual Parameters Source'!S51="","-",'Annual Parameters Source'!S51)</f>
        <v>129.00430616727465</v>
      </c>
      <c r="T50" s="2228">
        <f>IF('Annual Parameters Source'!T51="","-",'Annual Parameters Source'!T51)</f>
        <v>1.7227165950573164</v>
      </c>
      <c r="U50" s="2228">
        <f>IF('Annual Parameters Source'!U51="","-",'Annual Parameters Source'!U51)</f>
        <v>1.7227165950573164</v>
      </c>
      <c r="V50" s="2230">
        <f>IF('Annual Parameters Source'!V51="","-",'Annual Parameters Source'!V51)</f>
        <v>111.06889953733138</v>
      </c>
      <c r="W50" s="2231">
        <f>IF('Annual Parameters Source'!W51="","-",'Annual Parameters Source'!W51)</f>
        <v>111.06889953733138</v>
      </c>
      <c r="Z50" s="2232"/>
    </row>
    <row r="51" spans="1:26" ht="13.5" customHeight="1">
      <c r="A51" s="2226"/>
      <c r="B51" s="2166">
        <v>2008</v>
      </c>
      <c r="C51" s="2189"/>
      <c r="D51" s="2227">
        <f>IF('Annual Parameters Source'!D52="","-",'Annual Parameters Source'!D52/VLOOKUP($B$14,'Annual Parameters Source'!$B$34:$D$144,3,1)*100)</f>
        <v>96.936956534183622</v>
      </c>
      <c r="E51" s="2163">
        <f>IF('Annual Parameters Source'!E52="","-",'Annual Parameters Source'!E52)</f>
        <v>1791901</v>
      </c>
      <c r="F51" s="2228">
        <f>IF('Annual Parameters Source'!F52="","-",'Annual Parameters Source'!F52)</f>
        <v>-0.34591665410725975</v>
      </c>
      <c r="G51" s="2229">
        <f>IF('Annual Parameters Source'!G52="","-",'Annual Parameters Source'!G52)</f>
        <v>154.07893198139945</v>
      </c>
      <c r="H51" s="2163">
        <f>IF('Annual Parameters Source'!H52="","-",'Annual Parameters Source'!H52)</f>
        <v>61823.8</v>
      </c>
      <c r="I51" s="2228">
        <f>IF('Annual Parameters Source'!I52="","-",'Annual Parameters Source'!I52)</f>
        <v>0.82307144103550833</v>
      </c>
      <c r="J51" s="2229">
        <f>IF('Annual Parameters Source'!J52="","-",'Annual Parameters Source'!J52)</f>
        <v>108.01275387639225</v>
      </c>
      <c r="K51" s="2163">
        <f>IF('Annual Parameters Source'!K52="","-",'Annual Parameters Source'!K52)</f>
        <v>25875</v>
      </c>
      <c r="L51" s="2228">
        <f>IF('Annual Parameters Source'!L52="","-",'Annual Parameters Source'!L52)</f>
        <v>1.038697332968878</v>
      </c>
      <c r="M51" s="2229">
        <f>IF('Annual Parameters Source'!M52="","-",'Annual Parameters Source'!M52)</f>
        <v>109.00244333979275</v>
      </c>
      <c r="N51" s="2163">
        <f>IF('Annual Parameters Source'!N52="","-",'Annual Parameters Source'!N52)</f>
        <v>28983.999689439988</v>
      </c>
      <c r="O51" s="2228">
        <f>IF('Annual Parameters Source'!O52="","-",'Annual Parameters Source'!O52)</f>
        <v>-1.1594450341918194</v>
      </c>
      <c r="P51" s="2229">
        <f>IF('Annual Parameters Source'!P52="","-",'Annual Parameters Source'!P52)</f>
        <v>142.64883215339967</v>
      </c>
      <c r="Q51" s="2163">
        <f>IF('Annual Parameters Source'!Q52="","-",'Annual Parameters Source'!Q52)</f>
        <v>69252.21256038647</v>
      </c>
      <c r="R51" s="2228">
        <f>IF('Annual Parameters Source'!R52="","-",'Annual Parameters Source'!R52)</f>
        <v>-1.3703798877307327</v>
      </c>
      <c r="S51" s="2229">
        <f>IF('Annual Parameters Source'!S52="","-",'Annual Parameters Source'!S52)</f>
        <v>127.23645710125174</v>
      </c>
      <c r="T51" s="2228">
        <f>IF('Annual Parameters Source'!T52="","-",'Annual Parameters Source'!T52)</f>
        <v>-1.1594450341918194</v>
      </c>
      <c r="U51" s="2228">
        <f>IF('Annual Parameters Source'!U52="","-",'Annual Parameters Source'!U52)</f>
        <v>-1.1594450341918194</v>
      </c>
      <c r="V51" s="2230">
        <f>IF('Annual Parameters Source'!V52="","-",'Annual Parameters Source'!V52)</f>
        <v>109.78111669711429</v>
      </c>
      <c r="W51" s="2231">
        <f>IF('Annual Parameters Source'!W52="","-",'Annual Parameters Source'!W52)</f>
        <v>109.78111669711429</v>
      </c>
      <c r="Z51" s="2232"/>
    </row>
    <row r="52" spans="1:26" ht="13.5" customHeight="1">
      <c r="A52" s="2226"/>
      <c r="B52" s="2166">
        <v>2009</v>
      </c>
      <c r="C52" s="2189"/>
      <c r="D52" s="2227">
        <f>IF('Annual Parameters Source'!D53="","-",'Annual Parameters Source'!D53/VLOOKUP($B$14,'Annual Parameters Source'!$B$34:$D$144,3,1)*100)</f>
        <v>98.49263548363092</v>
      </c>
      <c r="E52" s="2163">
        <f>IF('Annual Parameters Source'!E53="","-",'Annual Parameters Source'!E53)</f>
        <v>1715807</v>
      </c>
      <c r="F52" s="2228">
        <f>IF('Annual Parameters Source'!F53="","-",'Annual Parameters Source'!F53)</f>
        <v>-4.2465515673019887</v>
      </c>
      <c r="G52" s="2229">
        <f>IF('Annual Parameters Source'!G53="","-",'Annual Parameters Source'!G53)</f>
        <v>147.53589068046116</v>
      </c>
      <c r="H52" s="2163">
        <f>IF('Annual Parameters Source'!H53="","-",'Annual Parameters Source'!H53)</f>
        <v>62260.5</v>
      </c>
      <c r="I52" s="2228">
        <f>IF('Annual Parameters Source'!I53="","-",'Annual Parameters Source'!I53)</f>
        <v>0.70636227472267488</v>
      </c>
      <c r="J52" s="2229">
        <f>IF('Annual Parameters Source'!J53="","-",'Annual Parameters Source'!J53)</f>
        <v>108.77571522166414</v>
      </c>
      <c r="K52" s="2163">
        <f>IF('Annual Parameters Source'!K53="","-",'Annual Parameters Source'!K53)</f>
        <v>26042</v>
      </c>
      <c r="L52" s="2228">
        <f>IF('Annual Parameters Source'!L53="","-",'Annual Parameters Source'!L53)</f>
        <v>0.6454106280193237</v>
      </c>
      <c r="M52" s="2229">
        <f>IF('Annual Parameters Source'!M53="","-",'Annual Parameters Source'!M53)</f>
        <v>109.7059566939085</v>
      </c>
      <c r="N52" s="2163">
        <f>IF('Annual Parameters Source'!N53="","-",'Annual Parameters Source'!N53)</f>
        <v>27558.516234209492</v>
      </c>
      <c r="O52" s="2228">
        <f>IF('Annual Parameters Source'!O53="","-",'Annual Parameters Source'!O53)</f>
        <v>-4.9181737182734553</v>
      </c>
      <c r="P52" s="2229">
        <f>IF('Annual Parameters Source'!P53="","-",'Annual Parameters Source'!P53)</f>
        <v>135.63311478100715</v>
      </c>
      <c r="Q52" s="2163">
        <f>IF('Annual Parameters Source'!Q53="","-",'Annual Parameters Source'!Q53)</f>
        <v>65886.145457338149</v>
      </c>
      <c r="R52" s="2228">
        <f>IF('Annual Parameters Source'!R53="","-",'Annual Parameters Source'!R53)</f>
        <v>-4.8605914217010548</v>
      </c>
      <c r="S52" s="2229">
        <f>IF('Annual Parameters Source'!S53="","-",'Annual Parameters Source'!S53)</f>
        <v>121.05201278211196</v>
      </c>
      <c r="T52" s="2228">
        <f>IF('Annual Parameters Source'!T53="","-",'Annual Parameters Source'!T53)</f>
        <v>-4.9181737182734553</v>
      </c>
      <c r="U52" s="2228">
        <f>IF('Annual Parameters Source'!U53="","-",'Annual Parameters Source'!U53)</f>
        <v>-4.9181737182734553</v>
      </c>
      <c r="V52" s="2230">
        <f>IF('Annual Parameters Source'!V53="","-",'Annual Parameters Source'!V53)</f>
        <v>104.3818906680897</v>
      </c>
      <c r="W52" s="2231">
        <f>IF('Annual Parameters Source'!W53="","-",'Annual Parameters Source'!W53)</f>
        <v>104.3818906680897</v>
      </c>
      <c r="Z52" s="2232"/>
    </row>
    <row r="53" spans="1:26" ht="12" customHeight="1">
      <c r="A53" s="2226"/>
      <c r="B53" s="2166">
        <v>2010</v>
      </c>
      <c r="C53" s="2189"/>
      <c r="D53" s="2227">
        <f>IF('Annual Parameters Source'!D54="","-",'Annual Parameters Source'!D54/VLOOKUP($B$14,'Annual Parameters Source'!$B$34:$D$144,3,1)*100)</f>
        <v>100</v>
      </c>
      <c r="E53" s="2163">
        <f>IF('Annual Parameters Source'!E54="","-",'Annual Parameters Source'!E54)</f>
        <v>1745168</v>
      </c>
      <c r="F53" s="2228">
        <f>IF('Annual Parameters Source'!F54="","-",'Annual Parameters Source'!F54)</f>
        <v>1.7112064468789323</v>
      </c>
      <c r="G53" s="2229">
        <f>IF('Annual Parameters Source'!G54="","-",'Annual Parameters Source'!G54)</f>
        <v>150.06053435324549</v>
      </c>
      <c r="H53" s="2163">
        <f>IF('Annual Parameters Source'!H54="","-",'Annual Parameters Source'!H54)</f>
        <v>62759.5</v>
      </c>
      <c r="I53" s="2228">
        <f>IF('Annual Parameters Source'!I54="","-",'Annual Parameters Source'!I54)</f>
        <v>0.80147123778318508</v>
      </c>
      <c r="J53" s="2229">
        <f>IF('Annual Parameters Source'!J54="","-",'Annual Parameters Source'!J54)</f>
        <v>109.64752129285873</v>
      </c>
      <c r="K53" s="2163">
        <f>IF('Annual Parameters Source'!K54="","-",'Annual Parameters Source'!K54)</f>
        <v>26240</v>
      </c>
      <c r="L53" s="2228">
        <f>IF('Annual Parameters Source'!L54="","-",'Annual Parameters Source'!L54)</f>
        <v>0.76031026802856916</v>
      </c>
      <c r="M53" s="2229">
        <f>IF('Annual Parameters Source'!M54="","-",'Annual Parameters Source'!M54)</f>
        <v>110.54006234729128</v>
      </c>
      <c r="N53" s="2163">
        <f>IF('Annual Parameters Source'!N54="","-",'Annual Parameters Source'!N54)</f>
        <v>27807.232371194797</v>
      </c>
      <c r="O53" s="2228">
        <f>IF('Annual Parameters Source'!O54="","-",'Annual Parameters Source'!O54)</f>
        <v>0.90250191581999761</v>
      </c>
      <c r="P53" s="2229">
        <f>IF('Annual Parameters Source'!P54="","-",'Annual Parameters Source'!P54)</f>
        <v>136.85720624039209</v>
      </c>
      <c r="Q53" s="2163">
        <f>IF('Annual Parameters Source'!Q54="","-",'Annual Parameters Source'!Q54)</f>
        <v>66507.926829268297</v>
      </c>
      <c r="R53" s="2228">
        <f>IF('Annual Parameters Source'!R54="","-",'Annual Parameters Source'!R54)</f>
        <v>0.94372097140325018</v>
      </c>
      <c r="S53" s="2229">
        <f>IF('Annual Parameters Source'!S54="","-",'Annual Parameters Source'!S54)</f>
        <v>122.1944060130425</v>
      </c>
      <c r="T53" s="2228">
        <f>IF('Annual Parameters Source'!T54="","-",'Annual Parameters Source'!T54)</f>
        <v>0.90250191581999761</v>
      </c>
      <c r="U53" s="2228">
        <f>IF('Annual Parameters Source'!U54="","-",'Annual Parameters Source'!U54)</f>
        <v>0.90250191581999761</v>
      </c>
      <c r="V53" s="2230">
        <f>IF('Annual Parameters Source'!V54="","-",'Annual Parameters Source'!V54)</f>
        <v>105.32393923113834</v>
      </c>
      <c r="W53" s="2231">
        <f>IF('Annual Parameters Source'!W54="","-",'Annual Parameters Source'!W54)</f>
        <v>105.32393923113834</v>
      </c>
      <c r="Z53" s="2232"/>
    </row>
    <row r="54" spans="1:26" ht="12" customHeight="1">
      <c r="A54" s="2226"/>
      <c r="B54" s="2166">
        <v>2011</v>
      </c>
      <c r="C54" s="2189"/>
      <c r="D54" s="2227">
        <f>IF('Annual Parameters Source'!D55="","-",'Annual Parameters Source'!D55/VLOOKUP($B$14,'Annual Parameters Source'!$B$34:$D$144,3,1)*100)</f>
        <v>101.92067044862586</v>
      </c>
      <c r="E54" s="2163">
        <f>IF('Annual Parameters Source'!E55="","-",'Annual Parameters Source'!E55)</f>
        <v>1773872</v>
      </c>
      <c r="F54" s="2228">
        <f>IF('Annual Parameters Source'!F55="","-",'Annual Parameters Source'!F55)</f>
        <v>1.6447700164110273</v>
      </c>
      <c r="G54" s="2229">
        <f>IF('Annual Parameters Source'!G55="","-",'Annual Parameters Source'!G55)</f>
        <v>152.52868502875384</v>
      </c>
      <c r="H54" s="2163">
        <f>IF('Annual Parameters Source'!H55="","-",'Annual Parameters Source'!H55)</f>
        <v>63285.1</v>
      </c>
      <c r="I54" s="2228">
        <f>IF('Annual Parameters Source'!I55="","-",'Annual Parameters Source'!I55)</f>
        <v>0.83748277153259443</v>
      </c>
      <c r="J54" s="2229">
        <f>IF('Annual Parameters Source'!J55="","-",'Annual Parameters Source'!J55)</f>
        <v>110.56580039309894</v>
      </c>
      <c r="K54" s="2163">
        <f>IF('Annual Parameters Source'!K55="","-",'Annual Parameters Source'!K55)</f>
        <v>26409</v>
      </c>
      <c r="L54" s="2228">
        <f>IF('Annual Parameters Source'!L55="","-",'Annual Parameters Source'!L55)</f>
        <v>0.64405487804878048</v>
      </c>
      <c r="M54" s="2229">
        <f>IF('Annual Parameters Source'!M55="","-",'Annual Parameters Source'!M55)</f>
        <v>111.25200101103718</v>
      </c>
      <c r="N54" s="2163">
        <f>IF('Annual Parameters Source'!N55="","-",'Annual Parameters Source'!N55)</f>
        <v>28029.852208497734</v>
      </c>
      <c r="O54" s="2228">
        <f>IF('Annual Parameters Source'!O55="","-",'Annual Parameters Source'!O55)</f>
        <v>0.80058250433274747</v>
      </c>
      <c r="P54" s="2229">
        <f>IF('Annual Parameters Source'!P55="","-",'Annual Parameters Source'!P55)</f>
        <v>137.95286108947127</v>
      </c>
      <c r="Q54" s="2163">
        <f>IF('Annual Parameters Source'!Q55="","-",'Annual Parameters Source'!Q55)</f>
        <v>67169.222613502978</v>
      </c>
      <c r="R54" s="2228">
        <f>IF('Annual Parameters Source'!R55="","-",'Annual Parameters Source'!R55)</f>
        <v>0.99431122839279684</v>
      </c>
      <c r="S54" s="2229">
        <f>IF('Annual Parameters Source'!S55="","-",'Annual Parameters Source'!S55)</f>
        <v>123.40939871249806</v>
      </c>
      <c r="T54" s="2228">
        <f>IF('Annual Parameters Source'!T55="","-",'Annual Parameters Source'!T55)</f>
        <v>0.80058250433274747</v>
      </c>
      <c r="U54" s="2228">
        <f>IF('Annual Parameters Source'!U55="","-",'Annual Parameters Source'!U55)</f>
        <v>0.80058250433274747</v>
      </c>
      <c r="V54" s="2230">
        <f>IF('Annual Parameters Source'!V55="","-",'Annual Parameters Source'!V55)</f>
        <v>106.16714426149689</v>
      </c>
      <c r="W54" s="2231">
        <f>IF('Annual Parameters Source'!W55="","-",'Annual Parameters Source'!W55)</f>
        <v>106.16714426149689</v>
      </c>
    </row>
    <row r="55" spans="1:26" ht="12" customHeight="1">
      <c r="A55" s="2226"/>
      <c r="B55" s="2166">
        <v>2012</v>
      </c>
      <c r="C55" s="2189"/>
      <c r="D55" s="2227">
        <f>IF('Annual Parameters Source'!D56="","-",'Annual Parameters Source'!D56/VLOOKUP($B$14,'Annual Parameters Source'!$B$34:$D$144,3,1)*100)</f>
        <v>103.50932228131136</v>
      </c>
      <c r="E55" s="2163">
        <f>IF('Annual Parameters Source'!E56="","-",'Annual Parameters Source'!E56)</f>
        <v>1799541</v>
      </c>
      <c r="F55" s="2228">
        <f>IF('Annual Parameters Source'!F56="","-",'Annual Parameters Source'!F56)</f>
        <v>1.4470604417906141</v>
      </c>
      <c r="G55" s="2229">
        <f>IF('Annual Parameters Source'!G56="","-",'Annual Parameters Source'!G56)</f>
        <v>154.73586729218835</v>
      </c>
      <c r="H55" s="2163">
        <f>IF('Annual Parameters Source'!H56="","-",'Annual Parameters Source'!H56)</f>
        <v>63705</v>
      </c>
      <c r="I55" s="2228">
        <f>IF('Annual Parameters Source'!I56="","-",'Annual Parameters Source'!I56)</f>
        <v>0.66350531167684246</v>
      </c>
      <c r="J55" s="2229">
        <f>IF('Annual Parameters Source'!J56="","-",'Annual Parameters Source'!J56)</f>
        <v>111.29941035160516</v>
      </c>
      <c r="K55" s="2163">
        <f>IF('Annual Parameters Source'!K56="","-",'Annual Parameters Source'!K56)</f>
        <v>26614</v>
      </c>
      <c r="L55" s="2228">
        <f>IF('Annual Parameters Source'!L56="","-",'Annual Parameters Source'!L56)</f>
        <v>0.776250520655837</v>
      </c>
      <c r="M55" s="2229">
        <f>IF('Annual Parameters Source'!M56="","-",'Annual Parameters Source'!M56)</f>
        <v>112.11559524812539</v>
      </c>
      <c r="N55" s="2163">
        <f>IF('Annual Parameters Source'!N56="","-",'Annual Parameters Source'!N56)</f>
        <v>28248.03390628679</v>
      </c>
      <c r="O55" s="2228">
        <f>IF('Annual Parameters Source'!O56="","-",'Annual Parameters Source'!O56)</f>
        <v>0.77839046801291278</v>
      </c>
      <c r="P55" s="2229">
        <f>IF('Annual Parameters Source'!P56="","-",'Annual Parameters Source'!P56)</f>
        <v>139.02667301054282</v>
      </c>
      <c r="Q55" s="2163">
        <f>IF('Annual Parameters Source'!Q56="","-",'Annual Parameters Source'!Q56)</f>
        <v>67616.329751258731</v>
      </c>
      <c r="R55" s="2228">
        <f>IF('Annual Parameters Source'!R56="","-",'Annual Parameters Source'!R56)</f>
        <v>0.66564286493004943</v>
      </c>
      <c r="S55" s="2229">
        <f>IF('Annual Parameters Source'!S56="","-",'Annual Parameters Source'!S56)</f>
        <v>124.23086456968088</v>
      </c>
      <c r="T55" s="2228">
        <f>IF('Annual Parameters Source'!T56="","-",'Annual Parameters Source'!T56)</f>
        <v>0.77839046801291278</v>
      </c>
      <c r="U55" s="2228">
        <f>IF('Annual Parameters Source'!U56="","-",'Annual Parameters Source'!U56)</f>
        <v>0.77839046801291278</v>
      </c>
      <c r="V55" s="2230">
        <f>IF('Annual Parameters Source'!V56="","-",'Annual Parameters Source'!V56)</f>
        <v>106.99353919258989</v>
      </c>
      <c r="W55" s="2231">
        <f>IF('Annual Parameters Source'!W56="","-",'Annual Parameters Source'!W56)</f>
        <v>106.99353919258989</v>
      </c>
    </row>
    <row r="56" spans="1:26" ht="12" customHeight="1">
      <c r="A56" s="2226"/>
      <c r="B56" s="2166">
        <v>2013</v>
      </c>
      <c r="C56" s="2189"/>
      <c r="D56" s="2227">
        <f>IF('Annual Parameters Source'!D57="","-",'Annual Parameters Source'!D57/VLOOKUP($B$14,'Annual Parameters Source'!$B$34:$D$144,3,1)*100)</f>
        <v>105.44018226677123</v>
      </c>
      <c r="E56" s="2163">
        <f>IF('Annual Parameters Source'!E57="","-",'Annual Parameters Source'!E57)</f>
        <v>1836365</v>
      </c>
      <c r="F56" s="2228">
        <f>IF('Annual Parameters Source'!F57="","-",'Annual Parameters Source'!F57)</f>
        <v>2.0462995841717415</v>
      </c>
      <c r="G56" s="2229">
        <f>IF('Annual Parameters Source'!G57="","-",'Annual Parameters Source'!G57)</f>
        <v>157.90222670115293</v>
      </c>
      <c r="H56" s="2163">
        <f>IF('Annual Parameters Source'!H57="","-",'Annual Parameters Source'!H57)</f>
        <v>64105.7</v>
      </c>
      <c r="I56" s="2228">
        <f>IF('Annual Parameters Source'!I57="","-",'Annual Parameters Source'!I57)</f>
        <v>0.6289930146770224</v>
      </c>
      <c r="J56" s="2229">
        <f>IF('Annual Parameters Source'!J57="","-",'Annual Parameters Source'!J57)</f>
        <v>111.99947586809347</v>
      </c>
      <c r="K56" s="2163">
        <f>IF('Annual Parameters Source'!K57="","-",'Annual Parameters Source'!K57)</f>
        <v>26661</v>
      </c>
      <c r="L56" s="2228">
        <f>IF('Annual Parameters Source'!L57="","-",'Annual Parameters Source'!L57)</f>
        <v>0.17659878259562636</v>
      </c>
      <c r="M56" s="2229">
        <f>IF('Annual Parameters Source'!M57="","-",'Annual Parameters Source'!M57)</f>
        <v>112.31359002443344</v>
      </c>
      <c r="N56" s="2163">
        <f>IF('Annual Parameters Source'!N57="","-",'Annual Parameters Source'!N57)</f>
        <v>28645.892642931911</v>
      </c>
      <c r="O56" s="2228">
        <f>IF('Annual Parameters Source'!O57="","-",'Annual Parameters Source'!O57)</f>
        <v>1.4084475328974166</v>
      </c>
      <c r="P56" s="2229">
        <f>IF('Annual Parameters Source'!P57="","-",'Annual Parameters Source'!P57)</f>
        <v>140.98479075662917</v>
      </c>
      <c r="Q56" s="2163">
        <f>IF('Annual Parameters Source'!Q57="","-",'Annual Parameters Source'!Q57)</f>
        <v>68878.324143880571</v>
      </c>
      <c r="R56" s="2228">
        <f>IF('Annual Parameters Source'!R57="","-",'Annual Parameters Source'!R57)</f>
        <v>1.8664047535031258</v>
      </c>
      <c r="S56" s="2229">
        <f>IF('Annual Parameters Source'!S57="","-",'Annual Parameters Source'!S57)</f>
        <v>126.54951533132744</v>
      </c>
      <c r="T56" s="2228">
        <f>IF('Annual Parameters Source'!T57="","-",'Annual Parameters Source'!T57)</f>
        <v>1.4084475328974166</v>
      </c>
      <c r="U56" s="2228">
        <f>IF('Annual Parameters Source'!U57="","-",'Annual Parameters Source'!U57)</f>
        <v>1.4084475328974166</v>
      </c>
      <c r="V56" s="2230">
        <f>IF('Annual Parameters Source'!V57="","-",'Annual Parameters Source'!V57)</f>
        <v>108.50048705570755</v>
      </c>
      <c r="W56" s="2231">
        <f>IF('Annual Parameters Source'!W57="","-",'Annual Parameters Source'!W57)</f>
        <v>108.50048705570755</v>
      </c>
    </row>
    <row r="57" spans="1:26" ht="12" customHeight="1">
      <c r="A57" s="2226"/>
      <c r="B57" s="2166">
        <v>2014</v>
      </c>
      <c r="C57" s="2189"/>
      <c r="D57" s="2227">
        <f>IF('Annual Parameters Source'!D58="","-",'Annual Parameters Source'!D58/VLOOKUP($B$14,'Annual Parameters Source'!$B$34:$D$144,3,1)*100)</f>
        <v>107.24842434268902</v>
      </c>
      <c r="E57" s="2163">
        <f>IF('Annual Parameters Source'!E58="","-",'Annual Parameters Source'!E58)</f>
        <v>1890493</v>
      </c>
      <c r="F57" s="2228">
        <f>IF('Annual Parameters Source'!F58="","-",'Annual Parameters Source'!F58)</f>
        <v>2.9475621676518555</v>
      </c>
      <c r="G57" s="2229">
        <f>IF('Annual Parameters Source'!G58="","-",'Annual Parameters Source'!G58)</f>
        <v>162.55649299727597</v>
      </c>
      <c r="H57" s="2163">
        <f>IF('Annual Parameters Source'!H58="","-",'Annual Parameters Source'!H58)</f>
        <v>64596.800000000003</v>
      </c>
      <c r="I57" s="2228">
        <f>IF('Annual Parameters Source'!I58="","-",'Annual Parameters Source'!I58)</f>
        <v>0.76607852343864247</v>
      </c>
      <c r="J57" s="2229">
        <f>IF('Annual Parameters Source'!J58="","-",'Annual Parameters Source'!J58)</f>
        <v>112.85747979908278</v>
      </c>
      <c r="K57" s="2163">
        <f>IF('Annual Parameters Source'!K58="","-",'Annual Parameters Source'!K58)</f>
        <v>26732</v>
      </c>
      <c r="L57" s="2228">
        <f>IF('Annual Parameters Source'!L58="","-",'Annual Parameters Source'!L58)</f>
        <v>0.26630659015040697</v>
      </c>
      <c r="M57" s="2229">
        <f>IF('Annual Parameters Source'!M58="","-",'Annual Parameters Source'!M58)</f>
        <v>112.61268851630301</v>
      </c>
      <c r="N57" s="2163">
        <f>IF('Annual Parameters Source'!N58="","-",'Annual Parameters Source'!N58)</f>
        <v>29266.047234537931</v>
      </c>
      <c r="O57" s="2228">
        <f>IF('Annual Parameters Source'!O58="","-",'Annual Parameters Source'!O58)</f>
        <v>2.1648988193043284</v>
      </c>
      <c r="P57" s="2229">
        <f>IF('Annual Parameters Source'!P58="","-",'Annual Parameters Source'!P58)</f>
        <v>144.0369688271181</v>
      </c>
      <c r="Q57" s="2163">
        <f>IF('Annual Parameters Source'!Q58="","-",'Annual Parameters Source'!Q58)</f>
        <v>70720.222953763281</v>
      </c>
      <c r="R57" s="2228">
        <f>IF('Annual Parameters Source'!R58="","-",'Annual Parameters Source'!R58)</f>
        <v>2.6741341819454645</v>
      </c>
      <c r="S57" s="2229">
        <f>IF('Annual Parameters Source'!S58="","-",'Annual Parameters Source'!S58)</f>
        <v>129.93361917788877</v>
      </c>
      <c r="T57" s="2228">
        <f>IF('Annual Parameters Source'!T58="","-",'Annual Parameters Source'!T58)</f>
        <v>2.1648988193043284</v>
      </c>
      <c r="U57" s="2228">
        <f>IF('Annual Parameters Source'!U58="","-",'Annual Parameters Source'!U58)</f>
        <v>2.1648988193043284</v>
      </c>
      <c r="V57" s="2230">
        <f>IF('Annual Parameters Source'!V58="","-",'Annual Parameters Source'!V58)</f>
        <v>110.84941281891601</v>
      </c>
      <c r="W57" s="2231">
        <f>IF('Annual Parameters Source'!W58="","-",'Annual Parameters Source'!W58)</f>
        <v>110.84941281891601</v>
      </c>
    </row>
    <row r="58" spans="1:26" ht="12" customHeight="1">
      <c r="A58" s="2226"/>
      <c r="B58" s="2166">
        <v>2015</v>
      </c>
      <c r="C58" s="2189"/>
      <c r="D58" s="2227">
        <f>IF('Annual Parameters Source'!D59="","-",'Annual Parameters Source'!D59/VLOOKUP($B$14,'Annual Parameters Source'!$B$34:$D$144,3,1)*100)</f>
        <v>107.71565467774158</v>
      </c>
      <c r="E58" s="2163">
        <f>IF('Annual Parameters Source'!E59="","-",'Annual Parameters Source'!E59)</f>
        <v>1934903</v>
      </c>
      <c r="F58" s="2228">
        <f>IF('Annual Parameters Source'!F59="","-",'Annual Parameters Source'!F59)</f>
        <v>2.3491226891609753</v>
      </c>
      <c r="G58" s="2229">
        <f>IF('Annual Parameters Source'!G59="","-",'Annual Parameters Source'!G59)</f>
        <v>166.37514445697937</v>
      </c>
      <c r="H58" s="2163">
        <f>IF('Annual Parameters Source'!H59="","-",'Annual Parameters Source'!H59)</f>
        <v>65110</v>
      </c>
      <c r="I58" s="2228">
        <f>IF('Annual Parameters Source'!I59="","-",'Annual Parameters Source'!I59)</f>
        <v>0.79446659896464999</v>
      </c>
      <c r="J58" s="2229">
        <f>IF('Annual Parameters Source'!J59="","-",'Annual Parameters Source'!J59)</f>
        <v>113.75409478051978</v>
      </c>
      <c r="K58" s="2163">
        <f>IF('Annual Parameters Source'!K59="","-",'Annual Parameters Source'!K59)</f>
        <v>27042</v>
      </c>
      <c r="L58" s="2228">
        <f>IF('Annual Parameters Source'!L59="","-",'Annual Parameters Source'!L59)</f>
        <v>1.1596588358521622</v>
      </c>
      <c r="M58" s="2229">
        <f>IF('Annual Parameters Source'!M59="","-",'Annual Parameters Source'!M59)</f>
        <v>113.91861150897299</v>
      </c>
      <c r="N58" s="2163">
        <f>IF('Annual Parameters Source'!N59="","-",'Annual Parameters Source'!N59)</f>
        <v>29717.447396713254</v>
      </c>
      <c r="O58" s="2228">
        <f>IF('Annual Parameters Source'!O59="","-",'Annual Parameters Source'!O59)</f>
        <v>1.5424022197388254</v>
      </c>
      <c r="P58" s="2229">
        <f>IF('Annual Parameters Source'!P59="","-",'Annual Parameters Source'!P59)</f>
        <v>146.25859823155207</v>
      </c>
      <c r="Q58" s="2163">
        <f>IF('Annual Parameters Source'!Q59="","-",'Annual Parameters Source'!Q59)</f>
        <v>71551.77131868944</v>
      </c>
      <c r="R58" s="2228">
        <f>IF('Annual Parameters Source'!R59="","-",'Annual Parameters Source'!R59)</f>
        <v>1.175828257031708</v>
      </c>
      <c r="S58" s="2229">
        <f>IF('Annual Parameters Source'!S59="","-",'Annual Parameters Source'!S59)</f>
        <v>131.46141538756635</v>
      </c>
      <c r="T58" s="2228">
        <f>IF('Annual Parameters Source'!T59="","-",'Annual Parameters Source'!T59)</f>
        <v>1.5424022197388254</v>
      </c>
      <c r="U58" s="2228">
        <f>IF('Annual Parameters Source'!U59="","-",'Annual Parameters Source'!U59)</f>
        <v>1.5424022197388254</v>
      </c>
      <c r="V58" s="2230">
        <f>IF('Annual Parameters Source'!V59="","-",'Annual Parameters Source'!V59)</f>
        <v>112.55915662280242</v>
      </c>
      <c r="W58" s="2231">
        <f>IF('Annual Parameters Source'!W59="","-",'Annual Parameters Source'!W59)</f>
        <v>112.55915662280242</v>
      </c>
    </row>
    <row r="59" spans="1:26" ht="12" customHeight="1">
      <c r="A59" s="2226"/>
      <c r="B59" s="2166">
        <v>2016</v>
      </c>
      <c r="C59" s="2189"/>
      <c r="D59" s="2227">
        <f>IF('Annual Parameters Source'!D60="","-",'Annual Parameters Source'!D60/VLOOKUP($B$14,'Annual Parameters Source'!$B$34:$D$144,3,1)*100)</f>
        <v>109.93216516208805</v>
      </c>
      <c r="E59" s="2163">
        <f>IF('Annual Parameters Source'!E60="","-",'Annual Parameters Source'!E60)</f>
        <v>1969524</v>
      </c>
      <c r="F59" s="2228">
        <f>IF('Annual Parameters Source'!F60="","-",'Annual Parameters Source'!F60)</f>
        <v>1.7892886620156152</v>
      </c>
      <c r="G59" s="2229">
        <f>IF('Annual Parameters Source'!G60="","-",'Annual Parameters Source'!G60)</f>
        <v>169.3520760531602</v>
      </c>
      <c r="H59" s="2163">
        <f>IF('Annual Parameters Source'!H60="","-",'Annual Parameters Source'!H60)</f>
        <v>65648.100000000006</v>
      </c>
      <c r="I59" s="2228">
        <f>IF('Annual Parameters Source'!I60="","-",'Annual Parameters Source'!I60)</f>
        <v>0.82644755029950212</v>
      </c>
      <c r="J59" s="2229">
        <f>IF('Annual Parameters Source'!J60="","-",'Annual Parameters Source'!J60)</f>
        <v>114.69421271019876</v>
      </c>
      <c r="K59" s="2163">
        <f>IF('Annual Parameters Source'!K60="","-",'Annual Parameters Source'!K60)</f>
        <v>27089</v>
      </c>
      <c r="L59" s="2228">
        <f>IF('Annual Parameters Source'!L60="","-",'Annual Parameters Source'!L60)</f>
        <v>0.1738037127431403</v>
      </c>
      <c r="M59" s="2229">
        <f>IF('Annual Parameters Source'!M60="","-",'Annual Parameters Source'!M60)</f>
        <v>114.11660628528101</v>
      </c>
      <c r="N59" s="2163">
        <f>IF('Annual Parameters Source'!N60="","-",'Annual Parameters Source'!N60)</f>
        <v>30001.233851398592</v>
      </c>
      <c r="O59" s="2228">
        <f>IF('Annual Parameters Source'!O60="","-",'Annual Parameters Source'!O60)</f>
        <v>0.95494895943426528</v>
      </c>
      <c r="P59" s="2229">
        <f>IF('Annual Parameters Source'!P60="","-",'Annual Parameters Source'!P60)</f>
        <v>147.65529319344742</v>
      </c>
      <c r="Q59" s="2163">
        <f>IF('Annual Parameters Source'!Q60="","-",'Annual Parameters Source'!Q60)</f>
        <v>72705.673889770755</v>
      </c>
      <c r="R59" s="2228">
        <f>IF('Annual Parameters Source'!R60="","-",'Annual Parameters Source'!R60)</f>
        <v>1.612682047998315</v>
      </c>
      <c r="S59" s="2229">
        <f>IF('Annual Parameters Source'!S60="","-",'Annual Parameters Source'!S60)</f>
        <v>133.58147003356612</v>
      </c>
      <c r="T59" s="2228">
        <f>IF('Annual Parameters Source'!T60="","-",'Annual Parameters Source'!T60)</f>
        <v>0.95494895943426528</v>
      </c>
      <c r="U59" s="2228">
        <f>IF('Annual Parameters Source'!U60="","-",'Annual Parameters Source'!U60)</f>
        <v>0.95494895943426528</v>
      </c>
      <c r="V59" s="2230">
        <f>IF('Annual Parameters Source'!V60="","-",'Annual Parameters Source'!V60)</f>
        <v>113.63403911771985</v>
      </c>
      <c r="W59" s="2231">
        <f>IF('Annual Parameters Source'!W60="","-",'Annual Parameters Source'!W60)</f>
        <v>113.63403911771985</v>
      </c>
    </row>
    <row r="60" spans="1:26" ht="12" customHeight="1">
      <c r="A60" s="2226"/>
      <c r="B60" s="2166">
        <v>2017</v>
      </c>
      <c r="C60" s="2189"/>
      <c r="D60" s="2227">
        <f>IF('Annual Parameters Source'!D61="","-",'Annual Parameters Source'!D61/VLOOKUP($B$14,'Annual Parameters Source'!$B$34:$D$144,3,1)*100)</f>
        <v>112.35658799351991</v>
      </c>
      <c r="E60" s="2163">
        <f>IF('Annual Parameters Source'!E61="","-",'Annual Parameters Source'!E61)</f>
        <v>2005427</v>
      </c>
      <c r="F60" s="2228">
        <f>IF('Annual Parameters Source'!F61="","-",'Annual Parameters Source'!F61)</f>
        <v>1.8229277734112406</v>
      </c>
      <c r="G60" s="2229">
        <f>IF('Annual Parameters Source'!G61="","-",'Annual Parameters Source'!G61)</f>
        <v>172.43924208238178</v>
      </c>
      <c r="H60" s="2163">
        <f>IF('Annual Parameters Source'!H61="","-",'Annual Parameters Source'!H61)</f>
        <v>66040.2</v>
      </c>
      <c r="I60" s="2228">
        <f>IF('Annual Parameters Source'!I61="","-",'Annual Parameters Source'!I61)</f>
        <v>0.59727547331909259</v>
      </c>
      <c r="J60" s="2229">
        <f>IF('Annual Parameters Source'!J61="","-",'Annual Parameters Source'!J61)</f>
        <v>115.3792531120332</v>
      </c>
      <c r="K60" s="2163">
        <f>IF('Annual Parameters Source'!K61="","-",'Annual Parameters Source'!K61)</f>
        <v>27228</v>
      </c>
      <c r="L60" s="2228">
        <f>IF('Annual Parameters Source'!L61="","-",'Annual Parameters Source'!L61)</f>
        <v>0.51312340802539769</v>
      </c>
      <c r="M60" s="2229">
        <f>IF('Annual Parameters Source'!M61="","-",'Annual Parameters Source'!M61)</f>
        <v>114.70216530457496</v>
      </c>
      <c r="N60" s="2163">
        <f>IF('Annual Parameters Source'!N61="","-",'Annual Parameters Source'!N61)</f>
        <v>30366.761457415334</v>
      </c>
      <c r="O60" s="2228">
        <f>IF('Annual Parameters Source'!O61="","-",'Annual Parameters Source'!O61)</f>
        <v>1.218375243589187</v>
      </c>
      <c r="P60" s="2229">
        <f>IF('Annual Parameters Source'!P61="","-",'Annual Parameters Source'!P61)</f>
        <v>149.45428873156544</v>
      </c>
      <c r="Q60" s="2163">
        <f>IF('Annual Parameters Source'!Q61="","-",'Annual Parameters Source'!Q61)</f>
        <v>73653.114441016602</v>
      </c>
      <c r="R60" s="2228">
        <f>IF('Annual Parameters Source'!R61="","-",'Annual Parameters Source'!R61)</f>
        <v>1.303117763109185</v>
      </c>
      <c r="S60" s="2229">
        <f>IF('Annual Parameters Source'!S61="","-",'Annual Parameters Source'!S61)</f>
        <v>135.3221938977959</v>
      </c>
      <c r="T60" s="2228">
        <f>IF('Annual Parameters Source'!T61="","-",'Annual Parameters Source'!T61)</f>
        <v>1.218375243589187</v>
      </c>
      <c r="U60" s="2228">
        <f>IF('Annual Parameters Source'!U61="","-",'Annual Parameters Source'!U61)</f>
        <v>1.218375243589187</v>
      </c>
      <c r="V60" s="2230">
        <f>IF('Annual Parameters Source'!V61="","-",'Annual Parameters Source'!V61)</f>
        <v>115.01852811862061</v>
      </c>
      <c r="W60" s="2231">
        <f>IF('Annual Parameters Source'!W61="","-",'Annual Parameters Source'!W61)</f>
        <v>115.01852811862061</v>
      </c>
    </row>
    <row r="61" spans="1:26" ht="12" customHeight="1">
      <c r="A61" s="2226"/>
      <c r="B61" s="2166">
        <v>2018</v>
      </c>
      <c r="C61" s="2189"/>
      <c r="D61" s="2227">
        <f>IF('Annual Parameters Source'!D62="","-",'Annual Parameters Source'!D62/VLOOKUP($B$14,'Annual Parameters Source'!$B$34:$D$144,3,1)*100)</f>
        <v>114.48917791045803</v>
      </c>
      <c r="E61" s="2163">
        <f>IF('Annual Parameters Source'!E62="","-",'Annual Parameters Source'!E62)</f>
        <v>2033455</v>
      </c>
      <c r="F61" s="2228">
        <f>IF('Annual Parameters Source'!F62="","-",'Annual Parameters Source'!F62)</f>
        <v>1.3976075917996518</v>
      </c>
      <c r="G61" s="2229">
        <f>IF('Annual Parameters Source'!G62="","-",'Annual Parameters Source'!G62)</f>
        <v>174.84926602096692</v>
      </c>
      <c r="H61" s="2163" t="str">
        <f>IF('Annual Parameters Source'!H62="","-",'Annual Parameters Source'!H62)</f>
        <v>-</v>
      </c>
      <c r="I61" s="2228">
        <f>IF('Annual Parameters Source'!I62="","-",'Annual Parameters Source'!I62)</f>
        <v>0.62700320999999992</v>
      </c>
      <c r="J61" s="2229">
        <f>IF('Annual Parameters Source'!J62="","-",'Annual Parameters Source'!J62)</f>
        <v>116.10268473271967</v>
      </c>
      <c r="K61" s="2163" t="str">
        <f>IF('Annual Parameters Source'!K62="","-",'Annual Parameters Source'!K62)</f>
        <v>-</v>
      </c>
      <c r="L61" s="2228">
        <f>IF('Annual Parameters Source'!L62="","-",'Annual Parameters Source'!L62)</f>
        <v>0.72117126911648288</v>
      </c>
      <c r="M61" s="2229">
        <f>IF('Annual Parameters Source'!M62="","-",'Annual Parameters Source'!M62)</f>
        <v>115.52936436580605</v>
      </c>
      <c r="N61" s="2163" t="str">
        <f>IF('Annual Parameters Source'!N62="","-",'Annual Parameters Source'!N62)</f>
        <v>-</v>
      </c>
      <c r="O61" s="2228">
        <f>IF('Annual Parameters Source'!O62="","-",'Annual Parameters Source'!O62)</f>
        <v>0.76580277382549689</v>
      </c>
      <c r="P61" s="2229">
        <f>IF('Annual Parameters Source'!P62="","-",'Annual Parameters Source'!P62)</f>
        <v>150.59881382027294</v>
      </c>
      <c r="Q61" s="2163" t="str">
        <f>IF('Annual Parameters Source'!Q62="","-",'Annual Parameters Source'!Q62)</f>
        <v>-</v>
      </c>
      <c r="R61" s="2228">
        <f>IF('Annual Parameters Source'!R62="","-",'Annual Parameters Source'!R62)</f>
        <v>0.67159298701542358</v>
      </c>
      <c r="S61" s="2229">
        <f>IF('Annual Parameters Source'!S62="","-",'Annual Parameters Source'!S62)</f>
        <v>136.23100826188892</v>
      </c>
      <c r="T61" s="2228">
        <f>IF('Annual Parameters Source'!T62="","-",'Annual Parameters Source'!T62)</f>
        <v>0.76580277382549689</v>
      </c>
      <c r="U61" s="2228">
        <f>IF('Annual Parameters Source'!U62="","-",'Annual Parameters Source'!U62)</f>
        <v>0.76580277382549689</v>
      </c>
      <c r="V61" s="2230">
        <f>IF('Annual Parameters Source'!V62="","-",'Annual Parameters Source'!V62)</f>
        <v>115.89934319736626</v>
      </c>
      <c r="W61" s="2231">
        <f>IF('Annual Parameters Source'!W62="","-",'Annual Parameters Source'!W62)</f>
        <v>115.89934319736626</v>
      </c>
    </row>
    <row r="62" spans="1:26" ht="12" customHeight="1">
      <c r="A62" s="2226"/>
      <c r="B62" s="2166">
        <v>2019</v>
      </c>
      <c r="C62" s="2189"/>
      <c r="D62" s="2227">
        <f>IF('Annual Parameters Source'!D63="","-",'Annual Parameters Source'!D63/VLOOKUP($B$14,'Annual Parameters Source'!$B$34:$D$144,3,1)*100)</f>
        <v>116.76129154787942</v>
      </c>
      <c r="E62" s="2163" t="str">
        <f>IF('Annual Parameters Source'!E63="","-",'Annual Parameters Source'!E63)</f>
        <v>-</v>
      </c>
      <c r="F62" s="2228">
        <f>IF('Annual Parameters Source'!F63="","-",'Annual Parameters Source'!F63)</f>
        <v>1.2286424618628331</v>
      </c>
      <c r="G62" s="2229">
        <f>IF('Annual Parameters Source'!G63="","-",'Annual Parameters Source'!G63)</f>
        <v>176.99753834755603</v>
      </c>
      <c r="H62" s="2163" t="str">
        <f>IF('Annual Parameters Source'!H63="","-",'Annual Parameters Source'!H63)</f>
        <v>-</v>
      </c>
      <c r="I62" s="2228">
        <f>IF('Annual Parameters Source'!I63="","-",'Annual Parameters Source'!I63)</f>
        <v>0.60449277999999995</v>
      </c>
      <c r="J62" s="2229">
        <f>IF('Annual Parameters Source'!J63="","-",'Annual Parameters Source'!J63)</f>
        <v>116.80451707931512</v>
      </c>
      <c r="K62" s="2163" t="str">
        <f>IF('Annual Parameters Source'!K63="","-",'Annual Parameters Source'!K63)</f>
        <v>-</v>
      </c>
      <c r="L62" s="2228">
        <f>IF('Annual Parameters Source'!L63="","-",'Annual Parameters Source'!L63)</f>
        <v>0.69082142985643635</v>
      </c>
      <c r="M62" s="2229">
        <f>IF('Annual Parameters Source'!M63="","-",'Annual Parameters Source'!M63)</f>
        <v>116.32746597262195</v>
      </c>
      <c r="N62" s="2163" t="str">
        <f>IF('Annual Parameters Source'!N63="","-",'Annual Parameters Source'!N63)</f>
        <v>-</v>
      </c>
      <c r="O62" s="2228">
        <f>IF('Annual Parameters Source'!O63="","-",'Annual Parameters Source'!O63)</f>
        <v>0.62039941220886075</v>
      </c>
      <c r="P62" s="2229">
        <f>IF('Annual Parameters Source'!P63="","-",'Annual Parameters Source'!P63)</f>
        <v>151.53312797600742</v>
      </c>
      <c r="Q62" s="2163" t="str">
        <f>IF('Annual Parameters Source'!Q63="","-",'Annual Parameters Source'!Q63)</f>
        <v>-</v>
      </c>
      <c r="R62" s="2228">
        <f>IF('Annual Parameters Source'!R63="","-",'Annual Parameters Source'!R63)</f>
        <v>0.53413113963027836</v>
      </c>
      <c r="S62" s="2229">
        <f>IF('Annual Parameters Source'!S63="","-",'Annual Parameters Source'!S63)</f>
        <v>136.95866049884796</v>
      </c>
      <c r="T62" s="2228">
        <f>IF('Annual Parameters Source'!T63="","-",'Annual Parameters Source'!T63)</f>
        <v>0.62039941220886075</v>
      </c>
      <c r="U62" s="2228">
        <f>IF('Annual Parameters Source'!U63="","-",'Annual Parameters Source'!U63)</f>
        <v>0.62039941220886075</v>
      </c>
      <c r="V62" s="2230">
        <f>IF('Annual Parameters Source'!V63="","-",'Annual Parameters Source'!V63)</f>
        <v>116.61838204131665</v>
      </c>
      <c r="W62" s="2231">
        <f>IF('Annual Parameters Source'!W63="","-",'Annual Parameters Source'!W63)</f>
        <v>116.61838204131665</v>
      </c>
    </row>
    <row r="63" spans="1:26" ht="12" customHeight="1">
      <c r="A63" s="2226"/>
      <c r="B63" s="2166">
        <v>2020</v>
      </c>
      <c r="C63" s="2189"/>
      <c r="D63" s="2227">
        <f>IF('Annual Parameters Source'!D64="","-",'Annual Parameters Source'!D64/VLOOKUP($B$14,'Annual Parameters Source'!$B$34:$D$144,3,1)*100)</f>
        <v>118.9098699987712</v>
      </c>
      <c r="E63" s="2163" t="str">
        <f>IF('Annual Parameters Source'!E64="","-",'Annual Parameters Source'!E64)</f>
        <v>-</v>
      </c>
      <c r="F63" s="2228">
        <f>IF('Annual Parameters Source'!F64="","-",'Annual Parameters Source'!F64)</f>
        <v>1.4465348219833487</v>
      </c>
      <c r="G63" s="2229">
        <f>IF('Annual Parameters Source'!G64="","-",'Annual Parameters Source'!G64)</f>
        <v>179.55786937380674</v>
      </c>
      <c r="H63" s="2163" t="str">
        <f>IF('Annual Parameters Source'!H64="","-",'Annual Parameters Source'!H64)</f>
        <v>-</v>
      </c>
      <c r="I63" s="2228">
        <f>IF('Annual Parameters Source'!I64="","-",'Annual Parameters Source'!I64)</f>
        <v>0.57893214999999998</v>
      </c>
      <c r="J63" s="2229">
        <f>IF('Annual Parameters Source'!J64="","-",'Annual Parameters Source'!J64)</f>
        <v>117.48073598133951</v>
      </c>
      <c r="K63" s="2163" t="str">
        <f>IF('Annual Parameters Source'!K64="","-",'Annual Parameters Source'!K64)</f>
        <v>-</v>
      </c>
      <c r="L63" s="2228">
        <f>IF('Annual Parameters Source'!L64="","-",'Annual Parameters Source'!L64)</f>
        <v>0.65392174379130807</v>
      </c>
      <c r="M63" s="2229">
        <f>IF('Annual Parameters Source'!M64="","-",'Annual Parameters Source'!M64)</f>
        <v>117.08815656661835</v>
      </c>
      <c r="N63" s="2163" t="str">
        <f>IF('Annual Parameters Source'!N64="","-",'Annual Parameters Source'!N64)</f>
        <v>-</v>
      </c>
      <c r="O63" s="2228">
        <f>IF('Annual Parameters Source'!O64="","-",'Annual Parameters Source'!O64)</f>
        <v>0.86260875258592495</v>
      </c>
      <c r="P63" s="2229">
        <f>IF('Annual Parameters Source'!P64="","-",'Annual Parameters Source'!P64)</f>
        <v>152.84026600099568</v>
      </c>
      <c r="Q63" s="2163" t="str">
        <f>IF('Annual Parameters Source'!Q64="","-",'Annual Parameters Source'!Q64)</f>
        <v>-</v>
      </c>
      <c r="R63" s="2228">
        <f>IF('Annual Parameters Source'!R64="","-",'Annual Parameters Source'!R64)</f>
        <v>0.78746368195130589</v>
      </c>
      <c r="S63" s="2229">
        <f>IF('Annual Parameters Source'!S64="","-",'Annual Parameters Source'!S64)</f>
        <v>138.03716020956338</v>
      </c>
      <c r="T63" s="2228">
        <f>IF('Annual Parameters Source'!T64="","-",'Annual Parameters Source'!T64)</f>
        <v>0.86260875258592495</v>
      </c>
      <c r="U63" s="2228">
        <f>IF('Annual Parameters Source'!U64="","-",'Annual Parameters Source'!U64)</f>
        <v>0.86260875258592495</v>
      </c>
      <c r="V63" s="2230">
        <f>IF('Annual Parameters Source'!V64="","-",'Annual Parameters Source'!V64)</f>
        <v>117.62434241192913</v>
      </c>
      <c r="W63" s="2231">
        <f>IF('Annual Parameters Source'!W64="","-",'Annual Parameters Source'!W64)</f>
        <v>117.62434241192913</v>
      </c>
    </row>
    <row r="64" spans="1:26" ht="12" customHeight="1">
      <c r="A64" s="2226"/>
      <c r="B64" s="2166">
        <v>2021</v>
      </c>
      <c r="C64" s="2189"/>
      <c r="D64" s="2227">
        <f>IF('Annual Parameters Source'!D65="","-",'Annual Parameters Source'!D65/VLOOKUP($B$14,'Annual Parameters Source'!$B$34:$D$144,3,1)*100)</f>
        <v>121.1971846721537</v>
      </c>
      <c r="E64" s="2163" t="str">
        <f>IF('Annual Parameters Source'!E65="","-",'Annual Parameters Source'!E65)</f>
        <v>-</v>
      </c>
      <c r="F64" s="2228">
        <f>IF('Annual Parameters Source'!F65="","-",'Annual Parameters Source'!F65)</f>
        <v>1.5957543402172405</v>
      </c>
      <c r="G64" s="2229">
        <f>IF('Annual Parameters Source'!G65="","-",'Annual Parameters Source'!G65)</f>
        <v>182.42317186754087</v>
      </c>
      <c r="H64" s="2163" t="str">
        <f>IF('Annual Parameters Source'!H65="","-",'Annual Parameters Source'!H65)</f>
        <v>-</v>
      </c>
      <c r="I64" s="2228">
        <f>IF('Annual Parameters Source'!I65="","-",'Annual Parameters Source'!I65)</f>
        <v>0.53797262000000001</v>
      </c>
      <c r="J64" s="2229">
        <f>IF('Annual Parameters Source'!J65="","-",'Annual Parameters Source'!J65)</f>
        <v>118.11275017469362</v>
      </c>
      <c r="K64" s="2163" t="str">
        <f>IF('Annual Parameters Source'!K65="","-",'Annual Parameters Source'!K65)</f>
        <v>-</v>
      </c>
      <c r="L64" s="2228">
        <f>IF('Annual Parameters Source'!L65="","-",'Annual Parameters Source'!L65)</f>
        <v>0.60707185458677149</v>
      </c>
      <c r="M64" s="2229">
        <f>IF('Annual Parameters Source'!M65="","-",'Annual Parameters Source'!M65)</f>
        <v>117.79896581018879</v>
      </c>
      <c r="N64" s="2163" t="str">
        <f>IF('Annual Parameters Source'!N65="","-",'Annual Parameters Source'!N65)</f>
        <v>-</v>
      </c>
      <c r="O64" s="2228">
        <f>IF('Annual Parameters Source'!O65="","-",'Annual Parameters Source'!O65)</f>
        <v>1.0521215941118101</v>
      </c>
      <c r="P64" s="2229">
        <f>IF('Annual Parameters Source'!P65="","-",'Annual Parameters Source'!P65)</f>
        <v>154.44833144409009</v>
      </c>
      <c r="Q64" s="2163" t="str">
        <f>IF('Annual Parameters Source'!Q65="","-",'Annual Parameters Source'!Q65)</f>
        <v>-</v>
      </c>
      <c r="R64" s="2228">
        <f>IF('Annual Parameters Source'!R65="","-",'Annual Parameters Source'!R65)</f>
        <v>0.98271668920000277</v>
      </c>
      <c r="S64" s="2229">
        <f>IF('Annual Parameters Source'!S65="","-",'Annual Parameters Source'!S65)</f>
        <v>139.3936744202405</v>
      </c>
      <c r="T64" s="2228">
        <f>IF('Annual Parameters Source'!T65="","-",'Annual Parameters Source'!T65)</f>
        <v>1.0521215941118101</v>
      </c>
      <c r="U64" s="2228">
        <f>IF('Annual Parameters Source'!U65="","-",'Annual Parameters Source'!U65)</f>
        <v>1.0521215941118101</v>
      </c>
      <c r="V64" s="2230">
        <f>IF('Annual Parameters Source'!V65="","-",'Annual Parameters Source'!V65)</f>
        <v>118.86189351837706</v>
      </c>
      <c r="W64" s="2231">
        <f>IF('Annual Parameters Source'!W65="","-",'Annual Parameters Source'!W65)</f>
        <v>118.86189351837706</v>
      </c>
    </row>
    <row r="65" spans="1:23" ht="12" customHeight="1">
      <c r="A65" s="2226"/>
      <c r="B65" s="2166">
        <v>2022</v>
      </c>
      <c r="C65" s="2189"/>
      <c r="D65" s="2227">
        <f>IF('Annual Parameters Source'!D66="","-",'Annual Parameters Source'!D66/VLOOKUP($B$14,'Annual Parameters Source'!$B$34:$D$144,3,1)*100)</f>
        <v>123.56399795255753</v>
      </c>
      <c r="E65" s="2163" t="str">
        <f>IF('Annual Parameters Source'!E66="","-",'Annual Parameters Source'!E66)</f>
        <v>-</v>
      </c>
      <c r="F65" s="2228">
        <f>IF('Annual Parameters Source'!F66="","-",'Annual Parameters Source'!F66)</f>
        <v>1.6011433857681112</v>
      </c>
      <c r="G65" s="2229">
        <f>IF('Annual Parameters Source'!G66="","-",'Annual Parameters Source'!G66)</f>
        <v>185.34402841800639</v>
      </c>
      <c r="H65" s="2163" t="str">
        <f>IF('Annual Parameters Source'!H66="","-",'Annual Parameters Source'!H66)</f>
        <v>-</v>
      </c>
      <c r="I65" s="2228">
        <f>IF('Annual Parameters Source'!I66="","-",'Annual Parameters Source'!I66)</f>
        <v>0.51027748000000006</v>
      </c>
      <c r="J65" s="2229">
        <f>IF('Annual Parameters Source'!J66="","-",'Annual Parameters Source'!J66)</f>
        <v>118.71545293984374</v>
      </c>
      <c r="K65" s="2163" t="str">
        <f>IF('Annual Parameters Source'!K66="","-",'Annual Parameters Source'!K66)</f>
        <v>-</v>
      </c>
      <c r="L65" s="2228">
        <f>IF('Annual Parameters Source'!L66="","-",'Annual Parameters Source'!L66)</f>
        <v>0.72691344084123699</v>
      </c>
      <c r="M65" s="2229">
        <f>IF('Annual Parameters Source'!M66="","-",'Annual Parameters Source'!M66)</f>
        <v>118.65526232583501</v>
      </c>
      <c r="N65" s="2163" t="str">
        <f>IF('Annual Parameters Source'!N66="","-",'Annual Parameters Source'!N66)</f>
        <v>-</v>
      </c>
      <c r="O65" s="2228">
        <f>IF('Annual Parameters Source'!O66="","-",'Annual Parameters Source'!O66)</f>
        <v>1.0853277228143998</v>
      </c>
      <c r="P65" s="2229">
        <f>IF('Annual Parameters Source'!P66="","-",'Annual Parameters Source'!P66)</f>
        <v>156.12460200267705</v>
      </c>
      <c r="Q65" s="2163" t="str">
        <f>IF('Annual Parameters Source'!Q66="","-",'Annual Parameters Source'!Q66)</f>
        <v>-</v>
      </c>
      <c r="R65" s="2228">
        <f>IF('Annual Parameters Source'!R66="","-",'Annual Parameters Source'!R66)</f>
        <v>0.86792091116774106</v>
      </c>
      <c r="S65" s="2229">
        <f>IF('Annual Parameters Source'!S66="","-",'Annual Parameters Source'!S66)</f>
        <v>140.60350126937885</v>
      </c>
      <c r="T65" s="2228">
        <f>IF('Annual Parameters Source'!T66="","-",'Annual Parameters Source'!T66)</f>
        <v>1.0853277228143998</v>
      </c>
      <c r="U65" s="2228">
        <f>IF('Annual Parameters Source'!U66="","-",'Annual Parameters Source'!U66)</f>
        <v>1.0853277228143998</v>
      </c>
      <c r="V65" s="2230">
        <f>IF('Annual Parameters Source'!V66="","-",'Annual Parameters Source'!V66)</f>
        <v>120.15193460059413</v>
      </c>
      <c r="W65" s="2231">
        <f>IF('Annual Parameters Source'!W66="","-",'Annual Parameters Source'!W66)</f>
        <v>120.15193460059413</v>
      </c>
    </row>
    <row r="66" spans="1:23" ht="12" customHeight="1">
      <c r="A66" s="2226"/>
      <c r="B66" s="2166">
        <v>2023</v>
      </c>
      <c r="C66" s="2189"/>
      <c r="D66" s="2227">
        <f>IF('Annual Parameters Source'!D67="","-",'Annual Parameters Source'!D67/VLOOKUP($B$14,'Annual Parameters Source'!$B$34:$D$144,3,1)*100)</f>
        <v>126.01780140580099</v>
      </c>
      <c r="E66" s="2163" t="str">
        <f>IF('Annual Parameters Source'!E67="","-",'Annual Parameters Source'!E67)</f>
        <v>-</v>
      </c>
      <c r="F66" s="2228">
        <f>IF('Annual Parameters Source'!F67="","-",'Annual Parameters Source'!F67)</f>
        <v>1.5953474484729071</v>
      </c>
      <c r="G66" s="2229">
        <f>IF('Annual Parameters Source'!G67="","-",'Annual Parameters Source'!G67)</f>
        <v>188.30090964626993</v>
      </c>
      <c r="H66" s="2163" t="str">
        <f>IF('Annual Parameters Source'!H67="","-",'Annual Parameters Source'!H67)</f>
        <v>-</v>
      </c>
      <c r="I66" s="2228">
        <f>IF('Annual Parameters Source'!I67="","-",'Annual Parameters Source'!I67)</f>
        <v>0.48295369999999999</v>
      </c>
      <c r="J66" s="2229">
        <f>IF('Annual Parameters Source'!J67="","-",'Annual Parameters Source'!J67)</f>
        <v>119.28879361228846</v>
      </c>
      <c r="K66" s="2163" t="str">
        <f>IF('Annual Parameters Source'!K67="","-",'Annual Parameters Source'!K67)</f>
        <v>-</v>
      </c>
      <c r="L66" s="2228">
        <f>IF('Annual Parameters Source'!L67="","-",'Annual Parameters Source'!L67)</f>
        <v>0.69714485899456946</v>
      </c>
      <c r="M66" s="2229">
        <f>IF('Annual Parameters Source'!M67="","-",'Annual Parameters Source'!M67)</f>
        <v>119.48246138706608</v>
      </c>
      <c r="N66" s="2163" t="str">
        <f>IF('Annual Parameters Source'!N67="","-",'Annual Parameters Source'!N67)</f>
        <v>-</v>
      </c>
      <c r="O66" s="2228">
        <f>IF('Annual Parameters Source'!O67="","-",'Annual Parameters Source'!O67)</f>
        <v>1.1070472229489425</v>
      </c>
      <c r="P66" s="2229">
        <f>IF('Annual Parameters Source'!P67="","-",'Annual Parameters Source'!P67)</f>
        <v>157.85297507348778</v>
      </c>
      <c r="Q66" s="2163" t="str">
        <f>IF('Annual Parameters Source'!Q67="","-",'Annual Parameters Source'!Q67)</f>
        <v>-</v>
      </c>
      <c r="R66" s="2228">
        <f>IF('Annual Parameters Source'!R67="","-",'Annual Parameters Source'!R67)</f>
        <v>0.89198416771010258</v>
      </c>
      <c r="S66" s="2229">
        <f>IF('Annual Parameters Source'!S67="","-",'Annual Parameters Source'!S67)</f>
        <v>141.85766223994779</v>
      </c>
      <c r="T66" s="2228">
        <f>IF('Annual Parameters Source'!T67="","-",'Annual Parameters Source'!T67)</f>
        <v>1.1070472229489425</v>
      </c>
      <c r="U66" s="2228">
        <f>IF('Annual Parameters Source'!U67="","-",'Annual Parameters Source'!U67)</f>
        <v>1.1070472229489425</v>
      </c>
      <c r="V66" s="2230">
        <f>IF('Annual Parameters Source'!V67="","-",'Annual Parameters Source'!V67)</f>
        <v>121.48207325590944</v>
      </c>
      <c r="W66" s="2231">
        <f>IF('Annual Parameters Source'!W67="","-",'Annual Parameters Source'!W67)</f>
        <v>121.48207325590944</v>
      </c>
    </row>
    <row r="67" spans="1:23" ht="12" customHeight="1">
      <c r="A67" s="2226"/>
      <c r="B67" s="2166">
        <v>2024</v>
      </c>
      <c r="C67" s="2189"/>
      <c r="D67" s="2227">
        <f>IF('Annual Parameters Source'!D68="","-",'Annual Parameters Source'!D68/VLOOKUP($B$14,'Annual Parameters Source'!$B$34:$D$144,3,1)*100)</f>
        <v>128.91621083813442</v>
      </c>
      <c r="E67" s="2163" t="str">
        <f>IF('Annual Parameters Source'!E68="","-",'Annual Parameters Source'!E68)</f>
        <v>-</v>
      </c>
      <c r="F67" s="2228">
        <f>IF('Annual Parameters Source'!F68="","-",'Annual Parameters Source'!F68)</f>
        <v>1.7524672646814343</v>
      </c>
      <c r="G67" s="2229">
        <f>IF('Annual Parameters Source'!G68="","-",'Annual Parameters Source'!G68)</f>
        <v>191.60082144691816</v>
      </c>
      <c r="H67" s="2163" t="str">
        <f>IF('Annual Parameters Source'!H68="","-",'Annual Parameters Source'!H68)</f>
        <v>-</v>
      </c>
      <c r="I67" s="2228">
        <f>IF('Annual Parameters Source'!I68="","-",'Annual Parameters Source'!I68)</f>
        <v>0.47216265999999996</v>
      </c>
      <c r="J67" s="2229">
        <f>IF('Annual Parameters Source'!J68="","-",'Annual Parameters Source'!J68)</f>
        <v>119.85203075329015</v>
      </c>
      <c r="K67" s="2163" t="str">
        <f>IF('Annual Parameters Source'!K68="","-",'Annual Parameters Source'!K68)</f>
        <v>-</v>
      </c>
      <c r="L67" s="2228">
        <f>IF('Annual Parameters Source'!L68="","-",'Annual Parameters Source'!L68)</f>
        <v>0.68536042304481182</v>
      </c>
      <c r="M67" s="2229">
        <f>IF('Annual Parameters Source'!M68="","-",'Annual Parameters Source'!M68)</f>
        <v>120.30134688989283</v>
      </c>
      <c r="N67" s="2163" t="str">
        <f>IF('Annual Parameters Source'!N68="","-",'Annual Parameters Source'!N68)</f>
        <v>-</v>
      </c>
      <c r="O67" s="2228">
        <f>IF('Annual Parameters Source'!O68="","-",'Annual Parameters Source'!O68)</f>
        <v>1.2742878930694479</v>
      </c>
      <c r="P67" s="2229">
        <f>IF('Annual Parameters Source'!P68="","-",'Annual Parameters Source'!P68)</f>
        <v>159.86447642369916</v>
      </c>
      <c r="Q67" s="2163" t="str">
        <f>IF('Annual Parameters Source'!Q68="","-",'Annual Parameters Source'!Q68)</f>
        <v>-</v>
      </c>
      <c r="R67" s="2228">
        <f>IF('Annual Parameters Source'!R68="","-",'Annual Parameters Source'!R68)</f>
        <v>1.0598430965067962</v>
      </c>
      <c r="S67" s="2229">
        <f>IF('Annual Parameters Source'!S68="","-",'Annual Parameters Source'!S68)</f>
        <v>143.3611308800638</v>
      </c>
      <c r="T67" s="2228">
        <f>IF('Annual Parameters Source'!T68="","-",'Annual Parameters Source'!T68)</f>
        <v>1.2742878930694479</v>
      </c>
      <c r="U67" s="2228">
        <f>IF('Annual Parameters Source'!U68="","-",'Annual Parameters Source'!U68)</f>
        <v>1.2742878930694479</v>
      </c>
      <c r="V67" s="2230">
        <f>IF('Annual Parameters Source'!V68="","-",'Annual Parameters Source'!V68)</f>
        <v>123.03010460765925</v>
      </c>
      <c r="W67" s="2231">
        <f>IF('Annual Parameters Source'!W68="","-",'Annual Parameters Source'!W68)</f>
        <v>123.03010460765925</v>
      </c>
    </row>
    <row r="68" spans="1:23" ht="10.199999999999999" customHeight="1">
      <c r="A68" s="2226"/>
      <c r="B68" s="2166">
        <v>2025</v>
      </c>
      <c r="C68" s="2189"/>
      <c r="D68" s="2227">
        <f>IF('Annual Parameters Source'!D69="","-",'Annual Parameters Source'!D69/VLOOKUP($B$14,'Annual Parameters Source'!$B$34:$D$144,3,1)*100)</f>
        <v>131.8812836874115</v>
      </c>
      <c r="E68" s="2163" t="str">
        <f>IF('Annual Parameters Source'!E69="","-",'Annual Parameters Source'!E69)</f>
        <v>-</v>
      </c>
      <c r="F68" s="2228">
        <f>IF('Annual Parameters Source'!F69="","-",'Annual Parameters Source'!F69)</f>
        <v>1.8885439459211728</v>
      </c>
      <c r="G68" s="2229">
        <f>IF('Annual Parameters Source'!G69="","-",'Annual Parameters Source'!G69)</f>
        <v>195.21928716068916</v>
      </c>
      <c r="H68" s="2163" t="str">
        <f>IF('Annual Parameters Source'!H69="","-",'Annual Parameters Source'!H69)</f>
        <v>-</v>
      </c>
      <c r="I68" s="2228">
        <f>IF('Annual Parameters Source'!I69="","-",'Annual Parameters Source'!I69)</f>
        <v>0.45980559999999998</v>
      </c>
      <c r="J68" s="2229">
        <f>IF('Annual Parameters Source'!J69="","-",'Annual Parameters Source'!J69)</f>
        <v>120.40311710240751</v>
      </c>
      <c r="K68" s="2163" t="str">
        <f>IF('Annual Parameters Source'!K69="","-",'Annual Parameters Source'!K69)</f>
        <v>-</v>
      </c>
      <c r="L68" s="2228">
        <f>IF('Annual Parameters Source'!L69="","-",'Annual Parameters Source'!L69)</f>
        <v>0.65650806813861706</v>
      </c>
      <c r="M68" s="2229">
        <f>IF('Annual Parameters Source'!M69="","-",'Annual Parameters Source'!M69)</f>
        <v>121.09113493830441</v>
      </c>
      <c r="N68" s="2163" t="str">
        <f>IF('Annual Parameters Source'!N69="","-",'Annual Parameters Source'!N69)</f>
        <v>-</v>
      </c>
      <c r="O68" s="2228">
        <f>IF('Annual Parameters Source'!O69="","-",'Annual Parameters Source'!O69)</f>
        <v>1.4221989952976521</v>
      </c>
      <c r="P68" s="2229">
        <f>IF('Annual Parameters Source'!P69="","-",'Annual Parameters Source'!P69)</f>
        <v>162.13806740123485</v>
      </c>
      <c r="Q68" s="2163" t="str">
        <f>IF('Annual Parameters Source'!Q69="","-",'Annual Parameters Source'!Q69)</f>
        <v>-</v>
      </c>
      <c r="R68" s="2228">
        <f>IF('Annual Parameters Source'!R69="","-",'Annual Parameters Source'!R69)</f>
        <v>1.2240002175999631</v>
      </c>
      <c r="S68" s="2229">
        <f>IF('Annual Parameters Source'!S69="","-",'Annual Parameters Source'!S69)</f>
        <v>145.11587143398955</v>
      </c>
      <c r="T68" s="2228">
        <f>IF('Annual Parameters Source'!T69="","-",'Annual Parameters Source'!T69)</f>
        <v>1.4221989952976521</v>
      </c>
      <c r="U68" s="2228">
        <f>IF('Annual Parameters Source'!U69="","-",'Annual Parameters Source'!U69)</f>
        <v>1.4221989952976521</v>
      </c>
      <c r="V68" s="2230">
        <f>IF('Annual Parameters Source'!V69="","-",'Annual Parameters Source'!V69)</f>
        <v>124.77983751930303</v>
      </c>
      <c r="W68" s="2231">
        <f>IF('Annual Parameters Source'!W69="","-",'Annual Parameters Source'!W69)</f>
        <v>124.77983751930303</v>
      </c>
    </row>
    <row r="69" spans="1:23" ht="13.5" hidden="1" customHeight="1">
      <c r="A69" s="2226"/>
      <c r="B69" s="2166">
        <v>2026</v>
      </c>
      <c r="C69" s="2189"/>
      <c r="D69" s="2227">
        <f>IF('Annual Parameters Source'!D70="","-",'Annual Parameters Source'!D70/VLOOKUP($B$14,'Annual Parameters Source'!$B$34:$D$144,3,1)*100)</f>
        <v>134.91455321222193</v>
      </c>
      <c r="E69" s="2163" t="str">
        <f>IF('Annual Parameters Source'!E70="","-",'Annual Parameters Source'!E70)</f>
        <v>-</v>
      </c>
      <c r="F69" s="2228">
        <f>IF('Annual Parameters Source'!F70="","-",'Annual Parameters Source'!F70)</f>
        <v>1.9977861128138708</v>
      </c>
      <c r="G69" s="2229">
        <f>IF('Annual Parameters Source'!G70="","-",'Annual Parameters Source'!G70)</f>
        <v>199.11935096911964</v>
      </c>
      <c r="H69" s="2163" t="str">
        <f>IF('Annual Parameters Source'!H70="","-",'Annual Parameters Source'!H70)</f>
        <v>-</v>
      </c>
      <c r="I69" s="2228">
        <f>IF('Annual Parameters Source'!I70="","-",'Annual Parameters Source'!I70)</f>
        <v>0.44605840000000002</v>
      </c>
      <c r="J69" s="2229">
        <f>IF('Annual Parameters Source'!J70="","-",'Annual Parameters Source'!J70)</f>
        <v>120.94018532010463</v>
      </c>
      <c r="K69" s="2163" t="str">
        <f>IF('Annual Parameters Source'!K70="","-",'Annual Parameters Source'!K70)</f>
        <v>-</v>
      </c>
      <c r="L69" s="2228">
        <f>IF('Annual Parameters Source'!L70="","-",'Annual Parameters Source'!L70)</f>
        <v>0.64536061240603182</v>
      </c>
      <c r="M69" s="2229">
        <f>IF('Annual Parameters Source'!M70="","-",'Annual Parameters Source'!M70)</f>
        <v>121.87260942831166</v>
      </c>
      <c r="N69" s="2163" t="str">
        <f>IF('Annual Parameters Source'!N70="","-",'Annual Parameters Source'!N70)</f>
        <v>-</v>
      </c>
      <c r="O69" s="2228">
        <f>IF('Annual Parameters Source'!O70="","-",'Annual Parameters Source'!O70)</f>
        <v>1.5448368383301991</v>
      </c>
      <c r="P69" s="2229">
        <f>IF('Annual Parameters Source'!P70="","-",'Annual Parameters Source'!P70)</f>
        <v>164.64283599540576</v>
      </c>
      <c r="Q69" s="2163" t="str">
        <f>IF('Annual Parameters Source'!Q70="","-",'Annual Parameters Source'!Q70)</f>
        <v>-</v>
      </c>
      <c r="R69" s="2228">
        <f>IF('Annual Parameters Source'!R70="","-",'Annual Parameters Source'!R70)</f>
        <v>1.3437534449463051</v>
      </c>
      <c r="S69" s="2229">
        <f>IF('Annual Parameters Source'!S70="","-",'Annual Parameters Source'!S70)</f>
        <v>147.06587095554764</v>
      </c>
      <c r="T69" s="2228">
        <f>IF('Annual Parameters Source'!T70="","-",'Annual Parameters Source'!T70)</f>
        <v>1.5448368383301991</v>
      </c>
      <c r="U69" s="2228">
        <f>IF('Annual Parameters Source'!U70="","-",'Annual Parameters Source'!U70)</f>
        <v>1.5448368383301991</v>
      </c>
      <c r="V69" s="2230">
        <f>IF('Annual Parameters Source'!V70="","-",'Annual Parameters Source'!V70)</f>
        <v>126.70748241610978</v>
      </c>
      <c r="W69" s="2231">
        <f>IF('Annual Parameters Source'!W70="","-",'Annual Parameters Source'!W70)</f>
        <v>126.70748241610978</v>
      </c>
    </row>
    <row r="70" spans="1:23" ht="13.5" hidden="1" customHeight="1">
      <c r="A70" s="2226"/>
      <c r="B70" s="2166">
        <v>2027</v>
      </c>
      <c r="C70" s="2189"/>
      <c r="D70" s="2227">
        <f>IF('Annual Parameters Source'!D71="","-",'Annual Parameters Source'!D71/VLOOKUP($B$14,'Annual Parameters Source'!$B$34:$D$144,3,1)*100)</f>
        <v>138.01758793610304</v>
      </c>
      <c r="E70" s="2163" t="str">
        <f>IF('Annual Parameters Source'!E71="","-",'Annual Parameters Source'!E71)</f>
        <v>-</v>
      </c>
      <c r="F70" s="2228">
        <f>IF('Annual Parameters Source'!F71="","-",'Annual Parameters Source'!F71)</f>
        <v>2.0939757825622074</v>
      </c>
      <c r="G70" s="2229">
        <f>IF('Annual Parameters Source'!G71="","-",'Annual Parameters Source'!G71)</f>
        <v>203.28886195680806</v>
      </c>
      <c r="H70" s="2163" t="str">
        <f>IF('Annual Parameters Source'!H71="","-",'Annual Parameters Source'!H71)</f>
        <v>-</v>
      </c>
      <c r="I70" s="2228">
        <f>IF('Annual Parameters Source'!I71="","-",'Annual Parameters Source'!I71)</f>
        <v>0.43102056999999999</v>
      </c>
      <c r="J70" s="2229">
        <f>IF('Annual Parameters Source'!J71="","-",'Annual Parameters Source'!J71)</f>
        <v>121.4614623962304</v>
      </c>
      <c r="K70" s="2163" t="str">
        <f>IF('Annual Parameters Source'!K71="","-",'Annual Parameters Source'!K71)</f>
        <v>-</v>
      </c>
      <c r="L70" s="2228">
        <f>IF('Annual Parameters Source'!L71="","-",'Annual Parameters Source'!L71)</f>
        <v>0.65827620314471424</v>
      </c>
      <c r="M70" s="2229">
        <f>IF('Annual Parameters Source'!M71="","-",'Annual Parameters Source'!M71)</f>
        <v>122.67486781432973</v>
      </c>
      <c r="N70" s="2163" t="str">
        <f>IF('Annual Parameters Source'!N71="","-",'Annual Parameters Source'!N71)</f>
        <v>-</v>
      </c>
      <c r="O70" s="2228">
        <f>IF('Annual Parameters Source'!O71="","-",'Annual Parameters Source'!O71)</f>
        <v>1.6558182951084799</v>
      </c>
      <c r="P70" s="2229">
        <f>IF('Annual Parameters Source'!P71="","-",'Annual Parameters Source'!P71)</f>
        <v>167.36902219540312</v>
      </c>
      <c r="Q70" s="2163" t="str">
        <f>IF('Annual Parameters Source'!Q71="","-",'Annual Parameters Source'!Q71)</f>
        <v>-</v>
      </c>
      <c r="R70" s="2228">
        <f>IF('Annual Parameters Source'!R71="","-",'Annual Parameters Source'!R71)</f>
        <v>1.4263105167030998</v>
      </c>
      <c r="S70" s="2229">
        <f>IF('Annual Parameters Source'!S71="","-",'Annual Parameters Source'!S71)</f>
        <v>149.16348693946762</v>
      </c>
      <c r="T70" s="2228">
        <f>IF('Annual Parameters Source'!T71="","-",'Annual Parameters Source'!T71)</f>
        <v>1.6558182951084799</v>
      </c>
      <c r="U70" s="2228">
        <f>IF('Annual Parameters Source'!U71="","-",'Annual Parameters Source'!U71)</f>
        <v>1.6558182951084799</v>
      </c>
      <c r="V70" s="2230">
        <f>IF('Annual Parameters Source'!V71="","-",'Annual Parameters Source'!V71)</f>
        <v>128.8055280912271</v>
      </c>
      <c r="W70" s="2231">
        <f>IF('Annual Parameters Source'!W71="","-",'Annual Parameters Source'!W71)</f>
        <v>128.8055280912271</v>
      </c>
    </row>
    <row r="71" spans="1:23" ht="13.5" hidden="1" customHeight="1">
      <c r="A71" s="2226"/>
      <c r="B71" s="2166">
        <v>2028</v>
      </c>
      <c r="C71" s="2189"/>
      <c r="D71" s="2227">
        <f>IF('Annual Parameters Source'!D72="","-",'Annual Parameters Source'!D72/VLOOKUP($B$14,'Annual Parameters Source'!$B$34:$D$144,3,1)*100)</f>
        <v>141.19199245863339</v>
      </c>
      <c r="E71" s="2163" t="str">
        <f>IF('Annual Parameters Source'!E72="","-",'Annual Parameters Source'!E72)</f>
        <v>-</v>
      </c>
      <c r="F71" s="2228">
        <f>IF('Annual Parameters Source'!F72="","-",'Annual Parameters Source'!F72)</f>
        <v>2.1807319135951797</v>
      </c>
      <c r="G71" s="2229">
        <f>IF('Annual Parameters Source'!G72="","-",'Annual Parameters Source'!G72)</f>
        <v>207.72204704628464</v>
      </c>
      <c r="H71" s="2163" t="str">
        <f>IF('Annual Parameters Source'!H72="","-",'Annual Parameters Source'!H72)</f>
        <v>-</v>
      </c>
      <c r="I71" s="2228">
        <f>IF('Annual Parameters Source'!I72="","-",'Annual Parameters Source'!I72)</f>
        <v>0.41517029</v>
      </c>
      <c r="J71" s="2229">
        <f>IF('Annual Parameters Source'!J72="","-",'Annual Parameters Source'!J72)</f>
        <v>121.96573430189909</v>
      </c>
      <c r="K71" s="2163" t="str">
        <f>IF('Annual Parameters Source'!K72="","-",'Annual Parameters Source'!K72)</f>
        <v>-</v>
      </c>
      <c r="L71" s="2228">
        <f>IF('Annual Parameters Source'!L72="","-",'Annual Parameters Source'!L72)</f>
        <v>0.64041745730549771</v>
      </c>
      <c r="M71" s="2229">
        <f>IF('Annual Parameters Source'!M72="","-",'Annual Parameters Source'!M72)</f>
        <v>123.46049908353915</v>
      </c>
      <c r="N71" s="2163" t="str">
        <f>IF('Annual Parameters Source'!N72="","-",'Annual Parameters Source'!N72)</f>
        <v>-</v>
      </c>
      <c r="O71" s="2228">
        <f>IF('Annual Parameters Source'!O72="","-",'Annual Parameters Source'!O72)</f>
        <v>1.7582618428034547</v>
      </c>
      <c r="P71" s="2229">
        <f>IF('Annual Parameters Source'!P72="","-",'Annual Parameters Source'!P72)</f>
        <v>170.31180784933812</v>
      </c>
      <c r="Q71" s="2163" t="str">
        <f>IF('Annual Parameters Source'!Q72="","-",'Annual Parameters Source'!Q72)</f>
        <v>-</v>
      </c>
      <c r="R71" s="2228">
        <f>IF('Annual Parameters Source'!R72="","-",'Annual Parameters Source'!R72)</f>
        <v>1.5305127852268008</v>
      </c>
      <c r="S71" s="2229">
        <f>IF('Annual Parameters Source'!S72="","-",'Annual Parameters Source'!S72)</f>
        <v>151.44645317796628</v>
      </c>
      <c r="T71" s="2228">
        <f>IF('Annual Parameters Source'!T72="","-",'Annual Parameters Source'!T72)</f>
        <v>1.7582618428034547</v>
      </c>
      <c r="U71" s="2228">
        <f>IF('Annual Parameters Source'!U72="","-",'Annual Parameters Source'!U72)</f>
        <v>1.7582618428034547</v>
      </c>
      <c r="V71" s="2230">
        <f>IF('Annual Parameters Source'!V72="","-",'Annual Parameters Source'!V72)</f>
        <v>131.07026654307663</v>
      </c>
      <c r="W71" s="2231">
        <f>IF('Annual Parameters Source'!W72="","-",'Annual Parameters Source'!W72)</f>
        <v>131.07026654307663</v>
      </c>
    </row>
    <row r="72" spans="1:23" ht="13.5" hidden="1" customHeight="1">
      <c r="A72" s="2226"/>
      <c r="B72" s="2166">
        <v>2029</v>
      </c>
      <c r="C72" s="2189"/>
      <c r="D72" s="2227">
        <f>IF('Annual Parameters Source'!D73="","-",'Annual Parameters Source'!D73/VLOOKUP($B$14,'Annual Parameters Source'!$B$34:$D$144,3,1)*100)</f>
        <v>144.43940828518194</v>
      </c>
      <c r="E72" s="2163" t="str">
        <f>IF('Annual Parameters Source'!E73="","-",'Annual Parameters Source'!E73)</f>
        <v>-</v>
      </c>
      <c r="F72" s="2228">
        <f>IF('Annual Parameters Source'!F73="","-",'Annual Parameters Source'!F73)</f>
        <v>2.2114208708839511</v>
      </c>
      <c r="G72" s="2229">
        <f>IF('Annual Parameters Source'!G73="","-",'Annual Parameters Source'!G73)</f>
        <v>212.31565574809355</v>
      </c>
      <c r="H72" s="2163" t="str">
        <f>IF('Annual Parameters Source'!H73="","-",'Annual Parameters Source'!H73)</f>
        <v>-</v>
      </c>
      <c r="I72" s="2228">
        <f>IF('Annual Parameters Source'!I73="","-",'Annual Parameters Source'!I73)</f>
        <v>0.39928774</v>
      </c>
      <c r="J72" s="2229">
        <f>IF('Annual Parameters Source'!J73="","-",'Annual Parameters Source'!J73)</f>
        <v>122.45272852596756</v>
      </c>
      <c r="K72" s="2163" t="str">
        <f>IF('Annual Parameters Source'!K73="","-",'Annual Parameters Source'!K73)</f>
        <v>-</v>
      </c>
      <c r="L72" s="2228">
        <f>IF('Annual Parameters Source'!L73="","-",'Annual Parameters Source'!L73)</f>
        <v>0.61614087067776158</v>
      </c>
      <c r="M72" s="2229">
        <f>IF('Annual Parameters Source'!M73="","-",'Annual Parameters Source'!M73)</f>
        <v>124.22118967753559</v>
      </c>
      <c r="N72" s="2163" t="str">
        <f>IF('Annual Parameters Source'!N73="","-",'Annual Parameters Source'!N73)</f>
        <v>-</v>
      </c>
      <c r="O72" s="2228">
        <f>IF('Annual Parameters Source'!O73="","-",'Annual Parameters Source'!O73)</f>
        <v>1.8049262815257761</v>
      </c>
      <c r="P72" s="2229">
        <f>IF('Annual Parameters Source'!P73="","-",'Annual Parameters Source'!P73)</f>
        <v>173.38581042975252</v>
      </c>
      <c r="Q72" s="2163" t="str">
        <f>IF('Annual Parameters Source'!Q73="","-",'Annual Parameters Source'!Q73)</f>
        <v>-</v>
      </c>
      <c r="R72" s="2228">
        <f>IF('Annual Parameters Source'!R73="","-",'Annual Parameters Source'!R73)</f>
        <v>1.5855110188101929</v>
      </c>
      <c r="S72" s="2229">
        <f>IF('Annual Parameters Source'!S73="","-",'Annual Parameters Source'!S73)</f>
        <v>153.84765338070017</v>
      </c>
      <c r="T72" s="2228">
        <f>IF('Annual Parameters Source'!T73="","-",'Annual Parameters Source'!T73)</f>
        <v>1.8049262815257761</v>
      </c>
      <c r="U72" s="2228">
        <f>IF('Annual Parameters Source'!U73="","-",'Annual Parameters Source'!U73)</f>
        <v>1.8049262815257761</v>
      </c>
      <c r="V72" s="2230">
        <f>IF('Annual Parameters Source'!V73="","-",'Annual Parameters Source'!V73)</f>
        <v>133.4359882311785</v>
      </c>
      <c r="W72" s="2231">
        <f>IF('Annual Parameters Source'!W73="","-",'Annual Parameters Source'!W73)</f>
        <v>133.4359882311785</v>
      </c>
    </row>
    <row r="73" spans="1:23" ht="13.5" customHeight="1">
      <c r="A73" s="2226"/>
      <c r="B73" s="2166">
        <v>2030</v>
      </c>
      <c r="C73" s="2189"/>
      <c r="D73" s="2227">
        <f>IF('Annual Parameters Source'!D74="","-",'Annual Parameters Source'!D74/VLOOKUP($B$14,'Annual Parameters Source'!$B$34:$D$144,3,1)*100)</f>
        <v>147.76151467574113</v>
      </c>
      <c r="E73" s="2163" t="str">
        <f>IF('Annual Parameters Source'!E74="","-",'Annual Parameters Source'!E74)</f>
        <v>-</v>
      </c>
      <c r="F73" s="2228">
        <f>IF('Annual Parameters Source'!F74="","-",'Annual Parameters Source'!F74)</f>
        <v>2.2905548740240533</v>
      </c>
      <c r="G73" s="2229">
        <f>IF('Annual Parameters Source'!G74="","-",'Annual Parameters Source'!G74)</f>
        <v>217.17886234914764</v>
      </c>
      <c r="H73" s="2163" t="str">
        <f>IF('Annual Parameters Source'!H74="","-",'Annual Parameters Source'!H74)</f>
        <v>-</v>
      </c>
      <c r="I73" s="2228">
        <f>IF('Annual Parameters Source'!I74="","-",'Annual Parameters Source'!I74)</f>
        <v>0.38384973999999999</v>
      </c>
      <c r="J73" s="2229">
        <f>IF('Annual Parameters Source'!J74="","-",'Annual Parameters Source'!J74)</f>
        <v>122.92276300603739</v>
      </c>
      <c r="K73" s="2163" t="str">
        <f>IF('Annual Parameters Source'!K74="","-",'Annual Parameters Source'!K74)</f>
        <v>-</v>
      </c>
      <c r="L73" s="2228">
        <f>IF('Annual Parameters Source'!L74="","-",'Annual Parameters Source'!L74)</f>
        <v>0.59898273323517603</v>
      </c>
      <c r="M73" s="2229">
        <f>IF('Annual Parameters Source'!M74="","-",'Annual Parameters Source'!M74)</f>
        <v>124.96525315472334</v>
      </c>
      <c r="N73" s="2163" t="str">
        <f>IF('Annual Parameters Source'!N74="","-",'Annual Parameters Source'!N74)</f>
        <v>-</v>
      </c>
      <c r="O73" s="2228">
        <f>IF('Annual Parameters Source'!O74="","-",'Annual Parameters Source'!O74)</f>
        <v>1.8994142374122225</v>
      </c>
      <c r="P73" s="2229">
        <f>IF('Annual Parameters Source'!P74="","-",'Annual Parameters Source'!P74)</f>
        <v>176.67912519870779</v>
      </c>
      <c r="Q73" s="2163" t="str">
        <f>IF('Annual Parameters Source'!Q74="","-",'Annual Parameters Source'!Q74)</f>
        <v>-</v>
      </c>
      <c r="R73" s="2228">
        <f>IF('Annual Parameters Source'!R74="","-",'Annual Parameters Source'!R74)</f>
        <v>1.6815002446640248</v>
      </c>
      <c r="S73" s="2229">
        <f>IF('Annual Parameters Source'!S74="","-",'Annual Parameters Source'!S74)</f>
        <v>156.43460204870649</v>
      </c>
      <c r="T73" s="2228">
        <f>IF('Annual Parameters Source'!T74="","-",'Annual Parameters Source'!T74)</f>
        <v>1.8994142374122225</v>
      </c>
      <c r="U73" s="2228">
        <f>IF('Annual Parameters Source'!U74="","-",'Annual Parameters Source'!U74)</f>
        <v>1.8994142374122225</v>
      </c>
      <c r="V73" s="2230">
        <f>IF('Annual Parameters Source'!V74="","-",'Annual Parameters Source'!V74)</f>
        <v>135.97049038947321</v>
      </c>
      <c r="W73" s="2231">
        <f>IF('Annual Parameters Source'!W74="","-",'Annual Parameters Source'!W74)</f>
        <v>135.97049038947321</v>
      </c>
    </row>
    <row r="74" spans="1:23" ht="13.5" hidden="1" customHeight="1">
      <c r="A74" s="2226"/>
      <c r="B74" s="2166">
        <v>2031</v>
      </c>
      <c r="C74" s="2189"/>
      <c r="D74" s="2227">
        <f>IF('Annual Parameters Source'!D75="","-",'Annual Parameters Source'!D75/VLOOKUP($B$14,'Annual Parameters Source'!$B$34:$D$144,3,1)*100)</f>
        <v>151.16002951328312</v>
      </c>
      <c r="E74" s="2163" t="str">
        <f>IF('Annual Parameters Source'!E75="","-",'Annual Parameters Source'!E75)</f>
        <v>-</v>
      </c>
      <c r="F74" s="2228">
        <f>IF('Annual Parameters Source'!F75="","-",'Annual Parameters Source'!F75)</f>
        <v>2.2702156641901006</v>
      </c>
      <c r="G74" s="2229">
        <f>IF('Annual Parameters Source'!G75="","-",'Annual Parameters Source'!G75)</f>
        <v>222.10929090150785</v>
      </c>
      <c r="H74" s="2163" t="str">
        <f>IF('Annual Parameters Source'!H75="","-",'Annual Parameters Source'!H75)</f>
        <v>-</v>
      </c>
      <c r="I74" s="2228">
        <f>IF('Annual Parameters Source'!I75="","-",'Annual Parameters Source'!I75)</f>
        <v>0.36905241</v>
      </c>
      <c r="J74" s="2229">
        <f>IF('Annual Parameters Source'!J75="","-",'Annual Parameters Source'!J75)</f>
        <v>123.37641242534976</v>
      </c>
      <c r="K74" s="2163" t="str">
        <f>IF('Annual Parameters Source'!K75="","-",'Annual Parameters Source'!K75)</f>
        <v>-</v>
      </c>
      <c r="L74" s="2228">
        <f>IF('Annual Parameters Source'!L75="","-",'Annual Parameters Source'!L75)</f>
        <v>0.6020689884575825</v>
      </c>
      <c r="M74" s="2229">
        <f>IF('Annual Parameters Source'!M75="","-",'Annual Parameters Source'!M75)</f>
        <v>125.71763019031545</v>
      </c>
      <c r="N74" s="2163" t="str">
        <f>IF('Annual Parameters Source'!N75="","-",'Annual Parameters Source'!N75)</f>
        <v>-</v>
      </c>
      <c r="O74" s="2228">
        <f>IF('Annual Parameters Source'!O75="","-",'Annual Parameters Source'!O75)</f>
        <v>1.8941727639551598</v>
      </c>
      <c r="P74" s="2229">
        <f>IF('Annual Parameters Source'!P75="","-",'Annual Parameters Source'!P75)</f>
        <v>180.02573306781596</v>
      </c>
      <c r="Q74" s="2163" t="str">
        <f>IF('Annual Parameters Source'!Q75="","-",'Annual Parameters Source'!Q75)</f>
        <v>-</v>
      </c>
      <c r="R74" s="2228">
        <f>IF('Annual Parameters Source'!R75="","-",'Annual Parameters Source'!R75)</f>
        <v>1.6581633881942448</v>
      </c>
      <c r="S74" s="2229">
        <f>IF('Annual Parameters Source'!S75="","-",'Annual Parameters Source'!S75)</f>
        <v>159.02854334634551</v>
      </c>
      <c r="T74" s="2228">
        <f>IF('Annual Parameters Source'!T75="","-",'Annual Parameters Source'!T75)</f>
        <v>1.8941727639551598</v>
      </c>
      <c r="U74" s="2228">
        <f>IF('Annual Parameters Source'!U75="","-",'Annual Parameters Source'!U75)</f>
        <v>1.8941727639551598</v>
      </c>
      <c r="V74" s="2230">
        <f>IF('Annual Parameters Source'!V75="","-",'Annual Parameters Source'!V75)</f>
        <v>138.54600638544687</v>
      </c>
      <c r="W74" s="2231">
        <f>IF('Annual Parameters Source'!W75="","-",'Annual Parameters Source'!W75)</f>
        <v>138.54600638544687</v>
      </c>
    </row>
    <row r="75" spans="1:23" ht="13.5" hidden="1" customHeight="1">
      <c r="A75" s="2226"/>
      <c r="B75" s="2166">
        <v>2032</v>
      </c>
      <c r="C75" s="2189"/>
      <c r="D75" s="2227">
        <f>IF('Annual Parameters Source'!D76="","-",'Annual Parameters Source'!D76/VLOOKUP($B$14,'Annual Parameters Source'!$B$34:$D$144,3,1)*100)</f>
        <v>154.63671019208866</v>
      </c>
      <c r="E75" s="2163" t="str">
        <f>IF('Annual Parameters Source'!E76="","-",'Annual Parameters Source'!E76)</f>
        <v>-</v>
      </c>
      <c r="F75" s="2228">
        <f>IF('Annual Parameters Source'!F76="","-",'Annual Parameters Source'!F76)</f>
        <v>2.2472264881572057</v>
      </c>
      <c r="G75" s="2229">
        <f>IF('Annual Parameters Source'!G76="","-",'Annual Parameters Source'!G76)</f>
        <v>227.10058971930471</v>
      </c>
      <c r="H75" s="2163" t="str">
        <f>IF('Annual Parameters Source'!H76="","-",'Annual Parameters Source'!H76)</f>
        <v>-</v>
      </c>
      <c r="I75" s="2228">
        <f>IF('Annual Parameters Source'!I76="","-",'Annual Parameters Source'!I76)</f>
        <v>0.35518225999999997</v>
      </c>
      <c r="J75" s="2229">
        <f>IF('Annual Parameters Source'!J76="","-",'Annual Parameters Source'!J76)</f>
        <v>123.81462355530904</v>
      </c>
      <c r="K75" s="2163" t="str">
        <f>IF('Annual Parameters Source'!K76="","-",'Annual Parameters Source'!K76)</f>
        <v>-</v>
      </c>
      <c r="L75" s="2228">
        <f>IF('Annual Parameters Source'!L76="","-",'Annual Parameters Source'!L76)</f>
        <v>0.59185292950667545</v>
      </c>
      <c r="M75" s="2229">
        <f>IF('Annual Parameters Source'!M76="","-",'Annual Parameters Source'!M76)</f>
        <v>126.46169366750318</v>
      </c>
      <c r="N75" s="2163" t="str">
        <f>IF('Annual Parameters Source'!N76="","-",'Annual Parameters Source'!N76)</f>
        <v>-</v>
      </c>
      <c r="O75" s="2228">
        <f>IF('Annual Parameters Source'!O76="","-",'Annual Parameters Source'!O76)</f>
        <v>1.8853478072067054</v>
      </c>
      <c r="P75" s="2229">
        <f>IF('Annual Parameters Source'!P76="","-",'Annual Parameters Source'!P76)</f>
        <v>183.41984427861783</v>
      </c>
      <c r="Q75" s="2163" t="str">
        <f>IF('Annual Parameters Source'!Q76="","-",'Annual Parameters Source'!Q76)</f>
        <v>-</v>
      </c>
      <c r="R75" s="2228">
        <f>IF('Annual Parameters Source'!R76="","-",'Annual Parameters Source'!R76)</f>
        <v>1.6456338266386261</v>
      </c>
      <c r="S75" s="2229">
        <f>IF('Annual Parameters Source'!S76="","-",'Annual Parameters Source'!S76)</f>
        <v>161.64557084966364</v>
      </c>
      <c r="T75" s="2228">
        <f>IF('Annual Parameters Source'!T76="","-",'Annual Parameters Source'!T76)</f>
        <v>1.8853478072067054</v>
      </c>
      <c r="U75" s="2228">
        <f>IF('Annual Parameters Source'!U76="","-",'Annual Parameters Source'!U76)</f>
        <v>1.8853478072067054</v>
      </c>
      <c r="V75" s="2230">
        <f>IF('Annual Parameters Source'!V76="","-",'Annual Parameters Source'!V76)</f>
        <v>141.15808047880736</v>
      </c>
      <c r="W75" s="2231">
        <f>IF('Annual Parameters Source'!W76="","-",'Annual Parameters Source'!W76)</f>
        <v>141.15808047880736</v>
      </c>
    </row>
    <row r="76" spans="1:23" ht="13.5" hidden="1" customHeight="1">
      <c r="A76" s="2226"/>
      <c r="B76" s="2166">
        <v>2033</v>
      </c>
      <c r="C76" s="2189"/>
      <c r="D76" s="2227">
        <f>IF('Annual Parameters Source'!D77="","-",'Annual Parameters Source'!D77/VLOOKUP($B$14,'Annual Parameters Source'!$B$34:$D$144,3,1)*100)</f>
        <v>158.19335452650668</v>
      </c>
      <c r="E76" s="2163" t="str">
        <f>IF('Annual Parameters Source'!E77="","-",'Annual Parameters Source'!E77)</f>
        <v>-</v>
      </c>
      <c r="F76" s="2228">
        <f>IF('Annual Parameters Source'!F77="","-",'Annual Parameters Source'!F77)</f>
        <v>2.2183604988560868</v>
      </c>
      <c r="G76" s="2229">
        <f>IF('Annual Parameters Source'!G77="","-",'Annual Parameters Source'!G77)</f>
        <v>232.13849949430698</v>
      </c>
      <c r="H76" s="2163" t="str">
        <f>IF('Annual Parameters Source'!H77="","-",'Annual Parameters Source'!H77)</f>
        <v>-</v>
      </c>
      <c r="I76" s="2228">
        <f>IF('Annual Parameters Source'!I77="","-",'Annual Parameters Source'!I77)</f>
        <v>0.34255393000000001</v>
      </c>
      <c r="J76" s="2229">
        <f>IF('Annual Parameters Source'!J77="","-",'Annual Parameters Source'!J77)</f>
        <v>124.23875541421245</v>
      </c>
      <c r="K76" s="2163" t="str">
        <f>IF('Annual Parameters Source'!K77="","-",'Annual Parameters Source'!K77)</f>
        <v>-</v>
      </c>
      <c r="L76" s="2228">
        <f>IF('Annual Parameters Source'!L77="","-",'Annual Parameters Source'!L77)</f>
        <v>0.58179666699536003</v>
      </c>
      <c r="M76" s="2229">
        <f>IF('Annual Parameters Source'!M77="","-",'Annual Parameters Source'!M77)</f>
        <v>127.1974435862866</v>
      </c>
      <c r="N76" s="2163" t="str">
        <f>IF('Annual Parameters Source'!N77="","-",'Annual Parameters Source'!N77)</f>
        <v>-</v>
      </c>
      <c r="O76" s="2228">
        <f>IF('Annual Parameters Source'!O77="","-",'Annual Parameters Source'!O77)</f>
        <v>1.8694028559056441</v>
      </c>
      <c r="P76" s="2229">
        <f>IF('Annual Parameters Source'!P77="","-",'Annual Parameters Source'!P77)</f>
        <v>186.84870008586</v>
      </c>
      <c r="Q76" s="2163" t="str">
        <f>IF('Annual Parameters Source'!Q77="","-",'Annual Parameters Source'!Q77)</f>
        <v>-</v>
      </c>
      <c r="R76" s="2228">
        <f>IF('Annual Parameters Source'!R77="","-",'Annual Parameters Source'!R77)</f>
        <v>1.627097433225444</v>
      </c>
      <c r="S76" s="2229">
        <f>IF('Annual Parameters Source'!S77="","-",'Annual Parameters Source'!S77)</f>
        <v>164.27570178388112</v>
      </c>
      <c r="T76" s="2228">
        <f>IF('Annual Parameters Source'!T77="","-",'Annual Parameters Source'!T77)</f>
        <v>1.8694028559056441</v>
      </c>
      <c r="U76" s="2228">
        <f>IF('Annual Parameters Source'!U77="","-",'Annual Parameters Source'!U77)</f>
        <v>1.8694028559056441</v>
      </c>
      <c r="V76" s="2230">
        <f>IF('Annual Parameters Source'!V77="","-",'Annual Parameters Source'!V77)</f>
        <v>143.79689366661978</v>
      </c>
      <c r="W76" s="2231">
        <f>IF('Annual Parameters Source'!W77="","-",'Annual Parameters Source'!W77)</f>
        <v>143.79689366661978</v>
      </c>
    </row>
    <row r="77" spans="1:23" ht="13.5" hidden="1" customHeight="1">
      <c r="A77" s="2226"/>
      <c r="B77" s="2166">
        <v>2034</v>
      </c>
      <c r="C77" s="2189"/>
      <c r="D77" s="2227">
        <f>IF('Annual Parameters Source'!D78="","-",'Annual Parameters Source'!D78/VLOOKUP($B$14,'Annual Parameters Source'!$B$34:$D$144,3,1)*100)</f>
        <v>161.83180168061631</v>
      </c>
      <c r="E77" s="2163" t="str">
        <f>IF('Annual Parameters Source'!E78="","-",'Annual Parameters Source'!E78)</f>
        <v>-</v>
      </c>
      <c r="F77" s="2228">
        <f>IF('Annual Parameters Source'!F78="","-",'Annual Parameters Source'!F78)</f>
        <v>2.2174098995324742</v>
      </c>
      <c r="G77" s="2229">
        <f>IF('Annual Parameters Source'!G78="","-",'Annual Parameters Source'!G78)</f>
        <v>237.2859615627199</v>
      </c>
      <c r="H77" s="2163" t="str">
        <f>IF('Annual Parameters Source'!H78="","-",'Annual Parameters Source'!H78)</f>
        <v>-</v>
      </c>
      <c r="I77" s="2228">
        <f>IF('Annual Parameters Source'!I78="","-",'Annual Parameters Source'!I78)</f>
        <v>0.33138637999999998</v>
      </c>
      <c r="J77" s="2229">
        <f>IF('Annual Parameters Source'!J78="","-",'Annual Parameters Source'!J78)</f>
        <v>124.65046572833666</v>
      </c>
      <c r="K77" s="2163" t="str">
        <f>IF('Annual Parameters Source'!K78="","-",'Annual Parameters Source'!K78)</f>
        <v>-</v>
      </c>
      <c r="L77" s="2228">
        <f>IF('Annual Parameters Source'!L78="","-",'Annual Parameters Source'!L78)</f>
        <v>0.56209150326798074</v>
      </c>
      <c r="M77" s="2229">
        <f>IF('Annual Parameters Source'!M78="","-",'Annual Parameters Source'!M78)</f>
        <v>127.9124096090592</v>
      </c>
      <c r="N77" s="2163" t="str">
        <f>IF('Annual Parameters Source'!N78="","-",'Annual Parameters Source'!N78)</f>
        <v>-</v>
      </c>
      <c r="O77" s="2228">
        <f>IF('Annual Parameters Source'!O78="","-",'Annual Parameters Source'!O78)</f>
        <v>1.8797941377878047</v>
      </c>
      <c r="P77" s="2229">
        <f>IF('Annual Parameters Source'!P78="","-",'Annual Parameters Source'!P78)</f>
        <v>190.36107099660668</v>
      </c>
      <c r="Q77" s="2163" t="str">
        <f>IF('Annual Parameters Source'!Q78="","-",'Annual Parameters Source'!Q78)</f>
        <v>-</v>
      </c>
      <c r="R77" s="2228">
        <f>IF('Annual Parameters Source'!R78="","-",'Annual Parameters Source'!R78)</f>
        <v>1.6460659991451188</v>
      </c>
      <c r="S77" s="2229">
        <f>IF('Annual Parameters Source'!S78="","-",'Annual Parameters Source'!S78)</f>
        <v>166.97978825580265</v>
      </c>
      <c r="T77" s="2228">
        <f>IF('Annual Parameters Source'!T78="","-",'Annual Parameters Source'!T78)</f>
        <v>1.8797941377878047</v>
      </c>
      <c r="U77" s="2228">
        <f>IF('Annual Parameters Source'!U78="","-",'Annual Parameters Source'!U78)</f>
        <v>1.8797941377878047</v>
      </c>
      <c r="V77" s="2230">
        <f>IF('Annual Parameters Source'!V78="","-",'Annual Parameters Source'!V78)</f>
        <v>146.49997924408586</v>
      </c>
      <c r="W77" s="2231">
        <f>IF('Annual Parameters Source'!W78="","-",'Annual Parameters Source'!W78)</f>
        <v>146.49997924408586</v>
      </c>
    </row>
    <row r="78" spans="1:23" ht="13.5" customHeight="1">
      <c r="A78" s="2226"/>
      <c r="B78" s="2166">
        <v>2035</v>
      </c>
      <c r="C78" s="2189"/>
      <c r="D78" s="2227">
        <f>IF('Annual Parameters Source'!D79="","-",'Annual Parameters Source'!D79/VLOOKUP($B$14,'Annual Parameters Source'!$B$34:$D$144,3,1)*100)</f>
        <v>165.55393311927048</v>
      </c>
      <c r="E78" s="2163" t="str">
        <f>IF('Annual Parameters Source'!E79="","-",'Annual Parameters Source'!E79)</f>
        <v>-</v>
      </c>
      <c r="F78" s="2228">
        <f>IF('Annual Parameters Source'!F79="","-",'Annual Parameters Source'!F79)</f>
        <v>2.2376296827773423</v>
      </c>
      <c r="G78" s="2229">
        <f>IF('Annual Parameters Source'!G79="","-",'Annual Parameters Source'!G79)</f>
        <v>242.59554267171094</v>
      </c>
      <c r="H78" s="2163" t="str">
        <f>IF('Annual Parameters Source'!H79="","-",'Annual Parameters Source'!H79)</f>
        <v>-</v>
      </c>
      <c r="I78" s="2228">
        <f>IF('Annual Parameters Source'!I79="","-",'Annual Parameters Source'!I79)</f>
        <v>0.32191728000000003</v>
      </c>
      <c r="J78" s="2229">
        <f>IF('Annual Parameters Source'!J79="","-",'Annual Parameters Source'!J79)</f>
        <v>125.05173711711664</v>
      </c>
      <c r="K78" s="2163" t="str">
        <f>IF('Annual Parameters Source'!K79="","-",'Annual Parameters Source'!K79)</f>
        <v>-</v>
      </c>
      <c r="L78" s="2228">
        <f>IF('Annual Parameters Source'!L79="","-",'Annual Parameters Source'!L79)</f>
        <v>0.54595086442219554</v>
      </c>
      <c r="M78" s="2229">
        <f>IF('Annual Parameters Source'!M79="","-",'Annual Parameters Source'!M79)</f>
        <v>128.61074851502312</v>
      </c>
      <c r="N78" s="2163" t="str">
        <f>IF('Annual Parameters Source'!N79="","-",'Annual Parameters Source'!N79)</f>
        <v>-</v>
      </c>
      <c r="O78" s="2228">
        <f>IF('Annual Parameters Source'!O79="","-",'Annual Parameters Source'!O79)</f>
        <v>1.9095651824820647</v>
      </c>
      <c r="P78" s="2229">
        <f>IF('Annual Parameters Source'!P79="","-",'Annual Parameters Source'!P79)</f>
        <v>193.99613972935785</v>
      </c>
      <c r="Q78" s="2163" t="str">
        <f>IF('Annual Parameters Source'!Q79="","-",'Annual Parameters Source'!Q79)</f>
        <v>-</v>
      </c>
      <c r="R78" s="2228">
        <f>IF('Annual Parameters Source'!R79="","-",'Annual Parameters Source'!R79)</f>
        <v>1.6824932320111285</v>
      </c>
      <c r="S78" s="2229">
        <f>IF('Annual Parameters Source'!S79="","-",'Annual Parameters Source'!S79)</f>
        <v>169.78921189203302</v>
      </c>
      <c r="T78" s="2228">
        <f>IF('Annual Parameters Source'!T79="","-",'Annual Parameters Source'!T79)</f>
        <v>1.9095651824820647</v>
      </c>
      <c r="U78" s="2228">
        <f>IF('Annual Parameters Source'!U79="","-",'Annual Parameters Source'!U79)</f>
        <v>1.9095651824820647</v>
      </c>
      <c r="V78" s="2230">
        <f>IF('Annual Parameters Source'!V79="","-",'Annual Parameters Source'!V79)</f>
        <v>149.29749184007437</v>
      </c>
      <c r="W78" s="2231">
        <f>IF('Annual Parameters Source'!W79="","-",'Annual Parameters Source'!W79)</f>
        <v>149.29749184007437</v>
      </c>
    </row>
    <row r="79" spans="1:23" ht="13.5" hidden="1" customHeight="1">
      <c r="A79" s="2226"/>
      <c r="B79" s="2166">
        <v>2036</v>
      </c>
      <c r="C79" s="2189"/>
      <c r="D79" s="2227">
        <f>IF('Annual Parameters Source'!D80="","-",'Annual Parameters Source'!D80/VLOOKUP($B$14,'Annual Parameters Source'!$B$34:$D$144,3,1)*100)</f>
        <v>169.36167358101369</v>
      </c>
      <c r="E79" s="2163" t="str">
        <f>IF('Annual Parameters Source'!E80="","-",'Annual Parameters Source'!E80)</f>
        <v>-</v>
      </c>
      <c r="F79" s="2228">
        <f>IF('Annual Parameters Source'!F80="","-",'Annual Parameters Source'!F80)</f>
        <v>2.2903148503356618</v>
      </c>
      <c r="G79" s="2229">
        <f>IF('Annual Parameters Source'!G80="","-",'Annual Parameters Source'!G80)</f>
        <v>248.15174441177354</v>
      </c>
      <c r="H79" s="2163" t="str">
        <f>IF('Annual Parameters Source'!H80="","-",'Annual Parameters Source'!H80)</f>
        <v>-</v>
      </c>
      <c r="I79" s="2228">
        <f>IF('Annual Parameters Source'!I80="","-",'Annual Parameters Source'!I80)</f>
        <v>0.31420168999999998</v>
      </c>
      <c r="J79" s="2229">
        <f>IF('Annual Parameters Source'!J80="","-",'Annual Parameters Source'!J80)</f>
        <v>125.44465178851299</v>
      </c>
      <c r="K79" s="2163" t="str">
        <f>IF('Annual Parameters Source'!K80="","-",'Annual Parameters Source'!K80)</f>
        <v>-</v>
      </c>
      <c r="L79" s="2228">
        <f>IF('Annual Parameters Source'!L80="","-",'Annual Parameters Source'!L80)</f>
        <v>0.54621848739495604</v>
      </c>
      <c r="M79" s="2229">
        <f>IF('Annual Parameters Source'!M80="","-",'Annual Parameters Source'!M80)</f>
        <v>129.31324420018919</v>
      </c>
      <c r="N79" s="2163" t="str">
        <f>IF('Annual Parameters Source'!N80="","-",'Annual Parameters Source'!N80)</f>
        <v>-</v>
      </c>
      <c r="O79" s="2228">
        <f>IF('Annual Parameters Source'!O80="","-",'Annual Parameters Source'!O80)</f>
        <v>1.9699236270078968</v>
      </c>
      <c r="P79" s="2229">
        <f>IF('Annual Parameters Source'!P80="","-",'Annual Parameters Source'!P80)</f>
        <v>197.81771552136971</v>
      </c>
      <c r="Q79" s="2163" t="str">
        <f>IF('Annual Parameters Source'!Q80="","-",'Annual Parameters Source'!Q80)</f>
        <v>-</v>
      </c>
      <c r="R79" s="2228">
        <f>IF('Annual Parameters Source'!R80="","-",'Annual Parameters Source'!R80)</f>
        <v>1.7346215394061337</v>
      </c>
      <c r="S79" s="2229">
        <f>IF('Annual Parameters Source'!S80="","-",'Annual Parameters Source'!S80)</f>
        <v>172.73441213310016</v>
      </c>
      <c r="T79" s="2228">
        <f>IF('Annual Parameters Source'!T80="","-",'Annual Parameters Source'!T80)</f>
        <v>1.9699236270078968</v>
      </c>
      <c r="U79" s="2228">
        <f>IF('Annual Parameters Source'!U80="","-",'Annual Parameters Source'!U80)</f>
        <v>1.9699236270078968</v>
      </c>
      <c r="V79" s="2230">
        <f>IF('Annual Parameters Source'!V80="","-",'Annual Parameters Source'!V80)</f>
        <v>152.23853840636218</v>
      </c>
      <c r="W79" s="2231">
        <f>IF('Annual Parameters Source'!W80="","-",'Annual Parameters Source'!W80)</f>
        <v>152.23853840636218</v>
      </c>
    </row>
    <row r="80" spans="1:23" ht="13.5" hidden="1" customHeight="1">
      <c r="A80" s="2226"/>
      <c r="B80" s="2166">
        <v>2037</v>
      </c>
      <c r="C80" s="2189"/>
      <c r="D80" s="2227">
        <f>IF('Annual Parameters Source'!D81="","-",'Annual Parameters Source'!D81/VLOOKUP($B$14,'Annual Parameters Source'!$B$34:$D$144,3,1)*100)</f>
        <v>173.25699207337698</v>
      </c>
      <c r="E80" s="2163" t="str">
        <f>IF('Annual Parameters Source'!E81="","-",'Annual Parameters Source'!E81)</f>
        <v>-</v>
      </c>
      <c r="F80" s="2228">
        <f>IF('Annual Parameters Source'!F81="","-",'Annual Parameters Source'!F81)</f>
        <v>2.2970265296322845</v>
      </c>
      <c r="G80" s="2229">
        <f>IF('Annual Parameters Source'!G81="","-",'Annual Parameters Source'!G81)</f>
        <v>253.85185581465728</v>
      </c>
      <c r="H80" s="2163" t="str">
        <f>IF('Annual Parameters Source'!H81="","-",'Annual Parameters Source'!H81)</f>
        <v>-</v>
      </c>
      <c r="I80" s="2228">
        <f>IF('Annual Parameters Source'!I81="","-",'Annual Parameters Source'!I81)</f>
        <v>0.30808342999999999</v>
      </c>
      <c r="J80" s="2229">
        <f>IF('Annual Parameters Source'!J81="","-",'Annual Parameters Source'!J81)</f>
        <v>125.83112597449458</v>
      </c>
      <c r="K80" s="2163" t="str">
        <f>IF('Annual Parameters Source'!K81="","-",'Annual Parameters Source'!K81)</f>
        <v>-</v>
      </c>
      <c r="L80" s="2228">
        <f>IF('Annual Parameters Source'!L81="","-",'Annual Parameters Source'!L81)</f>
        <v>0.52717862997846421</v>
      </c>
      <c r="M80" s="2229">
        <f>IF('Annual Parameters Source'!M81="","-",'Annual Parameters Source'!M81)</f>
        <v>129.99495598934445</v>
      </c>
      <c r="N80" s="2163" t="str">
        <f>IF('Annual Parameters Source'!N81="","-",'Annual Parameters Source'!N81)</f>
        <v>-</v>
      </c>
      <c r="O80" s="2228">
        <f>IF('Annual Parameters Source'!O81="","-",'Annual Parameters Source'!O81)</f>
        <v>1.982834315661397</v>
      </c>
      <c r="P80" s="2229">
        <f>IF('Annual Parameters Source'!P81="","-",'Annual Parameters Source'!P81)</f>
        <v>201.74011306718486</v>
      </c>
      <c r="Q80" s="2163" t="str">
        <f>IF('Annual Parameters Source'!Q81="","-",'Annual Parameters Source'!Q81)</f>
        <v>-</v>
      </c>
      <c r="R80" s="2228">
        <f>IF('Annual Parameters Source'!R81="","-",'Annual Parameters Source'!R81)</f>
        <v>1.7605665689358396</v>
      </c>
      <c r="S80" s="2229">
        <f>IF('Annual Parameters Source'!S81="","-",'Annual Parameters Source'!S81)</f>
        <v>175.77551644616338</v>
      </c>
      <c r="T80" s="2228">
        <f>IF('Annual Parameters Source'!T81="","-",'Annual Parameters Source'!T81)</f>
        <v>1.982834315661397</v>
      </c>
      <c r="U80" s="2228">
        <f>IF('Annual Parameters Source'!U81="","-",'Annual Parameters Source'!U81)</f>
        <v>1.982834315661397</v>
      </c>
      <c r="V80" s="2230">
        <f>IF('Annual Parameters Source'!V81="","-",'Annual Parameters Source'!V81)</f>
        <v>155.25717638754489</v>
      </c>
      <c r="W80" s="2231">
        <f>IF('Annual Parameters Source'!W81="","-",'Annual Parameters Source'!W81)</f>
        <v>155.25717638754489</v>
      </c>
    </row>
    <row r="81" spans="1:23" ht="13.5" hidden="1" customHeight="1">
      <c r="A81" s="2226"/>
      <c r="B81" s="2166">
        <v>2038</v>
      </c>
      <c r="C81" s="2189"/>
      <c r="D81" s="2227">
        <f>IF('Annual Parameters Source'!D82="","-",'Annual Parameters Source'!D82/VLOOKUP($B$14,'Annual Parameters Source'!$B$34:$D$144,3,1)*100)</f>
        <v>177.24190289106465</v>
      </c>
      <c r="E81" s="2163" t="str">
        <f>IF('Annual Parameters Source'!E82="","-",'Annual Parameters Source'!E82)</f>
        <v>-</v>
      </c>
      <c r="F81" s="2228">
        <f>IF('Annual Parameters Source'!F82="","-",'Annual Parameters Source'!F82)</f>
        <v>2.2949512247480097</v>
      </c>
      <c r="G81" s="2229">
        <f>IF('Annual Parameters Source'!G82="","-",'Annual Parameters Source'!G82)</f>
        <v>259.67763208872128</v>
      </c>
      <c r="H81" s="2163" t="str">
        <f>IF('Annual Parameters Source'!H82="","-",'Annual Parameters Source'!H82)</f>
        <v>-</v>
      </c>
      <c r="I81" s="2228">
        <f>IF('Annual Parameters Source'!I82="","-",'Annual Parameters Source'!I82)</f>
        <v>0.30387349999999996</v>
      </c>
      <c r="J81" s="2229">
        <f>IF('Annual Parameters Source'!J82="","-",'Annual Parameters Source'!J82)</f>
        <v>126.21349342108267</v>
      </c>
      <c r="K81" s="2163" t="str">
        <f>IF('Annual Parameters Source'!K82="","-",'Annual Parameters Source'!K82)</f>
        <v>-</v>
      </c>
      <c r="L81" s="2228">
        <f>IF('Annual Parameters Source'!L82="","-",'Annual Parameters Source'!L82)</f>
        <v>0.51801873820866984</v>
      </c>
      <c r="M81" s="2229">
        <f>IF('Annual Parameters Source'!M82="","-",'Annual Parameters Source'!M82)</f>
        <v>130.66835422009538</v>
      </c>
      <c r="N81" s="2163" t="str">
        <f>IF('Annual Parameters Source'!N82="","-",'Annual Parameters Source'!N82)</f>
        <v>-</v>
      </c>
      <c r="O81" s="2228">
        <f>IF('Annual Parameters Source'!O82="","-",'Annual Parameters Source'!O82)</f>
        <v>1.9850456969122021</v>
      </c>
      <c r="P81" s="2229">
        <f>IF('Annual Parameters Source'!P82="","-",'Annual Parameters Source'!P82)</f>
        <v>205.74474650057084</v>
      </c>
      <c r="Q81" s="2163" t="str">
        <f>IF('Annual Parameters Source'!Q82="","-",'Annual Parameters Source'!Q82)</f>
        <v>-</v>
      </c>
      <c r="R81" s="2228">
        <f>IF('Annual Parameters Source'!R82="","-",'Annual Parameters Source'!R82)</f>
        <v>1.7677750803736236</v>
      </c>
      <c r="S81" s="2229">
        <f>IF('Annual Parameters Source'!S82="","-",'Annual Parameters Source'!S82)</f>
        <v>178.88283222329667</v>
      </c>
      <c r="T81" s="2228">
        <f>IF('Annual Parameters Source'!T82="","-",'Annual Parameters Source'!T82)</f>
        <v>1.9850456969122021</v>
      </c>
      <c r="U81" s="2228">
        <f>IF('Annual Parameters Source'!U82="","-",'Annual Parameters Source'!U82)</f>
        <v>1.9850456969122021</v>
      </c>
      <c r="V81" s="2230">
        <f>IF('Annual Parameters Source'!V82="","-",'Annual Parameters Source'!V82)</f>
        <v>158.33910228657322</v>
      </c>
      <c r="W81" s="2231">
        <f>IF('Annual Parameters Source'!W82="","-",'Annual Parameters Source'!W82)</f>
        <v>158.33910228657322</v>
      </c>
    </row>
    <row r="82" spans="1:23" ht="13.5" hidden="1" customHeight="1">
      <c r="A82" s="2226"/>
      <c r="B82" s="2166">
        <v>2039</v>
      </c>
      <c r="C82" s="2189"/>
      <c r="D82" s="2227">
        <f>IF('Annual Parameters Source'!D83="","-",'Annual Parameters Source'!D83/VLOOKUP($B$14,'Annual Parameters Source'!$B$34:$D$144,3,1)*100)</f>
        <v>181.3184666575591</v>
      </c>
      <c r="E82" s="2163" t="str">
        <f>IF('Annual Parameters Source'!E83="","-",'Annual Parameters Source'!E83)</f>
        <v>-</v>
      </c>
      <c r="F82" s="2228">
        <f>IF('Annual Parameters Source'!F83="","-",'Annual Parameters Source'!F83)</f>
        <v>2.2764754522735409</v>
      </c>
      <c r="G82" s="2229">
        <f>IF('Annual Parameters Source'!G83="","-",'Annual Parameters Source'!G83)</f>
        <v>265.58912963826623</v>
      </c>
      <c r="H82" s="2163" t="str">
        <f>IF('Annual Parameters Source'!H83="","-",'Annual Parameters Source'!H83)</f>
        <v>-</v>
      </c>
      <c r="I82" s="2228">
        <f>IF('Annual Parameters Source'!I83="","-",'Annual Parameters Source'!I83)</f>
        <v>0.30093225000000001</v>
      </c>
      <c r="J82" s="2229">
        <f>IF('Annual Parameters Source'!J83="","-",'Annual Parameters Source'!J83)</f>
        <v>126.59331052663835</v>
      </c>
      <c r="K82" s="2163" t="str">
        <f>IF('Annual Parameters Source'!K83="","-",'Annual Parameters Source'!K83)</f>
        <v>-</v>
      </c>
      <c r="L82" s="2228">
        <f>IF('Annual Parameters Source'!L83="","-",'Annual Parameters Source'!L83)</f>
        <v>0.50580563066644491</v>
      </c>
      <c r="M82" s="2229">
        <f>IF('Annual Parameters Source'!M83="","-",'Annual Parameters Source'!M83)</f>
        <v>131.3292821132398</v>
      </c>
      <c r="N82" s="2163" t="str">
        <f>IF('Annual Parameters Source'!N83="","-",'Annual Parameters Source'!N83)</f>
        <v>-</v>
      </c>
      <c r="O82" s="2228">
        <f>IF('Annual Parameters Source'!O83="","-",'Annual Parameters Source'!O83)</f>
        <v>1.9696159925507883</v>
      </c>
      <c r="P82" s="2229">
        <f>IF('Annual Parameters Source'!P83="","-",'Annual Parameters Source'!P83)</f>
        <v>209.79712793147917</v>
      </c>
      <c r="Q82" s="2163" t="str">
        <f>IF('Annual Parameters Source'!Q83="","-",'Annual Parameters Source'!Q83)</f>
        <v>-</v>
      </c>
      <c r="R82" s="2228">
        <f>IF('Annual Parameters Source'!R83="","-",'Annual Parameters Source'!R83)</f>
        <v>1.7617587466677076</v>
      </c>
      <c r="S82" s="2229">
        <f>IF('Annual Parameters Source'!S83="","-",'Annual Parameters Source'!S83)</f>
        <v>182.03431616627753</v>
      </c>
      <c r="T82" s="2228">
        <f>IF('Annual Parameters Source'!T83="","-",'Annual Parameters Source'!T83)</f>
        <v>1.9696159925507883</v>
      </c>
      <c r="U82" s="2228">
        <f>IF('Annual Parameters Source'!U83="","-",'Annual Parameters Source'!U83)</f>
        <v>1.9696159925507883</v>
      </c>
      <c r="V82" s="2230">
        <f>IF('Annual Parameters Source'!V83="","-",'Annual Parameters Source'!V83)</f>
        <v>161.45777456767092</v>
      </c>
      <c r="W82" s="2231">
        <f>IF('Annual Parameters Source'!W83="","-",'Annual Parameters Source'!W83)</f>
        <v>161.45777456767092</v>
      </c>
    </row>
    <row r="83" spans="1:23" ht="13.5" customHeight="1">
      <c r="A83" s="2226"/>
      <c r="B83" s="2166">
        <v>2040</v>
      </c>
      <c r="C83" s="2189"/>
      <c r="D83" s="2227">
        <f>IF('Annual Parameters Source'!D84="","-",'Annual Parameters Source'!D84/VLOOKUP($B$14,'Annual Parameters Source'!$B$34:$D$144,3,1)*100)</f>
        <v>185.48879139068293</v>
      </c>
      <c r="E83" s="2163" t="str">
        <f>IF('Annual Parameters Source'!E84="","-",'Annual Parameters Source'!E84)</f>
        <v>-</v>
      </c>
      <c r="F83" s="2228">
        <f>IF('Annual Parameters Source'!F84="","-",'Annual Parameters Source'!F84)</f>
        <v>2.2513385252745932</v>
      </c>
      <c r="G83" s="2229">
        <f>IF('Annual Parameters Source'!G84="","-",'Annual Parameters Source'!G84)</f>
        <v>271.56844003275398</v>
      </c>
      <c r="H83" s="2163" t="str">
        <f>IF('Annual Parameters Source'!H84="","-",'Annual Parameters Source'!H84)</f>
        <v>-</v>
      </c>
      <c r="I83" s="2228">
        <f>IF('Annual Parameters Source'!I84="","-",'Annual Parameters Source'!I84)</f>
        <v>0.29944843999999998</v>
      </c>
      <c r="J83" s="2229">
        <f>IF('Annual Parameters Source'!J84="","-",'Annual Parameters Source'!J84)</f>
        <v>126.97239222015473</v>
      </c>
      <c r="K83" s="2163" t="str">
        <f>IF('Annual Parameters Source'!K84="","-",'Annual Parameters Source'!K84)</f>
        <v>-</v>
      </c>
      <c r="L83" s="2228">
        <f>IF('Annual Parameters Source'!L84="","-",'Annual Parameters Source'!L84)</f>
        <v>0.29944843999999998</v>
      </c>
      <c r="M83" s="2229">
        <f>IF('Annual Parameters Source'!M84="","-",'Annual Parameters Source'!M84)</f>
        <v>131.72254559979109</v>
      </c>
      <c r="N83" s="2163" t="str">
        <f>IF('Annual Parameters Source'!N84="","-",'Annual Parameters Source'!N84)</f>
        <v>-</v>
      </c>
      <c r="O83" s="2228">
        <f>IF('Annual Parameters Source'!O84="","-",'Annual Parameters Source'!O84)</f>
        <v>1.9460626310843887</v>
      </c>
      <c r="P83" s="2229">
        <f>IF('Annual Parameters Source'!P84="","-",'Annual Parameters Source'!P84)</f>
        <v>213.87991143924199</v>
      </c>
      <c r="Q83" s="2163" t="str">
        <f>IF('Annual Parameters Source'!Q84="","-",'Annual Parameters Source'!Q84)</f>
        <v>-</v>
      </c>
      <c r="R83" s="2228">
        <f>IF('Annual Parameters Source'!R84="","-",'Annual Parameters Source'!R84)</f>
        <v>1.9460626310843887</v>
      </c>
      <c r="S83" s="2229">
        <f>IF('Annual Parameters Source'!S84="","-",'Annual Parameters Source'!S84)</f>
        <v>185.57681796893948</v>
      </c>
      <c r="T83" s="2228">
        <f>IF('Annual Parameters Source'!T84="","-",'Annual Parameters Source'!T84)</f>
        <v>1.9460626310843887</v>
      </c>
      <c r="U83" s="2228">
        <f>IF('Annual Parameters Source'!U84="","-",'Annual Parameters Source'!U84)</f>
        <v>1.9460626310843887</v>
      </c>
      <c r="V83" s="2230">
        <f>IF('Annual Parameters Source'!V84="","-",'Annual Parameters Source'!V84)</f>
        <v>164.59984398351284</v>
      </c>
      <c r="W83" s="2231">
        <f>IF('Annual Parameters Source'!W84="","-",'Annual Parameters Source'!W84)</f>
        <v>164.59984398351284</v>
      </c>
    </row>
    <row r="84" spans="1:23" ht="13.5" hidden="1" customHeight="1">
      <c r="A84" s="2226"/>
      <c r="B84" s="2166">
        <v>2041</v>
      </c>
      <c r="C84" s="2189"/>
      <c r="D84" s="2227">
        <f>IF('Annual Parameters Source'!D85="","-",'Annual Parameters Source'!D85/VLOOKUP($B$14,'Annual Parameters Source'!$B$34:$D$144,3,1)*100)</f>
        <v>189.75503359266864</v>
      </c>
      <c r="E84" s="2163" t="str">
        <f>IF('Annual Parameters Source'!E85="","-",'Annual Parameters Source'!E85)</f>
        <v>-</v>
      </c>
      <c r="F84" s="2228">
        <f>IF('Annual Parameters Source'!F85="","-",'Annual Parameters Source'!F85)</f>
        <v>2.2543327776548328</v>
      </c>
      <c r="G84" s="2229">
        <f>IF('Annual Parameters Source'!G85="","-",'Annual Parameters Source'!G85)</f>
        <v>277.69049639017828</v>
      </c>
      <c r="H84" s="2163" t="str">
        <f>IF('Annual Parameters Source'!H85="","-",'Annual Parameters Source'!H85)</f>
        <v>-</v>
      </c>
      <c r="I84" s="2228">
        <f>IF('Annual Parameters Source'!I85="","-",'Annual Parameters Source'!I85)</f>
        <v>0.29756114</v>
      </c>
      <c r="J84" s="2229">
        <f>IF('Annual Parameters Source'!J85="","-",'Annual Parameters Source'!J85)</f>
        <v>127.3502127179303</v>
      </c>
      <c r="K84" s="2163" t="str">
        <f>IF('Annual Parameters Source'!K85="","-",'Annual Parameters Source'!K85)</f>
        <v>-</v>
      </c>
      <c r="L84" s="2228">
        <f>IF('Annual Parameters Source'!L85="","-",'Annual Parameters Source'!L85)</f>
        <v>0.29756114</v>
      </c>
      <c r="M84" s="2229">
        <f>IF('Annual Parameters Source'!M85="","-",'Annual Parameters Source'!M85)</f>
        <v>132.11450070811486</v>
      </c>
      <c r="N84" s="2163" t="str">
        <f>IF('Annual Parameters Source'!N85="","-",'Annual Parameters Source'!N85)</f>
        <v>-</v>
      </c>
      <c r="O84" s="2228">
        <f>IF('Annual Parameters Source'!O85="","-",'Annual Parameters Source'!O85)</f>
        <v>1.9509663200319327</v>
      </c>
      <c r="P84" s="2229">
        <f>IF('Annual Parameters Source'!P85="","-",'Annual Parameters Source'!P85)</f>
        <v>218.05263647673576</v>
      </c>
      <c r="Q84" s="2163" t="str">
        <f>IF('Annual Parameters Source'!Q85="","-",'Annual Parameters Source'!Q85)</f>
        <v>-</v>
      </c>
      <c r="R84" s="2228">
        <f>IF('Annual Parameters Source'!R85="","-",'Annual Parameters Source'!R85)</f>
        <v>1.9509663200319327</v>
      </c>
      <c r="S84" s="2229">
        <f>IF('Annual Parameters Source'!S85="","-",'Annual Parameters Source'!S85)</f>
        <v>189.19735918530048</v>
      </c>
      <c r="T84" s="2228">
        <f>IF('Annual Parameters Source'!T85="","-",'Annual Parameters Source'!T85)</f>
        <v>1.9509663200319327</v>
      </c>
      <c r="U84" s="2228">
        <f>IF('Annual Parameters Source'!U85="","-",'Annual Parameters Source'!U85)</f>
        <v>1.9509663200319327</v>
      </c>
      <c r="V84" s="2230">
        <f>IF('Annual Parameters Source'!V85="","-",'Annual Parameters Source'!V85)</f>
        <v>167.81113150245628</v>
      </c>
      <c r="W84" s="2231">
        <f>IF('Annual Parameters Source'!W85="","-",'Annual Parameters Source'!W85)</f>
        <v>167.81113150245628</v>
      </c>
    </row>
    <row r="85" spans="1:23" ht="13.5" hidden="1" customHeight="1">
      <c r="A85" s="2226"/>
      <c r="B85" s="2166">
        <v>2042</v>
      </c>
      <c r="C85" s="2189"/>
      <c r="D85" s="2227">
        <f>IF('Annual Parameters Source'!D86="","-",'Annual Parameters Source'!D86/VLOOKUP($B$14,'Annual Parameters Source'!$B$34:$D$144,3,1)*100)</f>
        <v>194.11939936529998</v>
      </c>
      <c r="E85" s="2163" t="str">
        <f>IF('Annual Parameters Source'!E86="","-",'Annual Parameters Source'!E86)</f>
        <v>-</v>
      </c>
      <c r="F85" s="2228">
        <f>IF('Annual Parameters Source'!F86="","-",'Annual Parameters Source'!F86)</f>
        <v>2.2511667357483889</v>
      </c>
      <c r="G85" s="2229">
        <f>IF('Annual Parameters Source'!G86="","-",'Annual Parameters Source'!G86)</f>
        <v>283.94177247324853</v>
      </c>
      <c r="H85" s="2163" t="str">
        <f>IF('Annual Parameters Source'!H86="","-",'Annual Parameters Source'!H86)</f>
        <v>-</v>
      </c>
      <c r="I85" s="2228">
        <f>IF('Annual Parameters Source'!I86="","-",'Annual Parameters Source'!I86)</f>
        <v>0.29397618000000003</v>
      </c>
      <c r="J85" s="2229">
        <f>IF('Annual Parameters Source'!J86="","-",'Annual Parameters Source'!J86)</f>
        <v>127.72459200850035</v>
      </c>
      <c r="K85" s="2163" t="str">
        <f>IF('Annual Parameters Source'!K86="","-",'Annual Parameters Source'!K86)</f>
        <v>-</v>
      </c>
      <c r="L85" s="2228">
        <f>IF('Annual Parameters Source'!L86="","-",'Annual Parameters Source'!L86)</f>
        <v>0.29397618000000003</v>
      </c>
      <c r="M85" s="2229">
        <f>IF('Annual Parameters Source'!M86="","-",'Annual Parameters Source'!M86)</f>
        <v>132.50288587052265</v>
      </c>
      <c r="N85" s="2163" t="str">
        <f>IF('Annual Parameters Source'!N86="","-",'Annual Parameters Source'!N86)</f>
        <v>-</v>
      </c>
      <c r="O85" s="2228">
        <f>IF('Annual Parameters Source'!O86="","-",'Annual Parameters Source'!O86)</f>
        <v>1.9514537465697535</v>
      </c>
      <c r="P85" s="2229">
        <f>IF('Annual Parameters Source'!P86="","-",'Annual Parameters Source'!P86)</f>
        <v>222.30783282075515</v>
      </c>
      <c r="Q85" s="2163" t="str">
        <f>IF('Annual Parameters Source'!Q86="","-",'Annual Parameters Source'!Q86)</f>
        <v>-</v>
      </c>
      <c r="R85" s="2228">
        <f>IF('Annual Parameters Source'!R86="","-",'Annual Parameters Source'!R86)</f>
        <v>1.9514537465697535</v>
      </c>
      <c r="S85" s="2229">
        <f>IF('Annual Parameters Source'!S86="","-",'Annual Parameters Source'!S86)</f>
        <v>192.88945813953305</v>
      </c>
      <c r="T85" s="2228">
        <f>IF('Annual Parameters Source'!T86="","-",'Annual Parameters Source'!T86)</f>
        <v>1.9514537465697535</v>
      </c>
      <c r="U85" s="2228">
        <f>IF('Annual Parameters Source'!U86="","-",'Annual Parameters Source'!U86)</f>
        <v>1.9514537465697535</v>
      </c>
      <c r="V85" s="2230">
        <f>IF('Annual Parameters Source'!V86="","-",'Annual Parameters Source'!V86)</f>
        <v>171.08588811532206</v>
      </c>
      <c r="W85" s="2231">
        <f>IF('Annual Parameters Source'!W86="","-",'Annual Parameters Source'!W86)</f>
        <v>171.08588811532206</v>
      </c>
    </row>
    <row r="86" spans="1:23" ht="13.5" hidden="1" customHeight="1">
      <c r="A86" s="2226"/>
      <c r="B86" s="2166">
        <v>2043</v>
      </c>
      <c r="C86" s="2189"/>
      <c r="D86" s="2227">
        <f>IF('Annual Parameters Source'!D87="","-",'Annual Parameters Source'!D87/VLOOKUP($B$14,'Annual Parameters Source'!$B$34:$D$144,3,1)*100)</f>
        <v>198.58414555070186</v>
      </c>
      <c r="E86" s="2163" t="str">
        <f>IF('Annual Parameters Source'!E87="","-",'Annual Parameters Source'!E87)</f>
        <v>-</v>
      </c>
      <c r="F86" s="2228">
        <f>IF('Annual Parameters Source'!F87="","-",'Annual Parameters Source'!F87)</f>
        <v>2.2340721783753237</v>
      </c>
      <c r="G86" s="2229">
        <f>IF('Annual Parameters Source'!G87="","-",'Annual Parameters Source'!G87)</f>
        <v>290.28523661485917</v>
      </c>
      <c r="H86" s="2163" t="str">
        <f>IF('Annual Parameters Source'!H87="","-",'Annual Parameters Source'!H87)</f>
        <v>-</v>
      </c>
      <c r="I86" s="2228">
        <f>IF('Annual Parameters Source'!I87="","-",'Annual Parameters Source'!I87)</f>
        <v>0.29006739999999998</v>
      </c>
      <c r="J86" s="2229">
        <f>IF('Annual Parameters Source'!J87="","-",'Annual Parameters Source'!J87)</f>
        <v>128.0950794117</v>
      </c>
      <c r="K86" s="2163" t="str">
        <f>IF('Annual Parameters Source'!K87="","-",'Annual Parameters Source'!K87)</f>
        <v>-</v>
      </c>
      <c r="L86" s="2228">
        <f>IF('Annual Parameters Source'!L87="","-",'Annual Parameters Source'!L87)</f>
        <v>0.29006739999999998</v>
      </c>
      <c r="M86" s="2229">
        <f>IF('Annual Parameters Source'!M87="","-",'Annual Parameters Source'!M87)</f>
        <v>132.88723354649224</v>
      </c>
      <c r="N86" s="2163" t="str">
        <f>IF('Annual Parameters Source'!N87="","-",'Annual Parameters Source'!N87)</f>
        <v>-</v>
      </c>
      <c r="O86" s="2228">
        <f>IF('Annual Parameters Source'!O87="","-",'Annual Parameters Source'!O87)</f>
        <v>1.9383821636312248</v>
      </c>
      <c r="P86" s="2229">
        <f>IF('Annual Parameters Source'!P87="","-",'Annual Parameters Source'!P87)</f>
        <v>226.61700820050777</v>
      </c>
      <c r="Q86" s="2163" t="str">
        <f>IF('Annual Parameters Source'!Q87="","-",'Annual Parameters Source'!Q87)</f>
        <v>-</v>
      </c>
      <c r="R86" s="2228">
        <f>IF('Annual Parameters Source'!R87="","-",'Annual Parameters Source'!R87)</f>
        <v>1.9383821636312248</v>
      </c>
      <c r="S86" s="2229">
        <f>IF('Annual Parameters Source'!S87="","-",'Annual Parameters Source'!S87)</f>
        <v>196.62839299163466</v>
      </c>
      <c r="T86" s="2228">
        <f>IF('Annual Parameters Source'!T87="","-",'Annual Parameters Source'!T87)</f>
        <v>1.9383821636312248</v>
      </c>
      <c r="U86" s="2228">
        <f>IF('Annual Parameters Source'!U87="","-",'Annual Parameters Source'!U87)</f>
        <v>1.9383821636312248</v>
      </c>
      <c r="V86" s="2230">
        <f>IF('Annual Parameters Source'!V87="","-",'Annual Parameters Source'!V87)</f>
        <v>174.40218645503953</v>
      </c>
      <c r="W86" s="2231">
        <f>IF('Annual Parameters Source'!W87="","-",'Annual Parameters Source'!W87)</f>
        <v>174.40218645503953</v>
      </c>
    </row>
    <row r="87" spans="1:23" ht="13.5" hidden="1" customHeight="1">
      <c r="A87" s="2226"/>
      <c r="B87" s="2166">
        <v>2044</v>
      </c>
      <c r="C87" s="2189"/>
      <c r="D87" s="2227">
        <f>IF('Annual Parameters Source'!D88="","-",'Annual Parameters Source'!D88/VLOOKUP($B$14,'Annual Parameters Source'!$B$34:$D$144,3,1)*100)</f>
        <v>203.15158089836802</v>
      </c>
      <c r="E87" s="2163" t="str">
        <f>IF('Annual Parameters Source'!E88="","-",'Annual Parameters Source'!E88)</f>
        <v>-</v>
      </c>
      <c r="F87" s="2228">
        <f>IF('Annual Parameters Source'!F88="","-",'Annual Parameters Source'!F88)</f>
        <v>2.2075240996059842</v>
      </c>
      <c r="G87" s="2229">
        <f>IF('Annual Parameters Source'!G88="","-",'Annual Parameters Source'!G88)</f>
        <v>296.69335317073046</v>
      </c>
      <c r="H87" s="2163" t="str">
        <f>IF('Annual Parameters Source'!H88="","-",'Annual Parameters Source'!H88)</f>
        <v>-</v>
      </c>
      <c r="I87" s="2228">
        <f>IF('Annual Parameters Source'!I88="","-",'Annual Parameters Source'!I88)</f>
        <v>0.28540877000000003</v>
      </c>
      <c r="J87" s="2229">
        <f>IF('Annual Parameters Source'!J88="","-",'Annual Parameters Source'!J88)</f>
        <v>128.46067400227946</v>
      </c>
      <c r="K87" s="2163" t="str">
        <f>IF('Annual Parameters Source'!K88="","-",'Annual Parameters Source'!K88)</f>
        <v>-</v>
      </c>
      <c r="L87" s="2228">
        <f>IF('Annual Parameters Source'!L88="","-",'Annual Parameters Source'!L88)</f>
        <v>0.28540877000000003</v>
      </c>
      <c r="M87" s="2229">
        <f>IF('Annual Parameters Source'!M88="","-",'Annual Parameters Source'!M88)</f>
        <v>133.26650536524431</v>
      </c>
      <c r="N87" s="2163" t="str">
        <f>IF('Annual Parameters Source'!N88="","-",'Annual Parameters Source'!N88)</f>
        <v>-</v>
      </c>
      <c r="O87" s="2228">
        <f>IF('Annual Parameters Source'!O88="","-",'Annual Parameters Source'!O88)</f>
        <v>1.9166450565248905</v>
      </c>
      <c r="P87" s="2229">
        <f>IF('Annual Parameters Source'!P88="","-",'Annual Parameters Source'!P88)</f>
        <v>230.9604518854274</v>
      </c>
      <c r="Q87" s="2163" t="str">
        <f>IF('Annual Parameters Source'!Q88="","-",'Annual Parameters Source'!Q88)</f>
        <v>-</v>
      </c>
      <c r="R87" s="2228">
        <f>IF('Annual Parameters Source'!R88="","-",'Annual Parameters Source'!R88)</f>
        <v>1.9166450565248905</v>
      </c>
      <c r="S87" s="2229">
        <f>IF('Annual Parameters Source'!S88="","-",'Annual Parameters Source'!S88)</f>
        <v>200.39706136563316</v>
      </c>
      <c r="T87" s="2228">
        <f>IF('Annual Parameters Source'!T88="","-",'Annual Parameters Source'!T88)</f>
        <v>1.9166450565248905</v>
      </c>
      <c r="U87" s="2228">
        <f>IF('Annual Parameters Source'!U88="","-",'Annual Parameters Source'!U88)</f>
        <v>1.9166450565248905</v>
      </c>
      <c r="V87" s="2230">
        <f>IF('Annual Parameters Source'!V88="","-",'Annual Parameters Source'!V88)</f>
        <v>177.74485734020138</v>
      </c>
      <c r="W87" s="2231">
        <f>IF('Annual Parameters Source'!W88="","-",'Annual Parameters Source'!W88)</f>
        <v>177.74485734020138</v>
      </c>
    </row>
    <row r="88" spans="1:23" ht="13.5" customHeight="1">
      <c r="A88" s="2226"/>
      <c r="B88" s="2166">
        <v>2045</v>
      </c>
      <c r="C88" s="2189"/>
      <c r="D88" s="2227">
        <f>IF('Annual Parameters Source'!D89="","-",'Annual Parameters Source'!D89/VLOOKUP($B$14,'Annual Parameters Source'!$B$34:$D$144,3,1)*100)</f>
        <v>207.82406725903044</v>
      </c>
      <c r="E88" s="2163" t="str">
        <f>IF('Annual Parameters Source'!E89="","-",'Annual Parameters Source'!E89)</f>
        <v>-</v>
      </c>
      <c r="F88" s="2228">
        <f>IF('Annual Parameters Source'!F89="","-",'Annual Parameters Source'!F89)</f>
        <v>2.1916829969087281</v>
      </c>
      <c r="G88" s="2229">
        <f>IF('Annual Parameters Source'!G89="","-",'Annual Parameters Source'!G89)</f>
        <v>303.19593094513169</v>
      </c>
      <c r="H88" s="2163" t="str">
        <f>IF('Annual Parameters Source'!H89="","-",'Annual Parameters Source'!H89)</f>
        <v>-</v>
      </c>
      <c r="I88" s="2228">
        <f>IF('Annual Parameters Source'!I89="","-",'Annual Parameters Source'!I89)</f>
        <v>0.27990248000000001</v>
      </c>
      <c r="J88" s="2229">
        <f>IF('Annual Parameters Source'!J89="","-",'Annual Parameters Source'!J89)</f>
        <v>128.82023861463657</v>
      </c>
      <c r="K88" s="2163" t="str">
        <f>IF('Annual Parameters Source'!K89="","-",'Annual Parameters Source'!K89)</f>
        <v>-</v>
      </c>
      <c r="L88" s="2228">
        <f>IF('Annual Parameters Source'!L89="","-",'Annual Parameters Source'!L89)</f>
        <v>0.27990248000000001</v>
      </c>
      <c r="M88" s="2229">
        <f>IF('Annual Parameters Source'!M89="","-",'Annual Parameters Source'!M89)</f>
        <v>133.63952161877097</v>
      </c>
      <c r="N88" s="2163" t="str">
        <f>IF('Annual Parameters Source'!N89="","-",'Annual Parameters Source'!N89)</f>
        <v>-</v>
      </c>
      <c r="O88" s="2228">
        <f>IF('Annual Parameters Source'!O89="","-",'Annual Parameters Source'!O89)</f>
        <v>1.9064443319437796</v>
      </c>
      <c r="P88" s="2229">
        <f>IF('Annual Parameters Source'!P89="","-",'Annual Parameters Source'!P89)</f>
        <v>235.36358432942885</v>
      </c>
      <c r="Q88" s="2163" t="str">
        <f>IF('Annual Parameters Source'!Q89="","-",'Annual Parameters Source'!Q89)</f>
        <v>-</v>
      </c>
      <c r="R88" s="2228">
        <f>IF('Annual Parameters Source'!R89="","-",'Annual Parameters Source'!R89)</f>
        <v>1.9064443319437796</v>
      </c>
      <c r="S88" s="2229">
        <f>IF('Annual Parameters Source'!S89="","-",'Annual Parameters Source'!S89)</f>
        <v>204.21751978342019</v>
      </c>
      <c r="T88" s="2228">
        <f>IF('Annual Parameters Source'!T89="","-",'Annual Parameters Source'!T89)</f>
        <v>1.9064443319437796</v>
      </c>
      <c r="U88" s="2228">
        <f>IF('Annual Parameters Source'!U89="","-",'Annual Parameters Source'!U89)</f>
        <v>1.9064443319437796</v>
      </c>
      <c r="V88" s="2230">
        <f>IF('Annual Parameters Source'!V89="","-",'Annual Parameters Source'!V89)</f>
        <v>181.1334640982852</v>
      </c>
      <c r="W88" s="2231">
        <f>IF('Annual Parameters Source'!W89="","-",'Annual Parameters Source'!W89)</f>
        <v>181.1334640982852</v>
      </c>
    </row>
    <row r="89" spans="1:23" ht="13.5" hidden="1" customHeight="1">
      <c r="A89" s="2226"/>
      <c r="B89" s="2166">
        <v>2046</v>
      </c>
      <c r="C89" s="2189"/>
      <c r="D89" s="2227">
        <f>IF('Annual Parameters Source'!D90="","-",'Annual Parameters Source'!D90/VLOOKUP($B$14,'Annual Parameters Source'!$B$34:$D$144,3,1)*100)</f>
        <v>212.60402080598814</v>
      </c>
      <c r="E89" s="2163" t="str">
        <f>IF('Annual Parameters Source'!E90="","-",'Annual Parameters Source'!E90)</f>
        <v>-</v>
      </c>
      <c r="F89" s="2228">
        <f>IF('Annual Parameters Source'!F90="","-",'Annual Parameters Source'!F90)</f>
        <v>2.1791510624797228</v>
      </c>
      <c r="G89" s="2229">
        <f>IF('Annual Parameters Source'!G90="","-",'Annual Parameters Source'!G90)</f>
        <v>309.80302829571781</v>
      </c>
      <c r="H89" s="2163" t="str">
        <f>IF('Annual Parameters Source'!H90="","-",'Annual Parameters Source'!H90)</f>
        <v>-</v>
      </c>
      <c r="I89" s="2228">
        <f>IF('Annual Parameters Source'!I90="","-",'Annual Parameters Source'!I90)</f>
        <v>0.27356160000000002</v>
      </c>
      <c r="J89" s="2229">
        <f>IF('Annual Parameters Source'!J90="","-",'Annual Parameters Source'!J90)</f>
        <v>129.17264132051457</v>
      </c>
      <c r="K89" s="2163" t="str">
        <f>IF('Annual Parameters Source'!K90="","-",'Annual Parameters Source'!K90)</f>
        <v>-</v>
      </c>
      <c r="L89" s="2228">
        <f>IF('Annual Parameters Source'!L90="","-",'Annual Parameters Source'!L90)</f>
        <v>0.27356160000000002</v>
      </c>
      <c r="M89" s="2229">
        <f>IF('Annual Parameters Source'!M90="","-",'Annual Parameters Source'!M90)</f>
        <v>134.00510803234363</v>
      </c>
      <c r="N89" s="2163" t="str">
        <f>IF('Annual Parameters Source'!N90="","-",'Annual Parameters Source'!N90)</f>
        <v>-</v>
      </c>
      <c r="O89" s="2228">
        <f>IF('Annual Parameters Source'!O90="","-",'Annual Parameters Source'!O90)</f>
        <v>1.9003907232110651</v>
      </c>
      <c r="P89" s="2229">
        <f>IF('Annual Parameters Source'!P90="","-",'Annual Parameters Source'!P90)</f>
        <v>239.83641205184233</v>
      </c>
      <c r="Q89" s="2163" t="str">
        <f>IF('Annual Parameters Source'!Q90="","-",'Annual Parameters Source'!Q90)</f>
        <v>-</v>
      </c>
      <c r="R89" s="2228">
        <f>IF('Annual Parameters Source'!R90="","-",'Annual Parameters Source'!R90)</f>
        <v>1.9003907232110651</v>
      </c>
      <c r="S89" s="2229">
        <f>IF('Annual Parameters Source'!S90="","-",'Annual Parameters Source'!S90)</f>
        <v>208.09845058455602</v>
      </c>
      <c r="T89" s="2228">
        <f>IF('Annual Parameters Source'!T90="","-",'Annual Parameters Source'!T90)</f>
        <v>1.9003907232110651</v>
      </c>
      <c r="U89" s="2228">
        <f>IF('Annual Parameters Source'!U90="","-",'Annual Parameters Source'!U90)</f>
        <v>1.9003907232110651</v>
      </c>
      <c r="V89" s="2230">
        <f>IF('Annual Parameters Source'!V90="","-",'Annual Parameters Source'!V90)</f>
        <v>184.57570764663987</v>
      </c>
      <c r="W89" s="2231">
        <f>IF('Annual Parameters Source'!W90="","-",'Annual Parameters Source'!W90)</f>
        <v>184.57570764663987</v>
      </c>
    </row>
    <row r="90" spans="1:23" ht="13.5" hidden="1" customHeight="1">
      <c r="A90" s="2226"/>
      <c r="B90" s="2166">
        <v>2047</v>
      </c>
      <c r="C90" s="2189"/>
      <c r="D90" s="2227">
        <f>IF('Annual Parameters Source'!D91="","-",'Annual Parameters Source'!D91/VLOOKUP($B$14,'Annual Parameters Source'!$B$34:$D$144,3,1)*100)</f>
        <v>217.49391328452586</v>
      </c>
      <c r="E90" s="2163" t="str">
        <f>IF('Annual Parameters Source'!E91="","-",'Annual Parameters Source'!E91)</f>
        <v>-</v>
      </c>
      <c r="F90" s="2228">
        <f>IF('Annual Parameters Source'!F91="","-",'Annual Parameters Source'!F91)</f>
        <v>2.1520377868463392</v>
      </c>
      <c r="G90" s="2229">
        <f>IF('Annual Parameters Source'!G91="","-",'Annual Parameters Source'!G91)</f>
        <v>316.4701065294359</v>
      </c>
      <c r="H90" s="2163" t="str">
        <f>IF('Annual Parameters Source'!H91="","-",'Annual Parameters Source'!H91)</f>
        <v>-</v>
      </c>
      <c r="I90" s="2228">
        <f>IF('Annual Parameters Source'!I91="","-",'Annual Parameters Source'!I91)</f>
        <v>0.26636072999999999</v>
      </c>
      <c r="J90" s="2229">
        <f>IF('Annual Parameters Source'!J91="","-",'Annual Parameters Source'!J91)</f>
        <v>129.51670651089617</v>
      </c>
      <c r="K90" s="2163" t="str">
        <f>IF('Annual Parameters Source'!K91="","-",'Annual Parameters Source'!K91)</f>
        <v>-</v>
      </c>
      <c r="L90" s="2228">
        <f>IF('Annual Parameters Source'!L91="","-",'Annual Parameters Source'!L91)</f>
        <v>0.26636072999999999</v>
      </c>
      <c r="M90" s="2229">
        <f>IF('Annual Parameters Source'!M91="","-",'Annual Parameters Source'!M91)</f>
        <v>134.36204501633586</v>
      </c>
      <c r="N90" s="2163" t="str">
        <f>IF('Annual Parameters Source'!N91="","-",'Annual Parameters Source'!N91)</f>
        <v>-</v>
      </c>
      <c r="O90" s="2228">
        <f>IF('Annual Parameters Source'!O91="","-",'Annual Parameters Source'!O91)</f>
        <v>1.880667696640681</v>
      </c>
      <c r="P90" s="2229">
        <f>IF('Annual Parameters Source'!P91="","-",'Annual Parameters Source'!P91)</f>
        <v>244.34693797808336</v>
      </c>
      <c r="Q90" s="2163" t="str">
        <f>IF('Annual Parameters Source'!Q91="","-",'Annual Parameters Source'!Q91)</f>
        <v>-</v>
      </c>
      <c r="R90" s="2228">
        <f>IF('Annual Parameters Source'!R91="","-",'Annual Parameters Source'!R91)</f>
        <v>1.880667696640681</v>
      </c>
      <c r="S90" s="2229">
        <f>IF('Annual Parameters Source'!S91="","-",'Annual Parameters Source'!S91)</f>
        <v>212.01209092190956</v>
      </c>
      <c r="T90" s="2228">
        <f>IF('Annual Parameters Source'!T91="","-",'Annual Parameters Source'!T91)</f>
        <v>1.880667696640681</v>
      </c>
      <c r="U90" s="2228">
        <f>IF('Annual Parameters Source'!U91="","-",'Annual Parameters Source'!U91)</f>
        <v>1.880667696640681</v>
      </c>
      <c r="V90" s="2230">
        <f>IF('Annual Parameters Source'!V91="","-",'Annual Parameters Source'!V91)</f>
        <v>188.04696335619616</v>
      </c>
      <c r="W90" s="2231">
        <f>IF('Annual Parameters Source'!W91="","-",'Annual Parameters Source'!W91)</f>
        <v>188.04696335619616</v>
      </c>
    </row>
    <row r="91" spans="1:23" ht="13.5" hidden="1" customHeight="1">
      <c r="A91" s="2226"/>
      <c r="B91" s="2166">
        <v>2048</v>
      </c>
      <c r="C91" s="2189"/>
      <c r="D91" s="2227">
        <f>IF('Annual Parameters Source'!D92="","-",'Annual Parameters Source'!D92/VLOOKUP($B$14,'Annual Parameters Source'!$B$34:$D$144,3,1)*100)</f>
        <v>222.49627329006992</v>
      </c>
      <c r="E91" s="2163" t="str">
        <f>IF('Annual Parameters Source'!E92="","-",'Annual Parameters Source'!E92)</f>
        <v>-</v>
      </c>
      <c r="F91" s="2228">
        <f>IF('Annual Parameters Source'!F92="","-",'Annual Parameters Source'!F92)</f>
        <v>2.1332531705853475</v>
      </c>
      <c r="G91" s="2229">
        <f>IF('Annual Parameters Source'!G92="","-",'Annual Parameters Source'!G92)</f>
        <v>323.2212151109299</v>
      </c>
      <c r="H91" s="2163" t="str">
        <f>IF('Annual Parameters Source'!H92="","-",'Annual Parameters Source'!H92)</f>
        <v>-</v>
      </c>
      <c r="I91" s="2228">
        <f>IF('Annual Parameters Source'!I92="","-",'Annual Parameters Source'!I92)</f>
        <v>0.25831479000000002</v>
      </c>
      <c r="J91" s="2229">
        <f>IF('Annual Parameters Source'!J92="","-",'Annual Parameters Source'!J92)</f>
        <v>129.85126731933471</v>
      </c>
      <c r="K91" s="2163" t="str">
        <f>IF('Annual Parameters Source'!K92="","-",'Annual Parameters Source'!K92)</f>
        <v>-</v>
      </c>
      <c r="L91" s="2228">
        <f>IF('Annual Parameters Source'!L92="","-",'Annual Parameters Source'!L92)</f>
        <v>0.25831479000000002</v>
      </c>
      <c r="M91" s="2229">
        <f>IF('Annual Parameters Source'!M92="","-",'Annual Parameters Source'!M92)</f>
        <v>134.7091220507595</v>
      </c>
      <c r="N91" s="2163" t="str">
        <f>IF('Annual Parameters Source'!N92="","-",'Annual Parameters Source'!N92)</f>
        <v>-</v>
      </c>
      <c r="O91" s="2228">
        <f>IF('Annual Parameters Source'!O92="","-",'Annual Parameters Source'!O92)</f>
        <v>1.8701076160242414</v>
      </c>
      <c r="P91" s="2229">
        <f>IF('Annual Parameters Source'!P92="","-",'Annual Parameters Source'!P92)</f>
        <v>248.91648867473353</v>
      </c>
      <c r="Q91" s="2163" t="str">
        <f>IF('Annual Parameters Source'!Q92="","-",'Annual Parameters Source'!Q92)</f>
        <v>-</v>
      </c>
      <c r="R91" s="2228">
        <f>IF('Annual Parameters Source'!R92="","-",'Annual Parameters Source'!R92)</f>
        <v>1.8701076160242414</v>
      </c>
      <c r="S91" s="2229">
        <f>IF('Annual Parameters Source'!S92="","-",'Annual Parameters Source'!S92)</f>
        <v>215.97694518113244</v>
      </c>
      <c r="T91" s="2228">
        <f>IF('Annual Parameters Source'!T92="","-",'Annual Parameters Source'!T92)</f>
        <v>1.8701076160242414</v>
      </c>
      <c r="U91" s="2228">
        <f>IF('Annual Parameters Source'!U92="","-",'Annual Parameters Source'!U92)</f>
        <v>1.8701076160242414</v>
      </c>
      <c r="V91" s="2230">
        <f>IF('Annual Parameters Source'!V92="","-",'Annual Parameters Source'!V92)</f>
        <v>191.56364393962269</v>
      </c>
      <c r="W91" s="2231">
        <f>IF('Annual Parameters Source'!W92="","-",'Annual Parameters Source'!W92)</f>
        <v>191.56364393962269</v>
      </c>
    </row>
    <row r="92" spans="1:23" ht="13.5" hidden="1" customHeight="1">
      <c r="A92" s="2226"/>
      <c r="B92" s="2166">
        <v>2049</v>
      </c>
      <c r="C92" s="2189"/>
      <c r="D92" s="2227">
        <f>IF('Annual Parameters Source'!D93="","-",'Annual Parameters Source'!D93/VLOOKUP($B$14,'Annual Parameters Source'!$B$34:$D$144,3,1)*100)</f>
        <v>227.61368757574147</v>
      </c>
      <c r="E92" s="2163" t="str">
        <f>IF('Annual Parameters Source'!E93="","-",'Annual Parameters Source'!E93)</f>
        <v>-</v>
      </c>
      <c r="F92" s="2228">
        <f>IF('Annual Parameters Source'!F93="","-",'Annual Parameters Source'!F93)</f>
        <v>2.1278970557458754</v>
      </c>
      <c r="G92" s="2229">
        <f>IF('Annual Parameters Source'!G93="","-",'Annual Parameters Source'!G93)</f>
        <v>330.09902983082145</v>
      </c>
      <c r="H92" s="2163" t="str">
        <f>IF('Annual Parameters Source'!H93="","-",'Annual Parameters Source'!H93)</f>
        <v>-</v>
      </c>
      <c r="I92" s="2228">
        <f>IF('Annual Parameters Source'!I93="","-",'Annual Parameters Source'!I93)</f>
        <v>0.24966257</v>
      </c>
      <c r="J92" s="2229">
        <f>IF('Annual Parameters Source'!J93="","-",'Annual Parameters Source'!J93)</f>
        <v>130.17545733050173</v>
      </c>
      <c r="K92" s="2163" t="str">
        <f>IF('Annual Parameters Source'!K93="","-",'Annual Parameters Source'!K93)</f>
        <v>-</v>
      </c>
      <c r="L92" s="2228">
        <f>IF('Annual Parameters Source'!L93="","-",'Annual Parameters Source'!L93)</f>
        <v>0.24966257</v>
      </c>
      <c r="M92" s="2229">
        <f>IF('Annual Parameters Source'!M93="","-",'Annual Parameters Source'!M93)</f>
        <v>135.04544030689587</v>
      </c>
      <c r="N92" s="2163" t="str">
        <f>IF('Annual Parameters Source'!N93="","-",'Annual Parameters Source'!N93)</f>
        <v>-</v>
      </c>
      <c r="O92" s="2228">
        <f>IF('Annual Parameters Source'!O93="","-",'Annual Parameters Source'!O93)</f>
        <v>1.8735569154004761</v>
      </c>
      <c r="P92" s="2229">
        <f>IF('Annual Parameters Source'!P93="","-",'Annual Parameters Source'!P93)</f>
        <v>253.58008076187105</v>
      </c>
      <c r="Q92" s="2163" t="str">
        <f>IF('Annual Parameters Source'!Q93="","-",'Annual Parameters Source'!Q93)</f>
        <v>-</v>
      </c>
      <c r="R92" s="2228">
        <f>IF('Annual Parameters Source'!R93="","-",'Annual Parameters Source'!R93)</f>
        <v>1.8735569154004761</v>
      </c>
      <c r="S92" s="2229">
        <f>IF('Annual Parameters Source'!S93="","-",'Annual Parameters Source'!S93)</f>
        <v>220.02339617324421</v>
      </c>
      <c r="T92" s="2228">
        <f>IF('Annual Parameters Source'!T93="","-",'Annual Parameters Source'!T93)</f>
        <v>1.8735569154004761</v>
      </c>
      <c r="U92" s="2228">
        <f>IF('Annual Parameters Source'!U93="","-",'Annual Parameters Source'!U93)</f>
        <v>1.8735569154004761</v>
      </c>
      <c r="V92" s="2230">
        <f>IF('Annual Parameters Source'!V93="","-",'Annual Parameters Source'!V93)</f>
        <v>195.15269783804663</v>
      </c>
      <c r="W92" s="2231">
        <f>IF('Annual Parameters Source'!W93="","-",'Annual Parameters Source'!W93)</f>
        <v>195.15269783804663</v>
      </c>
    </row>
    <row r="93" spans="1:23" ht="13.5" customHeight="1">
      <c r="A93" s="2226"/>
      <c r="B93" s="2166">
        <v>2050</v>
      </c>
      <c r="C93" s="2189"/>
      <c r="D93" s="2227">
        <f>IF('Annual Parameters Source'!D94="","-",'Annual Parameters Source'!D94/VLOOKUP($B$14,'Annual Parameters Source'!$B$34:$D$144,3,1)*100)</f>
        <v>232.84880238998352</v>
      </c>
      <c r="E93" s="2163" t="str">
        <f>IF('Annual Parameters Source'!E94="","-",'Annual Parameters Source'!E94)</f>
        <v>-</v>
      </c>
      <c r="F93" s="2228">
        <f>IF('Annual Parameters Source'!F94="","-",'Annual Parameters Source'!F94)</f>
        <v>2.1393636390262039</v>
      </c>
      <c r="G93" s="2229">
        <f>IF('Annual Parameters Source'!G94="","-",'Annual Parameters Source'!G94)</f>
        <v>337.16104844780028</v>
      </c>
      <c r="H93" s="2163" t="str">
        <f>IF('Annual Parameters Source'!H94="","-",'Annual Parameters Source'!H94)</f>
        <v>-</v>
      </c>
      <c r="I93" s="2228">
        <f>IF('Annual Parameters Source'!I94="","-",'Annual Parameters Source'!I94)</f>
        <v>0.24071171999999999</v>
      </c>
      <c r="J93" s="2229">
        <f>IF('Annual Parameters Source'!J94="","-",'Annual Parameters Source'!J94)</f>
        <v>130.48880491285982</v>
      </c>
      <c r="K93" s="2163" t="str">
        <f>IF('Annual Parameters Source'!K94="","-",'Annual Parameters Source'!K94)</f>
        <v>-</v>
      </c>
      <c r="L93" s="2228">
        <f>IF('Annual Parameters Source'!L94="","-",'Annual Parameters Source'!L94)</f>
        <v>0.24071171999999999</v>
      </c>
      <c r="M93" s="2229">
        <f>IF('Annual Parameters Source'!M94="","-",'Annual Parameters Source'!M94)</f>
        <v>135.37051050904017</v>
      </c>
      <c r="N93" s="2163" t="str">
        <f>IF('Annual Parameters Source'!N94="","-",'Annual Parameters Source'!N94)</f>
        <v>-</v>
      </c>
      <c r="O93" s="2228">
        <f>IF('Annual Parameters Source'!O94="","-",'Annual Parameters Source'!O94)</f>
        <v>1.8940926161115756</v>
      </c>
      <c r="P93" s="2229">
        <f>IF('Annual Parameters Source'!P94="","-",'Annual Parameters Source'!P94)</f>
        <v>258.3831223475114</v>
      </c>
      <c r="Q93" s="2163" t="str">
        <f>IF('Annual Parameters Source'!Q94="","-",'Annual Parameters Source'!Q94)</f>
        <v>-</v>
      </c>
      <c r="R93" s="2228">
        <f>IF('Annual Parameters Source'!R94="","-",'Annual Parameters Source'!R94)</f>
        <v>1.8940926161115756</v>
      </c>
      <c r="S93" s="2229">
        <f>IF('Annual Parameters Source'!S94="","-",'Annual Parameters Source'!S94)</f>
        <v>224.19084307387956</v>
      </c>
      <c r="T93" s="2228">
        <f>IF('Annual Parameters Source'!T94="","-",'Annual Parameters Source'!T94)</f>
        <v>1.8940926161115756</v>
      </c>
      <c r="U93" s="2228">
        <f>IF('Annual Parameters Source'!U94="","-",'Annual Parameters Source'!U94)</f>
        <v>1.8940926161115756</v>
      </c>
      <c r="V93" s="2230">
        <f>IF('Annual Parameters Source'!V94="","-",'Annual Parameters Source'!V94)</f>
        <v>198.84907067793961</v>
      </c>
      <c r="W93" s="2231">
        <f>IF('Annual Parameters Source'!W94="","-",'Annual Parameters Source'!W94)</f>
        <v>198.84907067793961</v>
      </c>
    </row>
    <row r="94" spans="1:23" ht="13.5" customHeight="1">
      <c r="A94" s="2226"/>
      <c r="B94" s="2166">
        <v>2051</v>
      </c>
      <c r="C94" s="2189"/>
      <c r="D94" s="2227">
        <f>IF('Annual Parameters Source'!D95="","-",'Annual Parameters Source'!D95/VLOOKUP($B$14,'Annual Parameters Source'!$B$34:$D$144,3,1)*100)</f>
        <v>238.20432484495311</v>
      </c>
      <c r="E94" s="2163" t="str">
        <f>IF('Annual Parameters Source'!E95="","-",'Annual Parameters Source'!E95)</f>
        <v>-</v>
      </c>
      <c r="F94" s="2228">
        <f>IF('Annual Parameters Source'!F95="","-",'Annual Parameters Source'!F95)</f>
        <v>2.2140926528068983</v>
      </c>
      <c r="G94" s="2229">
        <f>IF('Annual Parameters Source'!G95="","-",'Annual Parameters Source'!G95)</f>
        <v>344.62610644960972</v>
      </c>
      <c r="H94" s="2163" t="str">
        <f>IF('Annual Parameters Source'!H95="","-",'Annual Parameters Source'!H95)</f>
        <v>-</v>
      </c>
      <c r="I94" s="2228">
        <f>IF('Annual Parameters Source'!I95="","-",'Annual Parameters Source'!I95)</f>
        <v>0.23157293000000001</v>
      </c>
      <c r="J94" s="2229">
        <f>IF('Annual Parameters Source'!J95="","-",'Annual Parameters Source'!J95)</f>
        <v>130.79098166171852</v>
      </c>
      <c r="K94" s="2163" t="str">
        <f>IF('Annual Parameters Source'!K95="","-",'Annual Parameters Source'!K95)</f>
        <v>-</v>
      </c>
      <c r="L94" s="2228">
        <f>IF('Annual Parameters Source'!L95="","-",'Annual Parameters Source'!L95)</f>
        <v>0.23157293000000001</v>
      </c>
      <c r="M94" s="2229">
        <f>IF('Annual Parameters Source'!M95="","-",'Annual Parameters Source'!M95)</f>
        <v>135.68399196658191</v>
      </c>
      <c r="N94" s="2163" t="str">
        <f>IF('Annual Parameters Source'!N95="","-",'Annual Parameters Source'!N95)</f>
        <v>-</v>
      </c>
      <c r="O94" s="2228">
        <f>IF('Annual Parameters Source'!O95="","-",'Annual Parameters Source'!O95)</f>
        <v>1.9779393506988541</v>
      </c>
      <c r="P94" s="2229">
        <f>IF('Annual Parameters Source'!P95="","-",'Annual Parameters Source'!P95)</f>
        <v>263.49378379998717</v>
      </c>
      <c r="Q94" s="2163" t="str">
        <f>IF('Annual Parameters Source'!Q95="","-",'Annual Parameters Source'!Q95)</f>
        <v>-</v>
      </c>
      <c r="R94" s="2228">
        <f>IF('Annual Parameters Source'!R95="","-",'Annual Parameters Source'!R95)</f>
        <v>1.9779393506988541</v>
      </c>
      <c r="S94" s="2229">
        <f>IF('Annual Parameters Source'!S95="","-",'Annual Parameters Source'!S95)</f>
        <v>228.62520197970133</v>
      </c>
      <c r="T94" s="2228">
        <f>IF('Annual Parameters Source'!T95="","-",'Annual Parameters Source'!T95)</f>
        <v>1.9779393506988541</v>
      </c>
      <c r="U94" s="2228">
        <f>IF('Annual Parameters Source'!U95="","-",'Annual Parameters Source'!U95)</f>
        <v>1.9779393506988541</v>
      </c>
      <c r="V94" s="2230">
        <f>IF('Annual Parameters Source'!V95="","-",'Annual Parameters Source'!V95)</f>
        <v>202.78218469537754</v>
      </c>
      <c r="W94" s="2231">
        <f>IF('Annual Parameters Source'!W95="","-",'Annual Parameters Source'!W95)</f>
        <v>202.78218469537754</v>
      </c>
    </row>
    <row r="95" spans="1:23" ht="13.5" customHeight="1">
      <c r="A95" s="2226"/>
      <c r="B95" s="2166">
        <v>2052</v>
      </c>
      <c r="C95" s="2189"/>
      <c r="D95" s="2227">
        <f>IF('Annual Parameters Source'!D96="","-",'Annual Parameters Source'!D96/VLOOKUP($B$14,'Annual Parameters Source'!$B$34:$D$144,3,1)*100)</f>
        <v>243.68302431638699</v>
      </c>
      <c r="E95" s="2163" t="str">
        <f>IF('Annual Parameters Source'!E96="","-",'Annual Parameters Source'!E96)</f>
        <v>-</v>
      </c>
      <c r="F95" s="2228">
        <f>IF('Annual Parameters Source'!F96="","-",'Annual Parameters Source'!F96)</f>
        <v>2.2140518885940708</v>
      </c>
      <c r="G95" s="2229">
        <f>IF('Annual Parameters Source'!G96="","-",'Annual Parameters Source'!G96)</f>
        <v>352.25630726804548</v>
      </c>
      <c r="H95" s="2163" t="str">
        <f>IF('Annual Parameters Source'!H96="","-",'Annual Parameters Source'!H96)</f>
        <v>-</v>
      </c>
      <c r="I95" s="2228">
        <f>IF('Annual Parameters Source'!I96="","-",'Annual Parameters Source'!I96)</f>
        <v>0.22252230000000001</v>
      </c>
      <c r="J95" s="2229">
        <f>IF('Annual Parameters Source'!J96="","-",'Annual Parameters Source'!J96)</f>
        <v>131.08202076230475</v>
      </c>
      <c r="K95" s="2163" t="str">
        <f>IF('Annual Parameters Source'!K96="","-",'Annual Parameters Source'!K96)</f>
        <v>-</v>
      </c>
      <c r="L95" s="2228">
        <f>IF('Annual Parameters Source'!L96="","-",'Annual Parameters Source'!L96)</f>
        <v>0.22252230000000001</v>
      </c>
      <c r="M95" s="2229">
        <f>IF('Annual Parameters Source'!M96="","-",'Annual Parameters Source'!M96)</f>
        <v>135.98591910623776</v>
      </c>
      <c r="N95" s="2163" t="str">
        <f>IF('Annual Parameters Source'!N96="","-",'Annual Parameters Source'!N96)</f>
        <v>-</v>
      </c>
      <c r="O95" s="2228">
        <f>IF('Annual Parameters Source'!O96="","-",'Annual Parameters Source'!O96)</f>
        <v>1.9871078305460754</v>
      </c>
      <c r="P95" s="2229">
        <f>IF('Annual Parameters Source'!P96="","-",'Annual Parameters Source'!P96)</f>
        <v>268.7296894108789</v>
      </c>
      <c r="Q95" s="2163" t="str">
        <f>IF('Annual Parameters Source'!Q96="","-",'Annual Parameters Source'!Q96)</f>
        <v>-</v>
      </c>
      <c r="R95" s="2228">
        <f>IF('Annual Parameters Source'!R96="","-",'Annual Parameters Source'!R96)</f>
        <v>1.9871078305460754</v>
      </c>
      <c r="S95" s="2229">
        <f>IF('Annual Parameters Source'!S96="","-",'Annual Parameters Source'!S96)</f>
        <v>233.16823127084174</v>
      </c>
      <c r="T95" s="2228">
        <f>IF('Annual Parameters Source'!T96="","-",'Annual Parameters Source'!T96)</f>
        <v>1.9871078305460754</v>
      </c>
      <c r="U95" s="2228">
        <f>IF('Annual Parameters Source'!U96="","-",'Annual Parameters Source'!U96)</f>
        <v>1.9871078305460754</v>
      </c>
      <c r="V95" s="2230">
        <f>IF('Annual Parameters Source'!V96="","-",'Annual Parameters Source'!V96)</f>
        <v>206.81168536641178</v>
      </c>
      <c r="W95" s="2231">
        <f>IF('Annual Parameters Source'!W96="","-",'Annual Parameters Source'!W96)</f>
        <v>206.81168536641178</v>
      </c>
    </row>
    <row r="96" spans="1:23" ht="13.5" customHeight="1">
      <c r="A96" s="2226"/>
      <c r="B96" s="2166">
        <v>2053</v>
      </c>
      <c r="C96" s="2189"/>
      <c r="D96" s="2227">
        <f>IF('Annual Parameters Source'!D97="","-",'Annual Parameters Source'!D97/VLOOKUP($B$14,'Annual Parameters Source'!$B$34:$D$144,3,1)*100)</f>
        <v>249.28773387566389</v>
      </c>
      <c r="E96" s="2163" t="str">
        <f>IF('Annual Parameters Source'!E97="","-",'Annual Parameters Source'!E97)</f>
        <v>-</v>
      </c>
      <c r="F96" s="2228">
        <f>IF('Annual Parameters Source'!F97="","-",'Annual Parameters Source'!F97)</f>
        <v>2.2079299816428755</v>
      </c>
      <c r="G96" s="2229">
        <f>IF('Annual Parameters Source'!G97="","-",'Annual Parameters Source'!G97)</f>
        <v>360.03387988844474</v>
      </c>
      <c r="H96" s="2163" t="str">
        <f>IF('Annual Parameters Source'!H97="","-",'Annual Parameters Source'!H97)</f>
        <v>-</v>
      </c>
      <c r="I96" s="2228">
        <f>IF('Annual Parameters Source'!I97="","-",'Annual Parameters Source'!I97)</f>
        <v>0.21379139999999999</v>
      </c>
      <c r="J96" s="2229">
        <f>IF('Annual Parameters Source'!J97="","-",'Annual Parameters Source'!J97)</f>
        <v>131.36226284964079</v>
      </c>
      <c r="K96" s="2163" t="str">
        <f>IF('Annual Parameters Source'!K97="","-",'Annual Parameters Source'!K97)</f>
        <v>-</v>
      </c>
      <c r="L96" s="2228">
        <f>IF('Annual Parameters Source'!L97="","-",'Annual Parameters Source'!L97)</f>
        <v>0.21379139999999999</v>
      </c>
      <c r="M96" s="2229">
        <f>IF('Annual Parameters Source'!M97="","-",'Annual Parameters Source'!M97)</f>
        <v>136.27664530649787</v>
      </c>
      <c r="N96" s="2163" t="str">
        <f>IF('Annual Parameters Source'!N97="","-",'Annual Parameters Source'!N97)</f>
        <v>-</v>
      </c>
      <c r="O96" s="2228">
        <f>IF('Annual Parameters Source'!O97="","-",'Annual Parameters Source'!O97)</f>
        <v>1.989884379968565</v>
      </c>
      <c r="P96" s="2229">
        <f>IF('Annual Parameters Source'!P97="","-",'Annual Parameters Source'!P97)</f>
        <v>274.07709952480405</v>
      </c>
      <c r="Q96" s="2163" t="str">
        <f>IF('Annual Parameters Source'!Q97="","-",'Annual Parameters Source'!Q97)</f>
        <v>-</v>
      </c>
      <c r="R96" s="2228">
        <f>IF('Annual Parameters Source'!R97="","-",'Annual Parameters Source'!R97)</f>
        <v>1.989884379968565</v>
      </c>
      <c r="S96" s="2229">
        <f>IF('Annual Parameters Source'!S97="","-",'Annual Parameters Source'!S97)</f>
        <v>237.80800948394921</v>
      </c>
      <c r="T96" s="2228">
        <f>IF('Annual Parameters Source'!T97="","-",'Annual Parameters Source'!T97)</f>
        <v>1.989884379968565</v>
      </c>
      <c r="U96" s="2228">
        <f>IF('Annual Parameters Source'!U97="","-",'Annual Parameters Source'!U97)</f>
        <v>1.989884379968565</v>
      </c>
      <c r="V96" s="2230">
        <f>IF('Annual Parameters Source'!V97="","-",'Annual Parameters Source'!V97)</f>
        <v>210.92699878946775</v>
      </c>
      <c r="W96" s="2231">
        <f>IF('Annual Parameters Source'!W97="","-",'Annual Parameters Source'!W97)</f>
        <v>210.92699878946775</v>
      </c>
    </row>
    <row r="97" spans="1:23" ht="13.5" customHeight="1">
      <c r="A97" s="2226"/>
      <c r="B97" s="2166">
        <v>2054</v>
      </c>
      <c r="C97" s="2189"/>
      <c r="D97" s="2227">
        <f>IF('Annual Parameters Source'!D98="","-",'Annual Parameters Source'!D98/VLOOKUP($B$14,'Annual Parameters Source'!$B$34:$D$144,3,1)*100)</f>
        <v>255.02135175480413</v>
      </c>
      <c r="E97" s="2163" t="str">
        <f>IF('Annual Parameters Source'!E98="","-",'Annual Parameters Source'!E98)</f>
        <v>-</v>
      </c>
      <c r="F97" s="2228">
        <f>IF('Annual Parameters Source'!F98="","-",'Annual Parameters Source'!F98)</f>
        <v>2.1849282109451806</v>
      </c>
      <c r="G97" s="2229">
        <f>IF('Annual Parameters Source'!G98="","-",'Annual Parameters Source'!G98)</f>
        <v>367.9003616990878</v>
      </c>
      <c r="H97" s="2163" t="str">
        <f>IF('Annual Parameters Source'!H98="","-",'Annual Parameters Source'!H98)</f>
        <v>-</v>
      </c>
      <c r="I97" s="2228">
        <f>IF('Annual Parameters Source'!I98="","-",'Annual Parameters Source'!I98)</f>
        <v>0.20565591999999999</v>
      </c>
      <c r="J97" s="2229">
        <f>IF('Annual Parameters Source'!J98="","-",'Annual Parameters Source'!J98)</f>
        <v>131.63241711983702</v>
      </c>
      <c r="K97" s="2163" t="str">
        <f>IF('Annual Parameters Source'!K98="","-",'Annual Parameters Source'!K98)</f>
        <v>-</v>
      </c>
      <c r="L97" s="2228">
        <f>IF('Annual Parameters Source'!L98="","-",'Annual Parameters Source'!L98)</f>
        <v>0.20565591999999999</v>
      </c>
      <c r="M97" s="2229">
        <f>IF('Annual Parameters Source'!M98="","-",'Annual Parameters Source'!M98)</f>
        <v>136.55690629514808</v>
      </c>
      <c r="N97" s="2163" t="str">
        <f>IF('Annual Parameters Source'!N98="","-",'Annual Parameters Source'!N98)</f>
        <v>-</v>
      </c>
      <c r="O97" s="2228">
        <f>IF('Annual Parameters Source'!O98="","-",'Annual Parameters Source'!O98)</f>
        <v>1.9752101543303535</v>
      </c>
      <c r="P97" s="2229">
        <f>IF('Annual Parameters Source'!P98="","-",'Annual Parameters Source'!P98)</f>
        <v>279.49069822531209</v>
      </c>
      <c r="Q97" s="2163" t="str">
        <f>IF('Annual Parameters Source'!Q98="","-",'Annual Parameters Source'!Q98)</f>
        <v>-</v>
      </c>
      <c r="R97" s="2228">
        <f>IF('Annual Parameters Source'!R98="","-",'Annual Parameters Source'!R98)</f>
        <v>1.9752101543303535</v>
      </c>
      <c r="S97" s="2229">
        <f>IF('Annual Parameters Source'!S98="","-",'Annual Parameters Source'!S98)</f>
        <v>242.50521743508708</v>
      </c>
      <c r="T97" s="2228">
        <f>IF('Annual Parameters Source'!T98="","-",'Annual Parameters Source'!T98)</f>
        <v>1.9752101543303535</v>
      </c>
      <c r="U97" s="2228">
        <f>IF('Annual Parameters Source'!U98="","-",'Annual Parameters Source'!U98)</f>
        <v>1.9752101543303535</v>
      </c>
      <c r="V97" s="2230">
        <f>IF('Annual Parameters Source'!V98="","-",'Annual Parameters Source'!V98)</f>
        <v>215.09325028778159</v>
      </c>
      <c r="W97" s="2231">
        <f>IF('Annual Parameters Source'!W98="","-",'Annual Parameters Source'!W98)</f>
        <v>215.09325028778159</v>
      </c>
    </row>
    <row r="98" spans="1:23" ht="13.5" customHeight="1">
      <c r="A98" s="2226"/>
      <c r="B98" s="2166">
        <v>2055</v>
      </c>
      <c r="C98" s="2189"/>
      <c r="D98" s="2227">
        <f>IF('Annual Parameters Source'!D99="","-",'Annual Parameters Source'!D99/VLOOKUP($B$14,'Annual Parameters Source'!$B$34:$D$144,3,1)*100)</f>
        <v>260.88684284516461</v>
      </c>
      <c r="E98" s="2163" t="str">
        <f>IF('Annual Parameters Source'!E99="","-",'Annual Parameters Source'!E99)</f>
        <v>-</v>
      </c>
      <c r="F98" s="2228">
        <f>IF('Annual Parameters Source'!F99="","-",'Annual Parameters Source'!F99)</f>
        <v>2.150713988732722</v>
      </c>
      <c r="G98" s="2229">
        <f>IF('Annual Parameters Source'!G99="","-",'Annual Parameters Source'!G99)</f>
        <v>375.81284624274832</v>
      </c>
      <c r="H98" s="2163" t="str">
        <f>IF('Annual Parameters Source'!H99="","-",'Annual Parameters Source'!H99)</f>
        <v>-</v>
      </c>
      <c r="I98" s="2228">
        <f>IF('Annual Parameters Source'!I99="","-",'Annual Parameters Source'!I99)</f>
        <v>0.19830672999999999</v>
      </c>
      <c r="J98" s="2229">
        <f>IF('Annual Parameters Source'!J99="","-",'Annual Parameters Source'!J99)</f>
        <v>131.89345306184731</v>
      </c>
      <c r="K98" s="2163" t="str">
        <f>IF('Annual Parameters Source'!K99="","-",'Annual Parameters Source'!K99)</f>
        <v>-</v>
      </c>
      <c r="L98" s="2228">
        <f>IF('Annual Parameters Source'!L99="","-",'Annual Parameters Source'!L99)</f>
        <v>0.19830672999999999</v>
      </c>
      <c r="M98" s="2229">
        <f>IF('Annual Parameters Source'!M99="","-",'Annual Parameters Source'!M99)</f>
        <v>136.82770783061113</v>
      </c>
      <c r="N98" s="2163" t="str">
        <f>IF('Annual Parameters Source'!N99="","-",'Annual Parameters Source'!N99)</f>
        <v>-</v>
      </c>
      <c r="O98" s="2228">
        <f>IF('Annual Parameters Source'!O99="","-",'Annual Parameters Source'!O99)</f>
        <v>1.9485431664965969</v>
      </c>
      <c r="P98" s="2229">
        <f>IF('Annual Parameters Source'!P99="","-",'Annual Parameters Source'!P99)</f>
        <v>284.93669512657505</v>
      </c>
      <c r="Q98" s="2163" t="str">
        <f>IF('Annual Parameters Source'!Q99="","-",'Annual Parameters Source'!Q99)</f>
        <v>-</v>
      </c>
      <c r="R98" s="2228">
        <f>IF('Annual Parameters Source'!R99="","-",'Annual Parameters Source'!R99)</f>
        <v>1.9485431664965969</v>
      </c>
      <c r="S98" s="2229">
        <f>IF('Annual Parameters Source'!S99="","-",'Annual Parameters Source'!S99)</f>
        <v>247.23053627781619</v>
      </c>
      <c r="T98" s="2228">
        <f>IF('Annual Parameters Source'!T99="","-",'Annual Parameters Source'!T99)</f>
        <v>1.9485431664965969</v>
      </c>
      <c r="U98" s="2228">
        <f>IF('Annual Parameters Source'!U99="","-",'Annual Parameters Source'!U99)</f>
        <v>1.9485431664965969</v>
      </c>
      <c r="V98" s="2230">
        <f>IF('Annual Parameters Source'!V99="","-",'Annual Parameters Source'!V99)</f>
        <v>219.28443511785957</v>
      </c>
      <c r="W98" s="2231">
        <f>IF('Annual Parameters Source'!W99="","-",'Annual Parameters Source'!W99)</f>
        <v>219.28443511785957</v>
      </c>
    </row>
    <row r="99" spans="1:23" ht="13.5" customHeight="1">
      <c r="A99" s="2226"/>
      <c r="B99" s="2166">
        <v>2056</v>
      </c>
      <c r="C99" s="2189"/>
      <c r="D99" s="2227">
        <f>IF('Annual Parameters Source'!D100="","-",'Annual Parameters Source'!D100/VLOOKUP($B$14,'Annual Parameters Source'!$B$34:$D$144,3,1)*100)</f>
        <v>266.88724023060331</v>
      </c>
      <c r="E99" s="2163" t="str">
        <f>IF('Annual Parameters Source'!E100="","-",'Annual Parameters Source'!E100)</f>
        <v>-</v>
      </c>
      <c r="F99" s="2228">
        <f>IF('Annual Parameters Source'!F100="","-",'Annual Parameters Source'!F100)</f>
        <v>2.1570723791289881</v>
      </c>
      <c r="G99" s="2229">
        <f>IF('Annual Parameters Source'!G100="","-",'Annual Parameters Source'!G100)</f>
        <v>383.91940134626913</v>
      </c>
      <c r="H99" s="2163" t="str">
        <f>IF('Annual Parameters Source'!H100="","-",'Annual Parameters Source'!H100)</f>
        <v>-</v>
      </c>
      <c r="I99" s="2228">
        <f>IF('Annual Parameters Source'!I100="","-",'Annual Parameters Source'!I100)</f>
        <v>0.19190144000000001</v>
      </c>
      <c r="J99" s="2229">
        <f>IF('Annual Parameters Source'!J100="","-",'Annual Parameters Source'!J100)</f>
        <v>132.14655849753871</v>
      </c>
      <c r="K99" s="2163" t="str">
        <f>IF('Annual Parameters Source'!K100="","-",'Annual Parameters Source'!K100)</f>
        <v>-</v>
      </c>
      <c r="L99" s="2228">
        <f>IF('Annual Parameters Source'!L100="","-",'Annual Parameters Source'!L100)</f>
        <v>0.19190144000000001</v>
      </c>
      <c r="M99" s="2229">
        <f>IF('Annual Parameters Source'!M100="","-",'Annual Parameters Source'!M100)</f>
        <v>137.09028217225708</v>
      </c>
      <c r="N99" s="2163" t="str">
        <f>IF('Annual Parameters Source'!N100="","-",'Annual Parameters Source'!N100)</f>
        <v>-</v>
      </c>
      <c r="O99" s="2228">
        <f>IF('Annual Parameters Source'!O100="","-",'Annual Parameters Source'!O100)</f>
        <v>1.9614069709075643</v>
      </c>
      <c r="P99" s="2229">
        <f>IF('Annual Parameters Source'!P100="","-",'Annual Parameters Source'!P100)</f>
        <v>290.52546332746135</v>
      </c>
      <c r="Q99" s="2163" t="str">
        <f>IF('Annual Parameters Source'!Q100="","-",'Annual Parameters Source'!Q100)</f>
        <v>-</v>
      </c>
      <c r="R99" s="2228">
        <f>IF('Annual Parameters Source'!R100="","-",'Annual Parameters Source'!R100)</f>
        <v>1.9614069709075643</v>
      </c>
      <c r="S99" s="2229">
        <f>IF('Annual Parameters Source'!S100="","-",'Annual Parameters Source'!S100)</f>
        <v>252.0797332505814</v>
      </c>
      <c r="T99" s="2228">
        <f>IF('Annual Parameters Source'!T100="","-",'Annual Parameters Source'!T100)</f>
        <v>1.9614069709075643</v>
      </c>
      <c r="U99" s="2228">
        <f>IF('Annual Parameters Source'!U100="","-",'Annual Parameters Source'!U100)</f>
        <v>1.9614069709075643</v>
      </c>
      <c r="V99" s="2230">
        <f>IF('Annual Parameters Source'!V100="","-",'Annual Parameters Source'!V100)</f>
        <v>223.58549531437654</v>
      </c>
      <c r="W99" s="2231">
        <f>IF('Annual Parameters Source'!W100="","-",'Annual Parameters Source'!W100)</f>
        <v>223.58549531437654</v>
      </c>
    </row>
    <row r="100" spans="1:23" ht="13.5" customHeight="1">
      <c r="A100" s="2226"/>
      <c r="B100" s="2166">
        <v>2057</v>
      </c>
      <c r="C100" s="2189"/>
      <c r="D100" s="2227">
        <f>IF('Annual Parameters Source'!D101="","-",'Annual Parameters Source'!D101/VLOOKUP($B$14,'Annual Parameters Source'!$B$34:$D$144,3,1)*100)</f>
        <v>273.02564675590719</v>
      </c>
      <c r="E100" s="2163" t="str">
        <f>IF('Annual Parameters Source'!E101="","-",'Annual Parameters Source'!E101)</f>
        <v>-</v>
      </c>
      <c r="F100" s="2228">
        <f>IF('Annual Parameters Source'!F101="","-",'Annual Parameters Source'!F101)</f>
        <v>2.1548927751718683</v>
      </c>
      <c r="G100" s="2229">
        <f>IF('Annual Parameters Source'!G101="","-",'Annual Parameters Source'!G101)</f>
        <v>392.19245278836303</v>
      </c>
      <c r="H100" s="2163" t="str">
        <f>IF('Annual Parameters Source'!H101="","-",'Annual Parameters Source'!H101)</f>
        <v>-</v>
      </c>
      <c r="I100" s="2228">
        <f>IF('Annual Parameters Source'!I101="","-",'Annual Parameters Source'!I101)</f>
        <v>0.18665882</v>
      </c>
      <c r="J100" s="2229">
        <f>IF('Annual Parameters Source'!J101="","-",'Annual Parameters Source'!J101)</f>
        <v>132.39322170430083</v>
      </c>
      <c r="K100" s="2163" t="str">
        <f>IF('Annual Parameters Source'!K101="","-",'Annual Parameters Source'!K101)</f>
        <v>-</v>
      </c>
      <c r="L100" s="2228">
        <f>IF('Annual Parameters Source'!L101="","-",'Annual Parameters Source'!L101)</f>
        <v>0.18665882</v>
      </c>
      <c r="M100" s="2229">
        <f>IF('Annual Parameters Source'!M101="","-",'Annual Parameters Source'!M101)</f>
        <v>137.34617327529449</v>
      </c>
      <c r="N100" s="2163" t="str">
        <f>IF('Annual Parameters Source'!N101="","-",'Annual Parameters Source'!N101)</f>
        <v>-</v>
      </c>
      <c r="O100" s="2228">
        <f>IF('Annual Parameters Source'!O101="","-",'Annual Parameters Source'!O101)</f>
        <v>1.964566917745092</v>
      </c>
      <c r="P100" s="2229">
        <f>IF('Annual Parameters Source'!P101="","-",'Annual Parameters Source'!P101)</f>
        <v>296.23303046761828</v>
      </c>
      <c r="Q100" s="2163" t="str">
        <f>IF('Annual Parameters Source'!Q101="","-",'Annual Parameters Source'!Q101)</f>
        <v>-</v>
      </c>
      <c r="R100" s="2228">
        <f>IF('Annual Parameters Source'!R101="","-",'Annual Parameters Source'!R101)</f>
        <v>1.964566917745092</v>
      </c>
      <c r="S100" s="2229">
        <f>IF('Annual Parameters Source'!S101="","-",'Annual Parameters Source'!S101)</f>
        <v>257.03200829636239</v>
      </c>
      <c r="T100" s="2228">
        <f>IF('Annual Parameters Source'!T101="","-",'Annual Parameters Source'!T101)</f>
        <v>1.964566917745092</v>
      </c>
      <c r="U100" s="2228">
        <f>IF('Annual Parameters Source'!U101="","-",'Annual Parameters Source'!U101)</f>
        <v>1.964566917745092</v>
      </c>
      <c r="V100" s="2230">
        <f>IF('Annual Parameters Source'!V101="","-",'Annual Parameters Source'!V101)</f>
        <v>227.97798198819928</v>
      </c>
      <c r="W100" s="2231">
        <f>IF('Annual Parameters Source'!W101="","-",'Annual Parameters Source'!W101)</f>
        <v>227.97798198819928</v>
      </c>
    </row>
    <row r="101" spans="1:23" ht="13.5" customHeight="1">
      <c r="A101" s="2226"/>
      <c r="B101" s="2166">
        <v>2058</v>
      </c>
      <c r="C101" s="2189"/>
      <c r="D101" s="2227">
        <f>IF('Annual Parameters Source'!D102="","-",'Annual Parameters Source'!D102/VLOOKUP($B$14,'Annual Parameters Source'!$B$34:$D$144,3,1)*100)</f>
        <v>279.30523663129298</v>
      </c>
      <c r="E101" s="2163" t="str">
        <f>IF('Annual Parameters Source'!E102="","-",'Annual Parameters Source'!E102)</f>
        <v>-</v>
      </c>
      <c r="F101" s="2228">
        <f>IF('Annual Parameters Source'!F102="","-",'Annual Parameters Source'!F102)</f>
        <v>2.1587640196319979</v>
      </c>
      <c r="G101" s="2229">
        <f>IF('Annual Parameters Source'!G102="","-",'Annual Parameters Source'!G102)</f>
        <v>400.65896234687045</v>
      </c>
      <c r="H101" s="2163" t="str">
        <f>IF('Annual Parameters Source'!H102="","-",'Annual Parameters Source'!H102)</f>
        <v>-</v>
      </c>
      <c r="I101" s="2228">
        <f>IF('Annual Parameters Source'!I102="","-",'Annual Parameters Source'!I102)</f>
        <v>0.18262726000000001</v>
      </c>
      <c r="J101" s="2229">
        <f>IF('Annual Parameters Source'!J102="","-",'Annual Parameters Source'!J102)</f>
        <v>132.63500781752512</v>
      </c>
      <c r="K101" s="2163" t="str">
        <f>IF('Annual Parameters Source'!K102="","-",'Annual Parameters Source'!K102)</f>
        <v>-</v>
      </c>
      <c r="L101" s="2228">
        <f>IF('Annual Parameters Source'!L102="","-",'Annual Parameters Source'!L102)</f>
        <v>0.18262726000000001</v>
      </c>
      <c r="M101" s="2229">
        <f>IF('Annual Parameters Source'!M102="","-",'Annual Parameters Source'!M102)</f>
        <v>137.59700482826202</v>
      </c>
      <c r="N101" s="2163" t="str">
        <f>IF('Annual Parameters Source'!N102="","-",'Annual Parameters Source'!N102)</f>
        <v>-</v>
      </c>
      <c r="O101" s="2228">
        <f>IF('Annual Parameters Source'!O102="","-",'Annual Parameters Source'!O102)</f>
        <v>1.9725343741519241</v>
      </c>
      <c r="P101" s="2229">
        <f>IF('Annual Parameters Source'!P102="","-",'Annual Parameters Source'!P102)</f>
        <v>302.07632882118395</v>
      </c>
      <c r="Q101" s="2163" t="str">
        <f>IF('Annual Parameters Source'!Q102="","-",'Annual Parameters Source'!Q102)</f>
        <v>-</v>
      </c>
      <c r="R101" s="2228">
        <f>IF('Annual Parameters Source'!R102="","-",'Annual Parameters Source'!R102)</f>
        <v>1.9725343741519241</v>
      </c>
      <c r="S101" s="2229">
        <f>IF('Annual Parameters Source'!S102="","-",'Annual Parameters Source'!S102)</f>
        <v>262.10205301258117</v>
      </c>
      <c r="T101" s="2228">
        <f>IF('Annual Parameters Source'!T102="","-",'Annual Parameters Source'!T102)</f>
        <v>1.9725343741519241</v>
      </c>
      <c r="U101" s="2228">
        <f>IF('Annual Parameters Source'!U102="","-",'Annual Parameters Source'!U102)</f>
        <v>1.9725343741519241</v>
      </c>
      <c r="V101" s="2230">
        <f>IF('Annual Parameters Source'!V102="","-",'Annual Parameters Source'!V102)</f>
        <v>232.47492604841437</v>
      </c>
      <c r="W101" s="2231">
        <f>IF('Annual Parameters Source'!W102="","-",'Annual Parameters Source'!W102)</f>
        <v>232.47492604841437</v>
      </c>
    </row>
    <row r="102" spans="1:23" ht="13.5" customHeight="1">
      <c r="A102" s="2226"/>
      <c r="B102" s="2166">
        <v>2059</v>
      </c>
      <c r="C102" s="2189"/>
      <c r="D102" s="2227">
        <f>IF('Annual Parameters Source'!D103="","-",'Annual Parameters Source'!D103/VLOOKUP($B$14,'Annual Parameters Source'!$B$34:$D$144,3,1)*100)</f>
        <v>285.72925707381273</v>
      </c>
      <c r="E102" s="2163" t="str">
        <f>IF('Annual Parameters Source'!E103="","-",'Annual Parameters Source'!E103)</f>
        <v>-</v>
      </c>
      <c r="F102" s="2228">
        <f>IF('Annual Parameters Source'!F103="","-",'Annual Parameters Source'!F103)</f>
        <v>2.1553396773533073</v>
      </c>
      <c r="G102" s="2229">
        <f>IF('Annual Parameters Source'!G103="","-",'Annual Parameters Source'!G103)</f>
        <v>409.29452393320463</v>
      </c>
      <c r="H102" s="2163" t="str">
        <f>IF('Annual Parameters Source'!H103="","-",'Annual Parameters Source'!H103)</f>
        <v>-</v>
      </c>
      <c r="I102" s="2228">
        <f>IF('Annual Parameters Source'!I103="","-",'Annual Parameters Source'!I103)</f>
        <v>0.17976306</v>
      </c>
      <c r="J102" s="2229">
        <f>IF('Annual Parameters Source'!J103="","-",'Annual Parameters Source'!J103)</f>
        <v>132.87343656620914</v>
      </c>
      <c r="K102" s="2163" t="str">
        <f>IF('Annual Parameters Source'!K103="","-",'Annual Parameters Source'!K103)</f>
        <v>-</v>
      </c>
      <c r="L102" s="2228">
        <f>IF('Annual Parameters Source'!L103="","-",'Annual Parameters Source'!L103)</f>
        <v>0.17976306</v>
      </c>
      <c r="M102" s="2229">
        <f>IF('Annual Parameters Source'!M103="","-",'Annual Parameters Source'!M103)</f>
        <v>137.84435341460966</v>
      </c>
      <c r="N102" s="2163" t="str">
        <f>IF('Annual Parameters Source'!N103="","-",'Annual Parameters Source'!N103)</f>
        <v>-</v>
      </c>
      <c r="O102" s="2228">
        <f>IF('Annual Parameters Source'!O103="","-",'Annual Parameters Source'!O103)</f>
        <v>1.9720316329457699</v>
      </c>
      <c r="P102" s="2229">
        <f>IF('Annual Parameters Source'!P103="","-",'Annual Parameters Source'!P103)</f>
        <v>308.03336958117899</v>
      </c>
      <c r="Q102" s="2163" t="str">
        <f>IF('Annual Parameters Source'!Q103="","-",'Annual Parameters Source'!Q103)</f>
        <v>-</v>
      </c>
      <c r="R102" s="2228">
        <f>IF('Annual Parameters Source'!R103="","-",'Annual Parameters Source'!R103)</f>
        <v>1.9720316329457699</v>
      </c>
      <c r="S102" s="2229">
        <f>IF('Annual Parameters Source'!S103="","-",'Annual Parameters Source'!S103)</f>
        <v>267.27078840858957</v>
      </c>
      <c r="T102" s="2228">
        <f>IF('Annual Parameters Source'!T103="","-",'Annual Parameters Source'!T103)</f>
        <v>1.9720316329457699</v>
      </c>
      <c r="U102" s="2228">
        <f>IF('Annual Parameters Source'!U103="","-",'Annual Parameters Source'!U103)</f>
        <v>1.9720316329457699</v>
      </c>
      <c r="V102" s="2230">
        <f>IF('Annual Parameters Source'!V103="","-",'Annual Parameters Source'!V103)</f>
        <v>237.0594051287564</v>
      </c>
      <c r="W102" s="2231">
        <f>IF('Annual Parameters Source'!W103="","-",'Annual Parameters Source'!W103)</f>
        <v>237.0594051287564</v>
      </c>
    </row>
    <row r="103" spans="1:23" ht="13.5" customHeight="1">
      <c r="A103" s="2226"/>
      <c r="B103" s="2166">
        <v>2060</v>
      </c>
      <c r="C103" s="2189"/>
      <c r="D103" s="2227">
        <f>IF('Annual Parameters Source'!D104="","-",'Annual Parameters Source'!D104/VLOOKUP($B$14,'Annual Parameters Source'!$B$34:$D$144,3,1)*100)</f>
        <v>292.3010299865104</v>
      </c>
      <c r="E103" s="2163" t="str">
        <f>IF('Annual Parameters Source'!E104="","-",'Annual Parameters Source'!E104)</f>
        <v>-</v>
      </c>
      <c r="F103" s="2228">
        <f>IF('Annual Parameters Source'!F104="","-",'Annual Parameters Source'!F104)</f>
        <v>2.1665787428213124</v>
      </c>
      <c r="G103" s="2229">
        <f>IF('Annual Parameters Source'!G104="","-",'Annual Parameters Source'!G104)</f>
        <v>418.16221208427311</v>
      </c>
      <c r="H103" s="2163" t="str">
        <f>IF('Annual Parameters Source'!H104="","-",'Annual Parameters Source'!H104)</f>
        <v>-</v>
      </c>
      <c r="I103" s="2228">
        <f>IF('Annual Parameters Source'!I104="","-",'Annual Parameters Source'!I104)</f>
        <v>0.17820342</v>
      </c>
      <c r="J103" s="2229">
        <f>IF('Annual Parameters Source'!J104="","-",'Annual Parameters Source'!J104)</f>
        <v>133.11022157444165</v>
      </c>
      <c r="K103" s="2163" t="str">
        <f>IF('Annual Parameters Source'!K104="","-",'Annual Parameters Source'!K104)</f>
        <v>-</v>
      </c>
      <c r="L103" s="2228">
        <f>IF('Annual Parameters Source'!L104="","-",'Annual Parameters Source'!L104)</f>
        <v>0.17820342</v>
      </c>
      <c r="M103" s="2229">
        <f>IF('Annual Parameters Source'!M104="","-",'Annual Parameters Source'!M104)</f>
        <v>138.08999676667136</v>
      </c>
      <c r="N103" s="2163" t="str">
        <f>IF('Annual Parameters Source'!N104="","-",'Annual Parameters Source'!N104)</f>
        <v>-</v>
      </c>
      <c r="O103" s="2228">
        <f>IF('Annual Parameters Source'!O104="","-",'Annual Parameters Source'!O104)</f>
        <v>1.9848382731371128</v>
      </c>
      <c r="P103" s="2229">
        <f>IF('Annual Parameters Source'!P104="","-",'Annual Parameters Source'!P104)</f>
        <v>314.14733379466014</v>
      </c>
      <c r="Q103" s="2163" t="str">
        <f>IF('Annual Parameters Source'!Q104="","-",'Annual Parameters Source'!Q104)</f>
        <v>-</v>
      </c>
      <c r="R103" s="2228">
        <f>IF('Annual Parameters Source'!R104="","-",'Annual Parameters Source'!R104)</f>
        <v>1.9848382731371128</v>
      </c>
      <c r="S103" s="2229">
        <f>IF('Annual Parameters Source'!S104="","-",'Annual Parameters Source'!S104)</f>
        <v>272.57568130983856</v>
      </c>
      <c r="T103" s="2228">
        <f>IF('Annual Parameters Source'!T104="","-",'Annual Parameters Source'!T104)</f>
        <v>1.9848382731371128</v>
      </c>
      <c r="U103" s="2228">
        <f>IF('Annual Parameters Source'!U104="","-",'Annual Parameters Source'!U104)</f>
        <v>1.9848382731371128</v>
      </c>
      <c r="V103" s="2230">
        <f>IF('Annual Parameters Source'!V104="","-",'Annual Parameters Source'!V104)</f>
        <v>241.76465093182313</v>
      </c>
      <c r="W103" s="2231">
        <f>IF('Annual Parameters Source'!W104="","-",'Annual Parameters Source'!W104)</f>
        <v>241.76465093182313</v>
      </c>
    </row>
    <row r="104" spans="1:23" ht="13.5" customHeight="1">
      <c r="A104" s="2226"/>
      <c r="B104" s="2166">
        <v>2061</v>
      </c>
      <c r="C104" s="2189"/>
      <c r="D104" s="2227">
        <f>IF('Annual Parameters Source'!D105="","-",'Annual Parameters Source'!D105/VLOOKUP($B$14,'Annual Parameters Source'!$B$34:$D$144,3,1)*100)</f>
        <v>299.02395367620016</v>
      </c>
      <c r="E104" s="2163" t="str">
        <f>IF('Annual Parameters Source'!E105="","-",'Annual Parameters Source'!E105)</f>
        <v>-</v>
      </c>
      <c r="F104" s="2228">
        <f>IF('Annual Parameters Source'!F105="","-",'Annual Parameters Source'!F105)</f>
        <v>2.189901554630147</v>
      </c>
      <c r="G104" s="2229">
        <f>IF('Annual Parameters Source'!G105="","-",'Annual Parameters Source'!G105)</f>
        <v>427.31955286758244</v>
      </c>
      <c r="H104" s="2163" t="str">
        <f>IF('Annual Parameters Source'!H105="","-",'Annual Parameters Source'!H105)</f>
        <v>-</v>
      </c>
      <c r="I104" s="2228">
        <f>IF('Annual Parameters Source'!I105="","-",'Annual Parameters Source'!I105)</f>
        <v>0.17786410999999999</v>
      </c>
      <c r="J104" s="2229">
        <f>IF('Annual Parameters Source'!J105="","-",'Annual Parameters Source'!J105)</f>
        <v>133.34697688536406</v>
      </c>
      <c r="K104" s="2163" t="str">
        <f>IF('Annual Parameters Source'!K105="","-",'Annual Parameters Source'!K105)</f>
        <v>-</v>
      </c>
      <c r="L104" s="2228">
        <f>IF('Annual Parameters Source'!L105="","-",'Annual Parameters Source'!L105)</f>
        <v>0.17786410999999999</v>
      </c>
      <c r="M104" s="2229">
        <f>IF('Annual Parameters Source'!M105="","-",'Annual Parameters Source'!M105)</f>
        <v>138.33560931041944</v>
      </c>
      <c r="N104" s="2163" t="str">
        <f>IF('Annual Parameters Source'!N105="","-",'Annual Parameters Source'!N105)</f>
        <v>-</v>
      </c>
      <c r="O104" s="2228">
        <f>IF('Annual Parameters Source'!O105="","-",'Annual Parameters Source'!O105)</f>
        <v>2.0084651060446213</v>
      </c>
      <c r="P104" s="2229">
        <f>IF('Annual Parameters Source'!P105="","-",'Annual Parameters Source'!P105)</f>
        <v>320.45687337549543</v>
      </c>
      <c r="Q104" s="2163" t="str">
        <f>IF('Annual Parameters Source'!Q105="","-",'Annual Parameters Source'!Q105)</f>
        <v>-</v>
      </c>
      <c r="R104" s="2228">
        <f>IF('Annual Parameters Source'!R105="","-",'Annual Parameters Source'!R105)</f>
        <v>2.0084651060446213</v>
      </c>
      <c r="S104" s="2229">
        <f>IF('Annual Parameters Source'!S105="","-",'Annual Parameters Source'!S105)</f>
        <v>278.05026875651004</v>
      </c>
      <c r="T104" s="2228">
        <f>IF('Annual Parameters Source'!T105="","-",'Annual Parameters Source'!T105)</f>
        <v>2.0084651060446213</v>
      </c>
      <c r="U104" s="2228">
        <f>IF('Annual Parameters Source'!U105="","-",'Annual Parameters Source'!U105)</f>
        <v>2.0084651060446213</v>
      </c>
      <c r="V104" s="2230">
        <f>IF('Annual Parameters Source'!V105="","-",'Annual Parameters Source'!V105)</f>
        <v>246.62040958453937</v>
      </c>
      <c r="W104" s="2231">
        <f>IF('Annual Parameters Source'!W105="","-",'Annual Parameters Source'!W105)</f>
        <v>246.62040958453937</v>
      </c>
    </row>
    <row r="105" spans="1:23" ht="13.5" customHeight="1">
      <c r="A105" s="2226"/>
      <c r="B105" s="2166">
        <f t="shared" ref="B105:B131" si="0">B104+1</f>
        <v>2062</v>
      </c>
      <c r="C105" s="2189"/>
      <c r="D105" s="2227">
        <f>IF('Annual Parameters Source'!D106="","-",'Annual Parameters Source'!D106/VLOOKUP($B$14,'Annual Parameters Source'!$B$34:$D$144,3,1)*100)</f>
        <v>305.90150461075274</v>
      </c>
      <c r="E105" s="2163" t="str">
        <f>IF('Annual Parameters Source'!E106="","-",'Annual Parameters Source'!E106)</f>
        <v>-</v>
      </c>
      <c r="F105" s="2228">
        <f>IF('Annual Parameters Source'!F106="","-",'Annual Parameters Source'!F106)</f>
        <v>2.2046058559892945</v>
      </c>
      <c r="G105" s="2229">
        <f>IF('Annual Parameters Source'!G106="","-",'Annual Parameters Source'!G106)</f>
        <v>436.74026475388848</v>
      </c>
      <c r="H105" s="2163" t="str">
        <f>IF('Annual Parameters Source'!H106="","-",'Annual Parameters Source'!H106)</f>
        <v>-</v>
      </c>
      <c r="I105" s="2228">
        <f>IF('Annual Parameters Source'!I106="","-",'Annual Parameters Source'!I106)</f>
        <v>0.17869584999999999</v>
      </c>
      <c r="J105" s="2229">
        <f>IF('Annual Parameters Source'!J106="","-",'Annual Parameters Source'!J106)</f>
        <v>133.58526239915867</v>
      </c>
      <c r="K105" s="2163" t="str">
        <f>IF('Annual Parameters Source'!K106="","-",'Annual Parameters Source'!K106)</f>
        <v>-</v>
      </c>
      <c r="L105" s="2228">
        <f>IF('Annual Parameters Source'!L106="","-",'Annual Parameters Source'!L106)</f>
        <v>0.17869584999999999</v>
      </c>
      <c r="M105" s="2229">
        <f>IF('Annual Parameters Source'!M106="","-",'Annual Parameters Source'!M106)</f>
        <v>138.58280930332938</v>
      </c>
      <c r="N105" s="2163" t="str">
        <f>IF('Annual Parameters Source'!N106="","-",'Annual Parameters Source'!N106)</f>
        <v>-</v>
      </c>
      <c r="O105" s="2228">
        <f>IF('Annual Parameters Source'!O106="","-",'Annual Parameters Source'!O106)</f>
        <v>2.0222962465220595</v>
      </c>
      <c r="P105" s="2229">
        <f>IF('Annual Parameters Source'!P106="","-",'Annual Parameters Source'!P106)</f>
        <v>326.93746069749</v>
      </c>
      <c r="Q105" s="2163" t="str">
        <f>IF('Annual Parameters Source'!Q106="","-",'Annual Parameters Source'!Q106)</f>
        <v>-</v>
      </c>
      <c r="R105" s="2228">
        <f>IF('Annual Parameters Source'!R106="","-",'Annual Parameters Source'!R106)</f>
        <v>2.0222962465220595</v>
      </c>
      <c r="S105" s="2229">
        <f>IF('Annual Parameters Source'!S106="","-",'Annual Parameters Source'!S106)</f>
        <v>283.67326890501744</v>
      </c>
      <c r="T105" s="2228">
        <f>IF('Annual Parameters Source'!T106="","-",'Annual Parameters Source'!T106)</f>
        <v>2.0222962465220595</v>
      </c>
      <c r="U105" s="2228">
        <f>IF('Annual Parameters Source'!U106="","-",'Annual Parameters Source'!U106)</f>
        <v>2.0222962465220595</v>
      </c>
      <c r="V105" s="2230">
        <f>IF('Annual Parameters Source'!V106="","-",'Annual Parameters Source'!V106)</f>
        <v>251.60780487072483</v>
      </c>
      <c r="W105" s="2231">
        <f>IF('Annual Parameters Source'!W106="","-",'Annual Parameters Source'!W106)</f>
        <v>251.60780487072483</v>
      </c>
    </row>
    <row r="106" spans="1:23" ht="13.5" customHeight="1">
      <c r="A106" s="2226"/>
      <c r="B106" s="2166">
        <f t="shared" si="0"/>
        <v>2063</v>
      </c>
      <c r="C106" s="2189"/>
      <c r="D106" s="2227">
        <f>IF('Annual Parameters Source'!D107="","-",'Annual Parameters Source'!D107/VLOOKUP($B$14,'Annual Parameters Source'!$B$34:$D$144,3,1)*100)</f>
        <v>312.93723921680004</v>
      </c>
      <c r="E106" s="2163" t="str">
        <f>IF('Annual Parameters Source'!E107="","-",'Annual Parameters Source'!E107)</f>
        <v>-</v>
      </c>
      <c r="F106" s="2228">
        <f>IF('Annual Parameters Source'!F107="","-",'Annual Parameters Source'!F107)</f>
        <v>2.2224098144794979</v>
      </c>
      <c r="G106" s="2229">
        <f>IF('Annual Parameters Source'!G107="","-",'Annual Parameters Source'!G107)</f>
        <v>446.44642326156264</v>
      </c>
      <c r="H106" s="2163" t="str">
        <f>IF('Annual Parameters Source'!H107="","-",'Annual Parameters Source'!H107)</f>
        <v>-</v>
      </c>
      <c r="I106" s="2228">
        <f>IF('Annual Parameters Source'!I107="","-",'Annual Parameters Source'!I107)</f>
        <v>0.18056607999999999</v>
      </c>
      <c r="J106" s="2229">
        <f>IF('Annual Parameters Source'!J107="","-",'Annual Parameters Source'!J107)</f>
        <v>133.82647207093055</v>
      </c>
      <c r="K106" s="2163" t="str">
        <f>IF('Annual Parameters Source'!K107="","-",'Annual Parameters Source'!K107)</f>
        <v>-</v>
      </c>
      <c r="L106" s="2228">
        <f>IF('Annual Parameters Source'!L107="","-",'Annual Parameters Source'!L107)</f>
        <v>0.18056607999999999</v>
      </c>
      <c r="M106" s="2229">
        <f>IF('Annual Parameters Source'!M107="","-",'Annual Parameters Source'!M107)</f>
        <v>138.83304284964231</v>
      </c>
      <c r="N106" s="2163" t="str">
        <f>IF('Annual Parameters Source'!N107="","-",'Annual Parameters Source'!N107)</f>
        <v>-</v>
      </c>
      <c r="O106" s="2228">
        <f>IF('Annual Parameters Source'!O107="","-",'Annual Parameters Source'!O107)</f>
        <v>2.038163502538981</v>
      </c>
      <c r="P106" s="2229">
        <f>IF('Annual Parameters Source'!P107="","-",'Annual Parameters Source'!P107)</f>
        <v>333.60098069755395</v>
      </c>
      <c r="Q106" s="2163" t="str">
        <f>IF('Annual Parameters Source'!Q107="","-",'Annual Parameters Source'!Q107)</f>
        <v>-</v>
      </c>
      <c r="R106" s="2228">
        <f>IF('Annual Parameters Source'!R107="","-",'Annual Parameters Source'!R107)</f>
        <v>2.038163502538981</v>
      </c>
      <c r="S106" s="2229">
        <f>IF('Annual Parameters Source'!S107="","-",'Annual Parameters Source'!S107)</f>
        <v>289.45499393829874</v>
      </c>
      <c r="T106" s="2228">
        <f>IF('Annual Parameters Source'!T107="","-",'Annual Parameters Source'!T107)</f>
        <v>2.038163502538981</v>
      </c>
      <c r="U106" s="2228">
        <f>IF('Annual Parameters Source'!U107="","-",'Annual Parameters Source'!U107)</f>
        <v>2.038163502538981</v>
      </c>
      <c r="V106" s="2230">
        <f>IF('Annual Parameters Source'!V107="","-",'Annual Parameters Source'!V107)</f>
        <v>256.73598331913945</v>
      </c>
      <c r="W106" s="2231">
        <f>IF('Annual Parameters Source'!W107="","-",'Annual Parameters Source'!W107)</f>
        <v>256.73598331913945</v>
      </c>
    </row>
    <row r="107" spans="1:23" ht="13.5" customHeight="1">
      <c r="A107" s="2226"/>
      <c r="B107" s="2166">
        <f t="shared" si="0"/>
        <v>2064</v>
      </c>
      <c r="C107" s="2189"/>
      <c r="D107" s="2227">
        <f>IF('Annual Parameters Source'!D108="","-",'Annual Parameters Source'!D108/VLOOKUP($B$14,'Annual Parameters Source'!$B$34:$D$144,3,1)*100)</f>
        <v>320.13479571878639</v>
      </c>
      <c r="E107" s="2163" t="str">
        <f>IF('Annual Parameters Source'!E108="","-",'Annual Parameters Source'!E108)</f>
        <v>-</v>
      </c>
      <c r="F107" s="2228">
        <f>IF('Annual Parameters Source'!F108="","-",'Annual Parameters Source'!F108)</f>
        <v>2.2514545344155312</v>
      </c>
      <c r="G107" s="2229">
        <f>IF('Annual Parameters Source'!G108="","-",'Annual Parameters Source'!G108)</f>
        <v>456.49796150182107</v>
      </c>
      <c r="H107" s="2163" t="str">
        <f>IF('Annual Parameters Source'!H108="","-",'Annual Parameters Source'!H108)</f>
        <v>-</v>
      </c>
      <c r="I107" s="2228">
        <f>IF('Annual Parameters Source'!I108="","-",'Annual Parameters Source'!I108)</f>
        <v>0.18337589999999998</v>
      </c>
      <c r="J107" s="2229">
        <f>IF('Annual Parameters Source'!J108="","-",'Annual Parameters Source'!J108)</f>
        <v>134.07187756852886</v>
      </c>
      <c r="K107" s="2163" t="str">
        <f>IF('Annual Parameters Source'!K108="","-",'Annual Parameters Source'!K108)</f>
        <v>-</v>
      </c>
      <c r="L107" s="2228">
        <f>IF('Annual Parameters Source'!L108="","-",'Annual Parameters Source'!L108)</f>
        <v>0.18337589999999998</v>
      </c>
      <c r="M107" s="2229">
        <f>IF('Annual Parameters Source'!M108="","-",'Annual Parameters Source'!M108)</f>
        <v>139.08762919146523</v>
      </c>
      <c r="N107" s="2163" t="str">
        <f>IF('Annual Parameters Source'!N108="","-",'Annual Parameters Source'!N108)</f>
        <v>-</v>
      </c>
      <c r="O107" s="2228">
        <f>IF('Annual Parameters Source'!O108="","-",'Annual Parameters Source'!O108)</f>
        <v>2.0642932181481166</v>
      </c>
      <c r="P107" s="2229">
        <f>IF('Annual Parameters Source'!P108="","-",'Annual Parameters Source'!P108)</f>
        <v>340.48748311776916</v>
      </c>
      <c r="Q107" s="2163" t="str">
        <f>IF('Annual Parameters Source'!Q108="","-",'Annual Parameters Source'!Q108)</f>
        <v>-</v>
      </c>
      <c r="R107" s="2228">
        <f>IF('Annual Parameters Source'!R108="","-",'Annual Parameters Source'!R108)</f>
        <v>2.0642932181481166</v>
      </c>
      <c r="S107" s="2229">
        <f>IF('Annual Parameters Source'!S108="","-",'Annual Parameters Source'!S108)</f>
        <v>295.4301937477581</v>
      </c>
      <c r="T107" s="2228">
        <f>IF('Annual Parameters Source'!T108="","-",'Annual Parameters Source'!T108)</f>
        <v>2.0642932181481166</v>
      </c>
      <c r="U107" s="2228">
        <f>IF('Annual Parameters Source'!U108="","-",'Annual Parameters Source'!U108)</f>
        <v>2.0642932181481166</v>
      </c>
      <c r="V107" s="2230">
        <f>IF('Annual Parameters Source'!V108="","-",'Annual Parameters Source'!V108)</f>
        <v>262.03576681134234</v>
      </c>
      <c r="W107" s="2231">
        <f>IF('Annual Parameters Source'!W108="","-",'Annual Parameters Source'!W108)</f>
        <v>262.03576681134234</v>
      </c>
    </row>
    <row r="108" spans="1:23" ht="13.5" customHeight="1">
      <c r="A108" s="2226"/>
      <c r="B108" s="2166">
        <f t="shared" si="0"/>
        <v>2065</v>
      </c>
      <c r="C108" s="2189"/>
      <c r="D108" s="2227">
        <f>IF('Annual Parameters Source'!D109="","-",'Annual Parameters Source'!D109/VLOOKUP($B$14,'Annual Parameters Source'!$B$34:$D$144,3,1)*100)</f>
        <v>327.49789602031842</v>
      </c>
      <c r="E108" s="2163" t="str">
        <f>IF('Annual Parameters Source'!E109="","-",'Annual Parameters Source'!E109)</f>
        <v>-</v>
      </c>
      <c r="F108" s="2228">
        <f>IF('Annual Parameters Source'!F109="","-",'Annual Parameters Source'!F109)</f>
        <v>2.3240183285850424</v>
      </c>
      <c r="G108" s="2229">
        <f>IF('Annual Parameters Source'!G109="","-",'Annual Parameters Source'!G109)</f>
        <v>467.10705779674049</v>
      </c>
      <c r="H108" s="2163" t="str">
        <f>IF('Annual Parameters Source'!H109="","-",'Annual Parameters Source'!H109)</f>
        <v>-</v>
      </c>
      <c r="I108" s="2228">
        <f>IF('Annual Parameters Source'!I109="","-",'Annual Parameters Source'!I109)</f>
        <v>0.18695934</v>
      </c>
      <c r="J108" s="2229">
        <f>IF('Annual Parameters Source'!J109="","-",'Annual Parameters Source'!J109)</f>
        <v>134.3225374659566</v>
      </c>
      <c r="K108" s="2163" t="str">
        <f>IF('Annual Parameters Source'!K109="","-",'Annual Parameters Source'!K109)</f>
        <v>-</v>
      </c>
      <c r="L108" s="2228">
        <f>IF('Annual Parameters Source'!L109="","-",'Annual Parameters Source'!L109)</f>
        <v>0.18695934</v>
      </c>
      <c r="M108" s="2229">
        <f>IF('Annual Parameters Source'!M109="","-",'Annual Parameters Source'!M109)</f>
        <v>139.34766650502326</v>
      </c>
      <c r="N108" s="2163" t="str">
        <f>IF('Annual Parameters Source'!N109="","-",'Annual Parameters Source'!N109)</f>
        <v>-</v>
      </c>
      <c r="O108" s="2228">
        <f>IF('Annual Parameters Source'!O109="","-",'Annual Parameters Source'!O109)</f>
        <v>2.1330710130972319</v>
      </c>
      <c r="P108" s="2229">
        <f>IF('Annual Parameters Source'!P109="","-",'Annual Parameters Source'!P109)</f>
        <v>347.75032292337863</v>
      </c>
      <c r="Q108" s="2163" t="str">
        <f>IF('Annual Parameters Source'!Q109="","-",'Annual Parameters Source'!Q109)</f>
        <v>-</v>
      </c>
      <c r="R108" s="2228">
        <f>IF('Annual Parameters Source'!R109="","-",'Annual Parameters Source'!R109)</f>
        <v>2.1330710130972319</v>
      </c>
      <c r="S108" s="2229">
        <f>IF('Annual Parameters Source'!S109="","-",'Annual Parameters Source'!S109)</f>
        <v>301.73192957452852</v>
      </c>
      <c r="T108" s="2228">
        <f>IF('Annual Parameters Source'!T109="","-",'Annual Parameters Source'!T109)</f>
        <v>2.1330710130972319</v>
      </c>
      <c r="U108" s="2228">
        <f>IF('Annual Parameters Source'!U109="","-",'Annual Parameters Source'!U109)</f>
        <v>2.1330710130972319</v>
      </c>
      <c r="V108" s="2230">
        <f>IF('Annual Parameters Source'!V109="","-",'Annual Parameters Source'!V109)</f>
        <v>267.62517579714216</v>
      </c>
      <c r="W108" s="2231">
        <f>IF('Annual Parameters Source'!W109="","-",'Annual Parameters Source'!W109)</f>
        <v>267.62517579714216</v>
      </c>
    </row>
    <row r="109" spans="1:23" ht="13.5" customHeight="1">
      <c r="A109" s="2226"/>
      <c r="B109" s="2166">
        <f t="shared" si="0"/>
        <v>2066</v>
      </c>
      <c r="C109" s="2189"/>
      <c r="D109" s="2227">
        <f>IF('Annual Parameters Source'!D110="","-",'Annual Parameters Source'!D110/VLOOKUP($B$14,'Annual Parameters Source'!$B$34:$D$144,3,1)*100)</f>
        <v>335.03034762878576</v>
      </c>
      <c r="E109" s="2163" t="str">
        <f>IF('Annual Parameters Source'!E110="","-",'Annual Parameters Source'!E110)</f>
        <v>-</v>
      </c>
      <c r="F109" s="2228">
        <f>IF('Annual Parameters Source'!F110="","-",'Annual Parameters Source'!F110)</f>
        <v>2.3403572406861528</v>
      </c>
      <c r="G109" s="2229">
        <f>IF('Annual Parameters Source'!G110="","-",'Annual Parameters Source'!G110)</f>
        <v>478.03903164564258</v>
      </c>
      <c r="H109" s="2163" t="str">
        <f>IF('Annual Parameters Source'!H110="","-",'Annual Parameters Source'!H110)</f>
        <v>-</v>
      </c>
      <c r="I109" s="2228">
        <f>IF('Annual Parameters Source'!I110="","-",'Annual Parameters Source'!I110)</f>
        <v>0.19110224000000001</v>
      </c>
      <c r="J109" s="2229">
        <f>IF('Annual Parameters Source'!J110="","-",'Annual Parameters Source'!J110)</f>
        <v>134.57923084387889</v>
      </c>
      <c r="K109" s="2163" t="str">
        <f>IF('Annual Parameters Source'!K110="","-",'Annual Parameters Source'!K110)</f>
        <v>-</v>
      </c>
      <c r="L109" s="2228">
        <f>IF('Annual Parameters Source'!L110="","-",'Annual Parameters Source'!L110)</f>
        <v>0.19110224000000001</v>
      </c>
      <c r="M109" s="2229">
        <f>IF('Annual Parameters Source'!M110="","-",'Annual Parameters Source'!M110)</f>
        <v>139.61396301710209</v>
      </c>
      <c r="N109" s="2163" t="str">
        <f>IF('Annual Parameters Source'!N110="","-",'Annual Parameters Source'!N110)</f>
        <v>-</v>
      </c>
      <c r="O109" s="2228">
        <f>IF('Annual Parameters Source'!O110="","-",'Annual Parameters Source'!O110)</f>
        <v>2.1451555603588135</v>
      </c>
      <c r="P109" s="2229">
        <f>IF('Annual Parameters Source'!P110="","-",'Annual Parameters Source'!P110)</f>
        <v>355.21010831173521</v>
      </c>
      <c r="Q109" s="2163" t="str">
        <f>IF('Annual Parameters Source'!Q110="","-",'Annual Parameters Source'!Q110)</f>
        <v>-</v>
      </c>
      <c r="R109" s="2228">
        <f>IF('Annual Parameters Source'!R110="","-",'Annual Parameters Source'!R110)</f>
        <v>2.1451555603588135</v>
      </c>
      <c r="S109" s="2229">
        <f>IF('Annual Parameters Source'!S110="","-",'Annual Parameters Source'!S110)</f>
        <v>308.20454883917444</v>
      </c>
      <c r="T109" s="2228">
        <f>IF('Annual Parameters Source'!T110="","-",'Annual Parameters Source'!T110)</f>
        <v>2.1451555603588135</v>
      </c>
      <c r="U109" s="2228">
        <f>IF('Annual Parameters Source'!U110="","-",'Annual Parameters Source'!U110)</f>
        <v>2.1451555603588135</v>
      </c>
      <c r="V109" s="2230">
        <f>IF('Annual Parameters Source'!V110="","-",'Annual Parameters Source'!V110)</f>
        <v>273.3661521366746</v>
      </c>
      <c r="W109" s="2231">
        <f>IF('Annual Parameters Source'!W110="","-",'Annual Parameters Source'!W110)</f>
        <v>273.3661521366746</v>
      </c>
    </row>
    <row r="110" spans="1:23" ht="13.5" customHeight="1">
      <c r="A110" s="2226"/>
      <c r="B110" s="2166">
        <f t="shared" si="0"/>
        <v>2067</v>
      </c>
      <c r="C110" s="2189"/>
      <c r="D110" s="2227">
        <f>IF('Annual Parameters Source'!D111="","-",'Annual Parameters Source'!D111/VLOOKUP($B$14,'Annual Parameters Source'!$B$34:$D$144,3,1)*100)</f>
        <v>342.73604562424777</v>
      </c>
      <c r="E110" s="2163" t="str">
        <f>IF('Annual Parameters Source'!E111="","-",'Annual Parameters Source'!E111)</f>
        <v>-</v>
      </c>
      <c r="F110" s="2228">
        <f>IF('Annual Parameters Source'!F111="","-",'Annual Parameters Source'!F111)</f>
        <v>2.3370017624862793</v>
      </c>
      <c r="G110" s="2229">
        <f>IF('Annual Parameters Source'!G111="","-",'Annual Parameters Source'!G111)</f>
        <v>489.2108122405736</v>
      </c>
      <c r="H110" s="2163" t="str">
        <f>IF('Annual Parameters Source'!H111="","-",'Annual Parameters Source'!H111)</f>
        <v>-</v>
      </c>
      <c r="I110" s="2228">
        <f>IF('Annual Parameters Source'!I111="","-",'Annual Parameters Source'!I111)</f>
        <v>0.19564538000000001</v>
      </c>
      <c r="J110" s="2229">
        <f>IF('Annual Parameters Source'!J111="","-",'Annual Parameters Source'!J111)</f>
        <v>134.84252889146447</v>
      </c>
      <c r="K110" s="2163" t="str">
        <f>IF('Annual Parameters Source'!K111="","-",'Annual Parameters Source'!K111)</f>
        <v>-</v>
      </c>
      <c r="L110" s="2228">
        <f>IF('Annual Parameters Source'!L111="","-",'Annual Parameters Source'!L111)</f>
        <v>0.19564538000000001</v>
      </c>
      <c r="M110" s="2229">
        <f>IF('Annual Parameters Source'!M111="","-",'Annual Parameters Source'!M111)</f>
        <v>139.88711128557995</v>
      </c>
      <c r="N110" s="2163" t="str">
        <f>IF('Annual Parameters Source'!N111="","-",'Annual Parameters Source'!N111)</f>
        <v>-</v>
      </c>
      <c r="O110" s="2228">
        <f>IF('Annual Parameters Source'!O111="","-",'Annual Parameters Source'!O111)</f>
        <v>2.1371750981442394</v>
      </c>
      <c r="P110" s="2229">
        <f>IF('Annual Parameters Source'!P111="","-",'Annual Parameters Source'!P111)</f>
        <v>362.80157029266485</v>
      </c>
      <c r="Q110" s="2163" t="str">
        <f>IF('Annual Parameters Source'!Q111="","-",'Annual Parameters Source'!Q111)</f>
        <v>-</v>
      </c>
      <c r="R110" s="2228">
        <f>IF('Annual Parameters Source'!R111="","-",'Annual Parameters Source'!R111)</f>
        <v>2.1371750981442394</v>
      </c>
      <c r="S110" s="2229">
        <f>IF('Annual Parameters Source'!S111="","-",'Annual Parameters Source'!S111)</f>
        <v>314.79141970831307</v>
      </c>
      <c r="T110" s="2228">
        <f>IF('Annual Parameters Source'!T111="","-",'Annual Parameters Source'!T111)</f>
        <v>2.1371750981442394</v>
      </c>
      <c r="U110" s="2228">
        <f>IF('Annual Parameters Source'!U111="","-",'Annual Parameters Source'!U111)</f>
        <v>2.1371750981442394</v>
      </c>
      <c r="V110" s="2230">
        <f>IF('Annual Parameters Source'!V111="","-",'Annual Parameters Source'!V111)</f>
        <v>279.20846546689472</v>
      </c>
      <c r="W110" s="2231">
        <f>IF('Annual Parameters Source'!W111="","-",'Annual Parameters Source'!W111)</f>
        <v>279.20846546689472</v>
      </c>
    </row>
    <row r="111" spans="1:23" ht="13.5" customHeight="1">
      <c r="A111" s="2226"/>
      <c r="B111" s="2166">
        <f t="shared" si="0"/>
        <v>2068</v>
      </c>
      <c r="C111" s="2189"/>
      <c r="D111" s="2227">
        <f>IF('Annual Parameters Source'!D112="","-",'Annual Parameters Source'!D112/VLOOKUP($B$14,'Annual Parameters Source'!$B$34:$D$144,3,1)*100)</f>
        <v>350.61897467360541</v>
      </c>
      <c r="E111" s="2163" t="str">
        <f>IF('Annual Parameters Source'!E112="","-",'Annual Parameters Source'!E112)</f>
        <v>-</v>
      </c>
      <c r="F111" s="2228">
        <f>IF('Annual Parameters Source'!F112="","-",'Annual Parameters Source'!F112)</f>
        <v>2.3293400578637158</v>
      </c>
      <c r="G111" s="2229">
        <f>IF('Annual Parameters Source'!G112="","-",'Annual Parameters Source'!G112)</f>
        <v>500.60619565749374</v>
      </c>
      <c r="H111" s="2163" t="str">
        <f>IF('Annual Parameters Source'!H112="","-",'Annual Parameters Source'!H112)</f>
        <v>-</v>
      </c>
      <c r="I111" s="2228">
        <f>IF('Annual Parameters Source'!I112="","-",'Annual Parameters Source'!I112)</f>
        <v>0.20032854000000003</v>
      </c>
      <c r="J111" s="2229">
        <f>IF('Annual Parameters Source'!J112="","-",'Annual Parameters Source'!J112)</f>
        <v>135.11265696089183</v>
      </c>
      <c r="K111" s="2163" t="str">
        <f>IF('Annual Parameters Source'!K112="","-",'Annual Parameters Source'!K112)</f>
        <v>-</v>
      </c>
      <c r="L111" s="2228">
        <f>IF('Annual Parameters Source'!L112="","-",'Annual Parameters Source'!L112)</f>
        <v>0.20032854000000003</v>
      </c>
      <c r="M111" s="2229">
        <f>IF('Annual Parameters Source'!M112="","-",'Annual Parameters Source'!M112)</f>
        <v>140.16734509326653</v>
      </c>
      <c r="N111" s="2163" t="str">
        <f>IF('Annual Parameters Source'!N112="","-",'Annual Parameters Source'!N112)</f>
        <v>-</v>
      </c>
      <c r="O111" s="2228">
        <f>IF('Annual Parameters Source'!O112="","-",'Annual Parameters Source'!O112)</f>
        <v>2.124755027139269</v>
      </c>
      <c r="P111" s="2229">
        <f>IF('Annual Parameters Source'!P112="","-",'Annual Parameters Source'!P112)</f>
        <v>370.51021489599844</v>
      </c>
      <c r="Q111" s="2163" t="str">
        <f>IF('Annual Parameters Source'!Q112="","-",'Annual Parameters Source'!Q112)</f>
        <v>-</v>
      </c>
      <c r="R111" s="2228">
        <f>IF('Annual Parameters Source'!R112="","-",'Annual Parameters Source'!R112)</f>
        <v>2.124755027139269</v>
      </c>
      <c r="S111" s="2229">
        <f>IF('Annual Parameters Source'!S112="","-",'Annual Parameters Source'!S112)</f>
        <v>321.47996622356857</v>
      </c>
      <c r="T111" s="2228">
        <f>IF('Annual Parameters Source'!T112="","-",'Annual Parameters Source'!T112)</f>
        <v>2.124755027139269</v>
      </c>
      <c r="U111" s="2228">
        <f>IF('Annual Parameters Source'!U112="","-",'Annual Parameters Source'!U112)</f>
        <v>2.124755027139269</v>
      </c>
      <c r="V111" s="2230">
        <f>IF('Annual Parameters Source'!V112="","-",'Annual Parameters Source'!V112)</f>
        <v>285.14096137310099</v>
      </c>
      <c r="W111" s="2231">
        <f>IF('Annual Parameters Source'!W112="","-",'Annual Parameters Source'!W112)</f>
        <v>285.14096137310099</v>
      </c>
    </row>
    <row r="112" spans="1:23" ht="13.5" customHeight="1">
      <c r="A112" s="2226"/>
      <c r="B112" s="2166">
        <f t="shared" si="0"/>
        <v>2069</v>
      </c>
      <c r="C112" s="2189"/>
      <c r="D112" s="2227">
        <f>IF('Annual Parameters Source'!D113="","-",'Annual Parameters Source'!D113/VLOOKUP($B$14,'Annual Parameters Source'!$B$34:$D$144,3,1)*100)</f>
        <v>358.68321109109837</v>
      </c>
      <c r="E112" s="2163" t="str">
        <f>IF('Annual Parameters Source'!E113="","-",'Annual Parameters Source'!E113)</f>
        <v>-</v>
      </c>
      <c r="F112" s="2228">
        <f>IF('Annual Parameters Source'!F113="","-",'Annual Parameters Source'!F113)</f>
        <v>2.3293400578637158</v>
      </c>
      <c r="G112" s="2229">
        <f>IF('Annual Parameters Source'!G113="","-",'Annual Parameters Source'!G113)</f>
        <v>512.26701630509137</v>
      </c>
      <c r="H112" s="2163" t="str">
        <f>IF('Annual Parameters Source'!H113="","-",'Annual Parameters Source'!H113)</f>
        <v>-</v>
      </c>
      <c r="I112" s="2228">
        <f>IF('Annual Parameters Source'!I113="","-",'Annual Parameters Source'!I113)</f>
        <v>0.20501022999999999</v>
      </c>
      <c r="J112" s="2229">
        <f>IF('Annual Parameters Source'!J113="","-",'Annual Parameters Source'!J113)</f>
        <v>135.38965172968648</v>
      </c>
      <c r="K112" s="2163" t="str">
        <f>IF('Annual Parameters Source'!K113="","-",'Annual Parameters Source'!K113)</f>
        <v>-</v>
      </c>
      <c r="L112" s="2228">
        <f>IF('Annual Parameters Source'!L113="","-",'Annual Parameters Source'!L113)</f>
        <v>0.20501022999999999</v>
      </c>
      <c r="M112" s="2229">
        <f>IF('Annual Parameters Source'!M113="","-",'Annual Parameters Source'!M113)</f>
        <v>140.45470248982713</v>
      </c>
      <c r="N112" s="2163" t="str">
        <f>IF('Annual Parameters Source'!N113="","-",'Annual Parameters Source'!N113)</f>
        <v>-</v>
      </c>
      <c r="O112" s="2228">
        <f>IF('Annual Parameters Source'!O113="","-",'Annual Parameters Source'!O113)</f>
        <v>2.1199836445181308</v>
      </c>
      <c r="P112" s="2229">
        <f>IF('Annual Parameters Source'!P113="","-",'Annual Parameters Source'!P113)</f>
        <v>378.36497085306257</v>
      </c>
      <c r="Q112" s="2163" t="str">
        <f>IF('Annual Parameters Source'!Q113="","-",'Annual Parameters Source'!Q113)</f>
        <v>-</v>
      </c>
      <c r="R112" s="2228">
        <f>IF('Annual Parameters Source'!R113="","-",'Annual Parameters Source'!R113)</f>
        <v>2.1199836445181308</v>
      </c>
      <c r="S112" s="2229">
        <f>IF('Annual Parameters Source'!S113="","-",'Annual Parameters Source'!S113)</f>
        <v>328.29528892791063</v>
      </c>
      <c r="T112" s="2228">
        <f>IF('Annual Parameters Source'!T113="","-",'Annual Parameters Source'!T113)</f>
        <v>2.1199836445181308</v>
      </c>
      <c r="U112" s="2228">
        <f>IF('Annual Parameters Source'!U113="","-",'Annual Parameters Source'!U113)</f>
        <v>2.1199836445181308</v>
      </c>
      <c r="V112" s="2230">
        <f>IF('Annual Parameters Source'!V113="","-",'Annual Parameters Source'!V113)</f>
        <v>291.18590311803251</v>
      </c>
      <c r="W112" s="2231">
        <f>IF('Annual Parameters Source'!W113="","-",'Annual Parameters Source'!W113)</f>
        <v>291.18590311803251</v>
      </c>
    </row>
    <row r="113" spans="1:23" ht="13.5" customHeight="1">
      <c r="A113" s="2226"/>
      <c r="B113" s="2166">
        <f t="shared" si="0"/>
        <v>2070</v>
      </c>
      <c r="C113" s="2189"/>
      <c r="D113" s="2227">
        <f>IF('Annual Parameters Source'!D114="","-",'Annual Parameters Source'!D114/VLOOKUP($B$14,'Annual Parameters Source'!$B$34:$D$144,3,1)*100)</f>
        <v>366.93292494619357</v>
      </c>
      <c r="E113" s="2163" t="str">
        <f>IF('Annual Parameters Source'!E114="","-",'Annual Parameters Source'!E114)</f>
        <v>-</v>
      </c>
      <c r="F113" s="2228">
        <f>IF('Annual Parameters Source'!F114="","-",'Annual Parameters Source'!F114)</f>
        <v>2.3293400578637158</v>
      </c>
      <c r="G113" s="2229">
        <f>IF('Annual Parameters Source'!G114="","-",'Annual Parameters Source'!G114)</f>
        <v>524.19945711910918</v>
      </c>
      <c r="H113" s="2163" t="str">
        <f>IF('Annual Parameters Source'!H114="","-",'Annual Parameters Source'!H114)</f>
        <v>-</v>
      </c>
      <c r="I113" s="2228">
        <f>IF('Annual Parameters Source'!I114="","-",'Annual Parameters Source'!I114)</f>
        <v>0.20944327000000001</v>
      </c>
      <c r="J113" s="2229">
        <f>IF('Annual Parameters Source'!J114="","-",'Annual Parameters Source'!J114)</f>
        <v>135.67321624351075</v>
      </c>
      <c r="K113" s="2163" t="str">
        <f>IF('Annual Parameters Source'!K114="","-",'Annual Parameters Source'!K114)</f>
        <v>-</v>
      </c>
      <c r="L113" s="2228">
        <f>IF('Annual Parameters Source'!L114="","-",'Annual Parameters Source'!L114)</f>
        <v>0.20944327000000001</v>
      </c>
      <c r="M113" s="2229">
        <f>IF('Annual Parameters Source'!M114="","-",'Annual Parameters Source'!M114)</f>
        <v>140.74887541159057</v>
      </c>
      <c r="N113" s="2163" t="str">
        <f>IF('Annual Parameters Source'!N114="","-",'Annual Parameters Source'!N114)</f>
        <v>-</v>
      </c>
      <c r="O113" s="2228">
        <f>IF('Annual Parameters Source'!O114="","-",'Annual Parameters Source'!O114)</f>
        <v>2.1154660865163821</v>
      </c>
      <c r="P113" s="2229">
        <f>IF('Annual Parameters Source'!P114="","-",'Annual Parameters Source'!P114)</f>
        <v>386.36915349471667</v>
      </c>
      <c r="Q113" s="2163" t="str">
        <f>IF('Annual Parameters Source'!Q114="","-",'Annual Parameters Source'!Q114)</f>
        <v>-</v>
      </c>
      <c r="R113" s="2228">
        <f>IF('Annual Parameters Source'!R114="","-",'Annual Parameters Source'!R114)</f>
        <v>2.1154660865163821</v>
      </c>
      <c r="S113" s="2229">
        <f>IF('Annual Parameters Source'!S114="","-",'Annual Parameters Source'!S114)</f>
        <v>335.24026442881154</v>
      </c>
      <c r="T113" s="2228">
        <f>IF('Annual Parameters Source'!T114="","-",'Annual Parameters Source'!T114)</f>
        <v>2.1154660865163821</v>
      </c>
      <c r="U113" s="2228">
        <f>IF('Annual Parameters Source'!U114="","-",'Annual Parameters Source'!U114)</f>
        <v>2.1154660865163821</v>
      </c>
      <c r="V113" s="2230">
        <f>IF('Annual Parameters Source'!V114="","-",'Annual Parameters Source'!V114)</f>
        <v>297.34584214721093</v>
      </c>
      <c r="W113" s="2231">
        <f>IF('Annual Parameters Source'!W114="","-",'Annual Parameters Source'!W114)</f>
        <v>297.34584214721093</v>
      </c>
    </row>
    <row r="114" spans="1:23" ht="13.5" customHeight="1">
      <c r="A114" s="2226"/>
      <c r="B114" s="2166">
        <f t="shared" si="0"/>
        <v>2071</v>
      </c>
      <c r="C114" s="2189"/>
      <c r="D114" s="2227">
        <f>IF('Annual Parameters Source'!D115="","-",'Annual Parameters Source'!D115/VLOOKUP($B$14,'Annual Parameters Source'!$B$34:$D$144,3,1)*100)</f>
        <v>375.37238221995597</v>
      </c>
      <c r="E114" s="2163" t="str">
        <f>IF('Annual Parameters Source'!E115="","-",'Annual Parameters Source'!E115)</f>
        <v>-</v>
      </c>
      <c r="F114" s="2228">
        <f>IF('Annual Parameters Source'!F115="","-",'Annual Parameters Source'!F115)</f>
        <v>2.3293400578637158</v>
      </c>
      <c r="G114" s="2229">
        <f>IF('Annual Parameters Source'!G115="","-",'Annual Parameters Source'!G115)</f>
        <v>536.40984505688868</v>
      </c>
      <c r="H114" s="2163" t="str">
        <f>IF('Annual Parameters Source'!H115="","-",'Annual Parameters Source'!H115)</f>
        <v>-</v>
      </c>
      <c r="I114" s="2228">
        <f>IF('Annual Parameters Source'!I115="","-",'Annual Parameters Source'!I115)</f>
        <v>0.21345001000000002</v>
      </c>
      <c r="J114" s="2229">
        <f>IF('Annual Parameters Source'!J115="","-",'Annual Parameters Source'!J115)</f>
        <v>135.96281073714985</v>
      </c>
      <c r="K114" s="2163" t="str">
        <f>IF('Annual Parameters Source'!K115="","-",'Annual Parameters Source'!K115)</f>
        <v>-</v>
      </c>
      <c r="L114" s="2228">
        <f>IF('Annual Parameters Source'!L115="","-",'Annual Parameters Source'!L115)</f>
        <v>0.21345001000000002</v>
      </c>
      <c r="M114" s="2229">
        <f>IF('Annual Parameters Source'!M115="","-",'Annual Parameters Source'!M115)</f>
        <v>141.04930390023151</v>
      </c>
      <c r="N114" s="2163" t="str">
        <f>IF('Annual Parameters Source'!N115="","-",'Annual Parameters Source'!N115)</f>
        <v>-</v>
      </c>
      <c r="O114" s="2228">
        <f>IF('Annual Parameters Source'!O115="","-",'Annual Parameters Source'!O115)</f>
        <v>2.111383299998737</v>
      </c>
      <c r="P114" s="2229">
        <f>IF('Annual Parameters Source'!P115="","-",'Annual Parameters Source'!P115)</f>
        <v>394.52688727795061</v>
      </c>
      <c r="Q114" s="2163" t="str">
        <f>IF('Annual Parameters Source'!Q115="","-",'Annual Parameters Source'!Q115)</f>
        <v>-</v>
      </c>
      <c r="R114" s="2228">
        <f>IF('Annual Parameters Source'!R115="","-",'Annual Parameters Source'!R115)</f>
        <v>2.111383299998737</v>
      </c>
      <c r="S114" s="2229">
        <f>IF('Annual Parameters Source'!S115="","-",'Annual Parameters Source'!S115)</f>
        <v>342.31847138683304</v>
      </c>
      <c r="T114" s="2228">
        <f>IF('Annual Parameters Source'!T115="","-",'Annual Parameters Source'!T115)</f>
        <v>2.111383299998737</v>
      </c>
      <c r="U114" s="2228">
        <f>IF('Annual Parameters Source'!U115="","-",'Annual Parameters Source'!U115)</f>
        <v>2.111383299998737</v>
      </c>
      <c r="V114" s="2230">
        <f>IF('Annual Parameters Source'!V115="","-",'Annual Parameters Source'!V115)</f>
        <v>303.62395260154773</v>
      </c>
      <c r="W114" s="2231">
        <f>IF('Annual Parameters Source'!W115="","-",'Annual Parameters Source'!W115)</f>
        <v>303.62395260154773</v>
      </c>
    </row>
    <row r="115" spans="1:23" ht="13.5" customHeight="1">
      <c r="A115" s="2226"/>
      <c r="B115" s="2166">
        <f t="shared" si="0"/>
        <v>2072</v>
      </c>
      <c r="C115" s="2189"/>
      <c r="D115" s="2227">
        <f>IF('Annual Parameters Source'!D116="","-",'Annual Parameters Source'!D116/VLOOKUP($B$14,'Annual Parameters Source'!$B$34:$D$144,3,1)*100)</f>
        <v>384.00594701101494</v>
      </c>
      <c r="E115" s="2163" t="str">
        <f>IF('Annual Parameters Source'!E116="","-",'Annual Parameters Source'!E116)</f>
        <v>-</v>
      </c>
      <c r="F115" s="2228">
        <f>IF('Annual Parameters Source'!F116="","-",'Annual Parameters Source'!F116)</f>
        <v>2.3293400578637158</v>
      </c>
      <c r="G115" s="2229">
        <f>IF('Annual Parameters Source'!G116="","-",'Annual Parameters Source'!G116)</f>
        <v>548.90465445212351</v>
      </c>
      <c r="H115" s="2163" t="str">
        <f>IF('Annual Parameters Source'!H116="","-",'Annual Parameters Source'!H116)</f>
        <v>-</v>
      </c>
      <c r="I115" s="2228">
        <f>IF('Annual Parameters Source'!I116="","-",'Annual Parameters Source'!I116)</f>
        <v>0.21689978000000001</v>
      </c>
      <c r="J115" s="2229">
        <f>IF('Annual Parameters Source'!J116="","-",'Annual Parameters Source'!J116)</f>
        <v>136.25771377452057</v>
      </c>
      <c r="K115" s="2163" t="str">
        <f>IF('Annual Parameters Source'!K116="","-",'Annual Parameters Source'!K116)</f>
        <v>-</v>
      </c>
      <c r="L115" s="2228">
        <f>IF('Annual Parameters Source'!L116="","-",'Annual Parameters Source'!L116)</f>
        <v>0.21689978000000001</v>
      </c>
      <c r="M115" s="2229">
        <f>IF('Annual Parameters Source'!M116="","-",'Annual Parameters Source'!M116)</f>
        <v>141.35523953008266</v>
      </c>
      <c r="N115" s="2163" t="str">
        <f>IF('Annual Parameters Source'!N116="","-",'Annual Parameters Source'!N116)</f>
        <v>-</v>
      </c>
      <c r="O115" s="2228">
        <f>IF('Annual Parameters Source'!O116="","-",'Annual Parameters Source'!O116)</f>
        <v>2.1078683161233513</v>
      </c>
      <c r="P115" s="2229">
        <f>IF('Annual Parameters Source'!P116="","-",'Annual Parameters Source'!P116)</f>
        <v>402.84299453347029</v>
      </c>
      <c r="Q115" s="2163" t="str">
        <f>IF('Annual Parameters Source'!Q116="","-",'Annual Parameters Source'!Q116)</f>
        <v>-</v>
      </c>
      <c r="R115" s="2228">
        <f>IF('Annual Parameters Source'!R116="","-",'Annual Parameters Source'!R116)</f>
        <v>2.1078683161233513</v>
      </c>
      <c r="S115" s="2229">
        <f>IF('Annual Parameters Source'!S116="","-",'Annual Parameters Source'!S116)</f>
        <v>349.53409398543386</v>
      </c>
      <c r="T115" s="2228">
        <f>IF('Annual Parameters Source'!T116="","-",'Annual Parameters Source'!T116)</f>
        <v>2.1078683161233513</v>
      </c>
      <c r="U115" s="2228">
        <f>IF('Annual Parameters Source'!U116="","-",'Annual Parameters Source'!U116)</f>
        <v>2.1078683161233513</v>
      </c>
      <c r="V115" s="2230">
        <f>IF('Annual Parameters Source'!V116="","-",'Annual Parameters Source'!V116)</f>
        <v>310.02394569859712</v>
      </c>
      <c r="W115" s="2231">
        <f>IF('Annual Parameters Source'!W116="","-",'Annual Parameters Source'!W116)</f>
        <v>310.02394569859712</v>
      </c>
    </row>
    <row r="116" spans="1:23" ht="13.5" customHeight="1">
      <c r="A116" s="2226"/>
      <c r="B116" s="2166">
        <f t="shared" si="0"/>
        <v>2073</v>
      </c>
      <c r="C116" s="2189"/>
      <c r="D116" s="2227">
        <f>IF('Annual Parameters Source'!D117="","-",'Annual Parameters Source'!D117/VLOOKUP($B$14,'Annual Parameters Source'!$B$34:$D$144,3,1)*100)</f>
        <v>392.83808379226826</v>
      </c>
      <c r="E116" s="2163" t="str">
        <f>IF('Annual Parameters Source'!E117="","-",'Annual Parameters Source'!E117)</f>
        <v>-</v>
      </c>
      <c r="F116" s="2228">
        <f>IF('Annual Parameters Source'!F117="","-",'Annual Parameters Source'!F117)</f>
        <v>2.3293400578637158</v>
      </c>
      <c r="G116" s="2229">
        <f>IF('Annual Parameters Source'!G117="","-",'Annual Parameters Source'!G117)</f>
        <v>561.69051044775517</v>
      </c>
      <c r="H116" s="2163" t="str">
        <f>IF('Annual Parameters Source'!H117="","-",'Annual Parameters Source'!H117)</f>
        <v>-</v>
      </c>
      <c r="I116" s="2228">
        <f>IF('Annual Parameters Source'!I117="","-",'Annual Parameters Source'!I117)</f>
        <v>0.21968530999999999</v>
      </c>
      <c r="J116" s="2229">
        <f>IF('Annual Parameters Source'!J117="","-",'Annual Parameters Source'!J117)</f>
        <v>136.55705195542504</v>
      </c>
      <c r="K116" s="2163" t="str">
        <f>IF('Annual Parameters Source'!K117="","-",'Annual Parameters Source'!K117)</f>
        <v>-</v>
      </c>
      <c r="L116" s="2228">
        <f>IF('Annual Parameters Source'!L117="","-",'Annual Parameters Source'!L117)</f>
        <v>0.21968530999999999</v>
      </c>
      <c r="M116" s="2229">
        <f>IF('Annual Parameters Source'!M117="","-",'Annual Parameters Source'!M117)</f>
        <v>141.66577622624555</v>
      </c>
      <c r="N116" s="2163" t="str">
        <f>IF('Annual Parameters Source'!N117="","-",'Annual Parameters Source'!N117)</f>
        <v>-</v>
      </c>
      <c r="O116" s="2228">
        <f>IF('Annual Parameters Source'!O117="","-",'Annual Parameters Source'!O117)</f>
        <v>2.1050303055114572</v>
      </c>
      <c r="P116" s="2229">
        <f>IF('Annual Parameters Source'!P117="","-",'Annual Parameters Source'!P117)</f>
        <v>411.32296165202968</v>
      </c>
      <c r="Q116" s="2163" t="str">
        <f>IF('Annual Parameters Source'!Q117="","-",'Annual Parameters Source'!Q117)</f>
        <v>-</v>
      </c>
      <c r="R116" s="2228">
        <f>IF('Annual Parameters Source'!R117="","-",'Annual Parameters Source'!R117)</f>
        <v>2.1050303055114572</v>
      </c>
      <c r="S116" s="2229">
        <f>IF('Annual Parameters Source'!S117="","-",'Annual Parameters Source'!S117)</f>
        <v>356.89189259192216</v>
      </c>
      <c r="T116" s="2228">
        <f>IF('Annual Parameters Source'!T117="","-",'Annual Parameters Source'!T117)</f>
        <v>2.1050303055114572</v>
      </c>
      <c r="U116" s="2228">
        <f>IF('Annual Parameters Source'!U117="","-",'Annual Parameters Source'!U117)</f>
        <v>2.1050303055114572</v>
      </c>
      <c r="V116" s="2230">
        <f>IF('Annual Parameters Source'!V117="","-",'Annual Parameters Source'!V117)</f>
        <v>316.55004370989496</v>
      </c>
      <c r="W116" s="2231">
        <f>IF('Annual Parameters Source'!W117="","-",'Annual Parameters Source'!W117)</f>
        <v>316.55004370989496</v>
      </c>
    </row>
    <row r="117" spans="1:23" ht="13.5" customHeight="1">
      <c r="A117" s="2226"/>
      <c r="B117" s="2166">
        <f t="shared" si="0"/>
        <v>2074</v>
      </c>
      <c r="C117" s="2189"/>
      <c r="D117" s="2227">
        <f>IF('Annual Parameters Source'!D118="","-",'Annual Parameters Source'!D118/VLOOKUP($B$14,'Annual Parameters Source'!$B$34:$D$144,3,1)*100)</f>
        <v>401.87335971949045</v>
      </c>
      <c r="E117" s="2163" t="str">
        <f>IF('Annual Parameters Source'!E118="","-",'Annual Parameters Source'!E118)</f>
        <v>-</v>
      </c>
      <c r="F117" s="2228">
        <f>IF('Annual Parameters Source'!F118="","-",'Annual Parameters Source'!F118)</f>
        <v>2.3293400578637158</v>
      </c>
      <c r="G117" s="2229">
        <f>IF('Annual Parameters Source'!G118="","-",'Annual Parameters Source'!G118)</f>
        <v>574.77419250883395</v>
      </c>
      <c r="H117" s="2163" t="str">
        <f>IF('Annual Parameters Source'!H118="","-",'Annual Parameters Source'!H118)</f>
        <v>-</v>
      </c>
      <c r="I117" s="2228">
        <f>IF('Annual Parameters Source'!I118="","-",'Annual Parameters Source'!I118)</f>
        <v>0.22174292000000001</v>
      </c>
      <c r="J117" s="2229">
        <f>IF('Annual Parameters Source'!J118="","-",'Annual Parameters Source'!J118)</f>
        <v>136.8598575498969</v>
      </c>
      <c r="K117" s="2163" t="str">
        <f>IF('Annual Parameters Source'!K118="","-",'Annual Parameters Source'!K118)</f>
        <v>-</v>
      </c>
      <c r="L117" s="2228">
        <f>IF('Annual Parameters Source'!L118="","-",'Annual Parameters Source'!L118)</f>
        <v>0.22174292000000001</v>
      </c>
      <c r="M117" s="2229">
        <f>IF('Annual Parameters Source'!M118="","-",'Annual Parameters Source'!M118)</f>
        <v>141.9799100550903</v>
      </c>
      <c r="N117" s="2163" t="str">
        <f>IF('Annual Parameters Source'!N118="","-",'Annual Parameters Source'!N118)</f>
        <v>-</v>
      </c>
      <c r="O117" s="2228">
        <f>IF('Annual Parameters Source'!O118="","-",'Annual Parameters Source'!O118)</f>
        <v>2.102934030538739</v>
      </c>
      <c r="P117" s="2229">
        <f>IF('Annual Parameters Source'!P118="","-",'Annual Parameters Source'!P118)</f>
        <v>419.97281218802999</v>
      </c>
      <c r="Q117" s="2163" t="str">
        <f>IF('Annual Parameters Source'!Q118="","-",'Annual Parameters Source'!Q118)</f>
        <v>-</v>
      </c>
      <c r="R117" s="2228">
        <f>IF('Annual Parameters Source'!R118="","-",'Annual Parameters Source'!R118)</f>
        <v>2.102934030538739</v>
      </c>
      <c r="S117" s="2229">
        <f>IF('Annual Parameters Source'!S118="","-",'Annual Parameters Source'!S118)</f>
        <v>364.39709365347147</v>
      </c>
      <c r="T117" s="2228">
        <f>IF('Annual Parameters Source'!T118="","-",'Annual Parameters Source'!T118)</f>
        <v>2.102934030538739</v>
      </c>
      <c r="U117" s="2228">
        <f>IF('Annual Parameters Source'!U118="","-",'Annual Parameters Source'!U118)</f>
        <v>2.102934030538739</v>
      </c>
      <c r="V117" s="2230">
        <f>IF('Annual Parameters Source'!V118="","-",'Annual Parameters Source'!V118)</f>
        <v>323.20688230275562</v>
      </c>
      <c r="W117" s="2231">
        <f>IF('Annual Parameters Source'!W118="","-",'Annual Parameters Source'!W118)</f>
        <v>323.20688230275562</v>
      </c>
    </row>
    <row r="118" spans="1:23" ht="13.5" customHeight="1">
      <c r="A118" s="2226"/>
      <c r="B118" s="2166">
        <f t="shared" si="0"/>
        <v>2075</v>
      </c>
      <c r="C118" s="2189"/>
      <c r="D118" s="2227">
        <f>IF('Annual Parameters Source'!D119="","-",'Annual Parameters Source'!D119/VLOOKUP($B$14,'Annual Parameters Source'!$B$34:$D$144,3,1)*100)</f>
        <v>411.11644699303866</v>
      </c>
      <c r="E118" s="2163" t="str">
        <f>IF('Annual Parameters Source'!E119="","-",'Annual Parameters Source'!E119)</f>
        <v>-</v>
      </c>
      <c r="F118" s="2228">
        <f>IF('Annual Parameters Source'!F119="","-",'Annual Parameters Source'!F119)</f>
        <v>2.3293400578637158</v>
      </c>
      <c r="G118" s="2229">
        <f>IF('Annual Parameters Source'!G119="","-",'Annual Parameters Source'!G119)</f>
        <v>588.16263801720493</v>
      </c>
      <c r="H118" s="2163" t="str">
        <f>IF('Annual Parameters Source'!H119="","-",'Annual Parameters Source'!H119)</f>
        <v>-</v>
      </c>
      <c r="I118" s="2228">
        <f>IF('Annual Parameters Source'!I119="","-",'Annual Parameters Source'!I119)</f>
        <v>0.22305451000000001</v>
      </c>
      <c r="J118" s="2229">
        <f>IF('Annual Parameters Source'!J119="","-",'Annual Parameters Source'!J119)</f>
        <v>137.16512963454153</v>
      </c>
      <c r="K118" s="2163" t="str">
        <f>IF('Annual Parameters Source'!K119="","-",'Annual Parameters Source'!K119)</f>
        <v>-</v>
      </c>
      <c r="L118" s="2228">
        <f>IF('Annual Parameters Source'!L119="","-",'Annual Parameters Source'!L119)</f>
        <v>0.22305451000000001</v>
      </c>
      <c r="M118" s="2229">
        <f>IF('Annual Parameters Source'!M119="","-",'Annual Parameters Source'!M119)</f>
        <v>142.29660264776211</v>
      </c>
      <c r="N118" s="2163" t="str">
        <f>IF('Annual Parameters Source'!N119="","-",'Annual Parameters Source'!N119)</f>
        <v>-</v>
      </c>
      <c r="O118" s="2228">
        <f>IF('Annual Parameters Source'!O119="","-",'Annual Parameters Source'!O119)</f>
        <v>2.1015978391015322</v>
      </c>
      <c r="P118" s="2229">
        <f>IF('Annual Parameters Source'!P119="","-",'Annual Parameters Source'!P119)</f>
        <v>428.79895173378753</v>
      </c>
      <c r="Q118" s="2163" t="str">
        <f>IF('Annual Parameters Source'!Q119="","-",'Annual Parameters Source'!Q119)</f>
        <v>-</v>
      </c>
      <c r="R118" s="2228">
        <f>IF('Annual Parameters Source'!R119="","-",'Annual Parameters Source'!R119)</f>
        <v>2.1015978391015322</v>
      </c>
      <c r="S118" s="2229">
        <f>IF('Annual Parameters Source'!S119="","-",'Annual Parameters Source'!S119)</f>
        <v>372.05525509944164</v>
      </c>
      <c r="T118" s="2228">
        <f>IF('Annual Parameters Source'!T119="","-",'Annual Parameters Source'!T119)</f>
        <v>2.1015978391015322</v>
      </c>
      <c r="U118" s="2228">
        <f>IF('Annual Parameters Source'!U119="","-",'Annual Parameters Source'!U119)</f>
        <v>2.1015978391015322</v>
      </c>
      <c r="V118" s="2230">
        <f>IF('Annual Parameters Source'!V119="","-",'Annual Parameters Source'!V119)</f>
        <v>329.99939115705774</v>
      </c>
      <c r="W118" s="2231">
        <f>IF('Annual Parameters Source'!W119="","-",'Annual Parameters Source'!W119)</f>
        <v>329.99939115705774</v>
      </c>
    </row>
    <row r="119" spans="1:23" ht="13.5" customHeight="1">
      <c r="A119" s="2226"/>
      <c r="B119" s="2166">
        <f t="shared" si="0"/>
        <v>2076</v>
      </c>
      <c r="C119" s="2189"/>
      <c r="D119" s="2227">
        <f>IF('Annual Parameters Source'!D120="","-",'Annual Parameters Source'!D120/VLOOKUP($B$14,'Annual Parameters Source'!$B$34:$D$144,3,1)*100)</f>
        <v>420.5721252738785</v>
      </c>
      <c r="E119" s="2163" t="str">
        <f>IF('Annual Parameters Source'!E120="","-",'Annual Parameters Source'!E120)</f>
        <v>-</v>
      </c>
      <c r="F119" s="2228">
        <f>IF('Annual Parameters Source'!F120="","-",'Annual Parameters Source'!F120)</f>
        <v>2.3293400578637158</v>
      </c>
      <c r="G119" s="2229">
        <f>IF('Annual Parameters Source'!G120="","-",'Annual Parameters Source'!G120)</f>
        <v>601.86294594992762</v>
      </c>
      <c r="H119" s="2163" t="str">
        <f>IF('Annual Parameters Source'!H120="","-",'Annual Parameters Source'!H120)</f>
        <v>-</v>
      </c>
      <c r="I119" s="2228">
        <f>IF('Annual Parameters Source'!I120="","-",'Annual Parameters Source'!I120)</f>
        <v>0.22365966999999998</v>
      </c>
      <c r="J119" s="2229">
        <f>IF('Annual Parameters Source'!J120="","-",'Annual Parameters Source'!J120)</f>
        <v>137.47191271083722</v>
      </c>
      <c r="K119" s="2163" t="str">
        <f>IF('Annual Parameters Source'!K120="","-",'Annual Parameters Source'!K120)</f>
        <v>-</v>
      </c>
      <c r="L119" s="2228">
        <f>IF('Annual Parameters Source'!L120="","-",'Annual Parameters Source'!L120)</f>
        <v>0.22365966999999998</v>
      </c>
      <c r="M119" s="2229">
        <f>IF('Annual Parameters Source'!M120="","-",'Annual Parameters Source'!M120)</f>
        <v>142.61486275966533</v>
      </c>
      <c r="N119" s="2163" t="str">
        <f>IF('Annual Parameters Source'!N120="","-",'Annual Parameters Source'!N120)</f>
        <v>-</v>
      </c>
      <c r="O119" s="2228">
        <f>IF('Annual Parameters Source'!O120="","-",'Annual Parameters Source'!O120)</f>
        <v>2.100981339932062</v>
      </c>
      <c r="P119" s="2229">
        <f>IF('Annual Parameters Source'!P120="","-",'Annual Parameters Source'!P120)</f>
        <v>437.80793769553873</v>
      </c>
      <c r="Q119" s="2163" t="str">
        <f>IF('Annual Parameters Source'!Q120="","-",'Annual Parameters Source'!Q120)</f>
        <v>-</v>
      </c>
      <c r="R119" s="2228">
        <f>IF('Annual Parameters Source'!R120="","-",'Annual Parameters Source'!R120)</f>
        <v>2.100981339932062</v>
      </c>
      <c r="S119" s="2229">
        <f>IF('Annual Parameters Source'!S120="","-",'Annual Parameters Source'!S120)</f>
        <v>379.87206658331758</v>
      </c>
      <c r="T119" s="2228">
        <f>IF('Annual Parameters Source'!T120="","-",'Annual Parameters Source'!T120)</f>
        <v>2.100981339932062</v>
      </c>
      <c r="U119" s="2228">
        <f>IF('Annual Parameters Source'!U120="","-",'Annual Parameters Source'!U120)</f>
        <v>2.100981339932062</v>
      </c>
      <c r="V119" s="2230">
        <f>IF('Annual Parameters Source'!V120="","-",'Annual Parameters Source'!V120)</f>
        <v>336.93261678715692</v>
      </c>
      <c r="W119" s="2231">
        <f>IF('Annual Parameters Source'!W120="","-",'Annual Parameters Source'!W120)</f>
        <v>336.93261678715692</v>
      </c>
    </row>
    <row r="120" spans="1:23" ht="13.5" customHeight="1">
      <c r="A120" s="2226"/>
      <c r="B120" s="2166">
        <f t="shared" si="0"/>
        <v>2077</v>
      </c>
      <c r="C120" s="2189"/>
      <c r="D120" s="2227">
        <f>IF('Annual Parameters Source'!D121="","-",'Annual Parameters Source'!D121/VLOOKUP($B$14,'Annual Parameters Source'!$B$34:$D$144,3,1)*100)</f>
        <v>430.24528415517761</v>
      </c>
      <c r="E120" s="2163" t="str">
        <f>IF('Annual Parameters Source'!E121="","-",'Annual Parameters Source'!E121)</f>
        <v>-</v>
      </c>
      <c r="F120" s="2228">
        <f>IF('Annual Parameters Source'!F121="","-",'Annual Parameters Source'!F121)</f>
        <v>2.3293400578637158</v>
      </c>
      <c r="G120" s="2229">
        <f>IF('Annual Parameters Source'!G121="","-",'Annual Parameters Source'!G121)</f>
        <v>615.88238064337793</v>
      </c>
      <c r="H120" s="2163" t="str">
        <f>IF('Annual Parameters Source'!H121="","-",'Annual Parameters Source'!H121)</f>
        <v>-</v>
      </c>
      <c r="I120" s="2228">
        <f>IF('Annual Parameters Source'!I121="","-",'Annual Parameters Source'!I121)</f>
        <v>0.22363450999999998</v>
      </c>
      <c r="J120" s="2229">
        <f>IF('Annual Parameters Source'!J121="","-",'Annual Parameters Source'!J121)</f>
        <v>137.77934734921573</v>
      </c>
      <c r="K120" s="2163" t="str">
        <f>IF('Annual Parameters Source'!K121="","-",'Annual Parameters Source'!K121)</f>
        <v>-</v>
      </c>
      <c r="L120" s="2228">
        <f>IF('Annual Parameters Source'!L121="","-",'Annual Parameters Source'!L121)</f>
        <v>0.22363450999999998</v>
      </c>
      <c r="M120" s="2229">
        <f>IF('Annual Parameters Source'!M121="","-",'Annual Parameters Source'!M121)</f>
        <v>142.93379880918508</v>
      </c>
      <c r="N120" s="2163" t="str">
        <f>IF('Annual Parameters Source'!N121="","-",'Annual Parameters Source'!N121)</f>
        <v>-</v>
      </c>
      <c r="O120" s="2228">
        <f>IF('Annual Parameters Source'!O121="","-",'Annual Parameters Source'!O121)</f>
        <v>2.1010069712185775</v>
      </c>
      <c r="P120" s="2229">
        <f>IF('Annual Parameters Source'!P121="","-",'Annual Parameters Source'!P121)</f>
        <v>447.00631298707026</v>
      </c>
      <c r="Q120" s="2163" t="str">
        <f>IF('Annual Parameters Source'!Q121="","-",'Annual Parameters Source'!Q121)</f>
        <v>-</v>
      </c>
      <c r="R120" s="2228">
        <f>IF('Annual Parameters Source'!R121="","-",'Annual Parameters Source'!R121)</f>
        <v>2.1010069712185775</v>
      </c>
      <c r="S120" s="2229">
        <f>IF('Annual Parameters Source'!S121="","-",'Annual Parameters Source'!S121)</f>
        <v>387.85320518394519</v>
      </c>
      <c r="T120" s="2228">
        <f>IF('Annual Parameters Source'!T121="","-",'Annual Parameters Source'!T121)</f>
        <v>2.1010069712185775</v>
      </c>
      <c r="U120" s="2228">
        <f>IF('Annual Parameters Source'!U121="","-",'Annual Parameters Source'!U121)</f>
        <v>2.1010069712185775</v>
      </c>
      <c r="V120" s="2230">
        <f>IF('Annual Parameters Source'!V121="","-",'Annual Parameters Source'!V121)</f>
        <v>344.01159455416428</v>
      </c>
      <c r="W120" s="2231">
        <f>IF('Annual Parameters Source'!W121="","-",'Annual Parameters Source'!W121)</f>
        <v>344.01159455416428</v>
      </c>
    </row>
    <row r="121" spans="1:23" ht="13.5" customHeight="1">
      <c r="A121" s="2226"/>
      <c r="B121" s="2166">
        <f t="shared" si="0"/>
        <v>2078</v>
      </c>
      <c r="C121" s="2189"/>
      <c r="D121" s="2227">
        <f>IF('Annual Parameters Source'!D122="","-",'Annual Parameters Source'!D122/VLOOKUP($B$14,'Annual Parameters Source'!$B$34:$D$144,3,1)*100)</f>
        <v>440.14092569074671</v>
      </c>
      <c r="E121" s="2163" t="str">
        <f>IF('Annual Parameters Source'!E122="","-",'Annual Parameters Source'!E122)</f>
        <v>-</v>
      </c>
      <c r="F121" s="2228">
        <f>IF('Annual Parameters Source'!F122="","-",'Annual Parameters Source'!F122)</f>
        <v>2.3293400578637158</v>
      </c>
      <c r="G121" s="2229">
        <f>IF('Annual Parameters Source'!G122="","-",'Annual Parameters Source'!G122)</f>
        <v>630.2283756450289</v>
      </c>
      <c r="H121" s="2163" t="str">
        <f>IF('Annual Parameters Source'!H122="","-",'Annual Parameters Source'!H122)</f>
        <v>-</v>
      </c>
      <c r="I121" s="2228">
        <f>IF('Annual Parameters Source'!I122="","-",'Annual Parameters Source'!I122)</f>
        <v>0.22308606</v>
      </c>
      <c r="J121" s="2229">
        <f>IF('Annual Parameters Source'!J122="","-",'Annual Parameters Source'!J122)</f>
        <v>138.0867138667108</v>
      </c>
      <c r="K121" s="2163" t="str">
        <f>IF('Annual Parameters Source'!K122="","-",'Annual Parameters Source'!K122)</f>
        <v>-</v>
      </c>
      <c r="L121" s="2228">
        <f>IF('Annual Parameters Source'!L122="","-",'Annual Parameters Source'!L122)</f>
        <v>0.22308606</v>
      </c>
      <c r="M121" s="2229">
        <f>IF('Annual Parameters Source'!M122="","-",'Annual Parameters Source'!M122)</f>
        <v>143.25266418935681</v>
      </c>
      <c r="N121" s="2163" t="str">
        <f>IF('Annual Parameters Source'!N122="","-",'Annual Parameters Source'!N122)</f>
        <v>-</v>
      </c>
      <c r="O121" s="2228">
        <f>IF('Annual Parameters Source'!O122="","-",'Annual Parameters Source'!O122)</f>
        <v>2.101565697750285</v>
      </c>
      <c r="P121" s="2229">
        <f>IF('Annual Parameters Source'!P122="","-",'Annual Parameters Source'!P122)</f>
        <v>456.40044432758486</v>
      </c>
      <c r="Q121" s="2163" t="str">
        <f>IF('Annual Parameters Source'!Q122="","-",'Annual Parameters Source'!Q122)</f>
        <v>-</v>
      </c>
      <c r="R121" s="2228">
        <f>IF('Annual Parameters Source'!R122="","-",'Annual Parameters Source'!R122)</f>
        <v>2.101565697750285</v>
      </c>
      <c r="S121" s="2229">
        <f>IF('Annual Parameters Source'!S122="","-",'Annual Parameters Source'!S122)</f>
        <v>396.00419510171605</v>
      </c>
      <c r="T121" s="2228">
        <f>IF('Annual Parameters Source'!T122="","-",'Annual Parameters Source'!T122)</f>
        <v>2.101565697750285</v>
      </c>
      <c r="U121" s="2228">
        <f>IF('Annual Parameters Source'!U122="","-",'Annual Parameters Source'!U122)</f>
        <v>2.101565697750285</v>
      </c>
      <c r="V121" s="2230">
        <f>IF('Annual Parameters Source'!V122="","-",'Annual Parameters Source'!V122)</f>
        <v>351.24122422159837</v>
      </c>
      <c r="W121" s="2231">
        <f>IF('Annual Parameters Source'!W122="","-",'Annual Parameters Source'!W122)</f>
        <v>351.24122422159837</v>
      </c>
    </row>
    <row r="122" spans="1:23" ht="13.5" customHeight="1">
      <c r="A122" s="2226"/>
      <c r="B122" s="2166">
        <f t="shared" si="0"/>
        <v>2079</v>
      </c>
      <c r="C122" s="2189"/>
      <c r="D122" s="2227">
        <f>IF('Annual Parameters Source'!D123="","-",'Annual Parameters Source'!D123/VLOOKUP($B$14,'Annual Parameters Source'!$B$34:$D$144,3,1)*100)</f>
        <v>450.26416698163388</v>
      </c>
      <c r="E122" s="2163" t="str">
        <f>IF('Annual Parameters Source'!E123="","-",'Annual Parameters Source'!E123)</f>
        <v>-</v>
      </c>
      <c r="F122" s="2228">
        <f>IF('Annual Parameters Source'!F123="","-",'Annual Parameters Source'!F123)</f>
        <v>2.3293400578637158</v>
      </c>
      <c r="G122" s="2229">
        <f>IF('Annual Parameters Source'!G123="","-",'Annual Parameters Source'!G123)</f>
        <v>644.9085376549524</v>
      </c>
      <c r="H122" s="2163" t="str">
        <f>IF('Annual Parameters Source'!H123="","-",'Annual Parameters Source'!H123)</f>
        <v>-</v>
      </c>
      <c r="I122" s="2228">
        <f>IF('Annual Parameters Source'!I123="","-",'Annual Parameters Source'!I123)</f>
        <v>0.22212017000000001</v>
      </c>
      <c r="J122" s="2229">
        <f>IF('Annual Parameters Source'!J123="","-",'Annual Parameters Source'!J123)</f>
        <v>138.39343231029895</v>
      </c>
      <c r="K122" s="2163" t="str">
        <f>IF('Annual Parameters Source'!K123="","-",'Annual Parameters Source'!K123)</f>
        <v>-</v>
      </c>
      <c r="L122" s="2228">
        <f>IF('Annual Parameters Source'!L123="","-",'Annual Parameters Source'!L123)</f>
        <v>0.22212017000000001</v>
      </c>
      <c r="M122" s="2229">
        <f>IF('Annual Parameters Source'!M123="","-",'Annual Parameters Source'!M123)</f>
        <v>143.57085725058371</v>
      </c>
      <c r="N122" s="2163" t="str">
        <f>IF('Annual Parameters Source'!N123="","-",'Annual Parameters Source'!N123)</f>
        <v>-</v>
      </c>
      <c r="O122" s="2228">
        <f>IF('Annual Parameters Source'!O123="","-",'Annual Parameters Source'!O123)</f>
        <v>2.1025497008937633</v>
      </c>
      <c r="P122" s="2229">
        <f>IF('Annual Parameters Source'!P123="","-",'Annual Parameters Source'!P123)</f>
        <v>465.99649050467235</v>
      </c>
      <c r="Q122" s="2163" t="str">
        <f>IF('Annual Parameters Source'!Q123="","-",'Annual Parameters Source'!Q123)</f>
        <v>-</v>
      </c>
      <c r="R122" s="2228">
        <f>IF('Annual Parameters Source'!R123="","-",'Annual Parameters Source'!R123)</f>
        <v>2.1025497008937633</v>
      </c>
      <c r="S122" s="2229">
        <f>IF('Annual Parameters Source'!S123="","-",'Annual Parameters Source'!S123)</f>
        <v>404.33038012135398</v>
      </c>
      <c r="T122" s="2228">
        <f>IF('Annual Parameters Source'!T123="","-",'Annual Parameters Source'!T123)</f>
        <v>2.1025497008937633</v>
      </c>
      <c r="U122" s="2228">
        <f>IF('Annual Parameters Source'!U123="","-",'Annual Parameters Source'!U123)</f>
        <v>2.1025497008937633</v>
      </c>
      <c r="V122" s="2230">
        <f>IF('Annual Parameters Source'!V123="","-",'Annual Parameters Source'!V123)</f>
        <v>358.62624553088517</v>
      </c>
      <c r="W122" s="2231">
        <f>IF('Annual Parameters Source'!W123="","-",'Annual Parameters Source'!W123)</f>
        <v>358.62624553088517</v>
      </c>
    </row>
    <row r="123" spans="1:23" ht="13.5" customHeight="1">
      <c r="A123" s="2226"/>
      <c r="B123" s="2166">
        <f t="shared" si="0"/>
        <v>2080</v>
      </c>
      <c r="C123" s="2189"/>
      <c r="D123" s="2227">
        <f>IF('Annual Parameters Source'!D124="","-",'Annual Parameters Source'!D124/VLOOKUP($B$14,'Annual Parameters Source'!$B$34:$D$144,3,1)*100)</f>
        <v>460.62024282221137</v>
      </c>
      <c r="E123" s="2163" t="str">
        <f>IF('Annual Parameters Source'!E124="","-",'Annual Parameters Source'!E124)</f>
        <v>-</v>
      </c>
      <c r="F123" s="2228">
        <f>IF('Annual Parameters Source'!F124="","-",'Annual Parameters Source'!F124)</f>
        <v>2.3293400578637158</v>
      </c>
      <c r="G123" s="2229">
        <f>IF('Annual Parameters Source'!G124="","-",'Annual Parameters Source'!G124)</f>
        <v>659.93065055913235</v>
      </c>
      <c r="H123" s="2163" t="str">
        <f>IF('Annual Parameters Source'!H124="","-",'Annual Parameters Source'!H124)</f>
        <v>-</v>
      </c>
      <c r="I123" s="2228">
        <f>IF('Annual Parameters Source'!I124="","-",'Annual Parameters Source'!I124)</f>
        <v>0.22094755999999999</v>
      </c>
      <c r="J123" s="2229">
        <f>IF('Annual Parameters Source'!J124="","-",'Annual Parameters Source'!J124)</f>
        <v>138.69920922218881</v>
      </c>
      <c r="K123" s="2163" t="str">
        <f>IF('Annual Parameters Source'!K124="","-",'Annual Parameters Source'!K124)</f>
        <v>-</v>
      </c>
      <c r="L123" s="2228">
        <f>IF('Annual Parameters Source'!L124="","-",'Annual Parameters Source'!L124)</f>
        <v>0.22094755999999999</v>
      </c>
      <c r="M123" s="2229">
        <f>IF('Annual Parameters Source'!M124="","-",'Annual Parameters Source'!M124)</f>
        <v>143.88807355654995</v>
      </c>
      <c r="N123" s="2163" t="str">
        <f>IF('Annual Parameters Source'!N124="","-",'Annual Parameters Source'!N124)</f>
        <v>-</v>
      </c>
      <c r="O123" s="2228">
        <f>IF('Annual Parameters Source'!O124="","-",'Annual Parameters Source'!O124)</f>
        <v>2.1037443261065381</v>
      </c>
      <c r="P123" s="2229">
        <f>IF('Annual Parameters Source'!P124="","-",'Annual Parameters Source'!P124)</f>
        <v>475.79986523351994</v>
      </c>
      <c r="Q123" s="2163" t="str">
        <f>IF('Annual Parameters Source'!Q124="","-",'Annual Parameters Source'!Q124)</f>
        <v>-</v>
      </c>
      <c r="R123" s="2228">
        <f>IF('Annual Parameters Source'!R124="","-",'Annual Parameters Source'!R124)</f>
        <v>2.1037443261065381</v>
      </c>
      <c r="S123" s="2229">
        <f>IF('Annual Parameters Source'!S124="","-",'Annual Parameters Source'!S124)</f>
        <v>412.83645755188195</v>
      </c>
      <c r="T123" s="2228">
        <f>IF('Annual Parameters Source'!T124="","-",'Annual Parameters Source'!T124)</f>
        <v>2.1037443261065381</v>
      </c>
      <c r="U123" s="2228">
        <f>IF('Annual Parameters Source'!U124="","-",'Annual Parameters Source'!U124)</f>
        <v>2.1037443261065381</v>
      </c>
      <c r="V123" s="2230">
        <f>IF('Annual Parameters Source'!V124="","-",'Annual Parameters Source'!V124)</f>
        <v>366.17082482317005</v>
      </c>
      <c r="W123" s="2231">
        <f>IF('Annual Parameters Source'!W124="","-",'Annual Parameters Source'!W124)</f>
        <v>366.17082482317005</v>
      </c>
    </row>
    <row r="124" spans="1:23" ht="13.5" customHeight="1">
      <c r="A124" s="2226"/>
      <c r="B124" s="2166">
        <f t="shared" si="0"/>
        <v>2081</v>
      </c>
      <c r="C124" s="2189"/>
      <c r="D124" s="2227">
        <f>IF('Annual Parameters Source'!D125="","-",'Annual Parameters Source'!D125/VLOOKUP($B$14,'Annual Parameters Source'!$B$34:$D$144,3,1)*100)</f>
        <v>471.21450840712225</v>
      </c>
      <c r="E124" s="2163" t="str">
        <f>IF('Annual Parameters Source'!E125="","-",'Annual Parameters Source'!E125)</f>
        <v>-</v>
      </c>
      <c r="F124" s="2228">
        <f>IF('Annual Parameters Source'!F125="","-",'Annual Parameters Source'!F125)</f>
        <v>2.3293400578637158</v>
      </c>
      <c r="G124" s="2229">
        <f>IF('Annual Parameters Source'!G125="","-",'Annual Parameters Source'!G125)</f>
        <v>675.30267955672684</v>
      </c>
      <c r="H124" s="2163" t="str">
        <f>IF('Annual Parameters Source'!H125="","-",'Annual Parameters Source'!H125)</f>
        <v>-</v>
      </c>
      <c r="I124" s="2228">
        <f>IF('Annual Parameters Source'!I125="","-",'Annual Parameters Source'!I125)</f>
        <v>0.21962673000000002</v>
      </c>
      <c r="J124" s="2229">
        <f>IF('Annual Parameters Source'!J125="","-",'Annual Parameters Source'!J125)</f>
        <v>139.00382975993935</v>
      </c>
      <c r="K124" s="2163" t="str">
        <f>IF('Annual Parameters Source'!K125="","-",'Annual Parameters Source'!K125)</f>
        <v>-</v>
      </c>
      <c r="L124" s="2228">
        <f>IF('Annual Parameters Source'!L125="","-",'Annual Parameters Source'!L125)</f>
        <v>0.21962673000000002</v>
      </c>
      <c r="M124" s="2229">
        <f>IF('Annual Parameters Source'!M125="","-",'Annual Parameters Source'!M125)</f>
        <v>144.2040902273622</v>
      </c>
      <c r="N124" s="2163" t="str">
        <f>IF('Annual Parameters Source'!N125="","-",'Annual Parameters Source'!N125)</f>
        <v>-</v>
      </c>
      <c r="O124" s="2228">
        <f>IF('Annual Parameters Source'!O125="","-",'Annual Parameters Source'!O125)</f>
        <v>2.1050899875604712</v>
      </c>
      <c r="P124" s="2229">
        <f>IF('Annual Parameters Source'!P125="","-",'Annual Parameters Source'!P125)</f>
        <v>485.815880557377</v>
      </c>
      <c r="Q124" s="2163" t="str">
        <f>IF('Annual Parameters Source'!Q125="","-",'Annual Parameters Source'!Q125)</f>
        <v>-</v>
      </c>
      <c r="R124" s="2228">
        <f>IF('Annual Parameters Source'!R125="","-",'Annual Parameters Source'!R125)</f>
        <v>2.1050899875604712</v>
      </c>
      <c r="S124" s="2229">
        <f>IF('Annual Parameters Source'!S125="","-",'Annual Parameters Source'!S125)</f>
        <v>421.52703648480593</v>
      </c>
      <c r="T124" s="2228">
        <f>IF('Annual Parameters Source'!T125="","-",'Annual Parameters Source'!T125)</f>
        <v>2.1050899875604712</v>
      </c>
      <c r="U124" s="2228">
        <f>IF('Annual Parameters Source'!U125="","-",'Annual Parameters Source'!U125)</f>
        <v>2.1050899875604712</v>
      </c>
      <c r="V124" s="2230">
        <f>IF('Annual Parameters Source'!V125="","-",'Annual Parameters Source'!V125)</f>
        <v>373.87905019389018</v>
      </c>
      <c r="W124" s="2231">
        <f>IF('Annual Parameters Source'!W125="","-",'Annual Parameters Source'!W125)</f>
        <v>373.87905019389018</v>
      </c>
    </row>
    <row r="125" spans="1:23" ht="13.5" customHeight="1">
      <c r="A125" s="2226"/>
      <c r="B125" s="2166">
        <f t="shared" si="0"/>
        <v>2082</v>
      </c>
      <c r="C125" s="2189"/>
      <c r="D125" s="2227">
        <f>IF('Annual Parameters Source'!D126="","-",'Annual Parameters Source'!D126/VLOOKUP($B$14,'Annual Parameters Source'!$B$34:$D$144,3,1)*100)</f>
        <v>482.05244210048602</v>
      </c>
      <c r="E125" s="2163" t="str">
        <f>IF('Annual Parameters Source'!E126="","-",'Annual Parameters Source'!E126)</f>
        <v>-</v>
      </c>
      <c r="F125" s="2228">
        <f>IF('Annual Parameters Source'!F126="","-",'Annual Parameters Source'!F126)</f>
        <v>2.3293400578637158</v>
      </c>
      <c r="G125" s="2229">
        <f>IF('Annual Parameters Source'!G126="","-",'Annual Parameters Source'!G126)</f>
        <v>691.03277538346867</v>
      </c>
      <c r="H125" s="2163" t="str">
        <f>IF('Annual Parameters Source'!H126="","-",'Annual Parameters Source'!H126)</f>
        <v>-</v>
      </c>
      <c r="I125" s="2228">
        <f>IF('Annual Parameters Source'!I126="","-",'Annual Parameters Source'!I126)</f>
        <v>0.21839268000000001</v>
      </c>
      <c r="J125" s="2229">
        <f>IF('Annual Parameters Source'!J126="","-",'Annual Parameters Source'!J126)</f>
        <v>139.3074039490547</v>
      </c>
      <c r="K125" s="2163" t="str">
        <f>IF('Annual Parameters Source'!K126="","-",'Annual Parameters Source'!K126)</f>
        <v>-</v>
      </c>
      <c r="L125" s="2228">
        <f>IF('Annual Parameters Source'!L126="","-",'Annual Parameters Source'!L126)</f>
        <v>0.21839268000000001</v>
      </c>
      <c r="M125" s="2229">
        <f>IF('Annual Parameters Source'!M126="","-",'Annual Parameters Source'!M126)</f>
        <v>144.51902140467936</v>
      </c>
      <c r="N125" s="2163" t="str">
        <f>IF('Annual Parameters Source'!N126="","-",'Annual Parameters Source'!N126)</f>
        <v>-</v>
      </c>
      <c r="O125" s="2228">
        <f>IF('Annual Parameters Source'!O126="","-",'Annual Parameters Source'!O126)</f>
        <v>2.1063472696115193</v>
      </c>
      <c r="P125" s="2229">
        <f>IF('Annual Parameters Source'!P126="","-",'Annual Parameters Source'!P126)</f>
        <v>496.04885009283646</v>
      </c>
      <c r="Q125" s="2163" t="str">
        <f>IF('Annual Parameters Source'!Q126="","-",'Annual Parameters Source'!Q126)</f>
        <v>-</v>
      </c>
      <c r="R125" s="2228">
        <f>IF('Annual Parameters Source'!R126="","-",'Annual Parameters Source'!R126)</f>
        <v>2.1063472696115193</v>
      </c>
      <c r="S125" s="2229">
        <f>IF('Annual Parameters Source'!S126="","-",'Annual Parameters Source'!S126)</f>
        <v>430.40585970847803</v>
      </c>
      <c r="T125" s="2228">
        <f>IF('Annual Parameters Source'!T126="","-",'Annual Parameters Source'!T126)</f>
        <v>2.1063472696115193</v>
      </c>
      <c r="U125" s="2228">
        <f>IF('Annual Parameters Source'!U126="","-",'Annual Parameters Source'!U126)</f>
        <v>2.1063472696115193</v>
      </c>
      <c r="V125" s="2230">
        <f>IF('Annual Parameters Source'!V126="","-",'Annual Parameters Source'!V126)</f>
        <v>381.75424135929865</v>
      </c>
      <c r="W125" s="2231">
        <f>IF('Annual Parameters Source'!W126="","-",'Annual Parameters Source'!W126)</f>
        <v>381.75424135929865</v>
      </c>
    </row>
    <row r="126" spans="1:23" ht="13.5" customHeight="1">
      <c r="A126" s="2226"/>
      <c r="B126" s="2166">
        <f t="shared" si="0"/>
        <v>2083</v>
      </c>
      <c r="C126" s="2189"/>
      <c r="D126" s="2227">
        <f>IF('Annual Parameters Source'!D127="","-",'Annual Parameters Source'!D127/VLOOKUP($B$14,'Annual Parameters Source'!$B$34:$D$144,3,1)*100)</f>
        <v>493.13964826879715</v>
      </c>
      <c r="E126" s="2163" t="str">
        <f>IF('Annual Parameters Source'!E127="","-",'Annual Parameters Source'!E127)</f>
        <v>-</v>
      </c>
      <c r="F126" s="2228">
        <f>IF('Annual Parameters Source'!F127="","-",'Annual Parameters Source'!F127)</f>
        <v>2.3293400578637158</v>
      </c>
      <c r="G126" s="2229">
        <f>IF('Annual Parameters Source'!G127="","-",'Annual Parameters Source'!G127)</f>
        <v>707.12927863344316</v>
      </c>
      <c r="H126" s="2163" t="str">
        <f>IF('Annual Parameters Source'!H127="","-",'Annual Parameters Source'!H127)</f>
        <v>-</v>
      </c>
      <c r="I126" s="2228">
        <f>IF('Annual Parameters Source'!I127="","-",'Annual Parameters Source'!I127)</f>
        <v>0.21725971000000002</v>
      </c>
      <c r="J126" s="2229">
        <f>IF('Annual Parameters Source'!J127="","-",'Annual Parameters Source'!J127)</f>
        <v>139.61006281088294</v>
      </c>
      <c r="K126" s="2163" t="str">
        <f>IF('Annual Parameters Source'!K127="","-",'Annual Parameters Source'!K127)</f>
        <v>-</v>
      </c>
      <c r="L126" s="2228">
        <f>IF('Annual Parameters Source'!L127="","-",'Annual Parameters Source'!L127)</f>
        <v>0.21725971000000002</v>
      </c>
      <c r="M126" s="2229">
        <f>IF('Annual Parameters Source'!M127="","-",'Annual Parameters Source'!M127)</f>
        <v>144.83300301147798</v>
      </c>
      <c r="N126" s="2163" t="str">
        <f>IF('Annual Parameters Source'!N127="","-",'Annual Parameters Source'!N127)</f>
        <v>-</v>
      </c>
      <c r="O126" s="2228">
        <f>IF('Annual Parameters Source'!O127="","-",'Annual Parameters Source'!O127)</f>
        <v>2.1075015960079879</v>
      </c>
      <c r="P126" s="2229">
        <f>IF('Annual Parameters Source'!P127="","-",'Annual Parameters Source'!P127)</f>
        <v>506.50308752552229</v>
      </c>
      <c r="Q126" s="2163" t="str">
        <f>IF('Annual Parameters Source'!Q127="","-",'Annual Parameters Source'!Q127)</f>
        <v>-</v>
      </c>
      <c r="R126" s="2228">
        <f>IF('Annual Parameters Source'!R127="","-",'Annual Parameters Source'!R127)</f>
        <v>2.1075015960079879</v>
      </c>
      <c r="S126" s="2229">
        <f>IF('Annual Parameters Source'!S127="","-",'Annual Parameters Source'!S127)</f>
        <v>439.47667007114615</v>
      </c>
      <c r="T126" s="2228">
        <f>IF('Annual Parameters Source'!T127="","-",'Annual Parameters Source'!T127)</f>
        <v>2.1075015960079879</v>
      </c>
      <c r="U126" s="2228">
        <f>IF('Annual Parameters Source'!U127="","-",'Annual Parameters Source'!U127)</f>
        <v>2.1075015960079879</v>
      </c>
      <c r="V126" s="2230">
        <f>IF('Annual Parameters Source'!V127="","-",'Annual Parameters Source'!V127)</f>
        <v>389.79971808877406</v>
      </c>
      <c r="W126" s="2231">
        <f>IF('Annual Parameters Source'!W127="","-",'Annual Parameters Source'!W127)</f>
        <v>389.79971808877406</v>
      </c>
    </row>
    <row r="127" spans="1:23" ht="13.5" customHeight="1">
      <c r="A127" s="2226"/>
      <c r="B127" s="2166">
        <f t="shared" si="0"/>
        <v>2084</v>
      </c>
      <c r="C127" s="2189"/>
      <c r="D127" s="2227">
        <f>IF('Annual Parameters Source'!D128="","-",'Annual Parameters Source'!D128/VLOOKUP($B$14,'Annual Parameters Source'!$B$34:$D$144,3,1)*100)</f>
        <v>504.48186017897945</v>
      </c>
      <c r="E127" s="2163" t="str">
        <f>IF('Annual Parameters Source'!E128="","-",'Annual Parameters Source'!E128)</f>
        <v>-</v>
      </c>
      <c r="F127" s="2228">
        <f>IF('Annual Parameters Source'!F128="","-",'Annual Parameters Source'!F128)</f>
        <v>2.3293400578637158</v>
      </c>
      <c r="G127" s="2229">
        <f>IF('Annual Parameters Source'!G128="","-",'Annual Parameters Source'!G128)</f>
        <v>723.6007241815347</v>
      </c>
      <c r="H127" s="2163" t="str">
        <f>IF('Annual Parameters Source'!H128="","-",'Annual Parameters Source'!H128)</f>
        <v>-</v>
      </c>
      <c r="I127" s="2228">
        <f>IF('Annual Parameters Source'!I128="","-",'Annual Parameters Source'!I128)</f>
        <v>0.21637582</v>
      </c>
      <c r="J127" s="2229">
        <f>IF('Annual Parameters Source'!J128="","-",'Annual Parameters Source'!J128)</f>
        <v>139.91214522909249</v>
      </c>
      <c r="K127" s="2163" t="str">
        <f>IF('Annual Parameters Source'!K128="","-",'Annual Parameters Source'!K128)</f>
        <v>-</v>
      </c>
      <c r="L127" s="2228">
        <f>IF('Annual Parameters Source'!L128="","-",'Annual Parameters Source'!L128)</f>
        <v>0.21637582</v>
      </c>
      <c r="M127" s="2229">
        <f>IF('Annual Parameters Source'!M128="","-",'Annual Parameters Source'!M128)</f>
        <v>145.1463866093747</v>
      </c>
      <c r="N127" s="2163" t="str">
        <f>IF('Annual Parameters Source'!N128="","-",'Annual Parameters Source'!N128)</f>
        <v>-</v>
      </c>
      <c r="O127" s="2228">
        <f>IF('Annual Parameters Source'!O128="","-",'Annual Parameters Source'!O128)</f>
        <v>2.1084021653894558</v>
      </c>
      <c r="P127" s="2229">
        <f>IF('Annual Parameters Source'!P128="","-",'Annual Parameters Source'!P128)</f>
        <v>517.1822095906748</v>
      </c>
      <c r="Q127" s="2163" t="str">
        <f>IF('Annual Parameters Source'!Q128="","-",'Annual Parameters Source'!Q128)</f>
        <v>-</v>
      </c>
      <c r="R127" s="2228">
        <f>IF('Annual Parameters Source'!R128="","-",'Annual Parameters Source'!R128)</f>
        <v>2.1084021653894558</v>
      </c>
      <c r="S127" s="2229">
        <f>IF('Annual Parameters Source'!S128="","-",'Annual Parameters Source'!S128)</f>
        <v>448.7426056993076</v>
      </c>
      <c r="T127" s="2228">
        <f>IF('Annual Parameters Source'!T128="","-",'Annual Parameters Source'!T128)</f>
        <v>2.1084021653894558</v>
      </c>
      <c r="U127" s="2228">
        <f>IF('Annual Parameters Source'!U128="","-",'Annual Parameters Source'!U128)</f>
        <v>2.1084021653894558</v>
      </c>
      <c r="V127" s="2230">
        <f>IF('Annual Parameters Source'!V128="","-",'Annual Parameters Source'!V128)</f>
        <v>398.01826378563976</v>
      </c>
      <c r="W127" s="2231">
        <f>IF('Annual Parameters Source'!W128="","-",'Annual Parameters Source'!W128)</f>
        <v>398.01826378563976</v>
      </c>
    </row>
    <row r="128" spans="1:23" ht="13.5" customHeight="1">
      <c r="A128" s="2226"/>
      <c r="B128" s="2166">
        <f t="shared" si="0"/>
        <v>2085</v>
      </c>
      <c r="C128" s="2189"/>
      <c r="D128" s="2227">
        <f>IF('Annual Parameters Source'!D129="","-",'Annual Parameters Source'!D129/VLOOKUP($B$14,'Annual Parameters Source'!$B$34:$D$144,3,1)*100)</f>
        <v>516.08494296309595</v>
      </c>
      <c r="E128" s="2163" t="str">
        <f>IF('Annual Parameters Source'!E129="","-",'Annual Parameters Source'!E129)</f>
        <v>-</v>
      </c>
      <c r="F128" s="2228">
        <f>IF('Annual Parameters Source'!F129="","-",'Annual Parameters Source'!F129)</f>
        <v>2.3293400578637158</v>
      </c>
      <c r="G128" s="2229">
        <f>IF('Annual Parameters Source'!G129="","-",'Annual Parameters Source'!G129)</f>
        <v>740.45584570888718</v>
      </c>
      <c r="H128" s="2163" t="str">
        <f>IF('Annual Parameters Source'!H129="","-",'Annual Parameters Source'!H129)</f>
        <v>-</v>
      </c>
      <c r="I128" s="2228">
        <f>IF('Annual Parameters Source'!I129="","-",'Annual Parameters Source'!I129)</f>
        <v>0.21580751999999997</v>
      </c>
      <c r="J128" s="2229">
        <f>IF('Annual Parameters Source'!J129="","-",'Annual Parameters Source'!J129)</f>
        <v>140.2140861598902</v>
      </c>
      <c r="K128" s="2163" t="str">
        <f>IF('Annual Parameters Source'!K129="","-",'Annual Parameters Source'!K129)</f>
        <v>-</v>
      </c>
      <c r="L128" s="2228">
        <f>IF('Annual Parameters Source'!L129="","-",'Annual Parameters Source'!L129)</f>
        <v>0.21580751999999997</v>
      </c>
      <c r="M128" s="2229">
        <f>IF('Annual Parameters Source'!M129="","-",'Annual Parameters Source'!M129)</f>
        <v>145.45962342668602</v>
      </c>
      <c r="N128" s="2163" t="str">
        <f>IF('Annual Parameters Source'!N129="","-",'Annual Parameters Source'!N129)</f>
        <v>-</v>
      </c>
      <c r="O128" s="2228">
        <f>IF('Annual Parameters Source'!O129="","-",'Annual Parameters Source'!O129)</f>
        <v>2.1089811978433959</v>
      </c>
      <c r="P128" s="2229">
        <f>IF('Annual Parameters Source'!P129="","-",'Annual Parameters Source'!P129)</f>
        <v>528.08948514953317</v>
      </c>
      <c r="Q128" s="2163" t="str">
        <f>IF('Annual Parameters Source'!Q129="","-",'Annual Parameters Source'!Q129)</f>
        <v>-</v>
      </c>
      <c r="R128" s="2228">
        <f>IF('Annual Parameters Source'!R129="","-",'Annual Parameters Source'!R129)</f>
        <v>2.1089811978433959</v>
      </c>
      <c r="S128" s="2229">
        <f>IF('Annual Parameters Source'!S129="","-",'Annual Parameters Source'!S129)</f>
        <v>458.20650288021852</v>
      </c>
      <c r="T128" s="2228">
        <f>IF('Annual Parameters Source'!T129="","-",'Annual Parameters Source'!T129)</f>
        <v>2.1089811978433959</v>
      </c>
      <c r="U128" s="2228">
        <f>IF('Annual Parameters Source'!U129="","-",'Annual Parameters Source'!U129)</f>
        <v>2.1089811978433959</v>
      </c>
      <c r="V128" s="2230">
        <f>IF('Annual Parameters Source'!V129="","-",'Annual Parameters Source'!V129)</f>
        <v>406.41239413286161</v>
      </c>
      <c r="W128" s="2231">
        <f>IF('Annual Parameters Source'!W129="","-",'Annual Parameters Source'!W129)</f>
        <v>406.41239413286161</v>
      </c>
    </row>
    <row r="129" spans="1:24" ht="13.5" customHeight="1">
      <c r="A129" s="2226"/>
      <c r="B129" s="2166">
        <f t="shared" si="0"/>
        <v>2086</v>
      </c>
      <c r="C129" s="2189"/>
      <c r="D129" s="2227">
        <f>IF('Annual Parameters Source'!D130="","-",'Annual Parameters Source'!D130/VLOOKUP($B$14,'Annual Parameters Source'!$B$34:$D$144,3,1)*100)</f>
        <v>527.95489665124705</v>
      </c>
      <c r="E129" s="2163" t="str">
        <f>IF('Annual Parameters Source'!E130="","-",'Annual Parameters Source'!E130)</f>
        <v>-</v>
      </c>
      <c r="F129" s="2228">
        <f>IF('Annual Parameters Source'!F130="","-",'Annual Parameters Source'!F130)</f>
        <v>2.3293400578637158</v>
      </c>
      <c r="G129" s="2229">
        <f>IF('Annual Parameters Source'!G130="","-",'Annual Parameters Source'!G130)</f>
        <v>757.70358033377784</v>
      </c>
      <c r="H129" s="2163" t="str">
        <f>IF('Annual Parameters Source'!H130="","-",'Annual Parameters Source'!H130)</f>
        <v>-</v>
      </c>
      <c r="I129" s="2228">
        <f>IF('Annual Parameters Source'!I130="","-",'Annual Parameters Source'!I130)</f>
        <v>0.21558572999999998</v>
      </c>
      <c r="J129" s="2229">
        <f>IF('Annual Parameters Source'!J130="","-",'Annual Parameters Source'!J130)</f>
        <v>140.51636772110083</v>
      </c>
      <c r="K129" s="2163" t="str">
        <f>IF('Annual Parameters Source'!K130="","-",'Annual Parameters Source'!K130)</f>
        <v>-</v>
      </c>
      <c r="L129" s="2228">
        <f>IF('Annual Parameters Source'!L130="","-",'Annual Parameters Source'!L130)</f>
        <v>0.21558572999999998</v>
      </c>
      <c r="M129" s="2229">
        <f>IF('Annual Parameters Source'!M130="","-",'Annual Parameters Source'!M130)</f>
        <v>145.77321361770569</v>
      </c>
      <c r="N129" s="2163" t="str">
        <f>IF('Annual Parameters Source'!N130="","-",'Annual Parameters Source'!N130)</f>
        <v>-</v>
      </c>
      <c r="O129" s="2228">
        <f>IF('Annual Parameters Source'!O130="","-",'Annual Parameters Source'!O130)</f>
        <v>2.1092071781714461</v>
      </c>
      <c r="P129" s="2229">
        <f>IF('Annual Parameters Source'!P130="","-",'Annual Parameters Source'!P130)</f>
        <v>539.22798647747584</v>
      </c>
      <c r="Q129" s="2163" t="str">
        <f>IF('Annual Parameters Source'!Q130="","-",'Annual Parameters Source'!Q130)</f>
        <v>-</v>
      </c>
      <c r="R129" s="2228">
        <f>IF('Annual Parameters Source'!R130="","-",'Annual Parameters Source'!R130)</f>
        <v>2.1092071781714461</v>
      </c>
      <c r="S129" s="2229">
        <f>IF('Annual Parameters Source'!S130="","-",'Annual Parameters Source'!S130)</f>
        <v>467.8710273298164</v>
      </c>
      <c r="T129" s="2228">
        <f>IF('Annual Parameters Source'!T130="","-",'Annual Parameters Source'!T130)</f>
        <v>2.1092071781714461</v>
      </c>
      <c r="U129" s="2228">
        <f>IF('Annual Parameters Source'!U130="","-",'Annual Parameters Source'!U130)</f>
        <v>2.1092071781714461</v>
      </c>
      <c r="V129" s="2230">
        <f>IF('Annual Parameters Source'!V130="","-",'Annual Parameters Source'!V130)</f>
        <v>414.98447352289037</v>
      </c>
      <c r="W129" s="2231">
        <f>IF('Annual Parameters Source'!W130="","-",'Annual Parameters Source'!W130)</f>
        <v>414.98447352289037</v>
      </c>
    </row>
    <row r="130" spans="1:24" ht="13.5" customHeight="1">
      <c r="A130" s="2226"/>
      <c r="B130" s="2166">
        <f t="shared" si="0"/>
        <v>2087</v>
      </c>
      <c r="C130" s="2189"/>
      <c r="D130" s="2227">
        <f>IF('Annual Parameters Source'!D131="","-",'Annual Parameters Source'!D131/VLOOKUP($B$14,'Annual Parameters Source'!$B$34:$D$144,3,1)*100)</f>
        <v>540.0978592742257</v>
      </c>
      <c r="E130" s="2163" t="str">
        <f>IF('Annual Parameters Source'!E131="","-",'Annual Parameters Source'!E131)</f>
        <v>-</v>
      </c>
      <c r="F130" s="2228">
        <f>IF('Annual Parameters Source'!F131="","-",'Annual Parameters Source'!F131)</f>
        <v>2.3293400578637158</v>
      </c>
      <c r="G130" s="2229">
        <f>IF('Annual Parameters Source'!G131="","-",'Annual Parameters Source'!G131)</f>
        <v>775.35307335036009</v>
      </c>
      <c r="H130" s="2163" t="str">
        <f>IF('Annual Parameters Source'!H131="","-",'Annual Parameters Source'!H131)</f>
        <v>-</v>
      </c>
      <c r="I130" s="2228">
        <f>IF('Annual Parameters Source'!I131="","-",'Annual Parameters Source'!I131)</f>
        <v>0.21575098000000001</v>
      </c>
      <c r="J130" s="2229">
        <f>IF('Annual Parameters Source'!J131="","-",'Annual Parameters Source'!J131)</f>
        <v>140.8195331615195</v>
      </c>
      <c r="K130" s="2163" t="str">
        <f>IF('Annual Parameters Source'!K131="","-",'Annual Parameters Source'!K131)</f>
        <v>-</v>
      </c>
      <c r="L130" s="2228">
        <f>IF('Annual Parameters Source'!L131="","-",'Annual Parameters Source'!L131)</f>
        <v>0.21575098000000001</v>
      </c>
      <c r="M130" s="2229">
        <f>IF('Annual Parameters Source'!M131="","-",'Annual Parameters Source'!M131)</f>
        <v>146.08772075466339</v>
      </c>
      <c r="N130" s="2163" t="str">
        <f>IF('Annual Parameters Source'!N131="","-",'Annual Parameters Source'!N131)</f>
        <v>-</v>
      </c>
      <c r="O130" s="2228">
        <f>IF('Annual Parameters Source'!O131="","-",'Annual Parameters Source'!O131)</f>
        <v>2.1090388059712639</v>
      </c>
      <c r="P130" s="2229">
        <f>IF('Annual Parameters Source'!P131="","-",'Annual Parameters Source'!P131)</f>
        <v>550.60051396494327</v>
      </c>
      <c r="Q130" s="2163" t="str">
        <f>IF('Annual Parameters Source'!Q131="","-",'Annual Parameters Source'!Q131)</f>
        <v>-</v>
      </c>
      <c r="R130" s="2228">
        <f>IF('Annual Parameters Source'!R131="","-",'Annual Parameters Source'!R131)</f>
        <v>2.1090388059712639</v>
      </c>
      <c r="S130" s="2229">
        <f>IF('Annual Parameters Source'!S131="","-",'Annual Parameters Source'!S131)</f>
        <v>477.73860885809864</v>
      </c>
      <c r="T130" s="2228">
        <f>IF('Annual Parameters Source'!T131="","-",'Annual Parameters Source'!T131)</f>
        <v>2.1090388059712639</v>
      </c>
      <c r="U130" s="2228">
        <f>IF('Annual Parameters Source'!U131="","-",'Annual Parameters Source'!U131)</f>
        <v>2.1090388059712639</v>
      </c>
      <c r="V130" s="2230">
        <f>IF('Annual Parameters Source'!V131="","-",'Annual Parameters Source'!V131)</f>
        <v>423.73665710824366</v>
      </c>
      <c r="W130" s="2231">
        <f>IF('Annual Parameters Source'!W131="","-",'Annual Parameters Source'!W131)</f>
        <v>423.73665710824366</v>
      </c>
    </row>
    <row r="131" spans="1:24" ht="13.5" customHeight="1">
      <c r="A131" s="2226"/>
      <c r="B131" s="2166">
        <f t="shared" si="0"/>
        <v>2088</v>
      </c>
      <c r="C131" s="2189"/>
      <c r="D131" s="2227">
        <f>IF('Annual Parameters Source'!D132="","-",'Annual Parameters Source'!D132/VLOOKUP($B$14,'Annual Parameters Source'!$B$34:$D$144,3,1)*100)</f>
        <v>552.52011003753285</v>
      </c>
      <c r="E131" s="2163" t="str">
        <f>IF('Annual Parameters Source'!E132="","-",'Annual Parameters Source'!E132)</f>
        <v>-</v>
      </c>
      <c r="F131" s="2228">
        <f>IF('Annual Parameters Source'!F132="","-",'Annual Parameters Source'!F132)</f>
        <v>2.3293400578637158</v>
      </c>
      <c r="G131" s="2229">
        <f>IF('Annual Parameters Source'!G132="","-",'Annual Parameters Source'!G132)</f>
        <v>793.41368307778748</v>
      </c>
      <c r="H131" s="2163" t="str">
        <f>IF('Annual Parameters Source'!H132="","-",'Annual Parameters Source'!H132)</f>
        <v>-</v>
      </c>
      <c r="I131" s="2228">
        <f>IF('Annual Parameters Source'!I132="","-",'Annual Parameters Source'!I132)</f>
        <v>0.21624661000000001</v>
      </c>
      <c r="J131" s="2229">
        <f>IF('Annual Parameters Source'!J132="","-",'Annual Parameters Source'!J132)</f>
        <v>141.12405062819911</v>
      </c>
      <c r="K131" s="2163" t="str">
        <f>IF('Annual Parameters Source'!K132="","-",'Annual Parameters Source'!K132)</f>
        <v>-</v>
      </c>
      <c r="L131" s="2228">
        <f>IF('Annual Parameters Source'!L132="","-",'Annual Parameters Source'!L132)</f>
        <v>0.21624661000000001</v>
      </c>
      <c r="M131" s="2229">
        <f>IF('Annual Parameters Source'!M132="","-",'Annual Parameters Source'!M132)</f>
        <v>146.40363049842162</v>
      </c>
      <c r="N131" s="2163" t="str">
        <f>IF('Annual Parameters Source'!N132="","-",'Annual Parameters Source'!N132)</f>
        <v>-</v>
      </c>
      <c r="O131" s="2228">
        <f>IF('Annual Parameters Source'!O132="","-",'Annual Parameters Source'!O132)</f>
        <v>2.1085338149681387</v>
      </c>
      <c r="P131" s="2229">
        <f>IF('Annual Parameters Source'!P132="","-",'Annual Parameters Source'!P132)</f>
        <v>562.21011198728252</v>
      </c>
      <c r="Q131" s="2163" t="str">
        <f>IF('Annual Parameters Source'!Q132="","-",'Annual Parameters Source'!Q132)</f>
        <v>-</v>
      </c>
      <c r="R131" s="2228">
        <f>IF('Annual Parameters Source'!R132="","-",'Annual Parameters Source'!R132)</f>
        <v>2.1085338149681387</v>
      </c>
      <c r="S131" s="2229">
        <f>IF('Annual Parameters Source'!S132="","-",'Annual Parameters Source'!S132)</f>
        <v>487.81188897303002</v>
      </c>
      <c r="T131" s="2228">
        <f>IF('Annual Parameters Source'!T132="","-",'Annual Parameters Source'!T132)</f>
        <v>2.1085338149681387</v>
      </c>
      <c r="U131" s="2228">
        <f>IF('Annual Parameters Source'!U132="","-",'Annual Parameters Source'!U132)</f>
        <v>2.1085338149681387</v>
      </c>
      <c r="V131" s="2230">
        <f>IF('Annual Parameters Source'!V132="","-",'Annual Parameters Source'!V132)</f>
        <v>432.67128780978658</v>
      </c>
      <c r="W131" s="2231">
        <f>IF('Annual Parameters Source'!W132="","-",'Annual Parameters Source'!W132)</f>
        <v>432.67128780978658</v>
      </c>
    </row>
    <row r="132" spans="1:24" ht="13.5" customHeight="1">
      <c r="A132" s="2226"/>
      <c r="B132" s="2166">
        <f>B131+1</f>
        <v>2089</v>
      </c>
      <c r="C132" s="2189"/>
      <c r="D132" s="2227">
        <f>IF('Annual Parameters Source'!D133="","-",'Annual Parameters Source'!D133/VLOOKUP($B$14,'Annual Parameters Source'!$B$34:$D$144,3,1)*100)</f>
        <v>565.22807256839599</v>
      </c>
      <c r="E132" s="2163" t="str">
        <f>IF('Annual Parameters Source'!E133="","-",'Annual Parameters Source'!E133)</f>
        <v>-</v>
      </c>
      <c r="F132" s="2228">
        <f>IF('Annual Parameters Source'!F133="","-",'Annual Parameters Source'!F133)</f>
        <v>2.3293400578637158</v>
      </c>
      <c r="G132" s="2229">
        <f>IF('Annual Parameters Source'!G133="","-",'Annual Parameters Source'!G133)</f>
        <v>811.89498582229032</v>
      </c>
      <c r="H132" s="2163" t="str">
        <f>IF('Annual Parameters Source'!H133="","-",'Annual Parameters Source'!H133)</f>
        <v>-</v>
      </c>
      <c r="I132" s="2228">
        <f>IF('Annual Parameters Source'!I133="","-",'Annual Parameters Source'!I133)</f>
        <v>0.21710689999999999</v>
      </c>
      <c r="J132" s="2229">
        <f>IF('Annual Parameters Source'!J133="","-",'Annual Parameters Source'!J133)</f>
        <v>141.43044067967242</v>
      </c>
      <c r="K132" s="2163" t="str">
        <f>IF('Annual Parameters Source'!K133="","-",'Annual Parameters Source'!K133)</f>
        <v>-</v>
      </c>
      <c r="L132" s="2228">
        <f>IF('Annual Parameters Source'!L133="","-",'Annual Parameters Source'!L133)</f>
        <v>0.21710689999999999</v>
      </c>
      <c r="M132" s="2229">
        <f>IF('Annual Parameters Source'!M133="","-",'Annual Parameters Source'!M133)</f>
        <v>146.72148288208419</v>
      </c>
      <c r="N132" s="2163" t="str">
        <f>IF('Annual Parameters Source'!N133="","-",'Annual Parameters Source'!N133)</f>
        <v>-</v>
      </c>
      <c r="O132" s="2228">
        <f>IF('Annual Parameters Source'!O133="","-",'Annual Parameters Source'!O133)</f>
        <v>2.107657288462117</v>
      </c>
      <c r="P132" s="2229">
        <f>IF('Annual Parameters Source'!P133="","-",'Annual Parameters Source'!P133)</f>
        <v>574.05957438905352</v>
      </c>
      <c r="Q132" s="2163" t="str">
        <f>IF('Annual Parameters Source'!Q133="","-",'Annual Parameters Source'!Q133)</f>
        <v>-</v>
      </c>
      <c r="R132" s="2228">
        <f>IF('Annual Parameters Source'!R133="","-",'Annual Parameters Source'!R133)</f>
        <v>2.107657288462117</v>
      </c>
      <c r="S132" s="2229">
        <f>IF('Annual Parameters Source'!S133="","-",'Annual Parameters Source'!S133)</f>
        <v>498.09329180495484</v>
      </c>
      <c r="T132" s="2228">
        <f>IF('Annual Parameters Source'!T133="","-",'Annual Parameters Source'!T133)</f>
        <v>2.107657288462117</v>
      </c>
      <c r="U132" s="2228">
        <f>IF('Annual Parameters Source'!U133="","-",'Annual Parameters Source'!U133)</f>
        <v>2.107657288462117</v>
      </c>
      <c r="V132" s="2230">
        <f>IF('Annual Parameters Source'!V133="","-",'Annual Parameters Source'!V133)</f>
        <v>441.79051574239247</v>
      </c>
      <c r="W132" s="2231">
        <f>IF('Annual Parameters Source'!W133="","-",'Annual Parameters Source'!W133)</f>
        <v>441.79051574239247</v>
      </c>
    </row>
    <row r="133" spans="1:24" ht="13.5" customHeight="1">
      <c r="A133" s="2226"/>
      <c r="B133" s="2166">
        <f t="shared" ref="B133:B143" si="1">B132+1</f>
        <v>2090</v>
      </c>
      <c r="C133" s="2189"/>
      <c r="D133" s="2227">
        <f>IF('Annual Parameters Source'!D134="","-",'Annual Parameters Source'!D134/VLOOKUP($B$14,'Annual Parameters Source'!$B$34:$D$144,3,1)*100)</f>
        <v>578.22831823746913</v>
      </c>
      <c r="E133" s="2163" t="str">
        <f>IF('Annual Parameters Source'!E134="","-",'Annual Parameters Source'!E134)</f>
        <v>-</v>
      </c>
      <c r="F133" s="2228">
        <f>IF('Annual Parameters Source'!F134="","-",'Annual Parameters Source'!F134)</f>
        <v>2.3293400578637158</v>
      </c>
      <c r="G133" s="2229">
        <f>IF('Annual Parameters Source'!G134="","-",'Annual Parameters Source'!G134)</f>
        <v>830.80678095483586</v>
      </c>
      <c r="H133" s="2163" t="str">
        <f>IF('Annual Parameters Source'!H134="","-",'Annual Parameters Source'!H134)</f>
        <v>-</v>
      </c>
      <c r="I133" s="2228">
        <f>IF('Annual Parameters Source'!I134="","-",'Annual Parameters Source'!I134)</f>
        <v>0.21818291000000001</v>
      </c>
      <c r="J133" s="2229">
        <f>IF('Annual Parameters Source'!J134="","-",'Annual Parameters Source'!J134)</f>
        <v>141.73901773077313</v>
      </c>
      <c r="K133" s="2163" t="str">
        <f>IF('Annual Parameters Source'!K134="","-",'Annual Parameters Source'!K134)</f>
        <v>-</v>
      </c>
      <c r="L133" s="2228">
        <f>IF('Annual Parameters Source'!L134="","-",'Annual Parameters Source'!L134)</f>
        <v>0.21818291000000001</v>
      </c>
      <c r="M133" s="2229">
        <f>IF('Annual Parameters Source'!M134="","-",'Annual Parameters Source'!M134)</f>
        <v>147.04160408303147</v>
      </c>
      <c r="N133" s="2163" t="str">
        <f>IF('Annual Parameters Source'!N134="","-",'Annual Parameters Source'!N134)</f>
        <v>-</v>
      </c>
      <c r="O133" s="2228">
        <f>IF('Annual Parameters Source'!O134="","-",'Annual Parameters Source'!O134)</f>
        <v>2.1065609917909178</v>
      </c>
      <c r="P133" s="2229">
        <f>IF('Annual Parameters Source'!P134="","-",'Annual Parameters Source'!P134)</f>
        <v>586.15248945277426</v>
      </c>
      <c r="Q133" s="2163" t="str">
        <f>IF('Annual Parameters Source'!Q134="","-",'Annual Parameters Source'!Q134)</f>
        <v>-</v>
      </c>
      <c r="R133" s="2228">
        <f>IF('Annual Parameters Source'!R134="","-",'Annual Parameters Source'!R134)</f>
        <v>2.1065609917909178</v>
      </c>
      <c r="S133" s="2229">
        <f>IF('Annual Parameters Source'!S134="","-",'Annual Parameters Source'!S134)</f>
        <v>508.58593079284532</v>
      </c>
      <c r="T133" s="2228">
        <f>IF('Annual Parameters Source'!T134="","-",'Annual Parameters Source'!T134)</f>
        <v>2.1065609917909178</v>
      </c>
      <c r="U133" s="2228">
        <f>IF('Annual Parameters Source'!U134="","-",'Annual Parameters Source'!U134)</f>
        <v>2.1065609917909178</v>
      </c>
      <c r="V133" s="2230">
        <f>IF('Annual Parameters Source'!V134="","-",'Annual Parameters Source'!V134)</f>
        <v>451.09710241245364</v>
      </c>
      <c r="W133" s="2231">
        <f>IF('Annual Parameters Source'!W134="","-",'Annual Parameters Source'!W134)</f>
        <v>451.09710241245364</v>
      </c>
    </row>
    <row r="134" spans="1:24" ht="13.5" customHeight="1">
      <c r="A134" s="2226"/>
      <c r="B134" s="2166">
        <f t="shared" si="1"/>
        <v>2091</v>
      </c>
      <c r="C134" s="2189"/>
      <c r="D134" s="2227">
        <f>IF('Annual Parameters Source'!D135="","-",'Annual Parameters Source'!D135/VLOOKUP($B$14,'Annual Parameters Source'!$B$34:$D$144,3,1)*100)</f>
        <v>591.52756955693087</v>
      </c>
      <c r="E134" s="2163" t="str">
        <f>IF('Annual Parameters Source'!E135="","-",'Annual Parameters Source'!E135)</f>
        <v>-</v>
      </c>
      <c r="F134" s="2228">
        <f>IF('Annual Parameters Source'!F135="","-",'Annual Parameters Source'!F135)</f>
        <v>2.3293400578637158</v>
      </c>
      <c r="G134" s="2229">
        <f>IF('Annual Parameters Source'!G135="","-",'Annual Parameters Source'!G135)</f>
        <v>850.15909610706501</v>
      </c>
      <c r="H134" s="2163" t="str">
        <f>IF('Annual Parameters Source'!H135="","-",'Annual Parameters Source'!H135)</f>
        <v>-</v>
      </c>
      <c r="I134" s="2228">
        <f>IF('Annual Parameters Source'!I135="","-",'Annual Parameters Source'!I135)</f>
        <v>0.21949489999999999</v>
      </c>
      <c r="J134" s="2229">
        <f>IF('Annual Parameters Source'!J135="","-",'Annual Parameters Source'!J135)</f>
        <v>142.05012764600227</v>
      </c>
      <c r="K134" s="2163" t="str">
        <f>IF('Annual Parameters Source'!K135="","-",'Annual Parameters Source'!K135)</f>
        <v>-</v>
      </c>
      <c r="L134" s="2228">
        <f>IF('Annual Parameters Source'!L135="","-",'Annual Parameters Source'!L135)</f>
        <v>0.21949489999999999</v>
      </c>
      <c r="M134" s="2229">
        <f>IF('Annual Parameters Source'!M135="","-",'Annual Parameters Source'!M135)</f>
        <v>147.36435290487191</v>
      </c>
      <c r="N134" s="2163" t="str">
        <f>IF('Annual Parameters Source'!N135="","-",'Annual Parameters Source'!N135)</f>
        <v>-</v>
      </c>
      <c r="O134" s="2228">
        <f>IF('Annual Parameters Source'!O135="","-",'Annual Parameters Source'!O135)</f>
        <v>2.1052242978962799</v>
      </c>
      <c r="P134" s="2229">
        <f>IF('Annual Parameters Source'!P135="","-",'Annual Parameters Source'!P135)</f>
        <v>598.49231408345804</v>
      </c>
      <c r="Q134" s="2163" t="str">
        <f>IF('Annual Parameters Source'!Q135="","-",'Annual Parameters Source'!Q135)</f>
        <v>-</v>
      </c>
      <c r="R134" s="2228">
        <f>IF('Annual Parameters Source'!R135="","-",'Annual Parameters Source'!R135)</f>
        <v>2.1052242978962799</v>
      </c>
      <c r="S134" s="2229">
        <f>IF('Annual Parameters Source'!S135="","-",'Annual Parameters Source'!S135)</f>
        <v>519.2928053835783</v>
      </c>
      <c r="T134" s="2228">
        <f>IF('Annual Parameters Source'!T135="","-",'Annual Parameters Source'!T135)</f>
        <v>2.1052242978962799</v>
      </c>
      <c r="U134" s="2228">
        <f>IF('Annual Parameters Source'!U135="","-",'Annual Parameters Source'!U135)</f>
        <v>2.1052242978962799</v>
      </c>
      <c r="V134" s="2230">
        <f>IF('Annual Parameters Source'!V135="","-",'Annual Parameters Source'!V135)</f>
        <v>460.59370821954667</v>
      </c>
      <c r="W134" s="2231">
        <f>IF('Annual Parameters Source'!W135="","-",'Annual Parameters Source'!W135)</f>
        <v>460.59370821954667</v>
      </c>
    </row>
    <row r="135" spans="1:24" ht="13.5" customHeight="1">
      <c r="A135" s="2226"/>
      <c r="B135" s="2166">
        <f t="shared" si="1"/>
        <v>2092</v>
      </c>
      <c r="C135" s="2189"/>
      <c r="D135" s="2227">
        <f>IF('Annual Parameters Source'!D136="","-",'Annual Parameters Source'!D136/VLOOKUP($B$14,'Annual Parameters Source'!$B$34:$D$144,3,1)*100)</f>
        <v>605.1327036567402</v>
      </c>
      <c r="E135" s="2163" t="str">
        <f>IF('Annual Parameters Source'!E136="","-",'Annual Parameters Source'!E136)</f>
        <v>-</v>
      </c>
      <c r="F135" s="2228">
        <f>IF('Annual Parameters Source'!F136="","-",'Annual Parameters Source'!F136)</f>
        <v>2.3293400578637158</v>
      </c>
      <c r="G135" s="2229">
        <f>IF('Annual Parameters Source'!G136="","-",'Annual Parameters Source'!G136)</f>
        <v>869.96219248825901</v>
      </c>
      <c r="H135" s="2163" t="str">
        <f>IF('Annual Parameters Source'!H136="","-",'Annual Parameters Source'!H136)</f>
        <v>-</v>
      </c>
      <c r="I135" s="2228">
        <f>IF('Annual Parameters Source'!I136="","-",'Annual Parameters Source'!I136)</f>
        <v>0.22097188000000001</v>
      </c>
      <c r="J135" s="2229">
        <f>IF('Annual Parameters Source'!J136="","-",'Annual Parameters Source'!J136)</f>
        <v>142.36401848360404</v>
      </c>
      <c r="K135" s="2163" t="str">
        <f>IF('Annual Parameters Source'!K136="","-",'Annual Parameters Source'!K136)</f>
        <v>-</v>
      </c>
      <c r="L135" s="2228">
        <f>IF('Annual Parameters Source'!L136="","-",'Annual Parameters Source'!L136)</f>
        <v>0.22097188000000001</v>
      </c>
      <c r="M135" s="2229">
        <f>IF('Annual Parameters Source'!M136="","-",'Annual Parameters Source'!M136)</f>
        <v>147.68998668593562</v>
      </c>
      <c r="N135" s="2163" t="str">
        <f>IF('Annual Parameters Source'!N136="","-",'Annual Parameters Source'!N136)</f>
        <v>-</v>
      </c>
      <c r="O135" s="2228">
        <f>IF('Annual Parameters Source'!O136="","-",'Annual Parameters Source'!O136)</f>
        <v>2.1037195492258798</v>
      </c>
      <c r="P135" s="2229">
        <f>IF('Annual Parameters Source'!P136="","-",'Annual Parameters Source'!P136)</f>
        <v>611.08291389544615</v>
      </c>
      <c r="Q135" s="2163" t="str">
        <f>IF('Annual Parameters Source'!Q136="","-",'Annual Parameters Source'!Q136)</f>
        <v>-</v>
      </c>
      <c r="R135" s="2228">
        <f>IF('Annual Parameters Source'!R136="","-",'Annual Parameters Source'!R136)</f>
        <v>2.1037195492258798</v>
      </c>
      <c r="S135" s="2229">
        <f>IF('Annual Parameters Source'!S136="","-",'Annual Parameters Source'!S136)</f>
        <v>530.21726964815616</v>
      </c>
      <c r="T135" s="2228">
        <f>IF('Annual Parameters Source'!T136="","-",'Annual Parameters Source'!T136)</f>
        <v>2.1037195492258798</v>
      </c>
      <c r="U135" s="2228">
        <f>IF('Annual Parameters Source'!U136="","-",'Annual Parameters Source'!U136)</f>
        <v>2.1037195492258798</v>
      </c>
      <c r="V135" s="2230">
        <f>IF('Annual Parameters Source'!V136="","-",'Annual Parameters Source'!V136)</f>
        <v>470.28330810186566</v>
      </c>
      <c r="W135" s="2231">
        <f>IF('Annual Parameters Source'!W136="","-",'Annual Parameters Source'!W136)</f>
        <v>470.28330810186566</v>
      </c>
    </row>
    <row r="136" spans="1:24" ht="13.5" customHeight="1">
      <c r="A136" s="2226"/>
      <c r="B136" s="2166">
        <f t="shared" si="1"/>
        <v>2093</v>
      </c>
      <c r="C136" s="2189"/>
      <c r="D136" s="2227">
        <f>IF('Annual Parameters Source'!D137="","-",'Annual Parameters Source'!D137/VLOOKUP($B$14,'Annual Parameters Source'!$B$34:$D$144,3,1)*100)</f>
        <v>619.05075584084523</v>
      </c>
      <c r="E136" s="2163" t="str">
        <f>IF('Annual Parameters Source'!E137="","-",'Annual Parameters Source'!E137)</f>
        <v>-</v>
      </c>
      <c r="F136" s="2228">
        <f>IF('Annual Parameters Source'!F137="","-",'Annual Parameters Source'!F137)</f>
        <v>2.3293400578637158</v>
      </c>
      <c r="G136" s="2229">
        <f>IF('Annual Parameters Source'!G137="","-",'Annual Parameters Source'!G137)</f>
        <v>890.22657032615757</v>
      </c>
      <c r="H136" s="2163" t="str">
        <f>IF('Annual Parameters Source'!H137="","-",'Annual Parameters Source'!H137)</f>
        <v>-</v>
      </c>
      <c r="I136" s="2228">
        <f>IF('Annual Parameters Source'!I137="","-",'Annual Parameters Source'!I137)</f>
        <v>0.22248223</v>
      </c>
      <c r="J136" s="2229">
        <f>IF('Annual Parameters Source'!J137="","-",'Annual Parameters Source'!J137)</f>
        <v>142.68075312664396</v>
      </c>
      <c r="K136" s="2163" t="str">
        <f>IF('Annual Parameters Source'!K137="","-",'Annual Parameters Source'!K137)</f>
        <v>-</v>
      </c>
      <c r="L136" s="2228">
        <f>IF('Annual Parameters Source'!L137="","-",'Annual Parameters Source'!L137)</f>
        <v>0.22248223</v>
      </c>
      <c r="M136" s="2229">
        <f>IF('Annual Parameters Source'!M137="","-",'Annual Parameters Source'!M137)</f>
        <v>148.01857066180119</v>
      </c>
      <c r="N136" s="2163" t="str">
        <f>IF('Annual Parameters Source'!N137="","-",'Annual Parameters Source'!N137)</f>
        <v>-</v>
      </c>
      <c r="O136" s="2228">
        <f>IF('Annual Parameters Source'!O137="","-",'Annual Parameters Source'!O137)</f>
        <v>2.1021808490321536</v>
      </c>
      <c r="P136" s="2229">
        <f>IF('Annual Parameters Source'!P137="","-",'Annual Parameters Source'!P137)</f>
        <v>623.92898188306378</v>
      </c>
      <c r="Q136" s="2163" t="str">
        <f>IF('Annual Parameters Source'!Q137="","-",'Annual Parameters Source'!Q137)</f>
        <v>-</v>
      </c>
      <c r="R136" s="2228">
        <f>IF('Annual Parameters Source'!R137="","-",'Annual Parameters Source'!R137)</f>
        <v>2.1021808490321536</v>
      </c>
      <c r="S136" s="2229">
        <f>IF('Annual Parameters Source'!S137="","-",'Annual Parameters Source'!S137)</f>
        <v>541.36339554896085</v>
      </c>
      <c r="T136" s="2228">
        <f>IF('Annual Parameters Source'!T137="","-",'Annual Parameters Source'!T137)</f>
        <v>2.1021808490321536</v>
      </c>
      <c r="U136" s="2228">
        <f>IF('Annual Parameters Source'!U137="","-",'Annual Parameters Source'!U137)</f>
        <v>2.1021808490321536</v>
      </c>
      <c r="V136" s="2230">
        <f>IF('Annual Parameters Source'!V137="","-",'Annual Parameters Source'!V137)</f>
        <v>480.16951374097795</v>
      </c>
      <c r="W136" s="2231">
        <f>IF('Annual Parameters Source'!W137="","-",'Annual Parameters Source'!W137)</f>
        <v>480.16951374097795</v>
      </c>
    </row>
    <row r="137" spans="1:24" ht="13.5" customHeight="1">
      <c r="A137" s="2226"/>
      <c r="B137" s="2166">
        <f t="shared" si="1"/>
        <v>2094</v>
      </c>
      <c r="C137" s="2189"/>
      <c r="D137" s="2227">
        <f>IF('Annual Parameters Source'!D138="","-",'Annual Parameters Source'!D138/VLOOKUP($B$14,'Annual Parameters Source'!$B$34:$D$144,3,1)*100)</f>
        <v>633.2889232251847</v>
      </c>
      <c r="E137" s="2163" t="str">
        <f>IF('Annual Parameters Source'!E138="","-",'Annual Parameters Source'!E138)</f>
        <v>-</v>
      </c>
      <c r="F137" s="2228">
        <f>IF('Annual Parameters Source'!F138="","-",'Annual Parameters Source'!F138)</f>
        <v>2.3293400578637158</v>
      </c>
      <c r="G137" s="2229">
        <f>IF('Annual Parameters Source'!G138="","-",'Annual Parameters Source'!G138)</f>
        <v>910.96297443451112</v>
      </c>
      <c r="H137" s="2163" t="str">
        <f>IF('Annual Parameters Source'!H138="","-",'Annual Parameters Source'!H138)</f>
        <v>-</v>
      </c>
      <c r="I137" s="2228">
        <f>IF('Annual Parameters Source'!I138="","-",'Annual Parameters Source'!I138)</f>
        <v>0.22394719000000002</v>
      </c>
      <c r="J137" s="2229">
        <f>IF('Annual Parameters Source'!J138="","-",'Annual Parameters Source'!J138)</f>
        <v>143.00028266394193</v>
      </c>
      <c r="K137" s="2163" t="str">
        <f>IF('Annual Parameters Source'!K138="","-",'Annual Parameters Source'!K138)</f>
        <v>-</v>
      </c>
      <c r="L137" s="2228">
        <f>IF('Annual Parameters Source'!L138="","-",'Annual Parameters Source'!L138)</f>
        <v>0.22394719000000002</v>
      </c>
      <c r="M137" s="2229">
        <f>IF('Annual Parameters Source'!M138="","-",'Annual Parameters Source'!M138)</f>
        <v>148.35005409147647</v>
      </c>
      <c r="N137" s="2163" t="str">
        <f>IF('Annual Parameters Source'!N138="","-",'Annual Parameters Source'!N138)</f>
        <v>-</v>
      </c>
      <c r="O137" s="2228">
        <f>IF('Annual Parameters Source'!O138="","-",'Annual Parameters Source'!O138)</f>
        <v>2.1006884351425503</v>
      </c>
      <c r="P137" s="2229">
        <f>IF('Annual Parameters Source'!P138="","-",'Annual Parameters Source'!P138)</f>
        <v>637.03578584898389</v>
      </c>
      <c r="Q137" s="2163" t="str">
        <f>IF('Annual Parameters Source'!Q138="","-",'Annual Parameters Source'!Q138)</f>
        <v>-</v>
      </c>
      <c r="R137" s="2228">
        <f>IF('Annual Parameters Source'!R138="","-",'Annual Parameters Source'!R138)</f>
        <v>2.1006884351425503</v>
      </c>
      <c r="S137" s="2229">
        <f>IF('Annual Parameters Source'!S138="","-",'Annual Parameters Source'!S138)</f>
        <v>552.73575379135286</v>
      </c>
      <c r="T137" s="2228">
        <f>IF('Annual Parameters Source'!T138="","-",'Annual Parameters Source'!T138)</f>
        <v>2.1006884351425503</v>
      </c>
      <c r="U137" s="2228">
        <f>IF('Annual Parameters Source'!U138="","-",'Annual Parameters Source'!U138)</f>
        <v>2.1006884351425503</v>
      </c>
      <c r="V137" s="2230">
        <f>IF('Annual Parameters Source'!V138="","-",'Annual Parameters Source'!V138)</f>
        <v>490.25637918521488</v>
      </c>
      <c r="W137" s="2231">
        <f>IF('Annual Parameters Source'!W138="","-",'Annual Parameters Source'!W138)</f>
        <v>490.25637918521488</v>
      </c>
    </row>
    <row r="138" spans="1:24" ht="13.5" customHeight="1">
      <c r="A138" s="2226"/>
      <c r="B138" s="2166">
        <f t="shared" si="1"/>
        <v>2095</v>
      </c>
      <c r="C138" s="2189"/>
      <c r="D138" s="2227">
        <f>IF('Annual Parameters Source'!D139="","-",'Annual Parameters Source'!D139/VLOOKUP($B$14,'Annual Parameters Source'!$B$34:$D$144,3,1)*100)</f>
        <v>647.85456845936392</v>
      </c>
      <c r="E138" s="2163" t="str">
        <f>IF('Annual Parameters Source'!E139="","-",'Annual Parameters Source'!E139)</f>
        <v>-</v>
      </c>
      <c r="F138" s="2228">
        <f>IF('Annual Parameters Source'!F139="","-",'Annual Parameters Source'!F139)</f>
        <v>2.3293400578637158</v>
      </c>
      <c r="G138" s="2229">
        <f>IF('Annual Parameters Source'!G139="","-",'Annual Parameters Source'!G139)</f>
        <v>932.18239991032101</v>
      </c>
      <c r="H138" s="2163" t="str">
        <f>IF('Annual Parameters Source'!H139="","-",'Annual Parameters Source'!H139)</f>
        <v>-</v>
      </c>
      <c r="I138" s="2228">
        <f>IF('Annual Parameters Source'!I139="","-",'Annual Parameters Source'!I139)</f>
        <v>0.22525833000000001</v>
      </c>
      <c r="J138" s="2229">
        <f>IF('Annual Parameters Source'!J139="","-",'Annual Parameters Source'!J139)</f>
        <v>143.32240271256603</v>
      </c>
      <c r="K138" s="2163" t="str">
        <f>IF('Annual Parameters Source'!K139="","-",'Annual Parameters Source'!K139)</f>
        <v>-</v>
      </c>
      <c r="L138" s="2228">
        <f>IF('Annual Parameters Source'!L139="","-",'Annual Parameters Source'!L139)</f>
        <v>0.22525833000000001</v>
      </c>
      <c r="M138" s="2229">
        <f>IF('Annual Parameters Source'!M139="","-",'Annual Parameters Source'!M139)</f>
        <v>148.68422494587702</v>
      </c>
      <c r="N138" s="2163" t="str">
        <f>IF('Annual Parameters Source'!N139="","-",'Annual Parameters Source'!N139)</f>
        <v>-</v>
      </c>
      <c r="O138" s="2228">
        <f>IF('Annual Parameters Source'!O139="","-",'Annual Parameters Source'!O139)</f>
        <v>2.0993527608937246</v>
      </c>
      <c r="P138" s="2229">
        <f>IF('Annual Parameters Source'!P139="","-",'Annual Parameters Source'!P139)</f>
        <v>650.40941420708555</v>
      </c>
      <c r="Q138" s="2163" t="str">
        <f>IF('Annual Parameters Source'!Q139="","-",'Annual Parameters Source'!Q139)</f>
        <v>-</v>
      </c>
      <c r="R138" s="2228">
        <f>IF('Annual Parameters Source'!R139="","-",'Annual Parameters Source'!R139)</f>
        <v>2.0993527608937246</v>
      </c>
      <c r="S138" s="2229">
        <f>IF('Annual Parameters Source'!S139="","-",'Annual Parameters Source'!S139)</f>
        <v>564.33962709901834</v>
      </c>
      <c r="T138" s="2228">
        <f>IF('Annual Parameters Source'!T139="","-",'Annual Parameters Source'!T139)</f>
        <v>2.0993527608937246</v>
      </c>
      <c r="U138" s="2228">
        <f>IF('Annual Parameters Source'!U139="","-",'Annual Parameters Source'!U139)</f>
        <v>2.0993527608937246</v>
      </c>
      <c r="V138" s="2230">
        <f>IF('Annual Parameters Source'!V139="","-",'Annual Parameters Source'!V139)</f>
        <v>500.5485900170973</v>
      </c>
      <c r="W138" s="2231">
        <f>IF('Annual Parameters Source'!W139="","-",'Annual Parameters Source'!W139)</f>
        <v>500.5485900170973</v>
      </c>
    </row>
    <row r="139" spans="1:24" ht="13.5" customHeight="1">
      <c r="A139" s="2226"/>
      <c r="B139" s="2166">
        <f t="shared" si="1"/>
        <v>2096</v>
      </c>
      <c r="C139" s="2189"/>
      <c r="D139" s="2227">
        <f>IF('Annual Parameters Source'!D140="","-",'Annual Parameters Source'!D140/VLOOKUP($B$14,'Annual Parameters Source'!$B$34:$D$144,3,1)*100)</f>
        <v>662.75522353392921</v>
      </c>
      <c r="E139" s="2163" t="str">
        <f>IF('Annual Parameters Source'!E140="","-",'Annual Parameters Source'!E140)</f>
        <v>-</v>
      </c>
      <c r="F139" s="2228">
        <f>IF('Annual Parameters Source'!F140="","-",'Annual Parameters Source'!F140)</f>
        <v>2.3293400578637158</v>
      </c>
      <c r="G139" s="2229">
        <f>IF('Annual Parameters Source'!G140="","-",'Annual Parameters Source'!G140)</f>
        <v>953.8960979637875</v>
      </c>
      <c r="H139" s="2163" t="str">
        <f>IF('Annual Parameters Source'!H140="","-",'Annual Parameters Source'!H140)</f>
        <v>-</v>
      </c>
      <c r="I139" s="2228">
        <f>IF('Annual Parameters Source'!I140="","-",'Annual Parameters Source'!I140)</f>
        <v>0.22639987</v>
      </c>
      <c r="J139" s="2229">
        <f>IF('Annual Parameters Source'!J140="","-",'Annual Parameters Source'!J140)</f>
        <v>143.64688444598815</v>
      </c>
      <c r="K139" s="2163" t="str">
        <f>IF('Annual Parameters Source'!K140="","-",'Annual Parameters Source'!K140)</f>
        <v>-</v>
      </c>
      <c r="L139" s="2228">
        <f>IF('Annual Parameters Source'!L140="","-",'Annual Parameters Source'!L140)</f>
        <v>0.22639987</v>
      </c>
      <c r="M139" s="2229">
        <f>IF('Annual Parameters Source'!M140="","-",'Annual Parameters Source'!M140)</f>
        <v>149.02084583786498</v>
      </c>
      <c r="N139" s="2163" t="str">
        <f>IF('Annual Parameters Source'!N140="","-",'Annual Parameters Source'!N140)</f>
        <v>-</v>
      </c>
      <c r="O139" s="2228">
        <f>IF('Annual Parameters Source'!O140="","-",'Annual Parameters Source'!O140)</f>
        <v>2.0981898886833994</v>
      </c>
      <c r="P139" s="2229">
        <f>IF('Annual Parameters Source'!P140="","-",'Annual Parameters Source'!P140)</f>
        <v>664.05623877102346</v>
      </c>
      <c r="Q139" s="2163" t="str">
        <f>IF('Annual Parameters Source'!Q140="","-",'Annual Parameters Source'!Q140)</f>
        <v>-</v>
      </c>
      <c r="R139" s="2228">
        <f>IF('Annual Parameters Source'!R140="","-",'Annual Parameters Source'!R140)</f>
        <v>2.0981898886833994</v>
      </c>
      <c r="S139" s="2229">
        <f>IF('Annual Parameters Source'!S140="","-",'Annual Parameters Source'!S140)</f>
        <v>576.18054409264357</v>
      </c>
      <c r="T139" s="2228">
        <f>IF('Annual Parameters Source'!T140="","-",'Annual Parameters Source'!T140)</f>
        <v>2.0981898886833994</v>
      </c>
      <c r="U139" s="2228">
        <f>IF('Annual Parameters Source'!U140="","-",'Annual Parameters Source'!U140)</f>
        <v>2.0981898886833994</v>
      </c>
      <c r="V139" s="2230">
        <f>IF('Annual Parameters Source'!V140="","-",'Annual Parameters Source'!V140)</f>
        <v>511.05104992078333</v>
      </c>
      <c r="W139" s="2231">
        <f>IF('Annual Parameters Source'!W140="","-",'Annual Parameters Source'!W140)</f>
        <v>511.05104992078333</v>
      </c>
    </row>
    <row r="140" spans="1:24" ht="13.5" customHeight="1">
      <c r="A140" s="2226"/>
      <c r="B140" s="2166">
        <f t="shared" si="1"/>
        <v>2097</v>
      </c>
      <c r="C140" s="2189"/>
      <c r="D140" s="2227">
        <f>IF('Annual Parameters Source'!D141="","-",'Annual Parameters Source'!D141/VLOOKUP($B$14,'Annual Parameters Source'!$B$34:$D$144,3,1)*100)</f>
        <v>677.99859367520958</v>
      </c>
      <c r="E140" s="2163" t="str">
        <f>IF('Annual Parameters Source'!E141="","-",'Annual Parameters Source'!E141)</f>
        <v>-</v>
      </c>
      <c r="F140" s="2228">
        <f>IF('Annual Parameters Source'!F141="","-",'Annual Parameters Source'!F141)</f>
        <v>2.3293400578637158</v>
      </c>
      <c r="G140" s="2229">
        <f>IF('Annual Parameters Source'!G141="","-",'Annual Parameters Source'!G141)</f>
        <v>976.11558188405684</v>
      </c>
      <c r="H140" s="2163" t="str">
        <f>IF('Annual Parameters Source'!H141="","-",'Annual Parameters Source'!H141)</f>
        <v>-</v>
      </c>
      <c r="I140" s="2228">
        <f>IF('Annual Parameters Source'!I141="","-",'Annual Parameters Source'!I141)</f>
        <v>0.22724555999999999</v>
      </c>
      <c r="J140" s="2229">
        <f>IF('Annual Parameters Source'!J141="","-",'Annual Parameters Source'!J141)</f>
        <v>143.97331561296997</v>
      </c>
      <c r="K140" s="2163" t="str">
        <f>IF('Annual Parameters Source'!K141="","-",'Annual Parameters Source'!K141)</f>
        <v>-</v>
      </c>
      <c r="L140" s="2228">
        <f>IF('Annual Parameters Source'!L141="","-",'Annual Parameters Source'!L141)</f>
        <v>0.22724555999999999</v>
      </c>
      <c r="M140" s="2229">
        <f>IF('Annual Parameters Source'!M141="","-",'Annual Parameters Source'!M141)</f>
        <v>149.35948909350597</v>
      </c>
      <c r="N140" s="2163" t="str">
        <f>IF('Annual Parameters Source'!N141="","-",'Annual Parameters Source'!N141)</f>
        <v>-</v>
      </c>
      <c r="O140" s="2228">
        <f>IF('Annual Parameters Source'!O141="","-",'Annual Parameters Source'!O141)</f>
        <v>2.0973284121684532</v>
      </c>
      <c r="P140" s="2229">
        <f>IF('Annual Parameters Source'!P141="","-",'Annual Parameters Source'!P141)</f>
        <v>677.98367893954537</v>
      </c>
      <c r="Q140" s="2163" t="str">
        <f>IF('Annual Parameters Source'!Q141="","-",'Annual Parameters Source'!Q141)</f>
        <v>-</v>
      </c>
      <c r="R140" s="2228">
        <f>IF('Annual Parameters Source'!R141="","-",'Annual Parameters Source'!R141)</f>
        <v>2.0973284121684532</v>
      </c>
      <c r="S140" s="2229">
        <f>IF('Annual Parameters Source'!S141="","-",'Annual Parameters Source'!S141)</f>
        <v>588.26494234928532</v>
      </c>
      <c r="T140" s="2228">
        <f>IF('Annual Parameters Source'!T141="","-",'Annual Parameters Source'!T141)</f>
        <v>2.0973284121684532</v>
      </c>
      <c r="U140" s="2228">
        <f>IF('Annual Parameters Source'!U141="","-",'Annual Parameters Source'!U141)</f>
        <v>2.0973284121684532</v>
      </c>
      <c r="V140" s="2230">
        <f>IF('Annual Parameters Source'!V141="","-",'Annual Parameters Source'!V141)</f>
        <v>521.76946879145714</v>
      </c>
      <c r="W140" s="2231">
        <f>IF('Annual Parameters Source'!W141="","-",'Annual Parameters Source'!W141)</f>
        <v>521.76946879145714</v>
      </c>
    </row>
    <row r="141" spans="1:24" ht="13.5" customHeight="1">
      <c r="A141" s="2226"/>
      <c r="B141" s="2166">
        <f t="shared" si="1"/>
        <v>2098</v>
      </c>
      <c r="C141" s="2189"/>
      <c r="D141" s="2227">
        <f>IF('Annual Parameters Source'!D142="","-",'Annual Parameters Source'!D142/VLOOKUP($B$14,'Annual Parameters Source'!$B$34:$D$144,3,1)*100)</f>
        <v>693.59256132973928</v>
      </c>
      <c r="E141" s="2163" t="str">
        <f>IF('Annual Parameters Source'!E142="","-",'Annual Parameters Source'!E142)</f>
        <v>-</v>
      </c>
      <c r="F141" s="2228">
        <f>IF('Annual Parameters Source'!F142="","-",'Annual Parameters Source'!F142)</f>
        <v>2.3293400578637158</v>
      </c>
      <c r="G141" s="2229">
        <f>IF('Annual Parameters Source'!G142="","-",'Annual Parameters Source'!G142)</f>
        <v>998.85263314393171</v>
      </c>
      <c r="H141" s="2163" t="str">
        <f>IF('Annual Parameters Source'!H142="","-",'Annual Parameters Source'!H142)</f>
        <v>-</v>
      </c>
      <c r="I141" s="2228">
        <f>IF('Annual Parameters Source'!I142="","-",'Annual Parameters Source'!I142)</f>
        <v>0.22773857</v>
      </c>
      <c r="J141" s="2229">
        <f>IF('Annual Parameters Source'!J142="","-",'Annual Parameters Source'!J142)</f>
        <v>144.30119838312854</v>
      </c>
      <c r="K141" s="2163" t="str">
        <f>IF('Annual Parameters Source'!K142="","-",'Annual Parameters Source'!K142)</f>
        <v>-</v>
      </c>
      <c r="L141" s="2228">
        <f>IF('Annual Parameters Source'!L142="","-",'Annual Parameters Source'!L142)</f>
        <v>0.22773857</v>
      </c>
      <c r="M141" s="2229">
        <f>IF('Annual Parameters Source'!M142="","-",'Annual Parameters Source'!M142)</f>
        <v>149.69963825812684</v>
      </c>
      <c r="N141" s="2163" t="str">
        <f>IF('Annual Parameters Source'!N142="","-",'Annual Parameters Source'!N142)</f>
        <v>-</v>
      </c>
      <c r="O141" s="2228">
        <f>IF('Annual Parameters Source'!O142="","-",'Annual Parameters Source'!O142)</f>
        <v>2.0968262058471465</v>
      </c>
      <c r="P141" s="2229">
        <f>IF('Annual Parameters Source'!P142="","-",'Annual Parameters Source'!P142)</f>
        <v>692.19981839091633</v>
      </c>
      <c r="Q141" s="2163" t="str">
        <f>IF('Annual Parameters Source'!Q142="","-",'Annual Parameters Source'!Q142)</f>
        <v>-</v>
      </c>
      <c r="R141" s="2228">
        <f>IF('Annual Parameters Source'!R142="","-",'Annual Parameters Source'!R142)</f>
        <v>2.0968262058471465</v>
      </c>
      <c r="S141" s="2229">
        <f>IF('Annual Parameters Source'!S142="","-",'Annual Parameters Source'!S142)</f>
        <v>600.59983582027678</v>
      </c>
      <c r="T141" s="2228">
        <f>IF('Annual Parameters Source'!T142="","-",'Annual Parameters Source'!T142)</f>
        <v>2.0968262058471465</v>
      </c>
      <c r="U141" s="2228">
        <f>IF('Annual Parameters Source'!U142="","-",'Annual Parameters Source'!U142)</f>
        <v>2.0968262058471465</v>
      </c>
      <c r="V141" s="2230">
        <f>IF('Annual Parameters Source'!V142="","-",'Annual Parameters Source'!V142)</f>
        <v>532.71006774718592</v>
      </c>
      <c r="W141" s="2231">
        <f>IF('Annual Parameters Source'!W142="","-",'Annual Parameters Source'!W142)</f>
        <v>532.71006774718592</v>
      </c>
    </row>
    <row r="142" spans="1:24" ht="13.5" customHeight="1">
      <c r="A142" s="2226"/>
      <c r="B142" s="2166">
        <f t="shared" si="1"/>
        <v>2099</v>
      </c>
      <c r="C142" s="2189"/>
      <c r="D142" s="2227">
        <f>IF('Annual Parameters Source'!D143="","-",'Annual Parameters Source'!D143/VLOOKUP($B$14,'Annual Parameters Source'!$B$34:$D$144,3,1)*100)</f>
        <v>709.54519024032322</v>
      </c>
      <c r="E142" s="2163" t="str">
        <f>IF('Annual Parameters Source'!E143="","-",'Annual Parameters Source'!E143)</f>
        <v>-</v>
      </c>
      <c r="F142" s="2228">
        <f>IF('Annual Parameters Source'!F143="","-",'Annual Parameters Source'!F143)</f>
        <v>2.3293400578637158</v>
      </c>
      <c r="G142" s="2229">
        <f>IF('Annual Parameters Source'!G143="","-",'Annual Parameters Source'!G143)</f>
        <v>1022.1193076467798</v>
      </c>
      <c r="H142" s="2163" t="str">
        <f>IF('Annual Parameters Source'!H143="","-",'Annual Parameters Source'!H143)</f>
        <v>-</v>
      </c>
      <c r="I142" s="2228">
        <f>IF('Annual Parameters Source'!I143="","-",'Annual Parameters Source'!I143)</f>
        <v>0.22792077999999999</v>
      </c>
      <c r="J142" s="2229">
        <f>IF('Annual Parameters Source'!J143="","-",'Annual Parameters Source'!J143)</f>
        <v>144.63009080003272</v>
      </c>
      <c r="K142" s="2163" t="str">
        <f>IF('Annual Parameters Source'!K143="","-",'Annual Parameters Source'!K143)</f>
        <v>-</v>
      </c>
      <c r="L142" s="2228">
        <f>IF('Annual Parameters Source'!L143="","-",'Annual Parameters Source'!L143)</f>
        <v>0.22792077999999999</v>
      </c>
      <c r="M142" s="2229">
        <f>IF('Annual Parameters Source'!M143="","-",'Annual Parameters Source'!M143)</f>
        <v>150.04083484130194</v>
      </c>
      <c r="N142" s="2163" t="str">
        <f>IF('Annual Parameters Source'!N143="","-",'Annual Parameters Source'!N143)</f>
        <v>-</v>
      </c>
      <c r="O142" s="2228">
        <f>IF('Annual Parameters Source'!O143="","-",'Annual Parameters Source'!O143)</f>
        <v>2.0966405982583591</v>
      </c>
      <c r="P142" s="2229">
        <f>IF('Annual Parameters Source'!P143="","-",'Annual Parameters Source'!P143)</f>
        <v>706.71276080437087</v>
      </c>
      <c r="Q142" s="2163" t="str">
        <f>IF('Annual Parameters Source'!Q143="","-",'Annual Parameters Source'!Q143)</f>
        <v>-</v>
      </c>
      <c r="R142" s="2228">
        <f>IF('Annual Parameters Source'!R143="","-",'Annual Parameters Source'!R143)</f>
        <v>2.0966405982583591</v>
      </c>
      <c r="S142" s="2229">
        <f>IF('Annual Parameters Source'!S143="","-",'Annual Parameters Source'!S143)</f>
        <v>613.19225581115779</v>
      </c>
      <c r="T142" s="2228">
        <f>IF('Annual Parameters Source'!T143="","-",'Annual Parameters Source'!T143)</f>
        <v>2.0966405982583591</v>
      </c>
      <c r="U142" s="2228">
        <f>IF('Annual Parameters Source'!U143="","-",'Annual Parameters Source'!U143)</f>
        <v>2.0966405982583591</v>
      </c>
      <c r="V142" s="2230">
        <f>IF('Annual Parameters Source'!V143="","-",'Annual Parameters Source'!V143)</f>
        <v>543.87908329858305</v>
      </c>
      <c r="W142" s="2231">
        <f>IF('Annual Parameters Source'!W143="","-",'Annual Parameters Source'!W143)</f>
        <v>543.87908329858305</v>
      </c>
    </row>
    <row r="143" spans="1:24" ht="13.5" customHeight="1">
      <c r="A143" s="2226"/>
      <c r="B143" s="2166">
        <f t="shared" si="1"/>
        <v>2100</v>
      </c>
      <c r="C143" s="2189"/>
      <c r="D143" s="2227">
        <f>IF('Annual Parameters Source'!D144="","-",'Annual Parameters Source'!D144/VLOOKUP($B$14,'Annual Parameters Source'!$B$34:$D$144,3,1)*100)</f>
        <v>725.86472961585059</v>
      </c>
      <c r="E143" s="2163" t="str">
        <f>IF('Annual Parameters Source'!E144="","-",'Annual Parameters Source'!E144)</f>
        <v>-</v>
      </c>
      <c r="F143" s="2228">
        <f>IF('Annual Parameters Source'!F144="","-",'Annual Parameters Source'!F144)</f>
        <v>2.3293400578637158</v>
      </c>
      <c r="G143" s="2229">
        <f>IF('Annual Parameters Source'!G144="","-",'Annual Parameters Source'!G144)</f>
        <v>1045.9279421189556</v>
      </c>
      <c r="H143" s="2163" t="str">
        <f>IF('Annual Parameters Source'!H144="","-",'Annual Parameters Source'!H144)</f>
        <v>-</v>
      </c>
      <c r="I143" s="2228">
        <f>IF('Annual Parameters Source'!I144="","-",'Annual Parameters Source'!I144)</f>
        <v>0.22768993999999998</v>
      </c>
      <c r="J143" s="2229">
        <f>IF('Annual Parameters Source'!J144="","-",'Annual Parameters Source'!J144)</f>
        <v>144.95939896699727</v>
      </c>
      <c r="K143" s="2163" t="str">
        <f>IF('Annual Parameters Source'!K144="","-",'Annual Parameters Source'!K144)</f>
        <v>-</v>
      </c>
      <c r="L143" s="2228">
        <f>IF('Annual Parameters Source'!L144="","-",'Annual Parameters Source'!L144)</f>
        <v>0.22768993999999998</v>
      </c>
      <c r="M143" s="2229">
        <f>IF('Annual Parameters Source'!M144="","-",'Annual Parameters Source'!M144)</f>
        <v>150.38246272812762</v>
      </c>
      <c r="N143" s="2163" t="str">
        <f>IF('Annual Parameters Source'!N144="","-",'Annual Parameters Source'!N144)</f>
        <v>-</v>
      </c>
      <c r="O143" s="2228">
        <f>IF('Annual Parameters Source'!O144="","-",'Annual Parameters Source'!O144)</f>
        <v>2.0968757427431761</v>
      </c>
      <c r="P143" s="2229">
        <f>IF('Annual Parameters Source'!P144="","-",'Annual Parameters Source'!P144)</f>
        <v>721.53164925654846</v>
      </c>
      <c r="Q143" s="2163" t="str">
        <f>IF('Annual Parameters Source'!Q144="","-",'Annual Parameters Source'!Q144)</f>
        <v>-</v>
      </c>
      <c r="R143" s="2228">
        <f>IF('Annual Parameters Source'!R144="","-",'Annual Parameters Source'!R144)</f>
        <v>2.0968757427431761</v>
      </c>
      <c r="S143" s="2229">
        <f>IF('Annual Parameters Source'!S144="","-",'Annual Parameters Source'!S144)</f>
        <v>626.05013547964165</v>
      </c>
      <c r="T143" s="2228">
        <f>IF('Annual Parameters Source'!T144="","-",'Annual Parameters Source'!T144)</f>
        <v>2.0968757427431761</v>
      </c>
      <c r="U143" s="2228">
        <f>IF('Annual Parameters Source'!U144="","-",'Annual Parameters Source'!U144)</f>
        <v>2.0968757427431761</v>
      </c>
      <c r="V143" s="2230">
        <f>IF('Annual Parameters Source'!V144="","-",'Annual Parameters Source'!V144)</f>
        <v>555.28355186612498</v>
      </c>
      <c r="W143" s="2231">
        <f>IF('Annual Parameters Source'!W144="","-",'Annual Parameters Source'!W144)</f>
        <v>555.28355186612498</v>
      </c>
    </row>
    <row r="144" spans="1:24" ht="13.5" customHeight="1" thickBot="1">
      <c r="A144" s="2233"/>
      <c r="B144" s="2196"/>
      <c r="C144" s="2197"/>
      <c r="D144" s="2234"/>
      <c r="E144" s="2235"/>
      <c r="F144" s="2235"/>
      <c r="G144" s="2236"/>
      <c r="H144" s="2235"/>
      <c r="I144" s="2235"/>
      <c r="J144" s="2236"/>
      <c r="K144" s="2235"/>
      <c r="L144" s="2235"/>
      <c r="M144" s="2236"/>
      <c r="N144" s="2235"/>
      <c r="O144" s="2235"/>
      <c r="P144" s="2236"/>
      <c r="Q144" s="2235"/>
      <c r="R144" s="2235"/>
      <c r="S144" s="2236"/>
      <c r="T144" s="2235"/>
      <c r="U144" s="2235"/>
      <c r="V144" s="2184"/>
      <c r="W144" s="2237"/>
      <c r="X144" s="2238"/>
    </row>
    <row r="145" spans="1:24" ht="13.5" customHeight="1" thickTop="1" thickBot="1">
      <c r="A145" s="2166"/>
      <c r="B145" s="2166"/>
      <c r="D145" s="2238"/>
      <c r="E145" s="2163"/>
      <c r="F145" s="2163"/>
      <c r="G145" s="2228"/>
      <c r="H145" s="2163"/>
      <c r="I145" s="2163"/>
      <c r="J145" s="2228"/>
      <c r="K145" s="2163"/>
      <c r="L145" s="2163"/>
      <c r="M145" s="2228"/>
      <c r="N145" s="2163"/>
      <c r="O145" s="2163"/>
      <c r="P145" s="2228"/>
      <c r="Q145" s="2163"/>
      <c r="R145" s="2163"/>
      <c r="S145" s="2228"/>
      <c r="T145" s="2163"/>
      <c r="U145" s="2163"/>
      <c r="V145" s="2165"/>
      <c r="W145" s="2166"/>
      <c r="X145" s="2238"/>
    </row>
    <row r="146" spans="1:24" ht="13.5" customHeight="1" thickBot="1">
      <c r="D146" s="2239" t="s">
        <v>1489</v>
      </c>
    </row>
  </sheetData>
  <sheetProtection sheet="1" objects="1" scenarios="1"/>
  <mergeCells count="9">
    <mergeCell ref="A13:B13"/>
    <mergeCell ref="A18:B18"/>
    <mergeCell ref="A19:B19"/>
    <mergeCell ref="A12:B12"/>
    <mergeCell ref="E6:S6"/>
    <mergeCell ref="A7:B7"/>
    <mergeCell ref="A8:B8"/>
    <mergeCell ref="A11:B11"/>
    <mergeCell ref="A10:B10"/>
  </mergeCells>
  <phoneticPr fontId="8" type="noConversion"/>
  <hyperlinks>
    <hyperlink ref="A11" location="Contents!A1" display="Contents"/>
    <hyperlink ref="A12:B12" r:id="rId1" tooltip="Unit A1.3 User &amp; Provider Impacts" display="WebTAG Unit A 1.3"/>
    <hyperlink ref="A10" location="Contents!A1" display="Contents"/>
    <hyperlink ref="D146" location="'Annual Parameters'!D29" tooltip="Top of Annual Parameters" display="Top"/>
    <hyperlink ref="F12" r:id="rId2" display="2018-2022 from EFO Mar 2018 table T1.1, published 13/03/2018"/>
    <hyperlink ref="F11" r:id="rId3" display="1990-2015 from ONS ABMI series, published 30/06/2016 (£m, 2012 prices)"/>
    <hyperlink ref="F16" r:id="rId4" display="1996-2016 from Labour Force Survey (UK households, '000s) published 04/11/2016"/>
    <hyperlink ref="F17" r:id="rId5" display="2017-2036 use 2014-based projections of UK households, published by DCLG in live table 401"/>
    <hyperlink ref="F14" r:id="rId6" display="1990-2015 from mid-year population estimates (all ages, '000s), published 23/06/16"/>
    <hyperlink ref="F15" r:id="rId7" display="Projections from 2016-2022 based on ONS 2016 based principal population projection, published 26/10/2017"/>
    <hyperlink ref="F9" r:id="rId8" display="2018-2023 from EFO Nov 2018 supplementary economy table 1.7, published 29/10/2018"/>
    <hyperlink ref="F8" r:id="rId9" display="1990-2015 from ONS Quarterly National Accounts Q3 2015 (series MNF2), released 30/06/2016"/>
    <hyperlink ref="F10" r:id="rId10" display="2023 onwards: based on March 2018 OBR Long-term economic determinants published 13/03/2018"/>
    <hyperlink ref="F13" r:id="rId11" display="2023 onwards: based on March 2018 OBR Long-term economic determinants published 13/03/2018"/>
  </hyperlinks>
  <pageMargins left="0.75" right="0.75" top="1" bottom="1" header="0.5" footer="0.5"/>
  <pageSetup paperSize="8" scale="58" fitToHeight="0" orientation="landscape" r:id="rId12"/>
  <headerFooter alignWithMargins="0"/>
  <drawing r:id="rId1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indexed="10"/>
  </sheetPr>
  <dimension ref="A1:Z147"/>
  <sheetViews>
    <sheetView showGridLines="0" zoomScale="70" zoomScaleNormal="70" workbookViewId="0">
      <selection activeCell="E23" sqref="E23:F23"/>
    </sheetView>
  </sheetViews>
  <sheetFormatPr defaultColWidth="12.88671875" defaultRowHeight="13.5" customHeight="1"/>
  <cols>
    <col min="1" max="4" width="12.88671875" style="237" customWidth="1"/>
    <col min="5" max="5" width="15.33203125" style="237" customWidth="1"/>
    <col min="6" max="11" width="12.88671875" style="237" customWidth="1"/>
    <col min="12" max="12" width="17.5546875" style="237" customWidth="1"/>
    <col min="13" max="14" width="15.109375" style="237" customWidth="1"/>
    <col min="15" max="15" width="21.5546875" style="237" customWidth="1"/>
    <col min="16" max="21" width="12.88671875" style="237" customWidth="1"/>
    <col min="22" max="22" width="12.88671875" style="238" customWidth="1"/>
    <col min="23" max="16384" width="12.88671875" style="237"/>
  </cols>
  <sheetData>
    <row r="1" spans="1:25" ht="54.9" customHeight="1">
      <c r="A1" s="236"/>
      <c r="B1" s="236"/>
    </row>
    <row r="2" spans="1:25" s="260" customFormat="1" ht="5.0999999999999996" customHeight="1">
      <c r="H2" s="273"/>
      <c r="S2" s="271"/>
      <c r="V2" s="261"/>
      <c r="Y2" s="271"/>
    </row>
    <row r="3" spans="1:25" s="260" customFormat="1" ht="20.100000000000001" customHeight="1">
      <c r="A3" s="83" t="s">
        <v>2344</v>
      </c>
      <c r="B3" s="262"/>
      <c r="C3" s="271"/>
      <c r="H3" s="273"/>
      <c r="V3" s="261"/>
    </row>
    <row r="4" spans="1:25" ht="20.100000000000001" customHeight="1" thickBot="1">
      <c r="A4" s="1317" t="s">
        <v>774</v>
      </c>
      <c r="B4" s="263"/>
      <c r="C4" s="274"/>
      <c r="D4" s="275"/>
      <c r="E4" s="275"/>
      <c r="F4" s="275"/>
      <c r="G4" s="275"/>
      <c r="H4" s="276"/>
      <c r="I4" s="263"/>
      <c r="J4" s="263"/>
      <c r="K4" s="263"/>
      <c r="L4" s="263"/>
      <c r="M4" s="263"/>
      <c r="N4" s="263"/>
      <c r="O4" s="263"/>
      <c r="P4" s="263"/>
      <c r="Q4" s="263"/>
      <c r="R4" s="263"/>
      <c r="S4" s="263"/>
      <c r="T4" s="263"/>
      <c r="U4" s="263"/>
      <c r="V4" s="264"/>
      <c r="W4" s="263"/>
      <c r="X4" s="26"/>
    </row>
    <row r="5" spans="1:25" ht="9.9" customHeight="1" thickTop="1" thickBot="1">
      <c r="A5" s="241"/>
      <c r="B5" s="240"/>
      <c r="C5" s="242"/>
      <c r="E5" s="290"/>
      <c r="F5" s="290"/>
      <c r="G5" s="290"/>
      <c r="H5" s="291"/>
      <c r="Q5" s="246"/>
      <c r="R5" s="246"/>
      <c r="S5" s="292"/>
      <c r="T5" s="290"/>
      <c r="U5" s="290"/>
      <c r="V5" s="295"/>
      <c r="W5" s="290"/>
      <c r="X5" s="26"/>
    </row>
    <row r="6" spans="1:25" s="240" customFormat="1" ht="13.5" customHeight="1" thickTop="1">
      <c r="A6" s="169" t="s">
        <v>10</v>
      </c>
      <c r="B6" s="169"/>
      <c r="E6" s="3626" t="s">
        <v>255</v>
      </c>
      <c r="F6" s="3627"/>
      <c r="G6" s="3627"/>
      <c r="H6" s="3627"/>
      <c r="I6" s="3627"/>
      <c r="J6" s="3627"/>
      <c r="K6" s="3627"/>
      <c r="L6" s="3627"/>
      <c r="M6" s="3627"/>
      <c r="N6" s="3627"/>
      <c r="O6" s="3627"/>
      <c r="P6" s="3627"/>
      <c r="Q6" s="3627"/>
      <c r="R6" s="3627"/>
      <c r="S6" s="3627"/>
      <c r="T6" s="1394"/>
      <c r="U6" s="1394"/>
      <c r="V6" s="1394"/>
      <c r="W6" s="294"/>
      <c r="X6" s="26"/>
    </row>
    <row r="7" spans="1:25" s="240" customFormat="1" ht="13.5" customHeight="1">
      <c r="A7" s="3636" t="str">
        <f>Audit!A12</f>
        <v>May 2019 v1.12</v>
      </c>
      <c r="B7" s="3637"/>
      <c r="E7" s="189" t="s">
        <v>1111</v>
      </c>
      <c r="F7" s="236"/>
      <c r="G7" s="236"/>
      <c r="H7" s="237"/>
      <c r="I7" s="236"/>
      <c r="J7" s="237"/>
      <c r="K7" s="237"/>
      <c r="L7" s="237"/>
      <c r="M7" s="236"/>
      <c r="N7" s="237"/>
      <c r="O7" s="237"/>
      <c r="P7" s="237"/>
      <c r="Q7" s="237"/>
      <c r="R7" s="237"/>
      <c r="S7" s="237"/>
      <c r="T7" s="237"/>
      <c r="U7" s="237"/>
      <c r="V7" s="237"/>
      <c r="W7" s="247"/>
      <c r="X7" s="26"/>
    </row>
    <row r="8" spans="1:25" s="240" customFormat="1" ht="13.5" customHeight="1">
      <c r="A8" s="3638">
        <f>Audit!C12</f>
        <v>43586</v>
      </c>
      <c r="B8" s="3637"/>
      <c r="C8" s="239"/>
      <c r="D8" s="239"/>
      <c r="E8" s="2622" t="s">
        <v>1765</v>
      </c>
      <c r="F8" s="2939" t="s">
        <v>2446</v>
      </c>
      <c r="G8" s="2188"/>
      <c r="H8" s="2188"/>
      <c r="I8" s="237"/>
      <c r="J8" s="2188"/>
      <c r="K8" s="2188"/>
      <c r="L8" s="237"/>
      <c r="M8" s="2188"/>
      <c r="N8" s="2188"/>
      <c r="O8" s="2188"/>
      <c r="P8" s="2188"/>
      <c r="Q8" s="26"/>
      <c r="R8" s="26"/>
      <c r="S8" s="26"/>
      <c r="T8" s="56"/>
      <c r="U8" s="26"/>
      <c r="V8" s="26"/>
      <c r="W8" s="147"/>
      <c r="X8" s="26"/>
    </row>
    <row r="9" spans="1:25" s="240" customFormat="1" ht="13.5" customHeight="1" thickBot="1">
      <c r="A9" s="172" t="s">
        <v>14</v>
      </c>
      <c r="B9" s="173"/>
      <c r="D9" s="239"/>
      <c r="E9" s="265"/>
      <c r="F9" s="2939" t="s">
        <v>2447</v>
      </c>
      <c r="G9" s="237"/>
      <c r="H9" s="237"/>
      <c r="I9" s="237"/>
      <c r="J9" s="237"/>
      <c r="K9" s="237"/>
      <c r="L9" s="237"/>
      <c r="M9" s="237"/>
      <c r="N9" s="237"/>
      <c r="O9" s="237"/>
      <c r="P9" s="237"/>
      <c r="Q9" s="237"/>
      <c r="R9" s="237"/>
      <c r="S9" s="26"/>
      <c r="T9" s="56"/>
      <c r="U9" s="26"/>
      <c r="V9" s="26"/>
      <c r="W9" s="147"/>
      <c r="X9" s="26"/>
    </row>
    <row r="10" spans="1:25" s="240" customFormat="1" ht="13.5" customHeight="1" thickBot="1">
      <c r="A10" s="3611" t="s">
        <v>1306</v>
      </c>
      <c r="B10" s="3612"/>
      <c r="D10" s="239"/>
      <c r="E10" s="265"/>
      <c r="F10" s="3168" t="s">
        <v>2448</v>
      </c>
      <c r="G10" s="237"/>
      <c r="H10" s="237"/>
      <c r="I10" s="237"/>
      <c r="J10" s="237"/>
      <c r="K10" s="237"/>
      <c r="L10" s="237"/>
      <c r="M10" s="237"/>
      <c r="N10" s="237"/>
      <c r="O10" s="237"/>
      <c r="P10" s="237"/>
      <c r="Q10" s="237"/>
      <c r="R10" s="237"/>
      <c r="S10" s="26"/>
      <c r="T10" s="2632"/>
      <c r="U10" s="26"/>
      <c r="V10" s="26"/>
      <c r="W10" s="147"/>
      <c r="X10" s="26"/>
    </row>
    <row r="11" spans="1:25" s="240" customFormat="1" ht="13.5" customHeight="1" thickBot="1">
      <c r="A11" s="3611" t="s">
        <v>2216</v>
      </c>
      <c r="B11" s="3635"/>
      <c r="D11" s="239"/>
      <c r="E11" s="2622" t="s">
        <v>1752</v>
      </c>
      <c r="F11" s="2939" t="s">
        <v>2449</v>
      </c>
      <c r="G11" s="237"/>
      <c r="H11" s="237"/>
      <c r="I11" s="237"/>
      <c r="J11" s="237"/>
      <c r="K11" s="237"/>
      <c r="L11" s="237"/>
      <c r="M11" s="237"/>
      <c r="N11" s="237"/>
      <c r="O11" s="237"/>
      <c r="P11" s="237"/>
      <c r="Q11" s="237"/>
      <c r="R11" s="237"/>
      <c r="S11" s="237"/>
      <c r="T11" s="237"/>
      <c r="U11" s="237"/>
      <c r="V11" s="237"/>
      <c r="W11" s="247"/>
      <c r="X11" s="26"/>
    </row>
    <row r="12" spans="1:25" s="240" customFormat="1" ht="13.5" customHeight="1" thickBot="1">
      <c r="A12" s="3611" t="s">
        <v>2217</v>
      </c>
      <c r="B12" s="3639"/>
      <c r="D12" s="239"/>
      <c r="E12" s="265"/>
      <c r="F12" s="2939" t="s">
        <v>2450</v>
      </c>
      <c r="G12" s="237"/>
      <c r="H12" s="237"/>
      <c r="I12" s="237"/>
      <c r="J12" s="237"/>
      <c r="K12" s="237"/>
      <c r="L12" s="237"/>
      <c r="M12" s="237"/>
      <c r="N12" s="237"/>
      <c r="O12" s="237"/>
      <c r="P12" s="237"/>
      <c r="Q12" s="237"/>
      <c r="R12" s="237"/>
      <c r="S12" s="237"/>
      <c r="T12" s="237"/>
      <c r="U12" s="237"/>
      <c r="V12" s="237"/>
      <c r="W12" s="247"/>
      <c r="X12" s="26"/>
    </row>
    <row r="13" spans="1:25" s="240" customFormat="1" ht="13.5" customHeight="1">
      <c r="A13" s="172" t="s">
        <v>252</v>
      </c>
      <c r="B13" s="194"/>
      <c r="C13" s="239"/>
      <c r="D13" s="239"/>
      <c r="E13" s="265"/>
      <c r="F13" s="3168" t="s">
        <v>2448</v>
      </c>
      <c r="G13" s="237"/>
      <c r="H13" s="237"/>
      <c r="I13" s="237"/>
      <c r="J13" s="237"/>
      <c r="K13" s="237"/>
      <c r="L13" s="237"/>
      <c r="N13" s="237"/>
      <c r="O13" s="237"/>
      <c r="P13" s="237"/>
      <c r="Q13" s="237"/>
      <c r="R13" s="237"/>
      <c r="S13" s="237"/>
      <c r="T13" s="237"/>
      <c r="U13" s="237"/>
      <c r="V13" s="237"/>
      <c r="W13" s="247"/>
      <c r="X13" s="26"/>
    </row>
    <row r="14" spans="1:25" s="240" customFormat="1" ht="13.5" customHeight="1" thickBot="1">
      <c r="A14" s="269" t="s">
        <v>1354</v>
      </c>
      <c r="B14" s="242"/>
      <c r="C14" s="239"/>
      <c r="D14" s="239"/>
      <c r="E14" s="2622" t="s">
        <v>1595</v>
      </c>
      <c r="F14" s="3163" t="s">
        <v>2128</v>
      </c>
      <c r="G14" s="2188"/>
      <c r="H14" s="2188"/>
      <c r="I14" s="2632"/>
      <c r="J14" s="2188"/>
      <c r="K14" s="237"/>
      <c r="L14" s="237"/>
      <c r="M14" s="237"/>
      <c r="N14" s="237"/>
      <c r="O14" s="237"/>
      <c r="P14" s="2188"/>
      <c r="Q14" s="26"/>
      <c r="R14" s="237"/>
      <c r="S14" s="26"/>
      <c r="T14" s="56"/>
      <c r="U14" s="26"/>
      <c r="V14" s="26"/>
      <c r="W14" s="147"/>
      <c r="X14" s="26"/>
    </row>
    <row r="15" spans="1:25" s="240" customFormat="1" ht="13.5" customHeight="1" thickBot="1">
      <c r="A15" s="240" t="s">
        <v>1355</v>
      </c>
      <c r="B15" s="1644">
        <f>'Default Pars'!$L$24</f>
        <v>1</v>
      </c>
      <c r="C15" s="239"/>
      <c r="D15" s="239"/>
      <c r="E15" s="265"/>
      <c r="F15" s="2939" t="s">
        <v>2129</v>
      </c>
      <c r="G15" s="2188"/>
      <c r="H15" s="2188"/>
      <c r="I15" s="2188"/>
      <c r="J15" s="2188"/>
      <c r="K15" s="237"/>
      <c r="L15" s="2940"/>
      <c r="M15" s="2941"/>
      <c r="N15" s="237"/>
      <c r="O15" s="2942"/>
      <c r="P15" s="2188"/>
      <c r="Q15" s="237"/>
      <c r="R15" s="237"/>
      <c r="S15" s="53"/>
      <c r="T15" s="56"/>
      <c r="U15" s="26"/>
      <c r="V15" s="26"/>
      <c r="W15" s="147"/>
      <c r="X15" s="26"/>
    </row>
    <row r="16" spans="1:25" s="240" customFormat="1" ht="13.5" customHeight="1" thickBot="1">
      <c r="A16" s="237" t="s">
        <v>1356</v>
      </c>
      <c r="B16" s="1644">
        <f>'Default Pars'!$L$25</f>
        <v>1</v>
      </c>
      <c r="C16" s="239"/>
      <c r="D16" s="1393"/>
      <c r="E16" s="2622" t="s">
        <v>1598</v>
      </c>
      <c r="F16" s="2939" t="s">
        <v>1954</v>
      </c>
      <c r="G16" s="237"/>
      <c r="H16" s="237"/>
      <c r="I16" s="237"/>
      <c r="J16" s="237"/>
      <c r="K16" s="2188"/>
      <c r="L16" s="237"/>
      <c r="M16" s="2188"/>
      <c r="N16" s="2188"/>
      <c r="O16" s="2685"/>
      <c r="P16" s="237"/>
      <c r="Q16" s="26"/>
      <c r="R16" s="26"/>
      <c r="S16" s="26"/>
      <c r="T16" s="56"/>
      <c r="U16" s="26"/>
      <c r="V16" s="26"/>
      <c r="W16" s="147"/>
      <c r="X16" s="26"/>
    </row>
    <row r="17" spans="1:24" s="240" customFormat="1" ht="13.5" customHeight="1">
      <c r="A17" s="169" t="s">
        <v>253</v>
      </c>
      <c r="B17" s="170"/>
      <c r="C17" s="239"/>
      <c r="D17" s="1393"/>
      <c r="E17" s="2614"/>
      <c r="F17" s="2685" t="s">
        <v>1955</v>
      </c>
      <c r="G17" s="2188"/>
      <c r="H17" s="2188"/>
      <c r="I17" s="3164"/>
      <c r="J17" s="2942"/>
      <c r="K17" s="237"/>
      <c r="L17" s="237"/>
      <c r="M17" s="237"/>
      <c r="N17" s="237"/>
      <c r="O17" s="237"/>
      <c r="P17" s="237"/>
      <c r="Q17" s="237"/>
      <c r="R17" s="237"/>
      <c r="S17" s="26"/>
      <c r="T17" s="56"/>
      <c r="U17" s="26"/>
      <c r="V17" s="26"/>
      <c r="W17" s="147"/>
      <c r="X17" s="26"/>
    </row>
    <row r="18" spans="1:24" s="240" customFormat="1" ht="13.5" customHeight="1">
      <c r="C18" s="239"/>
      <c r="D18" s="1393"/>
      <c r="E18" s="265"/>
      <c r="F18" s="2941" t="s">
        <v>1885</v>
      </c>
      <c r="G18" s="26"/>
      <c r="H18" s="26"/>
      <c r="I18" s="26"/>
      <c r="J18" s="26"/>
      <c r="K18" s="2188"/>
      <c r="L18" s="237"/>
      <c r="M18" s="2188"/>
      <c r="N18" s="2188"/>
      <c r="O18" s="2188"/>
      <c r="P18" s="237"/>
      <c r="Q18" s="53"/>
      <c r="R18" s="26"/>
      <c r="S18" s="237"/>
      <c r="T18" s="269"/>
      <c r="U18" s="237"/>
      <c r="V18" s="237"/>
      <c r="W18" s="247"/>
      <c r="X18" s="26"/>
    </row>
    <row r="19" spans="1:24" s="240" customFormat="1" ht="13.5" customHeight="1">
      <c r="A19" s="3615"/>
      <c r="B19" s="3615"/>
      <c r="C19" s="239"/>
      <c r="D19" s="1393"/>
      <c r="E19" s="265"/>
      <c r="G19" s="237"/>
      <c r="H19" s="237"/>
      <c r="I19" s="237"/>
      <c r="J19" s="237"/>
      <c r="K19" s="26"/>
      <c r="L19" s="26"/>
      <c r="M19" s="26"/>
      <c r="N19" s="26"/>
      <c r="O19" s="26"/>
      <c r="P19" s="26"/>
      <c r="Q19" s="26"/>
      <c r="R19" s="26"/>
      <c r="S19" s="237"/>
      <c r="T19" s="269"/>
      <c r="U19" s="237"/>
      <c r="V19" s="237"/>
      <c r="W19" s="247"/>
      <c r="X19" s="26"/>
    </row>
    <row r="20" spans="1:24" ht="13.5" customHeight="1">
      <c r="C20" s="242"/>
      <c r="D20" s="240"/>
      <c r="E20" s="265"/>
      <c r="W20" s="247"/>
      <c r="X20" s="26"/>
    </row>
    <row r="21" spans="1:24" ht="13.5" customHeight="1">
      <c r="C21" s="242"/>
      <c r="D21" s="240"/>
      <c r="E21" s="265"/>
      <c r="V21" s="237"/>
      <c r="W21" s="247"/>
    </row>
    <row r="22" spans="1:24" ht="13.5" customHeight="1">
      <c r="C22" s="242"/>
      <c r="D22" s="240"/>
      <c r="E22" s="265" t="s">
        <v>50</v>
      </c>
      <c r="V22" s="237"/>
      <c r="W22" s="247"/>
    </row>
    <row r="23" spans="1:24" ht="13.5" customHeight="1">
      <c r="C23" s="242"/>
      <c r="D23" s="240"/>
      <c r="E23" s="265" t="s">
        <v>214</v>
      </c>
      <c r="V23" s="237"/>
      <c r="W23" s="247"/>
    </row>
    <row r="24" spans="1:24" ht="13.5" customHeight="1">
      <c r="C24" s="242"/>
      <c r="D24" s="240"/>
      <c r="E24" s="265"/>
      <c r="V24" s="237"/>
      <c r="W24" s="247"/>
    </row>
    <row r="25" spans="1:24" ht="13.5" customHeight="1" thickBot="1">
      <c r="C25" s="242"/>
      <c r="D25" s="240"/>
      <c r="E25" s="92" t="s">
        <v>2218</v>
      </c>
      <c r="F25" s="270"/>
      <c r="G25" s="246"/>
      <c r="H25" s="270"/>
      <c r="I25" s="270"/>
      <c r="J25" s="2260" t="s">
        <v>73</v>
      </c>
      <c r="K25" s="270"/>
      <c r="L25" s="270"/>
      <c r="M25" s="270"/>
      <c r="N25" s="270"/>
      <c r="O25" s="270"/>
      <c r="P25" s="270"/>
      <c r="Q25" s="270"/>
      <c r="R25" s="270"/>
      <c r="S25" s="270"/>
      <c r="T25" s="270"/>
      <c r="U25" s="246"/>
      <c r="V25" s="246"/>
      <c r="W25" s="249"/>
    </row>
    <row r="26" spans="1:24" ht="13.5" customHeight="1" thickTop="1">
      <c r="C26" s="242"/>
      <c r="D26" s="240"/>
      <c r="E26" s="2048"/>
      <c r="F26" s="236"/>
      <c r="H26" s="236"/>
      <c r="I26" s="236"/>
      <c r="J26" s="236"/>
      <c r="K26" s="236"/>
      <c r="L26" s="236"/>
      <c r="M26" s="236"/>
      <c r="N26" s="236"/>
      <c r="O26" s="236"/>
      <c r="P26" s="236"/>
      <c r="Q26" s="236"/>
      <c r="R26" s="236"/>
      <c r="S26" s="236"/>
      <c r="T26" s="236"/>
      <c r="V26" s="237"/>
    </row>
    <row r="27" spans="1:24" ht="13.5" customHeight="1" thickBot="1">
      <c r="A27" s="240"/>
      <c r="B27" s="243"/>
      <c r="C27" s="244"/>
      <c r="D27" s="245"/>
      <c r="E27" s="260"/>
      <c r="F27" s="244"/>
      <c r="P27" s="243"/>
    </row>
    <row r="28" spans="1:24" ht="13.5" customHeight="1" thickTop="1" thickBot="1">
      <c r="A28" s="574" t="s">
        <v>774</v>
      </c>
      <c r="B28" s="277"/>
      <c r="C28" s="277"/>
      <c r="D28" s="277"/>
      <c r="E28" s="277"/>
      <c r="F28" s="277"/>
      <c r="G28" s="277"/>
      <c r="H28" s="277"/>
      <c r="I28" s="277"/>
      <c r="J28" s="277"/>
      <c r="K28" s="277"/>
      <c r="L28" s="277"/>
      <c r="M28" s="277"/>
      <c r="N28" s="277"/>
      <c r="O28" s="277"/>
      <c r="P28" s="277"/>
      <c r="Q28" s="277"/>
      <c r="R28" s="277"/>
      <c r="S28" s="277"/>
      <c r="T28" s="277"/>
      <c r="U28" s="277"/>
      <c r="V28" s="277"/>
      <c r="W28" s="2117"/>
      <c r="X28" s="26"/>
    </row>
    <row r="29" spans="1:24" ht="25.5" customHeight="1" thickTop="1">
      <c r="A29" s="1386"/>
      <c r="B29" s="105"/>
      <c r="C29" s="293"/>
      <c r="D29" s="1222" t="s">
        <v>1764</v>
      </c>
      <c r="E29" s="281" t="s">
        <v>1369</v>
      </c>
      <c r="F29" s="281"/>
      <c r="G29" s="282"/>
      <c r="H29" s="281" t="s">
        <v>1452</v>
      </c>
      <c r="I29" s="281"/>
      <c r="J29" s="282"/>
      <c r="K29" s="1140" t="s">
        <v>1146</v>
      </c>
      <c r="L29" s="416"/>
      <c r="M29" s="417"/>
      <c r="N29" s="281" t="s">
        <v>1365</v>
      </c>
      <c r="O29" s="280"/>
      <c r="P29" s="283"/>
      <c r="Q29" s="1140" t="s">
        <v>1353</v>
      </c>
      <c r="R29" s="416"/>
      <c r="S29" s="417"/>
      <c r="T29" s="281" t="s">
        <v>558</v>
      </c>
      <c r="U29" s="102"/>
      <c r="V29" s="102"/>
      <c r="W29" s="67"/>
      <c r="X29" s="26"/>
    </row>
    <row r="30" spans="1:24" ht="13.5" customHeight="1">
      <c r="A30" s="104"/>
      <c r="B30" s="173"/>
      <c r="C30" s="293"/>
      <c r="D30" s="279"/>
      <c r="E30" s="284"/>
      <c r="F30" s="3"/>
      <c r="G30" s="282"/>
      <c r="H30" s="284"/>
      <c r="I30" s="3"/>
      <c r="J30" s="282"/>
      <c r="K30" s="284"/>
      <c r="L30" s="3"/>
      <c r="M30" s="282"/>
      <c r="N30" s="284"/>
      <c r="O30" s="3"/>
      <c r="P30" s="282"/>
      <c r="Q30" s="284"/>
      <c r="R30" s="3"/>
      <c r="S30" s="282"/>
      <c r="T30" s="286" t="s">
        <v>1441</v>
      </c>
      <c r="U30" s="286" t="s">
        <v>596</v>
      </c>
      <c r="V30" s="286"/>
      <c r="W30" s="285"/>
      <c r="X30" s="32"/>
    </row>
    <row r="31" spans="1:24" ht="13.5" customHeight="1">
      <c r="A31" s="1386"/>
      <c r="B31" s="105"/>
      <c r="C31" s="293"/>
      <c r="D31" s="1398"/>
      <c r="E31" s="105" t="s">
        <v>1366</v>
      </c>
      <c r="F31" s="286" t="s">
        <v>1367</v>
      </c>
      <c r="G31" s="282" t="s">
        <v>775</v>
      </c>
      <c r="H31" s="105" t="s">
        <v>1366</v>
      </c>
      <c r="I31" s="286" t="s">
        <v>1367</v>
      </c>
      <c r="J31" s="282" t="s">
        <v>775</v>
      </c>
      <c r="K31" s="105" t="s">
        <v>1366</v>
      </c>
      <c r="L31" s="286" t="s">
        <v>1367</v>
      </c>
      <c r="M31" s="282" t="s">
        <v>775</v>
      </c>
      <c r="N31" s="105" t="s">
        <v>1366</v>
      </c>
      <c r="O31" s="286" t="s">
        <v>1367</v>
      </c>
      <c r="P31" s="282" t="s">
        <v>775</v>
      </c>
      <c r="Q31" s="105" t="s">
        <v>1366</v>
      </c>
      <c r="R31" s="286" t="s">
        <v>1367</v>
      </c>
      <c r="S31" s="282" t="s">
        <v>775</v>
      </c>
      <c r="T31" s="286" t="s">
        <v>1071</v>
      </c>
      <c r="U31" s="286" t="s">
        <v>1071</v>
      </c>
      <c r="V31" s="286" t="s">
        <v>1441</v>
      </c>
      <c r="W31" s="285" t="s">
        <v>256</v>
      </c>
      <c r="X31" s="31"/>
    </row>
    <row r="32" spans="1:24" ht="13.5" customHeight="1">
      <c r="A32" s="104"/>
      <c r="B32" s="173"/>
      <c r="C32" s="293"/>
      <c r="D32" s="279"/>
      <c r="E32" s="1391" t="s">
        <v>274</v>
      </c>
      <c r="F32" s="105" t="s">
        <v>1368</v>
      </c>
      <c r="G32" s="287" t="s">
        <v>776</v>
      </c>
      <c r="H32" s="1391" t="s">
        <v>274</v>
      </c>
      <c r="I32" s="105" t="s">
        <v>1370</v>
      </c>
      <c r="J32" s="287" t="s">
        <v>776</v>
      </c>
      <c r="K32" s="1391" t="s">
        <v>274</v>
      </c>
      <c r="L32" s="105" t="s">
        <v>1372</v>
      </c>
      <c r="M32" s="287" t="s">
        <v>1371</v>
      </c>
      <c r="N32" s="1391" t="s">
        <v>274</v>
      </c>
      <c r="O32" s="105" t="s">
        <v>180</v>
      </c>
      <c r="P32" s="287" t="s">
        <v>776</v>
      </c>
      <c r="Q32" s="1391" t="s">
        <v>274</v>
      </c>
      <c r="R32" s="105" t="s">
        <v>180</v>
      </c>
      <c r="S32" s="287" t="s">
        <v>1371</v>
      </c>
      <c r="T32" s="105" t="s">
        <v>180</v>
      </c>
      <c r="U32" s="105" t="s">
        <v>180</v>
      </c>
      <c r="V32" s="105" t="s">
        <v>775</v>
      </c>
      <c r="W32" s="287" t="s">
        <v>775</v>
      </c>
      <c r="X32" s="2115"/>
    </row>
    <row r="33" spans="1:26" ht="13.5" customHeight="1">
      <c r="A33" s="104"/>
      <c r="B33" s="105" t="s">
        <v>1450</v>
      </c>
      <c r="C33" s="293"/>
      <c r="D33" s="285"/>
      <c r="E33" s="1391"/>
      <c r="F33" s="105" t="s">
        <v>179</v>
      </c>
      <c r="G33" s="287"/>
      <c r="H33" s="1391"/>
      <c r="I33" s="105" t="s">
        <v>179</v>
      </c>
      <c r="J33" s="287"/>
      <c r="K33" s="1391"/>
      <c r="L33" s="105" t="s">
        <v>179</v>
      </c>
      <c r="M33" s="287"/>
      <c r="N33" s="1391"/>
      <c r="O33" s="105" t="s">
        <v>179</v>
      </c>
      <c r="P33" s="287"/>
      <c r="Q33" s="1391"/>
      <c r="R33" s="105" t="s">
        <v>179</v>
      </c>
      <c r="S33" s="287"/>
      <c r="T33" s="105" t="s">
        <v>181</v>
      </c>
      <c r="U33" s="105" t="s">
        <v>181</v>
      </c>
      <c r="V33" s="105" t="s">
        <v>836</v>
      </c>
      <c r="W33" s="287" t="s">
        <v>836</v>
      </c>
      <c r="X33" s="32"/>
    </row>
    <row r="34" spans="1:26" ht="13.5" customHeight="1">
      <c r="A34" s="2314"/>
      <c r="B34" s="238">
        <v>1990</v>
      </c>
      <c r="C34" s="2621"/>
      <c r="D34" s="2113">
        <v>55.112900000000003</v>
      </c>
      <c r="E34" s="296">
        <v>1162976</v>
      </c>
      <c r="F34" s="250"/>
      <c r="G34" s="2945">
        <v>100</v>
      </c>
      <c r="H34" s="2114">
        <v>57237.5</v>
      </c>
      <c r="J34" s="2945">
        <v>100</v>
      </c>
      <c r="K34" s="1387"/>
      <c r="L34" s="252"/>
      <c r="M34" s="253"/>
      <c r="N34" s="250">
        <f t="shared" ref="N34:N57" si="0">IF(H34="","-",1000*E34/H34)</f>
        <v>20318.427604280412</v>
      </c>
      <c r="P34" s="251">
        <v>100</v>
      </c>
      <c r="Q34" s="1392"/>
      <c r="S34" s="247"/>
      <c r="V34" s="237"/>
      <c r="W34" s="248"/>
      <c r="X34" s="674"/>
    </row>
    <row r="35" spans="1:26" ht="13.5" customHeight="1">
      <c r="A35" s="2314"/>
      <c r="B35" s="238">
        <v>1991</v>
      </c>
      <c r="C35" s="247"/>
      <c r="D35" s="2113">
        <v>58.744199999999999</v>
      </c>
      <c r="E35" s="296">
        <v>1150324</v>
      </c>
      <c r="F35" s="252">
        <f t="shared" ref="F35:F60" si="1">(E35-E34)/E34*100</f>
        <v>-1.087898632473929</v>
      </c>
      <c r="G35" s="257">
        <f t="shared" ref="G35:G55" si="2">G34*(100+F35)/100</f>
        <v>98.912101367526077</v>
      </c>
      <c r="H35" s="1389">
        <v>57438.7</v>
      </c>
      <c r="I35" s="252">
        <f t="shared" ref="I35:I61" si="3">(H35-H34)/H34*100</f>
        <v>0.35151779864598748</v>
      </c>
      <c r="J35" s="257">
        <f t="shared" ref="J35:J98" si="4">J34*(100+I35)/100</f>
        <v>100.35151779864599</v>
      </c>
      <c r="K35" s="1388"/>
      <c r="L35" s="252"/>
      <c r="M35" s="253"/>
      <c r="N35" s="250">
        <f t="shared" si="0"/>
        <v>20026.98529040525</v>
      </c>
      <c r="O35" s="252">
        <f>IF(N35="-",100*((100+$F35)/(100+$I35)-1),(N35/N34-1)*100)</f>
        <v>-1.4343743499805384</v>
      </c>
      <c r="P35" s="257">
        <f t="shared" ref="P35:P98" si="5">P34*(100+O35)/100</f>
        <v>98.56562565001947</v>
      </c>
      <c r="Q35" s="1392"/>
      <c r="S35" s="247"/>
      <c r="V35" s="237"/>
      <c r="W35" s="248"/>
      <c r="X35" s="674"/>
    </row>
    <row r="36" spans="1:26" ht="13.5" customHeight="1">
      <c r="A36" s="2314"/>
      <c r="B36" s="238">
        <v>1992</v>
      </c>
      <c r="C36" s="247"/>
      <c r="D36" s="2113">
        <v>60.541200000000003</v>
      </c>
      <c r="E36" s="296">
        <v>1154592</v>
      </c>
      <c r="F36" s="252">
        <f t="shared" si="1"/>
        <v>0.37102590226753507</v>
      </c>
      <c r="G36" s="257">
        <f t="shared" si="2"/>
        <v>99.279090884076723</v>
      </c>
      <c r="H36" s="1389">
        <v>57584.5</v>
      </c>
      <c r="I36" s="252">
        <f t="shared" si="3"/>
        <v>0.25383582845712549</v>
      </c>
      <c r="J36" s="257">
        <f t="shared" si="4"/>
        <v>100.60624590521948</v>
      </c>
      <c r="K36" s="1388"/>
      <c r="L36" s="252"/>
      <c r="M36" s="253"/>
      <c r="N36" s="250">
        <f t="shared" si="0"/>
        <v>20050.39550573505</v>
      </c>
      <c r="O36" s="252">
        <f t="shared" ref="O36:O99" si="6">IF(N36="-",100*((100+$F36)/(100+$I36)-1),(N36/N35-1)*100)</f>
        <v>0.11689335659030853</v>
      </c>
      <c r="P36" s="257">
        <f t="shared" si="5"/>
        <v>98.680842318286011</v>
      </c>
      <c r="Q36" s="1392"/>
      <c r="S36" s="247"/>
      <c r="V36" s="237"/>
      <c r="W36" s="248"/>
      <c r="X36" s="674"/>
    </row>
    <row r="37" spans="1:26" ht="13.5" customHeight="1">
      <c r="A37" s="2314"/>
      <c r="B37" s="238">
        <v>1993</v>
      </c>
      <c r="C37" s="247"/>
      <c r="D37" s="2113">
        <v>62.165999999999997</v>
      </c>
      <c r="E37" s="296">
        <v>1183761</v>
      </c>
      <c r="F37" s="252">
        <f t="shared" si="1"/>
        <v>2.5263469693190324</v>
      </c>
      <c r="G37" s="257">
        <f t="shared" si="2"/>
        <v>101.78722518779408</v>
      </c>
      <c r="H37" s="1389">
        <v>57713.9</v>
      </c>
      <c r="I37" s="252">
        <f t="shared" si="3"/>
        <v>0.22471324748847599</v>
      </c>
      <c r="J37" s="257">
        <f t="shared" si="4"/>
        <v>100.83232146756934</v>
      </c>
      <c r="K37" s="1388"/>
      <c r="L37" s="252"/>
      <c r="M37" s="253"/>
      <c r="N37" s="250">
        <f t="shared" si="0"/>
        <v>20510.847473485588</v>
      </c>
      <c r="O37" s="252">
        <f t="shared" si="6"/>
        <v>2.2964732422302347</v>
      </c>
      <c r="P37" s="257">
        <f t="shared" si="5"/>
        <v>100.94702145733287</v>
      </c>
      <c r="Q37" s="1392"/>
      <c r="S37" s="247"/>
      <c r="V37" s="237"/>
      <c r="W37" s="248"/>
      <c r="X37" s="674"/>
    </row>
    <row r="38" spans="1:26" ht="13.5" customHeight="1">
      <c r="A38" s="2314"/>
      <c r="B38" s="238">
        <v>1994</v>
      </c>
      <c r="C38" s="247"/>
      <c r="D38" s="2113">
        <v>62.959600000000002</v>
      </c>
      <c r="E38" s="296">
        <v>1229868</v>
      </c>
      <c r="F38" s="252">
        <f t="shared" si="1"/>
        <v>3.8949585262565671</v>
      </c>
      <c r="G38" s="257">
        <f t="shared" si="2"/>
        <v>105.75179539388604</v>
      </c>
      <c r="H38" s="1389">
        <v>57862.1</v>
      </c>
      <c r="I38" s="252">
        <f t="shared" si="3"/>
        <v>0.25678389434780374</v>
      </c>
      <c r="J38" s="257">
        <f t="shared" si="4"/>
        <v>101.09124262939507</v>
      </c>
      <c r="K38" s="1388"/>
      <c r="L38" s="252"/>
      <c r="M38" s="253"/>
      <c r="N38" s="250">
        <f t="shared" si="0"/>
        <v>21255.156656948158</v>
      </c>
      <c r="O38" s="252">
        <f t="shared" si="6"/>
        <v>3.6288563133470619</v>
      </c>
      <c r="P38" s="257">
        <f t="shared" si="5"/>
        <v>104.61024381862309</v>
      </c>
      <c r="Q38" s="1392"/>
      <c r="S38" s="247"/>
      <c r="V38" s="237"/>
      <c r="W38" s="248"/>
      <c r="X38" s="674"/>
    </row>
    <row r="39" spans="1:26" ht="13.5" customHeight="1">
      <c r="A39" s="2314"/>
      <c r="B39" s="238">
        <v>1995</v>
      </c>
      <c r="C39" s="247"/>
      <c r="D39" s="2113">
        <v>64.506</v>
      </c>
      <c r="E39" s="296">
        <v>1260065</v>
      </c>
      <c r="F39" s="252">
        <f t="shared" si="1"/>
        <v>2.4553041464612462</v>
      </c>
      <c r="G39" s="257">
        <f t="shared" si="2"/>
        <v>108.34832361114934</v>
      </c>
      <c r="H39" s="1389">
        <v>58024.800000000003</v>
      </c>
      <c r="I39" s="252">
        <f t="shared" si="3"/>
        <v>0.2811857848228882</v>
      </c>
      <c r="J39" s="257">
        <f t="shared" si="4"/>
        <v>101.37549683336974</v>
      </c>
      <c r="K39" s="1388"/>
      <c r="L39" s="252"/>
      <c r="M39" s="253"/>
      <c r="N39" s="250">
        <f t="shared" si="0"/>
        <v>21715.973170092788</v>
      </c>
      <c r="O39" s="252">
        <f t="shared" si="6"/>
        <v>2.1680221914242681</v>
      </c>
      <c r="P39" s="257">
        <f t="shared" si="5"/>
        <v>106.87821711911387</v>
      </c>
      <c r="Q39" s="1392"/>
      <c r="S39" s="247"/>
      <c r="V39" s="237"/>
      <c r="W39" s="248"/>
      <c r="X39" s="674"/>
    </row>
    <row r="40" spans="1:26" ht="13.5" customHeight="1">
      <c r="A40" s="2314"/>
      <c r="B40" s="238">
        <v>1996</v>
      </c>
      <c r="C40" s="247"/>
      <c r="D40" s="2113">
        <v>67.139799999999994</v>
      </c>
      <c r="E40" s="296">
        <v>1292011</v>
      </c>
      <c r="F40" s="252">
        <f t="shared" si="1"/>
        <v>2.535266037863126</v>
      </c>
      <c r="G40" s="257">
        <f t="shared" si="2"/>
        <v>111.09524186225684</v>
      </c>
      <c r="H40" s="1389">
        <v>58164.4</v>
      </c>
      <c r="I40" s="252">
        <f t="shared" si="3"/>
        <v>0.24058678358218991</v>
      </c>
      <c r="J40" s="257">
        <f t="shared" si="4"/>
        <v>101.6193928805416</v>
      </c>
      <c r="K40" s="1389">
        <v>23738</v>
      </c>
      <c r="L40" s="252"/>
      <c r="M40" s="2945">
        <v>100</v>
      </c>
      <c r="N40" s="250">
        <f t="shared" si="0"/>
        <v>22213.089106051124</v>
      </c>
      <c r="O40" s="252">
        <f t="shared" si="6"/>
        <v>2.2891718094538938</v>
      </c>
      <c r="P40" s="257">
        <f t="shared" si="5"/>
        <v>109.32484313585155</v>
      </c>
      <c r="Q40" s="1392">
        <f>IF(OR(E40="",E40=0,K40="",K40=0),"-",E40*1000000/(K40*1000))</f>
        <v>54427.963602662399</v>
      </c>
      <c r="S40" s="2945">
        <v>100</v>
      </c>
      <c r="V40" s="237"/>
      <c r="W40" s="248"/>
      <c r="X40" s="674"/>
    </row>
    <row r="41" spans="1:26" ht="13.5" customHeight="1">
      <c r="A41" s="2314"/>
      <c r="B41" s="238">
        <v>1997</v>
      </c>
      <c r="C41" s="247"/>
      <c r="D41" s="2113">
        <v>67.621499999999997</v>
      </c>
      <c r="E41" s="296">
        <v>1347478</v>
      </c>
      <c r="F41" s="252">
        <f t="shared" si="1"/>
        <v>4.2930749041610321</v>
      </c>
      <c r="G41" s="257">
        <f t="shared" si="2"/>
        <v>115.8646438103624</v>
      </c>
      <c r="H41" s="1389">
        <v>58314.2</v>
      </c>
      <c r="I41" s="252">
        <f t="shared" si="3"/>
        <v>0.2575458527896714</v>
      </c>
      <c r="J41" s="257">
        <f t="shared" si="4"/>
        <v>101.88110941253548</v>
      </c>
      <c r="K41" s="1389">
        <v>23865</v>
      </c>
      <c r="L41" s="252">
        <f t="shared" ref="L41:L57" si="7">(K41-K40)/K40*100</f>
        <v>0.53500716151318561</v>
      </c>
      <c r="M41" s="257">
        <f t="shared" ref="M41:M104" si="8">M40*(100+L41)/100</f>
        <v>100.53500716151319</v>
      </c>
      <c r="N41" s="250">
        <f t="shared" si="0"/>
        <v>23107.202019405224</v>
      </c>
      <c r="O41" s="252">
        <f t="shared" si="6"/>
        <v>4.0251624125098973</v>
      </c>
      <c r="P41" s="257">
        <f t="shared" si="5"/>
        <v>113.72534562929125</v>
      </c>
      <c r="Q41" s="1392">
        <f>IF(OR(E41="",E41=0,K41="",K41=0),"-",E41*1000000/(K41*1000))</f>
        <v>56462.518332285777</v>
      </c>
      <c r="R41" s="252">
        <f>100*((100+$F41)/(100+$L41)-1)</f>
        <v>3.7380688068290091</v>
      </c>
      <c r="S41" s="257">
        <f t="shared" ref="S41:S104" si="9">S40*(100+R41)/100</f>
        <v>103.73806880682899</v>
      </c>
      <c r="V41" s="237"/>
      <c r="W41" s="248"/>
      <c r="X41" s="674"/>
    </row>
    <row r="42" spans="1:26" ht="13.5" customHeight="1">
      <c r="A42" s="2314"/>
      <c r="B42" s="238">
        <v>1998</v>
      </c>
      <c r="C42" s="247"/>
      <c r="D42" s="2113">
        <v>68.348100000000002</v>
      </c>
      <c r="E42" s="296">
        <v>1392501</v>
      </c>
      <c r="F42" s="252">
        <f t="shared" si="1"/>
        <v>3.3412790412904703</v>
      </c>
      <c r="G42" s="257">
        <f t="shared" si="2"/>
        <v>119.7360048702639</v>
      </c>
      <c r="H42" s="2114">
        <v>58474.9</v>
      </c>
      <c r="I42" s="252">
        <f t="shared" si="3"/>
        <v>0.27557610324758697</v>
      </c>
      <c r="J42" s="257">
        <f t="shared" si="4"/>
        <v>102.16186940379995</v>
      </c>
      <c r="K42" s="1389">
        <v>24036</v>
      </c>
      <c r="L42" s="252">
        <f t="shared" si="7"/>
        <v>0.71653048397234442</v>
      </c>
      <c r="M42" s="257">
        <f t="shared" si="8"/>
        <v>101.25537113488922</v>
      </c>
      <c r="N42" s="250">
        <f t="shared" si="0"/>
        <v>23813.653379484189</v>
      </c>
      <c r="O42" s="252">
        <f t="shared" si="6"/>
        <v>3.0572778109859255</v>
      </c>
      <c r="P42" s="257">
        <f t="shared" si="5"/>
        <v>117.20224538668262</v>
      </c>
      <c r="Q42" s="1392">
        <f t="shared" ref="Q42:Q105" si="10">IF(OR(E42="",E42=0,K42="",K42=0),"-",E42*1000000/(K42*1000))</f>
        <v>57933.974038941589</v>
      </c>
      <c r="R42" s="252">
        <f t="shared" ref="R42:R106" si="11">100*((100+$F42)/(100+$L42)-1)</f>
        <v>2.6060752338324722</v>
      </c>
      <c r="S42" s="257">
        <f t="shared" si="9"/>
        <v>106.44156092605985</v>
      </c>
      <c r="V42" s="237"/>
      <c r="W42" s="248"/>
      <c r="X42" s="1167"/>
    </row>
    <row r="43" spans="1:26" ht="13.5" customHeight="1">
      <c r="A43" s="2314"/>
      <c r="B43" s="238">
        <v>1999</v>
      </c>
      <c r="C43" s="247"/>
      <c r="D43" s="2113">
        <v>68.8947</v>
      </c>
      <c r="E43" s="296">
        <v>1437253</v>
      </c>
      <c r="F43" s="252">
        <f t="shared" si="1"/>
        <v>3.213785842882698</v>
      </c>
      <c r="G43" s="257">
        <f t="shared" si="2"/>
        <v>123.58406364361777</v>
      </c>
      <c r="H43" s="2114">
        <v>58684.4</v>
      </c>
      <c r="I43" s="252">
        <f t="shared" si="3"/>
        <v>0.35827337883433746</v>
      </c>
      <c r="J43" s="257">
        <f t="shared" si="4"/>
        <v>102.52788818519328</v>
      </c>
      <c r="K43" s="1389">
        <v>24209</v>
      </c>
      <c r="L43" s="252">
        <f t="shared" si="7"/>
        <v>0.71975370277916462</v>
      </c>
      <c r="M43" s="257">
        <f t="shared" si="8"/>
        <v>101.98416041789537</v>
      </c>
      <c r="N43" s="250">
        <f t="shared" si="0"/>
        <v>24491.22765164166</v>
      </c>
      <c r="O43" s="252">
        <f t="shared" si="6"/>
        <v>2.8453184455150105</v>
      </c>
      <c r="P43" s="257">
        <f t="shared" si="5"/>
        <v>120.53702249322765</v>
      </c>
      <c r="Q43" s="1392">
        <f t="shared" si="10"/>
        <v>59368.54062538725</v>
      </c>
      <c r="R43" s="252">
        <f t="shared" si="11"/>
        <v>2.4762095303204834</v>
      </c>
      <c r="S43" s="257">
        <f t="shared" si="9"/>
        <v>109.07727700193283</v>
      </c>
      <c r="V43" s="237"/>
      <c r="W43" s="248"/>
      <c r="X43" s="1167"/>
    </row>
    <row r="44" spans="1:26" ht="13.5" customHeight="1">
      <c r="A44" s="2314"/>
      <c r="B44" s="238">
        <v>2000</v>
      </c>
      <c r="C44" s="247"/>
      <c r="D44" s="2113">
        <v>70.347800000000007</v>
      </c>
      <c r="E44" s="296">
        <v>1486888</v>
      </c>
      <c r="F44" s="252">
        <f t="shared" si="1"/>
        <v>3.4534629602442997</v>
      </c>
      <c r="G44" s="257">
        <f t="shared" si="2"/>
        <v>127.85199350631484</v>
      </c>
      <c r="H44" s="2114">
        <v>58886.1</v>
      </c>
      <c r="I44" s="252">
        <f t="shared" si="3"/>
        <v>0.34370292616095088</v>
      </c>
      <c r="J44" s="257">
        <f t="shared" si="4"/>
        <v>102.88027953701682</v>
      </c>
      <c r="K44" s="1389">
        <v>24396</v>
      </c>
      <c r="L44" s="252">
        <f t="shared" si="7"/>
        <v>0.77244000165227811</v>
      </c>
      <c r="M44" s="257">
        <f t="shared" si="8"/>
        <v>102.77192686831242</v>
      </c>
      <c r="N44" s="250">
        <f t="shared" si="0"/>
        <v>25250.237322559995</v>
      </c>
      <c r="O44" s="252">
        <f t="shared" si="6"/>
        <v>3.0991083081433723</v>
      </c>
      <c r="P44" s="257">
        <f t="shared" si="5"/>
        <v>124.27259537170391</v>
      </c>
      <c r="Q44" s="1392">
        <f t="shared" si="10"/>
        <v>60948.024266273162</v>
      </c>
      <c r="R44" s="252">
        <f t="shared" si="11"/>
        <v>2.6604724054990037</v>
      </c>
      <c r="S44" s="257">
        <f t="shared" si="9"/>
        <v>111.97924785723897</v>
      </c>
      <c r="V44" s="237"/>
      <c r="W44" s="248"/>
      <c r="X44" s="1167"/>
    </row>
    <row r="45" spans="1:26" ht="13.5" customHeight="1">
      <c r="A45" s="2314"/>
      <c r="B45" s="238">
        <v>2001</v>
      </c>
      <c r="C45" s="247"/>
      <c r="D45" s="2113">
        <v>70.922899999999998</v>
      </c>
      <c r="E45" s="296">
        <v>1529127</v>
      </c>
      <c r="F45" s="252">
        <f t="shared" si="1"/>
        <v>2.8407654107101545</v>
      </c>
      <c r="G45" s="257">
        <f t="shared" si="2"/>
        <v>131.48396871474563</v>
      </c>
      <c r="H45" s="2876">
        <v>59113</v>
      </c>
      <c r="I45" s="252">
        <f t="shared" si="3"/>
        <v>0.38532013497243228</v>
      </c>
      <c r="J45" s="257">
        <f t="shared" si="4"/>
        <v>103.27669796898887</v>
      </c>
      <c r="K45" s="1389">
        <v>24535</v>
      </c>
      <c r="L45" s="252">
        <f t="shared" si="7"/>
        <v>0.56976553533366125</v>
      </c>
      <c r="M45" s="257">
        <f t="shared" si="8"/>
        <v>103.35748588760639</v>
      </c>
      <c r="N45" s="250">
        <f t="shared" si="0"/>
        <v>25867.863244971497</v>
      </c>
      <c r="O45" s="252">
        <f t="shared" si="6"/>
        <v>2.4460202671429121</v>
      </c>
      <c r="P45" s="257">
        <f t="shared" si="5"/>
        <v>127.3123282410003</v>
      </c>
      <c r="Q45" s="1392">
        <f>IF(OR(E45="",E45=0,K45="",K45=0),"-",E45*1000000/(K45*1000))</f>
        <v>62324.312207051153</v>
      </c>
      <c r="R45" s="252">
        <f t="shared" si="11"/>
        <v>2.2581338072013457</v>
      </c>
      <c r="S45" s="257">
        <f t="shared" si="9"/>
        <v>114.50788911015309</v>
      </c>
      <c r="V45" s="237"/>
      <c r="W45" s="247"/>
      <c r="X45" s="1167"/>
    </row>
    <row r="46" spans="1:26" ht="13.5" customHeight="1">
      <c r="A46" s="2314"/>
      <c r="B46" s="238">
        <v>2002</v>
      </c>
      <c r="C46" s="247"/>
      <c r="D46" s="2113">
        <v>72.468100000000007</v>
      </c>
      <c r="E46" s="296">
        <v>1567351</v>
      </c>
      <c r="F46" s="252">
        <f t="shared" si="1"/>
        <v>2.4997269683943846</v>
      </c>
      <c r="G46" s="257">
        <f t="shared" si="2"/>
        <v>134.77070893982335</v>
      </c>
      <c r="H46" s="2876">
        <v>59365.7</v>
      </c>
      <c r="I46" s="252">
        <f t="shared" si="3"/>
        <v>0.427486339722222</v>
      </c>
      <c r="J46" s="257">
        <f t="shared" si="4"/>
        <v>103.71819174492248</v>
      </c>
      <c r="K46" s="1389">
        <v>24792</v>
      </c>
      <c r="L46" s="252">
        <f t="shared" si="7"/>
        <v>1.0474831872834724</v>
      </c>
      <c r="M46" s="257">
        <f t="shared" si="8"/>
        <v>104.44013817507795</v>
      </c>
      <c r="N46" s="250">
        <f t="shared" si="0"/>
        <v>26401.625854660182</v>
      </c>
      <c r="O46" s="252">
        <f t="shared" si="6"/>
        <v>2.063419790934784</v>
      </c>
      <c r="P46" s="257">
        <f t="shared" si="5"/>
        <v>129.93931601822496</v>
      </c>
      <c r="Q46" s="1392">
        <f t="shared" si="10"/>
        <v>63220.030655050017</v>
      </c>
      <c r="R46" s="252">
        <f t="shared" si="11"/>
        <v>1.4371894631153737</v>
      </c>
      <c r="S46" s="257">
        <f t="shared" si="9"/>
        <v>116.15358442688004</v>
      </c>
      <c r="V46" s="298">
        <v>100</v>
      </c>
      <c r="W46" s="299">
        <v>100</v>
      </c>
      <c r="X46" s="1167"/>
    </row>
    <row r="47" spans="1:26" ht="13.5" customHeight="1">
      <c r="A47" s="2314"/>
      <c r="B47" s="238">
        <v>2003</v>
      </c>
      <c r="C47" s="247"/>
      <c r="D47" s="2113">
        <v>74.211299999999994</v>
      </c>
      <c r="E47" s="296">
        <v>1619692</v>
      </c>
      <c r="F47" s="252">
        <f>(E47-E46)/E46*100</f>
        <v>3.3394561907320055</v>
      </c>
      <c r="G47" s="257">
        <f t="shared" si="2"/>
        <v>139.27131772280768</v>
      </c>
      <c r="H47" s="2876">
        <v>59636.7</v>
      </c>
      <c r="I47" s="252">
        <f t="shared" si="3"/>
        <v>0.45649255378105541</v>
      </c>
      <c r="J47" s="257">
        <f t="shared" si="4"/>
        <v>104.19165756715442</v>
      </c>
      <c r="K47" s="1389">
        <v>24917</v>
      </c>
      <c r="L47" s="252">
        <f t="shared" si="7"/>
        <v>0.50419490158115521</v>
      </c>
      <c r="M47" s="257">
        <f t="shared" si="8"/>
        <v>104.96672002696101</v>
      </c>
      <c r="N47" s="250">
        <f t="shared" si="0"/>
        <v>27159.316327026816</v>
      </c>
      <c r="O47" s="252">
        <f t="shared" si="6"/>
        <v>2.8698629263882669</v>
      </c>
      <c r="P47" s="257">
        <f t="shared" si="5"/>
        <v>133.66839627543447</v>
      </c>
      <c r="Q47" s="1392">
        <f t="shared" si="10"/>
        <v>65003.491592085724</v>
      </c>
      <c r="R47" s="252">
        <f t="shared" si="11"/>
        <v>2.8210377605902837</v>
      </c>
      <c r="S47" s="257">
        <f t="shared" si="9"/>
        <v>119.43032090384146</v>
      </c>
      <c r="T47" s="254">
        <f>100*((1+$O47/100)^$B$15-1)</f>
        <v>2.8698629263882669</v>
      </c>
      <c r="U47" s="254">
        <f>100*((1+$O47/100)^$B$16-1)</f>
        <v>2.8698629263882669</v>
      </c>
      <c r="V47" s="255">
        <f t="shared" ref="V47:V78" si="12">V46*((100+T47)/100)</f>
        <v>102.86986292638827</v>
      </c>
      <c r="W47" s="256">
        <f t="shared" ref="W47:W78" si="13">W46*((100+U47)/100)</f>
        <v>102.86986292638827</v>
      </c>
      <c r="X47" s="1167"/>
      <c r="Z47" s="1300"/>
    </row>
    <row r="48" spans="1:26" ht="13.5" customHeight="1">
      <c r="A48" s="2314"/>
      <c r="B48" s="238">
        <v>2004</v>
      </c>
      <c r="C48" s="247"/>
      <c r="D48" s="2113">
        <v>76.045100000000005</v>
      </c>
      <c r="E48" s="296">
        <v>1657719</v>
      </c>
      <c r="F48" s="252">
        <f t="shared" si="1"/>
        <v>2.3477920493525932</v>
      </c>
      <c r="G48" s="257">
        <f t="shared" si="2"/>
        <v>142.54111864733235</v>
      </c>
      <c r="H48" s="2876">
        <v>59950.400000000001</v>
      </c>
      <c r="I48" s="252">
        <f t="shared" si="3"/>
        <v>0.52601837459149203</v>
      </c>
      <c r="J48" s="257">
        <f t="shared" si="4"/>
        <v>104.7397248307491</v>
      </c>
      <c r="K48" s="1389">
        <v>24993</v>
      </c>
      <c r="L48" s="252">
        <f t="shared" si="7"/>
        <v>0.30501264197134487</v>
      </c>
      <c r="M48" s="257">
        <f t="shared" si="8"/>
        <v>105.28688179290592</v>
      </c>
      <c r="N48" s="250">
        <f t="shared" si="0"/>
        <v>27651.508580426485</v>
      </c>
      <c r="O48" s="252">
        <f t="shared" si="6"/>
        <v>1.8122409543493534</v>
      </c>
      <c r="P48" s="257">
        <f t="shared" si="5"/>
        <v>136.0907896957599</v>
      </c>
      <c r="Q48" s="1392">
        <f t="shared" si="10"/>
        <v>66327.331652862806</v>
      </c>
      <c r="R48" s="252">
        <f t="shared" si="11"/>
        <v>2.0365676186819615</v>
      </c>
      <c r="S48" s="257">
        <f t="shared" si="9"/>
        <v>121.86260014625705</v>
      </c>
      <c r="T48" s="254">
        <f t="shared" ref="T48:T111" si="14">100*((1+$O48/100)^$B$15-1)</f>
        <v>1.8122409543493534</v>
      </c>
      <c r="U48" s="254">
        <f t="shared" ref="U48:U111" si="15">100*((1+$O48/100)^$B$16-1)</f>
        <v>1.8122409543493534</v>
      </c>
      <c r="V48" s="255">
        <f t="shared" si="12"/>
        <v>104.73411271202332</v>
      </c>
      <c r="W48" s="256">
        <f t="shared" si="13"/>
        <v>104.73411271202332</v>
      </c>
      <c r="X48" s="1167"/>
      <c r="Z48" s="1300"/>
    </row>
    <row r="49" spans="1:26" ht="13.5" customHeight="1">
      <c r="A49" s="2314"/>
      <c r="B49" s="238">
        <v>2005</v>
      </c>
      <c r="C49" s="247"/>
      <c r="D49" s="2113">
        <v>77.980199999999996</v>
      </c>
      <c r="E49" s="296">
        <v>1709916</v>
      </c>
      <c r="F49" s="252">
        <f t="shared" si="1"/>
        <v>3.1487242409600178</v>
      </c>
      <c r="G49" s="257">
        <f t="shared" si="2"/>
        <v>147.02934540351649</v>
      </c>
      <c r="H49" s="2876">
        <v>60413.3</v>
      </c>
      <c r="I49" s="252">
        <f t="shared" si="3"/>
        <v>0.77213830099549197</v>
      </c>
      <c r="J49" s="257">
        <f t="shared" si="4"/>
        <v>105.54846036252461</v>
      </c>
      <c r="K49" s="1389">
        <v>25217</v>
      </c>
      <c r="L49" s="252">
        <f t="shared" si="7"/>
        <v>0.89625095026607449</v>
      </c>
      <c r="M49" s="257">
        <f t="shared" si="8"/>
        <v>106.23051647148036</v>
      </c>
      <c r="N49" s="250">
        <f t="shared" si="0"/>
        <v>28303.635126702233</v>
      </c>
      <c r="O49" s="252">
        <f t="shared" si="6"/>
        <v>2.3583760154676225</v>
      </c>
      <c r="P49" s="257">
        <f t="shared" si="5"/>
        <v>139.30032223920517</v>
      </c>
      <c r="Q49" s="1392">
        <f t="shared" si="10"/>
        <v>67808.065987230832</v>
      </c>
      <c r="R49" s="252">
        <f t="shared" si="11"/>
        <v>2.2324648036766259</v>
      </c>
      <c r="S49" s="257">
        <f t="shared" si="9"/>
        <v>124.58313980336742</v>
      </c>
      <c r="T49" s="254">
        <f t="shared" si="14"/>
        <v>2.3583760154676225</v>
      </c>
      <c r="U49" s="254">
        <f t="shared" si="15"/>
        <v>2.3583760154676225</v>
      </c>
      <c r="V49" s="255">
        <f t="shared" si="12"/>
        <v>107.2041369062365</v>
      </c>
      <c r="W49" s="256">
        <f t="shared" si="13"/>
        <v>107.2041369062365</v>
      </c>
      <c r="X49" s="1167"/>
      <c r="Z49" s="1300"/>
    </row>
    <row r="50" spans="1:26" ht="13.5" customHeight="1">
      <c r="A50" s="2314"/>
      <c r="B50" s="238">
        <v>2006</v>
      </c>
      <c r="C50" s="247"/>
      <c r="D50" s="2113">
        <v>80.272900000000007</v>
      </c>
      <c r="E50" s="296">
        <v>1753486</v>
      </c>
      <c r="F50" s="252">
        <f t="shared" si="1"/>
        <v>2.5480783851370479</v>
      </c>
      <c r="G50" s="257">
        <f t="shared" si="2"/>
        <v>150.77576837355198</v>
      </c>
      <c r="H50" s="2876">
        <v>60827.1</v>
      </c>
      <c r="I50" s="252">
        <f t="shared" si="3"/>
        <v>0.68494851299299264</v>
      </c>
      <c r="J50" s="257">
        <f t="shared" si="4"/>
        <v>106.27141297226471</v>
      </c>
      <c r="K50" s="1389">
        <v>25379</v>
      </c>
      <c r="L50" s="252">
        <f t="shared" si="7"/>
        <v>0.64242376174802707</v>
      </c>
      <c r="M50" s="257">
        <f t="shared" si="8"/>
        <v>106.91296655152078</v>
      </c>
      <c r="N50" s="250">
        <f t="shared" si="0"/>
        <v>28827.381216595892</v>
      </c>
      <c r="O50" s="252">
        <f t="shared" si="6"/>
        <v>1.8504552067220015</v>
      </c>
      <c r="P50" s="257">
        <f t="shared" si="5"/>
        <v>141.87801230506108</v>
      </c>
      <c r="Q50" s="1392">
        <f t="shared" si="10"/>
        <v>69092.005201150561</v>
      </c>
      <c r="R50" s="252">
        <f t="shared" si="11"/>
        <v>1.8934903911896006</v>
      </c>
      <c r="S50" s="257">
        <f t="shared" si="9"/>
        <v>126.94210958458649</v>
      </c>
      <c r="T50" s="254">
        <f t="shared" si="14"/>
        <v>1.8504552067220015</v>
      </c>
      <c r="U50" s="254">
        <f t="shared" si="15"/>
        <v>1.8504552067220015</v>
      </c>
      <c r="V50" s="255">
        <f t="shared" si="12"/>
        <v>109.18790143943933</v>
      </c>
      <c r="W50" s="256">
        <f t="shared" si="13"/>
        <v>109.18790143943933</v>
      </c>
      <c r="X50" s="1167"/>
      <c r="Z50" s="1300"/>
    </row>
    <row r="51" spans="1:26" ht="13.5" customHeight="1">
      <c r="A51" s="2314"/>
      <c r="B51" s="238">
        <v>2007</v>
      </c>
      <c r="C51" s="247"/>
      <c r="D51" s="2113">
        <v>82.310900000000004</v>
      </c>
      <c r="E51" s="296">
        <v>1798121</v>
      </c>
      <c r="F51" s="252">
        <f t="shared" si="1"/>
        <v>2.545500790995765</v>
      </c>
      <c r="G51" s="257">
        <f t="shared" si="2"/>
        <v>154.61376675013068</v>
      </c>
      <c r="H51" s="2876">
        <v>61319.1</v>
      </c>
      <c r="I51" s="252">
        <f t="shared" si="3"/>
        <v>0.80885000271260676</v>
      </c>
      <c r="J51" s="257">
        <f t="shared" si="4"/>
        <v>107.1309892989736</v>
      </c>
      <c r="K51" s="1389">
        <v>25609</v>
      </c>
      <c r="L51" s="252">
        <f t="shared" si="7"/>
        <v>0.90626108199692668</v>
      </c>
      <c r="M51" s="257">
        <f t="shared" si="8"/>
        <v>107.8818771589856</v>
      </c>
      <c r="N51" s="250">
        <f>IF(H51="","-",1000*E51/H51)</f>
        <v>29323.995296734622</v>
      </c>
      <c r="O51" s="252">
        <f t="shared" si="6"/>
        <v>1.7227165950573164</v>
      </c>
      <c r="P51" s="257">
        <f t="shared" si="5"/>
        <v>144.32216836777783</v>
      </c>
      <c r="Q51" s="1392">
        <f t="shared" si="10"/>
        <v>70214.416806591427</v>
      </c>
      <c r="R51" s="252">
        <f t="shared" si="11"/>
        <v>1.6245173405709412</v>
      </c>
      <c r="S51" s="257">
        <f t="shared" si="9"/>
        <v>129.00430616727465</v>
      </c>
      <c r="T51" s="254">
        <f t="shared" si="14"/>
        <v>1.7227165950573164</v>
      </c>
      <c r="U51" s="254">
        <f t="shared" si="15"/>
        <v>1.7227165950573164</v>
      </c>
      <c r="V51" s="255">
        <f t="shared" si="12"/>
        <v>111.06889953733138</v>
      </c>
      <c r="W51" s="256">
        <f t="shared" si="13"/>
        <v>111.06889953733138</v>
      </c>
      <c r="X51" s="1167"/>
      <c r="Z51" s="1300"/>
    </row>
    <row r="52" spans="1:26" ht="13.5" customHeight="1">
      <c r="A52" s="2314"/>
      <c r="B52" s="238">
        <v>2008</v>
      </c>
      <c r="C52" s="247"/>
      <c r="D52" s="2113">
        <v>84.6691</v>
      </c>
      <c r="E52" s="296">
        <v>1791901</v>
      </c>
      <c r="F52" s="252">
        <f t="shared" si="1"/>
        <v>-0.34591665410725975</v>
      </c>
      <c r="G52" s="257">
        <f t="shared" si="2"/>
        <v>154.07893198139945</v>
      </c>
      <c r="H52" s="2876">
        <v>61823.8</v>
      </c>
      <c r="I52" s="252">
        <f t="shared" si="3"/>
        <v>0.82307144103550833</v>
      </c>
      <c r="J52" s="257">
        <f t="shared" si="4"/>
        <v>108.01275387639225</v>
      </c>
      <c r="K52" s="1389">
        <v>25875</v>
      </c>
      <c r="L52" s="252">
        <f t="shared" si="7"/>
        <v>1.038697332968878</v>
      </c>
      <c r="M52" s="257">
        <f t="shared" si="8"/>
        <v>109.00244333979275</v>
      </c>
      <c r="N52" s="250">
        <f t="shared" si="0"/>
        <v>28983.999689439988</v>
      </c>
      <c r="O52" s="252">
        <f t="shared" si="6"/>
        <v>-1.1594450341918194</v>
      </c>
      <c r="P52" s="257">
        <f t="shared" si="5"/>
        <v>142.64883215339967</v>
      </c>
      <c r="Q52" s="1392">
        <f t="shared" si="10"/>
        <v>69252.21256038647</v>
      </c>
      <c r="R52" s="252">
        <f t="shared" si="11"/>
        <v>-1.3703798877307327</v>
      </c>
      <c r="S52" s="257">
        <f t="shared" si="9"/>
        <v>127.23645710125174</v>
      </c>
      <c r="T52" s="254">
        <f t="shared" si="14"/>
        <v>-1.1594450341918194</v>
      </c>
      <c r="U52" s="254">
        <f t="shared" si="15"/>
        <v>-1.1594450341918194</v>
      </c>
      <c r="V52" s="255">
        <f t="shared" si="12"/>
        <v>109.78111669711429</v>
      </c>
      <c r="W52" s="256">
        <f t="shared" si="13"/>
        <v>109.78111669711429</v>
      </c>
      <c r="X52" s="1167"/>
      <c r="Z52" s="1300"/>
    </row>
    <row r="53" spans="1:26" ht="13.5" customHeight="1">
      <c r="A53" s="2314"/>
      <c r="B53" s="238">
        <v>2009</v>
      </c>
      <c r="C53" s="247"/>
      <c r="D53" s="2113">
        <v>86.027900000000002</v>
      </c>
      <c r="E53" s="296">
        <v>1715807</v>
      </c>
      <c r="F53" s="252">
        <f t="shared" si="1"/>
        <v>-4.2465515673019887</v>
      </c>
      <c r="G53" s="257">
        <f t="shared" si="2"/>
        <v>147.53589068046116</v>
      </c>
      <c r="H53" s="2876">
        <v>62260.5</v>
      </c>
      <c r="I53" s="252">
        <f t="shared" si="3"/>
        <v>0.70636227472267488</v>
      </c>
      <c r="J53" s="257">
        <f t="shared" si="4"/>
        <v>108.77571522166414</v>
      </c>
      <c r="K53" s="1389">
        <v>26042</v>
      </c>
      <c r="L53" s="252">
        <f t="shared" si="7"/>
        <v>0.6454106280193237</v>
      </c>
      <c r="M53" s="257">
        <f t="shared" si="8"/>
        <v>109.7059566939085</v>
      </c>
      <c r="N53" s="250">
        <f t="shared" si="0"/>
        <v>27558.516234209492</v>
      </c>
      <c r="O53" s="252">
        <f t="shared" si="6"/>
        <v>-4.9181737182734553</v>
      </c>
      <c r="P53" s="257">
        <f t="shared" si="5"/>
        <v>135.63311478100715</v>
      </c>
      <c r="Q53" s="1392">
        <f t="shared" si="10"/>
        <v>65886.145457338149</v>
      </c>
      <c r="R53" s="252">
        <f t="shared" si="11"/>
        <v>-4.8605914217010548</v>
      </c>
      <c r="S53" s="257">
        <f t="shared" si="9"/>
        <v>121.05201278211196</v>
      </c>
      <c r="T53" s="254">
        <f t="shared" si="14"/>
        <v>-4.9181737182734553</v>
      </c>
      <c r="U53" s="254">
        <f t="shared" si="15"/>
        <v>-4.9181737182734553</v>
      </c>
      <c r="V53" s="255">
        <f t="shared" si="12"/>
        <v>104.3818906680897</v>
      </c>
      <c r="W53" s="256">
        <f t="shared" si="13"/>
        <v>104.3818906680897</v>
      </c>
      <c r="X53" s="1167"/>
      <c r="Z53" s="1300"/>
    </row>
    <row r="54" spans="1:26" ht="13.5" customHeight="1">
      <c r="A54" s="2314"/>
      <c r="B54" s="238">
        <v>2010</v>
      </c>
      <c r="C54" s="247"/>
      <c r="D54" s="2113">
        <v>87.344499999999996</v>
      </c>
      <c r="E54" s="296">
        <v>1745168</v>
      </c>
      <c r="F54" s="252">
        <f t="shared" si="1"/>
        <v>1.7112064468789323</v>
      </c>
      <c r="G54" s="257">
        <f t="shared" si="2"/>
        <v>150.06053435324549</v>
      </c>
      <c r="H54" s="2876">
        <v>62759.5</v>
      </c>
      <c r="I54" s="252">
        <f t="shared" si="3"/>
        <v>0.80147123778318508</v>
      </c>
      <c r="J54" s="257">
        <f t="shared" si="4"/>
        <v>109.64752129285873</v>
      </c>
      <c r="K54" s="1389">
        <v>26240</v>
      </c>
      <c r="L54" s="252">
        <f t="shared" si="7"/>
        <v>0.76031026802856916</v>
      </c>
      <c r="M54" s="257">
        <f t="shared" si="8"/>
        <v>110.54006234729128</v>
      </c>
      <c r="N54" s="250">
        <f t="shared" si="0"/>
        <v>27807.232371194797</v>
      </c>
      <c r="O54" s="252">
        <f t="shared" si="6"/>
        <v>0.90250191581999761</v>
      </c>
      <c r="P54" s="257">
        <f t="shared" si="5"/>
        <v>136.85720624039209</v>
      </c>
      <c r="Q54" s="1392">
        <f t="shared" si="10"/>
        <v>66507.926829268297</v>
      </c>
      <c r="R54" s="252">
        <f t="shared" si="11"/>
        <v>0.94372097140325018</v>
      </c>
      <c r="S54" s="257">
        <f t="shared" si="9"/>
        <v>122.1944060130425</v>
      </c>
      <c r="T54" s="254">
        <f t="shared" si="14"/>
        <v>0.90250191581999761</v>
      </c>
      <c r="U54" s="254">
        <f t="shared" si="15"/>
        <v>0.90250191581999761</v>
      </c>
      <c r="V54" s="255">
        <f t="shared" si="12"/>
        <v>105.32393923113834</v>
      </c>
      <c r="W54" s="256">
        <f t="shared" si="13"/>
        <v>105.32393923113834</v>
      </c>
      <c r="X54" s="1167"/>
      <c r="Z54" s="1300"/>
    </row>
    <row r="55" spans="1:26" ht="13.5" customHeight="1">
      <c r="A55" s="1395"/>
      <c r="B55" s="238">
        <v>2011</v>
      </c>
      <c r="C55" s="247"/>
      <c r="D55" s="2113">
        <v>89.022099999999995</v>
      </c>
      <c r="E55" s="296">
        <v>1773872</v>
      </c>
      <c r="F55" s="252">
        <f t="shared" si="1"/>
        <v>1.6447700164110273</v>
      </c>
      <c r="G55" s="257">
        <f t="shared" si="2"/>
        <v>152.52868502875384</v>
      </c>
      <c r="H55" s="2876">
        <v>63285.1</v>
      </c>
      <c r="I55" s="252">
        <f t="shared" si="3"/>
        <v>0.83748277153259443</v>
      </c>
      <c r="J55" s="257">
        <f t="shared" si="4"/>
        <v>110.56580039309894</v>
      </c>
      <c r="K55" s="1389">
        <v>26409</v>
      </c>
      <c r="L55" s="252">
        <f t="shared" si="7"/>
        <v>0.64405487804878048</v>
      </c>
      <c r="M55" s="257">
        <f t="shared" si="8"/>
        <v>111.25200101103718</v>
      </c>
      <c r="N55" s="250">
        <f t="shared" si="0"/>
        <v>28029.852208497734</v>
      </c>
      <c r="O55" s="252">
        <f t="shared" si="6"/>
        <v>0.80058250433274747</v>
      </c>
      <c r="P55" s="257">
        <f t="shared" si="5"/>
        <v>137.95286108947127</v>
      </c>
      <c r="Q55" s="1392">
        <f t="shared" si="10"/>
        <v>67169.222613502978</v>
      </c>
      <c r="R55" s="252">
        <f t="shared" si="11"/>
        <v>0.99431122839279684</v>
      </c>
      <c r="S55" s="257">
        <f t="shared" si="9"/>
        <v>123.40939871249806</v>
      </c>
      <c r="T55" s="254">
        <f t="shared" si="14"/>
        <v>0.80058250433274747</v>
      </c>
      <c r="U55" s="254">
        <f t="shared" si="15"/>
        <v>0.80058250433274747</v>
      </c>
      <c r="V55" s="255">
        <f t="shared" si="12"/>
        <v>106.16714426149689</v>
      </c>
      <c r="W55" s="256">
        <f t="shared" si="13"/>
        <v>106.16714426149689</v>
      </c>
      <c r="X55" s="1167"/>
      <c r="Z55" s="1300"/>
    </row>
    <row r="56" spans="1:26" ht="13.5" customHeight="1">
      <c r="A56" s="1395"/>
      <c r="B56" s="238">
        <v>2012</v>
      </c>
      <c r="C56" s="247"/>
      <c r="D56" s="2113">
        <v>90.409700000000001</v>
      </c>
      <c r="E56" s="2114">
        <v>1799541</v>
      </c>
      <c r="F56" s="252">
        <f t="shared" si="1"/>
        <v>1.4470604417906141</v>
      </c>
      <c r="G56" s="257">
        <f t="shared" ref="G56:G87" si="16">G55*(100+F56)/100</f>
        <v>154.73586729218835</v>
      </c>
      <c r="H56" s="2876">
        <v>63705</v>
      </c>
      <c r="I56" s="252">
        <f t="shared" si="3"/>
        <v>0.66350531167684246</v>
      </c>
      <c r="J56" s="257">
        <f t="shared" si="4"/>
        <v>111.29941035160516</v>
      </c>
      <c r="K56" s="1389">
        <v>26614</v>
      </c>
      <c r="L56" s="252">
        <f t="shared" si="7"/>
        <v>0.776250520655837</v>
      </c>
      <c r="M56" s="257">
        <f>M55*(100+L56)/100</f>
        <v>112.11559524812539</v>
      </c>
      <c r="N56" s="250">
        <f>IF(H56="","-",1000*E56/H56)</f>
        <v>28248.03390628679</v>
      </c>
      <c r="O56" s="252">
        <f t="shared" si="6"/>
        <v>0.77839046801291278</v>
      </c>
      <c r="P56" s="257">
        <f t="shared" si="5"/>
        <v>139.02667301054282</v>
      </c>
      <c r="Q56" s="1392">
        <f t="shared" si="10"/>
        <v>67616.329751258731</v>
      </c>
      <c r="R56" s="252">
        <f t="shared" si="11"/>
        <v>0.66564286493004943</v>
      </c>
      <c r="S56" s="257">
        <f t="shared" si="9"/>
        <v>124.23086456968088</v>
      </c>
      <c r="T56" s="254">
        <f t="shared" si="14"/>
        <v>0.77839046801291278</v>
      </c>
      <c r="U56" s="254">
        <f t="shared" si="15"/>
        <v>0.77839046801291278</v>
      </c>
      <c r="V56" s="255">
        <f t="shared" si="12"/>
        <v>106.99353919258989</v>
      </c>
      <c r="W56" s="256">
        <f t="shared" si="13"/>
        <v>106.99353919258989</v>
      </c>
      <c r="X56" s="2116"/>
    </row>
    <row r="57" spans="1:26" ht="13.5" customHeight="1">
      <c r="A57" s="1395"/>
      <c r="B57" s="238">
        <v>2013</v>
      </c>
      <c r="C57" s="247"/>
      <c r="D57" s="2113">
        <v>92.096199999999996</v>
      </c>
      <c r="E57" s="2114">
        <v>1836365</v>
      </c>
      <c r="F57" s="252">
        <f t="shared" si="1"/>
        <v>2.0462995841717415</v>
      </c>
      <c r="G57" s="257">
        <f t="shared" si="16"/>
        <v>157.90222670115293</v>
      </c>
      <c r="H57" s="2876">
        <v>64105.7</v>
      </c>
      <c r="I57" s="252">
        <f t="shared" si="3"/>
        <v>0.6289930146770224</v>
      </c>
      <c r="J57" s="257">
        <f t="shared" si="4"/>
        <v>111.99947586809347</v>
      </c>
      <c r="K57" s="1389">
        <v>26661</v>
      </c>
      <c r="L57" s="252">
        <f t="shared" si="7"/>
        <v>0.17659878259562636</v>
      </c>
      <c r="M57" s="257">
        <f t="shared" si="8"/>
        <v>112.31359002443344</v>
      </c>
      <c r="N57" s="250">
        <f t="shared" si="0"/>
        <v>28645.892642931911</v>
      </c>
      <c r="O57" s="252">
        <f t="shared" si="6"/>
        <v>1.4084475328974166</v>
      </c>
      <c r="P57" s="257">
        <f t="shared" si="5"/>
        <v>140.98479075662917</v>
      </c>
      <c r="Q57" s="1392">
        <f t="shared" si="10"/>
        <v>68878.324143880571</v>
      </c>
      <c r="R57" s="252">
        <f t="shared" si="11"/>
        <v>1.8664047535031258</v>
      </c>
      <c r="S57" s="257">
        <f t="shared" si="9"/>
        <v>126.54951533132744</v>
      </c>
      <c r="T57" s="254">
        <f t="shared" si="14"/>
        <v>1.4084475328974166</v>
      </c>
      <c r="U57" s="254">
        <f t="shared" si="15"/>
        <v>1.4084475328974166</v>
      </c>
      <c r="V57" s="255">
        <f t="shared" si="12"/>
        <v>108.50048705570755</v>
      </c>
      <c r="W57" s="256">
        <f t="shared" si="13"/>
        <v>108.50048705570755</v>
      </c>
      <c r="X57" s="2116"/>
      <c r="Z57" s="297"/>
    </row>
    <row r="58" spans="1:26" ht="13.5" customHeight="1">
      <c r="A58" s="1395"/>
      <c r="B58" s="238">
        <v>2014</v>
      </c>
      <c r="C58" s="247"/>
      <c r="D58" s="2113">
        <v>93.675600000000003</v>
      </c>
      <c r="E58" s="2114">
        <v>1890493</v>
      </c>
      <c r="F58" s="252">
        <f t="shared" si="1"/>
        <v>2.9475621676518555</v>
      </c>
      <c r="G58" s="257">
        <f t="shared" si="16"/>
        <v>162.55649299727597</v>
      </c>
      <c r="H58" s="2876">
        <v>64596.800000000003</v>
      </c>
      <c r="I58" s="252">
        <f t="shared" si="3"/>
        <v>0.76607852343864247</v>
      </c>
      <c r="J58" s="257">
        <f t="shared" si="4"/>
        <v>112.85747979908278</v>
      </c>
      <c r="K58" s="1389">
        <v>26732</v>
      </c>
      <c r="L58" s="252">
        <f>(K58-K57)/K57*100</f>
        <v>0.26630659015040697</v>
      </c>
      <c r="M58" s="257">
        <f t="shared" si="8"/>
        <v>112.61268851630301</v>
      </c>
      <c r="N58" s="250">
        <f t="shared" ref="N58:N98" si="17">IF(H58="","-",1000*E58/H58)</f>
        <v>29266.047234537931</v>
      </c>
      <c r="O58" s="252">
        <f t="shared" si="6"/>
        <v>2.1648988193043284</v>
      </c>
      <c r="P58" s="257">
        <f t="shared" si="5"/>
        <v>144.0369688271181</v>
      </c>
      <c r="Q58" s="1392">
        <f t="shared" si="10"/>
        <v>70720.222953763281</v>
      </c>
      <c r="R58" s="252">
        <f t="shared" si="11"/>
        <v>2.6741341819454645</v>
      </c>
      <c r="S58" s="257">
        <f t="shared" si="9"/>
        <v>129.93361917788877</v>
      </c>
      <c r="T58" s="254">
        <f t="shared" si="14"/>
        <v>2.1648988193043284</v>
      </c>
      <c r="U58" s="254">
        <f t="shared" si="15"/>
        <v>2.1648988193043284</v>
      </c>
      <c r="V58" s="255">
        <f t="shared" si="12"/>
        <v>110.84941281891601</v>
      </c>
      <c r="W58" s="256">
        <f t="shared" si="13"/>
        <v>110.84941281891601</v>
      </c>
      <c r="X58" s="2116"/>
      <c r="Z58" s="297"/>
    </row>
    <row r="59" spans="1:26" ht="13.5" customHeight="1">
      <c r="A59" s="1395"/>
      <c r="B59" s="238">
        <v>2015</v>
      </c>
      <c r="C59" s="247"/>
      <c r="D59" s="2113">
        <v>94.083699999999993</v>
      </c>
      <c r="E59" s="2114">
        <v>1934903</v>
      </c>
      <c r="F59" s="252">
        <f t="shared" si="1"/>
        <v>2.3491226891609753</v>
      </c>
      <c r="G59" s="257">
        <f t="shared" si="16"/>
        <v>166.37514445697937</v>
      </c>
      <c r="H59" s="2876">
        <v>65110</v>
      </c>
      <c r="I59" s="252">
        <f t="shared" si="3"/>
        <v>0.79446659896464999</v>
      </c>
      <c r="J59" s="257">
        <f t="shared" si="4"/>
        <v>113.75409478051978</v>
      </c>
      <c r="K59" s="1389">
        <v>27042</v>
      </c>
      <c r="L59" s="252">
        <f>(K59-K58)/K58*100</f>
        <v>1.1596588358521622</v>
      </c>
      <c r="M59" s="257">
        <f>M58*(100+L59)/100</f>
        <v>113.91861150897299</v>
      </c>
      <c r="N59" s="250">
        <f t="shared" si="17"/>
        <v>29717.447396713254</v>
      </c>
      <c r="O59" s="252">
        <f>IF(N59="-",100*((100+$F59)/(100+$I59)-1),(N59/N58-1)*100)</f>
        <v>1.5424022197388254</v>
      </c>
      <c r="P59" s="257">
        <f t="shared" si="5"/>
        <v>146.25859823155207</v>
      </c>
      <c r="Q59" s="1392">
        <f t="shared" si="10"/>
        <v>71551.77131868944</v>
      </c>
      <c r="R59" s="252">
        <f t="shared" si="11"/>
        <v>1.175828257031708</v>
      </c>
      <c r="S59" s="257">
        <f t="shared" si="9"/>
        <v>131.46141538756635</v>
      </c>
      <c r="T59" s="254">
        <f t="shared" si="14"/>
        <v>1.5424022197388254</v>
      </c>
      <c r="U59" s="254">
        <f t="shared" si="15"/>
        <v>1.5424022197388254</v>
      </c>
      <c r="V59" s="255">
        <f t="shared" si="12"/>
        <v>112.55915662280242</v>
      </c>
      <c r="W59" s="256">
        <f t="shared" si="13"/>
        <v>112.55915662280242</v>
      </c>
      <c r="X59" s="2116"/>
      <c r="Z59" s="297"/>
    </row>
    <row r="60" spans="1:26" ht="13.5" customHeight="1">
      <c r="A60" s="1395"/>
      <c r="B60" s="238">
        <v>2016</v>
      </c>
      <c r="C60" s="247"/>
      <c r="D60" s="2113">
        <v>96.0197</v>
      </c>
      <c r="E60" s="2114">
        <v>1969524</v>
      </c>
      <c r="F60" s="252">
        <f t="shared" si="1"/>
        <v>1.7892886620156152</v>
      </c>
      <c r="G60" s="257">
        <f t="shared" si="16"/>
        <v>169.3520760531602</v>
      </c>
      <c r="H60" s="2876">
        <v>65648.100000000006</v>
      </c>
      <c r="I60" s="252">
        <f t="shared" si="3"/>
        <v>0.82644755029950212</v>
      </c>
      <c r="J60" s="257">
        <f t="shared" si="4"/>
        <v>114.69421271019876</v>
      </c>
      <c r="K60" s="1389">
        <v>27089</v>
      </c>
      <c r="L60" s="252">
        <f>(K60-K59)/K59*100</f>
        <v>0.1738037127431403</v>
      </c>
      <c r="M60" s="257">
        <f t="shared" si="8"/>
        <v>114.11660628528101</v>
      </c>
      <c r="N60" s="250">
        <f>IF(H60="","-",1000*E60/H60)</f>
        <v>30001.233851398592</v>
      </c>
      <c r="O60" s="252">
        <f>IF(N60="-",100*((100+$F60)/(100+$I60)-1),(N60/N59-1)*100)</f>
        <v>0.95494895943426528</v>
      </c>
      <c r="P60" s="257">
        <f t="shared" si="5"/>
        <v>147.65529319344742</v>
      </c>
      <c r="Q60" s="1392">
        <f>IF(OR(E60="",E60=0,K60="",K60=0),"-",E60*1000000/(K60*1000))</f>
        <v>72705.673889770755</v>
      </c>
      <c r="R60" s="252">
        <f t="shared" si="11"/>
        <v>1.612682047998315</v>
      </c>
      <c r="S60" s="257">
        <f t="shared" si="9"/>
        <v>133.58147003356612</v>
      </c>
      <c r="T60" s="254">
        <f t="shared" si="14"/>
        <v>0.95494895943426528</v>
      </c>
      <c r="U60" s="254">
        <f t="shared" si="15"/>
        <v>0.95494895943426528</v>
      </c>
      <c r="V60" s="255">
        <f t="shared" si="12"/>
        <v>113.63403911771985</v>
      </c>
      <c r="W60" s="256">
        <f t="shared" si="13"/>
        <v>113.63403911771985</v>
      </c>
      <c r="X60" s="2116"/>
      <c r="Z60" s="297"/>
    </row>
    <row r="61" spans="1:26" ht="13.5" customHeight="1">
      <c r="A61" s="1395"/>
      <c r="B61" s="238">
        <v>2017</v>
      </c>
      <c r="C61" s="247"/>
      <c r="D61" s="2113">
        <v>98.137299999999996</v>
      </c>
      <c r="E61" s="2114">
        <v>2005427</v>
      </c>
      <c r="F61" s="252">
        <f>(E61-E60)/E60*100</f>
        <v>1.8229277734112406</v>
      </c>
      <c r="G61" s="257">
        <f t="shared" si="16"/>
        <v>172.43924208238178</v>
      </c>
      <c r="H61" s="2876">
        <v>66040.2</v>
      </c>
      <c r="I61" s="252">
        <f t="shared" si="3"/>
        <v>0.59727547331909259</v>
      </c>
      <c r="J61" s="257">
        <f t="shared" si="4"/>
        <v>115.3792531120332</v>
      </c>
      <c r="K61" s="1389">
        <v>27228</v>
      </c>
      <c r="L61" s="252">
        <f>(K61-K60)/K60*100</f>
        <v>0.51312340802539769</v>
      </c>
      <c r="M61" s="257">
        <f t="shared" si="8"/>
        <v>114.70216530457496</v>
      </c>
      <c r="N61" s="250">
        <f>IF(H61="","-",1000*E61/H61)</f>
        <v>30366.761457415334</v>
      </c>
      <c r="O61" s="252">
        <f>IF(N61="-",100*((100+$F61)/(100+$I61)-1),(N61/N60-1)*100)</f>
        <v>1.218375243589187</v>
      </c>
      <c r="P61" s="257">
        <f t="shared" si="5"/>
        <v>149.45428873156544</v>
      </c>
      <c r="Q61" s="1392">
        <f t="shared" si="10"/>
        <v>73653.114441016602</v>
      </c>
      <c r="R61" s="252">
        <f t="shared" si="11"/>
        <v>1.303117763109185</v>
      </c>
      <c r="S61" s="257">
        <f t="shared" si="9"/>
        <v>135.3221938977959</v>
      </c>
      <c r="T61" s="254">
        <f t="shared" si="14"/>
        <v>1.218375243589187</v>
      </c>
      <c r="U61" s="254">
        <f t="shared" si="15"/>
        <v>1.218375243589187</v>
      </c>
      <c r="V61" s="255">
        <f t="shared" si="12"/>
        <v>115.01852811862061</v>
      </c>
      <c r="W61" s="256">
        <f t="shared" si="13"/>
        <v>115.01852811862061</v>
      </c>
      <c r="X61" s="26"/>
      <c r="Z61" s="297"/>
    </row>
    <row r="62" spans="1:26" ht="13.5" customHeight="1">
      <c r="A62" s="1395"/>
      <c r="B62" s="238">
        <v>2018</v>
      </c>
      <c r="C62" s="247"/>
      <c r="D62" s="2113">
        <v>100</v>
      </c>
      <c r="E62" s="2114">
        <v>2033455</v>
      </c>
      <c r="F62" s="252">
        <f>(E62-E61)/E61*100</f>
        <v>1.3976075917996518</v>
      </c>
      <c r="G62" s="257">
        <f>G61*(100+F62)/100</f>
        <v>174.84926602096692</v>
      </c>
      <c r="I62" s="297">
        <v>0.62700320999999992</v>
      </c>
      <c r="J62" s="257">
        <f t="shared" si="4"/>
        <v>116.10268473271967</v>
      </c>
      <c r="K62" s="1390"/>
      <c r="L62" s="297">
        <v>0.72117126911648288</v>
      </c>
      <c r="M62" s="257">
        <f t="shared" si="8"/>
        <v>115.52936436580605</v>
      </c>
      <c r="N62" s="250" t="str">
        <f t="shared" si="17"/>
        <v>-</v>
      </c>
      <c r="O62" s="252">
        <f>IF(N62="-",100*((100+$F62)/(100+$I62)-1),(N62/N61-1)*100)</f>
        <v>0.76580277382549689</v>
      </c>
      <c r="P62" s="257">
        <f t="shared" si="5"/>
        <v>150.59881382027294</v>
      </c>
      <c r="Q62" s="1392" t="str">
        <f t="shared" si="10"/>
        <v>-</v>
      </c>
      <c r="R62" s="252">
        <f>100*((100+$F62)/(100+$L62)-1)</f>
        <v>0.67159298701542358</v>
      </c>
      <c r="S62" s="257">
        <f t="shared" si="9"/>
        <v>136.23100826188892</v>
      </c>
      <c r="T62" s="254">
        <f t="shared" si="14"/>
        <v>0.76580277382549689</v>
      </c>
      <c r="U62" s="254">
        <f t="shared" si="15"/>
        <v>0.76580277382549689</v>
      </c>
      <c r="V62" s="255">
        <f t="shared" si="12"/>
        <v>115.89934319736626</v>
      </c>
      <c r="W62" s="256">
        <f t="shared" si="13"/>
        <v>115.89934319736626</v>
      </c>
      <c r="X62" s="26"/>
      <c r="Z62" s="297"/>
    </row>
    <row r="63" spans="1:26" ht="13.5" customHeight="1">
      <c r="A63" s="1395"/>
      <c r="B63" s="238">
        <v>2019</v>
      </c>
      <c r="C63" s="247"/>
      <c r="D63" s="2113">
        <v>101.98456629603754</v>
      </c>
      <c r="E63" s="2867"/>
      <c r="F63" s="297">
        <v>1.2286424618628331</v>
      </c>
      <c r="G63" s="257">
        <f t="shared" si="16"/>
        <v>176.99753834755603</v>
      </c>
      <c r="I63" s="297">
        <v>0.60449277999999995</v>
      </c>
      <c r="J63" s="257">
        <f t="shared" si="4"/>
        <v>116.80451707931512</v>
      </c>
      <c r="K63" s="1390"/>
      <c r="L63" s="297">
        <v>0.69082142985643635</v>
      </c>
      <c r="M63" s="257">
        <f t="shared" si="8"/>
        <v>116.32746597262195</v>
      </c>
      <c r="N63" s="250" t="str">
        <f t="shared" si="17"/>
        <v>-</v>
      </c>
      <c r="O63" s="252">
        <f t="shared" si="6"/>
        <v>0.62039941220886075</v>
      </c>
      <c r="P63" s="257">
        <f t="shared" si="5"/>
        <v>151.53312797600742</v>
      </c>
      <c r="Q63" s="1392" t="str">
        <f t="shared" si="10"/>
        <v>-</v>
      </c>
      <c r="R63" s="252">
        <f t="shared" si="11"/>
        <v>0.53413113963027836</v>
      </c>
      <c r="S63" s="257">
        <f t="shared" si="9"/>
        <v>136.95866049884796</v>
      </c>
      <c r="T63" s="254">
        <f t="shared" si="14"/>
        <v>0.62039941220886075</v>
      </c>
      <c r="U63" s="254">
        <f t="shared" si="15"/>
        <v>0.62039941220886075</v>
      </c>
      <c r="V63" s="255">
        <f t="shared" si="12"/>
        <v>116.61838204131665</v>
      </c>
      <c r="W63" s="256">
        <f t="shared" si="13"/>
        <v>116.61838204131665</v>
      </c>
      <c r="X63" s="26"/>
      <c r="Z63" s="297"/>
    </row>
    <row r="64" spans="1:26" ht="13.5" customHeight="1">
      <c r="A64" s="1395"/>
      <c r="B64" s="238">
        <v>2020</v>
      </c>
      <c r="C64" s="247"/>
      <c r="D64" s="2113">
        <v>103.86123140107671</v>
      </c>
      <c r="E64" s="2867"/>
      <c r="F64" s="297">
        <v>1.4465348219833487</v>
      </c>
      <c r="G64" s="257">
        <f t="shared" si="16"/>
        <v>179.55786937380674</v>
      </c>
      <c r="I64" s="297">
        <v>0.57893214999999998</v>
      </c>
      <c r="J64" s="257">
        <f t="shared" si="4"/>
        <v>117.48073598133951</v>
      </c>
      <c r="K64" s="1390"/>
      <c r="L64" s="297">
        <v>0.65392174379130807</v>
      </c>
      <c r="M64" s="257">
        <f t="shared" si="8"/>
        <v>117.08815656661835</v>
      </c>
      <c r="N64" s="250" t="str">
        <f t="shared" si="17"/>
        <v>-</v>
      </c>
      <c r="O64" s="252">
        <f>IF(N64="-",100*((100+$F64)/(100+$I64)-1),(N64/N63-1)*100)</f>
        <v>0.86260875258592495</v>
      </c>
      <c r="P64" s="257">
        <f t="shared" si="5"/>
        <v>152.84026600099568</v>
      </c>
      <c r="Q64" s="1392" t="str">
        <f t="shared" si="10"/>
        <v>-</v>
      </c>
      <c r="R64" s="252">
        <f t="shared" si="11"/>
        <v>0.78746368195130589</v>
      </c>
      <c r="S64" s="257">
        <f t="shared" si="9"/>
        <v>138.03716020956338</v>
      </c>
      <c r="T64" s="254">
        <f t="shared" si="14"/>
        <v>0.86260875258592495</v>
      </c>
      <c r="U64" s="254">
        <f t="shared" si="15"/>
        <v>0.86260875258592495</v>
      </c>
      <c r="V64" s="255">
        <f t="shared" si="12"/>
        <v>117.62434241192913</v>
      </c>
      <c r="W64" s="256">
        <f t="shared" si="13"/>
        <v>117.62434241192913</v>
      </c>
      <c r="X64" s="26"/>
      <c r="Z64" s="297"/>
    </row>
    <row r="65" spans="1:26" ht="13.5" customHeight="1">
      <c r="A65" s="1395"/>
      <c r="B65" s="238">
        <v>2021</v>
      </c>
      <c r="C65" s="247"/>
      <c r="D65" s="2113">
        <v>105.85907496596928</v>
      </c>
      <c r="E65" s="2867"/>
      <c r="F65" s="297">
        <v>1.5957543402172405</v>
      </c>
      <c r="G65" s="257">
        <f t="shared" si="16"/>
        <v>182.42317186754087</v>
      </c>
      <c r="I65" s="297">
        <v>0.53797262000000001</v>
      </c>
      <c r="J65" s="257">
        <f t="shared" si="4"/>
        <v>118.11275017469362</v>
      </c>
      <c r="K65" s="1390"/>
      <c r="L65" s="297">
        <v>0.60707185458677149</v>
      </c>
      <c r="M65" s="257">
        <f t="shared" si="8"/>
        <v>117.79896581018879</v>
      </c>
      <c r="N65" s="250" t="str">
        <f t="shared" si="17"/>
        <v>-</v>
      </c>
      <c r="O65" s="252">
        <f t="shared" si="6"/>
        <v>1.0521215941118101</v>
      </c>
      <c r="P65" s="257">
        <f t="shared" si="5"/>
        <v>154.44833144409009</v>
      </c>
      <c r="Q65" s="1392" t="str">
        <f t="shared" si="10"/>
        <v>-</v>
      </c>
      <c r="R65" s="252">
        <f t="shared" si="11"/>
        <v>0.98271668920000277</v>
      </c>
      <c r="S65" s="257">
        <f t="shared" si="9"/>
        <v>139.3936744202405</v>
      </c>
      <c r="T65" s="254">
        <f t="shared" si="14"/>
        <v>1.0521215941118101</v>
      </c>
      <c r="U65" s="254">
        <f t="shared" si="15"/>
        <v>1.0521215941118101</v>
      </c>
      <c r="V65" s="255">
        <f t="shared" si="12"/>
        <v>118.86189351837706</v>
      </c>
      <c r="W65" s="256">
        <f t="shared" si="13"/>
        <v>118.86189351837706</v>
      </c>
      <c r="X65" s="26"/>
      <c r="Z65" s="297"/>
    </row>
    <row r="66" spans="1:26" ht="13.5" customHeight="1">
      <c r="A66" s="1395"/>
      <c r="B66" s="238">
        <v>2022</v>
      </c>
      <c r="C66" s="247"/>
      <c r="D66" s="2113">
        <v>107.9263561916716</v>
      </c>
      <c r="E66" s="2867"/>
      <c r="F66" s="297">
        <v>1.6011433857681112</v>
      </c>
      <c r="G66" s="257">
        <f t="shared" si="16"/>
        <v>185.34402841800639</v>
      </c>
      <c r="I66" s="297">
        <v>0.51027748000000006</v>
      </c>
      <c r="J66" s="257">
        <f t="shared" si="4"/>
        <v>118.71545293984374</v>
      </c>
      <c r="K66" s="1390"/>
      <c r="L66" s="297">
        <v>0.72691344084123699</v>
      </c>
      <c r="M66" s="257">
        <f t="shared" si="8"/>
        <v>118.65526232583501</v>
      </c>
      <c r="N66" s="250" t="str">
        <f t="shared" si="17"/>
        <v>-</v>
      </c>
      <c r="O66" s="252">
        <f>IF(N66="-",100*((100+$F66)/(100+$I66)-1),(N66/N65-1)*100)</f>
        <v>1.0853277228143998</v>
      </c>
      <c r="P66" s="257">
        <f t="shared" si="5"/>
        <v>156.12460200267705</v>
      </c>
      <c r="Q66" s="1392" t="str">
        <f t="shared" si="10"/>
        <v>-</v>
      </c>
      <c r="R66" s="252">
        <f t="shared" si="11"/>
        <v>0.86792091116774106</v>
      </c>
      <c r="S66" s="257">
        <f t="shared" si="9"/>
        <v>140.60350126937885</v>
      </c>
      <c r="T66" s="254">
        <f t="shared" si="14"/>
        <v>1.0853277228143998</v>
      </c>
      <c r="U66" s="254">
        <f t="shared" si="15"/>
        <v>1.0853277228143998</v>
      </c>
      <c r="V66" s="255">
        <f t="shared" si="12"/>
        <v>120.15193460059413</v>
      </c>
      <c r="W66" s="256">
        <f t="shared" si="13"/>
        <v>120.15193460059413</v>
      </c>
      <c r="X66" s="26"/>
      <c r="Z66" s="297"/>
    </row>
    <row r="67" spans="1:26" ht="13.5" customHeight="1">
      <c r="A67" s="1395"/>
      <c r="B67" s="238">
        <v>2023</v>
      </c>
      <c r="C67" s="247"/>
      <c r="D67" s="2113">
        <v>110.06961854888985</v>
      </c>
      <c r="E67" s="2867"/>
      <c r="F67" s="297">
        <v>1.5953474484729071</v>
      </c>
      <c r="G67" s="257">
        <f t="shared" si="16"/>
        <v>188.30090964626993</v>
      </c>
      <c r="I67" s="297">
        <v>0.48295369999999999</v>
      </c>
      <c r="J67" s="257">
        <f t="shared" si="4"/>
        <v>119.28879361228846</v>
      </c>
      <c r="K67" s="1390"/>
      <c r="L67" s="297">
        <v>0.69714485899456946</v>
      </c>
      <c r="M67" s="257">
        <f t="shared" si="8"/>
        <v>119.48246138706608</v>
      </c>
      <c r="N67" s="250" t="str">
        <f t="shared" si="17"/>
        <v>-</v>
      </c>
      <c r="O67" s="252">
        <f t="shared" si="6"/>
        <v>1.1070472229489425</v>
      </c>
      <c r="P67" s="257">
        <f t="shared" si="5"/>
        <v>157.85297507348778</v>
      </c>
      <c r="Q67" s="1392" t="str">
        <f t="shared" si="10"/>
        <v>-</v>
      </c>
      <c r="R67" s="252">
        <f t="shared" si="11"/>
        <v>0.89198416771010258</v>
      </c>
      <c r="S67" s="257">
        <f t="shared" si="9"/>
        <v>141.85766223994779</v>
      </c>
      <c r="T67" s="254">
        <f t="shared" si="14"/>
        <v>1.1070472229489425</v>
      </c>
      <c r="U67" s="254">
        <f t="shared" si="15"/>
        <v>1.1070472229489425</v>
      </c>
      <c r="V67" s="255">
        <f t="shared" si="12"/>
        <v>121.48207325590944</v>
      </c>
      <c r="W67" s="256">
        <f t="shared" si="13"/>
        <v>121.48207325590944</v>
      </c>
      <c r="X67" s="26"/>
      <c r="Z67" s="297"/>
    </row>
    <row r="68" spans="1:26" ht="13.5" customHeight="1">
      <c r="A68" s="1395"/>
      <c r="B68" s="238">
        <v>2024</v>
      </c>
      <c r="C68" s="247"/>
      <c r="D68" s="2113">
        <v>112.60121977551431</v>
      </c>
      <c r="E68" s="2867"/>
      <c r="F68" s="297">
        <v>1.7524672646814343</v>
      </c>
      <c r="G68" s="257">
        <f t="shared" si="16"/>
        <v>191.60082144691816</v>
      </c>
      <c r="I68" s="297">
        <v>0.47216265999999996</v>
      </c>
      <c r="J68" s="257">
        <f t="shared" si="4"/>
        <v>119.85203075329015</v>
      </c>
      <c r="K68" s="1390"/>
      <c r="L68" s="297">
        <v>0.68536042304481182</v>
      </c>
      <c r="M68" s="257">
        <f t="shared" si="8"/>
        <v>120.30134688989283</v>
      </c>
      <c r="N68" s="250" t="str">
        <f t="shared" si="17"/>
        <v>-</v>
      </c>
      <c r="O68" s="252">
        <f t="shared" si="6"/>
        <v>1.2742878930694479</v>
      </c>
      <c r="P68" s="257">
        <f t="shared" si="5"/>
        <v>159.86447642369916</v>
      </c>
      <c r="Q68" s="1392" t="str">
        <f t="shared" si="10"/>
        <v>-</v>
      </c>
      <c r="R68" s="252">
        <f t="shared" si="11"/>
        <v>1.0598430965067962</v>
      </c>
      <c r="S68" s="257">
        <f t="shared" si="9"/>
        <v>143.3611308800638</v>
      </c>
      <c r="T68" s="254">
        <f t="shared" si="14"/>
        <v>1.2742878930694479</v>
      </c>
      <c r="U68" s="254">
        <f t="shared" si="15"/>
        <v>1.2742878930694479</v>
      </c>
      <c r="V68" s="255">
        <f t="shared" si="12"/>
        <v>123.03010460765925</v>
      </c>
      <c r="W68" s="256">
        <f t="shared" si="13"/>
        <v>123.03010460765925</v>
      </c>
      <c r="X68" s="26"/>
      <c r="Z68" s="297"/>
    </row>
    <row r="69" spans="1:26" ht="13.5" customHeight="1">
      <c r="A69" s="1395"/>
      <c r="B69" s="238">
        <v>2025</v>
      </c>
      <c r="C69" s="247"/>
      <c r="D69" s="2113">
        <v>115.19104783035112</v>
      </c>
      <c r="E69" s="2867"/>
      <c r="F69" s="297">
        <v>1.8885439459211728</v>
      </c>
      <c r="G69" s="257">
        <f t="shared" si="16"/>
        <v>195.21928716068916</v>
      </c>
      <c r="I69" s="297">
        <v>0.45980559999999998</v>
      </c>
      <c r="J69" s="257">
        <f t="shared" si="4"/>
        <v>120.40311710240751</v>
      </c>
      <c r="K69" s="1390"/>
      <c r="L69" s="297">
        <v>0.65650806813861706</v>
      </c>
      <c r="M69" s="257">
        <f t="shared" si="8"/>
        <v>121.09113493830441</v>
      </c>
      <c r="N69" s="250" t="str">
        <f t="shared" si="17"/>
        <v>-</v>
      </c>
      <c r="O69" s="252">
        <f t="shared" si="6"/>
        <v>1.4221989952976521</v>
      </c>
      <c r="P69" s="257">
        <f t="shared" si="5"/>
        <v>162.13806740123485</v>
      </c>
      <c r="Q69" s="1392" t="str">
        <f t="shared" si="10"/>
        <v>-</v>
      </c>
      <c r="R69" s="252">
        <f t="shared" si="11"/>
        <v>1.2240002175999631</v>
      </c>
      <c r="S69" s="257">
        <f t="shared" si="9"/>
        <v>145.11587143398955</v>
      </c>
      <c r="T69" s="254">
        <f t="shared" si="14"/>
        <v>1.4221989952976521</v>
      </c>
      <c r="U69" s="254">
        <f t="shared" si="15"/>
        <v>1.4221989952976521</v>
      </c>
      <c r="V69" s="255">
        <f t="shared" si="12"/>
        <v>124.77983751930303</v>
      </c>
      <c r="W69" s="256">
        <f t="shared" si="13"/>
        <v>124.77983751930303</v>
      </c>
      <c r="X69" s="26"/>
      <c r="Z69" s="297"/>
    </row>
    <row r="70" spans="1:26" ht="13.5" customHeight="1">
      <c r="A70" s="1395"/>
      <c r="B70" s="238">
        <v>2026</v>
      </c>
      <c r="C70" s="247"/>
      <c r="D70" s="2113">
        <v>117.84044193044919</v>
      </c>
      <c r="E70" s="2867"/>
      <c r="F70" s="297">
        <v>1.9977861128138708</v>
      </c>
      <c r="G70" s="257">
        <f t="shared" si="16"/>
        <v>199.11935096911964</v>
      </c>
      <c r="I70" s="297">
        <v>0.44605840000000002</v>
      </c>
      <c r="J70" s="257">
        <f t="shared" si="4"/>
        <v>120.94018532010463</v>
      </c>
      <c r="K70" s="1390"/>
      <c r="L70" s="297">
        <v>0.64536061240603182</v>
      </c>
      <c r="M70" s="257">
        <f t="shared" si="8"/>
        <v>121.87260942831166</v>
      </c>
      <c r="N70" s="250" t="str">
        <f t="shared" si="17"/>
        <v>-</v>
      </c>
      <c r="O70" s="252">
        <f t="shared" si="6"/>
        <v>1.5448368383301991</v>
      </c>
      <c r="P70" s="257">
        <f t="shared" si="5"/>
        <v>164.64283599540576</v>
      </c>
      <c r="Q70" s="1392" t="str">
        <f t="shared" si="10"/>
        <v>-</v>
      </c>
      <c r="R70" s="252">
        <f t="shared" si="11"/>
        <v>1.3437534449463051</v>
      </c>
      <c r="S70" s="257">
        <f t="shared" si="9"/>
        <v>147.06587095554764</v>
      </c>
      <c r="T70" s="254">
        <f t="shared" si="14"/>
        <v>1.5448368383301991</v>
      </c>
      <c r="U70" s="254">
        <f t="shared" si="15"/>
        <v>1.5448368383301991</v>
      </c>
      <c r="V70" s="255">
        <f t="shared" si="12"/>
        <v>126.70748241610978</v>
      </c>
      <c r="W70" s="256">
        <f t="shared" si="13"/>
        <v>126.70748241610978</v>
      </c>
      <c r="X70" s="26"/>
      <c r="Z70" s="297"/>
    </row>
    <row r="71" spans="1:26" ht="13.5" customHeight="1">
      <c r="A71" s="1395"/>
      <c r="B71" s="238">
        <v>2027</v>
      </c>
      <c r="C71" s="247"/>
      <c r="D71" s="2113">
        <v>120.55077209484951</v>
      </c>
      <c r="E71" s="2867"/>
      <c r="F71" s="297">
        <v>2.0939757825622074</v>
      </c>
      <c r="G71" s="257">
        <f t="shared" si="16"/>
        <v>203.28886195680806</v>
      </c>
      <c r="I71" s="297">
        <v>0.43102056999999999</v>
      </c>
      <c r="J71" s="257">
        <f t="shared" si="4"/>
        <v>121.4614623962304</v>
      </c>
      <c r="K71" s="1390"/>
      <c r="L71" s="297">
        <v>0.65827620314471424</v>
      </c>
      <c r="M71" s="257">
        <f t="shared" si="8"/>
        <v>122.67486781432973</v>
      </c>
      <c r="N71" s="250" t="str">
        <f t="shared" si="17"/>
        <v>-</v>
      </c>
      <c r="O71" s="252">
        <f t="shared" si="6"/>
        <v>1.6558182951084799</v>
      </c>
      <c r="P71" s="257">
        <f t="shared" si="5"/>
        <v>167.36902219540312</v>
      </c>
      <c r="Q71" s="1392" t="str">
        <f t="shared" si="10"/>
        <v>-</v>
      </c>
      <c r="R71" s="252">
        <f t="shared" si="11"/>
        <v>1.4263105167030998</v>
      </c>
      <c r="S71" s="257">
        <f t="shared" si="9"/>
        <v>149.16348693946762</v>
      </c>
      <c r="T71" s="254">
        <f t="shared" si="14"/>
        <v>1.6558182951084799</v>
      </c>
      <c r="U71" s="254">
        <f t="shared" si="15"/>
        <v>1.6558182951084799</v>
      </c>
      <c r="V71" s="255">
        <f t="shared" si="12"/>
        <v>128.8055280912271</v>
      </c>
      <c r="W71" s="256">
        <f t="shared" si="13"/>
        <v>128.8055280912271</v>
      </c>
      <c r="X71" s="26"/>
      <c r="Z71" s="297"/>
    </row>
    <row r="72" spans="1:26" ht="13.5" customHeight="1">
      <c r="A72" s="1395"/>
      <c r="B72" s="238">
        <v>2028</v>
      </c>
      <c r="C72" s="247"/>
      <c r="D72" s="2113">
        <v>123.32343985303103</v>
      </c>
      <c r="E72" s="2867"/>
      <c r="F72" s="297">
        <v>2.1807319135951797</v>
      </c>
      <c r="G72" s="257">
        <f t="shared" si="16"/>
        <v>207.72204704628464</v>
      </c>
      <c r="I72" s="297">
        <v>0.41517029</v>
      </c>
      <c r="J72" s="257">
        <f t="shared" si="4"/>
        <v>121.96573430189909</v>
      </c>
      <c r="K72" s="1390"/>
      <c r="L72" s="297">
        <v>0.64041745730549771</v>
      </c>
      <c r="M72" s="257">
        <f t="shared" si="8"/>
        <v>123.46049908353915</v>
      </c>
      <c r="N72" s="250" t="str">
        <f t="shared" si="17"/>
        <v>-</v>
      </c>
      <c r="O72" s="252">
        <f t="shared" si="6"/>
        <v>1.7582618428034547</v>
      </c>
      <c r="P72" s="257">
        <f t="shared" si="5"/>
        <v>170.31180784933812</v>
      </c>
      <c r="Q72" s="1392" t="str">
        <f t="shared" si="10"/>
        <v>-</v>
      </c>
      <c r="R72" s="252">
        <f t="shared" si="11"/>
        <v>1.5305127852268008</v>
      </c>
      <c r="S72" s="257">
        <f t="shared" si="9"/>
        <v>151.44645317796628</v>
      </c>
      <c r="T72" s="254">
        <f t="shared" si="14"/>
        <v>1.7582618428034547</v>
      </c>
      <c r="U72" s="254">
        <f t="shared" si="15"/>
        <v>1.7582618428034547</v>
      </c>
      <c r="V72" s="255">
        <f t="shared" si="12"/>
        <v>131.07026654307663</v>
      </c>
      <c r="W72" s="256">
        <f t="shared" si="13"/>
        <v>131.07026654307663</v>
      </c>
      <c r="X72" s="26"/>
      <c r="Z72" s="297"/>
    </row>
    <row r="73" spans="1:26" ht="13.5" customHeight="1">
      <c r="A73" s="1395"/>
      <c r="B73" s="238">
        <v>2029</v>
      </c>
      <c r="C73" s="247"/>
      <c r="D73" s="2113">
        <v>126.15987896965073</v>
      </c>
      <c r="E73" s="2867"/>
      <c r="F73" s="297">
        <v>2.2114208708839511</v>
      </c>
      <c r="G73" s="257">
        <f t="shared" si="16"/>
        <v>212.31565574809355</v>
      </c>
      <c r="I73" s="297">
        <v>0.39928774</v>
      </c>
      <c r="J73" s="257">
        <f t="shared" si="4"/>
        <v>122.45272852596756</v>
      </c>
      <c r="K73" s="1390"/>
      <c r="L73" s="297">
        <v>0.61614087067776158</v>
      </c>
      <c r="M73" s="257">
        <f t="shared" si="8"/>
        <v>124.22118967753559</v>
      </c>
      <c r="N73" s="250" t="str">
        <f t="shared" si="17"/>
        <v>-</v>
      </c>
      <c r="O73" s="252">
        <f t="shared" si="6"/>
        <v>1.8049262815257761</v>
      </c>
      <c r="P73" s="257">
        <f t="shared" si="5"/>
        <v>173.38581042975252</v>
      </c>
      <c r="Q73" s="1392" t="str">
        <f t="shared" si="10"/>
        <v>-</v>
      </c>
      <c r="R73" s="252">
        <f t="shared" si="11"/>
        <v>1.5855110188101929</v>
      </c>
      <c r="S73" s="257">
        <f t="shared" si="9"/>
        <v>153.84765338070017</v>
      </c>
      <c r="T73" s="254">
        <f t="shared" si="14"/>
        <v>1.8049262815257761</v>
      </c>
      <c r="U73" s="254">
        <f t="shared" si="15"/>
        <v>1.8049262815257761</v>
      </c>
      <c r="V73" s="255">
        <f t="shared" si="12"/>
        <v>133.4359882311785</v>
      </c>
      <c r="W73" s="256">
        <f t="shared" si="13"/>
        <v>133.4359882311785</v>
      </c>
      <c r="X73" s="26"/>
      <c r="Z73" s="297"/>
    </row>
    <row r="74" spans="1:26" ht="13.5" customHeight="1">
      <c r="A74" s="1395"/>
      <c r="B74" s="238">
        <v>2030</v>
      </c>
      <c r="C74" s="247"/>
      <c r="D74" s="2113">
        <v>129.0615561859527</v>
      </c>
      <c r="E74" s="2867"/>
      <c r="F74" s="297">
        <v>2.2905548740240533</v>
      </c>
      <c r="G74" s="257">
        <f t="shared" si="16"/>
        <v>217.17886234914764</v>
      </c>
      <c r="I74" s="297">
        <v>0.38384973999999999</v>
      </c>
      <c r="J74" s="257">
        <f t="shared" si="4"/>
        <v>122.92276300603739</v>
      </c>
      <c r="K74" s="1390"/>
      <c r="L74" s="297">
        <v>0.59898273323517603</v>
      </c>
      <c r="M74" s="257">
        <f t="shared" si="8"/>
        <v>124.96525315472334</v>
      </c>
      <c r="N74" s="250" t="str">
        <f t="shared" si="17"/>
        <v>-</v>
      </c>
      <c r="O74" s="252">
        <f t="shared" si="6"/>
        <v>1.8994142374122225</v>
      </c>
      <c r="P74" s="257">
        <f t="shared" si="5"/>
        <v>176.67912519870779</v>
      </c>
      <c r="Q74" s="1392" t="str">
        <f t="shared" si="10"/>
        <v>-</v>
      </c>
      <c r="R74" s="252">
        <f t="shared" si="11"/>
        <v>1.6815002446640248</v>
      </c>
      <c r="S74" s="257">
        <f t="shared" si="9"/>
        <v>156.43460204870649</v>
      </c>
      <c r="T74" s="254">
        <f t="shared" si="14"/>
        <v>1.8994142374122225</v>
      </c>
      <c r="U74" s="254">
        <f t="shared" si="15"/>
        <v>1.8994142374122225</v>
      </c>
      <c r="V74" s="255">
        <f t="shared" si="12"/>
        <v>135.97049038947321</v>
      </c>
      <c r="W74" s="256">
        <f t="shared" si="13"/>
        <v>135.97049038947321</v>
      </c>
      <c r="X74" s="26"/>
      <c r="Z74" s="297"/>
    </row>
    <row r="75" spans="1:26" ht="13.5" customHeight="1">
      <c r="A75" s="1395"/>
      <c r="B75" s="238">
        <v>2031</v>
      </c>
      <c r="C75" s="247"/>
      <c r="D75" s="2113">
        <v>132.02997197822958</v>
      </c>
      <c r="E75" s="2867"/>
      <c r="F75" s="297">
        <v>2.2702156641901006</v>
      </c>
      <c r="G75" s="257">
        <f t="shared" si="16"/>
        <v>222.10929090150785</v>
      </c>
      <c r="I75" s="297">
        <v>0.36905241</v>
      </c>
      <c r="J75" s="257">
        <f t="shared" si="4"/>
        <v>123.37641242534976</v>
      </c>
      <c r="K75" s="1390"/>
      <c r="L75" s="297">
        <v>0.6020689884575825</v>
      </c>
      <c r="M75" s="257">
        <f t="shared" si="8"/>
        <v>125.71763019031545</v>
      </c>
      <c r="N75" s="250" t="str">
        <f t="shared" si="17"/>
        <v>-</v>
      </c>
      <c r="O75" s="252">
        <f t="shared" si="6"/>
        <v>1.8941727639551598</v>
      </c>
      <c r="P75" s="257">
        <f t="shared" si="5"/>
        <v>180.02573306781596</v>
      </c>
      <c r="Q75" s="1392" t="str">
        <f t="shared" si="10"/>
        <v>-</v>
      </c>
      <c r="R75" s="252">
        <f t="shared" si="11"/>
        <v>1.6581633881942448</v>
      </c>
      <c r="S75" s="257">
        <f t="shared" si="9"/>
        <v>159.02854334634551</v>
      </c>
      <c r="T75" s="254">
        <f t="shared" si="14"/>
        <v>1.8941727639551598</v>
      </c>
      <c r="U75" s="254">
        <f t="shared" si="15"/>
        <v>1.8941727639551598</v>
      </c>
      <c r="V75" s="255">
        <f t="shared" si="12"/>
        <v>138.54600638544687</v>
      </c>
      <c r="W75" s="256">
        <f t="shared" si="13"/>
        <v>138.54600638544687</v>
      </c>
      <c r="X75" s="26"/>
      <c r="Z75" s="297"/>
    </row>
    <row r="76" spans="1:26" ht="13.5" customHeight="1">
      <c r="A76" s="1395"/>
      <c r="B76" s="238">
        <v>2032</v>
      </c>
      <c r="C76" s="247"/>
      <c r="D76" s="2113">
        <v>135.06666133372886</v>
      </c>
      <c r="E76" s="2867"/>
      <c r="F76" s="297">
        <v>2.2472264881572057</v>
      </c>
      <c r="G76" s="257">
        <f t="shared" si="16"/>
        <v>227.10058971930471</v>
      </c>
      <c r="I76" s="297">
        <v>0.35518225999999997</v>
      </c>
      <c r="J76" s="257">
        <f t="shared" si="4"/>
        <v>123.81462355530904</v>
      </c>
      <c r="K76" s="1390"/>
      <c r="L76" s="297">
        <v>0.59185292950667545</v>
      </c>
      <c r="M76" s="257">
        <f t="shared" si="8"/>
        <v>126.46169366750318</v>
      </c>
      <c r="N76" s="250" t="str">
        <f t="shared" si="17"/>
        <v>-</v>
      </c>
      <c r="O76" s="252">
        <f t="shared" si="6"/>
        <v>1.8853478072067054</v>
      </c>
      <c r="P76" s="257">
        <f t="shared" si="5"/>
        <v>183.41984427861783</v>
      </c>
      <c r="Q76" s="1392" t="str">
        <f t="shared" si="10"/>
        <v>-</v>
      </c>
      <c r="R76" s="252">
        <f t="shared" si="11"/>
        <v>1.6456338266386261</v>
      </c>
      <c r="S76" s="257">
        <f t="shared" si="9"/>
        <v>161.64557084966364</v>
      </c>
      <c r="T76" s="254">
        <f t="shared" si="14"/>
        <v>1.8853478072067054</v>
      </c>
      <c r="U76" s="254">
        <f t="shared" si="15"/>
        <v>1.8853478072067054</v>
      </c>
      <c r="V76" s="255">
        <f t="shared" si="12"/>
        <v>141.15808047880736</v>
      </c>
      <c r="W76" s="256">
        <f t="shared" si="13"/>
        <v>141.15808047880736</v>
      </c>
      <c r="X76" s="26"/>
      <c r="Z76" s="297"/>
    </row>
    <row r="77" spans="1:26" ht="13.5" customHeight="1">
      <c r="A77" s="1395"/>
      <c r="B77" s="238">
        <v>2033</v>
      </c>
      <c r="C77" s="247"/>
      <c r="D77" s="2113">
        <v>138.17319454440462</v>
      </c>
      <c r="E77" s="2867"/>
      <c r="F77" s="297">
        <v>2.2183604988560868</v>
      </c>
      <c r="G77" s="257">
        <f t="shared" si="16"/>
        <v>232.13849949430698</v>
      </c>
      <c r="I77" s="297">
        <v>0.34255393000000001</v>
      </c>
      <c r="J77" s="257">
        <f t="shared" si="4"/>
        <v>124.23875541421245</v>
      </c>
      <c r="K77" s="1390"/>
      <c r="L77" s="297">
        <v>0.58179666699536003</v>
      </c>
      <c r="M77" s="257">
        <f t="shared" si="8"/>
        <v>127.1974435862866</v>
      </c>
      <c r="N77" s="250" t="str">
        <f t="shared" si="17"/>
        <v>-</v>
      </c>
      <c r="O77" s="252">
        <f t="shared" si="6"/>
        <v>1.8694028559056441</v>
      </c>
      <c r="P77" s="257">
        <f t="shared" si="5"/>
        <v>186.84870008586</v>
      </c>
      <c r="Q77" s="1392" t="str">
        <f t="shared" si="10"/>
        <v>-</v>
      </c>
      <c r="R77" s="252">
        <f t="shared" si="11"/>
        <v>1.627097433225444</v>
      </c>
      <c r="S77" s="257">
        <f t="shared" si="9"/>
        <v>164.27570178388112</v>
      </c>
      <c r="T77" s="254">
        <f t="shared" si="14"/>
        <v>1.8694028559056441</v>
      </c>
      <c r="U77" s="254">
        <f t="shared" si="15"/>
        <v>1.8694028559056441</v>
      </c>
      <c r="V77" s="255">
        <f t="shared" si="12"/>
        <v>143.79689366661978</v>
      </c>
      <c r="W77" s="256">
        <f t="shared" si="13"/>
        <v>143.79689366661978</v>
      </c>
      <c r="X77" s="26"/>
      <c r="Z77" s="297"/>
    </row>
    <row r="78" spans="1:26" ht="13.5" customHeight="1">
      <c r="A78" s="1395"/>
      <c r="B78" s="238">
        <v>2034</v>
      </c>
      <c r="C78" s="247"/>
      <c r="D78" s="2113">
        <v>141.35117801892591</v>
      </c>
      <c r="E78" s="2867"/>
      <c r="F78" s="297">
        <v>2.2174098995324742</v>
      </c>
      <c r="G78" s="257">
        <f t="shared" si="16"/>
        <v>237.2859615627199</v>
      </c>
      <c r="I78" s="297">
        <v>0.33138637999999998</v>
      </c>
      <c r="J78" s="257">
        <f t="shared" si="4"/>
        <v>124.65046572833666</v>
      </c>
      <c r="K78" s="1390"/>
      <c r="L78" s="297">
        <v>0.56209150326798074</v>
      </c>
      <c r="M78" s="257">
        <f t="shared" si="8"/>
        <v>127.9124096090592</v>
      </c>
      <c r="N78" s="250" t="str">
        <f t="shared" si="17"/>
        <v>-</v>
      </c>
      <c r="O78" s="252">
        <f t="shared" si="6"/>
        <v>1.8797941377878047</v>
      </c>
      <c r="P78" s="257">
        <f t="shared" si="5"/>
        <v>190.36107099660668</v>
      </c>
      <c r="Q78" s="1392" t="str">
        <f t="shared" si="10"/>
        <v>-</v>
      </c>
      <c r="R78" s="252">
        <f t="shared" si="11"/>
        <v>1.6460659991451188</v>
      </c>
      <c r="S78" s="257">
        <f t="shared" si="9"/>
        <v>166.97978825580265</v>
      </c>
      <c r="T78" s="254">
        <f t="shared" si="14"/>
        <v>1.8797941377878047</v>
      </c>
      <c r="U78" s="254">
        <f t="shared" si="15"/>
        <v>1.8797941377878047</v>
      </c>
      <c r="V78" s="255">
        <f t="shared" si="12"/>
        <v>146.49997924408586</v>
      </c>
      <c r="W78" s="256">
        <f t="shared" si="13"/>
        <v>146.49997924408586</v>
      </c>
      <c r="X78" s="26"/>
      <c r="Z78" s="297"/>
    </row>
    <row r="79" spans="1:26" ht="13.5" customHeight="1">
      <c r="A79" s="1395"/>
      <c r="B79" s="238">
        <v>2035</v>
      </c>
      <c r="C79" s="247"/>
      <c r="D79" s="2113">
        <v>144.6022551133612</v>
      </c>
      <c r="E79" s="2867"/>
      <c r="F79" s="297">
        <v>2.2376296827773423</v>
      </c>
      <c r="G79" s="257">
        <f t="shared" si="16"/>
        <v>242.59554267171094</v>
      </c>
      <c r="I79" s="297">
        <v>0.32191728000000003</v>
      </c>
      <c r="J79" s="257">
        <f t="shared" si="4"/>
        <v>125.05173711711664</v>
      </c>
      <c r="K79" s="1390"/>
      <c r="L79" s="297">
        <v>0.54595086442219554</v>
      </c>
      <c r="M79" s="257">
        <f t="shared" si="8"/>
        <v>128.61074851502312</v>
      </c>
      <c r="N79" s="250" t="str">
        <f t="shared" si="17"/>
        <v>-</v>
      </c>
      <c r="O79" s="252">
        <f t="shared" si="6"/>
        <v>1.9095651824820647</v>
      </c>
      <c r="P79" s="257">
        <f t="shared" si="5"/>
        <v>193.99613972935785</v>
      </c>
      <c r="Q79" s="1392" t="str">
        <f t="shared" si="10"/>
        <v>-</v>
      </c>
      <c r="R79" s="252">
        <f t="shared" si="11"/>
        <v>1.6824932320111285</v>
      </c>
      <c r="S79" s="257">
        <f t="shared" si="9"/>
        <v>169.78921189203302</v>
      </c>
      <c r="T79" s="254">
        <f t="shared" si="14"/>
        <v>1.9095651824820647</v>
      </c>
      <c r="U79" s="254">
        <f t="shared" si="15"/>
        <v>1.9095651824820647</v>
      </c>
      <c r="V79" s="255">
        <f t="shared" ref="V79:V105" si="18">V78*((100+T79)/100)</f>
        <v>149.29749184007437</v>
      </c>
      <c r="W79" s="256">
        <f t="shared" ref="W79:W105" si="19">W78*((100+U79)/100)</f>
        <v>149.29749184007437</v>
      </c>
      <c r="X79" s="26"/>
      <c r="Z79" s="297"/>
    </row>
    <row r="80" spans="1:26" ht="13.5" customHeight="1">
      <c r="A80" s="1395"/>
      <c r="B80" s="238">
        <v>2036</v>
      </c>
      <c r="C80" s="247"/>
      <c r="D80" s="2113">
        <v>147.92810698096849</v>
      </c>
      <c r="E80" s="2867"/>
      <c r="F80" s="297">
        <v>2.2903148503356618</v>
      </c>
      <c r="G80" s="257">
        <f t="shared" si="16"/>
        <v>248.15174441177354</v>
      </c>
      <c r="I80" s="297">
        <v>0.31420168999999998</v>
      </c>
      <c r="J80" s="257">
        <f t="shared" si="4"/>
        <v>125.44465178851299</v>
      </c>
      <c r="K80" s="1390"/>
      <c r="L80" s="297">
        <v>0.54621848739495604</v>
      </c>
      <c r="M80" s="257">
        <f t="shared" si="8"/>
        <v>129.31324420018919</v>
      </c>
      <c r="N80" s="250" t="str">
        <f t="shared" si="17"/>
        <v>-</v>
      </c>
      <c r="O80" s="252">
        <f t="shared" si="6"/>
        <v>1.9699236270078968</v>
      </c>
      <c r="P80" s="257">
        <f t="shared" si="5"/>
        <v>197.81771552136971</v>
      </c>
      <c r="Q80" s="1392" t="str">
        <f t="shared" si="10"/>
        <v>-</v>
      </c>
      <c r="R80" s="252">
        <f t="shared" si="11"/>
        <v>1.7346215394061337</v>
      </c>
      <c r="S80" s="257">
        <f t="shared" si="9"/>
        <v>172.73441213310016</v>
      </c>
      <c r="T80" s="254">
        <f t="shared" si="14"/>
        <v>1.9699236270078968</v>
      </c>
      <c r="U80" s="254">
        <f t="shared" si="15"/>
        <v>1.9699236270078968</v>
      </c>
      <c r="V80" s="255">
        <f t="shared" si="18"/>
        <v>152.23853840636218</v>
      </c>
      <c r="W80" s="256">
        <f t="shared" si="19"/>
        <v>152.23853840636218</v>
      </c>
      <c r="X80" s="26"/>
      <c r="Z80" s="297"/>
    </row>
    <row r="81" spans="1:26" ht="13.5" customHeight="1">
      <c r="A81" s="1395"/>
      <c r="B81" s="238">
        <v>2037</v>
      </c>
      <c r="C81" s="247"/>
      <c r="D81" s="2113">
        <v>151.33045344153075</v>
      </c>
      <c r="E81" s="2867"/>
      <c r="F81" s="297">
        <v>2.2970265296322845</v>
      </c>
      <c r="G81" s="257">
        <f t="shared" si="16"/>
        <v>253.85185581465728</v>
      </c>
      <c r="I81" s="297">
        <v>0.30808342999999999</v>
      </c>
      <c r="J81" s="257">
        <f t="shared" si="4"/>
        <v>125.83112597449458</v>
      </c>
      <c r="K81" s="1390"/>
      <c r="L81" s="297">
        <v>0.52717862997846421</v>
      </c>
      <c r="M81" s="257">
        <f t="shared" si="8"/>
        <v>129.99495598934445</v>
      </c>
      <c r="N81" s="250" t="str">
        <f t="shared" si="17"/>
        <v>-</v>
      </c>
      <c r="O81" s="252">
        <f t="shared" si="6"/>
        <v>1.982834315661397</v>
      </c>
      <c r="P81" s="257">
        <f t="shared" si="5"/>
        <v>201.74011306718486</v>
      </c>
      <c r="Q81" s="1392" t="str">
        <f t="shared" si="10"/>
        <v>-</v>
      </c>
      <c r="R81" s="252">
        <f t="shared" si="11"/>
        <v>1.7605665689358396</v>
      </c>
      <c r="S81" s="257">
        <f t="shared" si="9"/>
        <v>175.77551644616338</v>
      </c>
      <c r="T81" s="254">
        <f t="shared" si="14"/>
        <v>1.982834315661397</v>
      </c>
      <c r="U81" s="254">
        <f t="shared" si="15"/>
        <v>1.982834315661397</v>
      </c>
      <c r="V81" s="255">
        <f t="shared" si="18"/>
        <v>155.25717638754489</v>
      </c>
      <c r="W81" s="256">
        <f t="shared" si="19"/>
        <v>155.25717638754489</v>
      </c>
      <c r="X81" s="26"/>
      <c r="Z81" s="297"/>
    </row>
    <row r="82" spans="1:26" ht="13.5" customHeight="1">
      <c r="A82" s="1395"/>
      <c r="B82" s="238">
        <v>2038</v>
      </c>
      <c r="C82" s="247"/>
      <c r="D82" s="2113">
        <v>154.81105387068595</v>
      </c>
      <c r="E82" s="2867"/>
      <c r="F82" s="297">
        <v>2.2949512247480097</v>
      </c>
      <c r="G82" s="257">
        <f t="shared" si="16"/>
        <v>259.67763208872128</v>
      </c>
      <c r="I82" s="297">
        <v>0.30387349999999996</v>
      </c>
      <c r="J82" s="257">
        <f t="shared" si="4"/>
        <v>126.21349342108267</v>
      </c>
      <c r="K82" s="1390"/>
      <c r="L82" s="297">
        <v>0.51801873820866984</v>
      </c>
      <c r="M82" s="257">
        <f t="shared" si="8"/>
        <v>130.66835422009538</v>
      </c>
      <c r="N82" s="250" t="str">
        <f t="shared" si="17"/>
        <v>-</v>
      </c>
      <c r="O82" s="252">
        <f t="shared" si="6"/>
        <v>1.9850456969122021</v>
      </c>
      <c r="P82" s="257">
        <f t="shared" si="5"/>
        <v>205.74474650057084</v>
      </c>
      <c r="Q82" s="1392" t="str">
        <f t="shared" si="10"/>
        <v>-</v>
      </c>
      <c r="R82" s="252">
        <f t="shared" si="11"/>
        <v>1.7677750803736236</v>
      </c>
      <c r="S82" s="257">
        <f t="shared" si="9"/>
        <v>178.88283222329667</v>
      </c>
      <c r="T82" s="254">
        <f t="shared" si="14"/>
        <v>1.9850456969122021</v>
      </c>
      <c r="U82" s="254">
        <f t="shared" si="15"/>
        <v>1.9850456969122021</v>
      </c>
      <c r="V82" s="255">
        <f t="shared" si="18"/>
        <v>158.33910228657322</v>
      </c>
      <c r="W82" s="256">
        <f t="shared" si="19"/>
        <v>158.33910228657322</v>
      </c>
      <c r="X82" s="26"/>
      <c r="Z82" s="297"/>
    </row>
    <row r="83" spans="1:26" ht="13.5" customHeight="1">
      <c r="A83" s="1395"/>
      <c r="B83" s="238">
        <v>2039</v>
      </c>
      <c r="C83" s="247"/>
      <c r="D83" s="2113">
        <v>158.3717081097117</v>
      </c>
      <c r="E83" s="2867"/>
      <c r="F83" s="297">
        <v>2.2764754522735409</v>
      </c>
      <c r="G83" s="257">
        <f t="shared" si="16"/>
        <v>265.58912963826623</v>
      </c>
      <c r="I83" s="297">
        <v>0.30093225000000001</v>
      </c>
      <c r="J83" s="257">
        <f t="shared" si="4"/>
        <v>126.59331052663835</v>
      </c>
      <c r="K83" s="1390"/>
      <c r="L83" s="297">
        <v>0.50580563066644491</v>
      </c>
      <c r="M83" s="257">
        <f t="shared" si="8"/>
        <v>131.3292821132398</v>
      </c>
      <c r="N83" s="250" t="str">
        <f t="shared" si="17"/>
        <v>-</v>
      </c>
      <c r="O83" s="252">
        <f t="shared" si="6"/>
        <v>1.9696159925507883</v>
      </c>
      <c r="P83" s="257">
        <f t="shared" si="5"/>
        <v>209.79712793147917</v>
      </c>
      <c r="Q83" s="1392" t="str">
        <f t="shared" si="10"/>
        <v>-</v>
      </c>
      <c r="R83" s="252">
        <f t="shared" si="11"/>
        <v>1.7617587466677076</v>
      </c>
      <c r="S83" s="257">
        <f t="shared" si="9"/>
        <v>182.03431616627753</v>
      </c>
      <c r="T83" s="254">
        <f t="shared" si="14"/>
        <v>1.9696159925507883</v>
      </c>
      <c r="U83" s="254">
        <f t="shared" si="15"/>
        <v>1.9696159925507883</v>
      </c>
      <c r="V83" s="255">
        <f t="shared" si="18"/>
        <v>161.45777456767092</v>
      </c>
      <c r="W83" s="256">
        <f t="shared" si="19"/>
        <v>161.45777456767092</v>
      </c>
      <c r="X83" s="26"/>
      <c r="Z83" s="297"/>
    </row>
    <row r="84" spans="1:26" ht="13.5" customHeight="1">
      <c r="A84" s="1395"/>
      <c r="B84" s="238">
        <v>2040</v>
      </c>
      <c r="C84" s="247"/>
      <c r="D84" s="2113">
        <v>162.01425739623505</v>
      </c>
      <c r="F84" s="297">
        <v>2.2513385252745932</v>
      </c>
      <c r="G84" s="257">
        <f t="shared" si="16"/>
        <v>271.56844003275398</v>
      </c>
      <c r="I84" s="297">
        <v>0.29944843999999998</v>
      </c>
      <c r="J84" s="257">
        <f t="shared" si="4"/>
        <v>126.97239222015473</v>
      </c>
      <c r="K84" s="1390"/>
      <c r="L84" s="297">
        <v>0.29944843999999998</v>
      </c>
      <c r="M84" s="257">
        <f t="shared" si="8"/>
        <v>131.72254559979109</v>
      </c>
      <c r="N84" s="250" t="str">
        <f t="shared" si="17"/>
        <v>-</v>
      </c>
      <c r="O84" s="252">
        <f t="shared" si="6"/>
        <v>1.9460626310843887</v>
      </c>
      <c r="P84" s="257">
        <f t="shared" si="5"/>
        <v>213.87991143924199</v>
      </c>
      <c r="Q84" s="1392" t="str">
        <f t="shared" si="10"/>
        <v>-</v>
      </c>
      <c r="R84" s="252">
        <f t="shared" si="11"/>
        <v>1.9460626310843887</v>
      </c>
      <c r="S84" s="257">
        <f t="shared" si="9"/>
        <v>185.57681796893948</v>
      </c>
      <c r="T84" s="254">
        <f t="shared" si="14"/>
        <v>1.9460626310843887</v>
      </c>
      <c r="U84" s="254">
        <f t="shared" si="15"/>
        <v>1.9460626310843887</v>
      </c>
      <c r="V84" s="255">
        <f t="shared" si="18"/>
        <v>164.59984398351284</v>
      </c>
      <c r="W84" s="256">
        <f t="shared" si="19"/>
        <v>164.59984398351284</v>
      </c>
      <c r="X84" s="26"/>
      <c r="Z84" s="297"/>
    </row>
    <row r="85" spans="1:26" ht="13.5" customHeight="1">
      <c r="A85" s="1395"/>
      <c r="B85" s="238">
        <v>2041</v>
      </c>
      <c r="C85" s="247"/>
      <c r="D85" s="2113">
        <v>165.74058531634844</v>
      </c>
      <c r="F85" s="297">
        <v>2.2543327776548328</v>
      </c>
      <c r="G85" s="257">
        <f t="shared" si="16"/>
        <v>277.69049639017828</v>
      </c>
      <c r="I85" s="297">
        <v>0.29756114</v>
      </c>
      <c r="J85" s="257">
        <f t="shared" si="4"/>
        <v>127.3502127179303</v>
      </c>
      <c r="K85" s="1390"/>
      <c r="L85" s="297">
        <v>0.29756114</v>
      </c>
      <c r="M85" s="257">
        <f t="shared" si="8"/>
        <v>132.11450070811486</v>
      </c>
      <c r="N85" s="250" t="str">
        <f t="shared" si="17"/>
        <v>-</v>
      </c>
      <c r="O85" s="252">
        <f t="shared" si="6"/>
        <v>1.9509663200319327</v>
      </c>
      <c r="P85" s="257">
        <f t="shared" si="5"/>
        <v>218.05263647673576</v>
      </c>
      <c r="Q85" s="1392" t="str">
        <f t="shared" si="10"/>
        <v>-</v>
      </c>
      <c r="R85" s="252">
        <f t="shared" si="11"/>
        <v>1.9509663200319327</v>
      </c>
      <c r="S85" s="257">
        <f t="shared" si="9"/>
        <v>189.19735918530048</v>
      </c>
      <c r="T85" s="254">
        <f t="shared" si="14"/>
        <v>1.9509663200319327</v>
      </c>
      <c r="U85" s="254">
        <f t="shared" si="15"/>
        <v>1.9509663200319327</v>
      </c>
      <c r="V85" s="255">
        <f t="shared" si="18"/>
        <v>167.81113150245628</v>
      </c>
      <c r="W85" s="256">
        <f t="shared" si="19"/>
        <v>167.81113150245628</v>
      </c>
      <c r="X85" s="26"/>
      <c r="Z85" s="297"/>
    </row>
    <row r="86" spans="1:26" ht="13.5" customHeight="1">
      <c r="A86" s="1395"/>
      <c r="B86" s="238">
        <v>2042</v>
      </c>
      <c r="C86" s="247"/>
      <c r="D86" s="2113">
        <v>169.55261877862443</v>
      </c>
      <c r="F86" s="297">
        <v>2.2511667357483889</v>
      </c>
      <c r="G86" s="257">
        <f t="shared" si="16"/>
        <v>283.94177247324853</v>
      </c>
      <c r="I86" s="297">
        <v>0.29397618000000003</v>
      </c>
      <c r="J86" s="257">
        <f t="shared" si="4"/>
        <v>127.72459200850035</v>
      </c>
      <c r="K86" s="1390"/>
      <c r="L86" s="297">
        <v>0.29397618000000003</v>
      </c>
      <c r="M86" s="257">
        <f t="shared" si="8"/>
        <v>132.50288587052265</v>
      </c>
      <c r="N86" s="250" t="str">
        <f t="shared" si="17"/>
        <v>-</v>
      </c>
      <c r="O86" s="252">
        <f t="shared" si="6"/>
        <v>1.9514537465697535</v>
      </c>
      <c r="P86" s="257">
        <f t="shared" si="5"/>
        <v>222.30783282075515</v>
      </c>
      <c r="Q86" s="1392" t="str">
        <f t="shared" si="10"/>
        <v>-</v>
      </c>
      <c r="R86" s="252">
        <f t="shared" si="11"/>
        <v>1.9514537465697535</v>
      </c>
      <c r="S86" s="257">
        <f t="shared" si="9"/>
        <v>192.88945813953305</v>
      </c>
      <c r="T86" s="254">
        <f t="shared" si="14"/>
        <v>1.9514537465697535</v>
      </c>
      <c r="U86" s="254">
        <f t="shared" si="15"/>
        <v>1.9514537465697535</v>
      </c>
      <c r="V86" s="255">
        <f t="shared" si="18"/>
        <v>171.08588811532206</v>
      </c>
      <c r="W86" s="256">
        <f t="shared" si="19"/>
        <v>171.08588811532206</v>
      </c>
      <c r="X86" s="26"/>
      <c r="Z86" s="297"/>
    </row>
    <row r="87" spans="1:26" ht="13.5" customHeight="1">
      <c r="A87" s="1395"/>
      <c r="B87" s="238">
        <v>2043</v>
      </c>
      <c r="C87" s="247"/>
      <c r="D87" s="2113">
        <v>173.45232901053279</v>
      </c>
      <c r="F87" s="297">
        <v>2.2340721783753237</v>
      </c>
      <c r="G87" s="257">
        <f t="shared" si="16"/>
        <v>290.28523661485917</v>
      </c>
      <c r="I87" s="297">
        <v>0.29006739999999998</v>
      </c>
      <c r="J87" s="257">
        <f t="shared" si="4"/>
        <v>128.0950794117</v>
      </c>
      <c r="K87" s="1390"/>
      <c r="L87" s="297">
        <v>0.29006739999999998</v>
      </c>
      <c r="M87" s="257">
        <f t="shared" si="8"/>
        <v>132.88723354649224</v>
      </c>
      <c r="N87" s="250" t="str">
        <f t="shared" si="17"/>
        <v>-</v>
      </c>
      <c r="O87" s="252">
        <f t="shared" si="6"/>
        <v>1.9383821636312248</v>
      </c>
      <c r="P87" s="257">
        <f t="shared" si="5"/>
        <v>226.61700820050777</v>
      </c>
      <c r="Q87" s="1392" t="str">
        <f t="shared" si="10"/>
        <v>-</v>
      </c>
      <c r="R87" s="252">
        <f t="shared" si="11"/>
        <v>1.9383821636312248</v>
      </c>
      <c r="S87" s="257">
        <f t="shared" si="9"/>
        <v>196.62839299163466</v>
      </c>
      <c r="T87" s="254">
        <f t="shared" si="14"/>
        <v>1.9383821636312248</v>
      </c>
      <c r="U87" s="254">
        <f t="shared" si="15"/>
        <v>1.9383821636312248</v>
      </c>
      <c r="V87" s="255">
        <f t="shared" si="18"/>
        <v>174.40218645503953</v>
      </c>
      <c r="W87" s="256">
        <f t="shared" si="19"/>
        <v>174.40218645503953</v>
      </c>
      <c r="X87" s="26"/>
      <c r="Z87" s="297"/>
    </row>
    <row r="88" spans="1:26" ht="13.5" customHeight="1">
      <c r="A88" s="1395"/>
      <c r="B88" s="238">
        <v>2044</v>
      </c>
      <c r="C88" s="247"/>
      <c r="D88" s="2113">
        <v>177.44173257777504</v>
      </c>
      <c r="F88" s="297">
        <v>2.2075240996059842</v>
      </c>
      <c r="G88" s="257">
        <f t="shared" ref="G88:G105" si="20">G87*(100+F88)/100</f>
        <v>296.69335317073046</v>
      </c>
      <c r="I88" s="297">
        <v>0.28540877000000003</v>
      </c>
      <c r="J88" s="257">
        <f t="shared" si="4"/>
        <v>128.46067400227946</v>
      </c>
      <c r="K88" s="1390"/>
      <c r="L88" s="297">
        <v>0.28540877000000003</v>
      </c>
      <c r="M88" s="257">
        <f t="shared" si="8"/>
        <v>133.26650536524431</v>
      </c>
      <c r="N88" s="250" t="str">
        <f t="shared" si="17"/>
        <v>-</v>
      </c>
      <c r="O88" s="252">
        <f t="shared" si="6"/>
        <v>1.9166450565248905</v>
      </c>
      <c r="P88" s="257">
        <f t="shared" si="5"/>
        <v>230.9604518854274</v>
      </c>
      <c r="Q88" s="1392" t="str">
        <f t="shared" si="10"/>
        <v>-</v>
      </c>
      <c r="R88" s="252">
        <f t="shared" si="11"/>
        <v>1.9166450565248905</v>
      </c>
      <c r="S88" s="257">
        <f t="shared" si="9"/>
        <v>200.39706136563316</v>
      </c>
      <c r="T88" s="254">
        <f t="shared" si="14"/>
        <v>1.9166450565248905</v>
      </c>
      <c r="U88" s="254">
        <f t="shared" si="15"/>
        <v>1.9166450565248905</v>
      </c>
      <c r="V88" s="255">
        <f t="shared" si="18"/>
        <v>177.74485734020138</v>
      </c>
      <c r="W88" s="256">
        <f t="shared" si="19"/>
        <v>177.74485734020138</v>
      </c>
      <c r="X88" s="26"/>
      <c r="Z88" s="297"/>
    </row>
    <row r="89" spans="1:26" ht="13.5" customHeight="1">
      <c r="A89" s="1395"/>
      <c r="B89" s="238">
        <v>2045</v>
      </c>
      <c r="C89" s="247"/>
      <c r="D89" s="2113">
        <v>181.52289242706385</v>
      </c>
      <c r="F89" s="297">
        <v>2.1916829969087281</v>
      </c>
      <c r="G89" s="257">
        <f t="shared" si="20"/>
        <v>303.19593094513169</v>
      </c>
      <c r="I89" s="297">
        <v>0.27990248000000001</v>
      </c>
      <c r="J89" s="257">
        <f t="shared" si="4"/>
        <v>128.82023861463657</v>
      </c>
      <c r="K89" s="1390"/>
      <c r="L89" s="297">
        <v>0.27990248000000001</v>
      </c>
      <c r="M89" s="257">
        <f t="shared" si="8"/>
        <v>133.63952161877097</v>
      </c>
      <c r="N89" s="250" t="str">
        <f t="shared" si="17"/>
        <v>-</v>
      </c>
      <c r="O89" s="252">
        <f t="shared" si="6"/>
        <v>1.9064443319437796</v>
      </c>
      <c r="P89" s="257">
        <f t="shared" si="5"/>
        <v>235.36358432942885</v>
      </c>
      <c r="Q89" s="1392" t="str">
        <f t="shared" si="10"/>
        <v>-</v>
      </c>
      <c r="R89" s="252">
        <f t="shared" si="11"/>
        <v>1.9064443319437796</v>
      </c>
      <c r="S89" s="257">
        <f t="shared" si="9"/>
        <v>204.21751978342019</v>
      </c>
      <c r="T89" s="254">
        <f t="shared" si="14"/>
        <v>1.9064443319437796</v>
      </c>
      <c r="U89" s="254">
        <f t="shared" si="15"/>
        <v>1.9064443319437796</v>
      </c>
      <c r="V89" s="255">
        <f t="shared" si="18"/>
        <v>181.1334640982852</v>
      </c>
      <c r="W89" s="256">
        <f t="shared" si="19"/>
        <v>181.1334640982852</v>
      </c>
      <c r="X89" s="26"/>
      <c r="Z89" s="297"/>
    </row>
    <row r="90" spans="1:26" ht="13.5" customHeight="1">
      <c r="A90" s="1395"/>
      <c r="B90" s="238">
        <v>2046</v>
      </c>
      <c r="C90" s="247"/>
      <c r="D90" s="2113">
        <v>185.69791895288631</v>
      </c>
      <c r="F90" s="297">
        <v>2.1791510624797228</v>
      </c>
      <c r="G90" s="257">
        <f t="shared" si="20"/>
        <v>309.80302829571781</v>
      </c>
      <c r="I90" s="297">
        <v>0.27356160000000002</v>
      </c>
      <c r="J90" s="257">
        <f t="shared" si="4"/>
        <v>129.17264132051457</v>
      </c>
      <c r="K90" s="1390"/>
      <c r="L90" s="297">
        <v>0.27356160000000002</v>
      </c>
      <c r="M90" s="257">
        <f t="shared" si="8"/>
        <v>134.00510803234363</v>
      </c>
      <c r="N90" s="250" t="str">
        <f t="shared" si="17"/>
        <v>-</v>
      </c>
      <c r="O90" s="252">
        <f t="shared" si="6"/>
        <v>1.9003907232110651</v>
      </c>
      <c r="P90" s="257">
        <f t="shared" si="5"/>
        <v>239.83641205184233</v>
      </c>
      <c r="Q90" s="1392" t="str">
        <f t="shared" si="10"/>
        <v>-</v>
      </c>
      <c r="R90" s="252">
        <f t="shared" si="11"/>
        <v>1.9003907232110651</v>
      </c>
      <c r="S90" s="257">
        <f t="shared" si="9"/>
        <v>208.09845058455602</v>
      </c>
      <c r="T90" s="254">
        <f t="shared" si="14"/>
        <v>1.9003907232110651</v>
      </c>
      <c r="U90" s="254">
        <f t="shared" si="15"/>
        <v>1.9003907232110651</v>
      </c>
      <c r="V90" s="255">
        <f t="shared" si="18"/>
        <v>184.57570764663987</v>
      </c>
      <c r="W90" s="256">
        <f t="shared" si="19"/>
        <v>184.57570764663987</v>
      </c>
      <c r="X90" s="26"/>
      <c r="Z90" s="297"/>
    </row>
    <row r="91" spans="1:26" ht="13.5" customHeight="1">
      <c r="A91" s="1395"/>
      <c r="B91" s="238">
        <v>2047</v>
      </c>
      <c r="C91" s="247"/>
      <c r="D91" s="2113">
        <v>189.96897108880268</v>
      </c>
      <c r="F91" s="297">
        <v>2.1520377868463392</v>
      </c>
      <c r="G91" s="257">
        <f t="shared" si="20"/>
        <v>316.4701065294359</v>
      </c>
      <c r="I91" s="297">
        <v>0.26636072999999999</v>
      </c>
      <c r="J91" s="257">
        <f t="shared" si="4"/>
        <v>129.51670651089617</v>
      </c>
      <c r="K91" s="1390"/>
      <c r="L91" s="297">
        <v>0.26636072999999999</v>
      </c>
      <c r="M91" s="257">
        <f t="shared" si="8"/>
        <v>134.36204501633586</v>
      </c>
      <c r="N91" s="250" t="str">
        <f t="shared" si="17"/>
        <v>-</v>
      </c>
      <c r="O91" s="252">
        <f t="shared" si="6"/>
        <v>1.880667696640681</v>
      </c>
      <c r="P91" s="257">
        <f t="shared" si="5"/>
        <v>244.34693797808336</v>
      </c>
      <c r="Q91" s="1392" t="str">
        <f t="shared" si="10"/>
        <v>-</v>
      </c>
      <c r="R91" s="252">
        <f t="shared" si="11"/>
        <v>1.880667696640681</v>
      </c>
      <c r="S91" s="257">
        <f t="shared" si="9"/>
        <v>212.01209092190956</v>
      </c>
      <c r="T91" s="254">
        <f t="shared" si="14"/>
        <v>1.880667696640681</v>
      </c>
      <c r="U91" s="254">
        <f t="shared" si="15"/>
        <v>1.880667696640681</v>
      </c>
      <c r="V91" s="255">
        <f t="shared" si="18"/>
        <v>188.04696335619616</v>
      </c>
      <c r="W91" s="256">
        <f t="shared" si="19"/>
        <v>188.04696335619616</v>
      </c>
      <c r="X91" s="26"/>
      <c r="Z91" s="297"/>
    </row>
    <row r="92" spans="1:26" ht="13.5" customHeight="1">
      <c r="A92" s="1395"/>
      <c r="B92" s="238">
        <v>2048</v>
      </c>
      <c r="C92" s="247"/>
      <c r="D92" s="2113">
        <v>194.33825742384511</v>
      </c>
      <c r="F92" s="297">
        <v>2.1332531705853475</v>
      </c>
      <c r="G92" s="257">
        <f t="shared" si="20"/>
        <v>323.2212151109299</v>
      </c>
      <c r="I92" s="297">
        <v>0.25831479000000002</v>
      </c>
      <c r="J92" s="257">
        <f t="shared" si="4"/>
        <v>129.85126731933471</v>
      </c>
      <c r="K92" s="1390"/>
      <c r="L92" s="297">
        <v>0.25831479000000002</v>
      </c>
      <c r="M92" s="257">
        <f t="shared" si="8"/>
        <v>134.7091220507595</v>
      </c>
      <c r="N92" s="250" t="str">
        <f t="shared" si="17"/>
        <v>-</v>
      </c>
      <c r="O92" s="252">
        <f t="shared" si="6"/>
        <v>1.8701076160242414</v>
      </c>
      <c r="P92" s="257">
        <f t="shared" si="5"/>
        <v>248.91648867473353</v>
      </c>
      <c r="Q92" s="1392" t="str">
        <f t="shared" si="10"/>
        <v>-</v>
      </c>
      <c r="R92" s="252">
        <f t="shared" si="11"/>
        <v>1.8701076160242414</v>
      </c>
      <c r="S92" s="257">
        <f t="shared" si="9"/>
        <v>215.97694518113244</v>
      </c>
      <c r="T92" s="254">
        <f t="shared" si="14"/>
        <v>1.8701076160242414</v>
      </c>
      <c r="U92" s="254">
        <f t="shared" si="15"/>
        <v>1.8701076160242414</v>
      </c>
      <c r="V92" s="255">
        <f t="shared" si="18"/>
        <v>191.56364393962269</v>
      </c>
      <c r="W92" s="256">
        <f t="shared" si="19"/>
        <v>191.56364393962269</v>
      </c>
      <c r="X92" s="26"/>
      <c r="Z92" s="297"/>
    </row>
    <row r="93" spans="1:26" ht="13.5" customHeight="1">
      <c r="A93" s="1395"/>
      <c r="B93" s="238">
        <v>2049</v>
      </c>
      <c r="C93" s="247"/>
      <c r="D93" s="2113">
        <v>198.80803734459352</v>
      </c>
      <c r="F93" s="297">
        <v>2.1278970557458754</v>
      </c>
      <c r="G93" s="257">
        <f t="shared" si="20"/>
        <v>330.09902983082145</v>
      </c>
      <c r="I93" s="297">
        <v>0.24966257</v>
      </c>
      <c r="J93" s="257">
        <f t="shared" si="4"/>
        <v>130.17545733050173</v>
      </c>
      <c r="K93" s="1390"/>
      <c r="L93" s="297">
        <v>0.24966257</v>
      </c>
      <c r="M93" s="257">
        <f t="shared" si="8"/>
        <v>135.04544030689587</v>
      </c>
      <c r="N93" s="250" t="str">
        <f t="shared" si="17"/>
        <v>-</v>
      </c>
      <c r="O93" s="252">
        <f t="shared" si="6"/>
        <v>1.8735569154004761</v>
      </c>
      <c r="P93" s="257">
        <f t="shared" si="5"/>
        <v>253.58008076187105</v>
      </c>
      <c r="Q93" s="1392" t="str">
        <f t="shared" si="10"/>
        <v>-</v>
      </c>
      <c r="R93" s="252">
        <f t="shared" si="11"/>
        <v>1.8735569154004761</v>
      </c>
      <c r="S93" s="257">
        <f t="shared" si="9"/>
        <v>220.02339617324421</v>
      </c>
      <c r="T93" s="254">
        <f t="shared" si="14"/>
        <v>1.8735569154004761</v>
      </c>
      <c r="U93" s="254">
        <f t="shared" si="15"/>
        <v>1.8735569154004761</v>
      </c>
      <c r="V93" s="255">
        <f t="shared" si="18"/>
        <v>195.15269783804663</v>
      </c>
      <c r="W93" s="256">
        <f t="shared" si="19"/>
        <v>195.15269783804663</v>
      </c>
      <c r="X93" s="26"/>
      <c r="Z93" s="297"/>
    </row>
    <row r="94" spans="1:26" ht="13.5" customHeight="1">
      <c r="A94" s="1395"/>
      <c r="B94" s="238">
        <v>2050</v>
      </c>
      <c r="C94" s="247"/>
      <c r="D94" s="2113">
        <v>203.38062220351915</v>
      </c>
      <c r="F94" s="297">
        <v>2.1393636390262039</v>
      </c>
      <c r="G94" s="257">
        <f t="shared" si="20"/>
        <v>337.16104844780028</v>
      </c>
      <c r="I94" s="297">
        <v>0.24071171999999999</v>
      </c>
      <c r="J94" s="257">
        <f t="shared" si="4"/>
        <v>130.48880491285982</v>
      </c>
      <c r="K94" s="1390"/>
      <c r="L94" s="297">
        <v>0.24071171999999999</v>
      </c>
      <c r="M94" s="257">
        <f t="shared" si="8"/>
        <v>135.37051050904017</v>
      </c>
      <c r="N94" s="250" t="str">
        <f t="shared" si="17"/>
        <v>-</v>
      </c>
      <c r="O94" s="252">
        <f t="shared" si="6"/>
        <v>1.8940926161115756</v>
      </c>
      <c r="P94" s="257">
        <f t="shared" si="5"/>
        <v>258.3831223475114</v>
      </c>
      <c r="Q94" s="1392" t="str">
        <f t="shared" si="10"/>
        <v>-</v>
      </c>
      <c r="R94" s="252">
        <f t="shared" si="11"/>
        <v>1.8940926161115756</v>
      </c>
      <c r="S94" s="257">
        <f t="shared" si="9"/>
        <v>224.19084307387956</v>
      </c>
      <c r="T94" s="254">
        <f t="shared" si="14"/>
        <v>1.8940926161115756</v>
      </c>
      <c r="U94" s="254">
        <f t="shared" si="15"/>
        <v>1.8940926161115756</v>
      </c>
      <c r="V94" s="255">
        <f t="shared" si="18"/>
        <v>198.84907067793961</v>
      </c>
      <c r="W94" s="256">
        <f t="shared" si="19"/>
        <v>198.84907067793961</v>
      </c>
      <c r="X94" s="26"/>
      <c r="Z94" s="297"/>
    </row>
    <row r="95" spans="1:26" ht="13.5" customHeight="1">
      <c r="A95" s="1395"/>
      <c r="B95" s="238">
        <v>2051</v>
      </c>
      <c r="C95" s="247"/>
      <c r="D95" s="2113">
        <v>208.05837651420006</v>
      </c>
      <c r="F95" s="297">
        <v>2.2140926528068983</v>
      </c>
      <c r="G95" s="257">
        <f t="shared" si="20"/>
        <v>344.62610644960972</v>
      </c>
      <c r="I95" s="297">
        <v>0.23157293000000001</v>
      </c>
      <c r="J95" s="257">
        <f t="shared" si="4"/>
        <v>130.79098166171852</v>
      </c>
      <c r="K95" s="1390"/>
      <c r="L95" s="297">
        <v>0.23157293000000001</v>
      </c>
      <c r="M95" s="257">
        <f t="shared" si="8"/>
        <v>135.68399196658191</v>
      </c>
      <c r="N95" s="250" t="str">
        <f t="shared" si="17"/>
        <v>-</v>
      </c>
      <c r="O95" s="252">
        <f t="shared" si="6"/>
        <v>1.9779393506988541</v>
      </c>
      <c r="P95" s="257">
        <f t="shared" si="5"/>
        <v>263.49378379998717</v>
      </c>
      <c r="Q95" s="1392" t="str">
        <f t="shared" si="10"/>
        <v>-</v>
      </c>
      <c r="R95" s="252">
        <f t="shared" si="11"/>
        <v>1.9779393506988541</v>
      </c>
      <c r="S95" s="257">
        <f t="shared" si="9"/>
        <v>228.62520197970133</v>
      </c>
      <c r="T95" s="254">
        <f t="shared" si="14"/>
        <v>1.9779393506988541</v>
      </c>
      <c r="U95" s="254">
        <f t="shared" si="15"/>
        <v>1.9779393506988541</v>
      </c>
      <c r="V95" s="255">
        <f t="shared" si="18"/>
        <v>202.78218469537754</v>
      </c>
      <c r="W95" s="256">
        <f t="shared" si="19"/>
        <v>202.78218469537754</v>
      </c>
      <c r="X95" s="26"/>
      <c r="Z95" s="297"/>
    </row>
    <row r="96" spans="1:26" ht="13.5" customHeight="1">
      <c r="A96" s="1395"/>
      <c r="B96" s="238">
        <v>2052</v>
      </c>
      <c r="C96" s="247"/>
      <c r="D96" s="2113">
        <v>212.84371917402663</v>
      </c>
      <c r="F96" s="297">
        <v>2.2140518885940708</v>
      </c>
      <c r="G96" s="257">
        <f t="shared" si="20"/>
        <v>352.25630726804548</v>
      </c>
      <c r="I96" s="297">
        <v>0.22252230000000001</v>
      </c>
      <c r="J96" s="257">
        <f t="shared" si="4"/>
        <v>131.08202076230475</v>
      </c>
      <c r="K96" s="1390"/>
      <c r="L96" s="297">
        <v>0.22252230000000001</v>
      </c>
      <c r="M96" s="257">
        <f t="shared" si="8"/>
        <v>135.98591910623776</v>
      </c>
      <c r="N96" s="250" t="str">
        <f t="shared" si="17"/>
        <v>-</v>
      </c>
      <c r="O96" s="252">
        <f t="shared" si="6"/>
        <v>1.9871078305460754</v>
      </c>
      <c r="P96" s="257">
        <f t="shared" si="5"/>
        <v>268.7296894108789</v>
      </c>
      <c r="Q96" s="1392" t="str">
        <f t="shared" si="10"/>
        <v>-</v>
      </c>
      <c r="R96" s="252">
        <f t="shared" si="11"/>
        <v>1.9871078305460754</v>
      </c>
      <c r="S96" s="257">
        <f t="shared" si="9"/>
        <v>233.16823127084174</v>
      </c>
      <c r="T96" s="254">
        <f t="shared" si="14"/>
        <v>1.9871078305460754</v>
      </c>
      <c r="U96" s="254">
        <f t="shared" si="15"/>
        <v>1.9871078305460754</v>
      </c>
      <c r="V96" s="255">
        <f t="shared" si="18"/>
        <v>206.81168536641178</v>
      </c>
      <c r="W96" s="256">
        <f t="shared" si="19"/>
        <v>206.81168536641178</v>
      </c>
      <c r="X96" s="26"/>
      <c r="Z96" s="297"/>
    </row>
    <row r="97" spans="1:26" ht="13.5" customHeight="1">
      <c r="A97" s="1395"/>
      <c r="B97" s="238">
        <v>2053</v>
      </c>
      <c r="C97" s="247"/>
      <c r="D97" s="2113">
        <v>217.73912471502922</v>
      </c>
      <c r="F97" s="297">
        <v>2.2079299816428755</v>
      </c>
      <c r="G97" s="257">
        <f t="shared" si="20"/>
        <v>360.03387988844474</v>
      </c>
      <c r="I97" s="297">
        <v>0.21379139999999999</v>
      </c>
      <c r="J97" s="257">
        <f t="shared" si="4"/>
        <v>131.36226284964079</v>
      </c>
      <c r="K97" s="1390"/>
      <c r="L97" s="297">
        <v>0.21379139999999999</v>
      </c>
      <c r="M97" s="257">
        <f t="shared" si="8"/>
        <v>136.27664530649787</v>
      </c>
      <c r="N97" s="250" t="str">
        <f t="shared" si="17"/>
        <v>-</v>
      </c>
      <c r="O97" s="252">
        <f t="shared" si="6"/>
        <v>1.989884379968565</v>
      </c>
      <c r="P97" s="257">
        <f t="shared" si="5"/>
        <v>274.07709952480405</v>
      </c>
      <c r="Q97" s="1392" t="str">
        <f t="shared" si="10"/>
        <v>-</v>
      </c>
      <c r="R97" s="252">
        <f t="shared" si="11"/>
        <v>1.989884379968565</v>
      </c>
      <c r="S97" s="257">
        <f t="shared" si="9"/>
        <v>237.80800948394921</v>
      </c>
      <c r="T97" s="254">
        <f t="shared" si="14"/>
        <v>1.989884379968565</v>
      </c>
      <c r="U97" s="254">
        <f t="shared" si="15"/>
        <v>1.989884379968565</v>
      </c>
      <c r="V97" s="255">
        <f t="shared" si="18"/>
        <v>210.92699878946775</v>
      </c>
      <c r="W97" s="256">
        <f t="shared" si="19"/>
        <v>210.92699878946775</v>
      </c>
      <c r="X97" s="26"/>
      <c r="Z97" s="297"/>
    </row>
    <row r="98" spans="1:26" ht="13.5" customHeight="1">
      <c r="A98" s="1395"/>
      <c r="B98" s="238">
        <v>2054</v>
      </c>
      <c r="C98" s="247"/>
      <c r="D98" s="2113">
        <v>222.74712458347489</v>
      </c>
      <c r="F98" s="297">
        <v>2.1849282109451806</v>
      </c>
      <c r="G98" s="257">
        <f t="shared" si="20"/>
        <v>367.9003616990878</v>
      </c>
      <c r="I98" s="297">
        <v>0.20565591999999999</v>
      </c>
      <c r="J98" s="257">
        <f t="shared" si="4"/>
        <v>131.63241711983702</v>
      </c>
      <c r="K98" s="1390"/>
      <c r="L98" s="297">
        <v>0.20565591999999999</v>
      </c>
      <c r="M98" s="257">
        <f t="shared" si="8"/>
        <v>136.55690629514808</v>
      </c>
      <c r="N98" s="250" t="str">
        <f t="shared" si="17"/>
        <v>-</v>
      </c>
      <c r="O98" s="252">
        <f t="shared" si="6"/>
        <v>1.9752101543303535</v>
      </c>
      <c r="P98" s="257">
        <f t="shared" si="5"/>
        <v>279.49069822531209</v>
      </c>
      <c r="Q98" s="1392" t="str">
        <f t="shared" si="10"/>
        <v>-</v>
      </c>
      <c r="R98" s="252">
        <f t="shared" si="11"/>
        <v>1.9752101543303535</v>
      </c>
      <c r="S98" s="257">
        <f t="shared" si="9"/>
        <v>242.50521743508708</v>
      </c>
      <c r="T98" s="254">
        <f t="shared" si="14"/>
        <v>1.9752101543303535</v>
      </c>
      <c r="U98" s="254">
        <f t="shared" si="15"/>
        <v>1.9752101543303535</v>
      </c>
      <c r="V98" s="255">
        <f t="shared" si="18"/>
        <v>215.09325028778159</v>
      </c>
      <c r="W98" s="256">
        <f t="shared" si="19"/>
        <v>215.09325028778159</v>
      </c>
      <c r="X98" s="26"/>
      <c r="Z98" s="297"/>
    </row>
    <row r="99" spans="1:26" ht="13.5" customHeight="1">
      <c r="A99" s="1395"/>
      <c r="B99" s="238">
        <v>2055</v>
      </c>
      <c r="C99" s="247"/>
      <c r="D99" s="2113">
        <v>227.87030844889478</v>
      </c>
      <c r="F99" s="297">
        <v>2.150713988732722</v>
      </c>
      <c r="G99" s="257">
        <f t="shared" si="20"/>
        <v>375.81284624274832</v>
      </c>
      <c r="I99" s="297">
        <v>0.19830672999999999</v>
      </c>
      <c r="J99" s="257">
        <f t="shared" ref="J99:J105" si="21">J98*(100+I99)/100</f>
        <v>131.89345306184731</v>
      </c>
      <c r="K99" s="1390"/>
      <c r="L99" s="297">
        <v>0.19830672999999999</v>
      </c>
      <c r="M99" s="257">
        <f t="shared" si="8"/>
        <v>136.82770783061113</v>
      </c>
      <c r="N99" s="250" t="str">
        <f t="shared" ref="N99:N105" si="22">IF(H99="","-",1000*E99/H99)</f>
        <v>-</v>
      </c>
      <c r="O99" s="252">
        <f t="shared" si="6"/>
        <v>1.9485431664965969</v>
      </c>
      <c r="P99" s="257">
        <f t="shared" ref="P99:P105" si="23">P98*(100+O99)/100</f>
        <v>284.93669512657505</v>
      </c>
      <c r="Q99" s="1392" t="str">
        <f t="shared" si="10"/>
        <v>-</v>
      </c>
      <c r="R99" s="252">
        <f t="shared" si="11"/>
        <v>1.9485431664965969</v>
      </c>
      <c r="S99" s="257">
        <f t="shared" si="9"/>
        <v>247.23053627781619</v>
      </c>
      <c r="T99" s="254">
        <f t="shared" si="14"/>
        <v>1.9485431664965969</v>
      </c>
      <c r="U99" s="254">
        <f t="shared" si="15"/>
        <v>1.9485431664965969</v>
      </c>
      <c r="V99" s="255">
        <f t="shared" si="18"/>
        <v>219.28443511785957</v>
      </c>
      <c r="W99" s="256">
        <f t="shared" si="19"/>
        <v>219.28443511785957</v>
      </c>
      <c r="X99" s="26"/>
      <c r="Z99" s="297"/>
    </row>
    <row r="100" spans="1:26" ht="13.5" customHeight="1">
      <c r="A100" s="1395"/>
      <c r="B100" s="238">
        <v>2056</v>
      </c>
      <c r="C100" s="247"/>
      <c r="D100" s="2113">
        <v>233.11132554321932</v>
      </c>
      <c r="F100" s="297">
        <v>2.1570723791289881</v>
      </c>
      <c r="G100" s="257">
        <f t="shared" si="20"/>
        <v>383.91940134626913</v>
      </c>
      <c r="I100" s="297">
        <v>0.19190144000000001</v>
      </c>
      <c r="J100" s="257">
        <f t="shared" si="21"/>
        <v>132.14655849753871</v>
      </c>
      <c r="K100" s="1390"/>
      <c r="L100" s="297">
        <v>0.19190144000000001</v>
      </c>
      <c r="M100" s="257">
        <f t="shared" si="8"/>
        <v>137.09028217225708</v>
      </c>
      <c r="N100" s="250" t="str">
        <f t="shared" si="22"/>
        <v>-</v>
      </c>
      <c r="O100" s="252">
        <f t="shared" ref="O100:O144" si="24">IF(N100="-",100*((100+$F100)/(100+$I100)-1),(N100/N99-1)*100)</f>
        <v>1.9614069709075643</v>
      </c>
      <c r="P100" s="257">
        <f t="shared" si="23"/>
        <v>290.52546332746135</v>
      </c>
      <c r="Q100" s="1392" t="str">
        <f t="shared" si="10"/>
        <v>-</v>
      </c>
      <c r="R100" s="252">
        <f t="shared" si="11"/>
        <v>1.9614069709075643</v>
      </c>
      <c r="S100" s="257">
        <f t="shared" si="9"/>
        <v>252.0797332505814</v>
      </c>
      <c r="T100" s="254">
        <f t="shared" si="14"/>
        <v>1.9614069709075643</v>
      </c>
      <c r="U100" s="254">
        <f t="shared" si="15"/>
        <v>1.9614069709075643</v>
      </c>
      <c r="V100" s="255">
        <f t="shared" si="18"/>
        <v>223.58549531437654</v>
      </c>
      <c r="W100" s="256">
        <f t="shared" si="19"/>
        <v>223.58549531437654</v>
      </c>
      <c r="X100" s="26"/>
      <c r="Z100" s="297"/>
    </row>
    <row r="101" spans="1:26" ht="13.5" customHeight="1">
      <c r="A101" s="1395"/>
      <c r="B101" s="238">
        <v>2057</v>
      </c>
      <c r="C101" s="247"/>
      <c r="D101" s="2113">
        <v>238.47288603071334</v>
      </c>
      <c r="F101" s="297">
        <v>2.1548927751718683</v>
      </c>
      <c r="G101" s="257">
        <f t="shared" si="20"/>
        <v>392.19245278836303</v>
      </c>
      <c r="I101" s="297">
        <v>0.18665882</v>
      </c>
      <c r="J101" s="257">
        <f t="shared" si="21"/>
        <v>132.39322170430083</v>
      </c>
      <c r="K101" s="1390"/>
      <c r="L101" s="297">
        <v>0.18665882</v>
      </c>
      <c r="M101" s="257">
        <f t="shared" si="8"/>
        <v>137.34617327529449</v>
      </c>
      <c r="N101" s="250" t="str">
        <f t="shared" si="22"/>
        <v>-</v>
      </c>
      <c r="O101" s="252">
        <f t="shared" si="24"/>
        <v>1.964566917745092</v>
      </c>
      <c r="P101" s="257">
        <f t="shared" si="23"/>
        <v>296.23303046761828</v>
      </c>
      <c r="Q101" s="1392" t="str">
        <f t="shared" si="10"/>
        <v>-</v>
      </c>
      <c r="R101" s="252">
        <f t="shared" si="11"/>
        <v>1.964566917745092</v>
      </c>
      <c r="S101" s="257">
        <f t="shared" si="9"/>
        <v>257.03200829636239</v>
      </c>
      <c r="T101" s="254">
        <f t="shared" si="14"/>
        <v>1.964566917745092</v>
      </c>
      <c r="U101" s="254">
        <f t="shared" si="15"/>
        <v>1.964566917745092</v>
      </c>
      <c r="V101" s="255">
        <f t="shared" si="18"/>
        <v>227.97798198819928</v>
      </c>
      <c r="W101" s="256">
        <f t="shared" si="19"/>
        <v>227.97798198819928</v>
      </c>
      <c r="X101" s="26"/>
      <c r="Z101" s="297"/>
    </row>
    <row r="102" spans="1:26" ht="13.5" customHeight="1">
      <c r="A102" s="1395"/>
      <c r="B102" s="238">
        <v>2058</v>
      </c>
      <c r="C102" s="247"/>
      <c r="D102" s="2113">
        <v>243.95776240941973</v>
      </c>
      <c r="F102" s="297">
        <v>2.1587640196319979</v>
      </c>
      <c r="G102" s="257">
        <f t="shared" si="20"/>
        <v>400.65896234687045</v>
      </c>
      <c r="I102" s="297">
        <v>0.18262726000000001</v>
      </c>
      <c r="J102" s="257">
        <f t="shared" si="21"/>
        <v>132.63500781752512</v>
      </c>
      <c r="K102" s="1390"/>
      <c r="L102" s="297">
        <v>0.18262726000000001</v>
      </c>
      <c r="M102" s="257">
        <f t="shared" si="8"/>
        <v>137.59700482826202</v>
      </c>
      <c r="N102" s="250" t="str">
        <f t="shared" si="22"/>
        <v>-</v>
      </c>
      <c r="O102" s="252">
        <f t="shared" si="24"/>
        <v>1.9725343741519241</v>
      </c>
      <c r="P102" s="257">
        <f t="shared" si="23"/>
        <v>302.07632882118395</v>
      </c>
      <c r="Q102" s="1392" t="str">
        <f t="shared" si="10"/>
        <v>-</v>
      </c>
      <c r="R102" s="252">
        <f t="shared" si="11"/>
        <v>1.9725343741519241</v>
      </c>
      <c r="S102" s="257">
        <f t="shared" si="9"/>
        <v>262.10205301258117</v>
      </c>
      <c r="T102" s="254">
        <f t="shared" si="14"/>
        <v>1.9725343741519241</v>
      </c>
      <c r="U102" s="254">
        <f t="shared" si="15"/>
        <v>1.9725343741519241</v>
      </c>
      <c r="V102" s="255">
        <f t="shared" si="18"/>
        <v>232.47492604841437</v>
      </c>
      <c r="W102" s="256">
        <f t="shared" si="19"/>
        <v>232.47492604841437</v>
      </c>
      <c r="X102" s="26"/>
      <c r="Z102" s="297"/>
    </row>
    <row r="103" spans="1:26" ht="13.5" customHeight="1">
      <c r="A103" s="1395"/>
      <c r="B103" s="238">
        <v>2059</v>
      </c>
      <c r="C103" s="247"/>
      <c r="D103" s="2113">
        <v>249.56879094483637</v>
      </c>
      <c r="F103" s="297">
        <v>2.1553396773533073</v>
      </c>
      <c r="G103" s="257">
        <f t="shared" si="20"/>
        <v>409.29452393320463</v>
      </c>
      <c r="I103" s="297">
        <v>0.17976306</v>
      </c>
      <c r="J103" s="257">
        <f t="shared" si="21"/>
        <v>132.87343656620914</v>
      </c>
      <c r="K103" s="1390"/>
      <c r="L103" s="297">
        <v>0.17976306</v>
      </c>
      <c r="M103" s="257">
        <f t="shared" si="8"/>
        <v>137.84435341460966</v>
      </c>
      <c r="N103" s="250" t="str">
        <f t="shared" si="22"/>
        <v>-</v>
      </c>
      <c r="O103" s="252">
        <f t="shared" si="24"/>
        <v>1.9720316329457699</v>
      </c>
      <c r="P103" s="257">
        <f t="shared" si="23"/>
        <v>308.03336958117899</v>
      </c>
      <c r="Q103" s="1392" t="str">
        <f t="shared" si="10"/>
        <v>-</v>
      </c>
      <c r="R103" s="252">
        <f t="shared" si="11"/>
        <v>1.9720316329457699</v>
      </c>
      <c r="S103" s="257">
        <f t="shared" si="9"/>
        <v>267.27078840858957</v>
      </c>
      <c r="T103" s="254">
        <f t="shared" si="14"/>
        <v>1.9720316329457699</v>
      </c>
      <c r="U103" s="254">
        <f t="shared" si="15"/>
        <v>1.9720316329457699</v>
      </c>
      <c r="V103" s="255">
        <f t="shared" si="18"/>
        <v>237.0594051287564</v>
      </c>
      <c r="W103" s="256">
        <f t="shared" si="19"/>
        <v>237.0594051287564</v>
      </c>
      <c r="X103" s="26"/>
      <c r="Z103" s="297"/>
    </row>
    <row r="104" spans="1:26" ht="13.5" customHeight="1">
      <c r="A104" s="1395"/>
      <c r="B104" s="238">
        <v>2060</v>
      </c>
      <c r="C104" s="247"/>
      <c r="D104" s="2113">
        <v>255.30887313656757</v>
      </c>
      <c r="F104" s="297">
        <v>2.1665787428213124</v>
      </c>
      <c r="G104" s="257">
        <f t="shared" si="20"/>
        <v>418.16221208427311</v>
      </c>
      <c r="I104" s="297">
        <v>0.17820342</v>
      </c>
      <c r="J104" s="257">
        <f t="shared" si="21"/>
        <v>133.11022157444165</v>
      </c>
      <c r="K104" s="1390"/>
      <c r="L104" s="297">
        <v>0.17820342</v>
      </c>
      <c r="M104" s="257">
        <f t="shared" si="8"/>
        <v>138.08999676667136</v>
      </c>
      <c r="N104" s="250" t="str">
        <f t="shared" si="22"/>
        <v>-</v>
      </c>
      <c r="O104" s="252">
        <f t="shared" si="24"/>
        <v>1.9848382731371128</v>
      </c>
      <c r="P104" s="257">
        <f t="shared" si="23"/>
        <v>314.14733379466014</v>
      </c>
      <c r="Q104" s="1392" t="str">
        <f t="shared" si="10"/>
        <v>-</v>
      </c>
      <c r="R104" s="252">
        <f t="shared" si="11"/>
        <v>1.9848382731371128</v>
      </c>
      <c r="S104" s="257">
        <f t="shared" si="9"/>
        <v>272.57568130983856</v>
      </c>
      <c r="T104" s="254">
        <f t="shared" si="14"/>
        <v>1.9848382731371128</v>
      </c>
      <c r="U104" s="254">
        <f t="shared" si="15"/>
        <v>1.9848382731371128</v>
      </c>
      <c r="V104" s="255">
        <f t="shared" si="18"/>
        <v>241.76465093182313</v>
      </c>
      <c r="W104" s="256">
        <f t="shared" si="19"/>
        <v>241.76465093182313</v>
      </c>
      <c r="X104" s="26"/>
      <c r="Z104" s="297"/>
    </row>
    <row r="105" spans="1:26" ht="13.5" customHeight="1">
      <c r="A105" s="1395"/>
      <c r="B105" s="238">
        <v>2061</v>
      </c>
      <c r="C105" s="247"/>
      <c r="D105" s="2113">
        <v>261.18097721870862</v>
      </c>
      <c r="F105" s="297">
        <v>2.189901554630147</v>
      </c>
      <c r="G105" s="257">
        <f t="shared" si="20"/>
        <v>427.31955286758244</v>
      </c>
      <c r="I105" s="297">
        <v>0.17786410999999999</v>
      </c>
      <c r="J105" s="257">
        <f t="shared" si="21"/>
        <v>133.34697688536406</v>
      </c>
      <c r="K105" s="1390"/>
      <c r="L105" s="297">
        <v>0.17786410999999999</v>
      </c>
      <c r="M105" s="257">
        <f>M104*(100+L105)/100</f>
        <v>138.33560931041944</v>
      </c>
      <c r="N105" s="250" t="str">
        <f t="shared" si="22"/>
        <v>-</v>
      </c>
      <c r="O105" s="252">
        <f t="shared" si="24"/>
        <v>2.0084651060446213</v>
      </c>
      <c r="P105" s="257">
        <f t="shared" si="23"/>
        <v>320.45687337549543</v>
      </c>
      <c r="Q105" s="1392" t="str">
        <f t="shared" si="10"/>
        <v>-</v>
      </c>
      <c r="R105" s="252">
        <f t="shared" si="11"/>
        <v>2.0084651060446213</v>
      </c>
      <c r="S105" s="257">
        <f>S104*(100+R105)/100</f>
        <v>278.05026875651004</v>
      </c>
      <c r="T105" s="254">
        <f t="shared" si="14"/>
        <v>2.0084651060446213</v>
      </c>
      <c r="U105" s="254">
        <f t="shared" si="15"/>
        <v>2.0084651060446213</v>
      </c>
      <c r="V105" s="255">
        <f t="shared" si="18"/>
        <v>246.62040958453937</v>
      </c>
      <c r="W105" s="256">
        <f t="shared" si="19"/>
        <v>246.62040958453937</v>
      </c>
      <c r="X105" s="26"/>
    </row>
    <row r="106" spans="1:26" ht="13.5" customHeight="1">
      <c r="A106" s="1395"/>
      <c r="B106" s="238">
        <v>2062</v>
      </c>
      <c r="C106" s="247"/>
      <c r="D106" s="2113">
        <v>267.18813969473888</v>
      </c>
      <c r="F106" s="297">
        <v>2.2046058559892945</v>
      </c>
      <c r="G106" s="257">
        <f t="shared" ref="G106:G144" si="25">G105*(100+F106)/100</f>
        <v>436.74026475388848</v>
      </c>
      <c r="I106" s="297">
        <v>0.17869584999999999</v>
      </c>
      <c r="J106" s="257">
        <f t="shared" ref="J106:J144" si="26">J105*(100+I106)/100</f>
        <v>133.58526239915867</v>
      </c>
      <c r="K106" s="1390"/>
      <c r="L106" s="297">
        <v>0.17869584999999999</v>
      </c>
      <c r="M106" s="257">
        <f t="shared" ref="M106:M144" si="27">M105*(100+L106)/100</f>
        <v>138.58280930332938</v>
      </c>
      <c r="N106" s="250" t="str">
        <f t="shared" ref="N106:N144" si="28">IF(H106="","-",1000*E106/H106)</f>
        <v>-</v>
      </c>
      <c r="O106" s="252">
        <f t="shared" si="24"/>
        <v>2.0222962465220595</v>
      </c>
      <c r="P106" s="257">
        <f t="shared" ref="P106:P144" si="29">P105*(100+O106)/100</f>
        <v>326.93746069749</v>
      </c>
      <c r="Q106" s="1392" t="str">
        <f t="shared" ref="Q106:Q144" si="30">IF(OR(E106="",E106=0,K106="",K106=0),"-",E106*1000000/(K106*1000))</f>
        <v>-</v>
      </c>
      <c r="R106" s="252">
        <f t="shared" si="11"/>
        <v>2.0222962465220595</v>
      </c>
      <c r="S106" s="257">
        <f t="shared" ref="S106:S144" si="31">S105*(100+R106)/100</f>
        <v>283.67326890501744</v>
      </c>
      <c r="T106" s="254">
        <f t="shared" si="14"/>
        <v>2.0222962465220595</v>
      </c>
      <c r="U106" s="254">
        <f t="shared" si="15"/>
        <v>2.0222962465220595</v>
      </c>
      <c r="V106" s="255">
        <f t="shared" ref="V106:V144" si="32">V105*((100+T106)/100)</f>
        <v>251.60780487072483</v>
      </c>
      <c r="W106" s="256">
        <f t="shared" ref="W106:W144" si="33">W105*((100+U106)/100)</f>
        <v>251.60780487072483</v>
      </c>
      <c r="X106" s="26"/>
    </row>
    <row r="107" spans="1:26" ht="13.5" customHeight="1">
      <c r="A107" s="1395"/>
      <c r="B107" s="238">
        <v>2063</v>
      </c>
      <c r="C107" s="247"/>
      <c r="D107" s="2113">
        <v>273.33346690771788</v>
      </c>
      <c r="F107" s="297">
        <v>2.2224098144794979</v>
      </c>
      <c r="G107" s="257">
        <f t="shared" si="25"/>
        <v>446.44642326156264</v>
      </c>
      <c r="I107" s="297">
        <v>0.18056607999999999</v>
      </c>
      <c r="J107" s="257">
        <f t="shared" si="26"/>
        <v>133.82647207093055</v>
      </c>
      <c r="K107" s="1390"/>
      <c r="L107" s="297">
        <v>0.18056607999999999</v>
      </c>
      <c r="M107" s="257">
        <f t="shared" si="27"/>
        <v>138.83304284964231</v>
      </c>
      <c r="N107" s="250" t="str">
        <f t="shared" si="28"/>
        <v>-</v>
      </c>
      <c r="O107" s="252">
        <f t="shared" si="24"/>
        <v>2.038163502538981</v>
      </c>
      <c r="P107" s="257">
        <f t="shared" si="29"/>
        <v>333.60098069755395</v>
      </c>
      <c r="Q107" s="1392" t="str">
        <f t="shared" si="30"/>
        <v>-</v>
      </c>
      <c r="R107" s="252">
        <f t="shared" ref="R107:R144" si="34">100*((100+$F107)/(100+$L107)-1)</f>
        <v>2.038163502538981</v>
      </c>
      <c r="S107" s="257">
        <f t="shared" si="31"/>
        <v>289.45499393829874</v>
      </c>
      <c r="T107" s="254">
        <f t="shared" si="14"/>
        <v>2.038163502538981</v>
      </c>
      <c r="U107" s="254">
        <f t="shared" si="15"/>
        <v>2.038163502538981</v>
      </c>
      <c r="V107" s="255">
        <f t="shared" si="32"/>
        <v>256.73598331913945</v>
      </c>
      <c r="W107" s="256">
        <f t="shared" si="33"/>
        <v>256.73598331913945</v>
      </c>
      <c r="X107" s="26"/>
    </row>
    <row r="108" spans="1:26" ht="13.5" customHeight="1">
      <c r="A108" s="1395"/>
      <c r="B108" s="238">
        <v>2064</v>
      </c>
      <c r="C108" s="247"/>
      <c r="D108" s="2113">
        <v>279.62013664659537</v>
      </c>
      <c r="F108" s="297">
        <v>2.2514545344155312</v>
      </c>
      <c r="G108" s="257">
        <f t="shared" si="25"/>
        <v>456.49796150182107</v>
      </c>
      <c r="I108" s="297">
        <v>0.18337589999999998</v>
      </c>
      <c r="J108" s="257">
        <f t="shared" si="26"/>
        <v>134.07187756852886</v>
      </c>
      <c r="K108" s="1390"/>
      <c r="L108" s="297">
        <v>0.18337589999999998</v>
      </c>
      <c r="M108" s="257">
        <f t="shared" si="27"/>
        <v>139.08762919146523</v>
      </c>
      <c r="N108" s="250" t="str">
        <f t="shared" si="28"/>
        <v>-</v>
      </c>
      <c r="O108" s="252">
        <f t="shared" si="24"/>
        <v>2.0642932181481166</v>
      </c>
      <c r="P108" s="257">
        <f t="shared" si="29"/>
        <v>340.48748311776916</v>
      </c>
      <c r="Q108" s="1392" t="str">
        <f t="shared" si="30"/>
        <v>-</v>
      </c>
      <c r="R108" s="252">
        <f t="shared" si="34"/>
        <v>2.0642932181481166</v>
      </c>
      <c r="S108" s="257">
        <f t="shared" si="31"/>
        <v>295.4301937477581</v>
      </c>
      <c r="T108" s="254">
        <f t="shared" si="14"/>
        <v>2.0642932181481166</v>
      </c>
      <c r="U108" s="254">
        <f t="shared" si="15"/>
        <v>2.0642932181481166</v>
      </c>
      <c r="V108" s="255">
        <f t="shared" si="32"/>
        <v>262.03576681134234</v>
      </c>
      <c r="W108" s="256">
        <f t="shared" si="33"/>
        <v>262.03576681134234</v>
      </c>
      <c r="X108" s="26"/>
    </row>
    <row r="109" spans="1:26" ht="13.5" customHeight="1">
      <c r="A109" s="1395"/>
      <c r="B109" s="238">
        <v>2065</v>
      </c>
      <c r="C109" s="247"/>
      <c r="D109" s="2113">
        <v>286.05139978946704</v>
      </c>
      <c r="F109" s="297">
        <v>2.3240183285850424</v>
      </c>
      <c r="G109" s="257">
        <f t="shared" si="25"/>
        <v>467.10705779674049</v>
      </c>
      <c r="I109" s="297">
        <v>0.18695934</v>
      </c>
      <c r="J109" s="257">
        <f t="shared" si="26"/>
        <v>134.3225374659566</v>
      </c>
      <c r="K109" s="1390"/>
      <c r="L109" s="297">
        <v>0.18695934</v>
      </c>
      <c r="M109" s="257">
        <f t="shared" si="27"/>
        <v>139.34766650502326</v>
      </c>
      <c r="N109" s="250" t="str">
        <f t="shared" si="28"/>
        <v>-</v>
      </c>
      <c r="O109" s="252">
        <f t="shared" si="24"/>
        <v>2.1330710130972319</v>
      </c>
      <c r="P109" s="257">
        <f t="shared" si="29"/>
        <v>347.75032292337863</v>
      </c>
      <c r="Q109" s="1392" t="str">
        <f t="shared" si="30"/>
        <v>-</v>
      </c>
      <c r="R109" s="252">
        <f t="shared" si="34"/>
        <v>2.1330710130972319</v>
      </c>
      <c r="S109" s="257">
        <f t="shared" si="31"/>
        <v>301.73192957452852</v>
      </c>
      <c r="T109" s="254">
        <f t="shared" si="14"/>
        <v>2.1330710130972319</v>
      </c>
      <c r="U109" s="254">
        <f t="shared" si="15"/>
        <v>2.1330710130972319</v>
      </c>
      <c r="V109" s="255">
        <f t="shared" si="32"/>
        <v>267.62517579714216</v>
      </c>
      <c r="W109" s="256">
        <f t="shared" si="33"/>
        <v>267.62517579714216</v>
      </c>
      <c r="X109" s="26"/>
    </row>
    <row r="110" spans="1:26" ht="13.5" customHeight="1">
      <c r="A110" s="1395"/>
      <c r="B110" s="238">
        <v>2066</v>
      </c>
      <c r="C110" s="247"/>
      <c r="D110" s="2113">
        <v>292.63058198462477</v>
      </c>
      <c r="F110" s="297">
        <v>2.3403572406861528</v>
      </c>
      <c r="G110" s="257">
        <f t="shared" si="25"/>
        <v>478.03903164564258</v>
      </c>
      <c r="I110" s="297">
        <v>0.19110224000000001</v>
      </c>
      <c r="J110" s="257">
        <f t="shared" si="26"/>
        <v>134.57923084387889</v>
      </c>
      <c r="K110" s="1390"/>
      <c r="L110" s="297">
        <v>0.19110224000000001</v>
      </c>
      <c r="M110" s="257">
        <f t="shared" si="27"/>
        <v>139.61396301710209</v>
      </c>
      <c r="N110" s="250" t="str">
        <f t="shared" si="28"/>
        <v>-</v>
      </c>
      <c r="O110" s="252">
        <f t="shared" si="24"/>
        <v>2.1451555603588135</v>
      </c>
      <c r="P110" s="257">
        <f t="shared" si="29"/>
        <v>355.21010831173521</v>
      </c>
      <c r="Q110" s="1392" t="str">
        <f t="shared" si="30"/>
        <v>-</v>
      </c>
      <c r="R110" s="252">
        <f t="shared" si="34"/>
        <v>2.1451555603588135</v>
      </c>
      <c r="S110" s="257">
        <f t="shared" si="31"/>
        <v>308.20454883917444</v>
      </c>
      <c r="T110" s="254">
        <f t="shared" si="14"/>
        <v>2.1451555603588135</v>
      </c>
      <c r="U110" s="254">
        <f t="shared" si="15"/>
        <v>2.1451555603588135</v>
      </c>
      <c r="V110" s="255">
        <f t="shared" si="32"/>
        <v>273.3661521366746</v>
      </c>
      <c r="W110" s="256">
        <f t="shared" si="33"/>
        <v>273.3661521366746</v>
      </c>
      <c r="X110" s="26"/>
    </row>
    <row r="111" spans="1:26" ht="13.5" customHeight="1">
      <c r="A111" s="1395"/>
      <c r="B111" s="238">
        <v>2067</v>
      </c>
      <c r="C111" s="247"/>
      <c r="D111" s="2113">
        <v>299.3610853702711</v>
      </c>
      <c r="F111" s="297">
        <v>2.3370017624862793</v>
      </c>
      <c r="G111" s="257">
        <f t="shared" si="25"/>
        <v>489.2108122405736</v>
      </c>
      <c r="I111" s="297">
        <v>0.19564538000000001</v>
      </c>
      <c r="J111" s="257">
        <f t="shared" si="26"/>
        <v>134.84252889146447</v>
      </c>
      <c r="K111" s="1390"/>
      <c r="L111" s="297">
        <v>0.19564538000000001</v>
      </c>
      <c r="M111" s="257">
        <f t="shared" si="27"/>
        <v>139.88711128557995</v>
      </c>
      <c r="N111" s="250" t="str">
        <f t="shared" si="28"/>
        <v>-</v>
      </c>
      <c r="O111" s="252">
        <f t="shared" si="24"/>
        <v>2.1371750981442394</v>
      </c>
      <c r="P111" s="257">
        <f t="shared" si="29"/>
        <v>362.80157029266485</v>
      </c>
      <c r="Q111" s="1392" t="str">
        <f t="shared" si="30"/>
        <v>-</v>
      </c>
      <c r="R111" s="252">
        <f t="shared" si="34"/>
        <v>2.1371750981442394</v>
      </c>
      <c r="S111" s="257">
        <f t="shared" si="31"/>
        <v>314.79141970831307</v>
      </c>
      <c r="T111" s="254">
        <f t="shared" si="14"/>
        <v>2.1371750981442394</v>
      </c>
      <c r="U111" s="254">
        <f t="shared" si="15"/>
        <v>2.1371750981442394</v>
      </c>
      <c r="V111" s="255">
        <f t="shared" si="32"/>
        <v>279.20846546689472</v>
      </c>
      <c r="W111" s="256">
        <f t="shared" si="33"/>
        <v>279.20846546689472</v>
      </c>
      <c r="X111" s="26"/>
    </row>
    <row r="112" spans="1:26" ht="13.5" customHeight="1">
      <c r="A112" s="1395"/>
      <c r="B112" s="238">
        <v>2068</v>
      </c>
      <c r="C112" s="247"/>
      <c r="D112" s="2113">
        <v>306.2463903337873</v>
      </c>
      <c r="F112" s="297">
        <v>2.3293400578637158</v>
      </c>
      <c r="G112" s="257">
        <f t="shared" si="25"/>
        <v>500.60619565749374</v>
      </c>
      <c r="I112" s="297">
        <v>0.20032854000000003</v>
      </c>
      <c r="J112" s="257">
        <f t="shared" si="26"/>
        <v>135.11265696089183</v>
      </c>
      <c r="K112" s="1390"/>
      <c r="L112" s="297">
        <v>0.20032854000000003</v>
      </c>
      <c r="M112" s="257">
        <f t="shared" si="27"/>
        <v>140.16734509326653</v>
      </c>
      <c r="N112" s="250" t="str">
        <f t="shared" si="28"/>
        <v>-</v>
      </c>
      <c r="O112" s="252">
        <f t="shared" si="24"/>
        <v>2.124755027139269</v>
      </c>
      <c r="P112" s="257">
        <f t="shared" si="29"/>
        <v>370.51021489599844</v>
      </c>
      <c r="Q112" s="1392" t="str">
        <f t="shared" si="30"/>
        <v>-</v>
      </c>
      <c r="R112" s="252">
        <f t="shared" si="34"/>
        <v>2.124755027139269</v>
      </c>
      <c r="S112" s="257">
        <f t="shared" si="31"/>
        <v>321.47996622356857</v>
      </c>
      <c r="T112" s="254">
        <f t="shared" ref="T112:T144" si="35">100*((1+$O112/100)^$B$15-1)</f>
        <v>2.124755027139269</v>
      </c>
      <c r="U112" s="254">
        <f t="shared" ref="U112:U144" si="36">100*((1+$O112/100)^$B$16-1)</f>
        <v>2.124755027139269</v>
      </c>
      <c r="V112" s="255">
        <f t="shared" si="32"/>
        <v>285.14096137310099</v>
      </c>
      <c r="W112" s="256">
        <f t="shared" si="33"/>
        <v>285.14096137310099</v>
      </c>
      <c r="X112" s="26"/>
    </row>
    <row r="113" spans="1:24" ht="13.5" customHeight="1">
      <c r="A113" s="1395"/>
      <c r="B113" s="238">
        <v>2069</v>
      </c>
      <c r="C113" s="247"/>
      <c r="D113" s="2113">
        <v>313.29005731146441</v>
      </c>
      <c r="F113" s="297">
        <v>2.3293400578637158</v>
      </c>
      <c r="G113" s="257">
        <f t="shared" si="25"/>
        <v>512.26701630509137</v>
      </c>
      <c r="I113" s="297">
        <v>0.20501022999999999</v>
      </c>
      <c r="J113" s="257">
        <f t="shared" si="26"/>
        <v>135.38965172968648</v>
      </c>
      <c r="K113" s="1390"/>
      <c r="L113" s="297">
        <v>0.20501022999999999</v>
      </c>
      <c r="M113" s="257">
        <f t="shared" si="27"/>
        <v>140.45470248982713</v>
      </c>
      <c r="N113" s="250" t="str">
        <f t="shared" si="28"/>
        <v>-</v>
      </c>
      <c r="O113" s="252">
        <f t="shared" si="24"/>
        <v>2.1199836445181308</v>
      </c>
      <c r="P113" s="257">
        <f t="shared" si="29"/>
        <v>378.36497085306257</v>
      </c>
      <c r="Q113" s="1392" t="str">
        <f t="shared" si="30"/>
        <v>-</v>
      </c>
      <c r="R113" s="252">
        <f t="shared" si="34"/>
        <v>2.1199836445181308</v>
      </c>
      <c r="S113" s="257">
        <f t="shared" si="31"/>
        <v>328.29528892791063</v>
      </c>
      <c r="T113" s="254">
        <f t="shared" si="35"/>
        <v>2.1199836445181308</v>
      </c>
      <c r="U113" s="254">
        <f t="shared" si="36"/>
        <v>2.1199836445181308</v>
      </c>
      <c r="V113" s="255">
        <f t="shared" si="32"/>
        <v>291.18590311803251</v>
      </c>
      <c r="W113" s="256">
        <f t="shared" si="33"/>
        <v>291.18590311803251</v>
      </c>
      <c r="X113" s="26"/>
    </row>
    <row r="114" spans="1:24" ht="13.5" customHeight="1">
      <c r="A114" s="1395"/>
      <c r="B114" s="238">
        <v>2070</v>
      </c>
      <c r="C114" s="247"/>
      <c r="D114" s="2113">
        <v>320.49572862962805</v>
      </c>
      <c r="F114" s="297">
        <v>2.3293400578637158</v>
      </c>
      <c r="G114" s="257">
        <f t="shared" si="25"/>
        <v>524.19945711910918</v>
      </c>
      <c r="I114" s="297">
        <v>0.20944327000000001</v>
      </c>
      <c r="J114" s="257">
        <f t="shared" si="26"/>
        <v>135.67321624351075</v>
      </c>
      <c r="K114" s="1390"/>
      <c r="L114" s="297">
        <v>0.20944327000000001</v>
      </c>
      <c r="M114" s="257">
        <f t="shared" si="27"/>
        <v>140.74887541159057</v>
      </c>
      <c r="N114" s="250" t="str">
        <f t="shared" si="28"/>
        <v>-</v>
      </c>
      <c r="O114" s="252">
        <f t="shared" si="24"/>
        <v>2.1154660865163821</v>
      </c>
      <c r="P114" s="257">
        <f t="shared" si="29"/>
        <v>386.36915349471667</v>
      </c>
      <c r="Q114" s="1392" t="str">
        <f t="shared" si="30"/>
        <v>-</v>
      </c>
      <c r="R114" s="252">
        <f t="shared" si="34"/>
        <v>2.1154660865163821</v>
      </c>
      <c r="S114" s="257">
        <f t="shared" si="31"/>
        <v>335.24026442881154</v>
      </c>
      <c r="T114" s="254">
        <f t="shared" si="35"/>
        <v>2.1154660865163821</v>
      </c>
      <c r="U114" s="254">
        <f t="shared" si="36"/>
        <v>2.1154660865163821</v>
      </c>
      <c r="V114" s="255">
        <f t="shared" si="32"/>
        <v>297.34584214721093</v>
      </c>
      <c r="W114" s="256">
        <f t="shared" si="33"/>
        <v>297.34584214721093</v>
      </c>
      <c r="X114" s="26"/>
    </row>
    <row r="115" spans="1:24" ht="13.5" customHeight="1">
      <c r="A115" s="1395"/>
      <c r="B115" s="238">
        <v>2071</v>
      </c>
      <c r="C115" s="247"/>
      <c r="D115" s="2113">
        <v>327.86713038810944</v>
      </c>
      <c r="F115" s="297">
        <v>2.3293400578637158</v>
      </c>
      <c r="G115" s="257">
        <f t="shared" si="25"/>
        <v>536.40984505688868</v>
      </c>
      <c r="I115" s="297">
        <v>0.21345001000000002</v>
      </c>
      <c r="J115" s="257">
        <f t="shared" si="26"/>
        <v>135.96281073714985</v>
      </c>
      <c r="K115" s="1390"/>
      <c r="L115" s="297">
        <v>0.21345001000000002</v>
      </c>
      <c r="M115" s="257">
        <f t="shared" si="27"/>
        <v>141.04930390023151</v>
      </c>
      <c r="N115" s="250" t="str">
        <f t="shared" si="28"/>
        <v>-</v>
      </c>
      <c r="O115" s="252">
        <f t="shared" si="24"/>
        <v>2.111383299998737</v>
      </c>
      <c r="P115" s="257">
        <f t="shared" si="29"/>
        <v>394.52688727795061</v>
      </c>
      <c r="Q115" s="1392" t="str">
        <f t="shared" si="30"/>
        <v>-</v>
      </c>
      <c r="R115" s="252">
        <f t="shared" si="34"/>
        <v>2.111383299998737</v>
      </c>
      <c r="S115" s="257">
        <f t="shared" si="31"/>
        <v>342.31847138683304</v>
      </c>
      <c r="T115" s="254">
        <f t="shared" si="35"/>
        <v>2.111383299998737</v>
      </c>
      <c r="U115" s="254">
        <f t="shared" si="36"/>
        <v>2.111383299998737</v>
      </c>
      <c r="V115" s="255">
        <f t="shared" si="32"/>
        <v>303.62395260154773</v>
      </c>
      <c r="W115" s="256">
        <f t="shared" si="33"/>
        <v>303.62395260154773</v>
      </c>
      <c r="X115" s="26"/>
    </row>
    <row r="116" spans="1:24" ht="13.5" customHeight="1">
      <c r="A116" s="1395"/>
      <c r="B116" s="238">
        <v>2072</v>
      </c>
      <c r="C116" s="247"/>
      <c r="D116" s="2113">
        <v>335.40807438703592</v>
      </c>
      <c r="F116" s="297">
        <v>2.3293400578637158</v>
      </c>
      <c r="G116" s="257">
        <f t="shared" si="25"/>
        <v>548.90465445212351</v>
      </c>
      <c r="I116" s="297">
        <v>0.21689978000000001</v>
      </c>
      <c r="J116" s="257">
        <f t="shared" si="26"/>
        <v>136.25771377452057</v>
      </c>
      <c r="K116" s="1390"/>
      <c r="L116" s="297">
        <v>0.21689978000000001</v>
      </c>
      <c r="M116" s="257">
        <f t="shared" si="27"/>
        <v>141.35523953008266</v>
      </c>
      <c r="N116" s="250" t="str">
        <f t="shared" si="28"/>
        <v>-</v>
      </c>
      <c r="O116" s="252">
        <f t="shared" si="24"/>
        <v>2.1078683161233513</v>
      </c>
      <c r="P116" s="257">
        <f t="shared" si="29"/>
        <v>402.84299453347029</v>
      </c>
      <c r="Q116" s="1392" t="str">
        <f t="shared" si="30"/>
        <v>-</v>
      </c>
      <c r="R116" s="252">
        <f t="shared" si="34"/>
        <v>2.1078683161233513</v>
      </c>
      <c r="S116" s="257">
        <f t="shared" si="31"/>
        <v>349.53409398543386</v>
      </c>
      <c r="T116" s="254">
        <f t="shared" si="35"/>
        <v>2.1078683161233513</v>
      </c>
      <c r="U116" s="254">
        <f t="shared" si="36"/>
        <v>2.1078683161233513</v>
      </c>
      <c r="V116" s="255">
        <f t="shared" si="32"/>
        <v>310.02394569859712</v>
      </c>
      <c r="W116" s="256">
        <f t="shared" si="33"/>
        <v>310.02394569859712</v>
      </c>
      <c r="X116" s="26"/>
    </row>
    <row r="117" spans="1:24" ht="13.5" customHeight="1">
      <c r="A117" s="1395"/>
      <c r="B117" s="238">
        <v>2073</v>
      </c>
      <c r="C117" s="247"/>
      <c r="D117" s="2113">
        <v>343.12246009793773</v>
      </c>
      <c r="F117" s="297">
        <v>2.3293400578637158</v>
      </c>
      <c r="G117" s="257">
        <f t="shared" si="25"/>
        <v>561.69051044775517</v>
      </c>
      <c r="I117" s="297">
        <v>0.21968530999999999</v>
      </c>
      <c r="J117" s="257">
        <f t="shared" si="26"/>
        <v>136.55705195542504</v>
      </c>
      <c r="K117" s="1390"/>
      <c r="L117" s="297">
        <v>0.21968530999999999</v>
      </c>
      <c r="M117" s="257">
        <f t="shared" si="27"/>
        <v>141.66577622624555</v>
      </c>
      <c r="N117" s="250" t="str">
        <f t="shared" si="28"/>
        <v>-</v>
      </c>
      <c r="O117" s="252">
        <f t="shared" si="24"/>
        <v>2.1050303055114572</v>
      </c>
      <c r="P117" s="257">
        <f t="shared" si="29"/>
        <v>411.32296165202968</v>
      </c>
      <c r="Q117" s="1392" t="str">
        <f t="shared" si="30"/>
        <v>-</v>
      </c>
      <c r="R117" s="252">
        <f t="shared" si="34"/>
        <v>2.1050303055114572</v>
      </c>
      <c r="S117" s="257">
        <f t="shared" si="31"/>
        <v>356.89189259192216</v>
      </c>
      <c r="T117" s="254">
        <f t="shared" si="35"/>
        <v>2.1050303055114572</v>
      </c>
      <c r="U117" s="254">
        <f t="shared" si="36"/>
        <v>2.1050303055114572</v>
      </c>
      <c r="V117" s="255">
        <f t="shared" si="32"/>
        <v>316.55004370989496</v>
      </c>
      <c r="W117" s="256">
        <f t="shared" si="33"/>
        <v>316.55004370989496</v>
      </c>
      <c r="X117" s="26"/>
    </row>
    <row r="118" spans="1:24" ht="13.5" customHeight="1">
      <c r="A118" s="1395"/>
      <c r="B118" s="238">
        <v>2074</v>
      </c>
      <c r="C118" s="247"/>
      <c r="D118" s="2113">
        <v>351.01427668019028</v>
      </c>
      <c r="F118" s="297">
        <v>2.3293400578637158</v>
      </c>
      <c r="G118" s="257">
        <f t="shared" si="25"/>
        <v>574.77419250883395</v>
      </c>
      <c r="I118" s="297">
        <v>0.22174292000000001</v>
      </c>
      <c r="J118" s="257">
        <f t="shared" si="26"/>
        <v>136.8598575498969</v>
      </c>
      <c r="K118" s="1390"/>
      <c r="L118" s="297">
        <v>0.22174292000000001</v>
      </c>
      <c r="M118" s="257">
        <f t="shared" si="27"/>
        <v>141.9799100550903</v>
      </c>
      <c r="N118" s="250" t="str">
        <f t="shared" si="28"/>
        <v>-</v>
      </c>
      <c r="O118" s="252">
        <f t="shared" si="24"/>
        <v>2.102934030538739</v>
      </c>
      <c r="P118" s="257">
        <f t="shared" si="29"/>
        <v>419.97281218802999</v>
      </c>
      <c r="Q118" s="1392" t="str">
        <f t="shared" si="30"/>
        <v>-</v>
      </c>
      <c r="R118" s="252">
        <f t="shared" si="34"/>
        <v>2.102934030538739</v>
      </c>
      <c r="S118" s="257">
        <f t="shared" si="31"/>
        <v>364.39709365347147</v>
      </c>
      <c r="T118" s="254">
        <f t="shared" si="35"/>
        <v>2.102934030538739</v>
      </c>
      <c r="U118" s="254">
        <f t="shared" si="36"/>
        <v>2.102934030538739</v>
      </c>
      <c r="V118" s="255">
        <f t="shared" si="32"/>
        <v>323.20688230275562</v>
      </c>
      <c r="W118" s="256">
        <f t="shared" si="33"/>
        <v>323.20688230275562</v>
      </c>
      <c r="X118" s="26"/>
    </row>
    <row r="119" spans="1:24" ht="13.5" customHeight="1">
      <c r="A119" s="1395"/>
      <c r="B119" s="238">
        <v>2075</v>
      </c>
      <c r="C119" s="247"/>
      <c r="D119" s="2113">
        <v>359.08760504383463</v>
      </c>
      <c r="F119" s="297">
        <v>2.3293400578637158</v>
      </c>
      <c r="G119" s="257">
        <f t="shared" si="25"/>
        <v>588.16263801720493</v>
      </c>
      <c r="I119" s="297">
        <v>0.22305451000000001</v>
      </c>
      <c r="J119" s="257">
        <f t="shared" si="26"/>
        <v>137.16512963454153</v>
      </c>
      <c r="K119" s="1390"/>
      <c r="L119" s="297">
        <v>0.22305451000000001</v>
      </c>
      <c r="M119" s="257">
        <f t="shared" si="27"/>
        <v>142.29660264776211</v>
      </c>
      <c r="N119" s="250" t="str">
        <f t="shared" si="28"/>
        <v>-</v>
      </c>
      <c r="O119" s="252">
        <f t="shared" si="24"/>
        <v>2.1015978391015322</v>
      </c>
      <c r="P119" s="257">
        <f t="shared" si="29"/>
        <v>428.79895173378753</v>
      </c>
      <c r="Q119" s="1392" t="str">
        <f t="shared" si="30"/>
        <v>-</v>
      </c>
      <c r="R119" s="252">
        <f t="shared" si="34"/>
        <v>2.1015978391015322</v>
      </c>
      <c r="S119" s="257">
        <f t="shared" si="31"/>
        <v>372.05525509944164</v>
      </c>
      <c r="T119" s="254">
        <f t="shared" si="35"/>
        <v>2.1015978391015322</v>
      </c>
      <c r="U119" s="254">
        <f t="shared" si="36"/>
        <v>2.1015978391015322</v>
      </c>
      <c r="V119" s="255">
        <f t="shared" si="32"/>
        <v>329.99939115705774</v>
      </c>
      <c r="W119" s="256">
        <f t="shared" si="33"/>
        <v>329.99939115705774</v>
      </c>
      <c r="X119" s="26"/>
    </row>
    <row r="120" spans="1:24" ht="13.5" customHeight="1">
      <c r="A120" s="1395"/>
      <c r="B120" s="238">
        <v>2076</v>
      </c>
      <c r="C120" s="247"/>
      <c r="D120" s="2113">
        <v>367.34661995984277</v>
      </c>
      <c r="F120" s="297">
        <v>2.3293400578637158</v>
      </c>
      <c r="G120" s="257">
        <f t="shared" si="25"/>
        <v>601.86294594992762</v>
      </c>
      <c r="I120" s="297">
        <v>0.22365966999999998</v>
      </c>
      <c r="J120" s="257">
        <f t="shared" si="26"/>
        <v>137.47191271083722</v>
      </c>
      <c r="K120" s="1390"/>
      <c r="L120" s="297">
        <v>0.22365966999999998</v>
      </c>
      <c r="M120" s="257">
        <f t="shared" si="27"/>
        <v>142.61486275966533</v>
      </c>
      <c r="N120" s="250" t="str">
        <f t="shared" si="28"/>
        <v>-</v>
      </c>
      <c r="O120" s="252">
        <f t="shared" si="24"/>
        <v>2.100981339932062</v>
      </c>
      <c r="P120" s="257">
        <f t="shared" si="29"/>
        <v>437.80793769553873</v>
      </c>
      <c r="Q120" s="1392" t="str">
        <f t="shared" si="30"/>
        <v>-</v>
      </c>
      <c r="R120" s="252">
        <f t="shared" si="34"/>
        <v>2.100981339932062</v>
      </c>
      <c r="S120" s="257">
        <f t="shared" si="31"/>
        <v>379.87206658331758</v>
      </c>
      <c r="T120" s="254">
        <f t="shared" si="35"/>
        <v>2.100981339932062</v>
      </c>
      <c r="U120" s="254">
        <f t="shared" si="36"/>
        <v>2.100981339932062</v>
      </c>
      <c r="V120" s="255">
        <f t="shared" si="32"/>
        <v>336.93261678715692</v>
      </c>
      <c r="W120" s="256">
        <f t="shared" si="33"/>
        <v>336.93261678715692</v>
      </c>
      <c r="X120" s="26"/>
    </row>
    <row r="121" spans="1:24" ht="13.5" customHeight="1">
      <c r="A121" s="1395"/>
      <c r="B121" s="238">
        <v>2077</v>
      </c>
      <c r="C121" s="247"/>
      <c r="D121" s="2113">
        <v>375.79559221891913</v>
      </c>
      <c r="F121" s="297">
        <v>2.3293400578637158</v>
      </c>
      <c r="G121" s="257">
        <f t="shared" si="25"/>
        <v>615.88238064337793</v>
      </c>
      <c r="I121" s="297">
        <v>0.22363450999999998</v>
      </c>
      <c r="J121" s="257">
        <f t="shared" si="26"/>
        <v>137.77934734921573</v>
      </c>
      <c r="K121" s="1390"/>
      <c r="L121" s="297">
        <v>0.22363450999999998</v>
      </c>
      <c r="M121" s="257">
        <f t="shared" si="27"/>
        <v>142.93379880918508</v>
      </c>
      <c r="N121" s="250" t="str">
        <f t="shared" si="28"/>
        <v>-</v>
      </c>
      <c r="O121" s="252">
        <f t="shared" si="24"/>
        <v>2.1010069712185775</v>
      </c>
      <c r="P121" s="257">
        <f t="shared" si="29"/>
        <v>447.00631298707026</v>
      </c>
      <c r="Q121" s="1392" t="str">
        <f t="shared" si="30"/>
        <v>-</v>
      </c>
      <c r="R121" s="252">
        <f t="shared" si="34"/>
        <v>2.1010069712185775</v>
      </c>
      <c r="S121" s="257">
        <f t="shared" si="31"/>
        <v>387.85320518394519</v>
      </c>
      <c r="T121" s="254">
        <f t="shared" si="35"/>
        <v>2.1010069712185775</v>
      </c>
      <c r="U121" s="254">
        <f t="shared" si="36"/>
        <v>2.1010069712185775</v>
      </c>
      <c r="V121" s="255">
        <f t="shared" si="32"/>
        <v>344.01159455416428</v>
      </c>
      <c r="W121" s="256">
        <f t="shared" si="33"/>
        <v>344.01159455416428</v>
      </c>
      <c r="X121" s="26"/>
    </row>
    <row r="122" spans="1:24" ht="13.5" customHeight="1">
      <c r="A122" s="1395"/>
      <c r="B122" s="238">
        <v>2078</v>
      </c>
      <c r="C122" s="247"/>
      <c r="D122" s="2113">
        <v>384.43889083995424</v>
      </c>
      <c r="F122" s="297">
        <v>2.3293400578637158</v>
      </c>
      <c r="G122" s="257">
        <f t="shared" si="25"/>
        <v>630.2283756450289</v>
      </c>
      <c r="I122" s="297">
        <v>0.22308606</v>
      </c>
      <c r="J122" s="257">
        <f t="shared" si="26"/>
        <v>138.0867138667108</v>
      </c>
      <c r="K122" s="1390"/>
      <c r="L122" s="297">
        <v>0.22308606</v>
      </c>
      <c r="M122" s="257">
        <f t="shared" si="27"/>
        <v>143.25266418935681</v>
      </c>
      <c r="N122" s="250" t="str">
        <f t="shared" si="28"/>
        <v>-</v>
      </c>
      <c r="O122" s="252">
        <f t="shared" si="24"/>
        <v>2.101565697750285</v>
      </c>
      <c r="P122" s="257">
        <f t="shared" si="29"/>
        <v>456.40044432758486</v>
      </c>
      <c r="Q122" s="1392" t="str">
        <f t="shared" si="30"/>
        <v>-</v>
      </c>
      <c r="R122" s="252">
        <f t="shared" si="34"/>
        <v>2.101565697750285</v>
      </c>
      <c r="S122" s="257">
        <f t="shared" si="31"/>
        <v>396.00419510171605</v>
      </c>
      <c r="T122" s="254">
        <f t="shared" si="35"/>
        <v>2.101565697750285</v>
      </c>
      <c r="U122" s="254">
        <f t="shared" si="36"/>
        <v>2.101565697750285</v>
      </c>
      <c r="V122" s="255">
        <f t="shared" si="32"/>
        <v>351.24122422159837</v>
      </c>
      <c r="W122" s="256">
        <f t="shared" si="33"/>
        <v>351.24122422159837</v>
      </c>
      <c r="X122" s="26"/>
    </row>
    <row r="123" spans="1:24" ht="13.5" customHeight="1">
      <c r="A123" s="1395"/>
      <c r="B123" s="238">
        <v>2079</v>
      </c>
      <c r="C123" s="247"/>
      <c r="D123" s="2113">
        <v>393.28098532927316</v>
      </c>
      <c r="F123" s="297">
        <v>2.3293400578637158</v>
      </c>
      <c r="G123" s="257">
        <f t="shared" si="25"/>
        <v>644.9085376549524</v>
      </c>
      <c r="I123" s="297">
        <v>0.22212017000000001</v>
      </c>
      <c r="J123" s="257">
        <f t="shared" si="26"/>
        <v>138.39343231029895</v>
      </c>
      <c r="K123" s="1390"/>
      <c r="L123" s="297">
        <v>0.22212017000000001</v>
      </c>
      <c r="M123" s="257">
        <f t="shared" si="27"/>
        <v>143.57085725058371</v>
      </c>
      <c r="N123" s="250" t="str">
        <f t="shared" si="28"/>
        <v>-</v>
      </c>
      <c r="O123" s="252">
        <f t="shared" si="24"/>
        <v>2.1025497008937633</v>
      </c>
      <c r="P123" s="257">
        <f t="shared" si="29"/>
        <v>465.99649050467235</v>
      </c>
      <c r="Q123" s="1392" t="str">
        <f t="shared" si="30"/>
        <v>-</v>
      </c>
      <c r="R123" s="252">
        <f t="shared" si="34"/>
        <v>2.1025497008937633</v>
      </c>
      <c r="S123" s="257">
        <f t="shared" si="31"/>
        <v>404.33038012135398</v>
      </c>
      <c r="T123" s="254">
        <f t="shared" si="35"/>
        <v>2.1025497008937633</v>
      </c>
      <c r="U123" s="254">
        <f t="shared" si="36"/>
        <v>2.1025497008937633</v>
      </c>
      <c r="V123" s="255">
        <f t="shared" si="32"/>
        <v>358.62624553088517</v>
      </c>
      <c r="W123" s="256">
        <f t="shared" si="33"/>
        <v>358.62624553088517</v>
      </c>
      <c r="X123" s="26"/>
    </row>
    <row r="124" spans="1:24" ht="13.5" customHeight="1">
      <c r="A124" s="1395"/>
      <c r="B124" s="238">
        <v>2080</v>
      </c>
      <c r="C124" s="247"/>
      <c r="D124" s="2113">
        <v>402.32644799184641</v>
      </c>
      <c r="F124" s="297">
        <v>2.3293400578637158</v>
      </c>
      <c r="G124" s="257">
        <f t="shared" si="25"/>
        <v>659.93065055913235</v>
      </c>
      <c r="I124" s="297">
        <v>0.22094755999999999</v>
      </c>
      <c r="J124" s="257">
        <f t="shared" si="26"/>
        <v>138.69920922218881</v>
      </c>
      <c r="K124" s="1390"/>
      <c r="L124" s="297">
        <v>0.22094755999999999</v>
      </c>
      <c r="M124" s="257">
        <f t="shared" si="27"/>
        <v>143.88807355654995</v>
      </c>
      <c r="N124" s="250" t="str">
        <f t="shared" si="28"/>
        <v>-</v>
      </c>
      <c r="O124" s="252">
        <f t="shared" si="24"/>
        <v>2.1037443261065381</v>
      </c>
      <c r="P124" s="257">
        <f t="shared" si="29"/>
        <v>475.79986523351994</v>
      </c>
      <c r="Q124" s="1392" t="str">
        <f t="shared" si="30"/>
        <v>-</v>
      </c>
      <c r="R124" s="252">
        <f t="shared" si="34"/>
        <v>2.1037443261065381</v>
      </c>
      <c r="S124" s="257">
        <f t="shared" si="31"/>
        <v>412.83645755188195</v>
      </c>
      <c r="T124" s="254">
        <f t="shared" si="35"/>
        <v>2.1037443261065381</v>
      </c>
      <c r="U124" s="254">
        <f t="shared" si="36"/>
        <v>2.1037443261065381</v>
      </c>
      <c r="V124" s="255">
        <f t="shared" si="32"/>
        <v>366.17082482317005</v>
      </c>
      <c r="W124" s="256">
        <f t="shared" si="33"/>
        <v>366.17082482317005</v>
      </c>
      <c r="X124" s="26"/>
    </row>
    <row r="125" spans="1:24" ht="13.5" customHeight="1">
      <c r="A125" s="1395"/>
      <c r="B125" s="238">
        <v>2081</v>
      </c>
      <c r="C125" s="247"/>
      <c r="D125" s="2113">
        <v>411.57995629565886</v>
      </c>
      <c r="F125" s="297">
        <v>2.3293400578637158</v>
      </c>
      <c r="G125" s="257">
        <f t="shared" si="25"/>
        <v>675.30267955672684</v>
      </c>
      <c r="I125" s="297">
        <v>0.21962673000000002</v>
      </c>
      <c r="J125" s="257">
        <f t="shared" si="26"/>
        <v>139.00382975993935</v>
      </c>
      <c r="K125" s="1390"/>
      <c r="L125" s="297">
        <v>0.21962673000000002</v>
      </c>
      <c r="M125" s="257">
        <f t="shared" si="27"/>
        <v>144.2040902273622</v>
      </c>
      <c r="N125" s="250" t="str">
        <f t="shared" si="28"/>
        <v>-</v>
      </c>
      <c r="O125" s="252">
        <f t="shared" si="24"/>
        <v>2.1050899875604712</v>
      </c>
      <c r="P125" s="257">
        <f t="shared" si="29"/>
        <v>485.815880557377</v>
      </c>
      <c r="Q125" s="1392" t="str">
        <f t="shared" si="30"/>
        <v>-</v>
      </c>
      <c r="R125" s="252">
        <f t="shared" si="34"/>
        <v>2.1050899875604712</v>
      </c>
      <c r="S125" s="257">
        <f t="shared" si="31"/>
        <v>421.52703648480593</v>
      </c>
      <c r="T125" s="254">
        <f t="shared" si="35"/>
        <v>2.1050899875604712</v>
      </c>
      <c r="U125" s="254">
        <f t="shared" si="36"/>
        <v>2.1050899875604712</v>
      </c>
      <c r="V125" s="255">
        <f t="shared" si="32"/>
        <v>373.87905019389018</v>
      </c>
      <c r="W125" s="256">
        <f t="shared" si="33"/>
        <v>373.87905019389018</v>
      </c>
      <c r="X125" s="26"/>
    </row>
    <row r="126" spans="1:24" ht="13.5" customHeight="1">
      <c r="A126" s="1395"/>
      <c r="B126" s="238">
        <v>2082</v>
      </c>
      <c r="C126" s="247"/>
      <c r="D126" s="2113">
        <v>421.046295290459</v>
      </c>
      <c r="F126" s="297">
        <v>2.3293400578637158</v>
      </c>
      <c r="G126" s="257">
        <f t="shared" si="25"/>
        <v>691.03277538346867</v>
      </c>
      <c r="I126" s="297">
        <v>0.21839268000000001</v>
      </c>
      <c r="J126" s="257">
        <f t="shared" si="26"/>
        <v>139.3074039490547</v>
      </c>
      <c r="K126" s="1390"/>
      <c r="L126" s="297">
        <v>0.21839268000000001</v>
      </c>
      <c r="M126" s="257">
        <f t="shared" si="27"/>
        <v>144.51902140467936</v>
      </c>
      <c r="N126" s="250" t="str">
        <f t="shared" si="28"/>
        <v>-</v>
      </c>
      <c r="O126" s="252">
        <f t="shared" si="24"/>
        <v>2.1063472696115193</v>
      </c>
      <c r="P126" s="257">
        <f t="shared" si="29"/>
        <v>496.04885009283646</v>
      </c>
      <c r="Q126" s="1392" t="str">
        <f t="shared" si="30"/>
        <v>-</v>
      </c>
      <c r="R126" s="252">
        <f t="shared" si="34"/>
        <v>2.1063472696115193</v>
      </c>
      <c r="S126" s="257">
        <f t="shared" si="31"/>
        <v>430.40585970847803</v>
      </c>
      <c r="T126" s="254">
        <f t="shared" si="35"/>
        <v>2.1063472696115193</v>
      </c>
      <c r="U126" s="254">
        <f t="shared" si="36"/>
        <v>2.1063472696115193</v>
      </c>
      <c r="V126" s="255">
        <f t="shared" si="32"/>
        <v>381.75424135929865</v>
      </c>
      <c r="W126" s="256">
        <f t="shared" si="33"/>
        <v>381.75424135929865</v>
      </c>
      <c r="X126" s="26"/>
    </row>
    <row r="127" spans="1:24" ht="13.5" customHeight="1">
      <c r="A127" s="1395"/>
      <c r="B127" s="238">
        <v>2083</v>
      </c>
      <c r="C127" s="247"/>
      <c r="D127" s="2113">
        <v>430.7303600821395</v>
      </c>
      <c r="F127" s="297">
        <v>2.3293400578637158</v>
      </c>
      <c r="G127" s="257">
        <f t="shared" si="25"/>
        <v>707.12927863344316</v>
      </c>
      <c r="I127" s="297">
        <v>0.21725971000000002</v>
      </c>
      <c r="J127" s="257">
        <f t="shared" si="26"/>
        <v>139.61006281088294</v>
      </c>
      <c r="K127" s="1390"/>
      <c r="L127" s="297">
        <v>0.21725971000000002</v>
      </c>
      <c r="M127" s="257">
        <f t="shared" si="27"/>
        <v>144.83300301147798</v>
      </c>
      <c r="N127" s="250" t="str">
        <f t="shared" si="28"/>
        <v>-</v>
      </c>
      <c r="O127" s="252">
        <f t="shared" si="24"/>
        <v>2.1075015960079879</v>
      </c>
      <c r="P127" s="257">
        <f t="shared" si="29"/>
        <v>506.50308752552229</v>
      </c>
      <c r="Q127" s="1392" t="str">
        <f t="shared" si="30"/>
        <v>-</v>
      </c>
      <c r="R127" s="252">
        <f t="shared" si="34"/>
        <v>2.1075015960079879</v>
      </c>
      <c r="S127" s="257">
        <f t="shared" si="31"/>
        <v>439.47667007114615</v>
      </c>
      <c r="T127" s="254">
        <f t="shared" si="35"/>
        <v>2.1075015960079879</v>
      </c>
      <c r="U127" s="254">
        <f t="shared" si="36"/>
        <v>2.1075015960079879</v>
      </c>
      <c r="V127" s="255">
        <f t="shared" si="32"/>
        <v>389.79971808877406</v>
      </c>
      <c r="W127" s="256">
        <f t="shared" si="33"/>
        <v>389.79971808877406</v>
      </c>
      <c r="X127" s="26"/>
    </row>
    <row r="128" spans="1:24" ht="13.5" customHeight="1">
      <c r="A128" s="1395"/>
      <c r="B128" s="238">
        <v>2084</v>
      </c>
      <c r="C128" s="247"/>
      <c r="D128" s="2113">
        <v>440.63715836402866</v>
      </c>
      <c r="F128" s="297">
        <v>2.3293400578637158</v>
      </c>
      <c r="G128" s="257">
        <f t="shared" si="25"/>
        <v>723.6007241815347</v>
      </c>
      <c r="I128" s="297">
        <v>0.21637582</v>
      </c>
      <c r="J128" s="257">
        <f t="shared" si="26"/>
        <v>139.91214522909249</v>
      </c>
      <c r="K128" s="1390"/>
      <c r="L128" s="297">
        <v>0.21637582</v>
      </c>
      <c r="M128" s="257">
        <f t="shared" si="27"/>
        <v>145.1463866093747</v>
      </c>
      <c r="N128" s="250" t="str">
        <f t="shared" si="28"/>
        <v>-</v>
      </c>
      <c r="O128" s="252">
        <f t="shared" si="24"/>
        <v>2.1084021653894558</v>
      </c>
      <c r="P128" s="257">
        <f t="shared" si="29"/>
        <v>517.1822095906748</v>
      </c>
      <c r="Q128" s="1392" t="str">
        <f t="shared" si="30"/>
        <v>-</v>
      </c>
      <c r="R128" s="252">
        <f t="shared" si="34"/>
        <v>2.1084021653894558</v>
      </c>
      <c r="S128" s="257">
        <f t="shared" si="31"/>
        <v>448.7426056993076</v>
      </c>
      <c r="T128" s="254">
        <f t="shared" si="35"/>
        <v>2.1084021653894558</v>
      </c>
      <c r="U128" s="254">
        <f t="shared" si="36"/>
        <v>2.1084021653894558</v>
      </c>
      <c r="V128" s="255">
        <f t="shared" si="32"/>
        <v>398.01826378563976</v>
      </c>
      <c r="W128" s="256">
        <f t="shared" si="33"/>
        <v>398.01826378563976</v>
      </c>
      <c r="X128" s="26"/>
    </row>
    <row r="129" spans="1:24" ht="13.5" customHeight="1">
      <c r="A129" s="1395"/>
      <c r="B129" s="238">
        <v>2085</v>
      </c>
      <c r="C129" s="247"/>
      <c r="D129" s="2113">
        <v>450.77181300640126</v>
      </c>
      <c r="F129" s="297">
        <v>2.3293400578637158</v>
      </c>
      <c r="G129" s="257">
        <f t="shared" si="25"/>
        <v>740.45584570888718</v>
      </c>
      <c r="I129" s="297">
        <v>0.21580751999999997</v>
      </c>
      <c r="J129" s="257">
        <f t="shared" si="26"/>
        <v>140.2140861598902</v>
      </c>
      <c r="K129" s="1390"/>
      <c r="L129" s="297">
        <v>0.21580751999999997</v>
      </c>
      <c r="M129" s="257">
        <f t="shared" si="27"/>
        <v>145.45962342668602</v>
      </c>
      <c r="N129" s="250" t="str">
        <f t="shared" si="28"/>
        <v>-</v>
      </c>
      <c r="O129" s="252">
        <f t="shared" si="24"/>
        <v>2.1089811978433959</v>
      </c>
      <c r="P129" s="257">
        <f t="shared" si="29"/>
        <v>528.08948514953317</v>
      </c>
      <c r="Q129" s="1392" t="str">
        <f t="shared" si="30"/>
        <v>-</v>
      </c>
      <c r="R129" s="252">
        <f t="shared" si="34"/>
        <v>2.1089811978433959</v>
      </c>
      <c r="S129" s="257">
        <f t="shared" si="31"/>
        <v>458.20650288021852</v>
      </c>
      <c r="T129" s="254">
        <f t="shared" si="35"/>
        <v>2.1089811978433959</v>
      </c>
      <c r="U129" s="254">
        <f t="shared" si="36"/>
        <v>2.1089811978433959</v>
      </c>
      <c r="V129" s="255">
        <f t="shared" si="32"/>
        <v>406.41239413286161</v>
      </c>
      <c r="W129" s="256">
        <f t="shared" si="33"/>
        <v>406.41239413286161</v>
      </c>
      <c r="X129" s="26"/>
    </row>
    <row r="130" spans="1:24" ht="13.5" customHeight="1">
      <c r="A130" s="1395"/>
      <c r="B130" s="238">
        <v>2086</v>
      </c>
      <c r="C130" s="247"/>
      <c r="D130" s="2113">
        <v>461.13956470554842</v>
      </c>
      <c r="F130" s="297">
        <v>2.3293400578637158</v>
      </c>
      <c r="G130" s="257">
        <f t="shared" si="25"/>
        <v>757.70358033377784</v>
      </c>
      <c r="I130" s="297">
        <v>0.21558572999999998</v>
      </c>
      <c r="J130" s="257">
        <f t="shared" si="26"/>
        <v>140.51636772110083</v>
      </c>
      <c r="K130" s="1390"/>
      <c r="L130" s="297">
        <v>0.21558572999999998</v>
      </c>
      <c r="M130" s="257">
        <f t="shared" si="27"/>
        <v>145.77321361770569</v>
      </c>
      <c r="N130" s="250" t="str">
        <f t="shared" si="28"/>
        <v>-</v>
      </c>
      <c r="O130" s="252">
        <f t="shared" si="24"/>
        <v>2.1092071781714461</v>
      </c>
      <c r="P130" s="257">
        <f t="shared" si="29"/>
        <v>539.22798647747584</v>
      </c>
      <c r="Q130" s="1392" t="str">
        <f t="shared" si="30"/>
        <v>-</v>
      </c>
      <c r="R130" s="252">
        <f t="shared" si="34"/>
        <v>2.1092071781714461</v>
      </c>
      <c r="S130" s="257">
        <f t="shared" si="31"/>
        <v>467.8710273298164</v>
      </c>
      <c r="T130" s="254">
        <f t="shared" si="35"/>
        <v>2.1092071781714461</v>
      </c>
      <c r="U130" s="254">
        <f t="shared" si="36"/>
        <v>2.1092071781714461</v>
      </c>
      <c r="V130" s="255">
        <f t="shared" si="32"/>
        <v>414.98447352289037</v>
      </c>
      <c r="W130" s="256">
        <f t="shared" si="33"/>
        <v>414.98447352289037</v>
      </c>
      <c r="X130" s="26"/>
    </row>
    <row r="131" spans="1:24" ht="13.5" customHeight="1">
      <c r="A131" s="1395"/>
      <c r="B131" s="238">
        <v>2087</v>
      </c>
      <c r="C131" s="247"/>
      <c r="D131" s="2113">
        <v>471.74577469377601</v>
      </c>
      <c r="F131" s="297">
        <v>2.3293400578637158</v>
      </c>
      <c r="G131" s="257">
        <f t="shared" si="25"/>
        <v>775.35307335036009</v>
      </c>
      <c r="I131" s="297">
        <v>0.21575098000000001</v>
      </c>
      <c r="J131" s="257">
        <f t="shared" si="26"/>
        <v>140.8195331615195</v>
      </c>
      <c r="K131" s="1390"/>
      <c r="L131" s="297">
        <v>0.21575098000000001</v>
      </c>
      <c r="M131" s="257">
        <f t="shared" si="27"/>
        <v>146.08772075466339</v>
      </c>
      <c r="N131" s="250" t="str">
        <f t="shared" si="28"/>
        <v>-</v>
      </c>
      <c r="O131" s="252">
        <f t="shared" si="24"/>
        <v>2.1090388059712639</v>
      </c>
      <c r="P131" s="257">
        <f t="shared" si="29"/>
        <v>550.60051396494327</v>
      </c>
      <c r="Q131" s="1392" t="str">
        <f t="shared" si="30"/>
        <v>-</v>
      </c>
      <c r="R131" s="252">
        <f t="shared" si="34"/>
        <v>2.1090388059712639</v>
      </c>
      <c r="S131" s="257">
        <f t="shared" si="31"/>
        <v>477.73860885809864</v>
      </c>
      <c r="T131" s="254">
        <f t="shared" si="35"/>
        <v>2.1090388059712639</v>
      </c>
      <c r="U131" s="254">
        <f t="shared" si="36"/>
        <v>2.1090388059712639</v>
      </c>
      <c r="V131" s="255">
        <f t="shared" si="32"/>
        <v>423.73665710824366</v>
      </c>
      <c r="W131" s="256">
        <f t="shared" si="33"/>
        <v>423.73665710824366</v>
      </c>
      <c r="X131" s="26"/>
    </row>
    <row r="132" spans="1:24" ht="13.5" customHeight="1">
      <c r="A132" s="1395"/>
      <c r="B132" s="238">
        <v>2088</v>
      </c>
      <c r="C132" s="247"/>
      <c r="D132" s="2113">
        <v>482.59592751173284</v>
      </c>
      <c r="F132" s="297">
        <v>2.3293400578637158</v>
      </c>
      <c r="G132" s="257">
        <f t="shared" si="25"/>
        <v>793.41368307778748</v>
      </c>
      <c r="I132" s="297">
        <v>0.21624661000000001</v>
      </c>
      <c r="J132" s="257">
        <f t="shared" si="26"/>
        <v>141.12405062819911</v>
      </c>
      <c r="K132" s="1390"/>
      <c r="L132" s="297">
        <v>0.21624661000000001</v>
      </c>
      <c r="M132" s="257">
        <f t="shared" si="27"/>
        <v>146.40363049842162</v>
      </c>
      <c r="N132" s="250" t="str">
        <f t="shared" si="28"/>
        <v>-</v>
      </c>
      <c r="O132" s="252">
        <f t="shared" si="24"/>
        <v>2.1085338149681387</v>
      </c>
      <c r="P132" s="257">
        <f t="shared" si="29"/>
        <v>562.21011198728252</v>
      </c>
      <c r="Q132" s="1392" t="str">
        <f t="shared" si="30"/>
        <v>-</v>
      </c>
      <c r="R132" s="252">
        <f t="shared" si="34"/>
        <v>2.1085338149681387</v>
      </c>
      <c r="S132" s="257">
        <f t="shared" si="31"/>
        <v>487.81188897303002</v>
      </c>
      <c r="T132" s="254">
        <f t="shared" si="35"/>
        <v>2.1085338149681387</v>
      </c>
      <c r="U132" s="254">
        <f t="shared" si="36"/>
        <v>2.1085338149681387</v>
      </c>
      <c r="V132" s="255">
        <f t="shared" si="32"/>
        <v>432.67128780978658</v>
      </c>
      <c r="W132" s="256">
        <f t="shared" si="33"/>
        <v>432.67128780978658</v>
      </c>
      <c r="X132" s="26"/>
    </row>
    <row r="133" spans="1:24" ht="13.5" customHeight="1">
      <c r="A133" s="1395"/>
      <c r="B133" s="238">
        <v>2089</v>
      </c>
      <c r="C133" s="247"/>
      <c r="D133" s="2113">
        <v>493.69563384450265</v>
      </c>
      <c r="F133" s="297">
        <v>2.3293400578637158</v>
      </c>
      <c r="G133" s="257">
        <f t="shared" si="25"/>
        <v>811.89498582229032</v>
      </c>
      <c r="I133" s="297">
        <v>0.21710689999999999</v>
      </c>
      <c r="J133" s="257">
        <f t="shared" si="26"/>
        <v>141.43044067967242</v>
      </c>
      <c r="K133" s="1390"/>
      <c r="L133" s="297">
        <v>0.21710689999999999</v>
      </c>
      <c r="M133" s="257">
        <f t="shared" si="27"/>
        <v>146.72148288208419</v>
      </c>
      <c r="N133" s="250" t="str">
        <f t="shared" si="28"/>
        <v>-</v>
      </c>
      <c r="O133" s="252">
        <f t="shared" si="24"/>
        <v>2.107657288462117</v>
      </c>
      <c r="P133" s="257">
        <f t="shared" si="29"/>
        <v>574.05957438905352</v>
      </c>
      <c r="Q133" s="1392" t="str">
        <f t="shared" si="30"/>
        <v>-</v>
      </c>
      <c r="R133" s="252">
        <f t="shared" si="34"/>
        <v>2.107657288462117</v>
      </c>
      <c r="S133" s="257">
        <f t="shared" si="31"/>
        <v>498.09329180495484</v>
      </c>
      <c r="T133" s="254">
        <f t="shared" si="35"/>
        <v>2.107657288462117</v>
      </c>
      <c r="U133" s="254">
        <f t="shared" si="36"/>
        <v>2.107657288462117</v>
      </c>
      <c r="V133" s="255">
        <f t="shared" si="32"/>
        <v>441.79051574239247</v>
      </c>
      <c r="W133" s="256">
        <f t="shared" si="33"/>
        <v>441.79051574239247</v>
      </c>
      <c r="X133" s="26"/>
    </row>
    <row r="134" spans="1:24" ht="13.5" customHeight="1">
      <c r="A134" s="1395"/>
      <c r="B134" s="238">
        <v>2090</v>
      </c>
      <c r="C134" s="247"/>
      <c r="D134" s="2113">
        <v>505.05063342292618</v>
      </c>
      <c r="F134" s="297">
        <v>2.3293400578637158</v>
      </c>
      <c r="G134" s="257">
        <f t="shared" si="25"/>
        <v>830.80678095483586</v>
      </c>
      <c r="I134" s="297">
        <v>0.21818291000000001</v>
      </c>
      <c r="J134" s="257">
        <f t="shared" si="26"/>
        <v>141.73901773077313</v>
      </c>
      <c r="K134" s="1390"/>
      <c r="L134" s="297">
        <v>0.21818291000000001</v>
      </c>
      <c r="M134" s="257">
        <f t="shared" si="27"/>
        <v>147.04160408303147</v>
      </c>
      <c r="N134" s="250" t="str">
        <f t="shared" si="28"/>
        <v>-</v>
      </c>
      <c r="O134" s="252">
        <f t="shared" si="24"/>
        <v>2.1065609917909178</v>
      </c>
      <c r="P134" s="257">
        <f t="shared" si="29"/>
        <v>586.15248945277426</v>
      </c>
      <c r="Q134" s="1392" t="str">
        <f t="shared" si="30"/>
        <v>-</v>
      </c>
      <c r="R134" s="252">
        <f t="shared" si="34"/>
        <v>2.1065609917909178</v>
      </c>
      <c r="S134" s="257">
        <f t="shared" si="31"/>
        <v>508.58593079284532</v>
      </c>
      <c r="T134" s="254">
        <f t="shared" si="35"/>
        <v>2.1065609917909178</v>
      </c>
      <c r="U134" s="254">
        <f t="shared" si="36"/>
        <v>2.1065609917909178</v>
      </c>
      <c r="V134" s="255">
        <f t="shared" si="32"/>
        <v>451.09710241245364</v>
      </c>
      <c r="W134" s="256">
        <f t="shared" si="33"/>
        <v>451.09710241245364</v>
      </c>
      <c r="X134" s="26"/>
    </row>
    <row r="135" spans="1:24" ht="13.5" customHeight="1">
      <c r="A135" s="1395"/>
      <c r="B135" s="238">
        <v>2091</v>
      </c>
      <c r="C135" s="247"/>
      <c r="D135" s="2113">
        <v>516.66679799165343</v>
      </c>
      <c r="F135" s="297">
        <v>2.3293400578637158</v>
      </c>
      <c r="G135" s="257">
        <f t="shared" si="25"/>
        <v>850.15909610706501</v>
      </c>
      <c r="I135" s="297">
        <v>0.21949489999999999</v>
      </c>
      <c r="J135" s="257">
        <f t="shared" si="26"/>
        <v>142.05012764600227</v>
      </c>
      <c r="K135" s="1390"/>
      <c r="L135" s="297">
        <v>0.21949489999999999</v>
      </c>
      <c r="M135" s="257">
        <f t="shared" si="27"/>
        <v>147.36435290487191</v>
      </c>
      <c r="N135" s="250" t="str">
        <f t="shared" si="28"/>
        <v>-</v>
      </c>
      <c r="O135" s="252">
        <f t="shared" si="24"/>
        <v>2.1052242978962799</v>
      </c>
      <c r="P135" s="257">
        <f t="shared" si="29"/>
        <v>598.49231408345804</v>
      </c>
      <c r="Q135" s="1392" t="str">
        <f t="shared" si="30"/>
        <v>-</v>
      </c>
      <c r="R135" s="252">
        <f t="shared" si="34"/>
        <v>2.1052242978962799</v>
      </c>
      <c r="S135" s="257">
        <f t="shared" si="31"/>
        <v>519.2928053835783</v>
      </c>
      <c r="T135" s="254">
        <f t="shared" si="35"/>
        <v>2.1052242978962799</v>
      </c>
      <c r="U135" s="254">
        <f t="shared" si="36"/>
        <v>2.1052242978962799</v>
      </c>
      <c r="V135" s="255">
        <f t="shared" si="32"/>
        <v>460.59370821954667</v>
      </c>
      <c r="W135" s="256">
        <f t="shared" si="33"/>
        <v>460.59370821954667</v>
      </c>
      <c r="X135" s="26"/>
    </row>
    <row r="136" spans="1:24" ht="13.5" customHeight="1">
      <c r="A136" s="1395"/>
      <c r="B136" s="238">
        <v>2092</v>
      </c>
      <c r="C136" s="247"/>
      <c r="D136" s="2113">
        <v>528.5501343454614</v>
      </c>
      <c r="F136" s="297">
        <v>2.3293400578637158</v>
      </c>
      <c r="G136" s="257">
        <f t="shared" si="25"/>
        <v>869.96219248825901</v>
      </c>
      <c r="I136" s="297">
        <v>0.22097188000000001</v>
      </c>
      <c r="J136" s="257">
        <f t="shared" si="26"/>
        <v>142.36401848360404</v>
      </c>
      <c r="K136" s="1390"/>
      <c r="L136" s="297">
        <v>0.22097188000000001</v>
      </c>
      <c r="M136" s="257">
        <f t="shared" si="27"/>
        <v>147.68998668593562</v>
      </c>
      <c r="N136" s="250" t="str">
        <f t="shared" si="28"/>
        <v>-</v>
      </c>
      <c r="O136" s="252">
        <f t="shared" si="24"/>
        <v>2.1037195492258798</v>
      </c>
      <c r="P136" s="257">
        <f t="shared" si="29"/>
        <v>611.08291389544615</v>
      </c>
      <c r="Q136" s="1392" t="str">
        <f t="shared" si="30"/>
        <v>-</v>
      </c>
      <c r="R136" s="252">
        <f t="shared" si="34"/>
        <v>2.1037195492258798</v>
      </c>
      <c r="S136" s="257">
        <f t="shared" si="31"/>
        <v>530.21726964815616</v>
      </c>
      <c r="T136" s="254">
        <f t="shared" si="35"/>
        <v>2.1037195492258798</v>
      </c>
      <c r="U136" s="254">
        <f t="shared" si="36"/>
        <v>2.1037195492258798</v>
      </c>
      <c r="V136" s="255">
        <f t="shared" si="32"/>
        <v>470.28330810186566</v>
      </c>
      <c r="W136" s="256">
        <f t="shared" si="33"/>
        <v>470.28330810186566</v>
      </c>
      <c r="X136" s="26"/>
    </row>
    <row r="137" spans="1:24" ht="13.5" customHeight="1">
      <c r="A137" s="1395"/>
      <c r="B137" s="238">
        <v>2093</v>
      </c>
      <c r="C137" s="247"/>
      <c r="D137" s="2113">
        <v>540.70678743540702</v>
      </c>
      <c r="F137" s="297">
        <v>2.3293400578637158</v>
      </c>
      <c r="G137" s="257">
        <f t="shared" si="25"/>
        <v>890.22657032615757</v>
      </c>
      <c r="I137" s="297">
        <v>0.22248223</v>
      </c>
      <c r="J137" s="257">
        <f t="shared" si="26"/>
        <v>142.68075312664396</v>
      </c>
      <c r="K137" s="1390"/>
      <c r="L137" s="297">
        <v>0.22248223</v>
      </c>
      <c r="M137" s="257">
        <f t="shared" si="27"/>
        <v>148.01857066180119</v>
      </c>
      <c r="N137" s="250" t="str">
        <f t="shared" si="28"/>
        <v>-</v>
      </c>
      <c r="O137" s="252">
        <f t="shared" si="24"/>
        <v>2.1021808490321536</v>
      </c>
      <c r="P137" s="257">
        <f t="shared" si="29"/>
        <v>623.92898188306378</v>
      </c>
      <c r="Q137" s="1392" t="str">
        <f t="shared" si="30"/>
        <v>-</v>
      </c>
      <c r="R137" s="252">
        <f t="shared" si="34"/>
        <v>2.1021808490321536</v>
      </c>
      <c r="S137" s="257">
        <f t="shared" si="31"/>
        <v>541.36339554896085</v>
      </c>
      <c r="T137" s="254">
        <f t="shared" si="35"/>
        <v>2.1021808490321536</v>
      </c>
      <c r="U137" s="254">
        <f t="shared" si="36"/>
        <v>2.1021808490321536</v>
      </c>
      <c r="V137" s="255">
        <f t="shared" si="32"/>
        <v>480.16951374097795</v>
      </c>
      <c r="W137" s="256">
        <f t="shared" si="33"/>
        <v>480.16951374097795</v>
      </c>
      <c r="X137" s="26"/>
    </row>
    <row r="138" spans="1:24" ht="13.5" customHeight="1">
      <c r="A138" s="1395"/>
      <c r="B138" s="238">
        <v>2094</v>
      </c>
      <c r="C138" s="247"/>
      <c r="D138" s="2113">
        <v>553.14304354642138</v>
      </c>
      <c r="F138" s="297">
        <v>2.3293400578637158</v>
      </c>
      <c r="G138" s="257">
        <f t="shared" si="25"/>
        <v>910.96297443451112</v>
      </c>
      <c r="I138" s="297">
        <v>0.22394719000000002</v>
      </c>
      <c r="J138" s="257">
        <f t="shared" si="26"/>
        <v>143.00028266394193</v>
      </c>
      <c r="K138" s="1390"/>
      <c r="L138" s="297">
        <v>0.22394719000000002</v>
      </c>
      <c r="M138" s="257">
        <f t="shared" si="27"/>
        <v>148.35005409147647</v>
      </c>
      <c r="N138" s="250" t="str">
        <f t="shared" si="28"/>
        <v>-</v>
      </c>
      <c r="O138" s="252">
        <f>IF(N138="-",100*((100+$F138)/(100+$I138)-1),(N138/N137-1)*100)</f>
        <v>2.1006884351425503</v>
      </c>
      <c r="P138" s="257">
        <f t="shared" si="29"/>
        <v>637.03578584898389</v>
      </c>
      <c r="Q138" s="1392" t="str">
        <f t="shared" si="30"/>
        <v>-</v>
      </c>
      <c r="R138" s="252">
        <f t="shared" si="34"/>
        <v>2.1006884351425503</v>
      </c>
      <c r="S138" s="257">
        <f t="shared" si="31"/>
        <v>552.73575379135286</v>
      </c>
      <c r="T138" s="254">
        <f t="shared" si="35"/>
        <v>2.1006884351425503</v>
      </c>
      <c r="U138" s="254">
        <f t="shared" si="36"/>
        <v>2.1006884351425503</v>
      </c>
      <c r="V138" s="255">
        <f t="shared" si="32"/>
        <v>490.25637918521488</v>
      </c>
      <c r="W138" s="256">
        <f t="shared" si="33"/>
        <v>490.25637918521488</v>
      </c>
      <c r="X138" s="26"/>
    </row>
    <row r="139" spans="1:24" ht="13.5" customHeight="1">
      <c r="A139" s="1395"/>
      <c r="B139" s="238">
        <v>2095</v>
      </c>
      <c r="C139" s="247"/>
      <c r="D139" s="2113">
        <v>565.86533354798905</v>
      </c>
      <c r="F139" s="297">
        <v>2.3293400578637158</v>
      </c>
      <c r="G139" s="257">
        <f t="shared" si="25"/>
        <v>932.18239991032101</v>
      </c>
      <c r="I139" s="297">
        <v>0.22525833000000001</v>
      </c>
      <c r="J139" s="257">
        <f t="shared" si="26"/>
        <v>143.32240271256603</v>
      </c>
      <c r="K139" s="1390"/>
      <c r="L139" s="297">
        <v>0.22525833000000001</v>
      </c>
      <c r="M139" s="257">
        <f t="shared" si="27"/>
        <v>148.68422494587702</v>
      </c>
      <c r="N139" s="250" t="str">
        <f t="shared" si="28"/>
        <v>-</v>
      </c>
      <c r="O139" s="252">
        <f t="shared" si="24"/>
        <v>2.0993527608937246</v>
      </c>
      <c r="P139" s="257">
        <f t="shared" si="29"/>
        <v>650.40941420708555</v>
      </c>
      <c r="Q139" s="1392" t="str">
        <f t="shared" si="30"/>
        <v>-</v>
      </c>
      <c r="R139" s="252">
        <f t="shared" si="34"/>
        <v>2.0993527608937246</v>
      </c>
      <c r="S139" s="257">
        <f t="shared" si="31"/>
        <v>564.33962709901834</v>
      </c>
      <c r="T139" s="254">
        <f t="shared" si="35"/>
        <v>2.0993527608937246</v>
      </c>
      <c r="U139" s="254">
        <f t="shared" si="36"/>
        <v>2.0993527608937246</v>
      </c>
      <c r="V139" s="255">
        <f t="shared" si="32"/>
        <v>500.5485900170973</v>
      </c>
      <c r="W139" s="256">
        <f t="shared" si="33"/>
        <v>500.5485900170973</v>
      </c>
      <c r="X139" s="26"/>
    </row>
    <row r="140" spans="1:24" ht="13.5" customHeight="1">
      <c r="A140" s="1395"/>
      <c r="B140" s="238">
        <v>2096</v>
      </c>
      <c r="C140" s="247"/>
      <c r="D140" s="2113">
        <v>578.8802362195928</v>
      </c>
      <c r="F140" s="297">
        <v>2.3293400578637158</v>
      </c>
      <c r="G140" s="257">
        <f t="shared" si="25"/>
        <v>953.8960979637875</v>
      </c>
      <c r="I140" s="297">
        <v>0.22639987</v>
      </c>
      <c r="J140" s="257">
        <f t="shared" si="26"/>
        <v>143.64688444598815</v>
      </c>
      <c r="K140" s="1390"/>
      <c r="L140" s="297">
        <v>0.22639987</v>
      </c>
      <c r="M140" s="257">
        <f t="shared" si="27"/>
        <v>149.02084583786498</v>
      </c>
      <c r="N140" s="250" t="str">
        <f t="shared" si="28"/>
        <v>-</v>
      </c>
      <c r="O140" s="252">
        <f t="shared" si="24"/>
        <v>2.0981898886833994</v>
      </c>
      <c r="P140" s="257">
        <f t="shared" si="29"/>
        <v>664.05623877102346</v>
      </c>
      <c r="Q140" s="1392" t="str">
        <f t="shared" si="30"/>
        <v>-</v>
      </c>
      <c r="R140" s="252">
        <f t="shared" si="34"/>
        <v>2.0981898886833994</v>
      </c>
      <c r="S140" s="257">
        <f t="shared" si="31"/>
        <v>576.18054409264357</v>
      </c>
      <c r="T140" s="254">
        <f t="shared" si="35"/>
        <v>2.0981898886833994</v>
      </c>
      <c r="U140" s="254">
        <f t="shared" si="36"/>
        <v>2.0981898886833994</v>
      </c>
      <c r="V140" s="255">
        <f t="shared" si="32"/>
        <v>511.05104992078333</v>
      </c>
      <c r="W140" s="256">
        <f t="shared" si="33"/>
        <v>511.05104992078333</v>
      </c>
      <c r="X140" s="26"/>
    </row>
    <row r="141" spans="1:24" ht="13.5" customHeight="1">
      <c r="A141" s="1395"/>
      <c r="B141" s="238">
        <v>2097</v>
      </c>
      <c r="C141" s="247"/>
      <c r="D141" s="2113">
        <v>592.19448165264339</v>
      </c>
      <c r="F141" s="297">
        <v>2.3293400578637158</v>
      </c>
      <c r="G141" s="257">
        <f t="shared" si="25"/>
        <v>976.11558188405684</v>
      </c>
      <c r="I141" s="297">
        <v>0.22724555999999999</v>
      </c>
      <c r="J141" s="257">
        <f t="shared" si="26"/>
        <v>143.97331561296997</v>
      </c>
      <c r="K141" s="1390"/>
      <c r="L141" s="297">
        <v>0.22724555999999999</v>
      </c>
      <c r="M141" s="257">
        <f t="shared" si="27"/>
        <v>149.35948909350597</v>
      </c>
      <c r="N141" s="250" t="str">
        <f t="shared" si="28"/>
        <v>-</v>
      </c>
      <c r="O141" s="252">
        <f t="shared" si="24"/>
        <v>2.0973284121684532</v>
      </c>
      <c r="P141" s="257">
        <f t="shared" si="29"/>
        <v>677.98367893954537</v>
      </c>
      <c r="Q141" s="1392" t="str">
        <f t="shared" si="30"/>
        <v>-</v>
      </c>
      <c r="R141" s="252">
        <f t="shared" si="34"/>
        <v>2.0973284121684532</v>
      </c>
      <c r="S141" s="257">
        <f t="shared" si="31"/>
        <v>588.26494234928532</v>
      </c>
      <c r="T141" s="254">
        <f t="shared" si="35"/>
        <v>2.0973284121684532</v>
      </c>
      <c r="U141" s="254">
        <f t="shared" si="36"/>
        <v>2.0973284121684532</v>
      </c>
      <c r="V141" s="255">
        <f t="shared" si="32"/>
        <v>521.76946879145714</v>
      </c>
      <c r="W141" s="256">
        <f t="shared" si="33"/>
        <v>521.76946879145714</v>
      </c>
      <c r="X141" s="26"/>
    </row>
    <row r="142" spans="1:24" ht="13.5" customHeight="1">
      <c r="A142" s="1395"/>
      <c r="B142" s="238">
        <v>2098</v>
      </c>
      <c r="C142" s="247"/>
      <c r="D142" s="2113">
        <v>605.81495473065411</v>
      </c>
      <c r="F142" s="297">
        <v>2.3293400578637158</v>
      </c>
      <c r="G142" s="257">
        <f t="shared" si="25"/>
        <v>998.85263314393171</v>
      </c>
      <c r="I142" s="297">
        <v>0.22773857</v>
      </c>
      <c r="J142" s="257">
        <f t="shared" si="26"/>
        <v>144.30119838312854</v>
      </c>
      <c r="K142" s="1390"/>
      <c r="L142" s="297">
        <v>0.22773857</v>
      </c>
      <c r="M142" s="257">
        <f t="shared" si="27"/>
        <v>149.69963825812684</v>
      </c>
      <c r="N142" s="250" t="str">
        <f t="shared" si="28"/>
        <v>-</v>
      </c>
      <c r="O142" s="252">
        <f t="shared" si="24"/>
        <v>2.0968262058471465</v>
      </c>
      <c r="P142" s="257">
        <f t="shared" si="29"/>
        <v>692.19981839091633</v>
      </c>
      <c r="Q142" s="1392" t="str">
        <f t="shared" si="30"/>
        <v>-</v>
      </c>
      <c r="R142" s="252">
        <f t="shared" si="34"/>
        <v>2.0968262058471465</v>
      </c>
      <c r="S142" s="257">
        <f t="shared" si="31"/>
        <v>600.59983582027678</v>
      </c>
      <c r="T142" s="254">
        <f t="shared" si="35"/>
        <v>2.0968262058471465</v>
      </c>
      <c r="U142" s="254">
        <f t="shared" si="36"/>
        <v>2.0968262058471465</v>
      </c>
      <c r="V142" s="255">
        <f t="shared" si="32"/>
        <v>532.71006774718592</v>
      </c>
      <c r="W142" s="256">
        <f t="shared" si="33"/>
        <v>532.71006774718592</v>
      </c>
      <c r="X142" s="26"/>
    </row>
    <row r="143" spans="1:24" ht="13.5" customHeight="1">
      <c r="A143" s="1395"/>
      <c r="B143" s="238">
        <v>2099</v>
      </c>
      <c r="C143" s="247"/>
      <c r="D143" s="2113">
        <v>619.74869868945905</v>
      </c>
      <c r="F143" s="297">
        <v>2.3293400578637158</v>
      </c>
      <c r="G143" s="257">
        <f t="shared" si="25"/>
        <v>1022.1193076467798</v>
      </c>
      <c r="I143" s="297">
        <v>0.22792077999999999</v>
      </c>
      <c r="J143" s="257">
        <f t="shared" si="26"/>
        <v>144.63009080003272</v>
      </c>
      <c r="K143" s="1390"/>
      <c r="L143" s="297">
        <v>0.22792077999999999</v>
      </c>
      <c r="M143" s="257">
        <f t="shared" si="27"/>
        <v>150.04083484130194</v>
      </c>
      <c r="N143" s="250" t="str">
        <f t="shared" si="28"/>
        <v>-</v>
      </c>
      <c r="O143" s="252">
        <f t="shared" si="24"/>
        <v>2.0966405982583591</v>
      </c>
      <c r="P143" s="257">
        <f t="shared" si="29"/>
        <v>706.71276080437087</v>
      </c>
      <c r="Q143" s="1392" t="str">
        <f t="shared" si="30"/>
        <v>-</v>
      </c>
      <c r="R143" s="252">
        <f t="shared" si="34"/>
        <v>2.0966405982583591</v>
      </c>
      <c r="S143" s="257">
        <f t="shared" si="31"/>
        <v>613.19225581115779</v>
      </c>
      <c r="T143" s="254">
        <f t="shared" si="35"/>
        <v>2.0966405982583591</v>
      </c>
      <c r="U143" s="254">
        <f t="shared" si="36"/>
        <v>2.0966405982583591</v>
      </c>
      <c r="V143" s="255">
        <f t="shared" si="32"/>
        <v>543.87908329858305</v>
      </c>
      <c r="W143" s="256">
        <f t="shared" si="33"/>
        <v>543.87908329858305</v>
      </c>
      <c r="X143" s="26"/>
    </row>
    <row r="144" spans="1:24" ht="13.5" customHeight="1">
      <c r="A144" s="1395"/>
      <c r="B144" s="238">
        <v>2100</v>
      </c>
      <c r="C144" s="247"/>
      <c r="D144" s="2113">
        <v>634.00291875931657</v>
      </c>
      <c r="F144" s="297">
        <v>2.3293400578637158</v>
      </c>
      <c r="G144" s="257">
        <f t="shared" si="25"/>
        <v>1045.9279421189556</v>
      </c>
      <c r="I144" s="297">
        <v>0.22768993999999998</v>
      </c>
      <c r="J144" s="257">
        <f t="shared" si="26"/>
        <v>144.95939896699727</v>
      </c>
      <c r="K144" s="1390"/>
      <c r="L144" s="297">
        <v>0.22768993999999998</v>
      </c>
      <c r="M144" s="257">
        <f t="shared" si="27"/>
        <v>150.38246272812762</v>
      </c>
      <c r="N144" s="250" t="str">
        <f t="shared" si="28"/>
        <v>-</v>
      </c>
      <c r="O144" s="252">
        <f t="shared" si="24"/>
        <v>2.0968757427431761</v>
      </c>
      <c r="P144" s="257">
        <f t="shared" si="29"/>
        <v>721.53164925654846</v>
      </c>
      <c r="Q144" s="1392" t="str">
        <f t="shared" si="30"/>
        <v>-</v>
      </c>
      <c r="R144" s="252">
        <f t="shared" si="34"/>
        <v>2.0968757427431761</v>
      </c>
      <c r="S144" s="257">
        <f t="shared" si="31"/>
        <v>626.05013547964165</v>
      </c>
      <c r="T144" s="254">
        <f t="shared" si="35"/>
        <v>2.0968757427431761</v>
      </c>
      <c r="U144" s="254">
        <f t="shared" si="36"/>
        <v>2.0968757427431761</v>
      </c>
      <c r="V144" s="255">
        <f t="shared" si="32"/>
        <v>555.28355186612498</v>
      </c>
      <c r="W144" s="256">
        <f t="shared" si="33"/>
        <v>555.28355186612498</v>
      </c>
      <c r="X144" s="26"/>
    </row>
    <row r="145" spans="1:24" ht="13.5" customHeight="1" thickBot="1">
      <c r="A145" s="1396"/>
      <c r="B145" s="1397" t="s">
        <v>178</v>
      </c>
      <c r="C145" s="249"/>
      <c r="D145" s="249"/>
      <c r="E145" s="246"/>
      <c r="F145" s="246"/>
      <c r="G145" s="249"/>
      <c r="H145" s="246"/>
      <c r="I145" s="246"/>
      <c r="J145" s="249"/>
      <c r="K145" s="259"/>
      <c r="L145" s="246"/>
      <c r="M145" s="249"/>
      <c r="N145" s="246"/>
      <c r="O145" s="246"/>
      <c r="P145" s="249"/>
      <c r="Q145" s="259"/>
      <c r="R145" s="246"/>
      <c r="S145" s="249"/>
      <c r="T145" s="246"/>
      <c r="U145" s="246"/>
      <c r="V145" s="246"/>
      <c r="W145" s="258"/>
      <c r="X145" s="26"/>
    </row>
    <row r="146" spans="1:24" ht="13.5" customHeight="1" thickTop="1" thickBot="1"/>
    <row r="147" spans="1:24" ht="13.5" customHeight="1" thickBot="1">
      <c r="D147" s="528" t="s">
        <v>1489</v>
      </c>
    </row>
  </sheetData>
  <sheetProtection sheet="1" objects="1" scenarios="1"/>
  <mergeCells count="7">
    <mergeCell ref="A11:B11"/>
    <mergeCell ref="A19:B19"/>
    <mergeCell ref="E6:S6"/>
    <mergeCell ref="A7:B7"/>
    <mergeCell ref="A8:B8"/>
    <mergeCell ref="A10:B10"/>
    <mergeCell ref="A12:B12"/>
  </mergeCells>
  <phoneticPr fontId="8" type="noConversion"/>
  <hyperlinks>
    <hyperlink ref="D147" location="'Annual Parameters Source'!D29" tooltip="Top of Annual Parameters Source" display="Top"/>
    <hyperlink ref="A11" location="Contents!A1" display="Contents"/>
    <hyperlink ref="A10" location="Contents!A1" display="Contents"/>
    <hyperlink ref="A10:B10" location="Contents!A1" tooltip="Contents page" display="Contents"/>
    <hyperlink ref="A12:B12" r:id="rId1" tooltip="Unit A1.3 User &amp; Provider Impacts" display="WebTAG Unit A 1.3"/>
    <hyperlink ref="F12" r:id="rId2" display="2018-2022 from EFO Mar 2018 table T1.1, published 13/03/2018"/>
    <hyperlink ref="F11" r:id="rId3" display="1990-2015 from ONS ABMI series, published 30/06/2016 (£m, 2012 prices)"/>
    <hyperlink ref="F16" r:id="rId4" display="1996-2016 from Labour Force Survey (UK households, '000s) published 04/11/2016"/>
    <hyperlink ref="F17" r:id="rId5" display="2017-2036 use 2014-based projections of UK households, published by DCLG in live table 401"/>
    <hyperlink ref="F14" r:id="rId6" display="1990-2015 from mid-year population estimates (all ages, '000s), published 23/06/16"/>
    <hyperlink ref="F15" r:id="rId7" display="Projections from 2016-2022 based on ONS 2016 based principal population projection, published 26/10/2017"/>
    <hyperlink ref="F9" r:id="rId8" display="2018-2023 from EFO Nov 2018 supplementary economy table 1.7, published 29/10/2018"/>
    <hyperlink ref="F8" r:id="rId9" display="1990-2015 from ONS Quarterly National Accounts Q3 2015 (series MNF2), released 30/06/2016"/>
    <hyperlink ref="F10" r:id="rId10" display="2023 onwards: based on March 2018 OBR Long-term economic determinants published 13/03/2018"/>
    <hyperlink ref="F13" r:id="rId11" display="2023 onwards: based on March 2018 OBR Long-term economic determinants published 13/03/2018"/>
  </hyperlinks>
  <pageMargins left="0.75" right="0.75" top="1" bottom="1" header="0.5" footer="0.5"/>
  <pageSetup paperSize="9" orientation="portrait" r:id="rId12"/>
  <headerFooter alignWithMargins="0"/>
  <drawing r:id="rId1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indexed="10"/>
  </sheetPr>
  <dimension ref="A1:AL199"/>
  <sheetViews>
    <sheetView showGridLines="0" zoomScale="85" zoomScaleNormal="85" workbookViewId="0">
      <pane xSplit="3" ySplit="26" topLeftCell="D29"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2"/>
  <cols>
    <col min="1" max="16384" width="12.88671875" style="33"/>
  </cols>
  <sheetData>
    <row r="1" spans="1:38" ht="54.9" customHeight="1">
      <c r="A1" s="3569"/>
      <c r="B1" s="3569"/>
      <c r="C1" s="112"/>
    </row>
    <row r="2" spans="1:38" ht="5.0999999999999996" customHeight="1">
      <c r="C2" s="111"/>
    </row>
    <row r="3" spans="1:38" s="20" customFormat="1" ht="20.100000000000001" customHeight="1">
      <c r="A3" s="83" t="s">
        <v>2219</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13</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46">
        <f>Audit!C12</f>
        <v>43586</v>
      </c>
      <c r="B8" s="3645"/>
      <c r="E8" s="90"/>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113"/>
      <c r="I9" s="27"/>
      <c r="J9" s="27"/>
      <c r="K9" s="27"/>
      <c r="L9" s="27"/>
      <c r="M9" s="27"/>
      <c r="N9" s="27"/>
      <c r="O9" s="27"/>
      <c r="P9" s="27"/>
      <c r="Q9" s="27"/>
      <c r="R9" s="27"/>
      <c r="S9" s="55"/>
      <c r="W9" s="26"/>
      <c r="X9" s="26"/>
      <c r="Y9" s="26"/>
      <c r="Z9" s="26"/>
      <c r="AA9" s="31"/>
      <c r="AB9" s="26"/>
      <c r="AL9" s="87"/>
    </row>
    <row r="10" spans="1:38" s="38" customFormat="1" ht="13.5" customHeight="1" thickBot="1">
      <c r="A10" s="3611" t="s">
        <v>1306</v>
      </c>
      <c r="B10" s="3612"/>
      <c r="E10" s="113"/>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640" t="s">
        <v>2220</v>
      </c>
      <c r="B11" s="3641"/>
      <c r="E11" s="113"/>
      <c r="I11" s="68"/>
      <c r="J11" s="68"/>
      <c r="K11" s="68"/>
      <c r="L11" s="68"/>
      <c r="M11" s="68"/>
      <c r="N11" s="68"/>
      <c r="O11" s="68"/>
      <c r="P11" s="68"/>
      <c r="Q11" s="68"/>
      <c r="R11" s="68"/>
      <c r="S11" s="107"/>
      <c r="W11" s="26"/>
      <c r="X11" s="26"/>
      <c r="Y11" s="26"/>
      <c r="Z11" s="26"/>
      <c r="AA11" s="31"/>
      <c r="AB11" s="26"/>
      <c r="AL11" s="87"/>
    </row>
    <row r="12" spans="1:38" s="38" customFormat="1" ht="13.5" customHeight="1">
      <c r="A12" s="2049"/>
      <c r="B12" s="2049"/>
      <c r="E12" s="113"/>
      <c r="I12" s="68"/>
      <c r="J12" s="68"/>
      <c r="K12" s="68"/>
      <c r="L12" s="68"/>
      <c r="M12" s="68"/>
      <c r="N12" s="68"/>
      <c r="O12" s="68"/>
      <c r="P12" s="68"/>
      <c r="Q12" s="68"/>
      <c r="R12" s="68"/>
      <c r="S12" s="107"/>
      <c r="W12" s="26"/>
      <c r="X12" s="26"/>
      <c r="Y12" s="26"/>
      <c r="Z12" s="26"/>
      <c r="AA12" s="31"/>
      <c r="AB12" s="26"/>
      <c r="AL12" s="87"/>
    </row>
    <row r="13" spans="1:38" s="38" customFormat="1" ht="13.5" customHeight="1">
      <c r="A13" s="172" t="s">
        <v>252</v>
      </c>
      <c r="B13" s="179"/>
      <c r="E13" s="113"/>
      <c r="I13" s="27"/>
      <c r="J13" s="26"/>
      <c r="K13" s="26"/>
      <c r="L13" s="26"/>
      <c r="M13" s="27"/>
      <c r="N13" s="27"/>
      <c r="O13" s="27"/>
      <c r="P13" s="27"/>
      <c r="Q13" s="27"/>
      <c r="R13" s="27"/>
      <c r="S13" s="55"/>
      <c r="W13" s="26"/>
      <c r="X13" s="26"/>
      <c r="Y13" s="26"/>
      <c r="Z13" s="26"/>
      <c r="AA13" s="31"/>
      <c r="AB13" s="26"/>
      <c r="AL13" s="87"/>
    </row>
    <row r="14" spans="1:38" ht="13.5" customHeight="1">
      <c r="A14" s="38" t="s">
        <v>12</v>
      </c>
      <c r="B14" s="177"/>
      <c r="C14" s="82"/>
      <c r="E14" s="114"/>
      <c r="I14" s="27"/>
      <c r="J14" s="27"/>
      <c r="K14" s="27"/>
      <c r="L14" s="27"/>
      <c r="M14" s="27"/>
      <c r="N14" s="27"/>
      <c r="O14" s="27"/>
      <c r="P14" s="27"/>
      <c r="Q14" s="27"/>
      <c r="R14" s="27"/>
      <c r="S14" s="55"/>
      <c r="W14" s="72"/>
      <c r="X14" s="72"/>
      <c r="Y14" s="72"/>
      <c r="Z14" s="96"/>
      <c r="AA14" s="31"/>
      <c r="AB14" s="26"/>
    </row>
    <row r="15" spans="1:38" ht="13.5" customHeight="1">
      <c r="A15" s="95" t="s">
        <v>799</v>
      </c>
      <c r="B15" s="171">
        <f>'User Parameters'!L13</f>
        <v>2010</v>
      </c>
      <c r="C15" s="178"/>
      <c r="E15" s="113"/>
      <c r="I15" s="27"/>
      <c r="J15" s="27"/>
      <c r="K15" s="27"/>
      <c r="L15" s="27"/>
      <c r="M15" s="27"/>
      <c r="N15" s="27"/>
      <c r="O15" s="27"/>
      <c r="P15" s="27"/>
      <c r="Q15" s="27"/>
      <c r="R15" s="27"/>
      <c r="S15" s="55"/>
      <c r="U15" s="25"/>
      <c r="W15" s="56"/>
      <c r="X15" s="72"/>
      <c r="Y15" s="72"/>
      <c r="Z15" s="96"/>
      <c r="AA15" s="31"/>
      <c r="AB15" s="26"/>
    </row>
    <row r="16" spans="1:38" ht="13.5" customHeight="1">
      <c r="C16" s="178"/>
      <c r="E16" s="113"/>
      <c r="I16" s="26"/>
      <c r="J16" s="26"/>
      <c r="K16" s="26"/>
      <c r="L16" s="26"/>
      <c r="M16" s="26"/>
      <c r="N16" s="26"/>
      <c r="O16" s="26"/>
      <c r="P16" s="26"/>
      <c r="Q16" s="26"/>
      <c r="R16" s="26"/>
      <c r="S16" s="147"/>
      <c r="U16" s="25"/>
      <c r="W16" s="26"/>
      <c r="X16" s="26"/>
      <c r="Y16" s="26"/>
      <c r="Z16" s="26"/>
      <c r="AA16" s="26"/>
      <c r="AB16" s="26"/>
    </row>
    <row r="17" spans="1:37" ht="13.5" customHeight="1">
      <c r="A17" s="169" t="s">
        <v>253</v>
      </c>
      <c r="B17" s="170"/>
      <c r="C17" s="82"/>
      <c r="E17" s="113"/>
      <c r="I17" s="27"/>
      <c r="J17" s="27"/>
      <c r="K17" s="27"/>
      <c r="L17" s="27"/>
      <c r="M17" s="27"/>
      <c r="N17" s="27"/>
      <c r="O17" s="27"/>
      <c r="P17" s="27"/>
      <c r="Q17" s="27"/>
      <c r="R17" s="27"/>
      <c r="S17" s="55"/>
      <c r="U17" s="25"/>
    </row>
    <row r="18" spans="1:37" ht="13.5" customHeight="1">
      <c r="C18" s="38"/>
      <c r="E18" s="149" t="s">
        <v>374</v>
      </c>
      <c r="I18" s="27"/>
      <c r="J18" s="27"/>
      <c r="K18" s="27"/>
      <c r="L18" s="27"/>
      <c r="M18" s="27"/>
      <c r="N18" s="27"/>
      <c r="O18" s="27"/>
      <c r="P18" s="27"/>
      <c r="Q18" s="27"/>
      <c r="R18" s="27"/>
      <c r="S18" s="55"/>
      <c r="U18" s="25"/>
    </row>
    <row r="19" spans="1:37" ht="13.5" customHeight="1">
      <c r="E19" s="161" t="s">
        <v>2351</v>
      </c>
      <c r="F19" s="29"/>
      <c r="G19" s="32"/>
      <c r="H19" s="26"/>
      <c r="I19" s="31"/>
      <c r="J19" s="26"/>
      <c r="K19" s="72"/>
      <c r="L19" s="72"/>
      <c r="M19" s="72"/>
      <c r="N19" s="72"/>
      <c r="O19" s="96"/>
      <c r="P19" s="31"/>
      <c r="Q19" s="26"/>
      <c r="R19" s="26"/>
      <c r="S19" s="147"/>
      <c r="U19" s="25"/>
    </row>
    <row r="20" spans="1:37" ht="13.5" customHeight="1" thickBot="1">
      <c r="E20" s="162" t="s">
        <v>2221</v>
      </c>
      <c r="F20" s="163"/>
      <c r="G20" s="164"/>
      <c r="H20" s="13"/>
      <c r="I20" s="165"/>
      <c r="J20" s="13"/>
      <c r="K20" s="166"/>
      <c r="L20" s="166"/>
      <c r="M20" s="166"/>
      <c r="N20" s="166"/>
      <c r="O20" s="167"/>
      <c r="P20" s="165"/>
      <c r="Q20" s="13"/>
      <c r="R20" s="13"/>
      <c r="S20" s="168"/>
      <c r="U20" s="25"/>
    </row>
    <row r="21" spans="1:37" ht="13.5" customHeight="1" thickTop="1">
      <c r="E21" s="95"/>
      <c r="F21" s="29"/>
      <c r="G21" s="32"/>
      <c r="H21" s="26"/>
      <c r="I21" s="31"/>
      <c r="J21" s="26"/>
      <c r="K21" s="72"/>
      <c r="L21" s="72"/>
      <c r="M21" s="72"/>
      <c r="N21" s="72"/>
      <c r="O21" s="96"/>
      <c r="P21" s="31"/>
      <c r="Q21" s="26"/>
      <c r="R21" s="26"/>
      <c r="S21" s="26"/>
      <c r="U21" s="25"/>
    </row>
    <row r="22" spans="1:37" ht="13.5" customHeight="1" thickBot="1">
      <c r="B22" s="27"/>
      <c r="C22" s="27"/>
      <c r="D22" s="69"/>
      <c r="E22" s="37"/>
      <c r="F22" s="37"/>
      <c r="G22" s="37"/>
      <c r="H22" s="37"/>
      <c r="I22" s="37"/>
      <c r="J22" s="37"/>
      <c r="K22" s="37"/>
      <c r="L22" s="37"/>
      <c r="M22" s="37"/>
      <c r="N22" s="37"/>
      <c r="O22" s="37"/>
      <c r="P22" s="37"/>
      <c r="Q22" s="37"/>
      <c r="R22" s="37"/>
      <c r="S22" s="37"/>
    </row>
    <row r="23" spans="1:37" ht="13.5" customHeight="1" thickTop="1" thickBot="1">
      <c r="A23" s="122" t="s">
        <v>1108</v>
      </c>
      <c r="B23" s="88"/>
      <c r="C23" s="88"/>
      <c r="D23" s="125" t="s">
        <v>248</v>
      </c>
      <c r="E23" s="151"/>
      <c r="F23" s="151"/>
      <c r="G23" s="151"/>
      <c r="H23" s="151"/>
      <c r="I23" s="151"/>
      <c r="J23" s="151"/>
      <c r="K23" s="151"/>
      <c r="L23" s="151"/>
      <c r="M23" s="151"/>
      <c r="N23" s="151"/>
      <c r="O23" s="151"/>
      <c r="P23" s="151"/>
      <c r="Q23" s="151"/>
      <c r="R23" s="151"/>
      <c r="S23" s="152"/>
    </row>
    <row r="24" spans="1:37" ht="13.5" customHeight="1" thickTop="1">
      <c r="A24" s="99"/>
      <c r="B24" s="100"/>
      <c r="C24" s="100"/>
      <c r="D24" s="157" t="s">
        <v>249</v>
      </c>
      <c r="E24" s="102"/>
      <c r="F24" s="103"/>
      <c r="G24" s="103"/>
      <c r="H24" s="103"/>
      <c r="I24" s="103"/>
      <c r="J24" s="103"/>
      <c r="K24" s="103"/>
      <c r="L24" s="103"/>
      <c r="M24" s="103"/>
      <c r="N24" s="103"/>
      <c r="O24" s="103"/>
      <c r="P24" s="103"/>
      <c r="Q24" s="102"/>
      <c r="R24" s="66"/>
      <c r="S24" s="67"/>
    </row>
    <row r="25" spans="1:37" s="27" customFormat="1" ht="13.5" customHeight="1">
      <c r="A25" s="104"/>
      <c r="B25" s="105"/>
      <c r="C25" s="105"/>
      <c r="D25" s="153" t="s">
        <v>250</v>
      </c>
      <c r="E25" s="154"/>
      <c r="F25" s="154"/>
      <c r="G25" s="154"/>
      <c r="H25" s="154"/>
      <c r="I25" s="154"/>
      <c r="J25" s="154"/>
      <c r="K25" s="154"/>
      <c r="L25" s="154"/>
      <c r="M25" s="155"/>
      <c r="N25" s="154"/>
      <c r="O25" s="154"/>
      <c r="P25" s="154"/>
      <c r="Q25" s="154"/>
      <c r="R25" s="154"/>
      <c r="S25" s="156"/>
    </row>
    <row r="26" spans="1:37" s="27" customFormat="1" ht="13.5" customHeight="1">
      <c r="A26" s="104"/>
      <c r="B26" s="105"/>
      <c r="C26" s="105"/>
      <c r="D26" s="153" t="s">
        <v>251</v>
      </c>
      <c r="E26" s="154"/>
      <c r="F26" s="154"/>
      <c r="G26" s="154"/>
      <c r="H26" s="154"/>
      <c r="I26" s="154"/>
      <c r="J26" s="154"/>
      <c r="K26" s="154"/>
      <c r="L26" s="154"/>
      <c r="M26" s="154"/>
      <c r="N26" s="154"/>
      <c r="O26" s="154"/>
      <c r="P26" s="154"/>
      <c r="Q26" s="154"/>
      <c r="R26" s="154"/>
      <c r="S26" s="156"/>
      <c r="U26" s="68"/>
      <c r="V26" s="68"/>
      <c r="W26" s="68"/>
      <c r="X26" s="68"/>
      <c r="Y26" s="68"/>
      <c r="Z26" s="68"/>
      <c r="AA26" s="68"/>
      <c r="AB26" s="68"/>
      <c r="AC26" s="68"/>
      <c r="AD26" s="68"/>
      <c r="AE26" s="68"/>
      <c r="AF26" s="68"/>
      <c r="AG26" s="68"/>
      <c r="AH26" s="68"/>
      <c r="AI26" s="68"/>
      <c r="AJ26" s="68"/>
      <c r="AK26" s="68"/>
    </row>
    <row r="27" spans="1:37" ht="13.5" customHeight="1">
      <c r="A27" s="90"/>
      <c r="B27" s="32" t="e">
        <f>'Source VoT'!#REF!</f>
        <v>#REF!</v>
      </c>
      <c r="C27" s="32"/>
      <c r="D27" s="117"/>
      <c r="E27" s="73"/>
      <c r="F27" s="73"/>
      <c r="G27" s="73"/>
      <c r="H27" s="73"/>
      <c r="I27" s="73"/>
      <c r="J27" s="73"/>
      <c r="K27" s="73"/>
      <c r="L27" s="73"/>
      <c r="M27" s="73"/>
      <c r="N27" s="73"/>
      <c r="O27" s="73"/>
      <c r="P27" s="73"/>
      <c r="Q27" s="73"/>
      <c r="R27" s="75"/>
      <c r="S27" s="76"/>
    </row>
    <row r="28" spans="1:37" ht="13.5" customHeight="1">
      <c r="A28" s="90"/>
      <c r="B28" s="82" t="e">
        <f t="shared" ref="B28:B59" si="0">B27+1</f>
        <v>#REF!</v>
      </c>
      <c r="C28" s="82"/>
      <c r="D28" s="117"/>
      <c r="E28" s="73"/>
      <c r="F28" s="73"/>
      <c r="G28" s="73"/>
      <c r="H28" s="73"/>
      <c r="I28" s="73"/>
      <c r="J28" s="73"/>
      <c r="K28" s="73"/>
      <c r="L28" s="73"/>
      <c r="M28" s="73"/>
      <c r="N28" s="73"/>
      <c r="O28" s="73"/>
      <c r="P28" s="73"/>
      <c r="Q28" s="73"/>
      <c r="R28" s="75"/>
      <c r="S28" s="76"/>
    </row>
    <row r="29" spans="1:37" ht="13.5" customHeight="1">
      <c r="A29" s="90"/>
      <c r="B29" s="82" t="e">
        <f t="shared" si="0"/>
        <v>#REF!</v>
      </c>
      <c r="C29" s="82"/>
      <c r="D29" s="117"/>
      <c r="E29" s="73"/>
      <c r="F29" s="73"/>
      <c r="G29" s="73"/>
      <c r="H29" s="73"/>
      <c r="I29" s="73"/>
      <c r="J29" s="73"/>
      <c r="K29" s="73"/>
      <c r="L29" s="73"/>
      <c r="M29" s="73"/>
      <c r="N29" s="73"/>
      <c r="O29" s="73"/>
      <c r="P29" s="73"/>
      <c r="Q29" s="73"/>
      <c r="R29" s="75"/>
      <c r="S29" s="76"/>
    </row>
    <row r="30" spans="1:37" ht="13.5" customHeight="1">
      <c r="A30" s="90"/>
      <c r="B30" s="82" t="e">
        <f t="shared" si="0"/>
        <v>#REF!</v>
      </c>
      <c r="C30" s="82"/>
      <c r="D30" s="117"/>
      <c r="E30" s="73"/>
      <c r="F30" s="73"/>
      <c r="G30" s="73"/>
      <c r="H30" s="73"/>
      <c r="I30" s="73"/>
      <c r="J30" s="73"/>
      <c r="K30" s="73"/>
      <c r="L30" s="73"/>
      <c r="M30" s="73"/>
      <c r="N30" s="73"/>
      <c r="O30" s="73"/>
      <c r="P30" s="73"/>
      <c r="Q30" s="73"/>
      <c r="R30" s="75"/>
      <c r="S30" s="76"/>
      <c r="U30" s="34"/>
    </row>
    <row r="31" spans="1:37" ht="13.5" customHeight="1">
      <c r="A31" s="90"/>
      <c r="B31" s="82" t="e">
        <f t="shared" si="0"/>
        <v>#REF!</v>
      </c>
      <c r="C31" s="82"/>
      <c r="D31" s="117"/>
      <c r="E31" s="73"/>
      <c r="F31" s="73"/>
      <c r="G31" s="73"/>
      <c r="H31" s="73"/>
      <c r="I31" s="73"/>
      <c r="J31" s="73"/>
      <c r="K31" s="73"/>
      <c r="L31" s="73"/>
      <c r="M31" s="73"/>
      <c r="N31" s="73"/>
      <c r="O31" s="73"/>
      <c r="P31" s="73"/>
      <c r="Q31" s="73"/>
      <c r="R31" s="75"/>
      <c r="S31" s="76"/>
    </row>
    <row r="32" spans="1:37" ht="13.5" customHeight="1">
      <c r="A32" s="90"/>
      <c r="B32" s="82" t="e">
        <f t="shared" si="0"/>
        <v>#REF!</v>
      </c>
      <c r="C32" s="82"/>
      <c r="D32" s="117"/>
      <c r="E32" s="73"/>
      <c r="F32" s="73"/>
      <c r="G32" s="73"/>
      <c r="H32" s="73"/>
      <c r="I32" s="73"/>
      <c r="J32" s="73"/>
      <c r="K32" s="73"/>
      <c r="L32" s="73"/>
      <c r="M32" s="73"/>
      <c r="N32" s="73"/>
      <c r="O32" s="73"/>
      <c r="P32" s="73"/>
      <c r="Q32" s="73"/>
      <c r="R32" s="75"/>
      <c r="S32" s="76"/>
    </row>
    <row r="33" spans="1:21" ht="13.5" customHeight="1">
      <c r="A33" s="90"/>
      <c r="B33" s="82" t="e">
        <f t="shared" si="0"/>
        <v>#REF!</v>
      </c>
      <c r="C33" s="82"/>
      <c r="D33" s="117"/>
      <c r="E33" s="73"/>
      <c r="F33" s="73"/>
      <c r="G33" s="73"/>
      <c r="H33" s="73"/>
      <c r="I33" s="73"/>
      <c r="J33" s="73"/>
      <c r="K33" s="73"/>
      <c r="L33" s="73"/>
      <c r="M33" s="73"/>
      <c r="N33" s="73"/>
      <c r="O33" s="73"/>
      <c r="P33" s="73"/>
      <c r="Q33" s="73"/>
      <c r="R33" s="75"/>
      <c r="S33" s="76"/>
    </row>
    <row r="34" spans="1:21" ht="13.5" customHeight="1">
      <c r="A34" s="90"/>
      <c r="B34" s="82" t="e">
        <f t="shared" si="0"/>
        <v>#REF!</v>
      </c>
      <c r="C34" s="82"/>
      <c r="D34" s="117"/>
      <c r="E34" s="73"/>
      <c r="F34" s="73"/>
      <c r="G34" s="73"/>
      <c r="H34" s="73"/>
      <c r="I34" s="73"/>
      <c r="J34" s="73"/>
      <c r="K34" s="73"/>
      <c r="L34" s="73"/>
      <c r="M34" s="73"/>
      <c r="N34" s="73"/>
      <c r="O34" s="73"/>
      <c r="P34" s="73"/>
      <c r="Q34" s="73"/>
      <c r="R34" s="75"/>
      <c r="S34" s="76"/>
    </row>
    <row r="35" spans="1:21" s="24" customFormat="1" ht="13.5" customHeight="1">
      <c r="A35" s="91"/>
      <c r="B35" s="32" t="e">
        <f t="shared" si="0"/>
        <v>#REF!</v>
      </c>
      <c r="C35" s="32"/>
      <c r="D35" s="118"/>
      <c r="E35" s="80"/>
      <c r="F35" s="80"/>
      <c r="G35" s="80"/>
      <c r="H35" s="80"/>
      <c r="I35" s="80"/>
      <c r="J35" s="80"/>
      <c r="K35" s="80"/>
      <c r="L35" s="80"/>
      <c r="M35" s="80"/>
      <c r="N35" s="80"/>
      <c r="O35" s="80"/>
      <c r="P35" s="80"/>
      <c r="Q35" s="80"/>
      <c r="R35" s="119"/>
      <c r="S35" s="81"/>
      <c r="U35" s="27"/>
    </row>
    <row r="36" spans="1:21" ht="13.5" customHeight="1">
      <c r="A36" s="90"/>
      <c r="B36" s="82" t="e">
        <f t="shared" si="0"/>
        <v>#REF!</v>
      </c>
      <c r="C36" s="82"/>
      <c r="D36" s="117"/>
      <c r="E36" s="73"/>
      <c r="F36" s="73"/>
      <c r="G36" s="73"/>
      <c r="H36" s="73"/>
      <c r="I36" s="73"/>
      <c r="J36" s="73"/>
      <c r="K36" s="73"/>
      <c r="L36" s="73"/>
      <c r="M36" s="73"/>
      <c r="N36" s="73"/>
      <c r="O36" s="73"/>
      <c r="P36" s="73"/>
      <c r="Q36" s="73"/>
      <c r="R36" s="75"/>
      <c r="S36" s="76"/>
    </row>
    <row r="37" spans="1:21" ht="13.5" customHeight="1">
      <c r="A37" s="90"/>
      <c r="B37" s="82" t="e">
        <f t="shared" si="0"/>
        <v>#REF!</v>
      </c>
      <c r="C37" s="82"/>
      <c r="D37" s="117"/>
      <c r="E37" s="73"/>
      <c r="F37" s="73"/>
      <c r="G37" s="73"/>
      <c r="H37" s="73"/>
      <c r="I37" s="73"/>
      <c r="J37" s="73"/>
      <c r="K37" s="73"/>
      <c r="L37" s="73"/>
      <c r="M37" s="73"/>
      <c r="N37" s="73"/>
      <c r="O37" s="73"/>
      <c r="P37" s="73"/>
      <c r="Q37" s="73"/>
      <c r="R37" s="75"/>
      <c r="S37" s="76"/>
    </row>
    <row r="38" spans="1:21" ht="13.5" customHeight="1">
      <c r="A38" s="90"/>
      <c r="B38" s="82" t="e">
        <f t="shared" si="0"/>
        <v>#REF!</v>
      </c>
      <c r="C38" s="82"/>
      <c r="D38" s="117"/>
      <c r="E38" s="73"/>
      <c r="F38" s="73"/>
      <c r="G38" s="73"/>
      <c r="H38" s="73"/>
      <c r="I38" s="73"/>
      <c r="J38" s="73"/>
      <c r="K38" s="73"/>
      <c r="L38" s="73"/>
      <c r="M38" s="73"/>
      <c r="N38" s="73"/>
      <c r="O38" s="73"/>
      <c r="P38" s="73"/>
      <c r="Q38" s="73"/>
      <c r="R38" s="75"/>
      <c r="S38" s="76"/>
      <c r="U38" s="26"/>
    </row>
    <row r="39" spans="1:21" ht="13.5" customHeight="1">
      <c r="A39" s="90"/>
      <c r="B39" s="82" t="e">
        <f t="shared" si="0"/>
        <v>#REF!</v>
      </c>
      <c r="C39" s="82"/>
      <c r="D39" s="117"/>
      <c r="E39" s="73"/>
      <c r="F39" s="73"/>
      <c r="G39" s="73"/>
      <c r="H39" s="73"/>
      <c r="I39" s="73"/>
      <c r="J39" s="73"/>
      <c r="K39" s="73"/>
      <c r="L39" s="73"/>
      <c r="M39" s="73"/>
      <c r="N39" s="73"/>
      <c r="O39" s="73"/>
      <c r="P39" s="73"/>
      <c r="Q39" s="73"/>
      <c r="R39" s="75"/>
      <c r="S39" s="76"/>
      <c r="U39" s="26"/>
    </row>
    <row r="40" spans="1:21" ht="13.5" customHeight="1">
      <c r="A40" s="90"/>
      <c r="B40" s="82" t="e">
        <f t="shared" si="0"/>
        <v>#REF!</v>
      </c>
      <c r="C40" s="82"/>
      <c r="D40" s="117"/>
      <c r="E40" s="73"/>
      <c r="F40" s="73"/>
      <c r="G40" s="73"/>
      <c r="H40" s="73"/>
      <c r="I40" s="73"/>
      <c r="J40" s="73"/>
      <c r="K40" s="73"/>
      <c r="L40" s="73"/>
      <c r="M40" s="73"/>
      <c r="N40" s="73"/>
      <c r="O40" s="73"/>
      <c r="P40" s="73"/>
      <c r="Q40" s="73"/>
      <c r="R40" s="75"/>
      <c r="S40" s="76"/>
    </row>
    <row r="41" spans="1:21" ht="13.5" customHeight="1">
      <c r="A41" s="90"/>
      <c r="B41" s="82" t="e">
        <f t="shared" si="0"/>
        <v>#REF!</v>
      </c>
      <c r="C41" s="82"/>
      <c r="D41" s="117"/>
      <c r="E41" s="73"/>
      <c r="F41" s="73"/>
      <c r="G41" s="73"/>
      <c r="H41" s="73"/>
      <c r="I41" s="73"/>
      <c r="J41" s="73"/>
      <c r="K41" s="73"/>
      <c r="L41" s="73"/>
      <c r="M41" s="73"/>
      <c r="N41" s="73"/>
      <c r="O41" s="73"/>
      <c r="P41" s="73"/>
      <c r="Q41" s="73"/>
      <c r="R41" s="75"/>
      <c r="S41" s="76"/>
    </row>
    <row r="42" spans="1:21" ht="13.5" customHeight="1">
      <c r="A42" s="90"/>
      <c r="B42" s="82" t="e">
        <f t="shared" si="0"/>
        <v>#REF!</v>
      </c>
      <c r="C42" s="82"/>
      <c r="D42" s="117"/>
      <c r="E42" s="73"/>
      <c r="F42" s="73"/>
      <c r="G42" s="73"/>
      <c r="H42" s="73"/>
      <c r="I42" s="73"/>
      <c r="J42" s="73"/>
      <c r="K42" s="73"/>
      <c r="L42" s="73"/>
      <c r="M42" s="73"/>
      <c r="N42" s="73"/>
      <c r="O42" s="73"/>
      <c r="P42" s="73"/>
      <c r="Q42" s="73"/>
      <c r="R42" s="75"/>
      <c r="S42" s="76"/>
    </row>
    <row r="43" spans="1:21" ht="13.5" customHeight="1">
      <c r="A43" s="90"/>
      <c r="B43" s="82" t="e">
        <f t="shared" si="0"/>
        <v>#REF!</v>
      </c>
      <c r="C43" s="82"/>
      <c r="D43" s="117"/>
      <c r="E43" s="73"/>
      <c r="F43" s="73"/>
      <c r="G43" s="73"/>
      <c r="H43" s="73"/>
      <c r="I43" s="73"/>
      <c r="J43" s="73"/>
      <c r="K43" s="73"/>
      <c r="L43" s="73"/>
      <c r="M43" s="73"/>
      <c r="N43" s="73"/>
      <c r="O43" s="73"/>
      <c r="P43" s="73"/>
      <c r="Q43" s="73"/>
      <c r="R43" s="75"/>
      <c r="S43" s="76"/>
    </row>
    <row r="44" spans="1:21" ht="13.5" customHeight="1">
      <c r="A44" s="90"/>
      <c r="B44" s="82" t="e">
        <f t="shared" si="0"/>
        <v>#REF!</v>
      </c>
      <c r="C44" s="82"/>
      <c r="D44" s="117"/>
      <c r="E44" s="73"/>
      <c r="F44" s="73"/>
      <c r="G44" s="73"/>
      <c r="H44" s="73"/>
      <c r="I44" s="73"/>
      <c r="J44" s="73"/>
      <c r="K44" s="73"/>
      <c r="L44" s="73"/>
      <c r="M44" s="73"/>
      <c r="N44" s="73"/>
      <c r="O44" s="73"/>
      <c r="P44" s="73"/>
      <c r="Q44" s="73"/>
      <c r="R44" s="75"/>
      <c r="S44" s="76"/>
    </row>
    <row r="45" spans="1:21" ht="13.5" customHeight="1">
      <c r="A45" s="90"/>
      <c r="B45" s="82" t="e">
        <f t="shared" si="0"/>
        <v>#REF!</v>
      </c>
      <c r="C45" s="82"/>
      <c r="D45" s="117"/>
      <c r="E45" s="73"/>
      <c r="F45" s="73"/>
      <c r="G45" s="73"/>
      <c r="H45" s="73"/>
      <c r="I45" s="73"/>
      <c r="J45" s="73"/>
      <c r="K45" s="73"/>
      <c r="L45" s="73"/>
      <c r="M45" s="73"/>
      <c r="N45" s="73"/>
      <c r="O45" s="73"/>
      <c r="P45" s="73"/>
      <c r="Q45" s="73"/>
      <c r="R45" s="75"/>
      <c r="S45" s="76"/>
    </row>
    <row r="46" spans="1:21" ht="13.5" customHeight="1">
      <c r="A46" s="90"/>
      <c r="B46" s="82" t="e">
        <f t="shared" si="0"/>
        <v>#REF!</v>
      </c>
      <c r="C46" s="82"/>
      <c r="D46" s="117"/>
      <c r="E46" s="73"/>
      <c r="F46" s="73"/>
      <c r="G46" s="73"/>
      <c r="H46" s="73"/>
      <c r="I46" s="73"/>
      <c r="J46" s="73"/>
      <c r="K46" s="73"/>
      <c r="L46" s="73"/>
      <c r="M46" s="73"/>
      <c r="N46" s="73"/>
      <c r="O46" s="73"/>
      <c r="P46" s="73"/>
      <c r="Q46" s="73"/>
      <c r="R46" s="75"/>
      <c r="S46" s="76"/>
    </row>
    <row r="47" spans="1:21" ht="13.5" customHeight="1">
      <c r="A47" s="90"/>
      <c r="B47" s="82" t="e">
        <f t="shared" si="0"/>
        <v>#REF!</v>
      </c>
      <c r="C47" s="82"/>
      <c r="D47" s="117"/>
      <c r="E47" s="73"/>
      <c r="F47" s="73"/>
      <c r="G47" s="73"/>
      <c r="H47" s="73"/>
      <c r="I47" s="73"/>
      <c r="J47" s="73"/>
      <c r="K47" s="73"/>
      <c r="L47" s="73"/>
      <c r="M47" s="73"/>
      <c r="N47" s="73"/>
      <c r="O47" s="73"/>
      <c r="P47" s="73"/>
      <c r="Q47" s="73"/>
      <c r="R47" s="75"/>
      <c r="S47" s="76"/>
    </row>
    <row r="48" spans="1:21" ht="13.5" customHeight="1">
      <c r="A48" s="90"/>
      <c r="B48" s="82" t="e">
        <f t="shared" si="0"/>
        <v>#REF!</v>
      </c>
      <c r="C48" s="82"/>
      <c r="D48" s="117"/>
      <c r="E48" s="73"/>
      <c r="F48" s="73"/>
      <c r="G48" s="73"/>
      <c r="H48" s="73"/>
      <c r="I48" s="73"/>
      <c r="J48" s="73"/>
      <c r="K48" s="73"/>
      <c r="L48" s="73"/>
      <c r="M48" s="73"/>
      <c r="N48" s="73"/>
      <c r="O48" s="73"/>
      <c r="P48" s="73"/>
      <c r="Q48" s="73"/>
      <c r="R48" s="75"/>
      <c r="S48" s="76"/>
    </row>
    <row r="49" spans="1:19" ht="13.5" customHeight="1">
      <c r="A49" s="90"/>
      <c r="B49" s="82" t="e">
        <f t="shared" si="0"/>
        <v>#REF!</v>
      </c>
      <c r="C49" s="82"/>
      <c r="D49" s="117"/>
      <c r="E49" s="73"/>
      <c r="F49" s="73"/>
      <c r="G49" s="73"/>
      <c r="H49" s="73"/>
      <c r="I49" s="73"/>
      <c r="J49" s="73"/>
      <c r="K49" s="73"/>
      <c r="L49" s="73"/>
      <c r="M49" s="73"/>
      <c r="N49" s="73"/>
      <c r="O49" s="73"/>
      <c r="P49" s="73"/>
      <c r="Q49" s="73"/>
      <c r="R49" s="75"/>
      <c r="S49" s="76"/>
    </row>
    <row r="50" spans="1:19" ht="13.5" customHeight="1">
      <c r="A50" s="90"/>
      <c r="B50" s="82" t="e">
        <f t="shared" si="0"/>
        <v>#REF!</v>
      </c>
      <c r="C50" s="82"/>
      <c r="D50" s="117"/>
      <c r="E50" s="73"/>
      <c r="F50" s="73"/>
      <c r="G50" s="73"/>
      <c r="H50" s="73"/>
      <c r="I50" s="73"/>
      <c r="J50" s="73"/>
      <c r="K50" s="73"/>
      <c r="L50" s="73"/>
      <c r="M50" s="73"/>
      <c r="N50" s="73"/>
      <c r="O50" s="73"/>
      <c r="P50" s="73"/>
      <c r="Q50" s="73"/>
      <c r="R50" s="75"/>
      <c r="S50" s="76"/>
    </row>
    <row r="51" spans="1:19" ht="13.5" customHeight="1">
      <c r="A51" s="90"/>
      <c r="B51" s="82" t="e">
        <f t="shared" si="0"/>
        <v>#REF!</v>
      </c>
      <c r="C51" s="82"/>
      <c r="D51" s="117"/>
      <c r="E51" s="73"/>
      <c r="F51" s="73"/>
      <c r="G51" s="73"/>
      <c r="H51" s="73"/>
      <c r="I51" s="73"/>
      <c r="J51" s="73"/>
      <c r="K51" s="73"/>
      <c r="L51" s="73"/>
      <c r="M51" s="73"/>
      <c r="N51" s="73"/>
      <c r="O51" s="73"/>
      <c r="P51" s="73"/>
      <c r="Q51" s="73"/>
      <c r="R51" s="75"/>
      <c r="S51" s="76"/>
    </row>
    <row r="52" spans="1:19" ht="13.5" customHeight="1">
      <c r="A52" s="90"/>
      <c r="B52" s="82" t="e">
        <f t="shared" si="0"/>
        <v>#REF!</v>
      </c>
      <c r="C52" s="82"/>
      <c r="D52" s="117"/>
      <c r="E52" s="73"/>
      <c r="F52" s="73"/>
      <c r="G52" s="73"/>
      <c r="H52" s="73"/>
      <c r="I52" s="73"/>
      <c r="J52" s="73"/>
      <c r="K52" s="73"/>
      <c r="L52" s="73"/>
      <c r="M52" s="73"/>
      <c r="N52" s="73"/>
      <c r="O52" s="73"/>
      <c r="P52" s="73"/>
      <c r="Q52" s="73"/>
      <c r="R52" s="75"/>
      <c r="S52" s="76"/>
    </row>
    <row r="53" spans="1:19" ht="13.5" customHeight="1">
      <c r="A53" s="90"/>
      <c r="B53" s="82" t="e">
        <f t="shared" si="0"/>
        <v>#REF!</v>
      </c>
      <c r="C53" s="82"/>
      <c r="D53" s="117"/>
      <c r="E53" s="73"/>
      <c r="F53" s="73"/>
      <c r="G53" s="73"/>
      <c r="H53" s="73"/>
      <c r="I53" s="73"/>
      <c r="J53" s="73"/>
      <c r="K53" s="73"/>
      <c r="L53" s="73"/>
      <c r="M53" s="73"/>
      <c r="N53" s="73"/>
      <c r="O53" s="73"/>
      <c r="P53" s="73"/>
      <c r="Q53" s="73"/>
      <c r="R53" s="75"/>
      <c r="S53" s="76"/>
    </row>
    <row r="54" spans="1:19" ht="13.5" customHeight="1">
      <c r="A54" s="90"/>
      <c r="B54" s="82" t="e">
        <f t="shared" si="0"/>
        <v>#REF!</v>
      </c>
      <c r="C54" s="82"/>
      <c r="D54" s="117"/>
      <c r="E54" s="73"/>
      <c r="F54" s="73"/>
      <c r="G54" s="73"/>
      <c r="H54" s="73"/>
      <c r="I54" s="73"/>
      <c r="J54" s="73"/>
      <c r="K54" s="73"/>
      <c r="L54" s="73"/>
      <c r="M54" s="73"/>
      <c r="N54" s="73"/>
      <c r="O54" s="73"/>
      <c r="P54" s="73"/>
      <c r="Q54" s="73"/>
      <c r="R54" s="75"/>
      <c r="S54" s="76"/>
    </row>
    <row r="55" spans="1:19" ht="13.5" customHeight="1">
      <c r="A55" s="90"/>
      <c r="B55" s="82" t="e">
        <f t="shared" si="0"/>
        <v>#REF!</v>
      </c>
      <c r="C55" s="82"/>
      <c r="D55" s="117"/>
      <c r="E55" s="73"/>
      <c r="F55" s="73"/>
      <c r="G55" s="73"/>
      <c r="H55" s="73"/>
      <c r="I55" s="73"/>
      <c r="J55" s="73"/>
      <c r="K55" s="73"/>
      <c r="L55" s="73"/>
      <c r="M55" s="73"/>
      <c r="N55" s="73"/>
      <c r="O55" s="73"/>
      <c r="P55" s="73"/>
      <c r="Q55" s="73"/>
      <c r="R55" s="75"/>
      <c r="S55" s="76"/>
    </row>
    <row r="56" spans="1:19" ht="13.5" customHeight="1">
      <c r="A56" s="90"/>
      <c r="B56" s="82" t="e">
        <f t="shared" si="0"/>
        <v>#REF!</v>
      </c>
      <c r="C56" s="82"/>
      <c r="D56" s="117"/>
      <c r="E56" s="73"/>
      <c r="F56" s="73"/>
      <c r="G56" s="73"/>
      <c r="H56" s="73"/>
      <c r="I56" s="73"/>
      <c r="J56" s="73"/>
      <c r="K56" s="73"/>
      <c r="L56" s="73"/>
      <c r="M56" s="73"/>
      <c r="N56" s="73"/>
      <c r="O56" s="73"/>
      <c r="P56" s="73"/>
      <c r="Q56" s="73"/>
      <c r="R56" s="75"/>
      <c r="S56" s="76"/>
    </row>
    <row r="57" spans="1:19" ht="13.5" customHeight="1">
      <c r="A57" s="90"/>
      <c r="B57" s="82" t="e">
        <f t="shared" si="0"/>
        <v>#REF!</v>
      </c>
      <c r="C57" s="82"/>
      <c r="D57" s="117"/>
      <c r="E57" s="73"/>
      <c r="F57" s="73"/>
      <c r="G57" s="73"/>
      <c r="H57" s="73"/>
      <c r="I57" s="73"/>
      <c r="J57" s="73"/>
      <c r="K57" s="73"/>
      <c r="L57" s="73"/>
      <c r="M57" s="73"/>
      <c r="N57" s="73"/>
      <c r="O57" s="73"/>
      <c r="P57" s="73"/>
      <c r="Q57" s="73"/>
      <c r="R57" s="75"/>
      <c r="S57" s="76"/>
    </row>
    <row r="58" spans="1:19" ht="13.5" customHeight="1">
      <c r="A58" s="90"/>
      <c r="B58" s="82" t="e">
        <f t="shared" si="0"/>
        <v>#REF!</v>
      </c>
      <c r="C58" s="82"/>
      <c r="D58" s="117"/>
      <c r="E58" s="73"/>
      <c r="F58" s="73"/>
      <c r="G58" s="73"/>
      <c r="H58" s="73"/>
      <c r="I58" s="73"/>
      <c r="J58" s="73"/>
      <c r="K58" s="73"/>
      <c r="L58" s="73"/>
      <c r="M58" s="73"/>
      <c r="N58" s="73"/>
      <c r="O58" s="73"/>
      <c r="P58" s="73"/>
      <c r="Q58" s="73"/>
      <c r="R58" s="75"/>
      <c r="S58" s="76"/>
    </row>
    <row r="59" spans="1:19" ht="13.5" customHeight="1">
      <c r="A59" s="90"/>
      <c r="B59" s="82" t="e">
        <f t="shared" si="0"/>
        <v>#REF!</v>
      </c>
      <c r="C59" s="82"/>
      <c r="D59" s="117"/>
      <c r="E59" s="73"/>
      <c r="F59" s="73"/>
      <c r="G59" s="73"/>
      <c r="H59" s="73"/>
      <c r="I59" s="73"/>
      <c r="J59" s="73"/>
      <c r="K59" s="73"/>
      <c r="L59" s="73"/>
      <c r="M59" s="73"/>
      <c r="N59" s="73"/>
      <c r="O59" s="73"/>
      <c r="P59" s="73"/>
      <c r="Q59" s="73"/>
      <c r="R59" s="75"/>
      <c r="S59" s="76"/>
    </row>
    <row r="60" spans="1:19" ht="13.5" customHeight="1">
      <c r="A60" s="90"/>
      <c r="B60" s="82" t="e">
        <f t="shared" ref="B60:B91" si="1">B59+1</f>
        <v>#REF!</v>
      </c>
      <c r="C60" s="82"/>
      <c r="D60" s="117"/>
      <c r="E60" s="73"/>
      <c r="F60" s="73"/>
      <c r="G60" s="73"/>
      <c r="H60" s="73"/>
      <c r="I60" s="73"/>
      <c r="J60" s="73"/>
      <c r="K60" s="73"/>
      <c r="L60" s="73"/>
      <c r="M60" s="73"/>
      <c r="N60" s="73"/>
      <c r="O60" s="73"/>
      <c r="P60" s="73"/>
      <c r="Q60" s="73"/>
      <c r="R60" s="75"/>
      <c r="S60" s="76"/>
    </row>
    <row r="61" spans="1:19" ht="13.5" customHeight="1">
      <c r="A61" s="90"/>
      <c r="B61" s="82" t="e">
        <f t="shared" si="1"/>
        <v>#REF!</v>
      </c>
      <c r="C61" s="82"/>
      <c r="D61" s="117"/>
      <c r="E61" s="73"/>
      <c r="F61" s="73"/>
      <c r="G61" s="73"/>
      <c r="H61" s="73"/>
      <c r="I61" s="73"/>
      <c r="J61" s="73"/>
      <c r="K61" s="73"/>
      <c r="L61" s="73"/>
      <c r="M61" s="73"/>
      <c r="N61" s="73"/>
      <c r="O61" s="73"/>
      <c r="P61" s="73"/>
      <c r="Q61" s="73"/>
      <c r="R61" s="75"/>
      <c r="S61" s="76"/>
    </row>
    <row r="62" spans="1:19" ht="13.5" customHeight="1">
      <c r="A62" s="90"/>
      <c r="B62" s="82" t="e">
        <f t="shared" si="1"/>
        <v>#REF!</v>
      </c>
      <c r="C62" s="82"/>
      <c r="D62" s="117"/>
      <c r="E62" s="73"/>
      <c r="F62" s="73"/>
      <c r="G62" s="73"/>
      <c r="H62" s="73"/>
      <c r="I62" s="73"/>
      <c r="J62" s="73"/>
      <c r="K62" s="73"/>
      <c r="L62" s="73"/>
      <c r="M62" s="73"/>
      <c r="N62" s="73"/>
      <c r="O62" s="73"/>
      <c r="P62" s="73"/>
      <c r="Q62" s="73"/>
      <c r="R62" s="75"/>
      <c r="S62" s="76"/>
    </row>
    <row r="63" spans="1:19" ht="13.5" customHeight="1">
      <c r="A63" s="90"/>
      <c r="B63" s="82" t="e">
        <f t="shared" si="1"/>
        <v>#REF!</v>
      </c>
      <c r="C63" s="82"/>
      <c r="D63" s="117"/>
      <c r="E63" s="73"/>
      <c r="F63" s="73"/>
      <c r="G63" s="73"/>
      <c r="H63" s="73"/>
      <c r="I63" s="73"/>
      <c r="J63" s="73"/>
      <c r="K63" s="73"/>
      <c r="L63" s="73"/>
      <c r="M63" s="73"/>
      <c r="N63" s="73"/>
      <c r="O63" s="73"/>
      <c r="P63" s="73"/>
      <c r="Q63" s="73"/>
      <c r="R63" s="75"/>
      <c r="S63" s="76"/>
    </row>
    <row r="64" spans="1:19" ht="13.5" customHeight="1">
      <c r="A64" s="90"/>
      <c r="B64" s="82" t="e">
        <f t="shared" si="1"/>
        <v>#REF!</v>
      </c>
      <c r="C64" s="82"/>
      <c r="D64" s="117"/>
      <c r="E64" s="73"/>
      <c r="F64" s="73"/>
      <c r="G64" s="73"/>
      <c r="H64" s="73"/>
      <c r="I64" s="73"/>
      <c r="J64" s="73"/>
      <c r="K64" s="73"/>
      <c r="L64" s="73"/>
      <c r="M64" s="73"/>
      <c r="N64" s="73"/>
      <c r="O64" s="73"/>
      <c r="P64" s="73"/>
      <c r="Q64" s="73"/>
      <c r="R64" s="75"/>
      <c r="S64" s="76"/>
    </row>
    <row r="65" spans="1:19" ht="13.5" customHeight="1">
      <c r="A65" s="90"/>
      <c r="B65" s="82" t="e">
        <f t="shared" si="1"/>
        <v>#REF!</v>
      </c>
      <c r="C65" s="82"/>
      <c r="D65" s="117"/>
      <c r="E65" s="73"/>
      <c r="F65" s="73"/>
      <c r="G65" s="73"/>
      <c r="H65" s="73"/>
      <c r="I65" s="73"/>
      <c r="J65" s="73"/>
      <c r="K65" s="73"/>
      <c r="L65" s="73"/>
      <c r="M65" s="73"/>
      <c r="N65" s="73"/>
      <c r="O65" s="73"/>
      <c r="P65" s="73"/>
      <c r="Q65" s="73"/>
      <c r="R65" s="75"/>
      <c r="S65" s="76"/>
    </row>
    <row r="66" spans="1:19" ht="13.5" customHeight="1">
      <c r="A66" s="90"/>
      <c r="B66" s="82" t="e">
        <f t="shared" si="1"/>
        <v>#REF!</v>
      </c>
      <c r="C66" s="82"/>
      <c r="D66" s="117"/>
      <c r="E66" s="73"/>
      <c r="F66" s="73"/>
      <c r="G66" s="73"/>
      <c r="H66" s="73"/>
      <c r="I66" s="73"/>
      <c r="J66" s="73"/>
      <c r="K66" s="73"/>
      <c r="L66" s="73"/>
      <c r="M66" s="73"/>
      <c r="N66" s="73"/>
      <c r="O66" s="73"/>
      <c r="P66" s="73"/>
      <c r="Q66" s="73"/>
      <c r="R66" s="75"/>
      <c r="S66" s="76"/>
    </row>
    <row r="67" spans="1:19" ht="13.5" customHeight="1">
      <c r="A67" s="90"/>
      <c r="B67" s="82" t="e">
        <f t="shared" si="1"/>
        <v>#REF!</v>
      </c>
      <c r="C67" s="82"/>
      <c r="D67" s="117"/>
      <c r="E67" s="73"/>
      <c r="F67" s="73"/>
      <c r="G67" s="73"/>
      <c r="H67" s="73"/>
      <c r="I67" s="73"/>
      <c r="J67" s="73"/>
      <c r="K67" s="73"/>
      <c r="L67" s="73"/>
      <c r="M67" s="73"/>
      <c r="N67" s="73"/>
      <c r="O67" s="73"/>
      <c r="P67" s="73"/>
      <c r="Q67" s="73"/>
      <c r="R67" s="75"/>
      <c r="S67" s="76"/>
    </row>
    <row r="68" spans="1:19" ht="13.5" customHeight="1">
      <c r="A68" s="90"/>
      <c r="B68" s="82" t="e">
        <f t="shared" si="1"/>
        <v>#REF!</v>
      </c>
      <c r="C68" s="82"/>
      <c r="D68" s="117"/>
      <c r="E68" s="73"/>
      <c r="F68" s="73"/>
      <c r="G68" s="73"/>
      <c r="H68" s="73"/>
      <c r="I68" s="73"/>
      <c r="J68" s="73"/>
      <c r="K68" s="73"/>
      <c r="L68" s="73"/>
      <c r="M68" s="73"/>
      <c r="N68" s="73"/>
      <c r="O68" s="73"/>
      <c r="P68" s="73"/>
      <c r="Q68" s="73"/>
      <c r="R68" s="75"/>
      <c r="S68" s="76"/>
    </row>
    <row r="69" spans="1:19" ht="13.5" customHeight="1">
      <c r="A69" s="90"/>
      <c r="B69" s="82" t="e">
        <f t="shared" si="1"/>
        <v>#REF!</v>
      </c>
      <c r="C69" s="82"/>
      <c r="D69" s="117"/>
      <c r="E69" s="73"/>
      <c r="F69" s="73"/>
      <c r="G69" s="73"/>
      <c r="H69" s="73"/>
      <c r="I69" s="73"/>
      <c r="J69" s="73"/>
      <c r="K69" s="73"/>
      <c r="L69" s="73"/>
      <c r="M69" s="73"/>
      <c r="N69" s="73"/>
      <c r="O69" s="73"/>
      <c r="P69" s="73"/>
      <c r="Q69" s="73"/>
      <c r="R69" s="75"/>
      <c r="S69" s="76"/>
    </row>
    <row r="70" spans="1:19" ht="13.5" customHeight="1">
      <c r="A70" s="90"/>
      <c r="B70" s="82" t="e">
        <f t="shared" si="1"/>
        <v>#REF!</v>
      </c>
      <c r="C70" s="82"/>
      <c r="D70" s="117"/>
      <c r="E70" s="73"/>
      <c r="F70" s="73"/>
      <c r="G70" s="73"/>
      <c r="H70" s="73"/>
      <c r="I70" s="73"/>
      <c r="J70" s="73"/>
      <c r="K70" s="73"/>
      <c r="L70" s="73"/>
      <c r="M70" s="73"/>
      <c r="N70" s="73"/>
      <c r="O70" s="73"/>
      <c r="P70" s="73"/>
      <c r="Q70" s="73"/>
      <c r="R70" s="75"/>
      <c r="S70" s="76"/>
    </row>
    <row r="71" spans="1:19" ht="13.5" customHeight="1">
      <c r="A71" s="90"/>
      <c r="B71" s="82" t="e">
        <f t="shared" si="1"/>
        <v>#REF!</v>
      </c>
      <c r="C71" s="82"/>
      <c r="D71" s="117"/>
      <c r="E71" s="73"/>
      <c r="F71" s="73"/>
      <c r="G71" s="73"/>
      <c r="H71" s="73"/>
      <c r="I71" s="73"/>
      <c r="J71" s="73"/>
      <c r="K71" s="73"/>
      <c r="L71" s="73"/>
      <c r="M71" s="73"/>
      <c r="N71" s="73"/>
      <c r="O71" s="73"/>
      <c r="P71" s="73"/>
      <c r="Q71" s="73"/>
      <c r="R71" s="75"/>
      <c r="S71" s="76"/>
    </row>
    <row r="72" spans="1:19" ht="13.5" customHeight="1">
      <c r="A72" s="90"/>
      <c r="B72" s="82" t="e">
        <f t="shared" si="1"/>
        <v>#REF!</v>
      </c>
      <c r="C72" s="82"/>
      <c r="D72" s="117"/>
      <c r="E72" s="73"/>
      <c r="F72" s="73"/>
      <c r="G72" s="73"/>
      <c r="H72" s="73"/>
      <c r="I72" s="73"/>
      <c r="J72" s="73"/>
      <c r="K72" s="73"/>
      <c r="L72" s="73"/>
      <c r="M72" s="73"/>
      <c r="N72" s="73"/>
      <c r="O72" s="73"/>
      <c r="P72" s="73"/>
      <c r="Q72" s="73"/>
      <c r="R72" s="75"/>
      <c r="S72" s="76"/>
    </row>
    <row r="73" spans="1:19" ht="13.5" customHeight="1">
      <c r="A73" s="90"/>
      <c r="B73" s="82" t="e">
        <f t="shared" si="1"/>
        <v>#REF!</v>
      </c>
      <c r="C73" s="82"/>
      <c r="D73" s="117"/>
      <c r="E73" s="73"/>
      <c r="F73" s="73"/>
      <c r="G73" s="73"/>
      <c r="H73" s="73"/>
      <c r="I73" s="73"/>
      <c r="J73" s="73"/>
      <c r="K73" s="73"/>
      <c r="L73" s="73"/>
      <c r="M73" s="73"/>
      <c r="N73" s="73"/>
      <c r="O73" s="73"/>
      <c r="P73" s="73"/>
      <c r="Q73" s="73"/>
      <c r="R73" s="75"/>
      <c r="S73" s="76"/>
    </row>
    <row r="74" spans="1:19" ht="13.5" customHeight="1">
      <c r="A74" s="90"/>
      <c r="B74" s="82" t="e">
        <f t="shared" si="1"/>
        <v>#REF!</v>
      </c>
      <c r="C74" s="82"/>
      <c r="D74" s="117"/>
      <c r="E74" s="73"/>
      <c r="F74" s="73"/>
      <c r="G74" s="73"/>
      <c r="H74" s="73"/>
      <c r="I74" s="73"/>
      <c r="J74" s="73"/>
      <c r="K74" s="73"/>
      <c r="L74" s="73"/>
      <c r="M74" s="73"/>
      <c r="N74" s="73"/>
      <c r="O74" s="73"/>
      <c r="P74" s="73"/>
      <c r="Q74" s="73"/>
      <c r="R74" s="75"/>
      <c r="S74" s="76"/>
    </row>
    <row r="75" spans="1:19" ht="13.5" customHeight="1">
      <c r="A75" s="90"/>
      <c r="B75" s="82" t="e">
        <f t="shared" si="1"/>
        <v>#REF!</v>
      </c>
      <c r="C75" s="82"/>
      <c r="D75" s="117"/>
      <c r="E75" s="73"/>
      <c r="F75" s="73"/>
      <c r="G75" s="73"/>
      <c r="H75" s="73"/>
      <c r="I75" s="73"/>
      <c r="J75" s="73"/>
      <c r="K75" s="73"/>
      <c r="L75" s="73"/>
      <c r="M75" s="73"/>
      <c r="N75" s="73"/>
      <c r="O75" s="73"/>
      <c r="P75" s="73"/>
      <c r="Q75" s="73"/>
      <c r="R75" s="75"/>
      <c r="S75" s="76"/>
    </row>
    <row r="76" spans="1:19" ht="13.5" customHeight="1">
      <c r="A76" s="90"/>
      <c r="B76" s="82" t="e">
        <f t="shared" si="1"/>
        <v>#REF!</v>
      </c>
      <c r="C76" s="82"/>
      <c r="D76" s="117"/>
      <c r="E76" s="73"/>
      <c r="F76" s="73"/>
      <c r="G76" s="73"/>
      <c r="H76" s="73"/>
      <c r="I76" s="73"/>
      <c r="J76" s="73"/>
      <c r="K76" s="73"/>
      <c r="L76" s="73"/>
      <c r="M76" s="73"/>
      <c r="N76" s="73"/>
      <c r="O76" s="73"/>
      <c r="P76" s="73"/>
      <c r="Q76" s="73"/>
      <c r="R76" s="75"/>
      <c r="S76" s="76"/>
    </row>
    <row r="77" spans="1:19" ht="13.5" customHeight="1">
      <c r="A77" s="90"/>
      <c r="B77" s="82" t="e">
        <f t="shared" si="1"/>
        <v>#REF!</v>
      </c>
      <c r="C77" s="82"/>
      <c r="D77" s="117"/>
      <c r="E77" s="73"/>
      <c r="F77" s="73"/>
      <c r="G77" s="73"/>
      <c r="H77" s="73"/>
      <c r="I77" s="73"/>
      <c r="J77" s="73"/>
      <c r="K77" s="73"/>
      <c r="L77" s="73"/>
      <c r="M77" s="73"/>
      <c r="N77" s="73"/>
      <c r="O77" s="73"/>
      <c r="P77" s="73"/>
      <c r="Q77" s="73"/>
      <c r="R77" s="75"/>
      <c r="S77" s="76"/>
    </row>
    <row r="78" spans="1:19" ht="13.5" customHeight="1">
      <c r="A78" s="90"/>
      <c r="B78" s="82" t="e">
        <f t="shared" si="1"/>
        <v>#REF!</v>
      </c>
      <c r="C78" s="82"/>
      <c r="D78" s="117"/>
      <c r="E78" s="73"/>
      <c r="F78" s="73"/>
      <c r="G78" s="73"/>
      <c r="H78" s="73"/>
      <c r="I78" s="73"/>
      <c r="J78" s="73"/>
      <c r="K78" s="73"/>
      <c r="L78" s="73"/>
      <c r="M78" s="73"/>
      <c r="N78" s="73"/>
      <c r="O78" s="73"/>
      <c r="P78" s="73"/>
      <c r="Q78" s="73"/>
      <c r="R78" s="75"/>
      <c r="S78" s="76"/>
    </row>
    <row r="79" spans="1:19" ht="13.5" customHeight="1">
      <c r="A79" s="90"/>
      <c r="B79" s="82" t="e">
        <f t="shared" si="1"/>
        <v>#REF!</v>
      </c>
      <c r="C79" s="82"/>
      <c r="D79" s="117"/>
      <c r="E79" s="73"/>
      <c r="F79" s="73"/>
      <c r="G79" s="73"/>
      <c r="H79" s="73"/>
      <c r="I79" s="73"/>
      <c r="J79" s="73"/>
      <c r="K79" s="73"/>
      <c r="L79" s="73"/>
      <c r="M79" s="73"/>
      <c r="N79" s="73"/>
      <c r="O79" s="73"/>
      <c r="P79" s="73"/>
      <c r="Q79" s="73"/>
      <c r="R79" s="75"/>
      <c r="S79" s="76"/>
    </row>
    <row r="80" spans="1:19" ht="13.5" customHeight="1">
      <c r="A80" s="90"/>
      <c r="B80" s="82" t="e">
        <f t="shared" si="1"/>
        <v>#REF!</v>
      </c>
      <c r="C80" s="82"/>
      <c r="D80" s="117"/>
      <c r="E80" s="73"/>
      <c r="F80" s="73"/>
      <c r="G80" s="73"/>
      <c r="H80" s="73"/>
      <c r="I80" s="73"/>
      <c r="J80" s="73"/>
      <c r="K80" s="73"/>
      <c r="L80" s="73"/>
      <c r="M80" s="73"/>
      <c r="N80" s="73"/>
      <c r="O80" s="73"/>
      <c r="P80" s="73"/>
      <c r="Q80" s="73"/>
      <c r="R80" s="75"/>
      <c r="S80" s="76"/>
    </row>
    <row r="81" spans="1:19" ht="13.5" customHeight="1">
      <c r="A81" s="90"/>
      <c r="B81" s="82" t="e">
        <f t="shared" si="1"/>
        <v>#REF!</v>
      </c>
      <c r="C81" s="82"/>
      <c r="D81" s="117"/>
      <c r="E81" s="73"/>
      <c r="F81" s="73"/>
      <c r="G81" s="73"/>
      <c r="H81" s="73"/>
      <c r="I81" s="73"/>
      <c r="J81" s="73"/>
      <c r="K81" s="73"/>
      <c r="L81" s="73"/>
      <c r="M81" s="73"/>
      <c r="N81" s="73"/>
      <c r="O81" s="73"/>
      <c r="P81" s="73"/>
      <c r="Q81" s="73"/>
      <c r="R81" s="75"/>
      <c r="S81" s="76"/>
    </row>
    <row r="82" spans="1:19" ht="13.5" customHeight="1">
      <c r="A82" s="90"/>
      <c r="B82" s="82" t="e">
        <f t="shared" si="1"/>
        <v>#REF!</v>
      </c>
      <c r="C82" s="82"/>
      <c r="D82" s="117"/>
      <c r="E82" s="73"/>
      <c r="F82" s="73"/>
      <c r="G82" s="73"/>
      <c r="H82" s="73"/>
      <c r="I82" s="73"/>
      <c r="J82" s="73"/>
      <c r="K82" s="73"/>
      <c r="L82" s="73"/>
      <c r="M82" s="73"/>
      <c r="N82" s="73"/>
      <c r="O82" s="73"/>
      <c r="P82" s="73"/>
      <c r="Q82" s="73"/>
      <c r="R82" s="75"/>
      <c r="S82" s="76"/>
    </row>
    <row r="83" spans="1:19" ht="13.5" customHeight="1">
      <c r="A83" s="90"/>
      <c r="B83" s="82" t="e">
        <f t="shared" si="1"/>
        <v>#REF!</v>
      </c>
      <c r="C83" s="82"/>
      <c r="D83" s="117"/>
      <c r="E83" s="73"/>
      <c r="F83" s="73"/>
      <c r="G83" s="73"/>
      <c r="H83" s="73"/>
      <c r="I83" s="73"/>
      <c r="J83" s="73"/>
      <c r="K83" s="73"/>
      <c r="L83" s="73"/>
      <c r="M83" s="73"/>
      <c r="N83" s="73"/>
      <c r="O83" s="73"/>
      <c r="P83" s="73"/>
      <c r="Q83" s="73"/>
      <c r="R83" s="75"/>
      <c r="S83" s="76"/>
    </row>
    <row r="84" spans="1:19" ht="13.5" customHeight="1">
      <c r="A84" s="90"/>
      <c r="B84" s="82" t="e">
        <f t="shared" si="1"/>
        <v>#REF!</v>
      </c>
      <c r="C84" s="82"/>
      <c r="D84" s="117"/>
      <c r="E84" s="73"/>
      <c r="F84" s="73"/>
      <c r="G84" s="73"/>
      <c r="H84" s="73"/>
      <c r="I84" s="73"/>
      <c r="J84" s="73"/>
      <c r="K84" s="73"/>
      <c r="L84" s="73"/>
      <c r="M84" s="73"/>
      <c r="N84" s="73"/>
      <c r="O84" s="73"/>
      <c r="P84" s="73"/>
      <c r="Q84" s="73"/>
      <c r="R84" s="75"/>
      <c r="S84" s="76"/>
    </row>
    <row r="85" spans="1:19" ht="13.5" customHeight="1">
      <c r="A85" s="90"/>
      <c r="B85" s="82" t="e">
        <f t="shared" si="1"/>
        <v>#REF!</v>
      </c>
      <c r="C85" s="82"/>
      <c r="D85" s="117"/>
      <c r="E85" s="73"/>
      <c r="F85" s="73"/>
      <c r="G85" s="73"/>
      <c r="H85" s="73"/>
      <c r="I85" s="73"/>
      <c r="J85" s="73"/>
      <c r="K85" s="73"/>
      <c r="L85" s="73"/>
      <c r="M85" s="73"/>
      <c r="N85" s="73"/>
      <c r="O85" s="73"/>
      <c r="P85" s="73"/>
      <c r="Q85" s="73"/>
      <c r="R85" s="75"/>
      <c r="S85" s="76"/>
    </row>
    <row r="86" spans="1:19" ht="13.5" customHeight="1">
      <c r="A86" s="90"/>
      <c r="B86" s="82" t="e">
        <f t="shared" si="1"/>
        <v>#REF!</v>
      </c>
      <c r="C86" s="82"/>
      <c r="D86" s="117"/>
      <c r="E86" s="73"/>
      <c r="F86" s="73"/>
      <c r="G86" s="73"/>
      <c r="H86" s="73"/>
      <c r="I86" s="73"/>
      <c r="J86" s="73"/>
      <c r="K86" s="73"/>
      <c r="L86" s="73"/>
      <c r="M86" s="73"/>
      <c r="N86" s="73"/>
      <c r="O86" s="73"/>
      <c r="P86" s="73"/>
      <c r="Q86" s="73"/>
      <c r="R86" s="75"/>
      <c r="S86" s="76"/>
    </row>
    <row r="87" spans="1:19" ht="13.5" customHeight="1">
      <c r="A87" s="90"/>
      <c r="B87" s="82" t="e">
        <f t="shared" si="1"/>
        <v>#REF!</v>
      </c>
      <c r="C87" s="82"/>
      <c r="D87" s="117"/>
      <c r="E87" s="73"/>
      <c r="F87" s="73"/>
      <c r="G87" s="73"/>
      <c r="H87" s="73"/>
      <c r="I87" s="73"/>
      <c r="J87" s="73"/>
      <c r="K87" s="73"/>
      <c r="L87" s="73"/>
      <c r="M87" s="73"/>
      <c r="N87" s="73"/>
      <c r="O87" s="73"/>
      <c r="P87" s="73"/>
      <c r="Q87" s="73"/>
      <c r="R87" s="75"/>
      <c r="S87" s="76"/>
    </row>
    <row r="88" spans="1:19" ht="13.5" customHeight="1">
      <c r="A88" s="90"/>
      <c r="B88" s="82" t="e">
        <f t="shared" si="1"/>
        <v>#REF!</v>
      </c>
      <c r="C88" s="82"/>
      <c r="D88" s="117"/>
      <c r="E88" s="73"/>
      <c r="F88" s="73"/>
      <c r="G88" s="73"/>
      <c r="H88" s="73"/>
      <c r="I88" s="73"/>
      <c r="J88" s="73"/>
      <c r="K88" s="73"/>
      <c r="L88" s="73"/>
      <c r="M88" s="73"/>
      <c r="N88" s="73"/>
      <c r="O88" s="73"/>
      <c r="P88" s="73"/>
      <c r="Q88" s="73"/>
      <c r="R88" s="75"/>
      <c r="S88" s="76"/>
    </row>
    <row r="89" spans="1:19" ht="13.5" customHeight="1">
      <c r="A89" s="90"/>
      <c r="B89" s="82" t="e">
        <f t="shared" si="1"/>
        <v>#REF!</v>
      </c>
      <c r="C89" s="82"/>
      <c r="D89" s="117"/>
      <c r="E89" s="73"/>
      <c r="F89" s="73"/>
      <c r="G89" s="73"/>
      <c r="H89" s="73"/>
      <c r="I89" s="73"/>
      <c r="J89" s="73"/>
      <c r="K89" s="73"/>
      <c r="L89" s="73"/>
      <c r="M89" s="73"/>
      <c r="N89" s="73"/>
      <c r="O89" s="73"/>
      <c r="P89" s="73"/>
      <c r="Q89" s="73"/>
      <c r="R89" s="75"/>
      <c r="S89" s="76"/>
    </row>
    <row r="90" spans="1:19" ht="13.5" customHeight="1">
      <c r="A90" s="90"/>
      <c r="B90" s="82" t="e">
        <f t="shared" si="1"/>
        <v>#REF!</v>
      </c>
      <c r="C90" s="82"/>
      <c r="D90" s="117"/>
      <c r="E90" s="73"/>
      <c r="F90" s="73"/>
      <c r="G90" s="73"/>
      <c r="H90" s="73"/>
      <c r="I90" s="73"/>
      <c r="J90" s="73"/>
      <c r="K90" s="73"/>
      <c r="L90" s="73"/>
      <c r="M90" s="73"/>
      <c r="N90" s="73"/>
      <c r="O90" s="73"/>
      <c r="P90" s="73"/>
      <c r="Q90" s="73"/>
      <c r="R90" s="75"/>
      <c r="S90" s="76"/>
    </row>
    <row r="91" spans="1:19" ht="13.5" customHeight="1">
      <c r="A91" s="90"/>
      <c r="B91" s="82" t="e">
        <f t="shared" si="1"/>
        <v>#REF!</v>
      </c>
      <c r="C91" s="82"/>
      <c r="D91" s="117"/>
      <c r="E91" s="73"/>
      <c r="F91" s="73"/>
      <c r="G91" s="73"/>
      <c r="H91" s="73"/>
      <c r="I91" s="73"/>
      <c r="J91" s="73"/>
      <c r="K91" s="73"/>
      <c r="L91" s="73"/>
      <c r="M91" s="73"/>
      <c r="N91" s="73"/>
      <c r="O91" s="73"/>
      <c r="P91" s="73"/>
      <c r="Q91" s="73"/>
      <c r="R91" s="75"/>
      <c r="S91" s="76"/>
    </row>
    <row r="92" spans="1:19" ht="13.5" customHeight="1">
      <c r="A92" s="90"/>
      <c r="B92" s="82" t="e">
        <f t="shared" ref="B92:B125" si="2">B91+1</f>
        <v>#REF!</v>
      </c>
      <c r="C92" s="82"/>
      <c r="D92" s="117"/>
      <c r="E92" s="73"/>
      <c r="F92" s="73"/>
      <c r="G92" s="73"/>
      <c r="H92" s="73"/>
      <c r="I92" s="73"/>
      <c r="J92" s="73"/>
      <c r="K92" s="73"/>
      <c r="L92" s="73"/>
      <c r="M92" s="73"/>
      <c r="N92" s="73"/>
      <c r="O92" s="73"/>
      <c r="P92" s="73"/>
      <c r="Q92" s="73"/>
      <c r="R92" s="75"/>
      <c r="S92" s="76"/>
    </row>
    <row r="93" spans="1:19" ht="13.5" customHeight="1">
      <c r="A93" s="90"/>
      <c r="B93" s="82" t="e">
        <f t="shared" si="2"/>
        <v>#REF!</v>
      </c>
      <c r="C93" s="82"/>
      <c r="D93" s="117"/>
      <c r="E93" s="73"/>
      <c r="F93" s="73"/>
      <c r="G93" s="73"/>
      <c r="H93" s="73"/>
      <c r="I93" s="73"/>
      <c r="J93" s="73"/>
      <c r="K93" s="73"/>
      <c r="L93" s="73"/>
      <c r="M93" s="73"/>
      <c r="N93" s="73"/>
      <c r="O93" s="73"/>
      <c r="P93" s="73"/>
      <c r="Q93" s="73"/>
      <c r="R93" s="75"/>
      <c r="S93" s="76"/>
    </row>
    <row r="94" spans="1:19" ht="13.5" customHeight="1">
      <c r="A94" s="90"/>
      <c r="B94" s="82" t="e">
        <f t="shared" si="2"/>
        <v>#REF!</v>
      </c>
      <c r="C94" s="82"/>
      <c r="D94" s="117"/>
      <c r="E94" s="73"/>
      <c r="F94" s="73"/>
      <c r="G94" s="73"/>
      <c r="H94" s="73"/>
      <c r="I94" s="73"/>
      <c r="J94" s="73"/>
      <c r="K94" s="73"/>
      <c r="L94" s="73"/>
      <c r="M94" s="73"/>
      <c r="N94" s="73"/>
      <c r="O94" s="73"/>
      <c r="P94" s="73"/>
      <c r="Q94" s="73"/>
      <c r="R94" s="75"/>
      <c r="S94" s="76"/>
    </row>
    <row r="95" spans="1:19" ht="13.5" customHeight="1">
      <c r="A95" s="90"/>
      <c r="B95" s="82" t="e">
        <f t="shared" si="2"/>
        <v>#REF!</v>
      </c>
      <c r="C95" s="82"/>
      <c r="D95" s="117"/>
      <c r="E95" s="73"/>
      <c r="F95" s="73"/>
      <c r="G95" s="73"/>
      <c r="H95" s="73"/>
      <c r="I95" s="73"/>
      <c r="J95" s="73"/>
      <c r="K95" s="73"/>
      <c r="L95" s="73"/>
      <c r="M95" s="73"/>
      <c r="N95" s="73"/>
      <c r="O95" s="73"/>
      <c r="P95" s="73"/>
      <c r="Q95" s="73"/>
      <c r="R95" s="75"/>
      <c r="S95" s="76"/>
    </row>
    <row r="96" spans="1:19" ht="13.5" customHeight="1">
      <c r="A96" s="90"/>
      <c r="B96" s="82" t="e">
        <f t="shared" si="2"/>
        <v>#REF!</v>
      </c>
      <c r="C96" s="82"/>
      <c r="D96" s="117"/>
      <c r="E96" s="73"/>
      <c r="F96" s="73"/>
      <c r="G96" s="73"/>
      <c r="H96" s="73"/>
      <c r="I96" s="73"/>
      <c r="J96" s="73"/>
      <c r="K96" s="73"/>
      <c r="L96" s="73"/>
      <c r="M96" s="73"/>
      <c r="N96" s="73"/>
      <c r="O96" s="73"/>
      <c r="P96" s="73"/>
      <c r="Q96" s="73"/>
      <c r="R96" s="75"/>
      <c r="S96" s="76"/>
    </row>
    <row r="97" spans="1:19" ht="13.5" customHeight="1">
      <c r="A97" s="90"/>
      <c r="B97" s="82" t="e">
        <f t="shared" si="2"/>
        <v>#REF!</v>
      </c>
      <c r="C97" s="82"/>
      <c r="D97" s="117"/>
      <c r="E97" s="73"/>
      <c r="F97" s="73"/>
      <c r="G97" s="73"/>
      <c r="H97" s="73"/>
      <c r="I97" s="73"/>
      <c r="J97" s="73"/>
      <c r="K97" s="73"/>
      <c r="L97" s="73"/>
      <c r="M97" s="73"/>
      <c r="N97" s="73"/>
      <c r="O97" s="73"/>
      <c r="P97" s="73"/>
      <c r="Q97" s="73"/>
      <c r="R97" s="75"/>
      <c r="S97" s="76"/>
    </row>
    <row r="98" spans="1:19" ht="13.5" customHeight="1">
      <c r="A98" s="90"/>
      <c r="B98" s="82" t="e">
        <f t="shared" si="2"/>
        <v>#REF!</v>
      </c>
      <c r="C98" s="82"/>
      <c r="D98" s="117"/>
      <c r="E98" s="73"/>
      <c r="F98" s="73"/>
      <c r="G98" s="73"/>
      <c r="H98" s="73"/>
      <c r="I98" s="73"/>
      <c r="J98" s="73"/>
      <c r="K98" s="73"/>
      <c r="L98" s="73"/>
      <c r="M98" s="73"/>
      <c r="N98" s="73"/>
      <c r="O98" s="73"/>
      <c r="P98" s="73"/>
      <c r="Q98" s="73"/>
      <c r="R98" s="75"/>
      <c r="S98" s="76"/>
    </row>
    <row r="99" spans="1:19" ht="13.5" customHeight="1">
      <c r="A99" s="90"/>
      <c r="B99" s="82" t="e">
        <f t="shared" si="2"/>
        <v>#REF!</v>
      </c>
      <c r="C99" s="82"/>
      <c r="D99" s="117"/>
      <c r="E99" s="73"/>
      <c r="F99" s="73"/>
      <c r="G99" s="73"/>
      <c r="H99" s="73"/>
      <c r="I99" s="73"/>
      <c r="J99" s="73"/>
      <c r="K99" s="73"/>
      <c r="L99" s="73"/>
      <c r="M99" s="73"/>
      <c r="N99" s="73"/>
      <c r="O99" s="73"/>
      <c r="P99" s="73"/>
      <c r="Q99" s="73"/>
      <c r="R99" s="75"/>
      <c r="S99" s="76"/>
    </row>
    <row r="100" spans="1:19" ht="13.5" customHeight="1">
      <c r="A100" s="90"/>
      <c r="B100" s="82" t="e">
        <f t="shared" si="2"/>
        <v>#REF!</v>
      </c>
      <c r="C100" s="82"/>
      <c r="D100" s="117"/>
      <c r="E100" s="73"/>
      <c r="F100" s="73"/>
      <c r="G100" s="73"/>
      <c r="H100" s="73"/>
      <c r="I100" s="73"/>
      <c r="J100" s="73"/>
      <c r="K100" s="73"/>
      <c r="L100" s="73"/>
      <c r="M100" s="73"/>
      <c r="N100" s="73"/>
      <c r="O100" s="73"/>
      <c r="P100" s="73"/>
      <c r="Q100" s="73"/>
      <c r="R100" s="75"/>
      <c r="S100" s="76"/>
    </row>
    <row r="101" spans="1:19" ht="13.5" customHeight="1">
      <c r="A101" s="90"/>
      <c r="B101" s="82" t="e">
        <f t="shared" si="2"/>
        <v>#REF!</v>
      </c>
      <c r="C101" s="82"/>
      <c r="D101" s="117"/>
      <c r="E101" s="73"/>
      <c r="F101" s="73"/>
      <c r="G101" s="73"/>
      <c r="H101" s="73"/>
      <c r="I101" s="73"/>
      <c r="J101" s="73"/>
      <c r="K101" s="73"/>
      <c r="L101" s="73"/>
      <c r="M101" s="73"/>
      <c r="N101" s="73"/>
      <c r="O101" s="73"/>
      <c r="P101" s="73"/>
      <c r="Q101" s="73"/>
      <c r="R101" s="75"/>
      <c r="S101" s="76"/>
    </row>
    <row r="102" spans="1:19" ht="13.5" customHeight="1">
      <c r="A102" s="90"/>
      <c r="B102" s="82" t="e">
        <f t="shared" si="2"/>
        <v>#REF!</v>
      </c>
      <c r="C102" s="82"/>
      <c r="D102" s="117"/>
      <c r="E102" s="73"/>
      <c r="F102" s="73"/>
      <c r="G102" s="73"/>
      <c r="H102" s="73"/>
      <c r="I102" s="73"/>
      <c r="J102" s="73"/>
      <c r="K102" s="73"/>
      <c r="L102" s="73"/>
      <c r="M102" s="73"/>
      <c r="N102" s="73"/>
      <c r="O102" s="73"/>
      <c r="P102" s="73"/>
      <c r="Q102" s="73"/>
      <c r="R102" s="75"/>
      <c r="S102" s="76"/>
    </row>
    <row r="103" spans="1:19" ht="13.5" customHeight="1">
      <c r="A103" s="90"/>
      <c r="B103" s="82" t="e">
        <f t="shared" si="2"/>
        <v>#REF!</v>
      </c>
      <c r="C103" s="82"/>
      <c r="D103" s="117"/>
      <c r="E103" s="73"/>
      <c r="F103" s="73"/>
      <c r="G103" s="73"/>
      <c r="H103" s="73"/>
      <c r="I103" s="73"/>
      <c r="J103" s="73"/>
      <c r="K103" s="73"/>
      <c r="L103" s="73"/>
      <c r="M103" s="73"/>
      <c r="N103" s="73"/>
      <c r="O103" s="73"/>
      <c r="P103" s="73"/>
      <c r="Q103" s="73"/>
      <c r="R103" s="75"/>
      <c r="S103" s="76"/>
    </row>
    <row r="104" spans="1:19" ht="13.5" customHeight="1">
      <c r="A104" s="90"/>
      <c r="B104" s="82" t="e">
        <f t="shared" si="2"/>
        <v>#REF!</v>
      </c>
      <c r="C104" s="82"/>
      <c r="D104" s="117"/>
      <c r="E104" s="73"/>
      <c r="F104" s="73"/>
      <c r="G104" s="73"/>
      <c r="H104" s="73"/>
      <c r="I104" s="73"/>
      <c r="J104" s="73"/>
      <c r="K104" s="73"/>
      <c r="L104" s="73"/>
      <c r="M104" s="73"/>
      <c r="N104" s="73"/>
      <c r="O104" s="73"/>
      <c r="P104" s="73"/>
      <c r="Q104" s="73"/>
      <c r="R104" s="75"/>
      <c r="S104" s="76"/>
    </row>
    <row r="105" spans="1:19" ht="13.5" customHeight="1">
      <c r="A105" s="90"/>
      <c r="B105" s="82" t="e">
        <f t="shared" si="2"/>
        <v>#REF!</v>
      </c>
      <c r="C105" s="82"/>
      <c r="D105" s="117"/>
      <c r="E105" s="73"/>
      <c r="F105" s="73"/>
      <c r="G105" s="73"/>
      <c r="H105" s="73"/>
      <c r="I105" s="73"/>
      <c r="J105" s="73"/>
      <c r="K105" s="73"/>
      <c r="L105" s="73"/>
      <c r="M105" s="73"/>
      <c r="N105" s="73"/>
      <c r="O105" s="73"/>
      <c r="P105" s="73"/>
      <c r="Q105" s="73"/>
      <c r="R105" s="75"/>
      <c r="S105" s="76"/>
    </row>
    <row r="106" spans="1:19" ht="13.5" customHeight="1">
      <c r="A106" s="90"/>
      <c r="B106" s="82" t="e">
        <f t="shared" si="2"/>
        <v>#REF!</v>
      </c>
      <c r="C106" s="82"/>
      <c r="D106" s="117"/>
      <c r="E106" s="73"/>
      <c r="F106" s="73"/>
      <c r="G106" s="73"/>
      <c r="H106" s="73"/>
      <c r="I106" s="73"/>
      <c r="J106" s="73"/>
      <c r="K106" s="73"/>
      <c r="L106" s="73"/>
      <c r="M106" s="73"/>
      <c r="N106" s="73"/>
      <c r="O106" s="73"/>
      <c r="P106" s="73"/>
      <c r="Q106" s="73"/>
      <c r="R106" s="75"/>
      <c r="S106" s="76"/>
    </row>
    <row r="107" spans="1:19" ht="13.5" customHeight="1">
      <c r="A107" s="90"/>
      <c r="B107" s="82" t="e">
        <f t="shared" si="2"/>
        <v>#REF!</v>
      </c>
      <c r="C107" s="82"/>
      <c r="D107" s="117"/>
      <c r="E107" s="73"/>
      <c r="F107" s="73"/>
      <c r="G107" s="73"/>
      <c r="H107" s="73"/>
      <c r="I107" s="73"/>
      <c r="J107" s="73"/>
      <c r="K107" s="73"/>
      <c r="L107" s="73"/>
      <c r="M107" s="73"/>
      <c r="N107" s="73"/>
      <c r="O107" s="73"/>
      <c r="P107" s="73"/>
      <c r="Q107" s="73"/>
      <c r="R107" s="75"/>
      <c r="S107" s="76"/>
    </row>
    <row r="108" spans="1:19" ht="13.5" customHeight="1">
      <c r="A108" s="90"/>
      <c r="B108" s="82" t="e">
        <f t="shared" si="2"/>
        <v>#REF!</v>
      </c>
      <c r="C108" s="82"/>
      <c r="D108" s="117"/>
      <c r="E108" s="73"/>
      <c r="F108" s="73"/>
      <c r="G108" s="73"/>
      <c r="H108" s="73"/>
      <c r="I108" s="73"/>
      <c r="J108" s="73"/>
      <c r="K108" s="73"/>
      <c r="L108" s="73"/>
      <c r="M108" s="73"/>
      <c r="N108" s="73"/>
      <c r="O108" s="73"/>
      <c r="P108" s="73"/>
      <c r="Q108" s="73"/>
      <c r="R108" s="75"/>
      <c r="S108" s="76"/>
    </row>
    <row r="109" spans="1:19" ht="13.5" customHeight="1">
      <c r="A109" s="90"/>
      <c r="B109" s="82" t="e">
        <f t="shared" si="2"/>
        <v>#REF!</v>
      </c>
      <c r="C109" s="82"/>
      <c r="D109" s="117"/>
      <c r="E109" s="73"/>
      <c r="F109" s="73"/>
      <c r="G109" s="73"/>
      <c r="H109" s="73"/>
      <c r="I109" s="73"/>
      <c r="J109" s="73"/>
      <c r="K109" s="73"/>
      <c r="L109" s="73"/>
      <c r="M109" s="73"/>
      <c r="N109" s="73"/>
      <c r="O109" s="73"/>
      <c r="P109" s="73"/>
      <c r="Q109" s="73"/>
      <c r="R109" s="75"/>
      <c r="S109" s="76"/>
    </row>
    <row r="110" spans="1:19" ht="13.5" customHeight="1">
      <c r="A110" s="90"/>
      <c r="B110" s="82" t="e">
        <f t="shared" si="2"/>
        <v>#REF!</v>
      </c>
      <c r="C110" s="82"/>
      <c r="D110" s="117"/>
      <c r="E110" s="73"/>
      <c r="F110" s="73"/>
      <c r="G110" s="73"/>
      <c r="H110" s="73"/>
      <c r="I110" s="73"/>
      <c r="J110" s="73"/>
      <c r="K110" s="73"/>
      <c r="L110" s="73"/>
      <c r="M110" s="73"/>
      <c r="N110" s="73"/>
      <c r="O110" s="73"/>
      <c r="P110" s="73"/>
      <c r="Q110" s="73"/>
      <c r="R110" s="75"/>
      <c r="S110" s="76"/>
    </row>
    <row r="111" spans="1:19" ht="13.5" customHeight="1">
      <c r="A111" s="90"/>
      <c r="B111" s="82" t="e">
        <f t="shared" si="2"/>
        <v>#REF!</v>
      </c>
      <c r="C111" s="82"/>
      <c r="D111" s="117"/>
      <c r="E111" s="73"/>
      <c r="F111" s="73"/>
      <c r="G111" s="73"/>
      <c r="H111" s="73"/>
      <c r="I111" s="73"/>
      <c r="J111" s="73"/>
      <c r="K111" s="73"/>
      <c r="L111" s="73"/>
      <c r="M111" s="73"/>
      <c r="N111" s="73"/>
      <c r="O111" s="73"/>
      <c r="P111" s="73"/>
      <c r="Q111" s="73"/>
      <c r="R111" s="75"/>
      <c r="S111" s="76"/>
    </row>
    <row r="112" spans="1:19" ht="13.5" customHeight="1">
      <c r="A112" s="90"/>
      <c r="B112" s="82" t="e">
        <f t="shared" si="2"/>
        <v>#REF!</v>
      </c>
      <c r="C112" s="82"/>
      <c r="D112" s="117"/>
      <c r="E112" s="73"/>
      <c r="F112" s="73"/>
      <c r="G112" s="73"/>
      <c r="H112" s="73"/>
      <c r="I112" s="73"/>
      <c r="J112" s="73"/>
      <c r="K112" s="73"/>
      <c r="L112" s="73"/>
      <c r="M112" s="73"/>
      <c r="N112" s="73"/>
      <c r="O112" s="73"/>
      <c r="P112" s="73"/>
      <c r="Q112" s="73"/>
      <c r="R112" s="75"/>
      <c r="S112" s="76"/>
    </row>
    <row r="113" spans="1:19" ht="13.5" customHeight="1">
      <c r="A113" s="90"/>
      <c r="B113" s="82" t="e">
        <f t="shared" si="2"/>
        <v>#REF!</v>
      </c>
      <c r="C113" s="82"/>
      <c r="D113" s="117"/>
      <c r="E113" s="73"/>
      <c r="F113" s="73"/>
      <c r="G113" s="73"/>
      <c r="H113" s="73"/>
      <c r="I113" s="73"/>
      <c r="J113" s="73"/>
      <c r="K113" s="73"/>
      <c r="L113" s="73"/>
      <c r="M113" s="73"/>
      <c r="N113" s="73"/>
      <c r="O113" s="73"/>
      <c r="P113" s="73"/>
      <c r="Q113" s="73"/>
      <c r="R113" s="75"/>
      <c r="S113" s="76"/>
    </row>
    <row r="114" spans="1:19" ht="13.5" customHeight="1">
      <c r="A114" s="90"/>
      <c r="B114" s="82" t="e">
        <f t="shared" si="2"/>
        <v>#REF!</v>
      </c>
      <c r="C114" s="82"/>
      <c r="D114" s="117"/>
      <c r="E114" s="73"/>
      <c r="F114" s="73"/>
      <c r="G114" s="73"/>
      <c r="H114" s="73"/>
      <c r="I114" s="73"/>
      <c r="J114" s="73"/>
      <c r="K114" s="73"/>
      <c r="L114" s="73"/>
      <c r="M114" s="73"/>
      <c r="N114" s="73"/>
      <c r="O114" s="73"/>
      <c r="P114" s="73"/>
      <c r="Q114" s="73"/>
      <c r="R114" s="75"/>
      <c r="S114" s="76"/>
    </row>
    <row r="115" spans="1:19" ht="13.5" customHeight="1">
      <c r="A115" s="90"/>
      <c r="B115" s="82" t="e">
        <f t="shared" si="2"/>
        <v>#REF!</v>
      </c>
      <c r="C115" s="82"/>
      <c r="D115" s="117"/>
      <c r="E115" s="73"/>
      <c r="F115" s="73"/>
      <c r="G115" s="73"/>
      <c r="H115" s="73"/>
      <c r="I115" s="73"/>
      <c r="J115" s="73"/>
      <c r="K115" s="73"/>
      <c r="L115" s="73"/>
      <c r="M115" s="73"/>
      <c r="N115" s="73"/>
      <c r="O115" s="73"/>
      <c r="P115" s="73"/>
      <c r="Q115" s="73"/>
      <c r="R115" s="75"/>
      <c r="S115" s="76"/>
    </row>
    <row r="116" spans="1:19" ht="13.5" customHeight="1">
      <c r="A116" s="90"/>
      <c r="B116" s="82" t="e">
        <f t="shared" si="2"/>
        <v>#REF!</v>
      </c>
      <c r="C116" s="82"/>
      <c r="D116" s="117"/>
      <c r="E116" s="73"/>
      <c r="F116" s="73"/>
      <c r="G116" s="73"/>
      <c r="H116" s="73"/>
      <c r="I116" s="73"/>
      <c r="J116" s="73"/>
      <c r="K116" s="73"/>
      <c r="L116" s="73"/>
      <c r="M116" s="73"/>
      <c r="N116" s="73"/>
      <c r="O116" s="73"/>
      <c r="P116" s="73"/>
      <c r="Q116" s="73"/>
      <c r="R116" s="75"/>
      <c r="S116" s="76"/>
    </row>
    <row r="117" spans="1:19" ht="13.5" customHeight="1">
      <c r="A117" s="90"/>
      <c r="B117" s="82" t="e">
        <f t="shared" si="2"/>
        <v>#REF!</v>
      </c>
      <c r="C117" s="82"/>
      <c r="D117" s="117"/>
      <c r="E117" s="73"/>
      <c r="F117" s="73"/>
      <c r="G117" s="73"/>
      <c r="H117" s="73"/>
      <c r="I117" s="73"/>
      <c r="J117" s="73"/>
      <c r="K117" s="73"/>
      <c r="L117" s="73"/>
      <c r="M117" s="73"/>
      <c r="N117" s="73"/>
      <c r="O117" s="73"/>
      <c r="P117" s="73"/>
      <c r="Q117" s="73"/>
      <c r="R117" s="75"/>
      <c r="S117" s="76"/>
    </row>
    <row r="118" spans="1:19" ht="13.5" customHeight="1">
      <c r="A118" s="90"/>
      <c r="B118" s="82" t="e">
        <f t="shared" si="2"/>
        <v>#REF!</v>
      </c>
      <c r="C118" s="82"/>
      <c r="D118" s="117"/>
      <c r="E118" s="73"/>
      <c r="F118" s="73"/>
      <c r="G118" s="73"/>
      <c r="H118" s="73"/>
      <c r="I118" s="73"/>
      <c r="J118" s="73"/>
      <c r="K118" s="73"/>
      <c r="L118" s="73"/>
      <c r="M118" s="73"/>
      <c r="N118" s="73"/>
      <c r="O118" s="73"/>
      <c r="P118" s="73"/>
      <c r="Q118" s="73"/>
      <c r="R118" s="75"/>
      <c r="S118" s="76"/>
    </row>
    <row r="119" spans="1:19" ht="13.5" customHeight="1">
      <c r="A119" s="90"/>
      <c r="B119" s="82" t="e">
        <f t="shared" si="2"/>
        <v>#REF!</v>
      </c>
      <c r="C119" s="82"/>
      <c r="D119" s="117"/>
      <c r="E119" s="73"/>
      <c r="F119" s="73"/>
      <c r="G119" s="73"/>
      <c r="H119" s="73"/>
      <c r="I119" s="73"/>
      <c r="J119" s="73"/>
      <c r="K119" s="73"/>
      <c r="L119" s="73"/>
      <c r="M119" s="73"/>
      <c r="N119" s="73"/>
      <c r="O119" s="73"/>
      <c r="P119" s="73"/>
      <c r="Q119" s="73"/>
      <c r="R119" s="75"/>
      <c r="S119" s="76"/>
    </row>
    <row r="120" spans="1:19" ht="13.5" customHeight="1">
      <c r="A120" s="90"/>
      <c r="B120" s="82" t="e">
        <f t="shared" si="2"/>
        <v>#REF!</v>
      </c>
      <c r="C120" s="82"/>
      <c r="D120" s="117"/>
      <c r="E120" s="73"/>
      <c r="F120" s="73"/>
      <c r="G120" s="73"/>
      <c r="H120" s="73"/>
      <c r="I120" s="73"/>
      <c r="J120" s="73"/>
      <c r="K120" s="73"/>
      <c r="L120" s="73"/>
      <c r="M120" s="73"/>
      <c r="N120" s="73"/>
      <c r="O120" s="73"/>
      <c r="P120" s="73"/>
      <c r="Q120" s="73"/>
      <c r="R120" s="75"/>
      <c r="S120" s="76"/>
    </row>
    <row r="121" spans="1:19" ht="13.5" customHeight="1">
      <c r="A121" s="90"/>
      <c r="B121" s="82" t="e">
        <f t="shared" si="2"/>
        <v>#REF!</v>
      </c>
      <c r="C121" s="82"/>
      <c r="D121" s="117"/>
      <c r="E121" s="73"/>
      <c r="F121" s="73"/>
      <c r="G121" s="73"/>
      <c r="H121" s="73"/>
      <c r="I121" s="73"/>
      <c r="J121" s="73"/>
      <c r="K121" s="73"/>
      <c r="L121" s="73"/>
      <c r="M121" s="73"/>
      <c r="N121" s="73"/>
      <c r="O121" s="73"/>
      <c r="P121" s="73"/>
      <c r="Q121" s="73"/>
      <c r="R121" s="75"/>
      <c r="S121" s="76"/>
    </row>
    <row r="122" spans="1:19" ht="13.5" customHeight="1">
      <c r="A122" s="90"/>
      <c r="B122" s="82" t="e">
        <f t="shared" si="2"/>
        <v>#REF!</v>
      </c>
      <c r="C122" s="82"/>
      <c r="D122" s="117"/>
      <c r="E122" s="73"/>
      <c r="F122" s="73"/>
      <c r="G122" s="73"/>
      <c r="H122" s="73"/>
      <c r="I122" s="73"/>
      <c r="J122" s="73"/>
      <c r="K122" s="73"/>
      <c r="L122" s="73"/>
      <c r="M122" s="73"/>
      <c r="N122" s="73"/>
      <c r="O122" s="73"/>
      <c r="P122" s="73"/>
      <c r="Q122" s="73"/>
      <c r="R122" s="75"/>
      <c r="S122" s="76"/>
    </row>
    <row r="123" spans="1:19" ht="13.5" customHeight="1">
      <c r="A123" s="90"/>
      <c r="B123" s="82" t="e">
        <f t="shared" si="2"/>
        <v>#REF!</v>
      </c>
      <c r="C123" s="82"/>
      <c r="D123" s="117"/>
      <c r="E123" s="73"/>
      <c r="F123" s="73"/>
      <c r="G123" s="73"/>
      <c r="H123" s="73"/>
      <c r="I123" s="73"/>
      <c r="J123" s="73"/>
      <c r="K123" s="73"/>
      <c r="L123" s="73"/>
      <c r="M123" s="73"/>
      <c r="N123" s="73"/>
      <c r="O123" s="73"/>
      <c r="P123" s="73"/>
      <c r="Q123" s="73"/>
      <c r="R123" s="75"/>
      <c r="S123" s="76"/>
    </row>
    <row r="124" spans="1:19" ht="13.5" customHeight="1">
      <c r="A124" s="90"/>
      <c r="B124" s="82" t="e">
        <f t="shared" si="2"/>
        <v>#REF!</v>
      </c>
      <c r="C124" s="82"/>
      <c r="D124" s="117"/>
      <c r="E124" s="73"/>
      <c r="F124" s="73"/>
      <c r="G124" s="73"/>
      <c r="H124" s="73"/>
      <c r="I124" s="73"/>
      <c r="J124" s="73"/>
      <c r="K124" s="73"/>
      <c r="L124" s="73"/>
      <c r="M124" s="73"/>
      <c r="N124" s="73"/>
      <c r="O124" s="73"/>
      <c r="P124" s="73"/>
      <c r="Q124" s="73"/>
      <c r="R124" s="75"/>
      <c r="S124" s="76"/>
    </row>
    <row r="125" spans="1:19" ht="13.5" customHeight="1" thickBot="1">
      <c r="A125" s="92"/>
      <c r="B125" s="93" t="e">
        <f t="shared" si="2"/>
        <v>#REF!</v>
      </c>
      <c r="C125" s="93"/>
      <c r="D125" s="98"/>
      <c r="E125" s="78"/>
      <c r="F125" s="78"/>
      <c r="G125" s="78"/>
      <c r="H125" s="78"/>
      <c r="I125" s="78"/>
      <c r="J125" s="78"/>
      <c r="K125" s="78"/>
      <c r="L125" s="78"/>
      <c r="M125" s="78"/>
      <c r="N125" s="78"/>
      <c r="O125" s="78"/>
      <c r="P125" s="78"/>
      <c r="Q125" s="78"/>
      <c r="R125" s="1616"/>
      <c r="S125" s="77"/>
    </row>
    <row r="126" spans="1:19" ht="13.5" customHeight="1" thickTop="1" thickBot="1"/>
    <row r="127" spans="1:19" ht="13.5" customHeight="1" thickBot="1">
      <c r="D127" s="528" t="s">
        <v>1489</v>
      </c>
    </row>
    <row r="128" spans="1:19"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sheetData>
  <sheetProtection sheet="1" objects="1" scenarios="1"/>
  <mergeCells count="6">
    <mergeCell ref="A11:B11"/>
    <mergeCell ref="A9:B9"/>
    <mergeCell ref="A1:B1"/>
    <mergeCell ref="A7:B7"/>
    <mergeCell ref="A8:B8"/>
    <mergeCell ref="A10:B10"/>
  </mergeCells>
  <phoneticPr fontId="8" type="noConversion"/>
  <hyperlinks>
    <hyperlink ref="D127" location="'TABLE TEMPLATE'!D29" tooltip="Top of this page" display="Top"/>
    <hyperlink ref="A10" location="Contents!A1" display="Contents"/>
    <hyperlink ref="A10:B10" location="Contents!A1" tooltip="Contents page" display="Contents"/>
  </hyperlinks>
  <pageMargins left="0.15748031496062992" right="0.15748031496062992" top="0.59055118110236227" bottom="0.39370078740157483" header="0.11811023622047245" footer="0.11811023622047245"/>
  <pageSetup paperSize="9" scale="83" pageOrder="overThenDown" orientation="landscape"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indexed="10"/>
  </sheetPr>
  <dimension ref="A1:S31"/>
  <sheetViews>
    <sheetView showGridLines="0" zoomScale="85" zoomScaleNormal="85" workbookViewId="0">
      <selection activeCell="E23" sqref="E23:F23"/>
    </sheetView>
  </sheetViews>
  <sheetFormatPr defaultColWidth="12.88671875" defaultRowHeight="13.5" customHeight="1"/>
  <cols>
    <col min="1" max="16384" width="12.88671875" style="599"/>
  </cols>
  <sheetData>
    <row r="1" spans="1:19" ht="54.9" customHeight="1">
      <c r="A1" s="28"/>
      <c r="B1" s="28"/>
      <c r="C1" s="38"/>
      <c r="D1" s="38"/>
      <c r="E1" s="38"/>
    </row>
    <row r="2" spans="1:19" s="319" customFormat="1" ht="5.0999999999999996" customHeight="1">
      <c r="A2" s="300"/>
      <c r="B2" s="300"/>
      <c r="C2" s="300"/>
      <c r="D2" s="83"/>
      <c r="E2" s="300"/>
      <c r="F2" s="300"/>
    </row>
    <row r="3" spans="1:19" s="319" customFormat="1" ht="20.100000000000001" customHeight="1">
      <c r="A3" s="426" t="s">
        <v>2222</v>
      </c>
      <c r="B3" s="300"/>
      <c r="C3" s="300"/>
      <c r="D3" s="46"/>
      <c r="E3" s="300"/>
      <c r="F3" s="445"/>
    </row>
    <row r="4" spans="1:19" s="609" customFormat="1" ht="20.100000000000001" customHeight="1" thickBot="1">
      <c r="A4" s="529" t="s">
        <v>528</v>
      </c>
      <c r="B4" s="447"/>
      <c r="C4" s="447"/>
      <c r="D4" s="487"/>
      <c r="E4" s="446"/>
      <c r="F4" s="446"/>
      <c r="G4" s="604"/>
      <c r="H4" s="604"/>
      <c r="I4" s="604"/>
      <c r="J4" s="604"/>
      <c r="K4" s="604"/>
      <c r="L4" s="604"/>
      <c r="M4" s="604"/>
      <c r="N4" s="604"/>
      <c r="O4" s="604"/>
      <c r="P4" s="604"/>
      <c r="Q4" s="604"/>
      <c r="R4" s="604"/>
      <c r="S4" s="604"/>
    </row>
    <row r="5" spans="1:19" ht="9.9" customHeight="1" thickTop="1" thickBot="1">
      <c r="A5" s="43"/>
      <c r="B5" s="321"/>
      <c r="E5" s="427"/>
      <c r="F5" s="38"/>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91" t="s">
        <v>11</v>
      </c>
      <c r="F7" s="1486" t="s">
        <v>753</v>
      </c>
      <c r="G7" s="26"/>
      <c r="H7" s="26"/>
      <c r="I7" s="26"/>
      <c r="J7" s="26"/>
      <c r="K7" s="26"/>
      <c r="L7" s="26"/>
      <c r="M7" s="26"/>
      <c r="N7" s="26"/>
      <c r="O7" s="26"/>
      <c r="P7" s="26"/>
      <c r="Q7" s="26"/>
      <c r="R7" s="26"/>
      <c r="S7" s="147"/>
    </row>
    <row r="8" spans="1:19" s="38" customFormat="1" ht="13.5" customHeight="1">
      <c r="A8" s="3646">
        <f>Audit!C12</f>
        <v>43586</v>
      </c>
      <c r="B8" s="3651"/>
      <c r="C8" s="321"/>
      <c r="D8" s="321"/>
      <c r="E8" s="113"/>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2223</v>
      </c>
      <c r="B11" s="3639"/>
      <c r="D11" s="321"/>
      <c r="E11" s="113"/>
      <c r="F11" s="53"/>
      <c r="G11" s="53"/>
      <c r="H11" s="53"/>
      <c r="I11" s="53"/>
      <c r="J11" s="53"/>
      <c r="K11" s="53"/>
      <c r="L11" s="53"/>
      <c r="M11" s="53"/>
      <c r="N11" s="53"/>
      <c r="O11" s="53"/>
      <c r="P11" s="53"/>
      <c r="Q11" s="53"/>
      <c r="R11" s="53"/>
      <c r="S11" s="379"/>
    </row>
    <row r="12" spans="1:19" s="38" customFormat="1" ht="13.5" customHeight="1" thickBot="1">
      <c r="A12" s="3640" t="s">
        <v>2222</v>
      </c>
      <c r="B12" s="3652"/>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6"/>
      <c r="B14" s="316"/>
      <c r="C14" s="321"/>
      <c r="D14" s="321"/>
      <c r="E14" s="113"/>
      <c r="F14" s="26"/>
      <c r="G14" s="26"/>
      <c r="H14" s="26"/>
      <c r="I14" s="26"/>
      <c r="J14" s="26"/>
      <c r="K14" s="26"/>
      <c r="L14" s="26"/>
      <c r="M14" s="26"/>
      <c r="N14" s="26"/>
      <c r="O14" s="26"/>
      <c r="P14" s="26"/>
      <c r="Q14" s="26"/>
      <c r="R14" s="26"/>
      <c r="S14" s="147"/>
    </row>
    <row r="15" spans="1:19" s="38" customFormat="1" ht="13.5" customHeight="1">
      <c r="A15" s="56"/>
      <c r="B15" s="32"/>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752</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381" t="s">
        <v>2224</v>
      </c>
      <c r="F20" s="163"/>
      <c r="G20" s="163"/>
      <c r="H20" s="163"/>
      <c r="I20" s="163"/>
      <c r="J20" s="163"/>
      <c r="K20" s="163"/>
      <c r="L20" s="163"/>
      <c r="M20" s="163"/>
      <c r="N20" s="163"/>
      <c r="O20" s="163"/>
      <c r="P20" s="163"/>
      <c r="Q20" s="163"/>
      <c r="R20" s="163"/>
      <c r="S20" s="382"/>
    </row>
    <row r="21" spans="1:19" ht="13.5" customHeight="1" thickTop="1">
      <c r="A21" s="35"/>
      <c r="B21" s="321"/>
      <c r="C21" s="321"/>
      <c r="D21" s="32"/>
      <c r="E21" s="427"/>
      <c r="F21" s="38"/>
    </row>
    <row r="22" spans="1:19" ht="13.5" customHeight="1" thickBot="1">
      <c r="A22" s="38"/>
      <c r="B22" s="38"/>
      <c r="C22" s="38"/>
      <c r="D22" s="38"/>
      <c r="E22" s="13"/>
      <c r="F22" s="38"/>
    </row>
    <row r="23" spans="1:19" ht="13.5" customHeight="1" thickTop="1" thickBot="1">
      <c r="A23" s="122" t="s">
        <v>528</v>
      </c>
      <c r="B23" s="626"/>
      <c r="C23" s="496"/>
      <c r="D23" s="362"/>
      <c r="E23" s="278"/>
      <c r="F23" s="38"/>
    </row>
    <row r="24" spans="1:19" ht="13.5" customHeight="1" thickTop="1" thickBot="1">
      <c r="A24" s="232" t="s">
        <v>163</v>
      </c>
      <c r="B24" s="923"/>
      <c r="C24" s="924"/>
      <c r="D24" s="3647" t="s">
        <v>164</v>
      </c>
      <c r="E24" s="3648"/>
      <c r="F24" s="38"/>
    </row>
    <row r="25" spans="1:19" ht="13.5" customHeight="1" thickTop="1">
      <c r="A25" s="621"/>
      <c r="B25" s="348" t="s">
        <v>165</v>
      </c>
      <c r="C25" s="622"/>
      <c r="D25" s="1488">
        <v>3.5000000000000003E-2</v>
      </c>
      <c r="E25" s="1357"/>
      <c r="F25" s="38"/>
    </row>
    <row r="26" spans="1:19" ht="13.5" customHeight="1">
      <c r="A26" s="623"/>
      <c r="B26" s="26" t="s">
        <v>166</v>
      </c>
      <c r="C26" s="624"/>
      <c r="D26" s="1488">
        <v>0.03</v>
      </c>
      <c r="E26" s="1357"/>
      <c r="F26" s="38"/>
    </row>
    <row r="27" spans="1:19" ht="13.5" customHeight="1">
      <c r="A27" s="623"/>
      <c r="B27" s="26" t="s">
        <v>167</v>
      </c>
      <c r="C27" s="624"/>
      <c r="D27" s="1488">
        <v>2.5000000000000001E-2</v>
      </c>
      <c r="E27" s="1357"/>
      <c r="F27" s="38"/>
    </row>
    <row r="28" spans="1:19" ht="13.5" customHeight="1">
      <c r="A28" s="623"/>
      <c r="B28" s="26" t="s">
        <v>168</v>
      </c>
      <c r="C28" s="624"/>
      <c r="D28" s="1488">
        <v>0.02</v>
      </c>
      <c r="E28" s="1357"/>
      <c r="F28" s="38"/>
    </row>
    <row r="29" spans="1:19" ht="13.5" customHeight="1">
      <c r="A29" s="623"/>
      <c r="B29" s="26" t="s">
        <v>169</v>
      </c>
      <c r="C29" s="624"/>
      <c r="D29" s="1488">
        <v>1.4999999999999999E-2</v>
      </c>
      <c r="E29" s="1357"/>
      <c r="F29" s="38"/>
    </row>
    <row r="30" spans="1:19" ht="13.5" customHeight="1" thickBot="1">
      <c r="A30" s="619"/>
      <c r="B30" s="13" t="s">
        <v>170</v>
      </c>
      <c r="C30" s="620"/>
      <c r="D30" s="1489">
        <v>0.01</v>
      </c>
      <c r="E30" s="1358"/>
      <c r="F30" s="38"/>
    </row>
    <row r="31" spans="1:19" ht="13.5" customHeight="1" thickTop="1"/>
  </sheetData>
  <sheetProtection sheet="1" objects="1" scenarios="1"/>
  <mergeCells count="10">
    <mergeCell ref="D24:E24"/>
    <mergeCell ref="A20:B20"/>
    <mergeCell ref="E6:S6"/>
    <mergeCell ref="A7:B7"/>
    <mergeCell ref="A8:B8"/>
    <mergeCell ref="A10:B10"/>
    <mergeCell ref="A11:B11"/>
    <mergeCell ref="A12:B12"/>
    <mergeCell ref="A18:B18"/>
    <mergeCell ref="A19:B19"/>
  </mergeCells>
  <phoneticPr fontId="8" type="noConversion"/>
  <hyperlinks>
    <hyperlink ref="F7" r:id="rId1"/>
    <hyperlink ref="A11" location="Contents!A1" display="Contents"/>
    <hyperlink ref="A11:B11" r:id="rId2" display="WebTAG Unit 3.5.4"/>
    <hyperlink ref="A10" location="Contents!A1" display="Contents"/>
    <hyperlink ref="A10:B10" location="Contents!A1" tooltip="Contents page" display="Contents"/>
  </hyperlinks>
  <pageMargins left="0.75" right="0.75" top="1" bottom="1" header="0.5" footer="0.5"/>
  <pageSetup paperSize="9" orientation="portrait" r:id="rId3"/>
  <headerFooter alignWithMargins="0"/>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indexed="17"/>
    <pageSetUpPr fitToPage="1"/>
  </sheetPr>
  <dimension ref="A1:S32"/>
  <sheetViews>
    <sheetView showGridLines="0" zoomScale="85" zoomScaleNormal="85" workbookViewId="0">
      <pane xSplit="3" ySplit="24" topLeftCell="D25"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ht="54.9" customHeight="1">
      <c r="A1" s="28"/>
      <c r="B1" s="28"/>
      <c r="C1" s="38"/>
      <c r="D1" s="38"/>
      <c r="E1" s="38"/>
    </row>
    <row r="2" spans="1:19" s="319" customFormat="1" ht="5.0999999999999996" customHeight="1">
      <c r="A2" s="300"/>
      <c r="B2" s="300"/>
      <c r="C2" s="300"/>
      <c r="D2" s="83"/>
      <c r="E2" s="300"/>
      <c r="F2" s="300"/>
    </row>
    <row r="3" spans="1:19" s="319" customFormat="1" ht="20.100000000000001" customHeight="1">
      <c r="A3" s="426" t="s">
        <v>2225</v>
      </c>
      <c r="B3" s="300"/>
      <c r="C3" s="300"/>
      <c r="D3" s="46"/>
      <c r="E3" s="300"/>
      <c r="F3" s="445"/>
    </row>
    <row r="4" spans="1:19" s="609" customFormat="1" ht="20.100000000000001" customHeight="1" thickBot="1">
      <c r="A4" s="529" t="s">
        <v>528</v>
      </c>
      <c r="B4" s="447"/>
      <c r="C4" s="447"/>
      <c r="D4" s="487"/>
      <c r="E4" s="446"/>
      <c r="F4" s="446"/>
      <c r="G4" s="604"/>
      <c r="H4" s="604"/>
      <c r="I4" s="604"/>
      <c r="J4" s="604"/>
      <c r="K4" s="604"/>
      <c r="L4" s="604"/>
      <c r="M4" s="604"/>
      <c r="N4" s="604"/>
      <c r="O4" s="604"/>
      <c r="P4" s="604"/>
      <c r="Q4" s="604"/>
      <c r="R4" s="604"/>
      <c r="S4" s="604"/>
    </row>
    <row r="5" spans="1:19" ht="9.9" customHeight="1" thickTop="1" thickBot="1">
      <c r="A5" s="43"/>
      <c r="B5" s="321"/>
      <c r="E5" s="427"/>
      <c r="F5" s="38"/>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91" t="s">
        <v>11</v>
      </c>
      <c r="F7" s="1486" t="s">
        <v>753</v>
      </c>
      <c r="G7" s="26"/>
      <c r="H7" s="26"/>
      <c r="I7" s="26"/>
      <c r="J7" s="26"/>
      <c r="K7" s="26"/>
      <c r="L7" s="26"/>
      <c r="M7" s="26"/>
      <c r="N7" s="26"/>
      <c r="O7" s="26"/>
      <c r="P7" s="26"/>
      <c r="Q7" s="26"/>
      <c r="R7" s="26"/>
      <c r="S7" s="147"/>
    </row>
    <row r="8" spans="1:19" s="38" customFormat="1" ht="13.5" customHeight="1">
      <c r="A8" s="3630">
        <f>Audit!C12</f>
        <v>43586</v>
      </c>
      <c r="B8" s="3631"/>
      <c r="C8" s="321"/>
      <c r="D8" s="321"/>
      <c r="E8" s="113"/>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315"/>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570" t="s">
        <v>2223</v>
      </c>
      <c r="B11" s="3581"/>
      <c r="D11" s="321"/>
      <c r="E11" s="113"/>
      <c r="F11" s="26"/>
      <c r="G11" s="26"/>
      <c r="H11" s="26"/>
      <c r="I11" s="26"/>
      <c r="J11" s="26"/>
      <c r="K11" s="26"/>
      <c r="L11" s="26"/>
      <c r="M11" s="26"/>
      <c r="N11" s="26"/>
      <c r="O11" s="26"/>
      <c r="P11" s="26"/>
      <c r="Q11" s="26"/>
      <c r="R11" s="26"/>
      <c r="S11" s="147"/>
    </row>
    <row r="12" spans="1:19" s="38" customFormat="1" ht="13.5" customHeight="1" thickBot="1">
      <c r="A12" s="3570" t="s">
        <v>2222</v>
      </c>
      <c r="B12" s="3581"/>
      <c r="D12" s="321"/>
      <c r="E12" s="113"/>
      <c r="F12" s="53"/>
      <c r="G12" s="53"/>
      <c r="H12" s="53"/>
      <c r="I12" s="53"/>
      <c r="J12" s="53"/>
      <c r="K12" s="53"/>
      <c r="L12" s="53"/>
      <c r="M12" s="53"/>
      <c r="N12" s="53"/>
      <c r="O12" s="53"/>
      <c r="P12" s="53"/>
      <c r="Q12" s="53"/>
      <c r="R12" s="53"/>
      <c r="S12" s="379"/>
    </row>
    <row r="13" spans="1:19" s="38" customFormat="1" ht="13.5" customHeight="1">
      <c r="A13" s="172" t="s">
        <v>252</v>
      </c>
      <c r="B13" s="194"/>
      <c r="D13" s="321"/>
      <c r="E13" s="113"/>
      <c r="F13" s="26"/>
      <c r="G13" s="26"/>
      <c r="H13" s="26"/>
      <c r="I13" s="26"/>
      <c r="J13" s="26"/>
      <c r="K13" s="26"/>
      <c r="L13" s="26"/>
      <c r="M13" s="26"/>
      <c r="N13" s="26"/>
      <c r="O13" s="26"/>
      <c r="P13" s="26"/>
      <c r="Q13" s="26"/>
      <c r="R13" s="26"/>
      <c r="S13" s="147"/>
    </row>
    <row r="14" spans="1:19" s="38" customFormat="1" ht="13.5" customHeight="1">
      <c r="A14" s="2441"/>
      <c r="B14" s="2442"/>
      <c r="C14" s="321"/>
      <c r="D14" s="321"/>
      <c r="E14" s="113"/>
      <c r="F14" s="26"/>
      <c r="G14" s="26"/>
      <c r="H14" s="26"/>
      <c r="I14" s="26"/>
      <c r="J14" s="26"/>
      <c r="K14" s="26"/>
      <c r="L14" s="26"/>
      <c r="M14" s="26"/>
      <c r="N14" s="26"/>
      <c r="O14" s="26"/>
      <c r="P14" s="26"/>
      <c r="Q14" s="26"/>
      <c r="R14" s="26"/>
      <c r="S14" s="147"/>
    </row>
    <row r="15" spans="1:19" s="38" customFormat="1" ht="13.5" customHeight="1">
      <c r="A15" s="2445"/>
      <c r="B15" s="2446"/>
      <c r="C15" s="321"/>
      <c r="D15" s="321"/>
      <c r="E15" s="113"/>
      <c r="F15" s="26"/>
      <c r="G15" s="26"/>
      <c r="H15" s="26"/>
      <c r="I15" s="26"/>
      <c r="J15" s="26"/>
      <c r="K15" s="26"/>
      <c r="L15" s="26"/>
      <c r="M15" s="26"/>
      <c r="N15" s="26"/>
      <c r="O15" s="26"/>
      <c r="P15" s="26"/>
      <c r="Q15" s="26"/>
      <c r="R15" s="26"/>
      <c r="S15" s="147"/>
    </row>
    <row r="16" spans="1:19" s="38" customFormat="1" ht="13.5" customHeight="1">
      <c r="A16" s="2440"/>
      <c r="B16" s="2455"/>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t="s">
        <v>2352</v>
      </c>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t="str">
        <f>'Discount %'!E20</f>
        <v>TAG1: Unit 3.5.4 (Table 1)</v>
      </c>
      <c r="F20" s="163"/>
      <c r="G20" s="163"/>
      <c r="H20" s="163"/>
      <c r="I20" s="163"/>
      <c r="J20" s="163"/>
      <c r="K20" s="163"/>
      <c r="L20" s="163"/>
      <c r="M20" s="163"/>
      <c r="N20" s="163"/>
      <c r="O20" s="163"/>
      <c r="P20" s="163"/>
      <c r="Q20" s="163"/>
      <c r="R20" s="163"/>
      <c r="S20" s="382"/>
    </row>
    <row r="21" spans="1:19" ht="13.5" customHeight="1" thickTop="1">
      <c r="A21" s="2420"/>
      <c r="B21" s="2421"/>
      <c r="C21" s="321"/>
      <c r="D21" s="32"/>
      <c r="E21" s="427"/>
      <c r="F21" s="38"/>
    </row>
    <row r="22" spans="1:19" ht="13.5" customHeight="1" thickBot="1">
      <c r="A22" s="35"/>
      <c r="B22" s="321"/>
      <c r="C22" s="321"/>
      <c r="D22" s="32"/>
      <c r="E22" s="427"/>
      <c r="F22" s="38"/>
    </row>
    <row r="23" spans="1:19" ht="13.5" customHeight="1" thickTop="1" thickBot="1">
      <c r="A23" s="122" t="s">
        <v>1137</v>
      </c>
      <c r="B23" s="626"/>
      <c r="C23" s="496"/>
      <c r="D23" s="362"/>
      <c r="E23" s="278"/>
      <c r="F23" s="38"/>
    </row>
    <row r="24" spans="1:19" ht="13.5" customHeight="1" thickTop="1" thickBot="1">
      <c r="A24" s="232" t="s">
        <v>163</v>
      </c>
      <c r="B24" s="923"/>
      <c r="C24" s="924"/>
      <c r="D24" s="3647" t="s">
        <v>164</v>
      </c>
      <c r="E24" s="3648"/>
      <c r="F24" s="38"/>
    </row>
    <row r="25" spans="1:19" ht="13.5" customHeight="1" thickTop="1">
      <c r="A25" s="621"/>
      <c r="B25" s="348" t="s">
        <v>165</v>
      </c>
      <c r="C25" s="622"/>
      <c r="D25" s="1487">
        <f>'Discount %'!D25</f>
        <v>3.5000000000000003E-2</v>
      </c>
      <c r="E25" s="55"/>
      <c r="F25" s="38"/>
    </row>
    <row r="26" spans="1:19" ht="13.5" customHeight="1">
      <c r="A26" s="623"/>
      <c r="B26" s="26" t="s">
        <v>166</v>
      </c>
      <c r="C26" s="624"/>
      <c r="D26" s="1487">
        <f>'Discount %'!D26</f>
        <v>0.03</v>
      </c>
      <c r="E26" s="55"/>
      <c r="F26" s="38"/>
    </row>
    <row r="27" spans="1:19" ht="13.5" customHeight="1">
      <c r="A27" s="623"/>
      <c r="B27" s="26" t="s">
        <v>167</v>
      </c>
      <c r="C27" s="624"/>
      <c r="D27" s="1487">
        <f>'Discount %'!D27</f>
        <v>2.5000000000000001E-2</v>
      </c>
      <c r="E27" s="55"/>
      <c r="F27" s="38"/>
    </row>
    <row r="28" spans="1:19" ht="13.5" customHeight="1">
      <c r="A28" s="623"/>
      <c r="B28" s="26" t="s">
        <v>168</v>
      </c>
      <c r="C28" s="624"/>
      <c r="D28" s="1487">
        <f>'Discount %'!D28</f>
        <v>0.02</v>
      </c>
      <c r="E28" s="55"/>
      <c r="F28" s="38"/>
    </row>
    <row r="29" spans="1:19" ht="13.5" customHeight="1">
      <c r="A29" s="623"/>
      <c r="B29" s="26" t="s">
        <v>169</v>
      </c>
      <c r="C29" s="624"/>
      <c r="D29" s="1487">
        <f>'Discount %'!D29</f>
        <v>1.4999999999999999E-2</v>
      </c>
      <c r="E29" s="55"/>
      <c r="F29" s="38"/>
    </row>
    <row r="30" spans="1:19" ht="13.5" customHeight="1" thickBot="1">
      <c r="A30" s="619"/>
      <c r="B30" s="13" t="s">
        <v>170</v>
      </c>
      <c r="C30" s="620"/>
      <c r="D30" s="1490">
        <f>'Discount %'!D30</f>
        <v>0.01</v>
      </c>
      <c r="E30" s="1385"/>
      <c r="F30" s="38"/>
    </row>
    <row r="31" spans="1:19" ht="13.5" customHeight="1" thickTop="1">
      <c r="F31" s="38"/>
    </row>
    <row r="32" spans="1:19" ht="13.5" customHeight="1">
      <c r="F32" s="38"/>
    </row>
  </sheetData>
  <sheetProtection sheet="1" objects="1" scenarios="1"/>
  <mergeCells count="10">
    <mergeCell ref="D24:E24"/>
    <mergeCell ref="A10:B10"/>
    <mergeCell ref="A20:B20"/>
    <mergeCell ref="E6:S6"/>
    <mergeCell ref="A7:B7"/>
    <mergeCell ref="A8:B8"/>
    <mergeCell ref="A11:B11"/>
    <mergeCell ref="A12:B12"/>
    <mergeCell ref="A18:B18"/>
    <mergeCell ref="A19:B19"/>
  </mergeCells>
  <phoneticPr fontId="8" type="noConversion"/>
  <hyperlinks>
    <hyperlink ref="F7" r:id="rId1"/>
    <hyperlink ref="A11" location="Contents!A1" display="Contents"/>
    <hyperlink ref="A11:B11" r:id="rId2" display="WebTAG Unit 3.5.4"/>
    <hyperlink ref="A10" location="Contents!A1" display="Contents"/>
    <hyperlink ref="A10:B10" location="Contents!A1" tooltip="Contents page" display="Contents"/>
    <hyperlink ref="A12:B12" r:id="rId3" tooltip="Unit A1.1 Cost Benefit Analysis" display="WebTAG Unit A 1.1"/>
  </hyperlinks>
  <pageMargins left="0.75" right="0.75" top="1" bottom="1" header="0.5" footer="0.5"/>
  <pageSetup paperSize="9" scale="54" fitToHeight="0" orientation="landscape" r:id="rId4"/>
  <headerFooter alignWithMargins="0"/>
  <drawing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0"/>
  </sheetPr>
  <dimension ref="A1:Y85"/>
  <sheetViews>
    <sheetView showGridLines="0" topLeftCell="A7" zoomScale="70" zoomScaleNormal="70" workbookViewId="0">
      <selection activeCell="E23" sqref="E23:F23"/>
    </sheetView>
  </sheetViews>
  <sheetFormatPr defaultColWidth="12.88671875" defaultRowHeight="13.5" customHeight="1"/>
  <cols>
    <col min="1" max="1" width="12.88671875" style="38" customWidth="1"/>
    <col min="2" max="9" width="12.88671875" style="38"/>
    <col min="10" max="10" width="38.44140625" style="38" customWidth="1"/>
    <col min="11" max="11" width="12.88671875" style="38"/>
    <col min="12" max="12" width="16.6640625" style="38" customWidth="1"/>
    <col min="13" max="16384" width="12.88671875" style="38"/>
  </cols>
  <sheetData>
    <row r="1" spans="1:24" s="28" customFormat="1" ht="54.9" customHeight="1"/>
    <row r="2" spans="1:24" s="300" customFormat="1" ht="5.0999999999999996" customHeight="1">
      <c r="B2" s="426"/>
      <c r="C2" s="83"/>
      <c r="D2" s="46"/>
      <c r="E2" s="83"/>
      <c r="X2" s="83"/>
    </row>
    <row r="3" spans="1:24" s="300" customFormat="1" ht="20.100000000000001" customHeight="1">
      <c r="A3" s="426" t="s">
        <v>2217</v>
      </c>
      <c r="C3" s="46"/>
      <c r="D3" s="83"/>
      <c r="E3" s="46"/>
      <c r="X3" s="46"/>
    </row>
    <row r="4" spans="1:24" s="83" customFormat="1" ht="20.100000000000001" customHeight="1" thickBot="1">
      <c r="A4" s="109" t="s">
        <v>1359</v>
      </c>
      <c r="B4" s="109"/>
      <c r="C4" s="109"/>
      <c r="D4" s="109"/>
      <c r="E4" s="440"/>
      <c r="F4" s="109"/>
      <c r="G4" s="109"/>
      <c r="H4" s="109"/>
      <c r="I4" s="109"/>
      <c r="J4" s="109"/>
      <c r="K4" s="109"/>
      <c r="L4" s="109"/>
      <c r="M4" s="109"/>
      <c r="N4" s="109"/>
      <c r="O4" s="109"/>
      <c r="P4" s="109"/>
      <c r="Q4" s="109"/>
      <c r="R4" s="109"/>
      <c r="S4" s="109"/>
    </row>
    <row r="5" spans="1:24" ht="9.9" customHeight="1" thickTop="1" thickBot="1">
      <c r="B5" s="26"/>
      <c r="D5" s="32"/>
      <c r="H5" s="401"/>
      <c r="I5" s="321"/>
      <c r="J5" s="321"/>
      <c r="X5" s="31"/>
    </row>
    <row r="6" spans="1:24" ht="13.5" customHeight="1" thickTop="1">
      <c r="A6" s="169" t="s">
        <v>10</v>
      </c>
      <c r="B6" s="169"/>
      <c r="E6" s="3626" t="s">
        <v>255</v>
      </c>
      <c r="F6" s="3649"/>
      <c r="G6" s="3649"/>
      <c r="H6" s="3649"/>
      <c r="I6" s="3649"/>
      <c r="J6" s="3649"/>
      <c r="K6" s="3649"/>
      <c r="L6" s="3649"/>
      <c r="M6" s="3649"/>
      <c r="N6" s="3649"/>
      <c r="O6" s="3649"/>
      <c r="P6" s="3649"/>
      <c r="Q6" s="3649"/>
      <c r="R6" s="3649"/>
      <c r="S6" s="3650"/>
    </row>
    <row r="7" spans="1:24" ht="13.5" customHeight="1">
      <c r="A7" s="3644" t="str">
        <f>Audit!A12</f>
        <v>May 2019 v1.12</v>
      </c>
      <c r="B7" s="3651"/>
      <c r="D7" s="147"/>
      <c r="E7" s="207" t="s">
        <v>1317</v>
      </c>
      <c r="F7" s="26"/>
      <c r="G7" s="26"/>
      <c r="H7" s="26"/>
      <c r="I7" s="26"/>
      <c r="J7" s="26"/>
      <c r="K7" s="26"/>
      <c r="L7" s="26"/>
      <c r="M7" s="26"/>
      <c r="N7" s="26"/>
      <c r="O7" s="26"/>
      <c r="P7" s="26"/>
      <c r="Q7" s="26"/>
      <c r="R7" s="26"/>
      <c r="S7" s="147"/>
    </row>
    <row r="8" spans="1:24" ht="13.5" customHeight="1">
      <c r="A8" s="3646">
        <f>Audit!C12</f>
        <v>43586</v>
      </c>
      <c r="B8" s="3651"/>
      <c r="C8" s="321"/>
      <c r="D8" s="412"/>
      <c r="E8" s="113" t="s">
        <v>1318</v>
      </c>
      <c r="F8" s="1"/>
      <c r="G8" s="1"/>
      <c r="H8" s="1"/>
      <c r="I8" s="1"/>
      <c r="J8" s="1"/>
      <c r="K8" s="1"/>
      <c r="L8" s="1"/>
      <c r="M8" s="1"/>
      <c r="N8" s="1"/>
      <c r="O8" s="1"/>
      <c r="P8" s="1"/>
      <c r="Q8" s="1"/>
      <c r="R8" s="1"/>
      <c r="S8" s="5"/>
    </row>
    <row r="9" spans="1:24" ht="13.5" customHeight="1" thickBot="1">
      <c r="A9" s="172" t="s">
        <v>14</v>
      </c>
      <c r="B9" s="173"/>
      <c r="D9" s="321"/>
      <c r="E9" s="19"/>
      <c r="F9" s="1"/>
      <c r="G9" s="1"/>
      <c r="H9" s="1"/>
      <c r="I9" s="1"/>
      <c r="J9" s="1"/>
      <c r="K9" s="1"/>
      <c r="L9" s="1"/>
      <c r="M9" s="1"/>
      <c r="N9" s="1"/>
      <c r="O9" s="1"/>
      <c r="P9" s="1"/>
      <c r="Q9" s="1"/>
      <c r="R9" s="1"/>
      <c r="S9" s="5"/>
    </row>
    <row r="10" spans="1:24" ht="13.5" customHeight="1" thickBot="1">
      <c r="A10" s="3611" t="s">
        <v>1306</v>
      </c>
      <c r="B10" s="3612"/>
      <c r="D10" s="321"/>
      <c r="E10" s="113"/>
      <c r="S10" s="147"/>
    </row>
    <row r="11" spans="1:24" ht="13.5" customHeight="1" thickBot="1">
      <c r="A11" s="3611" t="s">
        <v>2216</v>
      </c>
      <c r="B11" s="3639"/>
      <c r="D11" s="321"/>
      <c r="E11" s="113"/>
      <c r="S11" s="147"/>
    </row>
    <row r="12" spans="1:24" ht="13.5" customHeight="1" thickBot="1">
      <c r="A12" s="3611" t="s">
        <v>2217</v>
      </c>
      <c r="B12" s="3639"/>
      <c r="D12" s="321"/>
      <c r="E12" s="113"/>
      <c r="S12" s="147"/>
    </row>
    <row r="13" spans="1:24" ht="13.5" customHeight="1">
      <c r="A13" s="172" t="s">
        <v>252</v>
      </c>
      <c r="B13" s="194"/>
      <c r="C13" s="321"/>
      <c r="D13" s="321"/>
      <c r="E13" s="113"/>
      <c r="F13" s="26"/>
      <c r="G13" s="26"/>
      <c r="H13" s="26"/>
      <c r="I13" s="26"/>
      <c r="J13" s="26"/>
      <c r="K13" s="26"/>
      <c r="L13" s="26"/>
      <c r="M13" s="26"/>
      <c r="N13" s="26"/>
      <c r="O13" s="26"/>
      <c r="P13" s="26"/>
      <c r="Q13" s="26"/>
      <c r="R13" s="26"/>
      <c r="S13" s="147"/>
    </row>
    <row r="14" spans="1:24" ht="13.5" customHeight="1">
      <c r="A14" s="56" t="s">
        <v>799</v>
      </c>
      <c r="B14" s="195">
        <f>B16</f>
        <v>2010</v>
      </c>
      <c r="C14" s="321"/>
      <c r="D14" s="321"/>
      <c r="E14" s="113"/>
      <c r="F14" s="26"/>
      <c r="G14" s="26"/>
      <c r="H14" s="26"/>
      <c r="I14" s="26"/>
      <c r="J14" s="26"/>
      <c r="K14" s="26"/>
      <c r="L14" s="26"/>
      <c r="M14" s="26"/>
      <c r="N14" s="26"/>
      <c r="O14" s="26"/>
      <c r="P14" s="26"/>
      <c r="Q14" s="26"/>
      <c r="R14" s="26"/>
      <c r="S14" s="147"/>
    </row>
    <row r="15" spans="1:24" ht="13.5" customHeight="1">
      <c r="A15" s="26" t="s">
        <v>54</v>
      </c>
      <c r="B15" s="1639">
        <f>B16</f>
        <v>2010</v>
      </c>
      <c r="C15" s="321"/>
      <c r="D15" s="321"/>
      <c r="E15" s="113"/>
      <c r="F15" s="26"/>
      <c r="G15" s="26"/>
      <c r="H15" s="26"/>
      <c r="I15" s="26"/>
      <c r="J15" s="26"/>
      <c r="K15" s="26"/>
      <c r="L15" s="26"/>
      <c r="M15" s="26"/>
      <c r="N15" s="26"/>
      <c r="O15" s="26"/>
      <c r="P15" s="26"/>
      <c r="Q15" s="26"/>
      <c r="R15" s="26"/>
      <c r="S15" s="147"/>
    </row>
    <row r="16" spans="1:24" ht="13.5" customHeight="1">
      <c r="A16" s="56" t="s">
        <v>370</v>
      </c>
      <c r="B16" s="1221">
        <v>2010</v>
      </c>
      <c r="C16" s="72"/>
      <c r="D16" s="321"/>
      <c r="E16" s="113"/>
      <c r="F16" s="26"/>
      <c r="G16" s="26"/>
      <c r="H16" s="26"/>
      <c r="I16" s="26"/>
      <c r="J16" s="26"/>
      <c r="K16" s="26"/>
      <c r="L16" s="26"/>
      <c r="M16" s="26"/>
      <c r="N16" s="26"/>
      <c r="O16" s="26"/>
      <c r="P16" s="26"/>
      <c r="Q16" s="26"/>
      <c r="R16" s="26"/>
      <c r="S16" s="147"/>
    </row>
    <row r="17" spans="1:24" ht="13.5" customHeight="1">
      <c r="A17" s="38" t="s">
        <v>1360</v>
      </c>
      <c r="C17" s="1301">
        <v>1.19</v>
      </c>
      <c r="D17" s="72"/>
      <c r="E17" s="113"/>
      <c r="F17" s="26"/>
      <c r="G17" s="26"/>
      <c r="H17" s="26"/>
      <c r="I17" s="26"/>
      <c r="J17" s="26"/>
      <c r="K17" s="26"/>
      <c r="L17" s="26"/>
      <c r="M17" s="26"/>
      <c r="N17" s="26"/>
      <c r="O17" s="26"/>
      <c r="P17" s="26"/>
      <c r="Q17" s="26"/>
      <c r="R17" s="26"/>
      <c r="S17" s="147"/>
    </row>
    <row r="18" spans="1:24" ht="13.5" customHeight="1">
      <c r="A18" s="169" t="s">
        <v>253</v>
      </c>
      <c r="B18" s="170"/>
      <c r="C18" s="2050"/>
      <c r="D18" s="72"/>
      <c r="E18" s="113"/>
      <c r="F18" s="26"/>
      <c r="G18" s="26"/>
      <c r="H18" s="26"/>
      <c r="I18" s="26"/>
      <c r="J18" s="26"/>
      <c r="K18" s="26"/>
      <c r="L18" s="26"/>
      <c r="M18" s="26"/>
      <c r="N18" s="26"/>
      <c r="O18" s="26"/>
      <c r="P18" s="26"/>
      <c r="Q18" s="26"/>
      <c r="R18" s="26"/>
      <c r="S18" s="147"/>
    </row>
    <row r="19" spans="1:24" ht="13.5" customHeight="1">
      <c r="C19" s="321"/>
      <c r="D19" s="321"/>
      <c r="E19" s="113" t="s">
        <v>321</v>
      </c>
      <c r="F19" s="26"/>
      <c r="G19" s="26"/>
      <c r="H19" s="26"/>
      <c r="I19" s="26"/>
      <c r="J19" s="26"/>
      <c r="K19" s="26"/>
      <c r="L19" s="26"/>
      <c r="M19" s="26"/>
      <c r="N19" s="26"/>
      <c r="O19" s="26"/>
      <c r="P19" s="26"/>
      <c r="Q19" s="26"/>
      <c r="R19" s="26"/>
      <c r="S19" s="147"/>
    </row>
    <row r="20" spans="1:24" ht="13.5" customHeight="1" thickBot="1">
      <c r="C20" s="321"/>
      <c r="D20" s="321"/>
      <c r="E20" s="92" t="s">
        <v>2226</v>
      </c>
      <c r="F20" s="163"/>
      <c r="G20" s="163"/>
      <c r="H20" s="163"/>
      <c r="I20" s="163"/>
      <c r="J20" s="163"/>
      <c r="K20" s="163"/>
      <c r="L20" s="163"/>
      <c r="M20" s="163"/>
      <c r="N20" s="163"/>
      <c r="O20" s="163"/>
      <c r="P20" s="163"/>
      <c r="Q20" s="163"/>
      <c r="R20" s="163"/>
      <c r="S20" s="382"/>
    </row>
    <row r="21" spans="1:24" ht="13.5" customHeight="1" thickTop="1">
      <c r="A21" s="3615"/>
      <c r="B21" s="3615"/>
      <c r="C21" s="321"/>
      <c r="D21" s="72"/>
    </row>
    <row r="22" spans="1:24" ht="13.5" customHeight="1" thickBot="1">
      <c r="A22" s="26"/>
      <c r="B22" s="26"/>
      <c r="C22" s="26"/>
      <c r="D22" s="26"/>
      <c r="E22" s="26"/>
      <c r="F22" s="26"/>
      <c r="H22" s="321"/>
      <c r="I22" s="321"/>
      <c r="J22" s="321"/>
      <c r="P22" s="26"/>
      <c r="Q22" s="26"/>
      <c r="R22" s="26"/>
      <c r="S22" s="26"/>
      <c r="T22" s="26"/>
      <c r="U22" s="26"/>
      <c r="V22" s="26"/>
      <c r="W22" s="26"/>
      <c r="X22" s="26"/>
    </row>
    <row r="23" spans="1:24" s="33" customFormat="1" ht="13.5" customHeight="1" thickTop="1" thickBot="1">
      <c r="A23" s="174" t="s">
        <v>1768</v>
      </c>
      <c r="B23" s="1242"/>
      <c r="C23" s="667"/>
      <c r="D23" s="1243"/>
      <c r="E23" s="1243"/>
      <c r="F23" s="1243"/>
      <c r="G23" s="1645"/>
      <c r="H23" s="1646"/>
      <c r="I23" s="35"/>
      <c r="J23" s="174" t="s">
        <v>1777</v>
      </c>
      <c r="K23" s="1242"/>
      <c r="L23" s="667"/>
      <c r="M23" s="1243"/>
      <c r="N23" s="1243"/>
      <c r="O23" s="1243"/>
    </row>
    <row r="24" spans="1:24" s="33" customFormat="1" ht="13.5" customHeight="1" thickTop="1">
      <c r="A24" s="230" t="s">
        <v>45</v>
      </c>
      <c r="B24" s="416"/>
      <c r="C24" s="100"/>
      <c r="D24" s="419" t="s">
        <v>1403</v>
      </c>
      <c r="E24" s="419" t="s">
        <v>1405</v>
      </c>
      <c r="F24" s="498" t="s">
        <v>274</v>
      </c>
      <c r="G24" s="419" t="s">
        <v>470</v>
      </c>
      <c r="H24" s="498" t="s">
        <v>1404</v>
      </c>
      <c r="I24" s="35"/>
      <c r="J24" s="230" t="s">
        <v>45</v>
      </c>
      <c r="K24" s="419" t="s">
        <v>1403</v>
      </c>
      <c r="L24" s="419" t="s">
        <v>1405</v>
      </c>
      <c r="M24" s="498" t="s">
        <v>274</v>
      </c>
      <c r="N24" s="419" t="s">
        <v>470</v>
      </c>
      <c r="O24" s="498" t="s">
        <v>1404</v>
      </c>
    </row>
    <row r="25" spans="1:24" s="33" customFormat="1" ht="13.5" customHeight="1">
      <c r="A25" s="104"/>
      <c r="B25" s="281"/>
      <c r="C25" s="173"/>
      <c r="D25" s="421" t="s">
        <v>1402</v>
      </c>
      <c r="E25" s="421" t="s">
        <v>1352</v>
      </c>
      <c r="F25" s="285" t="s">
        <v>1352</v>
      </c>
      <c r="G25" s="421" t="s">
        <v>1402</v>
      </c>
      <c r="H25" s="285" t="s">
        <v>1405</v>
      </c>
      <c r="I25" s="2"/>
      <c r="J25" s="104"/>
      <c r="K25" s="421" t="s">
        <v>1402</v>
      </c>
      <c r="L25" s="421" t="s">
        <v>1352</v>
      </c>
      <c r="M25" s="285" t="s">
        <v>1352</v>
      </c>
      <c r="N25" s="421" t="s">
        <v>1402</v>
      </c>
      <c r="O25" s="285" t="s">
        <v>1405</v>
      </c>
    </row>
    <row r="26" spans="1:24" s="33" customFormat="1" ht="31.5" customHeight="1" thickBot="1">
      <c r="A26" s="464"/>
      <c r="B26" s="632"/>
      <c r="C26" s="465"/>
      <c r="D26" s="1223" t="s">
        <v>1351</v>
      </c>
      <c r="E26" s="668"/>
      <c r="F26" s="668"/>
      <c r="G26" s="668" t="s">
        <v>1351</v>
      </c>
      <c r="H26" s="668" t="s">
        <v>1351</v>
      </c>
      <c r="I26" s="2"/>
      <c r="J26" s="464"/>
      <c r="K26" s="1223" t="s">
        <v>1351</v>
      </c>
      <c r="L26" s="668"/>
      <c r="M26" s="668"/>
      <c r="N26" s="668" t="s">
        <v>1351</v>
      </c>
      <c r="O26" s="668" t="s">
        <v>1351</v>
      </c>
    </row>
    <row r="27" spans="1:24" ht="13.8" thickTop="1">
      <c r="A27" s="434" t="s">
        <v>1406</v>
      </c>
      <c r="C27" s="147"/>
      <c r="D27" s="431">
        <v>14.864388217189035</v>
      </c>
      <c r="E27" s="1647">
        <v>2010</v>
      </c>
      <c r="F27" s="1647">
        <v>2010</v>
      </c>
      <c r="G27" s="1257">
        <f>D27</f>
        <v>14.864388217189035</v>
      </c>
      <c r="H27" s="1257">
        <f>D27*$C$17</f>
        <v>17.68862197845495</v>
      </c>
      <c r="I27" s="26"/>
      <c r="J27" s="434" t="s">
        <v>1769</v>
      </c>
      <c r="K27" s="2877">
        <v>8.4234376207507076</v>
      </c>
      <c r="L27" s="1647">
        <v>2010</v>
      </c>
      <c r="M27" s="1647">
        <v>2010</v>
      </c>
      <c r="N27" s="1257">
        <f>K27</f>
        <v>8.4234376207507076</v>
      </c>
      <c r="O27" s="1257">
        <f>K27*$C$17</f>
        <v>10.023890768693342</v>
      </c>
    </row>
    <row r="28" spans="1:24" ht="26.4">
      <c r="A28" s="434" t="s">
        <v>1407</v>
      </c>
      <c r="C28" s="147"/>
      <c r="D28" s="431">
        <v>14.864388217189035</v>
      </c>
      <c r="E28" s="1647">
        <v>2010</v>
      </c>
      <c r="F28" s="1647">
        <v>2010</v>
      </c>
      <c r="G28" s="1257">
        <f t="shared" ref="G28:G40" si="0">D28</f>
        <v>14.864388217189035</v>
      </c>
      <c r="H28" s="1257">
        <f t="shared" ref="H28:H40" si="1">D28*$C$17</f>
        <v>17.68862197845495</v>
      </c>
      <c r="I28" s="26"/>
      <c r="J28" s="434" t="s">
        <v>1770</v>
      </c>
      <c r="K28" s="2878">
        <v>13.618234096994282</v>
      </c>
      <c r="L28" s="1647">
        <v>2010</v>
      </c>
      <c r="M28" s="1647">
        <v>2010</v>
      </c>
      <c r="N28" s="1257">
        <f t="shared" ref="N28:N34" si="2">K28</f>
        <v>13.618234096994282</v>
      </c>
      <c r="O28" s="1257">
        <f t="shared" ref="O28:O33" si="3">K28*$C$17</f>
        <v>16.205698575423195</v>
      </c>
    </row>
    <row r="29" spans="1:24" ht="13.5" customHeight="1">
      <c r="A29" s="435" t="s">
        <v>1408</v>
      </c>
      <c r="C29" s="147"/>
      <c r="D29" s="431">
        <v>10.235279669137599</v>
      </c>
      <c r="E29" s="1647">
        <v>2010</v>
      </c>
      <c r="F29" s="1647">
        <v>2010</v>
      </c>
      <c r="G29" s="1257">
        <f t="shared" si="0"/>
        <v>10.235279669137599</v>
      </c>
      <c r="H29" s="1257">
        <f t="shared" si="1"/>
        <v>12.179982806273742</v>
      </c>
      <c r="I29" s="26"/>
      <c r="J29" s="435" t="s">
        <v>1771</v>
      </c>
      <c r="K29" s="2878">
        <v>18.488484283860739</v>
      </c>
      <c r="L29" s="1647">
        <v>2010</v>
      </c>
      <c r="M29" s="1647">
        <v>2010</v>
      </c>
      <c r="N29" s="1257">
        <f t="shared" si="2"/>
        <v>18.488484283860739</v>
      </c>
      <c r="O29" s="1257">
        <f t="shared" si="3"/>
        <v>22.00129629779428</v>
      </c>
    </row>
    <row r="30" spans="1:24" ht="13.5" customHeight="1">
      <c r="A30" s="435" t="s">
        <v>1409</v>
      </c>
      <c r="C30" s="147"/>
      <c r="D30" s="431">
        <v>12.059623499053327</v>
      </c>
      <c r="E30" s="1647">
        <v>2010</v>
      </c>
      <c r="F30" s="1647">
        <v>2010</v>
      </c>
      <c r="G30" s="1257">
        <f t="shared" si="0"/>
        <v>12.059623499053327</v>
      </c>
      <c r="H30" s="1257">
        <f>D30*$C$17</f>
        <v>14.350951963873458</v>
      </c>
      <c r="I30" s="26"/>
      <c r="J30" s="435" t="s">
        <v>1772</v>
      </c>
      <c r="K30" s="2878">
        <v>23.768340440923069</v>
      </c>
      <c r="L30" s="1647">
        <v>2010</v>
      </c>
      <c r="M30" s="1647">
        <v>2010</v>
      </c>
      <c r="N30" s="1257">
        <f t="shared" si="2"/>
        <v>23.768340440923069</v>
      </c>
      <c r="O30" s="1257">
        <f>K30*$C$17</f>
        <v>28.284325124698452</v>
      </c>
    </row>
    <row r="31" spans="1:24" ht="13.5" customHeight="1">
      <c r="A31" s="435" t="s">
        <v>1410</v>
      </c>
      <c r="C31" s="147"/>
      <c r="D31" s="431">
        <v>12.320244046184147</v>
      </c>
      <c r="E31" s="1647">
        <v>2010</v>
      </c>
      <c r="F31" s="1647">
        <v>2010</v>
      </c>
      <c r="G31" s="1257">
        <f t="shared" si="0"/>
        <v>12.320244046184147</v>
      </c>
      <c r="H31" s="1257">
        <f t="shared" si="1"/>
        <v>14.661090414959133</v>
      </c>
      <c r="I31" s="26"/>
      <c r="J31" s="435" t="s">
        <v>1773</v>
      </c>
      <c r="K31" s="2878">
        <v>8.4234376207507076</v>
      </c>
      <c r="L31" s="1647">
        <v>2010</v>
      </c>
      <c r="M31" s="1647">
        <v>2010</v>
      </c>
      <c r="N31" s="1257">
        <f>K31</f>
        <v>8.4234376207507076</v>
      </c>
      <c r="O31" s="1257">
        <f t="shared" si="3"/>
        <v>10.023890768693342</v>
      </c>
      <c r="R31" s="26"/>
    </row>
    <row r="32" spans="1:24" ht="13.5" customHeight="1">
      <c r="A32" s="435" t="s">
        <v>1411</v>
      </c>
      <c r="C32" s="147"/>
      <c r="D32" s="431">
        <v>8.4234376207507076</v>
      </c>
      <c r="E32" s="1647">
        <v>2010</v>
      </c>
      <c r="F32" s="1647">
        <v>2010</v>
      </c>
      <c r="G32" s="1257">
        <f t="shared" si="0"/>
        <v>8.4234376207507076</v>
      </c>
      <c r="H32" s="1257">
        <f t="shared" si="1"/>
        <v>10.023890768693342</v>
      </c>
      <c r="I32" s="26"/>
      <c r="J32" s="435" t="s">
        <v>1774</v>
      </c>
      <c r="K32" s="2878">
        <v>13.618234096994282</v>
      </c>
      <c r="L32" s="1647">
        <v>2010</v>
      </c>
      <c r="M32" s="1647">
        <v>2010</v>
      </c>
      <c r="N32" s="1257">
        <f t="shared" si="2"/>
        <v>13.618234096994282</v>
      </c>
      <c r="O32" s="1257">
        <f t="shared" si="3"/>
        <v>16.205698575423195</v>
      </c>
      <c r="R32" s="26"/>
    </row>
    <row r="33" spans="1:24" ht="13.5" customHeight="1">
      <c r="A33" s="435" t="s">
        <v>1412</v>
      </c>
      <c r="C33" s="147"/>
      <c r="D33" s="431">
        <v>10.886831036964644</v>
      </c>
      <c r="E33" s="1647">
        <v>2010</v>
      </c>
      <c r="F33" s="1647">
        <v>2010</v>
      </c>
      <c r="G33" s="1257">
        <f t="shared" si="0"/>
        <v>10.886831036964644</v>
      </c>
      <c r="H33" s="1257">
        <f t="shared" si="1"/>
        <v>12.955328933987925</v>
      </c>
      <c r="I33" s="26"/>
      <c r="J33" s="435" t="s">
        <v>1775</v>
      </c>
      <c r="K33" s="2879">
        <v>23.718518699064983</v>
      </c>
      <c r="L33" s="1647">
        <v>2010</v>
      </c>
      <c r="M33" s="1647">
        <v>2010</v>
      </c>
      <c r="N33" s="1257">
        <f t="shared" si="2"/>
        <v>23.718518699064983</v>
      </c>
      <c r="O33" s="1257">
        <f t="shared" si="3"/>
        <v>28.225037251887329</v>
      </c>
      <c r="R33" s="26"/>
    </row>
    <row r="34" spans="1:24" ht="13.5" customHeight="1" thickBot="1">
      <c r="A34" s="435" t="s">
        <v>1239</v>
      </c>
      <c r="C34" s="147"/>
      <c r="D34" s="431">
        <v>14.864388217189035</v>
      </c>
      <c r="E34" s="1647">
        <v>2010</v>
      </c>
      <c r="F34" s="1647">
        <v>2010</v>
      </c>
      <c r="G34" s="1257">
        <f t="shared" si="0"/>
        <v>14.864388217189035</v>
      </c>
      <c r="H34" s="1257">
        <f t="shared" si="1"/>
        <v>17.68862197845495</v>
      </c>
      <c r="I34" s="26"/>
      <c r="J34" s="2874" t="s">
        <v>1776</v>
      </c>
      <c r="K34" s="2880">
        <v>34.216271834096993</v>
      </c>
      <c r="L34" s="1652">
        <v>2010</v>
      </c>
      <c r="M34" s="1653">
        <v>2010</v>
      </c>
      <c r="N34" s="77">
        <f t="shared" si="2"/>
        <v>34.216271834096993</v>
      </c>
      <c r="O34" s="77">
        <f>K34*$C$17</f>
        <v>40.717363482575422</v>
      </c>
    </row>
    <row r="35" spans="1:24" ht="13.5" customHeight="1" thickTop="1">
      <c r="A35" s="435" t="s">
        <v>1413</v>
      </c>
      <c r="C35" s="147"/>
      <c r="D35" s="431">
        <v>24.518992476633144</v>
      </c>
      <c r="E35" s="1647">
        <v>2010</v>
      </c>
      <c r="F35" s="1647">
        <v>2010</v>
      </c>
      <c r="G35" s="1257">
        <f t="shared" si="0"/>
        <v>24.518992476633144</v>
      </c>
      <c r="H35" s="1257">
        <f t="shared" si="1"/>
        <v>29.177601047193441</v>
      </c>
      <c r="I35" s="26"/>
      <c r="J35" s="26"/>
      <c r="K35" s="26"/>
      <c r="L35" s="26"/>
      <c r="M35" s="26"/>
      <c r="N35" s="26"/>
      <c r="O35" s="26"/>
      <c r="P35" s="26"/>
    </row>
    <row r="36" spans="1:24" ht="13.5" customHeight="1" thickBot="1">
      <c r="A36" s="435" t="s">
        <v>1414</v>
      </c>
      <c r="C36" s="147"/>
      <c r="D36" s="431">
        <v>8.4234376207507076</v>
      </c>
      <c r="E36" s="1647">
        <v>2010</v>
      </c>
      <c r="F36" s="1647">
        <v>2010</v>
      </c>
      <c r="G36" s="1257">
        <f t="shared" si="0"/>
        <v>8.4234376207507076</v>
      </c>
      <c r="H36" s="1257">
        <f t="shared" si="1"/>
        <v>10.023890768693342</v>
      </c>
      <c r="I36" s="50"/>
      <c r="J36" s="26"/>
      <c r="K36" s="26"/>
      <c r="L36" s="26"/>
      <c r="M36" s="26"/>
      <c r="N36" s="26"/>
      <c r="O36" s="26"/>
      <c r="P36" s="26"/>
    </row>
    <row r="37" spans="1:24" ht="13.5" customHeight="1" thickTop="1" thickBot="1">
      <c r="A37" s="435" t="s">
        <v>1415</v>
      </c>
      <c r="C37" s="147"/>
      <c r="D37" s="431">
        <v>8.4234376207507076</v>
      </c>
      <c r="E37" s="1647">
        <v>2010</v>
      </c>
      <c r="F37" s="1647">
        <v>2010</v>
      </c>
      <c r="G37" s="1257">
        <f t="shared" si="0"/>
        <v>8.4234376207507076</v>
      </c>
      <c r="H37" s="1257">
        <f t="shared" si="1"/>
        <v>10.023890768693342</v>
      </c>
      <c r="I37" s="26"/>
      <c r="J37" s="174" t="s">
        <v>1799</v>
      </c>
      <c r="K37" s="1242"/>
      <c r="L37" s="582"/>
      <c r="M37" s="26"/>
      <c r="N37" s="26"/>
      <c r="O37" s="26"/>
      <c r="P37" s="26"/>
    </row>
    <row r="38" spans="1:24" ht="13.5" customHeight="1" thickTop="1" thickBot="1">
      <c r="A38" s="435" t="s">
        <v>1416</v>
      </c>
      <c r="C38" s="147"/>
      <c r="D38" s="431">
        <v>8.4234376207507076</v>
      </c>
      <c r="E38" s="1647">
        <v>2010</v>
      </c>
      <c r="F38" s="1647">
        <v>2010</v>
      </c>
      <c r="G38" s="1257">
        <f t="shared" si="0"/>
        <v>8.4234376207507076</v>
      </c>
      <c r="H38" s="1257">
        <f t="shared" si="1"/>
        <v>10.023890768693342</v>
      </c>
      <c r="I38" s="26"/>
      <c r="J38" s="230" t="s">
        <v>149</v>
      </c>
      <c r="K38" s="1035" t="s">
        <v>1439</v>
      </c>
      <c r="L38" s="1153" t="s">
        <v>584</v>
      </c>
      <c r="M38" s="335" t="s">
        <v>786</v>
      </c>
      <c r="N38" s="26"/>
      <c r="O38" s="26"/>
      <c r="P38" s="26"/>
    </row>
    <row r="39" spans="1:24" ht="13.5" customHeight="1" thickTop="1">
      <c r="A39" s="435" t="s">
        <v>1417</v>
      </c>
      <c r="C39" s="147"/>
      <c r="D39" s="432">
        <v>14.864388217189035</v>
      </c>
      <c r="E39" s="1647">
        <v>2010</v>
      </c>
      <c r="F39" s="1647">
        <v>2010</v>
      </c>
      <c r="G39" s="1257">
        <f t="shared" si="0"/>
        <v>14.864388217189035</v>
      </c>
      <c r="H39" s="1257">
        <f t="shared" si="1"/>
        <v>17.68862197845495</v>
      </c>
      <c r="I39" s="26"/>
      <c r="J39" s="2932" t="s">
        <v>1804</v>
      </c>
      <c r="K39" s="2925">
        <v>24.803737583636462</v>
      </c>
      <c r="L39" s="2927">
        <v>36.468640556250875</v>
      </c>
      <c r="M39" s="1647">
        <v>2010</v>
      </c>
      <c r="N39" s="26"/>
      <c r="O39" s="26"/>
      <c r="P39" s="26"/>
    </row>
    <row r="40" spans="1:24" ht="13.5" customHeight="1" thickBot="1">
      <c r="A40" s="435" t="s">
        <v>60</v>
      </c>
      <c r="C40" s="147"/>
      <c r="D40" s="431">
        <v>16.190710672670583</v>
      </c>
      <c r="E40" s="1647">
        <v>2010</v>
      </c>
      <c r="F40" s="1647">
        <v>2010</v>
      </c>
      <c r="G40" s="1257">
        <f t="shared" si="0"/>
        <v>16.190710672670583</v>
      </c>
      <c r="H40" s="1257">
        <f t="shared" si="1"/>
        <v>19.266945700477994</v>
      </c>
      <c r="J40" s="2933" t="s">
        <v>1803</v>
      </c>
      <c r="K40" s="2928">
        <v>24.803737583636462</v>
      </c>
      <c r="L40" s="2929">
        <v>36.468640556250897</v>
      </c>
      <c r="M40" s="1647">
        <v>2010</v>
      </c>
      <c r="N40" s="26"/>
      <c r="O40" s="26"/>
      <c r="P40" s="26"/>
    </row>
    <row r="41" spans="1:24" s="33" customFormat="1" ht="13.5" customHeight="1" thickTop="1" thickBot="1">
      <c r="A41" s="122" t="s">
        <v>433</v>
      </c>
      <c r="B41" s="1008"/>
      <c r="C41" s="574"/>
      <c r="D41" s="1649"/>
      <c r="E41" s="1650"/>
      <c r="F41" s="1650"/>
      <c r="G41" s="1650"/>
      <c r="H41" s="1651"/>
      <c r="I41" s="14"/>
      <c r="J41" s="2933" t="s">
        <v>1805</v>
      </c>
      <c r="K41" s="2928">
        <f>K39*VLOOKUP($B$15,'Indirect tax correction'!$B$27:$I$127,7,FALSE)</f>
        <v>29.516447724527389</v>
      </c>
      <c r="L41" s="2929">
        <f>L39*VLOOKUP($B$15,'Indirect tax correction'!$B$27:$I$127,7,FALSE)</f>
        <v>43.397682261938542</v>
      </c>
      <c r="M41" s="1647">
        <v>2010</v>
      </c>
    </row>
    <row r="42" spans="1:24" s="33" customFormat="1" ht="13.5" customHeight="1" thickTop="1">
      <c r="A42" s="230" t="s">
        <v>604</v>
      </c>
      <c r="B42" s="416"/>
      <c r="C42" s="438"/>
      <c r="D42" s="498" t="s">
        <v>1403</v>
      </c>
      <c r="E42" s="419" t="s">
        <v>1405</v>
      </c>
      <c r="F42" s="498" t="s">
        <v>274</v>
      </c>
      <c r="G42" s="419" t="s">
        <v>470</v>
      </c>
      <c r="H42" s="498" t="s">
        <v>1404</v>
      </c>
      <c r="I42" s="35"/>
      <c r="J42" s="2934" t="s">
        <v>1797</v>
      </c>
      <c r="K42" s="2936">
        <v>66.525800000000004</v>
      </c>
      <c r="L42" s="2937">
        <v>107.036</v>
      </c>
    </row>
    <row r="43" spans="1:24" s="33" customFormat="1" ht="18.75" customHeight="1">
      <c r="A43" s="104"/>
      <c r="B43" s="281"/>
      <c r="C43" s="293"/>
      <c r="D43" s="285" t="s">
        <v>1402</v>
      </c>
      <c r="E43" s="421" t="s">
        <v>1352</v>
      </c>
      <c r="F43" s="285" t="s">
        <v>1352</v>
      </c>
      <c r="G43" s="421" t="s">
        <v>1402</v>
      </c>
      <c r="H43" s="285" t="s">
        <v>1405</v>
      </c>
      <c r="I43" s="2"/>
      <c r="J43" s="2934" t="s">
        <v>1798</v>
      </c>
      <c r="K43" s="2936">
        <v>67.017399999999995</v>
      </c>
      <c r="L43" s="2937">
        <v>63.947000000000003</v>
      </c>
    </row>
    <row r="44" spans="1:24" s="33" customFormat="1" ht="26.25" customHeight="1" thickBot="1">
      <c r="A44" s="464"/>
      <c r="B44" s="632"/>
      <c r="C44" s="439"/>
      <c r="D44" s="668" t="s">
        <v>1351</v>
      </c>
      <c r="E44" s="668"/>
      <c r="F44" s="668"/>
      <c r="G44" s="668" t="s">
        <v>1351</v>
      </c>
      <c r="H44" s="668" t="s">
        <v>1351</v>
      </c>
      <c r="I44" s="2"/>
      <c r="J44" s="2933" t="s">
        <v>1807</v>
      </c>
      <c r="K44" s="2928">
        <v>6.706585679866456</v>
      </c>
      <c r="L44" s="2929">
        <v>5.7590440299875976</v>
      </c>
      <c r="M44" s="1647">
        <v>2010</v>
      </c>
    </row>
    <row r="45" spans="1:24" ht="13.5" customHeight="1" thickTop="1">
      <c r="A45" s="114" t="s">
        <v>1418</v>
      </c>
      <c r="C45" s="147"/>
      <c r="D45" s="432">
        <v>9.952950318575903</v>
      </c>
      <c r="E45" s="1648">
        <v>2010</v>
      </c>
      <c r="F45" s="1647">
        <v>2010</v>
      </c>
      <c r="G45" s="2088">
        <f>D45/$C$17</f>
        <v>8.3638237971226079</v>
      </c>
      <c r="H45" s="908">
        <f>D45</f>
        <v>9.952950318575903</v>
      </c>
      <c r="J45" s="2933" t="s">
        <v>1808</v>
      </c>
      <c r="K45" s="2928">
        <v>6.706585679866456</v>
      </c>
      <c r="L45" s="2929">
        <v>5.7590440299875976</v>
      </c>
      <c r="M45" s="1647">
        <v>2010</v>
      </c>
      <c r="N45" s="26"/>
      <c r="O45" s="26"/>
      <c r="P45" s="26"/>
      <c r="Q45" s="26"/>
      <c r="R45" s="26"/>
      <c r="S45" s="26"/>
      <c r="T45" s="26"/>
      <c r="U45" s="26"/>
      <c r="V45" s="26"/>
      <c r="W45" s="26"/>
      <c r="X45" s="26"/>
    </row>
    <row r="46" spans="1:24" ht="13.5" customHeight="1" thickBot="1">
      <c r="A46" s="430" t="s">
        <v>1419</v>
      </c>
      <c r="B46" s="13"/>
      <c r="C46" s="168"/>
      <c r="D46" s="1384">
        <v>4.5428252146458146</v>
      </c>
      <c r="E46" s="1652">
        <v>2010</v>
      </c>
      <c r="F46" s="1653">
        <v>2010</v>
      </c>
      <c r="G46" s="2089">
        <f>D46/$C$17</f>
        <v>3.8175001803746342</v>
      </c>
      <c r="H46" s="77">
        <f>D46</f>
        <v>4.5428252146458146</v>
      </c>
      <c r="J46" s="2935" t="s">
        <v>1809</v>
      </c>
      <c r="K46" s="2930">
        <f>K44*VLOOKUP($B$15,'Indirect tax correction'!$B$27:$I$127,7,FALSE)</f>
        <v>7.9808369590410821</v>
      </c>
      <c r="L46" s="2931">
        <f>L44*VLOOKUP($B$15,'Indirect tax correction'!$B$27:$I$127,7,FALSE)</f>
        <v>6.853262395685241</v>
      </c>
      <c r="M46" s="1647">
        <v>2010</v>
      </c>
      <c r="N46" s="26"/>
      <c r="O46" s="26"/>
      <c r="P46" s="26"/>
      <c r="Q46" s="26"/>
      <c r="R46" s="26"/>
      <c r="S46" s="26"/>
      <c r="T46" s="26"/>
      <c r="U46" s="26"/>
      <c r="V46" s="26"/>
      <c r="W46" s="26"/>
      <c r="X46" s="26"/>
    </row>
    <row r="47" spans="1:24" ht="13.5" customHeight="1" thickTop="1">
      <c r="B47" s="26"/>
      <c r="N47" s="26"/>
      <c r="O47" s="26"/>
      <c r="P47" s="26"/>
      <c r="Q47" s="26"/>
      <c r="R47" s="26"/>
      <c r="S47" s="26"/>
      <c r="T47" s="26"/>
      <c r="U47" s="26"/>
      <c r="V47" s="26"/>
      <c r="W47" s="26"/>
      <c r="X47" s="26"/>
    </row>
    <row r="48" spans="1:24" ht="13.5" customHeight="1">
      <c r="B48" s="43"/>
      <c r="N48" s="26"/>
      <c r="O48" s="26"/>
      <c r="P48" s="26"/>
      <c r="Q48" s="26"/>
      <c r="R48" s="26"/>
      <c r="S48" s="26"/>
      <c r="T48" s="26"/>
      <c r="U48" s="26"/>
      <c r="V48" s="26"/>
      <c r="W48" s="26"/>
      <c r="X48" s="26"/>
    </row>
    <row r="49" spans="2:25" ht="13.5" customHeight="1">
      <c r="D49" s="441"/>
      <c r="N49" s="26"/>
      <c r="O49" s="26"/>
      <c r="P49" s="26"/>
      <c r="Q49" s="26"/>
      <c r="R49" s="26"/>
      <c r="S49" s="26"/>
      <c r="T49" s="26"/>
      <c r="U49" s="26"/>
      <c r="V49" s="26"/>
      <c r="W49" s="26"/>
      <c r="X49" s="26"/>
    </row>
    <row r="50" spans="2:25" ht="13.5" customHeight="1">
      <c r="B50" s="951"/>
      <c r="C50" s="952"/>
      <c r="Q50" s="26"/>
      <c r="R50" s="26"/>
      <c r="S50" s="26"/>
      <c r="T50" s="26"/>
      <c r="U50" s="26"/>
      <c r="V50" s="26"/>
      <c r="W50" s="26"/>
      <c r="X50" s="26"/>
      <c r="Y50" s="26"/>
    </row>
    <row r="51" spans="2:25" ht="13.5" customHeight="1">
      <c r="Q51" s="26"/>
      <c r="R51" s="26"/>
      <c r="S51" s="26"/>
      <c r="T51" s="26"/>
      <c r="U51" s="26"/>
      <c r="V51" s="26"/>
      <c r="W51" s="26"/>
      <c r="X51" s="26"/>
      <c r="Y51" s="26"/>
    </row>
    <row r="52" spans="2:25" ht="13.5" customHeight="1">
      <c r="C52" s="26"/>
      <c r="D52" s="26"/>
      <c r="E52" s="26"/>
      <c r="F52" s="26"/>
      <c r="G52" s="26"/>
      <c r="P52" s="26"/>
      <c r="Q52" s="26"/>
      <c r="R52" s="26"/>
      <c r="S52" s="26"/>
      <c r="T52" s="26"/>
      <c r="U52" s="26"/>
      <c r="V52" s="26"/>
      <c r="W52" s="26"/>
      <c r="X52" s="26"/>
      <c r="Y52" s="26"/>
    </row>
    <row r="53" spans="2:25" ht="13.5" customHeight="1">
      <c r="C53" s="35"/>
      <c r="D53" s="35"/>
      <c r="E53" s="35"/>
      <c r="F53" s="35"/>
      <c r="G53" s="29"/>
      <c r="P53" s="26"/>
      <c r="Q53" s="26"/>
      <c r="R53" s="26"/>
      <c r="S53" s="26"/>
      <c r="T53" s="26"/>
      <c r="U53" s="26"/>
      <c r="V53" s="26"/>
      <c r="W53" s="26"/>
      <c r="X53" s="26"/>
      <c r="Y53" s="26"/>
    </row>
    <row r="54" spans="2:25" ht="13.5" customHeight="1">
      <c r="C54" s="35"/>
      <c r="D54" s="35"/>
      <c r="E54" s="35"/>
      <c r="F54" s="35"/>
      <c r="G54" s="29"/>
      <c r="P54" s="26"/>
      <c r="Q54" s="26"/>
      <c r="R54" s="26"/>
      <c r="S54" s="26"/>
      <c r="T54" s="26"/>
      <c r="U54" s="26"/>
      <c r="V54" s="26"/>
      <c r="W54" s="26"/>
      <c r="X54" s="26"/>
      <c r="Y54" s="26"/>
    </row>
    <row r="55" spans="2:25" ht="13.5" customHeight="1">
      <c r="C55" s="48"/>
      <c r="D55" s="2"/>
      <c r="E55" s="2"/>
      <c r="F55" s="2"/>
      <c r="G55" s="428"/>
      <c r="P55" s="26"/>
      <c r="Q55" s="26"/>
      <c r="R55" s="26"/>
      <c r="S55" s="26"/>
      <c r="T55" s="26"/>
      <c r="U55" s="26"/>
      <c r="V55" s="26"/>
      <c r="W55" s="26"/>
      <c r="X55" s="26"/>
      <c r="Y55" s="26"/>
    </row>
    <row r="56" spans="2:25" ht="13.5" customHeight="1">
      <c r="C56" s="48"/>
      <c r="D56" s="2"/>
      <c r="E56" s="2"/>
      <c r="F56" s="2"/>
      <c r="G56" s="428"/>
      <c r="P56" s="26"/>
      <c r="Q56" s="26"/>
      <c r="R56" s="26"/>
      <c r="S56" s="26"/>
      <c r="T56" s="26"/>
      <c r="U56" s="26"/>
      <c r="V56" s="26"/>
      <c r="W56" s="26"/>
      <c r="X56" s="26"/>
      <c r="Y56" s="26"/>
    </row>
    <row r="57" spans="2:25" ht="13.5" customHeight="1">
      <c r="C57" s="26"/>
      <c r="D57" s="26"/>
      <c r="E57" s="26"/>
      <c r="F57" s="26"/>
      <c r="G57" s="26"/>
      <c r="P57" s="26"/>
      <c r="Q57" s="26"/>
      <c r="R57" s="26"/>
      <c r="S57" s="26"/>
      <c r="T57" s="26"/>
      <c r="U57" s="26"/>
      <c r="V57" s="26"/>
      <c r="W57" s="26"/>
      <c r="X57" s="26"/>
      <c r="Y57" s="26"/>
    </row>
    <row r="58" spans="2:25" ht="13.5" customHeight="1">
      <c r="C58" s="49"/>
      <c r="D58" s="50"/>
      <c r="E58" s="50"/>
      <c r="F58" s="51"/>
      <c r="G58" s="429"/>
      <c r="P58" s="26"/>
      <c r="Q58" s="26"/>
      <c r="R58" s="26"/>
      <c r="S58" s="26"/>
      <c r="T58" s="26"/>
      <c r="U58" s="26"/>
      <c r="V58" s="26"/>
      <c r="W58" s="26"/>
      <c r="X58" s="26"/>
      <c r="Y58" s="26"/>
    </row>
    <row r="59" spans="2:25" ht="13.5" customHeight="1">
      <c r="C59" s="49"/>
      <c r="D59" s="50"/>
      <c r="E59" s="50"/>
      <c r="F59" s="51"/>
      <c r="G59" s="429"/>
      <c r="P59" s="26"/>
      <c r="Q59" s="26"/>
      <c r="R59" s="26"/>
      <c r="S59" s="26"/>
      <c r="T59" s="26"/>
      <c r="U59" s="26"/>
      <c r="V59" s="26"/>
      <c r="W59" s="26"/>
      <c r="X59" s="26"/>
      <c r="Y59" s="26"/>
    </row>
    <row r="60" spans="2:25" ht="13.5" customHeight="1">
      <c r="C60" s="49"/>
      <c r="D60" s="50"/>
      <c r="E60" s="50"/>
      <c r="F60" s="51"/>
      <c r="G60" s="429"/>
      <c r="P60" s="26"/>
      <c r="Q60" s="26"/>
      <c r="R60" s="26"/>
      <c r="S60" s="26"/>
      <c r="T60" s="26"/>
      <c r="U60" s="26"/>
      <c r="V60" s="26"/>
      <c r="W60" s="26"/>
      <c r="X60" s="26"/>
      <c r="Y60" s="26"/>
    </row>
    <row r="61" spans="2:25" ht="13.5" customHeight="1">
      <c r="C61" s="49"/>
      <c r="D61" s="50"/>
      <c r="E61" s="50"/>
      <c r="F61" s="51"/>
      <c r="G61" s="429"/>
      <c r="P61" s="26"/>
      <c r="Q61" s="26"/>
      <c r="R61" s="26"/>
      <c r="S61" s="26"/>
      <c r="T61" s="26"/>
      <c r="U61" s="26"/>
      <c r="V61" s="26"/>
      <c r="W61" s="26"/>
      <c r="X61" s="26"/>
      <c r="Y61" s="26"/>
    </row>
    <row r="62" spans="2:25" ht="13.5" customHeight="1">
      <c r="C62" s="49"/>
      <c r="D62" s="50"/>
      <c r="E62" s="50"/>
      <c r="F62" s="51"/>
      <c r="G62" s="429"/>
      <c r="P62" s="26"/>
      <c r="Q62" s="26"/>
      <c r="R62" s="26"/>
      <c r="S62" s="26"/>
      <c r="T62" s="26"/>
      <c r="U62" s="26"/>
      <c r="V62" s="26"/>
      <c r="W62" s="26"/>
      <c r="X62" s="26"/>
      <c r="Y62" s="26"/>
    </row>
    <row r="63" spans="2:25" ht="13.5" customHeight="1">
      <c r="C63" s="49"/>
      <c r="D63" s="50"/>
      <c r="E63" s="50"/>
      <c r="F63" s="51"/>
      <c r="G63" s="429"/>
      <c r="P63" s="26"/>
      <c r="Q63" s="26"/>
      <c r="R63" s="26"/>
      <c r="S63" s="26"/>
      <c r="T63" s="26"/>
      <c r="U63" s="26"/>
      <c r="V63" s="26"/>
      <c r="W63" s="26"/>
      <c r="X63" s="26"/>
      <c r="Y63" s="26"/>
    </row>
    <row r="64" spans="2:25" ht="13.5" customHeight="1">
      <c r="C64" s="49"/>
      <c r="D64" s="50"/>
      <c r="E64" s="50"/>
      <c r="F64" s="51"/>
      <c r="G64" s="429"/>
      <c r="P64" s="26"/>
      <c r="Q64" s="26"/>
      <c r="R64" s="26"/>
      <c r="S64" s="26"/>
      <c r="T64" s="26"/>
      <c r="U64" s="26"/>
      <c r="V64" s="26"/>
      <c r="W64" s="26"/>
      <c r="X64" s="26"/>
      <c r="Y64" s="26"/>
    </row>
    <row r="65" spans="3:25" ht="13.5" customHeight="1">
      <c r="C65" s="49"/>
      <c r="D65" s="50"/>
      <c r="E65" s="50"/>
      <c r="F65" s="51"/>
      <c r="G65" s="429"/>
      <c r="P65" s="26"/>
      <c r="Q65" s="26"/>
      <c r="R65" s="26"/>
      <c r="S65" s="26"/>
      <c r="T65" s="26"/>
      <c r="U65" s="26"/>
      <c r="V65" s="26"/>
      <c r="W65" s="26"/>
      <c r="X65" s="26"/>
      <c r="Y65" s="26"/>
    </row>
    <row r="66" spans="3:25" ht="13.5" customHeight="1">
      <c r="C66" s="49"/>
      <c r="D66" s="50"/>
      <c r="E66" s="50"/>
      <c r="F66" s="51"/>
      <c r="G66" s="429"/>
      <c r="P66" s="26"/>
      <c r="Q66" s="26"/>
      <c r="R66" s="26"/>
      <c r="S66" s="26"/>
      <c r="T66" s="26"/>
      <c r="U66" s="26"/>
      <c r="V66" s="26"/>
      <c r="W66" s="26"/>
      <c r="X66" s="26"/>
      <c r="Y66" s="26"/>
    </row>
    <row r="67" spans="3:25" ht="13.5" customHeight="1">
      <c r="C67" s="49"/>
      <c r="D67" s="50"/>
      <c r="E67" s="50"/>
      <c r="F67" s="51"/>
      <c r="G67" s="429"/>
      <c r="P67" s="26"/>
      <c r="Q67" s="26"/>
      <c r="R67" s="26"/>
      <c r="S67" s="26"/>
      <c r="T67" s="26"/>
      <c r="U67" s="26"/>
      <c r="V67" s="26"/>
      <c r="W67" s="26"/>
      <c r="X67" s="26"/>
      <c r="Y67" s="26"/>
    </row>
    <row r="68" spans="3:25" ht="13.5" customHeight="1">
      <c r="C68" s="49"/>
      <c r="D68" s="50"/>
      <c r="E68" s="50"/>
      <c r="F68" s="51"/>
      <c r="G68" s="429"/>
      <c r="P68" s="26"/>
      <c r="Q68" s="26"/>
      <c r="R68" s="26"/>
      <c r="S68" s="26"/>
      <c r="T68" s="26"/>
      <c r="U68" s="26"/>
      <c r="V68" s="26"/>
      <c r="W68" s="26"/>
      <c r="X68" s="26"/>
      <c r="Y68" s="26"/>
    </row>
    <row r="69" spans="3:25" ht="13.5" customHeight="1">
      <c r="C69" s="49"/>
      <c r="D69" s="50"/>
      <c r="E69" s="50"/>
      <c r="F69" s="51"/>
      <c r="G69" s="429"/>
      <c r="P69" s="26"/>
      <c r="Q69" s="26"/>
      <c r="R69" s="26"/>
      <c r="S69" s="26"/>
      <c r="T69" s="26"/>
      <c r="U69" s="26"/>
      <c r="V69" s="26"/>
      <c r="W69" s="26"/>
      <c r="X69" s="26"/>
      <c r="Y69" s="26"/>
    </row>
    <row r="70" spans="3:25" ht="13.5" customHeight="1">
      <c r="C70" s="49"/>
      <c r="D70" s="50"/>
      <c r="E70" s="50"/>
      <c r="F70" s="51"/>
      <c r="G70" s="429"/>
      <c r="P70" s="26"/>
      <c r="Q70" s="26"/>
      <c r="R70" s="26"/>
      <c r="S70" s="26"/>
      <c r="T70" s="26"/>
      <c r="U70" s="26"/>
      <c r="V70" s="26"/>
      <c r="W70" s="26"/>
      <c r="X70" s="26"/>
      <c r="Y70" s="26"/>
    </row>
    <row r="71" spans="3:25" ht="13.5" customHeight="1">
      <c r="C71" s="49"/>
      <c r="D71" s="14"/>
      <c r="E71" s="14"/>
      <c r="F71" s="14"/>
      <c r="G71" s="12"/>
      <c r="P71" s="26"/>
      <c r="Q71" s="26"/>
      <c r="R71" s="26"/>
      <c r="S71" s="26"/>
      <c r="T71" s="26"/>
      <c r="U71" s="26"/>
      <c r="V71" s="26"/>
      <c r="W71" s="26"/>
      <c r="X71" s="26"/>
      <c r="Y71" s="26"/>
    </row>
    <row r="72" spans="3:25" ht="13.5" customHeight="1">
      <c r="C72" s="49"/>
      <c r="D72" s="14"/>
      <c r="E72" s="14"/>
      <c r="F72" s="14"/>
      <c r="G72" s="12"/>
      <c r="P72" s="26"/>
      <c r="Q72" s="26"/>
      <c r="R72" s="26"/>
      <c r="S72" s="26"/>
      <c r="T72" s="26"/>
      <c r="U72" s="26"/>
      <c r="V72" s="26"/>
      <c r="W72" s="26"/>
      <c r="X72" s="26"/>
      <c r="Y72" s="26"/>
    </row>
    <row r="73" spans="3:25" ht="13.5" customHeight="1">
      <c r="C73" s="35"/>
      <c r="D73" s="35"/>
      <c r="E73" s="35"/>
      <c r="F73" s="35"/>
      <c r="G73" s="29"/>
      <c r="P73" s="26"/>
      <c r="Q73" s="26"/>
      <c r="R73" s="26"/>
      <c r="S73" s="26"/>
      <c r="T73" s="26"/>
      <c r="U73" s="26"/>
      <c r="V73" s="26"/>
      <c r="W73" s="26"/>
      <c r="X73" s="26"/>
      <c r="Y73" s="26"/>
    </row>
    <row r="74" spans="3:25" ht="13.5" customHeight="1">
      <c r="C74" s="35"/>
      <c r="D74" s="35"/>
      <c r="E74" s="35"/>
      <c r="F74" s="35"/>
      <c r="G74" s="29"/>
      <c r="P74" s="26"/>
      <c r="Q74" s="26"/>
      <c r="R74" s="26"/>
      <c r="S74" s="26"/>
      <c r="T74" s="26"/>
      <c r="U74" s="26"/>
      <c r="V74" s="26"/>
      <c r="W74" s="26"/>
      <c r="X74" s="26"/>
      <c r="Y74" s="26"/>
    </row>
    <row r="75" spans="3:25" ht="13.5" customHeight="1">
      <c r="C75" s="29"/>
      <c r="D75" s="442"/>
      <c r="E75" s="442"/>
      <c r="F75" s="442"/>
      <c r="G75" s="29"/>
      <c r="P75" s="26"/>
      <c r="Q75" s="26"/>
      <c r="R75" s="26"/>
      <c r="S75" s="26"/>
      <c r="T75" s="26"/>
      <c r="U75" s="26"/>
      <c r="V75" s="26"/>
      <c r="W75" s="26"/>
      <c r="X75" s="26"/>
      <c r="Y75" s="26"/>
    </row>
    <row r="76" spans="3:25" ht="13.5" customHeight="1">
      <c r="C76" s="29"/>
      <c r="D76" s="442"/>
      <c r="E76" s="442"/>
      <c r="F76" s="442"/>
      <c r="G76" s="29"/>
      <c r="Q76" s="26"/>
      <c r="R76" s="26"/>
      <c r="S76" s="26"/>
      <c r="T76" s="26"/>
      <c r="U76" s="26"/>
      <c r="V76" s="26"/>
      <c r="W76" s="26"/>
      <c r="X76" s="26"/>
      <c r="Y76" s="26"/>
    </row>
    <row r="77" spans="3:25" ht="13.5" customHeight="1">
      <c r="C77" s="53"/>
      <c r="D77" s="50"/>
      <c r="E77" s="50"/>
      <c r="F77" s="50"/>
      <c r="G77" s="26"/>
      <c r="Q77" s="26"/>
      <c r="R77" s="26"/>
      <c r="S77" s="26"/>
      <c r="T77" s="26"/>
      <c r="U77" s="26"/>
      <c r="V77" s="26"/>
      <c r="W77" s="26"/>
      <c r="X77" s="26"/>
      <c r="Y77" s="26"/>
    </row>
    <row r="78" spans="3:25" ht="13.5" customHeight="1">
      <c r="C78" s="53"/>
      <c r="D78" s="50"/>
      <c r="E78" s="50"/>
      <c r="F78" s="50"/>
      <c r="G78" s="26"/>
    </row>
    <row r="79" spans="3:25" ht="13.5" customHeight="1">
      <c r="D79" s="423"/>
    </row>
    <row r="80" spans="3:25" ht="13.5" customHeight="1">
      <c r="C80" s="28"/>
    </row>
    <row r="85" spans="3:3" ht="13.5" customHeight="1">
      <c r="C85" s="31"/>
    </row>
  </sheetData>
  <sheetProtection sheet="1" objects="1" scenarios="1"/>
  <mergeCells count="7">
    <mergeCell ref="A12:B12"/>
    <mergeCell ref="A21:B21"/>
    <mergeCell ref="E6:S6"/>
    <mergeCell ref="A7:B7"/>
    <mergeCell ref="A8:B8"/>
    <mergeCell ref="A10:B10"/>
    <mergeCell ref="A11:B11"/>
  </mergeCells>
  <phoneticPr fontId="8" type="noConversion"/>
  <hyperlinks>
    <hyperlink ref="C85" location="VoT!A1" display="Top of page"/>
    <hyperlink ref="E4" location="VoT!Z1" display="Table 4"/>
    <hyperlink ref="X3" location="VoT!A1" display="Column A"/>
    <hyperlink ref="X5" location="VoT!A70" display="Note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35433070866141736" right="0.35433070866141736" top="0.59055118110236227" bottom="0.59055118110236227" header="0.31496062992125984" footer="0.31496062992125984"/>
  <pageSetup paperSize="9" orientation="landscape" r:id="rId3"/>
  <headerFooter alignWithMargins="0"/>
  <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8000"/>
    <pageSetUpPr fitToPage="1"/>
  </sheetPr>
  <dimension ref="A1:S211"/>
  <sheetViews>
    <sheetView showGridLines="0" topLeftCell="A23" zoomScale="85" zoomScaleNormal="85" workbookViewId="0">
      <selection activeCell="D45" sqref="D45:F46"/>
    </sheetView>
  </sheetViews>
  <sheetFormatPr defaultColWidth="12.88671875" defaultRowHeight="13.2"/>
  <cols>
    <col min="1" max="3" width="12.88671875" style="33"/>
    <col min="4" max="6" width="14.109375" style="33" bestFit="1" customWidth="1"/>
    <col min="7" max="7" width="12.88671875" style="33"/>
    <col min="8" max="8" width="31.5546875" style="33" customWidth="1"/>
    <col min="9" max="9" width="27.33203125" style="33" customWidth="1"/>
    <col min="10" max="10" width="23.33203125" style="33" customWidth="1"/>
    <col min="11" max="11" width="21.6640625" style="33" customWidth="1"/>
    <col min="12" max="14" width="12.88671875" style="33"/>
    <col min="15" max="16" width="14.109375" style="33" bestFit="1" customWidth="1"/>
    <col min="17" max="16384" width="12.88671875" style="33"/>
  </cols>
  <sheetData>
    <row r="1" spans="1:19" ht="54.9" customHeight="1">
      <c r="A1" s="3569"/>
      <c r="B1" s="3569"/>
      <c r="C1" s="112"/>
    </row>
    <row r="2" spans="1:19" ht="5.0999999999999996" customHeight="1">
      <c r="C2" s="111"/>
    </row>
    <row r="3" spans="1:19" s="20" customFormat="1" ht="20.100000000000001" customHeight="1">
      <c r="A3" s="20" t="s">
        <v>2227</v>
      </c>
    </row>
    <row r="4" spans="1:19" s="20" customFormat="1" ht="20.100000000000001" customHeight="1" thickBot="1">
      <c r="A4" s="235" t="s">
        <v>431</v>
      </c>
      <c r="B4" s="235"/>
      <c r="C4" s="235"/>
      <c r="D4" s="235"/>
      <c r="E4" s="235"/>
      <c r="F4" s="235"/>
      <c r="G4" s="235"/>
      <c r="H4" s="235"/>
      <c r="I4" s="235"/>
      <c r="J4" s="1214"/>
      <c r="K4" s="1214"/>
      <c r="L4" s="1215"/>
      <c r="M4" s="109"/>
      <c r="N4" s="235"/>
      <c r="O4" s="235"/>
      <c r="P4" s="235"/>
      <c r="Q4" s="235"/>
      <c r="R4" s="235"/>
      <c r="S4" s="235"/>
    </row>
    <row r="5" spans="1:19" ht="9.9" customHeight="1" thickTop="1" thickBot="1">
      <c r="J5" s="35"/>
      <c r="K5" s="72"/>
      <c r="L5" s="32"/>
      <c r="M5" s="26"/>
    </row>
    <row r="6" spans="1:19" ht="13.5" customHeight="1" thickTop="1">
      <c r="A6" s="169" t="s">
        <v>10</v>
      </c>
      <c r="B6" s="169"/>
      <c r="E6" s="3626" t="s">
        <v>255</v>
      </c>
      <c r="F6" s="3654"/>
      <c r="G6" s="3654"/>
      <c r="H6" s="3654"/>
      <c r="I6" s="3654"/>
      <c r="J6" s="3654"/>
      <c r="K6" s="3654"/>
      <c r="L6" s="3654"/>
      <c r="M6" s="3654"/>
      <c r="N6" s="3654"/>
      <c r="O6" s="3654"/>
      <c r="P6" s="3654"/>
      <c r="Q6" s="3654"/>
      <c r="R6" s="3654"/>
      <c r="S6" s="3655"/>
    </row>
    <row r="7" spans="1:19" ht="13.5" customHeight="1">
      <c r="A7" s="3644" t="str">
        <f>Audit!A12</f>
        <v>May 2019 v1.12</v>
      </c>
      <c r="B7" s="3645"/>
      <c r="E7" s="113" t="s">
        <v>1337</v>
      </c>
      <c r="G7" s="27"/>
      <c r="H7" s="27"/>
      <c r="I7" s="27"/>
      <c r="J7" s="27"/>
      <c r="K7" s="27"/>
      <c r="L7" s="27"/>
      <c r="M7" s="27"/>
      <c r="N7" s="27"/>
      <c r="O7" s="27"/>
      <c r="P7" s="27"/>
      <c r="Q7" s="27"/>
      <c r="R7" s="27"/>
      <c r="S7" s="55"/>
    </row>
    <row r="8" spans="1:19" ht="13.5" customHeight="1">
      <c r="A8" s="3630">
        <f>Audit!C12</f>
        <v>43586</v>
      </c>
      <c r="B8" s="3631"/>
      <c r="C8" s="193"/>
      <c r="D8" s="193"/>
      <c r="E8" s="90"/>
      <c r="F8" s="148"/>
      <c r="G8" s="27"/>
      <c r="H8" s="27"/>
      <c r="I8" s="27"/>
      <c r="J8" s="27"/>
      <c r="K8" s="27"/>
      <c r="L8" s="27"/>
      <c r="M8" s="27"/>
      <c r="N8" s="27"/>
      <c r="O8" s="27"/>
      <c r="P8" s="27"/>
      <c r="Q8" s="27"/>
      <c r="R8" s="27"/>
      <c r="S8" s="55"/>
    </row>
    <row r="9" spans="1:19" ht="13.5" customHeight="1" thickBot="1">
      <c r="A9" s="172" t="s">
        <v>14</v>
      </c>
      <c r="B9" s="173"/>
      <c r="D9" s="193"/>
      <c r="E9" s="2528" t="s">
        <v>1904</v>
      </c>
      <c r="F9" s="27"/>
      <c r="G9" s="27"/>
      <c r="H9" s="27"/>
      <c r="I9" s="2371" t="s">
        <v>1905</v>
      </c>
      <c r="J9" s="27"/>
      <c r="K9" s="27"/>
      <c r="L9" s="27"/>
      <c r="M9" s="27"/>
      <c r="N9" s="27"/>
      <c r="O9" s="27"/>
      <c r="P9" s="27"/>
      <c r="Q9" s="27"/>
      <c r="R9" s="27"/>
      <c r="S9" s="55"/>
    </row>
    <row r="10" spans="1:19" ht="13.5" customHeight="1" thickBot="1">
      <c r="A10" s="3570" t="s">
        <v>1306</v>
      </c>
      <c r="B10" s="3610"/>
      <c r="D10" s="193"/>
      <c r="E10" s="2528" t="s">
        <v>1906</v>
      </c>
      <c r="F10" s="26"/>
      <c r="G10" s="26"/>
      <c r="H10" s="26"/>
      <c r="I10" s="26"/>
      <c r="J10" s="26"/>
      <c r="K10" s="26"/>
      <c r="L10" s="26"/>
      <c r="M10" s="26"/>
      <c r="N10" s="26"/>
      <c r="O10" s="26"/>
      <c r="P10" s="26"/>
      <c r="Q10" s="26"/>
      <c r="R10" s="26"/>
      <c r="S10" s="147"/>
    </row>
    <row r="11" spans="1:19" ht="13.5" customHeight="1" thickBot="1">
      <c r="A11" s="3570" t="s">
        <v>2216</v>
      </c>
      <c r="B11" s="3581"/>
      <c r="D11" s="193"/>
      <c r="E11" s="113"/>
      <c r="F11" s="68"/>
      <c r="G11" s="68"/>
      <c r="H11" s="68"/>
      <c r="I11" s="68"/>
      <c r="J11" s="68"/>
      <c r="K11" s="68"/>
      <c r="L11" s="68"/>
      <c r="M11" s="68"/>
      <c r="N11" s="68"/>
      <c r="O11" s="68"/>
      <c r="P11" s="68"/>
      <c r="Q11" s="68"/>
      <c r="R11" s="68"/>
      <c r="S11" s="107"/>
    </row>
    <row r="12" spans="1:19" ht="13.5" customHeight="1" thickBot="1">
      <c r="A12" s="3570" t="s">
        <v>2217</v>
      </c>
      <c r="B12" s="3581"/>
      <c r="D12" s="193"/>
      <c r="E12" s="113"/>
      <c r="F12" s="27"/>
      <c r="G12" s="27"/>
      <c r="H12" s="27"/>
      <c r="I12" s="27"/>
      <c r="J12" s="27"/>
      <c r="K12" s="27"/>
      <c r="L12" s="27"/>
      <c r="M12" s="27"/>
      <c r="N12" s="27"/>
      <c r="O12" s="27"/>
      <c r="P12" s="27"/>
      <c r="Q12" s="27"/>
      <c r="R12" s="27"/>
      <c r="S12" s="55"/>
    </row>
    <row r="13" spans="1:19" ht="13.5" customHeight="1">
      <c r="A13" s="172" t="s">
        <v>252</v>
      </c>
      <c r="B13" s="194"/>
      <c r="C13" s="193"/>
      <c r="D13" s="193"/>
      <c r="E13" s="114"/>
      <c r="F13" s="27"/>
      <c r="G13" s="27"/>
      <c r="H13" s="27"/>
      <c r="I13" s="27"/>
      <c r="J13" s="27"/>
      <c r="K13" s="27"/>
      <c r="L13" s="27"/>
      <c r="M13" s="27"/>
      <c r="N13" s="27"/>
      <c r="O13" s="27"/>
      <c r="P13" s="27"/>
      <c r="Q13" s="27"/>
      <c r="R13" s="27"/>
      <c r="S13" s="55"/>
    </row>
    <row r="14" spans="1:19" ht="13.5" customHeight="1">
      <c r="A14" s="2452" t="s">
        <v>799</v>
      </c>
      <c r="B14" s="2450">
        <f>'User Parameters'!L13</f>
        <v>2010</v>
      </c>
      <c r="C14" s="193"/>
      <c r="D14" s="193"/>
      <c r="E14" s="113"/>
      <c r="F14" s="27"/>
      <c r="G14" s="27"/>
      <c r="H14" s="27"/>
      <c r="I14" s="27"/>
      <c r="J14" s="27"/>
      <c r="K14" s="27"/>
      <c r="L14" s="27"/>
      <c r="M14" s="27"/>
      <c r="N14" s="27"/>
      <c r="O14" s="27"/>
      <c r="P14" s="27"/>
      <c r="Q14" s="27"/>
      <c r="R14" s="27"/>
      <c r="S14" s="55"/>
    </row>
    <row r="15" spans="1:19" ht="13.5" customHeight="1">
      <c r="A15" s="2441" t="s">
        <v>54</v>
      </c>
      <c r="B15" s="2450">
        <f>'User Parameters'!L19</f>
        <v>2010</v>
      </c>
      <c r="C15" s="193"/>
      <c r="D15" s="193"/>
      <c r="E15" s="113"/>
      <c r="F15" s="26"/>
      <c r="G15" s="26"/>
      <c r="H15" s="26"/>
      <c r="I15" s="26"/>
      <c r="J15" s="26"/>
      <c r="K15" s="26"/>
      <c r="L15" s="26"/>
      <c r="M15" s="26"/>
      <c r="N15" s="26"/>
      <c r="O15" s="26"/>
      <c r="P15" s="26"/>
      <c r="Q15" s="26"/>
      <c r="R15" s="26"/>
      <c r="S15" s="147"/>
    </row>
    <row r="16" spans="1:19" ht="13.5" customHeight="1">
      <c r="A16" s="2441" t="s">
        <v>157</v>
      </c>
      <c r="B16" s="2475"/>
      <c r="C16" s="1641">
        <f>'Indirect tax correction'!C15</f>
        <v>1.19</v>
      </c>
      <c r="D16" s="193"/>
      <c r="E16" s="113"/>
      <c r="F16" s="27"/>
      <c r="G16" s="27"/>
      <c r="H16" s="27"/>
      <c r="I16" s="27"/>
      <c r="J16" s="27"/>
      <c r="K16" s="27"/>
      <c r="L16" s="27"/>
      <c r="M16" s="27"/>
      <c r="N16" s="27"/>
      <c r="O16" s="27"/>
      <c r="P16" s="27"/>
      <c r="Q16" s="27"/>
      <c r="R16" s="27"/>
      <c r="S16" s="55"/>
    </row>
    <row r="17" spans="1:19" ht="13.5" customHeight="1">
      <c r="A17" s="169" t="s">
        <v>253</v>
      </c>
      <c r="B17" s="170"/>
      <c r="C17" s="193"/>
      <c r="D17" s="193"/>
      <c r="E17" s="207"/>
      <c r="F17" s="27"/>
      <c r="G17" s="27"/>
      <c r="H17" s="27"/>
      <c r="I17" s="27"/>
      <c r="J17" s="27"/>
      <c r="K17" s="27"/>
      <c r="L17" s="27"/>
      <c r="M17" s="27"/>
      <c r="N17" s="27"/>
      <c r="O17" s="27"/>
      <c r="P17" s="27"/>
      <c r="Q17" s="27"/>
      <c r="R17" s="27"/>
      <c r="S17" s="55"/>
    </row>
    <row r="18" spans="1:19" ht="13.5" customHeight="1">
      <c r="A18" s="3653"/>
      <c r="B18" s="3653"/>
      <c r="C18" s="193"/>
      <c r="D18" s="193"/>
      <c r="E18" s="90"/>
      <c r="F18" s="27"/>
      <c r="G18" s="27"/>
      <c r="H18" s="27"/>
      <c r="I18" s="27"/>
      <c r="J18" s="27"/>
      <c r="K18" s="27"/>
      <c r="L18" s="27"/>
      <c r="M18" s="27"/>
      <c r="N18" s="27"/>
      <c r="O18" s="27"/>
      <c r="P18" s="27"/>
      <c r="Q18" s="27"/>
      <c r="R18" s="27"/>
      <c r="S18" s="55"/>
    </row>
    <row r="19" spans="1:19" ht="13.5" customHeight="1">
      <c r="A19" s="3653"/>
      <c r="B19" s="3653"/>
      <c r="C19" s="193"/>
      <c r="D19" s="193"/>
      <c r="E19" s="113" t="s">
        <v>2353</v>
      </c>
      <c r="F19" s="27"/>
      <c r="G19" s="27"/>
      <c r="H19" s="27"/>
      <c r="I19" s="27"/>
      <c r="J19" s="27"/>
      <c r="K19" s="27"/>
      <c r="L19" s="27"/>
      <c r="M19" s="27"/>
      <c r="N19" s="27"/>
      <c r="O19" s="27"/>
      <c r="P19" s="27"/>
      <c r="Q19" s="27"/>
      <c r="R19" s="27"/>
      <c r="S19" s="55"/>
    </row>
    <row r="20" spans="1:19" ht="13.5" customHeight="1" thickBot="1">
      <c r="A20" s="3653"/>
      <c r="B20" s="3653"/>
      <c r="C20" s="193"/>
      <c r="D20" s="193"/>
      <c r="E20" s="92" t="str">
        <f>'Source VoT'!E20</f>
        <v>TAG1: Unit 3.5.6 (Tables 1 and 2)</v>
      </c>
      <c r="F20" s="23"/>
      <c r="G20" s="23"/>
      <c r="H20" s="23"/>
      <c r="I20" s="23"/>
      <c r="J20" s="23"/>
      <c r="K20" s="23"/>
      <c r="L20" s="23"/>
      <c r="M20" s="23"/>
      <c r="N20" s="23"/>
      <c r="O20" s="23"/>
      <c r="P20" s="23"/>
      <c r="Q20" s="23"/>
      <c r="R20" s="23"/>
      <c r="S20" s="108"/>
    </row>
    <row r="21" spans="1:19" ht="13.5" customHeight="1" thickTop="1">
      <c r="A21" s="3653"/>
      <c r="B21" s="3653"/>
      <c r="C21" s="193"/>
      <c r="D21" s="193"/>
      <c r="E21" s="31"/>
      <c r="G21" s="47"/>
      <c r="H21" s="26"/>
      <c r="I21" s="26"/>
      <c r="J21" s="35"/>
      <c r="K21" s="72"/>
      <c r="L21" s="32"/>
      <c r="M21" s="26"/>
    </row>
    <row r="22" spans="1:19" ht="13.5" customHeight="1" thickBot="1">
      <c r="G22" s="26"/>
    </row>
    <row r="23" spans="1:19" ht="13.5" customHeight="1" thickTop="1">
      <c r="A23" s="174" t="s">
        <v>705</v>
      </c>
      <c r="B23" s="1242"/>
      <c r="C23" s="667"/>
      <c r="D23" s="1243"/>
      <c r="E23" s="1243"/>
      <c r="F23" s="1244"/>
      <c r="G23" s="35"/>
      <c r="H23" s="174" t="s">
        <v>1789</v>
      </c>
      <c r="I23" s="1242"/>
      <c r="J23" s="776"/>
      <c r="M23" s="2555"/>
    </row>
    <row r="24" spans="1:19" ht="13.5" customHeight="1" thickBot="1">
      <c r="A24" s="836" t="str">
        <f>CONCATENATE("(£ per hour, ",$B$14," prices, ",$B$15," values)")</f>
        <v>(£ per hour, 2010 prices, 2010 values)</v>
      </c>
      <c r="B24" s="1245"/>
      <c r="C24" s="1246"/>
      <c r="D24" s="1247"/>
      <c r="E24" s="1247"/>
      <c r="F24" s="1248"/>
      <c r="G24" s="35"/>
      <c r="H24" s="836" t="str">
        <f>CONCATENATE("(£ per hour, ",$B$14," prices, ",$B$15," values)")</f>
        <v>(£ per hour, 2010 prices, 2010 values)</v>
      </c>
      <c r="I24" s="1245"/>
      <c r="J24" s="2922"/>
    </row>
    <row r="25" spans="1:19" ht="13.5" customHeight="1" thickTop="1">
      <c r="A25" s="809" t="s">
        <v>45</v>
      </c>
      <c r="B25" s="281"/>
      <c r="C25" s="173"/>
      <c r="D25" s="421" t="s">
        <v>470</v>
      </c>
      <c r="E25" s="421" t="s">
        <v>1403</v>
      </c>
      <c r="F25" s="285" t="s">
        <v>1404</v>
      </c>
      <c r="G25" s="35"/>
      <c r="H25" s="2913"/>
      <c r="I25" s="2914"/>
      <c r="J25" s="2885"/>
    </row>
    <row r="26" spans="1:19" ht="13.5" customHeight="1" thickBot="1">
      <c r="A26" s="464"/>
      <c r="B26" s="632"/>
      <c r="C26" s="465"/>
      <c r="D26" s="1223" t="s">
        <v>1402</v>
      </c>
      <c r="E26" s="1223" t="s">
        <v>1402</v>
      </c>
      <c r="F26" s="668" t="s">
        <v>1405</v>
      </c>
      <c r="G26" s="48"/>
      <c r="H26" s="2915"/>
      <c r="I26" s="50"/>
      <c r="J26" s="1257"/>
    </row>
    <row r="27" spans="1:19" ht="13.5" customHeight="1" thickTop="1" thickBot="1">
      <c r="A27" s="222" t="s">
        <v>1406</v>
      </c>
      <c r="B27" s="223"/>
      <c r="C27" s="55"/>
      <c r="D27" s="1302">
        <f>'Source VoT'!$D27*VLOOKUP($B$15,'Indirect tax correction'!$B$27:$I$127,5,FALSE)*VLOOKUP($B$15,'Annual Parameters'!$B$33:$W$143,21,FALSE)/VLOOKUP('Source VoT'!$F27,'Annual Parameters'!$B$33:$W$143,21,FALSE)*VLOOKUP($B$14,'Annual Parameters'!$B$33:$W$143,3,FALSE)/VLOOKUP('Source VoT'!$E27,'Annual Parameters'!$B$33:$W$143,3,FALSE)</f>
        <v>14.864388217189035</v>
      </c>
      <c r="E27" s="1302">
        <f>'Source VoT'!$D27*1*VLOOKUP($B$15,'Annual Parameters'!$B$33:$W$143,21,FALSE)/VLOOKUP('Source VoT'!$F27,'Annual Parameters'!$B$33:$W$143,21,FALSE)*VLOOKUP($B$14,'Annual Parameters'!$B$33:$W$143,3,FALSE)/VLOOKUP('Source VoT'!$E27,'Annual Parameters'!$B$33:$W$143,3,FALSE)</f>
        <v>14.864388217189035</v>
      </c>
      <c r="F27" s="1302">
        <f>'Source VoT'!$D27*VLOOKUP($B$15,'Indirect tax correction'!$B$27:$I$127,7,FALSE)*VLOOKUP($B$15,'Annual Parameters'!$B$33:$W$143,21,FALSE)/VLOOKUP('Source VoT'!$F27,'Annual Parameters'!$B$33:$W$143,21,FALSE)*VLOOKUP($B$14,'Annual Parameters'!$B$33:$W$143,3,FALSE)/VLOOKUP('Source VoT'!$E27,'Annual Parameters'!$B$33:$W$143,3,FALSE)</f>
        <v>17.68862197845495</v>
      </c>
      <c r="G27" s="49"/>
      <c r="H27" s="2916"/>
      <c r="I27" s="2917"/>
      <c r="J27" s="1617"/>
    </row>
    <row r="28" spans="1:19" ht="13.5" customHeight="1" thickTop="1">
      <c r="A28" s="222" t="s">
        <v>1407</v>
      </c>
      <c r="B28" s="223"/>
      <c r="C28" s="55"/>
      <c r="D28" s="52">
        <f>'Source VoT'!$D28*VLOOKUP($B$15,'Indirect tax correction'!$B$27:$I$127,5,FALSE)*VLOOKUP($B$15,'Annual Parameters'!$B$33:$W$143,21,FALSE)/VLOOKUP('Source VoT'!$F28,'Annual Parameters'!$B$33:$W$143,21,FALSE)*VLOOKUP($B$14,'Annual Parameters'!$B$33:$W$143,3,FALSE)/VLOOKUP('Source VoT'!$E28,'Annual Parameters'!$B$33:$W$143,3,FALSE)</f>
        <v>14.864388217189035</v>
      </c>
      <c r="E28" s="52">
        <f>'Source VoT'!$D28*1*VLOOKUP($B$15,'Annual Parameters'!$B$33:$W$143,21,FALSE)/VLOOKUP('Source VoT'!$F28,'Annual Parameters'!$B$33:$W$143,21,FALSE)*VLOOKUP($B$14,'Annual Parameters'!$B$33:$W$143,3,FALSE)/VLOOKUP('Source VoT'!$E28,'Annual Parameters'!$B$33:$W$143,3,FALSE)</f>
        <v>14.864388217189035</v>
      </c>
      <c r="F28" s="52">
        <f>'Source VoT'!$D28*VLOOKUP($B$15,'Indirect tax correction'!$B$27:$I$127,7,FALSE)*VLOOKUP($B$15,'Annual Parameters'!$B$33:$W$143,21,FALSE)/VLOOKUP('Source VoT'!$F28,'Annual Parameters'!$B$33:$W$143,21,FALSE)*VLOOKUP($B$14,'Annual Parameters'!$B$33:$W$143,3,FALSE)/VLOOKUP('Source VoT'!$E28,'Annual Parameters'!$B$33:$W$143,3,FALSE)</f>
        <v>17.68862197845495</v>
      </c>
      <c r="G28" s="49"/>
    </row>
    <row r="29" spans="1:19" ht="13.5" customHeight="1" thickBot="1">
      <c r="A29" s="222" t="s">
        <v>1408</v>
      </c>
      <c r="B29" s="223"/>
      <c r="C29" s="55"/>
      <c r="D29" s="52">
        <f>'Source VoT'!$D29*VLOOKUP($B$15,'Indirect tax correction'!$B$27:$I$127,5,FALSE)*VLOOKUP($B$15,'Annual Parameters'!$B$33:$W$143,21,FALSE)/VLOOKUP('Source VoT'!$F29,'Annual Parameters'!$B$33:$W$143,21,FALSE)*VLOOKUP($B$14,'Annual Parameters'!$B$33:$W$143,3,FALSE)/VLOOKUP('Source VoT'!$E29,'Annual Parameters'!$B$33:$W$143,3,FALSE)</f>
        <v>10.235279669137599</v>
      </c>
      <c r="E29" s="52">
        <f>'Source VoT'!$D29*1*VLOOKUP($B$15,'Annual Parameters'!$B$33:$W$143,21,FALSE)/VLOOKUP('Source VoT'!$F29,'Annual Parameters'!$B$33:$W$143,21,FALSE)*VLOOKUP($B$14,'Annual Parameters'!$B$33:$W$143,3,FALSE)/VLOOKUP('Source VoT'!$E29,'Annual Parameters'!$B$33:$W$143,3,FALSE)</f>
        <v>10.235279669137599</v>
      </c>
      <c r="F29" s="52">
        <f>'Source VoT'!$D29*VLOOKUP($B$15,'Indirect tax correction'!$B$27:$I$127,7,FALSE)*VLOOKUP($B$15,'Annual Parameters'!$B$33:$W$143,21,FALSE)/VLOOKUP('Source VoT'!$F29,'Annual Parameters'!$B$33:$W$143,21,FALSE)*VLOOKUP($B$14,'Annual Parameters'!$B$33:$W$143,3,FALSE)/VLOOKUP('Source VoT'!$E29,'Annual Parameters'!$B$33:$W$143,3,FALSE)</f>
        <v>12.17998280627374</v>
      </c>
      <c r="G29" s="49"/>
    </row>
    <row r="30" spans="1:19" ht="13.5" customHeight="1" thickTop="1" thickBot="1">
      <c r="A30" s="222" t="s">
        <v>1409</v>
      </c>
      <c r="B30" s="223"/>
      <c r="C30" s="55"/>
      <c r="D30" s="52">
        <f>'Source VoT'!$D30*VLOOKUP($B$15,'Indirect tax correction'!$B$27:$I$127,5,FALSE)*VLOOKUP($B$15,'Annual Parameters'!$B$33:$W$143,21,FALSE)/VLOOKUP('Source VoT'!$F30,'Annual Parameters'!$B$33:$W$143,21,FALSE)*VLOOKUP($B$14,'Annual Parameters'!$B$33:$W$143,3,FALSE)/VLOOKUP('Source VoT'!$E30,'Annual Parameters'!$B$33:$W$143,3,FALSE)</f>
        <v>12.059623499053327</v>
      </c>
      <c r="E30" s="52">
        <f>'Source VoT'!$D30*1*VLOOKUP($B$15,'Annual Parameters'!$B$33:$W$143,21,FALSE)/VLOOKUP('Source VoT'!$F30,'Annual Parameters'!$B$33:$W$143,21,FALSE)*VLOOKUP($B$14,'Annual Parameters'!$B$33:$W$143,3,FALSE)/VLOOKUP('Source VoT'!$E30,'Annual Parameters'!$B$33:$W$143,3,FALSE)</f>
        <v>12.059623499053327</v>
      </c>
      <c r="F30" s="52">
        <f>'Source VoT'!$D30*VLOOKUP($B$15,'Indirect tax correction'!$B$27:$I$127,7,FALSE)*VLOOKUP($B$15,'Annual Parameters'!$B$33:$W$143,21,FALSE)/VLOOKUP('Source VoT'!$F30,'Annual Parameters'!$B$33:$W$143,21,FALSE)*VLOOKUP($B$14,'Annual Parameters'!$B$33:$W$143,3,FALSE)/VLOOKUP('Source VoT'!$E30,'Annual Parameters'!$B$33:$W$143,3,FALSE)</f>
        <v>14.350951963873461</v>
      </c>
      <c r="G30" s="49"/>
      <c r="H30" s="174" t="s">
        <v>1800</v>
      </c>
      <c r="I30" s="1242"/>
      <c r="J30" s="667"/>
      <c r="K30" s="2890"/>
    </row>
    <row r="31" spans="1:19" ht="13.5" customHeight="1" thickTop="1" thickBot="1">
      <c r="A31" s="222" t="s">
        <v>1410</v>
      </c>
      <c r="B31" s="223"/>
      <c r="C31" s="55"/>
      <c r="D31" s="52">
        <f>'Source VoT'!$D31*VLOOKUP($B$15,'Indirect tax correction'!$B$27:$I$127,5,FALSE)*VLOOKUP($B$15,'Annual Parameters'!$B$33:$W$143,21,FALSE)/VLOOKUP('Source VoT'!$F31,'Annual Parameters'!$B$33:$W$143,21,FALSE)*VLOOKUP($B$14,'Annual Parameters'!$B$33:$W$143,3,FALSE)/VLOOKUP('Source VoT'!$E31,'Annual Parameters'!$B$33:$W$143,3,FALSE)</f>
        <v>12.320244046184149</v>
      </c>
      <c r="E31" s="52">
        <f>'Source VoT'!$D31*1*VLOOKUP($B$15,'Annual Parameters'!$B$33:$W$143,21,FALSE)/VLOOKUP('Source VoT'!$F31,'Annual Parameters'!$B$33:$W$143,21,FALSE)*VLOOKUP($B$14,'Annual Parameters'!$B$33:$W$143,3,FALSE)/VLOOKUP('Source VoT'!$E31,'Annual Parameters'!$B$33:$W$143,3,FALSE)</f>
        <v>12.320244046184149</v>
      </c>
      <c r="F31" s="52">
        <f>'Source VoT'!$D31*VLOOKUP($B$15,'Indirect tax correction'!$B$27:$I$127,7,FALSE)*VLOOKUP($B$15,'Annual Parameters'!$B$33:$W$143,21,FALSE)/VLOOKUP('Source VoT'!$F31,'Annual Parameters'!$B$33:$W$143,21,FALSE)*VLOOKUP($B$14,'Annual Parameters'!$B$33:$W$143,3,FALSE)/VLOOKUP('Source VoT'!$E31,'Annual Parameters'!$B$33:$W$143,3,FALSE)</f>
        <v>14.661090414959133</v>
      </c>
      <c r="G31" s="49"/>
      <c r="H31" s="137" t="s">
        <v>149</v>
      </c>
      <c r="I31" s="669" t="s">
        <v>1790</v>
      </c>
      <c r="J31" s="143"/>
      <c r="K31" s="662"/>
    </row>
    <row r="32" spans="1:19" ht="13.5" customHeight="1" thickTop="1">
      <c r="A32" s="222" t="s">
        <v>1411</v>
      </c>
      <c r="B32" s="223"/>
      <c r="C32" s="55"/>
      <c r="D32" s="52">
        <f>'Source VoT'!$D32*VLOOKUP($B$15,'Indirect tax correction'!$B$27:$I$127,5,FALSE)*VLOOKUP($B$15,'Annual Parameters'!$B$33:$W$143,21,FALSE)/VLOOKUP('Source VoT'!$F32,'Annual Parameters'!$B$33:$W$143,21,FALSE)*VLOOKUP($B$14,'Annual Parameters'!$B$33:$W$143,3,FALSE)/VLOOKUP('Source VoT'!$E32,'Annual Parameters'!$B$33:$W$143,3,FALSE)</f>
        <v>8.4234376207507076</v>
      </c>
      <c r="E32" s="52">
        <f>'Source VoT'!$D32*1*VLOOKUP($B$15,'Annual Parameters'!$B$33:$W$143,21,FALSE)/VLOOKUP('Source VoT'!$F32,'Annual Parameters'!$B$33:$W$143,21,FALSE)*VLOOKUP($B$14,'Annual Parameters'!$B$33:$W$143,3,FALSE)/VLOOKUP('Source VoT'!$E32,'Annual Parameters'!$B$33:$W$143,3,FALSE)</f>
        <v>8.4234376207507076</v>
      </c>
      <c r="F32" s="52">
        <f>'Source VoT'!$D32*VLOOKUP($B$15,'Indirect tax correction'!$B$27:$I$127,7,FALSE)*VLOOKUP($B$15,'Annual Parameters'!$B$33:$W$143,21,FALSE)/VLOOKUP('Source VoT'!$F32,'Annual Parameters'!$B$33:$W$143,21,FALSE)*VLOOKUP($B$14,'Annual Parameters'!$B$33:$W$143,3,FALSE)/VLOOKUP('Source VoT'!$E32,'Annual Parameters'!$B$33:$W$143,3,FALSE)</f>
        <v>10.023890768693342</v>
      </c>
      <c r="G32" s="49"/>
      <c r="H32" s="2923" t="s">
        <v>1455</v>
      </c>
      <c r="I32" s="2910" t="s">
        <v>1791</v>
      </c>
      <c r="J32" s="2911"/>
      <c r="K32" s="2912"/>
    </row>
    <row r="33" spans="1:16" ht="13.5" customHeight="1">
      <c r="A33" s="222" t="s">
        <v>1412</v>
      </c>
      <c r="B33" s="223"/>
      <c r="C33" s="55"/>
      <c r="D33" s="52">
        <f>'Source VoT'!$D33*VLOOKUP($B$15,'Indirect tax correction'!$B$27:$I$127,5,FALSE)*VLOOKUP($B$15,'Annual Parameters'!$B$33:$W$143,21,FALSE)/VLOOKUP('Source VoT'!$F33,'Annual Parameters'!$B$33:$W$143,21,FALSE)*VLOOKUP($B$14,'Annual Parameters'!$B$33:$W$143,3,FALSE)/VLOOKUP('Source VoT'!$E33,'Annual Parameters'!$B$33:$W$143,3,FALSE)</f>
        <v>10.886831036964644</v>
      </c>
      <c r="E33" s="52">
        <f>'Source VoT'!$D33*1*VLOOKUP($B$15,'Annual Parameters'!$B$33:$W$143,21,FALSE)/VLOOKUP('Source VoT'!$F33,'Annual Parameters'!$B$33:$W$143,21,FALSE)*VLOOKUP($B$14,'Annual Parameters'!$B$33:$W$143,3,FALSE)/VLOOKUP('Source VoT'!$E33,'Annual Parameters'!$B$33:$W$143,3,FALSE)</f>
        <v>10.886831036964644</v>
      </c>
      <c r="F33" s="52">
        <f>'Source VoT'!$D33*VLOOKUP($B$15,'Indirect tax correction'!$B$27:$I$127,7,FALSE)*VLOOKUP($B$15,'Annual Parameters'!$B$33:$W$143,21,FALSE)/VLOOKUP('Source VoT'!$F33,'Annual Parameters'!$B$33:$W$143,21,FALSE)*VLOOKUP($B$14,'Annual Parameters'!$B$33:$W$143,3,FALSE)/VLOOKUP('Source VoT'!$E33,'Annual Parameters'!$B$33:$W$143,3,FALSE)</f>
        <v>12.955328933987925</v>
      </c>
      <c r="G33" s="49"/>
      <c r="H33" s="2921" t="s">
        <v>1795</v>
      </c>
      <c r="I33" s="2907" t="s">
        <v>1801</v>
      </c>
      <c r="J33" s="2908"/>
      <c r="K33" s="2909"/>
    </row>
    <row r="34" spans="1:16" ht="19.5" customHeight="1">
      <c r="A34" s="222" t="s">
        <v>1239</v>
      </c>
      <c r="B34" s="223"/>
      <c r="C34" s="55"/>
      <c r="D34" s="52">
        <f>'Source VoT'!$D34*VLOOKUP($B$15,'Indirect tax correction'!$B$27:$I$127,5,FALSE)*VLOOKUP($B$15,'Annual Parameters'!$B$33:$W$143,21,FALSE)/VLOOKUP('Source VoT'!$F34,'Annual Parameters'!$B$33:$W$143,21,FALSE)*VLOOKUP($B$14,'Annual Parameters'!$B$33:$W$143,3,FALSE)/VLOOKUP('Source VoT'!$E34,'Annual Parameters'!$B$33:$W$143,3,FALSE)</f>
        <v>14.864388217189035</v>
      </c>
      <c r="E34" s="52">
        <f>'Source VoT'!$D34*1*VLOOKUP($B$15,'Annual Parameters'!$B$33:$W$143,21,FALSE)/VLOOKUP('Source VoT'!$F34,'Annual Parameters'!$B$33:$W$143,21,FALSE)*VLOOKUP($B$14,'Annual Parameters'!$B$33:$W$143,3,FALSE)/VLOOKUP('Source VoT'!$E34,'Annual Parameters'!$B$33:$W$143,3,FALSE)</f>
        <v>14.864388217189035</v>
      </c>
      <c r="F34" s="52">
        <f>'Source VoT'!$D34*VLOOKUP($B$15,'Indirect tax correction'!$B$27:$I$127,7,FALSE)*VLOOKUP($B$15,'Annual Parameters'!$B$33:$W$143,21,FALSE)/VLOOKUP('Source VoT'!$F34,'Annual Parameters'!$B$33:$W$143,21,FALSE)*VLOOKUP($B$14,'Annual Parameters'!$B$33:$W$143,3,FALSE)/VLOOKUP('Source VoT'!$E34,'Annual Parameters'!$B$33:$W$143,3,FALSE)</f>
        <v>17.68862197845495</v>
      </c>
      <c r="G34" s="49"/>
      <c r="H34" s="2921" t="s">
        <v>1796</v>
      </c>
      <c r="I34" s="2907" t="s">
        <v>1792</v>
      </c>
      <c r="J34" s="2908"/>
      <c r="K34" s="2909"/>
    </row>
    <row r="35" spans="1:16" ht="13.5" customHeight="1">
      <c r="A35" s="222" t="s">
        <v>1413</v>
      </c>
      <c r="B35" s="223"/>
      <c r="C35" s="55"/>
      <c r="D35" s="52">
        <f>'Source VoT'!$D35*VLOOKUP($B$15,'Indirect tax correction'!$B$27:$I$127,5,FALSE)*VLOOKUP($B$15,'Annual Parameters'!$B$33:$W$143,21,FALSE)/VLOOKUP('Source VoT'!$F35,'Annual Parameters'!$B$33:$W$143,21,FALSE)*VLOOKUP($B$14,'Annual Parameters'!$B$33:$W$143,3,FALSE)/VLOOKUP('Source VoT'!$E35,'Annual Parameters'!$B$33:$W$143,3,FALSE)</f>
        <v>24.518992476633144</v>
      </c>
      <c r="E35" s="52">
        <f>'Source VoT'!$D35*1*VLOOKUP($B$15,'Annual Parameters'!$B$33:$W$143,21,FALSE)/VLOOKUP('Source VoT'!$F35,'Annual Parameters'!$B$33:$W$143,21,FALSE)*VLOOKUP($B$14,'Annual Parameters'!$B$33:$W$143,3,FALSE)/VLOOKUP('Source VoT'!$E35,'Annual Parameters'!$B$33:$W$143,3,FALSE)</f>
        <v>24.518992476633144</v>
      </c>
      <c r="F35" s="52">
        <f>'Source VoT'!$D35*VLOOKUP($B$15,'Indirect tax correction'!$B$27:$I$127,7,FALSE)*VLOOKUP($B$15,'Annual Parameters'!$B$33:$W$143,21,FALSE)/VLOOKUP('Source VoT'!$F35,'Annual Parameters'!$B$33:$W$143,21,FALSE)*VLOOKUP($B$14,'Annual Parameters'!$B$33:$W$143,3,FALSE)/VLOOKUP('Source VoT'!$E35,'Annual Parameters'!$B$33:$W$143,3,FALSE)</f>
        <v>29.177601047193445</v>
      </c>
      <c r="G35" s="49"/>
      <c r="H35" s="2921" t="s">
        <v>1797</v>
      </c>
      <c r="I35" s="2907" t="s">
        <v>1793</v>
      </c>
      <c r="J35" s="2908"/>
      <c r="K35" s="2909"/>
    </row>
    <row r="36" spans="1:16" ht="13.5" customHeight="1" thickBot="1">
      <c r="A36" s="222" t="s">
        <v>1414</v>
      </c>
      <c r="B36" s="223"/>
      <c r="C36" s="55"/>
      <c r="D36" s="52">
        <f>'Source VoT'!$D36*VLOOKUP($B$15,'Indirect tax correction'!$B$27:$I$127,5,FALSE)*VLOOKUP($B$15,'Annual Parameters'!$B$33:$W$143,21,FALSE)/VLOOKUP('Source VoT'!$F36,'Annual Parameters'!$B$33:$W$143,21,FALSE)*VLOOKUP($B$14,'Annual Parameters'!$B$33:$W$143,3,FALSE)/VLOOKUP('Source VoT'!$E36,'Annual Parameters'!$B$33:$W$143,3,FALSE)</f>
        <v>8.4234376207507076</v>
      </c>
      <c r="E36" s="52">
        <f>'Source VoT'!$D36*1*VLOOKUP($B$15,'Annual Parameters'!$B$33:$W$143,21,FALSE)/VLOOKUP('Source VoT'!$F36,'Annual Parameters'!$B$33:$W$143,21,FALSE)*VLOOKUP($B$14,'Annual Parameters'!$B$33:$W$143,3,FALSE)/VLOOKUP('Source VoT'!$E36,'Annual Parameters'!$B$33:$W$143,3,FALSE)</f>
        <v>8.4234376207507076</v>
      </c>
      <c r="F36" s="52">
        <f>'Source VoT'!$D36*VLOOKUP($B$15,'Indirect tax correction'!$B$27:$I$127,7,FALSE)*VLOOKUP($B$15,'Annual Parameters'!$B$33:$W$143,21,FALSE)/VLOOKUP('Source VoT'!$F36,'Annual Parameters'!$B$33:$W$143,21,FALSE)*VLOOKUP($B$14,'Annual Parameters'!$B$33:$W$143,3,FALSE)/VLOOKUP('Source VoT'!$E36,'Annual Parameters'!$B$33:$W$143,3,FALSE)</f>
        <v>10.023890768693342</v>
      </c>
      <c r="G36" s="49"/>
      <c r="H36" s="2924" t="s">
        <v>1798</v>
      </c>
      <c r="I36" s="2918" t="s">
        <v>1794</v>
      </c>
      <c r="J36" s="2919"/>
      <c r="K36" s="2920"/>
    </row>
    <row r="37" spans="1:16" ht="13.5" customHeight="1" thickTop="1" thickBot="1">
      <c r="A37" s="222" t="s">
        <v>1415</v>
      </c>
      <c r="B37" s="223"/>
      <c r="C37" s="55"/>
      <c r="D37" s="52">
        <f>'Source VoT'!$D37*VLOOKUP($B$15,'Indirect tax correction'!$B$27:$I$127,5,FALSE)*VLOOKUP($B$15,'Annual Parameters'!$B$33:$W$143,21,FALSE)/VLOOKUP('Source VoT'!$F37,'Annual Parameters'!$B$33:$W$143,21,FALSE)*VLOOKUP($B$14,'Annual Parameters'!$B$33:$W$143,3,FALSE)/VLOOKUP('Source VoT'!$E37,'Annual Parameters'!$B$33:$W$143,3,FALSE)</f>
        <v>8.4234376207507076</v>
      </c>
      <c r="E37" s="52">
        <f>'Source VoT'!$D37*1*VLOOKUP($B$15,'Annual Parameters'!$B$33:$W$143,21,FALSE)/VLOOKUP('Source VoT'!$F37,'Annual Parameters'!$B$33:$W$143,21,FALSE)*VLOOKUP($B$14,'Annual Parameters'!$B$33:$W$143,3,FALSE)/VLOOKUP('Source VoT'!$E37,'Annual Parameters'!$B$33:$W$143,3,FALSE)</f>
        <v>8.4234376207507076</v>
      </c>
      <c r="F37" s="52">
        <f>'Source VoT'!$D37*VLOOKUP($B$15,'Indirect tax correction'!$B$27:$I$127,7,FALSE)*VLOOKUP($B$15,'Annual Parameters'!$B$33:$W$143,21,FALSE)/VLOOKUP('Source VoT'!$F37,'Annual Parameters'!$B$33:$W$143,21,FALSE)*VLOOKUP($B$14,'Annual Parameters'!$B$33:$W$143,3,FALSE)/VLOOKUP('Source VoT'!$E37,'Annual Parameters'!$B$33:$W$143,3,FALSE)</f>
        <v>10.023890768693342</v>
      </c>
      <c r="G37" s="49"/>
      <c r="H37" s="26"/>
      <c r="I37" s="56"/>
      <c r="J37" s="56"/>
      <c r="K37" s="56"/>
      <c r="L37" s="26"/>
    </row>
    <row r="38" spans="1:16" ht="13.5" customHeight="1" thickTop="1" thickBot="1">
      <c r="A38" s="222" t="s">
        <v>1416</v>
      </c>
      <c r="B38" s="223"/>
      <c r="C38" s="55"/>
      <c r="D38" s="52">
        <f>'Source VoT'!$D38*VLOOKUP($B$15,'Indirect tax correction'!$B$27:$I$127,5,FALSE)*VLOOKUP($B$15,'Annual Parameters'!$B$33:$W$143,21,FALSE)/VLOOKUP('Source VoT'!$F38,'Annual Parameters'!$B$33:$W$143,21,FALSE)*VLOOKUP($B$14,'Annual Parameters'!$B$33:$W$143,3,FALSE)/VLOOKUP('Source VoT'!$E38,'Annual Parameters'!$B$33:$W$143,3,FALSE)</f>
        <v>8.4234376207507076</v>
      </c>
      <c r="E38" s="52">
        <f>'Source VoT'!$D38*1*VLOOKUP($B$15,'Annual Parameters'!$B$33:$W$143,21,FALSE)/VLOOKUP('Source VoT'!$F38,'Annual Parameters'!$B$33:$W$143,21,FALSE)*VLOOKUP($B$14,'Annual Parameters'!$B$33:$W$143,3,FALSE)/VLOOKUP('Source VoT'!$E38,'Annual Parameters'!$B$33:$W$143,3,FALSE)</f>
        <v>8.4234376207507076</v>
      </c>
      <c r="F38" s="52">
        <f>'Source VoT'!$D38*VLOOKUP($B$15,'Indirect tax correction'!$B$27:$I$127,7,FALSE)*VLOOKUP($B$15,'Annual Parameters'!$B$33:$W$143,21,FALSE)/VLOOKUP('Source VoT'!$F38,'Annual Parameters'!$B$33:$W$143,21,FALSE)*VLOOKUP($B$14,'Annual Parameters'!$B$33:$W$143,3,FALSE)/VLOOKUP('Source VoT'!$E38,'Annual Parameters'!$B$33:$W$143,3,FALSE)</f>
        <v>10.023890768693342</v>
      </c>
      <c r="G38" s="49"/>
      <c r="H38" s="174" t="s">
        <v>1799</v>
      </c>
      <c r="I38" s="1242"/>
      <c r="J38" s="582"/>
      <c r="L38" s="26"/>
    </row>
    <row r="39" spans="1:16" ht="13.5" customHeight="1" thickTop="1" thickBot="1">
      <c r="A39" s="1224" t="s">
        <v>1417</v>
      </c>
      <c r="B39" s="223"/>
      <c r="C39" s="55"/>
      <c r="D39" s="52">
        <f>'Source VoT'!$D39*VLOOKUP($B$15,'Indirect tax correction'!$B$27:$I$127,5,FALSE)*VLOOKUP($B$15,'Annual Parameters'!$B$33:$W$143,21,FALSE)/VLOOKUP('Source VoT'!$F39,'Annual Parameters'!$B$33:$W$143,21,FALSE)*VLOOKUP($B$14,'Annual Parameters'!$B$33:$W$143,3,FALSE)/VLOOKUP('Source VoT'!$E39,'Annual Parameters'!$B$33:$W$143,3,FALSE)</f>
        <v>14.864388217189035</v>
      </c>
      <c r="E39" s="52">
        <f>'Source VoT'!$D39*1*VLOOKUP($B$15,'Annual Parameters'!$B$33:$W$143,21,FALSE)/VLOOKUP('Source VoT'!$F39,'Annual Parameters'!$B$33:$W$143,21,FALSE)*VLOOKUP($B$14,'Annual Parameters'!$B$33:$W$143,3,FALSE)/VLOOKUP('Source VoT'!$E39,'Annual Parameters'!$B$33:$W$143,3,FALSE)</f>
        <v>14.864388217189035</v>
      </c>
      <c r="F39" s="52">
        <f>'Source VoT'!$D39*VLOOKUP($B$15,'Indirect tax correction'!$B$27:$I$127,7,FALSE)*VLOOKUP($B$15,'Annual Parameters'!$B$33:$W$143,21,FALSE)/VLOOKUP('Source VoT'!$F39,'Annual Parameters'!$B$33:$W$143,21,FALSE)*VLOOKUP($B$14,'Annual Parameters'!$B$33:$W$143,3,FALSE)/VLOOKUP('Source VoT'!$E39,'Annual Parameters'!$B$33:$W$143,3,FALSE)</f>
        <v>17.68862197845495</v>
      </c>
      <c r="G39" s="49"/>
      <c r="H39" s="230" t="s">
        <v>149</v>
      </c>
      <c r="I39" s="1035" t="s">
        <v>1439</v>
      </c>
      <c r="J39" s="1153" t="s">
        <v>584</v>
      </c>
      <c r="O39" s="26"/>
    </row>
    <row r="40" spans="1:16" ht="18" customHeight="1" thickTop="1" thickBot="1">
      <c r="A40" s="1224" t="s">
        <v>60</v>
      </c>
      <c r="B40" s="223"/>
      <c r="C40" s="55"/>
      <c r="D40" s="54">
        <f>'Source VoT'!$D40*VLOOKUP($B$15,'Indirect tax correction'!$B$27:$I$127,5,FALSE)*VLOOKUP($B$15,'Annual Parameters'!$B$33:$W$143,21,FALSE)/VLOOKUP('Source VoT'!$F40,'Annual Parameters'!$B$33:$W$143,21,FALSE)*VLOOKUP($B$14,'Annual Parameters'!$B$33:$W$143,3,FALSE)/VLOOKUP('Source VoT'!$E40,'Annual Parameters'!$B$33:$W$143,3,FALSE)</f>
        <v>16.190710672670583</v>
      </c>
      <c r="E40" s="52">
        <f>'Source VoT'!$D40*1*VLOOKUP($B$15,'Annual Parameters'!$B$33:$W$143,21,FALSE)/VLOOKUP('Source VoT'!$F40,'Annual Parameters'!$B$33:$W$143,21,FALSE)*VLOOKUP($B$14,'Annual Parameters'!$B$33:$W$143,3,FALSE)/VLOOKUP('Source VoT'!$E40,'Annual Parameters'!$B$33:$W$143,3,FALSE)</f>
        <v>16.190710672670583</v>
      </c>
      <c r="F40" s="54">
        <f>'Source VoT'!$D40*VLOOKUP($B$15,'Indirect tax correction'!$B$27:$I$127,7,FALSE)*VLOOKUP($B$15,'Annual Parameters'!$B$33:$W$143,21,FALSE)/VLOOKUP('Source VoT'!$F40,'Annual Parameters'!$B$33:$W$143,21,FALSE)*VLOOKUP($B$14,'Annual Parameters'!$B$33:$W$143,3,FALSE)/VLOOKUP('Source VoT'!$E40,'Annual Parameters'!$B$33:$W$143,3,FALSE)</f>
        <v>19.266945700477994</v>
      </c>
      <c r="G40" s="49"/>
      <c r="H40" s="2932" t="s">
        <v>1804</v>
      </c>
      <c r="I40" s="2925">
        <f>'Source VoT'!K39*VLOOKUP($B$15,'Annual Parameters'!$B$33:$W$143,21,FALSE)/VLOOKUP('Source VoT'!$M39,'Annual Parameters'!$B$33:$W$143,21,FALSE)*VLOOKUP($B$14,'Annual Parameters'!$B$33:$W$143,3,FALSE)/VLOOKUP('Source VoT'!$L27,'Annual Parameters'!$B$33:$W$143,3,FALSE)</f>
        <v>24.803737583636462</v>
      </c>
      <c r="J40" s="2927">
        <f>'Source VoT'!L39*VLOOKUP($B$15,'Annual Parameters'!$B$33:$W$143,21,FALSE)/VLOOKUP('Source VoT'!$M39,'Annual Parameters'!$B$33:$W$143,21,FALSE)*VLOOKUP($B$14,'Annual Parameters'!$B$33:$W$143,3,FALSE)/VLOOKUP('Source VoT'!$L27,'Annual Parameters'!$B$33:$W$143,3,FALSE)</f>
        <v>36.468640556250875</v>
      </c>
      <c r="O40" s="3234"/>
      <c r="P40" s="3234"/>
    </row>
    <row r="41" spans="1:16" ht="13.5" customHeight="1" thickTop="1">
      <c r="A41" s="174" t="s">
        <v>603</v>
      </c>
      <c r="B41" s="1242"/>
      <c r="C41" s="667"/>
      <c r="D41" s="1243"/>
      <c r="E41" s="1243"/>
      <c r="F41" s="1244"/>
      <c r="G41" s="49"/>
      <c r="H41" s="2933" t="s">
        <v>1803</v>
      </c>
      <c r="I41" s="2928">
        <f>'Source VoT'!K40*VLOOKUP($B$15,'Annual Parameters'!$B$33:$W$143,21,FALSE)/VLOOKUP('Source VoT'!$M40,'Annual Parameters'!$B$33:$W$143,21,FALSE)*VLOOKUP($B$14,'Annual Parameters'!$B$33:$W$143,3,FALSE)/VLOOKUP('Source VoT'!$L28,'Annual Parameters'!$B$33:$W$143,3,FALSE)</f>
        <v>24.803737583636462</v>
      </c>
      <c r="J41" s="2929">
        <f>'Source VoT'!L40*VLOOKUP($B$15,'Annual Parameters'!$B$33:$W$143,21,FALSE)/VLOOKUP('Source VoT'!$M40,'Annual Parameters'!$B$33:$W$143,21,FALSE)*VLOOKUP($B$14,'Annual Parameters'!$B$33:$W$143,3,FALSE)/VLOOKUP('Source VoT'!$L28,'Annual Parameters'!$B$33:$W$143,3,FALSE)</f>
        <v>36.468640556250897</v>
      </c>
      <c r="L41" s="26"/>
      <c r="O41" s="3234"/>
      <c r="P41" s="3234"/>
    </row>
    <row r="42" spans="1:16" ht="17.25" customHeight="1" thickBot="1">
      <c r="A42" s="836" t="str">
        <f>CONCATENATE("(£ per hour, ",$B$14," prices, ",$B$15," values)")</f>
        <v>(£ per hour, 2010 prices, 2010 values)</v>
      </c>
      <c r="B42" s="1245"/>
      <c r="C42" s="1246"/>
      <c r="D42" s="1247"/>
      <c r="E42" s="1247"/>
      <c r="F42" s="1248"/>
      <c r="G42" s="49"/>
      <c r="H42" s="2933" t="s">
        <v>1805</v>
      </c>
      <c r="I42" s="2928">
        <f>I40*VLOOKUP($B$15,'Indirect tax correction'!$B$27:$I$127,7,FALSE)</f>
        <v>29.516447724527389</v>
      </c>
      <c r="J42" s="2929">
        <f>J40*VLOOKUP($B$15,'Indirect tax correction'!$B$27:$I$127,7,FALSE)</f>
        <v>43.397682261938542</v>
      </c>
      <c r="L42" s="2926"/>
      <c r="O42" s="3234"/>
      <c r="P42" s="3234"/>
    </row>
    <row r="43" spans="1:16" ht="14.25" customHeight="1" thickTop="1">
      <c r="A43" s="809" t="s">
        <v>604</v>
      </c>
      <c r="B43" s="281"/>
      <c r="C43" s="173"/>
      <c r="D43" s="421" t="s">
        <v>470</v>
      </c>
      <c r="E43" s="421" t="s">
        <v>1403</v>
      </c>
      <c r="F43" s="285" t="s">
        <v>1404</v>
      </c>
      <c r="G43" s="35"/>
      <c r="H43" s="2934" t="s">
        <v>1797</v>
      </c>
      <c r="I43" s="2936">
        <f>'Source VoT'!K42</f>
        <v>66.525800000000004</v>
      </c>
      <c r="J43" s="2937">
        <f>'Source VoT'!L42</f>
        <v>107.036</v>
      </c>
      <c r="L43" s="2926"/>
      <c r="O43" s="3234"/>
      <c r="P43" s="3234"/>
    </row>
    <row r="44" spans="1:16" ht="13.5" customHeight="1" thickBot="1">
      <c r="A44" s="464"/>
      <c r="B44" s="632"/>
      <c r="C44" s="465"/>
      <c r="D44" s="1223" t="s">
        <v>1402</v>
      </c>
      <c r="E44" s="1223" t="s">
        <v>1402</v>
      </c>
      <c r="F44" s="668" t="s">
        <v>1405</v>
      </c>
      <c r="G44" s="48"/>
      <c r="H44" s="2934" t="s">
        <v>1798</v>
      </c>
      <c r="I44" s="2936">
        <f>'Source VoT'!K43</f>
        <v>67.017399999999995</v>
      </c>
      <c r="J44" s="2937">
        <f>'Source VoT'!L43</f>
        <v>63.947000000000003</v>
      </c>
      <c r="L44" s="26"/>
      <c r="O44" s="3234"/>
      <c r="P44" s="3234"/>
    </row>
    <row r="45" spans="1:16" ht="13.5" customHeight="1" thickTop="1">
      <c r="A45" s="68" t="s">
        <v>1418</v>
      </c>
      <c r="B45" s="68"/>
      <c r="C45" s="55"/>
      <c r="D45" s="1302">
        <f>'Source VoT'!$D45*VLOOKUP($B$15,'Indirect tax correction'!$B$27:$I$127,6,FALSE)*VLOOKUP($B$15,'Annual Parameters'!$B$33:$W$143,22,FALSE)/VLOOKUP('Source VoT'!$F45,'Annual Parameters'!$B$33:$W$143,22,FALSE)*VLOOKUP($B$14,'Annual Parameters'!$B$33:$W$143,3,FALSE)/VLOOKUP('Source VoT'!$E45,'Annual Parameters'!$B$33:$W$143,3,FALSE)</f>
        <v>8.3638237971226079</v>
      </c>
      <c r="E45" s="52">
        <f>'Source VoT'!$D45*1*VLOOKUP($B$15,'Annual Parameters'!$B$33:$W$143,22,FALSE)/VLOOKUP('Source VoT'!$F45,'Annual Parameters'!$B$33:$W$143,22,FALSE)*VLOOKUP($B$14,'Annual Parameters'!$B$33:$W$143,3,FALSE)/VLOOKUP('Source VoT'!$E45,'Annual Parameters'!$B$33:$W$143,3,FALSE)</f>
        <v>9.952950318575903</v>
      </c>
      <c r="F45" s="1302">
        <f>'Source VoT'!$D45*VLOOKUP($B$15,'Indirect tax correction'!$B$27:$I$127,8,FALSE)*VLOOKUP($B$15,'Annual Parameters'!$B$33:$W$143,22,FALSE)/VLOOKUP('Source VoT'!$F45,'Annual Parameters'!$B$33:$W$143,22,FALSE)*VLOOKUP($B$14,'Annual Parameters'!$B$33:$W$143,3,FALSE)/VLOOKUP('Source VoT'!$E45,'Annual Parameters'!$B$33:$W$143,3,FALSE)</f>
        <v>9.952950318575903</v>
      </c>
      <c r="G45" s="53"/>
      <c r="H45" s="2933" t="s">
        <v>1807</v>
      </c>
      <c r="I45" s="2928">
        <f>'Source VoT'!K44*VLOOKUP($B$15,'Annual Parameters'!$B$33:$W$143,21,FALSE)/VLOOKUP('Source VoT'!$M44,'Annual Parameters'!$B$33:$W$143,21,FALSE)*VLOOKUP($B$14,'Annual Parameters'!$B$33:$W$143,3,FALSE)/VLOOKUP('Source VoT'!$L32,'Annual Parameters'!$B$33:$W$143,3,FALSE)</f>
        <v>6.706585679866456</v>
      </c>
      <c r="J45" s="2929">
        <f>'Source VoT'!L44*VLOOKUP($B$15,'Annual Parameters'!$B$33:$W$143,21,FALSE)/VLOOKUP('Source VoT'!$M44,'Annual Parameters'!$B$33:$W$143,21,FALSE)*VLOOKUP($B$14,'Annual Parameters'!$B$33:$W$143,3,FALSE)/VLOOKUP('Source VoT'!$L32,'Annual Parameters'!$B$33:$W$143,3,FALSE)</f>
        <v>5.7590440299875976</v>
      </c>
      <c r="L45" s="26"/>
      <c r="O45" s="3234"/>
      <c r="P45" s="3234"/>
    </row>
    <row r="46" spans="1:16" ht="18.75" customHeight="1" thickBot="1">
      <c r="A46" s="234" t="s">
        <v>1419</v>
      </c>
      <c r="B46" s="234"/>
      <c r="C46" s="37"/>
      <c r="D46" s="54">
        <f>'Source VoT'!$D46*VLOOKUP($B$15,'Indirect tax correction'!$B$27:$I$127,6,FALSE)*VLOOKUP($B$15,'Annual Parameters'!$B$33:$W$143,22,FALSE)/VLOOKUP('Source VoT'!$F46,'Annual Parameters'!$B$33:$W$143,22,FALSE)*VLOOKUP($B$14,'Annual Parameters'!$B$33:$W$143,3,FALSE)/VLOOKUP('Source VoT'!$E46,'Annual Parameters'!$B$33:$W$143,3,FALSE)</f>
        <v>3.8175001803746342</v>
      </c>
      <c r="E46" s="54">
        <f>'Source VoT'!$D46*1*VLOOKUP($B$15,'Annual Parameters'!$B$33:$W$143,22,FALSE)/VLOOKUP('Source VoT'!$F46,'Annual Parameters'!$B$33:$W$143,22,FALSE)*VLOOKUP($B$14,'Annual Parameters'!$B$33:$W$143,3,FALSE)/VLOOKUP('Source VoT'!$E46,'Annual Parameters'!$B$33:$W$143,3,FALSE)</f>
        <v>4.5428252146458146</v>
      </c>
      <c r="F46" s="54">
        <f>'Source VoT'!$D46*VLOOKUP($B$15,'Indirect tax correction'!$B$27:$I$127,8,FALSE)*VLOOKUP($B$15,'Annual Parameters'!$B$33:$W$143,22,FALSE)/VLOOKUP('Source VoT'!$F46,'Annual Parameters'!$B$33:$W$143,22,FALSE)*VLOOKUP($B$14,'Annual Parameters'!$B$33:$W$143,3,FALSE)/VLOOKUP('Source VoT'!$E46,'Annual Parameters'!$B$33:$W$143,3,FALSE)</f>
        <v>4.5428252146458146</v>
      </c>
      <c r="G46" s="53"/>
      <c r="H46" s="2933" t="s">
        <v>1808</v>
      </c>
      <c r="I46" s="2928">
        <f>'Source VoT'!K45*VLOOKUP($B$15,'Annual Parameters'!$B$33:$W$143,21,FALSE)/VLOOKUP('Source VoT'!$M45,'Annual Parameters'!$B$33:$W$143,21,FALSE)*VLOOKUP($B$14,'Annual Parameters'!$B$33:$W$143,3,FALSE)/VLOOKUP('Source VoT'!$L33,'Annual Parameters'!$B$33:$W$143,3,FALSE)</f>
        <v>6.706585679866456</v>
      </c>
      <c r="J46" s="2929">
        <f>'Source VoT'!L45*VLOOKUP($B$15,'Annual Parameters'!$B$33:$W$143,21,FALSE)/VLOOKUP('Source VoT'!$M45,'Annual Parameters'!$B$33:$W$143,21,FALSE)*VLOOKUP($B$14,'Annual Parameters'!$B$33:$W$143,3,FALSE)/VLOOKUP('Source VoT'!$L33,'Annual Parameters'!$B$33:$W$143,3,FALSE)</f>
        <v>5.7590440299875976</v>
      </c>
      <c r="L46" s="26"/>
      <c r="O46" s="3234"/>
      <c r="P46" s="3234"/>
    </row>
    <row r="47" spans="1:16" ht="13.5" customHeight="1" thickTop="1" thickBot="1">
      <c r="G47" s="26"/>
      <c r="H47" s="2935" t="s">
        <v>1809</v>
      </c>
      <c r="I47" s="2930">
        <f>I45*VLOOKUP($B$15,'Indirect tax correction'!$B$27:$I$127,7,FALSE)</f>
        <v>7.9808369590410821</v>
      </c>
      <c r="J47" s="2931">
        <f>J45*VLOOKUP($B$15,'Indirect tax correction'!$B$27:$I$127,7,FALSE)</f>
        <v>6.853262395685241</v>
      </c>
      <c r="L47" s="26"/>
      <c r="O47" s="3234"/>
      <c r="P47" s="3234"/>
    </row>
    <row r="48" spans="1:16" ht="14.4" thickTop="1" thickBot="1">
      <c r="L48" s="26"/>
    </row>
    <row r="49" spans="4:12" ht="14.4" thickTop="1" thickBot="1">
      <c r="H49" s="174" t="s">
        <v>1786</v>
      </c>
      <c r="I49" s="1242"/>
      <c r="J49" s="667"/>
      <c r="K49" s="2890"/>
      <c r="L49" s="26"/>
    </row>
    <row r="50" spans="4:12" ht="13.8" thickTop="1">
      <c r="H50" s="230" t="s">
        <v>45</v>
      </c>
      <c r="I50" s="419" t="s">
        <v>1401</v>
      </c>
      <c r="J50" s="419" t="s">
        <v>1403</v>
      </c>
      <c r="K50" s="498" t="s">
        <v>1404</v>
      </c>
    </row>
    <row r="51" spans="4:12" ht="13.8" thickBot="1">
      <c r="H51" s="104"/>
      <c r="I51" s="421" t="s">
        <v>1402</v>
      </c>
      <c r="J51" s="421" t="s">
        <v>1402</v>
      </c>
      <c r="K51" s="285" t="s">
        <v>1405</v>
      </c>
    </row>
    <row r="52" spans="4:12" ht="13.8" thickTop="1">
      <c r="D52" s="3233"/>
      <c r="E52" s="3233"/>
      <c r="F52" s="3233"/>
      <c r="H52" s="2889" t="s">
        <v>1778</v>
      </c>
      <c r="I52" s="2884">
        <f>'Source VoT'!K27*VLOOKUP($B$15,'Indirect tax correction'!$B$27:$I$127,5,FALSE)*VLOOKUP($B$15,'Annual Parameters'!$B$33:$W$143,21,FALSE)/VLOOKUP('Source VoT'!$M27,'Annual Parameters'!$B$33:$W$143,21,FALSE)*VLOOKUP($B$14,'Annual Parameters'!$B$33:$W$143,3,FALSE)/VLOOKUP('Source VoT'!$L27,'Annual Parameters'!$B$33:$W$143,3,FALSE)</f>
        <v>8.4234376207507076</v>
      </c>
      <c r="J52" s="2886">
        <f>'Source VoT'!K27*1*VLOOKUP($B$15,'Annual Parameters'!$B$33:$W$143,21,FALSE)/VLOOKUP('Source VoT'!$M27,'Annual Parameters'!$B$33:$W$143,21,FALSE)*VLOOKUP($B$14,'Annual Parameters'!$B$33:$W$143,3,FALSE)/VLOOKUP('Source VoT'!$L27,'Annual Parameters'!$B$33:$W$143,3,FALSE)</f>
        <v>8.4234376207507076</v>
      </c>
      <c r="K52" s="2885">
        <f>'Source VoT'!K27*VLOOKUP($B$15,'Indirect tax correction'!$B$27:$I$127,7,FALSE)*VLOOKUP($B$15,'Annual Parameters'!$B$33:$W$143,21,FALSE)/VLOOKUP('Source VoT'!$M27,'Annual Parameters'!$B$33:$W$143,21,FALSE)*VLOOKUP($B$14,'Annual Parameters'!$B$33:$W$143,3,FALSE)/VLOOKUP('Source VoT'!$L27,'Annual Parameters'!$B$33:$W$143,3,FALSE)</f>
        <v>10.023890768693342</v>
      </c>
    </row>
    <row r="53" spans="4:12">
      <c r="D53" s="3233"/>
      <c r="E53" s="3233"/>
      <c r="F53" s="3233"/>
      <c r="H53" s="2881" t="s">
        <v>1779</v>
      </c>
      <c r="I53" s="51">
        <f>'Source VoT'!K28*VLOOKUP($B$15,'Indirect tax correction'!$B$27:$I$127,5,FALSE)*VLOOKUP($B$15,'Annual Parameters'!$B$33:$W$143,21,FALSE)/VLOOKUP('Source VoT'!$M28,'Annual Parameters'!$B$33:$W$143,21,FALSE)*VLOOKUP($B$14,'Annual Parameters'!$B$33:$W$143,3,FALSE)/VLOOKUP('Source VoT'!$L28,'Annual Parameters'!$B$33:$W$143,3,FALSE)</f>
        <v>13.61823409699428</v>
      </c>
      <c r="J53" s="2887">
        <f>'Source VoT'!K28*1*VLOOKUP($B$15,'Annual Parameters'!$B$33:$W$143,21,FALSE)/VLOOKUP('Source VoT'!$M28,'Annual Parameters'!$B$33:$W$143,21,FALSE)*VLOOKUP($B$14,'Annual Parameters'!$B$33:$W$143,3,FALSE)/VLOOKUP('Source VoT'!$L28,'Annual Parameters'!$B$33:$W$143,3,FALSE)</f>
        <v>13.61823409699428</v>
      </c>
      <c r="K53" s="1257">
        <f>'Source VoT'!K28*VLOOKUP($B$15,'Indirect tax correction'!$B$27:$I$127,7,FALSE)*VLOOKUP($B$15,'Annual Parameters'!$B$33:$W$143,21,FALSE)/VLOOKUP('Source VoT'!$M28,'Annual Parameters'!$B$33:$W$143,21,FALSE)*VLOOKUP($B$14,'Annual Parameters'!$B$33:$W$143,3,FALSE)/VLOOKUP('Source VoT'!$L28,'Annual Parameters'!$B$33:$W$143,3,FALSE)</f>
        <v>16.205698575423195</v>
      </c>
    </row>
    <row r="54" spans="4:12">
      <c r="H54" s="2882" t="s">
        <v>1780</v>
      </c>
      <c r="I54" s="51">
        <f>'Source VoT'!K29*VLOOKUP($B$15,'Indirect tax correction'!$B$27:$I$127,5,FALSE)*VLOOKUP($B$15,'Annual Parameters'!$B$33:$W$143,21,FALSE)/VLOOKUP('Source VoT'!$M29,'Annual Parameters'!$B$33:$W$143,21,FALSE)*VLOOKUP($B$14,'Annual Parameters'!$B$33:$W$143,3,FALSE)/VLOOKUP('Source VoT'!$L29,'Annual Parameters'!$B$33:$W$143,3,FALSE)</f>
        <v>18.488484283860739</v>
      </c>
      <c r="J54" s="2887">
        <f>'Source VoT'!K29*1*VLOOKUP($B$15,'Annual Parameters'!$B$33:$W$143,21,FALSE)/VLOOKUP('Source VoT'!$M29,'Annual Parameters'!$B$33:$W$143,21,FALSE)*VLOOKUP($B$14,'Annual Parameters'!$B$33:$W$143,3,FALSE)/VLOOKUP('Source VoT'!$L29,'Annual Parameters'!$B$33:$W$143,3,FALSE)</f>
        <v>18.488484283860739</v>
      </c>
      <c r="K54" s="1257">
        <f>'Source VoT'!K29*VLOOKUP($B$15,'Indirect tax correction'!$B$27:$I$127,7,FALSE)*VLOOKUP($B$15,'Annual Parameters'!$B$33:$W$143,21,FALSE)/VLOOKUP('Source VoT'!$M29,'Annual Parameters'!$B$33:$W$143,21,FALSE)*VLOOKUP($B$14,'Annual Parameters'!$B$33:$W$143,3,FALSE)/VLOOKUP('Source VoT'!$L29,'Annual Parameters'!$B$33:$W$143,3,FALSE)</f>
        <v>22.00129629779428</v>
      </c>
    </row>
    <row r="55" spans="4:12">
      <c r="H55" s="2882" t="s">
        <v>1781</v>
      </c>
      <c r="I55" s="51">
        <f>'Source VoT'!K30*VLOOKUP($B$15,'Indirect tax correction'!$B$27:$I$127,5,FALSE)*VLOOKUP($B$15,'Annual Parameters'!$B$33:$W$143,21,FALSE)/VLOOKUP('Source VoT'!$M30,'Annual Parameters'!$B$33:$W$143,21,FALSE)*VLOOKUP($B$14,'Annual Parameters'!$B$33:$W$143,3,FALSE)/VLOOKUP('Source VoT'!$L30,'Annual Parameters'!$B$33:$W$143,3,FALSE)</f>
        <v>23.768340440923069</v>
      </c>
      <c r="J55" s="2887">
        <f>'Source VoT'!K30*1*VLOOKUP($B$15,'Annual Parameters'!$B$33:$W$143,21,FALSE)/VLOOKUP('Source VoT'!$M30,'Annual Parameters'!$B$33:$W$143,21,FALSE)*VLOOKUP($B$14,'Annual Parameters'!$B$33:$W$143,3,FALSE)/VLOOKUP('Source VoT'!$L30,'Annual Parameters'!$B$33:$W$143,3,FALSE)</f>
        <v>23.768340440923069</v>
      </c>
      <c r="K55" s="1257">
        <f>'Source VoT'!K30*VLOOKUP($B$15,'Indirect tax correction'!$B$27:$I$127,7,FALSE)*VLOOKUP($B$15,'Annual Parameters'!$B$33:$W$143,21,FALSE)/VLOOKUP('Source VoT'!$M30,'Annual Parameters'!$B$33:$W$143,21,FALSE)*VLOOKUP($B$14,'Annual Parameters'!$B$33:$W$143,3,FALSE)/VLOOKUP('Source VoT'!$L30,'Annual Parameters'!$B$33:$W$143,3,FALSE)</f>
        <v>28.284325124698452</v>
      </c>
    </row>
    <row r="56" spans="4:12" ht="13.5" customHeight="1">
      <c r="H56" s="2882" t="s">
        <v>1782</v>
      </c>
      <c r="I56" s="51">
        <f>'Source VoT'!K31*VLOOKUP($B$15,'Indirect tax correction'!$B$27:$I$127,5,FALSE)*VLOOKUP($B$15,'Annual Parameters'!$B$33:$W$143,21,FALSE)/VLOOKUP('Source VoT'!$M31,'Annual Parameters'!$B$33:$W$143,21,FALSE)*VLOOKUP($B$14,'Annual Parameters'!$B$33:$W$143,3,FALSE)/VLOOKUP('Source VoT'!$L31,'Annual Parameters'!$B$33:$W$143,3,FALSE)</f>
        <v>8.4234376207507076</v>
      </c>
      <c r="J56" s="2887">
        <f>'Source VoT'!K31*1*VLOOKUP($B$15,'Annual Parameters'!$B$33:$W$143,21,FALSE)/VLOOKUP('Source VoT'!$M31,'Annual Parameters'!$B$33:$W$143,21,FALSE)*VLOOKUP($B$14,'Annual Parameters'!$B$33:$W$143,3,FALSE)/VLOOKUP('Source VoT'!$L31,'Annual Parameters'!$B$33:$W$143,3,FALSE)</f>
        <v>8.4234376207507076</v>
      </c>
      <c r="K56" s="1257">
        <f>'Source VoT'!K31*VLOOKUP($B$15,'Indirect tax correction'!$B$27:$I$127,7,FALSE)*VLOOKUP($B$15,'Annual Parameters'!$B$33:$W$143,21,FALSE)/VLOOKUP('Source VoT'!$M31,'Annual Parameters'!$B$33:$W$143,21,FALSE)*VLOOKUP($B$14,'Annual Parameters'!$B$33:$W$143,3,FALSE)/VLOOKUP('Source VoT'!$L31,'Annual Parameters'!$B$33:$W$143,3,FALSE)</f>
        <v>10.023890768693342</v>
      </c>
    </row>
    <row r="57" spans="4:12" ht="13.5" customHeight="1">
      <c r="H57" s="2882" t="s">
        <v>1783</v>
      </c>
      <c r="I57" s="51">
        <f>'Source VoT'!K32*VLOOKUP($B$15,'Indirect tax correction'!$B$27:$I$127,5,FALSE)*VLOOKUP($B$15,'Annual Parameters'!$B$33:$W$143,21,FALSE)/VLOOKUP('Source VoT'!$M32,'Annual Parameters'!$B$33:$W$143,21,FALSE)*VLOOKUP($B$14,'Annual Parameters'!$B$33:$W$143,3,FALSE)/VLOOKUP('Source VoT'!$L32,'Annual Parameters'!$B$33:$W$143,3,FALSE)</f>
        <v>13.61823409699428</v>
      </c>
      <c r="J57" s="2887">
        <f>'Source VoT'!K32*1*VLOOKUP($B$15,'Annual Parameters'!$B$33:$W$143,21,FALSE)/VLOOKUP('Source VoT'!$M32,'Annual Parameters'!$B$33:$W$143,21,FALSE)*VLOOKUP($B$14,'Annual Parameters'!$B$33:$W$143,3,FALSE)/VLOOKUP('Source VoT'!$L32,'Annual Parameters'!$B$33:$W$143,3,FALSE)</f>
        <v>13.61823409699428</v>
      </c>
      <c r="K57" s="1257">
        <f>'Source VoT'!K32*VLOOKUP($B$15,'Indirect tax correction'!$B$27:$I$127,7,FALSE)*VLOOKUP($B$15,'Annual Parameters'!$B$33:$W$143,21,FALSE)/VLOOKUP('Source VoT'!$M32,'Annual Parameters'!$B$33:$W$143,21,FALSE)*VLOOKUP($B$14,'Annual Parameters'!$B$33:$W$143,3,FALSE)/VLOOKUP('Source VoT'!$L32,'Annual Parameters'!$B$33:$W$143,3,FALSE)</f>
        <v>16.205698575423195</v>
      </c>
    </row>
    <row r="58" spans="4:12" ht="13.5" customHeight="1">
      <c r="H58" s="2882" t="s">
        <v>1784</v>
      </c>
      <c r="I58" s="51">
        <f>'Source VoT'!K33*VLOOKUP($B$15,'Indirect tax correction'!$B$27:$I$127,5,FALSE)*VLOOKUP($B$15,'Annual Parameters'!$B$33:$W$143,21,FALSE)/VLOOKUP('Source VoT'!$M33,'Annual Parameters'!$B$33:$W$143,21,FALSE)*VLOOKUP($B$14,'Annual Parameters'!$B$33:$W$143,3,FALSE)/VLOOKUP('Source VoT'!$L33,'Annual Parameters'!$B$33:$W$143,3,FALSE)</f>
        <v>23.718518699064983</v>
      </c>
      <c r="J58" s="2887">
        <f>'Source VoT'!K33*1*VLOOKUP($B$15,'Annual Parameters'!$B$33:$W$143,21,FALSE)/VLOOKUP('Source VoT'!$M33,'Annual Parameters'!$B$33:$W$143,21,FALSE)*VLOOKUP($B$14,'Annual Parameters'!$B$33:$W$143,3,FALSE)/VLOOKUP('Source VoT'!$L33,'Annual Parameters'!$B$33:$W$143,3,FALSE)</f>
        <v>23.718518699064983</v>
      </c>
      <c r="K58" s="1257">
        <f>'Source VoT'!K33*VLOOKUP($B$15,'Indirect tax correction'!$B$27:$I$127,7,FALSE)*VLOOKUP($B$15,'Annual Parameters'!$B$33:$W$143,21,FALSE)/VLOOKUP('Source VoT'!$M33,'Annual Parameters'!$B$33:$W$143,21,FALSE)*VLOOKUP($B$14,'Annual Parameters'!$B$33:$W$143,3,FALSE)/VLOOKUP('Source VoT'!$L33,'Annual Parameters'!$B$33:$W$143,3,FALSE)</f>
        <v>28.225037251887329</v>
      </c>
    </row>
    <row r="59" spans="4:12" ht="13.5" customHeight="1" thickBot="1">
      <c r="H59" s="2883" t="s">
        <v>1785</v>
      </c>
      <c r="I59" s="1617">
        <f>'Source VoT'!K34*VLOOKUP($B$15,'Indirect tax correction'!$B$27:$I$127,5,FALSE)*VLOOKUP($B$15,'Annual Parameters'!$B$33:$W$143,21,FALSE)/VLOOKUP('Source VoT'!$M34,'Annual Parameters'!$B$33:$W$143,21,FALSE)*VLOOKUP($B$14,'Annual Parameters'!$B$33:$W$143,3,FALSE)/VLOOKUP('Source VoT'!$L34,'Annual Parameters'!$B$33:$W$143,3,FALSE)</f>
        <v>34.216271834096993</v>
      </c>
      <c r="J59" s="2888">
        <f>'Source VoT'!K34*1*VLOOKUP($B$15,'Annual Parameters'!$B$33:$W$143,21,FALSE)/VLOOKUP('Source VoT'!$M34,'Annual Parameters'!$B$33:$W$143,21,FALSE)*VLOOKUP($B$14,'Annual Parameters'!$B$33:$W$143,3,FALSE)/VLOOKUP('Source VoT'!$L34,'Annual Parameters'!$B$33:$W$143,3,FALSE)</f>
        <v>34.216271834096993</v>
      </c>
      <c r="K59" s="1617">
        <f>'Source VoT'!K34*VLOOKUP($B$15,'Indirect tax correction'!$B$27:$I$127,7,FALSE)*VLOOKUP($B$15,'Annual Parameters'!$B$33:$W$143,21,FALSE)/VLOOKUP('Source VoT'!$M34,'Annual Parameters'!$B$33:$W$143,21,FALSE)*VLOOKUP($B$14,'Annual Parameters'!$B$33:$W$143,3,FALSE)/VLOOKUP('Source VoT'!$L34,'Annual Parameters'!$B$33:$W$143,3,FALSE)</f>
        <v>40.717363482575422</v>
      </c>
    </row>
    <row r="60" spans="4:12" ht="13.5" customHeight="1" thickTop="1"/>
    <row r="61" spans="4:12" ht="13.5" customHeight="1"/>
    <row r="62" spans="4:12" ht="13.5" customHeight="1"/>
    <row r="63" spans="4:12" ht="13.5" customHeight="1"/>
    <row r="64" spans="4:12" ht="13.5" customHeight="1"/>
    <row r="65" spans="9:11" ht="13.5" customHeight="1"/>
    <row r="66" spans="9:11" ht="13.5" customHeight="1"/>
    <row r="67" spans="9:11" ht="13.5" customHeight="1"/>
    <row r="68" spans="9:11" ht="13.5" customHeight="1"/>
    <row r="69" spans="9:11" ht="13.5" customHeight="1"/>
    <row r="70" spans="9:11" ht="13.5" customHeight="1"/>
    <row r="71" spans="9:11" ht="13.5" customHeight="1"/>
    <row r="72" spans="9:11" ht="13.5" customHeight="1">
      <c r="I72" s="3233"/>
      <c r="J72" s="3233"/>
      <c r="K72" s="3233"/>
    </row>
    <row r="73" spans="9:11" ht="13.5" customHeight="1">
      <c r="I73" s="3233"/>
      <c r="J73" s="3233"/>
      <c r="K73" s="3233"/>
    </row>
    <row r="74" spans="9:11" ht="13.5" customHeight="1">
      <c r="I74" s="3233"/>
      <c r="J74" s="3233"/>
      <c r="K74" s="3233"/>
    </row>
    <row r="75" spans="9:11" ht="13.5" customHeight="1">
      <c r="I75" s="3233"/>
      <c r="J75" s="3233"/>
      <c r="K75" s="3233"/>
    </row>
    <row r="76" spans="9:11" ht="13.5" customHeight="1">
      <c r="I76" s="3233"/>
      <c r="J76" s="3233"/>
      <c r="K76" s="3233"/>
    </row>
    <row r="77" spans="9:11" ht="13.5" customHeight="1">
      <c r="I77" s="3233"/>
      <c r="J77" s="3233"/>
      <c r="K77" s="3233"/>
    </row>
    <row r="78" spans="9:11" ht="13.5" customHeight="1">
      <c r="I78" s="3233"/>
      <c r="J78" s="3233"/>
      <c r="K78" s="3233"/>
    </row>
    <row r="79" spans="9:11" ht="13.5" customHeight="1">
      <c r="I79" s="3233"/>
      <c r="J79" s="3233"/>
      <c r="K79" s="3233"/>
    </row>
    <row r="80" spans="9:11"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sheetData>
  <sheetProtection sheet="1" objects="1" scenarios="1"/>
  <mergeCells count="11">
    <mergeCell ref="E6:S6"/>
    <mergeCell ref="A12:B12"/>
    <mergeCell ref="A18:B18"/>
    <mergeCell ref="A19:B19"/>
    <mergeCell ref="A11:B11"/>
    <mergeCell ref="A10:B10"/>
    <mergeCell ref="A1:B1"/>
    <mergeCell ref="A7:B7"/>
    <mergeCell ref="A8:B8"/>
    <mergeCell ref="A21:B21"/>
    <mergeCell ref="A20:B20"/>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I9" r:id="rId3"/>
  </hyperlinks>
  <pageMargins left="0.75" right="0.75" top="1" bottom="1" header="0.5" footer="0.5"/>
  <pageSetup paperSize="9" scale="54" fitToHeight="0" orientation="landscape" r:id="rId4"/>
  <headerFooter alignWithMargins="0"/>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8000"/>
    <pageSetUpPr fitToPage="1"/>
  </sheetPr>
  <dimension ref="A1:BH180"/>
  <sheetViews>
    <sheetView showGridLines="0" zoomScale="70" zoomScaleNormal="70" zoomScaleSheetLayoutView="25" workbookViewId="0">
      <selection activeCell="G27" sqref="G27"/>
    </sheetView>
  </sheetViews>
  <sheetFormatPr defaultColWidth="12.88671875" defaultRowHeight="13.2"/>
  <cols>
    <col min="1" max="16384" width="12.88671875" style="33"/>
  </cols>
  <sheetData>
    <row r="1" spans="1:60" ht="54.9" customHeight="1">
      <c r="A1" s="3569"/>
      <c r="B1" s="3569"/>
      <c r="C1" s="112"/>
      <c r="D1" s="3569"/>
      <c r="E1" s="3569"/>
      <c r="F1" s="3569"/>
      <c r="G1" s="3569"/>
      <c r="H1" s="3569"/>
      <c r="I1" s="3569"/>
      <c r="J1" s="3569"/>
      <c r="K1" s="3569"/>
      <c r="L1" s="3569"/>
      <c r="M1" s="3569"/>
      <c r="N1" s="3569"/>
      <c r="O1" s="3569"/>
      <c r="P1" s="3569"/>
      <c r="Q1" s="3569"/>
      <c r="R1" s="3569"/>
      <c r="S1" s="3569"/>
      <c r="T1" s="3569"/>
      <c r="U1" s="3569"/>
      <c r="V1" s="3569"/>
      <c r="W1" s="3569"/>
      <c r="X1" s="3569"/>
      <c r="Y1" s="3569"/>
      <c r="Z1" s="3569"/>
      <c r="AA1" s="3569"/>
      <c r="AB1" s="3569"/>
      <c r="AC1" s="3569"/>
      <c r="AD1" s="3569"/>
      <c r="AE1" s="3569"/>
      <c r="AF1" s="3569"/>
      <c r="AG1" s="3569"/>
      <c r="AH1" s="3569"/>
      <c r="AI1" s="3569"/>
      <c r="AJ1" s="3569"/>
      <c r="AK1" s="3569"/>
      <c r="AL1" s="3569"/>
      <c r="AM1" s="3569"/>
      <c r="AN1" s="3569"/>
      <c r="AO1" s="3569"/>
      <c r="AP1" s="3569"/>
      <c r="AQ1" s="3569"/>
      <c r="AR1" s="3569"/>
      <c r="AS1" s="3569"/>
      <c r="AT1" s="3569"/>
      <c r="AU1" s="3569"/>
      <c r="AV1" s="3569"/>
      <c r="AW1" s="3569"/>
      <c r="AX1" s="3569"/>
      <c r="AY1" s="3569"/>
    </row>
    <row r="2" spans="1:60" ht="5.0999999999999996" customHeight="1">
      <c r="C2" s="111"/>
    </row>
    <row r="3" spans="1:60" s="70" customFormat="1" ht="20.100000000000001" customHeight="1">
      <c r="A3" s="83" t="s">
        <v>2228</v>
      </c>
      <c r="B3" s="83"/>
      <c r="C3" s="83"/>
      <c r="D3" s="83"/>
      <c r="E3" s="83"/>
      <c r="F3" s="83"/>
      <c r="G3" s="84"/>
      <c r="H3" s="83"/>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t="s">
        <v>1442</v>
      </c>
      <c r="AL3" s="84"/>
      <c r="AM3" s="84"/>
      <c r="AN3" s="84"/>
      <c r="AO3" s="84"/>
      <c r="AP3" s="84"/>
      <c r="AQ3" s="84"/>
      <c r="AR3" s="84"/>
      <c r="AS3" s="84"/>
      <c r="AT3" s="84"/>
      <c r="AU3" s="84"/>
      <c r="AV3" s="84"/>
      <c r="AW3" s="84"/>
      <c r="AX3" s="84"/>
      <c r="AY3" s="84"/>
      <c r="BC3" s="84"/>
      <c r="BD3" s="84"/>
      <c r="BE3" s="84"/>
      <c r="BF3" s="84"/>
      <c r="BG3" s="46"/>
      <c r="BH3" s="71"/>
    </row>
    <row r="4" spans="1:60" s="70" customFormat="1" ht="20.100000000000001" customHeight="1" thickBot="1">
      <c r="A4" s="109" t="s">
        <v>47</v>
      </c>
      <c r="B4" s="109"/>
      <c r="C4" s="109"/>
      <c r="D4" s="109"/>
      <c r="E4" s="109"/>
      <c r="F4" s="109"/>
      <c r="G4" s="110"/>
      <c r="H4" s="109"/>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BC4" s="84"/>
      <c r="BD4" s="84"/>
      <c r="BE4" s="84"/>
      <c r="BF4" s="84"/>
      <c r="BG4" s="46"/>
      <c r="BH4" s="71"/>
    </row>
    <row r="5" spans="1:60" s="38" customFormat="1" ht="9.9" customHeight="1" thickTop="1" thickBot="1">
      <c r="B5" s="85"/>
      <c r="C5" s="85"/>
      <c r="D5" s="86"/>
      <c r="E5" s="85"/>
      <c r="F5" s="85"/>
      <c r="G5" s="86"/>
      <c r="H5" s="85"/>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BC5" s="26"/>
      <c r="BD5" s="26"/>
      <c r="BE5" s="26"/>
      <c r="BF5" s="26"/>
      <c r="BG5" s="31"/>
      <c r="BH5" s="87"/>
    </row>
    <row r="6" spans="1:60" s="38" customFormat="1" ht="13.5" customHeight="1" thickTop="1">
      <c r="A6" s="169" t="s">
        <v>10</v>
      </c>
      <c r="B6" s="169"/>
      <c r="E6" s="3626" t="s">
        <v>255</v>
      </c>
      <c r="F6" s="3656"/>
      <c r="G6" s="3656"/>
      <c r="H6" s="3656"/>
      <c r="I6" s="3656"/>
      <c r="J6" s="3656"/>
      <c r="K6" s="3656"/>
      <c r="L6" s="3656"/>
      <c r="M6" s="3656"/>
      <c r="N6" s="3656"/>
      <c r="O6" s="3656"/>
      <c r="P6" s="3656"/>
      <c r="Q6" s="3656"/>
      <c r="R6" s="3656"/>
      <c r="S6" s="3657"/>
      <c r="T6" s="19"/>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BC6" s="26"/>
      <c r="BD6" s="26"/>
      <c r="BE6" s="26"/>
      <c r="BF6" s="26"/>
      <c r="BG6" s="31"/>
      <c r="BH6" s="87"/>
    </row>
    <row r="7" spans="1:60" s="38" customFormat="1" ht="13.5" customHeight="1">
      <c r="A7" s="3644" t="str">
        <f>Audit!A12</f>
        <v>May 2019 v1.12</v>
      </c>
      <c r="B7" s="3645"/>
      <c r="E7" s="113" t="s">
        <v>601</v>
      </c>
      <c r="F7" s="27"/>
      <c r="G7" s="27"/>
      <c r="H7" s="27"/>
      <c r="I7" s="27"/>
      <c r="J7" s="27"/>
      <c r="K7" s="27"/>
      <c r="L7" s="27"/>
      <c r="M7" s="27"/>
      <c r="N7" s="27"/>
      <c r="O7" s="27"/>
      <c r="P7" s="27"/>
      <c r="Q7" s="27"/>
      <c r="R7" s="27"/>
      <c r="S7" s="55"/>
      <c r="T7" s="90"/>
      <c r="U7" s="86"/>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BC7" s="26"/>
      <c r="BD7" s="26"/>
      <c r="BE7" s="26"/>
      <c r="BF7" s="26"/>
      <c r="BG7" s="31"/>
      <c r="BH7" s="87"/>
    </row>
    <row r="8" spans="1:60" s="38" customFormat="1" ht="13.5" customHeight="1">
      <c r="A8" s="3630">
        <f>Audit!C12</f>
        <v>43586</v>
      </c>
      <c r="B8" s="3631"/>
      <c r="D8" s="147"/>
      <c r="E8" s="113" t="s">
        <v>1495</v>
      </c>
      <c r="G8" s="27"/>
      <c r="H8" s="27"/>
      <c r="I8" s="27"/>
      <c r="J8" s="27"/>
      <c r="K8" s="27"/>
      <c r="L8" s="27"/>
      <c r="M8" s="27"/>
      <c r="N8" s="27"/>
      <c r="O8" s="27"/>
      <c r="P8" s="27"/>
      <c r="Q8" s="27"/>
      <c r="R8" s="27"/>
      <c r="S8" s="55"/>
      <c r="T8" s="90"/>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BC8" s="26"/>
      <c r="BD8" s="26"/>
      <c r="BE8" s="26"/>
      <c r="BF8" s="26"/>
      <c r="BG8" s="31"/>
      <c r="BH8" s="87"/>
    </row>
    <row r="9" spans="1:60" s="38" customFormat="1" ht="13.5" customHeight="1" thickBot="1">
      <c r="A9" s="172" t="s">
        <v>14</v>
      </c>
      <c r="B9" s="173"/>
      <c r="D9" s="147"/>
      <c r="E9" s="38" t="s">
        <v>1496</v>
      </c>
      <c r="F9" s="27"/>
      <c r="G9" s="27"/>
      <c r="H9" s="27"/>
      <c r="I9" s="27"/>
      <c r="J9" s="27"/>
      <c r="K9" s="27"/>
      <c r="L9" s="27"/>
      <c r="M9" s="27"/>
      <c r="N9" s="27"/>
      <c r="O9" s="27"/>
      <c r="P9" s="27"/>
      <c r="Q9" s="27"/>
      <c r="R9" s="27"/>
      <c r="S9" s="55"/>
      <c r="T9" s="90"/>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BE9" s="26"/>
      <c r="BF9" s="26"/>
      <c r="BG9" s="31"/>
      <c r="BH9" s="87"/>
    </row>
    <row r="10" spans="1:60" s="38" customFormat="1" ht="13.5" customHeight="1" thickBot="1">
      <c r="A10" s="3570" t="s">
        <v>1306</v>
      </c>
      <c r="B10" s="3610"/>
      <c r="D10" s="147"/>
      <c r="G10" s="26"/>
      <c r="H10" s="26"/>
      <c r="I10" s="26"/>
      <c r="J10" s="26"/>
      <c r="K10" s="26"/>
      <c r="L10" s="26"/>
      <c r="M10" s="26"/>
      <c r="N10" s="26"/>
      <c r="O10" s="26"/>
      <c r="P10" s="26"/>
      <c r="Q10" s="26"/>
      <c r="R10" s="26"/>
      <c r="S10" s="147"/>
      <c r="T10" s="113"/>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BE10" s="26"/>
      <c r="BF10" s="26"/>
      <c r="BG10" s="31"/>
      <c r="BH10" s="87"/>
    </row>
    <row r="11" spans="1:60" s="38" customFormat="1" ht="13.5" customHeight="1" thickBot="1">
      <c r="A11" s="3570" t="s">
        <v>2216</v>
      </c>
      <c r="B11" s="3581"/>
      <c r="D11" s="147"/>
      <c r="E11" s="38" t="s">
        <v>1344</v>
      </c>
      <c r="F11" s="68"/>
      <c r="G11" s="68"/>
      <c r="H11" s="68"/>
      <c r="I11" s="68"/>
      <c r="J11" s="68"/>
      <c r="K11" s="68"/>
      <c r="L11" s="68"/>
      <c r="M11" s="68"/>
      <c r="N11" s="68"/>
      <c r="O11" s="68"/>
      <c r="P11" s="68"/>
      <c r="Q11" s="68"/>
      <c r="R11" s="68"/>
      <c r="S11" s="107"/>
      <c r="T11" s="44"/>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BC11" s="26"/>
      <c r="BD11" s="26"/>
      <c r="BE11" s="26"/>
      <c r="BF11" s="26"/>
      <c r="BG11" s="31"/>
      <c r="BH11" s="87"/>
    </row>
    <row r="12" spans="1:60" s="38" customFormat="1" ht="13.5" customHeight="1" thickBot="1">
      <c r="A12" s="3570" t="s">
        <v>2217</v>
      </c>
      <c r="B12" s="3581"/>
      <c r="D12" s="147"/>
      <c r="F12" s="27"/>
      <c r="G12" s="27"/>
      <c r="H12" s="27"/>
      <c r="I12" s="27"/>
      <c r="J12" s="27"/>
      <c r="K12" s="27"/>
      <c r="L12" s="27"/>
      <c r="M12" s="27"/>
      <c r="N12" s="27"/>
      <c r="O12" s="27"/>
      <c r="P12" s="27"/>
      <c r="Q12" s="27"/>
      <c r="R12" s="27"/>
      <c r="S12" s="55"/>
      <c r="T12" s="90"/>
      <c r="U12" s="97"/>
      <c r="V12" s="97"/>
      <c r="W12" s="97"/>
      <c r="X12" s="97"/>
      <c r="Y12" s="97"/>
      <c r="Z12" s="97"/>
      <c r="AA12" s="97"/>
      <c r="AB12" s="97"/>
      <c r="AC12" s="97"/>
      <c r="AD12" s="97"/>
      <c r="AE12" s="97"/>
      <c r="AF12" s="97"/>
      <c r="AG12" s="97"/>
      <c r="AH12" s="97"/>
      <c r="AI12" s="97"/>
      <c r="AJ12" s="97"/>
      <c r="AK12" s="97"/>
      <c r="AL12" s="97"/>
      <c r="AM12" s="97"/>
      <c r="AN12" s="97"/>
      <c r="AO12" s="97"/>
      <c r="AP12" s="86"/>
      <c r="AQ12" s="86"/>
      <c r="AR12" s="86"/>
      <c r="AS12" s="86"/>
      <c r="AT12" s="86"/>
      <c r="AU12" s="86"/>
      <c r="AV12" s="86"/>
      <c r="AW12" s="86"/>
      <c r="AX12" s="86"/>
      <c r="AY12" s="86"/>
      <c r="BC12" s="26"/>
      <c r="BD12" s="26"/>
      <c r="BE12" s="26"/>
      <c r="BF12" s="26"/>
      <c r="BG12" s="31"/>
      <c r="BH12" s="87"/>
    </row>
    <row r="13" spans="1:60" ht="13.5" customHeight="1">
      <c r="A13" s="172" t="s">
        <v>252</v>
      </c>
      <c r="B13" s="194"/>
      <c r="D13" s="55"/>
      <c r="F13" s="27"/>
      <c r="G13" s="27"/>
      <c r="H13" s="27"/>
      <c r="I13" s="27"/>
      <c r="J13" s="27"/>
      <c r="K13" s="27"/>
      <c r="L13" s="27"/>
      <c r="M13" s="27"/>
      <c r="N13" s="27"/>
      <c r="O13" s="27"/>
      <c r="P13" s="27"/>
      <c r="Q13" s="27"/>
      <c r="R13" s="27"/>
      <c r="S13" s="55"/>
      <c r="T13" s="90"/>
      <c r="U13" s="26"/>
      <c r="V13" s="26"/>
      <c r="W13" s="26"/>
      <c r="X13" s="72"/>
      <c r="Y13" s="26"/>
      <c r="Z13" s="26"/>
      <c r="AA13" s="26"/>
      <c r="AB13" s="26"/>
      <c r="AC13" s="26"/>
      <c r="AD13" s="26"/>
      <c r="AE13" s="26"/>
      <c r="AF13" s="26"/>
      <c r="AG13" s="26"/>
      <c r="AH13" s="26"/>
      <c r="AI13" s="26"/>
      <c r="AJ13" s="26"/>
      <c r="AK13" s="56"/>
      <c r="AL13" s="72"/>
      <c r="AM13" s="72"/>
      <c r="AN13" s="31"/>
      <c r="AO13" s="26"/>
      <c r="BC13" s="72"/>
      <c r="BD13" s="72"/>
      <c r="BE13" s="72"/>
      <c r="BF13" s="96"/>
      <c r="BG13" s="31"/>
    </row>
    <row r="14" spans="1:60" ht="13.5" customHeight="1">
      <c r="A14" s="2452" t="s">
        <v>799</v>
      </c>
      <c r="B14" s="2474">
        <f>'User Parameters'!L13</f>
        <v>2010</v>
      </c>
      <c r="C14" s="29"/>
      <c r="D14" s="55"/>
      <c r="E14" s="113"/>
      <c r="F14" s="27"/>
      <c r="G14" s="27"/>
      <c r="H14" s="27"/>
      <c r="I14" s="27"/>
      <c r="J14" s="27"/>
      <c r="K14" s="27"/>
      <c r="L14" s="27"/>
      <c r="M14" s="27"/>
      <c r="N14" s="27"/>
      <c r="O14" s="27"/>
      <c r="P14" s="27"/>
      <c r="Q14" s="27"/>
      <c r="R14" s="27"/>
      <c r="S14" s="55"/>
      <c r="T14" s="90"/>
      <c r="U14" s="26"/>
      <c r="V14" s="26"/>
      <c r="W14" s="26"/>
      <c r="X14" s="72"/>
      <c r="Y14" s="31"/>
      <c r="Z14" s="26"/>
      <c r="AA14" s="26"/>
      <c r="AB14" s="26"/>
      <c r="AC14" s="26"/>
      <c r="AD14" s="26"/>
      <c r="AE14" s="26"/>
      <c r="AF14" s="26"/>
      <c r="AG14" s="26"/>
      <c r="AH14" s="26"/>
      <c r="AI14" s="26"/>
      <c r="AJ14" s="26"/>
      <c r="AK14" s="26"/>
      <c r="AL14" s="26"/>
      <c r="AM14" s="72"/>
      <c r="AN14" s="31"/>
      <c r="AO14" s="26"/>
      <c r="BA14" s="25"/>
      <c r="BC14" s="56"/>
      <c r="BD14" s="72"/>
      <c r="BE14" s="72"/>
      <c r="BF14" s="96"/>
      <c r="BG14" s="31"/>
    </row>
    <row r="15" spans="1:60" ht="13.5" customHeight="1">
      <c r="A15" s="2441" t="s">
        <v>751</v>
      </c>
      <c r="B15" s="2450">
        <f>'User Parameters'!L16</f>
        <v>2010</v>
      </c>
      <c r="C15" s="32"/>
      <c r="D15" s="55"/>
      <c r="F15" s="26"/>
      <c r="G15" s="26"/>
      <c r="H15" s="26"/>
      <c r="I15" s="26"/>
      <c r="J15" s="26"/>
      <c r="K15" s="26"/>
      <c r="L15" s="26"/>
      <c r="M15" s="26"/>
      <c r="N15" s="26"/>
      <c r="O15" s="26"/>
      <c r="P15" s="26"/>
      <c r="Q15" s="26"/>
      <c r="R15" s="26"/>
      <c r="S15" s="147"/>
      <c r="T15" s="113"/>
      <c r="U15" s="26"/>
      <c r="V15" s="26"/>
      <c r="W15" s="26"/>
      <c r="X15" s="72"/>
      <c r="Y15" s="31"/>
      <c r="Z15" s="26"/>
      <c r="AA15" s="26"/>
      <c r="AB15" s="26"/>
      <c r="AC15" s="26"/>
      <c r="AD15" s="26"/>
      <c r="AE15" s="26"/>
      <c r="AF15" s="26"/>
      <c r="AG15" s="26"/>
      <c r="AH15" s="26"/>
      <c r="AI15" s="26"/>
      <c r="AJ15" s="26"/>
      <c r="AK15" s="26"/>
      <c r="AL15" s="26"/>
      <c r="AM15" s="72"/>
      <c r="AN15" s="31"/>
      <c r="AO15" s="26"/>
      <c r="BA15" s="25"/>
      <c r="BC15" s="26"/>
      <c r="BD15" s="26"/>
      <c r="BE15" s="26"/>
      <c r="BF15" s="26"/>
      <c r="BG15" s="26"/>
    </row>
    <row r="16" spans="1:60" ht="13.5" customHeight="1">
      <c r="A16" s="2441"/>
      <c r="B16" s="2442"/>
      <c r="C16" s="32"/>
      <c r="D16" s="55"/>
      <c r="F16" s="26"/>
      <c r="G16" s="26"/>
      <c r="H16" s="26"/>
      <c r="I16" s="26"/>
      <c r="J16" s="26"/>
      <c r="K16" s="26"/>
      <c r="L16" s="26"/>
      <c r="M16" s="26"/>
      <c r="N16" s="26"/>
      <c r="O16" s="26"/>
      <c r="P16" s="26"/>
      <c r="Q16" s="26"/>
      <c r="R16" s="26"/>
      <c r="S16" s="147"/>
      <c r="T16" s="113"/>
      <c r="U16" s="26"/>
      <c r="V16" s="26"/>
      <c r="W16" s="26"/>
      <c r="X16" s="72"/>
      <c r="Y16" s="31"/>
      <c r="Z16" s="26"/>
      <c r="AA16" s="26"/>
      <c r="AB16" s="26"/>
      <c r="AC16" s="26"/>
      <c r="AD16" s="26"/>
      <c r="AE16" s="26"/>
      <c r="AF16" s="26"/>
      <c r="AG16" s="26"/>
      <c r="AH16" s="26"/>
      <c r="AI16" s="26"/>
      <c r="AJ16" s="26"/>
      <c r="AK16" s="26"/>
      <c r="AL16" s="26"/>
      <c r="AM16" s="72"/>
      <c r="AN16" s="31"/>
      <c r="AO16" s="26"/>
      <c r="BA16" s="25"/>
      <c r="BC16" s="26"/>
      <c r="BD16" s="26"/>
      <c r="BE16" s="26"/>
      <c r="BF16" s="26"/>
      <c r="BG16" s="26"/>
    </row>
    <row r="17" spans="1:60" ht="13.5" customHeight="1" thickBot="1">
      <c r="A17" s="169" t="s">
        <v>253</v>
      </c>
      <c r="B17" s="170"/>
      <c r="E17" s="1359"/>
      <c r="F17" s="27"/>
      <c r="G17" s="27"/>
      <c r="H17" s="27"/>
      <c r="I17" s="27"/>
      <c r="J17" s="27"/>
      <c r="K17" s="27"/>
      <c r="L17" s="27"/>
      <c r="M17" s="27"/>
      <c r="N17" s="27"/>
      <c r="O17" s="27"/>
      <c r="P17" s="27"/>
      <c r="Q17" s="27"/>
      <c r="R17" s="27"/>
      <c r="S17" s="55"/>
      <c r="T17" s="90"/>
      <c r="U17" s="26"/>
      <c r="V17" s="26"/>
      <c r="W17" s="26"/>
      <c r="X17" s="72"/>
      <c r="Y17" s="31"/>
      <c r="Z17" s="26"/>
      <c r="AA17" s="26"/>
      <c r="AB17" s="26"/>
      <c r="AC17" s="26"/>
      <c r="AD17" s="26"/>
      <c r="AE17" s="26"/>
      <c r="AF17" s="26"/>
      <c r="AG17" s="26"/>
      <c r="AH17" s="26"/>
      <c r="AI17" s="26"/>
      <c r="AJ17" s="26"/>
      <c r="AK17" s="26"/>
      <c r="AL17" s="26"/>
      <c r="AM17" s="72"/>
      <c r="AN17" s="31"/>
      <c r="AO17" s="26"/>
      <c r="BA17" s="25"/>
    </row>
    <row r="18" spans="1:60" ht="13.5" customHeight="1" thickBot="1">
      <c r="A18" s="3570" t="s">
        <v>600</v>
      </c>
      <c r="B18" s="3574"/>
      <c r="D18" s="55"/>
      <c r="F18" s="27"/>
      <c r="G18" s="27"/>
      <c r="H18" s="27"/>
      <c r="I18" s="27"/>
      <c r="J18" s="27"/>
      <c r="K18" s="27"/>
      <c r="L18" s="27"/>
      <c r="M18" s="27"/>
      <c r="N18" s="27"/>
      <c r="O18" s="27"/>
      <c r="P18" s="27"/>
      <c r="Q18" s="27"/>
      <c r="R18" s="27"/>
      <c r="S18" s="55"/>
      <c r="T18" s="90"/>
      <c r="U18" s="26"/>
      <c r="V18" s="26"/>
      <c r="W18" s="26"/>
      <c r="X18" s="72"/>
      <c r="Y18" s="31"/>
      <c r="Z18" s="26"/>
      <c r="AA18" s="26"/>
      <c r="AB18" s="26"/>
      <c r="AC18" s="26"/>
      <c r="AD18" s="26"/>
      <c r="AE18" s="26"/>
      <c r="AF18" s="26"/>
      <c r="AG18" s="26"/>
      <c r="AH18" s="26"/>
      <c r="AI18" s="26"/>
      <c r="AJ18" s="26"/>
      <c r="AK18" s="26"/>
      <c r="AL18" s="26"/>
      <c r="AM18" s="72"/>
      <c r="AN18" s="31"/>
      <c r="AO18" s="26"/>
      <c r="BA18" s="25"/>
    </row>
    <row r="19" spans="1:60" ht="13.5" customHeight="1" thickBot="1">
      <c r="A19" s="3570" t="s">
        <v>797</v>
      </c>
      <c r="B19" s="3574"/>
      <c r="E19" s="113" t="s">
        <v>2354</v>
      </c>
      <c r="F19" s="27"/>
      <c r="G19" s="27"/>
      <c r="H19" s="27"/>
      <c r="I19" s="27"/>
      <c r="J19" s="27"/>
      <c r="K19" s="27"/>
      <c r="L19" s="27"/>
      <c r="M19" s="27"/>
      <c r="N19" s="27"/>
      <c r="O19" s="27"/>
      <c r="P19" s="27"/>
      <c r="Q19" s="27"/>
      <c r="R19" s="27"/>
      <c r="S19" s="55"/>
      <c r="T19" s="90"/>
      <c r="U19" s="26"/>
      <c r="V19" s="26"/>
      <c r="W19" s="26"/>
      <c r="X19" s="72"/>
      <c r="Y19" s="31"/>
      <c r="Z19" s="26"/>
      <c r="AA19" s="26"/>
      <c r="AB19" s="26"/>
      <c r="AC19" s="26"/>
      <c r="AD19" s="26"/>
      <c r="AE19" s="26"/>
      <c r="AF19" s="26"/>
      <c r="AG19" s="26"/>
      <c r="AH19" s="26"/>
      <c r="AI19" s="26"/>
      <c r="AJ19" s="26"/>
      <c r="AK19" s="26"/>
      <c r="AL19" s="26"/>
      <c r="AM19" s="72"/>
      <c r="AN19" s="31"/>
      <c r="AO19" s="26"/>
      <c r="BA19" s="25"/>
    </row>
    <row r="20" spans="1:60" ht="13.5" customHeight="1" thickBot="1">
      <c r="A20" s="3570" t="s">
        <v>798</v>
      </c>
      <c r="B20" s="3574"/>
      <c r="D20" s="55"/>
      <c r="E20" s="92" t="str">
        <f>'Source VoT'!E20</f>
        <v>TAG1: Unit 3.5.6 (Tables 1 and 2)</v>
      </c>
      <c r="F20" s="23"/>
      <c r="G20" s="23"/>
      <c r="H20" s="23"/>
      <c r="I20" s="23"/>
      <c r="J20" s="23"/>
      <c r="K20" s="23"/>
      <c r="L20" s="23"/>
      <c r="M20" s="23"/>
      <c r="N20" s="23"/>
      <c r="O20" s="23"/>
      <c r="P20" s="23"/>
      <c r="Q20" s="23"/>
      <c r="R20" s="23"/>
      <c r="S20" s="108"/>
      <c r="T20" s="91"/>
      <c r="U20" s="26"/>
      <c r="V20" s="26"/>
      <c r="W20" s="26"/>
      <c r="X20" s="72"/>
      <c r="Y20" s="31"/>
      <c r="Z20" s="26"/>
      <c r="AA20" s="26"/>
      <c r="AB20" s="26"/>
      <c r="AC20" s="26"/>
      <c r="AD20" s="26"/>
      <c r="AE20" s="26"/>
      <c r="AF20" s="26"/>
      <c r="AG20" s="26"/>
      <c r="AH20" s="26"/>
      <c r="AI20" s="26"/>
      <c r="AJ20" s="26"/>
      <c r="AK20" s="26"/>
      <c r="AL20" s="26"/>
      <c r="AM20" s="72"/>
      <c r="AN20" s="31"/>
      <c r="AO20" s="26"/>
      <c r="AZ20" s="2875"/>
      <c r="BA20" s="2875"/>
      <c r="BB20" s="2875"/>
      <c r="BC20" s="2875"/>
      <c r="BD20" s="2875"/>
      <c r="BE20" s="2875"/>
      <c r="BF20" s="2875"/>
      <c r="BG20" s="2875"/>
      <c r="BH20" s="2875"/>
    </row>
    <row r="21" spans="1:60" ht="13.5" customHeight="1">
      <c r="A21" s="2424"/>
      <c r="B21" s="2424"/>
      <c r="E21" s="34"/>
      <c r="F21" s="29"/>
      <c r="G21" s="32"/>
      <c r="H21" s="26"/>
      <c r="I21" s="31"/>
      <c r="J21" s="26"/>
      <c r="K21" s="72"/>
      <c r="L21" s="72"/>
      <c r="M21" s="72"/>
      <c r="N21" s="72"/>
      <c r="O21" s="96"/>
      <c r="P21" s="31"/>
      <c r="Q21" s="26"/>
      <c r="R21" s="26"/>
      <c r="S21" s="26"/>
      <c r="T21" s="26"/>
      <c r="U21" s="26"/>
      <c r="V21" s="26"/>
      <c r="W21" s="26"/>
      <c r="X21" s="72"/>
      <c r="Y21" s="31"/>
      <c r="Z21" s="26"/>
      <c r="AA21" s="26"/>
      <c r="AB21" s="26"/>
      <c r="AC21" s="26"/>
      <c r="AD21" s="26"/>
      <c r="AE21" s="26"/>
      <c r="AF21" s="26"/>
      <c r="AG21" s="26"/>
      <c r="AH21" s="26"/>
      <c r="AI21" s="26"/>
      <c r="AJ21" s="26"/>
      <c r="AK21" s="26"/>
      <c r="AL21" s="26"/>
      <c r="AM21" s="72"/>
      <c r="AN21" s="31"/>
      <c r="AO21" s="26"/>
      <c r="AZ21" s="2875"/>
      <c r="BA21" s="2875"/>
      <c r="BB21" s="2875"/>
      <c r="BC21" s="2875"/>
      <c r="BD21" s="2875"/>
      <c r="BE21" s="2875"/>
      <c r="BF21" s="2875"/>
      <c r="BG21" s="2875"/>
      <c r="BH21" s="2875"/>
    </row>
    <row r="22" spans="1:60" ht="13.5" customHeight="1" thickBot="1">
      <c r="B22" s="27"/>
      <c r="C22" s="27"/>
      <c r="D22" s="69"/>
      <c r="E22" s="37"/>
      <c r="F22" s="37"/>
      <c r="G22" s="37"/>
      <c r="H22" s="37"/>
      <c r="I22" s="37"/>
      <c r="J22" s="37"/>
      <c r="K22" s="37"/>
      <c r="L22" s="37"/>
      <c r="M22" s="37"/>
      <c r="N22" s="37"/>
      <c r="O22" s="37"/>
      <c r="P22" s="37"/>
      <c r="Q22" s="37"/>
      <c r="R22" s="37"/>
      <c r="S22" s="37"/>
      <c r="T22" s="37"/>
      <c r="U22" s="37"/>
      <c r="V22" s="37"/>
      <c r="W22" s="37"/>
      <c r="X22" s="37"/>
      <c r="Y22" s="37"/>
      <c r="Z22" s="37"/>
      <c r="AA22" s="37"/>
      <c r="AB22" s="37"/>
      <c r="AC22" s="37"/>
      <c r="AD22" s="37"/>
      <c r="AE22" s="37"/>
      <c r="AF22" s="37"/>
      <c r="AG22" s="37"/>
      <c r="AH22" s="37"/>
      <c r="AI22" s="37"/>
      <c r="AJ22" s="37"/>
      <c r="AK22" s="37"/>
      <c r="AL22" s="37"/>
      <c r="AM22" s="37"/>
      <c r="AN22" s="37"/>
      <c r="AO22" s="37"/>
      <c r="AP22" s="37"/>
      <c r="AQ22" s="37"/>
      <c r="AR22" s="37"/>
      <c r="AS22" s="37"/>
      <c r="AT22" s="37"/>
      <c r="AU22" s="37"/>
      <c r="AV22" s="37"/>
      <c r="AW22" s="37"/>
      <c r="AX22" s="37"/>
      <c r="AY22" s="37"/>
      <c r="AZ22" s="2875"/>
      <c r="BA22" s="2875"/>
      <c r="BB22" s="2875"/>
      <c r="BC22" s="2875"/>
      <c r="BD22" s="2875"/>
      <c r="BE22" s="2875"/>
      <c r="BF22" s="2875"/>
      <c r="BG22" s="2875"/>
      <c r="BH22" s="2875"/>
    </row>
    <row r="23" spans="1:60" ht="13.5" customHeight="1" thickTop="1" thickBot="1">
      <c r="A23" s="89"/>
      <c r="B23" s="88" t="s">
        <v>1450</v>
      </c>
      <c r="C23" s="88"/>
      <c r="D23" s="3658" t="str">
        <f>CONCATENATE("Resource cost values, £ per hour (",B14," prices)")</f>
        <v>Resource cost values, £ per hour (2010 prices)</v>
      </c>
      <c r="E23" s="3659"/>
      <c r="F23" s="3659"/>
      <c r="G23" s="3659"/>
      <c r="H23" s="3659"/>
      <c r="I23" s="3659"/>
      <c r="J23" s="3659"/>
      <c r="K23" s="3659"/>
      <c r="L23" s="3659"/>
      <c r="M23" s="3659"/>
      <c r="N23" s="3659"/>
      <c r="O23" s="3659"/>
      <c r="P23" s="3659"/>
      <c r="Q23" s="3659"/>
      <c r="R23" s="3659"/>
      <c r="S23" s="3660"/>
      <c r="T23" s="3658" t="str">
        <f>"Perceived cost values, £ per hour (" &amp; B14 &amp; " prices)"</f>
        <v>Perceived cost values, £ per hour (2010 prices)</v>
      </c>
      <c r="U23" s="3659"/>
      <c r="V23" s="3659"/>
      <c r="W23" s="3659"/>
      <c r="X23" s="3659"/>
      <c r="Y23" s="3659"/>
      <c r="Z23" s="3659"/>
      <c r="AA23" s="3659"/>
      <c r="AB23" s="3659"/>
      <c r="AC23" s="3659"/>
      <c r="AD23" s="3659"/>
      <c r="AE23" s="3659"/>
      <c r="AF23" s="3659"/>
      <c r="AG23" s="3659"/>
      <c r="AH23" s="3659"/>
      <c r="AI23" s="3660"/>
      <c r="AJ23" s="3658" t="str">
        <f>"Market price values, £ per hour (" &amp; B14 &amp; " prices)"</f>
        <v>Market price values, £ per hour (2010 prices)</v>
      </c>
      <c r="AK23" s="3659"/>
      <c r="AL23" s="3659"/>
      <c r="AM23" s="3659"/>
      <c r="AN23" s="3659"/>
      <c r="AO23" s="3659"/>
      <c r="AP23" s="3659"/>
      <c r="AQ23" s="3659"/>
      <c r="AR23" s="3659"/>
      <c r="AS23" s="3659"/>
      <c r="AT23" s="3659"/>
      <c r="AU23" s="3659"/>
      <c r="AV23" s="3659"/>
      <c r="AW23" s="3659"/>
      <c r="AX23" s="3659"/>
      <c r="AY23" s="3660"/>
      <c r="AZ23" s="2875"/>
      <c r="BA23" s="2875"/>
      <c r="BB23" s="2875"/>
      <c r="BC23" s="2875"/>
      <c r="BD23" s="2875"/>
      <c r="BE23" s="2875"/>
      <c r="BF23" s="2875"/>
      <c r="BG23" s="2875"/>
      <c r="BH23" s="2875"/>
    </row>
    <row r="24" spans="1:60" ht="13.5" customHeight="1" thickTop="1">
      <c r="A24" s="99"/>
      <c r="B24" s="100"/>
      <c r="C24" s="100"/>
      <c r="D24" s="115" t="s">
        <v>1448</v>
      </c>
      <c r="E24" s="102"/>
      <c r="F24" s="103"/>
      <c r="G24" s="103"/>
      <c r="H24" s="103"/>
      <c r="I24" s="103"/>
      <c r="J24" s="103"/>
      <c r="K24" s="103"/>
      <c r="L24" s="103"/>
      <c r="M24" s="103"/>
      <c r="N24" s="103"/>
      <c r="O24" s="103"/>
      <c r="P24" s="103"/>
      <c r="Q24" s="67"/>
      <c r="R24" s="66" t="s">
        <v>254</v>
      </c>
      <c r="S24" s="67"/>
      <c r="T24" s="101" t="s">
        <v>1448</v>
      </c>
      <c r="U24" s="102"/>
      <c r="V24" s="103"/>
      <c r="W24" s="103"/>
      <c r="X24" s="103"/>
      <c r="Y24" s="103"/>
      <c r="Z24" s="103"/>
      <c r="AA24" s="103"/>
      <c r="AB24" s="103"/>
      <c r="AC24" s="103"/>
      <c r="AD24" s="103"/>
      <c r="AE24" s="103"/>
      <c r="AF24" s="103"/>
      <c r="AG24" s="67"/>
      <c r="AH24" s="66" t="s">
        <v>254</v>
      </c>
      <c r="AI24" s="67"/>
      <c r="AJ24" s="101" t="s">
        <v>1448</v>
      </c>
      <c r="AK24" s="102"/>
      <c r="AL24" s="103"/>
      <c r="AM24" s="103"/>
      <c r="AN24" s="103"/>
      <c r="AO24" s="103"/>
      <c r="AP24" s="103"/>
      <c r="AQ24" s="103"/>
      <c r="AR24" s="103"/>
      <c r="AS24" s="103"/>
      <c r="AT24" s="103"/>
      <c r="AU24" s="103"/>
      <c r="AV24" s="103"/>
      <c r="AW24" s="67"/>
      <c r="AX24" s="66" t="s">
        <v>254</v>
      </c>
      <c r="AY24" s="67"/>
      <c r="AZ24" s="2875"/>
      <c r="BA24" s="2875"/>
      <c r="BB24" s="2875"/>
      <c r="BC24" s="2875"/>
      <c r="BD24" s="2875"/>
      <c r="BE24" s="2875"/>
      <c r="BF24" s="2875"/>
      <c r="BG24" s="2875"/>
      <c r="BH24" s="2875"/>
    </row>
    <row r="25" spans="1:60" s="27" customFormat="1" ht="13.5" customHeight="1">
      <c r="A25" s="104"/>
      <c r="B25" s="105"/>
      <c r="C25" s="105"/>
      <c r="D25" s="116" t="s">
        <v>1439</v>
      </c>
      <c r="E25" s="3" t="s">
        <v>1439</v>
      </c>
      <c r="F25" s="3" t="s">
        <v>1431</v>
      </c>
      <c r="G25" s="3" t="s">
        <v>777</v>
      </c>
      <c r="H25" s="3" t="s">
        <v>793</v>
      </c>
      <c r="I25" s="3" t="s">
        <v>1434</v>
      </c>
      <c r="J25" s="3" t="s">
        <v>794</v>
      </c>
      <c r="K25" s="3" t="s">
        <v>794</v>
      </c>
      <c r="L25" s="3" t="s">
        <v>584</v>
      </c>
      <c r="M25" s="106" t="s">
        <v>795</v>
      </c>
      <c r="N25" s="3" t="s">
        <v>1415</v>
      </c>
      <c r="O25" s="3" t="s">
        <v>1416</v>
      </c>
      <c r="P25" s="3" t="s">
        <v>796</v>
      </c>
      <c r="Q25" s="4" t="s">
        <v>1422</v>
      </c>
      <c r="R25" s="3" t="s">
        <v>1418</v>
      </c>
      <c r="S25" s="4" t="s">
        <v>1419</v>
      </c>
      <c r="T25" s="3" t="s">
        <v>1439</v>
      </c>
      <c r="U25" s="3" t="s">
        <v>1439</v>
      </c>
      <c r="V25" s="3" t="s">
        <v>1431</v>
      </c>
      <c r="W25" s="3" t="s">
        <v>777</v>
      </c>
      <c r="X25" s="3" t="s">
        <v>793</v>
      </c>
      <c r="Y25" s="3" t="s">
        <v>1434</v>
      </c>
      <c r="Z25" s="3" t="s">
        <v>794</v>
      </c>
      <c r="AA25" s="3" t="s">
        <v>794</v>
      </c>
      <c r="AB25" s="3" t="s">
        <v>584</v>
      </c>
      <c r="AC25" s="106" t="s">
        <v>795</v>
      </c>
      <c r="AD25" s="3" t="s">
        <v>1415</v>
      </c>
      <c r="AE25" s="3" t="s">
        <v>1416</v>
      </c>
      <c r="AF25" s="3" t="s">
        <v>796</v>
      </c>
      <c r="AG25" s="4" t="s">
        <v>1422</v>
      </c>
      <c r="AH25" s="3" t="s">
        <v>1418</v>
      </c>
      <c r="AI25" s="4" t="s">
        <v>1419</v>
      </c>
      <c r="AJ25" s="3" t="s">
        <v>1439</v>
      </c>
      <c r="AK25" s="3" t="s">
        <v>1439</v>
      </c>
      <c r="AL25" s="3" t="s">
        <v>1431</v>
      </c>
      <c r="AM25" s="3" t="s">
        <v>777</v>
      </c>
      <c r="AN25" s="3" t="s">
        <v>793</v>
      </c>
      <c r="AO25" s="3" t="s">
        <v>1434</v>
      </c>
      <c r="AP25" s="3" t="s">
        <v>794</v>
      </c>
      <c r="AQ25" s="3" t="s">
        <v>794</v>
      </c>
      <c r="AR25" s="3" t="s">
        <v>584</v>
      </c>
      <c r="AS25" s="106" t="s">
        <v>795</v>
      </c>
      <c r="AT25" s="3" t="s">
        <v>1415</v>
      </c>
      <c r="AU25" s="3" t="s">
        <v>1416</v>
      </c>
      <c r="AV25" s="3" t="s">
        <v>796</v>
      </c>
      <c r="AW25" s="4" t="s">
        <v>1422</v>
      </c>
      <c r="AX25" s="3" t="s">
        <v>1418</v>
      </c>
      <c r="AY25" s="4" t="s">
        <v>1419</v>
      </c>
      <c r="AZ25" s="2875"/>
      <c r="BA25" s="2875"/>
      <c r="BB25" s="2875"/>
      <c r="BC25" s="2875"/>
      <c r="BD25" s="2875"/>
      <c r="BE25" s="2875"/>
      <c r="BF25" s="2875"/>
      <c r="BG25" s="2875"/>
      <c r="BH25" s="2875"/>
    </row>
    <row r="26" spans="1:60" s="27" customFormat="1" ht="13.5" customHeight="1">
      <c r="A26" s="104"/>
      <c r="B26" s="105"/>
      <c r="C26" s="105"/>
      <c r="D26" s="116" t="s">
        <v>790</v>
      </c>
      <c r="E26" s="3" t="s">
        <v>791</v>
      </c>
      <c r="F26" s="3" t="s">
        <v>792</v>
      </c>
      <c r="G26" s="3" t="s">
        <v>792</v>
      </c>
      <c r="H26" s="3" t="s">
        <v>790</v>
      </c>
      <c r="I26" s="3" t="s">
        <v>791</v>
      </c>
      <c r="J26" s="3" t="s">
        <v>790</v>
      </c>
      <c r="K26" s="3" t="s">
        <v>791</v>
      </c>
      <c r="L26" s="3" t="s">
        <v>791</v>
      </c>
      <c r="M26" s="3" t="s">
        <v>791</v>
      </c>
      <c r="N26" s="3"/>
      <c r="O26" s="3"/>
      <c r="P26" s="3" t="s">
        <v>790</v>
      </c>
      <c r="Q26" s="4"/>
      <c r="R26" s="3"/>
      <c r="S26" s="4"/>
      <c r="T26" s="3" t="s">
        <v>790</v>
      </c>
      <c r="U26" s="3" t="s">
        <v>791</v>
      </c>
      <c r="V26" s="3" t="s">
        <v>792</v>
      </c>
      <c r="W26" s="3" t="s">
        <v>792</v>
      </c>
      <c r="X26" s="3" t="s">
        <v>790</v>
      </c>
      <c r="Y26" s="3" t="s">
        <v>791</v>
      </c>
      <c r="Z26" s="3" t="s">
        <v>790</v>
      </c>
      <c r="AA26" s="3" t="s">
        <v>791</v>
      </c>
      <c r="AB26" s="3" t="s">
        <v>791</v>
      </c>
      <c r="AC26" s="3" t="s">
        <v>791</v>
      </c>
      <c r="AD26" s="3"/>
      <c r="AE26" s="3"/>
      <c r="AF26" s="3" t="s">
        <v>790</v>
      </c>
      <c r="AG26" s="4"/>
      <c r="AH26" s="3"/>
      <c r="AI26" s="4"/>
      <c r="AJ26" s="3" t="s">
        <v>790</v>
      </c>
      <c r="AK26" s="3" t="s">
        <v>791</v>
      </c>
      <c r="AL26" s="3" t="s">
        <v>792</v>
      </c>
      <c r="AM26" s="3" t="s">
        <v>792</v>
      </c>
      <c r="AN26" s="3" t="s">
        <v>790</v>
      </c>
      <c r="AO26" s="3" t="s">
        <v>791</v>
      </c>
      <c r="AP26" s="3" t="s">
        <v>790</v>
      </c>
      <c r="AQ26" s="3" t="s">
        <v>791</v>
      </c>
      <c r="AR26" s="3" t="s">
        <v>791</v>
      </c>
      <c r="AS26" s="3" t="s">
        <v>791</v>
      </c>
      <c r="AT26" s="3"/>
      <c r="AU26" s="3"/>
      <c r="AV26" s="3" t="s">
        <v>790</v>
      </c>
      <c r="AW26" s="4"/>
      <c r="AX26" s="3"/>
      <c r="AY26" s="4"/>
      <c r="AZ26" s="2875"/>
      <c r="BA26" s="2875"/>
      <c r="BB26" s="2875"/>
      <c r="BC26" s="2875"/>
      <c r="BD26" s="2875"/>
      <c r="BE26" s="2875"/>
      <c r="BF26" s="2875"/>
      <c r="BG26" s="2875"/>
      <c r="BH26" s="2875"/>
    </row>
    <row r="27" spans="1:60" ht="13.5" customHeight="1">
      <c r="A27" s="90"/>
      <c r="B27" s="711">
        <f>B15</f>
        <v>2010</v>
      </c>
      <c r="C27" s="32"/>
      <c r="D27" s="117">
        <f>'Source VoT'!$D$27*VLOOKUP($B27,'Indirect tax correction'!$B$27:$I$127,5,FALSE)*VLOOKUP($B27,'Annual Parameters'!$B$33:$W$143,21,FALSE)/VLOOKUP('Source VoT'!$F$27,'Annual Parameters'!$B$33:$W$143,21,FALSE)*VLOOKUP($B$14,'Annual Parameters'!$B$33:$W$143,3,FALSE)/VLOOKUP('Source VoT'!$E$27,'Annual Parameters'!$B$33:$W$143,3,FALSE)</f>
        <v>14.864388217189035</v>
      </c>
      <c r="E27" s="73">
        <f>'Source VoT'!$D$28*VLOOKUP($B27,'Indirect tax correction'!$B$27:$I$127,5,FALSE)*VLOOKUP($B27,'Annual Parameters'!$B$33:$W$143,21,FALSE)/VLOOKUP('Source VoT'!$F$27,'Annual Parameters'!$B$33:$W$143,21,FALSE)*VLOOKUP($B$14,'Annual Parameters'!$B$33:$W$143,3,FALSE)/VLOOKUP('Source VoT'!$E$27,'Annual Parameters'!$B$33:$W$143,3,FALSE)</f>
        <v>14.864388217189035</v>
      </c>
      <c r="F27" s="73">
        <f>'Source VoT'!$D$29*VLOOKUP($B27,'Indirect tax correction'!$B$27:$I$127,5,FALSE)*VLOOKUP($B27,'Annual Parameters'!$B$33:$W$143,21,FALSE)/VLOOKUP('Source VoT'!$F$27,'Annual Parameters'!$B$33:$W$143,21,FALSE)*VLOOKUP($B$14,'Annual Parameters'!$B$33:$W$143,3,FALSE)/VLOOKUP('Source VoT'!$E$27,'Annual Parameters'!$B$33:$W$143,3,FALSE)</f>
        <v>10.235279669137599</v>
      </c>
      <c r="G27" s="73">
        <f>'Source VoT'!$D$30*VLOOKUP($B27,'Indirect tax correction'!$B$27:$I$127,5,FALSE)*VLOOKUP($B27,'Annual Parameters'!$B$33:$W$143,21,FALSE)/VLOOKUP('Source VoT'!$F$27,'Annual Parameters'!$B$33:$W$143,21,FALSE)*VLOOKUP($B$14,'Annual Parameters'!$B$33:$W$143,3,FALSE)/VLOOKUP('Source VoT'!$E$27,'Annual Parameters'!$B$33:$W$143,3,FALSE)</f>
        <v>12.059623499053327</v>
      </c>
      <c r="H27" s="73">
        <f>'Source VoT'!$D$31*VLOOKUP($B27,'Indirect tax correction'!$B$27:$I$127,5,FALSE)*VLOOKUP($B27,'Annual Parameters'!$B$33:$W$143,21,FALSE)/VLOOKUP('Source VoT'!$F$27,'Annual Parameters'!$B$33:$W$143,21,FALSE)*VLOOKUP($B$14,'Annual Parameters'!$B$33:$W$143,3,FALSE)/VLOOKUP('Source VoT'!$E$27,'Annual Parameters'!$B$33:$W$143,3,FALSE)</f>
        <v>12.320244046184149</v>
      </c>
      <c r="I27" s="73">
        <f>'Source VoT'!$D$32*VLOOKUP($B27,'Indirect tax correction'!$B$27:$I$127,5,FALSE)*VLOOKUP($B27,'Annual Parameters'!$B$33:$W$143,21,FALSE)/VLOOKUP('Source VoT'!$F$27,'Annual Parameters'!$B$33:$W$143,21,FALSE)*VLOOKUP($B$14,'Annual Parameters'!$B$33:$W$143,3,FALSE)/VLOOKUP('Source VoT'!$E$27,'Annual Parameters'!$B$33:$W$143,3,FALSE)</f>
        <v>8.4234376207507076</v>
      </c>
      <c r="J27" s="73">
        <f>'Source VoT'!$D$33*VLOOKUP($B27,'Indirect tax correction'!$B$27:$I$127,5,FALSE)*VLOOKUP($B27,'Annual Parameters'!$B$33:$W$143,21,FALSE)/VLOOKUP('Source VoT'!$F$27,'Annual Parameters'!$B$33:$W$143,21,FALSE)*VLOOKUP($B$14,'Annual Parameters'!$B$33:$W$143,3,FALSE)/VLOOKUP('Source VoT'!$E$27,'Annual Parameters'!$B$33:$W$143,3,FALSE)</f>
        <v>10.886831036964644</v>
      </c>
      <c r="K27" s="73">
        <f>'Source VoT'!$D$34*VLOOKUP($B27,'Indirect tax correction'!$B$27:$I$127,5,FALSE)*VLOOKUP($B27,'Annual Parameters'!$B$33:$W$143,21,FALSE)/VLOOKUP('Source VoT'!$F$27,'Annual Parameters'!$B$33:$W$143,21,FALSE)*VLOOKUP($B$14,'Annual Parameters'!$B$33:$W$143,3,FALSE)/VLOOKUP('Source VoT'!$E$27,'Annual Parameters'!$B$33:$W$143,3,FALSE)</f>
        <v>14.864388217189035</v>
      </c>
      <c r="L27" s="73">
        <f>'Source VoT'!$D$35*VLOOKUP($B27,'Indirect tax correction'!$B$27:$I$127,5,FALSE)*VLOOKUP($B27,'Annual Parameters'!$B$33:$W$143,21,FALSE)/VLOOKUP('Source VoT'!$F$27,'Annual Parameters'!$B$33:$W$143,21,FALSE)*VLOOKUP($B$14,'Annual Parameters'!$B$33:$W$143,3,FALSE)/VLOOKUP('Source VoT'!$E$27,'Annual Parameters'!$B$33:$W$143,3,FALSE)</f>
        <v>24.518992476633144</v>
      </c>
      <c r="M27" s="73">
        <f>'Source VoT'!$D$36*VLOOKUP($B27,'Indirect tax correction'!$B$27:$I$127,5,FALSE)*VLOOKUP($B27,'Annual Parameters'!$B$33:$W$143,21,FALSE)/VLOOKUP('Source VoT'!$F$27,'Annual Parameters'!$B$33:$W$143,21,FALSE)*VLOOKUP($B$14,'Annual Parameters'!$B$33:$W$143,3,FALSE)/VLOOKUP('Source VoT'!$E$27,'Annual Parameters'!$B$33:$W$143,3,FALSE)</f>
        <v>8.4234376207507076</v>
      </c>
      <c r="N27" s="73">
        <f>'Source VoT'!$D$37*VLOOKUP($B27,'Indirect tax correction'!$B$27:$I$127,5,FALSE)*VLOOKUP($B27,'Annual Parameters'!$B$33:$W$143,21,FALSE)/VLOOKUP('Source VoT'!$F$27,'Annual Parameters'!$B$33:$W$143,21,FALSE)*VLOOKUP($B$14,'Annual Parameters'!$B$33:$W$143,3,FALSE)/VLOOKUP('Source VoT'!$E$27,'Annual Parameters'!$B$33:$W$143,3,FALSE)</f>
        <v>8.4234376207507076</v>
      </c>
      <c r="O27" s="73">
        <f>'Source VoT'!$D$38*VLOOKUP($B27,'Indirect tax correction'!$B$27:$I$127,5,FALSE)*VLOOKUP($B27,'Annual Parameters'!$B$33:$W$143,21,FALSE)/VLOOKUP('Source VoT'!$F$27,'Annual Parameters'!$B$33:$W$143,21,FALSE)*VLOOKUP($B$14,'Annual Parameters'!$B$33:$W$143,3,FALSE)/VLOOKUP('Source VoT'!$E$27,'Annual Parameters'!$B$33:$W$143,3,FALSE)</f>
        <v>8.4234376207507076</v>
      </c>
      <c r="P27" s="73">
        <f>'Source VoT'!$D$39*VLOOKUP($B27,'Indirect tax correction'!$B$27:$I$127,5,FALSE)*VLOOKUP($B27,'Annual Parameters'!$B$33:$W$143,21,FALSE)/VLOOKUP('Source VoT'!$F$27,'Annual Parameters'!$B$33:$W$143,21,FALSE)*VLOOKUP($B$14,'Annual Parameters'!$B$33:$W$143,3,FALSE)/VLOOKUP('Source VoT'!$E$27,'Annual Parameters'!$B$33:$W$143,3,FALSE)</f>
        <v>14.864388217189035</v>
      </c>
      <c r="Q27" s="74">
        <f>'Source VoT'!$D$40*VLOOKUP($B27,'Indirect tax correction'!$B$27:$I$127,5,FALSE)*VLOOKUP($B27,'Annual Parameters'!$B$33:$W$143,21,FALSE)/VLOOKUP('Source VoT'!$F$27,'Annual Parameters'!$B$33:$W$143,21,FALSE)*VLOOKUP($B$14,'Annual Parameters'!$B$33:$W$143,3,FALSE)/VLOOKUP('Source VoT'!$E$27,'Annual Parameters'!$B$33:$W$143,3,FALSE)</f>
        <v>16.190710672670583</v>
      </c>
      <c r="R27" s="73">
        <f>'Source VoT'!$D$45*VLOOKUP($B27,'Indirect tax correction'!$B$27:$I$127,6,FALSE)*VLOOKUP($B27,'Annual Parameters'!$B$33:$W$143,22,FALSE)/VLOOKUP('Source VoT'!$F$27,'Annual Parameters'!$B$33:$W$143,22,FALSE)*VLOOKUP($B$14,'Annual Parameters'!$B$33:$W$143,3,FALSE)/VLOOKUP('Source VoT'!$E$27,'Annual Parameters'!$B$33:$W$143,3,FALSE)</f>
        <v>8.3638237971226079</v>
      </c>
      <c r="S27" s="73">
        <f>'Source VoT'!$D$46*VLOOKUP($B27,'Indirect tax correction'!$B$27:$I$127,6,FALSE)*VLOOKUP($B27,'Annual Parameters'!$B$33:$W$143,22,FALSE)/VLOOKUP('Source VoT'!$F$27,'Annual Parameters'!$B$33:$W$143,22,FALSE)*VLOOKUP($B$14,'Annual Parameters'!$B$33:$W$143,3,FALSE)/VLOOKUP('Source VoT'!$E$27,'Annual Parameters'!$B$33:$W$143,3,FALSE)</f>
        <v>3.8175001803746342</v>
      </c>
      <c r="T27" s="117">
        <f>'Source VoT'!$D$27*1*VLOOKUP($B27,'Annual Parameters'!$B$33:$W$143,21,FALSE)/VLOOKUP('Source VoT'!$F$27,'Annual Parameters'!$B$33:$W$143,21,FALSE)*VLOOKUP($B$14,'Annual Parameters'!$B$33:$W$143,3,FALSE)/VLOOKUP('Source VoT'!$E$27,'Annual Parameters'!$B$33:$W$143,3,FALSE)</f>
        <v>14.864388217189035</v>
      </c>
      <c r="U27" s="73">
        <f>'Source VoT'!$D$28*1*VLOOKUP($B27,'Annual Parameters'!$B$33:$W$143,21,FALSE)/VLOOKUP('Source VoT'!$F$27,'Annual Parameters'!$B$33:$W$143,21,FALSE)*VLOOKUP($B$14,'Annual Parameters'!$B$33:$W$143,3,FALSE)/VLOOKUP('Source VoT'!$E$27,'Annual Parameters'!$B$33:$W$143,3,FALSE)</f>
        <v>14.864388217189035</v>
      </c>
      <c r="V27" s="73">
        <f>'Source VoT'!$D$29*1*VLOOKUP($B27,'Annual Parameters'!$B$33:$W$143,21,FALSE)/VLOOKUP('Source VoT'!$F$27,'Annual Parameters'!$B$33:$W$143,21,FALSE)*VLOOKUP($B$14,'Annual Parameters'!$B$33:$W$143,3,FALSE)/VLOOKUP('Source VoT'!$E$27,'Annual Parameters'!$B$33:$W$143,3,FALSE)</f>
        <v>10.235279669137599</v>
      </c>
      <c r="W27" s="73">
        <f>'Source VoT'!$D$30*1*VLOOKUP($B27,'Annual Parameters'!$B$33:$W$143,21,FALSE)/VLOOKUP('Source VoT'!$F$27,'Annual Parameters'!$B$33:$W$143,21,FALSE)*VLOOKUP($B$14,'Annual Parameters'!$B$33:$W$143,3,FALSE)/VLOOKUP('Source VoT'!$E$27,'Annual Parameters'!$B$33:$W$143,3,FALSE)</f>
        <v>12.059623499053327</v>
      </c>
      <c r="X27" s="73">
        <f>'Source VoT'!$D$31*1*VLOOKUP($B27,'Annual Parameters'!$B$33:$W$143,21,FALSE)/VLOOKUP('Source VoT'!$F$27,'Annual Parameters'!$B$33:$W$143,21,FALSE)*VLOOKUP($B$14,'Annual Parameters'!$B$33:$W$143,3,FALSE)/VLOOKUP('Source VoT'!$E$27,'Annual Parameters'!$B$33:$W$143,3,FALSE)</f>
        <v>12.320244046184149</v>
      </c>
      <c r="Y27" s="73">
        <f>'Source VoT'!$D$32*1*VLOOKUP($B27,'Annual Parameters'!$B$33:$W$143,21,FALSE)/VLOOKUP('Source VoT'!$F$27,'Annual Parameters'!$B$33:$W$143,21,FALSE)*VLOOKUP($B$14,'Annual Parameters'!$B$33:$W$143,3,FALSE)/VLOOKUP('Source VoT'!$E$27,'Annual Parameters'!$B$33:$W$143,3,FALSE)</f>
        <v>8.4234376207507076</v>
      </c>
      <c r="Z27" s="73">
        <f>'Source VoT'!$D$33*1*VLOOKUP($B27,'Annual Parameters'!$B$33:$W$143,21,FALSE)/VLOOKUP('Source VoT'!$F$27,'Annual Parameters'!$B$33:$W$143,21,FALSE)*VLOOKUP($B$14,'Annual Parameters'!$B$33:$W$143,3,FALSE)/VLOOKUP('Source VoT'!$E$27,'Annual Parameters'!$B$33:$W$143,3,FALSE)</f>
        <v>10.886831036964644</v>
      </c>
      <c r="AA27" s="73">
        <f>'Source VoT'!$D$34*1*VLOOKUP($B27,'Annual Parameters'!$B$33:$W$143,21,FALSE)/VLOOKUP('Source VoT'!$F$27,'Annual Parameters'!$B$33:$W$143,21,FALSE)*VLOOKUP($B$14,'Annual Parameters'!$B$33:$W$143,3,FALSE)/VLOOKUP('Source VoT'!$E$27,'Annual Parameters'!$B$33:$W$143,3,FALSE)</f>
        <v>14.864388217189035</v>
      </c>
      <c r="AB27" s="73">
        <f>'Source VoT'!$D$35*1*VLOOKUP($B27,'Annual Parameters'!$B$33:$W$143,21,FALSE)/VLOOKUP('Source VoT'!$F$27,'Annual Parameters'!$B$33:$W$143,21,FALSE)*VLOOKUP($B$14,'Annual Parameters'!$B$33:$W$143,3,FALSE)/VLOOKUP('Source VoT'!$E$27,'Annual Parameters'!$B$33:$W$143,3,FALSE)</f>
        <v>24.518992476633144</v>
      </c>
      <c r="AC27" s="73">
        <f>'Source VoT'!$D$36*1*VLOOKUP($B27,'Annual Parameters'!$B$33:$W$143,21,FALSE)/VLOOKUP('Source VoT'!$F$27,'Annual Parameters'!$B$33:$W$143,21,FALSE)*VLOOKUP($B$14,'Annual Parameters'!$B$33:$W$143,3,FALSE)/VLOOKUP('Source VoT'!$E$27,'Annual Parameters'!$B$33:$W$143,3,FALSE)</f>
        <v>8.4234376207507076</v>
      </c>
      <c r="AD27" s="73">
        <f>'Source VoT'!$D$37*1*VLOOKUP($B27,'Annual Parameters'!$B$33:$W$143,21,FALSE)/VLOOKUP('Source VoT'!$F$27,'Annual Parameters'!$B$33:$W$143,21,FALSE)*VLOOKUP($B$14,'Annual Parameters'!$B$33:$W$143,3,FALSE)/VLOOKUP('Source VoT'!$E$27,'Annual Parameters'!$B$33:$W$143,3,FALSE)</f>
        <v>8.4234376207507076</v>
      </c>
      <c r="AE27" s="73">
        <f>'Source VoT'!$D$38*1*VLOOKUP($B27,'Annual Parameters'!$B$33:$W$143,21,FALSE)/VLOOKUP('Source VoT'!$F$27,'Annual Parameters'!$B$33:$W$143,21,FALSE)*VLOOKUP($B$14,'Annual Parameters'!$B$33:$W$143,3,FALSE)/VLOOKUP('Source VoT'!$E$27,'Annual Parameters'!$B$33:$W$143,3,FALSE)</f>
        <v>8.4234376207507076</v>
      </c>
      <c r="AF27" s="73">
        <f>'Source VoT'!$D$39*1*VLOOKUP($B27,'Annual Parameters'!$B$33:$W$143,21,FALSE)/VLOOKUP('Source VoT'!$F$27,'Annual Parameters'!$B$33:$W$143,21,FALSE)*VLOOKUP($B$14,'Annual Parameters'!$B$33:$W$143,3,FALSE)/VLOOKUP('Source VoT'!$E$27,'Annual Parameters'!$B$33:$W$143,3,FALSE)</f>
        <v>14.864388217189035</v>
      </c>
      <c r="AG27" s="74">
        <f>'Source VoT'!$D$40*1*VLOOKUP($B27,'Annual Parameters'!$B$33:$W$143,21,FALSE)/VLOOKUP('Source VoT'!$F$27,'Annual Parameters'!$B$33:$W$143,21,FALSE)*VLOOKUP($B$14,'Annual Parameters'!$B$33:$W$143,3,FALSE)/VLOOKUP('Source VoT'!$E$27,'Annual Parameters'!$B$33:$W$143,3,FALSE)</f>
        <v>16.190710672670583</v>
      </c>
      <c r="AH27" s="73">
        <f>'Source VoT'!$D$45*1*VLOOKUP($B27,'Annual Parameters'!$B$33:$W$143,22,FALSE)/VLOOKUP('Source VoT'!$F$27,'Annual Parameters'!$B$33:$W$143,22,FALSE)*VLOOKUP($B$14,'Annual Parameters'!$B$33:$W$143,3,FALSE)/VLOOKUP('Source VoT'!$E$27,'Annual Parameters'!$B$33:$W$143,3,FALSE)</f>
        <v>9.952950318575903</v>
      </c>
      <c r="AI27" s="73">
        <f>'Source VoT'!$D$46*1*VLOOKUP($B27,'Annual Parameters'!$B$33:$W$143,22,FALSE)/VLOOKUP('Source VoT'!$F$27,'Annual Parameters'!$B$33:$W$143,22,FALSE)*VLOOKUP($B$14,'Annual Parameters'!$B$33:$W$143,3,FALSE)/VLOOKUP('Source VoT'!$E$27,'Annual Parameters'!$B$33:$W$143,3,FALSE)</f>
        <v>4.5428252146458146</v>
      </c>
      <c r="AJ27" s="117">
        <f>'Source VoT'!$D$27*VLOOKUP($B27,'Indirect tax correction'!$B$27:$I$127,7,FALSE)*VLOOKUP($B27,'Annual Parameters'!$B$33:$W$143,21,FALSE)/VLOOKUP('Source VoT'!$F$27,'Annual Parameters'!$B$33:$W$143,21,FALSE)*VLOOKUP($B$14,'Annual Parameters'!$B$33:$W$143,3,FALSE)/VLOOKUP('Source VoT'!$E$27,'Annual Parameters'!$B$33:$W$143,3,FALSE)</f>
        <v>17.68862197845495</v>
      </c>
      <c r="AK27" s="73">
        <f>'Source VoT'!$D$28*VLOOKUP($B27,'Indirect tax correction'!$B$27:$I$127,7,FALSE)*VLOOKUP($B27,'Annual Parameters'!$B$33:$W$143,21,FALSE)/VLOOKUP('Source VoT'!$F$27,'Annual Parameters'!$B$33:$W$143,21,FALSE)*VLOOKUP($B$14,'Annual Parameters'!$B$33:$W$143,3,FALSE)/VLOOKUP('Source VoT'!$E$27,'Annual Parameters'!$B$33:$W$143,3,FALSE)</f>
        <v>17.68862197845495</v>
      </c>
      <c r="AL27" s="73">
        <f>'Source VoT'!$D$29*VLOOKUP($B27,'Indirect tax correction'!$B$27:$I$127,7,FALSE)*VLOOKUP($B27,'Annual Parameters'!$B$33:$W$143,21,FALSE)/VLOOKUP('Source VoT'!$F$27,'Annual Parameters'!$B$33:$W$143,21,FALSE)*VLOOKUP($B$14,'Annual Parameters'!$B$33:$W$143,3,FALSE)/VLOOKUP('Source VoT'!$E$27,'Annual Parameters'!$B$33:$W$143,3,FALSE)</f>
        <v>12.17998280627374</v>
      </c>
      <c r="AM27" s="73">
        <f>'Source VoT'!$D$30*VLOOKUP($B27,'Indirect tax correction'!$B$27:$I$127,7,FALSE)*VLOOKUP($B27,'Annual Parameters'!$B$33:$W$143,21,FALSE)/VLOOKUP('Source VoT'!$F$27,'Annual Parameters'!$B$33:$W$143,21,FALSE)*VLOOKUP($B$14,'Annual Parameters'!$B$33:$W$143,3,FALSE)/VLOOKUP('Source VoT'!$E$27,'Annual Parameters'!$B$33:$W$143,3,FALSE)</f>
        <v>14.350951963873461</v>
      </c>
      <c r="AN27" s="73">
        <f>'Source VoT'!$D$31*VLOOKUP($B27,'Indirect tax correction'!$B$27:$I$127,7,FALSE)*VLOOKUP($B27,'Annual Parameters'!$B$33:$W$143,21,FALSE)/VLOOKUP('Source VoT'!$F$27,'Annual Parameters'!$B$33:$W$143,21,FALSE)*VLOOKUP($B$14,'Annual Parameters'!$B$33:$W$143,3,FALSE)/VLOOKUP('Source VoT'!$E$27,'Annual Parameters'!$B$33:$W$143,3,FALSE)</f>
        <v>14.661090414959133</v>
      </c>
      <c r="AO27" s="73">
        <f>'Source VoT'!$D$32*VLOOKUP($B27,'Indirect tax correction'!$B$27:$I$127,7,FALSE)*VLOOKUP($B27,'Annual Parameters'!$B$33:$W$143,21,FALSE)/VLOOKUP('Source VoT'!$F$27,'Annual Parameters'!$B$33:$W$143,21,FALSE)*VLOOKUP($B$14,'Annual Parameters'!$B$33:$W$143,3,FALSE)/VLOOKUP('Source VoT'!$E$27,'Annual Parameters'!$B$33:$W$143,3,FALSE)</f>
        <v>10.023890768693342</v>
      </c>
      <c r="AP27" s="73">
        <f>'Source VoT'!$D$33*VLOOKUP($B27,'Indirect tax correction'!$B$27:$I$127,7,FALSE)*VLOOKUP($B27,'Annual Parameters'!$B$33:$W$143,21,FALSE)/VLOOKUP('Source VoT'!$F$27,'Annual Parameters'!$B$33:$W$143,21,FALSE)*VLOOKUP($B$14,'Annual Parameters'!$B$33:$W$143,3,FALSE)/VLOOKUP('Source VoT'!$E$27,'Annual Parameters'!$B$33:$W$143,3,FALSE)</f>
        <v>12.955328933987925</v>
      </c>
      <c r="AQ27" s="73">
        <f>'Source VoT'!$D$34*VLOOKUP($B27,'Indirect tax correction'!$B$27:$I$127,7,FALSE)*VLOOKUP($B27,'Annual Parameters'!$B$33:$W$143,21,FALSE)/VLOOKUP('Source VoT'!$F$27,'Annual Parameters'!$B$33:$W$143,21,FALSE)*VLOOKUP($B$14,'Annual Parameters'!$B$33:$W$143,3,FALSE)/VLOOKUP('Source VoT'!$E$27,'Annual Parameters'!$B$33:$W$143,3,FALSE)</f>
        <v>17.68862197845495</v>
      </c>
      <c r="AR27" s="73">
        <f>'Source VoT'!$D$35*VLOOKUP($B27,'Indirect tax correction'!$B$27:$I$127,7,FALSE)*VLOOKUP($B27,'Annual Parameters'!$B$33:$W$143,21,FALSE)/VLOOKUP('Source VoT'!$F$27,'Annual Parameters'!$B$33:$W$143,21,FALSE)*VLOOKUP($B$14,'Annual Parameters'!$B$33:$W$143,3,FALSE)/VLOOKUP('Source VoT'!$E$27,'Annual Parameters'!$B$33:$W$143,3,FALSE)</f>
        <v>29.177601047193445</v>
      </c>
      <c r="AS27" s="73">
        <f>'Source VoT'!$D$36*VLOOKUP($B27,'Indirect tax correction'!$B$27:$I$127,7,FALSE)*VLOOKUP($B27,'Annual Parameters'!$B$33:$W$143,21,FALSE)/VLOOKUP('Source VoT'!$F$27,'Annual Parameters'!$B$33:$W$143,21,FALSE)*VLOOKUP($B$14,'Annual Parameters'!$B$33:$W$143,3,FALSE)/VLOOKUP('Source VoT'!$E$27,'Annual Parameters'!$B$33:$W$143,3,FALSE)</f>
        <v>10.023890768693342</v>
      </c>
      <c r="AT27" s="73">
        <f>'Source VoT'!$D$37*VLOOKUP($B27,'Indirect tax correction'!$B$27:$I$127,7,FALSE)*VLOOKUP($B27,'Annual Parameters'!$B$33:$W$143,21,FALSE)/VLOOKUP('Source VoT'!$F$27,'Annual Parameters'!$B$33:$W$143,21,FALSE)*VLOOKUP($B$14,'Annual Parameters'!$B$33:$W$143,3,FALSE)/VLOOKUP('Source VoT'!$E$27,'Annual Parameters'!$B$33:$W$143,3,FALSE)</f>
        <v>10.023890768693342</v>
      </c>
      <c r="AU27" s="73">
        <f>'Source VoT'!$D$38*VLOOKUP($B27,'Indirect tax correction'!$B$27:$I$127,7,FALSE)*VLOOKUP($B27,'Annual Parameters'!$B$33:$W$143,21,FALSE)/VLOOKUP('Source VoT'!$F$27,'Annual Parameters'!$B$33:$W$143,21,FALSE)*VLOOKUP($B$14,'Annual Parameters'!$B$33:$W$143,3,FALSE)/VLOOKUP('Source VoT'!$E$27,'Annual Parameters'!$B$33:$W$143,3,FALSE)</f>
        <v>10.023890768693342</v>
      </c>
      <c r="AV27" s="73">
        <f>'Source VoT'!$D$39*VLOOKUP($B27,'Indirect tax correction'!$B$27:$I$127,7,FALSE)*VLOOKUP($B27,'Annual Parameters'!$B$33:$W$143,21,FALSE)/VLOOKUP('Source VoT'!$F$27,'Annual Parameters'!$B$33:$W$143,21,FALSE)*VLOOKUP($B$14,'Annual Parameters'!$B$33:$W$143,3,FALSE)/VLOOKUP('Source VoT'!$E$27,'Annual Parameters'!$B$33:$W$143,3,FALSE)</f>
        <v>17.68862197845495</v>
      </c>
      <c r="AW27" s="74"/>
      <c r="AX27" s="73">
        <f>'Source VoT'!$D$45*VLOOKUP($B27,'Indirect tax correction'!$B$27:$I$127,8,FALSE)*VLOOKUP($B27,'Annual Parameters'!$B$33:$W$143,22,FALSE)/VLOOKUP('Source VoT'!$F$27,'Annual Parameters'!$B$33:$W$143,22,FALSE)*VLOOKUP($B$14,'Annual Parameters'!$B$33:$W$143,3,FALSE)/VLOOKUP('Source VoT'!$E$27,'Annual Parameters'!$B$33:$W$143,3,FALSE)</f>
        <v>9.952950318575903</v>
      </c>
      <c r="AY27" s="74">
        <f>'Source VoT'!$D$46*VLOOKUP($B27,'Indirect tax correction'!$B$27:$I$127,8,FALSE)*VLOOKUP($B27,'Annual Parameters'!$B$33:$W$143,22,FALSE)/VLOOKUP('Source VoT'!$F$27,'Annual Parameters'!$B$33:$W$143,22,FALSE)*VLOOKUP($B$14,'Annual Parameters'!$B$33:$W$143,3,FALSE)/VLOOKUP('Source VoT'!$E$27,'Annual Parameters'!$B$33:$W$143,3,FALSE)</f>
        <v>4.5428252146458146</v>
      </c>
      <c r="AZ27" s="2875"/>
      <c r="BA27" s="2875"/>
      <c r="BB27" s="2875"/>
      <c r="BC27" s="2875"/>
      <c r="BD27" s="2875"/>
      <c r="BE27" s="2875"/>
      <c r="BF27" s="2875"/>
      <c r="BG27" s="2875"/>
      <c r="BH27" s="2875"/>
    </row>
    <row r="28" spans="1:60" ht="13.5" customHeight="1">
      <c r="A28" s="90"/>
      <c r="B28" s="82">
        <f>B27+1</f>
        <v>2011</v>
      </c>
      <c r="C28" s="82"/>
      <c r="D28" s="117">
        <f>'Source VoT'!$D$27*VLOOKUP($B28,'Indirect tax correction'!$B$27:$I$127,5,FALSE)*VLOOKUP($B28,'Annual Parameters'!$B$33:$W$143,21,FALSE)/VLOOKUP('Source VoT'!$F$27,'Annual Parameters'!$B$33:$W$143,21,FALSE)*VLOOKUP($B$14,'Annual Parameters'!$B$33:$W$143,3,FALSE)/VLOOKUP('Source VoT'!$E$27,'Annual Parameters'!$B$33:$W$143,3,FALSE)</f>
        <v>14.983389908631947</v>
      </c>
      <c r="E28" s="73">
        <f>'Source VoT'!$D$28*VLOOKUP($B28,'Indirect tax correction'!$B$27:$I$127,5,FALSE)*VLOOKUP($B28,'Annual Parameters'!$B$33:$W$143,21,FALSE)/VLOOKUP('Source VoT'!$F$27,'Annual Parameters'!$B$33:$W$143,21,FALSE)*VLOOKUP($B$14,'Annual Parameters'!$B$33:$W$143,3,FALSE)/VLOOKUP('Source VoT'!$E$27,'Annual Parameters'!$B$33:$W$143,3,FALSE)</f>
        <v>14.983389908631947</v>
      </c>
      <c r="F28" s="73">
        <f>'Source VoT'!$D$29*VLOOKUP($B28,'Indirect tax correction'!$B$27:$I$127,5,FALSE)*VLOOKUP($B28,'Annual Parameters'!$B$33:$W$143,21,FALSE)/VLOOKUP('Source VoT'!$F$27,'Annual Parameters'!$B$33:$W$143,21,FALSE)*VLOOKUP($B$14,'Annual Parameters'!$B$33:$W$143,3,FALSE)/VLOOKUP('Source VoT'!$E$27,'Annual Parameters'!$B$33:$W$143,3,FALSE)</f>
        <v>10.317221527438242</v>
      </c>
      <c r="G28" s="73">
        <f>'Source VoT'!$D$30*VLOOKUP($B28,'Indirect tax correction'!$B$27:$I$127,5,FALSE)*VLOOKUP($B28,'Annual Parameters'!$B$33:$W$143,21,FALSE)/VLOOKUP('Source VoT'!$F$27,'Annual Parameters'!$B$33:$W$143,21,FALSE)*VLOOKUP($B$14,'Annual Parameters'!$B$33:$W$143,3,FALSE)/VLOOKUP('Source VoT'!$E$27,'Annual Parameters'!$B$33:$W$143,3,FALSE)</f>
        <v>12.15617073487515</v>
      </c>
      <c r="H28" s="73">
        <f>'Source VoT'!$D$31*VLOOKUP($B28,'Indirect tax correction'!$B$27:$I$127,5,FALSE)*VLOOKUP($B28,'Annual Parameters'!$B$33:$W$143,21,FALSE)/VLOOKUP('Source VoT'!$F$27,'Annual Parameters'!$B$33:$W$143,21,FALSE)*VLOOKUP($B$14,'Annual Parameters'!$B$33:$W$143,3,FALSE)/VLOOKUP('Source VoT'!$E$27,'Annual Parameters'!$B$33:$W$143,3,FALSE)</f>
        <v>12.418877764508995</v>
      </c>
      <c r="I28" s="73">
        <f>'Source VoT'!$D$32*VLOOKUP($B28,'Indirect tax correction'!$B$27:$I$127,5,FALSE)*VLOOKUP($B28,'Annual Parameters'!$B$33:$W$143,21,FALSE)/VLOOKUP('Source VoT'!$F$27,'Annual Parameters'!$B$33:$W$143,21,FALSE)*VLOOKUP($B$14,'Annual Parameters'!$B$33:$W$143,3,FALSE)/VLOOKUP('Source VoT'!$E$27,'Annual Parameters'!$B$33:$W$143,3,FALSE)</f>
        <v>8.4908741886058205</v>
      </c>
      <c r="J28" s="73">
        <f>'Source VoT'!$D$33*VLOOKUP($B28,'Indirect tax correction'!$B$27:$I$127,5,FALSE)*VLOOKUP($B28,'Annual Parameters'!$B$33:$W$143,21,FALSE)/VLOOKUP('Source VoT'!$F$27,'Annual Parameters'!$B$33:$W$143,21,FALSE)*VLOOKUP($B$14,'Annual Parameters'!$B$33:$W$143,3,FALSE)/VLOOKUP('Source VoT'!$E$27,'Annual Parameters'!$B$33:$W$143,3,FALSE)</f>
        <v>10.973989101522848</v>
      </c>
      <c r="K28" s="73">
        <f>'Source VoT'!$D$34*VLOOKUP($B28,'Indirect tax correction'!$B$27:$I$127,5,FALSE)*VLOOKUP($B28,'Annual Parameters'!$B$33:$W$143,21,FALSE)/VLOOKUP('Source VoT'!$F$27,'Annual Parameters'!$B$33:$W$143,21,FALSE)*VLOOKUP($B$14,'Annual Parameters'!$B$33:$W$143,3,FALSE)/VLOOKUP('Source VoT'!$E$27,'Annual Parameters'!$B$33:$W$143,3,FALSE)</f>
        <v>14.983389908631947</v>
      </c>
      <c r="L28" s="73">
        <f>'Source VoT'!$D$35*VLOOKUP($B28,'Indirect tax correction'!$B$27:$I$127,5,FALSE)*VLOOKUP($B28,'Annual Parameters'!$B$33:$W$143,21,FALSE)/VLOOKUP('Source VoT'!$F$27,'Annual Parameters'!$B$33:$W$143,21,FALSE)*VLOOKUP($B$14,'Annual Parameters'!$B$33:$W$143,3,FALSE)/VLOOKUP('Source VoT'!$E$27,'Annual Parameters'!$B$33:$W$143,3,FALSE)</f>
        <v>24.715287240639732</v>
      </c>
      <c r="M28" s="73">
        <f>'Source VoT'!$D$36*VLOOKUP($B28,'Indirect tax correction'!$B$27:$I$127,5,FALSE)*VLOOKUP($B28,'Annual Parameters'!$B$33:$W$143,21,FALSE)/VLOOKUP('Source VoT'!$F$27,'Annual Parameters'!$B$33:$W$143,21,FALSE)*VLOOKUP($B$14,'Annual Parameters'!$B$33:$W$143,3,FALSE)/VLOOKUP('Source VoT'!$E$27,'Annual Parameters'!$B$33:$W$143,3,FALSE)</f>
        <v>8.4908741886058205</v>
      </c>
      <c r="N28" s="73">
        <f>'Source VoT'!$D$37*VLOOKUP($B28,'Indirect tax correction'!$B$27:$I$127,5,FALSE)*VLOOKUP($B28,'Annual Parameters'!$B$33:$W$143,21,FALSE)/VLOOKUP('Source VoT'!$F$27,'Annual Parameters'!$B$33:$W$143,21,FALSE)*VLOOKUP($B$14,'Annual Parameters'!$B$33:$W$143,3,FALSE)/VLOOKUP('Source VoT'!$E$27,'Annual Parameters'!$B$33:$W$143,3,FALSE)</f>
        <v>8.4908741886058205</v>
      </c>
      <c r="O28" s="73">
        <f>'Source VoT'!$D$38*VLOOKUP($B28,'Indirect tax correction'!$B$27:$I$127,5,FALSE)*VLOOKUP($B28,'Annual Parameters'!$B$33:$W$143,21,FALSE)/VLOOKUP('Source VoT'!$F$27,'Annual Parameters'!$B$33:$W$143,21,FALSE)*VLOOKUP($B$14,'Annual Parameters'!$B$33:$W$143,3,FALSE)/VLOOKUP('Source VoT'!$E$27,'Annual Parameters'!$B$33:$W$143,3,FALSE)</f>
        <v>8.4908741886058205</v>
      </c>
      <c r="P28" s="73">
        <f>'Source VoT'!$D$39*VLOOKUP($B28,'Indirect tax correction'!$B$27:$I$127,5,FALSE)*VLOOKUP($B28,'Annual Parameters'!$B$33:$W$143,21,FALSE)/VLOOKUP('Source VoT'!$F$27,'Annual Parameters'!$B$33:$W$143,21,FALSE)*VLOOKUP($B$14,'Annual Parameters'!$B$33:$W$143,3,FALSE)/VLOOKUP('Source VoT'!$E$27,'Annual Parameters'!$B$33:$W$143,3,FALSE)</f>
        <v>14.983389908631947</v>
      </c>
      <c r="Q28" s="74">
        <f>'Source VoT'!$D$40*VLOOKUP($B28,'Indirect tax correction'!$B$27:$I$127,5,FALSE)*VLOOKUP($B28,'Annual Parameters'!$B$33:$W$143,21,FALSE)/VLOOKUP('Source VoT'!$F$27,'Annual Parameters'!$B$33:$W$143,21,FALSE)*VLOOKUP($B$14,'Annual Parameters'!$B$33:$W$143,3,FALSE)/VLOOKUP('Source VoT'!$E$27,'Annual Parameters'!$B$33:$W$143,3,FALSE)</f>
        <v>16.32033066964312</v>
      </c>
      <c r="R28" s="73">
        <f>'Source VoT'!$D$45*VLOOKUP($B28,'Indirect tax correction'!$B$27:$I$127,6,FALSE)*VLOOKUP($B28,'Annual Parameters'!$B$33:$W$143,22,FALSE)/VLOOKUP('Source VoT'!$F$27,'Annual Parameters'!$B$33:$W$143,22,FALSE)*VLOOKUP($B$14,'Annual Parameters'!$B$33:$W$143,3,FALSE)/VLOOKUP('Source VoT'!$E$27,'Annual Parameters'!$B$33:$W$143,3,FALSE)</f>
        <v>8.4307831071355892</v>
      </c>
      <c r="S28" s="73">
        <f>'Source VoT'!$D$46*VLOOKUP($B28,'Indirect tax correction'!$B$27:$I$127,6,FALSE)*VLOOKUP($B28,'Annual Parameters'!$B$33:$W$143,22,FALSE)/VLOOKUP('Source VoT'!$F$27,'Annual Parameters'!$B$33:$W$143,22,FALSE)*VLOOKUP($B$14,'Annual Parameters'!$B$33:$W$143,3,FALSE)/VLOOKUP('Source VoT'!$E$27,'Annual Parameters'!$B$33:$W$143,3,FALSE)</f>
        <v>3.8480624189215846</v>
      </c>
      <c r="T28" s="117">
        <f>'Source VoT'!$D$27*1*VLOOKUP($B28,'Annual Parameters'!$B$33:$W$143,21,FALSE)/VLOOKUP('Source VoT'!$F$27,'Annual Parameters'!$B$33:$W$143,21,FALSE)*VLOOKUP($B$14,'Annual Parameters'!$B$33:$W$143,3,FALSE)/VLOOKUP('Source VoT'!$E$27,'Annual Parameters'!$B$33:$W$143,3,FALSE)</f>
        <v>14.983389908631947</v>
      </c>
      <c r="U28" s="73">
        <f>'Source VoT'!$D$28*1*VLOOKUP($B28,'Annual Parameters'!$B$33:$W$143,21,FALSE)/VLOOKUP('Source VoT'!$F$27,'Annual Parameters'!$B$33:$W$143,21,FALSE)*VLOOKUP($B$14,'Annual Parameters'!$B$33:$W$143,3,FALSE)/VLOOKUP('Source VoT'!$E$27,'Annual Parameters'!$B$33:$W$143,3,FALSE)</f>
        <v>14.983389908631947</v>
      </c>
      <c r="V28" s="73">
        <f>'Source VoT'!$D$29*1*VLOOKUP($B28,'Annual Parameters'!$B$33:$W$143,21,FALSE)/VLOOKUP('Source VoT'!$F$27,'Annual Parameters'!$B$33:$W$143,21,FALSE)*VLOOKUP($B$14,'Annual Parameters'!$B$33:$W$143,3,FALSE)/VLOOKUP('Source VoT'!$E$27,'Annual Parameters'!$B$33:$W$143,3,FALSE)</f>
        <v>10.317221527438242</v>
      </c>
      <c r="W28" s="73">
        <f>'Source VoT'!$D$30*1*VLOOKUP($B28,'Annual Parameters'!$B$33:$W$143,21,FALSE)/VLOOKUP('Source VoT'!$F$27,'Annual Parameters'!$B$33:$W$143,21,FALSE)*VLOOKUP($B$14,'Annual Parameters'!$B$33:$W$143,3,FALSE)/VLOOKUP('Source VoT'!$E$27,'Annual Parameters'!$B$33:$W$143,3,FALSE)</f>
        <v>12.15617073487515</v>
      </c>
      <c r="X28" s="73">
        <f>'Source VoT'!$D$31*1*VLOOKUP($B28,'Annual Parameters'!$B$33:$W$143,21,FALSE)/VLOOKUP('Source VoT'!$F$27,'Annual Parameters'!$B$33:$W$143,21,FALSE)*VLOOKUP($B$14,'Annual Parameters'!$B$33:$W$143,3,FALSE)/VLOOKUP('Source VoT'!$E$27,'Annual Parameters'!$B$33:$W$143,3,FALSE)</f>
        <v>12.418877764508995</v>
      </c>
      <c r="Y28" s="73">
        <f>'Source VoT'!$D$32*1*VLOOKUP($B28,'Annual Parameters'!$B$33:$W$143,21,FALSE)/VLOOKUP('Source VoT'!$F$27,'Annual Parameters'!$B$33:$W$143,21,FALSE)*VLOOKUP($B$14,'Annual Parameters'!$B$33:$W$143,3,FALSE)/VLOOKUP('Source VoT'!$E$27,'Annual Parameters'!$B$33:$W$143,3,FALSE)</f>
        <v>8.4908741886058205</v>
      </c>
      <c r="Z28" s="73">
        <f>'Source VoT'!$D$33*1*VLOOKUP($B28,'Annual Parameters'!$B$33:$W$143,21,FALSE)/VLOOKUP('Source VoT'!$F$27,'Annual Parameters'!$B$33:$W$143,21,FALSE)*VLOOKUP($B$14,'Annual Parameters'!$B$33:$W$143,3,FALSE)/VLOOKUP('Source VoT'!$E$27,'Annual Parameters'!$B$33:$W$143,3,FALSE)</f>
        <v>10.973989101522848</v>
      </c>
      <c r="AA28" s="73">
        <f>'Source VoT'!$D$34*1*VLOOKUP($B28,'Annual Parameters'!$B$33:$W$143,21,FALSE)/VLOOKUP('Source VoT'!$F$27,'Annual Parameters'!$B$33:$W$143,21,FALSE)*VLOOKUP($B$14,'Annual Parameters'!$B$33:$W$143,3,FALSE)/VLOOKUP('Source VoT'!$E$27,'Annual Parameters'!$B$33:$W$143,3,FALSE)</f>
        <v>14.983389908631947</v>
      </c>
      <c r="AB28" s="73">
        <f>'Source VoT'!$D$35*1*VLOOKUP($B28,'Annual Parameters'!$B$33:$W$143,21,FALSE)/VLOOKUP('Source VoT'!$F$27,'Annual Parameters'!$B$33:$W$143,21,FALSE)*VLOOKUP($B$14,'Annual Parameters'!$B$33:$W$143,3,FALSE)/VLOOKUP('Source VoT'!$E$27,'Annual Parameters'!$B$33:$W$143,3,FALSE)</f>
        <v>24.715287240639732</v>
      </c>
      <c r="AC28" s="73">
        <f>'Source VoT'!$D$36*1*VLOOKUP($B28,'Annual Parameters'!$B$33:$W$143,21,FALSE)/VLOOKUP('Source VoT'!$F$27,'Annual Parameters'!$B$33:$W$143,21,FALSE)*VLOOKUP($B$14,'Annual Parameters'!$B$33:$W$143,3,FALSE)/VLOOKUP('Source VoT'!$E$27,'Annual Parameters'!$B$33:$W$143,3,FALSE)</f>
        <v>8.4908741886058205</v>
      </c>
      <c r="AD28" s="73">
        <f>'Source VoT'!$D$37*1*VLOOKUP($B28,'Annual Parameters'!$B$33:$W$143,21,FALSE)/VLOOKUP('Source VoT'!$F$27,'Annual Parameters'!$B$33:$W$143,21,FALSE)*VLOOKUP($B$14,'Annual Parameters'!$B$33:$W$143,3,FALSE)/VLOOKUP('Source VoT'!$E$27,'Annual Parameters'!$B$33:$W$143,3,FALSE)</f>
        <v>8.4908741886058205</v>
      </c>
      <c r="AE28" s="73">
        <f>'Source VoT'!$D$38*1*VLOOKUP($B28,'Annual Parameters'!$B$33:$W$143,21,FALSE)/VLOOKUP('Source VoT'!$F$27,'Annual Parameters'!$B$33:$W$143,21,FALSE)*VLOOKUP($B$14,'Annual Parameters'!$B$33:$W$143,3,FALSE)/VLOOKUP('Source VoT'!$E$27,'Annual Parameters'!$B$33:$W$143,3,FALSE)</f>
        <v>8.4908741886058205</v>
      </c>
      <c r="AF28" s="73">
        <f>'Source VoT'!$D$39*1*VLOOKUP($B28,'Annual Parameters'!$B$33:$W$143,21,FALSE)/VLOOKUP('Source VoT'!$F$27,'Annual Parameters'!$B$33:$W$143,21,FALSE)*VLOOKUP($B$14,'Annual Parameters'!$B$33:$W$143,3,FALSE)/VLOOKUP('Source VoT'!$E$27,'Annual Parameters'!$B$33:$W$143,3,FALSE)</f>
        <v>14.983389908631947</v>
      </c>
      <c r="AG28" s="74">
        <f>'Source VoT'!$D$40*1*VLOOKUP($B28,'Annual Parameters'!$B$33:$W$143,21,FALSE)/VLOOKUP('Source VoT'!$F$27,'Annual Parameters'!$B$33:$W$143,21,FALSE)*VLOOKUP($B$14,'Annual Parameters'!$B$33:$W$143,3,FALSE)/VLOOKUP('Source VoT'!$E$27,'Annual Parameters'!$B$33:$W$143,3,FALSE)</f>
        <v>16.32033066964312</v>
      </c>
      <c r="AH28" s="73">
        <f>'Source VoT'!$D$45*1*VLOOKUP($B28,'Annual Parameters'!$B$33:$W$143,22,FALSE)/VLOOKUP('Source VoT'!$F$27,'Annual Parameters'!$B$33:$W$143,22,FALSE)*VLOOKUP($B$14,'Annual Parameters'!$B$33:$W$143,3,FALSE)/VLOOKUP('Source VoT'!$E$27,'Annual Parameters'!$B$33:$W$143,3,FALSE)</f>
        <v>10.032631897491353</v>
      </c>
      <c r="AI28" s="73">
        <f>'Source VoT'!$D$46*1*VLOOKUP($B28,'Annual Parameters'!$B$33:$W$143,22,FALSE)/VLOOKUP('Source VoT'!$F$27,'Annual Parameters'!$B$33:$W$143,22,FALSE)*VLOOKUP($B$14,'Annual Parameters'!$B$33:$W$143,3,FALSE)/VLOOKUP('Source VoT'!$E$27,'Annual Parameters'!$B$33:$W$143,3,FALSE)</f>
        <v>4.5791942785166855</v>
      </c>
      <c r="AJ28" s="117">
        <f>'Source VoT'!$D$27*VLOOKUP($B28,'Indirect tax correction'!$B$27:$I$127,7,FALSE)*VLOOKUP($B28,'Annual Parameters'!$B$33:$W$143,21,FALSE)/VLOOKUP('Source VoT'!$F$27,'Annual Parameters'!$B$33:$W$143,21,FALSE)*VLOOKUP($B$14,'Annual Parameters'!$B$33:$W$143,3,FALSE)/VLOOKUP('Source VoT'!$E$27,'Annual Parameters'!$B$33:$W$143,3,FALSE)</f>
        <v>17.830233991272017</v>
      </c>
      <c r="AK28" s="73">
        <f>'Source VoT'!$D$28*VLOOKUP($B28,'Indirect tax correction'!$B$27:$I$127,7,FALSE)*VLOOKUP($B28,'Annual Parameters'!$B$33:$W$143,21,FALSE)/VLOOKUP('Source VoT'!$F$27,'Annual Parameters'!$B$33:$W$143,21,FALSE)*VLOOKUP($B$14,'Annual Parameters'!$B$33:$W$143,3,FALSE)/VLOOKUP('Source VoT'!$E$27,'Annual Parameters'!$B$33:$W$143,3,FALSE)</f>
        <v>17.830233991272017</v>
      </c>
      <c r="AL28" s="73">
        <f>'Source VoT'!$D$29*VLOOKUP($B28,'Indirect tax correction'!$B$27:$I$127,7,FALSE)*VLOOKUP($B28,'Annual Parameters'!$B$33:$W$143,21,FALSE)/VLOOKUP('Source VoT'!$F$27,'Annual Parameters'!$B$33:$W$143,21,FALSE)*VLOOKUP($B$14,'Annual Parameters'!$B$33:$W$143,3,FALSE)/VLOOKUP('Source VoT'!$E$27,'Annual Parameters'!$B$33:$W$143,3,FALSE)</f>
        <v>12.277493617651508</v>
      </c>
      <c r="AM28" s="73">
        <f>'Source VoT'!$D$30*VLOOKUP($B28,'Indirect tax correction'!$B$27:$I$127,7,FALSE)*VLOOKUP($B28,'Annual Parameters'!$B$33:$W$143,21,FALSE)/VLOOKUP('Source VoT'!$F$27,'Annual Parameters'!$B$33:$W$143,21,FALSE)*VLOOKUP($B$14,'Annual Parameters'!$B$33:$W$143,3,FALSE)/VLOOKUP('Source VoT'!$E$27,'Annual Parameters'!$B$33:$W$143,3,FALSE)</f>
        <v>14.465843174501426</v>
      </c>
      <c r="AN28" s="73">
        <f>'Source VoT'!$D$31*VLOOKUP($B28,'Indirect tax correction'!$B$27:$I$127,7,FALSE)*VLOOKUP($B28,'Annual Parameters'!$B$33:$W$143,21,FALSE)/VLOOKUP('Source VoT'!$F$27,'Annual Parameters'!$B$33:$W$143,21,FALSE)*VLOOKUP($B$14,'Annual Parameters'!$B$33:$W$143,3,FALSE)/VLOOKUP('Source VoT'!$E$27,'Annual Parameters'!$B$33:$W$143,3,FALSE)</f>
        <v>14.778464539765702</v>
      </c>
      <c r="AO28" s="73">
        <f>'Source VoT'!$D$32*VLOOKUP($B28,'Indirect tax correction'!$B$27:$I$127,7,FALSE)*VLOOKUP($B28,'Annual Parameters'!$B$33:$W$143,21,FALSE)/VLOOKUP('Source VoT'!$F$27,'Annual Parameters'!$B$33:$W$143,21,FALSE)*VLOOKUP($B$14,'Annual Parameters'!$B$33:$W$143,3,FALSE)/VLOOKUP('Source VoT'!$E$27,'Annual Parameters'!$B$33:$W$143,3,FALSE)</f>
        <v>10.104140284440927</v>
      </c>
      <c r="AP28" s="73">
        <f>'Source VoT'!$D$33*VLOOKUP($B28,'Indirect tax correction'!$B$27:$I$127,7,FALSE)*VLOOKUP($B28,'Annual Parameters'!$B$33:$W$143,21,FALSE)/VLOOKUP('Source VoT'!$F$27,'Annual Parameters'!$B$33:$W$143,21,FALSE)*VLOOKUP($B$14,'Annual Parameters'!$B$33:$W$143,3,FALSE)/VLOOKUP('Source VoT'!$E$27,'Annual Parameters'!$B$33:$W$143,3,FALSE)</f>
        <v>13.05904703081219</v>
      </c>
      <c r="AQ28" s="73">
        <f>'Source VoT'!$D$34*VLOOKUP($B28,'Indirect tax correction'!$B$27:$I$127,7,FALSE)*VLOOKUP($B28,'Annual Parameters'!$B$33:$W$143,21,FALSE)/VLOOKUP('Source VoT'!$F$27,'Annual Parameters'!$B$33:$W$143,21,FALSE)*VLOOKUP($B$14,'Annual Parameters'!$B$33:$W$143,3,FALSE)/VLOOKUP('Source VoT'!$E$27,'Annual Parameters'!$B$33:$W$143,3,FALSE)</f>
        <v>17.830233991272017</v>
      </c>
      <c r="AR28" s="73">
        <f>'Source VoT'!$D$35*VLOOKUP($B28,'Indirect tax correction'!$B$27:$I$127,7,FALSE)*VLOOKUP($B28,'Annual Parameters'!$B$33:$W$143,21,FALSE)/VLOOKUP('Source VoT'!$F$27,'Annual Parameters'!$B$33:$W$143,21,FALSE)*VLOOKUP($B$14,'Annual Parameters'!$B$33:$W$143,3,FALSE)/VLOOKUP('Source VoT'!$E$27,'Annual Parameters'!$B$33:$W$143,3,FALSE)</f>
        <v>29.411191816361278</v>
      </c>
      <c r="AS28" s="73">
        <f>'Source VoT'!$D$36*VLOOKUP($B28,'Indirect tax correction'!$B$27:$I$127,7,FALSE)*VLOOKUP($B28,'Annual Parameters'!$B$33:$W$143,21,FALSE)/VLOOKUP('Source VoT'!$F$27,'Annual Parameters'!$B$33:$W$143,21,FALSE)*VLOOKUP($B$14,'Annual Parameters'!$B$33:$W$143,3,FALSE)/VLOOKUP('Source VoT'!$E$27,'Annual Parameters'!$B$33:$W$143,3,FALSE)</f>
        <v>10.104140284440927</v>
      </c>
      <c r="AT28" s="73">
        <f>'Source VoT'!$D$37*VLOOKUP($B28,'Indirect tax correction'!$B$27:$I$127,7,FALSE)*VLOOKUP($B28,'Annual Parameters'!$B$33:$W$143,21,FALSE)/VLOOKUP('Source VoT'!$F$27,'Annual Parameters'!$B$33:$W$143,21,FALSE)*VLOOKUP($B$14,'Annual Parameters'!$B$33:$W$143,3,FALSE)/VLOOKUP('Source VoT'!$E$27,'Annual Parameters'!$B$33:$W$143,3,FALSE)</f>
        <v>10.104140284440927</v>
      </c>
      <c r="AU28" s="73">
        <f>'Source VoT'!$D$38*VLOOKUP($B28,'Indirect tax correction'!$B$27:$I$127,7,FALSE)*VLOOKUP($B28,'Annual Parameters'!$B$33:$W$143,21,FALSE)/VLOOKUP('Source VoT'!$F$27,'Annual Parameters'!$B$33:$W$143,21,FALSE)*VLOOKUP($B$14,'Annual Parameters'!$B$33:$W$143,3,FALSE)/VLOOKUP('Source VoT'!$E$27,'Annual Parameters'!$B$33:$W$143,3,FALSE)</f>
        <v>10.104140284440927</v>
      </c>
      <c r="AV28" s="73">
        <f>'Source VoT'!$D$39*VLOOKUP($B28,'Indirect tax correction'!$B$27:$I$127,7,FALSE)*VLOOKUP($B28,'Annual Parameters'!$B$33:$W$143,21,FALSE)/VLOOKUP('Source VoT'!$F$27,'Annual Parameters'!$B$33:$W$143,21,FALSE)*VLOOKUP($B$14,'Annual Parameters'!$B$33:$W$143,3,FALSE)/VLOOKUP('Source VoT'!$E$27,'Annual Parameters'!$B$33:$W$143,3,FALSE)</f>
        <v>17.830233991272017</v>
      </c>
      <c r="AW28" s="74">
        <f>'Source VoT'!$D$40*VLOOKUP($B28,'Indirect tax correction'!$B$27:$I$127,7,FALSE)*VLOOKUP($B28,'Annual Parameters'!$B$33:$W$143,21,FALSE)/VLOOKUP('Source VoT'!$F$27,'Annual Parameters'!$B$33:$W$143,21,FALSE)*VLOOKUP($B$14,'Annual Parameters'!$B$33:$W$143,3,FALSE)/VLOOKUP('Source VoT'!$E$27,'Annual Parameters'!$B$33:$W$143,3,FALSE)</f>
        <v>19.421193496875311</v>
      </c>
      <c r="AX28" s="73">
        <f>'Source VoT'!$D$45*VLOOKUP($B28,'Indirect tax correction'!$B$27:$I$127,8,FALSE)*VLOOKUP($B28,'Annual Parameters'!$B$33:$W$143,22,FALSE)/VLOOKUP('Source VoT'!$F$27,'Annual Parameters'!$B$33:$W$143,22,FALSE)*VLOOKUP($B$14,'Annual Parameters'!$B$33:$W$143,3,FALSE)/VLOOKUP('Source VoT'!$E$27,'Annual Parameters'!$B$33:$W$143,3,FALSE)</f>
        <v>10.032631897491353</v>
      </c>
      <c r="AY28" s="74">
        <f>'Source VoT'!$D$46*VLOOKUP($B28,'Indirect tax correction'!$B$27:$I$127,8,FALSE)*VLOOKUP($B28,'Annual Parameters'!$B$33:$W$143,22,FALSE)/VLOOKUP('Source VoT'!$F$27,'Annual Parameters'!$B$33:$W$143,22,FALSE)*VLOOKUP($B$14,'Annual Parameters'!$B$33:$W$143,3,FALSE)/VLOOKUP('Source VoT'!$E$27,'Annual Parameters'!$B$33:$W$143,3,FALSE)</f>
        <v>4.5791942785166855</v>
      </c>
      <c r="AZ28" s="2875"/>
      <c r="BA28" s="2875"/>
      <c r="BB28" s="2875"/>
      <c r="BC28" s="2875"/>
      <c r="BD28" s="2875"/>
      <c r="BE28" s="2875"/>
      <c r="BF28" s="2875"/>
      <c r="BG28" s="2875"/>
      <c r="BH28" s="2875"/>
    </row>
    <row r="29" spans="1:60" ht="13.5" customHeight="1">
      <c r="A29" s="90"/>
      <c r="B29" s="82">
        <f>B28+1</f>
        <v>2012</v>
      </c>
      <c r="C29" s="82"/>
      <c r="D29" s="117">
        <f>'Source VoT'!$D$27*VLOOKUP($B29,'Indirect tax correction'!$B$27:$I$127,5,FALSE)*VLOOKUP($B29,'Annual Parameters'!$B$33:$W$143,21,FALSE)/VLOOKUP('Source VoT'!$F$27,'Annual Parameters'!$B$33:$W$143,21,FALSE)*VLOOKUP($B$14,'Annual Parameters'!$B$33:$W$143,3,FALSE)/VLOOKUP('Source VoT'!$E$27,'Annual Parameters'!$B$33:$W$143,3,FALSE)</f>
        <v>15.100019187465946</v>
      </c>
      <c r="E29" s="73">
        <f>'Source VoT'!$D$28*VLOOKUP($B29,'Indirect tax correction'!$B$27:$I$127,5,FALSE)*VLOOKUP($B29,'Annual Parameters'!$B$33:$W$143,21,FALSE)/VLOOKUP('Source VoT'!$F$27,'Annual Parameters'!$B$33:$W$143,21,FALSE)*VLOOKUP($B$14,'Annual Parameters'!$B$33:$W$143,3,FALSE)/VLOOKUP('Source VoT'!$E$27,'Annual Parameters'!$B$33:$W$143,3,FALSE)</f>
        <v>15.100019187465946</v>
      </c>
      <c r="F29" s="73">
        <f>'Source VoT'!$D$29*VLOOKUP($B29,'Indirect tax correction'!$B$27:$I$127,5,FALSE)*VLOOKUP($B29,'Annual Parameters'!$B$33:$W$143,21,FALSE)/VLOOKUP('Source VoT'!$F$27,'Annual Parameters'!$B$33:$W$143,21,FALSE)*VLOOKUP($B$14,'Annual Parameters'!$B$33:$W$143,3,FALSE)/VLOOKUP('Source VoT'!$E$27,'Annual Parameters'!$B$33:$W$143,3,FALSE)</f>
        <v>10.397529796371595</v>
      </c>
      <c r="G29" s="73">
        <f>'Source VoT'!$D$30*VLOOKUP($B29,'Indirect tax correction'!$B$27:$I$127,5,FALSE)*VLOOKUP($B29,'Annual Parameters'!$B$33:$W$143,21,FALSE)/VLOOKUP('Source VoT'!$F$27,'Annual Parameters'!$B$33:$W$143,21,FALSE)*VLOOKUP($B$14,'Annual Parameters'!$B$33:$W$143,3,FALSE)/VLOOKUP('Source VoT'!$E$27,'Annual Parameters'!$B$33:$W$143,3,FALSE)</f>
        <v>12.250793209150793</v>
      </c>
      <c r="H29" s="73">
        <f>'Source VoT'!$D$31*VLOOKUP($B29,'Indirect tax correction'!$B$27:$I$127,5,FALSE)*VLOOKUP($B29,'Annual Parameters'!$B$33:$W$143,21,FALSE)/VLOOKUP('Source VoT'!$F$27,'Annual Parameters'!$B$33:$W$143,21,FALSE)*VLOOKUP($B$14,'Annual Parameters'!$B$33:$W$143,3,FALSE)/VLOOKUP('Source VoT'!$E$27,'Annual Parameters'!$B$33:$W$143,3,FALSE)</f>
        <v>12.515545125262106</v>
      </c>
      <c r="I29" s="73">
        <f>'Source VoT'!$D$32*VLOOKUP($B29,'Indirect tax correction'!$B$27:$I$127,5,FALSE)*VLOOKUP($B29,'Annual Parameters'!$B$33:$W$143,21,FALSE)/VLOOKUP('Source VoT'!$F$27,'Annual Parameters'!$B$33:$W$143,21,FALSE)*VLOOKUP($B$14,'Annual Parameters'!$B$33:$W$143,3,FALSE)/VLOOKUP('Source VoT'!$E$27,'Annual Parameters'!$B$33:$W$143,3,FALSE)</f>
        <v>8.5569663439408963</v>
      </c>
      <c r="J29" s="73">
        <f>'Source VoT'!$D$33*VLOOKUP($B29,'Indirect tax correction'!$B$27:$I$127,5,FALSE)*VLOOKUP($B29,'Annual Parameters'!$B$33:$W$143,21,FALSE)/VLOOKUP('Source VoT'!$F$27,'Annual Parameters'!$B$33:$W$143,21,FALSE)*VLOOKUP($B$14,'Annual Parameters'!$B$33:$W$143,3,FALSE)/VLOOKUP('Source VoT'!$E$27,'Annual Parameters'!$B$33:$W$143,3,FALSE)</f>
        <v>11.059409586649879</v>
      </c>
      <c r="K29" s="73">
        <f>'Source VoT'!$D$34*VLOOKUP($B29,'Indirect tax correction'!$B$27:$I$127,5,FALSE)*VLOOKUP($B29,'Annual Parameters'!$B$33:$W$143,21,FALSE)/VLOOKUP('Source VoT'!$F$27,'Annual Parameters'!$B$33:$W$143,21,FALSE)*VLOOKUP($B$14,'Annual Parameters'!$B$33:$W$143,3,FALSE)/VLOOKUP('Source VoT'!$E$27,'Annual Parameters'!$B$33:$W$143,3,FALSE)</f>
        <v>15.100019187465946</v>
      </c>
      <c r="L29" s="73">
        <f>'Source VoT'!$D$35*VLOOKUP($B29,'Indirect tax correction'!$B$27:$I$127,5,FALSE)*VLOOKUP($B29,'Annual Parameters'!$B$33:$W$143,21,FALSE)/VLOOKUP('Source VoT'!$F$27,'Annual Parameters'!$B$33:$W$143,21,FALSE)*VLOOKUP($B$14,'Annual Parameters'!$B$33:$W$143,3,FALSE)/VLOOKUP('Source VoT'!$E$27,'Annual Parameters'!$B$33:$W$143,3,FALSE)</f>
        <v>24.907668680662884</v>
      </c>
      <c r="M29" s="73">
        <f>'Source VoT'!$D$36*VLOOKUP($B29,'Indirect tax correction'!$B$27:$I$127,5,FALSE)*VLOOKUP($B29,'Annual Parameters'!$B$33:$W$143,21,FALSE)/VLOOKUP('Source VoT'!$F$27,'Annual Parameters'!$B$33:$W$143,21,FALSE)*VLOOKUP($B$14,'Annual Parameters'!$B$33:$W$143,3,FALSE)/VLOOKUP('Source VoT'!$E$27,'Annual Parameters'!$B$33:$W$143,3,FALSE)</f>
        <v>8.5569663439408963</v>
      </c>
      <c r="N29" s="73">
        <f>'Source VoT'!$D$37*VLOOKUP($B29,'Indirect tax correction'!$B$27:$I$127,5,FALSE)*VLOOKUP($B29,'Annual Parameters'!$B$33:$W$143,21,FALSE)/VLOOKUP('Source VoT'!$F$27,'Annual Parameters'!$B$33:$W$143,21,FALSE)*VLOOKUP($B$14,'Annual Parameters'!$B$33:$W$143,3,FALSE)/VLOOKUP('Source VoT'!$E$27,'Annual Parameters'!$B$33:$W$143,3,FALSE)</f>
        <v>8.5569663439408963</v>
      </c>
      <c r="O29" s="73">
        <f>'Source VoT'!$D$38*VLOOKUP($B29,'Indirect tax correction'!$B$27:$I$127,5,FALSE)*VLOOKUP($B29,'Annual Parameters'!$B$33:$W$143,21,FALSE)/VLOOKUP('Source VoT'!$F$27,'Annual Parameters'!$B$33:$W$143,21,FALSE)*VLOOKUP($B$14,'Annual Parameters'!$B$33:$W$143,3,FALSE)/VLOOKUP('Source VoT'!$E$27,'Annual Parameters'!$B$33:$W$143,3,FALSE)</f>
        <v>8.5569663439408963</v>
      </c>
      <c r="P29" s="73">
        <f>'Source VoT'!$D$39*VLOOKUP($B29,'Indirect tax correction'!$B$27:$I$127,5,FALSE)*VLOOKUP($B29,'Annual Parameters'!$B$33:$W$143,21,FALSE)/VLOOKUP('Source VoT'!$F$27,'Annual Parameters'!$B$33:$W$143,21,FALSE)*VLOOKUP($B$14,'Annual Parameters'!$B$33:$W$143,3,FALSE)/VLOOKUP('Source VoT'!$E$27,'Annual Parameters'!$B$33:$W$143,3,FALSE)</f>
        <v>15.100019187465946</v>
      </c>
      <c r="Q29" s="74">
        <f>'Source VoT'!$D$40*VLOOKUP($B29,'Indirect tax correction'!$B$27:$I$127,5,FALSE)*VLOOKUP($B29,'Annual Parameters'!$B$33:$W$143,21,FALSE)/VLOOKUP('Source VoT'!$F$27,'Annual Parameters'!$B$33:$W$143,21,FALSE)*VLOOKUP($B$14,'Annual Parameters'!$B$33:$W$143,3,FALSE)/VLOOKUP('Source VoT'!$E$27,'Annual Parameters'!$B$33:$W$143,3,FALSE)</f>
        <v>16.447366567923808</v>
      </c>
      <c r="R29" s="73">
        <f>'Source VoT'!$D$45*VLOOKUP($B29,'Indirect tax correction'!$B$27:$I$127,6,FALSE)*VLOOKUP($B29,'Annual Parameters'!$B$33:$W$143,22,FALSE)/VLOOKUP('Source VoT'!$F$27,'Annual Parameters'!$B$33:$W$143,22,FALSE)*VLOOKUP($B$14,'Annual Parameters'!$B$33:$W$143,3,FALSE)/VLOOKUP('Source VoT'!$E$27,'Annual Parameters'!$B$33:$W$143,3,FALSE)</f>
        <v>8.4964075192203765</v>
      </c>
      <c r="S29" s="73">
        <f>'Source VoT'!$D$46*VLOOKUP($B29,'Indirect tax correction'!$B$27:$I$127,6,FALSE)*VLOOKUP($B29,'Annual Parameters'!$B$33:$W$143,22,FALSE)/VLOOKUP('Source VoT'!$F$27,'Annual Parameters'!$B$33:$W$143,22,FALSE)*VLOOKUP($B$14,'Annual Parameters'!$B$33:$W$143,3,FALSE)/VLOOKUP('Source VoT'!$E$27,'Annual Parameters'!$B$33:$W$143,3,FALSE)</f>
        <v>3.8780153699936566</v>
      </c>
      <c r="T29" s="117">
        <f>'Source VoT'!$D$27*1*VLOOKUP($B29,'Annual Parameters'!$B$33:$W$143,21,FALSE)/VLOOKUP('Source VoT'!$F$27,'Annual Parameters'!$B$33:$W$143,21,FALSE)*VLOOKUP($B$14,'Annual Parameters'!$B$33:$W$143,3,FALSE)/VLOOKUP('Source VoT'!$E$27,'Annual Parameters'!$B$33:$W$143,3,FALSE)</f>
        <v>15.100019187465946</v>
      </c>
      <c r="U29" s="73">
        <f>'Source VoT'!$D$28*1*VLOOKUP($B29,'Annual Parameters'!$B$33:$W$143,21,FALSE)/VLOOKUP('Source VoT'!$F$27,'Annual Parameters'!$B$33:$W$143,21,FALSE)*VLOOKUP($B$14,'Annual Parameters'!$B$33:$W$143,3,FALSE)/VLOOKUP('Source VoT'!$E$27,'Annual Parameters'!$B$33:$W$143,3,FALSE)</f>
        <v>15.100019187465946</v>
      </c>
      <c r="V29" s="73">
        <f>'Source VoT'!$D$29*1*VLOOKUP($B29,'Annual Parameters'!$B$33:$W$143,21,FALSE)/VLOOKUP('Source VoT'!$F$27,'Annual Parameters'!$B$33:$W$143,21,FALSE)*VLOOKUP($B$14,'Annual Parameters'!$B$33:$W$143,3,FALSE)/VLOOKUP('Source VoT'!$E$27,'Annual Parameters'!$B$33:$W$143,3,FALSE)</f>
        <v>10.397529796371595</v>
      </c>
      <c r="W29" s="73">
        <f>'Source VoT'!$D$30*1*VLOOKUP($B29,'Annual Parameters'!$B$33:$W$143,21,FALSE)/VLOOKUP('Source VoT'!$F$27,'Annual Parameters'!$B$33:$W$143,21,FALSE)*VLOOKUP($B$14,'Annual Parameters'!$B$33:$W$143,3,FALSE)/VLOOKUP('Source VoT'!$E$27,'Annual Parameters'!$B$33:$W$143,3,FALSE)</f>
        <v>12.250793209150793</v>
      </c>
      <c r="X29" s="73">
        <f>'Source VoT'!$D$31*1*VLOOKUP($B29,'Annual Parameters'!$B$33:$W$143,21,FALSE)/VLOOKUP('Source VoT'!$F$27,'Annual Parameters'!$B$33:$W$143,21,FALSE)*VLOOKUP($B$14,'Annual Parameters'!$B$33:$W$143,3,FALSE)/VLOOKUP('Source VoT'!$E$27,'Annual Parameters'!$B$33:$W$143,3,FALSE)</f>
        <v>12.515545125262106</v>
      </c>
      <c r="Y29" s="73">
        <f>'Source VoT'!$D$32*1*VLOOKUP($B29,'Annual Parameters'!$B$33:$W$143,21,FALSE)/VLOOKUP('Source VoT'!$F$27,'Annual Parameters'!$B$33:$W$143,21,FALSE)*VLOOKUP($B$14,'Annual Parameters'!$B$33:$W$143,3,FALSE)/VLOOKUP('Source VoT'!$E$27,'Annual Parameters'!$B$33:$W$143,3,FALSE)</f>
        <v>8.5569663439408963</v>
      </c>
      <c r="Z29" s="73">
        <f>'Source VoT'!$D$33*1*VLOOKUP($B29,'Annual Parameters'!$B$33:$W$143,21,FALSE)/VLOOKUP('Source VoT'!$F$27,'Annual Parameters'!$B$33:$W$143,21,FALSE)*VLOOKUP($B$14,'Annual Parameters'!$B$33:$W$143,3,FALSE)/VLOOKUP('Source VoT'!$E$27,'Annual Parameters'!$B$33:$W$143,3,FALSE)</f>
        <v>11.059409586649879</v>
      </c>
      <c r="AA29" s="73">
        <f>'Source VoT'!$D$34*1*VLOOKUP($B29,'Annual Parameters'!$B$33:$W$143,21,FALSE)/VLOOKUP('Source VoT'!$F$27,'Annual Parameters'!$B$33:$W$143,21,FALSE)*VLOOKUP($B$14,'Annual Parameters'!$B$33:$W$143,3,FALSE)/VLOOKUP('Source VoT'!$E$27,'Annual Parameters'!$B$33:$W$143,3,FALSE)</f>
        <v>15.100019187465946</v>
      </c>
      <c r="AB29" s="73">
        <f>'Source VoT'!$D$35*1*VLOOKUP($B29,'Annual Parameters'!$B$33:$W$143,21,FALSE)/VLOOKUP('Source VoT'!$F$27,'Annual Parameters'!$B$33:$W$143,21,FALSE)*VLOOKUP($B$14,'Annual Parameters'!$B$33:$W$143,3,FALSE)/VLOOKUP('Source VoT'!$E$27,'Annual Parameters'!$B$33:$W$143,3,FALSE)</f>
        <v>24.907668680662884</v>
      </c>
      <c r="AC29" s="73">
        <f>'Source VoT'!$D$36*1*VLOOKUP($B29,'Annual Parameters'!$B$33:$W$143,21,FALSE)/VLOOKUP('Source VoT'!$F$27,'Annual Parameters'!$B$33:$W$143,21,FALSE)*VLOOKUP($B$14,'Annual Parameters'!$B$33:$W$143,3,FALSE)/VLOOKUP('Source VoT'!$E$27,'Annual Parameters'!$B$33:$W$143,3,FALSE)</f>
        <v>8.5569663439408963</v>
      </c>
      <c r="AD29" s="73">
        <f>'Source VoT'!$D$37*1*VLOOKUP($B29,'Annual Parameters'!$B$33:$W$143,21,FALSE)/VLOOKUP('Source VoT'!$F$27,'Annual Parameters'!$B$33:$W$143,21,FALSE)*VLOOKUP($B$14,'Annual Parameters'!$B$33:$W$143,3,FALSE)/VLOOKUP('Source VoT'!$E$27,'Annual Parameters'!$B$33:$W$143,3,FALSE)</f>
        <v>8.5569663439408963</v>
      </c>
      <c r="AE29" s="73">
        <f>'Source VoT'!$D$38*1*VLOOKUP($B29,'Annual Parameters'!$B$33:$W$143,21,FALSE)/VLOOKUP('Source VoT'!$F$27,'Annual Parameters'!$B$33:$W$143,21,FALSE)*VLOOKUP($B$14,'Annual Parameters'!$B$33:$W$143,3,FALSE)/VLOOKUP('Source VoT'!$E$27,'Annual Parameters'!$B$33:$W$143,3,FALSE)</f>
        <v>8.5569663439408963</v>
      </c>
      <c r="AF29" s="73">
        <f>'Source VoT'!$D$39*1*VLOOKUP($B29,'Annual Parameters'!$B$33:$W$143,21,FALSE)/VLOOKUP('Source VoT'!$F$27,'Annual Parameters'!$B$33:$W$143,21,FALSE)*VLOOKUP($B$14,'Annual Parameters'!$B$33:$W$143,3,FALSE)/VLOOKUP('Source VoT'!$E$27,'Annual Parameters'!$B$33:$W$143,3,FALSE)</f>
        <v>15.100019187465946</v>
      </c>
      <c r="AG29" s="74">
        <f>'Source VoT'!$D$40*1*VLOOKUP($B29,'Annual Parameters'!$B$33:$W$143,21,FALSE)/VLOOKUP('Source VoT'!$F$27,'Annual Parameters'!$B$33:$W$143,21,FALSE)*VLOOKUP($B$14,'Annual Parameters'!$B$33:$W$143,3,FALSE)/VLOOKUP('Source VoT'!$E$27,'Annual Parameters'!$B$33:$W$143,3,FALSE)</f>
        <v>16.447366567923808</v>
      </c>
      <c r="AH29" s="73">
        <f>'Source VoT'!$D$45*1*VLOOKUP($B29,'Annual Parameters'!$B$33:$W$143,22,FALSE)/VLOOKUP('Source VoT'!$F$27,'Annual Parameters'!$B$33:$W$143,22,FALSE)*VLOOKUP($B$14,'Annual Parameters'!$B$33:$W$143,3,FALSE)/VLOOKUP('Source VoT'!$E$27,'Annual Parameters'!$B$33:$W$143,3,FALSE)</f>
        <v>10.110724947872248</v>
      </c>
      <c r="AI29" s="73">
        <f>'Source VoT'!$D$46*1*VLOOKUP($B29,'Annual Parameters'!$B$33:$W$143,22,FALSE)/VLOOKUP('Source VoT'!$F$27,'Annual Parameters'!$B$33:$W$143,22,FALSE)*VLOOKUP($B$14,'Annual Parameters'!$B$33:$W$143,3,FALSE)/VLOOKUP('Source VoT'!$E$27,'Annual Parameters'!$B$33:$W$143,3,FALSE)</f>
        <v>4.6148382902924521</v>
      </c>
      <c r="AJ29" s="117">
        <f>'Source VoT'!$D$27*VLOOKUP($B29,'Indirect tax correction'!$B$27:$I$127,7,FALSE)*VLOOKUP($B29,'Annual Parameters'!$B$33:$W$143,21,FALSE)/VLOOKUP('Source VoT'!$F$27,'Annual Parameters'!$B$33:$W$143,21,FALSE)*VLOOKUP($B$14,'Annual Parameters'!$B$33:$W$143,3,FALSE)/VLOOKUP('Source VoT'!$E$27,'Annual Parameters'!$B$33:$W$143,3,FALSE)</f>
        <v>17.969022833084477</v>
      </c>
      <c r="AK29" s="73">
        <f>'Source VoT'!$D$28*VLOOKUP($B29,'Indirect tax correction'!$B$27:$I$127,7,FALSE)*VLOOKUP($B29,'Annual Parameters'!$B$33:$W$143,21,FALSE)/VLOOKUP('Source VoT'!$F$27,'Annual Parameters'!$B$33:$W$143,21,FALSE)*VLOOKUP($B$14,'Annual Parameters'!$B$33:$W$143,3,FALSE)/VLOOKUP('Source VoT'!$E$27,'Annual Parameters'!$B$33:$W$143,3,FALSE)</f>
        <v>17.969022833084477</v>
      </c>
      <c r="AL29" s="73">
        <f>'Source VoT'!$D$29*VLOOKUP($B29,'Indirect tax correction'!$B$27:$I$127,7,FALSE)*VLOOKUP($B29,'Annual Parameters'!$B$33:$W$143,21,FALSE)/VLOOKUP('Source VoT'!$F$27,'Annual Parameters'!$B$33:$W$143,21,FALSE)*VLOOKUP($B$14,'Annual Parameters'!$B$33:$W$143,3,FALSE)/VLOOKUP('Source VoT'!$E$27,'Annual Parameters'!$B$33:$W$143,3,FALSE)</f>
        <v>12.3730604576822</v>
      </c>
      <c r="AM29" s="73">
        <f>'Source VoT'!$D$30*VLOOKUP($B29,'Indirect tax correction'!$B$27:$I$127,7,FALSE)*VLOOKUP($B29,'Annual Parameters'!$B$33:$W$143,21,FALSE)/VLOOKUP('Source VoT'!$F$27,'Annual Parameters'!$B$33:$W$143,21,FALSE)*VLOOKUP($B$14,'Annual Parameters'!$B$33:$W$143,3,FALSE)/VLOOKUP('Source VoT'!$E$27,'Annual Parameters'!$B$33:$W$143,3,FALSE)</f>
        <v>14.578443918889441</v>
      </c>
      <c r="AN29" s="73">
        <f>'Source VoT'!$D$31*VLOOKUP($B29,'Indirect tax correction'!$B$27:$I$127,7,FALSE)*VLOOKUP($B29,'Annual Parameters'!$B$33:$W$143,21,FALSE)/VLOOKUP('Source VoT'!$F$27,'Annual Parameters'!$B$33:$W$143,21,FALSE)*VLOOKUP($B$14,'Annual Parameters'!$B$33:$W$143,3,FALSE)/VLOOKUP('Source VoT'!$E$27,'Annual Parameters'!$B$33:$W$143,3,FALSE)</f>
        <v>14.893498699061904</v>
      </c>
      <c r="AO29" s="73">
        <f>'Source VoT'!$D$32*VLOOKUP($B29,'Indirect tax correction'!$B$27:$I$127,7,FALSE)*VLOOKUP($B29,'Annual Parameters'!$B$33:$W$143,21,FALSE)/VLOOKUP('Source VoT'!$F$27,'Annual Parameters'!$B$33:$W$143,21,FALSE)*VLOOKUP($B$14,'Annual Parameters'!$B$33:$W$143,3,FALSE)/VLOOKUP('Source VoT'!$E$27,'Annual Parameters'!$B$33:$W$143,3,FALSE)</f>
        <v>10.182789949289667</v>
      </c>
      <c r="AP29" s="73">
        <f>'Source VoT'!$D$33*VLOOKUP($B29,'Indirect tax correction'!$B$27:$I$127,7,FALSE)*VLOOKUP($B29,'Annual Parameters'!$B$33:$W$143,21,FALSE)/VLOOKUP('Source VoT'!$F$27,'Annual Parameters'!$B$33:$W$143,21,FALSE)*VLOOKUP($B$14,'Annual Parameters'!$B$33:$W$143,3,FALSE)/VLOOKUP('Source VoT'!$E$27,'Annual Parameters'!$B$33:$W$143,3,FALSE)</f>
        <v>13.160697408113355</v>
      </c>
      <c r="AQ29" s="73">
        <f>'Source VoT'!$D$34*VLOOKUP($B29,'Indirect tax correction'!$B$27:$I$127,7,FALSE)*VLOOKUP($B29,'Annual Parameters'!$B$33:$W$143,21,FALSE)/VLOOKUP('Source VoT'!$F$27,'Annual Parameters'!$B$33:$W$143,21,FALSE)*VLOOKUP($B$14,'Annual Parameters'!$B$33:$W$143,3,FALSE)/VLOOKUP('Source VoT'!$E$27,'Annual Parameters'!$B$33:$W$143,3,FALSE)</f>
        <v>17.969022833084477</v>
      </c>
      <c r="AR29" s="73">
        <f>'Source VoT'!$D$35*VLOOKUP($B29,'Indirect tax correction'!$B$27:$I$127,7,FALSE)*VLOOKUP($B29,'Annual Parameters'!$B$33:$W$143,21,FALSE)/VLOOKUP('Source VoT'!$F$27,'Annual Parameters'!$B$33:$W$143,21,FALSE)*VLOOKUP($B$14,'Annual Parameters'!$B$33:$W$143,3,FALSE)/VLOOKUP('Source VoT'!$E$27,'Annual Parameters'!$B$33:$W$143,3,FALSE)</f>
        <v>29.640125729988828</v>
      </c>
      <c r="AS29" s="73">
        <f>'Source VoT'!$D$36*VLOOKUP($B29,'Indirect tax correction'!$B$27:$I$127,7,FALSE)*VLOOKUP($B29,'Annual Parameters'!$B$33:$W$143,21,FALSE)/VLOOKUP('Source VoT'!$F$27,'Annual Parameters'!$B$33:$W$143,21,FALSE)*VLOOKUP($B$14,'Annual Parameters'!$B$33:$W$143,3,FALSE)/VLOOKUP('Source VoT'!$E$27,'Annual Parameters'!$B$33:$W$143,3,FALSE)</f>
        <v>10.182789949289667</v>
      </c>
      <c r="AT29" s="73">
        <f>'Source VoT'!$D$37*VLOOKUP($B29,'Indirect tax correction'!$B$27:$I$127,7,FALSE)*VLOOKUP($B29,'Annual Parameters'!$B$33:$W$143,21,FALSE)/VLOOKUP('Source VoT'!$F$27,'Annual Parameters'!$B$33:$W$143,21,FALSE)*VLOOKUP($B$14,'Annual Parameters'!$B$33:$W$143,3,FALSE)/VLOOKUP('Source VoT'!$E$27,'Annual Parameters'!$B$33:$W$143,3,FALSE)</f>
        <v>10.182789949289667</v>
      </c>
      <c r="AU29" s="73">
        <f>'Source VoT'!$D$38*VLOOKUP($B29,'Indirect tax correction'!$B$27:$I$127,7,FALSE)*VLOOKUP($B29,'Annual Parameters'!$B$33:$W$143,21,FALSE)/VLOOKUP('Source VoT'!$F$27,'Annual Parameters'!$B$33:$W$143,21,FALSE)*VLOOKUP($B$14,'Annual Parameters'!$B$33:$W$143,3,FALSE)/VLOOKUP('Source VoT'!$E$27,'Annual Parameters'!$B$33:$W$143,3,FALSE)</f>
        <v>10.182789949289667</v>
      </c>
      <c r="AV29" s="73">
        <f>'Source VoT'!$D$39*VLOOKUP($B29,'Indirect tax correction'!$B$27:$I$127,7,FALSE)*VLOOKUP($B29,'Annual Parameters'!$B$33:$W$143,21,FALSE)/VLOOKUP('Source VoT'!$F$27,'Annual Parameters'!$B$33:$W$143,21,FALSE)*VLOOKUP($B$14,'Annual Parameters'!$B$33:$W$143,3,FALSE)/VLOOKUP('Source VoT'!$E$27,'Annual Parameters'!$B$33:$W$143,3,FALSE)</f>
        <v>17.969022833084477</v>
      </c>
      <c r="AW29" s="74">
        <f>'Source VoT'!$D$40*VLOOKUP($B29,'Indirect tax correction'!$B$27:$I$127,7,FALSE)*VLOOKUP($B29,'Annual Parameters'!$B$33:$W$143,21,FALSE)/VLOOKUP('Source VoT'!$F$27,'Annual Parameters'!$B$33:$W$143,21,FALSE)*VLOOKUP($B$14,'Annual Parameters'!$B$33:$W$143,3,FALSE)/VLOOKUP('Source VoT'!$E$27,'Annual Parameters'!$B$33:$W$143,3,FALSE)</f>
        <v>19.572366215829334</v>
      </c>
      <c r="AX29" s="73">
        <f>'Source VoT'!$D$45*VLOOKUP($B29,'Indirect tax correction'!$B$27:$I$127,8,FALSE)*VLOOKUP($B29,'Annual Parameters'!$B$33:$W$143,22,FALSE)/VLOOKUP('Source VoT'!$F$27,'Annual Parameters'!$B$33:$W$143,22,FALSE)*VLOOKUP($B$14,'Annual Parameters'!$B$33:$W$143,3,FALSE)/VLOOKUP('Source VoT'!$E$27,'Annual Parameters'!$B$33:$W$143,3,FALSE)</f>
        <v>10.110724947872248</v>
      </c>
      <c r="AY29" s="74">
        <f>'Source VoT'!$D$46*VLOOKUP($B29,'Indirect tax correction'!$B$27:$I$127,8,FALSE)*VLOOKUP($B29,'Annual Parameters'!$B$33:$W$143,22,FALSE)/VLOOKUP('Source VoT'!$F$27,'Annual Parameters'!$B$33:$W$143,22,FALSE)*VLOOKUP($B$14,'Annual Parameters'!$B$33:$W$143,3,FALSE)/VLOOKUP('Source VoT'!$E$27,'Annual Parameters'!$B$33:$W$143,3,FALSE)</f>
        <v>4.6148382902924521</v>
      </c>
      <c r="AZ29" s="2875"/>
      <c r="BA29" s="2875"/>
      <c r="BB29" s="2875"/>
      <c r="BC29" s="2875"/>
      <c r="BD29" s="2875"/>
      <c r="BE29" s="2875"/>
      <c r="BF29" s="2875"/>
      <c r="BG29" s="2875"/>
      <c r="BH29" s="2875"/>
    </row>
    <row r="30" spans="1:60" ht="13.5" customHeight="1">
      <c r="A30" s="90"/>
      <c r="B30" s="82">
        <f t="shared" ref="B30:B93" si="0">B29+1</f>
        <v>2013</v>
      </c>
      <c r="C30" s="82"/>
      <c r="D30" s="117">
        <f>'Source VoT'!$D$27*VLOOKUP($B30,'Indirect tax correction'!$B$27:$I$127,5,FALSE)*VLOOKUP($B30,'Annual Parameters'!$B$33:$W$143,21,FALSE)/VLOOKUP('Source VoT'!$F$27,'Annual Parameters'!$B$33:$W$143,21,FALSE)*VLOOKUP($B$14,'Annual Parameters'!$B$33:$W$143,3,FALSE)/VLOOKUP('Source VoT'!$E$27,'Annual Parameters'!$B$33:$W$143,3,FALSE)</f>
        <v>15.31269503517885</v>
      </c>
      <c r="E30" s="73">
        <f>'Source VoT'!$D$28*VLOOKUP($B30,'Indirect tax correction'!$B$27:$I$127,5,FALSE)*VLOOKUP($B30,'Annual Parameters'!$B$33:$W$143,21,FALSE)/VLOOKUP('Source VoT'!$F$27,'Annual Parameters'!$B$33:$W$143,21,FALSE)*VLOOKUP($B$14,'Annual Parameters'!$B$33:$W$143,3,FALSE)/VLOOKUP('Source VoT'!$E$27,'Annual Parameters'!$B$33:$W$143,3,FALSE)</f>
        <v>15.31269503517885</v>
      </c>
      <c r="F30" s="73">
        <f>'Source VoT'!$D$29*VLOOKUP($B30,'Indirect tax correction'!$B$27:$I$127,5,FALSE)*VLOOKUP($B30,'Annual Parameters'!$B$33:$W$143,21,FALSE)/VLOOKUP('Source VoT'!$F$27,'Annual Parameters'!$B$33:$W$143,21,FALSE)*VLOOKUP($B$14,'Annual Parameters'!$B$33:$W$143,3,FALSE)/VLOOKUP('Source VoT'!$E$27,'Annual Parameters'!$B$33:$W$143,3,FALSE)</f>
        <v>10.543973548270865</v>
      </c>
      <c r="G30" s="73">
        <f>'Source VoT'!$D$30*VLOOKUP($B30,'Indirect tax correction'!$B$27:$I$127,5,FALSE)*VLOOKUP($B30,'Annual Parameters'!$B$33:$W$143,21,FALSE)/VLOOKUP('Source VoT'!$F$27,'Annual Parameters'!$B$33:$W$143,21,FALSE)*VLOOKUP($B$14,'Annual Parameters'!$B$33:$W$143,3,FALSE)/VLOOKUP('Source VoT'!$E$27,'Annual Parameters'!$B$33:$W$143,3,FALSE)</f>
        <v>12.423339203865439</v>
      </c>
      <c r="H30" s="73">
        <f>'Source VoT'!$D$31*VLOOKUP($B30,'Indirect tax correction'!$B$27:$I$127,5,FALSE)*VLOOKUP($B30,'Annual Parameters'!$B$33:$W$143,21,FALSE)/VLOOKUP('Source VoT'!$F$27,'Annual Parameters'!$B$33:$W$143,21,FALSE)*VLOOKUP($B$14,'Annual Parameters'!$B$33:$W$143,3,FALSE)/VLOOKUP('Source VoT'!$E$27,'Annual Parameters'!$B$33:$W$143,3,FALSE)</f>
        <v>12.691820011807524</v>
      </c>
      <c r="I30" s="73">
        <f>'Source VoT'!$D$32*VLOOKUP($B30,'Indirect tax correction'!$B$27:$I$127,5,FALSE)*VLOOKUP($B30,'Annual Parameters'!$B$33:$W$143,21,FALSE)/VLOOKUP('Source VoT'!$F$27,'Annual Parameters'!$B$33:$W$143,21,FALSE)*VLOOKUP($B$14,'Annual Parameters'!$B$33:$W$143,3,FALSE)/VLOOKUP('Source VoT'!$E$27,'Annual Parameters'!$B$33:$W$143,3,FALSE)</f>
        <v>8.6774867253029928</v>
      </c>
      <c r="J30" s="73">
        <f>'Source VoT'!$D$33*VLOOKUP($B30,'Indirect tax correction'!$B$27:$I$127,5,FALSE)*VLOOKUP($B30,'Annual Parameters'!$B$33:$W$143,21,FALSE)/VLOOKUP('Source VoT'!$F$27,'Annual Parameters'!$B$33:$W$143,21,FALSE)*VLOOKUP($B$14,'Annual Parameters'!$B$33:$W$143,3,FALSE)/VLOOKUP('Source VoT'!$E$27,'Annual Parameters'!$B$33:$W$143,3,FALSE)</f>
        <v>11.215175568126069</v>
      </c>
      <c r="K30" s="73">
        <f>'Source VoT'!$D$34*VLOOKUP($B30,'Indirect tax correction'!$B$27:$I$127,5,FALSE)*VLOOKUP($B30,'Annual Parameters'!$B$33:$W$143,21,FALSE)/VLOOKUP('Source VoT'!$F$27,'Annual Parameters'!$B$33:$W$143,21,FALSE)*VLOOKUP($B$14,'Annual Parameters'!$B$33:$W$143,3,FALSE)/VLOOKUP('Source VoT'!$E$27,'Annual Parameters'!$B$33:$W$143,3,FALSE)</f>
        <v>15.31269503517885</v>
      </c>
      <c r="L30" s="73">
        <f>'Source VoT'!$D$35*VLOOKUP($B30,'Indirect tax correction'!$B$27:$I$127,5,FALSE)*VLOOKUP($B30,'Annual Parameters'!$B$33:$W$143,21,FALSE)/VLOOKUP('Source VoT'!$F$27,'Annual Parameters'!$B$33:$W$143,21,FALSE)*VLOOKUP($B$14,'Annual Parameters'!$B$33:$W$143,3,FALSE)/VLOOKUP('Source VoT'!$E$27,'Annual Parameters'!$B$33:$W$143,3,FALSE)</f>
        <v>25.258480125697943</v>
      </c>
      <c r="M30" s="73">
        <f>'Source VoT'!$D$36*VLOOKUP($B30,'Indirect tax correction'!$B$27:$I$127,5,FALSE)*VLOOKUP($B30,'Annual Parameters'!$B$33:$W$143,21,FALSE)/VLOOKUP('Source VoT'!$F$27,'Annual Parameters'!$B$33:$W$143,21,FALSE)*VLOOKUP($B$14,'Annual Parameters'!$B$33:$W$143,3,FALSE)/VLOOKUP('Source VoT'!$E$27,'Annual Parameters'!$B$33:$W$143,3,FALSE)</f>
        <v>8.6774867253029928</v>
      </c>
      <c r="N30" s="73">
        <f>'Source VoT'!$D$37*VLOOKUP($B30,'Indirect tax correction'!$B$27:$I$127,5,FALSE)*VLOOKUP($B30,'Annual Parameters'!$B$33:$W$143,21,FALSE)/VLOOKUP('Source VoT'!$F$27,'Annual Parameters'!$B$33:$W$143,21,FALSE)*VLOOKUP($B$14,'Annual Parameters'!$B$33:$W$143,3,FALSE)/VLOOKUP('Source VoT'!$E$27,'Annual Parameters'!$B$33:$W$143,3,FALSE)</f>
        <v>8.6774867253029928</v>
      </c>
      <c r="O30" s="73">
        <f>'Source VoT'!$D$38*VLOOKUP($B30,'Indirect tax correction'!$B$27:$I$127,5,FALSE)*VLOOKUP($B30,'Annual Parameters'!$B$33:$W$143,21,FALSE)/VLOOKUP('Source VoT'!$F$27,'Annual Parameters'!$B$33:$W$143,21,FALSE)*VLOOKUP($B$14,'Annual Parameters'!$B$33:$W$143,3,FALSE)/VLOOKUP('Source VoT'!$E$27,'Annual Parameters'!$B$33:$W$143,3,FALSE)</f>
        <v>8.6774867253029928</v>
      </c>
      <c r="P30" s="73">
        <f>'Source VoT'!$D$39*VLOOKUP($B30,'Indirect tax correction'!$B$27:$I$127,5,FALSE)*VLOOKUP($B30,'Annual Parameters'!$B$33:$W$143,21,FALSE)/VLOOKUP('Source VoT'!$F$27,'Annual Parameters'!$B$33:$W$143,21,FALSE)*VLOOKUP($B$14,'Annual Parameters'!$B$33:$W$143,3,FALSE)/VLOOKUP('Source VoT'!$E$27,'Annual Parameters'!$B$33:$W$143,3,FALSE)</f>
        <v>15.31269503517885</v>
      </c>
      <c r="Q30" s="74">
        <f>'Source VoT'!$D$40*VLOOKUP($B30,'Indirect tax correction'!$B$27:$I$127,5,FALSE)*VLOOKUP($B30,'Annual Parameters'!$B$33:$W$143,21,FALSE)/VLOOKUP('Source VoT'!$F$27,'Annual Parameters'!$B$33:$W$143,21,FALSE)*VLOOKUP($B$14,'Annual Parameters'!$B$33:$W$143,3,FALSE)/VLOOKUP('Source VoT'!$E$27,'Annual Parameters'!$B$33:$W$143,3,FALSE)</f>
        <v>16.679019096576326</v>
      </c>
      <c r="R30" s="73">
        <f>'Source VoT'!$D$45*VLOOKUP($B30,'Indirect tax correction'!$B$27:$I$127,6,FALSE)*VLOOKUP($B30,'Annual Parameters'!$B$33:$W$143,22,FALSE)/VLOOKUP('Source VoT'!$F$27,'Annual Parameters'!$B$33:$W$143,22,FALSE)*VLOOKUP($B$14,'Annual Parameters'!$B$33:$W$143,3,FALSE)/VLOOKUP('Source VoT'!$E$27,'Annual Parameters'!$B$33:$W$143,3,FALSE)</f>
        <v>8.6160749613097458</v>
      </c>
      <c r="S30" s="73">
        <f>'Source VoT'!$D$46*VLOOKUP($B30,'Indirect tax correction'!$B$27:$I$127,6,FALSE)*VLOOKUP($B30,'Annual Parameters'!$B$33:$W$143,22,FALSE)/VLOOKUP('Source VoT'!$F$27,'Annual Parameters'!$B$33:$W$143,22,FALSE)*VLOOKUP($B$14,'Annual Parameters'!$B$33:$W$143,3,FALSE)/VLOOKUP('Source VoT'!$E$27,'Annual Parameters'!$B$33:$W$143,3,FALSE)</f>
        <v>3.9326351817977154</v>
      </c>
      <c r="T30" s="117">
        <f>'Source VoT'!$D$27*1*VLOOKUP($B30,'Annual Parameters'!$B$33:$W$143,21,FALSE)/VLOOKUP('Source VoT'!$F$27,'Annual Parameters'!$B$33:$W$143,21,FALSE)*VLOOKUP($B$14,'Annual Parameters'!$B$33:$W$143,3,FALSE)/VLOOKUP('Source VoT'!$E$27,'Annual Parameters'!$B$33:$W$143,3,FALSE)</f>
        <v>15.31269503517885</v>
      </c>
      <c r="U30" s="73">
        <f>'Source VoT'!$D$28*1*VLOOKUP($B30,'Annual Parameters'!$B$33:$W$143,21,FALSE)/VLOOKUP('Source VoT'!$F$27,'Annual Parameters'!$B$33:$W$143,21,FALSE)*VLOOKUP($B$14,'Annual Parameters'!$B$33:$W$143,3,FALSE)/VLOOKUP('Source VoT'!$E$27,'Annual Parameters'!$B$33:$W$143,3,FALSE)</f>
        <v>15.31269503517885</v>
      </c>
      <c r="V30" s="73">
        <f>'Source VoT'!$D$29*1*VLOOKUP($B30,'Annual Parameters'!$B$33:$W$143,21,FALSE)/VLOOKUP('Source VoT'!$F$27,'Annual Parameters'!$B$33:$W$143,21,FALSE)*VLOOKUP($B$14,'Annual Parameters'!$B$33:$W$143,3,FALSE)/VLOOKUP('Source VoT'!$E$27,'Annual Parameters'!$B$33:$W$143,3,FALSE)</f>
        <v>10.543973548270865</v>
      </c>
      <c r="W30" s="73">
        <f>'Source VoT'!$D$30*1*VLOOKUP($B30,'Annual Parameters'!$B$33:$W$143,21,FALSE)/VLOOKUP('Source VoT'!$F$27,'Annual Parameters'!$B$33:$W$143,21,FALSE)*VLOOKUP($B$14,'Annual Parameters'!$B$33:$W$143,3,FALSE)/VLOOKUP('Source VoT'!$E$27,'Annual Parameters'!$B$33:$W$143,3,FALSE)</f>
        <v>12.423339203865439</v>
      </c>
      <c r="X30" s="73">
        <f>'Source VoT'!$D$31*1*VLOOKUP($B30,'Annual Parameters'!$B$33:$W$143,21,FALSE)/VLOOKUP('Source VoT'!$F$27,'Annual Parameters'!$B$33:$W$143,21,FALSE)*VLOOKUP($B$14,'Annual Parameters'!$B$33:$W$143,3,FALSE)/VLOOKUP('Source VoT'!$E$27,'Annual Parameters'!$B$33:$W$143,3,FALSE)</f>
        <v>12.691820011807524</v>
      </c>
      <c r="Y30" s="73">
        <f>'Source VoT'!$D$32*1*VLOOKUP($B30,'Annual Parameters'!$B$33:$W$143,21,FALSE)/VLOOKUP('Source VoT'!$F$27,'Annual Parameters'!$B$33:$W$143,21,FALSE)*VLOOKUP($B$14,'Annual Parameters'!$B$33:$W$143,3,FALSE)/VLOOKUP('Source VoT'!$E$27,'Annual Parameters'!$B$33:$W$143,3,FALSE)</f>
        <v>8.6774867253029928</v>
      </c>
      <c r="Z30" s="73">
        <f>'Source VoT'!$D$33*1*VLOOKUP($B30,'Annual Parameters'!$B$33:$W$143,21,FALSE)/VLOOKUP('Source VoT'!$F$27,'Annual Parameters'!$B$33:$W$143,21,FALSE)*VLOOKUP($B$14,'Annual Parameters'!$B$33:$W$143,3,FALSE)/VLOOKUP('Source VoT'!$E$27,'Annual Parameters'!$B$33:$W$143,3,FALSE)</f>
        <v>11.215175568126069</v>
      </c>
      <c r="AA30" s="73">
        <f>'Source VoT'!$D$34*1*VLOOKUP($B30,'Annual Parameters'!$B$33:$W$143,21,FALSE)/VLOOKUP('Source VoT'!$F$27,'Annual Parameters'!$B$33:$W$143,21,FALSE)*VLOOKUP($B$14,'Annual Parameters'!$B$33:$W$143,3,FALSE)/VLOOKUP('Source VoT'!$E$27,'Annual Parameters'!$B$33:$W$143,3,FALSE)</f>
        <v>15.31269503517885</v>
      </c>
      <c r="AB30" s="73">
        <f>'Source VoT'!$D$35*1*VLOOKUP($B30,'Annual Parameters'!$B$33:$W$143,21,FALSE)/VLOOKUP('Source VoT'!$F$27,'Annual Parameters'!$B$33:$W$143,21,FALSE)*VLOOKUP($B$14,'Annual Parameters'!$B$33:$W$143,3,FALSE)/VLOOKUP('Source VoT'!$E$27,'Annual Parameters'!$B$33:$W$143,3,FALSE)</f>
        <v>25.258480125697943</v>
      </c>
      <c r="AC30" s="73">
        <f>'Source VoT'!$D$36*1*VLOOKUP($B30,'Annual Parameters'!$B$33:$W$143,21,FALSE)/VLOOKUP('Source VoT'!$F$27,'Annual Parameters'!$B$33:$W$143,21,FALSE)*VLOOKUP($B$14,'Annual Parameters'!$B$33:$W$143,3,FALSE)/VLOOKUP('Source VoT'!$E$27,'Annual Parameters'!$B$33:$W$143,3,FALSE)</f>
        <v>8.6774867253029928</v>
      </c>
      <c r="AD30" s="73">
        <f>'Source VoT'!$D$37*1*VLOOKUP($B30,'Annual Parameters'!$B$33:$W$143,21,FALSE)/VLOOKUP('Source VoT'!$F$27,'Annual Parameters'!$B$33:$W$143,21,FALSE)*VLOOKUP($B$14,'Annual Parameters'!$B$33:$W$143,3,FALSE)/VLOOKUP('Source VoT'!$E$27,'Annual Parameters'!$B$33:$W$143,3,FALSE)</f>
        <v>8.6774867253029928</v>
      </c>
      <c r="AE30" s="73">
        <f>'Source VoT'!$D$38*1*VLOOKUP($B30,'Annual Parameters'!$B$33:$W$143,21,FALSE)/VLOOKUP('Source VoT'!$F$27,'Annual Parameters'!$B$33:$W$143,21,FALSE)*VLOOKUP($B$14,'Annual Parameters'!$B$33:$W$143,3,FALSE)/VLOOKUP('Source VoT'!$E$27,'Annual Parameters'!$B$33:$W$143,3,FALSE)</f>
        <v>8.6774867253029928</v>
      </c>
      <c r="AF30" s="73">
        <f>'Source VoT'!$D$39*1*VLOOKUP($B30,'Annual Parameters'!$B$33:$W$143,21,FALSE)/VLOOKUP('Source VoT'!$F$27,'Annual Parameters'!$B$33:$W$143,21,FALSE)*VLOOKUP($B$14,'Annual Parameters'!$B$33:$W$143,3,FALSE)/VLOOKUP('Source VoT'!$E$27,'Annual Parameters'!$B$33:$W$143,3,FALSE)</f>
        <v>15.31269503517885</v>
      </c>
      <c r="AG30" s="74">
        <f>'Source VoT'!$D$40*1*VLOOKUP($B30,'Annual Parameters'!$B$33:$W$143,21,FALSE)/VLOOKUP('Source VoT'!$F$27,'Annual Parameters'!$B$33:$W$143,21,FALSE)*VLOOKUP($B$14,'Annual Parameters'!$B$33:$W$143,3,FALSE)/VLOOKUP('Source VoT'!$E$27,'Annual Parameters'!$B$33:$W$143,3,FALSE)</f>
        <v>16.679019096576326</v>
      </c>
      <c r="AH30" s="73">
        <f>'Source VoT'!$D$45*1*VLOOKUP($B30,'Annual Parameters'!$B$33:$W$143,22,FALSE)/VLOOKUP('Source VoT'!$F$27,'Annual Parameters'!$B$33:$W$143,22,FALSE)*VLOOKUP($B$14,'Annual Parameters'!$B$33:$W$143,3,FALSE)/VLOOKUP('Source VoT'!$E$27,'Annual Parameters'!$B$33:$W$143,3,FALSE)</f>
        <v>10.253129203958597</v>
      </c>
      <c r="AI30" s="73">
        <f>'Source VoT'!$D$46*1*VLOOKUP($B30,'Annual Parameters'!$B$33:$W$143,22,FALSE)/VLOOKUP('Source VoT'!$F$27,'Annual Parameters'!$B$33:$W$143,22,FALSE)*VLOOKUP($B$14,'Annual Parameters'!$B$33:$W$143,3,FALSE)/VLOOKUP('Source VoT'!$E$27,'Annual Parameters'!$B$33:$W$143,3,FALSE)</f>
        <v>4.6798358663392809</v>
      </c>
      <c r="AJ30" s="117">
        <f>'Source VoT'!$D$27*VLOOKUP($B30,'Indirect tax correction'!$B$27:$I$127,7,FALSE)*VLOOKUP($B30,'Annual Parameters'!$B$33:$W$143,21,FALSE)/VLOOKUP('Source VoT'!$F$27,'Annual Parameters'!$B$33:$W$143,21,FALSE)*VLOOKUP($B$14,'Annual Parameters'!$B$33:$W$143,3,FALSE)/VLOOKUP('Source VoT'!$E$27,'Annual Parameters'!$B$33:$W$143,3,FALSE)</f>
        <v>18.222107091862828</v>
      </c>
      <c r="AK30" s="73">
        <f>'Source VoT'!$D$28*VLOOKUP($B30,'Indirect tax correction'!$B$27:$I$127,7,FALSE)*VLOOKUP($B30,'Annual Parameters'!$B$33:$W$143,21,FALSE)/VLOOKUP('Source VoT'!$F$27,'Annual Parameters'!$B$33:$W$143,21,FALSE)*VLOOKUP($B$14,'Annual Parameters'!$B$33:$W$143,3,FALSE)/VLOOKUP('Source VoT'!$E$27,'Annual Parameters'!$B$33:$W$143,3,FALSE)</f>
        <v>18.222107091862828</v>
      </c>
      <c r="AL30" s="73">
        <f>'Source VoT'!$D$29*VLOOKUP($B30,'Indirect tax correction'!$B$27:$I$127,7,FALSE)*VLOOKUP($B30,'Annual Parameters'!$B$33:$W$143,21,FALSE)/VLOOKUP('Source VoT'!$F$27,'Annual Parameters'!$B$33:$W$143,21,FALSE)*VLOOKUP($B$14,'Annual Parameters'!$B$33:$W$143,3,FALSE)/VLOOKUP('Source VoT'!$E$27,'Annual Parameters'!$B$33:$W$143,3,FALSE)</f>
        <v>12.547328522442331</v>
      </c>
      <c r="AM30" s="73">
        <f>'Source VoT'!$D$30*VLOOKUP($B30,'Indirect tax correction'!$B$27:$I$127,7,FALSE)*VLOOKUP($B30,'Annual Parameters'!$B$33:$W$143,21,FALSE)/VLOOKUP('Source VoT'!$F$27,'Annual Parameters'!$B$33:$W$143,21,FALSE)*VLOOKUP($B$14,'Annual Parameters'!$B$33:$W$143,3,FALSE)/VLOOKUP('Source VoT'!$E$27,'Annual Parameters'!$B$33:$W$143,3,FALSE)</f>
        <v>14.783773652599873</v>
      </c>
      <c r="AN30" s="73">
        <f>'Source VoT'!$D$31*VLOOKUP($B30,'Indirect tax correction'!$B$27:$I$127,7,FALSE)*VLOOKUP($B30,'Annual Parameters'!$B$33:$W$143,21,FALSE)/VLOOKUP('Source VoT'!$F$27,'Annual Parameters'!$B$33:$W$143,21,FALSE)*VLOOKUP($B$14,'Annual Parameters'!$B$33:$W$143,3,FALSE)/VLOOKUP('Source VoT'!$E$27,'Annual Parameters'!$B$33:$W$143,3,FALSE)</f>
        <v>15.103265814050951</v>
      </c>
      <c r="AO30" s="73">
        <f>'Source VoT'!$D$32*VLOOKUP($B30,'Indirect tax correction'!$B$27:$I$127,7,FALSE)*VLOOKUP($B30,'Annual Parameters'!$B$33:$W$143,21,FALSE)/VLOOKUP('Source VoT'!$F$27,'Annual Parameters'!$B$33:$W$143,21,FALSE)*VLOOKUP($B$14,'Annual Parameters'!$B$33:$W$143,3,FALSE)/VLOOKUP('Source VoT'!$E$27,'Annual Parameters'!$B$33:$W$143,3,FALSE)</f>
        <v>10.326209203110562</v>
      </c>
      <c r="AP30" s="73">
        <f>'Source VoT'!$D$33*VLOOKUP($B30,'Indirect tax correction'!$B$27:$I$127,7,FALSE)*VLOOKUP($B30,'Annual Parameters'!$B$33:$W$143,21,FALSE)/VLOOKUP('Source VoT'!$F$27,'Annual Parameters'!$B$33:$W$143,21,FALSE)*VLOOKUP($B$14,'Annual Parameters'!$B$33:$W$143,3,FALSE)/VLOOKUP('Source VoT'!$E$27,'Annual Parameters'!$B$33:$W$143,3,FALSE)</f>
        <v>13.346058926070022</v>
      </c>
      <c r="AQ30" s="73">
        <f>'Source VoT'!$D$34*VLOOKUP($B30,'Indirect tax correction'!$B$27:$I$127,7,FALSE)*VLOOKUP($B30,'Annual Parameters'!$B$33:$W$143,21,FALSE)/VLOOKUP('Source VoT'!$F$27,'Annual Parameters'!$B$33:$W$143,21,FALSE)*VLOOKUP($B$14,'Annual Parameters'!$B$33:$W$143,3,FALSE)/VLOOKUP('Source VoT'!$E$27,'Annual Parameters'!$B$33:$W$143,3,FALSE)</f>
        <v>18.222107091862828</v>
      </c>
      <c r="AR30" s="73">
        <f>'Source VoT'!$D$35*VLOOKUP($B30,'Indirect tax correction'!$B$27:$I$127,7,FALSE)*VLOOKUP($B30,'Annual Parameters'!$B$33:$W$143,21,FALSE)/VLOOKUP('Source VoT'!$F$27,'Annual Parameters'!$B$33:$W$143,21,FALSE)*VLOOKUP($B$14,'Annual Parameters'!$B$33:$W$143,3,FALSE)/VLOOKUP('Source VoT'!$E$27,'Annual Parameters'!$B$33:$W$143,3,FALSE)</f>
        <v>30.057591349580548</v>
      </c>
      <c r="AS30" s="73">
        <f>'Source VoT'!$D$36*VLOOKUP($B30,'Indirect tax correction'!$B$27:$I$127,7,FALSE)*VLOOKUP($B30,'Annual Parameters'!$B$33:$W$143,21,FALSE)/VLOOKUP('Source VoT'!$F$27,'Annual Parameters'!$B$33:$W$143,21,FALSE)*VLOOKUP($B$14,'Annual Parameters'!$B$33:$W$143,3,FALSE)/VLOOKUP('Source VoT'!$E$27,'Annual Parameters'!$B$33:$W$143,3,FALSE)</f>
        <v>10.326209203110562</v>
      </c>
      <c r="AT30" s="73">
        <f>'Source VoT'!$D$37*VLOOKUP($B30,'Indirect tax correction'!$B$27:$I$127,7,FALSE)*VLOOKUP($B30,'Annual Parameters'!$B$33:$W$143,21,FALSE)/VLOOKUP('Source VoT'!$F$27,'Annual Parameters'!$B$33:$W$143,21,FALSE)*VLOOKUP($B$14,'Annual Parameters'!$B$33:$W$143,3,FALSE)/VLOOKUP('Source VoT'!$E$27,'Annual Parameters'!$B$33:$W$143,3,FALSE)</f>
        <v>10.326209203110562</v>
      </c>
      <c r="AU30" s="73">
        <f>'Source VoT'!$D$38*VLOOKUP($B30,'Indirect tax correction'!$B$27:$I$127,7,FALSE)*VLOOKUP($B30,'Annual Parameters'!$B$33:$W$143,21,FALSE)/VLOOKUP('Source VoT'!$F$27,'Annual Parameters'!$B$33:$W$143,21,FALSE)*VLOOKUP($B$14,'Annual Parameters'!$B$33:$W$143,3,FALSE)/VLOOKUP('Source VoT'!$E$27,'Annual Parameters'!$B$33:$W$143,3,FALSE)</f>
        <v>10.326209203110562</v>
      </c>
      <c r="AV30" s="73">
        <f>'Source VoT'!$D$39*VLOOKUP($B30,'Indirect tax correction'!$B$27:$I$127,7,FALSE)*VLOOKUP($B30,'Annual Parameters'!$B$33:$W$143,21,FALSE)/VLOOKUP('Source VoT'!$F$27,'Annual Parameters'!$B$33:$W$143,21,FALSE)*VLOOKUP($B$14,'Annual Parameters'!$B$33:$W$143,3,FALSE)/VLOOKUP('Source VoT'!$E$27,'Annual Parameters'!$B$33:$W$143,3,FALSE)</f>
        <v>18.222107091862828</v>
      </c>
      <c r="AW30" s="74">
        <f>'Source VoT'!$D$40*VLOOKUP($B30,'Indirect tax correction'!$B$27:$I$127,7,FALSE)*VLOOKUP($B30,'Annual Parameters'!$B$33:$W$143,21,FALSE)/VLOOKUP('Source VoT'!$F$27,'Annual Parameters'!$B$33:$W$143,21,FALSE)*VLOOKUP($B$14,'Annual Parameters'!$B$33:$W$143,3,FALSE)/VLOOKUP('Source VoT'!$E$27,'Annual Parameters'!$B$33:$W$143,3,FALSE)</f>
        <v>19.848032724925826</v>
      </c>
      <c r="AX30" s="73">
        <f>'Source VoT'!$D$45*VLOOKUP($B30,'Indirect tax correction'!$B$27:$I$127,8,FALSE)*VLOOKUP($B30,'Annual Parameters'!$B$33:$W$143,22,FALSE)/VLOOKUP('Source VoT'!$F$27,'Annual Parameters'!$B$33:$W$143,22,FALSE)*VLOOKUP($B$14,'Annual Parameters'!$B$33:$W$143,3,FALSE)/VLOOKUP('Source VoT'!$E$27,'Annual Parameters'!$B$33:$W$143,3,FALSE)</f>
        <v>10.253129203958597</v>
      </c>
      <c r="AY30" s="74">
        <f>'Source VoT'!$D$46*VLOOKUP($B30,'Indirect tax correction'!$B$27:$I$127,8,FALSE)*VLOOKUP($B30,'Annual Parameters'!$B$33:$W$143,22,FALSE)/VLOOKUP('Source VoT'!$F$27,'Annual Parameters'!$B$33:$W$143,22,FALSE)*VLOOKUP($B$14,'Annual Parameters'!$B$33:$W$143,3,FALSE)/VLOOKUP('Source VoT'!$E$27,'Annual Parameters'!$B$33:$W$143,3,FALSE)</f>
        <v>4.6798358663392809</v>
      </c>
      <c r="AZ30" s="2875"/>
      <c r="BA30" s="2875"/>
      <c r="BB30" s="2875"/>
      <c r="BC30" s="2875"/>
      <c r="BD30" s="2875"/>
      <c r="BE30" s="2875"/>
      <c r="BF30" s="2875"/>
      <c r="BG30" s="2875"/>
      <c r="BH30" s="2875"/>
    </row>
    <row r="31" spans="1:60" ht="13.5" customHeight="1">
      <c r="A31" s="90"/>
      <c r="B31" s="82">
        <f t="shared" si="0"/>
        <v>2014</v>
      </c>
      <c r="C31" s="82"/>
      <c r="D31" s="117">
        <f>'Source VoT'!$D$27*VLOOKUP($B31,'Indirect tax correction'!$B$27:$I$127,5,FALSE)*VLOOKUP($B31,'Annual Parameters'!$B$33:$W$143,21,FALSE)/VLOOKUP('Source VoT'!$F$27,'Annual Parameters'!$B$33:$W$143,21,FALSE)*VLOOKUP($B$14,'Annual Parameters'!$B$33:$W$143,3,FALSE)/VLOOKUP('Source VoT'!$E$27,'Annual Parameters'!$B$33:$W$143,3,FALSE)</f>
        <v>15.644199389199105</v>
      </c>
      <c r="E31" s="73">
        <f>'Source VoT'!$D$28*VLOOKUP($B31,'Indirect tax correction'!$B$27:$I$127,5,FALSE)*VLOOKUP($B31,'Annual Parameters'!$B$33:$W$143,21,FALSE)/VLOOKUP('Source VoT'!$F$27,'Annual Parameters'!$B$33:$W$143,21,FALSE)*VLOOKUP($B$14,'Annual Parameters'!$B$33:$W$143,3,FALSE)/VLOOKUP('Source VoT'!$E$27,'Annual Parameters'!$B$33:$W$143,3,FALSE)</f>
        <v>15.644199389199105</v>
      </c>
      <c r="F31" s="73">
        <f>'Source VoT'!$D$29*VLOOKUP($B31,'Indirect tax correction'!$B$27:$I$127,5,FALSE)*VLOOKUP($B31,'Annual Parameters'!$B$33:$W$143,21,FALSE)/VLOOKUP('Source VoT'!$F$27,'Annual Parameters'!$B$33:$W$143,21,FALSE)*VLOOKUP($B$14,'Annual Parameters'!$B$33:$W$143,3,FALSE)/VLOOKUP('Source VoT'!$E$27,'Annual Parameters'!$B$33:$W$143,3,FALSE)</f>
        <v>10.77223990712514</v>
      </c>
      <c r="G31" s="73">
        <f>'Source VoT'!$D$30*VLOOKUP($B31,'Indirect tax correction'!$B$27:$I$127,5,FALSE)*VLOOKUP($B31,'Annual Parameters'!$B$33:$W$143,21,FALSE)/VLOOKUP('Source VoT'!$F$27,'Annual Parameters'!$B$33:$W$143,21,FALSE)*VLOOKUP($B$14,'Annual Parameters'!$B$33:$W$143,3,FALSE)/VLOOKUP('Source VoT'!$E$27,'Annual Parameters'!$B$33:$W$143,3,FALSE)</f>
        <v>12.692291927608094</v>
      </c>
      <c r="H31" s="73">
        <f>'Source VoT'!$D$31*VLOOKUP($B31,'Indirect tax correction'!$B$27:$I$127,5,FALSE)*VLOOKUP($B31,'Annual Parameters'!$B$33:$W$143,21,FALSE)/VLOOKUP('Source VoT'!$F$27,'Annual Parameters'!$B$33:$W$143,21,FALSE)*VLOOKUP($B$14,'Annual Parameters'!$B$33:$W$143,3,FALSE)/VLOOKUP('Source VoT'!$E$27,'Annual Parameters'!$B$33:$W$143,3,FALSE)</f>
        <v>12.966585073391373</v>
      </c>
      <c r="I31" s="73">
        <f>'Source VoT'!$D$32*VLOOKUP($B31,'Indirect tax correction'!$B$27:$I$127,5,FALSE)*VLOOKUP($B31,'Annual Parameters'!$B$33:$W$143,21,FALSE)/VLOOKUP('Source VoT'!$F$27,'Annual Parameters'!$B$33:$W$143,21,FALSE)*VLOOKUP($B$14,'Annual Parameters'!$B$33:$W$143,3,FALSE)/VLOOKUP('Source VoT'!$E$27,'Annual Parameters'!$B$33:$W$143,3,FALSE)</f>
        <v>8.8653455329643691</v>
      </c>
      <c r="J31" s="73">
        <f>'Source VoT'!$D$33*VLOOKUP($B31,'Indirect tax correction'!$B$27:$I$127,5,FALSE)*VLOOKUP($B31,'Annual Parameters'!$B$33:$W$143,21,FALSE)/VLOOKUP('Source VoT'!$F$27,'Annual Parameters'!$B$33:$W$143,21,FALSE)*VLOOKUP($B$14,'Annual Parameters'!$B$33:$W$143,3,FALSE)/VLOOKUP('Source VoT'!$E$27,'Annual Parameters'!$B$33:$W$143,3,FALSE)</f>
        <v>11.457972771583337</v>
      </c>
      <c r="K31" s="73">
        <f>'Source VoT'!$D$34*VLOOKUP($B31,'Indirect tax correction'!$B$27:$I$127,5,FALSE)*VLOOKUP($B31,'Annual Parameters'!$B$33:$W$143,21,FALSE)/VLOOKUP('Source VoT'!$F$27,'Annual Parameters'!$B$33:$W$143,21,FALSE)*VLOOKUP($B$14,'Annual Parameters'!$B$33:$W$143,3,FALSE)/VLOOKUP('Source VoT'!$E$27,'Annual Parameters'!$B$33:$W$143,3,FALSE)</f>
        <v>15.644199389199105</v>
      </c>
      <c r="L31" s="73">
        <f>'Source VoT'!$D$35*VLOOKUP($B31,'Indirect tax correction'!$B$27:$I$127,5,FALSE)*VLOOKUP($B31,'Annual Parameters'!$B$33:$W$143,21,FALSE)/VLOOKUP('Source VoT'!$F$27,'Annual Parameters'!$B$33:$W$143,21,FALSE)*VLOOKUP($B$14,'Annual Parameters'!$B$33:$W$143,3,FALSE)/VLOOKUP('Source VoT'!$E$27,'Annual Parameters'!$B$33:$W$143,3,FALSE)</f>
        <v>25.805300663713396</v>
      </c>
      <c r="M31" s="73">
        <f>'Source VoT'!$D$36*VLOOKUP($B31,'Indirect tax correction'!$B$27:$I$127,5,FALSE)*VLOOKUP($B31,'Annual Parameters'!$B$33:$W$143,21,FALSE)/VLOOKUP('Source VoT'!$F$27,'Annual Parameters'!$B$33:$W$143,21,FALSE)*VLOOKUP($B$14,'Annual Parameters'!$B$33:$W$143,3,FALSE)/VLOOKUP('Source VoT'!$E$27,'Annual Parameters'!$B$33:$W$143,3,FALSE)</f>
        <v>8.8653455329643691</v>
      </c>
      <c r="N31" s="73">
        <f>'Source VoT'!$D$37*VLOOKUP($B31,'Indirect tax correction'!$B$27:$I$127,5,FALSE)*VLOOKUP($B31,'Annual Parameters'!$B$33:$W$143,21,FALSE)/VLOOKUP('Source VoT'!$F$27,'Annual Parameters'!$B$33:$W$143,21,FALSE)*VLOOKUP($B$14,'Annual Parameters'!$B$33:$W$143,3,FALSE)/VLOOKUP('Source VoT'!$E$27,'Annual Parameters'!$B$33:$W$143,3,FALSE)</f>
        <v>8.8653455329643691</v>
      </c>
      <c r="O31" s="73">
        <f>'Source VoT'!$D$38*VLOOKUP($B31,'Indirect tax correction'!$B$27:$I$127,5,FALSE)*VLOOKUP($B31,'Annual Parameters'!$B$33:$W$143,21,FALSE)/VLOOKUP('Source VoT'!$F$27,'Annual Parameters'!$B$33:$W$143,21,FALSE)*VLOOKUP($B$14,'Annual Parameters'!$B$33:$W$143,3,FALSE)/VLOOKUP('Source VoT'!$E$27,'Annual Parameters'!$B$33:$W$143,3,FALSE)</f>
        <v>8.8653455329643691</v>
      </c>
      <c r="P31" s="73">
        <f>'Source VoT'!$D$39*VLOOKUP($B31,'Indirect tax correction'!$B$27:$I$127,5,FALSE)*VLOOKUP($B31,'Annual Parameters'!$B$33:$W$143,21,FALSE)/VLOOKUP('Source VoT'!$F$27,'Annual Parameters'!$B$33:$W$143,21,FALSE)*VLOOKUP($B$14,'Annual Parameters'!$B$33:$W$143,3,FALSE)/VLOOKUP('Source VoT'!$E$27,'Annual Parameters'!$B$33:$W$143,3,FALSE)</f>
        <v>15.644199389199105</v>
      </c>
      <c r="Q31" s="74">
        <f>'Source VoT'!$D$40*VLOOKUP($B31,'Indirect tax correction'!$B$27:$I$127,5,FALSE)*VLOOKUP($B31,'Annual Parameters'!$B$33:$W$143,21,FALSE)/VLOOKUP('Source VoT'!$F$27,'Annual Parameters'!$B$33:$W$143,21,FALSE)*VLOOKUP($B$14,'Annual Parameters'!$B$33:$W$143,3,FALSE)/VLOOKUP('Source VoT'!$E$27,'Annual Parameters'!$B$33:$W$143,3,FALSE)</f>
        <v>17.040102984069648</v>
      </c>
      <c r="R31" s="73">
        <f>'Source VoT'!$D$45*VLOOKUP($B31,'Indirect tax correction'!$B$27:$I$127,6,FALSE)*VLOOKUP($B31,'Annual Parameters'!$B$33:$W$143,22,FALSE)/VLOOKUP('Source VoT'!$F$27,'Annual Parameters'!$B$33:$W$143,22,FALSE)*VLOOKUP($B$14,'Annual Parameters'!$B$33:$W$143,3,FALSE)/VLOOKUP('Source VoT'!$E$27,'Annual Parameters'!$B$33:$W$143,3,FALSE)</f>
        <v>8.8026042664175161</v>
      </c>
      <c r="S31" s="73">
        <f>'Source VoT'!$D$46*VLOOKUP($B31,'Indirect tax correction'!$B$27:$I$127,6,FALSE)*VLOOKUP($B31,'Annual Parameters'!$B$33:$W$143,22,FALSE)/VLOOKUP('Source VoT'!$F$27,'Annual Parameters'!$B$33:$W$143,22,FALSE)*VLOOKUP($B$14,'Annual Parameters'!$B$33:$W$143,3,FALSE)/VLOOKUP('Source VoT'!$E$27,'Annual Parameters'!$B$33:$W$143,3,FALSE)</f>
        <v>4.0177727544160007</v>
      </c>
      <c r="T31" s="117">
        <f>'Source VoT'!$D$27*1*VLOOKUP($B31,'Annual Parameters'!$B$33:$W$143,21,FALSE)/VLOOKUP('Source VoT'!$F$27,'Annual Parameters'!$B$33:$W$143,21,FALSE)*VLOOKUP($B$14,'Annual Parameters'!$B$33:$W$143,3,FALSE)/VLOOKUP('Source VoT'!$E$27,'Annual Parameters'!$B$33:$W$143,3,FALSE)</f>
        <v>15.644199389199105</v>
      </c>
      <c r="U31" s="73">
        <f>'Source VoT'!$D$28*1*VLOOKUP($B31,'Annual Parameters'!$B$33:$W$143,21,FALSE)/VLOOKUP('Source VoT'!$F$27,'Annual Parameters'!$B$33:$W$143,21,FALSE)*VLOOKUP($B$14,'Annual Parameters'!$B$33:$W$143,3,FALSE)/VLOOKUP('Source VoT'!$E$27,'Annual Parameters'!$B$33:$W$143,3,FALSE)</f>
        <v>15.644199389199105</v>
      </c>
      <c r="V31" s="73">
        <f>'Source VoT'!$D$29*1*VLOOKUP($B31,'Annual Parameters'!$B$33:$W$143,21,FALSE)/VLOOKUP('Source VoT'!$F$27,'Annual Parameters'!$B$33:$W$143,21,FALSE)*VLOOKUP($B$14,'Annual Parameters'!$B$33:$W$143,3,FALSE)/VLOOKUP('Source VoT'!$E$27,'Annual Parameters'!$B$33:$W$143,3,FALSE)</f>
        <v>10.77223990712514</v>
      </c>
      <c r="W31" s="73">
        <f>'Source VoT'!$D$30*1*VLOOKUP($B31,'Annual Parameters'!$B$33:$W$143,21,FALSE)/VLOOKUP('Source VoT'!$F$27,'Annual Parameters'!$B$33:$W$143,21,FALSE)*VLOOKUP($B$14,'Annual Parameters'!$B$33:$W$143,3,FALSE)/VLOOKUP('Source VoT'!$E$27,'Annual Parameters'!$B$33:$W$143,3,FALSE)</f>
        <v>12.692291927608094</v>
      </c>
      <c r="X31" s="73">
        <f>'Source VoT'!$D$31*1*VLOOKUP($B31,'Annual Parameters'!$B$33:$W$143,21,FALSE)/VLOOKUP('Source VoT'!$F$27,'Annual Parameters'!$B$33:$W$143,21,FALSE)*VLOOKUP($B$14,'Annual Parameters'!$B$33:$W$143,3,FALSE)/VLOOKUP('Source VoT'!$E$27,'Annual Parameters'!$B$33:$W$143,3,FALSE)</f>
        <v>12.966585073391373</v>
      </c>
      <c r="Y31" s="73">
        <f>'Source VoT'!$D$32*1*VLOOKUP($B31,'Annual Parameters'!$B$33:$W$143,21,FALSE)/VLOOKUP('Source VoT'!$F$27,'Annual Parameters'!$B$33:$W$143,21,FALSE)*VLOOKUP($B$14,'Annual Parameters'!$B$33:$W$143,3,FALSE)/VLOOKUP('Source VoT'!$E$27,'Annual Parameters'!$B$33:$W$143,3,FALSE)</f>
        <v>8.8653455329643691</v>
      </c>
      <c r="Z31" s="73">
        <f>'Source VoT'!$D$33*1*VLOOKUP($B31,'Annual Parameters'!$B$33:$W$143,21,FALSE)/VLOOKUP('Source VoT'!$F$27,'Annual Parameters'!$B$33:$W$143,21,FALSE)*VLOOKUP($B$14,'Annual Parameters'!$B$33:$W$143,3,FALSE)/VLOOKUP('Source VoT'!$E$27,'Annual Parameters'!$B$33:$W$143,3,FALSE)</f>
        <v>11.457972771583337</v>
      </c>
      <c r="AA31" s="73">
        <f>'Source VoT'!$D$34*1*VLOOKUP($B31,'Annual Parameters'!$B$33:$W$143,21,FALSE)/VLOOKUP('Source VoT'!$F$27,'Annual Parameters'!$B$33:$W$143,21,FALSE)*VLOOKUP($B$14,'Annual Parameters'!$B$33:$W$143,3,FALSE)/VLOOKUP('Source VoT'!$E$27,'Annual Parameters'!$B$33:$W$143,3,FALSE)</f>
        <v>15.644199389199105</v>
      </c>
      <c r="AB31" s="73">
        <f>'Source VoT'!$D$35*1*VLOOKUP($B31,'Annual Parameters'!$B$33:$W$143,21,FALSE)/VLOOKUP('Source VoT'!$F$27,'Annual Parameters'!$B$33:$W$143,21,FALSE)*VLOOKUP($B$14,'Annual Parameters'!$B$33:$W$143,3,FALSE)/VLOOKUP('Source VoT'!$E$27,'Annual Parameters'!$B$33:$W$143,3,FALSE)</f>
        <v>25.805300663713396</v>
      </c>
      <c r="AC31" s="73">
        <f>'Source VoT'!$D$36*1*VLOOKUP($B31,'Annual Parameters'!$B$33:$W$143,21,FALSE)/VLOOKUP('Source VoT'!$F$27,'Annual Parameters'!$B$33:$W$143,21,FALSE)*VLOOKUP($B$14,'Annual Parameters'!$B$33:$W$143,3,FALSE)/VLOOKUP('Source VoT'!$E$27,'Annual Parameters'!$B$33:$W$143,3,FALSE)</f>
        <v>8.8653455329643691</v>
      </c>
      <c r="AD31" s="73">
        <f>'Source VoT'!$D$37*1*VLOOKUP($B31,'Annual Parameters'!$B$33:$W$143,21,FALSE)/VLOOKUP('Source VoT'!$F$27,'Annual Parameters'!$B$33:$W$143,21,FALSE)*VLOOKUP($B$14,'Annual Parameters'!$B$33:$W$143,3,FALSE)/VLOOKUP('Source VoT'!$E$27,'Annual Parameters'!$B$33:$W$143,3,FALSE)</f>
        <v>8.8653455329643691</v>
      </c>
      <c r="AE31" s="73">
        <f>'Source VoT'!$D$38*1*VLOOKUP($B31,'Annual Parameters'!$B$33:$W$143,21,FALSE)/VLOOKUP('Source VoT'!$F$27,'Annual Parameters'!$B$33:$W$143,21,FALSE)*VLOOKUP($B$14,'Annual Parameters'!$B$33:$W$143,3,FALSE)/VLOOKUP('Source VoT'!$E$27,'Annual Parameters'!$B$33:$W$143,3,FALSE)</f>
        <v>8.8653455329643691</v>
      </c>
      <c r="AF31" s="73">
        <f>'Source VoT'!$D$39*1*VLOOKUP($B31,'Annual Parameters'!$B$33:$W$143,21,FALSE)/VLOOKUP('Source VoT'!$F$27,'Annual Parameters'!$B$33:$W$143,21,FALSE)*VLOOKUP($B$14,'Annual Parameters'!$B$33:$W$143,3,FALSE)/VLOOKUP('Source VoT'!$E$27,'Annual Parameters'!$B$33:$W$143,3,FALSE)</f>
        <v>15.644199389199105</v>
      </c>
      <c r="AG31" s="74">
        <f>'Source VoT'!$D$40*1*VLOOKUP($B31,'Annual Parameters'!$B$33:$W$143,21,FALSE)/VLOOKUP('Source VoT'!$F$27,'Annual Parameters'!$B$33:$W$143,21,FALSE)*VLOOKUP($B$14,'Annual Parameters'!$B$33:$W$143,3,FALSE)/VLOOKUP('Source VoT'!$E$27,'Annual Parameters'!$B$33:$W$143,3,FALSE)</f>
        <v>17.040102984069648</v>
      </c>
      <c r="AH31" s="73">
        <f>'Source VoT'!$D$45*1*VLOOKUP($B31,'Annual Parameters'!$B$33:$W$143,22,FALSE)/VLOOKUP('Source VoT'!$F$27,'Annual Parameters'!$B$33:$W$143,22,FALSE)*VLOOKUP($B$14,'Annual Parameters'!$B$33:$W$143,3,FALSE)/VLOOKUP('Source VoT'!$E$27,'Annual Parameters'!$B$33:$W$143,3,FALSE)</f>
        <v>10.475099077036843</v>
      </c>
      <c r="AI31" s="73">
        <f>'Source VoT'!$D$46*1*VLOOKUP($B31,'Annual Parameters'!$B$33:$W$143,22,FALSE)/VLOOKUP('Source VoT'!$F$27,'Annual Parameters'!$B$33:$W$143,22,FALSE)*VLOOKUP($B$14,'Annual Parameters'!$B$33:$W$143,3,FALSE)/VLOOKUP('Source VoT'!$E$27,'Annual Parameters'!$B$33:$W$143,3,FALSE)</f>
        <v>4.7811495777550403</v>
      </c>
      <c r="AJ31" s="117">
        <f>'Source VoT'!$D$27*VLOOKUP($B31,'Indirect tax correction'!$B$27:$I$127,7,FALSE)*VLOOKUP($B31,'Annual Parameters'!$B$33:$W$143,21,FALSE)/VLOOKUP('Source VoT'!$F$27,'Annual Parameters'!$B$33:$W$143,21,FALSE)*VLOOKUP($B$14,'Annual Parameters'!$B$33:$W$143,3,FALSE)/VLOOKUP('Source VoT'!$E$27,'Annual Parameters'!$B$33:$W$143,3,FALSE)</f>
        <v>18.616597273146937</v>
      </c>
      <c r="AK31" s="73">
        <f>'Source VoT'!$D$28*VLOOKUP($B31,'Indirect tax correction'!$B$27:$I$127,7,FALSE)*VLOOKUP($B31,'Annual Parameters'!$B$33:$W$143,21,FALSE)/VLOOKUP('Source VoT'!$F$27,'Annual Parameters'!$B$33:$W$143,21,FALSE)*VLOOKUP($B$14,'Annual Parameters'!$B$33:$W$143,3,FALSE)/VLOOKUP('Source VoT'!$E$27,'Annual Parameters'!$B$33:$W$143,3,FALSE)</f>
        <v>18.616597273146937</v>
      </c>
      <c r="AL31" s="73">
        <f>'Source VoT'!$D$29*VLOOKUP($B31,'Indirect tax correction'!$B$27:$I$127,7,FALSE)*VLOOKUP($B31,'Annual Parameters'!$B$33:$W$143,21,FALSE)/VLOOKUP('Source VoT'!$F$27,'Annual Parameters'!$B$33:$W$143,21,FALSE)*VLOOKUP($B$14,'Annual Parameters'!$B$33:$W$143,3,FALSE)/VLOOKUP('Source VoT'!$E$27,'Annual Parameters'!$B$33:$W$143,3,FALSE)</f>
        <v>12.81896548947892</v>
      </c>
      <c r="AM31" s="73">
        <f>'Source VoT'!$D$30*VLOOKUP($B31,'Indirect tax correction'!$B$27:$I$127,7,FALSE)*VLOOKUP($B31,'Annual Parameters'!$B$33:$W$143,21,FALSE)/VLOOKUP('Source VoT'!$F$27,'Annual Parameters'!$B$33:$W$143,21,FALSE)*VLOOKUP($B$14,'Annual Parameters'!$B$33:$W$143,3,FALSE)/VLOOKUP('Source VoT'!$E$27,'Annual Parameters'!$B$33:$W$143,3,FALSE)</f>
        <v>15.10382739385363</v>
      </c>
      <c r="AN31" s="73">
        <f>'Source VoT'!$D$31*VLOOKUP($B31,'Indirect tax correction'!$B$27:$I$127,7,FALSE)*VLOOKUP($B31,'Annual Parameters'!$B$33:$W$143,21,FALSE)/VLOOKUP('Source VoT'!$F$27,'Annual Parameters'!$B$33:$W$143,21,FALSE)*VLOOKUP($B$14,'Annual Parameters'!$B$33:$W$143,3,FALSE)/VLOOKUP('Source VoT'!$E$27,'Annual Parameters'!$B$33:$W$143,3,FALSE)</f>
        <v>15.430236237335738</v>
      </c>
      <c r="AO31" s="73">
        <f>'Source VoT'!$D$32*VLOOKUP($B31,'Indirect tax correction'!$B$27:$I$127,7,FALSE)*VLOOKUP($B31,'Annual Parameters'!$B$33:$W$143,21,FALSE)/VLOOKUP('Source VoT'!$F$27,'Annual Parameters'!$B$33:$W$143,21,FALSE)*VLOOKUP($B$14,'Annual Parameters'!$B$33:$W$143,3,FALSE)/VLOOKUP('Source VoT'!$E$27,'Annual Parameters'!$B$33:$W$143,3,FALSE)</f>
        <v>10.549761184227599</v>
      </c>
      <c r="AP31" s="73">
        <f>'Source VoT'!$D$33*VLOOKUP($B31,'Indirect tax correction'!$B$27:$I$127,7,FALSE)*VLOOKUP($B31,'Annual Parameters'!$B$33:$W$143,21,FALSE)/VLOOKUP('Source VoT'!$F$27,'Annual Parameters'!$B$33:$W$143,21,FALSE)*VLOOKUP($B$14,'Annual Parameters'!$B$33:$W$143,3,FALSE)/VLOOKUP('Source VoT'!$E$27,'Annual Parameters'!$B$33:$W$143,3,FALSE)</f>
        <v>13.634987598184171</v>
      </c>
      <c r="AQ31" s="73">
        <f>'Source VoT'!$D$34*VLOOKUP($B31,'Indirect tax correction'!$B$27:$I$127,7,FALSE)*VLOOKUP($B31,'Annual Parameters'!$B$33:$W$143,21,FALSE)/VLOOKUP('Source VoT'!$F$27,'Annual Parameters'!$B$33:$W$143,21,FALSE)*VLOOKUP($B$14,'Annual Parameters'!$B$33:$W$143,3,FALSE)/VLOOKUP('Source VoT'!$E$27,'Annual Parameters'!$B$33:$W$143,3,FALSE)</f>
        <v>18.616597273146937</v>
      </c>
      <c r="AR31" s="73">
        <f>'Source VoT'!$D$35*VLOOKUP($B31,'Indirect tax correction'!$B$27:$I$127,7,FALSE)*VLOOKUP($B31,'Annual Parameters'!$B$33:$W$143,21,FALSE)/VLOOKUP('Source VoT'!$F$27,'Annual Parameters'!$B$33:$W$143,21,FALSE)*VLOOKUP($B$14,'Annual Parameters'!$B$33:$W$143,3,FALSE)/VLOOKUP('Source VoT'!$E$27,'Annual Parameters'!$B$33:$W$143,3,FALSE)</f>
        <v>30.708307789818935</v>
      </c>
      <c r="AS31" s="73">
        <f>'Source VoT'!$D$36*VLOOKUP($B31,'Indirect tax correction'!$B$27:$I$127,7,FALSE)*VLOOKUP($B31,'Annual Parameters'!$B$33:$W$143,21,FALSE)/VLOOKUP('Source VoT'!$F$27,'Annual Parameters'!$B$33:$W$143,21,FALSE)*VLOOKUP($B$14,'Annual Parameters'!$B$33:$W$143,3,FALSE)/VLOOKUP('Source VoT'!$E$27,'Annual Parameters'!$B$33:$W$143,3,FALSE)</f>
        <v>10.549761184227599</v>
      </c>
      <c r="AT31" s="73">
        <f>'Source VoT'!$D$37*VLOOKUP($B31,'Indirect tax correction'!$B$27:$I$127,7,FALSE)*VLOOKUP($B31,'Annual Parameters'!$B$33:$W$143,21,FALSE)/VLOOKUP('Source VoT'!$F$27,'Annual Parameters'!$B$33:$W$143,21,FALSE)*VLOOKUP($B$14,'Annual Parameters'!$B$33:$W$143,3,FALSE)/VLOOKUP('Source VoT'!$E$27,'Annual Parameters'!$B$33:$W$143,3,FALSE)</f>
        <v>10.549761184227599</v>
      </c>
      <c r="AU31" s="73">
        <f>'Source VoT'!$D$38*VLOOKUP($B31,'Indirect tax correction'!$B$27:$I$127,7,FALSE)*VLOOKUP($B31,'Annual Parameters'!$B$33:$W$143,21,FALSE)/VLOOKUP('Source VoT'!$F$27,'Annual Parameters'!$B$33:$W$143,21,FALSE)*VLOOKUP($B$14,'Annual Parameters'!$B$33:$W$143,3,FALSE)/VLOOKUP('Source VoT'!$E$27,'Annual Parameters'!$B$33:$W$143,3,FALSE)</f>
        <v>10.549761184227599</v>
      </c>
      <c r="AV31" s="73">
        <f>'Source VoT'!$D$39*VLOOKUP($B31,'Indirect tax correction'!$B$27:$I$127,7,FALSE)*VLOOKUP($B31,'Annual Parameters'!$B$33:$W$143,21,FALSE)/VLOOKUP('Source VoT'!$F$27,'Annual Parameters'!$B$33:$W$143,21,FALSE)*VLOOKUP($B$14,'Annual Parameters'!$B$33:$W$143,3,FALSE)/VLOOKUP('Source VoT'!$E$27,'Annual Parameters'!$B$33:$W$143,3,FALSE)</f>
        <v>18.616597273146937</v>
      </c>
      <c r="AW31" s="74">
        <f>'Source VoT'!$D$40*VLOOKUP($B31,'Indirect tax correction'!$B$27:$I$127,7,FALSE)*VLOOKUP($B31,'Annual Parameters'!$B$33:$W$143,21,FALSE)/VLOOKUP('Source VoT'!$F$27,'Annual Parameters'!$B$33:$W$143,21,FALSE)*VLOOKUP($B$14,'Annual Parameters'!$B$33:$W$143,3,FALSE)/VLOOKUP('Source VoT'!$E$27,'Annual Parameters'!$B$33:$W$143,3,FALSE)</f>
        <v>20.277722551042881</v>
      </c>
      <c r="AX31" s="73">
        <f>'Source VoT'!$D$45*VLOOKUP($B31,'Indirect tax correction'!$B$27:$I$127,8,FALSE)*VLOOKUP($B31,'Annual Parameters'!$B$33:$W$143,22,FALSE)/VLOOKUP('Source VoT'!$F$27,'Annual Parameters'!$B$33:$W$143,22,FALSE)*VLOOKUP($B$14,'Annual Parameters'!$B$33:$W$143,3,FALSE)/VLOOKUP('Source VoT'!$E$27,'Annual Parameters'!$B$33:$W$143,3,FALSE)</f>
        <v>10.475099077036843</v>
      </c>
      <c r="AY31" s="74">
        <f>'Source VoT'!$D$46*VLOOKUP($B31,'Indirect tax correction'!$B$27:$I$127,8,FALSE)*VLOOKUP($B31,'Annual Parameters'!$B$33:$W$143,22,FALSE)/VLOOKUP('Source VoT'!$F$27,'Annual Parameters'!$B$33:$W$143,22,FALSE)*VLOOKUP($B$14,'Annual Parameters'!$B$33:$W$143,3,FALSE)/VLOOKUP('Source VoT'!$E$27,'Annual Parameters'!$B$33:$W$143,3,FALSE)</f>
        <v>4.7811495777550403</v>
      </c>
      <c r="AZ31" s="2875"/>
      <c r="BA31" s="2875"/>
      <c r="BB31" s="2875"/>
      <c r="BC31" s="2875"/>
      <c r="BD31" s="2875"/>
      <c r="BE31" s="2875"/>
      <c r="BF31" s="2875"/>
      <c r="BG31" s="2875"/>
      <c r="BH31" s="2875"/>
    </row>
    <row r="32" spans="1:60" ht="13.5" customHeight="1">
      <c r="A32" s="90"/>
      <c r="B32" s="82">
        <f t="shared" si="0"/>
        <v>2015</v>
      </c>
      <c r="C32" s="82"/>
      <c r="D32" s="117">
        <f>'Source VoT'!$D$27*VLOOKUP($B32,'Indirect tax correction'!$B$27:$I$127,5,FALSE)*VLOOKUP($B32,'Annual Parameters'!$B$33:$W$143,21,FALSE)/VLOOKUP('Source VoT'!$F$27,'Annual Parameters'!$B$33:$W$143,21,FALSE)*VLOOKUP($B$14,'Annual Parameters'!$B$33:$W$143,3,FALSE)/VLOOKUP('Source VoT'!$E$27,'Annual Parameters'!$B$33:$W$143,3,FALSE)</f>
        <v>15.885495867838483</v>
      </c>
      <c r="E32" s="73">
        <f>'Source VoT'!$D$28*VLOOKUP($B32,'Indirect tax correction'!$B$27:$I$127,5,FALSE)*VLOOKUP($B32,'Annual Parameters'!$B$33:$W$143,21,FALSE)/VLOOKUP('Source VoT'!$F$27,'Annual Parameters'!$B$33:$W$143,21,FALSE)*VLOOKUP($B$14,'Annual Parameters'!$B$33:$W$143,3,FALSE)/VLOOKUP('Source VoT'!$E$27,'Annual Parameters'!$B$33:$W$143,3,FALSE)</f>
        <v>15.885495867838483</v>
      </c>
      <c r="F32" s="73">
        <f>'Source VoT'!$D$29*VLOOKUP($B32,'Indirect tax correction'!$B$27:$I$127,5,FALSE)*VLOOKUP($B32,'Annual Parameters'!$B$33:$W$143,21,FALSE)/VLOOKUP('Source VoT'!$F$27,'Annual Parameters'!$B$33:$W$143,21,FALSE)*VLOOKUP($B$14,'Annual Parameters'!$B$33:$W$143,3,FALSE)/VLOOKUP('Source VoT'!$E$27,'Annual Parameters'!$B$33:$W$143,3,FALSE)</f>
        <v>10.938391174568231</v>
      </c>
      <c r="G32" s="73">
        <f>'Source VoT'!$D$30*VLOOKUP($B32,'Indirect tax correction'!$B$27:$I$127,5,FALSE)*VLOOKUP($B32,'Annual Parameters'!$B$33:$W$143,21,FALSE)/VLOOKUP('Source VoT'!$F$27,'Annual Parameters'!$B$33:$W$143,21,FALSE)*VLOOKUP($B$14,'Annual Parameters'!$B$33:$W$143,3,FALSE)/VLOOKUP('Source VoT'!$E$27,'Annual Parameters'!$B$33:$W$143,3,FALSE)</f>
        <v>12.888058120035252</v>
      </c>
      <c r="H32" s="73">
        <f>'Source VoT'!$D$31*VLOOKUP($B32,'Indirect tax correction'!$B$27:$I$127,5,FALSE)*VLOOKUP($B32,'Annual Parameters'!$B$33:$W$143,21,FALSE)/VLOOKUP('Source VoT'!$F$27,'Annual Parameters'!$B$33:$W$143,21,FALSE)*VLOOKUP($B$14,'Annual Parameters'!$B$33:$W$143,3,FALSE)/VLOOKUP('Source VoT'!$E$27,'Annual Parameters'!$B$33:$W$143,3,FALSE)</f>
        <v>13.166581969387686</v>
      </c>
      <c r="I32" s="73">
        <f>'Source VoT'!$D$32*VLOOKUP($B32,'Indirect tax correction'!$B$27:$I$127,5,FALSE)*VLOOKUP($B32,'Annual Parameters'!$B$33:$W$143,21,FALSE)/VLOOKUP('Source VoT'!$F$27,'Annual Parameters'!$B$33:$W$143,21,FALSE)*VLOOKUP($B$14,'Annual Parameters'!$B$33:$W$143,3,FALSE)/VLOOKUP('Source VoT'!$E$27,'Annual Parameters'!$B$33:$W$143,3,FALSE)</f>
        <v>9.0020848192523264</v>
      </c>
      <c r="J32" s="73">
        <f>'Source VoT'!$D$33*VLOOKUP($B32,'Indirect tax correction'!$B$27:$I$127,5,FALSE)*VLOOKUP($B32,'Annual Parameters'!$B$33:$W$143,21,FALSE)/VLOOKUP('Source VoT'!$F$27,'Annual Parameters'!$B$33:$W$143,21,FALSE)*VLOOKUP($B$14,'Annual Parameters'!$B$33:$W$143,3,FALSE)/VLOOKUP('Source VoT'!$E$27,'Annual Parameters'!$B$33:$W$143,3,FALSE)</f>
        <v>11.634700797949309</v>
      </c>
      <c r="K32" s="73">
        <f>'Source VoT'!$D$34*VLOOKUP($B32,'Indirect tax correction'!$B$27:$I$127,5,FALSE)*VLOOKUP($B32,'Annual Parameters'!$B$33:$W$143,21,FALSE)/VLOOKUP('Source VoT'!$F$27,'Annual Parameters'!$B$33:$W$143,21,FALSE)*VLOOKUP($B$14,'Annual Parameters'!$B$33:$W$143,3,FALSE)/VLOOKUP('Source VoT'!$E$27,'Annual Parameters'!$B$33:$W$143,3,FALSE)</f>
        <v>15.885495867838483</v>
      </c>
      <c r="L32" s="73">
        <f>'Source VoT'!$D$35*VLOOKUP($B32,'Indirect tax correction'!$B$27:$I$127,5,FALSE)*VLOOKUP($B32,'Annual Parameters'!$B$33:$W$143,21,FALSE)/VLOOKUP('Source VoT'!$F$27,'Annual Parameters'!$B$33:$W$143,21,FALSE)*VLOOKUP($B$14,'Annual Parameters'!$B$33:$W$143,3,FALSE)/VLOOKUP('Source VoT'!$E$27,'Annual Parameters'!$B$33:$W$143,3,FALSE)</f>
        <v>26.203322193960783</v>
      </c>
      <c r="M32" s="73">
        <f>'Source VoT'!$D$36*VLOOKUP($B32,'Indirect tax correction'!$B$27:$I$127,5,FALSE)*VLOOKUP($B32,'Annual Parameters'!$B$33:$W$143,21,FALSE)/VLOOKUP('Source VoT'!$F$27,'Annual Parameters'!$B$33:$W$143,21,FALSE)*VLOOKUP($B$14,'Annual Parameters'!$B$33:$W$143,3,FALSE)/VLOOKUP('Source VoT'!$E$27,'Annual Parameters'!$B$33:$W$143,3,FALSE)</f>
        <v>9.0020848192523264</v>
      </c>
      <c r="N32" s="73">
        <f>'Source VoT'!$D$37*VLOOKUP($B32,'Indirect tax correction'!$B$27:$I$127,5,FALSE)*VLOOKUP($B32,'Annual Parameters'!$B$33:$W$143,21,FALSE)/VLOOKUP('Source VoT'!$F$27,'Annual Parameters'!$B$33:$W$143,21,FALSE)*VLOOKUP($B$14,'Annual Parameters'!$B$33:$W$143,3,FALSE)/VLOOKUP('Source VoT'!$E$27,'Annual Parameters'!$B$33:$W$143,3,FALSE)</f>
        <v>9.0020848192523264</v>
      </c>
      <c r="O32" s="73">
        <f>'Source VoT'!$D$38*VLOOKUP($B32,'Indirect tax correction'!$B$27:$I$127,5,FALSE)*VLOOKUP($B32,'Annual Parameters'!$B$33:$W$143,21,FALSE)/VLOOKUP('Source VoT'!$F$27,'Annual Parameters'!$B$33:$W$143,21,FALSE)*VLOOKUP($B$14,'Annual Parameters'!$B$33:$W$143,3,FALSE)/VLOOKUP('Source VoT'!$E$27,'Annual Parameters'!$B$33:$W$143,3,FALSE)</f>
        <v>9.0020848192523264</v>
      </c>
      <c r="P32" s="73">
        <f>'Source VoT'!$D$39*VLOOKUP($B32,'Indirect tax correction'!$B$27:$I$127,5,FALSE)*VLOOKUP($B32,'Annual Parameters'!$B$33:$W$143,21,FALSE)/VLOOKUP('Source VoT'!$F$27,'Annual Parameters'!$B$33:$W$143,21,FALSE)*VLOOKUP($B$14,'Annual Parameters'!$B$33:$W$143,3,FALSE)/VLOOKUP('Source VoT'!$E$27,'Annual Parameters'!$B$33:$W$143,3,FALSE)</f>
        <v>15.885495867838483</v>
      </c>
      <c r="Q32" s="74">
        <f>'Source VoT'!$D$40*VLOOKUP($B32,'Indirect tax correction'!$B$27:$I$127,5,FALSE)*VLOOKUP($B32,'Annual Parameters'!$B$33:$W$143,21,FALSE)/VLOOKUP('Source VoT'!$F$27,'Annual Parameters'!$B$33:$W$143,21,FALSE)*VLOOKUP($B$14,'Annual Parameters'!$B$33:$W$143,3,FALSE)/VLOOKUP('Source VoT'!$E$27,'Annual Parameters'!$B$33:$W$143,3,FALSE)</f>
        <v>17.302929910741721</v>
      </c>
      <c r="R32" s="73">
        <f>'Source VoT'!$D$45*VLOOKUP($B32,'Indirect tax correction'!$B$27:$I$127,6,FALSE)*VLOOKUP($B32,'Annual Parameters'!$B$33:$W$143,22,FALSE)/VLOOKUP('Source VoT'!$F$27,'Annual Parameters'!$B$33:$W$143,22,FALSE)*VLOOKUP($B$14,'Annual Parameters'!$B$33:$W$143,3,FALSE)/VLOOKUP('Source VoT'!$E$27,'Annual Parameters'!$B$33:$W$143,3,FALSE)</f>
        <v>8.9383758300175646</v>
      </c>
      <c r="S32" s="73">
        <f>'Source VoT'!$D$46*VLOOKUP($B32,'Indirect tax correction'!$B$27:$I$127,6,FALSE)*VLOOKUP($B32,'Annual Parameters'!$B$33:$W$143,22,FALSE)/VLOOKUP('Source VoT'!$F$27,'Annual Parameters'!$B$33:$W$143,22,FALSE)*VLOOKUP($B$14,'Annual Parameters'!$B$33:$W$143,3,FALSE)/VLOOKUP('Source VoT'!$E$27,'Annual Parameters'!$B$33:$W$143,3,FALSE)</f>
        <v>4.0797429705641752</v>
      </c>
      <c r="T32" s="117">
        <f>'Source VoT'!$D$27*1*VLOOKUP($B32,'Annual Parameters'!$B$33:$W$143,21,FALSE)/VLOOKUP('Source VoT'!$F$27,'Annual Parameters'!$B$33:$W$143,21,FALSE)*VLOOKUP($B$14,'Annual Parameters'!$B$33:$W$143,3,FALSE)/VLOOKUP('Source VoT'!$E$27,'Annual Parameters'!$B$33:$W$143,3,FALSE)</f>
        <v>15.885495867838483</v>
      </c>
      <c r="U32" s="73">
        <f>'Source VoT'!$D$28*1*VLOOKUP($B32,'Annual Parameters'!$B$33:$W$143,21,FALSE)/VLOOKUP('Source VoT'!$F$27,'Annual Parameters'!$B$33:$W$143,21,FALSE)*VLOOKUP($B$14,'Annual Parameters'!$B$33:$W$143,3,FALSE)/VLOOKUP('Source VoT'!$E$27,'Annual Parameters'!$B$33:$W$143,3,FALSE)</f>
        <v>15.885495867838483</v>
      </c>
      <c r="V32" s="73">
        <f>'Source VoT'!$D$29*1*VLOOKUP($B32,'Annual Parameters'!$B$33:$W$143,21,FALSE)/VLOOKUP('Source VoT'!$F$27,'Annual Parameters'!$B$33:$W$143,21,FALSE)*VLOOKUP($B$14,'Annual Parameters'!$B$33:$W$143,3,FALSE)/VLOOKUP('Source VoT'!$E$27,'Annual Parameters'!$B$33:$W$143,3,FALSE)</f>
        <v>10.938391174568231</v>
      </c>
      <c r="W32" s="73">
        <f>'Source VoT'!$D$30*1*VLOOKUP($B32,'Annual Parameters'!$B$33:$W$143,21,FALSE)/VLOOKUP('Source VoT'!$F$27,'Annual Parameters'!$B$33:$W$143,21,FALSE)*VLOOKUP($B$14,'Annual Parameters'!$B$33:$W$143,3,FALSE)/VLOOKUP('Source VoT'!$E$27,'Annual Parameters'!$B$33:$W$143,3,FALSE)</f>
        <v>12.888058120035252</v>
      </c>
      <c r="X32" s="73">
        <f>'Source VoT'!$D$31*1*VLOOKUP($B32,'Annual Parameters'!$B$33:$W$143,21,FALSE)/VLOOKUP('Source VoT'!$F$27,'Annual Parameters'!$B$33:$W$143,21,FALSE)*VLOOKUP($B$14,'Annual Parameters'!$B$33:$W$143,3,FALSE)/VLOOKUP('Source VoT'!$E$27,'Annual Parameters'!$B$33:$W$143,3,FALSE)</f>
        <v>13.166581969387686</v>
      </c>
      <c r="Y32" s="73">
        <f>'Source VoT'!$D$32*1*VLOOKUP($B32,'Annual Parameters'!$B$33:$W$143,21,FALSE)/VLOOKUP('Source VoT'!$F$27,'Annual Parameters'!$B$33:$W$143,21,FALSE)*VLOOKUP($B$14,'Annual Parameters'!$B$33:$W$143,3,FALSE)/VLOOKUP('Source VoT'!$E$27,'Annual Parameters'!$B$33:$W$143,3,FALSE)</f>
        <v>9.0020848192523264</v>
      </c>
      <c r="Z32" s="73">
        <f>'Source VoT'!$D$33*1*VLOOKUP($B32,'Annual Parameters'!$B$33:$W$143,21,FALSE)/VLOOKUP('Source VoT'!$F$27,'Annual Parameters'!$B$33:$W$143,21,FALSE)*VLOOKUP($B$14,'Annual Parameters'!$B$33:$W$143,3,FALSE)/VLOOKUP('Source VoT'!$E$27,'Annual Parameters'!$B$33:$W$143,3,FALSE)</f>
        <v>11.634700797949309</v>
      </c>
      <c r="AA32" s="73">
        <f>'Source VoT'!$D$34*1*VLOOKUP($B32,'Annual Parameters'!$B$33:$W$143,21,FALSE)/VLOOKUP('Source VoT'!$F$27,'Annual Parameters'!$B$33:$W$143,21,FALSE)*VLOOKUP($B$14,'Annual Parameters'!$B$33:$W$143,3,FALSE)/VLOOKUP('Source VoT'!$E$27,'Annual Parameters'!$B$33:$W$143,3,FALSE)</f>
        <v>15.885495867838483</v>
      </c>
      <c r="AB32" s="73">
        <f>'Source VoT'!$D$35*1*VLOOKUP($B32,'Annual Parameters'!$B$33:$W$143,21,FALSE)/VLOOKUP('Source VoT'!$F$27,'Annual Parameters'!$B$33:$W$143,21,FALSE)*VLOOKUP($B$14,'Annual Parameters'!$B$33:$W$143,3,FALSE)/VLOOKUP('Source VoT'!$E$27,'Annual Parameters'!$B$33:$W$143,3,FALSE)</f>
        <v>26.203322193960783</v>
      </c>
      <c r="AC32" s="73">
        <f>'Source VoT'!$D$36*1*VLOOKUP($B32,'Annual Parameters'!$B$33:$W$143,21,FALSE)/VLOOKUP('Source VoT'!$F$27,'Annual Parameters'!$B$33:$W$143,21,FALSE)*VLOOKUP($B$14,'Annual Parameters'!$B$33:$W$143,3,FALSE)/VLOOKUP('Source VoT'!$E$27,'Annual Parameters'!$B$33:$W$143,3,FALSE)</f>
        <v>9.0020848192523264</v>
      </c>
      <c r="AD32" s="73">
        <f>'Source VoT'!$D$37*1*VLOOKUP($B32,'Annual Parameters'!$B$33:$W$143,21,FALSE)/VLOOKUP('Source VoT'!$F$27,'Annual Parameters'!$B$33:$W$143,21,FALSE)*VLOOKUP($B$14,'Annual Parameters'!$B$33:$W$143,3,FALSE)/VLOOKUP('Source VoT'!$E$27,'Annual Parameters'!$B$33:$W$143,3,FALSE)</f>
        <v>9.0020848192523264</v>
      </c>
      <c r="AE32" s="73">
        <f>'Source VoT'!$D$38*1*VLOOKUP($B32,'Annual Parameters'!$B$33:$W$143,21,FALSE)/VLOOKUP('Source VoT'!$F$27,'Annual Parameters'!$B$33:$W$143,21,FALSE)*VLOOKUP($B$14,'Annual Parameters'!$B$33:$W$143,3,FALSE)/VLOOKUP('Source VoT'!$E$27,'Annual Parameters'!$B$33:$W$143,3,FALSE)</f>
        <v>9.0020848192523264</v>
      </c>
      <c r="AF32" s="73">
        <f>'Source VoT'!$D$39*1*VLOOKUP($B32,'Annual Parameters'!$B$33:$W$143,21,FALSE)/VLOOKUP('Source VoT'!$F$27,'Annual Parameters'!$B$33:$W$143,21,FALSE)*VLOOKUP($B$14,'Annual Parameters'!$B$33:$W$143,3,FALSE)/VLOOKUP('Source VoT'!$E$27,'Annual Parameters'!$B$33:$W$143,3,FALSE)</f>
        <v>15.885495867838483</v>
      </c>
      <c r="AG32" s="74">
        <f>'Source VoT'!$D$40*1*VLOOKUP($B32,'Annual Parameters'!$B$33:$W$143,21,FALSE)/VLOOKUP('Source VoT'!$F$27,'Annual Parameters'!$B$33:$W$143,21,FALSE)*VLOOKUP($B$14,'Annual Parameters'!$B$33:$W$143,3,FALSE)/VLOOKUP('Source VoT'!$E$27,'Annual Parameters'!$B$33:$W$143,3,FALSE)</f>
        <v>17.302929910741721</v>
      </c>
      <c r="AH32" s="73">
        <f>'Source VoT'!$D$45*1*VLOOKUP($B32,'Annual Parameters'!$B$33:$W$143,22,FALSE)/VLOOKUP('Source VoT'!$F$27,'Annual Parameters'!$B$33:$W$143,22,FALSE)*VLOOKUP($B$14,'Annual Parameters'!$B$33:$W$143,3,FALSE)/VLOOKUP('Source VoT'!$E$27,'Annual Parameters'!$B$33:$W$143,3,FALSE)</f>
        <v>10.636667237720898</v>
      </c>
      <c r="AI32" s="73">
        <f>'Source VoT'!$D$46*1*VLOOKUP($B32,'Annual Parameters'!$B$33:$W$143,22,FALSE)/VLOOKUP('Source VoT'!$F$27,'Annual Parameters'!$B$33:$W$143,22,FALSE)*VLOOKUP($B$14,'Annual Parameters'!$B$33:$W$143,3,FALSE)/VLOOKUP('Source VoT'!$E$27,'Annual Parameters'!$B$33:$W$143,3,FALSE)</f>
        <v>4.8548941349713681</v>
      </c>
      <c r="AJ32" s="117">
        <f>'Source VoT'!$D$27*VLOOKUP($B32,'Indirect tax correction'!$B$27:$I$127,7,FALSE)*VLOOKUP($B32,'Annual Parameters'!$B$33:$W$143,21,FALSE)/VLOOKUP('Source VoT'!$F$27,'Annual Parameters'!$B$33:$W$143,21,FALSE)*VLOOKUP($B$14,'Annual Parameters'!$B$33:$W$143,3,FALSE)/VLOOKUP('Source VoT'!$E$27,'Annual Parameters'!$B$33:$W$143,3,FALSE)</f>
        <v>18.903740082727793</v>
      </c>
      <c r="AK32" s="73">
        <f>'Source VoT'!$D$28*VLOOKUP($B32,'Indirect tax correction'!$B$27:$I$127,7,FALSE)*VLOOKUP($B32,'Annual Parameters'!$B$33:$W$143,21,FALSE)/VLOOKUP('Source VoT'!$F$27,'Annual Parameters'!$B$33:$W$143,21,FALSE)*VLOOKUP($B$14,'Annual Parameters'!$B$33:$W$143,3,FALSE)/VLOOKUP('Source VoT'!$E$27,'Annual Parameters'!$B$33:$W$143,3,FALSE)</f>
        <v>18.903740082727793</v>
      </c>
      <c r="AL32" s="73">
        <f>'Source VoT'!$D$29*VLOOKUP($B32,'Indirect tax correction'!$B$27:$I$127,7,FALSE)*VLOOKUP($B32,'Annual Parameters'!$B$33:$W$143,21,FALSE)/VLOOKUP('Source VoT'!$F$27,'Annual Parameters'!$B$33:$W$143,21,FALSE)*VLOOKUP($B$14,'Annual Parameters'!$B$33:$W$143,3,FALSE)/VLOOKUP('Source VoT'!$E$27,'Annual Parameters'!$B$33:$W$143,3,FALSE)</f>
        <v>13.016685497736194</v>
      </c>
      <c r="AM32" s="73">
        <f>'Source VoT'!$D$30*VLOOKUP($B32,'Indirect tax correction'!$B$27:$I$127,7,FALSE)*VLOOKUP($B32,'Annual Parameters'!$B$33:$W$143,21,FALSE)/VLOOKUP('Source VoT'!$F$27,'Annual Parameters'!$B$33:$W$143,21,FALSE)*VLOOKUP($B$14,'Annual Parameters'!$B$33:$W$143,3,FALSE)/VLOOKUP('Source VoT'!$E$27,'Annual Parameters'!$B$33:$W$143,3,FALSE)</f>
        <v>15.336789162841949</v>
      </c>
      <c r="AN32" s="73">
        <f>'Source VoT'!$D$31*VLOOKUP($B32,'Indirect tax correction'!$B$27:$I$127,7,FALSE)*VLOOKUP($B32,'Annual Parameters'!$B$33:$W$143,21,FALSE)/VLOOKUP('Source VoT'!$F$27,'Annual Parameters'!$B$33:$W$143,21,FALSE)*VLOOKUP($B$14,'Annual Parameters'!$B$33:$W$143,3,FALSE)/VLOOKUP('Source VoT'!$E$27,'Annual Parameters'!$B$33:$W$143,3,FALSE)</f>
        <v>15.668232543571344</v>
      </c>
      <c r="AO32" s="73">
        <f>'Source VoT'!$D$32*VLOOKUP($B32,'Indirect tax correction'!$B$27:$I$127,7,FALSE)*VLOOKUP($B32,'Annual Parameters'!$B$33:$W$143,21,FALSE)/VLOOKUP('Source VoT'!$F$27,'Annual Parameters'!$B$33:$W$143,21,FALSE)*VLOOKUP($B$14,'Annual Parameters'!$B$33:$W$143,3,FALSE)/VLOOKUP('Source VoT'!$E$27,'Annual Parameters'!$B$33:$W$143,3,FALSE)</f>
        <v>10.712480934910269</v>
      </c>
      <c r="AP32" s="73">
        <f>'Source VoT'!$D$33*VLOOKUP($B32,'Indirect tax correction'!$B$27:$I$127,7,FALSE)*VLOOKUP($B32,'Annual Parameters'!$B$33:$W$143,21,FALSE)/VLOOKUP('Source VoT'!$F$27,'Annual Parameters'!$B$33:$W$143,21,FALSE)*VLOOKUP($B$14,'Annual Parameters'!$B$33:$W$143,3,FALSE)/VLOOKUP('Source VoT'!$E$27,'Annual Parameters'!$B$33:$W$143,3,FALSE)</f>
        <v>13.845293949559677</v>
      </c>
      <c r="AQ32" s="73">
        <f>'Source VoT'!$D$34*VLOOKUP($B32,'Indirect tax correction'!$B$27:$I$127,7,FALSE)*VLOOKUP($B32,'Annual Parameters'!$B$33:$W$143,21,FALSE)/VLOOKUP('Source VoT'!$F$27,'Annual Parameters'!$B$33:$W$143,21,FALSE)*VLOOKUP($B$14,'Annual Parameters'!$B$33:$W$143,3,FALSE)/VLOOKUP('Source VoT'!$E$27,'Annual Parameters'!$B$33:$W$143,3,FALSE)</f>
        <v>18.903740082727793</v>
      </c>
      <c r="AR32" s="73">
        <f>'Source VoT'!$D$35*VLOOKUP($B32,'Indirect tax correction'!$B$27:$I$127,7,FALSE)*VLOOKUP($B32,'Annual Parameters'!$B$33:$W$143,21,FALSE)/VLOOKUP('Source VoT'!$F$27,'Annual Parameters'!$B$33:$W$143,21,FALSE)*VLOOKUP($B$14,'Annual Parameters'!$B$33:$W$143,3,FALSE)/VLOOKUP('Source VoT'!$E$27,'Annual Parameters'!$B$33:$W$143,3,FALSE)</f>
        <v>31.181953410813335</v>
      </c>
      <c r="AS32" s="73">
        <f>'Source VoT'!$D$36*VLOOKUP($B32,'Indirect tax correction'!$B$27:$I$127,7,FALSE)*VLOOKUP($B32,'Annual Parameters'!$B$33:$W$143,21,FALSE)/VLOOKUP('Source VoT'!$F$27,'Annual Parameters'!$B$33:$W$143,21,FALSE)*VLOOKUP($B$14,'Annual Parameters'!$B$33:$W$143,3,FALSE)/VLOOKUP('Source VoT'!$E$27,'Annual Parameters'!$B$33:$W$143,3,FALSE)</f>
        <v>10.712480934910269</v>
      </c>
      <c r="AT32" s="73">
        <f>'Source VoT'!$D$37*VLOOKUP($B32,'Indirect tax correction'!$B$27:$I$127,7,FALSE)*VLOOKUP($B32,'Annual Parameters'!$B$33:$W$143,21,FALSE)/VLOOKUP('Source VoT'!$F$27,'Annual Parameters'!$B$33:$W$143,21,FALSE)*VLOOKUP($B$14,'Annual Parameters'!$B$33:$W$143,3,FALSE)/VLOOKUP('Source VoT'!$E$27,'Annual Parameters'!$B$33:$W$143,3,FALSE)</f>
        <v>10.712480934910269</v>
      </c>
      <c r="AU32" s="73">
        <f>'Source VoT'!$D$38*VLOOKUP($B32,'Indirect tax correction'!$B$27:$I$127,7,FALSE)*VLOOKUP($B32,'Annual Parameters'!$B$33:$W$143,21,FALSE)/VLOOKUP('Source VoT'!$F$27,'Annual Parameters'!$B$33:$W$143,21,FALSE)*VLOOKUP($B$14,'Annual Parameters'!$B$33:$W$143,3,FALSE)/VLOOKUP('Source VoT'!$E$27,'Annual Parameters'!$B$33:$W$143,3,FALSE)</f>
        <v>10.712480934910269</v>
      </c>
      <c r="AV32" s="73">
        <f>'Source VoT'!$D$39*VLOOKUP($B32,'Indirect tax correction'!$B$27:$I$127,7,FALSE)*VLOOKUP($B32,'Annual Parameters'!$B$33:$W$143,21,FALSE)/VLOOKUP('Source VoT'!$F$27,'Annual Parameters'!$B$33:$W$143,21,FALSE)*VLOOKUP($B$14,'Annual Parameters'!$B$33:$W$143,3,FALSE)/VLOOKUP('Source VoT'!$E$27,'Annual Parameters'!$B$33:$W$143,3,FALSE)</f>
        <v>18.903740082727793</v>
      </c>
      <c r="AW32" s="74">
        <f>'Source VoT'!$D$40*VLOOKUP($B32,'Indirect tax correction'!$B$27:$I$127,7,FALSE)*VLOOKUP($B32,'Annual Parameters'!$B$33:$W$143,21,FALSE)/VLOOKUP('Source VoT'!$F$27,'Annual Parameters'!$B$33:$W$143,21,FALSE)*VLOOKUP($B$14,'Annual Parameters'!$B$33:$W$143,3,FALSE)/VLOOKUP('Source VoT'!$E$27,'Annual Parameters'!$B$33:$W$143,3,FALSE)</f>
        <v>20.590486593782646</v>
      </c>
      <c r="AX32" s="73">
        <f>'Source VoT'!$D$45*VLOOKUP($B32,'Indirect tax correction'!$B$27:$I$127,8,FALSE)*VLOOKUP($B32,'Annual Parameters'!$B$33:$W$143,22,FALSE)/VLOOKUP('Source VoT'!$F$27,'Annual Parameters'!$B$33:$W$143,22,FALSE)*VLOOKUP($B$14,'Annual Parameters'!$B$33:$W$143,3,FALSE)/VLOOKUP('Source VoT'!$E$27,'Annual Parameters'!$B$33:$W$143,3,FALSE)</f>
        <v>10.636667237720898</v>
      </c>
      <c r="AY32" s="74">
        <f>'Source VoT'!$D$46*VLOOKUP($B32,'Indirect tax correction'!$B$27:$I$127,8,FALSE)*VLOOKUP($B32,'Annual Parameters'!$B$33:$W$143,22,FALSE)/VLOOKUP('Source VoT'!$F$27,'Annual Parameters'!$B$33:$W$143,22,FALSE)*VLOOKUP($B$14,'Annual Parameters'!$B$33:$W$143,3,FALSE)/VLOOKUP('Source VoT'!$E$27,'Annual Parameters'!$B$33:$W$143,3,FALSE)</f>
        <v>4.8548941349713681</v>
      </c>
      <c r="AZ32" s="2875"/>
      <c r="BA32" s="2875"/>
      <c r="BB32" s="2875"/>
      <c r="BC32" s="2875"/>
      <c r="BD32" s="2875"/>
      <c r="BE32" s="2875"/>
      <c r="BF32" s="2875"/>
      <c r="BG32" s="2875"/>
      <c r="BH32" s="2875"/>
    </row>
    <row r="33" spans="1:60" ht="13.5" customHeight="1">
      <c r="A33" s="90"/>
      <c r="B33" s="82">
        <f t="shared" si="0"/>
        <v>2016</v>
      </c>
      <c r="C33" s="82"/>
      <c r="D33" s="117">
        <f>'Source VoT'!$D$27*VLOOKUP($B33,'Indirect tax correction'!$B$27:$I$127,5,FALSE)*VLOOKUP($B33,'Annual Parameters'!$B$33:$W$143,21,FALSE)/VLOOKUP('Source VoT'!$F$27,'Annual Parameters'!$B$33:$W$143,21,FALSE)*VLOOKUP($B$14,'Annual Parameters'!$B$33:$W$143,3,FALSE)/VLOOKUP('Source VoT'!$E$27,'Annual Parameters'!$B$33:$W$143,3,FALSE)</f>
        <v>16.037194245329378</v>
      </c>
      <c r="E33" s="73">
        <f>'Source VoT'!$D$28*VLOOKUP($B33,'Indirect tax correction'!$B$27:$I$127,5,FALSE)*VLOOKUP($B33,'Annual Parameters'!$B$33:$W$143,21,FALSE)/VLOOKUP('Source VoT'!$F$27,'Annual Parameters'!$B$33:$W$143,21,FALSE)*VLOOKUP($B$14,'Annual Parameters'!$B$33:$W$143,3,FALSE)/VLOOKUP('Source VoT'!$E$27,'Annual Parameters'!$B$33:$W$143,3,FALSE)</f>
        <v>16.037194245329378</v>
      </c>
      <c r="F33" s="73">
        <f>'Source VoT'!$D$29*VLOOKUP($B33,'Indirect tax correction'!$B$27:$I$127,5,FALSE)*VLOOKUP($B33,'Annual Parameters'!$B$33:$W$143,21,FALSE)/VLOOKUP('Source VoT'!$F$27,'Annual Parameters'!$B$33:$W$143,21,FALSE)*VLOOKUP($B$14,'Annual Parameters'!$B$33:$W$143,3,FALSE)/VLOOKUP('Source VoT'!$E$27,'Annual Parameters'!$B$33:$W$143,3,FALSE)</f>
        <v>11.042847227268618</v>
      </c>
      <c r="G33" s="73">
        <f>'Source VoT'!$D$30*VLOOKUP($B33,'Indirect tax correction'!$B$27:$I$127,5,FALSE)*VLOOKUP($B33,'Annual Parameters'!$B$33:$W$143,21,FALSE)/VLOOKUP('Source VoT'!$F$27,'Annual Parameters'!$B$33:$W$143,21,FALSE)*VLOOKUP($B$14,'Annual Parameters'!$B$33:$W$143,3,FALSE)/VLOOKUP('Source VoT'!$E$27,'Annual Parameters'!$B$33:$W$143,3,FALSE)</f>
        <v>13.01113249694381</v>
      </c>
      <c r="H33" s="73">
        <f>'Source VoT'!$D$31*VLOOKUP($B33,'Indirect tax correction'!$B$27:$I$127,5,FALSE)*VLOOKUP($B33,'Annual Parameters'!$B$33:$W$143,21,FALSE)/VLOOKUP('Source VoT'!$F$27,'Annual Parameters'!$B$33:$W$143,21,FALSE)*VLOOKUP($B$14,'Annual Parameters'!$B$33:$W$143,3,FALSE)/VLOOKUP('Source VoT'!$E$27,'Annual Parameters'!$B$33:$W$143,3,FALSE)</f>
        <v>13.29231610689741</v>
      </c>
      <c r="I33" s="73">
        <f>'Source VoT'!$D$32*VLOOKUP($B33,'Indirect tax correction'!$B$27:$I$127,5,FALSE)*VLOOKUP($B33,'Annual Parameters'!$B$33:$W$143,21,FALSE)/VLOOKUP('Source VoT'!$F$27,'Annual Parameters'!$B$33:$W$143,21,FALSE)*VLOOKUP($B$14,'Annual Parameters'!$B$33:$W$143,3,FALSE)/VLOOKUP('Source VoT'!$E$27,'Annual Parameters'!$B$33:$W$143,3,FALSE)</f>
        <v>9.0880501345611666</v>
      </c>
      <c r="J33" s="73">
        <f>'Source VoT'!$D$33*VLOOKUP($B33,'Indirect tax correction'!$B$27:$I$127,5,FALSE)*VLOOKUP($B33,'Annual Parameters'!$B$33:$W$143,21,FALSE)/VLOOKUP('Source VoT'!$F$27,'Annual Parameters'!$B$33:$W$143,21,FALSE)*VLOOKUP($B$14,'Annual Parameters'!$B$33:$W$143,3,FALSE)/VLOOKUP('Source VoT'!$E$27,'Annual Parameters'!$B$33:$W$143,3,FALSE)</f>
        <v>11.745806252152615</v>
      </c>
      <c r="K33" s="73">
        <f>'Source VoT'!$D$34*VLOOKUP($B33,'Indirect tax correction'!$B$27:$I$127,5,FALSE)*VLOOKUP($B33,'Annual Parameters'!$B$33:$W$143,21,FALSE)/VLOOKUP('Source VoT'!$F$27,'Annual Parameters'!$B$33:$W$143,21,FALSE)*VLOOKUP($B$14,'Annual Parameters'!$B$33:$W$143,3,FALSE)/VLOOKUP('Source VoT'!$E$27,'Annual Parameters'!$B$33:$W$143,3,FALSE)</f>
        <v>16.037194245329378</v>
      </c>
      <c r="L33" s="73">
        <f>'Source VoT'!$D$35*VLOOKUP($B33,'Indirect tax correction'!$B$27:$I$127,5,FALSE)*VLOOKUP($B33,'Annual Parameters'!$B$33:$W$143,21,FALSE)/VLOOKUP('Source VoT'!$F$27,'Annual Parameters'!$B$33:$W$143,21,FALSE)*VLOOKUP($B$14,'Annual Parameters'!$B$33:$W$143,3,FALSE)/VLOOKUP('Source VoT'!$E$27,'Annual Parameters'!$B$33:$W$143,3,FALSE)</f>
        <v>26.453550546589224</v>
      </c>
      <c r="M33" s="73">
        <f>'Source VoT'!$D$36*VLOOKUP($B33,'Indirect tax correction'!$B$27:$I$127,5,FALSE)*VLOOKUP($B33,'Annual Parameters'!$B$33:$W$143,21,FALSE)/VLOOKUP('Source VoT'!$F$27,'Annual Parameters'!$B$33:$W$143,21,FALSE)*VLOOKUP($B$14,'Annual Parameters'!$B$33:$W$143,3,FALSE)/VLOOKUP('Source VoT'!$E$27,'Annual Parameters'!$B$33:$W$143,3,FALSE)</f>
        <v>9.0880501345611666</v>
      </c>
      <c r="N33" s="73">
        <f>'Source VoT'!$D$37*VLOOKUP($B33,'Indirect tax correction'!$B$27:$I$127,5,FALSE)*VLOOKUP($B33,'Annual Parameters'!$B$33:$W$143,21,FALSE)/VLOOKUP('Source VoT'!$F$27,'Annual Parameters'!$B$33:$W$143,21,FALSE)*VLOOKUP($B$14,'Annual Parameters'!$B$33:$W$143,3,FALSE)/VLOOKUP('Source VoT'!$E$27,'Annual Parameters'!$B$33:$W$143,3,FALSE)</f>
        <v>9.0880501345611666</v>
      </c>
      <c r="O33" s="73">
        <f>'Source VoT'!$D$38*VLOOKUP($B33,'Indirect tax correction'!$B$27:$I$127,5,FALSE)*VLOOKUP($B33,'Annual Parameters'!$B$33:$W$143,21,FALSE)/VLOOKUP('Source VoT'!$F$27,'Annual Parameters'!$B$33:$W$143,21,FALSE)*VLOOKUP($B$14,'Annual Parameters'!$B$33:$W$143,3,FALSE)/VLOOKUP('Source VoT'!$E$27,'Annual Parameters'!$B$33:$W$143,3,FALSE)</f>
        <v>9.0880501345611666</v>
      </c>
      <c r="P33" s="73">
        <f>'Source VoT'!$D$39*VLOOKUP($B33,'Indirect tax correction'!$B$27:$I$127,5,FALSE)*VLOOKUP($B33,'Annual Parameters'!$B$33:$W$143,21,FALSE)/VLOOKUP('Source VoT'!$F$27,'Annual Parameters'!$B$33:$W$143,21,FALSE)*VLOOKUP($B$14,'Annual Parameters'!$B$33:$W$143,3,FALSE)/VLOOKUP('Source VoT'!$E$27,'Annual Parameters'!$B$33:$W$143,3,FALSE)</f>
        <v>16.037194245329378</v>
      </c>
      <c r="Q33" s="74">
        <f>'Source VoT'!$D$40*VLOOKUP($B33,'Indirect tax correction'!$B$27:$I$127,5,FALSE)*VLOOKUP($B33,'Annual Parameters'!$B$33:$W$143,21,FALSE)/VLOOKUP('Source VoT'!$F$27,'Annual Parameters'!$B$33:$W$143,21,FALSE)*VLOOKUP($B$14,'Annual Parameters'!$B$33:$W$143,3,FALSE)/VLOOKUP('Source VoT'!$E$27,'Annual Parameters'!$B$33:$W$143,3,FALSE)</f>
        <v>17.468164059875988</v>
      </c>
      <c r="R33" s="73">
        <f>'Source VoT'!$D$45*VLOOKUP($B33,'Indirect tax correction'!$B$27:$I$127,6,FALSE)*VLOOKUP($B33,'Annual Parameters'!$B$33:$W$143,22,FALSE)/VLOOKUP('Source VoT'!$F$27,'Annual Parameters'!$B$33:$W$143,22,FALSE)*VLOOKUP($B$14,'Annual Parameters'!$B$33:$W$143,3,FALSE)/VLOOKUP('Source VoT'!$E$27,'Annual Parameters'!$B$33:$W$143,3,FALSE)</f>
        <v>9.0237327569966403</v>
      </c>
      <c r="S33" s="73">
        <f>'Source VoT'!$D$46*VLOOKUP($B33,'Indirect tax correction'!$B$27:$I$127,6,FALSE)*VLOOKUP($B33,'Annual Parameters'!$B$33:$W$143,22,FALSE)/VLOOKUP('Source VoT'!$F$27,'Annual Parameters'!$B$33:$W$143,22,FALSE)*VLOOKUP($B$14,'Annual Parameters'!$B$33:$W$143,3,FALSE)/VLOOKUP('Source VoT'!$E$27,'Annual Parameters'!$B$33:$W$143,3,FALSE)</f>
        <v>4.1187024336091698</v>
      </c>
      <c r="T33" s="117">
        <f>'Source VoT'!$D$27*1*VLOOKUP($B33,'Annual Parameters'!$B$33:$W$143,21,FALSE)/VLOOKUP('Source VoT'!$F$27,'Annual Parameters'!$B$33:$W$143,21,FALSE)*VLOOKUP($B$14,'Annual Parameters'!$B$33:$W$143,3,FALSE)/VLOOKUP('Source VoT'!$E$27,'Annual Parameters'!$B$33:$W$143,3,FALSE)</f>
        <v>16.037194245329378</v>
      </c>
      <c r="U33" s="73">
        <f>'Source VoT'!$D$28*1*VLOOKUP($B33,'Annual Parameters'!$B$33:$W$143,21,FALSE)/VLOOKUP('Source VoT'!$F$27,'Annual Parameters'!$B$33:$W$143,21,FALSE)*VLOOKUP($B$14,'Annual Parameters'!$B$33:$W$143,3,FALSE)/VLOOKUP('Source VoT'!$E$27,'Annual Parameters'!$B$33:$W$143,3,FALSE)</f>
        <v>16.037194245329378</v>
      </c>
      <c r="V33" s="73">
        <f>'Source VoT'!$D$29*1*VLOOKUP($B33,'Annual Parameters'!$B$33:$W$143,21,FALSE)/VLOOKUP('Source VoT'!$F$27,'Annual Parameters'!$B$33:$W$143,21,FALSE)*VLOOKUP($B$14,'Annual Parameters'!$B$33:$W$143,3,FALSE)/VLOOKUP('Source VoT'!$E$27,'Annual Parameters'!$B$33:$W$143,3,FALSE)</f>
        <v>11.042847227268618</v>
      </c>
      <c r="W33" s="73">
        <f>'Source VoT'!$D$30*1*VLOOKUP($B33,'Annual Parameters'!$B$33:$W$143,21,FALSE)/VLOOKUP('Source VoT'!$F$27,'Annual Parameters'!$B$33:$W$143,21,FALSE)*VLOOKUP($B$14,'Annual Parameters'!$B$33:$W$143,3,FALSE)/VLOOKUP('Source VoT'!$E$27,'Annual Parameters'!$B$33:$W$143,3,FALSE)</f>
        <v>13.01113249694381</v>
      </c>
      <c r="X33" s="73">
        <f>'Source VoT'!$D$31*1*VLOOKUP($B33,'Annual Parameters'!$B$33:$W$143,21,FALSE)/VLOOKUP('Source VoT'!$F$27,'Annual Parameters'!$B$33:$W$143,21,FALSE)*VLOOKUP($B$14,'Annual Parameters'!$B$33:$W$143,3,FALSE)/VLOOKUP('Source VoT'!$E$27,'Annual Parameters'!$B$33:$W$143,3,FALSE)</f>
        <v>13.29231610689741</v>
      </c>
      <c r="Y33" s="73">
        <f>'Source VoT'!$D$32*1*VLOOKUP($B33,'Annual Parameters'!$B$33:$W$143,21,FALSE)/VLOOKUP('Source VoT'!$F$27,'Annual Parameters'!$B$33:$W$143,21,FALSE)*VLOOKUP($B$14,'Annual Parameters'!$B$33:$W$143,3,FALSE)/VLOOKUP('Source VoT'!$E$27,'Annual Parameters'!$B$33:$W$143,3,FALSE)</f>
        <v>9.0880501345611666</v>
      </c>
      <c r="Z33" s="73">
        <f>'Source VoT'!$D$33*1*VLOOKUP($B33,'Annual Parameters'!$B$33:$W$143,21,FALSE)/VLOOKUP('Source VoT'!$F$27,'Annual Parameters'!$B$33:$W$143,21,FALSE)*VLOOKUP($B$14,'Annual Parameters'!$B$33:$W$143,3,FALSE)/VLOOKUP('Source VoT'!$E$27,'Annual Parameters'!$B$33:$W$143,3,FALSE)</f>
        <v>11.745806252152615</v>
      </c>
      <c r="AA33" s="73">
        <f>'Source VoT'!$D$34*1*VLOOKUP($B33,'Annual Parameters'!$B$33:$W$143,21,FALSE)/VLOOKUP('Source VoT'!$F$27,'Annual Parameters'!$B$33:$W$143,21,FALSE)*VLOOKUP($B$14,'Annual Parameters'!$B$33:$W$143,3,FALSE)/VLOOKUP('Source VoT'!$E$27,'Annual Parameters'!$B$33:$W$143,3,FALSE)</f>
        <v>16.037194245329378</v>
      </c>
      <c r="AB33" s="73">
        <f>'Source VoT'!$D$35*1*VLOOKUP($B33,'Annual Parameters'!$B$33:$W$143,21,FALSE)/VLOOKUP('Source VoT'!$F$27,'Annual Parameters'!$B$33:$W$143,21,FALSE)*VLOOKUP($B$14,'Annual Parameters'!$B$33:$W$143,3,FALSE)/VLOOKUP('Source VoT'!$E$27,'Annual Parameters'!$B$33:$W$143,3,FALSE)</f>
        <v>26.453550546589224</v>
      </c>
      <c r="AC33" s="73">
        <f>'Source VoT'!$D$36*1*VLOOKUP($B33,'Annual Parameters'!$B$33:$W$143,21,FALSE)/VLOOKUP('Source VoT'!$F$27,'Annual Parameters'!$B$33:$W$143,21,FALSE)*VLOOKUP($B$14,'Annual Parameters'!$B$33:$W$143,3,FALSE)/VLOOKUP('Source VoT'!$E$27,'Annual Parameters'!$B$33:$W$143,3,FALSE)</f>
        <v>9.0880501345611666</v>
      </c>
      <c r="AD33" s="73">
        <f>'Source VoT'!$D$37*1*VLOOKUP($B33,'Annual Parameters'!$B$33:$W$143,21,FALSE)/VLOOKUP('Source VoT'!$F$27,'Annual Parameters'!$B$33:$W$143,21,FALSE)*VLOOKUP($B$14,'Annual Parameters'!$B$33:$W$143,3,FALSE)/VLOOKUP('Source VoT'!$E$27,'Annual Parameters'!$B$33:$W$143,3,FALSE)</f>
        <v>9.0880501345611666</v>
      </c>
      <c r="AE33" s="73">
        <f>'Source VoT'!$D$38*1*VLOOKUP($B33,'Annual Parameters'!$B$33:$W$143,21,FALSE)/VLOOKUP('Source VoT'!$F$27,'Annual Parameters'!$B$33:$W$143,21,FALSE)*VLOOKUP($B$14,'Annual Parameters'!$B$33:$W$143,3,FALSE)/VLOOKUP('Source VoT'!$E$27,'Annual Parameters'!$B$33:$W$143,3,FALSE)</f>
        <v>9.0880501345611666</v>
      </c>
      <c r="AF33" s="73">
        <f>'Source VoT'!$D$39*1*VLOOKUP($B33,'Annual Parameters'!$B$33:$W$143,21,FALSE)/VLOOKUP('Source VoT'!$F$27,'Annual Parameters'!$B$33:$W$143,21,FALSE)*VLOOKUP($B$14,'Annual Parameters'!$B$33:$W$143,3,FALSE)/VLOOKUP('Source VoT'!$E$27,'Annual Parameters'!$B$33:$W$143,3,FALSE)</f>
        <v>16.037194245329378</v>
      </c>
      <c r="AG33" s="74">
        <f>'Source VoT'!$D$40*1*VLOOKUP($B33,'Annual Parameters'!$B$33:$W$143,21,FALSE)/VLOOKUP('Source VoT'!$F$27,'Annual Parameters'!$B$33:$W$143,21,FALSE)*VLOOKUP($B$14,'Annual Parameters'!$B$33:$W$143,3,FALSE)/VLOOKUP('Source VoT'!$E$27,'Annual Parameters'!$B$33:$W$143,3,FALSE)</f>
        <v>17.468164059875988</v>
      </c>
      <c r="AH33" s="73">
        <f>'Source VoT'!$D$45*1*VLOOKUP($B33,'Annual Parameters'!$B$33:$W$143,22,FALSE)/VLOOKUP('Source VoT'!$F$27,'Annual Parameters'!$B$33:$W$143,22,FALSE)*VLOOKUP($B$14,'Annual Parameters'!$B$33:$W$143,3,FALSE)/VLOOKUP('Source VoT'!$E$27,'Annual Parameters'!$B$33:$W$143,3,FALSE)</f>
        <v>10.738241980826</v>
      </c>
      <c r="AI33" s="73">
        <f>'Source VoT'!$D$46*1*VLOOKUP($B33,'Annual Parameters'!$B$33:$W$143,22,FALSE)/VLOOKUP('Source VoT'!$F$27,'Annual Parameters'!$B$33:$W$143,22,FALSE)*VLOOKUP($B$14,'Annual Parameters'!$B$33:$W$143,3,FALSE)/VLOOKUP('Source VoT'!$E$27,'Annual Parameters'!$B$33:$W$143,3,FALSE)</f>
        <v>4.901255895994912</v>
      </c>
      <c r="AJ33" s="117">
        <f>'Source VoT'!$D$27*VLOOKUP($B33,'Indirect tax correction'!$B$27:$I$127,7,FALSE)*VLOOKUP($B33,'Annual Parameters'!$B$33:$W$143,21,FALSE)/VLOOKUP('Source VoT'!$F$27,'Annual Parameters'!$B$33:$W$143,21,FALSE)*VLOOKUP($B$14,'Annual Parameters'!$B$33:$W$143,3,FALSE)/VLOOKUP('Source VoT'!$E$27,'Annual Parameters'!$B$33:$W$143,3,FALSE)</f>
        <v>19.084261151941956</v>
      </c>
      <c r="AK33" s="73">
        <f>'Source VoT'!$D$28*VLOOKUP($B33,'Indirect tax correction'!$B$27:$I$127,7,FALSE)*VLOOKUP($B33,'Annual Parameters'!$B$33:$W$143,21,FALSE)/VLOOKUP('Source VoT'!$F$27,'Annual Parameters'!$B$33:$W$143,21,FALSE)*VLOOKUP($B$14,'Annual Parameters'!$B$33:$W$143,3,FALSE)/VLOOKUP('Source VoT'!$E$27,'Annual Parameters'!$B$33:$W$143,3,FALSE)</f>
        <v>19.084261151941956</v>
      </c>
      <c r="AL33" s="73">
        <f>'Source VoT'!$D$29*VLOOKUP($B33,'Indirect tax correction'!$B$27:$I$127,7,FALSE)*VLOOKUP($B33,'Annual Parameters'!$B$33:$W$143,21,FALSE)/VLOOKUP('Source VoT'!$F$27,'Annual Parameters'!$B$33:$W$143,21,FALSE)*VLOOKUP($B$14,'Annual Parameters'!$B$33:$W$143,3,FALSE)/VLOOKUP('Source VoT'!$E$27,'Annual Parameters'!$B$33:$W$143,3,FALSE)</f>
        <v>13.140988200449655</v>
      </c>
      <c r="AM33" s="73">
        <f>'Source VoT'!$D$30*VLOOKUP($B33,'Indirect tax correction'!$B$27:$I$127,7,FALSE)*VLOOKUP($B33,'Annual Parameters'!$B$33:$W$143,21,FALSE)/VLOOKUP('Source VoT'!$F$27,'Annual Parameters'!$B$33:$W$143,21,FALSE)*VLOOKUP($B$14,'Annual Parameters'!$B$33:$W$143,3,FALSE)/VLOOKUP('Source VoT'!$E$27,'Annual Parameters'!$B$33:$W$143,3,FALSE)</f>
        <v>15.483247671363136</v>
      </c>
      <c r="AN33" s="73">
        <f>'Source VoT'!$D$31*VLOOKUP($B33,'Indirect tax correction'!$B$27:$I$127,7,FALSE)*VLOOKUP($B33,'Annual Parameters'!$B$33:$W$143,21,FALSE)/VLOOKUP('Source VoT'!$F$27,'Annual Parameters'!$B$33:$W$143,21,FALSE)*VLOOKUP($B$14,'Annual Parameters'!$B$33:$W$143,3,FALSE)/VLOOKUP('Source VoT'!$E$27,'Annual Parameters'!$B$33:$W$143,3,FALSE)</f>
        <v>15.817856167207919</v>
      </c>
      <c r="AO33" s="73">
        <f>'Source VoT'!$D$32*VLOOKUP($B33,'Indirect tax correction'!$B$27:$I$127,7,FALSE)*VLOOKUP($B33,'Annual Parameters'!$B$33:$W$143,21,FALSE)/VLOOKUP('Source VoT'!$F$27,'Annual Parameters'!$B$33:$W$143,21,FALSE)*VLOOKUP($B$14,'Annual Parameters'!$B$33:$W$143,3,FALSE)/VLOOKUP('Source VoT'!$E$27,'Annual Parameters'!$B$33:$W$143,3,FALSE)</f>
        <v>10.814779660127789</v>
      </c>
      <c r="AP33" s="73">
        <f>'Source VoT'!$D$33*VLOOKUP($B33,'Indirect tax correction'!$B$27:$I$127,7,FALSE)*VLOOKUP($B33,'Annual Parameters'!$B$33:$W$143,21,FALSE)/VLOOKUP('Source VoT'!$F$27,'Annual Parameters'!$B$33:$W$143,21,FALSE)*VLOOKUP($B$14,'Annual Parameters'!$B$33:$W$143,3,FALSE)/VLOOKUP('Source VoT'!$E$27,'Annual Parameters'!$B$33:$W$143,3,FALSE)</f>
        <v>13.977509440061613</v>
      </c>
      <c r="AQ33" s="73">
        <f>'Source VoT'!$D$34*VLOOKUP($B33,'Indirect tax correction'!$B$27:$I$127,7,FALSE)*VLOOKUP($B33,'Annual Parameters'!$B$33:$W$143,21,FALSE)/VLOOKUP('Source VoT'!$F$27,'Annual Parameters'!$B$33:$W$143,21,FALSE)*VLOOKUP($B$14,'Annual Parameters'!$B$33:$W$143,3,FALSE)/VLOOKUP('Source VoT'!$E$27,'Annual Parameters'!$B$33:$W$143,3,FALSE)</f>
        <v>19.084261151941956</v>
      </c>
      <c r="AR33" s="73">
        <f>'Source VoT'!$D$35*VLOOKUP($B33,'Indirect tax correction'!$B$27:$I$127,7,FALSE)*VLOOKUP($B33,'Annual Parameters'!$B$33:$W$143,21,FALSE)/VLOOKUP('Source VoT'!$F$27,'Annual Parameters'!$B$33:$W$143,21,FALSE)*VLOOKUP($B$14,'Annual Parameters'!$B$33:$W$143,3,FALSE)/VLOOKUP('Source VoT'!$E$27,'Annual Parameters'!$B$33:$W$143,3,FALSE)</f>
        <v>31.479725150441169</v>
      </c>
      <c r="AS33" s="73">
        <f>'Source VoT'!$D$36*VLOOKUP($B33,'Indirect tax correction'!$B$27:$I$127,7,FALSE)*VLOOKUP($B33,'Annual Parameters'!$B$33:$W$143,21,FALSE)/VLOOKUP('Source VoT'!$F$27,'Annual Parameters'!$B$33:$W$143,21,FALSE)*VLOOKUP($B$14,'Annual Parameters'!$B$33:$W$143,3,FALSE)/VLOOKUP('Source VoT'!$E$27,'Annual Parameters'!$B$33:$W$143,3,FALSE)</f>
        <v>10.814779660127789</v>
      </c>
      <c r="AT33" s="73">
        <f>'Source VoT'!$D$37*VLOOKUP($B33,'Indirect tax correction'!$B$27:$I$127,7,FALSE)*VLOOKUP($B33,'Annual Parameters'!$B$33:$W$143,21,FALSE)/VLOOKUP('Source VoT'!$F$27,'Annual Parameters'!$B$33:$W$143,21,FALSE)*VLOOKUP($B$14,'Annual Parameters'!$B$33:$W$143,3,FALSE)/VLOOKUP('Source VoT'!$E$27,'Annual Parameters'!$B$33:$W$143,3,FALSE)</f>
        <v>10.814779660127789</v>
      </c>
      <c r="AU33" s="73">
        <f>'Source VoT'!$D$38*VLOOKUP($B33,'Indirect tax correction'!$B$27:$I$127,7,FALSE)*VLOOKUP($B33,'Annual Parameters'!$B$33:$W$143,21,FALSE)/VLOOKUP('Source VoT'!$F$27,'Annual Parameters'!$B$33:$W$143,21,FALSE)*VLOOKUP($B$14,'Annual Parameters'!$B$33:$W$143,3,FALSE)/VLOOKUP('Source VoT'!$E$27,'Annual Parameters'!$B$33:$W$143,3,FALSE)</f>
        <v>10.814779660127789</v>
      </c>
      <c r="AV33" s="73">
        <f>'Source VoT'!$D$39*VLOOKUP($B33,'Indirect tax correction'!$B$27:$I$127,7,FALSE)*VLOOKUP($B33,'Annual Parameters'!$B$33:$W$143,21,FALSE)/VLOOKUP('Source VoT'!$F$27,'Annual Parameters'!$B$33:$W$143,21,FALSE)*VLOOKUP($B$14,'Annual Parameters'!$B$33:$W$143,3,FALSE)/VLOOKUP('Source VoT'!$E$27,'Annual Parameters'!$B$33:$W$143,3,FALSE)</f>
        <v>19.084261151941956</v>
      </c>
      <c r="AW33" s="74">
        <f>'Source VoT'!$D$40*VLOOKUP($B33,'Indirect tax correction'!$B$27:$I$127,7,FALSE)*VLOOKUP($B33,'Annual Parameters'!$B$33:$W$143,21,FALSE)/VLOOKUP('Source VoT'!$F$27,'Annual Parameters'!$B$33:$W$143,21,FALSE)*VLOOKUP($B$14,'Annual Parameters'!$B$33:$W$143,3,FALSE)/VLOOKUP('Source VoT'!$E$27,'Annual Parameters'!$B$33:$W$143,3,FALSE)</f>
        <v>20.787115231252429</v>
      </c>
      <c r="AX33" s="73">
        <f>'Source VoT'!$D$45*VLOOKUP($B33,'Indirect tax correction'!$B$27:$I$127,8,FALSE)*VLOOKUP($B33,'Annual Parameters'!$B$33:$W$143,22,FALSE)/VLOOKUP('Source VoT'!$F$27,'Annual Parameters'!$B$33:$W$143,22,FALSE)*VLOOKUP($B$14,'Annual Parameters'!$B$33:$W$143,3,FALSE)/VLOOKUP('Source VoT'!$E$27,'Annual Parameters'!$B$33:$W$143,3,FALSE)</f>
        <v>10.738241980826</v>
      </c>
      <c r="AY33" s="74">
        <f>'Source VoT'!$D$46*VLOOKUP($B33,'Indirect tax correction'!$B$27:$I$127,8,FALSE)*VLOOKUP($B33,'Annual Parameters'!$B$33:$W$143,22,FALSE)/VLOOKUP('Source VoT'!$F$27,'Annual Parameters'!$B$33:$W$143,22,FALSE)*VLOOKUP($B$14,'Annual Parameters'!$B$33:$W$143,3,FALSE)/VLOOKUP('Source VoT'!$E$27,'Annual Parameters'!$B$33:$W$143,3,FALSE)</f>
        <v>4.901255895994912</v>
      </c>
      <c r="AZ33" s="2875"/>
      <c r="BA33" s="2875"/>
      <c r="BB33" s="2875"/>
      <c r="BC33" s="2875"/>
      <c r="BD33" s="2875"/>
      <c r="BE33" s="2875"/>
      <c r="BF33" s="2875"/>
      <c r="BG33" s="2875"/>
      <c r="BH33" s="2875"/>
    </row>
    <row r="34" spans="1:60" ht="13.5" customHeight="1">
      <c r="A34" s="90"/>
      <c r="B34" s="82">
        <f t="shared" si="0"/>
        <v>2017</v>
      </c>
      <c r="C34" s="82"/>
      <c r="D34" s="117">
        <f>'Source VoT'!$D$27*VLOOKUP($B34,'Indirect tax correction'!$B$27:$I$127,5,FALSE)*VLOOKUP($B34,'Annual Parameters'!$B$33:$W$143,21,FALSE)/VLOOKUP('Source VoT'!$F$27,'Annual Parameters'!$B$33:$W$143,21,FALSE)*VLOOKUP($B$14,'Annual Parameters'!$B$33:$W$143,3,FALSE)/VLOOKUP('Source VoT'!$E$27,'Annual Parameters'!$B$33:$W$143,3,FALSE)</f>
        <v>16.23258744978078</v>
      </c>
      <c r="E34" s="73">
        <f>'Source VoT'!$D$28*VLOOKUP($B34,'Indirect tax correction'!$B$27:$I$127,5,FALSE)*VLOOKUP($B34,'Annual Parameters'!$B$33:$W$143,21,FALSE)/VLOOKUP('Source VoT'!$F$27,'Annual Parameters'!$B$33:$W$143,21,FALSE)*VLOOKUP($B$14,'Annual Parameters'!$B$33:$W$143,3,FALSE)/VLOOKUP('Source VoT'!$E$27,'Annual Parameters'!$B$33:$W$143,3,FALSE)</f>
        <v>16.23258744978078</v>
      </c>
      <c r="F34" s="73">
        <f>'Source VoT'!$D$29*VLOOKUP($B34,'Indirect tax correction'!$B$27:$I$127,5,FALSE)*VLOOKUP($B34,'Annual Parameters'!$B$33:$W$143,21,FALSE)/VLOOKUP('Source VoT'!$F$27,'Annual Parameters'!$B$33:$W$143,21,FALSE)*VLOOKUP($B$14,'Annual Parameters'!$B$33:$W$143,3,FALSE)/VLOOKUP('Source VoT'!$E$27,'Annual Parameters'!$B$33:$W$143,3,FALSE)</f>
        <v>11.177390544073036</v>
      </c>
      <c r="G34" s="73">
        <f>'Source VoT'!$D$30*VLOOKUP($B34,'Indirect tax correction'!$B$27:$I$127,5,FALSE)*VLOOKUP($B34,'Annual Parameters'!$B$33:$W$143,21,FALSE)/VLOOKUP('Source VoT'!$F$27,'Annual Parameters'!$B$33:$W$143,21,FALSE)*VLOOKUP($B$14,'Annual Parameters'!$B$33:$W$143,3,FALSE)/VLOOKUP('Source VoT'!$E$27,'Annual Parameters'!$B$33:$W$143,3,FALSE)</f>
        <v>13.169656914197164</v>
      </c>
      <c r="H34" s="73">
        <f>'Source VoT'!$D$31*VLOOKUP($B34,'Indirect tax correction'!$B$27:$I$127,5,FALSE)*VLOOKUP($B34,'Annual Parameters'!$B$33:$W$143,21,FALSE)/VLOOKUP('Source VoT'!$F$27,'Annual Parameters'!$B$33:$W$143,21,FALSE)*VLOOKUP($B$14,'Annual Parameters'!$B$33:$W$143,3,FALSE)/VLOOKUP('Source VoT'!$E$27,'Annual Parameters'!$B$33:$W$143,3,FALSE)</f>
        <v>13.454266395643469</v>
      </c>
      <c r="I34" s="73">
        <f>'Source VoT'!$D$32*VLOOKUP($B34,'Indirect tax correction'!$B$27:$I$127,5,FALSE)*VLOOKUP($B34,'Annual Parameters'!$B$33:$W$143,21,FALSE)/VLOOKUP('Source VoT'!$F$27,'Annual Parameters'!$B$33:$W$143,21,FALSE)*VLOOKUP($B$14,'Annual Parameters'!$B$33:$W$143,3,FALSE)/VLOOKUP('Source VoT'!$E$27,'Annual Parameters'!$B$33:$W$143,3,FALSE)</f>
        <v>9.1987766875256352</v>
      </c>
      <c r="J34" s="73">
        <f>'Source VoT'!$D$33*VLOOKUP($B34,'Indirect tax correction'!$B$27:$I$127,5,FALSE)*VLOOKUP($B34,'Annual Parameters'!$B$33:$W$143,21,FALSE)/VLOOKUP('Source VoT'!$F$27,'Annual Parameters'!$B$33:$W$143,21,FALSE)*VLOOKUP($B$14,'Annual Parameters'!$B$33:$W$143,3,FALSE)/VLOOKUP('Source VoT'!$E$27,'Annual Parameters'!$B$33:$W$143,3,FALSE)</f>
        <v>11.888914247688795</v>
      </c>
      <c r="K34" s="73">
        <f>'Source VoT'!$D$34*VLOOKUP($B34,'Indirect tax correction'!$B$27:$I$127,5,FALSE)*VLOOKUP($B34,'Annual Parameters'!$B$33:$W$143,21,FALSE)/VLOOKUP('Source VoT'!$F$27,'Annual Parameters'!$B$33:$W$143,21,FALSE)*VLOOKUP($B$14,'Annual Parameters'!$B$33:$W$143,3,FALSE)/VLOOKUP('Source VoT'!$E$27,'Annual Parameters'!$B$33:$W$143,3,FALSE)</f>
        <v>16.23258744978078</v>
      </c>
      <c r="L34" s="73">
        <f>'Source VoT'!$D$35*VLOOKUP($B34,'Indirect tax correction'!$B$27:$I$127,5,FALSE)*VLOOKUP($B34,'Annual Parameters'!$B$33:$W$143,21,FALSE)/VLOOKUP('Source VoT'!$F$27,'Annual Parameters'!$B$33:$W$143,21,FALSE)*VLOOKUP($B$14,'Annual Parameters'!$B$33:$W$143,3,FALSE)/VLOOKUP('Source VoT'!$E$27,'Annual Parameters'!$B$33:$W$143,3,FALSE)</f>
        <v>26.775854057499217</v>
      </c>
      <c r="M34" s="73">
        <f>'Source VoT'!$D$36*VLOOKUP($B34,'Indirect tax correction'!$B$27:$I$127,5,FALSE)*VLOOKUP($B34,'Annual Parameters'!$B$33:$W$143,21,FALSE)/VLOOKUP('Source VoT'!$F$27,'Annual Parameters'!$B$33:$W$143,21,FALSE)*VLOOKUP($B$14,'Annual Parameters'!$B$33:$W$143,3,FALSE)/VLOOKUP('Source VoT'!$E$27,'Annual Parameters'!$B$33:$W$143,3,FALSE)</f>
        <v>9.1987766875256352</v>
      </c>
      <c r="N34" s="73">
        <f>'Source VoT'!$D$37*VLOOKUP($B34,'Indirect tax correction'!$B$27:$I$127,5,FALSE)*VLOOKUP($B34,'Annual Parameters'!$B$33:$W$143,21,FALSE)/VLOOKUP('Source VoT'!$F$27,'Annual Parameters'!$B$33:$W$143,21,FALSE)*VLOOKUP($B$14,'Annual Parameters'!$B$33:$W$143,3,FALSE)/VLOOKUP('Source VoT'!$E$27,'Annual Parameters'!$B$33:$W$143,3,FALSE)</f>
        <v>9.1987766875256352</v>
      </c>
      <c r="O34" s="73">
        <f>'Source VoT'!$D$38*VLOOKUP($B34,'Indirect tax correction'!$B$27:$I$127,5,FALSE)*VLOOKUP($B34,'Annual Parameters'!$B$33:$W$143,21,FALSE)/VLOOKUP('Source VoT'!$F$27,'Annual Parameters'!$B$33:$W$143,21,FALSE)*VLOOKUP($B$14,'Annual Parameters'!$B$33:$W$143,3,FALSE)/VLOOKUP('Source VoT'!$E$27,'Annual Parameters'!$B$33:$W$143,3,FALSE)</f>
        <v>9.1987766875256352</v>
      </c>
      <c r="P34" s="73">
        <f>'Source VoT'!$D$39*VLOOKUP($B34,'Indirect tax correction'!$B$27:$I$127,5,FALSE)*VLOOKUP($B34,'Annual Parameters'!$B$33:$W$143,21,FALSE)/VLOOKUP('Source VoT'!$F$27,'Annual Parameters'!$B$33:$W$143,21,FALSE)*VLOOKUP($B$14,'Annual Parameters'!$B$33:$W$143,3,FALSE)/VLOOKUP('Source VoT'!$E$27,'Annual Parameters'!$B$33:$W$143,3,FALSE)</f>
        <v>16.23258744978078</v>
      </c>
      <c r="Q34" s="74">
        <f>'Source VoT'!$D$40*VLOOKUP($B34,'Indirect tax correction'!$B$27:$I$127,5,FALSE)*VLOOKUP($B34,'Annual Parameters'!$B$33:$W$143,21,FALSE)/VLOOKUP('Source VoT'!$F$27,'Annual Parameters'!$B$33:$W$143,21,FALSE)*VLOOKUP($B$14,'Annual Parameters'!$B$33:$W$143,3,FALSE)/VLOOKUP('Source VoT'!$E$27,'Annual Parameters'!$B$33:$W$143,3,FALSE)</f>
        <v>17.680991846291061</v>
      </c>
      <c r="R34" s="73">
        <f>'Source VoT'!$D$45*VLOOKUP($B34,'Indirect tax correction'!$B$27:$I$127,6,FALSE)*VLOOKUP($B34,'Annual Parameters'!$B$33:$W$143,22,FALSE)/VLOOKUP('Source VoT'!$F$27,'Annual Parameters'!$B$33:$W$143,22,FALSE)*VLOOKUP($B$14,'Annual Parameters'!$B$33:$W$143,3,FALSE)/VLOOKUP('Source VoT'!$E$27,'Annual Parameters'!$B$33:$W$143,3,FALSE)</f>
        <v>9.1336756829555359</v>
      </c>
      <c r="S34" s="73">
        <f>'Source VoT'!$D$46*VLOOKUP($B34,'Indirect tax correction'!$B$27:$I$127,6,FALSE)*VLOOKUP($B34,'Annual Parameters'!$B$33:$W$143,22,FALSE)/VLOOKUP('Source VoT'!$F$27,'Annual Parameters'!$B$33:$W$143,22,FALSE)*VLOOKUP($B$14,'Annual Parameters'!$B$33:$W$143,3,FALSE)/VLOOKUP('Source VoT'!$E$27,'Annual Parameters'!$B$33:$W$143,3,FALSE)</f>
        <v>4.1688836844173691</v>
      </c>
      <c r="T34" s="117">
        <f>'Source VoT'!$D$27*1*VLOOKUP($B34,'Annual Parameters'!$B$33:$W$143,21,FALSE)/VLOOKUP('Source VoT'!$F$27,'Annual Parameters'!$B$33:$W$143,21,FALSE)*VLOOKUP($B$14,'Annual Parameters'!$B$33:$W$143,3,FALSE)/VLOOKUP('Source VoT'!$E$27,'Annual Parameters'!$B$33:$W$143,3,FALSE)</f>
        <v>16.23258744978078</v>
      </c>
      <c r="U34" s="73">
        <f>'Source VoT'!$D$28*1*VLOOKUP($B34,'Annual Parameters'!$B$33:$W$143,21,FALSE)/VLOOKUP('Source VoT'!$F$27,'Annual Parameters'!$B$33:$W$143,21,FALSE)*VLOOKUP($B$14,'Annual Parameters'!$B$33:$W$143,3,FALSE)/VLOOKUP('Source VoT'!$E$27,'Annual Parameters'!$B$33:$W$143,3,FALSE)</f>
        <v>16.23258744978078</v>
      </c>
      <c r="V34" s="73">
        <f>'Source VoT'!$D$29*1*VLOOKUP($B34,'Annual Parameters'!$B$33:$W$143,21,FALSE)/VLOOKUP('Source VoT'!$F$27,'Annual Parameters'!$B$33:$W$143,21,FALSE)*VLOOKUP($B$14,'Annual Parameters'!$B$33:$W$143,3,FALSE)/VLOOKUP('Source VoT'!$E$27,'Annual Parameters'!$B$33:$W$143,3,FALSE)</f>
        <v>11.177390544073036</v>
      </c>
      <c r="W34" s="73">
        <f>'Source VoT'!$D$30*1*VLOOKUP($B34,'Annual Parameters'!$B$33:$W$143,21,FALSE)/VLOOKUP('Source VoT'!$F$27,'Annual Parameters'!$B$33:$W$143,21,FALSE)*VLOOKUP($B$14,'Annual Parameters'!$B$33:$W$143,3,FALSE)/VLOOKUP('Source VoT'!$E$27,'Annual Parameters'!$B$33:$W$143,3,FALSE)</f>
        <v>13.169656914197164</v>
      </c>
      <c r="X34" s="73">
        <f>'Source VoT'!$D$31*1*VLOOKUP($B34,'Annual Parameters'!$B$33:$W$143,21,FALSE)/VLOOKUP('Source VoT'!$F$27,'Annual Parameters'!$B$33:$W$143,21,FALSE)*VLOOKUP($B$14,'Annual Parameters'!$B$33:$W$143,3,FALSE)/VLOOKUP('Source VoT'!$E$27,'Annual Parameters'!$B$33:$W$143,3,FALSE)</f>
        <v>13.454266395643469</v>
      </c>
      <c r="Y34" s="73">
        <f>'Source VoT'!$D$32*1*VLOOKUP($B34,'Annual Parameters'!$B$33:$W$143,21,FALSE)/VLOOKUP('Source VoT'!$F$27,'Annual Parameters'!$B$33:$W$143,21,FALSE)*VLOOKUP($B$14,'Annual Parameters'!$B$33:$W$143,3,FALSE)/VLOOKUP('Source VoT'!$E$27,'Annual Parameters'!$B$33:$W$143,3,FALSE)</f>
        <v>9.1987766875256352</v>
      </c>
      <c r="Z34" s="73">
        <f>'Source VoT'!$D$33*1*VLOOKUP($B34,'Annual Parameters'!$B$33:$W$143,21,FALSE)/VLOOKUP('Source VoT'!$F$27,'Annual Parameters'!$B$33:$W$143,21,FALSE)*VLOOKUP($B$14,'Annual Parameters'!$B$33:$W$143,3,FALSE)/VLOOKUP('Source VoT'!$E$27,'Annual Parameters'!$B$33:$W$143,3,FALSE)</f>
        <v>11.888914247688795</v>
      </c>
      <c r="AA34" s="73">
        <f>'Source VoT'!$D$34*1*VLOOKUP($B34,'Annual Parameters'!$B$33:$W$143,21,FALSE)/VLOOKUP('Source VoT'!$F$27,'Annual Parameters'!$B$33:$W$143,21,FALSE)*VLOOKUP($B$14,'Annual Parameters'!$B$33:$W$143,3,FALSE)/VLOOKUP('Source VoT'!$E$27,'Annual Parameters'!$B$33:$W$143,3,FALSE)</f>
        <v>16.23258744978078</v>
      </c>
      <c r="AB34" s="73">
        <f>'Source VoT'!$D$35*1*VLOOKUP($B34,'Annual Parameters'!$B$33:$W$143,21,FALSE)/VLOOKUP('Source VoT'!$F$27,'Annual Parameters'!$B$33:$W$143,21,FALSE)*VLOOKUP($B$14,'Annual Parameters'!$B$33:$W$143,3,FALSE)/VLOOKUP('Source VoT'!$E$27,'Annual Parameters'!$B$33:$W$143,3,FALSE)</f>
        <v>26.775854057499217</v>
      </c>
      <c r="AC34" s="73">
        <f>'Source VoT'!$D$36*1*VLOOKUP($B34,'Annual Parameters'!$B$33:$W$143,21,FALSE)/VLOOKUP('Source VoT'!$F$27,'Annual Parameters'!$B$33:$W$143,21,FALSE)*VLOOKUP($B$14,'Annual Parameters'!$B$33:$W$143,3,FALSE)/VLOOKUP('Source VoT'!$E$27,'Annual Parameters'!$B$33:$W$143,3,FALSE)</f>
        <v>9.1987766875256352</v>
      </c>
      <c r="AD34" s="73">
        <f>'Source VoT'!$D$37*1*VLOOKUP($B34,'Annual Parameters'!$B$33:$W$143,21,FALSE)/VLOOKUP('Source VoT'!$F$27,'Annual Parameters'!$B$33:$W$143,21,FALSE)*VLOOKUP($B$14,'Annual Parameters'!$B$33:$W$143,3,FALSE)/VLOOKUP('Source VoT'!$E$27,'Annual Parameters'!$B$33:$W$143,3,FALSE)</f>
        <v>9.1987766875256352</v>
      </c>
      <c r="AE34" s="73">
        <f>'Source VoT'!$D$38*1*VLOOKUP($B34,'Annual Parameters'!$B$33:$W$143,21,FALSE)/VLOOKUP('Source VoT'!$F$27,'Annual Parameters'!$B$33:$W$143,21,FALSE)*VLOOKUP($B$14,'Annual Parameters'!$B$33:$W$143,3,FALSE)/VLOOKUP('Source VoT'!$E$27,'Annual Parameters'!$B$33:$W$143,3,FALSE)</f>
        <v>9.1987766875256352</v>
      </c>
      <c r="AF34" s="73">
        <f>'Source VoT'!$D$39*1*VLOOKUP($B34,'Annual Parameters'!$B$33:$W$143,21,FALSE)/VLOOKUP('Source VoT'!$F$27,'Annual Parameters'!$B$33:$W$143,21,FALSE)*VLOOKUP($B$14,'Annual Parameters'!$B$33:$W$143,3,FALSE)/VLOOKUP('Source VoT'!$E$27,'Annual Parameters'!$B$33:$W$143,3,FALSE)</f>
        <v>16.23258744978078</v>
      </c>
      <c r="AG34" s="74">
        <f>'Source VoT'!$D$40*1*VLOOKUP($B34,'Annual Parameters'!$B$33:$W$143,21,FALSE)/VLOOKUP('Source VoT'!$F$27,'Annual Parameters'!$B$33:$W$143,21,FALSE)*VLOOKUP($B$14,'Annual Parameters'!$B$33:$W$143,3,FALSE)/VLOOKUP('Source VoT'!$E$27,'Annual Parameters'!$B$33:$W$143,3,FALSE)</f>
        <v>17.680991846291061</v>
      </c>
      <c r="AH34" s="73">
        <f>'Source VoT'!$D$45*1*VLOOKUP($B34,'Annual Parameters'!$B$33:$W$143,22,FALSE)/VLOOKUP('Source VoT'!$F$27,'Annual Parameters'!$B$33:$W$143,22,FALSE)*VLOOKUP($B$14,'Annual Parameters'!$B$33:$W$143,3,FALSE)/VLOOKUP('Source VoT'!$E$27,'Annual Parameters'!$B$33:$W$143,3,FALSE)</f>
        <v>10.869074062717086</v>
      </c>
      <c r="AI34" s="73">
        <f>'Source VoT'!$D$46*1*VLOOKUP($B34,'Annual Parameters'!$B$33:$W$143,22,FALSE)/VLOOKUP('Source VoT'!$F$27,'Annual Parameters'!$B$33:$W$143,22,FALSE)*VLOOKUP($B$14,'Annual Parameters'!$B$33:$W$143,3,FALSE)/VLOOKUP('Source VoT'!$E$27,'Annual Parameters'!$B$33:$W$143,3,FALSE)</f>
        <v>4.9609715844566695</v>
      </c>
      <c r="AJ34" s="117">
        <f>'Source VoT'!$D$27*VLOOKUP($B34,'Indirect tax correction'!$B$27:$I$127,7,FALSE)*VLOOKUP($B34,'Annual Parameters'!$B$33:$W$143,21,FALSE)/VLOOKUP('Source VoT'!$F$27,'Annual Parameters'!$B$33:$W$143,21,FALSE)*VLOOKUP($B$14,'Annual Parameters'!$B$33:$W$143,3,FALSE)/VLOOKUP('Source VoT'!$E$27,'Annual Parameters'!$B$33:$W$143,3,FALSE)</f>
        <v>19.316779065239128</v>
      </c>
      <c r="AK34" s="73">
        <f>'Source VoT'!$D$28*VLOOKUP($B34,'Indirect tax correction'!$B$27:$I$127,7,FALSE)*VLOOKUP($B34,'Annual Parameters'!$B$33:$W$143,21,FALSE)/VLOOKUP('Source VoT'!$F$27,'Annual Parameters'!$B$33:$W$143,21,FALSE)*VLOOKUP($B$14,'Annual Parameters'!$B$33:$W$143,3,FALSE)/VLOOKUP('Source VoT'!$E$27,'Annual Parameters'!$B$33:$W$143,3,FALSE)</f>
        <v>19.316779065239128</v>
      </c>
      <c r="AL34" s="73">
        <f>'Source VoT'!$D$29*VLOOKUP($B34,'Indirect tax correction'!$B$27:$I$127,7,FALSE)*VLOOKUP($B34,'Annual Parameters'!$B$33:$W$143,21,FALSE)/VLOOKUP('Source VoT'!$F$27,'Annual Parameters'!$B$33:$W$143,21,FALSE)*VLOOKUP($B$14,'Annual Parameters'!$B$33:$W$143,3,FALSE)/VLOOKUP('Source VoT'!$E$27,'Annual Parameters'!$B$33:$W$143,3,FALSE)</f>
        <v>13.301094747446912</v>
      </c>
      <c r="AM34" s="73">
        <f>'Source VoT'!$D$30*VLOOKUP($B34,'Indirect tax correction'!$B$27:$I$127,7,FALSE)*VLOOKUP($B34,'Annual Parameters'!$B$33:$W$143,21,FALSE)/VLOOKUP('Source VoT'!$F$27,'Annual Parameters'!$B$33:$W$143,21,FALSE)*VLOOKUP($B$14,'Annual Parameters'!$B$33:$W$143,3,FALSE)/VLOOKUP('Source VoT'!$E$27,'Annual Parameters'!$B$33:$W$143,3,FALSE)</f>
        <v>15.671891727894625</v>
      </c>
      <c r="AN34" s="73">
        <f>'Source VoT'!$D$31*VLOOKUP($B34,'Indirect tax correction'!$B$27:$I$127,7,FALSE)*VLOOKUP($B34,'Annual Parameters'!$B$33:$W$143,21,FALSE)/VLOOKUP('Source VoT'!$F$27,'Annual Parameters'!$B$33:$W$143,21,FALSE)*VLOOKUP($B$14,'Annual Parameters'!$B$33:$W$143,3,FALSE)/VLOOKUP('Source VoT'!$E$27,'Annual Parameters'!$B$33:$W$143,3,FALSE)</f>
        <v>16.010577010815727</v>
      </c>
      <c r="AO34" s="73">
        <f>'Source VoT'!$D$32*VLOOKUP($B34,'Indirect tax correction'!$B$27:$I$127,7,FALSE)*VLOOKUP($B34,'Annual Parameters'!$B$33:$W$143,21,FALSE)/VLOOKUP('Source VoT'!$F$27,'Annual Parameters'!$B$33:$W$143,21,FALSE)*VLOOKUP($B$14,'Annual Parameters'!$B$33:$W$143,3,FALSE)/VLOOKUP('Source VoT'!$E$27,'Annual Parameters'!$B$33:$W$143,3,FALSE)</f>
        <v>10.946544258155505</v>
      </c>
      <c r="AP34" s="73">
        <f>'Source VoT'!$D$33*VLOOKUP($B34,'Indirect tax correction'!$B$27:$I$127,7,FALSE)*VLOOKUP($B34,'Annual Parameters'!$B$33:$W$143,21,FALSE)/VLOOKUP('Source VoT'!$F$27,'Annual Parameters'!$B$33:$W$143,21,FALSE)*VLOOKUP($B$14,'Annual Parameters'!$B$33:$W$143,3,FALSE)/VLOOKUP('Source VoT'!$E$27,'Annual Parameters'!$B$33:$W$143,3,FALSE)</f>
        <v>14.147807954749664</v>
      </c>
      <c r="AQ34" s="73">
        <f>'Source VoT'!$D$34*VLOOKUP($B34,'Indirect tax correction'!$B$27:$I$127,7,FALSE)*VLOOKUP($B34,'Annual Parameters'!$B$33:$W$143,21,FALSE)/VLOOKUP('Source VoT'!$F$27,'Annual Parameters'!$B$33:$W$143,21,FALSE)*VLOOKUP($B$14,'Annual Parameters'!$B$33:$W$143,3,FALSE)/VLOOKUP('Source VoT'!$E$27,'Annual Parameters'!$B$33:$W$143,3,FALSE)</f>
        <v>19.316779065239128</v>
      </c>
      <c r="AR34" s="73">
        <f>'Source VoT'!$D$35*VLOOKUP($B34,'Indirect tax correction'!$B$27:$I$127,7,FALSE)*VLOOKUP($B34,'Annual Parameters'!$B$33:$W$143,21,FALSE)/VLOOKUP('Source VoT'!$F$27,'Annual Parameters'!$B$33:$W$143,21,FALSE)*VLOOKUP($B$14,'Annual Parameters'!$B$33:$W$143,3,FALSE)/VLOOKUP('Source VoT'!$E$27,'Annual Parameters'!$B$33:$W$143,3,FALSE)</f>
        <v>31.863266328424071</v>
      </c>
      <c r="AS34" s="73">
        <f>'Source VoT'!$D$36*VLOOKUP($B34,'Indirect tax correction'!$B$27:$I$127,7,FALSE)*VLOOKUP($B34,'Annual Parameters'!$B$33:$W$143,21,FALSE)/VLOOKUP('Source VoT'!$F$27,'Annual Parameters'!$B$33:$W$143,21,FALSE)*VLOOKUP($B$14,'Annual Parameters'!$B$33:$W$143,3,FALSE)/VLOOKUP('Source VoT'!$E$27,'Annual Parameters'!$B$33:$W$143,3,FALSE)</f>
        <v>10.946544258155505</v>
      </c>
      <c r="AT34" s="73">
        <f>'Source VoT'!$D$37*VLOOKUP($B34,'Indirect tax correction'!$B$27:$I$127,7,FALSE)*VLOOKUP($B34,'Annual Parameters'!$B$33:$W$143,21,FALSE)/VLOOKUP('Source VoT'!$F$27,'Annual Parameters'!$B$33:$W$143,21,FALSE)*VLOOKUP($B$14,'Annual Parameters'!$B$33:$W$143,3,FALSE)/VLOOKUP('Source VoT'!$E$27,'Annual Parameters'!$B$33:$W$143,3,FALSE)</f>
        <v>10.946544258155505</v>
      </c>
      <c r="AU34" s="73">
        <f>'Source VoT'!$D$38*VLOOKUP($B34,'Indirect tax correction'!$B$27:$I$127,7,FALSE)*VLOOKUP($B34,'Annual Parameters'!$B$33:$W$143,21,FALSE)/VLOOKUP('Source VoT'!$F$27,'Annual Parameters'!$B$33:$W$143,21,FALSE)*VLOOKUP($B$14,'Annual Parameters'!$B$33:$W$143,3,FALSE)/VLOOKUP('Source VoT'!$E$27,'Annual Parameters'!$B$33:$W$143,3,FALSE)</f>
        <v>10.946544258155505</v>
      </c>
      <c r="AV34" s="73">
        <f>'Source VoT'!$D$39*VLOOKUP($B34,'Indirect tax correction'!$B$27:$I$127,7,FALSE)*VLOOKUP($B34,'Annual Parameters'!$B$33:$W$143,21,FALSE)/VLOOKUP('Source VoT'!$F$27,'Annual Parameters'!$B$33:$W$143,21,FALSE)*VLOOKUP($B$14,'Annual Parameters'!$B$33:$W$143,3,FALSE)/VLOOKUP('Source VoT'!$E$27,'Annual Parameters'!$B$33:$W$143,3,FALSE)</f>
        <v>19.316779065239128</v>
      </c>
      <c r="AW34" s="74">
        <f>'Source VoT'!$D$40*VLOOKUP($B34,'Indirect tax correction'!$B$27:$I$127,7,FALSE)*VLOOKUP($B34,'Annual Parameters'!$B$33:$W$143,21,FALSE)/VLOOKUP('Source VoT'!$F$27,'Annual Parameters'!$B$33:$W$143,21,FALSE)*VLOOKUP($B$14,'Annual Parameters'!$B$33:$W$143,3,FALSE)/VLOOKUP('Source VoT'!$E$27,'Annual Parameters'!$B$33:$W$143,3,FALSE)</f>
        <v>21.040380297086369</v>
      </c>
      <c r="AX34" s="73">
        <f>'Source VoT'!$D$45*VLOOKUP($B34,'Indirect tax correction'!$B$27:$I$127,8,FALSE)*VLOOKUP($B34,'Annual Parameters'!$B$33:$W$143,22,FALSE)/VLOOKUP('Source VoT'!$F$27,'Annual Parameters'!$B$33:$W$143,22,FALSE)*VLOOKUP($B$14,'Annual Parameters'!$B$33:$W$143,3,FALSE)/VLOOKUP('Source VoT'!$E$27,'Annual Parameters'!$B$33:$W$143,3,FALSE)</f>
        <v>10.869074062717086</v>
      </c>
      <c r="AY34" s="74">
        <f>'Source VoT'!$D$46*VLOOKUP($B34,'Indirect tax correction'!$B$27:$I$127,8,FALSE)*VLOOKUP($B34,'Annual Parameters'!$B$33:$W$143,22,FALSE)/VLOOKUP('Source VoT'!$F$27,'Annual Parameters'!$B$33:$W$143,22,FALSE)*VLOOKUP($B$14,'Annual Parameters'!$B$33:$W$143,3,FALSE)/VLOOKUP('Source VoT'!$E$27,'Annual Parameters'!$B$33:$W$143,3,FALSE)</f>
        <v>4.9609715844566695</v>
      </c>
      <c r="AZ34" s="2875"/>
      <c r="BA34" s="2875"/>
      <c r="BB34" s="2875"/>
      <c r="BC34" s="2875"/>
      <c r="BD34" s="2875"/>
      <c r="BE34" s="2875"/>
      <c r="BF34" s="2875"/>
      <c r="BG34" s="2875"/>
      <c r="BH34" s="2875"/>
    </row>
    <row r="35" spans="1:60" s="24" customFormat="1" ht="13.5" customHeight="1">
      <c r="A35" s="91"/>
      <c r="B35" s="82">
        <f t="shared" si="0"/>
        <v>2018</v>
      </c>
      <c r="C35" s="32"/>
      <c r="D35" s="117">
        <f>'Source VoT'!$D$27*VLOOKUP($B35,'Indirect tax correction'!$B$27:$I$127,5,FALSE)*VLOOKUP($B35,'Annual Parameters'!$B$33:$W$143,21,FALSE)/VLOOKUP('Source VoT'!$F$27,'Annual Parameters'!$B$33:$W$143,21,FALSE)*VLOOKUP($B$14,'Annual Parameters'!$B$33:$W$143,3,FALSE)/VLOOKUP('Source VoT'!$E$27,'Annual Parameters'!$B$33:$W$143,3,FALSE)</f>
        <v>16.356897054734851</v>
      </c>
      <c r="E35" s="73">
        <f>'Source VoT'!$D$28*VLOOKUP($B35,'Indirect tax correction'!$B$27:$I$127,5,FALSE)*VLOOKUP($B35,'Annual Parameters'!$B$33:$W$143,21,FALSE)/VLOOKUP('Source VoT'!$F$27,'Annual Parameters'!$B$33:$W$143,21,FALSE)*VLOOKUP($B$14,'Annual Parameters'!$B$33:$W$143,3,FALSE)/VLOOKUP('Source VoT'!$E$27,'Annual Parameters'!$B$33:$W$143,3,FALSE)</f>
        <v>16.356897054734851</v>
      </c>
      <c r="F35" s="73">
        <f>'Source VoT'!$D$29*VLOOKUP($B35,'Indirect tax correction'!$B$27:$I$127,5,FALSE)*VLOOKUP($B35,'Annual Parameters'!$B$33:$W$143,21,FALSE)/VLOOKUP('Source VoT'!$F$27,'Annual Parameters'!$B$33:$W$143,21,FALSE)*VLOOKUP($B$14,'Annual Parameters'!$B$33:$W$143,3,FALSE)/VLOOKUP('Source VoT'!$E$27,'Annual Parameters'!$B$33:$W$143,3,FALSE)</f>
        <v>11.262987310900856</v>
      </c>
      <c r="G35" s="73">
        <f>'Source VoT'!$D$30*VLOOKUP($B35,'Indirect tax correction'!$B$27:$I$127,5,FALSE)*VLOOKUP($B35,'Annual Parameters'!$B$33:$W$143,21,FALSE)/VLOOKUP('Source VoT'!$F$27,'Annual Parameters'!$B$33:$W$143,21,FALSE)*VLOOKUP($B$14,'Annual Parameters'!$B$33:$W$143,3,FALSE)/VLOOKUP('Source VoT'!$E$27,'Annual Parameters'!$B$33:$W$143,3,FALSE)</f>
        <v>13.270510512149386</v>
      </c>
      <c r="H35" s="73">
        <f>'Source VoT'!$D$31*VLOOKUP($B35,'Indirect tax correction'!$B$27:$I$127,5,FALSE)*VLOOKUP($B35,'Annual Parameters'!$B$33:$W$143,21,FALSE)/VLOOKUP('Source VoT'!$F$27,'Annual Parameters'!$B$33:$W$143,21,FALSE)*VLOOKUP($B$14,'Annual Parameters'!$B$33:$W$143,3,FALSE)/VLOOKUP('Source VoT'!$E$27,'Annual Parameters'!$B$33:$W$143,3,FALSE)</f>
        <v>13.55729954089918</v>
      </c>
      <c r="I35" s="73">
        <f>'Source VoT'!$D$32*VLOOKUP($B35,'Indirect tax correction'!$B$27:$I$127,5,FALSE)*VLOOKUP($B35,'Annual Parameters'!$B$33:$W$143,21,FALSE)/VLOOKUP('Source VoT'!$F$27,'Annual Parameters'!$B$33:$W$143,21,FALSE)*VLOOKUP($B$14,'Annual Parameters'!$B$33:$W$143,3,FALSE)/VLOOKUP('Source VoT'!$E$27,'Annual Parameters'!$B$33:$W$143,3,FALSE)</f>
        <v>9.2692211745567192</v>
      </c>
      <c r="J35" s="73">
        <f>'Source VoT'!$D$33*VLOOKUP($B35,'Indirect tax correction'!$B$27:$I$127,5,FALSE)*VLOOKUP($B35,'Annual Parameters'!$B$33:$W$143,21,FALSE)/VLOOKUP('Source VoT'!$F$27,'Annual Parameters'!$B$33:$W$143,21,FALSE)*VLOOKUP($B$14,'Annual Parameters'!$B$33:$W$143,3,FALSE)/VLOOKUP('Source VoT'!$E$27,'Annual Parameters'!$B$33:$W$143,3,FALSE)</f>
        <v>11.979959882775331</v>
      </c>
      <c r="K35" s="73">
        <f>'Source VoT'!$D$34*VLOOKUP($B35,'Indirect tax correction'!$B$27:$I$127,5,FALSE)*VLOOKUP($B35,'Annual Parameters'!$B$33:$W$143,21,FALSE)/VLOOKUP('Source VoT'!$F$27,'Annual Parameters'!$B$33:$W$143,21,FALSE)*VLOOKUP($B$14,'Annual Parameters'!$B$33:$W$143,3,FALSE)/VLOOKUP('Source VoT'!$E$27,'Annual Parameters'!$B$33:$W$143,3,FALSE)</f>
        <v>16.356897054734851</v>
      </c>
      <c r="L35" s="73">
        <f>'Source VoT'!$D$35*VLOOKUP($B35,'Indirect tax correction'!$B$27:$I$127,5,FALSE)*VLOOKUP($B35,'Annual Parameters'!$B$33:$W$143,21,FALSE)/VLOOKUP('Source VoT'!$F$27,'Annual Parameters'!$B$33:$W$143,21,FALSE)*VLOOKUP($B$14,'Annual Parameters'!$B$33:$W$143,3,FALSE)/VLOOKUP('Source VoT'!$E$27,'Annual Parameters'!$B$33:$W$143,3,FALSE)</f>
        <v>26.980904290587013</v>
      </c>
      <c r="M35" s="73">
        <f>'Source VoT'!$D$36*VLOOKUP($B35,'Indirect tax correction'!$B$27:$I$127,5,FALSE)*VLOOKUP($B35,'Annual Parameters'!$B$33:$W$143,21,FALSE)/VLOOKUP('Source VoT'!$F$27,'Annual Parameters'!$B$33:$W$143,21,FALSE)*VLOOKUP($B$14,'Annual Parameters'!$B$33:$W$143,3,FALSE)/VLOOKUP('Source VoT'!$E$27,'Annual Parameters'!$B$33:$W$143,3,FALSE)</f>
        <v>9.2692211745567192</v>
      </c>
      <c r="N35" s="73">
        <f>'Source VoT'!$D$37*VLOOKUP($B35,'Indirect tax correction'!$B$27:$I$127,5,FALSE)*VLOOKUP($B35,'Annual Parameters'!$B$33:$W$143,21,FALSE)/VLOOKUP('Source VoT'!$F$27,'Annual Parameters'!$B$33:$W$143,21,FALSE)*VLOOKUP($B$14,'Annual Parameters'!$B$33:$W$143,3,FALSE)/VLOOKUP('Source VoT'!$E$27,'Annual Parameters'!$B$33:$W$143,3,FALSE)</f>
        <v>9.2692211745567192</v>
      </c>
      <c r="O35" s="73">
        <f>'Source VoT'!$D$38*VLOOKUP($B35,'Indirect tax correction'!$B$27:$I$127,5,FALSE)*VLOOKUP($B35,'Annual Parameters'!$B$33:$W$143,21,FALSE)/VLOOKUP('Source VoT'!$F$27,'Annual Parameters'!$B$33:$W$143,21,FALSE)*VLOOKUP($B$14,'Annual Parameters'!$B$33:$W$143,3,FALSE)/VLOOKUP('Source VoT'!$E$27,'Annual Parameters'!$B$33:$W$143,3,FALSE)</f>
        <v>9.2692211745567192</v>
      </c>
      <c r="P35" s="73">
        <f>'Source VoT'!$D$39*VLOOKUP($B35,'Indirect tax correction'!$B$27:$I$127,5,FALSE)*VLOOKUP($B35,'Annual Parameters'!$B$33:$W$143,21,FALSE)/VLOOKUP('Source VoT'!$F$27,'Annual Parameters'!$B$33:$W$143,21,FALSE)*VLOOKUP($B$14,'Annual Parameters'!$B$33:$W$143,3,FALSE)/VLOOKUP('Source VoT'!$E$27,'Annual Parameters'!$B$33:$W$143,3,FALSE)</f>
        <v>16.356897054734851</v>
      </c>
      <c r="Q35" s="74">
        <f>'Source VoT'!$D$40*VLOOKUP($B35,'Indirect tax correction'!$B$27:$I$127,5,FALSE)*VLOOKUP($B35,'Annual Parameters'!$B$33:$W$143,21,FALSE)/VLOOKUP('Source VoT'!$F$27,'Annual Parameters'!$B$33:$W$143,21,FALSE)*VLOOKUP($B$14,'Annual Parameters'!$B$33:$W$143,3,FALSE)/VLOOKUP('Source VoT'!$E$27,'Annual Parameters'!$B$33:$W$143,3,FALSE)</f>
        <v>17.81639337228982</v>
      </c>
      <c r="R35" s="73">
        <f>'Source VoT'!$D$45*VLOOKUP($B35,'Indirect tax correction'!$B$27:$I$127,6,FALSE)*VLOOKUP($B35,'Annual Parameters'!$B$33:$W$143,22,FALSE)/VLOOKUP('Source VoT'!$F$27,'Annual Parameters'!$B$33:$W$143,22,FALSE)*VLOOKUP($B$14,'Annual Parameters'!$B$33:$W$143,3,FALSE)/VLOOKUP('Source VoT'!$E$27,'Annual Parameters'!$B$33:$W$143,3,FALSE)</f>
        <v>9.203621624687834</v>
      </c>
      <c r="S35" s="73">
        <f>'Source VoT'!$D$46*VLOOKUP($B35,'Indirect tax correction'!$B$27:$I$127,6,FALSE)*VLOOKUP($B35,'Annual Parameters'!$B$33:$W$143,22,FALSE)/VLOOKUP('Source VoT'!$F$27,'Annual Parameters'!$B$33:$W$143,22,FALSE)*VLOOKUP($B$14,'Annual Parameters'!$B$33:$W$143,3,FALSE)/VLOOKUP('Source VoT'!$E$27,'Annual Parameters'!$B$33:$W$143,3,FALSE)</f>
        <v>4.2008091113101962</v>
      </c>
      <c r="T35" s="117">
        <f>'Source VoT'!$D$27*1*VLOOKUP($B35,'Annual Parameters'!$B$33:$W$143,21,FALSE)/VLOOKUP('Source VoT'!$F$27,'Annual Parameters'!$B$33:$W$143,21,FALSE)*VLOOKUP($B$14,'Annual Parameters'!$B$33:$W$143,3,FALSE)/VLOOKUP('Source VoT'!$E$27,'Annual Parameters'!$B$33:$W$143,3,FALSE)</f>
        <v>16.356897054734851</v>
      </c>
      <c r="U35" s="73">
        <f>'Source VoT'!$D$28*1*VLOOKUP($B35,'Annual Parameters'!$B$33:$W$143,21,FALSE)/VLOOKUP('Source VoT'!$F$27,'Annual Parameters'!$B$33:$W$143,21,FALSE)*VLOOKUP($B$14,'Annual Parameters'!$B$33:$W$143,3,FALSE)/VLOOKUP('Source VoT'!$E$27,'Annual Parameters'!$B$33:$W$143,3,FALSE)</f>
        <v>16.356897054734851</v>
      </c>
      <c r="V35" s="73">
        <f>'Source VoT'!$D$29*1*VLOOKUP($B35,'Annual Parameters'!$B$33:$W$143,21,FALSE)/VLOOKUP('Source VoT'!$F$27,'Annual Parameters'!$B$33:$W$143,21,FALSE)*VLOOKUP($B$14,'Annual Parameters'!$B$33:$W$143,3,FALSE)/VLOOKUP('Source VoT'!$E$27,'Annual Parameters'!$B$33:$W$143,3,FALSE)</f>
        <v>11.262987310900856</v>
      </c>
      <c r="W35" s="73">
        <f>'Source VoT'!$D$30*1*VLOOKUP($B35,'Annual Parameters'!$B$33:$W$143,21,FALSE)/VLOOKUP('Source VoT'!$F$27,'Annual Parameters'!$B$33:$W$143,21,FALSE)*VLOOKUP($B$14,'Annual Parameters'!$B$33:$W$143,3,FALSE)/VLOOKUP('Source VoT'!$E$27,'Annual Parameters'!$B$33:$W$143,3,FALSE)</f>
        <v>13.270510512149386</v>
      </c>
      <c r="X35" s="73">
        <f>'Source VoT'!$D$31*1*VLOOKUP($B35,'Annual Parameters'!$B$33:$W$143,21,FALSE)/VLOOKUP('Source VoT'!$F$27,'Annual Parameters'!$B$33:$W$143,21,FALSE)*VLOOKUP($B$14,'Annual Parameters'!$B$33:$W$143,3,FALSE)/VLOOKUP('Source VoT'!$E$27,'Annual Parameters'!$B$33:$W$143,3,FALSE)</f>
        <v>13.55729954089918</v>
      </c>
      <c r="Y35" s="73">
        <f>'Source VoT'!$D$32*1*VLOOKUP($B35,'Annual Parameters'!$B$33:$W$143,21,FALSE)/VLOOKUP('Source VoT'!$F$27,'Annual Parameters'!$B$33:$W$143,21,FALSE)*VLOOKUP($B$14,'Annual Parameters'!$B$33:$W$143,3,FALSE)/VLOOKUP('Source VoT'!$E$27,'Annual Parameters'!$B$33:$W$143,3,FALSE)</f>
        <v>9.2692211745567192</v>
      </c>
      <c r="Z35" s="73">
        <f>'Source VoT'!$D$33*1*VLOOKUP($B35,'Annual Parameters'!$B$33:$W$143,21,FALSE)/VLOOKUP('Source VoT'!$F$27,'Annual Parameters'!$B$33:$W$143,21,FALSE)*VLOOKUP($B$14,'Annual Parameters'!$B$33:$W$143,3,FALSE)/VLOOKUP('Source VoT'!$E$27,'Annual Parameters'!$B$33:$W$143,3,FALSE)</f>
        <v>11.979959882775331</v>
      </c>
      <c r="AA35" s="73">
        <f>'Source VoT'!$D$34*1*VLOOKUP($B35,'Annual Parameters'!$B$33:$W$143,21,FALSE)/VLOOKUP('Source VoT'!$F$27,'Annual Parameters'!$B$33:$W$143,21,FALSE)*VLOOKUP($B$14,'Annual Parameters'!$B$33:$W$143,3,FALSE)/VLOOKUP('Source VoT'!$E$27,'Annual Parameters'!$B$33:$W$143,3,FALSE)</f>
        <v>16.356897054734851</v>
      </c>
      <c r="AB35" s="73">
        <f>'Source VoT'!$D$35*1*VLOOKUP($B35,'Annual Parameters'!$B$33:$W$143,21,FALSE)/VLOOKUP('Source VoT'!$F$27,'Annual Parameters'!$B$33:$W$143,21,FALSE)*VLOOKUP($B$14,'Annual Parameters'!$B$33:$W$143,3,FALSE)/VLOOKUP('Source VoT'!$E$27,'Annual Parameters'!$B$33:$W$143,3,FALSE)</f>
        <v>26.980904290587013</v>
      </c>
      <c r="AC35" s="73">
        <f>'Source VoT'!$D$36*1*VLOOKUP($B35,'Annual Parameters'!$B$33:$W$143,21,FALSE)/VLOOKUP('Source VoT'!$F$27,'Annual Parameters'!$B$33:$W$143,21,FALSE)*VLOOKUP($B$14,'Annual Parameters'!$B$33:$W$143,3,FALSE)/VLOOKUP('Source VoT'!$E$27,'Annual Parameters'!$B$33:$W$143,3,FALSE)</f>
        <v>9.2692211745567192</v>
      </c>
      <c r="AD35" s="73">
        <f>'Source VoT'!$D$37*1*VLOOKUP($B35,'Annual Parameters'!$B$33:$W$143,21,FALSE)/VLOOKUP('Source VoT'!$F$27,'Annual Parameters'!$B$33:$W$143,21,FALSE)*VLOOKUP($B$14,'Annual Parameters'!$B$33:$W$143,3,FALSE)/VLOOKUP('Source VoT'!$E$27,'Annual Parameters'!$B$33:$W$143,3,FALSE)</f>
        <v>9.2692211745567192</v>
      </c>
      <c r="AE35" s="73">
        <f>'Source VoT'!$D$38*1*VLOOKUP($B35,'Annual Parameters'!$B$33:$W$143,21,FALSE)/VLOOKUP('Source VoT'!$F$27,'Annual Parameters'!$B$33:$W$143,21,FALSE)*VLOOKUP($B$14,'Annual Parameters'!$B$33:$W$143,3,FALSE)/VLOOKUP('Source VoT'!$E$27,'Annual Parameters'!$B$33:$W$143,3,FALSE)</f>
        <v>9.2692211745567192</v>
      </c>
      <c r="AF35" s="73">
        <f>'Source VoT'!$D$39*1*VLOOKUP($B35,'Annual Parameters'!$B$33:$W$143,21,FALSE)/VLOOKUP('Source VoT'!$F$27,'Annual Parameters'!$B$33:$W$143,21,FALSE)*VLOOKUP($B$14,'Annual Parameters'!$B$33:$W$143,3,FALSE)/VLOOKUP('Source VoT'!$E$27,'Annual Parameters'!$B$33:$W$143,3,FALSE)</f>
        <v>16.356897054734851</v>
      </c>
      <c r="AG35" s="74">
        <f>'Source VoT'!$D$40*1*VLOOKUP($B35,'Annual Parameters'!$B$33:$W$143,21,FALSE)/VLOOKUP('Source VoT'!$F$27,'Annual Parameters'!$B$33:$W$143,21,FALSE)*VLOOKUP($B$14,'Annual Parameters'!$B$33:$W$143,3,FALSE)/VLOOKUP('Source VoT'!$E$27,'Annual Parameters'!$B$33:$W$143,3,FALSE)</f>
        <v>17.81639337228982</v>
      </c>
      <c r="AH35" s="73">
        <f>'Source VoT'!$D$45*1*VLOOKUP($B35,'Annual Parameters'!$B$33:$W$143,22,FALSE)/VLOOKUP('Source VoT'!$F$27,'Annual Parameters'!$B$33:$W$143,22,FALSE)*VLOOKUP($B$14,'Annual Parameters'!$B$33:$W$143,3,FALSE)/VLOOKUP('Source VoT'!$E$27,'Annual Parameters'!$B$33:$W$143,3,FALSE)</f>
        <v>10.952309733378524</v>
      </c>
      <c r="AI35" s="73">
        <f>'Source VoT'!$D$46*1*VLOOKUP($B35,'Annual Parameters'!$B$33:$W$143,22,FALSE)/VLOOKUP('Source VoT'!$F$27,'Annual Parameters'!$B$33:$W$143,22,FALSE)*VLOOKUP($B$14,'Annual Parameters'!$B$33:$W$143,3,FALSE)/VLOOKUP('Source VoT'!$E$27,'Annual Parameters'!$B$33:$W$143,3,FALSE)</f>
        <v>4.9989628424591332</v>
      </c>
      <c r="AJ35" s="117">
        <f>'Source VoT'!$D$27*VLOOKUP($B35,'Indirect tax correction'!$B$27:$I$127,7,FALSE)*VLOOKUP($B35,'Annual Parameters'!$B$33:$W$143,21,FALSE)/VLOOKUP('Source VoT'!$F$27,'Annual Parameters'!$B$33:$W$143,21,FALSE)*VLOOKUP($B$14,'Annual Parameters'!$B$33:$W$143,3,FALSE)/VLOOKUP('Source VoT'!$E$27,'Annual Parameters'!$B$33:$W$143,3,FALSE)</f>
        <v>19.464707495134473</v>
      </c>
      <c r="AK35" s="73">
        <f>'Source VoT'!$D$28*VLOOKUP($B35,'Indirect tax correction'!$B$27:$I$127,7,FALSE)*VLOOKUP($B35,'Annual Parameters'!$B$33:$W$143,21,FALSE)/VLOOKUP('Source VoT'!$F$27,'Annual Parameters'!$B$33:$W$143,21,FALSE)*VLOOKUP($B$14,'Annual Parameters'!$B$33:$W$143,3,FALSE)/VLOOKUP('Source VoT'!$E$27,'Annual Parameters'!$B$33:$W$143,3,FALSE)</f>
        <v>19.464707495134473</v>
      </c>
      <c r="AL35" s="73">
        <f>'Source VoT'!$D$29*VLOOKUP($B35,'Indirect tax correction'!$B$27:$I$127,7,FALSE)*VLOOKUP($B35,'Annual Parameters'!$B$33:$W$143,21,FALSE)/VLOOKUP('Source VoT'!$F$27,'Annual Parameters'!$B$33:$W$143,21,FALSE)*VLOOKUP($B$14,'Annual Parameters'!$B$33:$W$143,3,FALSE)/VLOOKUP('Source VoT'!$E$27,'Annual Parameters'!$B$33:$W$143,3,FALSE)</f>
        <v>13.40295489997202</v>
      </c>
      <c r="AM35" s="73">
        <f>'Source VoT'!$D$30*VLOOKUP($B35,'Indirect tax correction'!$B$27:$I$127,7,FALSE)*VLOOKUP($B35,'Annual Parameters'!$B$33:$W$143,21,FALSE)/VLOOKUP('Source VoT'!$F$27,'Annual Parameters'!$B$33:$W$143,21,FALSE)*VLOOKUP($B$14,'Annual Parameters'!$B$33:$W$143,3,FALSE)/VLOOKUP('Source VoT'!$E$27,'Annual Parameters'!$B$33:$W$143,3,FALSE)</f>
        <v>15.791907509457769</v>
      </c>
      <c r="AN35" s="73">
        <f>'Source VoT'!$D$31*VLOOKUP($B35,'Indirect tax correction'!$B$27:$I$127,7,FALSE)*VLOOKUP($B35,'Annual Parameters'!$B$33:$W$143,21,FALSE)/VLOOKUP('Source VoT'!$F$27,'Annual Parameters'!$B$33:$W$143,21,FALSE)*VLOOKUP($B$14,'Annual Parameters'!$B$33:$W$143,3,FALSE)/VLOOKUP('Source VoT'!$E$27,'Annual Parameters'!$B$33:$W$143,3,FALSE)</f>
        <v>16.133186453670021</v>
      </c>
      <c r="AO35" s="73">
        <f>'Source VoT'!$D$32*VLOOKUP($B35,'Indirect tax correction'!$B$27:$I$127,7,FALSE)*VLOOKUP($B35,'Annual Parameters'!$B$33:$W$143,21,FALSE)/VLOOKUP('Source VoT'!$F$27,'Annual Parameters'!$B$33:$W$143,21,FALSE)*VLOOKUP($B$14,'Annual Parameters'!$B$33:$W$143,3,FALSE)/VLOOKUP('Source VoT'!$E$27,'Annual Parameters'!$B$33:$W$143,3,FALSE)</f>
        <v>11.030373197722495</v>
      </c>
      <c r="AP35" s="73">
        <f>'Source VoT'!$D$33*VLOOKUP($B35,'Indirect tax correction'!$B$27:$I$127,7,FALSE)*VLOOKUP($B35,'Annual Parameters'!$B$33:$W$143,21,FALSE)/VLOOKUP('Source VoT'!$F$27,'Annual Parameters'!$B$33:$W$143,21,FALSE)*VLOOKUP($B$14,'Annual Parameters'!$B$33:$W$143,3,FALSE)/VLOOKUP('Source VoT'!$E$27,'Annual Parameters'!$B$33:$W$143,3,FALSE)</f>
        <v>14.256152260502642</v>
      </c>
      <c r="AQ35" s="73">
        <f>'Source VoT'!$D$34*VLOOKUP($B35,'Indirect tax correction'!$B$27:$I$127,7,FALSE)*VLOOKUP($B35,'Annual Parameters'!$B$33:$W$143,21,FALSE)/VLOOKUP('Source VoT'!$F$27,'Annual Parameters'!$B$33:$W$143,21,FALSE)*VLOOKUP($B$14,'Annual Parameters'!$B$33:$W$143,3,FALSE)/VLOOKUP('Source VoT'!$E$27,'Annual Parameters'!$B$33:$W$143,3,FALSE)</f>
        <v>19.464707495134473</v>
      </c>
      <c r="AR35" s="73">
        <f>'Source VoT'!$D$35*VLOOKUP($B35,'Indirect tax correction'!$B$27:$I$127,7,FALSE)*VLOOKUP($B35,'Annual Parameters'!$B$33:$W$143,21,FALSE)/VLOOKUP('Source VoT'!$F$27,'Annual Parameters'!$B$33:$W$143,21,FALSE)*VLOOKUP($B$14,'Annual Parameters'!$B$33:$W$143,3,FALSE)/VLOOKUP('Source VoT'!$E$27,'Annual Parameters'!$B$33:$W$143,3,FALSE)</f>
        <v>32.107276105798547</v>
      </c>
      <c r="AS35" s="73">
        <f>'Source VoT'!$D$36*VLOOKUP($B35,'Indirect tax correction'!$B$27:$I$127,7,FALSE)*VLOOKUP($B35,'Annual Parameters'!$B$33:$W$143,21,FALSE)/VLOOKUP('Source VoT'!$F$27,'Annual Parameters'!$B$33:$W$143,21,FALSE)*VLOOKUP($B$14,'Annual Parameters'!$B$33:$W$143,3,FALSE)/VLOOKUP('Source VoT'!$E$27,'Annual Parameters'!$B$33:$W$143,3,FALSE)</f>
        <v>11.030373197722495</v>
      </c>
      <c r="AT35" s="73">
        <f>'Source VoT'!$D$37*VLOOKUP($B35,'Indirect tax correction'!$B$27:$I$127,7,FALSE)*VLOOKUP($B35,'Annual Parameters'!$B$33:$W$143,21,FALSE)/VLOOKUP('Source VoT'!$F$27,'Annual Parameters'!$B$33:$W$143,21,FALSE)*VLOOKUP($B$14,'Annual Parameters'!$B$33:$W$143,3,FALSE)/VLOOKUP('Source VoT'!$E$27,'Annual Parameters'!$B$33:$W$143,3,FALSE)</f>
        <v>11.030373197722495</v>
      </c>
      <c r="AU35" s="73">
        <f>'Source VoT'!$D$38*VLOOKUP($B35,'Indirect tax correction'!$B$27:$I$127,7,FALSE)*VLOOKUP($B35,'Annual Parameters'!$B$33:$W$143,21,FALSE)/VLOOKUP('Source VoT'!$F$27,'Annual Parameters'!$B$33:$W$143,21,FALSE)*VLOOKUP($B$14,'Annual Parameters'!$B$33:$W$143,3,FALSE)/VLOOKUP('Source VoT'!$E$27,'Annual Parameters'!$B$33:$W$143,3,FALSE)</f>
        <v>11.030373197722495</v>
      </c>
      <c r="AV35" s="73">
        <f>'Source VoT'!$D$39*VLOOKUP($B35,'Indirect tax correction'!$B$27:$I$127,7,FALSE)*VLOOKUP($B35,'Annual Parameters'!$B$33:$W$143,21,FALSE)/VLOOKUP('Source VoT'!$F$27,'Annual Parameters'!$B$33:$W$143,21,FALSE)*VLOOKUP($B$14,'Annual Parameters'!$B$33:$W$143,3,FALSE)/VLOOKUP('Source VoT'!$E$27,'Annual Parameters'!$B$33:$W$143,3,FALSE)</f>
        <v>19.464707495134473</v>
      </c>
      <c r="AW35" s="74">
        <f>'Source VoT'!$D$40*VLOOKUP($B35,'Indirect tax correction'!$B$27:$I$127,7,FALSE)*VLOOKUP($B35,'Annual Parameters'!$B$33:$W$143,21,FALSE)/VLOOKUP('Source VoT'!$F$27,'Annual Parameters'!$B$33:$W$143,21,FALSE)*VLOOKUP($B$14,'Annual Parameters'!$B$33:$W$143,3,FALSE)/VLOOKUP('Source VoT'!$E$27,'Annual Parameters'!$B$33:$W$143,3,FALSE)</f>
        <v>21.201508113024882</v>
      </c>
      <c r="AX35" s="73">
        <f>'Source VoT'!$D$45*VLOOKUP($B35,'Indirect tax correction'!$B$27:$I$127,8,FALSE)*VLOOKUP($B35,'Annual Parameters'!$B$33:$W$143,22,FALSE)/VLOOKUP('Source VoT'!$F$27,'Annual Parameters'!$B$33:$W$143,22,FALSE)*VLOOKUP($B$14,'Annual Parameters'!$B$33:$W$143,3,FALSE)/VLOOKUP('Source VoT'!$E$27,'Annual Parameters'!$B$33:$W$143,3,FALSE)</f>
        <v>10.952309733378524</v>
      </c>
      <c r="AY35" s="74">
        <f>'Source VoT'!$D$46*VLOOKUP($B35,'Indirect tax correction'!$B$27:$I$127,8,FALSE)*VLOOKUP($B35,'Annual Parameters'!$B$33:$W$143,22,FALSE)/VLOOKUP('Source VoT'!$F$27,'Annual Parameters'!$B$33:$W$143,22,FALSE)*VLOOKUP($B$14,'Annual Parameters'!$B$33:$W$143,3,FALSE)/VLOOKUP('Source VoT'!$E$27,'Annual Parameters'!$B$33:$W$143,3,FALSE)</f>
        <v>4.9989628424591332</v>
      </c>
      <c r="AZ35" s="2875"/>
      <c r="BA35" s="2875"/>
      <c r="BB35" s="2875"/>
      <c r="BC35" s="2875"/>
      <c r="BD35" s="2875"/>
      <c r="BE35" s="2875"/>
      <c r="BF35" s="2875"/>
      <c r="BG35" s="2875"/>
      <c r="BH35" s="2875"/>
    </row>
    <row r="36" spans="1:60" ht="13.5" customHeight="1">
      <c r="A36" s="90"/>
      <c r="B36" s="82">
        <f t="shared" si="0"/>
        <v>2019</v>
      </c>
      <c r="C36" s="82"/>
      <c r="D36" s="117">
        <f>'Source VoT'!$D$27*VLOOKUP($B36,'Indirect tax correction'!$B$27:$I$127,5,FALSE)*VLOOKUP($B36,'Annual Parameters'!$B$33:$W$143,21,FALSE)/VLOOKUP('Source VoT'!$F$27,'Annual Parameters'!$B$33:$W$143,21,FALSE)*VLOOKUP($B$14,'Annual Parameters'!$B$33:$W$143,3,FALSE)/VLOOKUP('Source VoT'!$E$27,'Annual Parameters'!$B$33:$W$143,3,FALSE)</f>
        <v>16.458375147918034</v>
      </c>
      <c r="E36" s="73">
        <f>'Source VoT'!$D$28*VLOOKUP($B36,'Indirect tax correction'!$B$27:$I$127,5,FALSE)*VLOOKUP($B36,'Annual Parameters'!$B$33:$W$143,21,FALSE)/VLOOKUP('Source VoT'!$F$27,'Annual Parameters'!$B$33:$W$143,21,FALSE)*VLOOKUP($B$14,'Annual Parameters'!$B$33:$W$143,3,FALSE)/VLOOKUP('Source VoT'!$E$27,'Annual Parameters'!$B$33:$W$143,3,FALSE)</f>
        <v>16.458375147918034</v>
      </c>
      <c r="F36" s="73">
        <f>'Source VoT'!$D$29*VLOOKUP($B36,'Indirect tax correction'!$B$27:$I$127,5,FALSE)*VLOOKUP($B36,'Annual Parameters'!$B$33:$W$143,21,FALSE)/VLOOKUP('Source VoT'!$F$27,'Annual Parameters'!$B$33:$W$143,21,FALSE)*VLOOKUP($B$14,'Annual Parameters'!$B$33:$W$143,3,FALSE)/VLOOKUP('Source VoT'!$E$27,'Annual Parameters'!$B$33:$W$143,3,FALSE)</f>
        <v>11.332862817974844</v>
      </c>
      <c r="G36" s="73">
        <f>'Source VoT'!$D$30*VLOOKUP($B36,'Indirect tax correction'!$B$27:$I$127,5,FALSE)*VLOOKUP($B36,'Annual Parameters'!$B$33:$W$143,21,FALSE)/VLOOKUP('Source VoT'!$F$27,'Annual Parameters'!$B$33:$W$143,21,FALSE)*VLOOKUP($B$14,'Annual Parameters'!$B$33:$W$143,3,FALSE)/VLOOKUP('Source VoT'!$E$27,'Annual Parameters'!$B$33:$W$143,3,FALSE)</f>
        <v>13.352840681363876</v>
      </c>
      <c r="H36" s="73">
        <f>'Source VoT'!$D$31*VLOOKUP($B36,'Indirect tax correction'!$B$27:$I$127,5,FALSE)*VLOOKUP($B36,'Annual Parameters'!$B$33:$W$143,21,FALSE)/VLOOKUP('Source VoT'!$F$27,'Annual Parameters'!$B$33:$W$143,21,FALSE)*VLOOKUP($B$14,'Annual Parameters'!$B$33:$W$143,3,FALSE)/VLOOKUP('Source VoT'!$E$27,'Annual Parameters'!$B$33:$W$143,3,FALSE)</f>
        <v>13.641408947562311</v>
      </c>
      <c r="I36" s="73">
        <f>'Source VoT'!$D$32*VLOOKUP($B36,'Indirect tax correction'!$B$27:$I$127,5,FALSE)*VLOOKUP($B36,'Annual Parameters'!$B$33:$W$143,21,FALSE)/VLOOKUP('Source VoT'!$F$27,'Annual Parameters'!$B$33:$W$143,21,FALSE)*VLOOKUP($B$14,'Annual Parameters'!$B$33:$W$143,3,FALSE)/VLOOKUP('Source VoT'!$E$27,'Annual Parameters'!$B$33:$W$143,3,FALSE)</f>
        <v>9.3267273682400074</v>
      </c>
      <c r="J36" s="73">
        <f>'Source VoT'!$D$33*VLOOKUP($B36,'Indirect tax correction'!$B$27:$I$127,5,FALSE)*VLOOKUP($B36,'Annual Parameters'!$B$33:$W$143,21,FALSE)/VLOOKUP('Source VoT'!$F$27,'Annual Parameters'!$B$33:$W$143,21,FALSE)*VLOOKUP($B$14,'Annual Parameters'!$B$33:$W$143,3,FALSE)/VLOOKUP('Source VoT'!$E$27,'Annual Parameters'!$B$33:$W$143,3,FALSE)</f>
        <v>12.054283483470927</v>
      </c>
      <c r="K36" s="73">
        <f>'Source VoT'!$D$34*VLOOKUP($B36,'Indirect tax correction'!$B$27:$I$127,5,FALSE)*VLOOKUP($B36,'Annual Parameters'!$B$33:$W$143,21,FALSE)/VLOOKUP('Source VoT'!$F$27,'Annual Parameters'!$B$33:$W$143,21,FALSE)*VLOOKUP($B$14,'Annual Parameters'!$B$33:$W$143,3,FALSE)/VLOOKUP('Source VoT'!$E$27,'Annual Parameters'!$B$33:$W$143,3,FALSE)</f>
        <v>16.458375147918034</v>
      </c>
      <c r="L36" s="73">
        <f>'Source VoT'!$D$35*VLOOKUP($B36,'Indirect tax correction'!$B$27:$I$127,5,FALSE)*VLOOKUP($B36,'Annual Parameters'!$B$33:$W$143,21,FALSE)/VLOOKUP('Source VoT'!$F$27,'Annual Parameters'!$B$33:$W$143,21,FALSE)*VLOOKUP($B$14,'Annual Parameters'!$B$33:$W$143,3,FALSE)/VLOOKUP('Source VoT'!$E$27,'Annual Parameters'!$B$33:$W$143,3,FALSE)</f>
        <v>27.148293662214446</v>
      </c>
      <c r="M36" s="73">
        <f>'Source VoT'!$D$36*VLOOKUP($B36,'Indirect tax correction'!$B$27:$I$127,5,FALSE)*VLOOKUP($B36,'Annual Parameters'!$B$33:$W$143,21,FALSE)/VLOOKUP('Source VoT'!$F$27,'Annual Parameters'!$B$33:$W$143,21,FALSE)*VLOOKUP($B$14,'Annual Parameters'!$B$33:$W$143,3,FALSE)/VLOOKUP('Source VoT'!$E$27,'Annual Parameters'!$B$33:$W$143,3,FALSE)</f>
        <v>9.3267273682400074</v>
      </c>
      <c r="N36" s="73">
        <f>'Source VoT'!$D$37*VLOOKUP($B36,'Indirect tax correction'!$B$27:$I$127,5,FALSE)*VLOOKUP($B36,'Annual Parameters'!$B$33:$W$143,21,FALSE)/VLOOKUP('Source VoT'!$F$27,'Annual Parameters'!$B$33:$W$143,21,FALSE)*VLOOKUP($B$14,'Annual Parameters'!$B$33:$W$143,3,FALSE)/VLOOKUP('Source VoT'!$E$27,'Annual Parameters'!$B$33:$W$143,3,FALSE)</f>
        <v>9.3267273682400074</v>
      </c>
      <c r="O36" s="73">
        <f>'Source VoT'!$D$38*VLOOKUP($B36,'Indirect tax correction'!$B$27:$I$127,5,FALSE)*VLOOKUP($B36,'Annual Parameters'!$B$33:$W$143,21,FALSE)/VLOOKUP('Source VoT'!$F$27,'Annual Parameters'!$B$33:$W$143,21,FALSE)*VLOOKUP($B$14,'Annual Parameters'!$B$33:$W$143,3,FALSE)/VLOOKUP('Source VoT'!$E$27,'Annual Parameters'!$B$33:$W$143,3,FALSE)</f>
        <v>9.3267273682400074</v>
      </c>
      <c r="P36" s="73">
        <f>'Source VoT'!$D$39*VLOOKUP($B36,'Indirect tax correction'!$B$27:$I$127,5,FALSE)*VLOOKUP($B36,'Annual Parameters'!$B$33:$W$143,21,FALSE)/VLOOKUP('Source VoT'!$F$27,'Annual Parameters'!$B$33:$W$143,21,FALSE)*VLOOKUP($B$14,'Annual Parameters'!$B$33:$W$143,3,FALSE)/VLOOKUP('Source VoT'!$E$27,'Annual Parameters'!$B$33:$W$143,3,FALSE)</f>
        <v>16.458375147918034</v>
      </c>
      <c r="Q36" s="74">
        <f>'Source VoT'!$D$40*VLOOKUP($B36,'Indirect tax correction'!$B$27:$I$127,5,FALSE)*VLOOKUP($B36,'Annual Parameters'!$B$33:$W$143,21,FALSE)/VLOOKUP('Source VoT'!$F$27,'Annual Parameters'!$B$33:$W$143,21,FALSE)*VLOOKUP($B$14,'Annual Parameters'!$B$33:$W$143,3,FALSE)/VLOOKUP('Source VoT'!$E$27,'Annual Parameters'!$B$33:$W$143,3,FALSE)</f>
        <v>17.926926172048322</v>
      </c>
      <c r="R36" s="73">
        <f>'Source VoT'!$D$45*VLOOKUP($B36,'Indirect tax correction'!$B$27:$I$127,6,FALSE)*VLOOKUP($B36,'Annual Parameters'!$B$33:$W$143,22,FALSE)/VLOOKUP('Source VoT'!$F$27,'Annual Parameters'!$B$33:$W$143,22,FALSE)*VLOOKUP($B$14,'Annual Parameters'!$B$33:$W$143,3,FALSE)/VLOOKUP('Source VoT'!$E$27,'Annual Parameters'!$B$33:$W$143,3,FALSE)</f>
        <v>9.2607208391493252</v>
      </c>
      <c r="S36" s="73">
        <f>'Source VoT'!$D$46*VLOOKUP($B36,'Indirect tax correction'!$B$27:$I$127,6,FALSE)*VLOOKUP($B36,'Annual Parameters'!$B$33:$W$143,22,FALSE)/VLOOKUP('Source VoT'!$F$27,'Annual Parameters'!$B$33:$W$143,22,FALSE)*VLOOKUP($B$14,'Annual Parameters'!$B$33:$W$143,3,FALSE)/VLOOKUP('Source VoT'!$E$27,'Annual Parameters'!$B$33:$W$143,3,FALSE)</f>
        <v>4.2268709063447805</v>
      </c>
      <c r="T36" s="117">
        <f>'Source VoT'!$D$27*1*VLOOKUP($B36,'Annual Parameters'!$B$33:$W$143,21,FALSE)/VLOOKUP('Source VoT'!$F$27,'Annual Parameters'!$B$33:$W$143,21,FALSE)*VLOOKUP($B$14,'Annual Parameters'!$B$33:$W$143,3,FALSE)/VLOOKUP('Source VoT'!$E$27,'Annual Parameters'!$B$33:$W$143,3,FALSE)</f>
        <v>16.458375147918034</v>
      </c>
      <c r="U36" s="73">
        <f>'Source VoT'!$D$28*1*VLOOKUP($B36,'Annual Parameters'!$B$33:$W$143,21,FALSE)/VLOOKUP('Source VoT'!$F$27,'Annual Parameters'!$B$33:$W$143,21,FALSE)*VLOOKUP($B$14,'Annual Parameters'!$B$33:$W$143,3,FALSE)/VLOOKUP('Source VoT'!$E$27,'Annual Parameters'!$B$33:$W$143,3,FALSE)</f>
        <v>16.458375147918034</v>
      </c>
      <c r="V36" s="73">
        <f>'Source VoT'!$D$29*1*VLOOKUP($B36,'Annual Parameters'!$B$33:$W$143,21,FALSE)/VLOOKUP('Source VoT'!$F$27,'Annual Parameters'!$B$33:$W$143,21,FALSE)*VLOOKUP($B$14,'Annual Parameters'!$B$33:$W$143,3,FALSE)/VLOOKUP('Source VoT'!$E$27,'Annual Parameters'!$B$33:$W$143,3,FALSE)</f>
        <v>11.332862817974844</v>
      </c>
      <c r="W36" s="73">
        <f>'Source VoT'!$D$30*1*VLOOKUP($B36,'Annual Parameters'!$B$33:$W$143,21,FALSE)/VLOOKUP('Source VoT'!$F$27,'Annual Parameters'!$B$33:$W$143,21,FALSE)*VLOOKUP($B$14,'Annual Parameters'!$B$33:$W$143,3,FALSE)/VLOOKUP('Source VoT'!$E$27,'Annual Parameters'!$B$33:$W$143,3,FALSE)</f>
        <v>13.352840681363876</v>
      </c>
      <c r="X36" s="73">
        <f>'Source VoT'!$D$31*1*VLOOKUP($B36,'Annual Parameters'!$B$33:$W$143,21,FALSE)/VLOOKUP('Source VoT'!$F$27,'Annual Parameters'!$B$33:$W$143,21,FALSE)*VLOOKUP($B$14,'Annual Parameters'!$B$33:$W$143,3,FALSE)/VLOOKUP('Source VoT'!$E$27,'Annual Parameters'!$B$33:$W$143,3,FALSE)</f>
        <v>13.641408947562311</v>
      </c>
      <c r="Y36" s="73">
        <f>'Source VoT'!$D$32*1*VLOOKUP($B36,'Annual Parameters'!$B$33:$W$143,21,FALSE)/VLOOKUP('Source VoT'!$F$27,'Annual Parameters'!$B$33:$W$143,21,FALSE)*VLOOKUP($B$14,'Annual Parameters'!$B$33:$W$143,3,FALSE)/VLOOKUP('Source VoT'!$E$27,'Annual Parameters'!$B$33:$W$143,3,FALSE)</f>
        <v>9.3267273682400074</v>
      </c>
      <c r="Z36" s="73">
        <f>'Source VoT'!$D$33*1*VLOOKUP($B36,'Annual Parameters'!$B$33:$W$143,21,FALSE)/VLOOKUP('Source VoT'!$F$27,'Annual Parameters'!$B$33:$W$143,21,FALSE)*VLOOKUP($B$14,'Annual Parameters'!$B$33:$W$143,3,FALSE)/VLOOKUP('Source VoT'!$E$27,'Annual Parameters'!$B$33:$W$143,3,FALSE)</f>
        <v>12.054283483470927</v>
      </c>
      <c r="AA36" s="73">
        <f>'Source VoT'!$D$34*1*VLOOKUP($B36,'Annual Parameters'!$B$33:$W$143,21,FALSE)/VLOOKUP('Source VoT'!$F$27,'Annual Parameters'!$B$33:$W$143,21,FALSE)*VLOOKUP($B$14,'Annual Parameters'!$B$33:$W$143,3,FALSE)/VLOOKUP('Source VoT'!$E$27,'Annual Parameters'!$B$33:$W$143,3,FALSE)</f>
        <v>16.458375147918034</v>
      </c>
      <c r="AB36" s="73">
        <f>'Source VoT'!$D$35*1*VLOOKUP($B36,'Annual Parameters'!$B$33:$W$143,21,FALSE)/VLOOKUP('Source VoT'!$F$27,'Annual Parameters'!$B$33:$W$143,21,FALSE)*VLOOKUP($B$14,'Annual Parameters'!$B$33:$W$143,3,FALSE)/VLOOKUP('Source VoT'!$E$27,'Annual Parameters'!$B$33:$W$143,3,FALSE)</f>
        <v>27.148293662214446</v>
      </c>
      <c r="AC36" s="73">
        <f>'Source VoT'!$D$36*1*VLOOKUP($B36,'Annual Parameters'!$B$33:$W$143,21,FALSE)/VLOOKUP('Source VoT'!$F$27,'Annual Parameters'!$B$33:$W$143,21,FALSE)*VLOOKUP($B$14,'Annual Parameters'!$B$33:$W$143,3,FALSE)/VLOOKUP('Source VoT'!$E$27,'Annual Parameters'!$B$33:$W$143,3,FALSE)</f>
        <v>9.3267273682400074</v>
      </c>
      <c r="AD36" s="73">
        <f>'Source VoT'!$D$37*1*VLOOKUP($B36,'Annual Parameters'!$B$33:$W$143,21,FALSE)/VLOOKUP('Source VoT'!$F$27,'Annual Parameters'!$B$33:$W$143,21,FALSE)*VLOOKUP($B$14,'Annual Parameters'!$B$33:$W$143,3,FALSE)/VLOOKUP('Source VoT'!$E$27,'Annual Parameters'!$B$33:$W$143,3,FALSE)</f>
        <v>9.3267273682400074</v>
      </c>
      <c r="AE36" s="73">
        <f>'Source VoT'!$D$38*1*VLOOKUP($B36,'Annual Parameters'!$B$33:$W$143,21,FALSE)/VLOOKUP('Source VoT'!$F$27,'Annual Parameters'!$B$33:$W$143,21,FALSE)*VLOOKUP($B$14,'Annual Parameters'!$B$33:$W$143,3,FALSE)/VLOOKUP('Source VoT'!$E$27,'Annual Parameters'!$B$33:$W$143,3,FALSE)</f>
        <v>9.3267273682400074</v>
      </c>
      <c r="AF36" s="73">
        <f>'Source VoT'!$D$39*1*VLOOKUP($B36,'Annual Parameters'!$B$33:$W$143,21,FALSE)/VLOOKUP('Source VoT'!$F$27,'Annual Parameters'!$B$33:$W$143,21,FALSE)*VLOOKUP($B$14,'Annual Parameters'!$B$33:$W$143,3,FALSE)/VLOOKUP('Source VoT'!$E$27,'Annual Parameters'!$B$33:$W$143,3,FALSE)</f>
        <v>16.458375147918034</v>
      </c>
      <c r="AG36" s="74">
        <f>'Source VoT'!$D$40*1*VLOOKUP($B36,'Annual Parameters'!$B$33:$W$143,21,FALSE)/VLOOKUP('Source VoT'!$F$27,'Annual Parameters'!$B$33:$W$143,21,FALSE)*VLOOKUP($B$14,'Annual Parameters'!$B$33:$W$143,3,FALSE)/VLOOKUP('Source VoT'!$E$27,'Annual Parameters'!$B$33:$W$143,3,FALSE)</f>
        <v>17.926926172048322</v>
      </c>
      <c r="AH36" s="73">
        <f>'Source VoT'!$D$45*1*VLOOKUP($B36,'Annual Parameters'!$B$33:$W$143,22,FALSE)/VLOOKUP('Source VoT'!$F$27,'Annual Parameters'!$B$33:$W$143,22,FALSE)*VLOOKUP($B$14,'Annual Parameters'!$B$33:$W$143,3,FALSE)/VLOOKUP('Source VoT'!$E$27,'Annual Parameters'!$B$33:$W$143,3,FALSE)</f>
        <v>11.020257798587698</v>
      </c>
      <c r="AI36" s="73">
        <f>'Source VoT'!$D$46*1*VLOOKUP($B36,'Annual Parameters'!$B$33:$W$143,22,FALSE)/VLOOKUP('Source VoT'!$F$27,'Annual Parameters'!$B$33:$W$143,22,FALSE)*VLOOKUP($B$14,'Annual Parameters'!$B$33:$W$143,3,FALSE)/VLOOKUP('Source VoT'!$E$27,'Annual Parameters'!$B$33:$W$143,3,FALSE)</f>
        <v>5.0299763785502893</v>
      </c>
      <c r="AJ36" s="117">
        <f>'Source VoT'!$D$27*VLOOKUP($B36,'Indirect tax correction'!$B$27:$I$127,7,FALSE)*VLOOKUP($B36,'Annual Parameters'!$B$33:$W$143,21,FALSE)/VLOOKUP('Source VoT'!$F$27,'Annual Parameters'!$B$33:$W$143,21,FALSE)*VLOOKUP($B$14,'Annual Parameters'!$B$33:$W$143,3,FALSE)/VLOOKUP('Source VoT'!$E$27,'Annual Parameters'!$B$33:$W$143,3,FALSE)</f>
        <v>19.58546642602246</v>
      </c>
      <c r="AK36" s="73">
        <f>'Source VoT'!$D$28*VLOOKUP($B36,'Indirect tax correction'!$B$27:$I$127,7,FALSE)*VLOOKUP($B36,'Annual Parameters'!$B$33:$W$143,21,FALSE)/VLOOKUP('Source VoT'!$F$27,'Annual Parameters'!$B$33:$W$143,21,FALSE)*VLOOKUP($B$14,'Annual Parameters'!$B$33:$W$143,3,FALSE)/VLOOKUP('Source VoT'!$E$27,'Annual Parameters'!$B$33:$W$143,3,FALSE)</f>
        <v>19.58546642602246</v>
      </c>
      <c r="AL36" s="73">
        <f>'Source VoT'!$D$29*VLOOKUP($B36,'Indirect tax correction'!$B$27:$I$127,7,FALSE)*VLOOKUP($B36,'Annual Parameters'!$B$33:$W$143,21,FALSE)/VLOOKUP('Source VoT'!$F$27,'Annual Parameters'!$B$33:$W$143,21,FALSE)*VLOOKUP($B$14,'Annual Parameters'!$B$33:$W$143,3,FALSE)/VLOOKUP('Source VoT'!$E$27,'Annual Parameters'!$B$33:$W$143,3,FALSE)</f>
        <v>13.486106753390061</v>
      </c>
      <c r="AM36" s="73">
        <f>'Source VoT'!$D$30*VLOOKUP($B36,'Indirect tax correction'!$B$27:$I$127,7,FALSE)*VLOOKUP($B36,'Annual Parameters'!$B$33:$W$143,21,FALSE)/VLOOKUP('Source VoT'!$F$27,'Annual Parameters'!$B$33:$W$143,21,FALSE)*VLOOKUP($B$14,'Annual Parameters'!$B$33:$W$143,3,FALSE)/VLOOKUP('Source VoT'!$E$27,'Annual Parameters'!$B$33:$W$143,3,FALSE)</f>
        <v>15.889880410823011</v>
      </c>
      <c r="AN36" s="73">
        <f>'Source VoT'!$D$31*VLOOKUP($B36,'Indirect tax correction'!$B$27:$I$127,7,FALSE)*VLOOKUP($B36,'Annual Parameters'!$B$33:$W$143,21,FALSE)/VLOOKUP('Source VoT'!$F$27,'Annual Parameters'!$B$33:$W$143,21,FALSE)*VLOOKUP($B$14,'Annual Parameters'!$B$33:$W$143,3,FALSE)/VLOOKUP('Source VoT'!$E$27,'Annual Parameters'!$B$33:$W$143,3,FALSE)</f>
        <v>16.233276647599151</v>
      </c>
      <c r="AO36" s="73">
        <f>'Source VoT'!$D$32*VLOOKUP($B36,'Indirect tax correction'!$B$27:$I$127,7,FALSE)*VLOOKUP($B36,'Annual Parameters'!$B$33:$W$143,21,FALSE)/VLOOKUP('Source VoT'!$F$27,'Annual Parameters'!$B$33:$W$143,21,FALSE)*VLOOKUP($B$14,'Annual Parameters'!$B$33:$W$143,3,FALSE)/VLOOKUP('Source VoT'!$E$27,'Annual Parameters'!$B$33:$W$143,3,FALSE)</f>
        <v>11.098805568205607</v>
      </c>
      <c r="AP36" s="73">
        <f>'Source VoT'!$D$33*VLOOKUP($B36,'Indirect tax correction'!$B$27:$I$127,7,FALSE)*VLOOKUP($B36,'Annual Parameters'!$B$33:$W$143,21,FALSE)/VLOOKUP('Source VoT'!$F$27,'Annual Parameters'!$B$33:$W$143,21,FALSE)*VLOOKUP($B$14,'Annual Parameters'!$B$33:$W$143,3,FALSE)/VLOOKUP('Source VoT'!$E$27,'Annual Parameters'!$B$33:$W$143,3,FALSE)</f>
        <v>14.344597345330401</v>
      </c>
      <c r="AQ36" s="73">
        <f>'Source VoT'!$D$34*VLOOKUP($B36,'Indirect tax correction'!$B$27:$I$127,7,FALSE)*VLOOKUP($B36,'Annual Parameters'!$B$33:$W$143,21,FALSE)/VLOOKUP('Source VoT'!$F$27,'Annual Parameters'!$B$33:$W$143,21,FALSE)*VLOOKUP($B$14,'Annual Parameters'!$B$33:$W$143,3,FALSE)/VLOOKUP('Source VoT'!$E$27,'Annual Parameters'!$B$33:$W$143,3,FALSE)</f>
        <v>19.58546642602246</v>
      </c>
      <c r="AR36" s="73">
        <f>'Source VoT'!$D$35*VLOOKUP($B36,'Indirect tax correction'!$B$27:$I$127,7,FALSE)*VLOOKUP($B36,'Annual Parameters'!$B$33:$W$143,21,FALSE)/VLOOKUP('Source VoT'!$F$27,'Annual Parameters'!$B$33:$W$143,21,FALSE)*VLOOKUP($B$14,'Annual Parameters'!$B$33:$W$143,3,FALSE)/VLOOKUP('Source VoT'!$E$27,'Annual Parameters'!$B$33:$W$143,3,FALSE)</f>
        <v>32.306469458035195</v>
      </c>
      <c r="AS36" s="73">
        <f>'Source VoT'!$D$36*VLOOKUP($B36,'Indirect tax correction'!$B$27:$I$127,7,FALSE)*VLOOKUP($B36,'Annual Parameters'!$B$33:$W$143,21,FALSE)/VLOOKUP('Source VoT'!$F$27,'Annual Parameters'!$B$33:$W$143,21,FALSE)*VLOOKUP($B$14,'Annual Parameters'!$B$33:$W$143,3,FALSE)/VLOOKUP('Source VoT'!$E$27,'Annual Parameters'!$B$33:$W$143,3,FALSE)</f>
        <v>11.098805568205607</v>
      </c>
      <c r="AT36" s="73">
        <f>'Source VoT'!$D$37*VLOOKUP($B36,'Indirect tax correction'!$B$27:$I$127,7,FALSE)*VLOOKUP($B36,'Annual Parameters'!$B$33:$W$143,21,FALSE)/VLOOKUP('Source VoT'!$F$27,'Annual Parameters'!$B$33:$W$143,21,FALSE)*VLOOKUP($B$14,'Annual Parameters'!$B$33:$W$143,3,FALSE)/VLOOKUP('Source VoT'!$E$27,'Annual Parameters'!$B$33:$W$143,3,FALSE)</f>
        <v>11.098805568205607</v>
      </c>
      <c r="AU36" s="73">
        <f>'Source VoT'!$D$38*VLOOKUP($B36,'Indirect tax correction'!$B$27:$I$127,7,FALSE)*VLOOKUP($B36,'Annual Parameters'!$B$33:$W$143,21,FALSE)/VLOOKUP('Source VoT'!$F$27,'Annual Parameters'!$B$33:$W$143,21,FALSE)*VLOOKUP($B$14,'Annual Parameters'!$B$33:$W$143,3,FALSE)/VLOOKUP('Source VoT'!$E$27,'Annual Parameters'!$B$33:$W$143,3,FALSE)</f>
        <v>11.098805568205607</v>
      </c>
      <c r="AV36" s="73">
        <f>'Source VoT'!$D$39*VLOOKUP($B36,'Indirect tax correction'!$B$27:$I$127,7,FALSE)*VLOOKUP($B36,'Annual Parameters'!$B$33:$W$143,21,FALSE)/VLOOKUP('Source VoT'!$F$27,'Annual Parameters'!$B$33:$W$143,21,FALSE)*VLOOKUP($B$14,'Annual Parameters'!$B$33:$W$143,3,FALSE)/VLOOKUP('Source VoT'!$E$27,'Annual Parameters'!$B$33:$W$143,3,FALSE)</f>
        <v>19.58546642602246</v>
      </c>
      <c r="AW36" s="74">
        <f>'Source VoT'!$D$40*VLOOKUP($B36,'Indirect tax correction'!$B$27:$I$127,7,FALSE)*VLOOKUP($B36,'Annual Parameters'!$B$33:$W$143,21,FALSE)/VLOOKUP('Source VoT'!$F$27,'Annual Parameters'!$B$33:$W$143,21,FALSE)*VLOOKUP($B$14,'Annual Parameters'!$B$33:$W$143,3,FALSE)/VLOOKUP('Source VoT'!$E$27,'Annual Parameters'!$B$33:$W$143,3,FALSE)</f>
        <v>21.333042144737504</v>
      </c>
      <c r="AX36" s="73">
        <f>'Source VoT'!$D$45*VLOOKUP($B36,'Indirect tax correction'!$B$27:$I$127,8,FALSE)*VLOOKUP($B36,'Annual Parameters'!$B$33:$W$143,22,FALSE)/VLOOKUP('Source VoT'!$F$27,'Annual Parameters'!$B$33:$W$143,22,FALSE)*VLOOKUP($B$14,'Annual Parameters'!$B$33:$W$143,3,FALSE)/VLOOKUP('Source VoT'!$E$27,'Annual Parameters'!$B$33:$W$143,3,FALSE)</f>
        <v>11.020257798587698</v>
      </c>
      <c r="AY36" s="74">
        <f>'Source VoT'!$D$46*VLOOKUP($B36,'Indirect tax correction'!$B$27:$I$127,8,FALSE)*VLOOKUP($B36,'Annual Parameters'!$B$33:$W$143,22,FALSE)/VLOOKUP('Source VoT'!$F$27,'Annual Parameters'!$B$33:$W$143,22,FALSE)*VLOOKUP($B$14,'Annual Parameters'!$B$33:$W$143,3,FALSE)/VLOOKUP('Source VoT'!$E$27,'Annual Parameters'!$B$33:$W$143,3,FALSE)</f>
        <v>5.0299763785502893</v>
      </c>
      <c r="AZ36" s="2875"/>
      <c r="BA36" s="2875"/>
      <c r="BB36" s="2875"/>
      <c r="BC36" s="2875"/>
      <c r="BD36" s="2875"/>
      <c r="BE36" s="2875"/>
      <c r="BF36" s="2875"/>
      <c r="BG36" s="2875"/>
      <c r="BH36" s="2875"/>
    </row>
    <row r="37" spans="1:60" ht="13.5" customHeight="1">
      <c r="A37" s="90"/>
      <c r="B37" s="82">
        <f t="shared" si="0"/>
        <v>2020</v>
      </c>
      <c r="C37" s="82"/>
      <c r="D37" s="117">
        <f>'Source VoT'!$D$27*VLOOKUP($B37,'Indirect tax correction'!$B$27:$I$127,5,FALSE)*VLOOKUP($B37,'Annual Parameters'!$B$33:$W$143,21,FALSE)/VLOOKUP('Source VoT'!$F$27,'Annual Parameters'!$B$33:$W$143,21,FALSE)*VLOOKUP($B$14,'Annual Parameters'!$B$33:$W$143,3,FALSE)/VLOOKUP('Source VoT'!$E$27,'Annual Parameters'!$B$33:$W$143,3,FALSE)</f>
        <v>16.600346532477403</v>
      </c>
      <c r="E37" s="73">
        <f>'Source VoT'!$D$28*VLOOKUP($B37,'Indirect tax correction'!$B$27:$I$127,5,FALSE)*VLOOKUP($B37,'Annual Parameters'!$B$33:$W$143,21,FALSE)/VLOOKUP('Source VoT'!$F$27,'Annual Parameters'!$B$33:$W$143,21,FALSE)*VLOOKUP($B$14,'Annual Parameters'!$B$33:$W$143,3,FALSE)/VLOOKUP('Source VoT'!$E$27,'Annual Parameters'!$B$33:$W$143,3,FALSE)</f>
        <v>16.600346532477403</v>
      </c>
      <c r="F37" s="73">
        <f>'Source VoT'!$D$29*VLOOKUP($B37,'Indirect tax correction'!$B$27:$I$127,5,FALSE)*VLOOKUP($B37,'Annual Parameters'!$B$33:$W$143,21,FALSE)/VLOOKUP('Source VoT'!$F$27,'Annual Parameters'!$B$33:$W$143,21,FALSE)*VLOOKUP($B$14,'Annual Parameters'!$B$33:$W$143,3,FALSE)/VLOOKUP('Source VoT'!$E$27,'Annual Parameters'!$B$33:$W$143,3,FALSE)</f>
        <v>11.430621084561249</v>
      </c>
      <c r="G37" s="73">
        <f>'Source VoT'!$D$30*VLOOKUP($B37,'Indirect tax correction'!$B$27:$I$127,5,FALSE)*VLOOKUP($B37,'Annual Parameters'!$B$33:$W$143,21,FALSE)/VLOOKUP('Source VoT'!$F$27,'Annual Parameters'!$B$33:$W$143,21,FALSE)*VLOOKUP($B$14,'Annual Parameters'!$B$33:$W$143,3,FALSE)/VLOOKUP('Source VoT'!$E$27,'Annual Parameters'!$B$33:$W$143,3,FALSE)</f>
        <v>13.468023453800175</v>
      </c>
      <c r="H37" s="73">
        <f>'Source VoT'!$D$31*VLOOKUP($B37,'Indirect tax correction'!$B$27:$I$127,5,FALSE)*VLOOKUP($B37,'Annual Parameters'!$B$33:$W$143,21,FALSE)/VLOOKUP('Source VoT'!$F$27,'Annual Parameters'!$B$33:$W$143,21,FALSE)*VLOOKUP($B$14,'Annual Parameters'!$B$33:$W$143,3,FALSE)/VLOOKUP('Source VoT'!$E$27,'Annual Parameters'!$B$33:$W$143,3,FALSE)</f>
        <v>13.759080935120021</v>
      </c>
      <c r="I37" s="73">
        <f>'Source VoT'!$D$32*VLOOKUP($B37,'Indirect tax correction'!$B$27:$I$127,5,FALSE)*VLOOKUP($B37,'Annual Parameters'!$B$33:$W$143,21,FALSE)/VLOOKUP('Source VoT'!$F$27,'Annual Parameters'!$B$33:$W$143,21,FALSE)*VLOOKUP($B$14,'Annual Parameters'!$B$33:$W$143,3,FALSE)/VLOOKUP('Source VoT'!$E$27,'Annual Parameters'!$B$33:$W$143,3,FALSE)</f>
        <v>9.4071805348482727</v>
      </c>
      <c r="J37" s="73">
        <f>'Source VoT'!$D$33*VLOOKUP($B37,'Indirect tax correction'!$B$27:$I$127,5,FALSE)*VLOOKUP($B37,'Annual Parameters'!$B$33:$W$143,21,FALSE)/VLOOKUP('Source VoT'!$F$27,'Annual Parameters'!$B$33:$W$143,21,FALSE)*VLOOKUP($B$14,'Annual Parameters'!$B$33:$W$143,3,FALSE)/VLOOKUP('Source VoT'!$E$27,'Annual Parameters'!$B$33:$W$143,3,FALSE)</f>
        <v>12.158264787860865</v>
      </c>
      <c r="K37" s="73">
        <f>'Source VoT'!$D$34*VLOOKUP($B37,'Indirect tax correction'!$B$27:$I$127,5,FALSE)*VLOOKUP($B37,'Annual Parameters'!$B$33:$W$143,21,FALSE)/VLOOKUP('Source VoT'!$F$27,'Annual Parameters'!$B$33:$W$143,21,FALSE)*VLOOKUP($B$14,'Annual Parameters'!$B$33:$W$143,3,FALSE)/VLOOKUP('Source VoT'!$E$27,'Annual Parameters'!$B$33:$W$143,3,FALSE)</f>
        <v>16.600346532477403</v>
      </c>
      <c r="L37" s="73">
        <f>'Source VoT'!$D$35*VLOOKUP($B37,'Indirect tax correction'!$B$27:$I$127,5,FALSE)*VLOOKUP($B37,'Annual Parameters'!$B$33:$W$143,21,FALSE)/VLOOKUP('Source VoT'!$F$27,'Annual Parameters'!$B$33:$W$143,21,FALSE)*VLOOKUP($B$14,'Annual Parameters'!$B$33:$W$143,3,FALSE)/VLOOKUP('Source VoT'!$E$27,'Annual Parameters'!$B$33:$W$143,3,FALSE)</f>
        <v>27.382477219522443</v>
      </c>
      <c r="M37" s="73">
        <f>'Source VoT'!$D$36*VLOOKUP($B37,'Indirect tax correction'!$B$27:$I$127,5,FALSE)*VLOOKUP($B37,'Annual Parameters'!$B$33:$W$143,21,FALSE)/VLOOKUP('Source VoT'!$F$27,'Annual Parameters'!$B$33:$W$143,21,FALSE)*VLOOKUP($B$14,'Annual Parameters'!$B$33:$W$143,3,FALSE)/VLOOKUP('Source VoT'!$E$27,'Annual Parameters'!$B$33:$W$143,3,FALSE)</f>
        <v>9.4071805348482727</v>
      </c>
      <c r="N37" s="73">
        <f>'Source VoT'!$D$37*VLOOKUP($B37,'Indirect tax correction'!$B$27:$I$127,5,FALSE)*VLOOKUP($B37,'Annual Parameters'!$B$33:$W$143,21,FALSE)/VLOOKUP('Source VoT'!$F$27,'Annual Parameters'!$B$33:$W$143,21,FALSE)*VLOOKUP($B$14,'Annual Parameters'!$B$33:$W$143,3,FALSE)/VLOOKUP('Source VoT'!$E$27,'Annual Parameters'!$B$33:$W$143,3,FALSE)</f>
        <v>9.4071805348482727</v>
      </c>
      <c r="O37" s="73">
        <f>'Source VoT'!$D$38*VLOOKUP($B37,'Indirect tax correction'!$B$27:$I$127,5,FALSE)*VLOOKUP($B37,'Annual Parameters'!$B$33:$W$143,21,FALSE)/VLOOKUP('Source VoT'!$F$27,'Annual Parameters'!$B$33:$W$143,21,FALSE)*VLOOKUP($B$14,'Annual Parameters'!$B$33:$W$143,3,FALSE)/VLOOKUP('Source VoT'!$E$27,'Annual Parameters'!$B$33:$W$143,3,FALSE)</f>
        <v>9.4071805348482727</v>
      </c>
      <c r="P37" s="73">
        <f>'Source VoT'!$D$39*VLOOKUP($B37,'Indirect tax correction'!$B$27:$I$127,5,FALSE)*VLOOKUP($B37,'Annual Parameters'!$B$33:$W$143,21,FALSE)/VLOOKUP('Source VoT'!$F$27,'Annual Parameters'!$B$33:$W$143,21,FALSE)*VLOOKUP($B$14,'Annual Parameters'!$B$33:$W$143,3,FALSE)/VLOOKUP('Source VoT'!$E$27,'Annual Parameters'!$B$33:$W$143,3,FALSE)</f>
        <v>16.600346532477403</v>
      </c>
      <c r="Q37" s="74">
        <f>'Source VoT'!$D$40*VLOOKUP($B37,'Indirect tax correction'!$B$27:$I$127,5,FALSE)*VLOOKUP($B37,'Annual Parameters'!$B$33:$W$143,21,FALSE)/VLOOKUP('Source VoT'!$F$27,'Annual Parameters'!$B$33:$W$143,21,FALSE)*VLOOKUP($B$14,'Annual Parameters'!$B$33:$W$143,3,FALSE)/VLOOKUP('Source VoT'!$E$27,'Annual Parameters'!$B$33:$W$143,3,FALSE)</f>
        <v>18.081565406278028</v>
      </c>
      <c r="R37" s="73">
        <f>'Source VoT'!$D$45*VLOOKUP($B37,'Indirect tax correction'!$B$27:$I$127,6,FALSE)*VLOOKUP($B37,'Annual Parameters'!$B$33:$W$143,22,FALSE)/VLOOKUP('Source VoT'!$F$27,'Annual Parameters'!$B$33:$W$143,22,FALSE)*VLOOKUP($B$14,'Annual Parameters'!$B$33:$W$143,3,FALSE)/VLOOKUP('Source VoT'!$E$27,'Annual Parameters'!$B$33:$W$143,3,FALSE)</f>
        <v>9.340604627660376</v>
      </c>
      <c r="S37" s="73">
        <f>'Source VoT'!$D$46*VLOOKUP($B37,'Indirect tax correction'!$B$27:$I$127,6,FALSE)*VLOOKUP($B37,'Annual Parameters'!$B$33:$W$143,22,FALSE)/VLOOKUP('Source VoT'!$F$27,'Annual Parameters'!$B$33:$W$143,22,FALSE)*VLOOKUP($B$14,'Annual Parameters'!$B$33:$W$143,3,FALSE)/VLOOKUP('Source VoT'!$E$27,'Annual Parameters'!$B$33:$W$143,3,FALSE)</f>
        <v>4.2633322647434184</v>
      </c>
      <c r="T37" s="117">
        <f>'Source VoT'!$D$27*1*VLOOKUP($B37,'Annual Parameters'!$B$33:$W$143,21,FALSE)/VLOOKUP('Source VoT'!$F$27,'Annual Parameters'!$B$33:$W$143,21,FALSE)*VLOOKUP($B$14,'Annual Parameters'!$B$33:$W$143,3,FALSE)/VLOOKUP('Source VoT'!$E$27,'Annual Parameters'!$B$33:$W$143,3,FALSE)</f>
        <v>16.600346532477403</v>
      </c>
      <c r="U37" s="73">
        <f>'Source VoT'!$D$28*1*VLOOKUP($B37,'Annual Parameters'!$B$33:$W$143,21,FALSE)/VLOOKUP('Source VoT'!$F$27,'Annual Parameters'!$B$33:$W$143,21,FALSE)*VLOOKUP($B$14,'Annual Parameters'!$B$33:$W$143,3,FALSE)/VLOOKUP('Source VoT'!$E$27,'Annual Parameters'!$B$33:$W$143,3,FALSE)</f>
        <v>16.600346532477403</v>
      </c>
      <c r="V37" s="73">
        <f>'Source VoT'!$D$29*1*VLOOKUP($B37,'Annual Parameters'!$B$33:$W$143,21,FALSE)/VLOOKUP('Source VoT'!$F$27,'Annual Parameters'!$B$33:$W$143,21,FALSE)*VLOOKUP($B$14,'Annual Parameters'!$B$33:$W$143,3,FALSE)/VLOOKUP('Source VoT'!$E$27,'Annual Parameters'!$B$33:$W$143,3,FALSE)</f>
        <v>11.430621084561249</v>
      </c>
      <c r="W37" s="73">
        <f>'Source VoT'!$D$30*1*VLOOKUP($B37,'Annual Parameters'!$B$33:$W$143,21,FALSE)/VLOOKUP('Source VoT'!$F$27,'Annual Parameters'!$B$33:$W$143,21,FALSE)*VLOOKUP($B$14,'Annual Parameters'!$B$33:$W$143,3,FALSE)/VLOOKUP('Source VoT'!$E$27,'Annual Parameters'!$B$33:$W$143,3,FALSE)</f>
        <v>13.468023453800175</v>
      </c>
      <c r="X37" s="73">
        <f>'Source VoT'!$D$31*1*VLOOKUP($B37,'Annual Parameters'!$B$33:$W$143,21,FALSE)/VLOOKUP('Source VoT'!$F$27,'Annual Parameters'!$B$33:$W$143,21,FALSE)*VLOOKUP($B$14,'Annual Parameters'!$B$33:$W$143,3,FALSE)/VLOOKUP('Source VoT'!$E$27,'Annual Parameters'!$B$33:$W$143,3,FALSE)</f>
        <v>13.759080935120021</v>
      </c>
      <c r="Y37" s="73">
        <f>'Source VoT'!$D$32*1*VLOOKUP($B37,'Annual Parameters'!$B$33:$W$143,21,FALSE)/VLOOKUP('Source VoT'!$F$27,'Annual Parameters'!$B$33:$W$143,21,FALSE)*VLOOKUP($B$14,'Annual Parameters'!$B$33:$W$143,3,FALSE)/VLOOKUP('Source VoT'!$E$27,'Annual Parameters'!$B$33:$W$143,3,FALSE)</f>
        <v>9.4071805348482727</v>
      </c>
      <c r="Z37" s="73">
        <f>'Source VoT'!$D$33*1*VLOOKUP($B37,'Annual Parameters'!$B$33:$W$143,21,FALSE)/VLOOKUP('Source VoT'!$F$27,'Annual Parameters'!$B$33:$W$143,21,FALSE)*VLOOKUP($B$14,'Annual Parameters'!$B$33:$W$143,3,FALSE)/VLOOKUP('Source VoT'!$E$27,'Annual Parameters'!$B$33:$W$143,3,FALSE)</f>
        <v>12.158264787860865</v>
      </c>
      <c r="AA37" s="73">
        <f>'Source VoT'!$D$34*1*VLOOKUP($B37,'Annual Parameters'!$B$33:$W$143,21,FALSE)/VLOOKUP('Source VoT'!$F$27,'Annual Parameters'!$B$33:$W$143,21,FALSE)*VLOOKUP($B$14,'Annual Parameters'!$B$33:$W$143,3,FALSE)/VLOOKUP('Source VoT'!$E$27,'Annual Parameters'!$B$33:$W$143,3,FALSE)</f>
        <v>16.600346532477403</v>
      </c>
      <c r="AB37" s="73">
        <f>'Source VoT'!$D$35*1*VLOOKUP($B37,'Annual Parameters'!$B$33:$W$143,21,FALSE)/VLOOKUP('Source VoT'!$F$27,'Annual Parameters'!$B$33:$W$143,21,FALSE)*VLOOKUP($B$14,'Annual Parameters'!$B$33:$W$143,3,FALSE)/VLOOKUP('Source VoT'!$E$27,'Annual Parameters'!$B$33:$W$143,3,FALSE)</f>
        <v>27.382477219522443</v>
      </c>
      <c r="AC37" s="73">
        <f>'Source VoT'!$D$36*1*VLOOKUP($B37,'Annual Parameters'!$B$33:$W$143,21,FALSE)/VLOOKUP('Source VoT'!$F$27,'Annual Parameters'!$B$33:$W$143,21,FALSE)*VLOOKUP($B$14,'Annual Parameters'!$B$33:$W$143,3,FALSE)/VLOOKUP('Source VoT'!$E$27,'Annual Parameters'!$B$33:$W$143,3,FALSE)</f>
        <v>9.4071805348482727</v>
      </c>
      <c r="AD37" s="73">
        <f>'Source VoT'!$D$37*1*VLOOKUP($B37,'Annual Parameters'!$B$33:$W$143,21,FALSE)/VLOOKUP('Source VoT'!$F$27,'Annual Parameters'!$B$33:$W$143,21,FALSE)*VLOOKUP($B$14,'Annual Parameters'!$B$33:$W$143,3,FALSE)/VLOOKUP('Source VoT'!$E$27,'Annual Parameters'!$B$33:$W$143,3,FALSE)</f>
        <v>9.4071805348482727</v>
      </c>
      <c r="AE37" s="73">
        <f>'Source VoT'!$D$38*1*VLOOKUP($B37,'Annual Parameters'!$B$33:$W$143,21,FALSE)/VLOOKUP('Source VoT'!$F$27,'Annual Parameters'!$B$33:$W$143,21,FALSE)*VLOOKUP($B$14,'Annual Parameters'!$B$33:$W$143,3,FALSE)/VLOOKUP('Source VoT'!$E$27,'Annual Parameters'!$B$33:$W$143,3,FALSE)</f>
        <v>9.4071805348482727</v>
      </c>
      <c r="AF37" s="73">
        <f>'Source VoT'!$D$39*1*VLOOKUP($B37,'Annual Parameters'!$B$33:$W$143,21,FALSE)/VLOOKUP('Source VoT'!$F$27,'Annual Parameters'!$B$33:$W$143,21,FALSE)*VLOOKUP($B$14,'Annual Parameters'!$B$33:$W$143,3,FALSE)/VLOOKUP('Source VoT'!$E$27,'Annual Parameters'!$B$33:$W$143,3,FALSE)</f>
        <v>16.600346532477403</v>
      </c>
      <c r="AG37" s="74">
        <f>'Source VoT'!$D$40*1*VLOOKUP($B37,'Annual Parameters'!$B$33:$W$143,21,FALSE)/VLOOKUP('Source VoT'!$F$27,'Annual Parameters'!$B$33:$W$143,21,FALSE)*VLOOKUP($B$14,'Annual Parameters'!$B$33:$W$143,3,FALSE)/VLOOKUP('Source VoT'!$E$27,'Annual Parameters'!$B$33:$W$143,3,FALSE)</f>
        <v>18.081565406278028</v>
      </c>
      <c r="AH37" s="73">
        <f>'Source VoT'!$D$45*1*VLOOKUP($B37,'Annual Parameters'!$B$33:$W$143,22,FALSE)/VLOOKUP('Source VoT'!$F$27,'Annual Parameters'!$B$33:$W$143,22,FALSE)*VLOOKUP($B$14,'Annual Parameters'!$B$33:$W$143,3,FALSE)/VLOOKUP('Source VoT'!$E$27,'Annual Parameters'!$B$33:$W$143,3,FALSE)</f>
        <v>11.115319506915846</v>
      </c>
      <c r="AI37" s="73">
        <f>'Source VoT'!$D$46*1*VLOOKUP($B37,'Annual Parameters'!$B$33:$W$143,22,FALSE)/VLOOKUP('Source VoT'!$F$27,'Annual Parameters'!$B$33:$W$143,22,FALSE)*VLOOKUP($B$14,'Annual Parameters'!$B$33:$W$143,3,FALSE)/VLOOKUP('Source VoT'!$E$27,'Annual Parameters'!$B$33:$W$143,3,FALSE)</f>
        <v>5.073365395044668</v>
      </c>
      <c r="AJ37" s="117">
        <f>'Source VoT'!$D$27*VLOOKUP($B37,'Indirect tax correction'!$B$27:$I$127,7,FALSE)*VLOOKUP($B37,'Annual Parameters'!$B$33:$W$143,21,FALSE)/VLOOKUP('Source VoT'!$F$27,'Annual Parameters'!$B$33:$W$143,21,FALSE)*VLOOKUP($B$14,'Annual Parameters'!$B$33:$W$143,3,FALSE)/VLOOKUP('Source VoT'!$E$27,'Annual Parameters'!$B$33:$W$143,3,FALSE)</f>
        <v>19.754412373648108</v>
      </c>
      <c r="AK37" s="73">
        <f>'Source VoT'!$D$28*VLOOKUP($B37,'Indirect tax correction'!$B$27:$I$127,7,FALSE)*VLOOKUP($B37,'Annual Parameters'!$B$33:$W$143,21,FALSE)/VLOOKUP('Source VoT'!$F$27,'Annual Parameters'!$B$33:$W$143,21,FALSE)*VLOOKUP($B$14,'Annual Parameters'!$B$33:$W$143,3,FALSE)/VLOOKUP('Source VoT'!$E$27,'Annual Parameters'!$B$33:$W$143,3,FALSE)</f>
        <v>19.754412373648108</v>
      </c>
      <c r="AL37" s="73">
        <f>'Source VoT'!$D$29*VLOOKUP($B37,'Indirect tax correction'!$B$27:$I$127,7,FALSE)*VLOOKUP($B37,'Annual Parameters'!$B$33:$W$143,21,FALSE)/VLOOKUP('Source VoT'!$F$27,'Annual Parameters'!$B$33:$W$143,21,FALSE)*VLOOKUP($B$14,'Annual Parameters'!$B$33:$W$143,3,FALSE)/VLOOKUP('Source VoT'!$E$27,'Annual Parameters'!$B$33:$W$143,3,FALSE)</f>
        <v>13.602439090627888</v>
      </c>
      <c r="AM37" s="73">
        <f>'Source VoT'!$D$30*VLOOKUP($B37,'Indirect tax correction'!$B$27:$I$127,7,FALSE)*VLOOKUP($B37,'Annual Parameters'!$B$33:$W$143,21,FALSE)/VLOOKUP('Source VoT'!$F$27,'Annual Parameters'!$B$33:$W$143,21,FALSE)*VLOOKUP($B$14,'Annual Parameters'!$B$33:$W$143,3,FALSE)/VLOOKUP('Source VoT'!$E$27,'Annual Parameters'!$B$33:$W$143,3,FALSE)</f>
        <v>16.026947910022205</v>
      </c>
      <c r="AN37" s="73">
        <f>'Source VoT'!$D$31*VLOOKUP($B37,'Indirect tax correction'!$B$27:$I$127,7,FALSE)*VLOOKUP($B37,'Annual Parameters'!$B$33:$W$143,21,FALSE)/VLOOKUP('Source VoT'!$F$27,'Annual Parameters'!$B$33:$W$143,21,FALSE)*VLOOKUP($B$14,'Annual Parameters'!$B$33:$W$143,3,FALSE)/VLOOKUP('Source VoT'!$E$27,'Annual Parameters'!$B$33:$W$143,3,FALSE)</f>
        <v>16.373306312792824</v>
      </c>
      <c r="AO37" s="73">
        <f>'Source VoT'!$D$32*VLOOKUP($B37,'Indirect tax correction'!$B$27:$I$127,7,FALSE)*VLOOKUP($B37,'Annual Parameters'!$B$33:$W$143,21,FALSE)/VLOOKUP('Source VoT'!$F$27,'Annual Parameters'!$B$33:$W$143,21,FALSE)*VLOOKUP($B$14,'Annual Parameters'!$B$33:$W$143,3,FALSE)/VLOOKUP('Source VoT'!$E$27,'Annual Parameters'!$B$33:$W$143,3,FALSE)</f>
        <v>11.194544836469442</v>
      </c>
      <c r="AP37" s="73">
        <f>'Source VoT'!$D$33*VLOOKUP($B37,'Indirect tax correction'!$B$27:$I$127,7,FALSE)*VLOOKUP($B37,'Annual Parameters'!$B$33:$W$143,21,FALSE)/VLOOKUP('Source VoT'!$F$27,'Annual Parameters'!$B$33:$W$143,21,FALSE)*VLOOKUP($B$14,'Annual Parameters'!$B$33:$W$143,3,FALSE)/VLOOKUP('Source VoT'!$E$27,'Annual Parameters'!$B$33:$W$143,3,FALSE)</f>
        <v>14.468335097554426</v>
      </c>
      <c r="AQ37" s="73">
        <f>'Source VoT'!$D$34*VLOOKUP($B37,'Indirect tax correction'!$B$27:$I$127,7,FALSE)*VLOOKUP($B37,'Annual Parameters'!$B$33:$W$143,21,FALSE)/VLOOKUP('Source VoT'!$F$27,'Annual Parameters'!$B$33:$W$143,21,FALSE)*VLOOKUP($B$14,'Annual Parameters'!$B$33:$W$143,3,FALSE)/VLOOKUP('Source VoT'!$E$27,'Annual Parameters'!$B$33:$W$143,3,FALSE)</f>
        <v>19.754412373648108</v>
      </c>
      <c r="AR37" s="73">
        <f>'Source VoT'!$D$35*VLOOKUP($B37,'Indirect tax correction'!$B$27:$I$127,7,FALSE)*VLOOKUP($B37,'Annual Parameters'!$B$33:$W$143,21,FALSE)/VLOOKUP('Source VoT'!$F$27,'Annual Parameters'!$B$33:$W$143,21,FALSE)*VLOOKUP($B$14,'Annual Parameters'!$B$33:$W$143,3,FALSE)/VLOOKUP('Source VoT'!$E$27,'Annual Parameters'!$B$33:$W$143,3,FALSE)</f>
        <v>32.585147891231699</v>
      </c>
      <c r="AS37" s="73">
        <f>'Source VoT'!$D$36*VLOOKUP($B37,'Indirect tax correction'!$B$27:$I$127,7,FALSE)*VLOOKUP($B37,'Annual Parameters'!$B$33:$W$143,21,FALSE)/VLOOKUP('Source VoT'!$F$27,'Annual Parameters'!$B$33:$W$143,21,FALSE)*VLOOKUP($B$14,'Annual Parameters'!$B$33:$W$143,3,FALSE)/VLOOKUP('Source VoT'!$E$27,'Annual Parameters'!$B$33:$W$143,3,FALSE)</f>
        <v>11.194544836469442</v>
      </c>
      <c r="AT37" s="73">
        <f>'Source VoT'!$D$37*VLOOKUP($B37,'Indirect tax correction'!$B$27:$I$127,7,FALSE)*VLOOKUP($B37,'Annual Parameters'!$B$33:$W$143,21,FALSE)/VLOOKUP('Source VoT'!$F$27,'Annual Parameters'!$B$33:$W$143,21,FALSE)*VLOOKUP($B$14,'Annual Parameters'!$B$33:$W$143,3,FALSE)/VLOOKUP('Source VoT'!$E$27,'Annual Parameters'!$B$33:$W$143,3,FALSE)</f>
        <v>11.194544836469442</v>
      </c>
      <c r="AU37" s="73">
        <f>'Source VoT'!$D$38*VLOOKUP($B37,'Indirect tax correction'!$B$27:$I$127,7,FALSE)*VLOOKUP($B37,'Annual Parameters'!$B$33:$W$143,21,FALSE)/VLOOKUP('Source VoT'!$F$27,'Annual Parameters'!$B$33:$W$143,21,FALSE)*VLOOKUP($B$14,'Annual Parameters'!$B$33:$W$143,3,FALSE)/VLOOKUP('Source VoT'!$E$27,'Annual Parameters'!$B$33:$W$143,3,FALSE)</f>
        <v>11.194544836469442</v>
      </c>
      <c r="AV37" s="73">
        <f>'Source VoT'!$D$39*VLOOKUP($B37,'Indirect tax correction'!$B$27:$I$127,7,FALSE)*VLOOKUP($B37,'Annual Parameters'!$B$33:$W$143,21,FALSE)/VLOOKUP('Source VoT'!$F$27,'Annual Parameters'!$B$33:$W$143,21,FALSE)*VLOOKUP($B$14,'Annual Parameters'!$B$33:$W$143,3,FALSE)/VLOOKUP('Source VoT'!$E$27,'Annual Parameters'!$B$33:$W$143,3,FALSE)</f>
        <v>19.754412373648108</v>
      </c>
      <c r="AW37" s="74">
        <f>'Source VoT'!$D$40*VLOOKUP($B37,'Indirect tax correction'!$B$27:$I$127,7,FALSE)*VLOOKUP($B37,'Annual Parameters'!$B$33:$W$143,21,FALSE)/VLOOKUP('Source VoT'!$F$27,'Annual Parameters'!$B$33:$W$143,21,FALSE)*VLOOKUP($B$14,'Annual Parameters'!$B$33:$W$143,3,FALSE)/VLOOKUP('Source VoT'!$E$27,'Annual Parameters'!$B$33:$W$143,3,FALSE)</f>
        <v>21.517062833470856</v>
      </c>
      <c r="AX37" s="73">
        <f>'Source VoT'!$D$45*VLOOKUP($B37,'Indirect tax correction'!$B$27:$I$127,8,FALSE)*VLOOKUP($B37,'Annual Parameters'!$B$33:$W$143,22,FALSE)/VLOOKUP('Source VoT'!$F$27,'Annual Parameters'!$B$33:$W$143,22,FALSE)*VLOOKUP($B$14,'Annual Parameters'!$B$33:$W$143,3,FALSE)/VLOOKUP('Source VoT'!$E$27,'Annual Parameters'!$B$33:$W$143,3,FALSE)</f>
        <v>11.115319506915846</v>
      </c>
      <c r="AY37" s="74">
        <f>'Source VoT'!$D$46*VLOOKUP($B37,'Indirect tax correction'!$B$27:$I$127,8,FALSE)*VLOOKUP($B37,'Annual Parameters'!$B$33:$W$143,22,FALSE)/VLOOKUP('Source VoT'!$F$27,'Annual Parameters'!$B$33:$W$143,22,FALSE)*VLOOKUP($B$14,'Annual Parameters'!$B$33:$W$143,3,FALSE)/VLOOKUP('Source VoT'!$E$27,'Annual Parameters'!$B$33:$W$143,3,FALSE)</f>
        <v>5.073365395044668</v>
      </c>
      <c r="AZ37" s="2875"/>
      <c r="BA37" s="2875"/>
      <c r="BB37" s="2875"/>
      <c r="BC37" s="2875"/>
      <c r="BD37" s="2875"/>
      <c r="BE37" s="2875"/>
      <c r="BF37" s="2875"/>
      <c r="BG37" s="2875"/>
      <c r="BH37" s="2875"/>
    </row>
    <row r="38" spans="1:60" ht="13.5" customHeight="1">
      <c r="A38" s="90"/>
      <c r="B38" s="82">
        <f t="shared" si="0"/>
        <v>2021</v>
      </c>
      <c r="C38" s="82"/>
      <c r="D38" s="117">
        <f>'Source VoT'!$D$27*VLOOKUP($B38,'Indirect tax correction'!$B$27:$I$127,5,FALSE)*VLOOKUP($B38,'Annual Parameters'!$B$33:$W$143,21,FALSE)/VLOOKUP('Source VoT'!$F$27,'Annual Parameters'!$B$33:$W$143,21,FALSE)*VLOOKUP($B$14,'Annual Parameters'!$B$33:$W$143,3,FALSE)/VLOOKUP('Source VoT'!$E$27,'Annual Parameters'!$B$33:$W$143,3,FALSE)</f>
        <v>16.77500236304299</v>
      </c>
      <c r="E38" s="73">
        <f>'Source VoT'!$D$28*VLOOKUP($B38,'Indirect tax correction'!$B$27:$I$127,5,FALSE)*VLOOKUP($B38,'Annual Parameters'!$B$33:$W$143,21,FALSE)/VLOOKUP('Source VoT'!$F$27,'Annual Parameters'!$B$33:$W$143,21,FALSE)*VLOOKUP($B$14,'Annual Parameters'!$B$33:$W$143,3,FALSE)/VLOOKUP('Source VoT'!$E$27,'Annual Parameters'!$B$33:$W$143,3,FALSE)</f>
        <v>16.77500236304299</v>
      </c>
      <c r="F38" s="73">
        <f>'Source VoT'!$D$29*VLOOKUP($B38,'Indirect tax correction'!$B$27:$I$127,5,FALSE)*VLOOKUP($B38,'Annual Parameters'!$B$33:$W$143,21,FALSE)/VLOOKUP('Source VoT'!$F$27,'Annual Parameters'!$B$33:$W$143,21,FALSE)*VLOOKUP($B$14,'Annual Parameters'!$B$33:$W$143,3,FALSE)/VLOOKUP('Source VoT'!$E$27,'Annual Parameters'!$B$33:$W$143,3,FALSE)</f>
        <v>11.550885117333017</v>
      </c>
      <c r="G38" s="73">
        <f>'Source VoT'!$D$30*VLOOKUP($B38,'Indirect tax correction'!$B$27:$I$127,5,FALSE)*VLOOKUP($B38,'Annual Parameters'!$B$33:$W$143,21,FALSE)/VLOOKUP('Source VoT'!$F$27,'Annual Parameters'!$B$33:$W$143,21,FALSE)*VLOOKUP($B$14,'Annual Parameters'!$B$33:$W$143,3,FALSE)/VLOOKUP('Source VoT'!$E$27,'Annual Parameters'!$B$33:$W$143,3,FALSE)</f>
        <v>13.609723436857648</v>
      </c>
      <c r="H38" s="73">
        <f>'Source VoT'!$D$31*VLOOKUP($B38,'Indirect tax correction'!$B$27:$I$127,5,FALSE)*VLOOKUP($B38,'Annual Parameters'!$B$33:$W$143,21,FALSE)/VLOOKUP('Source VoT'!$F$27,'Annual Parameters'!$B$33:$W$143,21,FALSE)*VLOOKUP($B$14,'Annual Parameters'!$B$33:$W$143,3,FALSE)/VLOOKUP('Source VoT'!$E$27,'Annual Parameters'!$B$33:$W$143,3,FALSE)</f>
        <v>13.903843196789742</v>
      </c>
      <c r="I38" s="73">
        <f>'Source VoT'!$D$32*VLOOKUP($B38,'Indirect tax correction'!$B$27:$I$127,5,FALSE)*VLOOKUP($B38,'Annual Parameters'!$B$33:$W$143,21,FALSE)/VLOOKUP('Source VoT'!$F$27,'Annual Parameters'!$B$33:$W$143,21,FALSE)*VLOOKUP($B$14,'Annual Parameters'!$B$33:$W$143,3,FALSE)/VLOOKUP('Source VoT'!$E$27,'Annual Parameters'!$B$33:$W$143,3,FALSE)</f>
        <v>9.5061555126524944</v>
      </c>
      <c r="J38" s="73">
        <f>'Source VoT'!$D$33*VLOOKUP($B38,'Indirect tax correction'!$B$27:$I$127,5,FALSE)*VLOOKUP($B38,'Annual Parameters'!$B$33:$W$143,21,FALSE)/VLOOKUP('Source VoT'!$F$27,'Annual Parameters'!$B$33:$W$143,21,FALSE)*VLOOKUP($B$14,'Annual Parameters'!$B$33:$W$143,3,FALSE)/VLOOKUP('Source VoT'!$E$27,'Annual Parameters'!$B$33:$W$143,3,FALSE)</f>
        <v>12.286184517163241</v>
      </c>
      <c r="K38" s="73">
        <f>'Source VoT'!$D$34*VLOOKUP($B38,'Indirect tax correction'!$B$27:$I$127,5,FALSE)*VLOOKUP($B38,'Annual Parameters'!$B$33:$W$143,21,FALSE)/VLOOKUP('Source VoT'!$F$27,'Annual Parameters'!$B$33:$W$143,21,FALSE)*VLOOKUP($B$14,'Annual Parameters'!$B$33:$W$143,3,FALSE)/VLOOKUP('Source VoT'!$E$27,'Annual Parameters'!$B$33:$W$143,3,FALSE)</f>
        <v>16.77500236304299</v>
      </c>
      <c r="L38" s="73">
        <f>'Source VoT'!$D$35*VLOOKUP($B38,'Indirect tax correction'!$B$27:$I$127,5,FALSE)*VLOOKUP($B38,'Annual Parameters'!$B$33:$W$143,21,FALSE)/VLOOKUP('Source VoT'!$F$27,'Annual Parameters'!$B$33:$W$143,21,FALSE)*VLOOKUP($B$14,'Annual Parameters'!$B$33:$W$143,3,FALSE)/VLOOKUP('Source VoT'!$E$27,'Annual Parameters'!$B$33:$W$143,3,FALSE)</f>
        <v>27.670574175351781</v>
      </c>
      <c r="M38" s="73">
        <f>'Source VoT'!$D$36*VLOOKUP($B38,'Indirect tax correction'!$B$27:$I$127,5,FALSE)*VLOOKUP($B38,'Annual Parameters'!$B$33:$W$143,21,FALSE)/VLOOKUP('Source VoT'!$F$27,'Annual Parameters'!$B$33:$W$143,21,FALSE)*VLOOKUP($B$14,'Annual Parameters'!$B$33:$W$143,3,FALSE)/VLOOKUP('Source VoT'!$E$27,'Annual Parameters'!$B$33:$W$143,3,FALSE)</f>
        <v>9.5061555126524944</v>
      </c>
      <c r="N38" s="73">
        <f>'Source VoT'!$D$37*VLOOKUP($B38,'Indirect tax correction'!$B$27:$I$127,5,FALSE)*VLOOKUP($B38,'Annual Parameters'!$B$33:$W$143,21,FALSE)/VLOOKUP('Source VoT'!$F$27,'Annual Parameters'!$B$33:$W$143,21,FALSE)*VLOOKUP($B$14,'Annual Parameters'!$B$33:$W$143,3,FALSE)/VLOOKUP('Source VoT'!$E$27,'Annual Parameters'!$B$33:$W$143,3,FALSE)</f>
        <v>9.5061555126524944</v>
      </c>
      <c r="O38" s="73">
        <f>'Source VoT'!$D$38*VLOOKUP($B38,'Indirect tax correction'!$B$27:$I$127,5,FALSE)*VLOOKUP($B38,'Annual Parameters'!$B$33:$W$143,21,FALSE)/VLOOKUP('Source VoT'!$F$27,'Annual Parameters'!$B$33:$W$143,21,FALSE)*VLOOKUP($B$14,'Annual Parameters'!$B$33:$W$143,3,FALSE)/VLOOKUP('Source VoT'!$E$27,'Annual Parameters'!$B$33:$W$143,3,FALSE)</f>
        <v>9.5061555126524944</v>
      </c>
      <c r="P38" s="73">
        <f>'Source VoT'!$D$39*VLOOKUP($B38,'Indirect tax correction'!$B$27:$I$127,5,FALSE)*VLOOKUP($B38,'Annual Parameters'!$B$33:$W$143,21,FALSE)/VLOOKUP('Source VoT'!$F$27,'Annual Parameters'!$B$33:$W$143,21,FALSE)*VLOOKUP($B$14,'Annual Parameters'!$B$33:$W$143,3,FALSE)/VLOOKUP('Source VoT'!$E$27,'Annual Parameters'!$B$33:$W$143,3,FALSE)</f>
        <v>16.77500236304299</v>
      </c>
      <c r="Q38" s="74">
        <f>'Source VoT'!$D$40*VLOOKUP($B38,'Indirect tax correction'!$B$27:$I$127,5,FALSE)*VLOOKUP($B38,'Annual Parameters'!$B$33:$W$143,21,FALSE)/VLOOKUP('Source VoT'!$F$27,'Annual Parameters'!$B$33:$W$143,21,FALSE)*VLOOKUP($B$14,'Annual Parameters'!$B$33:$W$143,3,FALSE)/VLOOKUP('Source VoT'!$E$27,'Annual Parameters'!$B$33:$W$143,3,FALSE)</f>
        <v>18.271805460470929</v>
      </c>
      <c r="R38" s="73">
        <f>'Source VoT'!$D$45*VLOOKUP($B38,'Indirect tax correction'!$B$27:$I$127,6,FALSE)*VLOOKUP($B38,'Annual Parameters'!$B$33:$W$143,22,FALSE)/VLOOKUP('Source VoT'!$F$27,'Annual Parameters'!$B$33:$W$143,22,FALSE)*VLOOKUP($B$14,'Annual Parameters'!$B$33:$W$143,3,FALSE)/VLOOKUP('Source VoT'!$E$27,'Annual Parameters'!$B$33:$W$143,3,FALSE)</f>
        <v>9.4388791459685972</v>
      </c>
      <c r="S38" s="73">
        <f>'Source VoT'!$D$46*VLOOKUP($B38,'Indirect tax correction'!$B$27:$I$127,6,FALSE)*VLOOKUP($B38,'Annual Parameters'!$B$33:$W$143,22,FALSE)/VLOOKUP('Source VoT'!$F$27,'Annual Parameters'!$B$33:$W$143,22,FALSE)*VLOOKUP($B$14,'Annual Parameters'!$B$33:$W$143,3,FALSE)/VLOOKUP('Source VoT'!$E$27,'Annual Parameters'!$B$33:$W$143,3,FALSE)</f>
        <v>4.3081877041295202</v>
      </c>
      <c r="T38" s="117">
        <f>'Source VoT'!$D$27*1*VLOOKUP($B38,'Annual Parameters'!$B$33:$W$143,21,FALSE)/VLOOKUP('Source VoT'!$F$27,'Annual Parameters'!$B$33:$W$143,21,FALSE)*VLOOKUP($B$14,'Annual Parameters'!$B$33:$W$143,3,FALSE)/VLOOKUP('Source VoT'!$E$27,'Annual Parameters'!$B$33:$W$143,3,FALSE)</f>
        <v>16.77500236304299</v>
      </c>
      <c r="U38" s="73">
        <f>'Source VoT'!$D$28*1*VLOOKUP($B38,'Annual Parameters'!$B$33:$W$143,21,FALSE)/VLOOKUP('Source VoT'!$F$27,'Annual Parameters'!$B$33:$W$143,21,FALSE)*VLOOKUP($B$14,'Annual Parameters'!$B$33:$W$143,3,FALSE)/VLOOKUP('Source VoT'!$E$27,'Annual Parameters'!$B$33:$W$143,3,FALSE)</f>
        <v>16.77500236304299</v>
      </c>
      <c r="V38" s="73">
        <f>'Source VoT'!$D$29*1*VLOOKUP($B38,'Annual Parameters'!$B$33:$W$143,21,FALSE)/VLOOKUP('Source VoT'!$F$27,'Annual Parameters'!$B$33:$W$143,21,FALSE)*VLOOKUP($B$14,'Annual Parameters'!$B$33:$W$143,3,FALSE)/VLOOKUP('Source VoT'!$E$27,'Annual Parameters'!$B$33:$W$143,3,FALSE)</f>
        <v>11.550885117333017</v>
      </c>
      <c r="W38" s="73">
        <f>'Source VoT'!$D$30*1*VLOOKUP($B38,'Annual Parameters'!$B$33:$W$143,21,FALSE)/VLOOKUP('Source VoT'!$F$27,'Annual Parameters'!$B$33:$W$143,21,FALSE)*VLOOKUP($B$14,'Annual Parameters'!$B$33:$W$143,3,FALSE)/VLOOKUP('Source VoT'!$E$27,'Annual Parameters'!$B$33:$W$143,3,FALSE)</f>
        <v>13.609723436857648</v>
      </c>
      <c r="X38" s="73">
        <f>'Source VoT'!$D$31*1*VLOOKUP($B38,'Annual Parameters'!$B$33:$W$143,21,FALSE)/VLOOKUP('Source VoT'!$F$27,'Annual Parameters'!$B$33:$W$143,21,FALSE)*VLOOKUP($B$14,'Annual Parameters'!$B$33:$W$143,3,FALSE)/VLOOKUP('Source VoT'!$E$27,'Annual Parameters'!$B$33:$W$143,3,FALSE)</f>
        <v>13.903843196789742</v>
      </c>
      <c r="Y38" s="73">
        <f>'Source VoT'!$D$32*1*VLOOKUP($B38,'Annual Parameters'!$B$33:$W$143,21,FALSE)/VLOOKUP('Source VoT'!$F$27,'Annual Parameters'!$B$33:$W$143,21,FALSE)*VLOOKUP($B$14,'Annual Parameters'!$B$33:$W$143,3,FALSE)/VLOOKUP('Source VoT'!$E$27,'Annual Parameters'!$B$33:$W$143,3,FALSE)</f>
        <v>9.5061555126524944</v>
      </c>
      <c r="Z38" s="73">
        <f>'Source VoT'!$D$33*1*VLOOKUP($B38,'Annual Parameters'!$B$33:$W$143,21,FALSE)/VLOOKUP('Source VoT'!$F$27,'Annual Parameters'!$B$33:$W$143,21,FALSE)*VLOOKUP($B$14,'Annual Parameters'!$B$33:$W$143,3,FALSE)/VLOOKUP('Source VoT'!$E$27,'Annual Parameters'!$B$33:$W$143,3,FALSE)</f>
        <v>12.286184517163241</v>
      </c>
      <c r="AA38" s="73">
        <f>'Source VoT'!$D$34*1*VLOOKUP($B38,'Annual Parameters'!$B$33:$W$143,21,FALSE)/VLOOKUP('Source VoT'!$F$27,'Annual Parameters'!$B$33:$W$143,21,FALSE)*VLOOKUP($B$14,'Annual Parameters'!$B$33:$W$143,3,FALSE)/VLOOKUP('Source VoT'!$E$27,'Annual Parameters'!$B$33:$W$143,3,FALSE)</f>
        <v>16.77500236304299</v>
      </c>
      <c r="AB38" s="73">
        <f>'Source VoT'!$D$35*1*VLOOKUP($B38,'Annual Parameters'!$B$33:$W$143,21,FALSE)/VLOOKUP('Source VoT'!$F$27,'Annual Parameters'!$B$33:$W$143,21,FALSE)*VLOOKUP($B$14,'Annual Parameters'!$B$33:$W$143,3,FALSE)/VLOOKUP('Source VoT'!$E$27,'Annual Parameters'!$B$33:$W$143,3,FALSE)</f>
        <v>27.670574175351781</v>
      </c>
      <c r="AC38" s="73">
        <f>'Source VoT'!$D$36*1*VLOOKUP($B38,'Annual Parameters'!$B$33:$W$143,21,FALSE)/VLOOKUP('Source VoT'!$F$27,'Annual Parameters'!$B$33:$W$143,21,FALSE)*VLOOKUP($B$14,'Annual Parameters'!$B$33:$W$143,3,FALSE)/VLOOKUP('Source VoT'!$E$27,'Annual Parameters'!$B$33:$W$143,3,FALSE)</f>
        <v>9.5061555126524944</v>
      </c>
      <c r="AD38" s="73">
        <f>'Source VoT'!$D$37*1*VLOOKUP($B38,'Annual Parameters'!$B$33:$W$143,21,FALSE)/VLOOKUP('Source VoT'!$F$27,'Annual Parameters'!$B$33:$W$143,21,FALSE)*VLOOKUP($B$14,'Annual Parameters'!$B$33:$W$143,3,FALSE)/VLOOKUP('Source VoT'!$E$27,'Annual Parameters'!$B$33:$W$143,3,FALSE)</f>
        <v>9.5061555126524944</v>
      </c>
      <c r="AE38" s="73">
        <f>'Source VoT'!$D$38*1*VLOOKUP($B38,'Annual Parameters'!$B$33:$W$143,21,FALSE)/VLOOKUP('Source VoT'!$F$27,'Annual Parameters'!$B$33:$W$143,21,FALSE)*VLOOKUP($B$14,'Annual Parameters'!$B$33:$W$143,3,FALSE)/VLOOKUP('Source VoT'!$E$27,'Annual Parameters'!$B$33:$W$143,3,FALSE)</f>
        <v>9.5061555126524944</v>
      </c>
      <c r="AF38" s="73">
        <f>'Source VoT'!$D$39*1*VLOOKUP($B38,'Annual Parameters'!$B$33:$W$143,21,FALSE)/VLOOKUP('Source VoT'!$F$27,'Annual Parameters'!$B$33:$W$143,21,FALSE)*VLOOKUP($B$14,'Annual Parameters'!$B$33:$W$143,3,FALSE)/VLOOKUP('Source VoT'!$E$27,'Annual Parameters'!$B$33:$W$143,3,FALSE)</f>
        <v>16.77500236304299</v>
      </c>
      <c r="AG38" s="74">
        <f>'Source VoT'!$D$40*1*VLOOKUP($B38,'Annual Parameters'!$B$33:$W$143,21,FALSE)/VLOOKUP('Source VoT'!$F$27,'Annual Parameters'!$B$33:$W$143,21,FALSE)*VLOOKUP($B$14,'Annual Parameters'!$B$33:$W$143,3,FALSE)/VLOOKUP('Source VoT'!$E$27,'Annual Parameters'!$B$33:$W$143,3,FALSE)</f>
        <v>18.271805460470929</v>
      </c>
      <c r="AH38" s="73">
        <f>'Source VoT'!$D$45*1*VLOOKUP($B38,'Annual Parameters'!$B$33:$W$143,22,FALSE)/VLOOKUP('Source VoT'!$F$27,'Annual Parameters'!$B$33:$W$143,22,FALSE)*VLOOKUP($B$14,'Annual Parameters'!$B$33:$W$143,3,FALSE)/VLOOKUP('Source VoT'!$E$27,'Annual Parameters'!$B$33:$W$143,3,FALSE)</f>
        <v>11.232266183702631</v>
      </c>
      <c r="AI38" s="73">
        <f>'Source VoT'!$D$46*1*VLOOKUP($B38,'Annual Parameters'!$B$33:$W$143,22,FALSE)/VLOOKUP('Source VoT'!$F$27,'Annual Parameters'!$B$33:$W$143,22,FALSE)*VLOOKUP($B$14,'Annual Parameters'!$B$33:$W$143,3,FALSE)/VLOOKUP('Source VoT'!$E$27,'Annual Parameters'!$B$33:$W$143,3,FALSE)</f>
        <v>5.1267433679141288</v>
      </c>
      <c r="AJ38" s="117">
        <f>'Source VoT'!$D$27*VLOOKUP($B38,'Indirect tax correction'!$B$27:$I$127,7,FALSE)*VLOOKUP($B38,'Annual Parameters'!$B$33:$W$143,21,FALSE)/VLOOKUP('Source VoT'!$F$27,'Annual Parameters'!$B$33:$W$143,21,FALSE)*VLOOKUP($B$14,'Annual Parameters'!$B$33:$W$143,3,FALSE)/VLOOKUP('Source VoT'!$E$27,'Annual Parameters'!$B$33:$W$143,3,FALSE)</f>
        <v>19.962252812021152</v>
      </c>
      <c r="AK38" s="73">
        <f>'Source VoT'!$D$28*VLOOKUP($B38,'Indirect tax correction'!$B$27:$I$127,7,FALSE)*VLOOKUP($B38,'Annual Parameters'!$B$33:$W$143,21,FALSE)/VLOOKUP('Source VoT'!$F$27,'Annual Parameters'!$B$33:$W$143,21,FALSE)*VLOOKUP($B$14,'Annual Parameters'!$B$33:$W$143,3,FALSE)/VLOOKUP('Source VoT'!$E$27,'Annual Parameters'!$B$33:$W$143,3,FALSE)</f>
        <v>19.962252812021152</v>
      </c>
      <c r="AL38" s="73">
        <f>'Source VoT'!$D$29*VLOOKUP($B38,'Indirect tax correction'!$B$27:$I$127,7,FALSE)*VLOOKUP($B38,'Annual Parameters'!$B$33:$W$143,21,FALSE)/VLOOKUP('Source VoT'!$F$27,'Annual Parameters'!$B$33:$W$143,21,FALSE)*VLOOKUP($B$14,'Annual Parameters'!$B$33:$W$143,3,FALSE)/VLOOKUP('Source VoT'!$E$27,'Annual Parameters'!$B$33:$W$143,3,FALSE)</f>
        <v>13.745553289626288</v>
      </c>
      <c r="AM38" s="73">
        <f>'Source VoT'!$D$30*VLOOKUP($B38,'Indirect tax correction'!$B$27:$I$127,7,FALSE)*VLOOKUP($B38,'Annual Parameters'!$B$33:$W$143,21,FALSE)/VLOOKUP('Source VoT'!$F$27,'Annual Parameters'!$B$33:$W$143,21,FALSE)*VLOOKUP($B$14,'Annual Parameters'!$B$33:$W$143,3,FALSE)/VLOOKUP('Source VoT'!$E$27,'Annual Parameters'!$B$33:$W$143,3,FALSE)</f>
        <v>16.195570889860601</v>
      </c>
      <c r="AN38" s="73">
        <f>'Source VoT'!$D$31*VLOOKUP($B38,'Indirect tax correction'!$B$27:$I$127,7,FALSE)*VLOOKUP($B38,'Annual Parameters'!$B$33:$W$143,21,FALSE)/VLOOKUP('Source VoT'!$F$27,'Annual Parameters'!$B$33:$W$143,21,FALSE)*VLOOKUP($B$14,'Annual Parameters'!$B$33:$W$143,3,FALSE)/VLOOKUP('Source VoT'!$E$27,'Annual Parameters'!$B$33:$W$143,3,FALSE)</f>
        <v>16.545573404179791</v>
      </c>
      <c r="AO38" s="73">
        <f>'Source VoT'!$D$32*VLOOKUP($B38,'Indirect tax correction'!$B$27:$I$127,7,FALSE)*VLOOKUP($B38,'Annual Parameters'!$B$33:$W$143,21,FALSE)/VLOOKUP('Source VoT'!$F$27,'Annual Parameters'!$B$33:$W$143,21,FALSE)*VLOOKUP($B$14,'Annual Parameters'!$B$33:$W$143,3,FALSE)/VLOOKUP('Source VoT'!$E$27,'Annual Parameters'!$B$33:$W$143,3,FALSE)</f>
        <v>11.31232506005647</v>
      </c>
      <c r="AP38" s="73">
        <f>'Source VoT'!$D$33*VLOOKUP($B38,'Indirect tax correction'!$B$27:$I$127,7,FALSE)*VLOOKUP($B38,'Annual Parameters'!$B$33:$W$143,21,FALSE)/VLOOKUP('Source VoT'!$F$27,'Annual Parameters'!$B$33:$W$143,21,FALSE)*VLOOKUP($B$14,'Annual Parameters'!$B$33:$W$143,3,FALSE)/VLOOKUP('Source VoT'!$E$27,'Annual Parameters'!$B$33:$W$143,3,FALSE)</f>
        <v>14.620559575424259</v>
      </c>
      <c r="AQ38" s="73">
        <f>'Source VoT'!$D$34*VLOOKUP($B38,'Indirect tax correction'!$B$27:$I$127,7,FALSE)*VLOOKUP($B38,'Annual Parameters'!$B$33:$W$143,21,FALSE)/VLOOKUP('Source VoT'!$F$27,'Annual Parameters'!$B$33:$W$143,21,FALSE)*VLOOKUP($B$14,'Annual Parameters'!$B$33:$W$143,3,FALSE)/VLOOKUP('Source VoT'!$E$27,'Annual Parameters'!$B$33:$W$143,3,FALSE)</f>
        <v>19.962252812021152</v>
      </c>
      <c r="AR38" s="73">
        <f>'Source VoT'!$D$35*VLOOKUP($B38,'Indirect tax correction'!$B$27:$I$127,7,FALSE)*VLOOKUP($B38,'Annual Parameters'!$B$33:$W$143,21,FALSE)/VLOOKUP('Source VoT'!$F$27,'Annual Parameters'!$B$33:$W$143,21,FALSE)*VLOOKUP($B$14,'Annual Parameters'!$B$33:$W$143,3,FALSE)/VLOOKUP('Source VoT'!$E$27,'Annual Parameters'!$B$33:$W$143,3,FALSE)</f>
        <v>32.927983268668619</v>
      </c>
      <c r="AS38" s="73">
        <f>'Source VoT'!$D$36*VLOOKUP($B38,'Indirect tax correction'!$B$27:$I$127,7,FALSE)*VLOOKUP($B38,'Annual Parameters'!$B$33:$W$143,21,FALSE)/VLOOKUP('Source VoT'!$F$27,'Annual Parameters'!$B$33:$W$143,21,FALSE)*VLOOKUP($B$14,'Annual Parameters'!$B$33:$W$143,3,FALSE)/VLOOKUP('Source VoT'!$E$27,'Annual Parameters'!$B$33:$W$143,3,FALSE)</f>
        <v>11.31232506005647</v>
      </c>
      <c r="AT38" s="73">
        <f>'Source VoT'!$D$37*VLOOKUP($B38,'Indirect tax correction'!$B$27:$I$127,7,FALSE)*VLOOKUP($B38,'Annual Parameters'!$B$33:$W$143,21,FALSE)/VLOOKUP('Source VoT'!$F$27,'Annual Parameters'!$B$33:$W$143,21,FALSE)*VLOOKUP($B$14,'Annual Parameters'!$B$33:$W$143,3,FALSE)/VLOOKUP('Source VoT'!$E$27,'Annual Parameters'!$B$33:$W$143,3,FALSE)</f>
        <v>11.31232506005647</v>
      </c>
      <c r="AU38" s="73">
        <f>'Source VoT'!$D$38*VLOOKUP($B38,'Indirect tax correction'!$B$27:$I$127,7,FALSE)*VLOOKUP($B38,'Annual Parameters'!$B$33:$W$143,21,FALSE)/VLOOKUP('Source VoT'!$F$27,'Annual Parameters'!$B$33:$W$143,21,FALSE)*VLOOKUP($B$14,'Annual Parameters'!$B$33:$W$143,3,FALSE)/VLOOKUP('Source VoT'!$E$27,'Annual Parameters'!$B$33:$W$143,3,FALSE)</f>
        <v>11.31232506005647</v>
      </c>
      <c r="AV38" s="73">
        <f>'Source VoT'!$D$39*VLOOKUP($B38,'Indirect tax correction'!$B$27:$I$127,7,FALSE)*VLOOKUP($B38,'Annual Parameters'!$B$33:$W$143,21,FALSE)/VLOOKUP('Source VoT'!$F$27,'Annual Parameters'!$B$33:$W$143,21,FALSE)*VLOOKUP($B$14,'Annual Parameters'!$B$33:$W$143,3,FALSE)/VLOOKUP('Source VoT'!$E$27,'Annual Parameters'!$B$33:$W$143,3,FALSE)</f>
        <v>19.962252812021152</v>
      </c>
      <c r="AW38" s="74">
        <f>'Source VoT'!$D$40*VLOOKUP($B38,'Indirect tax correction'!$B$27:$I$127,7,FALSE)*VLOOKUP($B38,'Annual Parameters'!$B$33:$W$143,21,FALSE)/VLOOKUP('Source VoT'!$F$27,'Annual Parameters'!$B$33:$W$143,21,FALSE)*VLOOKUP($B$14,'Annual Parameters'!$B$33:$W$143,3,FALSE)/VLOOKUP('Source VoT'!$E$27,'Annual Parameters'!$B$33:$W$143,3,FALSE)</f>
        <v>21.743448497960404</v>
      </c>
      <c r="AX38" s="73">
        <f>'Source VoT'!$D$45*VLOOKUP($B38,'Indirect tax correction'!$B$27:$I$127,8,FALSE)*VLOOKUP($B38,'Annual Parameters'!$B$33:$W$143,22,FALSE)/VLOOKUP('Source VoT'!$F$27,'Annual Parameters'!$B$33:$W$143,22,FALSE)*VLOOKUP($B$14,'Annual Parameters'!$B$33:$W$143,3,FALSE)/VLOOKUP('Source VoT'!$E$27,'Annual Parameters'!$B$33:$W$143,3,FALSE)</f>
        <v>11.232266183702631</v>
      </c>
      <c r="AY38" s="74">
        <f>'Source VoT'!$D$46*VLOOKUP($B38,'Indirect tax correction'!$B$27:$I$127,8,FALSE)*VLOOKUP($B38,'Annual Parameters'!$B$33:$W$143,22,FALSE)/VLOOKUP('Source VoT'!$F$27,'Annual Parameters'!$B$33:$W$143,22,FALSE)*VLOOKUP($B$14,'Annual Parameters'!$B$33:$W$143,3,FALSE)/VLOOKUP('Source VoT'!$E$27,'Annual Parameters'!$B$33:$W$143,3,FALSE)</f>
        <v>5.1267433679141288</v>
      </c>
      <c r="AZ38" s="2875"/>
      <c r="BA38" s="2875"/>
      <c r="BB38" s="2875"/>
      <c r="BC38" s="2875"/>
      <c r="BD38" s="2875"/>
      <c r="BE38" s="2875"/>
      <c r="BF38" s="2875"/>
      <c r="BG38" s="2875"/>
      <c r="BH38" s="2875"/>
    </row>
    <row r="39" spans="1:60" ht="13.5" customHeight="1">
      <c r="A39" s="90"/>
      <c r="B39" s="82">
        <f t="shared" si="0"/>
        <v>2022</v>
      </c>
      <c r="C39" s="82"/>
      <c r="D39" s="117">
        <f>'Source VoT'!$D$27*VLOOKUP($B39,'Indirect tax correction'!$B$27:$I$127,5,FALSE)*VLOOKUP($B39,'Annual Parameters'!$B$33:$W$143,21,FALSE)/VLOOKUP('Source VoT'!$F$27,'Annual Parameters'!$B$33:$W$143,21,FALSE)*VLOOKUP($B$14,'Annual Parameters'!$B$33:$W$143,3,FALSE)/VLOOKUP('Source VoT'!$E$27,'Annual Parameters'!$B$33:$W$143,3,FALSE)</f>
        <v>16.957066114191864</v>
      </c>
      <c r="E39" s="73">
        <f>'Source VoT'!$D$28*VLOOKUP($B39,'Indirect tax correction'!$B$27:$I$127,5,FALSE)*VLOOKUP($B39,'Annual Parameters'!$B$33:$W$143,21,FALSE)/VLOOKUP('Source VoT'!$F$27,'Annual Parameters'!$B$33:$W$143,21,FALSE)*VLOOKUP($B$14,'Annual Parameters'!$B$33:$W$143,3,FALSE)/VLOOKUP('Source VoT'!$E$27,'Annual Parameters'!$B$33:$W$143,3,FALSE)</f>
        <v>16.957066114191864</v>
      </c>
      <c r="F39" s="73">
        <f>'Source VoT'!$D$29*VLOOKUP($B39,'Indirect tax correction'!$B$27:$I$127,5,FALSE)*VLOOKUP($B39,'Annual Parameters'!$B$33:$W$143,21,FALSE)/VLOOKUP('Source VoT'!$F$27,'Annual Parameters'!$B$33:$W$143,21,FALSE)*VLOOKUP($B$14,'Annual Parameters'!$B$33:$W$143,3,FALSE)/VLOOKUP('Source VoT'!$E$27,'Annual Parameters'!$B$33:$W$143,3,FALSE)</f>
        <v>11.676250075741873</v>
      </c>
      <c r="G39" s="73">
        <f>'Source VoT'!$D$30*VLOOKUP($B39,'Indirect tax correction'!$B$27:$I$127,5,FALSE)*VLOOKUP($B39,'Annual Parameters'!$B$33:$W$143,21,FALSE)/VLOOKUP('Source VoT'!$F$27,'Annual Parameters'!$B$33:$W$143,21,FALSE)*VLOOKUP($B$14,'Annual Parameters'!$B$33:$W$143,3,FALSE)/VLOOKUP('Source VoT'!$E$27,'Annual Parameters'!$B$33:$W$143,3,FALSE)</f>
        <v>13.757433538316233</v>
      </c>
      <c r="H39" s="73">
        <f>'Source VoT'!$D$31*VLOOKUP($B39,'Indirect tax correction'!$B$27:$I$127,5,FALSE)*VLOOKUP($B39,'Annual Parameters'!$B$33:$W$143,21,FALSE)/VLOOKUP('Source VoT'!$F$27,'Annual Parameters'!$B$33:$W$143,21,FALSE)*VLOOKUP($B$14,'Annual Parameters'!$B$33:$W$143,3,FALSE)/VLOOKUP('Source VoT'!$E$27,'Annual Parameters'!$B$33:$W$143,3,FALSE)</f>
        <v>14.054745461541142</v>
      </c>
      <c r="I39" s="73">
        <f>'Source VoT'!$D$32*VLOOKUP($B39,'Indirect tax correction'!$B$27:$I$127,5,FALSE)*VLOOKUP($B39,'Annual Parameters'!$B$33:$W$143,21,FALSE)/VLOOKUP('Source VoT'!$F$27,'Annual Parameters'!$B$33:$W$143,21,FALSE)*VLOOKUP($B$14,'Annual Parameters'!$B$33:$W$143,3,FALSE)/VLOOKUP('Source VoT'!$E$27,'Annual Parameters'!$B$33:$W$143,3,FALSE)</f>
        <v>9.6093284538051602</v>
      </c>
      <c r="J39" s="73">
        <f>'Source VoT'!$D$33*VLOOKUP($B39,'Indirect tax correction'!$B$27:$I$127,5,FALSE)*VLOOKUP($B39,'Annual Parameters'!$B$33:$W$143,21,FALSE)/VLOOKUP('Source VoT'!$F$27,'Annual Parameters'!$B$33:$W$143,21,FALSE)*VLOOKUP($B$14,'Annual Parameters'!$B$33:$W$143,3,FALSE)/VLOOKUP('Source VoT'!$E$27,'Annual Parameters'!$B$33:$W$143,3,FALSE)</f>
        <v>12.419529883804145</v>
      </c>
      <c r="K39" s="73">
        <f>'Source VoT'!$D$34*VLOOKUP($B39,'Indirect tax correction'!$B$27:$I$127,5,FALSE)*VLOOKUP($B39,'Annual Parameters'!$B$33:$W$143,21,FALSE)/VLOOKUP('Source VoT'!$F$27,'Annual Parameters'!$B$33:$W$143,21,FALSE)*VLOOKUP($B$14,'Annual Parameters'!$B$33:$W$143,3,FALSE)/VLOOKUP('Source VoT'!$E$27,'Annual Parameters'!$B$33:$W$143,3,FALSE)</f>
        <v>16.957066114191864</v>
      </c>
      <c r="L39" s="73">
        <f>'Source VoT'!$D$35*VLOOKUP($B39,'Indirect tax correction'!$B$27:$I$127,5,FALSE)*VLOOKUP($B39,'Annual Parameters'!$B$33:$W$143,21,FALSE)/VLOOKUP('Source VoT'!$F$27,'Annual Parameters'!$B$33:$W$143,21,FALSE)*VLOOKUP($B$14,'Annual Parameters'!$B$33:$W$143,3,FALSE)/VLOOKUP('Source VoT'!$E$27,'Annual Parameters'!$B$33:$W$143,3,FALSE)</f>
        <v>27.970890587938797</v>
      </c>
      <c r="M39" s="73">
        <f>'Source VoT'!$D$36*VLOOKUP($B39,'Indirect tax correction'!$B$27:$I$127,5,FALSE)*VLOOKUP($B39,'Annual Parameters'!$B$33:$W$143,21,FALSE)/VLOOKUP('Source VoT'!$F$27,'Annual Parameters'!$B$33:$W$143,21,FALSE)*VLOOKUP($B$14,'Annual Parameters'!$B$33:$W$143,3,FALSE)/VLOOKUP('Source VoT'!$E$27,'Annual Parameters'!$B$33:$W$143,3,FALSE)</f>
        <v>9.6093284538051602</v>
      </c>
      <c r="N39" s="73">
        <f>'Source VoT'!$D$37*VLOOKUP($B39,'Indirect tax correction'!$B$27:$I$127,5,FALSE)*VLOOKUP($B39,'Annual Parameters'!$B$33:$W$143,21,FALSE)/VLOOKUP('Source VoT'!$F$27,'Annual Parameters'!$B$33:$W$143,21,FALSE)*VLOOKUP($B$14,'Annual Parameters'!$B$33:$W$143,3,FALSE)/VLOOKUP('Source VoT'!$E$27,'Annual Parameters'!$B$33:$W$143,3,FALSE)</f>
        <v>9.6093284538051602</v>
      </c>
      <c r="O39" s="73">
        <f>'Source VoT'!$D$38*VLOOKUP($B39,'Indirect tax correction'!$B$27:$I$127,5,FALSE)*VLOOKUP($B39,'Annual Parameters'!$B$33:$W$143,21,FALSE)/VLOOKUP('Source VoT'!$F$27,'Annual Parameters'!$B$33:$W$143,21,FALSE)*VLOOKUP($B$14,'Annual Parameters'!$B$33:$W$143,3,FALSE)/VLOOKUP('Source VoT'!$E$27,'Annual Parameters'!$B$33:$W$143,3,FALSE)</f>
        <v>9.6093284538051602</v>
      </c>
      <c r="P39" s="73">
        <f>'Source VoT'!$D$39*VLOOKUP($B39,'Indirect tax correction'!$B$27:$I$127,5,FALSE)*VLOOKUP($B39,'Annual Parameters'!$B$33:$W$143,21,FALSE)/VLOOKUP('Source VoT'!$F$27,'Annual Parameters'!$B$33:$W$143,21,FALSE)*VLOOKUP($B$14,'Annual Parameters'!$B$33:$W$143,3,FALSE)/VLOOKUP('Source VoT'!$E$27,'Annual Parameters'!$B$33:$W$143,3,FALSE)</f>
        <v>16.957066114191864</v>
      </c>
      <c r="Q39" s="74">
        <f>'Source VoT'!$D$40*VLOOKUP($B39,'Indirect tax correction'!$B$27:$I$127,5,FALSE)*VLOOKUP($B39,'Annual Parameters'!$B$33:$W$143,21,FALSE)/VLOOKUP('Source VoT'!$F$27,'Annual Parameters'!$B$33:$W$143,21,FALSE)*VLOOKUP($B$14,'Annual Parameters'!$B$33:$W$143,3,FALSE)/VLOOKUP('Source VoT'!$E$27,'Annual Parameters'!$B$33:$W$143,3,FALSE)</f>
        <v>18.470114430592133</v>
      </c>
      <c r="R39" s="73">
        <f>'Source VoT'!$D$45*VLOOKUP($B39,'Indirect tax correction'!$B$27:$I$127,6,FALSE)*VLOOKUP($B39,'Annual Parameters'!$B$33:$W$143,22,FALSE)/VLOOKUP('Source VoT'!$F$27,'Annual Parameters'!$B$33:$W$143,22,FALSE)*VLOOKUP($B$14,'Annual Parameters'!$B$33:$W$143,3,FALSE)/VLOOKUP('Source VoT'!$E$27,'Annual Parameters'!$B$33:$W$143,3,FALSE)</f>
        <v>9.5413219180627404</v>
      </c>
      <c r="S39" s="73">
        <f>'Source VoT'!$D$46*VLOOKUP($B39,'Indirect tax correction'!$B$27:$I$127,6,FALSE)*VLOOKUP($B39,'Annual Parameters'!$B$33:$W$143,22,FALSE)/VLOOKUP('Source VoT'!$F$27,'Annual Parameters'!$B$33:$W$143,22,FALSE)*VLOOKUP($B$14,'Annual Parameters'!$B$33:$W$143,3,FALSE)/VLOOKUP('Source VoT'!$E$27,'Annual Parameters'!$B$33:$W$143,3,FALSE)</f>
        <v>4.3549456596333194</v>
      </c>
      <c r="T39" s="117">
        <f>'Source VoT'!$D$27*1*VLOOKUP($B39,'Annual Parameters'!$B$33:$W$143,21,FALSE)/VLOOKUP('Source VoT'!$F$27,'Annual Parameters'!$B$33:$W$143,21,FALSE)*VLOOKUP($B$14,'Annual Parameters'!$B$33:$W$143,3,FALSE)/VLOOKUP('Source VoT'!$E$27,'Annual Parameters'!$B$33:$W$143,3,FALSE)</f>
        <v>16.957066114191864</v>
      </c>
      <c r="U39" s="73">
        <f>'Source VoT'!$D$28*1*VLOOKUP($B39,'Annual Parameters'!$B$33:$W$143,21,FALSE)/VLOOKUP('Source VoT'!$F$27,'Annual Parameters'!$B$33:$W$143,21,FALSE)*VLOOKUP($B$14,'Annual Parameters'!$B$33:$W$143,3,FALSE)/VLOOKUP('Source VoT'!$E$27,'Annual Parameters'!$B$33:$W$143,3,FALSE)</f>
        <v>16.957066114191864</v>
      </c>
      <c r="V39" s="73">
        <f>'Source VoT'!$D$29*1*VLOOKUP($B39,'Annual Parameters'!$B$33:$W$143,21,FALSE)/VLOOKUP('Source VoT'!$F$27,'Annual Parameters'!$B$33:$W$143,21,FALSE)*VLOOKUP($B$14,'Annual Parameters'!$B$33:$W$143,3,FALSE)/VLOOKUP('Source VoT'!$E$27,'Annual Parameters'!$B$33:$W$143,3,FALSE)</f>
        <v>11.676250075741873</v>
      </c>
      <c r="W39" s="73">
        <f>'Source VoT'!$D$30*1*VLOOKUP($B39,'Annual Parameters'!$B$33:$W$143,21,FALSE)/VLOOKUP('Source VoT'!$F$27,'Annual Parameters'!$B$33:$W$143,21,FALSE)*VLOOKUP($B$14,'Annual Parameters'!$B$33:$W$143,3,FALSE)/VLOOKUP('Source VoT'!$E$27,'Annual Parameters'!$B$33:$W$143,3,FALSE)</f>
        <v>13.757433538316233</v>
      </c>
      <c r="X39" s="73">
        <f>'Source VoT'!$D$31*1*VLOOKUP($B39,'Annual Parameters'!$B$33:$W$143,21,FALSE)/VLOOKUP('Source VoT'!$F$27,'Annual Parameters'!$B$33:$W$143,21,FALSE)*VLOOKUP($B$14,'Annual Parameters'!$B$33:$W$143,3,FALSE)/VLOOKUP('Source VoT'!$E$27,'Annual Parameters'!$B$33:$W$143,3,FALSE)</f>
        <v>14.054745461541142</v>
      </c>
      <c r="Y39" s="73">
        <f>'Source VoT'!$D$32*1*VLOOKUP($B39,'Annual Parameters'!$B$33:$W$143,21,FALSE)/VLOOKUP('Source VoT'!$F$27,'Annual Parameters'!$B$33:$W$143,21,FALSE)*VLOOKUP($B$14,'Annual Parameters'!$B$33:$W$143,3,FALSE)/VLOOKUP('Source VoT'!$E$27,'Annual Parameters'!$B$33:$W$143,3,FALSE)</f>
        <v>9.6093284538051602</v>
      </c>
      <c r="Z39" s="73">
        <f>'Source VoT'!$D$33*1*VLOOKUP($B39,'Annual Parameters'!$B$33:$W$143,21,FALSE)/VLOOKUP('Source VoT'!$F$27,'Annual Parameters'!$B$33:$W$143,21,FALSE)*VLOOKUP($B$14,'Annual Parameters'!$B$33:$W$143,3,FALSE)/VLOOKUP('Source VoT'!$E$27,'Annual Parameters'!$B$33:$W$143,3,FALSE)</f>
        <v>12.419529883804145</v>
      </c>
      <c r="AA39" s="73">
        <f>'Source VoT'!$D$34*1*VLOOKUP($B39,'Annual Parameters'!$B$33:$W$143,21,FALSE)/VLOOKUP('Source VoT'!$F$27,'Annual Parameters'!$B$33:$W$143,21,FALSE)*VLOOKUP($B$14,'Annual Parameters'!$B$33:$W$143,3,FALSE)/VLOOKUP('Source VoT'!$E$27,'Annual Parameters'!$B$33:$W$143,3,FALSE)</f>
        <v>16.957066114191864</v>
      </c>
      <c r="AB39" s="73">
        <f>'Source VoT'!$D$35*1*VLOOKUP($B39,'Annual Parameters'!$B$33:$W$143,21,FALSE)/VLOOKUP('Source VoT'!$F$27,'Annual Parameters'!$B$33:$W$143,21,FALSE)*VLOOKUP($B$14,'Annual Parameters'!$B$33:$W$143,3,FALSE)/VLOOKUP('Source VoT'!$E$27,'Annual Parameters'!$B$33:$W$143,3,FALSE)</f>
        <v>27.970890587938797</v>
      </c>
      <c r="AC39" s="73">
        <f>'Source VoT'!$D$36*1*VLOOKUP($B39,'Annual Parameters'!$B$33:$W$143,21,FALSE)/VLOOKUP('Source VoT'!$F$27,'Annual Parameters'!$B$33:$W$143,21,FALSE)*VLOOKUP($B$14,'Annual Parameters'!$B$33:$W$143,3,FALSE)/VLOOKUP('Source VoT'!$E$27,'Annual Parameters'!$B$33:$W$143,3,FALSE)</f>
        <v>9.6093284538051602</v>
      </c>
      <c r="AD39" s="73">
        <f>'Source VoT'!$D$37*1*VLOOKUP($B39,'Annual Parameters'!$B$33:$W$143,21,FALSE)/VLOOKUP('Source VoT'!$F$27,'Annual Parameters'!$B$33:$W$143,21,FALSE)*VLOOKUP($B$14,'Annual Parameters'!$B$33:$W$143,3,FALSE)/VLOOKUP('Source VoT'!$E$27,'Annual Parameters'!$B$33:$W$143,3,FALSE)</f>
        <v>9.6093284538051602</v>
      </c>
      <c r="AE39" s="73">
        <f>'Source VoT'!$D$38*1*VLOOKUP($B39,'Annual Parameters'!$B$33:$W$143,21,FALSE)/VLOOKUP('Source VoT'!$F$27,'Annual Parameters'!$B$33:$W$143,21,FALSE)*VLOOKUP($B$14,'Annual Parameters'!$B$33:$W$143,3,FALSE)/VLOOKUP('Source VoT'!$E$27,'Annual Parameters'!$B$33:$W$143,3,FALSE)</f>
        <v>9.6093284538051602</v>
      </c>
      <c r="AF39" s="73">
        <f>'Source VoT'!$D$39*1*VLOOKUP($B39,'Annual Parameters'!$B$33:$W$143,21,FALSE)/VLOOKUP('Source VoT'!$F$27,'Annual Parameters'!$B$33:$W$143,21,FALSE)*VLOOKUP($B$14,'Annual Parameters'!$B$33:$W$143,3,FALSE)/VLOOKUP('Source VoT'!$E$27,'Annual Parameters'!$B$33:$W$143,3,FALSE)</f>
        <v>16.957066114191864</v>
      </c>
      <c r="AG39" s="74">
        <f>'Source VoT'!$D$40*1*VLOOKUP($B39,'Annual Parameters'!$B$33:$W$143,21,FALSE)/VLOOKUP('Source VoT'!$F$27,'Annual Parameters'!$B$33:$W$143,21,FALSE)*VLOOKUP($B$14,'Annual Parameters'!$B$33:$W$143,3,FALSE)/VLOOKUP('Source VoT'!$E$27,'Annual Parameters'!$B$33:$W$143,3,FALSE)</f>
        <v>18.470114430592133</v>
      </c>
      <c r="AH39" s="73">
        <f>'Source VoT'!$D$45*1*VLOOKUP($B39,'Annual Parameters'!$B$33:$W$143,22,FALSE)/VLOOKUP('Source VoT'!$F$27,'Annual Parameters'!$B$33:$W$143,22,FALSE)*VLOOKUP($B$14,'Annual Parameters'!$B$33:$W$143,3,FALSE)/VLOOKUP('Source VoT'!$E$27,'Annual Parameters'!$B$33:$W$143,3,FALSE)</f>
        <v>11.354173082494661</v>
      </c>
      <c r="AI39" s="73">
        <f>'Source VoT'!$D$46*1*VLOOKUP($B39,'Annual Parameters'!$B$33:$W$143,22,FALSE)/VLOOKUP('Source VoT'!$F$27,'Annual Parameters'!$B$33:$W$143,22,FALSE)*VLOOKUP($B$14,'Annual Parameters'!$B$33:$W$143,3,FALSE)/VLOOKUP('Source VoT'!$E$27,'Annual Parameters'!$B$33:$W$143,3,FALSE)</f>
        <v>5.1823853349636488</v>
      </c>
      <c r="AJ39" s="117">
        <f>'Source VoT'!$D$27*VLOOKUP($B39,'Indirect tax correction'!$B$27:$I$127,7,FALSE)*VLOOKUP($B39,'Annual Parameters'!$B$33:$W$143,21,FALSE)/VLOOKUP('Source VoT'!$F$27,'Annual Parameters'!$B$33:$W$143,21,FALSE)*VLOOKUP($B$14,'Annual Parameters'!$B$33:$W$143,3,FALSE)/VLOOKUP('Source VoT'!$E$27,'Annual Parameters'!$B$33:$W$143,3,FALSE)</f>
        <v>20.178908675888316</v>
      </c>
      <c r="AK39" s="73">
        <f>'Source VoT'!$D$28*VLOOKUP($B39,'Indirect tax correction'!$B$27:$I$127,7,FALSE)*VLOOKUP($B39,'Annual Parameters'!$B$33:$W$143,21,FALSE)/VLOOKUP('Source VoT'!$F$27,'Annual Parameters'!$B$33:$W$143,21,FALSE)*VLOOKUP($B$14,'Annual Parameters'!$B$33:$W$143,3,FALSE)/VLOOKUP('Source VoT'!$E$27,'Annual Parameters'!$B$33:$W$143,3,FALSE)</f>
        <v>20.178908675888316</v>
      </c>
      <c r="AL39" s="73">
        <f>'Source VoT'!$D$29*VLOOKUP($B39,'Indirect tax correction'!$B$27:$I$127,7,FALSE)*VLOOKUP($B39,'Annual Parameters'!$B$33:$W$143,21,FALSE)/VLOOKUP('Source VoT'!$F$27,'Annual Parameters'!$B$33:$W$143,21,FALSE)*VLOOKUP($B$14,'Annual Parameters'!$B$33:$W$143,3,FALSE)/VLOOKUP('Source VoT'!$E$27,'Annual Parameters'!$B$33:$W$143,3,FALSE)</f>
        <v>13.894737590132829</v>
      </c>
      <c r="AM39" s="73">
        <f>'Source VoT'!$D$30*VLOOKUP($B39,'Indirect tax correction'!$B$27:$I$127,7,FALSE)*VLOOKUP($B39,'Annual Parameters'!$B$33:$W$143,21,FALSE)/VLOOKUP('Source VoT'!$F$27,'Annual Parameters'!$B$33:$W$143,21,FALSE)*VLOOKUP($B$14,'Annual Parameters'!$B$33:$W$143,3,FALSE)/VLOOKUP('Source VoT'!$E$27,'Annual Parameters'!$B$33:$W$143,3,FALSE)</f>
        <v>16.371345910596315</v>
      </c>
      <c r="AN39" s="73">
        <f>'Source VoT'!$D$31*VLOOKUP($B39,'Indirect tax correction'!$B$27:$I$127,7,FALSE)*VLOOKUP($B39,'Annual Parameters'!$B$33:$W$143,21,FALSE)/VLOOKUP('Source VoT'!$F$27,'Annual Parameters'!$B$33:$W$143,21,FALSE)*VLOOKUP($B$14,'Annual Parameters'!$B$33:$W$143,3,FALSE)/VLOOKUP('Source VoT'!$E$27,'Annual Parameters'!$B$33:$W$143,3,FALSE)</f>
        <v>16.725147099233961</v>
      </c>
      <c r="AO39" s="73">
        <f>'Source VoT'!$D$32*VLOOKUP($B39,'Indirect tax correction'!$B$27:$I$127,7,FALSE)*VLOOKUP($B39,'Annual Parameters'!$B$33:$W$143,21,FALSE)/VLOOKUP('Source VoT'!$F$27,'Annual Parameters'!$B$33:$W$143,21,FALSE)*VLOOKUP($B$14,'Annual Parameters'!$B$33:$W$143,3,FALSE)/VLOOKUP('Source VoT'!$E$27,'Annual Parameters'!$B$33:$W$143,3,FALSE)</f>
        <v>11.43510086002814</v>
      </c>
      <c r="AP39" s="73">
        <f>'Source VoT'!$D$33*VLOOKUP($B39,'Indirect tax correction'!$B$27:$I$127,7,FALSE)*VLOOKUP($B39,'Annual Parameters'!$B$33:$W$143,21,FALSE)/VLOOKUP('Source VoT'!$F$27,'Annual Parameters'!$B$33:$W$143,21,FALSE)*VLOOKUP($B$14,'Annual Parameters'!$B$33:$W$143,3,FALSE)/VLOOKUP('Source VoT'!$E$27,'Annual Parameters'!$B$33:$W$143,3,FALSE)</f>
        <v>14.77924056172693</v>
      </c>
      <c r="AQ39" s="73">
        <f>'Source VoT'!$D$34*VLOOKUP($B39,'Indirect tax correction'!$B$27:$I$127,7,FALSE)*VLOOKUP($B39,'Annual Parameters'!$B$33:$W$143,21,FALSE)/VLOOKUP('Source VoT'!$F$27,'Annual Parameters'!$B$33:$W$143,21,FALSE)*VLOOKUP($B$14,'Annual Parameters'!$B$33:$W$143,3,FALSE)/VLOOKUP('Source VoT'!$E$27,'Annual Parameters'!$B$33:$W$143,3,FALSE)</f>
        <v>20.178908675888316</v>
      </c>
      <c r="AR39" s="73">
        <f>'Source VoT'!$D$35*VLOOKUP($B39,'Indirect tax correction'!$B$27:$I$127,7,FALSE)*VLOOKUP($B39,'Annual Parameters'!$B$33:$W$143,21,FALSE)/VLOOKUP('Source VoT'!$F$27,'Annual Parameters'!$B$33:$W$143,21,FALSE)*VLOOKUP($B$14,'Annual Parameters'!$B$33:$W$143,3,FALSE)/VLOOKUP('Source VoT'!$E$27,'Annual Parameters'!$B$33:$W$143,3,FALSE)</f>
        <v>33.285359799647168</v>
      </c>
      <c r="AS39" s="73">
        <f>'Source VoT'!$D$36*VLOOKUP($B39,'Indirect tax correction'!$B$27:$I$127,7,FALSE)*VLOOKUP($B39,'Annual Parameters'!$B$33:$W$143,21,FALSE)/VLOOKUP('Source VoT'!$F$27,'Annual Parameters'!$B$33:$W$143,21,FALSE)*VLOOKUP($B$14,'Annual Parameters'!$B$33:$W$143,3,FALSE)/VLOOKUP('Source VoT'!$E$27,'Annual Parameters'!$B$33:$W$143,3,FALSE)</f>
        <v>11.43510086002814</v>
      </c>
      <c r="AT39" s="73">
        <f>'Source VoT'!$D$37*VLOOKUP($B39,'Indirect tax correction'!$B$27:$I$127,7,FALSE)*VLOOKUP($B39,'Annual Parameters'!$B$33:$W$143,21,FALSE)/VLOOKUP('Source VoT'!$F$27,'Annual Parameters'!$B$33:$W$143,21,FALSE)*VLOOKUP($B$14,'Annual Parameters'!$B$33:$W$143,3,FALSE)/VLOOKUP('Source VoT'!$E$27,'Annual Parameters'!$B$33:$W$143,3,FALSE)</f>
        <v>11.43510086002814</v>
      </c>
      <c r="AU39" s="73">
        <f>'Source VoT'!$D$38*VLOOKUP($B39,'Indirect tax correction'!$B$27:$I$127,7,FALSE)*VLOOKUP($B39,'Annual Parameters'!$B$33:$W$143,21,FALSE)/VLOOKUP('Source VoT'!$F$27,'Annual Parameters'!$B$33:$W$143,21,FALSE)*VLOOKUP($B$14,'Annual Parameters'!$B$33:$W$143,3,FALSE)/VLOOKUP('Source VoT'!$E$27,'Annual Parameters'!$B$33:$W$143,3,FALSE)</f>
        <v>11.43510086002814</v>
      </c>
      <c r="AV39" s="73">
        <f>'Source VoT'!$D$39*VLOOKUP($B39,'Indirect tax correction'!$B$27:$I$127,7,FALSE)*VLOOKUP($B39,'Annual Parameters'!$B$33:$W$143,21,FALSE)/VLOOKUP('Source VoT'!$F$27,'Annual Parameters'!$B$33:$W$143,21,FALSE)*VLOOKUP($B$14,'Annual Parameters'!$B$33:$W$143,3,FALSE)/VLOOKUP('Source VoT'!$E$27,'Annual Parameters'!$B$33:$W$143,3,FALSE)</f>
        <v>20.178908675888316</v>
      </c>
      <c r="AW39" s="74">
        <f>'Source VoT'!$D$40*VLOOKUP($B39,'Indirect tax correction'!$B$27:$I$127,7,FALSE)*VLOOKUP($B39,'Annual Parameters'!$B$33:$W$143,21,FALSE)/VLOOKUP('Source VoT'!$F$27,'Annual Parameters'!$B$33:$W$143,21,FALSE)*VLOOKUP($B$14,'Annual Parameters'!$B$33:$W$143,3,FALSE)/VLOOKUP('Source VoT'!$E$27,'Annual Parameters'!$B$33:$W$143,3,FALSE)</f>
        <v>21.97943617240464</v>
      </c>
      <c r="AX39" s="73">
        <f>'Source VoT'!$D$45*VLOOKUP($B39,'Indirect tax correction'!$B$27:$I$127,8,FALSE)*VLOOKUP($B39,'Annual Parameters'!$B$33:$W$143,22,FALSE)/VLOOKUP('Source VoT'!$F$27,'Annual Parameters'!$B$33:$W$143,22,FALSE)*VLOOKUP($B$14,'Annual Parameters'!$B$33:$W$143,3,FALSE)/VLOOKUP('Source VoT'!$E$27,'Annual Parameters'!$B$33:$W$143,3,FALSE)</f>
        <v>11.354173082494661</v>
      </c>
      <c r="AY39" s="74">
        <f>'Source VoT'!$D$46*VLOOKUP($B39,'Indirect tax correction'!$B$27:$I$127,8,FALSE)*VLOOKUP($B39,'Annual Parameters'!$B$33:$W$143,22,FALSE)/VLOOKUP('Source VoT'!$F$27,'Annual Parameters'!$B$33:$W$143,22,FALSE)*VLOOKUP($B$14,'Annual Parameters'!$B$33:$W$143,3,FALSE)/VLOOKUP('Source VoT'!$E$27,'Annual Parameters'!$B$33:$W$143,3,FALSE)</f>
        <v>5.1823853349636488</v>
      </c>
      <c r="AZ39" s="2875"/>
      <c r="BA39" s="2875"/>
      <c r="BB39" s="2875"/>
      <c r="BC39" s="2875"/>
      <c r="BD39" s="2875"/>
      <c r="BE39" s="2875"/>
      <c r="BF39" s="2875"/>
      <c r="BG39" s="2875"/>
    </row>
    <row r="40" spans="1:60" ht="13.5" customHeight="1">
      <c r="A40" s="90"/>
      <c r="B40" s="82">
        <f t="shared" si="0"/>
        <v>2023</v>
      </c>
      <c r="C40" s="82"/>
      <c r="D40" s="117">
        <f>'Source VoT'!$D$27*VLOOKUP($B40,'Indirect tax correction'!$B$27:$I$127,5,FALSE)*VLOOKUP($B40,'Annual Parameters'!$B$33:$W$143,21,FALSE)/VLOOKUP('Source VoT'!$F$27,'Annual Parameters'!$B$33:$W$143,21,FALSE)*VLOOKUP($B$14,'Annual Parameters'!$B$33:$W$143,3,FALSE)/VLOOKUP('Source VoT'!$E$27,'Annual Parameters'!$B$33:$W$143,3,FALSE)</f>
        <v>17.144788843702642</v>
      </c>
      <c r="E40" s="73">
        <f>'Source VoT'!$D$28*VLOOKUP($B40,'Indirect tax correction'!$B$27:$I$127,5,FALSE)*VLOOKUP($B40,'Annual Parameters'!$B$33:$W$143,21,FALSE)/VLOOKUP('Source VoT'!$F$27,'Annual Parameters'!$B$33:$W$143,21,FALSE)*VLOOKUP($B$14,'Annual Parameters'!$B$33:$W$143,3,FALSE)/VLOOKUP('Source VoT'!$E$27,'Annual Parameters'!$B$33:$W$143,3,FALSE)</f>
        <v>17.144788843702642</v>
      </c>
      <c r="F40" s="73">
        <f>'Source VoT'!$D$29*VLOOKUP($B40,'Indirect tax correction'!$B$27:$I$127,5,FALSE)*VLOOKUP($B40,'Annual Parameters'!$B$33:$W$143,21,FALSE)/VLOOKUP('Source VoT'!$F$27,'Annual Parameters'!$B$33:$W$143,21,FALSE)*VLOOKUP($B$14,'Annual Parameters'!$B$33:$W$143,3,FALSE)/VLOOKUP('Source VoT'!$E$27,'Annual Parameters'!$B$33:$W$143,3,FALSE)</f>
        <v>11.805511677949948</v>
      </c>
      <c r="G40" s="73">
        <f>'Source VoT'!$D$30*VLOOKUP($B40,'Indirect tax correction'!$B$27:$I$127,5,FALSE)*VLOOKUP($B40,'Annual Parameters'!$B$33:$W$143,21,FALSE)/VLOOKUP('Source VoT'!$F$27,'Annual Parameters'!$B$33:$W$143,21,FALSE)*VLOOKUP($B$14,'Annual Parameters'!$B$33:$W$143,3,FALSE)/VLOOKUP('Source VoT'!$E$27,'Annual Parameters'!$B$33:$W$143,3,FALSE)</f>
        <v>13.90973482425121</v>
      </c>
      <c r="H40" s="73">
        <f>'Source VoT'!$D$31*VLOOKUP($B40,'Indirect tax correction'!$B$27:$I$127,5,FALSE)*VLOOKUP($B40,'Annual Parameters'!$B$33:$W$143,21,FALSE)/VLOOKUP('Source VoT'!$F$27,'Annual Parameters'!$B$33:$W$143,21,FALSE)*VLOOKUP($B$14,'Annual Parameters'!$B$33:$W$143,3,FALSE)/VLOOKUP('Source VoT'!$E$27,'Annual Parameters'!$B$33:$W$143,3,FALSE)</f>
        <v>14.210338130865679</v>
      </c>
      <c r="I40" s="73">
        <f>'Source VoT'!$D$32*VLOOKUP($B40,'Indirect tax correction'!$B$27:$I$127,5,FALSE)*VLOOKUP($B40,'Annual Parameters'!$B$33:$W$143,21,FALSE)/VLOOKUP('Source VoT'!$F$27,'Annual Parameters'!$B$33:$W$143,21,FALSE)*VLOOKUP($B$14,'Annual Parameters'!$B$33:$W$143,3,FALSE)/VLOOKUP('Source VoT'!$E$27,'Annual Parameters'!$B$33:$W$143,3,FALSE)</f>
        <v>9.7157082575970541</v>
      </c>
      <c r="J40" s="73">
        <f>'Source VoT'!$D$33*VLOOKUP($B40,'Indirect tax correction'!$B$27:$I$127,5,FALSE)*VLOOKUP($B40,'Annual Parameters'!$B$33:$W$143,21,FALSE)/VLOOKUP('Source VoT'!$F$27,'Annual Parameters'!$B$33:$W$143,21,FALSE)*VLOOKUP($B$14,'Annual Parameters'!$B$33:$W$143,3,FALSE)/VLOOKUP('Source VoT'!$E$27,'Annual Parameters'!$B$33:$W$143,3,FALSE)</f>
        <v>12.557019944486113</v>
      </c>
      <c r="K40" s="73">
        <f>'Source VoT'!$D$34*VLOOKUP($B40,'Indirect tax correction'!$B$27:$I$127,5,FALSE)*VLOOKUP($B40,'Annual Parameters'!$B$33:$W$143,21,FALSE)/VLOOKUP('Source VoT'!$F$27,'Annual Parameters'!$B$33:$W$143,21,FALSE)*VLOOKUP($B$14,'Annual Parameters'!$B$33:$W$143,3,FALSE)/VLOOKUP('Source VoT'!$E$27,'Annual Parameters'!$B$33:$W$143,3,FALSE)</f>
        <v>17.144788843702642</v>
      </c>
      <c r="L40" s="73">
        <f>'Source VoT'!$D$35*VLOOKUP($B40,'Indirect tax correction'!$B$27:$I$127,5,FALSE)*VLOOKUP($B40,'Annual Parameters'!$B$33:$W$143,21,FALSE)/VLOOKUP('Source VoT'!$F$27,'Annual Parameters'!$B$33:$W$143,21,FALSE)*VLOOKUP($B$14,'Annual Parameters'!$B$33:$W$143,3,FALSE)/VLOOKUP('Source VoT'!$E$27,'Annual Parameters'!$B$33:$W$143,3,FALSE)</f>
        <v>28.280541555426659</v>
      </c>
      <c r="M40" s="73">
        <f>'Source VoT'!$D$36*VLOOKUP($B40,'Indirect tax correction'!$B$27:$I$127,5,FALSE)*VLOOKUP($B40,'Annual Parameters'!$B$33:$W$143,21,FALSE)/VLOOKUP('Source VoT'!$F$27,'Annual Parameters'!$B$33:$W$143,21,FALSE)*VLOOKUP($B$14,'Annual Parameters'!$B$33:$W$143,3,FALSE)/VLOOKUP('Source VoT'!$E$27,'Annual Parameters'!$B$33:$W$143,3,FALSE)</f>
        <v>9.7157082575970541</v>
      </c>
      <c r="N40" s="73">
        <f>'Source VoT'!$D$37*VLOOKUP($B40,'Indirect tax correction'!$B$27:$I$127,5,FALSE)*VLOOKUP($B40,'Annual Parameters'!$B$33:$W$143,21,FALSE)/VLOOKUP('Source VoT'!$F$27,'Annual Parameters'!$B$33:$W$143,21,FALSE)*VLOOKUP($B$14,'Annual Parameters'!$B$33:$W$143,3,FALSE)/VLOOKUP('Source VoT'!$E$27,'Annual Parameters'!$B$33:$W$143,3,FALSE)</f>
        <v>9.7157082575970541</v>
      </c>
      <c r="O40" s="73">
        <f>'Source VoT'!$D$38*VLOOKUP($B40,'Indirect tax correction'!$B$27:$I$127,5,FALSE)*VLOOKUP($B40,'Annual Parameters'!$B$33:$W$143,21,FALSE)/VLOOKUP('Source VoT'!$F$27,'Annual Parameters'!$B$33:$W$143,21,FALSE)*VLOOKUP($B$14,'Annual Parameters'!$B$33:$W$143,3,FALSE)/VLOOKUP('Source VoT'!$E$27,'Annual Parameters'!$B$33:$W$143,3,FALSE)</f>
        <v>9.7157082575970541</v>
      </c>
      <c r="P40" s="73">
        <f>'Source VoT'!$D$39*VLOOKUP($B40,'Indirect tax correction'!$B$27:$I$127,5,FALSE)*VLOOKUP($B40,'Annual Parameters'!$B$33:$W$143,21,FALSE)/VLOOKUP('Source VoT'!$F$27,'Annual Parameters'!$B$33:$W$143,21,FALSE)*VLOOKUP($B$14,'Annual Parameters'!$B$33:$W$143,3,FALSE)/VLOOKUP('Source VoT'!$E$27,'Annual Parameters'!$B$33:$W$143,3,FALSE)</f>
        <v>17.144788843702642</v>
      </c>
      <c r="Q40" s="74">
        <f>'Source VoT'!$D$40*VLOOKUP($B40,'Indirect tax correction'!$B$27:$I$127,5,FALSE)*VLOOKUP($B40,'Annual Parameters'!$B$33:$W$143,21,FALSE)/VLOOKUP('Source VoT'!$F$27,'Annual Parameters'!$B$33:$W$143,21,FALSE)*VLOOKUP($B$14,'Annual Parameters'!$B$33:$W$143,3,FALSE)/VLOOKUP('Source VoT'!$E$27,'Annual Parameters'!$B$33:$W$143,3,FALSE)</f>
        <v>18.674587319471495</v>
      </c>
      <c r="R40" s="73">
        <f>'Source VoT'!$D$45*VLOOKUP($B40,'Indirect tax correction'!$B$27:$I$127,6,FALSE)*VLOOKUP($B40,'Annual Parameters'!$B$33:$W$143,22,FALSE)/VLOOKUP('Source VoT'!$F$27,'Annual Parameters'!$B$33:$W$143,22,FALSE)*VLOOKUP($B$14,'Annual Parameters'!$B$33:$W$143,3,FALSE)/VLOOKUP('Source VoT'!$E$27,'Annual Parameters'!$B$33:$W$143,3,FALSE)</f>
        <v>9.6469488573892743</v>
      </c>
      <c r="S40" s="73">
        <f>'Source VoT'!$D$46*VLOOKUP($B40,'Indirect tax correction'!$B$27:$I$127,6,FALSE)*VLOOKUP($B40,'Annual Parameters'!$B$33:$W$143,22,FALSE)/VLOOKUP('Source VoT'!$F$27,'Annual Parameters'!$B$33:$W$143,22,FALSE)*VLOOKUP($B$14,'Annual Parameters'!$B$33:$W$143,3,FALSE)/VLOOKUP('Source VoT'!$E$27,'Annual Parameters'!$B$33:$W$143,3,FALSE)</f>
        <v>4.4031569646192255</v>
      </c>
      <c r="T40" s="117">
        <f>'Source VoT'!$D$27*1*VLOOKUP($B40,'Annual Parameters'!$B$33:$W$143,21,FALSE)/VLOOKUP('Source VoT'!$F$27,'Annual Parameters'!$B$33:$W$143,21,FALSE)*VLOOKUP($B$14,'Annual Parameters'!$B$33:$W$143,3,FALSE)/VLOOKUP('Source VoT'!$E$27,'Annual Parameters'!$B$33:$W$143,3,FALSE)</f>
        <v>17.144788843702642</v>
      </c>
      <c r="U40" s="73">
        <f>'Source VoT'!$D$28*1*VLOOKUP($B40,'Annual Parameters'!$B$33:$W$143,21,FALSE)/VLOOKUP('Source VoT'!$F$27,'Annual Parameters'!$B$33:$W$143,21,FALSE)*VLOOKUP($B$14,'Annual Parameters'!$B$33:$W$143,3,FALSE)/VLOOKUP('Source VoT'!$E$27,'Annual Parameters'!$B$33:$W$143,3,FALSE)</f>
        <v>17.144788843702642</v>
      </c>
      <c r="V40" s="73">
        <f>'Source VoT'!$D$29*1*VLOOKUP($B40,'Annual Parameters'!$B$33:$W$143,21,FALSE)/VLOOKUP('Source VoT'!$F$27,'Annual Parameters'!$B$33:$W$143,21,FALSE)*VLOOKUP($B$14,'Annual Parameters'!$B$33:$W$143,3,FALSE)/VLOOKUP('Source VoT'!$E$27,'Annual Parameters'!$B$33:$W$143,3,FALSE)</f>
        <v>11.805511677949948</v>
      </c>
      <c r="W40" s="73">
        <f>'Source VoT'!$D$30*1*VLOOKUP($B40,'Annual Parameters'!$B$33:$W$143,21,FALSE)/VLOOKUP('Source VoT'!$F$27,'Annual Parameters'!$B$33:$W$143,21,FALSE)*VLOOKUP($B$14,'Annual Parameters'!$B$33:$W$143,3,FALSE)/VLOOKUP('Source VoT'!$E$27,'Annual Parameters'!$B$33:$W$143,3,FALSE)</f>
        <v>13.90973482425121</v>
      </c>
      <c r="X40" s="73">
        <f>'Source VoT'!$D$31*1*VLOOKUP($B40,'Annual Parameters'!$B$33:$W$143,21,FALSE)/VLOOKUP('Source VoT'!$F$27,'Annual Parameters'!$B$33:$W$143,21,FALSE)*VLOOKUP($B$14,'Annual Parameters'!$B$33:$W$143,3,FALSE)/VLOOKUP('Source VoT'!$E$27,'Annual Parameters'!$B$33:$W$143,3,FALSE)</f>
        <v>14.210338130865679</v>
      </c>
      <c r="Y40" s="73">
        <f>'Source VoT'!$D$32*1*VLOOKUP($B40,'Annual Parameters'!$B$33:$W$143,21,FALSE)/VLOOKUP('Source VoT'!$F$27,'Annual Parameters'!$B$33:$W$143,21,FALSE)*VLOOKUP($B$14,'Annual Parameters'!$B$33:$W$143,3,FALSE)/VLOOKUP('Source VoT'!$E$27,'Annual Parameters'!$B$33:$W$143,3,FALSE)</f>
        <v>9.7157082575970541</v>
      </c>
      <c r="Z40" s="73">
        <f>'Source VoT'!$D$33*1*VLOOKUP($B40,'Annual Parameters'!$B$33:$W$143,21,FALSE)/VLOOKUP('Source VoT'!$F$27,'Annual Parameters'!$B$33:$W$143,21,FALSE)*VLOOKUP($B$14,'Annual Parameters'!$B$33:$W$143,3,FALSE)/VLOOKUP('Source VoT'!$E$27,'Annual Parameters'!$B$33:$W$143,3,FALSE)</f>
        <v>12.557019944486113</v>
      </c>
      <c r="AA40" s="73">
        <f>'Source VoT'!$D$34*1*VLOOKUP($B40,'Annual Parameters'!$B$33:$W$143,21,FALSE)/VLOOKUP('Source VoT'!$F$27,'Annual Parameters'!$B$33:$W$143,21,FALSE)*VLOOKUP($B$14,'Annual Parameters'!$B$33:$W$143,3,FALSE)/VLOOKUP('Source VoT'!$E$27,'Annual Parameters'!$B$33:$W$143,3,FALSE)</f>
        <v>17.144788843702642</v>
      </c>
      <c r="AB40" s="73">
        <f>'Source VoT'!$D$35*1*VLOOKUP($B40,'Annual Parameters'!$B$33:$W$143,21,FALSE)/VLOOKUP('Source VoT'!$F$27,'Annual Parameters'!$B$33:$W$143,21,FALSE)*VLOOKUP($B$14,'Annual Parameters'!$B$33:$W$143,3,FALSE)/VLOOKUP('Source VoT'!$E$27,'Annual Parameters'!$B$33:$W$143,3,FALSE)</f>
        <v>28.280541555426659</v>
      </c>
      <c r="AC40" s="73">
        <f>'Source VoT'!$D$36*1*VLOOKUP($B40,'Annual Parameters'!$B$33:$W$143,21,FALSE)/VLOOKUP('Source VoT'!$F$27,'Annual Parameters'!$B$33:$W$143,21,FALSE)*VLOOKUP($B$14,'Annual Parameters'!$B$33:$W$143,3,FALSE)/VLOOKUP('Source VoT'!$E$27,'Annual Parameters'!$B$33:$W$143,3,FALSE)</f>
        <v>9.7157082575970541</v>
      </c>
      <c r="AD40" s="73">
        <f>'Source VoT'!$D$37*1*VLOOKUP($B40,'Annual Parameters'!$B$33:$W$143,21,FALSE)/VLOOKUP('Source VoT'!$F$27,'Annual Parameters'!$B$33:$W$143,21,FALSE)*VLOOKUP($B$14,'Annual Parameters'!$B$33:$W$143,3,FALSE)/VLOOKUP('Source VoT'!$E$27,'Annual Parameters'!$B$33:$W$143,3,FALSE)</f>
        <v>9.7157082575970541</v>
      </c>
      <c r="AE40" s="73">
        <f>'Source VoT'!$D$38*1*VLOOKUP($B40,'Annual Parameters'!$B$33:$W$143,21,FALSE)/VLOOKUP('Source VoT'!$F$27,'Annual Parameters'!$B$33:$W$143,21,FALSE)*VLOOKUP($B$14,'Annual Parameters'!$B$33:$W$143,3,FALSE)/VLOOKUP('Source VoT'!$E$27,'Annual Parameters'!$B$33:$W$143,3,FALSE)</f>
        <v>9.7157082575970541</v>
      </c>
      <c r="AF40" s="73">
        <f>'Source VoT'!$D$39*1*VLOOKUP($B40,'Annual Parameters'!$B$33:$W$143,21,FALSE)/VLOOKUP('Source VoT'!$F$27,'Annual Parameters'!$B$33:$W$143,21,FALSE)*VLOOKUP($B$14,'Annual Parameters'!$B$33:$W$143,3,FALSE)/VLOOKUP('Source VoT'!$E$27,'Annual Parameters'!$B$33:$W$143,3,FALSE)</f>
        <v>17.144788843702642</v>
      </c>
      <c r="AG40" s="74">
        <f>'Source VoT'!$D$40*1*VLOOKUP($B40,'Annual Parameters'!$B$33:$W$143,21,FALSE)/VLOOKUP('Source VoT'!$F$27,'Annual Parameters'!$B$33:$W$143,21,FALSE)*VLOOKUP($B$14,'Annual Parameters'!$B$33:$W$143,3,FALSE)/VLOOKUP('Source VoT'!$E$27,'Annual Parameters'!$B$33:$W$143,3,FALSE)</f>
        <v>18.674587319471495</v>
      </c>
      <c r="AH40" s="73">
        <f>'Source VoT'!$D$45*1*VLOOKUP($B40,'Annual Parameters'!$B$33:$W$143,22,FALSE)/VLOOKUP('Source VoT'!$F$27,'Annual Parameters'!$B$33:$W$143,22,FALSE)*VLOOKUP($B$14,'Annual Parameters'!$B$33:$W$143,3,FALSE)/VLOOKUP('Source VoT'!$E$27,'Annual Parameters'!$B$33:$W$143,3,FALSE)</f>
        <v>11.479869140293236</v>
      </c>
      <c r="AI40" s="73">
        <f>'Source VoT'!$D$46*1*VLOOKUP($B40,'Annual Parameters'!$B$33:$W$143,22,FALSE)/VLOOKUP('Source VoT'!$F$27,'Annual Parameters'!$B$33:$W$143,22,FALSE)*VLOOKUP($B$14,'Annual Parameters'!$B$33:$W$143,3,FALSE)/VLOOKUP('Source VoT'!$E$27,'Annual Parameters'!$B$33:$W$143,3,FALSE)</f>
        <v>5.2397567878968774</v>
      </c>
      <c r="AJ40" s="117">
        <f>'Source VoT'!$D$27*VLOOKUP($B40,'Indirect tax correction'!$B$27:$I$127,7,FALSE)*VLOOKUP($B40,'Annual Parameters'!$B$33:$W$143,21,FALSE)/VLOOKUP('Source VoT'!$F$27,'Annual Parameters'!$B$33:$W$143,21,FALSE)*VLOOKUP($B$14,'Annual Parameters'!$B$33:$W$143,3,FALSE)/VLOOKUP('Source VoT'!$E$27,'Annual Parameters'!$B$33:$W$143,3,FALSE)</f>
        <v>20.40229872400614</v>
      </c>
      <c r="AK40" s="73">
        <f>'Source VoT'!$D$28*VLOOKUP($B40,'Indirect tax correction'!$B$27:$I$127,7,FALSE)*VLOOKUP($B40,'Annual Parameters'!$B$33:$W$143,21,FALSE)/VLOOKUP('Source VoT'!$F$27,'Annual Parameters'!$B$33:$W$143,21,FALSE)*VLOOKUP($B$14,'Annual Parameters'!$B$33:$W$143,3,FALSE)/VLOOKUP('Source VoT'!$E$27,'Annual Parameters'!$B$33:$W$143,3,FALSE)</f>
        <v>20.40229872400614</v>
      </c>
      <c r="AL40" s="73">
        <f>'Source VoT'!$D$29*VLOOKUP($B40,'Indirect tax correction'!$B$27:$I$127,7,FALSE)*VLOOKUP($B40,'Annual Parameters'!$B$33:$W$143,21,FALSE)/VLOOKUP('Source VoT'!$F$27,'Annual Parameters'!$B$33:$W$143,21,FALSE)*VLOOKUP($B$14,'Annual Parameters'!$B$33:$W$143,3,FALSE)/VLOOKUP('Source VoT'!$E$27,'Annual Parameters'!$B$33:$W$143,3,FALSE)</f>
        <v>14.048558896760436</v>
      </c>
      <c r="AM40" s="73">
        <f>'Source VoT'!$D$30*VLOOKUP($B40,'Indirect tax correction'!$B$27:$I$127,7,FALSE)*VLOOKUP($B40,'Annual Parameters'!$B$33:$W$143,21,FALSE)/VLOOKUP('Source VoT'!$F$27,'Annual Parameters'!$B$33:$W$143,21,FALSE)*VLOOKUP($B$14,'Annual Parameters'!$B$33:$W$143,3,FALSE)/VLOOKUP('Source VoT'!$E$27,'Annual Parameters'!$B$33:$W$143,3,FALSE)</f>
        <v>16.552584440858936</v>
      </c>
      <c r="AN40" s="73">
        <f>'Source VoT'!$D$31*VLOOKUP($B40,'Indirect tax correction'!$B$27:$I$127,7,FALSE)*VLOOKUP($B40,'Annual Parameters'!$B$33:$W$143,21,FALSE)/VLOOKUP('Source VoT'!$F$27,'Annual Parameters'!$B$33:$W$143,21,FALSE)*VLOOKUP($B$14,'Annual Parameters'!$B$33:$W$143,3,FALSE)/VLOOKUP('Source VoT'!$E$27,'Annual Parameters'!$B$33:$W$143,3,FALSE)</f>
        <v>16.910302375730158</v>
      </c>
      <c r="AO40" s="73">
        <f>'Source VoT'!$D$32*VLOOKUP($B40,'Indirect tax correction'!$B$27:$I$127,7,FALSE)*VLOOKUP($B40,'Annual Parameters'!$B$33:$W$143,21,FALSE)/VLOOKUP('Source VoT'!$F$27,'Annual Parameters'!$B$33:$W$143,21,FALSE)*VLOOKUP($B$14,'Annual Parameters'!$B$33:$W$143,3,FALSE)/VLOOKUP('Source VoT'!$E$27,'Annual Parameters'!$B$33:$W$143,3,FALSE)</f>
        <v>11.561692826540494</v>
      </c>
      <c r="AP40" s="73">
        <f>'Source VoT'!$D$33*VLOOKUP($B40,'Indirect tax correction'!$B$27:$I$127,7,FALSE)*VLOOKUP($B40,'Annual Parameters'!$B$33:$W$143,21,FALSE)/VLOOKUP('Source VoT'!$F$27,'Annual Parameters'!$B$33:$W$143,21,FALSE)*VLOOKUP($B$14,'Annual Parameters'!$B$33:$W$143,3,FALSE)/VLOOKUP('Source VoT'!$E$27,'Annual Parameters'!$B$33:$W$143,3,FALSE)</f>
        <v>14.942853733938472</v>
      </c>
      <c r="AQ40" s="73">
        <f>'Source VoT'!$D$34*VLOOKUP($B40,'Indirect tax correction'!$B$27:$I$127,7,FALSE)*VLOOKUP($B40,'Annual Parameters'!$B$33:$W$143,21,FALSE)/VLOOKUP('Source VoT'!$F$27,'Annual Parameters'!$B$33:$W$143,21,FALSE)*VLOOKUP($B$14,'Annual Parameters'!$B$33:$W$143,3,FALSE)/VLOOKUP('Source VoT'!$E$27,'Annual Parameters'!$B$33:$W$143,3,FALSE)</f>
        <v>20.40229872400614</v>
      </c>
      <c r="AR40" s="73">
        <f>'Source VoT'!$D$35*VLOOKUP($B40,'Indirect tax correction'!$B$27:$I$127,7,FALSE)*VLOOKUP($B40,'Annual Parameters'!$B$33:$W$143,21,FALSE)/VLOOKUP('Source VoT'!$F$27,'Annual Parameters'!$B$33:$W$143,21,FALSE)*VLOOKUP($B$14,'Annual Parameters'!$B$33:$W$143,3,FALSE)/VLOOKUP('Source VoT'!$E$27,'Annual Parameters'!$B$33:$W$143,3,FALSE)</f>
        <v>33.653844450957727</v>
      </c>
      <c r="AS40" s="73">
        <f>'Source VoT'!$D$36*VLOOKUP($B40,'Indirect tax correction'!$B$27:$I$127,7,FALSE)*VLOOKUP($B40,'Annual Parameters'!$B$33:$W$143,21,FALSE)/VLOOKUP('Source VoT'!$F$27,'Annual Parameters'!$B$33:$W$143,21,FALSE)*VLOOKUP($B$14,'Annual Parameters'!$B$33:$W$143,3,FALSE)/VLOOKUP('Source VoT'!$E$27,'Annual Parameters'!$B$33:$W$143,3,FALSE)</f>
        <v>11.561692826540494</v>
      </c>
      <c r="AT40" s="73">
        <f>'Source VoT'!$D$37*VLOOKUP($B40,'Indirect tax correction'!$B$27:$I$127,7,FALSE)*VLOOKUP($B40,'Annual Parameters'!$B$33:$W$143,21,FALSE)/VLOOKUP('Source VoT'!$F$27,'Annual Parameters'!$B$33:$W$143,21,FALSE)*VLOOKUP($B$14,'Annual Parameters'!$B$33:$W$143,3,FALSE)/VLOOKUP('Source VoT'!$E$27,'Annual Parameters'!$B$33:$W$143,3,FALSE)</f>
        <v>11.561692826540494</v>
      </c>
      <c r="AU40" s="73">
        <f>'Source VoT'!$D$38*VLOOKUP($B40,'Indirect tax correction'!$B$27:$I$127,7,FALSE)*VLOOKUP($B40,'Annual Parameters'!$B$33:$W$143,21,FALSE)/VLOOKUP('Source VoT'!$F$27,'Annual Parameters'!$B$33:$W$143,21,FALSE)*VLOOKUP($B$14,'Annual Parameters'!$B$33:$W$143,3,FALSE)/VLOOKUP('Source VoT'!$E$27,'Annual Parameters'!$B$33:$W$143,3,FALSE)</f>
        <v>11.561692826540494</v>
      </c>
      <c r="AV40" s="73">
        <f>'Source VoT'!$D$39*VLOOKUP($B40,'Indirect tax correction'!$B$27:$I$127,7,FALSE)*VLOOKUP($B40,'Annual Parameters'!$B$33:$W$143,21,FALSE)/VLOOKUP('Source VoT'!$F$27,'Annual Parameters'!$B$33:$W$143,21,FALSE)*VLOOKUP($B$14,'Annual Parameters'!$B$33:$W$143,3,FALSE)/VLOOKUP('Source VoT'!$E$27,'Annual Parameters'!$B$33:$W$143,3,FALSE)</f>
        <v>20.40229872400614</v>
      </c>
      <c r="AW40" s="74">
        <f>'Source VoT'!$D$40*VLOOKUP($B40,'Indirect tax correction'!$B$27:$I$127,7,FALSE)*VLOOKUP($B40,'Annual Parameters'!$B$33:$W$143,21,FALSE)/VLOOKUP('Source VoT'!$F$27,'Annual Parameters'!$B$33:$W$143,21,FALSE)*VLOOKUP($B$14,'Annual Parameters'!$B$33:$W$143,3,FALSE)/VLOOKUP('Source VoT'!$E$27,'Annual Parameters'!$B$33:$W$143,3,FALSE)</f>
        <v>22.222758910171077</v>
      </c>
      <c r="AX40" s="73">
        <f>'Source VoT'!$D$45*VLOOKUP($B40,'Indirect tax correction'!$B$27:$I$127,8,FALSE)*VLOOKUP($B40,'Annual Parameters'!$B$33:$W$143,22,FALSE)/VLOOKUP('Source VoT'!$F$27,'Annual Parameters'!$B$33:$W$143,22,FALSE)*VLOOKUP($B$14,'Annual Parameters'!$B$33:$W$143,3,FALSE)/VLOOKUP('Source VoT'!$E$27,'Annual Parameters'!$B$33:$W$143,3,FALSE)</f>
        <v>11.479869140293236</v>
      </c>
      <c r="AY40" s="74">
        <f>'Source VoT'!$D$46*VLOOKUP($B40,'Indirect tax correction'!$B$27:$I$127,8,FALSE)*VLOOKUP($B40,'Annual Parameters'!$B$33:$W$143,22,FALSE)/VLOOKUP('Source VoT'!$F$27,'Annual Parameters'!$B$33:$W$143,22,FALSE)*VLOOKUP($B$14,'Annual Parameters'!$B$33:$W$143,3,FALSE)/VLOOKUP('Source VoT'!$E$27,'Annual Parameters'!$B$33:$W$143,3,FALSE)</f>
        <v>5.2397567878968774</v>
      </c>
      <c r="AZ40" s="2875"/>
      <c r="BA40" s="2875"/>
      <c r="BB40" s="2875"/>
      <c r="BC40" s="2875"/>
      <c r="BD40" s="2875"/>
      <c r="BE40" s="2875"/>
      <c r="BF40" s="2875"/>
      <c r="BG40" s="2875"/>
    </row>
    <row r="41" spans="1:60" ht="13.5" customHeight="1">
      <c r="A41" s="90"/>
      <c r="B41" s="82">
        <f t="shared" si="0"/>
        <v>2024</v>
      </c>
      <c r="C41" s="82"/>
      <c r="D41" s="117">
        <f>'Source VoT'!$D$27*VLOOKUP($B41,'Indirect tax correction'!$B$27:$I$127,5,FALSE)*VLOOKUP($B41,'Annual Parameters'!$B$33:$W$143,21,FALSE)/VLOOKUP('Source VoT'!$F$27,'Annual Parameters'!$B$33:$W$143,21,FALSE)*VLOOKUP($B$14,'Annual Parameters'!$B$33:$W$143,3,FALSE)/VLOOKUP('Source VoT'!$E$27,'Annual Parameters'!$B$33:$W$143,3,FALSE)</f>
        <v>17.363262812230264</v>
      </c>
      <c r="E41" s="73">
        <f>'Source VoT'!$D$28*VLOOKUP($B41,'Indirect tax correction'!$B$27:$I$127,5,FALSE)*VLOOKUP($B41,'Annual Parameters'!$B$33:$W$143,21,FALSE)/VLOOKUP('Source VoT'!$F$27,'Annual Parameters'!$B$33:$W$143,21,FALSE)*VLOOKUP($B$14,'Annual Parameters'!$B$33:$W$143,3,FALSE)/VLOOKUP('Source VoT'!$E$27,'Annual Parameters'!$B$33:$W$143,3,FALSE)</f>
        <v>17.363262812230264</v>
      </c>
      <c r="F41" s="73">
        <f>'Source VoT'!$D$29*VLOOKUP($B41,'Indirect tax correction'!$B$27:$I$127,5,FALSE)*VLOOKUP($B41,'Annual Parameters'!$B$33:$W$143,21,FALSE)/VLOOKUP('Source VoT'!$F$27,'Annual Parameters'!$B$33:$W$143,21,FALSE)*VLOOKUP($B$14,'Annual Parameters'!$B$33:$W$143,3,FALSE)/VLOOKUP('Source VoT'!$E$27,'Annual Parameters'!$B$33:$W$143,3,FALSE)</f>
        <v>11.955947883976965</v>
      </c>
      <c r="G41" s="73">
        <f>'Source VoT'!$D$30*VLOOKUP($B41,'Indirect tax correction'!$B$27:$I$127,5,FALSE)*VLOOKUP($B41,'Annual Parameters'!$B$33:$W$143,21,FALSE)/VLOOKUP('Source VoT'!$F$27,'Annual Parameters'!$B$33:$W$143,21,FALSE)*VLOOKUP($B$14,'Annual Parameters'!$B$33:$W$143,3,FALSE)/VLOOKUP('Source VoT'!$E$27,'Annual Parameters'!$B$33:$W$143,3,FALSE)</f>
        <v>14.086984891074708</v>
      </c>
      <c r="H41" s="73">
        <f>'Source VoT'!$D$31*VLOOKUP($B41,'Indirect tax correction'!$B$27:$I$127,5,FALSE)*VLOOKUP($B41,'Annual Parameters'!$B$33:$W$143,21,FALSE)/VLOOKUP('Source VoT'!$F$27,'Annual Parameters'!$B$33:$W$143,21,FALSE)*VLOOKUP($B$14,'Annual Parameters'!$B$33:$W$143,3,FALSE)/VLOOKUP('Source VoT'!$E$27,'Annual Parameters'!$B$33:$W$143,3,FALSE)</f>
        <v>14.39141874923153</v>
      </c>
      <c r="I41" s="73">
        <f>'Source VoT'!$D$32*VLOOKUP($B41,'Indirect tax correction'!$B$27:$I$127,5,FALSE)*VLOOKUP($B41,'Annual Parameters'!$B$33:$W$143,21,FALSE)/VLOOKUP('Source VoT'!$F$27,'Annual Parameters'!$B$33:$W$143,21,FALSE)*VLOOKUP($B$14,'Annual Parameters'!$B$33:$W$143,3,FALSE)/VLOOKUP('Source VoT'!$E$27,'Annual Parameters'!$B$33:$W$143,3,FALSE)</f>
        <v>9.8395143516495605</v>
      </c>
      <c r="J41" s="73">
        <f>'Source VoT'!$D$33*VLOOKUP($B41,'Indirect tax correction'!$B$27:$I$127,5,FALSE)*VLOOKUP($B41,'Annual Parameters'!$B$33:$W$143,21,FALSE)/VLOOKUP('Source VoT'!$F$27,'Annual Parameters'!$B$33:$W$143,21,FALSE)*VLOOKUP($B$14,'Annual Parameters'!$B$33:$W$143,3,FALSE)/VLOOKUP('Source VoT'!$E$27,'Annual Parameters'!$B$33:$W$143,3,FALSE)</f>
        <v>12.717032529369014</v>
      </c>
      <c r="K41" s="73">
        <f>'Source VoT'!$D$34*VLOOKUP($B41,'Indirect tax correction'!$B$27:$I$127,5,FALSE)*VLOOKUP($B41,'Annual Parameters'!$B$33:$W$143,21,FALSE)/VLOOKUP('Source VoT'!$F$27,'Annual Parameters'!$B$33:$W$143,21,FALSE)*VLOOKUP($B$14,'Annual Parameters'!$B$33:$W$143,3,FALSE)/VLOOKUP('Source VoT'!$E$27,'Annual Parameters'!$B$33:$W$143,3,FALSE)</f>
        <v>17.363262812230264</v>
      </c>
      <c r="L41" s="73">
        <f>'Source VoT'!$D$35*VLOOKUP($B41,'Indirect tax correction'!$B$27:$I$127,5,FALSE)*VLOOKUP($B41,'Annual Parameters'!$B$33:$W$143,21,FALSE)/VLOOKUP('Source VoT'!$F$27,'Annual Parameters'!$B$33:$W$143,21,FALSE)*VLOOKUP($B$14,'Annual Parameters'!$B$33:$W$143,3,FALSE)/VLOOKUP('Source VoT'!$E$27,'Annual Parameters'!$B$33:$W$143,3,FALSE)</f>
        <v>28.640917072561937</v>
      </c>
      <c r="M41" s="73">
        <f>'Source VoT'!$D$36*VLOOKUP($B41,'Indirect tax correction'!$B$27:$I$127,5,FALSE)*VLOOKUP($B41,'Annual Parameters'!$B$33:$W$143,21,FALSE)/VLOOKUP('Source VoT'!$F$27,'Annual Parameters'!$B$33:$W$143,21,FALSE)*VLOOKUP($B$14,'Annual Parameters'!$B$33:$W$143,3,FALSE)/VLOOKUP('Source VoT'!$E$27,'Annual Parameters'!$B$33:$W$143,3,FALSE)</f>
        <v>9.8395143516495605</v>
      </c>
      <c r="N41" s="73">
        <f>'Source VoT'!$D$37*VLOOKUP($B41,'Indirect tax correction'!$B$27:$I$127,5,FALSE)*VLOOKUP($B41,'Annual Parameters'!$B$33:$W$143,21,FALSE)/VLOOKUP('Source VoT'!$F$27,'Annual Parameters'!$B$33:$W$143,21,FALSE)*VLOOKUP($B$14,'Annual Parameters'!$B$33:$W$143,3,FALSE)/VLOOKUP('Source VoT'!$E$27,'Annual Parameters'!$B$33:$W$143,3,FALSE)</f>
        <v>9.8395143516495605</v>
      </c>
      <c r="O41" s="73">
        <f>'Source VoT'!$D$38*VLOOKUP($B41,'Indirect tax correction'!$B$27:$I$127,5,FALSE)*VLOOKUP($B41,'Annual Parameters'!$B$33:$W$143,21,FALSE)/VLOOKUP('Source VoT'!$F$27,'Annual Parameters'!$B$33:$W$143,21,FALSE)*VLOOKUP($B$14,'Annual Parameters'!$B$33:$W$143,3,FALSE)/VLOOKUP('Source VoT'!$E$27,'Annual Parameters'!$B$33:$W$143,3,FALSE)</f>
        <v>9.8395143516495605</v>
      </c>
      <c r="P41" s="73">
        <f>'Source VoT'!$D$39*VLOOKUP($B41,'Indirect tax correction'!$B$27:$I$127,5,FALSE)*VLOOKUP($B41,'Annual Parameters'!$B$33:$W$143,21,FALSE)/VLOOKUP('Source VoT'!$F$27,'Annual Parameters'!$B$33:$W$143,21,FALSE)*VLOOKUP($B$14,'Annual Parameters'!$B$33:$W$143,3,FALSE)/VLOOKUP('Source VoT'!$E$27,'Annual Parameters'!$B$33:$W$143,3,FALSE)</f>
        <v>17.363262812230264</v>
      </c>
      <c r="Q41" s="74">
        <f>'Source VoT'!$D$40*VLOOKUP($B41,'Indirect tax correction'!$B$27:$I$127,5,FALSE)*VLOOKUP($B41,'Annual Parameters'!$B$33:$W$143,21,FALSE)/VLOOKUP('Source VoT'!$F$27,'Annual Parameters'!$B$33:$W$143,21,FALSE)*VLOOKUP($B$14,'Annual Parameters'!$B$33:$W$143,3,FALSE)/VLOOKUP('Source VoT'!$E$27,'Annual Parameters'!$B$33:$W$143,3,FALSE)</f>
        <v>18.912555324764206</v>
      </c>
      <c r="R41" s="73">
        <f>'Source VoT'!$D$45*VLOOKUP($B41,'Indirect tax correction'!$B$27:$I$127,6,FALSE)*VLOOKUP($B41,'Annual Parameters'!$B$33:$W$143,22,FALSE)/VLOOKUP('Source VoT'!$F$27,'Annual Parameters'!$B$33:$W$143,22,FALSE)*VLOOKUP($B$14,'Annual Parameters'!$B$33:$W$143,3,FALSE)/VLOOKUP('Source VoT'!$E$27,'Annual Parameters'!$B$33:$W$143,3,FALSE)</f>
        <v>9.7698787587295879</v>
      </c>
      <c r="S41" s="73">
        <f>'Source VoT'!$D$46*VLOOKUP($B41,'Indirect tax correction'!$B$27:$I$127,6,FALSE)*VLOOKUP($B41,'Annual Parameters'!$B$33:$W$143,22,FALSE)/VLOOKUP('Source VoT'!$F$27,'Annual Parameters'!$B$33:$W$143,22,FALSE)*VLOOKUP($B$14,'Annual Parameters'!$B$33:$W$143,3,FALSE)/VLOOKUP('Source VoT'!$E$27,'Annual Parameters'!$B$33:$W$143,3,FALSE)</f>
        <v>4.459265860732212</v>
      </c>
      <c r="T41" s="117">
        <f>'Source VoT'!$D$27*1*VLOOKUP($B41,'Annual Parameters'!$B$33:$W$143,21,FALSE)/VLOOKUP('Source VoT'!$F$27,'Annual Parameters'!$B$33:$W$143,21,FALSE)*VLOOKUP($B$14,'Annual Parameters'!$B$33:$W$143,3,FALSE)/VLOOKUP('Source VoT'!$E$27,'Annual Parameters'!$B$33:$W$143,3,FALSE)</f>
        <v>17.363262812230264</v>
      </c>
      <c r="U41" s="73">
        <f>'Source VoT'!$D$28*1*VLOOKUP($B41,'Annual Parameters'!$B$33:$W$143,21,FALSE)/VLOOKUP('Source VoT'!$F$27,'Annual Parameters'!$B$33:$W$143,21,FALSE)*VLOOKUP($B$14,'Annual Parameters'!$B$33:$W$143,3,FALSE)/VLOOKUP('Source VoT'!$E$27,'Annual Parameters'!$B$33:$W$143,3,FALSE)</f>
        <v>17.363262812230264</v>
      </c>
      <c r="V41" s="73">
        <f>'Source VoT'!$D$29*1*VLOOKUP($B41,'Annual Parameters'!$B$33:$W$143,21,FALSE)/VLOOKUP('Source VoT'!$F$27,'Annual Parameters'!$B$33:$W$143,21,FALSE)*VLOOKUP($B$14,'Annual Parameters'!$B$33:$W$143,3,FALSE)/VLOOKUP('Source VoT'!$E$27,'Annual Parameters'!$B$33:$W$143,3,FALSE)</f>
        <v>11.955947883976965</v>
      </c>
      <c r="W41" s="73">
        <f>'Source VoT'!$D$30*1*VLOOKUP($B41,'Annual Parameters'!$B$33:$W$143,21,FALSE)/VLOOKUP('Source VoT'!$F$27,'Annual Parameters'!$B$33:$W$143,21,FALSE)*VLOOKUP($B$14,'Annual Parameters'!$B$33:$W$143,3,FALSE)/VLOOKUP('Source VoT'!$E$27,'Annual Parameters'!$B$33:$W$143,3,FALSE)</f>
        <v>14.086984891074708</v>
      </c>
      <c r="X41" s="73">
        <f>'Source VoT'!$D$31*1*VLOOKUP($B41,'Annual Parameters'!$B$33:$W$143,21,FALSE)/VLOOKUP('Source VoT'!$F$27,'Annual Parameters'!$B$33:$W$143,21,FALSE)*VLOOKUP($B$14,'Annual Parameters'!$B$33:$W$143,3,FALSE)/VLOOKUP('Source VoT'!$E$27,'Annual Parameters'!$B$33:$W$143,3,FALSE)</f>
        <v>14.39141874923153</v>
      </c>
      <c r="Y41" s="73">
        <f>'Source VoT'!$D$32*1*VLOOKUP($B41,'Annual Parameters'!$B$33:$W$143,21,FALSE)/VLOOKUP('Source VoT'!$F$27,'Annual Parameters'!$B$33:$W$143,21,FALSE)*VLOOKUP($B$14,'Annual Parameters'!$B$33:$W$143,3,FALSE)/VLOOKUP('Source VoT'!$E$27,'Annual Parameters'!$B$33:$W$143,3,FALSE)</f>
        <v>9.8395143516495605</v>
      </c>
      <c r="Z41" s="73">
        <f>'Source VoT'!$D$33*1*VLOOKUP($B41,'Annual Parameters'!$B$33:$W$143,21,FALSE)/VLOOKUP('Source VoT'!$F$27,'Annual Parameters'!$B$33:$W$143,21,FALSE)*VLOOKUP($B$14,'Annual Parameters'!$B$33:$W$143,3,FALSE)/VLOOKUP('Source VoT'!$E$27,'Annual Parameters'!$B$33:$W$143,3,FALSE)</f>
        <v>12.717032529369014</v>
      </c>
      <c r="AA41" s="73">
        <f>'Source VoT'!$D$34*1*VLOOKUP($B41,'Annual Parameters'!$B$33:$W$143,21,FALSE)/VLOOKUP('Source VoT'!$F$27,'Annual Parameters'!$B$33:$W$143,21,FALSE)*VLOOKUP($B$14,'Annual Parameters'!$B$33:$W$143,3,FALSE)/VLOOKUP('Source VoT'!$E$27,'Annual Parameters'!$B$33:$W$143,3,FALSE)</f>
        <v>17.363262812230264</v>
      </c>
      <c r="AB41" s="73">
        <f>'Source VoT'!$D$35*1*VLOOKUP($B41,'Annual Parameters'!$B$33:$W$143,21,FALSE)/VLOOKUP('Source VoT'!$F$27,'Annual Parameters'!$B$33:$W$143,21,FALSE)*VLOOKUP($B$14,'Annual Parameters'!$B$33:$W$143,3,FALSE)/VLOOKUP('Source VoT'!$E$27,'Annual Parameters'!$B$33:$W$143,3,FALSE)</f>
        <v>28.640917072561937</v>
      </c>
      <c r="AC41" s="73">
        <f>'Source VoT'!$D$36*1*VLOOKUP($B41,'Annual Parameters'!$B$33:$W$143,21,FALSE)/VLOOKUP('Source VoT'!$F$27,'Annual Parameters'!$B$33:$W$143,21,FALSE)*VLOOKUP($B$14,'Annual Parameters'!$B$33:$W$143,3,FALSE)/VLOOKUP('Source VoT'!$E$27,'Annual Parameters'!$B$33:$W$143,3,FALSE)</f>
        <v>9.8395143516495605</v>
      </c>
      <c r="AD41" s="73">
        <f>'Source VoT'!$D$37*1*VLOOKUP($B41,'Annual Parameters'!$B$33:$W$143,21,FALSE)/VLOOKUP('Source VoT'!$F$27,'Annual Parameters'!$B$33:$W$143,21,FALSE)*VLOOKUP($B$14,'Annual Parameters'!$B$33:$W$143,3,FALSE)/VLOOKUP('Source VoT'!$E$27,'Annual Parameters'!$B$33:$W$143,3,FALSE)</f>
        <v>9.8395143516495605</v>
      </c>
      <c r="AE41" s="73">
        <f>'Source VoT'!$D$38*1*VLOOKUP($B41,'Annual Parameters'!$B$33:$W$143,21,FALSE)/VLOOKUP('Source VoT'!$F$27,'Annual Parameters'!$B$33:$W$143,21,FALSE)*VLOOKUP($B$14,'Annual Parameters'!$B$33:$W$143,3,FALSE)/VLOOKUP('Source VoT'!$E$27,'Annual Parameters'!$B$33:$W$143,3,FALSE)</f>
        <v>9.8395143516495605</v>
      </c>
      <c r="AF41" s="73">
        <f>'Source VoT'!$D$39*1*VLOOKUP($B41,'Annual Parameters'!$B$33:$W$143,21,FALSE)/VLOOKUP('Source VoT'!$F$27,'Annual Parameters'!$B$33:$W$143,21,FALSE)*VLOOKUP($B$14,'Annual Parameters'!$B$33:$W$143,3,FALSE)/VLOOKUP('Source VoT'!$E$27,'Annual Parameters'!$B$33:$W$143,3,FALSE)</f>
        <v>17.363262812230264</v>
      </c>
      <c r="AG41" s="74">
        <f>'Source VoT'!$D$40*1*VLOOKUP($B41,'Annual Parameters'!$B$33:$W$143,21,FALSE)/VLOOKUP('Source VoT'!$F$27,'Annual Parameters'!$B$33:$W$143,21,FALSE)*VLOOKUP($B$14,'Annual Parameters'!$B$33:$W$143,3,FALSE)/VLOOKUP('Source VoT'!$E$27,'Annual Parameters'!$B$33:$W$143,3,FALSE)</f>
        <v>18.912555324764206</v>
      </c>
      <c r="AH41" s="73">
        <f>'Source VoT'!$D$45*1*VLOOKUP($B41,'Annual Parameters'!$B$33:$W$143,22,FALSE)/VLOOKUP('Source VoT'!$F$27,'Annual Parameters'!$B$33:$W$143,22,FALSE)*VLOOKUP($B$14,'Annual Parameters'!$B$33:$W$143,3,FALSE)/VLOOKUP('Source VoT'!$E$27,'Annual Parameters'!$B$33:$W$143,3,FALSE)</f>
        <v>11.626155722888209</v>
      </c>
      <c r="AI41" s="73">
        <f>'Source VoT'!$D$46*1*VLOOKUP($B41,'Annual Parameters'!$B$33:$W$143,22,FALSE)/VLOOKUP('Source VoT'!$F$27,'Annual Parameters'!$B$33:$W$143,22,FALSE)*VLOOKUP($B$14,'Annual Parameters'!$B$33:$W$143,3,FALSE)/VLOOKUP('Source VoT'!$E$27,'Annual Parameters'!$B$33:$W$143,3,FALSE)</f>
        <v>5.306526374271332</v>
      </c>
      <c r="AJ41" s="117">
        <f>'Source VoT'!$D$27*VLOOKUP($B41,'Indirect tax correction'!$B$27:$I$127,7,FALSE)*VLOOKUP($B41,'Annual Parameters'!$B$33:$W$143,21,FALSE)/VLOOKUP('Source VoT'!$F$27,'Annual Parameters'!$B$33:$W$143,21,FALSE)*VLOOKUP($B$14,'Annual Parameters'!$B$33:$W$143,3,FALSE)/VLOOKUP('Source VoT'!$E$27,'Annual Parameters'!$B$33:$W$143,3,FALSE)</f>
        <v>20.662282746554016</v>
      </c>
      <c r="AK41" s="73">
        <f>'Source VoT'!$D$28*VLOOKUP($B41,'Indirect tax correction'!$B$27:$I$127,7,FALSE)*VLOOKUP($B41,'Annual Parameters'!$B$33:$W$143,21,FALSE)/VLOOKUP('Source VoT'!$F$27,'Annual Parameters'!$B$33:$W$143,21,FALSE)*VLOOKUP($B$14,'Annual Parameters'!$B$33:$W$143,3,FALSE)/VLOOKUP('Source VoT'!$E$27,'Annual Parameters'!$B$33:$W$143,3,FALSE)</f>
        <v>20.662282746554016</v>
      </c>
      <c r="AL41" s="73">
        <f>'Source VoT'!$D$29*VLOOKUP($B41,'Indirect tax correction'!$B$27:$I$127,7,FALSE)*VLOOKUP($B41,'Annual Parameters'!$B$33:$W$143,21,FALSE)/VLOOKUP('Source VoT'!$F$27,'Annual Parameters'!$B$33:$W$143,21,FALSE)*VLOOKUP($B$14,'Annual Parameters'!$B$33:$W$143,3,FALSE)/VLOOKUP('Source VoT'!$E$27,'Annual Parameters'!$B$33:$W$143,3,FALSE)</f>
        <v>14.227577981932587</v>
      </c>
      <c r="AM41" s="73">
        <f>'Source VoT'!$D$30*VLOOKUP($B41,'Indirect tax correction'!$B$27:$I$127,7,FALSE)*VLOOKUP($B41,'Annual Parameters'!$B$33:$W$143,21,FALSE)/VLOOKUP('Source VoT'!$F$27,'Annual Parameters'!$B$33:$W$143,21,FALSE)*VLOOKUP($B$14,'Annual Parameters'!$B$33:$W$143,3,FALSE)/VLOOKUP('Source VoT'!$E$27,'Annual Parameters'!$B$33:$W$143,3,FALSE)</f>
        <v>16.763512020378901</v>
      </c>
      <c r="AN41" s="73">
        <f>'Source VoT'!$D$31*VLOOKUP($B41,'Indirect tax correction'!$B$27:$I$127,7,FALSE)*VLOOKUP($B41,'Annual Parameters'!$B$33:$W$143,21,FALSE)/VLOOKUP('Source VoT'!$F$27,'Annual Parameters'!$B$33:$W$143,21,FALSE)*VLOOKUP($B$14,'Annual Parameters'!$B$33:$W$143,3,FALSE)/VLOOKUP('Source VoT'!$E$27,'Annual Parameters'!$B$33:$W$143,3,FALSE)</f>
        <v>17.12578831158552</v>
      </c>
      <c r="AO41" s="73">
        <f>'Source VoT'!$D$32*VLOOKUP($B41,'Indirect tax correction'!$B$27:$I$127,7,FALSE)*VLOOKUP($B41,'Annual Parameters'!$B$33:$W$143,21,FALSE)/VLOOKUP('Source VoT'!$F$27,'Annual Parameters'!$B$33:$W$143,21,FALSE)*VLOOKUP($B$14,'Annual Parameters'!$B$33:$W$143,3,FALSE)/VLOOKUP('Source VoT'!$E$27,'Annual Parameters'!$B$33:$W$143,3,FALSE)</f>
        <v>11.709022078462976</v>
      </c>
      <c r="AP41" s="73">
        <f>'Source VoT'!$D$33*VLOOKUP($B41,'Indirect tax correction'!$B$27:$I$127,7,FALSE)*VLOOKUP($B41,'Annual Parameters'!$B$33:$W$143,21,FALSE)/VLOOKUP('Source VoT'!$F$27,'Annual Parameters'!$B$33:$W$143,21,FALSE)*VLOOKUP($B$14,'Annual Parameters'!$B$33:$W$143,3,FALSE)/VLOOKUP('Source VoT'!$E$27,'Annual Parameters'!$B$33:$W$143,3,FALSE)</f>
        <v>15.133268709949128</v>
      </c>
      <c r="AQ41" s="73">
        <f>'Source VoT'!$D$34*VLOOKUP($B41,'Indirect tax correction'!$B$27:$I$127,7,FALSE)*VLOOKUP($B41,'Annual Parameters'!$B$33:$W$143,21,FALSE)/VLOOKUP('Source VoT'!$F$27,'Annual Parameters'!$B$33:$W$143,21,FALSE)*VLOOKUP($B$14,'Annual Parameters'!$B$33:$W$143,3,FALSE)/VLOOKUP('Source VoT'!$E$27,'Annual Parameters'!$B$33:$W$143,3,FALSE)</f>
        <v>20.662282746554016</v>
      </c>
      <c r="AR41" s="73">
        <f>'Source VoT'!$D$35*VLOOKUP($B41,'Indirect tax correction'!$B$27:$I$127,7,FALSE)*VLOOKUP($B41,'Annual Parameters'!$B$33:$W$143,21,FALSE)/VLOOKUP('Source VoT'!$F$27,'Annual Parameters'!$B$33:$W$143,21,FALSE)*VLOOKUP($B$14,'Annual Parameters'!$B$33:$W$143,3,FALSE)/VLOOKUP('Source VoT'!$E$27,'Annual Parameters'!$B$33:$W$143,3,FALSE)</f>
        <v>34.082691316348701</v>
      </c>
      <c r="AS41" s="73">
        <f>'Source VoT'!$D$36*VLOOKUP($B41,'Indirect tax correction'!$B$27:$I$127,7,FALSE)*VLOOKUP($B41,'Annual Parameters'!$B$33:$W$143,21,FALSE)/VLOOKUP('Source VoT'!$F$27,'Annual Parameters'!$B$33:$W$143,21,FALSE)*VLOOKUP($B$14,'Annual Parameters'!$B$33:$W$143,3,FALSE)/VLOOKUP('Source VoT'!$E$27,'Annual Parameters'!$B$33:$W$143,3,FALSE)</f>
        <v>11.709022078462976</v>
      </c>
      <c r="AT41" s="73">
        <f>'Source VoT'!$D$37*VLOOKUP($B41,'Indirect tax correction'!$B$27:$I$127,7,FALSE)*VLOOKUP($B41,'Annual Parameters'!$B$33:$W$143,21,FALSE)/VLOOKUP('Source VoT'!$F$27,'Annual Parameters'!$B$33:$W$143,21,FALSE)*VLOOKUP($B$14,'Annual Parameters'!$B$33:$W$143,3,FALSE)/VLOOKUP('Source VoT'!$E$27,'Annual Parameters'!$B$33:$W$143,3,FALSE)</f>
        <v>11.709022078462976</v>
      </c>
      <c r="AU41" s="73">
        <f>'Source VoT'!$D$38*VLOOKUP($B41,'Indirect tax correction'!$B$27:$I$127,7,FALSE)*VLOOKUP($B41,'Annual Parameters'!$B$33:$W$143,21,FALSE)/VLOOKUP('Source VoT'!$F$27,'Annual Parameters'!$B$33:$W$143,21,FALSE)*VLOOKUP($B$14,'Annual Parameters'!$B$33:$W$143,3,FALSE)/VLOOKUP('Source VoT'!$E$27,'Annual Parameters'!$B$33:$W$143,3,FALSE)</f>
        <v>11.709022078462976</v>
      </c>
      <c r="AV41" s="73">
        <f>'Source VoT'!$D$39*VLOOKUP($B41,'Indirect tax correction'!$B$27:$I$127,7,FALSE)*VLOOKUP($B41,'Annual Parameters'!$B$33:$W$143,21,FALSE)/VLOOKUP('Source VoT'!$F$27,'Annual Parameters'!$B$33:$W$143,21,FALSE)*VLOOKUP($B$14,'Annual Parameters'!$B$33:$W$143,3,FALSE)/VLOOKUP('Source VoT'!$E$27,'Annual Parameters'!$B$33:$W$143,3,FALSE)</f>
        <v>20.662282746554016</v>
      </c>
      <c r="AW41" s="74">
        <f>'Source VoT'!$D$40*VLOOKUP($B41,'Indirect tax correction'!$B$27:$I$127,7,FALSE)*VLOOKUP($B41,'Annual Parameters'!$B$33:$W$143,21,FALSE)/VLOOKUP('Source VoT'!$F$27,'Annual Parameters'!$B$33:$W$143,21,FALSE)*VLOOKUP($B$14,'Annual Parameters'!$B$33:$W$143,3,FALSE)/VLOOKUP('Source VoT'!$E$27,'Annual Parameters'!$B$33:$W$143,3,FALSE)</f>
        <v>22.505940836469403</v>
      </c>
      <c r="AX41" s="73">
        <f>'Source VoT'!$D$45*VLOOKUP($B41,'Indirect tax correction'!$B$27:$I$127,8,FALSE)*VLOOKUP($B41,'Annual Parameters'!$B$33:$W$143,22,FALSE)/VLOOKUP('Source VoT'!$F$27,'Annual Parameters'!$B$33:$W$143,22,FALSE)*VLOOKUP($B$14,'Annual Parameters'!$B$33:$W$143,3,FALSE)/VLOOKUP('Source VoT'!$E$27,'Annual Parameters'!$B$33:$W$143,3,FALSE)</f>
        <v>11.626155722888209</v>
      </c>
      <c r="AY41" s="74">
        <f>'Source VoT'!$D$46*VLOOKUP($B41,'Indirect tax correction'!$B$27:$I$127,8,FALSE)*VLOOKUP($B41,'Annual Parameters'!$B$33:$W$143,22,FALSE)/VLOOKUP('Source VoT'!$F$27,'Annual Parameters'!$B$33:$W$143,22,FALSE)*VLOOKUP($B$14,'Annual Parameters'!$B$33:$W$143,3,FALSE)/VLOOKUP('Source VoT'!$E$27,'Annual Parameters'!$B$33:$W$143,3,FALSE)</f>
        <v>5.306526374271332</v>
      </c>
      <c r="AZ41" s="2875"/>
      <c r="BA41" s="2875"/>
      <c r="BB41" s="2875"/>
      <c r="BC41" s="2875"/>
      <c r="BD41" s="2875"/>
      <c r="BE41" s="2875"/>
      <c r="BF41" s="2875"/>
      <c r="BG41" s="2875"/>
    </row>
    <row r="42" spans="1:60" ht="13.5" customHeight="1">
      <c r="A42" s="90"/>
      <c r="B42" s="82">
        <f t="shared" si="0"/>
        <v>2025</v>
      </c>
      <c r="C42" s="82"/>
      <c r="D42" s="117">
        <f>'Source VoT'!$D$27*VLOOKUP($B42,'Indirect tax correction'!$B$27:$I$127,5,FALSE)*VLOOKUP($B42,'Annual Parameters'!$B$33:$W$143,21,FALSE)/VLOOKUP('Source VoT'!$F$27,'Annual Parameters'!$B$33:$W$143,21,FALSE)*VLOOKUP($B$14,'Annual Parameters'!$B$33:$W$143,3,FALSE)/VLOOKUP('Source VoT'!$E$27,'Annual Parameters'!$B$33:$W$143,3,FALSE)</f>
        <v>17.610202961496693</v>
      </c>
      <c r="E42" s="73">
        <f>'Source VoT'!$D$28*VLOOKUP($B42,'Indirect tax correction'!$B$27:$I$127,5,FALSE)*VLOOKUP($B42,'Annual Parameters'!$B$33:$W$143,21,FALSE)/VLOOKUP('Source VoT'!$F$27,'Annual Parameters'!$B$33:$W$143,21,FALSE)*VLOOKUP($B$14,'Annual Parameters'!$B$33:$W$143,3,FALSE)/VLOOKUP('Source VoT'!$E$27,'Annual Parameters'!$B$33:$W$143,3,FALSE)</f>
        <v>17.610202961496693</v>
      </c>
      <c r="F42" s="73">
        <f>'Source VoT'!$D$29*VLOOKUP($B42,'Indirect tax correction'!$B$27:$I$127,5,FALSE)*VLOOKUP($B42,'Annual Parameters'!$B$33:$W$143,21,FALSE)/VLOOKUP('Source VoT'!$F$27,'Annual Parameters'!$B$33:$W$143,21,FALSE)*VLOOKUP($B$14,'Annual Parameters'!$B$33:$W$143,3,FALSE)/VLOOKUP('Source VoT'!$E$27,'Annual Parameters'!$B$33:$W$143,3,FALSE)</f>
        <v>12.125985254661195</v>
      </c>
      <c r="G42" s="73">
        <f>'Source VoT'!$D$30*VLOOKUP($B42,'Indirect tax correction'!$B$27:$I$127,5,FALSE)*VLOOKUP($B42,'Annual Parameters'!$B$33:$W$143,21,FALSE)/VLOOKUP('Source VoT'!$F$27,'Annual Parameters'!$B$33:$W$143,21,FALSE)*VLOOKUP($B$14,'Annual Parameters'!$B$33:$W$143,3,FALSE)/VLOOKUP('Source VoT'!$E$27,'Annual Parameters'!$B$33:$W$143,3,FALSE)</f>
        <v>14.287329848663305</v>
      </c>
      <c r="H42" s="73">
        <f>'Source VoT'!$D$31*VLOOKUP($B42,'Indirect tax correction'!$B$27:$I$127,5,FALSE)*VLOOKUP($B42,'Annual Parameters'!$B$33:$W$143,21,FALSE)/VLOOKUP('Source VoT'!$F$27,'Annual Parameters'!$B$33:$W$143,21,FALSE)*VLOOKUP($B$14,'Annual Parameters'!$B$33:$W$143,3,FALSE)/VLOOKUP('Source VoT'!$E$27,'Annual Parameters'!$B$33:$W$143,3,FALSE)</f>
        <v>14.596093362092182</v>
      </c>
      <c r="I42" s="73">
        <f>'Source VoT'!$D$32*VLOOKUP($B42,'Indirect tax correction'!$B$27:$I$127,5,FALSE)*VLOOKUP($B42,'Annual Parameters'!$B$33:$W$143,21,FALSE)/VLOOKUP('Source VoT'!$F$27,'Annual Parameters'!$B$33:$W$143,21,FALSE)*VLOOKUP($B$14,'Annual Parameters'!$B$33:$W$143,3,FALSE)/VLOOKUP('Source VoT'!$E$27,'Annual Parameters'!$B$33:$W$143,3,FALSE)</f>
        <v>9.9794518259008882</v>
      </c>
      <c r="J42" s="73">
        <f>'Source VoT'!$D$33*VLOOKUP($B42,'Indirect tax correction'!$B$27:$I$127,5,FALSE)*VLOOKUP($B42,'Annual Parameters'!$B$33:$W$143,21,FALSE)/VLOOKUP('Source VoT'!$F$27,'Annual Parameters'!$B$33:$W$143,21,FALSE)*VLOOKUP($B$14,'Annual Parameters'!$B$33:$W$143,3,FALSE)/VLOOKUP('Source VoT'!$E$27,'Annual Parameters'!$B$33:$W$143,3,FALSE)</f>
        <v>12.897894038233376</v>
      </c>
      <c r="K42" s="73">
        <f>'Source VoT'!$D$34*VLOOKUP($B42,'Indirect tax correction'!$B$27:$I$127,5,FALSE)*VLOOKUP($B42,'Annual Parameters'!$B$33:$W$143,21,FALSE)/VLOOKUP('Source VoT'!$F$27,'Annual Parameters'!$B$33:$W$143,21,FALSE)*VLOOKUP($B$14,'Annual Parameters'!$B$33:$W$143,3,FALSE)/VLOOKUP('Source VoT'!$E$27,'Annual Parameters'!$B$33:$W$143,3,FALSE)</f>
        <v>17.610202961496693</v>
      </c>
      <c r="L42" s="73">
        <f>'Source VoT'!$D$35*VLOOKUP($B42,'Indirect tax correction'!$B$27:$I$127,5,FALSE)*VLOOKUP($B42,'Annual Parameters'!$B$33:$W$143,21,FALSE)/VLOOKUP('Source VoT'!$F$27,'Annual Parameters'!$B$33:$W$143,21,FALSE)*VLOOKUP($B$14,'Annual Parameters'!$B$33:$W$143,3,FALSE)/VLOOKUP('Source VoT'!$E$27,'Annual Parameters'!$B$33:$W$143,3,FALSE)</f>
        <v>29.048247907411948</v>
      </c>
      <c r="M42" s="73">
        <f>'Source VoT'!$D$36*VLOOKUP($B42,'Indirect tax correction'!$B$27:$I$127,5,FALSE)*VLOOKUP($B42,'Annual Parameters'!$B$33:$W$143,21,FALSE)/VLOOKUP('Source VoT'!$F$27,'Annual Parameters'!$B$33:$W$143,21,FALSE)*VLOOKUP($B$14,'Annual Parameters'!$B$33:$W$143,3,FALSE)/VLOOKUP('Source VoT'!$E$27,'Annual Parameters'!$B$33:$W$143,3,FALSE)</f>
        <v>9.9794518259008882</v>
      </c>
      <c r="N42" s="73">
        <f>'Source VoT'!$D$37*VLOOKUP($B42,'Indirect tax correction'!$B$27:$I$127,5,FALSE)*VLOOKUP($B42,'Annual Parameters'!$B$33:$W$143,21,FALSE)/VLOOKUP('Source VoT'!$F$27,'Annual Parameters'!$B$33:$W$143,21,FALSE)*VLOOKUP($B$14,'Annual Parameters'!$B$33:$W$143,3,FALSE)/VLOOKUP('Source VoT'!$E$27,'Annual Parameters'!$B$33:$W$143,3,FALSE)</f>
        <v>9.9794518259008882</v>
      </c>
      <c r="O42" s="73">
        <f>'Source VoT'!$D$38*VLOOKUP($B42,'Indirect tax correction'!$B$27:$I$127,5,FALSE)*VLOOKUP($B42,'Annual Parameters'!$B$33:$W$143,21,FALSE)/VLOOKUP('Source VoT'!$F$27,'Annual Parameters'!$B$33:$W$143,21,FALSE)*VLOOKUP($B$14,'Annual Parameters'!$B$33:$W$143,3,FALSE)/VLOOKUP('Source VoT'!$E$27,'Annual Parameters'!$B$33:$W$143,3,FALSE)</f>
        <v>9.9794518259008882</v>
      </c>
      <c r="P42" s="73">
        <f>'Source VoT'!$D$39*VLOOKUP($B42,'Indirect tax correction'!$B$27:$I$127,5,FALSE)*VLOOKUP($B42,'Annual Parameters'!$B$33:$W$143,21,FALSE)/VLOOKUP('Source VoT'!$F$27,'Annual Parameters'!$B$33:$W$143,21,FALSE)*VLOOKUP($B$14,'Annual Parameters'!$B$33:$W$143,3,FALSE)/VLOOKUP('Source VoT'!$E$27,'Annual Parameters'!$B$33:$W$143,3,FALSE)</f>
        <v>17.610202961496693</v>
      </c>
      <c r="Q42" s="74">
        <f>'Source VoT'!$D$40*VLOOKUP($B42,'Indirect tax correction'!$B$27:$I$127,5,FALSE)*VLOOKUP($B42,'Annual Parameters'!$B$33:$W$143,21,FALSE)/VLOOKUP('Source VoT'!$F$27,'Annual Parameters'!$B$33:$W$143,21,FALSE)*VLOOKUP($B$14,'Annual Parameters'!$B$33:$W$143,3,FALSE)/VLOOKUP('Source VoT'!$E$27,'Annual Parameters'!$B$33:$W$143,3,FALSE)</f>
        <v>19.181529496578111</v>
      </c>
      <c r="R42" s="73">
        <f>'Source VoT'!$D$45*VLOOKUP($B42,'Indirect tax correction'!$B$27:$I$127,6,FALSE)*VLOOKUP($B42,'Annual Parameters'!$B$33:$W$143,22,FALSE)/VLOOKUP('Source VoT'!$F$27,'Annual Parameters'!$B$33:$W$143,22,FALSE)*VLOOKUP($B$14,'Annual Parameters'!$B$33:$W$143,3,FALSE)/VLOOKUP('Source VoT'!$E$27,'Annual Parameters'!$B$33:$W$143,3,FALSE)</f>
        <v>9.908825876278037</v>
      </c>
      <c r="S42" s="73">
        <f>'Source VoT'!$D$46*VLOOKUP($B42,'Indirect tax correction'!$B$27:$I$127,6,FALSE)*VLOOKUP($B42,'Annual Parameters'!$B$33:$W$143,22,FALSE)/VLOOKUP('Source VoT'!$F$27,'Annual Parameters'!$B$33:$W$143,22,FALSE)*VLOOKUP($B$14,'Annual Parameters'!$B$33:$W$143,3,FALSE)/VLOOKUP('Source VoT'!$E$27,'Annual Parameters'!$B$33:$W$143,3,FALSE)</f>
        <v>4.5226854950011965</v>
      </c>
      <c r="T42" s="117">
        <f>'Source VoT'!$D$27*1*VLOOKUP($B42,'Annual Parameters'!$B$33:$W$143,21,FALSE)/VLOOKUP('Source VoT'!$F$27,'Annual Parameters'!$B$33:$W$143,21,FALSE)*VLOOKUP($B$14,'Annual Parameters'!$B$33:$W$143,3,FALSE)/VLOOKUP('Source VoT'!$E$27,'Annual Parameters'!$B$33:$W$143,3,FALSE)</f>
        <v>17.610202961496693</v>
      </c>
      <c r="U42" s="73">
        <f>'Source VoT'!$D$28*1*VLOOKUP($B42,'Annual Parameters'!$B$33:$W$143,21,FALSE)/VLOOKUP('Source VoT'!$F$27,'Annual Parameters'!$B$33:$W$143,21,FALSE)*VLOOKUP($B$14,'Annual Parameters'!$B$33:$W$143,3,FALSE)/VLOOKUP('Source VoT'!$E$27,'Annual Parameters'!$B$33:$W$143,3,FALSE)</f>
        <v>17.610202961496693</v>
      </c>
      <c r="V42" s="73">
        <f>'Source VoT'!$D$29*1*VLOOKUP($B42,'Annual Parameters'!$B$33:$W$143,21,FALSE)/VLOOKUP('Source VoT'!$F$27,'Annual Parameters'!$B$33:$W$143,21,FALSE)*VLOOKUP($B$14,'Annual Parameters'!$B$33:$W$143,3,FALSE)/VLOOKUP('Source VoT'!$E$27,'Annual Parameters'!$B$33:$W$143,3,FALSE)</f>
        <v>12.125985254661195</v>
      </c>
      <c r="W42" s="73">
        <f>'Source VoT'!$D$30*1*VLOOKUP($B42,'Annual Parameters'!$B$33:$W$143,21,FALSE)/VLOOKUP('Source VoT'!$F$27,'Annual Parameters'!$B$33:$W$143,21,FALSE)*VLOOKUP($B$14,'Annual Parameters'!$B$33:$W$143,3,FALSE)/VLOOKUP('Source VoT'!$E$27,'Annual Parameters'!$B$33:$W$143,3,FALSE)</f>
        <v>14.287329848663305</v>
      </c>
      <c r="X42" s="73">
        <f>'Source VoT'!$D$31*1*VLOOKUP($B42,'Annual Parameters'!$B$33:$W$143,21,FALSE)/VLOOKUP('Source VoT'!$F$27,'Annual Parameters'!$B$33:$W$143,21,FALSE)*VLOOKUP($B$14,'Annual Parameters'!$B$33:$W$143,3,FALSE)/VLOOKUP('Source VoT'!$E$27,'Annual Parameters'!$B$33:$W$143,3,FALSE)</f>
        <v>14.596093362092182</v>
      </c>
      <c r="Y42" s="73">
        <f>'Source VoT'!$D$32*1*VLOOKUP($B42,'Annual Parameters'!$B$33:$W$143,21,FALSE)/VLOOKUP('Source VoT'!$F$27,'Annual Parameters'!$B$33:$W$143,21,FALSE)*VLOOKUP($B$14,'Annual Parameters'!$B$33:$W$143,3,FALSE)/VLOOKUP('Source VoT'!$E$27,'Annual Parameters'!$B$33:$W$143,3,FALSE)</f>
        <v>9.9794518259008882</v>
      </c>
      <c r="Z42" s="73">
        <f>'Source VoT'!$D$33*1*VLOOKUP($B42,'Annual Parameters'!$B$33:$W$143,21,FALSE)/VLOOKUP('Source VoT'!$F$27,'Annual Parameters'!$B$33:$W$143,21,FALSE)*VLOOKUP($B$14,'Annual Parameters'!$B$33:$W$143,3,FALSE)/VLOOKUP('Source VoT'!$E$27,'Annual Parameters'!$B$33:$W$143,3,FALSE)</f>
        <v>12.897894038233376</v>
      </c>
      <c r="AA42" s="73">
        <f>'Source VoT'!$D$34*1*VLOOKUP($B42,'Annual Parameters'!$B$33:$W$143,21,FALSE)/VLOOKUP('Source VoT'!$F$27,'Annual Parameters'!$B$33:$W$143,21,FALSE)*VLOOKUP($B$14,'Annual Parameters'!$B$33:$W$143,3,FALSE)/VLOOKUP('Source VoT'!$E$27,'Annual Parameters'!$B$33:$W$143,3,FALSE)</f>
        <v>17.610202961496693</v>
      </c>
      <c r="AB42" s="73">
        <f>'Source VoT'!$D$35*1*VLOOKUP($B42,'Annual Parameters'!$B$33:$W$143,21,FALSE)/VLOOKUP('Source VoT'!$F$27,'Annual Parameters'!$B$33:$W$143,21,FALSE)*VLOOKUP($B$14,'Annual Parameters'!$B$33:$W$143,3,FALSE)/VLOOKUP('Source VoT'!$E$27,'Annual Parameters'!$B$33:$W$143,3,FALSE)</f>
        <v>29.048247907411948</v>
      </c>
      <c r="AC42" s="73">
        <f>'Source VoT'!$D$36*1*VLOOKUP($B42,'Annual Parameters'!$B$33:$W$143,21,FALSE)/VLOOKUP('Source VoT'!$F$27,'Annual Parameters'!$B$33:$W$143,21,FALSE)*VLOOKUP($B$14,'Annual Parameters'!$B$33:$W$143,3,FALSE)/VLOOKUP('Source VoT'!$E$27,'Annual Parameters'!$B$33:$W$143,3,FALSE)</f>
        <v>9.9794518259008882</v>
      </c>
      <c r="AD42" s="73">
        <f>'Source VoT'!$D$37*1*VLOOKUP($B42,'Annual Parameters'!$B$33:$W$143,21,FALSE)/VLOOKUP('Source VoT'!$F$27,'Annual Parameters'!$B$33:$W$143,21,FALSE)*VLOOKUP($B$14,'Annual Parameters'!$B$33:$W$143,3,FALSE)/VLOOKUP('Source VoT'!$E$27,'Annual Parameters'!$B$33:$W$143,3,FALSE)</f>
        <v>9.9794518259008882</v>
      </c>
      <c r="AE42" s="73">
        <f>'Source VoT'!$D$38*1*VLOOKUP($B42,'Annual Parameters'!$B$33:$W$143,21,FALSE)/VLOOKUP('Source VoT'!$F$27,'Annual Parameters'!$B$33:$W$143,21,FALSE)*VLOOKUP($B$14,'Annual Parameters'!$B$33:$W$143,3,FALSE)/VLOOKUP('Source VoT'!$E$27,'Annual Parameters'!$B$33:$W$143,3,FALSE)</f>
        <v>9.9794518259008882</v>
      </c>
      <c r="AF42" s="73">
        <f>'Source VoT'!$D$39*1*VLOOKUP($B42,'Annual Parameters'!$B$33:$W$143,21,FALSE)/VLOOKUP('Source VoT'!$F$27,'Annual Parameters'!$B$33:$W$143,21,FALSE)*VLOOKUP($B$14,'Annual Parameters'!$B$33:$W$143,3,FALSE)/VLOOKUP('Source VoT'!$E$27,'Annual Parameters'!$B$33:$W$143,3,FALSE)</f>
        <v>17.610202961496693</v>
      </c>
      <c r="AG42" s="74">
        <f>'Source VoT'!$D$40*1*VLOOKUP($B42,'Annual Parameters'!$B$33:$W$143,21,FALSE)/VLOOKUP('Source VoT'!$F$27,'Annual Parameters'!$B$33:$W$143,21,FALSE)*VLOOKUP($B$14,'Annual Parameters'!$B$33:$W$143,3,FALSE)/VLOOKUP('Source VoT'!$E$27,'Annual Parameters'!$B$33:$W$143,3,FALSE)</f>
        <v>19.181529496578111</v>
      </c>
      <c r="AH42" s="73">
        <f>'Source VoT'!$D$45*1*VLOOKUP($B42,'Annual Parameters'!$B$33:$W$143,22,FALSE)/VLOOKUP('Source VoT'!$F$27,'Annual Parameters'!$B$33:$W$143,22,FALSE)*VLOOKUP($B$14,'Annual Parameters'!$B$33:$W$143,3,FALSE)/VLOOKUP('Source VoT'!$E$27,'Annual Parameters'!$B$33:$W$143,3,FALSE)</f>
        <v>11.791502792770865</v>
      </c>
      <c r="AI42" s="73">
        <f>'Source VoT'!$D$46*1*VLOOKUP($B42,'Annual Parameters'!$B$33:$W$143,22,FALSE)/VLOOKUP('Source VoT'!$F$27,'Annual Parameters'!$B$33:$W$143,22,FALSE)*VLOOKUP($B$14,'Annual Parameters'!$B$33:$W$143,3,FALSE)/VLOOKUP('Source VoT'!$E$27,'Annual Parameters'!$B$33:$W$143,3,FALSE)</f>
        <v>5.3819957390514226</v>
      </c>
      <c r="AJ42" s="117">
        <f>'Source VoT'!$D$27*VLOOKUP($B42,'Indirect tax correction'!$B$27:$I$127,7,FALSE)*VLOOKUP($B42,'Annual Parameters'!$B$33:$W$143,21,FALSE)/VLOOKUP('Source VoT'!$F$27,'Annual Parameters'!$B$33:$W$143,21,FALSE)*VLOOKUP($B$14,'Annual Parameters'!$B$33:$W$143,3,FALSE)/VLOOKUP('Source VoT'!$E$27,'Annual Parameters'!$B$33:$W$143,3,FALSE)</f>
        <v>20.956141524181064</v>
      </c>
      <c r="AK42" s="73">
        <f>'Source VoT'!$D$28*VLOOKUP($B42,'Indirect tax correction'!$B$27:$I$127,7,FALSE)*VLOOKUP($B42,'Annual Parameters'!$B$33:$W$143,21,FALSE)/VLOOKUP('Source VoT'!$F$27,'Annual Parameters'!$B$33:$W$143,21,FALSE)*VLOOKUP($B$14,'Annual Parameters'!$B$33:$W$143,3,FALSE)/VLOOKUP('Source VoT'!$E$27,'Annual Parameters'!$B$33:$W$143,3,FALSE)</f>
        <v>20.956141524181064</v>
      </c>
      <c r="AL42" s="73">
        <f>'Source VoT'!$D$29*VLOOKUP($B42,'Indirect tax correction'!$B$27:$I$127,7,FALSE)*VLOOKUP($B42,'Annual Parameters'!$B$33:$W$143,21,FALSE)/VLOOKUP('Source VoT'!$F$27,'Annual Parameters'!$B$33:$W$143,21,FALSE)*VLOOKUP($B$14,'Annual Parameters'!$B$33:$W$143,3,FALSE)/VLOOKUP('Source VoT'!$E$27,'Annual Parameters'!$B$33:$W$143,3,FALSE)</f>
        <v>14.429922453046821</v>
      </c>
      <c r="AM42" s="73">
        <f>'Source VoT'!$D$30*VLOOKUP($B42,'Indirect tax correction'!$B$27:$I$127,7,FALSE)*VLOOKUP($B42,'Annual Parameters'!$B$33:$W$143,21,FALSE)/VLOOKUP('Source VoT'!$F$27,'Annual Parameters'!$B$33:$W$143,21,FALSE)*VLOOKUP($B$14,'Annual Parameters'!$B$33:$W$143,3,FALSE)/VLOOKUP('Source VoT'!$E$27,'Annual Parameters'!$B$33:$W$143,3,FALSE)</f>
        <v>17.001922519909332</v>
      </c>
      <c r="AN42" s="73">
        <f>'Source VoT'!$D$31*VLOOKUP($B42,'Indirect tax correction'!$B$27:$I$127,7,FALSE)*VLOOKUP($B42,'Annual Parameters'!$B$33:$W$143,21,FALSE)/VLOOKUP('Source VoT'!$F$27,'Annual Parameters'!$B$33:$W$143,21,FALSE)*VLOOKUP($B$14,'Annual Parameters'!$B$33:$W$143,3,FALSE)/VLOOKUP('Source VoT'!$E$27,'Annual Parameters'!$B$33:$W$143,3,FALSE)</f>
        <v>17.369351100889691</v>
      </c>
      <c r="AO42" s="73">
        <f>'Source VoT'!$D$32*VLOOKUP($B42,'Indirect tax correction'!$B$27:$I$127,7,FALSE)*VLOOKUP($B42,'Annual Parameters'!$B$33:$W$143,21,FALSE)/VLOOKUP('Source VoT'!$F$27,'Annual Parameters'!$B$33:$W$143,21,FALSE)*VLOOKUP($B$14,'Annual Parameters'!$B$33:$W$143,3,FALSE)/VLOOKUP('Source VoT'!$E$27,'Annual Parameters'!$B$33:$W$143,3,FALSE)</f>
        <v>11.875547672822059</v>
      </c>
      <c r="AP42" s="73">
        <f>'Source VoT'!$D$33*VLOOKUP($B42,'Indirect tax correction'!$B$27:$I$127,7,FALSE)*VLOOKUP($B42,'Annual Parameters'!$B$33:$W$143,21,FALSE)/VLOOKUP('Source VoT'!$F$27,'Annual Parameters'!$B$33:$W$143,21,FALSE)*VLOOKUP($B$14,'Annual Parameters'!$B$33:$W$143,3,FALSE)/VLOOKUP('Source VoT'!$E$27,'Annual Parameters'!$B$33:$W$143,3,FALSE)</f>
        <v>15.348493905497714</v>
      </c>
      <c r="AQ42" s="73">
        <f>'Source VoT'!$D$34*VLOOKUP($B42,'Indirect tax correction'!$B$27:$I$127,7,FALSE)*VLOOKUP($B42,'Annual Parameters'!$B$33:$W$143,21,FALSE)/VLOOKUP('Source VoT'!$F$27,'Annual Parameters'!$B$33:$W$143,21,FALSE)*VLOOKUP($B$14,'Annual Parameters'!$B$33:$W$143,3,FALSE)/VLOOKUP('Source VoT'!$E$27,'Annual Parameters'!$B$33:$W$143,3,FALSE)</f>
        <v>20.956141524181064</v>
      </c>
      <c r="AR42" s="73">
        <f>'Source VoT'!$D$35*VLOOKUP($B42,'Indirect tax correction'!$B$27:$I$127,7,FALSE)*VLOOKUP($B42,'Annual Parameters'!$B$33:$W$143,21,FALSE)/VLOOKUP('Source VoT'!$F$27,'Annual Parameters'!$B$33:$W$143,21,FALSE)*VLOOKUP($B$14,'Annual Parameters'!$B$33:$W$143,3,FALSE)/VLOOKUP('Source VoT'!$E$27,'Annual Parameters'!$B$33:$W$143,3,FALSE)</f>
        <v>34.567415009820216</v>
      </c>
      <c r="AS42" s="73">
        <f>'Source VoT'!$D$36*VLOOKUP($B42,'Indirect tax correction'!$B$27:$I$127,7,FALSE)*VLOOKUP($B42,'Annual Parameters'!$B$33:$W$143,21,FALSE)/VLOOKUP('Source VoT'!$F$27,'Annual Parameters'!$B$33:$W$143,21,FALSE)*VLOOKUP($B$14,'Annual Parameters'!$B$33:$W$143,3,FALSE)/VLOOKUP('Source VoT'!$E$27,'Annual Parameters'!$B$33:$W$143,3,FALSE)</f>
        <v>11.875547672822059</v>
      </c>
      <c r="AT42" s="73">
        <f>'Source VoT'!$D$37*VLOOKUP($B42,'Indirect tax correction'!$B$27:$I$127,7,FALSE)*VLOOKUP($B42,'Annual Parameters'!$B$33:$W$143,21,FALSE)/VLOOKUP('Source VoT'!$F$27,'Annual Parameters'!$B$33:$W$143,21,FALSE)*VLOOKUP($B$14,'Annual Parameters'!$B$33:$W$143,3,FALSE)/VLOOKUP('Source VoT'!$E$27,'Annual Parameters'!$B$33:$W$143,3,FALSE)</f>
        <v>11.875547672822059</v>
      </c>
      <c r="AU42" s="73">
        <f>'Source VoT'!$D$38*VLOOKUP($B42,'Indirect tax correction'!$B$27:$I$127,7,FALSE)*VLOOKUP($B42,'Annual Parameters'!$B$33:$W$143,21,FALSE)/VLOOKUP('Source VoT'!$F$27,'Annual Parameters'!$B$33:$W$143,21,FALSE)*VLOOKUP($B$14,'Annual Parameters'!$B$33:$W$143,3,FALSE)/VLOOKUP('Source VoT'!$E$27,'Annual Parameters'!$B$33:$W$143,3,FALSE)</f>
        <v>11.875547672822059</v>
      </c>
      <c r="AV42" s="73">
        <f>'Source VoT'!$D$39*VLOOKUP($B42,'Indirect tax correction'!$B$27:$I$127,7,FALSE)*VLOOKUP($B42,'Annual Parameters'!$B$33:$W$143,21,FALSE)/VLOOKUP('Source VoT'!$F$27,'Annual Parameters'!$B$33:$W$143,21,FALSE)*VLOOKUP($B$14,'Annual Parameters'!$B$33:$W$143,3,FALSE)/VLOOKUP('Source VoT'!$E$27,'Annual Parameters'!$B$33:$W$143,3,FALSE)</f>
        <v>20.956141524181064</v>
      </c>
      <c r="AW42" s="74">
        <f>'Source VoT'!$D$40*VLOOKUP($B42,'Indirect tax correction'!$B$27:$I$127,7,FALSE)*VLOOKUP($B42,'Annual Parameters'!$B$33:$W$143,21,FALSE)/VLOOKUP('Source VoT'!$F$27,'Annual Parameters'!$B$33:$W$143,21,FALSE)*VLOOKUP($B$14,'Annual Parameters'!$B$33:$W$143,3,FALSE)/VLOOKUP('Source VoT'!$E$27,'Annual Parameters'!$B$33:$W$143,3,FALSE)</f>
        <v>22.826020100927952</v>
      </c>
      <c r="AX42" s="73">
        <f>'Source VoT'!$D$45*VLOOKUP($B42,'Indirect tax correction'!$B$27:$I$127,8,FALSE)*VLOOKUP($B42,'Annual Parameters'!$B$33:$W$143,22,FALSE)/VLOOKUP('Source VoT'!$F$27,'Annual Parameters'!$B$33:$W$143,22,FALSE)*VLOOKUP($B$14,'Annual Parameters'!$B$33:$W$143,3,FALSE)/VLOOKUP('Source VoT'!$E$27,'Annual Parameters'!$B$33:$W$143,3,FALSE)</f>
        <v>11.791502792770865</v>
      </c>
      <c r="AY42" s="74">
        <f>'Source VoT'!$D$46*VLOOKUP($B42,'Indirect tax correction'!$B$27:$I$127,8,FALSE)*VLOOKUP($B42,'Annual Parameters'!$B$33:$W$143,22,FALSE)/VLOOKUP('Source VoT'!$F$27,'Annual Parameters'!$B$33:$W$143,22,FALSE)*VLOOKUP($B$14,'Annual Parameters'!$B$33:$W$143,3,FALSE)/VLOOKUP('Source VoT'!$E$27,'Annual Parameters'!$B$33:$W$143,3,FALSE)</f>
        <v>5.3819957390514226</v>
      </c>
      <c r="AZ42" s="2875"/>
      <c r="BA42" s="2875"/>
      <c r="BB42" s="2875"/>
      <c r="BC42" s="2875"/>
      <c r="BD42" s="2875"/>
      <c r="BE42" s="2875"/>
      <c r="BF42" s="2875"/>
      <c r="BG42" s="2875"/>
    </row>
    <row r="43" spans="1:60" ht="13.5" customHeight="1">
      <c r="A43" s="90"/>
      <c r="B43" s="82">
        <f t="shared" si="0"/>
        <v>2026</v>
      </c>
      <c r="C43" s="82"/>
      <c r="D43" s="117">
        <f>'Source VoT'!$D$27*VLOOKUP($B43,'Indirect tax correction'!$B$27:$I$127,5,FALSE)*VLOOKUP($B43,'Annual Parameters'!$B$33:$W$143,21,FALSE)/VLOOKUP('Source VoT'!$F$27,'Annual Parameters'!$B$33:$W$143,21,FALSE)*VLOOKUP($B$14,'Annual Parameters'!$B$33:$W$143,3,FALSE)/VLOOKUP('Source VoT'!$E$27,'Annual Parameters'!$B$33:$W$143,3,FALSE)</f>
        <v>17.882251864150611</v>
      </c>
      <c r="E43" s="73">
        <f>'Source VoT'!$D$28*VLOOKUP($B43,'Indirect tax correction'!$B$27:$I$127,5,FALSE)*VLOOKUP($B43,'Annual Parameters'!$B$33:$W$143,21,FALSE)/VLOOKUP('Source VoT'!$F$27,'Annual Parameters'!$B$33:$W$143,21,FALSE)*VLOOKUP($B$14,'Annual Parameters'!$B$33:$W$143,3,FALSE)/VLOOKUP('Source VoT'!$E$27,'Annual Parameters'!$B$33:$W$143,3,FALSE)</f>
        <v>17.882251864150611</v>
      </c>
      <c r="F43" s="73">
        <f>'Source VoT'!$D$29*VLOOKUP($B43,'Indirect tax correction'!$B$27:$I$127,5,FALSE)*VLOOKUP($B43,'Annual Parameters'!$B$33:$W$143,21,FALSE)/VLOOKUP('Source VoT'!$F$27,'Annual Parameters'!$B$33:$W$143,21,FALSE)*VLOOKUP($B$14,'Annual Parameters'!$B$33:$W$143,3,FALSE)/VLOOKUP('Source VoT'!$E$27,'Annual Parameters'!$B$33:$W$143,3,FALSE)</f>
        <v>12.313311941885688</v>
      </c>
      <c r="G43" s="73">
        <f>'Source VoT'!$D$30*VLOOKUP($B43,'Indirect tax correction'!$B$27:$I$127,5,FALSE)*VLOOKUP($B43,'Annual Parameters'!$B$33:$W$143,21,FALSE)/VLOOKUP('Source VoT'!$F$27,'Annual Parameters'!$B$33:$W$143,21,FALSE)*VLOOKUP($B$14,'Annual Parameters'!$B$33:$W$143,3,FALSE)/VLOOKUP('Source VoT'!$E$27,'Annual Parameters'!$B$33:$W$143,3,FALSE)</f>
        <v>14.508045783379201</v>
      </c>
      <c r="H43" s="73">
        <f>'Source VoT'!$D$31*VLOOKUP($B43,'Indirect tax correction'!$B$27:$I$127,5,FALSE)*VLOOKUP($B43,'Annual Parameters'!$B$33:$W$143,21,FALSE)/VLOOKUP('Source VoT'!$F$27,'Annual Parameters'!$B$33:$W$143,21,FALSE)*VLOOKUP($B$14,'Annual Parameters'!$B$33:$W$143,3,FALSE)/VLOOKUP('Source VoT'!$E$27,'Annual Parameters'!$B$33:$W$143,3,FALSE)</f>
        <v>14.821579189306847</v>
      </c>
      <c r="I43" s="73">
        <f>'Source VoT'!$D$32*VLOOKUP($B43,'Indirect tax correction'!$B$27:$I$127,5,FALSE)*VLOOKUP($B43,'Annual Parameters'!$B$33:$W$143,21,FALSE)/VLOOKUP('Source VoT'!$F$27,'Annual Parameters'!$B$33:$W$143,21,FALSE)*VLOOKUP($B$14,'Annual Parameters'!$B$33:$W$143,3,FALSE)/VLOOKUP('Source VoT'!$E$27,'Annual Parameters'!$B$33:$W$143,3,FALSE)</f>
        <v>10.133618073970823</v>
      </c>
      <c r="J43" s="73">
        <f>'Source VoT'!$D$33*VLOOKUP($B43,'Indirect tax correction'!$B$27:$I$127,5,FALSE)*VLOOKUP($B43,'Annual Parameters'!$B$33:$W$143,21,FALSE)/VLOOKUP('Source VoT'!$F$27,'Annual Parameters'!$B$33:$W$143,21,FALSE)*VLOOKUP($B$14,'Annual Parameters'!$B$33:$W$143,3,FALSE)/VLOOKUP('Source VoT'!$E$27,'Annual Parameters'!$B$33:$W$143,3,FALSE)</f>
        <v>13.0971454567048</v>
      </c>
      <c r="K43" s="73">
        <f>'Source VoT'!$D$34*VLOOKUP($B43,'Indirect tax correction'!$B$27:$I$127,5,FALSE)*VLOOKUP($B43,'Annual Parameters'!$B$33:$W$143,21,FALSE)/VLOOKUP('Source VoT'!$F$27,'Annual Parameters'!$B$33:$W$143,21,FALSE)*VLOOKUP($B$14,'Annual Parameters'!$B$33:$W$143,3,FALSE)/VLOOKUP('Source VoT'!$E$27,'Annual Parameters'!$B$33:$W$143,3,FALSE)</f>
        <v>17.882251864150611</v>
      </c>
      <c r="L43" s="73">
        <f>'Source VoT'!$D$35*VLOOKUP($B43,'Indirect tax correction'!$B$27:$I$127,5,FALSE)*VLOOKUP($B43,'Annual Parameters'!$B$33:$W$143,21,FALSE)/VLOOKUP('Source VoT'!$F$27,'Annual Parameters'!$B$33:$W$143,21,FALSE)*VLOOKUP($B$14,'Annual Parameters'!$B$33:$W$143,3,FALSE)/VLOOKUP('Source VoT'!$E$27,'Annual Parameters'!$B$33:$W$143,3,FALSE)</f>
        <v>29.496995941975126</v>
      </c>
      <c r="M43" s="73">
        <f>'Source VoT'!$D$36*VLOOKUP($B43,'Indirect tax correction'!$B$27:$I$127,5,FALSE)*VLOOKUP($B43,'Annual Parameters'!$B$33:$W$143,21,FALSE)/VLOOKUP('Source VoT'!$F$27,'Annual Parameters'!$B$33:$W$143,21,FALSE)*VLOOKUP($B$14,'Annual Parameters'!$B$33:$W$143,3,FALSE)/VLOOKUP('Source VoT'!$E$27,'Annual Parameters'!$B$33:$W$143,3,FALSE)</f>
        <v>10.133618073970823</v>
      </c>
      <c r="N43" s="73">
        <f>'Source VoT'!$D$37*VLOOKUP($B43,'Indirect tax correction'!$B$27:$I$127,5,FALSE)*VLOOKUP($B43,'Annual Parameters'!$B$33:$W$143,21,FALSE)/VLOOKUP('Source VoT'!$F$27,'Annual Parameters'!$B$33:$W$143,21,FALSE)*VLOOKUP($B$14,'Annual Parameters'!$B$33:$W$143,3,FALSE)/VLOOKUP('Source VoT'!$E$27,'Annual Parameters'!$B$33:$W$143,3,FALSE)</f>
        <v>10.133618073970823</v>
      </c>
      <c r="O43" s="73">
        <f>'Source VoT'!$D$38*VLOOKUP($B43,'Indirect tax correction'!$B$27:$I$127,5,FALSE)*VLOOKUP($B43,'Annual Parameters'!$B$33:$W$143,21,FALSE)/VLOOKUP('Source VoT'!$F$27,'Annual Parameters'!$B$33:$W$143,21,FALSE)*VLOOKUP($B$14,'Annual Parameters'!$B$33:$W$143,3,FALSE)/VLOOKUP('Source VoT'!$E$27,'Annual Parameters'!$B$33:$W$143,3,FALSE)</f>
        <v>10.133618073970823</v>
      </c>
      <c r="P43" s="73">
        <f>'Source VoT'!$D$39*VLOOKUP($B43,'Indirect tax correction'!$B$27:$I$127,5,FALSE)*VLOOKUP($B43,'Annual Parameters'!$B$33:$W$143,21,FALSE)/VLOOKUP('Source VoT'!$F$27,'Annual Parameters'!$B$33:$W$143,21,FALSE)*VLOOKUP($B$14,'Annual Parameters'!$B$33:$W$143,3,FALSE)/VLOOKUP('Source VoT'!$E$27,'Annual Parameters'!$B$33:$W$143,3,FALSE)</f>
        <v>17.882251864150611</v>
      </c>
      <c r="Q43" s="74">
        <f>'Source VoT'!$D$40*VLOOKUP($B43,'Indirect tax correction'!$B$27:$I$127,5,FALSE)*VLOOKUP($B43,'Annual Parameters'!$B$33:$W$143,21,FALSE)/VLOOKUP('Source VoT'!$F$27,'Annual Parameters'!$B$33:$W$143,21,FALSE)*VLOOKUP($B$14,'Annual Parameters'!$B$33:$W$143,3,FALSE)/VLOOKUP('Source VoT'!$E$27,'Annual Parameters'!$B$33:$W$143,3,FALSE)</f>
        <v>19.477852830396426</v>
      </c>
      <c r="R43" s="73">
        <f>'Source VoT'!$D$45*VLOOKUP($B43,'Indirect tax correction'!$B$27:$I$127,6,FALSE)*VLOOKUP($B43,'Annual Parameters'!$B$33:$W$143,22,FALSE)/VLOOKUP('Source VoT'!$F$27,'Annual Parameters'!$B$33:$W$143,22,FALSE)*VLOOKUP($B$14,'Annual Parameters'!$B$33:$W$143,3,FALSE)/VLOOKUP('Source VoT'!$E$27,'Annual Parameters'!$B$33:$W$143,3,FALSE)</f>
        <v>10.061901068660775</v>
      </c>
      <c r="S43" s="73">
        <f>'Source VoT'!$D$46*VLOOKUP($B43,'Indirect tax correction'!$B$27:$I$127,6,FALSE)*VLOOKUP($B43,'Annual Parameters'!$B$33:$W$143,22,FALSE)/VLOOKUP('Source VoT'!$F$27,'Annual Parameters'!$B$33:$W$143,22,FALSE)*VLOOKUP($B$14,'Annual Parameters'!$B$33:$W$143,3,FALSE)/VLOOKUP('Source VoT'!$E$27,'Annual Parameters'!$B$33:$W$143,3,FALSE)</f>
        <v>4.5925536066097914</v>
      </c>
      <c r="T43" s="117">
        <f>'Source VoT'!$D$27*1*VLOOKUP($B43,'Annual Parameters'!$B$33:$W$143,21,FALSE)/VLOOKUP('Source VoT'!$F$27,'Annual Parameters'!$B$33:$W$143,21,FALSE)*VLOOKUP($B$14,'Annual Parameters'!$B$33:$W$143,3,FALSE)/VLOOKUP('Source VoT'!$E$27,'Annual Parameters'!$B$33:$W$143,3,FALSE)</f>
        <v>17.882251864150611</v>
      </c>
      <c r="U43" s="73">
        <f>'Source VoT'!$D$28*1*VLOOKUP($B43,'Annual Parameters'!$B$33:$W$143,21,FALSE)/VLOOKUP('Source VoT'!$F$27,'Annual Parameters'!$B$33:$W$143,21,FALSE)*VLOOKUP($B$14,'Annual Parameters'!$B$33:$W$143,3,FALSE)/VLOOKUP('Source VoT'!$E$27,'Annual Parameters'!$B$33:$W$143,3,FALSE)</f>
        <v>17.882251864150611</v>
      </c>
      <c r="V43" s="73">
        <f>'Source VoT'!$D$29*1*VLOOKUP($B43,'Annual Parameters'!$B$33:$W$143,21,FALSE)/VLOOKUP('Source VoT'!$F$27,'Annual Parameters'!$B$33:$W$143,21,FALSE)*VLOOKUP($B$14,'Annual Parameters'!$B$33:$W$143,3,FALSE)/VLOOKUP('Source VoT'!$E$27,'Annual Parameters'!$B$33:$W$143,3,FALSE)</f>
        <v>12.313311941885688</v>
      </c>
      <c r="W43" s="73">
        <f>'Source VoT'!$D$30*1*VLOOKUP($B43,'Annual Parameters'!$B$33:$W$143,21,FALSE)/VLOOKUP('Source VoT'!$F$27,'Annual Parameters'!$B$33:$W$143,21,FALSE)*VLOOKUP($B$14,'Annual Parameters'!$B$33:$W$143,3,FALSE)/VLOOKUP('Source VoT'!$E$27,'Annual Parameters'!$B$33:$W$143,3,FALSE)</f>
        <v>14.508045783379201</v>
      </c>
      <c r="X43" s="73">
        <f>'Source VoT'!$D$31*1*VLOOKUP($B43,'Annual Parameters'!$B$33:$W$143,21,FALSE)/VLOOKUP('Source VoT'!$F$27,'Annual Parameters'!$B$33:$W$143,21,FALSE)*VLOOKUP($B$14,'Annual Parameters'!$B$33:$W$143,3,FALSE)/VLOOKUP('Source VoT'!$E$27,'Annual Parameters'!$B$33:$W$143,3,FALSE)</f>
        <v>14.821579189306847</v>
      </c>
      <c r="Y43" s="73">
        <f>'Source VoT'!$D$32*1*VLOOKUP($B43,'Annual Parameters'!$B$33:$W$143,21,FALSE)/VLOOKUP('Source VoT'!$F$27,'Annual Parameters'!$B$33:$W$143,21,FALSE)*VLOOKUP($B$14,'Annual Parameters'!$B$33:$W$143,3,FALSE)/VLOOKUP('Source VoT'!$E$27,'Annual Parameters'!$B$33:$W$143,3,FALSE)</f>
        <v>10.133618073970823</v>
      </c>
      <c r="Z43" s="73">
        <f>'Source VoT'!$D$33*1*VLOOKUP($B43,'Annual Parameters'!$B$33:$W$143,21,FALSE)/VLOOKUP('Source VoT'!$F$27,'Annual Parameters'!$B$33:$W$143,21,FALSE)*VLOOKUP($B$14,'Annual Parameters'!$B$33:$W$143,3,FALSE)/VLOOKUP('Source VoT'!$E$27,'Annual Parameters'!$B$33:$W$143,3,FALSE)</f>
        <v>13.0971454567048</v>
      </c>
      <c r="AA43" s="73">
        <f>'Source VoT'!$D$34*1*VLOOKUP($B43,'Annual Parameters'!$B$33:$W$143,21,FALSE)/VLOOKUP('Source VoT'!$F$27,'Annual Parameters'!$B$33:$W$143,21,FALSE)*VLOOKUP($B$14,'Annual Parameters'!$B$33:$W$143,3,FALSE)/VLOOKUP('Source VoT'!$E$27,'Annual Parameters'!$B$33:$W$143,3,FALSE)</f>
        <v>17.882251864150611</v>
      </c>
      <c r="AB43" s="73">
        <f>'Source VoT'!$D$35*1*VLOOKUP($B43,'Annual Parameters'!$B$33:$W$143,21,FALSE)/VLOOKUP('Source VoT'!$F$27,'Annual Parameters'!$B$33:$W$143,21,FALSE)*VLOOKUP($B$14,'Annual Parameters'!$B$33:$W$143,3,FALSE)/VLOOKUP('Source VoT'!$E$27,'Annual Parameters'!$B$33:$W$143,3,FALSE)</f>
        <v>29.496995941975126</v>
      </c>
      <c r="AC43" s="73">
        <f>'Source VoT'!$D$36*1*VLOOKUP($B43,'Annual Parameters'!$B$33:$W$143,21,FALSE)/VLOOKUP('Source VoT'!$F$27,'Annual Parameters'!$B$33:$W$143,21,FALSE)*VLOOKUP($B$14,'Annual Parameters'!$B$33:$W$143,3,FALSE)/VLOOKUP('Source VoT'!$E$27,'Annual Parameters'!$B$33:$W$143,3,FALSE)</f>
        <v>10.133618073970823</v>
      </c>
      <c r="AD43" s="73">
        <f>'Source VoT'!$D$37*1*VLOOKUP($B43,'Annual Parameters'!$B$33:$W$143,21,FALSE)/VLOOKUP('Source VoT'!$F$27,'Annual Parameters'!$B$33:$W$143,21,FALSE)*VLOOKUP($B$14,'Annual Parameters'!$B$33:$W$143,3,FALSE)/VLOOKUP('Source VoT'!$E$27,'Annual Parameters'!$B$33:$W$143,3,FALSE)</f>
        <v>10.133618073970823</v>
      </c>
      <c r="AE43" s="73">
        <f>'Source VoT'!$D$38*1*VLOOKUP($B43,'Annual Parameters'!$B$33:$W$143,21,FALSE)/VLOOKUP('Source VoT'!$F$27,'Annual Parameters'!$B$33:$W$143,21,FALSE)*VLOOKUP($B$14,'Annual Parameters'!$B$33:$W$143,3,FALSE)/VLOOKUP('Source VoT'!$E$27,'Annual Parameters'!$B$33:$W$143,3,FALSE)</f>
        <v>10.133618073970823</v>
      </c>
      <c r="AF43" s="73">
        <f>'Source VoT'!$D$39*1*VLOOKUP($B43,'Annual Parameters'!$B$33:$W$143,21,FALSE)/VLOOKUP('Source VoT'!$F$27,'Annual Parameters'!$B$33:$W$143,21,FALSE)*VLOOKUP($B$14,'Annual Parameters'!$B$33:$W$143,3,FALSE)/VLOOKUP('Source VoT'!$E$27,'Annual Parameters'!$B$33:$W$143,3,FALSE)</f>
        <v>17.882251864150611</v>
      </c>
      <c r="AG43" s="74">
        <f>'Source VoT'!$D$40*1*VLOOKUP($B43,'Annual Parameters'!$B$33:$W$143,21,FALSE)/VLOOKUP('Source VoT'!$F$27,'Annual Parameters'!$B$33:$W$143,21,FALSE)*VLOOKUP($B$14,'Annual Parameters'!$B$33:$W$143,3,FALSE)/VLOOKUP('Source VoT'!$E$27,'Annual Parameters'!$B$33:$W$143,3,FALSE)</f>
        <v>19.477852830396426</v>
      </c>
      <c r="AH43" s="73">
        <f>'Source VoT'!$D$45*1*VLOOKUP($B43,'Annual Parameters'!$B$33:$W$143,22,FALSE)/VLOOKUP('Source VoT'!$F$27,'Annual Parameters'!$B$33:$W$143,22,FALSE)*VLOOKUP($B$14,'Annual Parameters'!$B$33:$W$143,3,FALSE)/VLOOKUP('Source VoT'!$E$27,'Annual Parameters'!$B$33:$W$143,3,FALSE)</f>
        <v>11.973662271706324</v>
      </c>
      <c r="AI43" s="73">
        <f>'Source VoT'!$D$46*1*VLOOKUP($B43,'Annual Parameters'!$B$33:$W$143,22,FALSE)/VLOOKUP('Source VoT'!$F$27,'Annual Parameters'!$B$33:$W$143,22,FALSE)*VLOOKUP($B$14,'Annual Parameters'!$B$33:$W$143,3,FALSE)/VLOOKUP('Source VoT'!$E$27,'Annual Parameters'!$B$33:$W$143,3,FALSE)</f>
        <v>5.4651387918656518</v>
      </c>
      <c r="AJ43" s="117">
        <f>'Source VoT'!$D$27*VLOOKUP($B43,'Indirect tax correction'!$B$27:$I$127,7,FALSE)*VLOOKUP($B43,'Annual Parameters'!$B$33:$W$143,21,FALSE)/VLOOKUP('Source VoT'!$F$27,'Annual Parameters'!$B$33:$W$143,21,FALSE)*VLOOKUP($B$14,'Annual Parameters'!$B$33:$W$143,3,FALSE)/VLOOKUP('Source VoT'!$E$27,'Annual Parameters'!$B$33:$W$143,3,FALSE)</f>
        <v>21.279879718339224</v>
      </c>
      <c r="AK43" s="73">
        <f>'Source VoT'!$D$28*VLOOKUP($B43,'Indirect tax correction'!$B$27:$I$127,7,FALSE)*VLOOKUP($B43,'Annual Parameters'!$B$33:$W$143,21,FALSE)/VLOOKUP('Source VoT'!$F$27,'Annual Parameters'!$B$33:$W$143,21,FALSE)*VLOOKUP($B$14,'Annual Parameters'!$B$33:$W$143,3,FALSE)/VLOOKUP('Source VoT'!$E$27,'Annual Parameters'!$B$33:$W$143,3,FALSE)</f>
        <v>21.279879718339224</v>
      </c>
      <c r="AL43" s="73">
        <f>'Source VoT'!$D$29*VLOOKUP($B43,'Indirect tax correction'!$B$27:$I$127,7,FALSE)*VLOOKUP($B43,'Annual Parameters'!$B$33:$W$143,21,FALSE)/VLOOKUP('Source VoT'!$F$27,'Annual Parameters'!$B$33:$W$143,21,FALSE)*VLOOKUP($B$14,'Annual Parameters'!$B$33:$W$143,3,FALSE)/VLOOKUP('Source VoT'!$E$27,'Annual Parameters'!$B$33:$W$143,3,FALSE)</f>
        <v>14.652841210843969</v>
      </c>
      <c r="AM43" s="73">
        <f>'Source VoT'!$D$30*VLOOKUP($B43,'Indirect tax correction'!$B$27:$I$127,7,FALSE)*VLOOKUP($B43,'Annual Parameters'!$B$33:$W$143,21,FALSE)/VLOOKUP('Source VoT'!$F$27,'Annual Parameters'!$B$33:$W$143,21,FALSE)*VLOOKUP($B$14,'Annual Parameters'!$B$33:$W$143,3,FALSE)/VLOOKUP('Source VoT'!$E$27,'Annual Parameters'!$B$33:$W$143,3,FALSE)</f>
        <v>17.264574482221246</v>
      </c>
      <c r="AN43" s="73">
        <f>'Source VoT'!$D$31*VLOOKUP($B43,'Indirect tax correction'!$B$27:$I$127,7,FALSE)*VLOOKUP($B43,'Annual Parameters'!$B$33:$W$143,21,FALSE)/VLOOKUP('Source VoT'!$F$27,'Annual Parameters'!$B$33:$W$143,21,FALSE)*VLOOKUP($B$14,'Annual Parameters'!$B$33:$W$143,3,FALSE)/VLOOKUP('Source VoT'!$E$27,'Annual Parameters'!$B$33:$W$143,3,FALSE)</f>
        <v>17.637679235275147</v>
      </c>
      <c r="AO43" s="73">
        <f>'Source VoT'!$D$32*VLOOKUP($B43,'Indirect tax correction'!$B$27:$I$127,7,FALSE)*VLOOKUP($B43,'Annual Parameters'!$B$33:$W$143,21,FALSE)/VLOOKUP('Source VoT'!$F$27,'Annual Parameters'!$B$33:$W$143,21,FALSE)*VLOOKUP($B$14,'Annual Parameters'!$B$33:$W$143,3,FALSE)/VLOOKUP('Source VoT'!$E$27,'Annual Parameters'!$B$33:$W$143,3,FALSE)</f>
        <v>12.059005508025278</v>
      </c>
      <c r="AP43" s="73">
        <f>'Source VoT'!$D$33*VLOOKUP($B43,'Indirect tax correction'!$B$27:$I$127,7,FALSE)*VLOOKUP($B43,'Annual Parameters'!$B$33:$W$143,21,FALSE)/VLOOKUP('Source VoT'!$F$27,'Annual Parameters'!$B$33:$W$143,21,FALSE)*VLOOKUP($B$14,'Annual Parameters'!$B$33:$W$143,3,FALSE)/VLOOKUP('Source VoT'!$E$27,'Annual Parameters'!$B$33:$W$143,3,FALSE)</f>
        <v>15.585603093478708</v>
      </c>
      <c r="AQ43" s="73">
        <f>'Source VoT'!$D$34*VLOOKUP($B43,'Indirect tax correction'!$B$27:$I$127,7,FALSE)*VLOOKUP($B43,'Annual Parameters'!$B$33:$W$143,21,FALSE)/VLOOKUP('Source VoT'!$F$27,'Annual Parameters'!$B$33:$W$143,21,FALSE)*VLOOKUP($B$14,'Annual Parameters'!$B$33:$W$143,3,FALSE)/VLOOKUP('Source VoT'!$E$27,'Annual Parameters'!$B$33:$W$143,3,FALSE)</f>
        <v>21.279879718339224</v>
      </c>
      <c r="AR43" s="73">
        <f>'Source VoT'!$D$35*VLOOKUP($B43,'Indirect tax correction'!$B$27:$I$127,7,FALSE)*VLOOKUP($B43,'Annual Parameters'!$B$33:$W$143,21,FALSE)/VLOOKUP('Source VoT'!$F$27,'Annual Parameters'!$B$33:$W$143,21,FALSE)*VLOOKUP($B$14,'Annual Parameters'!$B$33:$W$143,3,FALSE)/VLOOKUP('Source VoT'!$E$27,'Annual Parameters'!$B$33:$W$143,3,FALSE)</f>
        <v>35.101425170950399</v>
      </c>
      <c r="AS43" s="73">
        <f>'Source VoT'!$D$36*VLOOKUP($B43,'Indirect tax correction'!$B$27:$I$127,7,FALSE)*VLOOKUP($B43,'Annual Parameters'!$B$33:$W$143,21,FALSE)/VLOOKUP('Source VoT'!$F$27,'Annual Parameters'!$B$33:$W$143,21,FALSE)*VLOOKUP($B$14,'Annual Parameters'!$B$33:$W$143,3,FALSE)/VLOOKUP('Source VoT'!$E$27,'Annual Parameters'!$B$33:$W$143,3,FALSE)</f>
        <v>12.059005508025278</v>
      </c>
      <c r="AT43" s="73">
        <f>'Source VoT'!$D$37*VLOOKUP($B43,'Indirect tax correction'!$B$27:$I$127,7,FALSE)*VLOOKUP($B43,'Annual Parameters'!$B$33:$W$143,21,FALSE)/VLOOKUP('Source VoT'!$F$27,'Annual Parameters'!$B$33:$W$143,21,FALSE)*VLOOKUP($B$14,'Annual Parameters'!$B$33:$W$143,3,FALSE)/VLOOKUP('Source VoT'!$E$27,'Annual Parameters'!$B$33:$W$143,3,FALSE)</f>
        <v>12.059005508025278</v>
      </c>
      <c r="AU43" s="73">
        <f>'Source VoT'!$D$38*VLOOKUP($B43,'Indirect tax correction'!$B$27:$I$127,7,FALSE)*VLOOKUP($B43,'Annual Parameters'!$B$33:$W$143,21,FALSE)/VLOOKUP('Source VoT'!$F$27,'Annual Parameters'!$B$33:$W$143,21,FALSE)*VLOOKUP($B$14,'Annual Parameters'!$B$33:$W$143,3,FALSE)/VLOOKUP('Source VoT'!$E$27,'Annual Parameters'!$B$33:$W$143,3,FALSE)</f>
        <v>12.059005508025278</v>
      </c>
      <c r="AV43" s="73">
        <f>'Source VoT'!$D$39*VLOOKUP($B43,'Indirect tax correction'!$B$27:$I$127,7,FALSE)*VLOOKUP($B43,'Annual Parameters'!$B$33:$W$143,21,FALSE)/VLOOKUP('Source VoT'!$F$27,'Annual Parameters'!$B$33:$W$143,21,FALSE)*VLOOKUP($B$14,'Annual Parameters'!$B$33:$W$143,3,FALSE)/VLOOKUP('Source VoT'!$E$27,'Annual Parameters'!$B$33:$W$143,3,FALSE)</f>
        <v>21.279879718339224</v>
      </c>
      <c r="AW43" s="74">
        <f>'Source VoT'!$D$40*VLOOKUP($B43,'Indirect tax correction'!$B$27:$I$127,7,FALSE)*VLOOKUP($B43,'Annual Parameters'!$B$33:$W$143,21,FALSE)/VLOOKUP('Source VoT'!$F$27,'Annual Parameters'!$B$33:$W$143,21,FALSE)*VLOOKUP($B$14,'Annual Parameters'!$B$33:$W$143,3,FALSE)/VLOOKUP('Source VoT'!$E$27,'Annual Parameters'!$B$33:$W$143,3,FALSE)</f>
        <v>23.178644868171745</v>
      </c>
      <c r="AX43" s="73">
        <f>'Source VoT'!$D$45*VLOOKUP($B43,'Indirect tax correction'!$B$27:$I$127,8,FALSE)*VLOOKUP($B43,'Annual Parameters'!$B$33:$W$143,22,FALSE)/VLOOKUP('Source VoT'!$F$27,'Annual Parameters'!$B$33:$W$143,22,FALSE)*VLOOKUP($B$14,'Annual Parameters'!$B$33:$W$143,3,FALSE)/VLOOKUP('Source VoT'!$E$27,'Annual Parameters'!$B$33:$W$143,3,FALSE)</f>
        <v>11.973662271706324</v>
      </c>
      <c r="AY43" s="74">
        <f>'Source VoT'!$D$46*VLOOKUP($B43,'Indirect tax correction'!$B$27:$I$127,8,FALSE)*VLOOKUP($B43,'Annual Parameters'!$B$33:$W$143,22,FALSE)/VLOOKUP('Source VoT'!$F$27,'Annual Parameters'!$B$33:$W$143,22,FALSE)*VLOOKUP($B$14,'Annual Parameters'!$B$33:$W$143,3,FALSE)/VLOOKUP('Source VoT'!$E$27,'Annual Parameters'!$B$33:$W$143,3,FALSE)</f>
        <v>5.4651387918656518</v>
      </c>
      <c r="AZ43" s="2875"/>
      <c r="BA43" s="2875"/>
      <c r="BB43" s="2875"/>
      <c r="BC43" s="2875"/>
      <c r="BD43" s="2875"/>
      <c r="BE43" s="2875"/>
      <c r="BF43" s="2875"/>
      <c r="BG43" s="2875"/>
    </row>
    <row r="44" spans="1:60" ht="13.5" customHeight="1">
      <c r="A44" s="90"/>
      <c r="B44" s="82">
        <f t="shared" si="0"/>
        <v>2027</v>
      </c>
      <c r="C44" s="82"/>
      <c r="D44" s="117">
        <f>'Source VoT'!$D$27*VLOOKUP($B44,'Indirect tax correction'!$B$27:$I$127,5,FALSE)*VLOOKUP($B44,'Annual Parameters'!$B$33:$W$143,21,FALSE)/VLOOKUP('Source VoT'!$F$27,'Annual Parameters'!$B$33:$W$143,21,FALSE)*VLOOKUP($B$14,'Annual Parameters'!$B$33:$W$143,3,FALSE)/VLOOKUP('Source VoT'!$E$27,'Annual Parameters'!$B$33:$W$143,3,FALSE)</f>
        <v>18.178349462094594</v>
      </c>
      <c r="E44" s="73">
        <f>'Source VoT'!$D$28*VLOOKUP($B44,'Indirect tax correction'!$B$27:$I$127,5,FALSE)*VLOOKUP($B44,'Annual Parameters'!$B$33:$W$143,21,FALSE)/VLOOKUP('Source VoT'!$F$27,'Annual Parameters'!$B$33:$W$143,21,FALSE)*VLOOKUP($B$14,'Annual Parameters'!$B$33:$W$143,3,FALSE)/VLOOKUP('Source VoT'!$E$27,'Annual Parameters'!$B$33:$W$143,3,FALSE)</f>
        <v>18.178349462094594</v>
      </c>
      <c r="F44" s="73">
        <f>'Source VoT'!$D$29*VLOOKUP($B44,'Indirect tax correction'!$B$27:$I$127,5,FALSE)*VLOOKUP($B44,'Annual Parameters'!$B$33:$W$143,21,FALSE)/VLOOKUP('Source VoT'!$F$27,'Annual Parameters'!$B$33:$W$143,21,FALSE)*VLOOKUP($B$14,'Annual Parameters'!$B$33:$W$143,3,FALSE)/VLOOKUP('Source VoT'!$E$27,'Annual Parameters'!$B$33:$W$143,3,FALSE)</f>
        <v>12.517198013753211</v>
      </c>
      <c r="G44" s="73">
        <f>'Source VoT'!$D$30*VLOOKUP($B44,'Indirect tax correction'!$B$27:$I$127,5,FALSE)*VLOOKUP($B44,'Annual Parameters'!$B$33:$W$143,21,FALSE)/VLOOKUP('Source VoT'!$F$27,'Annual Parameters'!$B$33:$W$143,21,FALSE)*VLOOKUP($B$14,'Annual Parameters'!$B$33:$W$143,3,FALSE)/VLOOKUP('Source VoT'!$E$27,'Annual Parameters'!$B$33:$W$143,3,FALSE)</f>
        <v>14.748272659723108</v>
      </c>
      <c r="H44" s="73">
        <f>'Source VoT'!$D$31*VLOOKUP($B44,'Indirect tax correction'!$B$27:$I$127,5,FALSE)*VLOOKUP($B44,'Annual Parameters'!$B$33:$W$143,21,FALSE)/VLOOKUP('Source VoT'!$F$27,'Annual Parameters'!$B$33:$W$143,21,FALSE)*VLOOKUP($B$14,'Annual Parameters'!$B$33:$W$143,3,FALSE)/VLOOKUP('Source VoT'!$E$27,'Annual Parameters'!$B$33:$W$143,3,FALSE)</f>
        <v>15.066997609147384</v>
      </c>
      <c r="I44" s="73">
        <f>'Source VoT'!$D$32*VLOOKUP($B44,'Indirect tax correction'!$B$27:$I$127,5,FALSE)*VLOOKUP($B44,'Annual Parameters'!$B$33:$W$143,21,FALSE)/VLOOKUP('Source VoT'!$F$27,'Annual Parameters'!$B$33:$W$143,21,FALSE)*VLOOKUP($B$14,'Annual Parameters'!$B$33:$W$143,3,FALSE)/VLOOKUP('Source VoT'!$E$27,'Annual Parameters'!$B$33:$W$143,3,FALSE)</f>
        <v>10.301412375996051</v>
      </c>
      <c r="J44" s="73">
        <f>'Source VoT'!$D$33*VLOOKUP($B44,'Indirect tax correction'!$B$27:$I$127,5,FALSE)*VLOOKUP($B44,'Annual Parameters'!$B$33:$W$143,21,FALSE)/VLOOKUP('Source VoT'!$F$27,'Annual Parameters'!$B$33:$W$143,21,FALSE)*VLOOKUP($B$14,'Annual Parameters'!$B$33:$W$143,3,FALSE)/VLOOKUP('Source VoT'!$E$27,'Annual Parameters'!$B$33:$W$143,3,FALSE)</f>
        <v>13.314010387313887</v>
      </c>
      <c r="K44" s="73">
        <f>'Source VoT'!$D$34*VLOOKUP($B44,'Indirect tax correction'!$B$27:$I$127,5,FALSE)*VLOOKUP($B44,'Annual Parameters'!$B$33:$W$143,21,FALSE)/VLOOKUP('Source VoT'!$F$27,'Annual Parameters'!$B$33:$W$143,21,FALSE)*VLOOKUP($B$14,'Annual Parameters'!$B$33:$W$143,3,FALSE)/VLOOKUP('Source VoT'!$E$27,'Annual Parameters'!$B$33:$W$143,3,FALSE)</f>
        <v>18.178349462094594</v>
      </c>
      <c r="L44" s="73">
        <f>'Source VoT'!$D$35*VLOOKUP($B44,'Indirect tax correction'!$B$27:$I$127,5,FALSE)*VLOOKUP($B44,'Annual Parameters'!$B$33:$W$143,21,FALSE)/VLOOKUP('Source VoT'!$F$27,'Annual Parameters'!$B$33:$W$143,21,FALSE)*VLOOKUP($B$14,'Annual Parameters'!$B$33:$W$143,3,FALSE)/VLOOKUP('Source VoT'!$E$27,'Annual Parameters'!$B$33:$W$143,3,FALSE)</f>
        <v>29.985412597289756</v>
      </c>
      <c r="M44" s="73">
        <f>'Source VoT'!$D$36*VLOOKUP($B44,'Indirect tax correction'!$B$27:$I$127,5,FALSE)*VLOOKUP($B44,'Annual Parameters'!$B$33:$W$143,21,FALSE)/VLOOKUP('Source VoT'!$F$27,'Annual Parameters'!$B$33:$W$143,21,FALSE)*VLOOKUP($B$14,'Annual Parameters'!$B$33:$W$143,3,FALSE)/VLOOKUP('Source VoT'!$E$27,'Annual Parameters'!$B$33:$W$143,3,FALSE)</f>
        <v>10.301412375996051</v>
      </c>
      <c r="N44" s="73">
        <f>'Source VoT'!$D$37*VLOOKUP($B44,'Indirect tax correction'!$B$27:$I$127,5,FALSE)*VLOOKUP($B44,'Annual Parameters'!$B$33:$W$143,21,FALSE)/VLOOKUP('Source VoT'!$F$27,'Annual Parameters'!$B$33:$W$143,21,FALSE)*VLOOKUP($B$14,'Annual Parameters'!$B$33:$W$143,3,FALSE)/VLOOKUP('Source VoT'!$E$27,'Annual Parameters'!$B$33:$W$143,3,FALSE)</f>
        <v>10.301412375996051</v>
      </c>
      <c r="O44" s="73">
        <f>'Source VoT'!$D$38*VLOOKUP($B44,'Indirect tax correction'!$B$27:$I$127,5,FALSE)*VLOOKUP($B44,'Annual Parameters'!$B$33:$W$143,21,FALSE)/VLOOKUP('Source VoT'!$F$27,'Annual Parameters'!$B$33:$W$143,21,FALSE)*VLOOKUP($B$14,'Annual Parameters'!$B$33:$W$143,3,FALSE)/VLOOKUP('Source VoT'!$E$27,'Annual Parameters'!$B$33:$W$143,3,FALSE)</f>
        <v>10.301412375996051</v>
      </c>
      <c r="P44" s="73">
        <f>'Source VoT'!$D$39*VLOOKUP($B44,'Indirect tax correction'!$B$27:$I$127,5,FALSE)*VLOOKUP($B44,'Annual Parameters'!$B$33:$W$143,21,FALSE)/VLOOKUP('Source VoT'!$F$27,'Annual Parameters'!$B$33:$W$143,21,FALSE)*VLOOKUP($B$14,'Annual Parameters'!$B$33:$W$143,3,FALSE)/VLOOKUP('Source VoT'!$E$27,'Annual Parameters'!$B$33:$W$143,3,FALSE)</f>
        <v>18.178349462094594</v>
      </c>
      <c r="Q44" s="74">
        <f>'Source VoT'!$D$40*VLOOKUP($B44,'Indirect tax correction'!$B$27:$I$127,5,FALSE)*VLOOKUP($B44,'Annual Parameters'!$B$33:$W$143,21,FALSE)/VLOOKUP('Source VoT'!$F$27,'Annual Parameters'!$B$33:$W$143,21,FALSE)*VLOOKUP($B$14,'Annual Parameters'!$B$33:$W$143,3,FALSE)/VLOOKUP('Source VoT'!$E$27,'Annual Parameters'!$B$33:$W$143,3,FALSE)</f>
        <v>19.800370681056439</v>
      </c>
      <c r="R44" s="73">
        <f>'Source VoT'!$D$45*VLOOKUP($B44,'Indirect tax correction'!$B$27:$I$127,6,FALSE)*VLOOKUP($B44,'Annual Parameters'!$B$33:$W$143,22,FALSE)/VLOOKUP('Source VoT'!$F$27,'Annual Parameters'!$B$33:$W$143,22,FALSE)*VLOOKUP($B$14,'Annual Parameters'!$B$33:$W$143,3,FALSE)/VLOOKUP('Source VoT'!$E$27,'Annual Parameters'!$B$33:$W$143,3,FALSE)</f>
        <v>10.228507867391377</v>
      </c>
      <c r="S44" s="73">
        <f>'Source VoT'!$D$46*VLOOKUP($B44,'Indirect tax correction'!$B$27:$I$127,6,FALSE)*VLOOKUP($B44,'Annual Parameters'!$B$33:$W$143,22,FALSE)/VLOOKUP('Source VoT'!$F$27,'Annual Parameters'!$B$33:$W$143,22,FALSE)*VLOOKUP($B$14,'Annual Parameters'!$B$33:$W$143,3,FALSE)/VLOOKUP('Source VoT'!$E$27,'Annual Parameters'!$B$33:$W$143,3,FALSE)</f>
        <v>4.6685979494407013</v>
      </c>
      <c r="T44" s="117">
        <f>'Source VoT'!$D$27*1*VLOOKUP($B44,'Annual Parameters'!$B$33:$W$143,21,FALSE)/VLOOKUP('Source VoT'!$F$27,'Annual Parameters'!$B$33:$W$143,21,FALSE)*VLOOKUP($B$14,'Annual Parameters'!$B$33:$W$143,3,FALSE)/VLOOKUP('Source VoT'!$E$27,'Annual Parameters'!$B$33:$W$143,3,FALSE)</f>
        <v>18.178349462094594</v>
      </c>
      <c r="U44" s="73">
        <f>'Source VoT'!$D$28*1*VLOOKUP($B44,'Annual Parameters'!$B$33:$W$143,21,FALSE)/VLOOKUP('Source VoT'!$F$27,'Annual Parameters'!$B$33:$W$143,21,FALSE)*VLOOKUP($B$14,'Annual Parameters'!$B$33:$W$143,3,FALSE)/VLOOKUP('Source VoT'!$E$27,'Annual Parameters'!$B$33:$W$143,3,FALSE)</f>
        <v>18.178349462094594</v>
      </c>
      <c r="V44" s="73">
        <f>'Source VoT'!$D$29*1*VLOOKUP($B44,'Annual Parameters'!$B$33:$W$143,21,FALSE)/VLOOKUP('Source VoT'!$F$27,'Annual Parameters'!$B$33:$W$143,21,FALSE)*VLOOKUP($B$14,'Annual Parameters'!$B$33:$W$143,3,FALSE)/VLOOKUP('Source VoT'!$E$27,'Annual Parameters'!$B$33:$W$143,3,FALSE)</f>
        <v>12.517198013753211</v>
      </c>
      <c r="W44" s="73">
        <f>'Source VoT'!$D$30*1*VLOOKUP($B44,'Annual Parameters'!$B$33:$W$143,21,FALSE)/VLOOKUP('Source VoT'!$F$27,'Annual Parameters'!$B$33:$W$143,21,FALSE)*VLOOKUP($B$14,'Annual Parameters'!$B$33:$W$143,3,FALSE)/VLOOKUP('Source VoT'!$E$27,'Annual Parameters'!$B$33:$W$143,3,FALSE)</f>
        <v>14.748272659723108</v>
      </c>
      <c r="X44" s="73">
        <f>'Source VoT'!$D$31*1*VLOOKUP($B44,'Annual Parameters'!$B$33:$W$143,21,FALSE)/VLOOKUP('Source VoT'!$F$27,'Annual Parameters'!$B$33:$W$143,21,FALSE)*VLOOKUP($B$14,'Annual Parameters'!$B$33:$W$143,3,FALSE)/VLOOKUP('Source VoT'!$E$27,'Annual Parameters'!$B$33:$W$143,3,FALSE)</f>
        <v>15.066997609147384</v>
      </c>
      <c r="Y44" s="73">
        <f>'Source VoT'!$D$32*1*VLOOKUP($B44,'Annual Parameters'!$B$33:$W$143,21,FALSE)/VLOOKUP('Source VoT'!$F$27,'Annual Parameters'!$B$33:$W$143,21,FALSE)*VLOOKUP($B$14,'Annual Parameters'!$B$33:$W$143,3,FALSE)/VLOOKUP('Source VoT'!$E$27,'Annual Parameters'!$B$33:$W$143,3,FALSE)</f>
        <v>10.301412375996051</v>
      </c>
      <c r="Z44" s="73">
        <f>'Source VoT'!$D$33*1*VLOOKUP($B44,'Annual Parameters'!$B$33:$W$143,21,FALSE)/VLOOKUP('Source VoT'!$F$27,'Annual Parameters'!$B$33:$W$143,21,FALSE)*VLOOKUP($B$14,'Annual Parameters'!$B$33:$W$143,3,FALSE)/VLOOKUP('Source VoT'!$E$27,'Annual Parameters'!$B$33:$W$143,3,FALSE)</f>
        <v>13.314010387313887</v>
      </c>
      <c r="AA44" s="73">
        <f>'Source VoT'!$D$34*1*VLOOKUP($B44,'Annual Parameters'!$B$33:$W$143,21,FALSE)/VLOOKUP('Source VoT'!$F$27,'Annual Parameters'!$B$33:$W$143,21,FALSE)*VLOOKUP($B$14,'Annual Parameters'!$B$33:$W$143,3,FALSE)/VLOOKUP('Source VoT'!$E$27,'Annual Parameters'!$B$33:$W$143,3,FALSE)</f>
        <v>18.178349462094594</v>
      </c>
      <c r="AB44" s="73">
        <f>'Source VoT'!$D$35*1*VLOOKUP($B44,'Annual Parameters'!$B$33:$W$143,21,FALSE)/VLOOKUP('Source VoT'!$F$27,'Annual Parameters'!$B$33:$W$143,21,FALSE)*VLOOKUP($B$14,'Annual Parameters'!$B$33:$W$143,3,FALSE)/VLOOKUP('Source VoT'!$E$27,'Annual Parameters'!$B$33:$W$143,3,FALSE)</f>
        <v>29.985412597289756</v>
      </c>
      <c r="AC44" s="73">
        <f>'Source VoT'!$D$36*1*VLOOKUP($B44,'Annual Parameters'!$B$33:$W$143,21,FALSE)/VLOOKUP('Source VoT'!$F$27,'Annual Parameters'!$B$33:$W$143,21,FALSE)*VLOOKUP($B$14,'Annual Parameters'!$B$33:$W$143,3,FALSE)/VLOOKUP('Source VoT'!$E$27,'Annual Parameters'!$B$33:$W$143,3,FALSE)</f>
        <v>10.301412375996051</v>
      </c>
      <c r="AD44" s="73">
        <f>'Source VoT'!$D$37*1*VLOOKUP($B44,'Annual Parameters'!$B$33:$W$143,21,FALSE)/VLOOKUP('Source VoT'!$F$27,'Annual Parameters'!$B$33:$W$143,21,FALSE)*VLOOKUP($B$14,'Annual Parameters'!$B$33:$W$143,3,FALSE)/VLOOKUP('Source VoT'!$E$27,'Annual Parameters'!$B$33:$W$143,3,FALSE)</f>
        <v>10.301412375996051</v>
      </c>
      <c r="AE44" s="73">
        <f>'Source VoT'!$D$38*1*VLOOKUP($B44,'Annual Parameters'!$B$33:$W$143,21,FALSE)/VLOOKUP('Source VoT'!$F$27,'Annual Parameters'!$B$33:$W$143,21,FALSE)*VLOOKUP($B$14,'Annual Parameters'!$B$33:$W$143,3,FALSE)/VLOOKUP('Source VoT'!$E$27,'Annual Parameters'!$B$33:$W$143,3,FALSE)</f>
        <v>10.301412375996051</v>
      </c>
      <c r="AF44" s="73">
        <f>'Source VoT'!$D$39*1*VLOOKUP($B44,'Annual Parameters'!$B$33:$W$143,21,FALSE)/VLOOKUP('Source VoT'!$F$27,'Annual Parameters'!$B$33:$W$143,21,FALSE)*VLOOKUP($B$14,'Annual Parameters'!$B$33:$W$143,3,FALSE)/VLOOKUP('Source VoT'!$E$27,'Annual Parameters'!$B$33:$W$143,3,FALSE)</f>
        <v>18.178349462094594</v>
      </c>
      <c r="AG44" s="74">
        <f>'Source VoT'!$D$40*1*VLOOKUP($B44,'Annual Parameters'!$B$33:$W$143,21,FALSE)/VLOOKUP('Source VoT'!$F$27,'Annual Parameters'!$B$33:$W$143,21,FALSE)*VLOOKUP($B$14,'Annual Parameters'!$B$33:$W$143,3,FALSE)/VLOOKUP('Source VoT'!$E$27,'Annual Parameters'!$B$33:$W$143,3,FALSE)</f>
        <v>19.800370681056439</v>
      </c>
      <c r="AH44" s="73">
        <f>'Source VoT'!$D$45*1*VLOOKUP($B44,'Annual Parameters'!$B$33:$W$143,22,FALSE)/VLOOKUP('Source VoT'!$F$27,'Annual Parameters'!$B$33:$W$143,22,FALSE)*VLOOKUP($B$14,'Annual Parameters'!$B$33:$W$143,3,FALSE)/VLOOKUP('Source VoT'!$E$27,'Annual Parameters'!$B$33:$W$143,3,FALSE)</f>
        <v>12.171924362195737</v>
      </c>
      <c r="AI44" s="73">
        <f>'Source VoT'!$D$46*1*VLOOKUP($B44,'Annual Parameters'!$B$33:$W$143,22,FALSE)/VLOOKUP('Source VoT'!$F$27,'Annual Parameters'!$B$33:$W$143,22,FALSE)*VLOOKUP($B$14,'Annual Parameters'!$B$33:$W$143,3,FALSE)/VLOOKUP('Source VoT'!$E$27,'Annual Parameters'!$B$33:$W$143,3,FALSE)</f>
        <v>5.5556315598344339</v>
      </c>
      <c r="AJ44" s="117">
        <f>'Source VoT'!$D$27*VLOOKUP($B44,'Indirect tax correction'!$B$27:$I$127,7,FALSE)*VLOOKUP($B44,'Annual Parameters'!$B$33:$W$143,21,FALSE)/VLOOKUP('Source VoT'!$F$27,'Annual Parameters'!$B$33:$W$143,21,FALSE)*VLOOKUP($B$14,'Annual Parameters'!$B$33:$W$143,3,FALSE)/VLOOKUP('Source VoT'!$E$27,'Annual Parameters'!$B$33:$W$143,3,FALSE)</f>
        <v>21.632235859892567</v>
      </c>
      <c r="AK44" s="73">
        <f>'Source VoT'!$D$28*VLOOKUP($B44,'Indirect tax correction'!$B$27:$I$127,7,FALSE)*VLOOKUP($B44,'Annual Parameters'!$B$33:$W$143,21,FALSE)/VLOOKUP('Source VoT'!$F$27,'Annual Parameters'!$B$33:$W$143,21,FALSE)*VLOOKUP($B$14,'Annual Parameters'!$B$33:$W$143,3,FALSE)/VLOOKUP('Source VoT'!$E$27,'Annual Parameters'!$B$33:$W$143,3,FALSE)</f>
        <v>21.632235859892567</v>
      </c>
      <c r="AL44" s="73">
        <f>'Source VoT'!$D$29*VLOOKUP($B44,'Indirect tax correction'!$B$27:$I$127,7,FALSE)*VLOOKUP($B44,'Annual Parameters'!$B$33:$W$143,21,FALSE)/VLOOKUP('Source VoT'!$F$27,'Annual Parameters'!$B$33:$W$143,21,FALSE)*VLOOKUP($B$14,'Annual Parameters'!$B$33:$W$143,3,FALSE)/VLOOKUP('Source VoT'!$E$27,'Annual Parameters'!$B$33:$W$143,3,FALSE)</f>
        <v>14.895465636366318</v>
      </c>
      <c r="AM44" s="73">
        <f>'Source VoT'!$D$30*VLOOKUP($B44,'Indirect tax correction'!$B$27:$I$127,7,FALSE)*VLOOKUP($B44,'Annual Parameters'!$B$33:$W$143,21,FALSE)/VLOOKUP('Source VoT'!$F$27,'Annual Parameters'!$B$33:$W$143,21,FALSE)*VLOOKUP($B$14,'Annual Parameters'!$B$33:$W$143,3,FALSE)/VLOOKUP('Source VoT'!$E$27,'Annual Parameters'!$B$33:$W$143,3,FALSE)</f>
        <v>17.550444465070498</v>
      </c>
      <c r="AN44" s="73">
        <f>'Source VoT'!$D$31*VLOOKUP($B44,'Indirect tax correction'!$B$27:$I$127,7,FALSE)*VLOOKUP($B44,'Annual Parameters'!$B$33:$W$143,21,FALSE)/VLOOKUP('Source VoT'!$F$27,'Annual Parameters'!$B$33:$W$143,21,FALSE)*VLOOKUP($B$14,'Annual Parameters'!$B$33:$W$143,3,FALSE)/VLOOKUP('Source VoT'!$E$27,'Annual Parameters'!$B$33:$W$143,3,FALSE)</f>
        <v>17.929727154885384</v>
      </c>
      <c r="AO44" s="73">
        <f>'Source VoT'!$D$32*VLOOKUP($B44,'Indirect tax correction'!$B$27:$I$127,7,FALSE)*VLOOKUP($B44,'Annual Parameters'!$B$33:$W$143,21,FALSE)/VLOOKUP('Source VoT'!$F$27,'Annual Parameters'!$B$33:$W$143,21,FALSE)*VLOOKUP($B$14,'Annual Parameters'!$B$33:$W$143,3,FALSE)/VLOOKUP('Source VoT'!$E$27,'Annual Parameters'!$B$33:$W$143,3,FALSE)</f>
        <v>12.258680727435301</v>
      </c>
      <c r="AP44" s="73">
        <f>'Source VoT'!$D$33*VLOOKUP($B44,'Indirect tax correction'!$B$27:$I$127,7,FALSE)*VLOOKUP($B44,'Annual Parameters'!$B$33:$W$143,21,FALSE)/VLOOKUP('Source VoT'!$F$27,'Annual Parameters'!$B$33:$W$143,21,FALSE)*VLOOKUP($B$14,'Annual Parameters'!$B$33:$W$143,3,FALSE)/VLOOKUP('Source VoT'!$E$27,'Annual Parameters'!$B$33:$W$143,3,FALSE)</f>
        <v>15.843672360903524</v>
      </c>
      <c r="AQ44" s="73">
        <f>'Source VoT'!$D$34*VLOOKUP($B44,'Indirect tax correction'!$B$27:$I$127,7,FALSE)*VLOOKUP($B44,'Annual Parameters'!$B$33:$W$143,21,FALSE)/VLOOKUP('Source VoT'!$F$27,'Annual Parameters'!$B$33:$W$143,21,FALSE)*VLOOKUP($B$14,'Annual Parameters'!$B$33:$W$143,3,FALSE)/VLOOKUP('Source VoT'!$E$27,'Annual Parameters'!$B$33:$W$143,3,FALSE)</f>
        <v>21.632235859892567</v>
      </c>
      <c r="AR44" s="73">
        <f>'Source VoT'!$D$35*VLOOKUP($B44,'Indirect tax correction'!$B$27:$I$127,7,FALSE)*VLOOKUP($B44,'Annual Parameters'!$B$33:$W$143,21,FALSE)/VLOOKUP('Source VoT'!$F$27,'Annual Parameters'!$B$33:$W$143,21,FALSE)*VLOOKUP($B$14,'Annual Parameters'!$B$33:$W$143,3,FALSE)/VLOOKUP('Source VoT'!$E$27,'Annual Parameters'!$B$33:$W$143,3,FALSE)</f>
        <v>35.682640990774814</v>
      </c>
      <c r="AS44" s="73">
        <f>'Source VoT'!$D$36*VLOOKUP($B44,'Indirect tax correction'!$B$27:$I$127,7,FALSE)*VLOOKUP($B44,'Annual Parameters'!$B$33:$W$143,21,FALSE)/VLOOKUP('Source VoT'!$F$27,'Annual Parameters'!$B$33:$W$143,21,FALSE)*VLOOKUP($B$14,'Annual Parameters'!$B$33:$W$143,3,FALSE)/VLOOKUP('Source VoT'!$E$27,'Annual Parameters'!$B$33:$W$143,3,FALSE)</f>
        <v>12.258680727435301</v>
      </c>
      <c r="AT44" s="73">
        <f>'Source VoT'!$D$37*VLOOKUP($B44,'Indirect tax correction'!$B$27:$I$127,7,FALSE)*VLOOKUP($B44,'Annual Parameters'!$B$33:$W$143,21,FALSE)/VLOOKUP('Source VoT'!$F$27,'Annual Parameters'!$B$33:$W$143,21,FALSE)*VLOOKUP($B$14,'Annual Parameters'!$B$33:$W$143,3,FALSE)/VLOOKUP('Source VoT'!$E$27,'Annual Parameters'!$B$33:$W$143,3,FALSE)</f>
        <v>12.258680727435301</v>
      </c>
      <c r="AU44" s="73">
        <f>'Source VoT'!$D$38*VLOOKUP($B44,'Indirect tax correction'!$B$27:$I$127,7,FALSE)*VLOOKUP($B44,'Annual Parameters'!$B$33:$W$143,21,FALSE)/VLOOKUP('Source VoT'!$F$27,'Annual Parameters'!$B$33:$W$143,21,FALSE)*VLOOKUP($B$14,'Annual Parameters'!$B$33:$W$143,3,FALSE)/VLOOKUP('Source VoT'!$E$27,'Annual Parameters'!$B$33:$W$143,3,FALSE)</f>
        <v>12.258680727435301</v>
      </c>
      <c r="AV44" s="73">
        <f>'Source VoT'!$D$39*VLOOKUP($B44,'Indirect tax correction'!$B$27:$I$127,7,FALSE)*VLOOKUP($B44,'Annual Parameters'!$B$33:$W$143,21,FALSE)/VLOOKUP('Source VoT'!$F$27,'Annual Parameters'!$B$33:$W$143,21,FALSE)*VLOOKUP($B$14,'Annual Parameters'!$B$33:$W$143,3,FALSE)/VLOOKUP('Source VoT'!$E$27,'Annual Parameters'!$B$33:$W$143,3,FALSE)</f>
        <v>21.632235859892567</v>
      </c>
      <c r="AW44" s="74">
        <f>'Source VoT'!$D$40*VLOOKUP($B44,'Indirect tax correction'!$B$27:$I$127,7,FALSE)*VLOOKUP($B44,'Annual Parameters'!$B$33:$W$143,21,FALSE)/VLOOKUP('Source VoT'!$F$27,'Annual Parameters'!$B$33:$W$143,21,FALSE)*VLOOKUP($B$14,'Annual Parameters'!$B$33:$W$143,3,FALSE)/VLOOKUP('Source VoT'!$E$27,'Annual Parameters'!$B$33:$W$143,3,FALSE)</f>
        <v>23.562441110457158</v>
      </c>
      <c r="AX44" s="73">
        <f>'Source VoT'!$D$45*VLOOKUP($B44,'Indirect tax correction'!$B$27:$I$127,8,FALSE)*VLOOKUP($B44,'Annual Parameters'!$B$33:$W$143,22,FALSE)/VLOOKUP('Source VoT'!$F$27,'Annual Parameters'!$B$33:$W$143,22,FALSE)*VLOOKUP($B$14,'Annual Parameters'!$B$33:$W$143,3,FALSE)/VLOOKUP('Source VoT'!$E$27,'Annual Parameters'!$B$33:$W$143,3,FALSE)</f>
        <v>12.171924362195737</v>
      </c>
      <c r="AY44" s="74">
        <f>'Source VoT'!$D$46*VLOOKUP($B44,'Indirect tax correction'!$B$27:$I$127,8,FALSE)*VLOOKUP($B44,'Annual Parameters'!$B$33:$W$143,22,FALSE)/VLOOKUP('Source VoT'!$F$27,'Annual Parameters'!$B$33:$W$143,22,FALSE)*VLOOKUP($B$14,'Annual Parameters'!$B$33:$W$143,3,FALSE)/VLOOKUP('Source VoT'!$E$27,'Annual Parameters'!$B$33:$W$143,3,FALSE)</f>
        <v>5.5556315598344339</v>
      </c>
      <c r="AZ44" s="2875"/>
      <c r="BA44" s="2875"/>
      <c r="BB44" s="2875"/>
      <c r="BC44" s="2875"/>
      <c r="BD44" s="2875"/>
      <c r="BE44" s="2875"/>
      <c r="BF44" s="2875"/>
      <c r="BG44" s="2875"/>
    </row>
    <row r="45" spans="1:60" ht="13.5" customHeight="1">
      <c r="A45" s="90"/>
      <c r="B45" s="82">
        <f t="shared" si="0"/>
        <v>2028</v>
      </c>
      <c r="C45" s="82"/>
      <c r="D45" s="117">
        <f>'Source VoT'!$D$27*VLOOKUP($B45,'Indirect tax correction'!$B$27:$I$127,5,FALSE)*VLOOKUP($B45,'Annual Parameters'!$B$33:$W$143,21,FALSE)/VLOOKUP('Source VoT'!$F$27,'Annual Parameters'!$B$33:$W$143,21,FALSE)*VLOOKUP($B$14,'Annual Parameters'!$B$33:$W$143,3,FALSE)/VLOOKUP('Source VoT'!$E$27,'Annual Parameters'!$B$33:$W$143,3,FALSE)</f>
        <v>18.497972444338071</v>
      </c>
      <c r="E45" s="73">
        <f>'Source VoT'!$D$28*VLOOKUP($B45,'Indirect tax correction'!$B$27:$I$127,5,FALSE)*VLOOKUP($B45,'Annual Parameters'!$B$33:$W$143,21,FALSE)/VLOOKUP('Source VoT'!$F$27,'Annual Parameters'!$B$33:$W$143,21,FALSE)*VLOOKUP($B$14,'Annual Parameters'!$B$33:$W$143,3,FALSE)/VLOOKUP('Source VoT'!$E$27,'Annual Parameters'!$B$33:$W$143,3,FALSE)</f>
        <v>18.497972444338071</v>
      </c>
      <c r="F45" s="73">
        <f>'Source VoT'!$D$29*VLOOKUP($B45,'Indirect tax correction'!$B$27:$I$127,5,FALSE)*VLOOKUP($B45,'Annual Parameters'!$B$33:$W$143,21,FALSE)/VLOOKUP('Source VoT'!$F$27,'Annual Parameters'!$B$33:$W$143,21,FALSE)*VLOOKUP($B$14,'Annual Parameters'!$B$33:$W$143,3,FALSE)/VLOOKUP('Source VoT'!$E$27,'Annual Parameters'!$B$33:$W$143,3,FALSE)</f>
        <v>12.737283130217184</v>
      </c>
      <c r="G45" s="73">
        <f>'Source VoT'!$D$30*VLOOKUP($B45,'Indirect tax correction'!$B$27:$I$127,5,FALSE)*VLOOKUP($B45,'Annual Parameters'!$B$33:$W$143,21,FALSE)/VLOOKUP('Source VoT'!$F$27,'Annual Parameters'!$B$33:$W$143,21,FALSE)*VLOOKUP($B$14,'Annual Parameters'!$B$33:$W$143,3,FALSE)/VLOOKUP('Source VoT'!$E$27,'Annual Parameters'!$B$33:$W$143,3,FALSE)</f>
        <v>15.007585910371636</v>
      </c>
      <c r="H45" s="73">
        <f>'Source VoT'!$D$31*VLOOKUP($B45,'Indirect tax correction'!$B$27:$I$127,5,FALSE)*VLOOKUP($B45,'Annual Parameters'!$B$33:$W$143,21,FALSE)/VLOOKUP('Source VoT'!$F$27,'Annual Parameters'!$B$33:$W$143,21,FALSE)*VLOOKUP($B$14,'Annual Parameters'!$B$33:$W$143,3,FALSE)/VLOOKUP('Source VoT'!$E$27,'Annual Parameters'!$B$33:$W$143,3,FALSE)</f>
        <v>15.331914878965129</v>
      </c>
      <c r="I45" s="73">
        <f>'Source VoT'!$D$32*VLOOKUP($B45,'Indirect tax correction'!$B$27:$I$127,5,FALSE)*VLOOKUP($B45,'Annual Parameters'!$B$33:$W$143,21,FALSE)/VLOOKUP('Source VoT'!$F$27,'Annual Parameters'!$B$33:$W$143,21,FALSE)*VLOOKUP($B$14,'Annual Parameters'!$B$33:$W$143,3,FALSE)/VLOOKUP('Source VoT'!$E$27,'Annual Parameters'!$B$33:$W$143,3,FALSE)</f>
        <v>10.482538179073021</v>
      </c>
      <c r="J45" s="73">
        <f>'Source VoT'!$D$33*VLOOKUP($B45,'Indirect tax correction'!$B$27:$I$127,5,FALSE)*VLOOKUP($B45,'Annual Parameters'!$B$33:$W$143,21,FALSE)/VLOOKUP('Source VoT'!$F$27,'Annual Parameters'!$B$33:$W$143,21,FALSE)*VLOOKUP($B$14,'Annual Parameters'!$B$33:$W$143,3,FALSE)/VLOOKUP('Source VoT'!$E$27,'Annual Parameters'!$B$33:$W$143,3,FALSE)</f>
        <v>13.548105551700917</v>
      </c>
      <c r="K45" s="73">
        <f>'Source VoT'!$D$34*VLOOKUP($B45,'Indirect tax correction'!$B$27:$I$127,5,FALSE)*VLOOKUP($B45,'Annual Parameters'!$B$33:$W$143,21,FALSE)/VLOOKUP('Source VoT'!$F$27,'Annual Parameters'!$B$33:$W$143,21,FALSE)*VLOOKUP($B$14,'Annual Parameters'!$B$33:$W$143,3,FALSE)/VLOOKUP('Source VoT'!$E$27,'Annual Parameters'!$B$33:$W$143,3,FALSE)</f>
        <v>18.497972444338071</v>
      </c>
      <c r="L45" s="73">
        <f>'Source VoT'!$D$35*VLOOKUP($B45,'Indirect tax correction'!$B$27:$I$127,5,FALSE)*VLOOKUP($B45,'Annual Parameters'!$B$33:$W$143,21,FALSE)/VLOOKUP('Source VoT'!$F$27,'Annual Parameters'!$B$33:$W$143,21,FALSE)*VLOOKUP($B$14,'Annual Parameters'!$B$33:$W$143,3,FALSE)/VLOOKUP('Source VoT'!$E$27,'Annual Parameters'!$B$33:$W$143,3,FALSE)</f>
        <v>30.512634665395083</v>
      </c>
      <c r="M45" s="73">
        <f>'Source VoT'!$D$36*VLOOKUP($B45,'Indirect tax correction'!$B$27:$I$127,5,FALSE)*VLOOKUP($B45,'Annual Parameters'!$B$33:$W$143,21,FALSE)/VLOOKUP('Source VoT'!$F$27,'Annual Parameters'!$B$33:$W$143,21,FALSE)*VLOOKUP($B$14,'Annual Parameters'!$B$33:$W$143,3,FALSE)/VLOOKUP('Source VoT'!$E$27,'Annual Parameters'!$B$33:$W$143,3,FALSE)</f>
        <v>10.482538179073021</v>
      </c>
      <c r="N45" s="73">
        <f>'Source VoT'!$D$37*VLOOKUP($B45,'Indirect tax correction'!$B$27:$I$127,5,FALSE)*VLOOKUP($B45,'Annual Parameters'!$B$33:$W$143,21,FALSE)/VLOOKUP('Source VoT'!$F$27,'Annual Parameters'!$B$33:$W$143,21,FALSE)*VLOOKUP($B$14,'Annual Parameters'!$B$33:$W$143,3,FALSE)/VLOOKUP('Source VoT'!$E$27,'Annual Parameters'!$B$33:$W$143,3,FALSE)</f>
        <v>10.482538179073021</v>
      </c>
      <c r="O45" s="73">
        <f>'Source VoT'!$D$38*VLOOKUP($B45,'Indirect tax correction'!$B$27:$I$127,5,FALSE)*VLOOKUP($B45,'Annual Parameters'!$B$33:$W$143,21,FALSE)/VLOOKUP('Source VoT'!$F$27,'Annual Parameters'!$B$33:$W$143,21,FALSE)*VLOOKUP($B$14,'Annual Parameters'!$B$33:$W$143,3,FALSE)/VLOOKUP('Source VoT'!$E$27,'Annual Parameters'!$B$33:$W$143,3,FALSE)</f>
        <v>10.482538179073021</v>
      </c>
      <c r="P45" s="73">
        <f>'Source VoT'!$D$39*VLOOKUP($B45,'Indirect tax correction'!$B$27:$I$127,5,FALSE)*VLOOKUP($B45,'Annual Parameters'!$B$33:$W$143,21,FALSE)/VLOOKUP('Source VoT'!$F$27,'Annual Parameters'!$B$33:$W$143,21,FALSE)*VLOOKUP($B$14,'Annual Parameters'!$B$33:$W$143,3,FALSE)/VLOOKUP('Source VoT'!$E$27,'Annual Parameters'!$B$33:$W$143,3,FALSE)</f>
        <v>18.497972444338071</v>
      </c>
      <c r="Q45" s="74">
        <f>'Source VoT'!$D$40*VLOOKUP($B45,'Indirect tax correction'!$B$27:$I$127,5,FALSE)*VLOOKUP($B45,'Annual Parameters'!$B$33:$W$143,21,FALSE)/VLOOKUP('Source VoT'!$F$27,'Annual Parameters'!$B$33:$W$143,21,FALSE)*VLOOKUP($B$14,'Annual Parameters'!$B$33:$W$143,3,FALSE)/VLOOKUP('Source VoT'!$E$27,'Annual Parameters'!$B$33:$W$143,3,FALSE)</f>
        <v>20.148513043475091</v>
      </c>
      <c r="R45" s="73">
        <f>'Source VoT'!$D$45*VLOOKUP($B45,'Indirect tax correction'!$B$27:$I$127,6,FALSE)*VLOOKUP($B45,'Annual Parameters'!$B$33:$W$143,22,FALSE)/VLOOKUP('Source VoT'!$F$27,'Annual Parameters'!$B$33:$W$143,22,FALSE)*VLOOKUP($B$14,'Annual Parameters'!$B$33:$W$143,3,FALSE)/VLOOKUP('Source VoT'!$E$27,'Annual Parameters'!$B$33:$W$143,3,FALSE)</f>
        <v>10.408351818311866</v>
      </c>
      <c r="S45" s="73">
        <f>'Source VoT'!$D$46*VLOOKUP($B45,'Indirect tax correction'!$B$27:$I$127,6,FALSE)*VLOOKUP($B45,'Annual Parameters'!$B$33:$W$143,22,FALSE)/VLOOKUP('Source VoT'!$F$27,'Annual Parameters'!$B$33:$W$143,22,FALSE)*VLOOKUP($B$14,'Annual Parameters'!$B$33:$W$143,3,FALSE)/VLOOKUP('Source VoT'!$E$27,'Annual Parameters'!$B$33:$W$143,3,FALSE)</f>
        <v>4.750684125779622</v>
      </c>
      <c r="T45" s="117">
        <f>'Source VoT'!$D$27*1*VLOOKUP($B45,'Annual Parameters'!$B$33:$W$143,21,FALSE)/VLOOKUP('Source VoT'!$F$27,'Annual Parameters'!$B$33:$W$143,21,FALSE)*VLOOKUP($B$14,'Annual Parameters'!$B$33:$W$143,3,FALSE)/VLOOKUP('Source VoT'!$E$27,'Annual Parameters'!$B$33:$W$143,3,FALSE)</f>
        <v>18.497972444338071</v>
      </c>
      <c r="U45" s="73">
        <f>'Source VoT'!$D$28*1*VLOOKUP($B45,'Annual Parameters'!$B$33:$W$143,21,FALSE)/VLOOKUP('Source VoT'!$F$27,'Annual Parameters'!$B$33:$W$143,21,FALSE)*VLOOKUP($B$14,'Annual Parameters'!$B$33:$W$143,3,FALSE)/VLOOKUP('Source VoT'!$E$27,'Annual Parameters'!$B$33:$W$143,3,FALSE)</f>
        <v>18.497972444338071</v>
      </c>
      <c r="V45" s="73">
        <f>'Source VoT'!$D$29*1*VLOOKUP($B45,'Annual Parameters'!$B$33:$W$143,21,FALSE)/VLOOKUP('Source VoT'!$F$27,'Annual Parameters'!$B$33:$W$143,21,FALSE)*VLOOKUP($B$14,'Annual Parameters'!$B$33:$W$143,3,FALSE)/VLOOKUP('Source VoT'!$E$27,'Annual Parameters'!$B$33:$W$143,3,FALSE)</f>
        <v>12.737283130217184</v>
      </c>
      <c r="W45" s="73">
        <f>'Source VoT'!$D$30*1*VLOOKUP($B45,'Annual Parameters'!$B$33:$W$143,21,FALSE)/VLOOKUP('Source VoT'!$F$27,'Annual Parameters'!$B$33:$W$143,21,FALSE)*VLOOKUP($B$14,'Annual Parameters'!$B$33:$W$143,3,FALSE)/VLOOKUP('Source VoT'!$E$27,'Annual Parameters'!$B$33:$W$143,3,FALSE)</f>
        <v>15.007585910371636</v>
      </c>
      <c r="X45" s="73">
        <f>'Source VoT'!$D$31*1*VLOOKUP($B45,'Annual Parameters'!$B$33:$W$143,21,FALSE)/VLOOKUP('Source VoT'!$F$27,'Annual Parameters'!$B$33:$W$143,21,FALSE)*VLOOKUP($B$14,'Annual Parameters'!$B$33:$W$143,3,FALSE)/VLOOKUP('Source VoT'!$E$27,'Annual Parameters'!$B$33:$W$143,3,FALSE)</f>
        <v>15.331914878965129</v>
      </c>
      <c r="Y45" s="73">
        <f>'Source VoT'!$D$32*1*VLOOKUP($B45,'Annual Parameters'!$B$33:$W$143,21,FALSE)/VLOOKUP('Source VoT'!$F$27,'Annual Parameters'!$B$33:$W$143,21,FALSE)*VLOOKUP($B$14,'Annual Parameters'!$B$33:$W$143,3,FALSE)/VLOOKUP('Source VoT'!$E$27,'Annual Parameters'!$B$33:$W$143,3,FALSE)</f>
        <v>10.482538179073021</v>
      </c>
      <c r="Z45" s="73">
        <f>'Source VoT'!$D$33*1*VLOOKUP($B45,'Annual Parameters'!$B$33:$W$143,21,FALSE)/VLOOKUP('Source VoT'!$F$27,'Annual Parameters'!$B$33:$W$143,21,FALSE)*VLOOKUP($B$14,'Annual Parameters'!$B$33:$W$143,3,FALSE)/VLOOKUP('Source VoT'!$E$27,'Annual Parameters'!$B$33:$W$143,3,FALSE)</f>
        <v>13.548105551700917</v>
      </c>
      <c r="AA45" s="73">
        <f>'Source VoT'!$D$34*1*VLOOKUP($B45,'Annual Parameters'!$B$33:$W$143,21,FALSE)/VLOOKUP('Source VoT'!$F$27,'Annual Parameters'!$B$33:$W$143,21,FALSE)*VLOOKUP($B$14,'Annual Parameters'!$B$33:$W$143,3,FALSE)/VLOOKUP('Source VoT'!$E$27,'Annual Parameters'!$B$33:$W$143,3,FALSE)</f>
        <v>18.497972444338071</v>
      </c>
      <c r="AB45" s="73">
        <f>'Source VoT'!$D$35*1*VLOOKUP($B45,'Annual Parameters'!$B$33:$W$143,21,FALSE)/VLOOKUP('Source VoT'!$F$27,'Annual Parameters'!$B$33:$W$143,21,FALSE)*VLOOKUP($B$14,'Annual Parameters'!$B$33:$W$143,3,FALSE)/VLOOKUP('Source VoT'!$E$27,'Annual Parameters'!$B$33:$W$143,3,FALSE)</f>
        <v>30.512634665395083</v>
      </c>
      <c r="AC45" s="73">
        <f>'Source VoT'!$D$36*1*VLOOKUP($B45,'Annual Parameters'!$B$33:$W$143,21,FALSE)/VLOOKUP('Source VoT'!$F$27,'Annual Parameters'!$B$33:$W$143,21,FALSE)*VLOOKUP($B$14,'Annual Parameters'!$B$33:$W$143,3,FALSE)/VLOOKUP('Source VoT'!$E$27,'Annual Parameters'!$B$33:$W$143,3,FALSE)</f>
        <v>10.482538179073021</v>
      </c>
      <c r="AD45" s="73">
        <f>'Source VoT'!$D$37*1*VLOOKUP($B45,'Annual Parameters'!$B$33:$W$143,21,FALSE)/VLOOKUP('Source VoT'!$F$27,'Annual Parameters'!$B$33:$W$143,21,FALSE)*VLOOKUP($B$14,'Annual Parameters'!$B$33:$W$143,3,FALSE)/VLOOKUP('Source VoT'!$E$27,'Annual Parameters'!$B$33:$W$143,3,FALSE)</f>
        <v>10.482538179073021</v>
      </c>
      <c r="AE45" s="73">
        <f>'Source VoT'!$D$38*1*VLOOKUP($B45,'Annual Parameters'!$B$33:$W$143,21,FALSE)/VLOOKUP('Source VoT'!$F$27,'Annual Parameters'!$B$33:$W$143,21,FALSE)*VLOOKUP($B$14,'Annual Parameters'!$B$33:$W$143,3,FALSE)/VLOOKUP('Source VoT'!$E$27,'Annual Parameters'!$B$33:$W$143,3,FALSE)</f>
        <v>10.482538179073021</v>
      </c>
      <c r="AF45" s="73">
        <f>'Source VoT'!$D$39*1*VLOOKUP($B45,'Annual Parameters'!$B$33:$W$143,21,FALSE)/VLOOKUP('Source VoT'!$F$27,'Annual Parameters'!$B$33:$W$143,21,FALSE)*VLOOKUP($B$14,'Annual Parameters'!$B$33:$W$143,3,FALSE)/VLOOKUP('Source VoT'!$E$27,'Annual Parameters'!$B$33:$W$143,3,FALSE)</f>
        <v>18.497972444338071</v>
      </c>
      <c r="AG45" s="74">
        <f>'Source VoT'!$D$40*1*VLOOKUP($B45,'Annual Parameters'!$B$33:$W$143,21,FALSE)/VLOOKUP('Source VoT'!$F$27,'Annual Parameters'!$B$33:$W$143,21,FALSE)*VLOOKUP($B$14,'Annual Parameters'!$B$33:$W$143,3,FALSE)/VLOOKUP('Source VoT'!$E$27,'Annual Parameters'!$B$33:$W$143,3,FALSE)</f>
        <v>20.148513043475091</v>
      </c>
      <c r="AH45" s="73">
        <f>'Source VoT'!$D$45*1*VLOOKUP($B45,'Annual Parameters'!$B$33:$W$143,22,FALSE)/VLOOKUP('Source VoT'!$F$27,'Annual Parameters'!$B$33:$W$143,22,FALSE)*VLOOKUP($B$14,'Annual Parameters'!$B$33:$W$143,3,FALSE)/VLOOKUP('Source VoT'!$E$27,'Annual Parameters'!$B$33:$W$143,3,FALSE)</f>
        <v>12.385938663791123</v>
      </c>
      <c r="AI45" s="73">
        <f>'Source VoT'!$D$46*1*VLOOKUP($B45,'Annual Parameters'!$B$33:$W$143,22,FALSE)/VLOOKUP('Source VoT'!$F$27,'Annual Parameters'!$B$33:$W$143,22,FALSE)*VLOOKUP($B$14,'Annual Parameters'!$B$33:$W$143,3,FALSE)/VLOOKUP('Source VoT'!$E$27,'Annual Parameters'!$B$33:$W$143,3,FALSE)</f>
        <v>5.6533141096777486</v>
      </c>
      <c r="AJ45" s="117">
        <f>'Source VoT'!$D$27*VLOOKUP($B45,'Indirect tax correction'!$B$27:$I$127,7,FALSE)*VLOOKUP($B45,'Annual Parameters'!$B$33:$W$143,21,FALSE)/VLOOKUP('Source VoT'!$F$27,'Annual Parameters'!$B$33:$W$143,21,FALSE)*VLOOKUP($B$14,'Annual Parameters'!$B$33:$W$143,3,FALSE)/VLOOKUP('Source VoT'!$E$27,'Annual Parameters'!$B$33:$W$143,3,FALSE)</f>
        <v>22.012587208762302</v>
      </c>
      <c r="AK45" s="73">
        <f>'Source VoT'!$D$28*VLOOKUP($B45,'Indirect tax correction'!$B$27:$I$127,7,FALSE)*VLOOKUP($B45,'Annual Parameters'!$B$33:$W$143,21,FALSE)/VLOOKUP('Source VoT'!$F$27,'Annual Parameters'!$B$33:$W$143,21,FALSE)*VLOOKUP($B$14,'Annual Parameters'!$B$33:$W$143,3,FALSE)/VLOOKUP('Source VoT'!$E$27,'Annual Parameters'!$B$33:$W$143,3,FALSE)</f>
        <v>22.012587208762302</v>
      </c>
      <c r="AL45" s="73">
        <f>'Source VoT'!$D$29*VLOOKUP($B45,'Indirect tax correction'!$B$27:$I$127,7,FALSE)*VLOOKUP($B45,'Annual Parameters'!$B$33:$W$143,21,FALSE)/VLOOKUP('Source VoT'!$F$27,'Annual Parameters'!$B$33:$W$143,21,FALSE)*VLOOKUP($B$14,'Annual Parameters'!$B$33:$W$143,3,FALSE)/VLOOKUP('Source VoT'!$E$27,'Annual Parameters'!$B$33:$W$143,3,FALSE)</f>
        <v>15.157366924958446</v>
      </c>
      <c r="AM45" s="73">
        <f>'Source VoT'!$D$30*VLOOKUP($B45,'Indirect tax correction'!$B$27:$I$127,7,FALSE)*VLOOKUP($B45,'Annual Parameters'!$B$33:$W$143,21,FALSE)/VLOOKUP('Source VoT'!$F$27,'Annual Parameters'!$B$33:$W$143,21,FALSE)*VLOOKUP($B$14,'Annual Parameters'!$B$33:$W$143,3,FALSE)/VLOOKUP('Source VoT'!$E$27,'Annual Parameters'!$B$33:$W$143,3,FALSE)</f>
        <v>17.859027233342243</v>
      </c>
      <c r="AN45" s="73">
        <f>'Source VoT'!$D$31*VLOOKUP($B45,'Indirect tax correction'!$B$27:$I$127,7,FALSE)*VLOOKUP($B45,'Annual Parameters'!$B$33:$W$143,21,FALSE)/VLOOKUP('Source VoT'!$F$27,'Annual Parameters'!$B$33:$W$143,21,FALSE)*VLOOKUP($B$14,'Annual Parameters'!$B$33:$W$143,3,FALSE)/VLOOKUP('Source VoT'!$E$27,'Annual Parameters'!$B$33:$W$143,3,FALSE)</f>
        <v>18.244978705968503</v>
      </c>
      <c r="AO45" s="73">
        <f>'Source VoT'!$D$32*VLOOKUP($B45,'Indirect tax correction'!$B$27:$I$127,7,FALSE)*VLOOKUP($B45,'Annual Parameters'!$B$33:$W$143,21,FALSE)/VLOOKUP('Source VoT'!$F$27,'Annual Parameters'!$B$33:$W$143,21,FALSE)*VLOOKUP($B$14,'Annual Parameters'!$B$33:$W$143,3,FALSE)/VLOOKUP('Source VoT'!$E$27,'Annual Parameters'!$B$33:$W$143,3,FALSE)</f>
        <v>12.474220433096896</v>
      </c>
      <c r="AP45" s="73">
        <f>'Source VoT'!$D$33*VLOOKUP($B45,'Indirect tax correction'!$B$27:$I$127,7,FALSE)*VLOOKUP($B45,'Annual Parameters'!$B$33:$W$143,21,FALSE)/VLOOKUP('Source VoT'!$F$27,'Annual Parameters'!$B$33:$W$143,21,FALSE)*VLOOKUP($B$14,'Annual Parameters'!$B$33:$W$143,3,FALSE)/VLOOKUP('Source VoT'!$E$27,'Annual Parameters'!$B$33:$W$143,3,FALSE)</f>
        <v>16.122245606524089</v>
      </c>
      <c r="AQ45" s="73">
        <f>'Source VoT'!$D$34*VLOOKUP($B45,'Indirect tax correction'!$B$27:$I$127,7,FALSE)*VLOOKUP($B45,'Annual Parameters'!$B$33:$W$143,21,FALSE)/VLOOKUP('Source VoT'!$F$27,'Annual Parameters'!$B$33:$W$143,21,FALSE)*VLOOKUP($B$14,'Annual Parameters'!$B$33:$W$143,3,FALSE)/VLOOKUP('Source VoT'!$E$27,'Annual Parameters'!$B$33:$W$143,3,FALSE)</f>
        <v>22.012587208762302</v>
      </c>
      <c r="AR45" s="73">
        <f>'Source VoT'!$D$35*VLOOKUP($B45,'Indirect tax correction'!$B$27:$I$127,7,FALSE)*VLOOKUP($B45,'Annual Parameters'!$B$33:$W$143,21,FALSE)/VLOOKUP('Source VoT'!$F$27,'Annual Parameters'!$B$33:$W$143,21,FALSE)*VLOOKUP($B$14,'Annual Parameters'!$B$33:$W$143,3,FALSE)/VLOOKUP('Source VoT'!$E$27,'Annual Parameters'!$B$33:$W$143,3,FALSE)</f>
        <v>36.310035251820146</v>
      </c>
      <c r="AS45" s="73">
        <f>'Source VoT'!$D$36*VLOOKUP($B45,'Indirect tax correction'!$B$27:$I$127,7,FALSE)*VLOOKUP($B45,'Annual Parameters'!$B$33:$W$143,21,FALSE)/VLOOKUP('Source VoT'!$F$27,'Annual Parameters'!$B$33:$W$143,21,FALSE)*VLOOKUP($B$14,'Annual Parameters'!$B$33:$W$143,3,FALSE)/VLOOKUP('Source VoT'!$E$27,'Annual Parameters'!$B$33:$W$143,3,FALSE)</f>
        <v>12.474220433096896</v>
      </c>
      <c r="AT45" s="73">
        <f>'Source VoT'!$D$37*VLOOKUP($B45,'Indirect tax correction'!$B$27:$I$127,7,FALSE)*VLOOKUP($B45,'Annual Parameters'!$B$33:$W$143,21,FALSE)/VLOOKUP('Source VoT'!$F$27,'Annual Parameters'!$B$33:$W$143,21,FALSE)*VLOOKUP($B$14,'Annual Parameters'!$B$33:$W$143,3,FALSE)/VLOOKUP('Source VoT'!$E$27,'Annual Parameters'!$B$33:$W$143,3,FALSE)</f>
        <v>12.474220433096896</v>
      </c>
      <c r="AU45" s="73">
        <f>'Source VoT'!$D$38*VLOOKUP($B45,'Indirect tax correction'!$B$27:$I$127,7,FALSE)*VLOOKUP($B45,'Annual Parameters'!$B$33:$W$143,21,FALSE)/VLOOKUP('Source VoT'!$F$27,'Annual Parameters'!$B$33:$W$143,21,FALSE)*VLOOKUP($B$14,'Annual Parameters'!$B$33:$W$143,3,FALSE)/VLOOKUP('Source VoT'!$E$27,'Annual Parameters'!$B$33:$W$143,3,FALSE)</f>
        <v>12.474220433096896</v>
      </c>
      <c r="AV45" s="73">
        <f>'Source VoT'!$D$39*VLOOKUP($B45,'Indirect tax correction'!$B$27:$I$127,7,FALSE)*VLOOKUP($B45,'Annual Parameters'!$B$33:$W$143,21,FALSE)/VLOOKUP('Source VoT'!$F$27,'Annual Parameters'!$B$33:$W$143,21,FALSE)*VLOOKUP($B$14,'Annual Parameters'!$B$33:$W$143,3,FALSE)/VLOOKUP('Source VoT'!$E$27,'Annual Parameters'!$B$33:$W$143,3,FALSE)</f>
        <v>22.012587208762302</v>
      </c>
      <c r="AW45" s="74">
        <f>'Source VoT'!$D$40*VLOOKUP($B45,'Indirect tax correction'!$B$27:$I$127,7,FALSE)*VLOOKUP($B45,'Annual Parameters'!$B$33:$W$143,21,FALSE)/VLOOKUP('Source VoT'!$F$27,'Annual Parameters'!$B$33:$W$143,21,FALSE)*VLOOKUP($B$14,'Annual Parameters'!$B$33:$W$143,3,FALSE)/VLOOKUP('Source VoT'!$E$27,'Annual Parameters'!$B$33:$W$143,3,FALSE)</f>
        <v>23.976730521735359</v>
      </c>
      <c r="AX45" s="73">
        <f>'Source VoT'!$D$45*VLOOKUP($B45,'Indirect tax correction'!$B$27:$I$127,8,FALSE)*VLOOKUP($B45,'Annual Parameters'!$B$33:$W$143,22,FALSE)/VLOOKUP('Source VoT'!$F$27,'Annual Parameters'!$B$33:$W$143,22,FALSE)*VLOOKUP($B$14,'Annual Parameters'!$B$33:$W$143,3,FALSE)/VLOOKUP('Source VoT'!$E$27,'Annual Parameters'!$B$33:$W$143,3,FALSE)</f>
        <v>12.385938663791123</v>
      </c>
      <c r="AY45" s="74">
        <f>'Source VoT'!$D$46*VLOOKUP($B45,'Indirect tax correction'!$B$27:$I$127,8,FALSE)*VLOOKUP($B45,'Annual Parameters'!$B$33:$W$143,22,FALSE)/VLOOKUP('Source VoT'!$F$27,'Annual Parameters'!$B$33:$W$143,22,FALSE)*VLOOKUP($B$14,'Annual Parameters'!$B$33:$W$143,3,FALSE)/VLOOKUP('Source VoT'!$E$27,'Annual Parameters'!$B$33:$W$143,3,FALSE)</f>
        <v>5.6533141096777486</v>
      </c>
      <c r="AZ45" s="2875"/>
      <c r="BA45" s="2875"/>
      <c r="BB45" s="2875"/>
      <c r="BC45" s="2875"/>
      <c r="BD45" s="2875"/>
      <c r="BE45" s="2875"/>
      <c r="BF45" s="2875"/>
      <c r="BG45" s="2875"/>
    </row>
    <row r="46" spans="1:60" ht="13.5" customHeight="1">
      <c r="A46" s="90"/>
      <c r="B46" s="82">
        <f t="shared" si="0"/>
        <v>2029</v>
      </c>
      <c r="C46" s="82"/>
      <c r="D46" s="117">
        <f>'Source VoT'!$D$27*VLOOKUP($B46,'Indirect tax correction'!$B$27:$I$127,5,FALSE)*VLOOKUP($B46,'Annual Parameters'!$B$33:$W$143,21,FALSE)/VLOOKUP('Source VoT'!$F$27,'Annual Parameters'!$B$33:$W$143,21,FALSE)*VLOOKUP($B$14,'Annual Parameters'!$B$33:$W$143,3,FALSE)/VLOOKUP('Source VoT'!$E$27,'Annual Parameters'!$B$33:$W$143,3,FALSE)</f>
        <v>18.831847210535322</v>
      </c>
      <c r="E46" s="73">
        <f>'Source VoT'!$D$28*VLOOKUP($B46,'Indirect tax correction'!$B$27:$I$127,5,FALSE)*VLOOKUP($B46,'Annual Parameters'!$B$33:$W$143,21,FALSE)/VLOOKUP('Source VoT'!$F$27,'Annual Parameters'!$B$33:$W$143,21,FALSE)*VLOOKUP($B$14,'Annual Parameters'!$B$33:$W$143,3,FALSE)/VLOOKUP('Source VoT'!$E$27,'Annual Parameters'!$B$33:$W$143,3,FALSE)</f>
        <v>18.831847210535322</v>
      </c>
      <c r="F46" s="73">
        <f>'Source VoT'!$D$29*VLOOKUP($B46,'Indirect tax correction'!$B$27:$I$127,5,FALSE)*VLOOKUP($B46,'Annual Parameters'!$B$33:$W$143,21,FALSE)/VLOOKUP('Source VoT'!$F$27,'Annual Parameters'!$B$33:$W$143,21,FALSE)*VLOOKUP($B$14,'Annual Parameters'!$B$33:$W$143,3,FALSE)/VLOOKUP('Source VoT'!$E$27,'Annual Parameters'!$B$33:$W$143,3,FALSE)</f>
        <v>12.967181700986822</v>
      </c>
      <c r="G46" s="73">
        <f>'Source VoT'!$D$30*VLOOKUP($B46,'Indirect tax correction'!$B$27:$I$127,5,FALSE)*VLOOKUP($B46,'Annual Parameters'!$B$33:$W$143,21,FALSE)/VLOOKUP('Source VoT'!$F$27,'Annual Parameters'!$B$33:$W$143,21,FALSE)*VLOOKUP($B$14,'Annual Parameters'!$B$33:$W$143,3,FALSE)/VLOOKUP('Source VoT'!$E$27,'Annual Parameters'!$B$33:$W$143,3,FALSE)</f>
        <v>15.278461772690491</v>
      </c>
      <c r="H46" s="73">
        <f>'Source VoT'!$D$31*VLOOKUP($B46,'Indirect tax correction'!$B$27:$I$127,5,FALSE)*VLOOKUP($B46,'Annual Parameters'!$B$33:$W$143,21,FALSE)/VLOOKUP('Source VoT'!$F$27,'Annual Parameters'!$B$33:$W$143,21,FALSE)*VLOOKUP($B$14,'Annual Parameters'!$B$33:$W$143,3,FALSE)/VLOOKUP('Source VoT'!$E$27,'Annual Parameters'!$B$33:$W$143,3,FALSE)</f>
        <v>15.608644640076731</v>
      </c>
      <c r="I46" s="73">
        <f>'Source VoT'!$D$32*VLOOKUP($B46,'Indirect tax correction'!$B$27:$I$127,5,FALSE)*VLOOKUP($B46,'Annual Parameters'!$B$33:$W$143,21,FALSE)/VLOOKUP('Source VoT'!$F$27,'Annual Parameters'!$B$33:$W$143,21,FALSE)*VLOOKUP($B$14,'Annual Parameters'!$B$33:$W$143,3,FALSE)/VLOOKUP('Source VoT'!$E$27,'Annual Parameters'!$B$33:$W$143,3,FALSE)</f>
        <v>10.671740265638082</v>
      </c>
      <c r="J46" s="73">
        <f>'Source VoT'!$D$33*VLOOKUP($B46,'Indirect tax correction'!$B$27:$I$127,5,FALSE)*VLOOKUP($B46,'Annual Parameters'!$B$33:$W$143,21,FALSE)/VLOOKUP('Source VoT'!$F$27,'Annual Parameters'!$B$33:$W$143,21,FALSE)*VLOOKUP($B$14,'Annual Parameters'!$B$33:$W$143,3,FALSE)/VLOOKUP('Source VoT'!$E$27,'Annual Parameters'!$B$33:$W$143,3,FALSE)</f>
        <v>13.792638869452416</v>
      </c>
      <c r="K46" s="73">
        <f>'Source VoT'!$D$34*VLOOKUP($B46,'Indirect tax correction'!$B$27:$I$127,5,FALSE)*VLOOKUP($B46,'Annual Parameters'!$B$33:$W$143,21,FALSE)/VLOOKUP('Source VoT'!$F$27,'Annual Parameters'!$B$33:$W$143,21,FALSE)*VLOOKUP($B$14,'Annual Parameters'!$B$33:$W$143,3,FALSE)/VLOOKUP('Source VoT'!$E$27,'Annual Parameters'!$B$33:$W$143,3,FALSE)</f>
        <v>18.831847210535322</v>
      </c>
      <c r="L46" s="73">
        <f>'Source VoT'!$D$35*VLOOKUP($B46,'Indirect tax correction'!$B$27:$I$127,5,FALSE)*VLOOKUP($B46,'Annual Parameters'!$B$33:$W$143,21,FALSE)/VLOOKUP('Source VoT'!$F$27,'Annual Parameters'!$B$33:$W$143,21,FALSE)*VLOOKUP($B$14,'Annual Parameters'!$B$33:$W$143,3,FALSE)/VLOOKUP('Source VoT'!$E$27,'Annual Parameters'!$B$33:$W$143,3,FALSE)</f>
        <v>31.063365227656742</v>
      </c>
      <c r="M46" s="73">
        <f>'Source VoT'!$D$36*VLOOKUP($B46,'Indirect tax correction'!$B$27:$I$127,5,FALSE)*VLOOKUP($B46,'Annual Parameters'!$B$33:$W$143,21,FALSE)/VLOOKUP('Source VoT'!$F$27,'Annual Parameters'!$B$33:$W$143,21,FALSE)*VLOOKUP($B$14,'Annual Parameters'!$B$33:$W$143,3,FALSE)/VLOOKUP('Source VoT'!$E$27,'Annual Parameters'!$B$33:$W$143,3,FALSE)</f>
        <v>10.671740265638082</v>
      </c>
      <c r="N46" s="73">
        <f>'Source VoT'!$D$37*VLOOKUP($B46,'Indirect tax correction'!$B$27:$I$127,5,FALSE)*VLOOKUP($B46,'Annual Parameters'!$B$33:$W$143,21,FALSE)/VLOOKUP('Source VoT'!$F$27,'Annual Parameters'!$B$33:$W$143,21,FALSE)*VLOOKUP($B$14,'Annual Parameters'!$B$33:$W$143,3,FALSE)/VLOOKUP('Source VoT'!$E$27,'Annual Parameters'!$B$33:$W$143,3,FALSE)</f>
        <v>10.671740265638082</v>
      </c>
      <c r="O46" s="73">
        <f>'Source VoT'!$D$38*VLOOKUP($B46,'Indirect tax correction'!$B$27:$I$127,5,FALSE)*VLOOKUP($B46,'Annual Parameters'!$B$33:$W$143,21,FALSE)/VLOOKUP('Source VoT'!$F$27,'Annual Parameters'!$B$33:$W$143,21,FALSE)*VLOOKUP($B$14,'Annual Parameters'!$B$33:$W$143,3,FALSE)/VLOOKUP('Source VoT'!$E$27,'Annual Parameters'!$B$33:$W$143,3,FALSE)</f>
        <v>10.671740265638082</v>
      </c>
      <c r="P46" s="73">
        <f>'Source VoT'!$D$39*VLOOKUP($B46,'Indirect tax correction'!$B$27:$I$127,5,FALSE)*VLOOKUP($B46,'Annual Parameters'!$B$33:$W$143,21,FALSE)/VLOOKUP('Source VoT'!$F$27,'Annual Parameters'!$B$33:$W$143,21,FALSE)*VLOOKUP($B$14,'Annual Parameters'!$B$33:$W$143,3,FALSE)/VLOOKUP('Source VoT'!$E$27,'Annual Parameters'!$B$33:$W$143,3,FALSE)</f>
        <v>18.831847210535322</v>
      </c>
      <c r="Q46" s="74">
        <f>'Source VoT'!$D$40*VLOOKUP($B46,'Indirect tax correction'!$B$27:$I$127,5,FALSE)*VLOOKUP($B46,'Annual Parameters'!$B$33:$W$143,21,FALSE)/VLOOKUP('Source VoT'!$F$27,'Annual Parameters'!$B$33:$W$143,21,FALSE)*VLOOKUP($B$14,'Annual Parameters'!$B$33:$W$143,3,FALSE)/VLOOKUP('Source VoT'!$E$27,'Annual Parameters'!$B$33:$W$143,3,FALSE)</f>
        <v>20.512178850733427</v>
      </c>
      <c r="R46" s="73">
        <f>'Source VoT'!$D$45*VLOOKUP($B46,'Indirect tax correction'!$B$27:$I$127,6,FALSE)*VLOOKUP($B46,'Annual Parameters'!$B$33:$W$143,22,FALSE)/VLOOKUP('Source VoT'!$F$27,'Annual Parameters'!$B$33:$W$143,22,FALSE)*VLOOKUP($B$14,'Annual Parameters'!$B$33:$W$143,3,FALSE)/VLOOKUP('Source VoT'!$E$27,'Annual Parameters'!$B$33:$W$143,3,FALSE)</f>
        <v>10.596214895754247</v>
      </c>
      <c r="S46" s="73">
        <f>'Source VoT'!$D$46*VLOOKUP($B46,'Indirect tax correction'!$B$27:$I$127,6,FALSE)*VLOOKUP($B46,'Annual Parameters'!$B$33:$W$143,22,FALSE)/VLOOKUP('Source VoT'!$F$27,'Annual Parameters'!$B$33:$W$143,22,FALSE)*VLOOKUP($B$14,'Annual Parameters'!$B$33:$W$143,3,FALSE)/VLOOKUP('Source VoT'!$E$27,'Annual Parameters'!$B$33:$W$143,3,FALSE)</f>
        <v>4.8364304721180913</v>
      </c>
      <c r="T46" s="117">
        <f>'Source VoT'!$D$27*1*VLOOKUP($B46,'Annual Parameters'!$B$33:$W$143,21,FALSE)/VLOOKUP('Source VoT'!$F$27,'Annual Parameters'!$B$33:$W$143,21,FALSE)*VLOOKUP($B$14,'Annual Parameters'!$B$33:$W$143,3,FALSE)/VLOOKUP('Source VoT'!$E$27,'Annual Parameters'!$B$33:$W$143,3,FALSE)</f>
        <v>18.831847210535322</v>
      </c>
      <c r="U46" s="73">
        <f>'Source VoT'!$D$28*1*VLOOKUP($B46,'Annual Parameters'!$B$33:$W$143,21,FALSE)/VLOOKUP('Source VoT'!$F$27,'Annual Parameters'!$B$33:$W$143,21,FALSE)*VLOOKUP($B$14,'Annual Parameters'!$B$33:$W$143,3,FALSE)/VLOOKUP('Source VoT'!$E$27,'Annual Parameters'!$B$33:$W$143,3,FALSE)</f>
        <v>18.831847210535322</v>
      </c>
      <c r="V46" s="73">
        <f>'Source VoT'!$D$29*1*VLOOKUP($B46,'Annual Parameters'!$B$33:$W$143,21,FALSE)/VLOOKUP('Source VoT'!$F$27,'Annual Parameters'!$B$33:$W$143,21,FALSE)*VLOOKUP($B$14,'Annual Parameters'!$B$33:$W$143,3,FALSE)/VLOOKUP('Source VoT'!$E$27,'Annual Parameters'!$B$33:$W$143,3,FALSE)</f>
        <v>12.967181700986822</v>
      </c>
      <c r="W46" s="73">
        <f>'Source VoT'!$D$30*1*VLOOKUP($B46,'Annual Parameters'!$B$33:$W$143,21,FALSE)/VLOOKUP('Source VoT'!$F$27,'Annual Parameters'!$B$33:$W$143,21,FALSE)*VLOOKUP($B$14,'Annual Parameters'!$B$33:$W$143,3,FALSE)/VLOOKUP('Source VoT'!$E$27,'Annual Parameters'!$B$33:$W$143,3,FALSE)</f>
        <v>15.278461772690491</v>
      </c>
      <c r="X46" s="73">
        <f>'Source VoT'!$D$31*1*VLOOKUP($B46,'Annual Parameters'!$B$33:$W$143,21,FALSE)/VLOOKUP('Source VoT'!$F$27,'Annual Parameters'!$B$33:$W$143,21,FALSE)*VLOOKUP($B$14,'Annual Parameters'!$B$33:$W$143,3,FALSE)/VLOOKUP('Source VoT'!$E$27,'Annual Parameters'!$B$33:$W$143,3,FALSE)</f>
        <v>15.608644640076731</v>
      </c>
      <c r="Y46" s="73">
        <f>'Source VoT'!$D$32*1*VLOOKUP($B46,'Annual Parameters'!$B$33:$W$143,21,FALSE)/VLOOKUP('Source VoT'!$F$27,'Annual Parameters'!$B$33:$W$143,21,FALSE)*VLOOKUP($B$14,'Annual Parameters'!$B$33:$W$143,3,FALSE)/VLOOKUP('Source VoT'!$E$27,'Annual Parameters'!$B$33:$W$143,3,FALSE)</f>
        <v>10.671740265638082</v>
      </c>
      <c r="Z46" s="73">
        <f>'Source VoT'!$D$33*1*VLOOKUP($B46,'Annual Parameters'!$B$33:$W$143,21,FALSE)/VLOOKUP('Source VoT'!$F$27,'Annual Parameters'!$B$33:$W$143,21,FALSE)*VLOOKUP($B$14,'Annual Parameters'!$B$33:$W$143,3,FALSE)/VLOOKUP('Source VoT'!$E$27,'Annual Parameters'!$B$33:$W$143,3,FALSE)</f>
        <v>13.792638869452416</v>
      </c>
      <c r="AA46" s="73">
        <f>'Source VoT'!$D$34*1*VLOOKUP($B46,'Annual Parameters'!$B$33:$W$143,21,FALSE)/VLOOKUP('Source VoT'!$F$27,'Annual Parameters'!$B$33:$W$143,21,FALSE)*VLOOKUP($B$14,'Annual Parameters'!$B$33:$W$143,3,FALSE)/VLOOKUP('Source VoT'!$E$27,'Annual Parameters'!$B$33:$W$143,3,FALSE)</f>
        <v>18.831847210535322</v>
      </c>
      <c r="AB46" s="73">
        <f>'Source VoT'!$D$35*1*VLOOKUP($B46,'Annual Parameters'!$B$33:$W$143,21,FALSE)/VLOOKUP('Source VoT'!$F$27,'Annual Parameters'!$B$33:$W$143,21,FALSE)*VLOOKUP($B$14,'Annual Parameters'!$B$33:$W$143,3,FALSE)/VLOOKUP('Source VoT'!$E$27,'Annual Parameters'!$B$33:$W$143,3,FALSE)</f>
        <v>31.063365227656742</v>
      </c>
      <c r="AC46" s="73">
        <f>'Source VoT'!$D$36*1*VLOOKUP($B46,'Annual Parameters'!$B$33:$W$143,21,FALSE)/VLOOKUP('Source VoT'!$F$27,'Annual Parameters'!$B$33:$W$143,21,FALSE)*VLOOKUP($B$14,'Annual Parameters'!$B$33:$W$143,3,FALSE)/VLOOKUP('Source VoT'!$E$27,'Annual Parameters'!$B$33:$W$143,3,FALSE)</f>
        <v>10.671740265638082</v>
      </c>
      <c r="AD46" s="73">
        <f>'Source VoT'!$D$37*1*VLOOKUP($B46,'Annual Parameters'!$B$33:$W$143,21,FALSE)/VLOOKUP('Source VoT'!$F$27,'Annual Parameters'!$B$33:$W$143,21,FALSE)*VLOOKUP($B$14,'Annual Parameters'!$B$33:$W$143,3,FALSE)/VLOOKUP('Source VoT'!$E$27,'Annual Parameters'!$B$33:$W$143,3,FALSE)</f>
        <v>10.671740265638082</v>
      </c>
      <c r="AE46" s="73">
        <f>'Source VoT'!$D$38*1*VLOOKUP($B46,'Annual Parameters'!$B$33:$W$143,21,FALSE)/VLOOKUP('Source VoT'!$F$27,'Annual Parameters'!$B$33:$W$143,21,FALSE)*VLOOKUP($B$14,'Annual Parameters'!$B$33:$W$143,3,FALSE)/VLOOKUP('Source VoT'!$E$27,'Annual Parameters'!$B$33:$W$143,3,FALSE)</f>
        <v>10.671740265638082</v>
      </c>
      <c r="AF46" s="73">
        <f>'Source VoT'!$D$39*1*VLOOKUP($B46,'Annual Parameters'!$B$33:$W$143,21,FALSE)/VLOOKUP('Source VoT'!$F$27,'Annual Parameters'!$B$33:$W$143,21,FALSE)*VLOOKUP($B$14,'Annual Parameters'!$B$33:$W$143,3,FALSE)/VLOOKUP('Source VoT'!$E$27,'Annual Parameters'!$B$33:$W$143,3,FALSE)</f>
        <v>18.831847210535322</v>
      </c>
      <c r="AG46" s="74">
        <f>'Source VoT'!$D$40*1*VLOOKUP($B46,'Annual Parameters'!$B$33:$W$143,21,FALSE)/VLOOKUP('Source VoT'!$F$27,'Annual Parameters'!$B$33:$W$143,21,FALSE)*VLOOKUP($B$14,'Annual Parameters'!$B$33:$W$143,3,FALSE)/VLOOKUP('Source VoT'!$E$27,'Annual Parameters'!$B$33:$W$143,3,FALSE)</f>
        <v>20.512178850733427</v>
      </c>
      <c r="AH46" s="73">
        <f>'Source VoT'!$D$45*1*VLOOKUP($B46,'Annual Parameters'!$B$33:$W$143,22,FALSE)/VLOOKUP('Source VoT'!$F$27,'Annual Parameters'!$B$33:$W$143,22,FALSE)*VLOOKUP($B$14,'Annual Parameters'!$B$33:$W$143,3,FALSE)/VLOOKUP('Source VoT'!$E$27,'Annual Parameters'!$B$33:$W$143,3,FALSE)</f>
        <v>12.60949572594755</v>
      </c>
      <c r="AI46" s="73">
        <f>'Source VoT'!$D$46*1*VLOOKUP($B46,'Annual Parameters'!$B$33:$W$143,22,FALSE)/VLOOKUP('Source VoT'!$F$27,'Annual Parameters'!$B$33:$W$143,22,FALSE)*VLOOKUP($B$14,'Annual Parameters'!$B$33:$W$143,3,FALSE)/VLOOKUP('Source VoT'!$E$27,'Annual Parameters'!$B$33:$W$143,3,FALSE)</f>
        <v>5.7553522618205273</v>
      </c>
      <c r="AJ46" s="117">
        <f>'Source VoT'!$D$27*VLOOKUP($B46,'Indirect tax correction'!$B$27:$I$127,7,FALSE)*VLOOKUP($B46,'Annual Parameters'!$B$33:$W$143,21,FALSE)/VLOOKUP('Source VoT'!$F$27,'Annual Parameters'!$B$33:$W$143,21,FALSE)*VLOOKUP($B$14,'Annual Parameters'!$B$33:$W$143,3,FALSE)/VLOOKUP('Source VoT'!$E$27,'Annual Parameters'!$B$33:$W$143,3,FALSE)</f>
        <v>22.409898180537034</v>
      </c>
      <c r="AK46" s="73">
        <f>'Source VoT'!$D$28*VLOOKUP($B46,'Indirect tax correction'!$B$27:$I$127,7,FALSE)*VLOOKUP($B46,'Annual Parameters'!$B$33:$W$143,21,FALSE)/VLOOKUP('Source VoT'!$F$27,'Annual Parameters'!$B$33:$W$143,21,FALSE)*VLOOKUP($B$14,'Annual Parameters'!$B$33:$W$143,3,FALSE)/VLOOKUP('Source VoT'!$E$27,'Annual Parameters'!$B$33:$W$143,3,FALSE)</f>
        <v>22.409898180537034</v>
      </c>
      <c r="AL46" s="73">
        <f>'Source VoT'!$D$29*VLOOKUP($B46,'Indirect tax correction'!$B$27:$I$127,7,FALSE)*VLOOKUP($B46,'Annual Parameters'!$B$33:$W$143,21,FALSE)/VLOOKUP('Source VoT'!$F$27,'Annual Parameters'!$B$33:$W$143,21,FALSE)*VLOOKUP($B$14,'Annual Parameters'!$B$33:$W$143,3,FALSE)/VLOOKUP('Source VoT'!$E$27,'Annual Parameters'!$B$33:$W$143,3,FALSE)</f>
        <v>15.430946224174317</v>
      </c>
      <c r="AM46" s="73">
        <f>'Source VoT'!$D$30*VLOOKUP($B46,'Indirect tax correction'!$B$27:$I$127,7,FALSE)*VLOOKUP($B46,'Annual Parameters'!$B$33:$W$143,21,FALSE)/VLOOKUP('Source VoT'!$F$27,'Annual Parameters'!$B$33:$W$143,21,FALSE)*VLOOKUP($B$14,'Annual Parameters'!$B$33:$W$143,3,FALSE)/VLOOKUP('Source VoT'!$E$27,'Annual Parameters'!$B$33:$W$143,3,FALSE)</f>
        <v>18.181369509501682</v>
      </c>
      <c r="AN46" s="73">
        <f>'Source VoT'!$D$31*VLOOKUP($B46,'Indirect tax correction'!$B$27:$I$127,7,FALSE)*VLOOKUP($B46,'Annual Parameters'!$B$33:$W$143,21,FALSE)/VLOOKUP('Source VoT'!$F$27,'Annual Parameters'!$B$33:$W$143,21,FALSE)*VLOOKUP($B$14,'Annual Parameters'!$B$33:$W$143,3,FALSE)/VLOOKUP('Source VoT'!$E$27,'Annual Parameters'!$B$33:$W$143,3,FALSE)</f>
        <v>18.574287121691309</v>
      </c>
      <c r="AO46" s="73">
        <f>'Source VoT'!$D$32*VLOOKUP($B46,'Indirect tax correction'!$B$27:$I$127,7,FALSE)*VLOOKUP($B46,'Annual Parameters'!$B$33:$W$143,21,FALSE)/VLOOKUP('Source VoT'!$F$27,'Annual Parameters'!$B$33:$W$143,21,FALSE)*VLOOKUP($B$14,'Annual Parameters'!$B$33:$W$143,3,FALSE)/VLOOKUP('Source VoT'!$E$27,'Annual Parameters'!$B$33:$W$143,3,FALSE)</f>
        <v>12.69937091610932</v>
      </c>
      <c r="AP46" s="73">
        <f>'Source VoT'!$D$33*VLOOKUP($B46,'Indirect tax correction'!$B$27:$I$127,7,FALSE)*VLOOKUP($B46,'Annual Parameters'!$B$33:$W$143,21,FALSE)/VLOOKUP('Source VoT'!$F$27,'Annual Parameters'!$B$33:$W$143,21,FALSE)*VLOOKUP($B$14,'Annual Parameters'!$B$33:$W$143,3,FALSE)/VLOOKUP('Source VoT'!$E$27,'Annual Parameters'!$B$33:$W$143,3,FALSE)</f>
        <v>16.413240254648375</v>
      </c>
      <c r="AQ46" s="73">
        <f>'Source VoT'!$D$34*VLOOKUP($B46,'Indirect tax correction'!$B$27:$I$127,7,FALSE)*VLOOKUP($B46,'Annual Parameters'!$B$33:$W$143,21,FALSE)/VLOOKUP('Source VoT'!$F$27,'Annual Parameters'!$B$33:$W$143,21,FALSE)*VLOOKUP($B$14,'Annual Parameters'!$B$33:$W$143,3,FALSE)/VLOOKUP('Source VoT'!$E$27,'Annual Parameters'!$B$33:$W$143,3,FALSE)</f>
        <v>22.409898180537034</v>
      </c>
      <c r="AR46" s="73">
        <f>'Source VoT'!$D$35*VLOOKUP($B46,'Indirect tax correction'!$B$27:$I$127,7,FALSE)*VLOOKUP($B46,'Annual Parameters'!$B$33:$W$143,21,FALSE)/VLOOKUP('Source VoT'!$F$27,'Annual Parameters'!$B$33:$W$143,21,FALSE)*VLOOKUP($B$14,'Annual Parameters'!$B$33:$W$143,3,FALSE)/VLOOKUP('Source VoT'!$E$27,'Annual Parameters'!$B$33:$W$143,3,FALSE)</f>
        <v>36.965404620911521</v>
      </c>
      <c r="AS46" s="73">
        <f>'Source VoT'!$D$36*VLOOKUP($B46,'Indirect tax correction'!$B$27:$I$127,7,FALSE)*VLOOKUP($B46,'Annual Parameters'!$B$33:$W$143,21,FALSE)/VLOOKUP('Source VoT'!$F$27,'Annual Parameters'!$B$33:$W$143,21,FALSE)*VLOOKUP($B$14,'Annual Parameters'!$B$33:$W$143,3,FALSE)/VLOOKUP('Source VoT'!$E$27,'Annual Parameters'!$B$33:$W$143,3,FALSE)</f>
        <v>12.69937091610932</v>
      </c>
      <c r="AT46" s="73">
        <f>'Source VoT'!$D$37*VLOOKUP($B46,'Indirect tax correction'!$B$27:$I$127,7,FALSE)*VLOOKUP($B46,'Annual Parameters'!$B$33:$W$143,21,FALSE)/VLOOKUP('Source VoT'!$F$27,'Annual Parameters'!$B$33:$W$143,21,FALSE)*VLOOKUP($B$14,'Annual Parameters'!$B$33:$W$143,3,FALSE)/VLOOKUP('Source VoT'!$E$27,'Annual Parameters'!$B$33:$W$143,3,FALSE)</f>
        <v>12.69937091610932</v>
      </c>
      <c r="AU46" s="73">
        <f>'Source VoT'!$D$38*VLOOKUP($B46,'Indirect tax correction'!$B$27:$I$127,7,FALSE)*VLOOKUP($B46,'Annual Parameters'!$B$33:$W$143,21,FALSE)/VLOOKUP('Source VoT'!$F$27,'Annual Parameters'!$B$33:$W$143,21,FALSE)*VLOOKUP($B$14,'Annual Parameters'!$B$33:$W$143,3,FALSE)/VLOOKUP('Source VoT'!$E$27,'Annual Parameters'!$B$33:$W$143,3,FALSE)</f>
        <v>12.69937091610932</v>
      </c>
      <c r="AV46" s="73">
        <f>'Source VoT'!$D$39*VLOOKUP($B46,'Indirect tax correction'!$B$27:$I$127,7,FALSE)*VLOOKUP($B46,'Annual Parameters'!$B$33:$W$143,21,FALSE)/VLOOKUP('Source VoT'!$F$27,'Annual Parameters'!$B$33:$W$143,21,FALSE)*VLOOKUP($B$14,'Annual Parameters'!$B$33:$W$143,3,FALSE)/VLOOKUP('Source VoT'!$E$27,'Annual Parameters'!$B$33:$W$143,3,FALSE)</f>
        <v>22.409898180537034</v>
      </c>
      <c r="AW46" s="74">
        <f>'Source VoT'!$D$40*VLOOKUP($B46,'Indirect tax correction'!$B$27:$I$127,7,FALSE)*VLOOKUP($B46,'Annual Parameters'!$B$33:$W$143,21,FALSE)/VLOOKUP('Source VoT'!$F$27,'Annual Parameters'!$B$33:$W$143,21,FALSE)*VLOOKUP($B$14,'Annual Parameters'!$B$33:$W$143,3,FALSE)/VLOOKUP('Source VoT'!$E$27,'Annual Parameters'!$B$33:$W$143,3,FALSE)</f>
        <v>24.409492832372777</v>
      </c>
      <c r="AX46" s="73">
        <f>'Source VoT'!$D$45*VLOOKUP($B46,'Indirect tax correction'!$B$27:$I$127,8,FALSE)*VLOOKUP($B46,'Annual Parameters'!$B$33:$W$143,22,FALSE)/VLOOKUP('Source VoT'!$F$27,'Annual Parameters'!$B$33:$W$143,22,FALSE)*VLOOKUP($B$14,'Annual Parameters'!$B$33:$W$143,3,FALSE)/VLOOKUP('Source VoT'!$E$27,'Annual Parameters'!$B$33:$W$143,3,FALSE)</f>
        <v>12.60949572594755</v>
      </c>
      <c r="AY46" s="74">
        <f>'Source VoT'!$D$46*VLOOKUP($B46,'Indirect tax correction'!$B$27:$I$127,8,FALSE)*VLOOKUP($B46,'Annual Parameters'!$B$33:$W$143,22,FALSE)/VLOOKUP('Source VoT'!$F$27,'Annual Parameters'!$B$33:$W$143,22,FALSE)*VLOOKUP($B$14,'Annual Parameters'!$B$33:$W$143,3,FALSE)/VLOOKUP('Source VoT'!$E$27,'Annual Parameters'!$B$33:$W$143,3,FALSE)</f>
        <v>5.7553522618205273</v>
      </c>
      <c r="AZ46" s="2875"/>
      <c r="BA46" s="2875"/>
      <c r="BB46" s="2875"/>
      <c r="BC46" s="2875"/>
      <c r="BD46" s="2875"/>
      <c r="BE46" s="2875"/>
      <c r="BF46" s="2875"/>
      <c r="BG46" s="2875"/>
    </row>
    <row r="47" spans="1:60" ht="13.5" customHeight="1">
      <c r="A47" s="90"/>
      <c r="B47" s="82">
        <f t="shared" si="0"/>
        <v>2030</v>
      </c>
      <c r="C47" s="82"/>
      <c r="D47" s="117">
        <f>'Source VoT'!$D$27*VLOOKUP($B47,'Indirect tax correction'!$B$27:$I$127,5,FALSE)*VLOOKUP($B47,'Annual Parameters'!$B$33:$W$143,21,FALSE)/VLOOKUP('Source VoT'!$F$27,'Annual Parameters'!$B$33:$W$143,21,FALSE)*VLOOKUP($B$14,'Annual Parameters'!$B$33:$W$143,3,FALSE)/VLOOKUP('Source VoT'!$E$27,'Annual Parameters'!$B$33:$W$143,3,FALSE)</f>
        <v>19.189541997619948</v>
      </c>
      <c r="E47" s="73">
        <f>'Source VoT'!$D$28*VLOOKUP($B47,'Indirect tax correction'!$B$27:$I$127,5,FALSE)*VLOOKUP($B47,'Annual Parameters'!$B$33:$W$143,21,FALSE)/VLOOKUP('Source VoT'!$F$27,'Annual Parameters'!$B$33:$W$143,21,FALSE)*VLOOKUP($B$14,'Annual Parameters'!$B$33:$W$143,3,FALSE)/VLOOKUP('Source VoT'!$E$27,'Annual Parameters'!$B$33:$W$143,3,FALSE)</f>
        <v>19.189541997619948</v>
      </c>
      <c r="F47" s="73">
        <f>'Source VoT'!$D$29*VLOOKUP($B47,'Indirect tax correction'!$B$27:$I$127,5,FALSE)*VLOOKUP($B47,'Annual Parameters'!$B$33:$W$143,21,FALSE)/VLOOKUP('Source VoT'!$F$27,'Annual Parameters'!$B$33:$W$143,21,FALSE)*VLOOKUP($B$14,'Annual Parameters'!$B$33:$W$143,3,FALSE)/VLOOKUP('Source VoT'!$E$27,'Annual Parameters'!$B$33:$W$143,3,FALSE)</f>
        <v>13.213482196406481</v>
      </c>
      <c r="G47" s="73">
        <f>'Source VoT'!$D$30*VLOOKUP($B47,'Indirect tax correction'!$B$27:$I$127,5,FALSE)*VLOOKUP($B47,'Annual Parameters'!$B$33:$W$143,21,FALSE)/VLOOKUP('Source VoT'!$F$27,'Annual Parameters'!$B$33:$W$143,21,FALSE)*VLOOKUP($B$14,'Annual Parameters'!$B$33:$W$143,3,FALSE)/VLOOKUP('Source VoT'!$E$27,'Annual Parameters'!$B$33:$W$143,3,FALSE)</f>
        <v>15.568663050858559</v>
      </c>
      <c r="H47" s="73">
        <f>'Source VoT'!$D$31*VLOOKUP($B47,'Indirect tax correction'!$B$27:$I$127,5,FALSE)*VLOOKUP($B47,'Annual Parameters'!$B$33:$W$143,21,FALSE)/VLOOKUP('Source VoT'!$F$27,'Annual Parameters'!$B$33:$W$143,21,FALSE)*VLOOKUP($B$14,'Annual Parameters'!$B$33:$W$143,3,FALSE)/VLOOKUP('Source VoT'!$E$27,'Annual Parameters'!$B$33:$W$143,3,FALSE)</f>
        <v>15.905117458637431</v>
      </c>
      <c r="I47" s="73">
        <f>'Source VoT'!$D$32*VLOOKUP($B47,'Indirect tax correction'!$B$27:$I$127,5,FALSE)*VLOOKUP($B47,'Annual Parameters'!$B$33:$W$143,21,FALSE)/VLOOKUP('Source VoT'!$F$27,'Annual Parameters'!$B$33:$W$143,21,FALSE)*VLOOKUP($B$14,'Annual Parameters'!$B$33:$W$143,3,FALSE)/VLOOKUP('Source VoT'!$E$27,'Annual Parameters'!$B$33:$W$143,3,FALSE)</f>
        <v>10.874440819623267</v>
      </c>
      <c r="J47" s="73">
        <f>'Source VoT'!$D$33*VLOOKUP($B47,'Indirect tax correction'!$B$27:$I$127,5,FALSE)*VLOOKUP($B47,'Annual Parameters'!$B$33:$W$143,21,FALSE)/VLOOKUP('Source VoT'!$F$27,'Annual Parameters'!$B$33:$W$143,21,FALSE)*VLOOKUP($B$14,'Annual Parameters'!$B$33:$W$143,3,FALSE)/VLOOKUP('Source VoT'!$E$27,'Annual Parameters'!$B$33:$W$143,3,FALSE)</f>
        <v>14.054618215853649</v>
      </c>
      <c r="K47" s="73">
        <f>'Source VoT'!$D$34*VLOOKUP($B47,'Indirect tax correction'!$B$27:$I$127,5,FALSE)*VLOOKUP($B47,'Annual Parameters'!$B$33:$W$143,21,FALSE)/VLOOKUP('Source VoT'!$F$27,'Annual Parameters'!$B$33:$W$143,21,FALSE)*VLOOKUP($B$14,'Annual Parameters'!$B$33:$W$143,3,FALSE)/VLOOKUP('Source VoT'!$E$27,'Annual Parameters'!$B$33:$W$143,3,FALSE)</f>
        <v>19.189541997619948</v>
      </c>
      <c r="L47" s="73">
        <f>'Source VoT'!$D$35*VLOOKUP($B47,'Indirect tax correction'!$B$27:$I$127,5,FALSE)*VLOOKUP($B47,'Annual Parameters'!$B$33:$W$143,21,FALSE)/VLOOKUP('Source VoT'!$F$27,'Annual Parameters'!$B$33:$W$143,21,FALSE)*VLOOKUP($B$14,'Annual Parameters'!$B$33:$W$143,3,FALSE)/VLOOKUP('Source VoT'!$E$27,'Annual Parameters'!$B$33:$W$143,3,FALSE)</f>
        <v>31.653387209410216</v>
      </c>
      <c r="M47" s="73">
        <f>'Source VoT'!$D$36*VLOOKUP($B47,'Indirect tax correction'!$B$27:$I$127,5,FALSE)*VLOOKUP($B47,'Annual Parameters'!$B$33:$W$143,21,FALSE)/VLOOKUP('Source VoT'!$F$27,'Annual Parameters'!$B$33:$W$143,21,FALSE)*VLOOKUP($B$14,'Annual Parameters'!$B$33:$W$143,3,FALSE)/VLOOKUP('Source VoT'!$E$27,'Annual Parameters'!$B$33:$W$143,3,FALSE)</f>
        <v>10.874440819623267</v>
      </c>
      <c r="N47" s="73">
        <f>'Source VoT'!$D$37*VLOOKUP($B47,'Indirect tax correction'!$B$27:$I$127,5,FALSE)*VLOOKUP($B47,'Annual Parameters'!$B$33:$W$143,21,FALSE)/VLOOKUP('Source VoT'!$F$27,'Annual Parameters'!$B$33:$W$143,21,FALSE)*VLOOKUP($B$14,'Annual Parameters'!$B$33:$W$143,3,FALSE)/VLOOKUP('Source VoT'!$E$27,'Annual Parameters'!$B$33:$W$143,3,FALSE)</f>
        <v>10.874440819623267</v>
      </c>
      <c r="O47" s="73">
        <f>'Source VoT'!$D$38*VLOOKUP($B47,'Indirect tax correction'!$B$27:$I$127,5,FALSE)*VLOOKUP($B47,'Annual Parameters'!$B$33:$W$143,21,FALSE)/VLOOKUP('Source VoT'!$F$27,'Annual Parameters'!$B$33:$W$143,21,FALSE)*VLOOKUP($B$14,'Annual Parameters'!$B$33:$W$143,3,FALSE)/VLOOKUP('Source VoT'!$E$27,'Annual Parameters'!$B$33:$W$143,3,FALSE)</f>
        <v>10.874440819623267</v>
      </c>
      <c r="P47" s="73">
        <f>'Source VoT'!$D$39*VLOOKUP($B47,'Indirect tax correction'!$B$27:$I$127,5,FALSE)*VLOOKUP($B47,'Annual Parameters'!$B$33:$W$143,21,FALSE)/VLOOKUP('Source VoT'!$F$27,'Annual Parameters'!$B$33:$W$143,21,FALSE)*VLOOKUP($B$14,'Annual Parameters'!$B$33:$W$143,3,FALSE)/VLOOKUP('Source VoT'!$E$27,'Annual Parameters'!$B$33:$W$143,3,FALSE)</f>
        <v>19.189541997619948</v>
      </c>
      <c r="Q47" s="74">
        <f>'Source VoT'!$D$40*VLOOKUP($B47,'Indirect tax correction'!$B$27:$I$127,5,FALSE)*VLOOKUP($B47,'Annual Parameters'!$B$33:$W$143,21,FALSE)/VLOOKUP('Source VoT'!$F$27,'Annual Parameters'!$B$33:$W$143,21,FALSE)*VLOOKUP($B$14,'Annual Parameters'!$B$33:$W$143,3,FALSE)/VLOOKUP('Source VoT'!$E$27,'Annual Parameters'!$B$33:$W$143,3,FALSE)</f>
        <v>20.901790096227714</v>
      </c>
      <c r="R47" s="73">
        <f>'Source VoT'!$D$45*VLOOKUP($B47,'Indirect tax correction'!$B$27:$I$127,6,FALSE)*VLOOKUP($B47,'Annual Parameters'!$B$33:$W$143,22,FALSE)/VLOOKUP('Source VoT'!$F$27,'Annual Parameters'!$B$33:$W$143,22,FALSE)*VLOOKUP($B$14,'Annual Parameters'!$B$33:$W$143,3,FALSE)/VLOOKUP('Source VoT'!$E$27,'Annual Parameters'!$B$33:$W$143,3,FALSE)</f>
        <v>10.797480910110997</v>
      </c>
      <c r="S47" s="73">
        <f>'Source VoT'!$D$46*VLOOKUP($B47,'Indirect tax correction'!$B$27:$I$127,6,FALSE)*VLOOKUP($B47,'Annual Parameters'!$B$33:$W$143,22,FALSE)/VLOOKUP('Source VoT'!$F$27,'Annual Parameters'!$B$33:$W$143,22,FALSE)*VLOOKUP($B$14,'Annual Parameters'!$B$33:$W$143,3,FALSE)/VLOOKUP('Source VoT'!$E$27,'Annual Parameters'!$B$33:$W$143,3,FALSE)</f>
        <v>4.9282943210880452</v>
      </c>
      <c r="T47" s="117">
        <f>'Source VoT'!$D$27*1*VLOOKUP($B47,'Annual Parameters'!$B$33:$W$143,21,FALSE)/VLOOKUP('Source VoT'!$F$27,'Annual Parameters'!$B$33:$W$143,21,FALSE)*VLOOKUP($B$14,'Annual Parameters'!$B$33:$W$143,3,FALSE)/VLOOKUP('Source VoT'!$E$27,'Annual Parameters'!$B$33:$W$143,3,FALSE)</f>
        <v>19.189541997619948</v>
      </c>
      <c r="U47" s="73">
        <f>'Source VoT'!$D$28*1*VLOOKUP($B47,'Annual Parameters'!$B$33:$W$143,21,FALSE)/VLOOKUP('Source VoT'!$F$27,'Annual Parameters'!$B$33:$W$143,21,FALSE)*VLOOKUP($B$14,'Annual Parameters'!$B$33:$W$143,3,FALSE)/VLOOKUP('Source VoT'!$E$27,'Annual Parameters'!$B$33:$W$143,3,FALSE)</f>
        <v>19.189541997619948</v>
      </c>
      <c r="V47" s="73">
        <f>'Source VoT'!$D$29*1*VLOOKUP($B47,'Annual Parameters'!$B$33:$W$143,21,FALSE)/VLOOKUP('Source VoT'!$F$27,'Annual Parameters'!$B$33:$W$143,21,FALSE)*VLOOKUP($B$14,'Annual Parameters'!$B$33:$W$143,3,FALSE)/VLOOKUP('Source VoT'!$E$27,'Annual Parameters'!$B$33:$W$143,3,FALSE)</f>
        <v>13.213482196406481</v>
      </c>
      <c r="W47" s="73">
        <f>'Source VoT'!$D$30*1*VLOOKUP($B47,'Annual Parameters'!$B$33:$W$143,21,FALSE)/VLOOKUP('Source VoT'!$F$27,'Annual Parameters'!$B$33:$W$143,21,FALSE)*VLOOKUP($B$14,'Annual Parameters'!$B$33:$W$143,3,FALSE)/VLOOKUP('Source VoT'!$E$27,'Annual Parameters'!$B$33:$W$143,3,FALSE)</f>
        <v>15.568663050858559</v>
      </c>
      <c r="X47" s="73">
        <f>'Source VoT'!$D$31*1*VLOOKUP($B47,'Annual Parameters'!$B$33:$W$143,21,FALSE)/VLOOKUP('Source VoT'!$F$27,'Annual Parameters'!$B$33:$W$143,21,FALSE)*VLOOKUP($B$14,'Annual Parameters'!$B$33:$W$143,3,FALSE)/VLOOKUP('Source VoT'!$E$27,'Annual Parameters'!$B$33:$W$143,3,FALSE)</f>
        <v>15.905117458637431</v>
      </c>
      <c r="Y47" s="73">
        <f>'Source VoT'!$D$32*1*VLOOKUP($B47,'Annual Parameters'!$B$33:$W$143,21,FALSE)/VLOOKUP('Source VoT'!$F$27,'Annual Parameters'!$B$33:$W$143,21,FALSE)*VLOOKUP($B$14,'Annual Parameters'!$B$33:$W$143,3,FALSE)/VLOOKUP('Source VoT'!$E$27,'Annual Parameters'!$B$33:$W$143,3,FALSE)</f>
        <v>10.874440819623267</v>
      </c>
      <c r="Z47" s="73">
        <f>'Source VoT'!$D$33*1*VLOOKUP($B47,'Annual Parameters'!$B$33:$W$143,21,FALSE)/VLOOKUP('Source VoT'!$F$27,'Annual Parameters'!$B$33:$W$143,21,FALSE)*VLOOKUP($B$14,'Annual Parameters'!$B$33:$W$143,3,FALSE)/VLOOKUP('Source VoT'!$E$27,'Annual Parameters'!$B$33:$W$143,3,FALSE)</f>
        <v>14.054618215853649</v>
      </c>
      <c r="AA47" s="73">
        <f>'Source VoT'!$D$34*1*VLOOKUP($B47,'Annual Parameters'!$B$33:$W$143,21,FALSE)/VLOOKUP('Source VoT'!$F$27,'Annual Parameters'!$B$33:$W$143,21,FALSE)*VLOOKUP($B$14,'Annual Parameters'!$B$33:$W$143,3,FALSE)/VLOOKUP('Source VoT'!$E$27,'Annual Parameters'!$B$33:$W$143,3,FALSE)</f>
        <v>19.189541997619948</v>
      </c>
      <c r="AB47" s="73">
        <f>'Source VoT'!$D$35*1*VLOOKUP($B47,'Annual Parameters'!$B$33:$W$143,21,FALSE)/VLOOKUP('Source VoT'!$F$27,'Annual Parameters'!$B$33:$W$143,21,FALSE)*VLOOKUP($B$14,'Annual Parameters'!$B$33:$W$143,3,FALSE)/VLOOKUP('Source VoT'!$E$27,'Annual Parameters'!$B$33:$W$143,3,FALSE)</f>
        <v>31.653387209410216</v>
      </c>
      <c r="AC47" s="73">
        <f>'Source VoT'!$D$36*1*VLOOKUP($B47,'Annual Parameters'!$B$33:$W$143,21,FALSE)/VLOOKUP('Source VoT'!$F$27,'Annual Parameters'!$B$33:$W$143,21,FALSE)*VLOOKUP($B$14,'Annual Parameters'!$B$33:$W$143,3,FALSE)/VLOOKUP('Source VoT'!$E$27,'Annual Parameters'!$B$33:$W$143,3,FALSE)</f>
        <v>10.874440819623267</v>
      </c>
      <c r="AD47" s="73">
        <f>'Source VoT'!$D$37*1*VLOOKUP($B47,'Annual Parameters'!$B$33:$W$143,21,FALSE)/VLOOKUP('Source VoT'!$F$27,'Annual Parameters'!$B$33:$W$143,21,FALSE)*VLOOKUP($B$14,'Annual Parameters'!$B$33:$W$143,3,FALSE)/VLOOKUP('Source VoT'!$E$27,'Annual Parameters'!$B$33:$W$143,3,FALSE)</f>
        <v>10.874440819623267</v>
      </c>
      <c r="AE47" s="73">
        <f>'Source VoT'!$D$38*1*VLOOKUP($B47,'Annual Parameters'!$B$33:$W$143,21,FALSE)/VLOOKUP('Source VoT'!$F$27,'Annual Parameters'!$B$33:$W$143,21,FALSE)*VLOOKUP($B$14,'Annual Parameters'!$B$33:$W$143,3,FALSE)/VLOOKUP('Source VoT'!$E$27,'Annual Parameters'!$B$33:$W$143,3,FALSE)</f>
        <v>10.874440819623267</v>
      </c>
      <c r="AF47" s="73">
        <f>'Source VoT'!$D$39*1*VLOOKUP($B47,'Annual Parameters'!$B$33:$W$143,21,FALSE)/VLOOKUP('Source VoT'!$F$27,'Annual Parameters'!$B$33:$W$143,21,FALSE)*VLOOKUP($B$14,'Annual Parameters'!$B$33:$W$143,3,FALSE)/VLOOKUP('Source VoT'!$E$27,'Annual Parameters'!$B$33:$W$143,3,FALSE)</f>
        <v>19.189541997619948</v>
      </c>
      <c r="AG47" s="74">
        <f>'Source VoT'!$D$40*1*VLOOKUP($B47,'Annual Parameters'!$B$33:$W$143,21,FALSE)/VLOOKUP('Source VoT'!$F$27,'Annual Parameters'!$B$33:$W$143,21,FALSE)*VLOOKUP($B$14,'Annual Parameters'!$B$33:$W$143,3,FALSE)/VLOOKUP('Source VoT'!$E$27,'Annual Parameters'!$B$33:$W$143,3,FALSE)</f>
        <v>20.901790096227714</v>
      </c>
      <c r="AH47" s="73">
        <f>'Source VoT'!$D$45*1*VLOOKUP($B47,'Annual Parameters'!$B$33:$W$143,22,FALSE)/VLOOKUP('Source VoT'!$F$27,'Annual Parameters'!$B$33:$W$143,22,FALSE)*VLOOKUP($B$14,'Annual Parameters'!$B$33:$W$143,3,FALSE)/VLOOKUP('Source VoT'!$E$27,'Annual Parameters'!$B$33:$W$143,3,FALSE)</f>
        <v>12.849002283032085</v>
      </c>
      <c r="AI47" s="73">
        <f>'Source VoT'!$D$46*1*VLOOKUP($B47,'Annual Parameters'!$B$33:$W$143,22,FALSE)/VLOOKUP('Source VoT'!$F$27,'Annual Parameters'!$B$33:$W$143,22,FALSE)*VLOOKUP($B$14,'Annual Parameters'!$B$33:$W$143,3,FALSE)/VLOOKUP('Source VoT'!$E$27,'Annual Parameters'!$B$33:$W$143,3,FALSE)</f>
        <v>5.8646702420947721</v>
      </c>
      <c r="AJ47" s="117">
        <f>'Source VoT'!$D$27*VLOOKUP($B47,'Indirect tax correction'!$B$27:$I$127,7,FALSE)*VLOOKUP($B47,'Annual Parameters'!$B$33:$W$143,21,FALSE)/VLOOKUP('Source VoT'!$F$27,'Annual Parameters'!$B$33:$W$143,21,FALSE)*VLOOKUP($B$14,'Annual Parameters'!$B$33:$W$143,3,FALSE)/VLOOKUP('Source VoT'!$E$27,'Annual Parameters'!$B$33:$W$143,3,FALSE)</f>
        <v>22.835554977167739</v>
      </c>
      <c r="AK47" s="73">
        <f>'Source VoT'!$D$28*VLOOKUP($B47,'Indirect tax correction'!$B$27:$I$127,7,FALSE)*VLOOKUP($B47,'Annual Parameters'!$B$33:$W$143,21,FALSE)/VLOOKUP('Source VoT'!$F$27,'Annual Parameters'!$B$33:$W$143,21,FALSE)*VLOOKUP($B$14,'Annual Parameters'!$B$33:$W$143,3,FALSE)/VLOOKUP('Source VoT'!$E$27,'Annual Parameters'!$B$33:$W$143,3,FALSE)</f>
        <v>22.835554977167739</v>
      </c>
      <c r="AL47" s="73">
        <f>'Source VoT'!$D$29*VLOOKUP($B47,'Indirect tax correction'!$B$27:$I$127,7,FALSE)*VLOOKUP($B47,'Annual Parameters'!$B$33:$W$143,21,FALSE)/VLOOKUP('Source VoT'!$F$27,'Annual Parameters'!$B$33:$W$143,21,FALSE)*VLOOKUP($B$14,'Annual Parameters'!$B$33:$W$143,3,FALSE)/VLOOKUP('Source VoT'!$E$27,'Annual Parameters'!$B$33:$W$143,3,FALSE)</f>
        <v>15.724043813723711</v>
      </c>
      <c r="AM47" s="73">
        <f>'Source VoT'!$D$30*VLOOKUP($B47,'Indirect tax correction'!$B$27:$I$127,7,FALSE)*VLOOKUP($B47,'Annual Parameters'!$B$33:$W$143,21,FALSE)/VLOOKUP('Source VoT'!$F$27,'Annual Parameters'!$B$33:$W$143,21,FALSE)*VLOOKUP($B$14,'Annual Parameters'!$B$33:$W$143,3,FALSE)/VLOOKUP('Source VoT'!$E$27,'Annual Parameters'!$B$33:$W$143,3,FALSE)</f>
        <v>18.526709030521683</v>
      </c>
      <c r="AN47" s="73">
        <f>'Source VoT'!$D$31*VLOOKUP($B47,'Indirect tax correction'!$B$27:$I$127,7,FALSE)*VLOOKUP($B47,'Annual Parameters'!$B$33:$W$143,21,FALSE)/VLOOKUP('Source VoT'!$F$27,'Annual Parameters'!$B$33:$W$143,21,FALSE)*VLOOKUP($B$14,'Annual Parameters'!$B$33:$W$143,3,FALSE)/VLOOKUP('Source VoT'!$E$27,'Annual Parameters'!$B$33:$W$143,3,FALSE)</f>
        <v>18.927089775778541</v>
      </c>
      <c r="AO47" s="73">
        <f>'Source VoT'!$D$32*VLOOKUP($B47,'Indirect tax correction'!$B$27:$I$127,7,FALSE)*VLOOKUP($B47,'Annual Parameters'!$B$33:$W$143,21,FALSE)/VLOOKUP('Source VoT'!$F$27,'Annual Parameters'!$B$33:$W$143,21,FALSE)*VLOOKUP($B$14,'Annual Parameters'!$B$33:$W$143,3,FALSE)/VLOOKUP('Source VoT'!$E$27,'Annual Parameters'!$B$33:$W$143,3,FALSE)</f>
        <v>12.940584575351687</v>
      </c>
      <c r="AP47" s="73">
        <f>'Source VoT'!$D$33*VLOOKUP($B47,'Indirect tax correction'!$B$27:$I$127,7,FALSE)*VLOOKUP($B47,'Annual Parameters'!$B$33:$W$143,21,FALSE)/VLOOKUP('Source VoT'!$F$27,'Annual Parameters'!$B$33:$W$143,21,FALSE)*VLOOKUP($B$14,'Annual Parameters'!$B$33:$W$143,3,FALSE)/VLOOKUP('Source VoT'!$E$27,'Annual Parameters'!$B$33:$W$143,3,FALSE)</f>
        <v>16.724995676865841</v>
      </c>
      <c r="AQ47" s="73">
        <f>'Source VoT'!$D$34*VLOOKUP($B47,'Indirect tax correction'!$B$27:$I$127,7,FALSE)*VLOOKUP($B47,'Annual Parameters'!$B$33:$W$143,21,FALSE)/VLOOKUP('Source VoT'!$F$27,'Annual Parameters'!$B$33:$W$143,21,FALSE)*VLOOKUP($B$14,'Annual Parameters'!$B$33:$W$143,3,FALSE)/VLOOKUP('Source VoT'!$E$27,'Annual Parameters'!$B$33:$W$143,3,FALSE)</f>
        <v>22.835554977167739</v>
      </c>
      <c r="AR47" s="73">
        <f>'Source VoT'!$D$35*VLOOKUP($B47,'Indirect tax correction'!$B$27:$I$127,7,FALSE)*VLOOKUP($B47,'Annual Parameters'!$B$33:$W$143,21,FALSE)/VLOOKUP('Source VoT'!$F$27,'Annual Parameters'!$B$33:$W$143,21,FALSE)*VLOOKUP($B$14,'Annual Parameters'!$B$33:$W$143,3,FALSE)/VLOOKUP('Source VoT'!$E$27,'Annual Parameters'!$B$33:$W$143,3,FALSE)</f>
        <v>37.667530779198152</v>
      </c>
      <c r="AS47" s="73">
        <f>'Source VoT'!$D$36*VLOOKUP($B47,'Indirect tax correction'!$B$27:$I$127,7,FALSE)*VLOOKUP($B47,'Annual Parameters'!$B$33:$W$143,21,FALSE)/VLOOKUP('Source VoT'!$F$27,'Annual Parameters'!$B$33:$W$143,21,FALSE)*VLOOKUP($B$14,'Annual Parameters'!$B$33:$W$143,3,FALSE)/VLOOKUP('Source VoT'!$E$27,'Annual Parameters'!$B$33:$W$143,3,FALSE)</f>
        <v>12.940584575351687</v>
      </c>
      <c r="AT47" s="73">
        <f>'Source VoT'!$D$37*VLOOKUP($B47,'Indirect tax correction'!$B$27:$I$127,7,FALSE)*VLOOKUP($B47,'Annual Parameters'!$B$33:$W$143,21,FALSE)/VLOOKUP('Source VoT'!$F$27,'Annual Parameters'!$B$33:$W$143,21,FALSE)*VLOOKUP($B$14,'Annual Parameters'!$B$33:$W$143,3,FALSE)/VLOOKUP('Source VoT'!$E$27,'Annual Parameters'!$B$33:$W$143,3,FALSE)</f>
        <v>12.940584575351687</v>
      </c>
      <c r="AU47" s="73">
        <f>'Source VoT'!$D$38*VLOOKUP($B47,'Indirect tax correction'!$B$27:$I$127,7,FALSE)*VLOOKUP($B47,'Annual Parameters'!$B$33:$W$143,21,FALSE)/VLOOKUP('Source VoT'!$F$27,'Annual Parameters'!$B$33:$W$143,21,FALSE)*VLOOKUP($B$14,'Annual Parameters'!$B$33:$W$143,3,FALSE)/VLOOKUP('Source VoT'!$E$27,'Annual Parameters'!$B$33:$W$143,3,FALSE)</f>
        <v>12.940584575351687</v>
      </c>
      <c r="AV47" s="73">
        <f>'Source VoT'!$D$39*VLOOKUP($B47,'Indirect tax correction'!$B$27:$I$127,7,FALSE)*VLOOKUP($B47,'Annual Parameters'!$B$33:$W$143,21,FALSE)/VLOOKUP('Source VoT'!$F$27,'Annual Parameters'!$B$33:$W$143,21,FALSE)*VLOOKUP($B$14,'Annual Parameters'!$B$33:$W$143,3,FALSE)/VLOOKUP('Source VoT'!$E$27,'Annual Parameters'!$B$33:$W$143,3,FALSE)</f>
        <v>22.835554977167739</v>
      </c>
      <c r="AW47" s="74">
        <f>'Source VoT'!$D$40*VLOOKUP($B47,'Indirect tax correction'!$B$27:$I$127,7,FALSE)*VLOOKUP($B47,'Annual Parameters'!$B$33:$W$143,21,FALSE)/VLOOKUP('Source VoT'!$F$27,'Annual Parameters'!$B$33:$W$143,21,FALSE)*VLOOKUP($B$14,'Annual Parameters'!$B$33:$W$143,3,FALSE)/VLOOKUP('Source VoT'!$E$27,'Annual Parameters'!$B$33:$W$143,3,FALSE)</f>
        <v>24.873130214510979</v>
      </c>
      <c r="AX47" s="73">
        <f>'Source VoT'!$D$45*VLOOKUP($B47,'Indirect tax correction'!$B$27:$I$127,8,FALSE)*VLOOKUP($B47,'Annual Parameters'!$B$33:$W$143,22,FALSE)/VLOOKUP('Source VoT'!$F$27,'Annual Parameters'!$B$33:$W$143,22,FALSE)*VLOOKUP($B$14,'Annual Parameters'!$B$33:$W$143,3,FALSE)/VLOOKUP('Source VoT'!$E$27,'Annual Parameters'!$B$33:$W$143,3,FALSE)</f>
        <v>12.849002283032085</v>
      </c>
      <c r="AY47" s="74">
        <f>'Source VoT'!$D$46*VLOOKUP($B47,'Indirect tax correction'!$B$27:$I$127,8,FALSE)*VLOOKUP($B47,'Annual Parameters'!$B$33:$W$143,22,FALSE)/VLOOKUP('Source VoT'!$F$27,'Annual Parameters'!$B$33:$W$143,22,FALSE)*VLOOKUP($B$14,'Annual Parameters'!$B$33:$W$143,3,FALSE)/VLOOKUP('Source VoT'!$E$27,'Annual Parameters'!$B$33:$W$143,3,FALSE)</f>
        <v>5.8646702420947721</v>
      </c>
      <c r="AZ47" s="2875"/>
      <c r="BA47" s="2875"/>
      <c r="BB47" s="2875"/>
      <c r="BC47" s="2875"/>
      <c r="BD47" s="2875"/>
      <c r="BE47" s="2875"/>
      <c r="BF47" s="2875"/>
      <c r="BG47" s="2875"/>
    </row>
    <row r="48" spans="1:60" ht="13.5" customHeight="1">
      <c r="A48" s="90"/>
      <c r="B48" s="82">
        <f t="shared" si="0"/>
        <v>2031</v>
      </c>
      <c r="C48" s="82"/>
      <c r="D48" s="117">
        <f>'Source VoT'!$D$27*VLOOKUP($B48,'Indirect tax correction'!$B$27:$I$127,5,FALSE)*VLOOKUP($B48,'Annual Parameters'!$B$33:$W$143,21,FALSE)/VLOOKUP('Source VoT'!$F$27,'Annual Parameters'!$B$33:$W$143,21,FALSE)*VLOOKUP($B$14,'Annual Parameters'!$B$33:$W$143,3,FALSE)/VLOOKUP('Source VoT'!$E$27,'Annual Parameters'!$B$33:$W$143,3,FALSE)</f>
        <v>19.5530250756666</v>
      </c>
      <c r="E48" s="73">
        <f>'Source VoT'!$D$28*VLOOKUP($B48,'Indirect tax correction'!$B$27:$I$127,5,FALSE)*VLOOKUP($B48,'Annual Parameters'!$B$33:$W$143,21,FALSE)/VLOOKUP('Source VoT'!$F$27,'Annual Parameters'!$B$33:$W$143,21,FALSE)*VLOOKUP($B$14,'Annual Parameters'!$B$33:$W$143,3,FALSE)/VLOOKUP('Source VoT'!$E$27,'Annual Parameters'!$B$33:$W$143,3,FALSE)</f>
        <v>19.5530250756666</v>
      </c>
      <c r="F48" s="73">
        <f>'Source VoT'!$D$29*VLOOKUP($B48,'Indirect tax correction'!$B$27:$I$127,5,FALSE)*VLOOKUP($B48,'Annual Parameters'!$B$33:$W$143,21,FALSE)/VLOOKUP('Source VoT'!$F$27,'Annual Parameters'!$B$33:$W$143,21,FALSE)*VLOOKUP($B$14,'Annual Parameters'!$B$33:$W$143,3,FALSE)/VLOOKUP('Source VoT'!$E$27,'Annual Parameters'!$B$33:$W$143,3,FALSE)</f>
        <v>13.463768377340875</v>
      </c>
      <c r="G48" s="73">
        <f>'Source VoT'!$D$30*VLOOKUP($B48,'Indirect tax correction'!$B$27:$I$127,5,FALSE)*VLOOKUP($B48,'Annual Parameters'!$B$33:$W$143,21,FALSE)/VLOOKUP('Source VoT'!$F$27,'Annual Parameters'!$B$33:$W$143,21,FALSE)*VLOOKUP($B$14,'Annual Parameters'!$B$33:$W$143,3,FALSE)/VLOOKUP('Source VoT'!$E$27,'Annual Parameters'!$B$33:$W$143,3,FALSE)</f>
        <v>15.863560426079871</v>
      </c>
      <c r="H48" s="73">
        <f>'Source VoT'!$D$31*VLOOKUP($B48,'Indirect tax correction'!$B$27:$I$127,5,FALSE)*VLOOKUP($B48,'Annual Parameters'!$B$33:$W$143,21,FALSE)/VLOOKUP('Source VoT'!$F$27,'Annual Parameters'!$B$33:$W$143,21,FALSE)*VLOOKUP($B$14,'Annual Parameters'!$B$33:$W$143,3,FALSE)/VLOOKUP('Source VoT'!$E$27,'Annual Parameters'!$B$33:$W$143,3,FALSE)</f>
        <v>16.206387861614015</v>
      </c>
      <c r="I48" s="73">
        <f>'Source VoT'!$D$32*VLOOKUP($B48,'Indirect tax correction'!$B$27:$I$127,5,FALSE)*VLOOKUP($B48,'Annual Parameters'!$B$33:$W$143,21,FALSE)/VLOOKUP('Source VoT'!$F$27,'Annual Parameters'!$B$33:$W$143,21,FALSE)*VLOOKUP($B$14,'Annual Parameters'!$B$33:$W$143,3,FALSE)/VLOOKUP('Source VoT'!$E$27,'Annual Parameters'!$B$33:$W$143,3,FALSE)</f>
        <v>11.080421515860992</v>
      </c>
      <c r="J48" s="73">
        <f>'Source VoT'!$D$33*VLOOKUP($B48,'Indirect tax correction'!$B$27:$I$127,5,FALSE)*VLOOKUP($B48,'Annual Parameters'!$B$33:$W$143,21,FALSE)/VLOOKUP('Source VoT'!$F$27,'Annual Parameters'!$B$33:$W$143,21,FALSE)*VLOOKUP($B$14,'Annual Parameters'!$B$33:$W$143,3,FALSE)/VLOOKUP('Source VoT'!$E$27,'Annual Parameters'!$B$33:$W$143,3,FALSE)</f>
        <v>14.320836966176227</v>
      </c>
      <c r="K48" s="73">
        <f>'Source VoT'!$D$34*VLOOKUP($B48,'Indirect tax correction'!$B$27:$I$127,5,FALSE)*VLOOKUP($B48,'Annual Parameters'!$B$33:$W$143,21,FALSE)/VLOOKUP('Source VoT'!$F$27,'Annual Parameters'!$B$33:$W$143,21,FALSE)*VLOOKUP($B$14,'Annual Parameters'!$B$33:$W$143,3,FALSE)/VLOOKUP('Source VoT'!$E$27,'Annual Parameters'!$B$33:$W$143,3,FALSE)</f>
        <v>19.5530250756666</v>
      </c>
      <c r="L48" s="73">
        <f>'Source VoT'!$D$35*VLOOKUP($B48,'Indirect tax correction'!$B$27:$I$127,5,FALSE)*VLOOKUP($B48,'Annual Parameters'!$B$33:$W$143,21,FALSE)/VLOOKUP('Source VoT'!$F$27,'Annual Parameters'!$B$33:$W$143,21,FALSE)*VLOOKUP($B$14,'Annual Parameters'!$B$33:$W$143,3,FALSE)/VLOOKUP('Source VoT'!$E$27,'Annual Parameters'!$B$33:$W$143,3,FALSE)</f>
        <v>32.252957048800127</v>
      </c>
      <c r="M48" s="73">
        <f>'Source VoT'!$D$36*VLOOKUP($B48,'Indirect tax correction'!$B$27:$I$127,5,FALSE)*VLOOKUP($B48,'Annual Parameters'!$B$33:$W$143,21,FALSE)/VLOOKUP('Source VoT'!$F$27,'Annual Parameters'!$B$33:$W$143,21,FALSE)*VLOOKUP($B$14,'Annual Parameters'!$B$33:$W$143,3,FALSE)/VLOOKUP('Source VoT'!$E$27,'Annual Parameters'!$B$33:$W$143,3,FALSE)</f>
        <v>11.080421515860992</v>
      </c>
      <c r="N48" s="73">
        <f>'Source VoT'!$D$37*VLOOKUP($B48,'Indirect tax correction'!$B$27:$I$127,5,FALSE)*VLOOKUP($B48,'Annual Parameters'!$B$33:$W$143,21,FALSE)/VLOOKUP('Source VoT'!$F$27,'Annual Parameters'!$B$33:$W$143,21,FALSE)*VLOOKUP($B$14,'Annual Parameters'!$B$33:$W$143,3,FALSE)/VLOOKUP('Source VoT'!$E$27,'Annual Parameters'!$B$33:$W$143,3,FALSE)</f>
        <v>11.080421515860992</v>
      </c>
      <c r="O48" s="73">
        <f>'Source VoT'!$D$38*VLOOKUP($B48,'Indirect tax correction'!$B$27:$I$127,5,FALSE)*VLOOKUP($B48,'Annual Parameters'!$B$33:$W$143,21,FALSE)/VLOOKUP('Source VoT'!$F$27,'Annual Parameters'!$B$33:$W$143,21,FALSE)*VLOOKUP($B$14,'Annual Parameters'!$B$33:$W$143,3,FALSE)/VLOOKUP('Source VoT'!$E$27,'Annual Parameters'!$B$33:$W$143,3,FALSE)</f>
        <v>11.080421515860992</v>
      </c>
      <c r="P48" s="73">
        <f>'Source VoT'!$D$39*VLOOKUP($B48,'Indirect tax correction'!$B$27:$I$127,5,FALSE)*VLOOKUP($B48,'Annual Parameters'!$B$33:$W$143,21,FALSE)/VLOOKUP('Source VoT'!$F$27,'Annual Parameters'!$B$33:$W$143,21,FALSE)*VLOOKUP($B$14,'Annual Parameters'!$B$33:$W$143,3,FALSE)/VLOOKUP('Source VoT'!$E$27,'Annual Parameters'!$B$33:$W$143,3,FALSE)</f>
        <v>19.5530250756666</v>
      </c>
      <c r="Q48" s="74">
        <f>'Source VoT'!$D$40*VLOOKUP($B48,'Indirect tax correction'!$B$27:$I$127,5,FALSE)*VLOOKUP($B48,'Annual Parameters'!$B$33:$W$143,21,FALSE)/VLOOKUP('Source VoT'!$F$27,'Annual Parameters'!$B$33:$W$143,21,FALSE)*VLOOKUP($B$14,'Annual Parameters'!$B$33:$W$143,3,FALSE)/VLOOKUP('Source VoT'!$E$27,'Annual Parameters'!$B$33:$W$143,3,FALSE)</f>
        <v>21.297706111409536</v>
      </c>
      <c r="R48" s="73">
        <f>'Source VoT'!$D$45*VLOOKUP($B48,'Indirect tax correction'!$B$27:$I$127,6,FALSE)*VLOOKUP($B48,'Annual Parameters'!$B$33:$W$143,22,FALSE)/VLOOKUP('Source VoT'!$F$27,'Annual Parameters'!$B$33:$W$143,22,FALSE)*VLOOKUP($B$14,'Annual Parameters'!$B$33:$W$143,3,FALSE)/VLOOKUP('Source VoT'!$E$27,'Annual Parameters'!$B$33:$W$143,3,FALSE)</f>
        <v>11.002003852703576</v>
      </c>
      <c r="S48" s="73">
        <f>'Source VoT'!$D$46*VLOOKUP($B48,'Indirect tax correction'!$B$27:$I$127,6,FALSE)*VLOOKUP($B48,'Annual Parameters'!$B$33:$W$143,22,FALSE)/VLOOKUP('Source VoT'!$F$27,'Annual Parameters'!$B$33:$W$143,22,FALSE)*VLOOKUP($B$14,'Annual Parameters'!$B$33:$W$143,3,FALSE)/VLOOKUP('Source VoT'!$E$27,'Annual Parameters'!$B$33:$W$143,3,FALSE)</f>
        <v>5.0216447298456437</v>
      </c>
      <c r="T48" s="117">
        <f>'Source VoT'!$D$27*1*VLOOKUP($B48,'Annual Parameters'!$B$33:$W$143,21,FALSE)/VLOOKUP('Source VoT'!$F$27,'Annual Parameters'!$B$33:$W$143,21,FALSE)*VLOOKUP($B$14,'Annual Parameters'!$B$33:$W$143,3,FALSE)/VLOOKUP('Source VoT'!$E$27,'Annual Parameters'!$B$33:$W$143,3,FALSE)</f>
        <v>19.5530250756666</v>
      </c>
      <c r="U48" s="73">
        <f>'Source VoT'!$D$28*1*VLOOKUP($B48,'Annual Parameters'!$B$33:$W$143,21,FALSE)/VLOOKUP('Source VoT'!$F$27,'Annual Parameters'!$B$33:$W$143,21,FALSE)*VLOOKUP($B$14,'Annual Parameters'!$B$33:$W$143,3,FALSE)/VLOOKUP('Source VoT'!$E$27,'Annual Parameters'!$B$33:$W$143,3,FALSE)</f>
        <v>19.5530250756666</v>
      </c>
      <c r="V48" s="73">
        <f>'Source VoT'!$D$29*1*VLOOKUP($B48,'Annual Parameters'!$B$33:$W$143,21,FALSE)/VLOOKUP('Source VoT'!$F$27,'Annual Parameters'!$B$33:$W$143,21,FALSE)*VLOOKUP($B$14,'Annual Parameters'!$B$33:$W$143,3,FALSE)/VLOOKUP('Source VoT'!$E$27,'Annual Parameters'!$B$33:$W$143,3,FALSE)</f>
        <v>13.463768377340875</v>
      </c>
      <c r="W48" s="73">
        <f>'Source VoT'!$D$30*1*VLOOKUP($B48,'Annual Parameters'!$B$33:$W$143,21,FALSE)/VLOOKUP('Source VoT'!$F$27,'Annual Parameters'!$B$33:$W$143,21,FALSE)*VLOOKUP($B$14,'Annual Parameters'!$B$33:$W$143,3,FALSE)/VLOOKUP('Source VoT'!$E$27,'Annual Parameters'!$B$33:$W$143,3,FALSE)</f>
        <v>15.863560426079871</v>
      </c>
      <c r="X48" s="73">
        <f>'Source VoT'!$D$31*1*VLOOKUP($B48,'Annual Parameters'!$B$33:$W$143,21,FALSE)/VLOOKUP('Source VoT'!$F$27,'Annual Parameters'!$B$33:$W$143,21,FALSE)*VLOOKUP($B$14,'Annual Parameters'!$B$33:$W$143,3,FALSE)/VLOOKUP('Source VoT'!$E$27,'Annual Parameters'!$B$33:$W$143,3,FALSE)</f>
        <v>16.206387861614015</v>
      </c>
      <c r="Y48" s="73">
        <f>'Source VoT'!$D$32*1*VLOOKUP($B48,'Annual Parameters'!$B$33:$W$143,21,FALSE)/VLOOKUP('Source VoT'!$F$27,'Annual Parameters'!$B$33:$W$143,21,FALSE)*VLOOKUP($B$14,'Annual Parameters'!$B$33:$W$143,3,FALSE)/VLOOKUP('Source VoT'!$E$27,'Annual Parameters'!$B$33:$W$143,3,FALSE)</f>
        <v>11.080421515860992</v>
      </c>
      <c r="Z48" s="73">
        <f>'Source VoT'!$D$33*1*VLOOKUP($B48,'Annual Parameters'!$B$33:$W$143,21,FALSE)/VLOOKUP('Source VoT'!$F$27,'Annual Parameters'!$B$33:$W$143,21,FALSE)*VLOOKUP($B$14,'Annual Parameters'!$B$33:$W$143,3,FALSE)/VLOOKUP('Source VoT'!$E$27,'Annual Parameters'!$B$33:$W$143,3,FALSE)</f>
        <v>14.320836966176227</v>
      </c>
      <c r="AA48" s="73">
        <f>'Source VoT'!$D$34*1*VLOOKUP($B48,'Annual Parameters'!$B$33:$W$143,21,FALSE)/VLOOKUP('Source VoT'!$F$27,'Annual Parameters'!$B$33:$W$143,21,FALSE)*VLOOKUP($B$14,'Annual Parameters'!$B$33:$W$143,3,FALSE)/VLOOKUP('Source VoT'!$E$27,'Annual Parameters'!$B$33:$W$143,3,FALSE)</f>
        <v>19.5530250756666</v>
      </c>
      <c r="AB48" s="73">
        <f>'Source VoT'!$D$35*1*VLOOKUP($B48,'Annual Parameters'!$B$33:$W$143,21,FALSE)/VLOOKUP('Source VoT'!$F$27,'Annual Parameters'!$B$33:$W$143,21,FALSE)*VLOOKUP($B$14,'Annual Parameters'!$B$33:$W$143,3,FALSE)/VLOOKUP('Source VoT'!$E$27,'Annual Parameters'!$B$33:$W$143,3,FALSE)</f>
        <v>32.252957048800127</v>
      </c>
      <c r="AC48" s="73">
        <f>'Source VoT'!$D$36*1*VLOOKUP($B48,'Annual Parameters'!$B$33:$W$143,21,FALSE)/VLOOKUP('Source VoT'!$F$27,'Annual Parameters'!$B$33:$W$143,21,FALSE)*VLOOKUP($B$14,'Annual Parameters'!$B$33:$W$143,3,FALSE)/VLOOKUP('Source VoT'!$E$27,'Annual Parameters'!$B$33:$W$143,3,FALSE)</f>
        <v>11.080421515860992</v>
      </c>
      <c r="AD48" s="73">
        <f>'Source VoT'!$D$37*1*VLOOKUP($B48,'Annual Parameters'!$B$33:$W$143,21,FALSE)/VLOOKUP('Source VoT'!$F$27,'Annual Parameters'!$B$33:$W$143,21,FALSE)*VLOOKUP($B$14,'Annual Parameters'!$B$33:$W$143,3,FALSE)/VLOOKUP('Source VoT'!$E$27,'Annual Parameters'!$B$33:$W$143,3,FALSE)</f>
        <v>11.080421515860992</v>
      </c>
      <c r="AE48" s="73">
        <f>'Source VoT'!$D$38*1*VLOOKUP($B48,'Annual Parameters'!$B$33:$W$143,21,FALSE)/VLOOKUP('Source VoT'!$F$27,'Annual Parameters'!$B$33:$W$143,21,FALSE)*VLOOKUP($B$14,'Annual Parameters'!$B$33:$W$143,3,FALSE)/VLOOKUP('Source VoT'!$E$27,'Annual Parameters'!$B$33:$W$143,3,FALSE)</f>
        <v>11.080421515860992</v>
      </c>
      <c r="AF48" s="73">
        <f>'Source VoT'!$D$39*1*VLOOKUP($B48,'Annual Parameters'!$B$33:$W$143,21,FALSE)/VLOOKUP('Source VoT'!$F$27,'Annual Parameters'!$B$33:$W$143,21,FALSE)*VLOOKUP($B$14,'Annual Parameters'!$B$33:$W$143,3,FALSE)/VLOOKUP('Source VoT'!$E$27,'Annual Parameters'!$B$33:$W$143,3,FALSE)</f>
        <v>19.5530250756666</v>
      </c>
      <c r="AG48" s="74">
        <f>'Source VoT'!$D$40*1*VLOOKUP($B48,'Annual Parameters'!$B$33:$W$143,21,FALSE)/VLOOKUP('Source VoT'!$F$27,'Annual Parameters'!$B$33:$W$143,21,FALSE)*VLOOKUP($B$14,'Annual Parameters'!$B$33:$W$143,3,FALSE)/VLOOKUP('Source VoT'!$E$27,'Annual Parameters'!$B$33:$W$143,3,FALSE)</f>
        <v>21.297706111409536</v>
      </c>
      <c r="AH48" s="73">
        <f>'Source VoT'!$D$45*1*VLOOKUP($B48,'Annual Parameters'!$B$33:$W$143,22,FALSE)/VLOOKUP('Source VoT'!$F$27,'Annual Parameters'!$B$33:$W$143,22,FALSE)*VLOOKUP($B$14,'Annual Parameters'!$B$33:$W$143,3,FALSE)/VLOOKUP('Source VoT'!$E$27,'Annual Parameters'!$B$33:$W$143,3,FALSE)</f>
        <v>13.092384584717257</v>
      </c>
      <c r="AI48" s="73">
        <f>'Source VoT'!$D$46*1*VLOOKUP($B48,'Annual Parameters'!$B$33:$W$143,22,FALSE)/VLOOKUP('Source VoT'!$F$27,'Annual Parameters'!$B$33:$W$143,22,FALSE)*VLOOKUP($B$14,'Annual Parameters'!$B$33:$W$143,3,FALSE)/VLOOKUP('Source VoT'!$E$27,'Annual Parameters'!$B$33:$W$143,3,FALSE)</f>
        <v>5.9757572285163159</v>
      </c>
      <c r="AJ48" s="117">
        <f>'Source VoT'!$D$27*VLOOKUP($B48,'Indirect tax correction'!$B$27:$I$127,7,FALSE)*VLOOKUP($B48,'Annual Parameters'!$B$33:$W$143,21,FALSE)/VLOOKUP('Source VoT'!$F$27,'Annual Parameters'!$B$33:$W$143,21,FALSE)*VLOOKUP($B$14,'Annual Parameters'!$B$33:$W$143,3,FALSE)/VLOOKUP('Source VoT'!$E$27,'Annual Parameters'!$B$33:$W$143,3,FALSE)</f>
        <v>23.268099840043252</v>
      </c>
      <c r="AK48" s="73">
        <f>'Source VoT'!$D$28*VLOOKUP($B48,'Indirect tax correction'!$B$27:$I$127,7,FALSE)*VLOOKUP($B48,'Annual Parameters'!$B$33:$W$143,21,FALSE)/VLOOKUP('Source VoT'!$F$27,'Annual Parameters'!$B$33:$W$143,21,FALSE)*VLOOKUP($B$14,'Annual Parameters'!$B$33:$W$143,3,FALSE)/VLOOKUP('Source VoT'!$E$27,'Annual Parameters'!$B$33:$W$143,3,FALSE)</f>
        <v>23.268099840043252</v>
      </c>
      <c r="AL48" s="73">
        <f>'Source VoT'!$D$29*VLOOKUP($B48,'Indirect tax correction'!$B$27:$I$127,7,FALSE)*VLOOKUP($B48,'Annual Parameters'!$B$33:$W$143,21,FALSE)/VLOOKUP('Source VoT'!$F$27,'Annual Parameters'!$B$33:$W$143,21,FALSE)*VLOOKUP($B$14,'Annual Parameters'!$B$33:$W$143,3,FALSE)/VLOOKUP('Source VoT'!$E$27,'Annual Parameters'!$B$33:$W$143,3,FALSE)</f>
        <v>16.021884369035639</v>
      </c>
      <c r="AM48" s="73">
        <f>'Source VoT'!$D$30*VLOOKUP($B48,'Indirect tax correction'!$B$27:$I$127,7,FALSE)*VLOOKUP($B48,'Annual Parameters'!$B$33:$W$143,21,FALSE)/VLOOKUP('Source VoT'!$F$27,'Annual Parameters'!$B$33:$W$143,21,FALSE)*VLOOKUP($B$14,'Annual Parameters'!$B$33:$W$143,3,FALSE)/VLOOKUP('Source VoT'!$E$27,'Annual Parameters'!$B$33:$W$143,3,FALSE)</f>
        <v>18.877636907035043</v>
      </c>
      <c r="AN48" s="73">
        <f>'Source VoT'!$D$31*VLOOKUP($B48,'Indirect tax correction'!$B$27:$I$127,7,FALSE)*VLOOKUP($B48,'Annual Parameters'!$B$33:$W$143,21,FALSE)/VLOOKUP('Source VoT'!$F$27,'Annual Parameters'!$B$33:$W$143,21,FALSE)*VLOOKUP($B$14,'Annual Parameters'!$B$33:$W$143,3,FALSE)/VLOOKUP('Source VoT'!$E$27,'Annual Parameters'!$B$33:$W$143,3,FALSE)</f>
        <v>19.285601555320678</v>
      </c>
      <c r="AO48" s="73">
        <f>'Source VoT'!$D$32*VLOOKUP($B48,'Indirect tax correction'!$B$27:$I$127,7,FALSE)*VLOOKUP($B48,'Annual Parameters'!$B$33:$W$143,21,FALSE)/VLOOKUP('Source VoT'!$F$27,'Annual Parameters'!$B$33:$W$143,21,FALSE)*VLOOKUP($B$14,'Annual Parameters'!$B$33:$W$143,3,FALSE)/VLOOKUP('Source VoT'!$E$27,'Annual Parameters'!$B$33:$W$143,3,FALSE)</f>
        <v>13.185701603874582</v>
      </c>
      <c r="AP48" s="73">
        <f>'Source VoT'!$D$33*VLOOKUP($B48,'Indirect tax correction'!$B$27:$I$127,7,FALSE)*VLOOKUP($B48,'Annual Parameters'!$B$33:$W$143,21,FALSE)/VLOOKUP('Source VoT'!$F$27,'Annual Parameters'!$B$33:$W$143,21,FALSE)*VLOOKUP($B$14,'Annual Parameters'!$B$33:$W$143,3,FALSE)/VLOOKUP('Source VoT'!$E$27,'Annual Parameters'!$B$33:$W$143,3,FALSE)</f>
        <v>17.041795989749712</v>
      </c>
      <c r="AQ48" s="73">
        <f>'Source VoT'!$D$34*VLOOKUP($B48,'Indirect tax correction'!$B$27:$I$127,7,FALSE)*VLOOKUP($B48,'Annual Parameters'!$B$33:$W$143,21,FALSE)/VLOOKUP('Source VoT'!$F$27,'Annual Parameters'!$B$33:$W$143,21,FALSE)*VLOOKUP($B$14,'Annual Parameters'!$B$33:$W$143,3,FALSE)/VLOOKUP('Source VoT'!$E$27,'Annual Parameters'!$B$33:$W$143,3,FALSE)</f>
        <v>23.268099840043252</v>
      </c>
      <c r="AR48" s="73">
        <f>'Source VoT'!$D$35*VLOOKUP($B48,'Indirect tax correction'!$B$27:$I$127,7,FALSE)*VLOOKUP($B48,'Annual Parameters'!$B$33:$W$143,21,FALSE)/VLOOKUP('Source VoT'!$F$27,'Annual Parameters'!$B$33:$W$143,21,FALSE)*VLOOKUP($B$14,'Annual Parameters'!$B$33:$W$143,3,FALSE)/VLOOKUP('Source VoT'!$E$27,'Annual Parameters'!$B$33:$W$143,3,FALSE)</f>
        <v>38.381018888072148</v>
      </c>
      <c r="AS48" s="73">
        <f>'Source VoT'!$D$36*VLOOKUP($B48,'Indirect tax correction'!$B$27:$I$127,7,FALSE)*VLOOKUP($B48,'Annual Parameters'!$B$33:$W$143,21,FALSE)/VLOOKUP('Source VoT'!$F$27,'Annual Parameters'!$B$33:$W$143,21,FALSE)*VLOOKUP($B$14,'Annual Parameters'!$B$33:$W$143,3,FALSE)/VLOOKUP('Source VoT'!$E$27,'Annual Parameters'!$B$33:$W$143,3,FALSE)</f>
        <v>13.185701603874582</v>
      </c>
      <c r="AT48" s="73">
        <f>'Source VoT'!$D$37*VLOOKUP($B48,'Indirect tax correction'!$B$27:$I$127,7,FALSE)*VLOOKUP($B48,'Annual Parameters'!$B$33:$W$143,21,FALSE)/VLOOKUP('Source VoT'!$F$27,'Annual Parameters'!$B$33:$W$143,21,FALSE)*VLOOKUP($B$14,'Annual Parameters'!$B$33:$W$143,3,FALSE)/VLOOKUP('Source VoT'!$E$27,'Annual Parameters'!$B$33:$W$143,3,FALSE)</f>
        <v>13.185701603874582</v>
      </c>
      <c r="AU48" s="73">
        <f>'Source VoT'!$D$38*VLOOKUP($B48,'Indirect tax correction'!$B$27:$I$127,7,FALSE)*VLOOKUP($B48,'Annual Parameters'!$B$33:$W$143,21,FALSE)/VLOOKUP('Source VoT'!$F$27,'Annual Parameters'!$B$33:$W$143,21,FALSE)*VLOOKUP($B$14,'Annual Parameters'!$B$33:$W$143,3,FALSE)/VLOOKUP('Source VoT'!$E$27,'Annual Parameters'!$B$33:$W$143,3,FALSE)</f>
        <v>13.185701603874582</v>
      </c>
      <c r="AV48" s="73">
        <f>'Source VoT'!$D$39*VLOOKUP($B48,'Indirect tax correction'!$B$27:$I$127,7,FALSE)*VLOOKUP($B48,'Annual Parameters'!$B$33:$W$143,21,FALSE)/VLOOKUP('Source VoT'!$F$27,'Annual Parameters'!$B$33:$W$143,21,FALSE)*VLOOKUP($B$14,'Annual Parameters'!$B$33:$W$143,3,FALSE)/VLOOKUP('Source VoT'!$E$27,'Annual Parameters'!$B$33:$W$143,3,FALSE)</f>
        <v>23.268099840043252</v>
      </c>
      <c r="AW48" s="74">
        <f>'Source VoT'!$D$40*VLOOKUP($B48,'Indirect tax correction'!$B$27:$I$127,7,FALSE)*VLOOKUP($B48,'Annual Parameters'!$B$33:$W$143,21,FALSE)/VLOOKUP('Source VoT'!$F$27,'Annual Parameters'!$B$33:$W$143,21,FALSE)*VLOOKUP($B$14,'Annual Parameters'!$B$33:$W$143,3,FALSE)/VLOOKUP('Source VoT'!$E$27,'Annual Parameters'!$B$33:$W$143,3,FALSE)</f>
        <v>25.344270272577347</v>
      </c>
      <c r="AX48" s="73">
        <f>'Source VoT'!$D$45*VLOOKUP($B48,'Indirect tax correction'!$B$27:$I$127,8,FALSE)*VLOOKUP($B48,'Annual Parameters'!$B$33:$W$143,22,FALSE)/VLOOKUP('Source VoT'!$F$27,'Annual Parameters'!$B$33:$W$143,22,FALSE)*VLOOKUP($B$14,'Annual Parameters'!$B$33:$W$143,3,FALSE)/VLOOKUP('Source VoT'!$E$27,'Annual Parameters'!$B$33:$W$143,3,FALSE)</f>
        <v>13.092384584717257</v>
      </c>
      <c r="AY48" s="74">
        <f>'Source VoT'!$D$46*VLOOKUP($B48,'Indirect tax correction'!$B$27:$I$127,8,FALSE)*VLOOKUP($B48,'Annual Parameters'!$B$33:$W$143,22,FALSE)/VLOOKUP('Source VoT'!$F$27,'Annual Parameters'!$B$33:$W$143,22,FALSE)*VLOOKUP($B$14,'Annual Parameters'!$B$33:$W$143,3,FALSE)/VLOOKUP('Source VoT'!$E$27,'Annual Parameters'!$B$33:$W$143,3,FALSE)</f>
        <v>5.9757572285163159</v>
      </c>
      <c r="AZ48" s="2875"/>
      <c r="BA48" s="2875"/>
      <c r="BB48" s="2875"/>
      <c r="BC48" s="2875"/>
      <c r="BD48" s="2875"/>
      <c r="BE48" s="2875"/>
      <c r="BF48" s="2875"/>
      <c r="BG48" s="2875"/>
    </row>
    <row r="49" spans="1:59" ht="13.5" customHeight="1">
      <c r="A49" s="90"/>
      <c r="B49" s="82">
        <f t="shared" si="0"/>
        <v>2032</v>
      </c>
      <c r="C49" s="82"/>
      <c r="D49" s="117">
        <f>'Source VoT'!$D$27*VLOOKUP($B49,'Indirect tax correction'!$B$27:$I$127,5,FALSE)*VLOOKUP($B49,'Annual Parameters'!$B$33:$W$143,21,FALSE)/VLOOKUP('Source VoT'!$F$27,'Annual Parameters'!$B$33:$W$143,21,FALSE)*VLOOKUP($B$14,'Annual Parameters'!$B$33:$W$143,3,FALSE)/VLOOKUP('Source VoT'!$E$27,'Annual Parameters'!$B$33:$W$143,3,FALSE)</f>
        <v>19.921667605173258</v>
      </c>
      <c r="E49" s="73">
        <f>'Source VoT'!$D$28*VLOOKUP($B49,'Indirect tax correction'!$B$27:$I$127,5,FALSE)*VLOOKUP($B49,'Annual Parameters'!$B$33:$W$143,21,FALSE)/VLOOKUP('Source VoT'!$F$27,'Annual Parameters'!$B$33:$W$143,21,FALSE)*VLOOKUP($B$14,'Annual Parameters'!$B$33:$W$143,3,FALSE)/VLOOKUP('Source VoT'!$E$27,'Annual Parameters'!$B$33:$W$143,3,FALSE)</f>
        <v>19.921667605173258</v>
      </c>
      <c r="F49" s="73">
        <f>'Source VoT'!$D$29*VLOOKUP($B49,'Indirect tax correction'!$B$27:$I$127,5,FALSE)*VLOOKUP($B49,'Annual Parameters'!$B$33:$W$143,21,FALSE)/VLOOKUP('Source VoT'!$F$27,'Annual Parameters'!$B$33:$W$143,21,FALSE)*VLOOKUP($B$14,'Annual Parameters'!$B$33:$W$143,3,FALSE)/VLOOKUP('Source VoT'!$E$27,'Annual Parameters'!$B$33:$W$143,3,FALSE)</f>
        <v>13.717607239210462</v>
      </c>
      <c r="G49" s="73">
        <f>'Source VoT'!$D$30*VLOOKUP($B49,'Indirect tax correction'!$B$27:$I$127,5,FALSE)*VLOOKUP($B49,'Annual Parameters'!$B$33:$W$143,21,FALSE)/VLOOKUP('Source VoT'!$F$27,'Annual Parameters'!$B$33:$W$143,21,FALSE)*VLOOKUP($B$14,'Annual Parameters'!$B$33:$W$143,3,FALSE)/VLOOKUP('Source VoT'!$E$27,'Annual Parameters'!$B$33:$W$143,3,FALSE)</f>
        <v>16.162643714717881</v>
      </c>
      <c r="H49" s="73">
        <f>'Source VoT'!$D$31*VLOOKUP($B49,'Indirect tax correction'!$B$27:$I$127,5,FALSE)*VLOOKUP($B49,'Annual Parameters'!$B$33:$W$143,21,FALSE)/VLOOKUP('Source VoT'!$F$27,'Annual Parameters'!$B$33:$W$143,21,FALSE)*VLOOKUP($B$14,'Annual Parameters'!$B$33:$W$143,3,FALSE)/VLOOKUP('Source VoT'!$E$27,'Annual Parameters'!$B$33:$W$143,3,FALSE)</f>
        <v>16.511934639790368</v>
      </c>
      <c r="I49" s="73">
        <f>'Source VoT'!$D$32*VLOOKUP($B49,'Indirect tax correction'!$B$27:$I$127,5,FALSE)*VLOOKUP($B49,'Annual Parameters'!$B$33:$W$143,21,FALSE)/VLOOKUP('Source VoT'!$F$27,'Annual Parameters'!$B$33:$W$143,21,FALSE)*VLOOKUP($B$14,'Annual Parameters'!$B$33:$W$143,3,FALSE)/VLOOKUP('Source VoT'!$E$27,'Annual Parameters'!$B$33:$W$143,3,FALSE)</f>
        <v>11.289325999939541</v>
      </c>
      <c r="J49" s="73">
        <f>'Source VoT'!$D$33*VLOOKUP($B49,'Indirect tax correction'!$B$27:$I$127,5,FALSE)*VLOOKUP($B49,'Annual Parameters'!$B$33:$W$143,21,FALSE)/VLOOKUP('Source VoT'!$F$27,'Annual Parameters'!$B$33:$W$143,21,FALSE)*VLOOKUP($B$14,'Annual Parameters'!$B$33:$W$143,3,FALSE)/VLOOKUP('Source VoT'!$E$27,'Annual Parameters'!$B$33:$W$143,3,FALSE)</f>
        <v>14.59083455189168</v>
      </c>
      <c r="K49" s="73">
        <f>'Source VoT'!$D$34*VLOOKUP($B49,'Indirect tax correction'!$B$27:$I$127,5,FALSE)*VLOOKUP($B49,'Annual Parameters'!$B$33:$W$143,21,FALSE)/VLOOKUP('Source VoT'!$F$27,'Annual Parameters'!$B$33:$W$143,21,FALSE)*VLOOKUP($B$14,'Annual Parameters'!$B$33:$W$143,3,FALSE)/VLOOKUP('Source VoT'!$E$27,'Annual Parameters'!$B$33:$W$143,3,FALSE)</f>
        <v>19.921667605173258</v>
      </c>
      <c r="L49" s="73">
        <f>'Source VoT'!$D$35*VLOOKUP($B49,'Indirect tax correction'!$B$27:$I$127,5,FALSE)*VLOOKUP($B49,'Annual Parameters'!$B$33:$W$143,21,FALSE)/VLOOKUP('Source VoT'!$F$27,'Annual Parameters'!$B$33:$W$143,21,FALSE)*VLOOKUP($B$14,'Annual Parameters'!$B$33:$W$143,3,FALSE)/VLOOKUP('Source VoT'!$E$27,'Annual Parameters'!$B$33:$W$143,3,FALSE)</f>
        <v>32.861037467278997</v>
      </c>
      <c r="M49" s="73">
        <f>'Source VoT'!$D$36*VLOOKUP($B49,'Indirect tax correction'!$B$27:$I$127,5,FALSE)*VLOOKUP($B49,'Annual Parameters'!$B$33:$W$143,21,FALSE)/VLOOKUP('Source VoT'!$F$27,'Annual Parameters'!$B$33:$W$143,21,FALSE)*VLOOKUP($B$14,'Annual Parameters'!$B$33:$W$143,3,FALSE)/VLOOKUP('Source VoT'!$E$27,'Annual Parameters'!$B$33:$W$143,3,FALSE)</f>
        <v>11.289325999939541</v>
      </c>
      <c r="N49" s="73">
        <f>'Source VoT'!$D$37*VLOOKUP($B49,'Indirect tax correction'!$B$27:$I$127,5,FALSE)*VLOOKUP($B49,'Annual Parameters'!$B$33:$W$143,21,FALSE)/VLOOKUP('Source VoT'!$F$27,'Annual Parameters'!$B$33:$W$143,21,FALSE)*VLOOKUP($B$14,'Annual Parameters'!$B$33:$W$143,3,FALSE)/VLOOKUP('Source VoT'!$E$27,'Annual Parameters'!$B$33:$W$143,3,FALSE)</f>
        <v>11.289325999939541</v>
      </c>
      <c r="O49" s="73">
        <f>'Source VoT'!$D$38*VLOOKUP($B49,'Indirect tax correction'!$B$27:$I$127,5,FALSE)*VLOOKUP($B49,'Annual Parameters'!$B$33:$W$143,21,FALSE)/VLOOKUP('Source VoT'!$F$27,'Annual Parameters'!$B$33:$W$143,21,FALSE)*VLOOKUP($B$14,'Annual Parameters'!$B$33:$W$143,3,FALSE)/VLOOKUP('Source VoT'!$E$27,'Annual Parameters'!$B$33:$W$143,3,FALSE)</f>
        <v>11.289325999939541</v>
      </c>
      <c r="P49" s="73">
        <f>'Source VoT'!$D$39*VLOOKUP($B49,'Indirect tax correction'!$B$27:$I$127,5,FALSE)*VLOOKUP($B49,'Annual Parameters'!$B$33:$W$143,21,FALSE)/VLOOKUP('Source VoT'!$F$27,'Annual Parameters'!$B$33:$W$143,21,FALSE)*VLOOKUP($B$14,'Annual Parameters'!$B$33:$W$143,3,FALSE)/VLOOKUP('Source VoT'!$E$27,'Annual Parameters'!$B$33:$W$143,3,FALSE)</f>
        <v>19.921667605173258</v>
      </c>
      <c r="Q49" s="74">
        <f>'Source VoT'!$D$40*VLOOKUP($B49,'Indirect tax correction'!$B$27:$I$127,5,FALSE)*VLOOKUP($B49,'Annual Parameters'!$B$33:$W$143,21,FALSE)/VLOOKUP('Source VoT'!$F$27,'Annual Parameters'!$B$33:$W$143,21,FALSE)*VLOOKUP($B$14,'Annual Parameters'!$B$33:$W$143,3,FALSE)/VLOOKUP('Source VoT'!$E$27,'Annual Parameters'!$B$33:$W$143,3,FALSE)</f>
        <v>21.699241946566325</v>
      </c>
      <c r="R49" s="73">
        <f>'Source VoT'!$D$45*VLOOKUP($B49,'Indirect tax correction'!$B$27:$I$127,6,FALSE)*VLOOKUP($B49,'Annual Parameters'!$B$33:$W$143,22,FALSE)/VLOOKUP('Source VoT'!$F$27,'Annual Parameters'!$B$33:$W$143,22,FALSE)*VLOOKUP($B$14,'Annual Parameters'!$B$33:$W$143,3,FALSE)/VLOOKUP('Source VoT'!$E$27,'Annual Parameters'!$B$33:$W$143,3,FALSE)</f>
        <v>11.20942989108932</v>
      </c>
      <c r="S49" s="73">
        <f>'Source VoT'!$D$46*VLOOKUP($B49,'Indirect tax correction'!$B$27:$I$127,6,FALSE)*VLOOKUP($B49,'Annual Parameters'!$B$33:$W$143,22,FALSE)/VLOOKUP('Source VoT'!$F$27,'Annual Parameters'!$B$33:$W$143,22,FALSE)*VLOOKUP($B$14,'Annual Parameters'!$B$33:$W$143,3,FALSE)/VLOOKUP('Source VoT'!$E$27,'Annual Parameters'!$B$33:$W$143,3,FALSE)</f>
        <v>5.1163201986455</v>
      </c>
      <c r="T49" s="117">
        <f>'Source VoT'!$D$27*1*VLOOKUP($B49,'Annual Parameters'!$B$33:$W$143,21,FALSE)/VLOOKUP('Source VoT'!$F$27,'Annual Parameters'!$B$33:$W$143,21,FALSE)*VLOOKUP($B$14,'Annual Parameters'!$B$33:$W$143,3,FALSE)/VLOOKUP('Source VoT'!$E$27,'Annual Parameters'!$B$33:$W$143,3,FALSE)</f>
        <v>19.921667605173258</v>
      </c>
      <c r="U49" s="73">
        <f>'Source VoT'!$D$28*1*VLOOKUP($B49,'Annual Parameters'!$B$33:$W$143,21,FALSE)/VLOOKUP('Source VoT'!$F$27,'Annual Parameters'!$B$33:$W$143,21,FALSE)*VLOOKUP($B$14,'Annual Parameters'!$B$33:$W$143,3,FALSE)/VLOOKUP('Source VoT'!$E$27,'Annual Parameters'!$B$33:$W$143,3,FALSE)</f>
        <v>19.921667605173258</v>
      </c>
      <c r="V49" s="73">
        <f>'Source VoT'!$D$29*1*VLOOKUP($B49,'Annual Parameters'!$B$33:$W$143,21,FALSE)/VLOOKUP('Source VoT'!$F$27,'Annual Parameters'!$B$33:$W$143,21,FALSE)*VLOOKUP($B$14,'Annual Parameters'!$B$33:$W$143,3,FALSE)/VLOOKUP('Source VoT'!$E$27,'Annual Parameters'!$B$33:$W$143,3,FALSE)</f>
        <v>13.717607239210462</v>
      </c>
      <c r="W49" s="73">
        <f>'Source VoT'!$D$30*1*VLOOKUP($B49,'Annual Parameters'!$B$33:$W$143,21,FALSE)/VLOOKUP('Source VoT'!$F$27,'Annual Parameters'!$B$33:$W$143,21,FALSE)*VLOOKUP($B$14,'Annual Parameters'!$B$33:$W$143,3,FALSE)/VLOOKUP('Source VoT'!$E$27,'Annual Parameters'!$B$33:$W$143,3,FALSE)</f>
        <v>16.162643714717881</v>
      </c>
      <c r="X49" s="73">
        <f>'Source VoT'!$D$31*1*VLOOKUP($B49,'Annual Parameters'!$B$33:$W$143,21,FALSE)/VLOOKUP('Source VoT'!$F$27,'Annual Parameters'!$B$33:$W$143,21,FALSE)*VLOOKUP($B$14,'Annual Parameters'!$B$33:$W$143,3,FALSE)/VLOOKUP('Source VoT'!$E$27,'Annual Parameters'!$B$33:$W$143,3,FALSE)</f>
        <v>16.511934639790368</v>
      </c>
      <c r="Y49" s="73">
        <f>'Source VoT'!$D$32*1*VLOOKUP($B49,'Annual Parameters'!$B$33:$W$143,21,FALSE)/VLOOKUP('Source VoT'!$F$27,'Annual Parameters'!$B$33:$W$143,21,FALSE)*VLOOKUP($B$14,'Annual Parameters'!$B$33:$W$143,3,FALSE)/VLOOKUP('Source VoT'!$E$27,'Annual Parameters'!$B$33:$W$143,3,FALSE)</f>
        <v>11.289325999939541</v>
      </c>
      <c r="Z49" s="73">
        <f>'Source VoT'!$D$33*1*VLOOKUP($B49,'Annual Parameters'!$B$33:$W$143,21,FALSE)/VLOOKUP('Source VoT'!$F$27,'Annual Parameters'!$B$33:$W$143,21,FALSE)*VLOOKUP($B$14,'Annual Parameters'!$B$33:$W$143,3,FALSE)/VLOOKUP('Source VoT'!$E$27,'Annual Parameters'!$B$33:$W$143,3,FALSE)</f>
        <v>14.59083455189168</v>
      </c>
      <c r="AA49" s="73">
        <f>'Source VoT'!$D$34*1*VLOOKUP($B49,'Annual Parameters'!$B$33:$W$143,21,FALSE)/VLOOKUP('Source VoT'!$F$27,'Annual Parameters'!$B$33:$W$143,21,FALSE)*VLOOKUP($B$14,'Annual Parameters'!$B$33:$W$143,3,FALSE)/VLOOKUP('Source VoT'!$E$27,'Annual Parameters'!$B$33:$W$143,3,FALSE)</f>
        <v>19.921667605173258</v>
      </c>
      <c r="AB49" s="73">
        <f>'Source VoT'!$D$35*1*VLOOKUP($B49,'Annual Parameters'!$B$33:$W$143,21,FALSE)/VLOOKUP('Source VoT'!$F$27,'Annual Parameters'!$B$33:$W$143,21,FALSE)*VLOOKUP($B$14,'Annual Parameters'!$B$33:$W$143,3,FALSE)/VLOOKUP('Source VoT'!$E$27,'Annual Parameters'!$B$33:$W$143,3,FALSE)</f>
        <v>32.861037467278997</v>
      </c>
      <c r="AC49" s="73">
        <f>'Source VoT'!$D$36*1*VLOOKUP($B49,'Annual Parameters'!$B$33:$W$143,21,FALSE)/VLOOKUP('Source VoT'!$F$27,'Annual Parameters'!$B$33:$W$143,21,FALSE)*VLOOKUP($B$14,'Annual Parameters'!$B$33:$W$143,3,FALSE)/VLOOKUP('Source VoT'!$E$27,'Annual Parameters'!$B$33:$W$143,3,FALSE)</f>
        <v>11.289325999939541</v>
      </c>
      <c r="AD49" s="73">
        <f>'Source VoT'!$D$37*1*VLOOKUP($B49,'Annual Parameters'!$B$33:$W$143,21,FALSE)/VLOOKUP('Source VoT'!$F$27,'Annual Parameters'!$B$33:$W$143,21,FALSE)*VLOOKUP($B$14,'Annual Parameters'!$B$33:$W$143,3,FALSE)/VLOOKUP('Source VoT'!$E$27,'Annual Parameters'!$B$33:$W$143,3,FALSE)</f>
        <v>11.289325999939541</v>
      </c>
      <c r="AE49" s="73">
        <f>'Source VoT'!$D$38*1*VLOOKUP($B49,'Annual Parameters'!$B$33:$W$143,21,FALSE)/VLOOKUP('Source VoT'!$F$27,'Annual Parameters'!$B$33:$W$143,21,FALSE)*VLOOKUP($B$14,'Annual Parameters'!$B$33:$W$143,3,FALSE)/VLOOKUP('Source VoT'!$E$27,'Annual Parameters'!$B$33:$W$143,3,FALSE)</f>
        <v>11.289325999939541</v>
      </c>
      <c r="AF49" s="73">
        <f>'Source VoT'!$D$39*1*VLOOKUP($B49,'Annual Parameters'!$B$33:$W$143,21,FALSE)/VLOOKUP('Source VoT'!$F$27,'Annual Parameters'!$B$33:$W$143,21,FALSE)*VLOOKUP($B$14,'Annual Parameters'!$B$33:$W$143,3,FALSE)/VLOOKUP('Source VoT'!$E$27,'Annual Parameters'!$B$33:$W$143,3,FALSE)</f>
        <v>19.921667605173258</v>
      </c>
      <c r="AG49" s="74">
        <f>'Source VoT'!$D$40*1*VLOOKUP($B49,'Annual Parameters'!$B$33:$W$143,21,FALSE)/VLOOKUP('Source VoT'!$F$27,'Annual Parameters'!$B$33:$W$143,21,FALSE)*VLOOKUP($B$14,'Annual Parameters'!$B$33:$W$143,3,FALSE)/VLOOKUP('Source VoT'!$E$27,'Annual Parameters'!$B$33:$W$143,3,FALSE)</f>
        <v>21.699241946566325</v>
      </c>
      <c r="AH49" s="73">
        <f>'Source VoT'!$D$45*1*VLOOKUP($B49,'Annual Parameters'!$B$33:$W$143,22,FALSE)/VLOOKUP('Source VoT'!$F$27,'Annual Parameters'!$B$33:$W$143,22,FALSE)*VLOOKUP($B$14,'Annual Parameters'!$B$33:$W$143,3,FALSE)/VLOOKUP('Source VoT'!$E$27,'Annual Parameters'!$B$33:$W$143,3,FALSE)</f>
        <v>13.339221570396289</v>
      </c>
      <c r="AI49" s="73">
        <f>'Source VoT'!$D$46*1*VLOOKUP($B49,'Annual Parameters'!$B$33:$W$143,22,FALSE)/VLOOKUP('Source VoT'!$F$27,'Annual Parameters'!$B$33:$W$143,22,FALSE)*VLOOKUP($B$14,'Annual Parameters'!$B$33:$W$143,3,FALSE)/VLOOKUP('Source VoT'!$E$27,'Annual Parameters'!$B$33:$W$143,3,FALSE)</f>
        <v>6.0884210363881444</v>
      </c>
      <c r="AJ49" s="117">
        <f>'Source VoT'!$D$27*VLOOKUP($B49,'Indirect tax correction'!$B$27:$I$127,7,FALSE)*VLOOKUP($B49,'Annual Parameters'!$B$33:$W$143,21,FALSE)/VLOOKUP('Source VoT'!$F$27,'Annual Parameters'!$B$33:$W$143,21,FALSE)*VLOOKUP($B$14,'Annual Parameters'!$B$33:$W$143,3,FALSE)/VLOOKUP('Source VoT'!$E$27,'Annual Parameters'!$B$33:$W$143,3,FALSE)</f>
        <v>23.706784450156178</v>
      </c>
      <c r="AK49" s="73">
        <f>'Source VoT'!$D$28*VLOOKUP($B49,'Indirect tax correction'!$B$27:$I$127,7,FALSE)*VLOOKUP($B49,'Annual Parameters'!$B$33:$W$143,21,FALSE)/VLOOKUP('Source VoT'!$F$27,'Annual Parameters'!$B$33:$W$143,21,FALSE)*VLOOKUP($B$14,'Annual Parameters'!$B$33:$W$143,3,FALSE)/VLOOKUP('Source VoT'!$E$27,'Annual Parameters'!$B$33:$W$143,3,FALSE)</f>
        <v>23.706784450156178</v>
      </c>
      <c r="AL49" s="73">
        <f>'Source VoT'!$D$29*VLOOKUP($B49,'Indirect tax correction'!$B$27:$I$127,7,FALSE)*VLOOKUP($B49,'Annual Parameters'!$B$33:$W$143,21,FALSE)/VLOOKUP('Source VoT'!$F$27,'Annual Parameters'!$B$33:$W$143,21,FALSE)*VLOOKUP($B$14,'Annual Parameters'!$B$33:$W$143,3,FALSE)/VLOOKUP('Source VoT'!$E$27,'Annual Parameters'!$B$33:$W$143,3,FALSE)</f>
        <v>16.323952614660449</v>
      </c>
      <c r="AM49" s="73">
        <f>'Source VoT'!$D$30*VLOOKUP($B49,'Indirect tax correction'!$B$27:$I$127,7,FALSE)*VLOOKUP($B49,'Annual Parameters'!$B$33:$W$143,21,FALSE)/VLOOKUP('Source VoT'!$F$27,'Annual Parameters'!$B$33:$W$143,21,FALSE)*VLOOKUP($B$14,'Annual Parameters'!$B$33:$W$143,3,FALSE)/VLOOKUP('Source VoT'!$E$27,'Annual Parameters'!$B$33:$W$143,3,FALSE)</f>
        <v>19.233546020514275</v>
      </c>
      <c r="AN49" s="73">
        <f>'Source VoT'!$D$31*VLOOKUP($B49,'Indirect tax correction'!$B$27:$I$127,7,FALSE)*VLOOKUP($B49,'Annual Parameters'!$B$33:$W$143,21,FALSE)/VLOOKUP('Source VoT'!$F$27,'Annual Parameters'!$B$33:$W$143,21,FALSE)*VLOOKUP($B$14,'Annual Parameters'!$B$33:$W$143,3,FALSE)/VLOOKUP('Source VoT'!$E$27,'Annual Parameters'!$B$33:$W$143,3,FALSE)</f>
        <v>19.649202221350539</v>
      </c>
      <c r="AO49" s="73">
        <f>'Source VoT'!$D$32*VLOOKUP($B49,'Indirect tax correction'!$B$27:$I$127,7,FALSE)*VLOOKUP($B49,'Annual Parameters'!$B$33:$W$143,21,FALSE)/VLOOKUP('Source VoT'!$F$27,'Annual Parameters'!$B$33:$W$143,21,FALSE)*VLOOKUP($B$14,'Annual Parameters'!$B$33:$W$143,3,FALSE)/VLOOKUP('Source VoT'!$E$27,'Annual Parameters'!$B$33:$W$143,3,FALSE)</f>
        <v>13.434297939928051</v>
      </c>
      <c r="AP49" s="73">
        <f>'Source VoT'!$D$33*VLOOKUP($B49,'Indirect tax correction'!$B$27:$I$127,7,FALSE)*VLOOKUP($B49,'Annual Parameters'!$B$33:$W$143,21,FALSE)/VLOOKUP('Source VoT'!$F$27,'Annual Parameters'!$B$33:$W$143,21,FALSE)*VLOOKUP($B$14,'Annual Parameters'!$B$33:$W$143,3,FALSE)/VLOOKUP('Source VoT'!$E$27,'Annual Parameters'!$B$33:$W$143,3,FALSE)</f>
        <v>17.363093116751099</v>
      </c>
      <c r="AQ49" s="73">
        <f>'Source VoT'!$D$34*VLOOKUP($B49,'Indirect tax correction'!$B$27:$I$127,7,FALSE)*VLOOKUP($B49,'Annual Parameters'!$B$33:$W$143,21,FALSE)/VLOOKUP('Source VoT'!$F$27,'Annual Parameters'!$B$33:$W$143,21,FALSE)*VLOOKUP($B$14,'Annual Parameters'!$B$33:$W$143,3,FALSE)/VLOOKUP('Source VoT'!$E$27,'Annual Parameters'!$B$33:$W$143,3,FALSE)</f>
        <v>23.706784450156178</v>
      </c>
      <c r="AR49" s="73">
        <f>'Source VoT'!$D$35*VLOOKUP($B49,'Indirect tax correction'!$B$27:$I$127,7,FALSE)*VLOOKUP($B49,'Annual Parameters'!$B$33:$W$143,21,FALSE)/VLOOKUP('Source VoT'!$F$27,'Annual Parameters'!$B$33:$W$143,21,FALSE)*VLOOKUP($B$14,'Annual Parameters'!$B$33:$W$143,3,FALSE)/VLOOKUP('Source VoT'!$E$27,'Annual Parameters'!$B$33:$W$143,3,FALSE)</f>
        <v>39.104634586062012</v>
      </c>
      <c r="AS49" s="73">
        <f>'Source VoT'!$D$36*VLOOKUP($B49,'Indirect tax correction'!$B$27:$I$127,7,FALSE)*VLOOKUP($B49,'Annual Parameters'!$B$33:$W$143,21,FALSE)/VLOOKUP('Source VoT'!$F$27,'Annual Parameters'!$B$33:$W$143,21,FALSE)*VLOOKUP($B$14,'Annual Parameters'!$B$33:$W$143,3,FALSE)/VLOOKUP('Source VoT'!$E$27,'Annual Parameters'!$B$33:$W$143,3,FALSE)</f>
        <v>13.434297939928051</v>
      </c>
      <c r="AT49" s="73">
        <f>'Source VoT'!$D$37*VLOOKUP($B49,'Indirect tax correction'!$B$27:$I$127,7,FALSE)*VLOOKUP($B49,'Annual Parameters'!$B$33:$W$143,21,FALSE)/VLOOKUP('Source VoT'!$F$27,'Annual Parameters'!$B$33:$W$143,21,FALSE)*VLOOKUP($B$14,'Annual Parameters'!$B$33:$W$143,3,FALSE)/VLOOKUP('Source VoT'!$E$27,'Annual Parameters'!$B$33:$W$143,3,FALSE)</f>
        <v>13.434297939928051</v>
      </c>
      <c r="AU49" s="73">
        <f>'Source VoT'!$D$38*VLOOKUP($B49,'Indirect tax correction'!$B$27:$I$127,7,FALSE)*VLOOKUP($B49,'Annual Parameters'!$B$33:$W$143,21,FALSE)/VLOOKUP('Source VoT'!$F$27,'Annual Parameters'!$B$33:$W$143,21,FALSE)*VLOOKUP($B$14,'Annual Parameters'!$B$33:$W$143,3,FALSE)/VLOOKUP('Source VoT'!$E$27,'Annual Parameters'!$B$33:$W$143,3,FALSE)</f>
        <v>13.434297939928051</v>
      </c>
      <c r="AV49" s="73">
        <f>'Source VoT'!$D$39*VLOOKUP($B49,'Indirect tax correction'!$B$27:$I$127,7,FALSE)*VLOOKUP($B49,'Annual Parameters'!$B$33:$W$143,21,FALSE)/VLOOKUP('Source VoT'!$F$27,'Annual Parameters'!$B$33:$W$143,21,FALSE)*VLOOKUP($B$14,'Annual Parameters'!$B$33:$W$143,3,FALSE)/VLOOKUP('Source VoT'!$E$27,'Annual Parameters'!$B$33:$W$143,3,FALSE)</f>
        <v>23.706784450156178</v>
      </c>
      <c r="AW49" s="74">
        <f>'Source VoT'!$D$40*VLOOKUP($B49,'Indirect tax correction'!$B$27:$I$127,7,FALSE)*VLOOKUP($B49,'Annual Parameters'!$B$33:$W$143,21,FALSE)/VLOOKUP('Source VoT'!$F$27,'Annual Parameters'!$B$33:$W$143,21,FALSE)*VLOOKUP($B$14,'Annual Parameters'!$B$33:$W$143,3,FALSE)/VLOOKUP('Source VoT'!$E$27,'Annual Parameters'!$B$33:$W$143,3,FALSE)</f>
        <v>25.822097916413924</v>
      </c>
      <c r="AX49" s="73">
        <f>'Source VoT'!$D$45*VLOOKUP($B49,'Indirect tax correction'!$B$27:$I$127,8,FALSE)*VLOOKUP($B49,'Annual Parameters'!$B$33:$W$143,22,FALSE)/VLOOKUP('Source VoT'!$F$27,'Annual Parameters'!$B$33:$W$143,22,FALSE)*VLOOKUP($B$14,'Annual Parameters'!$B$33:$W$143,3,FALSE)/VLOOKUP('Source VoT'!$E$27,'Annual Parameters'!$B$33:$W$143,3,FALSE)</f>
        <v>13.339221570396289</v>
      </c>
      <c r="AY49" s="74">
        <f>'Source VoT'!$D$46*VLOOKUP($B49,'Indirect tax correction'!$B$27:$I$127,8,FALSE)*VLOOKUP($B49,'Annual Parameters'!$B$33:$W$143,22,FALSE)/VLOOKUP('Source VoT'!$F$27,'Annual Parameters'!$B$33:$W$143,22,FALSE)*VLOOKUP($B$14,'Annual Parameters'!$B$33:$W$143,3,FALSE)/VLOOKUP('Source VoT'!$E$27,'Annual Parameters'!$B$33:$W$143,3,FALSE)</f>
        <v>6.0884210363881444</v>
      </c>
      <c r="AZ49" s="2875"/>
      <c r="BA49" s="2875"/>
      <c r="BB49" s="2875"/>
      <c r="BC49" s="2875"/>
      <c r="BD49" s="2875"/>
      <c r="BE49" s="2875"/>
      <c r="BF49" s="2875"/>
      <c r="BG49" s="2875"/>
    </row>
    <row r="50" spans="1:59" ht="13.5" customHeight="1">
      <c r="A50" s="90"/>
      <c r="B50" s="82">
        <f t="shared" si="0"/>
        <v>2033</v>
      </c>
      <c r="C50" s="82"/>
      <c r="D50" s="117">
        <f>'Source VoT'!$D$27*VLOOKUP($B50,'Indirect tax correction'!$B$27:$I$127,5,FALSE)*VLOOKUP($B50,'Annual Parameters'!$B$33:$W$143,21,FALSE)/VLOOKUP('Source VoT'!$F$27,'Annual Parameters'!$B$33:$W$143,21,FALSE)*VLOOKUP($B$14,'Annual Parameters'!$B$33:$W$143,3,FALSE)/VLOOKUP('Source VoT'!$E$27,'Annual Parameters'!$B$33:$W$143,3,FALSE)</f>
        <v>20.2940838283284</v>
      </c>
      <c r="E50" s="73">
        <f>'Source VoT'!$D$28*VLOOKUP($B50,'Indirect tax correction'!$B$27:$I$127,5,FALSE)*VLOOKUP($B50,'Annual Parameters'!$B$33:$W$143,21,FALSE)/VLOOKUP('Source VoT'!$F$27,'Annual Parameters'!$B$33:$W$143,21,FALSE)*VLOOKUP($B$14,'Annual Parameters'!$B$33:$W$143,3,FALSE)/VLOOKUP('Source VoT'!$E$27,'Annual Parameters'!$B$33:$W$143,3,FALSE)</f>
        <v>20.2940838283284</v>
      </c>
      <c r="F50" s="73">
        <f>'Source VoT'!$D$29*VLOOKUP($B50,'Indirect tax correction'!$B$27:$I$127,5,FALSE)*VLOOKUP($B50,'Annual Parameters'!$B$33:$W$143,21,FALSE)/VLOOKUP('Source VoT'!$F$27,'Annual Parameters'!$B$33:$W$143,21,FALSE)*VLOOKUP($B$14,'Annual Parameters'!$B$33:$W$143,3,FALSE)/VLOOKUP('Source VoT'!$E$27,'Annual Parameters'!$B$33:$W$143,3,FALSE)</f>
        <v>13.974044580702182</v>
      </c>
      <c r="G50" s="73">
        <f>'Source VoT'!$D$30*VLOOKUP($B50,'Indirect tax correction'!$B$27:$I$127,5,FALSE)*VLOOKUP($B50,'Annual Parameters'!$B$33:$W$143,21,FALSE)/VLOOKUP('Source VoT'!$F$27,'Annual Parameters'!$B$33:$W$143,21,FALSE)*VLOOKUP($B$14,'Annual Parameters'!$B$33:$W$143,3,FALSE)/VLOOKUP('Source VoT'!$E$27,'Annual Parameters'!$B$33:$W$143,3,FALSE)</f>
        <v>16.464788637910672</v>
      </c>
      <c r="H50" s="73">
        <f>'Source VoT'!$D$31*VLOOKUP($B50,'Indirect tax correction'!$B$27:$I$127,5,FALSE)*VLOOKUP($B50,'Annual Parameters'!$B$33:$W$143,21,FALSE)/VLOOKUP('Source VoT'!$F$27,'Annual Parameters'!$B$33:$W$143,21,FALSE)*VLOOKUP($B$14,'Annual Parameters'!$B$33:$W$143,3,FALSE)/VLOOKUP('Source VoT'!$E$27,'Annual Parameters'!$B$33:$W$143,3,FALSE)</f>
        <v>16.820609217511887</v>
      </c>
      <c r="I50" s="73">
        <f>'Source VoT'!$D$32*VLOOKUP($B50,'Indirect tax correction'!$B$27:$I$127,5,FALSE)*VLOOKUP($B50,'Annual Parameters'!$B$33:$W$143,21,FALSE)/VLOOKUP('Source VoT'!$F$27,'Annual Parameters'!$B$33:$W$143,21,FALSE)*VLOOKUP($B$14,'Annual Parameters'!$B$33:$W$143,3,FALSE)/VLOOKUP('Source VoT'!$E$27,'Annual Parameters'!$B$33:$W$143,3,FALSE)</f>
        <v>11.500368982594907</v>
      </c>
      <c r="J50" s="73">
        <f>'Source VoT'!$D$33*VLOOKUP($B50,'Indirect tax correction'!$B$27:$I$127,5,FALSE)*VLOOKUP($B50,'Annual Parameters'!$B$33:$W$143,21,FALSE)/VLOOKUP('Source VoT'!$F$27,'Annual Parameters'!$B$33:$W$143,21,FALSE)*VLOOKUP($B$14,'Annual Parameters'!$B$33:$W$143,3,FALSE)/VLOOKUP('Source VoT'!$E$27,'Annual Parameters'!$B$33:$W$143,3,FALSE)</f>
        <v>14.863596029705212</v>
      </c>
      <c r="K50" s="73">
        <f>'Source VoT'!$D$34*VLOOKUP($B50,'Indirect tax correction'!$B$27:$I$127,5,FALSE)*VLOOKUP($B50,'Annual Parameters'!$B$33:$W$143,21,FALSE)/VLOOKUP('Source VoT'!$F$27,'Annual Parameters'!$B$33:$W$143,21,FALSE)*VLOOKUP($B$14,'Annual Parameters'!$B$33:$W$143,3,FALSE)/VLOOKUP('Source VoT'!$E$27,'Annual Parameters'!$B$33:$W$143,3,FALSE)</f>
        <v>20.2940838283284</v>
      </c>
      <c r="L50" s="73">
        <f>'Source VoT'!$D$35*VLOOKUP($B50,'Indirect tax correction'!$B$27:$I$127,5,FALSE)*VLOOKUP($B50,'Annual Parameters'!$B$33:$W$143,21,FALSE)/VLOOKUP('Source VoT'!$F$27,'Annual Parameters'!$B$33:$W$143,21,FALSE)*VLOOKUP($B$14,'Annual Parameters'!$B$33:$W$143,3,FALSE)/VLOOKUP('Source VoT'!$E$27,'Annual Parameters'!$B$33:$W$143,3,FALSE)</f>
        <v>33.475342640172542</v>
      </c>
      <c r="M50" s="73">
        <f>'Source VoT'!$D$36*VLOOKUP($B50,'Indirect tax correction'!$B$27:$I$127,5,FALSE)*VLOOKUP($B50,'Annual Parameters'!$B$33:$W$143,21,FALSE)/VLOOKUP('Source VoT'!$F$27,'Annual Parameters'!$B$33:$W$143,21,FALSE)*VLOOKUP($B$14,'Annual Parameters'!$B$33:$W$143,3,FALSE)/VLOOKUP('Source VoT'!$E$27,'Annual Parameters'!$B$33:$W$143,3,FALSE)</f>
        <v>11.500368982594907</v>
      </c>
      <c r="N50" s="73">
        <f>'Source VoT'!$D$37*VLOOKUP($B50,'Indirect tax correction'!$B$27:$I$127,5,FALSE)*VLOOKUP($B50,'Annual Parameters'!$B$33:$W$143,21,FALSE)/VLOOKUP('Source VoT'!$F$27,'Annual Parameters'!$B$33:$W$143,21,FALSE)*VLOOKUP($B$14,'Annual Parameters'!$B$33:$W$143,3,FALSE)/VLOOKUP('Source VoT'!$E$27,'Annual Parameters'!$B$33:$W$143,3,FALSE)</f>
        <v>11.500368982594907</v>
      </c>
      <c r="O50" s="73">
        <f>'Source VoT'!$D$38*VLOOKUP($B50,'Indirect tax correction'!$B$27:$I$127,5,FALSE)*VLOOKUP($B50,'Annual Parameters'!$B$33:$W$143,21,FALSE)/VLOOKUP('Source VoT'!$F$27,'Annual Parameters'!$B$33:$W$143,21,FALSE)*VLOOKUP($B$14,'Annual Parameters'!$B$33:$W$143,3,FALSE)/VLOOKUP('Source VoT'!$E$27,'Annual Parameters'!$B$33:$W$143,3,FALSE)</f>
        <v>11.500368982594907</v>
      </c>
      <c r="P50" s="73">
        <f>'Source VoT'!$D$39*VLOOKUP($B50,'Indirect tax correction'!$B$27:$I$127,5,FALSE)*VLOOKUP($B50,'Annual Parameters'!$B$33:$W$143,21,FALSE)/VLOOKUP('Source VoT'!$F$27,'Annual Parameters'!$B$33:$W$143,21,FALSE)*VLOOKUP($B$14,'Annual Parameters'!$B$33:$W$143,3,FALSE)/VLOOKUP('Source VoT'!$E$27,'Annual Parameters'!$B$33:$W$143,3,FALSE)</f>
        <v>20.2940838283284</v>
      </c>
      <c r="Q50" s="74">
        <f>'Source VoT'!$D$40*VLOOKUP($B50,'Indirect tax correction'!$B$27:$I$127,5,FALSE)*VLOOKUP($B50,'Annual Parameters'!$B$33:$W$143,21,FALSE)/VLOOKUP('Source VoT'!$F$27,'Annual Parameters'!$B$33:$W$143,21,FALSE)*VLOOKUP($B$14,'Annual Parameters'!$B$33:$W$143,3,FALSE)/VLOOKUP('Source VoT'!$E$27,'Annual Parameters'!$B$33:$W$143,3,FALSE)</f>
        <v>22.104888195225314</v>
      </c>
      <c r="R50" s="73">
        <f>'Source VoT'!$D$45*VLOOKUP($B50,'Indirect tax correction'!$B$27:$I$127,6,FALSE)*VLOOKUP($B50,'Annual Parameters'!$B$33:$W$143,22,FALSE)/VLOOKUP('Source VoT'!$F$27,'Annual Parameters'!$B$33:$W$143,22,FALSE)*VLOOKUP($B$14,'Annual Parameters'!$B$33:$W$143,3,FALSE)/VLOOKUP('Source VoT'!$E$27,'Annual Parameters'!$B$33:$W$143,3,FALSE)</f>
        <v>11.418979293604087</v>
      </c>
      <c r="S50" s="73">
        <f>'Source VoT'!$D$46*VLOOKUP($B50,'Indirect tax correction'!$B$27:$I$127,6,FALSE)*VLOOKUP($B50,'Annual Parameters'!$B$33:$W$143,22,FALSE)/VLOOKUP('Source VoT'!$F$27,'Annual Parameters'!$B$33:$W$143,22,FALSE)*VLOOKUP($B$14,'Annual Parameters'!$B$33:$W$143,3,FALSE)/VLOOKUP('Source VoT'!$E$27,'Annual Parameters'!$B$33:$W$143,3,FALSE)</f>
        <v>5.2119648345562553</v>
      </c>
      <c r="T50" s="117">
        <f>'Source VoT'!$D$27*1*VLOOKUP($B50,'Annual Parameters'!$B$33:$W$143,21,FALSE)/VLOOKUP('Source VoT'!$F$27,'Annual Parameters'!$B$33:$W$143,21,FALSE)*VLOOKUP($B$14,'Annual Parameters'!$B$33:$W$143,3,FALSE)/VLOOKUP('Source VoT'!$E$27,'Annual Parameters'!$B$33:$W$143,3,FALSE)</f>
        <v>20.2940838283284</v>
      </c>
      <c r="U50" s="73">
        <f>'Source VoT'!$D$28*1*VLOOKUP($B50,'Annual Parameters'!$B$33:$W$143,21,FALSE)/VLOOKUP('Source VoT'!$F$27,'Annual Parameters'!$B$33:$W$143,21,FALSE)*VLOOKUP($B$14,'Annual Parameters'!$B$33:$W$143,3,FALSE)/VLOOKUP('Source VoT'!$E$27,'Annual Parameters'!$B$33:$W$143,3,FALSE)</f>
        <v>20.2940838283284</v>
      </c>
      <c r="V50" s="73">
        <f>'Source VoT'!$D$29*1*VLOOKUP($B50,'Annual Parameters'!$B$33:$W$143,21,FALSE)/VLOOKUP('Source VoT'!$F$27,'Annual Parameters'!$B$33:$W$143,21,FALSE)*VLOOKUP($B$14,'Annual Parameters'!$B$33:$W$143,3,FALSE)/VLOOKUP('Source VoT'!$E$27,'Annual Parameters'!$B$33:$W$143,3,FALSE)</f>
        <v>13.974044580702182</v>
      </c>
      <c r="W50" s="73">
        <f>'Source VoT'!$D$30*1*VLOOKUP($B50,'Annual Parameters'!$B$33:$W$143,21,FALSE)/VLOOKUP('Source VoT'!$F$27,'Annual Parameters'!$B$33:$W$143,21,FALSE)*VLOOKUP($B$14,'Annual Parameters'!$B$33:$W$143,3,FALSE)/VLOOKUP('Source VoT'!$E$27,'Annual Parameters'!$B$33:$W$143,3,FALSE)</f>
        <v>16.464788637910672</v>
      </c>
      <c r="X50" s="73">
        <f>'Source VoT'!$D$31*1*VLOOKUP($B50,'Annual Parameters'!$B$33:$W$143,21,FALSE)/VLOOKUP('Source VoT'!$F$27,'Annual Parameters'!$B$33:$W$143,21,FALSE)*VLOOKUP($B$14,'Annual Parameters'!$B$33:$W$143,3,FALSE)/VLOOKUP('Source VoT'!$E$27,'Annual Parameters'!$B$33:$W$143,3,FALSE)</f>
        <v>16.820609217511887</v>
      </c>
      <c r="Y50" s="73">
        <f>'Source VoT'!$D$32*1*VLOOKUP($B50,'Annual Parameters'!$B$33:$W$143,21,FALSE)/VLOOKUP('Source VoT'!$F$27,'Annual Parameters'!$B$33:$W$143,21,FALSE)*VLOOKUP($B$14,'Annual Parameters'!$B$33:$W$143,3,FALSE)/VLOOKUP('Source VoT'!$E$27,'Annual Parameters'!$B$33:$W$143,3,FALSE)</f>
        <v>11.500368982594907</v>
      </c>
      <c r="Z50" s="73">
        <f>'Source VoT'!$D$33*1*VLOOKUP($B50,'Annual Parameters'!$B$33:$W$143,21,FALSE)/VLOOKUP('Source VoT'!$F$27,'Annual Parameters'!$B$33:$W$143,21,FALSE)*VLOOKUP($B$14,'Annual Parameters'!$B$33:$W$143,3,FALSE)/VLOOKUP('Source VoT'!$E$27,'Annual Parameters'!$B$33:$W$143,3,FALSE)</f>
        <v>14.863596029705212</v>
      </c>
      <c r="AA50" s="73">
        <f>'Source VoT'!$D$34*1*VLOOKUP($B50,'Annual Parameters'!$B$33:$W$143,21,FALSE)/VLOOKUP('Source VoT'!$F$27,'Annual Parameters'!$B$33:$W$143,21,FALSE)*VLOOKUP($B$14,'Annual Parameters'!$B$33:$W$143,3,FALSE)/VLOOKUP('Source VoT'!$E$27,'Annual Parameters'!$B$33:$W$143,3,FALSE)</f>
        <v>20.2940838283284</v>
      </c>
      <c r="AB50" s="73">
        <f>'Source VoT'!$D$35*1*VLOOKUP($B50,'Annual Parameters'!$B$33:$W$143,21,FALSE)/VLOOKUP('Source VoT'!$F$27,'Annual Parameters'!$B$33:$W$143,21,FALSE)*VLOOKUP($B$14,'Annual Parameters'!$B$33:$W$143,3,FALSE)/VLOOKUP('Source VoT'!$E$27,'Annual Parameters'!$B$33:$W$143,3,FALSE)</f>
        <v>33.475342640172542</v>
      </c>
      <c r="AC50" s="73">
        <f>'Source VoT'!$D$36*1*VLOOKUP($B50,'Annual Parameters'!$B$33:$W$143,21,FALSE)/VLOOKUP('Source VoT'!$F$27,'Annual Parameters'!$B$33:$W$143,21,FALSE)*VLOOKUP($B$14,'Annual Parameters'!$B$33:$W$143,3,FALSE)/VLOOKUP('Source VoT'!$E$27,'Annual Parameters'!$B$33:$W$143,3,FALSE)</f>
        <v>11.500368982594907</v>
      </c>
      <c r="AD50" s="73">
        <f>'Source VoT'!$D$37*1*VLOOKUP($B50,'Annual Parameters'!$B$33:$W$143,21,FALSE)/VLOOKUP('Source VoT'!$F$27,'Annual Parameters'!$B$33:$W$143,21,FALSE)*VLOOKUP($B$14,'Annual Parameters'!$B$33:$W$143,3,FALSE)/VLOOKUP('Source VoT'!$E$27,'Annual Parameters'!$B$33:$W$143,3,FALSE)</f>
        <v>11.500368982594907</v>
      </c>
      <c r="AE50" s="73">
        <f>'Source VoT'!$D$38*1*VLOOKUP($B50,'Annual Parameters'!$B$33:$W$143,21,FALSE)/VLOOKUP('Source VoT'!$F$27,'Annual Parameters'!$B$33:$W$143,21,FALSE)*VLOOKUP($B$14,'Annual Parameters'!$B$33:$W$143,3,FALSE)/VLOOKUP('Source VoT'!$E$27,'Annual Parameters'!$B$33:$W$143,3,FALSE)</f>
        <v>11.500368982594907</v>
      </c>
      <c r="AF50" s="73">
        <f>'Source VoT'!$D$39*1*VLOOKUP($B50,'Annual Parameters'!$B$33:$W$143,21,FALSE)/VLOOKUP('Source VoT'!$F$27,'Annual Parameters'!$B$33:$W$143,21,FALSE)*VLOOKUP($B$14,'Annual Parameters'!$B$33:$W$143,3,FALSE)/VLOOKUP('Source VoT'!$E$27,'Annual Parameters'!$B$33:$W$143,3,FALSE)</f>
        <v>20.2940838283284</v>
      </c>
      <c r="AG50" s="74">
        <f>'Source VoT'!$D$40*1*VLOOKUP($B50,'Annual Parameters'!$B$33:$W$143,21,FALSE)/VLOOKUP('Source VoT'!$F$27,'Annual Parameters'!$B$33:$W$143,21,FALSE)*VLOOKUP($B$14,'Annual Parameters'!$B$33:$W$143,3,FALSE)/VLOOKUP('Source VoT'!$E$27,'Annual Parameters'!$B$33:$W$143,3,FALSE)</f>
        <v>22.104888195225314</v>
      </c>
      <c r="AH50" s="73">
        <f>'Source VoT'!$D$45*1*VLOOKUP($B50,'Annual Parameters'!$B$33:$W$143,22,FALSE)/VLOOKUP('Source VoT'!$F$27,'Annual Parameters'!$B$33:$W$143,22,FALSE)*VLOOKUP($B$14,'Annual Parameters'!$B$33:$W$143,3,FALSE)/VLOOKUP('Source VoT'!$E$27,'Annual Parameters'!$B$33:$W$143,3,FALSE)</f>
        <v>13.588585359388862</v>
      </c>
      <c r="AI50" s="73">
        <f>'Source VoT'!$D$46*1*VLOOKUP($B50,'Annual Parameters'!$B$33:$W$143,22,FALSE)/VLOOKUP('Source VoT'!$F$27,'Annual Parameters'!$B$33:$W$143,22,FALSE)*VLOOKUP($B$14,'Annual Parameters'!$B$33:$W$143,3,FALSE)/VLOOKUP('Source VoT'!$E$27,'Annual Parameters'!$B$33:$W$143,3,FALSE)</f>
        <v>6.202238153121943</v>
      </c>
      <c r="AJ50" s="117">
        <f>'Source VoT'!$D$27*VLOOKUP($B50,'Indirect tax correction'!$B$27:$I$127,7,FALSE)*VLOOKUP($B50,'Annual Parameters'!$B$33:$W$143,21,FALSE)/VLOOKUP('Source VoT'!$F$27,'Annual Parameters'!$B$33:$W$143,21,FALSE)*VLOOKUP($B$14,'Annual Parameters'!$B$33:$W$143,3,FALSE)/VLOOKUP('Source VoT'!$E$27,'Annual Parameters'!$B$33:$W$143,3,FALSE)</f>
        <v>24.149959755710793</v>
      </c>
      <c r="AK50" s="73">
        <f>'Source VoT'!$D$28*VLOOKUP($B50,'Indirect tax correction'!$B$27:$I$127,7,FALSE)*VLOOKUP($B50,'Annual Parameters'!$B$33:$W$143,21,FALSE)/VLOOKUP('Source VoT'!$F$27,'Annual Parameters'!$B$33:$W$143,21,FALSE)*VLOOKUP($B$14,'Annual Parameters'!$B$33:$W$143,3,FALSE)/VLOOKUP('Source VoT'!$E$27,'Annual Parameters'!$B$33:$W$143,3,FALSE)</f>
        <v>24.149959755710793</v>
      </c>
      <c r="AL50" s="73">
        <f>'Source VoT'!$D$29*VLOOKUP($B50,'Indirect tax correction'!$B$27:$I$127,7,FALSE)*VLOOKUP($B50,'Annual Parameters'!$B$33:$W$143,21,FALSE)/VLOOKUP('Source VoT'!$F$27,'Annual Parameters'!$B$33:$W$143,21,FALSE)*VLOOKUP($B$14,'Annual Parameters'!$B$33:$W$143,3,FALSE)/VLOOKUP('Source VoT'!$E$27,'Annual Parameters'!$B$33:$W$143,3,FALSE)</f>
        <v>16.629113051035596</v>
      </c>
      <c r="AM50" s="73">
        <f>'Source VoT'!$D$30*VLOOKUP($B50,'Indirect tax correction'!$B$27:$I$127,7,FALSE)*VLOOKUP($B50,'Annual Parameters'!$B$33:$W$143,21,FALSE)/VLOOKUP('Source VoT'!$F$27,'Annual Parameters'!$B$33:$W$143,21,FALSE)*VLOOKUP($B$14,'Annual Parameters'!$B$33:$W$143,3,FALSE)/VLOOKUP('Source VoT'!$E$27,'Annual Parameters'!$B$33:$W$143,3,FALSE)</f>
        <v>19.593098479113696</v>
      </c>
      <c r="AN50" s="73">
        <f>'Source VoT'!$D$31*VLOOKUP($B50,'Indirect tax correction'!$B$27:$I$127,7,FALSE)*VLOOKUP($B50,'Annual Parameters'!$B$33:$W$143,21,FALSE)/VLOOKUP('Source VoT'!$F$27,'Annual Parameters'!$B$33:$W$143,21,FALSE)*VLOOKUP($B$14,'Annual Parameters'!$B$33:$W$143,3,FALSE)/VLOOKUP('Source VoT'!$E$27,'Annual Parameters'!$B$33:$W$143,3,FALSE)</f>
        <v>20.016524968839143</v>
      </c>
      <c r="AO50" s="73">
        <f>'Source VoT'!$D$32*VLOOKUP($B50,'Indirect tax correction'!$B$27:$I$127,7,FALSE)*VLOOKUP($B50,'Annual Parameters'!$B$33:$W$143,21,FALSE)/VLOOKUP('Source VoT'!$F$27,'Annual Parameters'!$B$33:$W$143,21,FALSE)*VLOOKUP($B$14,'Annual Parameters'!$B$33:$W$143,3,FALSE)/VLOOKUP('Source VoT'!$E$27,'Annual Parameters'!$B$33:$W$143,3,FALSE)</f>
        <v>13.685439089287938</v>
      </c>
      <c r="AP50" s="73">
        <f>'Source VoT'!$D$33*VLOOKUP($B50,'Indirect tax correction'!$B$27:$I$127,7,FALSE)*VLOOKUP($B50,'Annual Parameters'!$B$33:$W$143,21,FALSE)/VLOOKUP('Source VoT'!$F$27,'Annual Parameters'!$B$33:$W$143,21,FALSE)*VLOOKUP($B$14,'Annual Parameters'!$B$33:$W$143,3,FALSE)/VLOOKUP('Source VoT'!$E$27,'Annual Parameters'!$B$33:$W$143,3,FALSE)</f>
        <v>17.6876792753492</v>
      </c>
      <c r="AQ50" s="73">
        <f>'Source VoT'!$D$34*VLOOKUP($B50,'Indirect tax correction'!$B$27:$I$127,7,FALSE)*VLOOKUP($B50,'Annual Parameters'!$B$33:$W$143,21,FALSE)/VLOOKUP('Source VoT'!$F$27,'Annual Parameters'!$B$33:$W$143,21,FALSE)*VLOOKUP($B$14,'Annual Parameters'!$B$33:$W$143,3,FALSE)/VLOOKUP('Source VoT'!$E$27,'Annual Parameters'!$B$33:$W$143,3,FALSE)</f>
        <v>24.149959755710793</v>
      </c>
      <c r="AR50" s="73">
        <f>'Source VoT'!$D$35*VLOOKUP($B50,'Indirect tax correction'!$B$27:$I$127,7,FALSE)*VLOOKUP($B50,'Annual Parameters'!$B$33:$W$143,21,FALSE)/VLOOKUP('Source VoT'!$F$27,'Annual Parameters'!$B$33:$W$143,21,FALSE)*VLOOKUP($B$14,'Annual Parameters'!$B$33:$W$143,3,FALSE)/VLOOKUP('Source VoT'!$E$27,'Annual Parameters'!$B$33:$W$143,3,FALSE)</f>
        <v>39.835657741805321</v>
      </c>
      <c r="AS50" s="73">
        <f>'Source VoT'!$D$36*VLOOKUP($B50,'Indirect tax correction'!$B$27:$I$127,7,FALSE)*VLOOKUP($B50,'Annual Parameters'!$B$33:$W$143,21,FALSE)/VLOOKUP('Source VoT'!$F$27,'Annual Parameters'!$B$33:$W$143,21,FALSE)*VLOOKUP($B$14,'Annual Parameters'!$B$33:$W$143,3,FALSE)/VLOOKUP('Source VoT'!$E$27,'Annual Parameters'!$B$33:$W$143,3,FALSE)</f>
        <v>13.685439089287938</v>
      </c>
      <c r="AT50" s="73">
        <f>'Source VoT'!$D$37*VLOOKUP($B50,'Indirect tax correction'!$B$27:$I$127,7,FALSE)*VLOOKUP($B50,'Annual Parameters'!$B$33:$W$143,21,FALSE)/VLOOKUP('Source VoT'!$F$27,'Annual Parameters'!$B$33:$W$143,21,FALSE)*VLOOKUP($B$14,'Annual Parameters'!$B$33:$W$143,3,FALSE)/VLOOKUP('Source VoT'!$E$27,'Annual Parameters'!$B$33:$W$143,3,FALSE)</f>
        <v>13.685439089287938</v>
      </c>
      <c r="AU50" s="73">
        <f>'Source VoT'!$D$38*VLOOKUP($B50,'Indirect tax correction'!$B$27:$I$127,7,FALSE)*VLOOKUP($B50,'Annual Parameters'!$B$33:$W$143,21,FALSE)/VLOOKUP('Source VoT'!$F$27,'Annual Parameters'!$B$33:$W$143,21,FALSE)*VLOOKUP($B$14,'Annual Parameters'!$B$33:$W$143,3,FALSE)/VLOOKUP('Source VoT'!$E$27,'Annual Parameters'!$B$33:$W$143,3,FALSE)</f>
        <v>13.685439089287938</v>
      </c>
      <c r="AV50" s="73">
        <f>'Source VoT'!$D$39*VLOOKUP($B50,'Indirect tax correction'!$B$27:$I$127,7,FALSE)*VLOOKUP($B50,'Annual Parameters'!$B$33:$W$143,21,FALSE)/VLOOKUP('Source VoT'!$F$27,'Annual Parameters'!$B$33:$W$143,21,FALSE)*VLOOKUP($B$14,'Annual Parameters'!$B$33:$W$143,3,FALSE)/VLOOKUP('Source VoT'!$E$27,'Annual Parameters'!$B$33:$W$143,3,FALSE)</f>
        <v>24.149959755710793</v>
      </c>
      <c r="AW50" s="74">
        <f>'Source VoT'!$D$40*VLOOKUP($B50,'Indirect tax correction'!$B$27:$I$127,7,FALSE)*VLOOKUP($B50,'Annual Parameters'!$B$33:$W$143,21,FALSE)/VLOOKUP('Source VoT'!$F$27,'Annual Parameters'!$B$33:$W$143,21,FALSE)*VLOOKUP($B$14,'Annual Parameters'!$B$33:$W$143,3,FALSE)/VLOOKUP('Source VoT'!$E$27,'Annual Parameters'!$B$33:$W$143,3,FALSE)</f>
        <v>26.30481695231812</v>
      </c>
      <c r="AX50" s="73">
        <f>'Source VoT'!$D$45*VLOOKUP($B50,'Indirect tax correction'!$B$27:$I$127,8,FALSE)*VLOOKUP($B50,'Annual Parameters'!$B$33:$W$143,22,FALSE)/VLOOKUP('Source VoT'!$F$27,'Annual Parameters'!$B$33:$W$143,22,FALSE)*VLOOKUP($B$14,'Annual Parameters'!$B$33:$W$143,3,FALSE)/VLOOKUP('Source VoT'!$E$27,'Annual Parameters'!$B$33:$W$143,3,FALSE)</f>
        <v>13.588585359388862</v>
      </c>
      <c r="AY50" s="74">
        <f>'Source VoT'!$D$46*VLOOKUP($B50,'Indirect tax correction'!$B$27:$I$127,8,FALSE)*VLOOKUP($B50,'Annual Parameters'!$B$33:$W$143,22,FALSE)/VLOOKUP('Source VoT'!$F$27,'Annual Parameters'!$B$33:$W$143,22,FALSE)*VLOOKUP($B$14,'Annual Parameters'!$B$33:$W$143,3,FALSE)/VLOOKUP('Source VoT'!$E$27,'Annual Parameters'!$B$33:$W$143,3,FALSE)</f>
        <v>6.202238153121943</v>
      </c>
      <c r="AZ50" s="2875"/>
      <c r="BA50" s="2875"/>
      <c r="BB50" s="2875"/>
      <c r="BC50" s="2875"/>
      <c r="BD50" s="2875"/>
      <c r="BE50" s="2875"/>
      <c r="BF50" s="2875"/>
      <c r="BG50" s="2875"/>
    </row>
    <row r="51" spans="1:59" ht="13.5" customHeight="1">
      <c r="A51" s="90"/>
      <c r="B51" s="82">
        <f t="shared" si="0"/>
        <v>2034</v>
      </c>
      <c r="C51" s="82"/>
      <c r="D51" s="117">
        <f>'Source VoT'!$D$27*VLOOKUP($B51,'Indirect tax correction'!$B$27:$I$127,5,FALSE)*VLOOKUP($B51,'Annual Parameters'!$B$33:$W$143,21,FALSE)/VLOOKUP('Source VoT'!$F$27,'Annual Parameters'!$B$33:$W$143,21,FALSE)*VLOOKUP($B$14,'Annual Parameters'!$B$33:$W$143,3,FALSE)/VLOOKUP('Source VoT'!$E$27,'Annual Parameters'!$B$33:$W$143,3,FALSE)</f>
        <v>20.675570826451061</v>
      </c>
      <c r="E51" s="73">
        <f>'Source VoT'!$D$28*VLOOKUP($B51,'Indirect tax correction'!$B$27:$I$127,5,FALSE)*VLOOKUP($B51,'Annual Parameters'!$B$33:$W$143,21,FALSE)/VLOOKUP('Source VoT'!$F$27,'Annual Parameters'!$B$33:$W$143,21,FALSE)*VLOOKUP($B$14,'Annual Parameters'!$B$33:$W$143,3,FALSE)/VLOOKUP('Source VoT'!$E$27,'Annual Parameters'!$B$33:$W$143,3,FALSE)</f>
        <v>20.675570826451061</v>
      </c>
      <c r="F51" s="73">
        <f>'Source VoT'!$D$29*VLOOKUP($B51,'Indirect tax correction'!$B$27:$I$127,5,FALSE)*VLOOKUP($B51,'Annual Parameters'!$B$33:$W$143,21,FALSE)/VLOOKUP('Source VoT'!$F$27,'Annual Parameters'!$B$33:$W$143,21,FALSE)*VLOOKUP($B$14,'Annual Parameters'!$B$33:$W$143,3,FALSE)/VLOOKUP('Source VoT'!$E$27,'Annual Parameters'!$B$33:$W$143,3,FALSE)</f>
        <v>14.236727851542076</v>
      </c>
      <c r="G51" s="73">
        <f>'Source VoT'!$D$30*VLOOKUP($B51,'Indirect tax correction'!$B$27:$I$127,5,FALSE)*VLOOKUP($B51,'Annual Parameters'!$B$33:$W$143,21,FALSE)/VLOOKUP('Source VoT'!$F$27,'Annual Parameters'!$B$33:$W$143,21,FALSE)*VLOOKUP($B$14,'Annual Parameters'!$B$33:$W$143,3,FALSE)/VLOOKUP('Source VoT'!$E$27,'Annual Parameters'!$B$33:$W$143,3,FALSE)</f>
        <v>16.774292769525267</v>
      </c>
      <c r="H51" s="73">
        <f>'Source VoT'!$D$31*VLOOKUP($B51,'Indirect tax correction'!$B$27:$I$127,5,FALSE)*VLOOKUP($B51,'Annual Parameters'!$B$33:$W$143,21,FALSE)/VLOOKUP('Source VoT'!$F$27,'Annual Parameters'!$B$33:$W$143,21,FALSE)*VLOOKUP($B$14,'Annual Parameters'!$B$33:$W$143,3,FALSE)/VLOOKUP('Source VoT'!$E$27,'Annual Parameters'!$B$33:$W$143,3,FALSE)</f>
        <v>17.13680204352287</v>
      </c>
      <c r="I51" s="73">
        <f>'Source VoT'!$D$32*VLOOKUP($B51,'Indirect tax correction'!$B$27:$I$127,5,FALSE)*VLOOKUP($B51,'Annual Parameters'!$B$33:$W$143,21,FALSE)/VLOOKUP('Source VoT'!$F$27,'Annual Parameters'!$B$33:$W$143,21,FALSE)*VLOOKUP($B$14,'Annual Parameters'!$B$33:$W$143,3,FALSE)/VLOOKUP('Source VoT'!$E$27,'Annual Parameters'!$B$33:$W$143,3,FALSE)</f>
        <v>11.716552244553693</v>
      </c>
      <c r="J51" s="73">
        <f>'Source VoT'!$D$33*VLOOKUP($B51,'Indirect tax correction'!$B$27:$I$127,5,FALSE)*VLOOKUP($B51,'Annual Parameters'!$B$33:$W$143,21,FALSE)/VLOOKUP('Source VoT'!$F$27,'Annual Parameters'!$B$33:$W$143,21,FALSE)*VLOOKUP($B$14,'Annual Parameters'!$B$33:$W$143,3,FALSE)/VLOOKUP('Source VoT'!$E$27,'Annual Parameters'!$B$33:$W$143,3,FALSE)</f>
        <v>15.143001036536072</v>
      </c>
      <c r="K51" s="73">
        <f>'Source VoT'!$D$34*VLOOKUP($B51,'Indirect tax correction'!$B$27:$I$127,5,FALSE)*VLOOKUP($B51,'Annual Parameters'!$B$33:$W$143,21,FALSE)/VLOOKUP('Source VoT'!$F$27,'Annual Parameters'!$B$33:$W$143,21,FALSE)*VLOOKUP($B$14,'Annual Parameters'!$B$33:$W$143,3,FALSE)/VLOOKUP('Source VoT'!$E$27,'Annual Parameters'!$B$33:$W$143,3,FALSE)</f>
        <v>20.675570826451061</v>
      </c>
      <c r="L51" s="73">
        <f>'Source VoT'!$D$35*VLOOKUP($B51,'Indirect tax correction'!$B$27:$I$127,5,FALSE)*VLOOKUP($B51,'Annual Parameters'!$B$33:$W$143,21,FALSE)/VLOOKUP('Source VoT'!$F$27,'Annual Parameters'!$B$33:$W$143,21,FALSE)*VLOOKUP($B$14,'Annual Parameters'!$B$33:$W$143,3,FALSE)/VLOOKUP('Source VoT'!$E$27,'Annual Parameters'!$B$33:$W$143,3,FALSE)</f>
        <v>34.104610168726886</v>
      </c>
      <c r="M51" s="73">
        <f>'Source VoT'!$D$36*VLOOKUP($B51,'Indirect tax correction'!$B$27:$I$127,5,FALSE)*VLOOKUP($B51,'Annual Parameters'!$B$33:$W$143,21,FALSE)/VLOOKUP('Source VoT'!$F$27,'Annual Parameters'!$B$33:$W$143,21,FALSE)*VLOOKUP($B$14,'Annual Parameters'!$B$33:$W$143,3,FALSE)/VLOOKUP('Source VoT'!$E$27,'Annual Parameters'!$B$33:$W$143,3,FALSE)</f>
        <v>11.716552244553693</v>
      </c>
      <c r="N51" s="73">
        <f>'Source VoT'!$D$37*VLOOKUP($B51,'Indirect tax correction'!$B$27:$I$127,5,FALSE)*VLOOKUP($B51,'Annual Parameters'!$B$33:$W$143,21,FALSE)/VLOOKUP('Source VoT'!$F$27,'Annual Parameters'!$B$33:$W$143,21,FALSE)*VLOOKUP($B$14,'Annual Parameters'!$B$33:$W$143,3,FALSE)/VLOOKUP('Source VoT'!$E$27,'Annual Parameters'!$B$33:$W$143,3,FALSE)</f>
        <v>11.716552244553693</v>
      </c>
      <c r="O51" s="73">
        <f>'Source VoT'!$D$38*VLOOKUP($B51,'Indirect tax correction'!$B$27:$I$127,5,FALSE)*VLOOKUP($B51,'Annual Parameters'!$B$33:$W$143,21,FALSE)/VLOOKUP('Source VoT'!$F$27,'Annual Parameters'!$B$33:$W$143,21,FALSE)*VLOOKUP($B$14,'Annual Parameters'!$B$33:$W$143,3,FALSE)/VLOOKUP('Source VoT'!$E$27,'Annual Parameters'!$B$33:$W$143,3,FALSE)</f>
        <v>11.716552244553693</v>
      </c>
      <c r="P51" s="73">
        <f>'Source VoT'!$D$39*VLOOKUP($B51,'Indirect tax correction'!$B$27:$I$127,5,FALSE)*VLOOKUP($B51,'Annual Parameters'!$B$33:$W$143,21,FALSE)/VLOOKUP('Source VoT'!$F$27,'Annual Parameters'!$B$33:$W$143,21,FALSE)*VLOOKUP($B$14,'Annual Parameters'!$B$33:$W$143,3,FALSE)/VLOOKUP('Source VoT'!$E$27,'Annual Parameters'!$B$33:$W$143,3,FALSE)</f>
        <v>20.675570826451061</v>
      </c>
      <c r="Q51" s="74">
        <f>'Source VoT'!$D$40*VLOOKUP($B51,'Indirect tax correction'!$B$27:$I$127,5,FALSE)*VLOOKUP($B51,'Annual Parameters'!$B$33:$W$143,21,FALSE)/VLOOKUP('Source VoT'!$F$27,'Annual Parameters'!$B$33:$W$143,21,FALSE)*VLOOKUP($B$14,'Annual Parameters'!$B$33:$W$143,3,FALSE)/VLOOKUP('Source VoT'!$E$27,'Annual Parameters'!$B$33:$W$143,3,FALSE)</f>
        <v>22.520414587683703</v>
      </c>
      <c r="R51" s="73">
        <f>'Source VoT'!$D$45*VLOOKUP($B51,'Indirect tax correction'!$B$27:$I$127,6,FALSE)*VLOOKUP($B51,'Annual Parameters'!$B$33:$W$143,22,FALSE)/VLOOKUP('Source VoT'!$F$27,'Annual Parameters'!$B$33:$W$143,22,FALSE)*VLOOKUP($B$14,'Annual Parameters'!$B$33:$W$143,3,FALSE)/VLOOKUP('Source VoT'!$E$27,'Annual Parameters'!$B$33:$W$143,3,FALSE)</f>
        <v>11.633632596960458</v>
      </c>
      <c r="S51" s="73">
        <f>'Source VoT'!$D$46*VLOOKUP($B51,'Indirect tax correction'!$B$27:$I$127,6,FALSE)*VLOOKUP($B51,'Annual Parameters'!$B$33:$W$143,22,FALSE)/VLOOKUP('Source VoT'!$F$27,'Annual Parameters'!$B$33:$W$143,22,FALSE)*VLOOKUP($B$14,'Annual Parameters'!$B$33:$W$143,3,FALSE)/VLOOKUP('Source VoT'!$E$27,'Annual Parameters'!$B$33:$W$143,3,FALSE)</f>
        <v>5.3099390439798064</v>
      </c>
      <c r="T51" s="117">
        <f>'Source VoT'!$D$27*1*VLOOKUP($B51,'Annual Parameters'!$B$33:$W$143,21,FALSE)/VLOOKUP('Source VoT'!$F$27,'Annual Parameters'!$B$33:$W$143,21,FALSE)*VLOOKUP($B$14,'Annual Parameters'!$B$33:$W$143,3,FALSE)/VLOOKUP('Source VoT'!$E$27,'Annual Parameters'!$B$33:$W$143,3,FALSE)</f>
        <v>20.675570826451061</v>
      </c>
      <c r="U51" s="73">
        <f>'Source VoT'!$D$28*1*VLOOKUP($B51,'Annual Parameters'!$B$33:$W$143,21,FALSE)/VLOOKUP('Source VoT'!$F$27,'Annual Parameters'!$B$33:$W$143,21,FALSE)*VLOOKUP($B$14,'Annual Parameters'!$B$33:$W$143,3,FALSE)/VLOOKUP('Source VoT'!$E$27,'Annual Parameters'!$B$33:$W$143,3,FALSE)</f>
        <v>20.675570826451061</v>
      </c>
      <c r="V51" s="73">
        <f>'Source VoT'!$D$29*1*VLOOKUP($B51,'Annual Parameters'!$B$33:$W$143,21,FALSE)/VLOOKUP('Source VoT'!$F$27,'Annual Parameters'!$B$33:$W$143,21,FALSE)*VLOOKUP($B$14,'Annual Parameters'!$B$33:$W$143,3,FALSE)/VLOOKUP('Source VoT'!$E$27,'Annual Parameters'!$B$33:$W$143,3,FALSE)</f>
        <v>14.236727851542076</v>
      </c>
      <c r="W51" s="73">
        <f>'Source VoT'!$D$30*1*VLOOKUP($B51,'Annual Parameters'!$B$33:$W$143,21,FALSE)/VLOOKUP('Source VoT'!$F$27,'Annual Parameters'!$B$33:$W$143,21,FALSE)*VLOOKUP($B$14,'Annual Parameters'!$B$33:$W$143,3,FALSE)/VLOOKUP('Source VoT'!$E$27,'Annual Parameters'!$B$33:$W$143,3,FALSE)</f>
        <v>16.774292769525267</v>
      </c>
      <c r="X51" s="73">
        <f>'Source VoT'!$D$31*1*VLOOKUP($B51,'Annual Parameters'!$B$33:$W$143,21,FALSE)/VLOOKUP('Source VoT'!$F$27,'Annual Parameters'!$B$33:$W$143,21,FALSE)*VLOOKUP($B$14,'Annual Parameters'!$B$33:$W$143,3,FALSE)/VLOOKUP('Source VoT'!$E$27,'Annual Parameters'!$B$33:$W$143,3,FALSE)</f>
        <v>17.13680204352287</v>
      </c>
      <c r="Y51" s="73">
        <f>'Source VoT'!$D$32*1*VLOOKUP($B51,'Annual Parameters'!$B$33:$W$143,21,FALSE)/VLOOKUP('Source VoT'!$F$27,'Annual Parameters'!$B$33:$W$143,21,FALSE)*VLOOKUP($B$14,'Annual Parameters'!$B$33:$W$143,3,FALSE)/VLOOKUP('Source VoT'!$E$27,'Annual Parameters'!$B$33:$W$143,3,FALSE)</f>
        <v>11.716552244553693</v>
      </c>
      <c r="Z51" s="73">
        <f>'Source VoT'!$D$33*1*VLOOKUP($B51,'Annual Parameters'!$B$33:$W$143,21,FALSE)/VLOOKUP('Source VoT'!$F$27,'Annual Parameters'!$B$33:$W$143,21,FALSE)*VLOOKUP($B$14,'Annual Parameters'!$B$33:$W$143,3,FALSE)/VLOOKUP('Source VoT'!$E$27,'Annual Parameters'!$B$33:$W$143,3,FALSE)</f>
        <v>15.143001036536072</v>
      </c>
      <c r="AA51" s="73">
        <f>'Source VoT'!$D$34*1*VLOOKUP($B51,'Annual Parameters'!$B$33:$W$143,21,FALSE)/VLOOKUP('Source VoT'!$F$27,'Annual Parameters'!$B$33:$W$143,21,FALSE)*VLOOKUP($B$14,'Annual Parameters'!$B$33:$W$143,3,FALSE)/VLOOKUP('Source VoT'!$E$27,'Annual Parameters'!$B$33:$W$143,3,FALSE)</f>
        <v>20.675570826451061</v>
      </c>
      <c r="AB51" s="73">
        <f>'Source VoT'!$D$35*1*VLOOKUP($B51,'Annual Parameters'!$B$33:$W$143,21,FALSE)/VLOOKUP('Source VoT'!$F$27,'Annual Parameters'!$B$33:$W$143,21,FALSE)*VLOOKUP($B$14,'Annual Parameters'!$B$33:$W$143,3,FALSE)/VLOOKUP('Source VoT'!$E$27,'Annual Parameters'!$B$33:$W$143,3,FALSE)</f>
        <v>34.104610168726886</v>
      </c>
      <c r="AC51" s="73">
        <f>'Source VoT'!$D$36*1*VLOOKUP($B51,'Annual Parameters'!$B$33:$W$143,21,FALSE)/VLOOKUP('Source VoT'!$F$27,'Annual Parameters'!$B$33:$W$143,21,FALSE)*VLOOKUP($B$14,'Annual Parameters'!$B$33:$W$143,3,FALSE)/VLOOKUP('Source VoT'!$E$27,'Annual Parameters'!$B$33:$W$143,3,FALSE)</f>
        <v>11.716552244553693</v>
      </c>
      <c r="AD51" s="73">
        <f>'Source VoT'!$D$37*1*VLOOKUP($B51,'Annual Parameters'!$B$33:$W$143,21,FALSE)/VLOOKUP('Source VoT'!$F$27,'Annual Parameters'!$B$33:$W$143,21,FALSE)*VLOOKUP($B$14,'Annual Parameters'!$B$33:$W$143,3,FALSE)/VLOOKUP('Source VoT'!$E$27,'Annual Parameters'!$B$33:$W$143,3,FALSE)</f>
        <v>11.716552244553693</v>
      </c>
      <c r="AE51" s="73">
        <f>'Source VoT'!$D$38*1*VLOOKUP($B51,'Annual Parameters'!$B$33:$W$143,21,FALSE)/VLOOKUP('Source VoT'!$F$27,'Annual Parameters'!$B$33:$W$143,21,FALSE)*VLOOKUP($B$14,'Annual Parameters'!$B$33:$W$143,3,FALSE)/VLOOKUP('Source VoT'!$E$27,'Annual Parameters'!$B$33:$W$143,3,FALSE)</f>
        <v>11.716552244553693</v>
      </c>
      <c r="AF51" s="73">
        <f>'Source VoT'!$D$39*1*VLOOKUP($B51,'Annual Parameters'!$B$33:$W$143,21,FALSE)/VLOOKUP('Source VoT'!$F$27,'Annual Parameters'!$B$33:$W$143,21,FALSE)*VLOOKUP($B$14,'Annual Parameters'!$B$33:$W$143,3,FALSE)/VLOOKUP('Source VoT'!$E$27,'Annual Parameters'!$B$33:$W$143,3,FALSE)</f>
        <v>20.675570826451061</v>
      </c>
      <c r="AG51" s="74">
        <f>'Source VoT'!$D$40*1*VLOOKUP($B51,'Annual Parameters'!$B$33:$W$143,21,FALSE)/VLOOKUP('Source VoT'!$F$27,'Annual Parameters'!$B$33:$W$143,21,FALSE)*VLOOKUP($B$14,'Annual Parameters'!$B$33:$W$143,3,FALSE)/VLOOKUP('Source VoT'!$E$27,'Annual Parameters'!$B$33:$W$143,3,FALSE)</f>
        <v>22.520414587683703</v>
      </c>
      <c r="AH51" s="73">
        <f>'Source VoT'!$D$45*1*VLOOKUP($B51,'Annual Parameters'!$B$33:$W$143,22,FALSE)/VLOOKUP('Source VoT'!$F$27,'Annual Parameters'!$B$33:$W$143,22,FALSE)*VLOOKUP($B$14,'Annual Parameters'!$B$33:$W$143,3,FALSE)/VLOOKUP('Source VoT'!$E$27,'Annual Parameters'!$B$33:$W$143,3,FALSE)</f>
        <v>13.844022790382946</v>
      </c>
      <c r="AI51" s="73">
        <f>'Source VoT'!$D$46*1*VLOOKUP($B51,'Annual Parameters'!$B$33:$W$143,22,FALSE)/VLOOKUP('Source VoT'!$F$27,'Annual Parameters'!$B$33:$W$143,22,FALSE)*VLOOKUP($B$14,'Annual Parameters'!$B$33:$W$143,3,FALSE)/VLOOKUP('Source VoT'!$E$27,'Annual Parameters'!$B$33:$W$143,3,FALSE)</f>
        <v>6.3188274623359693</v>
      </c>
      <c r="AJ51" s="117">
        <f>'Source VoT'!$D$27*VLOOKUP($B51,'Indirect tax correction'!$B$27:$I$127,7,FALSE)*VLOOKUP($B51,'Annual Parameters'!$B$33:$W$143,21,FALSE)/VLOOKUP('Source VoT'!$F$27,'Annual Parameters'!$B$33:$W$143,21,FALSE)*VLOOKUP($B$14,'Annual Parameters'!$B$33:$W$143,3,FALSE)/VLOOKUP('Source VoT'!$E$27,'Annual Parameters'!$B$33:$W$143,3,FALSE)</f>
        <v>24.603929283476759</v>
      </c>
      <c r="AK51" s="73">
        <f>'Source VoT'!$D$28*VLOOKUP($B51,'Indirect tax correction'!$B$27:$I$127,7,FALSE)*VLOOKUP($B51,'Annual Parameters'!$B$33:$W$143,21,FALSE)/VLOOKUP('Source VoT'!$F$27,'Annual Parameters'!$B$33:$W$143,21,FALSE)*VLOOKUP($B$14,'Annual Parameters'!$B$33:$W$143,3,FALSE)/VLOOKUP('Source VoT'!$E$27,'Annual Parameters'!$B$33:$W$143,3,FALSE)</f>
        <v>24.603929283476759</v>
      </c>
      <c r="AL51" s="73">
        <f>'Source VoT'!$D$29*VLOOKUP($B51,'Indirect tax correction'!$B$27:$I$127,7,FALSE)*VLOOKUP($B51,'Annual Parameters'!$B$33:$W$143,21,FALSE)/VLOOKUP('Source VoT'!$F$27,'Annual Parameters'!$B$33:$W$143,21,FALSE)*VLOOKUP($B$14,'Annual Parameters'!$B$33:$W$143,3,FALSE)/VLOOKUP('Source VoT'!$E$27,'Annual Parameters'!$B$33:$W$143,3,FALSE)</f>
        <v>16.941706143335068</v>
      </c>
      <c r="AM51" s="73">
        <f>'Source VoT'!$D$30*VLOOKUP($B51,'Indirect tax correction'!$B$27:$I$127,7,FALSE)*VLOOKUP($B51,'Annual Parameters'!$B$33:$W$143,21,FALSE)/VLOOKUP('Source VoT'!$F$27,'Annual Parameters'!$B$33:$W$143,21,FALSE)*VLOOKUP($B$14,'Annual Parameters'!$B$33:$W$143,3,FALSE)/VLOOKUP('Source VoT'!$E$27,'Annual Parameters'!$B$33:$W$143,3,FALSE)</f>
        <v>19.961408395735067</v>
      </c>
      <c r="AN51" s="73">
        <f>'Source VoT'!$D$31*VLOOKUP($B51,'Indirect tax correction'!$B$27:$I$127,7,FALSE)*VLOOKUP($B51,'Annual Parameters'!$B$33:$W$143,21,FALSE)/VLOOKUP('Source VoT'!$F$27,'Annual Parameters'!$B$33:$W$143,21,FALSE)*VLOOKUP($B$14,'Annual Parameters'!$B$33:$W$143,3,FALSE)/VLOOKUP('Source VoT'!$E$27,'Annual Parameters'!$B$33:$W$143,3,FALSE)</f>
        <v>20.392794431792211</v>
      </c>
      <c r="AO51" s="73">
        <f>'Source VoT'!$D$32*VLOOKUP($B51,'Indirect tax correction'!$B$27:$I$127,7,FALSE)*VLOOKUP($B51,'Annual Parameters'!$B$33:$W$143,21,FALSE)/VLOOKUP('Source VoT'!$F$27,'Annual Parameters'!$B$33:$W$143,21,FALSE)*VLOOKUP($B$14,'Annual Parameters'!$B$33:$W$143,3,FALSE)/VLOOKUP('Source VoT'!$E$27,'Annual Parameters'!$B$33:$W$143,3,FALSE)</f>
        <v>13.942697171018894</v>
      </c>
      <c r="AP51" s="73">
        <f>'Source VoT'!$D$33*VLOOKUP($B51,'Indirect tax correction'!$B$27:$I$127,7,FALSE)*VLOOKUP($B51,'Annual Parameters'!$B$33:$W$143,21,FALSE)/VLOOKUP('Source VoT'!$F$27,'Annual Parameters'!$B$33:$W$143,21,FALSE)*VLOOKUP($B$14,'Annual Parameters'!$B$33:$W$143,3,FALSE)/VLOOKUP('Source VoT'!$E$27,'Annual Parameters'!$B$33:$W$143,3,FALSE)</f>
        <v>18.020171233477924</v>
      </c>
      <c r="AQ51" s="73">
        <f>'Source VoT'!$D$34*VLOOKUP($B51,'Indirect tax correction'!$B$27:$I$127,7,FALSE)*VLOOKUP($B51,'Annual Parameters'!$B$33:$W$143,21,FALSE)/VLOOKUP('Source VoT'!$F$27,'Annual Parameters'!$B$33:$W$143,21,FALSE)*VLOOKUP($B$14,'Annual Parameters'!$B$33:$W$143,3,FALSE)/VLOOKUP('Source VoT'!$E$27,'Annual Parameters'!$B$33:$W$143,3,FALSE)</f>
        <v>24.603929283476759</v>
      </c>
      <c r="AR51" s="73">
        <f>'Source VoT'!$D$35*VLOOKUP($B51,'Indirect tax correction'!$B$27:$I$127,7,FALSE)*VLOOKUP($B51,'Annual Parameters'!$B$33:$W$143,21,FALSE)/VLOOKUP('Source VoT'!$F$27,'Annual Parameters'!$B$33:$W$143,21,FALSE)*VLOOKUP($B$14,'Annual Parameters'!$B$33:$W$143,3,FALSE)/VLOOKUP('Source VoT'!$E$27,'Annual Parameters'!$B$33:$W$143,3,FALSE)</f>
        <v>40.584486100784993</v>
      </c>
      <c r="AS51" s="73">
        <f>'Source VoT'!$D$36*VLOOKUP($B51,'Indirect tax correction'!$B$27:$I$127,7,FALSE)*VLOOKUP($B51,'Annual Parameters'!$B$33:$W$143,21,FALSE)/VLOOKUP('Source VoT'!$F$27,'Annual Parameters'!$B$33:$W$143,21,FALSE)*VLOOKUP($B$14,'Annual Parameters'!$B$33:$W$143,3,FALSE)/VLOOKUP('Source VoT'!$E$27,'Annual Parameters'!$B$33:$W$143,3,FALSE)</f>
        <v>13.942697171018894</v>
      </c>
      <c r="AT51" s="73">
        <f>'Source VoT'!$D$37*VLOOKUP($B51,'Indirect tax correction'!$B$27:$I$127,7,FALSE)*VLOOKUP($B51,'Annual Parameters'!$B$33:$W$143,21,FALSE)/VLOOKUP('Source VoT'!$F$27,'Annual Parameters'!$B$33:$W$143,21,FALSE)*VLOOKUP($B$14,'Annual Parameters'!$B$33:$W$143,3,FALSE)/VLOOKUP('Source VoT'!$E$27,'Annual Parameters'!$B$33:$W$143,3,FALSE)</f>
        <v>13.942697171018894</v>
      </c>
      <c r="AU51" s="73">
        <f>'Source VoT'!$D$38*VLOOKUP($B51,'Indirect tax correction'!$B$27:$I$127,7,FALSE)*VLOOKUP($B51,'Annual Parameters'!$B$33:$W$143,21,FALSE)/VLOOKUP('Source VoT'!$F$27,'Annual Parameters'!$B$33:$W$143,21,FALSE)*VLOOKUP($B$14,'Annual Parameters'!$B$33:$W$143,3,FALSE)/VLOOKUP('Source VoT'!$E$27,'Annual Parameters'!$B$33:$W$143,3,FALSE)</f>
        <v>13.942697171018894</v>
      </c>
      <c r="AV51" s="73">
        <f>'Source VoT'!$D$39*VLOOKUP($B51,'Indirect tax correction'!$B$27:$I$127,7,FALSE)*VLOOKUP($B51,'Annual Parameters'!$B$33:$W$143,21,FALSE)/VLOOKUP('Source VoT'!$F$27,'Annual Parameters'!$B$33:$W$143,21,FALSE)*VLOOKUP($B$14,'Annual Parameters'!$B$33:$W$143,3,FALSE)/VLOOKUP('Source VoT'!$E$27,'Annual Parameters'!$B$33:$W$143,3,FALSE)</f>
        <v>24.603929283476759</v>
      </c>
      <c r="AW51" s="74">
        <f>'Source VoT'!$D$40*VLOOKUP($B51,'Indirect tax correction'!$B$27:$I$127,7,FALSE)*VLOOKUP($B51,'Annual Parameters'!$B$33:$W$143,21,FALSE)/VLOOKUP('Source VoT'!$F$27,'Annual Parameters'!$B$33:$W$143,21,FALSE)*VLOOKUP($B$14,'Annual Parameters'!$B$33:$W$143,3,FALSE)/VLOOKUP('Source VoT'!$E$27,'Annual Parameters'!$B$33:$W$143,3,FALSE)</f>
        <v>26.799293359343611</v>
      </c>
      <c r="AX51" s="73">
        <f>'Source VoT'!$D$45*VLOOKUP($B51,'Indirect tax correction'!$B$27:$I$127,8,FALSE)*VLOOKUP($B51,'Annual Parameters'!$B$33:$W$143,22,FALSE)/VLOOKUP('Source VoT'!$F$27,'Annual Parameters'!$B$33:$W$143,22,FALSE)*VLOOKUP($B$14,'Annual Parameters'!$B$33:$W$143,3,FALSE)/VLOOKUP('Source VoT'!$E$27,'Annual Parameters'!$B$33:$W$143,3,FALSE)</f>
        <v>13.844022790382946</v>
      </c>
      <c r="AY51" s="74">
        <f>'Source VoT'!$D$46*VLOOKUP($B51,'Indirect tax correction'!$B$27:$I$127,8,FALSE)*VLOOKUP($B51,'Annual Parameters'!$B$33:$W$143,22,FALSE)/VLOOKUP('Source VoT'!$F$27,'Annual Parameters'!$B$33:$W$143,22,FALSE)*VLOOKUP($B$14,'Annual Parameters'!$B$33:$W$143,3,FALSE)/VLOOKUP('Source VoT'!$E$27,'Annual Parameters'!$B$33:$W$143,3,FALSE)</f>
        <v>6.3188274623359693</v>
      </c>
      <c r="AZ51" s="2875"/>
      <c r="BA51" s="2875"/>
      <c r="BB51" s="2875"/>
      <c r="BC51" s="2875"/>
      <c r="BD51" s="2875"/>
      <c r="BE51" s="2875"/>
      <c r="BF51" s="2875"/>
      <c r="BG51" s="2875"/>
    </row>
    <row r="52" spans="1:59" ht="13.5" customHeight="1">
      <c r="A52" s="90"/>
      <c r="B52" s="82">
        <f t="shared" si="0"/>
        <v>2035</v>
      </c>
      <c r="C52" s="82"/>
      <c r="D52" s="117">
        <f>'Source VoT'!$D$27*VLOOKUP($B52,'Indirect tax correction'!$B$27:$I$127,5,FALSE)*VLOOKUP($B52,'Annual Parameters'!$B$33:$W$143,21,FALSE)/VLOOKUP('Source VoT'!$F$27,'Annual Parameters'!$B$33:$W$143,21,FALSE)*VLOOKUP($B$14,'Annual Parameters'!$B$33:$W$143,3,FALSE)/VLOOKUP('Source VoT'!$E$27,'Annual Parameters'!$B$33:$W$143,3,FALSE)</f>
        <v>21.070384328232386</v>
      </c>
      <c r="E52" s="73">
        <f>'Source VoT'!$D$28*VLOOKUP($B52,'Indirect tax correction'!$B$27:$I$127,5,FALSE)*VLOOKUP($B52,'Annual Parameters'!$B$33:$W$143,21,FALSE)/VLOOKUP('Source VoT'!$F$27,'Annual Parameters'!$B$33:$W$143,21,FALSE)*VLOOKUP($B$14,'Annual Parameters'!$B$33:$W$143,3,FALSE)/VLOOKUP('Source VoT'!$E$27,'Annual Parameters'!$B$33:$W$143,3,FALSE)</f>
        <v>21.070384328232386</v>
      </c>
      <c r="F52" s="73">
        <f>'Source VoT'!$D$29*VLOOKUP($B52,'Indirect tax correction'!$B$27:$I$127,5,FALSE)*VLOOKUP($B52,'Annual Parameters'!$B$33:$W$143,21,FALSE)/VLOOKUP('Source VoT'!$F$27,'Annual Parameters'!$B$33:$W$143,21,FALSE)*VLOOKUP($B$14,'Annual Parameters'!$B$33:$W$143,3,FALSE)/VLOOKUP('Source VoT'!$E$27,'Annual Parameters'!$B$33:$W$143,3,FALSE)</f>
        <v>14.508587449719847</v>
      </c>
      <c r="G52" s="73">
        <f>'Source VoT'!$D$30*VLOOKUP($B52,'Indirect tax correction'!$B$27:$I$127,5,FALSE)*VLOOKUP($B52,'Annual Parameters'!$B$33:$W$143,21,FALSE)/VLOOKUP('Source VoT'!$F$27,'Annual Parameters'!$B$33:$W$143,21,FALSE)*VLOOKUP($B$14,'Annual Parameters'!$B$33:$W$143,3,FALSE)/VLOOKUP('Source VoT'!$E$27,'Annual Parameters'!$B$33:$W$143,3,FALSE)</f>
        <v>17.094608823859726</v>
      </c>
      <c r="H52" s="73">
        <f>'Source VoT'!$D$31*VLOOKUP($B52,'Indirect tax correction'!$B$27:$I$127,5,FALSE)*VLOOKUP($B52,'Annual Parameters'!$B$33:$W$143,21,FALSE)/VLOOKUP('Source VoT'!$F$27,'Annual Parameters'!$B$33:$W$143,21,FALSE)*VLOOKUP($B$14,'Annual Parameters'!$B$33:$W$143,3,FALSE)/VLOOKUP('Source VoT'!$E$27,'Annual Parameters'!$B$33:$W$143,3,FALSE)</f>
        <v>17.464040448736856</v>
      </c>
      <c r="I52" s="73">
        <f>'Source VoT'!$D$32*VLOOKUP($B52,'Indirect tax correction'!$B$27:$I$127,5,FALSE)*VLOOKUP($B52,'Annual Parameters'!$B$33:$W$143,21,FALSE)/VLOOKUP('Source VoT'!$F$27,'Annual Parameters'!$B$33:$W$143,21,FALSE)*VLOOKUP($B$14,'Annual Parameters'!$B$33:$W$143,3,FALSE)/VLOOKUP('Source VoT'!$E$27,'Annual Parameters'!$B$33:$W$143,3,FALSE)</f>
        <v>11.940287446803014</v>
      </c>
      <c r="J52" s="73">
        <f>'Source VoT'!$D$33*VLOOKUP($B52,'Indirect tax correction'!$B$27:$I$127,5,FALSE)*VLOOKUP($B52,'Annual Parameters'!$B$33:$W$143,21,FALSE)/VLOOKUP('Source VoT'!$F$27,'Annual Parameters'!$B$33:$W$143,21,FALSE)*VLOOKUP($B$14,'Annual Parameters'!$B$33:$W$143,3,FALSE)/VLOOKUP('Source VoT'!$E$27,'Annual Parameters'!$B$33:$W$143,3,FALSE)</f>
        <v>15.432166511912662</v>
      </c>
      <c r="K52" s="73">
        <f>'Source VoT'!$D$34*VLOOKUP($B52,'Indirect tax correction'!$B$27:$I$127,5,FALSE)*VLOOKUP($B52,'Annual Parameters'!$B$33:$W$143,21,FALSE)/VLOOKUP('Source VoT'!$F$27,'Annual Parameters'!$B$33:$W$143,21,FALSE)*VLOOKUP($B$14,'Annual Parameters'!$B$33:$W$143,3,FALSE)/VLOOKUP('Source VoT'!$E$27,'Annual Parameters'!$B$33:$W$143,3,FALSE)</f>
        <v>21.070384328232386</v>
      </c>
      <c r="L52" s="73">
        <f>'Source VoT'!$D$35*VLOOKUP($B52,'Indirect tax correction'!$B$27:$I$127,5,FALSE)*VLOOKUP($B52,'Annual Parameters'!$B$33:$W$143,21,FALSE)/VLOOKUP('Source VoT'!$F$27,'Annual Parameters'!$B$33:$W$143,21,FALSE)*VLOOKUP($B$14,'Annual Parameters'!$B$33:$W$143,3,FALSE)/VLOOKUP('Source VoT'!$E$27,'Annual Parameters'!$B$33:$W$143,3,FALSE)</f>
        <v>34.755859930130129</v>
      </c>
      <c r="M52" s="73">
        <f>'Source VoT'!$D$36*VLOOKUP($B52,'Indirect tax correction'!$B$27:$I$127,5,FALSE)*VLOOKUP($B52,'Annual Parameters'!$B$33:$W$143,21,FALSE)/VLOOKUP('Source VoT'!$F$27,'Annual Parameters'!$B$33:$W$143,21,FALSE)*VLOOKUP($B$14,'Annual Parameters'!$B$33:$W$143,3,FALSE)/VLOOKUP('Source VoT'!$E$27,'Annual Parameters'!$B$33:$W$143,3,FALSE)</f>
        <v>11.940287446803014</v>
      </c>
      <c r="N52" s="73">
        <f>'Source VoT'!$D$37*VLOOKUP($B52,'Indirect tax correction'!$B$27:$I$127,5,FALSE)*VLOOKUP($B52,'Annual Parameters'!$B$33:$W$143,21,FALSE)/VLOOKUP('Source VoT'!$F$27,'Annual Parameters'!$B$33:$W$143,21,FALSE)*VLOOKUP($B$14,'Annual Parameters'!$B$33:$W$143,3,FALSE)/VLOOKUP('Source VoT'!$E$27,'Annual Parameters'!$B$33:$W$143,3,FALSE)</f>
        <v>11.940287446803014</v>
      </c>
      <c r="O52" s="73">
        <f>'Source VoT'!$D$38*VLOOKUP($B52,'Indirect tax correction'!$B$27:$I$127,5,FALSE)*VLOOKUP($B52,'Annual Parameters'!$B$33:$W$143,21,FALSE)/VLOOKUP('Source VoT'!$F$27,'Annual Parameters'!$B$33:$W$143,21,FALSE)*VLOOKUP($B$14,'Annual Parameters'!$B$33:$W$143,3,FALSE)/VLOOKUP('Source VoT'!$E$27,'Annual Parameters'!$B$33:$W$143,3,FALSE)</f>
        <v>11.940287446803014</v>
      </c>
      <c r="P52" s="73">
        <f>'Source VoT'!$D$39*VLOOKUP($B52,'Indirect tax correction'!$B$27:$I$127,5,FALSE)*VLOOKUP($B52,'Annual Parameters'!$B$33:$W$143,21,FALSE)/VLOOKUP('Source VoT'!$F$27,'Annual Parameters'!$B$33:$W$143,21,FALSE)*VLOOKUP($B$14,'Annual Parameters'!$B$33:$W$143,3,FALSE)/VLOOKUP('Source VoT'!$E$27,'Annual Parameters'!$B$33:$W$143,3,FALSE)</f>
        <v>21.070384328232386</v>
      </c>
      <c r="Q52" s="74">
        <f>'Source VoT'!$D$40*VLOOKUP($B52,'Indirect tax correction'!$B$27:$I$127,5,FALSE)*VLOOKUP($B52,'Annual Parameters'!$B$33:$W$143,21,FALSE)/VLOOKUP('Source VoT'!$F$27,'Annual Parameters'!$B$33:$W$143,21,FALSE)*VLOOKUP($B$14,'Annual Parameters'!$B$33:$W$143,3,FALSE)/VLOOKUP('Source VoT'!$E$27,'Annual Parameters'!$B$33:$W$143,3,FALSE)</f>
        <v>22.950456583600722</v>
      </c>
      <c r="R52" s="73">
        <f>'Source VoT'!$D$45*VLOOKUP($B52,'Indirect tax correction'!$B$27:$I$127,6,FALSE)*VLOOKUP($B52,'Annual Parameters'!$B$33:$W$143,22,FALSE)/VLOOKUP('Source VoT'!$F$27,'Annual Parameters'!$B$33:$W$143,22,FALSE)*VLOOKUP($B$14,'Annual Parameters'!$B$33:$W$143,3,FALSE)/VLOOKUP('Source VoT'!$E$27,'Annual Parameters'!$B$33:$W$143,3,FALSE)</f>
        <v>11.855784394489898</v>
      </c>
      <c r="S52" s="73">
        <f>'Source VoT'!$D$46*VLOOKUP($B52,'Indirect tax correction'!$B$27:$I$127,6,FALSE)*VLOOKUP($B52,'Annual Parameters'!$B$33:$W$143,22,FALSE)/VLOOKUP('Source VoT'!$F$27,'Annual Parameters'!$B$33:$W$143,22,FALSE)*VLOOKUP($B$14,'Annual Parameters'!$B$33:$W$143,3,FALSE)/VLOOKUP('Source VoT'!$E$27,'Annual Parameters'!$B$33:$W$143,3,FALSE)</f>
        <v>5.4113357911746656</v>
      </c>
      <c r="T52" s="117">
        <f>'Source VoT'!$D$27*1*VLOOKUP($B52,'Annual Parameters'!$B$33:$W$143,21,FALSE)/VLOOKUP('Source VoT'!$F$27,'Annual Parameters'!$B$33:$W$143,21,FALSE)*VLOOKUP($B$14,'Annual Parameters'!$B$33:$W$143,3,FALSE)/VLOOKUP('Source VoT'!$E$27,'Annual Parameters'!$B$33:$W$143,3,FALSE)</f>
        <v>21.070384328232386</v>
      </c>
      <c r="U52" s="73">
        <f>'Source VoT'!$D$28*1*VLOOKUP($B52,'Annual Parameters'!$B$33:$W$143,21,FALSE)/VLOOKUP('Source VoT'!$F$27,'Annual Parameters'!$B$33:$W$143,21,FALSE)*VLOOKUP($B$14,'Annual Parameters'!$B$33:$W$143,3,FALSE)/VLOOKUP('Source VoT'!$E$27,'Annual Parameters'!$B$33:$W$143,3,FALSE)</f>
        <v>21.070384328232386</v>
      </c>
      <c r="V52" s="73">
        <f>'Source VoT'!$D$29*1*VLOOKUP($B52,'Annual Parameters'!$B$33:$W$143,21,FALSE)/VLOOKUP('Source VoT'!$F$27,'Annual Parameters'!$B$33:$W$143,21,FALSE)*VLOOKUP($B$14,'Annual Parameters'!$B$33:$W$143,3,FALSE)/VLOOKUP('Source VoT'!$E$27,'Annual Parameters'!$B$33:$W$143,3,FALSE)</f>
        <v>14.508587449719847</v>
      </c>
      <c r="W52" s="73">
        <f>'Source VoT'!$D$30*1*VLOOKUP($B52,'Annual Parameters'!$B$33:$W$143,21,FALSE)/VLOOKUP('Source VoT'!$F$27,'Annual Parameters'!$B$33:$W$143,21,FALSE)*VLOOKUP($B$14,'Annual Parameters'!$B$33:$W$143,3,FALSE)/VLOOKUP('Source VoT'!$E$27,'Annual Parameters'!$B$33:$W$143,3,FALSE)</f>
        <v>17.094608823859726</v>
      </c>
      <c r="X52" s="73">
        <f>'Source VoT'!$D$31*1*VLOOKUP($B52,'Annual Parameters'!$B$33:$W$143,21,FALSE)/VLOOKUP('Source VoT'!$F$27,'Annual Parameters'!$B$33:$W$143,21,FALSE)*VLOOKUP($B$14,'Annual Parameters'!$B$33:$W$143,3,FALSE)/VLOOKUP('Source VoT'!$E$27,'Annual Parameters'!$B$33:$W$143,3,FALSE)</f>
        <v>17.464040448736856</v>
      </c>
      <c r="Y52" s="73">
        <f>'Source VoT'!$D$32*1*VLOOKUP($B52,'Annual Parameters'!$B$33:$W$143,21,FALSE)/VLOOKUP('Source VoT'!$F$27,'Annual Parameters'!$B$33:$W$143,21,FALSE)*VLOOKUP($B$14,'Annual Parameters'!$B$33:$W$143,3,FALSE)/VLOOKUP('Source VoT'!$E$27,'Annual Parameters'!$B$33:$W$143,3,FALSE)</f>
        <v>11.940287446803014</v>
      </c>
      <c r="Z52" s="73">
        <f>'Source VoT'!$D$33*1*VLOOKUP($B52,'Annual Parameters'!$B$33:$W$143,21,FALSE)/VLOOKUP('Source VoT'!$F$27,'Annual Parameters'!$B$33:$W$143,21,FALSE)*VLOOKUP($B$14,'Annual Parameters'!$B$33:$W$143,3,FALSE)/VLOOKUP('Source VoT'!$E$27,'Annual Parameters'!$B$33:$W$143,3,FALSE)</f>
        <v>15.432166511912662</v>
      </c>
      <c r="AA52" s="73">
        <f>'Source VoT'!$D$34*1*VLOOKUP($B52,'Annual Parameters'!$B$33:$W$143,21,FALSE)/VLOOKUP('Source VoT'!$F$27,'Annual Parameters'!$B$33:$W$143,21,FALSE)*VLOOKUP($B$14,'Annual Parameters'!$B$33:$W$143,3,FALSE)/VLOOKUP('Source VoT'!$E$27,'Annual Parameters'!$B$33:$W$143,3,FALSE)</f>
        <v>21.070384328232386</v>
      </c>
      <c r="AB52" s="73">
        <f>'Source VoT'!$D$35*1*VLOOKUP($B52,'Annual Parameters'!$B$33:$W$143,21,FALSE)/VLOOKUP('Source VoT'!$F$27,'Annual Parameters'!$B$33:$W$143,21,FALSE)*VLOOKUP($B$14,'Annual Parameters'!$B$33:$W$143,3,FALSE)/VLOOKUP('Source VoT'!$E$27,'Annual Parameters'!$B$33:$W$143,3,FALSE)</f>
        <v>34.755859930130129</v>
      </c>
      <c r="AC52" s="73">
        <f>'Source VoT'!$D$36*1*VLOOKUP($B52,'Annual Parameters'!$B$33:$W$143,21,FALSE)/VLOOKUP('Source VoT'!$F$27,'Annual Parameters'!$B$33:$W$143,21,FALSE)*VLOOKUP($B$14,'Annual Parameters'!$B$33:$W$143,3,FALSE)/VLOOKUP('Source VoT'!$E$27,'Annual Parameters'!$B$33:$W$143,3,FALSE)</f>
        <v>11.940287446803014</v>
      </c>
      <c r="AD52" s="73">
        <f>'Source VoT'!$D$37*1*VLOOKUP($B52,'Annual Parameters'!$B$33:$W$143,21,FALSE)/VLOOKUP('Source VoT'!$F$27,'Annual Parameters'!$B$33:$W$143,21,FALSE)*VLOOKUP($B$14,'Annual Parameters'!$B$33:$W$143,3,FALSE)/VLOOKUP('Source VoT'!$E$27,'Annual Parameters'!$B$33:$W$143,3,FALSE)</f>
        <v>11.940287446803014</v>
      </c>
      <c r="AE52" s="73">
        <f>'Source VoT'!$D$38*1*VLOOKUP($B52,'Annual Parameters'!$B$33:$W$143,21,FALSE)/VLOOKUP('Source VoT'!$F$27,'Annual Parameters'!$B$33:$W$143,21,FALSE)*VLOOKUP($B$14,'Annual Parameters'!$B$33:$W$143,3,FALSE)/VLOOKUP('Source VoT'!$E$27,'Annual Parameters'!$B$33:$W$143,3,FALSE)</f>
        <v>11.940287446803014</v>
      </c>
      <c r="AF52" s="73">
        <f>'Source VoT'!$D$39*1*VLOOKUP($B52,'Annual Parameters'!$B$33:$W$143,21,FALSE)/VLOOKUP('Source VoT'!$F$27,'Annual Parameters'!$B$33:$W$143,21,FALSE)*VLOOKUP($B$14,'Annual Parameters'!$B$33:$W$143,3,FALSE)/VLOOKUP('Source VoT'!$E$27,'Annual Parameters'!$B$33:$W$143,3,FALSE)</f>
        <v>21.070384328232386</v>
      </c>
      <c r="AG52" s="74">
        <f>'Source VoT'!$D$40*1*VLOOKUP($B52,'Annual Parameters'!$B$33:$W$143,21,FALSE)/VLOOKUP('Source VoT'!$F$27,'Annual Parameters'!$B$33:$W$143,21,FALSE)*VLOOKUP($B$14,'Annual Parameters'!$B$33:$W$143,3,FALSE)/VLOOKUP('Source VoT'!$E$27,'Annual Parameters'!$B$33:$W$143,3,FALSE)</f>
        <v>22.950456583600722</v>
      </c>
      <c r="AH52" s="73">
        <f>'Source VoT'!$D$45*1*VLOOKUP($B52,'Annual Parameters'!$B$33:$W$143,22,FALSE)/VLOOKUP('Source VoT'!$F$27,'Annual Parameters'!$B$33:$W$143,22,FALSE)*VLOOKUP($B$14,'Annual Parameters'!$B$33:$W$143,3,FALSE)/VLOOKUP('Source VoT'!$E$27,'Annual Parameters'!$B$33:$W$143,3,FALSE)</f>
        <v>14.108383429442981</v>
      </c>
      <c r="AI52" s="73">
        <f>'Source VoT'!$D$46*1*VLOOKUP($B52,'Annual Parameters'!$B$33:$W$143,22,FALSE)/VLOOKUP('Source VoT'!$F$27,'Annual Parameters'!$B$33:$W$143,22,FALSE)*VLOOKUP($B$14,'Annual Parameters'!$B$33:$W$143,3,FALSE)/VLOOKUP('Source VoT'!$E$27,'Annual Parameters'!$B$33:$W$143,3,FALSE)</f>
        <v>6.4394895914978516</v>
      </c>
      <c r="AJ52" s="117">
        <f>'Source VoT'!$D$27*VLOOKUP($B52,'Indirect tax correction'!$B$27:$I$127,7,FALSE)*VLOOKUP($B52,'Annual Parameters'!$B$33:$W$143,21,FALSE)/VLOOKUP('Source VoT'!$F$27,'Annual Parameters'!$B$33:$W$143,21,FALSE)*VLOOKUP($B$14,'Annual Parameters'!$B$33:$W$143,3,FALSE)/VLOOKUP('Source VoT'!$E$27,'Annual Parameters'!$B$33:$W$143,3,FALSE)</f>
        <v>25.073757350596544</v>
      </c>
      <c r="AK52" s="73">
        <f>'Source VoT'!$D$28*VLOOKUP($B52,'Indirect tax correction'!$B$27:$I$127,7,FALSE)*VLOOKUP($B52,'Annual Parameters'!$B$33:$W$143,21,FALSE)/VLOOKUP('Source VoT'!$F$27,'Annual Parameters'!$B$33:$W$143,21,FALSE)*VLOOKUP($B$14,'Annual Parameters'!$B$33:$W$143,3,FALSE)/VLOOKUP('Source VoT'!$E$27,'Annual Parameters'!$B$33:$W$143,3,FALSE)</f>
        <v>25.073757350596544</v>
      </c>
      <c r="AL52" s="73">
        <f>'Source VoT'!$D$29*VLOOKUP($B52,'Indirect tax correction'!$B$27:$I$127,7,FALSE)*VLOOKUP($B52,'Annual Parameters'!$B$33:$W$143,21,FALSE)/VLOOKUP('Source VoT'!$F$27,'Annual Parameters'!$B$33:$W$143,21,FALSE)*VLOOKUP($B$14,'Annual Parameters'!$B$33:$W$143,3,FALSE)/VLOOKUP('Source VoT'!$E$27,'Annual Parameters'!$B$33:$W$143,3,FALSE)</f>
        <v>17.265219065166619</v>
      </c>
      <c r="AM52" s="73">
        <f>'Source VoT'!$D$30*VLOOKUP($B52,'Indirect tax correction'!$B$27:$I$127,7,FALSE)*VLOOKUP($B52,'Annual Parameters'!$B$33:$W$143,21,FALSE)/VLOOKUP('Source VoT'!$F$27,'Annual Parameters'!$B$33:$W$143,21,FALSE)*VLOOKUP($B$14,'Annual Parameters'!$B$33:$W$143,3,FALSE)/VLOOKUP('Source VoT'!$E$27,'Annual Parameters'!$B$33:$W$143,3,FALSE)</f>
        <v>20.342584500393073</v>
      </c>
      <c r="AN52" s="73">
        <f>'Source VoT'!$D$31*VLOOKUP($B52,'Indirect tax correction'!$B$27:$I$127,7,FALSE)*VLOOKUP($B52,'Annual Parameters'!$B$33:$W$143,21,FALSE)/VLOOKUP('Source VoT'!$F$27,'Annual Parameters'!$B$33:$W$143,21,FALSE)*VLOOKUP($B$14,'Annual Parameters'!$B$33:$W$143,3,FALSE)/VLOOKUP('Source VoT'!$E$27,'Annual Parameters'!$B$33:$W$143,3,FALSE)</f>
        <v>20.782208133996857</v>
      </c>
      <c r="AO52" s="73">
        <f>'Source VoT'!$D$32*VLOOKUP($B52,'Indirect tax correction'!$B$27:$I$127,7,FALSE)*VLOOKUP($B52,'Annual Parameters'!$B$33:$W$143,21,FALSE)/VLOOKUP('Source VoT'!$F$27,'Annual Parameters'!$B$33:$W$143,21,FALSE)*VLOOKUP($B$14,'Annual Parameters'!$B$33:$W$143,3,FALSE)/VLOOKUP('Source VoT'!$E$27,'Annual Parameters'!$B$33:$W$143,3,FALSE)</f>
        <v>14.208942061695582</v>
      </c>
      <c r="AP52" s="73">
        <f>'Source VoT'!$D$33*VLOOKUP($B52,'Indirect tax correction'!$B$27:$I$127,7,FALSE)*VLOOKUP($B52,'Annual Parameters'!$B$33:$W$143,21,FALSE)/VLOOKUP('Source VoT'!$F$27,'Annual Parameters'!$B$33:$W$143,21,FALSE)*VLOOKUP($B$14,'Annual Parameters'!$B$33:$W$143,3,FALSE)/VLOOKUP('Source VoT'!$E$27,'Annual Parameters'!$B$33:$W$143,3,FALSE)</f>
        <v>18.364278149176066</v>
      </c>
      <c r="AQ52" s="73">
        <f>'Source VoT'!$D$34*VLOOKUP($B52,'Indirect tax correction'!$B$27:$I$127,7,FALSE)*VLOOKUP($B52,'Annual Parameters'!$B$33:$W$143,21,FALSE)/VLOOKUP('Source VoT'!$F$27,'Annual Parameters'!$B$33:$W$143,21,FALSE)*VLOOKUP($B$14,'Annual Parameters'!$B$33:$W$143,3,FALSE)/VLOOKUP('Source VoT'!$E$27,'Annual Parameters'!$B$33:$W$143,3,FALSE)</f>
        <v>25.073757350596544</v>
      </c>
      <c r="AR52" s="73">
        <f>'Source VoT'!$D$35*VLOOKUP($B52,'Indirect tax correction'!$B$27:$I$127,7,FALSE)*VLOOKUP($B52,'Annual Parameters'!$B$33:$W$143,21,FALSE)/VLOOKUP('Source VoT'!$F$27,'Annual Parameters'!$B$33:$W$143,21,FALSE)*VLOOKUP($B$14,'Annual Parameters'!$B$33:$W$143,3,FALSE)/VLOOKUP('Source VoT'!$E$27,'Annual Parameters'!$B$33:$W$143,3,FALSE)</f>
        <v>41.359473316854853</v>
      </c>
      <c r="AS52" s="73">
        <f>'Source VoT'!$D$36*VLOOKUP($B52,'Indirect tax correction'!$B$27:$I$127,7,FALSE)*VLOOKUP($B52,'Annual Parameters'!$B$33:$W$143,21,FALSE)/VLOOKUP('Source VoT'!$F$27,'Annual Parameters'!$B$33:$W$143,21,FALSE)*VLOOKUP($B$14,'Annual Parameters'!$B$33:$W$143,3,FALSE)/VLOOKUP('Source VoT'!$E$27,'Annual Parameters'!$B$33:$W$143,3,FALSE)</f>
        <v>14.208942061695582</v>
      </c>
      <c r="AT52" s="73">
        <f>'Source VoT'!$D$37*VLOOKUP($B52,'Indirect tax correction'!$B$27:$I$127,7,FALSE)*VLOOKUP($B52,'Annual Parameters'!$B$33:$W$143,21,FALSE)/VLOOKUP('Source VoT'!$F$27,'Annual Parameters'!$B$33:$W$143,21,FALSE)*VLOOKUP($B$14,'Annual Parameters'!$B$33:$W$143,3,FALSE)/VLOOKUP('Source VoT'!$E$27,'Annual Parameters'!$B$33:$W$143,3,FALSE)</f>
        <v>14.208942061695582</v>
      </c>
      <c r="AU52" s="73">
        <f>'Source VoT'!$D$38*VLOOKUP($B52,'Indirect tax correction'!$B$27:$I$127,7,FALSE)*VLOOKUP($B52,'Annual Parameters'!$B$33:$W$143,21,FALSE)/VLOOKUP('Source VoT'!$F$27,'Annual Parameters'!$B$33:$W$143,21,FALSE)*VLOOKUP($B$14,'Annual Parameters'!$B$33:$W$143,3,FALSE)/VLOOKUP('Source VoT'!$E$27,'Annual Parameters'!$B$33:$W$143,3,FALSE)</f>
        <v>14.208942061695582</v>
      </c>
      <c r="AV52" s="73">
        <f>'Source VoT'!$D$39*VLOOKUP($B52,'Indirect tax correction'!$B$27:$I$127,7,FALSE)*VLOOKUP($B52,'Annual Parameters'!$B$33:$W$143,21,FALSE)/VLOOKUP('Source VoT'!$F$27,'Annual Parameters'!$B$33:$W$143,21,FALSE)*VLOOKUP($B$14,'Annual Parameters'!$B$33:$W$143,3,FALSE)/VLOOKUP('Source VoT'!$E$27,'Annual Parameters'!$B$33:$W$143,3,FALSE)</f>
        <v>25.073757350596544</v>
      </c>
      <c r="AW52" s="74">
        <f>'Source VoT'!$D$40*VLOOKUP($B52,'Indirect tax correction'!$B$27:$I$127,7,FALSE)*VLOOKUP($B52,'Annual Parameters'!$B$33:$W$143,21,FALSE)/VLOOKUP('Source VoT'!$F$27,'Annual Parameters'!$B$33:$W$143,21,FALSE)*VLOOKUP($B$14,'Annual Parameters'!$B$33:$W$143,3,FALSE)/VLOOKUP('Source VoT'!$E$27,'Annual Parameters'!$B$33:$W$143,3,FALSE)</f>
        <v>27.311043334484861</v>
      </c>
      <c r="AX52" s="73">
        <f>'Source VoT'!$D$45*VLOOKUP($B52,'Indirect tax correction'!$B$27:$I$127,8,FALSE)*VLOOKUP($B52,'Annual Parameters'!$B$33:$W$143,22,FALSE)/VLOOKUP('Source VoT'!$F$27,'Annual Parameters'!$B$33:$W$143,22,FALSE)*VLOOKUP($B$14,'Annual Parameters'!$B$33:$W$143,3,FALSE)/VLOOKUP('Source VoT'!$E$27,'Annual Parameters'!$B$33:$W$143,3,FALSE)</f>
        <v>14.108383429442981</v>
      </c>
      <c r="AY52" s="74">
        <f>'Source VoT'!$D$46*VLOOKUP($B52,'Indirect tax correction'!$B$27:$I$127,8,FALSE)*VLOOKUP($B52,'Annual Parameters'!$B$33:$W$143,22,FALSE)/VLOOKUP('Source VoT'!$F$27,'Annual Parameters'!$B$33:$W$143,22,FALSE)*VLOOKUP($B$14,'Annual Parameters'!$B$33:$W$143,3,FALSE)/VLOOKUP('Source VoT'!$E$27,'Annual Parameters'!$B$33:$W$143,3,FALSE)</f>
        <v>6.4394895914978516</v>
      </c>
      <c r="AZ52" s="2875"/>
      <c r="BA52" s="2875"/>
      <c r="BB52" s="2875"/>
      <c r="BC52" s="2875"/>
      <c r="BD52" s="2875"/>
      <c r="BE52" s="2875"/>
      <c r="BF52" s="2875"/>
      <c r="BG52" s="2875"/>
    </row>
    <row r="53" spans="1:59" ht="13.5" customHeight="1">
      <c r="A53" s="90"/>
      <c r="B53" s="82">
        <f t="shared" si="0"/>
        <v>2036</v>
      </c>
      <c r="C53" s="82"/>
      <c r="D53" s="117">
        <f>'Source VoT'!$D$27*VLOOKUP($B53,'Indirect tax correction'!$B$27:$I$127,5,FALSE)*VLOOKUP($B53,'Annual Parameters'!$B$33:$W$143,21,FALSE)/VLOOKUP('Source VoT'!$F$27,'Annual Parameters'!$B$33:$W$143,21,FALSE)*VLOOKUP($B$14,'Annual Parameters'!$B$33:$W$143,3,FALSE)/VLOOKUP('Source VoT'!$E$27,'Annual Parameters'!$B$33:$W$143,3,FALSE)</f>
        <v>21.485454807415604</v>
      </c>
      <c r="E53" s="73">
        <f>'Source VoT'!$D$28*VLOOKUP($B53,'Indirect tax correction'!$B$27:$I$127,5,FALSE)*VLOOKUP($B53,'Annual Parameters'!$B$33:$W$143,21,FALSE)/VLOOKUP('Source VoT'!$F$27,'Annual Parameters'!$B$33:$W$143,21,FALSE)*VLOOKUP($B$14,'Annual Parameters'!$B$33:$W$143,3,FALSE)/VLOOKUP('Source VoT'!$E$27,'Annual Parameters'!$B$33:$W$143,3,FALSE)</f>
        <v>21.485454807415604</v>
      </c>
      <c r="F53" s="73">
        <f>'Source VoT'!$D$29*VLOOKUP($B53,'Indirect tax correction'!$B$27:$I$127,5,FALSE)*VLOOKUP($B53,'Annual Parameters'!$B$33:$W$143,21,FALSE)/VLOOKUP('Source VoT'!$F$27,'Annual Parameters'!$B$33:$W$143,21,FALSE)*VLOOKUP($B$14,'Annual Parameters'!$B$33:$W$143,3,FALSE)/VLOOKUP('Source VoT'!$E$27,'Annual Parameters'!$B$33:$W$143,3,FALSE)</f>
        <v>14.794395541836982</v>
      </c>
      <c r="G53" s="73">
        <f>'Source VoT'!$D$30*VLOOKUP($B53,'Indirect tax correction'!$B$27:$I$127,5,FALSE)*VLOOKUP($B53,'Annual Parameters'!$B$33:$W$143,21,FALSE)/VLOOKUP('Source VoT'!$F$27,'Annual Parameters'!$B$33:$W$143,21,FALSE)*VLOOKUP($B$14,'Annual Parameters'!$B$33:$W$143,3,FALSE)/VLOOKUP('Source VoT'!$E$27,'Annual Parameters'!$B$33:$W$143,3,FALSE)</f>
        <v>17.431359562025516</v>
      </c>
      <c r="H53" s="73">
        <f>'Source VoT'!$D$31*VLOOKUP($B53,'Indirect tax correction'!$B$27:$I$127,5,FALSE)*VLOOKUP($B53,'Annual Parameters'!$B$33:$W$143,21,FALSE)/VLOOKUP('Source VoT'!$F$27,'Annual Parameters'!$B$33:$W$143,21,FALSE)*VLOOKUP($B$14,'Annual Parameters'!$B$33:$W$143,3,FALSE)/VLOOKUP('Source VoT'!$E$27,'Annual Parameters'!$B$33:$W$143,3,FALSE)</f>
        <v>17.80806870776674</v>
      </c>
      <c r="I53" s="73">
        <f>'Source VoT'!$D$32*VLOOKUP($B53,'Indirect tax correction'!$B$27:$I$127,5,FALSE)*VLOOKUP($B53,'Annual Parameters'!$B$33:$W$143,21,FALSE)/VLOOKUP('Source VoT'!$F$27,'Annual Parameters'!$B$33:$W$143,21,FALSE)*VLOOKUP($B$14,'Annual Parameters'!$B$33:$W$143,3,FALSE)/VLOOKUP('Source VoT'!$E$27,'Annual Parameters'!$B$33:$W$143,3,FALSE)</f>
        <v>12.175501990350241</v>
      </c>
      <c r="J53" s="73">
        <f>'Source VoT'!$D$33*VLOOKUP($B53,'Indirect tax correction'!$B$27:$I$127,5,FALSE)*VLOOKUP($B53,'Annual Parameters'!$B$33:$W$143,21,FALSE)/VLOOKUP('Source VoT'!$F$27,'Annual Parameters'!$B$33:$W$143,21,FALSE)*VLOOKUP($B$14,'Annual Parameters'!$B$33:$W$143,3,FALSE)/VLOOKUP('Source VoT'!$E$27,'Annual Parameters'!$B$33:$W$143,3,FALSE)</f>
        <v>15.736168406190028</v>
      </c>
      <c r="K53" s="73">
        <f>'Source VoT'!$D$34*VLOOKUP($B53,'Indirect tax correction'!$B$27:$I$127,5,FALSE)*VLOOKUP($B53,'Annual Parameters'!$B$33:$W$143,21,FALSE)/VLOOKUP('Source VoT'!$F$27,'Annual Parameters'!$B$33:$W$143,21,FALSE)*VLOOKUP($B$14,'Annual Parameters'!$B$33:$W$143,3,FALSE)/VLOOKUP('Source VoT'!$E$27,'Annual Parameters'!$B$33:$W$143,3,FALSE)</f>
        <v>21.485454807415604</v>
      </c>
      <c r="L53" s="73">
        <f>'Source VoT'!$D$35*VLOOKUP($B53,'Indirect tax correction'!$B$27:$I$127,5,FALSE)*VLOOKUP($B53,'Annual Parameters'!$B$33:$W$143,21,FALSE)/VLOOKUP('Source VoT'!$F$27,'Annual Parameters'!$B$33:$W$143,21,FALSE)*VLOOKUP($B$14,'Annual Parameters'!$B$33:$W$143,3,FALSE)/VLOOKUP('Source VoT'!$E$27,'Annual Parameters'!$B$33:$W$143,3,FALSE)</f>
        <v>35.440523826663529</v>
      </c>
      <c r="M53" s="73">
        <f>'Source VoT'!$D$36*VLOOKUP($B53,'Indirect tax correction'!$B$27:$I$127,5,FALSE)*VLOOKUP($B53,'Annual Parameters'!$B$33:$W$143,21,FALSE)/VLOOKUP('Source VoT'!$F$27,'Annual Parameters'!$B$33:$W$143,21,FALSE)*VLOOKUP($B$14,'Annual Parameters'!$B$33:$W$143,3,FALSE)/VLOOKUP('Source VoT'!$E$27,'Annual Parameters'!$B$33:$W$143,3,FALSE)</f>
        <v>12.175501990350241</v>
      </c>
      <c r="N53" s="73">
        <f>'Source VoT'!$D$37*VLOOKUP($B53,'Indirect tax correction'!$B$27:$I$127,5,FALSE)*VLOOKUP($B53,'Annual Parameters'!$B$33:$W$143,21,FALSE)/VLOOKUP('Source VoT'!$F$27,'Annual Parameters'!$B$33:$W$143,21,FALSE)*VLOOKUP($B$14,'Annual Parameters'!$B$33:$W$143,3,FALSE)/VLOOKUP('Source VoT'!$E$27,'Annual Parameters'!$B$33:$W$143,3,FALSE)</f>
        <v>12.175501990350241</v>
      </c>
      <c r="O53" s="73">
        <f>'Source VoT'!$D$38*VLOOKUP($B53,'Indirect tax correction'!$B$27:$I$127,5,FALSE)*VLOOKUP($B53,'Annual Parameters'!$B$33:$W$143,21,FALSE)/VLOOKUP('Source VoT'!$F$27,'Annual Parameters'!$B$33:$W$143,21,FALSE)*VLOOKUP($B$14,'Annual Parameters'!$B$33:$W$143,3,FALSE)/VLOOKUP('Source VoT'!$E$27,'Annual Parameters'!$B$33:$W$143,3,FALSE)</f>
        <v>12.175501990350241</v>
      </c>
      <c r="P53" s="73">
        <f>'Source VoT'!$D$39*VLOOKUP($B53,'Indirect tax correction'!$B$27:$I$127,5,FALSE)*VLOOKUP($B53,'Annual Parameters'!$B$33:$W$143,21,FALSE)/VLOOKUP('Source VoT'!$F$27,'Annual Parameters'!$B$33:$W$143,21,FALSE)*VLOOKUP($B$14,'Annual Parameters'!$B$33:$W$143,3,FALSE)/VLOOKUP('Source VoT'!$E$27,'Annual Parameters'!$B$33:$W$143,3,FALSE)</f>
        <v>21.485454807415604</v>
      </c>
      <c r="Q53" s="74">
        <f>'Source VoT'!$D$40*VLOOKUP($B53,'Indirect tax correction'!$B$27:$I$127,5,FALSE)*VLOOKUP($B53,'Annual Parameters'!$B$33:$W$143,21,FALSE)/VLOOKUP('Source VoT'!$F$27,'Annual Parameters'!$B$33:$W$143,21,FALSE)*VLOOKUP($B$14,'Annual Parameters'!$B$33:$W$143,3,FALSE)/VLOOKUP('Source VoT'!$E$27,'Annual Parameters'!$B$33:$W$143,3,FALSE)</f>
        <v>23.402563050347268</v>
      </c>
      <c r="R53" s="73">
        <f>'Source VoT'!$D$45*VLOOKUP($B53,'Indirect tax correction'!$B$27:$I$127,6,FALSE)*VLOOKUP($B53,'Annual Parameters'!$B$33:$W$143,22,FALSE)/VLOOKUP('Source VoT'!$F$27,'Annual Parameters'!$B$33:$W$143,22,FALSE)*VLOOKUP($B$14,'Annual Parameters'!$B$33:$W$143,3,FALSE)/VLOOKUP('Source VoT'!$E$27,'Annual Parameters'!$B$33:$W$143,3,FALSE)</f>
        <v>12.089334292444072</v>
      </c>
      <c r="S53" s="73">
        <f>'Source VoT'!$D$46*VLOOKUP($B53,'Indirect tax correction'!$B$27:$I$127,6,FALSE)*VLOOKUP($B53,'Annual Parameters'!$B$33:$W$143,22,FALSE)/VLOOKUP('Source VoT'!$F$27,'Annual Parameters'!$B$33:$W$143,22,FALSE)*VLOOKUP($B$14,'Annual Parameters'!$B$33:$W$143,3,FALSE)/VLOOKUP('Source VoT'!$E$27,'Annual Parameters'!$B$33:$W$143,3,FALSE)</f>
        <v>5.5179349734617507</v>
      </c>
      <c r="T53" s="117">
        <f>'Source VoT'!$D$27*1*VLOOKUP($B53,'Annual Parameters'!$B$33:$W$143,21,FALSE)/VLOOKUP('Source VoT'!$F$27,'Annual Parameters'!$B$33:$W$143,21,FALSE)*VLOOKUP($B$14,'Annual Parameters'!$B$33:$W$143,3,FALSE)/VLOOKUP('Source VoT'!$E$27,'Annual Parameters'!$B$33:$W$143,3,FALSE)</f>
        <v>21.485454807415604</v>
      </c>
      <c r="U53" s="73">
        <f>'Source VoT'!$D$28*1*VLOOKUP($B53,'Annual Parameters'!$B$33:$W$143,21,FALSE)/VLOOKUP('Source VoT'!$F$27,'Annual Parameters'!$B$33:$W$143,21,FALSE)*VLOOKUP($B$14,'Annual Parameters'!$B$33:$W$143,3,FALSE)/VLOOKUP('Source VoT'!$E$27,'Annual Parameters'!$B$33:$W$143,3,FALSE)</f>
        <v>21.485454807415604</v>
      </c>
      <c r="V53" s="73">
        <f>'Source VoT'!$D$29*1*VLOOKUP($B53,'Annual Parameters'!$B$33:$W$143,21,FALSE)/VLOOKUP('Source VoT'!$F$27,'Annual Parameters'!$B$33:$W$143,21,FALSE)*VLOOKUP($B$14,'Annual Parameters'!$B$33:$W$143,3,FALSE)/VLOOKUP('Source VoT'!$E$27,'Annual Parameters'!$B$33:$W$143,3,FALSE)</f>
        <v>14.794395541836982</v>
      </c>
      <c r="W53" s="73">
        <f>'Source VoT'!$D$30*1*VLOOKUP($B53,'Annual Parameters'!$B$33:$W$143,21,FALSE)/VLOOKUP('Source VoT'!$F$27,'Annual Parameters'!$B$33:$W$143,21,FALSE)*VLOOKUP($B$14,'Annual Parameters'!$B$33:$W$143,3,FALSE)/VLOOKUP('Source VoT'!$E$27,'Annual Parameters'!$B$33:$W$143,3,FALSE)</f>
        <v>17.431359562025516</v>
      </c>
      <c r="X53" s="73">
        <f>'Source VoT'!$D$31*1*VLOOKUP($B53,'Annual Parameters'!$B$33:$W$143,21,FALSE)/VLOOKUP('Source VoT'!$F$27,'Annual Parameters'!$B$33:$W$143,21,FALSE)*VLOOKUP($B$14,'Annual Parameters'!$B$33:$W$143,3,FALSE)/VLOOKUP('Source VoT'!$E$27,'Annual Parameters'!$B$33:$W$143,3,FALSE)</f>
        <v>17.80806870776674</v>
      </c>
      <c r="Y53" s="73">
        <f>'Source VoT'!$D$32*1*VLOOKUP($B53,'Annual Parameters'!$B$33:$W$143,21,FALSE)/VLOOKUP('Source VoT'!$F$27,'Annual Parameters'!$B$33:$W$143,21,FALSE)*VLOOKUP($B$14,'Annual Parameters'!$B$33:$W$143,3,FALSE)/VLOOKUP('Source VoT'!$E$27,'Annual Parameters'!$B$33:$W$143,3,FALSE)</f>
        <v>12.175501990350241</v>
      </c>
      <c r="Z53" s="73">
        <f>'Source VoT'!$D$33*1*VLOOKUP($B53,'Annual Parameters'!$B$33:$W$143,21,FALSE)/VLOOKUP('Source VoT'!$F$27,'Annual Parameters'!$B$33:$W$143,21,FALSE)*VLOOKUP($B$14,'Annual Parameters'!$B$33:$W$143,3,FALSE)/VLOOKUP('Source VoT'!$E$27,'Annual Parameters'!$B$33:$W$143,3,FALSE)</f>
        <v>15.736168406190028</v>
      </c>
      <c r="AA53" s="73">
        <f>'Source VoT'!$D$34*1*VLOOKUP($B53,'Annual Parameters'!$B$33:$W$143,21,FALSE)/VLOOKUP('Source VoT'!$F$27,'Annual Parameters'!$B$33:$W$143,21,FALSE)*VLOOKUP($B$14,'Annual Parameters'!$B$33:$W$143,3,FALSE)/VLOOKUP('Source VoT'!$E$27,'Annual Parameters'!$B$33:$W$143,3,FALSE)</f>
        <v>21.485454807415604</v>
      </c>
      <c r="AB53" s="73">
        <f>'Source VoT'!$D$35*1*VLOOKUP($B53,'Annual Parameters'!$B$33:$W$143,21,FALSE)/VLOOKUP('Source VoT'!$F$27,'Annual Parameters'!$B$33:$W$143,21,FALSE)*VLOOKUP($B$14,'Annual Parameters'!$B$33:$W$143,3,FALSE)/VLOOKUP('Source VoT'!$E$27,'Annual Parameters'!$B$33:$W$143,3,FALSE)</f>
        <v>35.440523826663529</v>
      </c>
      <c r="AC53" s="73">
        <f>'Source VoT'!$D$36*1*VLOOKUP($B53,'Annual Parameters'!$B$33:$W$143,21,FALSE)/VLOOKUP('Source VoT'!$F$27,'Annual Parameters'!$B$33:$W$143,21,FALSE)*VLOOKUP($B$14,'Annual Parameters'!$B$33:$W$143,3,FALSE)/VLOOKUP('Source VoT'!$E$27,'Annual Parameters'!$B$33:$W$143,3,FALSE)</f>
        <v>12.175501990350241</v>
      </c>
      <c r="AD53" s="73">
        <f>'Source VoT'!$D$37*1*VLOOKUP($B53,'Annual Parameters'!$B$33:$W$143,21,FALSE)/VLOOKUP('Source VoT'!$F$27,'Annual Parameters'!$B$33:$W$143,21,FALSE)*VLOOKUP($B$14,'Annual Parameters'!$B$33:$W$143,3,FALSE)/VLOOKUP('Source VoT'!$E$27,'Annual Parameters'!$B$33:$W$143,3,FALSE)</f>
        <v>12.175501990350241</v>
      </c>
      <c r="AE53" s="73">
        <f>'Source VoT'!$D$38*1*VLOOKUP($B53,'Annual Parameters'!$B$33:$W$143,21,FALSE)/VLOOKUP('Source VoT'!$F$27,'Annual Parameters'!$B$33:$W$143,21,FALSE)*VLOOKUP($B$14,'Annual Parameters'!$B$33:$W$143,3,FALSE)/VLOOKUP('Source VoT'!$E$27,'Annual Parameters'!$B$33:$W$143,3,FALSE)</f>
        <v>12.175501990350241</v>
      </c>
      <c r="AF53" s="73">
        <f>'Source VoT'!$D$39*1*VLOOKUP($B53,'Annual Parameters'!$B$33:$W$143,21,FALSE)/VLOOKUP('Source VoT'!$F$27,'Annual Parameters'!$B$33:$W$143,21,FALSE)*VLOOKUP($B$14,'Annual Parameters'!$B$33:$W$143,3,FALSE)/VLOOKUP('Source VoT'!$E$27,'Annual Parameters'!$B$33:$W$143,3,FALSE)</f>
        <v>21.485454807415604</v>
      </c>
      <c r="AG53" s="74">
        <f>'Source VoT'!$D$40*1*VLOOKUP($B53,'Annual Parameters'!$B$33:$W$143,21,FALSE)/VLOOKUP('Source VoT'!$F$27,'Annual Parameters'!$B$33:$W$143,21,FALSE)*VLOOKUP($B$14,'Annual Parameters'!$B$33:$W$143,3,FALSE)/VLOOKUP('Source VoT'!$E$27,'Annual Parameters'!$B$33:$W$143,3,FALSE)</f>
        <v>23.402563050347268</v>
      </c>
      <c r="AH53" s="73">
        <f>'Source VoT'!$D$45*1*VLOOKUP($B53,'Annual Parameters'!$B$33:$W$143,22,FALSE)/VLOOKUP('Source VoT'!$F$27,'Annual Parameters'!$B$33:$W$143,22,FALSE)*VLOOKUP($B$14,'Annual Parameters'!$B$33:$W$143,3,FALSE)/VLOOKUP('Source VoT'!$E$27,'Annual Parameters'!$B$33:$W$143,3,FALSE)</f>
        <v>14.386307808008445</v>
      </c>
      <c r="AI53" s="73">
        <f>'Source VoT'!$D$46*1*VLOOKUP($B53,'Annual Parameters'!$B$33:$W$143,22,FALSE)/VLOOKUP('Source VoT'!$F$27,'Annual Parameters'!$B$33:$W$143,22,FALSE)*VLOOKUP($B$14,'Annual Parameters'!$B$33:$W$143,3,FALSE)/VLOOKUP('Source VoT'!$E$27,'Annual Parameters'!$B$33:$W$143,3,FALSE)</f>
        <v>6.5663426184194824</v>
      </c>
      <c r="AJ53" s="117">
        <f>'Source VoT'!$D$27*VLOOKUP($B53,'Indirect tax correction'!$B$27:$I$127,7,FALSE)*VLOOKUP($B53,'Annual Parameters'!$B$33:$W$143,21,FALSE)/VLOOKUP('Source VoT'!$F$27,'Annual Parameters'!$B$33:$W$143,21,FALSE)*VLOOKUP($B$14,'Annual Parameters'!$B$33:$W$143,3,FALSE)/VLOOKUP('Source VoT'!$E$27,'Annual Parameters'!$B$33:$W$143,3,FALSE)</f>
        <v>25.567691220824571</v>
      </c>
      <c r="AK53" s="73">
        <f>'Source VoT'!$D$28*VLOOKUP($B53,'Indirect tax correction'!$B$27:$I$127,7,FALSE)*VLOOKUP($B53,'Annual Parameters'!$B$33:$W$143,21,FALSE)/VLOOKUP('Source VoT'!$F$27,'Annual Parameters'!$B$33:$W$143,21,FALSE)*VLOOKUP($B$14,'Annual Parameters'!$B$33:$W$143,3,FALSE)/VLOOKUP('Source VoT'!$E$27,'Annual Parameters'!$B$33:$W$143,3,FALSE)</f>
        <v>25.567691220824571</v>
      </c>
      <c r="AL53" s="73">
        <f>'Source VoT'!$D$29*VLOOKUP($B53,'Indirect tax correction'!$B$27:$I$127,7,FALSE)*VLOOKUP($B53,'Annual Parameters'!$B$33:$W$143,21,FALSE)/VLOOKUP('Source VoT'!$F$27,'Annual Parameters'!$B$33:$W$143,21,FALSE)*VLOOKUP($B$14,'Annual Parameters'!$B$33:$W$143,3,FALSE)/VLOOKUP('Source VoT'!$E$27,'Annual Parameters'!$B$33:$W$143,3,FALSE)</f>
        <v>17.605330694786009</v>
      </c>
      <c r="AM53" s="73">
        <f>'Source VoT'!$D$30*VLOOKUP($B53,'Indirect tax correction'!$B$27:$I$127,7,FALSE)*VLOOKUP($B53,'Annual Parameters'!$B$33:$W$143,21,FALSE)/VLOOKUP('Source VoT'!$F$27,'Annual Parameters'!$B$33:$W$143,21,FALSE)*VLOOKUP($B$14,'Annual Parameters'!$B$33:$W$143,3,FALSE)/VLOOKUP('Source VoT'!$E$27,'Annual Parameters'!$B$33:$W$143,3,FALSE)</f>
        <v>20.743317878810362</v>
      </c>
      <c r="AN53" s="73">
        <f>'Source VoT'!$D$31*VLOOKUP($B53,'Indirect tax correction'!$B$27:$I$127,7,FALSE)*VLOOKUP($B53,'Annual Parameters'!$B$33:$W$143,21,FALSE)/VLOOKUP('Source VoT'!$F$27,'Annual Parameters'!$B$33:$W$143,21,FALSE)*VLOOKUP($B$14,'Annual Parameters'!$B$33:$W$143,3,FALSE)/VLOOKUP('Source VoT'!$E$27,'Annual Parameters'!$B$33:$W$143,3,FALSE)</f>
        <v>21.191601762242414</v>
      </c>
      <c r="AO53" s="73">
        <f>'Source VoT'!$D$32*VLOOKUP($B53,'Indirect tax correction'!$B$27:$I$127,7,FALSE)*VLOOKUP($B53,'Annual Parameters'!$B$33:$W$143,21,FALSE)/VLOOKUP('Source VoT'!$F$27,'Annual Parameters'!$B$33:$W$143,21,FALSE)*VLOOKUP($B$14,'Annual Parameters'!$B$33:$W$143,3,FALSE)/VLOOKUP('Source VoT'!$E$27,'Annual Parameters'!$B$33:$W$143,3,FALSE)</f>
        <v>14.488847368516785</v>
      </c>
      <c r="AP53" s="73">
        <f>'Source VoT'!$D$33*VLOOKUP($B53,'Indirect tax correction'!$B$27:$I$127,7,FALSE)*VLOOKUP($B53,'Annual Parameters'!$B$33:$W$143,21,FALSE)/VLOOKUP('Source VoT'!$F$27,'Annual Parameters'!$B$33:$W$143,21,FALSE)*VLOOKUP($B$14,'Annual Parameters'!$B$33:$W$143,3,FALSE)/VLOOKUP('Source VoT'!$E$27,'Annual Parameters'!$B$33:$W$143,3,FALSE)</f>
        <v>18.726040403366135</v>
      </c>
      <c r="AQ53" s="73">
        <f>'Source VoT'!$D$34*VLOOKUP($B53,'Indirect tax correction'!$B$27:$I$127,7,FALSE)*VLOOKUP($B53,'Annual Parameters'!$B$33:$W$143,21,FALSE)/VLOOKUP('Source VoT'!$F$27,'Annual Parameters'!$B$33:$W$143,21,FALSE)*VLOOKUP($B$14,'Annual Parameters'!$B$33:$W$143,3,FALSE)/VLOOKUP('Source VoT'!$E$27,'Annual Parameters'!$B$33:$W$143,3,FALSE)</f>
        <v>25.567691220824571</v>
      </c>
      <c r="AR53" s="73">
        <f>'Source VoT'!$D$35*VLOOKUP($B53,'Indirect tax correction'!$B$27:$I$127,7,FALSE)*VLOOKUP($B53,'Annual Parameters'!$B$33:$W$143,21,FALSE)/VLOOKUP('Source VoT'!$F$27,'Annual Parameters'!$B$33:$W$143,21,FALSE)*VLOOKUP($B$14,'Annual Parameters'!$B$33:$W$143,3,FALSE)/VLOOKUP('Source VoT'!$E$27,'Annual Parameters'!$B$33:$W$143,3,FALSE)</f>
        <v>42.174223353729602</v>
      </c>
      <c r="AS53" s="73">
        <f>'Source VoT'!$D$36*VLOOKUP($B53,'Indirect tax correction'!$B$27:$I$127,7,FALSE)*VLOOKUP($B53,'Annual Parameters'!$B$33:$W$143,21,FALSE)/VLOOKUP('Source VoT'!$F$27,'Annual Parameters'!$B$33:$W$143,21,FALSE)*VLOOKUP($B$14,'Annual Parameters'!$B$33:$W$143,3,FALSE)/VLOOKUP('Source VoT'!$E$27,'Annual Parameters'!$B$33:$W$143,3,FALSE)</f>
        <v>14.488847368516785</v>
      </c>
      <c r="AT53" s="73">
        <f>'Source VoT'!$D$37*VLOOKUP($B53,'Indirect tax correction'!$B$27:$I$127,7,FALSE)*VLOOKUP($B53,'Annual Parameters'!$B$33:$W$143,21,FALSE)/VLOOKUP('Source VoT'!$F$27,'Annual Parameters'!$B$33:$W$143,21,FALSE)*VLOOKUP($B$14,'Annual Parameters'!$B$33:$W$143,3,FALSE)/VLOOKUP('Source VoT'!$E$27,'Annual Parameters'!$B$33:$W$143,3,FALSE)</f>
        <v>14.488847368516785</v>
      </c>
      <c r="AU53" s="73">
        <f>'Source VoT'!$D$38*VLOOKUP($B53,'Indirect tax correction'!$B$27:$I$127,7,FALSE)*VLOOKUP($B53,'Annual Parameters'!$B$33:$W$143,21,FALSE)/VLOOKUP('Source VoT'!$F$27,'Annual Parameters'!$B$33:$W$143,21,FALSE)*VLOOKUP($B$14,'Annual Parameters'!$B$33:$W$143,3,FALSE)/VLOOKUP('Source VoT'!$E$27,'Annual Parameters'!$B$33:$W$143,3,FALSE)</f>
        <v>14.488847368516785</v>
      </c>
      <c r="AV53" s="73">
        <f>'Source VoT'!$D$39*VLOOKUP($B53,'Indirect tax correction'!$B$27:$I$127,7,FALSE)*VLOOKUP($B53,'Annual Parameters'!$B$33:$W$143,21,FALSE)/VLOOKUP('Source VoT'!$F$27,'Annual Parameters'!$B$33:$W$143,21,FALSE)*VLOOKUP($B$14,'Annual Parameters'!$B$33:$W$143,3,FALSE)/VLOOKUP('Source VoT'!$E$27,'Annual Parameters'!$B$33:$W$143,3,FALSE)</f>
        <v>25.567691220824571</v>
      </c>
      <c r="AW53" s="74">
        <f>'Source VoT'!$D$40*VLOOKUP($B53,'Indirect tax correction'!$B$27:$I$127,7,FALSE)*VLOOKUP($B53,'Annual Parameters'!$B$33:$W$143,21,FALSE)/VLOOKUP('Source VoT'!$F$27,'Annual Parameters'!$B$33:$W$143,21,FALSE)*VLOOKUP($B$14,'Annual Parameters'!$B$33:$W$143,3,FALSE)/VLOOKUP('Source VoT'!$E$27,'Annual Parameters'!$B$33:$W$143,3,FALSE)</f>
        <v>27.849050029913244</v>
      </c>
      <c r="AX53" s="73">
        <f>'Source VoT'!$D$45*VLOOKUP($B53,'Indirect tax correction'!$B$27:$I$127,8,FALSE)*VLOOKUP($B53,'Annual Parameters'!$B$33:$W$143,22,FALSE)/VLOOKUP('Source VoT'!$F$27,'Annual Parameters'!$B$33:$W$143,22,FALSE)*VLOOKUP($B$14,'Annual Parameters'!$B$33:$W$143,3,FALSE)/VLOOKUP('Source VoT'!$E$27,'Annual Parameters'!$B$33:$W$143,3,FALSE)</f>
        <v>14.386307808008445</v>
      </c>
      <c r="AY53" s="74">
        <f>'Source VoT'!$D$46*VLOOKUP($B53,'Indirect tax correction'!$B$27:$I$127,8,FALSE)*VLOOKUP($B53,'Annual Parameters'!$B$33:$W$143,22,FALSE)/VLOOKUP('Source VoT'!$F$27,'Annual Parameters'!$B$33:$W$143,22,FALSE)*VLOOKUP($B$14,'Annual Parameters'!$B$33:$W$143,3,FALSE)/VLOOKUP('Source VoT'!$E$27,'Annual Parameters'!$B$33:$W$143,3,FALSE)</f>
        <v>6.5663426184194824</v>
      </c>
      <c r="AZ53" s="2875"/>
      <c r="BA53" s="2875"/>
      <c r="BB53" s="2875"/>
      <c r="BC53" s="2875"/>
      <c r="BD53" s="2875"/>
      <c r="BE53" s="2875"/>
      <c r="BF53" s="2875"/>
      <c r="BG53" s="2875"/>
    </row>
    <row r="54" spans="1:59" ht="13.5" customHeight="1">
      <c r="A54" s="90"/>
      <c r="B54" s="82">
        <f t="shared" si="0"/>
        <v>2037</v>
      </c>
      <c r="C54" s="82"/>
      <c r="D54" s="117">
        <f>'Source VoT'!$D$27*VLOOKUP($B54,'Indirect tax correction'!$B$27:$I$127,5,FALSE)*VLOOKUP($B54,'Annual Parameters'!$B$33:$W$143,21,FALSE)/VLOOKUP('Source VoT'!$F$27,'Annual Parameters'!$B$33:$W$143,21,FALSE)*VLOOKUP($B$14,'Annual Parameters'!$B$33:$W$143,3,FALSE)/VLOOKUP('Source VoT'!$E$27,'Annual Parameters'!$B$33:$W$143,3,FALSE)</f>
        <v>21.91147577821296</v>
      </c>
      <c r="E54" s="73">
        <f>'Source VoT'!$D$28*VLOOKUP($B54,'Indirect tax correction'!$B$27:$I$127,5,FALSE)*VLOOKUP($B54,'Annual Parameters'!$B$33:$W$143,21,FALSE)/VLOOKUP('Source VoT'!$F$27,'Annual Parameters'!$B$33:$W$143,21,FALSE)*VLOOKUP($B$14,'Annual Parameters'!$B$33:$W$143,3,FALSE)/VLOOKUP('Source VoT'!$E$27,'Annual Parameters'!$B$33:$W$143,3,FALSE)</f>
        <v>21.91147577821296</v>
      </c>
      <c r="F54" s="73">
        <f>'Source VoT'!$D$29*VLOOKUP($B54,'Indirect tax correction'!$B$27:$I$127,5,FALSE)*VLOOKUP($B54,'Annual Parameters'!$B$33:$W$143,21,FALSE)/VLOOKUP('Source VoT'!$F$27,'Annual Parameters'!$B$33:$W$143,21,FALSE)*VLOOKUP($B$14,'Annual Parameters'!$B$33:$W$143,3,FALSE)/VLOOKUP('Source VoT'!$E$27,'Annual Parameters'!$B$33:$W$143,3,FALSE)</f>
        <v>15.087743893435206</v>
      </c>
      <c r="G54" s="73">
        <f>'Source VoT'!$D$30*VLOOKUP($B54,'Indirect tax correction'!$B$27:$I$127,5,FALSE)*VLOOKUP($B54,'Annual Parameters'!$B$33:$W$143,21,FALSE)/VLOOKUP('Source VoT'!$F$27,'Annual Parameters'!$B$33:$W$143,21,FALSE)*VLOOKUP($B$14,'Annual Parameters'!$B$33:$W$143,3,FALSE)/VLOOKUP('Source VoT'!$E$27,'Annual Parameters'!$B$33:$W$143,3,FALSE)</f>
        <v>17.776994541107683</v>
      </c>
      <c r="H54" s="73">
        <f>'Source VoT'!$D$31*VLOOKUP($B54,'Indirect tax correction'!$B$27:$I$127,5,FALSE)*VLOOKUP($B54,'Annual Parameters'!$B$33:$W$143,21,FALSE)/VLOOKUP('Source VoT'!$F$27,'Annual Parameters'!$B$33:$W$143,21,FALSE)*VLOOKUP($B$14,'Annual Parameters'!$B$33:$W$143,3,FALSE)/VLOOKUP('Source VoT'!$E$27,'Annual Parameters'!$B$33:$W$143,3,FALSE)</f>
        <v>18.161173205060894</v>
      </c>
      <c r="I54" s="73">
        <f>'Source VoT'!$D$32*VLOOKUP($B54,'Indirect tax correction'!$B$27:$I$127,5,FALSE)*VLOOKUP($B54,'Annual Parameters'!$B$33:$W$143,21,FALSE)/VLOOKUP('Source VoT'!$F$27,'Annual Parameters'!$B$33:$W$143,21,FALSE)*VLOOKUP($B$14,'Annual Parameters'!$B$33:$W$143,3,FALSE)/VLOOKUP('Source VoT'!$E$27,'Annual Parameters'!$B$33:$W$143,3,FALSE)</f>
        <v>12.416922021918943</v>
      </c>
      <c r="J54" s="73">
        <f>'Source VoT'!$D$33*VLOOKUP($B54,'Indirect tax correction'!$B$27:$I$127,5,FALSE)*VLOOKUP($B54,'Annual Parameters'!$B$33:$W$143,21,FALSE)/VLOOKUP('Source VoT'!$F$27,'Annual Parameters'!$B$33:$W$143,21,FALSE)*VLOOKUP($B$14,'Annual Parameters'!$B$33:$W$143,3,FALSE)/VLOOKUP('Source VoT'!$E$27,'Annual Parameters'!$B$33:$W$143,3,FALSE)</f>
        <v>16.048190553318232</v>
      </c>
      <c r="K54" s="73">
        <f>'Source VoT'!$D$34*VLOOKUP($B54,'Indirect tax correction'!$B$27:$I$127,5,FALSE)*VLOOKUP($B54,'Annual Parameters'!$B$33:$W$143,21,FALSE)/VLOOKUP('Source VoT'!$F$27,'Annual Parameters'!$B$33:$W$143,21,FALSE)*VLOOKUP($B$14,'Annual Parameters'!$B$33:$W$143,3,FALSE)/VLOOKUP('Source VoT'!$E$27,'Annual Parameters'!$B$33:$W$143,3,FALSE)</f>
        <v>21.91147577821296</v>
      </c>
      <c r="L54" s="73">
        <f>'Source VoT'!$D$35*VLOOKUP($B54,'Indirect tax correction'!$B$27:$I$127,5,FALSE)*VLOOKUP($B54,'Annual Parameters'!$B$33:$W$143,21,FALSE)/VLOOKUP('Source VoT'!$F$27,'Annual Parameters'!$B$33:$W$143,21,FALSE)*VLOOKUP($B$14,'Annual Parameters'!$B$33:$W$143,3,FALSE)/VLOOKUP('Source VoT'!$E$27,'Annual Parameters'!$B$33:$W$143,3,FALSE)</f>
        <v>36.143250694748772</v>
      </c>
      <c r="M54" s="73">
        <f>'Source VoT'!$D$36*VLOOKUP($B54,'Indirect tax correction'!$B$27:$I$127,5,FALSE)*VLOOKUP($B54,'Annual Parameters'!$B$33:$W$143,21,FALSE)/VLOOKUP('Source VoT'!$F$27,'Annual Parameters'!$B$33:$W$143,21,FALSE)*VLOOKUP($B$14,'Annual Parameters'!$B$33:$W$143,3,FALSE)/VLOOKUP('Source VoT'!$E$27,'Annual Parameters'!$B$33:$W$143,3,FALSE)</f>
        <v>12.416922021918943</v>
      </c>
      <c r="N54" s="73">
        <f>'Source VoT'!$D$37*VLOOKUP($B54,'Indirect tax correction'!$B$27:$I$127,5,FALSE)*VLOOKUP($B54,'Annual Parameters'!$B$33:$W$143,21,FALSE)/VLOOKUP('Source VoT'!$F$27,'Annual Parameters'!$B$33:$W$143,21,FALSE)*VLOOKUP($B$14,'Annual Parameters'!$B$33:$W$143,3,FALSE)/VLOOKUP('Source VoT'!$E$27,'Annual Parameters'!$B$33:$W$143,3,FALSE)</f>
        <v>12.416922021918943</v>
      </c>
      <c r="O54" s="73">
        <f>'Source VoT'!$D$38*VLOOKUP($B54,'Indirect tax correction'!$B$27:$I$127,5,FALSE)*VLOOKUP($B54,'Annual Parameters'!$B$33:$W$143,21,FALSE)/VLOOKUP('Source VoT'!$F$27,'Annual Parameters'!$B$33:$W$143,21,FALSE)*VLOOKUP($B$14,'Annual Parameters'!$B$33:$W$143,3,FALSE)/VLOOKUP('Source VoT'!$E$27,'Annual Parameters'!$B$33:$W$143,3,FALSE)</f>
        <v>12.416922021918943</v>
      </c>
      <c r="P54" s="73">
        <f>'Source VoT'!$D$39*VLOOKUP($B54,'Indirect tax correction'!$B$27:$I$127,5,FALSE)*VLOOKUP($B54,'Annual Parameters'!$B$33:$W$143,21,FALSE)/VLOOKUP('Source VoT'!$F$27,'Annual Parameters'!$B$33:$W$143,21,FALSE)*VLOOKUP($B$14,'Annual Parameters'!$B$33:$W$143,3,FALSE)/VLOOKUP('Source VoT'!$E$27,'Annual Parameters'!$B$33:$W$143,3,FALSE)</f>
        <v>21.91147577821296</v>
      </c>
      <c r="Q54" s="74">
        <f>'Source VoT'!$D$40*VLOOKUP($B54,'Indirect tax correction'!$B$27:$I$127,5,FALSE)*VLOOKUP($B54,'Annual Parameters'!$B$33:$W$143,21,FALSE)/VLOOKUP('Source VoT'!$F$27,'Annual Parameters'!$B$33:$W$143,21,FALSE)*VLOOKUP($B$14,'Annual Parameters'!$B$33:$W$143,3,FALSE)/VLOOKUP('Source VoT'!$E$27,'Annual Parameters'!$B$33:$W$143,3,FALSE)</f>
        <v>23.866597101253841</v>
      </c>
      <c r="R54" s="73">
        <f>'Source VoT'!$D$45*VLOOKUP($B54,'Indirect tax correction'!$B$27:$I$127,6,FALSE)*VLOOKUP($B54,'Annual Parameters'!$B$33:$W$143,22,FALSE)/VLOOKUP('Source VoT'!$F$27,'Annual Parameters'!$B$33:$W$143,22,FALSE)*VLOOKUP($B$14,'Annual Parameters'!$B$33:$W$143,3,FALSE)/VLOOKUP('Source VoT'!$E$27,'Annual Parameters'!$B$33:$W$143,3,FALSE)</f>
        <v>12.329045761329674</v>
      </c>
      <c r="S54" s="73">
        <f>'Source VoT'!$D$46*VLOOKUP($B54,'Indirect tax correction'!$B$27:$I$127,6,FALSE)*VLOOKUP($B54,'Annual Parameters'!$B$33:$W$143,22,FALSE)/VLOOKUP('Source VoT'!$F$27,'Annual Parameters'!$B$33:$W$143,22,FALSE)*VLOOKUP($B$14,'Annual Parameters'!$B$33:$W$143,3,FALSE)/VLOOKUP('Source VoT'!$E$27,'Annual Parameters'!$B$33:$W$143,3,FALSE)</f>
        <v>5.6273464816314309</v>
      </c>
      <c r="T54" s="117">
        <f>'Source VoT'!$D$27*1*VLOOKUP($B54,'Annual Parameters'!$B$33:$W$143,21,FALSE)/VLOOKUP('Source VoT'!$F$27,'Annual Parameters'!$B$33:$W$143,21,FALSE)*VLOOKUP($B$14,'Annual Parameters'!$B$33:$W$143,3,FALSE)/VLOOKUP('Source VoT'!$E$27,'Annual Parameters'!$B$33:$W$143,3,FALSE)</f>
        <v>21.91147577821296</v>
      </c>
      <c r="U54" s="73">
        <f>'Source VoT'!$D$28*1*VLOOKUP($B54,'Annual Parameters'!$B$33:$W$143,21,FALSE)/VLOOKUP('Source VoT'!$F$27,'Annual Parameters'!$B$33:$W$143,21,FALSE)*VLOOKUP($B$14,'Annual Parameters'!$B$33:$W$143,3,FALSE)/VLOOKUP('Source VoT'!$E$27,'Annual Parameters'!$B$33:$W$143,3,FALSE)</f>
        <v>21.91147577821296</v>
      </c>
      <c r="V54" s="73">
        <f>'Source VoT'!$D$29*1*VLOOKUP($B54,'Annual Parameters'!$B$33:$W$143,21,FALSE)/VLOOKUP('Source VoT'!$F$27,'Annual Parameters'!$B$33:$W$143,21,FALSE)*VLOOKUP($B$14,'Annual Parameters'!$B$33:$W$143,3,FALSE)/VLOOKUP('Source VoT'!$E$27,'Annual Parameters'!$B$33:$W$143,3,FALSE)</f>
        <v>15.087743893435206</v>
      </c>
      <c r="W54" s="73">
        <f>'Source VoT'!$D$30*1*VLOOKUP($B54,'Annual Parameters'!$B$33:$W$143,21,FALSE)/VLOOKUP('Source VoT'!$F$27,'Annual Parameters'!$B$33:$W$143,21,FALSE)*VLOOKUP($B$14,'Annual Parameters'!$B$33:$W$143,3,FALSE)/VLOOKUP('Source VoT'!$E$27,'Annual Parameters'!$B$33:$W$143,3,FALSE)</f>
        <v>17.776994541107683</v>
      </c>
      <c r="X54" s="73">
        <f>'Source VoT'!$D$31*1*VLOOKUP($B54,'Annual Parameters'!$B$33:$W$143,21,FALSE)/VLOOKUP('Source VoT'!$F$27,'Annual Parameters'!$B$33:$W$143,21,FALSE)*VLOOKUP($B$14,'Annual Parameters'!$B$33:$W$143,3,FALSE)/VLOOKUP('Source VoT'!$E$27,'Annual Parameters'!$B$33:$W$143,3,FALSE)</f>
        <v>18.161173205060894</v>
      </c>
      <c r="Y54" s="73">
        <f>'Source VoT'!$D$32*1*VLOOKUP($B54,'Annual Parameters'!$B$33:$W$143,21,FALSE)/VLOOKUP('Source VoT'!$F$27,'Annual Parameters'!$B$33:$W$143,21,FALSE)*VLOOKUP($B$14,'Annual Parameters'!$B$33:$W$143,3,FALSE)/VLOOKUP('Source VoT'!$E$27,'Annual Parameters'!$B$33:$W$143,3,FALSE)</f>
        <v>12.416922021918943</v>
      </c>
      <c r="Z54" s="73">
        <f>'Source VoT'!$D$33*1*VLOOKUP($B54,'Annual Parameters'!$B$33:$W$143,21,FALSE)/VLOOKUP('Source VoT'!$F$27,'Annual Parameters'!$B$33:$W$143,21,FALSE)*VLOOKUP($B$14,'Annual Parameters'!$B$33:$W$143,3,FALSE)/VLOOKUP('Source VoT'!$E$27,'Annual Parameters'!$B$33:$W$143,3,FALSE)</f>
        <v>16.048190553318232</v>
      </c>
      <c r="AA54" s="73">
        <f>'Source VoT'!$D$34*1*VLOOKUP($B54,'Annual Parameters'!$B$33:$W$143,21,FALSE)/VLOOKUP('Source VoT'!$F$27,'Annual Parameters'!$B$33:$W$143,21,FALSE)*VLOOKUP($B$14,'Annual Parameters'!$B$33:$W$143,3,FALSE)/VLOOKUP('Source VoT'!$E$27,'Annual Parameters'!$B$33:$W$143,3,FALSE)</f>
        <v>21.91147577821296</v>
      </c>
      <c r="AB54" s="73">
        <f>'Source VoT'!$D$35*1*VLOOKUP($B54,'Annual Parameters'!$B$33:$W$143,21,FALSE)/VLOOKUP('Source VoT'!$F$27,'Annual Parameters'!$B$33:$W$143,21,FALSE)*VLOOKUP($B$14,'Annual Parameters'!$B$33:$W$143,3,FALSE)/VLOOKUP('Source VoT'!$E$27,'Annual Parameters'!$B$33:$W$143,3,FALSE)</f>
        <v>36.143250694748772</v>
      </c>
      <c r="AC54" s="73">
        <f>'Source VoT'!$D$36*1*VLOOKUP($B54,'Annual Parameters'!$B$33:$W$143,21,FALSE)/VLOOKUP('Source VoT'!$F$27,'Annual Parameters'!$B$33:$W$143,21,FALSE)*VLOOKUP($B$14,'Annual Parameters'!$B$33:$W$143,3,FALSE)/VLOOKUP('Source VoT'!$E$27,'Annual Parameters'!$B$33:$W$143,3,FALSE)</f>
        <v>12.416922021918943</v>
      </c>
      <c r="AD54" s="73">
        <f>'Source VoT'!$D$37*1*VLOOKUP($B54,'Annual Parameters'!$B$33:$W$143,21,FALSE)/VLOOKUP('Source VoT'!$F$27,'Annual Parameters'!$B$33:$W$143,21,FALSE)*VLOOKUP($B$14,'Annual Parameters'!$B$33:$W$143,3,FALSE)/VLOOKUP('Source VoT'!$E$27,'Annual Parameters'!$B$33:$W$143,3,FALSE)</f>
        <v>12.416922021918943</v>
      </c>
      <c r="AE54" s="73">
        <f>'Source VoT'!$D$38*1*VLOOKUP($B54,'Annual Parameters'!$B$33:$W$143,21,FALSE)/VLOOKUP('Source VoT'!$F$27,'Annual Parameters'!$B$33:$W$143,21,FALSE)*VLOOKUP($B$14,'Annual Parameters'!$B$33:$W$143,3,FALSE)/VLOOKUP('Source VoT'!$E$27,'Annual Parameters'!$B$33:$W$143,3,FALSE)</f>
        <v>12.416922021918943</v>
      </c>
      <c r="AF54" s="73">
        <f>'Source VoT'!$D$39*1*VLOOKUP($B54,'Annual Parameters'!$B$33:$W$143,21,FALSE)/VLOOKUP('Source VoT'!$F$27,'Annual Parameters'!$B$33:$W$143,21,FALSE)*VLOOKUP($B$14,'Annual Parameters'!$B$33:$W$143,3,FALSE)/VLOOKUP('Source VoT'!$E$27,'Annual Parameters'!$B$33:$W$143,3,FALSE)</f>
        <v>21.91147577821296</v>
      </c>
      <c r="AG54" s="74">
        <f>'Source VoT'!$D$40*1*VLOOKUP($B54,'Annual Parameters'!$B$33:$W$143,21,FALSE)/VLOOKUP('Source VoT'!$F$27,'Annual Parameters'!$B$33:$W$143,21,FALSE)*VLOOKUP($B$14,'Annual Parameters'!$B$33:$W$143,3,FALSE)/VLOOKUP('Source VoT'!$E$27,'Annual Parameters'!$B$33:$W$143,3,FALSE)</f>
        <v>23.866597101253841</v>
      </c>
      <c r="AH54" s="73">
        <f>'Source VoT'!$D$45*1*VLOOKUP($B54,'Annual Parameters'!$B$33:$W$143,22,FALSE)/VLOOKUP('Source VoT'!$F$27,'Annual Parameters'!$B$33:$W$143,22,FALSE)*VLOOKUP($B$14,'Annual Parameters'!$B$33:$W$143,3,FALSE)/VLOOKUP('Source VoT'!$E$27,'Annual Parameters'!$B$33:$W$143,3,FALSE)</f>
        <v>14.671564455982312</v>
      </c>
      <c r="AI54" s="73">
        <f>'Source VoT'!$D$46*1*VLOOKUP($B54,'Annual Parameters'!$B$33:$W$143,22,FALSE)/VLOOKUP('Source VoT'!$F$27,'Annual Parameters'!$B$33:$W$143,22,FALSE)*VLOOKUP($B$14,'Annual Parameters'!$B$33:$W$143,3,FALSE)/VLOOKUP('Source VoT'!$E$27,'Annual Parameters'!$B$33:$W$143,3,FALSE)</f>
        <v>6.6965423131414026</v>
      </c>
      <c r="AJ54" s="117">
        <f>'Source VoT'!$D$27*VLOOKUP($B54,'Indirect tax correction'!$B$27:$I$127,7,FALSE)*VLOOKUP($B54,'Annual Parameters'!$B$33:$W$143,21,FALSE)/VLOOKUP('Source VoT'!$F$27,'Annual Parameters'!$B$33:$W$143,21,FALSE)*VLOOKUP($B$14,'Annual Parameters'!$B$33:$W$143,3,FALSE)/VLOOKUP('Source VoT'!$E$27,'Annual Parameters'!$B$33:$W$143,3,FALSE)</f>
        <v>26.074656176073425</v>
      </c>
      <c r="AK54" s="73">
        <f>'Source VoT'!$D$28*VLOOKUP($B54,'Indirect tax correction'!$B$27:$I$127,7,FALSE)*VLOOKUP($B54,'Annual Parameters'!$B$33:$W$143,21,FALSE)/VLOOKUP('Source VoT'!$F$27,'Annual Parameters'!$B$33:$W$143,21,FALSE)*VLOOKUP($B$14,'Annual Parameters'!$B$33:$W$143,3,FALSE)/VLOOKUP('Source VoT'!$E$27,'Annual Parameters'!$B$33:$W$143,3,FALSE)</f>
        <v>26.074656176073425</v>
      </c>
      <c r="AL54" s="73">
        <f>'Source VoT'!$D$29*VLOOKUP($B54,'Indirect tax correction'!$B$27:$I$127,7,FALSE)*VLOOKUP($B54,'Annual Parameters'!$B$33:$W$143,21,FALSE)/VLOOKUP('Source VoT'!$F$27,'Annual Parameters'!$B$33:$W$143,21,FALSE)*VLOOKUP($B$14,'Annual Parameters'!$B$33:$W$143,3,FALSE)/VLOOKUP('Source VoT'!$E$27,'Annual Parameters'!$B$33:$W$143,3,FALSE)</f>
        <v>17.954415233187895</v>
      </c>
      <c r="AM54" s="73">
        <f>'Source VoT'!$D$30*VLOOKUP($B54,'Indirect tax correction'!$B$27:$I$127,7,FALSE)*VLOOKUP($B54,'Annual Parameters'!$B$33:$W$143,21,FALSE)/VLOOKUP('Source VoT'!$F$27,'Annual Parameters'!$B$33:$W$143,21,FALSE)*VLOOKUP($B$14,'Annual Parameters'!$B$33:$W$143,3,FALSE)/VLOOKUP('Source VoT'!$E$27,'Annual Parameters'!$B$33:$W$143,3,FALSE)</f>
        <v>21.154623503918142</v>
      </c>
      <c r="AN54" s="73">
        <f>'Source VoT'!$D$31*VLOOKUP($B54,'Indirect tax correction'!$B$27:$I$127,7,FALSE)*VLOOKUP($B54,'Annual Parameters'!$B$33:$W$143,21,FALSE)/VLOOKUP('Source VoT'!$F$27,'Annual Parameters'!$B$33:$W$143,21,FALSE)*VLOOKUP($B$14,'Annual Parameters'!$B$33:$W$143,3,FALSE)/VLOOKUP('Source VoT'!$E$27,'Annual Parameters'!$B$33:$W$143,3,FALSE)</f>
        <v>21.611796114022464</v>
      </c>
      <c r="AO54" s="73">
        <f>'Source VoT'!$D$32*VLOOKUP($B54,'Indirect tax correction'!$B$27:$I$127,7,FALSE)*VLOOKUP($B54,'Annual Parameters'!$B$33:$W$143,21,FALSE)/VLOOKUP('Source VoT'!$F$27,'Annual Parameters'!$B$33:$W$143,21,FALSE)*VLOOKUP($B$14,'Annual Parameters'!$B$33:$W$143,3,FALSE)/VLOOKUP('Source VoT'!$E$27,'Annual Parameters'!$B$33:$W$143,3,FALSE)</f>
        <v>14.77613720608354</v>
      </c>
      <c r="AP54" s="73">
        <f>'Source VoT'!$D$33*VLOOKUP($B54,'Indirect tax correction'!$B$27:$I$127,7,FALSE)*VLOOKUP($B54,'Annual Parameters'!$B$33:$W$143,21,FALSE)/VLOOKUP('Source VoT'!$F$27,'Annual Parameters'!$B$33:$W$143,21,FALSE)*VLOOKUP($B$14,'Annual Parameters'!$B$33:$W$143,3,FALSE)/VLOOKUP('Source VoT'!$E$27,'Annual Parameters'!$B$33:$W$143,3,FALSE)</f>
        <v>19.097346758448694</v>
      </c>
      <c r="AQ54" s="73">
        <f>'Source VoT'!$D$34*VLOOKUP($B54,'Indirect tax correction'!$B$27:$I$127,7,FALSE)*VLOOKUP($B54,'Annual Parameters'!$B$33:$W$143,21,FALSE)/VLOOKUP('Source VoT'!$F$27,'Annual Parameters'!$B$33:$W$143,21,FALSE)*VLOOKUP($B$14,'Annual Parameters'!$B$33:$W$143,3,FALSE)/VLOOKUP('Source VoT'!$E$27,'Annual Parameters'!$B$33:$W$143,3,FALSE)</f>
        <v>26.074656176073425</v>
      </c>
      <c r="AR54" s="73">
        <f>'Source VoT'!$D$35*VLOOKUP($B54,'Indirect tax correction'!$B$27:$I$127,7,FALSE)*VLOOKUP($B54,'Annual Parameters'!$B$33:$W$143,21,FALSE)/VLOOKUP('Source VoT'!$F$27,'Annual Parameters'!$B$33:$W$143,21,FALSE)*VLOOKUP($B$14,'Annual Parameters'!$B$33:$W$143,3,FALSE)/VLOOKUP('Source VoT'!$E$27,'Annual Parameters'!$B$33:$W$143,3,FALSE)</f>
        <v>43.010468326751031</v>
      </c>
      <c r="AS54" s="73">
        <f>'Source VoT'!$D$36*VLOOKUP($B54,'Indirect tax correction'!$B$27:$I$127,7,FALSE)*VLOOKUP($B54,'Annual Parameters'!$B$33:$W$143,21,FALSE)/VLOOKUP('Source VoT'!$F$27,'Annual Parameters'!$B$33:$W$143,21,FALSE)*VLOOKUP($B$14,'Annual Parameters'!$B$33:$W$143,3,FALSE)/VLOOKUP('Source VoT'!$E$27,'Annual Parameters'!$B$33:$W$143,3,FALSE)</f>
        <v>14.77613720608354</v>
      </c>
      <c r="AT54" s="73">
        <f>'Source VoT'!$D$37*VLOOKUP($B54,'Indirect tax correction'!$B$27:$I$127,7,FALSE)*VLOOKUP($B54,'Annual Parameters'!$B$33:$W$143,21,FALSE)/VLOOKUP('Source VoT'!$F$27,'Annual Parameters'!$B$33:$W$143,21,FALSE)*VLOOKUP($B$14,'Annual Parameters'!$B$33:$W$143,3,FALSE)/VLOOKUP('Source VoT'!$E$27,'Annual Parameters'!$B$33:$W$143,3,FALSE)</f>
        <v>14.77613720608354</v>
      </c>
      <c r="AU54" s="73">
        <f>'Source VoT'!$D$38*VLOOKUP($B54,'Indirect tax correction'!$B$27:$I$127,7,FALSE)*VLOOKUP($B54,'Annual Parameters'!$B$33:$W$143,21,FALSE)/VLOOKUP('Source VoT'!$F$27,'Annual Parameters'!$B$33:$W$143,21,FALSE)*VLOOKUP($B$14,'Annual Parameters'!$B$33:$W$143,3,FALSE)/VLOOKUP('Source VoT'!$E$27,'Annual Parameters'!$B$33:$W$143,3,FALSE)</f>
        <v>14.77613720608354</v>
      </c>
      <c r="AV54" s="73">
        <f>'Source VoT'!$D$39*VLOOKUP($B54,'Indirect tax correction'!$B$27:$I$127,7,FALSE)*VLOOKUP($B54,'Annual Parameters'!$B$33:$W$143,21,FALSE)/VLOOKUP('Source VoT'!$F$27,'Annual Parameters'!$B$33:$W$143,21,FALSE)*VLOOKUP($B$14,'Annual Parameters'!$B$33:$W$143,3,FALSE)/VLOOKUP('Source VoT'!$E$27,'Annual Parameters'!$B$33:$W$143,3,FALSE)</f>
        <v>26.074656176073425</v>
      </c>
      <c r="AW54" s="74">
        <f>'Source VoT'!$D$40*VLOOKUP($B54,'Indirect tax correction'!$B$27:$I$127,7,FALSE)*VLOOKUP($B54,'Annual Parameters'!$B$33:$W$143,21,FALSE)/VLOOKUP('Source VoT'!$F$27,'Annual Parameters'!$B$33:$W$143,21,FALSE)*VLOOKUP($B$14,'Annual Parameters'!$B$33:$W$143,3,FALSE)/VLOOKUP('Source VoT'!$E$27,'Annual Parameters'!$B$33:$W$143,3,FALSE)</f>
        <v>28.401250550492072</v>
      </c>
      <c r="AX54" s="73">
        <f>'Source VoT'!$D$45*VLOOKUP($B54,'Indirect tax correction'!$B$27:$I$127,8,FALSE)*VLOOKUP($B54,'Annual Parameters'!$B$33:$W$143,22,FALSE)/VLOOKUP('Source VoT'!$F$27,'Annual Parameters'!$B$33:$W$143,22,FALSE)*VLOOKUP($B$14,'Annual Parameters'!$B$33:$W$143,3,FALSE)/VLOOKUP('Source VoT'!$E$27,'Annual Parameters'!$B$33:$W$143,3,FALSE)</f>
        <v>14.671564455982312</v>
      </c>
      <c r="AY54" s="74">
        <f>'Source VoT'!$D$46*VLOOKUP($B54,'Indirect tax correction'!$B$27:$I$127,8,FALSE)*VLOOKUP($B54,'Annual Parameters'!$B$33:$W$143,22,FALSE)/VLOOKUP('Source VoT'!$F$27,'Annual Parameters'!$B$33:$W$143,22,FALSE)*VLOOKUP($B$14,'Annual Parameters'!$B$33:$W$143,3,FALSE)/VLOOKUP('Source VoT'!$E$27,'Annual Parameters'!$B$33:$W$143,3,FALSE)</f>
        <v>6.6965423131414026</v>
      </c>
      <c r="AZ54" s="2875"/>
      <c r="BA54" s="2875"/>
      <c r="BB54" s="2875"/>
      <c r="BC54" s="2875"/>
      <c r="BD54" s="2875"/>
      <c r="BE54" s="2875"/>
      <c r="BF54" s="2875"/>
      <c r="BG54" s="2875"/>
    </row>
    <row r="55" spans="1:59" ht="13.5" customHeight="1">
      <c r="A55" s="90"/>
      <c r="B55" s="82">
        <f t="shared" si="0"/>
        <v>2038</v>
      </c>
      <c r="C55" s="82"/>
      <c r="D55" s="117">
        <f>'Source VoT'!$D$27*VLOOKUP($B55,'Indirect tax correction'!$B$27:$I$127,5,FALSE)*VLOOKUP($B55,'Annual Parameters'!$B$33:$W$143,21,FALSE)/VLOOKUP('Source VoT'!$F$27,'Annual Parameters'!$B$33:$W$143,21,FALSE)*VLOOKUP($B$14,'Annual Parameters'!$B$33:$W$143,3,FALSE)/VLOOKUP('Source VoT'!$E$27,'Annual Parameters'!$B$33:$W$143,3,FALSE)</f>
        <v>22.346428585278336</v>
      </c>
      <c r="E55" s="73">
        <f>'Source VoT'!$D$28*VLOOKUP($B55,'Indirect tax correction'!$B$27:$I$127,5,FALSE)*VLOOKUP($B55,'Annual Parameters'!$B$33:$W$143,21,FALSE)/VLOOKUP('Source VoT'!$F$27,'Annual Parameters'!$B$33:$W$143,21,FALSE)*VLOOKUP($B$14,'Annual Parameters'!$B$33:$W$143,3,FALSE)/VLOOKUP('Source VoT'!$E$27,'Annual Parameters'!$B$33:$W$143,3,FALSE)</f>
        <v>22.346428585278336</v>
      </c>
      <c r="F55" s="73">
        <f>'Source VoT'!$D$29*VLOOKUP($B55,'Indirect tax correction'!$B$27:$I$127,5,FALSE)*VLOOKUP($B55,'Annual Parameters'!$B$33:$W$143,21,FALSE)/VLOOKUP('Source VoT'!$F$27,'Annual Parameters'!$B$33:$W$143,21,FALSE)*VLOOKUP($B$14,'Annual Parameters'!$B$33:$W$143,3,FALSE)/VLOOKUP('Source VoT'!$E$27,'Annual Parameters'!$B$33:$W$143,3,FALSE)</f>
        <v>15.387242504352974</v>
      </c>
      <c r="G55" s="73">
        <f>'Source VoT'!$D$30*VLOOKUP($B55,'Indirect tax correction'!$B$27:$I$127,5,FALSE)*VLOOKUP($B55,'Annual Parameters'!$B$33:$W$143,21,FALSE)/VLOOKUP('Source VoT'!$F$27,'Annual Parameters'!$B$33:$W$143,21,FALSE)*VLOOKUP($B$14,'Annual Parameters'!$B$33:$W$143,3,FALSE)/VLOOKUP('Source VoT'!$E$27,'Annual Parameters'!$B$33:$W$143,3,FALSE)</f>
        <v>18.129876006286256</v>
      </c>
      <c r="H55" s="73">
        <f>'Source VoT'!$D$31*VLOOKUP($B55,'Indirect tax correction'!$B$27:$I$127,5,FALSE)*VLOOKUP($B55,'Annual Parameters'!$B$33:$W$143,21,FALSE)/VLOOKUP('Source VoT'!$F$27,'Annual Parameters'!$B$33:$W$143,21,FALSE)*VLOOKUP($B$14,'Annual Parameters'!$B$33:$W$143,3,FALSE)/VLOOKUP('Source VoT'!$E$27,'Annual Parameters'!$B$33:$W$143,3,FALSE)</f>
        <v>18.521680792276729</v>
      </c>
      <c r="I55" s="73">
        <f>'Source VoT'!$D$32*VLOOKUP($B55,'Indirect tax correction'!$B$27:$I$127,5,FALSE)*VLOOKUP($B55,'Annual Parameters'!$B$33:$W$143,21,FALSE)/VLOOKUP('Source VoT'!$F$27,'Annual Parameters'!$B$33:$W$143,21,FALSE)*VLOOKUP($B$14,'Annual Parameters'!$B$33:$W$143,3,FALSE)/VLOOKUP('Source VoT'!$E$27,'Annual Parameters'!$B$33:$W$143,3,FALSE)</f>
        <v>12.663403598203987</v>
      </c>
      <c r="J55" s="73">
        <f>'Source VoT'!$D$33*VLOOKUP($B55,'Indirect tax correction'!$B$27:$I$127,5,FALSE)*VLOOKUP($B55,'Annual Parameters'!$B$33:$W$143,21,FALSE)/VLOOKUP('Source VoT'!$F$27,'Annual Parameters'!$B$33:$W$143,21,FALSE)*VLOOKUP($B$14,'Annual Parameters'!$B$33:$W$143,3,FALSE)/VLOOKUP('Source VoT'!$E$27,'Annual Parameters'!$B$33:$W$143,3,FALSE)</f>
        <v>16.366754469329145</v>
      </c>
      <c r="K55" s="73">
        <f>'Source VoT'!$D$34*VLOOKUP($B55,'Indirect tax correction'!$B$27:$I$127,5,FALSE)*VLOOKUP($B55,'Annual Parameters'!$B$33:$W$143,21,FALSE)/VLOOKUP('Source VoT'!$F$27,'Annual Parameters'!$B$33:$W$143,21,FALSE)*VLOOKUP($B$14,'Annual Parameters'!$B$33:$W$143,3,FALSE)/VLOOKUP('Source VoT'!$E$27,'Annual Parameters'!$B$33:$W$143,3,FALSE)</f>
        <v>22.346428585278336</v>
      </c>
      <c r="L55" s="73">
        <f>'Source VoT'!$D$35*VLOOKUP($B55,'Indirect tax correction'!$B$27:$I$127,5,FALSE)*VLOOKUP($B55,'Annual Parameters'!$B$33:$W$143,21,FALSE)/VLOOKUP('Source VoT'!$F$27,'Annual Parameters'!$B$33:$W$143,21,FALSE)*VLOOKUP($B$14,'Annual Parameters'!$B$33:$W$143,3,FALSE)/VLOOKUP('Source VoT'!$E$27,'Annual Parameters'!$B$33:$W$143,3,FALSE)</f>
        <v>36.86071073738907</v>
      </c>
      <c r="M55" s="73">
        <f>'Source VoT'!$D$36*VLOOKUP($B55,'Indirect tax correction'!$B$27:$I$127,5,FALSE)*VLOOKUP($B55,'Annual Parameters'!$B$33:$W$143,21,FALSE)/VLOOKUP('Source VoT'!$F$27,'Annual Parameters'!$B$33:$W$143,21,FALSE)*VLOOKUP($B$14,'Annual Parameters'!$B$33:$W$143,3,FALSE)/VLOOKUP('Source VoT'!$E$27,'Annual Parameters'!$B$33:$W$143,3,FALSE)</f>
        <v>12.663403598203987</v>
      </c>
      <c r="N55" s="73">
        <f>'Source VoT'!$D$37*VLOOKUP($B55,'Indirect tax correction'!$B$27:$I$127,5,FALSE)*VLOOKUP($B55,'Annual Parameters'!$B$33:$W$143,21,FALSE)/VLOOKUP('Source VoT'!$F$27,'Annual Parameters'!$B$33:$W$143,21,FALSE)*VLOOKUP($B$14,'Annual Parameters'!$B$33:$W$143,3,FALSE)/VLOOKUP('Source VoT'!$E$27,'Annual Parameters'!$B$33:$W$143,3,FALSE)</f>
        <v>12.663403598203987</v>
      </c>
      <c r="O55" s="73">
        <f>'Source VoT'!$D$38*VLOOKUP($B55,'Indirect tax correction'!$B$27:$I$127,5,FALSE)*VLOOKUP($B55,'Annual Parameters'!$B$33:$W$143,21,FALSE)/VLOOKUP('Source VoT'!$F$27,'Annual Parameters'!$B$33:$W$143,21,FALSE)*VLOOKUP($B$14,'Annual Parameters'!$B$33:$W$143,3,FALSE)/VLOOKUP('Source VoT'!$E$27,'Annual Parameters'!$B$33:$W$143,3,FALSE)</f>
        <v>12.663403598203987</v>
      </c>
      <c r="P55" s="73">
        <f>'Source VoT'!$D$39*VLOOKUP($B55,'Indirect tax correction'!$B$27:$I$127,5,FALSE)*VLOOKUP($B55,'Annual Parameters'!$B$33:$W$143,21,FALSE)/VLOOKUP('Source VoT'!$F$27,'Annual Parameters'!$B$33:$W$143,21,FALSE)*VLOOKUP($B$14,'Annual Parameters'!$B$33:$W$143,3,FALSE)/VLOOKUP('Source VoT'!$E$27,'Annual Parameters'!$B$33:$W$143,3,FALSE)</f>
        <v>22.346428585278336</v>
      </c>
      <c r="Q55" s="74">
        <f>'Source VoT'!$D$40*VLOOKUP($B55,'Indirect tax correction'!$B$27:$I$127,5,FALSE)*VLOOKUP($B55,'Annual Parameters'!$B$33:$W$143,21,FALSE)/VLOOKUP('Source VoT'!$F$27,'Annual Parameters'!$B$33:$W$143,21,FALSE)*VLOOKUP($B$14,'Annual Parameters'!$B$33:$W$143,3,FALSE)/VLOOKUP('Source VoT'!$E$27,'Annual Parameters'!$B$33:$W$143,3,FALSE)</f>
        <v>24.340359960011657</v>
      </c>
      <c r="R55" s="73">
        <f>'Source VoT'!$D$45*VLOOKUP($B55,'Indirect tax correction'!$B$27:$I$127,6,FALSE)*VLOOKUP($B55,'Annual Parameters'!$B$33:$W$143,22,FALSE)/VLOOKUP('Source VoT'!$F$27,'Annual Parameters'!$B$33:$W$143,22,FALSE)*VLOOKUP($B$14,'Annual Parameters'!$B$33:$W$143,3,FALSE)/VLOOKUP('Source VoT'!$E$27,'Annual Parameters'!$B$33:$W$143,3,FALSE)</f>
        <v>12.573782953685281</v>
      </c>
      <c r="S55" s="73">
        <f>'Source VoT'!$D$46*VLOOKUP($B55,'Indirect tax correction'!$B$27:$I$127,6,FALSE)*VLOOKUP($B55,'Annual Parameters'!$B$33:$W$143,22,FALSE)/VLOOKUP('Source VoT'!$F$27,'Annual Parameters'!$B$33:$W$143,22,FALSE)*VLOOKUP($B$14,'Annual Parameters'!$B$33:$W$143,3,FALSE)/VLOOKUP('Source VoT'!$E$27,'Annual Parameters'!$B$33:$W$143,3,FALSE)</f>
        <v>5.7390518808153956</v>
      </c>
      <c r="T55" s="117">
        <f>'Source VoT'!$D$27*1*VLOOKUP($B55,'Annual Parameters'!$B$33:$W$143,21,FALSE)/VLOOKUP('Source VoT'!$F$27,'Annual Parameters'!$B$33:$W$143,21,FALSE)*VLOOKUP($B$14,'Annual Parameters'!$B$33:$W$143,3,FALSE)/VLOOKUP('Source VoT'!$E$27,'Annual Parameters'!$B$33:$W$143,3,FALSE)</f>
        <v>22.346428585278336</v>
      </c>
      <c r="U55" s="73">
        <f>'Source VoT'!$D$28*1*VLOOKUP($B55,'Annual Parameters'!$B$33:$W$143,21,FALSE)/VLOOKUP('Source VoT'!$F$27,'Annual Parameters'!$B$33:$W$143,21,FALSE)*VLOOKUP($B$14,'Annual Parameters'!$B$33:$W$143,3,FALSE)/VLOOKUP('Source VoT'!$E$27,'Annual Parameters'!$B$33:$W$143,3,FALSE)</f>
        <v>22.346428585278336</v>
      </c>
      <c r="V55" s="73">
        <f>'Source VoT'!$D$29*1*VLOOKUP($B55,'Annual Parameters'!$B$33:$W$143,21,FALSE)/VLOOKUP('Source VoT'!$F$27,'Annual Parameters'!$B$33:$W$143,21,FALSE)*VLOOKUP($B$14,'Annual Parameters'!$B$33:$W$143,3,FALSE)/VLOOKUP('Source VoT'!$E$27,'Annual Parameters'!$B$33:$W$143,3,FALSE)</f>
        <v>15.387242504352974</v>
      </c>
      <c r="W55" s="73">
        <f>'Source VoT'!$D$30*1*VLOOKUP($B55,'Annual Parameters'!$B$33:$W$143,21,FALSE)/VLOOKUP('Source VoT'!$F$27,'Annual Parameters'!$B$33:$W$143,21,FALSE)*VLOOKUP($B$14,'Annual Parameters'!$B$33:$W$143,3,FALSE)/VLOOKUP('Source VoT'!$E$27,'Annual Parameters'!$B$33:$W$143,3,FALSE)</f>
        <v>18.129876006286256</v>
      </c>
      <c r="X55" s="73">
        <f>'Source VoT'!$D$31*1*VLOOKUP($B55,'Annual Parameters'!$B$33:$W$143,21,FALSE)/VLOOKUP('Source VoT'!$F$27,'Annual Parameters'!$B$33:$W$143,21,FALSE)*VLOOKUP($B$14,'Annual Parameters'!$B$33:$W$143,3,FALSE)/VLOOKUP('Source VoT'!$E$27,'Annual Parameters'!$B$33:$W$143,3,FALSE)</f>
        <v>18.521680792276729</v>
      </c>
      <c r="Y55" s="73">
        <f>'Source VoT'!$D$32*1*VLOOKUP($B55,'Annual Parameters'!$B$33:$W$143,21,FALSE)/VLOOKUP('Source VoT'!$F$27,'Annual Parameters'!$B$33:$W$143,21,FALSE)*VLOOKUP($B$14,'Annual Parameters'!$B$33:$W$143,3,FALSE)/VLOOKUP('Source VoT'!$E$27,'Annual Parameters'!$B$33:$W$143,3,FALSE)</f>
        <v>12.663403598203987</v>
      </c>
      <c r="Z55" s="73">
        <f>'Source VoT'!$D$33*1*VLOOKUP($B55,'Annual Parameters'!$B$33:$W$143,21,FALSE)/VLOOKUP('Source VoT'!$F$27,'Annual Parameters'!$B$33:$W$143,21,FALSE)*VLOOKUP($B$14,'Annual Parameters'!$B$33:$W$143,3,FALSE)/VLOOKUP('Source VoT'!$E$27,'Annual Parameters'!$B$33:$W$143,3,FALSE)</f>
        <v>16.366754469329145</v>
      </c>
      <c r="AA55" s="73">
        <f>'Source VoT'!$D$34*1*VLOOKUP($B55,'Annual Parameters'!$B$33:$W$143,21,FALSE)/VLOOKUP('Source VoT'!$F$27,'Annual Parameters'!$B$33:$W$143,21,FALSE)*VLOOKUP($B$14,'Annual Parameters'!$B$33:$W$143,3,FALSE)/VLOOKUP('Source VoT'!$E$27,'Annual Parameters'!$B$33:$W$143,3,FALSE)</f>
        <v>22.346428585278336</v>
      </c>
      <c r="AB55" s="73">
        <f>'Source VoT'!$D$35*1*VLOOKUP($B55,'Annual Parameters'!$B$33:$W$143,21,FALSE)/VLOOKUP('Source VoT'!$F$27,'Annual Parameters'!$B$33:$W$143,21,FALSE)*VLOOKUP($B$14,'Annual Parameters'!$B$33:$W$143,3,FALSE)/VLOOKUP('Source VoT'!$E$27,'Annual Parameters'!$B$33:$W$143,3,FALSE)</f>
        <v>36.86071073738907</v>
      </c>
      <c r="AC55" s="73">
        <f>'Source VoT'!$D$36*1*VLOOKUP($B55,'Annual Parameters'!$B$33:$W$143,21,FALSE)/VLOOKUP('Source VoT'!$F$27,'Annual Parameters'!$B$33:$W$143,21,FALSE)*VLOOKUP($B$14,'Annual Parameters'!$B$33:$W$143,3,FALSE)/VLOOKUP('Source VoT'!$E$27,'Annual Parameters'!$B$33:$W$143,3,FALSE)</f>
        <v>12.663403598203987</v>
      </c>
      <c r="AD55" s="73">
        <f>'Source VoT'!$D$37*1*VLOOKUP($B55,'Annual Parameters'!$B$33:$W$143,21,FALSE)/VLOOKUP('Source VoT'!$F$27,'Annual Parameters'!$B$33:$W$143,21,FALSE)*VLOOKUP($B$14,'Annual Parameters'!$B$33:$W$143,3,FALSE)/VLOOKUP('Source VoT'!$E$27,'Annual Parameters'!$B$33:$W$143,3,FALSE)</f>
        <v>12.663403598203987</v>
      </c>
      <c r="AE55" s="73">
        <f>'Source VoT'!$D$38*1*VLOOKUP($B55,'Annual Parameters'!$B$33:$W$143,21,FALSE)/VLOOKUP('Source VoT'!$F$27,'Annual Parameters'!$B$33:$W$143,21,FALSE)*VLOOKUP($B$14,'Annual Parameters'!$B$33:$W$143,3,FALSE)/VLOOKUP('Source VoT'!$E$27,'Annual Parameters'!$B$33:$W$143,3,FALSE)</f>
        <v>12.663403598203987</v>
      </c>
      <c r="AF55" s="73">
        <f>'Source VoT'!$D$39*1*VLOOKUP($B55,'Annual Parameters'!$B$33:$W$143,21,FALSE)/VLOOKUP('Source VoT'!$F$27,'Annual Parameters'!$B$33:$W$143,21,FALSE)*VLOOKUP($B$14,'Annual Parameters'!$B$33:$W$143,3,FALSE)/VLOOKUP('Source VoT'!$E$27,'Annual Parameters'!$B$33:$W$143,3,FALSE)</f>
        <v>22.346428585278336</v>
      </c>
      <c r="AG55" s="74">
        <f>'Source VoT'!$D$40*1*VLOOKUP($B55,'Annual Parameters'!$B$33:$W$143,21,FALSE)/VLOOKUP('Source VoT'!$F$27,'Annual Parameters'!$B$33:$W$143,21,FALSE)*VLOOKUP($B$14,'Annual Parameters'!$B$33:$W$143,3,FALSE)/VLOOKUP('Source VoT'!$E$27,'Annual Parameters'!$B$33:$W$143,3,FALSE)</f>
        <v>24.340359960011657</v>
      </c>
      <c r="AH55" s="73">
        <f>'Source VoT'!$D$45*1*VLOOKUP($B55,'Annual Parameters'!$B$33:$W$143,22,FALSE)/VLOOKUP('Source VoT'!$F$27,'Annual Parameters'!$B$33:$W$143,22,FALSE)*VLOOKUP($B$14,'Annual Parameters'!$B$33:$W$143,3,FALSE)/VLOOKUP('Source VoT'!$E$27,'Annual Parameters'!$B$33:$W$143,3,FALSE)</f>
        <v>14.962801714885487</v>
      </c>
      <c r="AI55" s="73">
        <f>'Source VoT'!$D$46*1*VLOOKUP($B55,'Annual Parameters'!$B$33:$W$143,22,FALSE)/VLOOKUP('Source VoT'!$F$27,'Annual Parameters'!$B$33:$W$143,22,FALSE)*VLOOKUP($B$14,'Annual Parameters'!$B$33:$W$143,3,FALSE)/VLOOKUP('Source VoT'!$E$27,'Annual Parameters'!$B$33:$W$143,3,FALSE)</f>
        <v>6.8294717381703212</v>
      </c>
      <c r="AJ55" s="117">
        <f>'Source VoT'!$D$27*VLOOKUP($B55,'Indirect tax correction'!$B$27:$I$127,7,FALSE)*VLOOKUP($B55,'Annual Parameters'!$B$33:$W$143,21,FALSE)/VLOOKUP('Source VoT'!$F$27,'Annual Parameters'!$B$33:$W$143,21,FALSE)*VLOOKUP($B$14,'Annual Parameters'!$B$33:$W$143,3,FALSE)/VLOOKUP('Source VoT'!$E$27,'Annual Parameters'!$B$33:$W$143,3,FALSE)</f>
        <v>26.59225001648122</v>
      </c>
      <c r="AK55" s="73">
        <f>'Source VoT'!$D$28*VLOOKUP($B55,'Indirect tax correction'!$B$27:$I$127,7,FALSE)*VLOOKUP($B55,'Annual Parameters'!$B$33:$W$143,21,FALSE)/VLOOKUP('Source VoT'!$F$27,'Annual Parameters'!$B$33:$W$143,21,FALSE)*VLOOKUP($B$14,'Annual Parameters'!$B$33:$W$143,3,FALSE)/VLOOKUP('Source VoT'!$E$27,'Annual Parameters'!$B$33:$W$143,3,FALSE)</f>
        <v>26.59225001648122</v>
      </c>
      <c r="AL55" s="73">
        <f>'Source VoT'!$D$29*VLOOKUP($B55,'Indirect tax correction'!$B$27:$I$127,7,FALSE)*VLOOKUP($B55,'Annual Parameters'!$B$33:$W$143,21,FALSE)/VLOOKUP('Source VoT'!$F$27,'Annual Parameters'!$B$33:$W$143,21,FALSE)*VLOOKUP($B$14,'Annual Parameters'!$B$33:$W$143,3,FALSE)/VLOOKUP('Source VoT'!$E$27,'Annual Parameters'!$B$33:$W$143,3,FALSE)</f>
        <v>18.310818580180037</v>
      </c>
      <c r="AM55" s="73">
        <f>'Source VoT'!$D$30*VLOOKUP($B55,'Indirect tax correction'!$B$27:$I$127,7,FALSE)*VLOOKUP($B55,'Annual Parameters'!$B$33:$W$143,21,FALSE)/VLOOKUP('Source VoT'!$F$27,'Annual Parameters'!$B$33:$W$143,21,FALSE)*VLOOKUP($B$14,'Annual Parameters'!$B$33:$W$143,3,FALSE)/VLOOKUP('Source VoT'!$E$27,'Annual Parameters'!$B$33:$W$143,3,FALSE)</f>
        <v>21.574552447480645</v>
      </c>
      <c r="AN55" s="73">
        <f>'Source VoT'!$D$31*VLOOKUP($B55,'Indirect tax correction'!$B$27:$I$127,7,FALSE)*VLOOKUP($B55,'Annual Parameters'!$B$33:$W$143,21,FALSE)/VLOOKUP('Source VoT'!$F$27,'Annual Parameters'!$B$33:$W$143,21,FALSE)*VLOOKUP($B$14,'Annual Parameters'!$B$33:$W$143,3,FALSE)/VLOOKUP('Source VoT'!$E$27,'Annual Parameters'!$B$33:$W$143,3,FALSE)</f>
        <v>22.040800142809303</v>
      </c>
      <c r="AO55" s="73">
        <f>'Source VoT'!$D$32*VLOOKUP($B55,'Indirect tax correction'!$B$27:$I$127,7,FALSE)*VLOOKUP($B55,'Annual Parameters'!$B$33:$W$143,21,FALSE)/VLOOKUP('Source VoT'!$F$27,'Annual Parameters'!$B$33:$W$143,21,FALSE)*VLOOKUP($B$14,'Annual Parameters'!$B$33:$W$143,3,FALSE)/VLOOKUP('Source VoT'!$E$27,'Annual Parameters'!$B$33:$W$143,3,FALSE)</f>
        <v>15.069450281862741</v>
      </c>
      <c r="AP55" s="73">
        <f>'Source VoT'!$D$33*VLOOKUP($B55,'Indirect tax correction'!$B$27:$I$127,7,FALSE)*VLOOKUP($B55,'Annual Parameters'!$B$33:$W$143,21,FALSE)/VLOOKUP('Source VoT'!$F$27,'Annual Parameters'!$B$33:$W$143,21,FALSE)*VLOOKUP($B$14,'Annual Parameters'!$B$33:$W$143,3,FALSE)/VLOOKUP('Source VoT'!$E$27,'Annual Parameters'!$B$33:$W$143,3,FALSE)</f>
        <v>19.47643781850168</v>
      </c>
      <c r="AQ55" s="73">
        <f>'Source VoT'!$D$34*VLOOKUP($B55,'Indirect tax correction'!$B$27:$I$127,7,FALSE)*VLOOKUP($B55,'Annual Parameters'!$B$33:$W$143,21,FALSE)/VLOOKUP('Source VoT'!$F$27,'Annual Parameters'!$B$33:$W$143,21,FALSE)*VLOOKUP($B$14,'Annual Parameters'!$B$33:$W$143,3,FALSE)/VLOOKUP('Source VoT'!$E$27,'Annual Parameters'!$B$33:$W$143,3,FALSE)</f>
        <v>26.59225001648122</v>
      </c>
      <c r="AR55" s="73">
        <f>'Source VoT'!$D$35*VLOOKUP($B55,'Indirect tax correction'!$B$27:$I$127,7,FALSE)*VLOOKUP($B55,'Annual Parameters'!$B$33:$W$143,21,FALSE)/VLOOKUP('Source VoT'!$F$27,'Annual Parameters'!$B$33:$W$143,21,FALSE)*VLOOKUP($B$14,'Annual Parameters'!$B$33:$W$143,3,FALSE)/VLOOKUP('Source VoT'!$E$27,'Annual Parameters'!$B$33:$W$143,3,FALSE)</f>
        <v>43.864245777492989</v>
      </c>
      <c r="AS55" s="73">
        <f>'Source VoT'!$D$36*VLOOKUP($B55,'Indirect tax correction'!$B$27:$I$127,7,FALSE)*VLOOKUP($B55,'Annual Parameters'!$B$33:$W$143,21,FALSE)/VLOOKUP('Source VoT'!$F$27,'Annual Parameters'!$B$33:$W$143,21,FALSE)*VLOOKUP($B$14,'Annual Parameters'!$B$33:$W$143,3,FALSE)/VLOOKUP('Source VoT'!$E$27,'Annual Parameters'!$B$33:$W$143,3,FALSE)</f>
        <v>15.069450281862741</v>
      </c>
      <c r="AT55" s="73">
        <f>'Source VoT'!$D$37*VLOOKUP($B55,'Indirect tax correction'!$B$27:$I$127,7,FALSE)*VLOOKUP($B55,'Annual Parameters'!$B$33:$W$143,21,FALSE)/VLOOKUP('Source VoT'!$F$27,'Annual Parameters'!$B$33:$W$143,21,FALSE)*VLOOKUP($B$14,'Annual Parameters'!$B$33:$W$143,3,FALSE)/VLOOKUP('Source VoT'!$E$27,'Annual Parameters'!$B$33:$W$143,3,FALSE)</f>
        <v>15.069450281862741</v>
      </c>
      <c r="AU55" s="73">
        <f>'Source VoT'!$D$38*VLOOKUP($B55,'Indirect tax correction'!$B$27:$I$127,7,FALSE)*VLOOKUP($B55,'Annual Parameters'!$B$33:$W$143,21,FALSE)/VLOOKUP('Source VoT'!$F$27,'Annual Parameters'!$B$33:$W$143,21,FALSE)*VLOOKUP($B$14,'Annual Parameters'!$B$33:$W$143,3,FALSE)/VLOOKUP('Source VoT'!$E$27,'Annual Parameters'!$B$33:$W$143,3,FALSE)</f>
        <v>15.069450281862741</v>
      </c>
      <c r="AV55" s="73">
        <f>'Source VoT'!$D$39*VLOOKUP($B55,'Indirect tax correction'!$B$27:$I$127,7,FALSE)*VLOOKUP($B55,'Annual Parameters'!$B$33:$W$143,21,FALSE)/VLOOKUP('Source VoT'!$F$27,'Annual Parameters'!$B$33:$W$143,21,FALSE)*VLOOKUP($B$14,'Annual Parameters'!$B$33:$W$143,3,FALSE)/VLOOKUP('Source VoT'!$E$27,'Annual Parameters'!$B$33:$W$143,3,FALSE)</f>
        <v>26.59225001648122</v>
      </c>
      <c r="AW55" s="74">
        <f>'Source VoT'!$D$40*VLOOKUP($B55,'Indirect tax correction'!$B$27:$I$127,7,FALSE)*VLOOKUP($B55,'Annual Parameters'!$B$33:$W$143,21,FALSE)/VLOOKUP('Source VoT'!$F$27,'Annual Parameters'!$B$33:$W$143,21,FALSE)*VLOOKUP($B$14,'Annual Parameters'!$B$33:$W$143,3,FALSE)/VLOOKUP('Source VoT'!$E$27,'Annual Parameters'!$B$33:$W$143,3,FALSE)</f>
        <v>28.965028352413864</v>
      </c>
      <c r="AX55" s="73">
        <f>'Source VoT'!$D$45*VLOOKUP($B55,'Indirect tax correction'!$B$27:$I$127,8,FALSE)*VLOOKUP($B55,'Annual Parameters'!$B$33:$W$143,22,FALSE)/VLOOKUP('Source VoT'!$F$27,'Annual Parameters'!$B$33:$W$143,22,FALSE)*VLOOKUP($B$14,'Annual Parameters'!$B$33:$W$143,3,FALSE)/VLOOKUP('Source VoT'!$E$27,'Annual Parameters'!$B$33:$W$143,3,FALSE)</f>
        <v>14.962801714885487</v>
      </c>
      <c r="AY55" s="74">
        <f>'Source VoT'!$D$46*VLOOKUP($B55,'Indirect tax correction'!$B$27:$I$127,8,FALSE)*VLOOKUP($B55,'Annual Parameters'!$B$33:$W$143,22,FALSE)/VLOOKUP('Source VoT'!$F$27,'Annual Parameters'!$B$33:$W$143,22,FALSE)*VLOOKUP($B$14,'Annual Parameters'!$B$33:$W$143,3,FALSE)/VLOOKUP('Source VoT'!$E$27,'Annual Parameters'!$B$33:$W$143,3,FALSE)</f>
        <v>6.8294717381703212</v>
      </c>
      <c r="AZ55" s="2875"/>
      <c r="BA55" s="2875"/>
      <c r="BB55" s="2875"/>
      <c r="BC55" s="2875"/>
      <c r="BD55" s="2875"/>
      <c r="BE55" s="2875"/>
      <c r="BF55" s="2875"/>
      <c r="BG55" s="2875"/>
    </row>
    <row r="56" spans="1:59" ht="13.5" customHeight="1">
      <c r="A56" s="90"/>
      <c r="B56" s="82">
        <f t="shared" si="0"/>
        <v>2039</v>
      </c>
      <c r="C56" s="82"/>
      <c r="D56" s="117">
        <f>'Source VoT'!$D$27*VLOOKUP($B56,'Indirect tax correction'!$B$27:$I$127,5,FALSE)*VLOOKUP($B56,'Annual Parameters'!$B$33:$W$143,21,FALSE)/VLOOKUP('Source VoT'!$F$27,'Annual Parameters'!$B$33:$W$143,21,FALSE)*VLOOKUP($B$14,'Annual Parameters'!$B$33:$W$143,3,FALSE)/VLOOKUP('Source VoT'!$E$27,'Annual Parameters'!$B$33:$W$143,3,FALSE)</f>
        <v>22.786567416457924</v>
      </c>
      <c r="E56" s="73">
        <f>'Source VoT'!$D$28*VLOOKUP($B56,'Indirect tax correction'!$B$27:$I$127,5,FALSE)*VLOOKUP($B56,'Annual Parameters'!$B$33:$W$143,21,FALSE)/VLOOKUP('Source VoT'!$F$27,'Annual Parameters'!$B$33:$W$143,21,FALSE)*VLOOKUP($B$14,'Annual Parameters'!$B$33:$W$143,3,FALSE)/VLOOKUP('Source VoT'!$E$27,'Annual Parameters'!$B$33:$W$143,3,FALSE)</f>
        <v>22.786567416457924</v>
      </c>
      <c r="F56" s="73">
        <f>'Source VoT'!$D$29*VLOOKUP($B56,'Indirect tax correction'!$B$27:$I$127,5,FALSE)*VLOOKUP($B56,'Annual Parameters'!$B$33:$W$143,21,FALSE)/VLOOKUP('Source VoT'!$F$27,'Annual Parameters'!$B$33:$W$143,21,FALSE)*VLOOKUP($B$14,'Annual Parameters'!$B$33:$W$143,3,FALSE)/VLOOKUP('Source VoT'!$E$27,'Annual Parameters'!$B$33:$W$143,3,FALSE)</f>
        <v>15.690312093531283</v>
      </c>
      <c r="G56" s="73">
        <f>'Source VoT'!$D$30*VLOOKUP($B56,'Indirect tax correction'!$B$27:$I$127,5,FALSE)*VLOOKUP($B56,'Annual Parameters'!$B$33:$W$143,21,FALSE)/VLOOKUP('Source VoT'!$F$27,'Annual Parameters'!$B$33:$W$143,21,FALSE)*VLOOKUP($B$14,'Annual Parameters'!$B$33:$W$143,3,FALSE)/VLOOKUP('Source VoT'!$E$27,'Annual Parameters'!$B$33:$W$143,3,FALSE)</f>
        <v>18.4869649435357</v>
      </c>
      <c r="H56" s="73">
        <f>'Source VoT'!$D$31*VLOOKUP($B56,'Indirect tax correction'!$B$27:$I$127,5,FALSE)*VLOOKUP($B56,'Annual Parameters'!$B$33:$W$143,21,FALSE)/VLOOKUP('Source VoT'!$F$27,'Annual Parameters'!$B$33:$W$143,21,FALSE)*VLOOKUP($B$14,'Annual Parameters'!$B$33:$W$143,3,FALSE)/VLOOKUP('Source VoT'!$E$27,'Annual Parameters'!$B$33:$W$143,3,FALSE)</f>
        <v>18.886486779250617</v>
      </c>
      <c r="I56" s="73">
        <f>'Source VoT'!$D$32*VLOOKUP($B56,'Indirect tax correction'!$B$27:$I$127,5,FALSE)*VLOOKUP($B56,'Annual Parameters'!$B$33:$W$143,21,FALSE)/VLOOKUP('Source VoT'!$F$27,'Annual Parameters'!$B$33:$W$143,21,FALSE)*VLOOKUP($B$14,'Annual Parameters'!$B$33:$W$143,3,FALSE)/VLOOKUP('Source VoT'!$E$27,'Annual Parameters'!$B$33:$W$143,3,FALSE)</f>
        <v>12.912824020675464</v>
      </c>
      <c r="J56" s="73">
        <f>'Source VoT'!$D$33*VLOOKUP($B56,'Indirect tax correction'!$B$27:$I$127,5,FALSE)*VLOOKUP($B56,'Annual Parameters'!$B$33:$W$143,21,FALSE)/VLOOKUP('Source VoT'!$F$27,'Annual Parameters'!$B$33:$W$143,21,FALSE)*VLOOKUP($B$14,'Annual Parameters'!$B$33:$W$143,3,FALSE)/VLOOKUP('Source VoT'!$E$27,'Annual Parameters'!$B$33:$W$143,3,FALSE)</f>
        <v>16.689116682818575</v>
      </c>
      <c r="K56" s="73">
        <f>'Source VoT'!$D$34*VLOOKUP($B56,'Indirect tax correction'!$B$27:$I$127,5,FALSE)*VLOOKUP($B56,'Annual Parameters'!$B$33:$W$143,21,FALSE)/VLOOKUP('Source VoT'!$F$27,'Annual Parameters'!$B$33:$W$143,21,FALSE)*VLOOKUP($B$14,'Annual Parameters'!$B$33:$W$143,3,FALSE)/VLOOKUP('Source VoT'!$E$27,'Annual Parameters'!$B$33:$W$143,3,FALSE)</f>
        <v>22.786567416457924</v>
      </c>
      <c r="L56" s="73">
        <f>'Source VoT'!$D$35*VLOOKUP($B56,'Indirect tax correction'!$B$27:$I$127,5,FALSE)*VLOOKUP($B56,'Annual Parameters'!$B$33:$W$143,21,FALSE)/VLOOKUP('Source VoT'!$F$27,'Annual Parameters'!$B$33:$W$143,21,FALSE)*VLOOKUP($B$14,'Annual Parameters'!$B$33:$W$143,3,FALSE)/VLOOKUP('Source VoT'!$E$27,'Annual Parameters'!$B$33:$W$143,3,FALSE)</f>
        <v>37.586725191040571</v>
      </c>
      <c r="M56" s="73">
        <f>'Source VoT'!$D$36*VLOOKUP($B56,'Indirect tax correction'!$B$27:$I$127,5,FALSE)*VLOOKUP($B56,'Annual Parameters'!$B$33:$W$143,21,FALSE)/VLOOKUP('Source VoT'!$F$27,'Annual Parameters'!$B$33:$W$143,21,FALSE)*VLOOKUP($B$14,'Annual Parameters'!$B$33:$W$143,3,FALSE)/VLOOKUP('Source VoT'!$E$27,'Annual Parameters'!$B$33:$W$143,3,FALSE)</f>
        <v>12.912824020675464</v>
      </c>
      <c r="N56" s="73">
        <f>'Source VoT'!$D$37*VLOOKUP($B56,'Indirect tax correction'!$B$27:$I$127,5,FALSE)*VLOOKUP($B56,'Annual Parameters'!$B$33:$W$143,21,FALSE)/VLOOKUP('Source VoT'!$F$27,'Annual Parameters'!$B$33:$W$143,21,FALSE)*VLOOKUP($B$14,'Annual Parameters'!$B$33:$W$143,3,FALSE)/VLOOKUP('Source VoT'!$E$27,'Annual Parameters'!$B$33:$W$143,3,FALSE)</f>
        <v>12.912824020675464</v>
      </c>
      <c r="O56" s="73">
        <f>'Source VoT'!$D$38*VLOOKUP($B56,'Indirect tax correction'!$B$27:$I$127,5,FALSE)*VLOOKUP($B56,'Annual Parameters'!$B$33:$W$143,21,FALSE)/VLOOKUP('Source VoT'!$F$27,'Annual Parameters'!$B$33:$W$143,21,FALSE)*VLOOKUP($B$14,'Annual Parameters'!$B$33:$W$143,3,FALSE)/VLOOKUP('Source VoT'!$E$27,'Annual Parameters'!$B$33:$W$143,3,FALSE)</f>
        <v>12.912824020675464</v>
      </c>
      <c r="P56" s="73">
        <f>'Source VoT'!$D$39*VLOOKUP($B56,'Indirect tax correction'!$B$27:$I$127,5,FALSE)*VLOOKUP($B56,'Annual Parameters'!$B$33:$W$143,21,FALSE)/VLOOKUP('Source VoT'!$F$27,'Annual Parameters'!$B$33:$W$143,21,FALSE)*VLOOKUP($B$14,'Annual Parameters'!$B$33:$W$143,3,FALSE)/VLOOKUP('Source VoT'!$E$27,'Annual Parameters'!$B$33:$W$143,3,FALSE)</f>
        <v>22.786567416457924</v>
      </c>
      <c r="Q56" s="74">
        <f>'Source VoT'!$D$40*VLOOKUP($B56,'Indirect tax correction'!$B$27:$I$127,5,FALSE)*VLOOKUP($B56,'Annual Parameters'!$B$33:$W$143,21,FALSE)/VLOOKUP('Source VoT'!$F$27,'Annual Parameters'!$B$33:$W$143,21,FALSE)*VLOOKUP($B$14,'Annual Parameters'!$B$33:$W$143,3,FALSE)/VLOOKUP('Source VoT'!$E$27,'Annual Parameters'!$B$33:$W$143,3,FALSE)</f>
        <v>24.819771582428469</v>
      </c>
      <c r="R56" s="73">
        <f>'Source VoT'!$D$45*VLOOKUP($B56,'Indirect tax correction'!$B$27:$I$127,6,FALSE)*VLOOKUP($B56,'Annual Parameters'!$B$33:$W$143,22,FALSE)/VLOOKUP('Source VoT'!$F$27,'Annual Parameters'!$B$33:$W$143,22,FALSE)*VLOOKUP($B$14,'Annual Parameters'!$B$33:$W$143,3,FALSE)/VLOOKUP('Source VoT'!$E$27,'Annual Parameters'!$B$33:$W$143,3,FALSE)</f>
        <v>12.821438193609692</v>
      </c>
      <c r="S56" s="73">
        <f>'Source VoT'!$D$46*VLOOKUP($B56,'Indirect tax correction'!$B$27:$I$127,6,FALSE)*VLOOKUP($B56,'Annual Parameters'!$B$33:$W$143,22,FALSE)/VLOOKUP('Source VoT'!$F$27,'Annual Parameters'!$B$33:$W$143,22,FALSE)*VLOOKUP($B$14,'Annual Parameters'!$B$33:$W$143,3,FALSE)/VLOOKUP('Source VoT'!$E$27,'Annual Parameters'!$B$33:$W$143,3,FALSE)</f>
        <v>5.8520891644807236</v>
      </c>
      <c r="T56" s="117">
        <f>'Source VoT'!$D$27*1*VLOOKUP($B56,'Annual Parameters'!$B$33:$W$143,21,FALSE)/VLOOKUP('Source VoT'!$F$27,'Annual Parameters'!$B$33:$W$143,21,FALSE)*VLOOKUP($B$14,'Annual Parameters'!$B$33:$W$143,3,FALSE)/VLOOKUP('Source VoT'!$E$27,'Annual Parameters'!$B$33:$W$143,3,FALSE)</f>
        <v>22.786567416457924</v>
      </c>
      <c r="U56" s="73">
        <f>'Source VoT'!$D$28*1*VLOOKUP($B56,'Annual Parameters'!$B$33:$W$143,21,FALSE)/VLOOKUP('Source VoT'!$F$27,'Annual Parameters'!$B$33:$W$143,21,FALSE)*VLOOKUP($B$14,'Annual Parameters'!$B$33:$W$143,3,FALSE)/VLOOKUP('Source VoT'!$E$27,'Annual Parameters'!$B$33:$W$143,3,FALSE)</f>
        <v>22.786567416457924</v>
      </c>
      <c r="V56" s="73">
        <f>'Source VoT'!$D$29*1*VLOOKUP($B56,'Annual Parameters'!$B$33:$W$143,21,FALSE)/VLOOKUP('Source VoT'!$F$27,'Annual Parameters'!$B$33:$W$143,21,FALSE)*VLOOKUP($B$14,'Annual Parameters'!$B$33:$W$143,3,FALSE)/VLOOKUP('Source VoT'!$E$27,'Annual Parameters'!$B$33:$W$143,3,FALSE)</f>
        <v>15.690312093531283</v>
      </c>
      <c r="W56" s="73">
        <f>'Source VoT'!$D$30*1*VLOOKUP($B56,'Annual Parameters'!$B$33:$W$143,21,FALSE)/VLOOKUP('Source VoT'!$F$27,'Annual Parameters'!$B$33:$W$143,21,FALSE)*VLOOKUP($B$14,'Annual Parameters'!$B$33:$W$143,3,FALSE)/VLOOKUP('Source VoT'!$E$27,'Annual Parameters'!$B$33:$W$143,3,FALSE)</f>
        <v>18.4869649435357</v>
      </c>
      <c r="X56" s="73">
        <f>'Source VoT'!$D$31*1*VLOOKUP($B56,'Annual Parameters'!$B$33:$W$143,21,FALSE)/VLOOKUP('Source VoT'!$F$27,'Annual Parameters'!$B$33:$W$143,21,FALSE)*VLOOKUP($B$14,'Annual Parameters'!$B$33:$W$143,3,FALSE)/VLOOKUP('Source VoT'!$E$27,'Annual Parameters'!$B$33:$W$143,3,FALSE)</f>
        <v>18.886486779250617</v>
      </c>
      <c r="Y56" s="73">
        <f>'Source VoT'!$D$32*1*VLOOKUP($B56,'Annual Parameters'!$B$33:$W$143,21,FALSE)/VLOOKUP('Source VoT'!$F$27,'Annual Parameters'!$B$33:$W$143,21,FALSE)*VLOOKUP($B$14,'Annual Parameters'!$B$33:$W$143,3,FALSE)/VLOOKUP('Source VoT'!$E$27,'Annual Parameters'!$B$33:$W$143,3,FALSE)</f>
        <v>12.912824020675464</v>
      </c>
      <c r="Z56" s="73">
        <f>'Source VoT'!$D$33*1*VLOOKUP($B56,'Annual Parameters'!$B$33:$W$143,21,FALSE)/VLOOKUP('Source VoT'!$F$27,'Annual Parameters'!$B$33:$W$143,21,FALSE)*VLOOKUP($B$14,'Annual Parameters'!$B$33:$W$143,3,FALSE)/VLOOKUP('Source VoT'!$E$27,'Annual Parameters'!$B$33:$W$143,3,FALSE)</f>
        <v>16.689116682818575</v>
      </c>
      <c r="AA56" s="73">
        <f>'Source VoT'!$D$34*1*VLOOKUP($B56,'Annual Parameters'!$B$33:$W$143,21,FALSE)/VLOOKUP('Source VoT'!$F$27,'Annual Parameters'!$B$33:$W$143,21,FALSE)*VLOOKUP($B$14,'Annual Parameters'!$B$33:$W$143,3,FALSE)/VLOOKUP('Source VoT'!$E$27,'Annual Parameters'!$B$33:$W$143,3,FALSE)</f>
        <v>22.786567416457924</v>
      </c>
      <c r="AB56" s="73">
        <f>'Source VoT'!$D$35*1*VLOOKUP($B56,'Annual Parameters'!$B$33:$W$143,21,FALSE)/VLOOKUP('Source VoT'!$F$27,'Annual Parameters'!$B$33:$W$143,21,FALSE)*VLOOKUP($B$14,'Annual Parameters'!$B$33:$W$143,3,FALSE)/VLOOKUP('Source VoT'!$E$27,'Annual Parameters'!$B$33:$W$143,3,FALSE)</f>
        <v>37.586725191040571</v>
      </c>
      <c r="AC56" s="73">
        <f>'Source VoT'!$D$36*1*VLOOKUP($B56,'Annual Parameters'!$B$33:$W$143,21,FALSE)/VLOOKUP('Source VoT'!$F$27,'Annual Parameters'!$B$33:$W$143,21,FALSE)*VLOOKUP($B$14,'Annual Parameters'!$B$33:$W$143,3,FALSE)/VLOOKUP('Source VoT'!$E$27,'Annual Parameters'!$B$33:$W$143,3,FALSE)</f>
        <v>12.912824020675464</v>
      </c>
      <c r="AD56" s="73">
        <f>'Source VoT'!$D$37*1*VLOOKUP($B56,'Annual Parameters'!$B$33:$W$143,21,FALSE)/VLOOKUP('Source VoT'!$F$27,'Annual Parameters'!$B$33:$W$143,21,FALSE)*VLOOKUP($B$14,'Annual Parameters'!$B$33:$W$143,3,FALSE)/VLOOKUP('Source VoT'!$E$27,'Annual Parameters'!$B$33:$W$143,3,FALSE)</f>
        <v>12.912824020675464</v>
      </c>
      <c r="AE56" s="73">
        <f>'Source VoT'!$D$38*1*VLOOKUP($B56,'Annual Parameters'!$B$33:$W$143,21,FALSE)/VLOOKUP('Source VoT'!$F$27,'Annual Parameters'!$B$33:$W$143,21,FALSE)*VLOOKUP($B$14,'Annual Parameters'!$B$33:$W$143,3,FALSE)/VLOOKUP('Source VoT'!$E$27,'Annual Parameters'!$B$33:$W$143,3,FALSE)</f>
        <v>12.912824020675464</v>
      </c>
      <c r="AF56" s="73">
        <f>'Source VoT'!$D$39*1*VLOOKUP($B56,'Annual Parameters'!$B$33:$W$143,21,FALSE)/VLOOKUP('Source VoT'!$F$27,'Annual Parameters'!$B$33:$W$143,21,FALSE)*VLOOKUP($B$14,'Annual Parameters'!$B$33:$W$143,3,FALSE)/VLOOKUP('Source VoT'!$E$27,'Annual Parameters'!$B$33:$W$143,3,FALSE)</f>
        <v>22.786567416457924</v>
      </c>
      <c r="AG56" s="74">
        <f>'Source VoT'!$D$40*1*VLOOKUP($B56,'Annual Parameters'!$B$33:$W$143,21,FALSE)/VLOOKUP('Source VoT'!$F$27,'Annual Parameters'!$B$33:$W$143,21,FALSE)*VLOOKUP($B$14,'Annual Parameters'!$B$33:$W$143,3,FALSE)/VLOOKUP('Source VoT'!$E$27,'Annual Parameters'!$B$33:$W$143,3,FALSE)</f>
        <v>24.819771582428469</v>
      </c>
      <c r="AH56" s="73">
        <f>'Source VoT'!$D$45*1*VLOOKUP($B56,'Annual Parameters'!$B$33:$W$143,22,FALSE)/VLOOKUP('Source VoT'!$F$27,'Annual Parameters'!$B$33:$W$143,22,FALSE)*VLOOKUP($B$14,'Annual Parameters'!$B$33:$W$143,3,FALSE)/VLOOKUP('Source VoT'!$E$27,'Annual Parameters'!$B$33:$W$143,3,FALSE)</f>
        <v>15.257511450395533</v>
      </c>
      <c r="AI56" s="73">
        <f>'Source VoT'!$D$46*1*VLOOKUP($B56,'Annual Parameters'!$B$33:$W$143,22,FALSE)/VLOOKUP('Source VoT'!$F$27,'Annual Parameters'!$B$33:$W$143,22,FALSE)*VLOOKUP($B$14,'Annual Parameters'!$B$33:$W$143,3,FALSE)/VLOOKUP('Source VoT'!$E$27,'Annual Parameters'!$B$33:$W$143,3,FALSE)</f>
        <v>6.9639861057320589</v>
      </c>
      <c r="AJ56" s="117">
        <f>'Source VoT'!$D$27*VLOOKUP($B56,'Indirect tax correction'!$B$27:$I$127,7,FALSE)*VLOOKUP($B56,'Annual Parameters'!$B$33:$W$143,21,FALSE)/VLOOKUP('Source VoT'!$F$27,'Annual Parameters'!$B$33:$W$143,21,FALSE)*VLOOKUP($B$14,'Annual Parameters'!$B$33:$W$143,3,FALSE)/VLOOKUP('Source VoT'!$E$27,'Annual Parameters'!$B$33:$W$143,3,FALSE)</f>
        <v>27.116015225584924</v>
      </c>
      <c r="AK56" s="73">
        <f>'Source VoT'!$D$28*VLOOKUP($B56,'Indirect tax correction'!$B$27:$I$127,7,FALSE)*VLOOKUP($B56,'Annual Parameters'!$B$33:$W$143,21,FALSE)/VLOOKUP('Source VoT'!$F$27,'Annual Parameters'!$B$33:$W$143,21,FALSE)*VLOOKUP($B$14,'Annual Parameters'!$B$33:$W$143,3,FALSE)/VLOOKUP('Source VoT'!$E$27,'Annual Parameters'!$B$33:$W$143,3,FALSE)</f>
        <v>27.116015225584924</v>
      </c>
      <c r="AL56" s="73">
        <f>'Source VoT'!$D$29*VLOOKUP($B56,'Indirect tax correction'!$B$27:$I$127,7,FALSE)*VLOOKUP($B56,'Annual Parameters'!$B$33:$W$143,21,FALSE)/VLOOKUP('Source VoT'!$F$27,'Annual Parameters'!$B$33:$W$143,21,FALSE)*VLOOKUP($B$14,'Annual Parameters'!$B$33:$W$143,3,FALSE)/VLOOKUP('Source VoT'!$E$27,'Annual Parameters'!$B$33:$W$143,3,FALSE)</f>
        <v>18.671471391302227</v>
      </c>
      <c r="AM56" s="73">
        <f>'Source VoT'!$D$30*VLOOKUP($B56,'Indirect tax correction'!$B$27:$I$127,7,FALSE)*VLOOKUP($B56,'Annual Parameters'!$B$33:$W$143,21,FALSE)/VLOOKUP('Source VoT'!$F$27,'Annual Parameters'!$B$33:$W$143,21,FALSE)*VLOOKUP($B$14,'Annual Parameters'!$B$33:$W$143,3,FALSE)/VLOOKUP('Source VoT'!$E$27,'Annual Parameters'!$B$33:$W$143,3,FALSE)</f>
        <v>21.999488282807484</v>
      </c>
      <c r="AN56" s="73">
        <f>'Source VoT'!$D$31*VLOOKUP($B56,'Indirect tax correction'!$B$27:$I$127,7,FALSE)*VLOOKUP($B56,'Annual Parameters'!$B$33:$W$143,21,FALSE)/VLOOKUP('Source VoT'!$F$27,'Annual Parameters'!$B$33:$W$143,21,FALSE)*VLOOKUP($B$14,'Annual Parameters'!$B$33:$W$143,3,FALSE)/VLOOKUP('Source VoT'!$E$27,'Annual Parameters'!$B$33:$W$143,3,FALSE)</f>
        <v>22.474919267308238</v>
      </c>
      <c r="AO56" s="73">
        <f>'Source VoT'!$D$32*VLOOKUP($B56,'Indirect tax correction'!$B$27:$I$127,7,FALSE)*VLOOKUP($B56,'Annual Parameters'!$B$33:$W$143,21,FALSE)/VLOOKUP('Source VoT'!$F$27,'Annual Parameters'!$B$33:$W$143,21,FALSE)*VLOOKUP($B$14,'Annual Parameters'!$B$33:$W$143,3,FALSE)/VLOOKUP('Source VoT'!$E$27,'Annual Parameters'!$B$33:$W$143,3,FALSE)</f>
        <v>15.366260584603801</v>
      </c>
      <c r="AP56" s="73">
        <f>'Source VoT'!$D$33*VLOOKUP($B56,'Indirect tax correction'!$B$27:$I$127,7,FALSE)*VLOOKUP($B56,'Annual Parameters'!$B$33:$W$143,21,FALSE)/VLOOKUP('Source VoT'!$F$27,'Annual Parameters'!$B$33:$W$143,21,FALSE)*VLOOKUP($B$14,'Annual Parameters'!$B$33:$W$143,3,FALSE)/VLOOKUP('Source VoT'!$E$27,'Annual Parameters'!$B$33:$W$143,3,FALSE)</f>
        <v>19.860048852554101</v>
      </c>
      <c r="AQ56" s="73">
        <f>'Source VoT'!$D$34*VLOOKUP($B56,'Indirect tax correction'!$B$27:$I$127,7,FALSE)*VLOOKUP($B56,'Annual Parameters'!$B$33:$W$143,21,FALSE)/VLOOKUP('Source VoT'!$F$27,'Annual Parameters'!$B$33:$W$143,21,FALSE)*VLOOKUP($B$14,'Annual Parameters'!$B$33:$W$143,3,FALSE)/VLOOKUP('Source VoT'!$E$27,'Annual Parameters'!$B$33:$W$143,3,FALSE)</f>
        <v>27.116015225584924</v>
      </c>
      <c r="AR56" s="73">
        <f>'Source VoT'!$D$35*VLOOKUP($B56,'Indirect tax correction'!$B$27:$I$127,7,FALSE)*VLOOKUP($B56,'Annual Parameters'!$B$33:$W$143,21,FALSE)/VLOOKUP('Source VoT'!$F$27,'Annual Parameters'!$B$33:$W$143,21,FALSE)*VLOOKUP($B$14,'Annual Parameters'!$B$33:$W$143,3,FALSE)/VLOOKUP('Source VoT'!$E$27,'Annual Parameters'!$B$33:$W$143,3,FALSE)</f>
        <v>44.728202977338285</v>
      </c>
      <c r="AS56" s="73">
        <f>'Source VoT'!$D$36*VLOOKUP($B56,'Indirect tax correction'!$B$27:$I$127,7,FALSE)*VLOOKUP($B56,'Annual Parameters'!$B$33:$W$143,21,FALSE)/VLOOKUP('Source VoT'!$F$27,'Annual Parameters'!$B$33:$W$143,21,FALSE)*VLOOKUP($B$14,'Annual Parameters'!$B$33:$W$143,3,FALSE)/VLOOKUP('Source VoT'!$E$27,'Annual Parameters'!$B$33:$W$143,3,FALSE)</f>
        <v>15.366260584603801</v>
      </c>
      <c r="AT56" s="73">
        <f>'Source VoT'!$D$37*VLOOKUP($B56,'Indirect tax correction'!$B$27:$I$127,7,FALSE)*VLOOKUP($B56,'Annual Parameters'!$B$33:$W$143,21,FALSE)/VLOOKUP('Source VoT'!$F$27,'Annual Parameters'!$B$33:$W$143,21,FALSE)*VLOOKUP($B$14,'Annual Parameters'!$B$33:$W$143,3,FALSE)/VLOOKUP('Source VoT'!$E$27,'Annual Parameters'!$B$33:$W$143,3,FALSE)</f>
        <v>15.366260584603801</v>
      </c>
      <c r="AU56" s="73">
        <f>'Source VoT'!$D$38*VLOOKUP($B56,'Indirect tax correction'!$B$27:$I$127,7,FALSE)*VLOOKUP($B56,'Annual Parameters'!$B$33:$W$143,21,FALSE)/VLOOKUP('Source VoT'!$F$27,'Annual Parameters'!$B$33:$W$143,21,FALSE)*VLOOKUP($B$14,'Annual Parameters'!$B$33:$W$143,3,FALSE)/VLOOKUP('Source VoT'!$E$27,'Annual Parameters'!$B$33:$W$143,3,FALSE)</f>
        <v>15.366260584603801</v>
      </c>
      <c r="AV56" s="73">
        <f>'Source VoT'!$D$39*VLOOKUP($B56,'Indirect tax correction'!$B$27:$I$127,7,FALSE)*VLOOKUP($B56,'Annual Parameters'!$B$33:$W$143,21,FALSE)/VLOOKUP('Source VoT'!$F$27,'Annual Parameters'!$B$33:$W$143,21,FALSE)*VLOOKUP($B$14,'Annual Parameters'!$B$33:$W$143,3,FALSE)/VLOOKUP('Source VoT'!$E$27,'Annual Parameters'!$B$33:$W$143,3,FALSE)</f>
        <v>27.116015225584924</v>
      </c>
      <c r="AW56" s="74">
        <f>'Source VoT'!$D$40*VLOOKUP($B56,'Indirect tax correction'!$B$27:$I$127,7,FALSE)*VLOOKUP($B56,'Annual Parameters'!$B$33:$W$143,21,FALSE)/VLOOKUP('Source VoT'!$F$27,'Annual Parameters'!$B$33:$W$143,21,FALSE)*VLOOKUP($B$14,'Annual Parameters'!$B$33:$W$143,3,FALSE)/VLOOKUP('Source VoT'!$E$27,'Annual Parameters'!$B$33:$W$143,3,FALSE)</f>
        <v>29.53552818308988</v>
      </c>
      <c r="AX56" s="73">
        <f>'Source VoT'!$D$45*VLOOKUP($B56,'Indirect tax correction'!$B$27:$I$127,8,FALSE)*VLOOKUP($B56,'Annual Parameters'!$B$33:$W$143,22,FALSE)/VLOOKUP('Source VoT'!$F$27,'Annual Parameters'!$B$33:$W$143,22,FALSE)*VLOOKUP($B$14,'Annual Parameters'!$B$33:$W$143,3,FALSE)/VLOOKUP('Source VoT'!$E$27,'Annual Parameters'!$B$33:$W$143,3,FALSE)</f>
        <v>15.257511450395533</v>
      </c>
      <c r="AY56" s="74">
        <f>'Source VoT'!$D$46*VLOOKUP($B56,'Indirect tax correction'!$B$27:$I$127,8,FALSE)*VLOOKUP($B56,'Annual Parameters'!$B$33:$W$143,22,FALSE)/VLOOKUP('Source VoT'!$F$27,'Annual Parameters'!$B$33:$W$143,22,FALSE)*VLOOKUP($B$14,'Annual Parameters'!$B$33:$W$143,3,FALSE)/VLOOKUP('Source VoT'!$E$27,'Annual Parameters'!$B$33:$W$143,3,FALSE)</f>
        <v>6.9639861057320589</v>
      </c>
      <c r="AZ56" s="2875"/>
      <c r="BA56" s="2875"/>
      <c r="BB56" s="2875"/>
      <c r="BC56" s="2875"/>
      <c r="BD56" s="2875"/>
      <c r="BE56" s="2875"/>
      <c r="BF56" s="2875"/>
      <c r="BG56" s="2875"/>
    </row>
    <row r="57" spans="1:59" ht="13.5" customHeight="1">
      <c r="A57" s="90"/>
      <c r="B57" s="82">
        <f t="shared" si="0"/>
        <v>2040</v>
      </c>
      <c r="C57" s="82"/>
      <c r="D57" s="117">
        <f>'Source VoT'!$D$27*VLOOKUP($B57,'Indirect tax correction'!$B$27:$I$127,5,FALSE)*VLOOKUP($B57,'Annual Parameters'!$B$33:$W$143,21,FALSE)/VLOOKUP('Source VoT'!$F$27,'Annual Parameters'!$B$33:$W$143,21,FALSE)*VLOOKUP($B$14,'Annual Parameters'!$B$33:$W$143,3,FALSE)/VLOOKUP('Source VoT'!$E$27,'Annual Parameters'!$B$33:$W$143,3,FALSE)</f>
        <v>23.23000828985646</v>
      </c>
      <c r="E57" s="73">
        <f>'Source VoT'!$D$28*VLOOKUP($B57,'Indirect tax correction'!$B$27:$I$127,5,FALSE)*VLOOKUP($B57,'Annual Parameters'!$B$33:$W$143,21,FALSE)/VLOOKUP('Source VoT'!$F$27,'Annual Parameters'!$B$33:$W$143,21,FALSE)*VLOOKUP($B$14,'Annual Parameters'!$B$33:$W$143,3,FALSE)/VLOOKUP('Source VoT'!$E$27,'Annual Parameters'!$B$33:$W$143,3,FALSE)</f>
        <v>23.23000828985646</v>
      </c>
      <c r="F57" s="73">
        <f>'Source VoT'!$D$29*VLOOKUP($B57,'Indirect tax correction'!$B$27:$I$127,5,FALSE)*VLOOKUP($B57,'Annual Parameters'!$B$33:$W$143,21,FALSE)/VLOOKUP('Source VoT'!$F$27,'Annual Parameters'!$B$33:$W$143,21,FALSE)*VLOOKUP($B$14,'Annual Parameters'!$B$33:$W$143,3,FALSE)/VLOOKUP('Source VoT'!$E$27,'Annual Parameters'!$B$33:$W$143,3,FALSE)</f>
        <v>15.995655393884011</v>
      </c>
      <c r="G57" s="73">
        <f>'Source VoT'!$D$30*VLOOKUP($B57,'Indirect tax correction'!$B$27:$I$127,5,FALSE)*VLOOKUP($B57,'Annual Parameters'!$B$33:$W$143,21,FALSE)/VLOOKUP('Source VoT'!$F$27,'Annual Parameters'!$B$33:$W$143,21,FALSE)*VLOOKUP($B$14,'Annual Parameters'!$B$33:$W$143,3,FALSE)/VLOOKUP('Source VoT'!$E$27,'Annual Parameters'!$B$33:$W$143,3,FALSE)</f>
        <v>18.84673285992352</v>
      </c>
      <c r="H57" s="73">
        <f>'Source VoT'!$D$31*VLOOKUP($B57,'Indirect tax correction'!$B$27:$I$127,5,FALSE)*VLOOKUP($B57,'Annual Parameters'!$B$33:$W$143,21,FALSE)/VLOOKUP('Source VoT'!$F$27,'Annual Parameters'!$B$33:$W$143,21,FALSE)*VLOOKUP($B$14,'Annual Parameters'!$B$33:$W$143,3,FALSE)/VLOOKUP('Source VoT'!$E$27,'Annual Parameters'!$B$33:$W$143,3,FALSE)</f>
        <v>19.254029640786307</v>
      </c>
      <c r="I57" s="73">
        <f>'Source VoT'!$D$32*VLOOKUP($B57,'Indirect tax correction'!$B$27:$I$127,5,FALSE)*VLOOKUP($B57,'Annual Parameters'!$B$33:$W$143,21,FALSE)/VLOOKUP('Source VoT'!$F$27,'Annual Parameters'!$B$33:$W$143,21,FALSE)*VLOOKUP($B$14,'Annual Parameters'!$B$33:$W$143,3,FALSE)/VLOOKUP('Source VoT'!$E$27,'Annual Parameters'!$B$33:$W$143,3,FALSE)</f>
        <v>13.164115663559519</v>
      </c>
      <c r="J57" s="73">
        <f>'Source VoT'!$D$33*VLOOKUP($B57,'Indirect tax correction'!$B$27:$I$127,5,FALSE)*VLOOKUP($B57,'Annual Parameters'!$B$33:$W$143,21,FALSE)/VLOOKUP('Source VoT'!$F$27,'Annual Parameters'!$B$33:$W$143,21,FALSE)*VLOOKUP($B$14,'Annual Parameters'!$B$33:$W$143,3,FALSE)/VLOOKUP('Source VoT'!$E$27,'Annual Parameters'!$B$33:$W$143,3,FALSE)</f>
        <v>17.013897346040974</v>
      </c>
      <c r="K57" s="73">
        <f>'Source VoT'!$D$34*VLOOKUP($B57,'Indirect tax correction'!$B$27:$I$127,5,FALSE)*VLOOKUP($B57,'Annual Parameters'!$B$33:$W$143,21,FALSE)/VLOOKUP('Source VoT'!$F$27,'Annual Parameters'!$B$33:$W$143,21,FALSE)*VLOOKUP($B$14,'Annual Parameters'!$B$33:$W$143,3,FALSE)/VLOOKUP('Source VoT'!$E$27,'Annual Parameters'!$B$33:$W$143,3,FALSE)</f>
        <v>23.23000828985646</v>
      </c>
      <c r="L57" s="73">
        <f>'Source VoT'!$D$35*VLOOKUP($B57,'Indirect tax correction'!$B$27:$I$127,5,FALSE)*VLOOKUP($B57,'Annual Parameters'!$B$33:$W$143,21,FALSE)/VLOOKUP('Source VoT'!$F$27,'Annual Parameters'!$B$33:$W$143,21,FALSE)*VLOOKUP($B$14,'Annual Parameters'!$B$33:$W$143,3,FALSE)/VLOOKUP('Source VoT'!$E$27,'Annual Parameters'!$B$33:$W$143,3,FALSE)</f>
        <v>38.318186404231795</v>
      </c>
      <c r="M57" s="73">
        <f>'Source VoT'!$D$36*VLOOKUP($B57,'Indirect tax correction'!$B$27:$I$127,5,FALSE)*VLOOKUP($B57,'Annual Parameters'!$B$33:$W$143,21,FALSE)/VLOOKUP('Source VoT'!$F$27,'Annual Parameters'!$B$33:$W$143,21,FALSE)*VLOOKUP($B$14,'Annual Parameters'!$B$33:$W$143,3,FALSE)/VLOOKUP('Source VoT'!$E$27,'Annual Parameters'!$B$33:$W$143,3,FALSE)</f>
        <v>13.164115663559519</v>
      </c>
      <c r="N57" s="73">
        <f>'Source VoT'!$D$37*VLOOKUP($B57,'Indirect tax correction'!$B$27:$I$127,5,FALSE)*VLOOKUP($B57,'Annual Parameters'!$B$33:$W$143,21,FALSE)/VLOOKUP('Source VoT'!$F$27,'Annual Parameters'!$B$33:$W$143,21,FALSE)*VLOOKUP($B$14,'Annual Parameters'!$B$33:$W$143,3,FALSE)/VLOOKUP('Source VoT'!$E$27,'Annual Parameters'!$B$33:$W$143,3,FALSE)</f>
        <v>13.164115663559519</v>
      </c>
      <c r="O57" s="73">
        <f>'Source VoT'!$D$38*VLOOKUP($B57,'Indirect tax correction'!$B$27:$I$127,5,FALSE)*VLOOKUP($B57,'Annual Parameters'!$B$33:$W$143,21,FALSE)/VLOOKUP('Source VoT'!$F$27,'Annual Parameters'!$B$33:$W$143,21,FALSE)*VLOOKUP($B$14,'Annual Parameters'!$B$33:$W$143,3,FALSE)/VLOOKUP('Source VoT'!$E$27,'Annual Parameters'!$B$33:$W$143,3,FALSE)</f>
        <v>13.164115663559519</v>
      </c>
      <c r="P57" s="73">
        <f>'Source VoT'!$D$39*VLOOKUP($B57,'Indirect tax correction'!$B$27:$I$127,5,FALSE)*VLOOKUP($B57,'Annual Parameters'!$B$33:$W$143,21,FALSE)/VLOOKUP('Source VoT'!$F$27,'Annual Parameters'!$B$33:$W$143,21,FALSE)*VLOOKUP($B$14,'Annual Parameters'!$B$33:$W$143,3,FALSE)/VLOOKUP('Source VoT'!$E$27,'Annual Parameters'!$B$33:$W$143,3,FALSE)</f>
        <v>23.23000828985646</v>
      </c>
      <c r="Q57" s="74">
        <f>'Source VoT'!$D$40*VLOOKUP($B57,'Indirect tax correction'!$B$27:$I$127,5,FALSE)*VLOOKUP($B57,'Annual Parameters'!$B$33:$W$143,21,FALSE)/VLOOKUP('Source VoT'!$F$27,'Annual Parameters'!$B$33:$W$143,21,FALSE)*VLOOKUP($B$14,'Annual Parameters'!$B$33:$W$143,3,FALSE)/VLOOKUP('Source VoT'!$E$27,'Annual Parameters'!$B$33:$W$143,3,FALSE)</f>
        <v>25.302779882314614</v>
      </c>
      <c r="R57" s="73">
        <f>'Source VoT'!$D$45*VLOOKUP($B57,'Indirect tax correction'!$B$27:$I$127,6,FALSE)*VLOOKUP($B57,'Annual Parameters'!$B$33:$W$143,22,FALSE)/VLOOKUP('Source VoT'!$F$27,'Annual Parameters'!$B$33:$W$143,22,FALSE)*VLOOKUP($B$14,'Annual Parameters'!$B$33:$W$143,3,FALSE)/VLOOKUP('Source VoT'!$E$27,'Annual Parameters'!$B$33:$W$143,3,FALSE)</f>
        <v>13.070951411063113</v>
      </c>
      <c r="S57" s="73">
        <f>'Source VoT'!$D$46*VLOOKUP($B57,'Indirect tax correction'!$B$27:$I$127,6,FALSE)*VLOOKUP($B57,'Annual Parameters'!$B$33:$W$143,22,FALSE)/VLOOKUP('Source VoT'!$F$27,'Annual Parameters'!$B$33:$W$143,22,FALSE)*VLOOKUP($B$14,'Annual Parameters'!$B$33:$W$143,3,FALSE)/VLOOKUP('Source VoT'!$E$27,'Annual Parameters'!$B$33:$W$143,3,FALSE)</f>
        <v>5.9659744848484202</v>
      </c>
      <c r="T57" s="117">
        <f>'Source VoT'!$D$27*1*VLOOKUP($B57,'Annual Parameters'!$B$33:$W$143,21,FALSE)/VLOOKUP('Source VoT'!$F$27,'Annual Parameters'!$B$33:$W$143,21,FALSE)*VLOOKUP($B$14,'Annual Parameters'!$B$33:$W$143,3,FALSE)/VLOOKUP('Source VoT'!$E$27,'Annual Parameters'!$B$33:$W$143,3,FALSE)</f>
        <v>23.23000828985646</v>
      </c>
      <c r="U57" s="73">
        <f>'Source VoT'!$D$28*1*VLOOKUP($B57,'Annual Parameters'!$B$33:$W$143,21,FALSE)/VLOOKUP('Source VoT'!$F$27,'Annual Parameters'!$B$33:$W$143,21,FALSE)*VLOOKUP($B$14,'Annual Parameters'!$B$33:$W$143,3,FALSE)/VLOOKUP('Source VoT'!$E$27,'Annual Parameters'!$B$33:$W$143,3,FALSE)</f>
        <v>23.23000828985646</v>
      </c>
      <c r="V57" s="73">
        <f>'Source VoT'!$D$29*1*VLOOKUP($B57,'Annual Parameters'!$B$33:$W$143,21,FALSE)/VLOOKUP('Source VoT'!$F$27,'Annual Parameters'!$B$33:$W$143,21,FALSE)*VLOOKUP($B$14,'Annual Parameters'!$B$33:$W$143,3,FALSE)/VLOOKUP('Source VoT'!$E$27,'Annual Parameters'!$B$33:$W$143,3,FALSE)</f>
        <v>15.995655393884011</v>
      </c>
      <c r="W57" s="73">
        <f>'Source VoT'!$D$30*1*VLOOKUP($B57,'Annual Parameters'!$B$33:$W$143,21,FALSE)/VLOOKUP('Source VoT'!$F$27,'Annual Parameters'!$B$33:$W$143,21,FALSE)*VLOOKUP($B$14,'Annual Parameters'!$B$33:$W$143,3,FALSE)/VLOOKUP('Source VoT'!$E$27,'Annual Parameters'!$B$33:$W$143,3,FALSE)</f>
        <v>18.84673285992352</v>
      </c>
      <c r="X57" s="73">
        <f>'Source VoT'!$D$31*1*VLOOKUP($B57,'Annual Parameters'!$B$33:$W$143,21,FALSE)/VLOOKUP('Source VoT'!$F$27,'Annual Parameters'!$B$33:$W$143,21,FALSE)*VLOOKUP($B$14,'Annual Parameters'!$B$33:$W$143,3,FALSE)/VLOOKUP('Source VoT'!$E$27,'Annual Parameters'!$B$33:$W$143,3,FALSE)</f>
        <v>19.254029640786307</v>
      </c>
      <c r="Y57" s="73">
        <f>'Source VoT'!$D$32*1*VLOOKUP($B57,'Annual Parameters'!$B$33:$W$143,21,FALSE)/VLOOKUP('Source VoT'!$F$27,'Annual Parameters'!$B$33:$W$143,21,FALSE)*VLOOKUP($B$14,'Annual Parameters'!$B$33:$W$143,3,FALSE)/VLOOKUP('Source VoT'!$E$27,'Annual Parameters'!$B$33:$W$143,3,FALSE)</f>
        <v>13.164115663559519</v>
      </c>
      <c r="Z57" s="73">
        <f>'Source VoT'!$D$33*1*VLOOKUP($B57,'Annual Parameters'!$B$33:$W$143,21,FALSE)/VLOOKUP('Source VoT'!$F$27,'Annual Parameters'!$B$33:$W$143,21,FALSE)*VLOOKUP($B$14,'Annual Parameters'!$B$33:$W$143,3,FALSE)/VLOOKUP('Source VoT'!$E$27,'Annual Parameters'!$B$33:$W$143,3,FALSE)</f>
        <v>17.013897346040974</v>
      </c>
      <c r="AA57" s="73">
        <f>'Source VoT'!$D$34*1*VLOOKUP($B57,'Annual Parameters'!$B$33:$W$143,21,FALSE)/VLOOKUP('Source VoT'!$F$27,'Annual Parameters'!$B$33:$W$143,21,FALSE)*VLOOKUP($B$14,'Annual Parameters'!$B$33:$W$143,3,FALSE)/VLOOKUP('Source VoT'!$E$27,'Annual Parameters'!$B$33:$W$143,3,FALSE)</f>
        <v>23.23000828985646</v>
      </c>
      <c r="AB57" s="73">
        <f>'Source VoT'!$D$35*1*VLOOKUP($B57,'Annual Parameters'!$B$33:$W$143,21,FALSE)/VLOOKUP('Source VoT'!$F$27,'Annual Parameters'!$B$33:$W$143,21,FALSE)*VLOOKUP($B$14,'Annual Parameters'!$B$33:$W$143,3,FALSE)/VLOOKUP('Source VoT'!$E$27,'Annual Parameters'!$B$33:$W$143,3,FALSE)</f>
        <v>38.318186404231795</v>
      </c>
      <c r="AC57" s="73">
        <f>'Source VoT'!$D$36*1*VLOOKUP($B57,'Annual Parameters'!$B$33:$W$143,21,FALSE)/VLOOKUP('Source VoT'!$F$27,'Annual Parameters'!$B$33:$W$143,21,FALSE)*VLOOKUP($B$14,'Annual Parameters'!$B$33:$W$143,3,FALSE)/VLOOKUP('Source VoT'!$E$27,'Annual Parameters'!$B$33:$W$143,3,FALSE)</f>
        <v>13.164115663559519</v>
      </c>
      <c r="AD57" s="73">
        <f>'Source VoT'!$D$37*1*VLOOKUP($B57,'Annual Parameters'!$B$33:$W$143,21,FALSE)/VLOOKUP('Source VoT'!$F$27,'Annual Parameters'!$B$33:$W$143,21,FALSE)*VLOOKUP($B$14,'Annual Parameters'!$B$33:$W$143,3,FALSE)/VLOOKUP('Source VoT'!$E$27,'Annual Parameters'!$B$33:$W$143,3,FALSE)</f>
        <v>13.164115663559519</v>
      </c>
      <c r="AE57" s="73">
        <f>'Source VoT'!$D$38*1*VLOOKUP($B57,'Annual Parameters'!$B$33:$W$143,21,FALSE)/VLOOKUP('Source VoT'!$F$27,'Annual Parameters'!$B$33:$W$143,21,FALSE)*VLOOKUP($B$14,'Annual Parameters'!$B$33:$W$143,3,FALSE)/VLOOKUP('Source VoT'!$E$27,'Annual Parameters'!$B$33:$W$143,3,FALSE)</f>
        <v>13.164115663559519</v>
      </c>
      <c r="AF57" s="73">
        <f>'Source VoT'!$D$39*1*VLOOKUP($B57,'Annual Parameters'!$B$33:$W$143,21,FALSE)/VLOOKUP('Source VoT'!$F$27,'Annual Parameters'!$B$33:$W$143,21,FALSE)*VLOOKUP($B$14,'Annual Parameters'!$B$33:$W$143,3,FALSE)/VLOOKUP('Source VoT'!$E$27,'Annual Parameters'!$B$33:$W$143,3,FALSE)</f>
        <v>23.23000828985646</v>
      </c>
      <c r="AG57" s="74">
        <f>'Source VoT'!$D$40*1*VLOOKUP($B57,'Annual Parameters'!$B$33:$W$143,21,FALSE)/VLOOKUP('Source VoT'!$F$27,'Annual Parameters'!$B$33:$W$143,21,FALSE)*VLOOKUP($B$14,'Annual Parameters'!$B$33:$W$143,3,FALSE)/VLOOKUP('Source VoT'!$E$27,'Annual Parameters'!$B$33:$W$143,3,FALSE)</f>
        <v>25.302779882314614</v>
      </c>
      <c r="AH57" s="73">
        <f>'Source VoT'!$D$45*1*VLOOKUP($B57,'Annual Parameters'!$B$33:$W$143,22,FALSE)/VLOOKUP('Source VoT'!$F$27,'Annual Parameters'!$B$33:$W$143,22,FALSE)*VLOOKUP($B$14,'Annual Parameters'!$B$33:$W$143,3,FALSE)/VLOOKUP('Source VoT'!$E$27,'Annual Parameters'!$B$33:$W$143,3,FALSE)</f>
        <v>15.554432179165103</v>
      </c>
      <c r="AI57" s="73">
        <f>'Source VoT'!$D$46*1*VLOOKUP($B57,'Annual Parameters'!$B$33:$W$143,22,FALSE)/VLOOKUP('Source VoT'!$F$27,'Annual Parameters'!$B$33:$W$143,22,FALSE)*VLOOKUP($B$14,'Annual Parameters'!$B$33:$W$143,3,FALSE)/VLOOKUP('Source VoT'!$E$27,'Annual Parameters'!$B$33:$W$143,3,FALSE)</f>
        <v>7.0995096369696205</v>
      </c>
      <c r="AJ57" s="117">
        <f>'Source VoT'!$D$27*VLOOKUP($B57,'Indirect tax correction'!$B$27:$I$127,7,FALSE)*VLOOKUP($B57,'Annual Parameters'!$B$33:$W$143,21,FALSE)/VLOOKUP('Source VoT'!$F$27,'Annual Parameters'!$B$33:$W$143,21,FALSE)*VLOOKUP($B$14,'Annual Parameters'!$B$33:$W$143,3,FALSE)/VLOOKUP('Source VoT'!$E$27,'Annual Parameters'!$B$33:$W$143,3,FALSE)</f>
        <v>27.643709864929189</v>
      </c>
      <c r="AK57" s="73">
        <f>'Source VoT'!$D$28*VLOOKUP($B57,'Indirect tax correction'!$B$27:$I$127,7,FALSE)*VLOOKUP($B57,'Annual Parameters'!$B$33:$W$143,21,FALSE)/VLOOKUP('Source VoT'!$F$27,'Annual Parameters'!$B$33:$W$143,21,FALSE)*VLOOKUP($B$14,'Annual Parameters'!$B$33:$W$143,3,FALSE)/VLOOKUP('Source VoT'!$E$27,'Annual Parameters'!$B$33:$W$143,3,FALSE)</f>
        <v>27.643709864929189</v>
      </c>
      <c r="AL57" s="73">
        <f>'Source VoT'!$D$29*VLOOKUP($B57,'Indirect tax correction'!$B$27:$I$127,7,FALSE)*VLOOKUP($B57,'Annual Parameters'!$B$33:$W$143,21,FALSE)/VLOOKUP('Source VoT'!$F$27,'Annual Parameters'!$B$33:$W$143,21,FALSE)*VLOOKUP($B$14,'Annual Parameters'!$B$33:$W$143,3,FALSE)/VLOOKUP('Source VoT'!$E$27,'Annual Parameters'!$B$33:$W$143,3,FALSE)</f>
        <v>19.034829918721972</v>
      </c>
      <c r="AM57" s="73">
        <f>'Source VoT'!$D$30*VLOOKUP($B57,'Indirect tax correction'!$B$27:$I$127,7,FALSE)*VLOOKUP($B57,'Annual Parameters'!$B$33:$W$143,21,FALSE)/VLOOKUP('Source VoT'!$F$27,'Annual Parameters'!$B$33:$W$143,21,FALSE)*VLOOKUP($B$14,'Annual Parameters'!$B$33:$W$143,3,FALSE)/VLOOKUP('Source VoT'!$E$27,'Annual Parameters'!$B$33:$W$143,3,FALSE)</f>
        <v>22.427612103308988</v>
      </c>
      <c r="AN57" s="73">
        <f>'Source VoT'!$D$31*VLOOKUP($B57,'Indirect tax correction'!$B$27:$I$127,7,FALSE)*VLOOKUP($B57,'Annual Parameters'!$B$33:$W$143,21,FALSE)/VLOOKUP('Source VoT'!$F$27,'Annual Parameters'!$B$33:$W$143,21,FALSE)*VLOOKUP($B$14,'Annual Parameters'!$B$33:$W$143,3,FALSE)/VLOOKUP('Source VoT'!$E$27,'Annual Parameters'!$B$33:$W$143,3,FALSE)</f>
        <v>22.912295272535701</v>
      </c>
      <c r="AO57" s="73">
        <f>'Source VoT'!$D$32*VLOOKUP($B57,'Indirect tax correction'!$B$27:$I$127,7,FALSE)*VLOOKUP($B57,'Annual Parameters'!$B$33:$W$143,21,FALSE)/VLOOKUP('Source VoT'!$F$27,'Annual Parameters'!$B$33:$W$143,21,FALSE)*VLOOKUP($B$14,'Annual Parameters'!$B$33:$W$143,3,FALSE)/VLOOKUP('Source VoT'!$E$27,'Annual Parameters'!$B$33:$W$143,3,FALSE)</f>
        <v>15.665297639635826</v>
      </c>
      <c r="AP57" s="73">
        <f>'Source VoT'!$D$33*VLOOKUP($B57,'Indirect tax correction'!$B$27:$I$127,7,FALSE)*VLOOKUP($B57,'Annual Parameters'!$B$33:$W$143,21,FALSE)/VLOOKUP('Source VoT'!$F$27,'Annual Parameters'!$B$33:$W$143,21,FALSE)*VLOOKUP($B$14,'Annual Parameters'!$B$33:$W$143,3,FALSE)/VLOOKUP('Source VoT'!$E$27,'Annual Parameters'!$B$33:$W$143,3,FALSE)</f>
        <v>20.246537841788761</v>
      </c>
      <c r="AQ57" s="73">
        <f>'Source VoT'!$D$34*VLOOKUP($B57,'Indirect tax correction'!$B$27:$I$127,7,FALSE)*VLOOKUP($B57,'Annual Parameters'!$B$33:$W$143,21,FALSE)/VLOOKUP('Source VoT'!$F$27,'Annual Parameters'!$B$33:$W$143,21,FALSE)*VLOOKUP($B$14,'Annual Parameters'!$B$33:$W$143,3,FALSE)/VLOOKUP('Source VoT'!$E$27,'Annual Parameters'!$B$33:$W$143,3,FALSE)</f>
        <v>27.643709864929189</v>
      </c>
      <c r="AR57" s="73">
        <f>'Source VoT'!$D$35*VLOOKUP($B57,'Indirect tax correction'!$B$27:$I$127,7,FALSE)*VLOOKUP($B57,'Annual Parameters'!$B$33:$W$143,21,FALSE)/VLOOKUP('Source VoT'!$F$27,'Annual Parameters'!$B$33:$W$143,21,FALSE)*VLOOKUP($B$14,'Annual Parameters'!$B$33:$W$143,3,FALSE)/VLOOKUP('Source VoT'!$E$27,'Annual Parameters'!$B$33:$W$143,3,FALSE)</f>
        <v>45.598641821035827</v>
      </c>
      <c r="AS57" s="73">
        <f>'Source VoT'!$D$36*VLOOKUP($B57,'Indirect tax correction'!$B$27:$I$127,7,FALSE)*VLOOKUP($B57,'Annual Parameters'!$B$33:$W$143,21,FALSE)/VLOOKUP('Source VoT'!$F$27,'Annual Parameters'!$B$33:$W$143,21,FALSE)*VLOOKUP($B$14,'Annual Parameters'!$B$33:$W$143,3,FALSE)/VLOOKUP('Source VoT'!$E$27,'Annual Parameters'!$B$33:$W$143,3,FALSE)</f>
        <v>15.665297639635826</v>
      </c>
      <c r="AT57" s="73">
        <f>'Source VoT'!$D$37*VLOOKUP($B57,'Indirect tax correction'!$B$27:$I$127,7,FALSE)*VLOOKUP($B57,'Annual Parameters'!$B$33:$W$143,21,FALSE)/VLOOKUP('Source VoT'!$F$27,'Annual Parameters'!$B$33:$W$143,21,FALSE)*VLOOKUP($B$14,'Annual Parameters'!$B$33:$W$143,3,FALSE)/VLOOKUP('Source VoT'!$E$27,'Annual Parameters'!$B$33:$W$143,3,FALSE)</f>
        <v>15.665297639635826</v>
      </c>
      <c r="AU57" s="73">
        <f>'Source VoT'!$D$38*VLOOKUP($B57,'Indirect tax correction'!$B$27:$I$127,7,FALSE)*VLOOKUP($B57,'Annual Parameters'!$B$33:$W$143,21,FALSE)/VLOOKUP('Source VoT'!$F$27,'Annual Parameters'!$B$33:$W$143,21,FALSE)*VLOOKUP($B$14,'Annual Parameters'!$B$33:$W$143,3,FALSE)/VLOOKUP('Source VoT'!$E$27,'Annual Parameters'!$B$33:$W$143,3,FALSE)</f>
        <v>15.665297639635826</v>
      </c>
      <c r="AV57" s="73">
        <f>'Source VoT'!$D$39*VLOOKUP($B57,'Indirect tax correction'!$B$27:$I$127,7,FALSE)*VLOOKUP($B57,'Annual Parameters'!$B$33:$W$143,21,FALSE)/VLOOKUP('Source VoT'!$F$27,'Annual Parameters'!$B$33:$W$143,21,FALSE)*VLOOKUP($B$14,'Annual Parameters'!$B$33:$W$143,3,FALSE)/VLOOKUP('Source VoT'!$E$27,'Annual Parameters'!$B$33:$W$143,3,FALSE)</f>
        <v>27.643709864929189</v>
      </c>
      <c r="AW57" s="74">
        <f>'Source VoT'!$D$40*VLOOKUP($B57,'Indirect tax correction'!$B$27:$I$127,7,FALSE)*VLOOKUP($B57,'Annual Parameters'!$B$33:$W$143,21,FALSE)/VLOOKUP('Source VoT'!$F$27,'Annual Parameters'!$B$33:$W$143,21,FALSE)*VLOOKUP($B$14,'Annual Parameters'!$B$33:$W$143,3,FALSE)/VLOOKUP('Source VoT'!$E$27,'Annual Parameters'!$B$33:$W$143,3,FALSE)</f>
        <v>30.110308059954392</v>
      </c>
      <c r="AX57" s="73">
        <f>'Source VoT'!$D$45*VLOOKUP($B57,'Indirect tax correction'!$B$27:$I$127,8,FALSE)*VLOOKUP($B57,'Annual Parameters'!$B$33:$W$143,22,FALSE)/VLOOKUP('Source VoT'!$F$27,'Annual Parameters'!$B$33:$W$143,22,FALSE)*VLOOKUP($B$14,'Annual Parameters'!$B$33:$W$143,3,FALSE)/VLOOKUP('Source VoT'!$E$27,'Annual Parameters'!$B$33:$W$143,3,FALSE)</f>
        <v>15.554432179165103</v>
      </c>
      <c r="AY57" s="74">
        <f>'Source VoT'!$D$46*VLOOKUP($B57,'Indirect tax correction'!$B$27:$I$127,8,FALSE)*VLOOKUP($B57,'Annual Parameters'!$B$33:$W$143,22,FALSE)/VLOOKUP('Source VoT'!$F$27,'Annual Parameters'!$B$33:$W$143,22,FALSE)*VLOOKUP($B$14,'Annual Parameters'!$B$33:$W$143,3,FALSE)/VLOOKUP('Source VoT'!$E$27,'Annual Parameters'!$B$33:$W$143,3,FALSE)</f>
        <v>7.0995096369696205</v>
      </c>
      <c r="AZ57" s="2875"/>
      <c r="BA57" s="2875"/>
      <c r="BB57" s="2875"/>
      <c r="BC57" s="2875"/>
      <c r="BD57" s="2875"/>
      <c r="BE57" s="2875"/>
      <c r="BF57" s="2875"/>
      <c r="BG57" s="2875"/>
    </row>
    <row r="58" spans="1:59" ht="13.5" customHeight="1">
      <c r="A58" s="90"/>
      <c r="B58" s="82">
        <f t="shared" si="0"/>
        <v>2041</v>
      </c>
      <c r="C58" s="82"/>
      <c r="D58" s="117">
        <f>'Source VoT'!$D$27*VLOOKUP($B58,'Indirect tax correction'!$B$27:$I$127,5,FALSE)*VLOOKUP($B58,'Annual Parameters'!$B$33:$W$143,21,FALSE)/VLOOKUP('Source VoT'!$F$27,'Annual Parameters'!$B$33:$W$143,21,FALSE)*VLOOKUP($B$14,'Annual Parameters'!$B$33:$W$143,3,FALSE)/VLOOKUP('Source VoT'!$E$27,'Annual Parameters'!$B$33:$W$143,3,FALSE)</f>
        <v>23.683217927732183</v>
      </c>
      <c r="E58" s="73">
        <f>'Source VoT'!$D$28*VLOOKUP($B58,'Indirect tax correction'!$B$27:$I$127,5,FALSE)*VLOOKUP($B58,'Annual Parameters'!$B$33:$W$143,21,FALSE)/VLOOKUP('Source VoT'!$F$27,'Annual Parameters'!$B$33:$W$143,21,FALSE)*VLOOKUP($B$14,'Annual Parameters'!$B$33:$W$143,3,FALSE)/VLOOKUP('Source VoT'!$E$27,'Annual Parameters'!$B$33:$W$143,3,FALSE)</f>
        <v>23.683217927732183</v>
      </c>
      <c r="F58" s="73">
        <f>'Source VoT'!$D$29*VLOOKUP($B58,'Indirect tax correction'!$B$27:$I$127,5,FALSE)*VLOOKUP($B58,'Annual Parameters'!$B$33:$W$143,21,FALSE)/VLOOKUP('Source VoT'!$F$27,'Annual Parameters'!$B$33:$W$143,21,FALSE)*VLOOKUP($B$14,'Annual Parameters'!$B$33:$W$143,3,FALSE)/VLOOKUP('Source VoT'!$E$27,'Annual Parameters'!$B$33:$W$143,3,FALSE)</f>
        <v>16.307725243287056</v>
      </c>
      <c r="G58" s="73">
        <f>'Source VoT'!$D$30*VLOOKUP($B58,'Indirect tax correction'!$B$27:$I$127,5,FALSE)*VLOOKUP($B58,'Annual Parameters'!$B$33:$W$143,21,FALSE)/VLOOKUP('Source VoT'!$F$27,'Annual Parameters'!$B$33:$W$143,21,FALSE)*VLOOKUP($B$14,'Annual Parameters'!$B$33:$W$143,3,FALSE)/VLOOKUP('Source VoT'!$E$27,'Annual Parameters'!$B$33:$W$143,3,FALSE)</f>
        <v>19.214426270447017</v>
      </c>
      <c r="H58" s="73">
        <f>'Source VoT'!$D$31*VLOOKUP($B58,'Indirect tax correction'!$B$27:$I$127,5,FALSE)*VLOOKUP($B58,'Annual Parameters'!$B$33:$W$143,21,FALSE)/VLOOKUP('Source VoT'!$F$27,'Annual Parameters'!$B$33:$W$143,21,FALSE)*VLOOKUP($B$14,'Annual Parameters'!$B$33:$W$143,3,FALSE)/VLOOKUP('Source VoT'!$E$27,'Annual Parameters'!$B$33:$W$143,3,FALSE)</f>
        <v>19.629669274327014</v>
      </c>
      <c r="I58" s="73">
        <f>'Source VoT'!$D$32*VLOOKUP($B58,'Indirect tax correction'!$B$27:$I$127,5,FALSE)*VLOOKUP($B58,'Annual Parameters'!$B$33:$W$143,21,FALSE)/VLOOKUP('Source VoT'!$F$27,'Annual Parameters'!$B$33:$W$143,21,FALSE)*VLOOKUP($B$14,'Annual Parameters'!$B$33:$W$143,3,FALSE)/VLOOKUP('Source VoT'!$E$27,'Annual Parameters'!$B$33:$W$143,3,FALSE)</f>
        <v>13.420943126485612</v>
      </c>
      <c r="J58" s="73">
        <f>'Source VoT'!$D$33*VLOOKUP($B58,'Indirect tax correction'!$B$27:$I$127,5,FALSE)*VLOOKUP($B58,'Annual Parameters'!$B$33:$W$143,21,FALSE)/VLOOKUP('Source VoT'!$F$27,'Annual Parameters'!$B$33:$W$143,21,FALSE)*VLOOKUP($B$14,'Annual Parameters'!$B$33:$W$143,3,FALSE)/VLOOKUP('Source VoT'!$E$27,'Annual Parameters'!$B$33:$W$143,3,FALSE)</f>
        <v>17.345832752987043</v>
      </c>
      <c r="K58" s="73">
        <f>'Source VoT'!$D$34*VLOOKUP($B58,'Indirect tax correction'!$B$27:$I$127,5,FALSE)*VLOOKUP($B58,'Annual Parameters'!$B$33:$W$143,21,FALSE)/VLOOKUP('Source VoT'!$F$27,'Annual Parameters'!$B$33:$W$143,21,FALSE)*VLOOKUP($B$14,'Annual Parameters'!$B$33:$W$143,3,FALSE)/VLOOKUP('Source VoT'!$E$27,'Annual Parameters'!$B$33:$W$143,3,FALSE)</f>
        <v>23.683217927732183</v>
      </c>
      <c r="L58" s="73">
        <f>'Source VoT'!$D$35*VLOOKUP($B58,'Indirect tax correction'!$B$27:$I$127,5,FALSE)*VLOOKUP($B58,'Annual Parameters'!$B$33:$W$143,21,FALSE)/VLOOKUP('Source VoT'!$F$27,'Annual Parameters'!$B$33:$W$143,21,FALSE)*VLOOKUP($B$14,'Annual Parameters'!$B$33:$W$143,3,FALSE)/VLOOKUP('Source VoT'!$E$27,'Annual Parameters'!$B$33:$W$143,3,FALSE)</f>
        <v>39.065761315425405</v>
      </c>
      <c r="M58" s="73">
        <f>'Source VoT'!$D$36*VLOOKUP($B58,'Indirect tax correction'!$B$27:$I$127,5,FALSE)*VLOOKUP($B58,'Annual Parameters'!$B$33:$W$143,21,FALSE)/VLOOKUP('Source VoT'!$F$27,'Annual Parameters'!$B$33:$W$143,21,FALSE)*VLOOKUP($B$14,'Annual Parameters'!$B$33:$W$143,3,FALSE)/VLOOKUP('Source VoT'!$E$27,'Annual Parameters'!$B$33:$W$143,3,FALSE)</f>
        <v>13.420943126485612</v>
      </c>
      <c r="N58" s="73">
        <f>'Source VoT'!$D$37*VLOOKUP($B58,'Indirect tax correction'!$B$27:$I$127,5,FALSE)*VLOOKUP($B58,'Annual Parameters'!$B$33:$W$143,21,FALSE)/VLOOKUP('Source VoT'!$F$27,'Annual Parameters'!$B$33:$W$143,21,FALSE)*VLOOKUP($B$14,'Annual Parameters'!$B$33:$W$143,3,FALSE)/VLOOKUP('Source VoT'!$E$27,'Annual Parameters'!$B$33:$W$143,3,FALSE)</f>
        <v>13.420943126485612</v>
      </c>
      <c r="O58" s="73">
        <f>'Source VoT'!$D$38*VLOOKUP($B58,'Indirect tax correction'!$B$27:$I$127,5,FALSE)*VLOOKUP($B58,'Annual Parameters'!$B$33:$W$143,21,FALSE)/VLOOKUP('Source VoT'!$F$27,'Annual Parameters'!$B$33:$W$143,21,FALSE)*VLOOKUP($B$14,'Annual Parameters'!$B$33:$W$143,3,FALSE)/VLOOKUP('Source VoT'!$E$27,'Annual Parameters'!$B$33:$W$143,3,FALSE)</f>
        <v>13.420943126485612</v>
      </c>
      <c r="P58" s="73">
        <f>'Source VoT'!$D$39*VLOOKUP($B58,'Indirect tax correction'!$B$27:$I$127,5,FALSE)*VLOOKUP($B58,'Annual Parameters'!$B$33:$W$143,21,FALSE)/VLOOKUP('Source VoT'!$F$27,'Annual Parameters'!$B$33:$W$143,21,FALSE)*VLOOKUP($B$14,'Annual Parameters'!$B$33:$W$143,3,FALSE)/VLOOKUP('Source VoT'!$E$27,'Annual Parameters'!$B$33:$W$143,3,FALSE)</f>
        <v>23.683217927732183</v>
      </c>
      <c r="Q58" s="74">
        <f>'Source VoT'!$D$40*VLOOKUP($B58,'Indirect tax correction'!$B$27:$I$127,5,FALSE)*VLOOKUP($B58,'Annual Parameters'!$B$33:$W$143,21,FALSE)/VLOOKUP('Source VoT'!$F$27,'Annual Parameters'!$B$33:$W$143,21,FALSE)*VLOOKUP($B$14,'Annual Parameters'!$B$33:$W$143,3,FALSE)/VLOOKUP('Source VoT'!$E$27,'Annual Parameters'!$B$33:$W$143,3,FALSE)</f>
        <v>25.79642859585039</v>
      </c>
      <c r="R58" s="73">
        <f>'Source VoT'!$D$45*VLOOKUP($B58,'Indirect tax correction'!$B$27:$I$127,6,FALSE)*VLOOKUP($B58,'Annual Parameters'!$B$33:$W$143,22,FALSE)/VLOOKUP('Source VoT'!$F$27,'Annual Parameters'!$B$33:$W$143,22,FALSE)*VLOOKUP($B$14,'Annual Parameters'!$B$33:$W$143,3,FALSE)/VLOOKUP('Source VoT'!$E$27,'Annual Parameters'!$B$33:$W$143,3,FALSE)</f>
        <v>13.325961270800692</v>
      </c>
      <c r="S58" s="73">
        <f>'Source VoT'!$D$46*VLOOKUP($B58,'Indirect tax correction'!$B$27:$I$127,6,FALSE)*VLOOKUP($B58,'Annual Parameters'!$B$33:$W$143,22,FALSE)/VLOOKUP('Source VoT'!$F$27,'Annual Parameters'!$B$33:$W$143,22,FALSE)*VLOOKUP($B$14,'Annual Parameters'!$B$33:$W$143,3,FALSE)/VLOOKUP('Source VoT'!$E$27,'Annual Parameters'!$B$33:$W$143,3,FALSE)</f>
        <v>6.0823686377095108</v>
      </c>
      <c r="T58" s="117">
        <f>'Source VoT'!$D$27*1*VLOOKUP($B58,'Annual Parameters'!$B$33:$W$143,21,FALSE)/VLOOKUP('Source VoT'!$F$27,'Annual Parameters'!$B$33:$W$143,21,FALSE)*VLOOKUP($B$14,'Annual Parameters'!$B$33:$W$143,3,FALSE)/VLOOKUP('Source VoT'!$E$27,'Annual Parameters'!$B$33:$W$143,3,FALSE)</f>
        <v>23.683217927732183</v>
      </c>
      <c r="U58" s="73">
        <f>'Source VoT'!$D$28*1*VLOOKUP($B58,'Annual Parameters'!$B$33:$W$143,21,FALSE)/VLOOKUP('Source VoT'!$F$27,'Annual Parameters'!$B$33:$W$143,21,FALSE)*VLOOKUP($B$14,'Annual Parameters'!$B$33:$W$143,3,FALSE)/VLOOKUP('Source VoT'!$E$27,'Annual Parameters'!$B$33:$W$143,3,FALSE)</f>
        <v>23.683217927732183</v>
      </c>
      <c r="V58" s="73">
        <f>'Source VoT'!$D$29*1*VLOOKUP($B58,'Annual Parameters'!$B$33:$W$143,21,FALSE)/VLOOKUP('Source VoT'!$F$27,'Annual Parameters'!$B$33:$W$143,21,FALSE)*VLOOKUP($B$14,'Annual Parameters'!$B$33:$W$143,3,FALSE)/VLOOKUP('Source VoT'!$E$27,'Annual Parameters'!$B$33:$W$143,3,FALSE)</f>
        <v>16.307725243287056</v>
      </c>
      <c r="W58" s="73">
        <f>'Source VoT'!$D$30*1*VLOOKUP($B58,'Annual Parameters'!$B$33:$W$143,21,FALSE)/VLOOKUP('Source VoT'!$F$27,'Annual Parameters'!$B$33:$W$143,21,FALSE)*VLOOKUP($B$14,'Annual Parameters'!$B$33:$W$143,3,FALSE)/VLOOKUP('Source VoT'!$E$27,'Annual Parameters'!$B$33:$W$143,3,FALSE)</f>
        <v>19.214426270447017</v>
      </c>
      <c r="X58" s="73">
        <f>'Source VoT'!$D$31*1*VLOOKUP($B58,'Annual Parameters'!$B$33:$W$143,21,FALSE)/VLOOKUP('Source VoT'!$F$27,'Annual Parameters'!$B$33:$W$143,21,FALSE)*VLOOKUP($B$14,'Annual Parameters'!$B$33:$W$143,3,FALSE)/VLOOKUP('Source VoT'!$E$27,'Annual Parameters'!$B$33:$W$143,3,FALSE)</f>
        <v>19.629669274327014</v>
      </c>
      <c r="Y58" s="73">
        <f>'Source VoT'!$D$32*1*VLOOKUP($B58,'Annual Parameters'!$B$33:$W$143,21,FALSE)/VLOOKUP('Source VoT'!$F$27,'Annual Parameters'!$B$33:$W$143,21,FALSE)*VLOOKUP($B$14,'Annual Parameters'!$B$33:$W$143,3,FALSE)/VLOOKUP('Source VoT'!$E$27,'Annual Parameters'!$B$33:$W$143,3,FALSE)</f>
        <v>13.420943126485612</v>
      </c>
      <c r="Z58" s="73">
        <f>'Source VoT'!$D$33*1*VLOOKUP($B58,'Annual Parameters'!$B$33:$W$143,21,FALSE)/VLOOKUP('Source VoT'!$F$27,'Annual Parameters'!$B$33:$W$143,21,FALSE)*VLOOKUP($B$14,'Annual Parameters'!$B$33:$W$143,3,FALSE)/VLOOKUP('Source VoT'!$E$27,'Annual Parameters'!$B$33:$W$143,3,FALSE)</f>
        <v>17.345832752987043</v>
      </c>
      <c r="AA58" s="73">
        <f>'Source VoT'!$D$34*1*VLOOKUP($B58,'Annual Parameters'!$B$33:$W$143,21,FALSE)/VLOOKUP('Source VoT'!$F$27,'Annual Parameters'!$B$33:$W$143,21,FALSE)*VLOOKUP($B$14,'Annual Parameters'!$B$33:$W$143,3,FALSE)/VLOOKUP('Source VoT'!$E$27,'Annual Parameters'!$B$33:$W$143,3,FALSE)</f>
        <v>23.683217927732183</v>
      </c>
      <c r="AB58" s="73">
        <f>'Source VoT'!$D$35*1*VLOOKUP($B58,'Annual Parameters'!$B$33:$W$143,21,FALSE)/VLOOKUP('Source VoT'!$F$27,'Annual Parameters'!$B$33:$W$143,21,FALSE)*VLOOKUP($B$14,'Annual Parameters'!$B$33:$W$143,3,FALSE)/VLOOKUP('Source VoT'!$E$27,'Annual Parameters'!$B$33:$W$143,3,FALSE)</f>
        <v>39.065761315425405</v>
      </c>
      <c r="AC58" s="73">
        <f>'Source VoT'!$D$36*1*VLOOKUP($B58,'Annual Parameters'!$B$33:$W$143,21,FALSE)/VLOOKUP('Source VoT'!$F$27,'Annual Parameters'!$B$33:$W$143,21,FALSE)*VLOOKUP($B$14,'Annual Parameters'!$B$33:$W$143,3,FALSE)/VLOOKUP('Source VoT'!$E$27,'Annual Parameters'!$B$33:$W$143,3,FALSE)</f>
        <v>13.420943126485612</v>
      </c>
      <c r="AD58" s="73">
        <f>'Source VoT'!$D$37*1*VLOOKUP($B58,'Annual Parameters'!$B$33:$W$143,21,FALSE)/VLOOKUP('Source VoT'!$F$27,'Annual Parameters'!$B$33:$W$143,21,FALSE)*VLOOKUP($B$14,'Annual Parameters'!$B$33:$W$143,3,FALSE)/VLOOKUP('Source VoT'!$E$27,'Annual Parameters'!$B$33:$W$143,3,FALSE)</f>
        <v>13.420943126485612</v>
      </c>
      <c r="AE58" s="73">
        <f>'Source VoT'!$D$38*1*VLOOKUP($B58,'Annual Parameters'!$B$33:$W$143,21,FALSE)/VLOOKUP('Source VoT'!$F$27,'Annual Parameters'!$B$33:$W$143,21,FALSE)*VLOOKUP($B$14,'Annual Parameters'!$B$33:$W$143,3,FALSE)/VLOOKUP('Source VoT'!$E$27,'Annual Parameters'!$B$33:$W$143,3,FALSE)</f>
        <v>13.420943126485612</v>
      </c>
      <c r="AF58" s="73">
        <f>'Source VoT'!$D$39*1*VLOOKUP($B58,'Annual Parameters'!$B$33:$W$143,21,FALSE)/VLOOKUP('Source VoT'!$F$27,'Annual Parameters'!$B$33:$W$143,21,FALSE)*VLOOKUP($B$14,'Annual Parameters'!$B$33:$W$143,3,FALSE)/VLOOKUP('Source VoT'!$E$27,'Annual Parameters'!$B$33:$W$143,3,FALSE)</f>
        <v>23.683217927732183</v>
      </c>
      <c r="AG58" s="74">
        <f>'Source VoT'!$D$40*1*VLOOKUP($B58,'Annual Parameters'!$B$33:$W$143,21,FALSE)/VLOOKUP('Source VoT'!$F$27,'Annual Parameters'!$B$33:$W$143,21,FALSE)*VLOOKUP($B$14,'Annual Parameters'!$B$33:$W$143,3,FALSE)/VLOOKUP('Source VoT'!$E$27,'Annual Parameters'!$B$33:$W$143,3,FALSE)</f>
        <v>25.79642859585039</v>
      </c>
      <c r="AH58" s="73">
        <f>'Source VoT'!$D$45*1*VLOOKUP($B58,'Annual Parameters'!$B$33:$W$143,22,FALSE)/VLOOKUP('Source VoT'!$F$27,'Annual Parameters'!$B$33:$W$143,22,FALSE)*VLOOKUP($B$14,'Annual Parameters'!$B$33:$W$143,3,FALSE)/VLOOKUP('Source VoT'!$E$27,'Annual Parameters'!$B$33:$W$143,3,FALSE)</f>
        <v>15.857893912252822</v>
      </c>
      <c r="AI58" s="73">
        <f>'Source VoT'!$D$46*1*VLOOKUP($B58,'Annual Parameters'!$B$33:$W$143,22,FALSE)/VLOOKUP('Source VoT'!$F$27,'Annual Parameters'!$B$33:$W$143,22,FALSE)*VLOOKUP($B$14,'Annual Parameters'!$B$33:$W$143,3,FALSE)/VLOOKUP('Source VoT'!$E$27,'Annual Parameters'!$B$33:$W$143,3,FALSE)</f>
        <v>7.2380186788743188</v>
      </c>
      <c r="AJ58" s="117">
        <f>'Source VoT'!$D$27*VLOOKUP($B58,'Indirect tax correction'!$B$27:$I$127,7,FALSE)*VLOOKUP($B58,'Annual Parameters'!$B$33:$W$143,21,FALSE)/VLOOKUP('Source VoT'!$F$27,'Annual Parameters'!$B$33:$W$143,21,FALSE)*VLOOKUP($B$14,'Annual Parameters'!$B$33:$W$143,3,FALSE)/VLOOKUP('Source VoT'!$E$27,'Annual Parameters'!$B$33:$W$143,3,FALSE)</f>
        <v>28.183029334001297</v>
      </c>
      <c r="AK58" s="73">
        <f>'Source VoT'!$D$28*VLOOKUP($B58,'Indirect tax correction'!$B$27:$I$127,7,FALSE)*VLOOKUP($B58,'Annual Parameters'!$B$33:$W$143,21,FALSE)/VLOOKUP('Source VoT'!$F$27,'Annual Parameters'!$B$33:$W$143,21,FALSE)*VLOOKUP($B$14,'Annual Parameters'!$B$33:$W$143,3,FALSE)/VLOOKUP('Source VoT'!$E$27,'Annual Parameters'!$B$33:$W$143,3,FALSE)</f>
        <v>28.183029334001297</v>
      </c>
      <c r="AL58" s="73">
        <f>'Source VoT'!$D$29*VLOOKUP($B58,'Indirect tax correction'!$B$27:$I$127,7,FALSE)*VLOOKUP($B58,'Annual Parameters'!$B$33:$W$143,21,FALSE)/VLOOKUP('Source VoT'!$F$27,'Annual Parameters'!$B$33:$W$143,21,FALSE)*VLOOKUP($B$14,'Annual Parameters'!$B$33:$W$143,3,FALSE)/VLOOKUP('Source VoT'!$E$27,'Annual Parameters'!$B$33:$W$143,3,FALSE)</f>
        <v>19.406193039511596</v>
      </c>
      <c r="AM58" s="73">
        <f>'Source VoT'!$D$30*VLOOKUP($B58,'Indirect tax correction'!$B$27:$I$127,7,FALSE)*VLOOKUP($B58,'Annual Parameters'!$B$33:$W$143,21,FALSE)/VLOOKUP('Source VoT'!$F$27,'Annual Parameters'!$B$33:$W$143,21,FALSE)*VLOOKUP($B$14,'Annual Parameters'!$B$33:$W$143,3,FALSE)/VLOOKUP('Source VoT'!$E$27,'Annual Parameters'!$B$33:$W$143,3,FALSE)</f>
        <v>22.865167261831949</v>
      </c>
      <c r="AN58" s="73">
        <f>'Source VoT'!$D$31*VLOOKUP($B58,'Indirect tax correction'!$B$27:$I$127,7,FALSE)*VLOOKUP($B58,'Annual Parameters'!$B$33:$W$143,21,FALSE)/VLOOKUP('Source VoT'!$F$27,'Annual Parameters'!$B$33:$W$143,21,FALSE)*VLOOKUP($B$14,'Annual Parameters'!$B$33:$W$143,3,FALSE)/VLOOKUP('Source VoT'!$E$27,'Annual Parameters'!$B$33:$W$143,3,FALSE)</f>
        <v>23.359306436449145</v>
      </c>
      <c r="AO58" s="73">
        <f>'Source VoT'!$D$32*VLOOKUP($B58,'Indirect tax correction'!$B$27:$I$127,7,FALSE)*VLOOKUP($B58,'Annual Parameters'!$B$33:$W$143,21,FALSE)/VLOOKUP('Source VoT'!$F$27,'Annual Parameters'!$B$33:$W$143,21,FALSE)*VLOOKUP($B$14,'Annual Parameters'!$B$33:$W$143,3,FALSE)/VLOOKUP('Source VoT'!$E$27,'Annual Parameters'!$B$33:$W$143,3,FALSE)</f>
        <v>15.970922320517877</v>
      </c>
      <c r="AP58" s="73">
        <f>'Source VoT'!$D$33*VLOOKUP($B58,'Indirect tax correction'!$B$27:$I$127,7,FALSE)*VLOOKUP($B58,'Annual Parameters'!$B$33:$W$143,21,FALSE)/VLOOKUP('Source VoT'!$F$27,'Annual Parameters'!$B$33:$W$143,21,FALSE)*VLOOKUP($B$14,'Annual Parameters'!$B$33:$W$143,3,FALSE)/VLOOKUP('Source VoT'!$E$27,'Annual Parameters'!$B$33:$W$143,3,FALSE)</f>
        <v>20.641540976054575</v>
      </c>
      <c r="AQ58" s="73">
        <f>'Source VoT'!$D$34*VLOOKUP($B58,'Indirect tax correction'!$B$27:$I$127,7,FALSE)*VLOOKUP($B58,'Annual Parameters'!$B$33:$W$143,21,FALSE)/VLOOKUP('Source VoT'!$F$27,'Annual Parameters'!$B$33:$W$143,21,FALSE)*VLOOKUP($B$14,'Annual Parameters'!$B$33:$W$143,3,FALSE)/VLOOKUP('Source VoT'!$E$27,'Annual Parameters'!$B$33:$W$143,3,FALSE)</f>
        <v>28.183029334001297</v>
      </c>
      <c r="AR58" s="73">
        <f>'Source VoT'!$D$35*VLOOKUP($B58,'Indirect tax correction'!$B$27:$I$127,7,FALSE)*VLOOKUP($B58,'Annual Parameters'!$B$33:$W$143,21,FALSE)/VLOOKUP('Source VoT'!$F$27,'Annual Parameters'!$B$33:$W$143,21,FALSE)*VLOOKUP($B$14,'Annual Parameters'!$B$33:$W$143,3,FALSE)/VLOOKUP('Source VoT'!$E$27,'Annual Parameters'!$B$33:$W$143,3,FALSE)</f>
        <v>46.488255965356238</v>
      </c>
      <c r="AS58" s="73">
        <f>'Source VoT'!$D$36*VLOOKUP($B58,'Indirect tax correction'!$B$27:$I$127,7,FALSE)*VLOOKUP($B58,'Annual Parameters'!$B$33:$W$143,21,FALSE)/VLOOKUP('Source VoT'!$F$27,'Annual Parameters'!$B$33:$W$143,21,FALSE)*VLOOKUP($B$14,'Annual Parameters'!$B$33:$W$143,3,FALSE)/VLOOKUP('Source VoT'!$E$27,'Annual Parameters'!$B$33:$W$143,3,FALSE)</f>
        <v>15.970922320517877</v>
      </c>
      <c r="AT58" s="73">
        <f>'Source VoT'!$D$37*VLOOKUP($B58,'Indirect tax correction'!$B$27:$I$127,7,FALSE)*VLOOKUP($B58,'Annual Parameters'!$B$33:$W$143,21,FALSE)/VLOOKUP('Source VoT'!$F$27,'Annual Parameters'!$B$33:$W$143,21,FALSE)*VLOOKUP($B$14,'Annual Parameters'!$B$33:$W$143,3,FALSE)/VLOOKUP('Source VoT'!$E$27,'Annual Parameters'!$B$33:$W$143,3,FALSE)</f>
        <v>15.970922320517877</v>
      </c>
      <c r="AU58" s="73">
        <f>'Source VoT'!$D$38*VLOOKUP($B58,'Indirect tax correction'!$B$27:$I$127,7,FALSE)*VLOOKUP($B58,'Annual Parameters'!$B$33:$W$143,21,FALSE)/VLOOKUP('Source VoT'!$F$27,'Annual Parameters'!$B$33:$W$143,21,FALSE)*VLOOKUP($B$14,'Annual Parameters'!$B$33:$W$143,3,FALSE)/VLOOKUP('Source VoT'!$E$27,'Annual Parameters'!$B$33:$W$143,3,FALSE)</f>
        <v>15.970922320517877</v>
      </c>
      <c r="AV58" s="73">
        <f>'Source VoT'!$D$39*VLOOKUP($B58,'Indirect tax correction'!$B$27:$I$127,7,FALSE)*VLOOKUP($B58,'Annual Parameters'!$B$33:$W$143,21,FALSE)/VLOOKUP('Source VoT'!$F$27,'Annual Parameters'!$B$33:$W$143,21,FALSE)*VLOOKUP($B$14,'Annual Parameters'!$B$33:$W$143,3,FALSE)/VLOOKUP('Source VoT'!$E$27,'Annual Parameters'!$B$33:$W$143,3,FALSE)</f>
        <v>28.183029334001297</v>
      </c>
      <c r="AW58" s="74">
        <f>'Source VoT'!$D$40*VLOOKUP($B58,'Indirect tax correction'!$B$27:$I$127,7,FALSE)*VLOOKUP($B58,'Annual Parameters'!$B$33:$W$143,21,FALSE)/VLOOKUP('Source VoT'!$F$27,'Annual Parameters'!$B$33:$W$143,21,FALSE)*VLOOKUP($B$14,'Annual Parameters'!$B$33:$W$143,3,FALSE)/VLOOKUP('Source VoT'!$E$27,'Annual Parameters'!$B$33:$W$143,3,FALSE)</f>
        <v>30.697750029061964</v>
      </c>
      <c r="AX58" s="73">
        <f>'Source VoT'!$D$45*VLOOKUP($B58,'Indirect tax correction'!$B$27:$I$127,8,FALSE)*VLOOKUP($B58,'Annual Parameters'!$B$33:$W$143,22,FALSE)/VLOOKUP('Source VoT'!$F$27,'Annual Parameters'!$B$33:$W$143,22,FALSE)*VLOOKUP($B$14,'Annual Parameters'!$B$33:$W$143,3,FALSE)/VLOOKUP('Source VoT'!$E$27,'Annual Parameters'!$B$33:$W$143,3,FALSE)</f>
        <v>15.857893912252822</v>
      </c>
      <c r="AY58" s="74">
        <f>'Source VoT'!$D$46*VLOOKUP($B58,'Indirect tax correction'!$B$27:$I$127,8,FALSE)*VLOOKUP($B58,'Annual Parameters'!$B$33:$W$143,22,FALSE)/VLOOKUP('Source VoT'!$F$27,'Annual Parameters'!$B$33:$W$143,22,FALSE)*VLOOKUP($B$14,'Annual Parameters'!$B$33:$W$143,3,FALSE)/VLOOKUP('Source VoT'!$E$27,'Annual Parameters'!$B$33:$W$143,3,FALSE)</f>
        <v>7.2380186788743188</v>
      </c>
      <c r="AZ58" s="2875"/>
      <c r="BA58" s="2875"/>
      <c r="BB58" s="2875"/>
      <c r="BC58" s="2875"/>
      <c r="BD58" s="2875"/>
      <c r="BE58" s="2875"/>
      <c r="BF58" s="2875"/>
      <c r="BG58" s="2875"/>
    </row>
    <row r="59" spans="1:59" ht="13.5" customHeight="1">
      <c r="A59" s="90"/>
      <c r="B59" s="82">
        <f t="shared" si="0"/>
        <v>2042</v>
      </c>
      <c r="C59" s="82"/>
      <c r="D59" s="117">
        <f>'Source VoT'!$D$27*VLOOKUP($B59,'Indirect tax correction'!$B$27:$I$127,5,FALSE)*VLOOKUP($B59,'Annual Parameters'!$B$33:$W$143,21,FALSE)/VLOOKUP('Source VoT'!$F$27,'Annual Parameters'!$B$33:$W$143,21,FALSE)*VLOOKUP($B$14,'Annual Parameters'!$B$33:$W$143,3,FALSE)/VLOOKUP('Source VoT'!$E$27,'Annual Parameters'!$B$33:$W$143,3,FALSE)</f>
        <v>24.145384971291197</v>
      </c>
      <c r="E59" s="73">
        <f>'Source VoT'!$D$28*VLOOKUP($B59,'Indirect tax correction'!$B$27:$I$127,5,FALSE)*VLOOKUP($B59,'Annual Parameters'!$B$33:$W$143,21,FALSE)/VLOOKUP('Source VoT'!$F$27,'Annual Parameters'!$B$33:$W$143,21,FALSE)*VLOOKUP($B$14,'Annual Parameters'!$B$33:$W$143,3,FALSE)/VLOOKUP('Source VoT'!$E$27,'Annual Parameters'!$B$33:$W$143,3,FALSE)</f>
        <v>24.145384971291197</v>
      </c>
      <c r="F59" s="73">
        <f>'Source VoT'!$D$29*VLOOKUP($B59,'Indirect tax correction'!$B$27:$I$127,5,FALSE)*VLOOKUP($B59,'Annual Parameters'!$B$33:$W$143,21,FALSE)/VLOOKUP('Source VoT'!$F$27,'Annual Parameters'!$B$33:$W$143,21,FALSE)*VLOOKUP($B$14,'Annual Parameters'!$B$33:$W$143,3,FALSE)/VLOOKUP('Source VoT'!$E$27,'Annual Parameters'!$B$33:$W$143,3,FALSE)</f>
        <v>16.625962958527484</v>
      </c>
      <c r="G59" s="73">
        <f>'Source VoT'!$D$30*VLOOKUP($B59,'Indirect tax correction'!$B$27:$I$127,5,FALSE)*VLOOKUP($B59,'Annual Parameters'!$B$33:$W$143,21,FALSE)/VLOOKUP('Source VoT'!$F$27,'Annual Parameters'!$B$33:$W$143,21,FALSE)*VLOOKUP($B$14,'Annual Parameters'!$B$33:$W$143,3,FALSE)/VLOOKUP('Source VoT'!$E$27,'Annual Parameters'!$B$33:$W$143,3,FALSE)</f>
        <v>19.589386911783539</v>
      </c>
      <c r="H59" s="73">
        <f>'Source VoT'!$D$31*VLOOKUP($B59,'Indirect tax correction'!$B$27:$I$127,5,FALSE)*VLOOKUP($B59,'Annual Parameters'!$B$33:$W$143,21,FALSE)/VLOOKUP('Source VoT'!$F$27,'Annual Parameters'!$B$33:$W$143,21,FALSE)*VLOOKUP($B$14,'Annual Parameters'!$B$33:$W$143,3,FALSE)/VLOOKUP('Source VoT'!$E$27,'Annual Parameters'!$B$33:$W$143,3,FALSE)</f>
        <v>20.012733190820121</v>
      </c>
      <c r="I59" s="73">
        <f>'Source VoT'!$D$32*VLOOKUP($B59,'Indirect tax correction'!$B$27:$I$127,5,FALSE)*VLOOKUP($B59,'Annual Parameters'!$B$33:$W$143,21,FALSE)/VLOOKUP('Source VoT'!$F$27,'Annual Parameters'!$B$33:$W$143,21,FALSE)*VLOOKUP($B$14,'Annual Parameters'!$B$33:$W$143,3,FALSE)/VLOOKUP('Source VoT'!$E$27,'Annual Parameters'!$B$33:$W$143,3,FALSE)</f>
        <v>13.682846623952411</v>
      </c>
      <c r="J59" s="73">
        <f>'Source VoT'!$D$33*VLOOKUP($B59,'Indirect tax correction'!$B$27:$I$127,5,FALSE)*VLOOKUP($B59,'Annual Parameters'!$B$33:$W$143,21,FALSE)/VLOOKUP('Source VoT'!$F$27,'Annual Parameters'!$B$33:$W$143,21,FALSE)*VLOOKUP($B$14,'Annual Parameters'!$B$33:$W$143,3,FALSE)/VLOOKUP('Source VoT'!$E$27,'Annual Parameters'!$B$33:$W$143,3,FALSE)</f>
        <v>17.684328656118932</v>
      </c>
      <c r="K59" s="73">
        <f>'Source VoT'!$D$34*VLOOKUP($B59,'Indirect tax correction'!$B$27:$I$127,5,FALSE)*VLOOKUP($B59,'Annual Parameters'!$B$33:$W$143,21,FALSE)/VLOOKUP('Source VoT'!$F$27,'Annual Parameters'!$B$33:$W$143,21,FALSE)*VLOOKUP($B$14,'Annual Parameters'!$B$33:$W$143,3,FALSE)/VLOOKUP('Source VoT'!$E$27,'Annual Parameters'!$B$33:$W$143,3,FALSE)</f>
        <v>24.145384971291197</v>
      </c>
      <c r="L59" s="73">
        <f>'Source VoT'!$D$35*VLOOKUP($B59,'Indirect tax correction'!$B$27:$I$127,5,FALSE)*VLOOKUP($B59,'Annual Parameters'!$B$33:$W$143,21,FALSE)/VLOOKUP('Source VoT'!$F$27,'Annual Parameters'!$B$33:$W$143,21,FALSE)*VLOOKUP($B$14,'Annual Parameters'!$B$33:$W$143,3,FALSE)/VLOOKUP('Source VoT'!$E$27,'Annual Parameters'!$B$33:$W$143,3,FALSE)</f>
        <v>39.828111578241277</v>
      </c>
      <c r="M59" s="73">
        <f>'Source VoT'!$D$36*VLOOKUP($B59,'Indirect tax correction'!$B$27:$I$127,5,FALSE)*VLOOKUP($B59,'Annual Parameters'!$B$33:$W$143,21,FALSE)/VLOOKUP('Source VoT'!$F$27,'Annual Parameters'!$B$33:$W$143,21,FALSE)*VLOOKUP($B$14,'Annual Parameters'!$B$33:$W$143,3,FALSE)/VLOOKUP('Source VoT'!$E$27,'Annual Parameters'!$B$33:$W$143,3,FALSE)</f>
        <v>13.682846623952411</v>
      </c>
      <c r="N59" s="73">
        <f>'Source VoT'!$D$37*VLOOKUP($B59,'Indirect tax correction'!$B$27:$I$127,5,FALSE)*VLOOKUP($B59,'Annual Parameters'!$B$33:$W$143,21,FALSE)/VLOOKUP('Source VoT'!$F$27,'Annual Parameters'!$B$33:$W$143,21,FALSE)*VLOOKUP($B$14,'Annual Parameters'!$B$33:$W$143,3,FALSE)/VLOOKUP('Source VoT'!$E$27,'Annual Parameters'!$B$33:$W$143,3,FALSE)</f>
        <v>13.682846623952411</v>
      </c>
      <c r="O59" s="73">
        <f>'Source VoT'!$D$38*VLOOKUP($B59,'Indirect tax correction'!$B$27:$I$127,5,FALSE)*VLOOKUP($B59,'Annual Parameters'!$B$33:$W$143,21,FALSE)/VLOOKUP('Source VoT'!$F$27,'Annual Parameters'!$B$33:$W$143,21,FALSE)*VLOOKUP($B$14,'Annual Parameters'!$B$33:$W$143,3,FALSE)/VLOOKUP('Source VoT'!$E$27,'Annual Parameters'!$B$33:$W$143,3,FALSE)</f>
        <v>13.682846623952411</v>
      </c>
      <c r="P59" s="73">
        <f>'Source VoT'!$D$39*VLOOKUP($B59,'Indirect tax correction'!$B$27:$I$127,5,FALSE)*VLOOKUP($B59,'Annual Parameters'!$B$33:$W$143,21,FALSE)/VLOOKUP('Source VoT'!$F$27,'Annual Parameters'!$B$33:$W$143,21,FALSE)*VLOOKUP($B$14,'Annual Parameters'!$B$33:$W$143,3,FALSE)/VLOOKUP('Source VoT'!$E$27,'Annual Parameters'!$B$33:$W$143,3,FALSE)</f>
        <v>24.145384971291197</v>
      </c>
      <c r="Q59" s="74">
        <f>'Source VoT'!$D$40*VLOOKUP($B59,'Indirect tax correction'!$B$27:$I$127,5,FALSE)*VLOOKUP($B59,'Annual Parameters'!$B$33:$W$143,21,FALSE)/VLOOKUP('Source VoT'!$F$27,'Annual Parameters'!$B$33:$W$143,21,FALSE)*VLOOKUP($B$14,'Annual Parameters'!$B$33:$W$143,3,FALSE)/VLOOKUP('Source VoT'!$E$27,'Annual Parameters'!$B$33:$W$143,3,FALSE)</f>
        <v>26.299833968165302</v>
      </c>
      <c r="R59" s="73">
        <f>'Source VoT'!$D$45*VLOOKUP($B59,'Indirect tax correction'!$B$27:$I$127,6,FALSE)*VLOOKUP($B59,'Annual Parameters'!$B$33:$W$143,22,FALSE)/VLOOKUP('Source VoT'!$F$27,'Annual Parameters'!$B$33:$W$143,22,FALSE)*VLOOKUP($B$14,'Annual Parameters'!$B$33:$W$143,3,FALSE)/VLOOKUP('Source VoT'!$E$27,'Annual Parameters'!$B$33:$W$143,3,FALSE)</f>
        <v>13.586011241286167</v>
      </c>
      <c r="S59" s="73">
        <f>'Source VoT'!$D$46*VLOOKUP($B59,'Indirect tax correction'!$B$27:$I$127,6,FALSE)*VLOOKUP($B59,'Annual Parameters'!$B$33:$W$143,22,FALSE)/VLOOKUP('Source VoT'!$F$27,'Annual Parameters'!$B$33:$W$143,22,FALSE)*VLOOKUP($B$14,'Annual Parameters'!$B$33:$W$143,3,FALSE)/VLOOKUP('Source VoT'!$E$27,'Annual Parameters'!$B$33:$W$143,3,FALSE)</f>
        <v>6.2010632483702786</v>
      </c>
      <c r="T59" s="117">
        <f>'Source VoT'!$D$27*1*VLOOKUP($B59,'Annual Parameters'!$B$33:$W$143,21,FALSE)/VLOOKUP('Source VoT'!$F$27,'Annual Parameters'!$B$33:$W$143,21,FALSE)*VLOOKUP($B$14,'Annual Parameters'!$B$33:$W$143,3,FALSE)/VLOOKUP('Source VoT'!$E$27,'Annual Parameters'!$B$33:$W$143,3,FALSE)</f>
        <v>24.145384971291197</v>
      </c>
      <c r="U59" s="73">
        <f>'Source VoT'!$D$28*1*VLOOKUP($B59,'Annual Parameters'!$B$33:$W$143,21,FALSE)/VLOOKUP('Source VoT'!$F$27,'Annual Parameters'!$B$33:$W$143,21,FALSE)*VLOOKUP($B$14,'Annual Parameters'!$B$33:$W$143,3,FALSE)/VLOOKUP('Source VoT'!$E$27,'Annual Parameters'!$B$33:$W$143,3,FALSE)</f>
        <v>24.145384971291197</v>
      </c>
      <c r="V59" s="73">
        <f>'Source VoT'!$D$29*1*VLOOKUP($B59,'Annual Parameters'!$B$33:$W$143,21,FALSE)/VLOOKUP('Source VoT'!$F$27,'Annual Parameters'!$B$33:$W$143,21,FALSE)*VLOOKUP($B$14,'Annual Parameters'!$B$33:$W$143,3,FALSE)/VLOOKUP('Source VoT'!$E$27,'Annual Parameters'!$B$33:$W$143,3,FALSE)</f>
        <v>16.625962958527484</v>
      </c>
      <c r="W59" s="73">
        <f>'Source VoT'!$D$30*1*VLOOKUP($B59,'Annual Parameters'!$B$33:$W$143,21,FALSE)/VLOOKUP('Source VoT'!$F$27,'Annual Parameters'!$B$33:$W$143,21,FALSE)*VLOOKUP($B$14,'Annual Parameters'!$B$33:$W$143,3,FALSE)/VLOOKUP('Source VoT'!$E$27,'Annual Parameters'!$B$33:$W$143,3,FALSE)</f>
        <v>19.589386911783539</v>
      </c>
      <c r="X59" s="73">
        <f>'Source VoT'!$D$31*1*VLOOKUP($B59,'Annual Parameters'!$B$33:$W$143,21,FALSE)/VLOOKUP('Source VoT'!$F$27,'Annual Parameters'!$B$33:$W$143,21,FALSE)*VLOOKUP($B$14,'Annual Parameters'!$B$33:$W$143,3,FALSE)/VLOOKUP('Source VoT'!$E$27,'Annual Parameters'!$B$33:$W$143,3,FALSE)</f>
        <v>20.012733190820121</v>
      </c>
      <c r="Y59" s="73">
        <f>'Source VoT'!$D$32*1*VLOOKUP($B59,'Annual Parameters'!$B$33:$W$143,21,FALSE)/VLOOKUP('Source VoT'!$F$27,'Annual Parameters'!$B$33:$W$143,21,FALSE)*VLOOKUP($B$14,'Annual Parameters'!$B$33:$W$143,3,FALSE)/VLOOKUP('Source VoT'!$E$27,'Annual Parameters'!$B$33:$W$143,3,FALSE)</f>
        <v>13.682846623952411</v>
      </c>
      <c r="Z59" s="73">
        <f>'Source VoT'!$D$33*1*VLOOKUP($B59,'Annual Parameters'!$B$33:$W$143,21,FALSE)/VLOOKUP('Source VoT'!$F$27,'Annual Parameters'!$B$33:$W$143,21,FALSE)*VLOOKUP($B$14,'Annual Parameters'!$B$33:$W$143,3,FALSE)/VLOOKUP('Source VoT'!$E$27,'Annual Parameters'!$B$33:$W$143,3,FALSE)</f>
        <v>17.684328656118932</v>
      </c>
      <c r="AA59" s="73">
        <f>'Source VoT'!$D$34*1*VLOOKUP($B59,'Annual Parameters'!$B$33:$W$143,21,FALSE)/VLOOKUP('Source VoT'!$F$27,'Annual Parameters'!$B$33:$W$143,21,FALSE)*VLOOKUP($B$14,'Annual Parameters'!$B$33:$W$143,3,FALSE)/VLOOKUP('Source VoT'!$E$27,'Annual Parameters'!$B$33:$W$143,3,FALSE)</f>
        <v>24.145384971291197</v>
      </c>
      <c r="AB59" s="73">
        <f>'Source VoT'!$D$35*1*VLOOKUP($B59,'Annual Parameters'!$B$33:$W$143,21,FALSE)/VLOOKUP('Source VoT'!$F$27,'Annual Parameters'!$B$33:$W$143,21,FALSE)*VLOOKUP($B$14,'Annual Parameters'!$B$33:$W$143,3,FALSE)/VLOOKUP('Source VoT'!$E$27,'Annual Parameters'!$B$33:$W$143,3,FALSE)</f>
        <v>39.828111578241277</v>
      </c>
      <c r="AC59" s="73">
        <f>'Source VoT'!$D$36*1*VLOOKUP($B59,'Annual Parameters'!$B$33:$W$143,21,FALSE)/VLOOKUP('Source VoT'!$F$27,'Annual Parameters'!$B$33:$W$143,21,FALSE)*VLOOKUP($B$14,'Annual Parameters'!$B$33:$W$143,3,FALSE)/VLOOKUP('Source VoT'!$E$27,'Annual Parameters'!$B$33:$W$143,3,FALSE)</f>
        <v>13.682846623952411</v>
      </c>
      <c r="AD59" s="73">
        <f>'Source VoT'!$D$37*1*VLOOKUP($B59,'Annual Parameters'!$B$33:$W$143,21,FALSE)/VLOOKUP('Source VoT'!$F$27,'Annual Parameters'!$B$33:$W$143,21,FALSE)*VLOOKUP($B$14,'Annual Parameters'!$B$33:$W$143,3,FALSE)/VLOOKUP('Source VoT'!$E$27,'Annual Parameters'!$B$33:$W$143,3,FALSE)</f>
        <v>13.682846623952411</v>
      </c>
      <c r="AE59" s="73">
        <f>'Source VoT'!$D$38*1*VLOOKUP($B59,'Annual Parameters'!$B$33:$W$143,21,FALSE)/VLOOKUP('Source VoT'!$F$27,'Annual Parameters'!$B$33:$W$143,21,FALSE)*VLOOKUP($B$14,'Annual Parameters'!$B$33:$W$143,3,FALSE)/VLOOKUP('Source VoT'!$E$27,'Annual Parameters'!$B$33:$W$143,3,FALSE)</f>
        <v>13.682846623952411</v>
      </c>
      <c r="AF59" s="73">
        <f>'Source VoT'!$D$39*1*VLOOKUP($B59,'Annual Parameters'!$B$33:$W$143,21,FALSE)/VLOOKUP('Source VoT'!$F$27,'Annual Parameters'!$B$33:$W$143,21,FALSE)*VLOOKUP($B$14,'Annual Parameters'!$B$33:$W$143,3,FALSE)/VLOOKUP('Source VoT'!$E$27,'Annual Parameters'!$B$33:$W$143,3,FALSE)</f>
        <v>24.145384971291197</v>
      </c>
      <c r="AG59" s="74">
        <f>'Source VoT'!$D$40*1*VLOOKUP($B59,'Annual Parameters'!$B$33:$W$143,21,FALSE)/VLOOKUP('Source VoT'!$F$27,'Annual Parameters'!$B$33:$W$143,21,FALSE)*VLOOKUP($B$14,'Annual Parameters'!$B$33:$W$143,3,FALSE)/VLOOKUP('Source VoT'!$E$27,'Annual Parameters'!$B$33:$W$143,3,FALSE)</f>
        <v>26.299833968165302</v>
      </c>
      <c r="AH59" s="73">
        <f>'Source VoT'!$D$45*1*VLOOKUP($B59,'Annual Parameters'!$B$33:$W$143,22,FALSE)/VLOOKUP('Source VoT'!$F$27,'Annual Parameters'!$B$33:$W$143,22,FALSE)*VLOOKUP($B$14,'Annual Parameters'!$B$33:$W$143,3,FALSE)/VLOOKUP('Source VoT'!$E$27,'Annual Parameters'!$B$33:$W$143,3,FALSE)</f>
        <v>16.167353377130539</v>
      </c>
      <c r="AI59" s="73">
        <f>'Source VoT'!$D$46*1*VLOOKUP($B59,'Annual Parameters'!$B$33:$W$143,22,FALSE)/VLOOKUP('Source VoT'!$F$27,'Annual Parameters'!$B$33:$W$143,22,FALSE)*VLOOKUP($B$14,'Annual Parameters'!$B$33:$W$143,3,FALSE)/VLOOKUP('Source VoT'!$E$27,'Annual Parameters'!$B$33:$W$143,3,FALSE)</f>
        <v>7.3792652655606306</v>
      </c>
      <c r="AJ59" s="117">
        <f>'Source VoT'!$D$27*VLOOKUP($B59,'Indirect tax correction'!$B$27:$I$127,7,FALSE)*VLOOKUP($B59,'Annual Parameters'!$B$33:$W$143,21,FALSE)/VLOOKUP('Source VoT'!$F$27,'Annual Parameters'!$B$33:$W$143,21,FALSE)*VLOOKUP($B$14,'Annual Parameters'!$B$33:$W$143,3,FALSE)/VLOOKUP('Source VoT'!$E$27,'Annual Parameters'!$B$33:$W$143,3,FALSE)</f>
        <v>28.733008115836522</v>
      </c>
      <c r="AK59" s="73">
        <f>'Source VoT'!$D$28*VLOOKUP($B59,'Indirect tax correction'!$B$27:$I$127,7,FALSE)*VLOOKUP($B59,'Annual Parameters'!$B$33:$W$143,21,FALSE)/VLOOKUP('Source VoT'!$F$27,'Annual Parameters'!$B$33:$W$143,21,FALSE)*VLOOKUP($B$14,'Annual Parameters'!$B$33:$W$143,3,FALSE)/VLOOKUP('Source VoT'!$E$27,'Annual Parameters'!$B$33:$W$143,3,FALSE)</f>
        <v>28.733008115836522</v>
      </c>
      <c r="AL59" s="73">
        <f>'Source VoT'!$D$29*VLOOKUP($B59,'Indirect tax correction'!$B$27:$I$127,7,FALSE)*VLOOKUP($B59,'Annual Parameters'!$B$33:$W$143,21,FALSE)/VLOOKUP('Source VoT'!$F$27,'Annual Parameters'!$B$33:$W$143,21,FALSE)*VLOOKUP($B$14,'Annual Parameters'!$B$33:$W$143,3,FALSE)/VLOOKUP('Source VoT'!$E$27,'Annual Parameters'!$B$33:$W$143,3,FALSE)</f>
        <v>19.784895920647706</v>
      </c>
      <c r="AM59" s="73">
        <f>'Source VoT'!$D$30*VLOOKUP($B59,'Indirect tax correction'!$B$27:$I$127,7,FALSE)*VLOOKUP($B59,'Annual Parameters'!$B$33:$W$143,21,FALSE)/VLOOKUP('Source VoT'!$F$27,'Annual Parameters'!$B$33:$W$143,21,FALSE)*VLOOKUP($B$14,'Annual Parameters'!$B$33:$W$143,3,FALSE)/VLOOKUP('Source VoT'!$E$27,'Annual Parameters'!$B$33:$W$143,3,FALSE)</f>
        <v>23.31137042502241</v>
      </c>
      <c r="AN59" s="73">
        <f>'Source VoT'!$D$31*VLOOKUP($B59,'Indirect tax correction'!$B$27:$I$127,7,FALSE)*VLOOKUP($B59,'Annual Parameters'!$B$33:$W$143,21,FALSE)/VLOOKUP('Source VoT'!$F$27,'Annual Parameters'!$B$33:$W$143,21,FALSE)*VLOOKUP($B$14,'Annual Parameters'!$B$33:$W$143,3,FALSE)/VLOOKUP('Source VoT'!$E$27,'Annual Parameters'!$B$33:$W$143,3,FALSE)</f>
        <v>23.815152497075943</v>
      </c>
      <c r="AO59" s="73">
        <f>'Source VoT'!$D$32*VLOOKUP($B59,'Indirect tax correction'!$B$27:$I$127,7,FALSE)*VLOOKUP($B59,'Annual Parameters'!$B$33:$W$143,21,FALSE)/VLOOKUP('Source VoT'!$F$27,'Annual Parameters'!$B$33:$W$143,21,FALSE)*VLOOKUP($B$14,'Annual Parameters'!$B$33:$W$143,3,FALSE)/VLOOKUP('Source VoT'!$E$27,'Annual Parameters'!$B$33:$W$143,3,FALSE)</f>
        <v>16.28258748250337</v>
      </c>
      <c r="AP59" s="73">
        <f>'Source VoT'!$D$33*VLOOKUP($B59,'Indirect tax correction'!$B$27:$I$127,7,FALSE)*VLOOKUP($B59,'Annual Parameters'!$B$33:$W$143,21,FALSE)/VLOOKUP('Source VoT'!$F$27,'Annual Parameters'!$B$33:$W$143,21,FALSE)*VLOOKUP($B$14,'Annual Parameters'!$B$33:$W$143,3,FALSE)/VLOOKUP('Source VoT'!$E$27,'Annual Parameters'!$B$33:$W$143,3,FALSE)</f>
        <v>21.044351100781526</v>
      </c>
      <c r="AQ59" s="73">
        <f>'Source VoT'!$D$34*VLOOKUP($B59,'Indirect tax correction'!$B$27:$I$127,7,FALSE)*VLOOKUP($B59,'Annual Parameters'!$B$33:$W$143,21,FALSE)/VLOOKUP('Source VoT'!$F$27,'Annual Parameters'!$B$33:$W$143,21,FALSE)*VLOOKUP($B$14,'Annual Parameters'!$B$33:$W$143,3,FALSE)/VLOOKUP('Source VoT'!$E$27,'Annual Parameters'!$B$33:$W$143,3,FALSE)</f>
        <v>28.733008115836522</v>
      </c>
      <c r="AR59" s="73">
        <f>'Source VoT'!$D$35*VLOOKUP($B59,'Indirect tax correction'!$B$27:$I$127,7,FALSE)*VLOOKUP($B59,'Annual Parameters'!$B$33:$W$143,21,FALSE)/VLOOKUP('Source VoT'!$F$27,'Annual Parameters'!$B$33:$W$143,21,FALSE)*VLOOKUP($B$14,'Annual Parameters'!$B$33:$W$143,3,FALSE)/VLOOKUP('Source VoT'!$E$27,'Annual Parameters'!$B$33:$W$143,3,FALSE)</f>
        <v>47.395452778107121</v>
      </c>
      <c r="AS59" s="73">
        <f>'Source VoT'!$D$36*VLOOKUP($B59,'Indirect tax correction'!$B$27:$I$127,7,FALSE)*VLOOKUP($B59,'Annual Parameters'!$B$33:$W$143,21,FALSE)/VLOOKUP('Source VoT'!$F$27,'Annual Parameters'!$B$33:$W$143,21,FALSE)*VLOOKUP($B$14,'Annual Parameters'!$B$33:$W$143,3,FALSE)/VLOOKUP('Source VoT'!$E$27,'Annual Parameters'!$B$33:$W$143,3,FALSE)</f>
        <v>16.28258748250337</v>
      </c>
      <c r="AT59" s="73">
        <f>'Source VoT'!$D$37*VLOOKUP($B59,'Indirect tax correction'!$B$27:$I$127,7,FALSE)*VLOOKUP($B59,'Annual Parameters'!$B$33:$W$143,21,FALSE)/VLOOKUP('Source VoT'!$F$27,'Annual Parameters'!$B$33:$W$143,21,FALSE)*VLOOKUP($B$14,'Annual Parameters'!$B$33:$W$143,3,FALSE)/VLOOKUP('Source VoT'!$E$27,'Annual Parameters'!$B$33:$W$143,3,FALSE)</f>
        <v>16.28258748250337</v>
      </c>
      <c r="AU59" s="73">
        <f>'Source VoT'!$D$38*VLOOKUP($B59,'Indirect tax correction'!$B$27:$I$127,7,FALSE)*VLOOKUP($B59,'Annual Parameters'!$B$33:$W$143,21,FALSE)/VLOOKUP('Source VoT'!$F$27,'Annual Parameters'!$B$33:$W$143,21,FALSE)*VLOOKUP($B$14,'Annual Parameters'!$B$33:$W$143,3,FALSE)/VLOOKUP('Source VoT'!$E$27,'Annual Parameters'!$B$33:$W$143,3,FALSE)</f>
        <v>16.28258748250337</v>
      </c>
      <c r="AV59" s="73">
        <f>'Source VoT'!$D$39*VLOOKUP($B59,'Indirect tax correction'!$B$27:$I$127,7,FALSE)*VLOOKUP($B59,'Annual Parameters'!$B$33:$W$143,21,FALSE)/VLOOKUP('Source VoT'!$F$27,'Annual Parameters'!$B$33:$W$143,21,FALSE)*VLOOKUP($B$14,'Annual Parameters'!$B$33:$W$143,3,FALSE)/VLOOKUP('Source VoT'!$E$27,'Annual Parameters'!$B$33:$W$143,3,FALSE)</f>
        <v>28.733008115836522</v>
      </c>
      <c r="AW59" s="74">
        <f>'Source VoT'!$D$40*VLOOKUP($B59,'Indirect tax correction'!$B$27:$I$127,7,FALSE)*VLOOKUP($B59,'Annual Parameters'!$B$33:$W$143,21,FALSE)/VLOOKUP('Source VoT'!$F$27,'Annual Parameters'!$B$33:$W$143,21,FALSE)*VLOOKUP($B$14,'Annual Parameters'!$B$33:$W$143,3,FALSE)/VLOOKUP('Source VoT'!$E$27,'Annual Parameters'!$B$33:$W$143,3,FALSE)</f>
        <v>31.296802422116706</v>
      </c>
      <c r="AX59" s="73">
        <f>'Source VoT'!$D$45*VLOOKUP($B59,'Indirect tax correction'!$B$27:$I$127,8,FALSE)*VLOOKUP($B59,'Annual Parameters'!$B$33:$W$143,22,FALSE)/VLOOKUP('Source VoT'!$F$27,'Annual Parameters'!$B$33:$W$143,22,FALSE)*VLOOKUP($B$14,'Annual Parameters'!$B$33:$W$143,3,FALSE)/VLOOKUP('Source VoT'!$E$27,'Annual Parameters'!$B$33:$W$143,3,FALSE)</f>
        <v>16.167353377130539</v>
      </c>
      <c r="AY59" s="74">
        <f>'Source VoT'!$D$46*VLOOKUP($B59,'Indirect tax correction'!$B$27:$I$127,8,FALSE)*VLOOKUP($B59,'Annual Parameters'!$B$33:$W$143,22,FALSE)/VLOOKUP('Source VoT'!$F$27,'Annual Parameters'!$B$33:$W$143,22,FALSE)*VLOOKUP($B$14,'Annual Parameters'!$B$33:$W$143,3,FALSE)/VLOOKUP('Source VoT'!$E$27,'Annual Parameters'!$B$33:$W$143,3,FALSE)</f>
        <v>7.3792652655606306</v>
      </c>
      <c r="AZ59" s="2875"/>
      <c r="BA59" s="2875"/>
      <c r="BB59" s="2875"/>
      <c r="BC59" s="2875"/>
      <c r="BD59" s="2875"/>
      <c r="BE59" s="2875"/>
      <c r="BF59" s="2875"/>
      <c r="BG59" s="2875"/>
    </row>
    <row r="60" spans="1:59" ht="13.5" customHeight="1">
      <c r="A60" s="90"/>
      <c r="B60" s="82">
        <f t="shared" si="0"/>
        <v>2043</v>
      </c>
      <c r="C60" s="82"/>
      <c r="D60" s="117">
        <f>'Source VoT'!$D$27*VLOOKUP($B60,'Indirect tax correction'!$B$27:$I$127,5,FALSE)*VLOOKUP($B60,'Annual Parameters'!$B$33:$W$143,21,FALSE)/VLOOKUP('Source VoT'!$F$27,'Annual Parameters'!$B$33:$W$143,21,FALSE)*VLOOKUP($B$14,'Annual Parameters'!$B$33:$W$143,3,FALSE)/VLOOKUP('Source VoT'!$E$27,'Annual Parameters'!$B$33:$W$143,3,FALSE)</f>
        <v>24.613414806914797</v>
      </c>
      <c r="E60" s="73">
        <f>'Source VoT'!$D$28*VLOOKUP($B60,'Indirect tax correction'!$B$27:$I$127,5,FALSE)*VLOOKUP($B60,'Annual Parameters'!$B$33:$W$143,21,FALSE)/VLOOKUP('Source VoT'!$F$27,'Annual Parameters'!$B$33:$W$143,21,FALSE)*VLOOKUP($B$14,'Annual Parameters'!$B$33:$W$143,3,FALSE)/VLOOKUP('Source VoT'!$E$27,'Annual Parameters'!$B$33:$W$143,3,FALSE)</f>
        <v>24.613414806914797</v>
      </c>
      <c r="F60" s="73">
        <f>'Source VoT'!$D$29*VLOOKUP($B60,'Indirect tax correction'!$B$27:$I$127,5,FALSE)*VLOOKUP($B60,'Annual Parameters'!$B$33:$W$143,21,FALSE)/VLOOKUP('Source VoT'!$F$27,'Annual Parameters'!$B$33:$W$143,21,FALSE)*VLOOKUP($B$14,'Annual Parameters'!$B$33:$W$143,3,FALSE)/VLOOKUP('Source VoT'!$E$27,'Annual Parameters'!$B$33:$W$143,3,FALSE)</f>
        <v>16.948237659047514</v>
      </c>
      <c r="G60" s="73">
        <f>'Source VoT'!$D$30*VLOOKUP($B60,'Indirect tax correction'!$B$27:$I$127,5,FALSE)*VLOOKUP($B60,'Annual Parameters'!$B$33:$W$143,21,FALSE)/VLOOKUP('Source VoT'!$F$27,'Annual Parameters'!$B$33:$W$143,21,FALSE)*VLOOKUP($B$14,'Annual Parameters'!$B$33:$W$143,3,FALSE)/VLOOKUP('Source VoT'!$E$27,'Annual Parameters'!$B$33:$W$143,3,FALSE)</f>
        <v>19.969104093646258</v>
      </c>
      <c r="H60" s="73">
        <f>'Source VoT'!$D$31*VLOOKUP($B60,'Indirect tax correction'!$B$27:$I$127,5,FALSE)*VLOOKUP($B60,'Annual Parameters'!$B$33:$W$143,21,FALSE)/VLOOKUP('Source VoT'!$F$27,'Annual Parameters'!$B$33:$W$143,21,FALSE)*VLOOKUP($B$14,'Annual Parameters'!$B$33:$W$143,3,FALSE)/VLOOKUP('Source VoT'!$E$27,'Annual Parameters'!$B$33:$W$143,3,FALSE)</f>
        <v>20.400656441446081</v>
      </c>
      <c r="I60" s="73">
        <f>'Source VoT'!$D$32*VLOOKUP($B60,'Indirect tax correction'!$B$27:$I$127,5,FALSE)*VLOOKUP($B60,'Annual Parameters'!$B$33:$W$143,21,FALSE)/VLOOKUP('Source VoT'!$F$27,'Annual Parameters'!$B$33:$W$143,21,FALSE)*VLOOKUP($B$14,'Annual Parameters'!$B$33:$W$143,3,FALSE)/VLOOKUP('Source VoT'!$E$27,'Annual Parameters'!$B$33:$W$143,3,FALSE)</f>
        <v>13.948072482388122</v>
      </c>
      <c r="J60" s="73">
        <f>'Source VoT'!$D$33*VLOOKUP($B60,'Indirect tax correction'!$B$27:$I$127,5,FALSE)*VLOOKUP($B60,'Annual Parameters'!$B$33:$W$143,21,FALSE)/VLOOKUP('Source VoT'!$F$27,'Annual Parameters'!$B$33:$W$143,21,FALSE)*VLOOKUP($B$14,'Annual Parameters'!$B$33:$W$143,3,FALSE)/VLOOKUP('Source VoT'!$E$27,'Annual Parameters'!$B$33:$W$143,3,FALSE)</f>
        <v>18.027118528547067</v>
      </c>
      <c r="K60" s="73">
        <f>'Source VoT'!$D$34*VLOOKUP($B60,'Indirect tax correction'!$B$27:$I$127,5,FALSE)*VLOOKUP($B60,'Annual Parameters'!$B$33:$W$143,21,FALSE)/VLOOKUP('Source VoT'!$F$27,'Annual Parameters'!$B$33:$W$143,21,FALSE)*VLOOKUP($B$14,'Annual Parameters'!$B$33:$W$143,3,FALSE)/VLOOKUP('Source VoT'!$E$27,'Annual Parameters'!$B$33:$W$143,3,FALSE)</f>
        <v>24.613414806914797</v>
      </c>
      <c r="L60" s="73">
        <f>'Source VoT'!$D$35*VLOOKUP($B60,'Indirect tax correction'!$B$27:$I$127,5,FALSE)*VLOOKUP($B60,'Annual Parameters'!$B$33:$W$143,21,FALSE)/VLOOKUP('Source VoT'!$F$27,'Annual Parameters'!$B$33:$W$143,21,FALSE)*VLOOKUP($B$14,'Annual Parameters'!$B$33:$W$143,3,FALSE)/VLOOKUP('Source VoT'!$E$27,'Annual Parameters'!$B$33:$W$143,3,FALSE)</f>
        <v>40.600132589185044</v>
      </c>
      <c r="M60" s="73">
        <f>'Source VoT'!$D$36*VLOOKUP($B60,'Indirect tax correction'!$B$27:$I$127,5,FALSE)*VLOOKUP($B60,'Annual Parameters'!$B$33:$W$143,21,FALSE)/VLOOKUP('Source VoT'!$F$27,'Annual Parameters'!$B$33:$W$143,21,FALSE)*VLOOKUP($B$14,'Annual Parameters'!$B$33:$W$143,3,FALSE)/VLOOKUP('Source VoT'!$E$27,'Annual Parameters'!$B$33:$W$143,3,FALSE)</f>
        <v>13.948072482388122</v>
      </c>
      <c r="N60" s="73">
        <f>'Source VoT'!$D$37*VLOOKUP($B60,'Indirect tax correction'!$B$27:$I$127,5,FALSE)*VLOOKUP($B60,'Annual Parameters'!$B$33:$W$143,21,FALSE)/VLOOKUP('Source VoT'!$F$27,'Annual Parameters'!$B$33:$W$143,21,FALSE)*VLOOKUP($B$14,'Annual Parameters'!$B$33:$W$143,3,FALSE)/VLOOKUP('Source VoT'!$E$27,'Annual Parameters'!$B$33:$W$143,3,FALSE)</f>
        <v>13.948072482388122</v>
      </c>
      <c r="O60" s="73">
        <f>'Source VoT'!$D$38*VLOOKUP($B60,'Indirect tax correction'!$B$27:$I$127,5,FALSE)*VLOOKUP($B60,'Annual Parameters'!$B$33:$W$143,21,FALSE)/VLOOKUP('Source VoT'!$F$27,'Annual Parameters'!$B$33:$W$143,21,FALSE)*VLOOKUP($B$14,'Annual Parameters'!$B$33:$W$143,3,FALSE)/VLOOKUP('Source VoT'!$E$27,'Annual Parameters'!$B$33:$W$143,3,FALSE)</f>
        <v>13.948072482388122</v>
      </c>
      <c r="P60" s="73">
        <f>'Source VoT'!$D$39*VLOOKUP($B60,'Indirect tax correction'!$B$27:$I$127,5,FALSE)*VLOOKUP($B60,'Annual Parameters'!$B$33:$W$143,21,FALSE)/VLOOKUP('Source VoT'!$F$27,'Annual Parameters'!$B$33:$W$143,21,FALSE)*VLOOKUP($B$14,'Annual Parameters'!$B$33:$W$143,3,FALSE)/VLOOKUP('Source VoT'!$E$27,'Annual Parameters'!$B$33:$W$143,3,FALSE)</f>
        <v>24.613414806914797</v>
      </c>
      <c r="Q60" s="74">
        <f>'Source VoT'!$D$40*VLOOKUP($B60,'Indirect tax correction'!$B$27:$I$127,5,FALSE)*VLOOKUP($B60,'Annual Parameters'!$B$33:$W$143,21,FALSE)/VLOOKUP('Source VoT'!$F$27,'Annual Parameters'!$B$33:$W$143,21,FALSE)*VLOOKUP($B$14,'Annual Parameters'!$B$33:$W$143,3,FALSE)/VLOOKUP('Source VoT'!$E$27,'Annual Parameters'!$B$33:$W$143,3,FALSE)</f>
        <v>26.809625258868842</v>
      </c>
      <c r="R60" s="73">
        <f>'Source VoT'!$D$45*VLOOKUP($B60,'Indirect tax correction'!$B$27:$I$127,6,FALSE)*VLOOKUP($B60,'Annual Parameters'!$B$33:$W$143,22,FALSE)/VLOOKUP('Source VoT'!$F$27,'Annual Parameters'!$B$33:$W$143,22,FALSE)*VLOOKUP($B$14,'Annual Parameters'!$B$33:$W$143,3,FALSE)/VLOOKUP('Source VoT'!$E$27,'Annual Parameters'!$B$33:$W$143,3,FALSE)</f>
        <v>13.849360059936192</v>
      </c>
      <c r="S60" s="73">
        <f>'Source VoT'!$D$46*VLOOKUP($B60,'Indirect tax correction'!$B$27:$I$127,6,FALSE)*VLOOKUP($B60,'Annual Parameters'!$B$33:$W$143,22,FALSE)/VLOOKUP('Source VoT'!$F$27,'Annual Parameters'!$B$33:$W$143,22,FALSE)*VLOOKUP($B$14,'Annual Parameters'!$B$33:$W$143,3,FALSE)/VLOOKUP('Source VoT'!$E$27,'Annual Parameters'!$B$33:$W$143,3,FALSE)</f>
        <v>6.3212635523321783</v>
      </c>
      <c r="T60" s="117">
        <f>'Source VoT'!$D$27*1*VLOOKUP($B60,'Annual Parameters'!$B$33:$W$143,21,FALSE)/VLOOKUP('Source VoT'!$F$27,'Annual Parameters'!$B$33:$W$143,21,FALSE)*VLOOKUP($B$14,'Annual Parameters'!$B$33:$W$143,3,FALSE)/VLOOKUP('Source VoT'!$E$27,'Annual Parameters'!$B$33:$W$143,3,FALSE)</f>
        <v>24.613414806914797</v>
      </c>
      <c r="U60" s="73">
        <f>'Source VoT'!$D$28*1*VLOOKUP($B60,'Annual Parameters'!$B$33:$W$143,21,FALSE)/VLOOKUP('Source VoT'!$F$27,'Annual Parameters'!$B$33:$W$143,21,FALSE)*VLOOKUP($B$14,'Annual Parameters'!$B$33:$W$143,3,FALSE)/VLOOKUP('Source VoT'!$E$27,'Annual Parameters'!$B$33:$W$143,3,FALSE)</f>
        <v>24.613414806914797</v>
      </c>
      <c r="V60" s="73">
        <f>'Source VoT'!$D$29*1*VLOOKUP($B60,'Annual Parameters'!$B$33:$W$143,21,FALSE)/VLOOKUP('Source VoT'!$F$27,'Annual Parameters'!$B$33:$W$143,21,FALSE)*VLOOKUP($B$14,'Annual Parameters'!$B$33:$W$143,3,FALSE)/VLOOKUP('Source VoT'!$E$27,'Annual Parameters'!$B$33:$W$143,3,FALSE)</f>
        <v>16.948237659047514</v>
      </c>
      <c r="W60" s="73">
        <f>'Source VoT'!$D$30*1*VLOOKUP($B60,'Annual Parameters'!$B$33:$W$143,21,FALSE)/VLOOKUP('Source VoT'!$F$27,'Annual Parameters'!$B$33:$W$143,21,FALSE)*VLOOKUP($B$14,'Annual Parameters'!$B$33:$W$143,3,FALSE)/VLOOKUP('Source VoT'!$E$27,'Annual Parameters'!$B$33:$W$143,3,FALSE)</f>
        <v>19.969104093646258</v>
      </c>
      <c r="X60" s="73">
        <f>'Source VoT'!$D$31*1*VLOOKUP($B60,'Annual Parameters'!$B$33:$W$143,21,FALSE)/VLOOKUP('Source VoT'!$F$27,'Annual Parameters'!$B$33:$W$143,21,FALSE)*VLOOKUP($B$14,'Annual Parameters'!$B$33:$W$143,3,FALSE)/VLOOKUP('Source VoT'!$E$27,'Annual Parameters'!$B$33:$W$143,3,FALSE)</f>
        <v>20.400656441446081</v>
      </c>
      <c r="Y60" s="73">
        <f>'Source VoT'!$D$32*1*VLOOKUP($B60,'Annual Parameters'!$B$33:$W$143,21,FALSE)/VLOOKUP('Source VoT'!$F$27,'Annual Parameters'!$B$33:$W$143,21,FALSE)*VLOOKUP($B$14,'Annual Parameters'!$B$33:$W$143,3,FALSE)/VLOOKUP('Source VoT'!$E$27,'Annual Parameters'!$B$33:$W$143,3,FALSE)</f>
        <v>13.948072482388122</v>
      </c>
      <c r="Z60" s="73">
        <f>'Source VoT'!$D$33*1*VLOOKUP($B60,'Annual Parameters'!$B$33:$W$143,21,FALSE)/VLOOKUP('Source VoT'!$F$27,'Annual Parameters'!$B$33:$W$143,21,FALSE)*VLOOKUP($B$14,'Annual Parameters'!$B$33:$W$143,3,FALSE)/VLOOKUP('Source VoT'!$E$27,'Annual Parameters'!$B$33:$W$143,3,FALSE)</f>
        <v>18.027118528547067</v>
      </c>
      <c r="AA60" s="73">
        <f>'Source VoT'!$D$34*1*VLOOKUP($B60,'Annual Parameters'!$B$33:$W$143,21,FALSE)/VLOOKUP('Source VoT'!$F$27,'Annual Parameters'!$B$33:$W$143,21,FALSE)*VLOOKUP($B$14,'Annual Parameters'!$B$33:$W$143,3,FALSE)/VLOOKUP('Source VoT'!$E$27,'Annual Parameters'!$B$33:$W$143,3,FALSE)</f>
        <v>24.613414806914797</v>
      </c>
      <c r="AB60" s="73">
        <f>'Source VoT'!$D$35*1*VLOOKUP($B60,'Annual Parameters'!$B$33:$W$143,21,FALSE)/VLOOKUP('Source VoT'!$F$27,'Annual Parameters'!$B$33:$W$143,21,FALSE)*VLOOKUP($B$14,'Annual Parameters'!$B$33:$W$143,3,FALSE)/VLOOKUP('Source VoT'!$E$27,'Annual Parameters'!$B$33:$W$143,3,FALSE)</f>
        <v>40.600132589185044</v>
      </c>
      <c r="AC60" s="73">
        <f>'Source VoT'!$D$36*1*VLOOKUP($B60,'Annual Parameters'!$B$33:$W$143,21,FALSE)/VLOOKUP('Source VoT'!$F$27,'Annual Parameters'!$B$33:$W$143,21,FALSE)*VLOOKUP($B$14,'Annual Parameters'!$B$33:$W$143,3,FALSE)/VLOOKUP('Source VoT'!$E$27,'Annual Parameters'!$B$33:$W$143,3,FALSE)</f>
        <v>13.948072482388122</v>
      </c>
      <c r="AD60" s="73">
        <f>'Source VoT'!$D$37*1*VLOOKUP($B60,'Annual Parameters'!$B$33:$W$143,21,FALSE)/VLOOKUP('Source VoT'!$F$27,'Annual Parameters'!$B$33:$W$143,21,FALSE)*VLOOKUP($B$14,'Annual Parameters'!$B$33:$W$143,3,FALSE)/VLOOKUP('Source VoT'!$E$27,'Annual Parameters'!$B$33:$W$143,3,FALSE)</f>
        <v>13.948072482388122</v>
      </c>
      <c r="AE60" s="73">
        <f>'Source VoT'!$D$38*1*VLOOKUP($B60,'Annual Parameters'!$B$33:$W$143,21,FALSE)/VLOOKUP('Source VoT'!$F$27,'Annual Parameters'!$B$33:$W$143,21,FALSE)*VLOOKUP($B$14,'Annual Parameters'!$B$33:$W$143,3,FALSE)/VLOOKUP('Source VoT'!$E$27,'Annual Parameters'!$B$33:$W$143,3,FALSE)</f>
        <v>13.948072482388122</v>
      </c>
      <c r="AF60" s="73">
        <f>'Source VoT'!$D$39*1*VLOOKUP($B60,'Annual Parameters'!$B$33:$W$143,21,FALSE)/VLOOKUP('Source VoT'!$F$27,'Annual Parameters'!$B$33:$W$143,21,FALSE)*VLOOKUP($B$14,'Annual Parameters'!$B$33:$W$143,3,FALSE)/VLOOKUP('Source VoT'!$E$27,'Annual Parameters'!$B$33:$W$143,3,FALSE)</f>
        <v>24.613414806914797</v>
      </c>
      <c r="AG60" s="74">
        <f>'Source VoT'!$D$40*1*VLOOKUP($B60,'Annual Parameters'!$B$33:$W$143,21,FALSE)/VLOOKUP('Source VoT'!$F$27,'Annual Parameters'!$B$33:$W$143,21,FALSE)*VLOOKUP($B$14,'Annual Parameters'!$B$33:$W$143,3,FALSE)/VLOOKUP('Source VoT'!$E$27,'Annual Parameters'!$B$33:$W$143,3,FALSE)</f>
        <v>26.809625258868842</v>
      </c>
      <c r="AH60" s="73">
        <f>'Source VoT'!$D$45*1*VLOOKUP($B60,'Annual Parameters'!$B$33:$W$143,22,FALSE)/VLOOKUP('Source VoT'!$F$27,'Annual Parameters'!$B$33:$W$143,22,FALSE)*VLOOKUP($B$14,'Annual Parameters'!$B$33:$W$143,3,FALSE)/VLOOKUP('Source VoT'!$E$27,'Annual Parameters'!$B$33:$W$143,3,FALSE)</f>
        <v>16.480738471324067</v>
      </c>
      <c r="AI60" s="73">
        <f>'Source VoT'!$D$46*1*VLOOKUP($B60,'Annual Parameters'!$B$33:$W$143,22,FALSE)/VLOOKUP('Source VoT'!$F$27,'Annual Parameters'!$B$33:$W$143,22,FALSE)*VLOOKUP($B$14,'Annual Parameters'!$B$33:$W$143,3,FALSE)/VLOOKUP('Source VoT'!$E$27,'Annual Parameters'!$B$33:$W$143,3,FALSE)</f>
        <v>7.5223036272752912</v>
      </c>
      <c r="AJ60" s="117">
        <f>'Source VoT'!$D$27*VLOOKUP($B60,'Indirect tax correction'!$B$27:$I$127,7,FALSE)*VLOOKUP($B60,'Annual Parameters'!$B$33:$W$143,21,FALSE)/VLOOKUP('Source VoT'!$F$27,'Annual Parameters'!$B$33:$W$143,21,FALSE)*VLOOKUP($B$14,'Annual Parameters'!$B$33:$W$143,3,FALSE)/VLOOKUP('Source VoT'!$E$27,'Annual Parameters'!$B$33:$W$143,3,FALSE)</f>
        <v>29.289963620228605</v>
      </c>
      <c r="AK60" s="73">
        <f>'Source VoT'!$D$28*VLOOKUP($B60,'Indirect tax correction'!$B$27:$I$127,7,FALSE)*VLOOKUP($B60,'Annual Parameters'!$B$33:$W$143,21,FALSE)/VLOOKUP('Source VoT'!$F$27,'Annual Parameters'!$B$33:$W$143,21,FALSE)*VLOOKUP($B$14,'Annual Parameters'!$B$33:$W$143,3,FALSE)/VLOOKUP('Source VoT'!$E$27,'Annual Parameters'!$B$33:$W$143,3,FALSE)</f>
        <v>29.289963620228605</v>
      </c>
      <c r="AL60" s="73">
        <f>'Source VoT'!$D$29*VLOOKUP($B60,'Indirect tax correction'!$B$27:$I$127,7,FALSE)*VLOOKUP($B60,'Annual Parameters'!$B$33:$W$143,21,FALSE)/VLOOKUP('Source VoT'!$F$27,'Annual Parameters'!$B$33:$W$143,21,FALSE)*VLOOKUP($B$14,'Annual Parameters'!$B$33:$W$143,3,FALSE)/VLOOKUP('Source VoT'!$E$27,'Annual Parameters'!$B$33:$W$143,3,FALSE)</f>
        <v>20.168402814266543</v>
      </c>
      <c r="AM60" s="73">
        <f>'Source VoT'!$D$30*VLOOKUP($B60,'Indirect tax correction'!$B$27:$I$127,7,FALSE)*VLOOKUP($B60,'Annual Parameters'!$B$33:$W$143,21,FALSE)/VLOOKUP('Source VoT'!$F$27,'Annual Parameters'!$B$33:$W$143,21,FALSE)*VLOOKUP($B$14,'Annual Parameters'!$B$33:$W$143,3,FALSE)/VLOOKUP('Source VoT'!$E$27,'Annual Parameters'!$B$33:$W$143,3,FALSE)</f>
        <v>23.763233871439049</v>
      </c>
      <c r="AN60" s="73">
        <f>'Source VoT'!$D$31*VLOOKUP($B60,'Indirect tax correction'!$B$27:$I$127,7,FALSE)*VLOOKUP($B60,'Annual Parameters'!$B$33:$W$143,21,FALSE)/VLOOKUP('Source VoT'!$F$27,'Annual Parameters'!$B$33:$W$143,21,FALSE)*VLOOKUP($B$14,'Annual Parameters'!$B$33:$W$143,3,FALSE)/VLOOKUP('Source VoT'!$E$27,'Annual Parameters'!$B$33:$W$143,3,FALSE)</f>
        <v>24.276781165320834</v>
      </c>
      <c r="AO60" s="73">
        <f>'Source VoT'!$D$32*VLOOKUP($B60,'Indirect tax correction'!$B$27:$I$127,7,FALSE)*VLOOKUP($B60,'Annual Parameters'!$B$33:$W$143,21,FALSE)/VLOOKUP('Source VoT'!$F$27,'Annual Parameters'!$B$33:$W$143,21,FALSE)*VLOOKUP($B$14,'Annual Parameters'!$B$33:$W$143,3,FALSE)/VLOOKUP('Source VoT'!$E$27,'Annual Parameters'!$B$33:$W$143,3,FALSE)</f>
        <v>16.598206254041866</v>
      </c>
      <c r="AP60" s="73">
        <f>'Source VoT'!$D$33*VLOOKUP($B60,'Indirect tax correction'!$B$27:$I$127,7,FALSE)*VLOOKUP($B60,'Annual Parameters'!$B$33:$W$143,21,FALSE)/VLOOKUP('Source VoT'!$F$27,'Annual Parameters'!$B$33:$W$143,21,FALSE)*VLOOKUP($B$14,'Annual Parameters'!$B$33:$W$143,3,FALSE)/VLOOKUP('Source VoT'!$E$27,'Annual Parameters'!$B$33:$W$143,3,FALSE)</f>
        <v>21.452271048971006</v>
      </c>
      <c r="AQ60" s="73">
        <f>'Source VoT'!$D$34*VLOOKUP($B60,'Indirect tax correction'!$B$27:$I$127,7,FALSE)*VLOOKUP($B60,'Annual Parameters'!$B$33:$W$143,21,FALSE)/VLOOKUP('Source VoT'!$F$27,'Annual Parameters'!$B$33:$W$143,21,FALSE)*VLOOKUP($B$14,'Annual Parameters'!$B$33:$W$143,3,FALSE)/VLOOKUP('Source VoT'!$E$27,'Annual Parameters'!$B$33:$W$143,3,FALSE)</f>
        <v>29.289963620228605</v>
      </c>
      <c r="AR60" s="73">
        <f>'Source VoT'!$D$35*VLOOKUP($B60,'Indirect tax correction'!$B$27:$I$127,7,FALSE)*VLOOKUP($B60,'Annual Parameters'!$B$33:$W$143,21,FALSE)/VLOOKUP('Source VoT'!$F$27,'Annual Parameters'!$B$33:$W$143,21,FALSE)*VLOOKUP($B$14,'Annual Parameters'!$B$33:$W$143,3,FALSE)/VLOOKUP('Source VoT'!$E$27,'Annual Parameters'!$B$33:$W$143,3,FALSE)</f>
        <v>48.314157781130199</v>
      </c>
      <c r="AS60" s="73">
        <f>'Source VoT'!$D$36*VLOOKUP($B60,'Indirect tax correction'!$B$27:$I$127,7,FALSE)*VLOOKUP($B60,'Annual Parameters'!$B$33:$W$143,21,FALSE)/VLOOKUP('Source VoT'!$F$27,'Annual Parameters'!$B$33:$W$143,21,FALSE)*VLOOKUP($B$14,'Annual Parameters'!$B$33:$W$143,3,FALSE)/VLOOKUP('Source VoT'!$E$27,'Annual Parameters'!$B$33:$W$143,3,FALSE)</f>
        <v>16.598206254041866</v>
      </c>
      <c r="AT60" s="73">
        <f>'Source VoT'!$D$37*VLOOKUP($B60,'Indirect tax correction'!$B$27:$I$127,7,FALSE)*VLOOKUP($B60,'Annual Parameters'!$B$33:$W$143,21,FALSE)/VLOOKUP('Source VoT'!$F$27,'Annual Parameters'!$B$33:$W$143,21,FALSE)*VLOOKUP($B$14,'Annual Parameters'!$B$33:$W$143,3,FALSE)/VLOOKUP('Source VoT'!$E$27,'Annual Parameters'!$B$33:$W$143,3,FALSE)</f>
        <v>16.598206254041866</v>
      </c>
      <c r="AU60" s="73">
        <f>'Source VoT'!$D$38*VLOOKUP($B60,'Indirect tax correction'!$B$27:$I$127,7,FALSE)*VLOOKUP($B60,'Annual Parameters'!$B$33:$W$143,21,FALSE)/VLOOKUP('Source VoT'!$F$27,'Annual Parameters'!$B$33:$W$143,21,FALSE)*VLOOKUP($B$14,'Annual Parameters'!$B$33:$W$143,3,FALSE)/VLOOKUP('Source VoT'!$E$27,'Annual Parameters'!$B$33:$W$143,3,FALSE)</f>
        <v>16.598206254041866</v>
      </c>
      <c r="AV60" s="73">
        <f>'Source VoT'!$D$39*VLOOKUP($B60,'Indirect tax correction'!$B$27:$I$127,7,FALSE)*VLOOKUP($B60,'Annual Parameters'!$B$33:$W$143,21,FALSE)/VLOOKUP('Source VoT'!$F$27,'Annual Parameters'!$B$33:$W$143,21,FALSE)*VLOOKUP($B$14,'Annual Parameters'!$B$33:$W$143,3,FALSE)/VLOOKUP('Source VoT'!$E$27,'Annual Parameters'!$B$33:$W$143,3,FALSE)</f>
        <v>29.289963620228605</v>
      </c>
      <c r="AW60" s="74">
        <f>'Source VoT'!$D$40*VLOOKUP($B60,'Indirect tax correction'!$B$27:$I$127,7,FALSE)*VLOOKUP($B60,'Annual Parameters'!$B$33:$W$143,21,FALSE)/VLOOKUP('Source VoT'!$F$27,'Annual Parameters'!$B$33:$W$143,21,FALSE)*VLOOKUP($B$14,'Annual Parameters'!$B$33:$W$143,3,FALSE)/VLOOKUP('Source VoT'!$E$27,'Annual Parameters'!$B$33:$W$143,3,FALSE)</f>
        <v>31.903454058053924</v>
      </c>
      <c r="AX60" s="73">
        <f>'Source VoT'!$D$45*VLOOKUP($B60,'Indirect tax correction'!$B$27:$I$127,8,FALSE)*VLOOKUP($B60,'Annual Parameters'!$B$33:$W$143,22,FALSE)/VLOOKUP('Source VoT'!$F$27,'Annual Parameters'!$B$33:$W$143,22,FALSE)*VLOOKUP($B$14,'Annual Parameters'!$B$33:$W$143,3,FALSE)/VLOOKUP('Source VoT'!$E$27,'Annual Parameters'!$B$33:$W$143,3,FALSE)</f>
        <v>16.480738471324067</v>
      </c>
      <c r="AY60" s="74">
        <f>'Source VoT'!$D$46*VLOOKUP($B60,'Indirect tax correction'!$B$27:$I$127,8,FALSE)*VLOOKUP($B60,'Annual Parameters'!$B$33:$W$143,22,FALSE)/VLOOKUP('Source VoT'!$F$27,'Annual Parameters'!$B$33:$W$143,22,FALSE)*VLOOKUP($B$14,'Annual Parameters'!$B$33:$W$143,3,FALSE)/VLOOKUP('Source VoT'!$E$27,'Annual Parameters'!$B$33:$W$143,3,FALSE)</f>
        <v>7.5223036272752912</v>
      </c>
      <c r="AZ60" s="2875"/>
      <c r="BA60" s="2875"/>
      <c r="BB60" s="2875"/>
      <c r="BC60" s="2875"/>
      <c r="BD60" s="2875"/>
      <c r="BE60" s="2875"/>
      <c r="BF60" s="2875"/>
      <c r="BG60" s="2875"/>
    </row>
    <row r="61" spans="1:59" ht="13.5" customHeight="1">
      <c r="A61" s="90"/>
      <c r="B61" s="82">
        <f t="shared" si="0"/>
        <v>2044</v>
      </c>
      <c r="C61" s="82"/>
      <c r="D61" s="117">
        <f>'Source VoT'!$D$27*VLOOKUP($B61,'Indirect tax correction'!$B$27:$I$127,5,FALSE)*VLOOKUP($B61,'Annual Parameters'!$B$33:$W$143,21,FALSE)/VLOOKUP('Source VoT'!$F$27,'Annual Parameters'!$B$33:$W$143,21,FALSE)*VLOOKUP($B$14,'Annual Parameters'!$B$33:$W$143,3,FALSE)/VLOOKUP('Source VoT'!$E$27,'Annual Parameters'!$B$33:$W$143,3,FALSE)</f>
        <v>25.085166605053494</v>
      </c>
      <c r="E61" s="73">
        <f>'Source VoT'!$D$28*VLOOKUP($B61,'Indirect tax correction'!$B$27:$I$127,5,FALSE)*VLOOKUP($B61,'Annual Parameters'!$B$33:$W$143,21,FALSE)/VLOOKUP('Source VoT'!$F$27,'Annual Parameters'!$B$33:$W$143,21,FALSE)*VLOOKUP($B$14,'Annual Parameters'!$B$33:$W$143,3,FALSE)/VLOOKUP('Source VoT'!$E$27,'Annual Parameters'!$B$33:$W$143,3,FALSE)</f>
        <v>25.085166605053494</v>
      </c>
      <c r="F61" s="73">
        <f>'Source VoT'!$D$29*VLOOKUP($B61,'Indirect tax correction'!$B$27:$I$127,5,FALSE)*VLOOKUP($B61,'Annual Parameters'!$B$33:$W$143,21,FALSE)/VLOOKUP('Source VoT'!$F$27,'Annual Parameters'!$B$33:$W$143,21,FALSE)*VLOOKUP($B$14,'Annual Parameters'!$B$33:$W$143,3,FALSE)/VLOOKUP('Source VoT'!$E$27,'Annual Parameters'!$B$33:$W$143,3,FALSE)</f>
        <v>17.273075218307742</v>
      </c>
      <c r="G61" s="73">
        <f>'Source VoT'!$D$30*VLOOKUP($B61,'Indirect tax correction'!$B$27:$I$127,5,FALSE)*VLOOKUP($B61,'Annual Parameters'!$B$33:$W$143,21,FALSE)/VLOOKUP('Source VoT'!$F$27,'Annual Parameters'!$B$33:$W$143,21,FALSE)*VLOOKUP($B$14,'Annual Parameters'!$B$33:$W$143,3,FALSE)/VLOOKUP('Source VoT'!$E$27,'Annual Parameters'!$B$33:$W$143,3,FALSE)</f>
        <v>20.351840940089442</v>
      </c>
      <c r="H61" s="73">
        <f>'Source VoT'!$D$31*VLOOKUP($B61,'Indirect tax correction'!$B$27:$I$127,5,FALSE)*VLOOKUP($B61,'Annual Parameters'!$B$33:$W$143,21,FALSE)/VLOOKUP('Source VoT'!$F$27,'Annual Parameters'!$B$33:$W$143,21,FALSE)*VLOOKUP($B$14,'Annual Parameters'!$B$33:$W$143,3,FALSE)/VLOOKUP('Source VoT'!$E$27,'Annual Parameters'!$B$33:$W$143,3,FALSE)</f>
        <v>20.791664614629688</v>
      </c>
      <c r="I61" s="73">
        <f>'Source VoT'!$D$32*VLOOKUP($B61,'Indirect tax correction'!$B$27:$I$127,5,FALSE)*VLOOKUP($B61,'Annual Parameters'!$B$33:$W$143,21,FALSE)/VLOOKUP('Source VoT'!$F$27,'Annual Parameters'!$B$33:$W$143,21,FALSE)*VLOOKUP($B$14,'Annual Parameters'!$B$33:$W$143,3,FALSE)/VLOOKUP('Source VoT'!$E$27,'Annual Parameters'!$B$33:$W$143,3,FALSE)</f>
        <v>14.215407524102323</v>
      </c>
      <c r="J61" s="73">
        <f>'Source VoT'!$D$33*VLOOKUP($B61,'Indirect tax correction'!$B$27:$I$127,5,FALSE)*VLOOKUP($B61,'Annual Parameters'!$B$33:$W$143,21,FALSE)/VLOOKUP('Source VoT'!$F$27,'Annual Parameters'!$B$33:$W$143,21,FALSE)*VLOOKUP($B$14,'Annual Parameters'!$B$33:$W$143,3,FALSE)/VLOOKUP('Source VoT'!$E$27,'Annual Parameters'!$B$33:$W$143,3,FALSE)</f>
        <v>18.372634404658346</v>
      </c>
      <c r="K61" s="73">
        <f>'Source VoT'!$D$34*VLOOKUP($B61,'Indirect tax correction'!$B$27:$I$127,5,FALSE)*VLOOKUP($B61,'Annual Parameters'!$B$33:$W$143,21,FALSE)/VLOOKUP('Source VoT'!$F$27,'Annual Parameters'!$B$33:$W$143,21,FALSE)*VLOOKUP($B$14,'Annual Parameters'!$B$33:$W$143,3,FALSE)/VLOOKUP('Source VoT'!$E$27,'Annual Parameters'!$B$33:$W$143,3,FALSE)</f>
        <v>25.085166605053494</v>
      </c>
      <c r="L61" s="73">
        <f>'Source VoT'!$D$35*VLOOKUP($B61,'Indirect tax correction'!$B$27:$I$127,5,FALSE)*VLOOKUP($B61,'Annual Parameters'!$B$33:$W$143,21,FALSE)/VLOOKUP('Source VoT'!$F$27,'Annual Parameters'!$B$33:$W$143,21,FALSE)*VLOOKUP($B$14,'Annual Parameters'!$B$33:$W$143,3,FALSE)/VLOOKUP('Source VoT'!$E$27,'Annual Parameters'!$B$33:$W$143,3,FALSE)</f>
        <v>41.378293023398221</v>
      </c>
      <c r="M61" s="73">
        <f>'Source VoT'!$D$36*VLOOKUP($B61,'Indirect tax correction'!$B$27:$I$127,5,FALSE)*VLOOKUP($B61,'Annual Parameters'!$B$33:$W$143,21,FALSE)/VLOOKUP('Source VoT'!$F$27,'Annual Parameters'!$B$33:$W$143,21,FALSE)*VLOOKUP($B$14,'Annual Parameters'!$B$33:$W$143,3,FALSE)/VLOOKUP('Source VoT'!$E$27,'Annual Parameters'!$B$33:$W$143,3,FALSE)</f>
        <v>14.215407524102323</v>
      </c>
      <c r="N61" s="73">
        <f>'Source VoT'!$D$37*VLOOKUP($B61,'Indirect tax correction'!$B$27:$I$127,5,FALSE)*VLOOKUP($B61,'Annual Parameters'!$B$33:$W$143,21,FALSE)/VLOOKUP('Source VoT'!$F$27,'Annual Parameters'!$B$33:$W$143,21,FALSE)*VLOOKUP($B$14,'Annual Parameters'!$B$33:$W$143,3,FALSE)/VLOOKUP('Source VoT'!$E$27,'Annual Parameters'!$B$33:$W$143,3,FALSE)</f>
        <v>14.215407524102323</v>
      </c>
      <c r="O61" s="73">
        <f>'Source VoT'!$D$38*VLOOKUP($B61,'Indirect tax correction'!$B$27:$I$127,5,FALSE)*VLOOKUP($B61,'Annual Parameters'!$B$33:$W$143,21,FALSE)/VLOOKUP('Source VoT'!$F$27,'Annual Parameters'!$B$33:$W$143,21,FALSE)*VLOOKUP($B$14,'Annual Parameters'!$B$33:$W$143,3,FALSE)/VLOOKUP('Source VoT'!$E$27,'Annual Parameters'!$B$33:$W$143,3,FALSE)</f>
        <v>14.215407524102323</v>
      </c>
      <c r="P61" s="73">
        <f>'Source VoT'!$D$39*VLOOKUP($B61,'Indirect tax correction'!$B$27:$I$127,5,FALSE)*VLOOKUP($B61,'Annual Parameters'!$B$33:$W$143,21,FALSE)/VLOOKUP('Source VoT'!$F$27,'Annual Parameters'!$B$33:$W$143,21,FALSE)*VLOOKUP($B$14,'Annual Parameters'!$B$33:$W$143,3,FALSE)/VLOOKUP('Source VoT'!$E$27,'Annual Parameters'!$B$33:$W$143,3,FALSE)</f>
        <v>25.085166605053494</v>
      </c>
      <c r="Q61" s="74">
        <f>'Source VoT'!$D$40*VLOOKUP($B61,'Indirect tax correction'!$B$27:$I$127,5,FALSE)*VLOOKUP($B61,'Annual Parameters'!$B$33:$W$143,21,FALSE)/VLOOKUP('Source VoT'!$F$27,'Annual Parameters'!$B$33:$W$143,21,FALSE)*VLOOKUP($B$14,'Annual Parameters'!$B$33:$W$143,3,FALSE)/VLOOKUP('Source VoT'!$E$27,'Annual Parameters'!$B$33:$W$143,3,FALSE)</f>
        <v>27.323470616065805</v>
      </c>
      <c r="R61" s="73">
        <f>'Source VoT'!$D$45*VLOOKUP($B61,'Indirect tax correction'!$B$27:$I$127,6,FALSE)*VLOOKUP($B61,'Annual Parameters'!$B$33:$W$143,22,FALSE)/VLOOKUP('Source VoT'!$F$27,'Annual Parameters'!$B$33:$W$143,22,FALSE)*VLOOKUP($B$14,'Annual Parameters'!$B$33:$W$143,3,FALSE)/VLOOKUP('Source VoT'!$E$27,'Annual Parameters'!$B$33:$W$143,3,FALSE)</f>
        <v>14.114803134885289</v>
      </c>
      <c r="S61" s="73">
        <f>'Source VoT'!$D$46*VLOOKUP($B61,'Indirect tax correction'!$B$27:$I$127,6,FALSE)*VLOOKUP($B61,'Annual Parameters'!$B$33:$W$143,22,FALSE)/VLOOKUP('Source VoT'!$F$27,'Annual Parameters'!$B$33:$W$143,22,FALSE)*VLOOKUP($B$14,'Annual Parameters'!$B$33:$W$143,3,FALSE)/VLOOKUP('Source VoT'!$E$27,'Annual Parameters'!$B$33:$W$143,3,FALSE)</f>
        <v>6.4424197377178629</v>
      </c>
      <c r="T61" s="117">
        <f>'Source VoT'!$D$27*1*VLOOKUP($B61,'Annual Parameters'!$B$33:$W$143,21,FALSE)/VLOOKUP('Source VoT'!$F$27,'Annual Parameters'!$B$33:$W$143,21,FALSE)*VLOOKUP($B$14,'Annual Parameters'!$B$33:$W$143,3,FALSE)/VLOOKUP('Source VoT'!$E$27,'Annual Parameters'!$B$33:$W$143,3,FALSE)</f>
        <v>25.085166605053494</v>
      </c>
      <c r="U61" s="73">
        <f>'Source VoT'!$D$28*1*VLOOKUP($B61,'Annual Parameters'!$B$33:$W$143,21,FALSE)/VLOOKUP('Source VoT'!$F$27,'Annual Parameters'!$B$33:$W$143,21,FALSE)*VLOOKUP($B$14,'Annual Parameters'!$B$33:$W$143,3,FALSE)/VLOOKUP('Source VoT'!$E$27,'Annual Parameters'!$B$33:$W$143,3,FALSE)</f>
        <v>25.085166605053494</v>
      </c>
      <c r="V61" s="73">
        <f>'Source VoT'!$D$29*1*VLOOKUP($B61,'Annual Parameters'!$B$33:$W$143,21,FALSE)/VLOOKUP('Source VoT'!$F$27,'Annual Parameters'!$B$33:$W$143,21,FALSE)*VLOOKUP($B$14,'Annual Parameters'!$B$33:$W$143,3,FALSE)/VLOOKUP('Source VoT'!$E$27,'Annual Parameters'!$B$33:$W$143,3,FALSE)</f>
        <v>17.273075218307742</v>
      </c>
      <c r="W61" s="73">
        <f>'Source VoT'!$D$30*1*VLOOKUP($B61,'Annual Parameters'!$B$33:$W$143,21,FALSE)/VLOOKUP('Source VoT'!$F$27,'Annual Parameters'!$B$33:$W$143,21,FALSE)*VLOOKUP($B$14,'Annual Parameters'!$B$33:$W$143,3,FALSE)/VLOOKUP('Source VoT'!$E$27,'Annual Parameters'!$B$33:$W$143,3,FALSE)</f>
        <v>20.351840940089442</v>
      </c>
      <c r="X61" s="73">
        <f>'Source VoT'!$D$31*1*VLOOKUP($B61,'Annual Parameters'!$B$33:$W$143,21,FALSE)/VLOOKUP('Source VoT'!$F$27,'Annual Parameters'!$B$33:$W$143,21,FALSE)*VLOOKUP($B$14,'Annual Parameters'!$B$33:$W$143,3,FALSE)/VLOOKUP('Source VoT'!$E$27,'Annual Parameters'!$B$33:$W$143,3,FALSE)</f>
        <v>20.791664614629688</v>
      </c>
      <c r="Y61" s="73">
        <f>'Source VoT'!$D$32*1*VLOOKUP($B61,'Annual Parameters'!$B$33:$W$143,21,FALSE)/VLOOKUP('Source VoT'!$F$27,'Annual Parameters'!$B$33:$W$143,21,FALSE)*VLOOKUP($B$14,'Annual Parameters'!$B$33:$W$143,3,FALSE)/VLOOKUP('Source VoT'!$E$27,'Annual Parameters'!$B$33:$W$143,3,FALSE)</f>
        <v>14.215407524102323</v>
      </c>
      <c r="Z61" s="73">
        <f>'Source VoT'!$D$33*1*VLOOKUP($B61,'Annual Parameters'!$B$33:$W$143,21,FALSE)/VLOOKUP('Source VoT'!$F$27,'Annual Parameters'!$B$33:$W$143,21,FALSE)*VLOOKUP($B$14,'Annual Parameters'!$B$33:$W$143,3,FALSE)/VLOOKUP('Source VoT'!$E$27,'Annual Parameters'!$B$33:$W$143,3,FALSE)</f>
        <v>18.372634404658346</v>
      </c>
      <c r="AA61" s="73">
        <f>'Source VoT'!$D$34*1*VLOOKUP($B61,'Annual Parameters'!$B$33:$W$143,21,FALSE)/VLOOKUP('Source VoT'!$F$27,'Annual Parameters'!$B$33:$W$143,21,FALSE)*VLOOKUP($B$14,'Annual Parameters'!$B$33:$W$143,3,FALSE)/VLOOKUP('Source VoT'!$E$27,'Annual Parameters'!$B$33:$W$143,3,FALSE)</f>
        <v>25.085166605053494</v>
      </c>
      <c r="AB61" s="73">
        <f>'Source VoT'!$D$35*1*VLOOKUP($B61,'Annual Parameters'!$B$33:$W$143,21,FALSE)/VLOOKUP('Source VoT'!$F$27,'Annual Parameters'!$B$33:$W$143,21,FALSE)*VLOOKUP($B$14,'Annual Parameters'!$B$33:$W$143,3,FALSE)/VLOOKUP('Source VoT'!$E$27,'Annual Parameters'!$B$33:$W$143,3,FALSE)</f>
        <v>41.378293023398221</v>
      </c>
      <c r="AC61" s="73">
        <f>'Source VoT'!$D$36*1*VLOOKUP($B61,'Annual Parameters'!$B$33:$W$143,21,FALSE)/VLOOKUP('Source VoT'!$F$27,'Annual Parameters'!$B$33:$W$143,21,FALSE)*VLOOKUP($B$14,'Annual Parameters'!$B$33:$W$143,3,FALSE)/VLOOKUP('Source VoT'!$E$27,'Annual Parameters'!$B$33:$W$143,3,FALSE)</f>
        <v>14.215407524102323</v>
      </c>
      <c r="AD61" s="73">
        <f>'Source VoT'!$D$37*1*VLOOKUP($B61,'Annual Parameters'!$B$33:$W$143,21,FALSE)/VLOOKUP('Source VoT'!$F$27,'Annual Parameters'!$B$33:$W$143,21,FALSE)*VLOOKUP($B$14,'Annual Parameters'!$B$33:$W$143,3,FALSE)/VLOOKUP('Source VoT'!$E$27,'Annual Parameters'!$B$33:$W$143,3,FALSE)</f>
        <v>14.215407524102323</v>
      </c>
      <c r="AE61" s="73">
        <f>'Source VoT'!$D$38*1*VLOOKUP($B61,'Annual Parameters'!$B$33:$W$143,21,FALSE)/VLOOKUP('Source VoT'!$F$27,'Annual Parameters'!$B$33:$W$143,21,FALSE)*VLOOKUP($B$14,'Annual Parameters'!$B$33:$W$143,3,FALSE)/VLOOKUP('Source VoT'!$E$27,'Annual Parameters'!$B$33:$W$143,3,FALSE)</f>
        <v>14.215407524102323</v>
      </c>
      <c r="AF61" s="73">
        <f>'Source VoT'!$D$39*1*VLOOKUP($B61,'Annual Parameters'!$B$33:$W$143,21,FALSE)/VLOOKUP('Source VoT'!$F$27,'Annual Parameters'!$B$33:$W$143,21,FALSE)*VLOOKUP($B$14,'Annual Parameters'!$B$33:$W$143,3,FALSE)/VLOOKUP('Source VoT'!$E$27,'Annual Parameters'!$B$33:$W$143,3,FALSE)</f>
        <v>25.085166605053494</v>
      </c>
      <c r="AG61" s="74">
        <f>'Source VoT'!$D$40*1*VLOOKUP($B61,'Annual Parameters'!$B$33:$W$143,21,FALSE)/VLOOKUP('Source VoT'!$F$27,'Annual Parameters'!$B$33:$W$143,21,FALSE)*VLOOKUP($B$14,'Annual Parameters'!$B$33:$W$143,3,FALSE)/VLOOKUP('Source VoT'!$E$27,'Annual Parameters'!$B$33:$W$143,3,FALSE)</f>
        <v>27.323470616065805</v>
      </c>
      <c r="AH61" s="73">
        <f>'Source VoT'!$D$45*1*VLOOKUP($B61,'Annual Parameters'!$B$33:$W$143,22,FALSE)/VLOOKUP('Source VoT'!$F$27,'Annual Parameters'!$B$33:$W$143,22,FALSE)*VLOOKUP($B$14,'Annual Parameters'!$B$33:$W$143,3,FALSE)/VLOOKUP('Source VoT'!$E$27,'Annual Parameters'!$B$33:$W$143,3,FALSE)</f>
        <v>16.796615730513494</v>
      </c>
      <c r="AI61" s="73">
        <f>'Source VoT'!$D$46*1*VLOOKUP($B61,'Annual Parameters'!$B$33:$W$143,22,FALSE)/VLOOKUP('Source VoT'!$F$27,'Annual Parameters'!$B$33:$W$143,22,FALSE)*VLOOKUP($B$14,'Annual Parameters'!$B$33:$W$143,3,FALSE)/VLOOKUP('Source VoT'!$E$27,'Annual Parameters'!$B$33:$W$143,3,FALSE)</f>
        <v>7.6664794878842564</v>
      </c>
      <c r="AJ61" s="117">
        <f>'Source VoT'!$D$27*VLOOKUP($B61,'Indirect tax correction'!$B$27:$I$127,7,FALSE)*VLOOKUP($B61,'Annual Parameters'!$B$33:$W$143,21,FALSE)/VLOOKUP('Source VoT'!$F$27,'Annual Parameters'!$B$33:$W$143,21,FALSE)*VLOOKUP($B$14,'Annual Parameters'!$B$33:$W$143,3,FALSE)/VLOOKUP('Source VoT'!$E$27,'Annual Parameters'!$B$33:$W$143,3,FALSE)</f>
        <v>29.851348260013662</v>
      </c>
      <c r="AK61" s="73">
        <f>'Source VoT'!$D$28*VLOOKUP($B61,'Indirect tax correction'!$B$27:$I$127,7,FALSE)*VLOOKUP($B61,'Annual Parameters'!$B$33:$W$143,21,FALSE)/VLOOKUP('Source VoT'!$F$27,'Annual Parameters'!$B$33:$W$143,21,FALSE)*VLOOKUP($B$14,'Annual Parameters'!$B$33:$W$143,3,FALSE)/VLOOKUP('Source VoT'!$E$27,'Annual Parameters'!$B$33:$W$143,3,FALSE)</f>
        <v>29.851348260013662</v>
      </c>
      <c r="AL61" s="73">
        <f>'Source VoT'!$D$29*VLOOKUP($B61,'Indirect tax correction'!$B$27:$I$127,7,FALSE)*VLOOKUP($B61,'Annual Parameters'!$B$33:$W$143,21,FALSE)/VLOOKUP('Source VoT'!$F$27,'Annual Parameters'!$B$33:$W$143,21,FALSE)*VLOOKUP($B$14,'Annual Parameters'!$B$33:$W$143,3,FALSE)/VLOOKUP('Source VoT'!$E$27,'Annual Parameters'!$B$33:$W$143,3,FALSE)</f>
        <v>20.554959509786208</v>
      </c>
      <c r="AM61" s="73">
        <f>'Source VoT'!$D$30*VLOOKUP($B61,'Indirect tax correction'!$B$27:$I$127,7,FALSE)*VLOOKUP($B61,'Annual Parameters'!$B$33:$W$143,21,FALSE)/VLOOKUP('Source VoT'!$F$27,'Annual Parameters'!$B$33:$W$143,21,FALSE)*VLOOKUP($B$14,'Annual Parameters'!$B$33:$W$143,3,FALSE)/VLOOKUP('Source VoT'!$E$27,'Annual Parameters'!$B$33:$W$143,3,FALSE)</f>
        <v>24.218690718706434</v>
      </c>
      <c r="AN61" s="73">
        <f>'Source VoT'!$D$31*VLOOKUP($B61,'Indirect tax correction'!$B$27:$I$127,7,FALSE)*VLOOKUP($B61,'Annual Parameters'!$B$33:$W$143,21,FALSE)/VLOOKUP('Source VoT'!$F$27,'Annual Parameters'!$B$33:$W$143,21,FALSE)*VLOOKUP($B$14,'Annual Parameters'!$B$33:$W$143,3,FALSE)/VLOOKUP('Source VoT'!$E$27,'Annual Parameters'!$B$33:$W$143,3,FALSE)</f>
        <v>24.742080891409326</v>
      </c>
      <c r="AO61" s="73">
        <f>'Source VoT'!$D$32*VLOOKUP($B61,'Indirect tax correction'!$B$27:$I$127,7,FALSE)*VLOOKUP($B61,'Annual Parameters'!$B$33:$W$143,21,FALSE)/VLOOKUP('Source VoT'!$F$27,'Annual Parameters'!$B$33:$W$143,21,FALSE)*VLOOKUP($B$14,'Annual Parameters'!$B$33:$W$143,3,FALSE)/VLOOKUP('Source VoT'!$E$27,'Annual Parameters'!$B$33:$W$143,3,FALSE)</f>
        <v>16.916334953681766</v>
      </c>
      <c r="AP61" s="73">
        <f>'Source VoT'!$D$33*VLOOKUP($B61,'Indirect tax correction'!$B$27:$I$127,7,FALSE)*VLOOKUP($B61,'Annual Parameters'!$B$33:$W$143,21,FALSE)/VLOOKUP('Source VoT'!$F$27,'Annual Parameters'!$B$33:$W$143,21,FALSE)*VLOOKUP($B$14,'Annual Parameters'!$B$33:$W$143,3,FALSE)/VLOOKUP('Source VoT'!$E$27,'Annual Parameters'!$B$33:$W$143,3,FALSE)</f>
        <v>21.863434941543431</v>
      </c>
      <c r="AQ61" s="73">
        <f>'Source VoT'!$D$34*VLOOKUP($B61,'Indirect tax correction'!$B$27:$I$127,7,FALSE)*VLOOKUP($B61,'Annual Parameters'!$B$33:$W$143,21,FALSE)/VLOOKUP('Source VoT'!$F$27,'Annual Parameters'!$B$33:$W$143,21,FALSE)*VLOOKUP($B$14,'Annual Parameters'!$B$33:$W$143,3,FALSE)/VLOOKUP('Source VoT'!$E$27,'Annual Parameters'!$B$33:$W$143,3,FALSE)</f>
        <v>29.851348260013662</v>
      </c>
      <c r="AR61" s="73">
        <f>'Source VoT'!$D$35*VLOOKUP($B61,'Indirect tax correction'!$B$27:$I$127,7,FALSE)*VLOOKUP($B61,'Annual Parameters'!$B$33:$W$143,21,FALSE)/VLOOKUP('Source VoT'!$F$27,'Annual Parameters'!$B$33:$W$143,21,FALSE)*VLOOKUP($B$14,'Annual Parameters'!$B$33:$W$143,3,FALSE)/VLOOKUP('Source VoT'!$E$27,'Annual Parameters'!$B$33:$W$143,3,FALSE)</f>
        <v>49.24016869784387</v>
      </c>
      <c r="AS61" s="73">
        <f>'Source VoT'!$D$36*VLOOKUP($B61,'Indirect tax correction'!$B$27:$I$127,7,FALSE)*VLOOKUP($B61,'Annual Parameters'!$B$33:$W$143,21,FALSE)/VLOOKUP('Source VoT'!$F$27,'Annual Parameters'!$B$33:$W$143,21,FALSE)*VLOOKUP($B$14,'Annual Parameters'!$B$33:$W$143,3,FALSE)/VLOOKUP('Source VoT'!$E$27,'Annual Parameters'!$B$33:$W$143,3,FALSE)</f>
        <v>16.916334953681766</v>
      </c>
      <c r="AT61" s="73">
        <f>'Source VoT'!$D$37*VLOOKUP($B61,'Indirect tax correction'!$B$27:$I$127,7,FALSE)*VLOOKUP($B61,'Annual Parameters'!$B$33:$W$143,21,FALSE)/VLOOKUP('Source VoT'!$F$27,'Annual Parameters'!$B$33:$W$143,21,FALSE)*VLOOKUP($B$14,'Annual Parameters'!$B$33:$W$143,3,FALSE)/VLOOKUP('Source VoT'!$E$27,'Annual Parameters'!$B$33:$W$143,3,FALSE)</f>
        <v>16.916334953681766</v>
      </c>
      <c r="AU61" s="73">
        <f>'Source VoT'!$D$38*VLOOKUP($B61,'Indirect tax correction'!$B$27:$I$127,7,FALSE)*VLOOKUP($B61,'Annual Parameters'!$B$33:$W$143,21,FALSE)/VLOOKUP('Source VoT'!$F$27,'Annual Parameters'!$B$33:$W$143,21,FALSE)*VLOOKUP($B$14,'Annual Parameters'!$B$33:$W$143,3,FALSE)/VLOOKUP('Source VoT'!$E$27,'Annual Parameters'!$B$33:$W$143,3,FALSE)</f>
        <v>16.916334953681766</v>
      </c>
      <c r="AV61" s="73">
        <f>'Source VoT'!$D$39*VLOOKUP($B61,'Indirect tax correction'!$B$27:$I$127,7,FALSE)*VLOOKUP($B61,'Annual Parameters'!$B$33:$W$143,21,FALSE)/VLOOKUP('Source VoT'!$F$27,'Annual Parameters'!$B$33:$W$143,21,FALSE)*VLOOKUP($B$14,'Annual Parameters'!$B$33:$W$143,3,FALSE)/VLOOKUP('Source VoT'!$E$27,'Annual Parameters'!$B$33:$W$143,3,FALSE)</f>
        <v>29.851348260013662</v>
      </c>
      <c r="AW61" s="74">
        <f>'Source VoT'!$D$40*VLOOKUP($B61,'Indirect tax correction'!$B$27:$I$127,7,FALSE)*VLOOKUP($B61,'Annual Parameters'!$B$33:$W$143,21,FALSE)/VLOOKUP('Source VoT'!$F$27,'Annual Parameters'!$B$33:$W$143,21,FALSE)*VLOOKUP($B$14,'Annual Parameters'!$B$33:$W$143,3,FALSE)/VLOOKUP('Source VoT'!$E$27,'Annual Parameters'!$B$33:$W$143,3,FALSE)</f>
        <v>32.514930033118304</v>
      </c>
      <c r="AX61" s="73">
        <f>'Source VoT'!$D$45*VLOOKUP($B61,'Indirect tax correction'!$B$27:$I$127,8,FALSE)*VLOOKUP($B61,'Annual Parameters'!$B$33:$W$143,22,FALSE)/VLOOKUP('Source VoT'!$F$27,'Annual Parameters'!$B$33:$W$143,22,FALSE)*VLOOKUP($B$14,'Annual Parameters'!$B$33:$W$143,3,FALSE)/VLOOKUP('Source VoT'!$E$27,'Annual Parameters'!$B$33:$W$143,3,FALSE)</f>
        <v>16.796615730513494</v>
      </c>
      <c r="AY61" s="74">
        <f>'Source VoT'!$D$46*VLOOKUP($B61,'Indirect tax correction'!$B$27:$I$127,8,FALSE)*VLOOKUP($B61,'Annual Parameters'!$B$33:$W$143,22,FALSE)/VLOOKUP('Source VoT'!$F$27,'Annual Parameters'!$B$33:$W$143,22,FALSE)*VLOOKUP($B$14,'Annual Parameters'!$B$33:$W$143,3,FALSE)/VLOOKUP('Source VoT'!$E$27,'Annual Parameters'!$B$33:$W$143,3,FALSE)</f>
        <v>7.6664794878842564</v>
      </c>
      <c r="AZ61" s="2875"/>
      <c r="BA61" s="2875"/>
      <c r="BB61" s="2875"/>
      <c r="BC61" s="2875"/>
      <c r="BD61" s="2875"/>
      <c r="BE61" s="2875"/>
      <c r="BF61" s="2875"/>
      <c r="BG61" s="2875"/>
    </row>
    <row r="62" spans="1:59" ht="13.5" customHeight="1">
      <c r="A62" s="90"/>
      <c r="B62" s="82">
        <f t="shared" si="0"/>
        <v>2045</v>
      </c>
      <c r="C62" s="82"/>
      <c r="D62" s="117">
        <f>'Source VoT'!$D$27*VLOOKUP($B62,'Indirect tax correction'!$B$27:$I$127,5,FALSE)*VLOOKUP($B62,'Annual Parameters'!$B$33:$W$143,21,FALSE)/VLOOKUP('Source VoT'!$F$27,'Annual Parameters'!$B$33:$W$143,21,FALSE)*VLOOKUP($B$14,'Annual Parameters'!$B$33:$W$143,3,FALSE)/VLOOKUP('Source VoT'!$E$27,'Annual Parameters'!$B$33:$W$143,3,FALSE)</f>
        <v>25.563401341954194</v>
      </c>
      <c r="E62" s="73">
        <f>'Source VoT'!$D$28*VLOOKUP($B62,'Indirect tax correction'!$B$27:$I$127,5,FALSE)*VLOOKUP($B62,'Annual Parameters'!$B$33:$W$143,21,FALSE)/VLOOKUP('Source VoT'!$F$27,'Annual Parameters'!$B$33:$W$143,21,FALSE)*VLOOKUP($B$14,'Annual Parameters'!$B$33:$W$143,3,FALSE)/VLOOKUP('Source VoT'!$E$27,'Annual Parameters'!$B$33:$W$143,3,FALSE)</f>
        <v>25.563401341954194</v>
      </c>
      <c r="F62" s="73">
        <f>'Source VoT'!$D$29*VLOOKUP($B62,'Indirect tax correction'!$B$27:$I$127,5,FALSE)*VLOOKUP($B62,'Annual Parameters'!$B$33:$W$143,21,FALSE)/VLOOKUP('Source VoT'!$F$27,'Annual Parameters'!$B$33:$W$143,21,FALSE)*VLOOKUP($B$14,'Annual Parameters'!$B$33:$W$143,3,FALSE)/VLOOKUP('Source VoT'!$E$27,'Annual Parameters'!$B$33:$W$143,3,FALSE)</f>
        <v>17.602376781759553</v>
      </c>
      <c r="G62" s="73">
        <f>'Source VoT'!$D$30*VLOOKUP($B62,'Indirect tax correction'!$B$27:$I$127,5,FALSE)*VLOOKUP($B62,'Annual Parameters'!$B$33:$W$143,21,FALSE)/VLOOKUP('Source VoT'!$F$27,'Annual Parameters'!$B$33:$W$143,21,FALSE)*VLOOKUP($B$14,'Annual Parameters'!$B$33:$W$143,3,FALSE)/VLOOKUP('Source VoT'!$E$27,'Annual Parameters'!$B$33:$W$143,3,FALSE)</f>
        <v>20.739837458137984</v>
      </c>
      <c r="H62" s="73">
        <f>'Source VoT'!$D$31*VLOOKUP($B62,'Indirect tax correction'!$B$27:$I$127,5,FALSE)*VLOOKUP($B62,'Annual Parameters'!$B$33:$W$143,21,FALSE)/VLOOKUP('Source VoT'!$F$27,'Annual Parameters'!$B$33:$W$143,21,FALSE)*VLOOKUP($B$14,'Annual Parameters'!$B$33:$W$143,3,FALSE)/VLOOKUP('Source VoT'!$E$27,'Annual Parameters'!$B$33:$W$143,3,FALSE)</f>
        <v>21.188046126192056</v>
      </c>
      <c r="I62" s="73">
        <f>'Source VoT'!$D$32*VLOOKUP($B62,'Indirect tax correction'!$B$27:$I$127,5,FALSE)*VLOOKUP($B62,'Annual Parameters'!$B$33:$W$143,21,FALSE)/VLOOKUP('Source VoT'!$F$27,'Annual Parameters'!$B$33:$W$143,21,FALSE)*VLOOKUP($B$14,'Annual Parameters'!$B$33:$W$143,3,FALSE)/VLOOKUP('Source VoT'!$E$27,'Annual Parameters'!$B$33:$W$143,3,FALSE)</f>
        <v>14.486416355108281</v>
      </c>
      <c r="J62" s="73">
        <f>'Source VoT'!$D$33*VLOOKUP($B62,'Indirect tax correction'!$B$27:$I$127,5,FALSE)*VLOOKUP($B62,'Annual Parameters'!$B$33:$W$143,21,FALSE)/VLOOKUP('Source VoT'!$F$27,'Annual Parameters'!$B$33:$W$143,21,FALSE)*VLOOKUP($B$14,'Annual Parameters'!$B$33:$W$143,3,FALSE)/VLOOKUP('Source VoT'!$E$27,'Annual Parameters'!$B$33:$W$143,3,FALSE)</f>
        <v>18.722898451894707</v>
      </c>
      <c r="K62" s="73">
        <f>'Source VoT'!$D$34*VLOOKUP($B62,'Indirect tax correction'!$B$27:$I$127,5,FALSE)*VLOOKUP($B62,'Annual Parameters'!$B$33:$W$143,21,FALSE)/VLOOKUP('Source VoT'!$F$27,'Annual Parameters'!$B$33:$W$143,21,FALSE)*VLOOKUP($B$14,'Annual Parameters'!$B$33:$W$143,3,FALSE)/VLOOKUP('Source VoT'!$E$27,'Annual Parameters'!$B$33:$W$143,3,FALSE)</f>
        <v>25.563401341954194</v>
      </c>
      <c r="L62" s="73">
        <f>'Source VoT'!$D$35*VLOOKUP($B62,'Indirect tax correction'!$B$27:$I$127,5,FALSE)*VLOOKUP($B62,'Annual Parameters'!$B$33:$W$143,21,FALSE)/VLOOKUP('Source VoT'!$F$27,'Annual Parameters'!$B$33:$W$143,21,FALSE)*VLOOKUP($B$14,'Annual Parameters'!$B$33:$W$143,3,FALSE)/VLOOKUP('Source VoT'!$E$27,'Annual Parameters'!$B$33:$W$143,3,FALSE)</f>
        <v>42.167147145397884</v>
      </c>
      <c r="M62" s="73">
        <f>'Source VoT'!$D$36*VLOOKUP($B62,'Indirect tax correction'!$B$27:$I$127,5,FALSE)*VLOOKUP($B62,'Annual Parameters'!$B$33:$W$143,21,FALSE)/VLOOKUP('Source VoT'!$F$27,'Annual Parameters'!$B$33:$W$143,21,FALSE)*VLOOKUP($B$14,'Annual Parameters'!$B$33:$W$143,3,FALSE)/VLOOKUP('Source VoT'!$E$27,'Annual Parameters'!$B$33:$W$143,3,FALSE)</f>
        <v>14.486416355108281</v>
      </c>
      <c r="N62" s="73">
        <f>'Source VoT'!$D$37*VLOOKUP($B62,'Indirect tax correction'!$B$27:$I$127,5,FALSE)*VLOOKUP($B62,'Annual Parameters'!$B$33:$W$143,21,FALSE)/VLOOKUP('Source VoT'!$F$27,'Annual Parameters'!$B$33:$W$143,21,FALSE)*VLOOKUP($B$14,'Annual Parameters'!$B$33:$W$143,3,FALSE)/VLOOKUP('Source VoT'!$E$27,'Annual Parameters'!$B$33:$W$143,3,FALSE)</f>
        <v>14.486416355108281</v>
      </c>
      <c r="O62" s="73">
        <f>'Source VoT'!$D$38*VLOOKUP($B62,'Indirect tax correction'!$B$27:$I$127,5,FALSE)*VLOOKUP($B62,'Annual Parameters'!$B$33:$W$143,21,FALSE)/VLOOKUP('Source VoT'!$F$27,'Annual Parameters'!$B$33:$W$143,21,FALSE)*VLOOKUP($B$14,'Annual Parameters'!$B$33:$W$143,3,FALSE)/VLOOKUP('Source VoT'!$E$27,'Annual Parameters'!$B$33:$W$143,3,FALSE)</f>
        <v>14.486416355108281</v>
      </c>
      <c r="P62" s="73">
        <f>'Source VoT'!$D$39*VLOOKUP($B62,'Indirect tax correction'!$B$27:$I$127,5,FALSE)*VLOOKUP($B62,'Annual Parameters'!$B$33:$W$143,21,FALSE)/VLOOKUP('Source VoT'!$F$27,'Annual Parameters'!$B$33:$W$143,21,FALSE)*VLOOKUP($B$14,'Annual Parameters'!$B$33:$W$143,3,FALSE)/VLOOKUP('Source VoT'!$E$27,'Annual Parameters'!$B$33:$W$143,3,FALSE)</f>
        <v>25.563401341954194</v>
      </c>
      <c r="Q62" s="74">
        <f>'Source VoT'!$D$40*VLOOKUP($B62,'Indirect tax correction'!$B$27:$I$127,5,FALSE)*VLOOKUP($B62,'Annual Parameters'!$B$33:$W$143,21,FALSE)/VLOOKUP('Source VoT'!$F$27,'Annual Parameters'!$B$33:$W$143,21,FALSE)*VLOOKUP($B$14,'Annual Parameters'!$B$33:$W$143,3,FALSE)/VLOOKUP('Source VoT'!$E$27,'Annual Parameters'!$B$33:$W$143,3,FALSE)</f>
        <v>27.844377372916114</v>
      </c>
      <c r="R62" s="73">
        <f>'Source VoT'!$D$45*VLOOKUP($B62,'Indirect tax correction'!$B$27:$I$127,6,FALSE)*VLOOKUP($B62,'Annual Parameters'!$B$33:$W$143,22,FALSE)/VLOOKUP('Source VoT'!$F$27,'Annual Parameters'!$B$33:$W$143,22,FALSE)*VLOOKUP($B$14,'Annual Parameters'!$B$33:$W$143,3,FALSE)/VLOOKUP('Source VoT'!$E$27,'Annual Parameters'!$B$33:$W$143,3,FALSE)</f>
        <v>14.383893999215337</v>
      </c>
      <c r="S62" s="73">
        <f>'Source VoT'!$D$46*VLOOKUP($B62,'Indirect tax correction'!$B$27:$I$127,6,FALSE)*VLOOKUP($B62,'Annual Parameters'!$B$33:$W$143,22,FALSE)/VLOOKUP('Source VoT'!$F$27,'Annual Parameters'!$B$33:$W$143,22,FALSE)*VLOOKUP($B$14,'Annual Parameters'!$B$33:$W$143,3,FALSE)/VLOOKUP('Source VoT'!$E$27,'Annual Parameters'!$B$33:$W$143,3,FALSE)</f>
        <v>6.565240883647613</v>
      </c>
      <c r="T62" s="117">
        <f>'Source VoT'!$D$27*1*VLOOKUP($B62,'Annual Parameters'!$B$33:$W$143,21,FALSE)/VLOOKUP('Source VoT'!$F$27,'Annual Parameters'!$B$33:$W$143,21,FALSE)*VLOOKUP($B$14,'Annual Parameters'!$B$33:$W$143,3,FALSE)/VLOOKUP('Source VoT'!$E$27,'Annual Parameters'!$B$33:$W$143,3,FALSE)</f>
        <v>25.563401341954194</v>
      </c>
      <c r="U62" s="73">
        <f>'Source VoT'!$D$28*1*VLOOKUP($B62,'Annual Parameters'!$B$33:$W$143,21,FALSE)/VLOOKUP('Source VoT'!$F$27,'Annual Parameters'!$B$33:$W$143,21,FALSE)*VLOOKUP($B$14,'Annual Parameters'!$B$33:$W$143,3,FALSE)/VLOOKUP('Source VoT'!$E$27,'Annual Parameters'!$B$33:$W$143,3,FALSE)</f>
        <v>25.563401341954194</v>
      </c>
      <c r="V62" s="73">
        <f>'Source VoT'!$D$29*1*VLOOKUP($B62,'Annual Parameters'!$B$33:$W$143,21,FALSE)/VLOOKUP('Source VoT'!$F$27,'Annual Parameters'!$B$33:$W$143,21,FALSE)*VLOOKUP($B$14,'Annual Parameters'!$B$33:$W$143,3,FALSE)/VLOOKUP('Source VoT'!$E$27,'Annual Parameters'!$B$33:$W$143,3,FALSE)</f>
        <v>17.602376781759553</v>
      </c>
      <c r="W62" s="73">
        <f>'Source VoT'!$D$30*1*VLOOKUP($B62,'Annual Parameters'!$B$33:$W$143,21,FALSE)/VLOOKUP('Source VoT'!$F$27,'Annual Parameters'!$B$33:$W$143,21,FALSE)*VLOOKUP($B$14,'Annual Parameters'!$B$33:$W$143,3,FALSE)/VLOOKUP('Source VoT'!$E$27,'Annual Parameters'!$B$33:$W$143,3,FALSE)</f>
        <v>20.739837458137984</v>
      </c>
      <c r="X62" s="73">
        <f>'Source VoT'!$D$31*1*VLOOKUP($B62,'Annual Parameters'!$B$33:$W$143,21,FALSE)/VLOOKUP('Source VoT'!$F$27,'Annual Parameters'!$B$33:$W$143,21,FALSE)*VLOOKUP($B$14,'Annual Parameters'!$B$33:$W$143,3,FALSE)/VLOOKUP('Source VoT'!$E$27,'Annual Parameters'!$B$33:$W$143,3,FALSE)</f>
        <v>21.188046126192056</v>
      </c>
      <c r="Y62" s="73">
        <f>'Source VoT'!$D$32*1*VLOOKUP($B62,'Annual Parameters'!$B$33:$W$143,21,FALSE)/VLOOKUP('Source VoT'!$F$27,'Annual Parameters'!$B$33:$W$143,21,FALSE)*VLOOKUP($B$14,'Annual Parameters'!$B$33:$W$143,3,FALSE)/VLOOKUP('Source VoT'!$E$27,'Annual Parameters'!$B$33:$W$143,3,FALSE)</f>
        <v>14.486416355108281</v>
      </c>
      <c r="Z62" s="73">
        <f>'Source VoT'!$D$33*1*VLOOKUP($B62,'Annual Parameters'!$B$33:$W$143,21,FALSE)/VLOOKUP('Source VoT'!$F$27,'Annual Parameters'!$B$33:$W$143,21,FALSE)*VLOOKUP($B$14,'Annual Parameters'!$B$33:$W$143,3,FALSE)/VLOOKUP('Source VoT'!$E$27,'Annual Parameters'!$B$33:$W$143,3,FALSE)</f>
        <v>18.722898451894707</v>
      </c>
      <c r="AA62" s="73">
        <f>'Source VoT'!$D$34*1*VLOOKUP($B62,'Annual Parameters'!$B$33:$W$143,21,FALSE)/VLOOKUP('Source VoT'!$F$27,'Annual Parameters'!$B$33:$W$143,21,FALSE)*VLOOKUP($B$14,'Annual Parameters'!$B$33:$W$143,3,FALSE)/VLOOKUP('Source VoT'!$E$27,'Annual Parameters'!$B$33:$W$143,3,FALSE)</f>
        <v>25.563401341954194</v>
      </c>
      <c r="AB62" s="73">
        <f>'Source VoT'!$D$35*1*VLOOKUP($B62,'Annual Parameters'!$B$33:$W$143,21,FALSE)/VLOOKUP('Source VoT'!$F$27,'Annual Parameters'!$B$33:$W$143,21,FALSE)*VLOOKUP($B$14,'Annual Parameters'!$B$33:$W$143,3,FALSE)/VLOOKUP('Source VoT'!$E$27,'Annual Parameters'!$B$33:$W$143,3,FALSE)</f>
        <v>42.167147145397884</v>
      </c>
      <c r="AC62" s="73">
        <f>'Source VoT'!$D$36*1*VLOOKUP($B62,'Annual Parameters'!$B$33:$W$143,21,FALSE)/VLOOKUP('Source VoT'!$F$27,'Annual Parameters'!$B$33:$W$143,21,FALSE)*VLOOKUP($B$14,'Annual Parameters'!$B$33:$W$143,3,FALSE)/VLOOKUP('Source VoT'!$E$27,'Annual Parameters'!$B$33:$W$143,3,FALSE)</f>
        <v>14.486416355108281</v>
      </c>
      <c r="AD62" s="73">
        <f>'Source VoT'!$D$37*1*VLOOKUP($B62,'Annual Parameters'!$B$33:$W$143,21,FALSE)/VLOOKUP('Source VoT'!$F$27,'Annual Parameters'!$B$33:$W$143,21,FALSE)*VLOOKUP($B$14,'Annual Parameters'!$B$33:$W$143,3,FALSE)/VLOOKUP('Source VoT'!$E$27,'Annual Parameters'!$B$33:$W$143,3,FALSE)</f>
        <v>14.486416355108281</v>
      </c>
      <c r="AE62" s="73">
        <f>'Source VoT'!$D$38*1*VLOOKUP($B62,'Annual Parameters'!$B$33:$W$143,21,FALSE)/VLOOKUP('Source VoT'!$F$27,'Annual Parameters'!$B$33:$W$143,21,FALSE)*VLOOKUP($B$14,'Annual Parameters'!$B$33:$W$143,3,FALSE)/VLOOKUP('Source VoT'!$E$27,'Annual Parameters'!$B$33:$W$143,3,FALSE)</f>
        <v>14.486416355108281</v>
      </c>
      <c r="AF62" s="73">
        <f>'Source VoT'!$D$39*1*VLOOKUP($B62,'Annual Parameters'!$B$33:$W$143,21,FALSE)/VLOOKUP('Source VoT'!$F$27,'Annual Parameters'!$B$33:$W$143,21,FALSE)*VLOOKUP($B$14,'Annual Parameters'!$B$33:$W$143,3,FALSE)/VLOOKUP('Source VoT'!$E$27,'Annual Parameters'!$B$33:$W$143,3,FALSE)</f>
        <v>25.563401341954194</v>
      </c>
      <c r="AG62" s="74">
        <f>'Source VoT'!$D$40*1*VLOOKUP($B62,'Annual Parameters'!$B$33:$W$143,21,FALSE)/VLOOKUP('Source VoT'!$F$27,'Annual Parameters'!$B$33:$W$143,21,FALSE)*VLOOKUP($B$14,'Annual Parameters'!$B$33:$W$143,3,FALSE)/VLOOKUP('Source VoT'!$E$27,'Annual Parameters'!$B$33:$W$143,3,FALSE)</f>
        <v>27.844377372916114</v>
      </c>
      <c r="AH62" s="73">
        <f>'Source VoT'!$D$45*1*VLOOKUP($B62,'Annual Parameters'!$B$33:$W$143,22,FALSE)/VLOOKUP('Source VoT'!$F$27,'Annual Parameters'!$B$33:$W$143,22,FALSE)*VLOOKUP($B$14,'Annual Parameters'!$B$33:$W$143,3,FALSE)/VLOOKUP('Source VoT'!$E$27,'Annual Parameters'!$B$33:$W$143,3,FALSE)</f>
        <v>17.116833859066247</v>
      </c>
      <c r="AI62" s="73">
        <f>'Source VoT'!$D$46*1*VLOOKUP($B62,'Annual Parameters'!$B$33:$W$143,22,FALSE)/VLOOKUP('Source VoT'!$F$27,'Annual Parameters'!$B$33:$W$143,22,FALSE)*VLOOKUP($B$14,'Annual Parameters'!$B$33:$W$143,3,FALSE)/VLOOKUP('Source VoT'!$E$27,'Annual Parameters'!$B$33:$W$143,3,FALSE)</f>
        <v>7.8126366515406582</v>
      </c>
      <c r="AJ62" s="117">
        <f>'Source VoT'!$D$27*VLOOKUP($B62,'Indirect tax correction'!$B$27:$I$127,7,FALSE)*VLOOKUP($B62,'Annual Parameters'!$B$33:$W$143,21,FALSE)/VLOOKUP('Source VoT'!$F$27,'Annual Parameters'!$B$33:$W$143,21,FALSE)*VLOOKUP($B$14,'Annual Parameters'!$B$33:$W$143,3,FALSE)/VLOOKUP('Source VoT'!$E$27,'Annual Parameters'!$B$33:$W$143,3,FALSE)</f>
        <v>30.420447596925488</v>
      </c>
      <c r="AK62" s="73">
        <f>'Source VoT'!$D$28*VLOOKUP($B62,'Indirect tax correction'!$B$27:$I$127,7,FALSE)*VLOOKUP($B62,'Annual Parameters'!$B$33:$W$143,21,FALSE)/VLOOKUP('Source VoT'!$F$27,'Annual Parameters'!$B$33:$W$143,21,FALSE)*VLOOKUP($B$14,'Annual Parameters'!$B$33:$W$143,3,FALSE)/VLOOKUP('Source VoT'!$E$27,'Annual Parameters'!$B$33:$W$143,3,FALSE)</f>
        <v>30.420447596925488</v>
      </c>
      <c r="AL62" s="73">
        <f>'Source VoT'!$D$29*VLOOKUP($B62,'Indirect tax correction'!$B$27:$I$127,7,FALSE)*VLOOKUP($B62,'Annual Parameters'!$B$33:$W$143,21,FALSE)/VLOOKUP('Source VoT'!$F$27,'Annual Parameters'!$B$33:$W$143,21,FALSE)*VLOOKUP($B$14,'Annual Parameters'!$B$33:$W$143,3,FALSE)/VLOOKUP('Source VoT'!$E$27,'Annual Parameters'!$B$33:$W$143,3,FALSE)</f>
        <v>20.946828370293868</v>
      </c>
      <c r="AM62" s="73">
        <f>'Source VoT'!$D$30*VLOOKUP($B62,'Indirect tax correction'!$B$27:$I$127,7,FALSE)*VLOOKUP($B62,'Annual Parameters'!$B$33:$W$143,21,FALSE)/VLOOKUP('Source VoT'!$F$27,'Annual Parameters'!$B$33:$W$143,21,FALSE)*VLOOKUP($B$14,'Annual Parameters'!$B$33:$W$143,3,FALSE)/VLOOKUP('Source VoT'!$E$27,'Annual Parameters'!$B$33:$W$143,3,FALSE)</f>
        <v>24.680406575184207</v>
      </c>
      <c r="AN62" s="73">
        <f>'Source VoT'!$D$31*VLOOKUP($B62,'Indirect tax correction'!$B$27:$I$127,7,FALSE)*VLOOKUP($B62,'Annual Parameters'!$B$33:$W$143,21,FALSE)/VLOOKUP('Source VoT'!$F$27,'Annual Parameters'!$B$33:$W$143,21,FALSE)*VLOOKUP($B$14,'Annual Parameters'!$B$33:$W$143,3,FALSE)/VLOOKUP('Source VoT'!$E$27,'Annual Parameters'!$B$33:$W$143,3,FALSE)</f>
        <v>25.213774890168544</v>
      </c>
      <c r="AO62" s="73">
        <f>'Source VoT'!$D$32*VLOOKUP($B62,'Indirect tax correction'!$B$27:$I$127,7,FALSE)*VLOOKUP($B62,'Annual Parameters'!$B$33:$W$143,21,FALSE)/VLOOKUP('Source VoT'!$F$27,'Annual Parameters'!$B$33:$W$143,21,FALSE)*VLOOKUP($B$14,'Annual Parameters'!$B$33:$W$143,3,FALSE)/VLOOKUP('Source VoT'!$E$27,'Annual Parameters'!$B$33:$W$143,3,FALSE)</f>
        <v>17.238835462578855</v>
      </c>
      <c r="AP62" s="73">
        <f>'Source VoT'!$D$33*VLOOKUP($B62,'Indirect tax correction'!$B$27:$I$127,7,FALSE)*VLOOKUP($B62,'Annual Parameters'!$B$33:$W$143,21,FALSE)/VLOOKUP('Source VoT'!$F$27,'Annual Parameters'!$B$33:$W$143,21,FALSE)*VLOOKUP($B$14,'Annual Parameters'!$B$33:$W$143,3,FALSE)/VLOOKUP('Source VoT'!$E$27,'Annual Parameters'!$B$33:$W$143,3,FALSE)</f>
        <v>22.280249157754703</v>
      </c>
      <c r="AQ62" s="73">
        <f>'Source VoT'!$D$34*VLOOKUP($B62,'Indirect tax correction'!$B$27:$I$127,7,FALSE)*VLOOKUP($B62,'Annual Parameters'!$B$33:$W$143,21,FALSE)/VLOOKUP('Source VoT'!$F$27,'Annual Parameters'!$B$33:$W$143,21,FALSE)*VLOOKUP($B$14,'Annual Parameters'!$B$33:$W$143,3,FALSE)/VLOOKUP('Source VoT'!$E$27,'Annual Parameters'!$B$33:$W$143,3,FALSE)</f>
        <v>30.420447596925488</v>
      </c>
      <c r="AR62" s="73">
        <f>'Source VoT'!$D$35*VLOOKUP($B62,'Indirect tax correction'!$B$27:$I$127,7,FALSE)*VLOOKUP($B62,'Annual Parameters'!$B$33:$W$143,21,FALSE)/VLOOKUP('Source VoT'!$F$27,'Annual Parameters'!$B$33:$W$143,21,FALSE)*VLOOKUP($B$14,'Annual Parameters'!$B$33:$W$143,3,FALSE)/VLOOKUP('Source VoT'!$E$27,'Annual Parameters'!$B$33:$W$143,3,FALSE)</f>
        <v>50.178905103023475</v>
      </c>
      <c r="AS62" s="73">
        <f>'Source VoT'!$D$36*VLOOKUP($B62,'Indirect tax correction'!$B$27:$I$127,7,FALSE)*VLOOKUP($B62,'Annual Parameters'!$B$33:$W$143,21,FALSE)/VLOOKUP('Source VoT'!$F$27,'Annual Parameters'!$B$33:$W$143,21,FALSE)*VLOOKUP($B$14,'Annual Parameters'!$B$33:$W$143,3,FALSE)/VLOOKUP('Source VoT'!$E$27,'Annual Parameters'!$B$33:$W$143,3,FALSE)</f>
        <v>17.238835462578855</v>
      </c>
      <c r="AT62" s="73">
        <f>'Source VoT'!$D$37*VLOOKUP($B62,'Indirect tax correction'!$B$27:$I$127,7,FALSE)*VLOOKUP($B62,'Annual Parameters'!$B$33:$W$143,21,FALSE)/VLOOKUP('Source VoT'!$F$27,'Annual Parameters'!$B$33:$W$143,21,FALSE)*VLOOKUP($B$14,'Annual Parameters'!$B$33:$W$143,3,FALSE)/VLOOKUP('Source VoT'!$E$27,'Annual Parameters'!$B$33:$W$143,3,FALSE)</f>
        <v>17.238835462578855</v>
      </c>
      <c r="AU62" s="73">
        <f>'Source VoT'!$D$38*VLOOKUP($B62,'Indirect tax correction'!$B$27:$I$127,7,FALSE)*VLOOKUP($B62,'Annual Parameters'!$B$33:$W$143,21,FALSE)/VLOOKUP('Source VoT'!$F$27,'Annual Parameters'!$B$33:$W$143,21,FALSE)*VLOOKUP($B$14,'Annual Parameters'!$B$33:$W$143,3,FALSE)/VLOOKUP('Source VoT'!$E$27,'Annual Parameters'!$B$33:$W$143,3,FALSE)</f>
        <v>17.238835462578855</v>
      </c>
      <c r="AV62" s="73">
        <f>'Source VoT'!$D$39*VLOOKUP($B62,'Indirect tax correction'!$B$27:$I$127,7,FALSE)*VLOOKUP($B62,'Annual Parameters'!$B$33:$W$143,21,FALSE)/VLOOKUP('Source VoT'!$F$27,'Annual Parameters'!$B$33:$W$143,21,FALSE)*VLOOKUP($B$14,'Annual Parameters'!$B$33:$W$143,3,FALSE)/VLOOKUP('Source VoT'!$E$27,'Annual Parameters'!$B$33:$W$143,3,FALSE)</f>
        <v>30.420447596925488</v>
      </c>
      <c r="AW62" s="74">
        <f>'Source VoT'!$D$40*VLOOKUP($B62,'Indirect tax correction'!$B$27:$I$127,7,FALSE)*VLOOKUP($B62,'Annual Parameters'!$B$33:$W$143,21,FALSE)/VLOOKUP('Source VoT'!$F$27,'Annual Parameters'!$B$33:$W$143,21,FALSE)*VLOOKUP($B$14,'Annual Parameters'!$B$33:$W$143,3,FALSE)/VLOOKUP('Source VoT'!$E$27,'Annual Parameters'!$B$33:$W$143,3,FALSE)</f>
        <v>33.134809073770178</v>
      </c>
      <c r="AX62" s="73">
        <f>'Source VoT'!$D$45*VLOOKUP($B62,'Indirect tax correction'!$B$27:$I$127,8,FALSE)*VLOOKUP($B62,'Annual Parameters'!$B$33:$W$143,22,FALSE)/VLOOKUP('Source VoT'!$F$27,'Annual Parameters'!$B$33:$W$143,22,FALSE)*VLOOKUP($B$14,'Annual Parameters'!$B$33:$W$143,3,FALSE)/VLOOKUP('Source VoT'!$E$27,'Annual Parameters'!$B$33:$W$143,3,FALSE)</f>
        <v>17.116833859066247</v>
      </c>
      <c r="AY62" s="74">
        <f>'Source VoT'!$D$46*VLOOKUP($B62,'Indirect tax correction'!$B$27:$I$127,8,FALSE)*VLOOKUP($B62,'Annual Parameters'!$B$33:$W$143,22,FALSE)/VLOOKUP('Source VoT'!$F$27,'Annual Parameters'!$B$33:$W$143,22,FALSE)*VLOOKUP($B$14,'Annual Parameters'!$B$33:$W$143,3,FALSE)/VLOOKUP('Source VoT'!$E$27,'Annual Parameters'!$B$33:$W$143,3,FALSE)</f>
        <v>7.8126366515406582</v>
      </c>
      <c r="AZ62" s="2875"/>
      <c r="BA62" s="2875"/>
      <c r="BB62" s="2875"/>
      <c r="BC62" s="2875"/>
      <c r="BD62" s="2875"/>
      <c r="BE62" s="2875"/>
      <c r="BF62" s="2875"/>
      <c r="BG62" s="2875"/>
    </row>
    <row r="63" spans="1:59" ht="13.5" customHeight="1">
      <c r="A63" s="90"/>
      <c r="B63" s="82">
        <f t="shared" si="0"/>
        <v>2046</v>
      </c>
      <c r="C63" s="82"/>
      <c r="D63" s="117">
        <f>'Source VoT'!$D$27*VLOOKUP($B63,'Indirect tax correction'!$B$27:$I$127,5,FALSE)*VLOOKUP($B63,'Annual Parameters'!$B$33:$W$143,21,FALSE)/VLOOKUP('Source VoT'!$F$27,'Annual Parameters'!$B$33:$W$143,21,FALSE)*VLOOKUP($B$14,'Annual Parameters'!$B$33:$W$143,3,FALSE)/VLOOKUP('Source VoT'!$E$27,'Annual Parameters'!$B$33:$W$143,3,FALSE)</f>
        <v>26.049205849593903</v>
      </c>
      <c r="E63" s="73">
        <f>'Source VoT'!$D$28*VLOOKUP($B63,'Indirect tax correction'!$B$27:$I$127,5,FALSE)*VLOOKUP($B63,'Annual Parameters'!$B$33:$W$143,21,FALSE)/VLOOKUP('Source VoT'!$F$27,'Annual Parameters'!$B$33:$W$143,21,FALSE)*VLOOKUP($B$14,'Annual Parameters'!$B$33:$W$143,3,FALSE)/VLOOKUP('Source VoT'!$E$27,'Annual Parameters'!$B$33:$W$143,3,FALSE)</f>
        <v>26.049205849593903</v>
      </c>
      <c r="F63" s="73">
        <f>'Source VoT'!$D$29*VLOOKUP($B63,'Indirect tax correction'!$B$27:$I$127,5,FALSE)*VLOOKUP($B63,'Annual Parameters'!$B$33:$W$143,21,FALSE)/VLOOKUP('Source VoT'!$F$27,'Annual Parameters'!$B$33:$W$143,21,FALSE)*VLOOKUP($B$14,'Annual Parameters'!$B$33:$W$143,3,FALSE)/VLOOKUP('Source VoT'!$E$27,'Annual Parameters'!$B$33:$W$143,3,FALSE)</f>
        <v>17.936890717184774</v>
      </c>
      <c r="G63" s="73">
        <f>'Source VoT'!$D$30*VLOOKUP($B63,'Indirect tax correction'!$B$27:$I$127,5,FALSE)*VLOOKUP($B63,'Annual Parameters'!$B$33:$W$143,21,FALSE)/VLOOKUP('Source VoT'!$F$27,'Annual Parameters'!$B$33:$W$143,21,FALSE)*VLOOKUP($B$14,'Annual Parameters'!$B$33:$W$143,3,FALSE)/VLOOKUP('Source VoT'!$E$27,'Annual Parameters'!$B$33:$W$143,3,FALSE)</f>
        <v>21.1339754052015</v>
      </c>
      <c r="H63" s="73">
        <f>'Source VoT'!$D$31*VLOOKUP($B63,'Indirect tax correction'!$B$27:$I$127,5,FALSE)*VLOOKUP($B63,'Annual Parameters'!$B$33:$W$143,21,FALSE)/VLOOKUP('Source VoT'!$F$27,'Annual Parameters'!$B$33:$W$143,21,FALSE)*VLOOKUP($B$14,'Annual Parameters'!$B$33:$W$143,3,FALSE)/VLOOKUP('Source VoT'!$E$27,'Annual Parameters'!$B$33:$W$143,3,FALSE)</f>
        <v>21.590701789203894</v>
      </c>
      <c r="I63" s="73">
        <f>'Source VoT'!$D$32*VLOOKUP($B63,'Indirect tax correction'!$B$27:$I$127,5,FALSE)*VLOOKUP($B63,'Annual Parameters'!$B$33:$W$143,21,FALSE)/VLOOKUP('Source VoT'!$F$27,'Annual Parameters'!$B$33:$W$143,21,FALSE)*VLOOKUP($B$14,'Annual Parameters'!$B$33:$W$143,3,FALSE)/VLOOKUP('Source VoT'!$E$27,'Annual Parameters'!$B$33:$W$143,3,FALSE)</f>
        <v>14.761714867646493</v>
      </c>
      <c r="J63" s="73">
        <f>'Source VoT'!$D$33*VLOOKUP($B63,'Indirect tax correction'!$B$27:$I$127,5,FALSE)*VLOOKUP($B63,'Annual Parameters'!$B$33:$W$143,21,FALSE)/VLOOKUP('Source VoT'!$F$27,'Annual Parameters'!$B$33:$W$143,21,FALSE)*VLOOKUP($B$14,'Annual Parameters'!$B$33:$W$143,3,FALSE)/VLOOKUP('Source VoT'!$E$27,'Annual Parameters'!$B$33:$W$143,3,FALSE)</f>
        <v>19.078706677190745</v>
      </c>
      <c r="K63" s="73">
        <f>'Source VoT'!$D$34*VLOOKUP($B63,'Indirect tax correction'!$B$27:$I$127,5,FALSE)*VLOOKUP($B63,'Annual Parameters'!$B$33:$W$143,21,FALSE)/VLOOKUP('Source VoT'!$F$27,'Annual Parameters'!$B$33:$W$143,21,FALSE)*VLOOKUP($B$14,'Annual Parameters'!$B$33:$W$143,3,FALSE)/VLOOKUP('Source VoT'!$E$27,'Annual Parameters'!$B$33:$W$143,3,FALSE)</f>
        <v>26.049205849593903</v>
      </c>
      <c r="L63" s="73">
        <f>'Source VoT'!$D$35*VLOOKUP($B63,'Indirect tax correction'!$B$27:$I$127,5,FALSE)*VLOOKUP($B63,'Annual Parameters'!$B$33:$W$143,21,FALSE)/VLOOKUP('Source VoT'!$F$27,'Annual Parameters'!$B$33:$W$143,21,FALSE)*VLOOKUP($B$14,'Annual Parameters'!$B$33:$W$143,3,FALSE)/VLOOKUP('Source VoT'!$E$27,'Annual Parameters'!$B$33:$W$143,3,FALSE)</f>
        <v>42.968487697991776</v>
      </c>
      <c r="M63" s="73">
        <f>'Source VoT'!$D$36*VLOOKUP($B63,'Indirect tax correction'!$B$27:$I$127,5,FALSE)*VLOOKUP($B63,'Annual Parameters'!$B$33:$W$143,21,FALSE)/VLOOKUP('Source VoT'!$F$27,'Annual Parameters'!$B$33:$W$143,21,FALSE)*VLOOKUP($B$14,'Annual Parameters'!$B$33:$W$143,3,FALSE)/VLOOKUP('Source VoT'!$E$27,'Annual Parameters'!$B$33:$W$143,3,FALSE)</f>
        <v>14.761714867646493</v>
      </c>
      <c r="N63" s="73">
        <f>'Source VoT'!$D$37*VLOOKUP($B63,'Indirect tax correction'!$B$27:$I$127,5,FALSE)*VLOOKUP($B63,'Annual Parameters'!$B$33:$W$143,21,FALSE)/VLOOKUP('Source VoT'!$F$27,'Annual Parameters'!$B$33:$W$143,21,FALSE)*VLOOKUP($B$14,'Annual Parameters'!$B$33:$W$143,3,FALSE)/VLOOKUP('Source VoT'!$E$27,'Annual Parameters'!$B$33:$W$143,3,FALSE)</f>
        <v>14.761714867646493</v>
      </c>
      <c r="O63" s="73">
        <f>'Source VoT'!$D$38*VLOOKUP($B63,'Indirect tax correction'!$B$27:$I$127,5,FALSE)*VLOOKUP($B63,'Annual Parameters'!$B$33:$W$143,21,FALSE)/VLOOKUP('Source VoT'!$F$27,'Annual Parameters'!$B$33:$W$143,21,FALSE)*VLOOKUP($B$14,'Annual Parameters'!$B$33:$W$143,3,FALSE)/VLOOKUP('Source VoT'!$E$27,'Annual Parameters'!$B$33:$W$143,3,FALSE)</f>
        <v>14.761714867646493</v>
      </c>
      <c r="P63" s="73">
        <f>'Source VoT'!$D$39*VLOOKUP($B63,'Indirect tax correction'!$B$27:$I$127,5,FALSE)*VLOOKUP($B63,'Annual Parameters'!$B$33:$W$143,21,FALSE)/VLOOKUP('Source VoT'!$F$27,'Annual Parameters'!$B$33:$W$143,21,FALSE)*VLOOKUP($B$14,'Annual Parameters'!$B$33:$W$143,3,FALSE)/VLOOKUP('Source VoT'!$E$27,'Annual Parameters'!$B$33:$W$143,3,FALSE)</f>
        <v>26.049205849593903</v>
      </c>
      <c r="Q63" s="74">
        <f>'Source VoT'!$D$40*VLOOKUP($B63,'Indirect tax correction'!$B$27:$I$127,5,FALSE)*VLOOKUP($B63,'Annual Parameters'!$B$33:$W$143,21,FALSE)/VLOOKUP('Source VoT'!$F$27,'Annual Parameters'!$B$33:$W$143,21,FALSE)*VLOOKUP($B$14,'Annual Parameters'!$B$33:$W$143,3,FALSE)/VLOOKUP('Source VoT'!$E$27,'Annual Parameters'!$B$33:$W$143,3,FALSE)</f>
        <v>28.373529337446893</v>
      </c>
      <c r="R63" s="73">
        <f>'Source VoT'!$D$45*VLOOKUP($B63,'Indirect tax correction'!$B$27:$I$127,6,FALSE)*VLOOKUP($B63,'Annual Parameters'!$B$33:$W$143,22,FALSE)/VLOOKUP('Source VoT'!$F$27,'Annual Parameters'!$B$33:$W$143,22,FALSE)*VLOOKUP($B$14,'Annual Parameters'!$B$33:$W$143,3,FALSE)/VLOOKUP('Source VoT'!$E$27,'Annual Parameters'!$B$33:$W$143,3,FALSE)</f>
        <v>14.657244186412935</v>
      </c>
      <c r="S63" s="73">
        <f>'Source VoT'!$D$46*VLOOKUP($B63,'Indirect tax correction'!$B$27:$I$127,6,FALSE)*VLOOKUP($B63,'Annual Parameters'!$B$33:$W$143,22,FALSE)/VLOOKUP('Source VoT'!$F$27,'Annual Parameters'!$B$33:$W$143,22,FALSE)*VLOOKUP($B$14,'Annual Parameters'!$B$33:$W$143,3,FALSE)/VLOOKUP('Source VoT'!$E$27,'Annual Parameters'!$B$33:$W$143,3,FALSE)</f>
        <v>6.6900061123569126</v>
      </c>
      <c r="T63" s="117">
        <f>'Source VoT'!$D$27*1*VLOOKUP($B63,'Annual Parameters'!$B$33:$W$143,21,FALSE)/VLOOKUP('Source VoT'!$F$27,'Annual Parameters'!$B$33:$W$143,21,FALSE)*VLOOKUP($B$14,'Annual Parameters'!$B$33:$W$143,3,FALSE)/VLOOKUP('Source VoT'!$E$27,'Annual Parameters'!$B$33:$W$143,3,FALSE)</f>
        <v>26.049205849593903</v>
      </c>
      <c r="U63" s="73">
        <f>'Source VoT'!$D$28*1*VLOOKUP($B63,'Annual Parameters'!$B$33:$W$143,21,FALSE)/VLOOKUP('Source VoT'!$F$27,'Annual Parameters'!$B$33:$W$143,21,FALSE)*VLOOKUP($B$14,'Annual Parameters'!$B$33:$W$143,3,FALSE)/VLOOKUP('Source VoT'!$E$27,'Annual Parameters'!$B$33:$W$143,3,FALSE)</f>
        <v>26.049205849593903</v>
      </c>
      <c r="V63" s="73">
        <f>'Source VoT'!$D$29*1*VLOOKUP($B63,'Annual Parameters'!$B$33:$W$143,21,FALSE)/VLOOKUP('Source VoT'!$F$27,'Annual Parameters'!$B$33:$W$143,21,FALSE)*VLOOKUP($B$14,'Annual Parameters'!$B$33:$W$143,3,FALSE)/VLOOKUP('Source VoT'!$E$27,'Annual Parameters'!$B$33:$W$143,3,FALSE)</f>
        <v>17.936890717184774</v>
      </c>
      <c r="W63" s="73">
        <f>'Source VoT'!$D$30*1*VLOOKUP($B63,'Annual Parameters'!$B$33:$W$143,21,FALSE)/VLOOKUP('Source VoT'!$F$27,'Annual Parameters'!$B$33:$W$143,21,FALSE)*VLOOKUP($B$14,'Annual Parameters'!$B$33:$W$143,3,FALSE)/VLOOKUP('Source VoT'!$E$27,'Annual Parameters'!$B$33:$W$143,3,FALSE)</f>
        <v>21.1339754052015</v>
      </c>
      <c r="X63" s="73">
        <f>'Source VoT'!$D$31*1*VLOOKUP($B63,'Annual Parameters'!$B$33:$W$143,21,FALSE)/VLOOKUP('Source VoT'!$F$27,'Annual Parameters'!$B$33:$W$143,21,FALSE)*VLOOKUP($B$14,'Annual Parameters'!$B$33:$W$143,3,FALSE)/VLOOKUP('Source VoT'!$E$27,'Annual Parameters'!$B$33:$W$143,3,FALSE)</f>
        <v>21.590701789203894</v>
      </c>
      <c r="Y63" s="73">
        <f>'Source VoT'!$D$32*1*VLOOKUP($B63,'Annual Parameters'!$B$33:$W$143,21,FALSE)/VLOOKUP('Source VoT'!$F$27,'Annual Parameters'!$B$33:$W$143,21,FALSE)*VLOOKUP($B$14,'Annual Parameters'!$B$33:$W$143,3,FALSE)/VLOOKUP('Source VoT'!$E$27,'Annual Parameters'!$B$33:$W$143,3,FALSE)</f>
        <v>14.761714867646493</v>
      </c>
      <c r="Z63" s="73">
        <f>'Source VoT'!$D$33*1*VLOOKUP($B63,'Annual Parameters'!$B$33:$W$143,21,FALSE)/VLOOKUP('Source VoT'!$F$27,'Annual Parameters'!$B$33:$W$143,21,FALSE)*VLOOKUP($B$14,'Annual Parameters'!$B$33:$W$143,3,FALSE)/VLOOKUP('Source VoT'!$E$27,'Annual Parameters'!$B$33:$W$143,3,FALSE)</f>
        <v>19.078706677190745</v>
      </c>
      <c r="AA63" s="73">
        <f>'Source VoT'!$D$34*1*VLOOKUP($B63,'Annual Parameters'!$B$33:$W$143,21,FALSE)/VLOOKUP('Source VoT'!$F$27,'Annual Parameters'!$B$33:$W$143,21,FALSE)*VLOOKUP($B$14,'Annual Parameters'!$B$33:$W$143,3,FALSE)/VLOOKUP('Source VoT'!$E$27,'Annual Parameters'!$B$33:$W$143,3,FALSE)</f>
        <v>26.049205849593903</v>
      </c>
      <c r="AB63" s="73">
        <f>'Source VoT'!$D$35*1*VLOOKUP($B63,'Annual Parameters'!$B$33:$W$143,21,FALSE)/VLOOKUP('Source VoT'!$F$27,'Annual Parameters'!$B$33:$W$143,21,FALSE)*VLOOKUP($B$14,'Annual Parameters'!$B$33:$W$143,3,FALSE)/VLOOKUP('Source VoT'!$E$27,'Annual Parameters'!$B$33:$W$143,3,FALSE)</f>
        <v>42.968487697991776</v>
      </c>
      <c r="AC63" s="73">
        <f>'Source VoT'!$D$36*1*VLOOKUP($B63,'Annual Parameters'!$B$33:$W$143,21,FALSE)/VLOOKUP('Source VoT'!$F$27,'Annual Parameters'!$B$33:$W$143,21,FALSE)*VLOOKUP($B$14,'Annual Parameters'!$B$33:$W$143,3,FALSE)/VLOOKUP('Source VoT'!$E$27,'Annual Parameters'!$B$33:$W$143,3,FALSE)</f>
        <v>14.761714867646493</v>
      </c>
      <c r="AD63" s="73">
        <f>'Source VoT'!$D$37*1*VLOOKUP($B63,'Annual Parameters'!$B$33:$W$143,21,FALSE)/VLOOKUP('Source VoT'!$F$27,'Annual Parameters'!$B$33:$W$143,21,FALSE)*VLOOKUP($B$14,'Annual Parameters'!$B$33:$W$143,3,FALSE)/VLOOKUP('Source VoT'!$E$27,'Annual Parameters'!$B$33:$W$143,3,FALSE)</f>
        <v>14.761714867646493</v>
      </c>
      <c r="AE63" s="73">
        <f>'Source VoT'!$D$38*1*VLOOKUP($B63,'Annual Parameters'!$B$33:$W$143,21,FALSE)/VLOOKUP('Source VoT'!$F$27,'Annual Parameters'!$B$33:$W$143,21,FALSE)*VLOOKUP($B$14,'Annual Parameters'!$B$33:$W$143,3,FALSE)/VLOOKUP('Source VoT'!$E$27,'Annual Parameters'!$B$33:$W$143,3,FALSE)</f>
        <v>14.761714867646493</v>
      </c>
      <c r="AF63" s="73">
        <f>'Source VoT'!$D$39*1*VLOOKUP($B63,'Annual Parameters'!$B$33:$W$143,21,FALSE)/VLOOKUP('Source VoT'!$F$27,'Annual Parameters'!$B$33:$W$143,21,FALSE)*VLOOKUP($B$14,'Annual Parameters'!$B$33:$W$143,3,FALSE)/VLOOKUP('Source VoT'!$E$27,'Annual Parameters'!$B$33:$W$143,3,FALSE)</f>
        <v>26.049205849593903</v>
      </c>
      <c r="AG63" s="74">
        <f>'Source VoT'!$D$40*1*VLOOKUP($B63,'Annual Parameters'!$B$33:$W$143,21,FALSE)/VLOOKUP('Source VoT'!$F$27,'Annual Parameters'!$B$33:$W$143,21,FALSE)*VLOOKUP($B$14,'Annual Parameters'!$B$33:$W$143,3,FALSE)/VLOOKUP('Source VoT'!$E$27,'Annual Parameters'!$B$33:$W$143,3,FALSE)</f>
        <v>28.373529337446893</v>
      </c>
      <c r="AH63" s="73">
        <f>'Source VoT'!$D$45*1*VLOOKUP($B63,'Annual Parameters'!$B$33:$W$143,22,FALSE)/VLOOKUP('Source VoT'!$F$27,'Annual Parameters'!$B$33:$W$143,22,FALSE)*VLOOKUP($B$14,'Annual Parameters'!$B$33:$W$143,3,FALSE)/VLOOKUP('Source VoT'!$E$27,'Annual Parameters'!$B$33:$W$143,3,FALSE)</f>
        <v>17.442120581831393</v>
      </c>
      <c r="AI63" s="73">
        <f>'Source VoT'!$D$46*1*VLOOKUP($B63,'Annual Parameters'!$B$33:$W$143,22,FALSE)/VLOOKUP('Source VoT'!$F$27,'Annual Parameters'!$B$33:$W$143,22,FALSE)*VLOOKUP($B$14,'Annual Parameters'!$B$33:$W$143,3,FALSE)/VLOOKUP('Source VoT'!$E$27,'Annual Parameters'!$B$33:$W$143,3,FALSE)</f>
        <v>7.9611072737047257</v>
      </c>
      <c r="AJ63" s="117">
        <f>'Source VoT'!$D$27*VLOOKUP($B63,'Indirect tax correction'!$B$27:$I$127,7,FALSE)*VLOOKUP($B63,'Annual Parameters'!$B$33:$W$143,21,FALSE)/VLOOKUP('Source VoT'!$F$27,'Annual Parameters'!$B$33:$W$143,21,FALSE)*VLOOKUP($B$14,'Annual Parameters'!$B$33:$W$143,3,FALSE)/VLOOKUP('Source VoT'!$E$27,'Annual Parameters'!$B$33:$W$143,3,FALSE)</f>
        <v>30.998554961016744</v>
      </c>
      <c r="AK63" s="73">
        <f>'Source VoT'!$D$28*VLOOKUP($B63,'Indirect tax correction'!$B$27:$I$127,7,FALSE)*VLOOKUP($B63,'Annual Parameters'!$B$33:$W$143,21,FALSE)/VLOOKUP('Source VoT'!$F$27,'Annual Parameters'!$B$33:$W$143,21,FALSE)*VLOOKUP($B$14,'Annual Parameters'!$B$33:$W$143,3,FALSE)/VLOOKUP('Source VoT'!$E$27,'Annual Parameters'!$B$33:$W$143,3,FALSE)</f>
        <v>30.998554961016744</v>
      </c>
      <c r="AL63" s="73">
        <f>'Source VoT'!$D$29*VLOOKUP($B63,'Indirect tax correction'!$B$27:$I$127,7,FALSE)*VLOOKUP($B63,'Annual Parameters'!$B$33:$W$143,21,FALSE)/VLOOKUP('Source VoT'!$F$27,'Annual Parameters'!$B$33:$W$143,21,FALSE)*VLOOKUP($B$14,'Annual Parameters'!$B$33:$W$143,3,FALSE)/VLOOKUP('Source VoT'!$E$27,'Annual Parameters'!$B$33:$W$143,3,FALSE)</f>
        <v>21.344899953449875</v>
      </c>
      <c r="AM63" s="73">
        <f>'Source VoT'!$D$30*VLOOKUP($B63,'Indirect tax correction'!$B$27:$I$127,7,FALSE)*VLOOKUP($B63,'Annual Parameters'!$B$33:$W$143,21,FALSE)/VLOOKUP('Source VoT'!$F$27,'Annual Parameters'!$B$33:$W$143,21,FALSE)*VLOOKUP($B$14,'Annual Parameters'!$B$33:$W$143,3,FALSE)/VLOOKUP('Source VoT'!$E$27,'Annual Parameters'!$B$33:$W$143,3,FALSE)</f>
        <v>25.149430732189785</v>
      </c>
      <c r="AN63" s="73">
        <f>'Source VoT'!$D$31*VLOOKUP($B63,'Indirect tax correction'!$B$27:$I$127,7,FALSE)*VLOOKUP($B63,'Annual Parameters'!$B$33:$W$143,21,FALSE)/VLOOKUP('Source VoT'!$F$27,'Annual Parameters'!$B$33:$W$143,21,FALSE)*VLOOKUP($B$14,'Annual Parameters'!$B$33:$W$143,3,FALSE)/VLOOKUP('Source VoT'!$E$27,'Annual Parameters'!$B$33:$W$143,3,FALSE)</f>
        <v>25.69293512915263</v>
      </c>
      <c r="AO63" s="73">
        <f>'Source VoT'!$D$32*VLOOKUP($B63,'Indirect tax correction'!$B$27:$I$127,7,FALSE)*VLOOKUP($B63,'Annual Parameters'!$B$33:$W$143,21,FALSE)/VLOOKUP('Source VoT'!$F$27,'Annual Parameters'!$B$33:$W$143,21,FALSE)*VLOOKUP($B$14,'Annual Parameters'!$B$33:$W$143,3,FALSE)/VLOOKUP('Source VoT'!$E$27,'Annual Parameters'!$B$33:$W$143,3,FALSE)</f>
        <v>17.566440692499324</v>
      </c>
      <c r="AP63" s="73">
        <f>'Source VoT'!$D$33*VLOOKUP($B63,'Indirect tax correction'!$B$27:$I$127,7,FALSE)*VLOOKUP($B63,'Annual Parameters'!$B$33:$W$143,21,FALSE)/VLOOKUP('Source VoT'!$F$27,'Annual Parameters'!$B$33:$W$143,21,FALSE)*VLOOKUP($B$14,'Annual Parameters'!$B$33:$W$143,3,FALSE)/VLOOKUP('Source VoT'!$E$27,'Annual Parameters'!$B$33:$W$143,3,FALSE)</f>
        <v>22.703660945856985</v>
      </c>
      <c r="AQ63" s="73">
        <f>'Source VoT'!$D$34*VLOOKUP($B63,'Indirect tax correction'!$B$27:$I$127,7,FALSE)*VLOOKUP($B63,'Annual Parameters'!$B$33:$W$143,21,FALSE)/VLOOKUP('Source VoT'!$F$27,'Annual Parameters'!$B$33:$W$143,21,FALSE)*VLOOKUP($B$14,'Annual Parameters'!$B$33:$W$143,3,FALSE)/VLOOKUP('Source VoT'!$E$27,'Annual Parameters'!$B$33:$W$143,3,FALSE)</f>
        <v>30.998554961016744</v>
      </c>
      <c r="AR63" s="73">
        <f>'Source VoT'!$D$35*VLOOKUP($B63,'Indirect tax correction'!$B$27:$I$127,7,FALSE)*VLOOKUP($B63,'Annual Parameters'!$B$33:$W$143,21,FALSE)/VLOOKUP('Source VoT'!$F$27,'Annual Parameters'!$B$33:$W$143,21,FALSE)*VLOOKUP($B$14,'Annual Parameters'!$B$33:$W$143,3,FALSE)/VLOOKUP('Source VoT'!$E$27,'Annual Parameters'!$B$33:$W$143,3,FALSE)</f>
        <v>51.132500360610223</v>
      </c>
      <c r="AS63" s="73">
        <f>'Source VoT'!$D$36*VLOOKUP($B63,'Indirect tax correction'!$B$27:$I$127,7,FALSE)*VLOOKUP($B63,'Annual Parameters'!$B$33:$W$143,21,FALSE)/VLOOKUP('Source VoT'!$F$27,'Annual Parameters'!$B$33:$W$143,21,FALSE)*VLOOKUP($B$14,'Annual Parameters'!$B$33:$W$143,3,FALSE)/VLOOKUP('Source VoT'!$E$27,'Annual Parameters'!$B$33:$W$143,3,FALSE)</f>
        <v>17.566440692499324</v>
      </c>
      <c r="AT63" s="73">
        <f>'Source VoT'!$D$37*VLOOKUP($B63,'Indirect tax correction'!$B$27:$I$127,7,FALSE)*VLOOKUP($B63,'Annual Parameters'!$B$33:$W$143,21,FALSE)/VLOOKUP('Source VoT'!$F$27,'Annual Parameters'!$B$33:$W$143,21,FALSE)*VLOOKUP($B$14,'Annual Parameters'!$B$33:$W$143,3,FALSE)/VLOOKUP('Source VoT'!$E$27,'Annual Parameters'!$B$33:$W$143,3,FALSE)</f>
        <v>17.566440692499324</v>
      </c>
      <c r="AU63" s="73">
        <f>'Source VoT'!$D$38*VLOOKUP($B63,'Indirect tax correction'!$B$27:$I$127,7,FALSE)*VLOOKUP($B63,'Annual Parameters'!$B$33:$W$143,21,FALSE)/VLOOKUP('Source VoT'!$F$27,'Annual Parameters'!$B$33:$W$143,21,FALSE)*VLOOKUP($B$14,'Annual Parameters'!$B$33:$W$143,3,FALSE)/VLOOKUP('Source VoT'!$E$27,'Annual Parameters'!$B$33:$W$143,3,FALSE)</f>
        <v>17.566440692499324</v>
      </c>
      <c r="AV63" s="73">
        <f>'Source VoT'!$D$39*VLOOKUP($B63,'Indirect tax correction'!$B$27:$I$127,7,FALSE)*VLOOKUP($B63,'Annual Parameters'!$B$33:$W$143,21,FALSE)/VLOOKUP('Source VoT'!$F$27,'Annual Parameters'!$B$33:$W$143,21,FALSE)*VLOOKUP($B$14,'Annual Parameters'!$B$33:$W$143,3,FALSE)/VLOOKUP('Source VoT'!$E$27,'Annual Parameters'!$B$33:$W$143,3,FALSE)</f>
        <v>30.998554961016744</v>
      </c>
      <c r="AW63" s="74">
        <f>'Source VoT'!$D$40*VLOOKUP($B63,'Indirect tax correction'!$B$27:$I$127,7,FALSE)*VLOOKUP($B63,'Annual Parameters'!$B$33:$W$143,21,FALSE)/VLOOKUP('Source VoT'!$F$27,'Annual Parameters'!$B$33:$W$143,21,FALSE)*VLOOKUP($B$14,'Annual Parameters'!$B$33:$W$143,3,FALSE)/VLOOKUP('Source VoT'!$E$27,'Annual Parameters'!$B$33:$W$143,3,FALSE)</f>
        <v>33.764499911561799</v>
      </c>
      <c r="AX63" s="73">
        <f>'Source VoT'!$D$45*VLOOKUP($B63,'Indirect tax correction'!$B$27:$I$127,8,FALSE)*VLOOKUP($B63,'Annual Parameters'!$B$33:$W$143,22,FALSE)/VLOOKUP('Source VoT'!$F$27,'Annual Parameters'!$B$33:$W$143,22,FALSE)*VLOOKUP($B$14,'Annual Parameters'!$B$33:$W$143,3,FALSE)/VLOOKUP('Source VoT'!$E$27,'Annual Parameters'!$B$33:$W$143,3,FALSE)</f>
        <v>17.442120581831393</v>
      </c>
      <c r="AY63" s="74">
        <f>'Source VoT'!$D$46*VLOOKUP($B63,'Indirect tax correction'!$B$27:$I$127,8,FALSE)*VLOOKUP($B63,'Annual Parameters'!$B$33:$W$143,22,FALSE)/VLOOKUP('Source VoT'!$F$27,'Annual Parameters'!$B$33:$W$143,22,FALSE)*VLOOKUP($B$14,'Annual Parameters'!$B$33:$W$143,3,FALSE)/VLOOKUP('Source VoT'!$E$27,'Annual Parameters'!$B$33:$W$143,3,FALSE)</f>
        <v>7.9611072737047257</v>
      </c>
      <c r="AZ63" s="2875"/>
      <c r="BA63" s="2875"/>
      <c r="BB63" s="2875"/>
      <c r="BC63" s="2875"/>
      <c r="BD63" s="2875"/>
      <c r="BE63" s="2875"/>
      <c r="BF63" s="2875"/>
      <c r="BG63" s="2875"/>
    </row>
    <row r="64" spans="1:59" ht="13.5" customHeight="1">
      <c r="A64" s="90"/>
      <c r="B64" s="82">
        <f t="shared" si="0"/>
        <v>2047</v>
      </c>
      <c r="C64" s="82"/>
      <c r="D64" s="117">
        <f>'Source VoT'!$D$27*VLOOKUP($B64,'Indirect tax correction'!$B$27:$I$127,5,FALSE)*VLOOKUP($B64,'Annual Parameters'!$B$33:$W$143,21,FALSE)/VLOOKUP('Source VoT'!$F$27,'Annual Parameters'!$B$33:$W$143,21,FALSE)*VLOOKUP($B$14,'Annual Parameters'!$B$33:$W$143,3,FALSE)/VLOOKUP('Source VoT'!$E$27,'Annual Parameters'!$B$33:$W$143,3,FALSE)</f>
        <v>26.539104849238651</v>
      </c>
      <c r="E64" s="73">
        <f>'Source VoT'!$D$28*VLOOKUP($B64,'Indirect tax correction'!$B$27:$I$127,5,FALSE)*VLOOKUP($B64,'Annual Parameters'!$B$33:$W$143,21,FALSE)/VLOOKUP('Source VoT'!$F$27,'Annual Parameters'!$B$33:$W$143,21,FALSE)*VLOOKUP($B$14,'Annual Parameters'!$B$33:$W$143,3,FALSE)/VLOOKUP('Source VoT'!$E$27,'Annual Parameters'!$B$33:$W$143,3,FALSE)</f>
        <v>26.539104849238651</v>
      </c>
      <c r="F64" s="73">
        <f>'Source VoT'!$D$29*VLOOKUP($B64,'Indirect tax correction'!$B$27:$I$127,5,FALSE)*VLOOKUP($B64,'Annual Parameters'!$B$33:$W$143,21,FALSE)/VLOOKUP('Source VoT'!$F$27,'Annual Parameters'!$B$33:$W$143,21,FALSE)*VLOOKUP($B$14,'Annual Parameters'!$B$33:$W$143,3,FALSE)/VLOOKUP('Source VoT'!$E$27,'Annual Parameters'!$B$33:$W$143,3,FALSE)</f>
        <v>18.274224026684607</v>
      </c>
      <c r="G64" s="73">
        <f>'Source VoT'!$D$30*VLOOKUP($B64,'Indirect tax correction'!$B$27:$I$127,5,FALSE)*VLOOKUP($B64,'Annual Parameters'!$B$33:$W$143,21,FALSE)/VLOOKUP('Source VoT'!$F$27,'Annual Parameters'!$B$33:$W$143,21,FALSE)*VLOOKUP($B$14,'Annual Parameters'!$B$33:$W$143,3,FALSE)/VLOOKUP('Source VoT'!$E$27,'Annual Parameters'!$B$33:$W$143,3,FALSE)</f>
        <v>21.531435253663108</v>
      </c>
      <c r="H64" s="73">
        <f>'Source VoT'!$D$31*VLOOKUP($B64,'Indirect tax correction'!$B$27:$I$127,5,FALSE)*VLOOKUP($B64,'Annual Parameters'!$B$33:$W$143,21,FALSE)/VLOOKUP('Source VoT'!$F$27,'Annual Parameters'!$B$33:$W$143,21,FALSE)*VLOOKUP($B$14,'Annual Parameters'!$B$33:$W$143,3,FALSE)/VLOOKUP('Source VoT'!$E$27,'Annual Parameters'!$B$33:$W$143,3,FALSE)</f>
        <v>21.996751143231471</v>
      </c>
      <c r="I64" s="73">
        <f>'Source VoT'!$D$32*VLOOKUP($B64,'Indirect tax correction'!$B$27:$I$127,5,FALSE)*VLOOKUP($B64,'Annual Parameters'!$B$33:$W$143,21,FALSE)/VLOOKUP('Source VoT'!$F$27,'Annual Parameters'!$B$33:$W$143,21,FALSE)*VLOOKUP($B$14,'Annual Parameters'!$B$33:$W$143,3,FALSE)/VLOOKUP('Source VoT'!$E$27,'Annual Parameters'!$B$33:$W$143,3,FALSE)</f>
        <v>15.039333670632521</v>
      </c>
      <c r="J64" s="73">
        <f>'Source VoT'!$D$33*VLOOKUP($B64,'Indirect tax correction'!$B$27:$I$127,5,FALSE)*VLOOKUP($B64,'Annual Parameters'!$B$33:$W$143,21,FALSE)/VLOOKUP('Source VoT'!$F$27,'Annual Parameters'!$B$33:$W$143,21,FALSE)*VLOOKUP($B$14,'Annual Parameters'!$B$33:$W$143,3,FALSE)/VLOOKUP('Source VoT'!$E$27,'Annual Parameters'!$B$33:$W$143,3,FALSE)</f>
        <v>19.437513750605497</v>
      </c>
      <c r="K64" s="73">
        <f>'Source VoT'!$D$34*VLOOKUP($B64,'Indirect tax correction'!$B$27:$I$127,5,FALSE)*VLOOKUP($B64,'Annual Parameters'!$B$33:$W$143,21,FALSE)/VLOOKUP('Source VoT'!$F$27,'Annual Parameters'!$B$33:$W$143,21,FALSE)*VLOOKUP($B$14,'Annual Parameters'!$B$33:$W$143,3,FALSE)/VLOOKUP('Source VoT'!$E$27,'Annual Parameters'!$B$33:$W$143,3,FALSE)</f>
        <v>26.539104849238651</v>
      </c>
      <c r="L64" s="73">
        <f>'Source VoT'!$D$35*VLOOKUP($B64,'Indirect tax correction'!$B$27:$I$127,5,FALSE)*VLOOKUP($B64,'Annual Parameters'!$B$33:$W$143,21,FALSE)/VLOOKUP('Source VoT'!$F$27,'Annual Parameters'!$B$33:$W$143,21,FALSE)*VLOOKUP($B$14,'Annual Parameters'!$B$33:$W$143,3,FALSE)/VLOOKUP('Source VoT'!$E$27,'Annual Parameters'!$B$33:$W$143,3,FALSE)</f>
        <v>43.776582165862941</v>
      </c>
      <c r="M64" s="73">
        <f>'Source VoT'!$D$36*VLOOKUP($B64,'Indirect tax correction'!$B$27:$I$127,5,FALSE)*VLOOKUP($B64,'Annual Parameters'!$B$33:$W$143,21,FALSE)/VLOOKUP('Source VoT'!$F$27,'Annual Parameters'!$B$33:$W$143,21,FALSE)*VLOOKUP($B$14,'Annual Parameters'!$B$33:$W$143,3,FALSE)/VLOOKUP('Source VoT'!$E$27,'Annual Parameters'!$B$33:$W$143,3,FALSE)</f>
        <v>15.039333670632521</v>
      </c>
      <c r="N64" s="73">
        <f>'Source VoT'!$D$37*VLOOKUP($B64,'Indirect tax correction'!$B$27:$I$127,5,FALSE)*VLOOKUP($B64,'Annual Parameters'!$B$33:$W$143,21,FALSE)/VLOOKUP('Source VoT'!$F$27,'Annual Parameters'!$B$33:$W$143,21,FALSE)*VLOOKUP($B$14,'Annual Parameters'!$B$33:$W$143,3,FALSE)/VLOOKUP('Source VoT'!$E$27,'Annual Parameters'!$B$33:$W$143,3,FALSE)</f>
        <v>15.039333670632521</v>
      </c>
      <c r="O64" s="73">
        <f>'Source VoT'!$D$38*VLOOKUP($B64,'Indirect tax correction'!$B$27:$I$127,5,FALSE)*VLOOKUP($B64,'Annual Parameters'!$B$33:$W$143,21,FALSE)/VLOOKUP('Source VoT'!$F$27,'Annual Parameters'!$B$33:$W$143,21,FALSE)*VLOOKUP($B$14,'Annual Parameters'!$B$33:$W$143,3,FALSE)/VLOOKUP('Source VoT'!$E$27,'Annual Parameters'!$B$33:$W$143,3,FALSE)</f>
        <v>15.039333670632521</v>
      </c>
      <c r="P64" s="73">
        <f>'Source VoT'!$D$39*VLOOKUP($B64,'Indirect tax correction'!$B$27:$I$127,5,FALSE)*VLOOKUP($B64,'Annual Parameters'!$B$33:$W$143,21,FALSE)/VLOOKUP('Source VoT'!$F$27,'Annual Parameters'!$B$33:$W$143,21,FALSE)*VLOOKUP($B$14,'Annual Parameters'!$B$33:$W$143,3,FALSE)/VLOOKUP('Source VoT'!$E$27,'Annual Parameters'!$B$33:$W$143,3,FALSE)</f>
        <v>26.539104849238651</v>
      </c>
      <c r="Q64" s="74">
        <f>'Source VoT'!$D$40*VLOOKUP($B64,'Indirect tax correction'!$B$27:$I$127,5,FALSE)*VLOOKUP($B64,'Annual Parameters'!$B$33:$W$143,21,FALSE)/VLOOKUP('Source VoT'!$F$27,'Annual Parameters'!$B$33:$W$143,21,FALSE)*VLOOKUP($B$14,'Annual Parameters'!$B$33:$W$143,3,FALSE)/VLOOKUP('Source VoT'!$E$27,'Annual Parameters'!$B$33:$W$143,3,FALSE)</f>
        <v>28.907141138093124</v>
      </c>
      <c r="R64" s="73">
        <f>'Source VoT'!$D$45*VLOOKUP($B64,'Indirect tax correction'!$B$27:$I$127,6,FALSE)*VLOOKUP($B64,'Annual Parameters'!$B$33:$W$143,22,FALSE)/VLOOKUP('Source VoT'!$F$27,'Annual Parameters'!$B$33:$W$143,22,FALSE)*VLOOKUP($B$14,'Annual Parameters'!$B$33:$W$143,3,FALSE)/VLOOKUP('Source VoT'!$E$27,'Annual Parameters'!$B$33:$W$143,3,FALSE)</f>
        <v>14.93289824304455</v>
      </c>
      <c r="S64" s="73">
        <f>'Source VoT'!$D$46*VLOOKUP($B64,'Indirect tax correction'!$B$27:$I$127,6,FALSE)*VLOOKUP($B64,'Annual Parameters'!$B$33:$W$143,22,FALSE)/VLOOKUP('Source VoT'!$F$27,'Annual Parameters'!$B$33:$W$143,22,FALSE)*VLOOKUP($B$14,'Annual Parameters'!$B$33:$W$143,3,FALSE)/VLOOKUP('Source VoT'!$E$27,'Annual Parameters'!$B$33:$W$143,3,FALSE)</f>
        <v>6.8158228962152956</v>
      </c>
      <c r="T64" s="117">
        <f>'Source VoT'!$D$27*1*VLOOKUP($B64,'Annual Parameters'!$B$33:$W$143,21,FALSE)/VLOOKUP('Source VoT'!$F$27,'Annual Parameters'!$B$33:$W$143,21,FALSE)*VLOOKUP($B$14,'Annual Parameters'!$B$33:$W$143,3,FALSE)/VLOOKUP('Source VoT'!$E$27,'Annual Parameters'!$B$33:$W$143,3,FALSE)</f>
        <v>26.539104849238651</v>
      </c>
      <c r="U64" s="73">
        <f>'Source VoT'!$D$28*1*VLOOKUP($B64,'Annual Parameters'!$B$33:$W$143,21,FALSE)/VLOOKUP('Source VoT'!$F$27,'Annual Parameters'!$B$33:$W$143,21,FALSE)*VLOOKUP($B$14,'Annual Parameters'!$B$33:$W$143,3,FALSE)/VLOOKUP('Source VoT'!$E$27,'Annual Parameters'!$B$33:$W$143,3,FALSE)</f>
        <v>26.539104849238651</v>
      </c>
      <c r="V64" s="73">
        <f>'Source VoT'!$D$29*1*VLOOKUP($B64,'Annual Parameters'!$B$33:$W$143,21,FALSE)/VLOOKUP('Source VoT'!$F$27,'Annual Parameters'!$B$33:$W$143,21,FALSE)*VLOOKUP($B$14,'Annual Parameters'!$B$33:$W$143,3,FALSE)/VLOOKUP('Source VoT'!$E$27,'Annual Parameters'!$B$33:$W$143,3,FALSE)</f>
        <v>18.274224026684607</v>
      </c>
      <c r="W64" s="73">
        <f>'Source VoT'!$D$30*1*VLOOKUP($B64,'Annual Parameters'!$B$33:$W$143,21,FALSE)/VLOOKUP('Source VoT'!$F$27,'Annual Parameters'!$B$33:$W$143,21,FALSE)*VLOOKUP($B$14,'Annual Parameters'!$B$33:$W$143,3,FALSE)/VLOOKUP('Source VoT'!$E$27,'Annual Parameters'!$B$33:$W$143,3,FALSE)</f>
        <v>21.531435253663108</v>
      </c>
      <c r="X64" s="73">
        <f>'Source VoT'!$D$31*1*VLOOKUP($B64,'Annual Parameters'!$B$33:$W$143,21,FALSE)/VLOOKUP('Source VoT'!$F$27,'Annual Parameters'!$B$33:$W$143,21,FALSE)*VLOOKUP($B$14,'Annual Parameters'!$B$33:$W$143,3,FALSE)/VLOOKUP('Source VoT'!$E$27,'Annual Parameters'!$B$33:$W$143,3,FALSE)</f>
        <v>21.996751143231471</v>
      </c>
      <c r="Y64" s="73">
        <f>'Source VoT'!$D$32*1*VLOOKUP($B64,'Annual Parameters'!$B$33:$W$143,21,FALSE)/VLOOKUP('Source VoT'!$F$27,'Annual Parameters'!$B$33:$W$143,21,FALSE)*VLOOKUP($B$14,'Annual Parameters'!$B$33:$W$143,3,FALSE)/VLOOKUP('Source VoT'!$E$27,'Annual Parameters'!$B$33:$W$143,3,FALSE)</f>
        <v>15.039333670632521</v>
      </c>
      <c r="Z64" s="73">
        <f>'Source VoT'!$D$33*1*VLOOKUP($B64,'Annual Parameters'!$B$33:$W$143,21,FALSE)/VLOOKUP('Source VoT'!$F$27,'Annual Parameters'!$B$33:$W$143,21,FALSE)*VLOOKUP($B$14,'Annual Parameters'!$B$33:$W$143,3,FALSE)/VLOOKUP('Source VoT'!$E$27,'Annual Parameters'!$B$33:$W$143,3,FALSE)</f>
        <v>19.437513750605497</v>
      </c>
      <c r="AA64" s="73">
        <f>'Source VoT'!$D$34*1*VLOOKUP($B64,'Annual Parameters'!$B$33:$W$143,21,FALSE)/VLOOKUP('Source VoT'!$F$27,'Annual Parameters'!$B$33:$W$143,21,FALSE)*VLOOKUP($B$14,'Annual Parameters'!$B$33:$W$143,3,FALSE)/VLOOKUP('Source VoT'!$E$27,'Annual Parameters'!$B$33:$W$143,3,FALSE)</f>
        <v>26.539104849238651</v>
      </c>
      <c r="AB64" s="73">
        <f>'Source VoT'!$D$35*1*VLOOKUP($B64,'Annual Parameters'!$B$33:$W$143,21,FALSE)/VLOOKUP('Source VoT'!$F$27,'Annual Parameters'!$B$33:$W$143,21,FALSE)*VLOOKUP($B$14,'Annual Parameters'!$B$33:$W$143,3,FALSE)/VLOOKUP('Source VoT'!$E$27,'Annual Parameters'!$B$33:$W$143,3,FALSE)</f>
        <v>43.776582165862941</v>
      </c>
      <c r="AC64" s="73">
        <f>'Source VoT'!$D$36*1*VLOOKUP($B64,'Annual Parameters'!$B$33:$W$143,21,FALSE)/VLOOKUP('Source VoT'!$F$27,'Annual Parameters'!$B$33:$W$143,21,FALSE)*VLOOKUP($B$14,'Annual Parameters'!$B$33:$W$143,3,FALSE)/VLOOKUP('Source VoT'!$E$27,'Annual Parameters'!$B$33:$W$143,3,FALSE)</f>
        <v>15.039333670632521</v>
      </c>
      <c r="AD64" s="73">
        <f>'Source VoT'!$D$37*1*VLOOKUP($B64,'Annual Parameters'!$B$33:$W$143,21,FALSE)/VLOOKUP('Source VoT'!$F$27,'Annual Parameters'!$B$33:$W$143,21,FALSE)*VLOOKUP($B$14,'Annual Parameters'!$B$33:$W$143,3,FALSE)/VLOOKUP('Source VoT'!$E$27,'Annual Parameters'!$B$33:$W$143,3,FALSE)</f>
        <v>15.039333670632521</v>
      </c>
      <c r="AE64" s="73">
        <f>'Source VoT'!$D$38*1*VLOOKUP($B64,'Annual Parameters'!$B$33:$W$143,21,FALSE)/VLOOKUP('Source VoT'!$F$27,'Annual Parameters'!$B$33:$W$143,21,FALSE)*VLOOKUP($B$14,'Annual Parameters'!$B$33:$W$143,3,FALSE)/VLOOKUP('Source VoT'!$E$27,'Annual Parameters'!$B$33:$W$143,3,FALSE)</f>
        <v>15.039333670632521</v>
      </c>
      <c r="AF64" s="73">
        <f>'Source VoT'!$D$39*1*VLOOKUP($B64,'Annual Parameters'!$B$33:$W$143,21,FALSE)/VLOOKUP('Source VoT'!$F$27,'Annual Parameters'!$B$33:$W$143,21,FALSE)*VLOOKUP($B$14,'Annual Parameters'!$B$33:$W$143,3,FALSE)/VLOOKUP('Source VoT'!$E$27,'Annual Parameters'!$B$33:$W$143,3,FALSE)</f>
        <v>26.539104849238651</v>
      </c>
      <c r="AG64" s="74">
        <f>'Source VoT'!$D$40*1*VLOOKUP($B64,'Annual Parameters'!$B$33:$W$143,21,FALSE)/VLOOKUP('Source VoT'!$F$27,'Annual Parameters'!$B$33:$W$143,21,FALSE)*VLOOKUP($B$14,'Annual Parameters'!$B$33:$W$143,3,FALSE)/VLOOKUP('Source VoT'!$E$27,'Annual Parameters'!$B$33:$W$143,3,FALSE)</f>
        <v>28.907141138093124</v>
      </c>
      <c r="AH64" s="73">
        <f>'Source VoT'!$D$45*1*VLOOKUP($B64,'Annual Parameters'!$B$33:$W$143,22,FALSE)/VLOOKUP('Source VoT'!$F$27,'Annual Parameters'!$B$33:$W$143,22,FALSE)*VLOOKUP($B$14,'Annual Parameters'!$B$33:$W$143,3,FALSE)/VLOOKUP('Source VoT'!$E$27,'Annual Parameters'!$B$33:$W$143,3,FALSE)</f>
        <v>17.77014890922301</v>
      </c>
      <c r="AI64" s="73">
        <f>'Source VoT'!$D$46*1*VLOOKUP($B64,'Annual Parameters'!$B$33:$W$143,22,FALSE)/VLOOKUP('Source VoT'!$F$27,'Annual Parameters'!$B$33:$W$143,22,FALSE)*VLOOKUP($B$14,'Annual Parameters'!$B$33:$W$143,3,FALSE)/VLOOKUP('Source VoT'!$E$27,'Annual Parameters'!$B$33:$W$143,3,FALSE)</f>
        <v>8.110829246496202</v>
      </c>
      <c r="AJ64" s="117">
        <f>'Source VoT'!$D$27*VLOOKUP($B64,'Indirect tax correction'!$B$27:$I$127,7,FALSE)*VLOOKUP($B64,'Annual Parameters'!$B$33:$W$143,21,FALSE)/VLOOKUP('Source VoT'!$F$27,'Annual Parameters'!$B$33:$W$143,21,FALSE)*VLOOKUP($B$14,'Annual Parameters'!$B$33:$W$143,3,FALSE)/VLOOKUP('Source VoT'!$E$27,'Annual Parameters'!$B$33:$W$143,3,FALSE)</f>
        <v>31.58153477059399</v>
      </c>
      <c r="AK64" s="73">
        <f>'Source VoT'!$D$28*VLOOKUP($B64,'Indirect tax correction'!$B$27:$I$127,7,FALSE)*VLOOKUP($B64,'Annual Parameters'!$B$33:$W$143,21,FALSE)/VLOOKUP('Source VoT'!$F$27,'Annual Parameters'!$B$33:$W$143,21,FALSE)*VLOOKUP($B$14,'Annual Parameters'!$B$33:$W$143,3,FALSE)/VLOOKUP('Source VoT'!$E$27,'Annual Parameters'!$B$33:$W$143,3,FALSE)</f>
        <v>31.58153477059399</v>
      </c>
      <c r="AL64" s="73">
        <f>'Source VoT'!$D$29*VLOOKUP($B64,'Indirect tax correction'!$B$27:$I$127,7,FALSE)*VLOOKUP($B64,'Annual Parameters'!$B$33:$W$143,21,FALSE)/VLOOKUP('Source VoT'!$F$27,'Annual Parameters'!$B$33:$W$143,21,FALSE)*VLOOKUP($B$14,'Annual Parameters'!$B$33:$W$143,3,FALSE)/VLOOKUP('Source VoT'!$E$27,'Annual Parameters'!$B$33:$W$143,3,FALSE)</f>
        <v>21.746326591754677</v>
      </c>
      <c r="AM64" s="73">
        <f>'Source VoT'!$D$30*VLOOKUP($B64,'Indirect tax correction'!$B$27:$I$127,7,FALSE)*VLOOKUP($B64,'Annual Parameters'!$B$33:$W$143,21,FALSE)/VLOOKUP('Source VoT'!$F$27,'Annual Parameters'!$B$33:$W$143,21,FALSE)*VLOOKUP($B$14,'Annual Parameters'!$B$33:$W$143,3,FALSE)/VLOOKUP('Source VoT'!$E$27,'Annual Parameters'!$B$33:$W$143,3,FALSE)</f>
        <v>25.622407951859099</v>
      </c>
      <c r="AN64" s="73">
        <f>'Source VoT'!$D$31*VLOOKUP($B64,'Indirect tax correction'!$B$27:$I$127,7,FALSE)*VLOOKUP($B64,'Annual Parameters'!$B$33:$W$143,21,FALSE)/VLOOKUP('Source VoT'!$F$27,'Annual Parameters'!$B$33:$W$143,21,FALSE)*VLOOKUP($B$14,'Annual Parameters'!$B$33:$W$143,3,FALSE)/VLOOKUP('Source VoT'!$E$27,'Annual Parameters'!$B$33:$W$143,3,FALSE)</f>
        <v>26.176133860445447</v>
      </c>
      <c r="AO64" s="73">
        <f>'Source VoT'!$D$32*VLOOKUP($B64,'Indirect tax correction'!$B$27:$I$127,7,FALSE)*VLOOKUP($B64,'Annual Parameters'!$B$33:$W$143,21,FALSE)/VLOOKUP('Source VoT'!$F$27,'Annual Parameters'!$B$33:$W$143,21,FALSE)*VLOOKUP($B$14,'Annual Parameters'!$B$33:$W$143,3,FALSE)/VLOOKUP('Source VoT'!$E$27,'Annual Parameters'!$B$33:$W$143,3,FALSE)</f>
        <v>17.896807068052702</v>
      </c>
      <c r="AP64" s="73">
        <f>'Source VoT'!$D$33*VLOOKUP($B64,'Indirect tax correction'!$B$27:$I$127,7,FALSE)*VLOOKUP($B64,'Annual Parameters'!$B$33:$W$143,21,FALSE)/VLOOKUP('Source VoT'!$F$27,'Annual Parameters'!$B$33:$W$143,21,FALSE)*VLOOKUP($B$14,'Annual Parameters'!$B$33:$W$143,3,FALSE)/VLOOKUP('Source VoT'!$E$27,'Annual Parameters'!$B$33:$W$143,3,FALSE)</f>
        <v>23.130641363220537</v>
      </c>
      <c r="AQ64" s="73">
        <f>'Source VoT'!$D$34*VLOOKUP($B64,'Indirect tax correction'!$B$27:$I$127,7,FALSE)*VLOOKUP($B64,'Annual Parameters'!$B$33:$W$143,21,FALSE)/VLOOKUP('Source VoT'!$F$27,'Annual Parameters'!$B$33:$W$143,21,FALSE)*VLOOKUP($B$14,'Annual Parameters'!$B$33:$W$143,3,FALSE)/VLOOKUP('Source VoT'!$E$27,'Annual Parameters'!$B$33:$W$143,3,FALSE)</f>
        <v>31.58153477059399</v>
      </c>
      <c r="AR64" s="73">
        <f>'Source VoT'!$D$35*VLOOKUP($B64,'Indirect tax correction'!$B$27:$I$127,7,FALSE)*VLOOKUP($B64,'Annual Parameters'!$B$33:$W$143,21,FALSE)/VLOOKUP('Source VoT'!$F$27,'Annual Parameters'!$B$33:$W$143,21,FALSE)*VLOOKUP($B$14,'Annual Parameters'!$B$33:$W$143,3,FALSE)/VLOOKUP('Source VoT'!$E$27,'Annual Parameters'!$B$33:$W$143,3,FALSE)</f>
        <v>52.094132777376899</v>
      </c>
      <c r="AS64" s="73">
        <f>'Source VoT'!$D$36*VLOOKUP($B64,'Indirect tax correction'!$B$27:$I$127,7,FALSE)*VLOOKUP($B64,'Annual Parameters'!$B$33:$W$143,21,FALSE)/VLOOKUP('Source VoT'!$F$27,'Annual Parameters'!$B$33:$W$143,21,FALSE)*VLOOKUP($B$14,'Annual Parameters'!$B$33:$W$143,3,FALSE)/VLOOKUP('Source VoT'!$E$27,'Annual Parameters'!$B$33:$W$143,3,FALSE)</f>
        <v>17.896807068052702</v>
      </c>
      <c r="AT64" s="73">
        <f>'Source VoT'!$D$37*VLOOKUP($B64,'Indirect tax correction'!$B$27:$I$127,7,FALSE)*VLOOKUP($B64,'Annual Parameters'!$B$33:$W$143,21,FALSE)/VLOOKUP('Source VoT'!$F$27,'Annual Parameters'!$B$33:$W$143,21,FALSE)*VLOOKUP($B$14,'Annual Parameters'!$B$33:$W$143,3,FALSE)/VLOOKUP('Source VoT'!$E$27,'Annual Parameters'!$B$33:$W$143,3,FALSE)</f>
        <v>17.896807068052702</v>
      </c>
      <c r="AU64" s="73">
        <f>'Source VoT'!$D$38*VLOOKUP($B64,'Indirect tax correction'!$B$27:$I$127,7,FALSE)*VLOOKUP($B64,'Annual Parameters'!$B$33:$W$143,21,FALSE)/VLOOKUP('Source VoT'!$F$27,'Annual Parameters'!$B$33:$W$143,21,FALSE)*VLOOKUP($B$14,'Annual Parameters'!$B$33:$W$143,3,FALSE)/VLOOKUP('Source VoT'!$E$27,'Annual Parameters'!$B$33:$W$143,3,FALSE)</f>
        <v>17.896807068052702</v>
      </c>
      <c r="AV64" s="73">
        <f>'Source VoT'!$D$39*VLOOKUP($B64,'Indirect tax correction'!$B$27:$I$127,7,FALSE)*VLOOKUP($B64,'Annual Parameters'!$B$33:$W$143,21,FALSE)/VLOOKUP('Source VoT'!$F$27,'Annual Parameters'!$B$33:$W$143,21,FALSE)*VLOOKUP($B$14,'Annual Parameters'!$B$33:$W$143,3,FALSE)/VLOOKUP('Source VoT'!$E$27,'Annual Parameters'!$B$33:$W$143,3,FALSE)</f>
        <v>31.58153477059399</v>
      </c>
      <c r="AW64" s="74">
        <f>'Source VoT'!$D$40*VLOOKUP($B64,'Indirect tax correction'!$B$27:$I$127,7,FALSE)*VLOOKUP($B64,'Annual Parameters'!$B$33:$W$143,21,FALSE)/VLOOKUP('Source VoT'!$F$27,'Annual Parameters'!$B$33:$W$143,21,FALSE)*VLOOKUP($B$14,'Annual Parameters'!$B$33:$W$143,3,FALSE)/VLOOKUP('Source VoT'!$E$27,'Annual Parameters'!$B$33:$W$143,3,FALSE)</f>
        <v>34.399497954330819</v>
      </c>
      <c r="AX64" s="73">
        <f>'Source VoT'!$D$45*VLOOKUP($B64,'Indirect tax correction'!$B$27:$I$127,8,FALSE)*VLOOKUP($B64,'Annual Parameters'!$B$33:$W$143,22,FALSE)/VLOOKUP('Source VoT'!$F$27,'Annual Parameters'!$B$33:$W$143,22,FALSE)*VLOOKUP($B$14,'Annual Parameters'!$B$33:$W$143,3,FALSE)/VLOOKUP('Source VoT'!$E$27,'Annual Parameters'!$B$33:$W$143,3,FALSE)</f>
        <v>17.77014890922301</v>
      </c>
      <c r="AY64" s="74">
        <f>'Source VoT'!$D$46*VLOOKUP($B64,'Indirect tax correction'!$B$27:$I$127,8,FALSE)*VLOOKUP($B64,'Annual Parameters'!$B$33:$W$143,22,FALSE)/VLOOKUP('Source VoT'!$F$27,'Annual Parameters'!$B$33:$W$143,22,FALSE)*VLOOKUP($B$14,'Annual Parameters'!$B$33:$W$143,3,FALSE)/VLOOKUP('Source VoT'!$E$27,'Annual Parameters'!$B$33:$W$143,3,FALSE)</f>
        <v>8.110829246496202</v>
      </c>
      <c r="AZ64" s="2875"/>
      <c r="BA64" s="2875"/>
      <c r="BB64" s="2875"/>
      <c r="BC64" s="2875"/>
      <c r="BD64" s="2875"/>
      <c r="BE64" s="2875"/>
      <c r="BF64" s="2875"/>
      <c r="BG64" s="2875"/>
    </row>
    <row r="65" spans="1:59" ht="13.5" customHeight="1">
      <c r="A65" s="90"/>
      <c r="B65" s="82">
        <f t="shared" si="0"/>
        <v>2048</v>
      </c>
      <c r="C65" s="82"/>
      <c r="D65" s="117">
        <f>'Source VoT'!$D$27*VLOOKUP($B65,'Indirect tax correction'!$B$27:$I$127,5,FALSE)*VLOOKUP($B65,'Annual Parameters'!$B$33:$W$143,21,FALSE)/VLOOKUP('Source VoT'!$F$27,'Annual Parameters'!$B$33:$W$143,21,FALSE)*VLOOKUP($B$14,'Annual Parameters'!$B$33:$W$143,3,FALSE)/VLOOKUP('Source VoT'!$E$27,'Annual Parameters'!$B$33:$W$143,3,FALSE)</f>
        <v>27.035414670248926</v>
      </c>
      <c r="E65" s="73">
        <f>'Source VoT'!$D$28*VLOOKUP($B65,'Indirect tax correction'!$B$27:$I$127,5,FALSE)*VLOOKUP($B65,'Annual Parameters'!$B$33:$W$143,21,FALSE)/VLOOKUP('Source VoT'!$F$27,'Annual Parameters'!$B$33:$W$143,21,FALSE)*VLOOKUP($B$14,'Annual Parameters'!$B$33:$W$143,3,FALSE)/VLOOKUP('Source VoT'!$E$27,'Annual Parameters'!$B$33:$W$143,3,FALSE)</f>
        <v>27.035414670248926</v>
      </c>
      <c r="F65" s="73">
        <f>'Source VoT'!$D$29*VLOOKUP($B65,'Indirect tax correction'!$B$27:$I$127,5,FALSE)*VLOOKUP($B65,'Annual Parameters'!$B$33:$W$143,21,FALSE)/VLOOKUP('Source VoT'!$F$27,'Annual Parameters'!$B$33:$W$143,21,FALSE)*VLOOKUP($B$14,'Annual Parameters'!$B$33:$W$143,3,FALSE)/VLOOKUP('Source VoT'!$E$27,'Annual Parameters'!$B$33:$W$143,3,FALSE)</f>
        <v>18.615971681976966</v>
      </c>
      <c r="G65" s="73">
        <f>'Source VoT'!$D$30*VLOOKUP($B65,'Indirect tax correction'!$B$27:$I$127,5,FALSE)*VLOOKUP($B65,'Annual Parameters'!$B$33:$W$143,21,FALSE)/VLOOKUP('Source VoT'!$F$27,'Annual Parameters'!$B$33:$W$143,21,FALSE)*VLOOKUP($B$14,'Annual Parameters'!$B$33:$W$143,3,FALSE)/VLOOKUP('Source VoT'!$E$27,'Annual Parameters'!$B$33:$W$143,3,FALSE)</f>
        <v>21.934096264181193</v>
      </c>
      <c r="H65" s="73">
        <f>'Source VoT'!$D$31*VLOOKUP($B65,'Indirect tax correction'!$B$27:$I$127,5,FALSE)*VLOOKUP($B65,'Annual Parameters'!$B$33:$W$143,21,FALSE)/VLOOKUP('Source VoT'!$F$27,'Annual Parameters'!$B$33:$W$143,21,FALSE)*VLOOKUP($B$14,'Annual Parameters'!$B$33:$W$143,3,FALSE)/VLOOKUP('Source VoT'!$E$27,'Annual Parameters'!$B$33:$W$143,3,FALSE)</f>
        <v>22.40811406163894</v>
      </c>
      <c r="I65" s="73">
        <f>'Source VoT'!$D$32*VLOOKUP($B65,'Indirect tax correction'!$B$27:$I$127,5,FALSE)*VLOOKUP($B65,'Annual Parameters'!$B$33:$W$143,21,FALSE)/VLOOKUP('Source VoT'!$F$27,'Annual Parameters'!$B$33:$W$143,21,FALSE)*VLOOKUP($B$14,'Annual Parameters'!$B$33:$W$143,3,FALSE)/VLOOKUP('Source VoT'!$E$27,'Annual Parameters'!$B$33:$W$143,3,FALSE)</f>
        <v>15.320585395006317</v>
      </c>
      <c r="J65" s="73">
        <f>'Source VoT'!$D$33*VLOOKUP($B65,'Indirect tax correction'!$B$27:$I$127,5,FALSE)*VLOOKUP($B65,'Annual Parameters'!$B$33:$W$143,21,FALSE)/VLOOKUP('Source VoT'!$F$27,'Annual Parameters'!$B$33:$W$143,21,FALSE)*VLOOKUP($B$14,'Annual Parameters'!$B$33:$W$143,3,FALSE)/VLOOKUP('Source VoT'!$E$27,'Annual Parameters'!$B$33:$W$143,3,FALSE)</f>
        <v>19.801016175621328</v>
      </c>
      <c r="K65" s="73">
        <f>'Source VoT'!$D$34*VLOOKUP($B65,'Indirect tax correction'!$B$27:$I$127,5,FALSE)*VLOOKUP($B65,'Annual Parameters'!$B$33:$W$143,21,FALSE)/VLOOKUP('Source VoT'!$F$27,'Annual Parameters'!$B$33:$W$143,21,FALSE)*VLOOKUP($B$14,'Annual Parameters'!$B$33:$W$143,3,FALSE)/VLOOKUP('Source VoT'!$E$27,'Annual Parameters'!$B$33:$W$143,3,FALSE)</f>
        <v>27.035414670248926</v>
      </c>
      <c r="L65" s="73">
        <f>'Source VoT'!$D$35*VLOOKUP($B65,'Indirect tax correction'!$B$27:$I$127,5,FALSE)*VLOOKUP($B65,'Annual Parameters'!$B$33:$W$143,21,FALSE)/VLOOKUP('Source VoT'!$F$27,'Annual Parameters'!$B$33:$W$143,21,FALSE)*VLOOKUP($B$14,'Annual Parameters'!$B$33:$W$143,3,FALSE)/VLOOKUP('Source VoT'!$E$27,'Annual Parameters'!$B$33:$W$143,3,FALSE)</f>
        <v>44.595251362981841</v>
      </c>
      <c r="M65" s="73">
        <f>'Source VoT'!$D$36*VLOOKUP($B65,'Indirect tax correction'!$B$27:$I$127,5,FALSE)*VLOOKUP($B65,'Annual Parameters'!$B$33:$W$143,21,FALSE)/VLOOKUP('Source VoT'!$F$27,'Annual Parameters'!$B$33:$W$143,21,FALSE)*VLOOKUP($B$14,'Annual Parameters'!$B$33:$W$143,3,FALSE)/VLOOKUP('Source VoT'!$E$27,'Annual Parameters'!$B$33:$W$143,3,FALSE)</f>
        <v>15.320585395006317</v>
      </c>
      <c r="N65" s="73">
        <f>'Source VoT'!$D$37*VLOOKUP($B65,'Indirect tax correction'!$B$27:$I$127,5,FALSE)*VLOOKUP($B65,'Annual Parameters'!$B$33:$W$143,21,FALSE)/VLOOKUP('Source VoT'!$F$27,'Annual Parameters'!$B$33:$W$143,21,FALSE)*VLOOKUP($B$14,'Annual Parameters'!$B$33:$W$143,3,FALSE)/VLOOKUP('Source VoT'!$E$27,'Annual Parameters'!$B$33:$W$143,3,FALSE)</f>
        <v>15.320585395006317</v>
      </c>
      <c r="O65" s="73">
        <f>'Source VoT'!$D$38*VLOOKUP($B65,'Indirect tax correction'!$B$27:$I$127,5,FALSE)*VLOOKUP($B65,'Annual Parameters'!$B$33:$W$143,21,FALSE)/VLOOKUP('Source VoT'!$F$27,'Annual Parameters'!$B$33:$W$143,21,FALSE)*VLOOKUP($B$14,'Annual Parameters'!$B$33:$W$143,3,FALSE)/VLOOKUP('Source VoT'!$E$27,'Annual Parameters'!$B$33:$W$143,3,FALSE)</f>
        <v>15.320585395006317</v>
      </c>
      <c r="P65" s="73">
        <f>'Source VoT'!$D$39*VLOOKUP($B65,'Indirect tax correction'!$B$27:$I$127,5,FALSE)*VLOOKUP($B65,'Annual Parameters'!$B$33:$W$143,21,FALSE)/VLOOKUP('Source VoT'!$F$27,'Annual Parameters'!$B$33:$W$143,21,FALSE)*VLOOKUP($B$14,'Annual Parameters'!$B$33:$W$143,3,FALSE)/VLOOKUP('Source VoT'!$E$27,'Annual Parameters'!$B$33:$W$143,3,FALSE)</f>
        <v>27.035414670248926</v>
      </c>
      <c r="Q65" s="74">
        <f>'Source VoT'!$D$40*VLOOKUP($B65,'Indirect tax correction'!$B$27:$I$127,5,FALSE)*VLOOKUP($B65,'Annual Parameters'!$B$33:$W$143,21,FALSE)/VLOOKUP('Source VoT'!$F$27,'Annual Parameters'!$B$33:$W$143,21,FALSE)*VLOOKUP($B$14,'Annual Parameters'!$B$33:$W$143,3,FALSE)/VLOOKUP('Source VoT'!$E$27,'Annual Parameters'!$B$33:$W$143,3,FALSE)</f>
        <v>29.447735786091481</v>
      </c>
      <c r="R65" s="73">
        <f>'Source VoT'!$D$45*VLOOKUP($B65,'Indirect tax correction'!$B$27:$I$127,6,FALSE)*VLOOKUP($B65,'Annual Parameters'!$B$33:$W$143,22,FALSE)/VLOOKUP('Source VoT'!$F$27,'Annual Parameters'!$B$33:$W$143,22,FALSE)*VLOOKUP($B$14,'Annual Parameters'!$B$33:$W$143,3,FALSE)/VLOOKUP('Source VoT'!$E$27,'Annual Parameters'!$B$33:$W$143,3,FALSE)</f>
        <v>15.212159510380875</v>
      </c>
      <c r="S65" s="73">
        <f>'Source VoT'!$D$46*VLOOKUP($B65,'Indirect tax correction'!$B$27:$I$127,6,FALSE)*VLOOKUP($B65,'Annual Parameters'!$B$33:$W$143,22,FALSE)/VLOOKUP('Source VoT'!$F$27,'Annual Parameters'!$B$33:$W$143,22,FALSE)*VLOOKUP($B$14,'Annual Parameters'!$B$33:$W$143,3,FALSE)/VLOOKUP('Source VoT'!$E$27,'Annual Parameters'!$B$33:$W$143,3,FALSE)</f>
        <v>6.943286119292142</v>
      </c>
      <c r="T65" s="117">
        <f>'Source VoT'!$D$27*1*VLOOKUP($B65,'Annual Parameters'!$B$33:$W$143,21,FALSE)/VLOOKUP('Source VoT'!$F$27,'Annual Parameters'!$B$33:$W$143,21,FALSE)*VLOOKUP($B$14,'Annual Parameters'!$B$33:$W$143,3,FALSE)/VLOOKUP('Source VoT'!$E$27,'Annual Parameters'!$B$33:$W$143,3,FALSE)</f>
        <v>27.035414670248926</v>
      </c>
      <c r="U65" s="73">
        <f>'Source VoT'!$D$28*1*VLOOKUP($B65,'Annual Parameters'!$B$33:$W$143,21,FALSE)/VLOOKUP('Source VoT'!$F$27,'Annual Parameters'!$B$33:$W$143,21,FALSE)*VLOOKUP($B$14,'Annual Parameters'!$B$33:$W$143,3,FALSE)/VLOOKUP('Source VoT'!$E$27,'Annual Parameters'!$B$33:$W$143,3,FALSE)</f>
        <v>27.035414670248926</v>
      </c>
      <c r="V65" s="73">
        <f>'Source VoT'!$D$29*1*VLOOKUP($B65,'Annual Parameters'!$B$33:$W$143,21,FALSE)/VLOOKUP('Source VoT'!$F$27,'Annual Parameters'!$B$33:$W$143,21,FALSE)*VLOOKUP($B$14,'Annual Parameters'!$B$33:$W$143,3,FALSE)/VLOOKUP('Source VoT'!$E$27,'Annual Parameters'!$B$33:$W$143,3,FALSE)</f>
        <v>18.615971681976966</v>
      </c>
      <c r="W65" s="73">
        <f>'Source VoT'!$D$30*1*VLOOKUP($B65,'Annual Parameters'!$B$33:$W$143,21,FALSE)/VLOOKUP('Source VoT'!$F$27,'Annual Parameters'!$B$33:$W$143,21,FALSE)*VLOOKUP($B$14,'Annual Parameters'!$B$33:$W$143,3,FALSE)/VLOOKUP('Source VoT'!$E$27,'Annual Parameters'!$B$33:$W$143,3,FALSE)</f>
        <v>21.934096264181193</v>
      </c>
      <c r="X65" s="73">
        <f>'Source VoT'!$D$31*1*VLOOKUP($B65,'Annual Parameters'!$B$33:$W$143,21,FALSE)/VLOOKUP('Source VoT'!$F$27,'Annual Parameters'!$B$33:$W$143,21,FALSE)*VLOOKUP($B$14,'Annual Parameters'!$B$33:$W$143,3,FALSE)/VLOOKUP('Source VoT'!$E$27,'Annual Parameters'!$B$33:$W$143,3,FALSE)</f>
        <v>22.40811406163894</v>
      </c>
      <c r="Y65" s="73">
        <f>'Source VoT'!$D$32*1*VLOOKUP($B65,'Annual Parameters'!$B$33:$W$143,21,FALSE)/VLOOKUP('Source VoT'!$F$27,'Annual Parameters'!$B$33:$W$143,21,FALSE)*VLOOKUP($B$14,'Annual Parameters'!$B$33:$W$143,3,FALSE)/VLOOKUP('Source VoT'!$E$27,'Annual Parameters'!$B$33:$W$143,3,FALSE)</f>
        <v>15.320585395006317</v>
      </c>
      <c r="Z65" s="73">
        <f>'Source VoT'!$D$33*1*VLOOKUP($B65,'Annual Parameters'!$B$33:$W$143,21,FALSE)/VLOOKUP('Source VoT'!$F$27,'Annual Parameters'!$B$33:$W$143,21,FALSE)*VLOOKUP($B$14,'Annual Parameters'!$B$33:$W$143,3,FALSE)/VLOOKUP('Source VoT'!$E$27,'Annual Parameters'!$B$33:$W$143,3,FALSE)</f>
        <v>19.801016175621328</v>
      </c>
      <c r="AA65" s="73">
        <f>'Source VoT'!$D$34*1*VLOOKUP($B65,'Annual Parameters'!$B$33:$W$143,21,FALSE)/VLOOKUP('Source VoT'!$F$27,'Annual Parameters'!$B$33:$W$143,21,FALSE)*VLOOKUP($B$14,'Annual Parameters'!$B$33:$W$143,3,FALSE)/VLOOKUP('Source VoT'!$E$27,'Annual Parameters'!$B$33:$W$143,3,FALSE)</f>
        <v>27.035414670248926</v>
      </c>
      <c r="AB65" s="73">
        <f>'Source VoT'!$D$35*1*VLOOKUP($B65,'Annual Parameters'!$B$33:$W$143,21,FALSE)/VLOOKUP('Source VoT'!$F$27,'Annual Parameters'!$B$33:$W$143,21,FALSE)*VLOOKUP($B$14,'Annual Parameters'!$B$33:$W$143,3,FALSE)/VLOOKUP('Source VoT'!$E$27,'Annual Parameters'!$B$33:$W$143,3,FALSE)</f>
        <v>44.595251362981841</v>
      </c>
      <c r="AC65" s="73">
        <f>'Source VoT'!$D$36*1*VLOOKUP($B65,'Annual Parameters'!$B$33:$W$143,21,FALSE)/VLOOKUP('Source VoT'!$F$27,'Annual Parameters'!$B$33:$W$143,21,FALSE)*VLOOKUP($B$14,'Annual Parameters'!$B$33:$W$143,3,FALSE)/VLOOKUP('Source VoT'!$E$27,'Annual Parameters'!$B$33:$W$143,3,FALSE)</f>
        <v>15.320585395006317</v>
      </c>
      <c r="AD65" s="73">
        <f>'Source VoT'!$D$37*1*VLOOKUP($B65,'Annual Parameters'!$B$33:$W$143,21,FALSE)/VLOOKUP('Source VoT'!$F$27,'Annual Parameters'!$B$33:$W$143,21,FALSE)*VLOOKUP($B$14,'Annual Parameters'!$B$33:$W$143,3,FALSE)/VLOOKUP('Source VoT'!$E$27,'Annual Parameters'!$B$33:$W$143,3,FALSE)</f>
        <v>15.320585395006317</v>
      </c>
      <c r="AE65" s="73">
        <f>'Source VoT'!$D$38*1*VLOOKUP($B65,'Annual Parameters'!$B$33:$W$143,21,FALSE)/VLOOKUP('Source VoT'!$F$27,'Annual Parameters'!$B$33:$W$143,21,FALSE)*VLOOKUP($B$14,'Annual Parameters'!$B$33:$W$143,3,FALSE)/VLOOKUP('Source VoT'!$E$27,'Annual Parameters'!$B$33:$W$143,3,FALSE)</f>
        <v>15.320585395006317</v>
      </c>
      <c r="AF65" s="73">
        <f>'Source VoT'!$D$39*1*VLOOKUP($B65,'Annual Parameters'!$B$33:$W$143,21,FALSE)/VLOOKUP('Source VoT'!$F$27,'Annual Parameters'!$B$33:$W$143,21,FALSE)*VLOOKUP($B$14,'Annual Parameters'!$B$33:$W$143,3,FALSE)/VLOOKUP('Source VoT'!$E$27,'Annual Parameters'!$B$33:$W$143,3,FALSE)</f>
        <v>27.035414670248926</v>
      </c>
      <c r="AG65" s="74">
        <f>'Source VoT'!$D$40*1*VLOOKUP($B65,'Annual Parameters'!$B$33:$W$143,21,FALSE)/VLOOKUP('Source VoT'!$F$27,'Annual Parameters'!$B$33:$W$143,21,FALSE)*VLOOKUP($B$14,'Annual Parameters'!$B$33:$W$143,3,FALSE)/VLOOKUP('Source VoT'!$E$27,'Annual Parameters'!$B$33:$W$143,3,FALSE)</f>
        <v>29.447735786091481</v>
      </c>
      <c r="AH65" s="73">
        <f>'Source VoT'!$D$45*1*VLOOKUP($B65,'Annual Parameters'!$B$33:$W$143,22,FALSE)/VLOOKUP('Source VoT'!$F$27,'Annual Parameters'!$B$33:$W$143,22,FALSE)*VLOOKUP($B$14,'Annual Parameters'!$B$33:$W$143,3,FALSE)/VLOOKUP('Source VoT'!$E$27,'Annual Parameters'!$B$33:$W$143,3,FALSE)</f>
        <v>18.102469817353239</v>
      </c>
      <c r="AI65" s="73">
        <f>'Source VoT'!$D$46*1*VLOOKUP($B65,'Annual Parameters'!$B$33:$W$143,22,FALSE)/VLOOKUP('Source VoT'!$F$27,'Annual Parameters'!$B$33:$W$143,22,FALSE)*VLOOKUP($B$14,'Annual Parameters'!$B$33:$W$143,3,FALSE)/VLOOKUP('Source VoT'!$E$27,'Annual Parameters'!$B$33:$W$143,3,FALSE)</f>
        <v>8.2625104819576478</v>
      </c>
      <c r="AJ65" s="117">
        <f>'Source VoT'!$D$27*VLOOKUP($B65,'Indirect tax correction'!$B$27:$I$127,7,FALSE)*VLOOKUP($B65,'Annual Parameters'!$B$33:$W$143,21,FALSE)/VLOOKUP('Source VoT'!$F$27,'Annual Parameters'!$B$33:$W$143,21,FALSE)*VLOOKUP($B$14,'Annual Parameters'!$B$33:$W$143,3,FALSE)/VLOOKUP('Source VoT'!$E$27,'Annual Parameters'!$B$33:$W$143,3,FALSE)</f>
        <v>32.172143457596214</v>
      </c>
      <c r="AK65" s="73">
        <f>'Source VoT'!$D$28*VLOOKUP($B65,'Indirect tax correction'!$B$27:$I$127,7,FALSE)*VLOOKUP($B65,'Annual Parameters'!$B$33:$W$143,21,FALSE)/VLOOKUP('Source VoT'!$F$27,'Annual Parameters'!$B$33:$W$143,21,FALSE)*VLOOKUP($B$14,'Annual Parameters'!$B$33:$W$143,3,FALSE)/VLOOKUP('Source VoT'!$E$27,'Annual Parameters'!$B$33:$W$143,3,FALSE)</f>
        <v>32.172143457596214</v>
      </c>
      <c r="AL65" s="73">
        <f>'Source VoT'!$D$29*VLOOKUP($B65,'Indirect tax correction'!$B$27:$I$127,7,FALSE)*VLOOKUP($B65,'Annual Parameters'!$B$33:$W$143,21,FALSE)/VLOOKUP('Source VoT'!$F$27,'Annual Parameters'!$B$33:$W$143,21,FALSE)*VLOOKUP($B$14,'Annual Parameters'!$B$33:$W$143,3,FALSE)/VLOOKUP('Source VoT'!$E$27,'Annual Parameters'!$B$33:$W$143,3,FALSE)</f>
        <v>22.15300630155259</v>
      </c>
      <c r="AM65" s="73">
        <f>'Source VoT'!$D$30*VLOOKUP($B65,'Indirect tax correction'!$B$27:$I$127,7,FALSE)*VLOOKUP($B65,'Annual Parameters'!$B$33:$W$143,21,FALSE)/VLOOKUP('Source VoT'!$F$27,'Annual Parameters'!$B$33:$W$143,21,FALSE)*VLOOKUP($B$14,'Annual Parameters'!$B$33:$W$143,3,FALSE)/VLOOKUP('Source VoT'!$E$27,'Annual Parameters'!$B$33:$W$143,3,FALSE)</f>
        <v>26.10157455437561</v>
      </c>
      <c r="AN65" s="73">
        <f>'Source VoT'!$D$31*VLOOKUP($B65,'Indirect tax correction'!$B$27:$I$127,7,FALSE)*VLOOKUP($B65,'Annual Parameters'!$B$33:$W$143,21,FALSE)/VLOOKUP('Source VoT'!$F$27,'Annual Parameters'!$B$33:$W$143,21,FALSE)*VLOOKUP($B$14,'Annual Parameters'!$B$33:$W$143,3,FALSE)/VLOOKUP('Source VoT'!$E$27,'Annual Parameters'!$B$33:$W$143,3,FALSE)</f>
        <v>26.665655733350334</v>
      </c>
      <c r="AO65" s="73">
        <f>'Source VoT'!$D$32*VLOOKUP($B65,'Indirect tax correction'!$B$27:$I$127,7,FALSE)*VLOOKUP($B65,'Annual Parameters'!$B$33:$W$143,21,FALSE)/VLOOKUP('Source VoT'!$F$27,'Annual Parameters'!$B$33:$W$143,21,FALSE)*VLOOKUP($B$14,'Annual Parameters'!$B$33:$W$143,3,FALSE)/VLOOKUP('Source VoT'!$E$27,'Annual Parameters'!$B$33:$W$143,3,FALSE)</f>
        <v>18.231496620057516</v>
      </c>
      <c r="AP65" s="73">
        <f>'Source VoT'!$D$33*VLOOKUP($B65,'Indirect tax correction'!$B$27:$I$127,7,FALSE)*VLOOKUP($B65,'Annual Parameters'!$B$33:$W$143,21,FALSE)/VLOOKUP('Source VoT'!$F$27,'Annual Parameters'!$B$33:$W$143,21,FALSE)*VLOOKUP($B$14,'Annual Parameters'!$B$33:$W$143,3,FALSE)/VLOOKUP('Source VoT'!$E$27,'Annual Parameters'!$B$33:$W$143,3,FALSE)</f>
        <v>23.563209248989377</v>
      </c>
      <c r="AQ65" s="73">
        <f>'Source VoT'!$D$34*VLOOKUP($B65,'Indirect tax correction'!$B$27:$I$127,7,FALSE)*VLOOKUP($B65,'Annual Parameters'!$B$33:$W$143,21,FALSE)/VLOOKUP('Source VoT'!$F$27,'Annual Parameters'!$B$33:$W$143,21,FALSE)*VLOOKUP($B$14,'Annual Parameters'!$B$33:$W$143,3,FALSE)/VLOOKUP('Source VoT'!$E$27,'Annual Parameters'!$B$33:$W$143,3,FALSE)</f>
        <v>32.172143457596214</v>
      </c>
      <c r="AR65" s="73">
        <f>'Source VoT'!$D$35*VLOOKUP($B65,'Indirect tax correction'!$B$27:$I$127,7,FALSE)*VLOOKUP($B65,'Annual Parameters'!$B$33:$W$143,21,FALSE)/VLOOKUP('Source VoT'!$F$27,'Annual Parameters'!$B$33:$W$143,21,FALSE)*VLOOKUP($B$14,'Annual Parameters'!$B$33:$W$143,3,FALSE)/VLOOKUP('Source VoT'!$E$27,'Annual Parameters'!$B$33:$W$143,3,FALSE)</f>
        <v>53.068349121948401</v>
      </c>
      <c r="AS65" s="73">
        <f>'Source VoT'!$D$36*VLOOKUP($B65,'Indirect tax correction'!$B$27:$I$127,7,FALSE)*VLOOKUP($B65,'Annual Parameters'!$B$33:$W$143,21,FALSE)/VLOOKUP('Source VoT'!$F$27,'Annual Parameters'!$B$33:$W$143,21,FALSE)*VLOOKUP($B$14,'Annual Parameters'!$B$33:$W$143,3,FALSE)/VLOOKUP('Source VoT'!$E$27,'Annual Parameters'!$B$33:$W$143,3,FALSE)</f>
        <v>18.231496620057516</v>
      </c>
      <c r="AT65" s="73">
        <f>'Source VoT'!$D$37*VLOOKUP($B65,'Indirect tax correction'!$B$27:$I$127,7,FALSE)*VLOOKUP($B65,'Annual Parameters'!$B$33:$W$143,21,FALSE)/VLOOKUP('Source VoT'!$F$27,'Annual Parameters'!$B$33:$W$143,21,FALSE)*VLOOKUP($B$14,'Annual Parameters'!$B$33:$W$143,3,FALSE)/VLOOKUP('Source VoT'!$E$27,'Annual Parameters'!$B$33:$W$143,3,FALSE)</f>
        <v>18.231496620057516</v>
      </c>
      <c r="AU65" s="73">
        <f>'Source VoT'!$D$38*VLOOKUP($B65,'Indirect tax correction'!$B$27:$I$127,7,FALSE)*VLOOKUP($B65,'Annual Parameters'!$B$33:$W$143,21,FALSE)/VLOOKUP('Source VoT'!$F$27,'Annual Parameters'!$B$33:$W$143,21,FALSE)*VLOOKUP($B$14,'Annual Parameters'!$B$33:$W$143,3,FALSE)/VLOOKUP('Source VoT'!$E$27,'Annual Parameters'!$B$33:$W$143,3,FALSE)</f>
        <v>18.231496620057516</v>
      </c>
      <c r="AV65" s="73">
        <f>'Source VoT'!$D$39*VLOOKUP($B65,'Indirect tax correction'!$B$27:$I$127,7,FALSE)*VLOOKUP($B65,'Annual Parameters'!$B$33:$W$143,21,FALSE)/VLOOKUP('Source VoT'!$F$27,'Annual Parameters'!$B$33:$W$143,21,FALSE)*VLOOKUP($B$14,'Annual Parameters'!$B$33:$W$143,3,FALSE)/VLOOKUP('Source VoT'!$E$27,'Annual Parameters'!$B$33:$W$143,3,FALSE)</f>
        <v>32.172143457596214</v>
      </c>
      <c r="AW65" s="74">
        <f>'Source VoT'!$D$40*VLOOKUP($B65,'Indirect tax correction'!$B$27:$I$127,7,FALSE)*VLOOKUP($B65,'Annual Parameters'!$B$33:$W$143,21,FALSE)/VLOOKUP('Source VoT'!$F$27,'Annual Parameters'!$B$33:$W$143,21,FALSE)*VLOOKUP($B$14,'Annual Parameters'!$B$33:$W$143,3,FALSE)/VLOOKUP('Source VoT'!$E$27,'Annual Parameters'!$B$33:$W$143,3,FALSE)</f>
        <v>35.04280558544886</v>
      </c>
      <c r="AX65" s="73">
        <f>'Source VoT'!$D$45*VLOOKUP($B65,'Indirect tax correction'!$B$27:$I$127,8,FALSE)*VLOOKUP($B65,'Annual Parameters'!$B$33:$W$143,22,FALSE)/VLOOKUP('Source VoT'!$F$27,'Annual Parameters'!$B$33:$W$143,22,FALSE)*VLOOKUP($B$14,'Annual Parameters'!$B$33:$W$143,3,FALSE)/VLOOKUP('Source VoT'!$E$27,'Annual Parameters'!$B$33:$W$143,3,FALSE)</f>
        <v>18.102469817353239</v>
      </c>
      <c r="AY65" s="74">
        <f>'Source VoT'!$D$46*VLOOKUP($B65,'Indirect tax correction'!$B$27:$I$127,8,FALSE)*VLOOKUP($B65,'Annual Parameters'!$B$33:$W$143,22,FALSE)/VLOOKUP('Source VoT'!$F$27,'Annual Parameters'!$B$33:$W$143,22,FALSE)*VLOOKUP($B$14,'Annual Parameters'!$B$33:$W$143,3,FALSE)/VLOOKUP('Source VoT'!$E$27,'Annual Parameters'!$B$33:$W$143,3,FALSE)</f>
        <v>8.2625104819576478</v>
      </c>
      <c r="AZ65" s="2875"/>
      <c r="BA65" s="2875"/>
      <c r="BB65" s="2875"/>
      <c r="BC65" s="2875"/>
      <c r="BD65" s="2875"/>
      <c r="BE65" s="2875"/>
      <c r="BF65" s="2875"/>
      <c r="BG65" s="2875"/>
    </row>
    <row r="66" spans="1:59" ht="13.5" customHeight="1">
      <c r="A66" s="90"/>
      <c r="B66" s="82">
        <f t="shared" si="0"/>
        <v>2049</v>
      </c>
      <c r="C66" s="82"/>
      <c r="D66" s="117">
        <f>'Source VoT'!$D$27*VLOOKUP($B66,'Indirect tax correction'!$B$27:$I$127,5,FALSE)*VLOOKUP($B66,'Annual Parameters'!$B$33:$W$143,21,FALSE)/VLOOKUP('Source VoT'!$F$27,'Annual Parameters'!$B$33:$W$143,21,FALSE)*VLOOKUP($B$14,'Annual Parameters'!$B$33:$W$143,3,FALSE)/VLOOKUP('Source VoT'!$E$27,'Annual Parameters'!$B$33:$W$143,3,FALSE)</f>
        <v>27.541938551410563</v>
      </c>
      <c r="E66" s="73">
        <f>'Source VoT'!$D$28*VLOOKUP($B66,'Indirect tax correction'!$B$27:$I$127,5,FALSE)*VLOOKUP($B66,'Annual Parameters'!$B$33:$W$143,21,FALSE)/VLOOKUP('Source VoT'!$F$27,'Annual Parameters'!$B$33:$W$143,21,FALSE)*VLOOKUP($B$14,'Annual Parameters'!$B$33:$W$143,3,FALSE)/VLOOKUP('Source VoT'!$E$27,'Annual Parameters'!$B$33:$W$143,3,FALSE)</f>
        <v>27.541938551410563</v>
      </c>
      <c r="F66" s="73">
        <f>'Source VoT'!$D$29*VLOOKUP($B66,'Indirect tax correction'!$B$27:$I$127,5,FALSE)*VLOOKUP($B66,'Annual Parameters'!$B$33:$W$143,21,FALSE)/VLOOKUP('Source VoT'!$F$27,'Annual Parameters'!$B$33:$W$143,21,FALSE)*VLOOKUP($B$14,'Annual Parameters'!$B$33:$W$143,3,FALSE)/VLOOKUP('Source VoT'!$E$27,'Annual Parameters'!$B$33:$W$143,3,FALSE)</f>
        <v>18.964752506793637</v>
      </c>
      <c r="G66" s="73">
        <f>'Source VoT'!$D$30*VLOOKUP($B66,'Indirect tax correction'!$B$27:$I$127,5,FALSE)*VLOOKUP($B66,'Annual Parameters'!$B$33:$W$143,21,FALSE)/VLOOKUP('Source VoT'!$F$27,'Annual Parameters'!$B$33:$W$143,21,FALSE)*VLOOKUP($B$14,'Annual Parameters'!$B$33:$W$143,3,FALSE)/VLOOKUP('Source VoT'!$E$27,'Annual Parameters'!$B$33:$W$143,3,FALSE)</f>
        <v>22.345044041569352</v>
      </c>
      <c r="H66" s="73">
        <f>'Source VoT'!$D$31*VLOOKUP($B66,'Indirect tax correction'!$B$27:$I$127,5,FALSE)*VLOOKUP($B66,'Annual Parameters'!$B$33:$W$143,21,FALSE)/VLOOKUP('Source VoT'!$F$27,'Annual Parameters'!$B$33:$W$143,21,FALSE)*VLOOKUP($B$14,'Annual Parameters'!$B$33:$W$143,3,FALSE)/VLOOKUP('Source VoT'!$E$27,'Annual Parameters'!$B$33:$W$143,3,FALSE)</f>
        <v>22.827942832251605</v>
      </c>
      <c r="I66" s="73">
        <f>'Source VoT'!$D$32*VLOOKUP($B66,'Indirect tax correction'!$B$27:$I$127,5,FALSE)*VLOOKUP($B66,'Annual Parameters'!$B$33:$W$143,21,FALSE)/VLOOKUP('Source VoT'!$F$27,'Annual Parameters'!$B$33:$W$143,21,FALSE)*VLOOKUP($B$14,'Annual Parameters'!$B$33:$W$143,3,FALSE)/VLOOKUP('Source VoT'!$E$27,'Annual Parameters'!$B$33:$W$143,3,FALSE)</f>
        <v>15.607625282154295</v>
      </c>
      <c r="J66" s="73">
        <f>'Source VoT'!$D$33*VLOOKUP($B66,'Indirect tax correction'!$B$27:$I$127,5,FALSE)*VLOOKUP($B66,'Annual Parameters'!$B$33:$W$143,21,FALSE)/VLOOKUP('Source VoT'!$F$27,'Annual Parameters'!$B$33:$W$143,21,FALSE)*VLOOKUP($B$14,'Annual Parameters'!$B$33:$W$143,3,FALSE)/VLOOKUP('Source VoT'!$E$27,'Annual Parameters'!$B$33:$W$143,3,FALSE)</f>
        <v>20.171999483499249</v>
      </c>
      <c r="K66" s="73">
        <f>'Source VoT'!$D$34*VLOOKUP($B66,'Indirect tax correction'!$B$27:$I$127,5,FALSE)*VLOOKUP($B66,'Annual Parameters'!$B$33:$W$143,21,FALSE)/VLOOKUP('Source VoT'!$F$27,'Annual Parameters'!$B$33:$W$143,21,FALSE)*VLOOKUP($B$14,'Annual Parameters'!$B$33:$W$143,3,FALSE)/VLOOKUP('Source VoT'!$E$27,'Annual Parameters'!$B$33:$W$143,3,FALSE)</f>
        <v>27.541938551410563</v>
      </c>
      <c r="L66" s="73">
        <f>'Source VoT'!$D$35*VLOOKUP($B66,'Indirect tax correction'!$B$27:$I$127,5,FALSE)*VLOOKUP($B66,'Annual Parameters'!$B$33:$W$143,21,FALSE)/VLOOKUP('Source VoT'!$F$27,'Annual Parameters'!$B$33:$W$143,21,FALSE)*VLOOKUP($B$14,'Annual Parameters'!$B$33:$W$143,3,FALSE)/VLOOKUP('Source VoT'!$E$27,'Annual Parameters'!$B$33:$W$143,3,FALSE)</f>
        <v>45.430768778833219</v>
      </c>
      <c r="M66" s="73">
        <f>'Source VoT'!$D$36*VLOOKUP($B66,'Indirect tax correction'!$B$27:$I$127,5,FALSE)*VLOOKUP($B66,'Annual Parameters'!$B$33:$W$143,21,FALSE)/VLOOKUP('Source VoT'!$F$27,'Annual Parameters'!$B$33:$W$143,21,FALSE)*VLOOKUP($B$14,'Annual Parameters'!$B$33:$W$143,3,FALSE)/VLOOKUP('Source VoT'!$E$27,'Annual Parameters'!$B$33:$W$143,3,FALSE)</f>
        <v>15.607625282154295</v>
      </c>
      <c r="N66" s="73">
        <f>'Source VoT'!$D$37*VLOOKUP($B66,'Indirect tax correction'!$B$27:$I$127,5,FALSE)*VLOOKUP($B66,'Annual Parameters'!$B$33:$W$143,21,FALSE)/VLOOKUP('Source VoT'!$F$27,'Annual Parameters'!$B$33:$W$143,21,FALSE)*VLOOKUP($B$14,'Annual Parameters'!$B$33:$W$143,3,FALSE)/VLOOKUP('Source VoT'!$E$27,'Annual Parameters'!$B$33:$W$143,3,FALSE)</f>
        <v>15.607625282154295</v>
      </c>
      <c r="O66" s="73">
        <f>'Source VoT'!$D$38*VLOOKUP($B66,'Indirect tax correction'!$B$27:$I$127,5,FALSE)*VLOOKUP($B66,'Annual Parameters'!$B$33:$W$143,21,FALSE)/VLOOKUP('Source VoT'!$F$27,'Annual Parameters'!$B$33:$W$143,21,FALSE)*VLOOKUP($B$14,'Annual Parameters'!$B$33:$W$143,3,FALSE)/VLOOKUP('Source VoT'!$E$27,'Annual Parameters'!$B$33:$W$143,3,FALSE)</f>
        <v>15.607625282154295</v>
      </c>
      <c r="P66" s="73">
        <f>'Source VoT'!$D$39*VLOOKUP($B66,'Indirect tax correction'!$B$27:$I$127,5,FALSE)*VLOOKUP($B66,'Annual Parameters'!$B$33:$W$143,21,FALSE)/VLOOKUP('Source VoT'!$F$27,'Annual Parameters'!$B$33:$W$143,21,FALSE)*VLOOKUP($B$14,'Annual Parameters'!$B$33:$W$143,3,FALSE)/VLOOKUP('Source VoT'!$E$27,'Annual Parameters'!$B$33:$W$143,3,FALSE)</f>
        <v>27.541938551410563</v>
      </c>
      <c r="Q66" s="74">
        <f>'Source VoT'!$D$40*VLOOKUP($B66,'Indirect tax correction'!$B$27:$I$127,5,FALSE)*VLOOKUP($B66,'Annual Parameters'!$B$33:$W$143,21,FALSE)/VLOOKUP('Source VoT'!$F$27,'Annual Parameters'!$B$33:$W$143,21,FALSE)*VLOOKUP($B$14,'Annual Parameters'!$B$33:$W$143,3,FALSE)/VLOOKUP('Source VoT'!$E$27,'Annual Parameters'!$B$33:$W$143,3,FALSE)</f>
        <v>29.999455876340654</v>
      </c>
      <c r="R66" s="73">
        <f>'Source VoT'!$D$45*VLOOKUP($B66,'Indirect tax correction'!$B$27:$I$127,6,FALSE)*VLOOKUP($B66,'Annual Parameters'!$B$33:$W$143,22,FALSE)/VLOOKUP('Source VoT'!$F$27,'Annual Parameters'!$B$33:$W$143,22,FALSE)*VLOOKUP($B$14,'Annual Parameters'!$B$33:$W$143,3,FALSE)/VLOOKUP('Source VoT'!$E$27,'Annual Parameters'!$B$33:$W$143,3,FALSE)</f>
        <v>15.497167976869367</v>
      </c>
      <c r="S66" s="73">
        <f>'Source VoT'!$D$46*VLOOKUP($B66,'Indirect tax correction'!$B$27:$I$127,6,FALSE)*VLOOKUP($B66,'Annual Parameters'!$B$33:$W$143,22,FALSE)/VLOOKUP('Source VoT'!$F$27,'Annual Parameters'!$B$33:$W$143,22,FALSE)*VLOOKUP($B$14,'Annual Parameters'!$B$33:$W$143,3,FALSE)/VLOOKUP('Source VoT'!$E$27,'Annual Parameters'!$B$33:$W$143,3,FALSE)</f>
        <v>7.0733725365361808</v>
      </c>
      <c r="T66" s="117">
        <f>'Source VoT'!$D$27*1*VLOOKUP($B66,'Annual Parameters'!$B$33:$W$143,21,FALSE)/VLOOKUP('Source VoT'!$F$27,'Annual Parameters'!$B$33:$W$143,21,FALSE)*VLOOKUP($B$14,'Annual Parameters'!$B$33:$W$143,3,FALSE)/VLOOKUP('Source VoT'!$E$27,'Annual Parameters'!$B$33:$W$143,3,FALSE)</f>
        <v>27.541938551410563</v>
      </c>
      <c r="U66" s="73">
        <f>'Source VoT'!$D$28*1*VLOOKUP($B66,'Annual Parameters'!$B$33:$W$143,21,FALSE)/VLOOKUP('Source VoT'!$F$27,'Annual Parameters'!$B$33:$W$143,21,FALSE)*VLOOKUP($B$14,'Annual Parameters'!$B$33:$W$143,3,FALSE)/VLOOKUP('Source VoT'!$E$27,'Annual Parameters'!$B$33:$W$143,3,FALSE)</f>
        <v>27.541938551410563</v>
      </c>
      <c r="V66" s="73">
        <f>'Source VoT'!$D$29*1*VLOOKUP($B66,'Annual Parameters'!$B$33:$W$143,21,FALSE)/VLOOKUP('Source VoT'!$F$27,'Annual Parameters'!$B$33:$W$143,21,FALSE)*VLOOKUP($B$14,'Annual Parameters'!$B$33:$W$143,3,FALSE)/VLOOKUP('Source VoT'!$E$27,'Annual Parameters'!$B$33:$W$143,3,FALSE)</f>
        <v>18.964752506793637</v>
      </c>
      <c r="W66" s="73">
        <f>'Source VoT'!$D$30*1*VLOOKUP($B66,'Annual Parameters'!$B$33:$W$143,21,FALSE)/VLOOKUP('Source VoT'!$F$27,'Annual Parameters'!$B$33:$W$143,21,FALSE)*VLOOKUP($B$14,'Annual Parameters'!$B$33:$W$143,3,FALSE)/VLOOKUP('Source VoT'!$E$27,'Annual Parameters'!$B$33:$W$143,3,FALSE)</f>
        <v>22.345044041569352</v>
      </c>
      <c r="X66" s="73">
        <f>'Source VoT'!$D$31*1*VLOOKUP($B66,'Annual Parameters'!$B$33:$W$143,21,FALSE)/VLOOKUP('Source VoT'!$F$27,'Annual Parameters'!$B$33:$W$143,21,FALSE)*VLOOKUP($B$14,'Annual Parameters'!$B$33:$W$143,3,FALSE)/VLOOKUP('Source VoT'!$E$27,'Annual Parameters'!$B$33:$W$143,3,FALSE)</f>
        <v>22.827942832251605</v>
      </c>
      <c r="Y66" s="73">
        <f>'Source VoT'!$D$32*1*VLOOKUP($B66,'Annual Parameters'!$B$33:$W$143,21,FALSE)/VLOOKUP('Source VoT'!$F$27,'Annual Parameters'!$B$33:$W$143,21,FALSE)*VLOOKUP($B$14,'Annual Parameters'!$B$33:$W$143,3,FALSE)/VLOOKUP('Source VoT'!$E$27,'Annual Parameters'!$B$33:$W$143,3,FALSE)</f>
        <v>15.607625282154295</v>
      </c>
      <c r="Z66" s="73">
        <f>'Source VoT'!$D$33*1*VLOOKUP($B66,'Annual Parameters'!$B$33:$W$143,21,FALSE)/VLOOKUP('Source VoT'!$F$27,'Annual Parameters'!$B$33:$W$143,21,FALSE)*VLOOKUP($B$14,'Annual Parameters'!$B$33:$W$143,3,FALSE)/VLOOKUP('Source VoT'!$E$27,'Annual Parameters'!$B$33:$W$143,3,FALSE)</f>
        <v>20.171999483499249</v>
      </c>
      <c r="AA66" s="73">
        <f>'Source VoT'!$D$34*1*VLOOKUP($B66,'Annual Parameters'!$B$33:$W$143,21,FALSE)/VLOOKUP('Source VoT'!$F$27,'Annual Parameters'!$B$33:$W$143,21,FALSE)*VLOOKUP($B$14,'Annual Parameters'!$B$33:$W$143,3,FALSE)/VLOOKUP('Source VoT'!$E$27,'Annual Parameters'!$B$33:$W$143,3,FALSE)</f>
        <v>27.541938551410563</v>
      </c>
      <c r="AB66" s="73">
        <f>'Source VoT'!$D$35*1*VLOOKUP($B66,'Annual Parameters'!$B$33:$W$143,21,FALSE)/VLOOKUP('Source VoT'!$F$27,'Annual Parameters'!$B$33:$W$143,21,FALSE)*VLOOKUP($B$14,'Annual Parameters'!$B$33:$W$143,3,FALSE)/VLOOKUP('Source VoT'!$E$27,'Annual Parameters'!$B$33:$W$143,3,FALSE)</f>
        <v>45.430768778833219</v>
      </c>
      <c r="AC66" s="73">
        <f>'Source VoT'!$D$36*1*VLOOKUP($B66,'Annual Parameters'!$B$33:$W$143,21,FALSE)/VLOOKUP('Source VoT'!$F$27,'Annual Parameters'!$B$33:$W$143,21,FALSE)*VLOOKUP($B$14,'Annual Parameters'!$B$33:$W$143,3,FALSE)/VLOOKUP('Source VoT'!$E$27,'Annual Parameters'!$B$33:$W$143,3,FALSE)</f>
        <v>15.607625282154295</v>
      </c>
      <c r="AD66" s="73">
        <f>'Source VoT'!$D$37*1*VLOOKUP($B66,'Annual Parameters'!$B$33:$W$143,21,FALSE)/VLOOKUP('Source VoT'!$F$27,'Annual Parameters'!$B$33:$W$143,21,FALSE)*VLOOKUP($B$14,'Annual Parameters'!$B$33:$W$143,3,FALSE)/VLOOKUP('Source VoT'!$E$27,'Annual Parameters'!$B$33:$W$143,3,FALSE)</f>
        <v>15.607625282154295</v>
      </c>
      <c r="AE66" s="73">
        <f>'Source VoT'!$D$38*1*VLOOKUP($B66,'Annual Parameters'!$B$33:$W$143,21,FALSE)/VLOOKUP('Source VoT'!$F$27,'Annual Parameters'!$B$33:$W$143,21,FALSE)*VLOOKUP($B$14,'Annual Parameters'!$B$33:$W$143,3,FALSE)/VLOOKUP('Source VoT'!$E$27,'Annual Parameters'!$B$33:$W$143,3,FALSE)</f>
        <v>15.607625282154295</v>
      </c>
      <c r="AF66" s="73">
        <f>'Source VoT'!$D$39*1*VLOOKUP($B66,'Annual Parameters'!$B$33:$W$143,21,FALSE)/VLOOKUP('Source VoT'!$F$27,'Annual Parameters'!$B$33:$W$143,21,FALSE)*VLOOKUP($B$14,'Annual Parameters'!$B$33:$W$143,3,FALSE)/VLOOKUP('Source VoT'!$E$27,'Annual Parameters'!$B$33:$W$143,3,FALSE)</f>
        <v>27.541938551410563</v>
      </c>
      <c r="AG66" s="74">
        <f>'Source VoT'!$D$40*1*VLOOKUP($B66,'Annual Parameters'!$B$33:$W$143,21,FALSE)/VLOOKUP('Source VoT'!$F$27,'Annual Parameters'!$B$33:$W$143,21,FALSE)*VLOOKUP($B$14,'Annual Parameters'!$B$33:$W$143,3,FALSE)/VLOOKUP('Source VoT'!$E$27,'Annual Parameters'!$B$33:$W$143,3,FALSE)</f>
        <v>29.999455876340654</v>
      </c>
      <c r="AH66" s="73">
        <f>'Source VoT'!$D$45*1*VLOOKUP($B66,'Annual Parameters'!$B$33:$W$143,22,FALSE)/VLOOKUP('Source VoT'!$F$27,'Annual Parameters'!$B$33:$W$143,22,FALSE)*VLOOKUP($B$14,'Annual Parameters'!$B$33:$W$143,3,FALSE)/VLOOKUP('Source VoT'!$E$27,'Annual Parameters'!$B$33:$W$143,3,FALSE)</f>
        <v>18.441629892474545</v>
      </c>
      <c r="AI66" s="73">
        <f>'Source VoT'!$D$46*1*VLOOKUP($B66,'Annual Parameters'!$B$33:$W$143,22,FALSE)/VLOOKUP('Source VoT'!$F$27,'Annual Parameters'!$B$33:$W$143,22,FALSE)*VLOOKUP($B$14,'Annual Parameters'!$B$33:$W$143,3,FALSE)/VLOOKUP('Source VoT'!$E$27,'Annual Parameters'!$B$33:$W$143,3,FALSE)</f>
        <v>8.4173133184780546</v>
      </c>
      <c r="AJ66" s="117">
        <f>'Source VoT'!$D$27*VLOOKUP($B66,'Indirect tax correction'!$B$27:$I$127,7,FALSE)*VLOOKUP($B66,'Annual Parameters'!$B$33:$W$143,21,FALSE)/VLOOKUP('Source VoT'!$F$27,'Annual Parameters'!$B$33:$W$143,21,FALSE)*VLOOKUP($B$14,'Annual Parameters'!$B$33:$W$143,3,FALSE)/VLOOKUP('Source VoT'!$E$27,'Annual Parameters'!$B$33:$W$143,3,FALSE)</f>
        <v>32.774906876178569</v>
      </c>
      <c r="AK66" s="73">
        <f>'Source VoT'!$D$28*VLOOKUP($B66,'Indirect tax correction'!$B$27:$I$127,7,FALSE)*VLOOKUP($B66,'Annual Parameters'!$B$33:$W$143,21,FALSE)/VLOOKUP('Source VoT'!$F$27,'Annual Parameters'!$B$33:$W$143,21,FALSE)*VLOOKUP($B$14,'Annual Parameters'!$B$33:$W$143,3,FALSE)/VLOOKUP('Source VoT'!$E$27,'Annual Parameters'!$B$33:$W$143,3,FALSE)</f>
        <v>32.774906876178569</v>
      </c>
      <c r="AL66" s="73">
        <f>'Source VoT'!$D$29*VLOOKUP($B66,'Indirect tax correction'!$B$27:$I$127,7,FALSE)*VLOOKUP($B66,'Annual Parameters'!$B$33:$W$143,21,FALSE)/VLOOKUP('Source VoT'!$F$27,'Annual Parameters'!$B$33:$W$143,21,FALSE)*VLOOKUP($B$14,'Annual Parameters'!$B$33:$W$143,3,FALSE)/VLOOKUP('Source VoT'!$E$27,'Annual Parameters'!$B$33:$W$143,3,FALSE)</f>
        <v>22.568055483084432</v>
      </c>
      <c r="AM66" s="73">
        <f>'Source VoT'!$D$30*VLOOKUP($B66,'Indirect tax correction'!$B$27:$I$127,7,FALSE)*VLOOKUP($B66,'Annual Parameters'!$B$33:$W$143,21,FALSE)/VLOOKUP('Source VoT'!$F$27,'Annual Parameters'!$B$33:$W$143,21,FALSE)*VLOOKUP($B$14,'Annual Parameters'!$B$33:$W$143,3,FALSE)/VLOOKUP('Source VoT'!$E$27,'Annual Parameters'!$B$33:$W$143,3,FALSE)</f>
        <v>26.590602409467529</v>
      </c>
      <c r="AN66" s="73">
        <f>'Source VoT'!$D$31*VLOOKUP($B66,'Indirect tax correction'!$B$27:$I$127,7,FALSE)*VLOOKUP($B66,'Annual Parameters'!$B$33:$W$143,21,FALSE)/VLOOKUP('Source VoT'!$F$27,'Annual Parameters'!$B$33:$W$143,21,FALSE)*VLOOKUP($B$14,'Annual Parameters'!$B$33:$W$143,3,FALSE)/VLOOKUP('Source VoT'!$E$27,'Annual Parameters'!$B$33:$W$143,3,FALSE)</f>
        <v>27.165251970379405</v>
      </c>
      <c r="AO66" s="73">
        <f>'Source VoT'!$D$32*VLOOKUP($B66,'Indirect tax correction'!$B$27:$I$127,7,FALSE)*VLOOKUP($B66,'Annual Parameters'!$B$33:$W$143,21,FALSE)/VLOOKUP('Source VoT'!$F$27,'Annual Parameters'!$B$33:$W$143,21,FALSE)*VLOOKUP($B$14,'Annual Parameters'!$B$33:$W$143,3,FALSE)/VLOOKUP('Source VoT'!$E$27,'Annual Parameters'!$B$33:$W$143,3,FALSE)</f>
        <v>18.573074085763611</v>
      </c>
      <c r="AP66" s="73">
        <f>'Source VoT'!$D$33*VLOOKUP($B66,'Indirect tax correction'!$B$27:$I$127,7,FALSE)*VLOOKUP($B66,'Annual Parameters'!$B$33:$W$143,21,FALSE)/VLOOKUP('Source VoT'!$F$27,'Annual Parameters'!$B$33:$W$143,21,FALSE)*VLOOKUP($B$14,'Annual Parameters'!$B$33:$W$143,3,FALSE)/VLOOKUP('Source VoT'!$E$27,'Annual Parameters'!$B$33:$W$143,3,FALSE)</f>
        <v>24.004679385364106</v>
      </c>
      <c r="AQ66" s="73">
        <f>'Source VoT'!$D$34*VLOOKUP($B66,'Indirect tax correction'!$B$27:$I$127,7,FALSE)*VLOOKUP($B66,'Annual Parameters'!$B$33:$W$143,21,FALSE)/VLOOKUP('Source VoT'!$F$27,'Annual Parameters'!$B$33:$W$143,21,FALSE)*VLOOKUP($B$14,'Annual Parameters'!$B$33:$W$143,3,FALSE)/VLOOKUP('Source VoT'!$E$27,'Annual Parameters'!$B$33:$W$143,3,FALSE)</f>
        <v>32.774906876178569</v>
      </c>
      <c r="AR66" s="73">
        <f>'Source VoT'!$D$35*VLOOKUP($B66,'Indirect tax correction'!$B$27:$I$127,7,FALSE)*VLOOKUP($B66,'Annual Parameters'!$B$33:$W$143,21,FALSE)/VLOOKUP('Source VoT'!$F$27,'Annual Parameters'!$B$33:$W$143,21,FALSE)*VLOOKUP($B$14,'Annual Parameters'!$B$33:$W$143,3,FALSE)/VLOOKUP('Source VoT'!$E$27,'Annual Parameters'!$B$33:$W$143,3,FALSE)</f>
        <v>54.062614846811542</v>
      </c>
      <c r="AS66" s="73">
        <f>'Source VoT'!$D$36*VLOOKUP($B66,'Indirect tax correction'!$B$27:$I$127,7,FALSE)*VLOOKUP($B66,'Annual Parameters'!$B$33:$W$143,21,FALSE)/VLOOKUP('Source VoT'!$F$27,'Annual Parameters'!$B$33:$W$143,21,FALSE)*VLOOKUP($B$14,'Annual Parameters'!$B$33:$W$143,3,FALSE)/VLOOKUP('Source VoT'!$E$27,'Annual Parameters'!$B$33:$W$143,3,FALSE)</f>
        <v>18.573074085763611</v>
      </c>
      <c r="AT66" s="73">
        <f>'Source VoT'!$D$37*VLOOKUP($B66,'Indirect tax correction'!$B$27:$I$127,7,FALSE)*VLOOKUP($B66,'Annual Parameters'!$B$33:$W$143,21,FALSE)/VLOOKUP('Source VoT'!$F$27,'Annual Parameters'!$B$33:$W$143,21,FALSE)*VLOOKUP($B$14,'Annual Parameters'!$B$33:$W$143,3,FALSE)/VLOOKUP('Source VoT'!$E$27,'Annual Parameters'!$B$33:$W$143,3,FALSE)</f>
        <v>18.573074085763611</v>
      </c>
      <c r="AU66" s="73">
        <f>'Source VoT'!$D$38*VLOOKUP($B66,'Indirect tax correction'!$B$27:$I$127,7,FALSE)*VLOOKUP($B66,'Annual Parameters'!$B$33:$W$143,21,FALSE)/VLOOKUP('Source VoT'!$F$27,'Annual Parameters'!$B$33:$W$143,21,FALSE)*VLOOKUP($B$14,'Annual Parameters'!$B$33:$W$143,3,FALSE)/VLOOKUP('Source VoT'!$E$27,'Annual Parameters'!$B$33:$W$143,3,FALSE)</f>
        <v>18.573074085763611</v>
      </c>
      <c r="AV66" s="73">
        <f>'Source VoT'!$D$39*VLOOKUP($B66,'Indirect tax correction'!$B$27:$I$127,7,FALSE)*VLOOKUP($B66,'Annual Parameters'!$B$33:$W$143,21,FALSE)/VLOOKUP('Source VoT'!$F$27,'Annual Parameters'!$B$33:$W$143,21,FALSE)*VLOOKUP($B$14,'Annual Parameters'!$B$33:$W$143,3,FALSE)/VLOOKUP('Source VoT'!$E$27,'Annual Parameters'!$B$33:$W$143,3,FALSE)</f>
        <v>32.774906876178569</v>
      </c>
      <c r="AW66" s="74">
        <f>'Source VoT'!$D$40*VLOOKUP($B66,'Indirect tax correction'!$B$27:$I$127,7,FALSE)*VLOOKUP($B66,'Annual Parameters'!$B$33:$W$143,21,FALSE)/VLOOKUP('Source VoT'!$F$27,'Annual Parameters'!$B$33:$W$143,21,FALSE)*VLOOKUP($B$14,'Annual Parameters'!$B$33:$W$143,3,FALSE)/VLOOKUP('Source VoT'!$E$27,'Annual Parameters'!$B$33:$W$143,3,FALSE)</f>
        <v>35.699352492845378</v>
      </c>
      <c r="AX66" s="73">
        <f>'Source VoT'!$D$45*VLOOKUP($B66,'Indirect tax correction'!$B$27:$I$127,8,FALSE)*VLOOKUP($B66,'Annual Parameters'!$B$33:$W$143,22,FALSE)/VLOOKUP('Source VoT'!$F$27,'Annual Parameters'!$B$33:$W$143,22,FALSE)*VLOOKUP($B$14,'Annual Parameters'!$B$33:$W$143,3,FALSE)/VLOOKUP('Source VoT'!$E$27,'Annual Parameters'!$B$33:$W$143,3,FALSE)</f>
        <v>18.441629892474545</v>
      </c>
      <c r="AY66" s="74">
        <f>'Source VoT'!$D$46*VLOOKUP($B66,'Indirect tax correction'!$B$27:$I$127,8,FALSE)*VLOOKUP($B66,'Annual Parameters'!$B$33:$W$143,22,FALSE)/VLOOKUP('Source VoT'!$F$27,'Annual Parameters'!$B$33:$W$143,22,FALSE)*VLOOKUP($B$14,'Annual Parameters'!$B$33:$W$143,3,FALSE)/VLOOKUP('Source VoT'!$E$27,'Annual Parameters'!$B$33:$W$143,3,FALSE)</f>
        <v>8.4173133184780546</v>
      </c>
      <c r="AZ66" s="2875"/>
      <c r="BA66" s="2875"/>
      <c r="BB66" s="2875"/>
      <c r="BC66" s="2875"/>
      <c r="BD66" s="2875"/>
      <c r="BE66" s="2875"/>
      <c r="BF66" s="2875"/>
      <c r="BG66" s="2875"/>
    </row>
    <row r="67" spans="1:59" ht="13.5" customHeight="1">
      <c r="A67" s="90"/>
      <c r="B67" s="82">
        <f t="shared" si="0"/>
        <v>2050</v>
      </c>
      <c r="C67" s="82"/>
      <c r="D67" s="117">
        <f>'Source VoT'!$D$27*VLOOKUP($B67,'Indirect tax correction'!$B$27:$I$127,5,FALSE)*VLOOKUP($B67,'Annual Parameters'!$B$33:$W$143,21,FALSE)/VLOOKUP('Source VoT'!$F$27,'Annual Parameters'!$B$33:$W$143,21,FALSE)*VLOOKUP($B$14,'Annual Parameters'!$B$33:$W$143,3,FALSE)/VLOOKUP('Source VoT'!$E$27,'Annual Parameters'!$B$33:$W$143,3,FALSE)</f>
        <v>28.063608375846819</v>
      </c>
      <c r="E67" s="73">
        <f>'Source VoT'!$D$28*VLOOKUP($B67,'Indirect tax correction'!$B$27:$I$127,5,FALSE)*VLOOKUP($B67,'Annual Parameters'!$B$33:$W$143,21,FALSE)/VLOOKUP('Source VoT'!$F$27,'Annual Parameters'!$B$33:$W$143,21,FALSE)*VLOOKUP($B$14,'Annual Parameters'!$B$33:$W$143,3,FALSE)/VLOOKUP('Source VoT'!$E$27,'Annual Parameters'!$B$33:$W$143,3,FALSE)</f>
        <v>28.063608375846819</v>
      </c>
      <c r="F67" s="73">
        <f>'Source VoT'!$D$29*VLOOKUP($B67,'Indirect tax correction'!$B$27:$I$127,5,FALSE)*VLOOKUP($B67,'Annual Parameters'!$B$33:$W$143,21,FALSE)/VLOOKUP('Source VoT'!$F$27,'Annual Parameters'!$B$33:$W$143,21,FALSE)*VLOOKUP($B$14,'Annual Parameters'!$B$33:$W$143,3,FALSE)/VLOOKUP('Source VoT'!$E$27,'Annual Parameters'!$B$33:$W$143,3,FALSE)</f>
        <v>19.323962483688653</v>
      </c>
      <c r="G67" s="73">
        <f>'Source VoT'!$D$30*VLOOKUP($B67,'Indirect tax correction'!$B$27:$I$127,5,FALSE)*VLOOKUP($B67,'Annual Parameters'!$B$33:$W$143,21,FALSE)/VLOOKUP('Source VoT'!$F$27,'Annual Parameters'!$B$33:$W$143,21,FALSE)*VLOOKUP($B$14,'Annual Parameters'!$B$33:$W$143,3,FALSE)/VLOOKUP('Source VoT'!$E$27,'Annual Parameters'!$B$33:$W$143,3,FALSE)</f>
        <v>22.768279870827602</v>
      </c>
      <c r="H67" s="73">
        <f>'Source VoT'!$D$31*VLOOKUP($B67,'Indirect tax correction'!$B$27:$I$127,5,FALSE)*VLOOKUP($B67,'Annual Parameters'!$B$33:$W$143,21,FALSE)/VLOOKUP('Source VoT'!$F$27,'Annual Parameters'!$B$33:$W$143,21,FALSE)*VLOOKUP($B$14,'Annual Parameters'!$B$33:$W$143,3,FALSE)/VLOOKUP('Source VoT'!$E$27,'Annual Parameters'!$B$33:$W$143,3,FALSE)</f>
        <v>23.260325211847451</v>
      </c>
      <c r="I67" s="73">
        <f>'Source VoT'!$D$32*VLOOKUP($B67,'Indirect tax correction'!$B$27:$I$127,5,FALSE)*VLOOKUP($B67,'Annual Parameters'!$B$33:$W$143,21,FALSE)/VLOOKUP('Source VoT'!$F$27,'Annual Parameters'!$B$33:$W$143,21,FALSE)*VLOOKUP($B$14,'Annual Parameters'!$B$33:$W$143,3,FALSE)/VLOOKUP('Source VoT'!$E$27,'Annual Parameters'!$B$33:$W$143,3,FALSE)</f>
        <v>15.903248160173943</v>
      </c>
      <c r="J67" s="73">
        <f>'Source VoT'!$D$33*VLOOKUP($B67,'Indirect tax correction'!$B$27:$I$127,5,FALSE)*VLOOKUP($B67,'Annual Parameters'!$B$33:$W$143,21,FALSE)/VLOOKUP('Source VoT'!$F$27,'Annual Parameters'!$B$33:$W$143,21,FALSE)*VLOOKUP($B$14,'Annual Parameters'!$B$33:$W$143,3,FALSE)/VLOOKUP('Source VoT'!$E$27,'Annual Parameters'!$B$33:$W$143,3,FALSE)</f>
        <v>20.554075836238276</v>
      </c>
      <c r="K67" s="73">
        <f>'Source VoT'!$D$34*VLOOKUP($B67,'Indirect tax correction'!$B$27:$I$127,5,FALSE)*VLOOKUP($B67,'Annual Parameters'!$B$33:$W$143,21,FALSE)/VLOOKUP('Source VoT'!$F$27,'Annual Parameters'!$B$33:$W$143,21,FALSE)*VLOOKUP($B$14,'Annual Parameters'!$B$33:$W$143,3,FALSE)/VLOOKUP('Source VoT'!$E$27,'Annual Parameters'!$B$33:$W$143,3,FALSE)</f>
        <v>28.063608375846819</v>
      </c>
      <c r="L67" s="73">
        <f>'Source VoT'!$D$35*VLOOKUP($B67,'Indirect tax correction'!$B$27:$I$127,5,FALSE)*VLOOKUP($B67,'Annual Parameters'!$B$33:$W$143,21,FALSE)/VLOOKUP('Source VoT'!$F$27,'Annual Parameters'!$B$33:$W$143,21,FALSE)*VLOOKUP($B$14,'Annual Parameters'!$B$33:$W$143,3,FALSE)/VLOOKUP('Source VoT'!$E$27,'Annual Parameters'!$B$33:$W$143,3,FALSE)</f>
        <v>46.291269615715819</v>
      </c>
      <c r="M67" s="73">
        <f>'Source VoT'!$D$36*VLOOKUP($B67,'Indirect tax correction'!$B$27:$I$127,5,FALSE)*VLOOKUP($B67,'Annual Parameters'!$B$33:$W$143,21,FALSE)/VLOOKUP('Source VoT'!$F$27,'Annual Parameters'!$B$33:$W$143,21,FALSE)*VLOOKUP($B$14,'Annual Parameters'!$B$33:$W$143,3,FALSE)/VLOOKUP('Source VoT'!$E$27,'Annual Parameters'!$B$33:$W$143,3,FALSE)</f>
        <v>15.903248160173943</v>
      </c>
      <c r="N67" s="73">
        <f>'Source VoT'!$D$37*VLOOKUP($B67,'Indirect tax correction'!$B$27:$I$127,5,FALSE)*VLOOKUP($B67,'Annual Parameters'!$B$33:$W$143,21,FALSE)/VLOOKUP('Source VoT'!$F$27,'Annual Parameters'!$B$33:$W$143,21,FALSE)*VLOOKUP($B$14,'Annual Parameters'!$B$33:$W$143,3,FALSE)/VLOOKUP('Source VoT'!$E$27,'Annual Parameters'!$B$33:$W$143,3,FALSE)</f>
        <v>15.903248160173943</v>
      </c>
      <c r="O67" s="73">
        <f>'Source VoT'!$D$38*VLOOKUP($B67,'Indirect tax correction'!$B$27:$I$127,5,FALSE)*VLOOKUP($B67,'Annual Parameters'!$B$33:$W$143,21,FALSE)/VLOOKUP('Source VoT'!$F$27,'Annual Parameters'!$B$33:$W$143,21,FALSE)*VLOOKUP($B$14,'Annual Parameters'!$B$33:$W$143,3,FALSE)/VLOOKUP('Source VoT'!$E$27,'Annual Parameters'!$B$33:$W$143,3,FALSE)</f>
        <v>15.903248160173943</v>
      </c>
      <c r="P67" s="73">
        <f>'Source VoT'!$D$39*VLOOKUP($B67,'Indirect tax correction'!$B$27:$I$127,5,FALSE)*VLOOKUP($B67,'Annual Parameters'!$B$33:$W$143,21,FALSE)/VLOOKUP('Source VoT'!$F$27,'Annual Parameters'!$B$33:$W$143,21,FALSE)*VLOOKUP($B$14,'Annual Parameters'!$B$33:$W$143,3,FALSE)/VLOOKUP('Source VoT'!$E$27,'Annual Parameters'!$B$33:$W$143,3,FALSE)</f>
        <v>28.063608375846819</v>
      </c>
      <c r="Q67" s="74">
        <f>'Source VoT'!$D$40*VLOOKUP($B67,'Indirect tax correction'!$B$27:$I$127,5,FALSE)*VLOOKUP($B67,'Annual Parameters'!$B$33:$W$143,21,FALSE)/VLOOKUP('Source VoT'!$F$27,'Annual Parameters'!$B$33:$W$143,21,FALSE)*VLOOKUP($B$14,'Annual Parameters'!$B$33:$W$143,3,FALSE)/VLOOKUP('Source VoT'!$E$27,'Annual Parameters'!$B$33:$W$143,3,FALSE)</f>
        <v>30.567673354968075</v>
      </c>
      <c r="R67" s="73">
        <f>'Source VoT'!$D$45*VLOOKUP($B67,'Indirect tax correction'!$B$27:$I$127,6,FALSE)*VLOOKUP($B67,'Annual Parameters'!$B$33:$W$143,22,FALSE)/VLOOKUP('Source VoT'!$F$27,'Annual Parameters'!$B$33:$W$143,22,FALSE)*VLOOKUP($B$14,'Annual Parameters'!$B$33:$W$143,3,FALSE)/VLOOKUP('Source VoT'!$E$27,'Annual Parameters'!$B$33:$W$143,3,FALSE)</f>
        <v>15.790698691225655</v>
      </c>
      <c r="S67" s="73">
        <f>'Source VoT'!$D$46*VLOOKUP($B67,'Indirect tax correction'!$B$27:$I$127,6,FALSE)*VLOOKUP($B67,'Annual Parameters'!$B$33:$W$143,22,FALSE)/VLOOKUP('Source VoT'!$F$27,'Annual Parameters'!$B$33:$W$143,22,FALSE)*VLOOKUP($B$14,'Annual Parameters'!$B$33:$W$143,3,FALSE)/VLOOKUP('Source VoT'!$E$27,'Annual Parameters'!$B$33:$W$143,3,FALSE)</f>
        <v>7.207348763460776</v>
      </c>
      <c r="T67" s="117">
        <f>'Source VoT'!$D$27*1*VLOOKUP($B67,'Annual Parameters'!$B$33:$W$143,21,FALSE)/VLOOKUP('Source VoT'!$F$27,'Annual Parameters'!$B$33:$W$143,21,FALSE)*VLOOKUP($B$14,'Annual Parameters'!$B$33:$W$143,3,FALSE)/VLOOKUP('Source VoT'!$E$27,'Annual Parameters'!$B$33:$W$143,3,FALSE)</f>
        <v>28.063608375846819</v>
      </c>
      <c r="U67" s="73">
        <f>'Source VoT'!$D$28*1*VLOOKUP($B67,'Annual Parameters'!$B$33:$W$143,21,FALSE)/VLOOKUP('Source VoT'!$F$27,'Annual Parameters'!$B$33:$W$143,21,FALSE)*VLOOKUP($B$14,'Annual Parameters'!$B$33:$W$143,3,FALSE)/VLOOKUP('Source VoT'!$E$27,'Annual Parameters'!$B$33:$W$143,3,FALSE)</f>
        <v>28.063608375846819</v>
      </c>
      <c r="V67" s="73">
        <f>'Source VoT'!$D$29*1*VLOOKUP($B67,'Annual Parameters'!$B$33:$W$143,21,FALSE)/VLOOKUP('Source VoT'!$F$27,'Annual Parameters'!$B$33:$W$143,21,FALSE)*VLOOKUP($B$14,'Annual Parameters'!$B$33:$W$143,3,FALSE)/VLOOKUP('Source VoT'!$E$27,'Annual Parameters'!$B$33:$W$143,3,FALSE)</f>
        <v>19.323962483688653</v>
      </c>
      <c r="W67" s="73">
        <f>'Source VoT'!$D$30*1*VLOOKUP($B67,'Annual Parameters'!$B$33:$W$143,21,FALSE)/VLOOKUP('Source VoT'!$F$27,'Annual Parameters'!$B$33:$W$143,21,FALSE)*VLOOKUP($B$14,'Annual Parameters'!$B$33:$W$143,3,FALSE)/VLOOKUP('Source VoT'!$E$27,'Annual Parameters'!$B$33:$W$143,3,FALSE)</f>
        <v>22.768279870827602</v>
      </c>
      <c r="X67" s="73">
        <f>'Source VoT'!$D$31*1*VLOOKUP($B67,'Annual Parameters'!$B$33:$W$143,21,FALSE)/VLOOKUP('Source VoT'!$F$27,'Annual Parameters'!$B$33:$W$143,21,FALSE)*VLOOKUP($B$14,'Annual Parameters'!$B$33:$W$143,3,FALSE)/VLOOKUP('Source VoT'!$E$27,'Annual Parameters'!$B$33:$W$143,3,FALSE)</f>
        <v>23.260325211847451</v>
      </c>
      <c r="Y67" s="73">
        <f>'Source VoT'!$D$32*1*VLOOKUP($B67,'Annual Parameters'!$B$33:$W$143,21,FALSE)/VLOOKUP('Source VoT'!$F$27,'Annual Parameters'!$B$33:$W$143,21,FALSE)*VLOOKUP($B$14,'Annual Parameters'!$B$33:$W$143,3,FALSE)/VLOOKUP('Source VoT'!$E$27,'Annual Parameters'!$B$33:$W$143,3,FALSE)</f>
        <v>15.903248160173943</v>
      </c>
      <c r="Z67" s="73">
        <f>'Source VoT'!$D$33*1*VLOOKUP($B67,'Annual Parameters'!$B$33:$W$143,21,FALSE)/VLOOKUP('Source VoT'!$F$27,'Annual Parameters'!$B$33:$W$143,21,FALSE)*VLOOKUP($B$14,'Annual Parameters'!$B$33:$W$143,3,FALSE)/VLOOKUP('Source VoT'!$E$27,'Annual Parameters'!$B$33:$W$143,3,FALSE)</f>
        <v>20.554075836238276</v>
      </c>
      <c r="AA67" s="73">
        <f>'Source VoT'!$D$34*1*VLOOKUP($B67,'Annual Parameters'!$B$33:$W$143,21,FALSE)/VLOOKUP('Source VoT'!$F$27,'Annual Parameters'!$B$33:$W$143,21,FALSE)*VLOOKUP($B$14,'Annual Parameters'!$B$33:$W$143,3,FALSE)/VLOOKUP('Source VoT'!$E$27,'Annual Parameters'!$B$33:$W$143,3,FALSE)</f>
        <v>28.063608375846819</v>
      </c>
      <c r="AB67" s="73">
        <f>'Source VoT'!$D$35*1*VLOOKUP($B67,'Annual Parameters'!$B$33:$W$143,21,FALSE)/VLOOKUP('Source VoT'!$F$27,'Annual Parameters'!$B$33:$W$143,21,FALSE)*VLOOKUP($B$14,'Annual Parameters'!$B$33:$W$143,3,FALSE)/VLOOKUP('Source VoT'!$E$27,'Annual Parameters'!$B$33:$W$143,3,FALSE)</f>
        <v>46.291269615715819</v>
      </c>
      <c r="AC67" s="73">
        <f>'Source VoT'!$D$36*1*VLOOKUP($B67,'Annual Parameters'!$B$33:$W$143,21,FALSE)/VLOOKUP('Source VoT'!$F$27,'Annual Parameters'!$B$33:$W$143,21,FALSE)*VLOOKUP($B$14,'Annual Parameters'!$B$33:$W$143,3,FALSE)/VLOOKUP('Source VoT'!$E$27,'Annual Parameters'!$B$33:$W$143,3,FALSE)</f>
        <v>15.903248160173943</v>
      </c>
      <c r="AD67" s="73">
        <f>'Source VoT'!$D$37*1*VLOOKUP($B67,'Annual Parameters'!$B$33:$W$143,21,FALSE)/VLOOKUP('Source VoT'!$F$27,'Annual Parameters'!$B$33:$W$143,21,FALSE)*VLOOKUP($B$14,'Annual Parameters'!$B$33:$W$143,3,FALSE)/VLOOKUP('Source VoT'!$E$27,'Annual Parameters'!$B$33:$W$143,3,FALSE)</f>
        <v>15.903248160173943</v>
      </c>
      <c r="AE67" s="73">
        <f>'Source VoT'!$D$38*1*VLOOKUP($B67,'Annual Parameters'!$B$33:$W$143,21,FALSE)/VLOOKUP('Source VoT'!$F$27,'Annual Parameters'!$B$33:$W$143,21,FALSE)*VLOOKUP($B$14,'Annual Parameters'!$B$33:$W$143,3,FALSE)/VLOOKUP('Source VoT'!$E$27,'Annual Parameters'!$B$33:$W$143,3,FALSE)</f>
        <v>15.903248160173943</v>
      </c>
      <c r="AF67" s="73">
        <f>'Source VoT'!$D$39*1*VLOOKUP($B67,'Annual Parameters'!$B$33:$W$143,21,FALSE)/VLOOKUP('Source VoT'!$F$27,'Annual Parameters'!$B$33:$W$143,21,FALSE)*VLOOKUP($B$14,'Annual Parameters'!$B$33:$W$143,3,FALSE)/VLOOKUP('Source VoT'!$E$27,'Annual Parameters'!$B$33:$W$143,3,FALSE)</f>
        <v>28.063608375846819</v>
      </c>
      <c r="AG67" s="74">
        <f>'Source VoT'!$D$40*1*VLOOKUP($B67,'Annual Parameters'!$B$33:$W$143,21,FALSE)/VLOOKUP('Source VoT'!$F$27,'Annual Parameters'!$B$33:$W$143,21,FALSE)*VLOOKUP($B$14,'Annual Parameters'!$B$33:$W$143,3,FALSE)/VLOOKUP('Source VoT'!$E$27,'Annual Parameters'!$B$33:$W$143,3,FALSE)</f>
        <v>30.567673354968075</v>
      </c>
      <c r="AH67" s="73">
        <f>'Source VoT'!$D$45*1*VLOOKUP($B67,'Annual Parameters'!$B$33:$W$143,22,FALSE)/VLOOKUP('Source VoT'!$F$27,'Annual Parameters'!$B$33:$W$143,22,FALSE)*VLOOKUP($B$14,'Annual Parameters'!$B$33:$W$143,3,FALSE)/VLOOKUP('Source VoT'!$E$27,'Annual Parameters'!$B$33:$W$143,3,FALSE)</f>
        <v>18.790931442558531</v>
      </c>
      <c r="AI67" s="73">
        <f>'Source VoT'!$D$46*1*VLOOKUP($B67,'Annual Parameters'!$B$33:$W$143,22,FALSE)/VLOOKUP('Source VoT'!$F$27,'Annual Parameters'!$B$33:$W$143,22,FALSE)*VLOOKUP($B$14,'Annual Parameters'!$B$33:$W$143,3,FALSE)/VLOOKUP('Source VoT'!$E$27,'Annual Parameters'!$B$33:$W$143,3,FALSE)</f>
        <v>8.5767450285183244</v>
      </c>
      <c r="AJ67" s="117">
        <f>'Source VoT'!$D$27*VLOOKUP($B67,'Indirect tax correction'!$B$27:$I$127,7,FALSE)*VLOOKUP($B67,'Annual Parameters'!$B$33:$W$143,21,FALSE)/VLOOKUP('Source VoT'!$F$27,'Annual Parameters'!$B$33:$W$143,21,FALSE)*VLOOKUP($B$14,'Annual Parameters'!$B$33:$W$143,3,FALSE)/VLOOKUP('Source VoT'!$E$27,'Annual Parameters'!$B$33:$W$143,3,FALSE)</f>
        <v>33.395693967257714</v>
      </c>
      <c r="AK67" s="73">
        <f>'Source VoT'!$D$28*VLOOKUP($B67,'Indirect tax correction'!$B$27:$I$127,7,FALSE)*VLOOKUP($B67,'Annual Parameters'!$B$33:$W$143,21,FALSE)/VLOOKUP('Source VoT'!$F$27,'Annual Parameters'!$B$33:$W$143,21,FALSE)*VLOOKUP($B$14,'Annual Parameters'!$B$33:$W$143,3,FALSE)/VLOOKUP('Source VoT'!$E$27,'Annual Parameters'!$B$33:$W$143,3,FALSE)</f>
        <v>33.395693967257714</v>
      </c>
      <c r="AL67" s="73">
        <f>'Source VoT'!$D$29*VLOOKUP($B67,'Indirect tax correction'!$B$27:$I$127,7,FALSE)*VLOOKUP($B67,'Annual Parameters'!$B$33:$W$143,21,FALSE)/VLOOKUP('Source VoT'!$F$27,'Annual Parameters'!$B$33:$W$143,21,FALSE)*VLOOKUP($B$14,'Annual Parameters'!$B$33:$W$143,3,FALSE)/VLOOKUP('Source VoT'!$E$27,'Annual Parameters'!$B$33:$W$143,3,FALSE)</f>
        <v>22.99551535558949</v>
      </c>
      <c r="AM67" s="73">
        <f>'Source VoT'!$D$30*VLOOKUP($B67,'Indirect tax correction'!$B$27:$I$127,7,FALSE)*VLOOKUP($B67,'Annual Parameters'!$B$33:$W$143,21,FALSE)/VLOOKUP('Source VoT'!$F$27,'Annual Parameters'!$B$33:$W$143,21,FALSE)*VLOOKUP($B$14,'Annual Parameters'!$B$33:$W$143,3,FALSE)/VLOOKUP('Source VoT'!$E$27,'Annual Parameters'!$B$33:$W$143,3,FALSE)</f>
        <v>27.094253046284837</v>
      </c>
      <c r="AN67" s="73">
        <f>'Source VoT'!$D$31*VLOOKUP($B67,'Indirect tax correction'!$B$27:$I$127,7,FALSE)*VLOOKUP($B67,'Annual Parameters'!$B$33:$W$143,21,FALSE)/VLOOKUP('Source VoT'!$F$27,'Annual Parameters'!$B$33:$W$143,21,FALSE)*VLOOKUP($B$14,'Annual Parameters'!$B$33:$W$143,3,FALSE)/VLOOKUP('Source VoT'!$E$27,'Annual Parameters'!$B$33:$W$143,3,FALSE)</f>
        <v>27.679787002098465</v>
      </c>
      <c r="AO67" s="73">
        <f>'Source VoT'!$D$32*VLOOKUP($B67,'Indirect tax correction'!$B$27:$I$127,7,FALSE)*VLOOKUP($B67,'Annual Parameters'!$B$33:$W$143,21,FALSE)/VLOOKUP('Source VoT'!$F$27,'Annual Parameters'!$B$33:$W$143,21,FALSE)*VLOOKUP($B$14,'Annual Parameters'!$B$33:$W$143,3,FALSE)/VLOOKUP('Source VoT'!$E$27,'Annual Parameters'!$B$33:$W$143,3,FALSE)</f>
        <v>18.92486531060699</v>
      </c>
      <c r="AP67" s="73">
        <f>'Source VoT'!$D$33*VLOOKUP($B67,'Indirect tax correction'!$B$27:$I$127,7,FALSE)*VLOOKUP($B67,'Annual Parameters'!$B$33:$W$143,21,FALSE)/VLOOKUP('Source VoT'!$F$27,'Annual Parameters'!$B$33:$W$143,21,FALSE)*VLOOKUP($B$14,'Annual Parameters'!$B$33:$W$143,3,FALSE)/VLOOKUP('Source VoT'!$E$27,'Annual Parameters'!$B$33:$W$143,3,FALSE)</f>
        <v>24.459350245123545</v>
      </c>
      <c r="AQ67" s="73">
        <f>'Source VoT'!$D$34*VLOOKUP($B67,'Indirect tax correction'!$B$27:$I$127,7,FALSE)*VLOOKUP($B67,'Annual Parameters'!$B$33:$W$143,21,FALSE)/VLOOKUP('Source VoT'!$F$27,'Annual Parameters'!$B$33:$W$143,21,FALSE)*VLOOKUP($B$14,'Annual Parameters'!$B$33:$W$143,3,FALSE)/VLOOKUP('Source VoT'!$E$27,'Annual Parameters'!$B$33:$W$143,3,FALSE)</f>
        <v>33.395693967257714</v>
      </c>
      <c r="AR67" s="73">
        <f>'Source VoT'!$D$35*VLOOKUP($B67,'Indirect tax correction'!$B$27:$I$127,7,FALSE)*VLOOKUP($B67,'Annual Parameters'!$B$33:$W$143,21,FALSE)/VLOOKUP('Source VoT'!$F$27,'Annual Parameters'!$B$33:$W$143,21,FALSE)*VLOOKUP($B$14,'Annual Parameters'!$B$33:$W$143,3,FALSE)/VLOOKUP('Source VoT'!$E$27,'Annual Parameters'!$B$33:$W$143,3,FALSE)</f>
        <v>55.086610842701823</v>
      </c>
      <c r="AS67" s="73">
        <f>'Source VoT'!$D$36*VLOOKUP($B67,'Indirect tax correction'!$B$27:$I$127,7,FALSE)*VLOOKUP($B67,'Annual Parameters'!$B$33:$W$143,21,FALSE)/VLOOKUP('Source VoT'!$F$27,'Annual Parameters'!$B$33:$W$143,21,FALSE)*VLOOKUP($B$14,'Annual Parameters'!$B$33:$W$143,3,FALSE)/VLOOKUP('Source VoT'!$E$27,'Annual Parameters'!$B$33:$W$143,3,FALSE)</f>
        <v>18.92486531060699</v>
      </c>
      <c r="AT67" s="73">
        <f>'Source VoT'!$D$37*VLOOKUP($B67,'Indirect tax correction'!$B$27:$I$127,7,FALSE)*VLOOKUP($B67,'Annual Parameters'!$B$33:$W$143,21,FALSE)/VLOOKUP('Source VoT'!$F$27,'Annual Parameters'!$B$33:$W$143,21,FALSE)*VLOOKUP($B$14,'Annual Parameters'!$B$33:$W$143,3,FALSE)/VLOOKUP('Source VoT'!$E$27,'Annual Parameters'!$B$33:$W$143,3,FALSE)</f>
        <v>18.92486531060699</v>
      </c>
      <c r="AU67" s="73">
        <f>'Source VoT'!$D$38*VLOOKUP($B67,'Indirect tax correction'!$B$27:$I$127,7,FALSE)*VLOOKUP($B67,'Annual Parameters'!$B$33:$W$143,21,FALSE)/VLOOKUP('Source VoT'!$F$27,'Annual Parameters'!$B$33:$W$143,21,FALSE)*VLOOKUP($B$14,'Annual Parameters'!$B$33:$W$143,3,FALSE)/VLOOKUP('Source VoT'!$E$27,'Annual Parameters'!$B$33:$W$143,3,FALSE)</f>
        <v>18.92486531060699</v>
      </c>
      <c r="AV67" s="73">
        <f>'Source VoT'!$D$39*VLOOKUP($B67,'Indirect tax correction'!$B$27:$I$127,7,FALSE)*VLOOKUP($B67,'Annual Parameters'!$B$33:$W$143,21,FALSE)/VLOOKUP('Source VoT'!$F$27,'Annual Parameters'!$B$33:$W$143,21,FALSE)*VLOOKUP($B$14,'Annual Parameters'!$B$33:$W$143,3,FALSE)/VLOOKUP('Source VoT'!$E$27,'Annual Parameters'!$B$33:$W$143,3,FALSE)</f>
        <v>33.395693967257714</v>
      </c>
      <c r="AW67" s="74">
        <f>'Source VoT'!$D$40*VLOOKUP($B67,'Indirect tax correction'!$B$27:$I$127,7,FALSE)*VLOOKUP($B67,'Annual Parameters'!$B$33:$W$143,21,FALSE)/VLOOKUP('Source VoT'!$F$27,'Annual Parameters'!$B$33:$W$143,21,FALSE)*VLOOKUP($B$14,'Annual Parameters'!$B$33:$W$143,3,FALSE)/VLOOKUP('Source VoT'!$E$27,'Annual Parameters'!$B$33:$W$143,3,FALSE)</f>
        <v>36.375531292412006</v>
      </c>
      <c r="AX67" s="73">
        <f>'Source VoT'!$D$45*VLOOKUP($B67,'Indirect tax correction'!$B$27:$I$127,8,FALSE)*VLOOKUP($B67,'Annual Parameters'!$B$33:$W$143,22,FALSE)/VLOOKUP('Source VoT'!$F$27,'Annual Parameters'!$B$33:$W$143,22,FALSE)*VLOOKUP($B$14,'Annual Parameters'!$B$33:$W$143,3,FALSE)/VLOOKUP('Source VoT'!$E$27,'Annual Parameters'!$B$33:$W$143,3,FALSE)</f>
        <v>18.790931442558531</v>
      </c>
      <c r="AY67" s="74">
        <f>'Source VoT'!$D$46*VLOOKUP($B67,'Indirect tax correction'!$B$27:$I$127,8,FALSE)*VLOOKUP($B67,'Annual Parameters'!$B$33:$W$143,22,FALSE)/VLOOKUP('Source VoT'!$F$27,'Annual Parameters'!$B$33:$W$143,22,FALSE)*VLOOKUP($B$14,'Annual Parameters'!$B$33:$W$143,3,FALSE)/VLOOKUP('Source VoT'!$E$27,'Annual Parameters'!$B$33:$W$143,3,FALSE)</f>
        <v>8.5767450285183244</v>
      </c>
      <c r="AZ67" s="2875"/>
      <c r="BA67" s="2875"/>
      <c r="BB67" s="2875"/>
      <c r="BC67" s="2875"/>
      <c r="BD67" s="2875"/>
      <c r="BE67" s="2875"/>
      <c r="BF67" s="2875"/>
      <c r="BG67" s="2875"/>
    </row>
    <row r="68" spans="1:59" ht="13.5" customHeight="1">
      <c r="A68" s="90"/>
      <c r="B68" s="82">
        <f t="shared" si="0"/>
        <v>2051</v>
      </c>
      <c r="C68" s="82"/>
      <c r="D68" s="117">
        <f>'Source VoT'!$D$27*VLOOKUP($B68,'Indirect tax correction'!$B$27:$I$127,5,FALSE)*VLOOKUP($B68,'Annual Parameters'!$B$33:$W$143,21,FALSE)/VLOOKUP('Source VoT'!$F$27,'Annual Parameters'!$B$33:$W$143,21,FALSE)*VLOOKUP($B$14,'Annual Parameters'!$B$33:$W$143,3,FALSE)/VLOOKUP('Source VoT'!$E$27,'Annual Parameters'!$B$33:$W$143,3,FALSE)</f>
        <v>28.61868952913871</v>
      </c>
      <c r="E68" s="73">
        <f>'Source VoT'!$D$28*VLOOKUP($B68,'Indirect tax correction'!$B$27:$I$127,5,FALSE)*VLOOKUP($B68,'Annual Parameters'!$B$33:$W$143,21,FALSE)/VLOOKUP('Source VoT'!$F$27,'Annual Parameters'!$B$33:$W$143,21,FALSE)*VLOOKUP($B$14,'Annual Parameters'!$B$33:$W$143,3,FALSE)/VLOOKUP('Source VoT'!$E$27,'Annual Parameters'!$B$33:$W$143,3,FALSE)</f>
        <v>28.61868952913871</v>
      </c>
      <c r="F68" s="73">
        <f>'Source VoT'!$D$29*VLOOKUP($B68,'Indirect tax correction'!$B$27:$I$127,5,FALSE)*VLOOKUP($B68,'Annual Parameters'!$B$33:$W$143,21,FALSE)/VLOOKUP('Source VoT'!$F$27,'Annual Parameters'!$B$33:$W$143,21,FALSE)*VLOOKUP($B$14,'Annual Parameters'!$B$33:$W$143,3,FALSE)/VLOOKUP('Source VoT'!$E$27,'Annual Parameters'!$B$33:$W$143,3,FALSE)</f>
        <v>19.706178741767811</v>
      </c>
      <c r="G68" s="73">
        <f>'Source VoT'!$D$30*VLOOKUP($B68,'Indirect tax correction'!$B$27:$I$127,5,FALSE)*VLOOKUP($B68,'Annual Parameters'!$B$33:$W$143,21,FALSE)/VLOOKUP('Source VoT'!$F$27,'Annual Parameters'!$B$33:$W$143,21,FALSE)*VLOOKUP($B$14,'Annual Parameters'!$B$33:$W$143,3,FALSE)/VLOOKUP('Source VoT'!$E$27,'Annual Parameters'!$B$33:$W$143,3,FALSE)</f>
        <v>23.218622637869945</v>
      </c>
      <c r="H68" s="73">
        <f>'Source VoT'!$D$31*VLOOKUP($B68,'Indirect tax correction'!$B$27:$I$127,5,FALSE)*VLOOKUP($B68,'Annual Parameters'!$B$33:$W$143,21,FALSE)/VLOOKUP('Source VoT'!$F$27,'Annual Parameters'!$B$33:$W$143,21,FALSE)*VLOOKUP($B$14,'Annual Parameters'!$B$33:$W$143,3,FALSE)/VLOOKUP('Source VoT'!$E$27,'Annual Parameters'!$B$33:$W$143,3,FALSE)</f>
        <v>23.720400337313109</v>
      </c>
      <c r="I68" s="73">
        <f>'Source VoT'!$D$32*VLOOKUP($B68,'Indirect tax correction'!$B$27:$I$127,5,FALSE)*VLOOKUP($B68,'Annual Parameters'!$B$33:$W$143,21,FALSE)/VLOOKUP('Source VoT'!$F$27,'Annual Parameters'!$B$33:$W$143,21,FALSE)*VLOOKUP($B$14,'Annual Parameters'!$B$33:$W$143,3,FALSE)/VLOOKUP('Source VoT'!$E$27,'Annual Parameters'!$B$33:$W$143,3,FALSE)</f>
        <v>16.217804763573312</v>
      </c>
      <c r="J68" s="73">
        <f>'Source VoT'!$D$33*VLOOKUP($B68,'Indirect tax correction'!$B$27:$I$127,5,FALSE)*VLOOKUP($B68,'Annual Parameters'!$B$33:$W$143,21,FALSE)/VLOOKUP('Source VoT'!$F$27,'Annual Parameters'!$B$33:$W$143,21,FALSE)*VLOOKUP($B$14,'Annual Parameters'!$B$33:$W$143,3,FALSE)/VLOOKUP('Source VoT'!$E$27,'Annual Parameters'!$B$33:$W$143,3,FALSE)</f>
        <v>20.960622990375718</v>
      </c>
      <c r="K68" s="73">
        <f>'Source VoT'!$D$34*VLOOKUP($B68,'Indirect tax correction'!$B$27:$I$127,5,FALSE)*VLOOKUP($B68,'Annual Parameters'!$B$33:$W$143,21,FALSE)/VLOOKUP('Source VoT'!$F$27,'Annual Parameters'!$B$33:$W$143,21,FALSE)*VLOOKUP($B$14,'Annual Parameters'!$B$33:$W$143,3,FALSE)/VLOOKUP('Source VoT'!$E$27,'Annual Parameters'!$B$33:$W$143,3,FALSE)</f>
        <v>28.61868952913871</v>
      </c>
      <c r="L68" s="73">
        <f>'Source VoT'!$D$35*VLOOKUP($B68,'Indirect tax correction'!$B$27:$I$127,5,FALSE)*VLOOKUP($B68,'Annual Parameters'!$B$33:$W$143,21,FALSE)/VLOOKUP('Source VoT'!$F$27,'Annual Parameters'!$B$33:$W$143,21,FALSE)*VLOOKUP($B$14,'Annual Parameters'!$B$33:$W$143,3,FALSE)/VLOOKUP('Source VoT'!$E$27,'Annual Parameters'!$B$33:$W$143,3,FALSE)</f>
        <v>47.206882853383171</v>
      </c>
      <c r="M68" s="73">
        <f>'Source VoT'!$D$36*VLOOKUP($B68,'Indirect tax correction'!$B$27:$I$127,5,FALSE)*VLOOKUP($B68,'Annual Parameters'!$B$33:$W$143,21,FALSE)/VLOOKUP('Source VoT'!$F$27,'Annual Parameters'!$B$33:$W$143,21,FALSE)*VLOOKUP($B$14,'Annual Parameters'!$B$33:$W$143,3,FALSE)/VLOOKUP('Source VoT'!$E$27,'Annual Parameters'!$B$33:$W$143,3,FALSE)</f>
        <v>16.217804763573312</v>
      </c>
      <c r="N68" s="73">
        <f>'Source VoT'!$D$37*VLOOKUP($B68,'Indirect tax correction'!$B$27:$I$127,5,FALSE)*VLOOKUP($B68,'Annual Parameters'!$B$33:$W$143,21,FALSE)/VLOOKUP('Source VoT'!$F$27,'Annual Parameters'!$B$33:$W$143,21,FALSE)*VLOOKUP($B$14,'Annual Parameters'!$B$33:$W$143,3,FALSE)/VLOOKUP('Source VoT'!$E$27,'Annual Parameters'!$B$33:$W$143,3,FALSE)</f>
        <v>16.217804763573312</v>
      </c>
      <c r="O68" s="73">
        <f>'Source VoT'!$D$38*VLOOKUP($B68,'Indirect tax correction'!$B$27:$I$127,5,FALSE)*VLOOKUP($B68,'Annual Parameters'!$B$33:$W$143,21,FALSE)/VLOOKUP('Source VoT'!$F$27,'Annual Parameters'!$B$33:$W$143,21,FALSE)*VLOOKUP($B$14,'Annual Parameters'!$B$33:$W$143,3,FALSE)/VLOOKUP('Source VoT'!$E$27,'Annual Parameters'!$B$33:$W$143,3,FALSE)</f>
        <v>16.217804763573312</v>
      </c>
      <c r="P68" s="73">
        <f>'Source VoT'!$D$39*VLOOKUP($B68,'Indirect tax correction'!$B$27:$I$127,5,FALSE)*VLOOKUP($B68,'Annual Parameters'!$B$33:$W$143,21,FALSE)/VLOOKUP('Source VoT'!$F$27,'Annual Parameters'!$B$33:$W$143,21,FALSE)*VLOOKUP($B$14,'Annual Parameters'!$B$33:$W$143,3,FALSE)/VLOOKUP('Source VoT'!$E$27,'Annual Parameters'!$B$33:$W$143,3,FALSE)</f>
        <v>28.61868952913871</v>
      </c>
      <c r="Q68" s="74">
        <f>'Source VoT'!$D$40*VLOOKUP($B68,'Indirect tax correction'!$B$27:$I$127,5,FALSE)*VLOOKUP($B68,'Annual Parameters'!$B$33:$W$143,21,FALSE)/VLOOKUP('Source VoT'!$F$27,'Annual Parameters'!$B$33:$W$143,21,FALSE)*VLOOKUP($B$14,'Annual Parameters'!$B$33:$W$143,3,FALSE)/VLOOKUP('Source VoT'!$E$27,'Annual Parameters'!$B$33:$W$143,3,FALSE)</f>
        <v>31.172283394849067</v>
      </c>
      <c r="R68" s="73">
        <f>'Source VoT'!$D$45*VLOOKUP($B68,'Indirect tax correction'!$B$27:$I$127,6,FALSE)*VLOOKUP($B68,'Annual Parameters'!$B$33:$W$143,22,FALSE)/VLOOKUP('Source VoT'!$F$27,'Annual Parameters'!$B$33:$W$143,22,FALSE)*VLOOKUP($B$14,'Annual Parameters'!$B$33:$W$143,3,FALSE)/VLOOKUP('Source VoT'!$E$27,'Annual Parameters'!$B$33:$W$143,3,FALSE)</f>
        <v>16.103029134389697</v>
      </c>
      <c r="S68" s="73">
        <f>'Source VoT'!$D$46*VLOOKUP($B68,'Indirect tax correction'!$B$27:$I$127,6,FALSE)*VLOOKUP($B68,'Annual Parameters'!$B$33:$W$143,22,FALSE)/VLOOKUP('Source VoT'!$F$27,'Annual Parameters'!$B$33:$W$143,22,FALSE)*VLOOKUP($B$14,'Annual Parameters'!$B$33:$W$143,3,FALSE)/VLOOKUP('Source VoT'!$E$27,'Annual Parameters'!$B$33:$W$143,3,FALSE)</f>
        <v>7.349905750795374</v>
      </c>
      <c r="T68" s="117">
        <f>'Source VoT'!$D$27*1*VLOOKUP($B68,'Annual Parameters'!$B$33:$W$143,21,FALSE)/VLOOKUP('Source VoT'!$F$27,'Annual Parameters'!$B$33:$W$143,21,FALSE)*VLOOKUP($B$14,'Annual Parameters'!$B$33:$W$143,3,FALSE)/VLOOKUP('Source VoT'!$E$27,'Annual Parameters'!$B$33:$W$143,3,FALSE)</f>
        <v>28.61868952913871</v>
      </c>
      <c r="U68" s="73">
        <f>'Source VoT'!$D$28*1*VLOOKUP($B68,'Annual Parameters'!$B$33:$W$143,21,FALSE)/VLOOKUP('Source VoT'!$F$27,'Annual Parameters'!$B$33:$W$143,21,FALSE)*VLOOKUP($B$14,'Annual Parameters'!$B$33:$W$143,3,FALSE)/VLOOKUP('Source VoT'!$E$27,'Annual Parameters'!$B$33:$W$143,3,FALSE)</f>
        <v>28.61868952913871</v>
      </c>
      <c r="V68" s="73">
        <f>'Source VoT'!$D$29*1*VLOOKUP($B68,'Annual Parameters'!$B$33:$W$143,21,FALSE)/VLOOKUP('Source VoT'!$F$27,'Annual Parameters'!$B$33:$W$143,21,FALSE)*VLOOKUP($B$14,'Annual Parameters'!$B$33:$W$143,3,FALSE)/VLOOKUP('Source VoT'!$E$27,'Annual Parameters'!$B$33:$W$143,3,FALSE)</f>
        <v>19.706178741767811</v>
      </c>
      <c r="W68" s="73">
        <f>'Source VoT'!$D$30*1*VLOOKUP($B68,'Annual Parameters'!$B$33:$W$143,21,FALSE)/VLOOKUP('Source VoT'!$F$27,'Annual Parameters'!$B$33:$W$143,21,FALSE)*VLOOKUP($B$14,'Annual Parameters'!$B$33:$W$143,3,FALSE)/VLOOKUP('Source VoT'!$E$27,'Annual Parameters'!$B$33:$W$143,3,FALSE)</f>
        <v>23.218622637869945</v>
      </c>
      <c r="X68" s="73">
        <f>'Source VoT'!$D$31*1*VLOOKUP($B68,'Annual Parameters'!$B$33:$W$143,21,FALSE)/VLOOKUP('Source VoT'!$F$27,'Annual Parameters'!$B$33:$W$143,21,FALSE)*VLOOKUP($B$14,'Annual Parameters'!$B$33:$W$143,3,FALSE)/VLOOKUP('Source VoT'!$E$27,'Annual Parameters'!$B$33:$W$143,3,FALSE)</f>
        <v>23.720400337313109</v>
      </c>
      <c r="Y68" s="73">
        <f>'Source VoT'!$D$32*1*VLOOKUP($B68,'Annual Parameters'!$B$33:$W$143,21,FALSE)/VLOOKUP('Source VoT'!$F$27,'Annual Parameters'!$B$33:$W$143,21,FALSE)*VLOOKUP($B$14,'Annual Parameters'!$B$33:$W$143,3,FALSE)/VLOOKUP('Source VoT'!$E$27,'Annual Parameters'!$B$33:$W$143,3,FALSE)</f>
        <v>16.217804763573312</v>
      </c>
      <c r="Z68" s="73">
        <f>'Source VoT'!$D$33*1*VLOOKUP($B68,'Annual Parameters'!$B$33:$W$143,21,FALSE)/VLOOKUP('Source VoT'!$F$27,'Annual Parameters'!$B$33:$W$143,21,FALSE)*VLOOKUP($B$14,'Annual Parameters'!$B$33:$W$143,3,FALSE)/VLOOKUP('Source VoT'!$E$27,'Annual Parameters'!$B$33:$W$143,3,FALSE)</f>
        <v>20.960622990375718</v>
      </c>
      <c r="AA68" s="73">
        <f>'Source VoT'!$D$34*1*VLOOKUP($B68,'Annual Parameters'!$B$33:$W$143,21,FALSE)/VLOOKUP('Source VoT'!$F$27,'Annual Parameters'!$B$33:$W$143,21,FALSE)*VLOOKUP($B$14,'Annual Parameters'!$B$33:$W$143,3,FALSE)/VLOOKUP('Source VoT'!$E$27,'Annual Parameters'!$B$33:$W$143,3,FALSE)</f>
        <v>28.61868952913871</v>
      </c>
      <c r="AB68" s="73">
        <f>'Source VoT'!$D$35*1*VLOOKUP($B68,'Annual Parameters'!$B$33:$W$143,21,FALSE)/VLOOKUP('Source VoT'!$F$27,'Annual Parameters'!$B$33:$W$143,21,FALSE)*VLOOKUP($B$14,'Annual Parameters'!$B$33:$W$143,3,FALSE)/VLOOKUP('Source VoT'!$E$27,'Annual Parameters'!$B$33:$W$143,3,FALSE)</f>
        <v>47.206882853383171</v>
      </c>
      <c r="AC68" s="73">
        <f>'Source VoT'!$D$36*1*VLOOKUP($B68,'Annual Parameters'!$B$33:$W$143,21,FALSE)/VLOOKUP('Source VoT'!$F$27,'Annual Parameters'!$B$33:$W$143,21,FALSE)*VLOOKUP($B$14,'Annual Parameters'!$B$33:$W$143,3,FALSE)/VLOOKUP('Source VoT'!$E$27,'Annual Parameters'!$B$33:$W$143,3,FALSE)</f>
        <v>16.217804763573312</v>
      </c>
      <c r="AD68" s="73">
        <f>'Source VoT'!$D$37*1*VLOOKUP($B68,'Annual Parameters'!$B$33:$W$143,21,FALSE)/VLOOKUP('Source VoT'!$F$27,'Annual Parameters'!$B$33:$W$143,21,FALSE)*VLOOKUP($B$14,'Annual Parameters'!$B$33:$W$143,3,FALSE)/VLOOKUP('Source VoT'!$E$27,'Annual Parameters'!$B$33:$W$143,3,FALSE)</f>
        <v>16.217804763573312</v>
      </c>
      <c r="AE68" s="73">
        <f>'Source VoT'!$D$38*1*VLOOKUP($B68,'Annual Parameters'!$B$33:$W$143,21,FALSE)/VLOOKUP('Source VoT'!$F$27,'Annual Parameters'!$B$33:$W$143,21,FALSE)*VLOOKUP($B$14,'Annual Parameters'!$B$33:$W$143,3,FALSE)/VLOOKUP('Source VoT'!$E$27,'Annual Parameters'!$B$33:$W$143,3,FALSE)</f>
        <v>16.217804763573312</v>
      </c>
      <c r="AF68" s="73">
        <f>'Source VoT'!$D$39*1*VLOOKUP($B68,'Annual Parameters'!$B$33:$W$143,21,FALSE)/VLOOKUP('Source VoT'!$F$27,'Annual Parameters'!$B$33:$W$143,21,FALSE)*VLOOKUP($B$14,'Annual Parameters'!$B$33:$W$143,3,FALSE)/VLOOKUP('Source VoT'!$E$27,'Annual Parameters'!$B$33:$W$143,3,FALSE)</f>
        <v>28.61868952913871</v>
      </c>
      <c r="AG68" s="74">
        <f>'Source VoT'!$D$40*1*VLOOKUP($B68,'Annual Parameters'!$B$33:$W$143,21,FALSE)/VLOOKUP('Source VoT'!$F$27,'Annual Parameters'!$B$33:$W$143,21,FALSE)*VLOOKUP($B$14,'Annual Parameters'!$B$33:$W$143,3,FALSE)/VLOOKUP('Source VoT'!$E$27,'Annual Parameters'!$B$33:$W$143,3,FALSE)</f>
        <v>31.172283394849067</v>
      </c>
      <c r="AH68" s="73">
        <f>'Source VoT'!$D$45*1*VLOOKUP($B68,'Annual Parameters'!$B$33:$W$143,22,FALSE)/VLOOKUP('Source VoT'!$F$27,'Annual Parameters'!$B$33:$W$143,22,FALSE)*VLOOKUP($B$14,'Annual Parameters'!$B$33:$W$143,3,FALSE)/VLOOKUP('Source VoT'!$E$27,'Annual Parameters'!$B$33:$W$143,3,FALSE)</f>
        <v>19.162604669923738</v>
      </c>
      <c r="AI68" s="73">
        <f>'Source VoT'!$D$46*1*VLOOKUP($B68,'Annual Parameters'!$B$33:$W$143,22,FALSE)/VLOOKUP('Source VoT'!$F$27,'Annual Parameters'!$B$33:$W$143,22,FALSE)*VLOOKUP($B$14,'Annual Parameters'!$B$33:$W$143,3,FALSE)/VLOOKUP('Source VoT'!$E$27,'Annual Parameters'!$B$33:$W$143,3,FALSE)</f>
        <v>8.7463878434464952</v>
      </c>
      <c r="AJ68" s="117">
        <f>'Source VoT'!$D$27*VLOOKUP($B68,'Indirect tax correction'!$B$27:$I$127,7,FALSE)*VLOOKUP($B68,'Annual Parameters'!$B$33:$W$143,21,FALSE)/VLOOKUP('Source VoT'!$F$27,'Annual Parameters'!$B$33:$W$143,21,FALSE)*VLOOKUP($B$14,'Annual Parameters'!$B$33:$W$143,3,FALSE)/VLOOKUP('Source VoT'!$E$27,'Annual Parameters'!$B$33:$W$143,3,FALSE)</f>
        <v>34.056240539675066</v>
      </c>
      <c r="AK68" s="73">
        <f>'Source VoT'!$D$28*VLOOKUP($B68,'Indirect tax correction'!$B$27:$I$127,7,FALSE)*VLOOKUP($B68,'Annual Parameters'!$B$33:$W$143,21,FALSE)/VLOOKUP('Source VoT'!$F$27,'Annual Parameters'!$B$33:$W$143,21,FALSE)*VLOOKUP($B$14,'Annual Parameters'!$B$33:$W$143,3,FALSE)/VLOOKUP('Source VoT'!$E$27,'Annual Parameters'!$B$33:$W$143,3,FALSE)</f>
        <v>34.056240539675066</v>
      </c>
      <c r="AL68" s="73">
        <f>'Source VoT'!$D$29*VLOOKUP($B68,'Indirect tax correction'!$B$27:$I$127,7,FALSE)*VLOOKUP($B68,'Annual Parameters'!$B$33:$W$143,21,FALSE)/VLOOKUP('Source VoT'!$F$27,'Annual Parameters'!$B$33:$W$143,21,FALSE)*VLOOKUP($B$14,'Annual Parameters'!$B$33:$W$143,3,FALSE)/VLOOKUP('Source VoT'!$E$27,'Annual Parameters'!$B$33:$W$143,3,FALSE)</f>
        <v>23.450352702703693</v>
      </c>
      <c r="AM68" s="73">
        <f>'Source VoT'!$D$30*VLOOKUP($B68,'Indirect tax correction'!$B$27:$I$127,7,FALSE)*VLOOKUP($B68,'Annual Parameters'!$B$33:$W$143,21,FALSE)/VLOOKUP('Source VoT'!$F$27,'Annual Parameters'!$B$33:$W$143,21,FALSE)*VLOOKUP($B$14,'Annual Parameters'!$B$33:$W$143,3,FALSE)/VLOOKUP('Source VoT'!$E$27,'Annual Parameters'!$B$33:$W$143,3,FALSE)</f>
        <v>27.630160939065231</v>
      </c>
      <c r="AN68" s="73">
        <f>'Source VoT'!$D$31*VLOOKUP($B68,'Indirect tax correction'!$B$27:$I$127,7,FALSE)*VLOOKUP($B68,'Annual Parameters'!$B$33:$W$143,21,FALSE)/VLOOKUP('Source VoT'!$F$27,'Annual Parameters'!$B$33:$W$143,21,FALSE)*VLOOKUP($B$14,'Annual Parameters'!$B$33:$W$143,3,FALSE)/VLOOKUP('Source VoT'!$E$27,'Annual Parameters'!$B$33:$W$143,3,FALSE)</f>
        <v>28.227276401402595</v>
      </c>
      <c r="AO68" s="73">
        <f>'Source VoT'!$D$32*VLOOKUP($B68,'Indirect tax correction'!$B$27:$I$127,7,FALSE)*VLOOKUP($B68,'Annual Parameters'!$B$33:$W$143,21,FALSE)/VLOOKUP('Source VoT'!$F$27,'Annual Parameters'!$B$33:$W$143,21,FALSE)*VLOOKUP($B$14,'Annual Parameters'!$B$33:$W$143,3,FALSE)/VLOOKUP('Source VoT'!$E$27,'Annual Parameters'!$B$33:$W$143,3,FALSE)</f>
        <v>19.299187668652241</v>
      </c>
      <c r="AP68" s="73">
        <f>'Source VoT'!$D$33*VLOOKUP($B68,'Indirect tax correction'!$B$27:$I$127,7,FALSE)*VLOOKUP($B68,'Annual Parameters'!$B$33:$W$143,21,FALSE)/VLOOKUP('Source VoT'!$F$27,'Annual Parameters'!$B$33:$W$143,21,FALSE)*VLOOKUP($B$14,'Annual Parameters'!$B$33:$W$143,3,FALSE)/VLOOKUP('Source VoT'!$E$27,'Annual Parameters'!$B$33:$W$143,3,FALSE)</f>
        <v>24.943141358547098</v>
      </c>
      <c r="AQ68" s="73">
        <f>'Source VoT'!$D$34*VLOOKUP($B68,'Indirect tax correction'!$B$27:$I$127,7,FALSE)*VLOOKUP($B68,'Annual Parameters'!$B$33:$W$143,21,FALSE)/VLOOKUP('Source VoT'!$F$27,'Annual Parameters'!$B$33:$W$143,21,FALSE)*VLOOKUP($B$14,'Annual Parameters'!$B$33:$W$143,3,FALSE)/VLOOKUP('Source VoT'!$E$27,'Annual Parameters'!$B$33:$W$143,3,FALSE)</f>
        <v>34.056240539675066</v>
      </c>
      <c r="AR68" s="73">
        <f>'Source VoT'!$D$35*VLOOKUP($B68,'Indirect tax correction'!$B$27:$I$127,7,FALSE)*VLOOKUP($B68,'Annual Parameters'!$B$33:$W$143,21,FALSE)/VLOOKUP('Source VoT'!$F$27,'Annual Parameters'!$B$33:$W$143,21,FALSE)*VLOOKUP($B$14,'Annual Parameters'!$B$33:$W$143,3,FALSE)/VLOOKUP('Source VoT'!$E$27,'Annual Parameters'!$B$33:$W$143,3,FALSE)</f>
        <v>56.176190595525959</v>
      </c>
      <c r="AS68" s="73">
        <f>'Source VoT'!$D$36*VLOOKUP($B68,'Indirect tax correction'!$B$27:$I$127,7,FALSE)*VLOOKUP($B68,'Annual Parameters'!$B$33:$W$143,21,FALSE)/VLOOKUP('Source VoT'!$F$27,'Annual Parameters'!$B$33:$W$143,21,FALSE)*VLOOKUP($B$14,'Annual Parameters'!$B$33:$W$143,3,FALSE)/VLOOKUP('Source VoT'!$E$27,'Annual Parameters'!$B$33:$W$143,3,FALSE)</f>
        <v>19.299187668652241</v>
      </c>
      <c r="AT68" s="73">
        <f>'Source VoT'!$D$37*VLOOKUP($B68,'Indirect tax correction'!$B$27:$I$127,7,FALSE)*VLOOKUP($B68,'Annual Parameters'!$B$33:$W$143,21,FALSE)/VLOOKUP('Source VoT'!$F$27,'Annual Parameters'!$B$33:$W$143,21,FALSE)*VLOOKUP($B$14,'Annual Parameters'!$B$33:$W$143,3,FALSE)/VLOOKUP('Source VoT'!$E$27,'Annual Parameters'!$B$33:$W$143,3,FALSE)</f>
        <v>19.299187668652241</v>
      </c>
      <c r="AU68" s="73">
        <f>'Source VoT'!$D$38*VLOOKUP($B68,'Indirect tax correction'!$B$27:$I$127,7,FALSE)*VLOOKUP($B68,'Annual Parameters'!$B$33:$W$143,21,FALSE)/VLOOKUP('Source VoT'!$F$27,'Annual Parameters'!$B$33:$W$143,21,FALSE)*VLOOKUP($B$14,'Annual Parameters'!$B$33:$W$143,3,FALSE)/VLOOKUP('Source VoT'!$E$27,'Annual Parameters'!$B$33:$W$143,3,FALSE)</f>
        <v>19.299187668652241</v>
      </c>
      <c r="AV68" s="73">
        <f>'Source VoT'!$D$39*VLOOKUP($B68,'Indirect tax correction'!$B$27:$I$127,7,FALSE)*VLOOKUP($B68,'Annual Parameters'!$B$33:$W$143,21,FALSE)/VLOOKUP('Source VoT'!$F$27,'Annual Parameters'!$B$33:$W$143,21,FALSE)*VLOOKUP($B$14,'Annual Parameters'!$B$33:$W$143,3,FALSE)/VLOOKUP('Source VoT'!$E$27,'Annual Parameters'!$B$33:$W$143,3,FALSE)</f>
        <v>34.056240539675066</v>
      </c>
      <c r="AW68" s="74">
        <f>'Source VoT'!$D$40*VLOOKUP($B68,'Indirect tax correction'!$B$27:$I$127,7,FALSE)*VLOOKUP($B68,'Annual Parameters'!$B$33:$W$143,21,FALSE)/VLOOKUP('Source VoT'!$F$27,'Annual Parameters'!$B$33:$W$143,21,FALSE)*VLOOKUP($B$14,'Annual Parameters'!$B$33:$W$143,3,FALSE)/VLOOKUP('Source VoT'!$E$27,'Annual Parameters'!$B$33:$W$143,3,FALSE)</f>
        <v>37.095017239870394</v>
      </c>
      <c r="AX68" s="73">
        <f>'Source VoT'!$D$45*VLOOKUP($B68,'Indirect tax correction'!$B$27:$I$127,8,FALSE)*VLOOKUP($B68,'Annual Parameters'!$B$33:$W$143,22,FALSE)/VLOOKUP('Source VoT'!$F$27,'Annual Parameters'!$B$33:$W$143,22,FALSE)*VLOOKUP($B$14,'Annual Parameters'!$B$33:$W$143,3,FALSE)/VLOOKUP('Source VoT'!$E$27,'Annual Parameters'!$B$33:$W$143,3,FALSE)</f>
        <v>19.162604669923738</v>
      </c>
      <c r="AY68" s="74">
        <f>'Source VoT'!$D$46*VLOOKUP($B68,'Indirect tax correction'!$B$27:$I$127,8,FALSE)*VLOOKUP($B68,'Annual Parameters'!$B$33:$W$143,22,FALSE)/VLOOKUP('Source VoT'!$F$27,'Annual Parameters'!$B$33:$W$143,22,FALSE)*VLOOKUP($B$14,'Annual Parameters'!$B$33:$W$143,3,FALSE)/VLOOKUP('Source VoT'!$E$27,'Annual Parameters'!$B$33:$W$143,3,FALSE)</f>
        <v>8.7463878434464952</v>
      </c>
      <c r="AZ68" s="2875"/>
      <c r="BA68" s="2875"/>
      <c r="BB68" s="2875"/>
      <c r="BC68" s="2875"/>
      <c r="BD68" s="2875"/>
      <c r="BE68" s="2875"/>
      <c r="BF68" s="2875"/>
      <c r="BG68" s="2875"/>
    </row>
    <row r="69" spans="1:59" ht="13.5" customHeight="1">
      <c r="A69" s="90"/>
      <c r="B69" s="82">
        <f t="shared" si="0"/>
        <v>2052</v>
      </c>
      <c r="C69" s="82"/>
      <c r="D69" s="117">
        <f>'Source VoT'!$D$27*VLOOKUP($B69,'Indirect tax correction'!$B$27:$I$127,5,FALSE)*VLOOKUP($B69,'Annual Parameters'!$B$33:$W$143,21,FALSE)/VLOOKUP('Source VoT'!$F$27,'Annual Parameters'!$B$33:$W$143,21,FALSE)*VLOOKUP($B$14,'Annual Parameters'!$B$33:$W$143,3,FALSE)/VLOOKUP('Source VoT'!$E$27,'Annual Parameters'!$B$33:$W$143,3,FALSE)</f>
        <v>29.18737374977189</v>
      </c>
      <c r="E69" s="73">
        <f>'Source VoT'!$D$28*VLOOKUP($B69,'Indirect tax correction'!$B$27:$I$127,5,FALSE)*VLOOKUP($B69,'Annual Parameters'!$B$33:$W$143,21,FALSE)/VLOOKUP('Source VoT'!$F$27,'Annual Parameters'!$B$33:$W$143,21,FALSE)*VLOOKUP($B$14,'Annual Parameters'!$B$33:$W$143,3,FALSE)/VLOOKUP('Source VoT'!$E$27,'Annual Parameters'!$B$33:$W$143,3,FALSE)</f>
        <v>29.18737374977189</v>
      </c>
      <c r="F69" s="73">
        <f>'Source VoT'!$D$29*VLOOKUP($B69,'Indirect tax correction'!$B$27:$I$127,5,FALSE)*VLOOKUP($B69,'Annual Parameters'!$B$33:$W$143,21,FALSE)/VLOOKUP('Source VoT'!$F$27,'Annual Parameters'!$B$33:$W$143,21,FALSE)*VLOOKUP($B$14,'Annual Parameters'!$B$33:$W$143,3,FALSE)/VLOOKUP('Source VoT'!$E$27,'Annual Parameters'!$B$33:$W$143,3,FALSE)</f>
        <v>20.097761762646886</v>
      </c>
      <c r="G69" s="73">
        <f>'Source VoT'!$D$30*VLOOKUP($B69,'Indirect tax correction'!$B$27:$I$127,5,FALSE)*VLOOKUP($B69,'Annual Parameters'!$B$33:$W$143,21,FALSE)/VLOOKUP('Source VoT'!$F$27,'Annual Parameters'!$B$33:$W$143,21,FALSE)*VLOOKUP($B$14,'Annual Parameters'!$B$33:$W$143,3,FALSE)/VLOOKUP('Source VoT'!$E$27,'Annual Parameters'!$B$33:$W$143,3,FALSE)</f>
        <v>23.680001706451993</v>
      </c>
      <c r="H69" s="73">
        <f>'Source VoT'!$D$31*VLOOKUP($B69,'Indirect tax correction'!$B$27:$I$127,5,FALSE)*VLOOKUP($B69,'Annual Parameters'!$B$33:$W$143,21,FALSE)/VLOOKUP('Source VoT'!$F$27,'Annual Parameters'!$B$33:$W$143,21,FALSE)*VLOOKUP($B$14,'Annual Parameters'!$B$33:$W$143,3,FALSE)/VLOOKUP('Source VoT'!$E$27,'Annual Parameters'!$B$33:$W$143,3,FALSE)</f>
        <v>24.191750269852729</v>
      </c>
      <c r="I69" s="73">
        <f>'Source VoT'!$D$32*VLOOKUP($B69,'Indirect tax correction'!$B$27:$I$127,5,FALSE)*VLOOKUP($B69,'Annual Parameters'!$B$33:$W$143,21,FALSE)/VLOOKUP('Source VoT'!$F$27,'Annual Parameters'!$B$33:$W$143,21,FALSE)*VLOOKUP($B$14,'Annual Parameters'!$B$33:$W$143,3,FALSE)/VLOOKUP('Source VoT'!$E$27,'Annual Parameters'!$B$33:$W$143,3,FALSE)</f>
        <v>16.540070031972952</v>
      </c>
      <c r="J69" s="73">
        <f>'Source VoT'!$D$33*VLOOKUP($B69,'Indirect tax correction'!$B$27:$I$127,5,FALSE)*VLOOKUP($B69,'Annual Parameters'!$B$33:$W$143,21,FALSE)/VLOOKUP('Source VoT'!$F$27,'Annual Parameters'!$B$33:$W$143,21,FALSE)*VLOOKUP($B$14,'Annual Parameters'!$B$33:$W$143,3,FALSE)/VLOOKUP('Source VoT'!$E$27,'Annual Parameters'!$B$33:$W$143,3,FALSE)</f>
        <v>21.377133171148714</v>
      </c>
      <c r="K69" s="73">
        <f>'Source VoT'!$D$34*VLOOKUP($B69,'Indirect tax correction'!$B$27:$I$127,5,FALSE)*VLOOKUP($B69,'Annual Parameters'!$B$33:$W$143,21,FALSE)/VLOOKUP('Source VoT'!$F$27,'Annual Parameters'!$B$33:$W$143,21,FALSE)*VLOOKUP($B$14,'Annual Parameters'!$B$33:$W$143,3,FALSE)/VLOOKUP('Source VoT'!$E$27,'Annual Parameters'!$B$33:$W$143,3,FALSE)</f>
        <v>29.18737374977189</v>
      </c>
      <c r="L69" s="73">
        <f>'Source VoT'!$D$35*VLOOKUP($B69,'Indirect tax correction'!$B$27:$I$127,5,FALSE)*VLOOKUP($B69,'Annual Parameters'!$B$33:$W$143,21,FALSE)/VLOOKUP('Source VoT'!$F$27,'Annual Parameters'!$B$33:$W$143,21,FALSE)*VLOOKUP($B$14,'Annual Parameters'!$B$33:$W$143,3,FALSE)/VLOOKUP('Source VoT'!$E$27,'Annual Parameters'!$B$33:$W$143,3,FALSE)</f>
        <v>48.144934519119445</v>
      </c>
      <c r="M69" s="73">
        <f>'Source VoT'!$D$36*VLOOKUP($B69,'Indirect tax correction'!$B$27:$I$127,5,FALSE)*VLOOKUP($B69,'Annual Parameters'!$B$33:$W$143,21,FALSE)/VLOOKUP('Source VoT'!$F$27,'Annual Parameters'!$B$33:$W$143,21,FALSE)*VLOOKUP($B$14,'Annual Parameters'!$B$33:$W$143,3,FALSE)/VLOOKUP('Source VoT'!$E$27,'Annual Parameters'!$B$33:$W$143,3,FALSE)</f>
        <v>16.540070031972952</v>
      </c>
      <c r="N69" s="73">
        <f>'Source VoT'!$D$37*VLOOKUP($B69,'Indirect tax correction'!$B$27:$I$127,5,FALSE)*VLOOKUP($B69,'Annual Parameters'!$B$33:$W$143,21,FALSE)/VLOOKUP('Source VoT'!$F$27,'Annual Parameters'!$B$33:$W$143,21,FALSE)*VLOOKUP($B$14,'Annual Parameters'!$B$33:$W$143,3,FALSE)/VLOOKUP('Source VoT'!$E$27,'Annual Parameters'!$B$33:$W$143,3,FALSE)</f>
        <v>16.540070031972952</v>
      </c>
      <c r="O69" s="73">
        <f>'Source VoT'!$D$38*VLOOKUP($B69,'Indirect tax correction'!$B$27:$I$127,5,FALSE)*VLOOKUP($B69,'Annual Parameters'!$B$33:$W$143,21,FALSE)/VLOOKUP('Source VoT'!$F$27,'Annual Parameters'!$B$33:$W$143,21,FALSE)*VLOOKUP($B$14,'Annual Parameters'!$B$33:$W$143,3,FALSE)/VLOOKUP('Source VoT'!$E$27,'Annual Parameters'!$B$33:$W$143,3,FALSE)</f>
        <v>16.540070031972952</v>
      </c>
      <c r="P69" s="73">
        <f>'Source VoT'!$D$39*VLOOKUP($B69,'Indirect tax correction'!$B$27:$I$127,5,FALSE)*VLOOKUP($B69,'Annual Parameters'!$B$33:$W$143,21,FALSE)/VLOOKUP('Source VoT'!$F$27,'Annual Parameters'!$B$33:$W$143,21,FALSE)*VLOOKUP($B$14,'Annual Parameters'!$B$33:$W$143,3,FALSE)/VLOOKUP('Source VoT'!$E$27,'Annual Parameters'!$B$33:$W$143,3,FALSE)</f>
        <v>29.18737374977189</v>
      </c>
      <c r="Q69" s="74">
        <f>'Source VoT'!$D$40*VLOOKUP($B69,'Indirect tax correction'!$B$27:$I$127,5,FALSE)*VLOOKUP($B69,'Annual Parameters'!$B$33:$W$143,21,FALSE)/VLOOKUP('Source VoT'!$F$27,'Annual Parameters'!$B$33:$W$143,21,FALSE)*VLOOKUP($B$14,'Annual Parameters'!$B$33:$W$143,3,FALSE)/VLOOKUP('Source VoT'!$E$27,'Annual Parameters'!$B$33:$W$143,3,FALSE)</f>
        <v>31.791710279148134</v>
      </c>
      <c r="R69" s="73">
        <f>'Source VoT'!$D$45*VLOOKUP($B69,'Indirect tax correction'!$B$27:$I$127,6,FALSE)*VLOOKUP($B69,'Annual Parameters'!$B$33:$W$143,22,FALSE)/VLOOKUP('Source VoT'!$F$27,'Annual Parameters'!$B$33:$W$143,22,FALSE)*VLOOKUP($B$14,'Annual Parameters'!$B$33:$W$143,3,FALSE)/VLOOKUP('Source VoT'!$E$27,'Annual Parameters'!$B$33:$W$143,3,FALSE)</f>
        <v>16.423013687274267</v>
      </c>
      <c r="S69" s="73">
        <f>'Source VoT'!$D$46*VLOOKUP($B69,'Indirect tax correction'!$B$27:$I$127,6,FALSE)*VLOOKUP($B69,'Annual Parameters'!$B$33:$W$143,22,FALSE)/VLOOKUP('Source VoT'!$F$27,'Annual Parameters'!$B$33:$W$143,22,FALSE)*VLOOKUP($B$14,'Annual Parameters'!$B$33:$W$143,3,FALSE)/VLOOKUP('Source VoT'!$E$27,'Annual Parameters'!$B$33:$W$143,3,FALSE)</f>
        <v>7.4959563035071843</v>
      </c>
      <c r="T69" s="117">
        <f>'Source VoT'!$D$27*1*VLOOKUP($B69,'Annual Parameters'!$B$33:$W$143,21,FALSE)/VLOOKUP('Source VoT'!$F$27,'Annual Parameters'!$B$33:$W$143,21,FALSE)*VLOOKUP($B$14,'Annual Parameters'!$B$33:$W$143,3,FALSE)/VLOOKUP('Source VoT'!$E$27,'Annual Parameters'!$B$33:$W$143,3,FALSE)</f>
        <v>29.18737374977189</v>
      </c>
      <c r="U69" s="73">
        <f>'Source VoT'!$D$28*1*VLOOKUP($B69,'Annual Parameters'!$B$33:$W$143,21,FALSE)/VLOOKUP('Source VoT'!$F$27,'Annual Parameters'!$B$33:$W$143,21,FALSE)*VLOOKUP($B$14,'Annual Parameters'!$B$33:$W$143,3,FALSE)/VLOOKUP('Source VoT'!$E$27,'Annual Parameters'!$B$33:$W$143,3,FALSE)</f>
        <v>29.18737374977189</v>
      </c>
      <c r="V69" s="73">
        <f>'Source VoT'!$D$29*1*VLOOKUP($B69,'Annual Parameters'!$B$33:$W$143,21,FALSE)/VLOOKUP('Source VoT'!$F$27,'Annual Parameters'!$B$33:$W$143,21,FALSE)*VLOOKUP($B$14,'Annual Parameters'!$B$33:$W$143,3,FALSE)/VLOOKUP('Source VoT'!$E$27,'Annual Parameters'!$B$33:$W$143,3,FALSE)</f>
        <v>20.097761762646886</v>
      </c>
      <c r="W69" s="73">
        <f>'Source VoT'!$D$30*1*VLOOKUP($B69,'Annual Parameters'!$B$33:$W$143,21,FALSE)/VLOOKUP('Source VoT'!$F$27,'Annual Parameters'!$B$33:$W$143,21,FALSE)*VLOOKUP($B$14,'Annual Parameters'!$B$33:$W$143,3,FALSE)/VLOOKUP('Source VoT'!$E$27,'Annual Parameters'!$B$33:$W$143,3,FALSE)</f>
        <v>23.680001706451993</v>
      </c>
      <c r="X69" s="73">
        <f>'Source VoT'!$D$31*1*VLOOKUP($B69,'Annual Parameters'!$B$33:$W$143,21,FALSE)/VLOOKUP('Source VoT'!$F$27,'Annual Parameters'!$B$33:$W$143,21,FALSE)*VLOOKUP($B$14,'Annual Parameters'!$B$33:$W$143,3,FALSE)/VLOOKUP('Source VoT'!$E$27,'Annual Parameters'!$B$33:$W$143,3,FALSE)</f>
        <v>24.191750269852729</v>
      </c>
      <c r="Y69" s="73">
        <f>'Source VoT'!$D$32*1*VLOOKUP($B69,'Annual Parameters'!$B$33:$W$143,21,FALSE)/VLOOKUP('Source VoT'!$F$27,'Annual Parameters'!$B$33:$W$143,21,FALSE)*VLOOKUP($B$14,'Annual Parameters'!$B$33:$W$143,3,FALSE)/VLOOKUP('Source VoT'!$E$27,'Annual Parameters'!$B$33:$W$143,3,FALSE)</f>
        <v>16.540070031972952</v>
      </c>
      <c r="Z69" s="73">
        <f>'Source VoT'!$D$33*1*VLOOKUP($B69,'Annual Parameters'!$B$33:$W$143,21,FALSE)/VLOOKUP('Source VoT'!$F$27,'Annual Parameters'!$B$33:$W$143,21,FALSE)*VLOOKUP($B$14,'Annual Parameters'!$B$33:$W$143,3,FALSE)/VLOOKUP('Source VoT'!$E$27,'Annual Parameters'!$B$33:$W$143,3,FALSE)</f>
        <v>21.377133171148714</v>
      </c>
      <c r="AA69" s="73">
        <f>'Source VoT'!$D$34*1*VLOOKUP($B69,'Annual Parameters'!$B$33:$W$143,21,FALSE)/VLOOKUP('Source VoT'!$F$27,'Annual Parameters'!$B$33:$W$143,21,FALSE)*VLOOKUP($B$14,'Annual Parameters'!$B$33:$W$143,3,FALSE)/VLOOKUP('Source VoT'!$E$27,'Annual Parameters'!$B$33:$W$143,3,FALSE)</f>
        <v>29.18737374977189</v>
      </c>
      <c r="AB69" s="73">
        <f>'Source VoT'!$D$35*1*VLOOKUP($B69,'Annual Parameters'!$B$33:$W$143,21,FALSE)/VLOOKUP('Source VoT'!$F$27,'Annual Parameters'!$B$33:$W$143,21,FALSE)*VLOOKUP($B$14,'Annual Parameters'!$B$33:$W$143,3,FALSE)/VLOOKUP('Source VoT'!$E$27,'Annual Parameters'!$B$33:$W$143,3,FALSE)</f>
        <v>48.144934519119445</v>
      </c>
      <c r="AC69" s="73">
        <f>'Source VoT'!$D$36*1*VLOOKUP($B69,'Annual Parameters'!$B$33:$W$143,21,FALSE)/VLOOKUP('Source VoT'!$F$27,'Annual Parameters'!$B$33:$W$143,21,FALSE)*VLOOKUP($B$14,'Annual Parameters'!$B$33:$W$143,3,FALSE)/VLOOKUP('Source VoT'!$E$27,'Annual Parameters'!$B$33:$W$143,3,FALSE)</f>
        <v>16.540070031972952</v>
      </c>
      <c r="AD69" s="73">
        <f>'Source VoT'!$D$37*1*VLOOKUP($B69,'Annual Parameters'!$B$33:$W$143,21,FALSE)/VLOOKUP('Source VoT'!$F$27,'Annual Parameters'!$B$33:$W$143,21,FALSE)*VLOOKUP($B$14,'Annual Parameters'!$B$33:$W$143,3,FALSE)/VLOOKUP('Source VoT'!$E$27,'Annual Parameters'!$B$33:$W$143,3,FALSE)</f>
        <v>16.540070031972952</v>
      </c>
      <c r="AE69" s="73">
        <f>'Source VoT'!$D$38*1*VLOOKUP($B69,'Annual Parameters'!$B$33:$W$143,21,FALSE)/VLOOKUP('Source VoT'!$F$27,'Annual Parameters'!$B$33:$W$143,21,FALSE)*VLOOKUP($B$14,'Annual Parameters'!$B$33:$W$143,3,FALSE)/VLOOKUP('Source VoT'!$E$27,'Annual Parameters'!$B$33:$W$143,3,FALSE)</f>
        <v>16.540070031972952</v>
      </c>
      <c r="AF69" s="73">
        <f>'Source VoT'!$D$39*1*VLOOKUP($B69,'Annual Parameters'!$B$33:$W$143,21,FALSE)/VLOOKUP('Source VoT'!$F$27,'Annual Parameters'!$B$33:$W$143,21,FALSE)*VLOOKUP($B$14,'Annual Parameters'!$B$33:$W$143,3,FALSE)/VLOOKUP('Source VoT'!$E$27,'Annual Parameters'!$B$33:$W$143,3,FALSE)</f>
        <v>29.18737374977189</v>
      </c>
      <c r="AG69" s="74">
        <f>'Source VoT'!$D$40*1*VLOOKUP($B69,'Annual Parameters'!$B$33:$W$143,21,FALSE)/VLOOKUP('Source VoT'!$F$27,'Annual Parameters'!$B$33:$W$143,21,FALSE)*VLOOKUP($B$14,'Annual Parameters'!$B$33:$W$143,3,FALSE)/VLOOKUP('Source VoT'!$E$27,'Annual Parameters'!$B$33:$W$143,3,FALSE)</f>
        <v>31.791710279148134</v>
      </c>
      <c r="AH69" s="73">
        <f>'Source VoT'!$D$45*1*VLOOKUP($B69,'Annual Parameters'!$B$33:$W$143,22,FALSE)/VLOOKUP('Source VoT'!$F$27,'Annual Parameters'!$B$33:$W$143,22,FALSE)*VLOOKUP($B$14,'Annual Parameters'!$B$33:$W$143,3,FALSE)/VLOOKUP('Source VoT'!$E$27,'Annual Parameters'!$B$33:$W$143,3,FALSE)</f>
        <v>19.543386287856379</v>
      </c>
      <c r="AI69" s="73">
        <f>'Source VoT'!$D$46*1*VLOOKUP($B69,'Annual Parameters'!$B$33:$W$143,22,FALSE)/VLOOKUP('Source VoT'!$F$27,'Annual Parameters'!$B$33:$W$143,22,FALSE)*VLOOKUP($B$14,'Annual Parameters'!$B$33:$W$143,3,FALSE)/VLOOKUP('Source VoT'!$E$27,'Annual Parameters'!$B$33:$W$143,3,FALSE)</f>
        <v>8.9201880011735479</v>
      </c>
      <c r="AJ69" s="117">
        <f>'Source VoT'!$D$27*VLOOKUP($B69,'Indirect tax correction'!$B$27:$I$127,7,FALSE)*VLOOKUP($B69,'Annual Parameters'!$B$33:$W$143,21,FALSE)/VLOOKUP('Source VoT'!$F$27,'Annual Parameters'!$B$33:$W$143,21,FALSE)*VLOOKUP($B$14,'Annual Parameters'!$B$33:$W$143,3,FALSE)/VLOOKUP('Source VoT'!$E$27,'Annual Parameters'!$B$33:$W$143,3,FALSE)</f>
        <v>34.732974762228551</v>
      </c>
      <c r="AK69" s="73">
        <f>'Source VoT'!$D$28*VLOOKUP($B69,'Indirect tax correction'!$B$27:$I$127,7,FALSE)*VLOOKUP($B69,'Annual Parameters'!$B$33:$W$143,21,FALSE)/VLOOKUP('Source VoT'!$F$27,'Annual Parameters'!$B$33:$W$143,21,FALSE)*VLOOKUP($B$14,'Annual Parameters'!$B$33:$W$143,3,FALSE)/VLOOKUP('Source VoT'!$E$27,'Annual Parameters'!$B$33:$W$143,3,FALSE)</f>
        <v>34.732974762228551</v>
      </c>
      <c r="AL69" s="73">
        <f>'Source VoT'!$D$29*VLOOKUP($B69,'Indirect tax correction'!$B$27:$I$127,7,FALSE)*VLOOKUP($B69,'Annual Parameters'!$B$33:$W$143,21,FALSE)/VLOOKUP('Source VoT'!$F$27,'Annual Parameters'!$B$33:$W$143,21,FALSE)*VLOOKUP($B$14,'Annual Parameters'!$B$33:$W$143,3,FALSE)/VLOOKUP('Source VoT'!$E$27,'Annual Parameters'!$B$33:$W$143,3,FALSE)</f>
        <v>23.916336497549793</v>
      </c>
      <c r="AM69" s="73">
        <f>'Source VoT'!$D$30*VLOOKUP($B69,'Indirect tax correction'!$B$27:$I$127,7,FALSE)*VLOOKUP($B69,'Annual Parameters'!$B$33:$W$143,21,FALSE)/VLOOKUP('Source VoT'!$F$27,'Annual Parameters'!$B$33:$W$143,21,FALSE)*VLOOKUP($B$14,'Annual Parameters'!$B$33:$W$143,3,FALSE)/VLOOKUP('Source VoT'!$E$27,'Annual Parameters'!$B$33:$W$143,3,FALSE)</f>
        <v>28.179202030677878</v>
      </c>
      <c r="AN69" s="73">
        <f>'Source VoT'!$D$31*VLOOKUP($B69,'Indirect tax correction'!$B$27:$I$127,7,FALSE)*VLOOKUP($B69,'Annual Parameters'!$B$33:$W$143,21,FALSE)/VLOOKUP('Source VoT'!$F$27,'Annual Parameters'!$B$33:$W$143,21,FALSE)*VLOOKUP($B$14,'Annual Parameters'!$B$33:$W$143,3,FALSE)/VLOOKUP('Source VoT'!$E$27,'Annual Parameters'!$B$33:$W$143,3,FALSE)</f>
        <v>28.788182821124749</v>
      </c>
      <c r="AO69" s="73">
        <f>'Source VoT'!$D$32*VLOOKUP($B69,'Indirect tax correction'!$B$27:$I$127,7,FALSE)*VLOOKUP($B69,'Annual Parameters'!$B$33:$W$143,21,FALSE)/VLOOKUP('Source VoT'!$F$27,'Annual Parameters'!$B$33:$W$143,21,FALSE)*VLOOKUP($B$14,'Annual Parameters'!$B$33:$W$143,3,FALSE)/VLOOKUP('Source VoT'!$E$27,'Annual Parameters'!$B$33:$W$143,3,FALSE)</f>
        <v>19.682683338047813</v>
      </c>
      <c r="AP69" s="73">
        <f>'Source VoT'!$D$33*VLOOKUP($B69,'Indirect tax correction'!$B$27:$I$127,7,FALSE)*VLOOKUP($B69,'Annual Parameters'!$B$33:$W$143,21,FALSE)/VLOOKUP('Source VoT'!$F$27,'Annual Parameters'!$B$33:$W$143,21,FALSE)*VLOOKUP($B$14,'Annual Parameters'!$B$33:$W$143,3,FALSE)/VLOOKUP('Source VoT'!$E$27,'Annual Parameters'!$B$33:$W$143,3,FALSE)</f>
        <v>25.43878847366696</v>
      </c>
      <c r="AQ69" s="73">
        <f>'Source VoT'!$D$34*VLOOKUP($B69,'Indirect tax correction'!$B$27:$I$127,7,FALSE)*VLOOKUP($B69,'Annual Parameters'!$B$33:$W$143,21,FALSE)/VLOOKUP('Source VoT'!$F$27,'Annual Parameters'!$B$33:$W$143,21,FALSE)*VLOOKUP($B$14,'Annual Parameters'!$B$33:$W$143,3,FALSE)/VLOOKUP('Source VoT'!$E$27,'Annual Parameters'!$B$33:$W$143,3,FALSE)</f>
        <v>34.732974762228551</v>
      </c>
      <c r="AR69" s="73">
        <f>'Source VoT'!$D$35*VLOOKUP($B69,'Indirect tax correction'!$B$27:$I$127,7,FALSE)*VLOOKUP($B69,'Annual Parameters'!$B$33:$W$143,21,FALSE)/VLOOKUP('Source VoT'!$F$27,'Annual Parameters'!$B$33:$W$143,21,FALSE)*VLOOKUP($B$14,'Annual Parameters'!$B$33:$W$143,3,FALSE)/VLOOKUP('Source VoT'!$E$27,'Annual Parameters'!$B$33:$W$143,3,FALSE)</f>
        <v>57.292472077752144</v>
      </c>
      <c r="AS69" s="73">
        <f>'Source VoT'!$D$36*VLOOKUP($B69,'Indirect tax correction'!$B$27:$I$127,7,FALSE)*VLOOKUP($B69,'Annual Parameters'!$B$33:$W$143,21,FALSE)/VLOOKUP('Source VoT'!$F$27,'Annual Parameters'!$B$33:$W$143,21,FALSE)*VLOOKUP($B$14,'Annual Parameters'!$B$33:$W$143,3,FALSE)/VLOOKUP('Source VoT'!$E$27,'Annual Parameters'!$B$33:$W$143,3,FALSE)</f>
        <v>19.682683338047813</v>
      </c>
      <c r="AT69" s="73">
        <f>'Source VoT'!$D$37*VLOOKUP($B69,'Indirect tax correction'!$B$27:$I$127,7,FALSE)*VLOOKUP($B69,'Annual Parameters'!$B$33:$W$143,21,FALSE)/VLOOKUP('Source VoT'!$F$27,'Annual Parameters'!$B$33:$W$143,21,FALSE)*VLOOKUP($B$14,'Annual Parameters'!$B$33:$W$143,3,FALSE)/VLOOKUP('Source VoT'!$E$27,'Annual Parameters'!$B$33:$W$143,3,FALSE)</f>
        <v>19.682683338047813</v>
      </c>
      <c r="AU69" s="73">
        <f>'Source VoT'!$D$38*VLOOKUP($B69,'Indirect tax correction'!$B$27:$I$127,7,FALSE)*VLOOKUP($B69,'Annual Parameters'!$B$33:$W$143,21,FALSE)/VLOOKUP('Source VoT'!$F$27,'Annual Parameters'!$B$33:$W$143,21,FALSE)*VLOOKUP($B$14,'Annual Parameters'!$B$33:$W$143,3,FALSE)/VLOOKUP('Source VoT'!$E$27,'Annual Parameters'!$B$33:$W$143,3,FALSE)</f>
        <v>19.682683338047813</v>
      </c>
      <c r="AV69" s="73">
        <f>'Source VoT'!$D$39*VLOOKUP($B69,'Indirect tax correction'!$B$27:$I$127,7,FALSE)*VLOOKUP($B69,'Annual Parameters'!$B$33:$W$143,21,FALSE)/VLOOKUP('Source VoT'!$F$27,'Annual Parameters'!$B$33:$W$143,21,FALSE)*VLOOKUP($B$14,'Annual Parameters'!$B$33:$W$143,3,FALSE)/VLOOKUP('Source VoT'!$E$27,'Annual Parameters'!$B$33:$W$143,3,FALSE)</f>
        <v>34.732974762228551</v>
      </c>
      <c r="AW69" s="74">
        <f>'Source VoT'!$D$40*VLOOKUP($B69,'Indirect tax correction'!$B$27:$I$127,7,FALSE)*VLOOKUP($B69,'Annual Parameters'!$B$33:$W$143,21,FALSE)/VLOOKUP('Source VoT'!$F$27,'Annual Parameters'!$B$33:$W$143,21,FALSE)*VLOOKUP($B$14,'Annual Parameters'!$B$33:$W$143,3,FALSE)/VLOOKUP('Source VoT'!$E$27,'Annual Parameters'!$B$33:$W$143,3,FALSE)</f>
        <v>37.832135232186275</v>
      </c>
      <c r="AX69" s="73">
        <f>'Source VoT'!$D$45*VLOOKUP($B69,'Indirect tax correction'!$B$27:$I$127,8,FALSE)*VLOOKUP($B69,'Annual Parameters'!$B$33:$W$143,22,FALSE)/VLOOKUP('Source VoT'!$F$27,'Annual Parameters'!$B$33:$W$143,22,FALSE)*VLOOKUP($B$14,'Annual Parameters'!$B$33:$W$143,3,FALSE)/VLOOKUP('Source VoT'!$E$27,'Annual Parameters'!$B$33:$W$143,3,FALSE)</f>
        <v>19.543386287856379</v>
      </c>
      <c r="AY69" s="74">
        <f>'Source VoT'!$D$46*VLOOKUP($B69,'Indirect tax correction'!$B$27:$I$127,8,FALSE)*VLOOKUP($B69,'Annual Parameters'!$B$33:$W$143,22,FALSE)/VLOOKUP('Source VoT'!$F$27,'Annual Parameters'!$B$33:$W$143,22,FALSE)*VLOOKUP($B$14,'Annual Parameters'!$B$33:$W$143,3,FALSE)/VLOOKUP('Source VoT'!$E$27,'Annual Parameters'!$B$33:$W$143,3,FALSE)</f>
        <v>8.9201880011735479</v>
      </c>
      <c r="AZ69" s="2875"/>
      <c r="BA69" s="2875"/>
      <c r="BB69" s="2875"/>
      <c r="BC69" s="2875"/>
      <c r="BD69" s="2875"/>
      <c r="BE69" s="2875"/>
      <c r="BF69" s="2875"/>
      <c r="BG69" s="2875"/>
    </row>
    <row r="70" spans="1:59" ht="13.5" customHeight="1">
      <c r="A70" s="90"/>
      <c r="B70" s="82">
        <f t="shared" si="0"/>
        <v>2053</v>
      </c>
      <c r="C70" s="82"/>
      <c r="D70" s="117">
        <f>'Source VoT'!$D$27*VLOOKUP($B70,'Indirect tax correction'!$B$27:$I$127,5,FALSE)*VLOOKUP($B70,'Annual Parameters'!$B$33:$W$143,21,FALSE)/VLOOKUP('Source VoT'!$F$27,'Annual Parameters'!$B$33:$W$143,21,FALSE)*VLOOKUP($B$14,'Annual Parameters'!$B$33:$W$143,3,FALSE)/VLOOKUP('Source VoT'!$E$27,'Annual Parameters'!$B$33:$W$143,3,FALSE)</f>
        <v>29.768168740941647</v>
      </c>
      <c r="E70" s="73">
        <f>'Source VoT'!$D$28*VLOOKUP($B70,'Indirect tax correction'!$B$27:$I$127,5,FALSE)*VLOOKUP($B70,'Annual Parameters'!$B$33:$W$143,21,FALSE)/VLOOKUP('Source VoT'!$F$27,'Annual Parameters'!$B$33:$W$143,21,FALSE)*VLOOKUP($B$14,'Annual Parameters'!$B$33:$W$143,3,FALSE)/VLOOKUP('Source VoT'!$E$27,'Annual Parameters'!$B$33:$W$143,3,FALSE)</f>
        <v>29.768168740941647</v>
      </c>
      <c r="F70" s="73">
        <f>'Source VoT'!$D$29*VLOOKUP($B70,'Indirect tax correction'!$B$27:$I$127,5,FALSE)*VLOOKUP($B70,'Annual Parameters'!$B$33:$W$143,21,FALSE)/VLOOKUP('Source VoT'!$F$27,'Annual Parameters'!$B$33:$W$143,21,FALSE)*VLOOKUP($B$14,'Annual Parameters'!$B$33:$W$143,3,FALSE)/VLOOKUP('Source VoT'!$E$27,'Annual Parameters'!$B$33:$W$143,3,FALSE)</f>
        <v>20.497683984685089</v>
      </c>
      <c r="G70" s="73">
        <f>'Source VoT'!$D$30*VLOOKUP($B70,'Indirect tax correction'!$B$27:$I$127,5,FALSE)*VLOOKUP($B70,'Annual Parameters'!$B$33:$W$143,21,FALSE)/VLOOKUP('Source VoT'!$F$27,'Annual Parameters'!$B$33:$W$143,21,FALSE)*VLOOKUP($B$14,'Annual Parameters'!$B$33:$W$143,3,FALSE)/VLOOKUP('Source VoT'!$E$27,'Annual Parameters'!$B$33:$W$143,3,FALSE)</f>
        <v>24.151206361584979</v>
      </c>
      <c r="H70" s="73">
        <f>'Source VoT'!$D$31*VLOOKUP($B70,'Indirect tax correction'!$B$27:$I$127,5,FALSE)*VLOOKUP($B70,'Annual Parameters'!$B$33:$W$143,21,FALSE)/VLOOKUP('Source VoT'!$F$27,'Annual Parameters'!$B$33:$W$143,21,FALSE)*VLOOKUP($B$14,'Annual Parameters'!$B$33:$W$143,3,FALSE)/VLOOKUP('Source VoT'!$E$27,'Annual Parameters'!$B$33:$W$143,3,FALSE)</f>
        <v>24.673138129713536</v>
      </c>
      <c r="I70" s="73">
        <f>'Source VoT'!$D$32*VLOOKUP($B70,'Indirect tax correction'!$B$27:$I$127,5,FALSE)*VLOOKUP($B70,'Annual Parameters'!$B$33:$W$143,21,FALSE)/VLOOKUP('Source VoT'!$F$27,'Annual Parameters'!$B$33:$W$143,21,FALSE)*VLOOKUP($B$14,'Annual Parameters'!$B$33:$W$143,3,FALSE)/VLOOKUP('Source VoT'!$E$27,'Annual Parameters'!$B$33:$W$143,3,FALSE)</f>
        <v>16.869198301975043</v>
      </c>
      <c r="J70" s="73">
        <f>'Source VoT'!$D$33*VLOOKUP($B70,'Indirect tax correction'!$B$27:$I$127,5,FALSE)*VLOOKUP($B70,'Annual Parameters'!$B$33:$W$143,21,FALSE)/VLOOKUP('Source VoT'!$F$27,'Annual Parameters'!$B$33:$W$143,21,FALSE)*VLOOKUP($B$14,'Annual Parameters'!$B$33:$W$143,3,FALSE)/VLOOKUP('Source VoT'!$E$27,'Annual Parameters'!$B$33:$W$143,3,FALSE)</f>
        <v>21.802513405006476</v>
      </c>
      <c r="K70" s="73">
        <f>'Source VoT'!$D$34*VLOOKUP($B70,'Indirect tax correction'!$B$27:$I$127,5,FALSE)*VLOOKUP($B70,'Annual Parameters'!$B$33:$W$143,21,FALSE)/VLOOKUP('Source VoT'!$F$27,'Annual Parameters'!$B$33:$W$143,21,FALSE)*VLOOKUP($B$14,'Annual Parameters'!$B$33:$W$143,3,FALSE)/VLOOKUP('Source VoT'!$E$27,'Annual Parameters'!$B$33:$W$143,3,FALSE)</f>
        <v>29.768168740941647</v>
      </c>
      <c r="L70" s="73">
        <f>'Source VoT'!$D$35*VLOOKUP($B70,'Indirect tax correction'!$B$27:$I$127,5,FALSE)*VLOOKUP($B70,'Annual Parameters'!$B$33:$W$143,21,FALSE)/VLOOKUP('Source VoT'!$F$27,'Annual Parameters'!$B$33:$W$143,21,FALSE)*VLOOKUP($B$14,'Annual Parameters'!$B$33:$W$143,3,FALSE)/VLOOKUP('Source VoT'!$E$27,'Annual Parameters'!$B$33:$W$143,3,FALSE)</f>
        <v>49.102963050861511</v>
      </c>
      <c r="M70" s="73">
        <f>'Source VoT'!$D$36*VLOOKUP($B70,'Indirect tax correction'!$B$27:$I$127,5,FALSE)*VLOOKUP($B70,'Annual Parameters'!$B$33:$W$143,21,FALSE)/VLOOKUP('Source VoT'!$F$27,'Annual Parameters'!$B$33:$W$143,21,FALSE)*VLOOKUP($B$14,'Annual Parameters'!$B$33:$W$143,3,FALSE)/VLOOKUP('Source VoT'!$E$27,'Annual Parameters'!$B$33:$W$143,3,FALSE)</f>
        <v>16.869198301975043</v>
      </c>
      <c r="N70" s="73">
        <f>'Source VoT'!$D$37*VLOOKUP($B70,'Indirect tax correction'!$B$27:$I$127,5,FALSE)*VLOOKUP($B70,'Annual Parameters'!$B$33:$W$143,21,FALSE)/VLOOKUP('Source VoT'!$F$27,'Annual Parameters'!$B$33:$W$143,21,FALSE)*VLOOKUP($B$14,'Annual Parameters'!$B$33:$W$143,3,FALSE)/VLOOKUP('Source VoT'!$E$27,'Annual Parameters'!$B$33:$W$143,3,FALSE)</f>
        <v>16.869198301975043</v>
      </c>
      <c r="O70" s="73">
        <f>'Source VoT'!$D$38*VLOOKUP($B70,'Indirect tax correction'!$B$27:$I$127,5,FALSE)*VLOOKUP($B70,'Annual Parameters'!$B$33:$W$143,21,FALSE)/VLOOKUP('Source VoT'!$F$27,'Annual Parameters'!$B$33:$W$143,21,FALSE)*VLOOKUP($B$14,'Annual Parameters'!$B$33:$W$143,3,FALSE)/VLOOKUP('Source VoT'!$E$27,'Annual Parameters'!$B$33:$W$143,3,FALSE)</f>
        <v>16.869198301975043</v>
      </c>
      <c r="P70" s="73">
        <f>'Source VoT'!$D$39*VLOOKUP($B70,'Indirect tax correction'!$B$27:$I$127,5,FALSE)*VLOOKUP($B70,'Annual Parameters'!$B$33:$W$143,21,FALSE)/VLOOKUP('Source VoT'!$F$27,'Annual Parameters'!$B$33:$W$143,21,FALSE)*VLOOKUP($B$14,'Annual Parameters'!$B$33:$W$143,3,FALSE)/VLOOKUP('Source VoT'!$E$27,'Annual Parameters'!$B$33:$W$143,3,FALSE)</f>
        <v>29.768168740941647</v>
      </c>
      <c r="Q70" s="74">
        <f>'Source VoT'!$D$40*VLOOKUP($B70,'Indirect tax correction'!$B$27:$I$127,5,FALSE)*VLOOKUP($B70,'Annual Parameters'!$B$33:$W$143,21,FALSE)/VLOOKUP('Source VoT'!$F$27,'Annual Parameters'!$B$33:$W$143,21,FALSE)*VLOOKUP($B$14,'Annual Parameters'!$B$33:$W$143,3,FALSE)/VLOOKUP('Source VoT'!$E$27,'Annual Parameters'!$B$33:$W$143,3,FALSE)</f>
        <v>32.424328556117764</v>
      </c>
      <c r="R70" s="73">
        <f>'Source VoT'!$D$45*VLOOKUP($B70,'Indirect tax correction'!$B$27:$I$127,6,FALSE)*VLOOKUP($B70,'Annual Parameters'!$B$33:$W$143,22,FALSE)/VLOOKUP('Source VoT'!$F$27,'Annual Parameters'!$B$33:$W$143,22,FALSE)*VLOOKUP($B$14,'Annual Parameters'!$B$33:$W$143,3,FALSE)/VLOOKUP('Source VoT'!$E$27,'Annual Parameters'!$B$33:$W$143,3,FALSE)</f>
        <v>16.749812671357439</v>
      </c>
      <c r="S70" s="73">
        <f>'Source VoT'!$D$46*VLOOKUP($B70,'Indirect tax correction'!$B$27:$I$127,6,FALSE)*VLOOKUP($B70,'Annual Parameters'!$B$33:$W$143,22,FALSE)/VLOOKUP('Source VoT'!$F$27,'Annual Parameters'!$B$33:$W$143,22,FALSE)*VLOOKUP($B$14,'Annual Parameters'!$B$33:$W$143,3,FALSE)/VLOOKUP('Source VoT'!$E$27,'Annual Parameters'!$B$33:$W$143,3,FALSE)</f>
        <v>7.6451171671199427</v>
      </c>
      <c r="T70" s="117">
        <f>'Source VoT'!$D$27*1*VLOOKUP($B70,'Annual Parameters'!$B$33:$W$143,21,FALSE)/VLOOKUP('Source VoT'!$F$27,'Annual Parameters'!$B$33:$W$143,21,FALSE)*VLOOKUP($B$14,'Annual Parameters'!$B$33:$W$143,3,FALSE)/VLOOKUP('Source VoT'!$E$27,'Annual Parameters'!$B$33:$W$143,3,FALSE)</f>
        <v>29.768168740941647</v>
      </c>
      <c r="U70" s="73">
        <f>'Source VoT'!$D$28*1*VLOOKUP($B70,'Annual Parameters'!$B$33:$W$143,21,FALSE)/VLOOKUP('Source VoT'!$F$27,'Annual Parameters'!$B$33:$W$143,21,FALSE)*VLOOKUP($B$14,'Annual Parameters'!$B$33:$W$143,3,FALSE)/VLOOKUP('Source VoT'!$E$27,'Annual Parameters'!$B$33:$W$143,3,FALSE)</f>
        <v>29.768168740941647</v>
      </c>
      <c r="V70" s="73">
        <f>'Source VoT'!$D$29*1*VLOOKUP($B70,'Annual Parameters'!$B$33:$W$143,21,FALSE)/VLOOKUP('Source VoT'!$F$27,'Annual Parameters'!$B$33:$W$143,21,FALSE)*VLOOKUP($B$14,'Annual Parameters'!$B$33:$W$143,3,FALSE)/VLOOKUP('Source VoT'!$E$27,'Annual Parameters'!$B$33:$W$143,3,FALSE)</f>
        <v>20.497683984685089</v>
      </c>
      <c r="W70" s="73">
        <f>'Source VoT'!$D$30*1*VLOOKUP($B70,'Annual Parameters'!$B$33:$W$143,21,FALSE)/VLOOKUP('Source VoT'!$F$27,'Annual Parameters'!$B$33:$W$143,21,FALSE)*VLOOKUP($B$14,'Annual Parameters'!$B$33:$W$143,3,FALSE)/VLOOKUP('Source VoT'!$E$27,'Annual Parameters'!$B$33:$W$143,3,FALSE)</f>
        <v>24.151206361584979</v>
      </c>
      <c r="X70" s="73">
        <f>'Source VoT'!$D$31*1*VLOOKUP($B70,'Annual Parameters'!$B$33:$W$143,21,FALSE)/VLOOKUP('Source VoT'!$F$27,'Annual Parameters'!$B$33:$W$143,21,FALSE)*VLOOKUP($B$14,'Annual Parameters'!$B$33:$W$143,3,FALSE)/VLOOKUP('Source VoT'!$E$27,'Annual Parameters'!$B$33:$W$143,3,FALSE)</f>
        <v>24.673138129713536</v>
      </c>
      <c r="Y70" s="73">
        <f>'Source VoT'!$D$32*1*VLOOKUP($B70,'Annual Parameters'!$B$33:$W$143,21,FALSE)/VLOOKUP('Source VoT'!$F$27,'Annual Parameters'!$B$33:$W$143,21,FALSE)*VLOOKUP($B$14,'Annual Parameters'!$B$33:$W$143,3,FALSE)/VLOOKUP('Source VoT'!$E$27,'Annual Parameters'!$B$33:$W$143,3,FALSE)</f>
        <v>16.869198301975043</v>
      </c>
      <c r="Z70" s="73">
        <f>'Source VoT'!$D$33*1*VLOOKUP($B70,'Annual Parameters'!$B$33:$W$143,21,FALSE)/VLOOKUP('Source VoT'!$F$27,'Annual Parameters'!$B$33:$W$143,21,FALSE)*VLOOKUP($B$14,'Annual Parameters'!$B$33:$W$143,3,FALSE)/VLOOKUP('Source VoT'!$E$27,'Annual Parameters'!$B$33:$W$143,3,FALSE)</f>
        <v>21.802513405006476</v>
      </c>
      <c r="AA70" s="73">
        <f>'Source VoT'!$D$34*1*VLOOKUP($B70,'Annual Parameters'!$B$33:$W$143,21,FALSE)/VLOOKUP('Source VoT'!$F$27,'Annual Parameters'!$B$33:$W$143,21,FALSE)*VLOOKUP($B$14,'Annual Parameters'!$B$33:$W$143,3,FALSE)/VLOOKUP('Source VoT'!$E$27,'Annual Parameters'!$B$33:$W$143,3,FALSE)</f>
        <v>29.768168740941647</v>
      </c>
      <c r="AB70" s="73">
        <f>'Source VoT'!$D$35*1*VLOOKUP($B70,'Annual Parameters'!$B$33:$W$143,21,FALSE)/VLOOKUP('Source VoT'!$F$27,'Annual Parameters'!$B$33:$W$143,21,FALSE)*VLOOKUP($B$14,'Annual Parameters'!$B$33:$W$143,3,FALSE)/VLOOKUP('Source VoT'!$E$27,'Annual Parameters'!$B$33:$W$143,3,FALSE)</f>
        <v>49.102963050861511</v>
      </c>
      <c r="AC70" s="73">
        <f>'Source VoT'!$D$36*1*VLOOKUP($B70,'Annual Parameters'!$B$33:$W$143,21,FALSE)/VLOOKUP('Source VoT'!$F$27,'Annual Parameters'!$B$33:$W$143,21,FALSE)*VLOOKUP($B$14,'Annual Parameters'!$B$33:$W$143,3,FALSE)/VLOOKUP('Source VoT'!$E$27,'Annual Parameters'!$B$33:$W$143,3,FALSE)</f>
        <v>16.869198301975043</v>
      </c>
      <c r="AD70" s="73">
        <f>'Source VoT'!$D$37*1*VLOOKUP($B70,'Annual Parameters'!$B$33:$W$143,21,FALSE)/VLOOKUP('Source VoT'!$F$27,'Annual Parameters'!$B$33:$W$143,21,FALSE)*VLOOKUP($B$14,'Annual Parameters'!$B$33:$W$143,3,FALSE)/VLOOKUP('Source VoT'!$E$27,'Annual Parameters'!$B$33:$W$143,3,FALSE)</f>
        <v>16.869198301975043</v>
      </c>
      <c r="AE70" s="73">
        <f>'Source VoT'!$D$38*1*VLOOKUP($B70,'Annual Parameters'!$B$33:$W$143,21,FALSE)/VLOOKUP('Source VoT'!$F$27,'Annual Parameters'!$B$33:$W$143,21,FALSE)*VLOOKUP($B$14,'Annual Parameters'!$B$33:$W$143,3,FALSE)/VLOOKUP('Source VoT'!$E$27,'Annual Parameters'!$B$33:$W$143,3,FALSE)</f>
        <v>16.869198301975043</v>
      </c>
      <c r="AF70" s="73">
        <f>'Source VoT'!$D$39*1*VLOOKUP($B70,'Annual Parameters'!$B$33:$W$143,21,FALSE)/VLOOKUP('Source VoT'!$F$27,'Annual Parameters'!$B$33:$W$143,21,FALSE)*VLOOKUP($B$14,'Annual Parameters'!$B$33:$W$143,3,FALSE)/VLOOKUP('Source VoT'!$E$27,'Annual Parameters'!$B$33:$W$143,3,FALSE)</f>
        <v>29.768168740941647</v>
      </c>
      <c r="AG70" s="74">
        <f>'Source VoT'!$D$40*1*VLOOKUP($B70,'Annual Parameters'!$B$33:$W$143,21,FALSE)/VLOOKUP('Source VoT'!$F$27,'Annual Parameters'!$B$33:$W$143,21,FALSE)*VLOOKUP($B$14,'Annual Parameters'!$B$33:$W$143,3,FALSE)/VLOOKUP('Source VoT'!$E$27,'Annual Parameters'!$B$33:$W$143,3,FALSE)</f>
        <v>32.424328556117764</v>
      </c>
      <c r="AH70" s="73">
        <f>'Source VoT'!$D$45*1*VLOOKUP($B70,'Annual Parameters'!$B$33:$W$143,22,FALSE)/VLOOKUP('Source VoT'!$F$27,'Annual Parameters'!$B$33:$W$143,22,FALSE)*VLOOKUP($B$14,'Annual Parameters'!$B$33:$W$143,3,FALSE)/VLOOKUP('Source VoT'!$E$27,'Annual Parameters'!$B$33:$W$143,3,FALSE)</f>
        <v>19.932277078915352</v>
      </c>
      <c r="AI70" s="73">
        <f>'Source VoT'!$D$46*1*VLOOKUP($B70,'Annual Parameters'!$B$33:$W$143,22,FALSE)/VLOOKUP('Source VoT'!$F$27,'Annual Parameters'!$B$33:$W$143,22,FALSE)*VLOOKUP($B$14,'Annual Parameters'!$B$33:$W$143,3,FALSE)/VLOOKUP('Source VoT'!$E$27,'Annual Parameters'!$B$33:$W$143,3,FALSE)</f>
        <v>9.0976894288727319</v>
      </c>
      <c r="AJ70" s="117">
        <f>'Source VoT'!$D$27*VLOOKUP($B70,'Indirect tax correction'!$B$27:$I$127,7,FALSE)*VLOOKUP($B70,'Annual Parameters'!$B$33:$W$143,21,FALSE)/VLOOKUP('Source VoT'!$F$27,'Annual Parameters'!$B$33:$W$143,21,FALSE)*VLOOKUP($B$14,'Annual Parameters'!$B$33:$W$143,3,FALSE)/VLOOKUP('Source VoT'!$E$27,'Annual Parameters'!$B$33:$W$143,3,FALSE)</f>
        <v>35.424120801720562</v>
      </c>
      <c r="AK70" s="73">
        <f>'Source VoT'!$D$28*VLOOKUP($B70,'Indirect tax correction'!$B$27:$I$127,7,FALSE)*VLOOKUP($B70,'Annual Parameters'!$B$33:$W$143,21,FALSE)/VLOOKUP('Source VoT'!$F$27,'Annual Parameters'!$B$33:$W$143,21,FALSE)*VLOOKUP($B$14,'Annual Parameters'!$B$33:$W$143,3,FALSE)/VLOOKUP('Source VoT'!$E$27,'Annual Parameters'!$B$33:$W$143,3,FALSE)</f>
        <v>35.424120801720562</v>
      </c>
      <c r="AL70" s="73">
        <f>'Source VoT'!$D$29*VLOOKUP($B70,'Indirect tax correction'!$B$27:$I$127,7,FALSE)*VLOOKUP($B70,'Annual Parameters'!$B$33:$W$143,21,FALSE)/VLOOKUP('Source VoT'!$F$27,'Annual Parameters'!$B$33:$W$143,21,FALSE)*VLOOKUP($B$14,'Annual Parameters'!$B$33:$W$143,3,FALSE)/VLOOKUP('Source VoT'!$E$27,'Annual Parameters'!$B$33:$W$143,3,FALSE)</f>
        <v>24.392243941775259</v>
      </c>
      <c r="AM70" s="73">
        <f>'Source VoT'!$D$30*VLOOKUP($B70,'Indirect tax correction'!$B$27:$I$127,7,FALSE)*VLOOKUP($B70,'Annual Parameters'!$B$33:$W$143,21,FALSE)/VLOOKUP('Source VoT'!$F$27,'Annual Parameters'!$B$33:$W$143,21,FALSE)*VLOOKUP($B$14,'Annual Parameters'!$B$33:$W$143,3,FALSE)/VLOOKUP('Source VoT'!$E$27,'Annual Parameters'!$B$33:$W$143,3,FALSE)</f>
        <v>28.739935570286114</v>
      </c>
      <c r="AN70" s="73">
        <f>'Source VoT'!$D$31*VLOOKUP($B70,'Indirect tax correction'!$B$27:$I$127,7,FALSE)*VLOOKUP($B70,'Annual Parameters'!$B$33:$W$143,21,FALSE)/VLOOKUP('Source VoT'!$F$27,'Annual Parameters'!$B$33:$W$143,21,FALSE)*VLOOKUP($B$14,'Annual Parameters'!$B$33:$W$143,3,FALSE)/VLOOKUP('Source VoT'!$E$27,'Annual Parameters'!$B$33:$W$143,3,FALSE)</f>
        <v>29.361034374359107</v>
      </c>
      <c r="AO70" s="73">
        <f>'Source VoT'!$D$32*VLOOKUP($B70,'Indirect tax correction'!$B$27:$I$127,7,FALSE)*VLOOKUP($B70,'Annual Parameters'!$B$33:$W$143,21,FALSE)/VLOOKUP('Source VoT'!$F$27,'Annual Parameters'!$B$33:$W$143,21,FALSE)*VLOOKUP($B$14,'Annual Parameters'!$B$33:$W$143,3,FALSE)/VLOOKUP('Source VoT'!$E$27,'Annual Parameters'!$B$33:$W$143,3,FALSE)</f>
        <v>20.074345979350301</v>
      </c>
      <c r="AP70" s="73">
        <f>'Source VoT'!$D$33*VLOOKUP($B70,'Indirect tax correction'!$B$27:$I$127,7,FALSE)*VLOOKUP($B70,'Annual Parameters'!$B$33:$W$143,21,FALSE)/VLOOKUP('Source VoT'!$F$27,'Annual Parameters'!$B$33:$W$143,21,FALSE)*VLOOKUP($B$14,'Annual Parameters'!$B$33:$W$143,3,FALSE)/VLOOKUP('Source VoT'!$E$27,'Annual Parameters'!$B$33:$W$143,3,FALSE)</f>
        <v>25.944990951957706</v>
      </c>
      <c r="AQ70" s="73">
        <f>'Source VoT'!$D$34*VLOOKUP($B70,'Indirect tax correction'!$B$27:$I$127,7,FALSE)*VLOOKUP($B70,'Annual Parameters'!$B$33:$W$143,21,FALSE)/VLOOKUP('Source VoT'!$F$27,'Annual Parameters'!$B$33:$W$143,21,FALSE)*VLOOKUP($B$14,'Annual Parameters'!$B$33:$W$143,3,FALSE)/VLOOKUP('Source VoT'!$E$27,'Annual Parameters'!$B$33:$W$143,3,FALSE)</f>
        <v>35.424120801720562</v>
      </c>
      <c r="AR70" s="73">
        <f>'Source VoT'!$D$35*VLOOKUP($B70,'Indirect tax correction'!$B$27:$I$127,7,FALSE)*VLOOKUP($B70,'Annual Parameters'!$B$33:$W$143,21,FALSE)/VLOOKUP('Source VoT'!$F$27,'Annual Parameters'!$B$33:$W$143,21,FALSE)*VLOOKUP($B$14,'Annual Parameters'!$B$33:$W$143,3,FALSE)/VLOOKUP('Source VoT'!$E$27,'Annual Parameters'!$B$33:$W$143,3,FALSE)</f>
        <v>58.432526030525189</v>
      </c>
      <c r="AS70" s="73">
        <f>'Source VoT'!$D$36*VLOOKUP($B70,'Indirect tax correction'!$B$27:$I$127,7,FALSE)*VLOOKUP($B70,'Annual Parameters'!$B$33:$W$143,21,FALSE)/VLOOKUP('Source VoT'!$F$27,'Annual Parameters'!$B$33:$W$143,21,FALSE)*VLOOKUP($B$14,'Annual Parameters'!$B$33:$W$143,3,FALSE)/VLOOKUP('Source VoT'!$E$27,'Annual Parameters'!$B$33:$W$143,3,FALSE)</f>
        <v>20.074345979350301</v>
      </c>
      <c r="AT70" s="73">
        <f>'Source VoT'!$D$37*VLOOKUP($B70,'Indirect tax correction'!$B$27:$I$127,7,FALSE)*VLOOKUP($B70,'Annual Parameters'!$B$33:$W$143,21,FALSE)/VLOOKUP('Source VoT'!$F$27,'Annual Parameters'!$B$33:$W$143,21,FALSE)*VLOOKUP($B$14,'Annual Parameters'!$B$33:$W$143,3,FALSE)/VLOOKUP('Source VoT'!$E$27,'Annual Parameters'!$B$33:$W$143,3,FALSE)</f>
        <v>20.074345979350301</v>
      </c>
      <c r="AU70" s="73">
        <f>'Source VoT'!$D$38*VLOOKUP($B70,'Indirect tax correction'!$B$27:$I$127,7,FALSE)*VLOOKUP($B70,'Annual Parameters'!$B$33:$W$143,21,FALSE)/VLOOKUP('Source VoT'!$F$27,'Annual Parameters'!$B$33:$W$143,21,FALSE)*VLOOKUP($B$14,'Annual Parameters'!$B$33:$W$143,3,FALSE)/VLOOKUP('Source VoT'!$E$27,'Annual Parameters'!$B$33:$W$143,3,FALSE)</f>
        <v>20.074345979350301</v>
      </c>
      <c r="AV70" s="73">
        <f>'Source VoT'!$D$39*VLOOKUP($B70,'Indirect tax correction'!$B$27:$I$127,7,FALSE)*VLOOKUP($B70,'Annual Parameters'!$B$33:$W$143,21,FALSE)/VLOOKUP('Source VoT'!$F$27,'Annual Parameters'!$B$33:$W$143,21,FALSE)*VLOOKUP($B$14,'Annual Parameters'!$B$33:$W$143,3,FALSE)/VLOOKUP('Source VoT'!$E$27,'Annual Parameters'!$B$33:$W$143,3,FALSE)</f>
        <v>35.424120801720562</v>
      </c>
      <c r="AW70" s="74">
        <f>'Source VoT'!$D$40*VLOOKUP($B70,'Indirect tax correction'!$B$27:$I$127,7,FALSE)*VLOOKUP($B70,'Annual Parameters'!$B$33:$W$143,21,FALSE)/VLOOKUP('Source VoT'!$F$27,'Annual Parameters'!$B$33:$W$143,21,FALSE)*VLOOKUP($B$14,'Annual Parameters'!$B$33:$W$143,3,FALSE)/VLOOKUP('Source VoT'!$E$27,'Annual Parameters'!$B$33:$W$143,3,FALSE)</f>
        <v>38.584950981780132</v>
      </c>
      <c r="AX70" s="73">
        <f>'Source VoT'!$D$45*VLOOKUP($B70,'Indirect tax correction'!$B$27:$I$127,8,FALSE)*VLOOKUP($B70,'Annual Parameters'!$B$33:$W$143,22,FALSE)/VLOOKUP('Source VoT'!$F$27,'Annual Parameters'!$B$33:$W$143,22,FALSE)*VLOOKUP($B$14,'Annual Parameters'!$B$33:$W$143,3,FALSE)/VLOOKUP('Source VoT'!$E$27,'Annual Parameters'!$B$33:$W$143,3,FALSE)</f>
        <v>19.932277078915352</v>
      </c>
      <c r="AY70" s="74">
        <f>'Source VoT'!$D$46*VLOOKUP($B70,'Indirect tax correction'!$B$27:$I$127,8,FALSE)*VLOOKUP($B70,'Annual Parameters'!$B$33:$W$143,22,FALSE)/VLOOKUP('Source VoT'!$F$27,'Annual Parameters'!$B$33:$W$143,22,FALSE)*VLOOKUP($B$14,'Annual Parameters'!$B$33:$W$143,3,FALSE)/VLOOKUP('Source VoT'!$E$27,'Annual Parameters'!$B$33:$W$143,3,FALSE)</f>
        <v>9.0976894288727319</v>
      </c>
      <c r="AZ70" s="2875"/>
      <c r="BA70" s="2875"/>
      <c r="BB70" s="2875"/>
      <c r="BC70" s="2875"/>
      <c r="BD70" s="2875"/>
      <c r="BE70" s="2875"/>
      <c r="BF70" s="2875"/>
      <c r="BG70" s="2875"/>
    </row>
    <row r="71" spans="1:59" ht="13.5" customHeight="1">
      <c r="A71" s="90"/>
      <c r="B71" s="82">
        <f t="shared" si="0"/>
        <v>2054</v>
      </c>
      <c r="C71" s="82"/>
      <c r="D71" s="117">
        <f>'Source VoT'!$D$27*VLOOKUP($B71,'Indirect tax correction'!$B$27:$I$127,5,FALSE)*VLOOKUP($B71,'Annual Parameters'!$B$33:$W$143,21,FALSE)/VLOOKUP('Source VoT'!$F$27,'Annual Parameters'!$B$33:$W$143,21,FALSE)*VLOOKUP($B$14,'Annual Parameters'!$B$33:$W$143,3,FALSE)/VLOOKUP('Source VoT'!$E$27,'Annual Parameters'!$B$33:$W$143,3,FALSE)</f>
        <v>30.356152632670923</v>
      </c>
      <c r="E71" s="73">
        <f>'Source VoT'!$D$28*VLOOKUP($B71,'Indirect tax correction'!$B$27:$I$127,5,FALSE)*VLOOKUP($B71,'Annual Parameters'!$B$33:$W$143,21,FALSE)/VLOOKUP('Source VoT'!$F$27,'Annual Parameters'!$B$33:$W$143,21,FALSE)*VLOOKUP($B$14,'Annual Parameters'!$B$33:$W$143,3,FALSE)/VLOOKUP('Source VoT'!$E$27,'Annual Parameters'!$B$33:$W$143,3,FALSE)</f>
        <v>30.356152632670923</v>
      </c>
      <c r="F71" s="73">
        <f>'Source VoT'!$D$29*VLOOKUP($B71,'Indirect tax correction'!$B$27:$I$127,5,FALSE)*VLOOKUP($B71,'Annual Parameters'!$B$33:$W$143,21,FALSE)/VLOOKUP('Source VoT'!$F$27,'Annual Parameters'!$B$33:$W$143,21,FALSE)*VLOOKUP($B$14,'Annual Parameters'!$B$33:$W$143,3,FALSE)/VLOOKUP('Source VoT'!$E$27,'Annual Parameters'!$B$33:$W$143,3,FALSE)</f>
        <v>20.902556320153138</v>
      </c>
      <c r="G71" s="73">
        <f>'Source VoT'!$D$30*VLOOKUP($B71,'Indirect tax correction'!$B$27:$I$127,5,FALSE)*VLOOKUP($B71,'Annual Parameters'!$B$33:$W$143,21,FALSE)/VLOOKUP('Source VoT'!$F$27,'Annual Parameters'!$B$33:$W$143,21,FALSE)*VLOOKUP($B$14,'Annual Parameters'!$B$33:$W$143,3,FALSE)/VLOOKUP('Source VoT'!$E$27,'Annual Parameters'!$B$33:$W$143,3,FALSE)</f>
        <v>24.628243442032286</v>
      </c>
      <c r="H71" s="73">
        <f>'Source VoT'!$D$31*VLOOKUP($B71,'Indirect tax correction'!$B$27:$I$127,5,FALSE)*VLOOKUP($B71,'Annual Parameters'!$B$33:$W$143,21,FALSE)/VLOOKUP('Source VoT'!$F$27,'Annual Parameters'!$B$33:$W$143,21,FALSE)*VLOOKUP($B$14,'Annual Parameters'!$B$33:$W$143,3,FALSE)/VLOOKUP('Source VoT'!$E$27,'Annual Parameters'!$B$33:$W$143,3,FALSE)</f>
        <v>25.160484459443595</v>
      </c>
      <c r="I71" s="73">
        <f>'Source VoT'!$D$32*VLOOKUP($B71,'Indirect tax correction'!$B$27:$I$127,5,FALSE)*VLOOKUP($B71,'Annual Parameters'!$B$33:$W$143,21,FALSE)/VLOOKUP('Source VoT'!$F$27,'Annual Parameters'!$B$33:$W$143,21,FALSE)*VLOOKUP($B$14,'Annual Parameters'!$B$33:$W$143,3,FALSE)/VLOOKUP('Source VoT'!$E$27,'Annual Parameters'!$B$33:$W$143,3,FALSE)</f>
        <v>17.202400419789779</v>
      </c>
      <c r="J71" s="73">
        <f>'Source VoT'!$D$33*VLOOKUP($B71,'Indirect tax correction'!$B$27:$I$127,5,FALSE)*VLOOKUP($B71,'Annual Parameters'!$B$33:$W$143,21,FALSE)/VLOOKUP('Source VoT'!$F$27,'Annual Parameters'!$B$33:$W$143,21,FALSE)*VLOOKUP($B$14,'Annual Parameters'!$B$33:$W$143,3,FALSE)/VLOOKUP('Source VoT'!$E$27,'Annual Parameters'!$B$33:$W$143,3,FALSE)</f>
        <v>22.2331588636814</v>
      </c>
      <c r="K71" s="73">
        <f>'Source VoT'!$D$34*VLOOKUP($B71,'Indirect tax correction'!$B$27:$I$127,5,FALSE)*VLOOKUP($B71,'Annual Parameters'!$B$33:$W$143,21,FALSE)/VLOOKUP('Source VoT'!$F$27,'Annual Parameters'!$B$33:$W$143,21,FALSE)*VLOOKUP($B$14,'Annual Parameters'!$B$33:$W$143,3,FALSE)/VLOOKUP('Source VoT'!$E$27,'Annual Parameters'!$B$33:$W$143,3,FALSE)</f>
        <v>30.356152632670923</v>
      </c>
      <c r="L71" s="73">
        <f>'Source VoT'!$D$35*VLOOKUP($B71,'Indirect tax correction'!$B$27:$I$127,5,FALSE)*VLOOKUP($B71,'Annual Parameters'!$B$33:$W$143,21,FALSE)/VLOOKUP('Source VoT'!$F$27,'Annual Parameters'!$B$33:$W$143,21,FALSE)*VLOOKUP($B$14,'Annual Parameters'!$B$33:$W$143,3,FALSE)/VLOOKUP('Source VoT'!$E$27,'Annual Parameters'!$B$33:$W$143,3,FALSE)</f>
        <v>50.072849763119201</v>
      </c>
      <c r="M71" s="73">
        <f>'Source VoT'!$D$36*VLOOKUP($B71,'Indirect tax correction'!$B$27:$I$127,5,FALSE)*VLOOKUP($B71,'Annual Parameters'!$B$33:$W$143,21,FALSE)/VLOOKUP('Source VoT'!$F$27,'Annual Parameters'!$B$33:$W$143,21,FALSE)*VLOOKUP($B$14,'Annual Parameters'!$B$33:$W$143,3,FALSE)/VLOOKUP('Source VoT'!$E$27,'Annual Parameters'!$B$33:$W$143,3,FALSE)</f>
        <v>17.202400419789779</v>
      </c>
      <c r="N71" s="73">
        <f>'Source VoT'!$D$37*VLOOKUP($B71,'Indirect tax correction'!$B$27:$I$127,5,FALSE)*VLOOKUP($B71,'Annual Parameters'!$B$33:$W$143,21,FALSE)/VLOOKUP('Source VoT'!$F$27,'Annual Parameters'!$B$33:$W$143,21,FALSE)*VLOOKUP($B$14,'Annual Parameters'!$B$33:$W$143,3,FALSE)/VLOOKUP('Source VoT'!$E$27,'Annual Parameters'!$B$33:$W$143,3,FALSE)</f>
        <v>17.202400419789779</v>
      </c>
      <c r="O71" s="73">
        <f>'Source VoT'!$D$38*VLOOKUP($B71,'Indirect tax correction'!$B$27:$I$127,5,FALSE)*VLOOKUP($B71,'Annual Parameters'!$B$33:$W$143,21,FALSE)/VLOOKUP('Source VoT'!$F$27,'Annual Parameters'!$B$33:$W$143,21,FALSE)*VLOOKUP($B$14,'Annual Parameters'!$B$33:$W$143,3,FALSE)/VLOOKUP('Source VoT'!$E$27,'Annual Parameters'!$B$33:$W$143,3,FALSE)</f>
        <v>17.202400419789779</v>
      </c>
      <c r="P71" s="73">
        <f>'Source VoT'!$D$39*VLOOKUP($B71,'Indirect tax correction'!$B$27:$I$127,5,FALSE)*VLOOKUP($B71,'Annual Parameters'!$B$33:$W$143,21,FALSE)/VLOOKUP('Source VoT'!$F$27,'Annual Parameters'!$B$33:$W$143,21,FALSE)*VLOOKUP($B$14,'Annual Parameters'!$B$33:$W$143,3,FALSE)/VLOOKUP('Source VoT'!$E$27,'Annual Parameters'!$B$33:$W$143,3,FALSE)</f>
        <v>30.356152632670923</v>
      </c>
      <c r="Q71" s="74">
        <f>'Source VoT'!$D$40*VLOOKUP($B71,'Indirect tax correction'!$B$27:$I$127,5,FALSE)*VLOOKUP($B71,'Annual Parameters'!$B$33:$W$143,21,FALSE)/VLOOKUP('Source VoT'!$F$27,'Annual Parameters'!$B$33:$W$143,21,FALSE)*VLOOKUP($B$14,'Annual Parameters'!$B$33:$W$143,3,FALSE)/VLOOKUP('Source VoT'!$E$27,'Annual Parameters'!$B$33:$W$143,3,FALSE)</f>
        <v>33.064777186231638</v>
      </c>
      <c r="R71" s="73">
        <f>'Source VoT'!$D$45*VLOOKUP($B71,'Indirect tax correction'!$B$27:$I$127,6,FALSE)*VLOOKUP($B71,'Annual Parameters'!$B$33:$W$143,22,FALSE)/VLOOKUP('Source VoT'!$F$27,'Annual Parameters'!$B$33:$W$143,22,FALSE)*VLOOKUP($B$14,'Annual Parameters'!$B$33:$W$143,3,FALSE)/VLOOKUP('Source VoT'!$E$27,'Annual Parameters'!$B$33:$W$143,3,FALSE)</f>
        <v>17.080656672073403</v>
      </c>
      <c r="S71" s="73">
        <f>'Source VoT'!$D$46*VLOOKUP($B71,'Indirect tax correction'!$B$27:$I$127,6,FALSE)*VLOOKUP($B71,'Annual Parameters'!$B$33:$W$143,22,FALSE)/VLOOKUP('Source VoT'!$F$27,'Annual Parameters'!$B$33:$W$143,22,FALSE)*VLOOKUP($B$14,'Annual Parameters'!$B$33:$W$143,3,FALSE)/VLOOKUP('Source VoT'!$E$27,'Annual Parameters'!$B$33:$W$143,3,FALSE)</f>
        <v>7.7961242977153491</v>
      </c>
      <c r="T71" s="117">
        <f>'Source VoT'!$D$27*1*VLOOKUP($B71,'Annual Parameters'!$B$33:$W$143,21,FALSE)/VLOOKUP('Source VoT'!$F$27,'Annual Parameters'!$B$33:$W$143,21,FALSE)*VLOOKUP($B$14,'Annual Parameters'!$B$33:$W$143,3,FALSE)/VLOOKUP('Source VoT'!$E$27,'Annual Parameters'!$B$33:$W$143,3,FALSE)</f>
        <v>30.356152632670923</v>
      </c>
      <c r="U71" s="73">
        <f>'Source VoT'!$D$28*1*VLOOKUP($B71,'Annual Parameters'!$B$33:$W$143,21,FALSE)/VLOOKUP('Source VoT'!$F$27,'Annual Parameters'!$B$33:$W$143,21,FALSE)*VLOOKUP($B$14,'Annual Parameters'!$B$33:$W$143,3,FALSE)/VLOOKUP('Source VoT'!$E$27,'Annual Parameters'!$B$33:$W$143,3,FALSE)</f>
        <v>30.356152632670923</v>
      </c>
      <c r="V71" s="73">
        <f>'Source VoT'!$D$29*1*VLOOKUP($B71,'Annual Parameters'!$B$33:$W$143,21,FALSE)/VLOOKUP('Source VoT'!$F$27,'Annual Parameters'!$B$33:$W$143,21,FALSE)*VLOOKUP($B$14,'Annual Parameters'!$B$33:$W$143,3,FALSE)/VLOOKUP('Source VoT'!$E$27,'Annual Parameters'!$B$33:$W$143,3,FALSE)</f>
        <v>20.902556320153138</v>
      </c>
      <c r="W71" s="73">
        <f>'Source VoT'!$D$30*1*VLOOKUP($B71,'Annual Parameters'!$B$33:$W$143,21,FALSE)/VLOOKUP('Source VoT'!$F$27,'Annual Parameters'!$B$33:$W$143,21,FALSE)*VLOOKUP($B$14,'Annual Parameters'!$B$33:$W$143,3,FALSE)/VLOOKUP('Source VoT'!$E$27,'Annual Parameters'!$B$33:$W$143,3,FALSE)</f>
        <v>24.628243442032286</v>
      </c>
      <c r="X71" s="73">
        <f>'Source VoT'!$D$31*1*VLOOKUP($B71,'Annual Parameters'!$B$33:$W$143,21,FALSE)/VLOOKUP('Source VoT'!$F$27,'Annual Parameters'!$B$33:$W$143,21,FALSE)*VLOOKUP($B$14,'Annual Parameters'!$B$33:$W$143,3,FALSE)/VLOOKUP('Source VoT'!$E$27,'Annual Parameters'!$B$33:$W$143,3,FALSE)</f>
        <v>25.160484459443595</v>
      </c>
      <c r="Y71" s="73">
        <f>'Source VoT'!$D$32*1*VLOOKUP($B71,'Annual Parameters'!$B$33:$W$143,21,FALSE)/VLOOKUP('Source VoT'!$F$27,'Annual Parameters'!$B$33:$W$143,21,FALSE)*VLOOKUP($B$14,'Annual Parameters'!$B$33:$W$143,3,FALSE)/VLOOKUP('Source VoT'!$E$27,'Annual Parameters'!$B$33:$W$143,3,FALSE)</f>
        <v>17.202400419789779</v>
      </c>
      <c r="Z71" s="73">
        <f>'Source VoT'!$D$33*1*VLOOKUP($B71,'Annual Parameters'!$B$33:$W$143,21,FALSE)/VLOOKUP('Source VoT'!$F$27,'Annual Parameters'!$B$33:$W$143,21,FALSE)*VLOOKUP($B$14,'Annual Parameters'!$B$33:$W$143,3,FALSE)/VLOOKUP('Source VoT'!$E$27,'Annual Parameters'!$B$33:$W$143,3,FALSE)</f>
        <v>22.2331588636814</v>
      </c>
      <c r="AA71" s="73">
        <f>'Source VoT'!$D$34*1*VLOOKUP($B71,'Annual Parameters'!$B$33:$W$143,21,FALSE)/VLOOKUP('Source VoT'!$F$27,'Annual Parameters'!$B$33:$W$143,21,FALSE)*VLOOKUP($B$14,'Annual Parameters'!$B$33:$W$143,3,FALSE)/VLOOKUP('Source VoT'!$E$27,'Annual Parameters'!$B$33:$W$143,3,FALSE)</f>
        <v>30.356152632670923</v>
      </c>
      <c r="AB71" s="73">
        <f>'Source VoT'!$D$35*1*VLOOKUP($B71,'Annual Parameters'!$B$33:$W$143,21,FALSE)/VLOOKUP('Source VoT'!$F$27,'Annual Parameters'!$B$33:$W$143,21,FALSE)*VLOOKUP($B$14,'Annual Parameters'!$B$33:$W$143,3,FALSE)/VLOOKUP('Source VoT'!$E$27,'Annual Parameters'!$B$33:$W$143,3,FALSE)</f>
        <v>50.072849763119201</v>
      </c>
      <c r="AC71" s="73">
        <f>'Source VoT'!$D$36*1*VLOOKUP($B71,'Annual Parameters'!$B$33:$W$143,21,FALSE)/VLOOKUP('Source VoT'!$F$27,'Annual Parameters'!$B$33:$W$143,21,FALSE)*VLOOKUP($B$14,'Annual Parameters'!$B$33:$W$143,3,FALSE)/VLOOKUP('Source VoT'!$E$27,'Annual Parameters'!$B$33:$W$143,3,FALSE)</f>
        <v>17.202400419789779</v>
      </c>
      <c r="AD71" s="73">
        <f>'Source VoT'!$D$37*1*VLOOKUP($B71,'Annual Parameters'!$B$33:$W$143,21,FALSE)/VLOOKUP('Source VoT'!$F$27,'Annual Parameters'!$B$33:$W$143,21,FALSE)*VLOOKUP($B$14,'Annual Parameters'!$B$33:$W$143,3,FALSE)/VLOOKUP('Source VoT'!$E$27,'Annual Parameters'!$B$33:$W$143,3,FALSE)</f>
        <v>17.202400419789779</v>
      </c>
      <c r="AE71" s="73">
        <f>'Source VoT'!$D$38*1*VLOOKUP($B71,'Annual Parameters'!$B$33:$W$143,21,FALSE)/VLOOKUP('Source VoT'!$F$27,'Annual Parameters'!$B$33:$W$143,21,FALSE)*VLOOKUP($B$14,'Annual Parameters'!$B$33:$W$143,3,FALSE)/VLOOKUP('Source VoT'!$E$27,'Annual Parameters'!$B$33:$W$143,3,FALSE)</f>
        <v>17.202400419789779</v>
      </c>
      <c r="AF71" s="73">
        <f>'Source VoT'!$D$39*1*VLOOKUP($B71,'Annual Parameters'!$B$33:$W$143,21,FALSE)/VLOOKUP('Source VoT'!$F$27,'Annual Parameters'!$B$33:$W$143,21,FALSE)*VLOOKUP($B$14,'Annual Parameters'!$B$33:$W$143,3,FALSE)/VLOOKUP('Source VoT'!$E$27,'Annual Parameters'!$B$33:$W$143,3,FALSE)</f>
        <v>30.356152632670923</v>
      </c>
      <c r="AG71" s="74">
        <f>'Source VoT'!$D$40*1*VLOOKUP($B71,'Annual Parameters'!$B$33:$W$143,21,FALSE)/VLOOKUP('Source VoT'!$F$27,'Annual Parameters'!$B$33:$W$143,21,FALSE)*VLOOKUP($B$14,'Annual Parameters'!$B$33:$W$143,3,FALSE)/VLOOKUP('Source VoT'!$E$27,'Annual Parameters'!$B$33:$W$143,3,FALSE)</f>
        <v>33.064777186231638</v>
      </c>
      <c r="AH71" s="73">
        <f>'Source VoT'!$D$45*1*VLOOKUP($B71,'Annual Parameters'!$B$33:$W$143,22,FALSE)/VLOOKUP('Source VoT'!$F$27,'Annual Parameters'!$B$33:$W$143,22,FALSE)*VLOOKUP($B$14,'Annual Parameters'!$B$33:$W$143,3,FALSE)/VLOOKUP('Source VoT'!$E$27,'Annual Parameters'!$B$33:$W$143,3,FALSE)</f>
        <v>20.32598143976735</v>
      </c>
      <c r="AI71" s="73">
        <f>'Source VoT'!$D$46*1*VLOOKUP($B71,'Annual Parameters'!$B$33:$W$143,22,FALSE)/VLOOKUP('Source VoT'!$F$27,'Annual Parameters'!$B$33:$W$143,22,FALSE)*VLOOKUP($B$14,'Annual Parameters'!$B$33:$W$143,3,FALSE)/VLOOKUP('Source VoT'!$E$27,'Annual Parameters'!$B$33:$W$143,3,FALSE)</f>
        <v>9.277387914281265</v>
      </c>
      <c r="AJ71" s="117">
        <f>'Source VoT'!$D$27*VLOOKUP($B71,'Indirect tax correction'!$B$27:$I$127,7,FALSE)*VLOOKUP($B71,'Annual Parameters'!$B$33:$W$143,21,FALSE)/VLOOKUP('Source VoT'!$F$27,'Annual Parameters'!$B$33:$W$143,21,FALSE)*VLOOKUP($B$14,'Annual Parameters'!$B$33:$W$143,3,FALSE)/VLOOKUP('Source VoT'!$E$27,'Annual Parameters'!$B$33:$W$143,3,FALSE)</f>
        <v>36.123821632878396</v>
      </c>
      <c r="AK71" s="73">
        <f>'Source VoT'!$D$28*VLOOKUP($B71,'Indirect tax correction'!$B$27:$I$127,7,FALSE)*VLOOKUP($B71,'Annual Parameters'!$B$33:$W$143,21,FALSE)/VLOOKUP('Source VoT'!$F$27,'Annual Parameters'!$B$33:$W$143,21,FALSE)*VLOOKUP($B$14,'Annual Parameters'!$B$33:$W$143,3,FALSE)/VLOOKUP('Source VoT'!$E$27,'Annual Parameters'!$B$33:$W$143,3,FALSE)</f>
        <v>36.123821632878396</v>
      </c>
      <c r="AL71" s="73">
        <f>'Source VoT'!$D$29*VLOOKUP($B71,'Indirect tax correction'!$B$27:$I$127,7,FALSE)*VLOOKUP($B71,'Annual Parameters'!$B$33:$W$143,21,FALSE)/VLOOKUP('Source VoT'!$F$27,'Annual Parameters'!$B$33:$W$143,21,FALSE)*VLOOKUP($B$14,'Annual Parameters'!$B$33:$W$143,3,FALSE)/VLOOKUP('Source VoT'!$E$27,'Annual Parameters'!$B$33:$W$143,3,FALSE)</f>
        <v>24.874042020982234</v>
      </c>
      <c r="AM71" s="73">
        <f>'Source VoT'!$D$30*VLOOKUP($B71,'Indirect tax correction'!$B$27:$I$127,7,FALSE)*VLOOKUP($B71,'Annual Parameters'!$B$33:$W$143,21,FALSE)/VLOOKUP('Source VoT'!$F$27,'Annual Parameters'!$B$33:$W$143,21,FALSE)*VLOOKUP($B$14,'Annual Parameters'!$B$33:$W$143,3,FALSE)/VLOOKUP('Source VoT'!$E$27,'Annual Parameters'!$B$33:$W$143,3,FALSE)</f>
        <v>29.307609696018417</v>
      </c>
      <c r="AN71" s="73">
        <f>'Source VoT'!$D$31*VLOOKUP($B71,'Indirect tax correction'!$B$27:$I$127,7,FALSE)*VLOOKUP($B71,'Annual Parameters'!$B$33:$W$143,21,FALSE)/VLOOKUP('Source VoT'!$F$27,'Annual Parameters'!$B$33:$W$143,21,FALSE)*VLOOKUP($B$14,'Annual Parameters'!$B$33:$W$143,3,FALSE)/VLOOKUP('Source VoT'!$E$27,'Annual Parameters'!$B$33:$W$143,3,FALSE)</f>
        <v>29.940976506737876</v>
      </c>
      <c r="AO71" s="73">
        <f>'Source VoT'!$D$32*VLOOKUP($B71,'Indirect tax correction'!$B$27:$I$127,7,FALSE)*VLOOKUP($B71,'Annual Parameters'!$B$33:$W$143,21,FALSE)/VLOOKUP('Source VoT'!$F$27,'Annual Parameters'!$B$33:$W$143,21,FALSE)*VLOOKUP($B$14,'Annual Parameters'!$B$33:$W$143,3,FALSE)/VLOOKUP('Source VoT'!$E$27,'Annual Parameters'!$B$33:$W$143,3,FALSE)</f>
        <v>20.470856499549836</v>
      </c>
      <c r="AP71" s="73">
        <f>'Source VoT'!$D$33*VLOOKUP($B71,'Indirect tax correction'!$B$27:$I$127,7,FALSE)*VLOOKUP($B71,'Annual Parameters'!$B$33:$W$143,21,FALSE)/VLOOKUP('Source VoT'!$F$27,'Annual Parameters'!$B$33:$W$143,21,FALSE)*VLOOKUP($B$14,'Annual Parameters'!$B$33:$W$143,3,FALSE)/VLOOKUP('Source VoT'!$E$27,'Annual Parameters'!$B$33:$W$143,3,FALSE)</f>
        <v>26.457459047780866</v>
      </c>
      <c r="AQ71" s="73">
        <f>'Source VoT'!$D$34*VLOOKUP($B71,'Indirect tax correction'!$B$27:$I$127,7,FALSE)*VLOOKUP($B71,'Annual Parameters'!$B$33:$W$143,21,FALSE)/VLOOKUP('Source VoT'!$F$27,'Annual Parameters'!$B$33:$W$143,21,FALSE)*VLOOKUP($B$14,'Annual Parameters'!$B$33:$W$143,3,FALSE)/VLOOKUP('Source VoT'!$E$27,'Annual Parameters'!$B$33:$W$143,3,FALSE)</f>
        <v>36.123821632878396</v>
      </c>
      <c r="AR71" s="73">
        <f>'Source VoT'!$D$35*VLOOKUP($B71,'Indirect tax correction'!$B$27:$I$127,7,FALSE)*VLOOKUP($B71,'Annual Parameters'!$B$33:$W$143,21,FALSE)/VLOOKUP('Source VoT'!$F$27,'Annual Parameters'!$B$33:$W$143,21,FALSE)*VLOOKUP($B$14,'Annual Parameters'!$B$33:$W$143,3,FALSE)/VLOOKUP('Source VoT'!$E$27,'Annual Parameters'!$B$33:$W$143,3,FALSE)</f>
        <v>59.586691218111852</v>
      </c>
      <c r="AS71" s="73">
        <f>'Source VoT'!$D$36*VLOOKUP($B71,'Indirect tax correction'!$B$27:$I$127,7,FALSE)*VLOOKUP($B71,'Annual Parameters'!$B$33:$W$143,21,FALSE)/VLOOKUP('Source VoT'!$F$27,'Annual Parameters'!$B$33:$W$143,21,FALSE)*VLOOKUP($B$14,'Annual Parameters'!$B$33:$W$143,3,FALSE)/VLOOKUP('Source VoT'!$E$27,'Annual Parameters'!$B$33:$W$143,3,FALSE)</f>
        <v>20.470856499549836</v>
      </c>
      <c r="AT71" s="73">
        <f>'Source VoT'!$D$37*VLOOKUP($B71,'Indirect tax correction'!$B$27:$I$127,7,FALSE)*VLOOKUP($B71,'Annual Parameters'!$B$33:$W$143,21,FALSE)/VLOOKUP('Source VoT'!$F$27,'Annual Parameters'!$B$33:$W$143,21,FALSE)*VLOOKUP($B$14,'Annual Parameters'!$B$33:$W$143,3,FALSE)/VLOOKUP('Source VoT'!$E$27,'Annual Parameters'!$B$33:$W$143,3,FALSE)</f>
        <v>20.470856499549836</v>
      </c>
      <c r="AU71" s="73">
        <f>'Source VoT'!$D$38*VLOOKUP($B71,'Indirect tax correction'!$B$27:$I$127,7,FALSE)*VLOOKUP($B71,'Annual Parameters'!$B$33:$W$143,21,FALSE)/VLOOKUP('Source VoT'!$F$27,'Annual Parameters'!$B$33:$W$143,21,FALSE)*VLOOKUP($B$14,'Annual Parameters'!$B$33:$W$143,3,FALSE)/VLOOKUP('Source VoT'!$E$27,'Annual Parameters'!$B$33:$W$143,3,FALSE)</f>
        <v>20.470856499549836</v>
      </c>
      <c r="AV71" s="73">
        <f>'Source VoT'!$D$39*VLOOKUP($B71,'Indirect tax correction'!$B$27:$I$127,7,FALSE)*VLOOKUP($B71,'Annual Parameters'!$B$33:$W$143,21,FALSE)/VLOOKUP('Source VoT'!$F$27,'Annual Parameters'!$B$33:$W$143,21,FALSE)*VLOOKUP($B$14,'Annual Parameters'!$B$33:$W$143,3,FALSE)/VLOOKUP('Source VoT'!$E$27,'Annual Parameters'!$B$33:$W$143,3,FALSE)</f>
        <v>36.123821632878396</v>
      </c>
      <c r="AW71" s="74">
        <f>'Source VoT'!$D$40*VLOOKUP($B71,'Indirect tax correction'!$B$27:$I$127,7,FALSE)*VLOOKUP($B71,'Annual Parameters'!$B$33:$W$143,21,FALSE)/VLOOKUP('Source VoT'!$F$27,'Annual Parameters'!$B$33:$W$143,21,FALSE)*VLOOKUP($B$14,'Annual Parameters'!$B$33:$W$143,3,FALSE)/VLOOKUP('Source VoT'!$E$27,'Annual Parameters'!$B$33:$W$143,3,FALSE)</f>
        <v>39.347084851615648</v>
      </c>
      <c r="AX71" s="73">
        <f>'Source VoT'!$D$45*VLOOKUP($B71,'Indirect tax correction'!$B$27:$I$127,8,FALSE)*VLOOKUP($B71,'Annual Parameters'!$B$33:$W$143,22,FALSE)/VLOOKUP('Source VoT'!$F$27,'Annual Parameters'!$B$33:$W$143,22,FALSE)*VLOOKUP($B$14,'Annual Parameters'!$B$33:$W$143,3,FALSE)/VLOOKUP('Source VoT'!$E$27,'Annual Parameters'!$B$33:$W$143,3,FALSE)</f>
        <v>20.32598143976735</v>
      </c>
      <c r="AY71" s="74">
        <f>'Source VoT'!$D$46*VLOOKUP($B71,'Indirect tax correction'!$B$27:$I$127,8,FALSE)*VLOOKUP($B71,'Annual Parameters'!$B$33:$W$143,22,FALSE)/VLOOKUP('Source VoT'!$F$27,'Annual Parameters'!$B$33:$W$143,22,FALSE)*VLOOKUP($B$14,'Annual Parameters'!$B$33:$W$143,3,FALSE)/VLOOKUP('Source VoT'!$E$27,'Annual Parameters'!$B$33:$W$143,3,FALSE)</f>
        <v>9.277387914281265</v>
      </c>
      <c r="AZ71" s="2875"/>
      <c r="BA71" s="2875"/>
      <c r="BB71" s="2875"/>
      <c r="BC71" s="2875"/>
      <c r="BD71" s="2875"/>
      <c r="BE71" s="2875"/>
      <c r="BF71" s="2875"/>
      <c r="BG71" s="2875"/>
    </row>
    <row r="72" spans="1:59" ht="13.5" customHeight="1">
      <c r="A72" s="90"/>
      <c r="B72" s="82">
        <f t="shared" si="0"/>
        <v>2055</v>
      </c>
      <c r="C72" s="82"/>
      <c r="D72" s="117">
        <f>'Source VoT'!$D$27*VLOOKUP($B72,'Indirect tax correction'!$B$27:$I$127,5,FALSE)*VLOOKUP($B72,'Annual Parameters'!$B$33:$W$143,21,FALSE)/VLOOKUP('Source VoT'!$F$27,'Annual Parameters'!$B$33:$W$143,21,FALSE)*VLOOKUP($B$14,'Annual Parameters'!$B$33:$W$143,3,FALSE)/VLOOKUP('Source VoT'!$E$27,'Annual Parameters'!$B$33:$W$143,3,FALSE)</f>
        <v>30.94765537040611</v>
      </c>
      <c r="E72" s="73">
        <f>'Source VoT'!$D$28*VLOOKUP($B72,'Indirect tax correction'!$B$27:$I$127,5,FALSE)*VLOOKUP($B72,'Annual Parameters'!$B$33:$W$143,21,FALSE)/VLOOKUP('Source VoT'!$F$27,'Annual Parameters'!$B$33:$W$143,21,FALSE)*VLOOKUP($B$14,'Annual Parameters'!$B$33:$W$143,3,FALSE)/VLOOKUP('Source VoT'!$E$27,'Annual Parameters'!$B$33:$W$143,3,FALSE)</f>
        <v>30.94765537040611</v>
      </c>
      <c r="F72" s="73">
        <f>'Source VoT'!$D$29*VLOOKUP($B72,'Indirect tax correction'!$B$27:$I$127,5,FALSE)*VLOOKUP($B72,'Annual Parameters'!$B$33:$W$143,21,FALSE)/VLOOKUP('Source VoT'!$F$27,'Annual Parameters'!$B$33:$W$143,21,FALSE)*VLOOKUP($B$14,'Annual Parameters'!$B$33:$W$143,3,FALSE)/VLOOKUP('Source VoT'!$E$27,'Annual Parameters'!$B$33:$W$143,3,FALSE)</f>
        <v>21.309851652952585</v>
      </c>
      <c r="G72" s="73">
        <f>'Source VoT'!$D$30*VLOOKUP($B72,'Indirect tax correction'!$B$27:$I$127,5,FALSE)*VLOOKUP($B72,'Annual Parameters'!$B$33:$W$143,21,FALSE)/VLOOKUP('Source VoT'!$F$27,'Annual Parameters'!$B$33:$W$143,21,FALSE)*VLOOKUP($B$14,'Annual Parameters'!$B$33:$W$143,3,FALSE)/VLOOKUP('Source VoT'!$E$27,'Annual Parameters'!$B$33:$W$143,3,FALSE)</f>
        <v>25.108135396650152</v>
      </c>
      <c r="H72" s="73">
        <f>'Source VoT'!$D$31*VLOOKUP($B72,'Indirect tax correction'!$B$27:$I$127,5,FALSE)*VLOOKUP($B72,'Annual Parameters'!$B$33:$W$143,21,FALSE)/VLOOKUP('Source VoT'!$F$27,'Annual Parameters'!$B$33:$W$143,21,FALSE)*VLOOKUP($B$14,'Annual Parameters'!$B$33:$W$143,3,FALSE)/VLOOKUP('Source VoT'!$E$27,'Annual Parameters'!$B$33:$W$143,3,FALSE)</f>
        <v>25.65074736003552</v>
      </c>
      <c r="I72" s="73">
        <f>'Source VoT'!$D$32*VLOOKUP($B72,'Indirect tax correction'!$B$27:$I$127,5,FALSE)*VLOOKUP($B72,'Annual Parameters'!$B$33:$W$143,21,FALSE)/VLOOKUP('Source VoT'!$F$27,'Annual Parameters'!$B$33:$W$143,21,FALSE)*VLOOKUP($B$14,'Annual Parameters'!$B$33:$W$143,3,FALSE)/VLOOKUP('Source VoT'!$E$27,'Annual Parameters'!$B$33:$W$143,3,FALSE)</f>
        <v>17.537596617642976</v>
      </c>
      <c r="J72" s="73">
        <f>'Source VoT'!$D$33*VLOOKUP($B72,'Indirect tax correction'!$B$27:$I$127,5,FALSE)*VLOOKUP($B72,'Annual Parameters'!$B$33:$W$143,21,FALSE)/VLOOKUP('Source VoT'!$F$27,'Annual Parameters'!$B$33:$W$143,21,FALSE)*VLOOKUP($B$14,'Annual Parameters'!$B$33:$W$143,3,FALSE)/VLOOKUP('Source VoT'!$E$27,'Annual Parameters'!$B$33:$W$143,3,FALSE)</f>
        <v>22.666381561416003</v>
      </c>
      <c r="K72" s="73">
        <f>'Source VoT'!$D$34*VLOOKUP($B72,'Indirect tax correction'!$B$27:$I$127,5,FALSE)*VLOOKUP($B72,'Annual Parameters'!$B$33:$W$143,21,FALSE)/VLOOKUP('Source VoT'!$F$27,'Annual Parameters'!$B$33:$W$143,21,FALSE)*VLOOKUP($B$14,'Annual Parameters'!$B$33:$W$143,3,FALSE)/VLOOKUP('Source VoT'!$E$27,'Annual Parameters'!$B$33:$W$143,3,FALSE)</f>
        <v>30.94765537040611</v>
      </c>
      <c r="L72" s="73">
        <f>'Source VoT'!$D$35*VLOOKUP($B72,'Indirect tax correction'!$B$27:$I$127,5,FALSE)*VLOOKUP($B72,'Annual Parameters'!$B$33:$W$143,21,FALSE)/VLOOKUP('Source VoT'!$F$27,'Annual Parameters'!$B$33:$W$143,21,FALSE)*VLOOKUP($B$14,'Annual Parameters'!$B$33:$W$143,3,FALSE)/VLOOKUP('Source VoT'!$E$27,'Annual Parameters'!$B$33:$W$143,3,FALSE)</f>
        <v>51.048540855448564</v>
      </c>
      <c r="M72" s="73">
        <f>'Source VoT'!$D$36*VLOOKUP($B72,'Indirect tax correction'!$B$27:$I$127,5,FALSE)*VLOOKUP($B72,'Annual Parameters'!$B$33:$W$143,21,FALSE)/VLOOKUP('Source VoT'!$F$27,'Annual Parameters'!$B$33:$W$143,21,FALSE)*VLOOKUP($B$14,'Annual Parameters'!$B$33:$W$143,3,FALSE)/VLOOKUP('Source VoT'!$E$27,'Annual Parameters'!$B$33:$W$143,3,FALSE)</f>
        <v>17.537596617642976</v>
      </c>
      <c r="N72" s="73">
        <f>'Source VoT'!$D$37*VLOOKUP($B72,'Indirect tax correction'!$B$27:$I$127,5,FALSE)*VLOOKUP($B72,'Annual Parameters'!$B$33:$W$143,21,FALSE)/VLOOKUP('Source VoT'!$F$27,'Annual Parameters'!$B$33:$W$143,21,FALSE)*VLOOKUP($B$14,'Annual Parameters'!$B$33:$W$143,3,FALSE)/VLOOKUP('Source VoT'!$E$27,'Annual Parameters'!$B$33:$W$143,3,FALSE)</f>
        <v>17.537596617642976</v>
      </c>
      <c r="O72" s="73">
        <f>'Source VoT'!$D$38*VLOOKUP($B72,'Indirect tax correction'!$B$27:$I$127,5,FALSE)*VLOOKUP($B72,'Annual Parameters'!$B$33:$W$143,21,FALSE)/VLOOKUP('Source VoT'!$F$27,'Annual Parameters'!$B$33:$W$143,21,FALSE)*VLOOKUP($B$14,'Annual Parameters'!$B$33:$W$143,3,FALSE)/VLOOKUP('Source VoT'!$E$27,'Annual Parameters'!$B$33:$W$143,3,FALSE)</f>
        <v>17.537596617642976</v>
      </c>
      <c r="P72" s="73">
        <f>'Source VoT'!$D$39*VLOOKUP($B72,'Indirect tax correction'!$B$27:$I$127,5,FALSE)*VLOOKUP($B72,'Annual Parameters'!$B$33:$W$143,21,FALSE)/VLOOKUP('Source VoT'!$F$27,'Annual Parameters'!$B$33:$W$143,21,FALSE)*VLOOKUP($B$14,'Annual Parameters'!$B$33:$W$143,3,FALSE)/VLOOKUP('Source VoT'!$E$27,'Annual Parameters'!$B$33:$W$143,3,FALSE)</f>
        <v>30.94765537040611</v>
      </c>
      <c r="Q72" s="74">
        <f>'Source VoT'!$D$40*VLOOKUP($B72,'Indirect tax correction'!$B$27:$I$127,5,FALSE)*VLOOKUP($B72,'Annual Parameters'!$B$33:$W$143,21,FALSE)/VLOOKUP('Source VoT'!$F$27,'Annual Parameters'!$B$33:$W$143,21,FALSE)*VLOOKUP($B$14,'Annual Parameters'!$B$33:$W$143,3,FALSE)/VLOOKUP('Source VoT'!$E$27,'Annual Parameters'!$B$33:$W$143,3,FALSE)</f>
        <v>33.709058642611282</v>
      </c>
      <c r="R72" s="73">
        <f>'Source VoT'!$D$45*VLOOKUP($B72,'Indirect tax correction'!$B$27:$I$127,6,FALSE)*VLOOKUP($B72,'Annual Parameters'!$B$33:$W$143,22,FALSE)/VLOOKUP('Source VoT'!$F$27,'Annual Parameters'!$B$33:$W$143,22,FALSE)*VLOOKUP($B$14,'Annual Parameters'!$B$33:$W$143,3,FALSE)/VLOOKUP('Source VoT'!$E$27,'Annual Parameters'!$B$33:$W$143,3,FALSE)</f>
        <v>17.413480640449837</v>
      </c>
      <c r="S72" s="73">
        <f>'Source VoT'!$D$46*VLOOKUP($B72,'Indirect tax correction'!$B$27:$I$127,6,FALSE)*VLOOKUP($B72,'Annual Parameters'!$B$33:$W$143,22,FALSE)/VLOOKUP('Source VoT'!$F$27,'Annual Parameters'!$B$33:$W$143,22,FALSE)*VLOOKUP($B$14,'Annual Parameters'!$B$33:$W$143,3,FALSE)/VLOOKUP('Source VoT'!$E$27,'Annual Parameters'!$B$33:$W$143,3,FALSE)</f>
        <v>7.9480351449700626</v>
      </c>
      <c r="T72" s="117">
        <f>'Source VoT'!$D$27*1*VLOOKUP($B72,'Annual Parameters'!$B$33:$W$143,21,FALSE)/VLOOKUP('Source VoT'!$F$27,'Annual Parameters'!$B$33:$W$143,21,FALSE)*VLOOKUP($B$14,'Annual Parameters'!$B$33:$W$143,3,FALSE)/VLOOKUP('Source VoT'!$E$27,'Annual Parameters'!$B$33:$W$143,3,FALSE)</f>
        <v>30.94765537040611</v>
      </c>
      <c r="U72" s="73">
        <f>'Source VoT'!$D$28*1*VLOOKUP($B72,'Annual Parameters'!$B$33:$W$143,21,FALSE)/VLOOKUP('Source VoT'!$F$27,'Annual Parameters'!$B$33:$W$143,21,FALSE)*VLOOKUP($B$14,'Annual Parameters'!$B$33:$W$143,3,FALSE)/VLOOKUP('Source VoT'!$E$27,'Annual Parameters'!$B$33:$W$143,3,FALSE)</f>
        <v>30.94765537040611</v>
      </c>
      <c r="V72" s="73">
        <f>'Source VoT'!$D$29*1*VLOOKUP($B72,'Annual Parameters'!$B$33:$W$143,21,FALSE)/VLOOKUP('Source VoT'!$F$27,'Annual Parameters'!$B$33:$W$143,21,FALSE)*VLOOKUP($B$14,'Annual Parameters'!$B$33:$W$143,3,FALSE)/VLOOKUP('Source VoT'!$E$27,'Annual Parameters'!$B$33:$W$143,3,FALSE)</f>
        <v>21.309851652952585</v>
      </c>
      <c r="W72" s="73">
        <f>'Source VoT'!$D$30*1*VLOOKUP($B72,'Annual Parameters'!$B$33:$W$143,21,FALSE)/VLOOKUP('Source VoT'!$F$27,'Annual Parameters'!$B$33:$W$143,21,FALSE)*VLOOKUP($B$14,'Annual Parameters'!$B$33:$W$143,3,FALSE)/VLOOKUP('Source VoT'!$E$27,'Annual Parameters'!$B$33:$W$143,3,FALSE)</f>
        <v>25.108135396650152</v>
      </c>
      <c r="X72" s="73">
        <f>'Source VoT'!$D$31*1*VLOOKUP($B72,'Annual Parameters'!$B$33:$W$143,21,FALSE)/VLOOKUP('Source VoT'!$F$27,'Annual Parameters'!$B$33:$W$143,21,FALSE)*VLOOKUP($B$14,'Annual Parameters'!$B$33:$W$143,3,FALSE)/VLOOKUP('Source VoT'!$E$27,'Annual Parameters'!$B$33:$W$143,3,FALSE)</f>
        <v>25.65074736003552</v>
      </c>
      <c r="Y72" s="73">
        <f>'Source VoT'!$D$32*1*VLOOKUP($B72,'Annual Parameters'!$B$33:$W$143,21,FALSE)/VLOOKUP('Source VoT'!$F$27,'Annual Parameters'!$B$33:$W$143,21,FALSE)*VLOOKUP($B$14,'Annual Parameters'!$B$33:$W$143,3,FALSE)/VLOOKUP('Source VoT'!$E$27,'Annual Parameters'!$B$33:$W$143,3,FALSE)</f>
        <v>17.537596617642976</v>
      </c>
      <c r="Z72" s="73">
        <f>'Source VoT'!$D$33*1*VLOOKUP($B72,'Annual Parameters'!$B$33:$W$143,21,FALSE)/VLOOKUP('Source VoT'!$F$27,'Annual Parameters'!$B$33:$W$143,21,FALSE)*VLOOKUP($B$14,'Annual Parameters'!$B$33:$W$143,3,FALSE)/VLOOKUP('Source VoT'!$E$27,'Annual Parameters'!$B$33:$W$143,3,FALSE)</f>
        <v>22.666381561416003</v>
      </c>
      <c r="AA72" s="73">
        <f>'Source VoT'!$D$34*1*VLOOKUP($B72,'Annual Parameters'!$B$33:$W$143,21,FALSE)/VLOOKUP('Source VoT'!$F$27,'Annual Parameters'!$B$33:$W$143,21,FALSE)*VLOOKUP($B$14,'Annual Parameters'!$B$33:$W$143,3,FALSE)/VLOOKUP('Source VoT'!$E$27,'Annual Parameters'!$B$33:$W$143,3,FALSE)</f>
        <v>30.94765537040611</v>
      </c>
      <c r="AB72" s="73">
        <f>'Source VoT'!$D$35*1*VLOOKUP($B72,'Annual Parameters'!$B$33:$W$143,21,FALSE)/VLOOKUP('Source VoT'!$F$27,'Annual Parameters'!$B$33:$W$143,21,FALSE)*VLOOKUP($B$14,'Annual Parameters'!$B$33:$W$143,3,FALSE)/VLOOKUP('Source VoT'!$E$27,'Annual Parameters'!$B$33:$W$143,3,FALSE)</f>
        <v>51.048540855448564</v>
      </c>
      <c r="AC72" s="73">
        <f>'Source VoT'!$D$36*1*VLOOKUP($B72,'Annual Parameters'!$B$33:$W$143,21,FALSE)/VLOOKUP('Source VoT'!$F$27,'Annual Parameters'!$B$33:$W$143,21,FALSE)*VLOOKUP($B$14,'Annual Parameters'!$B$33:$W$143,3,FALSE)/VLOOKUP('Source VoT'!$E$27,'Annual Parameters'!$B$33:$W$143,3,FALSE)</f>
        <v>17.537596617642976</v>
      </c>
      <c r="AD72" s="73">
        <f>'Source VoT'!$D$37*1*VLOOKUP($B72,'Annual Parameters'!$B$33:$W$143,21,FALSE)/VLOOKUP('Source VoT'!$F$27,'Annual Parameters'!$B$33:$W$143,21,FALSE)*VLOOKUP($B$14,'Annual Parameters'!$B$33:$W$143,3,FALSE)/VLOOKUP('Source VoT'!$E$27,'Annual Parameters'!$B$33:$W$143,3,FALSE)</f>
        <v>17.537596617642976</v>
      </c>
      <c r="AE72" s="73">
        <f>'Source VoT'!$D$38*1*VLOOKUP($B72,'Annual Parameters'!$B$33:$W$143,21,FALSE)/VLOOKUP('Source VoT'!$F$27,'Annual Parameters'!$B$33:$W$143,21,FALSE)*VLOOKUP($B$14,'Annual Parameters'!$B$33:$W$143,3,FALSE)/VLOOKUP('Source VoT'!$E$27,'Annual Parameters'!$B$33:$W$143,3,FALSE)</f>
        <v>17.537596617642976</v>
      </c>
      <c r="AF72" s="73">
        <f>'Source VoT'!$D$39*1*VLOOKUP($B72,'Annual Parameters'!$B$33:$W$143,21,FALSE)/VLOOKUP('Source VoT'!$F$27,'Annual Parameters'!$B$33:$W$143,21,FALSE)*VLOOKUP($B$14,'Annual Parameters'!$B$33:$W$143,3,FALSE)/VLOOKUP('Source VoT'!$E$27,'Annual Parameters'!$B$33:$W$143,3,FALSE)</f>
        <v>30.94765537040611</v>
      </c>
      <c r="AG72" s="74">
        <f>'Source VoT'!$D$40*1*VLOOKUP($B72,'Annual Parameters'!$B$33:$W$143,21,FALSE)/VLOOKUP('Source VoT'!$F$27,'Annual Parameters'!$B$33:$W$143,21,FALSE)*VLOOKUP($B$14,'Annual Parameters'!$B$33:$W$143,3,FALSE)/VLOOKUP('Source VoT'!$E$27,'Annual Parameters'!$B$33:$W$143,3,FALSE)</f>
        <v>33.709058642611282</v>
      </c>
      <c r="AH72" s="73">
        <f>'Source VoT'!$D$45*1*VLOOKUP($B72,'Annual Parameters'!$B$33:$W$143,22,FALSE)/VLOOKUP('Source VoT'!$F$27,'Annual Parameters'!$B$33:$W$143,22,FALSE)*VLOOKUP($B$14,'Annual Parameters'!$B$33:$W$143,3,FALSE)/VLOOKUP('Source VoT'!$E$27,'Annual Parameters'!$B$33:$W$143,3,FALSE)</f>
        <v>20.722041962135304</v>
      </c>
      <c r="AI72" s="73">
        <f>'Source VoT'!$D$46*1*VLOOKUP($B72,'Annual Parameters'!$B$33:$W$143,22,FALSE)/VLOOKUP('Source VoT'!$F$27,'Annual Parameters'!$B$33:$W$143,22,FALSE)*VLOOKUP($B$14,'Annual Parameters'!$B$33:$W$143,3,FALSE)/VLOOKUP('Source VoT'!$E$27,'Annual Parameters'!$B$33:$W$143,3,FALSE)</f>
        <v>9.4581618225143753</v>
      </c>
      <c r="AJ72" s="117">
        <f>'Source VoT'!$D$27*VLOOKUP($B72,'Indirect tax correction'!$B$27:$I$127,7,FALSE)*VLOOKUP($B72,'Annual Parameters'!$B$33:$W$143,21,FALSE)/VLOOKUP('Source VoT'!$F$27,'Annual Parameters'!$B$33:$W$143,21,FALSE)*VLOOKUP($B$14,'Annual Parameters'!$B$33:$W$143,3,FALSE)/VLOOKUP('Source VoT'!$E$27,'Annual Parameters'!$B$33:$W$143,3,FALSE)</f>
        <v>36.827709890783268</v>
      </c>
      <c r="AK72" s="73">
        <f>'Source VoT'!$D$28*VLOOKUP($B72,'Indirect tax correction'!$B$27:$I$127,7,FALSE)*VLOOKUP($B72,'Annual Parameters'!$B$33:$W$143,21,FALSE)/VLOOKUP('Source VoT'!$F$27,'Annual Parameters'!$B$33:$W$143,21,FALSE)*VLOOKUP($B$14,'Annual Parameters'!$B$33:$W$143,3,FALSE)/VLOOKUP('Source VoT'!$E$27,'Annual Parameters'!$B$33:$W$143,3,FALSE)</f>
        <v>36.827709890783268</v>
      </c>
      <c r="AL72" s="73">
        <f>'Source VoT'!$D$29*VLOOKUP($B72,'Indirect tax correction'!$B$27:$I$127,7,FALSE)*VLOOKUP($B72,'Annual Parameters'!$B$33:$W$143,21,FALSE)/VLOOKUP('Source VoT'!$F$27,'Annual Parameters'!$B$33:$W$143,21,FALSE)*VLOOKUP($B$14,'Annual Parameters'!$B$33:$W$143,3,FALSE)/VLOOKUP('Source VoT'!$E$27,'Annual Parameters'!$B$33:$W$143,3,FALSE)</f>
        <v>25.358723467013576</v>
      </c>
      <c r="AM72" s="73">
        <f>'Source VoT'!$D$30*VLOOKUP($B72,'Indirect tax correction'!$B$27:$I$127,7,FALSE)*VLOOKUP($B72,'Annual Parameters'!$B$33:$W$143,21,FALSE)/VLOOKUP('Source VoT'!$F$27,'Annual Parameters'!$B$33:$W$143,21,FALSE)*VLOOKUP($B$14,'Annual Parameters'!$B$33:$W$143,3,FALSE)/VLOOKUP('Source VoT'!$E$27,'Annual Parameters'!$B$33:$W$143,3,FALSE)</f>
        <v>29.878681122013678</v>
      </c>
      <c r="AN72" s="73">
        <f>'Source VoT'!$D$31*VLOOKUP($B72,'Indirect tax correction'!$B$27:$I$127,7,FALSE)*VLOOKUP($B72,'Annual Parameters'!$B$33:$W$143,21,FALSE)/VLOOKUP('Source VoT'!$F$27,'Annual Parameters'!$B$33:$W$143,21,FALSE)*VLOOKUP($B$14,'Annual Parameters'!$B$33:$W$143,3,FALSE)/VLOOKUP('Source VoT'!$E$27,'Annual Parameters'!$B$33:$W$143,3,FALSE)</f>
        <v>30.524389358442264</v>
      </c>
      <c r="AO72" s="73">
        <f>'Source VoT'!$D$32*VLOOKUP($B72,'Indirect tax correction'!$B$27:$I$127,7,FALSE)*VLOOKUP($B72,'Annual Parameters'!$B$33:$W$143,21,FALSE)/VLOOKUP('Source VoT'!$F$27,'Annual Parameters'!$B$33:$W$143,21,FALSE)*VLOOKUP($B$14,'Annual Parameters'!$B$33:$W$143,3,FALSE)/VLOOKUP('Source VoT'!$E$27,'Annual Parameters'!$B$33:$W$143,3,FALSE)</f>
        <v>20.869739974995138</v>
      </c>
      <c r="AP72" s="73">
        <f>'Source VoT'!$D$33*VLOOKUP($B72,'Indirect tax correction'!$B$27:$I$127,7,FALSE)*VLOOKUP($B72,'Annual Parameters'!$B$33:$W$143,21,FALSE)/VLOOKUP('Source VoT'!$F$27,'Annual Parameters'!$B$33:$W$143,21,FALSE)*VLOOKUP($B$14,'Annual Parameters'!$B$33:$W$143,3,FALSE)/VLOOKUP('Source VoT'!$E$27,'Annual Parameters'!$B$33:$W$143,3,FALSE)</f>
        <v>26.972994058085035</v>
      </c>
      <c r="AQ72" s="73">
        <f>'Source VoT'!$D$34*VLOOKUP($B72,'Indirect tax correction'!$B$27:$I$127,7,FALSE)*VLOOKUP($B72,'Annual Parameters'!$B$33:$W$143,21,FALSE)/VLOOKUP('Source VoT'!$F$27,'Annual Parameters'!$B$33:$W$143,21,FALSE)*VLOOKUP($B$14,'Annual Parameters'!$B$33:$W$143,3,FALSE)/VLOOKUP('Source VoT'!$E$27,'Annual Parameters'!$B$33:$W$143,3,FALSE)</f>
        <v>36.827709890783268</v>
      </c>
      <c r="AR72" s="73">
        <f>'Source VoT'!$D$35*VLOOKUP($B72,'Indirect tax correction'!$B$27:$I$127,7,FALSE)*VLOOKUP($B72,'Annual Parameters'!$B$33:$W$143,21,FALSE)/VLOOKUP('Source VoT'!$F$27,'Annual Parameters'!$B$33:$W$143,21,FALSE)*VLOOKUP($B$14,'Annual Parameters'!$B$33:$W$143,3,FALSE)/VLOOKUP('Source VoT'!$E$27,'Annual Parameters'!$B$33:$W$143,3,FALSE)</f>
        <v>60.747763617983793</v>
      </c>
      <c r="AS72" s="73">
        <f>'Source VoT'!$D$36*VLOOKUP($B72,'Indirect tax correction'!$B$27:$I$127,7,FALSE)*VLOOKUP($B72,'Annual Parameters'!$B$33:$W$143,21,FALSE)/VLOOKUP('Source VoT'!$F$27,'Annual Parameters'!$B$33:$W$143,21,FALSE)*VLOOKUP($B$14,'Annual Parameters'!$B$33:$W$143,3,FALSE)/VLOOKUP('Source VoT'!$E$27,'Annual Parameters'!$B$33:$W$143,3,FALSE)</f>
        <v>20.869739974995138</v>
      </c>
      <c r="AT72" s="73">
        <f>'Source VoT'!$D$37*VLOOKUP($B72,'Indirect tax correction'!$B$27:$I$127,7,FALSE)*VLOOKUP($B72,'Annual Parameters'!$B$33:$W$143,21,FALSE)/VLOOKUP('Source VoT'!$F$27,'Annual Parameters'!$B$33:$W$143,21,FALSE)*VLOOKUP($B$14,'Annual Parameters'!$B$33:$W$143,3,FALSE)/VLOOKUP('Source VoT'!$E$27,'Annual Parameters'!$B$33:$W$143,3,FALSE)</f>
        <v>20.869739974995138</v>
      </c>
      <c r="AU72" s="73">
        <f>'Source VoT'!$D$38*VLOOKUP($B72,'Indirect tax correction'!$B$27:$I$127,7,FALSE)*VLOOKUP($B72,'Annual Parameters'!$B$33:$W$143,21,FALSE)/VLOOKUP('Source VoT'!$F$27,'Annual Parameters'!$B$33:$W$143,21,FALSE)*VLOOKUP($B$14,'Annual Parameters'!$B$33:$W$143,3,FALSE)/VLOOKUP('Source VoT'!$E$27,'Annual Parameters'!$B$33:$W$143,3,FALSE)</f>
        <v>20.869739974995138</v>
      </c>
      <c r="AV72" s="73">
        <f>'Source VoT'!$D$39*VLOOKUP($B72,'Indirect tax correction'!$B$27:$I$127,7,FALSE)*VLOOKUP($B72,'Annual Parameters'!$B$33:$W$143,21,FALSE)/VLOOKUP('Source VoT'!$F$27,'Annual Parameters'!$B$33:$W$143,21,FALSE)*VLOOKUP($B$14,'Annual Parameters'!$B$33:$W$143,3,FALSE)/VLOOKUP('Source VoT'!$E$27,'Annual Parameters'!$B$33:$W$143,3,FALSE)</f>
        <v>36.827709890783268</v>
      </c>
      <c r="AW72" s="74">
        <f>'Source VoT'!$D$40*VLOOKUP($B72,'Indirect tax correction'!$B$27:$I$127,7,FALSE)*VLOOKUP($B72,'Annual Parameters'!$B$33:$W$143,21,FALSE)/VLOOKUP('Source VoT'!$F$27,'Annual Parameters'!$B$33:$W$143,21,FALSE)*VLOOKUP($B$14,'Annual Parameters'!$B$33:$W$143,3,FALSE)/VLOOKUP('Source VoT'!$E$27,'Annual Parameters'!$B$33:$W$143,3,FALSE)</f>
        <v>40.113779784707425</v>
      </c>
      <c r="AX72" s="73">
        <f>'Source VoT'!$D$45*VLOOKUP($B72,'Indirect tax correction'!$B$27:$I$127,8,FALSE)*VLOOKUP($B72,'Annual Parameters'!$B$33:$W$143,22,FALSE)/VLOOKUP('Source VoT'!$F$27,'Annual Parameters'!$B$33:$W$143,22,FALSE)*VLOOKUP($B$14,'Annual Parameters'!$B$33:$W$143,3,FALSE)/VLOOKUP('Source VoT'!$E$27,'Annual Parameters'!$B$33:$W$143,3,FALSE)</f>
        <v>20.722041962135304</v>
      </c>
      <c r="AY72" s="74">
        <f>'Source VoT'!$D$46*VLOOKUP($B72,'Indirect tax correction'!$B$27:$I$127,8,FALSE)*VLOOKUP($B72,'Annual Parameters'!$B$33:$W$143,22,FALSE)/VLOOKUP('Source VoT'!$F$27,'Annual Parameters'!$B$33:$W$143,22,FALSE)*VLOOKUP($B$14,'Annual Parameters'!$B$33:$W$143,3,FALSE)/VLOOKUP('Source VoT'!$E$27,'Annual Parameters'!$B$33:$W$143,3,FALSE)</f>
        <v>9.4581618225143753</v>
      </c>
      <c r="AZ72" s="2875"/>
      <c r="BA72" s="2875"/>
      <c r="BB72" s="2875"/>
      <c r="BC72" s="2875"/>
      <c r="BD72" s="2875"/>
      <c r="BE72" s="2875"/>
      <c r="BF72" s="2875"/>
      <c r="BG72" s="2875"/>
    </row>
    <row r="73" spans="1:59" ht="13.5" customHeight="1">
      <c r="A73" s="90"/>
      <c r="B73" s="82">
        <f t="shared" si="0"/>
        <v>2056</v>
      </c>
      <c r="C73" s="82"/>
      <c r="D73" s="117">
        <f>'Source VoT'!$D$27*VLOOKUP($B73,'Indirect tax correction'!$B$27:$I$127,5,FALSE)*VLOOKUP($B73,'Annual Parameters'!$B$33:$W$143,21,FALSE)/VLOOKUP('Source VoT'!$F$27,'Annual Parameters'!$B$33:$W$143,21,FALSE)*VLOOKUP($B$14,'Annual Parameters'!$B$33:$W$143,3,FALSE)/VLOOKUP('Source VoT'!$E$27,'Annual Parameters'!$B$33:$W$143,3,FALSE)</f>
        <v>31.554664840173704</v>
      </c>
      <c r="E73" s="73">
        <f>'Source VoT'!$D$28*VLOOKUP($B73,'Indirect tax correction'!$B$27:$I$127,5,FALSE)*VLOOKUP($B73,'Annual Parameters'!$B$33:$W$143,21,FALSE)/VLOOKUP('Source VoT'!$F$27,'Annual Parameters'!$B$33:$W$143,21,FALSE)*VLOOKUP($B$14,'Annual Parameters'!$B$33:$W$143,3,FALSE)/VLOOKUP('Source VoT'!$E$27,'Annual Parameters'!$B$33:$W$143,3,FALSE)</f>
        <v>31.554664840173704</v>
      </c>
      <c r="F73" s="73">
        <f>'Source VoT'!$D$29*VLOOKUP($B73,'Indirect tax correction'!$B$27:$I$127,5,FALSE)*VLOOKUP($B73,'Annual Parameters'!$B$33:$W$143,21,FALSE)/VLOOKUP('Source VoT'!$F$27,'Annual Parameters'!$B$33:$W$143,21,FALSE)*VLOOKUP($B$14,'Annual Parameters'!$B$33:$W$143,3,FALSE)/VLOOKUP('Source VoT'!$E$27,'Annual Parameters'!$B$33:$W$143,3,FALSE)</f>
        <v>21.727824568763658</v>
      </c>
      <c r="G73" s="73">
        <f>'Source VoT'!$D$30*VLOOKUP($B73,'Indirect tax correction'!$B$27:$I$127,5,FALSE)*VLOOKUP($B73,'Annual Parameters'!$B$33:$W$143,21,FALSE)/VLOOKUP('Source VoT'!$F$27,'Annual Parameters'!$B$33:$W$143,21,FALSE)*VLOOKUP($B$14,'Annual Parameters'!$B$33:$W$143,3,FALSE)/VLOOKUP('Source VoT'!$E$27,'Annual Parameters'!$B$33:$W$143,3,FALSE)</f>
        <v>25.600608114584951</v>
      </c>
      <c r="H73" s="73">
        <f>'Source VoT'!$D$31*VLOOKUP($B73,'Indirect tax correction'!$B$27:$I$127,5,FALSE)*VLOOKUP($B73,'Annual Parameters'!$B$33:$W$143,21,FALSE)/VLOOKUP('Source VoT'!$F$27,'Annual Parameters'!$B$33:$W$143,21,FALSE)*VLOOKUP($B$14,'Annual Parameters'!$B$33:$W$143,3,FALSE)/VLOOKUP('Source VoT'!$E$27,'Annual Parameters'!$B$33:$W$143,3,FALSE)</f>
        <v>26.153862906845141</v>
      </c>
      <c r="I73" s="73">
        <f>'Source VoT'!$D$32*VLOOKUP($B73,'Indirect tax correction'!$B$27:$I$127,5,FALSE)*VLOOKUP($B73,'Annual Parameters'!$B$33:$W$143,21,FALSE)/VLOOKUP('Source VoT'!$F$27,'Annual Parameters'!$B$33:$W$143,21,FALSE)*VLOOKUP($B$14,'Annual Parameters'!$B$33:$W$143,3,FALSE)/VLOOKUP('Source VoT'!$E$27,'Annual Parameters'!$B$33:$W$143,3,FALSE)</f>
        <v>17.881580260231075</v>
      </c>
      <c r="J73" s="73">
        <f>'Source VoT'!$D$33*VLOOKUP($B73,'Indirect tax correction'!$B$27:$I$127,5,FALSE)*VLOOKUP($B73,'Annual Parameters'!$B$33:$W$143,21,FALSE)/VLOOKUP('Source VoT'!$F$27,'Annual Parameters'!$B$33:$W$143,21,FALSE)*VLOOKUP($B$14,'Annual Parameters'!$B$33:$W$143,3,FALSE)/VLOOKUP('Source VoT'!$E$27,'Annual Parameters'!$B$33:$W$143,3,FALSE)</f>
        <v>23.110961549414117</v>
      </c>
      <c r="K73" s="73">
        <f>'Source VoT'!$D$34*VLOOKUP($B73,'Indirect tax correction'!$B$27:$I$127,5,FALSE)*VLOOKUP($B73,'Annual Parameters'!$B$33:$W$143,21,FALSE)/VLOOKUP('Source VoT'!$F$27,'Annual Parameters'!$B$33:$W$143,21,FALSE)*VLOOKUP($B$14,'Annual Parameters'!$B$33:$W$143,3,FALSE)/VLOOKUP('Source VoT'!$E$27,'Annual Parameters'!$B$33:$W$143,3,FALSE)</f>
        <v>31.554664840173704</v>
      </c>
      <c r="L73" s="73">
        <f>'Source VoT'!$D$35*VLOOKUP($B73,'Indirect tax correction'!$B$27:$I$127,5,FALSE)*VLOOKUP($B73,'Annual Parameters'!$B$33:$W$143,21,FALSE)/VLOOKUP('Source VoT'!$F$27,'Annual Parameters'!$B$33:$W$143,21,FALSE)*VLOOKUP($B$14,'Annual Parameters'!$B$33:$W$143,3,FALSE)/VLOOKUP('Source VoT'!$E$27,'Annual Parameters'!$B$33:$W$143,3,FALSE)</f>
        <v>52.049810494333933</v>
      </c>
      <c r="M73" s="73">
        <f>'Source VoT'!$D$36*VLOOKUP($B73,'Indirect tax correction'!$B$27:$I$127,5,FALSE)*VLOOKUP($B73,'Annual Parameters'!$B$33:$W$143,21,FALSE)/VLOOKUP('Source VoT'!$F$27,'Annual Parameters'!$B$33:$W$143,21,FALSE)*VLOOKUP($B$14,'Annual Parameters'!$B$33:$W$143,3,FALSE)/VLOOKUP('Source VoT'!$E$27,'Annual Parameters'!$B$33:$W$143,3,FALSE)</f>
        <v>17.881580260231075</v>
      </c>
      <c r="N73" s="73">
        <f>'Source VoT'!$D$37*VLOOKUP($B73,'Indirect tax correction'!$B$27:$I$127,5,FALSE)*VLOOKUP($B73,'Annual Parameters'!$B$33:$W$143,21,FALSE)/VLOOKUP('Source VoT'!$F$27,'Annual Parameters'!$B$33:$W$143,21,FALSE)*VLOOKUP($B$14,'Annual Parameters'!$B$33:$W$143,3,FALSE)/VLOOKUP('Source VoT'!$E$27,'Annual Parameters'!$B$33:$W$143,3,FALSE)</f>
        <v>17.881580260231075</v>
      </c>
      <c r="O73" s="73">
        <f>'Source VoT'!$D$38*VLOOKUP($B73,'Indirect tax correction'!$B$27:$I$127,5,FALSE)*VLOOKUP($B73,'Annual Parameters'!$B$33:$W$143,21,FALSE)/VLOOKUP('Source VoT'!$F$27,'Annual Parameters'!$B$33:$W$143,21,FALSE)*VLOOKUP($B$14,'Annual Parameters'!$B$33:$W$143,3,FALSE)/VLOOKUP('Source VoT'!$E$27,'Annual Parameters'!$B$33:$W$143,3,FALSE)</f>
        <v>17.881580260231075</v>
      </c>
      <c r="P73" s="73">
        <f>'Source VoT'!$D$39*VLOOKUP($B73,'Indirect tax correction'!$B$27:$I$127,5,FALSE)*VLOOKUP($B73,'Annual Parameters'!$B$33:$W$143,21,FALSE)/VLOOKUP('Source VoT'!$F$27,'Annual Parameters'!$B$33:$W$143,21,FALSE)*VLOOKUP($B$14,'Annual Parameters'!$B$33:$W$143,3,FALSE)/VLOOKUP('Source VoT'!$E$27,'Annual Parameters'!$B$33:$W$143,3,FALSE)</f>
        <v>31.554664840173704</v>
      </c>
      <c r="Q73" s="74">
        <f>'Source VoT'!$D$40*VLOOKUP($B73,'Indirect tax correction'!$B$27:$I$127,5,FALSE)*VLOOKUP($B73,'Annual Parameters'!$B$33:$W$143,21,FALSE)/VLOOKUP('Source VoT'!$F$27,'Annual Parameters'!$B$33:$W$143,21,FALSE)*VLOOKUP($B$14,'Annual Parameters'!$B$33:$W$143,3,FALSE)/VLOOKUP('Source VoT'!$E$27,'Annual Parameters'!$B$33:$W$143,3,FALSE)</f>
        <v>34.370230468654775</v>
      </c>
      <c r="R73" s="73">
        <f>'Source VoT'!$D$45*VLOOKUP($B73,'Indirect tax correction'!$B$27:$I$127,6,FALSE)*VLOOKUP($B73,'Annual Parameters'!$B$33:$W$143,22,FALSE)/VLOOKUP('Source VoT'!$F$27,'Annual Parameters'!$B$33:$W$143,22,FALSE)*VLOOKUP($B$14,'Annual Parameters'!$B$33:$W$143,3,FALSE)/VLOOKUP('Source VoT'!$E$27,'Annual Parameters'!$B$33:$W$143,3,FALSE)</f>
        <v>17.755029863609256</v>
      </c>
      <c r="S73" s="73">
        <f>'Source VoT'!$D$46*VLOOKUP($B73,'Indirect tax correction'!$B$27:$I$127,6,FALSE)*VLOOKUP($B73,'Annual Parameters'!$B$33:$W$143,22,FALSE)/VLOOKUP('Source VoT'!$F$27,'Annual Parameters'!$B$33:$W$143,22,FALSE)*VLOOKUP($B$14,'Annual Parameters'!$B$33:$W$143,3,FALSE)/VLOOKUP('Source VoT'!$E$27,'Annual Parameters'!$B$33:$W$143,3,FALSE)</f>
        <v>8.1039284603536874</v>
      </c>
      <c r="T73" s="117">
        <f>'Source VoT'!$D$27*1*VLOOKUP($B73,'Annual Parameters'!$B$33:$W$143,21,FALSE)/VLOOKUP('Source VoT'!$F$27,'Annual Parameters'!$B$33:$W$143,21,FALSE)*VLOOKUP($B$14,'Annual Parameters'!$B$33:$W$143,3,FALSE)/VLOOKUP('Source VoT'!$E$27,'Annual Parameters'!$B$33:$W$143,3,FALSE)</f>
        <v>31.554664840173704</v>
      </c>
      <c r="U73" s="73">
        <f>'Source VoT'!$D$28*1*VLOOKUP($B73,'Annual Parameters'!$B$33:$W$143,21,FALSE)/VLOOKUP('Source VoT'!$F$27,'Annual Parameters'!$B$33:$W$143,21,FALSE)*VLOOKUP($B$14,'Annual Parameters'!$B$33:$W$143,3,FALSE)/VLOOKUP('Source VoT'!$E$27,'Annual Parameters'!$B$33:$W$143,3,FALSE)</f>
        <v>31.554664840173704</v>
      </c>
      <c r="V73" s="73">
        <f>'Source VoT'!$D$29*1*VLOOKUP($B73,'Annual Parameters'!$B$33:$W$143,21,FALSE)/VLOOKUP('Source VoT'!$F$27,'Annual Parameters'!$B$33:$W$143,21,FALSE)*VLOOKUP($B$14,'Annual Parameters'!$B$33:$W$143,3,FALSE)/VLOOKUP('Source VoT'!$E$27,'Annual Parameters'!$B$33:$W$143,3,FALSE)</f>
        <v>21.727824568763658</v>
      </c>
      <c r="W73" s="73">
        <f>'Source VoT'!$D$30*1*VLOOKUP($B73,'Annual Parameters'!$B$33:$W$143,21,FALSE)/VLOOKUP('Source VoT'!$F$27,'Annual Parameters'!$B$33:$W$143,21,FALSE)*VLOOKUP($B$14,'Annual Parameters'!$B$33:$W$143,3,FALSE)/VLOOKUP('Source VoT'!$E$27,'Annual Parameters'!$B$33:$W$143,3,FALSE)</f>
        <v>25.600608114584951</v>
      </c>
      <c r="X73" s="73">
        <f>'Source VoT'!$D$31*1*VLOOKUP($B73,'Annual Parameters'!$B$33:$W$143,21,FALSE)/VLOOKUP('Source VoT'!$F$27,'Annual Parameters'!$B$33:$W$143,21,FALSE)*VLOOKUP($B$14,'Annual Parameters'!$B$33:$W$143,3,FALSE)/VLOOKUP('Source VoT'!$E$27,'Annual Parameters'!$B$33:$W$143,3,FALSE)</f>
        <v>26.153862906845141</v>
      </c>
      <c r="Y73" s="73">
        <f>'Source VoT'!$D$32*1*VLOOKUP($B73,'Annual Parameters'!$B$33:$W$143,21,FALSE)/VLOOKUP('Source VoT'!$F$27,'Annual Parameters'!$B$33:$W$143,21,FALSE)*VLOOKUP($B$14,'Annual Parameters'!$B$33:$W$143,3,FALSE)/VLOOKUP('Source VoT'!$E$27,'Annual Parameters'!$B$33:$W$143,3,FALSE)</f>
        <v>17.881580260231075</v>
      </c>
      <c r="Z73" s="73">
        <f>'Source VoT'!$D$33*1*VLOOKUP($B73,'Annual Parameters'!$B$33:$W$143,21,FALSE)/VLOOKUP('Source VoT'!$F$27,'Annual Parameters'!$B$33:$W$143,21,FALSE)*VLOOKUP($B$14,'Annual Parameters'!$B$33:$W$143,3,FALSE)/VLOOKUP('Source VoT'!$E$27,'Annual Parameters'!$B$33:$W$143,3,FALSE)</f>
        <v>23.110961549414117</v>
      </c>
      <c r="AA73" s="73">
        <f>'Source VoT'!$D$34*1*VLOOKUP($B73,'Annual Parameters'!$B$33:$W$143,21,FALSE)/VLOOKUP('Source VoT'!$F$27,'Annual Parameters'!$B$33:$W$143,21,FALSE)*VLOOKUP($B$14,'Annual Parameters'!$B$33:$W$143,3,FALSE)/VLOOKUP('Source VoT'!$E$27,'Annual Parameters'!$B$33:$W$143,3,FALSE)</f>
        <v>31.554664840173704</v>
      </c>
      <c r="AB73" s="73">
        <f>'Source VoT'!$D$35*1*VLOOKUP($B73,'Annual Parameters'!$B$33:$W$143,21,FALSE)/VLOOKUP('Source VoT'!$F$27,'Annual Parameters'!$B$33:$W$143,21,FALSE)*VLOOKUP($B$14,'Annual Parameters'!$B$33:$W$143,3,FALSE)/VLOOKUP('Source VoT'!$E$27,'Annual Parameters'!$B$33:$W$143,3,FALSE)</f>
        <v>52.049810494333933</v>
      </c>
      <c r="AC73" s="73">
        <f>'Source VoT'!$D$36*1*VLOOKUP($B73,'Annual Parameters'!$B$33:$W$143,21,FALSE)/VLOOKUP('Source VoT'!$F$27,'Annual Parameters'!$B$33:$W$143,21,FALSE)*VLOOKUP($B$14,'Annual Parameters'!$B$33:$W$143,3,FALSE)/VLOOKUP('Source VoT'!$E$27,'Annual Parameters'!$B$33:$W$143,3,FALSE)</f>
        <v>17.881580260231075</v>
      </c>
      <c r="AD73" s="73">
        <f>'Source VoT'!$D$37*1*VLOOKUP($B73,'Annual Parameters'!$B$33:$W$143,21,FALSE)/VLOOKUP('Source VoT'!$F$27,'Annual Parameters'!$B$33:$W$143,21,FALSE)*VLOOKUP($B$14,'Annual Parameters'!$B$33:$W$143,3,FALSE)/VLOOKUP('Source VoT'!$E$27,'Annual Parameters'!$B$33:$W$143,3,FALSE)</f>
        <v>17.881580260231075</v>
      </c>
      <c r="AE73" s="73">
        <f>'Source VoT'!$D$38*1*VLOOKUP($B73,'Annual Parameters'!$B$33:$W$143,21,FALSE)/VLOOKUP('Source VoT'!$F$27,'Annual Parameters'!$B$33:$W$143,21,FALSE)*VLOOKUP($B$14,'Annual Parameters'!$B$33:$W$143,3,FALSE)/VLOOKUP('Source VoT'!$E$27,'Annual Parameters'!$B$33:$W$143,3,FALSE)</f>
        <v>17.881580260231075</v>
      </c>
      <c r="AF73" s="73">
        <f>'Source VoT'!$D$39*1*VLOOKUP($B73,'Annual Parameters'!$B$33:$W$143,21,FALSE)/VLOOKUP('Source VoT'!$F$27,'Annual Parameters'!$B$33:$W$143,21,FALSE)*VLOOKUP($B$14,'Annual Parameters'!$B$33:$W$143,3,FALSE)/VLOOKUP('Source VoT'!$E$27,'Annual Parameters'!$B$33:$W$143,3,FALSE)</f>
        <v>31.554664840173704</v>
      </c>
      <c r="AG73" s="74">
        <f>'Source VoT'!$D$40*1*VLOOKUP($B73,'Annual Parameters'!$B$33:$W$143,21,FALSE)/VLOOKUP('Source VoT'!$F$27,'Annual Parameters'!$B$33:$W$143,21,FALSE)*VLOOKUP($B$14,'Annual Parameters'!$B$33:$W$143,3,FALSE)/VLOOKUP('Source VoT'!$E$27,'Annual Parameters'!$B$33:$W$143,3,FALSE)</f>
        <v>34.370230468654775</v>
      </c>
      <c r="AH73" s="73">
        <f>'Source VoT'!$D$45*1*VLOOKUP($B73,'Annual Parameters'!$B$33:$W$143,22,FALSE)/VLOOKUP('Source VoT'!$F$27,'Annual Parameters'!$B$33:$W$143,22,FALSE)*VLOOKUP($B$14,'Annual Parameters'!$B$33:$W$143,3,FALSE)/VLOOKUP('Source VoT'!$E$27,'Annual Parameters'!$B$33:$W$143,3,FALSE)</f>
        <v>21.128485537695013</v>
      </c>
      <c r="AI73" s="73">
        <f>'Source VoT'!$D$46*1*VLOOKUP($B73,'Annual Parameters'!$B$33:$W$143,22,FALSE)/VLOOKUP('Source VoT'!$F$27,'Annual Parameters'!$B$33:$W$143,22,FALSE)*VLOOKUP($B$14,'Annual Parameters'!$B$33:$W$143,3,FALSE)/VLOOKUP('Source VoT'!$E$27,'Annual Parameters'!$B$33:$W$143,3,FALSE)</f>
        <v>9.6436748678208897</v>
      </c>
      <c r="AJ73" s="117">
        <f>'Source VoT'!$D$27*VLOOKUP($B73,'Indirect tax correction'!$B$27:$I$127,7,FALSE)*VLOOKUP($B73,'Annual Parameters'!$B$33:$W$143,21,FALSE)/VLOOKUP('Source VoT'!$F$27,'Annual Parameters'!$B$33:$W$143,21,FALSE)*VLOOKUP($B$14,'Annual Parameters'!$B$33:$W$143,3,FALSE)/VLOOKUP('Source VoT'!$E$27,'Annual Parameters'!$B$33:$W$143,3,FALSE)</f>
        <v>37.550051159806706</v>
      </c>
      <c r="AK73" s="73">
        <f>'Source VoT'!$D$28*VLOOKUP($B73,'Indirect tax correction'!$B$27:$I$127,7,FALSE)*VLOOKUP($B73,'Annual Parameters'!$B$33:$W$143,21,FALSE)/VLOOKUP('Source VoT'!$F$27,'Annual Parameters'!$B$33:$W$143,21,FALSE)*VLOOKUP($B$14,'Annual Parameters'!$B$33:$W$143,3,FALSE)/VLOOKUP('Source VoT'!$E$27,'Annual Parameters'!$B$33:$W$143,3,FALSE)</f>
        <v>37.550051159806706</v>
      </c>
      <c r="AL73" s="73">
        <f>'Source VoT'!$D$29*VLOOKUP($B73,'Indirect tax correction'!$B$27:$I$127,7,FALSE)*VLOOKUP($B73,'Annual Parameters'!$B$33:$W$143,21,FALSE)/VLOOKUP('Source VoT'!$F$27,'Annual Parameters'!$B$33:$W$143,21,FALSE)*VLOOKUP($B$14,'Annual Parameters'!$B$33:$W$143,3,FALSE)/VLOOKUP('Source VoT'!$E$27,'Annual Parameters'!$B$33:$W$143,3,FALSE)</f>
        <v>25.856111236828745</v>
      </c>
      <c r="AM73" s="73">
        <f>'Source VoT'!$D$30*VLOOKUP($B73,'Indirect tax correction'!$B$27:$I$127,7,FALSE)*VLOOKUP($B73,'Annual Parameters'!$B$33:$W$143,21,FALSE)/VLOOKUP('Source VoT'!$F$27,'Annual Parameters'!$B$33:$W$143,21,FALSE)*VLOOKUP($B$14,'Annual Parameters'!$B$33:$W$143,3,FALSE)/VLOOKUP('Source VoT'!$E$27,'Annual Parameters'!$B$33:$W$143,3,FALSE)</f>
        <v>30.464723656356096</v>
      </c>
      <c r="AN73" s="73">
        <f>'Source VoT'!$D$31*VLOOKUP($B73,'Indirect tax correction'!$B$27:$I$127,7,FALSE)*VLOOKUP($B73,'Annual Parameters'!$B$33:$W$143,21,FALSE)/VLOOKUP('Source VoT'!$F$27,'Annual Parameters'!$B$33:$W$143,21,FALSE)*VLOOKUP($B$14,'Annual Parameters'!$B$33:$W$143,3,FALSE)/VLOOKUP('Source VoT'!$E$27,'Annual Parameters'!$B$33:$W$143,3,FALSE)</f>
        <v>31.123096859145718</v>
      </c>
      <c r="AO73" s="73">
        <f>'Source VoT'!$D$32*VLOOKUP($B73,'Indirect tax correction'!$B$27:$I$127,7,FALSE)*VLOOKUP($B73,'Annual Parameters'!$B$33:$W$143,21,FALSE)/VLOOKUP('Source VoT'!$F$27,'Annual Parameters'!$B$33:$W$143,21,FALSE)*VLOOKUP($B$14,'Annual Parameters'!$B$33:$W$143,3,FALSE)/VLOOKUP('Source VoT'!$E$27,'Annual Parameters'!$B$33:$W$143,3,FALSE)</f>
        <v>21.279080509674976</v>
      </c>
      <c r="AP73" s="73">
        <f>'Source VoT'!$D$33*VLOOKUP($B73,'Indirect tax correction'!$B$27:$I$127,7,FALSE)*VLOOKUP($B73,'Annual Parameters'!$B$33:$W$143,21,FALSE)/VLOOKUP('Source VoT'!$F$27,'Annual Parameters'!$B$33:$W$143,21,FALSE)*VLOOKUP($B$14,'Annual Parameters'!$B$33:$W$143,3,FALSE)/VLOOKUP('Source VoT'!$E$27,'Annual Parameters'!$B$33:$W$143,3,FALSE)</f>
        <v>27.502044243802803</v>
      </c>
      <c r="AQ73" s="73">
        <f>'Source VoT'!$D$34*VLOOKUP($B73,'Indirect tax correction'!$B$27:$I$127,7,FALSE)*VLOOKUP($B73,'Annual Parameters'!$B$33:$W$143,21,FALSE)/VLOOKUP('Source VoT'!$F$27,'Annual Parameters'!$B$33:$W$143,21,FALSE)*VLOOKUP($B$14,'Annual Parameters'!$B$33:$W$143,3,FALSE)/VLOOKUP('Source VoT'!$E$27,'Annual Parameters'!$B$33:$W$143,3,FALSE)</f>
        <v>37.550051159806706</v>
      </c>
      <c r="AR73" s="73">
        <f>'Source VoT'!$D$35*VLOOKUP($B73,'Indirect tax correction'!$B$27:$I$127,7,FALSE)*VLOOKUP($B73,'Annual Parameters'!$B$33:$W$143,21,FALSE)/VLOOKUP('Source VoT'!$F$27,'Annual Parameters'!$B$33:$W$143,21,FALSE)*VLOOKUP($B$14,'Annual Parameters'!$B$33:$W$143,3,FALSE)/VLOOKUP('Source VoT'!$E$27,'Annual Parameters'!$B$33:$W$143,3,FALSE)</f>
        <v>61.939274488257382</v>
      </c>
      <c r="AS73" s="73">
        <f>'Source VoT'!$D$36*VLOOKUP($B73,'Indirect tax correction'!$B$27:$I$127,7,FALSE)*VLOOKUP($B73,'Annual Parameters'!$B$33:$W$143,21,FALSE)/VLOOKUP('Source VoT'!$F$27,'Annual Parameters'!$B$33:$W$143,21,FALSE)*VLOOKUP($B$14,'Annual Parameters'!$B$33:$W$143,3,FALSE)/VLOOKUP('Source VoT'!$E$27,'Annual Parameters'!$B$33:$W$143,3,FALSE)</f>
        <v>21.279080509674976</v>
      </c>
      <c r="AT73" s="73">
        <f>'Source VoT'!$D$37*VLOOKUP($B73,'Indirect tax correction'!$B$27:$I$127,7,FALSE)*VLOOKUP($B73,'Annual Parameters'!$B$33:$W$143,21,FALSE)/VLOOKUP('Source VoT'!$F$27,'Annual Parameters'!$B$33:$W$143,21,FALSE)*VLOOKUP($B$14,'Annual Parameters'!$B$33:$W$143,3,FALSE)/VLOOKUP('Source VoT'!$E$27,'Annual Parameters'!$B$33:$W$143,3,FALSE)</f>
        <v>21.279080509674976</v>
      </c>
      <c r="AU73" s="73">
        <f>'Source VoT'!$D$38*VLOOKUP($B73,'Indirect tax correction'!$B$27:$I$127,7,FALSE)*VLOOKUP($B73,'Annual Parameters'!$B$33:$W$143,21,FALSE)/VLOOKUP('Source VoT'!$F$27,'Annual Parameters'!$B$33:$W$143,21,FALSE)*VLOOKUP($B$14,'Annual Parameters'!$B$33:$W$143,3,FALSE)/VLOOKUP('Source VoT'!$E$27,'Annual Parameters'!$B$33:$W$143,3,FALSE)</f>
        <v>21.279080509674976</v>
      </c>
      <c r="AV73" s="73">
        <f>'Source VoT'!$D$39*VLOOKUP($B73,'Indirect tax correction'!$B$27:$I$127,7,FALSE)*VLOOKUP($B73,'Annual Parameters'!$B$33:$W$143,21,FALSE)/VLOOKUP('Source VoT'!$F$27,'Annual Parameters'!$B$33:$W$143,21,FALSE)*VLOOKUP($B$14,'Annual Parameters'!$B$33:$W$143,3,FALSE)/VLOOKUP('Source VoT'!$E$27,'Annual Parameters'!$B$33:$W$143,3,FALSE)</f>
        <v>37.550051159806706</v>
      </c>
      <c r="AW73" s="74">
        <f>'Source VoT'!$D$40*VLOOKUP($B73,'Indirect tax correction'!$B$27:$I$127,7,FALSE)*VLOOKUP($B73,'Annual Parameters'!$B$33:$W$143,21,FALSE)/VLOOKUP('Source VoT'!$F$27,'Annual Parameters'!$B$33:$W$143,21,FALSE)*VLOOKUP($B$14,'Annual Parameters'!$B$33:$W$143,3,FALSE)/VLOOKUP('Source VoT'!$E$27,'Annual Parameters'!$B$33:$W$143,3,FALSE)</f>
        <v>40.900574257699176</v>
      </c>
      <c r="AX73" s="73">
        <f>'Source VoT'!$D$45*VLOOKUP($B73,'Indirect tax correction'!$B$27:$I$127,8,FALSE)*VLOOKUP($B73,'Annual Parameters'!$B$33:$W$143,22,FALSE)/VLOOKUP('Source VoT'!$F$27,'Annual Parameters'!$B$33:$W$143,22,FALSE)*VLOOKUP($B$14,'Annual Parameters'!$B$33:$W$143,3,FALSE)/VLOOKUP('Source VoT'!$E$27,'Annual Parameters'!$B$33:$W$143,3,FALSE)</f>
        <v>21.128485537695013</v>
      </c>
      <c r="AY73" s="74">
        <f>'Source VoT'!$D$46*VLOOKUP($B73,'Indirect tax correction'!$B$27:$I$127,8,FALSE)*VLOOKUP($B73,'Annual Parameters'!$B$33:$W$143,22,FALSE)/VLOOKUP('Source VoT'!$F$27,'Annual Parameters'!$B$33:$W$143,22,FALSE)*VLOOKUP($B$14,'Annual Parameters'!$B$33:$W$143,3,FALSE)/VLOOKUP('Source VoT'!$E$27,'Annual Parameters'!$B$33:$W$143,3,FALSE)</f>
        <v>9.6436748678208897</v>
      </c>
      <c r="AZ73" s="2875"/>
      <c r="BA73" s="2875"/>
      <c r="BB73" s="2875"/>
      <c r="BC73" s="2875"/>
      <c r="BD73" s="2875"/>
      <c r="BE73" s="2875"/>
      <c r="BF73" s="2875"/>
      <c r="BG73" s="2875"/>
    </row>
    <row r="74" spans="1:59" ht="13.5" customHeight="1">
      <c r="A74" s="90"/>
      <c r="B74" s="82">
        <f t="shared" si="0"/>
        <v>2057</v>
      </c>
      <c r="C74" s="82"/>
      <c r="D74" s="117">
        <f>'Source VoT'!$D$27*VLOOKUP($B74,'Indirect tax correction'!$B$27:$I$127,5,FALSE)*VLOOKUP($B74,'Annual Parameters'!$B$33:$W$143,21,FALSE)/VLOOKUP('Source VoT'!$F$27,'Annual Parameters'!$B$33:$W$143,21,FALSE)*VLOOKUP($B$14,'Annual Parameters'!$B$33:$W$143,3,FALSE)/VLOOKUP('Source VoT'!$E$27,'Annual Parameters'!$B$33:$W$143,3,FALSE)</f>
        <v>32.1745773466291</v>
      </c>
      <c r="E74" s="73">
        <f>'Source VoT'!$D$28*VLOOKUP($B74,'Indirect tax correction'!$B$27:$I$127,5,FALSE)*VLOOKUP($B74,'Annual Parameters'!$B$33:$W$143,21,FALSE)/VLOOKUP('Source VoT'!$F$27,'Annual Parameters'!$B$33:$W$143,21,FALSE)*VLOOKUP($B$14,'Annual Parameters'!$B$33:$W$143,3,FALSE)/VLOOKUP('Source VoT'!$E$27,'Annual Parameters'!$B$33:$W$143,3,FALSE)</f>
        <v>32.1745773466291</v>
      </c>
      <c r="F74" s="73">
        <f>'Source VoT'!$D$29*VLOOKUP($B74,'Indirect tax correction'!$B$27:$I$127,5,FALSE)*VLOOKUP($B74,'Annual Parameters'!$B$33:$W$143,21,FALSE)/VLOOKUP('Source VoT'!$F$27,'Annual Parameters'!$B$33:$W$143,21,FALSE)*VLOOKUP($B$14,'Annual Parameters'!$B$33:$W$143,3,FALSE)/VLOOKUP('Source VoT'!$E$27,'Annual Parameters'!$B$33:$W$143,3,FALSE)</f>
        <v>22.154682222187279</v>
      </c>
      <c r="G74" s="73">
        <f>'Source VoT'!$D$30*VLOOKUP($B74,'Indirect tax correction'!$B$27:$I$127,5,FALSE)*VLOOKUP($B74,'Annual Parameters'!$B$33:$W$143,21,FALSE)/VLOOKUP('Source VoT'!$F$27,'Annual Parameters'!$B$33:$W$143,21,FALSE)*VLOOKUP($B$14,'Annual Parameters'!$B$33:$W$143,3,FALSE)/VLOOKUP('Source VoT'!$E$27,'Annual Parameters'!$B$33:$W$143,3,FALSE)</f>
        <v>26.103549192345657</v>
      </c>
      <c r="H74" s="73">
        <f>'Source VoT'!$D$31*VLOOKUP($B74,'Indirect tax correction'!$B$27:$I$127,5,FALSE)*VLOOKUP($B74,'Annual Parameters'!$B$33:$W$143,21,FALSE)/VLOOKUP('Source VoT'!$F$27,'Annual Parameters'!$B$33:$W$143,21,FALSE)*VLOOKUP($B$14,'Annual Parameters'!$B$33:$W$143,3,FALSE)/VLOOKUP('Source VoT'!$E$27,'Annual Parameters'!$B$33:$W$143,3,FALSE)</f>
        <v>26.667673045225428</v>
      </c>
      <c r="I74" s="73">
        <f>'Source VoT'!$D$32*VLOOKUP($B74,'Indirect tax correction'!$B$27:$I$127,5,FALSE)*VLOOKUP($B74,'Annual Parameters'!$B$33:$W$143,21,FALSE)/VLOOKUP('Source VoT'!$F$27,'Annual Parameters'!$B$33:$W$143,21,FALSE)*VLOOKUP($B$14,'Annual Parameters'!$B$33:$W$143,3,FALSE)/VLOOKUP('Source VoT'!$E$27,'Annual Parameters'!$B$33:$W$143,3,FALSE)</f>
        <v>18.23287587039361</v>
      </c>
      <c r="J74" s="73">
        <f>'Source VoT'!$D$33*VLOOKUP($B74,'Indirect tax correction'!$B$27:$I$127,5,FALSE)*VLOOKUP($B74,'Annual Parameters'!$B$33:$W$143,21,FALSE)/VLOOKUP('Source VoT'!$F$27,'Annual Parameters'!$B$33:$W$143,21,FALSE)*VLOOKUP($B$14,'Annual Parameters'!$B$33:$W$143,3,FALSE)/VLOOKUP('Source VoT'!$E$27,'Annual Parameters'!$B$33:$W$143,3,FALSE)</f>
        <v>23.564991854386694</v>
      </c>
      <c r="K74" s="73">
        <f>'Source VoT'!$D$34*VLOOKUP($B74,'Indirect tax correction'!$B$27:$I$127,5,FALSE)*VLOOKUP($B74,'Annual Parameters'!$B$33:$W$143,21,FALSE)/VLOOKUP('Source VoT'!$F$27,'Annual Parameters'!$B$33:$W$143,21,FALSE)*VLOOKUP($B$14,'Annual Parameters'!$B$33:$W$143,3,FALSE)/VLOOKUP('Source VoT'!$E$27,'Annual Parameters'!$B$33:$W$143,3,FALSE)</f>
        <v>32.1745773466291</v>
      </c>
      <c r="L74" s="73">
        <f>'Source VoT'!$D$35*VLOOKUP($B74,'Indirect tax correction'!$B$27:$I$127,5,FALSE)*VLOOKUP($B74,'Annual Parameters'!$B$33:$W$143,21,FALSE)/VLOOKUP('Source VoT'!$F$27,'Annual Parameters'!$B$33:$W$143,21,FALSE)*VLOOKUP($B$14,'Annual Parameters'!$B$33:$W$143,3,FALSE)/VLOOKUP('Source VoT'!$E$27,'Annual Parameters'!$B$33:$W$143,3,FALSE)</f>
        <v>53.072363852054629</v>
      </c>
      <c r="M74" s="73">
        <f>'Source VoT'!$D$36*VLOOKUP($B74,'Indirect tax correction'!$B$27:$I$127,5,FALSE)*VLOOKUP($B74,'Annual Parameters'!$B$33:$W$143,21,FALSE)/VLOOKUP('Source VoT'!$F$27,'Annual Parameters'!$B$33:$W$143,21,FALSE)*VLOOKUP($B$14,'Annual Parameters'!$B$33:$W$143,3,FALSE)/VLOOKUP('Source VoT'!$E$27,'Annual Parameters'!$B$33:$W$143,3,FALSE)</f>
        <v>18.23287587039361</v>
      </c>
      <c r="N74" s="73">
        <f>'Source VoT'!$D$37*VLOOKUP($B74,'Indirect tax correction'!$B$27:$I$127,5,FALSE)*VLOOKUP($B74,'Annual Parameters'!$B$33:$W$143,21,FALSE)/VLOOKUP('Source VoT'!$F$27,'Annual Parameters'!$B$33:$W$143,21,FALSE)*VLOOKUP($B$14,'Annual Parameters'!$B$33:$W$143,3,FALSE)/VLOOKUP('Source VoT'!$E$27,'Annual Parameters'!$B$33:$W$143,3,FALSE)</f>
        <v>18.23287587039361</v>
      </c>
      <c r="O74" s="73">
        <f>'Source VoT'!$D$38*VLOOKUP($B74,'Indirect tax correction'!$B$27:$I$127,5,FALSE)*VLOOKUP($B74,'Annual Parameters'!$B$33:$W$143,21,FALSE)/VLOOKUP('Source VoT'!$F$27,'Annual Parameters'!$B$33:$W$143,21,FALSE)*VLOOKUP($B$14,'Annual Parameters'!$B$33:$W$143,3,FALSE)/VLOOKUP('Source VoT'!$E$27,'Annual Parameters'!$B$33:$W$143,3,FALSE)</f>
        <v>18.23287587039361</v>
      </c>
      <c r="P74" s="73">
        <f>'Source VoT'!$D$39*VLOOKUP($B74,'Indirect tax correction'!$B$27:$I$127,5,FALSE)*VLOOKUP($B74,'Annual Parameters'!$B$33:$W$143,21,FALSE)/VLOOKUP('Source VoT'!$F$27,'Annual Parameters'!$B$33:$W$143,21,FALSE)*VLOOKUP($B$14,'Annual Parameters'!$B$33:$W$143,3,FALSE)/VLOOKUP('Source VoT'!$E$27,'Annual Parameters'!$B$33:$W$143,3,FALSE)</f>
        <v>32.1745773466291</v>
      </c>
      <c r="Q74" s="74">
        <f>'Source VoT'!$D$40*VLOOKUP($B74,'Indirect tax correction'!$B$27:$I$127,5,FALSE)*VLOOKUP($B74,'Annual Parameters'!$B$33:$W$143,21,FALSE)/VLOOKUP('Source VoT'!$F$27,'Annual Parameters'!$B$33:$W$143,21,FALSE)*VLOOKUP($B$14,'Annual Parameters'!$B$33:$W$143,3,FALSE)/VLOOKUP('Source VoT'!$E$27,'Annual Parameters'!$B$33:$W$143,3,FALSE)</f>
        <v>35.045456645994712</v>
      </c>
      <c r="R74" s="73">
        <f>'Source VoT'!$D$45*VLOOKUP($B74,'Indirect tax correction'!$B$27:$I$127,6,FALSE)*VLOOKUP($B74,'Annual Parameters'!$B$33:$W$143,22,FALSE)/VLOOKUP('Source VoT'!$F$27,'Annual Parameters'!$B$33:$W$143,22,FALSE)*VLOOKUP($B$14,'Annual Parameters'!$B$33:$W$143,3,FALSE)/VLOOKUP('Source VoT'!$E$27,'Annual Parameters'!$B$33:$W$143,3,FALSE)</f>
        <v>18.103839306545485</v>
      </c>
      <c r="S74" s="73">
        <f>'Source VoT'!$D$46*VLOOKUP($B74,'Indirect tax correction'!$B$27:$I$127,6,FALSE)*VLOOKUP($B74,'Annual Parameters'!$B$33:$W$143,22,FALSE)/VLOOKUP('Source VoT'!$F$27,'Annual Parameters'!$B$33:$W$143,22,FALSE)*VLOOKUP($B$14,'Annual Parameters'!$B$33:$W$143,3,FALSE)/VLOOKUP('Source VoT'!$E$27,'Annual Parameters'!$B$33:$W$143,3,FALSE)</f>
        <v>8.2631355579235262</v>
      </c>
      <c r="T74" s="117">
        <f>'Source VoT'!$D$27*1*VLOOKUP($B74,'Annual Parameters'!$B$33:$W$143,21,FALSE)/VLOOKUP('Source VoT'!$F$27,'Annual Parameters'!$B$33:$W$143,21,FALSE)*VLOOKUP($B$14,'Annual Parameters'!$B$33:$W$143,3,FALSE)/VLOOKUP('Source VoT'!$E$27,'Annual Parameters'!$B$33:$W$143,3,FALSE)</f>
        <v>32.1745773466291</v>
      </c>
      <c r="U74" s="73">
        <f>'Source VoT'!$D$28*1*VLOOKUP($B74,'Annual Parameters'!$B$33:$W$143,21,FALSE)/VLOOKUP('Source VoT'!$F$27,'Annual Parameters'!$B$33:$W$143,21,FALSE)*VLOOKUP($B$14,'Annual Parameters'!$B$33:$W$143,3,FALSE)/VLOOKUP('Source VoT'!$E$27,'Annual Parameters'!$B$33:$W$143,3,FALSE)</f>
        <v>32.1745773466291</v>
      </c>
      <c r="V74" s="73">
        <f>'Source VoT'!$D$29*1*VLOOKUP($B74,'Annual Parameters'!$B$33:$W$143,21,FALSE)/VLOOKUP('Source VoT'!$F$27,'Annual Parameters'!$B$33:$W$143,21,FALSE)*VLOOKUP($B$14,'Annual Parameters'!$B$33:$W$143,3,FALSE)/VLOOKUP('Source VoT'!$E$27,'Annual Parameters'!$B$33:$W$143,3,FALSE)</f>
        <v>22.154682222187279</v>
      </c>
      <c r="W74" s="73">
        <f>'Source VoT'!$D$30*1*VLOOKUP($B74,'Annual Parameters'!$B$33:$W$143,21,FALSE)/VLOOKUP('Source VoT'!$F$27,'Annual Parameters'!$B$33:$W$143,21,FALSE)*VLOOKUP($B$14,'Annual Parameters'!$B$33:$W$143,3,FALSE)/VLOOKUP('Source VoT'!$E$27,'Annual Parameters'!$B$33:$W$143,3,FALSE)</f>
        <v>26.103549192345657</v>
      </c>
      <c r="X74" s="73">
        <f>'Source VoT'!$D$31*1*VLOOKUP($B74,'Annual Parameters'!$B$33:$W$143,21,FALSE)/VLOOKUP('Source VoT'!$F$27,'Annual Parameters'!$B$33:$W$143,21,FALSE)*VLOOKUP($B$14,'Annual Parameters'!$B$33:$W$143,3,FALSE)/VLOOKUP('Source VoT'!$E$27,'Annual Parameters'!$B$33:$W$143,3,FALSE)</f>
        <v>26.667673045225428</v>
      </c>
      <c r="Y74" s="73">
        <f>'Source VoT'!$D$32*1*VLOOKUP($B74,'Annual Parameters'!$B$33:$W$143,21,FALSE)/VLOOKUP('Source VoT'!$F$27,'Annual Parameters'!$B$33:$W$143,21,FALSE)*VLOOKUP($B$14,'Annual Parameters'!$B$33:$W$143,3,FALSE)/VLOOKUP('Source VoT'!$E$27,'Annual Parameters'!$B$33:$W$143,3,FALSE)</f>
        <v>18.23287587039361</v>
      </c>
      <c r="Z74" s="73">
        <f>'Source VoT'!$D$33*1*VLOOKUP($B74,'Annual Parameters'!$B$33:$W$143,21,FALSE)/VLOOKUP('Source VoT'!$F$27,'Annual Parameters'!$B$33:$W$143,21,FALSE)*VLOOKUP($B$14,'Annual Parameters'!$B$33:$W$143,3,FALSE)/VLOOKUP('Source VoT'!$E$27,'Annual Parameters'!$B$33:$W$143,3,FALSE)</f>
        <v>23.564991854386694</v>
      </c>
      <c r="AA74" s="73">
        <f>'Source VoT'!$D$34*1*VLOOKUP($B74,'Annual Parameters'!$B$33:$W$143,21,FALSE)/VLOOKUP('Source VoT'!$F$27,'Annual Parameters'!$B$33:$W$143,21,FALSE)*VLOOKUP($B$14,'Annual Parameters'!$B$33:$W$143,3,FALSE)/VLOOKUP('Source VoT'!$E$27,'Annual Parameters'!$B$33:$W$143,3,FALSE)</f>
        <v>32.1745773466291</v>
      </c>
      <c r="AB74" s="73">
        <f>'Source VoT'!$D$35*1*VLOOKUP($B74,'Annual Parameters'!$B$33:$W$143,21,FALSE)/VLOOKUP('Source VoT'!$F$27,'Annual Parameters'!$B$33:$W$143,21,FALSE)*VLOOKUP($B$14,'Annual Parameters'!$B$33:$W$143,3,FALSE)/VLOOKUP('Source VoT'!$E$27,'Annual Parameters'!$B$33:$W$143,3,FALSE)</f>
        <v>53.072363852054629</v>
      </c>
      <c r="AC74" s="73">
        <f>'Source VoT'!$D$36*1*VLOOKUP($B74,'Annual Parameters'!$B$33:$W$143,21,FALSE)/VLOOKUP('Source VoT'!$F$27,'Annual Parameters'!$B$33:$W$143,21,FALSE)*VLOOKUP($B$14,'Annual Parameters'!$B$33:$W$143,3,FALSE)/VLOOKUP('Source VoT'!$E$27,'Annual Parameters'!$B$33:$W$143,3,FALSE)</f>
        <v>18.23287587039361</v>
      </c>
      <c r="AD74" s="73">
        <f>'Source VoT'!$D$37*1*VLOOKUP($B74,'Annual Parameters'!$B$33:$W$143,21,FALSE)/VLOOKUP('Source VoT'!$F$27,'Annual Parameters'!$B$33:$W$143,21,FALSE)*VLOOKUP($B$14,'Annual Parameters'!$B$33:$W$143,3,FALSE)/VLOOKUP('Source VoT'!$E$27,'Annual Parameters'!$B$33:$W$143,3,FALSE)</f>
        <v>18.23287587039361</v>
      </c>
      <c r="AE74" s="73">
        <f>'Source VoT'!$D$38*1*VLOOKUP($B74,'Annual Parameters'!$B$33:$W$143,21,FALSE)/VLOOKUP('Source VoT'!$F$27,'Annual Parameters'!$B$33:$W$143,21,FALSE)*VLOOKUP($B$14,'Annual Parameters'!$B$33:$W$143,3,FALSE)/VLOOKUP('Source VoT'!$E$27,'Annual Parameters'!$B$33:$W$143,3,FALSE)</f>
        <v>18.23287587039361</v>
      </c>
      <c r="AF74" s="73">
        <f>'Source VoT'!$D$39*1*VLOOKUP($B74,'Annual Parameters'!$B$33:$W$143,21,FALSE)/VLOOKUP('Source VoT'!$F$27,'Annual Parameters'!$B$33:$W$143,21,FALSE)*VLOOKUP($B$14,'Annual Parameters'!$B$33:$W$143,3,FALSE)/VLOOKUP('Source VoT'!$E$27,'Annual Parameters'!$B$33:$W$143,3,FALSE)</f>
        <v>32.1745773466291</v>
      </c>
      <c r="AG74" s="74">
        <f>'Source VoT'!$D$40*1*VLOOKUP($B74,'Annual Parameters'!$B$33:$W$143,21,FALSE)/VLOOKUP('Source VoT'!$F$27,'Annual Parameters'!$B$33:$W$143,21,FALSE)*VLOOKUP($B$14,'Annual Parameters'!$B$33:$W$143,3,FALSE)/VLOOKUP('Source VoT'!$E$27,'Annual Parameters'!$B$33:$W$143,3,FALSE)</f>
        <v>35.045456645994712</v>
      </c>
      <c r="AH74" s="73">
        <f>'Source VoT'!$D$45*1*VLOOKUP($B74,'Annual Parameters'!$B$33:$W$143,22,FALSE)/VLOOKUP('Source VoT'!$F$27,'Annual Parameters'!$B$33:$W$143,22,FALSE)*VLOOKUP($B$14,'Annual Parameters'!$B$33:$W$143,3,FALSE)/VLOOKUP('Source VoT'!$E$27,'Annual Parameters'!$B$33:$W$143,3,FALSE)</f>
        <v>21.543568774789129</v>
      </c>
      <c r="AI74" s="73">
        <f>'Source VoT'!$D$46*1*VLOOKUP($B74,'Annual Parameters'!$B$33:$W$143,22,FALSE)/VLOOKUP('Source VoT'!$F$27,'Annual Parameters'!$B$33:$W$143,22,FALSE)*VLOOKUP($B$14,'Annual Parameters'!$B$33:$W$143,3,FALSE)/VLOOKUP('Source VoT'!$E$27,'Annual Parameters'!$B$33:$W$143,3,FALSE)</f>
        <v>9.8331313139289946</v>
      </c>
      <c r="AJ74" s="117">
        <f>'Source VoT'!$D$27*VLOOKUP($B74,'Indirect tax correction'!$B$27:$I$127,7,FALSE)*VLOOKUP($B74,'Annual Parameters'!$B$33:$W$143,21,FALSE)/VLOOKUP('Source VoT'!$F$27,'Annual Parameters'!$B$33:$W$143,21,FALSE)*VLOOKUP($B$14,'Annual Parameters'!$B$33:$W$143,3,FALSE)/VLOOKUP('Source VoT'!$E$27,'Annual Parameters'!$B$33:$W$143,3,FALSE)</f>
        <v>38.287747042488618</v>
      </c>
      <c r="AK74" s="73">
        <f>'Source VoT'!$D$28*VLOOKUP($B74,'Indirect tax correction'!$B$27:$I$127,7,FALSE)*VLOOKUP($B74,'Annual Parameters'!$B$33:$W$143,21,FALSE)/VLOOKUP('Source VoT'!$F$27,'Annual Parameters'!$B$33:$W$143,21,FALSE)*VLOOKUP($B$14,'Annual Parameters'!$B$33:$W$143,3,FALSE)/VLOOKUP('Source VoT'!$E$27,'Annual Parameters'!$B$33:$W$143,3,FALSE)</f>
        <v>38.287747042488618</v>
      </c>
      <c r="AL74" s="73">
        <f>'Source VoT'!$D$29*VLOOKUP($B74,'Indirect tax correction'!$B$27:$I$127,7,FALSE)*VLOOKUP($B74,'Annual Parameters'!$B$33:$W$143,21,FALSE)/VLOOKUP('Source VoT'!$F$27,'Annual Parameters'!$B$33:$W$143,21,FALSE)*VLOOKUP($B$14,'Annual Parameters'!$B$33:$W$143,3,FALSE)/VLOOKUP('Source VoT'!$E$27,'Annual Parameters'!$B$33:$W$143,3,FALSE)</f>
        <v>26.364071844402861</v>
      </c>
      <c r="AM74" s="73">
        <f>'Source VoT'!$D$30*VLOOKUP($B74,'Indirect tax correction'!$B$27:$I$127,7,FALSE)*VLOOKUP($B74,'Annual Parameters'!$B$33:$W$143,21,FALSE)/VLOOKUP('Source VoT'!$F$27,'Annual Parameters'!$B$33:$W$143,21,FALSE)*VLOOKUP($B$14,'Annual Parameters'!$B$33:$W$143,3,FALSE)/VLOOKUP('Source VoT'!$E$27,'Annual Parameters'!$B$33:$W$143,3,FALSE)</f>
        <v>31.063223538891325</v>
      </c>
      <c r="AN74" s="73">
        <f>'Source VoT'!$D$31*VLOOKUP($B74,'Indirect tax correction'!$B$27:$I$127,7,FALSE)*VLOOKUP($B74,'Annual Parameters'!$B$33:$W$143,21,FALSE)/VLOOKUP('Source VoT'!$F$27,'Annual Parameters'!$B$33:$W$143,21,FALSE)*VLOOKUP($B$14,'Annual Parameters'!$B$33:$W$143,3,FALSE)/VLOOKUP('Source VoT'!$E$27,'Annual Parameters'!$B$33:$W$143,3,FALSE)</f>
        <v>31.734530923818255</v>
      </c>
      <c r="AO74" s="73">
        <f>'Source VoT'!$D$32*VLOOKUP($B74,'Indirect tax correction'!$B$27:$I$127,7,FALSE)*VLOOKUP($B74,'Annual Parameters'!$B$33:$W$143,21,FALSE)/VLOOKUP('Source VoT'!$F$27,'Annual Parameters'!$B$33:$W$143,21,FALSE)*VLOOKUP($B$14,'Annual Parameters'!$B$33:$W$143,3,FALSE)/VLOOKUP('Source VoT'!$E$27,'Annual Parameters'!$B$33:$W$143,3,FALSE)</f>
        <v>21.697122285768398</v>
      </c>
      <c r="AP74" s="73">
        <f>'Source VoT'!$D$33*VLOOKUP($B74,'Indirect tax correction'!$B$27:$I$127,7,FALSE)*VLOOKUP($B74,'Annual Parameters'!$B$33:$W$143,21,FALSE)/VLOOKUP('Source VoT'!$F$27,'Annual Parameters'!$B$33:$W$143,21,FALSE)*VLOOKUP($B$14,'Annual Parameters'!$B$33:$W$143,3,FALSE)/VLOOKUP('Source VoT'!$E$27,'Annual Parameters'!$B$33:$W$143,3,FALSE)</f>
        <v>28.042340306720167</v>
      </c>
      <c r="AQ74" s="73">
        <f>'Source VoT'!$D$34*VLOOKUP($B74,'Indirect tax correction'!$B$27:$I$127,7,FALSE)*VLOOKUP($B74,'Annual Parameters'!$B$33:$W$143,21,FALSE)/VLOOKUP('Source VoT'!$F$27,'Annual Parameters'!$B$33:$W$143,21,FALSE)*VLOOKUP($B$14,'Annual Parameters'!$B$33:$W$143,3,FALSE)/VLOOKUP('Source VoT'!$E$27,'Annual Parameters'!$B$33:$W$143,3,FALSE)</f>
        <v>38.287747042488618</v>
      </c>
      <c r="AR74" s="73">
        <f>'Source VoT'!$D$35*VLOOKUP($B74,'Indirect tax correction'!$B$27:$I$127,7,FALSE)*VLOOKUP($B74,'Annual Parameters'!$B$33:$W$143,21,FALSE)/VLOOKUP('Source VoT'!$F$27,'Annual Parameters'!$B$33:$W$143,21,FALSE)*VLOOKUP($B$14,'Annual Parameters'!$B$33:$W$143,3,FALSE)/VLOOKUP('Source VoT'!$E$27,'Annual Parameters'!$B$33:$W$143,3,FALSE)</f>
        <v>63.156112983945007</v>
      </c>
      <c r="AS74" s="73">
        <f>'Source VoT'!$D$36*VLOOKUP($B74,'Indirect tax correction'!$B$27:$I$127,7,FALSE)*VLOOKUP($B74,'Annual Parameters'!$B$33:$W$143,21,FALSE)/VLOOKUP('Source VoT'!$F$27,'Annual Parameters'!$B$33:$W$143,21,FALSE)*VLOOKUP($B$14,'Annual Parameters'!$B$33:$W$143,3,FALSE)/VLOOKUP('Source VoT'!$E$27,'Annual Parameters'!$B$33:$W$143,3,FALSE)</f>
        <v>21.697122285768398</v>
      </c>
      <c r="AT74" s="73">
        <f>'Source VoT'!$D$37*VLOOKUP($B74,'Indirect tax correction'!$B$27:$I$127,7,FALSE)*VLOOKUP($B74,'Annual Parameters'!$B$33:$W$143,21,FALSE)/VLOOKUP('Source VoT'!$F$27,'Annual Parameters'!$B$33:$W$143,21,FALSE)*VLOOKUP($B$14,'Annual Parameters'!$B$33:$W$143,3,FALSE)/VLOOKUP('Source VoT'!$E$27,'Annual Parameters'!$B$33:$W$143,3,FALSE)</f>
        <v>21.697122285768398</v>
      </c>
      <c r="AU74" s="73">
        <f>'Source VoT'!$D$38*VLOOKUP($B74,'Indirect tax correction'!$B$27:$I$127,7,FALSE)*VLOOKUP($B74,'Annual Parameters'!$B$33:$W$143,21,FALSE)/VLOOKUP('Source VoT'!$F$27,'Annual Parameters'!$B$33:$W$143,21,FALSE)*VLOOKUP($B$14,'Annual Parameters'!$B$33:$W$143,3,FALSE)/VLOOKUP('Source VoT'!$E$27,'Annual Parameters'!$B$33:$W$143,3,FALSE)</f>
        <v>21.697122285768398</v>
      </c>
      <c r="AV74" s="73">
        <f>'Source VoT'!$D$39*VLOOKUP($B74,'Indirect tax correction'!$B$27:$I$127,7,FALSE)*VLOOKUP($B74,'Annual Parameters'!$B$33:$W$143,21,FALSE)/VLOOKUP('Source VoT'!$F$27,'Annual Parameters'!$B$33:$W$143,21,FALSE)*VLOOKUP($B$14,'Annual Parameters'!$B$33:$W$143,3,FALSE)/VLOOKUP('Source VoT'!$E$27,'Annual Parameters'!$B$33:$W$143,3,FALSE)</f>
        <v>38.287747042488618</v>
      </c>
      <c r="AW74" s="74">
        <f>'Source VoT'!$D$40*VLOOKUP($B74,'Indirect tax correction'!$B$27:$I$127,7,FALSE)*VLOOKUP($B74,'Annual Parameters'!$B$33:$W$143,21,FALSE)/VLOOKUP('Source VoT'!$F$27,'Annual Parameters'!$B$33:$W$143,21,FALSE)*VLOOKUP($B$14,'Annual Parameters'!$B$33:$W$143,3,FALSE)/VLOOKUP('Source VoT'!$E$27,'Annual Parameters'!$B$33:$W$143,3,FALSE)</f>
        <v>41.704093408733705</v>
      </c>
      <c r="AX74" s="73">
        <f>'Source VoT'!$D$45*VLOOKUP($B74,'Indirect tax correction'!$B$27:$I$127,8,FALSE)*VLOOKUP($B74,'Annual Parameters'!$B$33:$W$143,22,FALSE)/VLOOKUP('Source VoT'!$F$27,'Annual Parameters'!$B$33:$W$143,22,FALSE)*VLOOKUP($B$14,'Annual Parameters'!$B$33:$W$143,3,FALSE)/VLOOKUP('Source VoT'!$E$27,'Annual Parameters'!$B$33:$W$143,3,FALSE)</f>
        <v>21.543568774789129</v>
      </c>
      <c r="AY74" s="74">
        <f>'Source VoT'!$D$46*VLOOKUP($B74,'Indirect tax correction'!$B$27:$I$127,8,FALSE)*VLOOKUP($B74,'Annual Parameters'!$B$33:$W$143,22,FALSE)/VLOOKUP('Source VoT'!$F$27,'Annual Parameters'!$B$33:$W$143,22,FALSE)*VLOOKUP($B$14,'Annual Parameters'!$B$33:$W$143,3,FALSE)/VLOOKUP('Source VoT'!$E$27,'Annual Parameters'!$B$33:$W$143,3,FALSE)</f>
        <v>9.8331313139289946</v>
      </c>
      <c r="AZ74" s="2875"/>
      <c r="BA74" s="2875"/>
      <c r="BB74" s="2875"/>
      <c r="BC74" s="2875"/>
      <c r="BD74" s="2875"/>
      <c r="BE74" s="2875"/>
      <c r="BF74" s="2875"/>
      <c r="BG74" s="2875"/>
    </row>
    <row r="75" spans="1:59" ht="13.5" customHeight="1">
      <c r="A75" s="90"/>
      <c r="B75" s="82">
        <f t="shared" si="0"/>
        <v>2058</v>
      </c>
      <c r="C75" s="82"/>
      <c r="D75" s="117">
        <f>'Source VoT'!$D$27*VLOOKUP($B75,'Indirect tax correction'!$B$27:$I$127,5,FALSE)*VLOOKUP($B75,'Annual Parameters'!$B$33:$W$143,21,FALSE)/VLOOKUP('Source VoT'!$F$27,'Annual Parameters'!$B$33:$W$143,21,FALSE)*VLOOKUP($B$14,'Annual Parameters'!$B$33:$W$143,3,FALSE)/VLOOKUP('Source VoT'!$E$27,'Annual Parameters'!$B$33:$W$143,3,FALSE)</f>
        <v>32.809231944529451</v>
      </c>
      <c r="E75" s="73">
        <f>'Source VoT'!$D$28*VLOOKUP($B75,'Indirect tax correction'!$B$27:$I$127,5,FALSE)*VLOOKUP($B75,'Annual Parameters'!$B$33:$W$143,21,FALSE)/VLOOKUP('Source VoT'!$F$27,'Annual Parameters'!$B$33:$W$143,21,FALSE)*VLOOKUP($B$14,'Annual Parameters'!$B$33:$W$143,3,FALSE)/VLOOKUP('Source VoT'!$E$27,'Annual Parameters'!$B$33:$W$143,3,FALSE)</f>
        <v>32.809231944529451</v>
      </c>
      <c r="F75" s="73">
        <f>'Source VoT'!$D$29*VLOOKUP($B75,'Indirect tax correction'!$B$27:$I$127,5,FALSE)*VLOOKUP($B75,'Annual Parameters'!$B$33:$W$143,21,FALSE)/VLOOKUP('Source VoT'!$F$27,'Annual Parameters'!$B$33:$W$143,21,FALSE)*VLOOKUP($B$14,'Annual Parameters'!$B$33:$W$143,3,FALSE)/VLOOKUP('Source VoT'!$E$27,'Annual Parameters'!$B$33:$W$143,3,FALSE)</f>
        <v>22.591690944504045</v>
      </c>
      <c r="G75" s="73">
        <f>'Source VoT'!$D$30*VLOOKUP($B75,'Indirect tax correction'!$B$27:$I$127,5,FALSE)*VLOOKUP($B75,'Annual Parameters'!$B$33:$W$143,21,FALSE)/VLOOKUP('Source VoT'!$F$27,'Annual Parameters'!$B$33:$W$143,21,FALSE)*VLOOKUP($B$14,'Annual Parameters'!$B$33:$W$143,3,FALSE)/VLOOKUP('Source VoT'!$E$27,'Annual Parameters'!$B$33:$W$143,3,FALSE)</f>
        <v>26.618450673038332</v>
      </c>
      <c r="H75" s="73">
        <f>'Source VoT'!$D$31*VLOOKUP($B75,'Indirect tax correction'!$B$27:$I$127,5,FALSE)*VLOOKUP($B75,'Annual Parameters'!$B$33:$W$143,21,FALSE)/VLOOKUP('Source VoT'!$F$27,'Annual Parameters'!$B$33:$W$143,21,FALSE)*VLOOKUP($B$14,'Annual Parameters'!$B$33:$W$143,3,FALSE)/VLOOKUP('Source VoT'!$E$27,'Annual Parameters'!$B$33:$W$143,3,FALSE)</f>
        <v>27.193702062828944</v>
      </c>
      <c r="I75" s="73">
        <f>'Source VoT'!$D$32*VLOOKUP($B75,'Indirect tax correction'!$B$27:$I$127,5,FALSE)*VLOOKUP($B75,'Annual Parameters'!$B$33:$W$143,21,FALSE)/VLOOKUP('Source VoT'!$F$27,'Annual Parameters'!$B$33:$W$143,21,FALSE)*VLOOKUP($B$14,'Annual Parameters'!$B$33:$W$143,3,FALSE)/VLOOKUP('Source VoT'!$E$27,'Annual Parameters'!$B$33:$W$143,3,FALSE)</f>
        <v>18.592525614333571</v>
      </c>
      <c r="J75" s="73">
        <f>'Source VoT'!$D$33*VLOOKUP($B75,'Indirect tax correction'!$B$27:$I$127,5,FALSE)*VLOOKUP($B75,'Annual Parameters'!$B$33:$W$143,21,FALSE)/VLOOKUP('Source VoT'!$F$27,'Annual Parameters'!$B$33:$W$143,21,FALSE)*VLOOKUP($B$14,'Annual Parameters'!$B$33:$W$143,3,FALSE)/VLOOKUP('Source VoT'!$E$27,'Annual Parameters'!$B$33:$W$143,3,FALSE)</f>
        <v>24.029819418980573</v>
      </c>
      <c r="K75" s="73">
        <f>'Source VoT'!$D$34*VLOOKUP($B75,'Indirect tax correction'!$B$27:$I$127,5,FALSE)*VLOOKUP($B75,'Annual Parameters'!$B$33:$W$143,21,FALSE)/VLOOKUP('Source VoT'!$F$27,'Annual Parameters'!$B$33:$W$143,21,FALSE)*VLOOKUP($B$14,'Annual Parameters'!$B$33:$W$143,3,FALSE)/VLOOKUP('Source VoT'!$E$27,'Annual Parameters'!$B$33:$W$143,3,FALSE)</f>
        <v>32.809231944529451</v>
      </c>
      <c r="L75" s="73">
        <f>'Source VoT'!$D$35*VLOOKUP($B75,'Indirect tax correction'!$B$27:$I$127,5,FALSE)*VLOOKUP($B75,'Annual Parameters'!$B$33:$W$143,21,FALSE)/VLOOKUP('Source VoT'!$F$27,'Annual Parameters'!$B$33:$W$143,21,FALSE)*VLOOKUP($B$14,'Annual Parameters'!$B$33:$W$143,3,FALSE)/VLOOKUP('Source VoT'!$E$27,'Annual Parameters'!$B$33:$W$143,3,FALSE)</f>
        <v>54.119234472211382</v>
      </c>
      <c r="M75" s="73">
        <f>'Source VoT'!$D$36*VLOOKUP($B75,'Indirect tax correction'!$B$27:$I$127,5,FALSE)*VLOOKUP($B75,'Annual Parameters'!$B$33:$W$143,21,FALSE)/VLOOKUP('Source VoT'!$F$27,'Annual Parameters'!$B$33:$W$143,21,FALSE)*VLOOKUP($B$14,'Annual Parameters'!$B$33:$W$143,3,FALSE)/VLOOKUP('Source VoT'!$E$27,'Annual Parameters'!$B$33:$W$143,3,FALSE)</f>
        <v>18.592525614333571</v>
      </c>
      <c r="N75" s="73">
        <f>'Source VoT'!$D$37*VLOOKUP($B75,'Indirect tax correction'!$B$27:$I$127,5,FALSE)*VLOOKUP($B75,'Annual Parameters'!$B$33:$W$143,21,FALSE)/VLOOKUP('Source VoT'!$F$27,'Annual Parameters'!$B$33:$W$143,21,FALSE)*VLOOKUP($B$14,'Annual Parameters'!$B$33:$W$143,3,FALSE)/VLOOKUP('Source VoT'!$E$27,'Annual Parameters'!$B$33:$W$143,3,FALSE)</f>
        <v>18.592525614333571</v>
      </c>
      <c r="O75" s="73">
        <f>'Source VoT'!$D$38*VLOOKUP($B75,'Indirect tax correction'!$B$27:$I$127,5,FALSE)*VLOOKUP($B75,'Annual Parameters'!$B$33:$W$143,21,FALSE)/VLOOKUP('Source VoT'!$F$27,'Annual Parameters'!$B$33:$W$143,21,FALSE)*VLOOKUP($B$14,'Annual Parameters'!$B$33:$W$143,3,FALSE)/VLOOKUP('Source VoT'!$E$27,'Annual Parameters'!$B$33:$W$143,3,FALSE)</f>
        <v>18.592525614333571</v>
      </c>
      <c r="P75" s="73">
        <f>'Source VoT'!$D$39*VLOOKUP($B75,'Indirect tax correction'!$B$27:$I$127,5,FALSE)*VLOOKUP($B75,'Annual Parameters'!$B$33:$W$143,21,FALSE)/VLOOKUP('Source VoT'!$F$27,'Annual Parameters'!$B$33:$W$143,21,FALSE)*VLOOKUP($B$14,'Annual Parameters'!$B$33:$W$143,3,FALSE)/VLOOKUP('Source VoT'!$E$27,'Annual Parameters'!$B$33:$W$143,3,FALSE)</f>
        <v>32.809231944529451</v>
      </c>
      <c r="Q75" s="74">
        <f>'Source VoT'!$D$40*VLOOKUP($B75,'Indirect tax correction'!$B$27:$I$127,5,FALSE)*VLOOKUP($B75,'Annual Parameters'!$B$33:$W$143,21,FALSE)/VLOOKUP('Source VoT'!$F$27,'Annual Parameters'!$B$33:$W$143,21,FALSE)*VLOOKUP($B$14,'Annual Parameters'!$B$33:$W$143,3,FALSE)/VLOOKUP('Source VoT'!$E$27,'Annual Parameters'!$B$33:$W$143,3,FALSE)</f>
        <v>35.736740324915459</v>
      </c>
      <c r="R75" s="73">
        <f>'Source VoT'!$D$45*VLOOKUP($B75,'Indirect tax correction'!$B$27:$I$127,6,FALSE)*VLOOKUP($B75,'Annual Parameters'!$B$33:$W$143,22,FALSE)/VLOOKUP('Source VoT'!$F$27,'Annual Parameters'!$B$33:$W$143,22,FALSE)*VLOOKUP($B$14,'Annual Parameters'!$B$33:$W$143,3,FALSE)/VLOOKUP('Source VoT'!$E$27,'Annual Parameters'!$B$33:$W$143,3,FALSE)</f>
        <v>18.460943759908321</v>
      </c>
      <c r="S75" s="73">
        <f>'Source VoT'!$D$46*VLOOKUP($B75,'Indirect tax correction'!$B$27:$I$127,6,FALSE)*VLOOKUP($B75,'Annual Parameters'!$B$33:$W$143,22,FALSE)/VLOOKUP('Source VoT'!$F$27,'Annual Parameters'!$B$33:$W$143,22,FALSE)*VLOOKUP($B$14,'Annual Parameters'!$B$33:$W$143,3,FALSE)/VLOOKUP('Source VoT'!$E$27,'Annual Parameters'!$B$33:$W$143,3,FALSE)</f>
        <v>8.426128747186338</v>
      </c>
      <c r="T75" s="117">
        <f>'Source VoT'!$D$27*1*VLOOKUP($B75,'Annual Parameters'!$B$33:$W$143,21,FALSE)/VLOOKUP('Source VoT'!$F$27,'Annual Parameters'!$B$33:$W$143,21,FALSE)*VLOOKUP($B$14,'Annual Parameters'!$B$33:$W$143,3,FALSE)/VLOOKUP('Source VoT'!$E$27,'Annual Parameters'!$B$33:$W$143,3,FALSE)</f>
        <v>32.809231944529451</v>
      </c>
      <c r="U75" s="73">
        <f>'Source VoT'!$D$28*1*VLOOKUP($B75,'Annual Parameters'!$B$33:$W$143,21,FALSE)/VLOOKUP('Source VoT'!$F$27,'Annual Parameters'!$B$33:$W$143,21,FALSE)*VLOOKUP($B$14,'Annual Parameters'!$B$33:$W$143,3,FALSE)/VLOOKUP('Source VoT'!$E$27,'Annual Parameters'!$B$33:$W$143,3,FALSE)</f>
        <v>32.809231944529451</v>
      </c>
      <c r="V75" s="73">
        <f>'Source VoT'!$D$29*1*VLOOKUP($B75,'Annual Parameters'!$B$33:$W$143,21,FALSE)/VLOOKUP('Source VoT'!$F$27,'Annual Parameters'!$B$33:$W$143,21,FALSE)*VLOOKUP($B$14,'Annual Parameters'!$B$33:$W$143,3,FALSE)/VLOOKUP('Source VoT'!$E$27,'Annual Parameters'!$B$33:$W$143,3,FALSE)</f>
        <v>22.591690944504045</v>
      </c>
      <c r="W75" s="73">
        <f>'Source VoT'!$D$30*1*VLOOKUP($B75,'Annual Parameters'!$B$33:$W$143,21,FALSE)/VLOOKUP('Source VoT'!$F$27,'Annual Parameters'!$B$33:$W$143,21,FALSE)*VLOOKUP($B$14,'Annual Parameters'!$B$33:$W$143,3,FALSE)/VLOOKUP('Source VoT'!$E$27,'Annual Parameters'!$B$33:$W$143,3,FALSE)</f>
        <v>26.618450673038332</v>
      </c>
      <c r="X75" s="73">
        <f>'Source VoT'!$D$31*1*VLOOKUP($B75,'Annual Parameters'!$B$33:$W$143,21,FALSE)/VLOOKUP('Source VoT'!$F$27,'Annual Parameters'!$B$33:$W$143,21,FALSE)*VLOOKUP($B$14,'Annual Parameters'!$B$33:$W$143,3,FALSE)/VLOOKUP('Source VoT'!$E$27,'Annual Parameters'!$B$33:$W$143,3,FALSE)</f>
        <v>27.193702062828944</v>
      </c>
      <c r="Y75" s="73">
        <f>'Source VoT'!$D$32*1*VLOOKUP($B75,'Annual Parameters'!$B$33:$W$143,21,FALSE)/VLOOKUP('Source VoT'!$F$27,'Annual Parameters'!$B$33:$W$143,21,FALSE)*VLOOKUP($B$14,'Annual Parameters'!$B$33:$W$143,3,FALSE)/VLOOKUP('Source VoT'!$E$27,'Annual Parameters'!$B$33:$W$143,3,FALSE)</f>
        <v>18.592525614333571</v>
      </c>
      <c r="Z75" s="73">
        <f>'Source VoT'!$D$33*1*VLOOKUP($B75,'Annual Parameters'!$B$33:$W$143,21,FALSE)/VLOOKUP('Source VoT'!$F$27,'Annual Parameters'!$B$33:$W$143,21,FALSE)*VLOOKUP($B$14,'Annual Parameters'!$B$33:$W$143,3,FALSE)/VLOOKUP('Source VoT'!$E$27,'Annual Parameters'!$B$33:$W$143,3,FALSE)</f>
        <v>24.029819418980573</v>
      </c>
      <c r="AA75" s="73">
        <f>'Source VoT'!$D$34*1*VLOOKUP($B75,'Annual Parameters'!$B$33:$W$143,21,FALSE)/VLOOKUP('Source VoT'!$F$27,'Annual Parameters'!$B$33:$W$143,21,FALSE)*VLOOKUP($B$14,'Annual Parameters'!$B$33:$W$143,3,FALSE)/VLOOKUP('Source VoT'!$E$27,'Annual Parameters'!$B$33:$W$143,3,FALSE)</f>
        <v>32.809231944529451</v>
      </c>
      <c r="AB75" s="73">
        <f>'Source VoT'!$D$35*1*VLOOKUP($B75,'Annual Parameters'!$B$33:$W$143,21,FALSE)/VLOOKUP('Source VoT'!$F$27,'Annual Parameters'!$B$33:$W$143,21,FALSE)*VLOOKUP($B$14,'Annual Parameters'!$B$33:$W$143,3,FALSE)/VLOOKUP('Source VoT'!$E$27,'Annual Parameters'!$B$33:$W$143,3,FALSE)</f>
        <v>54.119234472211382</v>
      </c>
      <c r="AC75" s="73">
        <f>'Source VoT'!$D$36*1*VLOOKUP($B75,'Annual Parameters'!$B$33:$W$143,21,FALSE)/VLOOKUP('Source VoT'!$F$27,'Annual Parameters'!$B$33:$W$143,21,FALSE)*VLOOKUP($B$14,'Annual Parameters'!$B$33:$W$143,3,FALSE)/VLOOKUP('Source VoT'!$E$27,'Annual Parameters'!$B$33:$W$143,3,FALSE)</f>
        <v>18.592525614333571</v>
      </c>
      <c r="AD75" s="73">
        <f>'Source VoT'!$D$37*1*VLOOKUP($B75,'Annual Parameters'!$B$33:$W$143,21,FALSE)/VLOOKUP('Source VoT'!$F$27,'Annual Parameters'!$B$33:$W$143,21,FALSE)*VLOOKUP($B$14,'Annual Parameters'!$B$33:$W$143,3,FALSE)/VLOOKUP('Source VoT'!$E$27,'Annual Parameters'!$B$33:$W$143,3,FALSE)</f>
        <v>18.592525614333571</v>
      </c>
      <c r="AE75" s="73">
        <f>'Source VoT'!$D$38*1*VLOOKUP($B75,'Annual Parameters'!$B$33:$W$143,21,FALSE)/VLOOKUP('Source VoT'!$F$27,'Annual Parameters'!$B$33:$W$143,21,FALSE)*VLOOKUP($B$14,'Annual Parameters'!$B$33:$W$143,3,FALSE)/VLOOKUP('Source VoT'!$E$27,'Annual Parameters'!$B$33:$W$143,3,FALSE)</f>
        <v>18.592525614333571</v>
      </c>
      <c r="AF75" s="73">
        <f>'Source VoT'!$D$39*1*VLOOKUP($B75,'Annual Parameters'!$B$33:$W$143,21,FALSE)/VLOOKUP('Source VoT'!$F$27,'Annual Parameters'!$B$33:$W$143,21,FALSE)*VLOOKUP($B$14,'Annual Parameters'!$B$33:$W$143,3,FALSE)/VLOOKUP('Source VoT'!$E$27,'Annual Parameters'!$B$33:$W$143,3,FALSE)</f>
        <v>32.809231944529451</v>
      </c>
      <c r="AG75" s="74">
        <f>'Source VoT'!$D$40*1*VLOOKUP($B75,'Annual Parameters'!$B$33:$W$143,21,FALSE)/VLOOKUP('Source VoT'!$F$27,'Annual Parameters'!$B$33:$W$143,21,FALSE)*VLOOKUP($B$14,'Annual Parameters'!$B$33:$W$143,3,FALSE)/VLOOKUP('Source VoT'!$E$27,'Annual Parameters'!$B$33:$W$143,3,FALSE)</f>
        <v>35.736740324915459</v>
      </c>
      <c r="AH75" s="73">
        <f>'Source VoT'!$D$45*1*VLOOKUP($B75,'Annual Parameters'!$B$33:$W$143,22,FALSE)/VLOOKUP('Source VoT'!$F$27,'Annual Parameters'!$B$33:$W$143,22,FALSE)*VLOOKUP($B$14,'Annual Parameters'!$B$33:$W$143,3,FALSE)/VLOOKUP('Source VoT'!$E$27,'Annual Parameters'!$B$33:$W$143,3,FALSE)</f>
        <v>21.9685230742909</v>
      </c>
      <c r="AI75" s="73">
        <f>'Source VoT'!$D$46*1*VLOOKUP($B75,'Annual Parameters'!$B$33:$W$143,22,FALSE)/VLOOKUP('Source VoT'!$F$27,'Annual Parameters'!$B$33:$W$143,22,FALSE)*VLOOKUP($B$14,'Annual Parameters'!$B$33:$W$143,3,FALSE)/VLOOKUP('Source VoT'!$E$27,'Annual Parameters'!$B$33:$W$143,3,FALSE)</f>
        <v>10.027093209151742</v>
      </c>
      <c r="AJ75" s="117">
        <f>'Source VoT'!$D$27*VLOOKUP($B75,'Indirect tax correction'!$B$27:$I$127,7,FALSE)*VLOOKUP($B75,'Annual Parameters'!$B$33:$W$143,21,FALSE)/VLOOKUP('Source VoT'!$F$27,'Annual Parameters'!$B$33:$W$143,21,FALSE)*VLOOKUP($B$14,'Annual Parameters'!$B$33:$W$143,3,FALSE)/VLOOKUP('Source VoT'!$E$27,'Annual Parameters'!$B$33:$W$143,3,FALSE)</f>
        <v>39.042986013990046</v>
      </c>
      <c r="AK75" s="73">
        <f>'Source VoT'!$D$28*VLOOKUP($B75,'Indirect tax correction'!$B$27:$I$127,7,FALSE)*VLOOKUP($B75,'Annual Parameters'!$B$33:$W$143,21,FALSE)/VLOOKUP('Source VoT'!$F$27,'Annual Parameters'!$B$33:$W$143,21,FALSE)*VLOOKUP($B$14,'Annual Parameters'!$B$33:$W$143,3,FALSE)/VLOOKUP('Source VoT'!$E$27,'Annual Parameters'!$B$33:$W$143,3,FALSE)</f>
        <v>39.042986013990046</v>
      </c>
      <c r="AL75" s="73">
        <f>'Source VoT'!$D$29*VLOOKUP($B75,'Indirect tax correction'!$B$27:$I$127,7,FALSE)*VLOOKUP($B75,'Annual Parameters'!$B$33:$W$143,21,FALSE)/VLOOKUP('Source VoT'!$F$27,'Annual Parameters'!$B$33:$W$143,21,FALSE)*VLOOKUP($B$14,'Annual Parameters'!$B$33:$W$143,3,FALSE)/VLOOKUP('Source VoT'!$E$27,'Annual Parameters'!$B$33:$W$143,3,FALSE)</f>
        <v>26.884112223959814</v>
      </c>
      <c r="AM75" s="73">
        <f>'Source VoT'!$D$30*VLOOKUP($B75,'Indirect tax correction'!$B$27:$I$127,7,FALSE)*VLOOKUP($B75,'Annual Parameters'!$B$33:$W$143,21,FALSE)/VLOOKUP('Source VoT'!$F$27,'Annual Parameters'!$B$33:$W$143,21,FALSE)*VLOOKUP($B$14,'Annual Parameters'!$B$33:$W$143,3,FALSE)/VLOOKUP('Source VoT'!$E$27,'Annual Parameters'!$B$33:$W$143,3,FALSE)</f>
        <v>31.675956300915605</v>
      </c>
      <c r="AN75" s="73">
        <f>'Source VoT'!$D$31*VLOOKUP($B75,'Indirect tax correction'!$B$27:$I$127,7,FALSE)*VLOOKUP($B75,'Annual Parameters'!$B$33:$W$143,21,FALSE)/VLOOKUP('Source VoT'!$F$27,'Annual Parameters'!$B$33:$W$143,21,FALSE)*VLOOKUP($B$14,'Annual Parameters'!$B$33:$W$143,3,FALSE)/VLOOKUP('Source VoT'!$E$27,'Annual Parameters'!$B$33:$W$143,3,FALSE)</f>
        <v>32.360505454766439</v>
      </c>
      <c r="AO75" s="73">
        <f>'Source VoT'!$D$32*VLOOKUP($B75,'Indirect tax correction'!$B$27:$I$127,7,FALSE)*VLOOKUP($B75,'Annual Parameters'!$B$33:$W$143,21,FALSE)/VLOOKUP('Source VoT'!$F$27,'Annual Parameters'!$B$33:$W$143,21,FALSE)*VLOOKUP($B$14,'Annual Parameters'!$B$33:$W$143,3,FALSE)/VLOOKUP('Source VoT'!$E$27,'Annual Parameters'!$B$33:$W$143,3,FALSE)</f>
        <v>22.125105481056949</v>
      </c>
      <c r="AP75" s="73">
        <f>'Source VoT'!$D$33*VLOOKUP($B75,'Indirect tax correction'!$B$27:$I$127,7,FALSE)*VLOOKUP($B75,'Annual Parameters'!$B$33:$W$143,21,FALSE)/VLOOKUP('Source VoT'!$F$27,'Annual Parameters'!$B$33:$W$143,21,FALSE)*VLOOKUP($B$14,'Annual Parameters'!$B$33:$W$143,3,FALSE)/VLOOKUP('Source VoT'!$E$27,'Annual Parameters'!$B$33:$W$143,3,FALSE)</f>
        <v>28.595485108586878</v>
      </c>
      <c r="AQ75" s="73">
        <f>'Source VoT'!$D$34*VLOOKUP($B75,'Indirect tax correction'!$B$27:$I$127,7,FALSE)*VLOOKUP($B75,'Annual Parameters'!$B$33:$W$143,21,FALSE)/VLOOKUP('Source VoT'!$F$27,'Annual Parameters'!$B$33:$W$143,21,FALSE)*VLOOKUP($B$14,'Annual Parameters'!$B$33:$W$143,3,FALSE)/VLOOKUP('Source VoT'!$E$27,'Annual Parameters'!$B$33:$W$143,3,FALSE)</f>
        <v>39.042986013990046</v>
      </c>
      <c r="AR75" s="73">
        <f>'Source VoT'!$D$35*VLOOKUP($B75,'Indirect tax correction'!$B$27:$I$127,7,FALSE)*VLOOKUP($B75,'Annual Parameters'!$B$33:$W$143,21,FALSE)/VLOOKUP('Source VoT'!$F$27,'Annual Parameters'!$B$33:$W$143,21,FALSE)*VLOOKUP($B$14,'Annual Parameters'!$B$33:$W$143,3,FALSE)/VLOOKUP('Source VoT'!$E$27,'Annual Parameters'!$B$33:$W$143,3,FALSE)</f>
        <v>64.401889021931538</v>
      </c>
      <c r="AS75" s="73">
        <f>'Source VoT'!$D$36*VLOOKUP($B75,'Indirect tax correction'!$B$27:$I$127,7,FALSE)*VLOOKUP($B75,'Annual Parameters'!$B$33:$W$143,21,FALSE)/VLOOKUP('Source VoT'!$F$27,'Annual Parameters'!$B$33:$W$143,21,FALSE)*VLOOKUP($B$14,'Annual Parameters'!$B$33:$W$143,3,FALSE)/VLOOKUP('Source VoT'!$E$27,'Annual Parameters'!$B$33:$W$143,3,FALSE)</f>
        <v>22.125105481056949</v>
      </c>
      <c r="AT75" s="73">
        <f>'Source VoT'!$D$37*VLOOKUP($B75,'Indirect tax correction'!$B$27:$I$127,7,FALSE)*VLOOKUP($B75,'Annual Parameters'!$B$33:$W$143,21,FALSE)/VLOOKUP('Source VoT'!$F$27,'Annual Parameters'!$B$33:$W$143,21,FALSE)*VLOOKUP($B$14,'Annual Parameters'!$B$33:$W$143,3,FALSE)/VLOOKUP('Source VoT'!$E$27,'Annual Parameters'!$B$33:$W$143,3,FALSE)</f>
        <v>22.125105481056949</v>
      </c>
      <c r="AU75" s="73">
        <f>'Source VoT'!$D$38*VLOOKUP($B75,'Indirect tax correction'!$B$27:$I$127,7,FALSE)*VLOOKUP($B75,'Annual Parameters'!$B$33:$W$143,21,FALSE)/VLOOKUP('Source VoT'!$F$27,'Annual Parameters'!$B$33:$W$143,21,FALSE)*VLOOKUP($B$14,'Annual Parameters'!$B$33:$W$143,3,FALSE)/VLOOKUP('Source VoT'!$E$27,'Annual Parameters'!$B$33:$W$143,3,FALSE)</f>
        <v>22.125105481056949</v>
      </c>
      <c r="AV75" s="73">
        <f>'Source VoT'!$D$39*VLOOKUP($B75,'Indirect tax correction'!$B$27:$I$127,7,FALSE)*VLOOKUP($B75,'Annual Parameters'!$B$33:$W$143,21,FALSE)/VLOOKUP('Source VoT'!$F$27,'Annual Parameters'!$B$33:$W$143,21,FALSE)*VLOOKUP($B$14,'Annual Parameters'!$B$33:$W$143,3,FALSE)/VLOOKUP('Source VoT'!$E$27,'Annual Parameters'!$B$33:$W$143,3,FALSE)</f>
        <v>39.042986013990046</v>
      </c>
      <c r="AW75" s="74">
        <f>'Source VoT'!$D$40*VLOOKUP($B75,'Indirect tax correction'!$B$27:$I$127,7,FALSE)*VLOOKUP($B75,'Annual Parameters'!$B$33:$W$143,21,FALSE)/VLOOKUP('Source VoT'!$F$27,'Annual Parameters'!$B$33:$W$143,21,FALSE)*VLOOKUP($B$14,'Annual Parameters'!$B$33:$W$143,3,FALSE)/VLOOKUP('Source VoT'!$E$27,'Annual Parameters'!$B$33:$W$143,3,FALSE)</f>
        <v>42.526720986649394</v>
      </c>
      <c r="AX75" s="73">
        <f>'Source VoT'!$D$45*VLOOKUP($B75,'Indirect tax correction'!$B$27:$I$127,8,FALSE)*VLOOKUP($B75,'Annual Parameters'!$B$33:$W$143,22,FALSE)/VLOOKUP('Source VoT'!$F$27,'Annual Parameters'!$B$33:$W$143,22,FALSE)*VLOOKUP($B$14,'Annual Parameters'!$B$33:$W$143,3,FALSE)/VLOOKUP('Source VoT'!$E$27,'Annual Parameters'!$B$33:$W$143,3,FALSE)</f>
        <v>21.9685230742909</v>
      </c>
      <c r="AY75" s="74">
        <f>'Source VoT'!$D$46*VLOOKUP($B75,'Indirect tax correction'!$B$27:$I$127,8,FALSE)*VLOOKUP($B75,'Annual Parameters'!$B$33:$W$143,22,FALSE)/VLOOKUP('Source VoT'!$F$27,'Annual Parameters'!$B$33:$W$143,22,FALSE)*VLOOKUP($B$14,'Annual Parameters'!$B$33:$W$143,3,FALSE)/VLOOKUP('Source VoT'!$E$27,'Annual Parameters'!$B$33:$W$143,3,FALSE)</f>
        <v>10.027093209151742</v>
      </c>
      <c r="AZ75" s="2875"/>
      <c r="BA75" s="2875"/>
      <c r="BB75" s="2875"/>
      <c r="BC75" s="2875"/>
      <c r="BD75" s="2875"/>
      <c r="BE75" s="2875"/>
      <c r="BF75" s="2875"/>
      <c r="BG75" s="2875"/>
    </row>
    <row r="76" spans="1:59" ht="13.5" customHeight="1">
      <c r="A76" s="90"/>
      <c r="B76" s="82">
        <f t="shared" si="0"/>
        <v>2059</v>
      </c>
      <c r="C76" s="82"/>
      <c r="D76" s="117">
        <f>'Source VoT'!$D$27*VLOOKUP($B76,'Indirect tax correction'!$B$27:$I$127,5,FALSE)*VLOOKUP($B76,'Annual Parameters'!$B$33:$W$143,21,FALSE)/VLOOKUP('Source VoT'!$F$27,'Annual Parameters'!$B$33:$W$143,21,FALSE)*VLOOKUP($B$14,'Annual Parameters'!$B$33:$W$143,3,FALSE)/VLOOKUP('Source VoT'!$E$27,'Annual Parameters'!$B$33:$W$143,3,FALSE)</f>
        <v>33.456240377002125</v>
      </c>
      <c r="E76" s="73">
        <f>'Source VoT'!$D$28*VLOOKUP($B76,'Indirect tax correction'!$B$27:$I$127,5,FALSE)*VLOOKUP($B76,'Annual Parameters'!$B$33:$W$143,21,FALSE)/VLOOKUP('Source VoT'!$F$27,'Annual Parameters'!$B$33:$W$143,21,FALSE)*VLOOKUP($B$14,'Annual Parameters'!$B$33:$W$143,3,FALSE)/VLOOKUP('Source VoT'!$E$27,'Annual Parameters'!$B$33:$W$143,3,FALSE)</f>
        <v>33.456240377002125</v>
      </c>
      <c r="F76" s="73">
        <f>'Source VoT'!$D$29*VLOOKUP($B76,'Indirect tax correction'!$B$27:$I$127,5,FALSE)*VLOOKUP($B76,'Annual Parameters'!$B$33:$W$143,21,FALSE)/VLOOKUP('Source VoT'!$F$27,'Annual Parameters'!$B$33:$W$143,21,FALSE)*VLOOKUP($B$14,'Annual Parameters'!$B$33:$W$143,3,FALSE)/VLOOKUP('Source VoT'!$E$27,'Annual Parameters'!$B$33:$W$143,3,FALSE)</f>
        <v>23.037206236347011</v>
      </c>
      <c r="G76" s="73">
        <f>'Source VoT'!$D$30*VLOOKUP($B76,'Indirect tax correction'!$B$27:$I$127,5,FALSE)*VLOOKUP($B76,'Annual Parameters'!$B$33:$W$143,21,FALSE)/VLOOKUP('Source VoT'!$F$27,'Annual Parameters'!$B$33:$W$143,21,FALSE)*VLOOKUP($B$14,'Annual Parameters'!$B$33:$W$143,3,FALSE)/VLOOKUP('Source VoT'!$E$27,'Annual Parameters'!$B$33:$W$143,3,FALSE)</f>
        <v>27.143374940510711</v>
      </c>
      <c r="H76" s="73">
        <f>'Source VoT'!$D$31*VLOOKUP($B76,'Indirect tax correction'!$B$27:$I$127,5,FALSE)*VLOOKUP($B76,'Annual Parameters'!$B$33:$W$143,21,FALSE)/VLOOKUP('Source VoT'!$F$27,'Annual Parameters'!$B$33:$W$143,21,FALSE)*VLOOKUP($B$14,'Annual Parameters'!$B$33:$W$143,3,FALSE)/VLOOKUP('Source VoT'!$E$27,'Annual Parameters'!$B$33:$W$143,3,FALSE)</f>
        <v>27.72997046967696</v>
      </c>
      <c r="I76" s="73">
        <f>'Source VoT'!$D$32*VLOOKUP($B76,'Indirect tax correction'!$B$27:$I$127,5,FALSE)*VLOOKUP($B76,'Annual Parameters'!$B$33:$W$143,21,FALSE)/VLOOKUP('Source VoT'!$F$27,'Annual Parameters'!$B$33:$W$143,21,FALSE)*VLOOKUP($B$14,'Annual Parameters'!$B$33:$W$143,3,FALSE)/VLOOKUP('Source VoT'!$E$27,'Annual Parameters'!$B$33:$W$143,3,FALSE)</f>
        <v>18.959176100811774</v>
      </c>
      <c r="J76" s="73">
        <f>'Source VoT'!$D$33*VLOOKUP($B76,'Indirect tax correction'!$B$27:$I$127,5,FALSE)*VLOOKUP($B76,'Annual Parameters'!$B$33:$W$143,21,FALSE)/VLOOKUP('Source VoT'!$F$27,'Annual Parameters'!$B$33:$W$143,21,FALSE)*VLOOKUP($B$14,'Annual Parameters'!$B$33:$W$143,3,FALSE)/VLOOKUP('Source VoT'!$E$27,'Annual Parameters'!$B$33:$W$143,3,FALSE)</f>
        <v>24.503695059262615</v>
      </c>
      <c r="K76" s="73">
        <f>'Source VoT'!$D$34*VLOOKUP($B76,'Indirect tax correction'!$B$27:$I$127,5,FALSE)*VLOOKUP($B76,'Annual Parameters'!$B$33:$W$143,21,FALSE)/VLOOKUP('Source VoT'!$F$27,'Annual Parameters'!$B$33:$W$143,21,FALSE)*VLOOKUP($B$14,'Annual Parameters'!$B$33:$W$143,3,FALSE)/VLOOKUP('Source VoT'!$E$27,'Annual Parameters'!$B$33:$W$143,3,FALSE)</f>
        <v>33.456240377002125</v>
      </c>
      <c r="L76" s="73">
        <f>'Source VoT'!$D$35*VLOOKUP($B76,'Indirect tax correction'!$B$27:$I$127,5,FALSE)*VLOOKUP($B76,'Annual Parameters'!$B$33:$W$143,21,FALSE)/VLOOKUP('Source VoT'!$F$27,'Annual Parameters'!$B$33:$W$143,21,FALSE)*VLOOKUP($B$14,'Annual Parameters'!$B$33:$W$143,3,FALSE)/VLOOKUP('Source VoT'!$E$27,'Annual Parameters'!$B$33:$W$143,3,FALSE)</f>
        <v>55.186482895511482</v>
      </c>
      <c r="M76" s="73">
        <f>'Source VoT'!$D$36*VLOOKUP($B76,'Indirect tax correction'!$B$27:$I$127,5,FALSE)*VLOOKUP($B76,'Annual Parameters'!$B$33:$W$143,21,FALSE)/VLOOKUP('Source VoT'!$F$27,'Annual Parameters'!$B$33:$W$143,21,FALSE)*VLOOKUP($B$14,'Annual Parameters'!$B$33:$W$143,3,FALSE)/VLOOKUP('Source VoT'!$E$27,'Annual Parameters'!$B$33:$W$143,3,FALSE)</f>
        <v>18.959176100811774</v>
      </c>
      <c r="N76" s="73">
        <f>'Source VoT'!$D$37*VLOOKUP($B76,'Indirect tax correction'!$B$27:$I$127,5,FALSE)*VLOOKUP($B76,'Annual Parameters'!$B$33:$W$143,21,FALSE)/VLOOKUP('Source VoT'!$F$27,'Annual Parameters'!$B$33:$W$143,21,FALSE)*VLOOKUP($B$14,'Annual Parameters'!$B$33:$W$143,3,FALSE)/VLOOKUP('Source VoT'!$E$27,'Annual Parameters'!$B$33:$W$143,3,FALSE)</f>
        <v>18.959176100811774</v>
      </c>
      <c r="O76" s="73">
        <f>'Source VoT'!$D$38*VLOOKUP($B76,'Indirect tax correction'!$B$27:$I$127,5,FALSE)*VLOOKUP($B76,'Annual Parameters'!$B$33:$W$143,21,FALSE)/VLOOKUP('Source VoT'!$F$27,'Annual Parameters'!$B$33:$W$143,21,FALSE)*VLOOKUP($B$14,'Annual Parameters'!$B$33:$W$143,3,FALSE)/VLOOKUP('Source VoT'!$E$27,'Annual Parameters'!$B$33:$W$143,3,FALSE)</f>
        <v>18.959176100811774</v>
      </c>
      <c r="P76" s="73">
        <f>'Source VoT'!$D$39*VLOOKUP($B76,'Indirect tax correction'!$B$27:$I$127,5,FALSE)*VLOOKUP($B76,'Annual Parameters'!$B$33:$W$143,21,FALSE)/VLOOKUP('Source VoT'!$F$27,'Annual Parameters'!$B$33:$W$143,21,FALSE)*VLOOKUP($B$14,'Annual Parameters'!$B$33:$W$143,3,FALSE)/VLOOKUP('Source VoT'!$E$27,'Annual Parameters'!$B$33:$W$143,3,FALSE)</f>
        <v>33.456240377002125</v>
      </c>
      <c r="Q76" s="74">
        <f>'Source VoT'!$D$40*VLOOKUP($B76,'Indirect tax correction'!$B$27:$I$127,5,FALSE)*VLOOKUP($B76,'Annual Parameters'!$B$33:$W$143,21,FALSE)/VLOOKUP('Source VoT'!$F$27,'Annual Parameters'!$B$33:$W$143,21,FALSE)*VLOOKUP($B$14,'Annual Parameters'!$B$33:$W$143,3,FALSE)/VLOOKUP('Source VoT'!$E$27,'Annual Parameters'!$B$33:$W$143,3,FALSE)</f>
        <v>36.441480148706482</v>
      </c>
      <c r="R76" s="73">
        <f>'Source VoT'!$D$45*VLOOKUP($B76,'Indirect tax correction'!$B$27:$I$127,6,FALSE)*VLOOKUP($B76,'Annual Parameters'!$B$33:$W$143,22,FALSE)/VLOOKUP('Source VoT'!$F$27,'Annual Parameters'!$B$33:$W$143,22,FALSE)*VLOOKUP($B$14,'Annual Parameters'!$B$33:$W$143,3,FALSE)/VLOOKUP('Source VoT'!$E$27,'Annual Parameters'!$B$33:$W$143,3,FALSE)</f>
        <v>18.824999410594042</v>
      </c>
      <c r="S76" s="73">
        <f>'Source VoT'!$D$46*VLOOKUP($B76,'Indirect tax correction'!$B$27:$I$127,6,FALSE)*VLOOKUP($B76,'Annual Parameters'!$B$33:$W$143,22,FALSE)/VLOOKUP('Source VoT'!$F$27,'Annual Parameters'!$B$33:$W$143,22,FALSE)*VLOOKUP($B$14,'Annual Parameters'!$B$33:$W$143,3,FALSE)/VLOOKUP('Source VoT'!$E$27,'Annual Parameters'!$B$33:$W$143,3,FALSE)</f>
        <v>8.5922946715135904</v>
      </c>
      <c r="T76" s="117">
        <f>'Source VoT'!$D$27*1*VLOOKUP($B76,'Annual Parameters'!$B$33:$W$143,21,FALSE)/VLOOKUP('Source VoT'!$F$27,'Annual Parameters'!$B$33:$W$143,21,FALSE)*VLOOKUP($B$14,'Annual Parameters'!$B$33:$W$143,3,FALSE)/VLOOKUP('Source VoT'!$E$27,'Annual Parameters'!$B$33:$W$143,3,FALSE)</f>
        <v>33.456240377002125</v>
      </c>
      <c r="U76" s="73">
        <f>'Source VoT'!$D$28*1*VLOOKUP($B76,'Annual Parameters'!$B$33:$W$143,21,FALSE)/VLOOKUP('Source VoT'!$F$27,'Annual Parameters'!$B$33:$W$143,21,FALSE)*VLOOKUP($B$14,'Annual Parameters'!$B$33:$W$143,3,FALSE)/VLOOKUP('Source VoT'!$E$27,'Annual Parameters'!$B$33:$W$143,3,FALSE)</f>
        <v>33.456240377002125</v>
      </c>
      <c r="V76" s="73">
        <f>'Source VoT'!$D$29*1*VLOOKUP($B76,'Annual Parameters'!$B$33:$W$143,21,FALSE)/VLOOKUP('Source VoT'!$F$27,'Annual Parameters'!$B$33:$W$143,21,FALSE)*VLOOKUP($B$14,'Annual Parameters'!$B$33:$W$143,3,FALSE)/VLOOKUP('Source VoT'!$E$27,'Annual Parameters'!$B$33:$W$143,3,FALSE)</f>
        <v>23.037206236347011</v>
      </c>
      <c r="W76" s="73">
        <f>'Source VoT'!$D$30*1*VLOOKUP($B76,'Annual Parameters'!$B$33:$W$143,21,FALSE)/VLOOKUP('Source VoT'!$F$27,'Annual Parameters'!$B$33:$W$143,21,FALSE)*VLOOKUP($B$14,'Annual Parameters'!$B$33:$W$143,3,FALSE)/VLOOKUP('Source VoT'!$E$27,'Annual Parameters'!$B$33:$W$143,3,FALSE)</f>
        <v>27.143374940510711</v>
      </c>
      <c r="X76" s="73">
        <f>'Source VoT'!$D$31*1*VLOOKUP($B76,'Annual Parameters'!$B$33:$W$143,21,FALSE)/VLOOKUP('Source VoT'!$F$27,'Annual Parameters'!$B$33:$W$143,21,FALSE)*VLOOKUP($B$14,'Annual Parameters'!$B$33:$W$143,3,FALSE)/VLOOKUP('Source VoT'!$E$27,'Annual Parameters'!$B$33:$W$143,3,FALSE)</f>
        <v>27.72997046967696</v>
      </c>
      <c r="Y76" s="73">
        <f>'Source VoT'!$D$32*1*VLOOKUP($B76,'Annual Parameters'!$B$33:$W$143,21,FALSE)/VLOOKUP('Source VoT'!$F$27,'Annual Parameters'!$B$33:$W$143,21,FALSE)*VLOOKUP($B$14,'Annual Parameters'!$B$33:$W$143,3,FALSE)/VLOOKUP('Source VoT'!$E$27,'Annual Parameters'!$B$33:$W$143,3,FALSE)</f>
        <v>18.959176100811774</v>
      </c>
      <c r="Z76" s="73">
        <f>'Source VoT'!$D$33*1*VLOOKUP($B76,'Annual Parameters'!$B$33:$W$143,21,FALSE)/VLOOKUP('Source VoT'!$F$27,'Annual Parameters'!$B$33:$W$143,21,FALSE)*VLOOKUP($B$14,'Annual Parameters'!$B$33:$W$143,3,FALSE)/VLOOKUP('Source VoT'!$E$27,'Annual Parameters'!$B$33:$W$143,3,FALSE)</f>
        <v>24.503695059262615</v>
      </c>
      <c r="AA76" s="73">
        <f>'Source VoT'!$D$34*1*VLOOKUP($B76,'Annual Parameters'!$B$33:$W$143,21,FALSE)/VLOOKUP('Source VoT'!$F$27,'Annual Parameters'!$B$33:$W$143,21,FALSE)*VLOOKUP($B$14,'Annual Parameters'!$B$33:$W$143,3,FALSE)/VLOOKUP('Source VoT'!$E$27,'Annual Parameters'!$B$33:$W$143,3,FALSE)</f>
        <v>33.456240377002125</v>
      </c>
      <c r="AB76" s="73">
        <f>'Source VoT'!$D$35*1*VLOOKUP($B76,'Annual Parameters'!$B$33:$W$143,21,FALSE)/VLOOKUP('Source VoT'!$F$27,'Annual Parameters'!$B$33:$W$143,21,FALSE)*VLOOKUP($B$14,'Annual Parameters'!$B$33:$W$143,3,FALSE)/VLOOKUP('Source VoT'!$E$27,'Annual Parameters'!$B$33:$W$143,3,FALSE)</f>
        <v>55.186482895511482</v>
      </c>
      <c r="AC76" s="73">
        <f>'Source VoT'!$D$36*1*VLOOKUP($B76,'Annual Parameters'!$B$33:$W$143,21,FALSE)/VLOOKUP('Source VoT'!$F$27,'Annual Parameters'!$B$33:$W$143,21,FALSE)*VLOOKUP($B$14,'Annual Parameters'!$B$33:$W$143,3,FALSE)/VLOOKUP('Source VoT'!$E$27,'Annual Parameters'!$B$33:$W$143,3,FALSE)</f>
        <v>18.959176100811774</v>
      </c>
      <c r="AD76" s="73">
        <f>'Source VoT'!$D$37*1*VLOOKUP($B76,'Annual Parameters'!$B$33:$W$143,21,FALSE)/VLOOKUP('Source VoT'!$F$27,'Annual Parameters'!$B$33:$W$143,21,FALSE)*VLOOKUP($B$14,'Annual Parameters'!$B$33:$W$143,3,FALSE)/VLOOKUP('Source VoT'!$E$27,'Annual Parameters'!$B$33:$W$143,3,FALSE)</f>
        <v>18.959176100811774</v>
      </c>
      <c r="AE76" s="73">
        <f>'Source VoT'!$D$38*1*VLOOKUP($B76,'Annual Parameters'!$B$33:$W$143,21,FALSE)/VLOOKUP('Source VoT'!$F$27,'Annual Parameters'!$B$33:$W$143,21,FALSE)*VLOOKUP($B$14,'Annual Parameters'!$B$33:$W$143,3,FALSE)/VLOOKUP('Source VoT'!$E$27,'Annual Parameters'!$B$33:$W$143,3,FALSE)</f>
        <v>18.959176100811774</v>
      </c>
      <c r="AF76" s="73">
        <f>'Source VoT'!$D$39*1*VLOOKUP($B76,'Annual Parameters'!$B$33:$W$143,21,FALSE)/VLOOKUP('Source VoT'!$F$27,'Annual Parameters'!$B$33:$W$143,21,FALSE)*VLOOKUP($B$14,'Annual Parameters'!$B$33:$W$143,3,FALSE)/VLOOKUP('Source VoT'!$E$27,'Annual Parameters'!$B$33:$W$143,3,FALSE)</f>
        <v>33.456240377002125</v>
      </c>
      <c r="AG76" s="74">
        <f>'Source VoT'!$D$40*1*VLOOKUP($B76,'Annual Parameters'!$B$33:$W$143,21,FALSE)/VLOOKUP('Source VoT'!$F$27,'Annual Parameters'!$B$33:$W$143,21,FALSE)*VLOOKUP($B$14,'Annual Parameters'!$B$33:$W$143,3,FALSE)/VLOOKUP('Source VoT'!$E$27,'Annual Parameters'!$B$33:$W$143,3,FALSE)</f>
        <v>36.441480148706482</v>
      </c>
      <c r="AH76" s="73">
        <f>'Source VoT'!$D$45*1*VLOOKUP($B76,'Annual Parameters'!$B$33:$W$143,22,FALSE)/VLOOKUP('Source VoT'!$F$27,'Annual Parameters'!$B$33:$W$143,22,FALSE)*VLOOKUP($B$14,'Annual Parameters'!$B$33:$W$143,3,FALSE)/VLOOKUP('Source VoT'!$E$27,'Annual Parameters'!$B$33:$W$143,3,FALSE)</f>
        <v>22.401749298606909</v>
      </c>
      <c r="AI76" s="73">
        <f>'Source VoT'!$D$46*1*VLOOKUP($B76,'Annual Parameters'!$B$33:$W$143,22,FALSE)/VLOOKUP('Source VoT'!$F$27,'Annual Parameters'!$B$33:$W$143,22,FALSE)*VLOOKUP($B$14,'Annual Parameters'!$B$33:$W$143,3,FALSE)/VLOOKUP('Source VoT'!$E$27,'Annual Parameters'!$B$33:$W$143,3,FALSE)</f>
        <v>10.224830659101171</v>
      </c>
      <c r="AJ76" s="117">
        <f>'Source VoT'!$D$27*VLOOKUP($B76,'Indirect tax correction'!$B$27:$I$127,7,FALSE)*VLOOKUP($B76,'Annual Parameters'!$B$33:$W$143,21,FALSE)/VLOOKUP('Source VoT'!$F$27,'Annual Parameters'!$B$33:$W$143,21,FALSE)*VLOOKUP($B$14,'Annual Parameters'!$B$33:$W$143,3,FALSE)/VLOOKUP('Source VoT'!$E$27,'Annual Parameters'!$B$33:$W$143,3,FALSE)</f>
        <v>39.812926048632526</v>
      </c>
      <c r="AK76" s="73">
        <f>'Source VoT'!$D$28*VLOOKUP($B76,'Indirect tax correction'!$B$27:$I$127,7,FALSE)*VLOOKUP($B76,'Annual Parameters'!$B$33:$W$143,21,FALSE)/VLOOKUP('Source VoT'!$F$27,'Annual Parameters'!$B$33:$W$143,21,FALSE)*VLOOKUP($B$14,'Annual Parameters'!$B$33:$W$143,3,FALSE)/VLOOKUP('Source VoT'!$E$27,'Annual Parameters'!$B$33:$W$143,3,FALSE)</f>
        <v>39.812926048632526</v>
      </c>
      <c r="AL76" s="73">
        <f>'Source VoT'!$D$29*VLOOKUP($B76,'Indirect tax correction'!$B$27:$I$127,7,FALSE)*VLOOKUP($B76,'Annual Parameters'!$B$33:$W$143,21,FALSE)/VLOOKUP('Source VoT'!$F$27,'Annual Parameters'!$B$33:$W$143,21,FALSE)*VLOOKUP($B$14,'Annual Parameters'!$B$33:$W$143,3,FALSE)/VLOOKUP('Source VoT'!$E$27,'Annual Parameters'!$B$33:$W$143,3,FALSE)</f>
        <v>27.414275421252942</v>
      </c>
      <c r="AM76" s="73">
        <f>'Source VoT'!$D$30*VLOOKUP($B76,'Indirect tax correction'!$B$27:$I$127,7,FALSE)*VLOOKUP($B76,'Annual Parameters'!$B$33:$W$143,21,FALSE)/VLOOKUP('Source VoT'!$F$27,'Annual Parameters'!$B$33:$W$143,21,FALSE)*VLOOKUP($B$14,'Annual Parameters'!$B$33:$W$143,3,FALSE)/VLOOKUP('Source VoT'!$E$27,'Annual Parameters'!$B$33:$W$143,3,FALSE)</f>
        <v>32.300616179207744</v>
      </c>
      <c r="AN76" s="73">
        <f>'Source VoT'!$D$31*VLOOKUP($B76,'Indirect tax correction'!$B$27:$I$127,7,FALSE)*VLOOKUP($B76,'Annual Parameters'!$B$33:$W$143,21,FALSE)/VLOOKUP('Source VoT'!$F$27,'Annual Parameters'!$B$33:$W$143,21,FALSE)*VLOOKUP($B$14,'Annual Parameters'!$B$33:$W$143,3,FALSE)/VLOOKUP('Source VoT'!$E$27,'Annual Parameters'!$B$33:$W$143,3,FALSE)</f>
        <v>32.998664858915575</v>
      </c>
      <c r="AO76" s="73">
        <f>'Source VoT'!$D$32*VLOOKUP($B76,'Indirect tax correction'!$B$27:$I$127,7,FALSE)*VLOOKUP($B76,'Annual Parameters'!$B$33:$W$143,21,FALSE)/VLOOKUP('Source VoT'!$F$27,'Annual Parameters'!$B$33:$W$143,21,FALSE)*VLOOKUP($B$14,'Annual Parameters'!$B$33:$W$143,3,FALSE)/VLOOKUP('Source VoT'!$E$27,'Annual Parameters'!$B$33:$W$143,3,FALSE)</f>
        <v>22.561419559966016</v>
      </c>
      <c r="AP76" s="73">
        <f>'Source VoT'!$D$33*VLOOKUP($B76,'Indirect tax correction'!$B$27:$I$127,7,FALSE)*VLOOKUP($B76,'Annual Parameters'!$B$33:$W$143,21,FALSE)/VLOOKUP('Source VoT'!$F$27,'Annual Parameters'!$B$33:$W$143,21,FALSE)*VLOOKUP($B$14,'Annual Parameters'!$B$33:$W$143,3,FALSE)/VLOOKUP('Source VoT'!$E$27,'Annual Parameters'!$B$33:$W$143,3,FALSE)</f>
        <v>29.159397120522513</v>
      </c>
      <c r="AQ76" s="73">
        <f>'Source VoT'!$D$34*VLOOKUP($B76,'Indirect tax correction'!$B$27:$I$127,7,FALSE)*VLOOKUP($B76,'Annual Parameters'!$B$33:$W$143,21,FALSE)/VLOOKUP('Source VoT'!$F$27,'Annual Parameters'!$B$33:$W$143,21,FALSE)*VLOOKUP($B$14,'Annual Parameters'!$B$33:$W$143,3,FALSE)/VLOOKUP('Source VoT'!$E$27,'Annual Parameters'!$B$33:$W$143,3,FALSE)</f>
        <v>39.812926048632526</v>
      </c>
      <c r="AR76" s="73">
        <f>'Source VoT'!$D$35*VLOOKUP($B76,'Indirect tax correction'!$B$27:$I$127,7,FALSE)*VLOOKUP($B76,'Annual Parameters'!$B$33:$W$143,21,FALSE)/VLOOKUP('Source VoT'!$F$27,'Annual Parameters'!$B$33:$W$143,21,FALSE)*VLOOKUP($B$14,'Annual Parameters'!$B$33:$W$143,3,FALSE)/VLOOKUP('Source VoT'!$E$27,'Annual Parameters'!$B$33:$W$143,3,FALSE)</f>
        <v>65.67191464565866</v>
      </c>
      <c r="AS76" s="73">
        <f>'Source VoT'!$D$36*VLOOKUP($B76,'Indirect tax correction'!$B$27:$I$127,7,FALSE)*VLOOKUP($B76,'Annual Parameters'!$B$33:$W$143,21,FALSE)/VLOOKUP('Source VoT'!$F$27,'Annual Parameters'!$B$33:$W$143,21,FALSE)*VLOOKUP($B$14,'Annual Parameters'!$B$33:$W$143,3,FALSE)/VLOOKUP('Source VoT'!$E$27,'Annual Parameters'!$B$33:$W$143,3,FALSE)</f>
        <v>22.561419559966016</v>
      </c>
      <c r="AT76" s="73">
        <f>'Source VoT'!$D$37*VLOOKUP($B76,'Indirect tax correction'!$B$27:$I$127,7,FALSE)*VLOOKUP($B76,'Annual Parameters'!$B$33:$W$143,21,FALSE)/VLOOKUP('Source VoT'!$F$27,'Annual Parameters'!$B$33:$W$143,21,FALSE)*VLOOKUP($B$14,'Annual Parameters'!$B$33:$W$143,3,FALSE)/VLOOKUP('Source VoT'!$E$27,'Annual Parameters'!$B$33:$W$143,3,FALSE)</f>
        <v>22.561419559966016</v>
      </c>
      <c r="AU76" s="73">
        <f>'Source VoT'!$D$38*VLOOKUP($B76,'Indirect tax correction'!$B$27:$I$127,7,FALSE)*VLOOKUP($B76,'Annual Parameters'!$B$33:$W$143,21,FALSE)/VLOOKUP('Source VoT'!$F$27,'Annual Parameters'!$B$33:$W$143,21,FALSE)*VLOOKUP($B$14,'Annual Parameters'!$B$33:$W$143,3,FALSE)/VLOOKUP('Source VoT'!$E$27,'Annual Parameters'!$B$33:$W$143,3,FALSE)</f>
        <v>22.561419559966016</v>
      </c>
      <c r="AV76" s="73">
        <f>'Source VoT'!$D$39*VLOOKUP($B76,'Indirect tax correction'!$B$27:$I$127,7,FALSE)*VLOOKUP($B76,'Annual Parameters'!$B$33:$W$143,21,FALSE)/VLOOKUP('Source VoT'!$F$27,'Annual Parameters'!$B$33:$W$143,21,FALSE)*VLOOKUP($B$14,'Annual Parameters'!$B$33:$W$143,3,FALSE)/VLOOKUP('Source VoT'!$E$27,'Annual Parameters'!$B$33:$W$143,3,FALSE)</f>
        <v>39.812926048632526</v>
      </c>
      <c r="AW76" s="74">
        <f>'Source VoT'!$D$40*VLOOKUP($B76,'Indirect tax correction'!$B$27:$I$127,7,FALSE)*VLOOKUP($B76,'Annual Parameters'!$B$33:$W$143,21,FALSE)/VLOOKUP('Source VoT'!$F$27,'Annual Parameters'!$B$33:$W$143,21,FALSE)*VLOOKUP($B$14,'Annual Parameters'!$B$33:$W$143,3,FALSE)/VLOOKUP('Source VoT'!$E$27,'Annual Parameters'!$B$33:$W$143,3,FALSE)</f>
        <v>43.365361376960706</v>
      </c>
      <c r="AX76" s="73">
        <f>'Source VoT'!$D$45*VLOOKUP($B76,'Indirect tax correction'!$B$27:$I$127,8,FALSE)*VLOOKUP($B76,'Annual Parameters'!$B$33:$W$143,22,FALSE)/VLOOKUP('Source VoT'!$F$27,'Annual Parameters'!$B$33:$W$143,22,FALSE)*VLOOKUP($B$14,'Annual Parameters'!$B$33:$W$143,3,FALSE)/VLOOKUP('Source VoT'!$E$27,'Annual Parameters'!$B$33:$W$143,3,FALSE)</f>
        <v>22.401749298606909</v>
      </c>
      <c r="AY76" s="74">
        <f>'Source VoT'!$D$46*VLOOKUP($B76,'Indirect tax correction'!$B$27:$I$127,8,FALSE)*VLOOKUP($B76,'Annual Parameters'!$B$33:$W$143,22,FALSE)/VLOOKUP('Source VoT'!$F$27,'Annual Parameters'!$B$33:$W$143,22,FALSE)*VLOOKUP($B$14,'Annual Parameters'!$B$33:$W$143,3,FALSE)/VLOOKUP('Source VoT'!$E$27,'Annual Parameters'!$B$33:$W$143,3,FALSE)</f>
        <v>10.224830659101171</v>
      </c>
      <c r="AZ76" s="2875"/>
      <c r="BA76" s="2875"/>
      <c r="BB76" s="2875"/>
      <c r="BC76" s="2875"/>
      <c r="BD76" s="2875"/>
      <c r="BE76" s="2875"/>
      <c r="BF76" s="2875"/>
      <c r="BG76" s="2875"/>
    </row>
    <row r="77" spans="1:59" ht="13.5" customHeight="1">
      <c r="A77" s="90"/>
      <c r="B77" s="82">
        <f t="shared" si="0"/>
        <v>2060</v>
      </c>
      <c r="C77" s="82"/>
      <c r="D77" s="117">
        <f>'Source VoT'!$D$27*VLOOKUP($B77,'Indirect tax correction'!$B$27:$I$127,5,FALSE)*VLOOKUP($B77,'Annual Parameters'!$B$33:$W$143,21,FALSE)/VLOOKUP('Source VoT'!$F$27,'Annual Parameters'!$B$33:$W$143,21,FALSE)*VLOOKUP($B$14,'Annual Parameters'!$B$33:$W$143,3,FALSE)/VLOOKUP('Source VoT'!$E$27,'Annual Parameters'!$B$33:$W$143,3,FALSE)</f>
        <v>34.120292640757611</v>
      </c>
      <c r="E77" s="73">
        <f>'Source VoT'!$D$28*VLOOKUP($B77,'Indirect tax correction'!$B$27:$I$127,5,FALSE)*VLOOKUP($B77,'Annual Parameters'!$B$33:$W$143,21,FALSE)/VLOOKUP('Source VoT'!$F$27,'Annual Parameters'!$B$33:$W$143,21,FALSE)*VLOOKUP($B$14,'Annual Parameters'!$B$33:$W$143,3,FALSE)/VLOOKUP('Source VoT'!$E$27,'Annual Parameters'!$B$33:$W$143,3,FALSE)</f>
        <v>34.120292640757611</v>
      </c>
      <c r="F77" s="73">
        <f>'Source VoT'!$D$29*VLOOKUP($B77,'Indirect tax correction'!$B$27:$I$127,5,FALSE)*VLOOKUP($B77,'Annual Parameters'!$B$33:$W$143,21,FALSE)/VLOOKUP('Source VoT'!$F$27,'Annual Parameters'!$B$33:$W$143,21,FALSE)*VLOOKUP($B$14,'Annual Parameters'!$B$33:$W$143,3,FALSE)/VLOOKUP('Source VoT'!$E$27,'Annual Parameters'!$B$33:$W$143,3,FALSE)</f>
        <v>23.49445752278756</v>
      </c>
      <c r="G77" s="73">
        <f>'Source VoT'!$D$30*VLOOKUP($B77,'Indirect tax correction'!$B$27:$I$127,5,FALSE)*VLOOKUP($B77,'Annual Parameters'!$B$33:$W$143,21,FALSE)/VLOOKUP('Source VoT'!$F$27,'Annual Parameters'!$B$33:$W$143,21,FALSE)*VLOOKUP($B$14,'Annual Parameters'!$B$33:$W$143,3,FALSE)/VLOOKUP('Source VoT'!$E$27,'Annual Parameters'!$B$33:$W$143,3,FALSE)</f>
        <v>27.682127034951076</v>
      </c>
      <c r="H77" s="73">
        <f>'Source VoT'!$D$31*VLOOKUP($B77,'Indirect tax correction'!$B$27:$I$127,5,FALSE)*VLOOKUP($B77,'Annual Parameters'!$B$33:$W$143,21,FALSE)/VLOOKUP('Source VoT'!$F$27,'Annual Parameters'!$B$33:$W$143,21,FALSE)*VLOOKUP($B$14,'Annual Parameters'!$B$33:$W$143,3,FALSE)/VLOOKUP('Source VoT'!$E$27,'Annual Parameters'!$B$33:$W$143,3,FALSE)</f>
        <v>28.280365536688727</v>
      </c>
      <c r="I77" s="73">
        <f>'Source VoT'!$D$32*VLOOKUP($B77,'Indirect tax correction'!$B$27:$I$127,5,FALSE)*VLOOKUP($B77,'Annual Parameters'!$B$33:$W$143,21,FALSE)/VLOOKUP('Source VoT'!$F$27,'Annual Parameters'!$B$33:$W$143,21,FALSE)*VLOOKUP($B$14,'Annual Parameters'!$B$33:$W$143,3,FALSE)/VLOOKUP('Source VoT'!$E$27,'Annual Parameters'!$B$33:$W$143,3,FALSE)</f>
        <v>19.335485084332152</v>
      </c>
      <c r="J77" s="73">
        <f>'Source VoT'!$D$33*VLOOKUP($B77,'Indirect tax correction'!$B$27:$I$127,5,FALSE)*VLOOKUP($B77,'Annual Parameters'!$B$33:$W$143,21,FALSE)/VLOOKUP('Source VoT'!$F$27,'Annual Parameters'!$B$33:$W$143,21,FALSE)*VLOOKUP($B$14,'Annual Parameters'!$B$33:$W$143,3,FALSE)/VLOOKUP('Source VoT'!$E$27,'Annual Parameters'!$B$33:$W$143,3,FALSE)</f>
        <v>24.990053777131671</v>
      </c>
      <c r="K77" s="73">
        <f>'Source VoT'!$D$34*VLOOKUP($B77,'Indirect tax correction'!$B$27:$I$127,5,FALSE)*VLOOKUP($B77,'Annual Parameters'!$B$33:$W$143,21,FALSE)/VLOOKUP('Source VoT'!$F$27,'Annual Parameters'!$B$33:$W$143,21,FALSE)*VLOOKUP($B$14,'Annual Parameters'!$B$33:$W$143,3,FALSE)/VLOOKUP('Source VoT'!$E$27,'Annual Parameters'!$B$33:$W$143,3,FALSE)</f>
        <v>34.120292640757611</v>
      </c>
      <c r="L77" s="73">
        <f>'Source VoT'!$D$35*VLOOKUP($B77,'Indirect tax correction'!$B$27:$I$127,5,FALSE)*VLOOKUP($B77,'Annual Parameters'!$B$33:$W$143,21,FALSE)/VLOOKUP('Source VoT'!$F$27,'Annual Parameters'!$B$33:$W$143,21,FALSE)*VLOOKUP($B$14,'Annual Parameters'!$B$33:$W$143,3,FALSE)/VLOOKUP('Source VoT'!$E$27,'Annual Parameters'!$B$33:$W$143,3,FALSE)</f>
        <v>56.281845329619863</v>
      </c>
      <c r="M77" s="73">
        <f>'Source VoT'!$D$36*VLOOKUP($B77,'Indirect tax correction'!$B$27:$I$127,5,FALSE)*VLOOKUP($B77,'Annual Parameters'!$B$33:$W$143,21,FALSE)/VLOOKUP('Source VoT'!$F$27,'Annual Parameters'!$B$33:$W$143,21,FALSE)*VLOOKUP($B$14,'Annual Parameters'!$B$33:$W$143,3,FALSE)/VLOOKUP('Source VoT'!$E$27,'Annual Parameters'!$B$33:$W$143,3,FALSE)</f>
        <v>19.335485084332152</v>
      </c>
      <c r="N77" s="73">
        <f>'Source VoT'!$D$37*VLOOKUP($B77,'Indirect tax correction'!$B$27:$I$127,5,FALSE)*VLOOKUP($B77,'Annual Parameters'!$B$33:$W$143,21,FALSE)/VLOOKUP('Source VoT'!$F$27,'Annual Parameters'!$B$33:$W$143,21,FALSE)*VLOOKUP($B$14,'Annual Parameters'!$B$33:$W$143,3,FALSE)/VLOOKUP('Source VoT'!$E$27,'Annual Parameters'!$B$33:$W$143,3,FALSE)</f>
        <v>19.335485084332152</v>
      </c>
      <c r="O77" s="73">
        <f>'Source VoT'!$D$38*VLOOKUP($B77,'Indirect tax correction'!$B$27:$I$127,5,FALSE)*VLOOKUP($B77,'Annual Parameters'!$B$33:$W$143,21,FALSE)/VLOOKUP('Source VoT'!$F$27,'Annual Parameters'!$B$33:$W$143,21,FALSE)*VLOOKUP($B$14,'Annual Parameters'!$B$33:$W$143,3,FALSE)/VLOOKUP('Source VoT'!$E$27,'Annual Parameters'!$B$33:$W$143,3,FALSE)</f>
        <v>19.335485084332152</v>
      </c>
      <c r="P77" s="73">
        <f>'Source VoT'!$D$39*VLOOKUP($B77,'Indirect tax correction'!$B$27:$I$127,5,FALSE)*VLOOKUP($B77,'Annual Parameters'!$B$33:$W$143,21,FALSE)/VLOOKUP('Source VoT'!$F$27,'Annual Parameters'!$B$33:$W$143,21,FALSE)*VLOOKUP($B$14,'Annual Parameters'!$B$33:$W$143,3,FALSE)/VLOOKUP('Source VoT'!$E$27,'Annual Parameters'!$B$33:$W$143,3,FALSE)</f>
        <v>34.120292640757611</v>
      </c>
      <c r="Q77" s="74">
        <f>'Source VoT'!$D$40*VLOOKUP($B77,'Indirect tax correction'!$B$27:$I$127,5,FALSE)*VLOOKUP($B77,'Annual Parameters'!$B$33:$W$143,21,FALSE)/VLOOKUP('Source VoT'!$F$27,'Annual Parameters'!$B$33:$W$143,21,FALSE)*VLOOKUP($B$14,'Annual Parameters'!$B$33:$W$143,3,FALSE)/VLOOKUP('Source VoT'!$E$27,'Annual Parameters'!$B$33:$W$143,3,FALSE)</f>
        <v>37.164784593995677</v>
      </c>
      <c r="R77" s="73">
        <f>'Source VoT'!$D$45*VLOOKUP($B77,'Indirect tax correction'!$B$27:$I$127,6,FALSE)*VLOOKUP($B77,'Annual Parameters'!$B$33:$W$143,22,FALSE)/VLOOKUP('Source VoT'!$F$27,'Annual Parameters'!$B$33:$W$143,22,FALSE)*VLOOKUP($B$14,'Annual Parameters'!$B$33:$W$143,3,FALSE)/VLOOKUP('Source VoT'!$E$27,'Annual Parameters'!$B$33:$W$143,3,FALSE)</f>
        <v>19.198645203813349</v>
      </c>
      <c r="S77" s="73">
        <f>'Source VoT'!$D$46*VLOOKUP($B77,'Indirect tax correction'!$B$27:$I$127,6,FALSE)*VLOOKUP($B77,'Annual Parameters'!$B$33:$W$143,22,FALSE)/VLOOKUP('Source VoT'!$F$27,'Annual Parameters'!$B$33:$W$143,22,FALSE)*VLOOKUP($B$14,'Annual Parameters'!$B$33:$W$143,3,FALSE)/VLOOKUP('Source VoT'!$E$27,'Annual Parameters'!$B$33:$W$143,3,FALSE)</f>
        <v>8.7628378246945129</v>
      </c>
      <c r="T77" s="117">
        <f>'Source VoT'!$D$27*1*VLOOKUP($B77,'Annual Parameters'!$B$33:$W$143,21,FALSE)/VLOOKUP('Source VoT'!$F$27,'Annual Parameters'!$B$33:$W$143,21,FALSE)*VLOOKUP($B$14,'Annual Parameters'!$B$33:$W$143,3,FALSE)/VLOOKUP('Source VoT'!$E$27,'Annual Parameters'!$B$33:$W$143,3,FALSE)</f>
        <v>34.120292640757611</v>
      </c>
      <c r="U77" s="73">
        <f>'Source VoT'!$D$28*1*VLOOKUP($B77,'Annual Parameters'!$B$33:$W$143,21,FALSE)/VLOOKUP('Source VoT'!$F$27,'Annual Parameters'!$B$33:$W$143,21,FALSE)*VLOOKUP($B$14,'Annual Parameters'!$B$33:$W$143,3,FALSE)/VLOOKUP('Source VoT'!$E$27,'Annual Parameters'!$B$33:$W$143,3,FALSE)</f>
        <v>34.120292640757611</v>
      </c>
      <c r="V77" s="73">
        <f>'Source VoT'!$D$29*1*VLOOKUP($B77,'Annual Parameters'!$B$33:$W$143,21,FALSE)/VLOOKUP('Source VoT'!$F$27,'Annual Parameters'!$B$33:$W$143,21,FALSE)*VLOOKUP($B$14,'Annual Parameters'!$B$33:$W$143,3,FALSE)/VLOOKUP('Source VoT'!$E$27,'Annual Parameters'!$B$33:$W$143,3,FALSE)</f>
        <v>23.49445752278756</v>
      </c>
      <c r="W77" s="73">
        <f>'Source VoT'!$D$30*1*VLOOKUP($B77,'Annual Parameters'!$B$33:$W$143,21,FALSE)/VLOOKUP('Source VoT'!$F$27,'Annual Parameters'!$B$33:$W$143,21,FALSE)*VLOOKUP($B$14,'Annual Parameters'!$B$33:$W$143,3,FALSE)/VLOOKUP('Source VoT'!$E$27,'Annual Parameters'!$B$33:$W$143,3,FALSE)</f>
        <v>27.682127034951076</v>
      </c>
      <c r="X77" s="73">
        <f>'Source VoT'!$D$31*1*VLOOKUP($B77,'Annual Parameters'!$B$33:$W$143,21,FALSE)/VLOOKUP('Source VoT'!$F$27,'Annual Parameters'!$B$33:$W$143,21,FALSE)*VLOOKUP($B$14,'Annual Parameters'!$B$33:$W$143,3,FALSE)/VLOOKUP('Source VoT'!$E$27,'Annual Parameters'!$B$33:$W$143,3,FALSE)</f>
        <v>28.280365536688727</v>
      </c>
      <c r="Y77" s="73">
        <f>'Source VoT'!$D$32*1*VLOOKUP($B77,'Annual Parameters'!$B$33:$W$143,21,FALSE)/VLOOKUP('Source VoT'!$F$27,'Annual Parameters'!$B$33:$W$143,21,FALSE)*VLOOKUP($B$14,'Annual Parameters'!$B$33:$W$143,3,FALSE)/VLOOKUP('Source VoT'!$E$27,'Annual Parameters'!$B$33:$W$143,3,FALSE)</f>
        <v>19.335485084332152</v>
      </c>
      <c r="Z77" s="73">
        <f>'Source VoT'!$D$33*1*VLOOKUP($B77,'Annual Parameters'!$B$33:$W$143,21,FALSE)/VLOOKUP('Source VoT'!$F$27,'Annual Parameters'!$B$33:$W$143,21,FALSE)*VLOOKUP($B$14,'Annual Parameters'!$B$33:$W$143,3,FALSE)/VLOOKUP('Source VoT'!$E$27,'Annual Parameters'!$B$33:$W$143,3,FALSE)</f>
        <v>24.990053777131671</v>
      </c>
      <c r="AA77" s="73">
        <f>'Source VoT'!$D$34*1*VLOOKUP($B77,'Annual Parameters'!$B$33:$W$143,21,FALSE)/VLOOKUP('Source VoT'!$F$27,'Annual Parameters'!$B$33:$W$143,21,FALSE)*VLOOKUP($B$14,'Annual Parameters'!$B$33:$W$143,3,FALSE)/VLOOKUP('Source VoT'!$E$27,'Annual Parameters'!$B$33:$W$143,3,FALSE)</f>
        <v>34.120292640757611</v>
      </c>
      <c r="AB77" s="73">
        <f>'Source VoT'!$D$35*1*VLOOKUP($B77,'Annual Parameters'!$B$33:$W$143,21,FALSE)/VLOOKUP('Source VoT'!$F$27,'Annual Parameters'!$B$33:$W$143,21,FALSE)*VLOOKUP($B$14,'Annual Parameters'!$B$33:$W$143,3,FALSE)/VLOOKUP('Source VoT'!$E$27,'Annual Parameters'!$B$33:$W$143,3,FALSE)</f>
        <v>56.281845329619863</v>
      </c>
      <c r="AC77" s="73">
        <f>'Source VoT'!$D$36*1*VLOOKUP($B77,'Annual Parameters'!$B$33:$W$143,21,FALSE)/VLOOKUP('Source VoT'!$F$27,'Annual Parameters'!$B$33:$W$143,21,FALSE)*VLOOKUP($B$14,'Annual Parameters'!$B$33:$W$143,3,FALSE)/VLOOKUP('Source VoT'!$E$27,'Annual Parameters'!$B$33:$W$143,3,FALSE)</f>
        <v>19.335485084332152</v>
      </c>
      <c r="AD77" s="73">
        <f>'Source VoT'!$D$37*1*VLOOKUP($B77,'Annual Parameters'!$B$33:$W$143,21,FALSE)/VLOOKUP('Source VoT'!$F$27,'Annual Parameters'!$B$33:$W$143,21,FALSE)*VLOOKUP($B$14,'Annual Parameters'!$B$33:$W$143,3,FALSE)/VLOOKUP('Source VoT'!$E$27,'Annual Parameters'!$B$33:$W$143,3,FALSE)</f>
        <v>19.335485084332152</v>
      </c>
      <c r="AE77" s="73">
        <f>'Source VoT'!$D$38*1*VLOOKUP($B77,'Annual Parameters'!$B$33:$W$143,21,FALSE)/VLOOKUP('Source VoT'!$F$27,'Annual Parameters'!$B$33:$W$143,21,FALSE)*VLOOKUP($B$14,'Annual Parameters'!$B$33:$W$143,3,FALSE)/VLOOKUP('Source VoT'!$E$27,'Annual Parameters'!$B$33:$W$143,3,FALSE)</f>
        <v>19.335485084332152</v>
      </c>
      <c r="AF77" s="73">
        <f>'Source VoT'!$D$39*1*VLOOKUP($B77,'Annual Parameters'!$B$33:$W$143,21,FALSE)/VLOOKUP('Source VoT'!$F$27,'Annual Parameters'!$B$33:$W$143,21,FALSE)*VLOOKUP($B$14,'Annual Parameters'!$B$33:$W$143,3,FALSE)/VLOOKUP('Source VoT'!$E$27,'Annual Parameters'!$B$33:$W$143,3,FALSE)</f>
        <v>34.120292640757611</v>
      </c>
      <c r="AG77" s="74">
        <f>'Source VoT'!$D$40*1*VLOOKUP($B77,'Annual Parameters'!$B$33:$W$143,21,FALSE)/VLOOKUP('Source VoT'!$F$27,'Annual Parameters'!$B$33:$W$143,21,FALSE)*VLOOKUP($B$14,'Annual Parameters'!$B$33:$W$143,3,FALSE)/VLOOKUP('Source VoT'!$E$27,'Annual Parameters'!$B$33:$W$143,3,FALSE)</f>
        <v>37.164784593995677</v>
      </c>
      <c r="AH77" s="73">
        <f>'Source VoT'!$D$45*1*VLOOKUP($B77,'Annual Parameters'!$B$33:$W$143,22,FALSE)/VLOOKUP('Source VoT'!$F$27,'Annual Parameters'!$B$33:$W$143,22,FALSE)*VLOOKUP($B$14,'Annual Parameters'!$B$33:$W$143,3,FALSE)/VLOOKUP('Source VoT'!$E$27,'Annual Parameters'!$B$33:$W$143,3,FALSE)</f>
        <v>22.846387792537879</v>
      </c>
      <c r="AI77" s="73">
        <f>'Source VoT'!$D$46*1*VLOOKUP($B77,'Annual Parameters'!$B$33:$W$143,22,FALSE)/VLOOKUP('Source VoT'!$F$27,'Annual Parameters'!$B$33:$W$143,22,FALSE)*VLOOKUP($B$14,'Annual Parameters'!$B$33:$W$143,3,FALSE)/VLOOKUP('Source VoT'!$E$27,'Annual Parameters'!$B$33:$W$143,3,FALSE)</f>
        <v>10.427777011386469</v>
      </c>
      <c r="AJ77" s="117">
        <f>'Source VoT'!$D$27*VLOOKUP($B77,'Indirect tax correction'!$B$27:$I$127,7,FALSE)*VLOOKUP($B77,'Annual Parameters'!$B$33:$W$143,21,FALSE)/VLOOKUP('Source VoT'!$F$27,'Annual Parameters'!$B$33:$W$143,21,FALSE)*VLOOKUP($B$14,'Annual Parameters'!$B$33:$W$143,3,FALSE)/VLOOKUP('Source VoT'!$E$27,'Annual Parameters'!$B$33:$W$143,3,FALSE)</f>
        <v>40.603148242501554</v>
      </c>
      <c r="AK77" s="73">
        <f>'Source VoT'!$D$28*VLOOKUP($B77,'Indirect tax correction'!$B$27:$I$127,7,FALSE)*VLOOKUP($B77,'Annual Parameters'!$B$33:$W$143,21,FALSE)/VLOOKUP('Source VoT'!$F$27,'Annual Parameters'!$B$33:$W$143,21,FALSE)*VLOOKUP($B$14,'Annual Parameters'!$B$33:$W$143,3,FALSE)/VLOOKUP('Source VoT'!$E$27,'Annual Parameters'!$B$33:$W$143,3,FALSE)</f>
        <v>40.603148242501554</v>
      </c>
      <c r="AL77" s="73">
        <f>'Source VoT'!$D$29*VLOOKUP($B77,'Indirect tax correction'!$B$27:$I$127,7,FALSE)*VLOOKUP($B77,'Annual Parameters'!$B$33:$W$143,21,FALSE)/VLOOKUP('Source VoT'!$F$27,'Annual Parameters'!$B$33:$W$143,21,FALSE)*VLOOKUP($B$14,'Annual Parameters'!$B$33:$W$143,3,FALSE)/VLOOKUP('Source VoT'!$E$27,'Annual Parameters'!$B$33:$W$143,3,FALSE)</f>
        <v>27.95840445211719</v>
      </c>
      <c r="AM77" s="73">
        <f>'Source VoT'!$D$30*VLOOKUP($B77,'Indirect tax correction'!$B$27:$I$127,7,FALSE)*VLOOKUP($B77,'Annual Parameters'!$B$33:$W$143,21,FALSE)/VLOOKUP('Source VoT'!$F$27,'Annual Parameters'!$B$33:$W$143,21,FALSE)*VLOOKUP($B$14,'Annual Parameters'!$B$33:$W$143,3,FALSE)/VLOOKUP('Source VoT'!$E$27,'Annual Parameters'!$B$33:$W$143,3,FALSE)</f>
        <v>32.941731171591776</v>
      </c>
      <c r="AN77" s="73">
        <f>'Source VoT'!$D$31*VLOOKUP($B77,'Indirect tax correction'!$B$27:$I$127,7,FALSE)*VLOOKUP($B77,'Annual Parameters'!$B$33:$W$143,21,FALSE)/VLOOKUP('Source VoT'!$F$27,'Annual Parameters'!$B$33:$W$143,21,FALSE)*VLOOKUP($B$14,'Annual Parameters'!$B$33:$W$143,3,FALSE)/VLOOKUP('Source VoT'!$E$27,'Annual Parameters'!$B$33:$W$143,3,FALSE)</f>
        <v>33.653634988659583</v>
      </c>
      <c r="AO77" s="73">
        <f>'Source VoT'!$D$32*VLOOKUP($B77,'Indirect tax correction'!$B$27:$I$127,7,FALSE)*VLOOKUP($B77,'Annual Parameters'!$B$33:$W$143,21,FALSE)/VLOOKUP('Source VoT'!$F$27,'Annual Parameters'!$B$33:$W$143,21,FALSE)*VLOOKUP($B$14,'Annual Parameters'!$B$33:$W$143,3,FALSE)/VLOOKUP('Source VoT'!$E$27,'Annual Parameters'!$B$33:$W$143,3,FALSE)</f>
        <v>23.009227250355263</v>
      </c>
      <c r="AP77" s="73">
        <f>'Source VoT'!$D$33*VLOOKUP($B77,'Indirect tax correction'!$B$27:$I$127,7,FALSE)*VLOOKUP($B77,'Annual Parameters'!$B$33:$W$143,21,FALSE)/VLOOKUP('Source VoT'!$F$27,'Annual Parameters'!$B$33:$W$143,21,FALSE)*VLOOKUP($B$14,'Annual Parameters'!$B$33:$W$143,3,FALSE)/VLOOKUP('Source VoT'!$E$27,'Annual Parameters'!$B$33:$W$143,3,FALSE)</f>
        <v>29.738163994786689</v>
      </c>
      <c r="AQ77" s="73">
        <f>'Source VoT'!$D$34*VLOOKUP($B77,'Indirect tax correction'!$B$27:$I$127,7,FALSE)*VLOOKUP($B77,'Annual Parameters'!$B$33:$W$143,21,FALSE)/VLOOKUP('Source VoT'!$F$27,'Annual Parameters'!$B$33:$W$143,21,FALSE)*VLOOKUP($B$14,'Annual Parameters'!$B$33:$W$143,3,FALSE)/VLOOKUP('Source VoT'!$E$27,'Annual Parameters'!$B$33:$W$143,3,FALSE)</f>
        <v>40.603148242501554</v>
      </c>
      <c r="AR77" s="73">
        <f>'Source VoT'!$D$35*VLOOKUP($B77,'Indirect tax correction'!$B$27:$I$127,7,FALSE)*VLOOKUP($B77,'Annual Parameters'!$B$33:$W$143,21,FALSE)/VLOOKUP('Source VoT'!$F$27,'Annual Parameters'!$B$33:$W$143,21,FALSE)*VLOOKUP($B$14,'Annual Parameters'!$B$33:$W$143,3,FALSE)/VLOOKUP('Source VoT'!$E$27,'Annual Parameters'!$B$33:$W$143,3,FALSE)</f>
        <v>66.97539594224763</v>
      </c>
      <c r="AS77" s="73">
        <f>'Source VoT'!$D$36*VLOOKUP($B77,'Indirect tax correction'!$B$27:$I$127,7,FALSE)*VLOOKUP($B77,'Annual Parameters'!$B$33:$W$143,21,FALSE)/VLOOKUP('Source VoT'!$F$27,'Annual Parameters'!$B$33:$W$143,21,FALSE)*VLOOKUP($B$14,'Annual Parameters'!$B$33:$W$143,3,FALSE)/VLOOKUP('Source VoT'!$E$27,'Annual Parameters'!$B$33:$W$143,3,FALSE)</f>
        <v>23.009227250355263</v>
      </c>
      <c r="AT77" s="73">
        <f>'Source VoT'!$D$37*VLOOKUP($B77,'Indirect tax correction'!$B$27:$I$127,7,FALSE)*VLOOKUP($B77,'Annual Parameters'!$B$33:$W$143,21,FALSE)/VLOOKUP('Source VoT'!$F$27,'Annual Parameters'!$B$33:$W$143,21,FALSE)*VLOOKUP($B$14,'Annual Parameters'!$B$33:$W$143,3,FALSE)/VLOOKUP('Source VoT'!$E$27,'Annual Parameters'!$B$33:$W$143,3,FALSE)</f>
        <v>23.009227250355263</v>
      </c>
      <c r="AU77" s="73">
        <f>'Source VoT'!$D$38*VLOOKUP($B77,'Indirect tax correction'!$B$27:$I$127,7,FALSE)*VLOOKUP($B77,'Annual Parameters'!$B$33:$W$143,21,FALSE)/VLOOKUP('Source VoT'!$F$27,'Annual Parameters'!$B$33:$W$143,21,FALSE)*VLOOKUP($B$14,'Annual Parameters'!$B$33:$W$143,3,FALSE)/VLOOKUP('Source VoT'!$E$27,'Annual Parameters'!$B$33:$W$143,3,FALSE)</f>
        <v>23.009227250355263</v>
      </c>
      <c r="AV77" s="73">
        <f>'Source VoT'!$D$39*VLOOKUP($B77,'Indirect tax correction'!$B$27:$I$127,7,FALSE)*VLOOKUP($B77,'Annual Parameters'!$B$33:$W$143,21,FALSE)/VLOOKUP('Source VoT'!$F$27,'Annual Parameters'!$B$33:$W$143,21,FALSE)*VLOOKUP($B$14,'Annual Parameters'!$B$33:$W$143,3,FALSE)/VLOOKUP('Source VoT'!$E$27,'Annual Parameters'!$B$33:$W$143,3,FALSE)</f>
        <v>40.603148242501554</v>
      </c>
      <c r="AW77" s="74">
        <f>'Source VoT'!$D$40*VLOOKUP($B77,'Indirect tax correction'!$B$27:$I$127,7,FALSE)*VLOOKUP($B77,'Annual Parameters'!$B$33:$W$143,21,FALSE)/VLOOKUP('Source VoT'!$F$27,'Annual Parameters'!$B$33:$W$143,21,FALSE)*VLOOKUP($B$14,'Annual Parameters'!$B$33:$W$143,3,FALSE)/VLOOKUP('Source VoT'!$E$27,'Annual Parameters'!$B$33:$W$143,3,FALSE)</f>
        <v>44.226093666854851</v>
      </c>
      <c r="AX77" s="73">
        <f>'Source VoT'!$D$45*VLOOKUP($B77,'Indirect tax correction'!$B$27:$I$127,8,FALSE)*VLOOKUP($B77,'Annual Parameters'!$B$33:$W$143,22,FALSE)/VLOOKUP('Source VoT'!$F$27,'Annual Parameters'!$B$33:$W$143,22,FALSE)*VLOOKUP($B$14,'Annual Parameters'!$B$33:$W$143,3,FALSE)/VLOOKUP('Source VoT'!$E$27,'Annual Parameters'!$B$33:$W$143,3,FALSE)</f>
        <v>22.846387792537879</v>
      </c>
      <c r="AY77" s="74">
        <f>'Source VoT'!$D$46*VLOOKUP($B77,'Indirect tax correction'!$B$27:$I$127,8,FALSE)*VLOOKUP($B77,'Annual Parameters'!$B$33:$W$143,22,FALSE)/VLOOKUP('Source VoT'!$F$27,'Annual Parameters'!$B$33:$W$143,22,FALSE)*VLOOKUP($B$14,'Annual Parameters'!$B$33:$W$143,3,FALSE)/VLOOKUP('Source VoT'!$E$27,'Annual Parameters'!$B$33:$W$143,3,FALSE)</f>
        <v>10.427777011386469</v>
      </c>
      <c r="AZ77" s="2875"/>
      <c r="BA77" s="2875"/>
      <c r="BB77" s="2875"/>
      <c r="BC77" s="2875"/>
      <c r="BD77" s="2875"/>
      <c r="BE77" s="2875"/>
      <c r="BF77" s="2875"/>
      <c r="BG77" s="2875"/>
    </row>
    <row r="78" spans="1:59" ht="13.5" customHeight="1">
      <c r="A78" s="90"/>
      <c r="B78" s="82">
        <f t="shared" si="0"/>
        <v>2061</v>
      </c>
      <c r="C78" s="82"/>
      <c r="D78" s="117">
        <f>'Source VoT'!$D$27*VLOOKUP($B78,'Indirect tax correction'!$B$27:$I$127,5,FALSE)*VLOOKUP($B78,'Annual Parameters'!$B$33:$W$143,21,FALSE)/VLOOKUP('Source VoT'!$F$27,'Annual Parameters'!$B$33:$W$143,21,FALSE)*VLOOKUP($B$14,'Annual Parameters'!$B$33:$W$143,3,FALSE)/VLOOKUP('Source VoT'!$E$27,'Annual Parameters'!$B$33:$W$143,3,FALSE)</f>
        <v>34.805586812527544</v>
      </c>
      <c r="E78" s="73">
        <f>'Source VoT'!$D$28*VLOOKUP($B78,'Indirect tax correction'!$B$27:$I$127,5,FALSE)*VLOOKUP($B78,'Annual Parameters'!$B$33:$W$143,21,FALSE)/VLOOKUP('Source VoT'!$F$27,'Annual Parameters'!$B$33:$W$143,21,FALSE)*VLOOKUP($B$14,'Annual Parameters'!$B$33:$W$143,3,FALSE)/VLOOKUP('Source VoT'!$E$27,'Annual Parameters'!$B$33:$W$143,3,FALSE)</f>
        <v>34.805586812527544</v>
      </c>
      <c r="F78" s="73">
        <f>'Source VoT'!$D$29*VLOOKUP($B78,'Indirect tax correction'!$B$27:$I$127,5,FALSE)*VLOOKUP($B78,'Annual Parameters'!$B$33:$W$143,21,FALSE)/VLOOKUP('Source VoT'!$F$27,'Annual Parameters'!$B$33:$W$143,21,FALSE)*VLOOKUP($B$14,'Annual Parameters'!$B$33:$W$143,3,FALSE)/VLOOKUP('Source VoT'!$E$27,'Annual Parameters'!$B$33:$W$143,3,FALSE)</f>
        <v>23.966335503987221</v>
      </c>
      <c r="G78" s="73">
        <f>'Source VoT'!$D$30*VLOOKUP($B78,'Indirect tax correction'!$B$27:$I$127,5,FALSE)*VLOOKUP($B78,'Annual Parameters'!$B$33:$W$143,21,FALSE)/VLOOKUP('Source VoT'!$F$27,'Annual Parameters'!$B$33:$W$143,21,FALSE)*VLOOKUP($B$14,'Annual Parameters'!$B$33:$W$143,3,FALSE)/VLOOKUP('Source VoT'!$E$27,'Annual Parameters'!$B$33:$W$143,3,FALSE)</f>
        <v>28.238112897059015</v>
      </c>
      <c r="H78" s="73">
        <f>'Source VoT'!$D$31*VLOOKUP($B78,'Indirect tax correction'!$B$27:$I$127,5,FALSE)*VLOOKUP($B78,'Annual Parameters'!$B$33:$W$143,21,FALSE)/VLOOKUP('Source VoT'!$F$27,'Annual Parameters'!$B$33:$W$143,21,FALSE)*VLOOKUP($B$14,'Annual Parameters'!$B$33:$W$143,3,FALSE)/VLOOKUP('Source VoT'!$E$27,'Annual Parameters'!$B$33:$W$143,3,FALSE)</f>
        <v>28.848366810354989</v>
      </c>
      <c r="I78" s="73">
        <f>'Source VoT'!$D$32*VLOOKUP($B78,'Indirect tax correction'!$B$27:$I$127,5,FALSE)*VLOOKUP($B78,'Annual Parameters'!$B$33:$W$143,21,FALSE)/VLOOKUP('Source VoT'!$F$27,'Annual Parameters'!$B$33:$W$143,21,FALSE)*VLOOKUP($B$14,'Annual Parameters'!$B$33:$W$143,3,FALSE)/VLOOKUP('Source VoT'!$E$27,'Annual Parameters'!$B$33:$W$143,3,FALSE)</f>
        <v>19.723831555335426</v>
      </c>
      <c r="J78" s="73">
        <f>'Source VoT'!$D$33*VLOOKUP($B78,'Indirect tax correction'!$B$27:$I$127,5,FALSE)*VLOOKUP($B78,'Annual Parameters'!$B$33:$W$143,21,FALSE)/VLOOKUP('Source VoT'!$F$27,'Annual Parameters'!$B$33:$W$143,21,FALSE)*VLOOKUP($B$14,'Annual Parameters'!$B$33:$W$143,3,FALSE)/VLOOKUP('Source VoT'!$E$27,'Annual Parameters'!$B$33:$W$143,3,FALSE)</f>
        <v>25.491970287227147</v>
      </c>
      <c r="K78" s="73">
        <f>'Source VoT'!$D$34*VLOOKUP($B78,'Indirect tax correction'!$B$27:$I$127,5,FALSE)*VLOOKUP($B78,'Annual Parameters'!$B$33:$W$143,21,FALSE)/VLOOKUP('Source VoT'!$F$27,'Annual Parameters'!$B$33:$W$143,21,FALSE)*VLOOKUP($B$14,'Annual Parameters'!$B$33:$W$143,3,FALSE)/VLOOKUP('Source VoT'!$E$27,'Annual Parameters'!$B$33:$W$143,3,FALSE)</f>
        <v>34.805586812527544</v>
      </c>
      <c r="L78" s="73">
        <f>'Source VoT'!$D$35*VLOOKUP($B78,'Indirect tax correction'!$B$27:$I$127,5,FALSE)*VLOOKUP($B78,'Annual Parameters'!$B$33:$W$143,21,FALSE)/VLOOKUP('Source VoT'!$F$27,'Annual Parameters'!$B$33:$W$143,21,FALSE)*VLOOKUP($B$14,'Annual Parameters'!$B$33:$W$143,3,FALSE)/VLOOKUP('Source VoT'!$E$27,'Annual Parameters'!$B$33:$W$143,3,FALSE)</f>
        <v>57.412246554103284</v>
      </c>
      <c r="M78" s="73">
        <f>'Source VoT'!$D$36*VLOOKUP($B78,'Indirect tax correction'!$B$27:$I$127,5,FALSE)*VLOOKUP($B78,'Annual Parameters'!$B$33:$W$143,21,FALSE)/VLOOKUP('Source VoT'!$F$27,'Annual Parameters'!$B$33:$W$143,21,FALSE)*VLOOKUP($B$14,'Annual Parameters'!$B$33:$W$143,3,FALSE)/VLOOKUP('Source VoT'!$E$27,'Annual Parameters'!$B$33:$W$143,3,FALSE)</f>
        <v>19.723831555335426</v>
      </c>
      <c r="N78" s="73">
        <f>'Source VoT'!$D$37*VLOOKUP($B78,'Indirect tax correction'!$B$27:$I$127,5,FALSE)*VLOOKUP($B78,'Annual Parameters'!$B$33:$W$143,21,FALSE)/VLOOKUP('Source VoT'!$F$27,'Annual Parameters'!$B$33:$W$143,21,FALSE)*VLOOKUP($B$14,'Annual Parameters'!$B$33:$W$143,3,FALSE)/VLOOKUP('Source VoT'!$E$27,'Annual Parameters'!$B$33:$W$143,3,FALSE)</f>
        <v>19.723831555335426</v>
      </c>
      <c r="O78" s="73">
        <f>'Source VoT'!$D$38*VLOOKUP($B78,'Indirect tax correction'!$B$27:$I$127,5,FALSE)*VLOOKUP($B78,'Annual Parameters'!$B$33:$W$143,21,FALSE)/VLOOKUP('Source VoT'!$F$27,'Annual Parameters'!$B$33:$W$143,21,FALSE)*VLOOKUP($B$14,'Annual Parameters'!$B$33:$W$143,3,FALSE)/VLOOKUP('Source VoT'!$E$27,'Annual Parameters'!$B$33:$W$143,3,FALSE)</f>
        <v>19.723831555335426</v>
      </c>
      <c r="P78" s="73">
        <f>'Source VoT'!$D$39*VLOOKUP($B78,'Indirect tax correction'!$B$27:$I$127,5,FALSE)*VLOOKUP($B78,'Annual Parameters'!$B$33:$W$143,21,FALSE)/VLOOKUP('Source VoT'!$F$27,'Annual Parameters'!$B$33:$W$143,21,FALSE)*VLOOKUP($B$14,'Annual Parameters'!$B$33:$W$143,3,FALSE)/VLOOKUP('Source VoT'!$E$27,'Annual Parameters'!$B$33:$W$143,3,FALSE)</f>
        <v>34.805586812527544</v>
      </c>
      <c r="Q78" s="74">
        <f>'Source VoT'!$D$40*VLOOKUP($B78,'Indirect tax correction'!$B$27:$I$127,5,FALSE)*VLOOKUP($B78,'Annual Parameters'!$B$33:$W$143,21,FALSE)/VLOOKUP('Source VoT'!$F$27,'Annual Parameters'!$B$33:$W$143,21,FALSE)*VLOOKUP($B$14,'Annual Parameters'!$B$33:$W$143,3,FALSE)/VLOOKUP('Source VoT'!$E$27,'Annual Parameters'!$B$33:$W$143,3,FALSE)</f>
        <v>37.911226324302724</v>
      </c>
      <c r="R78" s="73">
        <f>'Source VoT'!$D$45*VLOOKUP($B78,'Indirect tax correction'!$B$27:$I$127,6,FALSE)*VLOOKUP($B78,'Annual Parameters'!$B$33:$W$143,22,FALSE)/VLOOKUP('Source VoT'!$F$27,'Annual Parameters'!$B$33:$W$143,22,FALSE)*VLOOKUP($B$14,'Annual Parameters'!$B$33:$W$143,3,FALSE)/VLOOKUP('Source VoT'!$E$27,'Annual Parameters'!$B$33:$W$143,3,FALSE)</f>
        <v>19.584243293565248</v>
      </c>
      <c r="S78" s="73">
        <f>'Source VoT'!$D$46*VLOOKUP($B78,'Indirect tax correction'!$B$27:$I$127,6,FALSE)*VLOOKUP($B78,'Annual Parameters'!$B$33:$W$143,22,FALSE)/VLOOKUP('Source VoT'!$F$27,'Annual Parameters'!$B$33:$W$143,22,FALSE)*VLOOKUP($B$14,'Annual Parameters'!$B$33:$W$143,3,FALSE)/VLOOKUP('Source VoT'!$E$27,'Annual Parameters'!$B$33:$W$143,3,FALSE)</f>
        <v>8.9388363647027802</v>
      </c>
      <c r="T78" s="117">
        <f>'Source VoT'!$D$27*1*VLOOKUP($B78,'Annual Parameters'!$B$33:$W$143,21,FALSE)/VLOOKUP('Source VoT'!$F$27,'Annual Parameters'!$B$33:$W$143,21,FALSE)*VLOOKUP($B$14,'Annual Parameters'!$B$33:$W$143,3,FALSE)/VLOOKUP('Source VoT'!$E$27,'Annual Parameters'!$B$33:$W$143,3,FALSE)</f>
        <v>34.805586812527544</v>
      </c>
      <c r="U78" s="73">
        <f>'Source VoT'!$D$28*1*VLOOKUP($B78,'Annual Parameters'!$B$33:$W$143,21,FALSE)/VLOOKUP('Source VoT'!$F$27,'Annual Parameters'!$B$33:$W$143,21,FALSE)*VLOOKUP($B$14,'Annual Parameters'!$B$33:$W$143,3,FALSE)/VLOOKUP('Source VoT'!$E$27,'Annual Parameters'!$B$33:$W$143,3,FALSE)</f>
        <v>34.805586812527544</v>
      </c>
      <c r="V78" s="73">
        <f>'Source VoT'!$D$29*1*VLOOKUP($B78,'Annual Parameters'!$B$33:$W$143,21,FALSE)/VLOOKUP('Source VoT'!$F$27,'Annual Parameters'!$B$33:$W$143,21,FALSE)*VLOOKUP($B$14,'Annual Parameters'!$B$33:$W$143,3,FALSE)/VLOOKUP('Source VoT'!$E$27,'Annual Parameters'!$B$33:$W$143,3,FALSE)</f>
        <v>23.966335503987221</v>
      </c>
      <c r="W78" s="73">
        <f>'Source VoT'!$D$30*1*VLOOKUP($B78,'Annual Parameters'!$B$33:$W$143,21,FALSE)/VLOOKUP('Source VoT'!$F$27,'Annual Parameters'!$B$33:$W$143,21,FALSE)*VLOOKUP($B$14,'Annual Parameters'!$B$33:$W$143,3,FALSE)/VLOOKUP('Source VoT'!$E$27,'Annual Parameters'!$B$33:$W$143,3,FALSE)</f>
        <v>28.238112897059015</v>
      </c>
      <c r="X78" s="73">
        <f>'Source VoT'!$D$31*1*VLOOKUP($B78,'Annual Parameters'!$B$33:$W$143,21,FALSE)/VLOOKUP('Source VoT'!$F$27,'Annual Parameters'!$B$33:$W$143,21,FALSE)*VLOOKUP($B$14,'Annual Parameters'!$B$33:$W$143,3,FALSE)/VLOOKUP('Source VoT'!$E$27,'Annual Parameters'!$B$33:$W$143,3,FALSE)</f>
        <v>28.848366810354989</v>
      </c>
      <c r="Y78" s="73">
        <f>'Source VoT'!$D$32*1*VLOOKUP($B78,'Annual Parameters'!$B$33:$W$143,21,FALSE)/VLOOKUP('Source VoT'!$F$27,'Annual Parameters'!$B$33:$W$143,21,FALSE)*VLOOKUP($B$14,'Annual Parameters'!$B$33:$W$143,3,FALSE)/VLOOKUP('Source VoT'!$E$27,'Annual Parameters'!$B$33:$W$143,3,FALSE)</f>
        <v>19.723831555335426</v>
      </c>
      <c r="Z78" s="73">
        <f>'Source VoT'!$D$33*1*VLOOKUP($B78,'Annual Parameters'!$B$33:$W$143,21,FALSE)/VLOOKUP('Source VoT'!$F$27,'Annual Parameters'!$B$33:$W$143,21,FALSE)*VLOOKUP($B$14,'Annual Parameters'!$B$33:$W$143,3,FALSE)/VLOOKUP('Source VoT'!$E$27,'Annual Parameters'!$B$33:$W$143,3,FALSE)</f>
        <v>25.491970287227147</v>
      </c>
      <c r="AA78" s="73">
        <f>'Source VoT'!$D$34*1*VLOOKUP($B78,'Annual Parameters'!$B$33:$W$143,21,FALSE)/VLOOKUP('Source VoT'!$F$27,'Annual Parameters'!$B$33:$W$143,21,FALSE)*VLOOKUP($B$14,'Annual Parameters'!$B$33:$W$143,3,FALSE)/VLOOKUP('Source VoT'!$E$27,'Annual Parameters'!$B$33:$W$143,3,FALSE)</f>
        <v>34.805586812527544</v>
      </c>
      <c r="AB78" s="73">
        <f>'Source VoT'!$D$35*1*VLOOKUP($B78,'Annual Parameters'!$B$33:$W$143,21,FALSE)/VLOOKUP('Source VoT'!$F$27,'Annual Parameters'!$B$33:$W$143,21,FALSE)*VLOOKUP($B$14,'Annual Parameters'!$B$33:$W$143,3,FALSE)/VLOOKUP('Source VoT'!$E$27,'Annual Parameters'!$B$33:$W$143,3,FALSE)</f>
        <v>57.412246554103284</v>
      </c>
      <c r="AC78" s="73">
        <f>'Source VoT'!$D$36*1*VLOOKUP($B78,'Annual Parameters'!$B$33:$W$143,21,FALSE)/VLOOKUP('Source VoT'!$F$27,'Annual Parameters'!$B$33:$W$143,21,FALSE)*VLOOKUP($B$14,'Annual Parameters'!$B$33:$W$143,3,FALSE)/VLOOKUP('Source VoT'!$E$27,'Annual Parameters'!$B$33:$W$143,3,FALSE)</f>
        <v>19.723831555335426</v>
      </c>
      <c r="AD78" s="73">
        <f>'Source VoT'!$D$37*1*VLOOKUP($B78,'Annual Parameters'!$B$33:$W$143,21,FALSE)/VLOOKUP('Source VoT'!$F$27,'Annual Parameters'!$B$33:$W$143,21,FALSE)*VLOOKUP($B$14,'Annual Parameters'!$B$33:$W$143,3,FALSE)/VLOOKUP('Source VoT'!$E$27,'Annual Parameters'!$B$33:$W$143,3,FALSE)</f>
        <v>19.723831555335426</v>
      </c>
      <c r="AE78" s="73">
        <f>'Source VoT'!$D$38*1*VLOOKUP($B78,'Annual Parameters'!$B$33:$W$143,21,FALSE)/VLOOKUP('Source VoT'!$F$27,'Annual Parameters'!$B$33:$W$143,21,FALSE)*VLOOKUP($B$14,'Annual Parameters'!$B$33:$W$143,3,FALSE)/VLOOKUP('Source VoT'!$E$27,'Annual Parameters'!$B$33:$W$143,3,FALSE)</f>
        <v>19.723831555335426</v>
      </c>
      <c r="AF78" s="73">
        <f>'Source VoT'!$D$39*1*VLOOKUP($B78,'Annual Parameters'!$B$33:$W$143,21,FALSE)/VLOOKUP('Source VoT'!$F$27,'Annual Parameters'!$B$33:$W$143,21,FALSE)*VLOOKUP($B$14,'Annual Parameters'!$B$33:$W$143,3,FALSE)/VLOOKUP('Source VoT'!$E$27,'Annual Parameters'!$B$33:$W$143,3,FALSE)</f>
        <v>34.805586812527544</v>
      </c>
      <c r="AG78" s="74">
        <f>'Source VoT'!$D$40*1*VLOOKUP($B78,'Annual Parameters'!$B$33:$W$143,21,FALSE)/VLOOKUP('Source VoT'!$F$27,'Annual Parameters'!$B$33:$W$143,21,FALSE)*VLOOKUP($B$14,'Annual Parameters'!$B$33:$W$143,3,FALSE)/VLOOKUP('Source VoT'!$E$27,'Annual Parameters'!$B$33:$W$143,3,FALSE)</f>
        <v>37.911226324302724</v>
      </c>
      <c r="AH78" s="73">
        <f>'Source VoT'!$D$45*1*VLOOKUP($B78,'Annual Parameters'!$B$33:$W$143,22,FALSE)/VLOOKUP('Source VoT'!$F$27,'Annual Parameters'!$B$33:$W$143,22,FALSE)*VLOOKUP($B$14,'Annual Parameters'!$B$33:$W$143,3,FALSE)/VLOOKUP('Source VoT'!$E$27,'Annual Parameters'!$B$33:$W$143,3,FALSE)</f>
        <v>23.305249519342645</v>
      </c>
      <c r="AI78" s="73">
        <f>'Source VoT'!$D$46*1*VLOOKUP($B78,'Annual Parameters'!$B$33:$W$143,22,FALSE)/VLOOKUP('Source VoT'!$F$27,'Annual Parameters'!$B$33:$W$143,22,FALSE)*VLOOKUP($B$14,'Annual Parameters'!$B$33:$W$143,3,FALSE)/VLOOKUP('Source VoT'!$E$27,'Annual Parameters'!$B$33:$W$143,3,FALSE)</f>
        <v>10.63721527399631</v>
      </c>
      <c r="AJ78" s="117">
        <f>'Source VoT'!$D$27*VLOOKUP($B78,'Indirect tax correction'!$B$27:$I$127,7,FALSE)*VLOOKUP($B78,'Annual Parameters'!$B$33:$W$143,21,FALSE)/VLOOKUP('Source VoT'!$F$27,'Annual Parameters'!$B$33:$W$143,21,FALSE)*VLOOKUP($B$14,'Annual Parameters'!$B$33:$W$143,3,FALSE)/VLOOKUP('Source VoT'!$E$27,'Annual Parameters'!$B$33:$W$143,3,FALSE)</f>
        <v>41.418648306907784</v>
      </c>
      <c r="AK78" s="73">
        <f>'Source VoT'!$D$28*VLOOKUP($B78,'Indirect tax correction'!$B$27:$I$127,7,FALSE)*VLOOKUP($B78,'Annual Parameters'!$B$33:$W$143,21,FALSE)/VLOOKUP('Source VoT'!$F$27,'Annual Parameters'!$B$33:$W$143,21,FALSE)*VLOOKUP($B$14,'Annual Parameters'!$B$33:$W$143,3,FALSE)/VLOOKUP('Source VoT'!$E$27,'Annual Parameters'!$B$33:$W$143,3,FALSE)</f>
        <v>41.418648306907784</v>
      </c>
      <c r="AL78" s="73">
        <f>'Source VoT'!$D$29*VLOOKUP($B78,'Indirect tax correction'!$B$27:$I$127,7,FALSE)*VLOOKUP($B78,'Annual Parameters'!$B$33:$W$143,21,FALSE)/VLOOKUP('Source VoT'!$F$27,'Annual Parameters'!$B$33:$W$143,21,FALSE)*VLOOKUP($B$14,'Annual Parameters'!$B$33:$W$143,3,FALSE)/VLOOKUP('Source VoT'!$E$27,'Annual Parameters'!$B$33:$W$143,3,FALSE)</f>
        <v>28.519939249744795</v>
      </c>
      <c r="AM78" s="73">
        <f>'Source VoT'!$D$30*VLOOKUP($B78,'Indirect tax correction'!$B$27:$I$127,7,FALSE)*VLOOKUP($B78,'Annual Parameters'!$B$33:$W$143,21,FALSE)/VLOOKUP('Source VoT'!$F$27,'Annual Parameters'!$B$33:$W$143,21,FALSE)*VLOOKUP($B$14,'Annual Parameters'!$B$33:$W$143,3,FALSE)/VLOOKUP('Source VoT'!$E$27,'Annual Parameters'!$B$33:$W$143,3,FALSE)</f>
        <v>33.603354347500222</v>
      </c>
      <c r="AN78" s="73">
        <f>'Source VoT'!$D$31*VLOOKUP($B78,'Indirect tax correction'!$B$27:$I$127,7,FALSE)*VLOOKUP($B78,'Annual Parameters'!$B$33:$W$143,21,FALSE)/VLOOKUP('Source VoT'!$F$27,'Annual Parameters'!$B$33:$W$143,21,FALSE)*VLOOKUP($B$14,'Annual Parameters'!$B$33:$W$143,3,FALSE)/VLOOKUP('Source VoT'!$E$27,'Annual Parameters'!$B$33:$W$143,3,FALSE)</f>
        <v>34.329556504322433</v>
      </c>
      <c r="AO78" s="73">
        <f>'Source VoT'!$D$32*VLOOKUP($B78,'Indirect tax correction'!$B$27:$I$127,7,FALSE)*VLOOKUP($B78,'Annual Parameters'!$B$33:$W$143,21,FALSE)/VLOOKUP('Source VoT'!$F$27,'Annual Parameters'!$B$33:$W$143,21,FALSE)*VLOOKUP($B$14,'Annual Parameters'!$B$33:$W$143,3,FALSE)/VLOOKUP('Source VoT'!$E$27,'Annual Parameters'!$B$33:$W$143,3,FALSE)</f>
        <v>23.471359550849158</v>
      </c>
      <c r="AP78" s="73">
        <f>'Source VoT'!$D$33*VLOOKUP($B78,'Indirect tax correction'!$B$27:$I$127,7,FALSE)*VLOOKUP($B78,'Annual Parameters'!$B$33:$W$143,21,FALSE)/VLOOKUP('Source VoT'!$F$27,'Annual Parameters'!$B$33:$W$143,21,FALSE)*VLOOKUP($B$14,'Annual Parameters'!$B$33:$W$143,3,FALSE)/VLOOKUP('Source VoT'!$E$27,'Annual Parameters'!$B$33:$W$143,3,FALSE)</f>
        <v>30.335444641800301</v>
      </c>
      <c r="AQ78" s="73">
        <f>'Source VoT'!$D$34*VLOOKUP($B78,'Indirect tax correction'!$B$27:$I$127,7,FALSE)*VLOOKUP($B78,'Annual Parameters'!$B$33:$W$143,21,FALSE)/VLOOKUP('Source VoT'!$F$27,'Annual Parameters'!$B$33:$W$143,21,FALSE)*VLOOKUP($B$14,'Annual Parameters'!$B$33:$W$143,3,FALSE)/VLOOKUP('Source VoT'!$E$27,'Annual Parameters'!$B$33:$W$143,3,FALSE)</f>
        <v>41.418648306907784</v>
      </c>
      <c r="AR78" s="73">
        <f>'Source VoT'!$D$35*VLOOKUP($B78,'Indirect tax correction'!$B$27:$I$127,7,FALSE)*VLOOKUP($B78,'Annual Parameters'!$B$33:$W$143,21,FALSE)/VLOOKUP('Source VoT'!$F$27,'Annual Parameters'!$B$33:$W$143,21,FALSE)*VLOOKUP($B$14,'Annual Parameters'!$B$33:$W$143,3,FALSE)/VLOOKUP('Source VoT'!$E$27,'Annual Parameters'!$B$33:$W$143,3,FALSE)</f>
        <v>68.320573399382894</v>
      </c>
      <c r="AS78" s="73">
        <f>'Source VoT'!$D$36*VLOOKUP($B78,'Indirect tax correction'!$B$27:$I$127,7,FALSE)*VLOOKUP($B78,'Annual Parameters'!$B$33:$W$143,21,FALSE)/VLOOKUP('Source VoT'!$F$27,'Annual Parameters'!$B$33:$W$143,21,FALSE)*VLOOKUP($B$14,'Annual Parameters'!$B$33:$W$143,3,FALSE)/VLOOKUP('Source VoT'!$E$27,'Annual Parameters'!$B$33:$W$143,3,FALSE)</f>
        <v>23.471359550849158</v>
      </c>
      <c r="AT78" s="73">
        <f>'Source VoT'!$D$37*VLOOKUP($B78,'Indirect tax correction'!$B$27:$I$127,7,FALSE)*VLOOKUP($B78,'Annual Parameters'!$B$33:$W$143,21,FALSE)/VLOOKUP('Source VoT'!$F$27,'Annual Parameters'!$B$33:$W$143,21,FALSE)*VLOOKUP($B$14,'Annual Parameters'!$B$33:$W$143,3,FALSE)/VLOOKUP('Source VoT'!$E$27,'Annual Parameters'!$B$33:$W$143,3,FALSE)</f>
        <v>23.471359550849158</v>
      </c>
      <c r="AU78" s="73">
        <f>'Source VoT'!$D$38*VLOOKUP($B78,'Indirect tax correction'!$B$27:$I$127,7,FALSE)*VLOOKUP($B78,'Annual Parameters'!$B$33:$W$143,21,FALSE)/VLOOKUP('Source VoT'!$F$27,'Annual Parameters'!$B$33:$W$143,21,FALSE)*VLOOKUP($B$14,'Annual Parameters'!$B$33:$W$143,3,FALSE)/VLOOKUP('Source VoT'!$E$27,'Annual Parameters'!$B$33:$W$143,3,FALSE)</f>
        <v>23.471359550849158</v>
      </c>
      <c r="AV78" s="73">
        <f>'Source VoT'!$D$39*VLOOKUP($B78,'Indirect tax correction'!$B$27:$I$127,7,FALSE)*VLOOKUP($B78,'Annual Parameters'!$B$33:$W$143,21,FALSE)/VLOOKUP('Source VoT'!$F$27,'Annual Parameters'!$B$33:$W$143,21,FALSE)*VLOOKUP($B$14,'Annual Parameters'!$B$33:$W$143,3,FALSE)/VLOOKUP('Source VoT'!$E$27,'Annual Parameters'!$B$33:$W$143,3,FALSE)</f>
        <v>41.418648306907784</v>
      </c>
      <c r="AW78" s="74">
        <f>'Source VoT'!$D$40*VLOOKUP($B78,'Indirect tax correction'!$B$27:$I$127,7,FALSE)*VLOOKUP($B78,'Annual Parameters'!$B$33:$W$143,21,FALSE)/VLOOKUP('Source VoT'!$F$27,'Annual Parameters'!$B$33:$W$143,21,FALSE)*VLOOKUP($B$14,'Annual Parameters'!$B$33:$W$143,3,FALSE)/VLOOKUP('Source VoT'!$E$27,'Annual Parameters'!$B$33:$W$143,3,FALSE)</f>
        <v>45.11435932592024</v>
      </c>
      <c r="AX78" s="73">
        <f>'Source VoT'!$D$45*VLOOKUP($B78,'Indirect tax correction'!$B$27:$I$127,8,FALSE)*VLOOKUP($B78,'Annual Parameters'!$B$33:$W$143,22,FALSE)/VLOOKUP('Source VoT'!$F$27,'Annual Parameters'!$B$33:$W$143,22,FALSE)*VLOOKUP($B$14,'Annual Parameters'!$B$33:$W$143,3,FALSE)/VLOOKUP('Source VoT'!$E$27,'Annual Parameters'!$B$33:$W$143,3,FALSE)</f>
        <v>23.305249519342645</v>
      </c>
      <c r="AY78" s="74">
        <f>'Source VoT'!$D$46*VLOOKUP($B78,'Indirect tax correction'!$B$27:$I$127,8,FALSE)*VLOOKUP($B78,'Annual Parameters'!$B$33:$W$143,22,FALSE)/VLOOKUP('Source VoT'!$F$27,'Annual Parameters'!$B$33:$W$143,22,FALSE)*VLOOKUP($B$14,'Annual Parameters'!$B$33:$W$143,3,FALSE)/VLOOKUP('Source VoT'!$E$27,'Annual Parameters'!$B$33:$W$143,3,FALSE)</f>
        <v>10.63721527399631</v>
      </c>
      <c r="AZ78" s="2875"/>
      <c r="BA78" s="2875"/>
      <c r="BB78" s="2875"/>
      <c r="BC78" s="2875"/>
      <c r="BD78" s="2875"/>
      <c r="BE78" s="2875"/>
      <c r="BF78" s="2875"/>
      <c r="BG78" s="2875"/>
    </row>
    <row r="79" spans="1:59" ht="13.5" customHeight="1">
      <c r="A79" s="90"/>
      <c r="B79" s="82">
        <f t="shared" si="0"/>
        <v>2062</v>
      </c>
      <c r="C79" s="82"/>
      <c r="D79" s="117">
        <f>'Source VoT'!$D$27*VLOOKUP($B79,'Indirect tax correction'!$B$27:$I$127,5,FALSE)*VLOOKUP($B79,'Annual Parameters'!$B$33:$W$143,21,FALSE)/VLOOKUP('Source VoT'!$F$27,'Annual Parameters'!$B$33:$W$143,21,FALSE)*VLOOKUP($B$14,'Annual Parameters'!$B$33:$W$143,3,FALSE)/VLOOKUP('Source VoT'!$E$27,'Annual Parameters'!$B$33:$W$143,3,FALSE)</f>
        <v>35.50945888821726</v>
      </c>
      <c r="E79" s="73">
        <f>'Source VoT'!$D$28*VLOOKUP($B79,'Indirect tax correction'!$B$27:$I$127,5,FALSE)*VLOOKUP($B79,'Annual Parameters'!$B$33:$W$143,21,FALSE)/VLOOKUP('Source VoT'!$F$27,'Annual Parameters'!$B$33:$W$143,21,FALSE)*VLOOKUP($B$14,'Annual Parameters'!$B$33:$W$143,3,FALSE)/VLOOKUP('Source VoT'!$E$27,'Annual Parameters'!$B$33:$W$143,3,FALSE)</f>
        <v>35.50945888821726</v>
      </c>
      <c r="F79" s="73">
        <f>'Source VoT'!$D$29*VLOOKUP($B79,'Indirect tax correction'!$B$27:$I$127,5,FALSE)*VLOOKUP($B79,'Annual Parameters'!$B$33:$W$143,21,FALSE)/VLOOKUP('Source VoT'!$F$27,'Annual Parameters'!$B$33:$W$143,21,FALSE)*VLOOKUP($B$14,'Annual Parameters'!$B$33:$W$143,3,FALSE)/VLOOKUP('Source VoT'!$E$27,'Annual Parameters'!$B$33:$W$143,3,FALSE)</f>
        <v>24.451005807313237</v>
      </c>
      <c r="G79" s="73">
        <f>'Source VoT'!$D$30*VLOOKUP($B79,'Indirect tax correction'!$B$27:$I$127,5,FALSE)*VLOOKUP($B79,'Annual Parameters'!$B$33:$W$143,21,FALSE)/VLOOKUP('Source VoT'!$F$27,'Annual Parameters'!$B$33:$W$143,21,FALSE)*VLOOKUP($B$14,'Annual Parameters'!$B$33:$W$143,3,FALSE)/VLOOKUP('Source VoT'!$E$27,'Annual Parameters'!$B$33:$W$143,3,FALSE)</f>
        <v>28.809171194264898</v>
      </c>
      <c r="H79" s="73">
        <f>'Source VoT'!$D$31*VLOOKUP($B79,'Indirect tax correction'!$B$27:$I$127,5,FALSE)*VLOOKUP($B79,'Annual Parameters'!$B$33:$W$143,21,FALSE)/VLOOKUP('Source VoT'!$F$27,'Annual Parameters'!$B$33:$W$143,21,FALSE)*VLOOKUP($B$14,'Annual Parameters'!$B$33:$W$143,3,FALSE)/VLOOKUP('Source VoT'!$E$27,'Annual Parameters'!$B$33:$W$143,3,FALSE)</f>
        <v>29.431766249543713</v>
      </c>
      <c r="I79" s="73">
        <f>'Source VoT'!$D$32*VLOOKUP($B79,'Indirect tax correction'!$B$27:$I$127,5,FALSE)*VLOOKUP($B79,'Annual Parameters'!$B$33:$W$143,21,FALSE)/VLOOKUP('Source VoT'!$F$27,'Annual Parameters'!$B$33:$W$143,21,FALSE)*VLOOKUP($B$14,'Annual Parameters'!$B$33:$W$143,3,FALSE)/VLOOKUP('Source VoT'!$E$27,'Annual Parameters'!$B$33:$W$143,3,FALSE)</f>
        <v>20.122705860549306</v>
      </c>
      <c r="J79" s="73">
        <f>'Source VoT'!$D$33*VLOOKUP($B79,'Indirect tax correction'!$B$27:$I$127,5,FALSE)*VLOOKUP($B79,'Annual Parameters'!$B$33:$W$143,21,FALSE)/VLOOKUP('Source VoT'!$F$27,'Annual Parameters'!$B$33:$W$143,21,FALSE)*VLOOKUP($B$14,'Annual Parameters'!$B$33:$W$143,3,FALSE)/VLOOKUP('Source VoT'!$E$27,'Annual Parameters'!$B$33:$W$143,3,FALSE)</f>
        <v>26.00749344551026</v>
      </c>
      <c r="K79" s="73">
        <f>'Source VoT'!$D$34*VLOOKUP($B79,'Indirect tax correction'!$B$27:$I$127,5,FALSE)*VLOOKUP($B79,'Annual Parameters'!$B$33:$W$143,21,FALSE)/VLOOKUP('Source VoT'!$F$27,'Annual Parameters'!$B$33:$W$143,21,FALSE)*VLOOKUP($B$14,'Annual Parameters'!$B$33:$W$143,3,FALSE)/VLOOKUP('Source VoT'!$E$27,'Annual Parameters'!$B$33:$W$143,3,FALSE)</f>
        <v>35.50945888821726</v>
      </c>
      <c r="L79" s="73">
        <f>'Source VoT'!$D$35*VLOOKUP($B79,'Indirect tax correction'!$B$27:$I$127,5,FALSE)*VLOOKUP($B79,'Annual Parameters'!$B$33:$W$143,21,FALSE)/VLOOKUP('Source VoT'!$F$27,'Annual Parameters'!$B$33:$W$143,21,FALSE)*VLOOKUP($B$14,'Annual Parameters'!$B$33:$W$143,3,FALSE)/VLOOKUP('Source VoT'!$E$27,'Annual Parameters'!$B$33:$W$143,3,FALSE)</f>
        <v>58.573292261210902</v>
      </c>
      <c r="M79" s="73">
        <f>'Source VoT'!$D$36*VLOOKUP($B79,'Indirect tax correction'!$B$27:$I$127,5,FALSE)*VLOOKUP($B79,'Annual Parameters'!$B$33:$W$143,21,FALSE)/VLOOKUP('Source VoT'!$F$27,'Annual Parameters'!$B$33:$W$143,21,FALSE)*VLOOKUP($B$14,'Annual Parameters'!$B$33:$W$143,3,FALSE)/VLOOKUP('Source VoT'!$E$27,'Annual Parameters'!$B$33:$W$143,3,FALSE)</f>
        <v>20.122705860549306</v>
      </c>
      <c r="N79" s="73">
        <f>'Source VoT'!$D$37*VLOOKUP($B79,'Indirect tax correction'!$B$27:$I$127,5,FALSE)*VLOOKUP($B79,'Annual Parameters'!$B$33:$W$143,21,FALSE)/VLOOKUP('Source VoT'!$F$27,'Annual Parameters'!$B$33:$W$143,21,FALSE)*VLOOKUP($B$14,'Annual Parameters'!$B$33:$W$143,3,FALSE)/VLOOKUP('Source VoT'!$E$27,'Annual Parameters'!$B$33:$W$143,3,FALSE)</f>
        <v>20.122705860549306</v>
      </c>
      <c r="O79" s="73">
        <f>'Source VoT'!$D$38*VLOOKUP($B79,'Indirect tax correction'!$B$27:$I$127,5,FALSE)*VLOOKUP($B79,'Annual Parameters'!$B$33:$W$143,21,FALSE)/VLOOKUP('Source VoT'!$F$27,'Annual Parameters'!$B$33:$W$143,21,FALSE)*VLOOKUP($B$14,'Annual Parameters'!$B$33:$W$143,3,FALSE)/VLOOKUP('Source VoT'!$E$27,'Annual Parameters'!$B$33:$W$143,3,FALSE)</f>
        <v>20.122705860549306</v>
      </c>
      <c r="P79" s="73">
        <f>'Source VoT'!$D$39*VLOOKUP($B79,'Indirect tax correction'!$B$27:$I$127,5,FALSE)*VLOOKUP($B79,'Annual Parameters'!$B$33:$W$143,21,FALSE)/VLOOKUP('Source VoT'!$F$27,'Annual Parameters'!$B$33:$W$143,21,FALSE)*VLOOKUP($B$14,'Annual Parameters'!$B$33:$W$143,3,FALSE)/VLOOKUP('Source VoT'!$E$27,'Annual Parameters'!$B$33:$W$143,3,FALSE)</f>
        <v>35.50945888821726</v>
      </c>
      <c r="Q79" s="74">
        <f>'Source VoT'!$D$40*VLOOKUP($B79,'Indirect tax correction'!$B$27:$I$127,5,FALSE)*VLOOKUP($B79,'Annual Parameters'!$B$33:$W$143,21,FALSE)/VLOOKUP('Source VoT'!$F$27,'Annual Parameters'!$B$33:$W$143,21,FALSE)*VLOOKUP($B$14,'Annual Parameters'!$B$33:$W$143,3,FALSE)/VLOOKUP('Source VoT'!$E$27,'Annual Parameters'!$B$33:$W$143,3,FALSE)</f>
        <v>38.677903631269579</v>
      </c>
      <c r="R79" s="73">
        <f>'Source VoT'!$D$45*VLOOKUP($B79,'Indirect tax correction'!$B$27:$I$127,6,FALSE)*VLOOKUP($B79,'Annual Parameters'!$B$33:$W$143,22,FALSE)/VLOOKUP('Source VoT'!$F$27,'Annual Parameters'!$B$33:$W$143,22,FALSE)*VLOOKUP($B$14,'Annual Parameters'!$B$33:$W$143,3,FALSE)/VLOOKUP('Source VoT'!$E$27,'Annual Parameters'!$B$33:$W$143,3,FALSE)</f>
        <v>19.980294710600766</v>
      </c>
      <c r="S79" s="73">
        <f>'Source VoT'!$D$46*VLOOKUP($B79,'Indirect tax correction'!$B$27:$I$127,6,FALSE)*VLOOKUP($B79,'Annual Parameters'!$B$33:$W$143,22,FALSE)/VLOOKUP('Source VoT'!$F$27,'Annual Parameters'!$B$33:$W$143,22,FALSE)*VLOOKUP($B$14,'Annual Parameters'!$B$33:$W$143,3,FALSE)/VLOOKUP('Source VoT'!$E$27,'Annual Parameters'!$B$33:$W$143,3,FALSE)</f>
        <v>9.1196061169889138</v>
      </c>
      <c r="T79" s="117">
        <f>'Source VoT'!$D$27*1*VLOOKUP($B79,'Annual Parameters'!$B$33:$W$143,21,FALSE)/VLOOKUP('Source VoT'!$F$27,'Annual Parameters'!$B$33:$W$143,21,FALSE)*VLOOKUP($B$14,'Annual Parameters'!$B$33:$W$143,3,FALSE)/VLOOKUP('Source VoT'!$E$27,'Annual Parameters'!$B$33:$W$143,3,FALSE)</f>
        <v>35.50945888821726</v>
      </c>
      <c r="U79" s="73">
        <f>'Source VoT'!$D$28*1*VLOOKUP($B79,'Annual Parameters'!$B$33:$W$143,21,FALSE)/VLOOKUP('Source VoT'!$F$27,'Annual Parameters'!$B$33:$W$143,21,FALSE)*VLOOKUP($B$14,'Annual Parameters'!$B$33:$W$143,3,FALSE)/VLOOKUP('Source VoT'!$E$27,'Annual Parameters'!$B$33:$W$143,3,FALSE)</f>
        <v>35.50945888821726</v>
      </c>
      <c r="V79" s="73">
        <f>'Source VoT'!$D$29*1*VLOOKUP($B79,'Annual Parameters'!$B$33:$W$143,21,FALSE)/VLOOKUP('Source VoT'!$F$27,'Annual Parameters'!$B$33:$W$143,21,FALSE)*VLOOKUP($B$14,'Annual Parameters'!$B$33:$W$143,3,FALSE)/VLOOKUP('Source VoT'!$E$27,'Annual Parameters'!$B$33:$W$143,3,FALSE)</f>
        <v>24.451005807313237</v>
      </c>
      <c r="W79" s="73">
        <f>'Source VoT'!$D$30*1*VLOOKUP($B79,'Annual Parameters'!$B$33:$W$143,21,FALSE)/VLOOKUP('Source VoT'!$F$27,'Annual Parameters'!$B$33:$W$143,21,FALSE)*VLOOKUP($B$14,'Annual Parameters'!$B$33:$W$143,3,FALSE)/VLOOKUP('Source VoT'!$E$27,'Annual Parameters'!$B$33:$W$143,3,FALSE)</f>
        <v>28.809171194264898</v>
      </c>
      <c r="X79" s="73">
        <f>'Source VoT'!$D$31*1*VLOOKUP($B79,'Annual Parameters'!$B$33:$W$143,21,FALSE)/VLOOKUP('Source VoT'!$F$27,'Annual Parameters'!$B$33:$W$143,21,FALSE)*VLOOKUP($B$14,'Annual Parameters'!$B$33:$W$143,3,FALSE)/VLOOKUP('Source VoT'!$E$27,'Annual Parameters'!$B$33:$W$143,3,FALSE)</f>
        <v>29.431766249543713</v>
      </c>
      <c r="Y79" s="73">
        <f>'Source VoT'!$D$32*1*VLOOKUP($B79,'Annual Parameters'!$B$33:$W$143,21,FALSE)/VLOOKUP('Source VoT'!$F$27,'Annual Parameters'!$B$33:$W$143,21,FALSE)*VLOOKUP($B$14,'Annual Parameters'!$B$33:$W$143,3,FALSE)/VLOOKUP('Source VoT'!$E$27,'Annual Parameters'!$B$33:$W$143,3,FALSE)</f>
        <v>20.122705860549306</v>
      </c>
      <c r="Z79" s="73">
        <f>'Source VoT'!$D$33*1*VLOOKUP($B79,'Annual Parameters'!$B$33:$W$143,21,FALSE)/VLOOKUP('Source VoT'!$F$27,'Annual Parameters'!$B$33:$W$143,21,FALSE)*VLOOKUP($B$14,'Annual Parameters'!$B$33:$W$143,3,FALSE)/VLOOKUP('Source VoT'!$E$27,'Annual Parameters'!$B$33:$W$143,3,FALSE)</f>
        <v>26.00749344551026</v>
      </c>
      <c r="AA79" s="73">
        <f>'Source VoT'!$D$34*1*VLOOKUP($B79,'Annual Parameters'!$B$33:$W$143,21,FALSE)/VLOOKUP('Source VoT'!$F$27,'Annual Parameters'!$B$33:$W$143,21,FALSE)*VLOOKUP($B$14,'Annual Parameters'!$B$33:$W$143,3,FALSE)/VLOOKUP('Source VoT'!$E$27,'Annual Parameters'!$B$33:$W$143,3,FALSE)</f>
        <v>35.50945888821726</v>
      </c>
      <c r="AB79" s="73">
        <f>'Source VoT'!$D$35*1*VLOOKUP($B79,'Annual Parameters'!$B$33:$W$143,21,FALSE)/VLOOKUP('Source VoT'!$F$27,'Annual Parameters'!$B$33:$W$143,21,FALSE)*VLOOKUP($B$14,'Annual Parameters'!$B$33:$W$143,3,FALSE)/VLOOKUP('Source VoT'!$E$27,'Annual Parameters'!$B$33:$W$143,3,FALSE)</f>
        <v>58.573292261210902</v>
      </c>
      <c r="AC79" s="73">
        <f>'Source VoT'!$D$36*1*VLOOKUP($B79,'Annual Parameters'!$B$33:$W$143,21,FALSE)/VLOOKUP('Source VoT'!$F$27,'Annual Parameters'!$B$33:$W$143,21,FALSE)*VLOOKUP($B$14,'Annual Parameters'!$B$33:$W$143,3,FALSE)/VLOOKUP('Source VoT'!$E$27,'Annual Parameters'!$B$33:$W$143,3,FALSE)</f>
        <v>20.122705860549306</v>
      </c>
      <c r="AD79" s="73">
        <f>'Source VoT'!$D$37*1*VLOOKUP($B79,'Annual Parameters'!$B$33:$W$143,21,FALSE)/VLOOKUP('Source VoT'!$F$27,'Annual Parameters'!$B$33:$W$143,21,FALSE)*VLOOKUP($B$14,'Annual Parameters'!$B$33:$W$143,3,FALSE)/VLOOKUP('Source VoT'!$E$27,'Annual Parameters'!$B$33:$W$143,3,FALSE)</f>
        <v>20.122705860549306</v>
      </c>
      <c r="AE79" s="73">
        <f>'Source VoT'!$D$38*1*VLOOKUP($B79,'Annual Parameters'!$B$33:$W$143,21,FALSE)/VLOOKUP('Source VoT'!$F$27,'Annual Parameters'!$B$33:$W$143,21,FALSE)*VLOOKUP($B$14,'Annual Parameters'!$B$33:$W$143,3,FALSE)/VLOOKUP('Source VoT'!$E$27,'Annual Parameters'!$B$33:$W$143,3,FALSE)</f>
        <v>20.122705860549306</v>
      </c>
      <c r="AF79" s="73">
        <f>'Source VoT'!$D$39*1*VLOOKUP($B79,'Annual Parameters'!$B$33:$W$143,21,FALSE)/VLOOKUP('Source VoT'!$F$27,'Annual Parameters'!$B$33:$W$143,21,FALSE)*VLOOKUP($B$14,'Annual Parameters'!$B$33:$W$143,3,FALSE)/VLOOKUP('Source VoT'!$E$27,'Annual Parameters'!$B$33:$W$143,3,FALSE)</f>
        <v>35.50945888821726</v>
      </c>
      <c r="AG79" s="74">
        <f>'Source VoT'!$D$40*1*VLOOKUP($B79,'Annual Parameters'!$B$33:$W$143,21,FALSE)/VLOOKUP('Source VoT'!$F$27,'Annual Parameters'!$B$33:$W$143,21,FALSE)*VLOOKUP($B$14,'Annual Parameters'!$B$33:$W$143,3,FALSE)/VLOOKUP('Source VoT'!$E$27,'Annual Parameters'!$B$33:$W$143,3,FALSE)</f>
        <v>38.677903631269579</v>
      </c>
      <c r="AH79" s="73">
        <f>'Source VoT'!$D$45*1*VLOOKUP($B79,'Annual Parameters'!$B$33:$W$143,22,FALSE)/VLOOKUP('Source VoT'!$F$27,'Annual Parameters'!$B$33:$W$143,22,FALSE)*VLOOKUP($B$14,'Annual Parameters'!$B$33:$W$143,3,FALSE)/VLOOKUP('Source VoT'!$E$27,'Annual Parameters'!$B$33:$W$143,3,FALSE)</f>
        <v>23.776550705614913</v>
      </c>
      <c r="AI79" s="73">
        <f>'Source VoT'!$D$46*1*VLOOKUP($B79,'Annual Parameters'!$B$33:$W$143,22,FALSE)/VLOOKUP('Source VoT'!$F$27,'Annual Parameters'!$B$33:$W$143,22,FALSE)*VLOOKUP($B$14,'Annual Parameters'!$B$33:$W$143,3,FALSE)/VLOOKUP('Source VoT'!$E$27,'Annual Parameters'!$B$33:$W$143,3,FALSE)</f>
        <v>10.852331279216806</v>
      </c>
      <c r="AJ79" s="117">
        <f>'Source VoT'!$D$27*VLOOKUP($B79,'Indirect tax correction'!$B$27:$I$127,7,FALSE)*VLOOKUP($B79,'Annual Parameters'!$B$33:$W$143,21,FALSE)/VLOOKUP('Source VoT'!$F$27,'Annual Parameters'!$B$33:$W$143,21,FALSE)*VLOOKUP($B$14,'Annual Parameters'!$B$33:$W$143,3,FALSE)/VLOOKUP('Source VoT'!$E$27,'Annual Parameters'!$B$33:$W$143,3,FALSE)</f>
        <v>42.256256076978531</v>
      </c>
      <c r="AK79" s="73">
        <f>'Source VoT'!$D$28*VLOOKUP($B79,'Indirect tax correction'!$B$27:$I$127,7,FALSE)*VLOOKUP($B79,'Annual Parameters'!$B$33:$W$143,21,FALSE)/VLOOKUP('Source VoT'!$F$27,'Annual Parameters'!$B$33:$W$143,21,FALSE)*VLOOKUP($B$14,'Annual Parameters'!$B$33:$W$143,3,FALSE)/VLOOKUP('Source VoT'!$E$27,'Annual Parameters'!$B$33:$W$143,3,FALSE)</f>
        <v>42.256256076978531</v>
      </c>
      <c r="AL79" s="73">
        <f>'Source VoT'!$D$29*VLOOKUP($B79,'Indirect tax correction'!$B$27:$I$127,7,FALSE)*VLOOKUP($B79,'Annual Parameters'!$B$33:$W$143,21,FALSE)/VLOOKUP('Source VoT'!$F$27,'Annual Parameters'!$B$33:$W$143,21,FALSE)*VLOOKUP($B$14,'Annual Parameters'!$B$33:$W$143,3,FALSE)/VLOOKUP('Source VoT'!$E$27,'Annual Parameters'!$B$33:$W$143,3,FALSE)</f>
        <v>29.09669691070275</v>
      </c>
      <c r="AM79" s="73">
        <f>'Source VoT'!$D$30*VLOOKUP($B79,'Indirect tax correction'!$B$27:$I$127,7,FALSE)*VLOOKUP($B79,'Annual Parameters'!$B$33:$W$143,21,FALSE)/VLOOKUP('Source VoT'!$F$27,'Annual Parameters'!$B$33:$W$143,21,FALSE)*VLOOKUP($B$14,'Annual Parameters'!$B$33:$W$143,3,FALSE)/VLOOKUP('Source VoT'!$E$27,'Annual Parameters'!$B$33:$W$143,3,FALSE)</f>
        <v>34.282913721175227</v>
      </c>
      <c r="AN79" s="73">
        <f>'Source VoT'!$D$31*VLOOKUP($B79,'Indirect tax correction'!$B$27:$I$127,7,FALSE)*VLOOKUP($B79,'Annual Parameters'!$B$33:$W$143,21,FALSE)/VLOOKUP('Source VoT'!$F$27,'Annual Parameters'!$B$33:$W$143,21,FALSE)*VLOOKUP($B$14,'Annual Parameters'!$B$33:$W$143,3,FALSE)/VLOOKUP('Source VoT'!$E$27,'Annual Parameters'!$B$33:$W$143,3,FALSE)</f>
        <v>35.023801836957013</v>
      </c>
      <c r="AO79" s="73">
        <f>'Source VoT'!$D$32*VLOOKUP($B79,'Indirect tax correction'!$B$27:$I$127,7,FALSE)*VLOOKUP($B79,'Annual Parameters'!$B$33:$W$143,21,FALSE)/VLOOKUP('Source VoT'!$F$27,'Annual Parameters'!$B$33:$W$143,21,FALSE)*VLOOKUP($B$14,'Annual Parameters'!$B$33:$W$143,3,FALSE)/VLOOKUP('Source VoT'!$E$27,'Annual Parameters'!$B$33:$W$143,3,FALSE)</f>
        <v>23.946019974053673</v>
      </c>
      <c r="AP79" s="73">
        <f>'Source VoT'!$D$33*VLOOKUP($B79,'Indirect tax correction'!$B$27:$I$127,7,FALSE)*VLOOKUP($B79,'Annual Parameters'!$B$33:$W$143,21,FALSE)/VLOOKUP('Source VoT'!$F$27,'Annual Parameters'!$B$33:$W$143,21,FALSE)*VLOOKUP($B$14,'Annual Parameters'!$B$33:$W$143,3,FALSE)/VLOOKUP('Source VoT'!$E$27,'Annual Parameters'!$B$33:$W$143,3,FALSE)</f>
        <v>30.948917200157201</v>
      </c>
      <c r="AQ79" s="73">
        <f>'Source VoT'!$D$34*VLOOKUP($B79,'Indirect tax correction'!$B$27:$I$127,7,FALSE)*VLOOKUP($B79,'Annual Parameters'!$B$33:$W$143,21,FALSE)/VLOOKUP('Source VoT'!$F$27,'Annual Parameters'!$B$33:$W$143,21,FALSE)*VLOOKUP($B$14,'Annual Parameters'!$B$33:$W$143,3,FALSE)/VLOOKUP('Source VoT'!$E$27,'Annual Parameters'!$B$33:$W$143,3,FALSE)</f>
        <v>42.256256076978531</v>
      </c>
      <c r="AR79" s="73">
        <f>'Source VoT'!$D$35*VLOOKUP($B79,'Indirect tax correction'!$B$27:$I$127,7,FALSE)*VLOOKUP($B79,'Annual Parameters'!$B$33:$W$143,21,FALSE)/VLOOKUP('Source VoT'!$F$27,'Annual Parameters'!$B$33:$W$143,21,FALSE)*VLOOKUP($B$14,'Annual Parameters'!$B$33:$W$143,3,FALSE)/VLOOKUP('Source VoT'!$E$27,'Annual Parameters'!$B$33:$W$143,3,FALSE)</f>
        <v>69.702217790840976</v>
      </c>
      <c r="AS79" s="73">
        <f>'Source VoT'!$D$36*VLOOKUP($B79,'Indirect tax correction'!$B$27:$I$127,7,FALSE)*VLOOKUP($B79,'Annual Parameters'!$B$33:$W$143,21,FALSE)/VLOOKUP('Source VoT'!$F$27,'Annual Parameters'!$B$33:$W$143,21,FALSE)*VLOOKUP($B$14,'Annual Parameters'!$B$33:$W$143,3,FALSE)/VLOOKUP('Source VoT'!$E$27,'Annual Parameters'!$B$33:$W$143,3,FALSE)</f>
        <v>23.946019974053673</v>
      </c>
      <c r="AT79" s="73">
        <f>'Source VoT'!$D$37*VLOOKUP($B79,'Indirect tax correction'!$B$27:$I$127,7,FALSE)*VLOOKUP($B79,'Annual Parameters'!$B$33:$W$143,21,FALSE)/VLOOKUP('Source VoT'!$F$27,'Annual Parameters'!$B$33:$W$143,21,FALSE)*VLOOKUP($B$14,'Annual Parameters'!$B$33:$W$143,3,FALSE)/VLOOKUP('Source VoT'!$E$27,'Annual Parameters'!$B$33:$W$143,3,FALSE)</f>
        <v>23.946019974053673</v>
      </c>
      <c r="AU79" s="73">
        <f>'Source VoT'!$D$38*VLOOKUP($B79,'Indirect tax correction'!$B$27:$I$127,7,FALSE)*VLOOKUP($B79,'Annual Parameters'!$B$33:$W$143,21,FALSE)/VLOOKUP('Source VoT'!$F$27,'Annual Parameters'!$B$33:$W$143,21,FALSE)*VLOOKUP($B$14,'Annual Parameters'!$B$33:$W$143,3,FALSE)/VLOOKUP('Source VoT'!$E$27,'Annual Parameters'!$B$33:$W$143,3,FALSE)</f>
        <v>23.946019974053673</v>
      </c>
      <c r="AV79" s="73">
        <f>'Source VoT'!$D$39*VLOOKUP($B79,'Indirect tax correction'!$B$27:$I$127,7,FALSE)*VLOOKUP($B79,'Annual Parameters'!$B$33:$W$143,21,FALSE)/VLOOKUP('Source VoT'!$F$27,'Annual Parameters'!$B$33:$W$143,21,FALSE)*VLOOKUP($B$14,'Annual Parameters'!$B$33:$W$143,3,FALSE)/VLOOKUP('Source VoT'!$E$27,'Annual Parameters'!$B$33:$W$143,3,FALSE)</f>
        <v>42.256256076978531</v>
      </c>
      <c r="AW79" s="74">
        <f>'Source VoT'!$D$40*VLOOKUP($B79,'Indirect tax correction'!$B$27:$I$127,7,FALSE)*VLOOKUP($B79,'Annual Parameters'!$B$33:$W$143,21,FALSE)/VLOOKUP('Source VoT'!$F$27,'Annual Parameters'!$B$33:$W$143,21,FALSE)*VLOOKUP($B$14,'Annual Parameters'!$B$33:$W$143,3,FALSE)/VLOOKUP('Source VoT'!$E$27,'Annual Parameters'!$B$33:$W$143,3,FALSE)</f>
        <v>46.026705321210805</v>
      </c>
      <c r="AX79" s="73">
        <f>'Source VoT'!$D$45*VLOOKUP($B79,'Indirect tax correction'!$B$27:$I$127,8,FALSE)*VLOOKUP($B79,'Annual Parameters'!$B$33:$W$143,22,FALSE)/VLOOKUP('Source VoT'!$F$27,'Annual Parameters'!$B$33:$W$143,22,FALSE)*VLOOKUP($B$14,'Annual Parameters'!$B$33:$W$143,3,FALSE)/VLOOKUP('Source VoT'!$E$27,'Annual Parameters'!$B$33:$W$143,3,FALSE)</f>
        <v>23.776550705614913</v>
      </c>
      <c r="AY79" s="74">
        <f>'Source VoT'!$D$46*VLOOKUP($B79,'Indirect tax correction'!$B$27:$I$127,8,FALSE)*VLOOKUP($B79,'Annual Parameters'!$B$33:$W$143,22,FALSE)/VLOOKUP('Source VoT'!$F$27,'Annual Parameters'!$B$33:$W$143,22,FALSE)*VLOOKUP($B$14,'Annual Parameters'!$B$33:$W$143,3,FALSE)/VLOOKUP('Source VoT'!$E$27,'Annual Parameters'!$B$33:$W$143,3,FALSE)</f>
        <v>10.852331279216806</v>
      </c>
      <c r="AZ79" s="2875"/>
      <c r="BA79" s="2875"/>
      <c r="BB79" s="2875"/>
      <c r="BC79" s="2875"/>
      <c r="BD79" s="2875"/>
      <c r="BE79" s="2875"/>
      <c r="BF79" s="2875"/>
      <c r="BG79" s="2875"/>
    </row>
    <row r="80" spans="1:59" ht="13.5" customHeight="1">
      <c r="A80" s="90"/>
      <c r="B80" s="82">
        <f t="shared" si="0"/>
        <v>2063</v>
      </c>
      <c r="C80" s="82"/>
      <c r="D80" s="117">
        <f>'Source VoT'!$D$27*VLOOKUP($B80,'Indirect tax correction'!$B$27:$I$127,5,FALSE)*VLOOKUP($B80,'Annual Parameters'!$B$33:$W$143,21,FALSE)/VLOOKUP('Source VoT'!$F$27,'Annual Parameters'!$B$33:$W$143,21,FALSE)*VLOOKUP($B$14,'Annual Parameters'!$B$33:$W$143,3,FALSE)/VLOOKUP('Source VoT'!$E$27,'Annual Parameters'!$B$33:$W$143,3,FALSE)</f>
        <v>36.233199719225993</v>
      </c>
      <c r="E80" s="73">
        <f>'Source VoT'!$D$28*VLOOKUP($B80,'Indirect tax correction'!$B$27:$I$127,5,FALSE)*VLOOKUP($B80,'Annual Parameters'!$B$33:$W$143,21,FALSE)/VLOOKUP('Source VoT'!$F$27,'Annual Parameters'!$B$33:$W$143,21,FALSE)*VLOOKUP($B$14,'Annual Parameters'!$B$33:$W$143,3,FALSE)/VLOOKUP('Source VoT'!$E$27,'Annual Parameters'!$B$33:$W$143,3,FALSE)</f>
        <v>36.233199719225993</v>
      </c>
      <c r="F80" s="73">
        <f>'Source VoT'!$D$29*VLOOKUP($B80,'Indirect tax correction'!$B$27:$I$127,5,FALSE)*VLOOKUP($B80,'Annual Parameters'!$B$33:$W$143,21,FALSE)/VLOOKUP('Source VoT'!$F$27,'Annual Parameters'!$B$33:$W$143,21,FALSE)*VLOOKUP($B$14,'Annual Parameters'!$B$33:$W$143,3,FALSE)/VLOOKUP('Source VoT'!$E$27,'Annual Parameters'!$B$33:$W$143,3,FALSE)</f>
        <v>24.949357283681582</v>
      </c>
      <c r="G80" s="73">
        <f>'Source VoT'!$D$30*VLOOKUP($B80,'Indirect tax correction'!$B$27:$I$127,5,FALSE)*VLOOKUP($B80,'Annual Parameters'!$B$33:$W$143,21,FALSE)/VLOOKUP('Source VoT'!$F$27,'Annual Parameters'!$B$33:$W$143,21,FALSE)*VLOOKUP($B$14,'Annual Parameters'!$B$33:$W$143,3,FALSE)/VLOOKUP('Source VoT'!$E$27,'Annual Parameters'!$B$33:$W$143,3,FALSE)</f>
        <v>29.396349206930378</v>
      </c>
      <c r="H80" s="73">
        <f>'Source VoT'!$D$31*VLOOKUP($B80,'Indirect tax correction'!$B$27:$I$127,5,FALSE)*VLOOKUP($B80,'Annual Parameters'!$B$33:$W$143,21,FALSE)/VLOOKUP('Source VoT'!$F$27,'Annual Parameters'!$B$33:$W$143,21,FALSE)*VLOOKUP($B$14,'Annual Parameters'!$B$33:$W$143,3,FALSE)/VLOOKUP('Source VoT'!$E$27,'Annual Parameters'!$B$33:$W$143,3,FALSE)</f>
        <v>30.031633767394499</v>
      </c>
      <c r="I80" s="73">
        <f>'Source VoT'!$D$32*VLOOKUP($B80,'Indirect tax correction'!$B$27:$I$127,5,FALSE)*VLOOKUP($B80,'Annual Parameters'!$B$33:$W$143,21,FALSE)/VLOOKUP('Source VoT'!$F$27,'Annual Parameters'!$B$33:$W$143,21,FALSE)*VLOOKUP($B$14,'Annual Parameters'!$B$33:$W$143,3,FALSE)/VLOOKUP('Source VoT'!$E$27,'Annual Parameters'!$B$33:$W$143,3,FALSE)</f>
        <v>20.532839507122297</v>
      </c>
      <c r="J80" s="73">
        <f>'Source VoT'!$D$33*VLOOKUP($B80,'Indirect tax correction'!$B$27:$I$127,5,FALSE)*VLOOKUP($B80,'Annual Parameters'!$B$33:$W$143,21,FALSE)/VLOOKUP('Source VoT'!$F$27,'Annual Parameters'!$B$33:$W$143,21,FALSE)*VLOOKUP($B$14,'Annual Parameters'!$B$33:$W$143,3,FALSE)/VLOOKUP('Source VoT'!$E$27,'Annual Parameters'!$B$33:$W$143,3,FALSE)</f>
        <v>26.537568684841869</v>
      </c>
      <c r="K80" s="73">
        <f>'Source VoT'!$D$34*VLOOKUP($B80,'Indirect tax correction'!$B$27:$I$127,5,FALSE)*VLOOKUP($B80,'Annual Parameters'!$B$33:$W$143,21,FALSE)/VLOOKUP('Source VoT'!$F$27,'Annual Parameters'!$B$33:$W$143,21,FALSE)*VLOOKUP($B$14,'Annual Parameters'!$B$33:$W$143,3,FALSE)/VLOOKUP('Source VoT'!$E$27,'Annual Parameters'!$B$33:$W$143,3,FALSE)</f>
        <v>36.233199719225993</v>
      </c>
      <c r="L80" s="73">
        <f>'Source VoT'!$D$35*VLOOKUP($B80,'Indirect tax correction'!$B$27:$I$127,5,FALSE)*VLOOKUP($B80,'Annual Parameters'!$B$33:$W$143,21,FALSE)/VLOOKUP('Source VoT'!$F$27,'Annual Parameters'!$B$33:$W$143,21,FALSE)*VLOOKUP($B$14,'Annual Parameters'!$B$33:$W$143,3,FALSE)/VLOOKUP('Source VoT'!$E$27,'Annual Parameters'!$B$33:$W$143,3,FALSE)</f>
        <v>59.767111726314397</v>
      </c>
      <c r="M80" s="73">
        <f>'Source VoT'!$D$36*VLOOKUP($B80,'Indirect tax correction'!$B$27:$I$127,5,FALSE)*VLOOKUP($B80,'Annual Parameters'!$B$33:$W$143,21,FALSE)/VLOOKUP('Source VoT'!$F$27,'Annual Parameters'!$B$33:$W$143,21,FALSE)*VLOOKUP($B$14,'Annual Parameters'!$B$33:$W$143,3,FALSE)/VLOOKUP('Source VoT'!$E$27,'Annual Parameters'!$B$33:$W$143,3,FALSE)</f>
        <v>20.532839507122297</v>
      </c>
      <c r="N80" s="73">
        <f>'Source VoT'!$D$37*VLOOKUP($B80,'Indirect tax correction'!$B$27:$I$127,5,FALSE)*VLOOKUP($B80,'Annual Parameters'!$B$33:$W$143,21,FALSE)/VLOOKUP('Source VoT'!$F$27,'Annual Parameters'!$B$33:$W$143,21,FALSE)*VLOOKUP($B$14,'Annual Parameters'!$B$33:$W$143,3,FALSE)/VLOOKUP('Source VoT'!$E$27,'Annual Parameters'!$B$33:$W$143,3,FALSE)</f>
        <v>20.532839507122297</v>
      </c>
      <c r="O80" s="73">
        <f>'Source VoT'!$D$38*VLOOKUP($B80,'Indirect tax correction'!$B$27:$I$127,5,FALSE)*VLOOKUP($B80,'Annual Parameters'!$B$33:$W$143,21,FALSE)/VLOOKUP('Source VoT'!$F$27,'Annual Parameters'!$B$33:$W$143,21,FALSE)*VLOOKUP($B$14,'Annual Parameters'!$B$33:$W$143,3,FALSE)/VLOOKUP('Source VoT'!$E$27,'Annual Parameters'!$B$33:$W$143,3,FALSE)</f>
        <v>20.532839507122297</v>
      </c>
      <c r="P80" s="73">
        <f>'Source VoT'!$D$39*VLOOKUP($B80,'Indirect tax correction'!$B$27:$I$127,5,FALSE)*VLOOKUP($B80,'Annual Parameters'!$B$33:$W$143,21,FALSE)/VLOOKUP('Source VoT'!$F$27,'Annual Parameters'!$B$33:$W$143,21,FALSE)*VLOOKUP($B$14,'Annual Parameters'!$B$33:$W$143,3,FALSE)/VLOOKUP('Source VoT'!$E$27,'Annual Parameters'!$B$33:$W$143,3,FALSE)</f>
        <v>36.233199719225993</v>
      </c>
      <c r="Q80" s="74">
        <f>'Source VoT'!$D$40*VLOOKUP($B80,'Indirect tax correction'!$B$27:$I$127,5,FALSE)*VLOOKUP($B80,'Annual Parameters'!$B$33:$W$143,21,FALSE)/VLOOKUP('Source VoT'!$F$27,'Annual Parameters'!$B$33:$W$143,21,FALSE)*VLOOKUP($B$14,'Annual Parameters'!$B$33:$W$143,3,FALSE)/VLOOKUP('Source VoT'!$E$27,'Annual Parameters'!$B$33:$W$143,3,FALSE)</f>
        <v>39.466222546629311</v>
      </c>
      <c r="R80" s="73">
        <f>'Source VoT'!$D$45*VLOOKUP($B80,'Indirect tax correction'!$B$27:$I$127,6,FALSE)*VLOOKUP($B80,'Annual Parameters'!$B$33:$W$143,22,FALSE)/VLOOKUP('Source VoT'!$F$27,'Annual Parameters'!$B$33:$W$143,22,FALSE)*VLOOKUP($B$14,'Annual Parameters'!$B$33:$W$143,3,FALSE)/VLOOKUP('Source VoT'!$E$27,'Annual Parameters'!$B$33:$W$143,3,FALSE)</f>
        <v>20.38752578509196</v>
      </c>
      <c r="S80" s="73">
        <f>'Source VoT'!$D$46*VLOOKUP($B80,'Indirect tax correction'!$B$27:$I$127,6,FALSE)*VLOOKUP($B80,'Annual Parameters'!$B$33:$W$143,22,FALSE)/VLOOKUP('Source VoT'!$F$27,'Annual Parameters'!$B$33:$W$143,22,FALSE)*VLOOKUP($B$14,'Annual Parameters'!$B$33:$W$143,3,FALSE)/VLOOKUP('Source VoT'!$E$27,'Annual Parameters'!$B$33:$W$143,3,FALSE)</f>
        <v>9.3054786004406953</v>
      </c>
      <c r="T80" s="117">
        <f>'Source VoT'!$D$27*1*VLOOKUP($B80,'Annual Parameters'!$B$33:$W$143,21,FALSE)/VLOOKUP('Source VoT'!$F$27,'Annual Parameters'!$B$33:$W$143,21,FALSE)*VLOOKUP($B$14,'Annual Parameters'!$B$33:$W$143,3,FALSE)/VLOOKUP('Source VoT'!$E$27,'Annual Parameters'!$B$33:$W$143,3,FALSE)</f>
        <v>36.233199719225993</v>
      </c>
      <c r="U80" s="73">
        <f>'Source VoT'!$D$28*1*VLOOKUP($B80,'Annual Parameters'!$B$33:$W$143,21,FALSE)/VLOOKUP('Source VoT'!$F$27,'Annual Parameters'!$B$33:$W$143,21,FALSE)*VLOOKUP($B$14,'Annual Parameters'!$B$33:$W$143,3,FALSE)/VLOOKUP('Source VoT'!$E$27,'Annual Parameters'!$B$33:$W$143,3,FALSE)</f>
        <v>36.233199719225993</v>
      </c>
      <c r="V80" s="73">
        <f>'Source VoT'!$D$29*1*VLOOKUP($B80,'Annual Parameters'!$B$33:$W$143,21,FALSE)/VLOOKUP('Source VoT'!$F$27,'Annual Parameters'!$B$33:$W$143,21,FALSE)*VLOOKUP($B$14,'Annual Parameters'!$B$33:$W$143,3,FALSE)/VLOOKUP('Source VoT'!$E$27,'Annual Parameters'!$B$33:$W$143,3,FALSE)</f>
        <v>24.949357283681582</v>
      </c>
      <c r="W80" s="73">
        <f>'Source VoT'!$D$30*1*VLOOKUP($B80,'Annual Parameters'!$B$33:$W$143,21,FALSE)/VLOOKUP('Source VoT'!$F$27,'Annual Parameters'!$B$33:$W$143,21,FALSE)*VLOOKUP($B$14,'Annual Parameters'!$B$33:$W$143,3,FALSE)/VLOOKUP('Source VoT'!$E$27,'Annual Parameters'!$B$33:$W$143,3,FALSE)</f>
        <v>29.396349206930378</v>
      </c>
      <c r="X80" s="73">
        <f>'Source VoT'!$D$31*1*VLOOKUP($B80,'Annual Parameters'!$B$33:$W$143,21,FALSE)/VLOOKUP('Source VoT'!$F$27,'Annual Parameters'!$B$33:$W$143,21,FALSE)*VLOOKUP($B$14,'Annual Parameters'!$B$33:$W$143,3,FALSE)/VLOOKUP('Source VoT'!$E$27,'Annual Parameters'!$B$33:$W$143,3,FALSE)</f>
        <v>30.031633767394499</v>
      </c>
      <c r="Y80" s="73">
        <f>'Source VoT'!$D$32*1*VLOOKUP($B80,'Annual Parameters'!$B$33:$W$143,21,FALSE)/VLOOKUP('Source VoT'!$F$27,'Annual Parameters'!$B$33:$W$143,21,FALSE)*VLOOKUP($B$14,'Annual Parameters'!$B$33:$W$143,3,FALSE)/VLOOKUP('Source VoT'!$E$27,'Annual Parameters'!$B$33:$W$143,3,FALSE)</f>
        <v>20.532839507122297</v>
      </c>
      <c r="Z80" s="73">
        <f>'Source VoT'!$D$33*1*VLOOKUP($B80,'Annual Parameters'!$B$33:$W$143,21,FALSE)/VLOOKUP('Source VoT'!$F$27,'Annual Parameters'!$B$33:$W$143,21,FALSE)*VLOOKUP($B$14,'Annual Parameters'!$B$33:$W$143,3,FALSE)/VLOOKUP('Source VoT'!$E$27,'Annual Parameters'!$B$33:$W$143,3,FALSE)</f>
        <v>26.537568684841869</v>
      </c>
      <c r="AA80" s="73">
        <f>'Source VoT'!$D$34*1*VLOOKUP($B80,'Annual Parameters'!$B$33:$W$143,21,FALSE)/VLOOKUP('Source VoT'!$F$27,'Annual Parameters'!$B$33:$W$143,21,FALSE)*VLOOKUP($B$14,'Annual Parameters'!$B$33:$W$143,3,FALSE)/VLOOKUP('Source VoT'!$E$27,'Annual Parameters'!$B$33:$W$143,3,FALSE)</f>
        <v>36.233199719225993</v>
      </c>
      <c r="AB80" s="73">
        <f>'Source VoT'!$D$35*1*VLOOKUP($B80,'Annual Parameters'!$B$33:$W$143,21,FALSE)/VLOOKUP('Source VoT'!$F$27,'Annual Parameters'!$B$33:$W$143,21,FALSE)*VLOOKUP($B$14,'Annual Parameters'!$B$33:$W$143,3,FALSE)/VLOOKUP('Source VoT'!$E$27,'Annual Parameters'!$B$33:$W$143,3,FALSE)</f>
        <v>59.767111726314397</v>
      </c>
      <c r="AC80" s="73">
        <f>'Source VoT'!$D$36*1*VLOOKUP($B80,'Annual Parameters'!$B$33:$W$143,21,FALSE)/VLOOKUP('Source VoT'!$F$27,'Annual Parameters'!$B$33:$W$143,21,FALSE)*VLOOKUP($B$14,'Annual Parameters'!$B$33:$W$143,3,FALSE)/VLOOKUP('Source VoT'!$E$27,'Annual Parameters'!$B$33:$W$143,3,FALSE)</f>
        <v>20.532839507122297</v>
      </c>
      <c r="AD80" s="73">
        <f>'Source VoT'!$D$37*1*VLOOKUP($B80,'Annual Parameters'!$B$33:$W$143,21,FALSE)/VLOOKUP('Source VoT'!$F$27,'Annual Parameters'!$B$33:$W$143,21,FALSE)*VLOOKUP($B$14,'Annual Parameters'!$B$33:$W$143,3,FALSE)/VLOOKUP('Source VoT'!$E$27,'Annual Parameters'!$B$33:$W$143,3,FALSE)</f>
        <v>20.532839507122297</v>
      </c>
      <c r="AE80" s="73">
        <f>'Source VoT'!$D$38*1*VLOOKUP($B80,'Annual Parameters'!$B$33:$W$143,21,FALSE)/VLOOKUP('Source VoT'!$F$27,'Annual Parameters'!$B$33:$W$143,21,FALSE)*VLOOKUP($B$14,'Annual Parameters'!$B$33:$W$143,3,FALSE)/VLOOKUP('Source VoT'!$E$27,'Annual Parameters'!$B$33:$W$143,3,FALSE)</f>
        <v>20.532839507122297</v>
      </c>
      <c r="AF80" s="73">
        <f>'Source VoT'!$D$39*1*VLOOKUP($B80,'Annual Parameters'!$B$33:$W$143,21,FALSE)/VLOOKUP('Source VoT'!$F$27,'Annual Parameters'!$B$33:$W$143,21,FALSE)*VLOOKUP($B$14,'Annual Parameters'!$B$33:$W$143,3,FALSE)/VLOOKUP('Source VoT'!$E$27,'Annual Parameters'!$B$33:$W$143,3,FALSE)</f>
        <v>36.233199719225993</v>
      </c>
      <c r="AG80" s="74">
        <f>'Source VoT'!$D$40*1*VLOOKUP($B80,'Annual Parameters'!$B$33:$W$143,21,FALSE)/VLOOKUP('Source VoT'!$F$27,'Annual Parameters'!$B$33:$W$143,21,FALSE)*VLOOKUP($B$14,'Annual Parameters'!$B$33:$W$143,3,FALSE)/VLOOKUP('Source VoT'!$E$27,'Annual Parameters'!$B$33:$W$143,3,FALSE)</f>
        <v>39.466222546629311</v>
      </c>
      <c r="AH80" s="73">
        <f>'Source VoT'!$D$45*1*VLOOKUP($B80,'Annual Parameters'!$B$33:$W$143,22,FALSE)/VLOOKUP('Source VoT'!$F$27,'Annual Parameters'!$B$33:$W$143,22,FALSE)*VLOOKUP($B$14,'Annual Parameters'!$B$33:$W$143,3,FALSE)/VLOOKUP('Source VoT'!$E$27,'Annual Parameters'!$B$33:$W$143,3,FALSE)</f>
        <v>24.261155684259435</v>
      </c>
      <c r="AI80" s="73">
        <f>'Source VoT'!$D$46*1*VLOOKUP($B80,'Annual Parameters'!$B$33:$W$143,22,FALSE)/VLOOKUP('Source VoT'!$F$27,'Annual Parameters'!$B$33:$W$143,22,FALSE)*VLOOKUP($B$14,'Annual Parameters'!$B$33:$W$143,3,FALSE)/VLOOKUP('Source VoT'!$E$27,'Annual Parameters'!$B$33:$W$143,3,FALSE)</f>
        <v>11.073519534524426</v>
      </c>
      <c r="AJ80" s="117">
        <f>'Source VoT'!$D$27*VLOOKUP($B80,'Indirect tax correction'!$B$27:$I$127,7,FALSE)*VLOOKUP($B80,'Annual Parameters'!$B$33:$W$143,21,FALSE)/VLOOKUP('Source VoT'!$F$27,'Annual Parameters'!$B$33:$W$143,21,FALSE)*VLOOKUP($B$14,'Annual Parameters'!$B$33:$W$143,3,FALSE)/VLOOKUP('Source VoT'!$E$27,'Annual Parameters'!$B$33:$W$143,3,FALSE)</f>
        <v>43.117507665878932</v>
      </c>
      <c r="AK80" s="73">
        <f>'Source VoT'!$D$28*VLOOKUP($B80,'Indirect tax correction'!$B$27:$I$127,7,FALSE)*VLOOKUP($B80,'Annual Parameters'!$B$33:$W$143,21,FALSE)/VLOOKUP('Source VoT'!$F$27,'Annual Parameters'!$B$33:$W$143,21,FALSE)*VLOOKUP($B$14,'Annual Parameters'!$B$33:$W$143,3,FALSE)/VLOOKUP('Source VoT'!$E$27,'Annual Parameters'!$B$33:$W$143,3,FALSE)</f>
        <v>43.117507665878932</v>
      </c>
      <c r="AL80" s="73">
        <f>'Source VoT'!$D$29*VLOOKUP($B80,'Indirect tax correction'!$B$27:$I$127,7,FALSE)*VLOOKUP($B80,'Annual Parameters'!$B$33:$W$143,21,FALSE)/VLOOKUP('Source VoT'!$F$27,'Annual Parameters'!$B$33:$W$143,21,FALSE)*VLOOKUP($B$14,'Annual Parameters'!$B$33:$W$143,3,FALSE)/VLOOKUP('Source VoT'!$E$27,'Annual Parameters'!$B$33:$W$143,3,FALSE)</f>
        <v>29.68973516758108</v>
      </c>
      <c r="AM80" s="73">
        <f>'Source VoT'!$D$30*VLOOKUP($B80,'Indirect tax correction'!$B$27:$I$127,7,FALSE)*VLOOKUP($B80,'Annual Parameters'!$B$33:$W$143,21,FALSE)/VLOOKUP('Source VoT'!$F$27,'Annual Parameters'!$B$33:$W$143,21,FALSE)*VLOOKUP($B$14,'Annual Parameters'!$B$33:$W$143,3,FALSE)/VLOOKUP('Source VoT'!$E$27,'Annual Parameters'!$B$33:$W$143,3,FALSE)</f>
        <v>34.981655556247148</v>
      </c>
      <c r="AN80" s="73">
        <f>'Source VoT'!$D$31*VLOOKUP($B80,'Indirect tax correction'!$B$27:$I$127,7,FALSE)*VLOOKUP($B80,'Annual Parameters'!$B$33:$W$143,21,FALSE)/VLOOKUP('Source VoT'!$F$27,'Annual Parameters'!$B$33:$W$143,21,FALSE)*VLOOKUP($B$14,'Annual Parameters'!$B$33:$W$143,3,FALSE)/VLOOKUP('Source VoT'!$E$27,'Annual Parameters'!$B$33:$W$143,3,FALSE)</f>
        <v>35.73764418319945</v>
      </c>
      <c r="AO80" s="73">
        <f>'Source VoT'!$D$32*VLOOKUP($B80,'Indirect tax correction'!$B$27:$I$127,7,FALSE)*VLOOKUP($B80,'Annual Parameters'!$B$33:$W$143,21,FALSE)/VLOOKUP('Source VoT'!$F$27,'Annual Parameters'!$B$33:$W$143,21,FALSE)*VLOOKUP($B$14,'Annual Parameters'!$B$33:$W$143,3,FALSE)/VLOOKUP('Source VoT'!$E$27,'Annual Parameters'!$B$33:$W$143,3,FALSE)</f>
        <v>24.434079013475536</v>
      </c>
      <c r="AP80" s="73">
        <f>'Source VoT'!$D$33*VLOOKUP($B80,'Indirect tax correction'!$B$27:$I$127,7,FALSE)*VLOOKUP($B80,'Annual Parameters'!$B$33:$W$143,21,FALSE)/VLOOKUP('Source VoT'!$F$27,'Annual Parameters'!$B$33:$W$143,21,FALSE)*VLOOKUP($B$14,'Annual Parameters'!$B$33:$W$143,3,FALSE)/VLOOKUP('Source VoT'!$E$27,'Annual Parameters'!$B$33:$W$143,3,FALSE)</f>
        <v>31.579706734961817</v>
      </c>
      <c r="AQ80" s="73">
        <f>'Source VoT'!$D$34*VLOOKUP($B80,'Indirect tax correction'!$B$27:$I$127,7,FALSE)*VLOOKUP($B80,'Annual Parameters'!$B$33:$W$143,21,FALSE)/VLOOKUP('Source VoT'!$F$27,'Annual Parameters'!$B$33:$W$143,21,FALSE)*VLOOKUP($B$14,'Annual Parameters'!$B$33:$W$143,3,FALSE)/VLOOKUP('Source VoT'!$E$27,'Annual Parameters'!$B$33:$W$143,3,FALSE)</f>
        <v>43.117507665878932</v>
      </c>
      <c r="AR80" s="73">
        <f>'Source VoT'!$D$35*VLOOKUP($B80,'Indirect tax correction'!$B$27:$I$127,7,FALSE)*VLOOKUP($B80,'Annual Parameters'!$B$33:$W$143,21,FALSE)/VLOOKUP('Source VoT'!$F$27,'Annual Parameters'!$B$33:$W$143,21,FALSE)*VLOOKUP($B$14,'Annual Parameters'!$B$33:$W$143,3,FALSE)/VLOOKUP('Source VoT'!$E$27,'Annual Parameters'!$B$33:$W$143,3,FALSE)</f>
        <v>71.12286295431413</v>
      </c>
      <c r="AS80" s="73">
        <f>'Source VoT'!$D$36*VLOOKUP($B80,'Indirect tax correction'!$B$27:$I$127,7,FALSE)*VLOOKUP($B80,'Annual Parameters'!$B$33:$W$143,21,FALSE)/VLOOKUP('Source VoT'!$F$27,'Annual Parameters'!$B$33:$W$143,21,FALSE)*VLOOKUP($B$14,'Annual Parameters'!$B$33:$W$143,3,FALSE)/VLOOKUP('Source VoT'!$E$27,'Annual Parameters'!$B$33:$W$143,3,FALSE)</f>
        <v>24.434079013475536</v>
      </c>
      <c r="AT80" s="73">
        <f>'Source VoT'!$D$37*VLOOKUP($B80,'Indirect tax correction'!$B$27:$I$127,7,FALSE)*VLOOKUP($B80,'Annual Parameters'!$B$33:$W$143,21,FALSE)/VLOOKUP('Source VoT'!$F$27,'Annual Parameters'!$B$33:$W$143,21,FALSE)*VLOOKUP($B$14,'Annual Parameters'!$B$33:$W$143,3,FALSE)/VLOOKUP('Source VoT'!$E$27,'Annual Parameters'!$B$33:$W$143,3,FALSE)</f>
        <v>24.434079013475536</v>
      </c>
      <c r="AU80" s="73">
        <f>'Source VoT'!$D$38*VLOOKUP($B80,'Indirect tax correction'!$B$27:$I$127,7,FALSE)*VLOOKUP($B80,'Annual Parameters'!$B$33:$W$143,21,FALSE)/VLOOKUP('Source VoT'!$F$27,'Annual Parameters'!$B$33:$W$143,21,FALSE)*VLOOKUP($B$14,'Annual Parameters'!$B$33:$W$143,3,FALSE)/VLOOKUP('Source VoT'!$E$27,'Annual Parameters'!$B$33:$W$143,3,FALSE)</f>
        <v>24.434079013475536</v>
      </c>
      <c r="AV80" s="73">
        <f>'Source VoT'!$D$39*VLOOKUP($B80,'Indirect tax correction'!$B$27:$I$127,7,FALSE)*VLOOKUP($B80,'Annual Parameters'!$B$33:$W$143,21,FALSE)/VLOOKUP('Source VoT'!$F$27,'Annual Parameters'!$B$33:$W$143,21,FALSE)*VLOOKUP($B$14,'Annual Parameters'!$B$33:$W$143,3,FALSE)/VLOOKUP('Source VoT'!$E$27,'Annual Parameters'!$B$33:$W$143,3,FALSE)</f>
        <v>43.117507665878932</v>
      </c>
      <c r="AW80" s="74">
        <f>'Source VoT'!$D$40*VLOOKUP($B80,'Indirect tax correction'!$B$27:$I$127,7,FALSE)*VLOOKUP($B80,'Annual Parameters'!$B$33:$W$143,21,FALSE)/VLOOKUP('Source VoT'!$F$27,'Annual Parameters'!$B$33:$W$143,21,FALSE)*VLOOKUP($B$14,'Annual Parameters'!$B$33:$W$143,3,FALSE)/VLOOKUP('Source VoT'!$E$27,'Annual Parameters'!$B$33:$W$143,3,FALSE)</f>
        <v>46.96480483048888</v>
      </c>
      <c r="AX80" s="73">
        <f>'Source VoT'!$D$45*VLOOKUP($B80,'Indirect tax correction'!$B$27:$I$127,8,FALSE)*VLOOKUP($B80,'Annual Parameters'!$B$33:$W$143,22,FALSE)/VLOOKUP('Source VoT'!$F$27,'Annual Parameters'!$B$33:$W$143,22,FALSE)*VLOOKUP($B$14,'Annual Parameters'!$B$33:$W$143,3,FALSE)/VLOOKUP('Source VoT'!$E$27,'Annual Parameters'!$B$33:$W$143,3,FALSE)</f>
        <v>24.261155684259435</v>
      </c>
      <c r="AY80" s="74">
        <f>'Source VoT'!$D$46*VLOOKUP($B80,'Indirect tax correction'!$B$27:$I$127,8,FALSE)*VLOOKUP($B80,'Annual Parameters'!$B$33:$W$143,22,FALSE)/VLOOKUP('Source VoT'!$F$27,'Annual Parameters'!$B$33:$W$143,22,FALSE)*VLOOKUP($B$14,'Annual Parameters'!$B$33:$W$143,3,FALSE)/VLOOKUP('Source VoT'!$E$27,'Annual Parameters'!$B$33:$W$143,3,FALSE)</f>
        <v>11.073519534524426</v>
      </c>
      <c r="AZ80" s="2875"/>
      <c r="BA80" s="2875"/>
      <c r="BB80" s="2875"/>
      <c r="BC80" s="2875"/>
      <c r="BD80" s="2875"/>
      <c r="BE80" s="2875"/>
      <c r="BF80" s="2875"/>
      <c r="BG80" s="2875"/>
    </row>
    <row r="81" spans="1:59" ht="13.5" customHeight="1">
      <c r="A81" s="90"/>
      <c r="B81" s="82">
        <f t="shared" si="0"/>
        <v>2064</v>
      </c>
      <c r="C81" s="82"/>
      <c r="D81" s="117">
        <f>'Source VoT'!$D$27*VLOOKUP($B81,'Indirect tax correction'!$B$27:$I$127,5,FALSE)*VLOOKUP($B81,'Annual Parameters'!$B$33:$W$143,21,FALSE)/VLOOKUP('Source VoT'!$F$27,'Annual Parameters'!$B$33:$W$143,21,FALSE)*VLOOKUP($B$14,'Annual Parameters'!$B$33:$W$143,3,FALSE)/VLOOKUP('Source VoT'!$E$27,'Annual Parameters'!$B$33:$W$143,3,FALSE)</f>
        <v>36.981159203748035</v>
      </c>
      <c r="E81" s="73">
        <f>'Source VoT'!$D$28*VLOOKUP($B81,'Indirect tax correction'!$B$27:$I$127,5,FALSE)*VLOOKUP($B81,'Annual Parameters'!$B$33:$W$143,21,FALSE)/VLOOKUP('Source VoT'!$F$27,'Annual Parameters'!$B$33:$W$143,21,FALSE)*VLOOKUP($B$14,'Annual Parameters'!$B$33:$W$143,3,FALSE)/VLOOKUP('Source VoT'!$E$27,'Annual Parameters'!$B$33:$W$143,3,FALSE)</f>
        <v>36.981159203748035</v>
      </c>
      <c r="F81" s="73">
        <f>'Source VoT'!$D$29*VLOOKUP($B81,'Indirect tax correction'!$B$27:$I$127,5,FALSE)*VLOOKUP($B81,'Annual Parameters'!$B$33:$W$143,21,FALSE)/VLOOKUP('Source VoT'!$F$27,'Annual Parameters'!$B$33:$W$143,21,FALSE)*VLOOKUP($B$14,'Annual Parameters'!$B$33:$W$143,3,FALSE)/VLOOKUP('Source VoT'!$E$27,'Annual Parameters'!$B$33:$W$143,3,FALSE)</f>
        <v>25.464385174060165</v>
      </c>
      <c r="G81" s="73">
        <f>'Source VoT'!$D$30*VLOOKUP($B81,'Indirect tax correction'!$B$27:$I$127,5,FALSE)*VLOOKUP($B81,'Annual Parameters'!$B$33:$W$143,21,FALSE)/VLOOKUP('Source VoT'!$F$27,'Annual Parameters'!$B$33:$W$143,21,FALSE)*VLOOKUP($B$14,'Annual Parameters'!$B$33:$W$143,3,FALSE)/VLOOKUP('Source VoT'!$E$27,'Annual Parameters'!$B$33:$W$143,3,FALSE)</f>
        <v>30.003176049992184</v>
      </c>
      <c r="H81" s="73">
        <f>'Source VoT'!$D$31*VLOOKUP($B81,'Indirect tax correction'!$B$27:$I$127,5,FALSE)*VLOOKUP($B81,'Annual Parameters'!$B$33:$W$143,21,FALSE)/VLOOKUP('Source VoT'!$F$27,'Annual Parameters'!$B$33:$W$143,21,FALSE)*VLOOKUP($B$14,'Annual Parameters'!$B$33:$W$143,3,FALSE)/VLOOKUP('Source VoT'!$E$27,'Annual Parameters'!$B$33:$W$143,3,FALSE)</f>
        <v>30.651574746553905</v>
      </c>
      <c r="I81" s="73">
        <f>'Source VoT'!$D$32*VLOOKUP($B81,'Indirect tax correction'!$B$27:$I$127,5,FALSE)*VLOOKUP($B81,'Annual Parameters'!$B$33:$W$143,21,FALSE)/VLOOKUP('Source VoT'!$F$27,'Annual Parameters'!$B$33:$W$143,21,FALSE)*VLOOKUP($B$14,'Annual Parameters'!$B$33:$W$143,3,FALSE)/VLOOKUP('Source VoT'!$E$27,'Annual Parameters'!$B$33:$W$143,3,FALSE)</f>
        <v>20.956697520561061</v>
      </c>
      <c r="J81" s="73">
        <f>'Source VoT'!$D$33*VLOOKUP($B81,'Indirect tax correction'!$B$27:$I$127,5,FALSE)*VLOOKUP($B81,'Annual Parameters'!$B$33:$W$143,21,FALSE)/VLOOKUP('Source VoT'!$F$27,'Annual Parameters'!$B$33:$W$143,21,FALSE)*VLOOKUP($B$14,'Annual Parameters'!$B$33:$W$143,3,FALSE)/VLOOKUP('Source VoT'!$E$27,'Annual Parameters'!$B$33:$W$143,3,FALSE)</f>
        <v>27.085381915464453</v>
      </c>
      <c r="K81" s="73">
        <f>'Source VoT'!$D$34*VLOOKUP($B81,'Indirect tax correction'!$B$27:$I$127,5,FALSE)*VLOOKUP($B81,'Annual Parameters'!$B$33:$W$143,21,FALSE)/VLOOKUP('Source VoT'!$F$27,'Annual Parameters'!$B$33:$W$143,21,FALSE)*VLOOKUP($B$14,'Annual Parameters'!$B$33:$W$143,3,FALSE)/VLOOKUP('Source VoT'!$E$27,'Annual Parameters'!$B$33:$W$143,3,FALSE)</f>
        <v>36.981159203748035</v>
      </c>
      <c r="L81" s="73">
        <f>'Source VoT'!$D$35*VLOOKUP($B81,'Indirect tax correction'!$B$27:$I$127,5,FALSE)*VLOOKUP($B81,'Annual Parameters'!$B$33:$W$143,21,FALSE)/VLOOKUP('Source VoT'!$F$27,'Annual Parameters'!$B$33:$W$143,21,FALSE)*VLOOKUP($B$14,'Annual Parameters'!$B$33:$W$143,3,FALSE)/VLOOKUP('Source VoT'!$E$27,'Annual Parameters'!$B$33:$W$143,3,FALSE)</f>
        <v>61.000880160363707</v>
      </c>
      <c r="M81" s="73">
        <f>'Source VoT'!$D$36*VLOOKUP($B81,'Indirect tax correction'!$B$27:$I$127,5,FALSE)*VLOOKUP($B81,'Annual Parameters'!$B$33:$W$143,21,FALSE)/VLOOKUP('Source VoT'!$F$27,'Annual Parameters'!$B$33:$W$143,21,FALSE)*VLOOKUP($B$14,'Annual Parameters'!$B$33:$W$143,3,FALSE)/VLOOKUP('Source VoT'!$E$27,'Annual Parameters'!$B$33:$W$143,3,FALSE)</f>
        <v>20.956697520561061</v>
      </c>
      <c r="N81" s="73">
        <f>'Source VoT'!$D$37*VLOOKUP($B81,'Indirect tax correction'!$B$27:$I$127,5,FALSE)*VLOOKUP($B81,'Annual Parameters'!$B$33:$W$143,21,FALSE)/VLOOKUP('Source VoT'!$F$27,'Annual Parameters'!$B$33:$W$143,21,FALSE)*VLOOKUP($B$14,'Annual Parameters'!$B$33:$W$143,3,FALSE)/VLOOKUP('Source VoT'!$E$27,'Annual Parameters'!$B$33:$W$143,3,FALSE)</f>
        <v>20.956697520561061</v>
      </c>
      <c r="O81" s="73">
        <f>'Source VoT'!$D$38*VLOOKUP($B81,'Indirect tax correction'!$B$27:$I$127,5,FALSE)*VLOOKUP($B81,'Annual Parameters'!$B$33:$W$143,21,FALSE)/VLOOKUP('Source VoT'!$F$27,'Annual Parameters'!$B$33:$W$143,21,FALSE)*VLOOKUP($B$14,'Annual Parameters'!$B$33:$W$143,3,FALSE)/VLOOKUP('Source VoT'!$E$27,'Annual Parameters'!$B$33:$W$143,3,FALSE)</f>
        <v>20.956697520561061</v>
      </c>
      <c r="P81" s="73">
        <f>'Source VoT'!$D$39*VLOOKUP($B81,'Indirect tax correction'!$B$27:$I$127,5,FALSE)*VLOOKUP($B81,'Annual Parameters'!$B$33:$W$143,21,FALSE)/VLOOKUP('Source VoT'!$F$27,'Annual Parameters'!$B$33:$W$143,21,FALSE)*VLOOKUP($B$14,'Annual Parameters'!$B$33:$W$143,3,FALSE)/VLOOKUP('Source VoT'!$E$27,'Annual Parameters'!$B$33:$W$143,3,FALSE)</f>
        <v>36.981159203748035</v>
      </c>
      <c r="Q81" s="74">
        <f>'Source VoT'!$D$40*VLOOKUP($B81,'Indirect tax correction'!$B$27:$I$127,5,FALSE)*VLOOKUP($B81,'Annual Parameters'!$B$33:$W$143,21,FALSE)/VLOOKUP('Source VoT'!$F$27,'Annual Parameters'!$B$33:$W$143,21,FALSE)*VLOOKUP($B$14,'Annual Parameters'!$B$33:$W$143,3,FALSE)/VLOOKUP('Source VoT'!$E$27,'Annual Parameters'!$B$33:$W$143,3,FALSE)</f>
        <v>40.280921102118633</v>
      </c>
      <c r="R81" s="73">
        <f>'Source VoT'!$D$45*VLOOKUP($B81,'Indirect tax correction'!$B$27:$I$127,6,FALSE)*VLOOKUP($B81,'Annual Parameters'!$B$33:$W$143,22,FALSE)/VLOOKUP('Source VoT'!$F$27,'Annual Parameters'!$B$33:$W$143,22,FALSE)*VLOOKUP($B$14,'Annual Parameters'!$B$33:$W$143,3,FALSE)/VLOOKUP('Source VoT'!$E$27,'Annual Parameters'!$B$33:$W$143,3,FALSE)</f>
        <v>20.808384097221811</v>
      </c>
      <c r="S81" s="73">
        <f>'Source VoT'!$D$46*VLOOKUP($B81,'Indirect tax correction'!$B$27:$I$127,6,FALSE)*VLOOKUP($B81,'Annual Parameters'!$B$33:$W$143,22,FALSE)/VLOOKUP('Source VoT'!$F$27,'Annual Parameters'!$B$33:$W$143,22,FALSE)*VLOOKUP($B$14,'Annual Parameters'!$B$33:$W$143,3,FALSE)/VLOOKUP('Source VoT'!$E$27,'Annual Parameters'!$B$33:$W$143,3,FALSE)</f>
        <v>9.497570964105817</v>
      </c>
      <c r="T81" s="117">
        <f>'Source VoT'!$D$27*1*VLOOKUP($B81,'Annual Parameters'!$B$33:$W$143,21,FALSE)/VLOOKUP('Source VoT'!$F$27,'Annual Parameters'!$B$33:$W$143,21,FALSE)*VLOOKUP($B$14,'Annual Parameters'!$B$33:$W$143,3,FALSE)/VLOOKUP('Source VoT'!$E$27,'Annual Parameters'!$B$33:$W$143,3,FALSE)</f>
        <v>36.981159203748035</v>
      </c>
      <c r="U81" s="73">
        <f>'Source VoT'!$D$28*1*VLOOKUP($B81,'Annual Parameters'!$B$33:$W$143,21,FALSE)/VLOOKUP('Source VoT'!$F$27,'Annual Parameters'!$B$33:$W$143,21,FALSE)*VLOOKUP($B$14,'Annual Parameters'!$B$33:$W$143,3,FALSE)/VLOOKUP('Source VoT'!$E$27,'Annual Parameters'!$B$33:$W$143,3,FALSE)</f>
        <v>36.981159203748035</v>
      </c>
      <c r="V81" s="73">
        <f>'Source VoT'!$D$29*1*VLOOKUP($B81,'Annual Parameters'!$B$33:$W$143,21,FALSE)/VLOOKUP('Source VoT'!$F$27,'Annual Parameters'!$B$33:$W$143,21,FALSE)*VLOOKUP($B$14,'Annual Parameters'!$B$33:$W$143,3,FALSE)/VLOOKUP('Source VoT'!$E$27,'Annual Parameters'!$B$33:$W$143,3,FALSE)</f>
        <v>25.464385174060165</v>
      </c>
      <c r="W81" s="73">
        <f>'Source VoT'!$D$30*1*VLOOKUP($B81,'Annual Parameters'!$B$33:$W$143,21,FALSE)/VLOOKUP('Source VoT'!$F$27,'Annual Parameters'!$B$33:$W$143,21,FALSE)*VLOOKUP($B$14,'Annual Parameters'!$B$33:$W$143,3,FALSE)/VLOOKUP('Source VoT'!$E$27,'Annual Parameters'!$B$33:$W$143,3,FALSE)</f>
        <v>30.003176049992184</v>
      </c>
      <c r="X81" s="73">
        <f>'Source VoT'!$D$31*1*VLOOKUP($B81,'Annual Parameters'!$B$33:$W$143,21,FALSE)/VLOOKUP('Source VoT'!$F$27,'Annual Parameters'!$B$33:$W$143,21,FALSE)*VLOOKUP($B$14,'Annual Parameters'!$B$33:$W$143,3,FALSE)/VLOOKUP('Source VoT'!$E$27,'Annual Parameters'!$B$33:$W$143,3,FALSE)</f>
        <v>30.651574746553905</v>
      </c>
      <c r="Y81" s="73">
        <f>'Source VoT'!$D$32*1*VLOOKUP($B81,'Annual Parameters'!$B$33:$W$143,21,FALSE)/VLOOKUP('Source VoT'!$F$27,'Annual Parameters'!$B$33:$W$143,21,FALSE)*VLOOKUP($B$14,'Annual Parameters'!$B$33:$W$143,3,FALSE)/VLOOKUP('Source VoT'!$E$27,'Annual Parameters'!$B$33:$W$143,3,FALSE)</f>
        <v>20.956697520561061</v>
      </c>
      <c r="Z81" s="73">
        <f>'Source VoT'!$D$33*1*VLOOKUP($B81,'Annual Parameters'!$B$33:$W$143,21,FALSE)/VLOOKUP('Source VoT'!$F$27,'Annual Parameters'!$B$33:$W$143,21,FALSE)*VLOOKUP($B$14,'Annual Parameters'!$B$33:$W$143,3,FALSE)/VLOOKUP('Source VoT'!$E$27,'Annual Parameters'!$B$33:$W$143,3,FALSE)</f>
        <v>27.085381915464453</v>
      </c>
      <c r="AA81" s="73">
        <f>'Source VoT'!$D$34*1*VLOOKUP($B81,'Annual Parameters'!$B$33:$W$143,21,FALSE)/VLOOKUP('Source VoT'!$F$27,'Annual Parameters'!$B$33:$W$143,21,FALSE)*VLOOKUP($B$14,'Annual Parameters'!$B$33:$W$143,3,FALSE)/VLOOKUP('Source VoT'!$E$27,'Annual Parameters'!$B$33:$W$143,3,FALSE)</f>
        <v>36.981159203748035</v>
      </c>
      <c r="AB81" s="73">
        <f>'Source VoT'!$D$35*1*VLOOKUP($B81,'Annual Parameters'!$B$33:$W$143,21,FALSE)/VLOOKUP('Source VoT'!$F$27,'Annual Parameters'!$B$33:$W$143,21,FALSE)*VLOOKUP($B$14,'Annual Parameters'!$B$33:$W$143,3,FALSE)/VLOOKUP('Source VoT'!$E$27,'Annual Parameters'!$B$33:$W$143,3,FALSE)</f>
        <v>61.000880160363707</v>
      </c>
      <c r="AC81" s="73">
        <f>'Source VoT'!$D$36*1*VLOOKUP($B81,'Annual Parameters'!$B$33:$W$143,21,FALSE)/VLOOKUP('Source VoT'!$F$27,'Annual Parameters'!$B$33:$W$143,21,FALSE)*VLOOKUP($B$14,'Annual Parameters'!$B$33:$W$143,3,FALSE)/VLOOKUP('Source VoT'!$E$27,'Annual Parameters'!$B$33:$W$143,3,FALSE)</f>
        <v>20.956697520561061</v>
      </c>
      <c r="AD81" s="73">
        <f>'Source VoT'!$D$37*1*VLOOKUP($B81,'Annual Parameters'!$B$33:$W$143,21,FALSE)/VLOOKUP('Source VoT'!$F$27,'Annual Parameters'!$B$33:$W$143,21,FALSE)*VLOOKUP($B$14,'Annual Parameters'!$B$33:$W$143,3,FALSE)/VLOOKUP('Source VoT'!$E$27,'Annual Parameters'!$B$33:$W$143,3,FALSE)</f>
        <v>20.956697520561061</v>
      </c>
      <c r="AE81" s="73">
        <f>'Source VoT'!$D$38*1*VLOOKUP($B81,'Annual Parameters'!$B$33:$W$143,21,FALSE)/VLOOKUP('Source VoT'!$F$27,'Annual Parameters'!$B$33:$W$143,21,FALSE)*VLOOKUP($B$14,'Annual Parameters'!$B$33:$W$143,3,FALSE)/VLOOKUP('Source VoT'!$E$27,'Annual Parameters'!$B$33:$W$143,3,FALSE)</f>
        <v>20.956697520561061</v>
      </c>
      <c r="AF81" s="73">
        <f>'Source VoT'!$D$39*1*VLOOKUP($B81,'Annual Parameters'!$B$33:$W$143,21,FALSE)/VLOOKUP('Source VoT'!$F$27,'Annual Parameters'!$B$33:$W$143,21,FALSE)*VLOOKUP($B$14,'Annual Parameters'!$B$33:$W$143,3,FALSE)/VLOOKUP('Source VoT'!$E$27,'Annual Parameters'!$B$33:$W$143,3,FALSE)</f>
        <v>36.981159203748035</v>
      </c>
      <c r="AG81" s="74">
        <f>'Source VoT'!$D$40*1*VLOOKUP($B81,'Annual Parameters'!$B$33:$W$143,21,FALSE)/VLOOKUP('Source VoT'!$F$27,'Annual Parameters'!$B$33:$W$143,21,FALSE)*VLOOKUP($B$14,'Annual Parameters'!$B$33:$W$143,3,FALSE)/VLOOKUP('Source VoT'!$E$27,'Annual Parameters'!$B$33:$W$143,3,FALSE)</f>
        <v>40.280921102118633</v>
      </c>
      <c r="AH81" s="73">
        <f>'Source VoT'!$D$45*1*VLOOKUP($B81,'Annual Parameters'!$B$33:$W$143,22,FALSE)/VLOOKUP('Source VoT'!$F$27,'Annual Parameters'!$B$33:$W$143,22,FALSE)*VLOOKUP($B$14,'Annual Parameters'!$B$33:$W$143,3,FALSE)/VLOOKUP('Source VoT'!$E$27,'Annual Parameters'!$B$33:$W$143,3,FALSE)</f>
        <v>24.761977075693959</v>
      </c>
      <c r="AI81" s="73">
        <f>'Source VoT'!$D$46*1*VLOOKUP($B81,'Annual Parameters'!$B$33:$W$143,22,FALSE)/VLOOKUP('Source VoT'!$F$27,'Annual Parameters'!$B$33:$W$143,22,FALSE)*VLOOKUP($B$14,'Annual Parameters'!$B$33:$W$143,3,FALSE)/VLOOKUP('Source VoT'!$E$27,'Annual Parameters'!$B$33:$W$143,3,FALSE)</f>
        <v>11.302109447285922</v>
      </c>
      <c r="AJ81" s="117">
        <f>'Source VoT'!$D$27*VLOOKUP($B81,'Indirect tax correction'!$B$27:$I$127,7,FALSE)*VLOOKUP($B81,'Annual Parameters'!$B$33:$W$143,21,FALSE)/VLOOKUP('Source VoT'!$F$27,'Annual Parameters'!$B$33:$W$143,21,FALSE)*VLOOKUP($B$14,'Annual Parameters'!$B$33:$W$143,3,FALSE)/VLOOKUP('Source VoT'!$E$27,'Annual Parameters'!$B$33:$W$143,3,FALSE)</f>
        <v>44.007579452460156</v>
      </c>
      <c r="AK81" s="73">
        <f>'Source VoT'!$D$28*VLOOKUP($B81,'Indirect tax correction'!$B$27:$I$127,7,FALSE)*VLOOKUP($B81,'Annual Parameters'!$B$33:$W$143,21,FALSE)/VLOOKUP('Source VoT'!$F$27,'Annual Parameters'!$B$33:$W$143,21,FALSE)*VLOOKUP($B$14,'Annual Parameters'!$B$33:$W$143,3,FALSE)/VLOOKUP('Source VoT'!$E$27,'Annual Parameters'!$B$33:$W$143,3,FALSE)</f>
        <v>44.007579452460156</v>
      </c>
      <c r="AL81" s="73">
        <f>'Source VoT'!$D$29*VLOOKUP($B81,'Indirect tax correction'!$B$27:$I$127,7,FALSE)*VLOOKUP($B81,'Annual Parameters'!$B$33:$W$143,21,FALSE)/VLOOKUP('Source VoT'!$F$27,'Annual Parameters'!$B$33:$W$143,21,FALSE)*VLOOKUP($B$14,'Annual Parameters'!$B$33:$W$143,3,FALSE)/VLOOKUP('Source VoT'!$E$27,'Annual Parameters'!$B$33:$W$143,3,FALSE)</f>
        <v>30.302618357131593</v>
      </c>
      <c r="AM81" s="73">
        <f>'Source VoT'!$D$30*VLOOKUP($B81,'Indirect tax correction'!$B$27:$I$127,7,FALSE)*VLOOKUP($B81,'Annual Parameters'!$B$33:$W$143,21,FALSE)/VLOOKUP('Source VoT'!$F$27,'Annual Parameters'!$B$33:$W$143,21,FALSE)*VLOOKUP($B$14,'Annual Parameters'!$B$33:$W$143,3,FALSE)/VLOOKUP('Source VoT'!$E$27,'Annual Parameters'!$B$33:$W$143,3,FALSE)</f>
        <v>35.703779499490693</v>
      </c>
      <c r="AN81" s="73">
        <f>'Source VoT'!$D$31*VLOOKUP($B81,'Indirect tax correction'!$B$27:$I$127,7,FALSE)*VLOOKUP($B81,'Annual Parameters'!$B$33:$W$143,21,FALSE)/VLOOKUP('Source VoT'!$F$27,'Annual Parameters'!$B$33:$W$143,21,FALSE)*VLOOKUP($B$14,'Annual Parameters'!$B$33:$W$143,3,FALSE)/VLOOKUP('Source VoT'!$E$27,'Annual Parameters'!$B$33:$W$143,3,FALSE)</f>
        <v>36.475373948399145</v>
      </c>
      <c r="AO81" s="73">
        <f>'Source VoT'!$D$32*VLOOKUP($B81,'Indirect tax correction'!$B$27:$I$127,7,FALSE)*VLOOKUP($B81,'Annual Parameters'!$B$33:$W$143,21,FALSE)/VLOOKUP('Source VoT'!$F$27,'Annual Parameters'!$B$33:$W$143,21,FALSE)*VLOOKUP($B$14,'Annual Parameters'!$B$33:$W$143,3,FALSE)/VLOOKUP('Source VoT'!$E$27,'Annual Parameters'!$B$33:$W$143,3,FALSE)</f>
        <v>24.938470049467661</v>
      </c>
      <c r="AP81" s="73">
        <f>'Source VoT'!$D$33*VLOOKUP($B81,'Indirect tax correction'!$B$27:$I$127,7,FALSE)*VLOOKUP($B81,'Annual Parameters'!$B$33:$W$143,21,FALSE)/VLOOKUP('Source VoT'!$F$27,'Annual Parameters'!$B$33:$W$143,21,FALSE)*VLOOKUP($B$14,'Annual Parameters'!$B$33:$W$143,3,FALSE)/VLOOKUP('Source VoT'!$E$27,'Annual Parameters'!$B$33:$W$143,3,FALSE)</f>
        <v>32.231604479402698</v>
      </c>
      <c r="AQ81" s="73">
        <f>'Source VoT'!$D$34*VLOOKUP($B81,'Indirect tax correction'!$B$27:$I$127,7,FALSE)*VLOOKUP($B81,'Annual Parameters'!$B$33:$W$143,21,FALSE)/VLOOKUP('Source VoT'!$F$27,'Annual Parameters'!$B$33:$W$143,21,FALSE)*VLOOKUP($B$14,'Annual Parameters'!$B$33:$W$143,3,FALSE)/VLOOKUP('Source VoT'!$E$27,'Annual Parameters'!$B$33:$W$143,3,FALSE)</f>
        <v>44.007579452460156</v>
      </c>
      <c r="AR81" s="73">
        <f>'Source VoT'!$D$35*VLOOKUP($B81,'Indirect tax correction'!$B$27:$I$127,7,FALSE)*VLOOKUP($B81,'Annual Parameters'!$B$33:$W$143,21,FALSE)/VLOOKUP('Source VoT'!$F$27,'Annual Parameters'!$B$33:$W$143,21,FALSE)*VLOOKUP($B$14,'Annual Parameters'!$B$33:$W$143,3,FALSE)/VLOOKUP('Source VoT'!$E$27,'Annual Parameters'!$B$33:$W$143,3,FALSE)</f>
        <v>72.591047390832813</v>
      </c>
      <c r="AS81" s="73">
        <f>'Source VoT'!$D$36*VLOOKUP($B81,'Indirect tax correction'!$B$27:$I$127,7,FALSE)*VLOOKUP($B81,'Annual Parameters'!$B$33:$W$143,21,FALSE)/VLOOKUP('Source VoT'!$F$27,'Annual Parameters'!$B$33:$W$143,21,FALSE)*VLOOKUP($B$14,'Annual Parameters'!$B$33:$W$143,3,FALSE)/VLOOKUP('Source VoT'!$E$27,'Annual Parameters'!$B$33:$W$143,3,FALSE)</f>
        <v>24.938470049467661</v>
      </c>
      <c r="AT81" s="73">
        <f>'Source VoT'!$D$37*VLOOKUP($B81,'Indirect tax correction'!$B$27:$I$127,7,FALSE)*VLOOKUP($B81,'Annual Parameters'!$B$33:$W$143,21,FALSE)/VLOOKUP('Source VoT'!$F$27,'Annual Parameters'!$B$33:$W$143,21,FALSE)*VLOOKUP($B$14,'Annual Parameters'!$B$33:$W$143,3,FALSE)/VLOOKUP('Source VoT'!$E$27,'Annual Parameters'!$B$33:$W$143,3,FALSE)</f>
        <v>24.938470049467661</v>
      </c>
      <c r="AU81" s="73">
        <f>'Source VoT'!$D$38*VLOOKUP($B81,'Indirect tax correction'!$B$27:$I$127,7,FALSE)*VLOOKUP($B81,'Annual Parameters'!$B$33:$W$143,21,FALSE)/VLOOKUP('Source VoT'!$F$27,'Annual Parameters'!$B$33:$W$143,21,FALSE)*VLOOKUP($B$14,'Annual Parameters'!$B$33:$W$143,3,FALSE)/VLOOKUP('Source VoT'!$E$27,'Annual Parameters'!$B$33:$W$143,3,FALSE)</f>
        <v>24.938470049467661</v>
      </c>
      <c r="AV81" s="73">
        <f>'Source VoT'!$D$39*VLOOKUP($B81,'Indirect tax correction'!$B$27:$I$127,7,FALSE)*VLOOKUP($B81,'Annual Parameters'!$B$33:$W$143,21,FALSE)/VLOOKUP('Source VoT'!$F$27,'Annual Parameters'!$B$33:$W$143,21,FALSE)*VLOOKUP($B$14,'Annual Parameters'!$B$33:$W$143,3,FALSE)/VLOOKUP('Source VoT'!$E$27,'Annual Parameters'!$B$33:$W$143,3,FALSE)</f>
        <v>44.007579452460156</v>
      </c>
      <c r="AW81" s="74">
        <f>'Source VoT'!$D$40*VLOOKUP($B81,'Indirect tax correction'!$B$27:$I$127,7,FALSE)*VLOOKUP($B81,'Annual Parameters'!$B$33:$W$143,21,FALSE)/VLOOKUP('Source VoT'!$F$27,'Annual Parameters'!$B$33:$W$143,21,FALSE)*VLOOKUP($B$14,'Annual Parameters'!$B$33:$W$143,3,FALSE)/VLOOKUP('Source VoT'!$E$27,'Annual Parameters'!$B$33:$W$143,3,FALSE)</f>
        <v>47.934296111521171</v>
      </c>
      <c r="AX81" s="73">
        <f>'Source VoT'!$D$45*VLOOKUP($B81,'Indirect tax correction'!$B$27:$I$127,8,FALSE)*VLOOKUP($B81,'Annual Parameters'!$B$33:$W$143,22,FALSE)/VLOOKUP('Source VoT'!$F$27,'Annual Parameters'!$B$33:$W$143,22,FALSE)*VLOOKUP($B$14,'Annual Parameters'!$B$33:$W$143,3,FALSE)/VLOOKUP('Source VoT'!$E$27,'Annual Parameters'!$B$33:$W$143,3,FALSE)</f>
        <v>24.761977075693959</v>
      </c>
      <c r="AY81" s="74">
        <f>'Source VoT'!$D$46*VLOOKUP($B81,'Indirect tax correction'!$B$27:$I$127,8,FALSE)*VLOOKUP($B81,'Annual Parameters'!$B$33:$W$143,22,FALSE)/VLOOKUP('Source VoT'!$F$27,'Annual Parameters'!$B$33:$W$143,22,FALSE)*VLOOKUP($B$14,'Annual Parameters'!$B$33:$W$143,3,FALSE)/VLOOKUP('Source VoT'!$E$27,'Annual Parameters'!$B$33:$W$143,3,FALSE)</f>
        <v>11.302109447285922</v>
      </c>
      <c r="AZ81" s="2875"/>
      <c r="BA81" s="2875"/>
      <c r="BB81" s="2875"/>
      <c r="BC81" s="2875"/>
      <c r="BD81" s="2875"/>
      <c r="BE81" s="2875"/>
      <c r="BF81" s="2875"/>
      <c r="BG81" s="2875"/>
    </row>
    <row r="82" spans="1:59" ht="13.5" customHeight="1">
      <c r="A82" s="90"/>
      <c r="B82" s="82">
        <f t="shared" si="0"/>
        <v>2065</v>
      </c>
      <c r="C82" s="82"/>
      <c r="D82" s="117">
        <f>'Source VoT'!$D$27*VLOOKUP($B82,'Indirect tax correction'!$B$27:$I$127,5,FALSE)*VLOOKUP($B82,'Annual Parameters'!$B$33:$W$143,21,FALSE)/VLOOKUP('Source VoT'!$F$27,'Annual Parameters'!$B$33:$W$143,21,FALSE)*VLOOKUP($B$14,'Annual Parameters'!$B$33:$W$143,3,FALSE)/VLOOKUP('Source VoT'!$E$27,'Annual Parameters'!$B$33:$W$143,3,FALSE)</f>
        <v>37.769993591030527</v>
      </c>
      <c r="E82" s="73">
        <f>'Source VoT'!$D$28*VLOOKUP($B82,'Indirect tax correction'!$B$27:$I$127,5,FALSE)*VLOOKUP($B82,'Annual Parameters'!$B$33:$W$143,21,FALSE)/VLOOKUP('Source VoT'!$F$27,'Annual Parameters'!$B$33:$W$143,21,FALSE)*VLOOKUP($B$14,'Annual Parameters'!$B$33:$W$143,3,FALSE)/VLOOKUP('Source VoT'!$E$27,'Annual Parameters'!$B$33:$W$143,3,FALSE)</f>
        <v>37.769993591030527</v>
      </c>
      <c r="F82" s="73">
        <f>'Source VoT'!$D$29*VLOOKUP($B82,'Indirect tax correction'!$B$27:$I$127,5,FALSE)*VLOOKUP($B82,'Annual Parameters'!$B$33:$W$143,21,FALSE)/VLOOKUP('Source VoT'!$F$27,'Annual Parameters'!$B$33:$W$143,21,FALSE)*VLOOKUP($B$14,'Annual Parameters'!$B$33:$W$143,3,FALSE)/VLOOKUP('Source VoT'!$E$27,'Annual Parameters'!$B$33:$W$143,3,FALSE)</f>
        <v>26.007558592871472</v>
      </c>
      <c r="G82" s="73">
        <f>'Source VoT'!$D$30*VLOOKUP($B82,'Indirect tax correction'!$B$27:$I$127,5,FALSE)*VLOOKUP($B82,'Annual Parameters'!$B$33:$W$143,21,FALSE)/VLOOKUP('Source VoT'!$F$27,'Annual Parameters'!$B$33:$W$143,21,FALSE)*VLOOKUP($B$14,'Annual Parameters'!$B$33:$W$143,3,FALSE)/VLOOKUP('Source VoT'!$E$27,'Annual Parameters'!$B$33:$W$143,3,FALSE)</f>
        <v>30.643165101323103</v>
      </c>
      <c r="H82" s="73">
        <f>'Source VoT'!$D$31*VLOOKUP($B82,'Indirect tax correction'!$B$27:$I$127,5,FALSE)*VLOOKUP($B82,'Annual Parameters'!$B$33:$W$143,21,FALSE)/VLOOKUP('Source VoT'!$F$27,'Annual Parameters'!$B$33:$W$143,21,FALSE)*VLOOKUP($B$14,'Annual Parameters'!$B$33:$W$143,3,FALSE)/VLOOKUP('Source VoT'!$E$27,'Annual Parameters'!$B$33:$W$143,3,FALSE)</f>
        <v>31.305394602530484</v>
      </c>
      <c r="I82" s="73">
        <f>'Source VoT'!$D$32*VLOOKUP($B82,'Indirect tax correction'!$B$27:$I$127,5,FALSE)*VLOOKUP($B82,'Annual Parameters'!$B$33:$W$143,21,FALSE)/VLOOKUP('Source VoT'!$F$27,'Annual Parameters'!$B$33:$W$143,21,FALSE)*VLOOKUP($B$14,'Annual Parameters'!$B$33:$W$143,3,FALSE)/VLOOKUP('Source VoT'!$E$27,'Annual Parameters'!$B$33:$W$143,3,FALSE)</f>
        <v>21.403718760674618</v>
      </c>
      <c r="J82" s="73">
        <f>'Source VoT'!$D$33*VLOOKUP($B82,'Indirect tax correction'!$B$27:$I$127,5,FALSE)*VLOOKUP($B82,'Annual Parameters'!$B$33:$W$143,21,FALSE)/VLOOKUP('Source VoT'!$F$27,'Annual Parameters'!$B$33:$W$143,21,FALSE)*VLOOKUP($B$14,'Annual Parameters'!$B$33:$W$143,3,FALSE)/VLOOKUP('Source VoT'!$E$27,'Annual Parameters'!$B$33:$W$143,3,FALSE)</f>
        <v>27.663132345889906</v>
      </c>
      <c r="K82" s="73">
        <f>'Source VoT'!$D$34*VLOOKUP($B82,'Indirect tax correction'!$B$27:$I$127,5,FALSE)*VLOOKUP($B82,'Annual Parameters'!$B$33:$W$143,21,FALSE)/VLOOKUP('Source VoT'!$F$27,'Annual Parameters'!$B$33:$W$143,21,FALSE)*VLOOKUP($B$14,'Annual Parameters'!$B$33:$W$143,3,FALSE)/VLOOKUP('Source VoT'!$E$27,'Annual Parameters'!$B$33:$W$143,3,FALSE)</f>
        <v>37.769993591030527</v>
      </c>
      <c r="L82" s="73">
        <f>'Source VoT'!$D$35*VLOOKUP($B82,'Indirect tax correction'!$B$27:$I$127,5,FALSE)*VLOOKUP($B82,'Annual Parameters'!$B$33:$W$143,21,FALSE)/VLOOKUP('Source VoT'!$F$27,'Annual Parameters'!$B$33:$W$143,21,FALSE)*VLOOKUP($B$14,'Annual Parameters'!$B$33:$W$143,3,FALSE)/VLOOKUP('Source VoT'!$E$27,'Annual Parameters'!$B$33:$W$143,3,FALSE)</f>
        <v>62.302072252798609</v>
      </c>
      <c r="M82" s="73">
        <f>'Source VoT'!$D$36*VLOOKUP($B82,'Indirect tax correction'!$B$27:$I$127,5,FALSE)*VLOOKUP($B82,'Annual Parameters'!$B$33:$W$143,21,FALSE)/VLOOKUP('Source VoT'!$F$27,'Annual Parameters'!$B$33:$W$143,21,FALSE)*VLOOKUP($B$14,'Annual Parameters'!$B$33:$W$143,3,FALSE)/VLOOKUP('Source VoT'!$E$27,'Annual Parameters'!$B$33:$W$143,3,FALSE)</f>
        <v>21.403718760674618</v>
      </c>
      <c r="N82" s="73">
        <f>'Source VoT'!$D$37*VLOOKUP($B82,'Indirect tax correction'!$B$27:$I$127,5,FALSE)*VLOOKUP($B82,'Annual Parameters'!$B$33:$W$143,21,FALSE)/VLOOKUP('Source VoT'!$F$27,'Annual Parameters'!$B$33:$W$143,21,FALSE)*VLOOKUP($B$14,'Annual Parameters'!$B$33:$W$143,3,FALSE)/VLOOKUP('Source VoT'!$E$27,'Annual Parameters'!$B$33:$W$143,3,FALSE)</f>
        <v>21.403718760674618</v>
      </c>
      <c r="O82" s="73">
        <f>'Source VoT'!$D$38*VLOOKUP($B82,'Indirect tax correction'!$B$27:$I$127,5,FALSE)*VLOOKUP($B82,'Annual Parameters'!$B$33:$W$143,21,FALSE)/VLOOKUP('Source VoT'!$F$27,'Annual Parameters'!$B$33:$W$143,21,FALSE)*VLOOKUP($B$14,'Annual Parameters'!$B$33:$W$143,3,FALSE)/VLOOKUP('Source VoT'!$E$27,'Annual Parameters'!$B$33:$W$143,3,FALSE)</f>
        <v>21.403718760674618</v>
      </c>
      <c r="P82" s="73">
        <f>'Source VoT'!$D$39*VLOOKUP($B82,'Indirect tax correction'!$B$27:$I$127,5,FALSE)*VLOOKUP($B82,'Annual Parameters'!$B$33:$W$143,21,FALSE)/VLOOKUP('Source VoT'!$F$27,'Annual Parameters'!$B$33:$W$143,21,FALSE)*VLOOKUP($B$14,'Annual Parameters'!$B$33:$W$143,3,FALSE)/VLOOKUP('Source VoT'!$E$27,'Annual Parameters'!$B$33:$W$143,3,FALSE)</f>
        <v>37.769993591030527</v>
      </c>
      <c r="Q82" s="74">
        <f>'Source VoT'!$D$40*VLOOKUP($B82,'Indirect tax correction'!$B$27:$I$127,5,FALSE)*VLOOKUP($B82,'Annual Parameters'!$B$33:$W$143,21,FALSE)/VLOOKUP('Source VoT'!$F$27,'Annual Parameters'!$B$33:$W$143,21,FALSE)*VLOOKUP($B$14,'Annual Parameters'!$B$33:$W$143,3,FALSE)/VLOOKUP('Source VoT'!$E$27,'Annual Parameters'!$B$33:$W$143,3,FALSE)</f>
        <v>41.140141753956499</v>
      </c>
      <c r="R82" s="73">
        <f>'Source VoT'!$D$45*VLOOKUP($B82,'Indirect tax correction'!$B$27:$I$127,6,FALSE)*VLOOKUP($B82,'Annual Parameters'!$B$33:$W$143,22,FALSE)/VLOOKUP('Source VoT'!$F$27,'Annual Parameters'!$B$33:$W$143,22,FALSE)*VLOOKUP($B$14,'Annual Parameters'!$B$33:$W$143,3,FALSE)/VLOOKUP('Source VoT'!$E$27,'Annual Parameters'!$B$33:$W$143,3,FALSE)</f>
        <v>21.252241706693585</v>
      </c>
      <c r="S82" s="73">
        <f>'Source VoT'!$D$46*VLOOKUP($B82,'Indirect tax correction'!$B$27:$I$127,6,FALSE)*VLOOKUP($B82,'Annual Parameters'!$B$33:$W$143,22,FALSE)/VLOOKUP('Source VoT'!$F$27,'Annual Parameters'!$B$33:$W$143,22,FALSE)*VLOOKUP($B$14,'Annual Parameters'!$B$33:$W$143,3,FALSE)/VLOOKUP('Source VoT'!$E$27,'Annual Parameters'!$B$33:$W$143,3,FALSE)</f>
        <v>9.7001608972894982</v>
      </c>
      <c r="T82" s="117">
        <f>'Source VoT'!$D$27*1*VLOOKUP($B82,'Annual Parameters'!$B$33:$W$143,21,FALSE)/VLOOKUP('Source VoT'!$F$27,'Annual Parameters'!$B$33:$W$143,21,FALSE)*VLOOKUP($B$14,'Annual Parameters'!$B$33:$W$143,3,FALSE)/VLOOKUP('Source VoT'!$E$27,'Annual Parameters'!$B$33:$W$143,3,FALSE)</f>
        <v>37.769993591030527</v>
      </c>
      <c r="U82" s="73">
        <f>'Source VoT'!$D$28*1*VLOOKUP($B82,'Annual Parameters'!$B$33:$W$143,21,FALSE)/VLOOKUP('Source VoT'!$F$27,'Annual Parameters'!$B$33:$W$143,21,FALSE)*VLOOKUP($B$14,'Annual Parameters'!$B$33:$W$143,3,FALSE)/VLOOKUP('Source VoT'!$E$27,'Annual Parameters'!$B$33:$W$143,3,FALSE)</f>
        <v>37.769993591030527</v>
      </c>
      <c r="V82" s="73">
        <f>'Source VoT'!$D$29*1*VLOOKUP($B82,'Annual Parameters'!$B$33:$W$143,21,FALSE)/VLOOKUP('Source VoT'!$F$27,'Annual Parameters'!$B$33:$W$143,21,FALSE)*VLOOKUP($B$14,'Annual Parameters'!$B$33:$W$143,3,FALSE)/VLOOKUP('Source VoT'!$E$27,'Annual Parameters'!$B$33:$W$143,3,FALSE)</f>
        <v>26.007558592871472</v>
      </c>
      <c r="W82" s="73">
        <f>'Source VoT'!$D$30*1*VLOOKUP($B82,'Annual Parameters'!$B$33:$W$143,21,FALSE)/VLOOKUP('Source VoT'!$F$27,'Annual Parameters'!$B$33:$W$143,21,FALSE)*VLOOKUP($B$14,'Annual Parameters'!$B$33:$W$143,3,FALSE)/VLOOKUP('Source VoT'!$E$27,'Annual Parameters'!$B$33:$W$143,3,FALSE)</f>
        <v>30.643165101323103</v>
      </c>
      <c r="X82" s="73">
        <f>'Source VoT'!$D$31*1*VLOOKUP($B82,'Annual Parameters'!$B$33:$W$143,21,FALSE)/VLOOKUP('Source VoT'!$F$27,'Annual Parameters'!$B$33:$W$143,21,FALSE)*VLOOKUP($B$14,'Annual Parameters'!$B$33:$W$143,3,FALSE)/VLOOKUP('Source VoT'!$E$27,'Annual Parameters'!$B$33:$W$143,3,FALSE)</f>
        <v>31.305394602530484</v>
      </c>
      <c r="Y82" s="73">
        <f>'Source VoT'!$D$32*1*VLOOKUP($B82,'Annual Parameters'!$B$33:$W$143,21,FALSE)/VLOOKUP('Source VoT'!$F$27,'Annual Parameters'!$B$33:$W$143,21,FALSE)*VLOOKUP($B$14,'Annual Parameters'!$B$33:$W$143,3,FALSE)/VLOOKUP('Source VoT'!$E$27,'Annual Parameters'!$B$33:$W$143,3,FALSE)</f>
        <v>21.403718760674618</v>
      </c>
      <c r="Z82" s="73">
        <f>'Source VoT'!$D$33*1*VLOOKUP($B82,'Annual Parameters'!$B$33:$W$143,21,FALSE)/VLOOKUP('Source VoT'!$F$27,'Annual Parameters'!$B$33:$W$143,21,FALSE)*VLOOKUP($B$14,'Annual Parameters'!$B$33:$W$143,3,FALSE)/VLOOKUP('Source VoT'!$E$27,'Annual Parameters'!$B$33:$W$143,3,FALSE)</f>
        <v>27.663132345889906</v>
      </c>
      <c r="AA82" s="73">
        <f>'Source VoT'!$D$34*1*VLOOKUP($B82,'Annual Parameters'!$B$33:$W$143,21,FALSE)/VLOOKUP('Source VoT'!$F$27,'Annual Parameters'!$B$33:$W$143,21,FALSE)*VLOOKUP($B$14,'Annual Parameters'!$B$33:$W$143,3,FALSE)/VLOOKUP('Source VoT'!$E$27,'Annual Parameters'!$B$33:$W$143,3,FALSE)</f>
        <v>37.769993591030527</v>
      </c>
      <c r="AB82" s="73">
        <f>'Source VoT'!$D$35*1*VLOOKUP($B82,'Annual Parameters'!$B$33:$W$143,21,FALSE)/VLOOKUP('Source VoT'!$F$27,'Annual Parameters'!$B$33:$W$143,21,FALSE)*VLOOKUP($B$14,'Annual Parameters'!$B$33:$W$143,3,FALSE)/VLOOKUP('Source VoT'!$E$27,'Annual Parameters'!$B$33:$W$143,3,FALSE)</f>
        <v>62.302072252798609</v>
      </c>
      <c r="AC82" s="73">
        <f>'Source VoT'!$D$36*1*VLOOKUP($B82,'Annual Parameters'!$B$33:$W$143,21,FALSE)/VLOOKUP('Source VoT'!$F$27,'Annual Parameters'!$B$33:$W$143,21,FALSE)*VLOOKUP($B$14,'Annual Parameters'!$B$33:$W$143,3,FALSE)/VLOOKUP('Source VoT'!$E$27,'Annual Parameters'!$B$33:$W$143,3,FALSE)</f>
        <v>21.403718760674618</v>
      </c>
      <c r="AD82" s="73">
        <f>'Source VoT'!$D$37*1*VLOOKUP($B82,'Annual Parameters'!$B$33:$W$143,21,FALSE)/VLOOKUP('Source VoT'!$F$27,'Annual Parameters'!$B$33:$W$143,21,FALSE)*VLOOKUP($B$14,'Annual Parameters'!$B$33:$W$143,3,FALSE)/VLOOKUP('Source VoT'!$E$27,'Annual Parameters'!$B$33:$W$143,3,FALSE)</f>
        <v>21.403718760674618</v>
      </c>
      <c r="AE82" s="73">
        <f>'Source VoT'!$D$38*1*VLOOKUP($B82,'Annual Parameters'!$B$33:$W$143,21,FALSE)/VLOOKUP('Source VoT'!$F$27,'Annual Parameters'!$B$33:$W$143,21,FALSE)*VLOOKUP($B$14,'Annual Parameters'!$B$33:$W$143,3,FALSE)/VLOOKUP('Source VoT'!$E$27,'Annual Parameters'!$B$33:$W$143,3,FALSE)</f>
        <v>21.403718760674618</v>
      </c>
      <c r="AF82" s="73">
        <f>'Source VoT'!$D$39*1*VLOOKUP($B82,'Annual Parameters'!$B$33:$W$143,21,FALSE)/VLOOKUP('Source VoT'!$F$27,'Annual Parameters'!$B$33:$W$143,21,FALSE)*VLOOKUP($B$14,'Annual Parameters'!$B$33:$W$143,3,FALSE)/VLOOKUP('Source VoT'!$E$27,'Annual Parameters'!$B$33:$W$143,3,FALSE)</f>
        <v>37.769993591030527</v>
      </c>
      <c r="AG82" s="74">
        <f>'Source VoT'!$D$40*1*VLOOKUP($B82,'Annual Parameters'!$B$33:$W$143,21,FALSE)/VLOOKUP('Source VoT'!$F$27,'Annual Parameters'!$B$33:$W$143,21,FALSE)*VLOOKUP($B$14,'Annual Parameters'!$B$33:$W$143,3,FALSE)/VLOOKUP('Source VoT'!$E$27,'Annual Parameters'!$B$33:$W$143,3,FALSE)</f>
        <v>41.140141753956499</v>
      </c>
      <c r="AH82" s="73">
        <f>'Source VoT'!$D$45*1*VLOOKUP($B82,'Annual Parameters'!$B$33:$W$143,22,FALSE)/VLOOKUP('Source VoT'!$F$27,'Annual Parameters'!$B$33:$W$143,22,FALSE)*VLOOKUP($B$14,'Annual Parameters'!$B$33:$W$143,3,FALSE)/VLOOKUP('Source VoT'!$E$27,'Annual Parameters'!$B$33:$W$143,3,FALSE)</f>
        <v>25.290167630965367</v>
      </c>
      <c r="AI82" s="73">
        <f>'Source VoT'!$D$46*1*VLOOKUP($B82,'Annual Parameters'!$B$33:$W$143,22,FALSE)/VLOOKUP('Source VoT'!$F$27,'Annual Parameters'!$B$33:$W$143,22,FALSE)*VLOOKUP($B$14,'Annual Parameters'!$B$33:$W$143,3,FALSE)/VLOOKUP('Source VoT'!$E$27,'Annual Parameters'!$B$33:$W$143,3,FALSE)</f>
        <v>11.543191467774502</v>
      </c>
      <c r="AJ82" s="117">
        <f>'Source VoT'!$D$27*VLOOKUP($B82,'Indirect tax correction'!$B$27:$I$127,7,FALSE)*VLOOKUP($B82,'Annual Parameters'!$B$33:$W$143,21,FALSE)/VLOOKUP('Source VoT'!$F$27,'Annual Parameters'!$B$33:$W$143,21,FALSE)*VLOOKUP($B$14,'Annual Parameters'!$B$33:$W$143,3,FALSE)/VLOOKUP('Source VoT'!$E$27,'Annual Parameters'!$B$33:$W$143,3,FALSE)</f>
        <v>44.94629237332633</v>
      </c>
      <c r="AK82" s="73">
        <f>'Source VoT'!$D$28*VLOOKUP($B82,'Indirect tax correction'!$B$27:$I$127,7,FALSE)*VLOOKUP($B82,'Annual Parameters'!$B$33:$W$143,21,FALSE)/VLOOKUP('Source VoT'!$F$27,'Annual Parameters'!$B$33:$W$143,21,FALSE)*VLOOKUP($B$14,'Annual Parameters'!$B$33:$W$143,3,FALSE)/VLOOKUP('Source VoT'!$E$27,'Annual Parameters'!$B$33:$W$143,3,FALSE)</f>
        <v>44.94629237332633</v>
      </c>
      <c r="AL82" s="73">
        <f>'Source VoT'!$D$29*VLOOKUP($B82,'Indirect tax correction'!$B$27:$I$127,7,FALSE)*VLOOKUP($B82,'Annual Parameters'!$B$33:$W$143,21,FALSE)/VLOOKUP('Source VoT'!$F$27,'Annual Parameters'!$B$33:$W$143,21,FALSE)*VLOOKUP($B$14,'Annual Parameters'!$B$33:$W$143,3,FALSE)/VLOOKUP('Source VoT'!$E$27,'Annual Parameters'!$B$33:$W$143,3,FALSE)</f>
        <v>30.948994725517053</v>
      </c>
      <c r="AM82" s="73">
        <f>'Source VoT'!$D$30*VLOOKUP($B82,'Indirect tax correction'!$B$27:$I$127,7,FALSE)*VLOOKUP($B82,'Annual Parameters'!$B$33:$W$143,21,FALSE)/VLOOKUP('Source VoT'!$F$27,'Annual Parameters'!$B$33:$W$143,21,FALSE)*VLOOKUP($B$14,'Annual Parameters'!$B$33:$W$143,3,FALSE)/VLOOKUP('Source VoT'!$E$27,'Annual Parameters'!$B$33:$W$143,3,FALSE)</f>
        <v>36.465366470574487</v>
      </c>
      <c r="AN82" s="73">
        <f>'Source VoT'!$D$31*VLOOKUP($B82,'Indirect tax correction'!$B$27:$I$127,7,FALSE)*VLOOKUP($B82,'Annual Parameters'!$B$33:$W$143,21,FALSE)/VLOOKUP('Source VoT'!$F$27,'Annual Parameters'!$B$33:$W$143,21,FALSE)*VLOOKUP($B$14,'Annual Parameters'!$B$33:$W$143,3,FALSE)/VLOOKUP('Source VoT'!$E$27,'Annual Parameters'!$B$33:$W$143,3,FALSE)</f>
        <v>37.253419577011265</v>
      </c>
      <c r="AO82" s="73">
        <f>'Source VoT'!$D$32*VLOOKUP($B82,'Indirect tax correction'!$B$27:$I$127,7,FALSE)*VLOOKUP($B82,'Annual Parameters'!$B$33:$W$143,21,FALSE)/VLOOKUP('Source VoT'!$F$27,'Annual Parameters'!$B$33:$W$143,21,FALSE)*VLOOKUP($B$14,'Annual Parameters'!$B$33:$W$143,3,FALSE)/VLOOKUP('Source VoT'!$E$27,'Annual Parameters'!$B$33:$W$143,3,FALSE)</f>
        <v>25.47042532520279</v>
      </c>
      <c r="AP82" s="73">
        <f>'Source VoT'!$D$33*VLOOKUP($B82,'Indirect tax correction'!$B$27:$I$127,7,FALSE)*VLOOKUP($B82,'Annual Parameters'!$B$33:$W$143,21,FALSE)/VLOOKUP('Source VoT'!$F$27,'Annual Parameters'!$B$33:$W$143,21,FALSE)*VLOOKUP($B$14,'Annual Parameters'!$B$33:$W$143,3,FALSE)/VLOOKUP('Source VoT'!$E$27,'Annual Parameters'!$B$33:$W$143,3,FALSE)</f>
        <v>32.91912749160899</v>
      </c>
      <c r="AQ82" s="73">
        <f>'Source VoT'!$D$34*VLOOKUP($B82,'Indirect tax correction'!$B$27:$I$127,7,FALSE)*VLOOKUP($B82,'Annual Parameters'!$B$33:$W$143,21,FALSE)/VLOOKUP('Source VoT'!$F$27,'Annual Parameters'!$B$33:$W$143,21,FALSE)*VLOOKUP($B$14,'Annual Parameters'!$B$33:$W$143,3,FALSE)/VLOOKUP('Source VoT'!$E$27,'Annual Parameters'!$B$33:$W$143,3,FALSE)</f>
        <v>44.94629237332633</v>
      </c>
      <c r="AR82" s="73">
        <f>'Source VoT'!$D$35*VLOOKUP($B82,'Indirect tax correction'!$B$27:$I$127,7,FALSE)*VLOOKUP($B82,'Annual Parameters'!$B$33:$W$143,21,FALSE)/VLOOKUP('Source VoT'!$F$27,'Annual Parameters'!$B$33:$W$143,21,FALSE)*VLOOKUP($B$14,'Annual Parameters'!$B$33:$W$143,3,FALSE)/VLOOKUP('Source VoT'!$E$27,'Annual Parameters'!$B$33:$W$143,3,FALSE)</f>
        <v>74.139465980830352</v>
      </c>
      <c r="AS82" s="73">
        <f>'Source VoT'!$D$36*VLOOKUP($B82,'Indirect tax correction'!$B$27:$I$127,7,FALSE)*VLOOKUP($B82,'Annual Parameters'!$B$33:$W$143,21,FALSE)/VLOOKUP('Source VoT'!$F$27,'Annual Parameters'!$B$33:$W$143,21,FALSE)*VLOOKUP($B$14,'Annual Parameters'!$B$33:$W$143,3,FALSE)/VLOOKUP('Source VoT'!$E$27,'Annual Parameters'!$B$33:$W$143,3,FALSE)</f>
        <v>25.47042532520279</v>
      </c>
      <c r="AT82" s="73">
        <f>'Source VoT'!$D$37*VLOOKUP($B82,'Indirect tax correction'!$B$27:$I$127,7,FALSE)*VLOOKUP($B82,'Annual Parameters'!$B$33:$W$143,21,FALSE)/VLOOKUP('Source VoT'!$F$27,'Annual Parameters'!$B$33:$W$143,21,FALSE)*VLOOKUP($B$14,'Annual Parameters'!$B$33:$W$143,3,FALSE)/VLOOKUP('Source VoT'!$E$27,'Annual Parameters'!$B$33:$W$143,3,FALSE)</f>
        <v>25.47042532520279</v>
      </c>
      <c r="AU82" s="73">
        <f>'Source VoT'!$D$38*VLOOKUP($B82,'Indirect tax correction'!$B$27:$I$127,7,FALSE)*VLOOKUP($B82,'Annual Parameters'!$B$33:$W$143,21,FALSE)/VLOOKUP('Source VoT'!$F$27,'Annual Parameters'!$B$33:$W$143,21,FALSE)*VLOOKUP($B$14,'Annual Parameters'!$B$33:$W$143,3,FALSE)/VLOOKUP('Source VoT'!$E$27,'Annual Parameters'!$B$33:$W$143,3,FALSE)</f>
        <v>25.47042532520279</v>
      </c>
      <c r="AV82" s="73">
        <f>'Source VoT'!$D$39*VLOOKUP($B82,'Indirect tax correction'!$B$27:$I$127,7,FALSE)*VLOOKUP($B82,'Annual Parameters'!$B$33:$W$143,21,FALSE)/VLOOKUP('Source VoT'!$F$27,'Annual Parameters'!$B$33:$W$143,21,FALSE)*VLOOKUP($B$14,'Annual Parameters'!$B$33:$W$143,3,FALSE)/VLOOKUP('Source VoT'!$E$27,'Annual Parameters'!$B$33:$W$143,3,FALSE)</f>
        <v>44.94629237332633</v>
      </c>
      <c r="AW82" s="74">
        <f>'Source VoT'!$D$40*VLOOKUP($B82,'Indirect tax correction'!$B$27:$I$127,7,FALSE)*VLOOKUP($B82,'Annual Parameters'!$B$33:$W$143,21,FALSE)/VLOOKUP('Source VoT'!$F$27,'Annual Parameters'!$B$33:$W$143,21,FALSE)*VLOOKUP($B$14,'Annual Parameters'!$B$33:$W$143,3,FALSE)/VLOOKUP('Source VoT'!$E$27,'Annual Parameters'!$B$33:$W$143,3,FALSE)</f>
        <v>48.956768687208211</v>
      </c>
      <c r="AX82" s="73">
        <f>'Source VoT'!$D$45*VLOOKUP($B82,'Indirect tax correction'!$B$27:$I$127,8,FALSE)*VLOOKUP($B82,'Annual Parameters'!$B$33:$W$143,22,FALSE)/VLOOKUP('Source VoT'!$F$27,'Annual Parameters'!$B$33:$W$143,22,FALSE)*VLOOKUP($B$14,'Annual Parameters'!$B$33:$W$143,3,FALSE)/VLOOKUP('Source VoT'!$E$27,'Annual Parameters'!$B$33:$W$143,3,FALSE)</f>
        <v>25.290167630965367</v>
      </c>
      <c r="AY82" s="74">
        <f>'Source VoT'!$D$46*VLOOKUP($B82,'Indirect tax correction'!$B$27:$I$127,8,FALSE)*VLOOKUP($B82,'Annual Parameters'!$B$33:$W$143,22,FALSE)/VLOOKUP('Source VoT'!$F$27,'Annual Parameters'!$B$33:$W$143,22,FALSE)*VLOOKUP($B$14,'Annual Parameters'!$B$33:$W$143,3,FALSE)/VLOOKUP('Source VoT'!$E$27,'Annual Parameters'!$B$33:$W$143,3,FALSE)</f>
        <v>11.543191467774502</v>
      </c>
      <c r="AZ82" s="2875"/>
      <c r="BA82" s="2875"/>
      <c r="BB82" s="2875"/>
      <c r="BC82" s="2875"/>
      <c r="BD82" s="2875"/>
      <c r="BE82" s="2875"/>
      <c r="BF82" s="2875"/>
      <c r="BG82" s="2875"/>
    </row>
    <row r="83" spans="1:59" ht="13.5" customHeight="1">
      <c r="A83" s="90"/>
      <c r="B83" s="82">
        <f t="shared" si="0"/>
        <v>2066</v>
      </c>
      <c r="C83" s="82"/>
      <c r="D83" s="117">
        <f>'Source VoT'!$D$27*VLOOKUP($B83,'Indirect tax correction'!$B$27:$I$127,5,FALSE)*VLOOKUP($B83,'Annual Parameters'!$B$33:$W$143,21,FALSE)/VLOOKUP('Source VoT'!$F$27,'Annual Parameters'!$B$33:$W$143,21,FALSE)*VLOOKUP($B$14,'Annual Parameters'!$B$33:$W$143,3,FALSE)/VLOOKUP('Source VoT'!$E$27,'Annual Parameters'!$B$33:$W$143,3,FALSE)</f>
        <v>38.580218708695689</v>
      </c>
      <c r="E83" s="73">
        <f>'Source VoT'!$D$28*VLOOKUP($B83,'Indirect tax correction'!$B$27:$I$127,5,FALSE)*VLOOKUP($B83,'Annual Parameters'!$B$33:$W$143,21,FALSE)/VLOOKUP('Source VoT'!$F$27,'Annual Parameters'!$B$33:$W$143,21,FALSE)*VLOOKUP($B$14,'Annual Parameters'!$B$33:$W$143,3,FALSE)/VLOOKUP('Source VoT'!$E$27,'Annual Parameters'!$B$33:$W$143,3,FALSE)</f>
        <v>38.580218708695689</v>
      </c>
      <c r="F83" s="73">
        <f>'Source VoT'!$D$29*VLOOKUP($B83,'Indirect tax correction'!$B$27:$I$127,5,FALSE)*VLOOKUP($B83,'Annual Parameters'!$B$33:$W$143,21,FALSE)/VLOOKUP('Source VoT'!$F$27,'Annual Parameters'!$B$33:$W$143,21,FALSE)*VLOOKUP($B$14,'Annual Parameters'!$B$33:$W$143,3,FALSE)/VLOOKUP('Source VoT'!$E$27,'Annual Parameters'!$B$33:$W$143,3,FALSE)</f>
        <v>26.565461182140034</v>
      </c>
      <c r="G83" s="73">
        <f>'Source VoT'!$D$30*VLOOKUP($B83,'Indirect tax correction'!$B$27:$I$127,5,FALSE)*VLOOKUP($B83,'Annual Parameters'!$B$33:$W$143,21,FALSE)/VLOOKUP('Source VoT'!$F$27,'Annual Parameters'!$B$33:$W$143,21,FALSE)*VLOOKUP($B$14,'Annual Parameters'!$B$33:$W$143,3,FALSE)/VLOOKUP('Source VoT'!$E$27,'Annual Parameters'!$B$33:$W$143,3,FALSE)</f>
        <v>31.300508661364066</v>
      </c>
      <c r="H83" s="73">
        <f>'Source VoT'!$D$31*VLOOKUP($B83,'Indirect tax correction'!$B$27:$I$127,5,FALSE)*VLOOKUP($B83,'Annual Parameters'!$B$33:$W$143,21,FALSE)/VLOOKUP('Source VoT'!$F$27,'Annual Parameters'!$B$33:$W$143,21,FALSE)*VLOOKUP($B$14,'Annual Parameters'!$B$33:$W$143,3,FALSE)/VLOOKUP('Source VoT'!$E$27,'Annual Parameters'!$B$33:$W$143,3,FALSE)</f>
        <v>31.97694401553893</v>
      </c>
      <c r="I83" s="73">
        <f>'Source VoT'!$D$32*VLOOKUP($B83,'Indirect tax correction'!$B$27:$I$127,5,FALSE)*VLOOKUP($B83,'Annual Parameters'!$B$33:$W$143,21,FALSE)/VLOOKUP('Source VoT'!$F$27,'Annual Parameters'!$B$33:$W$143,21,FALSE)*VLOOKUP($B$14,'Annual Parameters'!$B$33:$W$143,3,FALSE)/VLOOKUP('Source VoT'!$E$27,'Annual Parameters'!$B$33:$W$143,3,FALSE)</f>
        <v>21.862861823792791</v>
      </c>
      <c r="J83" s="73">
        <f>'Source VoT'!$D$33*VLOOKUP($B83,'Indirect tax correction'!$B$27:$I$127,5,FALSE)*VLOOKUP($B83,'Annual Parameters'!$B$33:$W$143,21,FALSE)/VLOOKUP('Source VoT'!$F$27,'Annual Parameters'!$B$33:$W$143,21,FALSE)*VLOOKUP($B$14,'Annual Parameters'!$B$33:$W$143,3,FALSE)/VLOOKUP('Source VoT'!$E$27,'Annual Parameters'!$B$33:$W$143,3,FALSE)</f>
        <v>28.256549567577181</v>
      </c>
      <c r="K83" s="73">
        <f>'Source VoT'!$D$34*VLOOKUP($B83,'Indirect tax correction'!$B$27:$I$127,5,FALSE)*VLOOKUP($B83,'Annual Parameters'!$B$33:$W$143,21,FALSE)/VLOOKUP('Source VoT'!$F$27,'Annual Parameters'!$B$33:$W$143,21,FALSE)*VLOOKUP($B$14,'Annual Parameters'!$B$33:$W$143,3,FALSE)/VLOOKUP('Source VoT'!$E$27,'Annual Parameters'!$B$33:$W$143,3,FALSE)</f>
        <v>38.580218708695689</v>
      </c>
      <c r="L83" s="73">
        <f>'Source VoT'!$D$35*VLOOKUP($B83,'Indirect tax correction'!$B$27:$I$127,5,FALSE)*VLOOKUP($B83,'Annual Parameters'!$B$33:$W$143,21,FALSE)/VLOOKUP('Source VoT'!$F$27,'Annual Parameters'!$B$33:$W$143,21,FALSE)*VLOOKUP($B$14,'Annual Parameters'!$B$33:$W$143,3,FALSE)/VLOOKUP('Source VoT'!$E$27,'Annual Parameters'!$B$33:$W$143,3,FALSE)</f>
        <v>63.638548619948281</v>
      </c>
      <c r="M83" s="73">
        <f>'Source VoT'!$D$36*VLOOKUP($B83,'Indirect tax correction'!$B$27:$I$127,5,FALSE)*VLOOKUP($B83,'Annual Parameters'!$B$33:$W$143,21,FALSE)/VLOOKUP('Source VoT'!$F$27,'Annual Parameters'!$B$33:$W$143,21,FALSE)*VLOOKUP($B$14,'Annual Parameters'!$B$33:$W$143,3,FALSE)/VLOOKUP('Source VoT'!$E$27,'Annual Parameters'!$B$33:$W$143,3,FALSE)</f>
        <v>21.862861823792791</v>
      </c>
      <c r="N83" s="73">
        <f>'Source VoT'!$D$37*VLOOKUP($B83,'Indirect tax correction'!$B$27:$I$127,5,FALSE)*VLOOKUP($B83,'Annual Parameters'!$B$33:$W$143,21,FALSE)/VLOOKUP('Source VoT'!$F$27,'Annual Parameters'!$B$33:$W$143,21,FALSE)*VLOOKUP($B$14,'Annual Parameters'!$B$33:$W$143,3,FALSE)/VLOOKUP('Source VoT'!$E$27,'Annual Parameters'!$B$33:$W$143,3,FALSE)</f>
        <v>21.862861823792791</v>
      </c>
      <c r="O83" s="73">
        <f>'Source VoT'!$D$38*VLOOKUP($B83,'Indirect tax correction'!$B$27:$I$127,5,FALSE)*VLOOKUP($B83,'Annual Parameters'!$B$33:$W$143,21,FALSE)/VLOOKUP('Source VoT'!$F$27,'Annual Parameters'!$B$33:$W$143,21,FALSE)*VLOOKUP($B$14,'Annual Parameters'!$B$33:$W$143,3,FALSE)/VLOOKUP('Source VoT'!$E$27,'Annual Parameters'!$B$33:$W$143,3,FALSE)</f>
        <v>21.862861823792791</v>
      </c>
      <c r="P83" s="73">
        <f>'Source VoT'!$D$39*VLOOKUP($B83,'Indirect tax correction'!$B$27:$I$127,5,FALSE)*VLOOKUP($B83,'Annual Parameters'!$B$33:$W$143,21,FALSE)/VLOOKUP('Source VoT'!$F$27,'Annual Parameters'!$B$33:$W$143,21,FALSE)*VLOOKUP($B$14,'Annual Parameters'!$B$33:$W$143,3,FALSE)/VLOOKUP('Source VoT'!$E$27,'Annual Parameters'!$B$33:$W$143,3,FALSE)</f>
        <v>38.580218708695689</v>
      </c>
      <c r="Q83" s="74">
        <f>'Source VoT'!$D$40*VLOOKUP($B83,'Indirect tax correction'!$B$27:$I$127,5,FALSE)*VLOOKUP($B83,'Annual Parameters'!$B$33:$W$143,21,FALSE)/VLOOKUP('Source VoT'!$F$27,'Annual Parameters'!$B$33:$W$143,21,FALSE)*VLOOKUP($B$14,'Annual Parameters'!$B$33:$W$143,3,FALSE)/VLOOKUP('Source VoT'!$E$27,'Annual Parameters'!$B$33:$W$143,3,FALSE)</f>
        <v>42.022661792330993</v>
      </c>
      <c r="R83" s="73">
        <f>'Source VoT'!$D$45*VLOOKUP($B83,'Indirect tax correction'!$B$27:$I$127,6,FALSE)*VLOOKUP($B83,'Annual Parameters'!$B$33:$W$143,22,FALSE)/VLOOKUP('Source VoT'!$F$27,'Annual Parameters'!$B$33:$W$143,22,FALSE)*VLOOKUP($B$14,'Annual Parameters'!$B$33:$W$143,3,FALSE)/VLOOKUP('Source VoT'!$E$27,'Annual Parameters'!$B$33:$W$143,3,FALSE)</f>
        <v>21.708135351365616</v>
      </c>
      <c r="S83" s="73">
        <f>'Source VoT'!$D$46*VLOOKUP($B83,'Indirect tax correction'!$B$27:$I$127,6,FALSE)*VLOOKUP($B83,'Annual Parameters'!$B$33:$W$143,22,FALSE)/VLOOKUP('Source VoT'!$F$27,'Annual Parameters'!$B$33:$W$143,22,FALSE)*VLOOKUP($B$14,'Annual Parameters'!$B$33:$W$143,3,FALSE)/VLOOKUP('Source VoT'!$E$27,'Annual Parameters'!$B$33:$W$143,3,FALSE)</f>
        <v>9.9082444381414536</v>
      </c>
      <c r="T83" s="117">
        <f>'Source VoT'!$D$27*1*VLOOKUP($B83,'Annual Parameters'!$B$33:$W$143,21,FALSE)/VLOOKUP('Source VoT'!$F$27,'Annual Parameters'!$B$33:$W$143,21,FALSE)*VLOOKUP($B$14,'Annual Parameters'!$B$33:$W$143,3,FALSE)/VLOOKUP('Source VoT'!$E$27,'Annual Parameters'!$B$33:$W$143,3,FALSE)</f>
        <v>38.580218708695689</v>
      </c>
      <c r="U83" s="73">
        <f>'Source VoT'!$D$28*1*VLOOKUP($B83,'Annual Parameters'!$B$33:$W$143,21,FALSE)/VLOOKUP('Source VoT'!$F$27,'Annual Parameters'!$B$33:$W$143,21,FALSE)*VLOOKUP($B$14,'Annual Parameters'!$B$33:$W$143,3,FALSE)/VLOOKUP('Source VoT'!$E$27,'Annual Parameters'!$B$33:$W$143,3,FALSE)</f>
        <v>38.580218708695689</v>
      </c>
      <c r="V83" s="73">
        <f>'Source VoT'!$D$29*1*VLOOKUP($B83,'Annual Parameters'!$B$33:$W$143,21,FALSE)/VLOOKUP('Source VoT'!$F$27,'Annual Parameters'!$B$33:$W$143,21,FALSE)*VLOOKUP($B$14,'Annual Parameters'!$B$33:$W$143,3,FALSE)/VLOOKUP('Source VoT'!$E$27,'Annual Parameters'!$B$33:$W$143,3,FALSE)</f>
        <v>26.565461182140034</v>
      </c>
      <c r="W83" s="73">
        <f>'Source VoT'!$D$30*1*VLOOKUP($B83,'Annual Parameters'!$B$33:$W$143,21,FALSE)/VLOOKUP('Source VoT'!$F$27,'Annual Parameters'!$B$33:$W$143,21,FALSE)*VLOOKUP($B$14,'Annual Parameters'!$B$33:$W$143,3,FALSE)/VLOOKUP('Source VoT'!$E$27,'Annual Parameters'!$B$33:$W$143,3,FALSE)</f>
        <v>31.300508661364066</v>
      </c>
      <c r="X83" s="73">
        <f>'Source VoT'!$D$31*1*VLOOKUP($B83,'Annual Parameters'!$B$33:$W$143,21,FALSE)/VLOOKUP('Source VoT'!$F$27,'Annual Parameters'!$B$33:$W$143,21,FALSE)*VLOOKUP($B$14,'Annual Parameters'!$B$33:$W$143,3,FALSE)/VLOOKUP('Source VoT'!$E$27,'Annual Parameters'!$B$33:$W$143,3,FALSE)</f>
        <v>31.97694401553893</v>
      </c>
      <c r="Y83" s="73">
        <f>'Source VoT'!$D$32*1*VLOOKUP($B83,'Annual Parameters'!$B$33:$W$143,21,FALSE)/VLOOKUP('Source VoT'!$F$27,'Annual Parameters'!$B$33:$W$143,21,FALSE)*VLOOKUP($B$14,'Annual Parameters'!$B$33:$W$143,3,FALSE)/VLOOKUP('Source VoT'!$E$27,'Annual Parameters'!$B$33:$W$143,3,FALSE)</f>
        <v>21.862861823792791</v>
      </c>
      <c r="Z83" s="73">
        <f>'Source VoT'!$D$33*1*VLOOKUP($B83,'Annual Parameters'!$B$33:$W$143,21,FALSE)/VLOOKUP('Source VoT'!$F$27,'Annual Parameters'!$B$33:$W$143,21,FALSE)*VLOOKUP($B$14,'Annual Parameters'!$B$33:$W$143,3,FALSE)/VLOOKUP('Source VoT'!$E$27,'Annual Parameters'!$B$33:$W$143,3,FALSE)</f>
        <v>28.256549567577181</v>
      </c>
      <c r="AA83" s="73">
        <f>'Source VoT'!$D$34*1*VLOOKUP($B83,'Annual Parameters'!$B$33:$W$143,21,FALSE)/VLOOKUP('Source VoT'!$F$27,'Annual Parameters'!$B$33:$W$143,21,FALSE)*VLOOKUP($B$14,'Annual Parameters'!$B$33:$W$143,3,FALSE)/VLOOKUP('Source VoT'!$E$27,'Annual Parameters'!$B$33:$W$143,3,FALSE)</f>
        <v>38.580218708695689</v>
      </c>
      <c r="AB83" s="73">
        <f>'Source VoT'!$D$35*1*VLOOKUP($B83,'Annual Parameters'!$B$33:$W$143,21,FALSE)/VLOOKUP('Source VoT'!$F$27,'Annual Parameters'!$B$33:$W$143,21,FALSE)*VLOOKUP($B$14,'Annual Parameters'!$B$33:$W$143,3,FALSE)/VLOOKUP('Source VoT'!$E$27,'Annual Parameters'!$B$33:$W$143,3,FALSE)</f>
        <v>63.638548619948281</v>
      </c>
      <c r="AC83" s="73">
        <f>'Source VoT'!$D$36*1*VLOOKUP($B83,'Annual Parameters'!$B$33:$W$143,21,FALSE)/VLOOKUP('Source VoT'!$F$27,'Annual Parameters'!$B$33:$W$143,21,FALSE)*VLOOKUP($B$14,'Annual Parameters'!$B$33:$W$143,3,FALSE)/VLOOKUP('Source VoT'!$E$27,'Annual Parameters'!$B$33:$W$143,3,FALSE)</f>
        <v>21.862861823792791</v>
      </c>
      <c r="AD83" s="73">
        <f>'Source VoT'!$D$37*1*VLOOKUP($B83,'Annual Parameters'!$B$33:$W$143,21,FALSE)/VLOOKUP('Source VoT'!$F$27,'Annual Parameters'!$B$33:$W$143,21,FALSE)*VLOOKUP($B$14,'Annual Parameters'!$B$33:$W$143,3,FALSE)/VLOOKUP('Source VoT'!$E$27,'Annual Parameters'!$B$33:$W$143,3,FALSE)</f>
        <v>21.862861823792791</v>
      </c>
      <c r="AE83" s="73">
        <f>'Source VoT'!$D$38*1*VLOOKUP($B83,'Annual Parameters'!$B$33:$W$143,21,FALSE)/VLOOKUP('Source VoT'!$F$27,'Annual Parameters'!$B$33:$W$143,21,FALSE)*VLOOKUP($B$14,'Annual Parameters'!$B$33:$W$143,3,FALSE)/VLOOKUP('Source VoT'!$E$27,'Annual Parameters'!$B$33:$W$143,3,FALSE)</f>
        <v>21.862861823792791</v>
      </c>
      <c r="AF83" s="73">
        <f>'Source VoT'!$D$39*1*VLOOKUP($B83,'Annual Parameters'!$B$33:$W$143,21,FALSE)/VLOOKUP('Source VoT'!$F$27,'Annual Parameters'!$B$33:$W$143,21,FALSE)*VLOOKUP($B$14,'Annual Parameters'!$B$33:$W$143,3,FALSE)/VLOOKUP('Source VoT'!$E$27,'Annual Parameters'!$B$33:$W$143,3,FALSE)</f>
        <v>38.580218708695689</v>
      </c>
      <c r="AG83" s="74">
        <f>'Source VoT'!$D$40*1*VLOOKUP($B83,'Annual Parameters'!$B$33:$W$143,21,FALSE)/VLOOKUP('Source VoT'!$F$27,'Annual Parameters'!$B$33:$W$143,21,FALSE)*VLOOKUP($B$14,'Annual Parameters'!$B$33:$W$143,3,FALSE)/VLOOKUP('Source VoT'!$E$27,'Annual Parameters'!$B$33:$W$143,3,FALSE)</f>
        <v>42.022661792330993</v>
      </c>
      <c r="AH83" s="73">
        <f>'Source VoT'!$D$45*1*VLOOKUP($B83,'Annual Parameters'!$B$33:$W$143,22,FALSE)/VLOOKUP('Source VoT'!$F$27,'Annual Parameters'!$B$33:$W$143,22,FALSE)*VLOOKUP($B$14,'Annual Parameters'!$B$33:$W$143,3,FALSE)/VLOOKUP('Source VoT'!$E$27,'Annual Parameters'!$B$33:$W$143,3,FALSE)</f>
        <v>25.832681068125083</v>
      </c>
      <c r="AI83" s="73">
        <f>'Source VoT'!$D$46*1*VLOOKUP($B83,'Annual Parameters'!$B$33:$W$143,22,FALSE)/VLOOKUP('Source VoT'!$F$27,'Annual Parameters'!$B$33:$W$143,22,FALSE)*VLOOKUP($B$14,'Annual Parameters'!$B$33:$W$143,3,FALSE)/VLOOKUP('Source VoT'!$E$27,'Annual Parameters'!$B$33:$W$143,3,FALSE)</f>
        <v>11.79081088138833</v>
      </c>
      <c r="AJ83" s="117">
        <f>'Source VoT'!$D$27*VLOOKUP($B83,'Indirect tax correction'!$B$27:$I$127,7,FALSE)*VLOOKUP($B83,'Annual Parameters'!$B$33:$W$143,21,FALSE)/VLOOKUP('Source VoT'!$F$27,'Annual Parameters'!$B$33:$W$143,21,FALSE)*VLOOKUP($B$14,'Annual Parameters'!$B$33:$W$143,3,FALSE)/VLOOKUP('Source VoT'!$E$27,'Annual Parameters'!$B$33:$W$143,3,FALSE)</f>
        <v>45.910460263347865</v>
      </c>
      <c r="AK83" s="73">
        <f>'Source VoT'!$D$28*VLOOKUP($B83,'Indirect tax correction'!$B$27:$I$127,7,FALSE)*VLOOKUP($B83,'Annual Parameters'!$B$33:$W$143,21,FALSE)/VLOOKUP('Source VoT'!$F$27,'Annual Parameters'!$B$33:$W$143,21,FALSE)*VLOOKUP($B$14,'Annual Parameters'!$B$33:$W$143,3,FALSE)/VLOOKUP('Source VoT'!$E$27,'Annual Parameters'!$B$33:$W$143,3,FALSE)</f>
        <v>45.910460263347865</v>
      </c>
      <c r="AL83" s="73">
        <f>'Source VoT'!$D$29*VLOOKUP($B83,'Indirect tax correction'!$B$27:$I$127,7,FALSE)*VLOOKUP($B83,'Annual Parameters'!$B$33:$W$143,21,FALSE)/VLOOKUP('Source VoT'!$F$27,'Annual Parameters'!$B$33:$W$143,21,FALSE)*VLOOKUP($B$14,'Annual Parameters'!$B$33:$W$143,3,FALSE)/VLOOKUP('Source VoT'!$E$27,'Annual Parameters'!$B$33:$W$143,3,FALSE)</f>
        <v>31.612898806746635</v>
      </c>
      <c r="AM83" s="73">
        <f>'Source VoT'!$D$30*VLOOKUP($B83,'Indirect tax correction'!$B$27:$I$127,7,FALSE)*VLOOKUP($B83,'Annual Parameters'!$B$33:$W$143,21,FALSE)/VLOOKUP('Source VoT'!$F$27,'Annual Parameters'!$B$33:$W$143,21,FALSE)*VLOOKUP($B$14,'Annual Parameters'!$B$33:$W$143,3,FALSE)/VLOOKUP('Source VoT'!$E$27,'Annual Parameters'!$B$33:$W$143,3,FALSE)</f>
        <v>37.247605307023235</v>
      </c>
      <c r="AN83" s="73">
        <f>'Source VoT'!$D$31*VLOOKUP($B83,'Indirect tax correction'!$B$27:$I$127,7,FALSE)*VLOOKUP($B83,'Annual Parameters'!$B$33:$W$143,21,FALSE)/VLOOKUP('Source VoT'!$F$27,'Annual Parameters'!$B$33:$W$143,21,FALSE)*VLOOKUP($B$14,'Annual Parameters'!$B$33:$W$143,3,FALSE)/VLOOKUP('Source VoT'!$E$27,'Annual Parameters'!$B$33:$W$143,3,FALSE)</f>
        <v>38.052563378491321</v>
      </c>
      <c r="AO83" s="73">
        <f>'Source VoT'!$D$32*VLOOKUP($B83,'Indirect tax correction'!$B$27:$I$127,7,FALSE)*VLOOKUP($B83,'Annual Parameters'!$B$33:$W$143,21,FALSE)/VLOOKUP('Source VoT'!$F$27,'Annual Parameters'!$B$33:$W$143,21,FALSE)*VLOOKUP($B$14,'Annual Parameters'!$B$33:$W$143,3,FALSE)/VLOOKUP('Source VoT'!$E$27,'Annual Parameters'!$B$33:$W$143,3,FALSE)</f>
        <v>26.016805570313419</v>
      </c>
      <c r="AP83" s="73">
        <f>'Source VoT'!$D$33*VLOOKUP($B83,'Indirect tax correction'!$B$27:$I$127,7,FALSE)*VLOOKUP($B83,'Annual Parameters'!$B$33:$W$143,21,FALSE)/VLOOKUP('Source VoT'!$F$27,'Annual Parameters'!$B$33:$W$143,21,FALSE)*VLOOKUP($B$14,'Annual Parameters'!$B$33:$W$143,3,FALSE)/VLOOKUP('Source VoT'!$E$27,'Annual Parameters'!$B$33:$W$143,3,FALSE)</f>
        <v>33.625293985416846</v>
      </c>
      <c r="AQ83" s="73">
        <f>'Source VoT'!$D$34*VLOOKUP($B83,'Indirect tax correction'!$B$27:$I$127,7,FALSE)*VLOOKUP($B83,'Annual Parameters'!$B$33:$W$143,21,FALSE)/VLOOKUP('Source VoT'!$F$27,'Annual Parameters'!$B$33:$W$143,21,FALSE)*VLOOKUP($B$14,'Annual Parameters'!$B$33:$W$143,3,FALSE)/VLOOKUP('Source VoT'!$E$27,'Annual Parameters'!$B$33:$W$143,3,FALSE)</f>
        <v>45.910460263347865</v>
      </c>
      <c r="AR83" s="73">
        <f>'Source VoT'!$D$35*VLOOKUP($B83,'Indirect tax correction'!$B$27:$I$127,7,FALSE)*VLOOKUP($B83,'Annual Parameters'!$B$33:$W$143,21,FALSE)/VLOOKUP('Source VoT'!$F$27,'Annual Parameters'!$B$33:$W$143,21,FALSE)*VLOOKUP($B$14,'Annual Parameters'!$B$33:$W$143,3,FALSE)/VLOOKUP('Source VoT'!$E$27,'Annual Parameters'!$B$33:$W$143,3,FALSE)</f>
        <v>75.729872857738471</v>
      </c>
      <c r="AS83" s="73">
        <f>'Source VoT'!$D$36*VLOOKUP($B83,'Indirect tax correction'!$B$27:$I$127,7,FALSE)*VLOOKUP($B83,'Annual Parameters'!$B$33:$W$143,21,FALSE)/VLOOKUP('Source VoT'!$F$27,'Annual Parameters'!$B$33:$W$143,21,FALSE)*VLOOKUP($B$14,'Annual Parameters'!$B$33:$W$143,3,FALSE)/VLOOKUP('Source VoT'!$E$27,'Annual Parameters'!$B$33:$W$143,3,FALSE)</f>
        <v>26.016805570313419</v>
      </c>
      <c r="AT83" s="73">
        <f>'Source VoT'!$D$37*VLOOKUP($B83,'Indirect tax correction'!$B$27:$I$127,7,FALSE)*VLOOKUP($B83,'Annual Parameters'!$B$33:$W$143,21,FALSE)/VLOOKUP('Source VoT'!$F$27,'Annual Parameters'!$B$33:$W$143,21,FALSE)*VLOOKUP($B$14,'Annual Parameters'!$B$33:$W$143,3,FALSE)/VLOOKUP('Source VoT'!$E$27,'Annual Parameters'!$B$33:$W$143,3,FALSE)</f>
        <v>26.016805570313419</v>
      </c>
      <c r="AU83" s="73">
        <f>'Source VoT'!$D$38*VLOOKUP($B83,'Indirect tax correction'!$B$27:$I$127,7,FALSE)*VLOOKUP($B83,'Annual Parameters'!$B$33:$W$143,21,FALSE)/VLOOKUP('Source VoT'!$F$27,'Annual Parameters'!$B$33:$W$143,21,FALSE)*VLOOKUP($B$14,'Annual Parameters'!$B$33:$W$143,3,FALSE)/VLOOKUP('Source VoT'!$E$27,'Annual Parameters'!$B$33:$W$143,3,FALSE)</f>
        <v>26.016805570313419</v>
      </c>
      <c r="AV83" s="73">
        <f>'Source VoT'!$D$39*VLOOKUP($B83,'Indirect tax correction'!$B$27:$I$127,7,FALSE)*VLOOKUP($B83,'Annual Parameters'!$B$33:$W$143,21,FALSE)/VLOOKUP('Source VoT'!$F$27,'Annual Parameters'!$B$33:$W$143,21,FALSE)*VLOOKUP($B$14,'Annual Parameters'!$B$33:$W$143,3,FALSE)/VLOOKUP('Source VoT'!$E$27,'Annual Parameters'!$B$33:$W$143,3,FALSE)</f>
        <v>45.910460263347865</v>
      </c>
      <c r="AW83" s="74">
        <f>'Source VoT'!$D$40*VLOOKUP($B83,'Indirect tax correction'!$B$27:$I$127,7,FALSE)*VLOOKUP($B83,'Annual Parameters'!$B$33:$W$143,21,FALSE)/VLOOKUP('Source VoT'!$F$27,'Annual Parameters'!$B$33:$W$143,21,FALSE)*VLOOKUP($B$14,'Annual Parameters'!$B$33:$W$143,3,FALSE)/VLOOKUP('Source VoT'!$E$27,'Annual Parameters'!$B$33:$W$143,3,FALSE)</f>
        <v>50.00696753287388</v>
      </c>
      <c r="AX83" s="73">
        <f>'Source VoT'!$D$45*VLOOKUP($B83,'Indirect tax correction'!$B$27:$I$127,8,FALSE)*VLOOKUP($B83,'Annual Parameters'!$B$33:$W$143,22,FALSE)/VLOOKUP('Source VoT'!$F$27,'Annual Parameters'!$B$33:$W$143,22,FALSE)*VLOOKUP($B$14,'Annual Parameters'!$B$33:$W$143,3,FALSE)/VLOOKUP('Source VoT'!$E$27,'Annual Parameters'!$B$33:$W$143,3,FALSE)</f>
        <v>25.832681068125083</v>
      </c>
      <c r="AY83" s="74">
        <f>'Source VoT'!$D$46*VLOOKUP($B83,'Indirect tax correction'!$B$27:$I$127,8,FALSE)*VLOOKUP($B83,'Annual Parameters'!$B$33:$W$143,22,FALSE)/VLOOKUP('Source VoT'!$F$27,'Annual Parameters'!$B$33:$W$143,22,FALSE)*VLOOKUP($B$14,'Annual Parameters'!$B$33:$W$143,3,FALSE)/VLOOKUP('Source VoT'!$E$27,'Annual Parameters'!$B$33:$W$143,3,FALSE)</f>
        <v>11.79081088138833</v>
      </c>
      <c r="AZ83" s="2875"/>
      <c r="BA83" s="2875"/>
      <c r="BB83" s="2875"/>
      <c r="BC83" s="2875"/>
      <c r="BD83" s="2875"/>
      <c r="BE83" s="2875"/>
      <c r="BF83" s="2875"/>
      <c r="BG83" s="2875"/>
    </row>
    <row r="84" spans="1:59" ht="13.5" customHeight="1">
      <c r="A84" s="90"/>
      <c r="B84" s="82">
        <f t="shared" si="0"/>
        <v>2067</v>
      </c>
      <c r="C84" s="82"/>
      <c r="D84" s="117">
        <f>'Source VoT'!$D$27*VLOOKUP($B84,'Indirect tax correction'!$B$27:$I$127,5,FALSE)*VLOOKUP($B84,'Annual Parameters'!$B$33:$W$143,21,FALSE)/VLOOKUP('Source VoT'!$F$27,'Annual Parameters'!$B$33:$W$143,21,FALSE)*VLOOKUP($B$14,'Annual Parameters'!$B$33:$W$143,3,FALSE)/VLOOKUP('Source VoT'!$E$27,'Annual Parameters'!$B$33:$W$143,3,FALSE)</f>
        <v>39.404745535747523</v>
      </c>
      <c r="E84" s="73">
        <f>'Source VoT'!$D$28*VLOOKUP($B84,'Indirect tax correction'!$B$27:$I$127,5,FALSE)*VLOOKUP($B84,'Annual Parameters'!$B$33:$W$143,21,FALSE)/VLOOKUP('Source VoT'!$F$27,'Annual Parameters'!$B$33:$W$143,21,FALSE)*VLOOKUP($B$14,'Annual Parameters'!$B$33:$W$143,3,FALSE)/VLOOKUP('Source VoT'!$E$27,'Annual Parameters'!$B$33:$W$143,3,FALSE)</f>
        <v>39.404745535747523</v>
      </c>
      <c r="F84" s="73">
        <f>'Source VoT'!$D$29*VLOOKUP($B84,'Indirect tax correction'!$B$27:$I$127,5,FALSE)*VLOOKUP($B84,'Annual Parameters'!$B$33:$W$143,21,FALSE)/VLOOKUP('Source VoT'!$F$27,'Annual Parameters'!$B$33:$W$143,21,FALSE)*VLOOKUP($B$14,'Annual Parameters'!$B$33:$W$143,3,FALSE)/VLOOKUP('Source VoT'!$E$27,'Annual Parameters'!$B$33:$W$143,3,FALSE)</f>
        <v>27.133211603231903</v>
      </c>
      <c r="G84" s="73">
        <f>'Source VoT'!$D$30*VLOOKUP($B84,'Indirect tax correction'!$B$27:$I$127,5,FALSE)*VLOOKUP($B84,'Annual Parameters'!$B$33:$W$143,21,FALSE)/VLOOKUP('Source VoT'!$F$27,'Annual Parameters'!$B$33:$W$143,21,FALSE)*VLOOKUP($B$14,'Annual Parameters'!$B$33:$W$143,3,FALSE)/VLOOKUP('Source VoT'!$E$27,'Annual Parameters'!$B$33:$W$143,3,FALSE)</f>
        <v>31.96945533806722</v>
      </c>
      <c r="H84" s="73">
        <f>'Source VoT'!$D$31*VLOOKUP($B84,'Indirect tax correction'!$B$27:$I$127,5,FALSE)*VLOOKUP($B84,'Annual Parameters'!$B$33:$W$143,21,FALSE)/VLOOKUP('Source VoT'!$F$27,'Annual Parameters'!$B$33:$W$143,21,FALSE)*VLOOKUP($B$14,'Annual Parameters'!$B$33:$W$143,3,FALSE)/VLOOKUP('Source VoT'!$E$27,'Annual Parameters'!$B$33:$W$143,3,FALSE)</f>
        <v>32.660347300186551</v>
      </c>
      <c r="I84" s="73">
        <f>'Source VoT'!$D$32*VLOOKUP($B84,'Indirect tax correction'!$B$27:$I$127,5,FALSE)*VLOOKUP($B84,'Annual Parameters'!$B$33:$W$143,21,FALSE)/VLOOKUP('Source VoT'!$F$27,'Annual Parameters'!$B$33:$W$143,21,FALSE)*VLOOKUP($B$14,'Annual Parameters'!$B$33:$W$143,3,FALSE)/VLOOKUP('Source VoT'!$E$27,'Annual Parameters'!$B$33:$W$143,3,FALSE)</f>
        <v>22.330109462432574</v>
      </c>
      <c r="J84" s="73">
        <f>'Source VoT'!$D$33*VLOOKUP($B84,'Indirect tax correction'!$B$27:$I$127,5,FALSE)*VLOOKUP($B84,'Annual Parameters'!$B$33:$W$143,21,FALSE)/VLOOKUP('Source VoT'!$F$27,'Annual Parameters'!$B$33:$W$143,21,FALSE)*VLOOKUP($B$14,'Annual Parameters'!$B$33:$W$143,3,FALSE)/VLOOKUP('Source VoT'!$E$27,'Annual Parameters'!$B$33:$W$143,3,FALSE)</f>
        <v>28.860441508530229</v>
      </c>
      <c r="K84" s="73">
        <f>'Source VoT'!$D$34*VLOOKUP($B84,'Indirect tax correction'!$B$27:$I$127,5,FALSE)*VLOOKUP($B84,'Annual Parameters'!$B$33:$W$143,21,FALSE)/VLOOKUP('Source VoT'!$F$27,'Annual Parameters'!$B$33:$W$143,21,FALSE)*VLOOKUP($B$14,'Annual Parameters'!$B$33:$W$143,3,FALSE)/VLOOKUP('Source VoT'!$E$27,'Annual Parameters'!$B$33:$W$143,3,FALSE)</f>
        <v>39.404745535747523</v>
      </c>
      <c r="L84" s="73">
        <f>'Source VoT'!$D$35*VLOOKUP($B84,'Indirect tax correction'!$B$27:$I$127,5,FALSE)*VLOOKUP($B84,'Annual Parameters'!$B$33:$W$143,21,FALSE)/VLOOKUP('Source VoT'!$F$27,'Annual Parameters'!$B$33:$W$143,21,FALSE)*VLOOKUP($B$14,'Annual Parameters'!$B$33:$W$143,3,FALSE)/VLOOKUP('Source VoT'!$E$27,'Annual Parameters'!$B$33:$W$143,3,FALSE)</f>
        <v>64.99861583387424</v>
      </c>
      <c r="M84" s="73">
        <f>'Source VoT'!$D$36*VLOOKUP($B84,'Indirect tax correction'!$B$27:$I$127,5,FALSE)*VLOOKUP($B84,'Annual Parameters'!$B$33:$W$143,21,FALSE)/VLOOKUP('Source VoT'!$F$27,'Annual Parameters'!$B$33:$W$143,21,FALSE)*VLOOKUP($B$14,'Annual Parameters'!$B$33:$W$143,3,FALSE)/VLOOKUP('Source VoT'!$E$27,'Annual Parameters'!$B$33:$W$143,3,FALSE)</f>
        <v>22.330109462432574</v>
      </c>
      <c r="N84" s="73">
        <f>'Source VoT'!$D$37*VLOOKUP($B84,'Indirect tax correction'!$B$27:$I$127,5,FALSE)*VLOOKUP($B84,'Annual Parameters'!$B$33:$W$143,21,FALSE)/VLOOKUP('Source VoT'!$F$27,'Annual Parameters'!$B$33:$W$143,21,FALSE)*VLOOKUP($B$14,'Annual Parameters'!$B$33:$W$143,3,FALSE)/VLOOKUP('Source VoT'!$E$27,'Annual Parameters'!$B$33:$W$143,3,FALSE)</f>
        <v>22.330109462432574</v>
      </c>
      <c r="O84" s="73">
        <f>'Source VoT'!$D$38*VLOOKUP($B84,'Indirect tax correction'!$B$27:$I$127,5,FALSE)*VLOOKUP($B84,'Annual Parameters'!$B$33:$W$143,21,FALSE)/VLOOKUP('Source VoT'!$F$27,'Annual Parameters'!$B$33:$W$143,21,FALSE)*VLOOKUP($B$14,'Annual Parameters'!$B$33:$W$143,3,FALSE)/VLOOKUP('Source VoT'!$E$27,'Annual Parameters'!$B$33:$W$143,3,FALSE)</f>
        <v>22.330109462432574</v>
      </c>
      <c r="P84" s="73">
        <f>'Source VoT'!$D$39*VLOOKUP($B84,'Indirect tax correction'!$B$27:$I$127,5,FALSE)*VLOOKUP($B84,'Annual Parameters'!$B$33:$W$143,21,FALSE)/VLOOKUP('Source VoT'!$F$27,'Annual Parameters'!$B$33:$W$143,21,FALSE)*VLOOKUP($B$14,'Annual Parameters'!$B$33:$W$143,3,FALSE)/VLOOKUP('Source VoT'!$E$27,'Annual Parameters'!$B$33:$W$143,3,FALSE)</f>
        <v>39.404745535747523</v>
      </c>
      <c r="Q84" s="74">
        <f>'Source VoT'!$D$40*VLOOKUP($B84,'Indirect tax correction'!$B$27:$I$127,5,FALSE)*VLOOKUP($B84,'Annual Parameters'!$B$33:$W$143,21,FALSE)/VLOOKUP('Source VoT'!$F$27,'Annual Parameters'!$B$33:$W$143,21,FALSE)*VLOOKUP($B$14,'Annual Parameters'!$B$33:$W$143,3,FALSE)/VLOOKUP('Source VoT'!$E$27,'Annual Parameters'!$B$33:$W$143,3,FALSE)</f>
        <v>42.920759655734066</v>
      </c>
      <c r="R84" s="73">
        <f>'Source VoT'!$D$45*VLOOKUP($B84,'Indirect tax correction'!$B$27:$I$127,6,FALSE)*VLOOKUP($B84,'Annual Parameters'!$B$33:$W$143,22,FALSE)/VLOOKUP('Source VoT'!$F$27,'Annual Parameters'!$B$33:$W$143,22,FALSE)*VLOOKUP($B$14,'Annual Parameters'!$B$33:$W$143,3,FALSE)/VLOOKUP('Source VoT'!$E$27,'Annual Parameters'!$B$33:$W$143,3,FALSE)</f>
        <v>22.172076214366452</v>
      </c>
      <c r="S84" s="73">
        <f>'Source VoT'!$D$46*VLOOKUP($B84,'Indirect tax correction'!$B$27:$I$127,6,FALSE)*VLOOKUP($B84,'Annual Parameters'!$B$33:$W$143,22,FALSE)/VLOOKUP('Source VoT'!$F$27,'Annual Parameters'!$B$33:$W$143,22,FALSE)*VLOOKUP($B$14,'Annual Parameters'!$B$33:$W$143,3,FALSE)/VLOOKUP('Source VoT'!$E$27,'Annual Parameters'!$B$33:$W$143,3,FALSE)</f>
        <v>10.120000970936676</v>
      </c>
      <c r="T84" s="117">
        <f>'Source VoT'!$D$27*1*VLOOKUP($B84,'Annual Parameters'!$B$33:$W$143,21,FALSE)/VLOOKUP('Source VoT'!$F$27,'Annual Parameters'!$B$33:$W$143,21,FALSE)*VLOOKUP($B$14,'Annual Parameters'!$B$33:$W$143,3,FALSE)/VLOOKUP('Source VoT'!$E$27,'Annual Parameters'!$B$33:$W$143,3,FALSE)</f>
        <v>39.404745535747523</v>
      </c>
      <c r="U84" s="73">
        <f>'Source VoT'!$D$28*1*VLOOKUP($B84,'Annual Parameters'!$B$33:$W$143,21,FALSE)/VLOOKUP('Source VoT'!$F$27,'Annual Parameters'!$B$33:$W$143,21,FALSE)*VLOOKUP($B$14,'Annual Parameters'!$B$33:$W$143,3,FALSE)/VLOOKUP('Source VoT'!$E$27,'Annual Parameters'!$B$33:$W$143,3,FALSE)</f>
        <v>39.404745535747523</v>
      </c>
      <c r="V84" s="73">
        <f>'Source VoT'!$D$29*1*VLOOKUP($B84,'Annual Parameters'!$B$33:$W$143,21,FALSE)/VLOOKUP('Source VoT'!$F$27,'Annual Parameters'!$B$33:$W$143,21,FALSE)*VLOOKUP($B$14,'Annual Parameters'!$B$33:$W$143,3,FALSE)/VLOOKUP('Source VoT'!$E$27,'Annual Parameters'!$B$33:$W$143,3,FALSE)</f>
        <v>27.133211603231903</v>
      </c>
      <c r="W84" s="73">
        <f>'Source VoT'!$D$30*1*VLOOKUP($B84,'Annual Parameters'!$B$33:$W$143,21,FALSE)/VLOOKUP('Source VoT'!$F$27,'Annual Parameters'!$B$33:$W$143,21,FALSE)*VLOOKUP($B$14,'Annual Parameters'!$B$33:$W$143,3,FALSE)/VLOOKUP('Source VoT'!$E$27,'Annual Parameters'!$B$33:$W$143,3,FALSE)</f>
        <v>31.96945533806722</v>
      </c>
      <c r="X84" s="73">
        <f>'Source VoT'!$D$31*1*VLOOKUP($B84,'Annual Parameters'!$B$33:$W$143,21,FALSE)/VLOOKUP('Source VoT'!$F$27,'Annual Parameters'!$B$33:$W$143,21,FALSE)*VLOOKUP($B$14,'Annual Parameters'!$B$33:$W$143,3,FALSE)/VLOOKUP('Source VoT'!$E$27,'Annual Parameters'!$B$33:$W$143,3,FALSE)</f>
        <v>32.660347300186551</v>
      </c>
      <c r="Y84" s="73">
        <f>'Source VoT'!$D$32*1*VLOOKUP($B84,'Annual Parameters'!$B$33:$W$143,21,FALSE)/VLOOKUP('Source VoT'!$F$27,'Annual Parameters'!$B$33:$W$143,21,FALSE)*VLOOKUP($B$14,'Annual Parameters'!$B$33:$W$143,3,FALSE)/VLOOKUP('Source VoT'!$E$27,'Annual Parameters'!$B$33:$W$143,3,FALSE)</f>
        <v>22.330109462432574</v>
      </c>
      <c r="Z84" s="73">
        <f>'Source VoT'!$D$33*1*VLOOKUP($B84,'Annual Parameters'!$B$33:$W$143,21,FALSE)/VLOOKUP('Source VoT'!$F$27,'Annual Parameters'!$B$33:$W$143,21,FALSE)*VLOOKUP($B$14,'Annual Parameters'!$B$33:$W$143,3,FALSE)/VLOOKUP('Source VoT'!$E$27,'Annual Parameters'!$B$33:$W$143,3,FALSE)</f>
        <v>28.860441508530229</v>
      </c>
      <c r="AA84" s="73">
        <f>'Source VoT'!$D$34*1*VLOOKUP($B84,'Annual Parameters'!$B$33:$W$143,21,FALSE)/VLOOKUP('Source VoT'!$F$27,'Annual Parameters'!$B$33:$W$143,21,FALSE)*VLOOKUP($B$14,'Annual Parameters'!$B$33:$W$143,3,FALSE)/VLOOKUP('Source VoT'!$E$27,'Annual Parameters'!$B$33:$W$143,3,FALSE)</f>
        <v>39.404745535747523</v>
      </c>
      <c r="AB84" s="73">
        <f>'Source VoT'!$D$35*1*VLOOKUP($B84,'Annual Parameters'!$B$33:$W$143,21,FALSE)/VLOOKUP('Source VoT'!$F$27,'Annual Parameters'!$B$33:$W$143,21,FALSE)*VLOOKUP($B$14,'Annual Parameters'!$B$33:$W$143,3,FALSE)/VLOOKUP('Source VoT'!$E$27,'Annual Parameters'!$B$33:$W$143,3,FALSE)</f>
        <v>64.99861583387424</v>
      </c>
      <c r="AC84" s="73">
        <f>'Source VoT'!$D$36*1*VLOOKUP($B84,'Annual Parameters'!$B$33:$W$143,21,FALSE)/VLOOKUP('Source VoT'!$F$27,'Annual Parameters'!$B$33:$W$143,21,FALSE)*VLOOKUP($B$14,'Annual Parameters'!$B$33:$W$143,3,FALSE)/VLOOKUP('Source VoT'!$E$27,'Annual Parameters'!$B$33:$W$143,3,FALSE)</f>
        <v>22.330109462432574</v>
      </c>
      <c r="AD84" s="73">
        <f>'Source VoT'!$D$37*1*VLOOKUP($B84,'Annual Parameters'!$B$33:$W$143,21,FALSE)/VLOOKUP('Source VoT'!$F$27,'Annual Parameters'!$B$33:$W$143,21,FALSE)*VLOOKUP($B$14,'Annual Parameters'!$B$33:$W$143,3,FALSE)/VLOOKUP('Source VoT'!$E$27,'Annual Parameters'!$B$33:$W$143,3,FALSE)</f>
        <v>22.330109462432574</v>
      </c>
      <c r="AE84" s="73">
        <f>'Source VoT'!$D$38*1*VLOOKUP($B84,'Annual Parameters'!$B$33:$W$143,21,FALSE)/VLOOKUP('Source VoT'!$F$27,'Annual Parameters'!$B$33:$W$143,21,FALSE)*VLOOKUP($B$14,'Annual Parameters'!$B$33:$W$143,3,FALSE)/VLOOKUP('Source VoT'!$E$27,'Annual Parameters'!$B$33:$W$143,3,FALSE)</f>
        <v>22.330109462432574</v>
      </c>
      <c r="AF84" s="73">
        <f>'Source VoT'!$D$39*1*VLOOKUP($B84,'Annual Parameters'!$B$33:$W$143,21,FALSE)/VLOOKUP('Source VoT'!$F$27,'Annual Parameters'!$B$33:$W$143,21,FALSE)*VLOOKUP($B$14,'Annual Parameters'!$B$33:$W$143,3,FALSE)/VLOOKUP('Source VoT'!$E$27,'Annual Parameters'!$B$33:$W$143,3,FALSE)</f>
        <v>39.404745535747523</v>
      </c>
      <c r="AG84" s="74">
        <f>'Source VoT'!$D$40*1*VLOOKUP($B84,'Annual Parameters'!$B$33:$W$143,21,FALSE)/VLOOKUP('Source VoT'!$F$27,'Annual Parameters'!$B$33:$W$143,21,FALSE)*VLOOKUP($B$14,'Annual Parameters'!$B$33:$W$143,3,FALSE)/VLOOKUP('Source VoT'!$E$27,'Annual Parameters'!$B$33:$W$143,3,FALSE)</f>
        <v>42.920759655734066</v>
      </c>
      <c r="AH84" s="73">
        <f>'Source VoT'!$D$45*1*VLOOKUP($B84,'Annual Parameters'!$B$33:$W$143,22,FALSE)/VLOOKUP('Source VoT'!$F$27,'Annual Parameters'!$B$33:$W$143,22,FALSE)*VLOOKUP($B$14,'Annual Parameters'!$B$33:$W$143,3,FALSE)/VLOOKUP('Source VoT'!$E$27,'Annual Parameters'!$B$33:$W$143,3,FALSE)</f>
        <v>26.384770695096073</v>
      </c>
      <c r="AI84" s="73">
        <f>'Source VoT'!$D$46*1*VLOOKUP($B84,'Annual Parameters'!$B$33:$W$143,22,FALSE)/VLOOKUP('Source VoT'!$F$27,'Annual Parameters'!$B$33:$W$143,22,FALSE)*VLOOKUP($B$14,'Annual Parameters'!$B$33:$W$143,3,FALSE)/VLOOKUP('Source VoT'!$E$27,'Annual Parameters'!$B$33:$W$143,3,FALSE)</f>
        <v>12.042801155414644</v>
      </c>
      <c r="AJ84" s="117">
        <f>'Source VoT'!$D$27*VLOOKUP($B84,'Indirect tax correction'!$B$27:$I$127,7,FALSE)*VLOOKUP($B84,'Annual Parameters'!$B$33:$W$143,21,FALSE)/VLOOKUP('Source VoT'!$F$27,'Annual Parameters'!$B$33:$W$143,21,FALSE)*VLOOKUP($B$14,'Annual Parameters'!$B$33:$W$143,3,FALSE)/VLOOKUP('Source VoT'!$E$27,'Annual Parameters'!$B$33:$W$143,3,FALSE)</f>
        <v>46.89164718753954</v>
      </c>
      <c r="AK84" s="73">
        <f>'Source VoT'!$D$28*VLOOKUP($B84,'Indirect tax correction'!$B$27:$I$127,7,FALSE)*VLOOKUP($B84,'Annual Parameters'!$B$33:$W$143,21,FALSE)/VLOOKUP('Source VoT'!$F$27,'Annual Parameters'!$B$33:$W$143,21,FALSE)*VLOOKUP($B$14,'Annual Parameters'!$B$33:$W$143,3,FALSE)/VLOOKUP('Source VoT'!$E$27,'Annual Parameters'!$B$33:$W$143,3,FALSE)</f>
        <v>46.89164718753954</v>
      </c>
      <c r="AL84" s="73">
        <f>'Source VoT'!$D$29*VLOOKUP($B84,'Indirect tax correction'!$B$27:$I$127,7,FALSE)*VLOOKUP($B84,'Annual Parameters'!$B$33:$W$143,21,FALSE)/VLOOKUP('Source VoT'!$F$27,'Annual Parameters'!$B$33:$W$143,21,FALSE)*VLOOKUP($B$14,'Annual Parameters'!$B$33:$W$143,3,FALSE)/VLOOKUP('Source VoT'!$E$27,'Annual Parameters'!$B$33:$W$143,3,FALSE)</f>
        <v>32.288521807845967</v>
      </c>
      <c r="AM84" s="73">
        <f>'Source VoT'!$D$30*VLOOKUP($B84,'Indirect tax correction'!$B$27:$I$127,7,FALSE)*VLOOKUP($B84,'Annual Parameters'!$B$33:$W$143,21,FALSE)/VLOOKUP('Source VoT'!$F$27,'Annual Parameters'!$B$33:$W$143,21,FALSE)*VLOOKUP($B$14,'Annual Parameters'!$B$33:$W$143,3,FALSE)/VLOOKUP('Source VoT'!$E$27,'Annual Parameters'!$B$33:$W$143,3,FALSE)</f>
        <v>38.043651852299988</v>
      </c>
      <c r="AN84" s="73">
        <f>'Source VoT'!$D$31*VLOOKUP($B84,'Indirect tax correction'!$B$27:$I$127,7,FALSE)*VLOOKUP($B84,'Annual Parameters'!$B$33:$W$143,21,FALSE)/VLOOKUP('Source VoT'!$F$27,'Annual Parameters'!$B$33:$W$143,21,FALSE)*VLOOKUP($B$14,'Annual Parameters'!$B$33:$W$143,3,FALSE)/VLOOKUP('Source VoT'!$E$27,'Annual Parameters'!$B$33:$W$143,3,FALSE)</f>
        <v>38.865813287221997</v>
      </c>
      <c r="AO84" s="73">
        <f>'Source VoT'!$D$32*VLOOKUP($B84,'Indirect tax correction'!$B$27:$I$127,7,FALSE)*VLOOKUP($B84,'Annual Parameters'!$B$33:$W$143,21,FALSE)/VLOOKUP('Source VoT'!$F$27,'Annual Parameters'!$B$33:$W$143,21,FALSE)*VLOOKUP($B$14,'Annual Parameters'!$B$33:$W$143,3,FALSE)/VLOOKUP('Source VoT'!$E$27,'Annual Parameters'!$B$33:$W$143,3,FALSE)</f>
        <v>26.572830260294765</v>
      </c>
      <c r="AP84" s="73">
        <f>'Source VoT'!$D$33*VLOOKUP($B84,'Indirect tax correction'!$B$27:$I$127,7,FALSE)*VLOOKUP($B84,'Annual Parameters'!$B$33:$W$143,21,FALSE)/VLOOKUP('Source VoT'!$F$27,'Annual Parameters'!$B$33:$W$143,21,FALSE)*VLOOKUP($B$14,'Annual Parameters'!$B$33:$W$143,3,FALSE)/VLOOKUP('Source VoT'!$E$27,'Annual Parameters'!$B$33:$W$143,3,FALSE)</f>
        <v>34.343925395150968</v>
      </c>
      <c r="AQ84" s="73">
        <f>'Source VoT'!$D$34*VLOOKUP($B84,'Indirect tax correction'!$B$27:$I$127,7,FALSE)*VLOOKUP($B84,'Annual Parameters'!$B$33:$W$143,21,FALSE)/VLOOKUP('Source VoT'!$F$27,'Annual Parameters'!$B$33:$W$143,21,FALSE)*VLOOKUP($B$14,'Annual Parameters'!$B$33:$W$143,3,FALSE)/VLOOKUP('Source VoT'!$E$27,'Annual Parameters'!$B$33:$W$143,3,FALSE)</f>
        <v>46.89164718753954</v>
      </c>
      <c r="AR84" s="73">
        <f>'Source VoT'!$D$35*VLOOKUP($B84,'Indirect tax correction'!$B$27:$I$127,7,FALSE)*VLOOKUP($B84,'Annual Parameters'!$B$33:$W$143,21,FALSE)/VLOOKUP('Source VoT'!$F$27,'Annual Parameters'!$B$33:$W$143,21,FALSE)*VLOOKUP($B$14,'Annual Parameters'!$B$33:$W$143,3,FALSE)/VLOOKUP('Source VoT'!$E$27,'Annual Parameters'!$B$33:$W$143,3,FALSE)</f>
        <v>77.348352842310348</v>
      </c>
      <c r="AS84" s="73">
        <f>'Source VoT'!$D$36*VLOOKUP($B84,'Indirect tax correction'!$B$27:$I$127,7,FALSE)*VLOOKUP($B84,'Annual Parameters'!$B$33:$W$143,21,FALSE)/VLOOKUP('Source VoT'!$F$27,'Annual Parameters'!$B$33:$W$143,21,FALSE)*VLOOKUP($B$14,'Annual Parameters'!$B$33:$W$143,3,FALSE)/VLOOKUP('Source VoT'!$E$27,'Annual Parameters'!$B$33:$W$143,3,FALSE)</f>
        <v>26.572830260294765</v>
      </c>
      <c r="AT84" s="73">
        <f>'Source VoT'!$D$37*VLOOKUP($B84,'Indirect tax correction'!$B$27:$I$127,7,FALSE)*VLOOKUP($B84,'Annual Parameters'!$B$33:$W$143,21,FALSE)/VLOOKUP('Source VoT'!$F$27,'Annual Parameters'!$B$33:$W$143,21,FALSE)*VLOOKUP($B$14,'Annual Parameters'!$B$33:$W$143,3,FALSE)/VLOOKUP('Source VoT'!$E$27,'Annual Parameters'!$B$33:$W$143,3,FALSE)</f>
        <v>26.572830260294765</v>
      </c>
      <c r="AU84" s="73">
        <f>'Source VoT'!$D$38*VLOOKUP($B84,'Indirect tax correction'!$B$27:$I$127,7,FALSE)*VLOOKUP($B84,'Annual Parameters'!$B$33:$W$143,21,FALSE)/VLOOKUP('Source VoT'!$F$27,'Annual Parameters'!$B$33:$W$143,21,FALSE)*VLOOKUP($B$14,'Annual Parameters'!$B$33:$W$143,3,FALSE)/VLOOKUP('Source VoT'!$E$27,'Annual Parameters'!$B$33:$W$143,3,FALSE)</f>
        <v>26.572830260294765</v>
      </c>
      <c r="AV84" s="73">
        <f>'Source VoT'!$D$39*VLOOKUP($B84,'Indirect tax correction'!$B$27:$I$127,7,FALSE)*VLOOKUP($B84,'Annual Parameters'!$B$33:$W$143,21,FALSE)/VLOOKUP('Source VoT'!$F$27,'Annual Parameters'!$B$33:$W$143,21,FALSE)*VLOOKUP($B$14,'Annual Parameters'!$B$33:$W$143,3,FALSE)/VLOOKUP('Source VoT'!$E$27,'Annual Parameters'!$B$33:$W$143,3,FALSE)</f>
        <v>46.89164718753954</v>
      </c>
      <c r="AW84" s="74">
        <f>'Source VoT'!$D$40*VLOOKUP($B84,'Indirect tax correction'!$B$27:$I$127,7,FALSE)*VLOOKUP($B84,'Annual Parameters'!$B$33:$W$143,21,FALSE)/VLOOKUP('Source VoT'!$F$27,'Annual Parameters'!$B$33:$W$143,21,FALSE)*VLOOKUP($B$14,'Annual Parameters'!$B$33:$W$143,3,FALSE)/VLOOKUP('Source VoT'!$E$27,'Annual Parameters'!$B$33:$W$143,3,FALSE)</f>
        <v>51.075703990323539</v>
      </c>
      <c r="AX84" s="73">
        <f>'Source VoT'!$D$45*VLOOKUP($B84,'Indirect tax correction'!$B$27:$I$127,8,FALSE)*VLOOKUP($B84,'Annual Parameters'!$B$33:$W$143,22,FALSE)/VLOOKUP('Source VoT'!$F$27,'Annual Parameters'!$B$33:$W$143,22,FALSE)*VLOOKUP($B$14,'Annual Parameters'!$B$33:$W$143,3,FALSE)/VLOOKUP('Source VoT'!$E$27,'Annual Parameters'!$B$33:$W$143,3,FALSE)</f>
        <v>26.384770695096073</v>
      </c>
      <c r="AY84" s="74">
        <f>'Source VoT'!$D$46*VLOOKUP($B84,'Indirect tax correction'!$B$27:$I$127,8,FALSE)*VLOOKUP($B84,'Annual Parameters'!$B$33:$W$143,22,FALSE)/VLOOKUP('Source VoT'!$F$27,'Annual Parameters'!$B$33:$W$143,22,FALSE)*VLOOKUP($B$14,'Annual Parameters'!$B$33:$W$143,3,FALSE)/VLOOKUP('Source VoT'!$E$27,'Annual Parameters'!$B$33:$W$143,3,FALSE)</f>
        <v>12.042801155414644</v>
      </c>
      <c r="AZ84" s="2875"/>
      <c r="BA84" s="2875"/>
      <c r="BB84" s="2875"/>
      <c r="BC84" s="2875"/>
      <c r="BD84" s="2875"/>
      <c r="BE84" s="2875"/>
      <c r="BF84" s="2875"/>
      <c r="BG84" s="2875"/>
    </row>
    <row r="85" spans="1:59" ht="13.5" customHeight="1">
      <c r="A85" s="90"/>
      <c r="B85" s="82">
        <f t="shared" si="0"/>
        <v>2068</v>
      </c>
      <c r="C85" s="82"/>
      <c r="D85" s="117">
        <f>'Source VoT'!$D$27*VLOOKUP($B85,'Indirect tax correction'!$B$27:$I$127,5,FALSE)*VLOOKUP($B85,'Annual Parameters'!$B$33:$W$143,21,FALSE)/VLOOKUP('Source VoT'!$F$27,'Annual Parameters'!$B$33:$W$143,21,FALSE)*VLOOKUP($B$14,'Annual Parameters'!$B$33:$W$143,3,FALSE)/VLOOKUP('Source VoT'!$E$27,'Annual Parameters'!$B$33:$W$143,3,FALSE)</f>
        <v>40.241999847449748</v>
      </c>
      <c r="E85" s="73">
        <f>'Source VoT'!$D$28*VLOOKUP($B85,'Indirect tax correction'!$B$27:$I$127,5,FALSE)*VLOOKUP($B85,'Annual Parameters'!$B$33:$W$143,21,FALSE)/VLOOKUP('Source VoT'!$F$27,'Annual Parameters'!$B$33:$W$143,21,FALSE)*VLOOKUP($B$14,'Annual Parameters'!$B$33:$W$143,3,FALSE)/VLOOKUP('Source VoT'!$E$27,'Annual Parameters'!$B$33:$W$143,3,FALSE)</f>
        <v>40.241999847449748</v>
      </c>
      <c r="F85" s="73">
        <f>'Source VoT'!$D$29*VLOOKUP($B85,'Indirect tax correction'!$B$27:$I$127,5,FALSE)*VLOOKUP($B85,'Annual Parameters'!$B$33:$W$143,21,FALSE)/VLOOKUP('Source VoT'!$F$27,'Annual Parameters'!$B$33:$W$143,21,FALSE)*VLOOKUP($B$14,'Annual Parameters'!$B$33:$W$143,3,FALSE)/VLOOKUP('Source VoT'!$E$27,'Annual Parameters'!$B$33:$W$143,3,FALSE)</f>
        <v>27.709725880795915</v>
      </c>
      <c r="G85" s="73">
        <f>'Source VoT'!$D$30*VLOOKUP($B85,'Indirect tax correction'!$B$27:$I$127,5,FALSE)*VLOOKUP($B85,'Annual Parameters'!$B$33:$W$143,21,FALSE)/VLOOKUP('Source VoT'!$F$27,'Annual Parameters'!$B$33:$W$143,21,FALSE)*VLOOKUP($B$14,'Annual Parameters'!$B$33:$W$143,3,FALSE)/VLOOKUP('Source VoT'!$E$27,'Annual Parameters'!$B$33:$W$143,3,FALSE)</f>
        <v>32.648727947511844</v>
      </c>
      <c r="H85" s="73">
        <f>'Source VoT'!$D$31*VLOOKUP($B85,'Indirect tax correction'!$B$27:$I$127,5,FALSE)*VLOOKUP($B85,'Annual Parameters'!$B$33:$W$143,21,FALSE)/VLOOKUP('Source VoT'!$F$27,'Annual Parameters'!$B$33:$W$143,21,FALSE)*VLOOKUP($B$14,'Annual Parameters'!$B$33:$W$143,3,FALSE)/VLOOKUP('Source VoT'!$E$27,'Annual Parameters'!$B$33:$W$143,3,FALSE)</f>
        <v>33.354299671328413</v>
      </c>
      <c r="I85" s="73">
        <f>'Source VoT'!$D$32*VLOOKUP($B85,'Indirect tax correction'!$B$27:$I$127,5,FALSE)*VLOOKUP($B85,'Annual Parameters'!$B$33:$W$143,21,FALSE)/VLOOKUP('Source VoT'!$F$27,'Annual Parameters'!$B$33:$W$143,21,FALSE)*VLOOKUP($B$14,'Annual Parameters'!$B$33:$W$143,3,FALSE)/VLOOKUP('Source VoT'!$E$27,'Annual Parameters'!$B$33:$W$143,3,FALSE)</f>
        <v>22.804569585801314</v>
      </c>
      <c r="J85" s="73">
        <f>'Source VoT'!$D$33*VLOOKUP($B85,'Indirect tax correction'!$B$27:$I$127,5,FALSE)*VLOOKUP($B85,'Annual Parameters'!$B$33:$W$143,21,FALSE)/VLOOKUP('Source VoT'!$F$27,'Annual Parameters'!$B$33:$W$143,21,FALSE)*VLOOKUP($B$14,'Annual Parameters'!$B$33:$W$143,3,FALSE)/VLOOKUP('Source VoT'!$E$27,'Annual Parameters'!$B$33:$W$143,3,FALSE)</f>
        <v>29.473655190337311</v>
      </c>
      <c r="K85" s="73">
        <f>'Source VoT'!$D$34*VLOOKUP($B85,'Indirect tax correction'!$B$27:$I$127,5,FALSE)*VLOOKUP($B85,'Annual Parameters'!$B$33:$W$143,21,FALSE)/VLOOKUP('Source VoT'!$F$27,'Annual Parameters'!$B$33:$W$143,21,FALSE)*VLOOKUP($B$14,'Annual Parameters'!$B$33:$W$143,3,FALSE)/VLOOKUP('Source VoT'!$E$27,'Annual Parameters'!$B$33:$W$143,3,FALSE)</f>
        <v>40.241999847449748</v>
      </c>
      <c r="L85" s="73">
        <f>'Source VoT'!$D$35*VLOOKUP($B85,'Indirect tax correction'!$B$27:$I$127,5,FALSE)*VLOOKUP($B85,'Annual Parameters'!$B$33:$W$143,21,FALSE)/VLOOKUP('Source VoT'!$F$27,'Annual Parameters'!$B$33:$W$143,21,FALSE)*VLOOKUP($B$14,'Annual Parameters'!$B$33:$W$143,3,FALSE)/VLOOKUP('Source VoT'!$E$27,'Annual Parameters'!$B$33:$W$143,3,FALSE)</f>
        <v>66.379677191375436</v>
      </c>
      <c r="M85" s="73">
        <f>'Source VoT'!$D$36*VLOOKUP($B85,'Indirect tax correction'!$B$27:$I$127,5,FALSE)*VLOOKUP($B85,'Annual Parameters'!$B$33:$W$143,21,FALSE)/VLOOKUP('Source VoT'!$F$27,'Annual Parameters'!$B$33:$W$143,21,FALSE)*VLOOKUP($B$14,'Annual Parameters'!$B$33:$W$143,3,FALSE)/VLOOKUP('Source VoT'!$E$27,'Annual Parameters'!$B$33:$W$143,3,FALSE)</f>
        <v>22.804569585801314</v>
      </c>
      <c r="N85" s="73">
        <f>'Source VoT'!$D$37*VLOOKUP($B85,'Indirect tax correction'!$B$27:$I$127,5,FALSE)*VLOOKUP($B85,'Annual Parameters'!$B$33:$W$143,21,FALSE)/VLOOKUP('Source VoT'!$F$27,'Annual Parameters'!$B$33:$W$143,21,FALSE)*VLOOKUP($B$14,'Annual Parameters'!$B$33:$W$143,3,FALSE)/VLOOKUP('Source VoT'!$E$27,'Annual Parameters'!$B$33:$W$143,3,FALSE)</f>
        <v>22.804569585801314</v>
      </c>
      <c r="O85" s="73">
        <f>'Source VoT'!$D$38*VLOOKUP($B85,'Indirect tax correction'!$B$27:$I$127,5,FALSE)*VLOOKUP($B85,'Annual Parameters'!$B$33:$W$143,21,FALSE)/VLOOKUP('Source VoT'!$F$27,'Annual Parameters'!$B$33:$W$143,21,FALSE)*VLOOKUP($B$14,'Annual Parameters'!$B$33:$W$143,3,FALSE)/VLOOKUP('Source VoT'!$E$27,'Annual Parameters'!$B$33:$W$143,3,FALSE)</f>
        <v>22.804569585801314</v>
      </c>
      <c r="P85" s="73">
        <f>'Source VoT'!$D$39*VLOOKUP($B85,'Indirect tax correction'!$B$27:$I$127,5,FALSE)*VLOOKUP($B85,'Annual Parameters'!$B$33:$W$143,21,FALSE)/VLOOKUP('Source VoT'!$F$27,'Annual Parameters'!$B$33:$W$143,21,FALSE)*VLOOKUP($B$14,'Annual Parameters'!$B$33:$W$143,3,FALSE)/VLOOKUP('Source VoT'!$E$27,'Annual Parameters'!$B$33:$W$143,3,FALSE)</f>
        <v>40.241999847449748</v>
      </c>
      <c r="Q85" s="74">
        <f>'Source VoT'!$D$40*VLOOKUP($B85,'Indirect tax correction'!$B$27:$I$127,5,FALSE)*VLOOKUP($B85,'Annual Parameters'!$B$33:$W$143,21,FALSE)/VLOOKUP('Source VoT'!$F$27,'Annual Parameters'!$B$33:$W$143,21,FALSE)*VLOOKUP($B$14,'Annual Parameters'!$B$33:$W$143,3,FALSE)/VLOOKUP('Source VoT'!$E$27,'Annual Parameters'!$B$33:$W$143,3,FALSE)</f>
        <v>43.832720654205644</v>
      </c>
      <c r="R85" s="73">
        <f>'Source VoT'!$D$45*VLOOKUP($B85,'Indirect tax correction'!$B$27:$I$127,6,FALSE)*VLOOKUP($B85,'Annual Parameters'!$B$33:$W$143,22,FALSE)/VLOOKUP('Source VoT'!$F$27,'Annual Parameters'!$B$33:$W$143,22,FALSE)*VLOOKUP($B$14,'Annual Parameters'!$B$33:$W$143,3,FALSE)/VLOOKUP('Source VoT'!$E$27,'Annual Parameters'!$B$33:$W$143,3,FALSE)</f>
        <v>22.64317851835235</v>
      </c>
      <c r="S85" s="73">
        <f>'Source VoT'!$D$46*VLOOKUP($B85,'Indirect tax correction'!$B$27:$I$127,6,FALSE)*VLOOKUP($B85,'Annual Parameters'!$B$33:$W$143,22,FALSE)/VLOOKUP('Source VoT'!$F$27,'Annual Parameters'!$B$33:$W$143,22,FALSE)*VLOOKUP($B$14,'Annual Parameters'!$B$33:$W$143,3,FALSE)/VLOOKUP('Source VoT'!$E$27,'Annual Parameters'!$B$33:$W$143,3,FALSE)</f>
        <v>10.335026200313196</v>
      </c>
      <c r="T85" s="117">
        <f>'Source VoT'!$D$27*1*VLOOKUP($B85,'Annual Parameters'!$B$33:$W$143,21,FALSE)/VLOOKUP('Source VoT'!$F$27,'Annual Parameters'!$B$33:$W$143,21,FALSE)*VLOOKUP($B$14,'Annual Parameters'!$B$33:$W$143,3,FALSE)/VLOOKUP('Source VoT'!$E$27,'Annual Parameters'!$B$33:$W$143,3,FALSE)</f>
        <v>40.241999847449748</v>
      </c>
      <c r="U85" s="73">
        <f>'Source VoT'!$D$28*1*VLOOKUP($B85,'Annual Parameters'!$B$33:$W$143,21,FALSE)/VLOOKUP('Source VoT'!$F$27,'Annual Parameters'!$B$33:$W$143,21,FALSE)*VLOOKUP($B$14,'Annual Parameters'!$B$33:$W$143,3,FALSE)/VLOOKUP('Source VoT'!$E$27,'Annual Parameters'!$B$33:$W$143,3,FALSE)</f>
        <v>40.241999847449748</v>
      </c>
      <c r="V85" s="73">
        <f>'Source VoT'!$D$29*1*VLOOKUP($B85,'Annual Parameters'!$B$33:$W$143,21,FALSE)/VLOOKUP('Source VoT'!$F$27,'Annual Parameters'!$B$33:$W$143,21,FALSE)*VLOOKUP($B$14,'Annual Parameters'!$B$33:$W$143,3,FALSE)/VLOOKUP('Source VoT'!$E$27,'Annual Parameters'!$B$33:$W$143,3,FALSE)</f>
        <v>27.709725880795915</v>
      </c>
      <c r="W85" s="73">
        <f>'Source VoT'!$D$30*1*VLOOKUP($B85,'Annual Parameters'!$B$33:$W$143,21,FALSE)/VLOOKUP('Source VoT'!$F$27,'Annual Parameters'!$B$33:$W$143,21,FALSE)*VLOOKUP($B$14,'Annual Parameters'!$B$33:$W$143,3,FALSE)/VLOOKUP('Source VoT'!$E$27,'Annual Parameters'!$B$33:$W$143,3,FALSE)</f>
        <v>32.648727947511844</v>
      </c>
      <c r="X85" s="73">
        <f>'Source VoT'!$D$31*1*VLOOKUP($B85,'Annual Parameters'!$B$33:$W$143,21,FALSE)/VLOOKUP('Source VoT'!$F$27,'Annual Parameters'!$B$33:$W$143,21,FALSE)*VLOOKUP($B$14,'Annual Parameters'!$B$33:$W$143,3,FALSE)/VLOOKUP('Source VoT'!$E$27,'Annual Parameters'!$B$33:$W$143,3,FALSE)</f>
        <v>33.354299671328413</v>
      </c>
      <c r="Y85" s="73">
        <f>'Source VoT'!$D$32*1*VLOOKUP($B85,'Annual Parameters'!$B$33:$W$143,21,FALSE)/VLOOKUP('Source VoT'!$F$27,'Annual Parameters'!$B$33:$W$143,21,FALSE)*VLOOKUP($B$14,'Annual Parameters'!$B$33:$W$143,3,FALSE)/VLOOKUP('Source VoT'!$E$27,'Annual Parameters'!$B$33:$W$143,3,FALSE)</f>
        <v>22.804569585801314</v>
      </c>
      <c r="Z85" s="73">
        <f>'Source VoT'!$D$33*1*VLOOKUP($B85,'Annual Parameters'!$B$33:$W$143,21,FALSE)/VLOOKUP('Source VoT'!$F$27,'Annual Parameters'!$B$33:$W$143,21,FALSE)*VLOOKUP($B$14,'Annual Parameters'!$B$33:$W$143,3,FALSE)/VLOOKUP('Source VoT'!$E$27,'Annual Parameters'!$B$33:$W$143,3,FALSE)</f>
        <v>29.473655190337311</v>
      </c>
      <c r="AA85" s="73">
        <f>'Source VoT'!$D$34*1*VLOOKUP($B85,'Annual Parameters'!$B$33:$W$143,21,FALSE)/VLOOKUP('Source VoT'!$F$27,'Annual Parameters'!$B$33:$W$143,21,FALSE)*VLOOKUP($B$14,'Annual Parameters'!$B$33:$W$143,3,FALSE)/VLOOKUP('Source VoT'!$E$27,'Annual Parameters'!$B$33:$W$143,3,FALSE)</f>
        <v>40.241999847449748</v>
      </c>
      <c r="AB85" s="73">
        <f>'Source VoT'!$D$35*1*VLOOKUP($B85,'Annual Parameters'!$B$33:$W$143,21,FALSE)/VLOOKUP('Source VoT'!$F$27,'Annual Parameters'!$B$33:$W$143,21,FALSE)*VLOOKUP($B$14,'Annual Parameters'!$B$33:$W$143,3,FALSE)/VLOOKUP('Source VoT'!$E$27,'Annual Parameters'!$B$33:$W$143,3,FALSE)</f>
        <v>66.379677191375436</v>
      </c>
      <c r="AC85" s="73">
        <f>'Source VoT'!$D$36*1*VLOOKUP($B85,'Annual Parameters'!$B$33:$W$143,21,FALSE)/VLOOKUP('Source VoT'!$F$27,'Annual Parameters'!$B$33:$W$143,21,FALSE)*VLOOKUP($B$14,'Annual Parameters'!$B$33:$W$143,3,FALSE)/VLOOKUP('Source VoT'!$E$27,'Annual Parameters'!$B$33:$W$143,3,FALSE)</f>
        <v>22.804569585801314</v>
      </c>
      <c r="AD85" s="73">
        <f>'Source VoT'!$D$37*1*VLOOKUP($B85,'Annual Parameters'!$B$33:$W$143,21,FALSE)/VLOOKUP('Source VoT'!$F$27,'Annual Parameters'!$B$33:$W$143,21,FALSE)*VLOOKUP($B$14,'Annual Parameters'!$B$33:$W$143,3,FALSE)/VLOOKUP('Source VoT'!$E$27,'Annual Parameters'!$B$33:$W$143,3,FALSE)</f>
        <v>22.804569585801314</v>
      </c>
      <c r="AE85" s="73">
        <f>'Source VoT'!$D$38*1*VLOOKUP($B85,'Annual Parameters'!$B$33:$W$143,21,FALSE)/VLOOKUP('Source VoT'!$F$27,'Annual Parameters'!$B$33:$W$143,21,FALSE)*VLOOKUP($B$14,'Annual Parameters'!$B$33:$W$143,3,FALSE)/VLOOKUP('Source VoT'!$E$27,'Annual Parameters'!$B$33:$W$143,3,FALSE)</f>
        <v>22.804569585801314</v>
      </c>
      <c r="AF85" s="73">
        <f>'Source VoT'!$D$39*1*VLOOKUP($B85,'Annual Parameters'!$B$33:$W$143,21,FALSE)/VLOOKUP('Source VoT'!$F$27,'Annual Parameters'!$B$33:$W$143,21,FALSE)*VLOOKUP($B$14,'Annual Parameters'!$B$33:$W$143,3,FALSE)/VLOOKUP('Source VoT'!$E$27,'Annual Parameters'!$B$33:$W$143,3,FALSE)</f>
        <v>40.241999847449748</v>
      </c>
      <c r="AG85" s="74">
        <f>'Source VoT'!$D$40*1*VLOOKUP($B85,'Annual Parameters'!$B$33:$W$143,21,FALSE)/VLOOKUP('Source VoT'!$F$27,'Annual Parameters'!$B$33:$W$143,21,FALSE)*VLOOKUP($B$14,'Annual Parameters'!$B$33:$W$143,3,FALSE)/VLOOKUP('Source VoT'!$E$27,'Annual Parameters'!$B$33:$W$143,3,FALSE)</f>
        <v>43.832720654205644</v>
      </c>
      <c r="AH85" s="73">
        <f>'Source VoT'!$D$45*1*VLOOKUP($B85,'Annual Parameters'!$B$33:$W$143,22,FALSE)/VLOOKUP('Source VoT'!$F$27,'Annual Parameters'!$B$33:$W$143,22,FALSE)*VLOOKUP($B$14,'Annual Parameters'!$B$33:$W$143,3,FALSE)/VLOOKUP('Source VoT'!$E$27,'Annual Parameters'!$B$33:$W$143,3,FALSE)</f>
        <v>26.945382436839299</v>
      </c>
      <c r="AI85" s="73">
        <f>'Source VoT'!$D$46*1*VLOOKUP($B85,'Annual Parameters'!$B$33:$W$143,22,FALSE)/VLOOKUP('Source VoT'!$F$27,'Annual Parameters'!$B$33:$W$143,22,FALSE)*VLOOKUP($B$14,'Annual Parameters'!$B$33:$W$143,3,FALSE)/VLOOKUP('Source VoT'!$E$27,'Annual Parameters'!$B$33:$W$143,3,FALSE)</f>
        <v>12.298681178372703</v>
      </c>
      <c r="AJ85" s="117">
        <f>'Source VoT'!$D$27*VLOOKUP($B85,'Indirect tax correction'!$B$27:$I$127,7,FALSE)*VLOOKUP($B85,'Annual Parameters'!$B$33:$W$143,21,FALSE)/VLOOKUP('Source VoT'!$F$27,'Annual Parameters'!$B$33:$W$143,21,FALSE)*VLOOKUP($B$14,'Annual Parameters'!$B$33:$W$143,3,FALSE)/VLOOKUP('Source VoT'!$E$27,'Annual Parameters'!$B$33:$W$143,3,FALSE)</f>
        <v>47.887979818465197</v>
      </c>
      <c r="AK85" s="73">
        <f>'Source VoT'!$D$28*VLOOKUP($B85,'Indirect tax correction'!$B$27:$I$127,7,FALSE)*VLOOKUP($B85,'Annual Parameters'!$B$33:$W$143,21,FALSE)/VLOOKUP('Source VoT'!$F$27,'Annual Parameters'!$B$33:$W$143,21,FALSE)*VLOOKUP($B$14,'Annual Parameters'!$B$33:$W$143,3,FALSE)/VLOOKUP('Source VoT'!$E$27,'Annual Parameters'!$B$33:$W$143,3,FALSE)</f>
        <v>47.887979818465197</v>
      </c>
      <c r="AL85" s="73">
        <f>'Source VoT'!$D$29*VLOOKUP($B85,'Indirect tax correction'!$B$27:$I$127,7,FALSE)*VLOOKUP($B85,'Annual Parameters'!$B$33:$W$143,21,FALSE)/VLOOKUP('Source VoT'!$F$27,'Annual Parameters'!$B$33:$W$143,21,FALSE)*VLOOKUP($B$14,'Annual Parameters'!$B$33:$W$143,3,FALSE)/VLOOKUP('Source VoT'!$E$27,'Annual Parameters'!$B$33:$W$143,3,FALSE)</f>
        <v>32.974573798147134</v>
      </c>
      <c r="AM85" s="73">
        <f>'Source VoT'!$D$30*VLOOKUP($B85,'Indirect tax correction'!$B$27:$I$127,7,FALSE)*VLOOKUP($B85,'Annual Parameters'!$B$33:$W$143,21,FALSE)/VLOOKUP('Source VoT'!$F$27,'Annual Parameters'!$B$33:$W$143,21,FALSE)*VLOOKUP($B$14,'Annual Parameters'!$B$33:$W$143,3,FALSE)/VLOOKUP('Source VoT'!$E$27,'Annual Parameters'!$B$33:$W$143,3,FALSE)</f>
        <v>38.851986257539096</v>
      </c>
      <c r="AN85" s="73">
        <f>'Source VoT'!$D$31*VLOOKUP($B85,'Indirect tax correction'!$B$27:$I$127,7,FALSE)*VLOOKUP($B85,'Annual Parameters'!$B$33:$W$143,21,FALSE)/VLOOKUP('Source VoT'!$F$27,'Annual Parameters'!$B$33:$W$143,21,FALSE)*VLOOKUP($B$14,'Annual Parameters'!$B$33:$W$143,3,FALSE)/VLOOKUP('Source VoT'!$E$27,'Annual Parameters'!$B$33:$W$143,3,FALSE)</f>
        <v>39.691616608880807</v>
      </c>
      <c r="AO85" s="73">
        <f>'Source VoT'!$D$32*VLOOKUP($B85,'Indirect tax correction'!$B$27:$I$127,7,FALSE)*VLOOKUP($B85,'Annual Parameters'!$B$33:$W$143,21,FALSE)/VLOOKUP('Source VoT'!$F$27,'Annual Parameters'!$B$33:$W$143,21,FALSE)*VLOOKUP($B$14,'Annual Parameters'!$B$33:$W$143,3,FALSE)/VLOOKUP('Source VoT'!$E$27,'Annual Parameters'!$B$33:$W$143,3,FALSE)</f>
        <v>27.137437807103559</v>
      </c>
      <c r="AP85" s="73">
        <f>'Source VoT'!$D$33*VLOOKUP($B85,'Indirect tax correction'!$B$27:$I$127,7,FALSE)*VLOOKUP($B85,'Annual Parameters'!$B$33:$W$143,21,FALSE)/VLOOKUP('Source VoT'!$F$27,'Annual Parameters'!$B$33:$W$143,21,FALSE)*VLOOKUP($B$14,'Annual Parameters'!$B$33:$W$143,3,FALSE)/VLOOKUP('Source VoT'!$E$27,'Annual Parameters'!$B$33:$W$143,3,FALSE)</f>
        <v>35.073649676501404</v>
      </c>
      <c r="AQ85" s="73">
        <f>'Source VoT'!$D$34*VLOOKUP($B85,'Indirect tax correction'!$B$27:$I$127,7,FALSE)*VLOOKUP($B85,'Annual Parameters'!$B$33:$W$143,21,FALSE)/VLOOKUP('Source VoT'!$F$27,'Annual Parameters'!$B$33:$W$143,21,FALSE)*VLOOKUP($B$14,'Annual Parameters'!$B$33:$W$143,3,FALSE)/VLOOKUP('Source VoT'!$E$27,'Annual Parameters'!$B$33:$W$143,3,FALSE)</f>
        <v>47.887979818465197</v>
      </c>
      <c r="AR85" s="73">
        <f>'Source VoT'!$D$35*VLOOKUP($B85,'Indirect tax correction'!$B$27:$I$127,7,FALSE)*VLOOKUP($B85,'Annual Parameters'!$B$33:$W$143,21,FALSE)/VLOOKUP('Source VoT'!$F$27,'Annual Parameters'!$B$33:$W$143,21,FALSE)*VLOOKUP($B$14,'Annual Parameters'!$B$33:$W$143,3,FALSE)/VLOOKUP('Source VoT'!$E$27,'Annual Parameters'!$B$33:$W$143,3,FALSE)</f>
        <v>78.991815857736754</v>
      </c>
      <c r="AS85" s="73">
        <f>'Source VoT'!$D$36*VLOOKUP($B85,'Indirect tax correction'!$B$27:$I$127,7,FALSE)*VLOOKUP($B85,'Annual Parameters'!$B$33:$W$143,21,FALSE)/VLOOKUP('Source VoT'!$F$27,'Annual Parameters'!$B$33:$W$143,21,FALSE)*VLOOKUP($B$14,'Annual Parameters'!$B$33:$W$143,3,FALSE)/VLOOKUP('Source VoT'!$E$27,'Annual Parameters'!$B$33:$W$143,3,FALSE)</f>
        <v>27.137437807103559</v>
      </c>
      <c r="AT85" s="73">
        <f>'Source VoT'!$D$37*VLOOKUP($B85,'Indirect tax correction'!$B$27:$I$127,7,FALSE)*VLOOKUP($B85,'Annual Parameters'!$B$33:$W$143,21,FALSE)/VLOOKUP('Source VoT'!$F$27,'Annual Parameters'!$B$33:$W$143,21,FALSE)*VLOOKUP($B$14,'Annual Parameters'!$B$33:$W$143,3,FALSE)/VLOOKUP('Source VoT'!$E$27,'Annual Parameters'!$B$33:$W$143,3,FALSE)</f>
        <v>27.137437807103559</v>
      </c>
      <c r="AU85" s="73">
        <f>'Source VoT'!$D$38*VLOOKUP($B85,'Indirect tax correction'!$B$27:$I$127,7,FALSE)*VLOOKUP($B85,'Annual Parameters'!$B$33:$W$143,21,FALSE)/VLOOKUP('Source VoT'!$F$27,'Annual Parameters'!$B$33:$W$143,21,FALSE)*VLOOKUP($B$14,'Annual Parameters'!$B$33:$W$143,3,FALSE)/VLOOKUP('Source VoT'!$E$27,'Annual Parameters'!$B$33:$W$143,3,FALSE)</f>
        <v>27.137437807103559</v>
      </c>
      <c r="AV85" s="73">
        <f>'Source VoT'!$D$39*VLOOKUP($B85,'Indirect tax correction'!$B$27:$I$127,7,FALSE)*VLOOKUP($B85,'Annual Parameters'!$B$33:$W$143,21,FALSE)/VLOOKUP('Source VoT'!$F$27,'Annual Parameters'!$B$33:$W$143,21,FALSE)*VLOOKUP($B$14,'Annual Parameters'!$B$33:$W$143,3,FALSE)/VLOOKUP('Source VoT'!$E$27,'Annual Parameters'!$B$33:$W$143,3,FALSE)</f>
        <v>47.887979818465197</v>
      </c>
      <c r="AW85" s="74">
        <f>'Source VoT'!$D$40*VLOOKUP($B85,'Indirect tax correction'!$B$27:$I$127,7,FALSE)*VLOOKUP($B85,'Annual Parameters'!$B$33:$W$143,21,FALSE)/VLOOKUP('Source VoT'!$F$27,'Annual Parameters'!$B$33:$W$143,21,FALSE)*VLOOKUP($B$14,'Annual Parameters'!$B$33:$W$143,3,FALSE)/VLOOKUP('Source VoT'!$E$27,'Annual Parameters'!$B$33:$W$143,3,FALSE)</f>
        <v>52.160937578504708</v>
      </c>
      <c r="AX85" s="73">
        <f>'Source VoT'!$D$45*VLOOKUP($B85,'Indirect tax correction'!$B$27:$I$127,8,FALSE)*VLOOKUP($B85,'Annual Parameters'!$B$33:$W$143,22,FALSE)/VLOOKUP('Source VoT'!$F$27,'Annual Parameters'!$B$33:$W$143,22,FALSE)*VLOOKUP($B$14,'Annual Parameters'!$B$33:$W$143,3,FALSE)/VLOOKUP('Source VoT'!$E$27,'Annual Parameters'!$B$33:$W$143,3,FALSE)</f>
        <v>26.945382436839299</v>
      </c>
      <c r="AY85" s="74">
        <f>'Source VoT'!$D$46*VLOOKUP($B85,'Indirect tax correction'!$B$27:$I$127,8,FALSE)*VLOOKUP($B85,'Annual Parameters'!$B$33:$W$143,22,FALSE)/VLOOKUP('Source VoT'!$F$27,'Annual Parameters'!$B$33:$W$143,22,FALSE)*VLOOKUP($B$14,'Annual Parameters'!$B$33:$W$143,3,FALSE)/VLOOKUP('Source VoT'!$E$27,'Annual Parameters'!$B$33:$W$143,3,FALSE)</f>
        <v>12.298681178372703</v>
      </c>
      <c r="AZ85" s="2875"/>
      <c r="BA85" s="2875"/>
      <c r="BB85" s="2875"/>
      <c r="BC85" s="2875"/>
      <c r="BD85" s="2875"/>
      <c r="BE85" s="2875"/>
      <c r="BF85" s="2875"/>
      <c r="BG85" s="2875"/>
    </row>
    <row r="86" spans="1:59" ht="13.5" customHeight="1">
      <c r="A86" s="90"/>
      <c r="B86" s="82">
        <f t="shared" si="0"/>
        <v>2069</v>
      </c>
      <c r="C86" s="82"/>
      <c r="D86" s="117">
        <f>'Source VoT'!$D$27*VLOOKUP($B86,'Indirect tax correction'!$B$27:$I$127,5,FALSE)*VLOOKUP($B86,'Annual Parameters'!$B$33:$W$143,21,FALSE)/VLOOKUP('Source VoT'!$F$27,'Annual Parameters'!$B$33:$W$143,21,FALSE)*VLOOKUP($B$14,'Annual Parameters'!$B$33:$W$143,3,FALSE)/VLOOKUP('Source VoT'!$E$27,'Annual Parameters'!$B$33:$W$143,3,FALSE)</f>
        <v>41.095123662442703</v>
      </c>
      <c r="E86" s="73">
        <f>'Source VoT'!$D$28*VLOOKUP($B86,'Indirect tax correction'!$B$27:$I$127,5,FALSE)*VLOOKUP($B86,'Annual Parameters'!$B$33:$W$143,21,FALSE)/VLOOKUP('Source VoT'!$F$27,'Annual Parameters'!$B$33:$W$143,21,FALSE)*VLOOKUP($B$14,'Annual Parameters'!$B$33:$W$143,3,FALSE)/VLOOKUP('Source VoT'!$E$27,'Annual Parameters'!$B$33:$W$143,3,FALSE)</f>
        <v>41.095123662442703</v>
      </c>
      <c r="F86" s="73">
        <f>'Source VoT'!$D$29*VLOOKUP($B86,'Indirect tax correction'!$B$27:$I$127,5,FALSE)*VLOOKUP($B86,'Annual Parameters'!$B$33:$W$143,21,FALSE)/VLOOKUP('Source VoT'!$F$27,'Annual Parameters'!$B$33:$W$143,21,FALSE)*VLOOKUP($B$14,'Annual Parameters'!$B$33:$W$143,3,FALSE)/VLOOKUP('Source VoT'!$E$27,'Annual Parameters'!$B$33:$W$143,3,FALSE)</f>
        <v>28.297167537409596</v>
      </c>
      <c r="G86" s="73">
        <f>'Source VoT'!$D$30*VLOOKUP($B86,'Indirect tax correction'!$B$27:$I$127,5,FALSE)*VLOOKUP($B86,'Annual Parameters'!$B$33:$W$143,21,FALSE)/VLOOKUP('Source VoT'!$F$27,'Annual Parameters'!$B$33:$W$143,21,FALSE)*VLOOKUP($B$14,'Annual Parameters'!$B$33:$W$143,3,FALSE)/VLOOKUP('Source VoT'!$E$27,'Annual Parameters'!$B$33:$W$143,3,FALSE)</f>
        <v>33.340875640142322</v>
      </c>
      <c r="H86" s="73">
        <f>'Source VoT'!$D$31*VLOOKUP($B86,'Indirect tax correction'!$B$27:$I$127,5,FALSE)*VLOOKUP($B86,'Annual Parameters'!$B$33:$W$143,21,FALSE)/VLOOKUP('Source VoT'!$F$27,'Annual Parameters'!$B$33:$W$143,21,FALSE)*VLOOKUP($B$14,'Annual Parameters'!$B$33:$W$143,3,FALSE)/VLOOKUP('Source VoT'!$E$27,'Annual Parameters'!$B$33:$W$143,3,FALSE)</f>
        <v>34.061405369104143</v>
      </c>
      <c r="I86" s="73">
        <f>'Source VoT'!$D$32*VLOOKUP($B86,'Indirect tax correction'!$B$27:$I$127,5,FALSE)*VLOOKUP($B86,'Annual Parameters'!$B$33:$W$143,21,FALSE)/VLOOKUP('Source VoT'!$F$27,'Annual Parameters'!$B$33:$W$143,21,FALSE)*VLOOKUP($B$14,'Annual Parameters'!$B$33:$W$143,3,FALSE)/VLOOKUP('Source VoT'!$E$27,'Annual Parameters'!$B$33:$W$143,3,FALSE)</f>
        <v>23.288022731223059</v>
      </c>
      <c r="J86" s="73">
        <f>'Source VoT'!$D$33*VLOOKUP($B86,'Indirect tax correction'!$B$27:$I$127,5,FALSE)*VLOOKUP($B86,'Annual Parameters'!$B$33:$W$143,21,FALSE)/VLOOKUP('Source VoT'!$F$27,'Annual Parameters'!$B$33:$W$143,21,FALSE)*VLOOKUP($B$14,'Annual Parameters'!$B$33:$W$143,3,FALSE)/VLOOKUP('Source VoT'!$E$27,'Annual Parameters'!$B$33:$W$143,3,FALSE)</f>
        <v>30.098491859814136</v>
      </c>
      <c r="K86" s="73">
        <f>'Source VoT'!$D$34*VLOOKUP($B86,'Indirect tax correction'!$B$27:$I$127,5,FALSE)*VLOOKUP($B86,'Annual Parameters'!$B$33:$W$143,21,FALSE)/VLOOKUP('Source VoT'!$F$27,'Annual Parameters'!$B$33:$W$143,21,FALSE)*VLOOKUP($B$14,'Annual Parameters'!$B$33:$W$143,3,FALSE)/VLOOKUP('Source VoT'!$E$27,'Annual Parameters'!$B$33:$W$143,3,FALSE)</f>
        <v>41.095123662442703</v>
      </c>
      <c r="L86" s="73">
        <f>'Source VoT'!$D$35*VLOOKUP($B86,'Indirect tax correction'!$B$27:$I$127,5,FALSE)*VLOOKUP($B86,'Annual Parameters'!$B$33:$W$143,21,FALSE)/VLOOKUP('Source VoT'!$F$27,'Annual Parameters'!$B$33:$W$143,21,FALSE)*VLOOKUP($B$14,'Annual Parameters'!$B$33:$W$143,3,FALSE)/VLOOKUP('Source VoT'!$E$27,'Annual Parameters'!$B$33:$W$143,3,FALSE)</f>
        <v>67.786915491116517</v>
      </c>
      <c r="M86" s="73">
        <f>'Source VoT'!$D$36*VLOOKUP($B86,'Indirect tax correction'!$B$27:$I$127,5,FALSE)*VLOOKUP($B86,'Annual Parameters'!$B$33:$W$143,21,FALSE)/VLOOKUP('Source VoT'!$F$27,'Annual Parameters'!$B$33:$W$143,21,FALSE)*VLOOKUP($B$14,'Annual Parameters'!$B$33:$W$143,3,FALSE)/VLOOKUP('Source VoT'!$E$27,'Annual Parameters'!$B$33:$W$143,3,FALSE)</f>
        <v>23.288022731223059</v>
      </c>
      <c r="N86" s="73">
        <f>'Source VoT'!$D$37*VLOOKUP($B86,'Indirect tax correction'!$B$27:$I$127,5,FALSE)*VLOOKUP($B86,'Annual Parameters'!$B$33:$W$143,21,FALSE)/VLOOKUP('Source VoT'!$F$27,'Annual Parameters'!$B$33:$W$143,21,FALSE)*VLOOKUP($B$14,'Annual Parameters'!$B$33:$W$143,3,FALSE)/VLOOKUP('Source VoT'!$E$27,'Annual Parameters'!$B$33:$W$143,3,FALSE)</f>
        <v>23.288022731223059</v>
      </c>
      <c r="O86" s="73">
        <f>'Source VoT'!$D$38*VLOOKUP($B86,'Indirect tax correction'!$B$27:$I$127,5,FALSE)*VLOOKUP($B86,'Annual Parameters'!$B$33:$W$143,21,FALSE)/VLOOKUP('Source VoT'!$F$27,'Annual Parameters'!$B$33:$W$143,21,FALSE)*VLOOKUP($B$14,'Annual Parameters'!$B$33:$W$143,3,FALSE)/VLOOKUP('Source VoT'!$E$27,'Annual Parameters'!$B$33:$W$143,3,FALSE)</f>
        <v>23.288022731223059</v>
      </c>
      <c r="P86" s="73">
        <f>'Source VoT'!$D$39*VLOOKUP($B86,'Indirect tax correction'!$B$27:$I$127,5,FALSE)*VLOOKUP($B86,'Annual Parameters'!$B$33:$W$143,21,FALSE)/VLOOKUP('Source VoT'!$F$27,'Annual Parameters'!$B$33:$W$143,21,FALSE)*VLOOKUP($B$14,'Annual Parameters'!$B$33:$W$143,3,FALSE)/VLOOKUP('Source VoT'!$E$27,'Annual Parameters'!$B$33:$W$143,3,FALSE)</f>
        <v>41.095123662442703</v>
      </c>
      <c r="Q86" s="74">
        <f>'Source VoT'!$D$40*VLOOKUP($B86,'Indirect tax correction'!$B$27:$I$127,5,FALSE)*VLOOKUP($B86,'Annual Parameters'!$B$33:$W$143,21,FALSE)/VLOOKUP('Source VoT'!$F$27,'Annual Parameters'!$B$33:$W$143,21,FALSE)*VLOOKUP($B$14,'Annual Parameters'!$B$33:$W$143,3,FALSE)/VLOOKUP('Source VoT'!$E$27,'Annual Parameters'!$B$33:$W$143,3,FALSE)</f>
        <v>44.761967163022121</v>
      </c>
      <c r="R86" s="73">
        <f>'Source VoT'!$D$45*VLOOKUP($B86,'Indirect tax correction'!$B$27:$I$127,6,FALSE)*VLOOKUP($B86,'Annual Parameters'!$B$33:$W$143,22,FALSE)/VLOOKUP('Source VoT'!$F$27,'Annual Parameters'!$B$33:$W$143,22,FALSE)*VLOOKUP($B$14,'Annual Parameters'!$B$33:$W$143,3,FALSE)/VLOOKUP('Source VoT'!$E$27,'Annual Parameters'!$B$33:$W$143,3,FALSE)</f>
        <v>23.123210199540466</v>
      </c>
      <c r="S86" s="73">
        <f>'Source VoT'!$D$46*VLOOKUP($B86,'Indirect tax correction'!$B$27:$I$127,6,FALSE)*VLOOKUP($B86,'Annual Parameters'!$B$33:$W$143,22,FALSE)/VLOOKUP('Source VoT'!$F$27,'Annual Parameters'!$B$33:$W$143,22,FALSE)*VLOOKUP($B$14,'Annual Parameters'!$B$33:$W$143,3,FALSE)/VLOOKUP('Source VoT'!$E$27,'Annual Parameters'!$B$33:$W$143,3,FALSE)</f>
        <v>10.554127065416502</v>
      </c>
      <c r="T86" s="117">
        <f>'Source VoT'!$D$27*1*VLOOKUP($B86,'Annual Parameters'!$B$33:$W$143,21,FALSE)/VLOOKUP('Source VoT'!$F$27,'Annual Parameters'!$B$33:$W$143,21,FALSE)*VLOOKUP($B$14,'Annual Parameters'!$B$33:$W$143,3,FALSE)/VLOOKUP('Source VoT'!$E$27,'Annual Parameters'!$B$33:$W$143,3,FALSE)</f>
        <v>41.095123662442703</v>
      </c>
      <c r="U86" s="73">
        <f>'Source VoT'!$D$28*1*VLOOKUP($B86,'Annual Parameters'!$B$33:$W$143,21,FALSE)/VLOOKUP('Source VoT'!$F$27,'Annual Parameters'!$B$33:$W$143,21,FALSE)*VLOOKUP($B$14,'Annual Parameters'!$B$33:$W$143,3,FALSE)/VLOOKUP('Source VoT'!$E$27,'Annual Parameters'!$B$33:$W$143,3,FALSE)</f>
        <v>41.095123662442703</v>
      </c>
      <c r="V86" s="73">
        <f>'Source VoT'!$D$29*1*VLOOKUP($B86,'Annual Parameters'!$B$33:$W$143,21,FALSE)/VLOOKUP('Source VoT'!$F$27,'Annual Parameters'!$B$33:$W$143,21,FALSE)*VLOOKUP($B$14,'Annual Parameters'!$B$33:$W$143,3,FALSE)/VLOOKUP('Source VoT'!$E$27,'Annual Parameters'!$B$33:$W$143,3,FALSE)</f>
        <v>28.297167537409596</v>
      </c>
      <c r="W86" s="73">
        <f>'Source VoT'!$D$30*1*VLOOKUP($B86,'Annual Parameters'!$B$33:$W$143,21,FALSE)/VLOOKUP('Source VoT'!$F$27,'Annual Parameters'!$B$33:$W$143,21,FALSE)*VLOOKUP($B$14,'Annual Parameters'!$B$33:$W$143,3,FALSE)/VLOOKUP('Source VoT'!$E$27,'Annual Parameters'!$B$33:$W$143,3,FALSE)</f>
        <v>33.340875640142322</v>
      </c>
      <c r="X86" s="73">
        <f>'Source VoT'!$D$31*1*VLOOKUP($B86,'Annual Parameters'!$B$33:$W$143,21,FALSE)/VLOOKUP('Source VoT'!$F$27,'Annual Parameters'!$B$33:$W$143,21,FALSE)*VLOOKUP($B$14,'Annual Parameters'!$B$33:$W$143,3,FALSE)/VLOOKUP('Source VoT'!$E$27,'Annual Parameters'!$B$33:$W$143,3,FALSE)</f>
        <v>34.061405369104143</v>
      </c>
      <c r="Y86" s="73">
        <f>'Source VoT'!$D$32*1*VLOOKUP($B86,'Annual Parameters'!$B$33:$W$143,21,FALSE)/VLOOKUP('Source VoT'!$F$27,'Annual Parameters'!$B$33:$W$143,21,FALSE)*VLOOKUP($B$14,'Annual Parameters'!$B$33:$W$143,3,FALSE)/VLOOKUP('Source VoT'!$E$27,'Annual Parameters'!$B$33:$W$143,3,FALSE)</f>
        <v>23.288022731223059</v>
      </c>
      <c r="Z86" s="73">
        <f>'Source VoT'!$D$33*1*VLOOKUP($B86,'Annual Parameters'!$B$33:$W$143,21,FALSE)/VLOOKUP('Source VoT'!$F$27,'Annual Parameters'!$B$33:$W$143,21,FALSE)*VLOOKUP($B$14,'Annual Parameters'!$B$33:$W$143,3,FALSE)/VLOOKUP('Source VoT'!$E$27,'Annual Parameters'!$B$33:$W$143,3,FALSE)</f>
        <v>30.098491859814136</v>
      </c>
      <c r="AA86" s="73">
        <f>'Source VoT'!$D$34*1*VLOOKUP($B86,'Annual Parameters'!$B$33:$W$143,21,FALSE)/VLOOKUP('Source VoT'!$F$27,'Annual Parameters'!$B$33:$W$143,21,FALSE)*VLOOKUP($B$14,'Annual Parameters'!$B$33:$W$143,3,FALSE)/VLOOKUP('Source VoT'!$E$27,'Annual Parameters'!$B$33:$W$143,3,FALSE)</f>
        <v>41.095123662442703</v>
      </c>
      <c r="AB86" s="73">
        <f>'Source VoT'!$D$35*1*VLOOKUP($B86,'Annual Parameters'!$B$33:$W$143,21,FALSE)/VLOOKUP('Source VoT'!$F$27,'Annual Parameters'!$B$33:$W$143,21,FALSE)*VLOOKUP($B$14,'Annual Parameters'!$B$33:$W$143,3,FALSE)/VLOOKUP('Source VoT'!$E$27,'Annual Parameters'!$B$33:$W$143,3,FALSE)</f>
        <v>67.786915491116517</v>
      </c>
      <c r="AC86" s="73">
        <f>'Source VoT'!$D$36*1*VLOOKUP($B86,'Annual Parameters'!$B$33:$W$143,21,FALSE)/VLOOKUP('Source VoT'!$F$27,'Annual Parameters'!$B$33:$W$143,21,FALSE)*VLOOKUP($B$14,'Annual Parameters'!$B$33:$W$143,3,FALSE)/VLOOKUP('Source VoT'!$E$27,'Annual Parameters'!$B$33:$W$143,3,FALSE)</f>
        <v>23.288022731223059</v>
      </c>
      <c r="AD86" s="73">
        <f>'Source VoT'!$D$37*1*VLOOKUP($B86,'Annual Parameters'!$B$33:$W$143,21,FALSE)/VLOOKUP('Source VoT'!$F$27,'Annual Parameters'!$B$33:$W$143,21,FALSE)*VLOOKUP($B$14,'Annual Parameters'!$B$33:$W$143,3,FALSE)/VLOOKUP('Source VoT'!$E$27,'Annual Parameters'!$B$33:$W$143,3,FALSE)</f>
        <v>23.288022731223059</v>
      </c>
      <c r="AE86" s="73">
        <f>'Source VoT'!$D$38*1*VLOOKUP($B86,'Annual Parameters'!$B$33:$W$143,21,FALSE)/VLOOKUP('Source VoT'!$F$27,'Annual Parameters'!$B$33:$W$143,21,FALSE)*VLOOKUP($B$14,'Annual Parameters'!$B$33:$W$143,3,FALSE)/VLOOKUP('Source VoT'!$E$27,'Annual Parameters'!$B$33:$W$143,3,FALSE)</f>
        <v>23.288022731223059</v>
      </c>
      <c r="AF86" s="73">
        <f>'Source VoT'!$D$39*1*VLOOKUP($B86,'Annual Parameters'!$B$33:$W$143,21,FALSE)/VLOOKUP('Source VoT'!$F$27,'Annual Parameters'!$B$33:$W$143,21,FALSE)*VLOOKUP($B$14,'Annual Parameters'!$B$33:$W$143,3,FALSE)/VLOOKUP('Source VoT'!$E$27,'Annual Parameters'!$B$33:$W$143,3,FALSE)</f>
        <v>41.095123662442703</v>
      </c>
      <c r="AG86" s="74">
        <f>'Source VoT'!$D$40*1*VLOOKUP($B86,'Annual Parameters'!$B$33:$W$143,21,FALSE)/VLOOKUP('Source VoT'!$F$27,'Annual Parameters'!$B$33:$W$143,21,FALSE)*VLOOKUP($B$14,'Annual Parameters'!$B$33:$W$143,3,FALSE)/VLOOKUP('Source VoT'!$E$27,'Annual Parameters'!$B$33:$W$143,3,FALSE)</f>
        <v>44.761967163022121</v>
      </c>
      <c r="AH86" s="73">
        <f>'Source VoT'!$D$45*1*VLOOKUP($B86,'Annual Parameters'!$B$33:$W$143,22,FALSE)/VLOOKUP('Source VoT'!$F$27,'Annual Parameters'!$B$33:$W$143,22,FALSE)*VLOOKUP($B$14,'Annual Parameters'!$B$33:$W$143,3,FALSE)/VLOOKUP('Source VoT'!$E$27,'Annual Parameters'!$B$33:$W$143,3,FALSE)</f>
        <v>27.516620137453156</v>
      </c>
      <c r="AI86" s="73">
        <f>'Source VoT'!$D$46*1*VLOOKUP($B86,'Annual Parameters'!$B$33:$W$143,22,FALSE)/VLOOKUP('Source VoT'!$F$27,'Annual Parameters'!$B$33:$W$143,22,FALSE)*VLOOKUP($B$14,'Annual Parameters'!$B$33:$W$143,3,FALSE)/VLOOKUP('Source VoT'!$E$27,'Annual Parameters'!$B$33:$W$143,3,FALSE)</f>
        <v>12.559411207845635</v>
      </c>
      <c r="AJ86" s="117">
        <f>'Source VoT'!$D$27*VLOOKUP($B86,'Indirect tax correction'!$B$27:$I$127,7,FALSE)*VLOOKUP($B86,'Annual Parameters'!$B$33:$W$143,21,FALSE)/VLOOKUP('Source VoT'!$F$27,'Annual Parameters'!$B$33:$W$143,21,FALSE)*VLOOKUP($B$14,'Annual Parameters'!$B$33:$W$143,3,FALSE)/VLOOKUP('Source VoT'!$E$27,'Annual Parameters'!$B$33:$W$143,3,FALSE)</f>
        <v>48.90319715830681</v>
      </c>
      <c r="AK86" s="73">
        <f>'Source VoT'!$D$28*VLOOKUP($B86,'Indirect tax correction'!$B$27:$I$127,7,FALSE)*VLOOKUP($B86,'Annual Parameters'!$B$33:$W$143,21,FALSE)/VLOOKUP('Source VoT'!$F$27,'Annual Parameters'!$B$33:$W$143,21,FALSE)*VLOOKUP($B$14,'Annual Parameters'!$B$33:$W$143,3,FALSE)/VLOOKUP('Source VoT'!$E$27,'Annual Parameters'!$B$33:$W$143,3,FALSE)</f>
        <v>48.90319715830681</v>
      </c>
      <c r="AL86" s="73">
        <f>'Source VoT'!$D$29*VLOOKUP($B86,'Indirect tax correction'!$B$27:$I$127,7,FALSE)*VLOOKUP($B86,'Annual Parameters'!$B$33:$W$143,21,FALSE)/VLOOKUP('Source VoT'!$F$27,'Annual Parameters'!$B$33:$W$143,21,FALSE)*VLOOKUP($B$14,'Annual Parameters'!$B$33:$W$143,3,FALSE)/VLOOKUP('Source VoT'!$E$27,'Annual Parameters'!$B$33:$W$143,3,FALSE)</f>
        <v>33.673629369517414</v>
      </c>
      <c r="AM86" s="73">
        <f>'Source VoT'!$D$30*VLOOKUP($B86,'Indirect tax correction'!$B$27:$I$127,7,FALSE)*VLOOKUP($B86,'Annual Parameters'!$B$33:$W$143,21,FALSE)/VLOOKUP('Source VoT'!$F$27,'Annual Parameters'!$B$33:$W$143,21,FALSE)*VLOOKUP($B$14,'Annual Parameters'!$B$33:$W$143,3,FALSE)/VLOOKUP('Source VoT'!$E$27,'Annual Parameters'!$B$33:$W$143,3,FALSE)</f>
        <v>39.675642011769355</v>
      </c>
      <c r="AN86" s="73">
        <f>'Source VoT'!$D$31*VLOOKUP($B86,'Indirect tax correction'!$B$27:$I$127,7,FALSE)*VLOOKUP($B86,'Annual Parameters'!$B$33:$W$143,21,FALSE)/VLOOKUP('Source VoT'!$F$27,'Annual Parameters'!$B$33:$W$143,21,FALSE)*VLOOKUP($B$14,'Annual Parameters'!$B$33:$W$143,3,FALSE)/VLOOKUP('Source VoT'!$E$27,'Annual Parameters'!$B$33:$W$143,3,FALSE)</f>
        <v>40.533072389233922</v>
      </c>
      <c r="AO86" s="73">
        <f>'Source VoT'!$D$32*VLOOKUP($B86,'Indirect tax correction'!$B$27:$I$127,7,FALSE)*VLOOKUP($B86,'Annual Parameters'!$B$33:$W$143,21,FALSE)/VLOOKUP('Source VoT'!$F$27,'Annual Parameters'!$B$33:$W$143,21,FALSE)*VLOOKUP($B$14,'Annual Parameters'!$B$33:$W$143,3,FALSE)/VLOOKUP('Source VoT'!$E$27,'Annual Parameters'!$B$33:$W$143,3,FALSE)</f>
        <v>27.712747050155439</v>
      </c>
      <c r="AP86" s="73">
        <f>'Source VoT'!$D$33*VLOOKUP($B86,'Indirect tax correction'!$B$27:$I$127,7,FALSE)*VLOOKUP($B86,'Annual Parameters'!$B$33:$W$143,21,FALSE)/VLOOKUP('Source VoT'!$F$27,'Annual Parameters'!$B$33:$W$143,21,FALSE)*VLOOKUP($B$14,'Annual Parameters'!$B$33:$W$143,3,FALSE)/VLOOKUP('Source VoT'!$E$27,'Annual Parameters'!$B$33:$W$143,3,FALSE)</f>
        <v>35.817205313178818</v>
      </c>
      <c r="AQ86" s="73">
        <f>'Source VoT'!$D$34*VLOOKUP($B86,'Indirect tax correction'!$B$27:$I$127,7,FALSE)*VLOOKUP($B86,'Annual Parameters'!$B$33:$W$143,21,FALSE)/VLOOKUP('Source VoT'!$F$27,'Annual Parameters'!$B$33:$W$143,21,FALSE)*VLOOKUP($B$14,'Annual Parameters'!$B$33:$W$143,3,FALSE)/VLOOKUP('Source VoT'!$E$27,'Annual Parameters'!$B$33:$W$143,3,FALSE)</f>
        <v>48.90319715830681</v>
      </c>
      <c r="AR86" s="73">
        <f>'Source VoT'!$D$35*VLOOKUP($B86,'Indirect tax correction'!$B$27:$I$127,7,FALSE)*VLOOKUP($B86,'Annual Parameters'!$B$33:$W$143,21,FALSE)/VLOOKUP('Source VoT'!$F$27,'Annual Parameters'!$B$33:$W$143,21,FALSE)*VLOOKUP($B$14,'Annual Parameters'!$B$33:$W$143,3,FALSE)/VLOOKUP('Source VoT'!$E$27,'Annual Parameters'!$B$33:$W$143,3,FALSE)</f>
        <v>80.666429434428665</v>
      </c>
      <c r="AS86" s="73">
        <f>'Source VoT'!$D$36*VLOOKUP($B86,'Indirect tax correction'!$B$27:$I$127,7,FALSE)*VLOOKUP($B86,'Annual Parameters'!$B$33:$W$143,21,FALSE)/VLOOKUP('Source VoT'!$F$27,'Annual Parameters'!$B$33:$W$143,21,FALSE)*VLOOKUP($B$14,'Annual Parameters'!$B$33:$W$143,3,FALSE)/VLOOKUP('Source VoT'!$E$27,'Annual Parameters'!$B$33:$W$143,3,FALSE)</f>
        <v>27.712747050155439</v>
      </c>
      <c r="AT86" s="73">
        <f>'Source VoT'!$D$37*VLOOKUP($B86,'Indirect tax correction'!$B$27:$I$127,7,FALSE)*VLOOKUP($B86,'Annual Parameters'!$B$33:$W$143,21,FALSE)/VLOOKUP('Source VoT'!$F$27,'Annual Parameters'!$B$33:$W$143,21,FALSE)*VLOOKUP($B$14,'Annual Parameters'!$B$33:$W$143,3,FALSE)/VLOOKUP('Source VoT'!$E$27,'Annual Parameters'!$B$33:$W$143,3,FALSE)</f>
        <v>27.712747050155439</v>
      </c>
      <c r="AU86" s="73">
        <f>'Source VoT'!$D$38*VLOOKUP($B86,'Indirect tax correction'!$B$27:$I$127,7,FALSE)*VLOOKUP($B86,'Annual Parameters'!$B$33:$W$143,21,FALSE)/VLOOKUP('Source VoT'!$F$27,'Annual Parameters'!$B$33:$W$143,21,FALSE)*VLOOKUP($B$14,'Annual Parameters'!$B$33:$W$143,3,FALSE)/VLOOKUP('Source VoT'!$E$27,'Annual Parameters'!$B$33:$W$143,3,FALSE)</f>
        <v>27.712747050155439</v>
      </c>
      <c r="AV86" s="73">
        <f>'Source VoT'!$D$39*VLOOKUP($B86,'Indirect tax correction'!$B$27:$I$127,7,FALSE)*VLOOKUP($B86,'Annual Parameters'!$B$33:$W$143,21,FALSE)/VLOOKUP('Source VoT'!$F$27,'Annual Parameters'!$B$33:$W$143,21,FALSE)*VLOOKUP($B$14,'Annual Parameters'!$B$33:$W$143,3,FALSE)/VLOOKUP('Source VoT'!$E$27,'Annual Parameters'!$B$33:$W$143,3,FALSE)</f>
        <v>48.90319715830681</v>
      </c>
      <c r="AW86" s="74">
        <f>'Source VoT'!$D$40*VLOOKUP($B86,'Indirect tax correction'!$B$27:$I$127,7,FALSE)*VLOOKUP($B86,'Annual Parameters'!$B$33:$W$143,21,FALSE)/VLOOKUP('Source VoT'!$F$27,'Annual Parameters'!$B$33:$W$143,21,FALSE)*VLOOKUP($B$14,'Annual Parameters'!$B$33:$W$143,3,FALSE)/VLOOKUP('Source VoT'!$E$27,'Annual Parameters'!$B$33:$W$143,3,FALSE)</f>
        <v>53.266740923996309</v>
      </c>
      <c r="AX86" s="73">
        <f>'Source VoT'!$D$45*VLOOKUP($B86,'Indirect tax correction'!$B$27:$I$127,8,FALSE)*VLOOKUP($B86,'Annual Parameters'!$B$33:$W$143,22,FALSE)/VLOOKUP('Source VoT'!$F$27,'Annual Parameters'!$B$33:$W$143,22,FALSE)*VLOOKUP($B$14,'Annual Parameters'!$B$33:$W$143,3,FALSE)/VLOOKUP('Source VoT'!$E$27,'Annual Parameters'!$B$33:$W$143,3,FALSE)</f>
        <v>27.516620137453156</v>
      </c>
      <c r="AY86" s="74">
        <f>'Source VoT'!$D$46*VLOOKUP($B86,'Indirect tax correction'!$B$27:$I$127,8,FALSE)*VLOOKUP($B86,'Annual Parameters'!$B$33:$W$143,22,FALSE)/VLOOKUP('Source VoT'!$F$27,'Annual Parameters'!$B$33:$W$143,22,FALSE)*VLOOKUP($B$14,'Annual Parameters'!$B$33:$W$143,3,FALSE)/VLOOKUP('Source VoT'!$E$27,'Annual Parameters'!$B$33:$W$143,3,FALSE)</f>
        <v>12.559411207845635</v>
      </c>
      <c r="AZ86" s="2875"/>
      <c r="BA86" s="2875"/>
      <c r="BB86" s="2875"/>
      <c r="BC86" s="2875"/>
      <c r="BD86" s="2875"/>
      <c r="BE86" s="2875"/>
      <c r="BF86" s="2875"/>
      <c r="BG86" s="2875"/>
    </row>
    <row r="87" spans="1:59" ht="13.5" customHeight="1">
      <c r="A87" s="90"/>
      <c r="B87" s="82">
        <f t="shared" si="0"/>
        <v>2070</v>
      </c>
      <c r="C87" s="82"/>
      <c r="D87" s="117">
        <f>'Source VoT'!$D$27*VLOOKUP($B87,'Indirect tax correction'!$B$27:$I$127,5,FALSE)*VLOOKUP($B87,'Annual Parameters'!$B$33:$W$143,21,FALSE)/VLOOKUP('Source VoT'!$F$27,'Annual Parameters'!$B$33:$W$143,21,FALSE)*VLOOKUP($B$14,'Annual Parameters'!$B$33:$W$143,3,FALSE)/VLOOKUP('Source VoT'!$E$27,'Annual Parameters'!$B$33:$W$143,3,FALSE)</f>
        <v>41.964477066733643</v>
      </c>
      <c r="E87" s="73">
        <f>'Source VoT'!$D$28*VLOOKUP($B87,'Indirect tax correction'!$B$27:$I$127,5,FALSE)*VLOOKUP($B87,'Annual Parameters'!$B$33:$W$143,21,FALSE)/VLOOKUP('Source VoT'!$F$27,'Annual Parameters'!$B$33:$W$143,21,FALSE)*VLOOKUP($B$14,'Annual Parameters'!$B$33:$W$143,3,FALSE)/VLOOKUP('Source VoT'!$E$27,'Annual Parameters'!$B$33:$W$143,3,FALSE)</f>
        <v>41.964477066733643</v>
      </c>
      <c r="F87" s="73">
        <f>'Source VoT'!$D$29*VLOOKUP($B87,'Indirect tax correction'!$B$27:$I$127,5,FALSE)*VLOOKUP($B87,'Annual Parameters'!$B$33:$W$143,21,FALSE)/VLOOKUP('Source VoT'!$F$27,'Annual Parameters'!$B$33:$W$143,21,FALSE)*VLOOKUP($B$14,'Annual Parameters'!$B$33:$W$143,3,FALSE)/VLOOKUP('Source VoT'!$E$27,'Annual Parameters'!$B$33:$W$143,3,FALSE)</f>
        <v>28.895784520108215</v>
      </c>
      <c r="G87" s="73">
        <f>'Source VoT'!$D$30*VLOOKUP($B87,'Indirect tax correction'!$B$27:$I$127,5,FALSE)*VLOOKUP($B87,'Annual Parameters'!$B$33:$W$143,21,FALSE)/VLOOKUP('Source VoT'!$F$27,'Annual Parameters'!$B$33:$W$143,21,FALSE)*VLOOKUP($B$14,'Annual Parameters'!$B$33:$W$143,3,FALSE)/VLOOKUP('Source VoT'!$E$27,'Annual Parameters'!$B$33:$W$143,3,FALSE)</f>
        <v>34.046190557257134</v>
      </c>
      <c r="H87" s="73">
        <f>'Source VoT'!$D$31*VLOOKUP($B87,'Indirect tax correction'!$B$27:$I$127,5,FALSE)*VLOOKUP($B87,'Annual Parameters'!$B$33:$W$143,21,FALSE)/VLOOKUP('Source VoT'!$F$27,'Annual Parameters'!$B$33:$W$143,21,FALSE)*VLOOKUP($B$14,'Annual Parameters'!$B$33:$W$143,3,FALSE)/VLOOKUP('Source VoT'!$E$27,'Annual Parameters'!$B$33:$W$143,3,FALSE)</f>
        <v>34.781962848278411</v>
      </c>
      <c r="I87" s="73">
        <f>'Source VoT'!$D$32*VLOOKUP($B87,'Indirect tax correction'!$B$27:$I$127,5,FALSE)*VLOOKUP($B87,'Annual Parameters'!$B$33:$W$143,21,FALSE)/VLOOKUP('Source VoT'!$F$27,'Annual Parameters'!$B$33:$W$143,21,FALSE)*VLOOKUP($B$14,'Annual Parameters'!$B$33:$W$143,3,FALSE)/VLOOKUP('Source VoT'!$E$27,'Annual Parameters'!$B$33:$W$143,3,FALSE)</f>
        <v>23.780672954322309</v>
      </c>
      <c r="J87" s="73">
        <f>'Source VoT'!$D$33*VLOOKUP($B87,'Indirect tax correction'!$B$27:$I$127,5,FALSE)*VLOOKUP($B87,'Annual Parameters'!$B$33:$W$143,21,FALSE)/VLOOKUP('Source VoT'!$F$27,'Annual Parameters'!$B$33:$W$143,21,FALSE)*VLOOKUP($B$14,'Annual Parameters'!$B$33:$W$143,3,FALSE)/VLOOKUP('Source VoT'!$E$27,'Annual Parameters'!$B$33:$W$143,3,FALSE)</f>
        <v>30.735215247661401</v>
      </c>
      <c r="K87" s="73">
        <f>'Source VoT'!$D$34*VLOOKUP($B87,'Indirect tax correction'!$B$27:$I$127,5,FALSE)*VLOOKUP($B87,'Annual Parameters'!$B$33:$W$143,21,FALSE)/VLOOKUP('Source VoT'!$F$27,'Annual Parameters'!$B$33:$W$143,21,FALSE)*VLOOKUP($B$14,'Annual Parameters'!$B$33:$W$143,3,FALSE)/VLOOKUP('Source VoT'!$E$27,'Annual Parameters'!$B$33:$W$143,3,FALSE)</f>
        <v>41.964477066733643</v>
      </c>
      <c r="L87" s="73">
        <f>'Source VoT'!$D$35*VLOOKUP($B87,'Indirect tax correction'!$B$27:$I$127,5,FALSE)*VLOOKUP($B87,'Annual Parameters'!$B$33:$W$143,21,FALSE)/VLOOKUP('Source VoT'!$F$27,'Annual Parameters'!$B$33:$W$143,21,FALSE)*VLOOKUP($B$14,'Annual Parameters'!$B$33:$W$143,3,FALSE)/VLOOKUP('Source VoT'!$E$27,'Annual Parameters'!$B$33:$W$143,3,FALSE)</f>
        <v>69.220924699426618</v>
      </c>
      <c r="M87" s="73">
        <f>'Source VoT'!$D$36*VLOOKUP($B87,'Indirect tax correction'!$B$27:$I$127,5,FALSE)*VLOOKUP($B87,'Annual Parameters'!$B$33:$W$143,21,FALSE)/VLOOKUP('Source VoT'!$F$27,'Annual Parameters'!$B$33:$W$143,21,FALSE)*VLOOKUP($B$14,'Annual Parameters'!$B$33:$W$143,3,FALSE)/VLOOKUP('Source VoT'!$E$27,'Annual Parameters'!$B$33:$W$143,3,FALSE)</f>
        <v>23.780672954322309</v>
      </c>
      <c r="N87" s="73">
        <f>'Source VoT'!$D$37*VLOOKUP($B87,'Indirect tax correction'!$B$27:$I$127,5,FALSE)*VLOOKUP($B87,'Annual Parameters'!$B$33:$W$143,21,FALSE)/VLOOKUP('Source VoT'!$F$27,'Annual Parameters'!$B$33:$W$143,21,FALSE)*VLOOKUP($B$14,'Annual Parameters'!$B$33:$W$143,3,FALSE)/VLOOKUP('Source VoT'!$E$27,'Annual Parameters'!$B$33:$W$143,3,FALSE)</f>
        <v>23.780672954322309</v>
      </c>
      <c r="O87" s="73">
        <f>'Source VoT'!$D$38*VLOOKUP($B87,'Indirect tax correction'!$B$27:$I$127,5,FALSE)*VLOOKUP($B87,'Annual Parameters'!$B$33:$W$143,21,FALSE)/VLOOKUP('Source VoT'!$F$27,'Annual Parameters'!$B$33:$W$143,21,FALSE)*VLOOKUP($B$14,'Annual Parameters'!$B$33:$W$143,3,FALSE)/VLOOKUP('Source VoT'!$E$27,'Annual Parameters'!$B$33:$W$143,3,FALSE)</f>
        <v>23.780672954322309</v>
      </c>
      <c r="P87" s="73">
        <f>'Source VoT'!$D$39*VLOOKUP($B87,'Indirect tax correction'!$B$27:$I$127,5,FALSE)*VLOOKUP($B87,'Annual Parameters'!$B$33:$W$143,21,FALSE)/VLOOKUP('Source VoT'!$F$27,'Annual Parameters'!$B$33:$W$143,21,FALSE)*VLOOKUP($B$14,'Annual Parameters'!$B$33:$W$143,3,FALSE)/VLOOKUP('Source VoT'!$E$27,'Annual Parameters'!$B$33:$W$143,3,FALSE)</f>
        <v>41.964477066733643</v>
      </c>
      <c r="Q87" s="74">
        <f>'Source VoT'!$D$40*VLOOKUP($B87,'Indirect tax correction'!$B$27:$I$127,5,FALSE)*VLOOKUP($B87,'Annual Parameters'!$B$33:$W$143,21,FALSE)/VLOOKUP('Source VoT'!$F$27,'Annual Parameters'!$B$33:$W$143,21,FALSE)*VLOOKUP($B$14,'Annual Parameters'!$B$33:$W$143,3,FALSE)/VLOOKUP('Source VoT'!$E$27,'Annual Parameters'!$B$33:$W$143,3,FALSE)</f>
        <v>45.708891398013449</v>
      </c>
      <c r="R87" s="73">
        <f>'Source VoT'!$D$45*VLOOKUP($B87,'Indirect tax correction'!$B$27:$I$127,6,FALSE)*VLOOKUP($B87,'Annual Parameters'!$B$33:$W$143,22,FALSE)/VLOOKUP('Source VoT'!$F$27,'Annual Parameters'!$B$33:$W$143,22,FALSE)*VLOOKUP($B$14,'Annual Parameters'!$B$33:$W$143,3,FALSE)/VLOOKUP('Source VoT'!$E$27,'Annual Parameters'!$B$33:$W$143,3,FALSE)</f>
        <v>23.612373869425646</v>
      </c>
      <c r="S87" s="73">
        <f>'Source VoT'!$D$46*VLOOKUP($B87,'Indirect tax correction'!$B$27:$I$127,6,FALSE)*VLOOKUP($B87,'Annual Parameters'!$B$33:$W$143,22,FALSE)/VLOOKUP('Source VoT'!$F$27,'Annual Parameters'!$B$33:$W$143,22,FALSE)*VLOOKUP($B$14,'Annual Parameters'!$B$33:$W$143,3,FALSE)/VLOOKUP('Source VoT'!$E$27,'Annual Parameters'!$B$33:$W$143,3,FALSE)</f>
        <v>10.77739604421323</v>
      </c>
      <c r="T87" s="117">
        <f>'Source VoT'!$D$27*1*VLOOKUP($B87,'Annual Parameters'!$B$33:$W$143,21,FALSE)/VLOOKUP('Source VoT'!$F$27,'Annual Parameters'!$B$33:$W$143,21,FALSE)*VLOOKUP($B$14,'Annual Parameters'!$B$33:$W$143,3,FALSE)/VLOOKUP('Source VoT'!$E$27,'Annual Parameters'!$B$33:$W$143,3,FALSE)</f>
        <v>41.964477066733643</v>
      </c>
      <c r="U87" s="73">
        <f>'Source VoT'!$D$28*1*VLOOKUP($B87,'Annual Parameters'!$B$33:$W$143,21,FALSE)/VLOOKUP('Source VoT'!$F$27,'Annual Parameters'!$B$33:$W$143,21,FALSE)*VLOOKUP($B$14,'Annual Parameters'!$B$33:$W$143,3,FALSE)/VLOOKUP('Source VoT'!$E$27,'Annual Parameters'!$B$33:$W$143,3,FALSE)</f>
        <v>41.964477066733643</v>
      </c>
      <c r="V87" s="73">
        <f>'Source VoT'!$D$29*1*VLOOKUP($B87,'Annual Parameters'!$B$33:$W$143,21,FALSE)/VLOOKUP('Source VoT'!$F$27,'Annual Parameters'!$B$33:$W$143,21,FALSE)*VLOOKUP($B$14,'Annual Parameters'!$B$33:$W$143,3,FALSE)/VLOOKUP('Source VoT'!$E$27,'Annual Parameters'!$B$33:$W$143,3,FALSE)</f>
        <v>28.895784520108215</v>
      </c>
      <c r="W87" s="73">
        <f>'Source VoT'!$D$30*1*VLOOKUP($B87,'Annual Parameters'!$B$33:$W$143,21,FALSE)/VLOOKUP('Source VoT'!$F$27,'Annual Parameters'!$B$33:$W$143,21,FALSE)*VLOOKUP($B$14,'Annual Parameters'!$B$33:$W$143,3,FALSE)/VLOOKUP('Source VoT'!$E$27,'Annual Parameters'!$B$33:$W$143,3,FALSE)</f>
        <v>34.046190557257134</v>
      </c>
      <c r="X87" s="73">
        <f>'Source VoT'!$D$31*1*VLOOKUP($B87,'Annual Parameters'!$B$33:$W$143,21,FALSE)/VLOOKUP('Source VoT'!$F$27,'Annual Parameters'!$B$33:$W$143,21,FALSE)*VLOOKUP($B$14,'Annual Parameters'!$B$33:$W$143,3,FALSE)/VLOOKUP('Source VoT'!$E$27,'Annual Parameters'!$B$33:$W$143,3,FALSE)</f>
        <v>34.781962848278411</v>
      </c>
      <c r="Y87" s="73">
        <f>'Source VoT'!$D$32*1*VLOOKUP($B87,'Annual Parameters'!$B$33:$W$143,21,FALSE)/VLOOKUP('Source VoT'!$F$27,'Annual Parameters'!$B$33:$W$143,21,FALSE)*VLOOKUP($B$14,'Annual Parameters'!$B$33:$W$143,3,FALSE)/VLOOKUP('Source VoT'!$E$27,'Annual Parameters'!$B$33:$W$143,3,FALSE)</f>
        <v>23.780672954322309</v>
      </c>
      <c r="Z87" s="73">
        <f>'Source VoT'!$D$33*1*VLOOKUP($B87,'Annual Parameters'!$B$33:$W$143,21,FALSE)/VLOOKUP('Source VoT'!$F$27,'Annual Parameters'!$B$33:$W$143,21,FALSE)*VLOOKUP($B$14,'Annual Parameters'!$B$33:$W$143,3,FALSE)/VLOOKUP('Source VoT'!$E$27,'Annual Parameters'!$B$33:$W$143,3,FALSE)</f>
        <v>30.735215247661401</v>
      </c>
      <c r="AA87" s="73">
        <f>'Source VoT'!$D$34*1*VLOOKUP($B87,'Annual Parameters'!$B$33:$W$143,21,FALSE)/VLOOKUP('Source VoT'!$F$27,'Annual Parameters'!$B$33:$W$143,21,FALSE)*VLOOKUP($B$14,'Annual Parameters'!$B$33:$W$143,3,FALSE)/VLOOKUP('Source VoT'!$E$27,'Annual Parameters'!$B$33:$W$143,3,FALSE)</f>
        <v>41.964477066733643</v>
      </c>
      <c r="AB87" s="73">
        <f>'Source VoT'!$D$35*1*VLOOKUP($B87,'Annual Parameters'!$B$33:$W$143,21,FALSE)/VLOOKUP('Source VoT'!$F$27,'Annual Parameters'!$B$33:$W$143,21,FALSE)*VLOOKUP($B$14,'Annual Parameters'!$B$33:$W$143,3,FALSE)/VLOOKUP('Source VoT'!$E$27,'Annual Parameters'!$B$33:$W$143,3,FALSE)</f>
        <v>69.220924699426618</v>
      </c>
      <c r="AC87" s="73">
        <f>'Source VoT'!$D$36*1*VLOOKUP($B87,'Annual Parameters'!$B$33:$W$143,21,FALSE)/VLOOKUP('Source VoT'!$F$27,'Annual Parameters'!$B$33:$W$143,21,FALSE)*VLOOKUP($B$14,'Annual Parameters'!$B$33:$W$143,3,FALSE)/VLOOKUP('Source VoT'!$E$27,'Annual Parameters'!$B$33:$W$143,3,FALSE)</f>
        <v>23.780672954322309</v>
      </c>
      <c r="AD87" s="73">
        <f>'Source VoT'!$D$37*1*VLOOKUP($B87,'Annual Parameters'!$B$33:$W$143,21,FALSE)/VLOOKUP('Source VoT'!$F$27,'Annual Parameters'!$B$33:$W$143,21,FALSE)*VLOOKUP($B$14,'Annual Parameters'!$B$33:$W$143,3,FALSE)/VLOOKUP('Source VoT'!$E$27,'Annual Parameters'!$B$33:$W$143,3,FALSE)</f>
        <v>23.780672954322309</v>
      </c>
      <c r="AE87" s="73">
        <f>'Source VoT'!$D$38*1*VLOOKUP($B87,'Annual Parameters'!$B$33:$W$143,21,FALSE)/VLOOKUP('Source VoT'!$F$27,'Annual Parameters'!$B$33:$W$143,21,FALSE)*VLOOKUP($B$14,'Annual Parameters'!$B$33:$W$143,3,FALSE)/VLOOKUP('Source VoT'!$E$27,'Annual Parameters'!$B$33:$W$143,3,FALSE)</f>
        <v>23.780672954322309</v>
      </c>
      <c r="AF87" s="73">
        <f>'Source VoT'!$D$39*1*VLOOKUP($B87,'Annual Parameters'!$B$33:$W$143,21,FALSE)/VLOOKUP('Source VoT'!$F$27,'Annual Parameters'!$B$33:$W$143,21,FALSE)*VLOOKUP($B$14,'Annual Parameters'!$B$33:$W$143,3,FALSE)/VLOOKUP('Source VoT'!$E$27,'Annual Parameters'!$B$33:$W$143,3,FALSE)</f>
        <v>41.964477066733643</v>
      </c>
      <c r="AG87" s="74">
        <f>'Source VoT'!$D$40*1*VLOOKUP($B87,'Annual Parameters'!$B$33:$W$143,21,FALSE)/VLOOKUP('Source VoT'!$F$27,'Annual Parameters'!$B$33:$W$143,21,FALSE)*VLOOKUP($B$14,'Annual Parameters'!$B$33:$W$143,3,FALSE)/VLOOKUP('Source VoT'!$E$27,'Annual Parameters'!$B$33:$W$143,3,FALSE)</f>
        <v>45.708891398013449</v>
      </c>
      <c r="AH87" s="73">
        <f>'Source VoT'!$D$45*1*VLOOKUP($B87,'Annual Parameters'!$B$33:$W$143,22,FALSE)/VLOOKUP('Source VoT'!$F$27,'Annual Parameters'!$B$33:$W$143,22,FALSE)*VLOOKUP($B$14,'Annual Parameters'!$B$33:$W$143,3,FALSE)/VLOOKUP('Source VoT'!$E$27,'Annual Parameters'!$B$33:$W$143,3,FALSE)</f>
        <v>28.098724904616514</v>
      </c>
      <c r="AI87" s="73">
        <f>'Source VoT'!$D$46*1*VLOOKUP($B87,'Annual Parameters'!$B$33:$W$143,22,FALSE)/VLOOKUP('Source VoT'!$F$27,'Annual Parameters'!$B$33:$W$143,22,FALSE)*VLOOKUP($B$14,'Annual Parameters'!$B$33:$W$143,3,FALSE)/VLOOKUP('Source VoT'!$E$27,'Annual Parameters'!$B$33:$W$143,3,FALSE)</f>
        <v>12.825101292613747</v>
      </c>
      <c r="AJ87" s="117">
        <f>'Source VoT'!$D$27*VLOOKUP($B87,'Indirect tax correction'!$B$27:$I$127,7,FALSE)*VLOOKUP($B87,'Annual Parameters'!$B$33:$W$143,21,FALSE)/VLOOKUP('Source VoT'!$F$27,'Annual Parameters'!$B$33:$W$143,21,FALSE)*VLOOKUP($B$14,'Annual Parameters'!$B$33:$W$143,3,FALSE)/VLOOKUP('Source VoT'!$E$27,'Annual Parameters'!$B$33:$W$143,3,FALSE)</f>
        <v>49.937727709413032</v>
      </c>
      <c r="AK87" s="73">
        <f>'Source VoT'!$D$28*VLOOKUP($B87,'Indirect tax correction'!$B$27:$I$127,7,FALSE)*VLOOKUP($B87,'Annual Parameters'!$B$33:$W$143,21,FALSE)/VLOOKUP('Source VoT'!$F$27,'Annual Parameters'!$B$33:$W$143,21,FALSE)*VLOOKUP($B$14,'Annual Parameters'!$B$33:$W$143,3,FALSE)/VLOOKUP('Source VoT'!$E$27,'Annual Parameters'!$B$33:$W$143,3,FALSE)</f>
        <v>49.937727709413032</v>
      </c>
      <c r="AL87" s="73">
        <f>'Source VoT'!$D$29*VLOOKUP($B87,'Indirect tax correction'!$B$27:$I$127,7,FALSE)*VLOOKUP($B87,'Annual Parameters'!$B$33:$W$143,21,FALSE)/VLOOKUP('Source VoT'!$F$27,'Annual Parameters'!$B$33:$W$143,21,FALSE)*VLOOKUP($B$14,'Annual Parameters'!$B$33:$W$143,3,FALSE)/VLOOKUP('Source VoT'!$E$27,'Annual Parameters'!$B$33:$W$143,3,FALSE)</f>
        <v>34.385983578928773</v>
      </c>
      <c r="AM87" s="73">
        <f>'Source VoT'!$D$30*VLOOKUP($B87,'Indirect tax correction'!$B$27:$I$127,7,FALSE)*VLOOKUP($B87,'Annual Parameters'!$B$33:$W$143,21,FALSE)/VLOOKUP('Source VoT'!$F$27,'Annual Parameters'!$B$33:$W$143,21,FALSE)*VLOOKUP($B$14,'Annual Parameters'!$B$33:$W$143,3,FALSE)/VLOOKUP('Source VoT'!$E$27,'Annual Parameters'!$B$33:$W$143,3,FALSE)</f>
        <v>40.51496676313598</v>
      </c>
      <c r="AN87" s="73">
        <f>'Source VoT'!$D$31*VLOOKUP($B87,'Indirect tax correction'!$B$27:$I$127,7,FALSE)*VLOOKUP($B87,'Annual Parameters'!$B$33:$W$143,21,FALSE)/VLOOKUP('Source VoT'!$F$27,'Annual Parameters'!$B$33:$W$143,21,FALSE)*VLOOKUP($B$14,'Annual Parameters'!$B$33:$W$143,3,FALSE)/VLOOKUP('Source VoT'!$E$27,'Annual Parameters'!$B$33:$W$143,3,FALSE)</f>
        <v>41.390535789451299</v>
      </c>
      <c r="AO87" s="73">
        <f>'Source VoT'!$D$32*VLOOKUP($B87,'Indirect tax correction'!$B$27:$I$127,7,FALSE)*VLOOKUP($B87,'Annual Parameters'!$B$33:$W$143,21,FALSE)/VLOOKUP('Source VoT'!$F$27,'Annual Parameters'!$B$33:$W$143,21,FALSE)*VLOOKUP($B$14,'Annual Parameters'!$B$33:$W$143,3,FALSE)/VLOOKUP('Source VoT'!$E$27,'Annual Parameters'!$B$33:$W$143,3,FALSE)</f>
        <v>28.299000815643549</v>
      </c>
      <c r="AP87" s="73">
        <f>'Source VoT'!$D$33*VLOOKUP($B87,'Indirect tax correction'!$B$27:$I$127,7,FALSE)*VLOOKUP($B87,'Annual Parameters'!$B$33:$W$143,21,FALSE)/VLOOKUP('Source VoT'!$F$27,'Annual Parameters'!$B$33:$W$143,21,FALSE)*VLOOKUP($B$14,'Annual Parameters'!$B$33:$W$143,3,FALSE)/VLOOKUP('Source VoT'!$E$27,'Annual Parameters'!$B$33:$W$143,3,FALSE)</f>
        <v>36.574906144717062</v>
      </c>
      <c r="AQ87" s="73">
        <f>'Source VoT'!$D$34*VLOOKUP($B87,'Indirect tax correction'!$B$27:$I$127,7,FALSE)*VLOOKUP($B87,'Annual Parameters'!$B$33:$W$143,21,FALSE)/VLOOKUP('Source VoT'!$F$27,'Annual Parameters'!$B$33:$W$143,21,FALSE)*VLOOKUP($B$14,'Annual Parameters'!$B$33:$W$143,3,FALSE)/VLOOKUP('Source VoT'!$E$27,'Annual Parameters'!$B$33:$W$143,3,FALSE)</f>
        <v>49.937727709413032</v>
      </c>
      <c r="AR87" s="73">
        <f>'Source VoT'!$D$35*VLOOKUP($B87,'Indirect tax correction'!$B$27:$I$127,7,FALSE)*VLOOKUP($B87,'Annual Parameters'!$B$33:$W$143,21,FALSE)/VLOOKUP('Source VoT'!$F$27,'Annual Parameters'!$B$33:$W$143,21,FALSE)*VLOOKUP($B$14,'Annual Parameters'!$B$33:$W$143,3,FALSE)/VLOOKUP('Source VoT'!$E$27,'Annual Parameters'!$B$33:$W$143,3,FALSE)</f>
        <v>82.372900392317675</v>
      </c>
      <c r="AS87" s="73">
        <f>'Source VoT'!$D$36*VLOOKUP($B87,'Indirect tax correction'!$B$27:$I$127,7,FALSE)*VLOOKUP($B87,'Annual Parameters'!$B$33:$W$143,21,FALSE)/VLOOKUP('Source VoT'!$F$27,'Annual Parameters'!$B$33:$W$143,21,FALSE)*VLOOKUP($B$14,'Annual Parameters'!$B$33:$W$143,3,FALSE)/VLOOKUP('Source VoT'!$E$27,'Annual Parameters'!$B$33:$W$143,3,FALSE)</f>
        <v>28.299000815643549</v>
      </c>
      <c r="AT87" s="73">
        <f>'Source VoT'!$D$37*VLOOKUP($B87,'Indirect tax correction'!$B$27:$I$127,7,FALSE)*VLOOKUP($B87,'Annual Parameters'!$B$33:$W$143,21,FALSE)/VLOOKUP('Source VoT'!$F$27,'Annual Parameters'!$B$33:$W$143,21,FALSE)*VLOOKUP($B$14,'Annual Parameters'!$B$33:$W$143,3,FALSE)/VLOOKUP('Source VoT'!$E$27,'Annual Parameters'!$B$33:$W$143,3,FALSE)</f>
        <v>28.299000815643549</v>
      </c>
      <c r="AU87" s="73">
        <f>'Source VoT'!$D$38*VLOOKUP($B87,'Indirect tax correction'!$B$27:$I$127,7,FALSE)*VLOOKUP($B87,'Annual Parameters'!$B$33:$W$143,21,FALSE)/VLOOKUP('Source VoT'!$F$27,'Annual Parameters'!$B$33:$W$143,21,FALSE)*VLOOKUP($B$14,'Annual Parameters'!$B$33:$W$143,3,FALSE)/VLOOKUP('Source VoT'!$E$27,'Annual Parameters'!$B$33:$W$143,3,FALSE)</f>
        <v>28.299000815643549</v>
      </c>
      <c r="AV87" s="73">
        <f>'Source VoT'!$D$39*VLOOKUP($B87,'Indirect tax correction'!$B$27:$I$127,7,FALSE)*VLOOKUP($B87,'Annual Parameters'!$B$33:$W$143,21,FALSE)/VLOOKUP('Source VoT'!$F$27,'Annual Parameters'!$B$33:$W$143,21,FALSE)*VLOOKUP($B$14,'Annual Parameters'!$B$33:$W$143,3,FALSE)/VLOOKUP('Source VoT'!$E$27,'Annual Parameters'!$B$33:$W$143,3,FALSE)</f>
        <v>49.937727709413032</v>
      </c>
      <c r="AW87" s="74">
        <f>'Source VoT'!$D$40*VLOOKUP($B87,'Indirect tax correction'!$B$27:$I$127,7,FALSE)*VLOOKUP($B87,'Annual Parameters'!$B$33:$W$143,21,FALSE)/VLOOKUP('Source VoT'!$F$27,'Annual Parameters'!$B$33:$W$143,21,FALSE)*VLOOKUP($B$14,'Annual Parameters'!$B$33:$W$143,3,FALSE)/VLOOKUP('Source VoT'!$E$27,'Annual Parameters'!$B$33:$W$143,3,FALSE)</f>
        <v>54.393580763636002</v>
      </c>
      <c r="AX87" s="73">
        <f>'Source VoT'!$D$45*VLOOKUP($B87,'Indirect tax correction'!$B$27:$I$127,8,FALSE)*VLOOKUP($B87,'Annual Parameters'!$B$33:$W$143,22,FALSE)/VLOOKUP('Source VoT'!$F$27,'Annual Parameters'!$B$33:$W$143,22,FALSE)*VLOOKUP($B$14,'Annual Parameters'!$B$33:$W$143,3,FALSE)/VLOOKUP('Source VoT'!$E$27,'Annual Parameters'!$B$33:$W$143,3,FALSE)</f>
        <v>28.098724904616514</v>
      </c>
      <c r="AY87" s="74">
        <f>'Source VoT'!$D$46*VLOOKUP($B87,'Indirect tax correction'!$B$27:$I$127,8,FALSE)*VLOOKUP($B87,'Annual Parameters'!$B$33:$W$143,22,FALSE)/VLOOKUP('Source VoT'!$F$27,'Annual Parameters'!$B$33:$W$143,22,FALSE)*VLOOKUP($B$14,'Annual Parameters'!$B$33:$W$143,3,FALSE)/VLOOKUP('Source VoT'!$E$27,'Annual Parameters'!$B$33:$W$143,3,FALSE)</f>
        <v>12.825101292613747</v>
      </c>
      <c r="AZ87" s="2875"/>
      <c r="BA87" s="2875"/>
      <c r="BB87" s="2875"/>
      <c r="BC87" s="2875"/>
      <c r="BD87" s="2875"/>
      <c r="BE87" s="2875"/>
      <c r="BF87" s="2875"/>
      <c r="BG87" s="2875"/>
    </row>
    <row r="88" spans="1:59" ht="13.5" customHeight="1">
      <c r="A88" s="90"/>
      <c r="B88" s="82">
        <f t="shared" si="0"/>
        <v>2071</v>
      </c>
      <c r="C88" s="82"/>
      <c r="D88" s="117">
        <f>'Source VoT'!$D$27*VLOOKUP($B88,'Indirect tax correction'!$B$27:$I$127,5,FALSE)*VLOOKUP($B88,'Annual Parameters'!$B$33:$W$143,21,FALSE)/VLOOKUP('Source VoT'!$F$27,'Annual Parameters'!$B$33:$W$143,21,FALSE)*VLOOKUP($B$14,'Annual Parameters'!$B$33:$W$143,3,FALSE)/VLOOKUP('Source VoT'!$E$27,'Annual Parameters'!$B$33:$W$143,3,FALSE)</f>
        <v>42.850508027452449</v>
      </c>
      <c r="E88" s="73">
        <f>'Source VoT'!$D$28*VLOOKUP($B88,'Indirect tax correction'!$B$27:$I$127,5,FALSE)*VLOOKUP($B88,'Annual Parameters'!$B$33:$W$143,21,FALSE)/VLOOKUP('Source VoT'!$F$27,'Annual Parameters'!$B$33:$W$143,21,FALSE)*VLOOKUP($B$14,'Annual Parameters'!$B$33:$W$143,3,FALSE)/VLOOKUP('Source VoT'!$E$27,'Annual Parameters'!$B$33:$W$143,3,FALSE)</f>
        <v>42.850508027452449</v>
      </c>
      <c r="F88" s="73">
        <f>'Source VoT'!$D$29*VLOOKUP($B88,'Indirect tax correction'!$B$27:$I$127,5,FALSE)*VLOOKUP($B88,'Annual Parameters'!$B$33:$W$143,21,FALSE)/VLOOKUP('Source VoT'!$F$27,'Annual Parameters'!$B$33:$W$143,21,FALSE)*VLOOKUP($B$14,'Annual Parameters'!$B$33:$W$143,3,FALSE)/VLOOKUP('Source VoT'!$E$27,'Annual Parameters'!$B$33:$W$143,3,FALSE)</f>
        <v>29.505885288869401</v>
      </c>
      <c r="G88" s="73">
        <f>'Source VoT'!$D$30*VLOOKUP($B88,'Indirect tax correction'!$B$27:$I$127,5,FALSE)*VLOOKUP($B88,'Annual Parameters'!$B$33:$W$143,21,FALSE)/VLOOKUP('Source VoT'!$F$27,'Annual Parameters'!$B$33:$W$143,21,FALSE)*VLOOKUP($B$14,'Annual Parameters'!$B$33:$W$143,3,FALSE)/VLOOKUP('Source VoT'!$E$27,'Annual Parameters'!$B$33:$W$143,3,FALSE)</f>
        <v>34.765036138968803</v>
      </c>
      <c r="H88" s="73">
        <f>'Source VoT'!$D$31*VLOOKUP($B88,'Indirect tax correction'!$B$27:$I$127,5,FALSE)*VLOOKUP($B88,'Annual Parameters'!$B$33:$W$143,21,FALSE)/VLOOKUP('Source VoT'!$F$27,'Annual Parameters'!$B$33:$W$143,21,FALSE)*VLOOKUP($B$14,'Annual Parameters'!$B$33:$W$143,3,FALSE)/VLOOKUP('Source VoT'!$E$27,'Annual Parameters'!$B$33:$W$143,3,FALSE)</f>
        <v>35.516343403268721</v>
      </c>
      <c r="I88" s="73">
        <f>'Source VoT'!$D$32*VLOOKUP($B88,'Indirect tax correction'!$B$27:$I$127,5,FALSE)*VLOOKUP($B88,'Annual Parameters'!$B$33:$W$143,21,FALSE)/VLOOKUP('Source VoT'!$F$27,'Annual Parameters'!$B$33:$W$143,21,FALSE)*VLOOKUP($B$14,'Annual Parameters'!$B$33:$W$143,3,FALSE)/VLOOKUP('Source VoT'!$E$27,'Annual Parameters'!$B$33:$W$143,3,FALSE)</f>
        <v>24.282774111707184</v>
      </c>
      <c r="J88" s="73">
        <f>'Source VoT'!$D$33*VLOOKUP($B88,'Indirect tax correction'!$B$27:$I$127,5,FALSE)*VLOOKUP($B88,'Annual Parameters'!$B$33:$W$143,21,FALSE)/VLOOKUP('Source VoT'!$F$27,'Annual Parameters'!$B$33:$W$143,21,FALSE)*VLOOKUP($B$14,'Annual Parameters'!$B$33:$W$143,3,FALSE)/VLOOKUP('Source VoT'!$E$27,'Annual Parameters'!$B$33:$W$143,3,FALSE)</f>
        <v>31.384153449619184</v>
      </c>
      <c r="K88" s="73">
        <f>'Source VoT'!$D$34*VLOOKUP($B88,'Indirect tax correction'!$B$27:$I$127,5,FALSE)*VLOOKUP($B88,'Annual Parameters'!$B$33:$W$143,21,FALSE)/VLOOKUP('Source VoT'!$F$27,'Annual Parameters'!$B$33:$W$143,21,FALSE)*VLOOKUP($B$14,'Annual Parameters'!$B$33:$W$143,3,FALSE)/VLOOKUP('Source VoT'!$E$27,'Annual Parameters'!$B$33:$W$143,3,FALSE)</f>
        <v>42.850508027452449</v>
      </c>
      <c r="L88" s="73">
        <f>'Source VoT'!$D$35*VLOOKUP($B88,'Indirect tax correction'!$B$27:$I$127,5,FALSE)*VLOOKUP($B88,'Annual Parameters'!$B$33:$W$143,21,FALSE)/VLOOKUP('Source VoT'!$F$27,'Annual Parameters'!$B$33:$W$143,21,FALSE)*VLOOKUP($B$14,'Annual Parameters'!$B$33:$W$143,3,FALSE)/VLOOKUP('Source VoT'!$E$27,'Annual Parameters'!$B$33:$W$143,3,FALSE)</f>
        <v>70.682443743635005</v>
      </c>
      <c r="M88" s="73">
        <f>'Source VoT'!$D$36*VLOOKUP($B88,'Indirect tax correction'!$B$27:$I$127,5,FALSE)*VLOOKUP($B88,'Annual Parameters'!$B$33:$W$143,21,FALSE)/VLOOKUP('Source VoT'!$F$27,'Annual Parameters'!$B$33:$W$143,21,FALSE)*VLOOKUP($B$14,'Annual Parameters'!$B$33:$W$143,3,FALSE)/VLOOKUP('Source VoT'!$E$27,'Annual Parameters'!$B$33:$W$143,3,FALSE)</f>
        <v>24.282774111707184</v>
      </c>
      <c r="N88" s="73">
        <f>'Source VoT'!$D$37*VLOOKUP($B88,'Indirect tax correction'!$B$27:$I$127,5,FALSE)*VLOOKUP($B88,'Annual Parameters'!$B$33:$W$143,21,FALSE)/VLOOKUP('Source VoT'!$F$27,'Annual Parameters'!$B$33:$W$143,21,FALSE)*VLOOKUP($B$14,'Annual Parameters'!$B$33:$W$143,3,FALSE)/VLOOKUP('Source VoT'!$E$27,'Annual Parameters'!$B$33:$W$143,3,FALSE)</f>
        <v>24.282774111707184</v>
      </c>
      <c r="O88" s="73">
        <f>'Source VoT'!$D$38*VLOOKUP($B88,'Indirect tax correction'!$B$27:$I$127,5,FALSE)*VLOOKUP($B88,'Annual Parameters'!$B$33:$W$143,21,FALSE)/VLOOKUP('Source VoT'!$F$27,'Annual Parameters'!$B$33:$W$143,21,FALSE)*VLOOKUP($B$14,'Annual Parameters'!$B$33:$W$143,3,FALSE)/VLOOKUP('Source VoT'!$E$27,'Annual Parameters'!$B$33:$W$143,3,FALSE)</f>
        <v>24.282774111707184</v>
      </c>
      <c r="P88" s="73">
        <f>'Source VoT'!$D$39*VLOOKUP($B88,'Indirect tax correction'!$B$27:$I$127,5,FALSE)*VLOOKUP($B88,'Annual Parameters'!$B$33:$W$143,21,FALSE)/VLOOKUP('Source VoT'!$F$27,'Annual Parameters'!$B$33:$W$143,21,FALSE)*VLOOKUP($B$14,'Annual Parameters'!$B$33:$W$143,3,FALSE)/VLOOKUP('Source VoT'!$E$27,'Annual Parameters'!$B$33:$W$143,3,FALSE)</f>
        <v>42.850508027452449</v>
      </c>
      <c r="Q88" s="74">
        <f>'Source VoT'!$D$40*VLOOKUP($B88,'Indirect tax correction'!$B$27:$I$127,5,FALSE)*VLOOKUP($B88,'Annual Parameters'!$B$33:$W$143,21,FALSE)/VLOOKUP('Source VoT'!$F$27,'Annual Parameters'!$B$33:$W$143,21,FALSE)*VLOOKUP($B$14,'Annual Parameters'!$B$33:$W$143,3,FALSE)/VLOOKUP('Source VoT'!$E$27,'Annual Parameters'!$B$33:$W$143,3,FALSE)</f>
        <v>46.673981297605657</v>
      </c>
      <c r="R88" s="73">
        <f>'Source VoT'!$D$45*VLOOKUP($B88,'Indirect tax correction'!$B$27:$I$127,6,FALSE)*VLOOKUP($B88,'Annual Parameters'!$B$33:$W$143,22,FALSE)/VLOOKUP('Source VoT'!$F$27,'Annual Parameters'!$B$33:$W$143,22,FALSE)*VLOOKUP($B$14,'Annual Parameters'!$B$33:$W$143,3,FALSE)/VLOOKUP('Source VoT'!$E$27,'Annual Parameters'!$B$33:$W$143,3,FALSE)</f>
        <v>24.110921588037957</v>
      </c>
      <c r="S88" s="73">
        <f>'Source VoT'!$D$46*VLOOKUP($B88,'Indirect tax correction'!$B$27:$I$127,6,FALSE)*VLOOKUP($B88,'Annual Parameters'!$B$33:$W$143,22,FALSE)/VLOOKUP('Source VoT'!$F$27,'Annual Parameters'!$B$33:$W$143,22,FALSE)*VLOOKUP($B$14,'Annual Parameters'!$B$33:$W$143,3,FALSE)/VLOOKUP('Source VoT'!$E$27,'Annual Parameters'!$B$33:$W$143,3,FALSE)</f>
        <v>11.004948184465476</v>
      </c>
      <c r="T88" s="117">
        <f>'Source VoT'!$D$27*1*VLOOKUP($B88,'Annual Parameters'!$B$33:$W$143,21,FALSE)/VLOOKUP('Source VoT'!$F$27,'Annual Parameters'!$B$33:$W$143,21,FALSE)*VLOOKUP($B$14,'Annual Parameters'!$B$33:$W$143,3,FALSE)/VLOOKUP('Source VoT'!$E$27,'Annual Parameters'!$B$33:$W$143,3,FALSE)</f>
        <v>42.850508027452449</v>
      </c>
      <c r="U88" s="73">
        <f>'Source VoT'!$D$28*1*VLOOKUP($B88,'Annual Parameters'!$B$33:$W$143,21,FALSE)/VLOOKUP('Source VoT'!$F$27,'Annual Parameters'!$B$33:$W$143,21,FALSE)*VLOOKUP($B$14,'Annual Parameters'!$B$33:$W$143,3,FALSE)/VLOOKUP('Source VoT'!$E$27,'Annual Parameters'!$B$33:$W$143,3,FALSE)</f>
        <v>42.850508027452449</v>
      </c>
      <c r="V88" s="73">
        <f>'Source VoT'!$D$29*1*VLOOKUP($B88,'Annual Parameters'!$B$33:$W$143,21,FALSE)/VLOOKUP('Source VoT'!$F$27,'Annual Parameters'!$B$33:$W$143,21,FALSE)*VLOOKUP($B$14,'Annual Parameters'!$B$33:$W$143,3,FALSE)/VLOOKUP('Source VoT'!$E$27,'Annual Parameters'!$B$33:$W$143,3,FALSE)</f>
        <v>29.505885288869401</v>
      </c>
      <c r="W88" s="73">
        <f>'Source VoT'!$D$30*1*VLOOKUP($B88,'Annual Parameters'!$B$33:$W$143,21,FALSE)/VLOOKUP('Source VoT'!$F$27,'Annual Parameters'!$B$33:$W$143,21,FALSE)*VLOOKUP($B$14,'Annual Parameters'!$B$33:$W$143,3,FALSE)/VLOOKUP('Source VoT'!$E$27,'Annual Parameters'!$B$33:$W$143,3,FALSE)</f>
        <v>34.765036138968803</v>
      </c>
      <c r="X88" s="73">
        <f>'Source VoT'!$D$31*1*VLOOKUP($B88,'Annual Parameters'!$B$33:$W$143,21,FALSE)/VLOOKUP('Source VoT'!$F$27,'Annual Parameters'!$B$33:$W$143,21,FALSE)*VLOOKUP($B$14,'Annual Parameters'!$B$33:$W$143,3,FALSE)/VLOOKUP('Source VoT'!$E$27,'Annual Parameters'!$B$33:$W$143,3,FALSE)</f>
        <v>35.516343403268721</v>
      </c>
      <c r="Y88" s="73">
        <f>'Source VoT'!$D$32*1*VLOOKUP($B88,'Annual Parameters'!$B$33:$W$143,21,FALSE)/VLOOKUP('Source VoT'!$F$27,'Annual Parameters'!$B$33:$W$143,21,FALSE)*VLOOKUP($B$14,'Annual Parameters'!$B$33:$W$143,3,FALSE)/VLOOKUP('Source VoT'!$E$27,'Annual Parameters'!$B$33:$W$143,3,FALSE)</f>
        <v>24.282774111707184</v>
      </c>
      <c r="Z88" s="73">
        <f>'Source VoT'!$D$33*1*VLOOKUP($B88,'Annual Parameters'!$B$33:$W$143,21,FALSE)/VLOOKUP('Source VoT'!$F$27,'Annual Parameters'!$B$33:$W$143,21,FALSE)*VLOOKUP($B$14,'Annual Parameters'!$B$33:$W$143,3,FALSE)/VLOOKUP('Source VoT'!$E$27,'Annual Parameters'!$B$33:$W$143,3,FALSE)</f>
        <v>31.384153449619184</v>
      </c>
      <c r="AA88" s="73">
        <f>'Source VoT'!$D$34*1*VLOOKUP($B88,'Annual Parameters'!$B$33:$W$143,21,FALSE)/VLOOKUP('Source VoT'!$F$27,'Annual Parameters'!$B$33:$W$143,21,FALSE)*VLOOKUP($B$14,'Annual Parameters'!$B$33:$W$143,3,FALSE)/VLOOKUP('Source VoT'!$E$27,'Annual Parameters'!$B$33:$W$143,3,FALSE)</f>
        <v>42.850508027452449</v>
      </c>
      <c r="AB88" s="73">
        <f>'Source VoT'!$D$35*1*VLOOKUP($B88,'Annual Parameters'!$B$33:$W$143,21,FALSE)/VLOOKUP('Source VoT'!$F$27,'Annual Parameters'!$B$33:$W$143,21,FALSE)*VLOOKUP($B$14,'Annual Parameters'!$B$33:$W$143,3,FALSE)/VLOOKUP('Source VoT'!$E$27,'Annual Parameters'!$B$33:$W$143,3,FALSE)</f>
        <v>70.682443743635005</v>
      </c>
      <c r="AC88" s="73">
        <f>'Source VoT'!$D$36*1*VLOOKUP($B88,'Annual Parameters'!$B$33:$W$143,21,FALSE)/VLOOKUP('Source VoT'!$F$27,'Annual Parameters'!$B$33:$W$143,21,FALSE)*VLOOKUP($B$14,'Annual Parameters'!$B$33:$W$143,3,FALSE)/VLOOKUP('Source VoT'!$E$27,'Annual Parameters'!$B$33:$W$143,3,FALSE)</f>
        <v>24.282774111707184</v>
      </c>
      <c r="AD88" s="73">
        <f>'Source VoT'!$D$37*1*VLOOKUP($B88,'Annual Parameters'!$B$33:$W$143,21,FALSE)/VLOOKUP('Source VoT'!$F$27,'Annual Parameters'!$B$33:$W$143,21,FALSE)*VLOOKUP($B$14,'Annual Parameters'!$B$33:$W$143,3,FALSE)/VLOOKUP('Source VoT'!$E$27,'Annual Parameters'!$B$33:$W$143,3,FALSE)</f>
        <v>24.282774111707184</v>
      </c>
      <c r="AE88" s="73">
        <f>'Source VoT'!$D$38*1*VLOOKUP($B88,'Annual Parameters'!$B$33:$W$143,21,FALSE)/VLOOKUP('Source VoT'!$F$27,'Annual Parameters'!$B$33:$W$143,21,FALSE)*VLOOKUP($B$14,'Annual Parameters'!$B$33:$W$143,3,FALSE)/VLOOKUP('Source VoT'!$E$27,'Annual Parameters'!$B$33:$W$143,3,FALSE)</f>
        <v>24.282774111707184</v>
      </c>
      <c r="AF88" s="73">
        <f>'Source VoT'!$D$39*1*VLOOKUP($B88,'Annual Parameters'!$B$33:$W$143,21,FALSE)/VLOOKUP('Source VoT'!$F$27,'Annual Parameters'!$B$33:$W$143,21,FALSE)*VLOOKUP($B$14,'Annual Parameters'!$B$33:$W$143,3,FALSE)/VLOOKUP('Source VoT'!$E$27,'Annual Parameters'!$B$33:$W$143,3,FALSE)</f>
        <v>42.850508027452449</v>
      </c>
      <c r="AG88" s="74">
        <f>'Source VoT'!$D$40*1*VLOOKUP($B88,'Annual Parameters'!$B$33:$W$143,21,FALSE)/VLOOKUP('Source VoT'!$F$27,'Annual Parameters'!$B$33:$W$143,21,FALSE)*VLOOKUP($B$14,'Annual Parameters'!$B$33:$W$143,3,FALSE)/VLOOKUP('Source VoT'!$E$27,'Annual Parameters'!$B$33:$W$143,3,FALSE)</f>
        <v>46.673981297605657</v>
      </c>
      <c r="AH88" s="73">
        <f>'Source VoT'!$D$45*1*VLOOKUP($B88,'Annual Parameters'!$B$33:$W$143,22,FALSE)/VLOOKUP('Source VoT'!$F$27,'Annual Parameters'!$B$33:$W$143,22,FALSE)*VLOOKUP($B$14,'Annual Parameters'!$B$33:$W$143,3,FALSE)/VLOOKUP('Source VoT'!$E$27,'Annual Parameters'!$B$33:$W$143,3,FALSE)</f>
        <v>28.691996689765173</v>
      </c>
      <c r="AI88" s="73">
        <f>'Source VoT'!$D$46*1*VLOOKUP($B88,'Annual Parameters'!$B$33:$W$143,22,FALSE)/VLOOKUP('Source VoT'!$F$27,'Annual Parameters'!$B$33:$W$143,22,FALSE)*VLOOKUP($B$14,'Annual Parameters'!$B$33:$W$143,3,FALSE)/VLOOKUP('Source VoT'!$E$27,'Annual Parameters'!$B$33:$W$143,3,FALSE)</f>
        <v>13.095888339513914</v>
      </c>
      <c r="AJ88" s="117">
        <f>'Source VoT'!$D$27*VLOOKUP($B88,'Indirect tax correction'!$B$27:$I$127,7,FALSE)*VLOOKUP($B88,'Annual Parameters'!$B$33:$W$143,21,FALSE)/VLOOKUP('Source VoT'!$F$27,'Annual Parameters'!$B$33:$W$143,21,FALSE)*VLOOKUP($B$14,'Annual Parameters'!$B$33:$W$143,3,FALSE)/VLOOKUP('Source VoT'!$E$27,'Annual Parameters'!$B$33:$W$143,3,FALSE)</f>
        <v>50.992104552668422</v>
      </c>
      <c r="AK88" s="73">
        <f>'Source VoT'!$D$28*VLOOKUP($B88,'Indirect tax correction'!$B$27:$I$127,7,FALSE)*VLOOKUP($B88,'Annual Parameters'!$B$33:$W$143,21,FALSE)/VLOOKUP('Source VoT'!$F$27,'Annual Parameters'!$B$33:$W$143,21,FALSE)*VLOOKUP($B$14,'Annual Parameters'!$B$33:$W$143,3,FALSE)/VLOOKUP('Source VoT'!$E$27,'Annual Parameters'!$B$33:$W$143,3,FALSE)</f>
        <v>50.992104552668422</v>
      </c>
      <c r="AL88" s="73">
        <f>'Source VoT'!$D$29*VLOOKUP($B88,'Indirect tax correction'!$B$27:$I$127,7,FALSE)*VLOOKUP($B88,'Annual Parameters'!$B$33:$W$143,21,FALSE)/VLOOKUP('Source VoT'!$F$27,'Annual Parameters'!$B$33:$W$143,21,FALSE)*VLOOKUP($B$14,'Annual Parameters'!$B$33:$W$143,3,FALSE)/VLOOKUP('Source VoT'!$E$27,'Annual Parameters'!$B$33:$W$143,3,FALSE)</f>
        <v>35.112003493754585</v>
      </c>
      <c r="AM88" s="73">
        <f>'Source VoT'!$D$30*VLOOKUP($B88,'Indirect tax correction'!$B$27:$I$127,7,FALSE)*VLOOKUP($B88,'Annual Parameters'!$B$33:$W$143,21,FALSE)/VLOOKUP('Source VoT'!$F$27,'Annual Parameters'!$B$33:$W$143,21,FALSE)*VLOOKUP($B$14,'Annual Parameters'!$B$33:$W$143,3,FALSE)/VLOOKUP('Source VoT'!$E$27,'Annual Parameters'!$B$33:$W$143,3,FALSE)</f>
        <v>41.370393005372883</v>
      </c>
      <c r="AN88" s="73">
        <f>'Source VoT'!$D$31*VLOOKUP($B88,'Indirect tax correction'!$B$27:$I$127,7,FALSE)*VLOOKUP($B88,'Annual Parameters'!$B$33:$W$143,21,FALSE)/VLOOKUP('Source VoT'!$F$27,'Annual Parameters'!$B$33:$W$143,21,FALSE)*VLOOKUP($B$14,'Annual Parameters'!$B$33:$W$143,3,FALSE)/VLOOKUP('Source VoT'!$E$27,'Annual Parameters'!$B$33:$W$143,3,FALSE)</f>
        <v>42.264448649889779</v>
      </c>
      <c r="AO88" s="73">
        <f>'Source VoT'!$D$32*VLOOKUP($B88,'Indirect tax correction'!$B$27:$I$127,7,FALSE)*VLOOKUP($B88,'Annual Parameters'!$B$33:$W$143,21,FALSE)/VLOOKUP('Source VoT'!$F$27,'Annual Parameters'!$B$33:$W$143,21,FALSE)*VLOOKUP($B$14,'Annual Parameters'!$B$33:$W$143,3,FALSE)/VLOOKUP('Source VoT'!$E$27,'Annual Parameters'!$B$33:$W$143,3,FALSE)</f>
        <v>28.896501192931545</v>
      </c>
      <c r="AP88" s="73">
        <f>'Source VoT'!$D$33*VLOOKUP($B88,'Indirect tax correction'!$B$27:$I$127,7,FALSE)*VLOOKUP($B88,'Annual Parameters'!$B$33:$W$143,21,FALSE)/VLOOKUP('Source VoT'!$F$27,'Annual Parameters'!$B$33:$W$143,21,FALSE)*VLOOKUP($B$14,'Annual Parameters'!$B$33:$W$143,3,FALSE)/VLOOKUP('Source VoT'!$E$27,'Annual Parameters'!$B$33:$W$143,3,FALSE)</f>
        <v>37.347142605046827</v>
      </c>
      <c r="AQ88" s="73">
        <f>'Source VoT'!$D$34*VLOOKUP($B88,'Indirect tax correction'!$B$27:$I$127,7,FALSE)*VLOOKUP($B88,'Annual Parameters'!$B$33:$W$143,21,FALSE)/VLOOKUP('Source VoT'!$F$27,'Annual Parameters'!$B$33:$W$143,21,FALSE)*VLOOKUP($B$14,'Annual Parameters'!$B$33:$W$143,3,FALSE)/VLOOKUP('Source VoT'!$E$27,'Annual Parameters'!$B$33:$W$143,3,FALSE)</f>
        <v>50.992104552668422</v>
      </c>
      <c r="AR88" s="73">
        <f>'Source VoT'!$D$35*VLOOKUP($B88,'Indirect tax correction'!$B$27:$I$127,7,FALSE)*VLOOKUP($B88,'Annual Parameters'!$B$33:$W$143,21,FALSE)/VLOOKUP('Source VoT'!$F$27,'Annual Parameters'!$B$33:$W$143,21,FALSE)*VLOOKUP($B$14,'Annual Parameters'!$B$33:$W$143,3,FALSE)/VLOOKUP('Source VoT'!$E$27,'Annual Parameters'!$B$33:$W$143,3,FALSE)</f>
        <v>84.112108054925642</v>
      </c>
      <c r="AS88" s="73">
        <f>'Source VoT'!$D$36*VLOOKUP($B88,'Indirect tax correction'!$B$27:$I$127,7,FALSE)*VLOOKUP($B88,'Annual Parameters'!$B$33:$W$143,21,FALSE)/VLOOKUP('Source VoT'!$F$27,'Annual Parameters'!$B$33:$W$143,21,FALSE)*VLOOKUP($B$14,'Annual Parameters'!$B$33:$W$143,3,FALSE)/VLOOKUP('Source VoT'!$E$27,'Annual Parameters'!$B$33:$W$143,3,FALSE)</f>
        <v>28.896501192931545</v>
      </c>
      <c r="AT88" s="73">
        <f>'Source VoT'!$D$37*VLOOKUP($B88,'Indirect tax correction'!$B$27:$I$127,7,FALSE)*VLOOKUP($B88,'Annual Parameters'!$B$33:$W$143,21,FALSE)/VLOOKUP('Source VoT'!$F$27,'Annual Parameters'!$B$33:$W$143,21,FALSE)*VLOOKUP($B$14,'Annual Parameters'!$B$33:$W$143,3,FALSE)/VLOOKUP('Source VoT'!$E$27,'Annual Parameters'!$B$33:$W$143,3,FALSE)</f>
        <v>28.896501192931545</v>
      </c>
      <c r="AU88" s="73">
        <f>'Source VoT'!$D$38*VLOOKUP($B88,'Indirect tax correction'!$B$27:$I$127,7,FALSE)*VLOOKUP($B88,'Annual Parameters'!$B$33:$W$143,21,FALSE)/VLOOKUP('Source VoT'!$F$27,'Annual Parameters'!$B$33:$W$143,21,FALSE)*VLOOKUP($B$14,'Annual Parameters'!$B$33:$W$143,3,FALSE)/VLOOKUP('Source VoT'!$E$27,'Annual Parameters'!$B$33:$W$143,3,FALSE)</f>
        <v>28.896501192931545</v>
      </c>
      <c r="AV88" s="73">
        <f>'Source VoT'!$D$39*VLOOKUP($B88,'Indirect tax correction'!$B$27:$I$127,7,FALSE)*VLOOKUP($B88,'Annual Parameters'!$B$33:$W$143,21,FALSE)/VLOOKUP('Source VoT'!$F$27,'Annual Parameters'!$B$33:$W$143,21,FALSE)*VLOOKUP($B$14,'Annual Parameters'!$B$33:$W$143,3,FALSE)/VLOOKUP('Source VoT'!$E$27,'Annual Parameters'!$B$33:$W$143,3,FALSE)</f>
        <v>50.992104552668422</v>
      </c>
      <c r="AW88" s="74">
        <f>'Source VoT'!$D$40*VLOOKUP($B88,'Indirect tax correction'!$B$27:$I$127,7,FALSE)*VLOOKUP($B88,'Annual Parameters'!$B$33:$W$143,21,FALSE)/VLOOKUP('Source VoT'!$F$27,'Annual Parameters'!$B$33:$W$143,21,FALSE)*VLOOKUP($B$14,'Annual Parameters'!$B$33:$W$143,3,FALSE)/VLOOKUP('Source VoT'!$E$27,'Annual Parameters'!$B$33:$W$143,3,FALSE)</f>
        <v>55.54203774415074</v>
      </c>
      <c r="AX88" s="73">
        <f>'Source VoT'!$D$45*VLOOKUP($B88,'Indirect tax correction'!$B$27:$I$127,8,FALSE)*VLOOKUP($B88,'Annual Parameters'!$B$33:$W$143,22,FALSE)/VLOOKUP('Source VoT'!$F$27,'Annual Parameters'!$B$33:$W$143,22,FALSE)*VLOOKUP($B$14,'Annual Parameters'!$B$33:$W$143,3,FALSE)/VLOOKUP('Source VoT'!$E$27,'Annual Parameters'!$B$33:$W$143,3,FALSE)</f>
        <v>28.691996689765173</v>
      </c>
      <c r="AY88" s="74">
        <f>'Source VoT'!$D$46*VLOOKUP($B88,'Indirect tax correction'!$B$27:$I$127,8,FALSE)*VLOOKUP($B88,'Annual Parameters'!$B$33:$W$143,22,FALSE)/VLOOKUP('Source VoT'!$F$27,'Annual Parameters'!$B$33:$W$143,22,FALSE)*VLOOKUP($B$14,'Annual Parameters'!$B$33:$W$143,3,FALSE)/VLOOKUP('Source VoT'!$E$27,'Annual Parameters'!$B$33:$W$143,3,FALSE)</f>
        <v>13.095888339513914</v>
      </c>
      <c r="AZ88" s="2875"/>
      <c r="BA88" s="2875"/>
      <c r="BB88" s="2875"/>
      <c r="BC88" s="2875"/>
      <c r="BD88" s="2875"/>
      <c r="BE88" s="2875"/>
      <c r="BF88" s="2875"/>
      <c r="BG88" s="2875"/>
    </row>
    <row r="89" spans="1:59" ht="13.5" customHeight="1">
      <c r="A89" s="90"/>
      <c r="B89" s="82">
        <f t="shared" si="0"/>
        <v>2072</v>
      </c>
      <c r="C89" s="82"/>
      <c r="D89" s="117">
        <f>'Source VoT'!$D$27*VLOOKUP($B89,'Indirect tax correction'!$B$27:$I$127,5,FALSE)*VLOOKUP($B89,'Annual Parameters'!$B$33:$W$143,21,FALSE)/VLOOKUP('Source VoT'!$F$27,'Annual Parameters'!$B$33:$W$143,21,FALSE)*VLOOKUP($B$14,'Annual Parameters'!$B$33:$W$143,3,FALSE)/VLOOKUP('Source VoT'!$E$27,'Annual Parameters'!$B$33:$W$143,3,FALSE)</f>
        <v>43.75374030946103</v>
      </c>
      <c r="E89" s="73">
        <f>'Source VoT'!$D$28*VLOOKUP($B89,'Indirect tax correction'!$B$27:$I$127,5,FALSE)*VLOOKUP($B89,'Annual Parameters'!$B$33:$W$143,21,FALSE)/VLOOKUP('Source VoT'!$F$27,'Annual Parameters'!$B$33:$W$143,21,FALSE)*VLOOKUP($B$14,'Annual Parameters'!$B$33:$W$143,3,FALSE)/VLOOKUP('Source VoT'!$E$27,'Annual Parameters'!$B$33:$W$143,3,FALSE)</f>
        <v>43.75374030946103</v>
      </c>
      <c r="F89" s="73">
        <f>'Source VoT'!$D$29*VLOOKUP($B89,'Indirect tax correction'!$B$27:$I$127,5,FALSE)*VLOOKUP($B89,'Annual Parameters'!$B$33:$W$143,21,FALSE)/VLOOKUP('Source VoT'!$F$27,'Annual Parameters'!$B$33:$W$143,21,FALSE)*VLOOKUP($B$14,'Annual Parameters'!$B$33:$W$143,3,FALSE)/VLOOKUP('Source VoT'!$E$27,'Annual Parameters'!$B$33:$W$143,3,FALSE)</f>
        <v>30.12783049626518</v>
      </c>
      <c r="G89" s="73">
        <f>'Source VoT'!$D$30*VLOOKUP($B89,'Indirect tax correction'!$B$27:$I$127,5,FALSE)*VLOOKUP($B89,'Annual Parameters'!$B$33:$W$143,21,FALSE)/VLOOKUP('Source VoT'!$F$27,'Annual Parameters'!$B$33:$W$143,21,FALSE)*VLOOKUP($B$14,'Annual Parameters'!$B$33:$W$143,3,FALSE)/VLOOKUP('Source VoT'!$E$27,'Annual Parameters'!$B$33:$W$143,3,FALSE)</f>
        <v>35.497837320830961</v>
      </c>
      <c r="H89" s="73">
        <f>'Source VoT'!$D$31*VLOOKUP($B89,'Indirect tax correction'!$B$27:$I$127,5,FALSE)*VLOOKUP($B89,'Annual Parameters'!$B$33:$W$143,21,FALSE)/VLOOKUP('Source VoT'!$F$27,'Annual Parameters'!$B$33:$W$143,21,FALSE)*VLOOKUP($B$14,'Annual Parameters'!$B$33:$W$143,3,FALSE)/VLOOKUP('Source VoT'!$E$27,'Annual Parameters'!$B$33:$W$143,3,FALSE)</f>
        <v>36.264981152911787</v>
      </c>
      <c r="I89" s="73">
        <f>'Source VoT'!$D$32*VLOOKUP($B89,'Indirect tax correction'!$B$27:$I$127,5,FALSE)*VLOOKUP($B89,'Annual Parameters'!$B$33:$W$143,21,FALSE)/VLOOKUP('Source VoT'!$F$27,'Annual Parameters'!$B$33:$W$143,21,FALSE)*VLOOKUP($B$14,'Annual Parameters'!$B$33:$W$143,3,FALSE)/VLOOKUP('Source VoT'!$E$27,'Annual Parameters'!$B$33:$W$143,3,FALSE)</f>
        <v>24.794623013483662</v>
      </c>
      <c r="J89" s="73">
        <f>'Source VoT'!$D$33*VLOOKUP($B89,'Indirect tax correction'!$B$27:$I$127,5,FALSE)*VLOOKUP($B89,'Annual Parameters'!$B$33:$W$143,21,FALSE)/VLOOKUP('Source VoT'!$F$27,'Annual Parameters'!$B$33:$W$143,21,FALSE)*VLOOKUP($B$14,'Annual Parameters'!$B$33:$W$143,3,FALSE)/VLOOKUP('Source VoT'!$E$27,'Annual Parameters'!$B$33:$W$143,3,FALSE)</f>
        <v>32.045690076467238</v>
      </c>
      <c r="K89" s="73">
        <f>'Source VoT'!$D$34*VLOOKUP($B89,'Indirect tax correction'!$B$27:$I$127,5,FALSE)*VLOOKUP($B89,'Annual Parameters'!$B$33:$W$143,21,FALSE)/VLOOKUP('Source VoT'!$F$27,'Annual Parameters'!$B$33:$W$143,21,FALSE)*VLOOKUP($B$14,'Annual Parameters'!$B$33:$W$143,3,FALSE)/VLOOKUP('Source VoT'!$E$27,'Annual Parameters'!$B$33:$W$143,3,FALSE)</f>
        <v>43.75374030946103</v>
      </c>
      <c r="L89" s="73">
        <f>'Source VoT'!$D$35*VLOOKUP($B89,'Indirect tax correction'!$B$27:$I$127,5,FALSE)*VLOOKUP($B89,'Annual Parameters'!$B$33:$W$143,21,FALSE)/VLOOKUP('Source VoT'!$F$27,'Annual Parameters'!$B$33:$W$143,21,FALSE)*VLOOKUP($B$14,'Annual Parameters'!$B$33:$W$143,3,FALSE)/VLOOKUP('Source VoT'!$E$27,'Annual Parameters'!$B$33:$W$143,3,FALSE)</f>
        <v>72.172336580368793</v>
      </c>
      <c r="M89" s="73">
        <f>'Source VoT'!$D$36*VLOOKUP($B89,'Indirect tax correction'!$B$27:$I$127,5,FALSE)*VLOOKUP($B89,'Annual Parameters'!$B$33:$W$143,21,FALSE)/VLOOKUP('Source VoT'!$F$27,'Annual Parameters'!$B$33:$W$143,21,FALSE)*VLOOKUP($B$14,'Annual Parameters'!$B$33:$W$143,3,FALSE)/VLOOKUP('Source VoT'!$E$27,'Annual Parameters'!$B$33:$W$143,3,FALSE)</f>
        <v>24.794623013483662</v>
      </c>
      <c r="N89" s="73">
        <f>'Source VoT'!$D$37*VLOOKUP($B89,'Indirect tax correction'!$B$27:$I$127,5,FALSE)*VLOOKUP($B89,'Annual Parameters'!$B$33:$W$143,21,FALSE)/VLOOKUP('Source VoT'!$F$27,'Annual Parameters'!$B$33:$W$143,21,FALSE)*VLOOKUP($B$14,'Annual Parameters'!$B$33:$W$143,3,FALSE)/VLOOKUP('Source VoT'!$E$27,'Annual Parameters'!$B$33:$W$143,3,FALSE)</f>
        <v>24.794623013483662</v>
      </c>
      <c r="O89" s="73">
        <f>'Source VoT'!$D$38*VLOOKUP($B89,'Indirect tax correction'!$B$27:$I$127,5,FALSE)*VLOOKUP($B89,'Annual Parameters'!$B$33:$W$143,21,FALSE)/VLOOKUP('Source VoT'!$F$27,'Annual Parameters'!$B$33:$W$143,21,FALSE)*VLOOKUP($B$14,'Annual Parameters'!$B$33:$W$143,3,FALSE)/VLOOKUP('Source VoT'!$E$27,'Annual Parameters'!$B$33:$W$143,3,FALSE)</f>
        <v>24.794623013483662</v>
      </c>
      <c r="P89" s="73">
        <f>'Source VoT'!$D$39*VLOOKUP($B89,'Indirect tax correction'!$B$27:$I$127,5,FALSE)*VLOOKUP($B89,'Annual Parameters'!$B$33:$W$143,21,FALSE)/VLOOKUP('Source VoT'!$F$27,'Annual Parameters'!$B$33:$W$143,21,FALSE)*VLOOKUP($B$14,'Annual Parameters'!$B$33:$W$143,3,FALSE)/VLOOKUP('Source VoT'!$E$27,'Annual Parameters'!$B$33:$W$143,3,FALSE)</f>
        <v>43.75374030946103</v>
      </c>
      <c r="Q89" s="74">
        <f>'Source VoT'!$D$40*VLOOKUP($B89,'Indirect tax correction'!$B$27:$I$127,5,FALSE)*VLOOKUP($B89,'Annual Parameters'!$B$33:$W$143,21,FALSE)/VLOOKUP('Source VoT'!$F$27,'Annual Parameters'!$B$33:$W$143,21,FALSE)*VLOOKUP($B$14,'Annual Parameters'!$B$33:$W$143,3,FALSE)/VLOOKUP('Source VoT'!$E$27,'Annual Parameters'!$B$33:$W$143,3,FALSE)</f>
        <v>47.657807361251237</v>
      </c>
      <c r="R89" s="73">
        <f>'Source VoT'!$D$45*VLOOKUP($B89,'Indirect tax correction'!$B$27:$I$127,6,FALSE)*VLOOKUP($B89,'Annual Parameters'!$B$33:$W$143,22,FALSE)/VLOOKUP('Source VoT'!$F$27,'Annual Parameters'!$B$33:$W$143,22,FALSE)*VLOOKUP($B$14,'Annual Parameters'!$B$33:$W$143,3,FALSE)/VLOOKUP('Source VoT'!$E$27,'Annual Parameters'!$B$33:$W$143,3,FALSE)</f>
        <v>24.619148064917557</v>
      </c>
      <c r="S89" s="73">
        <f>'Source VoT'!$D$46*VLOOKUP($B89,'Indirect tax correction'!$B$27:$I$127,6,FALSE)*VLOOKUP($B89,'Annual Parameters'!$B$33:$W$143,22,FALSE)/VLOOKUP('Source VoT'!$F$27,'Annual Parameters'!$B$33:$W$143,22,FALSE)*VLOOKUP($B$14,'Annual Parameters'!$B$33:$W$143,3,FALSE)/VLOOKUP('Source VoT'!$E$27,'Annual Parameters'!$B$33:$W$143,3,FALSE)</f>
        <v>11.236918000451615</v>
      </c>
      <c r="T89" s="117">
        <f>'Source VoT'!$D$27*1*VLOOKUP($B89,'Annual Parameters'!$B$33:$W$143,21,FALSE)/VLOOKUP('Source VoT'!$F$27,'Annual Parameters'!$B$33:$W$143,21,FALSE)*VLOOKUP($B$14,'Annual Parameters'!$B$33:$W$143,3,FALSE)/VLOOKUP('Source VoT'!$E$27,'Annual Parameters'!$B$33:$W$143,3,FALSE)</f>
        <v>43.75374030946103</v>
      </c>
      <c r="U89" s="73">
        <f>'Source VoT'!$D$28*1*VLOOKUP($B89,'Annual Parameters'!$B$33:$W$143,21,FALSE)/VLOOKUP('Source VoT'!$F$27,'Annual Parameters'!$B$33:$W$143,21,FALSE)*VLOOKUP($B$14,'Annual Parameters'!$B$33:$W$143,3,FALSE)/VLOOKUP('Source VoT'!$E$27,'Annual Parameters'!$B$33:$W$143,3,FALSE)</f>
        <v>43.75374030946103</v>
      </c>
      <c r="V89" s="73">
        <f>'Source VoT'!$D$29*1*VLOOKUP($B89,'Annual Parameters'!$B$33:$W$143,21,FALSE)/VLOOKUP('Source VoT'!$F$27,'Annual Parameters'!$B$33:$W$143,21,FALSE)*VLOOKUP($B$14,'Annual Parameters'!$B$33:$W$143,3,FALSE)/VLOOKUP('Source VoT'!$E$27,'Annual Parameters'!$B$33:$W$143,3,FALSE)</f>
        <v>30.12783049626518</v>
      </c>
      <c r="W89" s="73">
        <f>'Source VoT'!$D$30*1*VLOOKUP($B89,'Annual Parameters'!$B$33:$W$143,21,FALSE)/VLOOKUP('Source VoT'!$F$27,'Annual Parameters'!$B$33:$W$143,21,FALSE)*VLOOKUP($B$14,'Annual Parameters'!$B$33:$W$143,3,FALSE)/VLOOKUP('Source VoT'!$E$27,'Annual Parameters'!$B$33:$W$143,3,FALSE)</f>
        <v>35.497837320830961</v>
      </c>
      <c r="X89" s="73">
        <f>'Source VoT'!$D$31*1*VLOOKUP($B89,'Annual Parameters'!$B$33:$W$143,21,FALSE)/VLOOKUP('Source VoT'!$F$27,'Annual Parameters'!$B$33:$W$143,21,FALSE)*VLOOKUP($B$14,'Annual Parameters'!$B$33:$W$143,3,FALSE)/VLOOKUP('Source VoT'!$E$27,'Annual Parameters'!$B$33:$W$143,3,FALSE)</f>
        <v>36.264981152911787</v>
      </c>
      <c r="Y89" s="73">
        <f>'Source VoT'!$D$32*1*VLOOKUP($B89,'Annual Parameters'!$B$33:$W$143,21,FALSE)/VLOOKUP('Source VoT'!$F$27,'Annual Parameters'!$B$33:$W$143,21,FALSE)*VLOOKUP($B$14,'Annual Parameters'!$B$33:$W$143,3,FALSE)/VLOOKUP('Source VoT'!$E$27,'Annual Parameters'!$B$33:$W$143,3,FALSE)</f>
        <v>24.794623013483662</v>
      </c>
      <c r="Z89" s="73">
        <f>'Source VoT'!$D$33*1*VLOOKUP($B89,'Annual Parameters'!$B$33:$W$143,21,FALSE)/VLOOKUP('Source VoT'!$F$27,'Annual Parameters'!$B$33:$W$143,21,FALSE)*VLOOKUP($B$14,'Annual Parameters'!$B$33:$W$143,3,FALSE)/VLOOKUP('Source VoT'!$E$27,'Annual Parameters'!$B$33:$W$143,3,FALSE)</f>
        <v>32.045690076467238</v>
      </c>
      <c r="AA89" s="73">
        <f>'Source VoT'!$D$34*1*VLOOKUP($B89,'Annual Parameters'!$B$33:$W$143,21,FALSE)/VLOOKUP('Source VoT'!$F$27,'Annual Parameters'!$B$33:$W$143,21,FALSE)*VLOOKUP($B$14,'Annual Parameters'!$B$33:$W$143,3,FALSE)/VLOOKUP('Source VoT'!$E$27,'Annual Parameters'!$B$33:$W$143,3,FALSE)</f>
        <v>43.75374030946103</v>
      </c>
      <c r="AB89" s="73">
        <f>'Source VoT'!$D$35*1*VLOOKUP($B89,'Annual Parameters'!$B$33:$W$143,21,FALSE)/VLOOKUP('Source VoT'!$F$27,'Annual Parameters'!$B$33:$W$143,21,FALSE)*VLOOKUP($B$14,'Annual Parameters'!$B$33:$W$143,3,FALSE)/VLOOKUP('Source VoT'!$E$27,'Annual Parameters'!$B$33:$W$143,3,FALSE)</f>
        <v>72.172336580368793</v>
      </c>
      <c r="AC89" s="73">
        <f>'Source VoT'!$D$36*1*VLOOKUP($B89,'Annual Parameters'!$B$33:$W$143,21,FALSE)/VLOOKUP('Source VoT'!$F$27,'Annual Parameters'!$B$33:$W$143,21,FALSE)*VLOOKUP($B$14,'Annual Parameters'!$B$33:$W$143,3,FALSE)/VLOOKUP('Source VoT'!$E$27,'Annual Parameters'!$B$33:$W$143,3,FALSE)</f>
        <v>24.794623013483662</v>
      </c>
      <c r="AD89" s="73">
        <f>'Source VoT'!$D$37*1*VLOOKUP($B89,'Annual Parameters'!$B$33:$W$143,21,FALSE)/VLOOKUP('Source VoT'!$F$27,'Annual Parameters'!$B$33:$W$143,21,FALSE)*VLOOKUP($B$14,'Annual Parameters'!$B$33:$W$143,3,FALSE)/VLOOKUP('Source VoT'!$E$27,'Annual Parameters'!$B$33:$W$143,3,FALSE)</f>
        <v>24.794623013483662</v>
      </c>
      <c r="AE89" s="73">
        <f>'Source VoT'!$D$38*1*VLOOKUP($B89,'Annual Parameters'!$B$33:$W$143,21,FALSE)/VLOOKUP('Source VoT'!$F$27,'Annual Parameters'!$B$33:$W$143,21,FALSE)*VLOOKUP($B$14,'Annual Parameters'!$B$33:$W$143,3,FALSE)/VLOOKUP('Source VoT'!$E$27,'Annual Parameters'!$B$33:$W$143,3,FALSE)</f>
        <v>24.794623013483662</v>
      </c>
      <c r="AF89" s="73">
        <f>'Source VoT'!$D$39*1*VLOOKUP($B89,'Annual Parameters'!$B$33:$W$143,21,FALSE)/VLOOKUP('Source VoT'!$F$27,'Annual Parameters'!$B$33:$W$143,21,FALSE)*VLOOKUP($B$14,'Annual Parameters'!$B$33:$W$143,3,FALSE)/VLOOKUP('Source VoT'!$E$27,'Annual Parameters'!$B$33:$W$143,3,FALSE)</f>
        <v>43.75374030946103</v>
      </c>
      <c r="AG89" s="74">
        <f>'Source VoT'!$D$40*1*VLOOKUP($B89,'Annual Parameters'!$B$33:$W$143,21,FALSE)/VLOOKUP('Source VoT'!$F$27,'Annual Parameters'!$B$33:$W$143,21,FALSE)*VLOOKUP($B$14,'Annual Parameters'!$B$33:$W$143,3,FALSE)/VLOOKUP('Source VoT'!$E$27,'Annual Parameters'!$B$33:$W$143,3,FALSE)</f>
        <v>47.657807361251237</v>
      </c>
      <c r="AH89" s="73">
        <f>'Source VoT'!$D$45*1*VLOOKUP($B89,'Annual Parameters'!$B$33:$W$143,22,FALSE)/VLOOKUP('Source VoT'!$F$27,'Annual Parameters'!$B$33:$W$143,22,FALSE)*VLOOKUP($B$14,'Annual Parameters'!$B$33:$W$143,3,FALSE)/VLOOKUP('Source VoT'!$E$27,'Annual Parameters'!$B$33:$W$143,3,FALSE)</f>
        <v>29.29678619725189</v>
      </c>
      <c r="AI89" s="73">
        <f>'Source VoT'!$D$46*1*VLOOKUP($B89,'Annual Parameters'!$B$33:$W$143,22,FALSE)/VLOOKUP('Source VoT'!$F$27,'Annual Parameters'!$B$33:$W$143,22,FALSE)*VLOOKUP($B$14,'Annual Parameters'!$B$33:$W$143,3,FALSE)/VLOOKUP('Source VoT'!$E$27,'Annual Parameters'!$B$33:$W$143,3,FALSE)</f>
        <v>13.371932420537421</v>
      </c>
      <c r="AJ89" s="117">
        <f>'Source VoT'!$D$27*VLOOKUP($B89,'Indirect tax correction'!$B$27:$I$127,7,FALSE)*VLOOKUP($B89,'Annual Parameters'!$B$33:$W$143,21,FALSE)/VLOOKUP('Source VoT'!$F$27,'Annual Parameters'!$B$33:$W$143,21,FALSE)*VLOOKUP($B$14,'Annual Parameters'!$B$33:$W$143,3,FALSE)/VLOOKUP('Source VoT'!$E$27,'Annual Parameters'!$B$33:$W$143,3,FALSE)</f>
        <v>52.06695096825861</v>
      </c>
      <c r="AK89" s="73">
        <f>'Source VoT'!$D$28*VLOOKUP($B89,'Indirect tax correction'!$B$27:$I$127,7,FALSE)*VLOOKUP($B89,'Annual Parameters'!$B$33:$W$143,21,FALSE)/VLOOKUP('Source VoT'!$F$27,'Annual Parameters'!$B$33:$W$143,21,FALSE)*VLOOKUP($B$14,'Annual Parameters'!$B$33:$W$143,3,FALSE)/VLOOKUP('Source VoT'!$E$27,'Annual Parameters'!$B$33:$W$143,3,FALSE)</f>
        <v>52.06695096825861</v>
      </c>
      <c r="AL89" s="73">
        <f>'Source VoT'!$D$29*VLOOKUP($B89,'Indirect tax correction'!$B$27:$I$127,7,FALSE)*VLOOKUP($B89,'Annual Parameters'!$B$33:$W$143,21,FALSE)/VLOOKUP('Source VoT'!$F$27,'Annual Parameters'!$B$33:$W$143,21,FALSE)*VLOOKUP($B$14,'Annual Parameters'!$B$33:$W$143,3,FALSE)/VLOOKUP('Source VoT'!$E$27,'Annual Parameters'!$B$33:$W$143,3,FALSE)</f>
        <v>35.852118290555559</v>
      </c>
      <c r="AM89" s="73">
        <f>'Source VoT'!$D$30*VLOOKUP($B89,'Indirect tax correction'!$B$27:$I$127,7,FALSE)*VLOOKUP($B89,'Annual Parameters'!$B$33:$W$143,21,FALSE)/VLOOKUP('Source VoT'!$F$27,'Annual Parameters'!$B$33:$W$143,21,FALSE)*VLOOKUP($B$14,'Annual Parameters'!$B$33:$W$143,3,FALSE)/VLOOKUP('Source VoT'!$E$27,'Annual Parameters'!$B$33:$W$143,3,FALSE)</f>
        <v>42.242426411788841</v>
      </c>
      <c r="AN89" s="73">
        <f>'Source VoT'!$D$31*VLOOKUP($B89,'Indirect tax correction'!$B$27:$I$127,7,FALSE)*VLOOKUP($B89,'Annual Parameters'!$B$33:$W$143,21,FALSE)/VLOOKUP('Source VoT'!$F$27,'Annual Parameters'!$B$33:$W$143,21,FALSE)*VLOOKUP($B$14,'Annual Parameters'!$B$33:$W$143,3,FALSE)/VLOOKUP('Source VoT'!$E$27,'Annual Parameters'!$B$33:$W$143,3,FALSE)</f>
        <v>43.155327571965017</v>
      </c>
      <c r="AO89" s="73">
        <f>'Source VoT'!$D$32*VLOOKUP($B89,'Indirect tax correction'!$B$27:$I$127,7,FALSE)*VLOOKUP($B89,'Annual Parameters'!$B$33:$W$143,21,FALSE)/VLOOKUP('Source VoT'!$F$27,'Annual Parameters'!$B$33:$W$143,21,FALSE)*VLOOKUP($B$14,'Annual Parameters'!$B$33:$W$143,3,FALSE)/VLOOKUP('Source VoT'!$E$27,'Annual Parameters'!$B$33:$W$143,3,FALSE)</f>
        <v>29.505601386045555</v>
      </c>
      <c r="AP89" s="73">
        <f>'Source VoT'!$D$33*VLOOKUP($B89,'Indirect tax correction'!$B$27:$I$127,7,FALSE)*VLOOKUP($B89,'Annual Parameters'!$B$33:$W$143,21,FALSE)/VLOOKUP('Source VoT'!$F$27,'Annual Parameters'!$B$33:$W$143,21,FALSE)*VLOOKUP($B$14,'Annual Parameters'!$B$33:$W$143,3,FALSE)/VLOOKUP('Source VoT'!$E$27,'Annual Parameters'!$B$33:$W$143,3,FALSE)</f>
        <v>38.134371190996013</v>
      </c>
      <c r="AQ89" s="73">
        <f>'Source VoT'!$D$34*VLOOKUP($B89,'Indirect tax correction'!$B$27:$I$127,7,FALSE)*VLOOKUP($B89,'Annual Parameters'!$B$33:$W$143,21,FALSE)/VLOOKUP('Source VoT'!$F$27,'Annual Parameters'!$B$33:$W$143,21,FALSE)*VLOOKUP($B$14,'Annual Parameters'!$B$33:$W$143,3,FALSE)/VLOOKUP('Source VoT'!$E$27,'Annual Parameters'!$B$33:$W$143,3,FALSE)</f>
        <v>52.06695096825861</v>
      </c>
      <c r="AR89" s="73">
        <f>'Source VoT'!$D$35*VLOOKUP($B89,'Indirect tax correction'!$B$27:$I$127,7,FALSE)*VLOOKUP($B89,'Annual Parameters'!$B$33:$W$143,21,FALSE)/VLOOKUP('Source VoT'!$F$27,'Annual Parameters'!$B$33:$W$143,21,FALSE)*VLOOKUP($B$14,'Annual Parameters'!$B$33:$W$143,3,FALSE)/VLOOKUP('Source VoT'!$E$27,'Annual Parameters'!$B$33:$W$143,3,FALSE)</f>
        <v>85.885080530638859</v>
      </c>
      <c r="AS89" s="73">
        <f>'Source VoT'!$D$36*VLOOKUP($B89,'Indirect tax correction'!$B$27:$I$127,7,FALSE)*VLOOKUP($B89,'Annual Parameters'!$B$33:$W$143,21,FALSE)/VLOOKUP('Source VoT'!$F$27,'Annual Parameters'!$B$33:$W$143,21,FALSE)*VLOOKUP($B$14,'Annual Parameters'!$B$33:$W$143,3,FALSE)/VLOOKUP('Source VoT'!$E$27,'Annual Parameters'!$B$33:$W$143,3,FALSE)</f>
        <v>29.505601386045555</v>
      </c>
      <c r="AT89" s="73">
        <f>'Source VoT'!$D$37*VLOOKUP($B89,'Indirect tax correction'!$B$27:$I$127,7,FALSE)*VLOOKUP($B89,'Annual Parameters'!$B$33:$W$143,21,FALSE)/VLOOKUP('Source VoT'!$F$27,'Annual Parameters'!$B$33:$W$143,21,FALSE)*VLOOKUP($B$14,'Annual Parameters'!$B$33:$W$143,3,FALSE)/VLOOKUP('Source VoT'!$E$27,'Annual Parameters'!$B$33:$W$143,3,FALSE)</f>
        <v>29.505601386045555</v>
      </c>
      <c r="AU89" s="73">
        <f>'Source VoT'!$D$38*VLOOKUP($B89,'Indirect tax correction'!$B$27:$I$127,7,FALSE)*VLOOKUP($B89,'Annual Parameters'!$B$33:$W$143,21,FALSE)/VLOOKUP('Source VoT'!$F$27,'Annual Parameters'!$B$33:$W$143,21,FALSE)*VLOOKUP($B$14,'Annual Parameters'!$B$33:$W$143,3,FALSE)/VLOOKUP('Source VoT'!$E$27,'Annual Parameters'!$B$33:$W$143,3,FALSE)</f>
        <v>29.505601386045555</v>
      </c>
      <c r="AV89" s="73">
        <f>'Source VoT'!$D$39*VLOOKUP($B89,'Indirect tax correction'!$B$27:$I$127,7,FALSE)*VLOOKUP($B89,'Annual Parameters'!$B$33:$W$143,21,FALSE)/VLOOKUP('Source VoT'!$F$27,'Annual Parameters'!$B$33:$W$143,21,FALSE)*VLOOKUP($B$14,'Annual Parameters'!$B$33:$W$143,3,FALSE)/VLOOKUP('Source VoT'!$E$27,'Annual Parameters'!$B$33:$W$143,3,FALSE)</f>
        <v>52.06695096825861</v>
      </c>
      <c r="AW89" s="74">
        <f>'Source VoT'!$D$40*VLOOKUP($B89,'Indirect tax correction'!$B$27:$I$127,7,FALSE)*VLOOKUP($B89,'Annual Parameters'!$B$33:$W$143,21,FALSE)/VLOOKUP('Source VoT'!$F$27,'Annual Parameters'!$B$33:$W$143,21,FALSE)*VLOOKUP($B$14,'Annual Parameters'!$B$33:$W$143,3,FALSE)/VLOOKUP('Source VoT'!$E$27,'Annual Parameters'!$B$33:$W$143,3,FALSE)</f>
        <v>56.712790759888961</v>
      </c>
      <c r="AX89" s="73">
        <f>'Source VoT'!$D$45*VLOOKUP($B89,'Indirect tax correction'!$B$27:$I$127,8,FALSE)*VLOOKUP($B89,'Annual Parameters'!$B$33:$W$143,22,FALSE)/VLOOKUP('Source VoT'!$F$27,'Annual Parameters'!$B$33:$W$143,22,FALSE)*VLOOKUP($B$14,'Annual Parameters'!$B$33:$W$143,3,FALSE)/VLOOKUP('Source VoT'!$E$27,'Annual Parameters'!$B$33:$W$143,3,FALSE)</f>
        <v>29.29678619725189</v>
      </c>
      <c r="AY89" s="74">
        <f>'Source VoT'!$D$46*VLOOKUP($B89,'Indirect tax correction'!$B$27:$I$127,8,FALSE)*VLOOKUP($B89,'Annual Parameters'!$B$33:$W$143,22,FALSE)/VLOOKUP('Source VoT'!$F$27,'Annual Parameters'!$B$33:$W$143,22,FALSE)*VLOOKUP($B$14,'Annual Parameters'!$B$33:$W$143,3,FALSE)/VLOOKUP('Source VoT'!$E$27,'Annual Parameters'!$B$33:$W$143,3,FALSE)</f>
        <v>13.371932420537421</v>
      </c>
      <c r="AZ89" s="2875"/>
      <c r="BA89" s="2875"/>
      <c r="BB89" s="2875"/>
      <c r="BC89" s="2875"/>
      <c r="BD89" s="2875"/>
      <c r="BE89" s="2875"/>
      <c r="BF89" s="2875"/>
      <c r="BG89" s="2875"/>
    </row>
    <row r="90" spans="1:59" ht="13.5" customHeight="1">
      <c r="A90" s="90"/>
      <c r="B90" s="82">
        <f t="shared" si="0"/>
        <v>2073</v>
      </c>
      <c r="C90" s="82"/>
      <c r="D90" s="117">
        <f>'Source VoT'!$D$27*VLOOKUP($B90,'Indirect tax correction'!$B$27:$I$127,5,FALSE)*VLOOKUP($B90,'Annual Parameters'!$B$33:$W$143,21,FALSE)/VLOOKUP('Source VoT'!$F$27,'Annual Parameters'!$B$33:$W$143,21,FALSE)*VLOOKUP($B$14,'Annual Parameters'!$B$33:$W$143,3,FALSE)/VLOOKUP('Source VoT'!$E$27,'Annual Parameters'!$B$33:$W$143,3,FALSE)</f>
        <v>44.674769802769951</v>
      </c>
      <c r="E90" s="73">
        <f>'Source VoT'!$D$28*VLOOKUP($B90,'Indirect tax correction'!$B$27:$I$127,5,FALSE)*VLOOKUP($B90,'Annual Parameters'!$B$33:$W$143,21,FALSE)/VLOOKUP('Source VoT'!$F$27,'Annual Parameters'!$B$33:$W$143,21,FALSE)*VLOOKUP($B$14,'Annual Parameters'!$B$33:$W$143,3,FALSE)/VLOOKUP('Source VoT'!$E$27,'Annual Parameters'!$B$33:$W$143,3,FALSE)</f>
        <v>44.674769802769951</v>
      </c>
      <c r="F90" s="73">
        <f>'Source VoT'!$D$29*VLOOKUP($B90,'Indirect tax correction'!$B$27:$I$127,5,FALSE)*VLOOKUP($B90,'Annual Parameters'!$B$33:$W$143,21,FALSE)/VLOOKUP('Source VoT'!$F$27,'Annual Parameters'!$B$33:$W$143,21,FALSE)*VLOOKUP($B$14,'Annual Parameters'!$B$33:$W$143,3,FALSE)/VLOOKUP('Source VoT'!$E$27,'Annual Parameters'!$B$33:$W$143,3,FALSE)</f>
        <v>30.762030458604684</v>
      </c>
      <c r="G90" s="73">
        <f>'Source VoT'!$D$30*VLOOKUP($B90,'Indirect tax correction'!$B$27:$I$127,5,FALSE)*VLOOKUP($B90,'Annual Parameters'!$B$33:$W$143,21,FALSE)/VLOOKUP('Source VoT'!$F$27,'Annual Parameters'!$B$33:$W$143,21,FALSE)*VLOOKUP($B$14,'Annual Parameters'!$B$33:$W$143,3,FALSE)/VLOOKUP('Source VoT'!$E$27,'Annual Parameters'!$B$33:$W$143,3,FALSE)</f>
        <v>36.245077554235607</v>
      </c>
      <c r="H90" s="73">
        <f>'Source VoT'!$D$31*VLOOKUP($B90,'Indirect tax correction'!$B$27:$I$127,5,FALSE)*VLOOKUP($B90,'Annual Parameters'!$B$33:$W$143,21,FALSE)/VLOOKUP('Source VoT'!$F$27,'Annual Parameters'!$B$33:$W$143,21,FALSE)*VLOOKUP($B$14,'Annual Parameters'!$B$33:$W$143,3,FALSE)/VLOOKUP('Source VoT'!$E$27,'Annual Parameters'!$B$33:$W$143,3,FALSE)</f>
        <v>37.028369996468598</v>
      </c>
      <c r="I90" s="73">
        <f>'Source VoT'!$D$32*VLOOKUP($B90,'Indirect tax correction'!$B$27:$I$127,5,FALSE)*VLOOKUP($B90,'Annual Parameters'!$B$33:$W$143,21,FALSE)/VLOOKUP('Source VoT'!$F$27,'Annual Parameters'!$B$33:$W$143,21,FALSE)*VLOOKUP($B$14,'Annual Parameters'!$B$33:$W$143,3,FALSE)/VLOOKUP('Source VoT'!$E$27,'Annual Parameters'!$B$33:$W$143,3,FALSE)</f>
        <v>25.316557342054811</v>
      </c>
      <c r="J90" s="73">
        <f>'Source VoT'!$D$33*VLOOKUP($B90,'Indirect tax correction'!$B$27:$I$127,5,FALSE)*VLOOKUP($B90,'Annual Parameters'!$B$33:$W$143,21,FALSE)/VLOOKUP('Source VoT'!$F$27,'Annual Parameters'!$B$33:$W$143,21,FALSE)*VLOOKUP($B$14,'Annual Parameters'!$B$33:$W$143,3,FALSE)/VLOOKUP('Source VoT'!$E$27,'Annual Parameters'!$B$33:$W$143,3,FALSE)</f>
        <v>32.720261564187147</v>
      </c>
      <c r="K90" s="73">
        <f>'Source VoT'!$D$34*VLOOKUP($B90,'Indirect tax correction'!$B$27:$I$127,5,FALSE)*VLOOKUP($B90,'Annual Parameters'!$B$33:$W$143,21,FALSE)/VLOOKUP('Source VoT'!$F$27,'Annual Parameters'!$B$33:$W$143,21,FALSE)*VLOOKUP($B$14,'Annual Parameters'!$B$33:$W$143,3,FALSE)/VLOOKUP('Source VoT'!$E$27,'Annual Parameters'!$B$33:$W$143,3,FALSE)</f>
        <v>44.674769802769951</v>
      </c>
      <c r="L90" s="73">
        <f>'Source VoT'!$D$35*VLOOKUP($B90,'Indirect tax correction'!$B$27:$I$127,5,FALSE)*VLOOKUP($B90,'Annual Parameters'!$B$33:$W$143,21,FALSE)/VLOOKUP('Source VoT'!$F$27,'Annual Parameters'!$B$33:$W$143,21,FALSE)*VLOOKUP($B$14,'Annual Parameters'!$B$33:$W$143,3,FALSE)/VLOOKUP('Source VoT'!$E$27,'Annual Parameters'!$B$33:$W$143,3,FALSE)</f>
        <v>73.691586137581282</v>
      </c>
      <c r="M90" s="73">
        <f>'Source VoT'!$D$36*VLOOKUP($B90,'Indirect tax correction'!$B$27:$I$127,5,FALSE)*VLOOKUP($B90,'Annual Parameters'!$B$33:$W$143,21,FALSE)/VLOOKUP('Source VoT'!$F$27,'Annual Parameters'!$B$33:$W$143,21,FALSE)*VLOOKUP($B$14,'Annual Parameters'!$B$33:$W$143,3,FALSE)/VLOOKUP('Source VoT'!$E$27,'Annual Parameters'!$B$33:$W$143,3,FALSE)</f>
        <v>25.316557342054811</v>
      </c>
      <c r="N90" s="73">
        <f>'Source VoT'!$D$37*VLOOKUP($B90,'Indirect tax correction'!$B$27:$I$127,5,FALSE)*VLOOKUP($B90,'Annual Parameters'!$B$33:$W$143,21,FALSE)/VLOOKUP('Source VoT'!$F$27,'Annual Parameters'!$B$33:$W$143,21,FALSE)*VLOOKUP($B$14,'Annual Parameters'!$B$33:$W$143,3,FALSE)/VLOOKUP('Source VoT'!$E$27,'Annual Parameters'!$B$33:$W$143,3,FALSE)</f>
        <v>25.316557342054811</v>
      </c>
      <c r="O90" s="73">
        <f>'Source VoT'!$D$38*VLOOKUP($B90,'Indirect tax correction'!$B$27:$I$127,5,FALSE)*VLOOKUP($B90,'Annual Parameters'!$B$33:$W$143,21,FALSE)/VLOOKUP('Source VoT'!$F$27,'Annual Parameters'!$B$33:$W$143,21,FALSE)*VLOOKUP($B$14,'Annual Parameters'!$B$33:$W$143,3,FALSE)/VLOOKUP('Source VoT'!$E$27,'Annual Parameters'!$B$33:$W$143,3,FALSE)</f>
        <v>25.316557342054811</v>
      </c>
      <c r="P90" s="73">
        <f>'Source VoT'!$D$39*VLOOKUP($B90,'Indirect tax correction'!$B$27:$I$127,5,FALSE)*VLOOKUP($B90,'Annual Parameters'!$B$33:$W$143,21,FALSE)/VLOOKUP('Source VoT'!$F$27,'Annual Parameters'!$B$33:$W$143,21,FALSE)*VLOOKUP($B$14,'Annual Parameters'!$B$33:$W$143,3,FALSE)/VLOOKUP('Source VoT'!$E$27,'Annual Parameters'!$B$33:$W$143,3,FALSE)</f>
        <v>44.674769802769951</v>
      </c>
      <c r="Q90" s="74">
        <f>'Source VoT'!$D$40*VLOOKUP($B90,'Indirect tax correction'!$B$27:$I$127,5,FALSE)*VLOOKUP($B90,'Annual Parameters'!$B$33:$W$143,21,FALSE)/VLOOKUP('Source VoT'!$F$27,'Annual Parameters'!$B$33:$W$143,21,FALSE)*VLOOKUP($B$14,'Annual Parameters'!$B$33:$W$143,3,FALSE)/VLOOKUP('Source VoT'!$E$27,'Annual Parameters'!$B$33:$W$143,3,FALSE)</f>
        <v>48.661018649147834</v>
      </c>
      <c r="R90" s="73">
        <f>'Source VoT'!$D$45*VLOOKUP($B90,'Indirect tax correction'!$B$27:$I$127,6,FALSE)*VLOOKUP($B90,'Annual Parameters'!$B$33:$W$143,22,FALSE)/VLOOKUP('Source VoT'!$F$27,'Annual Parameters'!$B$33:$W$143,22,FALSE)*VLOOKUP($B$14,'Annual Parameters'!$B$33:$W$143,3,FALSE)/VLOOKUP('Source VoT'!$E$27,'Annual Parameters'!$B$33:$W$143,3,FALSE)</f>
        <v>25.137388592642811</v>
      </c>
      <c r="S90" s="73">
        <f>'Source VoT'!$D$46*VLOOKUP($B90,'Indirect tax correction'!$B$27:$I$127,6,FALSE)*VLOOKUP($B90,'Annual Parameters'!$B$33:$W$143,22,FALSE)/VLOOKUP('Source VoT'!$F$27,'Annual Parameters'!$B$33:$W$143,22,FALSE)*VLOOKUP($B$14,'Annual Parameters'!$B$33:$W$143,3,FALSE)/VLOOKUP('Source VoT'!$E$27,'Annual Parameters'!$B$33:$W$143,3,FALSE)</f>
        <v>11.473458529766592</v>
      </c>
      <c r="T90" s="117">
        <f>'Source VoT'!$D$27*1*VLOOKUP($B90,'Annual Parameters'!$B$33:$W$143,21,FALSE)/VLOOKUP('Source VoT'!$F$27,'Annual Parameters'!$B$33:$W$143,21,FALSE)*VLOOKUP($B$14,'Annual Parameters'!$B$33:$W$143,3,FALSE)/VLOOKUP('Source VoT'!$E$27,'Annual Parameters'!$B$33:$W$143,3,FALSE)</f>
        <v>44.674769802769951</v>
      </c>
      <c r="U90" s="73">
        <f>'Source VoT'!$D$28*1*VLOOKUP($B90,'Annual Parameters'!$B$33:$W$143,21,FALSE)/VLOOKUP('Source VoT'!$F$27,'Annual Parameters'!$B$33:$W$143,21,FALSE)*VLOOKUP($B$14,'Annual Parameters'!$B$33:$W$143,3,FALSE)/VLOOKUP('Source VoT'!$E$27,'Annual Parameters'!$B$33:$W$143,3,FALSE)</f>
        <v>44.674769802769951</v>
      </c>
      <c r="V90" s="73">
        <f>'Source VoT'!$D$29*1*VLOOKUP($B90,'Annual Parameters'!$B$33:$W$143,21,FALSE)/VLOOKUP('Source VoT'!$F$27,'Annual Parameters'!$B$33:$W$143,21,FALSE)*VLOOKUP($B$14,'Annual Parameters'!$B$33:$W$143,3,FALSE)/VLOOKUP('Source VoT'!$E$27,'Annual Parameters'!$B$33:$W$143,3,FALSE)</f>
        <v>30.762030458604684</v>
      </c>
      <c r="W90" s="73">
        <f>'Source VoT'!$D$30*1*VLOOKUP($B90,'Annual Parameters'!$B$33:$W$143,21,FALSE)/VLOOKUP('Source VoT'!$F$27,'Annual Parameters'!$B$33:$W$143,21,FALSE)*VLOOKUP($B$14,'Annual Parameters'!$B$33:$W$143,3,FALSE)/VLOOKUP('Source VoT'!$E$27,'Annual Parameters'!$B$33:$W$143,3,FALSE)</f>
        <v>36.245077554235607</v>
      </c>
      <c r="X90" s="73">
        <f>'Source VoT'!$D$31*1*VLOOKUP($B90,'Annual Parameters'!$B$33:$W$143,21,FALSE)/VLOOKUP('Source VoT'!$F$27,'Annual Parameters'!$B$33:$W$143,21,FALSE)*VLOOKUP($B$14,'Annual Parameters'!$B$33:$W$143,3,FALSE)/VLOOKUP('Source VoT'!$E$27,'Annual Parameters'!$B$33:$W$143,3,FALSE)</f>
        <v>37.028369996468598</v>
      </c>
      <c r="Y90" s="73">
        <f>'Source VoT'!$D$32*1*VLOOKUP($B90,'Annual Parameters'!$B$33:$W$143,21,FALSE)/VLOOKUP('Source VoT'!$F$27,'Annual Parameters'!$B$33:$W$143,21,FALSE)*VLOOKUP($B$14,'Annual Parameters'!$B$33:$W$143,3,FALSE)/VLOOKUP('Source VoT'!$E$27,'Annual Parameters'!$B$33:$W$143,3,FALSE)</f>
        <v>25.316557342054811</v>
      </c>
      <c r="Z90" s="73">
        <f>'Source VoT'!$D$33*1*VLOOKUP($B90,'Annual Parameters'!$B$33:$W$143,21,FALSE)/VLOOKUP('Source VoT'!$F$27,'Annual Parameters'!$B$33:$W$143,21,FALSE)*VLOOKUP($B$14,'Annual Parameters'!$B$33:$W$143,3,FALSE)/VLOOKUP('Source VoT'!$E$27,'Annual Parameters'!$B$33:$W$143,3,FALSE)</f>
        <v>32.720261564187147</v>
      </c>
      <c r="AA90" s="73">
        <f>'Source VoT'!$D$34*1*VLOOKUP($B90,'Annual Parameters'!$B$33:$W$143,21,FALSE)/VLOOKUP('Source VoT'!$F$27,'Annual Parameters'!$B$33:$W$143,21,FALSE)*VLOOKUP($B$14,'Annual Parameters'!$B$33:$W$143,3,FALSE)/VLOOKUP('Source VoT'!$E$27,'Annual Parameters'!$B$33:$W$143,3,FALSE)</f>
        <v>44.674769802769951</v>
      </c>
      <c r="AB90" s="73">
        <f>'Source VoT'!$D$35*1*VLOOKUP($B90,'Annual Parameters'!$B$33:$W$143,21,FALSE)/VLOOKUP('Source VoT'!$F$27,'Annual Parameters'!$B$33:$W$143,21,FALSE)*VLOOKUP($B$14,'Annual Parameters'!$B$33:$W$143,3,FALSE)/VLOOKUP('Source VoT'!$E$27,'Annual Parameters'!$B$33:$W$143,3,FALSE)</f>
        <v>73.691586137581282</v>
      </c>
      <c r="AC90" s="73">
        <f>'Source VoT'!$D$36*1*VLOOKUP($B90,'Annual Parameters'!$B$33:$W$143,21,FALSE)/VLOOKUP('Source VoT'!$F$27,'Annual Parameters'!$B$33:$W$143,21,FALSE)*VLOOKUP($B$14,'Annual Parameters'!$B$33:$W$143,3,FALSE)/VLOOKUP('Source VoT'!$E$27,'Annual Parameters'!$B$33:$W$143,3,FALSE)</f>
        <v>25.316557342054811</v>
      </c>
      <c r="AD90" s="73">
        <f>'Source VoT'!$D$37*1*VLOOKUP($B90,'Annual Parameters'!$B$33:$W$143,21,FALSE)/VLOOKUP('Source VoT'!$F$27,'Annual Parameters'!$B$33:$W$143,21,FALSE)*VLOOKUP($B$14,'Annual Parameters'!$B$33:$W$143,3,FALSE)/VLOOKUP('Source VoT'!$E$27,'Annual Parameters'!$B$33:$W$143,3,FALSE)</f>
        <v>25.316557342054811</v>
      </c>
      <c r="AE90" s="73">
        <f>'Source VoT'!$D$38*1*VLOOKUP($B90,'Annual Parameters'!$B$33:$W$143,21,FALSE)/VLOOKUP('Source VoT'!$F$27,'Annual Parameters'!$B$33:$W$143,21,FALSE)*VLOOKUP($B$14,'Annual Parameters'!$B$33:$W$143,3,FALSE)/VLOOKUP('Source VoT'!$E$27,'Annual Parameters'!$B$33:$W$143,3,FALSE)</f>
        <v>25.316557342054811</v>
      </c>
      <c r="AF90" s="73">
        <f>'Source VoT'!$D$39*1*VLOOKUP($B90,'Annual Parameters'!$B$33:$W$143,21,FALSE)/VLOOKUP('Source VoT'!$F$27,'Annual Parameters'!$B$33:$W$143,21,FALSE)*VLOOKUP($B$14,'Annual Parameters'!$B$33:$W$143,3,FALSE)/VLOOKUP('Source VoT'!$E$27,'Annual Parameters'!$B$33:$W$143,3,FALSE)</f>
        <v>44.674769802769951</v>
      </c>
      <c r="AG90" s="74">
        <f>'Source VoT'!$D$40*1*VLOOKUP($B90,'Annual Parameters'!$B$33:$W$143,21,FALSE)/VLOOKUP('Source VoT'!$F$27,'Annual Parameters'!$B$33:$W$143,21,FALSE)*VLOOKUP($B$14,'Annual Parameters'!$B$33:$W$143,3,FALSE)/VLOOKUP('Source VoT'!$E$27,'Annual Parameters'!$B$33:$W$143,3,FALSE)</f>
        <v>48.661018649147834</v>
      </c>
      <c r="AH90" s="73">
        <f>'Source VoT'!$D$45*1*VLOOKUP($B90,'Annual Parameters'!$B$33:$W$143,22,FALSE)/VLOOKUP('Source VoT'!$F$27,'Annual Parameters'!$B$33:$W$143,22,FALSE)*VLOOKUP($B$14,'Annual Parameters'!$B$33:$W$143,3,FALSE)/VLOOKUP('Source VoT'!$E$27,'Annual Parameters'!$B$33:$W$143,3,FALSE)</f>
        <v>29.913492425244939</v>
      </c>
      <c r="AI90" s="73">
        <f>'Source VoT'!$D$46*1*VLOOKUP($B90,'Annual Parameters'!$B$33:$W$143,22,FALSE)/VLOOKUP('Source VoT'!$F$27,'Annual Parameters'!$B$33:$W$143,22,FALSE)*VLOOKUP($B$14,'Annual Parameters'!$B$33:$W$143,3,FALSE)/VLOOKUP('Source VoT'!$E$27,'Annual Parameters'!$B$33:$W$143,3,FALSE)</f>
        <v>13.653415650422243</v>
      </c>
      <c r="AJ90" s="117">
        <f>'Source VoT'!$D$27*VLOOKUP($B90,'Indirect tax correction'!$B$27:$I$127,7,FALSE)*VLOOKUP($B90,'Annual Parameters'!$B$33:$W$143,21,FALSE)/VLOOKUP('Source VoT'!$F$27,'Annual Parameters'!$B$33:$W$143,21,FALSE)*VLOOKUP($B$14,'Annual Parameters'!$B$33:$W$143,3,FALSE)/VLOOKUP('Source VoT'!$E$27,'Annual Parameters'!$B$33:$W$143,3,FALSE)</f>
        <v>53.162976065296242</v>
      </c>
      <c r="AK90" s="73">
        <f>'Source VoT'!$D$28*VLOOKUP($B90,'Indirect tax correction'!$B$27:$I$127,7,FALSE)*VLOOKUP($B90,'Annual Parameters'!$B$33:$W$143,21,FALSE)/VLOOKUP('Source VoT'!$F$27,'Annual Parameters'!$B$33:$W$143,21,FALSE)*VLOOKUP($B$14,'Annual Parameters'!$B$33:$W$143,3,FALSE)/VLOOKUP('Source VoT'!$E$27,'Annual Parameters'!$B$33:$W$143,3,FALSE)</f>
        <v>53.162976065296242</v>
      </c>
      <c r="AL90" s="73">
        <f>'Source VoT'!$D$29*VLOOKUP($B90,'Indirect tax correction'!$B$27:$I$127,7,FALSE)*VLOOKUP($B90,'Annual Parameters'!$B$33:$W$143,21,FALSE)/VLOOKUP('Source VoT'!$F$27,'Annual Parameters'!$B$33:$W$143,21,FALSE)*VLOOKUP($B$14,'Annual Parameters'!$B$33:$W$143,3,FALSE)/VLOOKUP('Source VoT'!$E$27,'Annual Parameters'!$B$33:$W$143,3,FALSE)</f>
        <v>36.606816245739566</v>
      </c>
      <c r="AM90" s="73">
        <f>'Source VoT'!$D$30*VLOOKUP($B90,'Indirect tax correction'!$B$27:$I$127,7,FALSE)*VLOOKUP($B90,'Annual Parameters'!$B$33:$W$143,21,FALSE)/VLOOKUP('Source VoT'!$F$27,'Annual Parameters'!$B$33:$W$143,21,FALSE)*VLOOKUP($B$14,'Annual Parameters'!$B$33:$W$143,3,FALSE)/VLOOKUP('Source VoT'!$E$27,'Annual Parameters'!$B$33:$W$143,3,FALSE)</f>
        <v>43.131642289540366</v>
      </c>
      <c r="AN90" s="73">
        <f>'Source VoT'!$D$31*VLOOKUP($B90,'Indirect tax correction'!$B$27:$I$127,7,FALSE)*VLOOKUP($B90,'Annual Parameters'!$B$33:$W$143,21,FALSE)/VLOOKUP('Source VoT'!$F$27,'Annual Parameters'!$B$33:$W$143,21,FALSE)*VLOOKUP($B$14,'Annual Parameters'!$B$33:$W$143,3,FALSE)/VLOOKUP('Source VoT'!$E$27,'Annual Parameters'!$B$33:$W$143,3,FALSE)</f>
        <v>44.063760295797628</v>
      </c>
      <c r="AO90" s="73">
        <f>'Source VoT'!$D$32*VLOOKUP($B90,'Indirect tax correction'!$B$27:$I$127,7,FALSE)*VLOOKUP($B90,'Annual Parameters'!$B$33:$W$143,21,FALSE)/VLOOKUP('Source VoT'!$F$27,'Annual Parameters'!$B$33:$W$143,21,FALSE)*VLOOKUP($B$14,'Annual Parameters'!$B$33:$W$143,3,FALSE)/VLOOKUP('Source VoT'!$E$27,'Annual Parameters'!$B$33:$W$143,3,FALSE)</f>
        <v>30.12670323704522</v>
      </c>
      <c r="AP90" s="73">
        <f>'Source VoT'!$D$33*VLOOKUP($B90,'Indirect tax correction'!$B$27:$I$127,7,FALSE)*VLOOKUP($B90,'Annual Parameters'!$B$33:$W$143,21,FALSE)/VLOOKUP('Source VoT'!$F$27,'Annual Parameters'!$B$33:$W$143,21,FALSE)*VLOOKUP($B$14,'Annual Parameters'!$B$33:$W$143,3,FALSE)/VLOOKUP('Source VoT'!$E$27,'Annual Parameters'!$B$33:$W$143,3,FALSE)</f>
        <v>38.937111261382711</v>
      </c>
      <c r="AQ90" s="73">
        <f>'Source VoT'!$D$34*VLOOKUP($B90,'Indirect tax correction'!$B$27:$I$127,7,FALSE)*VLOOKUP($B90,'Annual Parameters'!$B$33:$W$143,21,FALSE)/VLOOKUP('Source VoT'!$F$27,'Annual Parameters'!$B$33:$W$143,21,FALSE)*VLOOKUP($B$14,'Annual Parameters'!$B$33:$W$143,3,FALSE)/VLOOKUP('Source VoT'!$E$27,'Annual Parameters'!$B$33:$W$143,3,FALSE)</f>
        <v>53.162976065296242</v>
      </c>
      <c r="AR90" s="73">
        <f>'Source VoT'!$D$35*VLOOKUP($B90,'Indirect tax correction'!$B$27:$I$127,7,FALSE)*VLOOKUP($B90,'Annual Parameters'!$B$33:$W$143,21,FALSE)/VLOOKUP('Source VoT'!$F$27,'Annual Parameters'!$B$33:$W$143,21,FALSE)*VLOOKUP($B$14,'Annual Parameters'!$B$33:$W$143,3,FALSE)/VLOOKUP('Source VoT'!$E$27,'Annual Parameters'!$B$33:$W$143,3,FALSE)</f>
        <v>87.692987503721724</v>
      </c>
      <c r="AS90" s="73">
        <f>'Source VoT'!$D$36*VLOOKUP($B90,'Indirect tax correction'!$B$27:$I$127,7,FALSE)*VLOOKUP($B90,'Annual Parameters'!$B$33:$W$143,21,FALSE)/VLOOKUP('Source VoT'!$F$27,'Annual Parameters'!$B$33:$W$143,21,FALSE)*VLOOKUP($B$14,'Annual Parameters'!$B$33:$W$143,3,FALSE)/VLOOKUP('Source VoT'!$E$27,'Annual Parameters'!$B$33:$W$143,3,FALSE)</f>
        <v>30.12670323704522</v>
      </c>
      <c r="AT90" s="73">
        <f>'Source VoT'!$D$37*VLOOKUP($B90,'Indirect tax correction'!$B$27:$I$127,7,FALSE)*VLOOKUP($B90,'Annual Parameters'!$B$33:$W$143,21,FALSE)/VLOOKUP('Source VoT'!$F$27,'Annual Parameters'!$B$33:$W$143,21,FALSE)*VLOOKUP($B$14,'Annual Parameters'!$B$33:$W$143,3,FALSE)/VLOOKUP('Source VoT'!$E$27,'Annual Parameters'!$B$33:$W$143,3,FALSE)</f>
        <v>30.12670323704522</v>
      </c>
      <c r="AU90" s="73">
        <f>'Source VoT'!$D$38*VLOOKUP($B90,'Indirect tax correction'!$B$27:$I$127,7,FALSE)*VLOOKUP($B90,'Annual Parameters'!$B$33:$W$143,21,FALSE)/VLOOKUP('Source VoT'!$F$27,'Annual Parameters'!$B$33:$W$143,21,FALSE)*VLOOKUP($B$14,'Annual Parameters'!$B$33:$W$143,3,FALSE)/VLOOKUP('Source VoT'!$E$27,'Annual Parameters'!$B$33:$W$143,3,FALSE)</f>
        <v>30.12670323704522</v>
      </c>
      <c r="AV90" s="73">
        <f>'Source VoT'!$D$39*VLOOKUP($B90,'Indirect tax correction'!$B$27:$I$127,7,FALSE)*VLOOKUP($B90,'Annual Parameters'!$B$33:$W$143,21,FALSE)/VLOOKUP('Source VoT'!$F$27,'Annual Parameters'!$B$33:$W$143,21,FALSE)*VLOOKUP($B$14,'Annual Parameters'!$B$33:$W$143,3,FALSE)/VLOOKUP('Source VoT'!$E$27,'Annual Parameters'!$B$33:$W$143,3,FALSE)</f>
        <v>53.162976065296242</v>
      </c>
      <c r="AW90" s="74">
        <f>'Source VoT'!$D$40*VLOOKUP($B90,'Indirect tax correction'!$B$27:$I$127,7,FALSE)*VLOOKUP($B90,'Annual Parameters'!$B$33:$W$143,21,FALSE)/VLOOKUP('Source VoT'!$F$27,'Annual Parameters'!$B$33:$W$143,21,FALSE)*VLOOKUP($B$14,'Annual Parameters'!$B$33:$W$143,3,FALSE)/VLOOKUP('Source VoT'!$E$27,'Annual Parameters'!$B$33:$W$143,3,FALSE)</f>
        <v>57.90661219248593</v>
      </c>
      <c r="AX90" s="73">
        <f>'Source VoT'!$D$45*VLOOKUP($B90,'Indirect tax correction'!$B$27:$I$127,8,FALSE)*VLOOKUP($B90,'Annual Parameters'!$B$33:$W$143,22,FALSE)/VLOOKUP('Source VoT'!$F$27,'Annual Parameters'!$B$33:$W$143,22,FALSE)*VLOOKUP($B$14,'Annual Parameters'!$B$33:$W$143,3,FALSE)/VLOOKUP('Source VoT'!$E$27,'Annual Parameters'!$B$33:$W$143,3,FALSE)</f>
        <v>29.913492425244939</v>
      </c>
      <c r="AY90" s="74">
        <f>'Source VoT'!$D$46*VLOOKUP($B90,'Indirect tax correction'!$B$27:$I$127,8,FALSE)*VLOOKUP($B90,'Annual Parameters'!$B$33:$W$143,22,FALSE)/VLOOKUP('Source VoT'!$F$27,'Annual Parameters'!$B$33:$W$143,22,FALSE)*VLOOKUP($B$14,'Annual Parameters'!$B$33:$W$143,3,FALSE)/VLOOKUP('Source VoT'!$E$27,'Annual Parameters'!$B$33:$W$143,3,FALSE)</f>
        <v>13.653415650422243</v>
      </c>
      <c r="AZ90" s="2875"/>
      <c r="BA90" s="2875"/>
      <c r="BB90" s="2875"/>
      <c r="BC90" s="2875"/>
      <c r="BD90" s="2875"/>
      <c r="BE90" s="2875"/>
      <c r="BF90" s="2875"/>
      <c r="BG90" s="2875"/>
    </row>
    <row r="91" spans="1:59" ht="13.5" customHeight="1">
      <c r="A91" s="90"/>
      <c r="B91" s="82">
        <f t="shared" si="0"/>
        <v>2074</v>
      </c>
      <c r="C91" s="82"/>
      <c r="D91" s="117">
        <f>'Source VoT'!$D$27*VLOOKUP($B91,'Indirect tax correction'!$B$27:$I$127,5,FALSE)*VLOOKUP($B91,'Annual Parameters'!$B$33:$W$143,21,FALSE)/VLOOKUP('Source VoT'!$F$27,'Annual Parameters'!$B$33:$W$143,21,FALSE)*VLOOKUP($B$14,'Annual Parameters'!$B$33:$W$143,3,FALSE)/VLOOKUP('Source VoT'!$E$27,'Annual Parameters'!$B$33:$W$143,3,FALSE)</f>
        <v>45.614250740017248</v>
      </c>
      <c r="E91" s="73">
        <f>'Source VoT'!$D$28*VLOOKUP($B91,'Indirect tax correction'!$B$27:$I$127,5,FALSE)*VLOOKUP($B91,'Annual Parameters'!$B$33:$W$143,21,FALSE)/VLOOKUP('Source VoT'!$F$27,'Annual Parameters'!$B$33:$W$143,21,FALSE)*VLOOKUP($B$14,'Annual Parameters'!$B$33:$W$143,3,FALSE)/VLOOKUP('Source VoT'!$E$27,'Annual Parameters'!$B$33:$W$143,3,FALSE)</f>
        <v>45.614250740017248</v>
      </c>
      <c r="F91" s="73">
        <f>'Source VoT'!$D$29*VLOOKUP($B91,'Indirect tax correction'!$B$27:$I$127,5,FALSE)*VLOOKUP($B91,'Annual Parameters'!$B$33:$W$143,21,FALSE)/VLOOKUP('Source VoT'!$F$27,'Annual Parameters'!$B$33:$W$143,21,FALSE)*VLOOKUP($B$14,'Annual Parameters'!$B$33:$W$143,3,FALSE)/VLOOKUP('Source VoT'!$E$27,'Annual Parameters'!$B$33:$W$143,3,FALSE)</f>
        <v>31.408935665603373</v>
      </c>
      <c r="G91" s="73">
        <f>'Source VoT'!$D$30*VLOOKUP($B91,'Indirect tax correction'!$B$27:$I$127,5,FALSE)*VLOOKUP($B91,'Annual Parameters'!$B$33:$W$143,21,FALSE)/VLOOKUP('Source VoT'!$F$27,'Annual Parameters'!$B$33:$W$143,21,FALSE)*VLOOKUP($B$14,'Annual Parameters'!$B$33:$W$143,3,FALSE)/VLOOKUP('Source VoT'!$E$27,'Annual Parameters'!$B$33:$W$143,3,FALSE)</f>
        <v>37.007287624518781</v>
      </c>
      <c r="H91" s="73">
        <f>'Source VoT'!$D$31*VLOOKUP($B91,'Indirect tax correction'!$B$27:$I$127,5,FALSE)*VLOOKUP($B91,'Annual Parameters'!$B$33:$W$143,21,FALSE)/VLOOKUP('Source VoT'!$F$27,'Annual Parameters'!$B$33:$W$143,21,FALSE)*VLOOKUP($B$14,'Annual Parameters'!$B$33:$W$143,3,FALSE)/VLOOKUP('Source VoT'!$E$27,'Annual Parameters'!$B$33:$W$143,3,FALSE)</f>
        <v>37.807052190078132</v>
      </c>
      <c r="I91" s="73">
        <f>'Source VoT'!$D$32*VLOOKUP($B91,'Indirect tax correction'!$B$27:$I$127,5,FALSE)*VLOOKUP($B91,'Annual Parameters'!$B$33:$W$143,21,FALSE)/VLOOKUP('Source VoT'!$F$27,'Annual Parameters'!$B$33:$W$143,21,FALSE)*VLOOKUP($B$14,'Annual Parameters'!$B$33:$W$143,3,FALSE)/VLOOKUP('Source VoT'!$E$27,'Annual Parameters'!$B$33:$W$143,3,FALSE)</f>
        <v>25.848947841761731</v>
      </c>
      <c r="J91" s="73">
        <f>'Source VoT'!$D$33*VLOOKUP($B91,'Indirect tax correction'!$B$27:$I$127,5,FALSE)*VLOOKUP($B91,'Annual Parameters'!$B$33:$W$143,21,FALSE)/VLOOKUP('Source VoT'!$F$27,'Annual Parameters'!$B$33:$W$143,21,FALSE)*VLOOKUP($B$14,'Annual Parameters'!$B$33:$W$143,3,FALSE)/VLOOKUP('Source VoT'!$E$27,'Annual Parameters'!$B$33:$W$143,3,FALSE)</f>
        <v>33.408347079501731</v>
      </c>
      <c r="K91" s="73">
        <f>'Source VoT'!$D$34*VLOOKUP($B91,'Indirect tax correction'!$B$27:$I$127,5,FALSE)*VLOOKUP($B91,'Annual Parameters'!$B$33:$W$143,21,FALSE)/VLOOKUP('Source VoT'!$F$27,'Annual Parameters'!$B$33:$W$143,21,FALSE)*VLOOKUP($B$14,'Annual Parameters'!$B$33:$W$143,3,FALSE)/VLOOKUP('Source VoT'!$E$27,'Annual Parameters'!$B$33:$W$143,3,FALSE)</f>
        <v>45.614250740017248</v>
      </c>
      <c r="L91" s="73">
        <f>'Source VoT'!$D$35*VLOOKUP($B91,'Indirect tax correction'!$B$27:$I$127,5,FALSE)*VLOOKUP($B91,'Annual Parameters'!$B$33:$W$143,21,FALSE)/VLOOKUP('Source VoT'!$F$27,'Annual Parameters'!$B$33:$W$143,21,FALSE)*VLOOKUP($B$14,'Annual Parameters'!$B$33:$W$143,3,FALSE)/VLOOKUP('Source VoT'!$E$27,'Annual Parameters'!$B$33:$W$143,3,FALSE)</f>
        <v>75.241271580112254</v>
      </c>
      <c r="M91" s="73">
        <f>'Source VoT'!$D$36*VLOOKUP($B91,'Indirect tax correction'!$B$27:$I$127,5,FALSE)*VLOOKUP($B91,'Annual Parameters'!$B$33:$W$143,21,FALSE)/VLOOKUP('Source VoT'!$F$27,'Annual Parameters'!$B$33:$W$143,21,FALSE)*VLOOKUP($B$14,'Annual Parameters'!$B$33:$W$143,3,FALSE)/VLOOKUP('Source VoT'!$E$27,'Annual Parameters'!$B$33:$W$143,3,FALSE)</f>
        <v>25.848947841761731</v>
      </c>
      <c r="N91" s="73">
        <f>'Source VoT'!$D$37*VLOOKUP($B91,'Indirect tax correction'!$B$27:$I$127,5,FALSE)*VLOOKUP($B91,'Annual Parameters'!$B$33:$W$143,21,FALSE)/VLOOKUP('Source VoT'!$F$27,'Annual Parameters'!$B$33:$W$143,21,FALSE)*VLOOKUP($B$14,'Annual Parameters'!$B$33:$W$143,3,FALSE)/VLOOKUP('Source VoT'!$E$27,'Annual Parameters'!$B$33:$W$143,3,FALSE)</f>
        <v>25.848947841761731</v>
      </c>
      <c r="O91" s="73">
        <f>'Source VoT'!$D$38*VLOOKUP($B91,'Indirect tax correction'!$B$27:$I$127,5,FALSE)*VLOOKUP($B91,'Annual Parameters'!$B$33:$W$143,21,FALSE)/VLOOKUP('Source VoT'!$F$27,'Annual Parameters'!$B$33:$W$143,21,FALSE)*VLOOKUP($B$14,'Annual Parameters'!$B$33:$W$143,3,FALSE)/VLOOKUP('Source VoT'!$E$27,'Annual Parameters'!$B$33:$W$143,3,FALSE)</f>
        <v>25.848947841761731</v>
      </c>
      <c r="P91" s="73">
        <f>'Source VoT'!$D$39*VLOOKUP($B91,'Indirect tax correction'!$B$27:$I$127,5,FALSE)*VLOOKUP($B91,'Annual Parameters'!$B$33:$W$143,21,FALSE)/VLOOKUP('Source VoT'!$F$27,'Annual Parameters'!$B$33:$W$143,21,FALSE)*VLOOKUP($B$14,'Annual Parameters'!$B$33:$W$143,3,FALSE)/VLOOKUP('Source VoT'!$E$27,'Annual Parameters'!$B$33:$W$143,3,FALSE)</f>
        <v>45.614250740017248</v>
      </c>
      <c r="Q91" s="74">
        <f>'Source VoT'!$D$40*VLOOKUP($B91,'Indirect tax correction'!$B$27:$I$127,5,FALSE)*VLOOKUP($B91,'Annual Parameters'!$B$33:$W$143,21,FALSE)/VLOOKUP('Source VoT'!$F$27,'Annual Parameters'!$B$33:$W$143,21,FALSE)*VLOOKUP($B$14,'Annual Parameters'!$B$33:$W$143,3,FALSE)/VLOOKUP('Source VoT'!$E$27,'Annual Parameters'!$B$33:$W$143,3,FALSE)</f>
        <v>49.68432776992757</v>
      </c>
      <c r="R91" s="73">
        <f>'Source VoT'!$D$45*VLOOKUP($B91,'Indirect tax correction'!$B$27:$I$127,6,FALSE)*VLOOKUP($B91,'Annual Parameters'!$B$33:$W$143,22,FALSE)/VLOOKUP('Source VoT'!$F$27,'Annual Parameters'!$B$33:$W$143,22,FALSE)*VLOOKUP($B$14,'Annual Parameters'!$B$33:$W$143,3,FALSE)/VLOOKUP('Source VoT'!$E$27,'Annual Parameters'!$B$33:$W$143,3,FALSE)</f>
        <v>25.666011291746255</v>
      </c>
      <c r="S91" s="73">
        <f>'Source VoT'!$D$46*VLOOKUP($B91,'Indirect tax correction'!$B$27:$I$127,6,FALSE)*VLOOKUP($B91,'Annual Parameters'!$B$33:$W$143,22,FALSE)/VLOOKUP('Source VoT'!$F$27,'Annual Parameters'!$B$33:$W$143,22,FALSE)*VLOOKUP($B$14,'Annual Parameters'!$B$33:$W$143,3,FALSE)/VLOOKUP('Source VoT'!$E$27,'Annual Parameters'!$B$33:$W$143,3,FALSE)</f>
        <v>11.714737793668803</v>
      </c>
      <c r="T91" s="117">
        <f>'Source VoT'!$D$27*1*VLOOKUP($B91,'Annual Parameters'!$B$33:$W$143,21,FALSE)/VLOOKUP('Source VoT'!$F$27,'Annual Parameters'!$B$33:$W$143,21,FALSE)*VLOOKUP($B$14,'Annual Parameters'!$B$33:$W$143,3,FALSE)/VLOOKUP('Source VoT'!$E$27,'Annual Parameters'!$B$33:$W$143,3,FALSE)</f>
        <v>45.614250740017248</v>
      </c>
      <c r="U91" s="73">
        <f>'Source VoT'!$D$28*1*VLOOKUP($B91,'Annual Parameters'!$B$33:$W$143,21,FALSE)/VLOOKUP('Source VoT'!$F$27,'Annual Parameters'!$B$33:$W$143,21,FALSE)*VLOOKUP($B$14,'Annual Parameters'!$B$33:$W$143,3,FALSE)/VLOOKUP('Source VoT'!$E$27,'Annual Parameters'!$B$33:$W$143,3,FALSE)</f>
        <v>45.614250740017248</v>
      </c>
      <c r="V91" s="73">
        <f>'Source VoT'!$D$29*1*VLOOKUP($B91,'Annual Parameters'!$B$33:$W$143,21,FALSE)/VLOOKUP('Source VoT'!$F$27,'Annual Parameters'!$B$33:$W$143,21,FALSE)*VLOOKUP($B$14,'Annual Parameters'!$B$33:$W$143,3,FALSE)/VLOOKUP('Source VoT'!$E$27,'Annual Parameters'!$B$33:$W$143,3,FALSE)</f>
        <v>31.408935665603373</v>
      </c>
      <c r="W91" s="73">
        <f>'Source VoT'!$D$30*1*VLOOKUP($B91,'Annual Parameters'!$B$33:$W$143,21,FALSE)/VLOOKUP('Source VoT'!$F$27,'Annual Parameters'!$B$33:$W$143,21,FALSE)*VLOOKUP($B$14,'Annual Parameters'!$B$33:$W$143,3,FALSE)/VLOOKUP('Source VoT'!$E$27,'Annual Parameters'!$B$33:$W$143,3,FALSE)</f>
        <v>37.007287624518781</v>
      </c>
      <c r="X91" s="73">
        <f>'Source VoT'!$D$31*1*VLOOKUP($B91,'Annual Parameters'!$B$33:$W$143,21,FALSE)/VLOOKUP('Source VoT'!$F$27,'Annual Parameters'!$B$33:$W$143,21,FALSE)*VLOOKUP($B$14,'Annual Parameters'!$B$33:$W$143,3,FALSE)/VLOOKUP('Source VoT'!$E$27,'Annual Parameters'!$B$33:$W$143,3,FALSE)</f>
        <v>37.807052190078132</v>
      </c>
      <c r="Y91" s="73">
        <f>'Source VoT'!$D$32*1*VLOOKUP($B91,'Annual Parameters'!$B$33:$W$143,21,FALSE)/VLOOKUP('Source VoT'!$F$27,'Annual Parameters'!$B$33:$W$143,21,FALSE)*VLOOKUP($B$14,'Annual Parameters'!$B$33:$W$143,3,FALSE)/VLOOKUP('Source VoT'!$E$27,'Annual Parameters'!$B$33:$W$143,3,FALSE)</f>
        <v>25.848947841761731</v>
      </c>
      <c r="Z91" s="73">
        <f>'Source VoT'!$D$33*1*VLOOKUP($B91,'Annual Parameters'!$B$33:$W$143,21,FALSE)/VLOOKUP('Source VoT'!$F$27,'Annual Parameters'!$B$33:$W$143,21,FALSE)*VLOOKUP($B$14,'Annual Parameters'!$B$33:$W$143,3,FALSE)/VLOOKUP('Source VoT'!$E$27,'Annual Parameters'!$B$33:$W$143,3,FALSE)</f>
        <v>33.408347079501731</v>
      </c>
      <c r="AA91" s="73">
        <f>'Source VoT'!$D$34*1*VLOOKUP($B91,'Annual Parameters'!$B$33:$W$143,21,FALSE)/VLOOKUP('Source VoT'!$F$27,'Annual Parameters'!$B$33:$W$143,21,FALSE)*VLOOKUP($B$14,'Annual Parameters'!$B$33:$W$143,3,FALSE)/VLOOKUP('Source VoT'!$E$27,'Annual Parameters'!$B$33:$W$143,3,FALSE)</f>
        <v>45.614250740017248</v>
      </c>
      <c r="AB91" s="73">
        <f>'Source VoT'!$D$35*1*VLOOKUP($B91,'Annual Parameters'!$B$33:$W$143,21,FALSE)/VLOOKUP('Source VoT'!$F$27,'Annual Parameters'!$B$33:$W$143,21,FALSE)*VLOOKUP($B$14,'Annual Parameters'!$B$33:$W$143,3,FALSE)/VLOOKUP('Source VoT'!$E$27,'Annual Parameters'!$B$33:$W$143,3,FALSE)</f>
        <v>75.241271580112254</v>
      </c>
      <c r="AC91" s="73">
        <f>'Source VoT'!$D$36*1*VLOOKUP($B91,'Annual Parameters'!$B$33:$W$143,21,FALSE)/VLOOKUP('Source VoT'!$F$27,'Annual Parameters'!$B$33:$W$143,21,FALSE)*VLOOKUP($B$14,'Annual Parameters'!$B$33:$W$143,3,FALSE)/VLOOKUP('Source VoT'!$E$27,'Annual Parameters'!$B$33:$W$143,3,FALSE)</f>
        <v>25.848947841761731</v>
      </c>
      <c r="AD91" s="73">
        <f>'Source VoT'!$D$37*1*VLOOKUP($B91,'Annual Parameters'!$B$33:$W$143,21,FALSE)/VLOOKUP('Source VoT'!$F$27,'Annual Parameters'!$B$33:$W$143,21,FALSE)*VLOOKUP($B$14,'Annual Parameters'!$B$33:$W$143,3,FALSE)/VLOOKUP('Source VoT'!$E$27,'Annual Parameters'!$B$33:$W$143,3,FALSE)</f>
        <v>25.848947841761731</v>
      </c>
      <c r="AE91" s="73">
        <f>'Source VoT'!$D$38*1*VLOOKUP($B91,'Annual Parameters'!$B$33:$W$143,21,FALSE)/VLOOKUP('Source VoT'!$F$27,'Annual Parameters'!$B$33:$W$143,21,FALSE)*VLOOKUP($B$14,'Annual Parameters'!$B$33:$W$143,3,FALSE)/VLOOKUP('Source VoT'!$E$27,'Annual Parameters'!$B$33:$W$143,3,FALSE)</f>
        <v>25.848947841761731</v>
      </c>
      <c r="AF91" s="73">
        <f>'Source VoT'!$D$39*1*VLOOKUP($B91,'Annual Parameters'!$B$33:$W$143,21,FALSE)/VLOOKUP('Source VoT'!$F$27,'Annual Parameters'!$B$33:$W$143,21,FALSE)*VLOOKUP($B$14,'Annual Parameters'!$B$33:$W$143,3,FALSE)/VLOOKUP('Source VoT'!$E$27,'Annual Parameters'!$B$33:$W$143,3,FALSE)</f>
        <v>45.614250740017248</v>
      </c>
      <c r="AG91" s="74">
        <f>'Source VoT'!$D$40*1*VLOOKUP($B91,'Annual Parameters'!$B$33:$W$143,21,FALSE)/VLOOKUP('Source VoT'!$F$27,'Annual Parameters'!$B$33:$W$143,21,FALSE)*VLOOKUP($B$14,'Annual Parameters'!$B$33:$W$143,3,FALSE)/VLOOKUP('Source VoT'!$E$27,'Annual Parameters'!$B$33:$W$143,3,FALSE)</f>
        <v>49.68432776992757</v>
      </c>
      <c r="AH91" s="73">
        <f>'Source VoT'!$D$45*1*VLOOKUP($B91,'Annual Parameters'!$B$33:$W$143,22,FALSE)/VLOOKUP('Source VoT'!$F$27,'Annual Parameters'!$B$33:$W$143,22,FALSE)*VLOOKUP($B$14,'Annual Parameters'!$B$33:$W$143,3,FALSE)/VLOOKUP('Source VoT'!$E$27,'Annual Parameters'!$B$33:$W$143,3,FALSE)</f>
        <v>30.54255343717805</v>
      </c>
      <c r="AI91" s="73">
        <f>'Source VoT'!$D$46*1*VLOOKUP($B91,'Annual Parameters'!$B$33:$W$143,22,FALSE)/VLOOKUP('Source VoT'!$F$27,'Annual Parameters'!$B$33:$W$143,22,FALSE)*VLOOKUP($B$14,'Annual Parameters'!$B$33:$W$143,3,FALSE)/VLOOKUP('Source VoT'!$E$27,'Annual Parameters'!$B$33:$W$143,3,FALSE)</f>
        <v>13.940537974465878</v>
      </c>
      <c r="AJ91" s="117">
        <f>'Source VoT'!$D$27*VLOOKUP($B91,'Indirect tax correction'!$B$27:$I$127,7,FALSE)*VLOOKUP($B91,'Annual Parameters'!$B$33:$W$143,21,FALSE)/VLOOKUP('Source VoT'!$F$27,'Annual Parameters'!$B$33:$W$143,21,FALSE)*VLOOKUP($B$14,'Annual Parameters'!$B$33:$W$143,3,FALSE)/VLOOKUP('Source VoT'!$E$27,'Annual Parameters'!$B$33:$W$143,3,FALSE)</f>
        <v>54.280958380620525</v>
      </c>
      <c r="AK91" s="73">
        <f>'Source VoT'!$D$28*VLOOKUP($B91,'Indirect tax correction'!$B$27:$I$127,7,FALSE)*VLOOKUP($B91,'Annual Parameters'!$B$33:$W$143,21,FALSE)/VLOOKUP('Source VoT'!$F$27,'Annual Parameters'!$B$33:$W$143,21,FALSE)*VLOOKUP($B$14,'Annual Parameters'!$B$33:$W$143,3,FALSE)/VLOOKUP('Source VoT'!$E$27,'Annual Parameters'!$B$33:$W$143,3,FALSE)</f>
        <v>54.280958380620525</v>
      </c>
      <c r="AL91" s="73">
        <f>'Source VoT'!$D$29*VLOOKUP($B91,'Indirect tax correction'!$B$27:$I$127,7,FALSE)*VLOOKUP($B91,'Annual Parameters'!$B$33:$W$143,21,FALSE)/VLOOKUP('Source VoT'!$F$27,'Annual Parameters'!$B$33:$W$143,21,FALSE)*VLOOKUP($B$14,'Annual Parameters'!$B$33:$W$143,3,FALSE)/VLOOKUP('Source VoT'!$E$27,'Annual Parameters'!$B$33:$W$143,3,FALSE)</f>
        <v>37.376633442068012</v>
      </c>
      <c r="AM91" s="73">
        <f>'Source VoT'!$D$30*VLOOKUP($B91,'Indirect tax correction'!$B$27:$I$127,7,FALSE)*VLOOKUP($B91,'Annual Parameters'!$B$33:$W$143,21,FALSE)/VLOOKUP('Source VoT'!$F$27,'Annual Parameters'!$B$33:$W$143,21,FALSE)*VLOOKUP($B$14,'Annual Parameters'!$B$33:$W$143,3,FALSE)/VLOOKUP('Source VoT'!$E$27,'Annual Parameters'!$B$33:$W$143,3,FALSE)</f>
        <v>44.038672273177347</v>
      </c>
      <c r="AN91" s="73">
        <f>'Source VoT'!$D$31*VLOOKUP($B91,'Indirect tax correction'!$B$27:$I$127,7,FALSE)*VLOOKUP($B91,'Annual Parameters'!$B$33:$W$143,21,FALSE)/VLOOKUP('Source VoT'!$F$27,'Annual Parameters'!$B$33:$W$143,21,FALSE)*VLOOKUP($B$14,'Annual Parameters'!$B$33:$W$143,3,FALSE)/VLOOKUP('Source VoT'!$E$27,'Annual Parameters'!$B$33:$W$143,3,FALSE)</f>
        <v>44.990392106192978</v>
      </c>
      <c r="AO91" s="73">
        <f>'Source VoT'!$D$32*VLOOKUP($B91,'Indirect tax correction'!$B$27:$I$127,7,FALSE)*VLOOKUP($B91,'Annual Parameters'!$B$33:$W$143,21,FALSE)/VLOOKUP('Source VoT'!$F$27,'Annual Parameters'!$B$33:$W$143,21,FALSE)*VLOOKUP($B$14,'Annual Parameters'!$B$33:$W$143,3,FALSE)/VLOOKUP('Source VoT'!$E$27,'Annual Parameters'!$B$33:$W$143,3,FALSE)</f>
        <v>30.760247931696469</v>
      </c>
      <c r="AP91" s="73">
        <f>'Source VoT'!$D$33*VLOOKUP($B91,'Indirect tax correction'!$B$27:$I$127,7,FALSE)*VLOOKUP($B91,'Annual Parameters'!$B$33:$W$143,21,FALSE)/VLOOKUP('Source VoT'!$F$27,'Annual Parameters'!$B$33:$W$143,21,FALSE)*VLOOKUP($B$14,'Annual Parameters'!$B$33:$W$143,3,FALSE)/VLOOKUP('Source VoT'!$E$27,'Annual Parameters'!$B$33:$W$143,3,FALSE)</f>
        <v>39.75593302460706</v>
      </c>
      <c r="AQ91" s="73">
        <f>'Source VoT'!$D$34*VLOOKUP($B91,'Indirect tax correction'!$B$27:$I$127,7,FALSE)*VLOOKUP($B91,'Annual Parameters'!$B$33:$W$143,21,FALSE)/VLOOKUP('Source VoT'!$F$27,'Annual Parameters'!$B$33:$W$143,21,FALSE)*VLOOKUP($B$14,'Annual Parameters'!$B$33:$W$143,3,FALSE)/VLOOKUP('Source VoT'!$E$27,'Annual Parameters'!$B$33:$W$143,3,FALSE)</f>
        <v>54.280958380620525</v>
      </c>
      <c r="AR91" s="73">
        <f>'Source VoT'!$D$35*VLOOKUP($B91,'Indirect tax correction'!$B$27:$I$127,7,FALSE)*VLOOKUP($B91,'Annual Parameters'!$B$33:$W$143,21,FALSE)/VLOOKUP('Source VoT'!$F$27,'Annual Parameters'!$B$33:$W$143,21,FALSE)*VLOOKUP($B$14,'Annual Parameters'!$B$33:$W$143,3,FALSE)/VLOOKUP('Source VoT'!$E$27,'Annual Parameters'!$B$33:$W$143,3,FALSE)</f>
        <v>89.537113180333577</v>
      </c>
      <c r="AS91" s="73">
        <f>'Source VoT'!$D$36*VLOOKUP($B91,'Indirect tax correction'!$B$27:$I$127,7,FALSE)*VLOOKUP($B91,'Annual Parameters'!$B$33:$W$143,21,FALSE)/VLOOKUP('Source VoT'!$F$27,'Annual Parameters'!$B$33:$W$143,21,FALSE)*VLOOKUP($B$14,'Annual Parameters'!$B$33:$W$143,3,FALSE)/VLOOKUP('Source VoT'!$E$27,'Annual Parameters'!$B$33:$W$143,3,FALSE)</f>
        <v>30.760247931696469</v>
      </c>
      <c r="AT91" s="73">
        <f>'Source VoT'!$D$37*VLOOKUP($B91,'Indirect tax correction'!$B$27:$I$127,7,FALSE)*VLOOKUP($B91,'Annual Parameters'!$B$33:$W$143,21,FALSE)/VLOOKUP('Source VoT'!$F$27,'Annual Parameters'!$B$33:$W$143,21,FALSE)*VLOOKUP($B$14,'Annual Parameters'!$B$33:$W$143,3,FALSE)/VLOOKUP('Source VoT'!$E$27,'Annual Parameters'!$B$33:$W$143,3,FALSE)</f>
        <v>30.760247931696469</v>
      </c>
      <c r="AU91" s="73">
        <f>'Source VoT'!$D$38*VLOOKUP($B91,'Indirect tax correction'!$B$27:$I$127,7,FALSE)*VLOOKUP($B91,'Annual Parameters'!$B$33:$W$143,21,FALSE)/VLOOKUP('Source VoT'!$F$27,'Annual Parameters'!$B$33:$W$143,21,FALSE)*VLOOKUP($B$14,'Annual Parameters'!$B$33:$W$143,3,FALSE)/VLOOKUP('Source VoT'!$E$27,'Annual Parameters'!$B$33:$W$143,3,FALSE)</f>
        <v>30.760247931696469</v>
      </c>
      <c r="AV91" s="73">
        <f>'Source VoT'!$D$39*VLOOKUP($B91,'Indirect tax correction'!$B$27:$I$127,7,FALSE)*VLOOKUP($B91,'Annual Parameters'!$B$33:$W$143,21,FALSE)/VLOOKUP('Source VoT'!$F$27,'Annual Parameters'!$B$33:$W$143,21,FALSE)*VLOOKUP($B$14,'Annual Parameters'!$B$33:$W$143,3,FALSE)/VLOOKUP('Source VoT'!$E$27,'Annual Parameters'!$B$33:$W$143,3,FALSE)</f>
        <v>54.280958380620525</v>
      </c>
      <c r="AW91" s="74">
        <f>'Source VoT'!$D$40*VLOOKUP($B91,'Indirect tax correction'!$B$27:$I$127,7,FALSE)*VLOOKUP($B91,'Annual Parameters'!$B$33:$W$143,21,FALSE)/VLOOKUP('Source VoT'!$F$27,'Annual Parameters'!$B$33:$W$143,21,FALSE)*VLOOKUP($B$14,'Annual Parameters'!$B$33:$W$143,3,FALSE)/VLOOKUP('Source VoT'!$E$27,'Annual Parameters'!$B$33:$W$143,3,FALSE)</f>
        <v>59.124350046213806</v>
      </c>
      <c r="AX91" s="73">
        <f>'Source VoT'!$D$45*VLOOKUP($B91,'Indirect tax correction'!$B$27:$I$127,8,FALSE)*VLOOKUP($B91,'Annual Parameters'!$B$33:$W$143,22,FALSE)/VLOOKUP('Source VoT'!$F$27,'Annual Parameters'!$B$33:$W$143,22,FALSE)*VLOOKUP($B$14,'Annual Parameters'!$B$33:$W$143,3,FALSE)/VLOOKUP('Source VoT'!$E$27,'Annual Parameters'!$B$33:$W$143,3,FALSE)</f>
        <v>30.54255343717805</v>
      </c>
      <c r="AY91" s="74">
        <f>'Source VoT'!$D$46*VLOOKUP($B91,'Indirect tax correction'!$B$27:$I$127,8,FALSE)*VLOOKUP($B91,'Annual Parameters'!$B$33:$W$143,22,FALSE)/VLOOKUP('Source VoT'!$F$27,'Annual Parameters'!$B$33:$W$143,22,FALSE)*VLOOKUP($B$14,'Annual Parameters'!$B$33:$W$143,3,FALSE)/VLOOKUP('Source VoT'!$E$27,'Annual Parameters'!$B$33:$W$143,3,FALSE)</f>
        <v>13.940537974465878</v>
      </c>
      <c r="AZ91" s="2875"/>
      <c r="BA91" s="2875"/>
      <c r="BB91" s="2875"/>
      <c r="BC91" s="2875"/>
      <c r="BD91" s="2875"/>
      <c r="BE91" s="2875"/>
      <c r="BF91" s="2875"/>
      <c r="BG91" s="2875"/>
    </row>
    <row r="92" spans="1:59" ht="13.5" customHeight="1">
      <c r="A92" s="90"/>
      <c r="B92" s="82">
        <f t="shared" si="0"/>
        <v>2075</v>
      </c>
      <c r="C92" s="82"/>
      <c r="D92" s="117">
        <f>'Source VoT'!$D$27*VLOOKUP($B92,'Indirect tax correction'!$B$27:$I$127,5,FALSE)*VLOOKUP($B92,'Annual Parameters'!$B$33:$W$143,21,FALSE)/VLOOKUP('Source VoT'!$F$27,'Annual Parameters'!$B$33:$W$143,21,FALSE)*VLOOKUP($B$14,'Annual Parameters'!$B$33:$W$143,3,FALSE)/VLOOKUP('Source VoT'!$E$27,'Annual Parameters'!$B$33:$W$143,3,FALSE)</f>
        <v>46.572878847891801</v>
      </c>
      <c r="E92" s="73">
        <f>'Source VoT'!$D$28*VLOOKUP($B92,'Indirect tax correction'!$B$27:$I$127,5,FALSE)*VLOOKUP($B92,'Annual Parameters'!$B$33:$W$143,21,FALSE)/VLOOKUP('Source VoT'!$F$27,'Annual Parameters'!$B$33:$W$143,21,FALSE)*VLOOKUP($B$14,'Annual Parameters'!$B$33:$W$143,3,FALSE)/VLOOKUP('Source VoT'!$E$27,'Annual Parameters'!$B$33:$W$143,3,FALSE)</f>
        <v>46.572878847891801</v>
      </c>
      <c r="F92" s="73">
        <f>'Source VoT'!$D$29*VLOOKUP($B92,'Indirect tax correction'!$B$27:$I$127,5,FALSE)*VLOOKUP($B92,'Annual Parameters'!$B$33:$W$143,21,FALSE)/VLOOKUP('Source VoT'!$F$27,'Annual Parameters'!$B$33:$W$143,21,FALSE)*VLOOKUP($B$14,'Annual Parameters'!$B$33:$W$143,3,FALSE)/VLOOKUP('Source VoT'!$E$27,'Annual Parameters'!$B$33:$W$143,3,FALSE)</f>
        <v>32.069025178836483</v>
      </c>
      <c r="G92" s="73">
        <f>'Source VoT'!$D$30*VLOOKUP($B92,'Indirect tax correction'!$B$27:$I$127,5,FALSE)*VLOOKUP($B92,'Annual Parameters'!$B$33:$W$143,21,FALSE)/VLOOKUP('Source VoT'!$F$27,'Annual Parameters'!$B$33:$W$143,21,FALSE)*VLOOKUP($B$14,'Annual Parameters'!$B$33:$W$143,3,FALSE)/VLOOKUP('Source VoT'!$E$27,'Annual Parameters'!$B$33:$W$143,3,FALSE)</f>
        <v>37.785031981545764</v>
      </c>
      <c r="H92" s="73">
        <f>'Source VoT'!$D$31*VLOOKUP($B92,'Indirect tax correction'!$B$27:$I$127,5,FALSE)*VLOOKUP($B92,'Annual Parameters'!$B$33:$W$143,21,FALSE)/VLOOKUP('Source VoT'!$F$27,'Annual Parameters'!$B$33:$W$143,21,FALSE)*VLOOKUP($B$14,'Annual Parameters'!$B$33:$W$143,3,FALSE)/VLOOKUP('Source VoT'!$E$27,'Annual Parameters'!$B$33:$W$143,3,FALSE)</f>
        <v>38.601604381932802</v>
      </c>
      <c r="I92" s="73">
        <f>'Source VoT'!$D$32*VLOOKUP($B92,'Indirect tax correction'!$B$27:$I$127,5,FALSE)*VLOOKUP($B92,'Annual Parameters'!$B$33:$W$143,21,FALSE)/VLOOKUP('Source VoT'!$F$27,'Annual Parameters'!$B$33:$W$143,21,FALSE)*VLOOKUP($B$14,'Annual Parameters'!$B$33:$W$143,3,FALSE)/VLOOKUP('Source VoT'!$E$27,'Annual Parameters'!$B$33:$W$143,3,FALSE)</f>
        <v>26.392188771034679</v>
      </c>
      <c r="J92" s="73">
        <f>'Source VoT'!$D$33*VLOOKUP($B92,'Indirect tax correction'!$B$27:$I$127,5,FALSE)*VLOOKUP($B92,'Annual Parameters'!$B$33:$W$143,21,FALSE)/VLOOKUP('Source VoT'!$F$27,'Annual Parameters'!$B$33:$W$143,21,FALSE)*VLOOKUP($B$14,'Annual Parameters'!$B$33:$W$143,3,FALSE)/VLOOKUP('Source VoT'!$E$27,'Annual Parameters'!$B$33:$W$143,3,FALSE)</f>
        <v>34.110456179804075</v>
      </c>
      <c r="K92" s="73">
        <f>'Source VoT'!$D$34*VLOOKUP($B92,'Indirect tax correction'!$B$27:$I$127,5,FALSE)*VLOOKUP($B92,'Annual Parameters'!$B$33:$W$143,21,FALSE)/VLOOKUP('Source VoT'!$F$27,'Annual Parameters'!$B$33:$W$143,21,FALSE)*VLOOKUP($B$14,'Annual Parameters'!$B$33:$W$143,3,FALSE)/VLOOKUP('Source VoT'!$E$27,'Annual Parameters'!$B$33:$W$143,3,FALSE)</f>
        <v>46.572878847891801</v>
      </c>
      <c r="L92" s="73">
        <f>'Source VoT'!$D$35*VLOOKUP($B92,'Indirect tax correction'!$B$27:$I$127,5,FALSE)*VLOOKUP($B92,'Annual Parameters'!$B$33:$W$143,21,FALSE)/VLOOKUP('Source VoT'!$F$27,'Annual Parameters'!$B$33:$W$143,21,FALSE)*VLOOKUP($B$14,'Annual Parameters'!$B$33:$W$143,3,FALSE)/VLOOKUP('Source VoT'!$E$27,'Annual Parameters'!$B$33:$W$143,3,FALSE)</f>
        <v>76.822540517752401</v>
      </c>
      <c r="M92" s="73">
        <f>'Source VoT'!$D$36*VLOOKUP($B92,'Indirect tax correction'!$B$27:$I$127,5,FALSE)*VLOOKUP($B92,'Annual Parameters'!$B$33:$W$143,21,FALSE)/VLOOKUP('Source VoT'!$F$27,'Annual Parameters'!$B$33:$W$143,21,FALSE)*VLOOKUP($B$14,'Annual Parameters'!$B$33:$W$143,3,FALSE)/VLOOKUP('Source VoT'!$E$27,'Annual Parameters'!$B$33:$W$143,3,FALSE)</f>
        <v>26.392188771034679</v>
      </c>
      <c r="N92" s="73">
        <f>'Source VoT'!$D$37*VLOOKUP($B92,'Indirect tax correction'!$B$27:$I$127,5,FALSE)*VLOOKUP($B92,'Annual Parameters'!$B$33:$W$143,21,FALSE)/VLOOKUP('Source VoT'!$F$27,'Annual Parameters'!$B$33:$W$143,21,FALSE)*VLOOKUP($B$14,'Annual Parameters'!$B$33:$W$143,3,FALSE)/VLOOKUP('Source VoT'!$E$27,'Annual Parameters'!$B$33:$W$143,3,FALSE)</f>
        <v>26.392188771034679</v>
      </c>
      <c r="O92" s="73">
        <f>'Source VoT'!$D$38*VLOOKUP($B92,'Indirect tax correction'!$B$27:$I$127,5,FALSE)*VLOOKUP($B92,'Annual Parameters'!$B$33:$W$143,21,FALSE)/VLOOKUP('Source VoT'!$F$27,'Annual Parameters'!$B$33:$W$143,21,FALSE)*VLOOKUP($B$14,'Annual Parameters'!$B$33:$W$143,3,FALSE)/VLOOKUP('Source VoT'!$E$27,'Annual Parameters'!$B$33:$W$143,3,FALSE)</f>
        <v>26.392188771034679</v>
      </c>
      <c r="P92" s="73">
        <f>'Source VoT'!$D$39*VLOOKUP($B92,'Indirect tax correction'!$B$27:$I$127,5,FALSE)*VLOOKUP($B92,'Annual Parameters'!$B$33:$W$143,21,FALSE)/VLOOKUP('Source VoT'!$F$27,'Annual Parameters'!$B$33:$W$143,21,FALSE)*VLOOKUP($B$14,'Annual Parameters'!$B$33:$W$143,3,FALSE)/VLOOKUP('Source VoT'!$E$27,'Annual Parameters'!$B$33:$W$143,3,FALSE)</f>
        <v>46.572878847891801</v>
      </c>
      <c r="Q92" s="74">
        <f>'Source VoT'!$D$40*VLOOKUP($B92,'Indirect tax correction'!$B$27:$I$127,5,FALSE)*VLOOKUP($B92,'Annual Parameters'!$B$33:$W$143,21,FALSE)/VLOOKUP('Source VoT'!$F$27,'Annual Parameters'!$B$33:$W$143,21,FALSE)*VLOOKUP($B$14,'Annual Parameters'!$B$33:$W$143,3,FALSE)/VLOOKUP('Source VoT'!$E$27,'Annual Parameters'!$B$33:$W$143,3,FALSE)</f>
        <v>50.728492528712486</v>
      </c>
      <c r="R92" s="73">
        <f>'Source VoT'!$D$45*VLOOKUP($B92,'Indirect tax correction'!$B$27:$I$127,6,FALSE)*VLOOKUP($B92,'Annual Parameters'!$B$33:$W$143,22,FALSE)/VLOOKUP('Source VoT'!$F$27,'Annual Parameters'!$B$33:$W$143,22,FALSE)*VLOOKUP($B$14,'Annual Parameters'!$B$33:$W$143,3,FALSE)/VLOOKUP('Source VoT'!$E$27,'Annual Parameters'!$B$33:$W$143,3,FALSE)</f>
        <v>26.205407630437147</v>
      </c>
      <c r="S92" s="73">
        <f>'Source VoT'!$D$46*VLOOKUP($B92,'Indirect tax correction'!$B$27:$I$127,6,FALSE)*VLOOKUP($B92,'Annual Parameters'!$B$33:$W$143,22,FALSE)/VLOOKUP('Source VoT'!$F$27,'Annual Parameters'!$B$33:$W$143,22,FALSE)*VLOOKUP($B$14,'Annual Parameters'!$B$33:$W$143,3,FALSE)/VLOOKUP('Source VoT'!$E$27,'Annual Parameters'!$B$33:$W$143,3,FALSE)</f>
        <v>11.96093446999696</v>
      </c>
      <c r="T92" s="117">
        <f>'Source VoT'!$D$27*1*VLOOKUP($B92,'Annual Parameters'!$B$33:$W$143,21,FALSE)/VLOOKUP('Source VoT'!$F$27,'Annual Parameters'!$B$33:$W$143,21,FALSE)*VLOOKUP($B$14,'Annual Parameters'!$B$33:$W$143,3,FALSE)/VLOOKUP('Source VoT'!$E$27,'Annual Parameters'!$B$33:$W$143,3,FALSE)</f>
        <v>46.572878847891801</v>
      </c>
      <c r="U92" s="73">
        <f>'Source VoT'!$D$28*1*VLOOKUP($B92,'Annual Parameters'!$B$33:$W$143,21,FALSE)/VLOOKUP('Source VoT'!$F$27,'Annual Parameters'!$B$33:$W$143,21,FALSE)*VLOOKUP($B$14,'Annual Parameters'!$B$33:$W$143,3,FALSE)/VLOOKUP('Source VoT'!$E$27,'Annual Parameters'!$B$33:$W$143,3,FALSE)</f>
        <v>46.572878847891801</v>
      </c>
      <c r="V92" s="73">
        <f>'Source VoT'!$D$29*1*VLOOKUP($B92,'Annual Parameters'!$B$33:$W$143,21,FALSE)/VLOOKUP('Source VoT'!$F$27,'Annual Parameters'!$B$33:$W$143,21,FALSE)*VLOOKUP($B$14,'Annual Parameters'!$B$33:$W$143,3,FALSE)/VLOOKUP('Source VoT'!$E$27,'Annual Parameters'!$B$33:$W$143,3,FALSE)</f>
        <v>32.069025178836483</v>
      </c>
      <c r="W92" s="73">
        <f>'Source VoT'!$D$30*1*VLOOKUP($B92,'Annual Parameters'!$B$33:$W$143,21,FALSE)/VLOOKUP('Source VoT'!$F$27,'Annual Parameters'!$B$33:$W$143,21,FALSE)*VLOOKUP($B$14,'Annual Parameters'!$B$33:$W$143,3,FALSE)/VLOOKUP('Source VoT'!$E$27,'Annual Parameters'!$B$33:$W$143,3,FALSE)</f>
        <v>37.785031981545764</v>
      </c>
      <c r="X92" s="73">
        <f>'Source VoT'!$D$31*1*VLOOKUP($B92,'Annual Parameters'!$B$33:$W$143,21,FALSE)/VLOOKUP('Source VoT'!$F$27,'Annual Parameters'!$B$33:$W$143,21,FALSE)*VLOOKUP($B$14,'Annual Parameters'!$B$33:$W$143,3,FALSE)/VLOOKUP('Source VoT'!$E$27,'Annual Parameters'!$B$33:$W$143,3,FALSE)</f>
        <v>38.601604381932802</v>
      </c>
      <c r="Y92" s="73">
        <f>'Source VoT'!$D$32*1*VLOOKUP($B92,'Annual Parameters'!$B$33:$W$143,21,FALSE)/VLOOKUP('Source VoT'!$F$27,'Annual Parameters'!$B$33:$W$143,21,FALSE)*VLOOKUP($B$14,'Annual Parameters'!$B$33:$W$143,3,FALSE)/VLOOKUP('Source VoT'!$E$27,'Annual Parameters'!$B$33:$W$143,3,FALSE)</f>
        <v>26.392188771034679</v>
      </c>
      <c r="Z92" s="73">
        <f>'Source VoT'!$D$33*1*VLOOKUP($B92,'Annual Parameters'!$B$33:$W$143,21,FALSE)/VLOOKUP('Source VoT'!$F$27,'Annual Parameters'!$B$33:$W$143,21,FALSE)*VLOOKUP($B$14,'Annual Parameters'!$B$33:$W$143,3,FALSE)/VLOOKUP('Source VoT'!$E$27,'Annual Parameters'!$B$33:$W$143,3,FALSE)</f>
        <v>34.110456179804075</v>
      </c>
      <c r="AA92" s="73">
        <f>'Source VoT'!$D$34*1*VLOOKUP($B92,'Annual Parameters'!$B$33:$W$143,21,FALSE)/VLOOKUP('Source VoT'!$F$27,'Annual Parameters'!$B$33:$W$143,21,FALSE)*VLOOKUP($B$14,'Annual Parameters'!$B$33:$W$143,3,FALSE)/VLOOKUP('Source VoT'!$E$27,'Annual Parameters'!$B$33:$W$143,3,FALSE)</f>
        <v>46.572878847891801</v>
      </c>
      <c r="AB92" s="73">
        <f>'Source VoT'!$D$35*1*VLOOKUP($B92,'Annual Parameters'!$B$33:$W$143,21,FALSE)/VLOOKUP('Source VoT'!$F$27,'Annual Parameters'!$B$33:$W$143,21,FALSE)*VLOOKUP($B$14,'Annual Parameters'!$B$33:$W$143,3,FALSE)/VLOOKUP('Source VoT'!$E$27,'Annual Parameters'!$B$33:$W$143,3,FALSE)</f>
        <v>76.822540517752401</v>
      </c>
      <c r="AC92" s="73">
        <f>'Source VoT'!$D$36*1*VLOOKUP($B92,'Annual Parameters'!$B$33:$W$143,21,FALSE)/VLOOKUP('Source VoT'!$F$27,'Annual Parameters'!$B$33:$W$143,21,FALSE)*VLOOKUP($B$14,'Annual Parameters'!$B$33:$W$143,3,FALSE)/VLOOKUP('Source VoT'!$E$27,'Annual Parameters'!$B$33:$W$143,3,FALSE)</f>
        <v>26.392188771034679</v>
      </c>
      <c r="AD92" s="73">
        <f>'Source VoT'!$D$37*1*VLOOKUP($B92,'Annual Parameters'!$B$33:$W$143,21,FALSE)/VLOOKUP('Source VoT'!$F$27,'Annual Parameters'!$B$33:$W$143,21,FALSE)*VLOOKUP($B$14,'Annual Parameters'!$B$33:$W$143,3,FALSE)/VLOOKUP('Source VoT'!$E$27,'Annual Parameters'!$B$33:$W$143,3,FALSE)</f>
        <v>26.392188771034679</v>
      </c>
      <c r="AE92" s="73">
        <f>'Source VoT'!$D$38*1*VLOOKUP($B92,'Annual Parameters'!$B$33:$W$143,21,FALSE)/VLOOKUP('Source VoT'!$F$27,'Annual Parameters'!$B$33:$W$143,21,FALSE)*VLOOKUP($B$14,'Annual Parameters'!$B$33:$W$143,3,FALSE)/VLOOKUP('Source VoT'!$E$27,'Annual Parameters'!$B$33:$W$143,3,FALSE)</f>
        <v>26.392188771034679</v>
      </c>
      <c r="AF92" s="73">
        <f>'Source VoT'!$D$39*1*VLOOKUP($B92,'Annual Parameters'!$B$33:$W$143,21,FALSE)/VLOOKUP('Source VoT'!$F$27,'Annual Parameters'!$B$33:$W$143,21,FALSE)*VLOOKUP($B$14,'Annual Parameters'!$B$33:$W$143,3,FALSE)/VLOOKUP('Source VoT'!$E$27,'Annual Parameters'!$B$33:$W$143,3,FALSE)</f>
        <v>46.572878847891801</v>
      </c>
      <c r="AG92" s="74">
        <f>'Source VoT'!$D$40*1*VLOOKUP($B92,'Annual Parameters'!$B$33:$W$143,21,FALSE)/VLOOKUP('Source VoT'!$F$27,'Annual Parameters'!$B$33:$W$143,21,FALSE)*VLOOKUP($B$14,'Annual Parameters'!$B$33:$W$143,3,FALSE)/VLOOKUP('Source VoT'!$E$27,'Annual Parameters'!$B$33:$W$143,3,FALSE)</f>
        <v>50.728492528712486</v>
      </c>
      <c r="AH92" s="73">
        <f>'Source VoT'!$D$45*1*VLOOKUP($B92,'Annual Parameters'!$B$33:$W$143,22,FALSE)/VLOOKUP('Source VoT'!$F$27,'Annual Parameters'!$B$33:$W$143,22,FALSE)*VLOOKUP($B$14,'Annual Parameters'!$B$33:$W$143,3,FALSE)/VLOOKUP('Source VoT'!$E$27,'Annual Parameters'!$B$33:$W$143,3,FALSE)</f>
        <v>31.184435080220211</v>
      </c>
      <c r="AI92" s="73">
        <f>'Source VoT'!$D$46*1*VLOOKUP($B92,'Annual Parameters'!$B$33:$W$143,22,FALSE)/VLOOKUP('Source VoT'!$F$27,'Annual Parameters'!$B$33:$W$143,22,FALSE)*VLOOKUP($B$14,'Annual Parameters'!$B$33:$W$143,3,FALSE)/VLOOKUP('Source VoT'!$E$27,'Annual Parameters'!$B$33:$W$143,3,FALSE)</f>
        <v>14.233512019296379</v>
      </c>
      <c r="AJ92" s="117">
        <f>'Source VoT'!$D$27*VLOOKUP($B92,'Indirect tax correction'!$B$27:$I$127,7,FALSE)*VLOOKUP($B92,'Annual Parameters'!$B$33:$W$143,21,FALSE)/VLOOKUP('Source VoT'!$F$27,'Annual Parameters'!$B$33:$W$143,21,FALSE)*VLOOKUP($B$14,'Annual Parameters'!$B$33:$W$143,3,FALSE)/VLOOKUP('Source VoT'!$E$27,'Annual Parameters'!$B$33:$W$143,3,FALSE)</f>
        <v>55.421725828991242</v>
      </c>
      <c r="AK92" s="73">
        <f>'Source VoT'!$D$28*VLOOKUP($B92,'Indirect tax correction'!$B$27:$I$127,7,FALSE)*VLOOKUP($B92,'Annual Parameters'!$B$33:$W$143,21,FALSE)/VLOOKUP('Source VoT'!$F$27,'Annual Parameters'!$B$33:$W$143,21,FALSE)*VLOOKUP($B$14,'Annual Parameters'!$B$33:$W$143,3,FALSE)/VLOOKUP('Source VoT'!$E$27,'Annual Parameters'!$B$33:$W$143,3,FALSE)</f>
        <v>55.421725828991242</v>
      </c>
      <c r="AL92" s="73">
        <f>'Source VoT'!$D$29*VLOOKUP($B92,'Indirect tax correction'!$B$27:$I$127,7,FALSE)*VLOOKUP($B92,'Annual Parameters'!$B$33:$W$143,21,FALSE)/VLOOKUP('Source VoT'!$F$27,'Annual Parameters'!$B$33:$W$143,21,FALSE)*VLOOKUP($B$14,'Annual Parameters'!$B$33:$W$143,3,FALSE)/VLOOKUP('Source VoT'!$E$27,'Annual Parameters'!$B$33:$W$143,3,FALSE)</f>
        <v>38.162139962815417</v>
      </c>
      <c r="AM92" s="73">
        <f>'Source VoT'!$D$30*VLOOKUP($B92,'Indirect tax correction'!$B$27:$I$127,7,FALSE)*VLOOKUP($B92,'Annual Parameters'!$B$33:$W$143,21,FALSE)/VLOOKUP('Source VoT'!$F$27,'Annual Parameters'!$B$33:$W$143,21,FALSE)*VLOOKUP($B$14,'Annual Parameters'!$B$33:$W$143,3,FALSE)/VLOOKUP('Source VoT'!$E$27,'Annual Parameters'!$B$33:$W$143,3,FALSE)</f>
        <v>44.964188058039447</v>
      </c>
      <c r="AN92" s="73">
        <f>'Source VoT'!$D$31*VLOOKUP($B92,'Indirect tax correction'!$B$27:$I$127,7,FALSE)*VLOOKUP($B92,'Annual Parameters'!$B$33:$W$143,21,FALSE)/VLOOKUP('Source VoT'!$F$27,'Annual Parameters'!$B$33:$W$143,21,FALSE)*VLOOKUP($B$14,'Annual Parameters'!$B$33:$W$143,3,FALSE)/VLOOKUP('Source VoT'!$E$27,'Annual Parameters'!$B$33:$W$143,3,FALSE)</f>
        <v>45.935909214500036</v>
      </c>
      <c r="AO92" s="73">
        <f>'Source VoT'!$D$32*VLOOKUP($B92,'Indirect tax correction'!$B$27:$I$127,7,FALSE)*VLOOKUP($B92,'Annual Parameters'!$B$33:$W$143,21,FALSE)/VLOOKUP('Source VoT'!$F$27,'Annual Parameters'!$B$33:$W$143,21,FALSE)*VLOOKUP($B$14,'Annual Parameters'!$B$33:$W$143,3,FALSE)/VLOOKUP('Source VoT'!$E$27,'Annual Parameters'!$B$33:$W$143,3,FALSE)</f>
        <v>31.40670463753127</v>
      </c>
      <c r="AP92" s="73">
        <f>'Source VoT'!$D$33*VLOOKUP($B92,'Indirect tax correction'!$B$27:$I$127,7,FALSE)*VLOOKUP($B92,'Annual Parameters'!$B$33:$W$143,21,FALSE)/VLOOKUP('Source VoT'!$F$27,'Annual Parameters'!$B$33:$W$143,21,FALSE)*VLOOKUP($B$14,'Annual Parameters'!$B$33:$W$143,3,FALSE)/VLOOKUP('Source VoT'!$E$27,'Annual Parameters'!$B$33:$W$143,3,FALSE)</f>
        <v>40.591442853966853</v>
      </c>
      <c r="AQ92" s="73">
        <f>'Source VoT'!$D$34*VLOOKUP($B92,'Indirect tax correction'!$B$27:$I$127,7,FALSE)*VLOOKUP($B92,'Annual Parameters'!$B$33:$W$143,21,FALSE)/VLOOKUP('Source VoT'!$F$27,'Annual Parameters'!$B$33:$W$143,21,FALSE)*VLOOKUP($B$14,'Annual Parameters'!$B$33:$W$143,3,FALSE)/VLOOKUP('Source VoT'!$E$27,'Annual Parameters'!$B$33:$W$143,3,FALSE)</f>
        <v>55.421725828991242</v>
      </c>
      <c r="AR92" s="73">
        <f>'Source VoT'!$D$35*VLOOKUP($B92,'Indirect tax correction'!$B$27:$I$127,7,FALSE)*VLOOKUP($B92,'Annual Parameters'!$B$33:$W$143,21,FALSE)/VLOOKUP('Source VoT'!$F$27,'Annual Parameters'!$B$33:$W$143,21,FALSE)*VLOOKUP($B$14,'Annual Parameters'!$B$33:$W$143,3,FALSE)/VLOOKUP('Source VoT'!$E$27,'Annual Parameters'!$B$33:$W$143,3,FALSE)</f>
        <v>91.418823216125361</v>
      </c>
      <c r="AS92" s="73">
        <f>'Source VoT'!$D$36*VLOOKUP($B92,'Indirect tax correction'!$B$27:$I$127,7,FALSE)*VLOOKUP($B92,'Annual Parameters'!$B$33:$W$143,21,FALSE)/VLOOKUP('Source VoT'!$F$27,'Annual Parameters'!$B$33:$W$143,21,FALSE)*VLOOKUP($B$14,'Annual Parameters'!$B$33:$W$143,3,FALSE)/VLOOKUP('Source VoT'!$E$27,'Annual Parameters'!$B$33:$W$143,3,FALSE)</f>
        <v>31.40670463753127</v>
      </c>
      <c r="AT92" s="73">
        <f>'Source VoT'!$D$37*VLOOKUP($B92,'Indirect tax correction'!$B$27:$I$127,7,FALSE)*VLOOKUP($B92,'Annual Parameters'!$B$33:$W$143,21,FALSE)/VLOOKUP('Source VoT'!$F$27,'Annual Parameters'!$B$33:$W$143,21,FALSE)*VLOOKUP($B$14,'Annual Parameters'!$B$33:$W$143,3,FALSE)/VLOOKUP('Source VoT'!$E$27,'Annual Parameters'!$B$33:$W$143,3,FALSE)</f>
        <v>31.40670463753127</v>
      </c>
      <c r="AU92" s="73">
        <f>'Source VoT'!$D$38*VLOOKUP($B92,'Indirect tax correction'!$B$27:$I$127,7,FALSE)*VLOOKUP($B92,'Annual Parameters'!$B$33:$W$143,21,FALSE)/VLOOKUP('Source VoT'!$F$27,'Annual Parameters'!$B$33:$W$143,21,FALSE)*VLOOKUP($B$14,'Annual Parameters'!$B$33:$W$143,3,FALSE)/VLOOKUP('Source VoT'!$E$27,'Annual Parameters'!$B$33:$W$143,3,FALSE)</f>
        <v>31.40670463753127</v>
      </c>
      <c r="AV92" s="73">
        <f>'Source VoT'!$D$39*VLOOKUP($B92,'Indirect tax correction'!$B$27:$I$127,7,FALSE)*VLOOKUP($B92,'Annual Parameters'!$B$33:$W$143,21,FALSE)/VLOOKUP('Source VoT'!$F$27,'Annual Parameters'!$B$33:$W$143,21,FALSE)*VLOOKUP($B$14,'Annual Parameters'!$B$33:$W$143,3,FALSE)/VLOOKUP('Source VoT'!$E$27,'Annual Parameters'!$B$33:$W$143,3,FALSE)</f>
        <v>55.421725828991242</v>
      </c>
      <c r="AW92" s="74">
        <f>'Source VoT'!$D$40*VLOOKUP($B92,'Indirect tax correction'!$B$27:$I$127,7,FALSE)*VLOOKUP($B92,'Annual Parameters'!$B$33:$W$143,21,FALSE)/VLOOKUP('Source VoT'!$F$27,'Annual Parameters'!$B$33:$W$143,21,FALSE)*VLOOKUP($B$14,'Annual Parameters'!$B$33:$W$143,3,FALSE)/VLOOKUP('Source VoT'!$E$27,'Annual Parameters'!$B$33:$W$143,3,FALSE)</f>
        <v>60.366906109167857</v>
      </c>
      <c r="AX92" s="73">
        <f>'Source VoT'!$D$45*VLOOKUP($B92,'Indirect tax correction'!$B$27:$I$127,8,FALSE)*VLOOKUP($B92,'Annual Parameters'!$B$33:$W$143,22,FALSE)/VLOOKUP('Source VoT'!$F$27,'Annual Parameters'!$B$33:$W$143,22,FALSE)*VLOOKUP($B$14,'Annual Parameters'!$B$33:$W$143,3,FALSE)/VLOOKUP('Source VoT'!$E$27,'Annual Parameters'!$B$33:$W$143,3,FALSE)</f>
        <v>31.184435080220211</v>
      </c>
      <c r="AY92" s="74">
        <f>'Source VoT'!$D$46*VLOOKUP($B92,'Indirect tax correction'!$B$27:$I$127,8,FALSE)*VLOOKUP($B92,'Annual Parameters'!$B$33:$W$143,22,FALSE)/VLOOKUP('Source VoT'!$F$27,'Annual Parameters'!$B$33:$W$143,22,FALSE)*VLOOKUP($B$14,'Annual Parameters'!$B$33:$W$143,3,FALSE)/VLOOKUP('Source VoT'!$E$27,'Annual Parameters'!$B$33:$W$143,3,FALSE)</f>
        <v>14.233512019296379</v>
      </c>
      <c r="AZ92" s="2875"/>
      <c r="BA92" s="2875"/>
      <c r="BB92" s="2875"/>
      <c r="BC92" s="2875"/>
      <c r="BD92" s="2875"/>
      <c r="BE92" s="2875"/>
      <c r="BF92" s="2875"/>
      <c r="BG92" s="2875"/>
    </row>
    <row r="93" spans="1:59" ht="13.5" customHeight="1">
      <c r="A93" s="90"/>
      <c r="B93" s="82">
        <f t="shared" si="0"/>
        <v>2076</v>
      </c>
      <c r="C93" s="82"/>
      <c r="D93" s="117">
        <f>'Source VoT'!$D$27*VLOOKUP($B93,'Indirect tax correction'!$B$27:$I$127,5,FALSE)*VLOOKUP($B93,'Annual Parameters'!$B$33:$W$143,21,FALSE)/VLOOKUP('Source VoT'!$F$27,'Annual Parameters'!$B$33:$W$143,21,FALSE)*VLOOKUP($B$14,'Annual Parameters'!$B$33:$W$143,3,FALSE)/VLOOKUP('Source VoT'!$E$27,'Annual Parameters'!$B$33:$W$143,3,FALSE)</f>
        <v>47.551366341955173</v>
      </c>
      <c r="E93" s="73">
        <f>'Source VoT'!$D$28*VLOOKUP($B93,'Indirect tax correction'!$B$27:$I$127,5,FALSE)*VLOOKUP($B93,'Annual Parameters'!$B$33:$W$143,21,FALSE)/VLOOKUP('Source VoT'!$F$27,'Annual Parameters'!$B$33:$W$143,21,FALSE)*VLOOKUP($B$14,'Annual Parameters'!$B$33:$W$143,3,FALSE)/VLOOKUP('Source VoT'!$E$27,'Annual Parameters'!$B$33:$W$143,3,FALSE)</f>
        <v>47.551366341955173</v>
      </c>
      <c r="F93" s="73">
        <f>'Source VoT'!$D$29*VLOOKUP($B93,'Indirect tax correction'!$B$27:$I$127,5,FALSE)*VLOOKUP($B93,'Annual Parameters'!$B$33:$W$143,21,FALSE)/VLOOKUP('Source VoT'!$F$27,'Annual Parameters'!$B$33:$W$143,21,FALSE)*VLOOKUP($B$14,'Annual Parameters'!$B$33:$W$143,3,FALSE)/VLOOKUP('Source VoT'!$E$27,'Annual Parameters'!$B$33:$W$143,3,FALSE)</f>
        <v>32.742789413741946</v>
      </c>
      <c r="G93" s="73">
        <f>'Source VoT'!$D$30*VLOOKUP($B93,'Indirect tax correction'!$B$27:$I$127,5,FALSE)*VLOOKUP($B93,'Annual Parameters'!$B$33:$W$143,21,FALSE)/VLOOKUP('Source VoT'!$F$27,'Annual Parameters'!$B$33:$W$143,21,FALSE)*VLOOKUP($B$14,'Annual Parameters'!$B$33:$W$143,3,FALSE)/VLOOKUP('Source VoT'!$E$27,'Annual Parameters'!$B$33:$W$143,3,FALSE)</f>
        <v>38.578888452765398</v>
      </c>
      <c r="H93" s="73">
        <f>'Source VoT'!$D$31*VLOOKUP($B93,'Indirect tax correction'!$B$27:$I$127,5,FALSE)*VLOOKUP($B93,'Annual Parameters'!$B$33:$W$143,21,FALSE)/VLOOKUP('Source VoT'!$F$27,'Annual Parameters'!$B$33:$W$143,21,FALSE)*VLOOKUP($B$14,'Annual Parameters'!$B$33:$W$143,3,FALSE)/VLOOKUP('Source VoT'!$E$27,'Annual Parameters'!$B$33:$W$143,3,FALSE)</f>
        <v>39.412616886911607</v>
      </c>
      <c r="I93" s="73">
        <f>'Source VoT'!$D$32*VLOOKUP($B93,'Indirect tax correction'!$B$27:$I$127,5,FALSE)*VLOOKUP($B93,'Annual Parameters'!$B$33:$W$143,21,FALSE)/VLOOKUP('Source VoT'!$F$27,'Annual Parameters'!$B$33:$W$143,21,FALSE)*VLOOKUP($B$14,'Annual Parameters'!$B$33:$W$143,3,FALSE)/VLOOKUP('Source VoT'!$E$27,'Annual Parameters'!$B$33:$W$143,3,FALSE)</f>
        <v>26.946683732313762</v>
      </c>
      <c r="J93" s="73">
        <f>'Source VoT'!$D$33*VLOOKUP($B93,'Indirect tax correction'!$B$27:$I$127,5,FALSE)*VLOOKUP($B93,'Annual Parameters'!$B$33:$W$143,21,FALSE)/VLOOKUP('Source VoT'!$F$27,'Annual Parameters'!$B$33:$W$143,21,FALSE)*VLOOKUP($B$14,'Annual Parameters'!$B$33:$W$143,3,FALSE)/VLOOKUP('Source VoT'!$E$27,'Annual Parameters'!$B$33:$W$143,3,FALSE)</f>
        <v>34.827110499107462</v>
      </c>
      <c r="K93" s="73">
        <f>'Source VoT'!$D$34*VLOOKUP($B93,'Indirect tax correction'!$B$27:$I$127,5,FALSE)*VLOOKUP($B93,'Annual Parameters'!$B$33:$W$143,21,FALSE)/VLOOKUP('Source VoT'!$F$27,'Annual Parameters'!$B$33:$W$143,21,FALSE)*VLOOKUP($B$14,'Annual Parameters'!$B$33:$W$143,3,FALSE)/VLOOKUP('Source VoT'!$E$27,'Annual Parameters'!$B$33:$W$143,3,FALSE)</f>
        <v>47.551366341955173</v>
      </c>
      <c r="L93" s="73">
        <f>'Source VoT'!$D$35*VLOOKUP($B93,'Indirect tax correction'!$B$27:$I$127,5,FALSE)*VLOOKUP($B93,'Annual Parameters'!$B$33:$W$143,21,FALSE)/VLOOKUP('Source VoT'!$F$27,'Annual Parameters'!$B$33:$W$143,21,FALSE)*VLOOKUP($B$14,'Annual Parameters'!$B$33:$W$143,3,FALSE)/VLOOKUP('Source VoT'!$E$27,'Annual Parameters'!$B$33:$W$143,3,FALSE)</f>
        <v>78.436567758892124</v>
      </c>
      <c r="M93" s="73">
        <f>'Source VoT'!$D$36*VLOOKUP($B93,'Indirect tax correction'!$B$27:$I$127,5,FALSE)*VLOOKUP($B93,'Annual Parameters'!$B$33:$W$143,21,FALSE)/VLOOKUP('Source VoT'!$F$27,'Annual Parameters'!$B$33:$W$143,21,FALSE)*VLOOKUP($B$14,'Annual Parameters'!$B$33:$W$143,3,FALSE)/VLOOKUP('Source VoT'!$E$27,'Annual Parameters'!$B$33:$W$143,3,FALSE)</f>
        <v>26.946683732313762</v>
      </c>
      <c r="N93" s="73">
        <f>'Source VoT'!$D$37*VLOOKUP($B93,'Indirect tax correction'!$B$27:$I$127,5,FALSE)*VLOOKUP($B93,'Annual Parameters'!$B$33:$W$143,21,FALSE)/VLOOKUP('Source VoT'!$F$27,'Annual Parameters'!$B$33:$W$143,21,FALSE)*VLOOKUP($B$14,'Annual Parameters'!$B$33:$W$143,3,FALSE)/VLOOKUP('Source VoT'!$E$27,'Annual Parameters'!$B$33:$W$143,3,FALSE)</f>
        <v>26.946683732313762</v>
      </c>
      <c r="O93" s="73">
        <f>'Source VoT'!$D$38*VLOOKUP($B93,'Indirect tax correction'!$B$27:$I$127,5,FALSE)*VLOOKUP($B93,'Annual Parameters'!$B$33:$W$143,21,FALSE)/VLOOKUP('Source VoT'!$F$27,'Annual Parameters'!$B$33:$W$143,21,FALSE)*VLOOKUP($B$14,'Annual Parameters'!$B$33:$W$143,3,FALSE)/VLOOKUP('Source VoT'!$E$27,'Annual Parameters'!$B$33:$W$143,3,FALSE)</f>
        <v>26.946683732313762</v>
      </c>
      <c r="P93" s="73">
        <f>'Source VoT'!$D$39*VLOOKUP($B93,'Indirect tax correction'!$B$27:$I$127,5,FALSE)*VLOOKUP($B93,'Annual Parameters'!$B$33:$W$143,21,FALSE)/VLOOKUP('Source VoT'!$F$27,'Annual Parameters'!$B$33:$W$143,21,FALSE)*VLOOKUP($B$14,'Annual Parameters'!$B$33:$W$143,3,FALSE)/VLOOKUP('Source VoT'!$E$27,'Annual Parameters'!$B$33:$W$143,3,FALSE)</f>
        <v>47.551366341955173</v>
      </c>
      <c r="Q93" s="74">
        <f>'Source VoT'!$D$40*VLOOKUP($B93,'Indirect tax correction'!$B$27:$I$127,5,FALSE)*VLOOKUP($B93,'Annual Parameters'!$B$33:$W$143,21,FALSE)/VLOOKUP('Source VoT'!$F$27,'Annual Parameters'!$B$33:$W$143,21,FALSE)*VLOOKUP($B$14,'Annual Parameters'!$B$33:$W$143,3,FALSE)/VLOOKUP('Source VoT'!$E$27,'Annual Parameters'!$B$33:$W$143,3,FALSE)</f>
        <v>51.794288690769562</v>
      </c>
      <c r="R93" s="73">
        <f>'Source VoT'!$D$45*VLOOKUP($B93,'Indirect tax correction'!$B$27:$I$127,6,FALSE)*VLOOKUP($B93,'Annual Parameters'!$B$33:$W$143,22,FALSE)/VLOOKUP('Source VoT'!$F$27,'Annual Parameters'!$B$33:$W$143,22,FALSE)*VLOOKUP($B$14,'Annual Parameters'!$B$33:$W$143,3,FALSE)/VLOOKUP('Source VoT'!$E$27,'Annual Parameters'!$B$33:$W$143,3,FALSE)</f>
        <v>26.755978354805766</v>
      </c>
      <c r="S93" s="73">
        <f>'Source VoT'!$D$46*VLOOKUP($B93,'Indirect tax correction'!$B$27:$I$127,6,FALSE)*VLOOKUP($B93,'Annual Parameters'!$B$33:$W$143,22,FALSE)/VLOOKUP('Source VoT'!$F$27,'Annual Parameters'!$B$33:$W$143,22,FALSE)*VLOOKUP($B$14,'Annual Parameters'!$B$33:$W$143,3,FALSE)/VLOOKUP('Source VoT'!$E$27,'Annual Parameters'!$B$33:$W$143,3,FALSE)</f>
        <v>12.212231471293094</v>
      </c>
      <c r="T93" s="117">
        <f>'Source VoT'!$D$27*1*VLOOKUP($B93,'Annual Parameters'!$B$33:$W$143,21,FALSE)/VLOOKUP('Source VoT'!$F$27,'Annual Parameters'!$B$33:$W$143,21,FALSE)*VLOOKUP($B$14,'Annual Parameters'!$B$33:$W$143,3,FALSE)/VLOOKUP('Source VoT'!$E$27,'Annual Parameters'!$B$33:$W$143,3,FALSE)</f>
        <v>47.551366341955173</v>
      </c>
      <c r="U93" s="73">
        <f>'Source VoT'!$D$28*1*VLOOKUP($B93,'Annual Parameters'!$B$33:$W$143,21,FALSE)/VLOOKUP('Source VoT'!$F$27,'Annual Parameters'!$B$33:$W$143,21,FALSE)*VLOOKUP($B$14,'Annual Parameters'!$B$33:$W$143,3,FALSE)/VLOOKUP('Source VoT'!$E$27,'Annual Parameters'!$B$33:$W$143,3,FALSE)</f>
        <v>47.551366341955173</v>
      </c>
      <c r="V93" s="73">
        <f>'Source VoT'!$D$29*1*VLOOKUP($B93,'Annual Parameters'!$B$33:$W$143,21,FALSE)/VLOOKUP('Source VoT'!$F$27,'Annual Parameters'!$B$33:$W$143,21,FALSE)*VLOOKUP($B$14,'Annual Parameters'!$B$33:$W$143,3,FALSE)/VLOOKUP('Source VoT'!$E$27,'Annual Parameters'!$B$33:$W$143,3,FALSE)</f>
        <v>32.742789413741946</v>
      </c>
      <c r="W93" s="73">
        <f>'Source VoT'!$D$30*1*VLOOKUP($B93,'Annual Parameters'!$B$33:$W$143,21,FALSE)/VLOOKUP('Source VoT'!$F$27,'Annual Parameters'!$B$33:$W$143,21,FALSE)*VLOOKUP($B$14,'Annual Parameters'!$B$33:$W$143,3,FALSE)/VLOOKUP('Source VoT'!$E$27,'Annual Parameters'!$B$33:$W$143,3,FALSE)</f>
        <v>38.578888452765398</v>
      </c>
      <c r="X93" s="73">
        <f>'Source VoT'!$D$31*1*VLOOKUP($B93,'Annual Parameters'!$B$33:$W$143,21,FALSE)/VLOOKUP('Source VoT'!$F$27,'Annual Parameters'!$B$33:$W$143,21,FALSE)*VLOOKUP($B$14,'Annual Parameters'!$B$33:$W$143,3,FALSE)/VLOOKUP('Source VoT'!$E$27,'Annual Parameters'!$B$33:$W$143,3,FALSE)</f>
        <v>39.412616886911607</v>
      </c>
      <c r="Y93" s="73">
        <f>'Source VoT'!$D$32*1*VLOOKUP($B93,'Annual Parameters'!$B$33:$W$143,21,FALSE)/VLOOKUP('Source VoT'!$F$27,'Annual Parameters'!$B$33:$W$143,21,FALSE)*VLOOKUP($B$14,'Annual Parameters'!$B$33:$W$143,3,FALSE)/VLOOKUP('Source VoT'!$E$27,'Annual Parameters'!$B$33:$W$143,3,FALSE)</f>
        <v>26.946683732313762</v>
      </c>
      <c r="Z93" s="73">
        <f>'Source VoT'!$D$33*1*VLOOKUP($B93,'Annual Parameters'!$B$33:$W$143,21,FALSE)/VLOOKUP('Source VoT'!$F$27,'Annual Parameters'!$B$33:$W$143,21,FALSE)*VLOOKUP($B$14,'Annual Parameters'!$B$33:$W$143,3,FALSE)/VLOOKUP('Source VoT'!$E$27,'Annual Parameters'!$B$33:$W$143,3,FALSE)</f>
        <v>34.827110499107462</v>
      </c>
      <c r="AA93" s="73">
        <f>'Source VoT'!$D$34*1*VLOOKUP($B93,'Annual Parameters'!$B$33:$W$143,21,FALSE)/VLOOKUP('Source VoT'!$F$27,'Annual Parameters'!$B$33:$W$143,21,FALSE)*VLOOKUP($B$14,'Annual Parameters'!$B$33:$W$143,3,FALSE)/VLOOKUP('Source VoT'!$E$27,'Annual Parameters'!$B$33:$W$143,3,FALSE)</f>
        <v>47.551366341955173</v>
      </c>
      <c r="AB93" s="73">
        <f>'Source VoT'!$D$35*1*VLOOKUP($B93,'Annual Parameters'!$B$33:$W$143,21,FALSE)/VLOOKUP('Source VoT'!$F$27,'Annual Parameters'!$B$33:$W$143,21,FALSE)*VLOOKUP($B$14,'Annual Parameters'!$B$33:$W$143,3,FALSE)/VLOOKUP('Source VoT'!$E$27,'Annual Parameters'!$B$33:$W$143,3,FALSE)</f>
        <v>78.436567758892124</v>
      </c>
      <c r="AC93" s="73">
        <f>'Source VoT'!$D$36*1*VLOOKUP($B93,'Annual Parameters'!$B$33:$W$143,21,FALSE)/VLOOKUP('Source VoT'!$F$27,'Annual Parameters'!$B$33:$W$143,21,FALSE)*VLOOKUP($B$14,'Annual Parameters'!$B$33:$W$143,3,FALSE)/VLOOKUP('Source VoT'!$E$27,'Annual Parameters'!$B$33:$W$143,3,FALSE)</f>
        <v>26.946683732313762</v>
      </c>
      <c r="AD93" s="73">
        <f>'Source VoT'!$D$37*1*VLOOKUP($B93,'Annual Parameters'!$B$33:$W$143,21,FALSE)/VLOOKUP('Source VoT'!$F$27,'Annual Parameters'!$B$33:$W$143,21,FALSE)*VLOOKUP($B$14,'Annual Parameters'!$B$33:$W$143,3,FALSE)/VLOOKUP('Source VoT'!$E$27,'Annual Parameters'!$B$33:$W$143,3,FALSE)</f>
        <v>26.946683732313762</v>
      </c>
      <c r="AE93" s="73">
        <f>'Source VoT'!$D$38*1*VLOOKUP($B93,'Annual Parameters'!$B$33:$W$143,21,FALSE)/VLOOKUP('Source VoT'!$F$27,'Annual Parameters'!$B$33:$W$143,21,FALSE)*VLOOKUP($B$14,'Annual Parameters'!$B$33:$W$143,3,FALSE)/VLOOKUP('Source VoT'!$E$27,'Annual Parameters'!$B$33:$W$143,3,FALSE)</f>
        <v>26.946683732313762</v>
      </c>
      <c r="AF93" s="73">
        <f>'Source VoT'!$D$39*1*VLOOKUP($B93,'Annual Parameters'!$B$33:$W$143,21,FALSE)/VLOOKUP('Source VoT'!$F$27,'Annual Parameters'!$B$33:$W$143,21,FALSE)*VLOOKUP($B$14,'Annual Parameters'!$B$33:$W$143,3,FALSE)/VLOOKUP('Source VoT'!$E$27,'Annual Parameters'!$B$33:$W$143,3,FALSE)</f>
        <v>47.551366341955173</v>
      </c>
      <c r="AG93" s="74">
        <f>'Source VoT'!$D$40*1*VLOOKUP($B93,'Annual Parameters'!$B$33:$W$143,21,FALSE)/VLOOKUP('Source VoT'!$F$27,'Annual Parameters'!$B$33:$W$143,21,FALSE)*VLOOKUP($B$14,'Annual Parameters'!$B$33:$W$143,3,FALSE)/VLOOKUP('Source VoT'!$E$27,'Annual Parameters'!$B$33:$W$143,3,FALSE)</f>
        <v>51.794288690769562</v>
      </c>
      <c r="AH93" s="73">
        <f>'Source VoT'!$D$45*1*VLOOKUP($B93,'Annual Parameters'!$B$33:$W$143,22,FALSE)/VLOOKUP('Source VoT'!$F$27,'Annual Parameters'!$B$33:$W$143,22,FALSE)*VLOOKUP($B$14,'Annual Parameters'!$B$33:$W$143,3,FALSE)/VLOOKUP('Source VoT'!$E$27,'Annual Parameters'!$B$33:$W$143,3,FALSE)</f>
        <v>31.839614242218865</v>
      </c>
      <c r="AI93" s="73">
        <f>'Source VoT'!$D$46*1*VLOOKUP($B93,'Annual Parameters'!$B$33:$W$143,22,FALSE)/VLOOKUP('Source VoT'!$F$27,'Annual Parameters'!$B$33:$W$143,22,FALSE)*VLOOKUP($B$14,'Annual Parameters'!$B$33:$W$143,3,FALSE)/VLOOKUP('Source VoT'!$E$27,'Annual Parameters'!$B$33:$W$143,3,FALSE)</f>
        <v>14.532555450838782</v>
      </c>
      <c r="AJ93" s="117">
        <f>'Source VoT'!$D$27*VLOOKUP($B93,'Indirect tax correction'!$B$27:$I$127,7,FALSE)*VLOOKUP($B93,'Annual Parameters'!$B$33:$W$143,21,FALSE)/VLOOKUP('Source VoT'!$F$27,'Annual Parameters'!$B$33:$W$143,21,FALSE)*VLOOKUP($B$14,'Annual Parameters'!$B$33:$W$143,3,FALSE)/VLOOKUP('Source VoT'!$E$27,'Annual Parameters'!$B$33:$W$143,3,FALSE)</f>
        <v>56.586125946926657</v>
      </c>
      <c r="AK93" s="73">
        <f>'Source VoT'!$D$28*VLOOKUP($B93,'Indirect tax correction'!$B$27:$I$127,7,FALSE)*VLOOKUP($B93,'Annual Parameters'!$B$33:$W$143,21,FALSE)/VLOOKUP('Source VoT'!$F$27,'Annual Parameters'!$B$33:$W$143,21,FALSE)*VLOOKUP($B$14,'Annual Parameters'!$B$33:$W$143,3,FALSE)/VLOOKUP('Source VoT'!$E$27,'Annual Parameters'!$B$33:$W$143,3,FALSE)</f>
        <v>56.586125946926657</v>
      </c>
      <c r="AL93" s="73">
        <f>'Source VoT'!$D$29*VLOOKUP($B93,'Indirect tax correction'!$B$27:$I$127,7,FALSE)*VLOOKUP($B93,'Annual Parameters'!$B$33:$W$143,21,FALSE)/VLOOKUP('Source VoT'!$F$27,'Annual Parameters'!$B$33:$W$143,21,FALSE)*VLOOKUP($B$14,'Annual Parameters'!$B$33:$W$143,3,FALSE)/VLOOKUP('Source VoT'!$E$27,'Annual Parameters'!$B$33:$W$143,3,FALSE)</f>
        <v>38.963919402352921</v>
      </c>
      <c r="AM93" s="73">
        <f>'Source VoT'!$D$30*VLOOKUP($B93,'Indirect tax correction'!$B$27:$I$127,7,FALSE)*VLOOKUP($B93,'Annual Parameters'!$B$33:$W$143,21,FALSE)/VLOOKUP('Source VoT'!$F$27,'Annual Parameters'!$B$33:$W$143,21,FALSE)*VLOOKUP($B$14,'Annual Parameters'!$B$33:$W$143,3,FALSE)/VLOOKUP('Source VoT'!$E$27,'Annual Parameters'!$B$33:$W$143,3,FALSE)</f>
        <v>45.90887725879081</v>
      </c>
      <c r="AN93" s="73">
        <f>'Source VoT'!$D$31*VLOOKUP($B93,'Indirect tax correction'!$B$27:$I$127,7,FALSE)*VLOOKUP($B93,'Annual Parameters'!$B$33:$W$143,21,FALSE)/VLOOKUP('Source VoT'!$F$27,'Annual Parameters'!$B$33:$W$143,21,FALSE)*VLOOKUP($B$14,'Annual Parameters'!$B$33:$W$143,3,FALSE)/VLOOKUP('Source VoT'!$E$27,'Annual Parameters'!$B$33:$W$143,3,FALSE)</f>
        <v>46.901014095424813</v>
      </c>
      <c r="AO93" s="73">
        <f>'Source VoT'!$D$32*VLOOKUP($B93,'Indirect tax correction'!$B$27:$I$127,7,FALSE)*VLOOKUP($B93,'Annual Parameters'!$B$33:$W$143,21,FALSE)/VLOOKUP('Source VoT'!$F$27,'Annual Parameters'!$B$33:$W$143,21,FALSE)*VLOOKUP($B$14,'Annual Parameters'!$B$33:$W$143,3,FALSE)/VLOOKUP('Source VoT'!$E$27,'Annual Parameters'!$B$33:$W$143,3,FALSE)</f>
        <v>32.066553641453382</v>
      </c>
      <c r="AP93" s="73">
        <f>'Source VoT'!$D$33*VLOOKUP($B93,'Indirect tax correction'!$B$27:$I$127,7,FALSE)*VLOOKUP($B93,'Annual Parameters'!$B$33:$W$143,21,FALSE)/VLOOKUP('Source VoT'!$F$27,'Annual Parameters'!$B$33:$W$143,21,FALSE)*VLOOKUP($B$14,'Annual Parameters'!$B$33:$W$143,3,FALSE)/VLOOKUP('Source VoT'!$E$27,'Annual Parameters'!$B$33:$W$143,3,FALSE)</f>
        <v>41.444261493937887</v>
      </c>
      <c r="AQ93" s="73">
        <f>'Source VoT'!$D$34*VLOOKUP($B93,'Indirect tax correction'!$B$27:$I$127,7,FALSE)*VLOOKUP($B93,'Annual Parameters'!$B$33:$W$143,21,FALSE)/VLOOKUP('Source VoT'!$F$27,'Annual Parameters'!$B$33:$W$143,21,FALSE)*VLOOKUP($B$14,'Annual Parameters'!$B$33:$W$143,3,FALSE)/VLOOKUP('Source VoT'!$E$27,'Annual Parameters'!$B$33:$W$143,3,FALSE)</f>
        <v>56.586125946926657</v>
      </c>
      <c r="AR93" s="73">
        <f>'Source VoT'!$D$35*VLOOKUP($B93,'Indirect tax correction'!$B$27:$I$127,7,FALSE)*VLOOKUP($B93,'Annual Parameters'!$B$33:$W$143,21,FALSE)/VLOOKUP('Source VoT'!$F$27,'Annual Parameters'!$B$33:$W$143,21,FALSE)*VLOOKUP($B$14,'Annual Parameters'!$B$33:$W$143,3,FALSE)/VLOOKUP('Source VoT'!$E$27,'Annual Parameters'!$B$33:$W$143,3,FALSE)</f>
        <v>93.339515633081632</v>
      </c>
      <c r="AS93" s="73">
        <f>'Source VoT'!$D$36*VLOOKUP($B93,'Indirect tax correction'!$B$27:$I$127,7,FALSE)*VLOOKUP($B93,'Annual Parameters'!$B$33:$W$143,21,FALSE)/VLOOKUP('Source VoT'!$F$27,'Annual Parameters'!$B$33:$W$143,21,FALSE)*VLOOKUP($B$14,'Annual Parameters'!$B$33:$W$143,3,FALSE)/VLOOKUP('Source VoT'!$E$27,'Annual Parameters'!$B$33:$W$143,3,FALSE)</f>
        <v>32.066553641453382</v>
      </c>
      <c r="AT93" s="73">
        <f>'Source VoT'!$D$37*VLOOKUP($B93,'Indirect tax correction'!$B$27:$I$127,7,FALSE)*VLOOKUP($B93,'Annual Parameters'!$B$33:$W$143,21,FALSE)/VLOOKUP('Source VoT'!$F$27,'Annual Parameters'!$B$33:$W$143,21,FALSE)*VLOOKUP($B$14,'Annual Parameters'!$B$33:$W$143,3,FALSE)/VLOOKUP('Source VoT'!$E$27,'Annual Parameters'!$B$33:$W$143,3,FALSE)</f>
        <v>32.066553641453382</v>
      </c>
      <c r="AU93" s="73">
        <f>'Source VoT'!$D$38*VLOOKUP($B93,'Indirect tax correction'!$B$27:$I$127,7,FALSE)*VLOOKUP($B93,'Annual Parameters'!$B$33:$W$143,21,FALSE)/VLOOKUP('Source VoT'!$F$27,'Annual Parameters'!$B$33:$W$143,21,FALSE)*VLOOKUP($B$14,'Annual Parameters'!$B$33:$W$143,3,FALSE)/VLOOKUP('Source VoT'!$E$27,'Annual Parameters'!$B$33:$W$143,3,FALSE)</f>
        <v>32.066553641453382</v>
      </c>
      <c r="AV93" s="73">
        <f>'Source VoT'!$D$39*VLOOKUP($B93,'Indirect tax correction'!$B$27:$I$127,7,FALSE)*VLOOKUP($B93,'Annual Parameters'!$B$33:$W$143,21,FALSE)/VLOOKUP('Source VoT'!$F$27,'Annual Parameters'!$B$33:$W$143,21,FALSE)*VLOOKUP($B$14,'Annual Parameters'!$B$33:$W$143,3,FALSE)/VLOOKUP('Source VoT'!$E$27,'Annual Parameters'!$B$33:$W$143,3,FALSE)</f>
        <v>56.586125946926657</v>
      </c>
      <c r="AW93" s="74">
        <f>'Source VoT'!$D$40*VLOOKUP($B93,'Indirect tax correction'!$B$27:$I$127,7,FALSE)*VLOOKUP($B93,'Annual Parameters'!$B$33:$W$143,21,FALSE)/VLOOKUP('Source VoT'!$F$27,'Annual Parameters'!$B$33:$W$143,21,FALSE)*VLOOKUP($B$14,'Annual Parameters'!$B$33:$W$143,3,FALSE)/VLOOKUP('Source VoT'!$E$27,'Annual Parameters'!$B$33:$W$143,3,FALSE)</f>
        <v>61.63520354201578</v>
      </c>
      <c r="AX93" s="73">
        <f>'Source VoT'!$D$45*VLOOKUP($B93,'Indirect tax correction'!$B$27:$I$127,8,FALSE)*VLOOKUP($B93,'Annual Parameters'!$B$33:$W$143,22,FALSE)/VLOOKUP('Source VoT'!$F$27,'Annual Parameters'!$B$33:$W$143,22,FALSE)*VLOOKUP($B$14,'Annual Parameters'!$B$33:$W$143,3,FALSE)/VLOOKUP('Source VoT'!$E$27,'Annual Parameters'!$B$33:$W$143,3,FALSE)</f>
        <v>31.839614242218865</v>
      </c>
      <c r="AY93" s="74">
        <f>'Source VoT'!$D$46*VLOOKUP($B93,'Indirect tax correction'!$B$27:$I$127,8,FALSE)*VLOOKUP($B93,'Annual Parameters'!$B$33:$W$143,22,FALSE)/VLOOKUP('Source VoT'!$F$27,'Annual Parameters'!$B$33:$W$143,22,FALSE)*VLOOKUP($B$14,'Annual Parameters'!$B$33:$W$143,3,FALSE)/VLOOKUP('Source VoT'!$E$27,'Annual Parameters'!$B$33:$W$143,3,FALSE)</f>
        <v>14.532555450838782</v>
      </c>
      <c r="AZ93" s="2875"/>
      <c r="BA93" s="2875"/>
      <c r="BB93" s="2875"/>
      <c r="BC93" s="2875"/>
      <c r="BD93" s="2875"/>
      <c r="BE93" s="2875"/>
      <c r="BF93" s="2875"/>
      <c r="BG93" s="2875"/>
    </row>
    <row r="94" spans="1:59" ht="13.5" customHeight="1">
      <c r="A94" s="90"/>
      <c r="B94" s="82">
        <f t="shared" ref="B94:B106" si="1">B93+1</f>
        <v>2077</v>
      </c>
      <c r="C94" s="82"/>
      <c r="D94" s="117">
        <f>'Source VoT'!$D$27*VLOOKUP($B94,'Indirect tax correction'!$B$27:$I$127,5,FALSE)*VLOOKUP($B94,'Annual Parameters'!$B$33:$W$143,21,FALSE)/VLOOKUP('Source VoT'!$F$27,'Annual Parameters'!$B$33:$W$143,21,FALSE)*VLOOKUP($B$14,'Annual Parameters'!$B$33:$W$143,3,FALSE)/VLOOKUP('Source VoT'!$E$27,'Annual Parameters'!$B$33:$W$143,3,FALSE)</f>
        <v>48.550423863709327</v>
      </c>
      <c r="E94" s="73">
        <f>'Source VoT'!$D$28*VLOOKUP($B94,'Indirect tax correction'!$B$27:$I$127,5,FALSE)*VLOOKUP($B94,'Annual Parameters'!$B$33:$W$143,21,FALSE)/VLOOKUP('Source VoT'!$F$27,'Annual Parameters'!$B$33:$W$143,21,FALSE)*VLOOKUP($B$14,'Annual Parameters'!$B$33:$W$143,3,FALSE)/VLOOKUP('Source VoT'!$E$27,'Annual Parameters'!$B$33:$W$143,3,FALSE)</f>
        <v>48.550423863709327</v>
      </c>
      <c r="F94" s="73">
        <f>'Source VoT'!$D$29*VLOOKUP($B94,'Indirect tax correction'!$B$27:$I$127,5,FALSE)*VLOOKUP($B94,'Annual Parameters'!$B$33:$W$143,21,FALSE)/VLOOKUP('Source VoT'!$F$27,'Annual Parameters'!$B$33:$W$143,21,FALSE)*VLOOKUP($B$14,'Annual Parameters'!$B$33:$W$143,3,FALSE)/VLOOKUP('Source VoT'!$E$27,'Annual Parameters'!$B$33:$W$143,3,FALSE)</f>
        <v>33.430717701896086</v>
      </c>
      <c r="G94" s="73">
        <f>'Source VoT'!$D$30*VLOOKUP($B94,'Indirect tax correction'!$B$27:$I$127,5,FALSE)*VLOOKUP($B94,'Annual Parameters'!$B$33:$W$143,21,FALSE)/VLOOKUP('Source VoT'!$F$27,'Annual Parameters'!$B$33:$W$143,21,FALSE)*VLOOKUP($B$14,'Annual Parameters'!$B$33:$W$143,3,FALSE)/VLOOKUP('Source VoT'!$E$27,'Annual Parameters'!$B$33:$W$143,3,FALSE)</f>
        <v>39.389433588576637</v>
      </c>
      <c r="H94" s="73">
        <f>'Source VoT'!$D$31*VLOOKUP($B94,'Indirect tax correction'!$B$27:$I$127,5,FALSE)*VLOOKUP($B94,'Annual Parameters'!$B$33:$W$143,21,FALSE)/VLOOKUP('Source VoT'!$F$27,'Annual Parameters'!$B$33:$W$143,21,FALSE)*VLOOKUP($B$14,'Annual Parameters'!$B$33:$W$143,3,FALSE)/VLOOKUP('Source VoT'!$E$27,'Annual Parameters'!$B$33:$W$143,3,FALSE)</f>
        <v>40.240678715245295</v>
      </c>
      <c r="I94" s="73">
        <f>'Source VoT'!$D$32*VLOOKUP($B94,'Indirect tax correction'!$B$27:$I$127,5,FALSE)*VLOOKUP($B94,'Annual Parameters'!$B$33:$W$143,21,FALSE)/VLOOKUP('Source VoT'!$F$27,'Annual Parameters'!$B$33:$W$143,21,FALSE)*VLOOKUP($B$14,'Annual Parameters'!$B$33:$W$143,3,FALSE)/VLOOKUP('Source VoT'!$E$27,'Annual Parameters'!$B$33:$W$143,3,FALSE)</f>
        <v>27.512835436041904</v>
      </c>
      <c r="J94" s="73">
        <f>'Source VoT'!$D$33*VLOOKUP($B94,'Indirect tax correction'!$B$27:$I$127,5,FALSE)*VLOOKUP($B94,'Annual Parameters'!$B$33:$W$143,21,FALSE)/VLOOKUP('Source VoT'!$F$27,'Annual Parameters'!$B$33:$W$143,21,FALSE)*VLOOKUP($B$14,'Annual Parameters'!$B$33:$W$143,3,FALSE)/VLOOKUP('Source VoT'!$E$27,'Annual Parameters'!$B$33:$W$143,3,FALSE)</f>
        <v>35.55883051856771</v>
      </c>
      <c r="K94" s="73">
        <f>'Source VoT'!$D$34*VLOOKUP($B94,'Indirect tax correction'!$B$27:$I$127,5,FALSE)*VLOOKUP($B94,'Annual Parameters'!$B$33:$W$143,21,FALSE)/VLOOKUP('Source VoT'!$F$27,'Annual Parameters'!$B$33:$W$143,21,FALSE)*VLOOKUP($B$14,'Annual Parameters'!$B$33:$W$143,3,FALSE)/VLOOKUP('Source VoT'!$E$27,'Annual Parameters'!$B$33:$W$143,3,FALSE)</f>
        <v>48.550423863709327</v>
      </c>
      <c r="L94" s="73">
        <f>'Source VoT'!$D$35*VLOOKUP($B94,'Indirect tax correction'!$B$27:$I$127,5,FALSE)*VLOOKUP($B94,'Annual Parameters'!$B$33:$W$143,21,FALSE)/VLOOKUP('Source VoT'!$F$27,'Annual Parameters'!$B$33:$W$143,21,FALSE)*VLOOKUP($B$14,'Annual Parameters'!$B$33:$W$143,3,FALSE)/VLOOKUP('Source VoT'!$E$27,'Annual Parameters'!$B$33:$W$143,3,FALSE)</f>
        <v>80.084525515491038</v>
      </c>
      <c r="M94" s="73">
        <f>'Source VoT'!$D$36*VLOOKUP($B94,'Indirect tax correction'!$B$27:$I$127,5,FALSE)*VLOOKUP($B94,'Annual Parameters'!$B$33:$W$143,21,FALSE)/VLOOKUP('Source VoT'!$F$27,'Annual Parameters'!$B$33:$W$143,21,FALSE)*VLOOKUP($B$14,'Annual Parameters'!$B$33:$W$143,3,FALSE)/VLOOKUP('Source VoT'!$E$27,'Annual Parameters'!$B$33:$W$143,3,FALSE)</f>
        <v>27.512835436041904</v>
      </c>
      <c r="N94" s="73">
        <f>'Source VoT'!$D$37*VLOOKUP($B94,'Indirect tax correction'!$B$27:$I$127,5,FALSE)*VLOOKUP($B94,'Annual Parameters'!$B$33:$W$143,21,FALSE)/VLOOKUP('Source VoT'!$F$27,'Annual Parameters'!$B$33:$W$143,21,FALSE)*VLOOKUP($B$14,'Annual Parameters'!$B$33:$W$143,3,FALSE)/VLOOKUP('Source VoT'!$E$27,'Annual Parameters'!$B$33:$W$143,3,FALSE)</f>
        <v>27.512835436041904</v>
      </c>
      <c r="O94" s="73">
        <f>'Source VoT'!$D$38*VLOOKUP($B94,'Indirect tax correction'!$B$27:$I$127,5,FALSE)*VLOOKUP($B94,'Annual Parameters'!$B$33:$W$143,21,FALSE)/VLOOKUP('Source VoT'!$F$27,'Annual Parameters'!$B$33:$W$143,21,FALSE)*VLOOKUP($B$14,'Annual Parameters'!$B$33:$W$143,3,FALSE)/VLOOKUP('Source VoT'!$E$27,'Annual Parameters'!$B$33:$W$143,3,FALSE)</f>
        <v>27.512835436041904</v>
      </c>
      <c r="P94" s="73">
        <f>'Source VoT'!$D$39*VLOOKUP($B94,'Indirect tax correction'!$B$27:$I$127,5,FALSE)*VLOOKUP($B94,'Annual Parameters'!$B$33:$W$143,21,FALSE)/VLOOKUP('Source VoT'!$F$27,'Annual Parameters'!$B$33:$W$143,21,FALSE)*VLOOKUP($B$14,'Annual Parameters'!$B$33:$W$143,3,FALSE)/VLOOKUP('Source VoT'!$E$27,'Annual Parameters'!$B$33:$W$143,3,FALSE)</f>
        <v>48.550423863709327</v>
      </c>
      <c r="Q94" s="74">
        <f>'Source VoT'!$D$40*VLOOKUP($B94,'Indirect tax correction'!$B$27:$I$127,5,FALSE)*VLOOKUP($B94,'Annual Parameters'!$B$33:$W$143,21,FALSE)/VLOOKUP('Source VoT'!$F$27,'Annual Parameters'!$B$33:$W$143,21,FALSE)*VLOOKUP($B$14,'Annual Parameters'!$B$33:$W$143,3,FALSE)/VLOOKUP('Source VoT'!$E$27,'Annual Parameters'!$B$33:$W$143,3,FALSE)</f>
        <v>52.882490306855715</v>
      </c>
      <c r="R94" s="73">
        <f>'Source VoT'!$D$45*VLOOKUP($B94,'Indirect tax correction'!$B$27:$I$127,6,FALSE)*VLOOKUP($B94,'Annual Parameters'!$B$33:$W$143,22,FALSE)/VLOOKUP('Source VoT'!$F$27,'Annual Parameters'!$B$33:$W$143,22,FALSE)*VLOOKUP($B$14,'Annual Parameters'!$B$33:$W$143,3,FALSE)/VLOOKUP('Source VoT'!$E$27,'Annual Parameters'!$B$33:$W$143,3,FALSE)</f>
        <v>27.318123325257972</v>
      </c>
      <c r="S94" s="73">
        <f>'Source VoT'!$D$46*VLOOKUP($B94,'Indirect tax correction'!$B$27:$I$127,6,FALSE)*VLOOKUP($B94,'Annual Parameters'!$B$33:$W$143,22,FALSE)/VLOOKUP('Source VoT'!$F$27,'Annual Parameters'!$B$33:$W$143,22,FALSE)*VLOOKUP($B$14,'Annual Parameters'!$B$33:$W$143,3,FALSE)/VLOOKUP('Source VoT'!$E$27,'Annual Parameters'!$B$33:$W$143,3,FALSE)</f>
        <v>12.468811305846311</v>
      </c>
      <c r="T94" s="117">
        <f>'Source VoT'!$D$27*1*VLOOKUP($B94,'Annual Parameters'!$B$33:$W$143,21,FALSE)/VLOOKUP('Source VoT'!$F$27,'Annual Parameters'!$B$33:$W$143,21,FALSE)*VLOOKUP($B$14,'Annual Parameters'!$B$33:$W$143,3,FALSE)/VLOOKUP('Source VoT'!$E$27,'Annual Parameters'!$B$33:$W$143,3,FALSE)</f>
        <v>48.550423863709327</v>
      </c>
      <c r="U94" s="73">
        <f>'Source VoT'!$D$28*1*VLOOKUP($B94,'Annual Parameters'!$B$33:$W$143,21,FALSE)/VLOOKUP('Source VoT'!$F$27,'Annual Parameters'!$B$33:$W$143,21,FALSE)*VLOOKUP($B$14,'Annual Parameters'!$B$33:$W$143,3,FALSE)/VLOOKUP('Source VoT'!$E$27,'Annual Parameters'!$B$33:$W$143,3,FALSE)</f>
        <v>48.550423863709327</v>
      </c>
      <c r="V94" s="73">
        <f>'Source VoT'!$D$29*1*VLOOKUP($B94,'Annual Parameters'!$B$33:$W$143,21,FALSE)/VLOOKUP('Source VoT'!$F$27,'Annual Parameters'!$B$33:$W$143,21,FALSE)*VLOOKUP($B$14,'Annual Parameters'!$B$33:$W$143,3,FALSE)/VLOOKUP('Source VoT'!$E$27,'Annual Parameters'!$B$33:$W$143,3,FALSE)</f>
        <v>33.430717701896086</v>
      </c>
      <c r="W94" s="73">
        <f>'Source VoT'!$D$30*1*VLOOKUP($B94,'Annual Parameters'!$B$33:$W$143,21,FALSE)/VLOOKUP('Source VoT'!$F$27,'Annual Parameters'!$B$33:$W$143,21,FALSE)*VLOOKUP($B$14,'Annual Parameters'!$B$33:$W$143,3,FALSE)/VLOOKUP('Source VoT'!$E$27,'Annual Parameters'!$B$33:$W$143,3,FALSE)</f>
        <v>39.389433588576637</v>
      </c>
      <c r="X94" s="73">
        <f>'Source VoT'!$D$31*1*VLOOKUP($B94,'Annual Parameters'!$B$33:$W$143,21,FALSE)/VLOOKUP('Source VoT'!$F$27,'Annual Parameters'!$B$33:$W$143,21,FALSE)*VLOOKUP($B$14,'Annual Parameters'!$B$33:$W$143,3,FALSE)/VLOOKUP('Source VoT'!$E$27,'Annual Parameters'!$B$33:$W$143,3,FALSE)</f>
        <v>40.240678715245295</v>
      </c>
      <c r="Y94" s="73">
        <f>'Source VoT'!$D$32*1*VLOOKUP($B94,'Annual Parameters'!$B$33:$W$143,21,FALSE)/VLOOKUP('Source VoT'!$F$27,'Annual Parameters'!$B$33:$W$143,21,FALSE)*VLOOKUP($B$14,'Annual Parameters'!$B$33:$W$143,3,FALSE)/VLOOKUP('Source VoT'!$E$27,'Annual Parameters'!$B$33:$W$143,3,FALSE)</f>
        <v>27.512835436041904</v>
      </c>
      <c r="Z94" s="73">
        <f>'Source VoT'!$D$33*1*VLOOKUP($B94,'Annual Parameters'!$B$33:$W$143,21,FALSE)/VLOOKUP('Source VoT'!$F$27,'Annual Parameters'!$B$33:$W$143,21,FALSE)*VLOOKUP($B$14,'Annual Parameters'!$B$33:$W$143,3,FALSE)/VLOOKUP('Source VoT'!$E$27,'Annual Parameters'!$B$33:$W$143,3,FALSE)</f>
        <v>35.55883051856771</v>
      </c>
      <c r="AA94" s="73">
        <f>'Source VoT'!$D$34*1*VLOOKUP($B94,'Annual Parameters'!$B$33:$W$143,21,FALSE)/VLOOKUP('Source VoT'!$F$27,'Annual Parameters'!$B$33:$W$143,21,FALSE)*VLOOKUP($B$14,'Annual Parameters'!$B$33:$W$143,3,FALSE)/VLOOKUP('Source VoT'!$E$27,'Annual Parameters'!$B$33:$W$143,3,FALSE)</f>
        <v>48.550423863709327</v>
      </c>
      <c r="AB94" s="73">
        <f>'Source VoT'!$D$35*1*VLOOKUP($B94,'Annual Parameters'!$B$33:$W$143,21,FALSE)/VLOOKUP('Source VoT'!$F$27,'Annual Parameters'!$B$33:$W$143,21,FALSE)*VLOOKUP($B$14,'Annual Parameters'!$B$33:$W$143,3,FALSE)/VLOOKUP('Source VoT'!$E$27,'Annual Parameters'!$B$33:$W$143,3,FALSE)</f>
        <v>80.084525515491038</v>
      </c>
      <c r="AC94" s="73">
        <f>'Source VoT'!$D$36*1*VLOOKUP($B94,'Annual Parameters'!$B$33:$W$143,21,FALSE)/VLOOKUP('Source VoT'!$F$27,'Annual Parameters'!$B$33:$W$143,21,FALSE)*VLOOKUP($B$14,'Annual Parameters'!$B$33:$W$143,3,FALSE)/VLOOKUP('Source VoT'!$E$27,'Annual Parameters'!$B$33:$W$143,3,FALSE)</f>
        <v>27.512835436041904</v>
      </c>
      <c r="AD94" s="73">
        <f>'Source VoT'!$D$37*1*VLOOKUP($B94,'Annual Parameters'!$B$33:$W$143,21,FALSE)/VLOOKUP('Source VoT'!$F$27,'Annual Parameters'!$B$33:$W$143,21,FALSE)*VLOOKUP($B$14,'Annual Parameters'!$B$33:$W$143,3,FALSE)/VLOOKUP('Source VoT'!$E$27,'Annual Parameters'!$B$33:$W$143,3,FALSE)</f>
        <v>27.512835436041904</v>
      </c>
      <c r="AE94" s="73">
        <f>'Source VoT'!$D$38*1*VLOOKUP($B94,'Annual Parameters'!$B$33:$W$143,21,FALSE)/VLOOKUP('Source VoT'!$F$27,'Annual Parameters'!$B$33:$W$143,21,FALSE)*VLOOKUP($B$14,'Annual Parameters'!$B$33:$W$143,3,FALSE)/VLOOKUP('Source VoT'!$E$27,'Annual Parameters'!$B$33:$W$143,3,FALSE)</f>
        <v>27.512835436041904</v>
      </c>
      <c r="AF94" s="73">
        <f>'Source VoT'!$D$39*1*VLOOKUP($B94,'Annual Parameters'!$B$33:$W$143,21,FALSE)/VLOOKUP('Source VoT'!$F$27,'Annual Parameters'!$B$33:$W$143,21,FALSE)*VLOOKUP($B$14,'Annual Parameters'!$B$33:$W$143,3,FALSE)/VLOOKUP('Source VoT'!$E$27,'Annual Parameters'!$B$33:$W$143,3,FALSE)</f>
        <v>48.550423863709327</v>
      </c>
      <c r="AG94" s="74">
        <f>'Source VoT'!$D$40*1*VLOOKUP($B94,'Annual Parameters'!$B$33:$W$143,21,FALSE)/VLOOKUP('Source VoT'!$F$27,'Annual Parameters'!$B$33:$W$143,21,FALSE)*VLOOKUP($B$14,'Annual Parameters'!$B$33:$W$143,3,FALSE)/VLOOKUP('Source VoT'!$E$27,'Annual Parameters'!$B$33:$W$143,3,FALSE)</f>
        <v>52.882490306855715</v>
      </c>
      <c r="AH94" s="73">
        <f>'Source VoT'!$D$45*1*VLOOKUP($B94,'Annual Parameters'!$B$33:$W$143,22,FALSE)/VLOOKUP('Source VoT'!$F$27,'Annual Parameters'!$B$33:$W$143,22,FALSE)*VLOOKUP($B$14,'Annual Parameters'!$B$33:$W$143,3,FALSE)/VLOOKUP('Source VoT'!$E$27,'Annual Parameters'!$B$33:$W$143,3,FALSE)</f>
        <v>32.508566757056983</v>
      </c>
      <c r="AI94" s="73">
        <f>'Source VoT'!$D$46*1*VLOOKUP($B94,'Annual Parameters'!$B$33:$W$143,22,FALSE)/VLOOKUP('Source VoT'!$F$27,'Annual Parameters'!$B$33:$W$143,22,FALSE)*VLOOKUP($B$14,'Annual Parameters'!$B$33:$W$143,3,FALSE)/VLOOKUP('Source VoT'!$E$27,'Annual Parameters'!$B$33:$W$143,3,FALSE)</f>
        <v>14.83788545395711</v>
      </c>
      <c r="AJ94" s="117">
        <f>'Source VoT'!$D$27*VLOOKUP($B94,'Indirect tax correction'!$B$27:$I$127,7,FALSE)*VLOOKUP($B94,'Annual Parameters'!$B$33:$W$143,21,FALSE)/VLOOKUP('Source VoT'!$F$27,'Annual Parameters'!$B$33:$W$143,21,FALSE)*VLOOKUP($B$14,'Annual Parameters'!$B$33:$W$143,3,FALSE)/VLOOKUP('Source VoT'!$E$27,'Annual Parameters'!$B$33:$W$143,3,FALSE)</f>
        <v>57.775004397814108</v>
      </c>
      <c r="AK94" s="73">
        <f>'Source VoT'!$D$28*VLOOKUP($B94,'Indirect tax correction'!$B$27:$I$127,7,FALSE)*VLOOKUP($B94,'Annual Parameters'!$B$33:$W$143,21,FALSE)/VLOOKUP('Source VoT'!$F$27,'Annual Parameters'!$B$33:$W$143,21,FALSE)*VLOOKUP($B$14,'Annual Parameters'!$B$33:$W$143,3,FALSE)/VLOOKUP('Source VoT'!$E$27,'Annual Parameters'!$B$33:$W$143,3,FALSE)</f>
        <v>57.775004397814108</v>
      </c>
      <c r="AL94" s="73">
        <f>'Source VoT'!$D$29*VLOOKUP($B94,'Indirect tax correction'!$B$27:$I$127,7,FALSE)*VLOOKUP($B94,'Annual Parameters'!$B$33:$W$143,21,FALSE)/VLOOKUP('Source VoT'!$F$27,'Annual Parameters'!$B$33:$W$143,21,FALSE)*VLOOKUP($B$14,'Annual Parameters'!$B$33:$W$143,3,FALSE)/VLOOKUP('Source VoT'!$E$27,'Annual Parameters'!$B$33:$W$143,3,FALSE)</f>
        <v>39.782554065256342</v>
      </c>
      <c r="AM94" s="73">
        <f>'Source VoT'!$D$30*VLOOKUP($B94,'Indirect tax correction'!$B$27:$I$127,7,FALSE)*VLOOKUP($B94,'Annual Parameters'!$B$33:$W$143,21,FALSE)/VLOOKUP('Source VoT'!$F$27,'Annual Parameters'!$B$33:$W$143,21,FALSE)*VLOOKUP($B$14,'Annual Parameters'!$B$33:$W$143,3,FALSE)/VLOOKUP('Source VoT'!$E$27,'Annual Parameters'!$B$33:$W$143,3,FALSE)</f>
        <v>46.873425970406196</v>
      </c>
      <c r="AN94" s="73">
        <f>'Source VoT'!$D$31*VLOOKUP($B94,'Indirect tax correction'!$B$27:$I$127,7,FALSE)*VLOOKUP($B94,'Annual Parameters'!$B$33:$W$143,21,FALSE)/VLOOKUP('Source VoT'!$F$27,'Annual Parameters'!$B$33:$W$143,21,FALSE)*VLOOKUP($B$14,'Annual Parameters'!$B$33:$W$143,3,FALSE)/VLOOKUP('Source VoT'!$E$27,'Annual Parameters'!$B$33:$W$143,3,FALSE)</f>
        <v>47.886407671141889</v>
      </c>
      <c r="AO94" s="73">
        <f>'Source VoT'!$D$32*VLOOKUP($B94,'Indirect tax correction'!$B$27:$I$127,7,FALSE)*VLOOKUP($B94,'Annual Parameters'!$B$33:$W$143,21,FALSE)/VLOOKUP('Source VoT'!$F$27,'Annual Parameters'!$B$33:$W$143,21,FALSE)*VLOOKUP($B$14,'Annual Parameters'!$B$33:$W$143,3,FALSE)/VLOOKUP('Source VoT'!$E$27,'Annual Parameters'!$B$33:$W$143,3,FALSE)</f>
        <v>32.740274168889862</v>
      </c>
      <c r="AP94" s="73">
        <f>'Source VoT'!$D$33*VLOOKUP($B94,'Indirect tax correction'!$B$27:$I$127,7,FALSE)*VLOOKUP($B94,'Annual Parameters'!$B$33:$W$143,21,FALSE)/VLOOKUP('Source VoT'!$F$27,'Annual Parameters'!$B$33:$W$143,21,FALSE)*VLOOKUP($B$14,'Annual Parameters'!$B$33:$W$143,3,FALSE)/VLOOKUP('Source VoT'!$E$27,'Annual Parameters'!$B$33:$W$143,3,FALSE)</f>
        <v>42.315008317095568</v>
      </c>
      <c r="AQ94" s="73">
        <f>'Source VoT'!$D$34*VLOOKUP($B94,'Indirect tax correction'!$B$27:$I$127,7,FALSE)*VLOOKUP($B94,'Annual Parameters'!$B$33:$W$143,21,FALSE)/VLOOKUP('Source VoT'!$F$27,'Annual Parameters'!$B$33:$W$143,21,FALSE)*VLOOKUP($B$14,'Annual Parameters'!$B$33:$W$143,3,FALSE)/VLOOKUP('Source VoT'!$E$27,'Annual Parameters'!$B$33:$W$143,3,FALSE)</f>
        <v>57.775004397814108</v>
      </c>
      <c r="AR94" s="73">
        <f>'Source VoT'!$D$35*VLOOKUP($B94,'Indirect tax correction'!$B$27:$I$127,7,FALSE)*VLOOKUP($B94,'Annual Parameters'!$B$33:$W$143,21,FALSE)/VLOOKUP('Source VoT'!$F$27,'Annual Parameters'!$B$33:$W$143,21,FALSE)*VLOOKUP($B$14,'Annual Parameters'!$B$33:$W$143,3,FALSE)/VLOOKUP('Source VoT'!$E$27,'Annual Parameters'!$B$33:$W$143,3,FALSE)</f>
        <v>95.300585363434323</v>
      </c>
      <c r="AS94" s="73">
        <f>'Source VoT'!$D$36*VLOOKUP($B94,'Indirect tax correction'!$B$27:$I$127,7,FALSE)*VLOOKUP($B94,'Annual Parameters'!$B$33:$W$143,21,FALSE)/VLOOKUP('Source VoT'!$F$27,'Annual Parameters'!$B$33:$W$143,21,FALSE)*VLOOKUP($B$14,'Annual Parameters'!$B$33:$W$143,3,FALSE)/VLOOKUP('Source VoT'!$E$27,'Annual Parameters'!$B$33:$W$143,3,FALSE)</f>
        <v>32.740274168889862</v>
      </c>
      <c r="AT94" s="73">
        <f>'Source VoT'!$D$37*VLOOKUP($B94,'Indirect tax correction'!$B$27:$I$127,7,FALSE)*VLOOKUP($B94,'Annual Parameters'!$B$33:$W$143,21,FALSE)/VLOOKUP('Source VoT'!$F$27,'Annual Parameters'!$B$33:$W$143,21,FALSE)*VLOOKUP($B$14,'Annual Parameters'!$B$33:$W$143,3,FALSE)/VLOOKUP('Source VoT'!$E$27,'Annual Parameters'!$B$33:$W$143,3,FALSE)</f>
        <v>32.740274168889862</v>
      </c>
      <c r="AU94" s="73">
        <f>'Source VoT'!$D$38*VLOOKUP($B94,'Indirect tax correction'!$B$27:$I$127,7,FALSE)*VLOOKUP($B94,'Annual Parameters'!$B$33:$W$143,21,FALSE)/VLOOKUP('Source VoT'!$F$27,'Annual Parameters'!$B$33:$W$143,21,FALSE)*VLOOKUP($B$14,'Annual Parameters'!$B$33:$W$143,3,FALSE)/VLOOKUP('Source VoT'!$E$27,'Annual Parameters'!$B$33:$W$143,3,FALSE)</f>
        <v>32.740274168889862</v>
      </c>
      <c r="AV94" s="73">
        <f>'Source VoT'!$D$39*VLOOKUP($B94,'Indirect tax correction'!$B$27:$I$127,7,FALSE)*VLOOKUP($B94,'Annual Parameters'!$B$33:$W$143,21,FALSE)/VLOOKUP('Source VoT'!$F$27,'Annual Parameters'!$B$33:$W$143,21,FALSE)*VLOOKUP($B$14,'Annual Parameters'!$B$33:$W$143,3,FALSE)/VLOOKUP('Source VoT'!$E$27,'Annual Parameters'!$B$33:$W$143,3,FALSE)</f>
        <v>57.775004397814108</v>
      </c>
      <c r="AW94" s="74">
        <f>'Source VoT'!$D$40*VLOOKUP($B94,'Indirect tax correction'!$B$27:$I$127,7,FALSE)*VLOOKUP($B94,'Annual Parameters'!$B$33:$W$143,21,FALSE)/VLOOKUP('Source VoT'!$F$27,'Annual Parameters'!$B$33:$W$143,21,FALSE)*VLOOKUP($B$14,'Annual Parameters'!$B$33:$W$143,3,FALSE)/VLOOKUP('Source VoT'!$E$27,'Annual Parameters'!$B$33:$W$143,3,FALSE)</f>
        <v>62.930163465158294</v>
      </c>
      <c r="AX94" s="73">
        <f>'Source VoT'!$D$45*VLOOKUP($B94,'Indirect tax correction'!$B$27:$I$127,8,FALSE)*VLOOKUP($B94,'Annual Parameters'!$B$33:$W$143,22,FALSE)/VLOOKUP('Source VoT'!$F$27,'Annual Parameters'!$B$33:$W$143,22,FALSE)*VLOOKUP($B$14,'Annual Parameters'!$B$33:$W$143,3,FALSE)/VLOOKUP('Source VoT'!$E$27,'Annual Parameters'!$B$33:$W$143,3,FALSE)</f>
        <v>32.508566757056983</v>
      </c>
      <c r="AY94" s="74">
        <f>'Source VoT'!$D$46*VLOOKUP($B94,'Indirect tax correction'!$B$27:$I$127,8,FALSE)*VLOOKUP($B94,'Annual Parameters'!$B$33:$W$143,22,FALSE)/VLOOKUP('Source VoT'!$F$27,'Annual Parameters'!$B$33:$W$143,22,FALSE)*VLOOKUP($B$14,'Annual Parameters'!$B$33:$W$143,3,FALSE)/VLOOKUP('Source VoT'!$E$27,'Annual Parameters'!$B$33:$W$143,3,FALSE)</f>
        <v>14.83788545395711</v>
      </c>
      <c r="AZ94" s="2875"/>
      <c r="BA94" s="2875"/>
      <c r="BB94" s="2875"/>
      <c r="BC94" s="2875"/>
      <c r="BD94" s="2875"/>
      <c r="BE94" s="2875"/>
      <c r="BF94" s="2875"/>
      <c r="BG94" s="2875"/>
    </row>
    <row r="95" spans="1:59" ht="13.5" customHeight="1">
      <c r="A95" s="90"/>
      <c r="B95" s="82">
        <f t="shared" si="1"/>
        <v>2078</v>
      </c>
      <c r="C95" s="82"/>
      <c r="D95" s="117">
        <f>'Source VoT'!$D$27*VLOOKUP($B95,'Indirect tax correction'!$B$27:$I$127,5,FALSE)*VLOOKUP($B95,'Annual Parameters'!$B$33:$W$143,21,FALSE)/VLOOKUP('Source VoT'!$F$27,'Annual Parameters'!$B$33:$W$143,21,FALSE)*VLOOKUP($B$14,'Annual Parameters'!$B$33:$W$143,3,FALSE)/VLOOKUP('Source VoT'!$E$27,'Annual Parameters'!$B$33:$W$143,3,FALSE)</f>
        <v>49.570742917741427</v>
      </c>
      <c r="E95" s="73">
        <f>'Source VoT'!$D$28*VLOOKUP($B95,'Indirect tax correction'!$B$27:$I$127,5,FALSE)*VLOOKUP($B95,'Annual Parameters'!$B$33:$W$143,21,FALSE)/VLOOKUP('Source VoT'!$F$27,'Annual Parameters'!$B$33:$W$143,21,FALSE)*VLOOKUP($B$14,'Annual Parameters'!$B$33:$W$143,3,FALSE)/VLOOKUP('Source VoT'!$E$27,'Annual Parameters'!$B$33:$W$143,3,FALSE)</f>
        <v>49.570742917741427</v>
      </c>
      <c r="F95" s="73">
        <f>'Source VoT'!$D$29*VLOOKUP($B95,'Indirect tax correction'!$B$27:$I$127,5,FALSE)*VLOOKUP($B95,'Annual Parameters'!$B$33:$W$143,21,FALSE)/VLOOKUP('Source VoT'!$F$27,'Annual Parameters'!$B$33:$W$143,21,FALSE)*VLOOKUP($B$14,'Annual Parameters'!$B$33:$W$143,3,FALSE)/VLOOKUP('Source VoT'!$E$27,'Annual Parameters'!$B$33:$W$143,3,FALSE)</f>
        <v>34.133286197630866</v>
      </c>
      <c r="G95" s="73">
        <f>'Source VoT'!$D$30*VLOOKUP($B95,'Indirect tax correction'!$B$27:$I$127,5,FALSE)*VLOOKUP($B95,'Annual Parameters'!$B$33:$W$143,21,FALSE)/VLOOKUP('Source VoT'!$F$27,'Annual Parameters'!$B$33:$W$143,21,FALSE)*VLOOKUP($B$14,'Annual Parameters'!$B$33:$W$143,3,FALSE)/VLOOKUP('Source VoT'!$E$27,'Annual Parameters'!$B$33:$W$143,3,FALSE)</f>
        <v>40.217228413412293</v>
      </c>
      <c r="H95" s="73">
        <f>'Source VoT'!$D$31*VLOOKUP($B95,'Indirect tax correction'!$B$27:$I$127,5,FALSE)*VLOOKUP($B95,'Annual Parameters'!$B$33:$W$143,21,FALSE)/VLOOKUP('Source VoT'!$F$27,'Annual Parameters'!$B$33:$W$143,21,FALSE)*VLOOKUP($B$14,'Annual Parameters'!$B$33:$W$143,3,FALSE)/VLOOKUP('Source VoT'!$E$27,'Annual Parameters'!$B$33:$W$143,3,FALSE)</f>
        <v>41.086363015666784</v>
      </c>
      <c r="I95" s="73">
        <f>'Source VoT'!$D$32*VLOOKUP($B95,'Indirect tax correction'!$B$27:$I$127,5,FALSE)*VLOOKUP($B95,'Annual Parameters'!$B$33:$W$143,21,FALSE)/VLOOKUP('Source VoT'!$F$27,'Annual Parameters'!$B$33:$W$143,21,FALSE)*VLOOKUP($B$14,'Annual Parameters'!$B$33:$W$143,3,FALSE)/VLOOKUP('Source VoT'!$E$27,'Annual Parameters'!$B$33:$W$143,3,FALSE)</f>
        <v>28.091035748044241</v>
      </c>
      <c r="J95" s="73">
        <f>'Source VoT'!$D$33*VLOOKUP($B95,'Indirect tax correction'!$B$27:$I$127,5,FALSE)*VLOOKUP($B95,'Annual Parameters'!$B$33:$W$143,21,FALSE)/VLOOKUP('Source VoT'!$F$27,'Annual Parameters'!$B$33:$W$143,21,FALSE)*VLOOKUP($B$14,'Annual Parameters'!$B$33:$W$143,3,FALSE)/VLOOKUP('Source VoT'!$E$27,'Annual Parameters'!$B$33:$W$143,3,FALSE)</f>
        <v>36.306122703267086</v>
      </c>
      <c r="K95" s="73">
        <f>'Source VoT'!$D$34*VLOOKUP($B95,'Indirect tax correction'!$B$27:$I$127,5,FALSE)*VLOOKUP($B95,'Annual Parameters'!$B$33:$W$143,21,FALSE)/VLOOKUP('Source VoT'!$F$27,'Annual Parameters'!$B$33:$W$143,21,FALSE)*VLOOKUP($B$14,'Annual Parameters'!$B$33:$W$143,3,FALSE)/VLOOKUP('Source VoT'!$E$27,'Annual Parameters'!$B$33:$W$143,3,FALSE)</f>
        <v>49.570742917741427</v>
      </c>
      <c r="L95" s="73">
        <f>'Source VoT'!$D$35*VLOOKUP($B95,'Indirect tax correction'!$B$27:$I$127,5,FALSE)*VLOOKUP($B95,'Annual Parameters'!$B$33:$W$143,21,FALSE)/VLOOKUP('Source VoT'!$F$27,'Annual Parameters'!$B$33:$W$143,21,FALSE)*VLOOKUP($B$14,'Annual Parameters'!$B$33:$W$143,3,FALSE)/VLOOKUP('Source VoT'!$E$27,'Annual Parameters'!$B$33:$W$143,3,FALSE)</f>
        <v>81.767554432930666</v>
      </c>
      <c r="M95" s="73">
        <f>'Source VoT'!$D$36*VLOOKUP($B95,'Indirect tax correction'!$B$27:$I$127,5,FALSE)*VLOOKUP($B95,'Annual Parameters'!$B$33:$W$143,21,FALSE)/VLOOKUP('Source VoT'!$F$27,'Annual Parameters'!$B$33:$W$143,21,FALSE)*VLOOKUP($B$14,'Annual Parameters'!$B$33:$W$143,3,FALSE)/VLOOKUP('Source VoT'!$E$27,'Annual Parameters'!$B$33:$W$143,3,FALSE)</f>
        <v>28.091035748044241</v>
      </c>
      <c r="N95" s="73">
        <f>'Source VoT'!$D$37*VLOOKUP($B95,'Indirect tax correction'!$B$27:$I$127,5,FALSE)*VLOOKUP($B95,'Annual Parameters'!$B$33:$W$143,21,FALSE)/VLOOKUP('Source VoT'!$F$27,'Annual Parameters'!$B$33:$W$143,21,FALSE)*VLOOKUP($B$14,'Annual Parameters'!$B$33:$W$143,3,FALSE)/VLOOKUP('Source VoT'!$E$27,'Annual Parameters'!$B$33:$W$143,3,FALSE)</f>
        <v>28.091035748044241</v>
      </c>
      <c r="O95" s="73">
        <f>'Source VoT'!$D$38*VLOOKUP($B95,'Indirect tax correction'!$B$27:$I$127,5,FALSE)*VLOOKUP($B95,'Annual Parameters'!$B$33:$W$143,21,FALSE)/VLOOKUP('Source VoT'!$F$27,'Annual Parameters'!$B$33:$W$143,21,FALSE)*VLOOKUP($B$14,'Annual Parameters'!$B$33:$W$143,3,FALSE)/VLOOKUP('Source VoT'!$E$27,'Annual Parameters'!$B$33:$W$143,3,FALSE)</f>
        <v>28.091035748044241</v>
      </c>
      <c r="P95" s="73">
        <f>'Source VoT'!$D$39*VLOOKUP($B95,'Indirect tax correction'!$B$27:$I$127,5,FALSE)*VLOOKUP($B95,'Annual Parameters'!$B$33:$W$143,21,FALSE)/VLOOKUP('Source VoT'!$F$27,'Annual Parameters'!$B$33:$W$143,21,FALSE)*VLOOKUP($B$14,'Annual Parameters'!$B$33:$W$143,3,FALSE)/VLOOKUP('Source VoT'!$E$27,'Annual Parameters'!$B$33:$W$143,3,FALSE)</f>
        <v>49.570742917741427</v>
      </c>
      <c r="Q95" s="74">
        <f>'Source VoT'!$D$40*VLOOKUP($B95,'Indirect tax correction'!$B$27:$I$127,5,FALSE)*VLOOKUP($B95,'Annual Parameters'!$B$33:$W$143,21,FALSE)/VLOOKUP('Source VoT'!$F$27,'Annual Parameters'!$B$33:$W$143,21,FALSE)*VLOOKUP($B$14,'Annual Parameters'!$B$33:$W$143,3,FALSE)/VLOOKUP('Source VoT'!$E$27,'Annual Parameters'!$B$33:$W$143,3,FALSE)</f>
        <v>53.993850583260702</v>
      </c>
      <c r="R95" s="73">
        <f>'Source VoT'!$D$45*VLOOKUP($B95,'Indirect tax correction'!$B$27:$I$127,6,FALSE)*VLOOKUP($B95,'Annual Parameters'!$B$33:$W$143,22,FALSE)/VLOOKUP('Source VoT'!$F$27,'Annual Parameters'!$B$33:$W$143,22,FALSE)*VLOOKUP($B$14,'Annual Parameters'!$B$33:$W$143,3,FALSE)/VLOOKUP('Source VoT'!$E$27,'Annual Parameters'!$B$33:$W$143,3,FALSE)</f>
        <v>27.892231634330713</v>
      </c>
      <c r="S95" s="73">
        <f>'Source VoT'!$D$46*VLOOKUP($B95,'Indirect tax correction'!$B$27:$I$127,6,FALSE)*VLOOKUP($B95,'Annual Parameters'!$B$33:$W$143,22,FALSE)/VLOOKUP('Source VoT'!$F$27,'Annual Parameters'!$B$33:$W$143,22,FALSE)*VLOOKUP($B$14,'Annual Parameters'!$B$33:$W$143,3,FALSE)/VLOOKUP('Source VoT'!$E$27,'Annual Parameters'!$B$33:$W$143,3,FALSE)</f>
        <v>12.730851567167187</v>
      </c>
      <c r="T95" s="117">
        <f>'Source VoT'!$D$27*1*VLOOKUP($B95,'Annual Parameters'!$B$33:$W$143,21,FALSE)/VLOOKUP('Source VoT'!$F$27,'Annual Parameters'!$B$33:$W$143,21,FALSE)*VLOOKUP($B$14,'Annual Parameters'!$B$33:$W$143,3,FALSE)/VLOOKUP('Source VoT'!$E$27,'Annual Parameters'!$B$33:$W$143,3,FALSE)</f>
        <v>49.570742917741427</v>
      </c>
      <c r="U95" s="73">
        <f>'Source VoT'!$D$28*1*VLOOKUP($B95,'Annual Parameters'!$B$33:$W$143,21,FALSE)/VLOOKUP('Source VoT'!$F$27,'Annual Parameters'!$B$33:$W$143,21,FALSE)*VLOOKUP($B$14,'Annual Parameters'!$B$33:$W$143,3,FALSE)/VLOOKUP('Source VoT'!$E$27,'Annual Parameters'!$B$33:$W$143,3,FALSE)</f>
        <v>49.570742917741427</v>
      </c>
      <c r="V95" s="73">
        <f>'Source VoT'!$D$29*1*VLOOKUP($B95,'Annual Parameters'!$B$33:$W$143,21,FALSE)/VLOOKUP('Source VoT'!$F$27,'Annual Parameters'!$B$33:$W$143,21,FALSE)*VLOOKUP($B$14,'Annual Parameters'!$B$33:$W$143,3,FALSE)/VLOOKUP('Source VoT'!$E$27,'Annual Parameters'!$B$33:$W$143,3,FALSE)</f>
        <v>34.133286197630866</v>
      </c>
      <c r="W95" s="73">
        <f>'Source VoT'!$D$30*1*VLOOKUP($B95,'Annual Parameters'!$B$33:$W$143,21,FALSE)/VLOOKUP('Source VoT'!$F$27,'Annual Parameters'!$B$33:$W$143,21,FALSE)*VLOOKUP($B$14,'Annual Parameters'!$B$33:$W$143,3,FALSE)/VLOOKUP('Source VoT'!$E$27,'Annual Parameters'!$B$33:$W$143,3,FALSE)</f>
        <v>40.217228413412293</v>
      </c>
      <c r="X95" s="73">
        <f>'Source VoT'!$D$31*1*VLOOKUP($B95,'Annual Parameters'!$B$33:$W$143,21,FALSE)/VLOOKUP('Source VoT'!$F$27,'Annual Parameters'!$B$33:$W$143,21,FALSE)*VLOOKUP($B$14,'Annual Parameters'!$B$33:$W$143,3,FALSE)/VLOOKUP('Source VoT'!$E$27,'Annual Parameters'!$B$33:$W$143,3,FALSE)</f>
        <v>41.086363015666784</v>
      </c>
      <c r="Y95" s="73">
        <f>'Source VoT'!$D$32*1*VLOOKUP($B95,'Annual Parameters'!$B$33:$W$143,21,FALSE)/VLOOKUP('Source VoT'!$F$27,'Annual Parameters'!$B$33:$W$143,21,FALSE)*VLOOKUP($B$14,'Annual Parameters'!$B$33:$W$143,3,FALSE)/VLOOKUP('Source VoT'!$E$27,'Annual Parameters'!$B$33:$W$143,3,FALSE)</f>
        <v>28.091035748044241</v>
      </c>
      <c r="Z95" s="73">
        <f>'Source VoT'!$D$33*1*VLOOKUP($B95,'Annual Parameters'!$B$33:$W$143,21,FALSE)/VLOOKUP('Source VoT'!$F$27,'Annual Parameters'!$B$33:$W$143,21,FALSE)*VLOOKUP($B$14,'Annual Parameters'!$B$33:$W$143,3,FALSE)/VLOOKUP('Source VoT'!$E$27,'Annual Parameters'!$B$33:$W$143,3,FALSE)</f>
        <v>36.306122703267086</v>
      </c>
      <c r="AA95" s="73">
        <f>'Source VoT'!$D$34*1*VLOOKUP($B95,'Annual Parameters'!$B$33:$W$143,21,FALSE)/VLOOKUP('Source VoT'!$F$27,'Annual Parameters'!$B$33:$W$143,21,FALSE)*VLOOKUP($B$14,'Annual Parameters'!$B$33:$W$143,3,FALSE)/VLOOKUP('Source VoT'!$E$27,'Annual Parameters'!$B$33:$W$143,3,FALSE)</f>
        <v>49.570742917741427</v>
      </c>
      <c r="AB95" s="73">
        <f>'Source VoT'!$D$35*1*VLOOKUP($B95,'Annual Parameters'!$B$33:$W$143,21,FALSE)/VLOOKUP('Source VoT'!$F$27,'Annual Parameters'!$B$33:$W$143,21,FALSE)*VLOOKUP($B$14,'Annual Parameters'!$B$33:$W$143,3,FALSE)/VLOOKUP('Source VoT'!$E$27,'Annual Parameters'!$B$33:$W$143,3,FALSE)</f>
        <v>81.767554432930666</v>
      </c>
      <c r="AC95" s="73">
        <f>'Source VoT'!$D$36*1*VLOOKUP($B95,'Annual Parameters'!$B$33:$W$143,21,FALSE)/VLOOKUP('Source VoT'!$F$27,'Annual Parameters'!$B$33:$W$143,21,FALSE)*VLOOKUP($B$14,'Annual Parameters'!$B$33:$W$143,3,FALSE)/VLOOKUP('Source VoT'!$E$27,'Annual Parameters'!$B$33:$W$143,3,FALSE)</f>
        <v>28.091035748044241</v>
      </c>
      <c r="AD95" s="73">
        <f>'Source VoT'!$D$37*1*VLOOKUP($B95,'Annual Parameters'!$B$33:$W$143,21,FALSE)/VLOOKUP('Source VoT'!$F$27,'Annual Parameters'!$B$33:$W$143,21,FALSE)*VLOOKUP($B$14,'Annual Parameters'!$B$33:$W$143,3,FALSE)/VLOOKUP('Source VoT'!$E$27,'Annual Parameters'!$B$33:$W$143,3,FALSE)</f>
        <v>28.091035748044241</v>
      </c>
      <c r="AE95" s="73">
        <f>'Source VoT'!$D$38*1*VLOOKUP($B95,'Annual Parameters'!$B$33:$W$143,21,FALSE)/VLOOKUP('Source VoT'!$F$27,'Annual Parameters'!$B$33:$W$143,21,FALSE)*VLOOKUP($B$14,'Annual Parameters'!$B$33:$W$143,3,FALSE)/VLOOKUP('Source VoT'!$E$27,'Annual Parameters'!$B$33:$W$143,3,FALSE)</f>
        <v>28.091035748044241</v>
      </c>
      <c r="AF95" s="73">
        <f>'Source VoT'!$D$39*1*VLOOKUP($B95,'Annual Parameters'!$B$33:$W$143,21,FALSE)/VLOOKUP('Source VoT'!$F$27,'Annual Parameters'!$B$33:$W$143,21,FALSE)*VLOOKUP($B$14,'Annual Parameters'!$B$33:$W$143,3,FALSE)/VLOOKUP('Source VoT'!$E$27,'Annual Parameters'!$B$33:$W$143,3,FALSE)</f>
        <v>49.570742917741427</v>
      </c>
      <c r="AG95" s="74">
        <f>'Source VoT'!$D$40*1*VLOOKUP($B95,'Annual Parameters'!$B$33:$W$143,21,FALSE)/VLOOKUP('Source VoT'!$F$27,'Annual Parameters'!$B$33:$W$143,21,FALSE)*VLOOKUP($B$14,'Annual Parameters'!$B$33:$W$143,3,FALSE)/VLOOKUP('Source VoT'!$E$27,'Annual Parameters'!$B$33:$W$143,3,FALSE)</f>
        <v>53.993850583260702</v>
      </c>
      <c r="AH95" s="73">
        <f>'Source VoT'!$D$45*1*VLOOKUP($B95,'Annual Parameters'!$B$33:$W$143,22,FALSE)/VLOOKUP('Source VoT'!$F$27,'Annual Parameters'!$B$33:$W$143,22,FALSE)*VLOOKUP($B$14,'Annual Parameters'!$B$33:$W$143,3,FALSE)/VLOOKUP('Source VoT'!$E$27,'Annual Parameters'!$B$33:$W$143,3,FALSE)</f>
        <v>33.191755644853544</v>
      </c>
      <c r="AI95" s="73">
        <f>'Source VoT'!$D$46*1*VLOOKUP($B95,'Annual Parameters'!$B$33:$W$143,22,FALSE)/VLOOKUP('Source VoT'!$F$27,'Annual Parameters'!$B$33:$W$143,22,FALSE)*VLOOKUP($B$14,'Annual Parameters'!$B$33:$W$143,3,FALSE)/VLOOKUP('Source VoT'!$E$27,'Annual Parameters'!$B$33:$W$143,3,FALSE)</f>
        <v>15.149713364928953</v>
      </c>
      <c r="AJ95" s="117">
        <f>'Source VoT'!$D$27*VLOOKUP($B95,'Indirect tax correction'!$B$27:$I$127,7,FALSE)*VLOOKUP($B95,'Annual Parameters'!$B$33:$W$143,21,FALSE)/VLOOKUP('Source VoT'!$F$27,'Annual Parameters'!$B$33:$W$143,21,FALSE)*VLOOKUP($B$14,'Annual Parameters'!$B$33:$W$143,3,FALSE)/VLOOKUP('Source VoT'!$E$27,'Annual Parameters'!$B$33:$W$143,3,FALSE)</f>
        <v>58.989184072112288</v>
      </c>
      <c r="AK95" s="73">
        <f>'Source VoT'!$D$28*VLOOKUP($B95,'Indirect tax correction'!$B$27:$I$127,7,FALSE)*VLOOKUP($B95,'Annual Parameters'!$B$33:$W$143,21,FALSE)/VLOOKUP('Source VoT'!$F$27,'Annual Parameters'!$B$33:$W$143,21,FALSE)*VLOOKUP($B$14,'Annual Parameters'!$B$33:$W$143,3,FALSE)/VLOOKUP('Source VoT'!$E$27,'Annual Parameters'!$B$33:$W$143,3,FALSE)</f>
        <v>58.989184072112288</v>
      </c>
      <c r="AL95" s="73">
        <f>'Source VoT'!$D$29*VLOOKUP($B95,'Indirect tax correction'!$B$27:$I$127,7,FALSE)*VLOOKUP($B95,'Annual Parameters'!$B$33:$W$143,21,FALSE)/VLOOKUP('Source VoT'!$F$27,'Annual Parameters'!$B$33:$W$143,21,FALSE)*VLOOKUP($B$14,'Annual Parameters'!$B$33:$W$143,3,FALSE)/VLOOKUP('Source VoT'!$E$27,'Annual Parameters'!$B$33:$W$143,3,FALSE)</f>
        <v>40.618610575180732</v>
      </c>
      <c r="AM95" s="73">
        <f>'Source VoT'!$D$30*VLOOKUP($B95,'Indirect tax correction'!$B$27:$I$127,7,FALSE)*VLOOKUP($B95,'Annual Parameters'!$B$33:$W$143,21,FALSE)/VLOOKUP('Source VoT'!$F$27,'Annual Parameters'!$B$33:$W$143,21,FALSE)*VLOOKUP($B$14,'Annual Parameters'!$B$33:$W$143,3,FALSE)/VLOOKUP('Source VoT'!$E$27,'Annual Parameters'!$B$33:$W$143,3,FALSE)</f>
        <v>47.858501811960622</v>
      </c>
      <c r="AN95" s="73">
        <f>'Source VoT'!$D$31*VLOOKUP($B95,'Indirect tax correction'!$B$27:$I$127,7,FALSE)*VLOOKUP($B95,'Annual Parameters'!$B$33:$W$143,21,FALSE)/VLOOKUP('Source VoT'!$F$27,'Annual Parameters'!$B$33:$W$143,21,FALSE)*VLOOKUP($B$14,'Annual Parameters'!$B$33:$W$143,3,FALSE)/VLOOKUP('Source VoT'!$E$27,'Annual Parameters'!$B$33:$W$143,3,FALSE)</f>
        <v>48.892771988643474</v>
      </c>
      <c r="AO95" s="73">
        <f>'Source VoT'!$D$32*VLOOKUP($B95,'Indirect tax correction'!$B$27:$I$127,7,FALSE)*VLOOKUP($B95,'Annual Parameters'!$B$33:$W$143,21,FALSE)/VLOOKUP('Source VoT'!$F$27,'Annual Parameters'!$B$33:$W$143,21,FALSE)*VLOOKUP($B$14,'Annual Parameters'!$B$33:$W$143,3,FALSE)/VLOOKUP('Source VoT'!$E$27,'Annual Parameters'!$B$33:$W$143,3,FALSE)</f>
        <v>33.428332540172647</v>
      </c>
      <c r="AP95" s="73">
        <f>'Source VoT'!$D$33*VLOOKUP($B95,'Indirect tax correction'!$B$27:$I$127,7,FALSE)*VLOOKUP($B95,'Annual Parameters'!$B$33:$W$143,21,FALSE)/VLOOKUP('Source VoT'!$F$27,'Annual Parameters'!$B$33:$W$143,21,FALSE)*VLOOKUP($B$14,'Annual Parameters'!$B$33:$W$143,3,FALSE)/VLOOKUP('Source VoT'!$E$27,'Annual Parameters'!$B$33:$W$143,3,FALSE)</f>
        <v>43.204286016887828</v>
      </c>
      <c r="AQ95" s="73">
        <f>'Source VoT'!$D$34*VLOOKUP($B95,'Indirect tax correction'!$B$27:$I$127,7,FALSE)*VLOOKUP($B95,'Annual Parameters'!$B$33:$W$143,21,FALSE)/VLOOKUP('Source VoT'!$F$27,'Annual Parameters'!$B$33:$W$143,21,FALSE)*VLOOKUP($B$14,'Annual Parameters'!$B$33:$W$143,3,FALSE)/VLOOKUP('Source VoT'!$E$27,'Annual Parameters'!$B$33:$W$143,3,FALSE)</f>
        <v>58.989184072112288</v>
      </c>
      <c r="AR95" s="73">
        <f>'Source VoT'!$D$35*VLOOKUP($B95,'Indirect tax correction'!$B$27:$I$127,7,FALSE)*VLOOKUP($B95,'Annual Parameters'!$B$33:$W$143,21,FALSE)/VLOOKUP('Source VoT'!$F$27,'Annual Parameters'!$B$33:$W$143,21,FALSE)*VLOOKUP($B$14,'Annual Parameters'!$B$33:$W$143,3,FALSE)/VLOOKUP('Source VoT'!$E$27,'Annual Parameters'!$B$33:$W$143,3,FALSE)</f>
        <v>97.303389775187497</v>
      </c>
      <c r="AS95" s="73">
        <f>'Source VoT'!$D$36*VLOOKUP($B95,'Indirect tax correction'!$B$27:$I$127,7,FALSE)*VLOOKUP($B95,'Annual Parameters'!$B$33:$W$143,21,FALSE)/VLOOKUP('Source VoT'!$F$27,'Annual Parameters'!$B$33:$W$143,21,FALSE)*VLOOKUP($B$14,'Annual Parameters'!$B$33:$W$143,3,FALSE)/VLOOKUP('Source VoT'!$E$27,'Annual Parameters'!$B$33:$W$143,3,FALSE)</f>
        <v>33.428332540172647</v>
      </c>
      <c r="AT95" s="73">
        <f>'Source VoT'!$D$37*VLOOKUP($B95,'Indirect tax correction'!$B$27:$I$127,7,FALSE)*VLOOKUP($B95,'Annual Parameters'!$B$33:$W$143,21,FALSE)/VLOOKUP('Source VoT'!$F$27,'Annual Parameters'!$B$33:$W$143,21,FALSE)*VLOOKUP($B$14,'Annual Parameters'!$B$33:$W$143,3,FALSE)/VLOOKUP('Source VoT'!$E$27,'Annual Parameters'!$B$33:$W$143,3,FALSE)</f>
        <v>33.428332540172647</v>
      </c>
      <c r="AU95" s="73">
        <f>'Source VoT'!$D$38*VLOOKUP($B95,'Indirect tax correction'!$B$27:$I$127,7,FALSE)*VLOOKUP($B95,'Annual Parameters'!$B$33:$W$143,21,FALSE)/VLOOKUP('Source VoT'!$F$27,'Annual Parameters'!$B$33:$W$143,21,FALSE)*VLOOKUP($B$14,'Annual Parameters'!$B$33:$W$143,3,FALSE)/VLOOKUP('Source VoT'!$E$27,'Annual Parameters'!$B$33:$W$143,3,FALSE)</f>
        <v>33.428332540172647</v>
      </c>
      <c r="AV95" s="73">
        <f>'Source VoT'!$D$39*VLOOKUP($B95,'Indirect tax correction'!$B$27:$I$127,7,FALSE)*VLOOKUP($B95,'Annual Parameters'!$B$33:$W$143,21,FALSE)/VLOOKUP('Source VoT'!$F$27,'Annual Parameters'!$B$33:$W$143,21,FALSE)*VLOOKUP($B$14,'Annual Parameters'!$B$33:$W$143,3,FALSE)/VLOOKUP('Source VoT'!$E$27,'Annual Parameters'!$B$33:$W$143,3,FALSE)</f>
        <v>58.989184072112288</v>
      </c>
      <c r="AW95" s="74">
        <f>'Source VoT'!$D$40*VLOOKUP($B95,'Indirect tax correction'!$B$27:$I$127,7,FALSE)*VLOOKUP($B95,'Annual Parameters'!$B$33:$W$143,21,FALSE)/VLOOKUP('Source VoT'!$F$27,'Annual Parameters'!$B$33:$W$143,21,FALSE)*VLOOKUP($B$14,'Annual Parameters'!$B$33:$W$143,3,FALSE)/VLOOKUP('Source VoT'!$E$27,'Annual Parameters'!$B$33:$W$143,3,FALSE)</f>
        <v>64.252682194080236</v>
      </c>
      <c r="AX95" s="73">
        <f>'Source VoT'!$D$45*VLOOKUP($B95,'Indirect tax correction'!$B$27:$I$127,8,FALSE)*VLOOKUP($B95,'Annual Parameters'!$B$33:$W$143,22,FALSE)/VLOOKUP('Source VoT'!$F$27,'Annual Parameters'!$B$33:$W$143,22,FALSE)*VLOOKUP($B$14,'Annual Parameters'!$B$33:$W$143,3,FALSE)/VLOOKUP('Source VoT'!$E$27,'Annual Parameters'!$B$33:$W$143,3,FALSE)</f>
        <v>33.191755644853544</v>
      </c>
      <c r="AY95" s="74">
        <f>'Source VoT'!$D$46*VLOOKUP($B95,'Indirect tax correction'!$B$27:$I$127,8,FALSE)*VLOOKUP($B95,'Annual Parameters'!$B$33:$W$143,22,FALSE)/VLOOKUP('Source VoT'!$F$27,'Annual Parameters'!$B$33:$W$143,22,FALSE)*VLOOKUP($B$14,'Annual Parameters'!$B$33:$W$143,3,FALSE)/VLOOKUP('Source VoT'!$E$27,'Annual Parameters'!$B$33:$W$143,3,FALSE)</f>
        <v>15.149713364928953</v>
      </c>
      <c r="AZ95" s="2875"/>
      <c r="BA95" s="2875"/>
      <c r="BB95" s="2875"/>
      <c r="BC95" s="2875"/>
      <c r="BD95" s="2875"/>
      <c r="BE95" s="2875"/>
      <c r="BF95" s="2875"/>
      <c r="BG95" s="2875"/>
    </row>
    <row r="96" spans="1:59" ht="13.5" customHeight="1">
      <c r="A96" s="90"/>
      <c r="B96" s="82">
        <f t="shared" si="1"/>
        <v>2079</v>
      </c>
      <c r="C96" s="82"/>
      <c r="D96" s="117">
        <f>'Source VoT'!$D$27*VLOOKUP($B96,'Indirect tax correction'!$B$27:$I$127,5,FALSE)*VLOOKUP($B96,'Annual Parameters'!$B$33:$W$143,21,FALSE)/VLOOKUP('Source VoT'!$F$27,'Annual Parameters'!$B$33:$W$143,21,FALSE)*VLOOKUP($B$14,'Annual Parameters'!$B$33:$W$143,3,FALSE)/VLOOKUP('Source VoT'!$E$27,'Annual Parameters'!$B$33:$W$143,3,FALSE)</f>
        <v>50.61299242468921</v>
      </c>
      <c r="E96" s="73">
        <f>'Source VoT'!$D$28*VLOOKUP($B96,'Indirect tax correction'!$B$27:$I$127,5,FALSE)*VLOOKUP($B96,'Annual Parameters'!$B$33:$W$143,21,FALSE)/VLOOKUP('Source VoT'!$F$27,'Annual Parameters'!$B$33:$W$143,21,FALSE)*VLOOKUP($B$14,'Annual Parameters'!$B$33:$W$143,3,FALSE)/VLOOKUP('Source VoT'!$E$27,'Annual Parameters'!$B$33:$W$143,3,FALSE)</f>
        <v>50.61299242468921</v>
      </c>
      <c r="F96" s="73">
        <f>'Source VoT'!$D$29*VLOOKUP($B96,'Indirect tax correction'!$B$27:$I$127,5,FALSE)*VLOOKUP($B96,'Annual Parameters'!$B$33:$W$143,21,FALSE)/VLOOKUP('Source VoT'!$F$27,'Annual Parameters'!$B$33:$W$143,21,FALSE)*VLOOKUP($B$14,'Annual Parameters'!$B$33:$W$143,3,FALSE)/VLOOKUP('Source VoT'!$E$27,'Annual Parameters'!$B$33:$W$143,3,FALSE)</f>
        <v>34.850955504484368</v>
      </c>
      <c r="G96" s="73">
        <f>'Source VoT'!$D$30*VLOOKUP($B96,'Indirect tax correction'!$B$27:$I$127,5,FALSE)*VLOOKUP($B96,'Annual Parameters'!$B$33:$W$143,21,FALSE)/VLOOKUP('Source VoT'!$F$27,'Annual Parameters'!$B$33:$W$143,21,FALSE)*VLOOKUP($B$14,'Annual Parameters'!$B$33:$W$143,3,FALSE)/VLOOKUP('Source VoT'!$E$27,'Annual Parameters'!$B$33:$W$143,3,FALSE)</f>
        <v>41.062815629126256</v>
      </c>
      <c r="H96" s="73">
        <f>'Source VoT'!$D$31*VLOOKUP($B96,'Indirect tax correction'!$B$27:$I$127,5,FALSE)*VLOOKUP($B96,'Annual Parameters'!$B$33:$W$143,21,FALSE)/VLOOKUP('Source VoT'!$F$27,'Annual Parameters'!$B$33:$W$143,21,FALSE)*VLOOKUP($B$14,'Annual Parameters'!$B$33:$W$143,3,FALSE)/VLOOKUP('Source VoT'!$E$27,'Annual Parameters'!$B$33:$W$143,3,FALSE)</f>
        <v>41.950224218360816</v>
      </c>
      <c r="I96" s="73">
        <f>'Source VoT'!$D$32*VLOOKUP($B96,'Indirect tax correction'!$B$27:$I$127,5,FALSE)*VLOOKUP($B96,'Annual Parameters'!$B$33:$W$143,21,FALSE)/VLOOKUP('Source VoT'!$F$27,'Annual Parameters'!$B$33:$W$143,21,FALSE)*VLOOKUP($B$14,'Annual Parameters'!$B$33:$W$143,3,FALSE)/VLOOKUP('Source VoT'!$E$27,'Annual Parameters'!$B$33:$W$143,3,FALSE)</f>
        <v>28.681663736142706</v>
      </c>
      <c r="J96" s="73">
        <f>'Source VoT'!$D$33*VLOOKUP($B96,'Indirect tax correction'!$B$27:$I$127,5,FALSE)*VLOOKUP($B96,'Annual Parameters'!$B$33:$W$143,21,FALSE)/VLOOKUP('Source VoT'!$F$27,'Annual Parameters'!$B$33:$W$143,21,FALSE)*VLOOKUP($B$14,'Annual Parameters'!$B$33:$W$143,3,FALSE)/VLOOKUP('Source VoT'!$E$27,'Annual Parameters'!$B$33:$W$143,3,FALSE)</f>
        <v>37.069476977570751</v>
      </c>
      <c r="K96" s="73">
        <f>'Source VoT'!$D$34*VLOOKUP($B96,'Indirect tax correction'!$B$27:$I$127,5,FALSE)*VLOOKUP($B96,'Annual Parameters'!$B$33:$W$143,21,FALSE)/VLOOKUP('Source VoT'!$F$27,'Annual Parameters'!$B$33:$W$143,21,FALSE)*VLOOKUP($B$14,'Annual Parameters'!$B$33:$W$143,3,FALSE)/VLOOKUP('Source VoT'!$E$27,'Annual Parameters'!$B$33:$W$143,3,FALSE)</f>
        <v>50.61299242468921</v>
      </c>
      <c r="L96" s="73">
        <f>'Source VoT'!$D$35*VLOOKUP($B96,'Indirect tax correction'!$B$27:$I$127,5,FALSE)*VLOOKUP($B96,'Annual Parameters'!$B$33:$W$143,21,FALSE)/VLOOKUP('Source VoT'!$F$27,'Annual Parameters'!$B$33:$W$143,21,FALSE)*VLOOKUP($B$14,'Annual Parameters'!$B$33:$W$143,3,FALSE)/VLOOKUP('Source VoT'!$E$27,'Annual Parameters'!$B$33:$W$143,3,FALSE)</f>
        <v>83.486757904088392</v>
      </c>
      <c r="M96" s="73">
        <f>'Source VoT'!$D$36*VLOOKUP($B96,'Indirect tax correction'!$B$27:$I$127,5,FALSE)*VLOOKUP($B96,'Annual Parameters'!$B$33:$W$143,21,FALSE)/VLOOKUP('Source VoT'!$F$27,'Annual Parameters'!$B$33:$W$143,21,FALSE)*VLOOKUP($B$14,'Annual Parameters'!$B$33:$W$143,3,FALSE)/VLOOKUP('Source VoT'!$E$27,'Annual Parameters'!$B$33:$W$143,3,FALSE)</f>
        <v>28.681663736142706</v>
      </c>
      <c r="N96" s="73">
        <f>'Source VoT'!$D$37*VLOOKUP($B96,'Indirect tax correction'!$B$27:$I$127,5,FALSE)*VLOOKUP($B96,'Annual Parameters'!$B$33:$W$143,21,FALSE)/VLOOKUP('Source VoT'!$F$27,'Annual Parameters'!$B$33:$W$143,21,FALSE)*VLOOKUP($B$14,'Annual Parameters'!$B$33:$W$143,3,FALSE)/VLOOKUP('Source VoT'!$E$27,'Annual Parameters'!$B$33:$W$143,3,FALSE)</f>
        <v>28.681663736142706</v>
      </c>
      <c r="O96" s="73">
        <f>'Source VoT'!$D$38*VLOOKUP($B96,'Indirect tax correction'!$B$27:$I$127,5,FALSE)*VLOOKUP($B96,'Annual Parameters'!$B$33:$W$143,21,FALSE)/VLOOKUP('Source VoT'!$F$27,'Annual Parameters'!$B$33:$W$143,21,FALSE)*VLOOKUP($B$14,'Annual Parameters'!$B$33:$W$143,3,FALSE)/VLOOKUP('Source VoT'!$E$27,'Annual Parameters'!$B$33:$W$143,3,FALSE)</f>
        <v>28.681663736142706</v>
      </c>
      <c r="P96" s="73">
        <f>'Source VoT'!$D$39*VLOOKUP($B96,'Indirect tax correction'!$B$27:$I$127,5,FALSE)*VLOOKUP($B96,'Annual Parameters'!$B$33:$W$143,21,FALSE)/VLOOKUP('Source VoT'!$F$27,'Annual Parameters'!$B$33:$W$143,21,FALSE)*VLOOKUP($B$14,'Annual Parameters'!$B$33:$W$143,3,FALSE)/VLOOKUP('Source VoT'!$E$27,'Annual Parameters'!$B$33:$W$143,3,FALSE)</f>
        <v>50.61299242468921</v>
      </c>
      <c r="Q96" s="74">
        <f>'Source VoT'!$D$40*VLOOKUP($B96,'Indirect tax correction'!$B$27:$I$127,5,FALSE)*VLOOKUP($B96,'Annual Parameters'!$B$33:$W$143,21,FALSE)/VLOOKUP('Source VoT'!$F$27,'Annual Parameters'!$B$33:$W$143,21,FALSE)*VLOOKUP($B$14,'Annual Parameters'!$B$33:$W$143,3,FALSE)/VLOOKUP('Source VoT'!$E$27,'Annual Parameters'!$B$33:$W$143,3,FALSE)</f>
        <v>55.129098127200081</v>
      </c>
      <c r="R96" s="73">
        <f>'Source VoT'!$D$45*VLOOKUP($B96,'Indirect tax correction'!$B$27:$I$127,6,FALSE)*VLOOKUP($B96,'Annual Parameters'!$B$33:$W$143,22,FALSE)/VLOOKUP('Source VoT'!$F$27,'Annual Parameters'!$B$33:$W$143,22,FALSE)*VLOOKUP($B$14,'Annual Parameters'!$B$33:$W$143,3,FALSE)/VLOOKUP('Source VoT'!$E$27,'Annual Parameters'!$B$33:$W$143,3,FALSE)</f>
        <v>28.478679667130926</v>
      </c>
      <c r="S96" s="73">
        <f>'Source VoT'!$D$46*VLOOKUP($B96,'Indirect tax correction'!$B$27:$I$127,6,FALSE)*VLOOKUP($B96,'Annual Parameters'!$B$33:$W$143,22,FALSE)/VLOOKUP('Source VoT'!$F$27,'Annual Parameters'!$B$33:$W$143,22,FALSE)*VLOOKUP($B$14,'Annual Parameters'!$B$33:$W$143,3,FALSE)/VLOOKUP('Source VoT'!$E$27,'Annual Parameters'!$B$33:$W$143,3,FALSE)</f>
        <v>12.99852404871389</v>
      </c>
      <c r="T96" s="117">
        <f>'Source VoT'!$D$27*1*VLOOKUP($B96,'Annual Parameters'!$B$33:$W$143,21,FALSE)/VLOOKUP('Source VoT'!$F$27,'Annual Parameters'!$B$33:$W$143,21,FALSE)*VLOOKUP($B$14,'Annual Parameters'!$B$33:$W$143,3,FALSE)/VLOOKUP('Source VoT'!$E$27,'Annual Parameters'!$B$33:$W$143,3,FALSE)</f>
        <v>50.61299242468921</v>
      </c>
      <c r="U96" s="73">
        <f>'Source VoT'!$D$28*1*VLOOKUP($B96,'Annual Parameters'!$B$33:$W$143,21,FALSE)/VLOOKUP('Source VoT'!$F$27,'Annual Parameters'!$B$33:$W$143,21,FALSE)*VLOOKUP($B$14,'Annual Parameters'!$B$33:$W$143,3,FALSE)/VLOOKUP('Source VoT'!$E$27,'Annual Parameters'!$B$33:$W$143,3,FALSE)</f>
        <v>50.61299242468921</v>
      </c>
      <c r="V96" s="73">
        <f>'Source VoT'!$D$29*1*VLOOKUP($B96,'Annual Parameters'!$B$33:$W$143,21,FALSE)/VLOOKUP('Source VoT'!$F$27,'Annual Parameters'!$B$33:$W$143,21,FALSE)*VLOOKUP($B$14,'Annual Parameters'!$B$33:$W$143,3,FALSE)/VLOOKUP('Source VoT'!$E$27,'Annual Parameters'!$B$33:$W$143,3,FALSE)</f>
        <v>34.850955504484368</v>
      </c>
      <c r="W96" s="73">
        <f>'Source VoT'!$D$30*1*VLOOKUP($B96,'Annual Parameters'!$B$33:$W$143,21,FALSE)/VLOOKUP('Source VoT'!$F$27,'Annual Parameters'!$B$33:$W$143,21,FALSE)*VLOOKUP($B$14,'Annual Parameters'!$B$33:$W$143,3,FALSE)/VLOOKUP('Source VoT'!$E$27,'Annual Parameters'!$B$33:$W$143,3,FALSE)</f>
        <v>41.062815629126256</v>
      </c>
      <c r="X96" s="73">
        <f>'Source VoT'!$D$31*1*VLOOKUP($B96,'Annual Parameters'!$B$33:$W$143,21,FALSE)/VLOOKUP('Source VoT'!$F$27,'Annual Parameters'!$B$33:$W$143,21,FALSE)*VLOOKUP($B$14,'Annual Parameters'!$B$33:$W$143,3,FALSE)/VLOOKUP('Source VoT'!$E$27,'Annual Parameters'!$B$33:$W$143,3,FALSE)</f>
        <v>41.950224218360816</v>
      </c>
      <c r="Y96" s="73">
        <f>'Source VoT'!$D$32*1*VLOOKUP($B96,'Annual Parameters'!$B$33:$W$143,21,FALSE)/VLOOKUP('Source VoT'!$F$27,'Annual Parameters'!$B$33:$W$143,21,FALSE)*VLOOKUP($B$14,'Annual Parameters'!$B$33:$W$143,3,FALSE)/VLOOKUP('Source VoT'!$E$27,'Annual Parameters'!$B$33:$W$143,3,FALSE)</f>
        <v>28.681663736142706</v>
      </c>
      <c r="Z96" s="73">
        <f>'Source VoT'!$D$33*1*VLOOKUP($B96,'Annual Parameters'!$B$33:$W$143,21,FALSE)/VLOOKUP('Source VoT'!$F$27,'Annual Parameters'!$B$33:$W$143,21,FALSE)*VLOOKUP($B$14,'Annual Parameters'!$B$33:$W$143,3,FALSE)/VLOOKUP('Source VoT'!$E$27,'Annual Parameters'!$B$33:$W$143,3,FALSE)</f>
        <v>37.069476977570751</v>
      </c>
      <c r="AA96" s="73">
        <f>'Source VoT'!$D$34*1*VLOOKUP($B96,'Annual Parameters'!$B$33:$W$143,21,FALSE)/VLOOKUP('Source VoT'!$F$27,'Annual Parameters'!$B$33:$W$143,21,FALSE)*VLOOKUP($B$14,'Annual Parameters'!$B$33:$W$143,3,FALSE)/VLOOKUP('Source VoT'!$E$27,'Annual Parameters'!$B$33:$W$143,3,FALSE)</f>
        <v>50.61299242468921</v>
      </c>
      <c r="AB96" s="73">
        <f>'Source VoT'!$D$35*1*VLOOKUP($B96,'Annual Parameters'!$B$33:$W$143,21,FALSE)/VLOOKUP('Source VoT'!$F$27,'Annual Parameters'!$B$33:$W$143,21,FALSE)*VLOOKUP($B$14,'Annual Parameters'!$B$33:$W$143,3,FALSE)/VLOOKUP('Source VoT'!$E$27,'Annual Parameters'!$B$33:$W$143,3,FALSE)</f>
        <v>83.486757904088392</v>
      </c>
      <c r="AC96" s="73">
        <f>'Source VoT'!$D$36*1*VLOOKUP($B96,'Annual Parameters'!$B$33:$W$143,21,FALSE)/VLOOKUP('Source VoT'!$F$27,'Annual Parameters'!$B$33:$W$143,21,FALSE)*VLOOKUP($B$14,'Annual Parameters'!$B$33:$W$143,3,FALSE)/VLOOKUP('Source VoT'!$E$27,'Annual Parameters'!$B$33:$W$143,3,FALSE)</f>
        <v>28.681663736142706</v>
      </c>
      <c r="AD96" s="73">
        <f>'Source VoT'!$D$37*1*VLOOKUP($B96,'Annual Parameters'!$B$33:$W$143,21,FALSE)/VLOOKUP('Source VoT'!$F$27,'Annual Parameters'!$B$33:$W$143,21,FALSE)*VLOOKUP($B$14,'Annual Parameters'!$B$33:$W$143,3,FALSE)/VLOOKUP('Source VoT'!$E$27,'Annual Parameters'!$B$33:$W$143,3,FALSE)</f>
        <v>28.681663736142706</v>
      </c>
      <c r="AE96" s="73">
        <f>'Source VoT'!$D$38*1*VLOOKUP($B96,'Annual Parameters'!$B$33:$W$143,21,FALSE)/VLOOKUP('Source VoT'!$F$27,'Annual Parameters'!$B$33:$W$143,21,FALSE)*VLOOKUP($B$14,'Annual Parameters'!$B$33:$W$143,3,FALSE)/VLOOKUP('Source VoT'!$E$27,'Annual Parameters'!$B$33:$W$143,3,FALSE)</f>
        <v>28.681663736142706</v>
      </c>
      <c r="AF96" s="73">
        <f>'Source VoT'!$D$39*1*VLOOKUP($B96,'Annual Parameters'!$B$33:$W$143,21,FALSE)/VLOOKUP('Source VoT'!$F$27,'Annual Parameters'!$B$33:$W$143,21,FALSE)*VLOOKUP($B$14,'Annual Parameters'!$B$33:$W$143,3,FALSE)/VLOOKUP('Source VoT'!$E$27,'Annual Parameters'!$B$33:$W$143,3,FALSE)</f>
        <v>50.61299242468921</v>
      </c>
      <c r="AG96" s="74">
        <f>'Source VoT'!$D$40*1*VLOOKUP($B96,'Annual Parameters'!$B$33:$W$143,21,FALSE)/VLOOKUP('Source VoT'!$F$27,'Annual Parameters'!$B$33:$W$143,21,FALSE)*VLOOKUP($B$14,'Annual Parameters'!$B$33:$W$143,3,FALSE)/VLOOKUP('Source VoT'!$E$27,'Annual Parameters'!$B$33:$W$143,3,FALSE)</f>
        <v>55.129098127200081</v>
      </c>
      <c r="AH96" s="73">
        <f>'Source VoT'!$D$45*1*VLOOKUP($B96,'Annual Parameters'!$B$33:$W$143,22,FALSE)/VLOOKUP('Source VoT'!$F$27,'Annual Parameters'!$B$33:$W$143,22,FALSE)*VLOOKUP($B$14,'Annual Parameters'!$B$33:$W$143,3,FALSE)/VLOOKUP('Source VoT'!$E$27,'Annual Parameters'!$B$33:$W$143,3,FALSE)</f>
        <v>33.889628803885799</v>
      </c>
      <c r="AI96" s="73">
        <f>'Source VoT'!$D$46*1*VLOOKUP($B96,'Annual Parameters'!$B$33:$W$143,22,FALSE)/VLOOKUP('Source VoT'!$F$27,'Annual Parameters'!$B$33:$W$143,22,FALSE)*VLOOKUP($B$14,'Annual Parameters'!$B$33:$W$143,3,FALSE)/VLOOKUP('Source VoT'!$E$27,'Annual Parameters'!$B$33:$W$143,3,FALSE)</f>
        <v>15.468243617969527</v>
      </c>
      <c r="AJ96" s="117">
        <f>'Source VoT'!$D$27*VLOOKUP($B96,'Indirect tax correction'!$B$27:$I$127,7,FALSE)*VLOOKUP($B96,'Annual Parameters'!$B$33:$W$143,21,FALSE)/VLOOKUP('Source VoT'!$F$27,'Annual Parameters'!$B$33:$W$143,21,FALSE)*VLOOKUP($B$14,'Annual Parameters'!$B$33:$W$143,3,FALSE)/VLOOKUP('Source VoT'!$E$27,'Annual Parameters'!$B$33:$W$143,3,FALSE)</f>
        <v>60.229460985380157</v>
      </c>
      <c r="AK96" s="73">
        <f>'Source VoT'!$D$28*VLOOKUP($B96,'Indirect tax correction'!$B$27:$I$127,7,FALSE)*VLOOKUP($B96,'Annual Parameters'!$B$33:$W$143,21,FALSE)/VLOOKUP('Source VoT'!$F$27,'Annual Parameters'!$B$33:$W$143,21,FALSE)*VLOOKUP($B$14,'Annual Parameters'!$B$33:$W$143,3,FALSE)/VLOOKUP('Source VoT'!$E$27,'Annual Parameters'!$B$33:$W$143,3,FALSE)</f>
        <v>60.229460985380157</v>
      </c>
      <c r="AL96" s="73">
        <f>'Source VoT'!$D$29*VLOOKUP($B96,'Indirect tax correction'!$B$27:$I$127,7,FALSE)*VLOOKUP($B96,'Annual Parameters'!$B$33:$W$143,21,FALSE)/VLOOKUP('Source VoT'!$F$27,'Annual Parameters'!$B$33:$W$143,21,FALSE)*VLOOKUP($B$14,'Annual Parameters'!$B$33:$W$143,3,FALSE)/VLOOKUP('Source VoT'!$E$27,'Annual Parameters'!$B$33:$W$143,3,FALSE)</f>
        <v>41.472637050336395</v>
      </c>
      <c r="AM96" s="73">
        <f>'Source VoT'!$D$30*VLOOKUP($B96,'Indirect tax correction'!$B$27:$I$127,7,FALSE)*VLOOKUP($B96,'Annual Parameters'!$B$33:$W$143,21,FALSE)/VLOOKUP('Source VoT'!$F$27,'Annual Parameters'!$B$33:$W$143,21,FALSE)*VLOOKUP($B$14,'Annual Parameters'!$B$33:$W$143,3,FALSE)/VLOOKUP('Source VoT'!$E$27,'Annual Parameters'!$B$33:$W$143,3,FALSE)</f>
        <v>48.864750598660237</v>
      </c>
      <c r="AN96" s="73">
        <f>'Source VoT'!$D$31*VLOOKUP($B96,'Indirect tax correction'!$B$27:$I$127,7,FALSE)*VLOOKUP($B96,'Annual Parameters'!$B$33:$W$143,21,FALSE)/VLOOKUP('Source VoT'!$F$27,'Annual Parameters'!$B$33:$W$143,21,FALSE)*VLOOKUP($B$14,'Annual Parameters'!$B$33:$W$143,3,FALSE)/VLOOKUP('Source VoT'!$E$27,'Annual Parameters'!$B$33:$W$143,3,FALSE)</f>
        <v>49.920766819849362</v>
      </c>
      <c r="AO96" s="73">
        <f>'Source VoT'!$D$32*VLOOKUP($B96,'Indirect tax correction'!$B$27:$I$127,7,FALSE)*VLOOKUP($B96,'Annual Parameters'!$B$33:$W$143,21,FALSE)/VLOOKUP('Source VoT'!$F$27,'Annual Parameters'!$B$33:$W$143,21,FALSE)*VLOOKUP($B$14,'Annual Parameters'!$B$33:$W$143,3,FALSE)/VLOOKUP('Source VoT'!$E$27,'Annual Parameters'!$B$33:$W$143,3,FALSE)</f>
        <v>34.131179846009815</v>
      </c>
      <c r="AP96" s="73">
        <f>'Source VoT'!$D$33*VLOOKUP($B96,'Indirect tax correction'!$B$27:$I$127,7,FALSE)*VLOOKUP($B96,'Annual Parameters'!$B$33:$W$143,21,FALSE)/VLOOKUP('Source VoT'!$F$27,'Annual Parameters'!$B$33:$W$143,21,FALSE)*VLOOKUP($B$14,'Annual Parameters'!$B$33:$W$143,3,FALSE)/VLOOKUP('Source VoT'!$E$27,'Annual Parameters'!$B$33:$W$143,3,FALSE)</f>
        <v>44.112677603309194</v>
      </c>
      <c r="AQ96" s="73">
        <f>'Source VoT'!$D$34*VLOOKUP($B96,'Indirect tax correction'!$B$27:$I$127,7,FALSE)*VLOOKUP($B96,'Annual Parameters'!$B$33:$W$143,21,FALSE)/VLOOKUP('Source VoT'!$F$27,'Annual Parameters'!$B$33:$W$143,21,FALSE)*VLOOKUP($B$14,'Annual Parameters'!$B$33:$W$143,3,FALSE)/VLOOKUP('Source VoT'!$E$27,'Annual Parameters'!$B$33:$W$143,3,FALSE)</f>
        <v>60.229460985380157</v>
      </c>
      <c r="AR96" s="73">
        <f>'Source VoT'!$D$35*VLOOKUP($B96,'Indirect tax correction'!$B$27:$I$127,7,FALSE)*VLOOKUP($B96,'Annual Parameters'!$B$33:$W$143,21,FALSE)/VLOOKUP('Source VoT'!$F$27,'Annual Parameters'!$B$33:$W$143,21,FALSE)*VLOOKUP($B$14,'Annual Parameters'!$B$33:$W$143,3,FALSE)/VLOOKUP('Source VoT'!$E$27,'Annual Parameters'!$B$33:$W$143,3,FALSE)</f>
        <v>99.349241905865185</v>
      </c>
      <c r="AS96" s="73">
        <f>'Source VoT'!$D$36*VLOOKUP($B96,'Indirect tax correction'!$B$27:$I$127,7,FALSE)*VLOOKUP($B96,'Annual Parameters'!$B$33:$W$143,21,FALSE)/VLOOKUP('Source VoT'!$F$27,'Annual Parameters'!$B$33:$W$143,21,FALSE)*VLOOKUP($B$14,'Annual Parameters'!$B$33:$W$143,3,FALSE)/VLOOKUP('Source VoT'!$E$27,'Annual Parameters'!$B$33:$W$143,3,FALSE)</f>
        <v>34.131179846009815</v>
      </c>
      <c r="AT96" s="73">
        <f>'Source VoT'!$D$37*VLOOKUP($B96,'Indirect tax correction'!$B$27:$I$127,7,FALSE)*VLOOKUP($B96,'Annual Parameters'!$B$33:$W$143,21,FALSE)/VLOOKUP('Source VoT'!$F$27,'Annual Parameters'!$B$33:$W$143,21,FALSE)*VLOOKUP($B$14,'Annual Parameters'!$B$33:$W$143,3,FALSE)/VLOOKUP('Source VoT'!$E$27,'Annual Parameters'!$B$33:$W$143,3,FALSE)</f>
        <v>34.131179846009815</v>
      </c>
      <c r="AU96" s="73">
        <f>'Source VoT'!$D$38*VLOOKUP($B96,'Indirect tax correction'!$B$27:$I$127,7,FALSE)*VLOOKUP($B96,'Annual Parameters'!$B$33:$W$143,21,FALSE)/VLOOKUP('Source VoT'!$F$27,'Annual Parameters'!$B$33:$W$143,21,FALSE)*VLOOKUP($B$14,'Annual Parameters'!$B$33:$W$143,3,FALSE)/VLOOKUP('Source VoT'!$E$27,'Annual Parameters'!$B$33:$W$143,3,FALSE)</f>
        <v>34.131179846009815</v>
      </c>
      <c r="AV96" s="73">
        <f>'Source VoT'!$D$39*VLOOKUP($B96,'Indirect tax correction'!$B$27:$I$127,7,FALSE)*VLOOKUP($B96,'Annual Parameters'!$B$33:$W$143,21,FALSE)/VLOOKUP('Source VoT'!$F$27,'Annual Parameters'!$B$33:$W$143,21,FALSE)*VLOOKUP($B$14,'Annual Parameters'!$B$33:$W$143,3,FALSE)/VLOOKUP('Source VoT'!$E$27,'Annual Parameters'!$B$33:$W$143,3,FALSE)</f>
        <v>60.229460985380157</v>
      </c>
      <c r="AW96" s="74">
        <f>'Source VoT'!$D$40*VLOOKUP($B96,'Indirect tax correction'!$B$27:$I$127,7,FALSE)*VLOOKUP($B96,'Annual Parameters'!$B$33:$W$143,21,FALSE)/VLOOKUP('Source VoT'!$F$27,'Annual Parameters'!$B$33:$W$143,21,FALSE)*VLOOKUP($B$14,'Annual Parameters'!$B$33:$W$143,3,FALSE)/VLOOKUP('Source VoT'!$E$27,'Annual Parameters'!$B$33:$W$143,3,FALSE)</f>
        <v>65.603626771368084</v>
      </c>
      <c r="AX96" s="73">
        <f>'Source VoT'!$D$45*VLOOKUP($B96,'Indirect tax correction'!$B$27:$I$127,8,FALSE)*VLOOKUP($B96,'Annual Parameters'!$B$33:$W$143,22,FALSE)/VLOOKUP('Source VoT'!$F$27,'Annual Parameters'!$B$33:$W$143,22,FALSE)*VLOOKUP($B$14,'Annual Parameters'!$B$33:$W$143,3,FALSE)/VLOOKUP('Source VoT'!$E$27,'Annual Parameters'!$B$33:$W$143,3,FALSE)</f>
        <v>33.889628803885799</v>
      </c>
      <c r="AY96" s="74">
        <f>'Source VoT'!$D$46*VLOOKUP($B96,'Indirect tax correction'!$B$27:$I$127,8,FALSE)*VLOOKUP($B96,'Annual Parameters'!$B$33:$W$143,22,FALSE)/VLOOKUP('Source VoT'!$F$27,'Annual Parameters'!$B$33:$W$143,22,FALSE)*VLOOKUP($B$14,'Annual Parameters'!$B$33:$W$143,3,FALSE)/VLOOKUP('Source VoT'!$E$27,'Annual Parameters'!$B$33:$W$143,3,FALSE)</f>
        <v>15.468243617969527</v>
      </c>
      <c r="AZ96" s="2875"/>
      <c r="BA96" s="2875"/>
      <c r="BB96" s="2875"/>
      <c r="BC96" s="2875"/>
      <c r="BD96" s="2875"/>
      <c r="BE96" s="2875"/>
      <c r="BF96" s="2875"/>
      <c r="BG96" s="2875"/>
    </row>
    <row r="97" spans="1:59" ht="13.5" customHeight="1">
      <c r="A97" s="90"/>
      <c r="B97" s="82">
        <f t="shared" si="1"/>
        <v>2080</v>
      </c>
      <c r="C97" s="82"/>
      <c r="D97" s="117">
        <f>'Source VoT'!$D$27*VLOOKUP($B97,'Indirect tax correction'!$B$27:$I$127,5,FALSE)*VLOOKUP($B97,'Annual Parameters'!$B$33:$W$143,21,FALSE)/VLOOKUP('Source VoT'!$F$27,'Annual Parameters'!$B$33:$W$143,21,FALSE)*VLOOKUP($B$14,'Annual Parameters'!$B$33:$W$143,3,FALSE)/VLOOKUP('Source VoT'!$E$27,'Annual Parameters'!$B$33:$W$143,3,FALSE)</f>
        <v>51.677760381096341</v>
      </c>
      <c r="E97" s="73">
        <f>'Source VoT'!$D$28*VLOOKUP($B97,'Indirect tax correction'!$B$27:$I$127,5,FALSE)*VLOOKUP($B97,'Annual Parameters'!$B$33:$W$143,21,FALSE)/VLOOKUP('Source VoT'!$F$27,'Annual Parameters'!$B$33:$W$143,21,FALSE)*VLOOKUP($B$14,'Annual Parameters'!$B$33:$W$143,3,FALSE)/VLOOKUP('Source VoT'!$E$27,'Annual Parameters'!$B$33:$W$143,3,FALSE)</f>
        <v>51.677760381096341</v>
      </c>
      <c r="F97" s="73">
        <f>'Source VoT'!$D$29*VLOOKUP($B97,'Indirect tax correction'!$B$27:$I$127,5,FALSE)*VLOOKUP($B97,'Annual Parameters'!$B$33:$W$143,21,FALSE)/VLOOKUP('Source VoT'!$F$27,'Annual Parameters'!$B$33:$W$143,21,FALSE)*VLOOKUP($B$14,'Annual Parameters'!$B$33:$W$143,3,FALSE)/VLOOKUP('Source VoT'!$E$27,'Annual Parameters'!$B$33:$W$143,3,FALSE)</f>
        <v>35.584130503503872</v>
      </c>
      <c r="G97" s="73">
        <f>'Source VoT'!$D$30*VLOOKUP($B97,'Indirect tax correction'!$B$27:$I$127,5,FALSE)*VLOOKUP($B97,'Annual Parameters'!$B$33:$W$143,21,FALSE)/VLOOKUP('Source VoT'!$F$27,'Annual Parameters'!$B$33:$W$143,21,FALSE)*VLOOKUP($B$14,'Annual Parameters'!$B$33:$W$143,3,FALSE)/VLOOKUP('Source VoT'!$E$27,'Annual Parameters'!$B$33:$W$143,3,FALSE)</f>
        <v>41.926672283063589</v>
      </c>
      <c r="H97" s="73">
        <f>'Source VoT'!$D$31*VLOOKUP($B97,'Indirect tax correction'!$B$27:$I$127,5,FALSE)*VLOOKUP($B97,'Annual Parameters'!$B$33:$W$143,21,FALSE)/VLOOKUP('Source VoT'!$F$27,'Annual Parameters'!$B$33:$W$143,21,FALSE)*VLOOKUP($B$14,'Annual Parameters'!$B$33:$W$143,3,FALSE)/VLOOKUP('Source VoT'!$E$27,'Annual Parameters'!$B$33:$W$143,3,FALSE)</f>
        <v>42.83274968014355</v>
      </c>
      <c r="I97" s="73">
        <f>'Source VoT'!$D$32*VLOOKUP($B97,'Indirect tax correction'!$B$27:$I$127,5,FALSE)*VLOOKUP($B97,'Annual Parameters'!$B$33:$W$143,21,FALSE)/VLOOKUP('Source VoT'!$F$27,'Annual Parameters'!$B$33:$W$143,21,FALSE)*VLOOKUP($B$14,'Annual Parameters'!$B$33:$W$143,3,FALSE)/VLOOKUP('Source VoT'!$E$27,'Annual Parameters'!$B$33:$W$143,3,FALSE)</f>
        <v>29.28505260962476</v>
      </c>
      <c r="J97" s="73">
        <f>'Source VoT'!$D$33*VLOOKUP($B97,'Indirect tax correction'!$B$27:$I$127,5,FALSE)*VLOOKUP($B97,'Annual Parameters'!$B$33:$W$143,21,FALSE)/VLOOKUP('Source VoT'!$F$27,'Annual Parameters'!$B$33:$W$143,21,FALSE)*VLOOKUP($B$14,'Annual Parameters'!$B$33:$W$143,3,FALSE)/VLOOKUP('Source VoT'!$E$27,'Annual Parameters'!$B$33:$W$143,3,FALSE)</f>
        <v>37.849323996203765</v>
      </c>
      <c r="K97" s="73">
        <f>'Source VoT'!$D$34*VLOOKUP($B97,'Indirect tax correction'!$B$27:$I$127,5,FALSE)*VLOOKUP($B97,'Annual Parameters'!$B$33:$W$143,21,FALSE)/VLOOKUP('Source VoT'!$F$27,'Annual Parameters'!$B$33:$W$143,21,FALSE)*VLOOKUP($B$14,'Annual Parameters'!$B$33:$W$143,3,FALSE)/VLOOKUP('Source VoT'!$E$27,'Annual Parameters'!$B$33:$W$143,3,FALSE)</f>
        <v>51.677760381096341</v>
      </c>
      <c r="L97" s="73">
        <f>'Source VoT'!$D$35*VLOOKUP($B97,'Indirect tax correction'!$B$27:$I$127,5,FALSE)*VLOOKUP($B97,'Annual Parameters'!$B$33:$W$143,21,FALSE)/VLOOKUP('Source VoT'!$F$27,'Annual Parameters'!$B$33:$W$143,21,FALSE)*VLOOKUP($B$14,'Annual Parameters'!$B$33:$W$143,3,FALSE)/VLOOKUP('Source VoT'!$E$27,'Annual Parameters'!$B$33:$W$143,3,FALSE)</f>
        <v>85.243105836545951</v>
      </c>
      <c r="M97" s="73">
        <f>'Source VoT'!$D$36*VLOOKUP($B97,'Indirect tax correction'!$B$27:$I$127,5,FALSE)*VLOOKUP($B97,'Annual Parameters'!$B$33:$W$143,21,FALSE)/VLOOKUP('Source VoT'!$F$27,'Annual Parameters'!$B$33:$W$143,21,FALSE)*VLOOKUP($B$14,'Annual Parameters'!$B$33:$W$143,3,FALSE)/VLOOKUP('Source VoT'!$E$27,'Annual Parameters'!$B$33:$W$143,3,FALSE)</f>
        <v>29.28505260962476</v>
      </c>
      <c r="N97" s="73">
        <f>'Source VoT'!$D$37*VLOOKUP($B97,'Indirect tax correction'!$B$27:$I$127,5,FALSE)*VLOOKUP($B97,'Annual Parameters'!$B$33:$W$143,21,FALSE)/VLOOKUP('Source VoT'!$F$27,'Annual Parameters'!$B$33:$W$143,21,FALSE)*VLOOKUP($B$14,'Annual Parameters'!$B$33:$W$143,3,FALSE)/VLOOKUP('Source VoT'!$E$27,'Annual Parameters'!$B$33:$W$143,3,FALSE)</f>
        <v>29.28505260962476</v>
      </c>
      <c r="O97" s="73">
        <f>'Source VoT'!$D$38*VLOOKUP($B97,'Indirect tax correction'!$B$27:$I$127,5,FALSE)*VLOOKUP($B97,'Annual Parameters'!$B$33:$W$143,21,FALSE)/VLOOKUP('Source VoT'!$F$27,'Annual Parameters'!$B$33:$W$143,21,FALSE)*VLOOKUP($B$14,'Annual Parameters'!$B$33:$W$143,3,FALSE)/VLOOKUP('Source VoT'!$E$27,'Annual Parameters'!$B$33:$W$143,3,FALSE)</f>
        <v>29.28505260962476</v>
      </c>
      <c r="P97" s="73">
        <f>'Source VoT'!$D$39*VLOOKUP($B97,'Indirect tax correction'!$B$27:$I$127,5,FALSE)*VLOOKUP($B97,'Annual Parameters'!$B$33:$W$143,21,FALSE)/VLOOKUP('Source VoT'!$F$27,'Annual Parameters'!$B$33:$W$143,21,FALSE)*VLOOKUP($B$14,'Annual Parameters'!$B$33:$W$143,3,FALSE)/VLOOKUP('Source VoT'!$E$27,'Annual Parameters'!$B$33:$W$143,3,FALSE)</f>
        <v>51.677760381096341</v>
      </c>
      <c r="Q97" s="74">
        <f>'Source VoT'!$D$40*VLOOKUP($B97,'Indirect tax correction'!$B$27:$I$127,5,FALSE)*VLOOKUP($B97,'Annual Parameters'!$B$33:$W$143,21,FALSE)/VLOOKUP('Source VoT'!$F$27,'Annual Parameters'!$B$33:$W$143,21,FALSE)*VLOOKUP($B$14,'Annual Parameters'!$B$33:$W$143,3,FALSE)/VLOOKUP('Source VoT'!$E$27,'Annual Parameters'!$B$33:$W$143,3,FALSE)</f>
        <v>56.288873401084757</v>
      </c>
      <c r="R97" s="73">
        <f>'Source VoT'!$D$45*VLOOKUP($B97,'Indirect tax correction'!$B$27:$I$127,6,FALSE)*VLOOKUP($B97,'Annual Parameters'!$B$33:$W$143,22,FALSE)/VLOOKUP('Source VoT'!$F$27,'Annual Parameters'!$B$33:$W$143,22,FALSE)*VLOOKUP($B$14,'Annual Parameters'!$B$33:$W$143,3,FALSE)/VLOOKUP('Source VoT'!$E$27,'Annual Parameters'!$B$33:$W$143,3,FALSE)</f>
        <v>29.077798274778253</v>
      </c>
      <c r="S97" s="73">
        <f>'Source VoT'!$D$46*VLOOKUP($B97,'Indirect tax correction'!$B$27:$I$127,6,FALSE)*VLOOKUP($B97,'Annual Parameters'!$B$33:$W$143,22,FALSE)/VLOOKUP('Source VoT'!$F$27,'Annual Parameters'!$B$33:$W$143,22,FALSE)*VLOOKUP($B$14,'Annual Parameters'!$B$33:$W$143,3,FALSE)/VLOOKUP('Source VoT'!$E$27,'Annual Parameters'!$B$33:$W$143,3,FALSE)</f>
        <v>13.271979760866301</v>
      </c>
      <c r="T97" s="117">
        <f>'Source VoT'!$D$27*1*VLOOKUP($B97,'Annual Parameters'!$B$33:$W$143,21,FALSE)/VLOOKUP('Source VoT'!$F$27,'Annual Parameters'!$B$33:$W$143,21,FALSE)*VLOOKUP($B$14,'Annual Parameters'!$B$33:$W$143,3,FALSE)/VLOOKUP('Source VoT'!$E$27,'Annual Parameters'!$B$33:$W$143,3,FALSE)</f>
        <v>51.677760381096341</v>
      </c>
      <c r="U97" s="73">
        <f>'Source VoT'!$D$28*1*VLOOKUP($B97,'Annual Parameters'!$B$33:$W$143,21,FALSE)/VLOOKUP('Source VoT'!$F$27,'Annual Parameters'!$B$33:$W$143,21,FALSE)*VLOOKUP($B$14,'Annual Parameters'!$B$33:$W$143,3,FALSE)/VLOOKUP('Source VoT'!$E$27,'Annual Parameters'!$B$33:$W$143,3,FALSE)</f>
        <v>51.677760381096341</v>
      </c>
      <c r="V97" s="73">
        <f>'Source VoT'!$D$29*1*VLOOKUP($B97,'Annual Parameters'!$B$33:$W$143,21,FALSE)/VLOOKUP('Source VoT'!$F$27,'Annual Parameters'!$B$33:$W$143,21,FALSE)*VLOOKUP($B$14,'Annual Parameters'!$B$33:$W$143,3,FALSE)/VLOOKUP('Source VoT'!$E$27,'Annual Parameters'!$B$33:$W$143,3,FALSE)</f>
        <v>35.584130503503872</v>
      </c>
      <c r="W97" s="73">
        <f>'Source VoT'!$D$30*1*VLOOKUP($B97,'Annual Parameters'!$B$33:$W$143,21,FALSE)/VLOOKUP('Source VoT'!$F$27,'Annual Parameters'!$B$33:$W$143,21,FALSE)*VLOOKUP($B$14,'Annual Parameters'!$B$33:$W$143,3,FALSE)/VLOOKUP('Source VoT'!$E$27,'Annual Parameters'!$B$33:$W$143,3,FALSE)</f>
        <v>41.926672283063589</v>
      </c>
      <c r="X97" s="73">
        <f>'Source VoT'!$D$31*1*VLOOKUP($B97,'Annual Parameters'!$B$33:$W$143,21,FALSE)/VLOOKUP('Source VoT'!$F$27,'Annual Parameters'!$B$33:$W$143,21,FALSE)*VLOOKUP($B$14,'Annual Parameters'!$B$33:$W$143,3,FALSE)/VLOOKUP('Source VoT'!$E$27,'Annual Parameters'!$B$33:$W$143,3,FALSE)</f>
        <v>42.83274968014355</v>
      </c>
      <c r="Y97" s="73">
        <f>'Source VoT'!$D$32*1*VLOOKUP($B97,'Annual Parameters'!$B$33:$W$143,21,FALSE)/VLOOKUP('Source VoT'!$F$27,'Annual Parameters'!$B$33:$W$143,21,FALSE)*VLOOKUP($B$14,'Annual Parameters'!$B$33:$W$143,3,FALSE)/VLOOKUP('Source VoT'!$E$27,'Annual Parameters'!$B$33:$W$143,3,FALSE)</f>
        <v>29.28505260962476</v>
      </c>
      <c r="Z97" s="73">
        <f>'Source VoT'!$D$33*1*VLOOKUP($B97,'Annual Parameters'!$B$33:$W$143,21,FALSE)/VLOOKUP('Source VoT'!$F$27,'Annual Parameters'!$B$33:$W$143,21,FALSE)*VLOOKUP($B$14,'Annual Parameters'!$B$33:$W$143,3,FALSE)/VLOOKUP('Source VoT'!$E$27,'Annual Parameters'!$B$33:$W$143,3,FALSE)</f>
        <v>37.849323996203765</v>
      </c>
      <c r="AA97" s="73">
        <f>'Source VoT'!$D$34*1*VLOOKUP($B97,'Annual Parameters'!$B$33:$W$143,21,FALSE)/VLOOKUP('Source VoT'!$F$27,'Annual Parameters'!$B$33:$W$143,21,FALSE)*VLOOKUP($B$14,'Annual Parameters'!$B$33:$W$143,3,FALSE)/VLOOKUP('Source VoT'!$E$27,'Annual Parameters'!$B$33:$W$143,3,FALSE)</f>
        <v>51.677760381096341</v>
      </c>
      <c r="AB97" s="73">
        <f>'Source VoT'!$D$35*1*VLOOKUP($B97,'Annual Parameters'!$B$33:$W$143,21,FALSE)/VLOOKUP('Source VoT'!$F$27,'Annual Parameters'!$B$33:$W$143,21,FALSE)*VLOOKUP($B$14,'Annual Parameters'!$B$33:$W$143,3,FALSE)/VLOOKUP('Source VoT'!$E$27,'Annual Parameters'!$B$33:$W$143,3,FALSE)</f>
        <v>85.243105836545951</v>
      </c>
      <c r="AC97" s="73">
        <f>'Source VoT'!$D$36*1*VLOOKUP($B97,'Annual Parameters'!$B$33:$W$143,21,FALSE)/VLOOKUP('Source VoT'!$F$27,'Annual Parameters'!$B$33:$W$143,21,FALSE)*VLOOKUP($B$14,'Annual Parameters'!$B$33:$W$143,3,FALSE)/VLOOKUP('Source VoT'!$E$27,'Annual Parameters'!$B$33:$W$143,3,FALSE)</f>
        <v>29.28505260962476</v>
      </c>
      <c r="AD97" s="73">
        <f>'Source VoT'!$D$37*1*VLOOKUP($B97,'Annual Parameters'!$B$33:$W$143,21,FALSE)/VLOOKUP('Source VoT'!$F$27,'Annual Parameters'!$B$33:$W$143,21,FALSE)*VLOOKUP($B$14,'Annual Parameters'!$B$33:$W$143,3,FALSE)/VLOOKUP('Source VoT'!$E$27,'Annual Parameters'!$B$33:$W$143,3,FALSE)</f>
        <v>29.28505260962476</v>
      </c>
      <c r="AE97" s="73">
        <f>'Source VoT'!$D$38*1*VLOOKUP($B97,'Annual Parameters'!$B$33:$W$143,21,FALSE)/VLOOKUP('Source VoT'!$F$27,'Annual Parameters'!$B$33:$W$143,21,FALSE)*VLOOKUP($B$14,'Annual Parameters'!$B$33:$W$143,3,FALSE)/VLOOKUP('Source VoT'!$E$27,'Annual Parameters'!$B$33:$W$143,3,FALSE)</f>
        <v>29.28505260962476</v>
      </c>
      <c r="AF97" s="73">
        <f>'Source VoT'!$D$39*1*VLOOKUP($B97,'Annual Parameters'!$B$33:$W$143,21,FALSE)/VLOOKUP('Source VoT'!$F$27,'Annual Parameters'!$B$33:$W$143,21,FALSE)*VLOOKUP($B$14,'Annual Parameters'!$B$33:$W$143,3,FALSE)/VLOOKUP('Source VoT'!$E$27,'Annual Parameters'!$B$33:$W$143,3,FALSE)</f>
        <v>51.677760381096341</v>
      </c>
      <c r="AG97" s="74">
        <f>'Source VoT'!$D$40*1*VLOOKUP($B97,'Annual Parameters'!$B$33:$W$143,21,FALSE)/VLOOKUP('Source VoT'!$F$27,'Annual Parameters'!$B$33:$W$143,21,FALSE)*VLOOKUP($B$14,'Annual Parameters'!$B$33:$W$143,3,FALSE)/VLOOKUP('Source VoT'!$E$27,'Annual Parameters'!$B$33:$W$143,3,FALSE)</f>
        <v>56.288873401084757</v>
      </c>
      <c r="AH97" s="73">
        <f>'Source VoT'!$D$45*1*VLOOKUP($B97,'Annual Parameters'!$B$33:$W$143,22,FALSE)/VLOOKUP('Source VoT'!$F$27,'Annual Parameters'!$B$33:$W$143,22,FALSE)*VLOOKUP($B$14,'Annual Parameters'!$B$33:$W$143,3,FALSE)/VLOOKUP('Source VoT'!$E$27,'Annual Parameters'!$B$33:$W$143,3,FALSE)</f>
        <v>34.602579946986118</v>
      </c>
      <c r="AI97" s="73">
        <f>'Source VoT'!$D$46*1*VLOOKUP($B97,'Annual Parameters'!$B$33:$W$143,22,FALSE)/VLOOKUP('Source VoT'!$F$27,'Annual Parameters'!$B$33:$W$143,22,FALSE)*VLOOKUP($B$14,'Annual Parameters'!$B$33:$W$143,3,FALSE)/VLOOKUP('Source VoT'!$E$27,'Annual Parameters'!$B$33:$W$143,3,FALSE)</f>
        <v>15.793655915430897</v>
      </c>
      <c r="AJ97" s="117">
        <f>'Source VoT'!$D$27*VLOOKUP($B97,'Indirect tax correction'!$B$27:$I$127,7,FALSE)*VLOOKUP($B97,'Annual Parameters'!$B$33:$W$143,21,FALSE)/VLOOKUP('Source VoT'!$F$27,'Annual Parameters'!$B$33:$W$143,21,FALSE)*VLOOKUP($B$14,'Annual Parameters'!$B$33:$W$143,3,FALSE)/VLOOKUP('Source VoT'!$E$27,'Annual Parameters'!$B$33:$W$143,3,FALSE)</f>
        <v>61.496534853504635</v>
      </c>
      <c r="AK97" s="73">
        <f>'Source VoT'!$D$28*VLOOKUP($B97,'Indirect tax correction'!$B$27:$I$127,7,FALSE)*VLOOKUP($B97,'Annual Parameters'!$B$33:$W$143,21,FALSE)/VLOOKUP('Source VoT'!$F$27,'Annual Parameters'!$B$33:$W$143,21,FALSE)*VLOOKUP($B$14,'Annual Parameters'!$B$33:$W$143,3,FALSE)/VLOOKUP('Source VoT'!$E$27,'Annual Parameters'!$B$33:$W$143,3,FALSE)</f>
        <v>61.496534853504635</v>
      </c>
      <c r="AL97" s="73">
        <f>'Source VoT'!$D$29*VLOOKUP($B97,'Indirect tax correction'!$B$27:$I$127,7,FALSE)*VLOOKUP($B97,'Annual Parameters'!$B$33:$W$143,21,FALSE)/VLOOKUP('Source VoT'!$F$27,'Annual Parameters'!$B$33:$W$143,21,FALSE)*VLOOKUP($B$14,'Annual Parameters'!$B$33:$W$143,3,FALSE)/VLOOKUP('Source VoT'!$E$27,'Annual Parameters'!$B$33:$W$143,3,FALSE)</f>
        <v>42.345115299169599</v>
      </c>
      <c r="AM97" s="73">
        <f>'Source VoT'!$D$30*VLOOKUP($B97,'Indirect tax correction'!$B$27:$I$127,7,FALSE)*VLOOKUP($B97,'Annual Parameters'!$B$33:$W$143,21,FALSE)/VLOOKUP('Source VoT'!$F$27,'Annual Parameters'!$B$33:$W$143,21,FALSE)*VLOOKUP($B$14,'Annual Parameters'!$B$33:$W$143,3,FALSE)/VLOOKUP('Source VoT'!$E$27,'Annual Parameters'!$B$33:$W$143,3,FALSE)</f>
        <v>49.892740016845643</v>
      </c>
      <c r="AN97" s="73">
        <f>'Source VoT'!$D$31*VLOOKUP($B97,'Indirect tax correction'!$B$27:$I$127,7,FALSE)*VLOOKUP($B97,'Annual Parameters'!$B$33:$W$143,21,FALSE)/VLOOKUP('Source VoT'!$F$27,'Annual Parameters'!$B$33:$W$143,21,FALSE)*VLOOKUP($B$14,'Annual Parameters'!$B$33:$W$143,3,FALSE)/VLOOKUP('Source VoT'!$E$27,'Annual Parameters'!$B$33:$W$143,3,FALSE)</f>
        <v>50.970972119370821</v>
      </c>
      <c r="AO97" s="73">
        <f>'Source VoT'!$D$32*VLOOKUP($B97,'Indirect tax correction'!$B$27:$I$127,7,FALSE)*VLOOKUP($B97,'Annual Parameters'!$B$33:$W$143,21,FALSE)/VLOOKUP('Source VoT'!$F$27,'Annual Parameters'!$B$33:$W$143,21,FALSE)*VLOOKUP($B$14,'Annual Parameters'!$B$33:$W$143,3,FALSE)/VLOOKUP('Source VoT'!$E$27,'Annual Parameters'!$B$33:$W$143,3,FALSE)</f>
        <v>34.849212605453467</v>
      </c>
      <c r="AP97" s="73">
        <f>'Source VoT'!$D$33*VLOOKUP($B97,'Indirect tax correction'!$B$27:$I$127,7,FALSE)*VLOOKUP($B97,'Annual Parameters'!$B$33:$W$143,21,FALSE)/VLOOKUP('Source VoT'!$F$27,'Annual Parameters'!$B$33:$W$143,21,FALSE)*VLOOKUP($B$14,'Annual Parameters'!$B$33:$W$143,3,FALSE)/VLOOKUP('Source VoT'!$E$27,'Annual Parameters'!$B$33:$W$143,3,FALSE)</f>
        <v>45.040695555482479</v>
      </c>
      <c r="AQ97" s="73">
        <f>'Source VoT'!$D$34*VLOOKUP($B97,'Indirect tax correction'!$B$27:$I$127,7,FALSE)*VLOOKUP($B97,'Annual Parameters'!$B$33:$W$143,21,FALSE)/VLOOKUP('Source VoT'!$F$27,'Annual Parameters'!$B$33:$W$143,21,FALSE)*VLOOKUP($B$14,'Annual Parameters'!$B$33:$W$143,3,FALSE)/VLOOKUP('Source VoT'!$E$27,'Annual Parameters'!$B$33:$W$143,3,FALSE)</f>
        <v>61.496534853504635</v>
      </c>
      <c r="AR97" s="73">
        <f>'Source VoT'!$D$35*VLOOKUP($B97,'Indirect tax correction'!$B$27:$I$127,7,FALSE)*VLOOKUP($B97,'Annual Parameters'!$B$33:$W$143,21,FALSE)/VLOOKUP('Source VoT'!$F$27,'Annual Parameters'!$B$33:$W$143,21,FALSE)*VLOOKUP($B$14,'Annual Parameters'!$B$33:$W$143,3,FALSE)/VLOOKUP('Source VoT'!$E$27,'Annual Parameters'!$B$33:$W$143,3,FALSE)</f>
        <v>101.43929594548969</v>
      </c>
      <c r="AS97" s="73">
        <f>'Source VoT'!$D$36*VLOOKUP($B97,'Indirect tax correction'!$B$27:$I$127,7,FALSE)*VLOOKUP($B97,'Annual Parameters'!$B$33:$W$143,21,FALSE)/VLOOKUP('Source VoT'!$F$27,'Annual Parameters'!$B$33:$W$143,21,FALSE)*VLOOKUP($B$14,'Annual Parameters'!$B$33:$W$143,3,FALSE)/VLOOKUP('Source VoT'!$E$27,'Annual Parameters'!$B$33:$W$143,3,FALSE)</f>
        <v>34.849212605453467</v>
      </c>
      <c r="AT97" s="73">
        <f>'Source VoT'!$D$37*VLOOKUP($B97,'Indirect tax correction'!$B$27:$I$127,7,FALSE)*VLOOKUP($B97,'Annual Parameters'!$B$33:$W$143,21,FALSE)/VLOOKUP('Source VoT'!$F$27,'Annual Parameters'!$B$33:$W$143,21,FALSE)*VLOOKUP($B$14,'Annual Parameters'!$B$33:$W$143,3,FALSE)/VLOOKUP('Source VoT'!$E$27,'Annual Parameters'!$B$33:$W$143,3,FALSE)</f>
        <v>34.849212605453467</v>
      </c>
      <c r="AU97" s="73">
        <f>'Source VoT'!$D$38*VLOOKUP($B97,'Indirect tax correction'!$B$27:$I$127,7,FALSE)*VLOOKUP($B97,'Annual Parameters'!$B$33:$W$143,21,FALSE)/VLOOKUP('Source VoT'!$F$27,'Annual Parameters'!$B$33:$W$143,21,FALSE)*VLOOKUP($B$14,'Annual Parameters'!$B$33:$W$143,3,FALSE)/VLOOKUP('Source VoT'!$E$27,'Annual Parameters'!$B$33:$W$143,3,FALSE)</f>
        <v>34.849212605453467</v>
      </c>
      <c r="AV97" s="73">
        <f>'Source VoT'!$D$39*VLOOKUP($B97,'Indirect tax correction'!$B$27:$I$127,7,FALSE)*VLOOKUP($B97,'Annual Parameters'!$B$33:$W$143,21,FALSE)/VLOOKUP('Source VoT'!$F$27,'Annual Parameters'!$B$33:$W$143,21,FALSE)*VLOOKUP($B$14,'Annual Parameters'!$B$33:$W$143,3,FALSE)/VLOOKUP('Source VoT'!$E$27,'Annual Parameters'!$B$33:$W$143,3,FALSE)</f>
        <v>61.496534853504635</v>
      </c>
      <c r="AW97" s="74">
        <f>'Source VoT'!$D$40*VLOOKUP($B97,'Indirect tax correction'!$B$27:$I$127,7,FALSE)*VLOOKUP($B97,'Annual Parameters'!$B$33:$W$143,21,FALSE)/VLOOKUP('Source VoT'!$F$27,'Annual Parameters'!$B$33:$W$143,21,FALSE)*VLOOKUP($B$14,'Annual Parameters'!$B$33:$W$143,3,FALSE)/VLOOKUP('Source VoT'!$E$27,'Annual Parameters'!$B$33:$W$143,3,FALSE)</f>
        <v>66.983759347290857</v>
      </c>
      <c r="AX97" s="73">
        <f>'Source VoT'!$D$45*VLOOKUP($B97,'Indirect tax correction'!$B$27:$I$127,8,FALSE)*VLOOKUP($B97,'Annual Parameters'!$B$33:$W$143,22,FALSE)/VLOOKUP('Source VoT'!$F$27,'Annual Parameters'!$B$33:$W$143,22,FALSE)*VLOOKUP($B$14,'Annual Parameters'!$B$33:$W$143,3,FALSE)/VLOOKUP('Source VoT'!$E$27,'Annual Parameters'!$B$33:$W$143,3,FALSE)</f>
        <v>34.602579946986118</v>
      </c>
      <c r="AY97" s="74">
        <f>'Source VoT'!$D$46*VLOOKUP($B97,'Indirect tax correction'!$B$27:$I$127,8,FALSE)*VLOOKUP($B97,'Annual Parameters'!$B$33:$W$143,22,FALSE)/VLOOKUP('Source VoT'!$F$27,'Annual Parameters'!$B$33:$W$143,22,FALSE)*VLOOKUP($B$14,'Annual Parameters'!$B$33:$W$143,3,FALSE)/VLOOKUP('Source VoT'!$E$27,'Annual Parameters'!$B$33:$W$143,3,FALSE)</f>
        <v>15.793655915430897</v>
      </c>
      <c r="AZ97" s="2875"/>
      <c r="BA97" s="2875"/>
      <c r="BB97" s="2875"/>
      <c r="BC97" s="2875"/>
      <c r="BD97" s="2875"/>
      <c r="BE97" s="2875"/>
      <c r="BF97" s="2875"/>
      <c r="BG97" s="2875"/>
    </row>
    <row r="98" spans="1:59" ht="13.5" customHeight="1">
      <c r="A98" s="90"/>
      <c r="B98" s="82">
        <f t="shared" si="1"/>
        <v>2081</v>
      </c>
      <c r="C98" s="82"/>
      <c r="D98" s="117">
        <f>'Source VoT'!$D$27*VLOOKUP($B98,'Indirect tax correction'!$B$27:$I$127,5,FALSE)*VLOOKUP($B98,'Annual Parameters'!$B$33:$W$143,21,FALSE)/VLOOKUP('Source VoT'!$F$27,'Annual Parameters'!$B$33:$W$143,21,FALSE)*VLOOKUP($B$14,'Annual Parameters'!$B$33:$W$143,3,FALSE)/VLOOKUP('Source VoT'!$E$27,'Annual Parameters'!$B$33:$W$143,3,FALSE)</f>
        <v>52.765623740674279</v>
      </c>
      <c r="E98" s="73">
        <f>'Source VoT'!$D$28*VLOOKUP($B98,'Indirect tax correction'!$B$27:$I$127,5,FALSE)*VLOOKUP($B98,'Annual Parameters'!$B$33:$W$143,21,FALSE)/VLOOKUP('Source VoT'!$F$27,'Annual Parameters'!$B$33:$W$143,21,FALSE)*VLOOKUP($B$14,'Annual Parameters'!$B$33:$W$143,3,FALSE)/VLOOKUP('Source VoT'!$E$27,'Annual Parameters'!$B$33:$W$143,3,FALSE)</f>
        <v>52.765623740674279</v>
      </c>
      <c r="F98" s="73">
        <f>'Source VoT'!$D$29*VLOOKUP($B98,'Indirect tax correction'!$B$27:$I$127,5,FALSE)*VLOOKUP($B98,'Annual Parameters'!$B$33:$W$143,21,FALSE)/VLOOKUP('Source VoT'!$F$27,'Annual Parameters'!$B$33:$W$143,21,FALSE)*VLOOKUP($B$14,'Annual Parameters'!$B$33:$W$143,3,FALSE)/VLOOKUP('Source VoT'!$E$27,'Annual Parameters'!$B$33:$W$143,3,FALSE)</f>
        <v>36.333208471893577</v>
      </c>
      <c r="G98" s="73">
        <f>'Source VoT'!$D$30*VLOOKUP($B98,'Indirect tax correction'!$B$27:$I$127,5,FALSE)*VLOOKUP($B98,'Annual Parameters'!$B$33:$W$143,21,FALSE)/VLOOKUP('Source VoT'!$F$27,'Annual Parameters'!$B$33:$W$143,21,FALSE)*VLOOKUP($B$14,'Annual Parameters'!$B$33:$W$143,3,FALSE)/VLOOKUP('Source VoT'!$E$27,'Annual Parameters'!$B$33:$W$143,3,FALSE)</f>
        <v>42.809266463411639</v>
      </c>
      <c r="H98" s="73">
        <f>'Source VoT'!$D$31*VLOOKUP($B98,'Indirect tax correction'!$B$27:$I$127,5,FALSE)*VLOOKUP($B98,'Annual Parameters'!$B$33:$W$143,21,FALSE)/VLOOKUP('Source VoT'!$F$27,'Annual Parameters'!$B$33:$W$143,21,FALSE)*VLOOKUP($B$14,'Annual Parameters'!$B$33:$W$143,3,FALSE)/VLOOKUP('Source VoT'!$E$27,'Annual Parameters'!$B$33:$W$143,3,FALSE)</f>
        <v>43.734417605057089</v>
      </c>
      <c r="I98" s="73">
        <f>'Source VoT'!$D$32*VLOOKUP($B98,'Indirect tax correction'!$B$27:$I$127,5,FALSE)*VLOOKUP($B98,'Annual Parameters'!$B$33:$W$143,21,FALSE)/VLOOKUP('Source VoT'!$F$27,'Annual Parameters'!$B$33:$W$143,21,FALSE)*VLOOKUP($B$14,'Annual Parameters'!$B$33:$W$143,3,FALSE)/VLOOKUP('Source VoT'!$E$27,'Annual Parameters'!$B$33:$W$143,3,FALSE)</f>
        <v>29.901529319961789</v>
      </c>
      <c r="J98" s="73">
        <f>'Source VoT'!$D$33*VLOOKUP($B98,'Indirect tax correction'!$B$27:$I$127,5,FALSE)*VLOOKUP($B98,'Annual Parameters'!$B$33:$W$143,21,FALSE)/VLOOKUP('Source VoT'!$F$27,'Annual Parameters'!$B$33:$W$143,21,FALSE)*VLOOKUP($B$14,'Annual Parameters'!$B$33:$W$143,3,FALSE)/VLOOKUP('Source VoT'!$E$27,'Annual Parameters'!$B$33:$W$143,3,FALSE)</f>
        <v>38.646086326007172</v>
      </c>
      <c r="K98" s="73">
        <f>'Source VoT'!$D$34*VLOOKUP($B98,'Indirect tax correction'!$B$27:$I$127,5,FALSE)*VLOOKUP($B98,'Annual Parameters'!$B$33:$W$143,21,FALSE)/VLOOKUP('Source VoT'!$F$27,'Annual Parameters'!$B$33:$W$143,21,FALSE)*VLOOKUP($B$14,'Annual Parameters'!$B$33:$W$143,3,FALSE)/VLOOKUP('Source VoT'!$E$27,'Annual Parameters'!$B$33:$W$143,3,FALSE)</f>
        <v>52.765623740674279</v>
      </c>
      <c r="L98" s="73">
        <f>'Source VoT'!$D$35*VLOOKUP($B98,'Indirect tax correction'!$B$27:$I$127,5,FALSE)*VLOOKUP($B98,'Annual Parameters'!$B$33:$W$143,21,FALSE)/VLOOKUP('Source VoT'!$F$27,'Annual Parameters'!$B$33:$W$143,21,FALSE)*VLOOKUP($B$14,'Annual Parameters'!$B$33:$W$143,3,FALSE)/VLOOKUP('Source VoT'!$E$27,'Annual Parameters'!$B$33:$W$143,3,FALSE)</f>
        <v>87.037549922596639</v>
      </c>
      <c r="M98" s="73">
        <f>'Source VoT'!$D$36*VLOOKUP($B98,'Indirect tax correction'!$B$27:$I$127,5,FALSE)*VLOOKUP($B98,'Annual Parameters'!$B$33:$W$143,21,FALSE)/VLOOKUP('Source VoT'!$F$27,'Annual Parameters'!$B$33:$W$143,21,FALSE)*VLOOKUP($B$14,'Annual Parameters'!$B$33:$W$143,3,FALSE)/VLOOKUP('Source VoT'!$E$27,'Annual Parameters'!$B$33:$W$143,3,FALSE)</f>
        <v>29.901529319961789</v>
      </c>
      <c r="N98" s="73">
        <f>'Source VoT'!$D$37*VLOOKUP($B98,'Indirect tax correction'!$B$27:$I$127,5,FALSE)*VLOOKUP($B98,'Annual Parameters'!$B$33:$W$143,21,FALSE)/VLOOKUP('Source VoT'!$F$27,'Annual Parameters'!$B$33:$W$143,21,FALSE)*VLOOKUP($B$14,'Annual Parameters'!$B$33:$W$143,3,FALSE)/VLOOKUP('Source VoT'!$E$27,'Annual Parameters'!$B$33:$W$143,3,FALSE)</f>
        <v>29.901529319961789</v>
      </c>
      <c r="O98" s="73">
        <f>'Source VoT'!$D$38*VLOOKUP($B98,'Indirect tax correction'!$B$27:$I$127,5,FALSE)*VLOOKUP($B98,'Annual Parameters'!$B$33:$W$143,21,FALSE)/VLOOKUP('Source VoT'!$F$27,'Annual Parameters'!$B$33:$W$143,21,FALSE)*VLOOKUP($B$14,'Annual Parameters'!$B$33:$W$143,3,FALSE)/VLOOKUP('Source VoT'!$E$27,'Annual Parameters'!$B$33:$W$143,3,FALSE)</f>
        <v>29.901529319961789</v>
      </c>
      <c r="P98" s="73">
        <f>'Source VoT'!$D$39*VLOOKUP($B98,'Indirect tax correction'!$B$27:$I$127,5,FALSE)*VLOOKUP($B98,'Annual Parameters'!$B$33:$W$143,21,FALSE)/VLOOKUP('Source VoT'!$F$27,'Annual Parameters'!$B$33:$W$143,21,FALSE)*VLOOKUP($B$14,'Annual Parameters'!$B$33:$W$143,3,FALSE)/VLOOKUP('Source VoT'!$E$27,'Annual Parameters'!$B$33:$W$143,3,FALSE)</f>
        <v>52.765623740674279</v>
      </c>
      <c r="Q98" s="74">
        <f>'Source VoT'!$D$40*VLOOKUP($B98,'Indirect tax correction'!$B$27:$I$127,5,FALSE)*VLOOKUP($B98,'Annual Parameters'!$B$33:$W$143,21,FALSE)/VLOOKUP('Source VoT'!$F$27,'Annual Parameters'!$B$33:$W$143,21,FALSE)*VLOOKUP($B$14,'Annual Parameters'!$B$33:$W$143,3,FALSE)/VLOOKUP('Source VoT'!$E$27,'Annual Parameters'!$B$33:$W$143,3,FALSE)</f>
        <v>57.473804839161588</v>
      </c>
      <c r="R98" s="73">
        <f>'Source VoT'!$D$45*VLOOKUP($B98,'Indirect tax correction'!$B$27:$I$127,6,FALSE)*VLOOKUP($B98,'Annual Parameters'!$B$33:$W$143,22,FALSE)/VLOOKUP('Source VoT'!$F$27,'Annual Parameters'!$B$33:$W$143,22,FALSE)*VLOOKUP($B$14,'Annual Parameters'!$B$33:$W$143,3,FALSE)/VLOOKUP('Source VoT'!$E$27,'Annual Parameters'!$B$33:$W$143,3,FALSE)</f>
        <v>29.689912094863633</v>
      </c>
      <c r="S98" s="73">
        <f>'Source VoT'!$D$46*VLOOKUP($B98,'Indirect tax correction'!$B$27:$I$127,6,FALSE)*VLOOKUP($B98,'Annual Parameters'!$B$33:$W$143,22,FALSE)/VLOOKUP('Source VoT'!$F$27,'Annual Parameters'!$B$33:$W$143,22,FALSE)*VLOOKUP($B$14,'Annual Parameters'!$B$33:$W$143,3,FALSE)/VLOOKUP('Source VoT'!$E$27,'Annual Parameters'!$B$33:$W$143,3,FALSE)</f>
        <v>13.551366877963348</v>
      </c>
      <c r="T98" s="117">
        <f>'Source VoT'!$D$27*1*VLOOKUP($B98,'Annual Parameters'!$B$33:$W$143,21,FALSE)/VLOOKUP('Source VoT'!$F$27,'Annual Parameters'!$B$33:$W$143,21,FALSE)*VLOOKUP($B$14,'Annual Parameters'!$B$33:$W$143,3,FALSE)/VLOOKUP('Source VoT'!$E$27,'Annual Parameters'!$B$33:$W$143,3,FALSE)</f>
        <v>52.765623740674279</v>
      </c>
      <c r="U98" s="73">
        <f>'Source VoT'!$D$28*1*VLOOKUP($B98,'Annual Parameters'!$B$33:$W$143,21,FALSE)/VLOOKUP('Source VoT'!$F$27,'Annual Parameters'!$B$33:$W$143,21,FALSE)*VLOOKUP($B$14,'Annual Parameters'!$B$33:$W$143,3,FALSE)/VLOOKUP('Source VoT'!$E$27,'Annual Parameters'!$B$33:$W$143,3,FALSE)</f>
        <v>52.765623740674279</v>
      </c>
      <c r="V98" s="73">
        <f>'Source VoT'!$D$29*1*VLOOKUP($B98,'Annual Parameters'!$B$33:$W$143,21,FALSE)/VLOOKUP('Source VoT'!$F$27,'Annual Parameters'!$B$33:$W$143,21,FALSE)*VLOOKUP($B$14,'Annual Parameters'!$B$33:$W$143,3,FALSE)/VLOOKUP('Source VoT'!$E$27,'Annual Parameters'!$B$33:$W$143,3,FALSE)</f>
        <v>36.333208471893577</v>
      </c>
      <c r="W98" s="73">
        <f>'Source VoT'!$D$30*1*VLOOKUP($B98,'Annual Parameters'!$B$33:$W$143,21,FALSE)/VLOOKUP('Source VoT'!$F$27,'Annual Parameters'!$B$33:$W$143,21,FALSE)*VLOOKUP($B$14,'Annual Parameters'!$B$33:$W$143,3,FALSE)/VLOOKUP('Source VoT'!$E$27,'Annual Parameters'!$B$33:$W$143,3,FALSE)</f>
        <v>42.809266463411639</v>
      </c>
      <c r="X98" s="73">
        <f>'Source VoT'!$D$31*1*VLOOKUP($B98,'Annual Parameters'!$B$33:$W$143,21,FALSE)/VLOOKUP('Source VoT'!$F$27,'Annual Parameters'!$B$33:$W$143,21,FALSE)*VLOOKUP($B$14,'Annual Parameters'!$B$33:$W$143,3,FALSE)/VLOOKUP('Source VoT'!$E$27,'Annual Parameters'!$B$33:$W$143,3,FALSE)</f>
        <v>43.734417605057089</v>
      </c>
      <c r="Y98" s="73">
        <f>'Source VoT'!$D$32*1*VLOOKUP($B98,'Annual Parameters'!$B$33:$W$143,21,FALSE)/VLOOKUP('Source VoT'!$F$27,'Annual Parameters'!$B$33:$W$143,21,FALSE)*VLOOKUP($B$14,'Annual Parameters'!$B$33:$W$143,3,FALSE)/VLOOKUP('Source VoT'!$E$27,'Annual Parameters'!$B$33:$W$143,3,FALSE)</f>
        <v>29.901529319961789</v>
      </c>
      <c r="Z98" s="73">
        <f>'Source VoT'!$D$33*1*VLOOKUP($B98,'Annual Parameters'!$B$33:$W$143,21,FALSE)/VLOOKUP('Source VoT'!$F$27,'Annual Parameters'!$B$33:$W$143,21,FALSE)*VLOOKUP($B$14,'Annual Parameters'!$B$33:$W$143,3,FALSE)/VLOOKUP('Source VoT'!$E$27,'Annual Parameters'!$B$33:$W$143,3,FALSE)</f>
        <v>38.646086326007172</v>
      </c>
      <c r="AA98" s="73">
        <f>'Source VoT'!$D$34*1*VLOOKUP($B98,'Annual Parameters'!$B$33:$W$143,21,FALSE)/VLOOKUP('Source VoT'!$F$27,'Annual Parameters'!$B$33:$W$143,21,FALSE)*VLOOKUP($B$14,'Annual Parameters'!$B$33:$W$143,3,FALSE)/VLOOKUP('Source VoT'!$E$27,'Annual Parameters'!$B$33:$W$143,3,FALSE)</f>
        <v>52.765623740674279</v>
      </c>
      <c r="AB98" s="73">
        <f>'Source VoT'!$D$35*1*VLOOKUP($B98,'Annual Parameters'!$B$33:$W$143,21,FALSE)/VLOOKUP('Source VoT'!$F$27,'Annual Parameters'!$B$33:$W$143,21,FALSE)*VLOOKUP($B$14,'Annual Parameters'!$B$33:$W$143,3,FALSE)/VLOOKUP('Source VoT'!$E$27,'Annual Parameters'!$B$33:$W$143,3,FALSE)</f>
        <v>87.037549922596639</v>
      </c>
      <c r="AC98" s="73">
        <f>'Source VoT'!$D$36*1*VLOOKUP($B98,'Annual Parameters'!$B$33:$W$143,21,FALSE)/VLOOKUP('Source VoT'!$F$27,'Annual Parameters'!$B$33:$W$143,21,FALSE)*VLOOKUP($B$14,'Annual Parameters'!$B$33:$W$143,3,FALSE)/VLOOKUP('Source VoT'!$E$27,'Annual Parameters'!$B$33:$W$143,3,FALSE)</f>
        <v>29.901529319961789</v>
      </c>
      <c r="AD98" s="73">
        <f>'Source VoT'!$D$37*1*VLOOKUP($B98,'Annual Parameters'!$B$33:$W$143,21,FALSE)/VLOOKUP('Source VoT'!$F$27,'Annual Parameters'!$B$33:$W$143,21,FALSE)*VLOOKUP($B$14,'Annual Parameters'!$B$33:$W$143,3,FALSE)/VLOOKUP('Source VoT'!$E$27,'Annual Parameters'!$B$33:$W$143,3,FALSE)</f>
        <v>29.901529319961789</v>
      </c>
      <c r="AE98" s="73">
        <f>'Source VoT'!$D$38*1*VLOOKUP($B98,'Annual Parameters'!$B$33:$W$143,21,FALSE)/VLOOKUP('Source VoT'!$F$27,'Annual Parameters'!$B$33:$W$143,21,FALSE)*VLOOKUP($B$14,'Annual Parameters'!$B$33:$W$143,3,FALSE)/VLOOKUP('Source VoT'!$E$27,'Annual Parameters'!$B$33:$W$143,3,FALSE)</f>
        <v>29.901529319961789</v>
      </c>
      <c r="AF98" s="73">
        <f>'Source VoT'!$D$39*1*VLOOKUP($B98,'Annual Parameters'!$B$33:$W$143,21,FALSE)/VLOOKUP('Source VoT'!$F$27,'Annual Parameters'!$B$33:$W$143,21,FALSE)*VLOOKUP($B$14,'Annual Parameters'!$B$33:$W$143,3,FALSE)/VLOOKUP('Source VoT'!$E$27,'Annual Parameters'!$B$33:$W$143,3,FALSE)</f>
        <v>52.765623740674279</v>
      </c>
      <c r="AG98" s="74">
        <f>'Source VoT'!$D$40*1*VLOOKUP($B98,'Annual Parameters'!$B$33:$W$143,21,FALSE)/VLOOKUP('Source VoT'!$F$27,'Annual Parameters'!$B$33:$W$143,21,FALSE)*VLOOKUP($B$14,'Annual Parameters'!$B$33:$W$143,3,FALSE)/VLOOKUP('Source VoT'!$E$27,'Annual Parameters'!$B$33:$W$143,3,FALSE)</f>
        <v>57.473804839161588</v>
      </c>
      <c r="AH98" s="73">
        <f>'Source VoT'!$D$45*1*VLOOKUP($B98,'Annual Parameters'!$B$33:$W$143,22,FALSE)/VLOOKUP('Source VoT'!$F$27,'Annual Parameters'!$B$33:$W$143,22,FALSE)*VLOOKUP($B$14,'Annual Parameters'!$B$33:$W$143,3,FALSE)/VLOOKUP('Source VoT'!$E$27,'Annual Parameters'!$B$33:$W$143,3,FALSE)</f>
        <v>35.330995392887729</v>
      </c>
      <c r="AI98" s="73">
        <f>'Source VoT'!$D$46*1*VLOOKUP($B98,'Annual Parameters'!$B$33:$W$143,22,FALSE)/VLOOKUP('Source VoT'!$F$27,'Annual Parameters'!$B$33:$W$143,22,FALSE)*VLOOKUP($B$14,'Annual Parameters'!$B$33:$W$143,3,FALSE)/VLOOKUP('Source VoT'!$E$27,'Annual Parameters'!$B$33:$W$143,3,FALSE)</f>
        <v>16.126126584776387</v>
      </c>
      <c r="AJ98" s="117">
        <f>'Source VoT'!$D$27*VLOOKUP($B98,'Indirect tax correction'!$B$27:$I$127,7,FALSE)*VLOOKUP($B98,'Annual Parameters'!$B$33:$W$143,21,FALSE)/VLOOKUP('Source VoT'!$F$27,'Annual Parameters'!$B$33:$W$143,21,FALSE)*VLOOKUP($B$14,'Annual Parameters'!$B$33:$W$143,3,FALSE)/VLOOKUP('Source VoT'!$E$27,'Annual Parameters'!$B$33:$W$143,3,FALSE)</f>
        <v>62.791092251402389</v>
      </c>
      <c r="AK98" s="73">
        <f>'Source VoT'!$D$28*VLOOKUP($B98,'Indirect tax correction'!$B$27:$I$127,7,FALSE)*VLOOKUP($B98,'Annual Parameters'!$B$33:$W$143,21,FALSE)/VLOOKUP('Source VoT'!$F$27,'Annual Parameters'!$B$33:$W$143,21,FALSE)*VLOOKUP($B$14,'Annual Parameters'!$B$33:$W$143,3,FALSE)/VLOOKUP('Source VoT'!$E$27,'Annual Parameters'!$B$33:$W$143,3,FALSE)</f>
        <v>62.791092251402389</v>
      </c>
      <c r="AL98" s="73">
        <f>'Source VoT'!$D$29*VLOOKUP($B98,'Indirect tax correction'!$B$27:$I$127,7,FALSE)*VLOOKUP($B98,'Annual Parameters'!$B$33:$W$143,21,FALSE)/VLOOKUP('Source VoT'!$F$27,'Annual Parameters'!$B$33:$W$143,21,FALSE)*VLOOKUP($B$14,'Annual Parameters'!$B$33:$W$143,3,FALSE)/VLOOKUP('Source VoT'!$E$27,'Annual Parameters'!$B$33:$W$143,3,FALSE)</f>
        <v>43.236518081553356</v>
      </c>
      <c r="AM98" s="73">
        <f>'Source VoT'!$D$30*VLOOKUP($B98,'Indirect tax correction'!$B$27:$I$127,7,FALSE)*VLOOKUP($B98,'Annual Parameters'!$B$33:$W$143,21,FALSE)/VLOOKUP('Source VoT'!$F$27,'Annual Parameters'!$B$33:$W$143,21,FALSE)*VLOOKUP($B$14,'Annual Parameters'!$B$33:$W$143,3,FALSE)/VLOOKUP('Source VoT'!$E$27,'Annual Parameters'!$B$33:$W$143,3,FALSE)</f>
        <v>50.943027091459847</v>
      </c>
      <c r="AN98" s="73">
        <f>'Source VoT'!$D$31*VLOOKUP($B98,'Indirect tax correction'!$B$27:$I$127,7,FALSE)*VLOOKUP($B98,'Annual Parameters'!$B$33:$W$143,21,FALSE)/VLOOKUP('Source VoT'!$F$27,'Annual Parameters'!$B$33:$W$143,21,FALSE)*VLOOKUP($B$14,'Annual Parameters'!$B$33:$W$143,3,FALSE)/VLOOKUP('Source VoT'!$E$27,'Annual Parameters'!$B$33:$W$143,3,FALSE)</f>
        <v>52.043956950017929</v>
      </c>
      <c r="AO98" s="73">
        <f>'Source VoT'!$D$32*VLOOKUP($B98,'Indirect tax correction'!$B$27:$I$127,7,FALSE)*VLOOKUP($B98,'Annual Parameters'!$B$33:$W$143,21,FALSE)/VLOOKUP('Source VoT'!$F$27,'Annual Parameters'!$B$33:$W$143,21,FALSE)*VLOOKUP($B$14,'Annual Parameters'!$B$33:$W$143,3,FALSE)/VLOOKUP('Source VoT'!$E$27,'Annual Parameters'!$B$33:$W$143,3,FALSE)</f>
        <v>35.582819890754521</v>
      </c>
      <c r="AP98" s="73">
        <f>'Source VoT'!$D$33*VLOOKUP($B98,'Indirect tax correction'!$B$27:$I$127,7,FALSE)*VLOOKUP($B98,'Annual Parameters'!$B$33:$W$143,21,FALSE)/VLOOKUP('Source VoT'!$F$27,'Annual Parameters'!$B$33:$W$143,21,FALSE)*VLOOKUP($B$14,'Annual Parameters'!$B$33:$W$143,3,FALSE)/VLOOKUP('Source VoT'!$E$27,'Annual Parameters'!$B$33:$W$143,3,FALSE)</f>
        <v>45.98884272794853</v>
      </c>
      <c r="AQ98" s="73">
        <f>'Source VoT'!$D$34*VLOOKUP($B98,'Indirect tax correction'!$B$27:$I$127,7,FALSE)*VLOOKUP($B98,'Annual Parameters'!$B$33:$W$143,21,FALSE)/VLOOKUP('Source VoT'!$F$27,'Annual Parameters'!$B$33:$W$143,21,FALSE)*VLOOKUP($B$14,'Annual Parameters'!$B$33:$W$143,3,FALSE)/VLOOKUP('Source VoT'!$E$27,'Annual Parameters'!$B$33:$W$143,3,FALSE)</f>
        <v>62.791092251402389</v>
      </c>
      <c r="AR98" s="73">
        <f>'Source VoT'!$D$35*VLOOKUP($B98,'Indirect tax correction'!$B$27:$I$127,7,FALSE)*VLOOKUP($B98,'Annual Parameters'!$B$33:$W$143,21,FALSE)/VLOOKUP('Source VoT'!$F$27,'Annual Parameters'!$B$33:$W$143,21,FALSE)*VLOOKUP($B$14,'Annual Parameters'!$B$33:$W$143,3,FALSE)/VLOOKUP('Source VoT'!$E$27,'Annual Parameters'!$B$33:$W$143,3,FALSE)</f>
        <v>103.57468440789</v>
      </c>
      <c r="AS98" s="73">
        <f>'Source VoT'!$D$36*VLOOKUP($B98,'Indirect tax correction'!$B$27:$I$127,7,FALSE)*VLOOKUP($B98,'Annual Parameters'!$B$33:$W$143,21,FALSE)/VLOOKUP('Source VoT'!$F$27,'Annual Parameters'!$B$33:$W$143,21,FALSE)*VLOOKUP($B$14,'Annual Parameters'!$B$33:$W$143,3,FALSE)/VLOOKUP('Source VoT'!$E$27,'Annual Parameters'!$B$33:$W$143,3,FALSE)</f>
        <v>35.582819890754521</v>
      </c>
      <c r="AT98" s="73">
        <f>'Source VoT'!$D$37*VLOOKUP($B98,'Indirect tax correction'!$B$27:$I$127,7,FALSE)*VLOOKUP($B98,'Annual Parameters'!$B$33:$W$143,21,FALSE)/VLOOKUP('Source VoT'!$F$27,'Annual Parameters'!$B$33:$W$143,21,FALSE)*VLOOKUP($B$14,'Annual Parameters'!$B$33:$W$143,3,FALSE)/VLOOKUP('Source VoT'!$E$27,'Annual Parameters'!$B$33:$W$143,3,FALSE)</f>
        <v>35.582819890754521</v>
      </c>
      <c r="AU98" s="73">
        <f>'Source VoT'!$D$38*VLOOKUP($B98,'Indirect tax correction'!$B$27:$I$127,7,FALSE)*VLOOKUP($B98,'Annual Parameters'!$B$33:$W$143,21,FALSE)/VLOOKUP('Source VoT'!$F$27,'Annual Parameters'!$B$33:$W$143,21,FALSE)*VLOOKUP($B$14,'Annual Parameters'!$B$33:$W$143,3,FALSE)/VLOOKUP('Source VoT'!$E$27,'Annual Parameters'!$B$33:$W$143,3,FALSE)</f>
        <v>35.582819890754521</v>
      </c>
      <c r="AV98" s="73">
        <f>'Source VoT'!$D$39*VLOOKUP($B98,'Indirect tax correction'!$B$27:$I$127,7,FALSE)*VLOOKUP($B98,'Annual Parameters'!$B$33:$W$143,21,FALSE)/VLOOKUP('Source VoT'!$F$27,'Annual Parameters'!$B$33:$W$143,21,FALSE)*VLOOKUP($B$14,'Annual Parameters'!$B$33:$W$143,3,FALSE)/VLOOKUP('Source VoT'!$E$27,'Annual Parameters'!$B$33:$W$143,3,FALSE)</f>
        <v>62.791092251402389</v>
      </c>
      <c r="AW98" s="74">
        <f>'Source VoT'!$D$40*VLOOKUP($B98,'Indirect tax correction'!$B$27:$I$127,7,FALSE)*VLOOKUP($B98,'Annual Parameters'!$B$33:$W$143,21,FALSE)/VLOOKUP('Source VoT'!$F$27,'Annual Parameters'!$B$33:$W$143,21,FALSE)*VLOOKUP($B$14,'Annual Parameters'!$B$33:$W$143,3,FALSE)/VLOOKUP('Source VoT'!$E$27,'Annual Parameters'!$B$33:$W$143,3,FALSE)</f>
        <v>68.393827758602271</v>
      </c>
      <c r="AX98" s="73">
        <f>'Source VoT'!$D$45*VLOOKUP($B98,'Indirect tax correction'!$B$27:$I$127,8,FALSE)*VLOOKUP($B98,'Annual Parameters'!$B$33:$W$143,22,FALSE)/VLOOKUP('Source VoT'!$F$27,'Annual Parameters'!$B$33:$W$143,22,FALSE)*VLOOKUP($B$14,'Annual Parameters'!$B$33:$W$143,3,FALSE)/VLOOKUP('Source VoT'!$E$27,'Annual Parameters'!$B$33:$W$143,3,FALSE)</f>
        <v>35.330995392887729</v>
      </c>
      <c r="AY98" s="74">
        <f>'Source VoT'!$D$46*VLOOKUP($B98,'Indirect tax correction'!$B$27:$I$127,8,FALSE)*VLOOKUP($B98,'Annual Parameters'!$B$33:$W$143,22,FALSE)/VLOOKUP('Source VoT'!$F$27,'Annual Parameters'!$B$33:$W$143,22,FALSE)*VLOOKUP($B$14,'Annual Parameters'!$B$33:$W$143,3,FALSE)/VLOOKUP('Source VoT'!$E$27,'Annual Parameters'!$B$33:$W$143,3,FALSE)</f>
        <v>16.126126584776387</v>
      </c>
      <c r="AZ98" s="2875"/>
      <c r="BA98" s="2875"/>
      <c r="BB98" s="2875"/>
      <c r="BC98" s="2875"/>
      <c r="BD98" s="2875"/>
      <c r="BE98" s="2875"/>
      <c r="BF98" s="2875"/>
      <c r="BG98" s="2875"/>
    </row>
    <row r="99" spans="1:59" ht="13.5" customHeight="1">
      <c r="A99" s="90"/>
      <c r="B99" s="82">
        <f t="shared" si="1"/>
        <v>2082</v>
      </c>
      <c r="C99" s="82"/>
      <c r="D99" s="117">
        <f>'Source VoT'!$D$27*VLOOKUP($B99,'Indirect tax correction'!$B$27:$I$127,5,FALSE)*VLOOKUP($B99,'Annual Parameters'!$B$33:$W$143,21,FALSE)/VLOOKUP('Source VoT'!$F$27,'Annual Parameters'!$B$33:$W$143,21,FALSE)*VLOOKUP($B$14,'Annual Parameters'!$B$33:$W$143,3,FALSE)/VLOOKUP('Source VoT'!$E$27,'Annual Parameters'!$B$33:$W$143,3,FALSE)</f>
        <v>53.877051015629462</v>
      </c>
      <c r="E99" s="73">
        <f>'Source VoT'!$D$28*VLOOKUP($B99,'Indirect tax correction'!$B$27:$I$127,5,FALSE)*VLOOKUP($B99,'Annual Parameters'!$B$33:$W$143,21,FALSE)/VLOOKUP('Source VoT'!$F$27,'Annual Parameters'!$B$33:$W$143,21,FALSE)*VLOOKUP($B$14,'Annual Parameters'!$B$33:$W$143,3,FALSE)/VLOOKUP('Source VoT'!$E$27,'Annual Parameters'!$B$33:$W$143,3,FALSE)</f>
        <v>53.877051015629462</v>
      </c>
      <c r="F99" s="73">
        <f>'Source VoT'!$D$29*VLOOKUP($B99,'Indirect tax correction'!$B$27:$I$127,5,FALSE)*VLOOKUP($B99,'Annual Parameters'!$B$33:$W$143,21,FALSE)/VLOOKUP('Source VoT'!$F$27,'Annual Parameters'!$B$33:$W$143,21,FALSE)*VLOOKUP($B$14,'Annual Parameters'!$B$33:$W$143,3,FALSE)/VLOOKUP('Source VoT'!$E$27,'Annual Parameters'!$B$33:$W$143,3,FALSE)</f>
        <v>37.09851201650357</v>
      </c>
      <c r="G99" s="73">
        <f>'Source VoT'!$D$30*VLOOKUP($B99,'Indirect tax correction'!$B$27:$I$127,5,FALSE)*VLOOKUP($B99,'Annual Parameters'!$B$33:$W$143,21,FALSE)/VLOOKUP('Source VoT'!$F$27,'Annual Parameters'!$B$33:$W$143,21,FALSE)*VLOOKUP($B$14,'Annual Parameters'!$B$33:$W$143,3,FALSE)/VLOOKUP('Source VoT'!$E$27,'Annual Parameters'!$B$33:$W$143,3,FALSE)</f>
        <v>43.710978278704431</v>
      </c>
      <c r="H99" s="73">
        <f>'Source VoT'!$D$31*VLOOKUP($B99,'Indirect tax correction'!$B$27:$I$127,5,FALSE)*VLOOKUP($B99,'Annual Parameters'!$B$33:$W$143,21,FALSE)/VLOOKUP('Source VoT'!$F$27,'Annual Parameters'!$B$33:$W$143,21,FALSE)*VLOOKUP($B$14,'Annual Parameters'!$B$33:$W$143,3,FALSE)/VLOOKUP('Source VoT'!$E$27,'Annual Parameters'!$B$33:$W$143,3,FALSE)</f>
        <v>44.655616316161698</v>
      </c>
      <c r="I99" s="73">
        <f>'Source VoT'!$D$32*VLOOKUP($B99,'Indirect tax correction'!$B$27:$I$127,5,FALSE)*VLOOKUP($B99,'Annual Parameters'!$B$33:$W$143,21,FALSE)/VLOOKUP('Source VoT'!$F$27,'Annual Parameters'!$B$33:$W$143,21,FALSE)*VLOOKUP($B$14,'Annual Parameters'!$B$33:$W$143,3,FALSE)/VLOOKUP('Source VoT'!$E$27,'Annual Parameters'!$B$33:$W$143,3,FALSE)</f>
        <v>30.531359366364892</v>
      </c>
      <c r="J99" s="73">
        <f>'Source VoT'!$D$33*VLOOKUP($B99,'Indirect tax correction'!$B$27:$I$127,5,FALSE)*VLOOKUP($B99,'Annual Parameters'!$B$33:$W$143,21,FALSE)/VLOOKUP('Source VoT'!$F$27,'Annual Parameters'!$B$33:$W$143,21,FALSE)*VLOOKUP($B$14,'Annual Parameters'!$B$33:$W$143,3,FALSE)/VLOOKUP('Source VoT'!$E$27,'Annual Parameters'!$B$33:$W$143,3,FALSE)</f>
        <v>39.46010711014673</v>
      </c>
      <c r="K99" s="73">
        <f>'Source VoT'!$D$34*VLOOKUP($B99,'Indirect tax correction'!$B$27:$I$127,5,FALSE)*VLOOKUP($B99,'Annual Parameters'!$B$33:$W$143,21,FALSE)/VLOOKUP('Source VoT'!$F$27,'Annual Parameters'!$B$33:$W$143,21,FALSE)*VLOOKUP($B$14,'Annual Parameters'!$B$33:$W$143,3,FALSE)/VLOOKUP('Source VoT'!$E$27,'Annual Parameters'!$B$33:$W$143,3,FALSE)</f>
        <v>53.877051015629462</v>
      </c>
      <c r="L99" s="73">
        <f>'Source VoT'!$D$35*VLOOKUP($B99,'Indirect tax correction'!$B$27:$I$127,5,FALSE)*VLOOKUP($B99,'Annual Parameters'!$B$33:$W$143,21,FALSE)/VLOOKUP('Source VoT'!$F$27,'Annual Parameters'!$B$33:$W$143,21,FALSE)*VLOOKUP($B$14,'Annual Parameters'!$B$33:$W$143,3,FALSE)/VLOOKUP('Source VoT'!$E$27,'Annual Parameters'!$B$33:$W$143,3,FALSE)</f>
        <v>88.870862978928031</v>
      </c>
      <c r="M99" s="73">
        <f>'Source VoT'!$D$36*VLOOKUP($B99,'Indirect tax correction'!$B$27:$I$127,5,FALSE)*VLOOKUP($B99,'Annual Parameters'!$B$33:$W$143,21,FALSE)/VLOOKUP('Source VoT'!$F$27,'Annual Parameters'!$B$33:$W$143,21,FALSE)*VLOOKUP($B$14,'Annual Parameters'!$B$33:$W$143,3,FALSE)/VLOOKUP('Source VoT'!$E$27,'Annual Parameters'!$B$33:$W$143,3,FALSE)</f>
        <v>30.531359366364892</v>
      </c>
      <c r="N99" s="73">
        <f>'Source VoT'!$D$37*VLOOKUP($B99,'Indirect tax correction'!$B$27:$I$127,5,FALSE)*VLOOKUP($B99,'Annual Parameters'!$B$33:$W$143,21,FALSE)/VLOOKUP('Source VoT'!$F$27,'Annual Parameters'!$B$33:$W$143,21,FALSE)*VLOOKUP($B$14,'Annual Parameters'!$B$33:$W$143,3,FALSE)/VLOOKUP('Source VoT'!$E$27,'Annual Parameters'!$B$33:$W$143,3,FALSE)</f>
        <v>30.531359366364892</v>
      </c>
      <c r="O99" s="73">
        <f>'Source VoT'!$D$38*VLOOKUP($B99,'Indirect tax correction'!$B$27:$I$127,5,FALSE)*VLOOKUP($B99,'Annual Parameters'!$B$33:$W$143,21,FALSE)/VLOOKUP('Source VoT'!$F$27,'Annual Parameters'!$B$33:$W$143,21,FALSE)*VLOOKUP($B$14,'Annual Parameters'!$B$33:$W$143,3,FALSE)/VLOOKUP('Source VoT'!$E$27,'Annual Parameters'!$B$33:$W$143,3,FALSE)</f>
        <v>30.531359366364892</v>
      </c>
      <c r="P99" s="73">
        <f>'Source VoT'!$D$39*VLOOKUP($B99,'Indirect tax correction'!$B$27:$I$127,5,FALSE)*VLOOKUP($B99,'Annual Parameters'!$B$33:$W$143,21,FALSE)/VLOOKUP('Source VoT'!$F$27,'Annual Parameters'!$B$33:$W$143,21,FALSE)*VLOOKUP($B$14,'Annual Parameters'!$B$33:$W$143,3,FALSE)/VLOOKUP('Source VoT'!$E$27,'Annual Parameters'!$B$33:$W$143,3,FALSE)</f>
        <v>53.877051015629462</v>
      </c>
      <c r="Q99" s="74">
        <f>'Source VoT'!$D$40*VLOOKUP($B99,'Indirect tax correction'!$B$27:$I$127,5,FALSE)*VLOOKUP($B99,'Annual Parameters'!$B$33:$W$143,21,FALSE)/VLOOKUP('Source VoT'!$F$27,'Annual Parameters'!$B$33:$W$143,21,FALSE)*VLOOKUP($B$14,'Annual Parameters'!$B$33:$W$143,3,FALSE)/VLOOKUP('Source VoT'!$E$27,'Annual Parameters'!$B$33:$W$143,3,FALSE)</f>
        <v>58.684402758133103</v>
      </c>
      <c r="R99" s="73">
        <f>'Source VoT'!$D$45*VLOOKUP($B99,'Indirect tax correction'!$B$27:$I$127,6,FALSE)*VLOOKUP($B99,'Annual Parameters'!$B$33:$W$143,22,FALSE)/VLOOKUP('Source VoT'!$F$27,'Annual Parameters'!$B$33:$W$143,22,FALSE)*VLOOKUP($B$14,'Annual Parameters'!$B$33:$W$143,3,FALSE)/VLOOKUP('Source VoT'!$E$27,'Annual Parameters'!$B$33:$W$143,3,FALSE)</f>
        <v>30.315284747623856</v>
      </c>
      <c r="S99" s="73">
        <f>'Source VoT'!$D$46*VLOOKUP($B99,'Indirect tax correction'!$B$27:$I$127,6,FALSE)*VLOOKUP($B99,'Annual Parameters'!$B$33:$W$143,22,FALSE)/VLOOKUP('Source VoT'!$F$27,'Annual Parameters'!$B$33:$W$143,22,FALSE)*VLOOKUP($B$14,'Annual Parameters'!$B$33:$W$143,3,FALSE)/VLOOKUP('Source VoT'!$E$27,'Annual Parameters'!$B$33:$W$143,3,FALSE)</f>
        <v>13.83680572419237</v>
      </c>
      <c r="T99" s="117">
        <f>'Source VoT'!$D$27*1*VLOOKUP($B99,'Annual Parameters'!$B$33:$W$143,21,FALSE)/VLOOKUP('Source VoT'!$F$27,'Annual Parameters'!$B$33:$W$143,21,FALSE)*VLOOKUP($B$14,'Annual Parameters'!$B$33:$W$143,3,FALSE)/VLOOKUP('Source VoT'!$E$27,'Annual Parameters'!$B$33:$W$143,3,FALSE)</f>
        <v>53.877051015629462</v>
      </c>
      <c r="U99" s="73">
        <f>'Source VoT'!$D$28*1*VLOOKUP($B99,'Annual Parameters'!$B$33:$W$143,21,FALSE)/VLOOKUP('Source VoT'!$F$27,'Annual Parameters'!$B$33:$W$143,21,FALSE)*VLOOKUP($B$14,'Annual Parameters'!$B$33:$W$143,3,FALSE)/VLOOKUP('Source VoT'!$E$27,'Annual Parameters'!$B$33:$W$143,3,FALSE)</f>
        <v>53.877051015629462</v>
      </c>
      <c r="V99" s="73">
        <f>'Source VoT'!$D$29*1*VLOOKUP($B99,'Annual Parameters'!$B$33:$W$143,21,FALSE)/VLOOKUP('Source VoT'!$F$27,'Annual Parameters'!$B$33:$W$143,21,FALSE)*VLOOKUP($B$14,'Annual Parameters'!$B$33:$W$143,3,FALSE)/VLOOKUP('Source VoT'!$E$27,'Annual Parameters'!$B$33:$W$143,3,FALSE)</f>
        <v>37.09851201650357</v>
      </c>
      <c r="W99" s="73">
        <f>'Source VoT'!$D$30*1*VLOOKUP($B99,'Annual Parameters'!$B$33:$W$143,21,FALSE)/VLOOKUP('Source VoT'!$F$27,'Annual Parameters'!$B$33:$W$143,21,FALSE)*VLOOKUP($B$14,'Annual Parameters'!$B$33:$W$143,3,FALSE)/VLOOKUP('Source VoT'!$E$27,'Annual Parameters'!$B$33:$W$143,3,FALSE)</f>
        <v>43.710978278704431</v>
      </c>
      <c r="X99" s="73">
        <f>'Source VoT'!$D$31*1*VLOOKUP($B99,'Annual Parameters'!$B$33:$W$143,21,FALSE)/VLOOKUP('Source VoT'!$F$27,'Annual Parameters'!$B$33:$W$143,21,FALSE)*VLOOKUP($B$14,'Annual Parameters'!$B$33:$W$143,3,FALSE)/VLOOKUP('Source VoT'!$E$27,'Annual Parameters'!$B$33:$W$143,3,FALSE)</f>
        <v>44.655616316161698</v>
      </c>
      <c r="Y99" s="73">
        <f>'Source VoT'!$D$32*1*VLOOKUP($B99,'Annual Parameters'!$B$33:$W$143,21,FALSE)/VLOOKUP('Source VoT'!$F$27,'Annual Parameters'!$B$33:$W$143,21,FALSE)*VLOOKUP($B$14,'Annual Parameters'!$B$33:$W$143,3,FALSE)/VLOOKUP('Source VoT'!$E$27,'Annual Parameters'!$B$33:$W$143,3,FALSE)</f>
        <v>30.531359366364892</v>
      </c>
      <c r="Z99" s="73">
        <f>'Source VoT'!$D$33*1*VLOOKUP($B99,'Annual Parameters'!$B$33:$W$143,21,FALSE)/VLOOKUP('Source VoT'!$F$27,'Annual Parameters'!$B$33:$W$143,21,FALSE)*VLOOKUP($B$14,'Annual Parameters'!$B$33:$W$143,3,FALSE)/VLOOKUP('Source VoT'!$E$27,'Annual Parameters'!$B$33:$W$143,3,FALSE)</f>
        <v>39.46010711014673</v>
      </c>
      <c r="AA99" s="73">
        <f>'Source VoT'!$D$34*1*VLOOKUP($B99,'Annual Parameters'!$B$33:$W$143,21,FALSE)/VLOOKUP('Source VoT'!$F$27,'Annual Parameters'!$B$33:$W$143,21,FALSE)*VLOOKUP($B$14,'Annual Parameters'!$B$33:$W$143,3,FALSE)/VLOOKUP('Source VoT'!$E$27,'Annual Parameters'!$B$33:$W$143,3,FALSE)</f>
        <v>53.877051015629462</v>
      </c>
      <c r="AB99" s="73">
        <f>'Source VoT'!$D$35*1*VLOOKUP($B99,'Annual Parameters'!$B$33:$W$143,21,FALSE)/VLOOKUP('Source VoT'!$F$27,'Annual Parameters'!$B$33:$W$143,21,FALSE)*VLOOKUP($B$14,'Annual Parameters'!$B$33:$W$143,3,FALSE)/VLOOKUP('Source VoT'!$E$27,'Annual Parameters'!$B$33:$W$143,3,FALSE)</f>
        <v>88.870862978928031</v>
      </c>
      <c r="AC99" s="73">
        <f>'Source VoT'!$D$36*1*VLOOKUP($B99,'Annual Parameters'!$B$33:$W$143,21,FALSE)/VLOOKUP('Source VoT'!$F$27,'Annual Parameters'!$B$33:$W$143,21,FALSE)*VLOOKUP($B$14,'Annual Parameters'!$B$33:$W$143,3,FALSE)/VLOOKUP('Source VoT'!$E$27,'Annual Parameters'!$B$33:$W$143,3,FALSE)</f>
        <v>30.531359366364892</v>
      </c>
      <c r="AD99" s="73">
        <f>'Source VoT'!$D$37*1*VLOOKUP($B99,'Annual Parameters'!$B$33:$W$143,21,FALSE)/VLOOKUP('Source VoT'!$F$27,'Annual Parameters'!$B$33:$W$143,21,FALSE)*VLOOKUP($B$14,'Annual Parameters'!$B$33:$W$143,3,FALSE)/VLOOKUP('Source VoT'!$E$27,'Annual Parameters'!$B$33:$W$143,3,FALSE)</f>
        <v>30.531359366364892</v>
      </c>
      <c r="AE99" s="73">
        <f>'Source VoT'!$D$38*1*VLOOKUP($B99,'Annual Parameters'!$B$33:$W$143,21,FALSE)/VLOOKUP('Source VoT'!$F$27,'Annual Parameters'!$B$33:$W$143,21,FALSE)*VLOOKUP($B$14,'Annual Parameters'!$B$33:$W$143,3,FALSE)/VLOOKUP('Source VoT'!$E$27,'Annual Parameters'!$B$33:$W$143,3,FALSE)</f>
        <v>30.531359366364892</v>
      </c>
      <c r="AF99" s="73">
        <f>'Source VoT'!$D$39*1*VLOOKUP($B99,'Annual Parameters'!$B$33:$W$143,21,FALSE)/VLOOKUP('Source VoT'!$F$27,'Annual Parameters'!$B$33:$W$143,21,FALSE)*VLOOKUP($B$14,'Annual Parameters'!$B$33:$W$143,3,FALSE)/VLOOKUP('Source VoT'!$E$27,'Annual Parameters'!$B$33:$W$143,3,FALSE)</f>
        <v>53.877051015629462</v>
      </c>
      <c r="AG99" s="74">
        <f>'Source VoT'!$D$40*1*VLOOKUP($B99,'Annual Parameters'!$B$33:$W$143,21,FALSE)/VLOOKUP('Source VoT'!$F$27,'Annual Parameters'!$B$33:$W$143,21,FALSE)*VLOOKUP($B$14,'Annual Parameters'!$B$33:$W$143,3,FALSE)/VLOOKUP('Source VoT'!$E$27,'Annual Parameters'!$B$33:$W$143,3,FALSE)</f>
        <v>58.684402758133103</v>
      </c>
      <c r="AH99" s="73">
        <f>'Source VoT'!$D$45*1*VLOOKUP($B99,'Annual Parameters'!$B$33:$W$143,22,FALSE)/VLOOKUP('Source VoT'!$F$27,'Annual Parameters'!$B$33:$W$143,22,FALSE)*VLOOKUP($B$14,'Annual Parameters'!$B$33:$W$143,3,FALSE)/VLOOKUP('Source VoT'!$E$27,'Annual Parameters'!$B$33:$W$143,3,FALSE)</f>
        <v>36.075188849672386</v>
      </c>
      <c r="AI99" s="73">
        <f>'Source VoT'!$D$46*1*VLOOKUP($B99,'Annual Parameters'!$B$33:$W$143,22,FALSE)/VLOOKUP('Source VoT'!$F$27,'Annual Parameters'!$B$33:$W$143,22,FALSE)*VLOOKUP($B$14,'Annual Parameters'!$B$33:$W$143,3,FALSE)/VLOOKUP('Source VoT'!$E$27,'Annual Parameters'!$B$33:$W$143,3,FALSE)</f>
        <v>16.465798811788918</v>
      </c>
      <c r="AJ99" s="117">
        <f>'Source VoT'!$D$27*VLOOKUP($B99,'Indirect tax correction'!$B$27:$I$127,7,FALSE)*VLOOKUP($B99,'Annual Parameters'!$B$33:$W$143,21,FALSE)/VLOOKUP('Source VoT'!$F$27,'Annual Parameters'!$B$33:$W$143,21,FALSE)*VLOOKUP($B$14,'Annual Parameters'!$B$33:$W$143,3,FALSE)/VLOOKUP('Source VoT'!$E$27,'Annual Parameters'!$B$33:$W$143,3,FALSE)</f>
        <v>64.113690708599052</v>
      </c>
      <c r="AK99" s="73">
        <f>'Source VoT'!$D$28*VLOOKUP($B99,'Indirect tax correction'!$B$27:$I$127,7,FALSE)*VLOOKUP($B99,'Annual Parameters'!$B$33:$W$143,21,FALSE)/VLOOKUP('Source VoT'!$F$27,'Annual Parameters'!$B$33:$W$143,21,FALSE)*VLOOKUP($B$14,'Annual Parameters'!$B$33:$W$143,3,FALSE)/VLOOKUP('Source VoT'!$E$27,'Annual Parameters'!$B$33:$W$143,3,FALSE)</f>
        <v>64.113690708599052</v>
      </c>
      <c r="AL99" s="73">
        <f>'Source VoT'!$D$29*VLOOKUP($B99,'Indirect tax correction'!$B$27:$I$127,7,FALSE)*VLOOKUP($B99,'Annual Parameters'!$B$33:$W$143,21,FALSE)/VLOOKUP('Source VoT'!$F$27,'Annual Parameters'!$B$33:$W$143,21,FALSE)*VLOOKUP($B$14,'Annual Parameters'!$B$33:$W$143,3,FALSE)/VLOOKUP('Source VoT'!$E$27,'Annual Parameters'!$B$33:$W$143,3,FALSE)</f>
        <v>44.14722929963925</v>
      </c>
      <c r="AM99" s="73">
        <f>'Source VoT'!$D$30*VLOOKUP($B99,'Indirect tax correction'!$B$27:$I$127,7,FALSE)*VLOOKUP($B99,'Annual Parameters'!$B$33:$W$143,21,FALSE)/VLOOKUP('Source VoT'!$F$27,'Annual Parameters'!$B$33:$W$143,21,FALSE)*VLOOKUP($B$14,'Annual Parameters'!$B$33:$W$143,3,FALSE)/VLOOKUP('Source VoT'!$E$27,'Annual Parameters'!$B$33:$W$143,3,FALSE)</f>
        <v>52.016064151658263</v>
      </c>
      <c r="AN99" s="73">
        <f>'Source VoT'!$D$31*VLOOKUP($B99,'Indirect tax correction'!$B$27:$I$127,7,FALSE)*VLOOKUP($B99,'Annual Parameters'!$B$33:$W$143,21,FALSE)/VLOOKUP('Source VoT'!$F$27,'Annual Parameters'!$B$33:$W$143,21,FALSE)*VLOOKUP($B$14,'Annual Parameters'!$B$33:$W$143,3,FALSE)/VLOOKUP('Source VoT'!$E$27,'Annual Parameters'!$B$33:$W$143,3,FALSE)</f>
        <v>53.140183416232418</v>
      </c>
      <c r="AO99" s="73">
        <f>'Source VoT'!$D$32*VLOOKUP($B99,'Indirect tax correction'!$B$27:$I$127,7,FALSE)*VLOOKUP($B99,'Annual Parameters'!$B$33:$W$143,21,FALSE)/VLOOKUP('Source VoT'!$F$27,'Annual Parameters'!$B$33:$W$143,21,FALSE)*VLOOKUP($B$14,'Annual Parameters'!$B$33:$W$143,3,FALSE)/VLOOKUP('Source VoT'!$E$27,'Annual Parameters'!$B$33:$W$143,3,FALSE)</f>
        <v>36.332317645974214</v>
      </c>
      <c r="AP99" s="73">
        <f>'Source VoT'!$D$33*VLOOKUP($B99,'Indirect tax correction'!$B$27:$I$127,7,FALSE)*VLOOKUP($B99,'Annual Parameters'!$B$33:$W$143,21,FALSE)/VLOOKUP('Source VoT'!$F$27,'Annual Parameters'!$B$33:$W$143,21,FALSE)*VLOOKUP($B$14,'Annual Parameters'!$B$33:$W$143,3,FALSE)/VLOOKUP('Source VoT'!$E$27,'Annual Parameters'!$B$33:$W$143,3,FALSE)</f>
        <v>46.957527461074605</v>
      </c>
      <c r="AQ99" s="73">
        <f>'Source VoT'!$D$34*VLOOKUP($B99,'Indirect tax correction'!$B$27:$I$127,7,FALSE)*VLOOKUP($B99,'Annual Parameters'!$B$33:$W$143,21,FALSE)/VLOOKUP('Source VoT'!$F$27,'Annual Parameters'!$B$33:$W$143,21,FALSE)*VLOOKUP($B$14,'Annual Parameters'!$B$33:$W$143,3,FALSE)/VLOOKUP('Source VoT'!$E$27,'Annual Parameters'!$B$33:$W$143,3,FALSE)</f>
        <v>64.113690708599052</v>
      </c>
      <c r="AR99" s="73">
        <f>'Source VoT'!$D$35*VLOOKUP($B99,'Indirect tax correction'!$B$27:$I$127,7,FALSE)*VLOOKUP($B99,'Annual Parameters'!$B$33:$W$143,21,FALSE)/VLOOKUP('Source VoT'!$F$27,'Annual Parameters'!$B$33:$W$143,21,FALSE)*VLOOKUP($B$14,'Annual Parameters'!$B$33:$W$143,3,FALSE)/VLOOKUP('Source VoT'!$E$27,'Annual Parameters'!$B$33:$W$143,3,FALSE)</f>
        <v>105.75632694492435</v>
      </c>
      <c r="AS99" s="73">
        <f>'Source VoT'!$D$36*VLOOKUP($B99,'Indirect tax correction'!$B$27:$I$127,7,FALSE)*VLOOKUP($B99,'Annual Parameters'!$B$33:$W$143,21,FALSE)/VLOOKUP('Source VoT'!$F$27,'Annual Parameters'!$B$33:$W$143,21,FALSE)*VLOOKUP($B$14,'Annual Parameters'!$B$33:$W$143,3,FALSE)/VLOOKUP('Source VoT'!$E$27,'Annual Parameters'!$B$33:$W$143,3,FALSE)</f>
        <v>36.332317645974214</v>
      </c>
      <c r="AT99" s="73">
        <f>'Source VoT'!$D$37*VLOOKUP($B99,'Indirect tax correction'!$B$27:$I$127,7,FALSE)*VLOOKUP($B99,'Annual Parameters'!$B$33:$W$143,21,FALSE)/VLOOKUP('Source VoT'!$F$27,'Annual Parameters'!$B$33:$W$143,21,FALSE)*VLOOKUP($B$14,'Annual Parameters'!$B$33:$W$143,3,FALSE)/VLOOKUP('Source VoT'!$E$27,'Annual Parameters'!$B$33:$W$143,3,FALSE)</f>
        <v>36.332317645974214</v>
      </c>
      <c r="AU99" s="73">
        <f>'Source VoT'!$D$38*VLOOKUP($B99,'Indirect tax correction'!$B$27:$I$127,7,FALSE)*VLOOKUP($B99,'Annual Parameters'!$B$33:$W$143,21,FALSE)/VLOOKUP('Source VoT'!$F$27,'Annual Parameters'!$B$33:$W$143,21,FALSE)*VLOOKUP($B$14,'Annual Parameters'!$B$33:$W$143,3,FALSE)/VLOOKUP('Source VoT'!$E$27,'Annual Parameters'!$B$33:$W$143,3,FALSE)</f>
        <v>36.332317645974214</v>
      </c>
      <c r="AV99" s="73">
        <f>'Source VoT'!$D$39*VLOOKUP($B99,'Indirect tax correction'!$B$27:$I$127,7,FALSE)*VLOOKUP($B99,'Annual Parameters'!$B$33:$W$143,21,FALSE)/VLOOKUP('Source VoT'!$F$27,'Annual Parameters'!$B$33:$W$143,21,FALSE)*VLOOKUP($B$14,'Annual Parameters'!$B$33:$W$143,3,FALSE)/VLOOKUP('Source VoT'!$E$27,'Annual Parameters'!$B$33:$W$143,3,FALSE)</f>
        <v>64.113690708599052</v>
      </c>
      <c r="AW99" s="74">
        <f>'Source VoT'!$D$40*VLOOKUP($B99,'Indirect tax correction'!$B$27:$I$127,7,FALSE)*VLOOKUP($B99,'Annual Parameters'!$B$33:$W$143,21,FALSE)/VLOOKUP('Source VoT'!$F$27,'Annual Parameters'!$B$33:$W$143,21,FALSE)*VLOOKUP($B$14,'Annual Parameters'!$B$33:$W$143,3,FALSE)/VLOOKUP('Source VoT'!$E$27,'Annual Parameters'!$B$33:$W$143,3,FALSE)</f>
        <v>69.834439282178394</v>
      </c>
      <c r="AX99" s="73">
        <f>'Source VoT'!$D$45*VLOOKUP($B99,'Indirect tax correction'!$B$27:$I$127,8,FALSE)*VLOOKUP($B99,'Annual Parameters'!$B$33:$W$143,22,FALSE)/VLOOKUP('Source VoT'!$F$27,'Annual Parameters'!$B$33:$W$143,22,FALSE)*VLOOKUP($B$14,'Annual Parameters'!$B$33:$W$143,3,FALSE)/VLOOKUP('Source VoT'!$E$27,'Annual Parameters'!$B$33:$W$143,3,FALSE)</f>
        <v>36.075188849672386</v>
      </c>
      <c r="AY99" s="74">
        <f>'Source VoT'!$D$46*VLOOKUP($B99,'Indirect tax correction'!$B$27:$I$127,8,FALSE)*VLOOKUP($B99,'Annual Parameters'!$B$33:$W$143,22,FALSE)/VLOOKUP('Source VoT'!$F$27,'Annual Parameters'!$B$33:$W$143,22,FALSE)*VLOOKUP($B$14,'Annual Parameters'!$B$33:$W$143,3,FALSE)/VLOOKUP('Source VoT'!$E$27,'Annual Parameters'!$B$33:$W$143,3,FALSE)</f>
        <v>16.465798811788918</v>
      </c>
      <c r="AZ99" s="2875"/>
      <c r="BA99" s="2875"/>
      <c r="BB99" s="2875"/>
      <c r="BC99" s="2875"/>
      <c r="BD99" s="2875"/>
      <c r="BE99" s="2875"/>
      <c r="BF99" s="2875"/>
      <c r="BG99" s="2875"/>
    </row>
    <row r="100" spans="1:59" ht="13.5" customHeight="1">
      <c r="A100" s="90"/>
      <c r="B100" s="82">
        <f t="shared" si="1"/>
        <v>2083</v>
      </c>
      <c r="C100" s="82"/>
      <c r="D100" s="117">
        <f>'Source VoT'!$D$27*VLOOKUP($B100,'Indirect tax correction'!$B$27:$I$127,5,FALSE)*VLOOKUP($B100,'Annual Parameters'!$B$33:$W$143,21,FALSE)/VLOOKUP('Source VoT'!$F$27,'Annual Parameters'!$B$33:$W$143,21,FALSE)*VLOOKUP($B$14,'Annual Parameters'!$B$33:$W$143,3,FALSE)/VLOOKUP('Source VoT'!$E$27,'Annual Parameters'!$B$33:$W$143,3,FALSE)</f>
        <v>55.012510725665898</v>
      </c>
      <c r="E100" s="73">
        <f>'Source VoT'!$D$28*VLOOKUP($B100,'Indirect tax correction'!$B$27:$I$127,5,FALSE)*VLOOKUP($B100,'Annual Parameters'!$B$33:$W$143,21,FALSE)/VLOOKUP('Source VoT'!$F$27,'Annual Parameters'!$B$33:$W$143,21,FALSE)*VLOOKUP($B$14,'Annual Parameters'!$B$33:$W$143,3,FALSE)/VLOOKUP('Source VoT'!$E$27,'Annual Parameters'!$B$33:$W$143,3,FALSE)</f>
        <v>55.012510725665898</v>
      </c>
      <c r="F100" s="73">
        <f>'Source VoT'!$D$29*VLOOKUP($B100,'Indirect tax correction'!$B$27:$I$127,5,FALSE)*VLOOKUP($B100,'Annual Parameters'!$B$33:$W$143,21,FALSE)/VLOOKUP('Source VoT'!$F$27,'Annual Parameters'!$B$33:$W$143,21,FALSE)*VLOOKUP($B$14,'Annual Parameters'!$B$33:$W$143,3,FALSE)/VLOOKUP('Source VoT'!$E$27,'Annual Parameters'!$B$33:$W$143,3,FALSE)</f>
        <v>37.8803637493466</v>
      </c>
      <c r="G100" s="73">
        <f>'Source VoT'!$D$30*VLOOKUP($B100,'Indirect tax correction'!$B$27:$I$127,5,FALSE)*VLOOKUP($B100,'Annual Parameters'!$B$33:$W$143,21,FALSE)/VLOOKUP('Source VoT'!$F$27,'Annual Parameters'!$B$33:$W$143,21,FALSE)*VLOOKUP($B$14,'Annual Parameters'!$B$33:$W$143,3,FALSE)/VLOOKUP('Source VoT'!$E$27,'Annual Parameters'!$B$33:$W$143,3,FALSE)</f>
        <v>44.632187843558832</v>
      </c>
      <c r="H100" s="73">
        <f>'Source VoT'!$D$31*VLOOKUP($B100,'Indirect tax correction'!$B$27:$I$127,5,FALSE)*VLOOKUP($B100,'Annual Parameters'!$B$33:$W$143,21,FALSE)/VLOOKUP('Source VoT'!$F$27,'Annual Parameters'!$B$33:$W$143,21,FALSE)*VLOOKUP($B$14,'Annual Parameters'!$B$33:$W$143,3,FALSE)/VLOOKUP('Source VoT'!$E$27,'Annual Parameters'!$B$33:$W$143,3,FALSE)</f>
        <v>45.596734142732018</v>
      </c>
      <c r="I100" s="73">
        <f>'Source VoT'!$D$32*VLOOKUP($B100,'Indirect tax correction'!$B$27:$I$127,5,FALSE)*VLOOKUP($B100,'Annual Parameters'!$B$33:$W$143,21,FALSE)/VLOOKUP('Source VoT'!$F$27,'Annual Parameters'!$B$33:$W$143,21,FALSE)*VLOOKUP($B$14,'Annual Parameters'!$B$33:$W$143,3,FALSE)/VLOOKUP('Source VoT'!$E$27,'Annual Parameters'!$B$33:$W$143,3,FALSE)</f>
        <v>31.174808252293964</v>
      </c>
      <c r="J100" s="73">
        <f>'Source VoT'!$D$33*VLOOKUP($B100,'Indirect tax correction'!$B$27:$I$127,5,FALSE)*VLOOKUP($B100,'Annual Parameters'!$B$33:$W$143,21,FALSE)/VLOOKUP('Source VoT'!$F$27,'Annual Parameters'!$B$33:$W$143,21,FALSE)*VLOOKUP($B$14,'Annual Parameters'!$B$33:$W$143,3,FALSE)/VLOOKUP('Source VoT'!$E$27,'Annual Parameters'!$B$33:$W$143,3,FALSE)</f>
        <v>40.291729497279533</v>
      </c>
      <c r="K100" s="73">
        <f>'Source VoT'!$D$34*VLOOKUP($B100,'Indirect tax correction'!$B$27:$I$127,5,FALSE)*VLOOKUP($B100,'Annual Parameters'!$B$33:$W$143,21,FALSE)/VLOOKUP('Source VoT'!$F$27,'Annual Parameters'!$B$33:$W$143,21,FALSE)*VLOOKUP($B$14,'Annual Parameters'!$B$33:$W$143,3,FALSE)/VLOOKUP('Source VoT'!$E$27,'Annual Parameters'!$B$33:$W$143,3,FALSE)</f>
        <v>55.012510725665898</v>
      </c>
      <c r="L100" s="73">
        <f>'Source VoT'!$D$35*VLOOKUP($B100,'Indirect tax correction'!$B$27:$I$127,5,FALSE)*VLOOKUP($B100,'Annual Parameters'!$B$33:$W$143,21,FALSE)/VLOOKUP('Source VoT'!$F$27,'Annual Parameters'!$B$33:$W$143,21,FALSE)*VLOOKUP($B$14,'Annual Parameters'!$B$33:$W$143,3,FALSE)/VLOOKUP('Source VoT'!$E$27,'Annual Parameters'!$B$33:$W$143,3,FALSE)</f>
        <v>90.743817834595006</v>
      </c>
      <c r="M100" s="73">
        <f>'Source VoT'!$D$36*VLOOKUP($B100,'Indirect tax correction'!$B$27:$I$127,5,FALSE)*VLOOKUP($B100,'Annual Parameters'!$B$33:$W$143,21,FALSE)/VLOOKUP('Source VoT'!$F$27,'Annual Parameters'!$B$33:$W$143,21,FALSE)*VLOOKUP($B$14,'Annual Parameters'!$B$33:$W$143,3,FALSE)/VLOOKUP('Source VoT'!$E$27,'Annual Parameters'!$B$33:$W$143,3,FALSE)</f>
        <v>31.174808252293964</v>
      </c>
      <c r="N100" s="73">
        <f>'Source VoT'!$D$37*VLOOKUP($B100,'Indirect tax correction'!$B$27:$I$127,5,FALSE)*VLOOKUP($B100,'Annual Parameters'!$B$33:$W$143,21,FALSE)/VLOOKUP('Source VoT'!$F$27,'Annual Parameters'!$B$33:$W$143,21,FALSE)*VLOOKUP($B$14,'Annual Parameters'!$B$33:$W$143,3,FALSE)/VLOOKUP('Source VoT'!$E$27,'Annual Parameters'!$B$33:$W$143,3,FALSE)</f>
        <v>31.174808252293964</v>
      </c>
      <c r="O100" s="73">
        <f>'Source VoT'!$D$38*VLOOKUP($B100,'Indirect tax correction'!$B$27:$I$127,5,FALSE)*VLOOKUP($B100,'Annual Parameters'!$B$33:$W$143,21,FALSE)/VLOOKUP('Source VoT'!$F$27,'Annual Parameters'!$B$33:$W$143,21,FALSE)*VLOOKUP($B$14,'Annual Parameters'!$B$33:$W$143,3,FALSE)/VLOOKUP('Source VoT'!$E$27,'Annual Parameters'!$B$33:$W$143,3,FALSE)</f>
        <v>31.174808252293964</v>
      </c>
      <c r="P100" s="73">
        <f>'Source VoT'!$D$39*VLOOKUP($B100,'Indirect tax correction'!$B$27:$I$127,5,FALSE)*VLOOKUP($B100,'Annual Parameters'!$B$33:$W$143,21,FALSE)/VLOOKUP('Source VoT'!$F$27,'Annual Parameters'!$B$33:$W$143,21,FALSE)*VLOOKUP($B$14,'Annual Parameters'!$B$33:$W$143,3,FALSE)/VLOOKUP('Source VoT'!$E$27,'Annual Parameters'!$B$33:$W$143,3,FALSE)</f>
        <v>55.012510725665898</v>
      </c>
      <c r="Q100" s="74">
        <f>'Source VoT'!$D$40*VLOOKUP($B100,'Indirect tax correction'!$B$27:$I$127,5,FALSE)*VLOOKUP($B100,'Annual Parameters'!$B$33:$W$143,21,FALSE)/VLOOKUP('Source VoT'!$F$27,'Annual Parameters'!$B$33:$W$143,21,FALSE)*VLOOKUP($B$14,'Annual Parameters'!$B$33:$W$143,3,FALSE)/VLOOKUP('Source VoT'!$E$27,'Annual Parameters'!$B$33:$W$143,3,FALSE)</f>
        <v>59.921177482868515</v>
      </c>
      <c r="R100" s="73">
        <f>'Source VoT'!$D$45*VLOOKUP($B100,'Indirect tax correction'!$B$27:$I$127,6,FALSE)*VLOOKUP($B100,'Annual Parameters'!$B$33:$W$143,22,FALSE)/VLOOKUP('Source VoT'!$F$27,'Annual Parameters'!$B$33:$W$143,22,FALSE)*VLOOKUP($B$14,'Annual Parameters'!$B$33:$W$143,3,FALSE)/VLOOKUP('Source VoT'!$E$27,'Annual Parameters'!$B$33:$W$143,3,FALSE)</f>
        <v>30.95417985751439</v>
      </c>
      <c r="S100" s="73">
        <f>'Source VoT'!$D$46*VLOOKUP($B100,'Indirect tax correction'!$B$27:$I$127,6,FALSE)*VLOOKUP($B100,'Annual Parameters'!$B$33:$W$143,22,FALSE)/VLOOKUP('Source VoT'!$F$27,'Annual Parameters'!$B$33:$W$143,22,FALSE)*VLOOKUP($B$14,'Annual Parameters'!$B$33:$W$143,3,FALSE)/VLOOKUP('Source VoT'!$E$27,'Annual Parameters'!$B$33:$W$143,3,FALSE)</f>
        <v>14.128416625666251</v>
      </c>
      <c r="T100" s="117">
        <f>'Source VoT'!$D$27*1*VLOOKUP($B100,'Annual Parameters'!$B$33:$W$143,21,FALSE)/VLOOKUP('Source VoT'!$F$27,'Annual Parameters'!$B$33:$W$143,21,FALSE)*VLOOKUP($B$14,'Annual Parameters'!$B$33:$W$143,3,FALSE)/VLOOKUP('Source VoT'!$E$27,'Annual Parameters'!$B$33:$W$143,3,FALSE)</f>
        <v>55.012510725665898</v>
      </c>
      <c r="U100" s="73">
        <f>'Source VoT'!$D$28*1*VLOOKUP($B100,'Annual Parameters'!$B$33:$W$143,21,FALSE)/VLOOKUP('Source VoT'!$F$27,'Annual Parameters'!$B$33:$W$143,21,FALSE)*VLOOKUP($B$14,'Annual Parameters'!$B$33:$W$143,3,FALSE)/VLOOKUP('Source VoT'!$E$27,'Annual Parameters'!$B$33:$W$143,3,FALSE)</f>
        <v>55.012510725665898</v>
      </c>
      <c r="V100" s="73">
        <f>'Source VoT'!$D$29*1*VLOOKUP($B100,'Annual Parameters'!$B$33:$W$143,21,FALSE)/VLOOKUP('Source VoT'!$F$27,'Annual Parameters'!$B$33:$W$143,21,FALSE)*VLOOKUP($B$14,'Annual Parameters'!$B$33:$W$143,3,FALSE)/VLOOKUP('Source VoT'!$E$27,'Annual Parameters'!$B$33:$W$143,3,FALSE)</f>
        <v>37.8803637493466</v>
      </c>
      <c r="W100" s="73">
        <f>'Source VoT'!$D$30*1*VLOOKUP($B100,'Annual Parameters'!$B$33:$W$143,21,FALSE)/VLOOKUP('Source VoT'!$F$27,'Annual Parameters'!$B$33:$W$143,21,FALSE)*VLOOKUP($B$14,'Annual Parameters'!$B$33:$W$143,3,FALSE)/VLOOKUP('Source VoT'!$E$27,'Annual Parameters'!$B$33:$W$143,3,FALSE)</f>
        <v>44.632187843558832</v>
      </c>
      <c r="X100" s="73">
        <f>'Source VoT'!$D$31*1*VLOOKUP($B100,'Annual Parameters'!$B$33:$W$143,21,FALSE)/VLOOKUP('Source VoT'!$F$27,'Annual Parameters'!$B$33:$W$143,21,FALSE)*VLOOKUP($B$14,'Annual Parameters'!$B$33:$W$143,3,FALSE)/VLOOKUP('Source VoT'!$E$27,'Annual Parameters'!$B$33:$W$143,3,FALSE)</f>
        <v>45.596734142732018</v>
      </c>
      <c r="Y100" s="73">
        <f>'Source VoT'!$D$32*1*VLOOKUP($B100,'Annual Parameters'!$B$33:$W$143,21,FALSE)/VLOOKUP('Source VoT'!$F$27,'Annual Parameters'!$B$33:$W$143,21,FALSE)*VLOOKUP($B$14,'Annual Parameters'!$B$33:$W$143,3,FALSE)/VLOOKUP('Source VoT'!$E$27,'Annual Parameters'!$B$33:$W$143,3,FALSE)</f>
        <v>31.174808252293964</v>
      </c>
      <c r="Z100" s="73">
        <f>'Source VoT'!$D$33*1*VLOOKUP($B100,'Annual Parameters'!$B$33:$W$143,21,FALSE)/VLOOKUP('Source VoT'!$F$27,'Annual Parameters'!$B$33:$W$143,21,FALSE)*VLOOKUP($B$14,'Annual Parameters'!$B$33:$W$143,3,FALSE)/VLOOKUP('Source VoT'!$E$27,'Annual Parameters'!$B$33:$W$143,3,FALSE)</f>
        <v>40.291729497279533</v>
      </c>
      <c r="AA100" s="73">
        <f>'Source VoT'!$D$34*1*VLOOKUP($B100,'Annual Parameters'!$B$33:$W$143,21,FALSE)/VLOOKUP('Source VoT'!$F$27,'Annual Parameters'!$B$33:$W$143,21,FALSE)*VLOOKUP($B$14,'Annual Parameters'!$B$33:$W$143,3,FALSE)/VLOOKUP('Source VoT'!$E$27,'Annual Parameters'!$B$33:$W$143,3,FALSE)</f>
        <v>55.012510725665898</v>
      </c>
      <c r="AB100" s="73">
        <f>'Source VoT'!$D$35*1*VLOOKUP($B100,'Annual Parameters'!$B$33:$W$143,21,FALSE)/VLOOKUP('Source VoT'!$F$27,'Annual Parameters'!$B$33:$W$143,21,FALSE)*VLOOKUP($B$14,'Annual Parameters'!$B$33:$W$143,3,FALSE)/VLOOKUP('Source VoT'!$E$27,'Annual Parameters'!$B$33:$W$143,3,FALSE)</f>
        <v>90.743817834595006</v>
      </c>
      <c r="AC100" s="73">
        <f>'Source VoT'!$D$36*1*VLOOKUP($B100,'Annual Parameters'!$B$33:$W$143,21,FALSE)/VLOOKUP('Source VoT'!$F$27,'Annual Parameters'!$B$33:$W$143,21,FALSE)*VLOOKUP($B$14,'Annual Parameters'!$B$33:$W$143,3,FALSE)/VLOOKUP('Source VoT'!$E$27,'Annual Parameters'!$B$33:$W$143,3,FALSE)</f>
        <v>31.174808252293964</v>
      </c>
      <c r="AD100" s="73">
        <f>'Source VoT'!$D$37*1*VLOOKUP($B100,'Annual Parameters'!$B$33:$W$143,21,FALSE)/VLOOKUP('Source VoT'!$F$27,'Annual Parameters'!$B$33:$W$143,21,FALSE)*VLOOKUP($B$14,'Annual Parameters'!$B$33:$W$143,3,FALSE)/VLOOKUP('Source VoT'!$E$27,'Annual Parameters'!$B$33:$W$143,3,FALSE)</f>
        <v>31.174808252293964</v>
      </c>
      <c r="AE100" s="73">
        <f>'Source VoT'!$D$38*1*VLOOKUP($B100,'Annual Parameters'!$B$33:$W$143,21,FALSE)/VLOOKUP('Source VoT'!$F$27,'Annual Parameters'!$B$33:$W$143,21,FALSE)*VLOOKUP($B$14,'Annual Parameters'!$B$33:$W$143,3,FALSE)/VLOOKUP('Source VoT'!$E$27,'Annual Parameters'!$B$33:$W$143,3,FALSE)</f>
        <v>31.174808252293964</v>
      </c>
      <c r="AF100" s="73">
        <f>'Source VoT'!$D$39*1*VLOOKUP($B100,'Annual Parameters'!$B$33:$W$143,21,FALSE)/VLOOKUP('Source VoT'!$F$27,'Annual Parameters'!$B$33:$W$143,21,FALSE)*VLOOKUP($B$14,'Annual Parameters'!$B$33:$W$143,3,FALSE)/VLOOKUP('Source VoT'!$E$27,'Annual Parameters'!$B$33:$W$143,3,FALSE)</f>
        <v>55.012510725665898</v>
      </c>
      <c r="AG100" s="74">
        <f>'Source VoT'!$D$40*1*VLOOKUP($B100,'Annual Parameters'!$B$33:$W$143,21,FALSE)/VLOOKUP('Source VoT'!$F$27,'Annual Parameters'!$B$33:$W$143,21,FALSE)*VLOOKUP($B$14,'Annual Parameters'!$B$33:$W$143,3,FALSE)/VLOOKUP('Source VoT'!$E$27,'Annual Parameters'!$B$33:$W$143,3,FALSE)</f>
        <v>59.921177482868515</v>
      </c>
      <c r="AH100" s="73">
        <f>'Source VoT'!$D$45*1*VLOOKUP($B100,'Annual Parameters'!$B$33:$W$143,22,FALSE)/VLOOKUP('Source VoT'!$F$27,'Annual Parameters'!$B$33:$W$143,22,FALSE)*VLOOKUP($B$14,'Annual Parameters'!$B$33:$W$143,3,FALSE)/VLOOKUP('Source VoT'!$E$27,'Annual Parameters'!$B$33:$W$143,3,FALSE)</f>
        <v>36.835474030442128</v>
      </c>
      <c r="AI100" s="73">
        <f>'Source VoT'!$D$46*1*VLOOKUP($B100,'Annual Parameters'!$B$33:$W$143,22,FALSE)/VLOOKUP('Source VoT'!$F$27,'Annual Parameters'!$B$33:$W$143,22,FALSE)*VLOOKUP($B$14,'Annual Parameters'!$B$33:$W$143,3,FALSE)/VLOOKUP('Source VoT'!$E$27,'Annual Parameters'!$B$33:$W$143,3,FALSE)</f>
        <v>16.812815784542835</v>
      </c>
      <c r="AJ100" s="117">
        <f>'Source VoT'!$D$27*VLOOKUP($B100,'Indirect tax correction'!$B$27:$I$127,7,FALSE)*VLOOKUP($B100,'Annual Parameters'!$B$33:$W$143,21,FALSE)/VLOOKUP('Source VoT'!$F$27,'Annual Parameters'!$B$33:$W$143,21,FALSE)*VLOOKUP($B$14,'Annual Parameters'!$B$33:$W$143,3,FALSE)/VLOOKUP('Source VoT'!$E$27,'Annual Parameters'!$B$33:$W$143,3,FALSE)</f>
        <v>65.464887763542407</v>
      </c>
      <c r="AK100" s="73">
        <f>'Source VoT'!$D$28*VLOOKUP($B100,'Indirect tax correction'!$B$27:$I$127,7,FALSE)*VLOOKUP($B100,'Annual Parameters'!$B$33:$W$143,21,FALSE)/VLOOKUP('Source VoT'!$F$27,'Annual Parameters'!$B$33:$W$143,21,FALSE)*VLOOKUP($B$14,'Annual Parameters'!$B$33:$W$143,3,FALSE)/VLOOKUP('Source VoT'!$E$27,'Annual Parameters'!$B$33:$W$143,3,FALSE)</f>
        <v>65.464887763542407</v>
      </c>
      <c r="AL100" s="73">
        <f>'Source VoT'!$D$29*VLOOKUP($B100,'Indirect tax correction'!$B$27:$I$127,7,FALSE)*VLOOKUP($B100,'Annual Parameters'!$B$33:$W$143,21,FALSE)/VLOOKUP('Source VoT'!$F$27,'Annual Parameters'!$B$33:$W$143,21,FALSE)*VLOOKUP($B$14,'Annual Parameters'!$B$33:$W$143,3,FALSE)/VLOOKUP('Source VoT'!$E$27,'Annual Parameters'!$B$33:$W$143,3,FALSE)</f>
        <v>45.077632861722449</v>
      </c>
      <c r="AM100" s="73">
        <f>'Source VoT'!$D$30*VLOOKUP($B100,'Indirect tax correction'!$B$27:$I$127,7,FALSE)*VLOOKUP($B100,'Annual Parameters'!$B$33:$W$143,21,FALSE)/VLOOKUP('Source VoT'!$F$27,'Annual Parameters'!$B$33:$W$143,21,FALSE)*VLOOKUP($B$14,'Annual Parameters'!$B$33:$W$143,3,FALSE)/VLOOKUP('Source VoT'!$E$27,'Annual Parameters'!$B$33:$W$143,3,FALSE)</f>
        <v>53.112303533835004</v>
      </c>
      <c r="AN100" s="73">
        <f>'Source VoT'!$D$31*VLOOKUP($B100,'Indirect tax correction'!$B$27:$I$127,7,FALSE)*VLOOKUP($B100,'Annual Parameters'!$B$33:$W$143,21,FALSE)/VLOOKUP('Source VoT'!$F$27,'Annual Parameters'!$B$33:$W$143,21,FALSE)*VLOOKUP($B$14,'Annual Parameters'!$B$33:$W$143,3,FALSE)/VLOOKUP('Source VoT'!$E$27,'Annual Parameters'!$B$33:$W$143,3,FALSE)</f>
        <v>54.260113629851091</v>
      </c>
      <c r="AO100" s="73">
        <f>'Source VoT'!$D$32*VLOOKUP($B100,'Indirect tax correction'!$B$27:$I$127,7,FALSE)*VLOOKUP($B100,'Annual Parameters'!$B$33:$W$143,21,FALSE)/VLOOKUP('Source VoT'!$F$27,'Annual Parameters'!$B$33:$W$143,21,FALSE)*VLOOKUP($B$14,'Annual Parameters'!$B$33:$W$143,3,FALSE)/VLOOKUP('Source VoT'!$E$27,'Annual Parameters'!$B$33:$W$143,3,FALSE)</f>
        <v>37.098021820229818</v>
      </c>
      <c r="AP100" s="73">
        <f>'Source VoT'!$D$33*VLOOKUP($B100,'Indirect tax correction'!$B$27:$I$127,7,FALSE)*VLOOKUP($B100,'Annual Parameters'!$B$33:$W$143,21,FALSE)/VLOOKUP('Source VoT'!$F$27,'Annual Parameters'!$B$33:$W$143,21,FALSE)*VLOOKUP($B$14,'Annual Parameters'!$B$33:$W$143,3,FALSE)/VLOOKUP('Source VoT'!$E$27,'Annual Parameters'!$B$33:$W$143,3,FALSE)</f>
        <v>47.947158101762646</v>
      </c>
      <c r="AQ100" s="73">
        <f>'Source VoT'!$D$34*VLOOKUP($B100,'Indirect tax correction'!$B$27:$I$127,7,FALSE)*VLOOKUP($B100,'Annual Parameters'!$B$33:$W$143,21,FALSE)/VLOOKUP('Source VoT'!$F$27,'Annual Parameters'!$B$33:$W$143,21,FALSE)*VLOOKUP($B$14,'Annual Parameters'!$B$33:$W$143,3,FALSE)/VLOOKUP('Source VoT'!$E$27,'Annual Parameters'!$B$33:$W$143,3,FALSE)</f>
        <v>65.464887763542407</v>
      </c>
      <c r="AR100" s="73">
        <f>'Source VoT'!$D$35*VLOOKUP($B100,'Indirect tax correction'!$B$27:$I$127,7,FALSE)*VLOOKUP($B100,'Annual Parameters'!$B$33:$W$143,21,FALSE)/VLOOKUP('Source VoT'!$F$27,'Annual Parameters'!$B$33:$W$143,21,FALSE)*VLOOKUP($B$14,'Annual Parameters'!$B$33:$W$143,3,FALSE)/VLOOKUP('Source VoT'!$E$27,'Annual Parameters'!$B$33:$W$143,3,FALSE)</f>
        <v>107.98514322316805</v>
      </c>
      <c r="AS100" s="73">
        <f>'Source VoT'!$D$36*VLOOKUP($B100,'Indirect tax correction'!$B$27:$I$127,7,FALSE)*VLOOKUP($B100,'Annual Parameters'!$B$33:$W$143,21,FALSE)/VLOOKUP('Source VoT'!$F$27,'Annual Parameters'!$B$33:$W$143,21,FALSE)*VLOOKUP($B$14,'Annual Parameters'!$B$33:$W$143,3,FALSE)/VLOOKUP('Source VoT'!$E$27,'Annual Parameters'!$B$33:$W$143,3,FALSE)</f>
        <v>37.098021820229818</v>
      </c>
      <c r="AT100" s="73">
        <f>'Source VoT'!$D$37*VLOOKUP($B100,'Indirect tax correction'!$B$27:$I$127,7,FALSE)*VLOOKUP($B100,'Annual Parameters'!$B$33:$W$143,21,FALSE)/VLOOKUP('Source VoT'!$F$27,'Annual Parameters'!$B$33:$W$143,21,FALSE)*VLOOKUP($B$14,'Annual Parameters'!$B$33:$W$143,3,FALSE)/VLOOKUP('Source VoT'!$E$27,'Annual Parameters'!$B$33:$W$143,3,FALSE)</f>
        <v>37.098021820229818</v>
      </c>
      <c r="AU100" s="73">
        <f>'Source VoT'!$D$38*VLOOKUP($B100,'Indirect tax correction'!$B$27:$I$127,7,FALSE)*VLOOKUP($B100,'Annual Parameters'!$B$33:$W$143,21,FALSE)/VLOOKUP('Source VoT'!$F$27,'Annual Parameters'!$B$33:$W$143,21,FALSE)*VLOOKUP($B$14,'Annual Parameters'!$B$33:$W$143,3,FALSE)/VLOOKUP('Source VoT'!$E$27,'Annual Parameters'!$B$33:$W$143,3,FALSE)</f>
        <v>37.098021820229818</v>
      </c>
      <c r="AV100" s="73">
        <f>'Source VoT'!$D$39*VLOOKUP($B100,'Indirect tax correction'!$B$27:$I$127,7,FALSE)*VLOOKUP($B100,'Annual Parameters'!$B$33:$W$143,21,FALSE)/VLOOKUP('Source VoT'!$F$27,'Annual Parameters'!$B$33:$W$143,21,FALSE)*VLOOKUP($B$14,'Annual Parameters'!$B$33:$W$143,3,FALSE)/VLOOKUP('Source VoT'!$E$27,'Annual Parameters'!$B$33:$W$143,3,FALSE)</f>
        <v>65.464887763542407</v>
      </c>
      <c r="AW100" s="74">
        <f>'Source VoT'!$D$40*VLOOKUP($B100,'Indirect tax correction'!$B$27:$I$127,7,FALSE)*VLOOKUP($B100,'Annual Parameters'!$B$33:$W$143,21,FALSE)/VLOOKUP('Source VoT'!$F$27,'Annual Parameters'!$B$33:$W$143,21,FALSE)*VLOOKUP($B$14,'Annual Parameters'!$B$33:$W$143,3,FALSE)/VLOOKUP('Source VoT'!$E$27,'Annual Parameters'!$B$33:$W$143,3,FALSE)</f>
        <v>71.306201204613529</v>
      </c>
      <c r="AX100" s="73">
        <f>'Source VoT'!$D$45*VLOOKUP($B100,'Indirect tax correction'!$B$27:$I$127,8,FALSE)*VLOOKUP($B100,'Annual Parameters'!$B$33:$W$143,22,FALSE)/VLOOKUP('Source VoT'!$F$27,'Annual Parameters'!$B$33:$W$143,22,FALSE)*VLOOKUP($B$14,'Annual Parameters'!$B$33:$W$143,3,FALSE)/VLOOKUP('Source VoT'!$E$27,'Annual Parameters'!$B$33:$W$143,3,FALSE)</f>
        <v>36.835474030442128</v>
      </c>
      <c r="AY100" s="74">
        <f>'Source VoT'!$D$46*VLOOKUP($B100,'Indirect tax correction'!$B$27:$I$127,8,FALSE)*VLOOKUP($B100,'Annual Parameters'!$B$33:$W$143,22,FALSE)/VLOOKUP('Source VoT'!$F$27,'Annual Parameters'!$B$33:$W$143,22,FALSE)*VLOOKUP($B$14,'Annual Parameters'!$B$33:$W$143,3,FALSE)/VLOOKUP('Source VoT'!$E$27,'Annual Parameters'!$B$33:$W$143,3,FALSE)</f>
        <v>16.812815784542835</v>
      </c>
      <c r="AZ100" s="2875"/>
      <c r="BA100" s="2875"/>
      <c r="BB100" s="2875"/>
      <c r="BC100" s="2875"/>
      <c r="BD100" s="2875"/>
      <c r="BE100" s="2875"/>
      <c r="BF100" s="2875"/>
      <c r="BG100" s="2875"/>
    </row>
    <row r="101" spans="1:59" ht="13.5" customHeight="1">
      <c r="A101" s="90"/>
      <c r="B101" s="82">
        <f t="shared" si="1"/>
        <v>2084</v>
      </c>
      <c r="C101" s="82"/>
      <c r="D101" s="117">
        <f>'Source VoT'!$D$27*VLOOKUP($B101,'Indirect tax correction'!$B$27:$I$127,5,FALSE)*VLOOKUP($B101,'Annual Parameters'!$B$33:$W$143,21,FALSE)/VLOOKUP('Source VoT'!$F$27,'Annual Parameters'!$B$33:$W$143,21,FALSE)*VLOOKUP($B$14,'Annual Parameters'!$B$33:$W$143,3,FALSE)/VLOOKUP('Source VoT'!$E$27,'Annual Parameters'!$B$33:$W$143,3,FALSE)</f>
        <v>56.172395693040933</v>
      </c>
      <c r="E101" s="73">
        <f>'Source VoT'!$D$28*VLOOKUP($B101,'Indirect tax correction'!$B$27:$I$127,5,FALSE)*VLOOKUP($B101,'Annual Parameters'!$B$33:$W$143,21,FALSE)/VLOOKUP('Source VoT'!$F$27,'Annual Parameters'!$B$33:$W$143,21,FALSE)*VLOOKUP($B$14,'Annual Parameters'!$B$33:$W$143,3,FALSE)/VLOOKUP('Source VoT'!$E$27,'Annual Parameters'!$B$33:$W$143,3,FALSE)</f>
        <v>56.172395693040933</v>
      </c>
      <c r="F101" s="73">
        <f>'Source VoT'!$D$29*VLOOKUP($B101,'Indirect tax correction'!$B$27:$I$127,5,FALSE)*VLOOKUP($B101,'Annual Parameters'!$B$33:$W$143,21,FALSE)/VLOOKUP('Source VoT'!$F$27,'Annual Parameters'!$B$33:$W$143,21,FALSE)*VLOOKUP($B$14,'Annual Parameters'!$B$33:$W$143,3,FALSE)/VLOOKUP('Source VoT'!$E$27,'Annual Parameters'!$B$33:$W$143,3,FALSE)</f>
        <v>38.679034158895227</v>
      </c>
      <c r="G101" s="73">
        <f>'Source VoT'!$D$30*VLOOKUP($B101,'Indirect tax correction'!$B$27:$I$127,5,FALSE)*VLOOKUP($B101,'Annual Parameters'!$B$33:$W$143,21,FALSE)/VLOOKUP('Source VoT'!$F$27,'Annual Parameters'!$B$33:$W$143,21,FALSE)*VLOOKUP($B$14,'Annual Parameters'!$B$33:$W$143,3,FALSE)/VLOOKUP('Source VoT'!$E$27,'Annual Parameters'!$B$33:$W$143,3,FALSE)</f>
        <v>45.573213858513121</v>
      </c>
      <c r="H101" s="73">
        <f>'Source VoT'!$D$31*VLOOKUP($B101,'Indirect tax correction'!$B$27:$I$127,5,FALSE)*VLOOKUP($B101,'Annual Parameters'!$B$33:$W$143,21,FALSE)/VLOOKUP('Source VoT'!$F$27,'Annual Parameters'!$B$33:$W$143,21,FALSE)*VLOOKUP($B$14,'Annual Parameters'!$B$33:$W$143,3,FALSE)/VLOOKUP('Source VoT'!$E$27,'Annual Parameters'!$B$33:$W$143,3,FALSE)</f>
        <v>46.558096672744249</v>
      </c>
      <c r="I101" s="73">
        <f>'Source VoT'!$D$32*VLOOKUP($B101,'Indirect tax correction'!$B$27:$I$127,5,FALSE)*VLOOKUP($B101,'Annual Parameters'!$B$33:$W$143,21,FALSE)/VLOOKUP('Source VoT'!$F$27,'Annual Parameters'!$B$33:$W$143,21,FALSE)*VLOOKUP($B$14,'Annual Parameters'!$B$33:$W$143,3,FALSE)/VLOOKUP('Source VoT'!$E$27,'Annual Parameters'!$B$33:$W$143,3,FALSE)</f>
        <v>31.832098584541335</v>
      </c>
      <c r="J101" s="73">
        <f>'Source VoT'!$D$33*VLOOKUP($B101,'Indirect tax correction'!$B$27:$I$127,5,FALSE)*VLOOKUP($B101,'Annual Parameters'!$B$33:$W$143,21,FALSE)/VLOOKUP('Source VoT'!$F$27,'Annual Parameters'!$B$33:$W$143,21,FALSE)*VLOOKUP($B$14,'Annual Parameters'!$B$33:$W$143,3,FALSE)/VLOOKUP('Source VoT'!$E$27,'Annual Parameters'!$B$33:$W$143,3,FALSE)</f>
        <v>41.141241194473039</v>
      </c>
      <c r="K101" s="73">
        <f>'Source VoT'!$D$34*VLOOKUP($B101,'Indirect tax correction'!$B$27:$I$127,5,FALSE)*VLOOKUP($B101,'Annual Parameters'!$B$33:$W$143,21,FALSE)/VLOOKUP('Source VoT'!$F$27,'Annual Parameters'!$B$33:$W$143,21,FALSE)*VLOOKUP($B$14,'Annual Parameters'!$B$33:$W$143,3,FALSE)/VLOOKUP('Source VoT'!$E$27,'Annual Parameters'!$B$33:$W$143,3,FALSE)</f>
        <v>56.172395693040933</v>
      </c>
      <c r="L101" s="73">
        <f>'Source VoT'!$D$35*VLOOKUP($B101,'Indirect tax correction'!$B$27:$I$127,5,FALSE)*VLOOKUP($B101,'Annual Parameters'!$B$33:$W$143,21,FALSE)/VLOOKUP('Source VoT'!$F$27,'Annual Parameters'!$B$33:$W$143,21,FALSE)*VLOOKUP($B$14,'Annual Parameters'!$B$33:$W$143,3,FALSE)/VLOOKUP('Source VoT'!$E$27,'Annual Parameters'!$B$33:$W$143,3,FALSE)</f>
        <v>92.657062454776664</v>
      </c>
      <c r="M101" s="73">
        <f>'Source VoT'!$D$36*VLOOKUP($B101,'Indirect tax correction'!$B$27:$I$127,5,FALSE)*VLOOKUP($B101,'Annual Parameters'!$B$33:$W$143,21,FALSE)/VLOOKUP('Source VoT'!$F$27,'Annual Parameters'!$B$33:$W$143,21,FALSE)*VLOOKUP($B$14,'Annual Parameters'!$B$33:$W$143,3,FALSE)/VLOOKUP('Source VoT'!$E$27,'Annual Parameters'!$B$33:$W$143,3,FALSE)</f>
        <v>31.832098584541335</v>
      </c>
      <c r="N101" s="73">
        <f>'Source VoT'!$D$37*VLOOKUP($B101,'Indirect tax correction'!$B$27:$I$127,5,FALSE)*VLOOKUP($B101,'Annual Parameters'!$B$33:$W$143,21,FALSE)/VLOOKUP('Source VoT'!$F$27,'Annual Parameters'!$B$33:$W$143,21,FALSE)*VLOOKUP($B$14,'Annual Parameters'!$B$33:$W$143,3,FALSE)/VLOOKUP('Source VoT'!$E$27,'Annual Parameters'!$B$33:$W$143,3,FALSE)</f>
        <v>31.832098584541335</v>
      </c>
      <c r="O101" s="73">
        <f>'Source VoT'!$D$38*VLOOKUP($B101,'Indirect tax correction'!$B$27:$I$127,5,FALSE)*VLOOKUP($B101,'Annual Parameters'!$B$33:$W$143,21,FALSE)/VLOOKUP('Source VoT'!$F$27,'Annual Parameters'!$B$33:$W$143,21,FALSE)*VLOOKUP($B$14,'Annual Parameters'!$B$33:$W$143,3,FALSE)/VLOOKUP('Source VoT'!$E$27,'Annual Parameters'!$B$33:$W$143,3,FALSE)</f>
        <v>31.832098584541335</v>
      </c>
      <c r="P101" s="73">
        <f>'Source VoT'!$D$39*VLOOKUP($B101,'Indirect tax correction'!$B$27:$I$127,5,FALSE)*VLOOKUP($B101,'Annual Parameters'!$B$33:$W$143,21,FALSE)/VLOOKUP('Source VoT'!$F$27,'Annual Parameters'!$B$33:$W$143,21,FALSE)*VLOOKUP($B$14,'Annual Parameters'!$B$33:$W$143,3,FALSE)/VLOOKUP('Source VoT'!$E$27,'Annual Parameters'!$B$33:$W$143,3,FALSE)</f>
        <v>56.172395693040933</v>
      </c>
      <c r="Q101" s="74">
        <f>'Source VoT'!$D$40*VLOOKUP($B101,'Indirect tax correction'!$B$27:$I$127,5,FALSE)*VLOOKUP($B101,'Annual Parameters'!$B$33:$W$143,21,FALSE)/VLOOKUP('Source VoT'!$F$27,'Annual Parameters'!$B$33:$W$143,21,FALSE)*VLOOKUP($B$14,'Annual Parameters'!$B$33:$W$143,3,FALSE)/VLOOKUP('Source VoT'!$E$27,'Annual Parameters'!$B$33:$W$143,3,FALSE)</f>
        <v>61.184556886444177</v>
      </c>
      <c r="R101" s="73">
        <f>'Source VoT'!$D$45*VLOOKUP($B101,'Indirect tax correction'!$B$27:$I$127,6,FALSE)*VLOOKUP($B101,'Annual Parameters'!$B$33:$W$143,22,FALSE)/VLOOKUP('Source VoT'!$F$27,'Annual Parameters'!$B$33:$W$143,22,FALSE)*VLOOKUP($B$14,'Annual Parameters'!$B$33:$W$143,3,FALSE)/VLOOKUP('Source VoT'!$E$27,'Annual Parameters'!$B$33:$W$143,3,FALSE)</f>
        <v>31.606818455908773</v>
      </c>
      <c r="S101" s="73">
        <f>'Source VoT'!$D$46*VLOOKUP($B101,'Indirect tax correction'!$B$27:$I$127,6,FALSE)*VLOOKUP($B101,'Annual Parameters'!$B$33:$W$143,22,FALSE)/VLOOKUP('Source VoT'!$F$27,'Annual Parameters'!$B$33:$W$143,22,FALSE)*VLOOKUP($B$14,'Annual Parameters'!$B$33:$W$143,3,FALSE)/VLOOKUP('Source VoT'!$E$27,'Annual Parameters'!$B$33:$W$143,3,FALSE)</f>
        <v>14.42630046773704</v>
      </c>
      <c r="T101" s="117">
        <f>'Source VoT'!$D$27*1*VLOOKUP($B101,'Annual Parameters'!$B$33:$W$143,21,FALSE)/VLOOKUP('Source VoT'!$F$27,'Annual Parameters'!$B$33:$W$143,21,FALSE)*VLOOKUP($B$14,'Annual Parameters'!$B$33:$W$143,3,FALSE)/VLOOKUP('Source VoT'!$E$27,'Annual Parameters'!$B$33:$W$143,3,FALSE)</f>
        <v>56.172395693040933</v>
      </c>
      <c r="U101" s="73">
        <f>'Source VoT'!$D$28*1*VLOOKUP($B101,'Annual Parameters'!$B$33:$W$143,21,FALSE)/VLOOKUP('Source VoT'!$F$27,'Annual Parameters'!$B$33:$W$143,21,FALSE)*VLOOKUP($B$14,'Annual Parameters'!$B$33:$W$143,3,FALSE)/VLOOKUP('Source VoT'!$E$27,'Annual Parameters'!$B$33:$W$143,3,FALSE)</f>
        <v>56.172395693040933</v>
      </c>
      <c r="V101" s="73">
        <f>'Source VoT'!$D$29*1*VLOOKUP($B101,'Annual Parameters'!$B$33:$W$143,21,FALSE)/VLOOKUP('Source VoT'!$F$27,'Annual Parameters'!$B$33:$W$143,21,FALSE)*VLOOKUP($B$14,'Annual Parameters'!$B$33:$W$143,3,FALSE)/VLOOKUP('Source VoT'!$E$27,'Annual Parameters'!$B$33:$W$143,3,FALSE)</f>
        <v>38.679034158895227</v>
      </c>
      <c r="W101" s="73">
        <f>'Source VoT'!$D$30*1*VLOOKUP($B101,'Annual Parameters'!$B$33:$W$143,21,FALSE)/VLOOKUP('Source VoT'!$F$27,'Annual Parameters'!$B$33:$W$143,21,FALSE)*VLOOKUP($B$14,'Annual Parameters'!$B$33:$W$143,3,FALSE)/VLOOKUP('Source VoT'!$E$27,'Annual Parameters'!$B$33:$W$143,3,FALSE)</f>
        <v>45.573213858513121</v>
      </c>
      <c r="X101" s="73">
        <f>'Source VoT'!$D$31*1*VLOOKUP($B101,'Annual Parameters'!$B$33:$W$143,21,FALSE)/VLOOKUP('Source VoT'!$F$27,'Annual Parameters'!$B$33:$W$143,21,FALSE)*VLOOKUP($B$14,'Annual Parameters'!$B$33:$W$143,3,FALSE)/VLOOKUP('Source VoT'!$E$27,'Annual Parameters'!$B$33:$W$143,3,FALSE)</f>
        <v>46.558096672744249</v>
      </c>
      <c r="Y101" s="73">
        <f>'Source VoT'!$D$32*1*VLOOKUP($B101,'Annual Parameters'!$B$33:$W$143,21,FALSE)/VLOOKUP('Source VoT'!$F$27,'Annual Parameters'!$B$33:$W$143,21,FALSE)*VLOOKUP($B$14,'Annual Parameters'!$B$33:$W$143,3,FALSE)/VLOOKUP('Source VoT'!$E$27,'Annual Parameters'!$B$33:$W$143,3,FALSE)</f>
        <v>31.832098584541335</v>
      </c>
      <c r="Z101" s="73">
        <f>'Source VoT'!$D$33*1*VLOOKUP($B101,'Annual Parameters'!$B$33:$W$143,21,FALSE)/VLOOKUP('Source VoT'!$F$27,'Annual Parameters'!$B$33:$W$143,21,FALSE)*VLOOKUP($B$14,'Annual Parameters'!$B$33:$W$143,3,FALSE)/VLOOKUP('Source VoT'!$E$27,'Annual Parameters'!$B$33:$W$143,3,FALSE)</f>
        <v>41.141241194473039</v>
      </c>
      <c r="AA101" s="73">
        <f>'Source VoT'!$D$34*1*VLOOKUP($B101,'Annual Parameters'!$B$33:$W$143,21,FALSE)/VLOOKUP('Source VoT'!$F$27,'Annual Parameters'!$B$33:$W$143,21,FALSE)*VLOOKUP($B$14,'Annual Parameters'!$B$33:$W$143,3,FALSE)/VLOOKUP('Source VoT'!$E$27,'Annual Parameters'!$B$33:$W$143,3,FALSE)</f>
        <v>56.172395693040933</v>
      </c>
      <c r="AB101" s="73">
        <f>'Source VoT'!$D$35*1*VLOOKUP($B101,'Annual Parameters'!$B$33:$W$143,21,FALSE)/VLOOKUP('Source VoT'!$F$27,'Annual Parameters'!$B$33:$W$143,21,FALSE)*VLOOKUP($B$14,'Annual Parameters'!$B$33:$W$143,3,FALSE)/VLOOKUP('Source VoT'!$E$27,'Annual Parameters'!$B$33:$W$143,3,FALSE)</f>
        <v>92.657062454776664</v>
      </c>
      <c r="AC101" s="73">
        <f>'Source VoT'!$D$36*1*VLOOKUP($B101,'Annual Parameters'!$B$33:$W$143,21,FALSE)/VLOOKUP('Source VoT'!$F$27,'Annual Parameters'!$B$33:$W$143,21,FALSE)*VLOOKUP($B$14,'Annual Parameters'!$B$33:$W$143,3,FALSE)/VLOOKUP('Source VoT'!$E$27,'Annual Parameters'!$B$33:$W$143,3,FALSE)</f>
        <v>31.832098584541335</v>
      </c>
      <c r="AD101" s="73">
        <f>'Source VoT'!$D$37*1*VLOOKUP($B101,'Annual Parameters'!$B$33:$W$143,21,FALSE)/VLOOKUP('Source VoT'!$F$27,'Annual Parameters'!$B$33:$W$143,21,FALSE)*VLOOKUP($B$14,'Annual Parameters'!$B$33:$W$143,3,FALSE)/VLOOKUP('Source VoT'!$E$27,'Annual Parameters'!$B$33:$W$143,3,FALSE)</f>
        <v>31.832098584541335</v>
      </c>
      <c r="AE101" s="73">
        <f>'Source VoT'!$D$38*1*VLOOKUP($B101,'Annual Parameters'!$B$33:$W$143,21,FALSE)/VLOOKUP('Source VoT'!$F$27,'Annual Parameters'!$B$33:$W$143,21,FALSE)*VLOOKUP($B$14,'Annual Parameters'!$B$33:$W$143,3,FALSE)/VLOOKUP('Source VoT'!$E$27,'Annual Parameters'!$B$33:$W$143,3,FALSE)</f>
        <v>31.832098584541335</v>
      </c>
      <c r="AF101" s="73">
        <f>'Source VoT'!$D$39*1*VLOOKUP($B101,'Annual Parameters'!$B$33:$W$143,21,FALSE)/VLOOKUP('Source VoT'!$F$27,'Annual Parameters'!$B$33:$W$143,21,FALSE)*VLOOKUP($B$14,'Annual Parameters'!$B$33:$W$143,3,FALSE)/VLOOKUP('Source VoT'!$E$27,'Annual Parameters'!$B$33:$W$143,3,FALSE)</f>
        <v>56.172395693040933</v>
      </c>
      <c r="AG101" s="74">
        <f>'Source VoT'!$D$40*1*VLOOKUP($B101,'Annual Parameters'!$B$33:$W$143,21,FALSE)/VLOOKUP('Source VoT'!$F$27,'Annual Parameters'!$B$33:$W$143,21,FALSE)*VLOOKUP($B$14,'Annual Parameters'!$B$33:$W$143,3,FALSE)/VLOOKUP('Source VoT'!$E$27,'Annual Parameters'!$B$33:$W$143,3,FALSE)</f>
        <v>61.184556886444177</v>
      </c>
      <c r="AH101" s="73">
        <f>'Source VoT'!$D$45*1*VLOOKUP($B101,'Annual Parameters'!$B$33:$W$143,22,FALSE)/VLOOKUP('Source VoT'!$F$27,'Annual Parameters'!$B$33:$W$143,22,FALSE)*VLOOKUP($B$14,'Annual Parameters'!$B$33:$W$143,3,FALSE)/VLOOKUP('Source VoT'!$E$27,'Annual Parameters'!$B$33:$W$143,3,FALSE)</f>
        <v>37.612113962531438</v>
      </c>
      <c r="AI101" s="73">
        <f>'Source VoT'!$D$46*1*VLOOKUP($B101,'Annual Parameters'!$B$33:$W$143,22,FALSE)/VLOOKUP('Source VoT'!$F$27,'Annual Parameters'!$B$33:$W$143,22,FALSE)*VLOOKUP($B$14,'Annual Parameters'!$B$33:$W$143,3,FALSE)/VLOOKUP('Source VoT'!$E$27,'Annual Parameters'!$B$33:$W$143,3,FALSE)</f>
        <v>17.167297556607075</v>
      </c>
      <c r="AJ101" s="117">
        <f>'Source VoT'!$D$27*VLOOKUP($B101,'Indirect tax correction'!$B$27:$I$127,7,FALSE)*VLOOKUP($B101,'Annual Parameters'!$B$33:$W$143,21,FALSE)/VLOOKUP('Source VoT'!$F$27,'Annual Parameters'!$B$33:$W$143,21,FALSE)*VLOOKUP($B$14,'Annual Parameters'!$B$33:$W$143,3,FALSE)/VLOOKUP('Source VoT'!$E$27,'Annual Parameters'!$B$33:$W$143,3,FALSE)</f>
        <v>66.845150874718712</v>
      </c>
      <c r="AK101" s="73">
        <f>'Source VoT'!$D$28*VLOOKUP($B101,'Indirect tax correction'!$B$27:$I$127,7,FALSE)*VLOOKUP($B101,'Annual Parameters'!$B$33:$W$143,21,FALSE)/VLOOKUP('Source VoT'!$F$27,'Annual Parameters'!$B$33:$W$143,21,FALSE)*VLOOKUP($B$14,'Annual Parameters'!$B$33:$W$143,3,FALSE)/VLOOKUP('Source VoT'!$E$27,'Annual Parameters'!$B$33:$W$143,3,FALSE)</f>
        <v>66.845150874718712</v>
      </c>
      <c r="AL101" s="73">
        <f>'Source VoT'!$D$29*VLOOKUP($B101,'Indirect tax correction'!$B$27:$I$127,7,FALSE)*VLOOKUP($B101,'Annual Parameters'!$B$33:$W$143,21,FALSE)/VLOOKUP('Source VoT'!$F$27,'Annual Parameters'!$B$33:$W$143,21,FALSE)*VLOOKUP($B$14,'Annual Parameters'!$B$33:$W$143,3,FALSE)/VLOOKUP('Source VoT'!$E$27,'Annual Parameters'!$B$33:$W$143,3,FALSE)</f>
        <v>46.028050649085309</v>
      </c>
      <c r="AM101" s="73">
        <f>'Source VoT'!$D$30*VLOOKUP($B101,'Indirect tax correction'!$B$27:$I$127,7,FALSE)*VLOOKUP($B101,'Annual Parameters'!$B$33:$W$143,21,FALSE)/VLOOKUP('Source VoT'!$F$27,'Annual Parameters'!$B$33:$W$143,21,FALSE)*VLOOKUP($B$14,'Annual Parameters'!$B$33:$W$143,3,FALSE)/VLOOKUP('Source VoT'!$E$27,'Annual Parameters'!$B$33:$W$143,3,FALSE)</f>
        <v>54.2321244916306</v>
      </c>
      <c r="AN101" s="73">
        <f>'Source VoT'!$D$31*VLOOKUP($B101,'Indirect tax correction'!$B$27:$I$127,7,FALSE)*VLOOKUP($B101,'Annual Parameters'!$B$33:$W$143,21,FALSE)/VLOOKUP('Source VoT'!$F$27,'Annual Parameters'!$B$33:$W$143,21,FALSE)*VLOOKUP($B$14,'Annual Parameters'!$B$33:$W$143,3,FALSE)/VLOOKUP('Source VoT'!$E$27,'Annual Parameters'!$B$33:$W$143,3,FALSE)</f>
        <v>55.404135040565649</v>
      </c>
      <c r="AO101" s="73">
        <f>'Source VoT'!$D$32*VLOOKUP($B101,'Indirect tax correction'!$B$27:$I$127,7,FALSE)*VLOOKUP($B101,'Annual Parameters'!$B$33:$W$143,21,FALSE)/VLOOKUP('Source VoT'!$F$27,'Annual Parameters'!$B$33:$W$143,21,FALSE)*VLOOKUP($B$14,'Annual Parameters'!$B$33:$W$143,3,FALSE)/VLOOKUP('Source VoT'!$E$27,'Annual Parameters'!$B$33:$W$143,3,FALSE)</f>
        <v>37.880197315604192</v>
      </c>
      <c r="AP101" s="73">
        <f>'Source VoT'!$D$33*VLOOKUP($B101,'Indirect tax correction'!$B$27:$I$127,7,FALSE)*VLOOKUP($B101,'Annual Parameters'!$B$33:$W$143,21,FALSE)/VLOOKUP('Source VoT'!$F$27,'Annual Parameters'!$B$33:$W$143,21,FALSE)*VLOOKUP($B$14,'Annual Parameters'!$B$33:$W$143,3,FALSE)/VLOOKUP('Source VoT'!$E$27,'Annual Parameters'!$B$33:$W$143,3,FALSE)</f>
        <v>48.958077021422916</v>
      </c>
      <c r="AQ101" s="73">
        <f>'Source VoT'!$D$34*VLOOKUP($B101,'Indirect tax correction'!$B$27:$I$127,7,FALSE)*VLOOKUP($B101,'Annual Parameters'!$B$33:$W$143,21,FALSE)/VLOOKUP('Source VoT'!$F$27,'Annual Parameters'!$B$33:$W$143,21,FALSE)*VLOOKUP($B$14,'Annual Parameters'!$B$33:$W$143,3,FALSE)/VLOOKUP('Source VoT'!$E$27,'Annual Parameters'!$B$33:$W$143,3,FALSE)</f>
        <v>66.845150874718712</v>
      </c>
      <c r="AR101" s="73">
        <f>'Source VoT'!$D$35*VLOOKUP($B101,'Indirect tax correction'!$B$27:$I$127,7,FALSE)*VLOOKUP($B101,'Annual Parameters'!$B$33:$W$143,21,FALSE)/VLOOKUP('Source VoT'!$F$27,'Annual Parameters'!$B$33:$W$143,21,FALSE)*VLOOKUP($B$14,'Annual Parameters'!$B$33:$W$143,3,FALSE)/VLOOKUP('Source VoT'!$E$27,'Annual Parameters'!$B$33:$W$143,3,FALSE)</f>
        <v>110.26190432118423</v>
      </c>
      <c r="AS101" s="73">
        <f>'Source VoT'!$D$36*VLOOKUP($B101,'Indirect tax correction'!$B$27:$I$127,7,FALSE)*VLOOKUP($B101,'Annual Parameters'!$B$33:$W$143,21,FALSE)/VLOOKUP('Source VoT'!$F$27,'Annual Parameters'!$B$33:$W$143,21,FALSE)*VLOOKUP($B$14,'Annual Parameters'!$B$33:$W$143,3,FALSE)/VLOOKUP('Source VoT'!$E$27,'Annual Parameters'!$B$33:$W$143,3,FALSE)</f>
        <v>37.880197315604192</v>
      </c>
      <c r="AT101" s="73">
        <f>'Source VoT'!$D$37*VLOOKUP($B101,'Indirect tax correction'!$B$27:$I$127,7,FALSE)*VLOOKUP($B101,'Annual Parameters'!$B$33:$W$143,21,FALSE)/VLOOKUP('Source VoT'!$F$27,'Annual Parameters'!$B$33:$W$143,21,FALSE)*VLOOKUP($B$14,'Annual Parameters'!$B$33:$W$143,3,FALSE)/VLOOKUP('Source VoT'!$E$27,'Annual Parameters'!$B$33:$W$143,3,FALSE)</f>
        <v>37.880197315604192</v>
      </c>
      <c r="AU101" s="73">
        <f>'Source VoT'!$D$38*VLOOKUP($B101,'Indirect tax correction'!$B$27:$I$127,7,FALSE)*VLOOKUP($B101,'Annual Parameters'!$B$33:$W$143,21,FALSE)/VLOOKUP('Source VoT'!$F$27,'Annual Parameters'!$B$33:$W$143,21,FALSE)*VLOOKUP($B$14,'Annual Parameters'!$B$33:$W$143,3,FALSE)/VLOOKUP('Source VoT'!$E$27,'Annual Parameters'!$B$33:$W$143,3,FALSE)</f>
        <v>37.880197315604192</v>
      </c>
      <c r="AV101" s="73">
        <f>'Source VoT'!$D$39*VLOOKUP($B101,'Indirect tax correction'!$B$27:$I$127,7,FALSE)*VLOOKUP($B101,'Annual Parameters'!$B$33:$W$143,21,FALSE)/VLOOKUP('Source VoT'!$F$27,'Annual Parameters'!$B$33:$W$143,21,FALSE)*VLOOKUP($B$14,'Annual Parameters'!$B$33:$W$143,3,FALSE)/VLOOKUP('Source VoT'!$E$27,'Annual Parameters'!$B$33:$W$143,3,FALSE)</f>
        <v>66.845150874718712</v>
      </c>
      <c r="AW101" s="74">
        <f>'Source VoT'!$D$40*VLOOKUP($B101,'Indirect tax correction'!$B$27:$I$127,7,FALSE)*VLOOKUP($B101,'Annual Parameters'!$B$33:$W$143,21,FALSE)/VLOOKUP('Source VoT'!$F$27,'Annual Parameters'!$B$33:$W$143,21,FALSE)*VLOOKUP($B$14,'Annual Parameters'!$B$33:$W$143,3,FALSE)/VLOOKUP('Source VoT'!$E$27,'Annual Parameters'!$B$33:$W$143,3,FALSE)</f>
        <v>72.809622694868565</v>
      </c>
      <c r="AX101" s="73">
        <f>'Source VoT'!$D$45*VLOOKUP($B101,'Indirect tax correction'!$B$27:$I$127,8,FALSE)*VLOOKUP($B101,'Annual Parameters'!$B$33:$W$143,22,FALSE)/VLOOKUP('Source VoT'!$F$27,'Annual Parameters'!$B$33:$W$143,22,FALSE)*VLOOKUP($B$14,'Annual Parameters'!$B$33:$W$143,3,FALSE)/VLOOKUP('Source VoT'!$E$27,'Annual Parameters'!$B$33:$W$143,3,FALSE)</f>
        <v>37.612113962531438</v>
      </c>
      <c r="AY101" s="74">
        <f>'Source VoT'!$D$46*VLOOKUP($B101,'Indirect tax correction'!$B$27:$I$127,8,FALSE)*VLOOKUP($B101,'Annual Parameters'!$B$33:$W$143,22,FALSE)/VLOOKUP('Source VoT'!$F$27,'Annual Parameters'!$B$33:$W$143,22,FALSE)*VLOOKUP($B$14,'Annual Parameters'!$B$33:$W$143,3,FALSE)/VLOOKUP('Source VoT'!$E$27,'Annual Parameters'!$B$33:$W$143,3,FALSE)</f>
        <v>17.167297556607075</v>
      </c>
      <c r="AZ101" s="2875"/>
      <c r="BA101" s="2875"/>
      <c r="BB101" s="2875"/>
      <c r="BC101" s="2875"/>
      <c r="BD101" s="2875"/>
      <c r="BE101" s="2875"/>
      <c r="BF101" s="2875"/>
      <c r="BG101" s="2875"/>
    </row>
    <row r="102" spans="1:59" ht="13.5" customHeight="1">
      <c r="A102" s="90"/>
      <c r="B102" s="82">
        <f t="shared" si="1"/>
        <v>2085</v>
      </c>
      <c r="C102" s="82"/>
      <c r="D102" s="117">
        <f>'Source VoT'!$D$27*VLOOKUP($B102,'Indirect tax correction'!$B$27:$I$127,5,FALSE)*VLOOKUP($B102,'Annual Parameters'!$B$33:$W$143,21,FALSE)/VLOOKUP('Source VoT'!$F$27,'Annual Parameters'!$B$33:$W$143,21,FALSE)*VLOOKUP($B$14,'Annual Parameters'!$B$33:$W$143,3,FALSE)/VLOOKUP('Source VoT'!$E$27,'Annual Parameters'!$B$33:$W$143,3,FALSE)</f>
        <v>57.357060956585357</v>
      </c>
      <c r="E102" s="73">
        <f>'Source VoT'!$D$28*VLOOKUP($B102,'Indirect tax correction'!$B$27:$I$127,5,FALSE)*VLOOKUP($B102,'Annual Parameters'!$B$33:$W$143,21,FALSE)/VLOOKUP('Source VoT'!$F$27,'Annual Parameters'!$B$33:$W$143,21,FALSE)*VLOOKUP($B$14,'Annual Parameters'!$B$33:$W$143,3,FALSE)/VLOOKUP('Source VoT'!$E$27,'Annual Parameters'!$B$33:$W$143,3,FALSE)</f>
        <v>57.357060956585357</v>
      </c>
      <c r="F102" s="73">
        <f>'Source VoT'!$D$29*VLOOKUP($B102,'Indirect tax correction'!$B$27:$I$127,5,FALSE)*VLOOKUP($B102,'Annual Parameters'!$B$33:$W$143,21,FALSE)/VLOOKUP('Source VoT'!$F$27,'Annual Parameters'!$B$33:$W$143,21,FALSE)*VLOOKUP($B$14,'Annual Parameters'!$B$33:$W$143,3,FALSE)/VLOOKUP('Source VoT'!$E$27,'Annual Parameters'!$B$33:$W$143,3,FALSE)</f>
        <v>39.494767716813747</v>
      </c>
      <c r="G102" s="73">
        <f>'Source VoT'!$D$30*VLOOKUP($B102,'Indirect tax correction'!$B$27:$I$127,5,FALSE)*VLOOKUP($B102,'Annual Parameters'!$B$33:$W$143,21,FALSE)/VLOOKUP('Source VoT'!$F$27,'Annual Parameters'!$B$33:$W$143,21,FALSE)*VLOOKUP($B$14,'Annual Parameters'!$B$33:$W$143,3,FALSE)/VLOOKUP('Source VoT'!$E$27,'Annual Parameters'!$B$33:$W$143,3,FALSE)</f>
        <v>46.53434437004212</v>
      </c>
      <c r="H102" s="73">
        <f>'Source VoT'!$D$31*VLOOKUP($B102,'Indirect tax correction'!$B$27:$I$127,5,FALSE)*VLOOKUP($B102,'Annual Parameters'!$B$33:$W$143,21,FALSE)/VLOOKUP('Source VoT'!$F$27,'Annual Parameters'!$B$33:$W$143,21,FALSE)*VLOOKUP($B$14,'Annual Parameters'!$B$33:$W$143,3,FALSE)/VLOOKUP('Source VoT'!$E$27,'Annual Parameters'!$B$33:$W$143,3,FALSE)</f>
        <v>47.539998177646176</v>
      </c>
      <c r="I102" s="73">
        <f>'Source VoT'!$D$32*VLOOKUP($B102,'Indirect tax correction'!$B$27:$I$127,5,FALSE)*VLOOKUP($B102,'Annual Parameters'!$B$33:$W$143,21,FALSE)/VLOOKUP('Source VoT'!$F$27,'Annual Parameters'!$B$33:$W$143,21,FALSE)*VLOOKUP($B$14,'Annual Parameters'!$B$33:$W$143,3,FALSE)/VLOOKUP('Source VoT'!$E$27,'Annual Parameters'!$B$33:$W$143,3,FALSE)</f>
        <v>32.503431558568288</v>
      </c>
      <c r="J102" s="73">
        <f>'Source VoT'!$D$33*VLOOKUP($B102,'Indirect tax correction'!$B$27:$I$127,5,FALSE)*VLOOKUP($B102,'Annual Parameters'!$B$33:$W$143,21,FALSE)/VLOOKUP('Source VoT'!$F$27,'Annual Parameters'!$B$33:$W$143,21,FALSE)*VLOOKUP($B$14,'Annual Parameters'!$B$33:$W$143,3,FALSE)/VLOOKUP('Source VoT'!$E$27,'Annual Parameters'!$B$33:$W$143,3,FALSE)</f>
        <v>42.008902235823868</v>
      </c>
      <c r="K102" s="73">
        <f>'Source VoT'!$D$34*VLOOKUP($B102,'Indirect tax correction'!$B$27:$I$127,5,FALSE)*VLOOKUP($B102,'Annual Parameters'!$B$33:$W$143,21,FALSE)/VLOOKUP('Source VoT'!$F$27,'Annual Parameters'!$B$33:$W$143,21,FALSE)*VLOOKUP($B$14,'Annual Parameters'!$B$33:$W$143,3,FALSE)/VLOOKUP('Source VoT'!$E$27,'Annual Parameters'!$B$33:$W$143,3,FALSE)</f>
        <v>57.357060956585357</v>
      </c>
      <c r="L102" s="73">
        <f>'Source VoT'!$D$35*VLOOKUP($B102,'Indirect tax correction'!$B$27:$I$127,5,FALSE)*VLOOKUP($B102,'Annual Parameters'!$B$33:$W$143,21,FALSE)/VLOOKUP('Source VoT'!$F$27,'Annual Parameters'!$B$33:$W$143,21,FALSE)*VLOOKUP($B$14,'Annual Parameters'!$B$33:$W$143,3,FALSE)/VLOOKUP('Source VoT'!$E$27,'Annual Parameters'!$B$33:$W$143,3,FALSE)</f>
        <v>94.611182480421903</v>
      </c>
      <c r="M102" s="73">
        <f>'Source VoT'!$D$36*VLOOKUP($B102,'Indirect tax correction'!$B$27:$I$127,5,FALSE)*VLOOKUP($B102,'Annual Parameters'!$B$33:$W$143,21,FALSE)/VLOOKUP('Source VoT'!$F$27,'Annual Parameters'!$B$33:$W$143,21,FALSE)*VLOOKUP($B$14,'Annual Parameters'!$B$33:$W$143,3,FALSE)/VLOOKUP('Source VoT'!$E$27,'Annual Parameters'!$B$33:$W$143,3,FALSE)</f>
        <v>32.503431558568288</v>
      </c>
      <c r="N102" s="73">
        <f>'Source VoT'!$D$37*VLOOKUP($B102,'Indirect tax correction'!$B$27:$I$127,5,FALSE)*VLOOKUP($B102,'Annual Parameters'!$B$33:$W$143,21,FALSE)/VLOOKUP('Source VoT'!$F$27,'Annual Parameters'!$B$33:$W$143,21,FALSE)*VLOOKUP($B$14,'Annual Parameters'!$B$33:$W$143,3,FALSE)/VLOOKUP('Source VoT'!$E$27,'Annual Parameters'!$B$33:$W$143,3,FALSE)</f>
        <v>32.503431558568288</v>
      </c>
      <c r="O102" s="73">
        <f>'Source VoT'!$D$38*VLOOKUP($B102,'Indirect tax correction'!$B$27:$I$127,5,FALSE)*VLOOKUP($B102,'Annual Parameters'!$B$33:$W$143,21,FALSE)/VLOOKUP('Source VoT'!$F$27,'Annual Parameters'!$B$33:$W$143,21,FALSE)*VLOOKUP($B$14,'Annual Parameters'!$B$33:$W$143,3,FALSE)/VLOOKUP('Source VoT'!$E$27,'Annual Parameters'!$B$33:$W$143,3,FALSE)</f>
        <v>32.503431558568288</v>
      </c>
      <c r="P102" s="73">
        <f>'Source VoT'!$D$39*VLOOKUP($B102,'Indirect tax correction'!$B$27:$I$127,5,FALSE)*VLOOKUP($B102,'Annual Parameters'!$B$33:$W$143,21,FALSE)/VLOOKUP('Source VoT'!$F$27,'Annual Parameters'!$B$33:$W$143,21,FALSE)*VLOOKUP($B$14,'Annual Parameters'!$B$33:$W$143,3,FALSE)/VLOOKUP('Source VoT'!$E$27,'Annual Parameters'!$B$33:$W$143,3,FALSE)</f>
        <v>57.357060956585357</v>
      </c>
      <c r="Q102" s="74">
        <f>'Source VoT'!$D$40*VLOOKUP($B102,'Indirect tax correction'!$B$27:$I$127,5,FALSE)*VLOOKUP($B102,'Annual Parameters'!$B$33:$W$143,21,FALSE)/VLOOKUP('Source VoT'!$F$27,'Annual Parameters'!$B$33:$W$143,21,FALSE)*VLOOKUP($B$14,'Annual Parameters'!$B$33:$W$143,3,FALSE)/VLOOKUP('Source VoT'!$E$27,'Annual Parameters'!$B$33:$W$143,3,FALSE)</f>
        <v>62.474927687163081</v>
      </c>
      <c r="R102" s="73">
        <f>'Source VoT'!$D$45*VLOOKUP($B102,'Indirect tax correction'!$B$27:$I$127,6,FALSE)*VLOOKUP($B102,'Annual Parameters'!$B$33:$W$143,22,FALSE)/VLOOKUP('Source VoT'!$F$27,'Annual Parameters'!$B$33:$W$143,22,FALSE)*VLOOKUP($B$14,'Annual Parameters'!$B$33:$W$143,3,FALSE)/VLOOKUP('Source VoT'!$E$27,'Annual Parameters'!$B$33:$W$143,3,FALSE)</f>
        <v>32.273400314380382</v>
      </c>
      <c r="S102" s="73">
        <f>'Source VoT'!$D$46*VLOOKUP($B102,'Indirect tax correction'!$B$27:$I$127,6,FALSE)*VLOOKUP($B102,'Annual Parameters'!$B$33:$W$143,22,FALSE)/VLOOKUP('Source VoT'!$F$27,'Annual Parameters'!$B$33:$W$143,22,FALSE)*VLOOKUP($B$14,'Annual Parameters'!$B$33:$W$143,3,FALSE)/VLOOKUP('Source VoT'!$E$27,'Annual Parameters'!$B$33:$W$143,3,FALSE)</f>
        <v>14.730548432146003</v>
      </c>
      <c r="T102" s="117">
        <f>'Source VoT'!$D$27*1*VLOOKUP($B102,'Annual Parameters'!$B$33:$W$143,21,FALSE)/VLOOKUP('Source VoT'!$F$27,'Annual Parameters'!$B$33:$W$143,21,FALSE)*VLOOKUP($B$14,'Annual Parameters'!$B$33:$W$143,3,FALSE)/VLOOKUP('Source VoT'!$E$27,'Annual Parameters'!$B$33:$W$143,3,FALSE)</f>
        <v>57.357060956585357</v>
      </c>
      <c r="U102" s="73">
        <f>'Source VoT'!$D$28*1*VLOOKUP($B102,'Annual Parameters'!$B$33:$W$143,21,FALSE)/VLOOKUP('Source VoT'!$F$27,'Annual Parameters'!$B$33:$W$143,21,FALSE)*VLOOKUP($B$14,'Annual Parameters'!$B$33:$W$143,3,FALSE)/VLOOKUP('Source VoT'!$E$27,'Annual Parameters'!$B$33:$W$143,3,FALSE)</f>
        <v>57.357060956585357</v>
      </c>
      <c r="V102" s="73">
        <f>'Source VoT'!$D$29*1*VLOOKUP($B102,'Annual Parameters'!$B$33:$W$143,21,FALSE)/VLOOKUP('Source VoT'!$F$27,'Annual Parameters'!$B$33:$W$143,21,FALSE)*VLOOKUP($B$14,'Annual Parameters'!$B$33:$W$143,3,FALSE)/VLOOKUP('Source VoT'!$E$27,'Annual Parameters'!$B$33:$W$143,3,FALSE)</f>
        <v>39.494767716813747</v>
      </c>
      <c r="W102" s="73">
        <f>'Source VoT'!$D$30*1*VLOOKUP($B102,'Annual Parameters'!$B$33:$W$143,21,FALSE)/VLOOKUP('Source VoT'!$F$27,'Annual Parameters'!$B$33:$W$143,21,FALSE)*VLOOKUP($B$14,'Annual Parameters'!$B$33:$W$143,3,FALSE)/VLOOKUP('Source VoT'!$E$27,'Annual Parameters'!$B$33:$W$143,3,FALSE)</f>
        <v>46.53434437004212</v>
      </c>
      <c r="X102" s="73">
        <f>'Source VoT'!$D$31*1*VLOOKUP($B102,'Annual Parameters'!$B$33:$W$143,21,FALSE)/VLOOKUP('Source VoT'!$F$27,'Annual Parameters'!$B$33:$W$143,21,FALSE)*VLOOKUP($B$14,'Annual Parameters'!$B$33:$W$143,3,FALSE)/VLOOKUP('Source VoT'!$E$27,'Annual Parameters'!$B$33:$W$143,3,FALSE)</f>
        <v>47.539998177646176</v>
      </c>
      <c r="Y102" s="73">
        <f>'Source VoT'!$D$32*1*VLOOKUP($B102,'Annual Parameters'!$B$33:$W$143,21,FALSE)/VLOOKUP('Source VoT'!$F$27,'Annual Parameters'!$B$33:$W$143,21,FALSE)*VLOOKUP($B$14,'Annual Parameters'!$B$33:$W$143,3,FALSE)/VLOOKUP('Source VoT'!$E$27,'Annual Parameters'!$B$33:$W$143,3,FALSE)</f>
        <v>32.503431558568288</v>
      </c>
      <c r="Z102" s="73">
        <f>'Source VoT'!$D$33*1*VLOOKUP($B102,'Annual Parameters'!$B$33:$W$143,21,FALSE)/VLOOKUP('Source VoT'!$F$27,'Annual Parameters'!$B$33:$W$143,21,FALSE)*VLOOKUP($B$14,'Annual Parameters'!$B$33:$W$143,3,FALSE)/VLOOKUP('Source VoT'!$E$27,'Annual Parameters'!$B$33:$W$143,3,FALSE)</f>
        <v>42.008902235823868</v>
      </c>
      <c r="AA102" s="73">
        <f>'Source VoT'!$D$34*1*VLOOKUP($B102,'Annual Parameters'!$B$33:$W$143,21,FALSE)/VLOOKUP('Source VoT'!$F$27,'Annual Parameters'!$B$33:$W$143,21,FALSE)*VLOOKUP($B$14,'Annual Parameters'!$B$33:$W$143,3,FALSE)/VLOOKUP('Source VoT'!$E$27,'Annual Parameters'!$B$33:$W$143,3,FALSE)</f>
        <v>57.357060956585357</v>
      </c>
      <c r="AB102" s="73">
        <f>'Source VoT'!$D$35*1*VLOOKUP($B102,'Annual Parameters'!$B$33:$W$143,21,FALSE)/VLOOKUP('Source VoT'!$F$27,'Annual Parameters'!$B$33:$W$143,21,FALSE)*VLOOKUP($B$14,'Annual Parameters'!$B$33:$W$143,3,FALSE)/VLOOKUP('Source VoT'!$E$27,'Annual Parameters'!$B$33:$W$143,3,FALSE)</f>
        <v>94.611182480421903</v>
      </c>
      <c r="AC102" s="73">
        <f>'Source VoT'!$D$36*1*VLOOKUP($B102,'Annual Parameters'!$B$33:$W$143,21,FALSE)/VLOOKUP('Source VoT'!$F$27,'Annual Parameters'!$B$33:$W$143,21,FALSE)*VLOOKUP($B$14,'Annual Parameters'!$B$33:$W$143,3,FALSE)/VLOOKUP('Source VoT'!$E$27,'Annual Parameters'!$B$33:$W$143,3,FALSE)</f>
        <v>32.503431558568288</v>
      </c>
      <c r="AD102" s="73">
        <f>'Source VoT'!$D$37*1*VLOOKUP($B102,'Annual Parameters'!$B$33:$W$143,21,FALSE)/VLOOKUP('Source VoT'!$F$27,'Annual Parameters'!$B$33:$W$143,21,FALSE)*VLOOKUP($B$14,'Annual Parameters'!$B$33:$W$143,3,FALSE)/VLOOKUP('Source VoT'!$E$27,'Annual Parameters'!$B$33:$W$143,3,FALSE)</f>
        <v>32.503431558568288</v>
      </c>
      <c r="AE102" s="73">
        <f>'Source VoT'!$D$38*1*VLOOKUP($B102,'Annual Parameters'!$B$33:$W$143,21,FALSE)/VLOOKUP('Source VoT'!$F$27,'Annual Parameters'!$B$33:$W$143,21,FALSE)*VLOOKUP($B$14,'Annual Parameters'!$B$33:$W$143,3,FALSE)/VLOOKUP('Source VoT'!$E$27,'Annual Parameters'!$B$33:$W$143,3,FALSE)</f>
        <v>32.503431558568288</v>
      </c>
      <c r="AF102" s="73">
        <f>'Source VoT'!$D$39*1*VLOOKUP($B102,'Annual Parameters'!$B$33:$W$143,21,FALSE)/VLOOKUP('Source VoT'!$F$27,'Annual Parameters'!$B$33:$W$143,21,FALSE)*VLOOKUP($B$14,'Annual Parameters'!$B$33:$W$143,3,FALSE)/VLOOKUP('Source VoT'!$E$27,'Annual Parameters'!$B$33:$W$143,3,FALSE)</f>
        <v>57.357060956585357</v>
      </c>
      <c r="AG102" s="74">
        <f>'Source VoT'!$D$40*1*VLOOKUP($B102,'Annual Parameters'!$B$33:$W$143,21,FALSE)/VLOOKUP('Source VoT'!$F$27,'Annual Parameters'!$B$33:$W$143,21,FALSE)*VLOOKUP($B$14,'Annual Parameters'!$B$33:$W$143,3,FALSE)/VLOOKUP('Source VoT'!$E$27,'Annual Parameters'!$B$33:$W$143,3,FALSE)</f>
        <v>62.474927687163081</v>
      </c>
      <c r="AH102" s="73">
        <f>'Source VoT'!$D$45*1*VLOOKUP($B102,'Annual Parameters'!$B$33:$W$143,22,FALSE)/VLOOKUP('Source VoT'!$F$27,'Annual Parameters'!$B$33:$W$143,22,FALSE)*VLOOKUP($B$14,'Annual Parameters'!$B$33:$W$143,3,FALSE)/VLOOKUP('Source VoT'!$E$27,'Annual Parameters'!$B$33:$W$143,3,FALSE)</f>
        <v>38.405346374112654</v>
      </c>
      <c r="AI102" s="73">
        <f>'Source VoT'!$D$46*1*VLOOKUP($B102,'Annual Parameters'!$B$33:$W$143,22,FALSE)/VLOOKUP('Source VoT'!$F$27,'Annual Parameters'!$B$33:$W$143,22,FALSE)*VLOOKUP($B$14,'Annual Parameters'!$B$33:$W$143,3,FALSE)/VLOOKUP('Source VoT'!$E$27,'Annual Parameters'!$B$33:$W$143,3,FALSE)</f>
        <v>17.529352634253748</v>
      </c>
      <c r="AJ102" s="117">
        <f>'Source VoT'!$D$27*VLOOKUP($B102,'Indirect tax correction'!$B$27:$I$127,7,FALSE)*VLOOKUP($B102,'Annual Parameters'!$B$33:$W$143,21,FALSE)/VLOOKUP('Source VoT'!$F$27,'Annual Parameters'!$B$33:$W$143,21,FALSE)*VLOOKUP($B$14,'Annual Parameters'!$B$33:$W$143,3,FALSE)/VLOOKUP('Source VoT'!$E$27,'Annual Parameters'!$B$33:$W$143,3,FALSE)</f>
        <v>68.25490253833658</v>
      </c>
      <c r="AK102" s="73">
        <f>'Source VoT'!$D$28*VLOOKUP($B102,'Indirect tax correction'!$B$27:$I$127,7,FALSE)*VLOOKUP($B102,'Annual Parameters'!$B$33:$W$143,21,FALSE)/VLOOKUP('Source VoT'!$F$27,'Annual Parameters'!$B$33:$W$143,21,FALSE)*VLOOKUP($B$14,'Annual Parameters'!$B$33:$W$143,3,FALSE)/VLOOKUP('Source VoT'!$E$27,'Annual Parameters'!$B$33:$W$143,3,FALSE)</f>
        <v>68.25490253833658</v>
      </c>
      <c r="AL102" s="73">
        <f>'Source VoT'!$D$29*VLOOKUP($B102,'Indirect tax correction'!$B$27:$I$127,7,FALSE)*VLOOKUP($B102,'Annual Parameters'!$B$33:$W$143,21,FALSE)/VLOOKUP('Source VoT'!$F$27,'Annual Parameters'!$B$33:$W$143,21,FALSE)*VLOOKUP($B$14,'Annual Parameters'!$B$33:$W$143,3,FALSE)/VLOOKUP('Source VoT'!$E$27,'Annual Parameters'!$B$33:$W$143,3,FALSE)</f>
        <v>46.998773583008358</v>
      </c>
      <c r="AM102" s="73">
        <f>'Source VoT'!$D$30*VLOOKUP($B102,'Indirect tax correction'!$B$27:$I$127,7,FALSE)*VLOOKUP($B102,'Annual Parameters'!$B$33:$W$143,21,FALSE)/VLOOKUP('Source VoT'!$F$27,'Annual Parameters'!$B$33:$W$143,21,FALSE)*VLOOKUP($B$14,'Annual Parameters'!$B$33:$W$143,3,FALSE)/VLOOKUP('Source VoT'!$E$27,'Annual Parameters'!$B$33:$W$143,3,FALSE)</f>
        <v>55.37586980035011</v>
      </c>
      <c r="AN102" s="73">
        <f>'Source VoT'!$D$31*VLOOKUP($B102,'Indirect tax correction'!$B$27:$I$127,7,FALSE)*VLOOKUP($B102,'Annual Parameters'!$B$33:$W$143,21,FALSE)/VLOOKUP('Source VoT'!$F$27,'Annual Parameters'!$B$33:$W$143,21,FALSE)*VLOOKUP($B$14,'Annual Parameters'!$B$33:$W$143,3,FALSE)/VLOOKUP('Source VoT'!$E$27,'Annual Parameters'!$B$33:$W$143,3,FALSE)</f>
        <v>56.572597831398944</v>
      </c>
      <c r="AO102" s="73">
        <f>'Source VoT'!$D$32*VLOOKUP($B102,'Indirect tax correction'!$B$27:$I$127,7,FALSE)*VLOOKUP($B102,'Annual Parameters'!$B$33:$W$143,21,FALSE)/VLOOKUP('Source VoT'!$F$27,'Annual Parameters'!$B$33:$W$143,21,FALSE)*VLOOKUP($B$14,'Annual Parameters'!$B$33:$W$143,3,FALSE)/VLOOKUP('Source VoT'!$E$27,'Annual Parameters'!$B$33:$W$143,3,FALSE)</f>
        <v>38.679083554696263</v>
      </c>
      <c r="AP102" s="73">
        <f>'Source VoT'!$D$33*VLOOKUP($B102,'Indirect tax correction'!$B$27:$I$127,7,FALSE)*VLOOKUP($B102,'Annual Parameters'!$B$33:$W$143,21,FALSE)/VLOOKUP('Source VoT'!$F$27,'Annual Parameters'!$B$33:$W$143,21,FALSE)*VLOOKUP($B$14,'Annual Parameters'!$B$33:$W$143,3,FALSE)/VLOOKUP('Source VoT'!$E$27,'Annual Parameters'!$B$33:$W$143,3,FALSE)</f>
        <v>49.99059366063041</v>
      </c>
      <c r="AQ102" s="73">
        <f>'Source VoT'!$D$34*VLOOKUP($B102,'Indirect tax correction'!$B$27:$I$127,7,FALSE)*VLOOKUP($B102,'Annual Parameters'!$B$33:$W$143,21,FALSE)/VLOOKUP('Source VoT'!$F$27,'Annual Parameters'!$B$33:$W$143,21,FALSE)*VLOOKUP($B$14,'Annual Parameters'!$B$33:$W$143,3,FALSE)/VLOOKUP('Source VoT'!$E$27,'Annual Parameters'!$B$33:$W$143,3,FALSE)</f>
        <v>68.25490253833658</v>
      </c>
      <c r="AR102" s="73">
        <f>'Source VoT'!$D$35*VLOOKUP($B102,'Indirect tax correction'!$B$27:$I$127,7,FALSE)*VLOOKUP($B102,'Annual Parameters'!$B$33:$W$143,21,FALSE)/VLOOKUP('Source VoT'!$F$27,'Annual Parameters'!$B$33:$W$143,21,FALSE)*VLOOKUP($B$14,'Annual Parameters'!$B$33:$W$143,3,FALSE)/VLOOKUP('Source VoT'!$E$27,'Annual Parameters'!$B$33:$W$143,3,FALSE)</f>
        <v>112.58730715170208</v>
      </c>
      <c r="AS102" s="73">
        <f>'Source VoT'!$D$36*VLOOKUP($B102,'Indirect tax correction'!$B$27:$I$127,7,FALSE)*VLOOKUP($B102,'Annual Parameters'!$B$33:$W$143,21,FALSE)/VLOOKUP('Source VoT'!$F$27,'Annual Parameters'!$B$33:$W$143,21,FALSE)*VLOOKUP($B$14,'Annual Parameters'!$B$33:$W$143,3,FALSE)/VLOOKUP('Source VoT'!$E$27,'Annual Parameters'!$B$33:$W$143,3,FALSE)</f>
        <v>38.679083554696263</v>
      </c>
      <c r="AT102" s="73">
        <f>'Source VoT'!$D$37*VLOOKUP($B102,'Indirect tax correction'!$B$27:$I$127,7,FALSE)*VLOOKUP($B102,'Annual Parameters'!$B$33:$W$143,21,FALSE)/VLOOKUP('Source VoT'!$F$27,'Annual Parameters'!$B$33:$W$143,21,FALSE)*VLOOKUP($B$14,'Annual Parameters'!$B$33:$W$143,3,FALSE)/VLOOKUP('Source VoT'!$E$27,'Annual Parameters'!$B$33:$W$143,3,FALSE)</f>
        <v>38.679083554696263</v>
      </c>
      <c r="AU102" s="73">
        <f>'Source VoT'!$D$38*VLOOKUP($B102,'Indirect tax correction'!$B$27:$I$127,7,FALSE)*VLOOKUP($B102,'Annual Parameters'!$B$33:$W$143,21,FALSE)/VLOOKUP('Source VoT'!$F$27,'Annual Parameters'!$B$33:$W$143,21,FALSE)*VLOOKUP($B$14,'Annual Parameters'!$B$33:$W$143,3,FALSE)/VLOOKUP('Source VoT'!$E$27,'Annual Parameters'!$B$33:$W$143,3,FALSE)</f>
        <v>38.679083554696263</v>
      </c>
      <c r="AV102" s="73">
        <f>'Source VoT'!$D$39*VLOOKUP($B102,'Indirect tax correction'!$B$27:$I$127,7,FALSE)*VLOOKUP($B102,'Annual Parameters'!$B$33:$W$143,21,FALSE)/VLOOKUP('Source VoT'!$F$27,'Annual Parameters'!$B$33:$W$143,21,FALSE)*VLOOKUP($B$14,'Annual Parameters'!$B$33:$W$143,3,FALSE)/VLOOKUP('Source VoT'!$E$27,'Annual Parameters'!$B$33:$W$143,3,FALSE)</f>
        <v>68.25490253833658</v>
      </c>
      <c r="AW102" s="74">
        <f>'Source VoT'!$D$40*VLOOKUP($B102,'Indirect tax correction'!$B$27:$I$127,7,FALSE)*VLOOKUP($B102,'Annual Parameters'!$B$33:$W$143,21,FALSE)/VLOOKUP('Source VoT'!$F$27,'Annual Parameters'!$B$33:$W$143,21,FALSE)*VLOOKUP($B$14,'Annual Parameters'!$B$33:$W$143,3,FALSE)/VLOOKUP('Source VoT'!$E$27,'Annual Parameters'!$B$33:$W$143,3,FALSE)</f>
        <v>74.34516394772406</v>
      </c>
      <c r="AX102" s="73">
        <f>'Source VoT'!$D$45*VLOOKUP($B102,'Indirect tax correction'!$B$27:$I$127,8,FALSE)*VLOOKUP($B102,'Annual Parameters'!$B$33:$W$143,22,FALSE)/VLOOKUP('Source VoT'!$F$27,'Annual Parameters'!$B$33:$W$143,22,FALSE)*VLOOKUP($B$14,'Annual Parameters'!$B$33:$W$143,3,FALSE)/VLOOKUP('Source VoT'!$E$27,'Annual Parameters'!$B$33:$W$143,3,FALSE)</f>
        <v>38.405346374112654</v>
      </c>
      <c r="AY102" s="74">
        <f>'Source VoT'!$D$46*VLOOKUP($B102,'Indirect tax correction'!$B$27:$I$127,8,FALSE)*VLOOKUP($B102,'Annual Parameters'!$B$33:$W$143,22,FALSE)/VLOOKUP('Source VoT'!$F$27,'Annual Parameters'!$B$33:$W$143,22,FALSE)*VLOOKUP($B$14,'Annual Parameters'!$B$33:$W$143,3,FALSE)/VLOOKUP('Source VoT'!$E$27,'Annual Parameters'!$B$33:$W$143,3,FALSE)</f>
        <v>17.529352634253748</v>
      </c>
      <c r="AZ102" s="2875"/>
      <c r="BA102" s="2875"/>
      <c r="BB102" s="2875"/>
      <c r="BC102" s="2875"/>
      <c r="BD102" s="2875"/>
      <c r="BE102" s="2875"/>
      <c r="BF102" s="2875"/>
      <c r="BG102" s="2875"/>
    </row>
    <row r="103" spans="1:59" ht="13.5" customHeight="1">
      <c r="A103" s="90"/>
      <c r="B103" s="82">
        <f t="shared" si="1"/>
        <v>2086</v>
      </c>
      <c r="C103" s="82"/>
      <c r="D103" s="117">
        <f>'Source VoT'!$D$27*VLOOKUP($B103,'Indirect tax correction'!$B$27:$I$127,5,FALSE)*VLOOKUP($B103,'Annual Parameters'!$B$33:$W$143,21,FALSE)/VLOOKUP('Source VoT'!$F$27,'Annual Parameters'!$B$33:$W$143,21,FALSE)*VLOOKUP($B$14,'Annual Parameters'!$B$33:$W$143,3,FALSE)/VLOOKUP('Source VoT'!$E$27,'Annual Parameters'!$B$33:$W$143,3,FALSE)</f>
        <v>58.56684020346983</v>
      </c>
      <c r="E103" s="73">
        <f>'Source VoT'!$D$28*VLOOKUP($B103,'Indirect tax correction'!$B$27:$I$127,5,FALSE)*VLOOKUP($B103,'Annual Parameters'!$B$33:$W$143,21,FALSE)/VLOOKUP('Source VoT'!$F$27,'Annual Parameters'!$B$33:$W$143,21,FALSE)*VLOOKUP($B$14,'Annual Parameters'!$B$33:$W$143,3,FALSE)/VLOOKUP('Source VoT'!$E$27,'Annual Parameters'!$B$33:$W$143,3,FALSE)</f>
        <v>58.56684020346983</v>
      </c>
      <c r="F103" s="73">
        <f>'Source VoT'!$D$29*VLOOKUP($B103,'Indirect tax correction'!$B$27:$I$127,5,FALSE)*VLOOKUP($B103,'Annual Parameters'!$B$33:$W$143,21,FALSE)/VLOOKUP('Source VoT'!$F$27,'Annual Parameters'!$B$33:$W$143,21,FALSE)*VLOOKUP($B$14,'Annual Parameters'!$B$33:$W$143,3,FALSE)/VLOOKUP('Source VoT'!$E$27,'Annual Parameters'!$B$33:$W$143,3,FALSE)</f>
        <v>40.327794192498921</v>
      </c>
      <c r="G103" s="73">
        <f>'Source VoT'!$D$30*VLOOKUP($B103,'Indirect tax correction'!$B$27:$I$127,5,FALSE)*VLOOKUP($B103,'Annual Parameters'!$B$33:$W$143,21,FALSE)/VLOOKUP('Source VoT'!$F$27,'Annual Parameters'!$B$33:$W$143,21,FALSE)*VLOOKUP($B$14,'Annual Parameters'!$B$33:$W$143,3,FALSE)/VLOOKUP('Source VoT'!$E$27,'Annual Parameters'!$B$33:$W$143,3,FALSE)</f>
        <v>47.515850101810059</v>
      </c>
      <c r="H103" s="73">
        <f>'Source VoT'!$D$31*VLOOKUP($B103,'Indirect tax correction'!$B$27:$I$127,5,FALSE)*VLOOKUP($B103,'Annual Parameters'!$B$33:$W$143,21,FALSE)/VLOOKUP('Source VoT'!$F$27,'Annual Parameters'!$B$33:$W$143,21,FALSE)*VLOOKUP($B$14,'Annual Parameters'!$B$33:$W$143,3,FALSE)/VLOOKUP('Source VoT'!$E$27,'Annual Parameters'!$B$33:$W$143,3,FALSE)</f>
        <v>48.542715231711661</v>
      </c>
      <c r="I103" s="73">
        <f>'Source VoT'!$D$32*VLOOKUP($B103,'Indirect tax correction'!$B$27:$I$127,5,FALSE)*VLOOKUP($B103,'Annual Parameters'!$B$33:$W$143,21,FALSE)/VLOOKUP('Source VoT'!$F$27,'Annual Parameters'!$B$33:$W$143,21,FALSE)*VLOOKUP($B$14,'Annual Parameters'!$B$33:$W$143,3,FALSE)/VLOOKUP('Source VoT'!$E$27,'Annual Parameters'!$B$33:$W$143,3,FALSE)</f>
        <v>33.188996270153659</v>
      </c>
      <c r="J103" s="73">
        <f>'Source VoT'!$D$33*VLOOKUP($B103,'Indirect tax correction'!$B$27:$I$127,5,FALSE)*VLOOKUP($B103,'Annual Parameters'!$B$33:$W$143,21,FALSE)/VLOOKUP('Source VoT'!$F$27,'Annual Parameters'!$B$33:$W$143,21,FALSE)*VLOOKUP($B$14,'Annual Parameters'!$B$33:$W$143,3,FALSE)/VLOOKUP('Source VoT'!$E$27,'Annual Parameters'!$B$33:$W$143,3,FALSE)</f>
        <v>42.894957017252899</v>
      </c>
      <c r="K103" s="73">
        <f>'Source VoT'!$D$34*VLOOKUP($B103,'Indirect tax correction'!$B$27:$I$127,5,FALSE)*VLOOKUP($B103,'Annual Parameters'!$B$33:$W$143,21,FALSE)/VLOOKUP('Source VoT'!$F$27,'Annual Parameters'!$B$33:$W$143,21,FALSE)*VLOOKUP($B$14,'Annual Parameters'!$B$33:$W$143,3,FALSE)/VLOOKUP('Source VoT'!$E$27,'Annual Parameters'!$B$33:$W$143,3,FALSE)</f>
        <v>58.56684020346983</v>
      </c>
      <c r="L103" s="73">
        <f>'Source VoT'!$D$35*VLOOKUP($B103,'Indirect tax correction'!$B$27:$I$127,5,FALSE)*VLOOKUP($B103,'Annual Parameters'!$B$33:$W$143,21,FALSE)/VLOOKUP('Source VoT'!$F$27,'Annual Parameters'!$B$33:$W$143,21,FALSE)*VLOOKUP($B$14,'Annual Parameters'!$B$33:$W$143,3,FALSE)/VLOOKUP('Source VoT'!$E$27,'Annual Parameters'!$B$33:$W$143,3,FALSE)</f>
        <v>96.606728332651869</v>
      </c>
      <c r="M103" s="73">
        <f>'Source VoT'!$D$36*VLOOKUP($B103,'Indirect tax correction'!$B$27:$I$127,5,FALSE)*VLOOKUP($B103,'Annual Parameters'!$B$33:$W$143,21,FALSE)/VLOOKUP('Source VoT'!$F$27,'Annual Parameters'!$B$33:$W$143,21,FALSE)*VLOOKUP($B$14,'Annual Parameters'!$B$33:$W$143,3,FALSE)/VLOOKUP('Source VoT'!$E$27,'Annual Parameters'!$B$33:$W$143,3,FALSE)</f>
        <v>33.188996270153659</v>
      </c>
      <c r="N103" s="73">
        <f>'Source VoT'!$D$37*VLOOKUP($B103,'Indirect tax correction'!$B$27:$I$127,5,FALSE)*VLOOKUP($B103,'Annual Parameters'!$B$33:$W$143,21,FALSE)/VLOOKUP('Source VoT'!$F$27,'Annual Parameters'!$B$33:$W$143,21,FALSE)*VLOOKUP($B$14,'Annual Parameters'!$B$33:$W$143,3,FALSE)/VLOOKUP('Source VoT'!$E$27,'Annual Parameters'!$B$33:$W$143,3,FALSE)</f>
        <v>33.188996270153659</v>
      </c>
      <c r="O103" s="73">
        <f>'Source VoT'!$D$38*VLOOKUP($B103,'Indirect tax correction'!$B$27:$I$127,5,FALSE)*VLOOKUP($B103,'Annual Parameters'!$B$33:$W$143,21,FALSE)/VLOOKUP('Source VoT'!$F$27,'Annual Parameters'!$B$33:$W$143,21,FALSE)*VLOOKUP($B$14,'Annual Parameters'!$B$33:$W$143,3,FALSE)/VLOOKUP('Source VoT'!$E$27,'Annual Parameters'!$B$33:$W$143,3,FALSE)</f>
        <v>33.188996270153659</v>
      </c>
      <c r="P103" s="73">
        <f>'Source VoT'!$D$39*VLOOKUP($B103,'Indirect tax correction'!$B$27:$I$127,5,FALSE)*VLOOKUP($B103,'Annual Parameters'!$B$33:$W$143,21,FALSE)/VLOOKUP('Source VoT'!$F$27,'Annual Parameters'!$B$33:$W$143,21,FALSE)*VLOOKUP($B$14,'Annual Parameters'!$B$33:$W$143,3,FALSE)/VLOOKUP('Source VoT'!$E$27,'Annual Parameters'!$B$33:$W$143,3,FALSE)</f>
        <v>58.56684020346983</v>
      </c>
      <c r="Q103" s="74">
        <f>'Source VoT'!$D$40*VLOOKUP($B103,'Indirect tax correction'!$B$27:$I$127,5,FALSE)*VLOOKUP($B103,'Annual Parameters'!$B$33:$W$143,21,FALSE)/VLOOKUP('Source VoT'!$F$27,'Annual Parameters'!$B$33:$W$143,21,FALSE)*VLOOKUP($B$14,'Annual Parameters'!$B$33:$W$143,3,FALSE)/VLOOKUP('Source VoT'!$E$27,'Annual Parameters'!$B$33:$W$143,3,FALSE)</f>
        <v>63.792653346498149</v>
      </c>
      <c r="R103" s="73">
        <f>'Source VoT'!$D$45*VLOOKUP($B103,'Indirect tax correction'!$B$27:$I$127,6,FALSE)*VLOOKUP($B103,'Annual Parameters'!$B$33:$W$143,22,FALSE)/VLOOKUP('Source VoT'!$F$27,'Annual Parameters'!$B$33:$W$143,22,FALSE)*VLOOKUP($B$14,'Annual Parameters'!$B$33:$W$143,3,FALSE)/VLOOKUP('Source VoT'!$E$27,'Annual Parameters'!$B$33:$W$143,3,FALSE)</f>
        <v>32.954113190451302</v>
      </c>
      <c r="S103" s="73">
        <f>'Source VoT'!$D$46*VLOOKUP($B103,'Indirect tax correction'!$B$27:$I$127,6,FALSE)*VLOOKUP($B103,'Annual Parameters'!$B$33:$W$143,22,FALSE)/VLOOKUP('Source VoT'!$F$27,'Annual Parameters'!$B$33:$W$143,22,FALSE)*VLOOKUP($B$14,'Annual Parameters'!$B$33:$W$143,3,FALSE)/VLOOKUP('Source VoT'!$E$27,'Annual Parameters'!$B$33:$W$143,3,FALSE)</f>
        <v>15.04124621706085</v>
      </c>
      <c r="T103" s="117">
        <f>'Source VoT'!$D$27*1*VLOOKUP($B103,'Annual Parameters'!$B$33:$W$143,21,FALSE)/VLOOKUP('Source VoT'!$F$27,'Annual Parameters'!$B$33:$W$143,21,FALSE)*VLOOKUP($B$14,'Annual Parameters'!$B$33:$W$143,3,FALSE)/VLOOKUP('Source VoT'!$E$27,'Annual Parameters'!$B$33:$W$143,3,FALSE)</f>
        <v>58.56684020346983</v>
      </c>
      <c r="U103" s="73">
        <f>'Source VoT'!$D$28*1*VLOOKUP($B103,'Annual Parameters'!$B$33:$W$143,21,FALSE)/VLOOKUP('Source VoT'!$F$27,'Annual Parameters'!$B$33:$W$143,21,FALSE)*VLOOKUP($B$14,'Annual Parameters'!$B$33:$W$143,3,FALSE)/VLOOKUP('Source VoT'!$E$27,'Annual Parameters'!$B$33:$W$143,3,FALSE)</f>
        <v>58.56684020346983</v>
      </c>
      <c r="V103" s="73">
        <f>'Source VoT'!$D$29*1*VLOOKUP($B103,'Annual Parameters'!$B$33:$W$143,21,FALSE)/VLOOKUP('Source VoT'!$F$27,'Annual Parameters'!$B$33:$W$143,21,FALSE)*VLOOKUP($B$14,'Annual Parameters'!$B$33:$W$143,3,FALSE)/VLOOKUP('Source VoT'!$E$27,'Annual Parameters'!$B$33:$W$143,3,FALSE)</f>
        <v>40.327794192498921</v>
      </c>
      <c r="W103" s="73">
        <f>'Source VoT'!$D$30*1*VLOOKUP($B103,'Annual Parameters'!$B$33:$W$143,21,FALSE)/VLOOKUP('Source VoT'!$F$27,'Annual Parameters'!$B$33:$W$143,21,FALSE)*VLOOKUP($B$14,'Annual Parameters'!$B$33:$W$143,3,FALSE)/VLOOKUP('Source VoT'!$E$27,'Annual Parameters'!$B$33:$W$143,3,FALSE)</f>
        <v>47.515850101810059</v>
      </c>
      <c r="X103" s="73">
        <f>'Source VoT'!$D$31*1*VLOOKUP($B103,'Annual Parameters'!$B$33:$W$143,21,FALSE)/VLOOKUP('Source VoT'!$F$27,'Annual Parameters'!$B$33:$W$143,21,FALSE)*VLOOKUP($B$14,'Annual Parameters'!$B$33:$W$143,3,FALSE)/VLOOKUP('Source VoT'!$E$27,'Annual Parameters'!$B$33:$W$143,3,FALSE)</f>
        <v>48.542715231711661</v>
      </c>
      <c r="Y103" s="73">
        <f>'Source VoT'!$D$32*1*VLOOKUP($B103,'Annual Parameters'!$B$33:$W$143,21,FALSE)/VLOOKUP('Source VoT'!$F$27,'Annual Parameters'!$B$33:$W$143,21,FALSE)*VLOOKUP($B$14,'Annual Parameters'!$B$33:$W$143,3,FALSE)/VLOOKUP('Source VoT'!$E$27,'Annual Parameters'!$B$33:$W$143,3,FALSE)</f>
        <v>33.188996270153659</v>
      </c>
      <c r="Z103" s="73">
        <f>'Source VoT'!$D$33*1*VLOOKUP($B103,'Annual Parameters'!$B$33:$W$143,21,FALSE)/VLOOKUP('Source VoT'!$F$27,'Annual Parameters'!$B$33:$W$143,21,FALSE)*VLOOKUP($B$14,'Annual Parameters'!$B$33:$W$143,3,FALSE)/VLOOKUP('Source VoT'!$E$27,'Annual Parameters'!$B$33:$W$143,3,FALSE)</f>
        <v>42.894957017252899</v>
      </c>
      <c r="AA103" s="73">
        <f>'Source VoT'!$D$34*1*VLOOKUP($B103,'Annual Parameters'!$B$33:$W$143,21,FALSE)/VLOOKUP('Source VoT'!$F$27,'Annual Parameters'!$B$33:$W$143,21,FALSE)*VLOOKUP($B$14,'Annual Parameters'!$B$33:$W$143,3,FALSE)/VLOOKUP('Source VoT'!$E$27,'Annual Parameters'!$B$33:$W$143,3,FALSE)</f>
        <v>58.56684020346983</v>
      </c>
      <c r="AB103" s="73">
        <f>'Source VoT'!$D$35*1*VLOOKUP($B103,'Annual Parameters'!$B$33:$W$143,21,FALSE)/VLOOKUP('Source VoT'!$F$27,'Annual Parameters'!$B$33:$W$143,21,FALSE)*VLOOKUP($B$14,'Annual Parameters'!$B$33:$W$143,3,FALSE)/VLOOKUP('Source VoT'!$E$27,'Annual Parameters'!$B$33:$W$143,3,FALSE)</f>
        <v>96.606728332651869</v>
      </c>
      <c r="AC103" s="73">
        <f>'Source VoT'!$D$36*1*VLOOKUP($B103,'Annual Parameters'!$B$33:$W$143,21,FALSE)/VLOOKUP('Source VoT'!$F$27,'Annual Parameters'!$B$33:$W$143,21,FALSE)*VLOOKUP($B$14,'Annual Parameters'!$B$33:$W$143,3,FALSE)/VLOOKUP('Source VoT'!$E$27,'Annual Parameters'!$B$33:$W$143,3,FALSE)</f>
        <v>33.188996270153659</v>
      </c>
      <c r="AD103" s="73">
        <f>'Source VoT'!$D$37*1*VLOOKUP($B103,'Annual Parameters'!$B$33:$W$143,21,FALSE)/VLOOKUP('Source VoT'!$F$27,'Annual Parameters'!$B$33:$W$143,21,FALSE)*VLOOKUP($B$14,'Annual Parameters'!$B$33:$W$143,3,FALSE)/VLOOKUP('Source VoT'!$E$27,'Annual Parameters'!$B$33:$W$143,3,FALSE)</f>
        <v>33.188996270153659</v>
      </c>
      <c r="AE103" s="73">
        <f>'Source VoT'!$D$38*1*VLOOKUP($B103,'Annual Parameters'!$B$33:$W$143,21,FALSE)/VLOOKUP('Source VoT'!$F$27,'Annual Parameters'!$B$33:$W$143,21,FALSE)*VLOOKUP($B$14,'Annual Parameters'!$B$33:$W$143,3,FALSE)/VLOOKUP('Source VoT'!$E$27,'Annual Parameters'!$B$33:$W$143,3,FALSE)</f>
        <v>33.188996270153659</v>
      </c>
      <c r="AF103" s="73">
        <f>'Source VoT'!$D$39*1*VLOOKUP($B103,'Annual Parameters'!$B$33:$W$143,21,FALSE)/VLOOKUP('Source VoT'!$F$27,'Annual Parameters'!$B$33:$W$143,21,FALSE)*VLOOKUP($B$14,'Annual Parameters'!$B$33:$W$143,3,FALSE)/VLOOKUP('Source VoT'!$E$27,'Annual Parameters'!$B$33:$W$143,3,FALSE)</f>
        <v>58.56684020346983</v>
      </c>
      <c r="AG103" s="74">
        <f>'Source VoT'!$D$40*1*VLOOKUP($B103,'Annual Parameters'!$B$33:$W$143,21,FALSE)/VLOOKUP('Source VoT'!$F$27,'Annual Parameters'!$B$33:$W$143,21,FALSE)*VLOOKUP($B$14,'Annual Parameters'!$B$33:$W$143,3,FALSE)/VLOOKUP('Source VoT'!$E$27,'Annual Parameters'!$B$33:$W$143,3,FALSE)</f>
        <v>63.792653346498149</v>
      </c>
      <c r="AH103" s="73">
        <f>'Source VoT'!$D$45*1*VLOOKUP($B103,'Annual Parameters'!$B$33:$W$143,22,FALSE)/VLOOKUP('Source VoT'!$F$27,'Annual Parameters'!$B$33:$W$143,22,FALSE)*VLOOKUP($B$14,'Annual Parameters'!$B$33:$W$143,3,FALSE)/VLOOKUP('Source VoT'!$E$27,'Annual Parameters'!$B$33:$W$143,3,FALSE)</f>
        <v>39.215394696637048</v>
      </c>
      <c r="AI103" s="73">
        <f>'Source VoT'!$D$46*1*VLOOKUP($B103,'Annual Parameters'!$B$33:$W$143,22,FALSE)/VLOOKUP('Source VoT'!$F$27,'Annual Parameters'!$B$33:$W$143,22,FALSE)*VLOOKUP($B$14,'Annual Parameters'!$B$33:$W$143,3,FALSE)/VLOOKUP('Source VoT'!$E$27,'Annual Parameters'!$B$33:$W$143,3,FALSE)</f>
        <v>17.899082998302415</v>
      </c>
      <c r="AJ103" s="117">
        <f>'Source VoT'!$D$27*VLOOKUP($B103,'Indirect tax correction'!$B$27:$I$127,7,FALSE)*VLOOKUP($B103,'Annual Parameters'!$B$33:$W$143,21,FALSE)/VLOOKUP('Source VoT'!$F$27,'Annual Parameters'!$B$33:$W$143,21,FALSE)*VLOOKUP($B$14,'Annual Parameters'!$B$33:$W$143,3,FALSE)/VLOOKUP('Source VoT'!$E$27,'Annual Parameters'!$B$33:$W$143,3,FALSE)</f>
        <v>69.694539842129103</v>
      </c>
      <c r="AK103" s="73">
        <f>'Source VoT'!$D$28*VLOOKUP($B103,'Indirect tax correction'!$B$27:$I$127,7,FALSE)*VLOOKUP($B103,'Annual Parameters'!$B$33:$W$143,21,FALSE)/VLOOKUP('Source VoT'!$F$27,'Annual Parameters'!$B$33:$W$143,21,FALSE)*VLOOKUP($B$14,'Annual Parameters'!$B$33:$W$143,3,FALSE)/VLOOKUP('Source VoT'!$E$27,'Annual Parameters'!$B$33:$W$143,3,FALSE)</f>
        <v>69.694539842129103</v>
      </c>
      <c r="AL103" s="73">
        <f>'Source VoT'!$D$29*VLOOKUP($B103,'Indirect tax correction'!$B$27:$I$127,7,FALSE)*VLOOKUP($B103,'Annual Parameters'!$B$33:$W$143,21,FALSE)/VLOOKUP('Source VoT'!$F$27,'Annual Parameters'!$B$33:$W$143,21,FALSE)*VLOOKUP($B$14,'Annual Parameters'!$B$33:$W$143,3,FALSE)/VLOOKUP('Source VoT'!$E$27,'Annual Parameters'!$B$33:$W$143,3,FALSE)</f>
        <v>47.990075089073713</v>
      </c>
      <c r="AM103" s="73">
        <f>'Source VoT'!$D$30*VLOOKUP($B103,'Indirect tax correction'!$B$27:$I$127,7,FALSE)*VLOOKUP($B103,'Annual Parameters'!$B$33:$W$143,21,FALSE)/VLOOKUP('Source VoT'!$F$27,'Annual Parameters'!$B$33:$W$143,21,FALSE)*VLOOKUP($B$14,'Annual Parameters'!$B$33:$W$143,3,FALSE)/VLOOKUP('Source VoT'!$E$27,'Annual Parameters'!$B$33:$W$143,3,FALSE)</f>
        <v>56.543861621153965</v>
      </c>
      <c r="AN103" s="73">
        <f>'Source VoT'!$D$31*VLOOKUP($B103,'Indirect tax correction'!$B$27:$I$127,7,FALSE)*VLOOKUP($B103,'Annual Parameters'!$B$33:$W$143,21,FALSE)/VLOOKUP('Source VoT'!$F$27,'Annual Parameters'!$B$33:$W$143,21,FALSE)*VLOOKUP($B$14,'Annual Parameters'!$B$33:$W$143,3,FALSE)/VLOOKUP('Source VoT'!$E$27,'Annual Parameters'!$B$33:$W$143,3,FALSE)</f>
        <v>57.765831125736874</v>
      </c>
      <c r="AO103" s="73">
        <f>'Source VoT'!$D$32*VLOOKUP($B103,'Indirect tax correction'!$B$27:$I$127,7,FALSE)*VLOOKUP($B103,'Annual Parameters'!$B$33:$W$143,21,FALSE)/VLOOKUP('Source VoT'!$F$27,'Annual Parameters'!$B$33:$W$143,21,FALSE)*VLOOKUP($B$14,'Annual Parameters'!$B$33:$W$143,3,FALSE)/VLOOKUP('Source VoT'!$E$27,'Annual Parameters'!$B$33:$W$143,3,FALSE)</f>
        <v>39.494905561482852</v>
      </c>
      <c r="AP103" s="73">
        <f>'Source VoT'!$D$33*VLOOKUP($B103,'Indirect tax correction'!$B$27:$I$127,7,FALSE)*VLOOKUP($B103,'Annual Parameters'!$B$33:$W$143,21,FALSE)/VLOOKUP('Source VoT'!$F$27,'Annual Parameters'!$B$33:$W$143,21,FALSE)*VLOOKUP($B$14,'Annual Parameters'!$B$33:$W$143,3,FALSE)/VLOOKUP('Source VoT'!$E$27,'Annual Parameters'!$B$33:$W$143,3,FALSE)</f>
        <v>51.044998850530945</v>
      </c>
      <c r="AQ103" s="73">
        <f>'Source VoT'!$D$34*VLOOKUP($B103,'Indirect tax correction'!$B$27:$I$127,7,FALSE)*VLOOKUP($B103,'Annual Parameters'!$B$33:$W$143,21,FALSE)/VLOOKUP('Source VoT'!$F$27,'Annual Parameters'!$B$33:$W$143,21,FALSE)*VLOOKUP($B$14,'Annual Parameters'!$B$33:$W$143,3,FALSE)/VLOOKUP('Source VoT'!$E$27,'Annual Parameters'!$B$33:$W$143,3,FALSE)</f>
        <v>69.694539842129103</v>
      </c>
      <c r="AR103" s="73">
        <f>'Source VoT'!$D$35*VLOOKUP($B103,'Indirect tax correction'!$B$27:$I$127,7,FALSE)*VLOOKUP($B103,'Annual Parameters'!$B$33:$W$143,21,FALSE)/VLOOKUP('Source VoT'!$F$27,'Annual Parameters'!$B$33:$W$143,21,FALSE)*VLOOKUP($B$14,'Annual Parameters'!$B$33:$W$143,3,FALSE)/VLOOKUP('Source VoT'!$E$27,'Annual Parameters'!$B$33:$W$143,3,FALSE)</f>
        <v>114.96200671585571</v>
      </c>
      <c r="AS103" s="73">
        <f>'Source VoT'!$D$36*VLOOKUP($B103,'Indirect tax correction'!$B$27:$I$127,7,FALSE)*VLOOKUP($B103,'Annual Parameters'!$B$33:$W$143,21,FALSE)/VLOOKUP('Source VoT'!$F$27,'Annual Parameters'!$B$33:$W$143,21,FALSE)*VLOOKUP($B$14,'Annual Parameters'!$B$33:$W$143,3,FALSE)/VLOOKUP('Source VoT'!$E$27,'Annual Parameters'!$B$33:$W$143,3,FALSE)</f>
        <v>39.494905561482852</v>
      </c>
      <c r="AT103" s="73">
        <f>'Source VoT'!$D$37*VLOOKUP($B103,'Indirect tax correction'!$B$27:$I$127,7,FALSE)*VLOOKUP($B103,'Annual Parameters'!$B$33:$W$143,21,FALSE)/VLOOKUP('Source VoT'!$F$27,'Annual Parameters'!$B$33:$W$143,21,FALSE)*VLOOKUP($B$14,'Annual Parameters'!$B$33:$W$143,3,FALSE)/VLOOKUP('Source VoT'!$E$27,'Annual Parameters'!$B$33:$W$143,3,FALSE)</f>
        <v>39.494905561482852</v>
      </c>
      <c r="AU103" s="73">
        <f>'Source VoT'!$D$38*VLOOKUP($B103,'Indirect tax correction'!$B$27:$I$127,7,FALSE)*VLOOKUP($B103,'Annual Parameters'!$B$33:$W$143,21,FALSE)/VLOOKUP('Source VoT'!$F$27,'Annual Parameters'!$B$33:$W$143,21,FALSE)*VLOOKUP($B$14,'Annual Parameters'!$B$33:$W$143,3,FALSE)/VLOOKUP('Source VoT'!$E$27,'Annual Parameters'!$B$33:$W$143,3,FALSE)</f>
        <v>39.494905561482852</v>
      </c>
      <c r="AV103" s="73">
        <f>'Source VoT'!$D$39*VLOOKUP($B103,'Indirect tax correction'!$B$27:$I$127,7,FALSE)*VLOOKUP($B103,'Annual Parameters'!$B$33:$W$143,21,FALSE)/VLOOKUP('Source VoT'!$F$27,'Annual Parameters'!$B$33:$W$143,21,FALSE)*VLOOKUP($B$14,'Annual Parameters'!$B$33:$W$143,3,FALSE)/VLOOKUP('Source VoT'!$E$27,'Annual Parameters'!$B$33:$W$143,3,FALSE)</f>
        <v>69.694539842129103</v>
      </c>
      <c r="AW103" s="74">
        <f>'Source VoT'!$D$40*VLOOKUP($B103,'Indirect tax correction'!$B$27:$I$127,7,FALSE)*VLOOKUP($B103,'Annual Parameters'!$B$33:$W$143,21,FALSE)/VLOOKUP('Source VoT'!$F$27,'Annual Parameters'!$B$33:$W$143,21,FALSE)*VLOOKUP($B$14,'Annual Parameters'!$B$33:$W$143,3,FALSE)/VLOOKUP('Source VoT'!$E$27,'Annual Parameters'!$B$33:$W$143,3,FALSE)</f>
        <v>75.913257482332781</v>
      </c>
      <c r="AX103" s="73">
        <f>'Source VoT'!$D$45*VLOOKUP($B103,'Indirect tax correction'!$B$27:$I$127,8,FALSE)*VLOOKUP($B103,'Annual Parameters'!$B$33:$W$143,22,FALSE)/VLOOKUP('Source VoT'!$F$27,'Annual Parameters'!$B$33:$W$143,22,FALSE)*VLOOKUP($B$14,'Annual Parameters'!$B$33:$W$143,3,FALSE)/VLOOKUP('Source VoT'!$E$27,'Annual Parameters'!$B$33:$W$143,3,FALSE)</f>
        <v>39.215394696637048</v>
      </c>
      <c r="AY103" s="74">
        <f>'Source VoT'!$D$46*VLOOKUP($B103,'Indirect tax correction'!$B$27:$I$127,8,FALSE)*VLOOKUP($B103,'Annual Parameters'!$B$33:$W$143,22,FALSE)/VLOOKUP('Source VoT'!$F$27,'Annual Parameters'!$B$33:$W$143,22,FALSE)*VLOOKUP($B$14,'Annual Parameters'!$B$33:$W$143,3,FALSE)/VLOOKUP('Source VoT'!$E$27,'Annual Parameters'!$B$33:$W$143,3,FALSE)</f>
        <v>17.899082998302415</v>
      </c>
      <c r="AZ103" s="2875"/>
      <c r="BA103" s="2875"/>
      <c r="BB103" s="2875"/>
      <c r="BC103" s="2875"/>
      <c r="BD103" s="2875"/>
      <c r="BE103" s="2875"/>
      <c r="BF103" s="2875"/>
      <c r="BG103" s="2875"/>
    </row>
    <row r="104" spans="1:59" ht="13.5" customHeight="1">
      <c r="A104" s="90"/>
      <c r="B104" s="82">
        <f t="shared" si="1"/>
        <v>2087</v>
      </c>
      <c r="C104" s="82"/>
      <c r="D104" s="117">
        <f>'Source VoT'!$D$27*VLOOKUP($B104,'Indirect tax correction'!$B$27:$I$127,5,FALSE)*VLOOKUP($B104,'Annual Parameters'!$B$33:$W$143,21,FALSE)/VLOOKUP('Source VoT'!$F$27,'Annual Parameters'!$B$33:$W$143,21,FALSE)*VLOOKUP($B$14,'Annual Parameters'!$B$33:$W$143,3,FALSE)/VLOOKUP('Source VoT'!$E$27,'Annual Parameters'!$B$33:$W$143,3,FALSE)</f>
        <v>59.802037590792189</v>
      </c>
      <c r="E104" s="73">
        <f>'Source VoT'!$D$28*VLOOKUP($B104,'Indirect tax correction'!$B$27:$I$127,5,FALSE)*VLOOKUP($B104,'Annual Parameters'!$B$33:$W$143,21,FALSE)/VLOOKUP('Source VoT'!$F$27,'Annual Parameters'!$B$33:$W$143,21,FALSE)*VLOOKUP($B$14,'Annual Parameters'!$B$33:$W$143,3,FALSE)/VLOOKUP('Source VoT'!$E$27,'Annual Parameters'!$B$33:$W$143,3,FALSE)</f>
        <v>59.802037590792189</v>
      </c>
      <c r="F104" s="73">
        <f>'Source VoT'!$D$29*VLOOKUP($B104,'Indirect tax correction'!$B$27:$I$127,5,FALSE)*VLOOKUP($B104,'Annual Parameters'!$B$33:$W$143,21,FALSE)/VLOOKUP('Source VoT'!$F$27,'Annual Parameters'!$B$33:$W$143,21,FALSE)*VLOOKUP($B$14,'Annual Parameters'!$B$33:$W$143,3,FALSE)/VLOOKUP('Source VoT'!$E$27,'Annual Parameters'!$B$33:$W$143,3,FALSE)</f>
        <v>41.178323021610943</v>
      </c>
      <c r="G104" s="73">
        <f>'Source VoT'!$D$30*VLOOKUP($B104,'Indirect tax correction'!$B$27:$I$127,5,FALSE)*VLOOKUP($B104,'Annual Parameters'!$B$33:$W$143,21,FALSE)/VLOOKUP('Source VoT'!$F$27,'Annual Parameters'!$B$33:$W$143,21,FALSE)*VLOOKUP($B$14,'Annual Parameters'!$B$33:$W$143,3,FALSE)/VLOOKUP('Source VoT'!$E$27,'Annual Parameters'!$B$33:$W$143,3,FALSE)</f>
        <v>48.517977819444376</v>
      </c>
      <c r="H104" s="73">
        <f>'Source VoT'!$D$31*VLOOKUP($B104,'Indirect tax correction'!$B$27:$I$127,5,FALSE)*VLOOKUP($B104,'Annual Parameters'!$B$33:$W$143,21,FALSE)/VLOOKUP('Source VoT'!$F$27,'Annual Parameters'!$B$33:$W$143,21,FALSE)*VLOOKUP($B$14,'Annual Parameters'!$B$33:$W$143,3,FALSE)/VLOOKUP('Source VoT'!$E$27,'Annual Parameters'!$B$33:$W$143,3,FALSE)</f>
        <v>49.566499933420594</v>
      </c>
      <c r="I104" s="73">
        <f>'Source VoT'!$D$32*VLOOKUP($B104,'Indirect tax correction'!$B$27:$I$127,5,FALSE)*VLOOKUP($B104,'Annual Parameters'!$B$33:$W$143,21,FALSE)/VLOOKUP('Source VoT'!$F$27,'Annual Parameters'!$B$33:$W$143,21,FALSE)*VLOOKUP($B$14,'Annual Parameters'!$B$33:$W$143,3,FALSE)/VLOOKUP('Source VoT'!$E$27,'Annual Parameters'!$B$33:$W$143,3,FALSE)</f>
        <v>33.888965080803551</v>
      </c>
      <c r="J104" s="73">
        <f>'Source VoT'!$D$33*VLOOKUP($B104,'Indirect tax correction'!$B$27:$I$127,5,FALSE)*VLOOKUP($B104,'Annual Parameters'!$B$33:$W$143,21,FALSE)/VLOOKUP('Source VoT'!$F$27,'Annual Parameters'!$B$33:$W$143,21,FALSE)*VLOOKUP($B$14,'Annual Parameters'!$B$33:$W$143,3,FALSE)/VLOOKUP('Source VoT'!$E$27,'Annual Parameters'!$B$33:$W$143,3,FALSE)</f>
        <v>43.799628306551455</v>
      </c>
      <c r="K104" s="73">
        <f>'Source VoT'!$D$34*VLOOKUP($B104,'Indirect tax correction'!$B$27:$I$127,5,FALSE)*VLOOKUP($B104,'Annual Parameters'!$B$33:$W$143,21,FALSE)/VLOOKUP('Source VoT'!$F$27,'Annual Parameters'!$B$33:$W$143,21,FALSE)*VLOOKUP($B$14,'Annual Parameters'!$B$33:$W$143,3,FALSE)/VLOOKUP('Source VoT'!$E$27,'Annual Parameters'!$B$33:$W$143,3,FALSE)</f>
        <v>59.802037590792189</v>
      </c>
      <c r="L104" s="73">
        <f>'Source VoT'!$D$35*VLOOKUP($B104,'Indirect tax correction'!$B$27:$I$127,5,FALSE)*VLOOKUP($B104,'Annual Parameters'!$B$33:$W$143,21,FALSE)/VLOOKUP('Source VoT'!$F$27,'Annual Parameters'!$B$33:$W$143,21,FALSE)*VLOOKUP($B$14,'Annual Parameters'!$B$33:$W$143,3,FALSE)/VLOOKUP('Source VoT'!$E$27,'Annual Parameters'!$B$33:$W$143,3,FALSE)</f>
        <v>98.644201722366731</v>
      </c>
      <c r="M104" s="73">
        <f>'Source VoT'!$D$36*VLOOKUP($B104,'Indirect tax correction'!$B$27:$I$127,5,FALSE)*VLOOKUP($B104,'Annual Parameters'!$B$33:$W$143,21,FALSE)/VLOOKUP('Source VoT'!$F$27,'Annual Parameters'!$B$33:$W$143,21,FALSE)*VLOOKUP($B$14,'Annual Parameters'!$B$33:$W$143,3,FALSE)/VLOOKUP('Source VoT'!$E$27,'Annual Parameters'!$B$33:$W$143,3,FALSE)</f>
        <v>33.888965080803551</v>
      </c>
      <c r="N104" s="73">
        <f>'Source VoT'!$D$37*VLOOKUP($B104,'Indirect tax correction'!$B$27:$I$127,5,FALSE)*VLOOKUP($B104,'Annual Parameters'!$B$33:$W$143,21,FALSE)/VLOOKUP('Source VoT'!$F$27,'Annual Parameters'!$B$33:$W$143,21,FALSE)*VLOOKUP($B$14,'Annual Parameters'!$B$33:$W$143,3,FALSE)/VLOOKUP('Source VoT'!$E$27,'Annual Parameters'!$B$33:$W$143,3,FALSE)</f>
        <v>33.888965080803551</v>
      </c>
      <c r="O104" s="73">
        <f>'Source VoT'!$D$38*VLOOKUP($B104,'Indirect tax correction'!$B$27:$I$127,5,FALSE)*VLOOKUP($B104,'Annual Parameters'!$B$33:$W$143,21,FALSE)/VLOOKUP('Source VoT'!$F$27,'Annual Parameters'!$B$33:$W$143,21,FALSE)*VLOOKUP($B$14,'Annual Parameters'!$B$33:$W$143,3,FALSE)/VLOOKUP('Source VoT'!$E$27,'Annual Parameters'!$B$33:$W$143,3,FALSE)</f>
        <v>33.888965080803551</v>
      </c>
      <c r="P104" s="73">
        <f>'Source VoT'!$D$39*VLOOKUP($B104,'Indirect tax correction'!$B$27:$I$127,5,FALSE)*VLOOKUP($B104,'Annual Parameters'!$B$33:$W$143,21,FALSE)/VLOOKUP('Source VoT'!$F$27,'Annual Parameters'!$B$33:$W$143,21,FALSE)*VLOOKUP($B$14,'Annual Parameters'!$B$33:$W$143,3,FALSE)/VLOOKUP('Source VoT'!$E$27,'Annual Parameters'!$B$33:$W$143,3,FALSE)</f>
        <v>59.802037590792189</v>
      </c>
      <c r="Q104" s="74">
        <f>'Source VoT'!$D$40*VLOOKUP($B104,'Indirect tax correction'!$B$27:$I$127,5,FALSE)*VLOOKUP($B104,'Annual Parameters'!$B$33:$W$143,21,FALSE)/VLOOKUP('Source VoT'!$F$27,'Annual Parameters'!$B$33:$W$143,21,FALSE)*VLOOKUP($B$14,'Annual Parameters'!$B$33:$W$143,3,FALSE)/VLOOKUP('Source VoT'!$E$27,'Annual Parameters'!$B$33:$W$143,3,FALSE)</f>
        <v>65.138065160934516</v>
      </c>
      <c r="R104" s="73">
        <f>'Source VoT'!$D$45*VLOOKUP($B104,'Indirect tax correction'!$B$27:$I$127,6,FALSE)*VLOOKUP($B104,'Annual Parameters'!$B$33:$W$143,22,FALSE)/VLOOKUP('Source VoT'!$F$27,'Annual Parameters'!$B$33:$W$143,22,FALSE)*VLOOKUP($B$14,'Annual Parameters'!$B$33:$W$143,3,FALSE)/VLOOKUP('Source VoT'!$E$27,'Annual Parameters'!$B$33:$W$143,3,FALSE)</f>
        <v>33.649128225801611</v>
      </c>
      <c r="S104" s="73">
        <f>'Source VoT'!$D$46*VLOOKUP($B104,'Indirect tax correction'!$B$27:$I$127,6,FALSE)*VLOOKUP($B104,'Annual Parameters'!$B$33:$W$143,22,FALSE)/VLOOKUP('Source VoT'!$F$27,'Annual Parameters'!$B$33:$W$143,22,FALSE)*VLOOKUP($B$14,'Annual Parameters'!$B$33:$W$143,3,FALSE)/VLOOKUP('Source VoT'!$E$27,'Annual Parameters'!$B$33:$W$143,3,FALSE)</f>
        <v>15.358471936680351</v>
      </c>
      <c r="T104" s="117">
        <f>'Source VoT'!$D$27*1*VLOOKUP($B104,'Annual Parameters'!$B$33:$W$143,21,FALSE)/VLOOKUP('Source VoT'!$F$27,'Annual Parameters'!$B$33:$W$143,21,FALSE)*VLOOKUP($B$14,'Annual Parameters'!$B$33:$W$143,3,FALSE)/VLOOKUP('Source VoT'!$E$27,'Annual Parameters'!$B$33:$W$143,3,FALSE)</f>
        <v>59.802037590792189</v>
      </c>
      <c r="U104" s="73">
        <f>'Source VoT'!$D$28*1*VLOOKUP($B104,'Annual Parameters'!$B$33:$W$143,21,FALSE)/VLOOKUP('Source VoT'!$F$27,'Annual Parameters'!$B$33:$W$143,21,FALSE)*VLOOKUP($B$14,'Annual Parameters'!$B$33:$W$143,3,FALSE)/VLOOKUP('Source VoT'!$E$27,'Annual Parameters'!$B$33:$W$143,3,FALSE)</f>
        <v>59.802037590792189</v>
      </c>
      <c r="V104" s="73">
        <f>'Source VoT'!$D$29*1*VLOOKUP($B104,'Annual Parameters'!$B$33:$W$143,21,FALSE)/VLOOKUP('Source VoT'!$F$27,'Annual Parameters'!$B$33:$W$143,21,FALSE)*VLOOKUP($B$14,'Annual Parameters'!$B$33:$W$143,3,FALSE)/VLOOKUP('Source VoT'!$E$27,'Annual Parameters'!$B$33:$W$143,3,FALSE)</f>
        <v>41.178323021610943</v>
      </c>
      <c r="W104" s="73">
        <f>'Source VoT'!$D$30*1*VLOOKUP($B104,'Annual Parameters'!$B$33:$W$143,21,FALSE)/VLOOKUP('Source VoT'!$F$27,'Annual Parameters'!$B$33:$W$143,21,FALSE)*VLOOKUP($B$14,'Annual Parameters'!$B$33:$W$143,3,FALSE)/VLOOKUP('Source VoT'!$E$27,'Annual Parameters'!$B$33:$W$143,3,FALSE)</f>
        <v>48.517977819444376</v>
      </c>
      <c r="X104" s="73">
        <f>'Source VoT'!$D$31*1*VLOOKUP($B104,'Annual Parameters'!$B$33:$W$143,21,FALSE)/VLOOKUP('Source VoT'!$F$27,'Annual Parameters'!$B$33:$W$143,21,FALSE)*VLOOKUP($B$14,'Annual Parameters'!$B$33:$W$143,3,FALSE)/VLOOKUP('Source VoT'!$E$27,'Annual Parameters'!$B$33:$W$143,3,FALSE)</f>
        <v>49.566499933420594</v>
      </c>
      <c r="Y104" s="73">
        <f>'Source VoT'!$D$32*1*VLOOKUP($B104,'Annual Parameters'!$B$33:$W$143,21,FALSE)/VLOOKUP('Source VoT'!$F$27,'Annual Parameters'!$B$33:$W$143,21,FALSE)*VLOOKUP($B$14,'Annual Parameters'!$B$33:$W$143,3,FALSE)/VLOOKUP('Source VoT'!$E$27,'Annual Parameters'!$B$33:$W$143,3,FALSE)</f>
        <v>33.888965080803551</v>
      </c>
      <c r="Z104" s="73">
        <f>'Source VoT'!$D$33*1*VLOOKUP($B104,'Annual Parameters'!$B$33:$W$143,21,FALSE)/VLOOKUP('Source VoT'!$F$27,'Annual Parameters'!$B$33:$W$143,21,FALSE)*VLOOKUP($B$14,'Annual Parameters'!$B$33:$W$143,3,FALSE)/VLOOKUP('Source VoT'!$E$27,'Annual Parameters'!$B$33:$W$143,3,FALSE)</f>
        <v>43.799628306551455</v>
      </c>
      <c r="AA104" s="73">
        <f>'Source VoT'!$D$34*1*VLOOKUP($B104,'Annual Parameters'!$B$33:$W$143,21,FALSE)/VLOOKUP('Source VoT'!$F$27,'Annual Parameters'!$B$33:$W$143,21,FALSE)*VLOOKUP($B$14,'Annual Parameters'!$B$33:$W$143,3,FALSE)/VLOOKUP('Source VoT'!$E$27,'Annual Parameters'!$B$33:$W$143,3,FALSE)</f>
        <v>59.802037590792189</v>
      </c>
      <c r="AB104" s="73">
        <f>'Source VoT'!$D$35*1*VLOOKUP($B104,'Annual Parameters'!$B$33:$W$143,21,FALSE)/VLOOKUP('Source VoT'!$F$27,'Annual Parameters'!$B$33:$W$143,21,FALSE)*VLOOKUP($B$14,'Annual Parameters'!$B$33:$W$143,3,FALSE)/VLOOKUP('Source VoT'!$E$27,'Annual Parameters'!$B$33:$W$143,3,FALSE)</f>
        <v>98.644201722366731</v>
      </c>
      <c r="AC104" s="73">
        <f>'Source VoT'!$D$36*1*VLOOKUP($B104,'Annual Parameters'!$B$33:$W$143,21,FALSE)/VLOOKUP('Source VoT'!$F$27,'Annual Parameters'!$B$33:$W$143,21,FALSE)*VLOOKUP($B$14,'Annual Parameters'!$B$33:$W$143,3,FALSE)/VLOOKUP('Source VoT'!$E$27,'Annual Parameters'!$B$33:$W$143,3,FALSE)</f>
        <v>33.888965080803551</v>
      </c>
      <c r="AD104" s="73">
        <f>'Source VoT'!$D$37*1*VLOOKUP($B104,'Annual Parameters'!$B$33:$W$143,21,FALSE)/VLOOKUP('Source VoT'!$F$27,'Annual Parameters'!$B$33:$W$143,21,FALSE)*VLOOKUP($B$14,'Annual Parameters'!$B$33:$W$143,3,FALSE)/VLOOKUP('Source VoT'!$E$27,'Annual Parameters'!$B$33:$W$143,3,FALSE)</f>
        <v>33.888965080803551</v>
      </c>
      <c r="AE104" s="73">
        <f>'Source VoT'!$D$38*1*VLOOKUP($B104,'Annual Parameters'!$B$33:$W$143,21,FALSE)/VLOOKUP('Source VoT'!$F$27,'Annual Parameters'!$B$33:$W$143,21,FALSE)*VLOOKUP($B$14,'Annual Parameters'!$B$33:$W$143,3,FALSE)/VLOOKUP('Source VoT'!$E$27,'Annual Parameters'!$B$33:$W$143,3,FALSE)</f>
        <v>33.888965080803551</v>
      </c>
      <c r="AF104" s="73">
        <f>'Source VoT'!$D$39*1*VLOOKUP($B104,'Annual Parameters'!$B$33:$W$143,21,FALSE)/VLOOKUP('Source VoT'!$F$27,'Annual Parameters'!$B$33:$W$143,21,FALSE)*VLOOKUP($B$14,'Annual Parameters'!$B$33:$W$143,3,FALSE)/VLOOKUP('Source VoT'!$E$27,'Annual Parameters'!$B$33:$W$143,3,FALSE)</f>
        <v>59.802037590792189</v>
      </c>
      <c r="AG104" s="74">
        <f>'Source VoT'!$D$40*1*VLOOKUP($B104,'Annual Parameters'!$B$33:$W$143,21,FALSE)/VLOOKUP('Source VoT'!$F$27,'Annual Parameters'!$B$33:$W$143,21,FALSE)*VLOOKUP($B$14,'Annual Parameters'!$B$33:$W$143,3,FALSE)/VLOOKUP('Source VoT'!$E$27,'Annual Parameters'!$B$33:$W$143,3,FALSE)</f>
        <v>65.138065160934516</v>
      </c>
      <c r="AH104" s="73">
        <f>'Source VoT'!$D$45*1*VLOOKUP($B104,'Annual Parameters'!$B$33:$W$143,22,FALSE)/VLOOKUP('Source VoT'!$F$27,'Annual Parameters'!$B$33:$W$143,22,FALSE)*VLOOKUP($B$14,'Annual Parameters'!$B$33:$W$143,3,FALSE)/VLOOKUP('Source VoT'!$E$27,'Annual Parameters'!$B$33:$W$143,3,FALSE)</f>
        <v>40.04246258870392</v>
      </c>
      <c r="AI104" s="73">
        <f>'Source VoT'!$D$46*1*VLOOKUP($B104,'Annual Parameters'!$B$33:$W$143,22,FALSE)/VLOOKUP('Source VoT'!$F$27,'Annual Parameters'!$B$33:$W$143,22,FALSE)*VLOOKUP($B$14,'Annual Parameters'!$B$33:$W$143,3,FALSE)/VLOOKUP('Source VoT'!$E$27,'Annual Parameters'!$B$33:$W$143,3,FALSE)</f>
        <v>18.276581604649618</v>
      </c>
      <c r="AJ104" s="117">
        <f>'Source VoT'!$D$27*VLOOKUP($B104,'Indirect tax correction'!$B$27:$I$127,7,FALSE)*VLOOKUP($B104,'Annual Parameters'!$B$33:$W$143,21,FALSE)/VLOOKUP('Source VoT'!$F$27,'Annual Parameters'!$B$33:$W$143,21,FALSE)*VLOOKUP($B$14,'Annual Parameters'!$B$33:$W$143,3,FALSE)/VLOOKUP('Source VoT'!$E$27,'Annual Parameters'!$B$33:$W$143,3,FALSE)</f>
        <v>71.164424733042708</v>
      </c>
      <c r="AK104" s="73">
        <f>'Source VoT'!$D$28*VLOOKUP($B104,'Indirect tax correction'!$B$27:$I$127,7,FALSE)*VLOOKUP($B104,'Annual Parameters'!$B$33:$W$143,21,FALSE)/VLOOKUP('Source VoT'!$F$27,'Annual Parameters'!$B$33:$W$143,21,FALSE)*VLOOKUP($B$14,'Annual Parameters'!$B$33:$W$143,3,FALSE)/VLOOKUP('Source VoT'!$E$27,'Annual Parameters'!$B$33:$W$143,3,FALSE)</f>
        <v>71.164424733042708</v>
      </c>
      <c r="AL104" s="73">
        <f>'Source VoT'!$D$29*VLOOKUP($B104,'Indirect tax correction'!$B$27:$I$127,7,FALSE)*VLOOKUP($B104,'Annual Parameters'!$B$33:$W$143,21,FALSE)/VLOOKUP('Source VoT'!$F$27,'Annual Parameters'!$B$33:$W$143,21,FALSE)*VLOOKUP($B$14,'Annual Parameters'!$B$33:$W$143,3,FALSE)/VLOOKUP('Source VoT'!$E$27,'Annual Parameters'!$B$33:$W$143,3,FALSE)</f>
        <v>49.00220439571703</v>
      </c>
      <c r="AM104" s="73">
        <f>'Source VoT'!$D$30*VLOOKUP($B104,'Indirect tax correction'!$B$27:$I$127,7,FALSE)*VLOOKUP($B104,'Annual Parameters'!$B$33:$W$143,21,FALSE)/VLOOKUP('Source VoT'!$F$27,'Annual Parameters'!$B$33:$W$143,21,FALSE)*VLOOKUP($B$14,'Annual Parameters'!$B$33:$W$143,3,FALSE)/VLOOKUP('Source VoT'!$E$27,'Annual Parameters'!$B$33:$W$143,3,FALSE)</f>
        <v>57.736393605138801</v>
      </c>
      <c r="AN104" s="73">
        <f>'Source VoT'!$D$31*VLOOKUP($B104,'Indirect tax correction'!$B$27:$I$127,7,FALSE)*VLOOKUP($B104,'Annual Parameters'!$B$33:$W$143,21,FALSE)/VLOOKUP('Source VoT'!$F$27,'Annual Parameters'!$B$33:$W$143,21,FALSE)*VLOOKUP($B$14,'Annual Parameters'!$B$33:$W$143,3,FALSE)/VLOOKUP('Source VoT'!$E$27,'Annual Parameters'!$B$33:$W$143,3,FALSE)</f>
        <v>58.984134920770494</v>
      </c>
      <c r="AO104" s="73">
        <f>'Source VoT'!$D$32*VLOOKUP($B104,'Indirect tax correction'!$B$27:$I$127,7,FALSE)*VLOOKUP($B104,'Annual Parameters'!$B$33:$W$143,21,FALSE)/VLOOKUP('Source VoT'!$F$27,'Annual Parameters'!$B$33:$W$143,21,FALSE)*VLOOKUP($B$14,'Annual Parameters'!$B$33:$W$143,3,FALSE)/VLOOKUP('Source VoT'!$E$27,'Annual Parameters'!$B$33:$W$143,3,FALSE)</f>
        <v>40.327868446156224</v>
      </c>
      <c r="AP104" s="73">
        <f>'Source VoT'!$D$33*VLOOKUP($B104,'Indirect tax correction'!$B$27:$I$127,7,FALSE)*VLOOKUP($B104,'Annual Parameters'!$B$33:$W$143,21,FALSE)/VLOOKUP('Source VoT'!$F$27,'Annual Parameters'!$B$33:$W$143,21,FALSE)*VLOOKUP($B$14,'Annual Parameters'!$B$33:$W$143,3,FALSE)/VLOOKUP('Source VoT'!$E$27,'Annual Parameters'!$B$33:$W$143,3,FALSE)</f>
        <v>52.121557684796223</v>
      </c>
      <c r="AQ104" s="73">
        <f>'Source VoT'!$D$34*VLOOKUP($B104,'Indirect tax correction'!$B$27:$I$127,7,FALSE)*VLOOKUP($B104,'Annual Parameters'!$B$33:$W$143,21,FALSE)/VLOOKUP('Source VoT'!$F$27,'Annual Parameters'!$B$33:$W$143,21,FALSE)*VLOOKUP($B$14,'Annual Parameters'!$B$33:$W$143,3,FALSE)/VLOOKUP('Source VoT'!$E$27,'Annual Parameters'!$B$33:$W$143,3,FALSE)</f>
        <v>71.164424733042708</v>
      </c>
      <c r="AR104" s="73">
        <f>'Source VoT'!$D$35*VLOOKUP($B104,'Indirect tax correction'!$B$27:$I$127,7,FALSE)*VLOOKUP($B104,'Annual Parameters'!$B$33:$W$143,21,FALSE)/VLOOKUP('Source VoT'!$F$27,'Annual Parameters'!$B$33:$W$143,21,FALSE)*VLOOKUP($B$14,'Annual Parameters'!$B$33:$W$143,3,FALSE)/VLOOKUP('Source VoT'!$E$27,'Annual Parameters'!$B$33:$W$143,3,FALSE)</f>
        <v>117.3866000496164</v>
      </c>
      <c r="AS104" s="73">
        <f>'Source VoT'!$D$36*VLOOKUP($B104,'Indirect tax correction'!$B$27:$I$127,7,FALSE)*VLOOKUP($B104,'Annual Parameters'!$B$33:$W$143,21,FALSE)/VLOOKUP('Source VoT'!$F$27,'Annual Parameters'!$B$33:$W$143,21,FALSE)*VLOOKUP($B$14,'Annual Parameters'!$B$33:$W$143,3,FALSE)/VLOOKUP('Source VoT'!$E$27,'Annual Parameters'!$B$33:$W$143,3,FALSE)</f>
        <v>40.327868446156224</v>
      </c>
      <c r="AT104" s="73">
        <f>'Source VoT'!$D$37*VLOOKUP($B104,'Indirect tax correction'!$B$27:$I$127,7,FALSE)*VLOOKUP($B104,'Annual Parameters'!$B$33:$W$143,21,FALSE)/VLOOKUP('Source VoT'!$F$27,'Annual Parameters'!$B$33:$W$143,21,FALSE)*VLOOKUP($B$14,'Annual Parameters'!$B$33:$W$143,3,FALSE)/VLOOKUP('Source VoT'!$E$27,'Annual Parameters'!$B$33:$W$143,3,FALSE)</f>
        <v>40.327868446156224</v>
      </c>
      <c r="AU104" s="73">
        <f>'Source VoT'!$D$38*VLOOKUP($B104,'Indirect tax correction'!$B$27:$I$127,7,FALSE)*VLOOKUP($B104,'Annual Parameters'!$B$33:$W$143,21,FALSE)/VLOOKUP('Source VoT'!$F$27,'Annual Parameters'!$B$33:$W$143,21,FALSE)*VLOOKUP($B$14,'Annual Parameters'!$B$33:$W$143,3,FALSE)/VLOOKUP('Source VoT'!$E$27,'Annual Parameters'!$B$33:$W$143,3,FALSE)</f>
        <v>40.327868446156224</v>
      </c>
      <c r="AV104" s="73">
        <f>'Source VoT'!$D$39*VLOOKUP($B104,'Indirect tax correction'!$B$27:$I$127,7,FALSE)*VLOOKUP($B104,'Annual Parameters'!$B$33:$W$143,21,FALSE)/VLOOKUP('Source VoT'!$F$27,'Annual Parameters'!$B$33:$W$143,21,FALSE)*VLOOKUP($B$14,'Annual Parameters'!$B$33:$W$143,3,FALSE)/VLOOKUP('Source VoT'!$E$27,'Annual Parameters'!$B$33:$W$143,3,FALSE)</f>
        <v>71.164424733042708</v>
      </c>
      <c r="AW104" s="74">
        <f>'Source VoT'!$D$40*VLOOKUP($B104,'Indirect tax correction'!$B$27:$I$127,7,FALSE)*VLOOKUP($B104,'Annual Parameters'!$B$33:$W$143,21,FALSE)/VLOOKUP('Source VoT'!$F$27,'Annual Parameters'!$B$33:$W$143,21,FALSE)*VLOOKUP($B$14,'Annual Parameters'!$B$33:$W$143,3,FALSE)/VLOOKUP('Source VoT'!$E$27,'Annual Parameters'!$B$33:$W$143,3,FALSE)</f>
        <v>77.514297541512065</v>
      </c>
      <c r="AX104" s="73">
        <f>'Source VoT'!$D$45*VLOOKUP($B104,'Indirect tax correction'!$B$27:$I$127,8,FALSE)*VLOOKUP($B104,'Annual Parameters'!$B$33:$W$143,22,FALSE)/VLOOKUP('Source VoT'!$F$27,'Annual Parameters'!$B$33:$W$143,22,FALSE)*VLOOKUP($B$14,'Annual Parameters'!$B$33:$W$143,3,FALSE)/VLOOKUP('Source VoT'!$E$27,'Annual Parameters'!$B$33:$W$143,3,FALSE)</f>
        <v>40.04246258870392</v>
      </c>
      <c r="AY104" s="74">
        <f>'Source VoT'!$D$46*VLOOKUP($B104,'Indirect tax correction'!$B$27:$I$127,8,FALSE)*VLOOKUP($B104,'Annual Parameters'!$B$33:$W$143,22,FALSE)/VLOOKUP('Source VoT'!$F$27,'Annual Parameters'!$B$33:$W$143,22,FALSE)*VLOOKUP($B$14,'Annual Parameters'!$B$33:$W$143,3,FALSE)/VLOOKUP('Source VoT'!$E$27,'Annual Parameters'!$B$33:$W$143,3,FALSE)</f>
        <v>18.276581604649618</v>
      </c>
      <c r="AZ104" s="2875"/>
      <c r="BA104" s="2875"/>
      <c r="BB104" s="2875"/>
      <c r="BC104" s="2875"/>
      <c r="BD104" s="2875"/>
      <c r="BE104" s="2875"/>
      <c r="BF104" s="2875"/>
      <c r="BG104" s="2875"/>
    </row>
    <row r="105" spans="1:59" ht="13.5" customHeight="1">
      <c r="A105" s="90"/>
      <c r="B105" s="82">
        <f t="shared" si="1"/>
        <v>2088</v>
      </c>
      <c r="C105" s="82"/>
      <c r="D105" s="117">
        <f>'Source VoT'!$D$27*VLOOKUP($B105,'Indirect tax correction'!$B$27:$I$127,5,FALSE)*VLOOKUP($B105,'Annual Parameters'!$B$33:$W$143,21,FALSE)/VLOOKUP('Source VoT'!$F$27,'Annual Parameters'!$B$33:$W$143,21,FALSE)*VLOOKUP($B$14,'Annual Parameters'!$B$33:$W$143,3,FALSE)/VLOOKUP('Source VoT'!$E$27,'Annual Parameters'!$B$33:$W$143,3,FALSE)</f>
        <v>61.062983775434006</v>
      </c>
      <c r="E105" s="73">
        <f>'Source VoT'!$D$28*VLOOKUP($B105,'Indirect tax correction'!$B$27:$I$127,5,FALSE)*VLOOKUP($B105,'Annual Parameters'!$B$33:$W$143,21,FALSE)/VLOOKUP('Source VoT'!$F$27,'Annual Parameters'!$B$33:$W$143,21,FALSE)*VLOOKUP($B$14,'Annual Parameters'!$B$33:$W$143,3,FALSE)/VLOOKUP('Source VoT'!$E$27,'Annual Parameters'!$B$33:$W$143,3,FALSE)</f>
        <v>61.062983775434006</v>
      </c>
      <c r="F105" s="73">
        <f>'Source VoT'!$D$29*VLOOKUP($B105,'Indirect tax correction'!$B$27:$I$127,5,FALSE)*VLOOKUP($B105,'Annual Parameters'!$B$33:$W$143,21,FALSE)/VLOOKUP('Source VoT'!$F$27,'Annual Parameters'!$B$33:$W$143,21,FALSE)*VLOOKUP($B$14,'Annual Parameters'!$B$33:$W$143,3,FALSE)/VLOOKUP('Source VoT'!$E$27,'Annual Parameters'!$B$33:$W$143,3,FALSE)</f>
        <v>42.046581886958421</v>
      </c>
      <c r="G105" s="73">
        <f>'Source VoT'!$D$30*VLOOKUP($B105,'Indirect tax correction'!$B$27:$I$127,5,FALSE)*VLOOKUP($B105,'Annual Parameters'!$B$33:$W$143,21,FALSE)/VLOOKUP('Source VoT'!$F$27,'Annual Parameters'!$B$33:$W$143,21,FALSE)*VLOOKUP($B$14,'Annual Parameters'!$B$33:$W$143,3,FALSE)/VLOOKUP('Source VoT'!$E$27,'Annual Parameters'!$B$33:$W$143,3,FALSE)</f>
        <v>49.540995788106102</v>
      </c>
      <c r="H105" s="73">
        <f>'Source VoT'!$D$31*VLOOKUP($B105,'Indirect tax correction'!$B$27:$I$127,5,FALSE)*VLOOKUP($B105,'Annual Parameters'!$B$33:$W$143,21,FALSE)/VLOOKUP('Source VoT'!$F$27,'Annual Parameters'!$B$33:$W$143,21,FALSE)*VLOOKUP($B$14,'Annual Parameters'!$B$33:$W$143,3,FALSE)/VLOOKUP('Source VoT'!$E$27,'Annual Parameters'!$B$33:$W$143,3,FALSE)</f>
        <v>50.611626345412915</v>
      </c>
      <c r="I105" s="73">
        <f>'Source VoT'!$D$32*VLOOKUP($B105,'Indirect tax correction'!$B$27:$I$127,5,FALSE)*VLOOKUP($B105,'Annual Parameters'!$B$33:$W$143,21,FALSE)/VLOOKUP('Source VoT'!$F$27,'Annual Parameters'!$B$33:$W$143,21,FALSE)*VLOOKUP($B$14,'Annual Parameters'!$B$33:$W$143,3,FALSE)/VLOOKUP('Source VoT'!$E$27,'Annual Parameters'!$B$33:$W$143,3,FALSE)</f>
        <v>34.603525369075037</v>
      </c>
      <c r="J105" s="73">
        <f>'Source VoT'!$D$33*VLOOKUP($B105,'Indirect tax correction'!$B$27:$I$127,5,FALSE)*VLOOKUP($B105,'Annual Parameters'!$B$33:$W$143,21,FALSE)/VLOOKUP('Source VoT'!$F$27,'Annual Parameters'!$B$33:$W$143,21,FALSE)*VLOOKUP($B$14,'Annual Parameters'!$B$33:$W$143,3,FALSE)/VLOOKUP('Source VoT'!$E$27,'Annual Parameters'!$B$33:$W$143,3,FALSE)</f>
        <v>44.723158280225455</v>
      </c>
      <c r="K105" s="73">
        <f>'Source VoT'!$D$34*VLOOKUP($B105,'Indirect tax correction'!$B$27:$I$127,5,FALSE)*VLOOKUP($B105,'Annual Parameters'!$B$33:$W$143,21,FALSE)/VLOOKUP('Source VoT'!$F$27,'Annual Parameters'!$B$33:$W$143,21,FALSE)*VLOOKUP($B$14,'Annual Parameters'!$B$33:$W$143,3,FALSE)/VLOOKUP('Source VoT'!$E$27,'Annual Parameters'!$B$33:$W$143,3,FALSE)</f>
        <v>61.062983775434006</v>
      </c>
      <c r="L105" s="73">
        <f>'Source VoT'!$D$35*VLOOKUP($B105,'Indirect tax correction'!$B$27:$I$127,5,FALSE)*VLOOKUP($B105,'Annual Parameters'!$B$33:$W$143,21,FALSE)/VLOOKUP('Source VoT'!$F$27,'Annual Parameters'!$B$33:$W$143,21,FALSE)*VLOOKUP($B$14,'Annual Parameters'!$B$33:$W$143,3,FALSE)/VLOOKUP('Source VoT'!$E$27,'Annual Parameters'!$B$33:$W$143,3,FALSE)</f>
        <v>100.7241480721882</v>
      </c>
      <c r="M105" s="73">
        <f>'Source VoT'!$D$36*VLOOKUP($B105,'Indirect tax correction'!$B$27:$I$127,5,FALSE)*VLOOKUP($B105,'Annual Parameters'!$B$33:$W$143,21,FALSE)/VLOOKUP('Source VoT'!$F$27,'Annual Parameters'!$B$33:$W$143,21,FALSE)*VLOOKUP($B$14,'Annual Parameters'!$B$33:$W$143,3,FALSE)/VLOOKUP('Source VoT'!$E$27,'Annual Parameters'!$B$33:$W$143,3,FALSE)</f>
        <v>34.603525369075037</v>
      </c>
      <c r="N105" s="73">
        <f>'Source VoT'!$D$37*VLOOKUP($B105,'Indirect tax correction'!$B$27:$I$127,5,FALSE)*VLOOKUP($B105,'Annual Parameters'!$B$33:$W$143,21,FALSE)/VLOOKUP('Source VoT'!$F$27,'Annual Parameters'!$B$33:$W$143,21,FALSE)*VLOOKUP($B$14,'Annual Parameters'!$B$33:$W$143,3,FALSE)/VLOOKUP('Source VoT'!$E$27,'Annual Parameters'!$B$33:$W$143,3,FALSE)</f>
        <v>34.603525369075037</v>
      </c>
      <c r="O105" s="73">
        <f>'Source VoT'!$D$38*VLOOKUP($B105,'Indirect tax correction'!$B$27:$I$127,5,FALSE)*VLOOKUP($B105,'Annual Parameters'!$B$33:$W$143,21,FALSE)/VLOOKUP('Source VoT'!$F$27,'Annual Parameters'!$B$33:$W$143,21,FALSE)*VLOOKUP($B$14,'Annual Parameters'!$B$33:$W$143,3,FALSE)/VLOOKUP('Source VoT'!$E$27,'Annual Parameters'!$B$33:$W$143,3,FALSE)</f>
        <v>34.603525369075037</v>
      </c>
      <c r="P105" s="73">
        <f>'Source VoT'!$D$39*VLOOKUP($B105,'Indirect tax correction'!$B$27:$I$127,5,FALSE)*VLOOKUP($B105,'Annual Parameters'!$B$33:$W$143,21,FALSE)/VLOOKUP('Source VoT'!$F$27,'Annual Parameters'!$B$33:$W$143,21,FALSE)*VLOOKUP($B$14,'Annual Parameters'!$B$33:$W$143,3,FALSE)/VLOOKUP('Source VoT'!$E$27,'Annual Parameters'!$B$33:$W$143,3,FALSE)</f>
        <v>61.062983775434006</v>
      </c>
      <c r="Q105" s="74">
        <f>'Source VoT'!$D$40*VLOOKUP($B105,'Indirect tax correction'!$B$27:$I$127,5,FALSE)*VLOOKUP($B105,'Annual Parameters'!$B$33:$W$143,21,FALSE)/VLOOKUP('Source VoT'!$F$27,'Annual Parameters'!$B$33:$W$143,21,FALSE)*VLOOKUP($B$14,'Annual Parameters'!$B$33:$W$143,3,FALSE)/VLOOKUP('Source VoT'!$E$27,'Annual Parameters'!$B$33:$W$143,3,FALSE)</f>
        <v>66.511523291268801</v>
      </c>
      <c r="R105" s="73">
        <f>'Source VoT'!$D$45*VLOOKUP($B105,'Indirect tax correction'!$B$27:$I$127,6,FALSE)*VLOOKUP($B105,'Annual Parameters'!$B$33:$W$143,22,FALSE)/VLOOKUP('Source VoT'!$F$27,'Annual Parameters'!$B$33:$W$143,22,FALSE)*VLOOKUP($B$14,'Annual Parameters'!$B$33:$W$143,3,FALSE)/VLOOKUP('Source VoT'!$E$27,'Annual Parameters'!$B$33:$W$143,3,FALSE)</f>
        <v>34.358631472884632</v>
      </c>
      <c r="S105" s="73">
        <f>'Source VoT'!$D$46*VLOOKUP($B105,'Indirect tax correction'!$B$27:$I$127,6,FALSE)*VLOOKUP($B105,'Annual Parameters'!$B$33:$W$143,22,FALSE)/VLOOKUP('Source VoT'!$F$27,'Annual Parameters'!$B$33:$W$143,22,FALSE)*VLOOKUP($B$14,'Annual Parameters'!$B$33:$W$143,3,FALSE)/VLOOKUP('Source VoT'!$E$27,'Annual Parameters'!$B$33:$W$143,3,FALSE)</f>
        <v>15.682310510927646</v>
      </c>
      <c r="T105" s="117">
        <f>'Source VoT'!$D$27*1*VLOOKUP($B105,'Annual Parameters'!$B$33:$W$143,21,FALSE)/VLOOKUP('Source VoT'!$F$27,'Annual Parameters'!$B$33:$W$143,21,FALSE)*VLOOKUP($B$14,'Annual Parameters'!$B$33:$W$143,3,FALSE)/VLOOKUP('Source VoT'!$E$27,'Annual Parameters'!$B$33:$W$143,3,FALSE)</f>
        <v>61.062983775434006</v>
      </c>
      <c r="U105" s="73">
        <f>'Source VoT'!$D$28*1*VLOOKUP($B105,'Annual Parameters'!$B$33:$W$143,21,FALSE)/VLOOKUP('Source VoT'!$F$27,'Annual Parameters'!$B$33:$W$143,21,FALSE)*VLOOKUP($B$14,'Annual Parameters'!$B$33:$W$143,3,FALSE)/VLOOKUP('Source VoT'!$E$27,'Annual Parameters'!$B$33:$W$143,3,FALSE)</f>
        <v>61.062983775434006</v>
      </c>
      <c r="V105" s="73">
        <f>'Source VoT'!$D$29*1*VLOOKUP($B105,'Annual Parameters'!$B$33:$W$143,21,FALSE)/VLOOKUP('Source VoT'!$F$27,'Annual Parameters'!$B$33:$W$143,21,FALSE)*VLOOKUP($B$14,'Annual Parameters'!$B$33:$W$143,3,FALSE)/VLOOKUP('Source VoT'!$E$27,'Annual Parameters'!$B$33:$W$143,3,FALSE)</f>
        <v>42.046581886958421</v>
      </c>
      <c r="W105" s="73">
        <f>'Source VoT'!$D$30*1*VLOOKUP($B105,'Annual Parameters'!$B$33:$W$143,21,FALSE)/VLOOKUP('Source VoT'!$F$27,'Annual Parameters'!$B$33:$W$143,21,FALSE)*VLOOKUP($B$14,'Annual Parameters'!$B$33:$W$143,3,FALSE)/VLOOKUP('Source VoT'!$E$27,'Annual Parameters'!$B$33:$W$143,3,FALSE)</f>
        <v>49.540995788106102</v>
      </c>
      <c r="X105" s="73">
        <f>'Source VoT'!$D$31*1*VLOOKUP($B105,'Annual Parameters'!$B$33:$W$143,21,FALSE)/VLOOKUP('Source VoT'!$F$27,'Annual Parameters'!$B$33:$W$143,21,FALSE)*VLOOKUP($B$14,'Annual Parameters'!$B$33:$W$143,3,FALSE)/VLOOKUP('Source VoT'!$E$27,'Annual Parameters'!$B$33:$W$143,3,FALSE)</f>
        <v>50.611626345412915</v>
      </c>
      <c r="Y105" s="73">
        <f>'Source VoT'!$D$32*1*VLOOKUP($B105,'Annual Parameters'!$B$33:$W$143,21,FALSE)/VLOOKUP('Source VoT'!$F$27,'Annual Parameters'!$B$33:$W$143,21,FALSE)*VLOOKUP($B$14,'Annual Parameters'!$B$33:$W$143,3,FALSE)/VLOOKUP('Source VoT'!$E$27,'Annual Parameters'!$B$33:$W$143,3,FALSE)</f>
        <v>34.603525369075037</v>
      </c>
      <c r="Z105" s="73">
        <f>'Source VoT'!$D$33*1*VLOOKUP($B105,'Annual Parameters'!$B$33:$W$143,21,FALSE)/VLOOKUP('Source VoT'!$F$27,'Annual Parameters'!$B$33:$W$143,21,FALSE)*VLOOKUP($B$14,'Annual Parameters'!$B$33:$W$143,3,FALSE)/VLOOKUP('Source VoT'!$E$27,'Annual Parameters'!$B$33:$W$143,3,FALSE)</f>
        <v>44.723158280225455</v>
      </c>
      <c r="AA105" s="73">
        <f>'Source VoT'!$D$34*1*VLOOKUP($B105,'Annual Parameters'!$B$33:$W$143,21,FALSE)/VLOOKUP('Source VoT'!$F$27,'Annual Parameters'!$B$33:$W$143,21,FALSE)*VLOOKUP($B$14,'Annual Parameters'!$B$33:$W$143,3,FALSE)/VLOOKUP('Source VoT'!$E$27,'Annual Parameters'!$B$33:$W$143,3,FALSE)</f>
        <v>61.062983775434006</v>
      </c>
      <c r="AB105" s="73">
        <f>'Source VoT'!$D$35*1*VLOOKUP($B105,'Annual Parameters'!$B$33:$W$143,21,FALSE)/VLOOKUP('Source VoT'!$F$27,'Annual Parameters'!$B$33:$W$143,21,FALSE)*VLOOKUP($B$14,'Annual Parameters'!$B$33:$W$143,3,FALSE)/VLOOKUP('Source VoT'!$E$27,'Annual Parameters'!$B$33:$W$143,3,FALSE)</f>
        <v>100.7241480721882</v>
      </c>
      <c r="AC105" s="73">
        <f>'Source VoT'!$D$36*1*VLOOKUP($B105,'Annual Parameters'!$B$33:$W$143,21,FALSE)/VLOOKUP('Source VoT'!$F$27,'Annual Parameters'!$B$33:$W$143,21,FALSE)*VLOOKUP($B$14,'Annual Parameters'!$B$33:$W$143,3,FALSE)/VLOOKUP('Source VoT'!$E$27,'Annual Parameters'!$B$33:$W$143,3,FALSE)</f>
        <v>34.603525369075037</v>
      </c>
      <c r="AD105" s="73">
        <f>'Source VoT'!$D$37*1*VLOOKUP($B105,'Annual Parameters'!$B$33:$W$143,21,FALSE)/VLOOKUP('Source VoT'!$F$27,'Annual Parameters'!$B$33:$W$143,21,FALSE)*VLOOKUP($B$14,'Annual Parameters'!$B$33:$W$143,3,FALSE)/VLOOKUP('Source VoT'!$E$27,'Annual Parameters'!$B$33:$W$143,3,FALSE)</f>
        <v>34.603525369075037</v>
      </c>
      <c r="AE105" s="73">
        <f>'Source VoT'!$D$38*1*VLOOKUP($B105,'Annual Parameters'!$B$33:$W$143,21,FALSE)/VLOOKUP('Source VoT'!$F$27,'Annual Parameters'!$B$33:$W$143,21,FALSE)*VLOOKUP($B$14,'Annual Parameters'!$B$33:$W$143,3,FALSE)/VLOOKUP('Source VoT'!$E$27,'Annual Parameters'!$B$33:$W$143,3,FALSE)</f>
        <v>34.603525369075037</v>
      </c>
      <c r="AF105" s="73">
        <f>'Source VoT'!$D$39*1*VLOOKUP($B105,'Annual Parameters'!$B$33:$W$143,21,FALSE)/VLOOKUP('Source VoT'!$F$27,'Annual Parameters'!$B$33:$W$143,21,FALSE)*VLOOKUP($B$14,'Annual Parameters'!$B$33:$W$143,3,FALSE)/VLOOKUP('Source VoT'!$E$27,'Annual Parameters'!$B$33:$W$143,3,FALSE)</f>
        <v>61.062983775434006</v>
      </c>
      <c r="AG105" s="74">
        <f>'Source VoT'!$D$40*1*VLOOKUP($B105,'Annual Parameters'!$B$33:$W$143,21,FALSE)/VLOOKUP('Source VoT'!$F$27,'Annual Parameters'!$B$33:$W$143,21,FALSE)*VLOOKUP($B$14,'Annual Parameters'!$B$33:$W$143,3,FALSE)/VLOOKUP('Source VoT'!$E$27,'Annual Parameters'!$B$33:$W$143,3,FALSE)</f>
        <v>66.511523291268801</v>
      </c>
      <c r="AH105" s="73">
        <f>'Source VoT'!$D$45*1*VLOOKUP($B105,'Annual Parameters'!$B$33:$W$143,22,FALSE)/VLOOKUP('Source VoT'!$F$27,'Annual Parameters'!$B$33:$W$143,22,FALSE)*VLOOKUP($B$14,'Annual Parameters'!$B$33:$W$143,3,FALSE)/VLOOKUP('Source VoT'!$E$27,'Annual Parameters'!$B$33:$W$143,3,FALSE)</f>
        <v>40.88677145273271</v>
      </c>
      <c r="AI105" s="73">
        <f>'Source VoT'!$D$46*1*VLOOKUP($B105,'Annual Parameters'!$B$33:$W$143,22,FALSE)/VLOOKUP('Source VoT'!$F$27,'Annual Parameters'!$B$33:$W$143,22,FALSE)*VLOOKUP($B$14,'Annual Parameters'!$B$33:$W$143,3,FALSE)/VLOOKUP('Source VoT'!$E$27,'Annual Parameters'!$B$33:$W$143,3,FALSE)</f>
        <v>18.6619495080039</v>
      </c>
      <c r="AJ105" s="117">
        <f>'Source VoT'!$D$27*VLOOKUP($B105,'Indirect tax correction'!$B$27:$I$127,7,FALSE)*VLOOKUP($B105,'Annual Parameters'!$B$33:$W$143,21,FALSE)/VLOOKUP('Source VoT'!$F$27,'Annual Parameters'!$B$33:$W$143,21,FALSE)*VLOOKUP($B$14,'Annual Parameters'!$B$33:$W$143,3,FALSE)/VLOOKUP('Source VoT'!$E$27,'Annual Parameters'!$B$33:$W$143,3,FALSE)</f>
        <v>72.664950692766453</v>
      </c>
      <c r="AK105" s="73">
        <f>'Source VoT'!$D$28*VLOOKUP($B105,'Indirect tax correction'!$B$27:$I$127,7,FALSE)*VLOOKUP($B105,'Annual Parameters'!$B$33:$W$143,21,FALSE)/VLOOKUP('Source VoT'!$F$27,'Annual Parameters'!$B$33:$W$143,21,FALSE)*VLOOKUP($B$14,'Annual Parameters'!$B$33:$W$143,3,FALSE)/VLOOKUP('Source VoT'!$E$27,'Annual Parameters'!$B$33:$W$143,3,FALSE)</f>
        <v>72.664950692766453</v>
      </c>
      <c r="AL105" s="73">
        <f>'Source VoT'!$D$29*VLOOKUP($B105,'Indirect tax correction'!$B$27:$I$127,7,FALSE)*VLOOKUP($B105,'Annual Parameters'!$B$33:$W$143,21,FALSE)/VLOOKUP('Source VoT'!$F$27,'Annual Parameters'!$B$33:$W$143,21,FALSE)*VLOOKUP($B$14,'Annual Parameters'!$B$33:$W$143,3,FALSE)/VLOOKUP('Source VoT'!$E$27,'Annual Parameters'!$B$33:$W$143,3,FALSE)</f>
        <v>50.035432445480531</v>
      </c>
      <c r="AM105" s="73">
        <f>'Source VoT'!$D$30*VLOOKUP($B105,'Indirect tax correction'!$B$27:$I$127,7,FALSE)*VLOOKUP($B105,'Annual Parameters'!$B$33:$W$143,21,FALSE)/VLOOKUP('Source VoT'!$F$27,'Annual Parameters'!$B$33:$W$143,21,FALSE)*VLOOKUP($B$14,'Annual Parameters'!$B$33:$W$143,3,FALSE)/VLOOKUP('Source VoT'!$E$27,'Annual Parameters'!$B$33:$W$143,3,FALSE)</f>
        <v>58.953784987846255</v>
      </c>
      <c r="AN105" s="73">
        <f>'Source VoT'!$D$31*VLOOKUP($B105,'Indirect tax correction'!$B$27:$I$127,7,FALSE)*VLOOKUP($B105,'Annual Parameters'!$B$33:$W$143,21,FALSE)/VLOOKUP('Source VoT'!$F$27,'Annual Parameters'!$B$33:$W$143,21,FALSE)*VLOOKUP($B$14,'Annual Parameters'!$B$33:$W$143,3,FALSE)/VLOOKUP('Source VoT'!$E$27,'Annual Parameters'!$B$33:$W$143,3,FALSE)</f>
        <v>60.227835351041364</v>
      </c>
      <c r="AO105" s="73">
        <f>'Source VoT'!$D$32*VLOOKUP($B105,'Indirect tax correction'!$B$27:$I$127,7,FALSE)*VLOOKUP($B105,'Annual Parameters'!$B$33:$W$143,21,FALSE)/VLOOKUP('Source VoT'!$F$27,'Annual Parameters'!$B$33:$W$143,21,FALSE)*VLOOKUP($B$14,'Annual Parameters'!$B$33:$W$143,3,FALSE)/VLOOKUP('Source VoT'!$E$27,'Annual Parameters'!$B$33:$W$143,3,FALSE)</f>
        <v>41.178195189199293</v>
      </c>
      <c r="AP105" s="73">
        <f>'Source VoT'!$D$33*VLOOKUP($B105,'Indirect tax correction'!$B$27:$I$127,7,FALSE)*VLOOKUP($B105,'Annual Parameters'!$B$33:$W$143,21,FALSE)/VLOOKUP('Source VoT'!$F$27,'Annual Parameters'!$B$33:$W$143,21,FALSE)*VLOOKUP($B$14,'Annual Parameters'!$B$33:$W$143,3,FALSE)/VLOOKUP('Source VoT'!$E$27,'Annual Parameters'!$B$33:$W$143,3,FALSE)</f>
        <v>53.220558353468277</v>
      </c>
      <c r="AQ105" s="73">
        <f>'Source VoT'!$D$34*VLOOKUP($B105,'Indirect tax correction'!$B$27:$I$127,7,FALSE)*VLOOKUP($B105,'Annual Parameters'!$B$33:$W$143,21,FALSE)/VLOOKUP('Source VoT'!$F$27,'Annual Parameters'!$B$33:$W$143,21,FALSE)*VLOOKUP($B$14,'Annual Parameters'!$B$33:$W$143,3,FALSE)/VLOOKUP('Source VoT'!$E$27,'Annual Parameters'!$B$33:$W$143,3,FALSE)</f>
        <v>72.664950692766453</v>
      </c>
      <c r="AR105" s="73">
        <f>'Source VoT'!$D$35*VLOOKUP($B105,'Indirect tax correction'!$B$27:$I$127,7,FALSE)*VLOOKUP($B105,'Annual Parameters'!$B$33:$W$143,21,FALSE)/VLOOKUP('Source VoT'!$F$27,'Annual Parameters'!$B$33:$W$143,21,FALSE)*VLOOKUP($B$14,'Annual Parameters'!$B$33:$W$143,3,FALSE)/VLOOKUP('Source VoT'!$E$27,'Annual Parameters'!$B$33:$W$143,3,FALSE)</f>
        <v>119.86173620590397</v>
      </c>
      <c r="AS105" s="73">
        <f>'Source VoT'!$D$36*VLOOKUP($B105,'Indirect tax correction'!$B$27:$I$127,7,FALSE)*VLOOKUP($B105,'Annual Parameters'!$B$33:$W$143,21,FALSE)/VLOOKUP('Source VoT'!$F$27,'Annual Parameters'!$B$33:$W$143,21,FALSE)*VLOOKUP($B$14,'Annual Parameters'!$B$33:$W$143,3,FALSE)/VLOOKUP('Source VoT'!$E$27,'Annual Parameters'!$B$33:$W$143,3,FALSE)</f>
        <v>41.178195189199293</v>
      </c>
      <c r="AT105" s="73">
        <f>'Source VoT'!$D$37*VLOOKUP($B105,'Indirect tax correction'!$B$27:$I$127,7,FALSE)*VLOOKUP($B105,'Annual Parameters'!$B$33:$W$143,21,FALSE)/VLOOKUP('Source VoT'!$F$27,'Annual Parameters'!$B$33:$W$143,21,FALSE)*VLOOKUP($B$14,'Annual Parameters'!$B$33:$W$143,3,FALSE)/VLOOKUP('Source VoT'!$E$27,'Annual Parameters'!$B$33:$W$143,3,FALSE)</f>
        <v>41.178195189199293</v>
      </c>
      <c r="AU105" s="73">
        <f>'Source VoT'!$D$38*VLOOKUP($B105,'Indirect tax correction'!$B$27:$I$127,7,FALSE)*VLOOKUP($B105,'Annual Parameters'!$B$33:$W$143,21,FALSE)/VLOOKUP('Source VoT'!$F$27,'Annual Parameters'!$B$33:$W$143,21,FALSE)*VLOOKUP($B$14,'Annual Parameters'!$B$33:$W$143,3,FALSE)/VLOOKUP('Source VoT'!$E$27,'Annual Parameters'!$B$33:$W$143,3,FALSE)</f>
        <v>41.178195189199293</v>
      </c>
      <c r="AV105" s="73">
        <f>'Source VoT'!$D$39*VLOOKUP($B105,'Indirect tax correction'!$B$27:$I$127,7,FALSE)*VLOOKUP($B105,'Annual Parameters'!$B$33:$W$143,21,FALSE)/VLOOKUP('Source VoT'!$F$27,'Annual Parameters'!$B$33:$W$143,21,FALSE)*VLOOKUP($B$14,'Annual Parameters'!$B$33:$W$143,3,FALSE)/VLOOKUP('Source VoT'!$E$27,'Annual Parameters'!$B$33:$W$143,3,FALSE)</f>
        <v>72.664950692766453</v>
      </c>
      <c r="AW105" s="74">
        <f>'Source VoT'!$D$40*VLOOKUP($B105,'Indirect tax correction'!$B$27:$I$127,7,FALSE)*VLOOKUP($B105,'Annual Parameters'!$B$33:$W$143,21,FALSE)/VLOOKUP('Source VoT'!$F$27,'Annual Parameters'!$B$33:$W$143,21,FALSE)*VLOOKUP($B$14,'Annual Parameters'!$B$33:$W$143,3,FALSE)/VLOOKUP('Source VoT'!$E$27,'Annual Parameters'!$B$33:$W$143,3,FALSE)</f>
        <v>79.148712716609879</v>
      </c>
      <c r="AX105" s="73">
        <f>'Source VoT'!$D$45*VLOOKUP($B105,'Indirect tax correction'!$B$27:$I$127,8,FALSE)*VLOOKUP($B105,'Annual Parameters'!$B$33:$W$143,22,FALSE)/VLOOKUP('Source VoT'!$F$27,'Annual Parameters'!$B$33:$W$143,22,FALSE)*VLOOKUP($B$14,'Annual Parameters'!$B$33:$W$143,3,FALSE)/VLOOKUP('Source VoT'!$E$27,'Annual Parameters'!$B$33:$W$143,3,FALSE)</f>
        <v>40.88677145273271</v>
      </c>
      <c r="AY105" s="74">
        <f>'Source VoT'!$D$46*VLOOKUP($B105,'Indirect tax correction'!$B$27:$I$127,8,FALSE)*VLOOKUP($B105,'Annual Parameters'!$B$33:$W$143,22,FALSE)/VLOOKUP('Source VoT'!$F$27,'Annual Parameters'!$B$33:$W$143,22,FALSE)*VLOOKUP($B$14,'Annual Parameters'!$B$33:$W$143,3,FALSE)/VLOOKUP('Source VoT'!$E$27,'Annual Parameters'!$B$33:$W$143,3,FALSE)</f>
        <v>18.6619495080039</v>
      </c>
      <c r="AZ105" s="2875"/>
      <c r="BA105" s="2875"/>
      <c r="BB105" s="2875"/>
      <c r="BC105" s="2875"/>
      <c r="BD105" s="2875"/>
      <c r="BE105" s="2875"/>
      <c r="BF105" s="2875"/>
      <c r="BG105" s="2875"/>
    </row>
    <row r="106" spans="1:59" ht="13.5" customHeight="1">
      <c r="A106" s="90"/>
      <c r="B106" s="82">
        <f t="shared" si="1"/>
        <v>2089</v>
      </c>
      <c r="C106" s="82"/>
      <c r="D106" s="117">
        <f>'Source VoT'!$D$27*VLOOKUP($B106,'Indirect tax correction'!$B$27:$I$127,5,FALSE)*VLOOKUP($B106,'Annual Parameters'!$B$33:$W$143,21,FALSE)/VLOOKUP('Source VoT'!$F$27,'Annual Parameters'!$B$33:$W$143,21,FALSE)*VLOOKUP($B$14,'Annual Parameters'!$B$33:$W$143,3,FALSE)/VLOOKUP('Source VoT'!$E$27,'Annual Parameters'!$B$33:$W$143,3,FALSE)</f>
        <v>62.349982203529386</v>
      </c>
      <c r="E106" s="73">
        <f>'Source VoT'!$D$28*VLOOKUP($B106,'Indirect tax correction'!$B$27:$I$127,5,FALSE)*VLOOKUP($B106,'Annual Parameters'!$B$33:$W$143,21,FALSE)/VLOOKUP('Source VoT'!$F$27,'Annual Parameters'!$B$33:$W$143,21,FALSE)*VLOOKUP($B$14,'Annual Parameters'!$B$33:$W$143,3,FALSE)/VLOOKUP('Source VoT'!$E$27,'Annual Parameters'!$B$33:$W$143,3,FALSE)</f>
        <v>62.349982203529386</v>
      </c>
      <c r="F106" s="73">
        <f>'Source VoT'!$D$29*VLOOKUP($B106,'Indirect tax correction'!$B$27:$I$127,5,FALSE)*VLOOKUP($B106,'Annual Parameters'!$B$33:$W$143,21,FALSE)/VLOOKUP('Source VoT'!$F$27,'Annual Parameters'!$B$33:$W$143,21,FALSE)*VLOOKUP($B$14,'Annual Parameters'!$B$33:$W$143,3,FALSE)/VLOOKUP('Source VoT'!$E$27,'Annual Parameters'!$B$33:$W$143,3,FALSE)</f>
        <v>42.932779734648101</v>
      </c>
      <c r="G106" s="73">
        <f>'Source VoT'!$D$30*VLOOKUP($B106,'Indirect tax correction'!$B$27:$I$127,5,FALSE)*VLOOKUP($B106,'Annual Parameters'!$B$33:$W$143,21,FALSE)/VLOOKUP('Source VoT'!$F$27,'Annual Parameters'!$B$33:$W$143,21,FALSE)*VLOOKUP($B$14,'Annual Parameters'!$B$33:$W$143,3,FALSE)/VLOOKUP('Source VoT'!$E$27,'Annual Parameters'!$B$33:$W$143,3,FALSE)</f>
        <v>50.585150196610833</v>
      </c>
      <c r="H106" s="73">
        <f>'Source VoT'!$D$31*VLOOKUP($B106,'Indirect tax correction'!$B$27:$I$127,5,FALSE)*VLOOKUP($B106,'Annual Parameters'!$B$33:$W$143,21,FALSE)/VLOOKUP('Source VoT'!$F$27,'Annual Parameters'!$B$33:$W$143,21,FALSE)*VLOOKUP($B$14,'Annual Parameters'!$B$33:$W$143,3,FALSE)/VLOOKUP('Source VoT'!$E$27,'Annual Parameters'!$B$33:$W$143,3,FALSE)</f>
        <v>51.678345976891229</v>
      </c>
      <c r="I106" s="73">
        <f>'Source VoT'!$D$32*VLOOKUP($B106,'Indirect tax correction'!$B$27:$I$127,5,FALSE)*VLOOKUP($B106,'Annual Parameters'!$B$33:$W$143,21,FALSE)/VLOOKUP('Source VoT'!$F$27,'Annual Parameters'!$B$33:$W$143,21,FALSE)*VLOOKUP($B$14,'Annual Parameters'!$B$33:$W$143,3,FALSE)/VLOOKUP('Source VoT'!$E$27,'Annual Parameters'!$B$33:$W$143,3,FALSE)</f>
        <v>35.332849093581189</v>
      </c>
      <c r="J106" s="73">
        <f>'Source VoT'!$D$33*VLOOKUP($B106,'Indirect tax correction'!$B$27:$I$127,5,FALSE)*VLOOKUP($B106,'Annual Parameters'!$B$33:$W$143,21,FALSE)/VLOOKUP('Source VoT'!$F$27,'Annual Parameters'!$B$33:$W$143,21,FALSE)*VLOOKUP($B$14,'Annual Parameters'!$B$33:$W$143,3,FALSE)/VLOOKUP('Source VoT'!$E$27,'Annual Parameters'!$B$33:$W$143,3,FALSE)</f>
        <v>45.665769185349085</v>
      </c>
      <c r="K106" s="73">
        <f>'Source VoT'!$D$34*VLOOKUP($B106,'Indirect tax correction'!$B$27:$I$127,5,FALSE)*VLOOKUP($B106,'Annual Parameters'!$B$33:$W$143,21,FALSE)/VLOOKUP('Source VoT'!$F$27,'Annual Parameters'!$B$33:$W$143,21,FALSE)*VLOOKUP($B$14,'Annual Parameters'!$B$33:$W$143,3,FALSE)/VLOOKUP('Source VoT'!$E$27,'Annual Parameters'!$B$33:$W$143,3,FALSE)</f>
        <v>62.349982203529386</v>
      </c>
      <c r="L106" s="73">
        <f>'Source VoT'!$D$35*VLOOKUP($B106,'Indirect tax correction'!$B$27:$I$127,5,FALSE)*VLOOKUP($B106,'Annual Parameters'!$B$33:$W$143,21,FALSE)/VLOOKUP('Source VoT'!$F$27,'Annual Parameters'!$B$33:$W$143,21,FALSE)*VLOOKUP($B$14,'Annual Parameters'!$B$33:$W$143,3,FALSE)/VLOOKUP('Source VoT'!$E$27,'Annual Parameters'!$B$33:$W$143,3,FALSE)</f>
        <v>102.84706792027308</v>
      </c>
      <c r="M106" s="73">
        <f>'Source VoT'!$D$36*VLOOKUP($B106,'Indirect tax correction'!$B$27:$I$127,5,FALSE)*VLOOKUP($B106,'Annual Parameters'!$B$33:$W$143,21,FALSE)/VLOOKUP('Source VoT'!$F$27,'Annual Parameters'!$B$33:$W$143,21,FALSE)*VLOOKUP($B$14,'Annual Parameters'!$B$33:$W$143,3,FALSE)/VLOOKUP('Source VoT'!$E$27,'Annual Parameters'!$B$33:$W$143,3,FALSE)</f>
        <v>35.332849093581189</v>
      </c>
      <c r="N106" s="73">
        <f>'Source VoT'!$D$37*VLOOKUP($B106,'Indirect tax correction'!$B$27:$I$127,5,FALSE)*VLOOKUP($B106,'Annual Parameters'!$B$33:$W$143,21,FALSE)/VLOOKUP('Source VoT'!$F$27,'Annual Parameters'!$B$33:$W$143,21,FALSE)*VLOOKUP($B$14,'Annual Parameters'!$B$33:$W$143,3,FALSE)/VLOOKUP('Source VoT'!$E$27,'Annual Parameters'!$B$33:$W$143,3,FALSE)</f>
        <v>35.332849093581189</v>
      </c>
      <c r="O106" s="73">
        <f>'Source VoT'!$D$38*VLOOKUP($B106,'Indirect tax correction'!$B$27:$I$127,5,FALSE)*VLOOKUP($B106,'Annual Parameters'!$B$33:$W$143,21,FALSE)/VLOOKUP('Source VoT'!$F$27,'Annual Parameters'!$B$33:$W$143,21,FALSE)*VLOOKUP($B$14,'Annual Parameters'!$B$33:$W$143,3,FALSE)/VLOOKUP('Source VoT'!$E$27,'Annual Parameters'!$B$33:$W$143,3,FALSE)</f>
        <v>35.332849093581189</v>
      </c>
      <c r="P106" s="73">
        <f>'Source VoT'!$D$39*VLOOKUP($B106,'Indirect tax correction'!$B$27:$I$127,5,FALSE)*VLOOKUP($B106,'Annual Parameters'!$B$33:$W$143,21,FALSE)/VLOOKUP('Source VoT'!$F$27,'Annual Parameters'!$B$33:$W$143,21,FALSE)*VLOOKUP($B$14,'Annual Parameters'!$B$33:$W$143,3,FALSE)/VLOOKUP('Source VoT'!$E$27,'Annual Parameters'!$B$33:$W$143,3,FALSE)</f>
        <v>62.349982203529386</v>
      </c>
      <c r="Q106" s="74">
        <f>'Source VoT'!$D$40*VLOOKUP($B106,'Indirect tax correction'!$B$27:$I$127,5,FALSE)*VLOOKUP($B106,'Annual Parameters'!$B$33:$W$143,21,FALSE)/VLOOKUP('Source VoT'!$F$27,'Annual Parameters'!$B$33:$W$143,21,FALSE)*VLOOKUP($B$14,'Annual Parameters'!$B$33:$W$143,3,FALSE)/VLOOKUP('Source VoT'!$E$27,'Annual Parameters'!$B$33:$W$143,3,FALSE)</f>
        <v>67.913358259584399</v>
      </c>
      <c r="R106" s="73">
        <f>'Source VoT'!$D$45*VLOOKUP($B106,'Indirect tax correction'!$B$27:$I$127,6,FALSE)*VLOOKUP($B106,'Annual Parameters'!$B$33:$W$143,22,FALSE)/VLOOKUP('Source VoT'!$F$27,'Annual Parameters'!$B$33:$W$143,22,FALSE)*VLOOKUP($B$14,'Annual Parameters'!$B$33:$W$143,3,FALSE)/VLOOKUP('Source VoT'!$E$27,'Annual Parameters'!$B$33:$W$143,3,FALSE)</f>
        <v>35.08279367333872</v>
      </c>
      <c r="S106" s="73">
        <f>'Source VoT'!$D$46*VLOOKUP($B106,'Indirect tax correction'!$B$27:$I$127,6,FALSE)*VLOOKUP($B106,'Annual Parameters'!$B$33:$W$143,22,FALSE)/VLOOKUP('Source VoT'!$F$27,'Annual Parameters'!$B$33:$W$143,22,FALSE)*VLOOKUP($B$14,'Annual Parameters'!$B$33:$W$143,3,FALSE)/VLOOKUP('Source VoT'!$E$27,'Annual Parameters'!$B$33:$W$143,3,FALSE)</f>
        <v>16.012839871410478</v>
      </c>
      <c r="T106" s="117">
        <f>'Source VoT'!$D$27*1*VLOOKUP($B106,'Annual Parameters'!$B$33:$W$143,21,FALSE)/VLOOKUP('Source VoT'!$F$27,'Annual Parameters'!$B$33:$W$143,21,FALSE)*VLOOKUP($B$14,'Annual Parameters'!$B$33:$W$143,3,FALSE)/VLOOKUP('Source VoT'!$E$27,'Annual Parameters'!$B$33:$W$143,3,FALSE)</f>
        <v>62.349982203529386</v>
      </c>
      <c r="U106" s="73">
        <f>'Source VoT'!$D$28*1*VLOOKUP($B106,'Annual Parameters'!$B$33:$W$143,21,FALSE)/VLOOKUP('Source VoT'!$F$27,'Annual Parameters'!$B$33:$W$143,21,FALSE)*VLOOKUP($B$14,'Annual Parameters'!$B$33:$W$143,3,FALSE)/VLOOKUP('Source VoT'!$E$27,'Annual Parameters'!$B$33:$W$143,3,FALSE)</f>
        <v>62.349982203529386</v>
      </c>
      <c r="V106" s="73">
        <f>'Source VoT'!$D$29*1*VLOOKUP($B106,'Annual Parameters'!$B$33:$W$143,21,FALSE)/VLOOKUP('Source VoT'!$F$27,'Annual Parameters'!$B$33:$W$143,21,FALSE)*VLOOKUP($B$14,'Annual Parameters'!$B$33:$W$143,3,FALSE)/VLOOKUP('Source VoT'!$E$27,'Annual Parameters'!$B$33:$W$143,3,FALSE)</f>
        <v>42.932779734648101</v>
      </c>
      <c r="W106" s="73">
        <f>'Source VoT'!$D$30*1*VLOOKUP($B106,'Annual Parameters'!$B$33:$W$143,21,FALSE)/VLOOKUP('Source VoT'!$F$27,'Annual Parameters'!$B$33:$W$143,21,FALSE)*VLOOKUP($B$14,'Annual Parameters'!$B$33:$W$143,3,FALSE)/VLOOKUP('Source VoT'!$E$27,'Annual Parameters'!$B$33:$W$143,3,FALSE)</f>
        <v>50.585150196610833</v>
      </c>
      <c r="X106" s="73">
        <f>'Source VoT'!$D$31*1*VLOOKUP($B106,'Annual Parameters'!$B$33:$W$143,21,FALSE)/VLOOKUP('Source VoT'!$F$27,'Annual Parameters'!$B$33:$W$143,21,FALSE)*VLOOKUP($B$14,'Annual Parameters'!$B$33:$W$143,3,FALSE)/VLOOKUP('Source VoT'!$E$27,'Annual Parameters'!$B$33:$W$143,3,FALSE)</f>
        <v>51.678345976891229</v>
      </c>
      <c r="Y106" s="73">
        <f>'Source VoT'!$D$32*1*VLOOKUP($B106,'Annual Parameters'!$B$33:$W$143,21,FALSE)/VLOOKUP('Source VoT'!$F$27,'Annual Parameters'!$B$33:$W$143,21,FALSE)*VLOOKUP($B$14,'Annual Parameters'!$B$33:$W$143,3,FALSE)/VLOOKUP('Source VoT'!$E$27,'Annual Parameters'!$B$33:$W$143,3,FALSE)</f>
        <v>35.332849093581189</v>
      </c>
      <c r="Z106" s="73">
        <f>'Source VoT'!$D$33*1*VLOOKUP($B106,'Annual Parameters'!$B$33:$W$143,21,FALSE)/VLOOKUP('Source VoT'!$F$27,'Annual Parameters'!$B$33:$W$143,21,FALSE)*VLOOKUP($B$14,'Annual Parameters'!$B$33:$W$143,3,FALSE)/VLOOKUP('Source VoT'!$E$27,'Annual Parameters'!$B$33:$W$143,3,FALSE)</f>
        <v>45.665769185349085</v>
      </c>
      <c r="AA106" s="73">
        <f>'Source VoT'!$D$34*1*VLOOKUP($B106,'Annual Parameters'!$B$33:$W$143,21,FALSE)/VLOOKUP('Source VoT'!$F$27,'Annual Parameters'!$B$33:$W$143,21,FALSE)*VLOOKUP($B$14,'Annual Parameters'!$B$33:$W$143,3,FALSE)/VLOOKUP('Source VoT'!$E$27,'Annual Parameters'!$B$33:$W$143,3,FALSE)</f>
        <v>62.349982203529386</v>
      </c>
      <c r="AB106" s="73">
        <f>'Source VoT'!$D$35*1*VLOOKUP($B106,'Annual Parameters'!$B$33:$W$143,21,FALSE)/VLOOKUP('Source VoT'!$F$27,'Annual Parameters'!$B$33:$W$143,21,FALSE)*VLOOKUP($B$14,'Annual Parameters'!$B$33:$W$143,3,FALSE)/VLOOKUP('Source VoT'!$E$27,'Annual Parameters'!$B$33:$W$143,3,FALSE)</f>
        <v>102.84706792027308</v>
      </c>
      <c r="AC106" s="73">
        <f>'Source VoT'!$D$36*1*VLOOKUP($B106,'Annual Parameters'!$B$33:$W$143,21,FALSE)/VLOOKUP('Source VoT'!$F$27,'Annual Parameters'!$B$33:$W$143,21,FALSE)*VLOOKUP($B$14,'Annual Parameters'!$B$33:$W$143,3,FALSE)/VLOOKUP('Source VoT'!$E$27,'Annual Parameters'!$B$33:$W$143,3,FALSE)</f>
        <v>35.332849093581189</v>
      </c>
      <c r="AD106" s="73">
        <f>'Source VoT'!$D$37*1*VLOOKUP($B106,'Annual Parameters'!$B$33:$W$143,21,FALSE)/VLOOKUP('Source VoT'!$F$27,'Annual Parameters'!$B$33:$W$143,21,FALSE)*VLOOKUP($B$14,'Annual Parameters'!$B$33:$W$143,3,FALSE)/VLOOKUP('Source VoT'!$E$27,'Annual Parameters'!$B$33:$W$143,3,FALSE)</f>
        <v>35.332849093581189</v>
      </c>
      <c r="AE106" s="73">
        <f>'Source VoT'!$D$38*1*VLOOKUP($B106,'Annual Parameters'!$B$33:$W$143,21,FALSE)/VLOOKUP('Source VoT'!$F$27,'Annual Parameters'!$B$33:$W$143,21,FALSE)*VLOOKUP($B$14,'Annual Parameters'!$B$33:$W$143,3,FALSE)/VLOOKUP('Source VoT'!$E$27,'Annual Parameters'!$B$33:$W$143,3,FALSE)</f>
        <v>35.332849093581189</v>
      </c>
      <c r="AF106" s="73">
        <f>'Source VoT'!$D$39*1*VLOOKUP($B106,'Annual Parameters'!$B$33:$W$143,21,FALSE)/VLOOKUP('Source VoT'!$F$27,'Annual Parameters'!$B$33:$W$143,21,FALSE)*VLOOKUP($B$14,'Annual Parameters'!$B$33:$W$143,3,FALSE)/VLOOKUP('Source VoT'!$E$27,'Annual Parameters'!$B$33:$W$143,3,FALSE)</f>
        <v>62.349982203529386</v>
      </c>
      <c r="AG106" s="74">
        <f>'Source VoT'!$D$40*1*VLOOKUP($B106,'Annual Parameters'!$B$33:$W$143,21,FALSE)/VLOOKUP('Source VoT'!$F$27,'Annual Parameters'!$B$33:$W$143,21,FALSE)*VLOOKUP($B$14,'Annual Parameters'!$B$33:$W$143,3,FALSE)/VLOOKUP('Source VoT'!$E$27,'Annual Parameters'!$B$33:$W$143,3,FALSE)</f>
        <v>67.913358259584399</v>
      </c>
      <c r="AH106" s="73">
        <f>'Source VoT'!$D$45*1*VLOOKUP($B106,'Annual Parameters'!$B$33:$W$143,22,FALSE)/VLOOKUP('Source VoT'!$F$27,'Annual Parameters'!$B$33:$W$143,22,FALSE)*VLOOKUP($B$14,'Annual Parameters'!$B$33:$W$143,3,FALSE)/VLOOKUP('Source VoT'!$E$27,'Annual Parameters'!$B$33:$W$143,3,FALSE)</f>
        <v>41.748524471273079</v>
      </c>
      <c r="AI106" s="73">
        <f>'Source VoT'!$D$46*1*VLOOKUP($B106,'Annual Parameters'!$B$33:$W$143,22,FALSE)/VLOOKUP('Source VoT'!$F$27,'Annual Parameters'!$B$33:$W$143,22,FALSE)*VLOOKUP($B$14,'Annual Parameters'!$B$33:$W$143,3,FALSE)/VLOOKUP('Source VoT'!$E$27,'Annual Parameters'!$B$33:$W$143,3,FALSE)</f>
        <v>19.055279446978464</v>
      </c>
      <c r="AJ106" s="117">
        <f>'Source VoT'!$D$27*VLOOKUP($B106,'Indirect tax correction'!$B$27:$I$127,7,FALSE)*VLOOKUP($B106,'Annual Parameters'!$B$33:$W$143,21,FALSE)/VLOOKUP('Source VoT'!$F$27,'Annual Parameters'!$B$33:$W$143,21,FALSE)*VLOOKUP($B$14,'Annual Parameters'!$B$33:$W$143,3,FALSE)/VLOOKUP('Source VoT'!$E$27,'Annual Parameters'!$B$33:$W$143,3,FALSE)</f>
        <v>74.19647882219995</v>
      </c>
      <c r="AK106" s="73">
        <f>'Source VoT'!$D$28*VLOOKUP($B106,'Indirect tax correction'!$B$27:$I$127,7,FALSE)*VLOOKUP($B106,'Annual Parameters'!$B$33:$W$143,21,FALSE)/VLOOKUP('Source VoT'!$F$27,'Annual Parameters'!$B$33:$W$143,21,FALSE)*VLOOKUP($B$14,'Annual Parameters'!$B$33:$W$143,3,FALSE)/VLOOKUP('Source VoT'!$E$27,'Annual Parameters'!$B$33:$W$143,3,FALSE)</f>
        <v>74.19647882219995</v>
      </c>
      <c r="AL106" s="73">
        <f>'Source VoT'!$D$29*VLOOKUP($B106,'Indirect tax correction'!$B$27:$I$127,7,FALSE)*VLOOKUP($B106,'Annual Parameters'!$B$33:$W$143,21,FALSE)/VLOOKUP('Source VoT'!$F$27,'Annual Parameters'!$B$33:$W$143,21,FALSE)*VLOOKUP($B$14,'Annual Parameters'!$B$33:$W$143,3,FALSE)/VLOOKUP('Source VoT'!$E$27,'Annual Parameters'!$B$33:$W$143,3,FALSE)</f>
        <v>51.090007884231234</v>
      </c>
      <c r="AM106" s="73">
        <f>'Source VoT'!$D$30*VLOOKUP($B106,'Indirect tax correction'!$B$27:$I$127,7,FALSE)*VLOOKUP($B106,'Annual Parameters'!$B$33:$W$143,21,FALSE)/VLOOKUP('Source VoT'!$F$27,'Annual Parameters'!$B$33:$W$143,21,FALSE)*VLOOKUP($B$14,'Annual Parameters'!$B$33:$W$143,3,FALSE)/VLOOKUP('Source VoT'!$E$27,'Annual Parameters'!$B$33:$W$143,3,FALSE)</f>
        <v>60.196328733966872</v>
      </c>
      <c r="AN106" s="73">
        <f>'Source VoT'!$D$31*VLOOKUP($B106,'Indirect tax correction'!$B$27:$I$127,7,FALSE)*VLOOKUP($B106,'Annual Parameters'!$B$33:$W$143,21,FALSE)/VLOOKUP('Source VoT'!$F$27,'Annual Parameters'!$B$33:$W$143,21,FALSE)*VLOOKUP($B$14,'Annual Parameters'!$B$33:$W$143,3,FALSE)/VLOOKUP('Source VoT'!$E$27,'Annual Parameters'!$B$33:$W$143,3,FALSE)</f>
        <v>61.497231712500565</v>
      </c>
      <c r="AO106" s="73">
        <f>'Source VoT'!$D$32*VLOOKUP($B106,'Indirect tax correction'!$B$27:$I$127,7,FALSE)*VLOOKUP($B106,'Annual Parameters'!$B$33:$W$143,21,FALSE)/VLOOKUP('Source VoT'!$F$27,'Annual Parameters'!$B$33:$W$143,21,FALSE)*VLOOKUP($B$14,'Annual Parameters'!$B$33:$W$143,3,FALSE)/VLOOKUP('Source VoT'!$E$27,'Annual Parameters'!$B$33:$W$143,3,FALSE)</f>
        <v>42.046090421361612</v>
      </c>
      <c r="AP106" s="73">
        <f>'Source VoT'!$D$33*VLOOKUP($B106,'Indirect tax correction'!$B$27:$I$127,7,FALSE)*VLOOKUP($B106,'Annual Parameters'!$B$33:$W$143,21,FALSE)/VLOOKUP('Source VoT'!$F$27,'Annual Parameters'!$B$33:$W$143,21,FALSE)*VLOOKUP($B$14,'Annual Parameters'!$B$33:$W$143,3,FALSE)/VLOOKUP('Source VoT'!$E$27,'Annual Parameters'!$B$33:$W$143,3,FALSE)</f>
        <v>54.34226533056539</v>
      </c>
      <c r="AQ106" s="73">
        <f>'Source VoT'!$D$34*VLOOKUP($B106,'Indirect tax correction'!$B$27:$I$127,7,FALSE)*VLOOKUP($B106,'Annual Parameters'!$B$33:$W$143,21,FALSE)/VLOOKUP('Source VoT'!$F$27,'Annual Parameters'!$B$33:$W$143,21,FALSE)*VLOOKUP($B$14,'Annual Parameters'!$B$33:$W$143,3,FALSE)/VLOOKUP('Source VoT'!$E$27,'Annual Parameters'!$B$33:$W$143,3,FALSE)</f>
        <v>74.19647882219995</v>
      </c>
      <c r="AR106" s="73">
        <f>'Source VoT'!$D$35*VLOOKUP($B106,'Indirect tax correction'!$B$27:$I$127,7,FALSE)*VLOOKUP($B106,'Annual Parameters'!$B$33:$W$143,21,FALSE)/VLOOKUP('Source VoT'!$F$27,'Annual Parameters'!$B$33:$W$143,21,FALSE)*VLOOKUP($B$14,'Annual Parameters'!$B$33:$W$143,3,FALSE)/VLOOKUP('Source VoT'!$E$27,'Annual Parameters'!$B$33:$W$143,3,FALSE)</f>
        <v>122.38801082512492</v>
      </c>
      <c r="AS106" s="73">
        <f>'Source VoT'!$D$36*VLOOKUP($B106,'Indirect tax correction'!$B$27:$I$127,7,FALSE)*VLOOKUP($B106,'Annual Parameters'!$B$33:$W$143,21,FALSE)/VLOOKUP('Source VoT'!$F$27,'Annual Parameters'!$B$33:$W$143,21,FALSE)*VLOOKUP($B$14,'Annual Parameters'!$B$33:$W$143,3,FALSE)/VLOOKUP('Source VoT'!$E$27,'Annual Parameters'!$B$33:$W$143,3,FALSE)</f>
        <v>42.046090421361612</v>
      </c>
      <c r="AT106" s="73">
        <f>'Source VoT'!$D$37*VLOOKUP($B106,'Indirect tax correction'!$B$27:$I$127,7,FALSE)*VLOOKUP($B106,'Annual Parameters'!$B$33:$W$143,21,FALSE)/VLOOKUP('Source VoT'!$F$27,'Annual Parameters'!$B$33:$W$143,21,FALSE)*VLOOKUP($B$14,'Annual Parameters'!$B$33:$W$143,3,FALSE)/VLOOKUP('Source VoT'!$E$27,'Annual Parameters'!$B$33:$W$143,3,FALSE)</f>
        <v>42.046090421361612</v>
      </c>
      <c r="AU106" s="73">
        <f>'Source VoT'!$D$38*VLOOKUP($B106,'Indirect tax correction'!$B$27:$I$127,7,FALSE)*VLOOKUP($B106,'Annual Parameters'!$B$33:$W$143,21,FALSE)/VLOOKUP('Source VoT'!$F$27,'Annual Parameters'!$B$33:$W$143,21,FALSE)*VLOOKUP($B$14,'Annual Parameters'!$B$33:$W$143,3,FALSE)/VLOOKUP('Source VoT'!$E$27,'Annual Parameters'!$B$33:$W$143,3,FALSE)</f>
        <v>42.046090421361612</v>
      </c>
      <c r="AV106" s="73">
        <f>'Source VoT'!$D$39*VLOOKUP($B106,'Indirect tax correction'!$B$27:$I$127,7,FALSE)*VLOOKUP($B106,'Annual Parameters'!$B$33:$W$143,21,FALSE)/VLOOKUP('Source VoT'!$F$27,'Annual Parameters'!$B$33:$W$143,21,FALSE)*VLOOKUP($B$14,'Annual Parameters'!$B$33:$W$143,3,FALSE)/VLOOKUP('Source VoT'!$E$27,'Annual Parameters'!$B$33:$W$143,3,FALSE)</f>
        <v>74.19647882219995</v>
      </c>
      <c r="AW106" s="74">
        <f>'Source VoT'!$D$40*VLOOKUP($B106,'Indirect tax correction'!$B$27:$I$127,7,FALSE)*VLOOKUP($B106,'Annual Parameters'!$B$33:$W$143,21,FALSE)/VLOOKUP('Source VoT'!$F$27,'Annual Parameters'!$B$33:$W$143,21,FALSE)*VLOOKUP($B$14,'Annual Parameters'!$B$33:$W$143,3,FALSE)/VLOOKUP('Source VoT'!$E$27,'Annual Parameters'!$B$33:$W$143,3,FALSE)</f>
        <v>80.816896328905443</v>
      </c>
      <c r="AX106" s="73">
        <f>'Source VoT'!$D$45*VLOOKUP($B106,'Indirect tax correction'!$B$27:$I$127,8,FALSE)*VLOOKUP($B106,'Annual Parameters'!$B$33:$W$143,22,FALSE)/VLOOKUP('Source VoT'!$F$27,'Annual Parameters'!$B$33:$W$143,22,FALSE)*VLOOKUP($B$14,'Annual Parameters'!$B$33:$W$143,3,FALSE)/VLOOKUP('Source VoT'!$E$27,'Annual Parameters'!$B$33:$W$143,3,FALSE)</f>
        <v>41.748524471273079</v>
      </c>
      <c r="AY106" s="74">
        <f>'Source VoT'!$D$46*VLOOKUP($B106,'Indirect tax correction'!$B$27:$I$127,8,FALSE)*VLOOKUP($B106,'Annual Parameters'!$B$33:$W$143,22,FALSE)/VLOOKUP('Source VoT'!$F$27,'Annual Parameters'!$B$33:$W$143,22,FALSE)*VLOOKUP($B$14,'Annual Parameters'!$B$33:$W$143,3,FALSE)/VLOOKUP('Source VoT'!$E$27,'Annual Parameters'!$B$33:$W$143,3,FALSE)</f>
        <v>19.055279446978464</v>
      </c>
      <c r="AZ106" s="2875"/>
      <c r="BA106" s="2875"/>
      <c r="BB106" s="2875"/>
      <c r="BC106" s="2875"/>
      <c r="BD106" s="2875"/>
      <c r="BE106" s="2875"/>
      <c r="BF106" s="2875"/>
      <c r="BG106" s="2875"/>
    </row>
    <row r="107" spans="1:59" ht="13.5" customHeight="1" thickBot="1">
      <c r="A107" s="92"/>
      <c r="B107" s="37"/>
      <c r="C107" s="1385"/>
      <c r="D107" s="92"/>
      <c r="E107" s="37"/>
      <c r="F107" s="37"/>
      <c r="G107" s="37"/>
      <c r="H107" s="37"/>
      <c r="I107" s="37"/>
      <c r="J107" s="37"/>
      <c r="K107" s="37"/>
      <c r="L107" s="37"/>
      <c r="M107" s="37"/>
      <c r="N107" s="37"/>
      <c r="O107" s="37"/>
      <c r="P107" s="37"/>
      <c r="Q107" s="1385"/>
      <c r="R107" s="92"/>
      <c r="S107" s="1385"/>
      <c r="T107" s="98"/>
      <c r="U107" s="78"/>
      <c r="V107" s="78"/>
      <c r="W107" s="78"/>
      <c r="X107" s="78"/>
      <c r="Y107" s="78"/>
      <c r="Z107" s="78"/>
      <c r="AA107" s="78"/>
      <c r="AB107" s="78"/>
      <c r="AC107" s="78"/>
      <c r="AD107" s="78"/>
      <c r="AE107" s="78"/>
      <c r="AF107" s="78"/>
      <c r="AG107" s="79"/>
      <c r="AH107" s="78"/>
      <c r="AI107" s="78"/>
      <c r="AJ107" s="98"/>
      <c r="AK107" s="78"/>
      <c r="AL107" s="78"/>
      <c r="AM107" s="78"/>
      <c r="AN107" s="78"/>
      <c r="AO107" s="78"/>
      <c r="AP107" s="78"/>
      <c r="AQ107" s="78"/>
      <c r="AR107" s="78"/>
      <c r="AS107" s="78"/>
      <c r="AT107" s="78"/>
      <c r="AU107" s="78"/>
      <c r="AV107" s="78"/>
      <c r="AW107" s="79"/>
      <c r="AX107" s="78"/>
      <c r="AY107" s="79"/>
    </row>
    <row r="108" spans="1:59" ht="13.5" customHeight="1" thickTop="1" thickBot="1"/>
    <row r="109" spans="1:59" ht="13.5" customHeight="1" thickBot="1">
      <c r="D109" s="2414" t="s">
        <v>1489</v>
      </c>
      <c r="T109" s="528" t="s">
        <v>1489</v>
      </c>
      <c r="AJ109" s="528" t="s">
        <v>1489</v>
      </c>
    </row>
    <row r="110" spans="1:59" ht="13.5" customHeight="1"/>
    <row r="111" spans="1:59" ht="13.5" customHeight="1"/>
    <row r="112" spans="1:59"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sheetData>
  <sheetProtection sheet="1" objects="1" scenarios="1"/>
  <mergeCells count="16">
    <mergeCell ref="D23:S23"/>
    <mergeCell ref="T23:AI23"/>
    <mergeCell ref="AJ23:AY23"/>
    <mergeCell ref="A18:B18"/>
    <mergeCell ref="A10:B10"/>
    <mergeCell ref="A12:B12"/>
    <mergeCell ref="T1:AI1"/>
    <mergeCell ref="AJ1:AY1"/>
    <mergeCell ref="A1:B1"/>
    <mergeCell ref="A20:B20"/>
    <mergeCell ref="A19:B19"/>
    <mergeCell ref="A11:B11"/>
    <mergeCell ref="D1:S1"/>
    <mergeCell ref="A7:B7"/>
    <mergeCell ref="A8:B8"/>
    <mergeCell ref="E6:S6"/>
  </mergeCells>
  <phoneticPr fontId="8" type="noConversion"/>
  <hyperlinks>
    <hyperlink ref="A19" location="A1.2.2!AH1" display="Perceived"/>
    <hyperlink ref="A20" location="A1.2.2!AW1" display="Market"/>
    <hyperlink ref="A18" location="A1.2.2!C1" display="Column A"/>
    <hyperlink ref="D109" location="A1.3.2!D27" tooltip="Top of this page" display="Top"/>
    <hyperlink ref="A18:B18" location="A1.3.2!D1" tooltip="Resource cost values" display="Resource cost values"/>
    <hyperlink ref="A19:B19" location="A1.3.2!T1" tooltip="Perceived cost values" display="Perceived cost values"/>
    <hyperlink ref="A20:B20" location="A1.3.2!AJ1" tooltip="Market price values" display="Market price values"/>
    <hyperlink ref="T109" location="A1.3.2!T28" tooltip="Top of this column" display="Top"/>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AJ109" location="A1.3.2!AJ28" tooltip="Top of this column" display="Top"/>
  </hyperlinks>
  <pageMargins left="0.75" right="0.75" top="1" bottom="1" header="0.5" footer="0.5"/>
  <pageSetup paperSize="8" scale="29" fitToHeight="0" orientation="landscape" r:id="rId3"/>
  <headerFooter alignWithMargins="0"/>
  <colBreaks count="1" manualBreakCount="1">
    <brk id="19" max="1048575" man="1"/>
  </colBreaks>
  <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indexed="10"/>
  </sheetPr>
  <dimension ref="A1:BR201"/>
  <sheetViews>
    <sheetView showGridLines="0" zoomScale="85" zoomScaleNormal="85" workbookViewId="0">
      <pane xSplit="3" ySplit="26" topLeftCell="D87"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2"/>
  <cols>
    <col min="1" max="16384" width="12.88671875" style="33"/>
  </cols>
  <sheetData>
    <row r="1" spans="1:70" ht="54.9" customHeight="1">
      <c r="A1" s="3569"/>
      <c r="B1" s="3569"/>
      <c r="C1" s="112"/>
    </row>
    <row r="2" spans="1:70" ht="5.0999999999999996" customHeight="1">
      <c r="C2" s="111"/>
    </row>
    <row r="3" spans="1:70" s="70" customFormat="1" ht="20.100000000000001" customHeight="1">
      <c r="A3" s="83" t="s">
        <v>2217</v>
      </c>
      <c r="B3" s="83"/>
      <c r="C3" s="83"/>
      <c r="D3" s="83"/>
      <c r="E3" s="83"/>
      <c r="F3" s="83"/>
      <c r="G3" s="84"/>
      <c r="H3" s="83"/>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t="s">
        <v>1442</v>
      </c>
      <c r="AL3" s="84"/>
      <c r="AM3" s="84"/>
      <c r="AN3" s="84"/>
      <c r="AO3" s="84"/>
      <c r="AP3" s="84"/>
      <c r="AQ3" s="84"/>
      <c r="AR3" s="84"/>
      <c r="AS3" s="84"/>
      <c r="AT3" s="84"/>
      <c r="AU3" s="84"/>
      <c r="AV3" s="84"/>
      <c r="AW3" s="84"/>
      <c r="AX3" s="84"/>
      <c r="AY3" s="84"/>
      <c r="BC3" s="84"/>
      <c r="BD3" s="84"/>
      <c r="BE3" s="84"/>
      <c r="BF3" s="84"/>
      <c r="BG3" s="46"/>
      <c r="BH3" s="84"/>
      <c r="BR3" s="71"/>
    </row>
    <row r="4" spans="1:70" s="70" customFormat="1" ht="20.100000000000001" customHeight="1" thickBot="1">
      <c r="A4" s="109" t="s">
        <v>154</v>
      </c>
      <c r="B4" s="109"/>
      <c r="C4" s="109"/>
      <c r="D4" s="109"/>
      <c r="E4" s="109"/>
      <c r="F4" s="109"/>
      <c r="G4" s="110"/>
      <c r="H4" s="109"/>
      <c r="I4" s="110"/>
      <c r="J4" s="110"/>
      <c r="K4" s="110"/>
      <c r="L4" s="110"/>
      <c r="M4" s="110"/>
      <c r="N4" s="110"/>
      <c r="O4" s="110"/>
      <c r="P4" s="110"/>
      <c r="Q4" s="110"/>
      <c r="R4" s="110"/>
      <c r="S4" s="110"/>
      <c r="T4" s="110"/>
      <c r="U4" s="110"/>
      <c r="V4" s="110"/>
      <c r="W4" s="110"/>
      <c r="X4" s="110"/>
      <c r="Y4" s="110"/>
      <c r="Z4" s="110"/>
      <c r="AA4" s="110"/>
      <c r="AB4" s="110"/>
      <c r="AC4" s="110"/>
      <c r="AD4" s="110"/>
      <c r="AE4" s="110"/>
      <c r="AF4" s="110"/>
      <c r="AG4" s="110"/>
      <c r="AH4" s="110"/>
      <c r="AI4" s="110"/>
      <c r="AJ4" s="110"/>
      <c r="AK4" s="110"/>
      <c r="AL4" s="110"/>
      <c r="AM4" s="110"/>
      <c r="AN4" s="110"/>
      <c r="AO4" s="110"/>
      <c r="AP4" s="110"/>
      <c r="AQ4" s="110"/>
      <c r="AR4" s="110"/>
      <c r="AS4" s="110"/>
      <c r="AT4" s="110"/>
      <c r="AU4" s="110"/>
      <c r="AV4" s="110"/>
      <c r="AW4" s="110"/>
      <c r="AX4" s="110"/>
      <c r="AY4" s="110"/>
      <c r="BC4" s="84"/>
      <c r="BD4" s="84"/>
      <c r="BE4" s="84"/>
      <c r="BF4" s="84"/>
      <c r="BG4" s="46"/>
      <c r="BH4" s="84"/>
      <c r="BR4" s="71"/>
    </row>
    <row r="5" spans="1:70" s="38" customFormat="1" ht="9.9" customHeight="1" thickTop="1" thickBot="1">
      <c r="B5" s="85"/>
      <c r="C5" s="85"/>
      <c r="D5" s="86"/>
      <c r="E5" s="85"/>
      <c r="F5" s="85"/>
      <c r="G5" s="86"/>
      <c r="H5" s="85"/>
      <c r="I5" s="86"/>
      <c r="J5" s="86"/>
      <c r="K5" s="86"/>
      <c r="L5" s="86"/>
      <c r="M5" s="86"/>
      <c r="N5" s="86"/>
      <c r="O5" s="86"/>
      <c r="P5" s="86"/>
      <c r="Q5" s="86"/>
      <c r="R5" s="86"/>
      <c r="S5" s="86"/>
      <c r="T5" s="86"/>
      <c r="U5" s="86"/>
      <c r="V5" s="86"/>
      <c r="W5" s="86"/>
      <c r="X5" s="86"/>
      <c r="Y5" s="86"/>
      <c r="Z5" s="86"/>
      <c r="AA5" s="86"/>
      <c r="AB5" s="86"/>
      <c r="AC5" s="86"/>
      <c r="AD5" s="86"/>
      <c r="AE5" s="86"/>
      <c r="AF5" s="86"/>
      <c r="AG5" s="86"/>
      <c r="AH5" s="86"/>
      <c r="AI5" s="86"/>
      <c r="AJ5" s="86"/>
      <c r="AK5" s="86"/>
      <c r="AL5" s="86"/>
      <c r="AM5" s="86"/>
      <c r="AN5" s="86"/>
      <c r="AO5" s="86"/>
      <c r="AP5" s="86"/>
      <c r="AQ5" s="86"/>
      <c r="AR5" s="86"/>
      <c r="AS5" s="86"/>
      <c r="AT5" s="86"/>
      <c r="AU5" s="86"/>
      <c r="AV5" s="86"/>
      <c r="AW5" s="86"/>
      <c r="AX5" s="86"/>
      <c r="AY5" s="86"/>
      <c r="BC5" s="26"/>
      <c r="BD5" s="26"/>
      <c r="BE5" s="26"/>
      <c r="BF5" s="26"/>
      <c r="BG5" s="31"/>
      <c r="BH5" s="26"/>
      <c r="BR5" s="87"/>
    </row>
    <row r="6" spans="1:70" s="38" customFormat="1" ht="13.5" customHeight="1" thickTop="1">
      <c r="A6" s="169" t="s">
        <v>10</v>
      </c>
      <c r="B6" s="169"/>
      <c r="E6" s="3626" t="s">
        <v>255</v>
      </c>
      <c r="F6" s="3656"/>
      <c r="G6" s="3656"/>
      <c r="H6" s="3656"/>
      <c r="I6" s="3656"/>
      <c r="J6" s="3656"/>
      <c r="K6" s="3656"/>
      <c r="L6" s="3656"/>
      <c r="M6" s="3656"/>
      <c r="N6" s="3656"/>
      <c r="O6" s="3656"/>
      <c r="P6" s="3656"/>
      <c r="Q6" s="3656"/>
      <c r="R6" s="3656"/>
      <c r="S6" s="3657"/>
      <c r="T6" s="19"/>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BC6" s="26"/>
      <c r="BD6" s="26"/>
      <c r="BE6" s="26"/>
      <c r="BF6" s="26"/>
      <c r="BG6" s="31"/>
      <c r="BH6" s="26"/>
      <c r="BR6" s="87"/>
    </row>
    <row r="7" spans="1:70" s="38" customFormat="1" ht="13.5" customHeight="1">
      <c r="A7" s="3644" t="str">
        <f>Audit!A12</f>
        <v>May 2019 v1.12</v>
      </c>
      <c r="B7" s="3645"/>
      <c r="D7" s="147"/>
      <c r="E7" s="38" t="s">
        <v>158</v>
      </c>
      <c r="F7" s="27"/>
      <c r="G7" s="27"/>
      <c r="H7" s="27"/>
      <c r="I7" s="27"/>
      <c r="J7" s="27"/>
      <c r="K7" s="27"/>
      <c r="L7" s="27"/>
      <c r="M7" s="27"/>
      <c r="N7" s="27"/>
      <c r="O7" s="27"/>
      <c r="P7" s="27"/>
      <c r="Q7" s="27"/>
      <c r="R7" s="27"/>
      <c r="S7" s="55"/>
      <c r="T7" s="90"/>
      <c r="U7" s="86"/>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BC7" s="26"/>
      <c r="BD7" s="26"/>
      <c r="BE7" s="26"/>
      <c r="BF7" s="26"/>
      <c r="BG7" s="31"/>
      <c r="BH7" s="26"/>
      <c r="BR7" s="87"/>
    </row>
    <row r="8" spans="1:70" s="38" customFormat="1" ht="13.5" customHeight="1">
      <c r="A8" s="3646">
        <f>Audit!C12</f>
        <v>43586</v>
      </c>
      <c r="B8" s="3645"/>
      <c r="D8" s="147"/>
      <c r="E8" s="113" t="s">
        <v>802</v>
      </c>
      <c r="G8" s="27"/>
      <c r="H8" s="27"/>
      <c r="I8" s="27"/>
      <c r="J8" s="27"/>
      <c r="K8" s="27"/>
      <c r="L8" s="27"/>
      <c r="M8" s="27"/>
      <c r="N8" s="27"/>
      <c r="O8" s="27"/>
      <c r="P8" s="27"/>
      <c r="Q8" s="27"/>
      <c r="R8" s="27"/>
      <c r="S8" s="55"/>
      <c r="T8" s="90"/>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BC8" s="26"/>
      <c r="BD8" s="26"/>
      <c r="BE8" s="26"/>
      <c r="BF8" s="26"/>
      <c r="BG8" s="31"/>
      <c r="BH8" s="26"/>
      <c r="BR8" s="87"/>
    </row>
    <row r="9" spans="1:70" s="38" customFormat="1" ht="13.5" customHeight="1" thickBot="1">
      <c r="A9" s="172" t="s">
        <v>14</v>
      </c>
      <c r="B9" s="173"/>
      <c r="D9" s="147"/>
      <c r="F9" s="27"/>
      <c r="G9" s="27"/>
      <c r="H9" s="27"/>
      <c r="I9" s="27"/>
      <c r="J9" s="27"/>
      <c r="K9" s="27"/>
      <c r="L9" s="27"/>
      <c r="M9" s="27"/>
      <c r="N9" s="27"/>
      <c r="O9" s="27"/>
      <c r="P9" s="27"/>
      <c r="Q9" s="27"/>
      <c r="R9" s="27"/>
      <c r="S9" s="55"/>
      <c r="T9" s="90"/>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BE9" s="26"/>
      <c r="BF9" s="26"/>
      <c r="BG9" s="31"/>
      <c r="BH9" s="26"/>
      <c r="BR9" s="87"/>
    </row>
    <row r="10" spans="1:70" s="38" customFormat="1" ht="13.5" customHeight="1" thickBot="1">
      <c r="A10" s="3611" t="s">
        <v>1306</v>
      </c>
      <c r="B10" s="3612"/>
      <c r="D10" s="147"/>
      <c r="G10" s="26"/>
      <c r="H10" s="26"/>
      <c r="I10" s="26"/>
      <c r="J10" s="26"/>
      <c r="K10" s="26"/>
      <c r="L10" s="26"/>
      <c r="M10" s="26"/>
      <c r="N10" s="26"/>
      <c r="O10" s="26"/>
      <c r="P10" s="26"/>
      <c r="Q10" s="26"/>
      <c r="R10" s="26"/>
      <c r="S10" s="147"/>
      <c r="T10" s="113"/>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BE10" s="26"/>
      <c r="BF10" s="26"/>
      <c r="BG10" s="31"/>
      <c r="BH10" s="26"/>
      <c r="BR10" s="87"/>
    </row>
    <row r="11" spans="1:70" s="38" customFormat="1" ht="13.5" customHeight="1" thickBot="1">
      <c r="A11" s="3611" t="s">
        <v>2216</v>
      </c>
      <c r="B11" s="3639"/>
      <c r="D11" s="147"/>
      <c r="E11" s="113"/>
      <c r="F11" s="68"/>
      <c r="G11" s="68"/>
      <c r="H11" s="68"/>
      <c r="I11" s="68"/>
      <c r="J11" s="68"/>
      <c r="K11" s="68"/>
      <c r="L11" s="68"/>
      <c r="M11" s="68"/>
      <c r="N11" s="68"/>
      <c r="O11" s="68"/>
      <c r="P11" s="68"/>
      <c r="Q11" s="68"/>
      <c r="R11" s="68"/>
      <c r="S11" s="107"/>
      <c r="T11" s="44"/>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BC11" s="26"/>
      <c r="BD11" s="26"/>
      <c r="BE11" s="26"/>
      <c r="BF11" s="26"/>
      <c r="BG11" s="31"/>
      <c r="BH11" s="26"/>
      <c r="BR11" s="87"/>
    </row>
    <row r="12" spans="1:70" s="38" customFormat="1" ht="13.5" customHeight="1" thickBot="1">
      <c r="A12" s="3611" t="s">
        <v>2217</v>
      </c>
      <c r="B12" s="3639"/>
      <c r="D12" s="147"/>
      <c r="F12" s="27"/>
      <c r="G12" s="27"/>
      <c r="H12" s="27"/>
      <c r="I12" s="27"/>
      <c r="J12" s="27"/>
      <c r="K12" s="27"/>
      <c r="L12" s="27"/>
      <c r="M12" s="27"/>
      <c r="N12" s="27"/>
      <c r="O12" s="27"/>
      <c r="P12" s="27"/>
      <c r="Q12" s="27"/>
      <c r="R12" s="27"/>
      <c r="S12" s="55"/>
      <c r="T12" s="90"/>
      <c r="U12" s="97"/>
      <c r="V12" s="97"/>
      <c r="W12" s="97"/>
      <c r="X12" s="97"/>
      <c r="Y12" s="97"/>
      <c r="Z12" s="97"/>
      <c r="AA12" s="97"/>
      <c r="AB12" s="97"/>
      <c r="AC12" s="97"/>
      <c r="AD12" s="97"/>
      <c r="AE12" s="97"/>
      <c r="AF12" s="97"/>
      <c r="AG12" s="97"/>
      <c r="AH12" s="97"/>
      <c r="AI12" s="97"/>
      <c r="AJ12" s="97"/>
      <c r="AK12" s="97"/>
      <c r="AL12" s="97"/>
      <c r="AM12" s="97"/>
      <c r="AN12" s="97"/>
      <c r="AO12" s="97"/>
      <c r="AP12" s="86"/>
      <c r="AQ12" s="86"/>
      <c r="AR12" s="86"/>
      <c r="AS12" s="86"/>
      <c r="AT12" s="86"/>
      <c r="AU12" s="86"/>
      <c r="AV12" s="86"/>
      <c r="AW12" s="86"/>
      <c r="AX12" s="86"/>
      <c r="AY12" s="86"/>
      <c r="BC12" s="26"/>
      <c r="BD12" s="26"/>
      <c r="BE12" s="26"/>
      <c r="BF12" s="26"/>
      <c r="BG12" s="31"/>
      <c r="BH12" s="26"/>
      <c r="BR12" s="87"/>
    </row>
    <row r="13" spans="1:70" ht="13.5" customHeight="1">
      <c r="A13" s="172" t="s">
        <v>252</v>
      </c>
      <c r="B13" s="194"/>
      <c r="D13" s="55"/>
      <c r="F13" s="27"/>
      <c r="G13" s="27"/>
      <c r="H13" s="27"/>
      <c r="I13" s="27"/>
      <c r="J13" s="27"/>
      <c r="K13" s="27"/>
      <c r="L13" s="27"/>
      <c r="M13" s="27"/>
      <c r="N13" s="27"/>
      <c r="O13" s="27"/>
      <c r="P13" s="27"/>
      <c r="Q13" s="27"/>
      <c r="R13" s="27"/>
      <c r="S13" s="55"/>
      <c r="T13" s="90"/>
      <c r="U13" s="26"/>
      <c r="V13" s="26"/>
      <c r="W13" s="26"/>
      <c r="X13" s="72"/>
      <c r="Y13" s="26"/>
      <c r="Z13" s="26"/>
      <c r="AA13" s="26"/>
      <c r="AB13" s="26"/>
      <c r="AC13" s="26"/>
      <c r="AD13" s="26"/>
      <c r="AE13" s="26"/>
      <c r="AF13" s="26"/>
      <c r="AG13" s="26"/>
      <c r="AH13" s="26"/>
      <c r="AI13" s="26"/>
      <c r="AJ13" s="26"/>
      <c r="AK13" s="56"/>
      <c r="AL13" s="72"/>
      <c r="AM13" s="72"/>
      <c r="AN13" s="31"/>
      <c r="AO13" s="26"/>
      <c r="BC13" s="72"/>
      <c r="BD13" s="72"/>
      <c r="BE13" s="72"/>
      <c r="BF13" s="96"/>
      <c r="BG13" s="31"/>
      <c r="BH13" s="26"/>
    </row>
    <row r="14" spans="1:70" ht="13.5" customHeight="1">
      <c r="A14" s="26" t="s">
        <v>1364</v>
      </c>
      <c r="B14" s="1220">
        <v>2000</v>
      </c>
      <c r="C14" s="29"/>
      <c r="D14" s="55"/>
      <c r="E14" s="113"/>
      <c r="F14" s="27"/>
      <c r="G14" s="27"/>
      <c r="H14" s="27"/>
      <c r="I14" s="27"/>
      <c r="J14" s="27"/>
      <c r="K14" s="27"/>
      <c r="L14" s="27"/>
      <c r="M14" s="27"/>
      <c r="N14" s="27"/>
      <c r="O14" s="27"/>
      <c r="P14" s="27"/>
      <c r="Q14" s="27"/>
      <c r="R14" s="27"/>
      <c r="S14" s="55"/>
      <c r="T14" s="90"/>
      <c r="U14" s="26"/>
      <c r="V14" s="26"/>
      <c r="W14" s="26"/>
      <c r="X14" s="72"/>
      <c r="Y14" s="31"/>
      <c r="Z14" s="26"/>
      <c r="AA14" s="26"/>
      <c r="AB14" s="26"/>
      <c r="AC14" s="26"/>
      <c r="AD14" s="26"/>
      <c r="AE14" s="26"/>
      <c r="AF14" s="26"/>
      <c r="AG14" s="26"/>
      <c r="AH14" s="26"/>
      <c r="AI14" s="26"/>
      <c r="AJ14" s="26"/>
      <c r="AK14" s="26"/>
      <c r="AL14" s="26"/>
      <c r="AM14" s="72"/>
      <c r="AN14" s="31"/>
      <c r="AO14" s="26"/>
      <c r="BA14" s="25"/>
      <c r="BC14" s="56"/>
      <c r="BD14" s="72"/>
      <c r="BE14" s="72"/>
      <c r="BF14" s="96"/>
      <c r="BG14" s="31"/>
      <c r="BH14" s="26"/>
    </row>
    <row r="15" spans="1:70" ht="13.5" customHeight="1">
      <c r="A15" s="26" t="s">
        <v>157</v>
      </c>
      <c r="B15" s="1640"/>
      <c r="C15" s="1641">
        <f>1+'Default Pars'!$L$22</f>
        <v>1.19</v>
      </c>
      <c r="D15" s="55"/>
      <c r="F15" s="26"/>
      <c r="G15" s="26"/>
      <c r="H15" s="26"/>
      <c r="I15" s="26"/>
      <c r="J15" s="26"/>
      <c r="K15" s="26"/>
      <c r="L15" s="26"/>
      <c r="M15" s="26"/>
      <c r="N15" s="26"/>
      <c r="O15" s="26"/>
      <c r="P15" s="26"/>
      <c r="Q15" s="26"/>
      <c r="R15" s="26"/>
      <c r="S15" s="147"/>
      <c r="T15" s="113"/>
      <c r="U15" s="26"/>
      <c r="V15" s="26"/>
      <c r="W15" s="26"/>
      <c r="X15" s="72"/>
      <c r="Y15" s="31"/>
      <c r="Z15" s="26"/>
      <c r="AA15" s="26"/>
      <c r="AB15" s="26"/>
      <c r="AC15" s="26"/>
      <c r="AD15" s="26"/>
      <c r="AE15" s="26"/>
      <c r="AF15" s="26"/>
      <c r="AG15" s="26"/>
      <c r="AH15" s="26"/>
      <c r="AI15" s="26"/>
      <c r="AJ15" s="26"/>
      <c r="AK15" s="26"/>
      <c r="AL15" s="26"/>
      <c r="AM15" s="72"/>
      <c r="AN15" s="31"/>
      <c r="AO15" s="26"/>
      <c r="BA15" s="25"/>
      <c r="BC15" s="26"/>
      <c r="BD15" s="26"/>
      <c r="BE15" s="26"/>
      <c r="BF15" s="26"/>
      <c r="BG15" s="26"/>
      <c r="BH15" s="26"/>
    </row>
    <row r="16" spans="1:70" ht="13.5" customHeight="1">
      <c r="E16" s="1359"/>
      <c r="F16" s="27"/>
      <c r="G16" s="27"/>
      <c r="H16" s="27"/>
      <c r="I16" s="27"/>
      <c r="J16" s="27"/>
      <c r="K16" s="27"/>
      <c r="L16" s="27"/>
      <c r="M16" s="27"/>
      <c r="N16" s="27"/>
      <c r="O16" s="27"/>
      <c r="P16" s="27"/>
      <c r="Q16" s="27"/>
      <c r="R16" s="27"/>
      <c r="S16" s="55"/>
      <c r="T16" s="90"/>
      <c r="U16" s="26"/>
      <c r="V16" s="26"/>
      <c r="W16" s="26"/>
      <c r="X16" s="72"/>
      <c r="Y16" s="31"/>
      <c r="Z16" s="26"/>
      <c r="AA16" s="26"/>
      <c r="AB16" s="26"/>
      <c r="AC16" s="26"/>
      <c r="AD16" s="26"/>
      <c r="AE16" s="26"/>
      <c r="AF16" s="26"/>
      <c r="AG16" s="26"/>
      <c r="AH16" s="26"/>
      <c r="AI16" s="26"/>
      <c r="AJ16" s="26"/>
      <c r="AK16" s="26"/>
      <c r="AL16" s="26"/>
      <c r="AM16" s="72"/>
      <c r="AN16" s="31"/>
      <c r="AO16" s="26"/>
      <c r="BA16" s="25"/>
    </row>
    <row r="17" spans="1:69" ht="13.5" customHeight="1">
      <c r="A17" s="169" t="s">
        <v>253</v>
      </c>
      <c r="B17" s="170"/>
      <c r="D17" s="55"/>
      <c r="F17" s="27"/>
      <c r="G17" s="27"/>
      <c r="H17" s="27"/>
      <c r="I17" s="27"/>
      <c r="J17" s="27"/>
      <c r="K17" s="27"/>
      <c r="L17" s="27"/>
      <c r="M17" s="27"/>
      <c r="N17" s="27"/>
      <c r="O17" s="27"/>
      <c r="P17" s="27"/>
      <c r="Q17" s="27"/>
      <c r="R17" s="27"/>
      <c r="S17" s="55"/>
      <c r="T17" s="90"/>
      <c r="U17" s="26"/>
      <c r="V17" s="26"/>
      <c r="W17" s="26"/>
      <c r="X17" s="72"/>
      <c r="Y17" s="31"/>
      <c r="Z17" s="26"/>
      <c r="AA17" s="26"/>
      <c r="AB17" s="26"/>
      <c r="AC17" s="26"/>
      <c r="AD17" s="26"/>
      <c r="AE17" s="26"/>
      <c r="AF17" s="26"/>
      <c r="AG17" s="26"/>
      <c r="AH17" s="26"/>
      <c r="AI17" s="26"/>
      <c r="AJ17" s="26"/>
      <c r="AK17" s="26"/>
      <c r="AL17" s="26"/>
      <c r="AM17" s="72"/>
      <c r="AN17" s="31"/>
      <c r="AO17" s="26"/>
      <c r="BA17" s="25"/>
    </row>
    <row r="18" spans="1:69" ht="13.5" customHeight="1">
      <c r="A18" s="3615"/>
      <c r="B18" s="3615"/>
      <c r="E18" s="90" t="s">
        <v>321</v>
      </c>
      <c r="F18" s="27"/>
      <c r="G18" s="27"/>
      <c r="H18" s="27"/>
      <c r="I18" s="27"/>
      <c r="J18" s="27"/>
      <c r="K18" s="27"/>
      <c r="L18" s="27"/>
      <c r="M18" s="27"/>
      <c r="N18" s="27"/>
      <c r="O18" s="27"/>
      <c r="P18" s="27"/>
      <c r="Q18" s="27"/>
      <c r="R18" s="27"/>
      <c r="S18" s="55"/>
      <c r="T18" s="90"/>
      <c r="U18" s="26"/>
      <c r="V18" s="26"/>
      <c r="W18" s="26"/>
      <c r="X18" s="72"/>
      <c r="Y18" s="31"/>
      <c r="Z18" s="26"/>
      <c r="AA18" s="26"/>
      <c r="AB18" s="26"/>
      <c r="AC18" s="26"/>
      <c r="AD18" s="26"/>
      <c r="AE18" s="26"/>
      <c r="AF18" s="26"/>
      <c r="AG18" s="26"/>
      <c r="AH18" s="26"/>
      <c r="AI18" s="26"/>
      <c r="AJ18" s="26"/>
      <c r="AK18" s="26"/>
      <c r="AL18" s="26"/>
      <c r="AM18" s="72"/>
      <c r="AN18" s="31"/>
      <c r="AO18" s="26"/>
      <c r="BA18" s="25"/>
    </row>
    <row r="19" spans="1:69" ht="13.5" customHeight="1">
      <c r="A19" s="3615"/>
      <c r="B19" s="3615"/>
      <c r="C19" s="26"/>
      <c r="E19" s="113"/>
      <c r="F19" s="27"/>
      <c r="G19" s="27"/>
      <c r="H19" s="27"/>
      <c r="I19" s="27"/>
      <c r="J19" s="27"/>
      <c r="K19" s="27"/>
      <c r="L19" s="27"/>
      <c r="M19" s="27"/>
      <c r="N19" s="27"/>
      <c r="O19" s="27"/>
      <c r="P19" s="27"/>
      <c r="Q19" s="27"/>
      <c r="R19" s="27"/>
      <c r="S19" s="55"/>
      <c r="T19" s="90"/>
      <c r="U19" s="26"/>
      <c r="V19" s="26"/>
      <c r="W19" s="26"/>
      <c r="X19" s="72"/>
      <c r="Y19" s="31"/>
      <c r="Z19" s="26"/>
      <c r="AA19" s="26"/>
      <c r="AB19" s="26"/>
      <c r="AC19" s="26"/>
      <c r="AD19" s="26"/>
      <c r="AE19" s="26"/>
      <c r="AF19" s="26"/>
      <c r="AG19" s="26"/>
      <c r="AH19" s="26"/>
      <c r="AI19" s="26"/>
      <c r="AJ19" s="26"/>
      <c r="AK19" s="26"/>
      <c r="AL19" s="26"/>
      <c r="AM19" s="72"/>
      <c r="AN19" s="31"/>
      <c r="AO19" s="26"/>
      <c r="BA19" s="25"/>
    </row>
    <row r="20" spans="1:69" ht="13.5" customHeight="1" thickBot="1">
      <c r="A20" s="3615"/>
      <c r="B20" s="3615"/>
      <c r="C20" s="26"/>
      <c r="D20" s="55"/>
      <c r="E20" s="92" t="str">
        <f>'Source VoT'!E20</f>
        <v>TAG1: Unit 3.5.6 (Tables 1 and 2)</v>
      </c>
      <c r="F20" s="23"/>
      <c r="G20" s="23"/>
      <c r="H20" s="23"/>
      <c r="I20" s="23"/>
      <c r="J20" s="23"/>
      <c r="K20" s="23"/>
      <c r="L20" s="23"/>
      <c r="M20" s="23"/>
      <c r="N20" s="23"/>
      <c r="O20" s="23"/>
      <c r="P20" s="23"/>
      <c r="Q20" s="23"/>
      <c r="R20" s="23"/>
      <c r="S20" s="108"/>
      <c r="T20" s="91"/>
      <c r="U20" s="26"/>
      <c r="V20" s="26"/>
      <c r="W20" s="26"/>
      <c r="X20" s="72"/>
      <c r="Y20" s="31"/>
      <c r="Z20" s="26"/>
      <c r="AA20" s="26"/>
      <c r="AB20" s="26"/>
      <c r="AC20" s="26"/>
      <c r="AD20" s="26"/>
      <c r="AE20" s="26"/>
      <c r="AF20" s="26"/>
      <c r="AG20" s="26"/>
      <c r="AH20" s="26"/>
      <c r="AI20" s="26"/>
      <c r="AJ20" s="26"/>
      <c r="AK20" s="26"/>
      <c r="AL20" s="26"/>
      <c r="AM20" s="72"/>
      <c r="AN20" s="31"/>
      <c r="AO20" s="26"/>
      <c r="BA20" s="25"/>
    </row>
    <row r="21" spans="1:69" ht="13.5" customHeight="1" thickTop="1">
      <c r="A21" s="3615"/>
      <c r="B21" s="3615"/>
      <c r="C21" s="26"/>
      <c r="E21" s="34"/>
      <c r="F21" s="29"/>
      <c r="G21" s="32"/>
      <c r="H21" s="26"/>
      <c r="I21" s="31"/>
      <c r="J21" s="26"/>
      <c r="K21" s="72"/>
      <c r="L21" s="72"/>
      <c r="M21" s="72"/>
      <c r="N21" s="72"/>
      <c r="O21" s="96"/>
      <c r="P21" s="31"/>
      <c r="Q21" s="26"/>
      <c r="R21" s="26"/>
      <c r="S21" s="26"/>
      <c r="T21" s="26"/>
      <c r="U21" s="26"/>
      <c r="V21" s="26"/>
      <c r="W21" s="26"/>
      <c r="X21" s="72"/>
      <c r="Y21" s="31"/>
      <c r="Z21" s="26"/>
      <c r="AA21" s="26"/>
      <c r="AB21" s="26"/>
      <c r="AC21" s="26"/>
      <c r="AD21" s="26"/>
      <c r="AE21" s="26"/>
      <c r="AF21" s="26"/>
      <c r="AG21" s="26"/>
      <c r="AH21" s="26"/>
      <c r="AI21" s="26"/>
      <c r="AJ21" s="26"/>
      <c r="AK21" s="26"/>
      <c r="AL21" s="26"/>
      <c r="AM21" s="72"/>
      <c r="AN21" s="31"/>
      <c r="AO21" s="26"/>
      <c r="BA21" s="25"/>
    </row>
    <row r="22" spans="1:69" ht="13.5" customHeight="1" thickBot="1">
      <c r="B22" s="27"/>
      <c r="C22" s="27"/>
      <c r="D22" s="69"/>
      <c r="E22" s="37"/>
      <c r="F22" s="37"/>
      <c r="G22" s="3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row>
    <row r="23" spans="1:69" ht="13.5" customHeight="1" thickTop="1" thickBot="1">
      <c r="A23" s="89"/>
      <c r="B23" s="88" t="s">
        <v>1450</v>
      </c>
      <c r="C23" s="88"/>
      <c r="D23" s="1038" t="s">
        <v>157</v>
      </c>
      <c r="E23" s="404"/>
      <c r="F23" s="1038" t="s">
        <v>155</v>
      </c>
      <c r="G23" s="404"/>
      <c r="H23" s="404"/>
      <c r="I23" s="405"/>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35"/>
      <c r="AS23" s="35"/>
      <c r="AT23" s="35"/>
      <c r="AU23" s="35"/>
      <c r="AV23" s="35"/>
      <c r="AW23" s="35"/>
      <c r="AX23" s="35"/>
      <c r="AY23" s="35"/>
    </row>
    <row r="24" spans="1:69" ht="13.5" customHeight="1" thickTop="1">
      <c r="A24" s="99"/>
      <c r="B24" s="100"/>
      <c r="C24" s="100"/>
      <c r="D24" s="115"/>
      <c r="E24" s="1068"/>
      <c r="F24" s="115" t="s">
        <v>1802</v>
      </c>
      <c r="G24" s="1068"/>
      <c r="H24" s="416" t="s">
        <v>156</v>
      </c>
      <c r="I24" s="417"/>
      <c r="J24" s="82"/>
      <c r="K24" s="82"/>
      <c r="L24" s="82"/>
      <c r="M24" s="82"/>
      <c r="N24" s="82"/>
      <c r="O24" s="82"/>
      <c r="P24" s="82"/>
      <c r="Q24" s="82"/>
      <c r="R24" s="32"/>
      <c r="S24" s="72"/>
      <c r="T24" s="35"/>
      <c r="U24" s="72"/>
      <c r="V24" s="72"/>
      <c r="W24" s="72"/>
      <c r="X24" s="72"/>
      <c r="Y24" s="72"/>
      <c r="Z24" s="72"/>
      <c r="AA24" s="72"/>
      <c r="AB24" s="72"/>
      <c r="AC24" s="72"/>
      <c r="AD24" s="72"/>
      <c r="AE24" s="72"/>
      <c r="AF24" s="72"/>
      <c r="AG24" s="72"/>
      <c r="AH24" s="35"/>
      <c r="AI24" s="72"/>
      <c r="AJ24" s="35"/>
      <c r="AK24" s="72"/>
      <c r="AL24" s="72"/>
      <c r="AM24" s="72"/>
      <c r="AN24" s="72"/>
      <c r="AO24" s="72"/>
      <c r="AP24" s="72"/>
      <c r="AQ24" s="72"/>
      <c r="AR24" s="72"/>
      <c r="AS24" s="72"/>
      <c r="AT24" s="72"/>
      <c r="AU24" s="72"/>
      <c r="AV24" s="72"/>
      <c r="AW24" s="72"/>
      <c r="AX24" s="35"/>
      <c r="AY24" s="72"/>
    </row>
    <row r="25" spans="1:69" s="27" customFormat="1" ht="13.5" customHeight="1">
      <c r="A25" s="104"/>
      <c r="B25" s="105"/>
      <c r="C25" s="105"/>
      <c r="D25" s="116"/>
      <c r="E25" s="4"/>
      <c r="F25" s="116"/>
      <c r="G25" s="4"/>
      <c r="H25" s="3"/>
      <c r="I25" s="4"/>
      <c r="J25" s="442"/>
      <c r="K25" s="442"/>
      <c r="L25" s="442"/>
      <c r="M25" s="1636"/>
      <c r="N25" s="442"/>
      <c r="O25" s="442"/>
      <c r="P25" s="442"/>
      <c r="Q25" s="442"/>
      <c r="R25" s="442"/>
      <c r="S25" s="442"/>
      <c r="T25" s="442"/>
      <c r="U25" s="442"/>
      <c r="V25" s="442"/>
      <c r="W25" s="442"/>
      <c r="X25" s="442"/>
      <c r="Y25" s="442"/>
      <c r="Z25" s="442"/>
      <c r="AA25" s="442"/>
      <c r="AB25" s="442"/>
      <c r="AC25" s="1636"/>
      <c r="AD25" s="442"/>
      <c r="AE25" s="442"/>
      <c r="AF25" s="442"/>
      <c r="AG25" s="442"/>
      <c r="AH25" s="442"/>
      <c r="AI25" s="442"/>
      <c r="AJ25" s="442"/>
      <c r="AK25" s="442"/>
      <c r="AL25" s="442"/>
      <c r="AM25" s="442"/>
      <c r="AN25" s="442"/>
      <c r="AO25" s="442"/>
      <c r="AP25" s="442"/>
      <c r="AQ25" s="442"/>
      <c r="AR25" s="442"/>
      <c r="AS25" s="1636"/>
      <c r="AT25" s="442"/>
      <c r="AU25" s="442"/>
      <c r="AV25" s="442"/>
      <c r="AW25" s="442"/>
      <c r="AX25" s="442"/>
      <c r="AY25" s="442"/>
      <c r="BA25" s="3663"/>
      <c r="BB25" s="3663"/>
      <c r="BC25" s="3663"/>
      <c r="BD25" s="3663"/>
      <c r="BE25" s="3663"/>
      <c r="BF25" s="3663"/>
      <c r="BG25" s="3663"/>
      <c r="BH25" s="3663"/>
      <c r="BI25" s="3663"/>
      <c r="BJ25" s="3663"/>
      <c r="BK25" s="3663"/>
      <c r="BL25" s="3663"/>
      <c r="BM25" s="3663"/>
      <c r="BN25" s="3663"/>
      <c r="BO25" s="3663"/>
      <c r="BP25" s="3663"/>
      <c r="BQ25" s="3663"/>
    </row>
    <row r="26" spans="1:69" s="27" customFormat="1" ht="13.5" customHeight="1" thickBot="1">
      <c r="A26" s="464"/>
      <c r="B26" s="659"/>
      <c r="C26" s="659"/>
      <c r="D26" s="1637"/>
      <c r="E26" s="407"/>
      <c r="F26" s="1637" t="s">
        <v>1441</v>
      </c>
      <c r="G26" s="407" t="s">
        <v>256</v>
      </c>
      <c r="H26" s="408" t="s">
        <v>1441</v>
      </c>
      <c r="I26" s="407" t="s">
        <v>256</v>
      </c>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442"/>
      <c r="AK26" s="442"/>
      <c r="AL26" s="442"/>
      <c r="AM26" s="442"/>
      <c r="AN26" s="442"/>
      <c r="AO26" s="442"/>
      <c r="AP26" s="442"/>
      <c r="AQ26" s="442"/>
      <c r="AR26" s="442"/>
      <c r="AS26" s="442"/>
      <c r="AT26" s="442"/>
      <c r="AU26" s="442"/>
      <c r="AV26" s="442"/>
      <c r="AW26" s="442"/>
      <c r="AX26" s="442"/>
      <c r="AY26" s="442"/>
      <c r="BA26" s="68"/>
      <c r="BB26" s="68"/>
      <c r="BC26" s="68"/>
      <c r="BD26" s="68"/>
      <c r="BE26" s="68"/>
      <c r="BF26" s="68"/>
      <c r="BG26" s="68"/>
      <c r="BH26" s="68"/>
      <c r="BI26" s="68"/>
      <c r="BJ26" s="68"/>
      <c r="BK26" s="68"/>
      <c r="BL26" s="68"/>
      <c r="BM26" s="68"/>
      <c r="BN26" s="68"/>
      <c r="BO26" s="68"/>
      <c r="BP26" s="68"/>
      <c r="BQ26" s="68"/>
    </row>
    <row r="27" spans="1:69" ht="13.5" customHeight="1" thickTop="1">
      <c r="A27" s="90"/>
      <c r="B27" s="711">
        <f>B14</f>
        <v>2000</v>
      </c>
      <c r="C27" s="32"/>
      <c r="D27" s="117"/>
      <c r="E27" s="1257">
        <f>$C$15</f>
        <v>1.19</v>
      </c>
      <c r="F27" s="932">
        <f>1</f>
        <v>1</v>
      </c>
      <c r="G27" s="74">
        <f>1/$E$27</f>
        <v>0.84033613445378152</v>
      </c>
      <c r="H27" s="73">
        <f>$E$27</f>
        <v>1.19</v>
      </c>
      <c r="I27" s="431">
        <f>1</f>
        <v>1</v>
      </c>
      <c r="J27" s="51"/>
      <c r="K27" s="51"/>
      <c r="L27" s="51"/>
      <c r="M27" s="51"/>
      <c r="N27" s="51"/>
      <c r="O27" s="51"/>
      <c r="P27" s="51"/>
      <c r="Q27" s="51"/>
      <c r="R27" s="51"/>
      <c r="S27" s="51"/>
      <c r="T27" s="51"/>
      <c r="U27" s="51"/>
      <c r="V27" s="51"/>
      <c r="W27" s="51"/>
      <c r="X27" s="51"/>
      <c r="Y27" s="51"/>
      <c r="Z27" s="51"/>
      <c r="AA27" s="51"/>
      <c r="AB27" s="51"/>
      <c r="AC27" s="51"/>
      <c r="AD27" s="51"/>
      <c r="AE27" s="51"/>
      <c r="AF27" s="51"/>
      <c r="AG27" s="51"/>
      <c r="AH27" s="51"/>
      <c r="AI27" s="51"/>
      <c r="AJ27" s="51"/>
      <c r="AK27" s="51"/>
      <c r="AL27" s="51"/>
      <c r="AM27" s="51"/>
      <c r="AN27" s="51"/>
      <c r="AO27" s="51"/>
      <c r="AP27" s="51"/>
      <c r="AQ27" s="51"/>
      <c r="AR27" s="51"/>
      <c r="AS27" s="51"/>
      <c r="AT27" s="51"/>
      <c r="AU27" s="51"/>
      <c r="AV27" s="51"/>
      <c r="AW27" s="51"/>
      <c r="AX27" s="51"/>
      <c r="AY27" s="51"/>
    </row>
    <row r="28" spans="1:69" ht="13.5" customHeight="1">
      <c r="A28" s="90"/>
      <c r="B28" s="82">
        <f t="shared" ref="B28:B59" si="0">B27+1</f>
        <v>2001</v>
      </c>
      <c r="C28" s="82"/>
      <c r="D28" s="117"/>
      <c r="E28" s="1257">
        <f t="shared" ref="E28:E91" si="1">$C$15</f>
        <v>1.19</v>
      </c>
      <c r="F28" s="932">
        <f>1</f>
        <v>1</v>
      </c>
      <c r="G28" s="74">
        <f t="shared" ref="G28:G91" si="2">1/$E$27</f>
        <v>0.84033613445378152</v>
      </c>
      <c r="H28" s="73">
        <f t="shared" ref="H28:H91" si="3">$E$27</f>
        <v>1.19</v>
      </c>
      <c r="I28" s="431">
        <f>1</f>
        <v>1</v>
      </c>
      <c r="J28" s="51"/>
      <c r="K28" s="51"/>
      <c r="L28" s="51"/>
      <c r="M28" s="51"/>
      <c r="N28" s="51"/>
      <c r="O28" s="51"/>
      <c r="P28" s="51"/>
      <c r="Q28" s="51"/>
      <c r="R28" s="51"/>
      <c r="S28" s="51"/>
      <c r="T28" s="51"/>
      <c r="U28" s="51"/>
      <c r="V28" s="51"/>
      <c r="W28" s="51"/>
      <c r="X28" s="51"/>
      <c r="Y28" s="51"/>
      <c r="Z28" s="51"/>
      <c r="AA28" s="51"/>
      <c r="AB28" s="51"/>
      <c r="AC28" s="51"/>
      <c r="AD28" s="51"/>
      <c r="AE28" s="51"/>
      <c r="AF28" s="51"/>
      <c r="AG28" s="51"/>
      <c r="AH28" s="51"/>
      <c r="AI28" s="51"/>
      <c r="AJ28" s="51"/>
      <c r="AK28" s="51"/>
      <c r="AL28" s="51"/>
      <c r="AM28" s="51"/>
      <c r="AN28" s="51"/>
      <c r="AO28" s="51"/>
      <c r="AP28" s="51"/>
      <c r="AQ28" s="51"/>
      <c r="AR28" s="51"/>
      <c r="AS28" s="51"/>
      <c r="AT28" s="51"/>
      <c r="AU28" s="51"/>
      <c r="AV28" s="51"/>
      <c r="AW28" s="51"/>
      <c r="AX28" s="51"/>
      <c r="AY28" s="51"/>
    </row>
    <row r="29" spans="1:69" ht="13.5" customHeight="1">
      <c r="A29" s="90"/>
      <c r="B29" s="82">
        <f t="shared" si="0"/>
        <v>2002</v>
      </c>
      <c r="C29" s="82"/>
      <c r="D29" s="117"/>
      <c r="E29" s="1257">
        <f t="shared" si="1"/>
        <v>1.19</v>
      </c>
      <c r="F29" s="932">
        <f>1</f>
        <v>1</v>
      </c>
      <c r="G29" s="74">
        <f t="shared" si="2"/>
        <v>0.84033613445378152</v>
      </c>
      <c r="H29" s="73">
        <f t="shared" si="3"/>
        <v>1.19</v>
      </c>
      <c r="I29" s="431">
        <f>1</f>
        <v>1</v>
      </c>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row>
    <row r="30" spans="1:69" ht="13.5" customHeight="1">
      <c r="A30" s="90"/>
      <c r="B30" s="82">
        <f t="shared" si="0"/>
        <v>2003</v>
      </c>
      <c r="C30" s="82"/>
      <c r="D30" s="117"/>
      <c r="E30" s="1257">
        <f t="shared" si="1"/>
        <v>1.19</v>
      </c>
      <c r="F30" s="932">
        <f>1</f>
        <v>1</v>
      </c>
      <c r="G30" s="74">
        <f t="shared" si="2"/>
        <v>0.84033613445378152</v>
      </c>
      <c r="H30" s="73">
        <f t="shared" si="3"/>
        <v>1.19</v>
      </c>
      <c r="I30" s="431">
        <f>1</f>
        <v>1</v>
      </c>
      <c r="J30" s="51"/>
      <c r="K30" s="51"/>
      <c r="L30" s="51"/>
      <c r="M30" s="51"/>
      <c r="N30" s="51"/>
      <c r="O30" s="51"/>
      <c r="P30" s="51"/>
      <c r="Q30" s="51"/>
      <c r="R30" s="51"/>
      <c r="S30" s="51"/>
      <c r="T30" s="51"/>
      <c r="U30" s="51"/>
      <c r="V30" s="51"/>
      <c r="W30" s="51"/>
      <c r="X30" s="51"/>
      <c r="Y30" s="51"/>
      <c r="Z30" s="51"/>
      <c r="AA30" s="51"/>
      <c r="AB30" s="51"/>
      <c r="AC30" s="51"/>
      <c r="AD30" s="51"/>
      <c r="AE30" s="51"/>
      <c r="AF30" s="51"/>
      <c r="AG30" s="51"/>
      <c r="AH30" s="51"/>
      <c r="AI30" s="51"/>
      <c r="AJ30" s="51"/>
      <c r="AK30" s="51"/>
      <c r="AL30" s="51"/>
      <c r="AM30" s="51"/>
      <c r="AN30" s="51"/>
      <c r="AO30" s="51"/>
      <c r="AP30" s="51"/>
      <c r="AQ30" s="51"/>
      <c r="AR30" s="51"/>
      <c r="AS30" s="51"/>
      <c r="AT30" s="51"/>
      <c r="AU30" s="51"/>
      <c r="AV30" s="51"/>
      <c r="AW30" s="51"/>
      <c r="AX30" s="51"/>
      <c r="AY30" s="51"/>
      <c r="BA30" s="3661"/>
      <c r="BB30" s="3662"/>
      <c r="BC30" s="3662"/>
      <c r="BD30" s="3662"/>
      <c r="BE30" s="3662"/>
      <c r="BF30" s="3662"/>
      <c r="BG30" s="3662"/>
      <c r="BH30" s="3662"/>
      <c r="BI30" s="3662"/>
      <c r="BJ30" s="3662"/>
      <c r="BK30" s="3662"/>
      <c r="BL30" s="3662"/>
      <c r="BM30" s="3662"/>
      <c r="BN30" s="3662"/>
      <c r="BO30" s="3662"/>
      <c r="BP30" s="3662"/>
      <c r="BQ30" s="3662"/>
    </row>
    <row r="31" spans="1:69" ht="13.5" customHeight="1">
      <c r="A31" s="90"/>
      <c r="B31" s="82">
        <f t="shared" si="0"/>
        <v>2004</v>
      </c>
      <c r="C31" s="82"/>
      <c r="D31" s="117"/>
      <c r="E31" s="1257">
        <f t="shared" si="1"/>
        <v>1.19</v>
      </c>
      <c r="F31" s="932">
        <f>1</f>
        <v>1</v>
      </c>
      <c r="G31" s="74">
        <f t="shared" si="2"/>
        <v>0.84033613445378152</v>
      </c>
      <c r="H31" s="73">
        <f t="shared" si="3"/>
        <v>1.19</v>
      </c>
      <c r="I31" s="431">
        <f>1</f>
        <v>1</v>
      </c>
      <c r="J31" s="51"/>
      <c r="K31" s="5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BA31" s="3662"/>
      <c r="BB31" s="3662"/>
      <c r="BC31" s="3662"/>
      <c r="BD31" s="3662"/>
      <c r="BE31" s="3662"/>
      <c r="BF31" s="3662"/>
      <c r="BG31" s="3662"/>
      <c r="BH31" s="3662"/>
      <c r="BI31" s="3662"/>
      <c r="BJ31" s="3662"/>
      <c r="BK31" s="3662"/>
      <c r="BL31" s="3662"/>
      <c r="BM31" s="3662"/>
      <c r="BN31" s="3662"/>
      <c r="BO31" s="3662"/>
      <c r="BP31" s="3662"/>
      <c r="BQ31" s="3662"/>
    </row>
    <row r="32" spans="1:69" ht="13.5" customHeight="1">
      <c r="A32" s="90"/>
      <c r="B32" s="82">
        <f t="shared" si="0"/>
        <v>2005</v>
      </c>
      <c r="C32" s="82"/>
      <c r="D32" s="117"/>
      <c r="E32" s="1257">
        <f t="shared" si="1"/>
        <v>1.19</v>
      </c>
      <c r="F32" s="932">
        <f>1</f>
        <v>1</v>
      </c>
      <c r="G32" s="74">
        <f t="shared" si="2"/>
        <v>0.84033613445378152</v>
      </c>
      <c r="H32" s="73">
        <f t="shared" si="3"/>
        <v>1.19</v>
      </c>
      <c r="I32" s="431">
        <f>1</f>
        <v>1</v>
      </c>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51"/>
      <c r="AK32" s="51"/>
      <c r="AL32" s="51"/>
      <c r="AM32" s="51"/>
      <c r="AN32" s="51"/>
      <c r="AO32" s="51"/>
      <c r="AP32" s="51"/>
      <c r="AQ32" s="51"/>
      <c r="AR32" s="51"/>
      <c r="AS32" s="51"/>
      <c r="AT32" s="51"/>
      <c r="AU32" s="51"/>
      <c r="AV32" s="51"/>
      <c r="AW32" s="51"/>
      <c r="AX32" s="51"/>
      <c r="AY32" s="51"/>
    </row>
    <row r="33" spans="1:53" ht="13.5" customHeight="1">
      <c r="A33" s="90"/>
      <c r="B33" s="82">
        <f t="shared" si="0"/>
        <v>2006</v>
      </c>
      <c r="C33" s="82"/>
      <c r="D33" s="117"/>
      <c r="E33" s="1257">
        <f t="shared" si="1"/>
        <v>1.19</v>
      </c>
      <c r="F33" s="932">
        <f>1</f>
        <v>1</v>
      </c>
      <c r="G33" s="74">
        <f t="shared" si="2"/>
        <v>0.84033613445378152</v>
      </c>
      <c r="H33" s="73">
        <f t="shared" si="3"/>
        <v>1.19</v>
      </c>
      <c r="I33" s="431">
        <f>1</f>
        <v>1</v>
      </c>
      <c r="J33" s="51"/>
      <c r="K33" s="5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row>
    <row r="34" spans="1:53" ht="13.5" customHeight="1">
      <c r="A34" s="90"/>
      <c r="B34" s="82">
        <f t="shared" si="0"/>
        <v>2007</v>
      </c>
      <c r="C34" s="82"/>
      <c r="D34" s="117"/>
      <c r="E34" s="1257">
        <f t="shared" si="1"/>
        <v>1.19</v>
      </c>
      <c r="F34" s="932">
        <f>1</f>
        <v>1</v>
      </c>
      <c r="G34" s="74">
        <f t="shared" si="2"/>
        <v>0.84033613445378152</v>
      </c>
      <c r="H34" s="73">
        <f t="shared" si="3"/>
        <v>1.19</v>
      </c>
      <c r="I34" s="431">
        <f>1</f>
        <v>1</v>
      </c>
      <c r="J34" s="51"/>
      <c r="K34" s="51"/>
      <c r="L34" s="51"/>
      <c r="M34" s="51"/>
      <c r="N34" s="51"/>
      <c r="O34" s="51"/>
      <c r="P34" s="51"/>
      <c r="Q34" s="51"/>
      <c r="R34" s="51"/>
      <c r="S34" s="51"/>
      <c r="T34" s="51"/>
      <c r="U34" s="51"/>
      <c r="V34" s="51"/>
      <c r="W34" s="51"/>
      <c r="X34" s="51"/>
      <c r="Y34" s="51"/>
      <c r="Z34" s="51"/>
      <c r="AA34" s="51"/>
      <c r="AB34" s="51"/>
      <c r="AC34" s="51"/>
      <c r="AD34" s="51"/>
      <c r="AE34" s="51"/>
      <c r="AF34" s="51"/>
      <c r="AG34" s="51"/>
      <c r="AH34" s="51"/>
      <c r="AI34" s="51"/>
      <c r="AJ34" s="51"/>
      <c r="AK34" s="51"/>
      <c r="AL34" s="51"/>
      <c r="AM34" s="51"/>
      <c r="AN34" s="51"/>
      <c r="AO34" s="51"/>
      <c r="AP34" s="51"/>
      <c r="AQ34" s="51"/>
      <c r="AR34" s="51"/>
      <c r="AS34" s="51"/>
      <c r="AT34" s="51"/>
      <c r="AU34" s="51"/>
      <c r="AV34" s="51"/>
      <c r="AW34" s="51"/>
      <c r="AX34" s="51"/>
      <c r="AY34" s="51"/>
    </row>
    <row r="35" spans="1:53" s="24" customFormat="1" ht="13.5" customHeight="1">
      <c r="A35" s="91"/>
      <c r="B35" s="82">
        <f t="shared" si="0"/>
        <v>2008</v>
      </c>
      <c r="C35" s="32"/>
      <c r="D35" s="117"/>
      <c r="E35" s="1257">
        <f t="shared" si="1"/>
        <v>1.19</v>
      </c>
      <c r="F35" s="932">
        <f>1</f>
        <v>1</v>
      </c>
      <c r="G35" s="74">
        <f t="shared" si="2"/>
        <v>0.84033613445378152</v>
      </c>
      <c r="H35" s="73">
        <f t="shared" si="3"/>
        <v>1.19</v>
      </c>
      <c r="I35" s="431">
        <f>1</f>
        <v>1</v>
      </c>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BA35" s="27"/>
    </row>
    <row r="36" spans="1:53" ht="13.5" customHeight="1">
      <c r="A36" s="90"/>
      <c r="B36" s="82">
        <f t="shared" si="0"/>
        <v>2009</v>
      </c>
      <c r="C36" s="82"/>
      <c r="D36" s="117"/>
      <c r="E36" s="1257">
        <f t="shared" si="1"/>
        <v>1.19</v>
      </c>
      <c r="F36" s="932">
        <f>1</f>
        <v>1</v>
      </c>
      <c r="G36" s="74">
        <f t="shared" si="2"/>
        <v>0.84033613445378152</v>
      </c>
      <c r="H36" s="73">
        <f t="shared" si="3"/>
        <v>1.19</v>
      </c>
      <c r="I36" s="431">
        <f>1</f>
        <v>1</v>
      </c>
      <c r="J36" s="51"/>
      <c r="K36" s="51"/>
      <c r="L36" s="51"/>
      <c r="M36" s="51"/>
      <c r="N36" s="51"/>
      <c r="O36" s="51"/>
      <c r="P36" s="51"/>
      <c r="Q36" s="51"/>
      <c r="R36" s="51"/>
      <c r="S36" s="51"/>
      <c r="T36" s="51"/>
      <c r="U36" s="51"/>
      <c r="V36" s="51"/>
      <c r="W36" s="51"/>
      <c r="X36" s="51"/>
      <c r="Y36" s="51"/>
      <c r="Z36" s="51"/>
      <c r="AA36" s="51"/>
      <c r="AB36" s="51"/>
      <c r="AC36" s="51"/>
      <c r="AD36" s="51"/>
      <c r="AE36" s="51"/>
      <c r="AF36" s="51"/>
      <c r="AG36" s="51"/>
      <c r="AH36" s="51"/>
      <c r="AI36" s="51"/>
      <c r="AJ36" s="51"/>
      <c r="AK36" s="51"/>
      <c r="AL36" s="51"/>
      <c r="AM36" s="51"/>
      <c r="AN36" s="51"/>
      <c r="AO36" s="51"/>
      <c r="AP36" s="51"/>
      <c r="AQ36" s="51"/>
      <c r="AR36" s="51"/>
      <c r="AS36" s="51"/>
      <c r="AT36" s="51"/>
      <c r="AU36" s="51"/>
      <c r="AV36" s="51"/>
      <c r="AW36" s="51"/>
      <c r="AX36" s="51"/>
      <c r="AY36" s="51"/>
    </row>
    <row r="37" spans="1:53" ht="13.5" customHeight="1">
      <c r="A37" s="90"/>
      <c r="B37" s="82">
        <f t="shared" si="0"/>
        <v>2010</v>
      </c>
      <c r="C37" s="82"/>
      <c r="D37" s="117"/>
      <c r="E37" s="1257">
        <f t="shared" si="1"/>
        <v>1.19</v>
      </c>
      <c r="F37" s="932">
        <f>1</f>
        <v>1</v>
      </c>
      <c r="G37" s="74">
        <f t="shared" si="2"/>
        <v>0.84033613445378152</v>
      </c>
      <c r="H37" s="73">
        <f t="shared" si="3"/>
        <v>1.19</v>
      </c>
      <c r="I37" s="431">
        <f>1</f>
        <v>1</v>
      </c>
      <c r="J37" s="51"/>
      <c r="K37" s="5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row>
    <row r="38" spans="1:53" ht="13.5" customHeight="1">
      <c r="A38" s="90"/>
      <c r="B38" s="82">
        <f t="shared" si="0"/>
        <v>2011</v>
      </c>
      <c r="C38" s="82"/>
      <c r="D38" s="117"/>
      <c r="E38" s="1257">
        <f t="shared" si="1"/>
        <v>1.19</v>
      </c>
      <c r="F38" s="932">
        <f>1</f>
        <v>1</v>
      </c>
      <c r="G38" s="74">
        <f t="shared" si="2"/>
        <v>0.84033613445378152</v>
      </c>
      <c r="H38" s="73">
        <f t="shared" si="3"/>
        <v>1.19</v>
      </c>
      <c r="I38" s="431">
        <f>1</f>
        <v>1</v>
      </c>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51"/>
      <c r="AK38" s="51"/>
      <c r="AL38" s="51"/>
      <c r="AM38" s="51"/>
      <c r="AN38" s="51"/>
      <c r="AO38" s="51"/>
      <c r="AP38" s="51"/>
      <c r="AQ38" s="51"/>
      <c r="AR38" s="51"/>
      <c r="AS38" s="51"/>
      <c r="AT38" s="51"/>
      <c r="AU38" s="51"/>
      <c r="AV38" s="51"/>
      <c r="AW38" s="51"/>
      <c r="AX38" s="51"/>
      <c r="AY38" s="51"/>
      <c r="BA38" s="26"/>
    </row>
    <row r="39" spans="1:53" ht="13.5" customHeight="1">
      <c r="A39" s="90"/>
      <c r="B39" s="82">
        <f t="shared" si="0"/>
        <v>2012</v>
      </c>
      <c r="C39" s="82"/>
      <c r="D39" s="117"/>
      <c r="E39" s="1257">
        <f t="shared" si="1"/>
        <v>1.19</v>
      </c>
      <c r="F39" s="932">
        <f>1</f>
        <v>1</v>
      </c>
      <c r="G39" s="74">
        <f t="shared" si="2"/>
        <v>0.84033613445378152</v>
      </c>
      <c r="H39" s="73">
        <f t="shared" si="3"/>
        <v>1.19</v>
      </c>
      <c r="I39" s="431">
        <f>1</f>
        <v>1</v>
      </c>
      <c r="J39" s="51"/>
      <c r="K39" s="5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BA39" s="26"/>
    </row>
    <row r="40" spans="1:53" ht="13.5" customHeight="1">
      <c r="A40" s="90"/>
      <c r="B40" s="82">
        <f t="shared" si="0"/>
        <v>2013</v>
      </c>
      <c r="C40" s="82"/>
      <c r="D40" s="117"/>
      <c r="E40" s="1257">
        <f t="shared" si="1"/>
        <v>1.19</v>
      </c>
      <c r="F40" s="932">
        <f>1</f>
        <v>1</v>
      </c>
      <c r="G40" s="74">
        <f t="shared" si="2"/>
        <v>0.84033613445378152</v>
      </c>
      <c r="H40" s="73">
        <f t="shared" si="3"/>
        <v>1.19</v>
      </c>
      <c r="I40" s="431">
        <f>1</f>
        <v>1</v>
      </c>
      <c r="J40" s="51"/>
      <c r="K40" s="51"/>
      <c r="L40" s="51"/>
      <c r="M40" s="51"/>
      <c r="N40" s="51"/>
      <c r="O40" s="51"/>
      <c r="P40" s="51"/>
      <c r="Q40" s="51"/>
      <c r="R40" s="51"/>
      <c r="S40" s="51"/>
      <c r="T40" s="51"/>
      <c r="U40" s="51"/>
      <c r="V40" s="51"/>
      <c r="W40" s="51"/>
      <c r="X40" s="51"/>
      <c r="Y40" s="51"/>
      <c r="Z40" s="51"/>
      <c r="AA40" s="51"/>
      <c r="AB40" s="51"/>
      <c r="AC40" s="51"/>
      <c r="AD40" s="51"/>
      <c r="AE40" s="51"/>
      <c r="AF40" s="51"/>
      <c r="AG40" s="51"/>
      <c r="AH40" s="51"/>
      <c r="AI40" s="51"/>
      <c r="AJ40" s="51"/>
      <c r="AK40" s="51"/>
      <c r="AL40" s="51"/>
      <c r="AM40" s="51"/>
      <c r="AN40" s="51"/>
      <c r="AO40" s="51"/>
      <c r="AP40" s="51"/>
      <c r="AQ40" s="51"/>
      <c r="AR40" s="51"/>
      <c r="AS40" s="51"/>
      <c r="AT40" s="51"/>
      <c r="AU40" s="51"/>
      <c r="AV40" s="51"/>
      <c r="AW40" s="51"/>
      <c r="AX40" s="51"/>
      <c r="AY40" s="51"/>
    </row>
    <row r="41" spans="1:53" ht="13.5" customHeight="1">
      <c r="A41" s="90"/>
      <c r="B41" s="82">
        <f t="shared" si="0"/>
        <v>2014</v>
      </c>
      <c r="C41" s="82"/>
      <c r="D41" s="117"/>
      <c r="E41" s="1257">
        <f t="shared" si="1"/>
        <v>1.19</v>
      </c>
      <c r="F41" s="932">
        <f>1</f>
        <v>1</v>
      </c>
      <c r="G41" s="74">
        <f t="shared" si="2"/>
        <v>0.84033613445378152</v>
      </c>
      <c r="H41" s="73">
        <f t="shared" si="3"/>
        <v>1.19</v>
      </c>
      <c r="I41" s="431">
        <f>1</f>
        <v>1</v>
      </c>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row>
    <row r="42" spans="1:53" ht="13.5" customHeight="1">
      <c r="A42" s="90"/>
      <c r="B42" s="82">
        <f t="shared" si="0"/>
        <v>2015</v>
      </c>
      <c r="C42" s="82"/>
      <c r="D42" s="117"/>
      <c r="E42" s="1257">
        <f t="shared" si="1"/>
        <v>1.19</v>
      </c>
      <c r="F42" s="932">
        <f>1</f>
        <v>1</v>
      </c>
      <c r="G42" s="74">
        <f t="shared" si="2"/>
        <v>0.84033613445378152</v>
      </c>
      <c r="H42" s="73">
        <f t="shared" si="3"/>
        <v>1.19</v>
      </c>
      <c r="I42" s="431">
        <f>1</f>
        <v>1</v>
      </c>
      <c r="J42" s="51"/>
      <c r="K42" s="51"/>
      <c r="L42" s="51"/>
      <c r="M42" s="51"/>
      <c r="N42" s="51"/>
      <c r="O42" s="51"/>
      <c r="P42" s="51"/>
      <c r="Q42" s="51"/>
      <c r="R42" s="51"/>
      <c r="S42" s="51"/>
      <c r="T42" s="51"/>
      <c r="U42" s="51"/>
      <c r="V42" s="51"/>
      <c r="W42" s="51"/>
      <c r="X42" s="51"/>
      <c r="Y42" s="51"/>
      <c r="Z42" s="51"/>
      <c r="AA42" s="51"/>
      <c r="AB42" s="51"/>
      <c r="AC42" s="51"/>
      <c r="AD42" s="51"/>
      <c r="AE42" s="51"/>
      <c r="AF42" s="51"/>
      <c r="AG42" s="51"/>
      <c r="AH42" s="51"/>
      <c r="AI42" s="51"/>
      <c r="AJ42" s="51"/>
      <c r="AK42" s="51"/>
      <c r="AL42" s="51"/>
      <c r="AM42" s="51"/>
      <c r="AN42" s="51"/>
      <c r="AO42" s="51"/>
      <c r="AP42" s="51"/>
      <c r="AQ42" s="51"/>
      <c r="AR42" s="51"/>
      <c r="AS42" s="51"/>
      <c r="AT42" s="51"/>
      <c r="AU42" s="51"/>
      <c r="AV42" s="51"/>
      <c r="AW42" s="51"/>
      <c r="AX42" s="51"/>
      <c r="AY42" s="51"/>
    </row>
    <row r="43" spans="1:53" ht="13.5" customHeight="1">
      <c r="A43" s="90"/>
      <c r="B43" s="82">
        <f t="shared" si="0"/>
        <v>2016</v>
      </c>
      <c r="C43" s="82"/>
      <c r="D43" s="117"/>
      <c r="E43" s="1257">
        <f t="shared" si="1"/>
        <v>1.19</v>
      </c>
      <c r="F43" s="932">
        <f>1</f>
        <v>1</v>
      </c>
      <c r="G43" s="74">
        <f t="shared" si="2"/>
        <v>0.84033613445378152</v>
      </c>
      <c r="H43" s="73">
        <f t="shared" si="3"/>
        <v>1.19</v>
      </c>
      <c r="I43" s="431">
        <f>1</f>
        <v>1</v>
      </c>
      <c r="J43" s="51"/>
      <c r="K43" s="51"/>
      <c r="L43" s="51"/>
      <c r="M43" s="51"/>
      <c r="N43" s="51"/>
      <c r="O43" s="51"/>
      <c r="P43" s="51"/>
      <c r="Q43" s="51"/>
      <c r="R43" s="51"/>
      <c r="S43" s="51"/>
      <c r="T43" s="51"/>
      <c r="U43" s="51"/>
      <c r="V43" s="51"/>
      <c r="W43" s="51"/>
      <c r="X43" s="51"/>
      <c r="Y43" s="51"/>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row>
    <row r="44" spans="1:53" ht="13.5" customHeight="1">
      <c r="A44" s="90"/>
      <c r="B44" s="82">
        <f t="shared" si="0"/>
        <v>2017</v>
      </c>
      <c r="C44" s="82"/>
      <c r="D44" s="117"/>
      <c r="E44" s="1257">
        <f t="shared" si="1"/>
        <v>1.19</v>
      </c>
      <c r="F44" s="932">
        <f>1</f>
        <v>1</v>
      </c>
      <c r="G44" s="74">
        <f t="shared" si="2"/>
        <v>0.84033613445378152</v>
      </c>
      <c r="H44" s="73">
        <f t="shared" si="3"/>
        <v>1.19</v>
      </c>
      <c r="I44" s="431">
        <f>1</f>
        <v>1</v>
      </c>
      <c r="J44" s="51"/>
      <c r="K44" s="51"/>
      <c r="L44" s="51"/>
      <c r="M44" s="51"/>
      <c r="N44" s="51"/>
      <c r="O44" s="51"/>
      <c r="P44" s="51"/>
      <c r="Q44" s="51"/>
      <c r="R44" s="51"/>
      <c r="S44" s="51"/>
      <c r="T44" s="51"/>
      <c r="U44" s="51"/>
      <c r="V44" s="51"/>
      <c r="W44" s="51"/>
      <c r="X44" s="51"/>
      <c r="Y44" s="51"/>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row>
    <row r="45" spans="1:53" ht="13.5" customHeight="1">
      <c r="A45" s="90"/>
      <c r="B45" s="82">
        <f t="shared" si="0"/>
        <v>2018</v>
      </c>
      <c r="C45" s="82"/>
      <c r="D45" s="117"/>
      <c r="E45" s="1257">
        <f t="shared" si="1"/>
        <v>1.19</v>
      </c>
      <c r="F45" s="932">
        <f>1</f>
        <v>1</v>
      </c>
      <c r="G45" s="74">
        <f t="shared" si="2"/>
        <v>0.84033613445378152</v>
      </c>
      <c r="H45" s="73">
        <f t="shared" si="3"/>
        <v>1.19</v>
      </c>
      <c r="I45" s="431">
        <f>1</f>
        <v>1</v>
      </c>
      <c r="J45" s="51"/>
      <c r="K45" s="51"/>
      <c r="L45" s="51"/>
      <c r="M45" s="51"/>
      <c r="N45" s="51"/>
      <c r="O45" s="51"/>
      <c r="P45" s="51"/>
      <c r="Q45" s="51"/>
      <c r="R45" s="51"/>
      <c r="S45" s="51"/>
      <c r="T45" s="51"/>
      <c r="U45" s="51"/>
      <c r="V45" s="51"/>
      <c r="W45" s="51"/>
      <c r="X45" s="51"/>
      <c r="Y45" s="51"/>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row>
    <row r="46" spans="1:53" ht="13.5" customHeight="1">
      <c r="A46" s="90"/>
      <c r="B46" s="82">
        <f t="shared" si="0"/>
        <v>2019</v>
      </c>
      <c r="C46" s="82"/>
      <c r="D46" s="117"/>
      <c r="E46" s="1257">
        <f t="shared" si="1"/>
        <v>1.19</v>
      </c>
      <c r="F46" s="932">
        <f>1</f>
        <v>1</v>
      </c>
      <c r="G46" s="74">
        <f t="shared" si="2"/>
        <v>0.84033613445378152</v>
      </c>
      <c r="H46" s="73">
        <f t="shared" si="3"/>
        <v>1.19</v>
      </c>
      <c r="I46" s="431">
        <f>1</f>
        <v>1</v>
      </c>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51"/>
      <c r="AI46" s="51"/>
      <c r="AJ46" s="51"/>
      <c r="AK46" s="51"/>
      <c r="AL46" s="51"/>
      <c r="AM46" s="51"/>
      <c r="AN46" s="51"/>
      <c r="AO46" s="51"/>
      <c r="AP46" s="51"/>
      <c r="AQ46" s="51"/>
      <c r="AR46" s="51"/>
      <c r="AS46" s="51"/>
      <c r="AT46" s="51"/>
      <c r="AU46" s="51"/>
      <c r="AV46" s="51"/>
      <c r="AW46" s="51"/>
      <c r="AX46" s="51"/>
      <c r="AY46" s="51"/>
    </row>
    <row r="47" spans="1:53" ht="13.5" customHeight="1">
      <c r="A47" s="90"/>
      <c r="B47" s="82">
        <f t="shared" si="0"/>
        <v>2020</v>
      </c>
      <c r="C47" s="82"/>
      <c r="D47" s="117"/>
      <c r="E47" s="1257">
        <f t="shared" si="1"/>
        <v>1.19</v>
      </c>
      <c r="F47" s="932">
        <f>1</f>
        <v>1</v>
      </c>
      <c r="G47" s="74">
        <f t="shared" si="2"/>
        <v>0.84033613445378152</v>
      </c>
      <c r="H47" s="73">
        <f t="shared" si="3"/>
        <v>1.19</v>
      </c>
      <c r="I47" s="431">
        <f>1</f>
        <v>1</v>
      </c>
      <c r="J47" s="51"/>
      <c r="K47" s="51"/>
      <c r="L47" s="51"/>
      <c r="M47" s="51"/>
      <c r="N47" s="51"/>
      <c r="O47" s="51"/>
      <c r="P47" s="51"/>
      <c r="Q47" s="51"/>
      <c r="R47" s="51"/>
      <c r="S47" s="51"/>
      <c r="T47" s="51"/>
      <c r="U47" s="51"/>
      <c r="V47" s="51"/>
      <c r="W47" s="51"/>
      <c r="X47" s="51"/>
      <c r="Y47" s="51"/>
      <c r="Z47" s="51"/>
      <c r="AA47" s="51"/>
      <c r="AB47" s="51"/>
      <c r="AC47" s="51"/>
      <c r="AD47" s="51"/>
      <c r="AE47" s="51"/>
      <c r="AF47" s="51"/>
      <c r="AG47" s="51"/>
      <c r="AH47" s="51"/>
      <c r="AI47" s="51"/>
      <c r="AJ47" s="51"/>
      <c r="AK47" s="51"/>
      <c r="AL47" s="51"/>
      <c r="AM47" s="51"/>
      <c r="AN47" s="51"/>
      <c r="AO47" s="51"/>
      <c r="AP47" s="51"/>
      <c r="AQ47" s="51"/>
      <c r="AR47" s="51"/>
      <c r="AS47" s="51"/>
      <c r="AT47" s="51"/>
      <c r="AU47" s="51"/>
      <c r="AV47" s="51"/>
      <c r="AW47" s="51"/>
      <c r="AX47" s="51"/>
      <c r="AY47" s="51"/>
    </row>
    <row r="48" spans="1:53" ht="13.5" customHeight="1">
      <c r="A48" s="90"/>
      <c r="B48" s="82">
        <f t="shared" si="0"/>
        <v>2021</v>
      </c>
      <c r="C48" s="82"/>
      <c r="D48" s="117"/>
      <c r="E48" s="1257">
        <f t="shared" si="1"/>
        <v>1.19</v>
      </c>
      <c r="F48" s="932">
        <f>1</f>
        <v>1</v>
      </c>
      <c r="G48" s="74">
        <f t="shared" si="2"/>
        <v>0.84033613445378152</v>
      </c>
      <c r="H48" s="73">
        <f t="shared" si="3"/>
        <v>1.19</v>
      </c>
      <c r="I48" s="431">
        <f>1</f>
        <v>1</v>
      </c>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row>
    <row r="49" spans="1:51" ht="13.5" customHeight="1">
      <c r="A49" s="90"/>
      <c r="B49" s="82">
        <f t="shared" si="0"/>
        <v>2022</v>
      </c>
      <c r="C49" s="82"/>
      <c r="D49" s="117"/>
      <c r="E49" s="1257">
        <f t="shared" si="1"/>
        <v>1.19</v>
      </c>
      <c r="F49" s="932">
        <f>1</f>
        <v>1</v>
      </c>
      <c r="G49" s="74">
        <f t="shared" si="2"/>
        <v>0.84033613445378152</v>
      </c>
      <c r="H49" s="73">
        <f t="shared" si="3"/>
        <v>1.19</v>
      </c>
      <c r="I49" s="431">
        <f>1</f>
        <v>1</v>
      </c>
      <c r="J49" s="51"/>
      <c r="K49" s="51"/>
      <c r="L49" s="51"/>
      <c r="M49" s="51"/>
      <c r="N49" s="51"/>
      <c r="O49" s="51"/>
      <c r="P49" s="51"/>
      <c r="Q49" s="51"/>
      <c r="R49" s="51"/>
      <c r="S49" s="51"/>
      <c r="T49" s="51"/>
      <c r="U49" s="51"/>
      <c r="V49" s="51"/>
      <c r="W49" s="51"/>
      <c r="X49" s="51"/>
      <c r="Y49" s="51"/>
      <c r="Z49" s="51"/>
      <c r="AA49" s="51"/>
      <c r="AB49" s="51"/>
      <c r="AC49" s="51"/>
      <c r="AD49" s="51"/>
      <c r="AE49" s="51"/>
      <c r="AF49" s="51"/>
      <c r="AG49" s="51"/>
      <c r="AH49" s="51"/>
      <c r="AI49" s="51"/>
      <c r="AJ49" s="51"/>
      <c r="AK49" s="51"/>
      <c r="AL49" s="51"/>
      <c r="AM49" s="51"/>
      <c r="AN49" s="51"/>
      <c r="AO49" s="51"/>
      <c r="AP49" s="51"/>
      <c r="AQ49" s="51"/>
      <c r="AR49" s="51"/>
      <c r="AS49" s="51"/>
      <c r="AT49" s="51"/>
      <c r="AU49" s="51"/>
      <c r="AV49" s="51"/>
      <c r="AW49" s="51"/>
      <c r="AX49" s="51"/>
      <c r="AY49" s="51"/>
    </row>
    <row r="50" spans="1:51" ht="13.5" customHeight="1">
      <c r="A50" s="90"/>
      <c r="B50" s="82">
        <f t="shared" si="0"/>
        <v>2023</v>
      </c>
      <c r="C50" s="82"/>
      <c r="D50" s="117"/>
      <c r="E50" s="1257">
        <f t="shared" si="1"/>
        <v>1.19</v>
      </c>
      <c r="F50" s="932">
        <f>1</f>
        <v>1</v>
      </c>
      <c r="G50" s="74">
        <f t="shared" si="2"/>
        <v>0.84033613445378152</v>
      </c>
      <c r="H50" s="73">
        <f t="shared" si="3"/>
        <v>1.19</v>
      </c>
      <c r="I50" s="431">
        <f>1</f>
        <v>1</v>
      </c>
      <c r="J50" s="51"/>
      <c r="K50" s="51"/>
      <c r="L50" s="51"/>
      <c r="M50" s="51"/>
      <c r="N50" s="51"/>
      <c r="O50" s="51"/>
      <c r="P50" s="51"/>
      <c r="Q50" s="51"/>
      <c r="R50" s="51"/>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row>
    <row r="51" spans="1:51" ht="13.5" customHeight="1">
      <c r="A51" s="90"/>
      <c r="B51" s="82">
        <f t="shared" si="0"/>
        <v>2024</v>
      </c>
      <c r="C51" s="82"/>
      <c r="D51" s="117"/>
      <c r="E51" s="1257">
        <f t="shared" si="1"/>
        <v>1.19</v>
      </c>
      <c r="F51" s="932">
        <f>1</f>
        <v>1</v>
      </c>
      <c r="G51" s="74">
        <f t="shared" si="2"/>
        <v>0.84033613445378152</v>
      </c>
      <c r="H51" s="73">
        <f t="shared" si="3"/>
        <v>1.19</v>
      </c>
      <c r="I51" s="431">
        <f>1</f>
        <v>1</v>
      </c>
      <c r="J51" s="51"/>
      <c r="K51" s="51"/>
      <c r="L51" s="51"/>
      <c r="M51" s="51"/>
      <c r="N51" s="51"/>
      <c r="O51" s="51"/>
      <c r="P51" s="51"/>
      <c r="Q51" s="51"/>
      <c r="R51" s="51"/>
      <c r="S51" s="51"/>
      <c r="T51" s="51"/>
      <c r="U51" s="51"/>
      <c r="V51" s="51"/>
      <c r="W51" s="51"/>
      <c r="X51" s="51"/>
      <c r="Y51" s="51"/>
      <c r="Z51" s="51"/>
      <c r="AA51" s="51"/>
      <c r="AB51" s="51"/>
      <c r="AC51" s="51"/>
      <c r="AD51" s="51"/>
      <c r="AE51" s="51"/>
      <c r="AF51" s="51"/>
      <c r="AG51" s="51"/>
      <c r="AH51" s="51"/>
      <c r="AI51" s="51"/>
      <c r="AJ51" s="51"/>
      <c r="AK51" s="51"/>
      <c r="AL51" s="51"/>
      <c r="AM51" s="51"/>
      <c r="AN51" s="51"/>
      <c r="AO51" s="51"/>
      <c r="AP51" s="51"/>
      <c r="AQ51" s="51"/>
      <c r="AR51" s="51"/>
      <c r="AS51" s="51"/>
      <c r="AT51" s="51"/>
      <c r="AU51" s="51"/>
      <c r="AV51" s="51"/>
      <c r="AW51" s="51"/>
      <c r="AX51" s="51"/>
      <c r="AY51" s="51"/>
    </row>
    <row r="52" spans="1:51" ht="13.5" customHeight="1">
      <c r="A52" s="90"/>
      <c r="B52" s="82">
        <f t="shared" si="0"/>
        <v>2025</v>
      </c>
      <c r="C52" s="82"/>
      <c r="D52" s="117"/>
      <c r="E52" s="1257">
        <f t="shared" si="1"/>
        <v>1.19</v>
      </c>
      <c r="F52" s="932">
        <f>1</f>
        <v>1</v>
      </c>
      <c r="G52" s="74">
        <f t="shared" si="2"/>
        <v>0.84033613445378152</v>
      </c>
      <c r="H52" s="73">
        <f t="shared" si="3"/>
        <v>1.19</v>
      </c>
      <c r="I52" s="431">
        <f>1</f>
        <v>1</v>
      </c>
      <c r="J52" s="51"/>
      <c r="K52" s="51"/>
      <c r="L52" s="51"/>
      <c r="M52" s="51"/>
      <c r="N52" s="51"/>
      <c r="O52" s="51"/>
      <c r="P52" s="51"/>
      <c r="Q52" s="51"/>
      <c r="R52" s="51"/>
      <c r="S52" s="51"/>
      <c r="T52" s="51"/>
      <c r="U52" s="51"/>
      <c r="V52" s="51"/>
      <c r="W52" s="51"/>
      <c r="X52" s="51"/>
      <c r="Y52" s="51"/>
      <c r="Z52" s="51"/>
      <c r="AA52" s="51"/>
      <c r="AB52" s="51"/>
      <c r="AC52" s="51"/>
      <c r="AD52" s="51"/>
      <c r="AE52" s="51"/>
      <c r="AF52" s="51"/>
      <c r="AG52" s="51"/>
      <c r="AH52" s="51"/>
      <c r="AI52" s="51"/>
      <c r="AJ52" s="51"/>
      <c r="AK52" s="51"/>
      <c r="AL52" s="51"/>
      <c r="AM52" s="51"/>
      <c r="AN52" s="51"/>
      <c r="AO52" s="51"/>
      <c r="AP52" s="51"/>
      <c r="AQ52" s="51"/>
      <c r="AR52" s="51"/>
      <c r="AS52" s="51"/>
      <c r="AT52" s="51"/>
      <c r="AU52" s="51"/>
      <c r="AV52" s="51"/>
      <c r="AW52" s="51"/>
      <c r="AX52" s="51"/>
      <c r="AY52" s="51"/>
    </row>
    <row r="53" spans="1:51" ht="13.5" customHeight="1">
      <c r="A53" s="90"/>
      <c r="B53" s="82">
        <f t="shared" si="0"/>
        <v>2026</v>
      </c>
      <c r="C53" s="82"/>
      <c r="D53" s="117"/>
      <c r="E53" s="1257">
        <f t="shared" si="1"/>
        <v>1.19</v>
      </c>
      <c r="F53" s="932">
        <f>1</f>
        <v>1</v>
      </c>
      <c r="G53" s="74">
        <f t="shared" si="2"/>
        <v>0.84033613445378152</v>
      </c>
      <c r="H53" s="73">
        <f t="shared" si="3"/>
        <v>1.19</v>
      </c>
      <c r="I53" s="431">
        <f>1</f>
        <v>1</v>
      </c>
      <c r="J53" s="51"/>
      <c r="K53" s="51"/>
      <c r="L53" s="51"/>
      <c r="M53" s="51"/>
      <c r="N53" s="51"/>
      <c r="O53" s="51"/>
      <c r="P53" s="51"/>
      <c r="Q53" s="51"/>
      <c r="R53" s="51"/>
      <c r="S53" s="51"/>
      <c r="T53" s="51"/>
      <c r="U53" s="51"/>
      <c r="V53" s="51"/>
      <c r="W53" s="51"/>
      <c r="X53" s="51"/>
      <c r="Y53" s="51"/>
      <c r="Z53" s="51"/>
      <c r="AA53" s="51"/>
      <c r="AB53" s="51"/>
      <c r="AC53" s="51"/>
      <c r="AD53" s="51"/>
      <c r="AE53" s="51"/>
      <c r="AF53" s="51"/>
      <c r="AG53" s="51"/>
      <c r="AH53" s="51"/>
      <c r="AI53" s="51"/>
      <c r="AJ53" s="51"/>
      <c r="AK53" s="51"/>
      <c r="AL53" s="51"/>
      <c r="AM53" s="51"/>
      <c r="AN53" s="51"/>
      <c r="AO53" s="51"/>
      <c r="AP53" s="51"/>
      <c r="AQ53" s="51"/>
      <c r="AR53" s="51"/>
      <c r="AS53" s="51"/>
      <c r="AT53" s="51"/>
      <c r="AU53" s="51"/>
      <c r="AV53" s="51"/>
      <c r="AW53" s="51"/>
      <c r="AX53" s="51"/>
      <c r="AY53" s="51"/>
    </row>
    <row r="54" spans="1:51" ht="13.5" customHeight="1">
      <c r="A54" s="90"/>
      <c r="B54" s="82">
        <f t="shared" si="0"/>
        <v>2027</v>
      </c>
      <c r="C54" s="82"/>
      <c r="D54" s="117"/>
      <c r="E54" s="1257">
        <f t="shared" si="1"/>
        <v>1.19</v>
      </c>
      <c r="F54" s="932">
        <f>1</f>
        <v>1</v>
      </c>
      <c r="G54" s="74">
        <f t="shared" si="2"/>
        <v>0.84033613445378152</v>
      </c>
      <c r="H54" s="73">
        <f t="shared" si="3"/>
        <v>1.19</v>
      </c>
      <c r="I54" s="431">
        <f>1</f>
        <v>1</v>
      </c>
      <c r="J54" s="51"/>
      <c r="K54" s="51"/>
      <c r="L54" s="51"/>
      <c r="M54" s="51"/>
      <c r="N54" s="51"/>
      <c r="O54" s="51"/>
      <c r="P54" s="51"/>
      <c r="Q54" s="51"/>
      <c r="R54" s="51"/>
      <c r="S54" s="51"/>
      <c r="T54" s="51"/>
      <c r="U54" s="51"/>
      <c r="V54" s="51"/>
      <c r="W54" s="51"/>
      <c r="X54" s="51"/>
      <c r="Y54" s="51"/>
      <c r="Z54" s="51"/>
      <c r="AA54" s="51"/>
      <c r="AB54" s="51"/>
      <c r="AC54" s="51"/>
      <c r="AD54" s="51"/>
      <c r="AE54" s="51"/>
      <c r="AF54" s="51"/>
      <c r="AG54" s="51"/>
      <c r="AH54" s="51"/>
      <c r="AI54" s="51"/>
      <c r="AJ54" s="51"/>
      <c r="AK54" s="51"/>
      <c r="AL54" s="51"/>
      <c r="AM54" s="51"/>
      <c r="AN54" s="51"/>
      <c r="AO54" s="51"/>
      <c r="AP54" s="51"/>
      <c r="AQ54" s="51"/>
      <c r="AR54" s="51"/>
      <c r="AS54" s="51"/>
      <c r="AT54" s="51"/>
      <c r="AU54" s="51"/>
      <c r="AV54" s="51"/>
      <c r="AW54" s="51"/>
      <c r="AX54" s="51"/>
      <c r="AY54" s="51"/>
    </row>
    <row r="55" spans="1:51" ht="13.5" customHeight="1">
      <c r="A55" s="90"/>
      <c r="B55" s="82">
        <f t="shared" si="0"/>
        <v>2028</v>
      </c>
      <c r="C55" s="82"/>
      <c r="D55" s="117"/>
      <c r="E55" s="1257">
        <f t="shared" si="1"/>
        <v>1.19</v>
      </c>
      <c r="F55" s="932">
        <f>1</f>
        <v>1</v>
      </c>
      <c r="G55" s="74">
        <f t="shared" si="2"/>
        <v>0.84033613445378152</v>
      </c>
      <c r="H55" s="73">
        <f t="shared" si="3"/>
        <v>1.19</v>
      </c>
      <c r="I55" s="431">
        <f>1</f>
        <v>1</v>
      </c>
      <c r="J55" s="51"/>
      <c r="K55" s="51"/>
      <c r="L55" s="51"/>
      <c r="M55" s="51"/>
      <c r="N55" s="51"/>
      <c r="O55" s="51"/>
      <c r="P55" s="51"/>
      <c r="Q55" s="51"/>
      <c r="R55" s="51"/>
      <c r="S55" s="51"/>
      <c r="T55" s="51"/>
      <c r="U55" s="51"/>
      <c r="V55" s="51"/>
      <c r="W55" s="51"/>
      <c r="X55" s="51"/>
      <c r="Y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row>
    <row r="56" spans="1:51" ht="13.5" customHeight="1">
      <c r="A56" s="90"/>
      <c r="B56" s="82">
        <f t="shared" si="0"/>
        <v>2029</v>
      </c>
      <c r="C56" s="82"/>
      <c r="D56" s="117"/>
      <c r="E56" s="1257">
        <f t="shared" si="1"/>
        <v>1.19</v>
      </c>
      <c r="F56" s="932">
        <f>1</f>
        <v>1</v>
      </c>
      <c r="G56" s="74">
        <f t="shared" si="2"/>
        <v>0.84033613445378152</v>
      </c>
      <c r="H56" s="73">
        <f t="shared" si="3"/>
        <v>1.19</v>
      </c>
      <c r="I56" s="431">
        <f>1</f>
        <v>1</v>
      </c>
      <c r="J56" s="51"/>
      <c r="K56" s="51"/>
      <c r="L56" s="51"/>
      <c r="M56" s="51"/>
      <c r="N56" s="51"/>
      <c r="O56" s="51"/>
      <c r="P56" s="51"/>
      <c r="Q56" s="51"/>
      <c r="R56" s="51"/>
      <c r="S56" s="51"/>
      <c r="T56" s="51"/>
      <c r="U56" s="51"/>
      <c r="V56" s="51"/>
      <c r="W56" s="51"/>
      <c r="X56" s="51"/>
      <c r="Y56" s="51"/>
      <c r="Z56" s="51"/>
      <c r="AA56" s="51"/>
      <c r="AB56" s="51"/>
      <c r="AC56" s="51"/>
      <c r="AD56" s="51"/>
      <c r="AE56" s="51"/>
      <c r="AF56" s="51"/>
      <c r="AG56" s="51"/>
      <c r="AH56" s="51"/>
      <c r="AI56" s="51"/>
      <c r="AJ56" s="51"/>
      <c r="AK56" s="51"/>
      <c r="AL56" s="51"/>
      <c r="AM56" s="51"/>
      <c r="AN56" s="51"/>
      <c r="AO56" s="51"/>
      <c r="AP56" s="51"/>
      <c r="AQ56" s="51"/>
      <c r="AR56" s="51"/>
      <c r="AS56" s="51"/>
      <c r="AT56" s="51"/>
      <c r="AU56" s="51"/>
      <c r="AV56" s="51"/>
      <c r="AW56" s="51"/>
      <c r="AX56" s="51"/>
      <c r="AY56" s="51"/>
    </row>
    <row r="57" spans="1:51" ht="13.5" customHeight="1">
      <c r="A57" s="90"/>
      <c r="B57" s="82">
        <f t="shared" si="0"/>
        <v>2030</v>
      </c>
      <c r="C57" s="82"/>
      <c r="D57" s="117"/>
      <c r="E57" s="1257">
        <f t="shared" si="1"/>
        <v>1.19</v>
      </c>
      <c r="F57" s="932">
        <f>1</f>
        <v>1</v>
      </c>
      <c r="G57" s="74">
        <f t="shared" si="2"/>
        <v>0.84033613445378152</v>
      </c>
      <c r="H57" s="73">
        <f t="shared" si="3"/>
        <v>1.19</v>
      </c>
      <c r="I57" s="431">
        <f>1</f>
        <v>1</v>
      </c>
      <c r="J57" s="51"/>
      <c r="K57" s="51"/>
      <c r="L57" s="51"/>
      <c r="M57" s="51"/>
      <c r="N57" s="51"/>
      <c r="O57" s="51"/>
      <c r="P57" s="51"/>
      <c r="Q57" s="51"/>
      <c r="R57" s="51"/>
      <c r="S57" s="51"/>
      <c r="T57" s="51"/>
      <c r="U57" s="51"/>
      <c r="V57" s="51"/>
      <c r="W57" s="51"/>
      <c r="X57" s="51"/>
      <c r="Y57" s="51"/>
      <c r="Z57" s="51"/>
      <c r="AA57" s="51"/>
      <c r="AB57" s="51"/>
      <c r="AC57" s="51"/>
      <c r="AD57" s="51"/>
      <c r="AE57" s="51"/>
      <c r="AF57" s="51"/>
      <c r="AG57" s="51"/>
      <c r="AH57" s="51"/>
      <c r="AI57" s="51"/>
      <c r="AJ57" s="51"/>
      <c r="AK57" s="51"/>
      <c r="AL57" s="51"/>
      <c r="AM57" s="51"/>
      <c r="AN57" s="51"/>
      <c r="AO57" s="51"/>
      <c r="AP57" s="51"/>
      <c r="AQ57" s="51"/>
      <c r="AR57" s="51"/>
      <c r="AS57" s="51"/>
      <c r="AT57" s="51"/>
      <c r="AU57" s="51"/>
      <c r="AV57" s="51"/>
      <c r="AW57" s="51"/>
      <c r="AX57" s="51"/>
      <c r="AY57" s="51"/>
    </row>
    <row r="58" spans="1:51" ht="13.5" customHeight="1">
      <c r="A58" s="90"/>
      <c r="B58" s="82">
        <f t="shared" si="0"/>
        <v>2031</v>
      </c>
      <c r="C58" s="82"/>
      <c r="D58" s="117"/>
      <c r="E58" s="1257">
        <f t="shared" si="1"/>
        <v>1.19</v>
      </c>
      <c r="F58" s="932">
        <f>1</f>
        <v>1</v>
      </c>
      <c r="G58" s="74">
        <f t="shared" si="2"/>
        <v>0.84033613445378152</v>
      </c>
      <c r="H58" s="73">
        <f t="shared" si="3"/>
        <v>1.19</v>
      </c>
      <c r="I58" s="431">
        <f>1</f>
        <v>1</v>
      </c>
      <c r="J58" s="51"/>
      <c r="K58" s="51"/>
      <c r="L58" s="51"/>
      <c r="M58" s="51"/>
      <c r="N58" s="51"/>
      <c r="O58" s="51"/>
      <c r="P58" s="51"/>
      <c r="Q58" s="51"/>
      <c r="R58" s="51"/>
      <c r="S58" s="51"/>
      <c r="T58" s="51"/>
      <c r="U58" s="51"/>
      <c r="V58" s="51"/>
      <c r="W58" s="51"/>
      <c r="X58" s="51"/>
      <c r="Y58" s="51"/>
      <c r="Z58" s="51"/>
      <c r="AA58" s="51"/>
      <c r="AB58" s="51"/>
      <c r="AC58" s="51"/>
      <c r="AD58" s="51"/>
      <c r="AE58" s="51"/>
      <c r="AF58" s="51"/>
      <c r="AG58" s="51"/>
      <c r="AH58" s="51"/>
      <c r="AI58" s="51"/>
      <c r="AJ58" s="51"/>
      <c r="AK58" s="51"/>
      <c r="AL58" s="51"/>
      <c r="AM58" s="51"/>
      <c r="AN58" s="51"/>
      <c r="AO58" s="51"/>
      <c r="AP58" s="51"/>
      <c r="AQ58" s="51"/>
      <c r="AR58" s="51"/>
      <c r="AS58" s="51"/>
      <c r="AT58" s="51"/>
      <c r="AU58" s="51"/>
      <c r="AV58" s="51"/>
      <c r="AW58" s="51"/>
      <c r="AX58" s="51"/>
      <c r="AY58" s="51"/>
    </row>
    <row r="59" spans="1:51" ht="13.5" customHeight="1">
      <c r="A59" s="90"/>
      <c r="B59" s="82">
        <f t="shared" si="0"/>
        <v>2032</v>
      </c>
      <c r="C59" s="82"/>
      <c r="D59" s="117"/>
      <c r="E59" s="1257">
        <f t="shared" si="1"/>
        <v>1.19</v>
      </c>
      <c r="F59" s="932">
        <f>1</f>
        <v>1</v>
      </c>
      <c r="G59" s="74">
        <f t="shared" si="2"/>
        <v>0.84033613445378152</v>
      </c>
      <c r="H59" s="73">
        <f t="shared" si="3"/>
        <v>1.19</v>
      </c>
      <c r="I59" s="431">
        <f>1</f>
        <v>1</v>
      </c>
      <c r="J59" s="51"/>
      <c r="K59" s="51"/>
      <c r="L59" s="51"/>
      <c r="M59" s="51"/>
      <c r="N59" s="51"/>
      <c r="O59" s="51"/>
      <c r="P59" s="51"/>
      <c r="Q59" s="51"/>
      <c r="R59" s="51"/>
      <c r="S59" s="51"/>
      <c r="T59" s="51"/>
      <c r="U59" s="51"/>
      <c r="V59" s="51"/>
      <c r="W59" s="51"/>
      <c r="X59" s="51"/>
      <c r="Y59" s="51"/>
      <c r="Z59" s="51"/>
      <c r="AA59" s="51"/>
      <c r="AB59" s="51"/>
      <c r="AC59" s="51"/>
      <c r="AD59" s="51"/>
      <c r="AE59" s="51"/>
      <c r="AF59" s="51"/>
      <c r="AG59" s="51"/>
      <c r="AH59" s="51"/>
      <c r="AI59" s="51"/>
      <c r="AJ59" s="51"/>
      <c r="AK59" s="51"/>
      <c r="AL59" s="51"/>
      <c r="AM59" s="51"/>
      <c r="AN59" s="51"/>
      <c r="AO59" s="51"/>
      <c r="AP59" s="51"/>
      <c r="AQ59" s="51"/>
      <c r="AR59" s="51"/>
      <c r="AS59" s="51"/>
      <c r="AT59" s="51"/>
      <c r="AU59" s="51"/>
      <c r="AV59" s="51"/>
      <c r="AW59" s="51"/>
      <c r="AX59" s="51"/>
      <c r="AY59" s="51"/>
    </row>
    <row r="60" spans="1:51" ht="13.5" customHeight="1">
      <c r="A60" s="90"/>
      <c r="B60" s="82">
        <f t="shared" ref="B60:B91" si="4">B59+1</f>
        <v>2033</v>
      </c>
      <c r="C60" s="82"/>
      <c r="D60" s="117"/>
      <c r="E60" s="1257">
        <f t="shared" si="1"/>
        <v>1.19</v>
      </c>
      <c r="F60" s="932">
        <f>1</f>
        <v>1</v>
      </c>
      <c r="G60" s="74">
        <f t="shared" si="2"/>
        <v>0.84033613445378152</v>
      </c>
      <c r="H60" s="73">
        <f t="shared" si="3"/>
        <v>1.19</v>
      </c>
      <c r="I60" s="431">
        <f>1</f>
        <v>1</v>
      </c>
      <c r="J60" s="51"/>
      <c r="K60" s="51"/>
      <c r="L60" s="51"/>
      <c r="M60" s="51"/>
      <c r="N60" s="51"/>
      <c r="O60" s="51"/>
      <c r="P60" s="51"/>
      <c r="Q60" s="51"/>
      <c r="R60" s="51"/>
      <c r="S60" s="51"/>
      <c r="T60" s="51"/>
      <c r="U60" s="51"/>
      <c r="V60" s="51"/>
      <c r="W60" s="51"/>
      <c r="X60" s="51"/>
      <c r="Y60" s="51"/>
      <c r="Z60" s="51"/>
      <c r="AA60" s="51"/>
      <c r="AB60" s="51"/>
      <c r="AC60" s="51"/>
      <c r="AD60" s="51"/>
      <c r="AE60" s="51"/>
      <c r="AF60" s="51"/>
      <c r="AG60" s="51"/>
      <c r="AH60" s="51"/>
      <c r="AI60" s="51"/>
      <c r="AJ60" s="51"/>
      <c r="AK60" s="51"/>
      <c r="AL60" s="51"/>
      <c r="AM60" s="51"/>
      <c r="AN60" s="51"/>
      <c r="AO60" s="51"/>
      <c r="AP60" s="51"/>
      <c r="AQ60" s="51"/>
      <c r="AR60" s="51"/>
      <c r="AS60" s="51"/>
      <c r="AT60" s="51"/>
      <c r="AU60" s="51"/>
      <c r="AV60" s="51"/>
      <c r="AW60" s="51"/>
      <c r="AX60" s="51"/>
      <c r="AY60" s="51"/>
    </row>
    <row r="61" spans="1:51" ht="13.5" customHeight="1">
      <c r="A61" s="90"/>
      <c r="B61" s="82">
        <f t="shared" si="4"/>
        <v>2034</v>
      </c>
      <c r="C61" s="82"/>
      <c r="D61" s="117"/>
      <c r="E61" s="1257">
        <f t="shared" si="1"/>
        <v>1.19</v>
      </c>
      <c r="F61" s="932">
        <f>1</f>
        <v>1</v>
      </c>
      <c r="G61" s="74">
        <f t="shared" si="2"/>
        <v>0.84033613445378152</v>
      </c>
      <c r="H61" s="73">
        <f t="shared" si="3"/>
        <v>1.19</v>
      </c>
      <c r="I61" s="431">
        <f>1</f>
        <v>1</v>
      </c>
      <c r="J61" s="51"/>
      <c r="K61" s="51"/>
      <c r="L61" s="51"/>
      <c r="M61" s="51"/>
      <c r="N61" s="51"/>
      <c r="O61" s="51"/>
      <c r="P61" s="51"/>
      <c r="Q61" s="51"/>
      <c r="R61" s="51"/>
      <c r="S61" s="51"/>
      <c r="T61" s="51"/>
      <c r="U61" s="51"/>
      <c r="V61" s="51"/>
      <c r="W61" s="51"/>
      <c r="X61" s="51"/>
      <c r="Y61" s="51"/>
      <c r="Z61" s="51"/>
      <c r="AA61" s="51"/>
      <c r="AB61" s="51"/>
      <c r="AC61" s="51"/>
      <c r="AD61" s="51"/>
      <c r="AE61" s="51"/>
      <c r="AF61" s="51"/>
      <c r="AG61" s="51"/>
      <c r="AH61" s="51"/>
      <c r="AI61" s="51"/>
      <c r="AJ61" s="51"/>
      <c r="AK61" s="51"/>
      <c r="AL61" s="51"/>
      <c r="AM61" s="51"/>
      <c r="AN61" s="51"/>
      <c r="AO61" s="51"/>
      <c r="AP61" s="51"/>
      <c r="AQ61" s="51"/>
      <c r="AR61" s="51"/>
      <c r="AS61" s="51"/>
      <c r="AT61" s="51"/>
      <c r="AU61" s="51"/>
      <c r="AV61" s="51"/>
      <c r="AW61" s="51"/>
      <c r="AX61" s="51"/>
      <c r="AY61" s="51"/>
    </row>
    <row r="62" spans="1:51" ht="13.5" customHeight="1">
      <c r="A62" s="90"/>
      <c r="B62" s="82">
        <f t="shared" si="4"/>
        <v>2035</v>
      </c>
      <c r="C62" s="82"/>
      <c r="D62" s="117"/>
      <c r="E62" s="1257">
        <f t="shared" si="1"/>
        <v>1.19</v>
      </c>
      <c r="F62" s="932">
        <f>1</f>
        <v>1</v>
      </c>
      <c r="G62" s="74">
        <f t="shared" si="2"/>
        <v>0.84033613445378152</v>
      </c>
      <c r="H62" s="73">
        <f t="shared" si="3"/>
        <v>1.19</v>
      </c>
      <c r="I62" s="431">
        <f>1</f>
        <v>1</v>
      </c>
      <c r="J62" s="51"/>
      <c r="K62" s="51"/>
      <c r="L62" s="51"/>
      <c r="M62" s="51"/>
      <c r="N62" s="51"/>
      <c r="O62" s="51"/>
      <c r="P62" s="51"/>
      <c r="Q62" s="51"/>
      <c r="R62" s="51"/>
      <c r="S62" s="51"/>
      <c r="T62" s="51"/>
      <c r="U62" s="51"/>
      <c r="V62" s="51"/>
      <c r="W62" s="51"/>
      <c r="X62" s="51"/>
      <c r="Y62" s="51"/>
      <c r="Z62" s="51"/>
      <c r="AA62" s="51"/>
      <c r="AB62" s="51"/>
      <c r="AC62" s="51"/>
      <c r="AD62" s="51"/>
      <c r="AE62" s="51"/>
      <c r="AF62" s="51"/>
      <c r="AG62" s="51"/>
      <c r="AH62" s="51"/>
      <c r="AI62" s="51"/>
      <c r="AJ62" s="51"/>
      <c r="AK62" s="51"/>
      <c r="AL62" s="51"/>
      <c r="AM62" s="51"/>
      <c r="AN62" s="51"/>
      <c r="AO62" s="51"/>
      <c r="AP62" s="51"/>
      <c r="AQ62" s="51"/>
      <c r="AR62" s="51"/>
      <c r="AS62" s="51"/>
      <c r="AT62" s="51"/>
      <c r="AU62" s="51"/>
      <c r="AV62" s="51"/>
      <c r="AW62" s="51"/>
      <c r="AX62" s="51"/>
      <c r="AY62" s="51"/>
    </row>
    <row r="63" spans="1:51" ht="13.5" customHeight="1">
      <c r="A63" s="90"/>
      <c r="B63" s="82">
        <f t="shared" si="4"/>
        <v>2036</v>
      </c>
      <c r="C63" s="82"/>
      <c r="D63" s="117"/>
      <c r="E63" s="1257">
        <f t="shared" si="1"/>
        <v>1.19</v>
      </c>
      <c r="F63" s="932">
        <f>1</f>
        <v>1</v>
      </c>
      <c r="G63" s="74">
        <f t="shared" si="2"/>
        <v>0.84033613445378152</v>
      </c>
      <c r="H63" s="73">
        <f t="shared" si="3"/>
        <v>1.19</v>
      </c>
      <c r="I63" s="431">
        <f>1</f>
        <v>1</v>
      </c>
      <c r="J63" s="51"/>
      <c r="K63" s="51"/>
      <c r="L63" s="51"/>
      <c r="M63" s="51"/>
      <c r="N63" s="51"/>
      <c r="O63" s="51"/>
      <c r="P63" s="51"/>
      <c r="Q63" s="51"/>
      <c r="R63" s="51"/>
      <c r="S63" s="51"/>
      <c r="T63" s="51"/>
      <c r="U63" s="51"/>
      <c r="V63" s="51"/>
      <c r="W63" s="51"/>
      <c r="X63" s="51"/>
      <c r="Y63" s="51"/>
      <c r="Z63" s="51"/>
      <c r="AA63" s="51"/>
      <c r="AB63" s="51"/>
      <c r="AC63" s="51"/>
      <c r="AD63" s="51"/>
      <c r="AE63" s="51"/>
      <c r="AF63" s="51"/>
      <c r="AG63" s="51"/>
      <c r="AH63" s="51"/>
      <c r="AI63" s="51"/>
      <c r="AJ63" s="51"/>
      <c r="AK63" s="51"/>
      <c r="AL63" s="51"/>
      <c r="AM63" s="51"/>
      <c r="AN63" s="51"/>
      <c r="AO63" s="51"/>
      <c r="AP63" s="51"/>
      <c r="AQ63" s="51"/>
      <c r="AR63" s="51"/>
      <c r="AS63" s="51"/>
      <c r="AT63" s="51"/>
      <c r="AU63" s="51"/>
      <c r="AV63" s="51"/>
      <c r="AW63" s="51"/>
      <c r="AX63" s="51"/>
      <c r="AY63" s="51"/>
    </row>
    <row r="64" spans="1:51" ht="13.5" customHeight="1">
      <c r="A64" s="90"/>
      <c r="B64" s="82">
        <f t="shared" si="4"/>
        <v>2037</v>
      </c>
      <c r="C64" s="82"/>
      <c r="D64" s="117"/>
      <c r="E64" s="1257">
        <f t="shared" si="1"/>
        <v>1.19</v>
      </c>
      <c r="F64" s="932">
        <f>1</f>
        <v>1</v>
      </c>
      <c r="G64" s="74">
        <f t="shared" si="2"/>
        <v>0.84033613445378152</v>
      </c>
      <c r="H64" s="73">
        <f t="shared" si="3"/>
        <v>1.19</v>
      </c>
      <c r="I64" s="431">
        <f>1</f>
        <v>1</v>
      </c>
      <c r="J64" s="51"/>
      <c r="K64" s="51"/>
      <c r="L64" s="51"/>
      <c r="M64" s="51"/>
      <c r="N64" s="51"/>
      <c r="O64" s="51"/>
      <c r="P64" s="51"/>
      <c r="Q64" s="51"/>
      <c r="R64" s="51"/>
      <c r="S64" s="51"/>
      <c r="T64" s="51"/>
      <c r="U64" s="51"/>
      <c r="V64" s="51"/>
      <c r="W64" s="51"/>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row>
    <row r="65" spans="1:51" ht="13.5" customHeight="1">
      <c r="A65" s="90"/>
      <c r="B65" s="82">
        <f t="shared" si="4"/>
        <v>2038</v>
      </c>
      <c r="C65" s="82"/>
      <c r="D65" s="117"/>
      <c r="E65" s="1257">
        <f t="shared" si="1"/>
        <v>1.19</v>
      </c>
      <c r="F65" s="932">
        <f>1</f>
        <v>1</v>
      </c>
      <c r="G65" s="74">
        <f t="shared" si="2"/>
        <v>0.84033613445378152</v>
      </c>
      <c r="H65" s="73">
        <f t="shared" si="3"/>
        <v>1.19</v>
      </c>
      <c r="I65" s="431">
        <f>1</f>
        <v>1</v>
      </c>
      <c r="J65" s="51"/>
      <c r="K65" s="51"/>
      <c r="L65" s="51"/>
      <c r="M65" s="51"/>
      <c r="N65" s="51"/>
      <c r="O65" s="51"/>
      <c r="P65" s="51"/>
      <c r="Q65" s="51"/>
      <c r="R65" s="51"/>
      <c r="S65" s="51"/>
      <c r="T65" s="51"/>
      <c r="U65" s="51"/>
      <c r="V65" s="51"/>
      <c r="W65" s="51"/>
      <c r="X65" s="51"/>
      <c r="Y65" s="51"/>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row>
    <row r="66" spans="1:51" ht="13.5" customHeight="1">
      <c r="A66" s="90"/>
      <c r="B66" s="82">
        <f t="shared" si="4"/>
        <v>2039</v>
      </c>
      <c r="C66" s="82"/>
      <c r="D66" s="117"/>
      <c r="E66" s="1257">
        <f t="shared" si="1"/>
        <v>1.19</v>
      </c>
      <c r="F66" s="932">
        <f>1</f>
        <v>1</v>
      </c>
      <c r="G66" s="74">
        <f t="shared" si="2"/>
        <v>0.84033613445378152</v>
      </c>
      <c r="H66" s="73">
        <f t="shared" si="3"/>
        <v>1.19</v>
      </c>
      <c r="I66" s="431">
        <f>1</f>
        <v>1</v>
      </c>
      <c r="J66" s="51"/>
      <c r="K66" s="51"/>
      <c r="L66" s="51"/>
      <c r="M66" s="51"/>
      <c r="N66" s="51"/>
      <c r="O66" s="51"/>
      <c r="P66" s="51"/>
      <c r="Q66" s="51"/>
      <c r="R66" s="51"/>
      <c r="S66" s="51"/>
      <c r="T66" s="51"/>
      <c r="U66" s="51"/>
      <c r="V66" s="51"/>
      <c r="W66" s="51"/>
      <c r="X66" s="51"/>
      <c r="Y66" s="51"/>
      <c r="Z66" s="51"/>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row>
    <row r="67" spans="1:51" ht="13.5" customHeight="1">
      <c r="A67" s="90"/>
      <c r="B67" s="82">
        <f t="shared" si="4"/>
        <v>2040</v>
      </c>
      <c r="C67" s="82"/>
      <c r="D67" s="117"/>
      <c r="E67" s="1257">
        <f t="shared" si="1"/>
        <v>1.19</v>
      </c>
      <c r="F67" s="932">
        <f>1</f>
        <v>1</v>
      </c>
      <c r="G67" s="74">
        <f t="shared" si="2"/>
        <v>0.84033613445378152</v>
      </c>
      <c r="H67" s="73">
        <f t="shared" si="3"/>
        <v>1.19</v>
      </c>
      <c r="I67" s="431">
        <f>1</f>
        <v>1</v>
      </c>
      <c r="J67" s="51"/>
      <c r="K67" s="51"/>
      <c r="L67" s="51"/>
      <c r="M67" s="51"/>
      <c r="N67" s="51"/>
      <c r="O67" s="51"/>
      <c r="P67" s="51"/>
      <c r="Q67" s="51"/>
      <c r="R67" s="51"/>
      <c r="S67" s="51"/>
      <c r="T67" s="51"/>
      <c r="U67" s="51"/>
      <c r="V67" s="51"/>
      <c r="W67" s="51"/>
      <c r="X67" s="51"/>
      <c r="Y67" s="51"/>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row>
    <row r="68" spans="1:51" ht="13.5" customHeight="1">
      <c r="A68" s="90"/>
      <c r="B68" s="82">
        <f t="shared" si="4"/>
        <v>2041</v>
      </c>
      <c r="C68" s="82"/>
      <c r="D68" s="117"/>
      <c r="E68" s="1257">
        <f t="shared" si="1"/>
        <v>1.19</v>
      </c>
      <c r="F68" s="932">
        <f>1</f>
        <v>1</v>
      </c>
      <c r="G68" s="74">
        <f t="shared" si="2"/>
        <v>0.84033613445378152</v>
      </c>
      <c r="H68" s="73">
        <f t="shared" si="3"/>
        <v>1.19</v>
      </c>
      <c r="I68" s="431">
        <f>1</f>
        <v>1</v>
      </c>
      <c r="J68" s="51"/>
      <c r="K68" s="51"/>
      <c r="L68" s="51"/>
      <c r="M68" s="51"/>
      <c r="N68" s="51"/>
      <c r="O68" s="51"/>
      <c r="P68" s="51"/>
      <c r="Q68" s="51"/>
      <c r="R68" s="51"/>
      <c r="S68" s="51"/>
      <c r="T68" s="51"/>
      <c r="U68" s="51"/>
      <c r="V68" s="51"/>
      <c r="W68" s="51"/>
      <c r="X68" s="51"/>
      <c r="Y68" s="51"/>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row>
    <row r="69" spans="1:51" ht="13.5" customHeight="1">
      <c r="A69" s="90"/>
      <c r="B69" s="82">
        <f t="shared" si="4"/>
        <v>2042</v>
      </c>
      <c r="C69" s="82"/>
      <c r="D69" s="117"/>
      <c r="E69" s="1257">
        <f t="shared" si="1"/>
        <v>1.19</v>
      </c>
      <c r="F69" s="932">
        <f>1</f>
        <v>1</v>
      </c>
      <c r="G69" s="74">
        <f t="shared" si="2"/>
        <v>0.84033613445378152</v>
      </c>
      <c r="H69" s="73">
        <f t="shared" si="3"/>
        <v>1.19</v>
      </c>
      <c r="I69" s="431">
        <f>1</f>
        <v>1</v>
      </c>
      <c r="J69" s="51"/>
      <c r="K69" s="51"/>
      <c r="L69" s="51"/>
      <c r="M69" s="51"/>
      <c r="N69" s="51"/>
      <c r="O69" s="51"/>
      <c r="P69" s="51"/>
      <c r="Q69" s="51"/>
      <c r="R69" s="51"/>
      <c r="S69" s="51"/>
      <c r="T69" s="51"/>
      <c r="U69" s="51"/>
      <c r="V69" s="51"/>
      <c r="W69" s="51"/>
      <c r="X69" s="51"/>
      <c r="Y69" s="51"/>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row>
    <row r="70" spans="1:51" ht="13.5" customHeight="1">
      <c r="A70" s="90"/>
      <c r="B70" s="82">
        <f t="shared" si="4"/>
        <v>2043</v>
      </c>
      <c r="C70" s="82"/>
      <c r="D70" s="117"/>
      <c r="E70" s="1257">
        <f t="shared" si="1"/>
        <v>1.19</v>
      </c>
      <c r="F70" s="932">
        <f>1</f>
        <v>1</v>
      </c>
      <c r="G70" s="74">
        <f t="shared" si="2"/>
        <v>0.84033613445378152</v>
      </c>
      <c r="H70" s="73">
        <f t="shared" si="3"/>
        <v>1.19</v>
      </c>
      <c r="I70" s="431">
        <f>1</f>
        <v>1</v>
      </c>
      <c r="J70" s="51"/>
      <c r="K70" s="51"/>
      <c r="L70" s="51"/>
      <c r="M70" s="51"/>
      <c r="N70" s="51"/>
      <c r="O70" s="51"/>
      <c r="P70" s="51"/>
      <c r="Q70" s="51"/>
      <c r="R70" s="51"/>
      <c r="S70" s="51"/>
      <c r="T70" s="51"/>
      <c r="U70" s="51"/>
      <c r="V70" s="51"/>
      <c r="W70" s="51"/>
      <c r="X70" s="51"/>
      <c r="Y70" s="51"/>
      <c r="Z70" s="51"/>
      <c r="AA70" s="51"/>
      <c r="AB70" s="51"/>
      <c r="AC70" s="51"/>
      <c r="AD70" s="51"/>
      <c r="AE70" s="51"/>
      <c r="AF70" s="51"/>
      <c r="AG70" s="51"/>
      <c r="AH70" s="51"/>
      <c r="AI70" s="51"/>
      <c r="AJ70" s="51"/>
      <c r="AK70" s="51"/>
      <c r="AL70" s="51"/>
      <c r="AM70" s="51"/>
      <c r="AN70" s="51"/>
      <c r="AO70" s="51"/>
      <c r="AP70" s="51"/>
      <c r="AQ70" s="51"/>
      <c r="AR70" s="51"/>
      <c r="AS70" s="51"/>
      <c r="AT70" s="51"/>
      <c r="AU70" s="51"/>
      <c r="AV70" s="51"/>
      <c r="AW70" s="51"/>
      <c r="AX70" s="51"/>
      <c r="AY70" s="51"/>
    </row>
    <row r="71" spans="1:51" ht="13.5" customHeight="1">
      <c r="A71" s="90"/>
      <c r="B71" s="82">
        <f t="shared" si="4"/>
        <v>2044</v>
      </c>
      <c r="C71" s="82"/>
      <c r="D71" s="117"/>
      <c r="E71" s="1257">
        <f t="shared" si="1"/>
        <v>1.19</v>
      </c>
      <c r="F71" s="932">
        <f>1</f>
        <v>1</v>
      </c>
      <c r="G71" s="74">
        <f t="shared" si="2"/>
        <v>0.84033613445378152</v>
      </c>
      <c r="H71" s="73">
        <f t="shared" si="3"/>
        <v>1.19</v>
      </c>
      <c r="I71" s="431">
        <f>1</f>
        <v>1</v>
      </c>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c r="AU71" s="51"/>
      <c r="AV71" s="51"/>
      <c r="AW71" s="51"/>
      <c r="AX71" s="51"/>
      <c r="AY71" s="51"/>
    </row>
    <row r="72" spans="1:51" ht="13.5" customHeight="1">
      <c r="A72" s="90"/>
      <c r="B72" s="82">
        <f t="shared" si="4"/>
        <v>2045</v>
      </c>
      <c r="C72" s="82"/>
      <c r="D72" s="117"/>
      <c r="E72" s="1257">
        <f t="shared" si="1"/>
        <v>1.19</v>
      </c>
      <c r="F72" s="932">
        <f>1</f>
        <v>1</v>
      </c>
      <c r="G72" s="74">
        <f t="shared" si="2"/>
        <v>0.84033613445378152</v>
      </c>
      <c r="H72" s="73">
        <f t="shared" si="3"/>
        <v>1.19</v>
      </c>
      <c r="I72" s="431">
        <f>1</f>
        <v>1</v>
      </c>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c r="AU72" s="51"/>
      <c r="AV72" s="51"/>
      <c r="AW72" s="51"/>
      <c r="AX72" s="51"/>
      <c r="AY72" s="51"/>
    </row>
    <row r="73" spans="1:51" ht="13.5" customHeight="1">
      <c r="A73" s="90"/>
      <c r="B73" s="82">
        <f t="shared" si="4"/>
        <v>2046</v>
      </c>
      <c r="C73" s="82"/>
      <c r="D73" s="117"/>
      <c r="E73" s="1257">
        <f t="shared" si="1"/>
        <v>1.19</v>
      </c>
      <c r="F73" s="932">
        <f>1</f>
        <v>1</v>
      </c>
      <c r="G73" s="74">
        <f t="shared" si="2"/>
        <v>0.84033613445378152</v>
      </c>
      <c r="H73" s="73">
        <f t="shared" si="3"/>
        <v>1.19</v>
      </c>
      <c r="I73" s="431">
        <f>1</f>
        <v>1</v>
      </c>
      <c r="J73" s="51"/>
      <c r="K73" s="51"/>
      <c r="L73" s="51"/>
      <c r="M73" s="51"/>
      <c r="N73" s="51"/>
      <c r="O73" s="51"/>
      <c r="P73" s="51"/>
      <c r="Q73" s="51"/>
      <c r="R73" s="51"/>
      <c r="S73" s="51"/>
      <c r="T73" s="51"/>
      <c r="U73" s="51"/>
      <c r="V73" s="51"/>
      <c r="W73" s="51"/>
      <c r="X73" s="51"/>
      <c r="Y73" s="51"/>
      <c r="Z73" s="51"/>
      <c r="AA73" s="51"/>
      <c r="AB73" s="51"/>
      <c r="AC73" s="51"/>
      <c r="AD73" s="51"/>
      <c r="AE73" s="51"/>
      <c r="AF73" s="51"/>
      <c r="AG73" s="51"/>
      <c r="AH73" s="51"/>
      <c r="AI73" s="51"/>
      <c r="AJ73" s="51"/>
      <c r="AK73" s="51"/>
      <c r="AL73" s="51"/>
      <c r="AM73" s="51"/>
      <c r="AN73" s="51"/>
      <c r="AO73" s="51"/>
      <c r="AP73" s="51"/>
      <c r="AQ73" s="51"/>
      <c r="AR73" s="51"/>
      <c r="AS73" s="51"/>
      <c r="AT73" s="51"/>
      <c r="AU73" s="51"/>
      <c r="AV73" s="51"/>
      <c r="AW73" s="51"/>
      <c r="AX73" s="51"/>
      <c r="AY73" s="51"/>
    </row>
    <row r="74" spans="1:51" ht="13.5" customHeight="1">
      <c r="A74" s="90"/>
      <c r="B74" s="82">
        <f t="shared" si="4"/>
        <v>2047</v>
      </c>
      <c r="C74" s="82"/>
      <c r="D74" s="117"/>
      <c r="E74" s="1257">
        <f t="shared" si="1"/>
        <v>1.19</v>
      </c>
      <c r="F74" s="932">
        <f>1</f>
        <v>1</v>
      </c>
      <c r="G74" s="74">
        <f t="shared" si="2"/>
        <v>0.84033613445378152</v>
      </c>
      <c r="H74" s="73">
        <f t="shared" si="3"/>
        <v>1.19</v>
      </c>
      <c r="I74" s="431">
        <f>1</f>
        <v>1</v>
      </c>
      <c r="J74" s="51"/>
      <c r="K74" s="51"/>
      <c r="L74" s="51"/>
      <c r="M74" s="51"/>
      <c r="N74" s="51"/>
      <c r="O74" s="51"/>
      <c r="P74" s="51"/>
      <c r="Q74" s="51"/>
      <c r="R74" s="51"/>
      <c r="S74" s="51"/>
      <c r="T74" s="51"/>
      <c r="U74" s="51"/>
      <c r="V74" s="51"/>
      <c r="W74" s="51"/>
      <c r="X74" s="51"/>
      <c r="Y74" s="51"/>
      <c r="Z74" s="51"/>
      <c r="AA74" s="51"/>
      <c r="AB74" s="51"/>
      <c r="AC74" s="51"/>
      <c r="AD74" s="51"/>
      <c r="AE74" s="51"/>
      <c r="AF74" s="51"/>
      <c r="AG74" s="51"/>
      <c r="AH74" s="51"/>
      <c r="AI74" s="51"/>
      <c r="AJ74" s="51"/>
      <c r="AK74" s="51"/>
      <c r="AL74" s="51"/>
      <c r="AM74" s="51"/>
      <c r="AN74" s="51"/>
      <c r="AO74" s="51"/>
      <c r="AP74" s="51"/>
      <c r="AQ74" s="51"/>
      <c r="AR74" s="51"/>
      <c r="AS74" s="51"/>
      <c r="AT74" s="51"/>
      <c r="AU74" s="51"/>
      <c r="AV74" s="51"/>
      <c r="AW74" s="51"/>
      <c r="AX74" s="51"/>
      <c r="AY74" s="51"/>
    </row>
    <row r="75" spans="1:51" ht="13.5" customHeight="1">
      <c r="A75" s="90"/>
      <c r="B75" s="82">
        <f t="shared" si="4"/>
        <v>2048</v>
      </c>
      <c r="C75" s="82"/>
      <c r="D75" s="117"/>
      <c r="E75" s="1257">
        <f t="shared" si="1"/>
        <v>1.19</v>
      </c>
      <c r="F75" s="932">
        <f>1</f>
        <v>1</v>
      </c>
      <c r="G75" s="74">
        <f t="shared" si="2"/>
        <v>0.84033613445378152</v>
      </c>
      <c r="H75" s="73">
        <f t="shared" si="3"/>
        <v>1.19</v>
      </c>
      <c r="I75" s="431">
        <f>1</f>
        <v>1</v>
      </c>
      <c r="J75" s="51"/>
      <c r="K75" s="51"/>
      <c r="L75" s="51"/>
      <c r="M75" s="51"/>
      <c r="N75" s="51"/>
      <c r="O75" s="51"/>
      <c r="P75" s="51"/>
      <c r="Q75" s="51"/>
      <c r="R75" s="51"/>
      <c r="S75" s="51"/>
      <c r="T75" s="51"/>
      <c r="U75" s="51"/>
      <c r="V75" s="51"/>
      <c r="W75" s="51"/>
      <c r="X75" s="51"/>
      <c r="Y75" s="51"/>
      <c r="Z75" s="51"/>
      <c r="AA75" s="51"/>
      <c r="AB75" s="51"/>
      <c r="AC75" s="51"/>
      <c r="AD75" s="51"/>
      <c r="AE75" s="51"/>
      <c r="AF75" s="51"/>
      <c r="AG75" s="51"/>
      <c r="AH75" s="51"/>
      <c r="AI75" s="51"/>
      <c r="AJ75" s="51"/>
      <c r="AK75" s="51"/>
      <c r="AL75" s="51"/>
      <c r="AM75" s="51"/>
      <c r="AN75" s="51"/>
      <c r="AO75" s="51"/>
      <c r="AP75" s="51"/>
      <c r="AQ75" s="51"/>
      <c r="AR75" s="51"/>
      <c r="AS75" s="51"/>
      <c r="AT75" s="51"/>
      <c r="AU75" s="51"/>
      <c r="AV75" s="51"/>
      <c r="AW75" s="51"/>
      <c r="AX75" s="51"/>
      <c r="AY75" s="51"/>
    </row>
    <row r="76" spans="1:51" ht="13.5" customHeight="1">
      <c r="A76" s="90"/>
      <c r="B76" s="82">
        <f t="shared" si="4"/>
        <v>2049</v>
      </c>
      <c r="C76" s="82"/>
      <c r="D76" s="117"/>
      <c r="E76" s="1257">
        <f t="shared" si="1"/>
        <v>1.19</v>
      </c>
      <c r="F76" s="932">
        <f>1</f>
        <v>1</v>
      </c>
      <c r="G76" s="74">
        <f t="shared" si="2"/>
        <v>0.84033613445378152</v>
      </c>
      <c r="H76" s="73">
        <f t="shared" si="3"/>
        <v>1.19</v>
      </c>
      <c r="I76" s="431">
        <f>1</f>
        <v>1</v>
      </c>
      <c r="J76" s="51"/>
      <c r="K76" s="51"/>
      <c r="L76" s="51"/>
      <c r="M76" s="51"/>
      <c r="N76" s="51"/>
      <c r="O76" s="5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row>
    <row r="77" spans="1:51" ht="13.5" customHeight="1">
      <c r="A77" s="90"/>
      <c r="B77" s="82">
        <f t="shared" si="4"/>
        <v>2050</v>
      </c>
      <c r="C77" s="82"/>
      <c r="D77" s="117"/>
      <c r="E77" s="1257">
        <f t="shared" si="1"/>
        <v>1.19</v>
      </c>
      <c r="F77" s="932">
        <f>1</f>
        <v>1</v>
      </c>
      <c r="G77" s="74">
        <f t="shared" si="2"/>
        <v>0.84033613445378152</v>
      </c>
      <c r="H77" s="73">
        <f t="shared" si="3"/>
        <v>1.19</v>
      </c>
      <c r="I77" s="431">
        <f>1</f>
        <v>1</v>
      </c>
      <c r="J77" s="51"/>
      <c r="K77" s="51"/>
      <c r="L77" s="51"/>
      <c r="M77" s="51"/>
      <c r="N77" s="51"/>
      <c r="O77" s="51"/>
      <c r="P77" s="51"/>
      <c r="Q77" s="51"/>
      <c r="R77" s="51"/>
      <c r="S77" s="51"/>
      <c r="T77" s="51"/>
      <c r="U77" s="51"/>
      <c r="V77" s="51"/>
      <c r="W77" s="51"/>
      <c r="X77" s="51"/>
      <c r="Y77" s="51"/>
      <c r="Z77" s="51"/>
      <c r="AA77" s="51"/>
      <c r="AB77" s="51"/>
      <c r="AC77" s="51"/>
      <c r="AD77" s="51"/>
      <c r="AE77" s="51"/>
      <c r="AF77" s="51"/>
      <c r="AG77" s="51"/>
      <c r="AH77" s="51"/>
      <c r="AI77" s="51"/>
      <c r="AJ77" s="51"/>
      <c r="AK77" s="51"/>
      <c r="AL77" s="51"/>
      <c r="AM77" s="51"/>
      <c r="AN77" s="51"/>
      <c r="AO77" s="51"/>
      <c r="AP77" s="51"/>
      <c r="AQ77" s="51"/>
      <c r="AR77" s="51"/>
      <c r="AS77" s="51"/>
      <c r="AT77" s="51"/>
      <c r="AU77" s="51"/>
      <c r="AV77" s="51"/>
      <c r="AW77" s="51"/>
      <c r="AX77" s="51"/>
      <c r="AY77" s="51"/>
    </row>
    <row r="78" spans="1:51" ht="13.5" customHeight="1">
      <c r="A78" s="90"/>
      <c r="B78" s="82">
        <f t="shared" si="4"/>
        <v>2051</v>
      </c>
      <c r="C78" s="82"/>
      <c r="D78" s="117"/>
      <c r="E78" s="1257">
        <f t="shared" si="1"/>
        <v>1.19</v>
      </c>
      <c r="F78" s="932">
        <f>1</f>
        <v>1</v>
      </c>
      <c r="G78" s="74">
        <f t="shared" si="2"/>
        <v>0.84033613445378152</v>
      </c>
      <c r="H78" s="73">
        <f t="shared" si="3"/>
        <v>1.19</v>
      </c>
      <c r="I78" s="431">
        <f>1</f>
        <v>1</v>
      </c>
      <c r="J78" s="51"/>
      <c r="K78" s="51"/>
      <c r="L78" s="51"/>
      <c r="M78" s="51"/>
      <c r="N78" s="51"/>
      <c r="O78" s="51"/>
      <c r="P78" s="51"/>
      <c r="Q78" s="51"/>
      <c r="R78" s="51"/>
      <c r="S78" s="51"/>
      <c r="T78" s="51"/>
      <c r="U78" s="51"/>
      <c r="V78" s="51"/>
      <c r="W78" s="51"/>
      <c r="X78" s="51"/>
      <c r="Y78" s="51"/>
      <c r="Z78" s="51"/>
      <c r="AA78" s="51"/>
      <c r="AB78" s="51"/>
      <c r="AC78" s="51"/>
      <c r="AD78" s="51"/>
      <c r="AE78" s="51"/>
      <c r="AF78" s="51"/>
      <c r="AG78" s="51"/>
      <c r="AH78" s="51"/>
      <c r="AI78" s="51"/>
      <c r="AJ78" s="51"/>
      <c r="AK78" s="51"/>
      <c r="AL78" s="51"/>
      <c r="AM78" s="51"/>
      <c r="AN78" s="51"/>
      <c r="AO78" s="51"/>
      <c r="AP78" s="51"/>
      <c r="AQ78" s="51"/>
      <c r="AR78" s="51"/>
      <c r="AS78" s="51"/>
      <c r="AT78" s="51"/>
      <c r="AU78" s="51"/>
      <c r="AV78" s="51"/>
      <c r="AW78" s="51"/>
      <c r="AX78" s="51"/>
      <c r="AY78" s="51"/>
    </row>
    <row r="79" spans="1:51" ht="13.5" customHeight="1">
      <c r="A79" s="90"/>
      <c r="B79" s="82">
        <f t="shared" si="4"/>
        <v>2052</v>
      </c>
      <c r="C79" s="82"/>
      <c r="D79" s="117"/>
      <c r="E79" s="1257">
        <f t="shared" si="1"/>
        <v>1.19</v>
      </c>
      <c r="F79" s="932">
        <f>1</f>
        <v>1</v>
      </c>
      <c r="G79" s="74">
        <f t="shared" si="2"/>
        <v>0.84033613445378152</v>
      </c>
      <c r="H79" s="73">
        <f t="shared" si="3"/>
        <v>1.19</v>
      </c>
      <c r="I79" s="431">
        <f>1</f>
        <v>1</v>
      </c>
      <c r="J79" s="51"/>
      <c r="K79" s="51"/>
      <c r="L79" s="51"/>
      <c r="M79" s="51"/>
      <c r="N79" s="51"/>
      <c r="O79" s="51"/>
      <c r="P79" s="51"/>
      <c r="Q79" s="51"/>
      <c r="R79" s="51"/>
      <c r="S79" s="51"/>
      <c r="T79" s="51"/>
      <c r="U79" s="51"/>
      <c r="V79" s="51"/>
      <c r="W79" s="51"/>
      <c r="X79" s="51"/>
      <c r="Y79" s="51"/>
      <c r="Z79" s="51"/>
      <c r="AA79" s="51"/>
      <c r="AB79" s="51"/>
      <c r="AC79" s="51"/>
      <c r="AD79" s="51"/>
      <c r="AE79" s="51"/>
      <c r="AF79" s="51"/>
      <c r="AG79" s="51"/>
      <c r="AH79" s="51"/>
      <c r="AI79" s="51"/>
      <c r="AJ79" s="51"/>
      <c r="AK79" s="51"/>
      <c r="AL79" s="51"/>
      <c r="AM79" s="51"/>
      <c r="AN79" s="51"/>
      <c r="AO79" s="51"/>
      <c r="AP79" s="51"/>
      <c r="AQ79" s="51"/>
      <c r="AR79" s="51"/>
      <c r="AS79" s="51"/>
      <c r="AT79" s="51"/>
      <c r="AU79" s="51"/>
      <c r="AV79" s="51"/>
      <c r="AW79" s="51"/>
      <c r="AX79" s="51"/>
      <c r="AY79" s="51"/>
    </row>
    <row r="80" spans="1:51" ht="13.5" customHeight="1">
      <c r="A80" s="90"/>
      <c r="B80" s="82">
        <f t="shared" si="4"/>
        <v>2053</v>
      </c>
      <c r="C80" s="82"/>
      <c r="D80" s="117"/>
      <c r="E80" s="1257">
        <f t="shared" si="1"/>
        <v>1.19</v>
      </c>
      <c r="F80" s="932">
        <f>1</f>
        <v>1</v>
      </c>
      <c r="G80" s="74">
        <f t="shared" si="2"/>
        <v>0.84033613445378152</v>
      </c>
      <c r="H80" s="73">
        <f t="shared" si="3"/>
        <v>1.19</v>
      </c>
      <c r="I80" s="431">
        <f>1</f>
        <v>1</v>
      </c>
      <c r="J80" s="51"/>
      <c r="K80" s="51"/>
      <c r="L80" s="51"/>
      <c r="M80" s="51"/>
      <c r="N80" s="51"/>
      <c r="O80" s="51"/>
      <c r="P80" s="51"/>
      <c r="Q80" s="51"/>
      <c r="R80" s="51"/>
      <c r="S80" s="51"/>
      <c r="T80" s="51"/>
      <c r="U80" s="51"/>
      <c r="V80" s="51"/>
      <c r="W80" s="51"/>
      <c r="X80" s="51"/>
      <c r="Y80" s="51"/>
      <c r="Z80" s="51"/>
      <c r="AA80" s="51"/>
      <c r="AB80" s="51"/>
      <c r="AC80" s="51"/>
      <c r="AD80" s="51"/>
      <c r="AE80" s="51"/>
      <c r="AF80" s="51"/>
      <c r="AG80" s="51"/>
      <c r="AH80" s="51"/>
      <c r="AI80" s="51"/>
      <c r="AJ80" s="51"/>
      <c r="AK80" s="51"/>
      <c r="AL80" s="51"/>
      <c r="AM80" s="51"/>
      <c r="AN80" s="51"/>
      <c r="AO80" s="51"/>
      <c r="AP80" s="51"/>
      <c r="AQ80" s="51"/>
      <c r="AR80" s="51"/>
      <c r="AS80" s="51"/>
      <c r="AT80" s="51"/>
      <c r="AU80" s="51"/>
      <c r="AV80" s="51"/>
      <c r="AW80" s="51"/>
      <c r="AX80" s="51"/>
      <c r="AY80" s="51"/>
    </row>
    <row r="81" spans="1:51" ht="13.5" customHeight="1">
      <c r="A81" s="90"/>
      <c r="B81" s="82">
        <f t="shared" si="4"/>
        <v>2054</v>
      </c>
      <c r="C81" s="82"/>
      <c r="D81" s="117"/>
      <c r="E81" s="1257">
        <f t="shared" si="1"/>
        <v>1.19</v>
      </c>
      <c r="F81" s="932">
        <f>1</f>
        <v>1</v>
      </c>
      <c r="G81" s="74">
        <f t="shared" si="2"/>
        <v>0.84033613445378152</v>
      </c>
      <c r="H81" s="73">
        <f t="shared" si="3"/>
        <v>1.19</v>
      </c>
      <c r="I81" s="431">
        <f>1</f>
        <v>1</v>
      </c>
      <c r="J81" s="51"/>
      <c r="K81" s="51"/>
      <c r="L81" s="51"/>
      <c r="M81" s="51"/>
      <c r="N81" s="51"/>
      <c r="O81" s="51"/>
      <c r="P81" s="51"/>
      <c r="Q81" s="51"/>
      <c r="R81" s="51"/>
      <c r="S81" s="51"/>
      <c r="T81" s="51"/>
      <c r="U81" s="51"/>
      <c r="V81" s="51"/>
      <c r="W81" s="51"/>
      <c r="X81" s="51"/>
      <c r="Y81" s="51"/>
      <c r="Z81" s="51"/>
      <c r="AA81" s="51"/>
      <c r="AB81" s="51"/>
      <c r="AC81" s="51"/>
      <c r="AD81" s="51"/>
      <c r="AE81" s="51"/>
      <c r="AF81" s="51"/>
      <c r="AG81" s="51"/>
      <c r="AH81" s="51"/>
      <c r="AI81" s="51"/>
      <c r="AJ81" s="51"/>
      <c r="AK81" s="51"/>
      <c r="AL81" s="51"/>
      <c r="AM81" s="51"/>
      <c r="AN81" s="51"/>
      <c r="AO81" s="51"/>
      <c r="AP81" s="51"/>
      <c r="AQ81" s="51"/>
      <c r="AR81" s="51"/>
      <c r="AS81" s="51"/>
      <c r="AT81" s="51"/>
      <c r="AU81" s="51"/>
      <c r="AV81" s="51"/>
      <c r="AW81" s="51"/>
      <c r="AX81" s="51"/>
      <c r="AY81" s="51"/>
    </row>
    <row r="82" spans="1:51" ht="13.5" customHeight="1">
      <c r="A82" s="90"/>
      <c r="B82" s="82">
        <f t="shared" si="4"/>
        <v>2055</v>
      </c>
      <c r="C82" s="82"/>
      <c r="D82" s="117"/>
      <c r="E82" s="1257">
        <f t="shared" si="1"/>
        <v>1.19</v>
      </c>
      <c r="F82" s="932">
        <f>1</f>
        <v>1</v>
      </c>
      <c r="G82" s="74">
        <f t="shared" si="2"/>
        <v>0.84033613445378152</v>
      </c>
      <c r="H82" s="73">
        <f t="shared" si="3"/>
        <v>1.19</v>
      </c>
      <c r="I82" s="431">
        <f>1</f>
        <v>1</v>
      </c>
      <c r="J82" s="51"/>
      <c r="K82" s="51"/>
      <c r="L82" s="51"/>
      <c r="M82" s="51"/>
      <c r="N82" s="51"/>
      <c r="O82" s="51"/>
      <c r="P82" s="51"/>
      <c r="Q82" s="51"/>
      <c r="R82" s="51"/>
      <c r="S82" s="51"/>
      <c r="T82" s="51"/>
      <c r="U82" s="51"/>
      <c r="V82" s="51"/>
      <c r="W82" s="51"/>
      <c r="X82" s="51"/>
      <c r="Y82" s="51"/>
      <c r="Z82" s="51"/>
      <c r="AA82" s="51"/>
      <c r="AB82" s="51"/>
      <c r="AC82" s="51"/>
      <c r="AD82" s="51"/>
      <c r="AE82" s="51"/>
      <c r="AF82" s="51"/>
      <c r="AG82" s="51"/>
      <c r="AH82" s="51"/>
      <c r="AI82" s="51"/>
      <c r="AJ82" s="51"/>
      <c r="AK82" s="51"/>
      <c r="AL82" s="51"/>
      <c r="AM82" s="51"/>
      <c r="AN82" s="51"/>
      <c r="AO82" s="51"/>
      <c r="AP82" s="51"/>
      <c r="AQ82" s="51"/>
      <c r="AR82" s="51"/>
      <c r="AS82" s="51"/>
      <c r="AT82" s="51"/>
      <c r="AU82" s="51"/>
      <c r="AV82" s="51"/>
      <c r="AW82" s="51"/>
      <c r="AX82" s="51"/>
      <c r="AY82" s="51"/>
    </row>
    <row r="83" spans="1:51" ht="13.5" customHeight="1">
      <c r="A83" s="90"/>
      <c r="B83" s="82">
        <f t="shared" si="4"/>
        <v>2056</v>
      </c>
      <c r="C83" s="82"/>
      <c r="D83" s="117"/>
      <c r="E83" s="1257">
        <f t="shared" si="1"/>
        <v>1.19</v>
      </c>
      <c r="F83" s="932">
        <f>1</f>
        <v>1</v>
      </c>
      <c r="G83" s="74">
        <f t="shared" si="2"/>
        <v>0.84033613445378152</v>
      </c>
      <c r="H83" s="73">
        <f t="shared" si="3"/>
        <v>1.19</v>
      </c>
      <c r="I83" s="431">
        <f>1</f>
        <v>1</v>
      </c>
      <c r="J83" s="51"/>
      <c r="K83" s="51"/>
      <c r="L83" s="51"/>
      <c r="M83" s="51"/>
      <c r="N83" s="51"/>
      <c r="O83" s="51"/>
      <c r="P83" s="51"/>
      <c r="Q83" s="51"/>
      <c r="R83" s="51"/>
      <c r="S83" s="51"/>
      <c r="T83" s="51"/>
      <c r="U83" s="51"/>
      <c r="V83" s="51"/>
      <c r="W83" s="51"/>
      <c r="X83" s="51"/>
      <c r="Y83" s="51"/>
      <c r="Z83" s="51"/>
      <c r="AA83" s="51"/>
      <c r="AB83" s="51"/>
      <c r="AC83" s="51"/>
      <c r="AD83" s="51"/>
      <c r="AE83" s="51"/>
      <c r="AF83" s="51"/>
      <c r="AG83" s="51"/>
      <c r="AH83" s="51"/>
      <c r="AI83" s="51"/>
      <c r="AJ83" s="51"/>
      <c r="AK83" s="51"/>
      <c r="AL83" s="51"/>
      <c r="AM83" s="51"/>
      <c r="AN83" s="51"/>
      <c r="AO83" s="51"/>
      <c r="AP83" s="51"/>
      <c r="AQ83" s="51"/>
      <c r="AR83" s="51"/>
      <c r="AS83" s="51"/>
      <c r="AT83" s="51"/>
      <c r="AU83" s="51"/>
      <c r="AV83" s="51"/>
      <c r="AW83" s="51"/>
      <c r="AX83" s="51"/>
      <c r="AY83" s="51"/>
    </row>
    <row r="84" spans="1:51" ht="13.5" customHeight="1">
      <c r="A84" s="90"/>
      <c r="B84" s="82">
        <f t="shared" si="4"/>
        <v>2057</v>
      </c>
      <c r="C84" s="82"/>
      <c r="D84" s="117"/>
      <c r="E84" s="1257">
        <f t="shared" si="1"/>
        <v>1.19</v>
      </c>
      <c r="F84" s="932">
        <f>1</f>
        <v>1</v>
      </c>
      <c r="G84" s="74">
        <f t="shared" si="2"/>
        <v>0.84033613445378152</v>
      </c>
      <c r="H84" s="73">
        <f t="shared" si="3"/>
        <v>1.19</v>
      </c>
      <c r="I84" s="431">
        <f>1</f>
        <v>1</v>
      </c>
      <c r="J84" s="51"/>
      <c r="K84" s="51"/>
      <c r="L84" s="51"/>
      <c r="M84" s="51"/>
      <c r="N84" s="51"/>
      <c r="O84" s="51"/>
      <c r="P84" s="51"/>
      <c r="Q84" s="51"/>
      <c r="R84" s="51"/>
      <c r="S84" s="51"/>
      <c r="T84" s="51"/>
      <c r="U84" s="51"/>
      <c r="V84" s="51"/>
      <c r="W84" s="51"/>
      <c r="X84" s="51"/>
      <c r="Y84" s="51"/>
      <c r="Z84" s="51"/>
      <c r="AA84" s="51"/>
      <c r="AB84" s="51"/>
      <c r="AC84" s="51"/>
      <c r="AD84" s="51"/>
      <c r="AE84" s="51"/>
      <c r="AF84" s="51"/>
      <c r="AG84" s="51"/>
      <c r="AH84" s="51"/>
      <c r="AI84" s="51"/>
      <c r="AJ84" s="51"/>
      <c r="AK84" s="51"/>
      <c r="AL84" s="51"/>
      <c r="AM84" s="51"/>
      <c r="AN84" s="51"/>
      <c r="AO84" s="51"/>
      <c r="AP84" s="51"/>
      <c r="AQ84" s="51"/>
      <c r="AR84" s="51"/>
      <c r="AS84" s="51"/>
      <c r="AT84" s="51"/>
      <c r="AU84" s="51"/>
      <c r="AV84" s="51"/>
      <c r="AW84" s="51"/>
      <c r="AX84" s="51"/>
      <c r="AY84" s="51"/>
    </row>
    <row r="85" spans="1:51" ht="13.5" customHeight="1">
      <c r="A85" s="90"/>
      <c r="B85" s="82">
        <f t="shared" si="4"/>
        <v>2058</v>
      </c>
      <c r="C85" s="82"/>
      <c r="D85" s="117"/>
      <c r="E85" s="1257">
        <f t="shared" si="1"/>
        <v>1.19</v>
      </c>
      <c r="F85" s="932">
        <f>1</f>
        <v>1</v>
      </c>
      <c r="G85" s="74">
        <f t="shared" si="2"/>
        <v>0.84033613445378152</v>
      </c>
      <c r="H85" s="73">
        <f t="shared" si="3"/>
        <v>1.19</v>
      </c>
      <c r="I85" s="431">
        <f>1</f>
        <v>1</v>
      </c>
      <c r="J85" s="51"/>
      <c r="K85" s="51"/>
      <c r="L85" s="51"/>
      <c r="M85" s="51"/>
      <c r="N85" s="51"/>
      <c r="O85" s="51"/>
      <c r="P85" s="51"/>
      <c r="Q85" s="51"/>
      <c r="R85" s="51"/>
      <c r="S85" s="51"/>
      <c r="T85" s="51"/>
      <c r="U85" s="51"/>
      <c r="V85" s="51"/>
      <c r="W85" s="51"/>
      <c r="X85" s="51"/>
      <c r="Y85" s="51"/>
      <c r="Z85" s="51"/>
      <c r="AA85" s="51"/>
      <c r="AB85" s="51"/>
      <c r="AC85" s="51"/>
      <c r="AD85" s="51"/>
      <c r="AE85" s="51"/>
      <c r="AF85" s="51"/>
      <c r="AG85" s="51"/>
      <c r="AH85" s="51"/>
      <c r="AI85" s="51"/>
      <c r="AJ85" s="51"/>
      <c r="AK85" s="51"/>
      <c r="AL85" s="51"/>
      <c r="AM85" s="51"/>
      <c r="AN85" s="51"/>
      <c r="AO85" s="51"/>
      <c r="AP85" s="51"/>
      <c r="AQ85" s="51"/>
      <c r="AR85" s="51"/>
      <c r="AS85" s="51"/>
      <c r="AT85" s="51"/>
      <c r="AU85" s="51"/>
      <c r="AV85" s="51"/>
      <c r="AW85" s="51"/>
      <c r="AX85" s="51"/>
      <c r="AY85" s="51"/>
    </row>
    <row r="86" spans="1:51" ht="13.5" customHeight="1">
      <c r="A86" s="90"/>
      <c r="B86" s="82">
        <f t="shared" si="4"/>
        <v>2059</v>
      </c>
      <c r="C86" s="82"/>
      <c r="D86" s="117"/>
      <c r="E86" s="1257">
        <f t="shared" si="1"/>
        <v>1.19</v>
      </c>
      <c r="F86" s="932">
        <f>1</f>
        <v>1</v>
      </c>
      <c r="G86" s="74">
        <f t="shared" si="2"/>
        <v>0.84033613445378152</v>
      </c>
      <c r="H86" s="73">
        <f t="shared" si="3"/>
        <v>1.19</v>
      </c>
      <c r="I86" s="431">
        <f>1</f>
        <v>1</v>
      </c>
      <c r="J86" s="51"/>
      <c r="K86" s="51"/>
      <c r="L86" s="51"/>
      <c r="M86" s="51"/>
      <c r="N86" s="51"/>
      <c r="O86" s="51"/>
      <c r="P86" s="51"/>
      <c r="Q86" s="51"/>
      <c r="R86" s="51"/>
      <c r="S86" s="51"/>
      <c r="T86" s="51"/>
      <c r="U86" s="51"/>
      <c r="V86" s="51"/>
      <c r="W86" s="51"/>
      <c r="X86" s="51"/>
      <c r="Y86" s="51"/>
      <c r="Z86" s="51"/>
      <c r="AA86" s="51"/>
      <c r="AB86" s="51"/>
      <c r="AC86" s="51"/>
      <c r="AD86" s="51"/>
      <c r="AE86" s="51"/>
      <c r="AF86" s="51"/>
      <c r="AG86" s="51"/>
      <c r="AH86" s="51"/>
      <c r="AI86" s="51"/>
      <c r="AJ86" s="51"/>
      <c r="AK86" s="51"/>
      <c r="AL86" s="51"/>
      <c r="AM86" s="51"/>
      <c r="AN86" s="51"/>
      <c r="AO86" s="51"/>
      <c r="AP86" s="51"/>
      <c r="AQ86" s="51"/>
      <c r="AR86" s="51"/>
      <c r="AS86" s="51"/>
      <c r="AT86" s="51"/>
      <c r="AU86" s="51"/>
      <c r="AV86" s="51"/>
      <c r="AW86" s="51"/>
      <c r="AX86" s="51"/>
      <c r="AY86" s="51"/>
    </row>
    <row r="87" spans="1:51" ht="13.5" customHeight="1">
      <c r="A87" s="90"/>
      <c r="B87" s="82">
        <f t="shared" si="4"/>
        <v>2060</v>
      </c>
      <c r="C87" s="82"/>
      <c r="D87" s="117"/>
      <c r="E87" s="1257">
        <f t="shared" si="1"/>
        <v>1.19</v>
      </c>
      <c r="F87" s="932">
        <f>1</f>
        <v>1</v>
      </c>
      <c r="G87" s="74">
        <f t="shared" si="2"/>
        <v>0.84033613445378152</v>
      </c>
      <c r="H87" s="73">
        <f t="shared" si="3"/>
        <v>1.19</v>
      </c>
      <c r="I87" s="431">
        <f>1</f>
        <v>1</v>
      </c>
      <c r="J87" s="51"/>
      <c r="K87" s="51"/>
      <c r="L87" s="51"/>
      <c r="M87" s="51"/>
      <c r="N87" s="51"/>
      <c r="O87" s="51"/>
      <c r="P87" s="51"/>
      <c r="Q87" s="51"/>
      <c r="R87" s="51"/>
      <c r="S87" s="51"/>
      <c r="T87" s="51"/>
      <c r="U87" s="51"/>
      <c r="V87" s="51"/>
      <c r="W87" s="51"/>
      <c r="X87" s="51"/>
      <c r="Y87" s="51"/>
      <c r="Z87" s="51"/>
      <c r="AA87" s="51"/>
      <c r="AB87" s="51"/>
      <c r="AC87" s="51"/>
      <c r="AD87" s="51"/>
      <c r="AE87" s="51"/>
      <c r="AF87" s="51"/>
      <c r="AG87" s="51"/>
      <c r="AH87" s="51"/>
      <c r="AI87" s="51"/>
      <c r="AJ87" s="51"/>
      <c r="AK87" s="51"/>
      <c r="AL87" s="51"/>
      <c r="AM87" s="51"/>
      <c r="AN87" s="51"/>
      <c r="AO87" s="51"/>
      <c r="AP87" s="51"/>
      <c r="AQ87" s="51"/>
      <c r="AR87" s="51"/>
      <c r="AS87" s="51"/>
      <c r="AT87" s="51"/>
      <c r="AU87" s="51"/>
      <c r="AV87" s="51"/>
      <c r="AW87" s="51"/>
      <c r="AX87" s="51"/>
      <c r="AY87" s="51"/>
    </row>
    <row r="88" spans="1:51" ht="13.5" customHeight="1">
      <c r="A88" s="90"/>
      <c r="B88" s="82">
        <f t="shared" si="4"/>
        <v>2061</v>
      </c>
      <c r="C88" s="82"/>
      <c r="D88" s="117"/>
      <c r="E88" s="1257">
        <f t="shared" si="1"/>
        <v>1.19</v>
      </c>
      <c r="F88" s="932">
        <f>1</f>
        <v>1</v>
      </c>
      <c r="G88" s="74">
        <f t="shared" si="2"/>
        <v>0.84033613445378152</v>
      </c>
      <c r="H88" s="73">
        <f t="shared" si="3"/>
        <v>1.19</v>
      </c>
      <c r="I88" s="431">
        <f>1</f>
        <v>1</v>
      </c>
      <c r="J88" s="51"/>
      <c r="K88" s="51"/>
      <c r="L88" s="51"/>
      <c r="M88" s="51"/>
      <c r="N88" s="51"/>
      <c r="O88" s="51"/>
      <c r="P88" s="51"/>
      <c r="Q88" s="51"/>
      <c r="R88" s="51"/>
      <c r="S88" s="51"/>
      <c r="T88" s="51"/>
      <c r="U88" s="51"/>
      <c r="V88" s="51"/>
      <c r="W88" s="51"/>
      <c r="X88" s="51"/>
      <c r="Y88" s="51"/>
      <c r="Z88" s="51"/>
      <c r="AA88" s="51"/>
      <c r="AB88" s="51"/>
      <c r="AC88" s="51"/>
      <c r="AD88" s="51"/>
      <c r="AE88" s="51"/>
      <c r="AF88" s="51"/>
      <c r="AG88" s="51"/>
      <c r="AH88" s="51"/>
      <c r="AI88" s="51"/>
      <c r="AJ88" s="51"/>
      <c r="AK88" s="51"/>
      <c r="AL88" s="51"/>
      <c r="AM88" s="51"/>
      <c r="AN88" s="51"/>
      <c r="AO88" s="51"/>
      <c r="AP88" s="51"/>
      <c r="AQ88" s="51"/>
      <c r="AR88" s="51"/>
      <c r="AS88" s="51"/>
      <c r="AT88" s="51"/>
      <c r="AU88" s="51"/>
      <c r="AV88" s="51"/>
      <c r="AW88" s="51"/>
      <c r="AX88" s="51"/>
      <c r="AY88" s="51"/>
    </row>
    <row r="89" spans="1:51" ht="13.5" customHeight="1">
      <c r="A89" s="90"/>
      <c r="B89" s="82">
        <f t="shared" si="4"/>
        <v>2062</v>
      </c>
      <c r="C89" s="82"/>
      <c r="D89" s="117"/>
      <c r="E89" s="1257">
        <f t="shared" si="1"/>
        <v>1.19</v>
      </c>
      <c r="F89" s="932">
        <f>1</f>
        <v>1</v>
      </c>
      <c r="G89" s="74">
        <f t="shared" si="2"/>
        <v>0.84033613445378152</v>
      </c>
      <c r="H89" s="73">
        <f t="shared" si="3"/>
        <v>1.19</v>
      </c>
      <c r="I89" s="431">
        <f>1</f>
        <v>1</v>
      </c>
      <c r="J89" s="51"/>
      <c r="K89" s="51"/>
      <c r="L89" s="51"/>
      <c r="M89" s="51"/>
      <c r="N89" s="51"/>
      <c r="O89" s="51"/>
      <c r="P89" s="51"/>
      <c r="Q89" s="51"/>
      <c r="R89" s="51"/>
      <c r="S89" s="51"/>
      <c r="T89" s="51"/>
      <c r="U89" s="51"/>
      <c r="V89" s="51"/>
      <c r="W89" s="51"/>
      <c r="X89" s="51"/>
      <c r="Y89" s="51"/>
      <c r="Z89" s="51"/>
      <c r="AA89" s="51"/>
      <c r="AB89" s="51"/>
      <c r="AC89" s="51"/>
      <c r="AD89" s="51"/>
      <c r="AE89" s="51"/>
      <c r="AF89" s="51"/>
      <c r="AG89" s="51"/>
      <c r="AH89" s="51"/>
      <c r="AI89" s="51"/>
      <c r="AJ89" s="51"/>
      <c r="AK89" s="51"/>
      <c r="AL89" s="51"/>
      <c r="AM89" s="51"/>
      <c r="AN89" s="51"/>
      <c r="AO89" s="51"/>
      <c r="AP89" s="51"/>
      <c r="AQ89" s="51"/>
      <c r="AR89" s="51"/>
      <c r="AS89" s="51"/>
      <c r="AT89" s="51"/>
      <c r="AU89" s="51"/>
      <c r="AV89" s="51"/>
      <c r="AW89" s="51"/>
      <c r="AX89" s="51"/>
      <c r="AY89" s="51"/>
    </row>
    <row r="90" spans="1:51" ht="13.5" customHeight="1">
      <c r="A90" s="90"/>
      <c r="B90" s="82">
        <f t="shared" si="4"/>
        <v>2063</v>
      </c>
      <c r="C90" s="82"/>
      <c r="D90" s="117"/>
      <c r="E90" s="1257">
        <f t="shared" si="1"/>
        <v>1.19</v>
      </c>
      <c r="F90" s="932">
        <f>1</f>
        <v>1</v>
      </c>
      <c r="G90" s="74">
        <f t="shared" si="2"/>
        <v>0.84033613445378152</v>
      </c>
      <c r="H90" s="73">
        <f t="shared" si="3"/>
        <v>1.19</v>
      </c>
      <c r="I90" s="431">
        <f>1</f>
        <v>1</v>
      </c>
      <c r="J90" s="51"/>
      <c r="K90" s="51"/>
      <c r="L90" s="51"/>
      <c r="M90" s="51"/>
      <c r="N90" s="51"/>
      <c r="O90" s="51"/>
      <c r="P90" s="51"/>
      <c r="Q90" s="51"/>
      <c r="R90" s="51"/>
      <c r="S90" s="51"/>
      <c r="T90" s="51"/>
      <c r="U90" s="51"/>
      <c r="V90" s="51"/>
      <c r="W90" s="51"/>
      <c r="X90" s="51"/>
      <c r="Y90" s="51"/>
      <c r="Z90" s="51"/>
      <c r="AA90" s="51"/>
      <c r="AB90" s="51"/>
      <c r="AC90" s="51"/>
      <c r="AD90" s="51"/>
      <c r="AE90" s="51"/>
      <c r="AF90" s="51"/>
      <c r="AG90" s="51"/>
      <c r="AH90" s="51"/>
      <c r="AI90" s="51"/>
      <c r="AJ90" s="51"/>
      <c r="AK90" s="51"/>
      <c r="AL90" s="51"/>
      <c r="AM90" s="51"/>
      <c r="AN90" s="51"/>
      <c r="AO90" s="51"/>
      <c r="AP90" s="51"/>
      <c r="AQ90" s="51"/>
      <c r="AR90" s="51"/>
      <c r="AS90" s="51"/>
      <c r="AT90" s="51"/>
      <c r="AU90" s="51"/>
      <c r="AV90" s="51"/>
      <c r="AW90" s="51"/>
      <c r="AX90" s="51"/>
      <c r="AY90" s="51"/>
    </row>
    <row r="91" spans="1:51" ht="13.5" customHeight="1">
      <c r="A91" s="90"/>
      <c r="B91" s="82">
        <f t="shared" si="4"/>
        <v>2064</v>
      </c>
      <c r="C91" s="82"/>
      <c r="D91" s="117"/>
      <c r="E91" s="1257">
        <f t="shared" si="1"/>
        <v>1.19</v>
      </c>
      <c r="F91" s="932">
        <f>1</f>
        <v>1</v>
      </c>
      <c r="G91" s="74">
        <f t="shared" si="2"/>
        <v>0.84033613445378152</v>
      </c>
      <c r="H91" s="73">
        <f t="shared" si="3"/>
        <v>1.19</v>
      </c>
      <c r="I91" s="431">
        <f>1</f>
        <v>1</v>
      </c>
      <c r="J91" s="51"/>
      <c r="K91" s="51"/>
      <c r="L91" s="51"/>
      <c r="M91" s="51"/>
      <c r="N91" s="51"/>
      <c r="O91" s="51"/>
      <c r="P91" s="51"/>
      <c r="Q91" s="51"/>
      <c r="R91" s="51"/>
      <c r="S91" s="51"/>
      <c r="T91" s="51"/>
      <c r="U91" s="51"/>
      <c r="V91" s="51"/>
      <c r="W91" s="51"/>
      <c r="X91" s="51"/>
      <c r="Y91" s="51"/>
      <c r="Z91" s="51"/>
      <c r="AA91" s="51"/>
      <c r="AB91" s="51"/>
      <c r="AC91" s="51"/>
      <c r="AD91" s="51"/>
      <c r="AE91" s="51"/>
      <c r="AF91" s="51"/>
      <c r="AG91" s="51"/>
      <c r="AH91" s="51"/>
      <c r="AI91" s="51"/>
      <c r="AJ91" s="51"/>
      <c r="AK91" s="51"/>
      <c r="AL91" s="51"/>
      <c r="AM91" s="51"/>
      <c r="AN91" s="51"/>
      <c r="AO91" s="51"/>
      <c r="AP91" s="51"/>
      <c r="AQ91" s="51"/>
      <c r="AR91" s="51"/>
      <c r="AS91" s="51"/>
      <c r="AT91" s="51"/>
      <c r="AU91" s="51"/>
      <c r="AV91" s="51"/>
      <c r="AW91" s="51"/>
      <c r="AX91" s="51"/>
      <c r="AY91" s="51"/>
    </row>
    <row r="92" spans="1:51" ht="13.5" customHeight="1">
      <c r="A92" s="90"/>
      <c r="B92" s="82">
        <f t="shared" ref="B92:B106" si="5">B91+1</f>
        <v>2065</v>
      </c>
      <c r="C92" s="82"/>
      <c r="D92" s="117"/>
      <c r="E92" s="1257">
        <f t="shared" ref="E92:E107" si="6">$C$15</f>
        <v>1.19</v>
      </c>
      <c r="F92" s="932">
        <f>1</f>
        <v>1</v>
      </c>
      <c r="G92" s="74">
        <f t="shared" ref="G92:G127" si="7">1/$E$27</f>
        <v>0.84033613445378152</v>
      </c>
      <c r="H92" s="73">
        <f t="shared" ref="H92:H127" si="8">$E$27</f>
        <v>1.19</v>
      </c>
      <c r="I92" s="431">
        <f>1</f>
        <v>1</v>
      </c>
      <c r="J92" s="51"/>
      <c r="K92" s="51"/>
      <c r="L92" s="51"/>
      <c r="M92" s="51"/>
      <c r="N92" s="51"/>
      <c r="O92" s="51"/>
      <c r="P92" s="51"/>
      <c r="Q92" s="51"/>
      <c r="R92" s="51"/>
      <c r="S92" s="51"/>
      <c r="T92" s="51"/>
      <c r="U92" s="51"/>
      <c r="V92" s="51"/>
      <c r="W92" s="51"/>
      <c r="X92" s="51"/>
      <c r="Y92" s="51"/>
      <c r="Z92" s="51"/>
      <c r="AA92" s="51"/>
      <c r="AB92" s="51"/>
      <c r="AC92" s="51"/>
      <c r="AD92" s="51"/>
      <c r="AE92" s="51"/>
      <c r="AF92" s="51"/>
      <c r="AG92" s="51"/>
      <c r="AH92" s="51"/>
      <c r="AI92" s="51"/>
      <c r="AJ92" s="51"/>
      <c r="AK92" s="51"/>
      <c r="AL92" s="51"/>
      <c r="AM92" s="51"/>
      <c r="AN92" s="51"/>
      <c r="AO92" s="51"/>
      <c r="AP92" s="51"/>
      <c r="AQ92" s="51"/>
      <c r="AR92" s="51"/>
      <c r="AS92" s="51"/>
      <c r="AT92" s="51"/>
      <c r="AU92" s="51"/>
      <c r="AV92" s="51"/>
      <c r="AW92" s="51"/>
      <c r="AX92" s="51"/>
      <c r="AY92" s="51"/>
    </row>
    <row r="93" spans="1:51" ht="13.5" customHeight="1">
      <c r="A93" s="90"/>
      <c r="B93" s="82">
        <f t="shared" si="5"/>
        <v>2066</v>
      </c>
      <c r="C93" s="82"/>
      <c r="D93" s="117"/>
      <c r="E93" s="1257">
        <f t="shared" si="6"/>
        <v>1.19</v>
      </c>
      <c r="F93" s="932">
        <f>1</f>
        <v>1</v>
      </c>
      <c r="G93" s="74">
        <f t="shared" si="7"/>
        <v>0.84033613445378152</v>
      </c>
      <c r="H93" s="73">
        <f t="shared" si="8"/>
        <v>1.19</v>
      </c>
      <c r="I93" s="431">
        <f>1</f>
        <v>1</v>
      </c>
      <c r="J93" s="51"/>
      <c r="K93" s="51"/>
      <c r="L93" s="51"/>
      <c r="M93" s="51"/>
      <c r="N93" s="51"/>
      <c r="O93" s="51"/>
      <c r="P93" s="51"/>
      <c r="Q93" s="51"/>
      <c r="R93" s="51"/>
      <c r="S93" s="51"/>
      <c r="T93" s="51"/>
      <c r="U93" s="51"/>
      <c r="V93" s="51"/>
      <c r="W93" s="51"/>
      <c r="X93" s="51"/>
      <c r="Y93" s="51"/>
      <c r="Z93" s="51"/>
      <c r="AA93" s="51"/>
      <c r="AB93" s="51"/>
      <c r="AC93" s="51"/>
      <c r="AD93" s="51"/>
      <c r="AE93" s="51"/>
      <c r="AF93" s="51"/>
      <c r="AG93" s="51"/>
      <c r="AH93" s="51"/>
      <c r="AI93" s="51"/>
      <c r="AJ93" s="51"/>
      <c r="AK93" s="51"/>
      <c r="AL93" s="51"/>
      <c r="AM93" s="51"/>
      <c r="AN93" s="51"/>
      <c r="AO93" s="51"/>
      <c r="AP93" s="51"/>
      <c r="AQ93" s="51"/>
      <c r="AR93" s="51"/>
      <c r="AS93" s="51"/>
      <c r="AT93" s="51"/>
      <c r="AU93" s="51"/>
      <c r="AV93" s="51"/>
      <c r="AW93" s="51"/>
      <c r="AX93" s="51"/>
      <c r="AY93" s="51"/>
    </row>
    <row r="94" spans="1:51" ht="13.5" customHeight="1">
      <c r="A94" s="90"/>
      <c r="B94" s="82">
        <f t="shared" si="5"/>
        <v>2067</v>
      </c>
      <c r="C94" s="82"/>
      <c r="D94" s="117"/>
      <c r="E94" s="1257">
        <f t="shared" si="6"/>
        <v>1.19</v>
      </c>
      <c r="F94" s="932">
        <f>1</f>
        <v>1</v>
      </c>
      <c r="G94" s="74">
        <f t="shared" si="7"/>
        <v>0.84033613445378152</v>
      </c>
      <c r="H94" s="73">
        <f t="shared" si="8"/>
        <v>1.19</v>
      </c>
      <c r="I94" s="431">
        <f>1</f>
        <v>1</v>
      </c>
      <c r="J94" s="51"/>
      <c r="K94" s="51"/>
      <c r="L94" s="51"/>
      <c r="M94" s="51"/>
      <c r="N94" s="51"/>
      <c r="O94" s="51"/>
      <c r="P94" s="51"/>
      <c r="Q94" s="51"/>
      <c r="R94" s="51"/>
      <c r="S94" s="51"/>
      <c r="T94" s="51"/>
      <c r="U94" s="51"/>
      <c r="V94" s="51"/>
      <c r="W94" s="51"/>
      <c r="X94" s="51"/>
      <c r="Y94" s="51"/>
      <c r="Z94" s="51"/>
      <c r="AA94" s="51"/>
      <c r="AB94" s="51"/>
      <c r="AC94" s="51"/>
      <c r="AD94" s="51"/>
      <c r="AE94" s="51"/>
      <c r="AF94" s="51"/>
      <c r="AG94" s="51"/>
      <c r="AH94" s="51"/>
      <c r="AI94" s="51"/>
      <c r="AJ94" s="51"/>
      <c r="AK94" s="51"/>
      <c r="AL94" s="51"/>
      <c r="AM94" s="51"/>
      <c r="AN94" s="51"/>
      <c r="AO94" s="51"/>
      <c r="AP94" s="51"/>
      <c r="AQ94" s="51"/>
      <c r="AR94" s="51"/>
      <c r="AS94" s="51"/>
      <c r="AT94" s="51"/>
      <c r="AU94" s="51"/>
      <c r="AV94" s="51"/>
      <c r="AW94" s="51"/>
      <c r="AX94" s="51"/>
      <c r="AY94" s="51"/>
    </row>
    <row r="95" spans="1:51" ht="13.5" customHeight="1">
      <c r="A95" s="90"/>
      <c r="B95" s="82">
        <f t="shared" si="5"/>
        <v>2068</v>
      </c>
      <c r="C95" s="82"/>
      <c r="D95" s="117"/>
      <c r="E95" s="1257">
        <f t="shared" si="6"/>
        <v>1.19</v>
      </c>
      <c r="F95" s="932">
        <f>1</f>
        <v>1</v>
      </c>
      <c r="G95" s="74">
        <f t="shared" si="7"/>
        <v>0.84033613445378152</v>
      </c>
      <c r="H95" s="73">
        <f t="shared" si="8"/>
        <v>1.19</v>
      </c>
      <c r="I95" s="431">
        <f>1</f>
        <v>1</v>
      </c>
      <c r="J95" s="51"/>
      <c r="K95" s="51"/>
      <c r="L95" s="51"/>
      <c r="M95" s="51"/>
      <c r="N95" s="51"/>
      <c r="O95" s="51"/>
      <c r="P95" s="51"/>
      <c r="Q95" s="51"/>
      <c r="R95" s="51"/>
      <c r="S95" s="51"/>
      <c r="T95" s="51"/>
      <c r="U95" s="51"/>
      <c r="V95" s="51"/>
      <c r="W95" s="51"/>
      <c r="X95" s="51"/>
      <c r="Y95" s="51"/>
      <c r="Z95" s="51"/>
      <c r="AA95" s="51"/>
      <c r="AB95" s="51"/>
      <c r="AC95" s="51"/>
      <c r="AD95" s="51"/>
      <c r="AE95" s="51"/>
      <c r="AF95" s="51"/>
      <c r="AG95" s="51"/>
      <c r="AH95" s="51"/>
      <c r="AI95" s="51"/>
      <c r="AJ95" s="51"/>
      <c r="AK95" s="51"/>
      <c r="AL95" s="51"/>
      <c r="AM95" s="51"/>
      <c r="AN95" s="51"/>
      <c r="AO95" s="51"/>
      <c r="AP95" s="51"/>
      <c r="AQ95" s="51"/>
      <c r="AR95" s="51"/>
      <c r="AS95" s="51"/>
      <c r="AT95" s="51"/>
      <c r="AU95" s="51"/>
      <c r="AV95" s="51"/>
      <c r="AW95" s="51"/>
      <c r="AX95" s="51"/>
      <c r="AY95" s="51"/>
    </row>
    <row r="96" spans="1:51" ht="13.5" customHeight="1">
      <c r="A96" s="90"/>
      <c r="B96" s="82">
        <f t="shared" si="5"/>
        <v>2069</v>
      </c>
      <c r="C96" s="82"/>
      <c r="D96" s="117"/>
      <c r="E96" s="1257">
        <f t="shared" si="6"/>
        <v>1.19</v>
      </c>
      <c r="F96" s="932">
        <f>1</f>
        <v>1</v>
      </c>
      <c r="G96" s="74">
        <f t="shared" si="7"/>
        <v>0.84033613445378152</v>
      </c>
      <c r="H96" s="73">
        <f t="shared" si="8"/>
        <v>1.19</v>
      </c>
      <c r="I96" s="431">
        <f>1</f>
        <v>1</v>
      </c>
      <c r="J96" s="51"/>
      <c r="K96" s="51"/>
      <c r="L96" s="51"/>
      <c r="M96" s="51"/>
      <c r="N96" s="51"/>
      <c r="O96" s="51"/>
      <c r="P96" s="51"/>
      <c r="Q96" s="51"/>
      <c r="R96" s="51"/>
      <c r="S96" s="51"/>
      <c r="T96" s="51"/>
      <c r="U96" s="51"/>
      <c r="V96" s="51"/>
      <c r="W96" s="51"/>
      <c r="X96" s="51"/>
      <c r="Y96" s="51"/>
      <c r="Z96" s="51"/>
      <c r="AA96" s="51"/>
      <c r="AB96" s="51"/>
      <c r="AC96" s="51"/>
      <c r="AD96" s="51"/>
      <c r="AE96" s="51"/>
      <c r="AF96" s="51"/>
      <c r="AG96" s="51"/>
      <c r="AH96" s="51"/>
      <c r="AI96" s="51"/>
      <c r="AJ96" s="51"/>
      <c r="AK96" s="51"/>
      <c r="AL96" s="51"/>
      <c r="AM96" s="51"/>
      <c r="AN96" s="51"/>
      <c r="AO96" s="51"/>
      <c r="AP96" s="51"/>
      <c r="AQ96" s="51"/>
      <c r="AR96" s="51"/>
      <c r="AS96" s="51"/>
      <c r="AT96" s="51"/>
      <c r="AU96" s="51"/>
      <c r="AV96" s="51"/>
      <c r="AW96" s="51"/>
      <c r="AX96" s="51"/>
      <c r="AY96" s="51"/>
    </row>
    <row r="97" spans="1:51" ht="13.5" customHeight="1">
      <c r="A97" s="90"/>
      <c r="B97" s="82">
        <f t="shared" si="5"/>
        <v>2070</v>
      </c>
      <c r="C97" s="82"/>
      <c r="D97" s="117"/>
      <c r="E97" s="1257">
        <f t="shared" si="6"/>
        <v>1.19</v>
      </c>
      <c r="F97" s="932">
        <f>1</f>
        <v>1</v>
      </c>
      <c r="G97" s="74">
        <f t="shared" si="7"/>
        <v>0.84033613445378152</v>
      </c>
      <c r="H97" s="73">
        <f t="shared" si="8"/>
        <v>1.19</v>
      </c>
      <c r="I97" s="431">
        <f>1</f>
        <v>1</v>
      </c>
      <c r="J97" s="51"/>
      <c r="K97" s="51"/>
      <c r="L97" s="51"/>
      <c r="M97" s="51"/>
      <c r="N97" s="51"/>
      <c r="O97" s="51"/>
      <c r="P97" s="51"/>
      <c r="Q97" s="51"/>
      <c r="R97" s="51"/>
      <c r="S97" s="51"/>
      <c r="T97" s="51"/>
      <c r="U97" s="51"/>
      <c r="V97" s="51"/>
      <c r="W97" s="51"/>
      <c r="X97" s="51"/>
      <c r="Y97" s="51"/>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row>
    <row r="98" spans="1:51" ht="13.5" customHeight="1">
      <c r="A98" s="90"/>
      <c r="B98" s="82">
        <f t="shared" si="5"/>
        <v>2071</v>
      </c>
      <c r="C98" s="82"/>
      <c r="D98" s="117"/>
      <c r="E98" s="1257">
        <f t="shared" si="6"/>
        <v>1.19</v>
      </c>
      <c r="F98" s="932">
        <f>1</f>
        <v>1</v>
      </c>
      <c r="G98" s="74">
        <f t="shared" si="7"/>
        <v>0.84033613445378152</v>
      </c>
      <c r="H98" s="73">
        <f t="shared" si="8"/>
        <v>1.19</v>
      </c>
      <c r="I98" s="431">
        <f>1</f>
        <v>1</v>
      </c>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row>
    <row r="99" spans="1:51" ht="13.5" customHeight="1">
      <c r="A99" s="90"/>
      <c r="B99" s="82">
        <f t="shared" si="5"/>
        <v>2072</v>
      </c>
      <c r="C99" s="82"/>
      <c r="D99" s="117"/>
      <c r="E99" s="1257">
        <f t="shared" si="6"/>
        <v>1.19</v>
      </c>
      <c r="F99" s="932">
        <f>1</f>
        <v>1</v>
      </c>
      <c r="G99" s="74">
        <f t="shared" si="7"/>
        <v>0.84033613445378152</v>
      </c>
      <c r="H99" s="73">
        <f t="shared" si="8"/>
        <v>1.19</v>
      </c>
      <c r="I99" s="431">
        <f>1</f>
        <v>1</v>
      </c>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row>
    <row r="100" spans="1:51" ht="13.5" customHeight="1">
      <c r="A100" s="90"/>
      <c r="B100" s="82">
        <f t="shared" si="5"/>
        <v>2073</v>
      </c>
      <c r="C100" s="82"/>
      <c r="D100" s="117"/>
      <c r="E100" s="1257">
        <f t="shared" si="6"/>
        <v>1.19</v>
      </c>
      <c r="F100" s="932">
        <f>1</f>
        <v>1</v>
      </c>
      <c r="G100" s="74">
        <f t="shared" si="7"/>
        <v>0.84033613445378152</v>
      </c>
      <c r="H100" s="73">
        <f t="shared" si="8"/>
        <v>1.19</v>
      </c>
      <c r="I100" s="431">
        <f>1</f>
        <v>1</v>
      </c>
      <c r="J100" s="51"/>
      <c r="K100" s="51"/>
      <c r="L100" s="51"/>
      <c r="M100" s="51"/>
      <c r="N100" s="51"/>
      <c r="O100" s="51"/>
      <c r="P100" s="51"/>
      <c r="Q100" s="51"/>
      <c r="R100" s="51"/>
      <c r="S100" s="51"/>
      <c r="T100" s="51"/>
      <c r="U100" s="51"/>
      <c r="V100" s="51"/>
      <c r="W100" s="51"/>
      <c r="X100" s="51"/>
      <c r="Y100" s="51"/>
      <c r="Z100" s="51"/>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row>
    <row r="101" spans="1:51" ht="13.5" customHeight="1">
      <c r="A101" s="90"/>
      <c r="B101" s="82">
        <f t="shared" si="5"/>
        <v>2074</v>
      </c>
      <c r="C101" s="82"/>
      <c r="D101" s="117"/>
      <c r="E101" s="1257">
        <f t="shared" si="6"/>
        <v>1.19</v>
      </c>
      <c r="F101" s="932">
        <f>1</f>
        <v>1</v>
      </c>
      <c r="G101" s="74">
        <f t="shared" si="7"/>
        <v>0.84033613445378152</v>
      </c>
      <c r="H101" s="73">
        <f t="shared" si="8"/>
        <v>1.19</v>
      </c>
      <c r="I101" s="431">
        <f>1</f>
        <v>1</v>
      </c>
      <c r="J101" s="51"/>
      <c r="K101" s="51"/>
      <c r="L101" s="51"/>
      <c r="M101" s="51"/>
      <c r="N101" s="51"/>
      <c r="O101" s="51"/>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row>
    <row r="102" spans="1:51" ht="13.5" customHeight="1">
      <c r="A102" s="90"/>
      <c r="B102" s="82">
        <f t="shared" si="5"/>
        <v>2075</v>
      </c>
      <c r="C102" s="82"/>
      <c r="D102" s="117"/>
      <c r="E102" s="1257">
        <f t="shared" si="6"/>
        <v>1.19</v>
      </c>
      <c r="F102" s="932">
        <f>1</f>
        <v>1</v>
      </c>
      <c r="G102" s="74">
        <f t="shared" si="7"/>
        <v>0.84033613445378152</v>
      </c>
      <c r="H102" s="73">
        <f t="shared" si="8"/>
        <v>1.19</v>
      </c>
      <c r="I102" s="431">
        <f>1</f>
        <v>1</v>
      </c>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row>
    <row r="103" spans="1:51" ht="13.5" customHeight="1">
      <c r="A103" s="90"/>
      <c r="B103" s="82">
        <f t="shared" si="5"/>
        <v>2076</v>
      </c>
      <c r="C103" s="82"/>
      <c r="D103" s="117"/>
      <c r="E103" s="1257">
        <f t="shared" si="6"/>
        <v>1.19</v>
      </c>
      <c r="F103" s="932">
        <f>1</f>
        <v>1</v>
      </c>
      <c r="G103" s="74">
        <f t="shared" si="7"/>
        <v>0.84033613445378152</v>
      </c>
      <c r="H103" s="73">
        <f t="shared" si="8"/>
        <v>1.19</v>
      </c>
      <c r="I103" s="431">
        <f>1</f>
        <v>1</v>
      </c>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c r="AG103" s="51"/>
      <c r="AH103" s="51"/>
      <c r="AI103" s="51"/>
      <c r="AJ103" s="51"/>
      <c r="AK103" s="51"/>
      <c r="AL103" s="51"/>
      <c r="AM103" s="51"/>
      <c r="AN103" s="51"/>
      <c r="AO103" s="51"/>
      <c r="AP103" s="51"/>
      <c r="AQ103" s="51"/>
      <c r="AR103" s="51"/>
      <c r="AS103" s="51"/>
      <c r="AT103" s="51"/>
      <c r="AU103" s="51"/>
      <c r="AV103" s="51"/>
      <c r="AW103" s="51"/>
      <c r="AX103" s="51"/>
      <c r="AY103" s="51"/>
    </row>
    <row r="104" spans="1:51" ht="13.5" customHeight="1">
      <c r="A104" s="90"/>
      <c r="B104" s="82">
        <f t="shared" si="5"/>
        <v>2077</v>
      </c>
      <c r="C104" s="82"/>
      <c r="D104" s="117"/>
      <c r="E104" s="1257">
        <f t="shared" si="6"/>
        <v>1.19</v>
      </c>
      <c r="F104" s="932">
        <f>1</f>
        <v>1</v>
      </c>
      <c r="G104" s="74">
        <f t="shared" si="7"/>
        <v>0.84033613445378152</v>
      </c>
      <c r="H104" s="73">
        <f t="shared" si="8"/>
        <v>1.19</v>
      </c>
      <c r="I104" s="431">
        <f>1</f>
        <v>1</v>
      </c>
      <c r="J104" s="51"/>
      <c r="K104" s="51"/>
      <c r="L104" s="51"/>
      <c r="M104" s="51"/>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row>
    <row r="105" spans="1:51" ht="13.5" customHeight="1">
      <c r="A105" s="90"/>
      <c r="B105" s="82">
        <f t="shared" si="5"/>
        <v>2078</v>
      </c>
      <c r="C105" s="82"/>
      <c r="D105" s="117"/>
      <c r="E105" s="1257">
        <f t="shared" si="6"/>
        <v>1.19</v>
      </c>
      <c r="F105" s="932">
        <f>1</f>
        <v>1</v>
      </c>
      <c r="G105" s="74">
        <f t="shared" si="7"/>
        <v>0.84033613445378152</v>
      </c>
      <c r="H105" s="73">
        <f t="shared" si="8"/>
        <v>1.19</v>
      </c>
      <c r="I105" s="431">
        <f>1</f>
        <v>1</v>
      </c>
      <c r="J105" s="51"/>
      <c r="K105" s="51"/>
      <c r="L105" s="51"/>
      <c r="M105" s="51"/>
      <c r="N105" s="51"/>
      <c r="O105" s="51"/>
      <c r="P105" s="51"/>
      <c r="Q105" s="51"/>
      <c r="R105" s="51"/>
      <c r="S105" s="51"/>
      <c r="T105" s="51"/>
      <c r="U105" s="51"/>
      <c r="V105" s="51"/>
      <c r="W105" s="51"/>
      <c r="X105" s="51"/>
      <c r="Y105" s="51"/>
      <c r="Z105" s="51"/>
      <c r="AA105" s="51"/>
      <c r="AB105" s="51"/>
      <c r="AC105" s="51"/>
      <c r="AD105" s="51"/>
      <c r="AE105" s="51"/>
      <c r="AF105" s="51"/>
      <c r="AG105" s="51"/>
      <c r="AH105" s="51"/>
      <c r="AI105" s="51"/>
      <c r="AJ105" s="51"/>
      <c r="AK105" s="51"/>
      <c r="AL105" s="51"/>
      <c r="AM105" s="51"/>
      <c r="AN105" s="51"/>
      <c r="AO105" s="51"/>
      <c r="AP105" s="51"/>
      <c r="AQ105" s="51"/>
      <c r="AR105" s="51"/>
      <c r="AS105" s="51"/>
      <c r="AT105" s="51"/>
      <c r="AU105" s="51"/>
      <c r="AV105" s="51"/>
      <c r="AW105" s="51"/>
      <c r="AX105" s="51"/>
      <c r="AY105" s="51"/>
    </row>
    <row r="106" spans="1:51" ht="13.5" customHeight="1">
      <c r="A106" s="90"/>
      <c r="B106" s="82">
        <f t="shared" si="5"/>
        <v>2079</v>
      </c>
      <c r="C106" s="82"/>
      <c r="D106" s="117"/>
      <c r="E106" s="1257">
        <f t="shared" si="6"/>
        <v>1.19</v>
      </c>
      <c r="F106" s="932">
        <f>1</f>
        <v>1</v>
      </c>
      <c r="G106" s="74">
        <f t="shared" si="7"/>
        <v>0.84033613445378152</v>
      </c>
      <c r="H106" s="73">
        <f t="shared" si="8"/>
        <v>1.19</v>
      </c>
      <c r="I106" s="431">
        <f>1</f>
        <v>1</v>
      </c>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c r="AV106" s="51"/>
      <c r="AW106" s="51"/>
      <c r="AX106" s="51"/>
      <c r="AY106" s="51"/>
    </row>
    <row r="107" spans="1:51" ht="13.5" customHeight="1">
      <c r="A107" s="90"/>
      <c r="B107" s="82">
        <f t="shared" ref="B107:B127" si="9">B106+1</f>
        <v>2080</v>
      </c>
      <c r="C107" s="82"/>
      <c r="D107" s="117"/>
      <c r="E107" s="1257">
        <f t="shared" si="6"/>
        <v>1.19</v>
      </c>
      <c r="F107" s="932">
        <f>1</f>
        <v>1</v>
      </c>
      <c r="G107" s="74">
        <f t="shared" si="7"/>
        <v>0.84033613445378152</v>
      </c>
      <c r="H107" s="73">
        <f t="shared" si="8"/>
        <v>1.19</v>
      </c>
      <c r="I107" s="431">
        <f>1</f>
        <v>1</v>
      </c>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c r="AV107" s="51"/>
      <c r="AW107" s="51"/>
      <c r="AX107" s="51"/>
      <c r="AY107" s="51"/>
    </row>
    <row r="108" spans="1:51" ht="13.5" customHeight="1">
      <c r="A108" s="90"/>
      <c r="B108" s="82">
        <f t="shared" si="9"/>
        <v>2081</v>
      </c>
      <c r="C108" s="82"/>
      <c r="D108" s="117"/>
      <c r="E108" s="1257">
        <f t="shared" ref="E108:E127" si="10">$C$15</f>
        <v>1.19</v>
      </c>
      <c r="F108" s="932">
        <f>1</f>
        <v>1</v>
      </c>
      <c r="G108" s="74">
        <f t="shared" si="7"/>
        <v>0.84033613445378152</v>
      </c>
      <c r="H108" s="73">
        <f t="shared" si="8"/>
        <v>1.19</v>
      </c>
      <c r="I108" s="431">
        <f>1</f>
        <v>1</v>
      </c>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c r="AV108" s="51"/>
      <c r="AW108" s="51"/>
      <c r="AX108" s="51"/>
      <c r="AY108" s="51"/>
    </row>
    <row r="109" spans="1:51" ht="13.5" customHeight="1">
      <c r="A109" s="90"/>
      <c r="B109" s="82">
        <f t="shared" si="9"/>
        <v>2082</v>
      </c>
      <c r="C109" s="82"/>
      <c r="D109" s="117"/>
      <c r="E109" s="1257">
        <f t="shared" si="10"/>
        <v>1.19</v>
      </c>
      <c r="F109" s="932">
        <f>1</f>
        <v>1</v>
      </c>
      <c r="G109" s="74">
        <f t="shared" si="7"/>
        <v>0.84033613445378152</v>
      </c>
      <c r="H109" s="73">
        <f t="shared" si="8"/>
        <v>1.19</v>
      </c>
      <c r="I109" s="431">
        <f>1</f>
        <v>1</v>
      </c>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row>
    <row r="110" spans="1:51" ht="13.5" customHeight="1">
      <c r="A110" s="90"/>
      <c r="B110" s="82">
        <f t="shared" si="9"/>
        <v>2083</v>
      </c>
      <c r="C110" s="82"/>
      <c r="D110" s="117"/>
      <c r="E110" s="1257">
        <f t="shared" si="10"/>
        <v>1.19</v>
      </c>
      <c r="F110" s="932">
        <f>1</f>
        <v>1</v>
      </c>
      <c r="G110" s="74">
        <f t="shared" si="7"/>
        <v>0.84033613445378152</v>
      </c>
      <c r="H110" s="73">
        <f t="shared" si="8"/>
        <v>1.19</v>
      </c>
      <c r="I110" s="431">
        <f>1</f>
        <v>1</v>
      </c>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c r="AV110" s="51"/>
      <c r="AW110" s="51"/>
      <c r="AX110" s="51"/>
      <c r="AY110" s="51"/>
    </row>
    <row r="111" spans="1:51" ht="13.5" customHeight="1">
      <c r="A111" s="90"/>
      <c r="B111" s="82">
        <f t="shared" si="9"/>
        <v>2084</v>
      </c>
      <c r="C111" s="82"/>
      <c r="D111" s="117"/>
      <c r="E111" s="1257">
        <f t="shared" si="10"/>
        <v>1.19</v>
      </c>
      <c r="F111" s="932">
        <f>1</f>
        <v>1</v>
      </c>
      <c r="G111" s="74">
        <f t="shared" si="7"/>
        <v>0.84033613445378152</v>
      </c>
      <c r="H111" s="73">
        <f t="shared" si="8"/>
        <v>1.19</v>
      </c>
      <c r="I111" s="431">
        <f>1</f>
        <v>1</v>
      </c>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c r="AV111" s="51"/>
      <c r="AW111" s="51"/>
      <c r="AX111" s="51"/>
      <c r="AY111" s="51"/>
    </row>
    <row r="112" spans="1:51" ht="13.5" customHeight="1">
      <c r="A112" s="90"/>
      <c r="B112" s="82">
        <f t="shared" si="9"/>
        <v>2085</v>
      </c>
      <c r="C112" s="82"/>
      <c r="D112" s="117"/>
      <c r="E112" s="1257">
        <f t="shared" si="10"/>
        <v>1.19</v>
      </c>
      <c r="F112" s="932">
        <f>1</f>
        <v>1</v>
      </c>
      <c r="G112" s="74">
        <f t="shared" si="7"/>
        <v>0.84033613445378152</v>
      </c>
      <c r="H112" s="73">
        <f t="shared" si="8"/>
        <v>1.19</v>
      </c>
      <c r="I112" s="431">
        <f>1</f>
        <v>1</v>
      </c>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c r="AV112" s="51"/>
      <c r="AW112" s="51"/>
      <c r="AX112" s="51"/>
      <c r="AY112" s="51"/>
    </row>
    <row r="113" spans="1:51" ht="13.5" customHeight="1">
      <c r="A113" s="90"/>
      <c r="B113" s="82">
        <f t="shared" si="9"/>
        <v>2086</v>
      </c>
      <c r="C113" s="82"/>
      <c r="D113" s="117"/>
      <c r="E113" s="1257">
        <f t="shared" si="10"/>
        <v>1.19</v>
      </c>
      <c r="F113" s="932">
        <f>1</f>
        <v>1</v>
      </c>
      <c r="G113" s="74">
        <f t="shared" si="7"/>
        <v>0.84033613445378152</v>
      </c>
      <c r="H113" s="73">
        <f t="shared" si="8"/>
        <v>1.19</v>
      </c>
      <c r="I113" s="431">
        <f>1</f>
        <v>1</v>
      </c>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c r="AV113" s="51"/>
      <c r="AW113" s="51"/>
      <c r="AX113" s="51"/>
      <c r="AY113" s="51"/>
    </row>
    <row r="114" spans="1:51" ht="13.5" customHeight="1">
      <c r="A114" s="90"/>
      <c r="B114" s="82">
        <f t="shared" si="9"/>
        <v>2087</v>
      </c>
      <c r="C114" s="82"/>
      <c r="D114" s="117"/>
      <c r="E114" s="1257">
        <f t="shared" si="10"/>
        <v>1.19</v>
      </c>
      <c r="F114" s="932">
        <f>1</f>
        <v>1</v>
      </c>
      <c r="G114" s="74">
        <f t="shared" si="7"/>
        <v>0.84033613445378152</v>
      </c>
      <c r="H114" s="73">
        <f t="shared" si="8"/>
        <v>1.19</v>
      </c>
      <c r="I114" s="431">
        <f>1</f>
        <v>1</v>
      </c>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c r="AV114" s="51"/>
      <c r="AW114" s="51"/>
      <c r="AX114" s="51"/>
      <c r="AY114" s="51"/>
    </row>
    <row r="115" spans="1:51" ht="13.5" customHeight="1">
      <c r="A115" s="90"/>
      <c r="B115" s="82">
        <f t="shared" si="9"/>
        <v>2088</v>
      </c>
      <c r="C115" s="82"/>
      <c r="D115" s="117"/>
      <c r="E115" s="1257">
        <f t="shared" si="10"/>
        <v>1.19</v>
      </c>
      <c r="F115" s="932">
        <f>1</f>
        <v>1</v>
      </c>
      <c r="G115" s="74">
        <f t="shared" si="7"/>
        <v>0.84033613445378152</v>
      </c>
      <c r="H115" s="73">
        <f t="shared" si="8"/>
        <v>1.19</v>
      </c>
      <c r="I115" s="431">
        <f>1</f>
        <v>1</v>
      </c>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c r="AV115" s="51"/>
      <c r="AW115" s="51"/>
      <c r="AX115" s="51"/>
      <c r="AY115" s="51"/>
    </row>
    <row r="116" spans="1:51" ht="13.5" customHeight="1">
      <c r="A116" s="90"/>
      <c r="B116" s="82">
        <f t="shared" si="9"/>
        <v>2089</v>
      </c>
      <c r="C116" s="82"/>
      <c r="D116" s="117"/>
      <c r="E116" s="1257">
        <f t="shared" si="10"/>
        <v>1.19</v>
      </c>
      <c r="F116" s="932">
        <f>1</f>
        <v>1</v>
      </c>
      <c r="G116" s="74">
        <f t="shared" si="7"/>
        <v>0.84033613445378152</v>
      </c>
      <c r="H116" s="73">
        <f t="shared" si="8"/>
        <v>1.19</v>
      </c>
      <c r="I116" s="431">
        <f>1</f>
        <v>1</v>
      </c>
      <c r="J116" s="51"/>
      <c r="K116" s="51"/>
      <c r="L116" s="51"/>
      <c r="M116" s="51"/>
      <c r="N116" s="51"/>
      <c r="O116" s="51"/>
      <c r="P116" s="51"/>
      <c r="Q116" s="51"/>
      <c r="R116" s="51"/>
      <c r="S116" s="51"/>
      <c r="T116" s="51"/>
      <c r="U116" s="51"/>
      <c r="V116" s="51"/>
      <c r="W116" s="51"/>
      <c r="X116" s="51"/>
      <c r="Y116" s="51"/>
      <c r="Z116" s="51"/>
      <c r="AA116" s="51"/>
      <c r="AB116" s="51"/>
      <c r="AC116" s="51"/>
      <c r="AD116" s="51"/>
      <c r="AE116" s="51"/>
      <c r="AF116" s="51"/>
      <c r="AG116" s="51"/>
      <c r="AH116" s="51"/>
      <c r="AI116" s="51"/>
      <c r="AJ116" s="51"/>
      <c r="AK116" s="51"/>
      <c r="AL116" s="51"/>
      <c r="AM116" s="51"/>
      <c r="AN116" s="51"/>
      <c r="AO116" s="51"/>
      <c r="AP116" s="51"/>
      <c r="AQ116" s="51"/>
      <c r="AR116" s="51"/>
      <c r="AS116" s="51"/>
      <c r="AT116" s="51"/>
      <c r="AU116" s="51"/>
      <c r="AV116" s="51"/>
      <c r="AW116" s="51"/>
      <c r="AX116" s="51"/>
      <c r="AY116" s="51"/>
    </row>
    <row r="117" spans="1:51" ht="13.5" customHeight="1">
      <c r="A117" s="90"/>
      <c r="B117" s="82">
        <f t="shared" si="9"/>
        <v>2090</v>
      </c>
      <c r="C117" s="82"/>
      <c r="D117" s="117"/>
      <c r="E117" s="1257">
        <f t="shared" si="10"/>
        <v>1.19</v>
      </c>
      <c r="F117" s="932">
        <f>1</f>
        <v>1</v>
      </c>
      <c r="G117" s="74">
        <f t="shared" si="7"/>
        <v>0.84033613445378152</v>
      </c>
      <c r="H117" s="73">
        <f t="shared" si="8"/>
        <v>1.19</v>
      </c>
      <c r="I117" s="431">
        <f>1</f>
        <v>1</v>
      </c>
      <c r="J117" s="51"/>
      <c r="K117" s="51"/>
      <c r="L117" s="51"/>
      <c r="M117" s="51"/>
      <c r="N117" s="51"/>
      <c r="O117" s="51"/>
      <c r="P117" s="51"/>
      <c r="Q117" s="51"/>
      <c r="R117" s="51"/>
      <c r="S117" s="51"/>
      <c r="T117" s="51"/>
      <c r="U117" s="51"/>
      <c r="V117" s="51"/>
      <c r="W117" s="51"/>
      <c r="X117" s="51"/>
      <c r="Y117" s="51"/>
      <c r="Z117" s="51"/>
      <c r="AA117" s="51"/>
      <c r="AB117" s="51"/>
      <c r="AC117" s="51"/>
      <c r="AD117" s="51"/>
      <c r="AE117" s="51"/>
      <c r="AF117" s="51"/>
      <c r="AG117" s="51"/>
      <c r="AH117" s="51"/>
      <c r="AI117" s="51"/>
      <c r="AJ117" s="51"/>
      <c r="AK117" s="51"/>
      <c r="AL117" s="51"/>
      <c r="AM117" s="51"/>
      <c r="AN117" s="51"/>
      <c r="AO117" s="51"/>
      <c r="AP117" s="51"/>
      <c r="AQ117" s="51"/>
      <c r="AR117" s="51"/>
      <c r="AS117" s="51"/>
      <c r="AT117" s="51"/>
      <c r="AU117" s="51"/>
      <c r="AV117" s="51"/>
      <c r="AW117" s="51"/>
      <c r="AX117" s="51"/>
      <c r="AY117" s="51"/>
    </row>
    <row r="118" spans="1:51" ht="13.5" customHeight="1">
      <c r="A118" s="90"/>
      <c r="B118" s="82">
        <f t="shared" si="9"/>
        <v>2091</v>
      </c>
      <c r="C118" s="82"/>
      <c r="D118" s="117"/>
      <c r="E118" s="1257">
        <f t="shared" si="10"/>
        <v>1.19</v>
      </c>
      <c r="F118" s="932">
        <f>1</f>
        <v>1</v>
      </c>
      <c r="G118" s="74">
        <f t="shared" si="7"/>
        <v>0.84033613445378152</v>
      </c>
      <c r="H118" s="73">
        <f t="shared" si="8"/>
        <v>1.19</v>
      </c>
      <c r="I118" s="431">
        <f>1</f>
        <v>1</v>
      </c>
      <c r="J118" s="51"/>
      <c r="K118" s="51"/>
      <c r="L118" s="51"/>
      <c r="M118" s="51"/>
      <c r="N118" s="51"/>
      <c r="O118" s="51"/>
      <c r="P118" s="51"/>
      <c r="Q118" s="51"/>
      <c r="R118" s="51"/>
      <c r="S118" s="51"/>
      <c r="T118" s="51"/>
      <c r="U118" s="51"/>
      <c r="V118" s="51"/>
      <c r="W118" s="51"/>
      <c r="X118" s="51"/>
      <c r="Y118" s="51"/>
      <c r="Z118" s="51"/>
      <c r="AA118" s="51"/>
      <c r="AB118" s="51"/>
      <c r="AC118" s="51"/>
      <c r="AD118" s="51"/>
      <c r="AE118" s="51"/>
      <c r="AF118" s="51"/>
      <c r="AG118" s="51"/>
      <c r="AH118" s="51"/>
      <c r="AI118" s="51"/>
      <c r="AJ118" s="51"/>
      <c r="AK118" s="51"/>
      <c r="AL118" s="51"/>
      <c r="AM118" s="51"/>
      <c r="AN118" s="51"/>
      <c r="AO118" s="51"/>
      <c r="AP118" s="51"/>
      <c r="AQ118" s="51"/>
      <c r="AR118" s="51"/>
      <c r="AS118" s="51"/>
      <c r="AT118" s="51"/>
      <c r="AU118" s="51"/>
      <c r="AV118" s="51"/>
      <c r="AW118" s="51"/>
      <c r="AX118" s="51"/>
      <c r="AY118" s="51"/>
    </row>
    <row r="119" spans="1:51" ht="13.5" customHeight="1">
      <c r="A119" s="90"/>
      <c r="B119" s="82">
        <f t="shared" si="9"/>
        <v>2092</v>
      </c>
      <c r="C119" s="82"/>
      <c r="D119" s="117"/>
      <c r="E119" s="1257">
        <f t="shared" si="10"/>
        <v>1.19</v>
      </c>
      <c r="F119" s="932">
        <f>1</f>
        <v>1</v>
      </c>
      <c r="G119" s="74">
        <f t="shared" si="7"/>
        <v>0.84033613445378152</v>
      </c>
      <c r="H119" s="73">
        <f t="shared" si="8"/>
        <v>1.19</v>
      </c>
      <c r="I119" s="431">
        <f>1</f>
        <v>1</v>
      </c>
      <c r="J119" s="51"/>
      <c r="K119" s="51"/>
      <c r="L119" s="51"/>
      <c r="M119" s="51"/>
      <c r="N119" s="51"/>
      <c r="O119" s="51"/>
      <c r="P119" s="51"/>
      <c r="Q119" s="51"/>
      <c r="R119" s="51"/>
      <c r="S119" s="51"/>
      <c r="T119" s="51"/>
      <c r="U119" s="51"/>
      <c r="V119" s="51"/>
      <c r="W119" s="51"/>
      <c r="X119" s="51"/>
      <c r="Y119" s="51"/>
      <c r="Z119" s="51"/>
      <c r="AA119" s="51"/>
      <c r="AB119" s="51"/>
      <c r="AC119" s="51"/>
      <c r="AD119" s="51"/>
      <c r="AE119" s="51"/>
      <c r="AF119" s="51"/>
      <c r="AG119" s="51"/>
      <c r="AH119" s="51"/>
      <c r="AI119" s="51"/>
      <c r="AJ119" s="51"/>
      <c r="AK119" s="51"/>
      <c r="AL119" s="51"/>
      <c r="AM119" s="51"/>
      <c r="AN119" s="51"/>
      <c r="AO119" s="51"/>
      <c r="AP119" s="51"/>
      <c r="AQ119" s="51"/>
      <c r="AR119" s="51"/>
      <c r="AS119" s="51"/>
      <c r="AT119" s="51"/>
      <c r="AU119" s="51"/>
      <c r="AV119" s="51"/>
      <c r="AW119" s="51"/>
      <c r="AX119" s="51"/>
      <c r="AY119" s="51"/>
    </row>
    <row r="120" spans="1:51" ht="13.5" customHeight="1">
      <c r="A120" s="90"/>
      <c r="B120" s="82">
        <f t="shared" si="9"/>
        <v>2093</v>
      </c>
      <c r="C120" s="82"/>
      <c r="D120" s="117"/>
      <c r="E120" s="1257">
        <f t="shared" si="10"/>
        <v>1.19</v>
      </c>
      <c r="F120" s="932">
        <f>1</f>
        <v>1</v>
      </c>
      <c r="G120" s="74">
        <f t="shared" si="7"/>
        <v>0.84033613445378152</v>
      </c>
      <c r="H120" s="73">
        <f t="shared" si="8"/>
        <v>1.19</v>
      </c>
      <c r="I120" s="431">
        <f>1</f>
        <v>1</v>
      </c>
      <c r="J120" s="51"/>
      <c r="K120" s="51"/>
      <c r="L120" s="51"/>
      <c r="M120" s="51"/>
      <c r="N120" s="51"/>
      <c r="O120" s="51"/>
      <c r="P120" s="51"/>
      <c r="Q120" s="51"/>
      <c r="R120" s="51"/>
      <c r="S120" s="51"/>
      <c r="T120" s="51"/>
      <c r="U120" s="51"/>
      <c r="V120" s="51"/>
      <c r="W120" s="51"/>
      <c r="X120" s="51"/>
      <c r="Y120" s="51"/>
      <c r="Z120" s="51"/>
      <c r="AA120" s="51"/>
      <c r="AB120" s="51"/>
      <c r="AC120" s="51"/>
      <c r="AD120" s="51"/>
      <c r="AE120" s="51"/>
      <c r="AF120" s="51"/>
      <c r="AG120" s="51"/>
      <c r="AH120" s="51"/>
      <c r="AI120" s="51"/>
      <c r="AJ120" s="51"/>
      <c r="AK120" s="51"/>
      <c r="AL120" s="51"/>
      <c r="AM120" s="51"/>
      <c r="AN120" s="51"/>
      <c r="AO120" s="51"/>
      <c r="AP120" s="51"/>
      <c r="AQ120" s="51"/>
      <c r="AR120" s="51"/>
      <c r="AS120" s="51"/>
      <c r="AT120" s="51"/>
      <c r="AU120" s="51"/>
      <c r="AV120" s="51"/>
      <c r="AW120" s="51"/>
      <c r="AX120" s="51"/>
      <c r="AY120" s="51"/>
    </row>
    <row r="121" spans="1:51" ht="13.5" customHeight="1">
      <c r="A121" s="90"/>
      <c r="B121" s="82">
        <f t="shared" si="9"/>
        <v>2094</v>
      </c>
      <c r="C121" s="82"/>
      <c r="D121" s="117"/>
      <c r="E121" s="1257">
        <f t="shared" si="10"/>
        <v>1.19</v>
      </c>
      <c r="F121" s="932">
        <f>1</f>
        <v>1</v>
      </c>
      <c r="G121" s="74">
        <f t="shared" si="7"/>
        <v>0.84033613445378152</v>
      </c>
      <c r="H121" s="73">
        <f t="shared" si="8"/>
        <v>1.19</v>
      </c>
      <c r="I121" s="431">
        <f>1</f>
        <v>1</v>
      </c>
      <c r="J121" s="51"/>
      <c r="K121" s="51"/>
      <c r="L121" s="51"/>
      <c r="M121" s="51"/>
      <c r="N121" s="51"/>
      <c r="O121" s="51"/>
      <c r="P121" s="51"/>
      <c r="Q121" s="51"/>
      <c r="R121" s="51"/>
      <c r="S121" s="51"/>
      <c r="T121" s="51"/>
      <c r="U121" s="51"/>
      <c r="V121" s="51"/>
      <c r="W121" s="51"/>
      <c r="X121" s="51"/>
      <c r="Y121" s="51"/>
      <c r="Z121" s="51"/>
      <c r="AA121" s="51"/>
      <c r="AB121" s="51"/>
      <c r="AC121" s="51"/>
      <c r="AD121" s="51"/>
      <c r="AE121" s="51"/>
      <c r="AF121" s="51"/>
      <c r="AG121" s="51"/>
      <c r="AH121" s="51"/>
      <c r="AI121" s="51"/>
      <c r="AJ121" s="51"/>
      <c r="AK121" s="51"/>
      <c r="AL121" s="51"/>
      <c r="AM121" s="51"/>
      <c r="AN121" s="51"/>
      <c r="AO121" s="51"/>
      <c r="AP121" s="51"/>
      <c r="AQ121" s="51"/>
      <c r="AR121" s="51"/>
      <c r="AS121" s="51"/>
      <c r="AT121" s="51"/>
      <c r="AU121" s="51"/>
      <c r="AV121" s="51"/>
      <c r="AW121" s="51"/>
      <c r="AX121" s="51"/>
      <c r="AY121" s="51"/>
    </row>
    <row r="122" spans="1:51" ht="13.5" customHeight="1">
      <c r="A122" s="90"/>
      <c r="B122" s="82">
        <f t="shared" si="9"/>
        <v>2095</v>
      </c>
      <c r="C122" s="82"/>
      <c r="D122" s="117"/>
      <c r="E122" s="1257">
        <f t="shared" si="10"/>
        <v>1.19</v>
      </c>
      <c r="F122" s="932">
        <f>1</f>
        <v>1</v>
      </c>
      <c r="G122" s="74">
        <f t="shared" si="7"/>
        <v>0.84033613445378152</v>
      </c>
      <c r="H122" s="73">
        <f t="shared" si="8"/>
        <v>1.19</v>
      </c>
      <c r="I122" s="431">
        <f>1</f>
        <v>1</v>
      </c>
      <c r="J122" s="51"/>
      <c r="K122" s="51"/>
      <c r="L122" s="51"/>
      <c r="M122" s="51"/>
      <c r="N122" s="51"/>
      <c r="O122" s="51"/>
      <c r="P122" s="51"/>
      <c r="Q122" s="51"/>
      <c r="R122" s="51"/>
      <c r="S122" s="51"/>
      <c r="T122" s="51"/>
      <c r="U122" s="51"/>
      <c r="V122" s="51"/>
      <c r="W122" s="51"/>
      <c r="X122" s="51"/>
      <c r="Y122" s="51"/>
      <c r="Z122" s="51"/>
      <c r="AA122" s="51"/>
      <c r="AB122" s="51"/>
      <c r="AC122" s="51"/>
      <c r="AD122" s="51"/>
      <c r="AE122" s="51"/>
      <c r="AF122" s="51"/>
      <c r="AG122" s="51"/>
      <c r="AH122" s="51"/>
      <c r="AI122" s="51"/>
      <c r="AJ122" s="51"/>
      <c r="AK122" s="51"/>
      <c r="AL122" s="51"/>
      <c r="AM122" s="51"/>
      <c r="AN122" s="51"/>
      <c r="AO122" s="51"/>
      <c r="AP122" s="51"/>
      <c r="AQ122" s="51"/>
      <c r="AR122" s="51"/>
      <c r="AS122" s="51"/>
      <c r="AT122" s="51"/>
      <c r="AU122" s="51"/>
      <c r="AV122" s="51"/>
      <c r="AW122" s="51"/>
      <c r="AX122" s="51"/>
      <c r="AY122" s="51"/>
    </row>
    <row r="123" spans="1:51" ht="13.5" customHeight="1">
      <c r="A123" s="90"/>
      <c r="B123" s="82">
        <f t="shared" si="9"/>
        <v>2096</v>
      </c>
      <c r="C123" s="82"/>
      <c r="D123" s="117"/>
      <c r="E123" s="1257">
        <f t="shared" si="10"/>
        <v>1.19</v>
      </c>
      <c r="F123" s="932">
        <f>1</f>
        <v>1</v>
      </c>
      <c r="G123" s="74">
        <f t="shared" si="7"/>
        <v>0.84033613445378152</v>
      </c>
      <c r="H123" s="73">
        <f t="shared" si="8"/>
        <v>1.19</v>
      </c>
      <c r="I123" s="431">
        <f>1</f>
        <v>1</v>
      </c>
      <c r="J123" s="51"/>
      <c r="K123" s="51"/>
      <c r="L123" s="51"/>
      <c r="M123" s="51"/>
      <c r="N123" s="51"/>
      <c r="O123" s="51"/>
      <c r="P123" s="51"/>
      <c r="Q123" s="51"/>
      <c r="R123" s="51"/>
      <c r="S123" s="51"/>
      <c r="T123" s="51"/>
      <c r="U123" s="51"/>
      <c r="V123" s="51"/>
      <c r="W123" s="51"/>
      <c r="X123" s="51"/>
      <c r="Y123" s="51"/>
      <c r="Z123" s="51"/>
      <c r="AA123" s="51"/>
      <c r="AB123" s="51"/>
      <c r="AC123" s="51"/>
      <c r="AD123" s="51"/>
      <c r="AE123" s="51"/>
      <c r="AF123" s="51"/>
      <c r="AG123" s="51"/>
      <c r="AH123" s="51"/>
      <c r="AI123" s="51"/>
      <c r="AJ123" s="51"/>
      <c r="AK123" s="51"/>
      <c r="AL123" s="51"/>
      <c r="AM123" s="51"/>
      <c r="AN123" s="51"/>
      <c r="AO123" s="51"/>
      <c r="AP123" s="51"/>
      <c r="AQ123" s="51"/>
      <c r="AR123" s="51"/>
      <c r="AS123" s="51"/>
      <c r="AT123" s="51"/>
      <c r="AU123" s="51"/>
      <c r="AV123" s="51"/>
      <c r="AW123" s="51"/>
      <c r="AX123" s="51"/>
      <c r="AY123" s="51"/>
    </row>
    <row r="124" spans="1:51" ht="13.5" customHeight="1">
      <c r="A124" s="90"/>
      <c r="B124" s="82">
        <f t="shared" si="9"/>
        <v>2097</v>
      </c>
      <c r="C124" s="82"/>
      <c r="D124" s="117"/>
      <c r="E124" s="1257">
        <f t="shared" si="10"/>
        <v>1.19</v>
      </c>
      <c r="F124" s="932">
        <f>1</f>
        <v>1</v>
      </c>
      <c r="G124" s="74">
        <f t="shared" si="7"/>
        <v>0.84033613445378152</v>
      </c>
      <c r="H124" s="73">
        <f t="shared" si="8"/>
        <v>1.19</v>
      </c>
      <c r="I124" s="431">
        <f>1</f>
        <v>1</v>
      </c>
      <c r="J124" s="51"/>
      <c r="K124" s="51"/>
      <c r="L124" s="51"/>
      <c r="M124" s="51"/>
      <c r="N124" s="51"/>
      <c r="O124" s="51"/>
      <c r="P124" s="51"/>
      <c r="Q124" s="51"/>
      <c r="R124" s="51"/>
      <c r="S124" s="51"/>
      <c r="T124" s="51"/>
      <c r="U124" s="51"/>
      <c r="V124" s="51"/>
      <c r="W124" s="51"/>
      <c r="X124" s="51"/>
      <c r="Y124" s="51"/>
      <c r="Z124" s="51"/>
      <c r="AA124" s="51"/>
      <c r="AB124" s="51"/>
      <c r="AC124" s="51"/>
      <c r="AD124" s="51"/>
      <c r="AE124" s="51"/>
      <c r="AF124" s="51"/>
      <c r="AG124" s="51"/>
      <c r="AH124" s="51"/>
      <c r="AI124" s="51"/>
      <c r="AJ124" s="51"/>
      <c r="AK124" s="51"/>
      <c r="AL124" s="51"/>
      <c r="AM124" s="51"/>
      <c r="AN124" s="51"/>
      <c r="AO124" s="51"/>
      <c r="AP124" s="51"/>
      <c r="AQ124" s="51"/>
      <c r="AR124" s="51"/>
      <c r="AS124" s="51"/>
      <c r="AT124" s="51"/>
      <c r="AU124" s="51"/>
      <c r="AV124" s="51"/>
      <c r="AW124" s="51"/>
      <c r="AX124" s="51"/>
      <c r="AY124" s="51"/>
    </row>
    <row r="125" spans="1:51" ht="13.5" customHeight="1">
      <c r="A125" s="90"/>
      <c r="B125" s="82">
        <f t="shared" si="9"/>
        <v>2098</v>
      </c>
      <c r="C125" s="82"/>
      <c r="D125" s="117"/>
      <c r="E125" s="1257">
        <f t="shared" si="10"/>
        <v>1.19</v>
      </c>
      <c r="F125" s="932">
        <f>1</f>
        <v>1</v>
      </c>
      <c r="G125" s="74">
        <f t="shared" si="7"/>
        <v>0.84033613445378152</v>
      </c>
      <c r="H125" s="73">
        <f t="shared" si="8"/>
        <v>1.19</v>
      </c>
      <c r="I125" s="431">
        <f>1</f>
        <v>1</v>
      </c>
      <c r="J125" s="51"/>
      <c r="K125" s="51"/>
      <c r="L125" s="51"/>
      <c r="M125" s="51"/>
      <c r="N125" s="51"/>
      <c r="O125" s="51"/>
      <c r="P125" s="51"/>
      <c r="Q125" s="51"/>
      <c r="R125" s="51"/>
      <c r="S125" s="51"/>
      <c r="T125" s="51"/>
      <c r="U125" s="51"/>
      <c r="V125" s="51"/>
      <c r="W125" s="51"/>
      <c r="X125" s="51"/>
      <c r="Y125" s="51"/>
      <c r="Z125" s="51"/>
      <c r="AA125" s="51"/>
      <c r="AB125" s="51"/>
      <c r="AC125" s="51"/>
      <c r="AD125" s="51"/>
      <c r="AE125" s="51"/>
      <c r="AF125" s="51"/>
      <c r="AG125" s="51"/>
      <c r="AH125" s="51"/>
      <c r="AI125" s="51"/>
      <c r="AJ125" s="51"/>
      <c r="AK125" s="51"/>
      <c r="AL125" s="51"/>
      <c r="AM125" s="51"/>
      <c r="AN125" s="51"/>
      <c r="AO125" s="51"/>
      <c r="AP125" s="51"/>
      <c r="AQ125" s="51"/>
      <c r="AR125" s="51"/>
      <c r="AS125" s="51"/>
      <c r="AT125" s="51"/>
      <c r="AU125" s="51"/>
      <c r="AV125" s="51"/>
      <c r="AW125" s="51"/>
      <c r="AX125" s="51"/>
      <c r="AY125" s="51"/>
    </row>
    <row r="126" spans="1:51" ht="13.5" customHeight="1">
      <c r="A126" s="90"/>
      <c r="B126" s="82">
        <f t="shared" si="9"/>
        <v>2099</v>
      </c>
      <c r="C126" s="82"/>
      <c r="D126" s="117"/>
      <c r="E126" s="1257">
        <f t="shared" si="10"/>
        <v>1.19</v>
      </c>
      <c r="F126" s="932">
        <f>1</f>
        <v>1</v>
      </c>
      <c r="G126" s="74">
        <f t="shared" si="7"/>
        <v>0.84033613445378152</v>
      </c>
      <c r="H126" s="73">
        <f t="shared" si="8"/>
        <v>1.19</v>
      </c>
      <c r="I126" s="431">
        <f>1</f>
        <v>1</v>
      </c>
      <c r="J126" s="51"/>
      <c r="K126" s="51"/>
      <c r="L126" s="51"/>
      <c r="M126" s="51"/>
      <c r="N126" s="51"/>
      <c r="O126" s="51"/>
      <c r="P126" s="51"/>
      <c r="Q126" s="51"/>
      <c r="R126" s="51"/>
      <c r="S126" s="51"/>
      <c r="T126" s="51"/>
      <c r="U126" s="51"/>
      <c r="V126" s="51"/>
      <c r="W126" s="51"/>
      <c r="X126" s="51"/>
      <c r="Y126" s="51"/>
      <c r="Z126" s="51"/>
      <c r="AA126" s="51"/>
      <c r="AB126" s="51"/>
      <c r="AC126" s="51"/>
      <c r="AD126" s="51"/>
      <c r="AE126" s="51"/>
      <c r="AF126" s="51"/>
      <c r="AG126" s="51"/>
      <c r="AH126" s="51"/>
      <c r="AI126" s="51"/>
      <c r="AJ126" s="51"/>
      <c r="AK126" s="51"/>
      <c r="AL126" s="51"/>
      <c r="AM126" s="51"/>
      <c r="AN126" s="51"/>
      <c r="AO126" s="51"/>
      <c r="AP126" s="51"/>
      <c r="AQ126" s="51"/>
      <c r="AR126" s="51"/>
      <c r="AS126" s="51"/>
      <c r="AT126" s="51"/>
      <c r="AU126" s="51"/>
      <c r="AV126" s="51"/>
      <c r="AW126" s="51"/>
      <c r="AX126" s="51"/>
      <c r="AY126" s="51"/>
    </row>
    <row r="127" spans="1:51" ht="13.5" customHeight="1">
      <c r="A127" s="90"/>
      <c r="B127" s="82">
        <f t="shared" si="9"/>
        <v>2100</v>
      </c>
      <c r="C127" s="82"/>
      <c r="D127" s="117"/>
      <c r="E127" s="1257">
        <f t="shared" si="10"/>
        <v>1.19</v>
      </c>
      <c r="F127" s="932">
        <f>1</f>
        <v>1</v>
      </c>
      <c r="G127" s="74">
        <f t="shared" si="7"/>
        <v>0.84033613445378152</v>
      </c>
      <c r="H127" s="73">
        <f t="shared" si="8"/>
        <v>1.19</v>
      </c>
      <c r="I127" s="431">
        <f>1</f>
        <v>1</v>
      </c>
      <c r="J127" s="51"/>
      <c r="K127" s="51"/>
      <c r="L127" s="51"/>
      <c r="M127" s="51"/>
      <c r="N127" s="51"/>
      <c r="O127" s="51"/>
      <c r="P127" s="51"/>
      <c r="Q127" s="51"/>
      <c r="R127" s="51"/>
      <c r="S127" s="51"/>
      <c r="T127" s="51"/>
      <c r="U127" s="51"/>
      <c r="V127" s="51"/>
      <c r="W127" s="51"/>
      <c r="X127" s="51"/>
      <c r="Y127" s="51"/>
      <c r="Z127" s="51"/>
      <c r="AA127" s="51"/>
      <c r="AB127" s="51"/>
      <c r="AC127" s="51"/>
      <c r="AD127" s="51"/>
      <c r="AE127" s="51"/>
      <c r="AF127" s="51"/>
      <c r="AG127" s="51"/>
      <c r="AH127" s="51"/>
      <c r="AI127" s="51"/>
      <c r="AJ127" s="51"/>
      <c r="AK127" s="51"/>
      <c r="AL127" s="51"/>
      <c r="AM127" s="51"/>
      <c r="AN127" s="51"/>
      <c r="AO127" s="51"/>
      <c r="AP127" s="51"/>
      <c r="AQ127" s="51"/>
      <c r="AR127" s="51"/>
      <c r="AS127" s="51"/>
      <c r="AT127" s="51"/>
      <c r="AU127" s="51"/>
      <c r="AV127" s="51"/>
      <c r="AW127" s="51"/>
      <c r="AX127" s="51"/>
      <c r="AY127" s="51"/>
    </row>
    <row r="128" spans="1:51" ht="13.5" customHeight="1" thickBot="1">
      <c r="A128" s="92"/>
      <c r="B128" s="37"/>
      <c r="C128" s="1385"/>
      <c r="D128" s="92"/>
      <c r="E128" s="1385"/>
      <c r="F128" s="92"/>
      <c r="G128" s="1385"/>
      <c r="H128" s="37"/>
      <c r="I128" s="1385"/>
      <c r="J128" s="26"/>
      <c r="K128" s="26"/>
      <c r="L128" s="26"/>
      <c r="M128" s="26"/>
      <c r="N128" s="26"/>
      <c r="O128" s="26"/>
      <c r="P128" s="26"/>
      <c r="Q128" s="26"/>
      <c r="R128" s="26"/>
      <c r="S128" s="26"/>
      <c r="T128" s="51"/>
      <c r="U128" s="51"/>
      <c r="V128" s="51"/>
      <c r="W128" s="51"/>
      <c r="X128" s="51"/>
      <c r="Y128" s="51"/>
      <c r="Z128" s="51"/>
      <c r="AA128" s="51"/>
      <c r="AB128" s="51"/>
      <c r="AC128" s="51"/>
      <c r="AD128" s="51"/>
      <c r="AE128" s="51"/>
      <c r="AF128" s="51"/>
      <c r="AG128" s="51"/>
      <c r="AH128" s="51"/>
      <c r="AI128" s="51"/>
      <c r="AJ128" s="51"/>
      <c r="AK128" s="51"/>
      <c r="AL128" s="51"/>
      <c r="AM128" s="51"/>
      <c r="AN128" s="51"/>
      <c r="AO128" s="51"/>
      <c r="AP128" s="51"/>
      <c r="AQ128" s="51"/>
      <c r="AR128" s="51"/>
      <c r="AS128" s="51"/>
      <c r="AT128" s="51"/>
      <c r="AU128" s="51"/>
      <c r="AV128" s="51"/>
      <c r="AW128" s="51"/>
      <c r="AX128" s="51"/>
      <c r="AY128" s="51"/>
    </row>
    <row r="129" spans="4:51" ht="13.5" customHeight="1" thickTop="1" thickBot="1">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row>
    <row r="130" spans="4:51" ht="13.5" customHeight="1" thickBot="1">
      <c r="D130" s="528" t="s">
        <v>1489</v>
      </c>
      <c r="H130" s="26"/>
      <c r="I130" s="26"/>
      <c r="J130" s="26"/>
      <c r="K130" s="26"/>
      <c r="L130" s="26"/>
      <c r="M130" s="26"/>
      <c r="N130" s="26"/>
      <c r="O130" s="26"/>
      <c r="P130" s="26"/>
      <c r="Q130" s="26"/>
      <c r="R130" s="26"/>
      <c r="S130" s="26"/>
      <c r="T130" s="31"/>
      <c r="U130" s="26"/>
      <c r="V130" s="26"/>
      <c r="W130" s="26"/>
      <c r="X130" s="26"/>
      <c r="Y130" s="26"/>
      <c r="Z130" s="26"/>
      <c r="AA130" s="26"/>
      <c r="AB130" s="26"/>
      <c r="AC130" s="26"/>
      <c r="AD130" s="26"/>
      <c r="AE130" s="26"/>
      <c r="AF130" s="26"/>
      <c r="AG130" s="26"/>
      <c r="AH130" s="26"/>
      <c r="AI130" s="26"/>
      <c r="AJ130" s="31"/>
      <c r="AK130" s="26"/>
      <c r="AL130" s="26"/>
      <c r="AM130" s="26"/>
      <c r="AN130" s="26"/>
      <c r="AO130" s="26"/>
      <c r="AP130" s="26"/>
      <c r="AQ130" s="26"/>
      <c r="AR130" s="26"/>
      <c r="AS130" s="26"/>
      <c r="AT130" s="26"/>
      <c r="AU130" s="26"/>
      <c r="AV130" s="26"/>
      <c r="AW130" s="26"/>
      <c r="AX130" s="26"/>
      <c r="AY130" s="26"/>
    </row>
    <row r="131" spans="4:51" ht="13.5" customHeight="1">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row>
    <row r="132" spans="4:51" ht="13.5" customHeight="1">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row>
    <row r="133" spans="4:51" ht="13.5" customHeight="1">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row>
    <row r="134" spans="4:51" ht="13.5" customHeight="1"/>
    <row r="135" spans="4:51" ht="13.5" customHeight="1"/>
    <row r="136" spans="4:51" ht="13.5" customHeight="1"/>
    <row r="137" spans="4:51" ht="13.5" customHeight="1"/>
    <row r="138" spans="4:51" ht="13.5" customHeight="1"/>
    <row r="139" spans="4:51" ht="13.5" customHeight="1"/>
    <row r="140" spans="4:51" ht="13.5" customHeight="1"/>
    <row r="141" spans="4:51" ht="13.5" customHeight="1"/>
    <row r="142" spans="4:51" ht="13.5" customHeight="1"/>
    <row r="143" spans="4:51" ht="13.5" customHeight="1"/>
    <row r="144" spans="4:51"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sheetData>
  <sheetProtection sheet="1" objects="1" scenarios="1"/>
  <mergeCells count="13">
    <mergeCell ref="BA30:BQ31"/>
    <mergeCell ref="A21:B21"/>
    <mergeCell ref="A20:B20"/>
    <mergeCell ref="A1:B1"/>
    <mergeCell ref="BA25:BQ25"/>
    <mergeCell ref="A7:B7"/>
    <mergeCell ref="A8:B8"/>
    <mergeCell ref="E6:S6"/>
    <mergeCell ref="A12:B12"/>
    <mergeCell ref="A18:B18"/>
    <mergeCell ref="A19:B19"/>
    <mergeCell ref="A10:B10"/>
    <mergeCell ref="A11:B11"/>
  </mergeCells>
  <phoneticPr fontId="8" type="noConversion"/>
  <hyperlinks>
    <hyperlink ref="D130" location="'Indirect tax correction'!D27" tooltip="Top of this page" display="Top"/>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15748031496062992" right="0.15748031496062992" top="0.59055118110236227" bottom="0.39370078740157483" header="0.11811023622047245" footer="0.11811023622047245"/>
  <pageSetup paperSize="9" scale="83" pageOrder="overThenDown" orientation="landscape" r:id="rId3"/>
  <headerFooter alignWithMargins="0"/>
  <colBreaks count="1" manualBreakCount="1">
    <brk id="19" max="1048575" man="1"/>
  </colBreaks>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7"/>
    <pageSetUpPr fitToPage="1"/>
  </sheetPr>
  <dimension ref="A1:S53"/>
  <sheetViews>
    <sheetView showGridLines="0" topLeftCell="A31" zoomScale="85" zoomScaleNormal="85" workbookViewId="0">
      <selection activeCell="H40" sqref="H40:J46"/>
    </sheetView>
  </sheetViews>
  <sheetFormatPr defaultColWidth="12.88671875" defaultRowHeight="13.5" customHeight="1"/>
  <cols>
    <col min="1" max="16384" width="12.88671875" style="38"/>
  </cols>
  <sheetData>
    <row r="1" spans="1:19" ht="54.9" customHeight="1">
      <c r="A1" s="28"/>
      <c r="D1" s="28"/>
    </row>
    <row r="2" spans="1:19" s="300" customFormat="1" ht="5.0999999999999996" customHeight="1"/>
    <row r="3" spans="1:19" s="300" customFormat="1" ht="20.100000000000001" customHeight="1">
      <c r="A3" s="426" t="s">
        <v>2229</v>
      </c>
      <c r="D3" s="46"/>
      <c r="E3" s="444"/>
      <c r="F3" s="445"/>
    </row>
    <row r="4" spans="1:19" s="26" customFormat="1" ht="20.100000000000001" customHeight="1" thickBot="1">
      <c r="A4" s="109" t="s">
        <v>532</v>
      </c>
      <c r="B4" s="447"/>
      <c r="C4" s="447"/>
      <c r="D4" s="448"/>
      <c r="E4" s="447"/>
      <c r="F4" s="449"/>
      <c r="G4" s="446"/>
      <c r="H4" s="446"/>
      <c r="I4" s="446"/>
      <c r="J4" s="450"/>
      <c r="K4" s="446"/>
      <c r="L4" s="446"/>
      <c r="M4" s="446"/>
      <c r="N4" s="446"/>
      <c r="O4" s="446"/>
      <c r="P4" s="446"/>
      <c r="Q4" s="446"/>
      <c r="R4" s="446"/>
      <c r="S4" s="446"/>
    </row>
    <row r="5" spans="1:19" ht="9.9" customHeight="1" thickTop="1" thickBot="1">
      <c r="B5" s="321"/>
      <c r="E5" s="321"/>
      <c r="F5" s="31"/>
      <c r="J5" s="28"/>
      <c r="L5" s="32"/>
    </row>
    <row r="6" spans="1:19" ht="13.5" customHeight="1" thickTop="1">
      <c r="A6" s="169" t="s">
        <v>10</v>
      </c>
      <c r="B6" s="169"/>
      <c r="C6" s="28"/>
      <c r="E6" s="3626" t="s">
        <v>255</v>
      </c>
      <c r="F6" s="3654"/>
      <c r="G6" s="3654"/>
      <c r="H6" s="3654"/>
      <c r="I6" s="3654"/>
      <c r="J6" s="3654"/>
      <c r="K6" s="3654"/>
      <c r="L6" s="3654"/>
      <c r="M6" s="3654"/>
      <c r="N6" s="3654"/>
      <c r="O6" s="3654"/>
      <c r="P6" s="3654"/>
      <c r="Q6" s="3654"/>
      <c r="R6" s="3654"/>
      <c r="S6" s="3655"/>
    </row>
    <row r="7" spans="1:19" ht="13.5" customHeight="1">
      <c r="A7" s="3644" t="str">
        <f>Audit!A12</f>
        <v>May 2019 v1.12</v>
      </c>
      <c r="B7" s="3651"/>
      <c r="C7" s="32"/>
      <c r="D7" s="147"/>
      <c r="E7" s="12" t="str">
        <f>'VoT4'!E7</f>
        <v>The Annual Percentage Change in Car Passenger Occupancy values are for car passengers excluding the driver.</v>
      </c>
      <c r="F7" s="29"/>
      <c r="G7" s="26"/>
      <c r="H7" s="26"/>
      <c r="I7" s="26"/>
      <c r="J7" s="26"/>
      <c r="K7" s="26"/>
      <c r="L7" s="26"/>
      <c r="M7" s="26"/>
      <c r="N7" s="26"/>
      <c r="O7" s="26"/>
      <c r="P7" s="26"/>
      <c r="Q7" s="26"/>
      <c r="R7" s="26"/>
      <c r="S7" s="147"/>
    </row>
    <row r="8" spans="1:19" ht="13.5" customHeight="1">
      <c r="A8" s="3630">
        <f>Audit!C12</f>
        <v>43586</v>
      </c>
      <c r="B8" s="3631"/>
      <c r="C8" s="32"/>
      <c r="D8" s="412"/>
      <c r="E8" s="12" t="str">
        <f>'VoT4'!E8</f>
        <v>After 2036, car passengers are assumed to remain constant.</v>
      </c>
      <c r="F8" s="315"/>
      <c r="G8" s="26"/>
      <c r="H8" s="26"/>
      <c r="I8" s="26"/>
      <c r="J8" s="26"/>
      <c r="K8" s="26"/>
      <c r="L8" s="26"/>
      <c r="M8" s="26"/>
      <c r="N8" s="26"/>
      <c r="O8" s="26"/>
      <c r="P8" s="26"/>
      <c r="Q8" s="26"/>
      <c r="R8" s="26"/>
      <c r="S8" s="147"/>
    </row>
    <row r="9" spans="1:19" ht="13.5" customHeight="1" thickBot="1">
      <c r="A9" s="172" t="s">
        <v>14</v>
      </c>
      <c r="B9" s="173"/>
      <c r="D9" s="321"/>
      <c r="E9" s="113"/>
      <c r="F9" s="26"/>
      <c r="G9" s="26"/>
      <c r="H9" s="26"/>
      <c r="I9" s="26"/>
      <c r="J9" s="26"/>
      <c r="K9" s="26"/>
      <c r="L9" s="26"/>
      <c r="M9" s="26"/>
      <c r="N9" s="26"/>
      <c r="O9" s="26"/>
      <c r="P9" s="26"/>
      <c r="Q9" s="26"/>
      <c r="R9" s="26"/>
      <c r="S9" s="147"/>
    </row>
    <row r="10" spans="1:19" ht="13.5" customHeight="1" thickBot="1">
      <c r="A10" s="3570" t="s">
        <v>1306</v>
      </c>
      <c r="B10" s="3610"/>
      <c r="D10" s="321"/>
      <c r="E10" s="113"/>
      <c r="F10" s="26"/>
      <c r="G10" s="26"/>
      <c r="H10" s="26"/>
      <c r="I10" s="26"/>
      <c r="J10" s="26"/>
      <c r="K10" s="26"/>
      <c r="L10" s="26"/>
      <c r="M10" s="26"/>
      <c r="N10" s="26"/>
      <c r="O10" s="26"/>
      <c r="P10" s="26"/>
      <c r="Q10" s="26"/>
      <c r="R10" s="26"/>
      <c r="S10" s="147"/>
    </row>
    <row r="11" spans="1:19" ht="13.5" customHeight="1" thickBot="1">
      <c r="A11" s="3570" t="s">
        <v>2216</v>
      </c>
      <c r="B11" s="3581"/>
      <c r="D11" s="321"/>
      <c r="E11" s="113"/>
      <c r="F11" s="53"/>
      <c r="G11" s="53"/>
      <c r="H11" s="53"/>
      <c r="I11" s="53"/>
      <c r="J11" s="53"/>
      <c r="K11" s="53"/>
      <c r="L11" s="53"/>
      <c r="M11" s="53"/>
      <c r="N11" s="53"/>
      <c r="O11" s="53"/>
      <c r="P11" s="53"/>
      <c r="Q11" s="53"/>
      <c r="R11" s="53"/>
      <c r="S11" s="379"/>
    </row>
    <row r="12" spans="1:19" ht="13.5" customHeight="1" thickBot="1">
      <c r="A12" s="3570" t="s">
        <v>2217</v>
      </c>
      <c r="B12" s="3581"/>
      <c r="D12" s="321"/>
      <c r="E12" s="113"/>
      <c r="F12" s="26"/>
      <c r="G12" s="26"/>
      <c r="H12" s="26"/>
      <c r="I12" s="26"/>
      <c r="J12" s="26"/>
      <c r="K12" s="26"/>
      <c r="L12" s="26"/>
      <c r="M12" s="26"/>
      <c r="N12" s="26"/>
      <c r="O12" s="26"/>
      <c r="P12" s="26"/>
      <c r="Q12" s="26"/>
      <c r="R12" s="26"/>
      <c r="S12" s="147"/>
    </row>
    <row r="13" spans="1:19" ht="13.5" customHeight="1">
      <c r="A13" s="172" t="s">
        <v>252</v>
      </c>
      <c r="B13" s="194"/>
      <c r="C13" s="82"/>
      <c r="D13" s="321"/>
      <c r="E13" s="114"/>
      <c r="F13" s="26"/>
      <c r="G13" s="26"/>
      <c r="H13" s="26"/>
      <c r="I13" s="26"/>
      <c r="J13" s="26"/>
      <c r="K13" s="26"/>
      <c r="L13" s="26"/>
      <c r="M13" s="26"/>
      <c r="N13" s="26"/>
      <c r="O13" s="26"/>
      <c r="P13" s="26"/>
      <c r="Q13" s="26"/>
      <c r="R13" s="26"/>
      <c r="S13" s="147"/>
    </row>
    <row r="14" spans="1:19" ht="13.5" customHeight="1">
      <c r="A14" s="2441"/>
      <c r="B14" s="2442"/>
      <c r="C14" s="316"/>
      <c r="D14" s="321"/>
      <c r="E14" s="113"/>
      <c r="F14" s="26"/>
      <c r="G14" s="26"/>
      <c r="H14" s="26"/>
      <c r="I14" s="26"/>
      <c r="J14" s="26"/>
      <c r="K14" s="26"/>
      <c r="L14" s="26"/>
      <c r="M14" s="26"/>
      <c r="N14" s="26"/>
      <c r="O14" s="26"/>
      <c r="P14" s="26"/>
      <c r="Q14" s="26"/>
      <c r="R14" s="26"/>
      <c r="S14" s="147"/>
    </row>
    <row r="15" spans="1:19" ht="13.5" customHeight="1">
      <c r="A15" s="2445"/>
      <c r="B15" s="2446"/>
      <c r="C15" s="32"/>
      <c r="D15" s="321"/>
      <c r="E15" s="113"/>
      <c r="F15" s="26"/>
      <c r="G15" s="26"/>
      <c r="H15" s="26"/>
      <c r="I15" s="26"/>
      <c r="J15" s="26"/>
      <c r="K15" s="26"/>
      <c r="L15" s="26"/>
      <c r="M15" s="26"/>
      <c r="N15" s="26"/>
      <c r="O15" s="26"/>
      <c r="P15" s="26"/>
      <c r="Q15" s="26"/>
      <c r="R15" s="26"/>
      <c r="S15" s="147"/>
    </row>
    <row r="16" spans="1:19" ht="13.5" customHeight="1">
      <c r="A16" s="2473"/>
      <c r="B16" s="2446"/>
      <c r="D16" s="412"/>
      <c r="E16" s="26"/>
      <c r="F16" s="26"/>
      <c r="G16" s="26"/>
      <c r="H16" s="26"/>
      <c r="I16" s="26"/>
      <c r="J16" s="26"/>
      <c r="K16" s="26"/>
      <c r="L16" s="26"/>
      <c r="M16" s="26"/>
      <c r="N16" s="26"/>
      <c r="O16" s="26"/>
      <c r="P16" s="26"/>
      <c r="Q16" s="26"/>
      <c r="R16" s="26"/>
      <c r="S16" s="147"/>
    </row>
    <row r="17" spans="1:19" ht="13.5" customHeight="1">
      <c r="A17" s="169" t="s">
        <v>253</v>
      </c>
      <c r="B17" s="170"/>
      <c r="D17" s="412"/>
      <c r="F17" s="26"/>
      <c r="G17" s="26"/>
      <c r="H17" s="26"/>
      <c r="I17" s="26"/>
      <c r="J17" s="26"/>
      <c r="K17" s="26"/>
      <c r="L17" s="26"/>
      <c r="M17" s="26"/>
      <c r="N17" s="26"/>
      <c r="O17" s="26"/>
      <c r="P17" s="26"/>
      <c r="Q17" s="26"/>
      <c r="R17" s="26"/>
      <c r="S17" s="147"/>
    </row>
    <row r="18" spans="1:19" ht="13.5" customHeight="1">
      <c r="A18" s="3653"/>
      <c r="B18" s="3653"/>
      <c r="C18" s="31"/>
      <c r="D18" s="412"/>
      <c r="E18" s="26"/>
      <c r="F18" s="26"/>
      <c r="G18" s="26"/>
      <c r="H18" s="26"/>
      <c r="I18" s="26"/>
      <c r="J18" s="26"/>
      <c r="K18" s="26"/>
      <c r="L18" s="26"/>
      <c r="M18" s="26"/>
      <c r="N18" s="26"/>
      <c r="O18" s="26"/>
      <c r="P18" s="26"/>
      <c r="Q18" s="26"/>
      <c r="R18" s="26"/>
      <c r="S18" s="147"/>
    </row>
    <row r="19" spans="1:19" ht="13.5" customHeight="1">
      <c r="A19" s="3653"/>
      <c r="B19" s="3653"/>
      <c r="C19" s="31"/>
      <c r="D19" s="412"/>
      <c r="E19" s="26" t="s">
        <v>2355</v>
      </c>
      <c r="F19" s="26"/>
      <c r="G19" s="26"/>
      <c r="H19" s="26"/>
      <c r="I19" s="26"/>
      <c r="J19" s="26"/>
      <c r="K19" s="26"/>
      <c r="L19" s="26"/>
      <c r="M19" s="26"/>
      <c r="N19" s="26"/>
      <c r="O19" s="26"/>
      <c r="P19" s="26"/>
      <c r="Q19" s="26"/>
      <c r="R19" s="26"/>
      <c r="S19" s="147"/>
    </row>
    <row r="20" spans="1:19" ht="13.5" customHeight="1" thickBot="1">
      <c r="A20" s="3653"/>
      <c r="B20" s="3653"/>
      <c r="C20" s="31"/>
      <c r="D20" s="412"/>
      <c r="E20" s="381" t="s">
        <v>2230</v>
      </c>
      <c r="F20" s="163"/>
      <c r="G20" s="163"/>
      <c r="H20" s="163"/>
      <c r="I20" s="163"/>
      <c r="J20" s="163"/>
      <c r="K20" s="163"/>
      <c r="L20" s="163"/>
      <c r="M20" s="163"/>
      <c r="N20" s="163"/>
      <c r="O20" s="163"/>
      <c r="P20" s="163"/>
      <c r="Q20" s="163"/>
      <c r="R20" s="163"/>
      <c r="S20" s="382"/>
    </row>
    <row r="21" spans="1:19" ht="13.5" customHeight="1" thickTop="1">
      <c r="A21" s="2437"/>
      <c r="B21" s="2421"/>
      <c r="C21" s="321"/>
      <c r="D21" s="32"/>
      <c r="E21" s="321"/>
      <c r="F21" s="31"/>
      <c r="J21" s="28"/>
      <c r="L21" s="32"/>
    </row>
    <row r="22" spans="1:19" ht="13.5" customHeight="1" thickBot="1">
      <c r="B22" s="26"/>
      <c r="C22" s="26"/>
    </row>
    <row r="23" spans="1:19" ht="13.5" customHeight="1" thickTop="1" thickBot="1">
      <c r="A23" s="122" t="s">
        <v>706</v>
      </c>
      <c r="B23" s="277"/>
      <c r="C23" s="277"/>
      <c r="D23" s="404" t="str">
        <f>CONCATENATE("Car Occupancies (",'VoT2'!B16,")")</f>
        <v>Car Occupancies (2010)</v>
      </c>
      <c r="E23" s="404"/>
      <c r="F23" s="404"/>
      <c r="G23" s="404"/>
      <c r="H23" s="404"/>
      <c r="I23" s="404"/>
      <c r="J23" s="405"/>
    </row>
    <row r="24" spans="1:19" ht="13.5" customHeight="1" thickTop="1">
      <c r="A24" s="99"/>
      <c r="B24" s="100"/>
      <c r="C24" s="438"/>
      <c r="D24" s="410" t="s">
        <v>1420</v>
      </c>
      <c r="E24" s="410"/>
      <c r="F24" s="410"/>
      <c r="G24" s="410"/>
      <c r="H24" s="413"/>
      <c r="I24" s="229"/>
      <c r="J24" s="229"/>
    </row>
    <row r="25" spans="1:19" ht="27" thickBot="1">
      <c r="A25" s="153"/>
      <c r="B25" s="173"/>
      <c r="C25" s="293"/>
      <c r="D25" s="1470" t="s">
        <v>1437</v>
      </c>
      <c r="E25" s="1471" t="s">
        <v>1424</v>
      </c>
      <c r="F25" s="1471" t="s">
        <v>1425</v>
      </c>
      <c r="G25" s="1471" t="s">
        <v>1426</v>
      </c>
      <c r="H25" s="481" t="s">
        <v>1305</v>
      </c>
      <c r="I25" s="407" t="s">
        <v>1430</v>
      </c>
      <c r="J25" s="407" t="s">
        <v>387</v>
      </c>
    </row>
    <row r="26" spans="1:19" ht="13.5" customHeight="1" thickTop="1" thickBot="1">
      <c r="A26" s="513" t="s">
        <v>1453</v>
      </c>
      <c r="B26" s="465"/>
      <c r="C26" s="439"/>
      <c r="D26" s="422" t="s">
        <v>844</v>
      </c>
      <c r="E26" s="422"/>
      <c r="F26" s="422"/>
      <c r="G26" s="422"/>
      <c r="H26" s="422"/>
      <c r="I26" s="466"/>
      <c r="J26" s="466"/>
    </row>
    <row r="27" spans="1:19" ht="13.5" customHeight="1" thickTop="1">
      <c r="A27" s="475" t="s">
        <v>1427</v>
      </c>
      <c r="B27" s="348"/>
      <c r="C27" s="380"/>
      <c r="D27" s="1456">
        <f>'VoT2'!D28</f>
        <v>1.1306546747898494</v>
      </c>
      <c r="E27" s="1456">
        <f>'VoT2'!E28</f>
        <v>1.1586074096289325</v>
      </c>
      <c r="F27" s="1456">
        <f>'VoT2'!F28</f>
        <v>1.1469717467060276</v>
      </c>
      <c r="G27" s="1456">
        <f>'VoT2'!G28</f>
        <v>1.1686731657535445</v>
      </c>
      <c r="H27" s="1457">
        <f>'VoT2'!H28</f>
        <v>1.1490125418460642</v>
      </c>
      <c r="I27" s="1457">
        <f>'VoT2'!I28</f>
        <v>1.3131774973540897</v>
      </c>
      <c r="J27" s="1457">
        <f>'VoT2'!J28</f>
        <v>1.1606654296250507</v>
      </c>
    </row>
    <row r="28" spans="1:19" ht="13.5" customHeight="1">
      <c r="A28" s="476" t="s">
        <v>1418</v>
      </c>
      <c r="B28" s="26"/>
      <c r="C28" s="147"/>
      <c r="D28" s="1458">
        <f>'VoT2'!D29</f>
        <v>1.1324142099550518</v>
      </c>
      <c r="E28" s="1458">
        <f>'VoT2'!E29</f>
        <v>1.1508273706069019</v>
      </c>
      <c r="F28" s="1458">
        <f>'VoT2'!F29</f>
        <v>1.1363203108454192</v>
      </c>
      <c r="G28" s="1458">
        <f>'VoT2'!G29</f>
        <v>1.1529514408135957</v>
      </c>
      <c r="H28" s="1459">
        <f>'VoT2'!H29</f>
        <v>1.1401838093663619</v>
      </c>
      <c r="I28" s="1459">
        <f>'VoT2'!I29</f>
        <v>1.2071718111863166</v>
      </c>
      <c r="J28" s="1459">
        <f>'VoT2'!J29</f>
        <v>1.145603182870168</v>
      </c>
    </row>
    <row r="29" spans="1:19" ht="13.5" customHeight="1">
      <c r="A29" s="477" t="s">
        <v>1428</v>
      </c>
      <c r="B29" s="26"/>
      <c r="C29" s="147"/>
      <c r="D29" s="1458">
        <f>'VoT2'!D30</f>
        <v>1.7117149527604505</v>
      </c>
      <c r="E29" s="1458">
        <f>'VoT2'!E30</f>
        <v>1.823380766174084</v>
      </c>
      <c r="F29" s="1458">
        <f>'VoT2'!F30</f>
        <v>1.7925210409543946</v>
      </c>
      <c r="G29" s="1458">
        <f>'VoT2'!G30</f>
        <v>1.7861213477735842</v>
      </c>
      <c r="H29" s="1459">
        <f>'VoT2'!H30</f>
        <v>1.7905592337282852</v>
      </c>
      <c r="I29" s="1459">
        <f>'VoT2'!I30</f>
        <v>2.1200652963923514</v>
      </c>
      <c r="J29" s="1459">
        <f>'VoT2'!J30</f>
        <v>1.9068315187130187</v>
      </c>
      <c r="N29" s="26"/>
      <c r="O29" s="26"/>
      <c r="P29" s="26"/>
    </row>
    <row r="30" spans="1:19" ht="13.5" customHeight="1" thickBot="1">
      <c r="A30" s="477" t="s">
        <v>1429</v>
      </c>
      <c r="B30" s="26"/>
      <c r="C30" s="147"/>
      <c r="D30" s="1458">
        <f>'VoT2'!D31</f>
        <v>1.3479169640858997</v>
      </c>
      <c r="E30" s="1458">
        <f>'VoT2'!E31</f>
        <v>1.6281464569127049</v>
      </c>
      <c r="F30" s="1458">
        <f>'VoT2'!F31</f>
        <v>1.4300304559591868</v>
      </c>
      <c r="G30" s="1458">
        <f>'VoT2'!G31</f>
        <v>1.4468321506136064</v>
      </c>
      <c r="H30" s="1460">
        <f>'VoT2'!H31</f>
        <v>1.4799920043328101</v>
      </c>
      <c r="I30" s="1459">
        <f>'VoT2'!I31</f>
        <v>2.0100159024412441</v>
      </c>
      <c r="J30" s="1459">
        <f>'VoT2'!J31</f>
        <v>1.609758064696829</v>
      </c>
      <c r="M30" s="26"/>
      <c r="N30" s="26"/>
      <c r="O30" s="26"/>
      <c r="P30" s="26"/>
    </row>
    <row r="31" spans="1:19" ht="13.5" customHeight="1" thickTop="1" thickBot="1">
      <c r="A31" s="467"/>
      <c r="B31" s="233"/>
      <c r="C31" s="479"/>
      <c r="D31" s="39" t="s">
        <v>845</v>
      </c>
      <c r="E31" s="39"/>
      <c r="F31" s="39"/>
      <c r="G31" s="39"/>
      <c r="H31" s="39"/>
      <c r="I31" s="40"/>
      <c r="J31" s="40"/>
      <c r="N31" s="26"/>
      <c r="O31" s="26"/>
      <c r="P31" s="26"/>
    </row>
    <row r="32" spans="1:19" ht="13.5" customHeight="1" thickTop="1">
      <c r="A32" s="477" t="s">
        <v>1427</v>
      </c>
      <c r="B32" s="26"/>
      <c r="C32" s="147"/>
      <c r="D32" s="1461">
        <f>'VoT2'!D33</f>
        <v>1.1952822495157718</v>
      </c>
      <c r="E32" s="1461">
        <f>'VoT2'!E33</f>
        <v>1.1943455512472745</v>
      </c>
      <c r="F32" s="1461">
        <f>'VoT2'!F33</f>
        <v>1.166918638136681</v>
      </c>
      <c r="G32" s="1461">
        <f>'VoT2'!G33</f>
        <v>1.1769475627932595</v>
      </c>
      <c r="H32" s="1462">
        <f>'VoT2'!H33</f>
        <v>1.1909584146758085</v>
      </c>
      <c r="I32" s="1463">
        <f>'VoT2'!I33</f>
        <v>1.2570578944600488</v>
      </c>
      <c r="J32" s="1463">
        <f>'VoT2'!J33</f>
        <v>1.1968792988600181</v>
      </c>
      <c r="N32" s="26"/>
      <c r="O32" s="26"/>
      <c r="P32" s="26"/>
    </row>
    <row r="33" spans="1:16" ht="13.5" customHeight="1">
      <c r="A33" s="477" t="s">
        <v>1418</v>
      </c>
      <c r="B33" s="26"/>
      <c r="C33" s="147"/>
      <c r="D33" s="1461">
        <f>'VoT2'!D34</f>
        <v>1.171040789620305</v>
      </c>
      <c r="E33" s="1461">
        <f>'VoT2'!E34</f>
        <v>1.1542495466478655</v>
      </c>
      <c r="F33" s="1461">
        <f>'VoT2'!F34</f>
        <v>1.1644181710072612</v>
      </c>
      <c r="G33" s="1461">
        <f>'VoT2'!G34</f>
        <v>1.1795630892337279</v>
      </c>
      <c r="H33" s="1463">
        <f>'VoT2'!H34</f>
        <v>1.1675739727545928</v>
      </c>
      <c r="I33" s="1463">
        <f>'VoT2'!I34</f>
        <v>1.2439910310708631</v>
      </c>
      <c r="J33" s="1463">
        <f>'VoT2'!J34</f>
        <v>1.1751718617356393</v>
      </c>
      <c r="N33" s="26"/>
      <c r="O33" s="26"/>
      <c r="P33" s="26"/>
    </row>
    <row r="34" spans="1:16" ht="13.5" customHeight="1">
      <c r="A34" s="477" t="s">
        <v>1428</v>
      </c>
      <c r="B34" s="26"/>
      <c r="C34" s="147"/>
      <c r="D34" s="1461">
        <f>'VoT2'!D35</f>
        <v>1.6750993589896288</v>
      </c>
      <c r="E34" s="1461">
        <f>'VoT2'!E35</f>
        <v>1.648670824134963</v>
      </c>
      <c r="F34" s="1461">
        <f>'VoT2'!F35</f>
        <v>1.7082248601407435</v>
      </c>
      <c r="G34" s="1461">
        <f>'VoT2'!G35</f>
        <v>1.6602460963032655</v>
      </c>
      <c r="H34" s="1463">
        <f>'VoT2'!H35</f>
        <v>1.6661906312982415</v>
      </c>
      <c r="I34" s="1463">
        <f>'VoT2'!I35</f>
        <v>1.8952590399602967</v>
      </c>
      <c r="J34" s="1463">
        <f>'VoT2'!J35</f>
        <v>1.7310710797070423</v>
      </c>
      <c r="N34" s="26"/>
      <c r="O34" s="26"/>
      <c r="P34" s="26"/>
    </row>
    <row r="35" spans="1:16" ht="13.5" customHeight="1" thickBot="1">
      <c r="A35" s="477" t="s">
        <v>1429</v>
      </c>
      <c r="B35" s="26"/>
      <c r="C35" s="147"/>
      <c r="D35" s="1461">
        <f>'VoT2'!D36</f>
        <v>1.4269590339606923</v>
      </c>
      <c r="E35" s="1461">
        <f>'VoT2'!E36</f>
        <v>1.5531395530423959</v>
      </c>
      <c r="F35" s="1461">
        <f>'VoT2'!F36</f>
        <v>1.4792655628147469</v>
      </c>
      <c r="G35" s="1461">
        <f>'VoT2'!G36</f>
        <v>1.478182909504804</v>
      </c>
      <c r="H35" s="1463">
        <f>'VoT2'!H36</f>
        <v>1.4941398749103103</v>
      </c>
      <c r="I35" s="1463">
        <f>'VoT2'!I36</f>
        <v>1.8125210246951553</v>
      </c>
      <c r="J35" s="1463">
        <f>'VoT2'!J36</f>
        <v>1.566703591814357</v>
      </c>
      <c r="N35" s="26"/>
      <c r="O35" s="26"/>
      <c r="P35" s="26"/>
    </row>
    <row r="36" spans="1:16" ht="13.5" customHeight="1" thickTop="1" thickBot="1">
      <c r="A36" s="468"/>
      <c r="B36" s="277"/>
      <c r="C36" s="277"/>
      <c r="D36" s="404" t="str">
        <f>CONCATENATE("Vehicle Occupancies (",'VoT3'!B16,")")</f>
        <v>Vehicle Occupancies (2000)</v>
      </c>
      <c r="E36" s="404"/>
      <c r="F36" s="404"/>
      <c r="G36" s="363"/>
      <c r="H36" s="363"/>
      <c r="I36" s="363"/>
      <c r="J36" s="469"/>
      <c r="N36" s="26"/>
      <c r="O36" s="26"/>
      <c r="P36" s="26"/>
    </row>
    <row r="37" spans="1:16" ht="12.75" customHeight="1" thickTop="1">
      <c r="A37" s="978"/>
      <c r="B37" s="979"/>
      <c r="C37" s="958"/>
      <c r="D37" s="100"/>
      <c r="E37" s="470"/>
      <c r="F37" s="470"/>
      <c r="G37" s="470"/>
      <c r="H37" s="229" t="s">
        <v>1420</v>
      </c>
      <c r="I37" s="229" t="s">
        <v>1421</v>
      </c>
      <c r="J37" s="229" t="s">
        <v>1423</v>
      </c>
      <c r="N37" s="26"/>
      <c r="O37" s="26"/>
      <c r="P37" s="26"/>
    </row>
    <row r="38" spans="1:16" ht="13.5" customHeight="1" thickBot="1">
      <c r="A38" s="524" t="s">
        <v>1238</v>
      </c>
      <c r="B38" s="983"/>
      <c r="C38" s="959"/>
      <c r="D38" s="464"/>
      <c r="E38" s="465"/>
      <c r="F38" s="465"/>
      <c r="G38" s="465"/>
      <c r="H38" s="407" t="s">
        <v>1234</v>
      </c>
      <c r="I38" s="407" t="s">
        <v>1234</v>
      </c>
      <c r="J38" s="407" t="s">
        <v>1234</v>
      </c>
      <c r="N38" s="26"/>
      <c r="O38" s="26"/>
      <c r="P38" s="26"/>
    </row>
    <row r="39" spans="1:16" ht="13.5" customHeight="1" thickTop="1" thickBot="1">
      <c r="A39" s="984" t="s">
        <v>629</v>
      </c>
      <c r="B39" s="985" t="s">
        <v>1453</v>
      </c>
      <c r="C39" s="964"/>
      <c r="D39" s="422" t="s">
        <v>844</v>
      </c>
      <c r="E39" s="471"/>
      <c r="F39" s="471"/>
      <c r="G39" s="471"/>
      <c r="H39" s="471"/>
      <c r="I39" s="472"/>
      <c r="J39" s="472"/>
      <c r="N39" s="26"/>
      <c r="O39" s="26"/>
      <c r="P39" s="26"/>
    </row>
    <row r="40" spans="1:16" ht="13.5" customHeight="1" thickTop="1">
      <c r="A40" s="743" t="s">
        <v>1431</v>
      </c>
      <c r="B40" s="973" t="s">
        <v>1432</v>
      </c>
      <c r="C40" s="372"/>
      <c r="D40" s="793"/>
      <c r="E40" s="348"/>
      <c r="F40" s="348"/>
      <c r="G40" s="348"/>
      <c r="H40" s="1442">
        <f>'VoT3'!D27</f>
        <v>1.2</v>
      </c>
      <c r="I40" s="1443">
        <f>'VoT3'!E27</f>
        <v>1.26</v>
      </c>
      <c r="J40" s="1442">
        <f>'VoT3'!F27</f>
        <v>1.2</v>
      </c>
    </row>
    <row r="41" spans="1:16" ht="13.5" customHeight="1">
      <c r="A41" s="953"/>
      <c r="B41" s="974" t="s">
        <v>271</v>
      </c>
      <c r="C41" s="373"/>
      <c r="D41" s="490"/>
      <c r="E41" s="597"/>
      <c r="F41" s="597"/>
      <c r="G41" s="597"/>
      <c r="H41" s="1444">
        <f>'VoT3'!D28</f>
        <v>1.46</v>
      </c>
      <c r="I41" s="1445">
        <f>'VoT3'!E28</f>
        <v>2.0299999999999998</v>
      </c>
      <c r="J41" s="1444">
        <f>'VoT3'!F28</f>
        <v>1.59</v>
      </c>
    </row>
    <row r="42" spans="1:16" ht="13.5" customHeight="1" thickBot="1">
      <c r="A42" s="970"/>
      <c r="B42" s="975" t="s">
        <v>1433</v>
      </c>
      <c r="C42" s="971"/>
      <c r="D42" s="676"/>
      <c r="E42" s="1439"/>
      <c r="F42" s="1439"/>
      <c r="G42" s="1439"/>
      <c r="H42" s="1446">
        <f>'VoT3'!D29</f>
        <v>1.23</v>
      </c>
      <c r="I42" s="1447">
        <f>'VoT3'!E29</f>
        <v>1.35</v>
      </c>
      <c r="J42" s="1446">
        <f>'VoT3'!F29</f>
        <v>1.25</v>
      </c>
    </row>
    <row r="43" spans="1:16" ht="13.5" customHeight="1">
      <c r="A43" s="180" t="s">
        <v>1235</v>
      </c>
      <c r="B43" s="976" t="s">
        <v>1236</v>
      </c>
      <c r="C43" s="372"/>
      <c r="D43" s="1440"/>
      <c r="E43" s="1441"/>
      <c r="F43" s="1441"/>
      <c r="G43" s="1441"/>
      <c r="H43" s="1448">
        <f>'VoT3'!D30</f>
        <v>1</v>
      </c>
      <c r="I43" s="1449">
        <f>'VoT3'!E30</f>
        <v>1</v>
      </c>
      <c r="J43" s="1448">
        <f>'VoT3'!F30</f>
        <v>1</v>
      </c>
    </row>
    <row r="44" spans="1:16" ht="13.5" customHeight="1" thickBot="1">
      <c r="A44" s="972" t="s">
        <v>1237</v>
      </c>
      <c r="B44" s="975" t="s">
        <v>1236</v>
      </c>
      <c r="C44" s="971"/>
      <c r="D44" s="889"/>
      <c r="E44" s="336"/>
      <c r="F44" s="336"/>
      <c r="G44" s="336"/>
      <c r="H44" s="1450">
        <f>'VoT3'!D31</f>
        <v>1</v>
      </c>
      <c r="I44" s="1451">
        <f>'VoT3'!E31</f>
        <v>1</v>
      </c>
      <c r="J44" s="1450">
        <f>'VoT3'!F31</f>
        <v>1</v>
      </c>
    </row>
    <row r="45" spans="1:16" ht="13.5" customHeight="1">
      <c r="A45" s="743" t="s">
        <v>1434</v>
      </c>
      <c r="B45" s="976" t="s">
        <v>1435</v>
      </c>
      <c r="C45" s="372"/>
      <c r="D45" s="113"/>
      <c r="E45" s="26"/>
      <c r="F45" s="26"/>
      <c r="G45" s="26"/>
      <c r="H45" s="1452">
        <f>'VoT3'!D32</f>
        <v>1</v>
      </c>
      <c r="I45" s="1453">
        <f>'VoT3'!E32</f>
        <v>1</v>
      </c>
      <c r="J45" s="1452">
        <f>'VoT3'!F32</f>
        <v>1</v>
      </c>
    </row>
    <row r="46" spans="1:16" ht="13.5" customHeight="1" thickBot="1">
      <c r="A46" s="960"/>
      <c r="B46" s="977" t="s">
        <v>1436</v>
      </c>
      <c r="C46" s="377"/>
      <c r="D46" s="381"/>
      <c r="E46" s="13"/>
      <c r="F46" s="13"/>
      <c r="G46" s="13"/>
      <c r="H46" s="1454">
        <f>'VoT3'!D33</f>
        <v>12.2</v>
      </c>
      <c r="I46" s="1455">
        <f>'VoT3'!E33</f>
        <v>12.2</v>
      </c>
      <c r="J46" s="1454">
        <f>'VoT3'!F33</f>
        <v>12.2</v>
      </c>
    </row>
    <row r="47" spans="1:16" ht="13.5" customHeight="1" thickTop="1" thickBot="1">
      <c r="A47" s="468"/>
      <c r="B47" s="277"/>
      <c r="C47" s="277"/>
      <c r="D47" s="404" t="s">
        <v>1001</v>
      </c>
      <c r="E47" s="404"/>
      <c r="F47" s="404"/>
      <c r="G47" s="404"/>
      <c r="H47" s="404"/>
      <c r="I47" s="404"/>
      <c r="J47" s="405"/>
    </row>
    <row r="48" spans="1:16" ht="13.5" customHeight="1" thickTop="1">
      <c r="A48" s="473" t="s">
        <v>1442</v>
      </c>
      <c r="B48" s="100"/>
      <c r="C48" s="438"/>
      <c r="D48" s="410" t="s">
        <v>1420</v>
      </c>
      <c r="E48" s="410"/>
      <c r="F48" s="410"/>
      <c r="G48" s="410"/>
      <c r="H48" s="413"/>
      <c r="I48" s="389"/>
      <c r="J48" s="411"/>
    </row>
    <row r="49" spans="1:11" ht="13.5" customHeight="1" thickBot="1">
      <c r="A49" s="482" t="s">
        <v>1453</v>
      </c>
      <c r="B49" s="465"/>
      <c r="C49" s="439"/>
      <c r="D49" s="483" t="s">
        <v>1437</v>
      </c>
      <c r="E49" s="480" t="s">
        <v>1424</v>
      </c>
      <c r="F49" s="480" t="s">
        <v>1425</v>
      </c>
      <c r="G49" s="480" t="s">
        <v>1426</v>
      </c>
      <c r="H49" s="484" t="s">
        <v>1422</v>
      </c>
      <c r="I49" s="391" t="s">
        <v>1421</v>
      </c>
      <c r="J49" s="407" t="s">
        <v>1423</v>
      </c>
    </row>
    <row r="50" spans="1:11" ht="13.5" customHeight="1" thickTop="1">
      <c r="A50" s="476" t="s">
        <v>1427</v>
      </c>
      <c r="B50" s="26"/>
      <c r="C50" s="147"/>
      <c r="D50" s="1464">
        <f>'VoT4'!D26</f>
        <v>0</v>
      </c>
      <c r="E50" s="1464">
        <f>'VoT4'!E26</f>
        <v>0</v>
      </c>
      <c r="F50" s="1464">
        <f>'VoT4'!F26</f>
        <v>0</v>
      </c>
      <c r="G50" s="1464">
        <f>'VoT4'!G26</f>
        <v>0</v>
      </c>
      <c r="H50" s="1465">
        <f>'VoT4'!H26</f>
        <v>0</v>
      </c>
      <c r="I50" s="1466">
        <f>'VoT4'!I26</f>
        <v>0</v>
      </c>
      <c r="J50" s="1465">
        <f>'VoT4'!J26</f>
        <v>0</v>
      </c>
    </row>
    <row r="51" spans="1:11" ht="13.5" customHeight="1">
      <c r="A51" s="476" t="s">
        <v>1438</v>
      </c>
      <c r="B51" s="26"/>
      <c r="C51" s="147"/>
      <c r="D51" s="1464">
        <f>'VoT4'!D27</f>
        <v>0</v>
      </c>
      <c r="E51" s="1464">
        <f>'VoT4'!E27</f>
        <v>0</v>
      </c>
      <c r="F51" s="1464">
        <f>'VoT4'!F27</f>
        <v>0</v>
      </c>
      <c r="G51" s="1464">
        <f>'VoT4'!G27</f>
        <v>0</v>
      </c>
      <c r="H51" s="1465">
        <f>'VoT4'!H27</f>
        <v>0</v>
      </c>
      <c r="I51" s="1466">
        <f>'VoT4'!I27</f>
        <v>0</v>
      </c>
      <c r="J51" s="1465">
        <f>'VoT4'!J27</f>
        <v>0</v>
      </c>
    </row>
    <row r="52" spans="1:11" ht="13.5" customHeight="1" thickBot="1">
      <c r="A52" s="456" t="s">
        <v>567</v>
      </c>
      <c r="B52" s="13"/>
      <c r="C52" s="168"/>
      <c r="D52" s="457"/>
      <c r="E52" s="9"/>
      <c r="F52" s="9"/>
      <c r="G52" s="9"/>
      <c r="H52" s="10"/>
      <c r="I52" s="11"/>
      <c r="J52" s="10"/>
      <c r="K52" s="458"/>
    </row>
    <row r="53" spans="1:11" ht="13.5" customHeight="1" thickTop="1">
      <c r="B53" s="451" t="s">
        <v>1442</v>
      </c>
      <c r="C53" s="451"/>
      <c r="D53" s="458"/>
      <c r="E53" s="458"/>
      <c r="F53" s="458"/>
      <c r="G53" s="458"/>
      <c r="H53" s="458"/>
      <c r="I53" s="458"/>
      <c r="J53" s="458"/>
    </row>
  </sheetData>
  <sheetProtection sheet="1" objects="1" scenarios="1"/>
  <mergeCells count="9">
    <mergeCell ref="A20:B20"/>
    <mergeCell ref="E6:S6"/>
    <mergeCell ref="A12:B12"/>
    <mergeCell ref="A18:B18"/>
    <mergeCell ref="A19:B19"/>
    <mergeCell ref="A11:B11"/>
    <mergeCell ref="A7:B7"/>
    <mergeCell ref="A8:B8"/>
    <mergeCell ref="A10:B10"/>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9" scale="54" fitToHeight="0" orientation="landscape" r:id="rId3"/>
  <headerFooter alignWithMargins="0"/>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0"/>
  </sheetPr>
  <dimension ref="A1:S39"/>
  <sheetViews>
    <sheetView showGridLines="0" zoomScale="85" zoomScaleNormal="85" workbookViewId="0">
      <pane xSplit="3" ySplit="25" topLeftCell="D26"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38"/>
  </cols>
  <sheetData>
    <row r="1" spans="1:19" ht="54.9" customHeight="1">
      <c r="A1" s="28"/>
    </row>
    <row r="2" spans="1:19" s="300" customFormat="1" ht="5.0999999999999996" customHeight="1">
      <c r="D2" s="83"/>
    </row>
    <row r="3" spans="1:19" s="300" customFormat="1" ht="20.100000000000001" customHeight="1">
      <c r="A3" s="426" t="s">
        <v>2231</v>
      </c>
      <c r="D3" s="46"/>
      <c r="E3" s="883"/>
      <c r="F3" s="445"/>
      <c r="G3" s="444"/>
      <c r="H3" s="444"/>
      <c r="I3" s="444"/>
      <c r="J3" s="444"/>
      <c r="K3" s="445"/>
    </row>
    <row r="4" spans="1:19" s="26" customFormat="1" ht="20.100000000000001" customHeight="1" thickBot="1">
      <c r="A4" s="529" t="str">
        <f>CONCATENATE("Vehicle occupancies (",B15,")")</f>
        <v>Vehicle occupancies (2010)</v>
      </c>
      <c r="B4" s="447"/>
      <c r="C4" s="447"/>
      <c r="D4" s="487"/>
      <c r="E4" s="884"/>
      <c r="F4" s="449"/>
      <c r="G4" s="448"/>
      <c r="H4" s="447"/>
      <c r="I4" s="447"/>
      <c r="J4" s="447"/>
      <c r="K4" s="487"/>
      <c r="L4" s="446"/>
      <c r="M4" s="446"/>
      <c r="N4" s="446"/>
      <c r="O4" s="446"/>
      <c r="P4" s="446"/>
      <c r="Q4" s="446"/>
      <c r="R4" s="446"/>
      <c r="S4" s="446"/>
    </row>
    <row r="5" spans="1:19" ht="9.9" customHeight="1" thickTop="1" thickBot="1">
      <c r="A5" s="511"/>
      <c r="B5" s="321"/>
      <c r="E5" s="96"/>
      <c r="F5" s="31"/>
      <c r="G5" s="401"/>
      <c r="H5" s="321"/>
      <c r="I5" s="321"/>
      <c r="J5" s="321"/>
      <c r="K5" s="32"/>
    </row>
    <row r="6" spans="1:19" ht="13.5" customHeight="1" thickTop="1">
      <c r="A6" s="169" t="s">
        <v>10</v>
      </c>
      <c r="B6" s="169"/>
      <c r="E6" s="3626" t="s">
        <v>255</v>
      </c>
      <c r="F6" s="3649"/>
      <c r="G6" s="3649"/>
      <c r="H6" s="3649"/>
      <c r="I6" s="3649"/>
      <c r="J6" s="3649"/>
      <c r="K6" s="3649"/>
      <c r="L6" s="3649"/>
      <c r="M6" s="3649"/>
      <c r="N6" s="3649"/>
      <c r="O6" s="3649"/>
      <c r="P6" s="3649"/>
      <c r="Q6" s="3649"/>
      <c r="R6" s="3649"/>
      <c r="S6" s="3650"/>
    </row>
    <row r="7" spans="1:19" ht="13.5" customHeight="1">
      <c r="A7" s="3644" t="str">
        <f>Audit!A12</f>
        <v>May 2019 v1.12</v>
      </c>
      <c r="B7" s="3651"/>
      <c r="E7" s="113" t="str">
        <f>'Forecast occupancies'!E7</f>
        <v>After 2036, car passengers are assumed to remain constant.</v>
      </c>
      <c r="F7" s="29"/>
      <c r="G7" s="26"/>
      <c r="H7" s="26"/>
      <c r="I7" s="26"/>
      <c r="J7" s="26"/>
      <c r="K7" s="26"/>
      <c r="L7" s="26"/>
      <c r="M7" s="26"/>
      <c r="N7" s="26"/>
      <c r="O7" s="26"/>
      <c r="P7" s="26"/>
      <c r="Q7" s="26"/>
      <c r="R7" s="26"/>
      <c r="S7" s="147"/>
    </row>
    <row r="8" spans="1:19" ht="13.5" customHeight="1">
      <c r="A8" s="3646">
        <f>Audit!C12</f>
        <v>43586</v>
      </c>
      <c r="B8" s="3651"/>
      <c r="C8" s="321"/>
      <c r="D8" s="321"/>
      <c r="E8" s="113"/>
      <c r="F8" s="315"/>
      <c r="G8" s="26"/>
      <c r="H8" s="26"/>
      <c r="I8" s="26"/>
      <c r="J8" s="26"/>
      <c r="K8" s="26"/>
      <c r="L8" s="26"/>
      <c r="M8" s="26"/>
      <c r="N8" s="26"/>
      <c r="O8" s="26"/>
      <c r="P8" s="26"/>
      <c r="Q8" s="26"/>
      <c r="R8" s="26"/>
      <c r="S8" s="147"/>
    </row>
    <row r="9" spans="1:19" ht="13.5" customHeight="1" thickBot="1">
      <c r="A9" s="172" t="s">
        <v>14</v>
      </c>
      <c r="B9" s="173"/>
      <c r="D9" s="321"/>
      <c r="E9" s="113" t="str">
        <f>'Forecast occupancies'!E9</f>
        <v>To calculate forecast car occupancies, subtract 1 for driver from value for base year; multiply by vehicle occupancy growth raised to number of years from the source year and add 1 driver back in.</v>
      </c>
      <c r="F9" s="26"/>
      <c r="G9" s="26"/>
      <c r="H9" s="26"/>
      <c r="I9" s="26"/>
      <c r="J9" s="26"/>
      <c r="K9" s="26"/>
      <c r="L9" s="26"/>
      <c r="M9" s="26"/>
      <c r="N9" s="26"/>
      <c r="O9" s="26"/>
      <c r="P9" s="26"/>
      <c r="Q9" s="26"/>
      <c r="R9" s="26"/>
      <c r="S9" s="147"/>
    </row>
    <row r="10" spans="1:19" ht="13.5" customHeight="1" thickBot="1">
      <c r="A10" s="3611" t="s">
        <v>1306</v>
      </c>
      <c r="B10" s="3612"/>
      <c r="D10" s="321"/>
      <c r="E10" s="113" t="str">
        <f>'Forecast occupancies'!E10</f>
        <v>To calculate average car occupancies weight by percentage of distance travelled.</v>
      </c>
      <c r="F10" s="26"/>
      <c r="G10" s="26"/>
      <c r="H10" s="26"/>
      <c r="I10" s="26"/>
      <c r="J10" s="26"/>
      <c r="K10" s="26"/>
      <c r="L10" s="26"/>
      <c r="M10" s="26"/>
      <c r="N10" s="26"/>
      <c r="O10" s="26"/>
      <c r="P10" s="26"/>
      <c r="Q10" s="26"/>
      <c r="R10" s="26"/>
      <c r="S10" s="147"/>
    </row>
    <row r="11" spans="1:19" ht="13.5" customHeight="1" thickBot="1">
      <c r="A11" s="3611" t="s">
        <v>2216</v>
      </c>
      <c r="B11" s="3639"/>
      <c r="D11" s="321"/>
      <c r="E11" s="113" t="str">
        <f>'Forecast occupancies'!E11</f>
        <v>To calculate forecast work PSV occupancies, multiply the passenger occupancy by the percentage of distance travelled by passengers to work and add 1 for the driver.</v>
      </c>
      <c r="F11" s="53"/>
      <c r="G11" s="53"/>
      <c r="H11" s="53"/>
      <c r="I11" s="53"/>
      <c r="J11" s="53"/>
      <c r="K11" s="53"/>
      <c r="L11" s="53"/>
      <c r="M11" s="53"/>
      <c r="N11" s="53"/>
      <c r="O11" s="53"/>
      <c r="P11" s="53"/>
      <c r="Q11" s="53"/>
      <c r="R11" s="53"/>
      <c r="S11" s="379"/>
    </row>
    <row r="12" spans="1:19" ht="13.5" customHeight="1" thickBot="1">
      <c r="A12" s="3611" t="s">
        <v>2217</v>
      </c>
      <c r="B12" s="3639"/>
      <c r="D12" s="321"/>
      <c r="E12" s="113" t="str">
        <f>'Forecast occupancies'!E12</f>
        <v>To calculate forecast non-work PSV occupancies, multiply the passenger occupancy by the percentage of distance travelled by passengers to non-work purpose.</v>
      </c>
      <c r="F12" s="26"/>
      <c r="G12" s="26"/>
      <c r="H12" s="26"/>
      <c r="I12" s="26"/>
      <c r="J12" s="26"/>
      <c r="K12" s="26"/>
      <c r="L12" s="26"/>
      <c r="M12" s="26"/>
      <c r="N12" s="26"/>
      <c r="O12" s="26"/>
      <c r="P12" s="26"/>
      <c r="Q12" s="26"/>
      <c r="R12" s="26"/>
      <c r="S12" s="147"/>
    </row>
    <row r="13" spans="1:19" ht="13.5" customHeight="1">
      <c r="A13" s="172" t="s">
        <v>252</v>
      </c>
      <c r="B13" s="194"/>
      <c r="C13" s="321"/>
      <c r="D13" s="321"/>
      <c r="E13" s="114"/>
      <c r="F13" s="26"/>
      <c r="G13" s="26"/>
      <c r="H13" s="26"/>
      <c r="I13" s="26"/>
      <c r="J13" s="26"/>
      <c r="K13" s="26"/>
      <c r="L13" s="26"/>
      <c r="M13" s="26"/>
      <c r="N13" s="26"/>
      <c r="O13" s="26"/>
      <c r="P13" s="26"/>
      <c r="Q13" s="26"/>
      <c r="R13" s="26"/>
      <c r="S13" s="147"/>
    </row>
    <row r="14" spans="1:19" ht="13.5" customHeight="1">
      <c r="C14" s="321"/>
      <c r="D14" s="321"/>
      <c r="E14" s="113"/>
      <c r="F14" s="26"/>
      <c r="G14" s="26"/>
      <c r="H14" s="26"/>
      <c r="I14" s="26"/>
      <c r="J14" s="26"/>
      <c r="K14" s="26"/>
      <c r="L14" s="26"/>
      <c r="M14" s="26"/>
      <c r="N14" s="26"/>
      <c r="O14" s="26"/>
      <c r="P14" s="26"/>
      <c r="Q14" s="26"/>
      <c r="R14" s="26"/>
      <c r="S14" s="147"/>
    </row>
    <row r="15" spans="1:19" ht="13.5" customHeight="1">
      <c r="A15" s="38" t="s">
        <v>54</v>
      </c>
      <c r="B15" s="221">
        <f>'User Parameters'!L19</f>
        <v>2010</v>
      </c>
      <c r="C15" s="321"/>
      <c r="D15" s="321"/>
      <c r="E15" s="113"/>
      <c r="F15" s="26"/>
      <c r="G15" s="26"/>
      <c r="H15" s="26"/>
      <c r="I15" s="26"/>
      <c r="J15" s="26"/>
      <c r="K15" s="26"/>
      <c r="L15" s="26"/>
      <c r="M15" s="26"/>
      <c r="N15" s="26"/>
      <c r="O15" s="26"/>
      <c r="P15" s="26"/>
      <c r="Q15" s="26"/>
      <c r="R15" s="26"/>
      <c r="S15" s="147"/>
    </row>
    <row r="16" spans="1:19" ht="13.5" customHeight="1">
      <c r="C16" s="321"/>
      <c r="D16" s="321"/>
      <c r="E16" s="113"/>
      <c r="F16" s="26"/>
      <c r="G16" s="26"/>
      <c r="H16" s="26"/>
      <c r="I16" s="26"/>
      <c r="J16" s="26"/>
      <c r="K16" s="26"/>
      <c r="L16" s="26"/>
      <c r="M16" s="26"/>
      <c r="N16" s="26"/>
      <c r="O16" s="26"/>
      <c r="P16" s="26"/>
      <c r="Q16" s="26"/>
      <c r="R16" s="26"/>
      <c r="S16" s="147"/>
    </row>
    <row r="17" spans="1:19" ht="13.5" customHeight="1">
      <c r="A17" s="169" t="s">
        <v>253</v>
      </c>
      <c r="B17" s="170"/>
      <c r="C17" s="321"/>
      <c r="D17" s="321"/>
      <c r="E17" s="207"/>
      <c r="F17" s="26"/>
      <c r="G17" s="26"/>
      <c r="H17" s="26"/>
      <c r="I17" s="26"/>
      <c r="J17" s="26"/>
      <c r="K17" s="26"/>
      <c r="L17" s="26"/>
      <c r="M17" s="26"/>
      <c r="N17" s="26"/>
      <c r="O17" s="26"/>
      <c r="P17" s="26"/>
      <c r="Q17" s="26"/>
      <c r="R17" s="26"/>
      <c r="S17" s="147"/>
    </row>
    <row r="18" spans="1:19" ht="13.5" customHeight="1">
      <c r="A18" s="3615"/>
      <c r="B18" s="3615"/>
      <c r="C18" s="321"/>
      <c r="D18" s="321"/>
      <c r="E18" s="113"/>
      <c r="F18" s="26"/>
      <c r="G18" s="26"/>
      <c r="H18" s="26"/>
      <c r="I18" s="26"/>
      <c r="J18" s="26"/>
      <c r="K18" s="26"/>
      <c r="L18" s="26"/>
      <c r="M18" s="26"/>
      <c r="N18" s="26"/>
      <c r="O18" s="26"/>
      <c r="P18" s="26"/>
      <c r="Q18" s="26"/>
      <c r="R18" s="26"/>
      <c r="S18" s="147"/>
    </row>
    <row r="19" spans="1:19" ht="13.5" customHeight="1">
      <c r="A19" s="3615"/>
      <c r="B19" s="3615"/>
      <c r="C19" s="321"/>
      <c r="D19" s="321"/>
      <c r="E19" s="113" t="s">
        <v>2356</v>
      </c>
      <c r="F19" s="26"/>
      <c r="G19" s="26"/>
      <c r="H19" s="26"/>
      <c r="I19" s="26"/>
      <c r="J19" s="26"/>
      <c r="K19" s="26"/>
      <c r="L19" s="26"/>
      <c r="M19" s="26"/>
      <c r="N19" s="26"/>
      <c r="O19" s="26"/>
      <c r="P19" s="26"/>
      <c r="Q19" s="26"/>
      <c r="R19" s="26"/>
      <c r="S19" s="147"/>
    </row>
    <row r="20" spans="1:19" ht="13.5" customHeight="1" thickBot="1">
      <c r="A20" s="3615"/>
      <c r="B20" s="3615"/>
      <c r="C20" s="321"/>
      <c r="D20" s="412"/>
      <c r="E20" s="381" t="s">
        <v>2232</v>
      </c>
      <c r="F20" s="163"/>
      <c r="G20" s="163"/>
      <c r="H20" s="163"/>
      <c r="I20" s="163"/>
      <c r="J20" s="163"/>
      <c r="K20" s="163"/>
      <c r="L20" s="163"/>
      <c r="M20" s="163"/>
      <c r="N20" s="163"/>
      <c r="O20" s="163"/>
      <c r="P20" s="163"/>
      <c r="Q20" s="163"/>
      <c r="R20" s="163"/>
      <c r="S20" s="382"/>
    </row>
    <row r="21" spans="1:19" ht="13.5" customHeight="1" thickTop="1">
      <c r="A21" s="401"/>
      <c r="B21" s="321"/>
      <c r="C21" s="321"/>
      <c r="D21" s="32"/>
      <c r="E21" s="96"/>
      <c r="F21" s="31"/>
      <c r="G21" s="401"/>
      <c r="H21" s="321"/>
      <c r="I21" s="321"/>
      <c r="J21" s="321"/>
      <c r="K21" s="32"/>
    </row>
    <row r="22" spans="1:19" ht="13.5" customHeight="1" thickBot="1"/>
    <row r="23" spans="1:19" ht="13.5" customHeight="1" thickTop="1" thickBot="1">
      <c r="A23" s="893" t="s">
        <v>1209</v>
      </c>
      <c r="B23" s="125"/>
      <c r="C23" s="362"/>
      <c r="D23" s="404" t="str">
        <f>CONCATENATE("Vehicle occupancies based on vehicle kilometres travelled (",B15," values)")</f>
        <v>Vehicle occupancies based on vehicle kilometres travelled (2010 values)</v>
      </c>
      <c r="E23" s="404"/>
      <c r="F23" s="496"/>
      <c r="G23" s="496"/>
      <c r="H23" s="496"/>
      <c r="I23" s="496"/>
      <c r="J23" s="756"/>
    </row>
    <row r="24" spans="1:19" ht="13.5" customHeight="1" thickTop="1">
      <c r="A24" s="99"/>
      <c r="B24" s="100"/>
      <c r="C24" s="916"/>
      <c r="D24" s="101" t="s">
        <v>1420</v>
      </c>
      <c r="E24" s="101"/>
      <c r="F24" s="101"/>
      <c r="G24" s="101"/>
      <c r="H24" s="917"/>
      <c r="I24" s="390" t="s">
        <v>1421</v>
      </c>
      <c r="J24" s="4" t="s">
        <v>1423</v>
      </c>
    </row>
    <row r="25" spans="1:19" ht="13.5" customHeight="1" thickBot="1">
      <c r="A25" s="918" t="s">
        <v>1447</v>
      </c>
      <c r="B25" s="919" t="s">
        <v>1453</v>
      </c>
      <c r="C25" s="289"/>
      <c r="D25" s="920" t="s">
        <v>1437</v>
      </c>
      <c r="E25" s="921" t="s">
        <v>1424</v>
      </c>
      <c r="F25" s="921" t="s">
        <v>1425</v>
      </c>
      <c r="G25" s="921" t="s">
        <v>1426</v>
      </c>
      <c r="H25" s="922" t="s">
        <v>1422</v>
      </c>
      <c r="I25" s="288"/>
      <c r="J25" s="289"/>
    </row>
    <row r="26" spans="1:19" ht="13.5" customHeight="1">
      <c r="A26" s="478" t="s">
        <v>1439</v>
      </c>
      <c r="B26" s="463" t="s">
        <v>1427</v>
      </c>
      <c r="C26" s="147"/>
      <c r="D26" s="885">
        <f>VLOOKUP($B$15,'Forecast occupancies'!$C$28:$CP$65,2,FALSE)</f>
        <v>1.1306546747898494</v>
      </c>
      <c r="E26" s="885">
        <f>VLOOKUP($B$15,'Forecast occupancies'!$C$28:$CP$65,15,FALSE)</f>
        <v>1.1586074096289325</v>
      </c>
      <c r="F26" s="885">
        <f>VLOOKUP($B$15,'Forecast occupancies'!$C$28:$CP$65,28,FALSE)</f>
        <v>1.1469717467060276</v>
      </c>
      <c r="G26" s="885">
        <f>VLOOKUP($B$15,'Forecast occupancies'!$C$28:$CP$65,41,FALSE)</f>
        <v>1.1686731657535445</v>
      </c>
      <c r="H26" s="886">
        <f>VLOOKUP($B$15,'Forecast occupancies'!$C$28:$CP$65,54,FALSE)</f>
        <v>1.1490125418460642</v>
      </c>
      <c r="I26" s="887">
        <f>VLOOKUP($B$15,'Forecast occupancies'!$C$28:$CP$65,67,FALSE)</f>
        <v>1.3131774973540897</v>
      </c>
      <c r="J26" s="886">
        <f>VLOOKUP($B$15,'Forecast occupancies'!$C$28:$CP$65,80,FALSE)</f>
        <v>1.1606654296250507</v>
      </c>
    </row>
    <row r="27" spans="1:19" ht="13.5" customHeight="1">
      <c r="A27" s="113"/>
      <c r="B27" s="463" t="s">
        <v>1440</v>
      </c>
      <c r="C27" s="147"/>
      <c r="D27" s="885">
        <f>VLOOKUP($B$15,'Forecast occupancies'!$C$28:$CP$65,3,FALSE)</f>
        <v>1.1324142099550518</v>
      </c>
      <c r="E27" s="885">
        <f>VLOOKUP($B$15,'Forecast occupancies'!$C$28:$CP$65,16,FALSE)</f>
        <v>1.1508273706069019</v>
      </c>
      <c r="F27" s="885">
        <f>VLOOKUP($B$15,'Forecast occupancies'!$C$28:$CP$65,29,FALSE)</f>
        <v>1.1363203108454192</v>
      </c>
      <c r="G27" s="885">
        <f>VLOOKUP($B$15,'Forecast occupancies'!$C$28:$CP$65,42,FALSE)</f>
        <v>1.1529514408135957</v>
      </c>
      <c r="H27" s="888">
        <f>VLOOKUP($B$15,'Forecast occupancies'!$C$28:$CP$65,55,FALSE)</f>
        <v>1.1401838093663619</v>
      </c>
      <c r="I27" s="515">
        <f>VLOOKUP($B$15,'Forecast occupancies'!$C$28:$CP$65,68,FALSE)</f>
        <v>1.2071718111863166</v>
      </c>
      <c r="J27" s="888">
        <f>VLOOKUP($B$15,'Forecast occupancies'!$C$28:$CP$65,81,FALSE)</f>
        <v>1.145603182870168</v>
      </c>
    </row>
    <row r="28" spans="1:19" ht="13.5" customHeight="1">
      <c r="A28" s="113"/>
      <c r="B28" s="911" t="s">
        <v>1428</v>
      </c>
      <c r="C28" s="510"/>
      <c r="D28" s="516">
        <f>VLOOKUP($B$15,'Forecast occupancies'!$C$28:$CP$65,4,FALSE)</f>
        <v>1.7117149527604505</v>
      </c>
      <c r="E28" s="516">
        <f>VLOOKUP($B$15,'Forecast occupancies'!$C$28:$CP$65,17,FALSE)</f>
        <v>1.823380766174084</v>
      </c>
      <c r="F28" s="516">
        <f>VLOOKUP($B$15,'Forecast occupancies'!$C$28:$CP$65,30,FALSE)</f>
        <v>1.7925210409543946</v>
      </c>
      <c r="G28" s="516">
        <f>VLOOKUP($B$15,'Forecast occupancies'!$C$28:$CP$65,43,FALSE)</f>
        <v>1.7861213477735842</v>
      </c>
      <c r="H28" s="912">
        <f>VLOOKUP($B$15,'Forecast occupancies'!$C$28:$CP$65,56,FALSE)</f>
        <v>1.7905592337282852</v>
      </c>
      <c r="I28" s="517">
        <f>VLOOKUP($B$15,'Forecast occupancies'!$C$28:$CP$65,69,FALSE)</f>
        <v>2.1200652963923514</v>
      </c>
      <c r="J28" s="912">
        <f>VLOOKUP($B$15,'Forecast occupancies'!$C$28:$CP$65,82,FALSE)</f>
        <v>1.9068315187130187</v>
      </c>
    </row>
    <row r="29" spans="1:19" ht="13.5" customHeight="1" thickBot="1">
      <c r="A29" s="889"/>
      <c r="B29" s="910" t="s">
        <v>1429</v>
      </c>
      <c r="C29" s="583"/>
      <c r="D29" s="890">
        <f>VLOOKUP($B$15,'Forecast occupancies'!$C$28:$CP$65,5,FALSE)</f>
        <v>1.3479169640858997</v>
      </c>
      <c r="E29" s="890">
        <f>VLOOKUP($B$15,'Forecast occupancies'!$C$28:$CP$65,18,FALSE)</f>
        <v>1.6281464569127049</v>
      </c>
      <c r="F29" s="890">
        <f>VLOOKUP($B$15,'Forecast occupancies'!$C$28:$CP$65,31,FALSE)</f>
        <v>1.4300304559591868</v>
      </c>
      <c r="G29" s="890">
        <f>VLOOKUP($B$15,'Forecast occupancies'!$C$28:$CP$65,44,FALSE)</f>
        <v>1.4468321506136064</v>
      </c>
      <c r="H29" s="891">
        <f>VLOOKUP($B$15,'Forecast occupancies'!$C$28:$CP$65,57,FALSE)</f>
        <v>1.4799920043328101</v>
      </c>
      <c r="I29" s="892">
        <f>VLOOKUP($B$15,'Forecast occupancies'!$C$28:$CP$65,70,FALSE)</f>
        <v>2.0100159024412441</v>
      </c>
      <c r="J29" s="891">
        <f>VLOOKUP($B$15,'Forecast occupancies'!$C$28:$CP$65,83,FALSE)</f>
        <v>1.609758064696829</v>
      </c>
    </row>
    <row r="30" spans="1:19" ht="13.5" customHeight="1">
      <c r="A30" s="478" t="s">
        <v>1431</v>
      </c>
      <c r="B30" s="463" t="s">
        <v>1304</v>
      </c>
      <c r="C30" s="147"/>
      <c r="D30" s="885">
        <f>VLOOKUP($B$15,'Forecast occupancies'!$C$28:$CP$65,6,FALSE)</f>
        <v>1.2</v>
      </c>
      <c r="E30" s="885">
        <f>VLOOKUP($B$15,'Forecast occupancies'!$C$28:$CP$65,19,FALSE)</f>
        <v>1.2</v>
      </c>
      <c r="F30" s="885">
        <f>VLOOKUP($B$15,'Forecast occupancies'!$C$28:$CP$65,32,FALSE)</f>
        <v>1.2</v>
      </c>
      <c r="G30" s="885">
        <f>VLOOKUP($B$15,'Forecast occupancies'!$C$28:$CP$65,45,FALSE)</f>
        <v>1.2</v>
      </c>
      <c r="H30" s="888">
        <f>VLOOKUP($B$15,'Forecast occupancies'!$C$28:$CP$65,58,FALSE)</f>
        <v>1.2</v>
      </c>
      <c r="I30" s="515">
        <f>VLOOKUP($B$15,'Forecast occupancies'!$C$28:$CP$65,71,FALSE)</f>
        <v>1.26</v>
      </c>
      <c r="J30" s="888">
        <f>VLOOKUP($B$15,'Forecast occupancies'!$C$28:$CP$65,84,FALSE)</f>
        <v>1.2</v>
      </c>
    </row>
    <row r="31" spans="1:19" ht="13.5" customHeight="1">
      <c r="A31" s="113"/>
      <c r="B31" s="913" t="s">
        <v>527</v>
      </c>
      <c r="C31" s="914"/>
      <c r="D31" s="516">
        <f>VLOOKUP($B$15,'Forecast occupancies'!$C$28:$CP$65,7,FALSE)</f>
        <v>1.46</v>
      </c>
      <c r="E31" s="516">
        <f>VLOOKUP($B$15,'Forecast occupancies'!$C$28:$CP$65,20,FALSE)</f>
        <v>1.46</v>
      </c>
      <c r="F31" s="516">
        <f>VLOOKUP($B$15,'Forecast occupancies'!$C$28:$CP$65,33,FALSE)</f>
        <v>1.46</v>
      </c>
      <c r="G31" s="516">
        <f>VLOOKUP($B$15,'Forecast occupancies'!$C$28:$CP$65,46,FALSE)</f>
        <v>1.46</v>
      </c>
      <c r="H31" s="912">
        <f>VLOOKUP($B$15,'Forecast occupancies'!$C$28:$CP$65,59,FALSE)</f>
        <v>1.46</v>
      </c>
      <c r="I31" s="517">
        <f>VLOOKUP($B$15,'Forecast occupancies'!$C$28:$CP$65,72,FALSE)</f>
        <v>2.0299999999999998</v>
      </c>
      <c r="J31" s="912">
        <f>VLOOKUP($B$15,'Forecast occupancies'!$C$28:$CP$65,85,FALSE)</f>
        <v>1.59</v>
      </c>
    </row>
    <row r="32" spans="1:19" ht="13.5" customHeight="1" thickBot="1">
      <c r="A32" s="889"/>
      <c r="B32" s="910" t="s">
        <v>1433</v>
      </c>
      <c r="C32" s="583"/>
      <c r="D32" s="890">
        <f>VLOOKUP($B$15,'Forecast occupancies'!$C$28:$CP$65,8,FALSE)</f>
        <v>1.2311999999999999</v>
      </c>
      <c r="E32" s="890">
        <f>VLOOKUP($B$15,'Forecast occupancies'!$C$28:$CP$65,21,FALSE)</f>
        <v>1.2311999999999999</v>
      </c>
      <c r="F32" s="890">
        <f>VLOOKUP($B$15,'Forecast occupancies'!$C$28:$CP$65,34,FALSE)</f>
        <v>1.2311999999999999</v>
      </c>
      <c r="G32" s="890">
        <f>VLOOKUP($B$15,'Forecast occupancies'!$C$28:$CP$65,47,FALSE)</f>
        <v>1.2311999999999999</v>
      </c>
      <c r="H32" s="891">
        <f>VLOOKUP($B$15,'Forecast occupancies'!$C$28:$CP$65,60,FALSE)</f>
        <v>1.2311999999999999</v>
      </c>
      <c r="I32" s="892">
        <f>VLOOKUP($B$15,'Forecast occupancies'!$C$28:$CP$65,73,FALSE)</f>
        <v>1.3524</v>
      </c>
      <c r="J32" s="891">
        <f>VLOOKUP($B$15,'Forecast occupancies'!$C$28:$CP$65,86,FALSE)</f>
        <v>1.2467999999999999</v>
      </c>
    </row>
    <row r="33" spans="1:10" ht="13.5" customHeight="1">
      <c r="A33" s="478" t="s">
        <v>1443</v>
      </c>
      <c r="B33" s="463" t="s">
        <v>1448</v>
      </c>
      <c r="C33" s="147"/>
      <c r="D33" s="885">
        <f>VLOOKUP($B$15,'Forecast occupancies'!$C$28:$CP$65,9,FALSE)</f>
        <v>1</v>
      </c>
      <c r="E33" s="885">
        <f>VLOOKUP($B$15,'Forecast occupancies'!$C$28:$CP$65,22,FALSE)</f>
        <v>1</v>
      </c>
      <c r="F33" s="885">
        <f>VLOOKUP($B$15,'Forecast occupancies'!$C$28:$CP$65,35,FALSE)</f>
        <v>1</v>
      </c>
      <c r="G33" s="885">
        <f>VLOOKUP($B$15,'Forecast occupancies'!$C$28:$CP$65,48,FALSE)</f>
        <v>1</v>
      </c>
      <c r="H33" s="888">
        <f>VLOOKUP($B$15,'Forecast occupancies'!$C$28:$CP$65,61,FALSE)</f>
        <v>1</v>
      </c>
      <c r="I33" s="515">
        <f>VLOOKUP($B$15,'Forecast occupancies'!$C$28:$CP$65,74,FALSE)</f>
        <v>1</v>
      </c>
      <c r="J33" s="888">
        <f>VLOOKUP($B$15,'Forecast occupancies'!$C$28:$CP$65,87,FALSE)</f>
        <v>1</v>
      </c>
    </row>
    <row r="34" spans="1:10" ht="13.5" customHeight="1" thickBot="1">
      <c r="A34" s="909" t="s">
        <v>1444</v>
      </c>
      <c r="B34" s="910" t="s">
        <v>1448</v>
      </c>
      <c r="C34" s="583"/>
      <c r="D34" s="890">
        <f>VLOOKUP($B$15,'Forecast occupancies'!$C$28:$CP$65,10,FALSE)</f>
        <v>1</v>
      </c>
      <c r="E34" s="890">
        <f>VLOOKUP($B$15,'Forecast occupancies'!$C$28:$CP$65,23,FALSE)</f>
        <v>1</v>
      </c>
      <c r="F34" s="890">
        <f>VLOOKUP($B$15,'Forecast occupancies'!$C$28:$CP$65,36,FALSE)</f>
        <v>1</v>
      </c>
      <c r="G34" s="890">
        <f>VLOOKUP($B$15,'Forecast occupancies'!$C$28:$CP$65,49,FALSE)</f>
        <v>1</v>
      </c>
      <c r="H34" s="891">
        <f>VLOOKUP($B$15,'Forecast occupancies'!$C$28:$CP$65,62,FALSE)</f>
        <v>1</v>
      </c>
      <c r="I34" s="892">
        <f>VLOOKUP($B$15,'Forecast occupancies'!$C$28:$CP$65,75,FALSE)</f>
        <v>1</v>
      </c>
      <c r="J34" s="891">
        <f>VLOOKUP($B$15,'Forecast occupancies'!$C$28:$CP$65,88,FALSE)</f>
        <v>1</v>
      </c>
    </row>
    <row r="35" spans="1:10" ht="13.5" customHeight="1">
      <c r="A35" s="478" t="s">
        <v>1434</v>
      </c>
      <c r="B35" s="463" t="s">
        <v>1427</v>
      </c>
      <c r="C35" s="147"/>
      <c r="D35" s="885">
        <f>VLOOKUP($B$15,'Forecast occupancies'!$C$28:$CP$65,11,FALSE)</f>
        <v>1.168791653429633</v>
      </c>
      <c r="E35" s="885">
        <f>VLOOKUP($B$15,'Forecast occupancies'!$C$28:$CP$65,24,FALSE)</f>
        <v>1.2020901087398195</v>
      </c>
      <c r="F35" s="885">
        <f>VLOOKUP($B$15,'Forecast occupancies'!$C$28:$CP$65,37,FALSE)</f>
        <v>1.2791444318533409</v>
      </c>
      <c r="G35" s="885">
        <f>VLOOKUP($B$15,'Forecast occupancies'!$C$28:$CP$65,50,FALSE)</f>
        <v>1.2777359179706231</v>
      </c>
      <c r="H35" s="888">
        <f>VLOOKUP($B$15,'Forecast occupancies'!$C$28:$CP$65,63,FALSE)</f>
        <v>1.2154161555382865</v>
      </c>
      <c r="I35" s="515">
        <f>VLOOKUP($B$15,'Forecast occupancies'!$C$28:$CP$65,76,FALSE)</f>
        <v>1.0656255420478047</v>
      </c>
      <c r="J35" s="888">
        <f>VLOOKUP($B$15,'Forecast occupancies'!$C$28:$CP$65,89,FALSE)</f>
        <v>1.1784267265920292</v>
      </c>
    </row>
    <row r="36" spans="1:10" ht="13.5" customHeight="1">
      <c r="A36" s="180" t="s">
        <v>997</v>
      </c>
      <c r="B36" s="463" t="s">
        <v>1440</v>
      </c>
      <c r="C36" s="147"/>
      <c r="D36" s="885">
        <f>VLOOKUP($B$15,'Forecast occupancies'!$C$28:$CP$65,12,FALSE)</f>
        <v>2.2491911578548542</v>
      </c>
      <c r="E36" s="885">
        <f>VLOOKUP($B$15,'Forecast occupancies'!$C$28:$CP$65,25,FALSE)</f>
        <v>0.78826992816783981</v>
      </c>
      <c r="F36" s="885">
        <f>VLOOKUP($B$15,'Forecast occupancies'!$C$28:$CP$65,38,FALSE)</f>
        <v>3.163211907560131</v>
      </c>
      <c r="G36" s="885">
        <f>VLOOKUP($B$15,'Forecast occupancies'!$C$28:$CP$65,51,FALSE)</f>
        <v>4.3240321049185146</v>
      </c>
      <c r="H36" s="888">
        <f>VLOOKUP($B$15,'Forecast occupancies'!$C$28:$CP$65,64,FALSE)</f>
        <v>1.9520129541892906</v>
      </c>
      <c r="I36" s="515">
        <f>VLOOKUP($B$15,'Forecast occupancies'!$C$28:$CP$65,77,FALSE)</f>
        <v>0.73949783032666783</v>
      </c>
      <c r="J36" s="888">
        <f>VLOOKUP($B$15,'Forecast occupancies'!$C$28:$CP$65,90,FALSE)</f>
        <v>1.652535676565674</v>
      </c>
    </row>
    <row r="37" spans="1:10" ht="13.5" customHeight="1">
      <c r="A37" s="113"/>
      <c r="B37" s="911" t="s">
        <v>1419</v>
      </c>
      <c r="C37" s="510"/>
      <c r="D37" s="516">
        <f>VLOOKUP($B$15,'Forecast occupancies'!$C$28:$CP$65,13,FALSE)</f>
        <v>9.7820171887155141</v>
      </c>
      <c r="E37" s="516">
        <f>VLOOKUP($B$15,'Forecast occupancies'!$C$28:$CP$65,26,FALSE)</f>
        <v>11.209639963092341</v>
      </c>
      <c r="F37" s="516">
        <f>VLOOKUP($B$15,'Forecast occupancies'!$C$28:$CP$65,39,FALSE)</f>
        <v>8.7576436605865258</v>
      </c>
      <c r="G37" s="516">
        <f>VLOOKUP($B$15,'Forecast occupancies'!$C$28:$CP$65,52,FALSE)</f>
        <v>7.5982319771108608</v>
      </c>
      <c r="H37" s="912">
        <f>VLOOKUP($B$15,'Forecast occupancies'!$C$28:$CP$65,65,FALSE)</f>
        <v>10.032570890272423</v>
      </c>
      <c r="I37" s="517">
        <f>VLOOKUP($B$15,'Forecast occupancies'!$C$28:$CP$65,78,FALSE)</f>
        <v>11.394876627625528</v>
      </c>
      <c r="J37" s="912">
        <f>VLOOKUP($B$15,'Forecast occupancies'!$C$28:$CP$65,91,FALSE)</f>
        <v>10.369037596842293</v>
      </c>
    </row>
    <row r="38" spans="1:10" ht="13.5" customHeight="1" thickBot="1">
      <c r="A38" s="381"/>
      <c r="B38" s="495" t="s">
        <v>1449</v>
      </c>
      <c r="C38" s="168"/>
      <c r="D38" s="518">
        <f>VLOOKUP($B$15,'Forecast occupancies'!$C$28:$CP$65,14,FALSE)</f>
        <v>13.200000000000001</v>
      </c>
      <c r="E38" s="518">
        <f>VLOOKUP($B$15,'Forecast occupancies'!$C$28:$CP$65,27,FALSE)</f>
        <v>13.200000000000001</v>
      </c>
      <c r="F38" s="518">
        <f>VLOOKUP($B$15,'Forecast occupancies'!$C$28:$CP$65,40,FALSE)</f>
        <v>13.199999999999998</v>
      </c>
      <c r="G38" s="518">
        <f>VLOOKUP($B$15,'Forecast occupancies'!$C$28:$CP$65,53,FALSE)</f>
        <v>13.2</v>
      </c>
      <c r="H38" s="915">
        <f>VLOOKUP($B$15,'Forecast occupancies'!$C$28:$CP$65,66,FALSE)</f>
        <v>13.2</v>
      </c>
      <c r="I38" s="519">
        <f>VLOOKUP($B$15,'Forecast occupancies'!$C$28:$CP$65,79,FALSE)</f>
        <v>13.200000000000001</v>
      </c>
      <c r="J38" s="915">
        <f>VLOOKUP($B$15,'Forecast occupancies'!$C$28:$CP$65,92,FALSE)</f>
        <v>13.199999999999996</v>
      </c>
    </row>
    <row r="39" spans="1:10" ht="13.5" customHeight="1" thickTop="1">
      <c r="B39" s="26"/>
      <c r="C39" s="451"/>
      <c r="D39" s="451"/>
      <c r="E39" s="451"/>
      <c r="F39" s="451"/>
      <c r="G39" s="451"/>
      <c r="H39" s="451"/>
      <c r="I39" s="451"/>
      <c r="J39" s="451"/>
    </row>
  </sheetData>
  <sheetProtection sheet="1" objects="1" scenarios="1"/>
  <mergeCells count="9">
    <mergeCell ref="A20:B20"/>
    <mergeCell ref="E6:S6"/>
    <mergeCell ref="A7:B7"/>
    <mergeCell ref="A8:B8"/>
    <mergeCell ref="A10:B10"/>
    <mergeCell ref="A11:B11"/>
    <mergeCell ref="A12:B12"/>
    <mergeCell ref="A18:B18"/>
    <mergeCell ref="A19:B19"/>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0"/>
  </sheetPr>
  <dimension ref="A1:CV68"/>
  <sheetViews>
    <sheetView showGridLines="0" zoomScale="85" zoomScaleNormal="85" workbookViewId="0">
      <pane xSplit="3" ySplit="27" topLeftCell="D28"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38"/>
  </cols>
  <sheetData>
    <row r="1" spans="1:100" ht="54.9" customHeight="1">
      <c r="A1" s="28"/>
      <c r="D1" s="3688"/>
      <c r="E1" s="3688"/>
      <c r="F1" s="3688"/>
      <c r="G1" s="3688"/>
      <c r="H1" s="3688"/>
      <c r="I1" s="3688"/>
      <c r="J1" s="3688"/>
      <c r="K1" s="3688"/>
      <c r="L1" s="3688"/>
      <c r="M1" s="3688"/>
      <c r="N1" s="3688"/>
      <c r="O1" s="3688"/>
      <c r="P1" s="3688"/>
      <c r="Q1" s="3688"/>
      <c r="R1" s="3689"/>
      <c r="S1" s="3689"/>
      <c r="T1" s="3689"/>
      <c r="U1" s="3689"/>
      <c r="V1" s="3689"/>
      <c r="W1" s="3689"/>
      <c r="X1" s="3689"/>
      <c r="Y1" s="3689"/>
      <c r="Z1" s="3689"/>
      <c r="AA1" s="3689"/>
      <c r="AB1" s="3689"/>
      <c r="AC1" s="3689"/>
      <c r="AD1" s="3688"/>
      <c r="AE1" s="3688"/>
      <c r="AF1" s="3688"/>
      <c r="AG1" s="3688"/>
      <c r="AH1" s="3688"/>
      <c r="AI1" s="3688"/>
      <c r="AJ1" s="3688"/>
      <c r="AK1" s="3688"/>
      <c r="AL1" s="3688"/>
      <c r="AM1" s="3688"/>
      <c r="AN1" s="3688"/>
      <c r="AO1" s="3688"/>
      <c r="AP1" s="3688"/>
      <c r="AQ1" s="3688"/>
      <c r="AR1" s="3688"/>
      <c r="AS1" s="3688"/>
      <c r="AT1" s="3688"/>
      <c r="AU1" s="3688"/>
      <c r="AV1" s="3688"/>
      <c r="AW1" s="3688"/>
      <c r="AX1" s="3688"/>
      <c r="AY1" s="3688"/>
      <c r="AZ1" s="3688"/>
      <c r="BA1" s="3688"/>
      <c r="BB1" s="3688"/>
      <c r="BC1" s="3688"/>
      <c r="BD1" s="3688"/>
      <c r="BE1" s="3688"/>
      <c r="BF1" s="3688"/>
      <c r="BG1" s="3688"/>
      <c r="BH1" s="3688"/>
      <c r="BI1" s="3688"/>
      <c r="BJ1" s="3688"/>
      <c r="BK1" s="3688"/>
      <c r="BL1" s="3688"/>
      <c r="BM1" s="3688"/>
      <c r="BN1" s="3688"/>
      <c r="BO1" s="3688"/>
      <c r="BP1" s="3688"/>
      <c r="BQ1" s="3688"/>
      <c r="BR1" s="3688"/>
      <c r="BS1" s="3688"/>
      <c r="BT1" s="3688"/>
      <c r="BU1" s="3688"/>
      <c r="BV1" s="3688"/>
      <c r="BW1" s="3688"/>
      <c r="BX1" s="3688"/>
      <c r="BY1" s="3688"/>
      <c r="BZ1" s="3688"/>
      <c r="CA1" s="3688"/>
      <c r="CB1" s="3688"/>
      <c r="CC1" s="3688"/>
      <c r="CD1" s="3688"/>
      <c r="CE1" s="3688"/>
      <c r="CF1" s="3688"/>
      <c r="CG1" s="3688"/>
      <c r="CH1" s="3688"/>
      <c r="CI1" s="3688"/>
      <c r="CJ1" s="3688"/>
      <c r="CK1" s="3688"/>
      <c r="CL1" s="3688"/>
      <c r="CM1" s="3688"/>
      <c r="CN1" s="3688"/>
      <c r="CO1" s="3688"/>
      <c r="CP1" s="3688"/>
    </row>
    <row r="2" spans="1:100" s="300" customFormat="1" ht="5.0999999999999996" customHeight="1">
      <c r="D2" s="83"/>
      <c r="N2" s="31"/>
      <c r="O2" s="35"/>
      <c r="P2" s="35"/>
      <c r="Q2" s="3689"/>
      <c r="R2" s="3689"/>
      <c r="S2" s="3689"/>
      <c r="T2" s="3689"/>
      <c r="U2" s="3689"/>
      <c r="V2" s="3689"/>
      <c r="W2" s="3689"/>
      <c r="X2" s="3689"/>
      <c r="Y2" s="3689"/>
      <c r="Z2" s="3689"/>
      <c r="AA2" s="3689"/>
      <c r="AB2" s="3689"/>
      <c r="AC2" s="3689"/>
      <c r="AD2" s="485"/>
      <c r="AE2" s="485"/>
      <c r="AF2" s="485"/>
      <c r="AG2" s="485"/>
      <c r="AJ2" s="46"/>
      <c r="AK2" s="444"/>
      <c r="AL2" s="444"/>
      <c r="AM2" s="444"/>
      <c r="AN2" s="46"/>
      <c r="AO2" s="688"/>
      <c r="AQ2" s="485"/>
      <c r="AR2" s="485"/>
      <c r="AS2" s="485"/>
      <c r="AT2" s="485"/>
      <c r="AW2" s="46"/>
      <c r="AX2" s="444"/>
      <c r="AY2" s="444"/>
      <c r="AZ2" s="444"/>
      <c r="BA2" s="46"/>
      <c r="BB2" s="688"/>
      <c r="BD2" s="485"/>
      <c r="BE2" s="485"/>
      <c r="BF2" s="485"/>
      <c r="BG2" s="485"/>
      <c r="BH2" s="46"/>
      <c r="BJ2" s="46"/>
      <c r="BK2" s="444"/>
      <c r="BL2" s="444"/>
      <c r="BM2" s="444"/>
      <c r="BN2" s="46"/>
      <c r="BO2" s="688"/>
      <c r="BQ2" s="485"/>
      <c r="BR2" s="485"/>
      <c r="BS2" s="485"/>
      <c r="BT2" s="485"/>
      <c r="BU2" s="46"/>
      <c r="BW2" s="46"/>
      <c r="BX2" s="444"/>
      <c r="BY2" s="444"/>
      <c r="BZ2" s="444"/>
      <c r="CA2" s="46"/>
      <c r="CB2" s="688"/>
      <c r="CD2" s="485"/>
      <c r="CE2" s="485"/>
      <c r="CF2" s="485"/>
      <c r="CG2" s="485"/>
      <c r="CH2" s="46"/>
      <c r="CR2" s="485"/>
      <c r="CS2" s="485"/>
      <c r="CT2" s="485"/>
      <c r="CU2" s="485"/>
      <c r="CV2" s="46"/>
    </row>
    <row r="3" spans="1:100" s="300" customFormat="1" ht="20.100000000000001" customHeight="1">
      <c r="A3" s="426" t="s">
        <v>2217</v>
      </c>
      <c r="D3" s="46"/>
      <c r="E3" s="485"/>
      <c r="F3" s="857"/>
      <c r="G3" s="46"/>
      <c r="H3" s="485"/>
      <c r="I3" s="485"/>
      <c r="J3" s="485"/>
      <c r="K3" s="485"/>
      <c r="O3" s="29"/>
      <c r="P3" s="32"/>
      <c r="Q3" s="3689"/>
      <c r="R3" s="3689"/>
      <c r="S3" s="3689"/>
      <c r="T3" s="3689"/>
      <c r="U3" s="3689"/>
      <c r="V3" s="3689"/>
      <c r="W3" s="3689"/>
      <c r="X3" s="3689"/>
      <c r="Y3" s="3689"/>
      <c r="Z3" s="3689"/>
      <c r="AA3" s="3689"/>
      <c r="AB3" s="3689"/>
      <c r="AC3" s="3689"/>
      <c r="AJ3" s="46"/>
      <c r="AK3" s="83"/>
      <c r="AL3" s="445"/>
      <c r="AM3" s="83"/>
      <c r="AN3" s="46"/>
      <c r="AO3" s="688"/>
      <c r="AW3" s="46"/>
      <c r="AX3" s="83"/>
      <c r="AY3" s="445"/>
      <c r="AZ3" s="83"/>
      <c r="BA3" s="46"/>
      <c r="BB3" s="688"/>
      <c r="BJ3" s="46"/>
      <c r="BK3" s="83"/>
      <c r="BL3" s="445"/>
      <c r="BM3" s="83"/>
      <c r="BN3" s="46"/>
      <c r="BO3" s="688"/>
      <c r="BW3" s="46"/>
      <c r="BX3" s="83"/>
      <c r="BY3" s="445"/>
      <c r="BZ3" s="83"/>
      <c r="CA3" s="46"/>
      <c r="CB3" s="688"/>
      <c r="CJ3" s="46"/>
      <c r="CK3" s="444"/>
      <c r="CL3" s="444"/>
      <c r="CM3" s="444"/>
      <c r="CN3" s="46"/>
      <c r="CO3" s="426"/>
    </row>
    <row r="4" spans="1:100" s="26" customFormat="1" ht="20.100000000000001" customHeight="1" thickBot="1">
      <c r="A4" s="109" t="s">
        <v>526</v>
      </c>
      <c r="B4" s="446"/>
      <c r="C4" s="446"/>
      <c r="D4" s="486"/>
      <c r="E4" s="447"/>
      <c r="F4" s="449"/>
      <c r="G4" s="448"/>
      <c r="H4" s="447"/>
      <c r="I4" s="447"/>
      <c r="J4" s="447"/>
      <c r="K4" s="487"/>
      <c r="L4" s="446"/>
      <c r="M4" s="446"/>
      <c r="N4" s="446"/>
      <c r="O4" s="450"/>
      <c r="P4" s="487"/>
      <c r="Q4" s="450"/>
      <c r="R4" s="446"/>
      <c r="S4" s="487"/>
      <c r="T4" s="446"/>
      <c r="U4" s="446"/>
      <c r="V4" s="446"/>
      <c r="W4" s="446"/>
      <c r="X4" s="446"/>
      <c r="Y4" s="446"/>
      <c r="Z4" s="446"/>
      <c r="AA4" s="446"/>
      <c r="AB4" s="446"/>
      <c r="AC4" s="446"/>
      <c r="AD4" s="446"/>
      <c r="AE4" s="446"/>
      <c r="AF4" s="446"/>
      <c r="AG4" s="446"/>
      <c r="AH4" s="446"/>
      <c r="AI4" s="446"/>
      <c r="AJ4" s="449"/>
      <c r="AK4" s="450"/>
      <c r="AL4" s="487"/>
      <c r="AM4" s="450"/>
      <c r="AN4" s="449"/>
      <c r="AO4" s="689"/>
      <c r="AP4" s="446"/>
      <c r="AQ4" s="446"/>
      <c r="AR4" s="446"/>
      <c r="AS4" s="446"/>
      <c r="AT4" s="446"/>
      <c r="AU4" s="446"/>
      <c r="AV4" s="446"/>
      <c r="AW4" s="449"/>
      <c r="AX4" s="450"/>
      <c r="AY4" s="487"/>
      <c r="AZ4" s="450"/>
      <c r="BA4" s="449"/>
      <c r="BB4" s="689"/>
      <c r="BC4" s="446"/>
      <c r="BD4" s="446"/>
      <c r="BE4" s="446"/>
      <c r="BF4" s="446"/>
      <c r="BG4" s="446"/>
      <c r="BH4" s="446"/>
      <c r="BI4" s="446"/>
      <c r="BJ4" s="449"/>
      <c r="BK4" s="450"/>
      <c r="BL4" s="487"/>
      <c r="BM4" s="450"/>
      <c r="BN4" s="449"/>
      <c r="BO4" s="689"/>
      <c r="BP4" s="446"/>
      <c r="BQ4" s="446"/>
      <c r="BR4" s="446"/>
      <c r="BS4" s="446"/>
      <c r="BT4" s="446"/>
      <c r="BU4" s="446"/>
      <c r="BV4" s="446"/>
      <c r="BW4" s="449"/>
      <c r="BX4" s="450"/>
      <c r="BY4" s="487"/>
      <c r="BZ4" s="450"/>
      <c r="CA4" s="449"/>
      <c r="CB4" s="689"/>
      <c r="CC4" s="446"/>
      <c r="CD4" s="446"/>
      <c r="CE4" s="446"/>
      <c r="CF4" s="446"/>
      <c r="CG4" s="446"/>
      <c r="CH4" s="446"/>
      <c r="CI4" s="446"/>
      <c r="CJ4" s="449"/>
      <c r="CK4" s="450"/>
      <c r="CL4" s="487"/>
      <c r="CM4" s="450"/>
      <c r="CN4" s="449"/>
      <c r="CO4" s="689"/>
      <c r="CP4" s="446"/>
    </row>
    <row r="5" spans="1:100" ht="9.9" customHeight="1" thickTop="1" thickBot="1">
      <c r="A5" s="511"/>
      <c r="B5" s="321"/>
      <c r="C5" s="32"/>
      <c r="E5" s="321"/>
      <c r="F5" s="31"/>
      <c r="G5" s="401"/>
      <c r="H5" s="321"/>
      <c r="I5" s="321"/>
      <c r="J5" s="321"/>
      <c r="K5" s="32"/>
      <c r="O5" s="29"/>
      <c r="P5" s="32"/>
      <c r="Q5" s="29"/>
      <c r="R5" s="31"/>
      <c r="S5" s="32"/>
      <c r="AJ5" s="31"/>
      <c r="AK5" s="29"/>
      <c r="AL5" s="32"/>
      <c r="AM5" s="29"/>
      <c r="AN5" s="31"/>
      <c r="AO5" s="32"/>
      <c r="AW5" s="31"/>
      <c r="AX5" s="29"/>
      <c r="AY5" s="32"/>
      <c r="AZ5" s="29"/>
      <c r="BA5" s="31"/>
      <c r="BB5" s="32"/>
      <c r="BJ5" s="31"/>
      <c r="BK5" s="29"/>
      <c r="BL5" s="32"/>
      <c r="BM5" s="29"/>
      <c r="BN5" s="31"/>
      <c r="BO5" s="32"/>
      <c r="BW5" s="31"/>
      <c r="BX5" s="29"/>
      <c r="BY5" s="32"/>
      <c r="BZ5" s="29"/>
      <c r="CA5" s="31"/>
      <c r="CB5" s="32"/>
      <c r="CJ5" s="31"/>
      <c r="CK5" s="29"/>
      <c r="CL5" s="32"/>
      <c r="CM5" s="29"/>
      <c r="CN5" s="31"/>
      <c r="CO5" s="511"/>
    </row>
    <row r="6" spans="1:100" ht="13.5" customHeight="1" thickTop="1">
      <c r="A6" s="169" t="s">
        <v>10</v>
      </c>
      <c r="B6" s="169"/>
      <c r="D6" s="147"/>
      <c r="E6" s="3698" t="s">
        <v>255</v>
      </c>
      <c r="F6" s="3649"/>
      <c r="G6" s="3649"/>
      <c r="H6" s="3649"/>
      <c r="I6" s="3649"/>
      <c r="J6" s="3649"/>
      <c r="K6" s="3649"/>
      <c r="L6" s="3649"/>
      <c r="M6" s="3649"/>
      <c r="N6" s="3699"/>
      <c r="O6" s="3699"/>
      <c r="P6" s="3699"/>
      <c r="Q6" s="3699"/>
      <c r="R6" s="3699"/>
      <c r="S6" s="3700"/>
      <c r="AJ6" s="26"/>
      <c r="AK6" s="26"/>
      <c r="AL6" s="26"/>
      <c r="AM6" s="26"/>
      <c r="AN6" s="26"/>
      <c r="AO6" s="26"/>
      <c r="CJ6" s="26"/>
      <c r="CK6" s="26"/>
      <c r="CL6" s="26"/>
      <c r="CM6" s="26"/>
      <c r="CN6" s="26"/>
    </row>
    <row r="7" spans="1:100" ht="13.5" customHeight="1">
      <c r="A7" s="3644" t="str">
        <f>Audit!A12</f>
        <v>May 2019 v1.12</v>
      </c>
      <c r="B7" s="3651"/>
      <c r="D7" s="147"/>
      <c r="E7" s="38" t="str">
        <f>'VoT4'!E8</f>
        <v>After 2036, car passengers are assumed to remain constant.</v>
      </c>
      <c r="I7" s="26"/>
      <c r="J7" s="26"/>
      <c r="K7" s="26"/>
      <c r="L7" s="26"/>
      <c r="M7" s="26"/>
      <c r="N7" s="26"/>
      <c r="O7" s="26"/>
      <c r="P7" s="26"/>
      <c r="Q7" s="26"/>
      <c r="R7" s="26"/>
      <c r="S7" s="147"/>
      <c r="CJ7" s="26"/>
      <c r="CK7" s="26"/>
      <c r="CL7" s="26"/>
      <c r="CM7" s="26"/>
      <c r="CN7" s="26"/>
    </row>
    <row r="8" spans="1:100" ht="13.5" customHeight="1">
      <c r="A8" s="3646">
        <f>Audit!C12</f>
        <v>43586</v>
      </c>
      <c r="B8" s="3651"/>
      <c r="C8" s="321"/>
      <c r="D8" s="412"/>
      <c r="H8" s="441"/>
      <c r="I8" s="26"/>
      <c r="J8" s="26"/>
      <c r="K8" s="26"/>
      <c r="L8" s="26"/>
      <c r="M8" s="26"/>
      <c r="N8" s="26"/>
      <c r="O8" s="26"/>
      <c r="P8" s="26"/>
      <c r="Q8" s="26"/>
      <c r="R8" s="26"/>
      <c r="S8" s="147"/>
      <c r="CJ8" s="26"/>
      <c r="CK8" s="26"/>
      <c r="CL8" s="26"/>
      <c r="CM8" s="26"/>
      <c r="CN8" s="26"/>
    </row>
    <row r="9" spans="1:100" ht="13.5" customHeight="1" thickBot="1">
      <c r="A9" s="172" t="s">
        <v>14</v>
      </c>
      <c r="B9" s="173"/>
      <c r="D9" s="412"/>
      <c r="E9" s="113" t="s">
        <v>1380</v>
      </c>
      <c r="F9" s="441"/>
      <c r="H9" s="26"/>
      <c r="I9" s="26"/>
      <c r="J9" s="26"/>
      <c r="K9" s="26"/>
      <c r="L9" s="26"/>
      <c r="M9" s="26"/>
      <c r="N9" s="26"/>
      <c r="O9" s="26"/>
      <c r="P9" s="26"/>
      <c r="Q9" s="26"/>
      <c r="R9" s="26"/>
      <c r="S9" s="147"/>
      <c r="CJ9" s="26"/>
      <c r="CK9" s="26"/>
      <c r="CL9" s="26"/>
      <c r="CM9" s="26"/>
      <c r="CN9" s="26"/>
    </row>
    <row r="10" spans="1:100" ht="13.5" customHeight="1" thickBot="1">
      <c r="A10" s="3611" t="s">
        <v>1306</v>
      </c>
      <c r="B10" s="3612"/>
      <c r="D10" s="412"/>
      <c r="E10" s="56" t="s">
        <v>1381</v>
      </c>
      <c r="F10" s="1564"/>
      <c r="G10" s="1564"/>
      <c r="H10" s="1564"/>
      <c r="I10" s="1564"/>
      <c r="J10" s="1564"/>
      <c r="K10" s="1564"/>
      <c r="L10" s="1564"/>
      <c r="M10" s="1564"/>
      <c r="N10" s="1564"/>
      <c r="O10" s="1564"/>
      <c r="P10" s="1564"/>
      <c r="Q10" s="1564"/>
      <c r="R10" s="1564"/>
      <c r="S10" s="147"/>
      <c r="CJ10" s="26"/>
      <c r="CK10" s="26"/>
      <c r="CL10" s="26"/>
      <c r="CM10" s="26"/>
      <c r="CN10" s="26"/>
    </row>
    <row r="11" spans="1:100" ht="13.5" customHeight="1" thickBot="1">
      <c r="A11" s="3611" t="s">
        <v>2216</v>
      </c>
      <c r="B11" s="3639"/>
      <c r="D11" s="321"/>
      <c r="E11" s="1563" t="s">
        <v>1382</v>
      </c>
      <c r="F11" s="53"/>
      <c r="G11" s="53"/>
      <c r="H11" s="53"/>
      <c r="I11" s="53"/>
      <c r="J11" s="53"/>
      <c r="K11" s="53"/>
      <c r="L11" s="53"/>
      <c r="M11" s="53"/>
      <c r="N11" s="53"/>
      <c r="O11" s="53"/>
      <c r="P11" s="53"/>
      <c r="Q11" s="53"/>
      <c r="R11" s="53"/>
      <c r="S11" s="379"/>
      <c r="CJ11" s="26"/>
      <c r="CK11" s="26"/>
      <c r="CL11" s="26"/>
      <c r="CM11" s="26"/>
      <c r="CN11" s="26"/>
    </row>
    <row r="12" spans="1:100" ht="13.5" customHeight="1" thickBot="1">
      <c r="A12" s="3611" t="s">
        <v>2217</v>
      </c>
      <c r="B12" s="3639"/>
      <c r="D12" s="321"/>
      <c r="E12" s="113" t="s">
        <v>395</v>
      </c>
      <c r="F12" s="26"/>
      <c r="G12" s="26"/>
      <c r="H12" s="26"/>
      <c r="I12" s="26"/>
      <c r="J12" s="26"/>
      <c r="K12" s="26"/>
      <c r="L12" s="26"/>
      <c r="M12" s="26"/>
      <c r="N12" s="26"/>
      <c r="O12" s="26"/>
      <c r="P12" s="26"/>
      <c r="Q12" s="26"/>
      <c r="R12" s="26"/>
      <c r="S12" s="147"/>
      <c r="CJ12" s="26"/>
      <c r="CK12" s="26"/>
      <c r="CL12" s="26"/>
      <c r="CM12" s="26"/>
      <c r="CN12" s="26"/>
    </row>
    <row r="13" spans="1:100" ht="13.5" customHeight="1">
      <c r="A13" s="172" t="s">
        <v>252</v>
      </c>
      <c r="B13" s="194"/>
      <c r="C13" s="321"/>
      <c r="D13" s="321"/>
      <c r="E13" s="113"/>
      <c r="F13" s="26"/>
      <c r="G13" s="26"/>
      <c r="H13" s="26"/>
      <c r="I13" s="26"/>
      <c r="J13" s="26"/>
      <c r="K13" s="26"/>
      <c r="L13" s="26"/>
      <c r="M13" s="26"/>
      <c r="N13" s="26"/>
      <c r="O13" s="26"/>
      <c r="P13" s="26"/>
      <c r="Q13" s="26"/>
      <c r="R13" s="26"/>
      <c r="S13" s="147"/>
      <c r="CJ13" s="26"/>
      <c r="CK13" s="26"/>
      <c r="CL13" s="26"/>
      <c r="CM13" s="26"/>
      <c r="CN13" s="26"/>
    </row>
    <row r="14" spans="1:100" ht="13.5" customHeight="1">
      <c r="C14" s="321"/>
      <c r="D14" s="321"/>
      <c r="E14" s="113"/>
      <c r="F14" s="26"/>
      <c r="G14" s="26"/>
      <c r="H14" s="26"/>
      <c r="I14" s="26"/>
      <c r="J14" s="26"/>
      <c r="K14" s="26"/>
      <c r="L14" s="26"/>
      <c r="M14" s="26"/>
      <c r="N14" s="26"/>
      <c r="O14" s="26"/>
      <c r="P14" s="26"/>
      <c r="Q14" s="26"/>
      <c r="R14" s="26"/>
      <c r="S14" s="147"/>
      <c r="CJ14" s="26"/>
      <c r="CK14" s="26"/>
      <c r="CL14" s="26"/>
      <c r="CM14" s="26"/>
      <c r="CN14" s="26"/>
    </row>
    <row r="15" spans="1:100" ht="13.5" customHeight="1">
      <c r="A15" s="26" t="s">
        <v>370</v>
      </c>
      <c r="B15" s="221">
        <f>'VoT2'!B16</f>
        <v>2010</v>
      </c>
      <c r="C15" s="321"/>
      <c r="D15" s="321"/>
      <c r="E15" s="113"/>
      <c r="F15" s="26"/>
      <c r="G15" s="26"/>
      <c r="H15" s="26"/>
      <c r="I15" s="26"/>
      <c r="J15" s="26"/>
      <c r="K15" s="26"/>
      <c r="L15" s="26"/>
      <c r="M15" s="26"/>
      <c r="N15" s="26"/>
      <c r="O15" s="26"/>
      <c r="P15" s="26"/>
      <c r="Q15" s="26"/>
      <c r="R15" s="26"/>
      <c r="S15" s="147"/>
      <c r="CJ15" s="26"/>
      <c r="CK15" s="26"/>
      <c r="CL15" s="26"/>
      <c r="CM15" s="26"/>
      <c r="CN15" s="26"/>
    </row>
    <row r="16" spans="1:100" ht="13.5" customHeight="1" thickBot="1">
      <c r="A16" s="900" t="s">
        <v>253</v>
      </c>
      <c r="B16" s="170"/>
      <c r="C16" s="321"/>
      <c r="D16" s="321"/>
      <c r="E16" s="149"/>
      <c r="F16" s="26"/>
      <c r="G16" s="26"/>
      <c r="H16" s="26"/>
      <c r="I16" s="26"/>
      <c r="J16" s="26"/>
      <c r="K16" s="26"/>
      <c r="L16" s="26"/>
      <c r="M16" s="26"/>
      <c r="N16" s="26"/>
      <c r="O16" s="26"/>
      <c r="P16" s="26"/>
      <c r="Q16" s="26"/>
      <c r="R16" s="26"/>
      <c r="S16" s="147"/>
      <c r="CJ16" s="26"/>
      <c r="CK16" s="26"/>
      <c r="CL16" s="26"/>
      <c r="CM16" s="26"/>
      <c r="CN16" s="26"/>
    </row>
    <row r="17" spans="1:96" ht="13.5" customHeight="1" thickBot="1">
      <c r="A17" s="640" t="s">
        <v>408</v>
      </c>
      <c r="B17" s="640" t="s">
        <v>276</v>
      </c>
      <c r="C17" s="321"/>
      <c r="D17" s="412"/>
      <c r="S17" s="147"/>
      <c r="CJ17" s="26"/>
      <c r="CK17" s="26"/>
      <c r="CL17" s="26"/>
      <c r="CM17" s="26"/>
      <c r="CN17" s="26"/>
    </row>
    <row r="18" spans="1:96" ht="13.5" customHeight="1" thickBot="1">
      <c r="A18" s="2047" t="s">
        <v>277</v>
      </c>
      <c r="B18" s="2047" t="s">
        <v>278</v>
      </c>
      <c r="C18" s="321"/>
      <c r="D18" s="321"/>
      <c r="E18" s="113" t="s">
        <v>322</v>
      </c>
      <c r="F18" s="26"/>
      <c r="G18" s="26"/>
      <c r="H18" s="26"/>
      <c r="I18" s="26"/>
      <c r="J18" s="26"/>
      <c r="K18" s="26"/>
      <c r="L18" s="26"/>
      <c r="M18" s="26"/>
      <c r="N18" s="26"/>
      <c r="O18" s="26"/>
      <c r="P18" s="26"/>
      <c r="Q18" s="26"/>
      <c r="R18" s="26"/>
      <c r="S18" s="147"/>
      <c r="CJ18" s="26"/>
      <c r="CK18" s="26"/>
      <c r="CL18" s="26"/>
      <c r="CM18" s="26"/>
      <c r="CN18" s="26"/>
    </row>
    <row r="19" spans="1:96" ht="13.5" customHeight="1" thickBot="1">
      <c r="A19" s="3611" t="s">
        <v>405</v>
      </c>
      <c r="B19" s="3664"/>
      <c r="D19" s="412"/>
      <c r="E19" s="113" t="s">
        <v>2357</v>
      </c>
      <c r="F19" s="26"/>
      <c r="G19" s="26"/>
      <c r="H19" s="26"/>
      <c r="I19" s="26"/>
      <c r="J19" s="26"/>
      <c r="K19" s="26"/>
      <c r="L19" s="26"/>
      <c r="M19" s="26"/>
      <c r="N19" s="26"/>
      <c r="O19" s="26"/>
      <c r="P19" s="26"/>
      <c r="Q19" s="26"/>
      <c r="R19" s="26"/>
      <c r="S19" s="147"/>
      <c r="CJ19" s="26"/>
      <c r="CK19" s="26"/>
      <c r="CL19" s="26"/>
      <c r="CM19" s="26"/>
      <c r="CN19" s="26"/>
    </row>
    <row r="20" spans="1:96" ht="13.5" customHeight="1" thickBot="1">
      <c r="A20" s="3611" t="s">
        <v>406</v>
      </c>
      <c r="B20" s="3664"/>
      <c r="D20" s="32"/>
      <c r="E20" s="381" t="s">
        <v>2232</v>
      </c>
      <c r="F20" s="163"/>
      <c r="G20" s="163"/>
      <c r="H20" s="163"/>
      <c r="I20" s="163"/>
      <c r="J20" s="163"/>
      <c r="K20" s="163"/>
      <c r="L20" s="163"/>
      <c r="M20" s="163"/>
      <c r="N20" s="163"/>
      <c r="O20" s="163"/>
      <c r="P20" s="163"/>
      <c r="Q20" s="163"/>
      <c r="R20" s="163"/>
      <c r="S20" s="382"/>
      <c r="AJ20" s="31"/>
      <c r="AK20" s="29"/>
      <c r="AL20" s="301"/>
      <c r="AM20" s="28"/>
      <c r="AN20" s="31"/>
      <c r="AO20" s="301"/>
      <c r="AW20" s="31"/>
      <c r="AX20" s="29"/>
      <c r="AY20" s="301"/>
      <c r="AZ20" s="28"/>
      <c r="BA20" s="31"/>
      <c r="BB20" s="301"/>
      <c r="BJ20" s="31"/>
      <c r="BK20" s="29"/>
      <c r="BL20" s="301"/>
      <c r="BM20" s="28"/>
      <c r="BN20" s="31"/>
      <c r="BO20" s="301"/>
      <c r="BW20" s="31"/>
      <c r="BX20" s="29"/>
      <c r="BY20" s="301"/>
      <c r="BZ20" s="28"/>
      <c r="CA20" s="31"/>
      <c r="CB20" s="301"/>
      <c r="CJ20" s="31"/>
      <c r="CK20" s="29"/>
      <c r="CL20" s="32"/>
      <c r="CM20" s="29"/>
      <c r="CN20" s="31"/>
      <c r="CO20" s="511"/>
    </row>
    <row r="21" spans="1:96" ht="13.5" customHeight="1" thickBot="1">
      <c r="A21" s="3611" t="s">
        <v>407</v>
      </c>
      <c r="B21" s="3664"/>
      <c r="D21" s="321"/>
      <c r="E21" s="321"/>
      <c r="F21" s="31"/>
      <c r="G21" s="401"/>
      <c r="H21" s="321"/>
      <c r="I21" s="321"/>
      <c r="J21" s="321"/>
      <c r="K21" s="32"/>
      <c r="N21" s="31"/>
      <c r="O21" s="26"/>
      <c r="P21" s="32"/>
      <c r="Q21" s="26"/>
      <c r="R21" s="31"/>
      <c r="S21" s="301"/>
      <c r="CJ21" s="31"/>
      <c r="CK21" s="29"/>
      <c r="CL21" s="32"/>
      <c r="CM21" s="29"/>
      <c r="CN21" s="31"/>
      <c r="CO21" s="301"/>
    </row>
    <row r="22" spans="1:96" ht="13.5" customHeight="1" thickBot="1">
      <c r="A22" s="3615"/>
      <c r="B22" s="3615"/>
      <c r="C22" s="321"/>
      <c r="D22" s="321"/>
      <c r="E22" s="321"/>
      <c r="F22" s="31"/>
      <c r="G22" s="401"/>
      <c r="H22" s="321"/>
      <c r="I22" s="321"/>
      <c r="J22" s="321"/>
      <c r="K22" s="32"/>
      <c r="N22" s="31"/>
      <c r="O22" s="26"/>
      <c r="P22" s="32"/>
      <c r="Q22" s="26"/>
      <c r="R22" s="31"/>
      <c r="S22" s="301"/>
    </row>
    <row r="23" spans="1:96" ht="13.5" customHeight="1" thickTop="1" thickBot="1">
      <c r="A23" s="836" t="s">
        <v>1301</v>
      </c>
      <c r="B23" s="751"/>
      <c r="C23" s="362"/>
      <c r="D23" s="362"/>
      <c r="E23" s="362"/>
      <c r="F23" s="362"/>
      <c r="G23" s="362"/>
      <c r="H23" s="362"/>
      <c r="I23" s="362"/>
      <c r="J23" s="362"/>
      <c r="K23" s="362"/>
      <c r="L23" s="362"/>
      <c r="M23" s="362"/>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2"/>
      <c r="AK23" s="362"/>
      <c r="AL23" s="362"/>
      <c r="AM23" s="362"/>
      <c r="AN23" s="362"/>
      <c r="AO23" s="362"/>
      <c r="AP23" s="362"/>
      <c r="AQ23" s="362"/>
      <c r="AR23" s="362"/>
      <c r="AS23" s="362"/>
      <c r="AT23" s="362"/>
      <c r="AU23" s="362"/>
      <c r="AV23" s="362"/>
      <c r="AW23" s="362"/>
      <c r="AX23" s="362"/>
      <c r="AY23" s="362"/>
      <c r="AZ23" s="362"/>
      <c r="BA23" s="362"/>
      <c r="BB23" s="362"/>
      <c r="BC23" s="362"/>
      <c r="BD23" s="362"/>
      <c r="BE23" s="362"/>
      <c r="BF23" s="362"/>
      <c r="BG23" s="362"/>
      <c r="BH23" s="362"/>
      <c r="BI23" s="362"/>
      <c r="BJ23" s="362"/>
      <c r="BK23" s="362"/>
      <c r="BL23" s="362"/>
      <c r="BM23" s="362"/>
      <c r="BN23" s="362"/>
      <c r="BO23" s="362"/>
      <c r="BP23" s="362"/>
      <c r="BQ23" s="362"/>
      <c r="BR23" s="362"/>
      <c r="BS23" s="362"/>
      <c r="BT23" s="362"/>
      <c r="BU23" s="362"/>
      <c r="BV23" s="362"/>
      <c r="BW23" s="362"/>
      <c r="BX23" s="362"/>
      <c r="BY23" s="362"/>
      <c r="BZ23" s="362"/>
      <c r="CA23" s="362"/>
      <c r="CB23" s="362"/>
      <c r="CC23" s="362"/>
      <c r="CD23" s="362"/>
      <c r="CE23" s="362"/>
      <c r="CF23" s="362"/>
      <c r="CG23" s="362"/>
      <c r="CH23" s="362"/>
      <c r="CI23" s="362"/>
      <c r="CJ23" s="362"/>
      <c r="CK23" s="362"/>
      <c r="CL23" s="362"/>
      <c r="CM23" s="362"/>
      <c r="CN23" s="362"/>
      <c r="CO23" s="362"/>
      <c r="CP23" s="378"/>
    </row>
    <row r="24" spans="1:96" ht="13.5" customHeight="1" thickTop="1" thickBot="1">
      <c r="A24" s="99"/>
      <c r="B24" s="895"/>
      <c r="C24" s="100"/>
      <c r="D24" s="3676" t="s">
        <v>261</v>
      </c>
      <c r="E24" s="367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7"/>
      <c r="BC24" s="367"/>
      <c r="BD24" s="367"/>
      <c r="BE24" s="367"/>
      <c r="BF24" s="367"/>
      <c r="BG24" s="367"/>
      <c r="BH24" s="367"/>
      <c r="BI24" s="367"/>
      <c r="BJ24" s="367"/>
      <c r="BK24" s="367"/>
      <c r="BL24" s="367"/>
      <c r="BM24" s="367"/>
      <c r="BN24" s="367"/>
      <c r="BO24" s="367"/>
      <c r="BP24" s="567"/>
      <c r="BQ24" s="3691" t="s">
        <v>1430</v>
      </c>
      <c r="BR24" s="3696"/>
      <c r="BS24" s="3696"/>
      <c r="BT24" s="3696"/>
      <c r="BU24" s="3696"/>
      <c r="BV24" s="3696"/>
      <c r="BW24" s="3696"/>
      <c r="BX24" s="3696"/>
      <c r="BY24" s="3696"/>
      <c r="BZ24" s="3696"/>
      <c r="CA24" s="3696"/>
      <c r="CB24" s="3696"/>
      <c r="CC24" s="3697"/>
      <c r="CD24" s="3691" t="s">
        <v>1423</v>
      </c>
      <c r="CE24" s="3691"/>
      <c r="CF24" s="3691"/>
      <c r="CG24" s="3691"/>
      <c r="CH24" s="3691"/>
      <c r="CI24" s="3691"/>
      <c r="CJ24" s="3691"/>
      <c r="CK24" s="3691"/>
      <c r="CL24" s="3691"/>
      <c r="CM24" s="3691"/>
      <c r="CN24" s="3691"/>
      <c r="CO24" s="3691"/>
      <c r="CP24" s="3692"/>
    </row>
    <row r="25" spans="1:96" ht="13.5" customHeight="1" thickBot="1">
      <c r="A25" s="104"/>
      <c r="B25" s="3685" t="s">
        <v>273</v>
      </c>
      <c r="C25" s="173"/>
      <c r="D25" s="3672" t="s">
        <v>257</v>
      </c>
      <c r="E25" s="3675"/>
      <c r="F25" s="3675"/>
      <c r="G25" s="3675"/>
      <c r="H25" s="3675"/>
      <c r="I25" s="3675"/>
      <c r="J25" s="3675"/>
      <c r="K25" s="3675"/>
      <c r="L25" s="3675"/>
      <c r="M25" s="3675"/>
      <c r="N25" s="3675"/>
      <c r="O25" s="3675"/>
      <c r="P25" s="3675"/>
      <c r="Q25" s="3672" t="s">
        <v>258</v>
      </c>
      <c r="R25" s="3675"/>
      <c r="S25" s="3675"/>
      <c r="T25" s="3675"/>
      <c r="U25" s="3675"/>
      <c r="V25" s="3675"/>
      <c r="W25" s="3675"/>
      <c r="X25" s="3675"/>
      <c r="Y25" s="3675"/>
      <c r="Z25" s="3675"/>
      <c r="AA25" s="3683"/>
      <c r="AB25" s="3683"/>
      <c r="AC25" s="3684"/>
      <c r="AD25" s="3672" t="s">
        <v>259</v>
      </c>
      <c r="AE25" s="3675"/>
      <c r="AF25" s="3675"/>
      <c r="AG25" s="3675"/>
      <c r="AH25" s="3675"/>
      <c r="AI25" s="3675"/>
      <c r="AJ25" s="3675"/>
      <c r="AK25" s="3675"/>
      <c r="AL25" s="3675"/>
      <c r="AM25" s="3675"/>
      <c r="AN25" s="3683"/>
      <c r="AO25" s="3683"/>
      <c r="AP25" s="3684"/>
      <c r="AQ25" s="3672" t="s">
        <v>260</v>
      </c>
      <c r="AR25" s="3673"/>
      <c r="AS25" s="3673"/>
      <c r="AT25" s="3673"/>
      <c r="AU25" s="3673"/>
      <c r="AV25" s="3673"/>
      <c r="AW25" s="3673"/>
      <c r="AX25" s="3673"/>
      <c r="AY25" s="3673"/>
      <c r="AZ25" s="3673"/>
      <c r="BA25" s="3673"/>
      <c r="BB25" s="3673"/>
      <c r="BC25" s="3674"/>
      <c r="BD25" s="3672" t="s">
        <v>1305</v>
      </c>
      <c r="BE25" s="3675"/>
      <c r="BF25" s="3675"/>
      <c r="BG25" s="3675"/>
      <c r="BH25" s="3675"/>
      <c r="BI25" s="3675"/>
      <c r="BJ25" s="3675"/>
      <c r="BK25" s="3675"/>
      <c r="BL25" s="3675"/>
      <c r="BM25" s="3675"/>
      <c r="BN25" s="3683"/>
      <c r="BO25" s="3683"/>
      <c r="BP25" s="3693"/>
      <c r="BQ25" s="536"/>
      <c r="BR25" s="536"/>
      <c r="BS25" s="536"/>
      <c r="BT25" s="536"/>
      <c r="BU25" s="536"/>
      <c r="BV25" s="536"/>
      <c r="BW25" s="536"/>
      <c r="BX25" s="536"/>
      <c r="BY25" s="536"/>
      <c r="BZ25" s="536"/>
      <c r="CA25" s="536"/>
      <c r="CB25" s="536"/>
      <c r="CC25" s="569"/>
      <c r="CD25" s="3694"/>
      <c r="CE25" s="3694"/>
      <c r="CF25" s="3694"/>
      <c r="CG25" s="3694"/>
      <c r="CH25" s="3694"/>
      <c r="CI25" s="3694"/>
      <c r="CJ25" s="3694"/>
      <c r="CK25" s="3694"/>
      <c r="CL25" s="3694"/>
      <c r="CM25" s="3694"/>
      <c r="CN25" s="3694"/>
      <c r="CO25" s="3694"/>
      <c r="CP25" s="3695"/>
    </row>
    <row r="26" spans="1:96" ht="13.5" customHeight="1">
      <c r="A26" s="104"/>
      <c r="B26" s="3686"/>
      <c r="C26" s="105" t="s">
        <v>274</v>
      </c>
      <c r="D26" s="3678" t="s">
        <v>1439</v>
      </c>
      <c r="E26" s="3679"/>
      <c r="F26" s="3679"/>
      <c r="G26" s="3680"/>
      <c r="H26" s="3681" t="s">
        <v>1431</v>
      </c>
      <c r="I26" s="3679"/>
      <c r="J26" s="3680"/>
      <c r="K26" s="538" t="s">
        <v>1443</v>
      </c>
      <c r="L26" s="538" t="s">
        <v>1444</v>
      </c>
      <c r="M26" s="539" t="s">
        <v>1434</v>
      </c>
      <c r="N26" s="540"/>
      <c r="O26" s="540"/>
      <c r="P26" s="540"/>
      <c r="Q26" s="3669" t="s">
        <v>1439</v>
      </c>
      <c r="R26" s="3670"/>
      <c r="S26" s="3670"/>
      <c r="T26" s="3671"/>
      <c r="U26" s="3682" t="s">
        <v>1431</v>
      </c>
      <c r="V26" s="3670"/>
      <c r="W26" s="3671"/>
      <c r="X26" s="541" t="s">
        <v>1443</v>
      </c>
      <c r="Y26" s="541" t="s">
        <v>1444</v>
      </c>
      <c r="Z26" s="542" t="s">
        <v>1434</v>
      </c>
      <c r="AA26" s="540"/>
      <c r="AB26" s="540"/>
      <c r="AC26" s="543"/>
      <c r="AD26" s="3668" t="s">
        <v>1439</v>
      </c>
      <c r="AE26" s="3666"/>
      <c r="AF26" s="3666"/>
      <c r="AG26" s="3667"/>
      <c r="AH26" s="3665" t="s">
        <v>1431</v>
      </c>
      <c r="AI26" s="3666"/>
      <c r="AJ26" s="3667"/>
      <c r="AK26" s="541" t="s">
        <v>1443</v>
      </c>
      <c r="AL26" s="541" t="s">
        <v>1444</v>
      </c>
      <c r="AM26" s="542" t="s">
        <v>1434</v>
      </c>
      <c r="AN26" s="540"/>
      <c r="AO26" s="540"/>
      <c r="AP26" s="543"/>
      <c r="AQ26" s="3668" t="s">
        <v>1439</v>
      </c>
      <c r="AR26" s="3666"/>
      <c r="AS26" s="3666"/>
      <c r="AT26" s="3667"/>
      <c r="AU26" s="3665" t="s">
        <v>1431</v>
      </c>
      <c r="AV26" s="3666"/>
      <c r="AW26" s="3667"/>
      <c r="AX26" s="541" t="s">
        <v>1443</v>
      </c>
      <c r="AY26" s="541" t="s">
        <v>1444</v>
      </c>
      <c r="AZ26" s="542" t="s">
        <v>1434</v>
      </c>
      <c r="BA26" s="540"/>
      <c r="BB26" s="540"/>
      <c r="BC26" s="543"/>
      <c r="BD26" s="3668" t="s">
        <v>1439</v>
      </c>
      <c r="BE26" s="3666"/>
      <c r="BF26" s="3666"/>
      <c r="BG26" s="3667"/>
      <c r="BH26" s="3665" t="s">
        <v>1431</v>
      </c>
      <c r="BI26" s="3666"/>
      <c r="BJ26" s="3667"/>
      <c r="BK26" s="541" t="s">
        <v>1443</v>
      </c>
      <c r="BL26" s="541" t="s">
        <v>1444</v>
      </c>
      <c r="BM26" s="542" t="s">
        <v>1434</v>
      </c>
      <c r="BN26" s="540"/>
      <c r="BO26" s="540"/>
      <c r="BP26" s="568"/>
      <c r="BQ26" s="3690" t="s">
        <v>1439</v>
      </c>
      <c r="BR26" s="3679"/>
      <c r="BS26" s="3679"/>
      <c r="BT26" s="3680"/>
      <c r="BU26" s="3681" t="s">
        <v>1431</v>
      </c>
      <c r="BV26" s="3679"/>
      <c r="BW26" s="3680"/>
      <c r="BX26" s="538" t="s">
        <v>1443</v>
      </c>
      <c r="BY26" s="538" t="s">
        <v>1444</v>
      </c>
      <c r="BZ26" s="544" t="s">
        <v>1434</v>
      </c>
      <c r="CA26" s="545"/>
      <c r="CB26" s="545"/>
      <c r="CC26" s="554"/>
      <c r="CD26" s="3690" t="s">
        <v>1439</v>
      </c>
      <c r="CE26" s="3679"/>
      <c r="CF26" s="3679"/>
      <c r="CG26" s="3680"/>
      <c r="CH26" s="3681" t="s">
        <v>1431</v>
      </c>
      <c r="CI26" s="3679"/>
      <c r="CJ26" s="3680"/>
      <c r="CK26" s="538" t="s">
        <v>1443</v>
      </c>
      <c r="CL26" s="538" t="s">
        <v>1444</v>
      </c>
      <c r="CM26" s="544" t="s">
        <v>1434</v>
      </c>
      <c r="CN26" s="545"/>
      <c r="CO26" s="545"/>
      <c r="CP26" s="554"/>
      <c r="CQ26" s="858"/>
      <c r="CR26" s="858"/>
    </row>
    <row r="27" spans="1:96" ht="13.5" customHeight="1" thickBot="1">
      <c r="A27" s="464"/>
      <c r="B27" s="3687"/>
      <c r="C27" s="659" t="s">
        <v>1450</v>
      </c>
      <c r="D27" s="564" t="s">
        <v>1441</v>
      </c>
      <c r="E27" s="563" t="s">
        <v>1418</v>
      </c>
      <c r="F27" s="563" t="s">
        <v>1419</v>
      </c>
      <c r="G27" s="559" t="s">
        <v>1422</v>
      </c>
      <c r="H27" s="560" t="s">
        <v>1441</v>
      </c>
      <c r="I27" s="563" t="s">
        <v>256</v>
      </c>
      <c r="J27" s="559" t="s">
        <v>1422</v>
      </c>
      <c r="K27" s="560" t="s">
        <v>1441</v>
      </c>
      <c r="L27" s="561" t="s">
        <v>1441</v>
      </c>
      <c r="M27" s="896" t="s">
        <v>1441</v>
      </c>
      <c r="N27" s="556" t="s">
        <v>1418</v>
      </c>
      <c r="O27" s="556" t="s">
        <v>1419</v>
      </c>
      <c r="P27" s="558" t="s">
        <v>1449</v>
      </c>
      <c r="Q27" s="564" t="s">
        <v>1441</v>
      </c>
      <c r="R27" s="563" t="s">
        <v>1418</v>
      </c>
      <c r="S27" s="563" t="s">
        <v>1419</v>
      </c>
      <c r="T27" s="559" t="s">
        <v>1422</v>
      </c>
      <c r="U27" s="560" t="s">
        <v>1441</v>
      </c>
      <c r="V27" s="563" t="s">
        <v>256</v>
      </c>
      <c r="W27" s="559" t="s">
        <v>1422</v>
      </c>
      <c r="X27" s="560" t="s">
        <v>1441</v>
      </c>
      <c r="Y27" s="560" t="s">
        <v>1441</v>
      </c>
      <c r="Z27" s="565" t="s">
        <v>1441</v>
      </c>
      <c r="AA27" s="563" t="s">
        <v>1418</v>
      </c>
      <c r="AB27" s="896" t="s">
        <v>1419</v>
      </c>
      <c r="AC27" s="560" t="s">
        <v>1449</v>
      </c>
      <c r="AD27" s="564" t="s">
        <v>1441</v>
      </c>
      <c r="AE27" s="563" t="s">
        <v>1418</v>
      </c>
      <c r="AF27" s="563" t="s">
        <v>1419</v>
      </c>
      <c r="AG27" s="559" t="s">
        <v>1422</v>
      </c>
      <c r="AH27" s="560" t="s">
        <v>1441</v>
      </c>
      <c r="AI27" s="563" t="s">
        <v>256</v>
      </c>
      <c r="AJ27" s="559" t="s">
        <v>1422</v>
      </c>
      <c r="AK27" s="560" t="s">
        <v>1441</v>
      </c>
      <c r="AL27" s="560" t="s">
        <v>1441</v>
      </c>
      <c r="AM27" s="565" t="s">
        <v>1441</v>
      </c>
      <c r="AN27" s="563" t="s">
        <v>1418</v>
      </c>
      <c r="AO27" s="896" t="s">
        <v>1419</v>
      </c>
      <c r="AP27" s="560" t="s">
        <v>1449</v>
      </c>
      <c r="AQ27" s="564" t="s">
        <v>1441</v>
      </c>
      <c r="AR27" s="563" t="s">
        <v>1418</v>
      </c>
      <c r="AS27" s="563" t="s">
        <v>1419</v>
      </c>
      <c r="AT27" s="559" t="s">
        <v>1422</v>
      </c>
      <c r="AU27" s="560" t="s">
        <v>1441</v>
      </c>
      <c r="AV27" s="563" t="s">
        <v>256</v>
      </c>
      <c r="AW27" s="559" t="s">
        <v>1422</v>
      </c>
      <c r="AX27" s="560" t="s">
        <v>1441</v>
      </c>
      <c r="AY27" s="561" t="s">
        <v>1441</v>
      </c>
      <c r="AZ27" s="897" t="s">
        <v>1441</v>
      </c>
      <c r="BA27" s="563" t="s">
        <v>1418</v>
      </c>
      <c r="BB27" s="896" t="s">
        <v>1419</v>
      </c>
      <c r="BC27" s="898" t="s">
        <v>1449</v>
      </c>
      <c r="BD27" s="562" t="s">
        <v>1441</v>
      </c>
      <c r="BE27" s="563" t="s">
        <v>1418</v>
      </c>
      <c r="BF27" s="563" t="s">
        <v>1419</v>
      </c>
      <c r="BG27" s="559" t="s">
        <v>1422</v>
      </c>
      <c r="BH27" s="560" t="s">
        <v>1441</v>
      </c>
      <c r="BI27" s="563" t="s">
        <v>256</v>
      </c>
      <c r="BJ27" s="559" t="s">
        <v>1422</v>
      </c>
      <c r="BK27" s="560" t="s">
        <v>1441</v>
      </c>
      <c r="BL27" s="560" t="s">
        <v>1441</v>
      </c>
      <c r="BM27" s="565" t="s">
        <v>1441</v>
      </c>
      <c r="BN27" s="563" t="s">
        <v>1418</v>
      </c>
      <c r="BO27" s="896" t="s">
        <v>1419</v>
      </c>
      <c r="BP27" s="566" t="s">
        <v>1449</v>
      </c>
      <c r="BQ27" s="562" t="s">
        <v>1441</v>
      </c>
      <c r="BR27" s="563" t="s">
        <v>1418</v>
      </c>
      <c r="BS27" s="563" t="s">
        <v>1419</v>
      </c>
      <c r="BT27" s="559" t="s">
        <v>1422</v>
      </c>
      <c r="BU27" s="560" t="s">
        <v>1441</v>
      </c>
      <c r="BV27" s="563" t="s">
        <v>256</v>
      </c>
      <c r="BW27" s="559" t="s">
        <v>1422</v>
      </c>
      <c r="BX27" s="560" t="s">
        <v>1441</v>
      </c>
      <c r="BY27" s="560" t="s">
        <v>1441</v>
      </c>
      <c r="BZ27" s="560" t="s">
        <v>1441</v>
      </c>
      <c r="CA27" s="558" t="s">
        <v>1418</v>
      </c>
      <c r="CB27" s="558" t="s">
        <v>1419</v>
      </c>
      <c r="CC27" s="566" t="s">
        <v>1449</v>
      </c>
      <c r="CD27" s="562" t="s">
        <v>1441</v>
      </c>
      <c r="CE27" s="563" t="s">
        <v>1418</v>
      </c>
      <c r="CF27" s="563" t="s">
        <v>1419</v>
      </c>
      <c r="CG27" s="559" t="s">
        <v>1422</v>
      </c>
      <c r="CH27" s="560" t="s">
        <v>1441</v>
      </c>
      <c r="CI27" s="563" t="s">
        <v>256</v>
      </c>
      <c r="CJ27" s="559" t="s">
        <v>1422</v>
      </c>
      <c r="CK27" s="560" t="s">
        <v>1441</v>
      </c>
      <c r="CL27" s="560" t="s">
        <v>1441</v>
      </c>
      <c r="CM27" s="565" t="s">
        <v>1441</v>
      </c>
      <c r="CN27" s="899" t="s">
        <v>1418</v>
      </c>
      <c r="CO27" s="899" t="s">
        <v>1419</v>
      </c>
      <c r="CP27" s="566" t="s">
        <v>1449</v>
      </c>
      <c r="CQ27" s="858"/>
      <c r="CR27" s="858"/>
    </row>
    <row r="28" spans="1:96" ht="13.5" customHeight="1" thickTop="1">
      <c r="B28" s="1225">
        <f t="shared" ref="B28:B64" si="0">C28-$B$15</f>
        <v>0</v>
      </c>
      <c r="C28" s="1225">
        <f>B15</f>
        <v>2010</v>
      </c>
      <c r="D28" s="75">
        <f>'VoT2'!D28</f>
        <v>1.1306546747898494</v>
      </c>
      <c r="E28" s="75">
        <f>'VoT2'!D29</f>
        <v>1.1324142099550518</v>
      </c>
      <c r="F28" s="75">
        <f>'VoT2'!D30</f>
        <v>1.7117149527604505</v>
      </c>
      <c r="G28" s="530">
        <f>'VoT2'!D31</f>
        <v>1.3479169640858997</v>
      </c>
      <c r="H28" s="65">
        <f>'VoT3'!$D$27</f>
        <v>1.2</v>
      </c>
      <c r="I28" s="65">
        <f>'VoT3'!$D$28</f>
        <v>1.46</v>
      </c>
      <c r="J28" s="530">
        <f>((H28*'VoT5'!$D$31)+(I28*'VoT5'!$D$32))/100</f>
        <v>1.2311999999999999</v>
      </c>
      <c r="K28" s="860">
        <f>'VoT3'!$D$30</f>
        <v>1</v>
      </c>
      <c r="L28" s="860">
        <f>'VoT3'!$D$31</f>
        <v>1</v>
      </c>
      <c r="M28" s="65">
        <f>('VoT3'!$D$33 * 'VoT5'!$D$39) / 100 + 'VoT3'!$D$32</f>
        <v>1.168791653429633</v>
      </c>
      <c r="N28" s="65">
        <f>('VoT3'!$D$33 * 'VoT5'!$D$40) / 100</f>
        <v>2.2491911578548542</v>
      </c>
      <c r="O28" s="530">
        <f>('VoT3'!$D$33*'VoT5'!$D$41)/100</f>
        <v>9.7820171887155141</v>
      </c>
      <c r="P28" s="531">
        <f>SUM(M28:O28)</f>
        <v>13.200000000000001</v>
      </c>
      <c r="Q28" s="65">
        <f>'VoT2'!$E28</f>
        <v>1.1586074096289325</v>
      </c>
      <c r="R28" s="65">
        <f>'VoT2'!$E29</f>
        <v>1.1508273706069019</v>
      </c>
      <c r="S28" s="65">
        <f>'VoT2'!$E30</f>
        <v>1.823380766174084</v>
      </c>
      <c r="T28" s="530">
        <f>'VoT2'!$E31</f>
        <v>1.6281464569127049</v>
      </c>
      <c r="U28" s="65">
        <f>'VoT3'!$D$27</f>
        <v>1.2</v>
      </c>
      <c r="V28" s="65">
        <f>'VoT3'!$D$28</f>
        <v>1.46</v>
      </c>
      <c r="W28" s="530">
        <f>((U28*'VoT5'!$E$31)+(V28*'VoT5'!$E$32))/100</f>
        <v>1.2311999999999999</v>
      </c>
      <c r="X28" s="860">
        <f>'VoT3'!$D$30</f>
        <v>1</v>
      </c>
      <c r="Y28" s="860">
        <f>'VoT3'!$D$31</f>
        <v>1</v>
      </c>
      <c r="Z28" s="65">
        <f>('VoT3'!$D$33*'VoT5'!$E$39)/100 + 'VoT3'!$D$32</f>
        <v>1.2020901087398195</v>
      </c>
      <c r="AA28" s="65">
        <f>('VoT3'!$D$33*'VoT5'!$E$40)/100</f>
        <v>0.78826992816783981</v>
      </c>
      <c r="AB28" s="530">
        <f>('VoT3'!$D$33*'VoT5'!$E$41)/100</f>
        <v>11.209639963092341</v>
      </c>
      <c r="AC28" s="859">
        <f>SUM(Z28:AB28)</f>
        <v>13.200000000000001</v>
      </c>
      <c r="AD28" s="65">
        <f>'VoT2'!$F28</f>
        <v>1.1469717467060276</v>
      </c>
      <c r="AE28" s="65">
        <f>'VoT2'!$F29</f>
        <v>1.1363203108454192</v>
      </c>
      <c r="AF28" s="65">
        <f>'VoT2'!$F30</f>
        <v>1.7925210409543946</v>
      </c>
      <c r="AG28" s="530">
        <f>'VoT2'!$F31</f>
        <v>1.4300304559591868</v>
      </c>
      <c r="AH28" s="65">
        <f>'VoT3'!$D$27</f>
        <v>1.2</v>
      </c>
      <c r="AI28" s="65">
        <f>'VoT3'!$D$28</f>
        <v>1.46</v>
      </c>
      <c r="AJ28" s="530">
        <f>((AH28*'VoT5'!$F$31)+(AI28*'VoT5'!$F$32))/100</f>
        <v>1.2311999999999999</v>
      </c>
      <c r="AK28" s="860">
        <f>'VoT3'!$D$30</f>
        <v>1</v>
      </c>
      <c r="AL28" s="530">
        <f>'VoT3'!$D$31</f>
        <v>1</v>
      </c>
      <c r="AM28" s="65">
        <f>('VoT3'!$D$33*'VoT5'!$F$39)/100 + 'VoT3'!$D$32</f>
        <v>1.2791444318533409</v>
      </c>
      <c r="AN28" s="65">
        <f>('VoT3'!$D$33*'VoT5'!$F$40)/100</f>
        <v>3.163211907560131</v>
      </c>
      <c r="AO28" s="530">
        <f>('VoT3'!$D$33*'VoT5'!$F$41)/100</f>
        <v>8.7576436605865258</v>
      </c>
      <c r="AP28" s="531">
        <f>SUM(AM28:AO28)</f>
        <v>13.199999999999998</v>
      </c>
      <c r="AQ28" s="65">
        <f>'VoT2'!$G28</f>
        <v>1.1686731657535445</v>
      </c>
      <c r="AR28" s="65">
        <f>'VoT2'!$G29</f>
        <v>1.1529514408135957</v>
      </c>
      <c r="AS28" s="65">
        <f>'VoT2'!$G30</f>
        <v>1.7861213477735842</v>
      </c>
      <c r="AT28" s="530">
        <f>'VoT2'!$G31</f>
        <v>1.4468321506136064</v>
      </c>
      <c r="AU28" s="65">
        <f>'VoT3'!$D$27</f>
        <v>1.2</v>
      </c>
      <c r="AV28" s="65">
        <f>'VoT3'!$D$28</f>
        <v>1.46</v>
      </c>
      <c r="AW28" s="530">
        <f>((AU28*'VoT5'!$G$31)+(AV28*'VoT5'!$G$32))/100</f>
        <v>1.2311999999999999</v>
      </c>
      <c r="AX28" s="860">
        <f>'VoT3'!$D$30</f>
        <v>1</v>
      </c>
      <c r="AY28" s="860">
        <f>'VoT3'!$D$31</f>
        <v>1</v>
      </c>
      <c r="AZ28" s="65">
        <f>('VoT3'!$D$33*'VoT5'!$G$39)/100 + 'VoT3'!$D$32</f>
        <v>1.2777359179706231</v>
      </c>
      <c r="BA28" s="65">
        <f>('VoT3'!$D$33*'VoT5'!$G$40)/100</f>
        <v>4.3240321049185146</v>
      </c>
      <c r="BB28" s="530">
        <f>('VoT3'!$D$33*'VoT5'!$G$41)/100</f>
        <v>7.5982319771108608</v>
      </c>
      <c r="BC28" s="531">
        <f>SUM(AZ28:BB28)</f>
        <v>13.2</v>
      </c>
      <c r="BD28" s="65">
        <f>'VoT2'!$H28</f>
        <v>1.1490125418460642</v>
      </c>
      <c r="BE28" s="65">
        <f>'VoT2'!$H29</f>
        <v>1.1401838093663619</v>
      </c>
      <c r="BF28" s="65">
        <f>'VoT2'!$H30</f>
        <v>1.7905592337282852</v>
      </c>
      <c r="BG28" s="530">
        <f>'VoT2'!$H31</f>
        <v>1.4799920043328101</v>
      </c>
      <c r="BH28" s="65">
        <f>'VoT3'!$D$27</f>
        <v>1.2</v>
      </c>
      <c r="BI28" s="65">
        <f>'VoT3'!$D$28</f>
        <v>1.46</v>
      </c>
      <c r="BJ28" s="530">
        <f>((BH28*'VoT5'!$H$31)+(BI28*'VoT5'!$H$32))/100</f>
        <v>1.2311999999999999</v>
      </c>
      <c r="BK28" s="530">
        <f>'VoT3'!$D$30</f>
        <v>1</v>
      </c>
      <c r="BL28" s="860">
        <f>'VoT3'!$D$31</f>
        <v>1</v>
      </c>
      <c r="BM28" s="65">
        <f>('VoT3'!$D$33*'VoT5'!$H$39)/100 + 'VoT3'!$D$32</f>
        <v>1.2154161555382865</v>
      </c>
      <c r="BN28" s="65">
        <f>('VoT3'!$D$33*'VoT5'!$H$40)/100</f>
        <v>1.9520129541892906</v>
      </c>
      <c r="BO28" s="530">
        <f>('VoT3'!$D$33*'VoT5'!$H$41)/100</f>
        <v>10.032570890272423</v>
      </c>
      <c r="BP28" s="76">
        <f>SUM(BM28:BO28)</f>
        <v>13.2</v>
      </c>
      <c r="BQ28" s="904">
        <f>'VoT2'!$I28</f>
        <v>1.3131774973540897</v>
      </c>
      <c r="BR28" s="905">
        <f>'VoT2'!$I29</f>
        <v>1.2071718111863166</v>
      </c>
      <c r="BS28" s="905">
        <f>'VoT2'!$I30</f>
        <v>2.1200652963923514</v>
      </c>
      <c r="BT28" s="906">
        <f>'VoT2'!$I31</f>
        <v>2.0100159024412441</v>
      </c>
      <c r="BU28" s="905">
        <f>'VoT3'!$E$27</f>
        <v>1.26</v>
      </c>
      <c r="BV28" s="905">
        <f>'VoT3'!$E$28</f>
        <v>2.0299999999999998</v>
      </c>
      <c r="BW28" s="906">
        <f>((BU28*'VoT5'!$I$31)+(BV28*'VoT5'!$I$32))/100</f>
        <v>1.3524</v>
      </c>
      <c r="BX28" s="906">
        <f>'VoT3'!$E$30</f>
        <v>1</v>
      </c>
      <c r="BY28" s="907">
        <f>'VoT3'!$E$31</f>
        <v>1</v>
      </c>
      <c r="BZ28" s="905">
        <f>('VoT3'!$E$33*'VoT5'!$I$39)/100 + 'VoT3'!$E$32</f>
        <v>1.0656255420478047</v>
      </c>
      <c r="CA28" s="905">
        <f>('VoT3'!$E$33*'VoT5'!$I$40)/100</f>
        <v>0.73949783032666783</v>
      </c>
      <c r="CB28" s="906">
        <f>('VoT3'!$E$33*'VoT5'!$I$41)/100</f>
        <v>11.394876627625528</v>
      </c>
      <c r="CC28" s="908">
        <f>SUM(BZ28:CB28)</f>
        <v>13.200000000000001</v>
      </c>
      <c r="CD28" s="65">
        <f>'VoT2'!$J28</f>
        <v>1.1606654296250507</v>
      </c>
      <c r="CE28" s="65">
        <f>'VoT2'!$J29</f>
        <v>1.145603182870168</v>
      </c>
      <c r="CF28" s="65">
        <f>'VoT2'!$J30</f>
        <v>1.9068315187130187</v>
      </c>
      <c r="CG28" s="530">
        <f>'VoT2'!$J31</f>
        <v>1.609758064696829</v>
      </c>
      <c r="CH28" s="65">
        <f>'VoT3'!$F$27</f>
        <v>1.2</v>
      </c>
      <c r="CI28" s="65">
        <f>'VoT3'!$F$28</f>
        <v>1.59</v>
      </c>
      <c r="CJ28" s="530">
        <f>((CH28*'VoT5'!$J$31)+(CI28*'VoT5'!$J$32))/100</f>
        <v>1.2467999999999999</v>
      </c>
      <c r="CK28" s="860">
        <f>'VoT3'!$F$30</f>
        <v>1</v>
      </c>
      <c r="CL28" s="860">
        <f>'VoT3'!$F$31</f>
        <v>1</v>
      </c>
      <c r="CM28" s="65">
        <f>('VoT3'!$F$33*'VoT5'!$J$39)/100 + 'VoT3'!$F$32</f>
        <v>1.1784267265920292</v>
      </c>
      <c r="CN28" s="65">
        <f>('VoT3'!$F$33*'VoT5'!$J$40)/100</f>
        <v>1.652535676565674</v>
      </c>
      <c r="CO28" s="530">
        <f>('VoT3'!$F$33*'VoT5'!$J$41)/100</f>
        <v>10.369037596842293</v>
      </c>
      <c r="CP28" s="903">
        <f>SUM(CM28:CO28)</f>
        <v>13.199999999999996</v>
      </c>
      <c r="CQ28" s="861"/>
      <c r="CR28" s="861"/>
    </row>
    <row r="29" spans="1:96" ht="13.5" customHeight="1">
      <c r="B29" s="1225">
        <f t="shared" si="0"/>
        <v>1</v>
      </c>
      <c r="C29" s="535">
        <f>C28+1</f>
        <v>2011</v>
      </c>
      <c r="D29" s="75">
        <f>((D$28 - 1) * ((100 + 'VoT4'!$D$26) / 100)^$B29) + 1</f>
        <v>1.1306546747898494</v>
      </c>
      <c r="E29" s="75">
        <f>((E$28-1)*((100+'VoT4'!$D$27)/100)^$B29) + 1</f>
        <v>1.1324142099550518</v>
      </c>
      <c r="F29" s="75">
        <f>((F$28-1)*((100+'VoT4'!$D$27)/100)^$B29) + 1</f>
        <v>1.7117149527604505</v>
      </c>
      <c r="G29" s="530">
        <f>((D29 * 'VoT5'!D$28) + (E29 * 'VoT5'!D$29) + ('Forecast occupancies'!F29 * 'VoT5'!D$30)) / 100</f>
        <v>1.3608117390924901</v>
      </c>
      <c r="H29" s="65">
        <f>'VoT3'!$D$27</f>
        <v>1.2</v>
      </c>
      <c r="I29" s="65">
        <f>'VoT3'!$D$28</f>
        <v>1.46</v>
      </c>
      <c r="J29" s="530">
        <f>((H29*'VoT5'!$D$31)+(I29*'VoT5'!$D$32))/100</f>
        <v>1.2311999999999999</v>
      </c>
      <c r="K29" s="860">
        <f>'VoT3'!$D$30</f>
        <v>1</v>
      </c>
      <c r="L29" s="860">
        <f>'VoT3'!$D$31</f>
        <v>1</v>
      </c>
      <c r="M29" s="65">
        <f>('VoT3'!$D$33*'VoT5'!$D$39)/100 + 'VoT3'!$D$32</f>
        <v>1.168791653429633</v>
      </c>
      <c r="N29" s="65">
        <f>('VoT3'!$D$33*'VoT5'!$D$40)/100</f>
        <v>2.2491911578548542</v>
      </c>
      <c r="O29" s="530">
        <f>('VoT3'!$D$33*'VoT5'!$D$41)/100</f>
        <v>9.7820171887155141</v>
      </c>
      <c r="P29" s="531">
        <f t="shared" ref="P29:P38" si="1">SUM(M29:O29)</f>
        <v>13.200000000000001</v>
      </c>
      <c r="Q29" s="65">
        <f>((Q$28-1)*((100+'VoT4'!$E$26)/100)^$B29) +1</f>
        <v>1.1586074096289325</v>
      </c>
      <c r="R29" s="65">
        <f>((R$28-1)*((100+'VoT4'!$E$27)/100)^$B29) +1</f>
        <v>1.1508273706069019</v>
      </c>
      <c r="S29" s="65">
        <f>((S$28-1)*((100+'VoT4'!$E$27)/100)^$B29) +1</f>
        <v>1.823380766174084</v>
      </c>
      <c r="T29" s="530">
        <f>((Q29*'VoT5'!E$28)+(R29*'VoT5'!E$29)+('Forecast occupancies'!S29*'VoT5'!E$30))/100</f>
        <v>1.6344935826498272</v>
      </c>
      <c r="U29" s="65">
        <f>'VoT3'!$D$27</f>
        <v>1.2</v>
      </c>
      <c r="V29" s="65">
        <f>'VoT3'!$D$28</f>
        <v>1.46</v>
      </c>
      <c r="W29" s="530">
        <f>((U29*'VoT5'!$E$31)+(V29*'VoT5'!$E$32))/100</f>
        <v>1.2311999999999999</v>
      </c>
      <c r="X29" s="860">
        <f>'VoT3'!$D$30</f>
        <v>1</v>
      </c>
      <c r="Y29" s="860">
        <f>'VoT3'!$D$31</f>
        <v>1</v>
      </c>
      <c r="Z29" s="65">
        <f>('VoT3'!$D$33*'VoT5'!$E$39)/100 + 'VoT3'!$D$32</f>
        <v>1.2020901087398195</v>
      </c>
      <c r="AA29" s="65">
        <f>('VoT3'!$D$33*'VoT5'!$E$40)/100</f>
        <v>0.78826992816783981</v>
      </c>
      <c r="AB29" s="530">
        <f>('VoT3'!$D$33*'VoT5'!$E$41)/100</f>
        <v>11.209639963092341</v>
      </c>
      <c r="AC29" s="859">
        <f t="shared" ref="AC29:AC38" si="2">SUM(Z29:AB29)</f>
        <v>13.200000000000001</v>
      </c>
      <c r="AD29" s="65">
        <f>((AD$28-1)*((100+'VoT4'!$F$26)/100)^$B29) +1</f>
        <v>1.1469717467060276</v>
      </c>
      <c r="AE29" s="65">
        <f>((AE$28-1)*((100+'VoT4'!$F$27)/100)^$B29) +1</f>
        <v>1.1363203108454192</v>
      </c>
      <c r="AF29" s="65">
        <f>((AF$28-1)*((100+'VoT4'!$F$27)/100)^$B29) +1</f>
        <v>1.7925210409543946</v>
      </c>
      <c r="AG29" s="530">
        <f>((AD29*'VoT5'!F$28)+(AE29*'VoT5'!F$29)+('Forecast occupancies'!AF29*'VoT5'!F$30))/100</f>
        <v>1.4455150928444727</v>
      </c>
      <c r="AH29" s="65">
        <f>'VoT3'!$D$27</f>
        <v>1.2</v>
      </c>
      <c r="AI29" s="65">
        <f>'VoT3'!$D$28</f>
        <v>1.46</v>
      </c>
      <c r="AJ29" s="530">
        <f>((AH29*'VoT5'!$F$31)+(AI29*'VoT5'!$F$32))/100</f>
        <v>1.2311999999999999</v>
      </c>
      <c r="AK29" s="860">
        <f>'VoT3'!$D$30</f>
        <v>1</v>
      </c>
      <c r="AL29" s="530">
        <f>'VoT3'!$D$31</f>
        <v>1</v>
      </c>
      <c r="AM29" s="65">
        <f>('VoT3'!$D$33*'VoT5'!$F$39)/100 + 'VoT3'!$D$32</f>
        <v>1.2791444318533409</v>
      </c>
      <c r="AN29" s="65">
        <f>('VoT3'!$D$33*'VoT5'!$F$40)/100</f>
        <v>3.163211907560131</v>
      </c>
      <c r="AO29" s="530">
        <f>('VoT3'!$D$33*'VoT5'!$F$41)/100</f>
        <v>8.7576436605865258</v>
      </c>
      <c r="AP29" s="531">
        <f t="shared" ref="AP29:AP38" si="3">SUM(AM29:AO29)</f>
        <v>13.199999999999998</v>
      </c>
      <c r="AQ29" s="65">
        <f>((AQ$28-1)*((100+'VoT4'!$G$26)/100)^$B29) +1</f>
        <v>1.1686731657535445</v>
      </c>
      <c r="AR29" s="65">
        <f>((AR$28-1)*((100+'VoT4'!$G$27)/100)^$B29) +1</f>
        <v>1.1529514408135957</v>
      </c>
      <c r="AS29" s="65">
        <f>((AS$28-1)*((100+'VoT4'!$G$27)/100)^$B29) +1</f>
        <v>1.7861213477735842</v>
      </c>
      <c r="AT29" s="530">
        <f>((AQ29*'VoT5'!G$28)+(AR29*'VoT5'!G$29)+('Forecast occupancies'!AS29*'VoT5'!G$30))/100</f>
        <v>1.4625529734459999</v>
      </c>
      <c r="AU29" s="65">
        <f>'VoT3'!$D$27</f>
        <v>1.2</v>
      </c>
      <c r="AV29" s="65">
        <f>'VoT3'!$D$28</f>
        <v>1.46</v>
      </c>
      <c r="AW29" s="530">
        <f>((AU29*'VoT5'!$G$31)+(AV29*'VoT5'!$G$32))/100</f>
        <v>1.2311999999999999</v>
      </c>
      <c r="AX29" s="530">
        <f>'VoT3'!$D$30</f>
        <v>1</v>
      </c>
      <c r="AY29" s="860">
        <f>'VoT3'!$D$31</f>
        <v>1</v>
      </c>
      <c r="AZ29" s="65">
        <f>('VoT3'!$D$33*'VoT5'!$G$39)/100 + 'VoT3'!$D$32</f>
        <v>1.2777359179706231</v>
      </c>
      <c r="BA29" s="65">
        <f>('VoT3'!$D$33*'VoT5'!$G$40)/100</f>
        <v>4.3240321049185146</v>
      </c>
      <c r="BB29" s="530">
        <f>('VoT3'!$D$33*'VoT5'!$G$41)/100</f>
        <v>7.5982319771108608</v>
      </c>
      <c r="BC29" s="531">
        <f t="shared" ref="BC29:BC38" si="4">SUM(AZ29:BB29)</f>
        <v>13.2</v>
      </c>
      <c r="BD29" s="65">
        <f>((BD$28-1)*((100+'VoT4'!$H$26)/100)^$B29) +1</f>
        <v>1.1490125418460642</v>
      </c>
      <c r="BE29" s="65">
        <f>((BE$28-1)*((100+'VoT4'!$H$27)/100)^$B29) +1</f>
        <v>1.1401838093663619</v>
      </c>
      <c r="BF29" s="65">
        <f>((BF$28-1)*((100+'VoT4'!$H$27)/100)^$B29) +1</f>
        <v>1.7905592337282852</v>
      </c>
      <c r="BG29" s="530">
        <f>((BD29*'VoT5'!H$28)+(BE29*'VoT5'!H$29)+('Forecast occupancies'!BF29*'VoT5'!H$30))/100</f>
        <v>1.4923153156000231</v>
      </c>
      <c r="BH29" s="65">
        <f>'VoT3'!$D$27</f>
        <v>1.2</v>
      </c>
      <c r="BI29" s="65">
        <f>'VoT3'!$D$28</f>
        <v>1.46</v>
      </c>
      <c r="BJ29" s="530">
        <f>((BH29*'VoT5'!$H$31)+(BI29*'VoT5'!$H$32))/100</f>
        <v>1.2311999999999999</v>
      </c>
      <c r="BK29" s="860">
        <f>'VoT3'!$D$30</f>
        <v>1</v>
      </c>
      <c r="BL29" s="860">
        <f>'VoT3'!$D$31</f>
        <v>1</v>
      </c>
      <c r="BM29" s="65">
        <f>('VoT3'!$D$33*'VoT5'!$H$39)/100 + 'VoT3'!$D$32</f>
        <v>1.2154161555382865</v>
      </c>
      <c r="BN29" s="65">
        <f>('VoT3'!$D$33*'VoT5'!$H$40)/100</f>
        <v>1.9520129541892906</v>
      </c>
      <c r="BO29" s="530">
        <f>('VoT3'!$D$33*'VoT5'!$H$41)/100</f>
        <v>10.032570890272423</v>
      </c>
      <c r="BP29" s="901">
        <f t="shared" ref="BP29:BP38" si="5">SUM(BM29:BO29)</f>
        <v>13.2</v>
      </c>
      <c r="BQ29" s="672">
        <f>((BQ$28-1)*((100+'VoT4'!$I$26)/100)^$B29) +1</f>
        <v>1.3131774973540897</v>
      </c>
      <c r="BR29" s="65">
        <f>((BR$28-1)*((100+'VoT4'!$I$27)/100)^$B29) +1</f>
        <v>1.2071718111863166</v>
      </c>
      <c r="BS29" s="65">
        <f>((BS$28-1)*((100+'VoT4'!$I$27)/100)^$B29) +1</f>
        <v>2.1200652963923514</v>
      </c>
      <c r="BT29" s="530">
        <f>((BQ29*'VoT5'!I$28)+(BR29*'VoT5'!I$29)+('Forecast occupancies'!BS29*'VoT5'!I$30))/100</f>
        <v>2.020025055906864</v>
      </c>
      <c r="BU29" s="65">
        <f>'VoT3'!$E$27</f>
        <v>1.26</v>
      </c>
      <c r="BV29" s="65">
        <f>'VoT3'!$E$28</f>
        <v>2.0299999999999998</v>
      </c>
      <c r="BW29" s="530">
        <f>((BU29*'VoT5'!$I$31)+(BV29*'VoT5'!$I$32))/100</f>
        <v>1.3524</v>
      </c>
      <c r="BX29" s="530">
        <f>'VoT3'!$E$30</f>
        <v>1</v>
      </c>
      <c r="BY29" s="860">
        <f>'VoT3'!$E$31</f>
        <v>1</v>
      </c>
      <c r="BZ29" s="65">
        <f>('VoT3'!$E$33*'VoT5'!$I$39)/100 + 'VoT3'!$E$32</f>
        <v>1.0656255420478047</v>
      </c>
      <c r="CA29" s="65">
        <f>('VoT3'!$E$33*'VoT5'!$I$40)/100</f>
        <v>0.73949783032666783</v>
      </c>
      <c r="CB29" s="530">
        <f>('VoT3'!$E$33*'VoT5'!$I$41)/100</f>
        <v>11.394876627625528</v>
      </c>
      <c r="CC29" s="901">
        <f t="shared" ref="CC29:CC38" si="6">SUM(BZ29:CB29)</f>
        <v>13.200000000000001</v>
      </c>
      <c r="CD29" s="65">
        <f>((CD$28-1)*((100+'VoT4'!$J$26)/100)^$B29) +1</f>
        <v>1.1606654296250507</v>
      </c>
      <c r="CE29" s="65">
        <f>((CE$28-1)*((100+'VoT4'!$J$27)/100)^$B29) +1</f>
        <v>1.145603182870168</v>
      </c>
      <c r="CF29" s="65">
        <f>((CF$28-1)*((100+'VoT4'!$J$27)/100)^$B29) +1</f>
        <v>1.9068315187130187</v>
      </c>
      <c r="CG29" s="530">
        <f>((CD29*'VoT5'!J$28)+(CE29*'VoT5'!J$29)+('Forecast occupancies'!CF29*'VoT5'!J$30))/100</f>
        <v>1.6228231414717587</v>
      </c>
      <c r="CH29" s="65">
        <f>'VoT3'!$F$27</f>
        <v>1.2</v>
      </c>
      <c r="CI29" s="65">
        <f>'VoT3'!$F$28</f>
        <v>1.59</v>
      </c>
      <c r="CJ29" s="530">
        <f>((CH29*'VoT5'!$J$31)+(CI29*'VoT5'!$J$32))/100</f>
        <v>1.2467999999999999</v>
      </c>
      <c r="CK29" s="860">
        <f>'VoT3'!$F$30</f>
        <v>1</v>
      </c>
      <c r="CL29" s="860">
        <f>'VoT3'!$F$31</f>
        <v>1</v>
      </c>
      <c r="CM29" s="65">
        <f>('VoT3'!$F$33*'VoT5'!$J$39)/100 + 'VoT3'!$F$32</f>
        <v>1.1784267265920292</v>
      </c>
      <c r="CN29" s="65">
        <f>('VoT3'!$F$33*'VoT5'!$J$40)/100</f>
        <v>1.652535676565674</v>
      </c>
      <c r="CO29" s="530">
        <f>('VoT3'!$F$33*'VoT5'!$J$41)/100</f>
        <v>10.369037596842293</v>
      </c>
      <c r="CP29" s="901">
        <f t="shared" ref="CP29:CP38" si="7">SUM(CM29:CO29)</f>
        <v>13.199999999999996</v>
      </c>
      <c r="CQ29" s="858"/>
      <c r="CR29" s="858"/>
    </row>
    <row r="30" spans="1:96" ht="13.5" customHeight="1">
      <c r="B30" s="1225">
        <f>C30-$B$15</f>
        <v>2</v>
      </c>
      <c r="C30" s="535">
        <f t="shared" ref="C30:C64" si="8">C29+1</f>
        <v>2012</v>
      </c>
      <c r="D30" s="75">
        <f>((D$28-1)*((100+'VoT4'!$D$26)/100)^$B30) + 1</f>
        <v>1.1306546747898494</v>
      </c>
      <c r="E30" s="75">
        <f>((E$28-1)*((100+'VoT4'!$D$27)/100)^$B30) + 1</f>
        <v>1.1324142099550518</v>
      </c>
      <c r="F30" s="75">
        <f>((F$28-1)*((100+'VoT4'!$D$27)/100)^$B30) + 1</f>
        <v>1.7117149527604505</v>
      </c>
      <c r="G30" s="530">
        <f>((D30*'VoT5'!D$28)+(E30*'VoT5'!D$29)+('Forecast occupancies'!F30*'VoT5'!D$30))/100</f>
        <v>1.3608117390924901</v>
      </c>
      <c r="H30" s="65">
        <f>'VoT3'!$D$27</f>
        <v>1.2</v>
      </c>
      <c r="I30" s="65">
        <f>'VoT3'!$D$28</f>
        <v>1.46</v>
      </c>
      <c r="J30" s="530">
        <f>((H30*'VoT5'!$D$31)+(I30*'VoT5'!$D$32))/100</f>
        <v>1.2311999999999999</v>
      </c>
      <c r="K30" s="860">
        <f>'VoT3'!$D$30</f>
        <v>1</v>
      </c>
      <c r="L30" s="860">
        <f>'VoT3'!$D$31</f>
        <v>1</v>
      </c>
      <c r="M30" s="65">
        <f>('VoT3'!$D$33*'VoT5'!$D$39)/100 + 'VoT3'!$D$32</f>
        <v>1.168791653429633</v>
      </c>
      <c r="N30" s="65">
        <f>('VoT3'!$D$33*'VoT5'!$D$40)/100</f>
        <v>2.2491911578548542</v>
      </c>
      <c r="O30" s="530">
        <f>('VoT3'!$D$33*'VoT5'!$D$41)/100</f>
        <v>9.7820171887155141</v>
      </c>
      <c r="P30" s="531">
        <f t="shared" si="1"/>
        <v>13.200000000000001</v>
      </c>
      <c r="Q30" s="65">
        <f>((Q$28-1)*((100+'VoT4'!$E$26)/100)^$B30) +1</f>
        <v>1.1586074096289325</v>
      </c>
      <c r="R30" s="65">
        <f>((R$28-1)*((100+'VoT4'!$E$27)/100)^$B30) +1</f>
        <v>1.1508273706069019</v>
      </c>
      <c r="S30" s="65">
        <f>((S$28-1)*((100+'VoT4'!$E$27)/100)^$B30) +1</f>
        <v>1.823380766174084</v>
      </c>
      <c r="T30" s="530">
        <f>((Q30*'VoT5'!E$28)+(R30*'VoT5'!E$29)+('Forecast occupancies'!S30*'VoT5'!E$30))/100</f>
        <v>1.6344935826498272</v>
      </c>
      <c r="U30" s="65">
        <f>'VoT3'!$D$27</f>
        <v>1.2</v>
      </c>
      <c r="V30" s="65">
        <f>'VoT3'!$D$28</f>
        <v>1.46</v>
      </c>
      <c r="W30" s="530">
        <f>((U30*'VoT5'!$E$31)+(V30*'VoT5'!$E$32))/100</f>
        <v>1.2311999999999999</v>
      </c>
      <c r="X30" s="860">
        <f>'VoT3'!$D$30</f>
        <v>1</v>
      </c>
      <c r="Y30" s="860">
        <f>'VoT3'!$D$31</f>
        <v>1</v>
      </c>
      <c r="Z30" s="65">
        <f>('VoT3'!$D$33*'VoT5'!$E$39)/100 + 'VoT3'!$D$32</f>
        <v>1.2020901087398195</v>
      </c>
      <c r="AA30" s="65">
        <f>('VoT3'!$D$33*'VoT5'!$E$40)/100</f>
        <v>0.78826992816783981</v>
      </c>
      <c r="AB30" s="530">
        <f>('VoT3'!$D$33*'VoT5'!$E$41)/100</f>
        <v>11.209639963092341</v>
      </c>
      <c r="AC30" s="859">
        <f t="shared" si="2"/>
        <v>13.200000000000001</v>
      </c>
      <c r="AD30" s="65">
        <f>((AD$28-1)*((100+'VoT4'!$F$26)/100)^$B30) +1</f>
        <v>1.1469717467060276</v>
      </c>
      <c r="AE30" s="65">
        <f>((AE$28-1)*((100+'VoT4'!$F$27)/100)^$B30) +1</f>
        <v>1.1363203108454192</v>
      </c>
      <c r="AF30" s="65">
        <f>((AF$28-1)*((100+'VoT4'!$F$27)/100)^$B30) +1</f>
        <v>1.7925210409543946</v>
      </c>
      <c r="AG30" s="530">
        <f>((AD30*'VoT5'!F$28)+(AE30*'VoT5'!F$29)+('Forecast occupancies'!AF30*'VoT5'!F$30))/100</f>
        <v>1.4455150928444727</v>
      </c>
      <c r="AH30" s="65">
        <f>'VoT3'!$D$27</f>
        <v>1.2</v>
      </c>
      <c r="AI30" s="65">
        <f>'VoT3'!$D$28</f>
        <v>1.46</v>
      </c>
      <c r="AJ30" s="530">
        <f>((AH30*'VoT5'!$F$31)+(AI30*'VoT5'!$F$32))/100</f>
        <v>1.2311999999999999</v>
      </c>
      <c r="AK30" s="860">
        <f>'VoT3'!$D$30</f>
        <v>1</v>
      </c>
      <c r="AL30" s="530">
        <f>'VoT3'!$D$31</f>
        <v>1</v>
      </c>
      <c r="AM30" s="65">
        <f>('VoT3'!$D$33*'VoT5'!$F$39)/100 + 'VoT3'!$D$32</f>
        <v>1.2791444318533409</v>
      </c>
      <c r="AN30" s="65">
        <f>('VoT3'!$D$33*'VoT5'!$F$40)/100</f>
        <v>3.163211907560131</v>
      </c>
      <c r="AO30" s="530">
        <f>('VoT3'!$D$33*'VoT5'!$F$41)/100</f>
        <v>8.7576436605865258</v>
      </c>
      <c r="AP30" s="531">
        <f t="shared" si="3"/>
        <v>13.199999999999998</v>
      </c>
      <c r="AQ30" s="65">
        <f>((AQ$28-1)*((100+'VoT4'!$G$26)/100)^$B30) +1</f>
        <v>1.1686731657535445</v>
      </c>
      <c r="AR30" s="65">
        <f>((AR$28-1)*((100+'VoT4'!$G$27)/100)^$B30) +1</f>
        <v>1.1529514408135957</v>
      </c>
      <c r="AS30" s="65">
        <f>((AS$28-1)*((100+'VoT4'!$G$27)/100)^$B30) +1</f>
        <v>1.7861213477735842</v>
      </c>
      <c r="AT30" s="530">
        <f>((AQ30*'VoT5'!G$28)+(AR30*'VoT5'!G$29)+('Forecast occupancies'!AS30*'VoT5'!G$30))/100</f>
        <v>1.4625529734459999</v>
      </c>
      <c r="AU30" s="65">
        <f>'VoT3'!$D$27</f>
        <v>1.2</v>
      </c>
      <c r="AV30" s="65">
        <f>'VoT3'!$D$28</f>
        <v>1.46</v>
      </c>
      <c r="AW30" s="530">
        <f>((AU30*'VoT5'!$G$31)+(AV30*'VoT5'!$G$32))/100</f>
        <v>1.2311999999999999</v>
      </c>
      <c r="AX30" s="530">
        <f>'VoT3'!$D$30</f>
        <v>1</v>
      </c>
      <c r="AY30" s="860">
        <f>'VoT3'!$D$31</f>
        <v>1</v>
      </c>
      <c r="AZ30" s="65">
        <f>('VoT3'!$D$33*'VoT5'!$G$39)/100 + 'VoT3'!$D$32</f>
        <v>1.2777359179706231</v>
      </c>
      <c r="BA30" s="65">
        <f>('VoT3'!$D$33*'VoT5'!$G$40)/100</f>
        <v>4.3240321049185146</v>
      </c>
      <c r="BB30" s="530">
        <f>('VoT3'!$D$33*'VoT5'!$G$41)/100</f>
        <v>7.5982319771108608</v>
      </c>
      <c r="BC30" s="531">
        <f t="shared" si="4"/>
        <v>13.2</v>
      </c>
      <c r="BD30" s="65">
        <f>((BD$28-1)*((100+'VoT4'!$H$26)/100)^$B30) +1</f>
        <v>1.1490125418460642</v>
      </c>
      <c r="BE30" s="65">
        <f>((BE$28-1)*((100+'VoT4'!$H$27)/100)^$B30) +1</f>
        <v>1.1401838093663619</v>
      </c>
      <c r="BF30" s="65">
        <f>((BF$28-1)*((100+'VoT4'!$H$27)/100)^$B30) +1</f>
        <v>1.7905592337282852</v>
      </c>
      <c r="BG30" s="530">
        <f>((BD30*'VoT5'!H$28)+(BE30*'VoT5'!H$29)+('Forecast occupancies'!BF30*'VoT5'!H$30))/100</f>
        <v>1.4923153156000231</v>
      </c>
      <c r="BH30" s="65">
        <f>'VoT3'!$D$27</f>
        <v>1.2</v>
      </c>
      <c r="BI30" s="65">
        <f>'VoT3'!$D$28</f>
        <v>1.46</v>
      </c>
      <c r="BJ30" s="530">
        <f>((BH30*'VoT5'!$H$31)+(BI30*'VoT5'!$H$32))/100</f>
        <v>1.2311999999999999</v>
      </c>
      <c r="BK30" s="860">
        <f>'VoT3'!$D$30</f>
        <v>1</v>
      </c>
      <c r="BL30" s="860">
        <f>'VoT3'!$D$31</f>
        <v>1</v>
      </c>
      <c r="BM30" s="65">
        <f>('VoT3'!$D$33*'VoT5'!$H$39)/100 + 'VoT3'!$D$32</f>
        <v>1.2154161555382865</v>
      </c>
      <c r="BN30" s="65">
        <f>('VoT3'!$D$33*'VoT5'!$H$40)/100</f>
        <v>1.9520129541892906</v>
      </c>
      <c r="BO30" s="530">
        <f>('VoT3'!$D$33*'VoT5'!$H$41)/100</f>
        <v>10.032570890272423</v>
      </c>
      <c r="BP30" s="901">
        <f t="shared" si="5"/>
        <v>13.2</v>
      </c>
      <c r="BQ30" s="672">
        <f>((BQ$28-1)*((100+'VoT4'!$I$26)/100)^$B30) +1</f>
        <v>1.3131774973540897</v>
      </c>
      <c r="BR30" s="65">
        <f>((BR$28-1)*((100+'VoT4'!$I$27)/100)^$B30) +1</f>
        <v>1.2071718111863166</v>
      </c>
      <c r="BS30" s="65">
        <f>((BS$28-1)*((100+'VoT4'!$I$27)/100)^$B30) +1</f>
        <v>2.1200652963923514</v>
      </c>
      <c r="BT30" s="530">
        <f>((BQ30*'VoT5'!I$28)+(BR30*'VoT5'!I$29)+('Forecast occupancies'!BS30*'VoT5'!I$30))/100</f>
        <v>2.020025055906864</v>
      </c>
      <c r="BU30" s="65">
        <f>'VoT3'!$E$27</f>
        <v>1.26</v>
      </c>
      <c r="BV30" s="65">
        <f>'VoT3'!$E$28</f>
        <v>2.0299999999999998</v>
      </c>
      <c r="BW30" s="530">
        <f>((BU30*'VoT5'!$I$31)+(BV30*'VoT5'!$I$32))/100</f>
        <v>1.3524</v>
      </c>
      <c r="BX30" s="530">
        <f>'VoT3'!$E$30</f>
        <v>1</v>
      </c>
      <c r="BY30" s="860">
        <f>'VoT3'!$E$31</f>
        <v>1</v>
      </c>
      <c r="BZ30" s="65">
        <f>('VoT3'!$E$33*'VoT5'!$I$39)/100 + 'VoT3'!$E$32</f>
        <v>1.0656255420478047</v>
      </c>
      <c r="CA30" s="65">
        <f>('VoT3'!$E$33*'VoT5'!$I$40)/100</f>
        <v>0.73949783032666783</v>
      </c>
      <c r="CB30" s="530">
        <f>('VoT3'!$E$33*'VoT5'!$I$41)/100</f>
        <v>11.394876627625528</v>
      </c>
      <c r="CC30" s="901">
        <f t="shared" si="6"/>
        <v>13.200000000000001</v>
      </c>
      <c r="CD30" s="65">
        <f>((CD$28-1)*((100+'VoT4'!$J$26)/100)^$B30) +1</f>
        <v>1.1606654296250507</v>
      </c>
      <c r="CE30" s="65">
        <f>((CE$28-1)*((100+'VoT4'!$J$27)/100)^$B30) +1</f>
        <v>1.145603182870168</v>
      </c>
      <c r="CF30" s="65">
        <f>((CF$28-1)*((100+'VoT4'!$J$27)/100)^$B30) +1</f>
        <v>1.9068315187130187</v>
      </c>
      <c r="CG30" s="530">
        <f>((CD30*'VoT5'!J$28)+(CE30*'VoT5'!J$29)+('Forecast occupancies'!CF30*'VoT5'!J$30))/100</f>
        <v>1.6228231414717587</v>
      </c>
      <c r="CH30" s="65">
        <f>'VoT3'!$F$27</f>
        <v>1.2</v>
      </c>
      <c r="CI30" s="65">
        <f>'VoT3'!$F$28</f>
        <v>1.59</v>
      </c>
      <c r="CJ30" s="530">
        <f>((CH30*'VoT5'!$J$31)+(CI30*'VoT5'!$J$32))/100</f>
        <v>1.2467999999999999</v>
      </c>
      <c r="CK30" s="860">
        <f>'VoT3'!$F$30</f>
        <v>1</v>
      </c>
      <c r="CL30" s="860">
        <f>'VoT3'!$F$31</f>
        <v>1</v>
      </c>
      <c r="CM30" s="65">
        <f>('VoT3'!$F$33*'VoT5'!$J$39)/100 + 'VoT3'!$F$32</f>
        <v>1.1784267265920292</v>
      </c>
      <c r="CN30" s="65">
        <f>('VoT3'!$F$33*'VoT5'!$J$40)/100</f>
        <v>1.652535676565674</v>
      </c>
      <c r="CO30" s="530">
        <f>('VoT3'!$F$33*'VoT5'!$J$41)/100</f>
        <v>10.369037596842293</v>
      </c>
      <c r="CP30" s="901">
        <f t="shared" si="7"/>
        <v>13.199999999999996</v>
      </c>
    </row>
    <row r="31" spans="1:96" ht="13.5" customHeight="1">
      <c r="B31" s="1225">
        <f t="shared" si="0"/>
        <v>3</v>
      </c>
      <c r="C31" s="535">
        <f t="shared" si="8"/>
        <v>2013</v>
      </c>
      <c r="D31" s="75">
        <f>((D$28-1)*((100+'VoT4'!$D$26)/100)^$B31) + 1</f>
        <v>1.1306546747898494</v>
      </c>
      <c r="E31" s="75">
        <f>((E$28-1)*((100+'VoT4'!$D$27)/100)^$B31) + 1</f>
        <v>1.1324142099550518</v>
      </c>
      <c r="F31" s="75">
        <f>((F$28-1)*((100+'VoT4'!$D$27)/100)^$B31) + 1</f>
        <v>1.7117149527604505</v>
      </c>
      <c r="G31" s="530">
        <f>((D31*'VoT5'!D$28)+(E31*'VoT5'!D$29)+('Forecast occupancies'!F31*'VoT5'!D$30))/100</f>
        <v>1.3608117390924901</v>
      </c>
      <c r="H31" s="65">
        <f>'VoT3'!$D$27</f>
        <v>1.2</v>
      </c>
      <c r="I31" s="65">
        <f>'VoT3'!$D$28</f>
        <v>1.46</v>
      </c>
      <c r="J31" s="530">
        <f>((H31*'VoT5'!$D$31)+(I31*'VoT5'!$D$32))/100</f>
        <v>1.2311999999999999</v>
      </c>
      <c r="K31" s="860">
        <f>'VoT3'!$D$30</f>
        <v>1</v>
      </c>
      <c r="L31" s="860">
        <f>'VoT3'!$D$31</f>
        <v>1</v>
      </c>
      <c r="M31" s="65">
        <f>('VoT3'!$D$33*'VoT5'!$D$39)/100 + 'VoT3'!$D$32</f>
        <v>1.168791653429633</v>
      </c>
      <c r="N31" s="65">
        <f>('VoT3'!$D$33*'VoT5'!$D$40)/100</f>
        <v>2.2491911578548542</v>
      </c>
      <c r="O31" s="530">
        <f>('VoT3'!$D$33*'VoT5'!$D$41)/100</f>
        <v>9.7820171887155141</v>
      </c>
      <c r="P31" s="531">
        <f t="shared" si="1"/>
        <v>13.200000000000001</v>
      </c>
      <c r="Q31" s="65">
        <f>((Q$28-1)*((100+'VoT4'!$E$26)/100)^$B31) +1</f>
        <v>1.1586074096289325</v>
      </c>
      <c r="R31" s="65">
        <f>((R$28-1)*((100+'VoT4'!$E$27)/100)^$B31) +1</f>
        <v>1.1508273706069019</v>
      </c>
      <c r="S31" s="65">
        <f>((S$28-1)*((100+'VoT4'!$E$27)/100)^$B31) +1</f>
        <v>1.823380766174084</v>
      </c>
      <c r="T31" s="530">
        <f>((Q31*'VoT5'!E$28)+(R31*'VoT5'!E$29)+('Forecast occupancies'!S31*'VoT5'!E$30))/100</f>
        <v>1.6344935826498272</v>
      </c>
      <c r="U31" s="65">
        <f>'VoT3'!$D$27</f>
        <v>1.2</v>
      </c>
      <c r="V31" s="65">
        <f>'VoT3'!$D$28</f>
        <v>1.46</v>
      </c>
      <c r="W31" s="530">
        <f>((U31*'VoT5'!$E$31)+(V31*'VoT5'!$E$32))/100</f>
        <v>1.2311999999999999</v>
      </c>
      <c r="X31" s="860">
        <f>'VoT3'!$D$30</f>
        <v>1</v>
      </c>
      <c r="Y31" s="860">
        <f>'VoT3'!$D$31</f>
        <v>1</v>
      </c>
      <c r="Z31" s="65">
        <f>('VoT3'!$D$33*'VoT5'!$E$39)/100 + 'VoT3'!$D$32</f>
        <v>1.2020901087398195</v>
      </c>
      <c r="AA31" s="65">
        <f>('VoT3'!$D$33*'VoT5'!$E$40)/100</f>
        <v>0.78826992816783981</v>
      </c>
      <c r="AB31" s="530">
        <f>('VoT3'!$D$33*'VoT5'!$E$41)/100</f>
        <v>11.209639963092341</v>
      </c>
      <c r="AC31" s="859">
        <f t="shared" si="2"/>
        <v>13.200000000000001</v>
      </c>
      <c r="AD31" s="65">
        <f>((AD$28-1)*((100+'VoT4'!$F$26)/100)^$B31) +1</f>
        <v>1.1469717467060276</v>
      </c>
      <c r="AE31" s="65">
        <f>((AE$28-1)*((100+'VoT4'!$F$27)/100)^$B31) +1</f>
        <v>1.1363203108454192</v>
      </c>
      <c r="AF31" s="65">
        <f>((AF$28-1)*((100+'VoT4'!$F$27)/100)^$B31) +1</f>
        <v>1.7925210409543946</v>
      </c>
      <c r="AG31" s="530">
        <f>((AD31*'VoT5'!F$28)+(AE31*'VoT5'!F$29)+('Forecast occupancies'!AF31*'VoT5'!F$30))/100</f>
        <v>1.4455150928444727</v>
      </c>
      <c r="AH31" s="65">
        <f>'VoT3'!$D$27</f>
        <v>1.2</v>
      </c>
      <c r="AI31" s="65">
        <f>'VoT3'!$D$28</f>
        <v>1.46</v>
      </c>
      <c r="AJ31" s="530">
        <f>((AH31*'VoT5'!$F$31)+(AI31*'VoT5'!$F$32))/100</f>
        <v>1.2311999999999999</v>
      </c>
      <c r="AK31" s="860">
        <f>'VoT3'!$D$30</f>
        <v>1</v>
      </c>
      <c r="AL31" s="530">
        <f>'VoT3'!$D$31</f>
        <v>1</v>
      </c>
      <c r="AM31" s="65">
        <f>('VoT3'!$D$33*'VoT5'!$F$39)/100 + 'VoT3'!$D$32</f>
        <v>1.2791444318533409</v>
      </c>
      <c r="AN31" s="65">
        <f>('VoT3'!$D$33*'VoT5'!$F$40)/100</f>
        <v>3.163211907560131</v>
      </c>
      <c r="AO31" s="530">
        <f>('VoT3'!$D$33*'VoT5'!$F$41)/100</f>
        <v>8.7576436605865258</v>
      </c>
      <c r="AP31" s="531">
        <f t="shared" si="3"/>
        <v>13.199999999999998</v>
      </c>
      <c r="AQ31" s="65">
        <f>((AQ$28-1)*((100+'VoT4'!$G$26)/100)^$B31) +1</f>
        <v>1.1686731657535445</v>
      </c>
      <c r="AR31" s="65">
        <f>((AR$28-1)*((100+'VoT4'!$G$27)/100)^$B31) +1</f>
        <v>1.1529514408135957</v>
      </c>
      <c r="AS31" s="65">
        <f>((AS$28-1)*((100+'VoT4'!$G$27)/100)^$B31) +1</f>
        <v>1.7861213477735842</v>
      </c>
      <c r="AT31" s="530">
        <f>((AQ31*'VoT5'!G$28)+(AR31*'VoT5'!G$29)+('Forecast occupancies'!AS31*'VoT5'!G$30))/100</f>
        <v>1.4625529734459999</v>
      </c>
      <c r="AU31" s="65">
        <f>'VoT3'!$D$27</f>
        <v>1.2</v>
      </c>
      <c r="AV31" s="65">
        <f>'VoT3'!$D$28</f>
        <v>1.46</v>
      </c>
      <c r="AW31" s="530">
        <f>((AU31*'VoT5'!$G$31)+(AV31*'VoT5'!$G$32))/100</f>
        <v>1.2311999999999999</v>
      </c>
      <c r="AX31" s="530">
        <f>'VoT3'!$D$30</f>
        <v>1</v>
      </c>
      <c r="AY31" s="860">
        <f>'VoT3'!$D$31</f>
        <v>1</v>
      </c>
      <c r="AZ31" s="65">
        <f>('VoT3'!$D$33*'VoT5'!$G$39)/100 + 'VoT3'!$D$32</f>
        <v>1.2777359179706231</v>
      </c>
      <c r="BA31" s="65">
        <f>('VoT3'!$D$33*'VoT5'!$G$40)/100</f>
        <v>4.3240321049185146</v>
      </c>
      <c r="BB31" s="530">
        <f>('VoT3'!$D$33*'VoT5'!$G$41)/100</f>
        <v>7.5982319771108608</v>
      </c>
      <c r="BC31" s="531">
        <f t="shared" si="4"/>
        <v>13.2</v>
      </c>
      <c r="BD31" s="65">
        <f>((BD$28-1)*((100+'VoT4'!$H$26)/100)^$B31) +1</f>
        <v>1.1490125418460642</v>
      </c>
      <c r="BE31" s="65">
        <f>((BE$28-1)*((100+'VoT4'!$H$27)/100)^$B31) +1</f>
        <v>1.1401838093663619</v>
      </c>
      <c r="BF31" s="65">
        <f>((BF$28-1)*((100+'VoT4'!$H$27)/100)^$B31) +1</f>
        <v>1.7905592337282852</v>
      </c>
      <c r="BG31" s="530">
        <f>((BD31*'VoT5'!H$28)+(BE31*'VoT5'!H$29)+('Forecast occupancies'!BF31*'VoT5'!H$30))/100</f>
        <v>1.4923153156000231</v>
      </c>
      <c r="BH31" s="65">
        <f>'VoT3'!$D$27</f>
        <v>1.2</v>
      </c>
      <c r="BI31" s="65">
        <f>'VoT3'!$D$28</f>
        <v>1.46</v>
      </c>
      <c r="BJ31" s="530">
        <f>((BH31*'VoT5'!$H$31)+(BI31*'VoT5'!$H$32))/100</f>
        <v>1.2311999999999999</v>
      </c>
      <c r="BK31" s="860">
        <f>'VoT3'!$D$30</f>
        <v>1</v>
      </c>
      <c r="BL31" s="860">
        <f>'VoT3'!$D$31</f>
        <v>1</v>
      </c>
      <c r="BM31" s="65">
        <f>('VoT3'!$D$33*'VoT5'!$H$39)/100 + 'VoT3'!$D$32</f>
        <v>1.2154161555382865</v>
      </c>
      <c r="BN31" s="65">
        <f>('VoT3'!$D$33*'VoT5'!$H$40)/100</f>
        <v>1.9520129541892906</v>
      </c>
      <c r="BO31" s="530">
        <f>('VoT3'!$D$33*'VoT5'!$H$41)/100</f>
        <v>10.032570890272423</v>
      </c>
      <c r="BP31" s="901">
        <f t="shared" si="5"/>
        <v>13.2</v>
      </c>
      <c r="BQ31" s="672">
        <f>((BQ$28-1)*((100+'VoT4'!$I$26)/100)^$B31) +1</f>
        <v>1.3131774973540897</v>
      </c>
      <c r="BR31" s="65">
        <f>((BR$28-1)*((100+'VoT4'!$I$27)/100)^$B31) +1</f>
        <v>1.2071718111863166</v>
      </c>
      <c r="BS31" s="65">
        <f>((BS$28-1)*((100+'VoT4'!$I$27)/100)^$B31) +1</f>
        <v>2.1200652963923514</v>
      </c>
      <c r="BT31" s="530">
        <f>((BQ31*'VoT5'!I$28)+(BR31*'VoT5'!I$29)+('Forecast occupancies'!BS31*'VoT5'!I$30))/100</f>
        <v>2.020025055906864</v>
      </c>
      <c r="BU31" s="65">
        <f>'VoT3'!$E$27</f>
        <v>1.26</v>
      </c>
      <c r="BV31" s="65">
        <f>'VoT3'!$E$28</f>
        <v>2.0299999999999998</v>
      </c>
      <c r="BW31" s="530">
        <f>((BU31*'VoT5'!$I$31)+(BV31*'VoT5'!$I$32))/100</f>
        <v>1.3524</v>
      </c>
      <c r="BX31" s="530">
        <f>'VoT3'!$E$30</f>
        <v>1</v>
      </c>
      <c r="BY31" s="860">
        <f>'VoT3'!$E$31</f>
        <v>1</v>
      </c>
      <c r="BZ31" s="65">
        <f>('VoT3'!$E$33*'VoT5'!$I$39)/100 + 'VoT3'!$E$32</f>
        <v>1.0656255420478047</v>
      </c>
      <c r="CA31" s="65">
        <f>('VoT3'!$E$33*'VoT5'!$I$40)/100</f>
        <v>0.73949783032666783</v>
      </c>
      <c r="CB31" s="530">
        <f>('VoT3'!$E$33*'VoT5'!$I$41)/100</f>
        <v>11.394876627625528</v>
      </c>
      <c r="CC31" s="901">
        <f t="shared" si="6"/>
        <v>13.200000000000001</v>
      </c>
      <c r="CD31" s="65">
        <f>((CD$28-1)*((100+'VoT4'!$J$26)/100)^$B31) +1</f>
        <v>1.1606654296250507</v>
      </c>
      <c r="CE31" s="65">
        <f>((CE$28-1)*((100+'VoT4'!$J$27)/100)^$B31) +1</f>
        <v>1.145603182870168</v>
      </c>
      <c r="CF31" s="65">
        <f>((CF$28-1)*((100+'VoT4'!$J$27)/100)^$B31) +1</f>
        <v>1.9068315187130187</v>
      </c>
      <c r="CG31" s="530">
        <f>((CD31*'VoT5'!J$28)+(CE31*'VoT5'!J$29)+('Forecast occupancies'!CF31*'VoT5'!J$30))/100</f>
        <v>1.6228231414717587</v>
      </c>
      <c r="CH31" s="65">
        <f>'VoT3'!$F$27</f>
        <v>1.2</v>
      </c>
      <c r="CI31" s="65">
        <f>'VoT3'!$F$28</f>
        <v>1.59</v>
      </c>
      <c r="CJ31" s="530">
        <f>((CH31*'VoT5'!$J$31)+(CI31*'VoT5'!$J$32))/100</f>
        <v>1.2467999999999999</v>
      </c>
      <c r="CK31" s="860">
        <f>'VoT3'!$F$30</f>
        <v>1</v>
      </c>
      <c r="CL31" s="860">
        <f>'VoT3'!$F$31</f>
        <v>1</v>
      </c>
      <c r="CM31" s="65">
        <f>('VoT3'!$F$33*'VoT5'!$J$39)/100 + 'VoT3'!$F$32</f>
        <v>1.1784267265920292</v>
      </c>
      <c r="CN31" s="65">
        <f>('VoT3'!$F$33*'VoT5'!$J$40)/100</f>
        <v>1.652535676565674</v>
      </c>
      <c r="CO31" s="530">
        <f>('VoT3'!$F$33*'VoT5'!$J$41)/100</f>
        <v>10.369037596842293</v>
      </c>
      <c r="CP31" s="901">
        <f t="shared" si="7"/>
        <v>13.199999999999996</v>
      </c>
    </row>
    <row r="32" spans="1:96" ht="13.5" customHeight="1">
      <c r="B32" s="1225">
        <f t="shared" si="0"/>
        <v>4</v>
      </c>
      <c r="C32" s="535">
        <f t="shared" si="8"/>
        <v>2014</v>
      </c>
      <c r="D32" s="75">
        <f>((D$28-1)*((100+'VoT4'!$D$26)/100)^$B32) + 1</f>
        <v>1.1306546747898494</v>
      </c>
      <c r="E32" s="75">
        <f>((E$28-1)*((100+'VoT4'!$D$27)/100)^$B32) + 1</f>
        <v>1.1324142099550518</v>
      </c>
      <c r="F32" s="75">
        <f>((F$28-1)*((100+'VoT4'!$D$27)/100)^$B32) + 1</f>
        <v>1.7117149527604505</v>
      </c>
      <c r="G32" s="530">
        <f>((D32*'VoT5'!D$28)+(E32*'VoT5'!D$29)+('Forecast occupancies'!F32*'VoT5'!D$30))/100</f>
        <v>1.3608117390924901</v>
      </c>
      <c r="H32" s="65">
        <f>'VoT3'!$D$27</f>
        <v>1.2</v>
      </c>
      <c r="I32" s="65">
        <f>'VoT3'!$D$28</f>
        <v>1.46</v>
      </c>
      <c r="J32" s="530">
        <f>((H32*'VoT5'!$D$31)+(I32*'VoT5'!$D$32))/100</f>
        <v>1.2311999999999999</v>
      </c>
      <c r="K32" s="860">
        <f>'VoT3'!$D$30</f>
        <v>1</v>
      </c>
      <c r="L32" s="860">
        <f>'VoT3'!$D$31</f>
        <v>1</v>
      </c>
      <c r="M32" s="65">
        <f>('VoT3'!$D$33*'VoT5'!$D$39)/100 + 'VoT3'!$D$32</f>
        <v>1.168791653429633</v>
      </c>
      <c r="N32" s="65">
        <f>('VoT3'!$D$33*'VoT5'!$D$40)/100</f>
        <v>2.2491911578548542</v>
      </c>
      <c r="O32" s="530">
        <f>('VoT3'!$D$33*'VoT5'!$D$41)/100</f>
        <v>9.7820171887155141</v>
      </c>
      <c r="P32" s="531">
        <f t="shared" si="1"/>
        <v>13.200000000000001</v>
      </c>
      <c r="Q32" s="65">
        <f>((Q$28-1)*((100+'VoT4'!$E$26)/100)^$B32) +1</f>
        <v>1.1586074096289325</v>
      </c>
      <c r="R32" s="65">
        <f>((R$28-1)*((100+'VoT4'!$E$27)/100)^$B32) +1</f>
        <v>1.1508273706069019</v>
      </c>
      <c r="S32" s="65">
        <f>((S$28-1)*((100+'VoT4'!$E$27)/100)^$B32) +1</f>
        <v>1.823380766174084</v>
      </c>
      <c r="T32" s="530">
        <f>((Q32*'VoT5'!E$28)+(R32*'VoT5'!E$29)+('Forecast occupancies'!S32*'VoT5'!E$30))/100</f>
        <v>1.6344935826498272</v>
      </c>
      <c r="U32" s="65">
        <f>'VoT3'!$D$27</f>
        <v>1.2</v>
      </c>
      <c r="V32" s="65">
        <f>'VoT3'!$D$28</f>
        <v>1.46</v>
      </c>
      <c r="W32" s="530">
        <f>((U32*'VoT5'!$E$31)+(V32*'VoT5'!$E$32))/100</f>
        <v>1.2311999999999999</v>
      </c>
      <c r="X32" s="860">
        <f>'VoT3'!$D$30</f>
        <v>1</v>
      </c>
      <c r="Y32" s="860">
        <f>'VoT3'!$D$31</f>
        <v>1</v>
      </c>
      <c r="Z32" s="65">
        <f>('VoT3'!$D$33*'VoT5'!$E$39)/100 + 'VoT3'!$D$32</f>
        <v>1.2020901087398195</v>
      </c>
      <c r="AA32" s="65">
        <f>('VoT3'!$D$33*'VoT5'!$E$40)/100</f>
        <v>0.78826992816783981</v>
      </c>
      <c r="AB32" s="530">
        <f>('VoT3'!$D$33*'VoT5'!$E$41)/100</f>
        <v>11.209639963092341</v>
      </c>
      <c r="AC32" s="859">
        <f t="shared" si="2"/>
        <v>13.200000000000001</v>
      </c>
      <c r="AD32" s="65">
        <f>((AD$28-1)*((100+'VoT4'!$F$26)/100)^$B32) +1</f>
        <v>1.1469717467060276</v>
      </c>
      <c r="AE32" s="65">
        <f>((AE$28-1)*((100+'VoT4'!$F$27)/100)^$B32) +1</f>
        <v>1.1363203108454192</v>
      </c>
      <c r="AF32" s="65">
        <f>((AF$28-1)*((100+'VoT4'!$F$27)/100)^$B32) +1</f>
        <v>1.7925210409543946</v>
      </c>
      <c r="AG32" s="530">
        <f>((AD32*'VoT5'!F$28)+(AE32*'VoT5'!F$29)+('Forecast occupancies'!AF32*'VoT5'!F$30))/100</f>
        <v>1.4455150928444727</v>
      </c>
      <c r="AH32" s="65">
        <f>'VoT3'!$D$27</f>
        <v>1.2</v>
      </c>
      <c r="AI32" s="65">
        <f>'VoT3'!$D$28</f>
        <v>1.46</v>
      </c>
      <c r="AJ32" s="530">
        <f>((AH32*'VoT5'!$F$31)+(AI32*'VoT5'!$F$32))/100</f>
        <v>1.2311999999999999</v>
      </c>
      <c r="AK32" s="860">
        <f>'VoT3'!$D$30</f>
        <v>1</v>
      </c>
      <c r="AL32" s="530">
        <f>'VoT3'!$D$31</f>
        <v>1</v>
      </c>
      <c r="AM32" s="65">
        <f>('VoT3'!$D$33*'VoT5'!$F$39)/100 + 'VoT3'!$D$32</f>
        <v>1.2791444318533409</v>
      </c>
      <c r="AN32" s="65">
        <f>('VoT3'!$D$33*'VoT5'!$F$40)/100</f>
        <v>3.163211907560131</v>
      </c>
      <c r="AO32" s="530">
        <f>('VoT3'!$D$33*'VoT5'!$F$41)/100</f>
        <v>8.7576436605865258</v>
      </c>
      <c r="AP32" s="531">
        <f t="shared" si="3"/>
        <v>13.199999999999998</v>
      </c>
      <c r="AQ32" s="65">
        <f>((AQ$28-1)*((100+'VoT4'!$G$26)/100)^$B32) +1</f>
        <v>1.1686731657535445</v>
      </c>
      <c r="AR32" s="65">
        <f>((AR$28-1)*((100+'VoT4'!$G$27)/100)^$B32) +1</f>
        <v>1.1529514408135957</v>
      </c>
      <c r="AS32" s="65">
        <f>((AS$28-1)*((100+'VoT4'!$G$27)/100)^$B32) +1</f>
        <v>1.7861213477735842</v>
      </c>
      <c r="AT32" s="530">
        <f>((AQ32*'VoT5'!G$28)+(AR32*'VoT5'!G$29)+('Forecast occupancies'!AS32*'VoT5'!G$30))/100</f>
        <v>1.4625529734459999</v>
      </c>
      <c r="AU32" s="65">
        <f>'VoT3'!$D$27</f>
        <v>1.2</v>
      </c>
      <c r="AV32" s="65">
        <f>'VoT3'!$D$28</f>
        <v>1.46</v>
      </c>
      <c r="AW32" s="530">
        <f>((AU32*'VoT5'!$G$31)+(AV32*'VoT5'!$G$32))/100</f>
        <v>1.2311999999999999</v>
      </c>
      <c r="AX32" s="530">
        <f>'VoT3'!$D$30</f>
        <v>1</v>
      </c>
      <c r="AY32" s="860">
        <f>'VoT3'!$D$31</f>
        <v>1</v>
      </c>
      <c r="AZ32" s="65">
        <f>('VoT3'!$D$33*'VoT5'!$G$39)/100 + 'VoT3'!$D$32</f>
        <v>1.2777359179706231</v>
      </c>
      <c r="BA32" s="65">
        <f>('VoT3'!$D$33*'VoT5'!$G$40)/100</f>
        <v>4.3240321049185146</v>
      </c>
      <c r="BB32" s="530">
        <f>('VoT3'!$D$33*'VoT5'!$G$41)/100</f>
        <v>7.5982319771108608</v>
      </c>
      <c r="BC32" s="531">
        <f t="shared" si="4"/>
        <v>13.2</v>
      </c>
      <c r="BD32" s="65">
        <f>((BD$28-1)*((100+'VoT4'!$H$26)/100)^$B32) +1</f>
        <v>1.1490125418460642</v>
      </c>
      <c r="BE32" s="65">
        <f>((BE$28-1)*((100+'VoT4'!$H$27)/100)^$B32) +1</f>
        <v>1.1401838093663619</v>
      </c>
      <c r="BF32" s="65">
        <f>((BF$28-1)*((100+'VoT4'!$H$27)/100)^$B32) +1</f>
        <v>1.7905592337282852</v>
      </c>
      <c r="BG32" s="530">
        <f>((BD32*'VoT5'!H$28)+(BE32*'VoT5'!H$29)+('Forecast occupancies'!BF32*'VoT5'!H$30))/100</f>
        <v>1.4923153156000231</v>
      </c>
      <c r="BH32" s="65">
        <f>'VoT3'!$D$27</f>
        <v>1.2</v>
      </c>
      <c r="BI32" s="65">
        <f>'VoT3'!$D$28</f>
        <v>1.46</v>
      </c>
      <c r="BJ32" s="530">
        <f>((BH32*'VoT5'!$H$31)+(BI32*'VoT5'!$H$32))/100</f>
        <v>1.2311999999999999</v>
      </c>
      <c r="BK32" s="860">
        <f>'VoT3'!$D$30</f>
        <v>1</v>
      </c>
      <c r="BL32" s="860">
        <f>'VoT3'!$D$31</f>
        <v>1</v>
      </c>
      <c r="BM32" s="65">
        <f>('VoT3'!$D$33*'VoT5'!$H$39)/100 + 'VoT3'!$D$32</f>
        <v>1.2154161555382865</v>
      </c>
      <c r="BN32" s="65">
        <f>('VoT3'!$D$33*'VoT5'!$H$40)/100</f>
        <v>1.9520129541892906</v>
      </c>
      <c r="BO32" s="530">
        <f>('VoT3'!$D$33*'VoT5'!$H$41)/100</f>
        <v>10.032570890272423</v>
      </c>
      <c r="BP32" s="901">
        <f t="shared" si="5"/>
        <v>13.2</v>
      </c>
      <c r="BQ32" s="672">
        <f>((BQ$28-1)*((100+'VoT4'!$I$26)/100)^$B32) +1</f>
        <v>1.3131774973540897</v>
      </c>
      <c r="BR32" s="65">
        <f>((BR$28-1)*((100+'VoT4'!$I$27)/100)^$B32) +1</f>
        <v>1.2071718111863166</v>
      </c>
      <c r="BS32" s="65">
        <f>((BS$28-1)*((100+'VoT4'!$I$27)/100)^$B32) +1</f>
        <v>2.1200652963923514</v>
      </c>
      <c r="BT32" s="530">
        <f>((BQ32*'VoT5'!I$28)+(BR32*'VoT5'!I$29)+('Forecast occupancies'!BS32*'VoT5'!I$30))/100</f>
        <v>2.020025055906864</v>
      </c>
      <c r="BU32" s="65">
        <f>'VoT3'!$E$27</f>
        <v>1.26</v>
      </c>
      <c r="BV32" s="65">
        <f>'VoT3'!$E$28</f>
        <v>2.0299999999999998</v>
      </c>
      <c r="BW32" s="530">
        <f>((BU32*'VoT5'!$I$31)+(BV32*'VoT5'!$I$32))/100</f>
        <v>1.3524</v>
      </c>
      <c r="BX32" s="530">
        <f>'VoT3'!$E$30</f>
        <v>1</v>
      </c>
      <c r="BY32" s="860">
        <f>'VoT3'!$E$31</f>
        <v>1</v>
      </c>
      <c r="BZ32" s="65">
        <f>('VoT3'!$E$33*'VoT5'!$I$39)/100 + 'VoT3'!$E$32</f>
        <v>1.0656255420478047</v>
      </c>
      <c r="CA32" s="65">
        <f>('VoT3'!$E$33*'VoT5'!$I$40)/100</f>
        <v>0.73949783032666783</v>
      </c>
      <c r="CB32" s="530">
        <f>('VoT3'!$E$33*'VoT5'!$I$41)/100</f>
        <v>11.394876627625528</v>
      </c>
      <c r="CC32" s="901">
        <f t="shared" si="6"/>
        <v>13.200000000000001</v>
      </c>
      <c r="CD32" s="65">
        <f>((CD$28-1)*((100+'VoT4'!$J$26)/100)^$B32) +1</f>
        <v>1.1606654296250507</v>
      </c>
      <c r="CE32" s="65">
        <f>((CE$28-1)*((100+'VoT4'!$J$27)/100)^$B32) +1</f>
        <v>1.145603182870168</v>
      </c>
      <c r="CF32" s="65">
        <f>((CF$28-1)*((100+'VoT4'!$J$27)/100)^$B32) +1</f>
        <v>1.9068315187130187</v>
      </c>
      <c r="CG32" s="530">
        <f>((CD32*'VoT5'!J$28)+(CE32*'VoT5'!J$29)+('Forecast occupancies'!CF32*'VoT5'!J$30))/100</f>
        <v>1.6228231414717587</v>
      </c>
      <c r="CH32" s="65">
        <f>'VoT3'!$F$27</f>
        <v>1.2</v>
      </c>
      <c r="CI32" s="65">
        <f>'VoT3'!$F$28</f>
        <v>1.59</v>
      </c>
      <c r="CJ32" s="530">
        <f>((CH32*'VoT5'!$J$31)+(CI32*'VoT5'!$J$32))/100</f>
        <v>1.2467999999999999</v>
      </c>
      <c r="CK32" s="860">
        <f>'VoT3'!$F$30</f>
        <v>1</v>
      </c>
      <c r="CL32" s="860">
        <f>'VoT3'!$F$31</f>
        <v>1</v>
      </c>
      <c r="CM32" s="65">
        <f>('VoT3'!$F$33*'VoT5'!$J$39)/100 + 'VoT3'!$F$32</f>
        <v>1.1784267265920292</v>
      </c>
      <c r="CN32" s="65">
        <f>('VoT3'!$F$33*'VoT5'!$J$40)/100</f>
        <v>1.652535676565674</v>
      </c>
      <c r="CO32" s="530">
        <f>('VoT3'!$F$33*'VoT5'!$J$41)/100</f>
        <v>10.369037596842293</v>
      </c>
      <c r="CP32" s="901">
        <f t="shared" si="7"/>
        <v>13.199999999999996</v>
      </c>
    </row>
    <row r="33" spans="2:94" ht="13.5" customHeight="1">
      <c r="B33" s="1225">
        <f t="shared" si="0"/>
        <v>5</v>
      </c>
      <c r="C33" s="535">
        <f t="shared" si="8"/>
        <v>2015</v>
      </c>
      <c r="D33" s="75">
        <f>((D$28-1)*((100+'VoT4'!$D$26)/100)^$B33) + 1</f>
        <v>1.1306546747898494</v>
      </c>
      <c r="E33" s="75">
        <f>((E$28-1)*((100+'VoT4'!$D$27)/100)^$B33) + 1</f>
        <v>1.1324142099550518</v>
      </c>
      <c r="F33" s="75">
        <f>((F$28-1)*((100+'VoT4'!$D$27)/100)^$B33) + 1</f>
        <v>1.7117149527604505</v>
      </c>
      <c r="G33" s="530">
        <f>((D33*'VoT5'!D$28)+(E33*'VoT5'!D$29)+('Forecast occupancies'!F33*'VoT5'!D$30))/100</f>
        <v>1.3608117390924901</v>
      </c>
      <c r="H33" s="65">
        <f>'VoT3'!$D$27</f>
        <v>1.2</v>
      </c>
      <c r="I33" s="65">
        <f>'VoT3'!$D$28</f>
        <v>1.46</v>
      </c>
      <c r="J33" s="530">
        <f>((H33*'VoT5'!$D$31)+(I33*'VoT5'!$D$32))/100</f>
        <v>1.2311999999999999</v>
      </c>
      <c r="K33" s="860">
        <f>'VoT3'!$D$30</f>
        <v>1</v>
      </c>
      <c r="L33" s="860">
        <f>'VoT3'!$D$31</f>
        <v>1</v>
      </c>
      <c r="M33" s="65">
        <f>('VoT3'!$D$33*'VoT5'!$D$39)/100 + 'VoT3'!$D$32</f>
        <v>1.168791653429633</v>
      </c>
      <c r="N33" s="65">
        <f>('VoT3'!$D$33*'VoT5'!$D$40)/100</f>
        <v>2.2491911578548542</v>
      </c>
      <c r="O33" s="530">
        <f>('VoT3'!$D$33*'VoT5'!$D$41)/100</f>
        <v>9.7820171887155141</v>
      </c>
      <c r="P33" s="531">
        <f t="shared" si="1"/>
        <v>13.200000000000001</v>
      </c>
      <c r="Q33" s="65">
        <f>((Q$28-1)*((100+'VoT4'!$E$26)/100)^$B33) +1</f>
        <v>1.1586074096289325</v>
      </c>
      <c r="R33" s="65">
        <f>((R$28-1)*((100+'VoT4'!$E$27)/100)^$B33) +1</f>
        <v>1.1508273706069019</v>
      </c>
      <c r="S33" s="65">
        <f>((S$28-1)*((100+'VoT4'!$E$27)/100)^$B33) +1</f>
        <v>1.823380766174084</v>
      </c>
      <c r="T33" s="530">
        <f>((Q33*'VoT5'!E$28)+(R33*'VoT5'!E$29)+('Forecast occupancies'!S33*'VoT5'!E$30))/100</f>
        <v>1.6344935826498272</v>
      </c>
      <c r="U33" s="65">
        <f>'VoT3'!$D$27</f>
        <v>1.2</v>
      </c>
      <c r="V33" s="65">
        <f>'VoT3'!$D$28</f>
        <v>1.46</v>
      </c>
      <c r="W33" s="530">
        <f>((U33*'VoT5'!$E$31)+(V33*'VoT5'!$E$32))/100</f>
        <v>1.2311999999999999</v>
      </c>
      <c r="X33" s="860">
        <f>'VoT3'!$D$30</f>
        <v>1</v>
      </c>
      <c r="Y33" s="860">
        <f>'VoT3'!$D$31</f>
        <v>1</v>
      </c>
      <c r="Z33" s="65">
        <f>('VoT3'!$D$33*'VoT5'!$E$39)/100 + 'VoT3'!$D$32</f>
        <v>1.2020901087398195</v>
      </c>
      <c r="AA33" s="65">
        <f>('VoT3'!$D$33*'VoT5'!$E$40)/100</f>
        <v>0.78826992816783981</v>
      </c>
      <c r="AB33" s="530">
        <f>('VoT3'!$D$33*'VoT5'!$E$41)/100</f>
        <v>11.209639963092341</v>
      </c>
      <c r="AC33" s="859">
        <f t="shared" si="2"/>
        <v>13.200000000000001</v>
      </c>
      <c r="AD33" s="65">
        <f>((AD$28-1)*((100+'VoT4'!$F$26)/100)^$B33) +1</f>
        <v>1.1469717467060276</v>
      </c>
      <c r="AE33" s="65">
        <f>((AE$28-1)*((100+'VoT4'!$F$27)/100)^$B33) +1</f>
        <v>1.1363203108454192</v>
      </c>
      <c r="AF33" s="65">
        <f>((AF$28-1)*((100+'VoT4'!$F$27)/100)^$B33) +1</f>
        <v>1.7925210409543946</v>
      </c>
      <c r="AG33" s="530">
        <f>((AD33*'VoT5'!F$28)+(AE33*'VoT5'!F$29)+('Forecast occupancies'!AF33*'VoT5'!F$30))/100</f>
        <v>1.4455150928444727</v>
      </c>
      <c r="AH33" s="65">
        <f>'VoT3'!$D$27</f>
        <v>1.2</v>
      </c>
      <c r="AI33" s="65">
        <f>'VoT3'!$D$28</f>
        <v>1.46</v>
      </c>
      <c r="AJ33" s="530">
        <f>((AH33*'VoT5'!$F$31)+(AI33*'VoT5'!$F$32))/100</f>
        <v>1.2311999999999999</v>
      </c>
      <c r="AK33" s="860">
        <f>'VoT3'!$D$30</f>
        <v>1</v>
      </c>
      <c r="AL33" s="530">
        <f>'VoT3'!$D$31</f>
        <v>1</v>
      </c>
      <c r="AM33" s="65">
        <f>('VoT3'!$D$33*'VoT5'!$F$39)/100 + 'VoT3'!$D$32</f>
        <v>1.2791444318533409</v>
      </c>
      <c r="AN33" s="65">
        <f>('VoT3'!$D$33*'VoT5'!$F$40)/100</f>
        <v>3.163211907560131</v>
      </c>
      <c r="AO33" s="530">
        <f>('VoT3'!$D$33*'VoT5'!$F$41)/100</f>
        <v>8.7576436605865258</v>
      </c>
      <c r="AP33" s="531">
        <f t="shared" si="3"/>
        <v>13.199999999999998</v>
      </c>
      <c r="AQ33" s="65">
        <f>((AQ$28-1)*((100+'VoT4'!$G$26)/100)^$B33) +1</f>
        <v>1.1686731657535445</v>
      </c>
      <c r="AR33" s="65">
        <f>((AR$28-1)*((100+'VoT4'!$G$27)/100)^$B33) +1</f>
        <v>1.1529514408135957</v>
      </c>
      <c r="AS33" s="65">
        <f>((AS$28-1)*((100+'VoT4'!$G$27)/100)^$B33) +1</f>
        <v>1.7861213477735842</v>
      </c>
      <c r="AT33" s="530">
        <f>((AQ33*'VoT5'!G$28)+(AR33*'VoT5'!G$29)+('Forecast occupancies'!AS33*'VoT5'!G$30))/100</f>
        <v>1.4625529734459999</v>
      </c>
      <c r="AU33" s="65">
        <f>'VoT3'!$D$27</f>
        <v>1.2</v>
      </c>
      <c r="AV33" s="65">
        <f>'VoT3'!$D$28</f>
        <v>1.46</v>
      </c>
      <c r="AW33" s="530">
        <f>((AU33*'VoT5'!$G$31)+(AV33*'VoT5'!$G$32))/100</f>
        <v>1.2311999999999999</v>
      </c>
      <c r="AX33" s="530">
        <f>'VoT3'!$D$30</f>
        <v>1</v>
      </c>
      <c r="AY33" s="860">
        <f>'VoT3'!$D$31</f>
        <v>1</v>
      </c>
      <c r="AZ33" s="65">
        <f>('VoT3'!$D$33*'VoT5'!$G$39)/100 + 'VoT3'!$D$32</f>
        <v>1.2777359179706231</v>
      </c>
      <c r="BA33" s="65">
        <f>('VoT3'!$D$33*'VoT5'!$G$40)/100</f>
        <v>4.3240321049185146</v>
      </c>
      <c r="BB33" s="530">
        <f>('VoT3'!$D$33*'VoT5'!$G$41)/100</f>
        <v>7.5982319771108608</v>
      </c>
      <c r="BC33" s="531">
        <f t="shared" si="4"/>
        <v>13.2</v>
      </c>
      <c r="BD33" s="65">
        <f>((BD$28-1)*((100+'VoT4'!$H$26)/100)^$B33) +1</f>
        <v>1.1490125418460642</v>
      </c>
      <c r="BE33" s="65">
        <f>((BE$28-1)*((100+'VoT4'!$H$27)/100)^$B33) +1</f>
        <v>1.1401838093663619</v>
      </c>
      <c r="BF33" s="65">
        <f>((BF$28-1)*((100+'VoT4'!$H$27)/100)^$B33) +1</f>
        <v>1.7905592337282852</v>
      </c>
      <c r="BG33" s="530">
        <f>((BD33*'VoT5'!H$28)+(BE33*'VoT5'!H$29)+('Forecast occupancies'!BF33*'VoT5'!H$30))/100</f>
        <v>1.4923153156000231</v>
      </c>
      <c r="BH33" s="65">
        <f>'VoT3'!$D$27</f>
        <v>1.2</v>
      </c>
      <c r="BI33" s="65">
        <f>'VoT3'!$D$28</f>
        <v>1.46</v>
      </c>
      <c r="BJ33" s="530">
        <f>((BH33*'VoT5'!$H$31)+(BI33*'VoT5'!$H$32))/100</f>
        <v>1.2311999999999999</v>
      </c>
      <c r="BK33" s="860">
        <f>'VoT3'!$D$30</f>
        <v>1</v>
      </c>
      <c r="BL33" s="860">
        <f>'VoT3'!$D$31</f>
        <v>1</v>
      </c>
      <c r="BM33" s="65">
        <f>('VoT3'!$D$33*'VoT5'!$H$39)/100 + 'VoT3'!$D$32</f>
        <v>1.2154161555382865</v>
      </c>
      <c r="BN33" s="65">
        <f>('VoT3'!$D$33*'VoT5'!$H$40)/100</f>
        <v>1.9520129541892906</v>
      </c>
      <c r="BO33" s="530">
        <f>('VoT3'!$D$33*'VoT5'!$H$41)/100</f>
        <v>10.032570890272423</v>
      </c>
      <c r="BP33" s="901">
        <f t="shared" si="5"/>
        <v>13.2</v>
      </c>
      <c r="BQ33" s="672">
        <f>((BQ$28-1)*((100+'VoT4'!$I$26)/100)^$B33) +1</f>
        <v>1.3131774973540897</v>
      </c>
      <c r="BR33" s="65">
        <f>((BR$28-1)*((100+'VoT4'!$I$27)/100)^$B33) +1</f>
        <v>1.2071718111863166</v>
      </c>
      <c r="BS33" s="65">
        <f>((BS$28-1)*((100+'VoT4'!$I$27)/100)^$B33) +1</f>
        <v>2.1200652963923514</v>
      </c>
      <c r="BT33" s="530">
        <f>((BQ33*'VoT5'!I$28)+(BR33*'VoT5'!I$29)+('Forecast occupancies'!BS33*'VoT5'!I$30))/100</f>
        <v>2.020025055906864</v>
      </c>
      <c r="BU33" s="65">
        <f>'VoT3'!$E$27</f>
        <v>1.26</v>
      </c>
      <c r="BV33" s="65">
        <f>'VoT3'!$E$28</f>
        <v>2.0299999999999998</v>
      </c>
      <c r="BW33" s="530">
        <f>((BU33*'VoT5'!$I$31)+(BV33*'VoT5'!$I$32))/100</f>
        <v>1.3524</v>
      </c>
      <c r="BX33" s="530">
        <f>'VoT3'!$E$30</f>
        <v>1</v>
      </c>
      <c r="BY33" s="860">
        <f>'VoT3'!$E$31</f>
        <v>1</v>
      </c>
      <c r="BZ33" s="65">
        <f>('VoT3'!$E$33*'VoT5'!$I$39)/100 + 'VoT3'!$E$32</f>
        <v>1.0656255420478047</v>
      </c>
      <c r="CA33" s="65">
        <f>('VoT3'!$E$33*'VoT5'!$I$40)/100</f>
        <v>0.73949783032666783</v>
      </c>
      <c r="CB33" s="530">
        <f>('VoT3'!$E$33*'VoT5'!$I$41)/100</f>
        <v>11.394876627625528</v>
      </c>
      <c r="CC33" s="901">
        <f t="shared" si="6"/>
        <v>13.200000000000001</v>
      </c>
      <c r="CD33" s="65">
        <f>((CD$28-1)*((100+'VoT4'!$J$26)/100)^$B33) +1</f>
        <v>1.1606654296250507</v>
      </c>
      <c r="CE33" s="65">
        <f>((CE$28-1)*((100+'VoT4'!$J$27)/100)^$B33) +1</f>
        <v>1.145603182870168</v>
      </c>
      <c r="CF33" s="65">
        <f>((CF$28-1)*((100+'VoT4'!$J$27)/100)^$B33) +1</f>
        <v>1.9068315187130187</v>
      </c>
      <c r="CG33" s="530">
        <f>((CD33*'VoT5'!J$28)+(CE33*'VoT5'!J$29)+('Forecast occupancies'!CF33*'VoT5'!J$30))/100</f>
        <v>1.6228231414717587</v>
      </c>
      <c r="CH33" s="65">
        <f>'VoT3'!$F$27</f>
        <v>1.2</v>
      </c>
      <c r="CI33" s="65">
        <f>'VoT3'!$F$28</f>
        <v>1.59</v>
      </c>
      <c r="CJ33" s="530">
        <f>((CH33*'VoT5'!$J$31)+(CI33*'VoT5'!$J$32))/100</f>
        <v>1.2467999999999999</v>
      </c>
      <c r="CK33" s="860">
        <f>'VoT3'!$F$30</f>
        <v>1</v>
      </c>
      <c r="CL33" s="860">
        <f>'VoT3'!$F$31</f>
        <v>1</v>
      </c>
      <c r="CM33" s="65">
        <f>('VoT3'!$F$33*'VoT5'!$J$39)/100 + 'VoT3'!$F$32</f>
        <v>1.1784267265920292</v>
      </c>
      <c r="CN33" s="65">
        <f>('VoT3'!$F$33*'VoT5'!$J$40)/100</f>
        <v>1.652535676565674</v>
      </c>
      <c r="CO33" s="530">
        <f>('VoT3'!$F$33*'VoT5'!$J$41)/100</f>
        <v>10.369037596842293</v>
      </c>
      <c r="CP33" s="901">
        <f t="shared" si="7"/>
        <v>13.199999999999996</v>
      </c>
    </row>
    <row r="34" spans="2:94" ht="13.5" customHeight="1">
      <c r="B34" s="1225">
        <f t="shared" si="0"/>
        <v>6</v>
      </c>
      <c r="C34" s="535">
        <f t="shared" si="8"/>
        <v>2016</v>
      </c>
      <c r="D34" s="75">
        <f>((D$28-1)*((100+'VoT4'!$D$26)/100)^$B34) + 1</f>
        <v>1.1306546747898494</v>
      </c>
      <c r="E34" s="75">
        <f>((E$28-1)*((100+'VoT4'!$D$27)/100)^$B34) + 1</f>
        <v>1.1324142099550518</v>
      </c>
      <c r="F34" s="75">
        <f>((F$28-1)*((100+'VoT4'!$D$27)/100)^$B34) + 1</f>
        <v>1.7117149527604505</v>
      </c>
      <c r="G34" s="530">
        <f>((D34*'VoT5'!D$28)+(E34*'VoT5'!D$29)+('Forecast occupancies'!F34*'VoT5'!D$30))/100</f>
        <v>1.3608117390924901</v>
      </c>
      <c r="H34" s="65">
        <f>'VoT3'!$D$27</f>
        <v>1.2</v>
      </c>
      <c r="I34" s="65">
        <f>'VoT3'!$D$28</f>
        <v>1.46</v>
      </c>
      <c r="J34" s="530">
        <f>((H34*'VoT5'!$D$31)+(I34*'VoT5'!$D$32))/100</f>
        <v>1.2311999999999999</v>
      </c>
      <c r="K34" s="860">
        <f>'VoT3'!$D$30</f>
        <v>1</v>
      </c>
      <c r="L34" s="860">
        <f>'VoT3'!$D$31</f>
        <v>1</v>
      </c>
      <c r="M34" s="65">
        <f>('VoT3'!$D$33*'VoT5'!$D$39)/100 + 'VoT3'!$D$32</f>
        <v>1.168791653429633</v>
      </c>
      <c r="N34" s="65">
        <f>('VoT3'!$D$33*'VoT5'!$D$40)/100</f>
        <v>2.2491911578548542</v>
      </c>
      <c r="O34" s="530">
        <f>('VoT3'!$D$33*'VoT5'!$D$41)/100</f>
        <v>9.7820171887155141</v>
      </c>
      <c r="P34" s="531">
        <f t="shared" si="1"/>
        <v>13.200000000000001</v>
      </c>
      <c r="Q34" s="65">
        <f>((Q$28-1)*((100+'VoT4'!$E$26)/100)^$B34) +1</f>
        <v>1.1586074096289325</v>
      </c>
      <c r="R34" s="65">
        <f>((R$28-1)*((100+'VoT4'!$E$27)/100)^$B34) +1</f>
        <v>1.1508273706069019</v>
      </c>
      <c r="S34" s="65">
        <f>((S$28-1)*((100+'VoT4'!$E$27)/100)^$B34) +1</f>
        <v>1.823380766174084</v>
      </c>
      <c r="T34" s="530">
        <f>((Q34*'VoT5'!E$28)+(R34*'VoT5'!E$29)+('Forecast occupancies'!S34*'VoT5'!E$30))/100</f>
        <v>1.6344935826498272</v>
      </c>
      <c r="U34" s="65">
        <f>'VoT3'!$D$27</f>
        <v>1.2</v>
      </c>
      <c r="V34" s="65">
        <f>'VoT3'!$D$28</f>
        <v>1.46</v>
      </c>
      <c r="W34" s="530">
        <f>((U34*'VoT5'!$E$31)+(V34*'VoT5'!$E$32))/100</f>
        <v>1.2311999999999999</v>
      </c>
      <c r="X34" s="860">
        <f>'VoT3'!$D$30</f>
        <v>1</v>
      </c>
      <c r="Y34" s="860">
        <f>'VoT3'!$D$31</f>
        <v>1</v>
      </c>
      <c r="Z34" s="65">
        <f>('VoT3'!$D$33*'VoT5'!$E$39)/100 + 'VoT3'!$D$32</f>
        <v>1.2020901087398195</v>
      </c>
      <c r="AA34" s="65">
        <f>('VoT3'!$D$33*'VoT5'!$E$40)/100</f>
        <v>0.78826992816783981</v>
      </c>
      <c r="AB34" s="530">
        <f>('VoT3'!$D$33*'VoT5'!$E$41)/100</f>
        <v>11.209639963092341</v>
      </c>
      <c r="AC34" s="859">
        <f t="shared" si="2"/>
        <v>13.200000000000001</v>
      </c>
      <c r="AD34" s="65">
        <f>((AD$28-1)*((100+'VoT4'!$F$26)/100)^$B34) +1</f>
        <v>1.1469717467060276</v>
      </c>
      <c r="AE34" s="65">
        <f>((AE$28-1)*((100+'VoT4'!$F$27)/100)^$B34) +1</f>
        <v>1.1363203108454192</v>
      </c>
      <c r="AF34" s="65">
        <f>((AF$28-1)*((100+'VoT4'!$F$27)/100)^$B34) +1</f>
        <v>1.7925210409543946</v>
      </c>
      <c r="AG34" s="530">
        <f>((AD34*'VoT5'!F$28)+(AE34*'VoT5'!F$29)+('Forecast occupancies'!AF34*'VoT5'!F$30))/100</f>
        <v>1.4455150928444727</v>
      </c>
      <c r="AH34" s="65">
        <f>'VoT3'!$D$27</f>
        <v>1.2</v>
      </c>
      <c r="AI34" s="65">
        <f>'VoT3'!$D$28</f>
        <v>1.46</v>
      </c>
      <c r="AJ34" s="530">
        <f>((AH34*'VoT5'!$F$31)+(AI34*'VoT5'!$F$32))/100</f>
        <v>1.2311999999999999</v>
      </c>
      <c r="AK34" s="860">
        <f>'VoT3'!$D$30</f>
        <v>1</v>
      </c>
      <c r="AL34" s="530">
        <f>'VoT3'!$D$31</f>
        <v>1</v>
      </c>
      <c r="AM34" s="65">
        <f>('VoT3'!$D$33*'VoT5'!$F$39)/100 + 'VoT3'!$D$32</f>
        <v>1.2791444318533409</v>
      </c>
      <c r="AN34" s="65">
        <f>('VoT3'!$D$33*'VoT5'!$F$40)/100</f>
        <v>3.163211907560131</v>
      </c>
      <c r="AO34" s="530">
        <f>('VoT3'!$D$33*'VoT5'!$F$41)/100</f>
        <v>8.7576436605865258</v>
      </c>
      <c r="AP34" s="531">
        <f t="shared" si="3"/>
        <v>13.199999999999998</v>
      </c>
      <c r="AQ34" s="65">
        <f>((AQ$28-1)*((100+'VoT4'!$G$26)/100)^$B34) +1</f>
        <v>1.1686731657535445</v>
      </c>
      <c r="AR34" s="65">
        <f>((AR$28-1)*((100+'VoT4'!$G$27)/100)^$B34) +1</f>
        <v>1.1529514408135957</v>
      </c>
      <c r="AS34" s="65">
        <f>((AS$28-1)*((100+'VoT4'!$G$27)/100)^$B34) +1</f>
        <v>1.7861213477735842</v>
      </c>
      <c r="AT34" s="530">
        <f>((AQ34*'VoT5'!G$28)+(AR34*'VoT5'!G$29)+('Forecast occupancies'!AS34*'VoT5'!G$30))/100</f>
        <v>1.4625529734459999</v>
      </c>
      <c r="AU34" s="65">
        <f>'VoT3'!$D$27</f>
        <v>1.2</v>
      </c>
      <c r="AV34" s="65">
        <f>'VoT3'!$D$28</f>
        <v>1.46</v>
      </c>
      <c r="AW34" s="530">
        <f>((AU34*'VoT5'!$G$31)+(AV34*'VoT5'!$G$32))/100</f>
        <v>1.2311999999999999</v>
      </c>
      <c r="AX34" s="530">
        <f>'VoT3'!$D$30</f>
        <v>1</v>
      </c>
      <c r="AY34" s="860">
        <f>'VoT3'!$D$31</f>
        <v>1</v>
      </c>
      <c r="AZ34" s="65">
        <f>('VoT3'!$D$33*'VoT5'!$G$39)/100 + 'VoT3'!$D$32</f>
        <v>1.2777359179706231</v>
      </c>
      <c r="BA34" s="65">
        <f>('VoT3'!$D$33*'VoT5'!$G$40)/100</f>
        <v>4.3240321049185146</v>
      </c>
      <c r="BB34" s="530">
        <f>('VoT3'!$D$33*'VoT5'!$G$41)/100</f>
        <v>7.5982319771108608</v>
      </c>
      <c r="BC34" s="531">
        <f t="shared" si="4"/>
        <v>13.2</v>
      </c>
      <c r="BD34" s="65">
        <f>((BD$28-1)*((100+'VoT4'!$H$26)/100)^$B34) +1</f>
        <v>1.1490125418460642</v>
      </c>
      <c r="BE34" s="65">
        <f>((BE$28-1)*((100+'VoT4'!$H$27)/100)^$B34) +1</f>
        <v>1.1401838093663619</v>
      </c>
      <c r="BF34" s="65">
        <f>((BF$28-1)*((100+'VoT4'!$H$27)/100)^$B34) +1</f>
        <v>1.7905592337282852</v>
      </c>
      <c r="BG34" s="530">
        <f>((BD34*'VoT5'!H$28)+(BE34*'VoT5'!H$29)+('Forecast occupancies'!BF34*'VoT5'!H$30))/100</f>
        <v>1.4923153156000231</v>
      </c>
      <c r="BH34" s="65">
        <f>'VoT3'!$D$27</f>
        <v>1.2</v>
      </c>
      <c r="BI34" s="65">
        <f>'VoT3'!$D$28</f>
        <v>1.46</v>
      </c>
      <c r="BJ34" s="530">
        <f>((BH34*'VoT5'!$H$31)+(BI34*'VoT5'!$H$32))/100</f>
        <v>1.2311999999999999</v>
      </c>
      <c r="BK34" s="860">
        <f>'VoT3'!$D$30</f>
        <v>1</v>
      </c>
      <c r="BL34" s="860">
        <f>'VoT3'!$D$31</f>
        <v>1</v>
      </c>
      <c r="BM34" s="65">
        <f>('VoT3'!$D$33*'VoT5'!$H$39)/100 + 'VoT3'!$D$32</f>
        <v>1.2154161555382865</v>
      </c>
      <c r="BN34" s="65">
        <f>('VoT3'!$D$33*'VoT5'!$H$40)/100</f>
        <v>1.9520129541892906</v>
      </c>
      <c r="BO34" s="530">
        <f>('VoT3'!$D$33*'VoT5'!$H$41)/100</f>
        <v>10.032570890272423</v>
      </c>
      <c r="BP34" s="901">
        <f t="shared" si="5"/>
        <v>13.2</v>
      </c>
      <c r="BQ34" s="672">
        <f>((BQ$28-1)*((100+'VoT4'!$I$26)/100)^$B34) +1</f>
        <v>1.3131774973540897</v>
      </c>
      <c r="BR34" s="65">
        <f>((BR$28-1)*((100+'VoT4'!$I$27)/100)^$B34) +1</f>
        <v>1.2071718111863166</v>
      </c>
      <c r="BS34" s="65">
        <f>((BS$28-1)*((100+'VoT4'!$I$27)/100)^$B34) +1</f>
        <v>2.1200652963923514</v>
      </c>
      <c r="BT34" s="530">
        <f>((BQ34*'VoT5'!I$28)+(BR34*'VoT5'!I$29)+('Forecast occupancies'!BS34*'VoT5'!I$30))/100</f>
        <v>2.020025055906864</v>
      </c>
      <c r="BU34" s="65">
        <f>'VoT3'!$E$27</f>
        <v>1.26</v>
      </c>
      <c r="BV34" s="65">
        <f>'VoT3'!$E$28</f>
        <v>2.0299999999999998</v>
      </c>
      <c r="BW34" s="530">
        <f>((BU34*'VoT5'!$I$31)+(BV34*'VoT5'!$I$32))/100</f>
        <v>1.3524</v>
      </c>
      <c r="BX34" s="530">
        <f>'VoT3'!$E$30</f>
        <v>1</v>
      </c>
      <c r="BY34" s="860">
        <f>'VoT3'!$E$31</f>
        <v>1</v>
      </c>
      <c r="BZ34" s="65">
        <f>('VoT3'!$E$33*'VoT5'!$I$39)/100 + 'VoT3'!$E$32</f>
        <v>1.0656255420478047</v>
      </c>
      <c r="CA34" s="65">
        <f>('VoT3'!$E$33*'VoT5'!$I$40)/100</f>
        <v>0.73949783032666783</v>
      </c>
      <c r="CB34" s="530">
        <f>('VoT3'!$E$33*'VoT5'!$I$41)/100</f>
        <v>11.394876627625528</v>
      </c>
      <c r="CC34" s="901">
        <f t="shared" si="6"/>
        <v>13.200000000000001</v>
      </c>
      <c r="CD34" s="65">
        <f>((CD$28-1)*((100+'VoT4'!$J$26)/100)^$B34) +1</f>
        <v>1.1606654296250507</v>
      </c>
      <c r="CE34" s="65">
        <f>((CE$28-1)*((100+'VoT4'!$J$27)/100)^$B34) +1</f>
        <v>1.145603182870168</v>
      </c>
      <c r="CF34" s="65">
        <f>((CF$28-1)*((100+'VoT4'!$J$27)/100)^$B34) +1</f>
        <v>1.9068315187130187</v>
      </c>
      <c r="CG34" s="530">
        <f>((CD34*'VoT5'!J$28)+(CE34*'VoT5'!J$29)+('Forecast occupancies'!CF34*'VoT5'!J$30))/100</f>
        <v>1.6228231414717587</v>
      </c>
      <c r="CH34" s="65">
        <f>'VoT3'!$F$27</f>
        <v>1.2</v>
      </c>
      <c r="CI34" s="65">
        <f>'VoT3'!$F$28</f>
        <v>1.59</v>
      </c>
      <c r="CJ34" s="530">
        <f>((CH34*'VoT5'!$J$31)+(CI34*'VoT5'!$J$32))/100</f>
        <v>1.2467999999999999</v>
      </c>
      <c r="CK34" s="860">
        <f>'VoT3'!$F$30</f>
        <v>1</v>
      </c>
      <c r="CL34" s="860">
        <f>'VoT3'!$F$31</f>
        <v>1</v>
      </c>
      <c r="CM34" s="65">
        <f>('VoT3'!$F$33*'VoT5'!$J$39)/100 + 'VoT3'!$F$32</f>
        <v>1.1784267265920292</v>
      </c>
      <c r="CN34" s="65">
        <f>('VoT3'!$F$33*'VoT5'!$J$40)/100</f>
        <v>1.652535676565674</v>
      </c>
      <c r="CO34" s="530">
        <f>('VoT3'!$F$33*'VoT5'!$J$41)/100</f>
        <v>10.369037596842293</v>
      </c>
      <c r="CP34" s="901">
        <f t="shared" si="7"/>
        <v>13.199999999999996</v>
      </c>
    </row>
    <row r="35" spans="2:94" ht="13.5" customHeight="1">
      <c r="B35" s="1225">
        <f t="shared" si="0"/>
        <v>7</v>
      </c>
      <c r="C35" s="535">
        <f t="shared" si="8"/>
        <v>2017</v>
      </c>
      <c r="D35" s="75">
        <f>((D$28-1)*((100+'VoT4'!$D$26)/100)^$B35) + 1</f>
        <v>1.1306546747898494</v>
      </c>
      <c r="E35" s="75">
        <f>((E$28-1)*((100+'VoT4'!$D$27)/100)^$B35) + 1</f>
        <v>1.1324142099550518</v>
      </c>
      <c r="F35" s="75">
        <f>((F$28-1)*((100+'VoT4'!$D$27)/100)^$B35) + 1</f>
        <v>1.7117149527604505</v>
      </c>
      <c r="G35" s="530">
        <f>((D35*'VoT5'!D$28)+(E35*'VoT5'!D$29)+('Forecast occupancies'!F35*'VoT5'!D$30))/100</f>
        <v>1.3608117390924901</v>
      </c>
      <c r="H35" s="65">
        <f>'VoT3'!$D$27</f>
        <v>1.2</v>
      </c>
      <c r="I35" s="65">
        <f>'VoT3'!$D$28</f>
        <v>1.46</v>
      </c>
      <c r="J35" s="530">
        <f>((H35*'VoT5'!$D$31)+(I35*'VoT5'!$D$32))/100</f>
        <v>1.2311999999999999</v>
      </c>
      <c r="K35" s="860">
        <f>'VoT3'!$D$30</f>
        <v>1</v>
      </c>
      <c r="L35" s="860">
        <f>'VoT3'!$D$31</f>
        <v>1</v>
      </c>
      <c r="M35" s="65">
        <f>('VoT3'!$D$33*'VoT5'!$D$39)/100 + 'VoT3'!$D$32</f>
        <v>1.168791653429633</v>
      </c>
      <c r="N35" s="65">
        <f>('VoT3'!$D$33*'VoT5'!$D$40)/100</f>
        <v>2.2491911578548542</v>
      </c>
      <c r="O35" s="530">
        <f>('VoT3'!$D$33*'VoT5'!$D$41)/100</f>
        <v>9.7820171887155141</v>
      </c>
      <c r="P35" s="531">
        <f t="shared" si="1"/>
        <v>13.200000000000001</v>
      </c>
      <c r="Q35" s="65">
        <f>((Q$28-1)*((100+'VoT4'!$E$26)/100)^$B35) +1</f>
        <v>1.1586074096289325</v>
      </c>
      <c r="R35" s="65">
        <f>((R$28-1)*((100+'VoT4'!$E$27)/100)^$B35) +1</f>
        <v>1.1508273706069019</v>
      </c>
      <c r="S35" s="65">
        <f>((S$28-1)*((100+'VoT4'!$E$27)/100)^$B35) +1</f>
        <v>1.823380766174084</v>
      </c>
      <c r="T35" s="530">
        <f>((Q35*'VoT5'!E$28)+(R35*'VoT5'!E$29)+('Forecast occupancies'!S35*'VoT5'!E$30))/100</f>
        <v>1.6344935826498272</v>
      </c>
      <c r="U35" s="65">
        <f>'VoT3'!$D$27</f>
        <v>1.2</v>
      </c>
      <c r="V35" s="65">
        <f>'VoT3'!$D$28</f>
        <v>1.46</v>
      </c>
      <c r="W35" s="530">
        <f>((U35*'VoT5'!$E$31)+(V35*'VoT5'!$E$32))/100</f>
        <v>1.2311999999999999</v>
      </c>
      <c r="X35" s="860">
        <f>'VoT3'!$D$30</f>
        <v>1</v>
      </c>
      <c r="Y35" s="860">
        <f>'VoT3'!$D$31</f>
        <v>1</v>
      </c>
      <c r="Z35" s="65">
        <f>('VoT3'!$D$33*'VoT5'!$E$39)/100 + 'VoT3'!$D$32</f>
        <v>1.2020901087398195</v>
      </c>
      <c r="AA35" s="65">
        <f>('VoT3'!$D$33*'VoT5'!$E$40)/100</f>
        <v>0.78826992816783981</v>
      </c>
      <c r="AB35" s="530">
        <f>('VoT3'!$D$33*'VoT5'!$E$41)/100</f>
        <v>11.209639963092341</v>
      </c>
      <c r="AC35" s="859">
        <f t="shared" si="2"/>
        <v>13.200000000000001</v>
      </c>
      <c r="AD35" s="65">
        <f>((AD$28-1)*((100+'VoT4'!$F$26)/100)^$B35) +1</f>
        <v>1.1469717467060276</v>
      </c>
      <c r="AE35" s="65">
        <f>((AE$28-1)*((100+'VoT4'!$F$27)/100)^$B35) +1</f>
        <v>1.1363203108454192</v>
      </c>
      <c r="AF35" s="65">
        <f>((AF$28-1)*((100+'VoT4'!$F$27)/100)^$B35) +1</f>
        <v>1.7925210409543946</v>
      </c>
      <c r="AG35" s="530">
        <f>((AD35*'VoT5'!F$28)+(AE35*'VoT5'!F$29)+('Forecast occupancies'!AF35*'VoT5'!F$30))/100</f>
        <v>1.4455150928444727</v>
      </c>
      <c r="AH35" s="65">
        <f>'VoT3'!$D$27</f>
        <v>1.2</v>
      </c>
      <c r="AI35" s="65">
        <f>'VoT3'!$D$28</f>
        <v>1.46</v>
      </c>
      <c r="AJ35" s="530">
        <f>((AH35*'VoT5'!$F$31)+(AI35*'VoT5'!$F$32))/100</f>
        <v>1.2311999999999999</v>
      </c>
      <c r="AK35" s="860">
        <f>'VoT3'!$D$30</f>
        <v>1</v>
      </c>
      <c r="AL35" s="530">
        <f>'VoT3'!$D$31</f>
        <v>1</v>
      </c>
      <c r="AM35" s="65">
        <f>('VoT3'!$D$33*'VoT5'!$F$39)/100 + 'VoT3'!$D$32</f>
        <v>1.2791444318533409</v>
      </c>
      <c r="AN35" s="65">
        <f>('VoT3'!$D$33*'VoT5'!$F$40)/100</f>
        <v>3.163211907560131</v>
      </c>
      <c r="AO35" s="530">
        <f>('VoT3'!$D$33*'VoT5'!$F$41)/100</f>
        <v>8.7576436605865258</v>
      </c>
      <c r="AP35" s="531">
        <f t="shared" si="3"/>
        <v>13.199999999999998</v>
      </c>
      <c r="AQ35" s="65">
        <f>((AQ$28-1)*((100+'VoT4'!$G$26)/100)^$B35) +1</f>
        <v>1.1686731657535445</v>
      </c>
      <c r="AR35" s="65">
        <f>((AR$28-1)*((100+'VoT4'!$G$27)/100)^$B35) +1</f>
        <v>1.1529514408135957</v>
      </c>
      <c r="AS35" s="65">
        <f>((AS$28-1)*((100+'VoT4'!$G$27)/100)^$B35) +1</f>
        <v>1.7861213477735842</v>
      </c>
      <c r="AT35" s="530">
        <f>((AQ35*'VoT5'!G$28)+(AR35*'VoT5'!G$29)+('Forecast occupancies'!AS35*'VoT5'!G$30))/100</f>
        <v>1.4625529734459999</v>
      </c>
      <c r="AU35" s="65">
        <f>'VoT3'!$D$27</f>
        <v>1.2</v>
      </c>
      <c r="AV35" s="65">
        <f>'VoT3'!$D$28</f>
        <v>1.46</v>
      </c>
      <c r="AW35" s="530">
        <f>((AU35*'VoT5'!$G$31)+(AV35*'VoT5'!$G$32))/100</f>
        <v>1.2311999999999999</v>
      </c>
      <c r="AX35" s="530">
        <f>'VoT3'!$D$30</f>
        <v>1</v>
      </c>
      <c r="AY35" s="860">
        <f>'VoT3'!$D$31</f>
        <v>1</v>
      </c>
      <c r="AZ35" s="65">
        <f>('VoT3'!$D$33*'VoT5'!$G$39)/100 + 'VoT3'!$D$32</f>
        <v>1.2777359179706231</v>
      </c>
      <c r="BA35" s="65">
        <f>('VoT3'!$D$33*'VoT5'!$G$40)/100</f>
        <v>4.3240321049185146</v>
      </c>
      <c r="BB35" s="530">
        <f>('VoT3'!$D$33*'VoT5'!$G$41)/100</f>
        <v>7.5982319771108608</v>
      </c>
      <c r="BC35" s="531">
        <f t="shared" si="4"/>
        <v>13.2</v>
      </c>
      <c r="BD35" s="65">
        <f>((BD$28-1)*((100+'VoT4'!$H$26)/100)^$B35) +1</f>
        <v>1.1490125418460642</v>
      </c>
      <c r="BE35" s="65">
        <f>((BE$28-1)*((100+'VoT4'!$H$27)/100)^$B35) +1</f>
        <v>1.1401838093663619</v>
      </c>
      <c r="BF35" s="65">
        <f>((BF$28-1)*((100+'VoT4'!$H$27)/100)^$B35) +1</f>
        <v>1.7905592337282852</v>
      </c>
      <c r="BG35" s="530">
        <f>((BD35*'VoT5'!H$28)+(BE35*'VoT5'!H$29)+('Forecast occupancies'!BF35*'VoT5'!H$30))/100</f>
        <v>1.4923153156000231</v>
      </c>
      <c r="BH35" s="65">
        <f>'VoT3'!$D$27</f>
        <v>1.2</v>
      </c>
      <c r="BI35" s="65">
        <f>'VoT3'!$D$28</f>
        <v>1.46</v>
      </c>
      <c r="BJ35" s="530">
        <f>((BH35*'VoT5'!$H$31)+(BI35*'VoT5'!$H$32))/100</f>
        <v>1.2311999999999999</v>
      </c>
      <c r="BK35" s="860">
        <f>'VoT3'!$D$30</f>
        <v>1</v>
      </c>
      <c r="BL35" s="860">
        <f>'VoT3'!$D$31</f>
        <v>1</v>
      </c>
      <c r="BM35" s="65">
        <f>('VoT3'!$D$33*'VoT5'!$H$39)/100 + 'VoT3'!$D$32</f>
        <v>1.2154161555382865</v>
      </c>
      <c r="BN35" s="65">
        <f>('VoT3'!$D$33*'VoT5'!$H$40)/100</f>
        <v>1.9520129541892906</v>
      </c>
      <c r="BO35" s="530">
        <f>('VoT3'!$D$33*'VoT5'!$H$41)/100</f>
        <v>10.032570890272423</v>
      </c>
      <c r="BP35" s="901">
        <f t="shared" si="5"/>
        <v>13.2</v>
      </c>
      <c r="BQ35" s="672">
        <f>((BQ$28-1)*((100+'VoT4'!$I$26)/100)^$B35) +1</f>
        <v>1.3131774973540897</v>
      </c>
      <c r="BR35" s="65">
        <f>((BR$28-1)*((100+'VoT4'!$I$27)/100)^$B35) +1</f>
        <v>1.2071718111863166</v>
      </c>
      <c r="BS35" s="65">
        <f>((BS$28-1)*((100+'VoT4'!$I$27)/100)^$B35) +1</f>
        <v>2.1200652963923514</v>
      </c>
      <c r="BT35" s="530">
        <f>((BQ35*'VoT5'!I$28)+(BR35*'VoT5'!I$29)+('Forecast occupancies'!BS35*'VoT5'!I$30))/100</f>
        <v>2.020025055906864</v>
      </c>
      <c r="BU35" s="65">
        <f>'VoT3'!$E$27</f>
        <v>1.26</v>
      </c>
      <c r="BV35" s="65">
        <f>'VoT3'!$E$28</f>
        <v>2.0299999999999998</v>
      </c>
      <c r="BW35" s="530">
        <f>((BU35*'VoT5'!$I$31)+(BV35*'VoT5'!$I$32))/100</f>
        <v>1.3524</v>
      </c>
      <c r="BX35" s="530">
        <f>'VoT3'!$E$30</f>
        <v>1</v>
      </c>
      <c r="BY35" s="860">
        <f>'VoT3'!$E$31</f>
        <v>1</v>
      </c>
      <c r="BZ35" s="65">
        <f>('VoT3'!$E$33*'VoT5'!$I$39)/100 + 'VoT3'!$E$32</f>
        <v>1.0656255420478047</v>
      </c>
      <c r="CA35" s="65">
        <f>('VoT3'!$E$33*'VoT5'!$I$40)/100</f>
        <v>0.73949783032666783</v>
      </c>
      <c r="CB35" s="530">
        <f>('VoT3'!$E$33*'VoT5'!$I$41)/100</f>
        <v>11.394876627625528</v>
      </c>
      <c r="CC35" s="901">
        <f t="shared" si="6"/>
        <v>13.200000000000001</v>
      </c>
      <c r="CD35" s="65">
        <f>((CD$28-1)*((100+'VoT4'!$J$26)/100)^$B35) +1</f>
        <v>1.1606654296250507</v>
      </c>
      <c r="CE35" s="65">
        <f>((CE$28-1)*((100+'VoT4'!$J$27)/100)^$B35) +1</f>
        <v>1.145603182870168</v>
      </c>
      <c r="CF35" s="65">
        <f>((CF$28-1)*((100+'VoT4'!$J$27)/100)^$B35) +1</f>
        <v>1.9068315187130187</v>
      </c>
      <c r="CG35" s="530">
        <f>((CD35*'VoT5'!J$28)+(CE35*'VoT5'!J$29)+('Forecast occupancies'!CF35*'VoT5'!J$30))/100</f>
        <v>1.6228231414717587</v>
      </c>
      <c r="CH35" s="65">
        <f>'VoT3'!$F$27</f>
        <v>1.2</v>
      </c>
      <c r="CI35" s="65">
        <f>'VoT3'!$F$28</f>
        <v>1.59</v>
      </c>
      <c r="CJ35" s="530">
        <f>((CH35*'VoT5'!$J$31)+(CI35*'VoT5'!$J$32))/100</f>
        <v>1.2467999999999999</v>
      </c>
      <c r="CK35" s="860">
        <f>'VoT3'!$F$30</f>
        <v>1</v>
      </c>
      <c r="CL35" s="860">
        <f>'VoT3'!$F$31</f>
        <v>1</v>
      </c>
      <c r="CM35" s="65">
        <f>('VoT3'!$F$33*'VoT5'!$J$39)/100 + 'VoT3'!$F$32</f>
        <v>1.1784267265920292</v>
      </c>
      <c r="CN35" s="65">
        <f>('VoT3'!$F$33*'VoT5'!$J$40)/100</f>
        <v>1.652535676565674</v>
      </c>
      <c r="CO35" s="530">
        <f>('VoT3'!$F$33*'VoT5'!$J$41)/100</f>
        <v>10.369037596842293</v>
      </c>
      <c r="CP35" s="901">
        <f t="shared" si="7"/>
        <v>13.199999999999996</v>
      </c>
    </row>
    <row r="36" spans="2:94" ht="13.5" customHeight="1">
      <c r="B36" s="1225">
        <f t="shared" si="0"/>
        <v>8</v>
      </c>
      <c r="C36" s="535">
        <f t="shared" si="8"/>
        <v>2018</v>
      </c>
      <c r="D36" s="75">
        <f>((D$28-1)*((100+'VoT4'!$D$26)/100)^$B36) + 1</f>
        <v>1.1306546747898494</v>
      </c>
      <c r="E36" s="75">
        <f>((E$28-1)*((100+'VoT4'!$D$27)/100)^$B36) + 1</f>
        <v>1.1324142099550518</v>
      </c>
      <c r="F36" s="75">
        <f>((F$28-1)*((100+'VoT4'!$D$27)/100)^$B36) + 1</f>
        <v>1.7117149527604505</v>
      </c>
      <c r="G36" s="530">
        <f>((D36*'VoT5'!D$28)+(E36*'VoT5'!D$29)+('Forecast occupancies'!F36*'VoT5'!D$30))/100</f>
        <v>1.3608117390924901</v>
      </c>
      <c r="H36" s="65">
        <f>'VoT3'!$D$27</f>
        <v>1.2</v>
      </c>
      <c r="I36" s="65">
        <f>'VoT3'!$D$28</f>
        <v>1.46</v>
      </c>
      <c r="J36" s="530">
        <f>((H36*'VoT5'!$D$31)+(I36*'VoT5'!$D$32))/100</f>
        <v>1.2311999999999999</v>
      </c>
      <c r="K36" s="860">
        <f>'VoT3'!$D$30</f>
        <v>1</v>
      </c>
      <c r="L36" s="860">
        <f>'VoT3'!$D$31</f>
        <v>1</v>
      </c>
      <c r="M36" s="65">
        <f>('VoT3'!$D$33*'VoT5'!$D$39)/100 + 'VoT3'!$D$32</f>
        <v>1.168791653429633</v>
      </c>
      <c r="N36" s="65">
        <f>('VoT3'!$D$33*'VoT5'!$D$40)/100</f>
        <v>2.2491911578548542</v>
      </c>
      <c r="O36" s="530">
        <f>('VoT3'!$D$33*'VoT5'!$D$41)/100</f>
        <v>9.7820171887155141</v>
      </c>
      <c r="P36" s="531">
        <f t="shared" si="1"/>
        <v>13.200000000000001</v>
      </c>
      <c r="Q36" s="65">
        <f>((Q$28-1)*((100+'VoT4'!$E$26)/100)^$B36) +1</f>
        <v>1.1586074096289325</v>
      </c>
      <c r="R36" s="65">
        <f>((R$28-1)*((100+'VoT4'!$E$27)/100)^$B36) +1</f>
        <v>1.1508273706069019</v>
      </c>
      <c r="S36" s="65">
        <f>((S$28-1)*((100+'VoT4'!$E$27)/100)^$B36) +1</f>
        <v>1.823380766174084</v>
      </c>
      <c r="T36" s="530">
        <f>((Q36*'VoT5'!E$28)+(R36*'VoT5'!E$29)+('Forecast occupancies'!S36*'VoT5'!E$30))/100</f>
        <v>1.6344935826498272</v>
      </c>
      <c r="U36" s="65">
        <f>'VoT3'!$D$27</f>
        <v>1.2</v>
      </c>
      <c r="V36" s="65">
        <f>'VoT3'!$D$28</f>
        <v>1.46</v>
      </c>
      <c r="W36" s="530">
        <f>((U36*'VoT5'!$E$31)+(V36*'VoT5'!$E$32))/100</f>
        <v>1.2311999999999999</v>
      </c>
      <c r="X36" s="860">
        <f>'VoT3'!$D$30</f>
        <v>1</v>
      </c>
      <c r="Y36" s="860">
        <f>'VoT3'!$D$31</f>
        <v>1</v>
      </c>
      <c r="Z36" s="65">
        <f>('VoT3'!$D$33*'VoT5'!$E$39)/100 + 'VoT3'!$D$32</f>
        <v>1.2020901087398195</v>
      </c>
      <c r="AA36" s="65">
        <f>('VoT3'!$D$33*'VoT5'!$E$40)/100</f>
        <v>0.78826992816783981</v>
      </c>
      <c r="AB36" s="530">
        <f>('VoT3'!$D$33*'VoT5'!$E$41)/100</f>
        <v>11.209639963092341</v>
      </c>
      <c r="AC36" s="859">
        <f t="shared" si="2"/>
        <v>13.200000000000001</v>
      </c>
      <c r="AD36" s="65">
        <f>((AD$28-1)*((100+'VoT4'!$F$26)/100)^$B36) +1</f>
        <v>1.1469717467060276</v>
      </c>
      <c r="AE36" s="65">
        <f>((AE$28-1)*((100+'VoT4'!$F$27)/100)^$B36) +1</f>
        <v>1.1363203108454192</v>
      </c>
      <c r="AF36" s="65">
        <f>((AF$28-1)*((100+'VoT4'!$F$27)/100)^$B36) +1</f>
        <v>1.7925210409543946</v>
      </c>
      <c r="AG36" s="530">
        <f>((AD36*'VoT5'!F$28)+(AE36*'VoT5'!F$29)+('Forecast occupancies'!AF36*'VoT5'!F$30))/100</f>
        <v>1.4455150928444727</v>
      </c>
      <c r="AH36" s="65">
        <f>'VoT3'!$D$27</f>
        <v>1.2</v>
      </c>
      <c r="AI36" s="65">
        <f>'VoT3'!$D$28</f>
        <v>1.46</v>
      </c>
      <c r="AJ36" s="530">
        <f>((AH36*'VoT5'!$F$31)+(AI36*'VoT5'!$F$32))/100</f>
        <v>1.2311999999999999</v>
      </c>
      <c r="AK36" s="860">
        <f>'VoT3'!$D$30</f>
        <v>1</v>
      </c>
      <c r="AL36" s="530">
        <f>'VoT3'!$D$31</f>
        <v>1</v>
      </c>
      <c r="AM36" s="65">
        <f>('VoT3'!$D$33*'VoT5'!$F$39)/100 + 'VoT3'!$D$32</f>
        <v>1.2791444318533409</v>
      </c>
      <c r="AN36" s="65">
        <f>('VoT3'!$D$33*'VoT5'!$F$40)/100</f>
        <v>3.163211907560131</v>
      </c>
      <c r="AO36" s="530">
        <f>('VoT3'!$D$33*'VoT5'!$F$41)/100</f>
        <v>8.7576436605865258</v>
      </c>
      <c r="AP36" s="531">
        <f t="shared" si="3"/>
        <v>13.199999999999998</v>
      </c>
      <c r="AQ36" s="65">
        <f>((AQ$28-1)*((100+'VoT4'!$G$26)/100)^$B36) +1</f>
        <v>1.1686731657535445</v>
      </c>
      <c r="AR36" s="65">
        <f>((AR$28-1)*((100+'VoT4'!$G$27)/100)^$B36) +1</f>
        <v>1.1529514408135957</v>
      </c>
      <c r="AS36" s="65">
        <f>((AS$28-1)*((100+'VoT4'!$G$27)/100)^$B36) +1</f>
        <v>1.7861213477735842</v>
      </c>
      <c r="AT36" s="530">
        <f>((AQ36*'VoT5'!G$28)+(AR36*'VoT5'!G$29)+('Forecast occupancies'!AS36*'VoT5'!G$30))/100</f>
        <v>1.4625529734459999</v>
      </c>
      <c r="AU36" s="65">
        <f>'VoT3'!$D$27</f>
        <v>1.2</v>
      </c>
      <c r="AV36" s="65">
        <f>'VoT3'!$D$28</f>
        <v>1.46</v>
      </c>
      <c r="AW36" s="530">
        <f>((AU36*'VoT5'!$G$31)+(AV36*'VoT5'!$G$32))/100</f>
        <v>1.2311999999999999</v>
      </c>
      <c r="AX36" s="530">
        <f>'VoT3'!$D$30</f>
        <v>1</v>
      </c>
      <c r="AY36" s="860">
        <f>'VoT3'!$D$31</f>
        <v>1</v>
      </c>
      <c r="AZ36" s="65">
        <f>('VoT3'!$D$33*'VoT5'!$G$39)/100 + 'VoT3'!$D$32</f>
        <v>1.2777359179706231</v>
      </c>
      <c r="BA36" s="65">
        <f>('VoT3'!$D$33*'VoT5'!$G$40)/100</f>
        <v>4.3240321049185146</v>
      </c>
      <c r="BB36" s="530">
        <f>('VoT3'!$D$33*'VoT5'!$G$41)/100</f>
        <v>7.5982319771108608</v>
      </c>
      <c r="BC36" s="531">
        <f t="shared" si="4"/>
        <v>13.2</v>
      </c>
      <c r="BD36" s="65">
        <f>((BD$28-1)*((100+'VoT4'!$H$26)/100)^$B36) +1</f>
        <v>1.1490125418460642</v>
      </c>
      <c r="BE36" s="65">
        <f>((BE$28-1)*((100+'VoT4'!$H$27)/100)^$B36) +1</f>
        <v>1.1401838093663619</v>
      </c>
      <c r="BF36" s="65">
        <f>((BF$28-1)*((100+'VoT4'!$H$27)/100)^$B36) +1</f>
        <v>1.7905592337282852</v>
      </c>
      <c r="BG36" s="530">
        <f>((BD36*'VoT5'!H$28)+(BE36*'VoT5'!H$29)+('Forecast occupancies'!BF36*'VoT5'!H$30))/100</f>
        <v>1.4923153156000231</v>
      </c>
      <c r="BH36" s="65">
        <f>'VoT3'!$D$27</f>
        <v>1.2</v>
      </c>
      <c r="BI36" s="65">
        <f>'VoT3'!$D$28</f>
        <v>1.46</v>
      </c>
      <c r="BJ36" s="530">
        <f>((BH36*'VoT5'!$H$31)+(BI36*'VoT5'!$H$32))/100</f>
        <v>1.2311999999999999</v>
      </c>
      <c r="BK36" s="860">
        <f>'VoT3'!$D$30</f>
        <v>1</v>
      </c>
      <c r="BL36" s="860">
        <f>'VoT3'!$D$31</f>
        <v>1</v>
      </c>
      <c r="BM36" s="65">
        <f>('VoT3'!$D$33*'VoT5'!$H$39)/100 + 'VoT3'!$D$32</f>
        <v>1.2154161555382865</v>
      </c>
      <c r="BN36" s="65">
        <f>('VoT3'!$D$33*'VoT5'!$H$40)/100</f>
        <v>1.9520129541892906</v>
      </c>
      <c r="BO36" s="530">
        <f>('VoT3'!$D$33*'VoT5'!$H$41)/100</f>
        <v>10.032570890272423</v>
      </c>
      <c r="BP36" s="901">
        <f t="shared" si="5"/>
        <v>13.2</v>
      </c>
      <c r="BQ36" s="672">
        <f>((BQ$28-1)*((100+'VoT4'!$I$26)/100)^$B36) +1</f>
        <v>1.3131774973540897</v>
      </c>
      <c r="BR36" s="65">
        <f>((BR$28-1)*((100+'VoT4'!$I$27)/100)^$B36) +1</f>
        <v>1.2071718111863166</v>
      </c>
      <c r="BS36" s="65">
        <f>((BS$28-1)*((100+'VoT4'!$I$27)/100)^$B36) +1</f>
        <v>2.1200652963923514</v>
      </c>
      <c r="BT36" s="530">
        <f>((BQ36*'VoT5'!I$28)+(BR36*'VoT5'!I$29)+('Forecast occupancies'!BS36*'VoT5'!I$30))/100</f>
        <v>2.020025055906864</v>
      </c>
      <c r="BU36" s="65">
        <f>'VoT3'!$E$27</f>
        <v>1.26</v>
      </c>
      <c r="BV36" s="65">
        <f>'VoT3'!$E$28</f>
        <v>2.0299999999999998</v>
      </c>
      <c r="BW36" s="530">
        <f>((BU36*'VoT5'!$I$31)+(BV36*'VoT5'!$I$32))/100</f>
        <v>1.3524</v>
      </c>
      <c r="BX36" s="530">
        <f>'VoT3'!$E$30</f>
        <v>1</v>
      </c>
      <c r="BY36" s="860">
        <f>'VoT3'!$E$31</f>
        <v>1</v>
      </c>
      <c r="BZ36" s="65">
        <f>('VoT3'!$E$33*'VoT5'!$I$39)/100 + 'VoT3'!$E$32</f>
        <v>1.0656255420478047</v>
      </c>
      <c r="CA36" s="65">
        <f>('VoT3'!$E$33*'VoT5'!$I$40)/100</f>
        <v>0.73949783032666783</v>
      </c>
      <c r="CB36" s="530">
        <f>('VoT3'!$E$33*'VoT5'!$I$41)/100</f>
        <v>11.394876627625528</v>
      </c>
      <c r="CC36" s="901">
        <f t="shared" si="6"/>
        <v>13.200000000000001</v>
      </c>
      <c r="CD36" s="65">
        <f>((CD$28-1)*((100+'VoT4'!$J$26)/100)^$B36) +1</f>
        <v>1.1606654296250507</v>
      </c>
      <c r="CE36" s="65">
        <f>((CE$28-1)*((100+'VoT4'!$J$27)/100)^$B36) +1</f>
        <v>1.145603182870168</v>
      </c>
      <c r="CF36" s="65">
        <f>((CF$28-1)*((100+'VoT4'!$J$27)/100)^$B36) +1</f>
        <v>1.9068315187130187</v>
      </c>
      <c r="CG36" s="530">
        <f>((CD36*'VoT5'!J$28)+(CE36*'VoT5'!J$29)+('Forecast occupancies'!CF36*'VoT5'!J$30))/100</f>
        <v>1.6228231414717587</v>
      </c>
      <c r="CH36" s="65">
        <f>'VoT3'!$F$27</f>
        <v>1.2</v>
      </c>
      <c r="CI36" s="65">
        <f>'VoT3'!$F$28</f>
        <v>1.59</v>
      </c>
      <c r="CJ36" s="530">
        <f>((CH36*'VoT5'!$J$31)+(CI36*'VoT5'!$J$32))/100</f>
        <v>1.2467999999999999</v>
      </c>
      <c r="CK36" s="860">
        <f>'VoT3'!$F$30</f>
        <v>1</v>
      </c>
      <c r="CL36" s="860">
        <f>'VoT3'!$F$31</f>
        <v>1</v>
      </c>
      <c r="CM36" s="65">
        <f>('VoT3'!$F$33*'VoT5'!$J$39)/100 + 'VoT3'!$F$32</f>
        <v>1.1784267265920292</v>
      </c>
      <c r="CN36" s="65">
        <f>('VoT3'!$F$33*'VoT5'!$J$40)/100</f>
        <v>1.652535676565674</v>
      </c>
      <c r="CO36" s="530">
        <f>('VoT3'!$F$33*'VoT5'!$J$41)/100</f>
        <v>10.369037596842293</v>
      </c>
      <c r="CP36" s="901">
        <f t="shared" si="7"/>
        <v>13.199999999999996</v>
      </c>
    </row>
    <row r="37" spans="2:94" ht="13.5" customHeight="1">
      <c r="B37" s="1225">
        <f t="shared" si="0"/>
        <v>9</v>
      </c>
      <c r="C37" s="535">
        <f t="shared" si="8"/>
        <v>2019</v>
      </c>
      <c r="D37" s="75">
        <f>((D$28-1)*((100+'VoT4'!$D$26)/100)^$B37) + 1</f>
        <v>1.1306546747898494</v>
      </c>
      <c r="E37" s="75">
        <f>((E$28-1)*((100+'VoT4'!$D$27)/100)^$B37) + 1</f>
        <v>1.1324142099550518</v>
      </c>
      <c r="F37" s="75">
        <f>((F$28-1)*((100+'VoT4'!$D$27)/100)^$B37) + 1</f>
        <v>1.7117149527604505</v>
      </c>
      <c r="G37" s="530">
        <f>((D37*'VoT5'!D$28)+(E37*'VoT5'!D$29)+('Forecast occupancies'!F37*'VoT5'!D$30))/100</f>
        <v>1.3608117390924901</v>
      </c>
      <c r="H37" s="65">
        <f>'VoT3'!$D$27</f>
        <v>1.2</v>
      </c>
      <c r="I37" s="65">
        <f>'VoT3'!$D$28</f>
        <v>1.46</v>
      </c>
      <c r="J37" s="530">
        <f>((H37*'VoT5'!$D$31)+(I37*'VoT5'!$D$32))/100</f>
        <v>1.2311999999999999</v>
      </c>
      <c r="K37" s="860">
        <f>'VoT3'!$D$30</f>
        <v>1</v>
      </c>
      <c r="L37" s="860">
        <f>'VoT3'!$D$31</f>
        <v>1</v>
      </c>
      <c r="M37" s="65">
        <f>('VoT3'!$D$33*'VoT5'!$D$39)/100 + 'VoT3'!$D$32</f>
        <v>1.168791653429633</v>
      </c>
      <c r="N37" s="65">
        <f>('VoT3'!$D$33*'VoT5'!$D$40)/100</f>
        <v>2.2491911578548542</v>
      </c>
      <c r="O37" s="530">
        <f>('VoT3'!$D$33*'VoT5'!$D$41)/100</f>
        <v>9.7820171887155141</v>
      </c>
      <c r="P37" s="531">
        <f t="shared" si="1"/>
        <v>13.200000000000001</v>
      </c>
      <c r="Q37" s="65">
        <f>((Q$28-1)*((100+'VoT4'!$E$26)/100)^$B37) +1</f>
        <v>1.1586074096289325</v>
      </c>
      <c r="R37" s="65">
        <f>((R$28-1)*((100+'VoT4'!$E$27)/100)^$B37) +1</f>
        <v>1.1508273706069019</v>
      </c>
      <c r="S37" s="65">
        <f>((S$28-1)*((100+'VoT4'!$E$27)/100)^$B37) +1</f>
        <v>1.823380766174084</v>
      </c>
      <c r="T37" s="530">
        <f>((Q37*'VoT5'!E$28)+(R37*'VoT5'!E$29)+('Forecast occupancies'!S37*'VoT5'!E$30))/100</f>
        <v>1.6344935826498272</v>
      </c>
      <c r="U37" s="65">
        <f>'VoT3'!$D$27</f>
        <v>1.2</v>
      </c>
      <c r="V37" s="65">
        <f>'VoT3'!$D$28</f>
        <v>1.46</v>
      </c>
      <c r="W37" s="530">
        <f>((U37*'VoT5'!$E$31)+(V37*'VoT5'!$E$32))/100</f>
        <v>1.2311999999999999</v>
      </c>
      <c r="X37" s="860">
        <f>'VoT3'!$D$30</f>
        <v>1</v>
      </c>
      <c r="Y37" s="860">
        <f>'VoT3'!$D$31</f>
        <v>1</v>
      </c>
      <c r="Z37" s="65">
        <f>('VoT3'!$D$33*'VoT5'!$E$39)/100 + 'VoT3'!$D$32</f>
        <v>1.2020901087398195</v>
      </c>
      <c r="AA37" s="65">
        <f>('VoT3'!$D$33*'VoT5'!$E$40)/100</f>
        <v>0.78826992816783981</v>
      </c>
      <c r="AB37" s="530">
        <f>('VoT3'!$D$33*'VoT5'!$E$41)/100</f>
        <v>11.209639963092341</v>
      </c>
      <c r="AC37" s="859">
        <f t="shared" si="2"/>
        <v>13.200000000000001</v>
      </c>
      <c r="AD37" s="65">
        <f>((AD$28-1)*((100+'VoT4'!$F$26)/100)^$B37) +1</f>
        <v>1.1469717467060276</v>
      </c>
      <c r="AE37" s="65">
        <f>((AE$28-1)*((100+'VoT4'!$F$27)/100)^$B37) +1</f>
        <v>1.1363203108454192</v>
      </c>
      <c r="AF37" s="65">
        <f>((AF$28-1)*((100+'VoT4'!$F$27)/100)^$B37) +1</f>
        <v>1.7925210409543946</v>
      </c>
      <c r="AG37" s="530">
        <f>((AD37*'VoT5'!F$28)+(AE37*'VoT5'!F$29)+('Forecast occupancies'!AF37*'VoT5'!F$30))/100</f>
        <v>1.4455150928444727</v>
      </c>
      <c r="AH37" s="65">
        <f>'VoT3'!$D$27</f>
        <v>1.2</v>
      </c>
      <c r="AI37" s="65">
        <f>'VoT3'!$D$28</f>
        <v>1.46</v>
      </c>
      <c r="AJ37" s="530">
        <f>((AH37*'VoT5'!$F$31)+(AI37*'VoT5'!$F$32))/100</f>
        <v>1.2311999999999999</v>
      </c>
      <c r="AK37" s="860">
        <f>'VoT3'!$D$30</f>
        <v>1</v>
      </c>
      <c r="AL37" s="530">
        <f>'VoT3'!$D$31</f>
        <v>1</v>
      </c>
      <c r="AM37" s="65">
        <f>('VoT3'!$D$33*'VoT5'!$F$39)/100 + 'VoT3'!$D$32</f>
        <v>1.2791444318533409</v>
      </c>
      <c r="AN37" s="65">
        <f>('VoT3'!$D$33*'VoT5'!$F$40)/100</f>
        <v>3.163211907560131</v>
      </c>
      <c r="AO37" s="530">
        <f>('VoT3'!$D$33*'VoT5'!$F$41)/100</f>
        <v>8.7576436605865258</v>
      </c>
      <c r="AP37" s="531">
        <f t="shared" si="3"/>
        <v>13.199999999999998</v>
      </c>
      <c r="AQ37" s="65">
        <f>((AQ$28-1)*((100+'VoT4'!$G$26)/100)^$B37) +1</f>
        <v>1.1686731657535445</v>
      </c>
      <c r="AR37" s="65">
        <f>((AR$28-1)*((100+'VoT4'!$G$27)/100)^$B37) +1</f>
        <v>1.1529514408135957</v>
      </c>
      <c r="AS37" s="65">
        <f>((AS$28-1)*((100+'VoT4'!$G$27)/100)^$B37) +1</f>
        <v>1.7861213477735842</v>
      </c>
      <c r="AT37" s="530">
        <f>((AQ37*'VoT5'!G$28)+(AR37*'VoT5'!G$29)+('Forecast occupancies'!AS37*'VoT5'!G$30))/100</f>
        <v>1.4625529734459999</v>
      </c>
      <c r="AU37" s="65">
        <f>'VoT3'!$D$27</f>
        <v>1.2</v>
      </c>
      <c r="AV37" s="65">
        <f>'VoT3'!$D$28</f>
        <v>1.46</v>
      </c>
      <c r="AW37" s="530">
        <f>((AU37*'VoT5'!$G$31)+(AV37*'VoT5'!$G$32))/100</f>
        <v>1.2311999999999999</v>
      </c>
      <c r="AX37" s="530">
        <f>'VoT3'!$D$30</f>
        <v>1</v>
      </c>
      <c r="AY37" s="860">
        <f>'VoT3'!$D$31</f>
        <v>1</v>
      </c>
      <c r="AZ37" s="65">
        <f>('VoT3'!$D$33*'VoT5'!$G$39)/100 + 'VoT3'!$D$32</f>
        <v>1.2777359179706231</v>
      </c>
      <c r="BA37" s="65">
        <f>('VoT3'!$D$33*'VoT5'!$G$40)/100</f>
        <v>4.3240321049185146</v>
      </c>
      <c r="BB37" s="530">
        <f>('VoT3'!$D$33*'VoT5'!$G$41)/100</f>
        <v>7.5982319771108608</v>
      </c>
      <c r="BC37" s="531">
        <f t="shared" si="4"/>
        <v>13.2</v>
      </c>
      <c r="BD37" s="65">
        <f>((BD$28-1)*((100+'VoT4'!$H$26)/100)^$B37) +1</f>
        <v>1.1490125418460642</v>
      </c>
      <c r="BE37" s="65">
        <f>((BE$28-1)*((100+'VoT4'!$H$27)/100)^$B37) +1</f>
        <v>1.1401838093663619</v>
      </c>
      <c r="BF37" s="65">
        <f>((BF$28-1)*((100+'VoT4'!$H$27)/100)^$B37) +1</f>
        <v>1.7905592337282852</v>
      </c>
      <c r="BG37" s="530">
        <f>((BD37*'VoT5'!H$28)+(BE37*'VoT5'!H$29)+('Forecast occupancies'!BF37*'VoT5'!H$30))/100</f>
        <v>1.4923153156000231</v>
      </c>
      <c r="BH37" s="65">
        <f>'VoT3'!$D$27</f>
        <v>1.2</v>
      </c>
      <c r="BI37" s="65">
        <f>'VoT3'!$D$28</f>
        <v>1.46</v>
      </c>
      <c r="BJ37" s="530">
        <f>((BH37*'VoT5'!$H$31)+(BI37*'VoT5'!$H$32))/100</f>
        <v>1.2311999999999999</v>
      </c>
      <c r="BK37" s="860">
        <f>'VoT3'!$D$30</f>
        <v>1</v>
      </c>
      <c r="BL37" s="860">
        <f>'VoT3'!$D$31</f>
        <v>1</v>
      </c>
      <c r="BM37" s="65">
        <f>('VoT3'!$D$33*'VoT5'!$H$39)/100 + 'VoT3'!$D$32</f>
        <v>1.2154161555382865</v>
      </c>
      <c r="BN37" s="65">
        <f>('VoT3'!$D$33*'VoT5'!$H$40)/100</f>
        <v>1.9520129541892906</v>
      </c>
      <c r="BO37" s="530">
        <f>('VoT3'!$D$33*'VoT5'!$H$41)/100</f>
        <v>10.032570890272423</v>
      </c>
      <c r="BP37" s="901">
        <f t="shared" si="5"/>
        <v>13.2</v>
      </c>
      <c r="BQ37" s="672">
        <f>((BQ$28-1)*((100+'VoT4'!$I$26)/100)^$B37) +1</f>
        <v>1.3131774973540897</v>
      </c>
      <c r="BR37" s="65">
        <f>((BR$28-1)*((100+'VoT4'!$I$27)/100)^$B37) +1</f>
        <v>1.2071718111863166</v>
      </c>
      <c r="BS37" s="65">
        <f>((BS$28-1)*((100+'VoT4'!$I$27)/100)^$B37) +1</f>
        <v>2.1200652963923514</v>
      </c>
      <c r="BT37" s="530">
        <f>((BQ37*'VoT5'!I$28)+(BR37*'VoT5'!I$29)+('Forecast occupancies'!BS37*'VoT5'!I$30))/100</f>
        <v>2.020025055906864</v>
      </c>
      <c r="BU37" s="65">
        <f>'VoT3'!$E$27</f>
        <v>1.26</v>
      </c>
      <c r="BV37" s="65">
        <f>'VoT3'!$E$28</f>
        <v>2.0299999999999998</v>
      </c>
      <c r="BW37" s="530">
        <f>((BU37*'VoT5'!$I$31)+(BV37*'VoT5'!$I$32))/100</f>
        <v>1.3524</v>
      </c>
      <c r="BX37" s="530">
        <f>'VoT3'!$E$30</f>
        <v>1</v>
      </c>
      <c r="BY37" s="860">
        <f>'VoT3'!$E$31</f>
        <v>1</v>
      </c>
      <c r="BZ37" s="65">
        <f>('VoT3'!$E$33*'VoT5'!$I$39)/100 + 'VoT3'!$E$32</f>
        <v>1.0656255420478047</v>
      </c>
      <c r="CA37" s="65">
        <f>('VoT3'!$E$33*'VoT5'!$I$40)/100</f>
        <v>0.73949783032666783</v>
      </c>
      <c r="CB37" s="530">
        <f>('VoT3'!$E$33*'VoT5'!$I$41)/100</f>
        <v>11.394876627625528</v>
      </c>
      <c r="CC37" s="901">
        <f t="shared" si="6"/>
        <v>13.200000000000001</v>
      </c>
      <c r="CD37" s="65">
        <f>((CD$28-1)*((100+'VoT4'!$J$26)/100)^$B37) +1</f>
        <v>1.1606654296250507</v>
      </c>
      <c r="CE37" s="65">
        <f>((CE$28-1)*((100+'VoT4'!$J$27)/100)^$B37) +1</f>
        <v>1.145603182870168</v>
      </c>
      <c r="CF37" s="65">
        <f>((CF$28-1)*((100+'VoT4'!$J$27)/100)^$B37) +1</f>
        <v>1.9068315187130187</v>
      </c>
      <c r="CG37" s="530">
        <f>((CD37*'VoT5'!J$28)+(CE37*'VoT5'!J$29)+('Forecast occupancies'!CF37*'VoT5'!J$30))/100</f>
        <v>1.6228231414717587</v>
      </c>
      <c r="CH37" s="65">
        <f>'VoT3'!$F$27</f>
        <v>1.2</v>
      </c>
      <c r="CI37" s="65">
        <f>'VoT3'!$F$28</f>
        <v>1.59</v>
      </c>
      <c r="CJ37" s="530">
        <f>((CH37*'VoT5'!$J$31)+(CI37*'VoT5'!$J$32))/100</f>
        <v>1.2467999999999999</v>
      </c>
      <c r="CK37" s="860">
        <f>'VoT3'!$F$30</f>
        <v>1</v>
      </c>
      <c r="CL37" s="860">
        <f>'VoT3'!$F$31</f>
        <v>1</v>
      </c>
      <c r="CM37" s="65">
        <f>('VoT3'!$F$33*'VoT5'!$J$39)/100 + 'VoT3'!$F$32</f>
        <v>1.1784267265920292</v>
      </c>
      <c r="CN37" s="65">
        <f>('VoT3'!$F$33*'VoT5'!$J$40)/100</f>
        <v>1.652535676565674</v>
      </c>
      <c r="CO37" s="530">
        <f>('VoT3'!$F$33*'VoT5'!$J$41)/100</f>
        <v>10.369037596842293</v>
      </c>
      <c r="CP37" s="901">
        <f t="shared" si="7"/>
        <v>13.199999999999996</v>
      </c>
    </row>
    <row r="38" spans="2:94" s="26" customFormat="1" ht="13.5" customHeight="1">
      <c r="B38" s="711">
        <f t="shared" si="0"/>
        <v>10</v>
      </c>
      <c r="C38" s="82">
        <f t="shared" si="8"/>
        <v>2020</v>
      </c>
      <c r="D38" s="65">
        <f>((D$28-1)*((100+'VoT4'!$D$26)/100)^$B38) + 1</f>
        <v>1.1306546747898494</v>
      </c>
      <c r="E38" s="65">
        <f>((E$28-1)*((100+'VoT4'!$D$27)/100)^$B38) + 1</f>
        <v>1.1324142099550518</v>
      </c>
      <c r="F38" s="65">
        <f>((F$28-1)*((100+'VoT4'!$D$27)/100)^$B38) + 1</f>
        <v>1.7117149527604505</v>
      </c>
      <c r="G38" s="530">
        <f>((D38*'VoT5'!D$28)+(E38*'VoT5'!D$29)+('Forecast occupancies'!F38*'VoT5'!D$30))/100</f>
        <v>1.3608117390924901</v>
      </c>
      <c r="H38" s="65">
        <f>'VoT3'!$D$27</f>
        <v>1.2</v>
      </c>
      <c r="I38" s="65">
        <f>'VoT3'!$D$28</f>
        <v>1.46</v>
      </c>
      <c r="J38" s="530">
        <f>((H38*'VoT5'!$D$31)+(I38*'VoT5'!$D$32))/100</f>
        <v>1.2311999999999999</v>
      </c>
      <c r="K38" s="860">
        <f>'VoT3'!$D$30</f>
        <v>1</v>
      </c>
      <c r="L38" s="860">
        <f>'VoT3'!$D$31</f>
        <v>1</v>
      </c>
      <c r="M38" s="65">
        <f>('VoT3'!$D$33*'VoT5'!$D$39)/100 + 'VoT3'!$D$32</f>
        <v>1.168791653429633</v>
      </c>
      <c r="N38" s="65">
        <f>('VoT3'!$D$33*'VoT5'!$D$40)/100</f>
        <v>2.2491911578548542</v>
      </c>
      <c r="O38" s="530">
        <f>('VoT3'!$D$33*'VoT5'!$D$41)/100</f>
        <v>9.7820171887155141</v>
      </c>
      <c r="P38" s="531">
        <f t="shared" si="1"/>
        <v>13.200000000000001</v>
      </c>
      <c r="Q38" s="1562">
        <f>((Q$28-1)*((100+'VoT4'!$E$26)/100)^$B38) +1</f>
        <v>1.1586074096289325</v>
      </c>
      <c r="R38" s="65">
        <f>((R$28-1)*((100+'VoT4'!$E$27)/100)^$B38) +1</f>
        <v>1.1508273706069019</v>
      </c>
      <c r="S38" s="65">
        <f>((S$28-1)*((100+'VoT4'!$E$27)/100)^$B38) +1</f>
        <v>1.823380766174084</v>
      </c>
      <c r="T38" s="530">
        <f>((Q38*'VoT5'!E$28)+(R38*'VoT5'!E$29)+('Forecast occupancies'!S38*'VoT5'!E$30))/100</f>
        <v>1.6344935826498272</v>
      </c>
      <c r="U38" s="65">
        <f>'VoT3'!$D$27</f>
        <v>1.2</v>
      </c>
      <c r="V38" s="65">
        <f>'VoT3'!$D$28</f>
        <v>1.46</v>
      </c>
      <c r="W38" s="530">
        <f>((U38*'VoT5'!$E$31)+(V38*'VoT5'!$E$32))/100</f>
        <v>1.2311999999999999</v>
      </c>
      <c r="X38" s="860">
        <f>'VoT3'!$D$30</f>
        <v>1</v>
      </c>
      <c r="Y38" s="860">
        <f>'VoT3'!$D$31</f>
        <v>1</v>
      </c>
      <c r="Z38" s="65">
        <f>('VoT3'!$D$33*'VoT5'!$E$39)/100 + 'VoT3'!$D$32</f>
        <v>1.2020901087398195</v>
      </c>
      <c r="AA38" s="65">
        <f>('VoT3'!$D$33*'VoT5'!$E$40)/100</f>
        <v>0.78826992816783981</v>
      </c>
      <c r="AB38" s="530">
        <f>('VoT3'!$D$33*'VoT5'!$E$41)/100</f>
        <v>11.209639963092341</v>
      </c>
      <c r="AC38" s="859">
        <f t="shared" si="2"/>
        <v>13.200000000000001</v>
      </c>
      <c r="AD38" s="1562">
        <f>((AD$28-1)*((100+'VoT4'!$F$26)/100)^$B38) +1</f>
        <v>1.1469717467060276</v>
      </c>
      <c r="AE38" s="65">
        <f>((AE$28-1)*((100+'VoT4'!$F$27)/100)^$B38) +1</f>
        <v>1.1363203108454192</v>
      </c>
      <c r="AF38" s="65">
        <f>((AF$28-1)*((100+'VoT4'!$F$27)/100)^$B38) +1</f>
        <v>1.7925210409543946</v>
      </c>
      <c r="AG38" s="530">
        <f>((AD38*'VoT5'!F$28)+(AE38*'VoT5'!F$29)+('Forecast occupancies'!AF38*'VoT5'!F$30))/100</f>
        <v>1.4455150928444727</v>
      </c>
      <c r="AH38" s="65">
        <f>'VoT3'!$D$27</f>
        <v>1.2</v>
      </c>
      <c r="AI38" s="65">
        <f>'VoT3'!$D$28</f>
        <v>1.46</v>
      </c>
      <c r="AJ38" s="530">
        <f>((AH38*'VoT5'!$F$31)+(AI38*'VoT5'!$F$32))/100</f>
        <v>1.2311999999999999</v>
      </c>
      <c r="AK38" s="860">
        <f>'VoT3'!$D$30</f>
        <v>1</v>
      </c>
      <c r="AL38" s="530">
        <f>'VoT3'!$D$31</f>
        <v>1</v>
      </c>
      <c r="AM38" s="65">
        <f>('VoT3'!$D$33*'VoT5'!$F$39)/100 + 'VoT3'!$D$32</f>
        <v>1.2791444318533409</v>
      </c>
      <c r="AN38" s="65">
        <f>('VoT3'!$D$33*'VoT5'!$F$40)/100</f>
        <v>3.163211907560131</v>
      </c>
      <c r="AO38" s="530">
        <f>('VoT3'!$D$33*'VoT5'!$F$41)/100</f>
        <v>8.7576436605865258</v>
      </c>
      <c r="AP38" s="531">
        <f t="shared" si="3"/>
        <v>13.199999999999998</v>
      </c>
      <c r="AQ38" s="1562">
        <f>((AQ$28-1)*((100+'VoT4'!$G$26)/100)^$B38) +1</f>
        <v>1.1686731657535445</v>
      </c>
      <c r="AR38" s="65">
        <f>((AR$28-1)*((100+'VoT4'!$G$27)/100)^$B38) +1</f>
        <v>1.1529514408135957</v>
      </c>
      <c r="AS38" s="65">
        <f>((AS$28-1)*((100+'VoT4'!$G$27)/100)^$B38) +1</f>
        <v>1.7861213477735842</v>
      </c>
      <c r="AT38" s="530">
        <f>((AQ38*'VoT5'!G$28)+(AR38*'VoT5'!G$29)+('Forecast occupancies'!AS38*'VoT5'!G$30))/100</f>
        <v>1.4625529734459999</v>
      </c>
      <c r="AU38" s="65">
        <f>'VoT3'!$D$27</f>
        <v>1.2</v>
      </c>
      <c r="AV38" s="65">
        <f>'VoT3'!$D$28</f>
        <v>1.46</v>
      </c>
      <c r="AW38" s="530">
        <f>((AU38*'VoT5'!$G$31)+(AV38*'VoT5'!$G$32))/100</f>
        <v>1.2311999999999999</v>
      </c>
      <c r="AX38" s="530">
        <f>'VoT3'!$D$30</f>
        <v>1</v>
      </c>
      <c r="AY38" s="860">
        <f>'VoT3'!$D$31</f>
        <v>1</v>
      </c>
      <c r="AZ38" s="65">
        <f>('VoT3'!$D$33*'VoT5'!$G$39)/100 + 'VoT3'!$D$32</f>
        <v>1.2777359179706231</v>
      </c>
      <c r="BA38" s="65">
        <f>('VoT3'!$D$33*'VoT5'!$G$40)/100</f>
        <v>4.3240321049185146</v>
      </c>
      <c r="BB38" s="530">
        <f>('VoT3'!$D$33*'VoT5'!$G$41)/100</f>
        <v>7.5982319771108608</v>
      </c>
      <c r="BC38" s="531">
        <f t="shared" si="4"/>
        <v>13.2</v>
      </c>
      <c r="BD38" s="1562">
        <f>((BD$28-1)*((100+'VoT4'!$H$26)/100)^$B38) +1</f>
        <v>1.1490125418460642</v>
      </c>
      <c r="BE38" s="65">
        <f>((BE$28-1)*((100+'VoT4'!$H$27)/100)^$B38) +1</f>
        <v>1.1401838093663619</v>
      </c>
      <c r="BF38" s="65">
        <f>((BF$28-1)*((100+'VoT4'!$H$27)/100)^$B38) +1</f>
        <v>1.7905592337282852</v>
      </c>
      <c r="BG38" s="530">
        <f>((BD38*'VoT5'!H$28)+(BE38*'VoT5'!H$29)+('Forecast occupancies'!BF38*'VoT5'!H$30))/100</f>
        <v>1.4923153156000231</v>
      </c>
      <c r="BH38" s="65">
        <f>'VoT3'!$D$27</f>
        <v>1.2</v>
      </c>
      <c r="BI38" s="65">
        <f>'VoT3'!$D$28</f>
        <v>1.46</v>
      </c>
      <c r="BJ38" s="530">
        <f>((BH38*'VoT5'!$H$31)+(BI38*'VoT5'!$H$32))/100</f>
        <v>1.2311999999999999</v>
      </c>
      <c r="BK38" s="860">
        <f>'VoT3'!$D$30</f>
        <v>1</v>
      </c>
      <c r="BL38" s="860">
        <f>'VoT3'!$D$31</f>
        <v>1</v>
      </c>
      <c r="BM38" s="65">
        <f>('VoT3'!$D$33*'VoT5'!$H$39)/100 + 'VoT3'!$D$32</f>
        <v>1.2154161555382865</v>
      </c>
      <c r="BN38" s="65">
        <f>('VoT3'!$D$33*'VoT5'!$H$40)/100</f>
        <v>1.9520129541892906</v>
      </c>
      <c r="BO38" s="530">
        <f>('VoT3'!$D$33*'VoT5'!$H$41)/100</f>
        <v>10.032570890272423</v>
      </c>
      <c r="BP38" s="901">
        <f t="shared" si="5"/>
        <v>13.2</v>
      </c>
      <c r="BQ38" s="672">
        <f>((BQ$28-1)*((100+'VoT4'!$I$26)/100)^$B38) +1</f>
        <v>1.3131774973540897</v>
      </c>
      <c r="BR38" s="65">
        <f>((BR$28-1)*((100+'VoT4'!$I$27)/100)^$B38) +1</f>
        <v>1.2071718111863166</v>
      </c>
      <c r="BS38" s="65">
        <f>((BS$28-1)*((100+'VoT4'!$I$27)/100)^$B38) +1</f>
        <v>2.1200652963923514</v>
      </c>
      <c r="BT38" s="530">
        <f>((BQ38*'VoT5'!I$28)+(BR38*'VoT5'!I$29)+('Forecast occupancies'!BS38*'VoT5'!I$30))/100</f>
        <v>2.020025055906864</v>
      </c>
      <c r="BU38" s="65">
        <f>'VoT3'!$E$27</f>
        <v>1.26</v>
      </c>
      <c r="BV38" s="65">
        <f>'VoT3'!$E$28</f>
        <v>2.0299999999999998</v>
      </c>
      <c r="BW38" s="530">
        <f>((BU38*'VoT5'!$I$31)+(BV38*'VoT5'!$I$32))/100</f>
        <v>1.3524</v>
      </c>
      <c r="BX38" s="530">
        <f>'VoT3'!$E$30</f>
        <v>1</v>
      </c>
      <c r="BY38" s="860">
        <f>'VoT3'!$E$31</f>
        <v>1</v>
      </c>
      <c r="BZ38" s="65">
        <f>('VoT3'!$E$33*'VoT5'!$I$39)/100 + 'VoT3'!$E$32</f>
        <v>1.0656255420478047</v>
      </c>
      <c r="CA38" s="65">
        <f>('VoT3'!$E$33*'VoT5'!$I$40)/100</f>
        <v>0.73949783032666783</v>
      </c>
      <c r="CB38" s="530">
        <f>('VoT3'!$E$33*'VoT5'!$I$41)/100</f>
        <v>11.394876627625528</v>
      </c>
      <c r="CC38" s="901">
        <f t="shared" si="6"/>
        <v>13.200000000000001</v>
      </c>
      <c r="CD38" s="65">
        <f>((CD$28-1)*((100+'VoT4'!$J$26)/100)^$B38) +1</f>
        <v>1.1606654296250507</v>
      </c>
      <c r="CE38" s="65">
        <f>((CE$28-1)*((100+'VoT4'!$J$27)/100)^$B38) +1</f>
        <v>1.145603182870168</v>
      </c>
      <c r="CF38" s="65">
        <f>((CF$28-1)*((100+'VoT4'!$J$27)/100)^$B38) +1</f>
        <v>1.9068315187130187</v>
      </c>
      <c r="CG38" s="530">
        <f>((CD38*'VoT5'!J$28)+(CE38*'VoT5'!J$29)+('Forecast occupancies'!CF38*'VoT5'!J$30))/100</f>
        <v>1.6228231414717587</v>
      </c>
      <c r="CH38" s="65">
        <f>'VoT3'!$F$27</f>
        <v>1.2</v>
      </c>
      <c r="CI38" s="65">
        <f>'VoT3'!$F$28</f>
        <v>1.59</v>
      </c>
      <c r="CJ38" s="530">
        <f>((CH38*'VoT5'!$J$31)+(CI38*'VoT5'!$J$32))/100</f>
        <v>1.2467999999999999</v>
      </c>
      <c r="CK38" s="860">
        <f>'VoT3'!$F$30</f>
        <v>1</v>
      </c>
      <c r="CL38" s="860">
        <f>'VoT3'!$F$31</f>
        <v>1</v>
      </c>
      <c r="CM38" s="65">
        <f>('VoT3'!$F$33*'VoT5'!$J$39)/100 + 'VoT3'!$F$32</f>
        <v>1.1784267265920292</v>
      </c>
      <c r="CN38" s="65">
        <f>('VoT3'!$F$33*'VoT5'!$J$40)/100</f>
        <v>1.652535676565674</v>
      </c>
      <c r="CO38" s="530">
        <f>('VoT3'!$F$33*'VoT5'!$J$41)/100</f>
        <v>10.369037596842293</v>
      </c>
      <c r="CP38" s="901">
        <f t="shared" si="7"/>
        <v>13.199999999999996</v>
      </c>
    </row>
    <row r="39" spans="2:94" ht="13.5" customHeight="1">
      <c r="B39" s="1225">
        <f t="shared" si="0"/>
        <v>11</v>
      </c>
      <c r="C39" s="535">
        <f t="shared" si="8"/>
        <v>2021</v>
      </c>
      <c r="D39" s="75">
        <f>((D$28-1)*((100+'VoT4'!$D$26)/100)^$B39) + 1</f>
        <v>1.1306546747898494</v>
      </c>
      <c r="E39" s="75">
        <f>((E$28-1)*((100+'VoT4'!$D$27)/100)^$B39) + 1</f>
        <v>1.1324142099550518</v>
      </c>
      <c r="F39" s="75">
        <f>((F$28-1)*((100+'VoT4'!$D$27)/100)^$B39) + 1</f>
        <v>1.7117149527604505</v>
      </c>
      <c r="G39" s="530">
        <f>((D39*'VoT5'!D$28)+(E39*'VoT5'!D$29)+('Forecast occupancies'!F39*'VoT5'!D$30))/100</f>
        <v>1.3608117390924901</v>
      </c>
      <c r="H39" s="65">
        <f>'VoT3'!$D$27</f>
        <v>1.2</v>
      </c>
      <c r="I39" s="65">
        <f>'VoT3'!$D$28</f>
        <v>1.46</v>
      </c>
      <c r="J39" s="530">
        <f>((H39*'VoT5'!$D$31)+(I39*'VoT5'!$D$32))/100</f>
        <v>1.2311999999999999</v>
      </c>
      <c r="K39" s="860">
        <f>'VoT3'!$D$30</f>
        <v>1</v>
      </c>
      <c r="L39" s="860">
        <f>'VoT3'!$D$31</f>
        <v>1</v>
      </c>
      <c r="M39" s="65">
        <f>('VoT3'!$D$33*'VoT5'!$D$39)/100 + 'VoT3'!$D$32</f>
        <v>1.168791653429633</v>
      </c>
      <c r="N39" s="65">
        <f>('VoT3'!$D$33*'VoT5'!$D$40)/100</f>
        <v>2.2491911578548542</v>
      </c>
      <c r="O39" s="530">
        <f>('VoT3'!$D$33*'VoT5'!$D$41)/100</f>
        <v>9.7820171887155141</v>
      </c>
      <c r="P39" s="531">
        <f t="shared" ref="P39:P63" si="9">SUM(M39:O39)</f>
        <v>13.200000000000001</v>
      </c>
      <c r="Q39" s="65">
        <f>((Q$28-1)*((100+'VoT4'!$E$26)/100)^$B39) +1</f>
        <v>1.1586074096289325</v>
      </c>
      <c r="R39" s="65">
        <f>((R$28-1)*((100+'VoT4'!$E$27)/100)^$B39) +1</f>
        <v>1.1508273706069019</v>
      </c>
      <c r="S39" s="65">
        <f>((S$28-1)*((100+'VoT4'!$E$27)/100)^$B39) +1</f>
        <v>1.823380766174084</v>
      </c>
      <c r="T39" s="530">
        <f>((Q39*'VoT5'!E$28)+(R39*'VoT5'!E$29)+('Forecast occupancies'!S39*'VoT5'!E$30))/100</f>
        <v>1.6344935826498272</v>
      </c>
      <c r="U39" s="65">
        <f>'VoT3'!$D$27</f>
        <v>1.2</v>
      </c>
      <c r="V39" s="65">
        <f>'VoT3'!$D$28</f>
        <v>1.46</v>
      </c>
      <c r="W39" s="530">
        <f>((U39*'VoT5'!$E$31)+(V39*'VoT5'!$E$32))/100</f>
        <v>1.2311999999999999</v>
      </c>
      <c r="X39" s="860">
        <f>'VoT3'!$D$30</f>
        <v>1</v>
      </c>
      <c r="Y39" s="860">
        <f>'VoT3'!$D$31</f>
        <v>1</v>
      </c>
      <c r="Z39" s="65">
        <f>('VoT3'!$D$33*'VoT5'!$E$39)/100 + 'VoT3'!$D$32</f>
        <v>1.2020901087398195</v>
      </c>
      <c r="AA39" s="65">
        <f>('VoT3'!$D$33*'VoT5'!$E$40)/100</f>
        <v>0.78826992816783981</v>
      </c>
      <c r="AB39" s="530">
        <f>('VoT3'!$D$33*'VoT5'!$E$41)/100</f>
        <v>11.209639963092341</v>
      </c>
      <c r="AC39" s="859">
        <f t="shared" ref="AC39:AC63" si="10">SUM(Z39:AB39)</f>
        <v>13.200000000000001</v>
      </c>
      <c r="AD39" s="65">
        <f>((AD$28-1)*((100+'VoT4'!$F$26)/100)^$B39) +1</f>
        <v>1.1469717467060276</v>
      </c>
      <c r="AE39" s="65">
        <f>((AE$28-1)*((100+'VoT4'!$F$27)/100)^$B39) +1</f>
        <v>1.1363203108454192</v>
      </c>
      <c r="AF39" s="65">
        <f>((AF$28-1)*((100+'VoT4'!$F$27)/100)^$B39) +1</f>
        <v>1.7925210409543946</v>
      </c>
      <c r="AG39" s="530">
        <f>((AD39*'VoT5'!F$28)+(AE39*'VoT5'!F$29)+('Forecast occupancies'!AF39*'VoT5'!F$30))/100</f>
        <v>1.4455150928444727</v>
      </c>
      <c r="AH39" s="65">
        <f>'VoT3'!$D$27</f>
        <v>1.2</v>
      </c>
      <c r="AI39" s="65">
        <f>'VoT3'!$D$28</f>
        <v>1.46</v>
      </c>
      <c r="AJ39" s="530">
        <f>((AH39*'VoT5'!$F$31)+(AI39*'VoT5'!$F$32))/100</f>
        <v>1.2311999999999999</v>
      </c>
      <c r="AK39" s="860">
        <f>'VoT3'!$D$30</f>
        <v>1</v>
      </c>
      <c r="AL39" s="530">
        <f>'VoT3'!$D$31</f>
        <v>1</v>
      </c>
      <c r="AM39" s="65">
        <f>('VoT3'!$D$33*'VoT5'!$F$39)/100 + 'VoT3'!$D$32</f>
        <v>1.2791444318533409</v>
      </c>
      <c r="AN39" s="65">
        <f>('VoT3'!$D$33*'VoT5'!$F$40)/100</f>
        <v>3.163211907560131</v>
      </c>
      <c r="AO39" s="530">
        <f>('VoT3'!$D$33*'VoT5'!$F$41)/100</f>
        <v>8.7576436605865258</v>
      </c>
      <c r="AP39" s="531">
        <f t="shared" ref="AP39:AP63" si="11">SUM(AM39:AO39)</f>
        <v>13.199999999999998</v>
      </c>
      <c r="AQ39" s="65">
        <f>((AQ$28-1)*((100+'VoT4'!$G$26)/100)^$B39) +1</f>
        <v>1.1686731657535445</v>
      </c>
      <c r="AR39" s="65">
        <f>((AR$28-1)*((100+'VoT4'!$G$27)/100)^$B39) +1</f>
        <v>1.1529514408135957</v>
      </c>
      <c r="AS39" s="65">
        <f>((AS$28-1)*((100+'VoT4'!$G$27)/100)^$B39) +1</f>
        <v>1.7861213477735842</v>
      </c>
      <c r="AT39" s="530">
        <f>((AQ39*'VoT5'!G$28)+(AR39*'VoT5'!G$29)+('Forecast occupancies'!AS39*'VoT5'!G$30))/100</f>
        <v>1.4625529734459999</v>
      </c>
      <c r="AU39" s="65">
        <f>'VoT3'!$D$27</f>
        <v>1.2</v>
      </c>
      <c r="AV39" s="65">
        <f>'VoT3'!$D$28</f>
        <v>1.46</v>
      </c>
      <c r="AW39" s="530">
        <f>((AU39*'VoT5'!$G$31)+(AV39*'VoT5'!$G$32))/100</f>
        <v>1.2311999999999999</v>
      </c>
      <c r="AX39" s="530">
        <f>'VoT3'!$D$30</f>
        <v>1</v>
      </c>
      <c r="AY39" s="860">
        <f>'VoT3'!$D$31</f>
        <v>1</v>
      </c>
      <c r="AZ39" s="65">
        <f>('VoT3'!$D$33*'VoT5'!$G$39)/100 + 'VoT3'!$D$32</f>
        <v>1.2777359179706231</v>
      </c>
      <c r="BA39" s="65">
        <f>('VoT3'!$D$33*'VoT5'!$G$40)/100</f>
        <v>4.3240321049185146</v>
      </c>
      <c r="BB39" s="530">
        <f>('VoT3'!$D$33*'VoT5'!$G$41)/100</f>
        <v>7.5982319771108608</v>
      </c>
      <c r="BC39" s="531">
        <f t="shared" ref="BC39:BC63" si="12">SUM(AZ39:BB39)</f>
        <v>13.2</v>
      </c>
      <c r="BD39" s="65">
        <f>((BD$28-1)*((100+'VoT4'!$H$26)/100)^$B39) +1</f>
        <v>1.1490125418460642</v>
      </c>
      <c r="BE39" s="65">
        <f>((BE$28-1)*((100+'VoT4'!$H$27)/100)^$B39) +1</f>
        <v>1.1401838093663619</v>
      </c>
      <c r="BF39" s="65">
        <f>((BF$28-1)*((100+'VoT4'!$H$27)/100)^$B39) +1</f>
        <v>1.7905592337282852</v>
      </c>
      <c r="BG39" s="530">
        <f>((BD39*'VoT5'!H$28)+(BE39*'VoT5'!H$29)+('Forecast occupancies'!BF39*'VoT5'!H$30))/100</f>
        <v>1.4923153156000231</v>
      </c>
      <c r="BH39" s="65">
        <f>'VoT3'!$D$27</f>
        <v>1.2</v>
      </c>
      <c r="BI39" s="65">
        <f>'VoT3'!$D$28</f>
        <v>1.46</v>
      </c>
      <c r="BJ39" s="530">
        <f>((BH39*'VoT5'!$H$31)+(BI39*'VoT5'!$H$32))/100</f>
        <v>1.2311999999999999</v>
      </c>
      <c r="BK39" s="860">
        <f>'VoT3'!$D$30</f>
        <v>1</v>
      </c>
      <c r="BL39" s="860">
        <f>'VoT3'!$D$31</f>
        <v>1</v>
      </c>
      <c r="BM39" s="65">
        <f>('VoT3'!$D$33*'VoT5'!$H$39)/100 + 'VoT3'!$D$32</f>
        <v>1.2154161555382865</v>
      </c>
      <c r="BN39" s="65">
        <f>('VoT3'!$D$33*'VoT5'!$H$40)/100</f>
        <v>1.9520129541892906</v>
      </c>
      <c r="BO39" s="530">
        <f>('VoT3'!$D$33*'VoT5'!$H$41)/100</f>
        <v>10.032570890272423</v>
      </c>
      <c r="BP39" s="901">
        <f t="shared" ref="BP39:BP63" si="13">SUM(BM39:BO39)</f>
        <v>13.2</v>
      </c>
      <c r="BQ39" s="672">
        <f>((BQ$28-1)*((100+'VoT4'!$I$26)/100)^$B39) +1</f>
        <v>1.3131774973540897</v>
      </c>
      <c r="BR39" s="65">
        <f>((BR$28-1)*((100+'VoT4'!$I$27)/100)^$B39) +1</f>
        <v>1.2071718111863166</v>
      </c>
      <c r="BS39" s="65">
        <f>((BS$28-1)*((100+'VoT4'!$I$27)/100)^$B39) +1</f>
        <v>2.1200652963923514</v>
      </c>
      <c r="BT39" s="530">
        <f>((BQ39*'VoT5'!I$28)+(BR39*'VoT5'!I$29)+('Forecast occupancies'!BS39*'VoT5'!I$30))/100</f>
        <v>2.020025055906864</v>
      </c>
      <c r="BU39" s="65">
        <f>'VoT3'!$E$27</f>
        <v>1.26</v>
      </c>
      <c r="BV39" s="65">
        <f>'VoT3'!$E$28</f>
        <v>2.0299999999999998</v>
      </c>
      <c r="BW39" s="530">
        <f>((BU39*'VoT5'!$I$31)+(BV39*'VoT5'!$I$32))/100</f>
        <v>1.3524</v>
      </c>
      <c r="BX39" s="530">
        <f>'VoT3'!$E$30</f>
        <v>1</v>
      </c>
      <c r="BY39" s="860">
        <f>'VoT3'!$E$31</f>
        <v>1</v>
      </c>
      <c r="BZ39" s="65">
        <f>('VoT3'!$E$33*'VoT5'!$I$39)/100 + 'VoT3'!$E$32</f>
        <v>1.0656255420478047</v>
      </c>
      <c r="CA39" s="65">
        <f>('VoT3'!$E$33*'VoT5'!$I$40)/100</f>
        <v>0.73949783032666783</v>
      </c>
      <c r="CB39" s="530">
        <f>('VoT3'!$E$33*'VoT5'!$I$41)/100</f>
        <v>11.394876627625528</v>
      </c>
      <c r="CC39" s="901">
        <f t="shared" ref="CC39:CC63" si="14">SUM(BZ39:CB39)</f>
        <v>13.200000000000001</v>
      </c>
      <c r="CD39" s="65">
        <f>((CD$28-1)*((100+'VoT4'!$J$26)/100)^$B39) +1</f>
        <v>1.1606654296250507</v>
      </c>
      <c r="CE39" s="65">
        <f>((CE$28-1)*((100+'VoT4'!$J$27)/100)^$B39) +1</f>
        <v>1.145603182870168</v>
      </c>
      <c r="CF39" s="65">
        <f>((CF$28-1)*((100+'VoT4'!$J$27)/100)^$B39) +1</f>
        <v>1.9068315187130187</v>
      </c>
      <c r="CG39" s="530">
        <f>((CD39*'VoT5'!J$28)+(CE39*'VoT5'!J$29)+('Forecast occupancies'!CF39*'VoT5'!J$30))/100</f>
        <v>1.6228231414717587</v>
      </c>
      <c r="CH39" s="65">
        <f>'VoT3'!$F$27</f>
        <v>1.2</v>
      </c>
      <c r="CI39" s="65">
        <f>'VoT3'!$F$28</f>
        <v>1.59</v>
      </c>
      <c r="CJ39" s="530">
        <f>((CH39*'VoT5'!$J$31)+(CI39*'VoT5'!$J$32))/100</f>
        <v>1.2467999999999999</v>
      </c>
      <c r="CK39" s="860">
        <f>'VoT3'!$F$30</f>
        <v>1</v>
      </c>
      <c r="CL39" s="860">
        <f>'VoT3'!$F$31</f>
        <v>1</v>
      </c>
      <c r="CM39" s="65">
        <f>('VoT3'!$F$33*'VoT5'!$J$39)/100 + 'VoT3'!$F$32</f>
        <v>1.1784267265920292</v>
      </c>
      <c r="CN39" s="65">
        <f>('VoT3'!$F$33*'VoT5'!$J$40)/100</f>
        <v>1.652535676565674</v>
      </c>
      <c r="CO39" s="530">
        <f>('VoT3'!$F$33*'VoT5'!$J$41)/100</f>
        <v>10.369037596842293</v>
      </c>
      <c r="CP39" s="901">
        <f t="shared" ref="CP39:CP63" si="15">SUM(CM39:CO39)</f>
        <v>13.199999999999996</v>
      </c>
    </row>
    <row r="40" spans="2:94" ht="13.5" customHeight="1">
      <c r="B40" s="1225">
        <f t="shared" si="0"/>
        <v>12</v>
      </c>
      <c r="C40" s="535">
        <f t="shared" si="8"/>
        <v>2022</v>
      </c>
      <c r="D40" s="75">
        <f>((D$28-1)*((100+'VoT4'!$D$26)/100)^$B40) + 1</f>
        <v>1.1306546747898494</v>
      </c>
      <c r="E40" s="75">
        <f>((E$28-1)*((100+'VoT4'!$D$27)/100)^$B40) + 1</f>
        <v>1.1324142099550518</v>
      </c>
      <c r="F40" s="75">
        <f>((F$28-1)*((100+'VoT4'!$D$27)/100)^$B40) + 1</f>
        <v>1.7117149527604505</v>
      </c>
      <c r="G40" s="530">
        <f>((D40*'VoT5'!D$28)+(E40*'VoT5'!D$29)+('Forecast occupancies'!F40*'VoT5'!D$30))/100</f>
        <v>1.3608117390924901</v>
      </c>
      <c r="H40" s="65">
        <f>'VoT3'!$D$27</f>
        <v>1.2</v>
      </c>
      <c r="I40" s="65">
        <f>'VoT3'!$D$28</f>
        <v>1.46</v>
      </c>
      <c r="J40" s="530">
        <f>((H40*'VoT5'!$D$31)+(I40*'VoT5'!$D$32))/100</f>
        <v>1.2311999999999999</v>
      </c>
      <c r="K40" s="860">
        <f>'VoT3'!$D$30</f>
        <v>1</v>
      </c>
      <c r="L40" s="860">
        <f>'VoT3'!$D$31</f>
        <v>1</v>
      </c>
      <c r="M40" s="65">
        <f>('VoT3'!$D$33*'VoT5'!$D$39)/100 + 'VoT3'!$D$32</f>
        <v>1.168791653429633</v>
      </c>
      <c r="N40" s="65">
        <f>('VoT3'!$D$33*'VoT5'!$D$40)/100</f>
        <v>2.2491911578548542</v>
      </c>
      <c r="O40" s="530">
        <f>('VoT3'!$D$33*'VoT5'!$D$41)/100</f>
        <v>9.7820171887155141</v>
      </c>
      <c r="P40" s="531">
        <f t="shared" si="9"/>
        <v>13.200000000000001</v>
      </c>
      <c r="Q40" s="65">
        <f>((Q$28-1)*((100+'VoT4'!$E$26)/100)^$B40) +1</f>
        <v>1.1586074096289325</v>
      </c>
      <c r="R40" s="65">
        <f>((R$28-1)*((100+'VoT4'!$E$27)/100)^$B40) +1</f>
        <v>1.1508273706069019</v>
      </c>
      <c r="S40" s="65">
        <f>((S$28-1)*((100+'VoT4'!$E$27)/100)^$B40) +1</f>
        <v>1.823380766174084</v>
      </c>
      <c r="T40" s="530">
        <f>((Q40*'VoT5'!E$28)+(R40*'VoT5'!E$29)+('Forecast occupancies'!S40*'VoT5'!E$30))/100</f>
        <v>1.6344935826498272</v>
      </c>
      <c r="U40" s="65">
        <f>'VoT3'!$D$27</f>
        <v>1.2</v>
      </c>
      <c r="V40" s="65">
        <f>'VoT3'!$D$28</f>
        <v>1.46</v>
      </c>
      <c r="W40" s="530">
        <f>((U40*'VoT5'!$E$31)+(V40*'VoT5'!$E$32))/100</f>
        <v>1.2311999999999999</v>
      </c>
      <c r="X40" s="860">
        <f>'VoT3'!$D$30</f>
        <v>1</v>
      </c>
      <c r="Y40" s="860">
        <f>'VoT3'!$D$31</f>
        <v>1</v>
      </c>
      <c r="Z40" s="65">
        <f>('VoT3'!$D$33*'VoT5'!$E$39)/100 + 'VoT3'!$D$32</f>
        <v>1.2020901087398195</v>
      </c>
      <c r="AA40" s="65">
        <f>('VoT3'!$D$33*'VoT5'!$E$40)/100</f>
        <v>0.78826992816783981</v>
      </c>
      <c r="AB40" s="530">
        <f>('VoT3'!$D$33*'VoT5'!$E$41)/100</f>
        <v>11.209639963092341</v>
      </c>
      <c r="AC40" s="859">
        <f t="shared" si="10"/>
        <v>13.200000000000001</v>
      </c>
      <c r="AD40" s="65">
        <f>((AD$28-1)*((100+'VoT4'!$F$26)/100)^$B40) +1</f>
        <v>1.1469717467060276</v>
      </c>
      <c r="AE40" s="65">
        <f>((AE$28-1)*((100+'VoT4'!$F$27)/100)^$B40) +1</f>
        <v>1.1363203108454192</v>
      </c>
      <c r="AF40" s="65">
        <f>((AF$28-1)*((100+'VoT4'!$F$27)/100)^$B40) +1</f>
        <v>1.7925210409543946</v>
      </c>
      <c r="AG40" s="530">
        <f>((AD40*'VoT5'!F$28)+(AE40*'VoT5'!F$29)+('Forecast occupancies'!AF40*'VoT5'!F$30))/100</f>
        <v>1.4455150928444727</v>
      </c>
      <c r="AH40" s="65">
        <f>'VoT3'!$D$27</f>
        <v>1.2</v>
      </c>
      <c r="AI40" s="65">
        <f>'VoT3'!$D$28</f>
        <v>1.46</v>
      </c>
      <c r="AJ40" s="530">
        <f>((AH40*'VoT5'!$F$31)+(AI40*'VoT5'!$F$32))/100</f>
        <v>1.2311999999999999</v>
      </c>
      <c r="AK40" s="860">
        <f>'VoT3'!$D$30</f>
        <v>1</v>
      </c>
      <c r="AL40" s="530">
        <f>'VoT3'!$D$31</f>
        <v>1</v>
      </c>
      <c r="AM40" s="65">
        <f>('VoT3'!$D$33*'VoT5'!$F$39)/100 + 'VoT3'!$D$32</f>
        <v>1.2791444318533409</v>
      </c>
      <c r="AN40" s="65">
        <f>('VoT3'!$D$33*'VoT5'!$F$40)/100</f>
        <v>3.163211907560131</v>
      </c>
      <c r="AO40" s="530">
        <f>('VoT3'!$D$33*'VoT5'!$F$41)/100</f>
        <v>8.7576436605865258</v>
      </c>
      <c r="AP40" s="531">
        <f t="shared" si="11"/>
        <v>13.199999999999998</v>
      </c>
      <c r="AQ40" s="65">
        <f>((AQ$28-1)*((100+'VoT4'!$G$26)/100)^$B40) +1</f>
        <v>1.1686731657535445</v>
      </c>
      <c r="AR40" s="65">
        <f>((AR$28-1)*((100+'VoT4'!$G$27)/100)^$B40) +1</f>
        <v>1.1529514408135957</v>
      </c>
      <c r="AS40" s="65">
        <f>((AS$28-1)*((100+'VoT4'!$G$27)/100)^$B40) +1</f>
        <v>1.7861213477735842</v>
      </c>
      <c r="AT40" s="530">
        <f>((AQ40*'VoT5'!G$28)+(AR40*'VoT5'!G$29)+('Forecast occupancies'!AS40*'VoT5'!G$30))/100</f>
        <v>1.4625529734459999</v>
      </c>
      <c r="AU40" s="65">
        <f>'VoT3'!$D$27</f>
        <v>1.2</v>
      </c>
      <c r="AV40" s="65">
        <f>'VoT3'!$D$28</f>
        <v>1.46</v>
      </c>
      <c r="AW40" s="530">
        <f>((AU40*'VoT5'!$G$31)+(AV40*'VoT5'!$G$32))/100</f>
        <v>1.2311999999999999</v>
      </c>
      <c r="AX40" s="530">
        <f>'VoT3'!$D$30</f>
        <v>1</v>
      </c>
      <c r="AY40" s="860">
        <f>'VoT3'!$D$31</f>
        <v>1</v>
      </c>
      <c r="AZ40" s="65">
        <f>('VoT3'!$D$33*'VoT5'!$G$39)/100 + 'VoT3'!$D$32</f>
        <v>1.2777359179706231</v>
      </c>
      <c r="BA40" s="65">
        <f>('VoT3'!$D$33*'VoT5'!$G$40)/100</f>
        <v>4.3240321049185146</v>
      </c>
      <c r="BB40" s="530">
        <f>('VoT3'!$D$33*'VoT5'!$G$41)/100</f>
        <v>7.5982319771108608</v>
      </c>
      <c r="BC40" s="531">
        <f t="shared" si="12"/>
        <v>13.2</v>
      </c>
      <c r="BD40" s="65">
        <f>((BD$28-1)*((100+'VoT4'!$H$26)/100)^$B40) +1</f>
        <v>1.1490125418460642</v>
      </c>
      <c r="BE40" s="65">
        <f>((BE$28-1)*((100+'VoT4'!$H$27)/100)^$B40) +1</f>
        <v>1.1401838093663619</v>
      </c>
      <c r="BF40" s="65">
        <f>((BF$28-1)*((100+'VoT4'!$H$27)/100)^$B40) +1</f>
        <v>1.7905592337282852</v>
      </c>
      <c r="BG40" s="530">
        <f>((BD40*'VoT5'!H$28)+(BE40*'VoT5'!H$29)+('Forecast occupancies'!BF40*'VoT5'!H$30))/100</f>
        <v>1.4923153156000231</v>
      </c>
      <c r="BH40" s="65">
        <f>'VoT3'!$D$27</f>
        <v>1.2</v>
      </c>
      <c r="BI40" s="65">
        <f>'VoT3'!$D$28</f>
        <v>1.46</v>
      </c>
      <c r="BJ40" s="530">
        <f>((BH40*'VoT5'!$H$31)+(BI40*'VoT5'!$H$32))/100</f>
        <v>1.2311999999999999</v>
      </c>
      <c r="BK40" s="860">
        <f>'VoT3'!$D$30</f>
        <v>1</v>
      </c>
      <c r="BL40" s="860">
        <f>'VoT3'!$D$31</f>
        <v>1</v>
      </c>
      <c r="BM40" s="65">
        <f>('VoT3'!$D$33*'VoT5'!$H$39)/100 + 'VoT3'!$D$32</f>
        <v>1.2154161555382865</v>
      </c>
      <c r="BN40" s="65">
        <f>('VoT3'!$D$33*'VoT5'!$H$40)/100</f>
        <v>1.9520129541892906</v>
      </c>
      <c r="BO40" s="530">
        <f>('VoT3'!$D$33*'VoT5'!$H$41)/100</f>
        <v>10.032570890272423</v>
      </c>
      <c r="BP40" s="901">
        <f t="shared" si="13"/>
        <v>13.2</v>
      </c>
      <c r="BQ40" s="672">
        <f>((BQ$28-1)*((100+'VoT4'!$I$26)/100)^$B40) +1</f>
        <v>1.3131774973540897</v>
      </c>
      <c r="BR40" s="65">
        <f>((BR$28-1)*((100+'VoT4'!$I$27)/100)^$B40) +1</f>
        <v>1.2071718111863166</v>
      </c>
      <c r="BS40" s="65">
        <f>((BS$28-1)*((100+'VoT4'!$I$27)/100)^$B40) +1</f>
        <v>2.1200652963923514</v>
      </c>
      <c r="BT40" s="530">
        <f>((BQ40*'VoT5'!I$28)+(BR40*'VoT5'!I$29)+('Forecast occupancies'!BS40*'VoT5'!I$30))/100</f>
        <v>2.020025055906864</v>
      </c>
      <c r="BU40" s="65">
        <f>'VoT3'!$E$27</f>
        <v>1.26</v>
      </c>
      <c r="BV40" s="65">
        <f>'VoT3'!$E$28</f>
        <v>2.0299999999999998</v>
      </c>
      <c r="BW40" s="530">
        <f>((BU40*'VoT5'!$I$31)+(BV40*'VoT5'!$I$32))/100</f>
        <v>1.3524</v>
      </c>
      <c r="BX40" s="530">
        <f>'VoT3'!$E$30</f>
        <v>1</v>
      </c>
      <c r="BY40" s="860">
        <f>'VoT3'!$E$31</f>
        <v>1</v>
      </c>
      <c r="BZ40" s="65">
        <f>('VoT3'!$E$33*'VoT5'!$I$39)/100 + 'VoT3'!$E$32</f>
        <v>1.0656255420478047</v>
      </c>
      <c r="CA40" s="65">
        <f>('VoT3'!$E$33*'VoT5'!$I$40)/100</f>
        <v>0.73949783032666783</v>
      </c>
      <c r="CB40" s="530">
        <f>('VoT3'!$E$33*'VoT5'!$I$41)/100</f>
        <v>11.394876627625528</v>
      </c>
      <c r="CC40" s="901">
        <f t="shared" si="14"/>
        <v>13.200000000000001</v>
      </c>
      <c r="CD40" s="65">
        <f>((CD$28-1)*((100+'VoT4'!$J$26)/100)^$B40) +1</f>
        <v>1.1606654296250507</v>
      </c>
      <c r="CE40" s="65">
        <f>((CE$28-1)*((100+'VoT4'!$J$27)/100)^$B40) +1</f>
        <v>1.145603182870168</v>
      </c>
      <c r="CF40" s="65">
        <f>((CF$28-1)*((100+'VoT4'!$J$27)/100)^$B40) +1</f>
        <v>1.9068315187130187</v>
      </c>
      <c r="CG40" s="530">
        <f>((CD40*'VoT5'!J$28)+(CE40*'VoT5'!J$29)+('Forecast occupancies'!CF40*'VoT5'!J$30))/100</f>
        <v>1.6228231414717587</v>
      </c>
      <c r="CH40" s="65">
        <f>'VoT3'!$F$27</f>
        <v>1.2</v>
      </c>
      <c r="CI40" s="65">
        <f>'VoT3'!$F$28</f>
        <v>1.59</v>
      </c>
      <c r="CJ40" s="530">
        <f>((CH40*'VoT5'!$J$31)+(CI40*'VoT5'!$J$32))/100</f>
        <v>1.2467999999999999</v>
      </c>
      <c r="CK40" s="860">
        <f>'VoT3'!$F$30</f>
        <v>1</v>
      </c>
      <c r="CL40" s="860">
        <f>'VoT3'!$F$31</f>
        <v>1</v>
      </c>
      <c r="CM40" s="65">
        <f>('VoT3'!$F$33*'VoT5'!$J$39)/100 + 'VoT3'!$F$32</f>
        <v>1.1784267265920292</v>
      </c>
      <c r="CN40" s="65">
        <f>('VoT3'!$F$33*'VoT5'!$J$40)/100</f>
        <v>1.652535676565674</v>
      </c>
      <c r="CO40" s="530">
        <f>('VoT3'!$F$33*'VoT5'!$J$41)/100</f>
        <v>10.369037596842293</v>
      </c>
      <c r="CP40" s="901">
        <f t="shared" si="15"/>
        <v>13.199999999999996</v>
      </c>
    </row>
    <row r="41" spans="2:94" ht="13.5" customHeight="1">
      <c r="B41" s="1225">
        <f t="shared" si="0"/>
        <v>13</v>
      </c>
      <c r="C41" s="535">
        <f t="shared" si="8"/>
        <v>2023</v>
      </c>
      <c r="D41" s="75">
        <f>((D$28-1)*((100+'VoT4'!$D$26)/100)^$B41) + 1</f>
        <v>1.1306546747898494</v>
      </c>
      <c r="E41" s="75">
        <f>((E$28-1)*((100+'VoT4'!$D$27)/100)^$B41) + 1</f>
        <v>1.1324142099550518</v>
      </c>
      <c r="F41" s="75">
        <f>((F$28-1)*((100+'VoT4'!$D$27)/100)^$B41) + 1</f>
        <v>1.7117149527604505</v>
      </c>
      <c r="G41" s="530">
        <f>((D41*'VoT5'!D$28)+(E41*'VoT5'!D$29)+('Forecast occupancies'!F41*'VoT5'!D$30))/100</f>
        <v>1.3608117390924901</v>
      </c>
      <c r="H41" s="65">
        <f>'VoT3'!$D$27</f>
        <v>1.2</v>
      </c>
      <c r="I41" s="65">
        <f>'VoT3'!$D$28</f>
        <v>1.46</v>
      </c>
      <c r="J41" s="530">
        <f>((H41*'VoT5'!$D$31)+(I41*'VoT5'!$D$32))/100</f>
        <v>1.2311999999999999</v>
      </c>
      <c r="K41" s="860">
        <f>'VoT3'!$D$30</f>
        <v>1</v>
      </c>
      <c r="L41" s="860">
        <f>'VoT3'!$D$31</f>
        <v>1</v>
      </c>
      <c r="M41" s="65">
        <f>('VoT3'!$D$33*'VoT5'!$D$39)/100 + 'VoT3'!$D$32</f>
        <v>1.168791653429633</v>
      </c>
      <c r="N41" s="65">
        <f>('VoT3'!$D$33*'VoT5'!$D$40)/100</f>
        <v>2.2491911578548542</v>
      </c>
      <c r="O41" s="530">
        <f>('VoT3'!$D$33*'VoT5'!$D$41)/100</f>
        <v>9.7820171887155141</v>
      </c>
      <c r="P41" s="531">
        <f t="shared" si="9"/>
        <v>13.200000000000001</v>
      </c>
      <c r="Q41" s="65">
        <f>((Q$28-1)*((100+'VoT4'!$E$26)/100)^$B41) +1</f>
        <v>1.1586074096289325</v>
      </c>
      <c r="R41" s="65">
        <f>((R$28-1)*((100+'VoT4'!$E$27)/100)^$B41) +1</f>
        <v>1.1508273706069019</v>
      </c>
      <c r="S41" s="65">
        <f>((S$28-1)*((100+'VoT4'!$E$27)/100)^$B41) +1</f>
        <v>1.823380766174084</v>
      </c>
      <c r="T41" s="530">
        <f>((Q41*'VoT5'!E$28)+(R41*'VoT5'!E$29)+('Forecast occupancies'!S41*'VoT5'!E$30))/100</f>
        <v>1.6344935826498272</v>
      </c>
      <c r="U41" s="65">
        <f>'VoT3'!$D$27</f>
        <v>1.2</v>
      </c>
      <c r="V41" s="65">
        <f>'VoT3'!$D$28</f>
        <v>1.46</v>
      </c>
      <c r="W41" s="530">
        <f>((U41*'VoT5'!$E$31)+(V41*'VoT5'!$E$32))/100</f>
        <v>1.2311999999999999</v>
      </c>
      <c r="X41" s="860">
        <f>'VoT3'!$D$30</f>
        <v>1</v>
      </c>
      <c r="Y41" s="860">
        <f>'VoT3'!$D$31</f>
        <v>1</v>
      </c>
      <c r="Z41" s="65">
        <f>('VoT3'!$D$33*'VoT5'!$E$39)/100 + 'VoT3'!$D$32</f>
        <v>1.2020901087398195</v>
      </c>
      <c r="AA41" s="65">
        <f>('VoT3'!$D$33*'VoT5'!$E$40)/100</f>
        <v>0.78826992816783981</v>
      </c>
      <c r="AB41" s="530">
        <f>('VoT3'!$D$33*'VoT5'!$E$41)/100</f>
        <v>11.209639963092341</v>
      </c>
      <c r="AC41" s="859">
        <f t="shared" si="10"/>
        <v>13.200000000000001</v>
      </c>
      <c r="AD41" s="65">
        <f>((AD$28-1)*((100+'VoT4'!$F$26)/100)^$B41) +1</f>
        <v>1.1469717467060276</v>
      </c>
      <c r="AE41" s="65">
        <f>((AE$28-1)*((100+'VoT4'!$F$27)/100)^$B41) +1</f>
        <v>1.1363203108454192</v>
      </c>
      <c r="AF41" s="65">
        <f>((AF$28-1)*((100+'VoT4'!$F$27)/100)^$B41) +1</f>
        <v>1.7925210409543946</v>
      </c>
      <c r="AG41" s="530">
        <f>((AD41*'VoT5'!F$28)+(AE41*'VoT5'!F$29)+('Forecast occupancies'!AF41*'VoT5'!F$30))/100</f>
        <v>1.4455150928444727</v>
      </c>
      <c r="AH41" s="65">
        <f>'VoT3'!$D$27</f>
        <v>1.2</v>
      </c>
      <c r="AI41" s="65">
        <f>'VoT3'!$D$28</f>
        <v>1.46</v>
      </c>
      <c r="AJ41" s="530">
        <f>((AH41*'VoT5'!$F$31)+(AI41*'VoT5'!$F$32))/100</f>
        <v>1.2311999999999999</v>
      </c>
      <c r="AK41" s="860">
        <f>'VoT3'!$D$30</f>
        <v>1</v>
      </c>
      <c r="AL41" s="530">
        <f>'VoT3'!$D$31</f>
        <v>1</v>
      </c>
      <c r="AM41" s="65">
        <f>('VoT3'!$D$33*'VoT5'!$F$39)/100 + 'VoT3'!$D$32</f>
        <v>1.2791444318533409</v>
      </c>
      <c r="AN41" s="65">
        <f>('VoT3'!$D$33*'VoT5'!$F$40)/100</f>
        <v>3.163211907560131</v>
      </c>
      <c r="AO41" s="530">
        <f>('VoT3'!$D$33*'VoT5'!$F$41)/100</f>
        <v>8.7576436605865258</v>
      </c>
      <c r="AP41" s="531">
        <f t="shared" si="11"/>
        <v>13.199999999999998</v>
      </c>
      <c r="AQ41" s="65">
        <f>((AQ$28-1)*((100+'VoT4'!$G$26)/100)^$B41) +1</f>
        <v>1.1686731657535445</v>
      </c>
      <c r="AR41" s="65">
        <f>((AR$28-1)*((100+'VoT4'!$G$27)/100)^$B41) +1</f>
        <v>1.1529514408135957</v>
      </c>
      <c r="AS41" s="65">
        <f>((AS$28-1)*((100+'VoT4'!$G$27)/100)^$B41) +1</f>
        <v>1.7861213477735842</v>
      </c>
      <c r="AT41" s="530">
        <f>((AQ41*'VoT5'!G$28)+(AR41*'VoT5'!G$29)+('Forecast occupancies'!AS41*'VoT5'!G$30))/100</f>
        <v>1.4625529734459999</v>
      </c>
      <c r="AU41" s="65">
        <f>'VoT3'!$D$27</f>
        <v>1.2</v>
      </c>
      <c r="AV41" s="65">
        <f>'VoT3'!$D$28</f>
        <v>1.46</v>
      </c>
      <c r="AW41" s="530">
        <f>((AU41*'VoT5'!$G$31)+(AV41*'VoT5'!$G$32))/100</f>
        <v>1.2311999999999999</v>
      </c>
      <c r="AX41" s="530">
        <f>'VoT3'!$D$30</f>
        <v>1</v>
      </c>
      <c r="AY41" s="860">
        <f>'VoT3'!$D$31</f>
        <v>1</v>
      </c>
      <c r="AZ41" s="65">
        <f>('VoT3'!$D$33*'VoT5'!$G$39)/100 + 'VoT3'!$D$32</f>
        <v>1.2777359179706231</v>
      </c>
      <c r="BA41" s="65">
        <f>('VoT3'!$D$33*'VoT5'!$G$40)/100</f>
        <v>4.3240321049185146</v>
      </c>
      <c r="BB41" s="530">
        <f>('VoT3'!$D$33*'VoT5'!$G$41)/100</f>
        <v>7.5982319771108608</v>
      </c>
      <c r="BC41" s="531">
        <f t="shared" si="12"/>
        <v>13.2</v>
      </c>
      <c r="BD41" s="65">
        <f>((BD$28-1)*((100+'VoT4'!$H$26)/100)^$B41) +1</f>
        <v>1.1490125418460642</v>
      </c>
      <c r="BE41" s="65">
        <f>((BE$28-1)*((100+'VoT4'!$H$27)/100)^$B41) +1</f>
        <v>1.1401838093663619</v>
      </c>
      <c r="BF41" s="65">
        <f>((BF$28-1)*((100+'VoT4'!$H$27)/100)^$B41) +1</f>
        <v>1.7905592337282852</v>
      </c>
      <c r="BG41" s="530">
        <f>((BD41*'VoT5'!H$28)+(BE41*'VoT5'!H$29)+('Forecast occupancies'!BF41*'VoT5'!H$30))/100</f>
        <v>1.4923153156000231</v>
      </c>
      <c r="BH41" s="65">
        <f>'VoT3'!$D$27</f>
        <v>1.2</v>
      </c>
      <c r="BI41" s="65">
        <f>'VoT3'!$D$28</f>
        <v>1.46</v>
      </c>
      <c r="BJ41" s="530">
        <f>((BH41*'VoT5'!$H$31)+(BI41*'VoT5'!$H$32))/100</f>
        <v>1.2311999999999999</v>
      </c>
      <c r="BK41" s="860">
        <f>'VoT3'!$D$30</f>
        <v>1</v>
      </c>
      <c r="BL41" s="860">
        <f>'VoT3'!$D$31</f>
        <v>1</v>
      </c>
      <c r="BM41" s="65">
        <f>('VoT3'!$D$33*'VoT5'!$H$39)/100 + 'VoT3'!$D$32</f>
        <v>1.2154161555382865</v>
      </c>
      <c r="BN41" s="65">
        <f>('VoT3'!$D$33*'VoT5'!$H$40)/100</f>
        <v>1.9520129541892906</v>
      </c>
      <c r="BO41" s="530">
        <f>('VoT3'!$D$33*'VoT5'!$H$41)/100</f>
        <v>10.032570890272423</v>
      </c>
      <c r="BP41" s="901">
        <f t="shared" si="13"/>
        <v>13.2</v>
      </c>
      <c r="BQ41" s="672">
        <f>((BQ$28-1)*((100+'VoT4'!$I$26)/100)^$B41) +1</f>
        <v>1.3131774973540897</v>
      </c>
      <c r="BR41" s="65">
        <f>((BR$28-1)*((100+'VoT4'!$I$27)/100)^$B41) +1</f>
        <v>1.2071718111863166</v>
      </c>
      <c r="BS41" s="65">
        <f>((BS$28-1)*((100+'VoT4'!$I$27)/100)^$B41) +1</f>
        <v>2.1200652963923514</v>
      </c>
      <c r="BT41" s="530">
        <f>((BQ41*'VoT5'!I$28)+(BR41*'VoT5'!I$29)+('Forecast occupancies'!BS41*'VoT5'!I$30))/100</f>
        <v>2.020025055906864</v>
      </c>
      <c r="BU41" s="65">
        <f>'VoT3'!$E$27</f>
        <v>1.26</v>
      </c>
      <c r="BV41" s="65">
        <f>'VoT3'!$E$28</f>
        <v>2.0299999999999998</v>
      </c>
      <c r="BW41" s="530">
        <f>((BU41*'VoT5'!$I$31)+(BV41*'VoT5'!$I$32))/100</f>
        <v>1.3524</v>
      </c>
      <c r="BX41" s="530">
        <f>'VoT3'!$E$30</f>
        <v>1</v>
      </c>
      <c r="BY41" s="860">
        <f>'VoT3'!$E$31</f>
        <v>1</v>
      </c>
      <c r="BZ41" s="65">
        <f>('VoT3'!$E$33*'VoT5'!$I$39)/100 + 'VoT3'!$E$32</f>
        <v>1.0656255420478047</v>
      </c>
      <c r="CA41" s="65">
        <f>('VoT3'!$E$33*'VoT5'!$I$40)/100</f>
        <v>0.73949783032666783</v>
      </c>
      <c r="CB41" s="530">
        <f>('VoT3'!$E$33*'VoT5'!$I$41)/100</f>
        <v>11.394876627625528</v>
      </c>
      <c r="CC41" s="901">
        <f t="shared" si="14"/>
        <v>13.200000000000001</v>
      </c>
      <c r="CD41" s="65">
        <f>((CD$28-1)*((100+'VoT4'!$J$26)/100)^$B41) +1</f>
        <v>1.1606654296250507</v>
      </c>
      <c r="CE41" s="65">
        <f>((CE$28-1)*((100+'VoT4'!$J$27)/100)^$B41) +1</f>
        <v>1.145603182870168</v>
      </c>
      <c r="CF41" s="65">
        <f>((CF$28-1)*((100+'VoT4'!$J$27)/100)^$B41) +1</f>
        <v>1.9068315187130187</v>
      </c>
      <c r="CG41" s="530">
        <f>((CD41*'VoT5'!J$28)+(CE41*'VoT5'!J$29)+('Forecast occupancies'!CF41*'VoT5'!J$30))/100</f>
        <v>1.6228231414717587</v>
      </c>
      <c r="CH41" s="65">
        <f>'VoT3'!$F$27</f>
        <v>1.2</v>
      </c>
      <c r="CI41" s="65">
        <f>'VoT3'!$F$28</f>
        <v>1.59</v>
      </c>
      <c r="CJ41" s="530">
        <f>((CH41*'VoT5'!$J$31)+(CI41*'VoT5'!$J$32))/100</f>
        <v>1.2467999999999999</v>
      </c>
      <c r="CK41" s="860">
        <f>'VoT3'!$F$30</f>
        <v>1</v>
      </c>
      <c r="CL41" s="860">
        <f>'VoT3'!$F$31</f>
        <v>1</v>
      </c>
      <c r="CM41" s="65">
        <f>('VoT3'!$F$33*'VoT5'!$J$39)/100 + 'VoT3'!$F$32</f>
        <v>1.1784267265920292</v>
      </c>
      <c r="CN41" s="65">
        <f>('VoT3'!$F$33*'VoT5'!$J$40)/100</f>
        <v>1.652535676565674</v>
      </c>
      <c r="CO41" s="530">
        <f>('VoT3'!$F$33*'VoT5'!$J$41)/100</f>
        <v>10.369037596842293</v>
      </c>
      <c r="CP41" s="901">
        <f t="shared" si="15"/>
        <v>13.199999999999996</v>
      </c>
    </row>
    <row r="42" spans="2:94" ht="13.5" customHeight="1">
      <c r="B42" s="1225">
        <f t="shared" si="0"/>
        <v>14</v>
      </c>
      <c r="C42" s="535">
        <f t="shared" si="8"/>
        <v>2024</v>
      </c>
      <c r="D42" s="75">
        <f>((D$28-1)*((100+'VoT4'!$D$26)/100)^$B42) + 1</f>
        <v>1.1306546747898494</v>
      </c>
      <c r="E42" s="75">
        <f>((E$28-1)*((100+'VoT4'!$D$27)/100)^$B42) + 1</f>
        <v>1.1324142099550518</v>
      </c>
      <c r="F42" s="75">
        <f>((F$28-1)*((100+'VoT4'!$D$27)/100)^$B42) + 1</f>
        <v>1.7117149527604505</v>
      </c>
      <c r="G42" s="530">
        <f>((D42*'VoT5'!D$28)+(E42*'VoT5'!D$29)+('Forecast occupancies'!F42*'VoT5'!D$30))/100</f>
        <v>1.3608117390924901</v>
      </c>
      <c r="H42" s="65">
        <f>'VoT3'!$D$27</f>
        <v>1.2</v>
      </c>
      <c r="I42" s="65">
        <f>'VoT3'!$D$28</f>
        <v>1.46</v>
      </c>
      <c r="J42" s="530">
        <f>((H42*'VoT5'!$D$31)+(I42*'VoT5'!$D$32))/100</f>
        <v>1.2311999999999999</v>
      </c>
      <c r="K42" s="860">
        <f>'VoT3'!$D$30</f>
        <v>1</v>
      </c>
      <c r="L42" s="860">
        <f>'VoT3'!$D$31</f>
        <v>1</v>
      </c>
      <c r="M42" s="65">
        <f>('VoT3'!$D$33*'VoT5'!$D$39)/100 + 'VoT3'!$D$32</f>
        <v>1.168791653429633</v>
      </c>
      <c r="N42" s="65">
        <f>('VoT3'!$D$33*'VoT5'!$D$40)/100</f>
        <v>2.2491911578548542</v>
      </c>
      <c r="O42" s="530">
        <f>('VoT3'!$D$33*'VoT5'!$D$41)/100</f>
        <v>9.7820171887155141</v>
      </c>
      <c r="P42" s="531">
        <f t="shared" si="9"/>
        <v>13.200000000000001</v>
      </c>
      <c r="Q42" s="65">
        <f>((Q$28-1)*((100+'VoT4'!$E$26)/100)^$B42) +1</f>
        <v>1.1586074096289325</v>
      </c>
      <c r="R42" s="65">
        <f>((R$28-1)*((100+'VoT4'!$E$27)/100)^$B42) +1</f>
        <v>1.1508273706069019</v>
      </c>
      <c r="S42" s="65">
        <f>((S$28-1)*((100+'VoT4'!$E$27)/100)^$B42) +1</f>
        <v>1.823380766174084</v>
      </c>
      <c r="T42" s="530">
        <f>((Q42*'VoT5'!E$28)+(R42*'VoT5'!E$29)+('Forecast occupancies'!S42*'VoT5'!E$30))/100</f>
        <v>1.6344935826498272</v>
      </c>
      <c r="U42" s="65">
        <f>'VoT3'!$D$27</f>
        <v>1.2</v>
      </c>
      <c r="V42" s="65">
        <f>'VoT3'!$D$28</f>
        <v>1.46</v>
      </c>
      <c r="W42" s="530">
        <f>((U42*'VoT5'!$E$31)+(V42*'VoT5'!$E$32))/100</f>
        <v>1.2311999999999999</v>
      </c>
      <c r="X42" s="860">
        <f>'VoT3'!$D$30</f>
        <v>1</v>
      </c>
      <c r="Y42" s="860">
        <f>'VoT3'!$D$31</f>
        <v>1</v>
      </c>
      <c r="Z42" s="65">
        <f>('VoT3'!$D$33*'VoT5'!$E$39)/100 + 'VoT3'!$D$32</f>
        <v>1.2020901087398195</v>
      </c>
      <c r="AA42" s="65">
        <f>('VoT3'!$D$33*'VoT5'!$E$40)/100</f>
        <v>0.78826992816783981</v>
      </c>
      <c r="AB42" s="530">
        <f>('VoT3'!$D$33*'VoT5'!$E$41)/100</f>
        <v>11.209639963092341</v>
      </c>
      <c r="AC42" s="859">
        <f t="shared" si="10"/>
        <v>13.200000000000001</v>
      </c>
      <c r="AD42" s="65">
        <f>((AD$28-1)*((100+'VoT4'!$F$26)/100)^$B42) +1</f>
        <v>1.1469717467060276</v>
      </c>
      <c r="AE42" s="65">
        <f>((AE$28-1)*((100+'VoT4'!$F$27)/100)^$B42) +1</f>
        <v>1.1363203108454192</v>
      </c>
      <c r="AF42" s="65">
        <f>((AF$28-1)*((100+'VoT4'!$F$27)/100)^$B42) +1</f>
        <v>1.7925210409543946</v>
      </c>
      <c r="AG42" s="530">
        <f>((AD42*'VoT5'!F$28)+(AE42*'VoT5'!F$29)+('Forecast occupancies'!AF42*'VoT5'!F$30))/100</f>
        <v>1.4455150928444727</v>
      </c>
      <c r="AH42" s="65">
        <f>'VoT3'!$D$27</f>
        <v>1.2</v>
      </c>
      <c r="AI42" s="65">
        <f>'VoT3'!$D$28</f>
        <v>1.46</v>
      </c>
      <c r="AJ42" s="530">
        <f>((AH42*'VoT5'!$F$31)+(AI42*'VoT5'!$F$32))/100</f>
        <v>1.2311999999999999</v>
      </c>
      <c r="AK42" s="860">
        <f>'VoT3'!$D$30</f>
        <v>1</v>
      </c>
      <c r="AL42" s="530">
        <f>'VoT3'!$D$31</f>
        <v>1</v>
      </c>
      <c r="AM42" s="65">
        <f>('VoT3'!$D$33*'VoT5'!$F$39)/100 + 'VoT3'!$D$32</f>
        <v>1.2791444318533409</v>
      </c>
      <c r="AN42" s="65">
        <f>('VoT3'!$D$33*'VoT5'!$F$40)/100</f>
        <v>3.163211907560131</v>
      </c>
      <c r="AO42" s="530">
        <f>('VoT3'!$D$33*'VoT5'!$F$41)/100</f>
        <v>8.7576436605865258</v>
      </c>
      <c r="AP42" s="531">
        <f t="shared" si="11"/>
        <v>13.199999999999998</v>
      </c>
      <c r="AQ42" s="65">
        <f>((AQ$28-1)*((100+'VoT4'!$G$26)/100)^$B42) +1</f>
        <v>1.1686731657535445</v>
      </c>
      <c r="AR42" s="65">
        <f>((AR$28-1)*((100+'VoT4'!$G$27)/100)^$B42) +1</f>
        <v>1.1529514408135957</v>
      </c>
      <c r="AS42" s="65">
        <f>((AS$28-1)*((100+'VoT4'!$G$27)/100)^$B42) +1</f>
        <v>1.7861213477735842</v>
      </c>
      <c r="AT42" s="530">
        <f>((AQ42*'VoT5'!G$28)+(AR42*'VoT5'!G$29)+('Forecast occupancies'!AS42*'VoT5'!G$30))/100</f>
        <v>1.4625529734459999</v>
      </c>
      <c r="AU42" s="65">
        <f>'VoT3'!$D$27</f>
        <v>1.2</v>
      </c>
      <c r="AV42" s="65">
        <f>'VoT3'!$D$28</f>
        <v>1.46</v>
      </c>
      <c r="AW42" s="530">
        <f>((AU42*'VoT5'!$G$31)+(AV42*'VoT5'!$G$32))/100</f>
        <v>1.2311999999999999</v>
      </c>
      <c r="AX42" s="530">
        <f>'VoT3'!$D$30</f>
        <v>1</v>
      </c>
      <c r="AY42" s="860">
        <f>'VoT3'!$D$31</f>
        <v>1</v>
      </c>
      <c r="AZ42" s="65">
        <f>('VoT3'!$D$33*'VoT5'!$G$39)/100 + 'VoT3'!$D$32</f>
        <v>1.2777359179706231</v>
      </c>
      <c r="BA42" s="65">
        <f>('VoT3'!$D$33*'VoT5'!$G$40)/100</f>
        <v>4.3240321049185146</v>
      </c>
      <c r="BB42" s="530">
        <f>('VoT3'!$D$33*'VoT5'!$G$41)/100</f>
        <v>7.5982319771108608</v>
      </c>
      <c r="BC42" s="531">
        <f t="shared" si="12"/>
        <v>13.2</v>
      </c>
      <c r="BD42" s="65">
        <f>((BD$28-1)*((100+'VoT4'!$H$26)/100)^$B42) +1</f>
        <v>1.1490125418460642</v>
      </c>
      <c r="BE42" s="65">
        <f>((BE$28-1)*((100+'VoT4'!$H$27)/100)^$B42) +1</f>
        <v>1.1401838093663619</v>
      </c>
      <c r="BF42" s="65">
        <f>((BF$28-1)*((100+'VoT4'!$H$27)/100)^$B42) +1</f>
        <v>1.7905592337282852</v>
      </c>
      <c r="BG42" s="530">
        <f>((BD42*'VoT5'!H$28)+(BE42*'VoT5'!H$29)+('Forecast occupancies'!BF42*'VoT5'!H$30))/100</f>
        <v>1.4923153156000231</v>
      </c>
      <c r="BH42" s="65">
        <f>'VoT3'!$D$27</f>
        <v>1.2</v>
      </c>
      <c r="BI42" s="65">
        <f>'VoT3'!$D$28</f>
        <v>1.46</v>
      </c>
      <c r="BJ42" s="530">
        <f>((BH42*'VoT5'!$H$31)+(BI42*'VoT5'!$H$32))/100</f>
        <v>1.2311999999999999</v>
      </c>
      <c r="BK42" s="860">
        <f>'VoT3'!$D$30</f>
        <v>1</v>
      </c>
      <c r="BL42" s="860">
        <f>'VoT3'!$D$31</f>
        <v>1</v>
      </c>
      <c r="BM42" s="65">
        <f>('VoT3'!$D$33*'VoT5'!$H$39)/100 + 'VoT3'!$D$32</f>
        <v>1.2154161555382865</v>
      </c>
      <c r="BN42" s="65">
        <f>('VoT3'!$D$33*'VoT5'!$H$40)/100</f>
        <v>1.9520129541892906</v>
      </c>
      <c r="BO42" s="530">
        <f>('VoT3'!$D$33*'VoT5'!$H$41)/100</f>
        <v>10.032570890272423</v>
      </c>
      <c r="BP42" s="901">
        <f t="shared" si="13"/>
        <v>13.2</v>
      </c>
      <c r="BQ42" s="672">
        <f>((BQ$28-1)*((100+'VoT4'!$I$26)/100)^$B42) +1</f>
        <v>1.3131774973540897</v>
      </c>
      <c r="BR42" s="65">
        <f>((BR$28-1)*((100+'VoT4'!$I$27)/100)^$B42) +1</f>
        <v>1.2071718111863166</v>
      </c>
      <c r="BS42" s="65">
        <f>((BS$28-1)*((100+'VoT4'!$I$27)/100)^$B42) +1</f>
        <v>2.1200652963923514</v>
      </c>
      <c r="BT42" s="530">
        <f>((BQ42*'VoT5'!I$28)+(BR42*'VoT5'!I$29)+('Forecast occupancies'!BS42*'VoT5'!I$30))/100</f>
        <v>2.020025055906864</v>
      </c>
      <c r="BU42" s="65">
        <f>'VoT3'!$E$27</f>
        <v>1.26</v>
      </c>
      <c r="BV42" s="65">
        <f>'VoT3'!$E$28</f>
        <v>2.0299999999999998</v>
      </c>
      <c r="BW42" s="530">
        <f>((BU42*'VoT5'!$I$31)+(BV42*'VoT5'!$I$32))/100</f>
        <v>1.3524</v>
      </c>
      <c r="BX42" s="530">
        <f>'VoT3'!$E$30</f>
        <v>1</v>
      </c>
      <c r="BY42" s="860">
        <f>'VoT3'!$E$31</f>
        <v>1</v>
      </c>
      <c r="BZ42" s="65">
        <f>('VoT3'!$E$33*'VoT5'!$I$39)/100 + 'VoT3'!$E$32</f>
        <v>1.0656255420478047</v>
      </c>
      <c r="CA42" s="65">
        <f>('VoT3'!$E$33*'VoT5'!$I$40)/100</f>
        <v>0.73949783032666783</v>
      </c>
      <c r="CB42" s="530">
        <f>('VoT3'!$E$33*'VoT5'!$I$41)/100</f>
        <v>11.394876627625528</v>
      </c>
      <c r="CC42" s="901">
        <f t="shared" si="14"/>
        <v>13.200000000000001</v>
      </c>
      <c r="CD42" s="65">
        <f>((CD$28-1)*((100+'VoT4'!$J$26)/100)^$B42) +1</f>
        <v>1.1606654296250507</v>
      </c>
      <c r="CE42" s="65">
        <f>((CE$28-1)*((100+'VoT4'!$J$27)/100)^$B42) +1</f>
        <v>1.145603182870168</v>
      </c>
      <c r="CF42" s="65">
        <f>((CF$28-1)*((100+'VoT4'!$J$27)/100)^$B42) +1</f>
        <v>1.9068315187130187</v>
      </c>
      <c r="CG42" s="530">
        <f>((CD42*'VoT5'!J$28)+(CE42*'VoT5'!J$29)+('Forecast occupancies'!CF42*'VoT5'!J$30))/100</f>
        <v>1.6228231414717587</v>
      </c>
      <c r="CH42" s="65">
        <f>'VoT3'!$F$27</f>
        <v>1.2</v>
      </c>
      <c r="CI42" s="65">
        <f>'VoT3'!$F$28</f>
        <v>1.59</v>
      </c>
      <c r="CJ42" s="530">
        <f>((CH42*'VoT5'!$J$31)+(CI42*'VoT5'!$J$32))/100</f>
        <v>1.2467999999999999</v>
      </c>
      <c r="CK42" s="860">
        <f>'VoT3'!$F$30</f>
        <v>1</v>
      </c>
      <c r="CL42" s="860">
        <f>'VoT3'!$F$31</f>
        <v>1</v>
      </c>
      <c r="CM42" s="65">
        <f>('VoT3'!$F$33*'VoT5'!$J$39)/100 + 'VoT3'!$F$32</f>
        <v>1.1784267265920292</v>
      </c>
      <c r="CN42" s="65">
        <f>('VoT3'!$F$33*'VoT5'!$J$40)/100</f>
        <v>1.652535676565674</v>
      </c>
      <c r="CO42" s="530">
        <f>('VoT3'!$F$33*'VoT5'!$J$41)/100</f>
        <v>10.369037596842293</v>
      </c>
      <c r="CP42" s="901">
        <f t="shared" si="15"/>
        <v>13.199999999999996</v>
      </c>
    </row>
    <row r="43" spans="2:94" ht="13.5" customHeight="1">
      <c r="B43" s="1225">
        <f t="shared" si="0"/>
        <v>15</v>
      </c>
      <c r="C43" s="535">
        <f t="shared" si="8"/>
        <v>2025</v>
      </c>
      <c r="D43" s="75">
        <f>((D$28-1)*((100+'VoT4'!$D$26)/100)^$B43) + 1</f>
        <v>1.1306546747898494</v>
      </c>
      <c r="E43" s="75">
        <f>((E$28-1)*((100+'VoT4'!$D$27)/100)^$B43) + 1</f>
        <v>1.1324142099550518</v>
      </c>
      <c r="F43" s="75">
        <f>((F$28-1)*((100+'VoT4'!$D$27)/100)^$B43) + 1</f>
        <v>1.7117149527604505</v>
      </c>
      <c r="G43" s="530">
        <f>((D43*'VoT5'!D$28)+(E43*'VoT5'!D$29)+('Forecast occupancies'!F43*'VoT5'!D$30))/100</f>
        <v>1.3608117390924901</v>
      </c>
      <c r="H43" s="65">
        <f>'VoT3'!$D$27</f>
        <v>1.2</v>
      </c>
      <c r="I43" s="65">
        <f>'VoT3'!$D$28</f>
        <v>1.46</v>
      </c>
      <c r="J43" s="530">
        <f>((H43*'VoT5'!$D$31)+(I43*'VoT5'!$D$32))/100</f>
        <v>1.2311999999999999</v>
      </c>
      <c r="K43" s="860">
        <f>'VoT3'!$D$30</f>
        <v>1</v>
      </c>
      <c r="L43" s="860">
        <f>'VoT3'!$D$31</f>
        <v>1</v>
      </c>
      <c r="M43" s="65">
        <f>('VoT3'!$D$33*'VoT5'!$D$39)/100 + 'VoT3'!$D$32</f>
        <v>1.168791653429633</v>
      </c>
      <c r="N43" s="65">
        <f>('VoT3'!$D$33*'VoT5'!$D$40)/100</f>
        <v>2.2491911578548542</v>
      </c>
      <c r="O43" s="530">
        <f>('VoT3'!$D$33*'VoT5'!$D$41)/100</f>
        <v>9.7820171887155141</v>
      </c>
      <c r="P43" s="531">
        <f t="shared" si="9"/>
        <v>13.200000000000001</v>
      </c>
      <c r="Q43" s="65">
        <f>((Q$28-1)*((100+'VoT4'!$E$26)/100)^$B43) +1</f>
        <v>1.1586074096289325</v>
      </c>
      <c r="R43" s="65">
        <f>((R$28-1)*((100+'VoT4'!$E$27)/100)^$B43) +1</f>
        <v>1.1508273706069019</v>
      </c>
      <c r="S43" s="65">
        <f>((S$28-1)*((100+'VoT4'!$E$27)/100)^$B43) +1</f>
        <v>1.823380766174084</v>
      </c>
      <c r="T43" s="530">
        <f>((Q43*'VoT5'!E$28)+(R43*'VoT5'!E$29)+('Forecast occupancies'!S43*'VoT5'!E$30))/100</f>
        <v>1.6344935826498272</v>
      </c>
      <c r="U43" s="65">
        <f>'VoT3'!$D$27</f>
        <v>1.2</v>
      </c>
      <c r="V43" s="65">
        <f>'VoT3'!$D$28</f>
        <v>1.46</v>
      </c>
      <c r="W43" s="530">
        <f>((U43*'VoT5'!$E$31)+(V43*'VoT5'!$E$32))/100</f>
        <v>1.2311999999999999</v>
      </c>
      <c r="X43" s="860">
        <f>'VoT3'!$D$30</f>
        <v>1</v>
      </c>
      <c r="Y43" s="860">
        <f>'VoT3'!$D$31</f>
        <v>1</v>
      </c>
      <c r="Z43" s="65">
        <f>('VoT3'!$D$33*'VoT5'!$E$39)/100 + 'VoT3'!$D$32</f>
        <v>1.2020901087398195</v>
      </c>
      <c r="AA43" s="65">
        <f>('VoT3'!$D$33*'VoT5'!$E$40)/100</f>
        <v>0.78826992816783981</v>
      </c>
      <c r="AB43" s="530">
        <f>('VoT3'!$D$33*'VoT5'!$E$41)/100</f>
        <v>11.209639963092341</v>
      </c>
      <c r="AC43" s="859">
        <f t="shared" si="10"/>
        <v>13.200000000000001</v>
      </c>
      <c r="AD43" s="65">
        <f>((AD$28-1)*((100+'VoT4'!$F$26)/100)^$B43) +1</f>
        <v>1.1469717467060276</v>
      </c>
      <c r="AE43" s="65">
        <f>((AE$28-1)*((100+'VoT4'!$F$27)/100)^$B43) +1</f>
        <v>1.1363203108454192</v>
      </c>
      <c r="AF43" s="65">
        <f>((AF$28-1)*((100+'VoT4'!$F$27)/100)^$B43) +1</f>
        <v>1.7925210409543946</v>
      </c>
      <c r="AG43" s="530">
        <f>((AD43*'VoT5'!F$28)+(AE43*'VoT5'!F$29)+('Forecast occupancies'!AF43*'VoT5'!F$30))/100</f>
        <v>1.4455150928444727</v>
      </c>
      <c r="AH43" s="65">
        <f>'VoT3'!$D$27</f>
        <v>1.2</v>
      </c>
      <c r="AI43" s="65">
        <f>'VoT3'!$D$28</f>
        <v>1.46</v>
      </c>
      <c r="AJ43" s="530">
        <f>((AH43*'VoT5'!$F$31)+(AI43*'VoT5'!$F$32))/100</f>
        <v>1.2311999999999999</v>
      </c>
      <c r="AK43" s="860">
        <f>'VoT3'!$D$30</f>
        <v>1</v>
      </c>
      <c r="AL43" s="530">
        <f>'VoT3'!$D$31</f>
        <v>1</v>
      </c>
      <c r="AM43" s="65">
        <f>('VoT3'!$D$33*'VoT5'!$F$39)/100 + 'VoT3'!$D$32</f>
        <v>1.2791444318533409</v>
      </c>
      <c r="AN43" s="65">
        <f>('VoT3'!$D$33*'VoT5'!$F$40)/100</f>
        <v>3.163211907560131</v>
      </c>
      <c r="AO43" s="530">
        <f>('VoT3'!$D$33*'VoT5'!$F$41)/100</f>
        <v>8.7576436605865258</v>
      </c>
      <c r="AP43" s="531">
        <f t="shared" si="11"/>
        <v>13.199999999999998</v>
      </c>
      <c r="AQ43" s="65">
        <f>((AQ$28-1)*((100+'VoT4'!$G$26)/100)^$B43) +1</f>
        <v>1.1686731657535445</v>
      </c>
      <c r="AR43" s="65">
        <f>((AR$28-1)*((100+'VoT4'!$G$27)/100)^$B43) +1</f>
        <v>1.1529514408135957</v>
      </c>
      <c r="AS43" s="65">
        <f>((AS$28-1)*((100+'VoT4'!$G$27)/100)^$B43) +1</f>
        <v>1.7861213477735842</v>
      </c>
      <c r="AT43" s="530">
        <f>((AQ43*'VoT5'!G$28)+(AR43*'VoT5'!G$29)+('Forecast occupancies'!AS43*'VoT5'!G$30))/100</f>
        <v>1.4625529734459999</v>
      </c>
      <c r="AU43" s="65">
        <f>'VoT3'!$D$27</f>
        <v>1.2</v>
      </c>
      <c r="AV43" s="65">
        <f>'VoT3'!$D$28</f>
        <v>1.46</v>
      </c>
      <c r="AW43" s="530">
        <f>((AU43*'VoT5'!$G$31)+(AV43*'VoT5'!$G$32))/100</f>
        <v>1.2311999999999999</v>
      </c>
      <c r="AX43" s="530">
        <f>'VoT3'!$D$30</f>
        <v>1</v>
      </c>
      <c r="AY43" s="860">
        <f>'VoT3'!$D$31</f>
        <v>1</v>
      </c>
      <c r="AZ43" s="65">
        <f>('VoT3'!$D$33*'VoT5'!$G$39)/100 + 'VoT3'!$D$32</f>
        <v>1.2777359179706231</v>
      </c>
      <c r="BA43" s="65">
        <f>('VoT3'!$D$33*'VoT5'!$G$40)/100</f>
        <v>4.3240321049185146</v>
      </c>
      <c r="BB43" s="530">
        <f>('VoT3'!$D$33*'VoT5'!$G$41)/100</f>
        <v>7.5982319771108608</v>
      </c>
      <c r="BC43" s="531">
        <f t="shared" si="12"/>
        <v>13.2</v>
      </c>
      <c r="BD43" s="65">
        <f>((BD$28-1)*((100+'VoT4'!$H$26)/100)^$B43) +1</f>
        <v>1.1490125418460642</v>
      </c>
      <c r="BE43" s="65">
        <f>((BE$28-1)*((100+'VoT4'!$H$27)/100)^$B43) +1</f>
        <v>1.1401838093663619</v>
      </c>
      <c r="BF43" s="65">
        <f>((BF$28-1)*((100+'VoT4'!$H$27)/100)^$B43) +1</f>
        <v>1.7905592337282852</v>
      </c>
      <c r="BG43" s="530">
        <f>((BD43*'VoT5'!H$28)+(BE43*'VoT5'!H$29)+('Forecast occupancies'!BF43*'VoT5'!H$30))/100</f>
        <v>1.4923153156000231</v>
      </c>
      <c r="BH43" s="65">
        <f>'VoT3'!$D$27</f>
        <v>1.2</v>
      </c>
      <c r="BI43" s="65">
        <f>'VoT3'!$D$28</f>
        <v>1.46</v>
      </c>
      <c r="BJ43" s="530">
        <f>((BH43*'VoT5'!$H$31)+(BI43*'VoT5'!$H$32))/100</f>
        <v>1.2311999999999999</v>
      </c>
      <c r="BK43" s="860">
        <f>'VoT3'!$D$30</f>
        <v>1</v>
      </c>
      <c r="BL43" s="860">
        <f>'VoT3'!$D$31</f>
        <v>1</v>
      </c>
      <c r="BM43" s="65">
        <f>('VoT3'!$D$33*'VoT5'!$H$39)/100 + 'VoT3'!$D$32</f>
        <v>1.2154161555382865</v>
      </c>
      <c r="BN43" s="65">
        <f>('VoT3'!$D$33*'VoT5'!$H$40)/100</f>
        <v>1.9520129541892906</v>
      </c>
      <c r="BO43" s="530">
        <f>('VoT3'!$D$33*'VoT5'!$H$41)/100</f>
        <v>10.032570890272423</v>
      </c>
      <c r="BP43" s="901">
        <f t="shared" si="13"/>
        <v>13.2</v>
      </c>
      <c r="BQ43" s="672">
        <f>((BQ$28-1)*((100+'VoT4'!$I$26)/100)^$B43) +1</f>
        <v>1.3131774973540897</v>
      </c>
      <c r="BR43" s="65">
        <f>((BR$28-1)*((100+'VoT4'!$I$27)/100)^$B43) +1</f>
        <v>1.2071718111863166</v>
      </c>
      <c r="BS43" s="65">
        <f>((BS$28-1)*((100+'VoT4'!$I$27)/100)^$B43) +1</f>
        <v>2.1200652963923514</v>
      </c>
      <c r="BT43" s="530">
        <f>((BQ43*'VoT5'!I$28)+(BR43*'VoT5'!I$29)+('Forecast occupancies'!BS43*'VoT5'!I$30))/100</f>
        <v>2.020025055906864</v>
      </c>
      <c r="BU43" s="65">
        <f>'VoT3'!$E$27</f>
        <v>1.26</v>
      </c>
      <c r="BV43" s="65">
        <f>'VoT3'!$E$28</f>
        <v>2.0299999999999998</v>
      </c>
      <c r="BW43" s="530">
        <f>((BU43*'VoT5'!$I$31)+(BV43*'VoT5'!$I$32))/100</f>
        <v>1.3524</v>
      </c>
      <c r="BX43" s="530">
        <f>'VoT3'!$E$30</f>
        <v>1</v>
      </c>
      <c r="BY43" s="860">
        <f>'VoT3'!$E$31</f>
        <v>1</v>
      </c>
      <c r="BZ43" s="65">
        <f>('VoT3'!$E$33*'VoT5'!$I$39)/100 + 'VoT3'!$E$32</f>
        <v>1.0656255420478047</v>
      </c>
      <c r="CA43" s="65">
        <f>('VoT3'!$E$33*'VoT5'!$I$40)/100</f>
        <v>0.73949783032666783</v>
      </c>
      <c r="CB43" s="530">
        <f>('VoT3'!$E$33*'VoT5'!$I$41)/100</f>
        <v>11.394876627625528</v>
      </c>
      <c r="CC43" s="901">
        <f t="shared" si="14"/>
        <v>13.200000000000001</v>
      </c>
      <c r="CD43" s="65">
        <f>((CD$28-1)*((100+'VoT4'!$J$26)/100)^$B43) +1</f>
        <v>1.1606654296250507</v>
      </c>
      <c r="CE43" s="65">
        <f>((CE$28-1)*((100+'VoT4'!$J$27)/100)^$B43) +1</f>
        <v>1.145603182870168</v>
      </c>
      <c r="CF43" s="65">
        <f>((CF$28-1)*((100+'VoT4'!$J$27)/100)^$B43) +1</f>
        <v>1.9068315187130187</v>
      </c>
      <c r="CG43" s="530">
        <f>((CD43*'VoT5'!J$28)+(CE43*'VoT5'!J$29)+('Forecast occupancies'!CF43*'VoT5'!J$30))/100</f>
        <v>1.6228231414717587</v>
      </c>
      <c r="CH43" s="65">
        <f>'VoT3'!$F$27</f>
        <v>1.2</v>
      </c>
      <c r="CI43" s="65">
        <f>'VoT3'!$F$28</f>
        <v>1.59</v>
      </c>
      <c r="CJ43" s="530">
        <f>((CH43*'VoT5'!$J$31)+(CI43*'VoT5'!$J$32))/100</f>
        <v>1.2467999999999999</v>
      </c>
      <c r="CK43" s="860">
        <f>'VoT3'!$F$30</f>
        <v>1</v>
      </c>
      <c r="CL43" s="860">
        <f>'VoT3'!$F$31</f>
        <v>1</v>
      </c>
      <c r="CM43" s="65">
        <f>('VoT3'!$F$33*'VoT5'!$J$39)/100 + 'VoT3'!$F$32</f>
        <v>1.1784267265920292</v>
      </c>
      <c r="CN43" s="65">
        <f>('VoT3'!$F$33*'VoT5'!$J$40)/100</f>
        <v>1.652535676565674</v>
      </c>
      <c r="CO43" s="530">
        <f>('VoT3'!$F$33*'VoT5'!$J$41)/100</f>
        <v>10.369037596842293</v>
      </c>
      <c r="CP43" s="901">
        <f t="shared" si="15"/>
        <v>13.199999999999996</v>
      </c>
    </row>
    <row r="44" spans="2:94" ht="13.5" customHeight="1">
      <c r="B44" s="1225">
        <f t="shared" si="0"/>
        <v>16</v>
      </c>
      <c r="C44" s="535">
        <f t="shared" si="8"/>
        <v>2026</v>
      </c>
      <c r="D44" s="75">
        <f>((D$28-1)*((100+'VoT4'!$D$26)/100)^$B44) + 1</f>
        <v>1.1306546747898494</v>
      </c>
      <c r="E44" s="75">
        <f>((E$28-1)*((100+'VoT4'!$D$27)/100)^$B44) + 1</f>
        <v>1.1324142099550518</v>
      </c>
      <c r="F44" s="75">
        <f>((F$28-1)*((100+'VoT4'!$D$27)/100)^$B44) + 1</f>
        <v>1.7117149527604505</v>
      </c>
      <c r="G44" s="530">
        <f>((D44*'VoT5'!D$28)+(E44*'VoT5'!D$29)+('Forecast occupancies'!F44*'VoT5'!D$30))/100</f>
        <v>1.3608117390924901</v>
      </c>
      <c r="H44" s="65">
        <f>'VoT3'!$D$27</f>
        <v>1.2</v>
      </c>
      <c r="I44" s="65">
        <f>'VoT3'!$D$28</f>
        <v>1.46</v>
      </c>
      <c r="J44" s="530">
        <f>((H44*'VoT5'!$D$31)+(I44*'VoT5'!$D$32))/100</f>
        <v>1.2311999999999999</v>
      </c>
      <c r="K44" s="860">
        <f>'VoT3'!$D$30</f>
        <v>1</v>
      </c>
      <c r="L44" s="860">
        <f>'VoT3'!$D$31</f>
        <v>1</v>
      </c>
      <c r="M44" s="65">
        <f>('VoT3'!$D$33*'VoT5'!$D$39)/100 + 'VoT3'!$D$32</f>
        <v>1.168791653429633</v>
      </c>
      <c r="N44" s="65">
        <f>('VoT3'!$D$33*'VoT5'!$D$40)/100</f>
        <v>2.2491911578548542</v>
      </c>
      <c r="O44" s="530">
        <f>('VoT3'!$D$33*'VoT5'!$D$41)/100</f>
        <v>9.7820171887155141</v>
      </c>
      <c r="P44" s="531">
        <f t="shared" si="9"/>
        <v>13.200000000000001</v>
      </c>
      <c r="Q44" s="65">
        <f>((Q$28-1)*((100+'VoT4'!$E$26)/100)^$B44) +1</f>
        <v>1.1586074096289325</v>
      </c>
      <c r="R44" s="65">
        <f>((R$28-1)*((100+'VoT4'!$E$27)/100)^$B44) +1</f>
        <v>1.1508273706069019</v>
      </c>
      <c r="S44" s="65">
        <f>((S$28-1)*((100+'VoT4'!$E$27)/100)^$B44) +1</f>
        <v>1.823380766174084</v>
      </c>
      <c r="T44" s="530">
        <f>((Q44*'VoT5'!E$28)+(R44*'VoT5'!E$29)+('Forecast occupancies'!S44*'VoT5'!E$30))/100</f>
        <v>1.6344935826498272</v>
      </c>
      <c r="U44" s="65">
        <f>'VoT3'!$D$27</f>
        <v>1.2</v>
      </c>
      <c r="V44" s="65">
        <f>'VoT3'!$D$28</f>
        <v>1.46</v>
      </c>
      <c r="W44" s="530">
        <f>((U44*'VoT5'!$E$31)+(V44*'VoT5'!$E$32))/100</f>
        <v>1.2311999999999999</v>
      </c>
      <c r="X44" s="860">
        <f>'VoT3'!$D$30</f>
        <v>1</v>
      </c>
      <c r="Y44" s="860">
        <f>'VoT3'!$D$31</f>
        <v>1</v>
      </c>
      <c r="Z44" s="65">
        <f>('VoT3'!$D$33*'VoT5'!$E$39)/100 + 'VoT3'!$D$32</f>
        <v>1.2020901087398195</v>
      </c>
      <c r="AA44" s="65">
        <f>('VoT3'!$D$33*'VoT5'!$E$40)/100</f>
        <v>0.78826992816783981</v>
      </c>
      <c r="AB44" s="530">
        <f>('VoT3'!$D$33*'VoT5'!$E$41)/100</f>
        <v>11.209639963092341</v>
      </c>
      <c r="AC44" s="859">
        <f t="shared" si="10"/>
        <v>13.200000000000001</v>
      </c>
      <c r="AD44" s="65">
        <f>((AD$28-1)*((100+'VoT4'!$F$26)/100)^$B44) +1</f>
        <v>1.1469717467060276</v>
      </c>
      <c r="AE44" s="65">
        <f>((AE$28-1)*((100+'VoT4'!$F$27)/100)^$B44) +1</f>
        <v>1.1363203108454192</v>
      </c>
      <c r="AF44" s="65">
        <f>((AF$28-1)*((100+'VoT4'!$F$27)/100)^$B44) +1</f>
        <v>1.7925210409543946</v>
      </c>
      <c r="AG44" s="530">
        <f>((AD44*'VoT5'!F$28)+(AE44*'VoT5'!F$29)+('Forecast occupancies'!AF44*'VoT5'!F$30))/100</f>
        <v>1.4455150928444727</v>
      </c>
      <c r="AH44" s="65">
        <f>'VoT3'!$D$27</f>
        <v>1.2</v>
      </c>
      <c r="AI44" s="65">
        <f>'VoT3'!$D$28</f>
        <v>1.46</v>
      </c>
      <c r="AJ44" s="530">
        <f>((AH44*'VoT5'!$F$31)+(AI44*'VoT5'!$F$32))/100</f>
        <v>1.2311999999999999</v>
      </c>
      <c r="AK44" s="860">
        <f>'VoT3'!$D$30</f>
        <v>1</v>
      </c>
      <c r="AL44" s="530">
        <f>'VoT3'!$D$31</f>
        <v>1</v>
      </c>
      <c r="AM44" s="65">
        <f>('VoT3'!$D$33*'VoT5'!$F$39)/100 + 'VoT3'!$D$32</f>
        <v>1.2791444318533409</v>
      </c>
      <c r="AN44" s="65">
        <f>('VoT3'!$D$33*'VoT5'!$F$40)/100</f>
        <v>3.163211907560131</v>
      </c>
      <c r="AO44" s="530">
        <f>('VoT3'!$D$33*'VoT5'!$F$41)/100</f>
        <v>8.7576436605865258</v>
      </c>
      <c r="AP44" s="531">
        <f t="shared" si="11"/>
        <v>13.199999999999998</v>
      </c>
      <c r="AQ44" s="65">
        <f>((AQ$28-1)*((100+'VoT4'!$G$26)/100)^$B44) +1</f>
        <v>1.1686731657535445</v>
      </c>
      <c r="AR44" s="65">
        <f>((AR$28-1)*((100+'VoT4'!$G$27)/100)^$B44) +1</f>
        <v>1.1529514408135957</v>
      </c>
      <c r="AS44" s="65">
        <f>((AS$28-1)*((100+'VoT4'!$G$27)/100)^$B44) +1</f>
        <v>1.7861213477735842</v>
      </c>
      <c r="AT44" s="530">
        <f>((AQ44*'VoT5'!G$28)+(AR44*'VoT5'!G$29)+('Forecast occupancies'!AS44*'VoT5'!G$30))/100</f>
        <v>1.4625529734459999</v>
      </c>
      <c r="AU44" s="65">
        <f>'VoT3'!$D$27</f>
        <v>1.2</v>
      </c>
      <c r="AV44" s="65">
        <f>'VoT3'!$D$28</f>
        <v>1.46</v>
      </c>
      <c r="AW44" s="530">
        <f>((AU44*'VoT5'!$G$31)+(AV44*'VoT5'!$G$32))/100</f>
        <v>1.2311999999999999</v>
      </c>
      <c r="AX44" s="530">
        <f>'VoT3'!$D$30</f>
        <v>1</v>
      </c>
      <c r="AY44" s="860">
        <f>'VoT3'!$D$31</f>
        <v>1</v>
      </c>
      <c r="AZ44" s="65">
        <f>('VoT3'!$D$33*'VoT5'!$G$39)/100 + 'VoT3'!$D$32</f>
        <v>1.2777359179706231</v>
      </c>
      <c r="BA44" s="65">
        <f>('VoT3'!$D$33*'VoT5'!$G$40)/100</f>
        <v>4.3240321049185146</v>
      </c>
      <c r="BB44" s="530">
        <f>('VoT3'!$D$33*'VoT5'!$G$41)/100</f>
        <v>7.5982319771108608</v>
      </c>
      <c r="BC44" s="531">
        <f t="shared" si="12"/>
        <v>13.2</v>
      </c>
      <c r="BD44" s="65">
        <f>((BD$28-1)*((100+'VoT4'!$H$26)/100)^$B44) +1</f>
        <v>1.1490125418460642</v>
      </c>
      <c r="BE44" s="65">
        <f>((BE$28-1)*((100+'VoT4'!$H$27)/100)^$B44) +1</f>
        <v>1.1401838093663619</v>
      </c>
      <c r="BF44" s="65">
        <f>((BF$28-1)*((100+'VoT4'!$H$27)/100)^$B44) +1</f>
        <v>1.7905592337282852</v>
      </c>
      <c r="BG44" s="530">
        <f>((BD44*'VoT5'!H$28)+(BE44*'VoT5'!H$29)+('Forecast occupancies'!BF44*'VoT5'!H$30))/100</f>
        <v>1.4923153156000231</v>
      </c>
      <c r="BH44" s="65">
        <f>'VoT3'!$D$27</f>
        <v>1.2</v>
      </c>
      <c r="BI44" s="65">
        <f>'VoT3'!$D$28</f>
        <v>1.46</v>
      </c>
      <c r="BJ44" s="530">
        <f>((BH44*'VoT5'!$H$31)+(BI44*'VoT5'!$H$32))/100</f>
        <v>1.2311999999999999</v>
      </c>
      <c r="BK44" s="860">
        <f>'VoT3'!$D$30</f>
        <v>1</v>
      </c>
      <c r="BL44" s="860">
        <f>'VoT3'!$D$31</f>
        <v>1</v>
      </c>
      <c r="BM44" s="65">
        <f>('VoT3'!$D$33*'VoT5'!$H$39)/100 + 'VoT3'!$D$32</f>
        <v>1.2154161555382865</v>
      </c>
      <c r="BN44" s="65">
        <f>('VoT3'!$D$33*'VoT5'!$H$40)/100</f>
        <v>1.9520129541892906</v>
      </c>
      <c r="BO44" s="530">
        <f>('VoT3'!$D$33*'VoT5'!$H$41)/100</f>
        <v>10.032570890272423</v>
      </c>
      <c r="BP44" s="901">
        <f t="shared" si="13"/>
        <v>13.2</v>
      </c>
      <c r="BQ44" s="672">
        <f>((BQ$28-1)*((100+'VoT4'!$I$26)/100)^$B44) +1</f>
        <v>1.3131774973540897</v>
      </c>
      <c r="BR44" s="65">
        <f>((BR$28-1)*((100+'VoT4'!$I$27)/100)^$B44) +1</f>
        <v>1.2071718111863166</v>
      </c>
      <c r="BS44" s="65">
        <f>((BS$28-1)*((100+'VoT4'!$I$27)/100)^$B44) +1</f>
        <v>2.1200652963923514</v>
      </c>
      <c r="BT44" s="530">
        <f>((BQ44*'VoT5'!I$28)+(BR44*'VoT5'!I$29)+('Forecast occupancies'!BS44*'VoT5'!I$30))/100</f>
        <v>2.020025055906864</v>
      </c>
      <c r="BU44" s="65">
        <f>'VoT3'!$E$27</f>
        <v>1.26</v>
      </c>
      <c r="BV44" s="65">
        <f>'VoT3'!$E$28</f>
        <v>2.0299999999999998</v>
      </c>
      <c r="BW44" s="530">
        <f>((BU44*'VoT5'!$I$31)+(BV44*'VoT5'!$I$32))/100</f>
        <v>1.3524</v>
      </c>
      <c r="BX44" s="530">
        <f>'VoT3'!$E$30</f>
        <v>1</v>
      </c>
      <c r="BY44" s="860">
        <f>'VoT3'!$E$31</f>
        <v>1</v>
      </c>
      <c r="BZ44" s="65">
        <f>('VoT3'!$E$33*'VoT5'!$I$39)/100 + 'VoT3'!$E$32</f>
        <v>1.0656255420478047</v>
      </c>
      <c r="CA44" s="65">
        <f>('VoT3'!$E$33*'VoT5'!$I$40)/100</f>
        <v>0.73949783032666783</v>
      </c>
      <c r="CB44" s="530">
        <f>('VoT3'!$E$33*'VoT5'!$I$41)/100</f>
        <v>11.394876627625528</v>
      </c>
      <c r="CC44" s="901">
        <f t="shared" si="14"/>
        <v>13.200000000000001</v>
      </c>
      <c r="CD44" s="65">
        <f>((CD$28-1)*((100+'VoT4'!$J$26)/100)^$B44) +1</f>
        <v>1.1606654296250507</v>
      </c>
      <c r="CE44" s="65">
        <f>((CE$28-1)*((100+'VoT4'!$J$27)/100)^$B44) +1</f>
        <v>1.145603182870168</v>
      </c>
      <c r="CF44" s="65">
        <f>((CF$28-1)*((100+'VoT4'!$J$27)/100)^$B44) +1</f>
        <v>1.9068315187130187</v>
      </c>
      <c r="CG44" s="530">
        <f>((CD44*'VoT5'!J$28)+(CE44*'VoT5'!J$29)+('Forecast occupancies'!CF44*'VoT5'!J$30))/100</f>
        <v>1.6228231414717587</v>
      </c>
      <c r="CH44" s="65">
        <f>'VoT3'!$F$27</f>
        <v>1.2</v>
      </c>
      <c r="CI44" s="65">
        <f>'VoT3'!$F$28</f>
        <v>1.59</v>
      </c>
      <c r="CJ44" s="530">
        <f>((CH44*'VoT5'!$J$31)+(CI44*'VoT5'!$J$32))/100</f>
        <v>1.2467999999999999</v>
      </c>
      <c r="CK44" s="860">
        <f>'VoT3'!$F$30</f>
        <v>1</v>
      </c>
      <c r="CL44" s="860">
        <f>'VoT3'!$F$31</f>
        <v>1</v>
      </c>
      <c r="CM44" s="65">
        <f>('VoT3'!$F$33*'VoT5'!$J$39)/100 + 'VoT3'!$F$32</f>
        <v>1.1784267265920292</v>
      </c>
      <c r="CN44" s="65">
        <f>('VoT3'!$F$33*'VoT5'!$J$40)/100</f>
        <v>1.652535676565674</v>
      </c>
      <c r="CO44" s="530">
        <f>('VoT3'!$F$33*'VoT5'!$J$41)/100</f>
        <v>10.369037596842293</v>
      </c>
      <c r="CP44" s="901">
        <f t="shared" si="15"/>
        <v>13.199999999999996</v>
      </c>
    </row>
    <row r="45" spans="2:94" ht="13.5" customHeight="1">
      <c r="B45" s="1225">
        <f t="shared" si="0"/>
        <v>17</v>
      </c>
      <c r="C45" s="535">
        <f t="shared" si="8"/>
        <v>2027</v>
      </c>
      <c r="D45" s="75">
        <f>((D$28-1)*((100+'VoT4'!$D$26)/100)^$B45) + 1</f>
        <v>1.1306546747898494</v>
      </c>
      <c r="E45" s="75">
        <f>((E$28-1)*((100+'VoT4'!$D$27)/100)^$B45) + 1</f>
        <v>1.1324142099550518</v>
      </c>
      <c r="F45" s="75">
        <f>((F$28-1)*((100+'VoT4'!$D$27)/100)^$B45) + 1</f>
        <v>1.7117149527604505</v>
      </c>
      <c r="G45" s="530">
        <f>((D45*'VoT5'!D$28)+(E45*'VoT5'!D$29)+('Forecast occupancies'!F45*'VoT5'!D$30))/100</f>
        <v>1.3608117390924901</v>
      </c>
      <c r="H45" s="65">
        <f>'VoT3'!$D$27</f>
        <v>1.2</v>
      </c>
      <c r="I45" s="65">
        <f>'VoT3'!$D$28</f>
        <v>1.46</v>
      </c>
      <c r="J45" s="530">
        <f>((H45*'VoT5'!$D$31)+(I45*'VoT5'!$D$32))/100</f>
        <v>1.2311999999999999</v>
      </c>
      <c r="K45" s="860">
        <f>'VoT3'!$D$30</f>
        <v>1</v>
      </c>
      <c r="L45" s="860">
        <f>'VoT3'!$D$31</f>
        <v>1</v>
      </c>
      <c r="M45" s="65">
        <f>('VoT3'!$D$33*'VoT5'!$D$39)/100 + 'VoT3'!$D$32</f>
        <v>1.168791653429633</v>
      </c>
      <c r="N45" s="65">
        <f>('VoT3'!$D$33*'VoT5'!$D$40)/100</f>
        <v>2.2491911578548542</v>
      </c>
      <c r="O45" s="530">
        <f>('VoT3'!$D$33*'VoT5'!$D$41)/100</f>
        <v>9.7820171887155141</v>
      </c>
      <c r="P45" s="531">
        <f t="shared" si="9"/>
        <v>13.200000000000001</v>
      </c>
      <c r="Q45" s="65">
        <f>((Q$28-1)*((100+'VoT4'!$E$26)/100)^$B45) +1</f>
        <v>1.1586074096289325</v>
      </c>
      <c r="R45" s="65">
        <f>((R$28-1)*((100+'VoT4'!$E$27)/100)^$B45) +1</f>
        <v>1.1508273706069019</v>
      </c>
      <c r="S45" s="65">
        <f>((S$28-1)*((100+'VoT4'!$E$27)/100)^$B45) +1</f>
        <v>1.823380766174084</v>
      </c>
      <c r="T45" s="530">
        <f>((Q45*'VoT5'!E$28)+(R45*'VoT5'!E$29)+('Forecast occupancies'!S45*'VoT5'!E$30))/100</f>
        <v>1.6344935826498272</v>
      </c>
      <c r="U45" s="65">
        <f>'VoT3'!$D$27</f>
        <v>1.2</v>
      </c>
      <c r="V45" s="65">
        <f>'VoT3'!$D$28</f>
        <v>1.46</v>
      </c>
      <c r="W45" s="530">
        <f>((U45*'VoT5'!$E$31)+(V45*'VoT5'!$E$32))/100</f>
        <v>1.2311999999999999</v>
      </c>
      <c r="X45" s="860">
        <f>'VoT3'!$D$30</f>
        <v>1</v>
      </c>
      <c r="Y45" s="860">
        <f>'VoT3'!$D$31</f>
        <v>1</v>
      </c>
      <c r="Z45" s="65">
        <f>('VoT3'!$D$33*'VoT5'!$E$39)/100 + 'VoT3'!$D$32</f>
        <v>1.2020901087398195</v>
      </c>
      <c r="AA45" s="65">
        <f>('VoT3'!$D$33*'VoT5'!$E$40)/100</f>
        <v>0.78826992816783981</v>
      </c>
      <c r="AB45" s="530">
        <f>('VoT3'!$D$33*'VoT5'!$E$41)/100</f>
        <v>11.209639963092341</v>
      </c>
      <c r="AC45" s="859">
        <f t="shared" si="10"/>
        <v>13.200000000000001</v>
      </c>
      <c r="AD45" s="65">
        <f>((AD$28-1)*((100+'VoT4'!$F$26)/100)^$B45) +1</f>
        <v>1.1469717467060276</v>
      </c>
      <c r="AE45" s="65">
        <f>((AE$28-1)*((100+'VoT4'!$F$27)/100)^$B45) +1</f>
        <v>1.1363203108454192</v>
      </c>
      <c r="AF45" s="65">
        <f>((AF$28-1)*((100+'VoT4'!$F$27)/100)^$B45) +1</f>
        <v>1.7925210409543946</v>
      </c>
      <c r="AG45" s="530">
        <f>((AD45*'VoT5'!F$28)+(AE45*'VoT5'!F$29)+('Forecast occupancies'!AF45*'VoT5'!F$30))/100</f>
        <v>1.4455150928444727</v>
      </c>
      <c r="AH45" s="65">
        <f>'VoT3'!$D$27</f>
        <v>1.2</v>
      </c>
      <c r="AI45" s="65">
        <f>'VoT3'!$D$28</f>
        <v>1.46</v>
      </c>
      <c r="AJ45" s="530">
        <f>((AH45*'VoT5'!$F$31)+(AI45*'VoT5'!$F$32))/100</f>
        <v>1.2311999999999999</v>
      </c>
      <c r="AK45" s="860">
        <f>'VoT3'!$D$30</f>
        <v>1</v>
      </c>
      <c r="AL45" s="530">
        <f>'VoT3'!$D$31</f>
        <v>1</v>
      </c>
      <c r="AM45" s="65">
        <f>('VoT3'!$D$33*'VoT5'!$F$39)/100 + 'VoT3'!$D$32</f>
        <v>1.2791444318533409</v>
      </c>
      <c r="AN45" s="65">
        <f>('VoT3'!$D$33*'VoT5'!$F$40)/100</f>
        <v>3.163211907560131</v>
      </c>
      <c r="AO45" s="530">
        <f>('VoT3'!$D$33*'VoT5'!$F$41)/100</f>
        <v>8.7576436605865258</v>
      </c>
      <c r="AP45" s="531">
        <f t="shared" si="11"/>
        <v>13.199999999999998</v>
      </c>
      <c r="AQ45" s="65">
        <f>((AQ$28-1)*((100+'VoT4'!$G$26)/100)^$B45) +1</f>
        <v>1.1686731657535445</v>
      </c>
      <c r="AR45" s="65">
        <f>((AR$28-1)*((100+'VoT4'!$G$27)/100)^$B45) +1</f>
        <v>1.1529514408135957</v>
      </c>
      <c r="AS45" s="65">
        <f>((AS$28-1)*((100+'VoT4'!$G$27)/100)^$B45) +1</f>
        <v>1.7861213477735842</v>
      </c>
      <c r="AT45" s="530">
        <f>((AQ45*'VoT5'!G$28)+(AR45*'VoT5'!G$29)+('Forecast occupancies'!AS45*'VoT5'!G$30))/100</f>
        <v>1.4625529734459999</v>
      </c>
      <c r="AU45" s="65">
        <f>'VoT3'!$D$27</f>
        <v>1.2</v>
      </c>
      <c r="AV45" s="65">
        <f>'VoT3'!$D$28</f>
        <v>1.46</v>
      </c>
      <c r="AW45" s="530">
        <f>((AU45*'VoT5'!$G$31)+(AV45*'VoT5'!$G$32))/100</f>
        <v>1.2311999999999999</v>
      </c>
      <c r="AX45" s="530">
        <f>'VoT3'!$D$30</f>
        <v>1</v>
      </c>
      <c r="AY45" s="860">
        <f>'VoT3'!$D$31</f>
        <v>1</v>
      </c>
      <c r="AZ45" s="65">
        <f>('VoT3'!$D$33*'VoT5'!$G$39)/100 + 'VoT3'!$D$32</f>
        <v>1.2777359179706231</v>
      </c>
      <c r="BA45" s="65">
        <f>('VoT3'!$D$33*'VoT5'!$G$40)/100</f>
        <v>4.3240321049185146</v>
      </c>
      <c r="BB45" s="530">
        <f>('VoT3'!$D$33*'VoT5'!$G$41)/100</f>
        <v>7.5982319771108608</v>
      </c>
      <c r="BC45" s="531">
        <f t="shared" si="12"/>
        <v>13.2</v>
      </c>
      <c r="BD45" s="65">
        <f>((BD$28-1)*((100+'VoT4'!$H$26)/100)^$B45) +1</f>
        <v>1.1490125418460642</v>
      </c>
      <c r="BE45" s="65">
        <f>((BE$28-1)*((100+'VoT4'!$H$27)/100)^$B45) +1</f>
        <v>1.1401838093663619</v>
      </c>
      <c r="BF45" s="65">
        <f>((BF$28-1)*((100+'VoT4'!$H$27)/100)^$B45) +1</f>
        <v>1.7905592337282852</v>
      </c>
      <c r="BG45" s="530">
        <f>((BD45*'VoT5'!H$28)+(BE45*'VoT5'!H$29)+('Forecast occupancies'!BF45*'VoT5'!H$30))/100</f>
        <v>1.4923153156000231</v>
      </c>
      <c r="BH45" s="65">
        <f>'VoT3'!$D$27</f>
        <v>1.2</v>
      </c>
      <c r="BI45" s="65">
        <f>'VoT3'!$D$28</f>
        <v>1.46</v>
      </c>
      <c r="BJ45" s="530">
        <f>((BH45*'VoT5'!$H$31)+(BI45*'VoT5'!$H$32))/100</f>
        <v>1.2311999999999999</v>
      </c>
      <c r="BK45" s="860">
        <f>'VoT3'!$D$30</f>
        <v>1</v>
      </c>
      <c r="BL45" s="860">
        <f>'VoT3'!$D$31</f>
        <v>1</v>
      </c>
      <c r="BM45" s="65">
        <f>('VoT3'!$D$33*'VoT5'!$H$39)/100 + 'VoT3'!$D$32</f>
        <v>1.2154161555382865</v>
      </c>
      <c r="BN45" s="65">
        <f>('VoT3'!$D$33*'VoT5'!$H$40)/100</f>
        <v>1.9520129541892906</v>
      </c>
      <c r="BO45" s="530">
        <f>('VoT3'!$D$33*'VoT5'!$H$41)/100</f>
        <v>10.032570890272423</v>
      </c>
      <c r="BP45" s="901">
        <f t="shared" si="13"/>
        <v>13.2</v>
      </c>
      <c r="BQ45" s="672">
        <f>((BQ$28-1)*((100+'VoT4'!$I$26)/100)^$B45) +1</f>
        <v>1.3131774973540897</v>
      </c>
      <c r="BR45" s="65">
        <f>((BR$28-1)*((100+'VoT4'!$I$27)/100)^$B45) +1</f>
        <v>1.2071718111863166</v>
      </c>
      <c r="BS45" s="65">
        <f>((BS$28-1)*((100+'VoT4'!$I$27)/100)^$B45) +1</f>
        <v>2.1200652963923514</v>
      </c>
      <c r="BT45" s="530">
        <f>((BQ45*'VoT5'!I$28)+(BR45*'VoT5'!I$29)+('Forecast occupancies'!BS45*'VoT5'!I$30))/100</f>
        <v>2.020025055906864</v>
      </c>
      <c r="BU45" s="65">
        <f>'VoT3'!$E$27</f>
        <v>1.26</v>
      </c>
      <c r="BV45" s="65">
        <f>'VoT3'!$E$28</f>
        <v>2.0299999999999998</v>
      </c>
      <c r="BW45" s="530">
        <f>((BU45*'VoT5'!$I$31)+(BV45*'VoT5'!$I$32))/100</f>
        <v>1.3524</v>
      </c>
      <c r="BX45" s="530">
        <f>'VoT3'!$E$30</f>
        <v>1</v>
      </c>
      <c r="BY45" s="860">
        <f>'VoT3'!$E$31</f>
        <v>1</v>
      </c>
      <c r="BZ45" s="65">
        <f>('VoT3'!$E$33*'VoT5'!$I$39)/100 + 'VoT3'!$E$32</f>
        <v>1.0656255420478047</v>
      </c>
      <c r="CA45" s="65">
        <f>('VoT3'!$E$33*'VoT5'!$I$40)/100</f>
        <v>0.73949783032666783</v>
      </c>
      <c r="CB45" s="530">
        <f>('VoT3'!$E$33*'VoT5'!$I$41)/100</f>
        <v>11.394876627625528</v>
      </c>
      <c r="CC45" s="901">
        <f t="shared" si="14"/>
        <v>13.200000000000001</v>
      </c>
      <c r="CD45" s="65">
        <f>((CD$28-1)*((100+'VoT4'!$J$26)/100)^$B45) +1</f>
        <v>1.1606654296250507</v>
      </c>
      <c r="CE45" s="65">
        <f>((CE$28-1)*((100+'VoT4'!$J$27)/100)^$B45) +1</f>
        <v>1.145603182870168</v>
      </c>
      <c r="CF45" s="65">
        <f>((CF$28-1)*((100+'VoT4'!$J$27)/100)^$B45) +1</f>
        <v>1.9068315187130187</v>
      </c>
      <c r="CG45" s="530">
        <f>((CD45*'VoT5'!J$28)+(CE45*'VoT5'!J$29)+('Forecast occupancies'!CF45*'VoT5'!J$30))/100</f>
        <v>1.6228231414717587</v>
      </c>
      <c r="CH45" s="65">
        <f>'VoT3'!$F$27</f>
        <v>1.2</v>
      </c>
      <c r="CI45" s="65">
        <f>'VoT3'!$F$28</f>
        <v>1.59</v>
      </c>
      <c r="CJ45" s="530">
        <f>((CH45*'VoT5'!$J$31)+(CI45*'VoT5'!$J$32))/100</f>
        <v>1.2467999999999999</v>
      </c>
      <c r="CK45" s="860">
        <f>'VoT3'!$F$30</f>
        <v>1</v>
      </c>
      <c r="CL45" s="860">
        <f>'VoT3'!$F$31</f>
        <v>1</v>
      </c>
      <c r="CM45" s="65">
        <f>('VoT3'!$F$33*'VoT5'!$J$39)/100 + 'VoT3'!$F$32</f>
        <v>1.1784267265920292</v>
      </c>
      <c r="CN45" s="65">
        <f>('VoT3'!$F$33*'VoT5'!$J$40)/100</f>
        <v>1.652535676565674</v>
      </c>
      <c r="CO45" s="530">
        <f>('VoT3'!$F$33*'VoT5'!$J$41)/100</f>
        <v>10.369037596842293</v>
      </c>
      <c r="CP45" s="901">
        <f t="shared" si="15"/>
        <v>13.199999999999996</v>
      </c>
    </row>
    <row r="46" spans="2:94" ht="13.5" customHeight="1">
      <c r="B46" s="1225">
        <f t="shared" si="0"/>
        <v>18</v>
      </c>
      <c r="C46" s="535">
        <f t="shared" si="8"/>
        <v>2028</v>
      </c>
      <c r="D46" s="75">
        <f>((D$28-1)*((100+'VoT4'!$D$26)/100)^$B46) + 1</f>
        <v>1.1306546747898494</v>
      </c>
      <c r="E46" s="75">
        <f>((E$28-1)*((100+'VoT4'!$D$27)/100)^$B46) + 1</f>
        <v>1.1324142099550518</v>
      </c>
      <c r="F46" s="75">
        <f>((F$28-1)*((100+'VoT4'!$D$27)/100)^$B46) + 1</f>
        <v>1.7117149527604505</v>
      </c>
      <c r="G46" s="530">
        <f>((D46*'VoT5'!D$28)+(E46*'VoT5'!D$29)+('Forecast occupancies'!F46*'VoT5'!D$30))/100</f>
        <v>1.3608117390924901</v>
      </c>
      <c r="H46" s="65">
        <f>'VoT3'!$D$27</f>
        <v>1.2</v>
      </c>
      <c r="I46" s="65">
        <f>'VoT3'!$D$28</f>
        <v>1.46</v>
      </c>
      <c r="J46" s="530">
        <f>((H46*'VoT5'!$D$31)+(I46*'VoT5'!$D$32))/100</f>
        <v>1.2311999999999999</v>
      </c>
      <c r="K46" s="860">
        <f>'VoT3'!$D$30</f>
        <v>1</v>
      </c>
      <c r="L46" s="860">
        <f>'VoT3'!$D$31</f>
        <v>1</v>
      </c>
      <c r="M46" s="65">
        <f>('VoT3'!$D$33*'VoT5'!$D$39)/100 + 'VoT3'!$D$32</f>
        <v>1.168791653429633</v>
      </c>
      <c r="N46" s="65">
        <f>('VoT3'!$D$33*'VoT5'!$D$40)/100</f>
        <v>2.2491911578548542</v>
      </c>
      <c r="O46" s="530">
        <f>('VoT3'!$D$33*'VoT5'!$D$41)/100</f>
        <v>9.7820171887155141</v>
      </c>
      <c r="P46" s="531">
        <f t="shared" si="9"/>
        <v>13.200000000000001</v>
      </c>
      <c r="Q46" s="65">
        <f>((Q$28-1)*((100+'VoT4'!$E$26)/100)^$B46) +1</f>
        <v>1.1586074096289325</v>
      </c>
      <c r="R46" s="65">
        <f>((R$28-1)*((100+'VoT4'!$E$27)/100)^$B46) +1</f>
        <v>1.1508273706069019</v>
      </c>
      <c r="S46" s="65">
        <f>((S$28-1)*((100+'VoT4'!$E$27)/100)^$B46) +1</f>
        <v>1.823380766174084</v>
      </c>
      <c r="T46" s="530">
        <f>((Q46*'VoT5'!E$28)+(R46*'VoT5'!E$29)+('Forecast occupancies'!S46*'VoT5'!E$30))/100</f>
        <v>1.6344935826498272</v>
      </c>
      <c r="U46" s="65">
        <f>'VoT3'!$D$27</f>
        <v>1.2</v>
      </c>
      <c r="V46" s="65">
        <f>'VoT3'!$D$28</f>
        <v>1.46</v>
      </c>
      <c r="W46" s="530">
        <f>((U46*'VoT5'!$E$31)+(V46*'VoT5'!$E$32))/100</f>
        <v>1.2311999999999999</v>
      </c>
      <c r="X46" s="860">
        <f>'VoT3'!$D$30</f>
        <v>1</v>
      </c>
      <c r="Y46" s="860">
        <f>'VoT3'!$D$31</f>
        <v>1</v>
      </c>
      <c r="Z46" s="65">
        <f>('VoT3'!$D$33*'VoT5'!$E$39)/100 + 'VoT3'!$D$32</f>
        <v>1.2020901087398195</v>
      </c>
      <c r="AA46" s="65">
        <f>('VoT3'!$D$33*'VoT5'!$E$40)/100</f>
        <v>0.78826992816783981</v>
      </c>
      <c r="AB46" s="530">
        <f>('VoT3'!$D$33*'VoT5'!$E$41)/100</f>
        <v>11.209639963092341</v>
      </c>
      <c r="AC46" s="859">
        <f t="shared" si="10"/>
        <v>13.200000000000001</v>
      </c>
      <c r="AD46" s="65">
        <f>((AD$28-1)*((100+'VoT4'!$F$26)/100)^$B46) +1</f>
        <v>1.1469717467060276</v>
      </c>
      <c r="AE46" s="65">
        <f>((AE$28-1)*((100+'VoT4'!$F$27)/100)^$B46) +1</f>
        <v>1.1363203108454192</v>
      </c>
      <c r="AF46" s="65">
        <f>((AF$28-1)*((100+'VoT4'!$F$27)/100)^$B46) +1</f>
        <v>1.7925210409543946</v>
      </c>
      <c r="AG46" s="530">
        <f>((AD46*'VoT5'!F$28)+(AE46*'VoT5'!F$29)+('Forecast occupancies'!AF46*'VoT5'!F$30))/100</f>
        <v>1.4455150928444727</v>
      </c>
      <c r="AH46" s="65">
        <f>'VoT3'!$D$27</f>
        <v>1.2</v>
      </c>
      <c r="AI46" s="65">
        <f>'VoT3'!$D$28</f>
        <v>1.46</v>
      </c>
      <c r="AJ46" s="530">
        <f>((AH46*'VoT5'!$F$31)+(AI46*'VoT5'!$F$32))/100</f>
        <v>1.2311999999999999</v>
      </c>
      <c r="AK46" s="860">
        <f>'VoT3'!$D$30</f>
        <v>1</v>
      </c>
      <c r="AL46" s="530">
        <f>'VoT3'!$D$31</f>
        <v>1</v>
      </c>
      <c r="AM46" s="65">
        <f>('VoT3'!$D$33*'VoT5'!$F$39)/100 + 'VoT3'!$D$32</f>
        <v>1.2791444318533409</v>
      </c>
      <c r="AN46" s="65">
        <f>('VoT3'!$D$33*'VoT5'!$F$40)/100</f>
        <v>3.163211907560131</v>
      </c>
      <c r="AO46" s="530">
        <f>('VoT3'!$D$33*'VoT5'!$F$41)/100</f>
        <v>8.7576436605865258</v>
      </c>
      <c r="AP46" s="531">
        <f t="shared" si="11"/>
        <v>13.199999999999998</v>
      </c>
      <c r="AQ46" s="65">
        <f>((AQ$28-1)*((100+'VoT4'!$G$26)/100)^$B46) +1</f>
        <v>1.1686731657535445</v>
      </c>
      <c r="AR46" s="65">
        <f>((AR$28-1)*((100+'VoT4'!$G$27)/100)^$B46) +1</f>
        <v>1.1529514408135957</v>
      </c>
      <c r="AS46" s="65">
        <f>((AS$28-1)*((100+'VoT4'!$G$27)/100)^$B46) +1</f>
        <v>1.7861213477735842</v>
      </c>
      <c r="AT46" s="530">
        <f>((AQ46*'VoT5'!G$28)+(AR46*'VoT5'!G$29)+('Forecast occupancies'!AS46*'VoT5'!G$30))/100</f>
        <v>1.4625529734459999</v>
      </c>
      <c r="AU46" s="65">
        <f>'VoT3'!$D$27</f>
        <v>1.2</v>
      </c>
      <c r="AV46" s="65">
        <f>'VoT3'!$D$28</f>
        <v>1.46</v>
      </c>
      <c r="AW46" s="530">
        <f>((AU46*'VoT5'!$G$31)+(AV46*'VoT5'!$G$32))/100</f>
        <v>1.2311999999999999</v>
      </c>
      <c r="AX46" s="530">
        <f>'VoT3'!$D$30</f>
        <v>1</v>
      </c>
      <c r="AY46" s="860">
        <f>'VoT3'!$D$31</f>
        <v>1</v>
      </c>
      <c r="AZ46" s="65">
        <f>('VoT3'!$D$33*'VoT5'!$G$39)/100 + 'VoT3'!$D$32</f>
        <v>1.2777359179706231</v>
      </c>
      <c r="BA46" s="65">
        <f>('VoT3'!$D$33*'VoT5'!$G$40)/100</f>
        <v>4.3240321049185146</v>
      </c>
      <c r="BB46" s="530">
        <f>('VoT3'!$D$33*'VoT5'!$G$41)/100</f>
        <v>7.5982319771108608</v>
      </c>
      <c r="BC46" s="531">
        <f t="shared" si="12"/>
        <v>13.2</v>
      </c>
      <c r="BD46" s="65">
        <f>((BD$28-1)*((100+'VoT4'!$H$26)/100)^$B46) +1</f>
        <v>1.1490125418460642</v>
      </c>
      <c r="BE46" s="65">
        <f>((BE$28-1)*((100+'VoT4'!$H$27)/100)^$B46) +1</f>
        <v>1.1401838093663619</v>
      </c>
      <c r="BF46" s="65">
        <f>((BF$28-1)*((100+'VoT4'!$H$27)/100)^$B46) +1</f>
        <v>1.7905592337282852</v>
      </c>
      <c r="BG46" s="530">
        <f>((BD46*'VoT5'!H$28)+(BE46*'VoT5'!H$29)+('Forecast occupancies'!BF46*'VoT5'!H$30))/100</f>
        <v>1.4923153156000231</v>
      </c>
      <c r="BH46" s="65">
        <f>'VoT3'!$D$27</f>
        <v>1.2</v>
      </c>
      <c r="BI46" s="65">
        <f>'VoT3'!$D$28</f>
        <v>1.46</v>
      </c>
      <c r="BJ46" s="530">
        <f>((BH46*'VoT5'!$H$31)+(BI46*'VoT5'!$H$32))/100</f>
        <v>1.2311999999999999</v>
      </c>
      <c r="BK46" s="860">
        <f>'VoT3'!$D$30</f>
        <v>1</v>
      </c>
      <c r="BL46" s="860">
        <f>'VoT3'!$D$31</f>
        <v>1</v>
      </c>
      <c r="BM46" s="65">
        <f>('VoT3'!$D$33*'VoT5'!$H$39)/100 + 'VoT3'!$D$32</f>
        <v>1.2154161555382865</v>
      </c>
      <c r="BN46" s="65">
        <f>('VoT3'!$D$33*'VoT5'!$H$40)/100</f>
        <v>1.9520129541892906</v>
      </c>
      <c r="BO46" s="530">
        <f>('VoT3'!$D$33*'VoT5'!$H$41)/100</f>
        <v>10.032570890272423</v>
      </c>
      <c r="BP46" s="901">
        <f t="shared" si="13"/>
        <v>13.2</v>
      </c>
      <c r="BQ46" s="672">
        <f>((BQ$28-1)*((100+'VoT4'!$I$26)/100)^$B46) +1</f>
        <v>1.3131774973540897</v>
      </c>
      <c r="BR46" s="65">
        <f>((BR$28-1)*((100+'VoT4'!$I$27)/100)^$B46) +1</f>
        <v>1.2071718111863166</v>
      </c>
      <c r="BS46" s="65">
        <f>((BS$28-1)*((100+'VoT4'!$I$27)/100)^$B46) +1</f>
        <v>2.1200652963923514</v>
      </c>
      <c r="BT46" s="530">
        <f>((BQ46*'VoT5'!I$28)+(BR46*'VoT5'!I$29)+('Forecast occupancies'!BS46*'VoT5'!I$30))/100</f>
        <v>2.020025055906864</v>
      </c>
      <c r="BU46" s="65">
        <f>'VoT3'!$E$27</f>
        <v>1.26</v>
      </c>
      <c r="BV46" s="65">
        <f>'VoT3'!$E$28</f>
        <v>2.0299999999999998</v>
      </c>
      <c r="BW46" s="530">
        <f>((BU46*'VoT5'!$I$31)+(BV46*'VoT5'!$I$32))/100</f>
        <v>1.3524</v>
      </c>
      <c r="BX46" s="530">
        <f>'VoT3'!$E$30</f>
        <v>1</v>
      </c>
      <c r="BY46" s="860">
        <f>'VoT3'!$E$31</f>
        <v>1</v>
      </c>
      <c r="BZ46" s="65">
        <f>('VoT3'!$E$33*'VoT5'!$I$39)/100 + 'VoT3'!$E$32</f>
        <v>1.0656255420478047</v>
      </c>
      <c r="CA46" s="65">
        <f>('VoT3'!$E$33*'VoT5'!$I$40)/100</f>
        <v>0.73949783032666783</v>
      </c>
      <c r="CB46" s="530">
        <f>('VoT3'!$E$33*'VoT5'!$I$41)/100</f>
        <v>11.394876627625528</v>
      </c>
      <c r="CC46" s="901">
        <f t="shared" si="14"/>
        <v>13.200000000000001</v>
      </c>
      <c r="CD46" s="65">
        <f>((CD$28-1)*((100+'VoT4'!$J$26)/100)^$B46) +1</f>
        <v>1.1606654296250507</v>
      </c>
      <c r="CE46" s="65">
        <f>((CE$28-1)*((100+'VoT4'!$J$27)/100)^$B46) +1</f>
        <v>1.145603182870168</v>
      </c>
      <c r="CF46" s="65">
        <f>((CF$28-1)*((100+'VoT4'!$J$27)/100)^$B46) +1</f>
        <v>1.9068315187130187</v>
      </c>
      <c r="CG46" s="530">
        <f>((CD46*'VoT5'!J$28)+(CE46*'VoT5'!J$29)+('Forecast occupancies'!CF46*'VoT5'!J$30))/100</f>
        <v>1.6228231414717587</v>
      </c>
      <c r="CH46" s="65">
        <f>'VoT3'!$F$27</f>
        <v>1.2</v>
      </c>
      <c r="CI46" s="65">
        <f>'VoT3'!$F$28</f>
        <v>1.59</v>
      </c>
      <c r="CJ46" s="530">
        <f>((CH46*'VoT5'!$J$31)+(CI46*'VoT5'!$J$32))/100</f>
        <v>1.2467999999999999</v>
      </c>
      <c r="CK46" s="860">
        <f>'VoT3'!$F$30</f>
        <v>1</v>
      </c>
      <c r="CL46" s="860">
        <f>'VoT3'!$F$31</f>
        <v>1</v>
      </c>
      <c r="CM46" s="65">
        <f>('VoT3'!$F$33*'VoT5'!$J$39)/100 + 'VoT3'!$F$32</f>
        <v>1.1784267265920292</v>
      </c>
      <c r="CN46" s="65">
        <f>('VoT3'!$F$33*'VoT5'!$J$40)/100</f>
        <v>1.652535676565674</v>
      </c>
      <c r="CO46" s="530">
        <f>('VoT3'!$F$33*'VoT5'!$J$41)/100</f>
        <v>10.369037596842293</v>
      </c>
      <c r="CP46" s="901">
        <f t="shared" si="15"/>
        <v>13.199999999999996</v>
      </c>
    </row>
    <row r="47" spans="2:94" ht="13.5" customHeight="1">
      <c r="B47" s="1225">
        <f t="shared" si="0"/>
        <v>19</v>
      </c>
      <c r="C47" s="535">
        <f t="shared" si="8"/>
        <v>2029</v>
      </c>
      <c r="D47" s="75">
        <f>((D$28-1)*((100+'VoT4'!$D$26)/100)^$B47) + 1</f>
        <v>1.1306546747898494</v>
      </c>
      <c r="E47" s="75">
        <f>((E$28-1)*((100+'VoT4'!$D$27)/100)^$B47) + 1</f>
        <v>1.1324142099550518</v>
      </c>
      <c r="F47" s="75">
        <f>((F$28-1)*((100+'VoT4'!$D$27)/100)^$B47) + 1</f>
        <v>1.7117149527604505</v>
      </c>
      <c r="G47" s="530">
        <f>((D47*'VoT5'!D$28)+(E47*'VoT5'!D$29)+('Forecast occupancies'!F47*'VoT5'!D$30))/100</f>
        <v>1.3608117390924901</v>
      </c>
      <c r="H47" s="65">
        <f>'VoT3'!$D$27</f>
        <v>1.2</v>
      </c>
      <c r="I47" s="65">
        <f>'VoT3'!$D$28</f>
        <v>1.46</v>
      </c>
      <c r="J47" s="530">
        <f>((H47*'VoT5'!$D$31)+(I47*'VoT5'!$D$32))/100</f>
        <v>1.2311999999999999</v>
      </c>
      <c r="K47" s="860">
        <f>'VoT3'!$D$30</f>
        <v>1</v>
      </c>
      <c r="L47" s="860">
        <f>'VoT3'!$D$31</f>
        <v>1</v>
      </c>
      <c r="M47" s="65">
        <f>('VoT3'!$D$33*'VoT5'!$D$39)/100 + 'VoT3'!$D$32</f>
        <v>1.168791653429633</v>
      </c>
      <c r="N47" s="65">
        <f>('VoT3'!$D$33*'VoT5'!$D$40)/100</f>
        <v>2.2491911578548542</v>
      </c>
      <c r="O47" s="530">
        <f>('VoT3'!$D$33*'VoT5'!$D$41)/100</f>
        <v>9.7820171887155141</v>
      </c>
      <c r="P47" s="531">
        <f t="shared" si="9"/>
        <v>13.200000000000001</v>
      </c>
      <c r="Q47" s="65">
        <f>((Q$28-1)*((100+'VoT4'!$E$26)/100)^$B47) +1</f>
        <v>1.1586074096289325</v>
      </c>
      <c r="R47" s="65">
        <f>((R$28-1)*((100+'VoT4'!$E$27)/100)^$B47) +1</f>
        <v>1.1508273706069019</v>
      </c>
      <c r="S47" s="65">
        <f>((S$28-1)*((100+'VoT4'!$E$27)/100)^$B47) +1</f>
        <v>1.823380766174084</v>
      </c>
      <c r="T47" s="530">
        <f>((Q47*'VoT5'!E$28)+(R47*'VoT5'!E$29)+('Forecast occupancies'!S47*'VoT5'!E$30))/100</f>
        <v>1.6344935826498272</v>
      </c>
      <c r="U47" s="65">
        <f>'VoT3'!$D$27</f>
        <v>1.2</v>
      </c>
      <c r="V47" s="65">
        <f>'VoT3'!$D$28</f>
        <v>1.46</v>
      </c>
      <c r="W47" s="530">
        <f>((U47*'VoT5'!$E$31)+(V47*'VoT5'!$E$32))/100</f>
        <v>1.2311999999999999</v>
      </c>
      <c r="X47" s="860">
        <f>'VoT3'!$D$30</f>
        <v>1</v>
      </c>
      <c r="Y47" s="860">
        <f>'VoT3'!$D$31</f>
        <v>1</v>
      </c>
      <c r="Z47" s="65">
        <f>('VoT3'!$D$33*'VoT5'!$E$39)/100 + 'VoT3'!$D$32</f>
        <v>1.2020901087398195</v>
      </c>
      <c r="AA47" s="65">
        <f>('VoT3'!$D$33*'VoT5'!$E$40)/100</f>
        <v>0.78826992816783981</v>
      </c>
      <c r="AB47" s="530">
        <f>('VoT3'!$D$33*'VoT5'!$E$41)/100</f>
        <v>11.209639963092341</v>
      </c>
      <c r="AC47" s="859">
        <f t="shared" si="10"/>
        <v>13.200000000000001</v>
      </c>
      <c r="AD47" s="65">
        <f>((AD$28-1)*((100+'VoT4'!$F$26)/100)^$B47) +1</f>
        <v>1.1469717467060276</v>
      </c>
      <c r="AE47" s="65">
        <f>((AE$28-1)*((100+'VoT4'!$F$27)/100)^$B47) +1</f>
        <v>1.1363203108454192</v>
      </c>
      <c r="AF47" s="65">
        <f>((AF$28-1)*((100+'VoT4'!$F$27)/100)^$B47) +1</f>
        <v>1.7925210409543946</v>
      </c>
      <c r="AG47" s="530">
        <f>((AD47*'VoT5'!F$28)+(AE47*'VoT5'!F$29)+('Forecast occupancies'!AF47*'VoT5'!F$30))/100</f>
        <v>1.4455150928444727</v>
      </c>
      <c r="AH47" s="65">
        <f>'VoT3'!$D$27</f>
        <v>1.2</v>
      </c>
      <c r="AI47" s="65">
        <f>'VoT3'!$D$28</f>
        <v>1.46</v>
      </c>
      <c r="AJ47" s="530">
        <f>((AH47*'VoT5'!$F$31)+(AI47*'VoT5'!$F$32))/100</f>
        <v>1.2311999999999999</v>
      </c>
      <c r="AK47" s="860">
        <f>'VoT3'!$D$30</f>
        <v>1</v>
      </c>
      <c r="AL47" s="530">
        <f>'VoT3'!$D$31</f>
        <v>1</v>
      </c>
      <c r="AM47" s="65">
        <f>('VoT3'!$D$33*'VoT5'!$F$39)/100 + 'VoT3'!$D$32</f>
        <v>1.2791444318533409</v>
      </c>
      <c r="AN47" s="65">
        <f>('VoT3'!$D$33*'VoT5'!$F$40)/100</f>
        <v>3.163211907560131</v>
      </c>
      <c r="AO47" s="530">
        <f>('VoT3'!$D$33*'VoT5'!$F$41)/100</f>
        <v>8.7576436605865258</v>
      </c>
      <c r="AP47" s="531">
        <f t="shared" si="11"/>
        <v>13.199999999999998</v>
      </c>
      <c r="AQ47" s="65">
        <f>((AQ$28-1)*((100+'VoT4'!$G$26)/100)^$B47) +1</f>
        <v>1.1686731657535445</v>
      </c>
      <c r="AR47" s="65">
        <f>((AR$28-1)*((100+'VoT4'!$G$27)/100)^$B47) +1</f>
        <v>1.1529514408135957</v>
      </c>
      <c r="AS47" s="65">
        <f>((AS$28-1)*((100+'VoT4'!$G$27)/100)^$B47) +1</f>
        <v>1.7861213477735842</v>
      </c>
      <c r="AT47" s="530">
        <f>((AQ47*'VoT5'!G$28)+(AR47*'VoT5'!G$29)+('Forecast occupancies'!AS47*'VoT5'!G$30))/100</f>
        <v>1.4625529734459999</v>
      </c>
      <c r="AU47" s="65">
        <f>'VoT3'!$D$27</f>
        <v>1.2</v>
      </c>
      <c r="AV47" s="65">
        <f>'VoT3'!$D$28</f>
        <v>1.46</v>
      </c>
      <c r="AW47" s="530">
        <f>((AU47*'VoT5'!$G$31)+(AV47*'VoT5'!$G$32))/100</f>
        <v>1.2311999999999999</v>
      </c>
      <c r="AX47" s="530">
        <f>'VoT3'!$D$30</f>
        <v>1</v>
      </c>
      <c r="AY47" s="860">
        <f>'VoT3'!$D$31</f>
        <v>1</v>
      </c>
      <c r="AZ47" s="65">
        <f>('VoT3'!$D$33*'VoT5'!$G$39)/100 + 'VoT3'!$D$32</f>
        <v>1.2777359179706231</v>
      </c>
      <c r="BA47" s="65">
        <f>('VoT3'!$D$33*'VoT5'!$G$40)/100</f>
        <v>4.3240321049185146</v>
      </c>
      <c r="BB47" s="530">
        <f>('VoT3'!$D$33*'VoT5'!$G$41)/100</f>
        <v>7.5982319771108608</v>
      </c>
      <c r="BC47" s="531">
        <f t="shared" si="12"/>
        <v>13.2</v>
      </c>
      <c r="BD47" s="65">
        <f>((BD$28-1)*((100+'VoT4'!$H$26)/100)^$B47) +1</f>
        <v>1.1490125418460642</v>
      </c>
      <c r="BE47" s="65">
        <f>((BE$28-1)*((100+'VoT4'!$H$27)/100)^$B47) +1</f>
        <v>1.1401838093663619</v>
      </c>
      <c r="BF47" s="65">
        <f>((BF$28-1)*((100+'VoT4'!$H$27)/100)^$B47) +1</f>
        <v>1.7905592337282852</v>
      </c>
      <c r="BG47" s="530">
        <f>((BD47*'VoT5'!H$28)+(BE47*'VoT5'!H$29)+('Forecast occupancies'!BF47*'VoT5'!H$30))/100</f>
        <v>1.4923153156000231</v>
      </c>
      <c r="BH47" s="65">
        <f>'VoT3'!$D$27</f>
        <v>1.2</v>
      </c>
      <c r="BI47" s="65">
        <f>'VoT3'!$D$28</f>
        <v>1.46</v>
      </c>
      <c r="BJ47" s="530">
        <f>((BH47*'VoT5'!$H$31)+(BI47*'VoT5'!$H$32))/100</f>
        <v>1.2311999999999999</v>
      </c>
      <c r="BK47" s="860">
        <f>'VoT3'!$D$30</f>
        <v>1</v>
      </c>
      <c r="BL47" s="860">
        <f>'VoT3'!$D$31</f>
        <v>1</v>
      </c>
      <c r="BM47" s="65">
        <f>('VoT3'!$D$33*'VoT5'!$H$39)/100 + 'VoT3'!$D$32</f>
        <v>1.2154161555382865</v>
      </c>
      <c r="BN47" s="65">
        <f>('VoT3'!$D$33*'VoT5'!$H$40)/100</f>
        <v>1.9520129541892906</v>
      </c>
      <c r="BO47" s="530">
        <f>('VoT3'!$D$33*'VoT5'!$H$41)/100</f>
        <v>10.032570890272423</v>
      </c>
      <c r="BP47" s="901">
        <f t="shared" si="13"/>
        <v>13.2</v>
      </c>
      <c r="BQ47" s="672">
        <f>((BQ$28-1)*((100+'VoT4'!$I$26)/100)^$B47) +1</f>
        <v>1.3131774973540897</v>
      </c>
      <c r="BR47" s="65">
        <f>((BR$28-1)*((100+'VoT4'!$I$27)/100)^$B47) +1</f>
        <v>1.2071718111863166</v>
      </c>
      <c r="BS47" s="65">
        <f>((BS$28-1)*((100+'VoT4'!$I$27)/100)^$B47) +1</f>
        <v>2.1200652963923514</v>
      </c>
      <c r="BT47" s="530">
        <f>((BQ47*'VoT5'!I$28)+(BR47*'VoT5'!I$29)+('Forecast occupancies'!BS47*'VoT5'!I$30))/100</f>
        <v>2.020025055906864</v>
      </c>
      <c r="BU47" s="65">
        <f>'VoT3'!$E$27</f>
        <v>1.26</v>
      </c>
      <c r="BV47" s="65">
        <f>'VoT3'!$E$28</f>
        <v>2.0299999999999998</v>
      </c>
      <c r="BW47" s="530">
        <f>((BU47*'VoT5'!$I$31)+(BV47*'VoT5'!$I$32))/100</f>
        <v>1.3524</v>
      </c>
      <c r="BX47" s="530">
        <f>'VoT3'!$E$30</f>
        <v>1</v>
      </c>
      <c r="BY47" s="860">
        <f>'VoT3'!$E$31</f>
        <v>1</v>
      </c>
      <c r="BZ47" s="65">
        <f>('VoT3'!$E$33*'VoT5'!$I$39)/100 + 'VoT3'!$E$32</f>
        <v>1.0656255420478047</v>
      </c>
      <c r="CA47" s="65">
        <f>('VoT3'!$E$33*'VoT5'!$I$40)/100</f>
        <v>0.73949783032666783</v>
      </c>
      <c r="CB47" s="530">
        <f>('VoT3'!$E$33*'VoT5'!$I$41)/100</f>
        <v>11.394876627625528</v>
      </c>
      <c r="CC47" s="901">
        <f t="shared" si="14"/>
        <v>13.200000000000001</v>
      </c>
      <c r="CD47" s="65">
        <f>((CD$28-1)*((100+'VoT4'!$J$26)/100)^$B47) +1</f>
        <v>1.1606654296250507</v>
      </c>
      <c r="CE47" s="65">
        <f>((CE$28-1)*((100+'VoT4'!$J$27)/100)^$B47) +1</f>
        <v>1.145603182870168</v>
      </c>
      <c r="CF47" s="65">
        <f>((CF$28-1)*((100+'VoT4'!$J$27)/100)^$B47) +1</f>
        <v>1.9068315187130187</v>
      </c>
      <c r="CG47" s="530">
        <f>((CD47*'VoT5'!J$28)+(CE47*'VoT5'!J$29)+('Forecast occupancies'!CF47*'VoT5'!J$30))/100</f>
        <v>1.6228231414717587</v>
      </c>
      <c r="CH47" s="65">
        <f>'VoT3'!$F$27</f>
        <v>1.2</v>
      </c>
      <c r="CI47" s="65">
        <f>'VoT3'!$F$28</f>
        <v>1.59</v>
      </c>
      <c r="CJ47" s="530">
        <f>((CH47*'VoT5'!$J$31)+(CI47*'VoT5'!$J$32))/100</f>
        <v>1.2467999999999999</v>
      </c>
      <c r="CK47" s="860">
        <f>'VoT3'!$F$30</f>
        <v>1</v>
      </c>
      <c r="CL47" s="860">
        <f>'VoT3'!$F$31</f>
        <v>1</v>
      </c>
      <c r="CM47" s="65">
        <f>('VoT3'!$F$33*'VoT5'!$J$39)/100 + 'VoT3'!$F$32</f>
        <v>1.1784267265920292</v>
      </c>
      <c r="CN47" s="65">
        <f>('VoT3'!$F$33*'VoT5'!$J$40)/100</f>
        <v>1.652535676565674</v>
      </c>
      <c r="CO47" s="530">
        <f>('VoT3'!$F$33*'VoT5'!$J$41)/100</f>
        <v>10.369037596842293</v>
      </c>
      <c r="CP47" s="901">
        <f t="shared" si="15"/>
        <v>13.199999999999996</v>
      </c>
    </row>
    <row r="48" spans="2:94" ht="13.5" customHeight="1">
      <c r="B48" s="1225">
        <f t="shared" si="0"/>
        <v>20</v>
      </c>
      <c r="C48" s="535">
        <f t="shared" si="8"/>
        <v>2030</v>
      </c>
      <c r="D48" s="75">
        <f>((D$28-1)*((100+'VoT4'!$D$26)/100)^$B48) + 1</f>
        <v>1.1306546747898494</v>
      </c>
      <c r="E48" s="75">
        <f>((E$28-1)*((100+'VoT4'!$D$27)/100)^$B48) + 1</f>
        <v>1.1324142099550518</v>
      </c>
      <c r="F48" s="75">
        <f>((F$28-1)*((100+'VoT4'!$D$27)/100)^$B48) + 1</f>
        <v>1.7117149527604505</v>
      </c>
      <c r="G48" s="530">
        <f>((D48*'VoT5'!D$28)+(E48*'VoT5'!D$29)+('Forecast occupancies'!F48*'VoT5'!D$30))/100</f>
        <v>1.3608117390924901</v>
      </c>
      <c r="H48" s="65">
        <f>'VoT3'!$D$27</f>
        <v>1.2</v>
      </c>
      <c r="I48" s="65">
        <f>'VoT3'!$D$28</f>
        <v>1.46</v>
      </c>
      <c r="J48" s="530">
        <f>((H48*'VoT5'!$D$31)+(I48*'VoT5'!$D$32))/100</f>
        <v>1.2311999999999999</v>
      </c>
      <c r="K48" s="860">
        <f>'VoT3'!$D$30</f>
        <v>1</v>
      </c>
      <c r="L48" s="860">
        <f>'VoT3'!$D$31</f>
        <v>1</v>
      </c>
      <c r="M48" s="65">
        <f>('VoT3'!$D$33*'VoT5'!$D$39)/100 + 'VoT3'!$D$32</f>
        <v>1.168791653429633</v>
      </c>
      <c r="N48" s="65">
        <f>('VoT3'!$D$33*'VoT5'!$D$40)/100</f>
        <v>2.2491911578548542</v>
      </c>
      <c r="O48" s="530">
        <f>('VoT3'!$D$33*'VoT5'!$D$41)/100</f>
        <v>9.7820171887155141</v>
      </c>
      <c r="P48" s="531">
        <f t="shared" si="9"/>
        <v>13.200000000000001</v>
      </c>
      <c r="Q48" s="65">
        <f>((Q$28-1)*((100+'VoT4'!$E$26)/100)^$B48) +1</f>
        <v>1.1586074096289325</v>
      </c>
      <c r="R48" s="65">
        <f>((R$28-1)*((100+'VoT4'!$E$27)/100)^$B48) +1</f>
        <v>1.1508273706069019</v>
      </c>
      <c r="S48" s="65">
        <f>((S$28-1)*((100+'VoT4'!$E$27)/100)^$B48) +1</f>
        <v>1.823380766174084</v>
      </c>
      <c r="T48" s="530">
        <f>((Q48*'VoT5'!E$28)+(R48*'VoT5'!E$29)+('Forecast occupancies'!S48*'VoT5'!E$30))/100</f>
        <v>1.6344935826498272</v>
      </c>
      <c r="U48" s="65">
        <f>'VoT3'!$D$27</f>
        <v>1.2</v>
      </c>
      <c r="V48" s="65">
        <f>'VoT3'!$D$28</f>
        <v>1.46</v>
      </c>
      <c r="W48" s="530">
        <f>((U48*'VoT5'!$E$31)+(V48*'VoT5'!$E$32))/100</f>
        <v>1.2311999999999999</v>
      </c>
      <c r="X48" s="860">
        <f>'VoT3'!$D$30</f>
        <v>1</v>
      </c>
      <c r="Y48" s="860">
        <f>'VoT3'!$D$31</f>
        <v>1</v>
      </c>
      <c r="Z48" s="65">
        <f>('VoT3'!$D$33*'VoT5'!$E$39)/100 + 'VoT3'!$D$32</f>
        <v>1.2020901087398195</v>
      </c>
      <c r="AA48" s="65">
        <f>('VoT3'!$D$33*'VoT5'!$E$40)/100</f>
        <v>0.78826992816783981</v>
      </c>
      <c r="AB48" s="530">
        <f>('VoT3'!$D$33*'VoT5'!$E$41)/100</f>
        <v>11.209639963092341</v>
      </c>
      <c r="AC48" s="859">
        <f t="shared" si="10"/>
        <v>13.200000000000001</v>
      </c>
      <c r="AD48" s="65">
        <f>((AD$28-1)*((100+'VoT4'!$F$26)/100)^$B48) +1</f>
        <v>1.1469717467060276</v>
      </c>
      <c r="AE48" s="65">
        <f>((AE$28-1)*((100+'VoT4'!$F$27)/100)^$B48) +1</f>
        <v>1.1363203108454192</v>
      </c>
      <c r="AF48" s="65">
        <f>((AF$28-1)*((100+'VoT4'!$F$27)/100)^$B48) +1</f>
        <v>1.7925210409543946</v>
      </c>
      <c r="AG48" s="530">
        <f>((AD48*'VoT5'!F$28)+(AE48*'VoT5'!F$29)+('Forecast occupancies'!AF48*'VoT5'!F$30))/100</f>
        <v>1.4455150928444727</v>
      </c>
      <c r="AH48" s="65">
        <f>'VoT3'!$D$27</f>
        <v>1.2</v>
      </c>
      <c r="AI48" s="65">
        <f>'VoT3'!$D$28</f>
        <v>1.46</v>
      </c>
      <c r="AJ48" s="530">
        <f>((AH48*'VoT5'!$F$31)+(AI48*'VoT5'!$F$32))/100</f>
        <v>1.2311999999999999</v>
      </c>
      <c r="AK48" s="860">
        <f>'VoT3'!$D$30</f>
        <v>1</v>
      </c>
      <c r="AL48" s="530">
        <f>'VoT3'!$D$31</f>
        <v>1</v>
      </c>
      <c r="AM48" s="65">
        <f>('VoT3'!$D$33*'VoT5'!$F$39)/100 + 'VoT3'!$D$32</f>
        <v>1.2791444318533409</v>
      </c>
      <c r="AN48" s="65">
        <f>('VoT3'!$D$33*'VoT5'!$F$40)/100</f>
        <v>3.163211907560131</v>
      </c>
      <c r="AO48" s="530">
        <f>('VoT3'!$D$33*'VoT5'!$F$41)/100</f>
        <v>8.7576436605865258</v>
      </c>
      <c r="AP48" s="531">
        <f t="shared" si="11"/>
        <v>13.199999999999998</v>
      </c>
      <c r="AQ48" s="65">
        <f>((AQ$28-1)*((100+'VoT4'!$G$26)/100)^$B48) +1</f>
        <v>1.1686731657535445</v>
      </c>
      <c r="AR48" s="65">
        <f>((AR$28-1)*((100+'VoT4'!$G$27)/100)^$B48) +1</f>
        <v>1.1529514408135957</v>
      </c>
      <c r="AS48" s="65">
        <f>((AS$28-1)*((100+'VoT4'!$G$27)/100)^$B48) +1</f>
        <v>1.7861213477735842</v>
      </c>
      <c r="AT48" s="530">
        <f>((AQ48*'VoT5'!G$28)+(AR48*'VoT5'!G$29)+('Forecast occupancies'!AS48*'VoT5'!G$30))/100</f>
        <v>1.4625529734459999</v>
      </c>
      <c r="AU48" s="65">
        <f>'VoT3'!$D$27</f>
        <v>1.2</v>
      </c>
      <c r="AV48" s="65">
        <f>'VoT3'!$D$28</f>
        <v>1.46</v>
      </c>
      <c r="AW48" s="530">
        <f>((AU48*'VoT5'!$G$31)+(AV48*'VoT5'!$G$32))/100</f>
        <v>1.2311999999999999</v>
      </c>
      <c r="AX48" s="530">
        <f>'VoT3'!$D$30</f>
        <v>1</v>
      </c>
      <c r="AY48" s="860">
        <f>'VoT3'!$D$31</f>
        <v>1</v>
      </c>
      <c r="AZ48" s="65">
        <f>('VoT3'!$D$33*'VoT5'!$G$39)/100 + 'VoT3'!$D$32</f>
        <v>1.2777359179706231</v>
      </c>
      <c r="BA48" s="65">
        <f>('VoT3'!$D$33*'VoT5'!$G$40)/100</f>
        <v>4.3240321049185146</v>
      </c>
      <c r="BB48" s="530">
        <f>('VoT3'!$D$33*'VoT5'!$G$41)/100</f>
        <v>7.5982319771108608</v>
      </c>
      <c r="BC48" s="531">
        <f t="shared" si="12"/>
        <v>13.2</v>
      </c>
      <c r="BD48" s="65">
        <f>((BD$28-1)*((100+'VoT4'!$H$26)/100)^$B48) +1</f>
        <v>1.1490125418460642</v>
      </c>
      <c r="BE48" s="65">
        <f>((BE$28-1)*((100+'VoT4'!$H$27)/100)^$B48) +1</f>
        <v>1.1401838093663619</v>
      </c>
      <c r="BF48" s="65">
        <f>((BF$28-1)*((100+'VoT4'!$H$27)/100)^$B48) +1</f>
        <v>1.7905592337282852</v>
      </c>
      <c r="BG48" s="530">
        <f>((BD48*'VoT5'!H$28)+(BE48*'VoT5'!H$29)+('Forecast occupancies'!BF48*'VoT5'!H$30))/100</f>
        <v>1.4923153156000231</v>
      </c>
      <c r="BH48" s="65">
        <f>'VoT3'!$D$27</f>
        <v>1.2</v>
      </c>
      <c r="BI48" s="65">
        <f>'VoT3'!$D$28</f>
        <v>1.46</v>
      </c>
      <c r="BJ48" s="530">
        <f>((BH48*'VoT5'!$H$31)+(BI48*'VoT5'!$H$32))/100</f>
        <v>1.2311999999999999</v>
      </c>
      <c r="BK48" s="860">
        <f>'VoT3'!$D$30</f>
        <v>1</v>
      </c>
      <c r="BL48" s="860">
        <f>'VoT3'!$D$31</f>
        <v>1</v>
      </c>
      <c r="BM48" s="65">
        <f>('VoT3'!$D$33*'VoT5'!$H$39)/100 + 'VoT3'!$D$32</f>
        <v>1.2154161555382865</v>
      </c>
      <c r="BN48" s="65">
        <f>('VoT3'!$D$33*'VoT5'!$H$40)/100</f>
        <v>1.9520129541892906</v>
      </c>
      <c r="BO48" s="530">
        <f>('VoT3'!$D$33*'VoT5'!$H$41)/100</f>
        <v>10.032570890272423</v>
      </c>
      <c r="BP48" s="901">
        <f t="shared" si="13"/>
        <v>13.2</v>
      </c>
      <c r="BQ48" s="672">
        <f>((BQ$28-1)*((100+'VoT4'!$I$26)/100)^$B48) +1</f>
        <v>1.3131774973540897</v>
      </c>
      <c r="BR48" s="65">
        <f>((BR$28-1)*((100+'VoT4'!$I$27)/100)^$B48) +1</f>
        <v>1.2071718111863166</v>
      </c>
      <c r="BS48" s="65">
        <f>((BS$28-1)*((100+'VoT4'!$I$27)/100)^$B48) +1</f>
        <v>2.1200652963923514</v>
      </c>
      <c r="BT48" s="530">
        <f>((BQ48*'VoT5'!I$28)+(BR48*'VoT5'!I$29)+('Forecast occupancies'!BS48*'VoT5'!I$30))/100</f>
        <v>2.020025055906864</v>
      </c>
      <c r="BU48" s="65">
        <f>'VoT3'!$E$27</f>
        <v>1.26</v>
      </c>
      <c r="BV48" s="65">
        <f>'VoT3'!$E$28</f>
        <v>2.0299999999999998</v>
      </c>
      <c r="BW48" s="530">
        <f>((BU48*'VoT5'!$I$31)+(BV48*'VoT5'!$I$32))/100</f>
        <v>1.3524</v>
      </c>
      <c r="BX48" s="530">
        <f>'VoT3'!$E$30</f>
        <v>1</v>
      </c>
      <c r="BY48" s="860">
        <f>'VoT3'!$E$31</f>
        <v>1</v>
      </c>
      <c r="BZ48" s="65">
        <f>('VoT3'!$E$33*'VoT5'!$I$39)/100 + 'VoT3'!$E$32</f>
        <v>1.0656255420478047</v>
      </c>
      <c r="CA48" s="65">
        <f>('VoT3'!$E$33*'VoT5'!$I$40)/100</f>
        <v>0.73949783032666783</v>
      </c>
      <c r="CB48" s="530">
        <f>('VoT3'!$E$33*'VoT5'!$I$41)/100</f>
        <v>11.394876627625528</v>
      </c>
      <c r="CC48" s="901">
        <f t="shared" si="14"/>
        <v>13.200000000000001</v>
      </c>
      <c r="CD48" s="65">
        <f>((CD$28-1)*((100+'VoT4'!$J$26)/100)^$B48) +1</f>
        <v>1.1606654296250507</v>
      </c>
      <c r="CE48" s="65">
        <f>((CE$28-1)*((100+'VoT4'!$J$27)/100)^$B48) +1</f>
        <v>1.145603182870168</v>
      </c>
      <c r="CF48" s="65">
        <f>((CF$28-1)*((100+'VoT4'!$J$27)/100)^$B48) +1</f>
        <v>1.9068315187130187</v>
      </c>
      <c r="CG48" s="530">
        <f>((CD48*'VoT5'!J$28)+(CE48*'VoT5'!J$29)+('Forecast occupancies'!CF48*'VoT5'!J$30))/100</f>
        <v>1.6228231414717587</v>
      </c>
      <c r="CH48" s="65">
        <f>'VoT3'!$F$27</f>
        <v>1.2</v>
      </c>
      <c r="CI48" s="65">
        <f>'VoT3'!$F$28</f>
        <v>1.59</v>
      </c>
      <c r="CJ48" s="530">
        <f>((CH48*'VoT5'!$J$31)+(CI48*'VoT5'!$J$32))/100</f>
        <v>1.2467999999999999</v>
      </c>
      <c r="CK48" s="860">
        <f>'VoT3'!$F$30</f>
        <v>1</v>
      </c>
      <c r="CL48" s="860">
        <f>'VoT3'!$F$31</f>
        <v>1</v>
      </c>
      <c r="CM48" s="65">
        <f>('VoT3'!$F$33*'VoT5'!$J$39)/100 + 'VoT3'!$F$32</f>
        <v>1.1784267265920292</v>
      </c>
      <c r="CN48" s="65">
        <f>('VoT3'!$F$33*'VoT5'!$J$40)/100</f>
        <v>1.652535676565674</v>
      </c>
      <c r="CO48" s="530">
        <f>('VoT3'!$F$33*'VoT5'!$J$41)/100</f>
        <v>10.369037596842293</v>
      </c>
      <c r="CP48" s="901">
        <f t="shared" si="15"/>
        <v>13.199999999999996</v>
      </c>
    </row>
    <row r="49" spans="2:94" ht="13.5" customHeight="1">
      <c r="B49" s="1225">
        <f t="shared" si="0"/>
        <v>21</v>
      </c>
      <c r="C49" s="535">
        <f t="shared" si="8"/>
        <v>2031</v>
      </c>
      <c r="D49" s="75">
        <f>((D$28-1)*((100+'VoT4'!$D$26)/100)^$B49) + 1</f>
        <v>1.1306546747898494</v>
      </c>
      <c r="E49" s="75">
        <f>((E$28-1)*((100+'VoT4'!$D$27)/100)^$B49) + 1</f>
        <v>1.1324142099550518</v>
      </c>
      <c r="F49" s="75">
        <f>((F$28-1)*((100+'VoT4'!$D$27)/100)^$B49) + 1</f>
        <v>1.7117149527604505</v>
      </c>
      <c r="G49" s="530">
        <f>((D49*'VoT5'!D$28)+(E49*'VoT5'!D$29)+('Forecast occupancies'!F49*'VoT5'!D$30))/100</f>
        <v>1.3608117390924901</v>
      </c>
      <c r="H49" s="65">
        <f>'VoT3'!$D$27</f>
        <v>1.2</v>
      </c>
      <c r="I49" s="65">
        <f>'VoT3'!$D$28</f>
        <v>1.46</v>
      </c>
      <c r="J49" s="530">
        <f>((H49*'VoT5'!$D$31)+(I49*'VoT5'!$D$32))/100</f>
        <v>1.2311999999999999</v>
      </c>
      <c r="K49" s="860">
        <f>'VoT3'!$D$30</f>
        <v>1</v>
      </c>
      <c r="L49" s="860">
        <f>'VoT3'!$D$31</f>
        <v>1</v>
      </c>
      <c r="M49" s="65">
        <f>('VoT3'!$D$33*'VoT5'!$D$39)/100 + 'VoT3'!$D$32</f>
        <v>1.168791653429633</v>
      </c>
      <c r="N49" s="65">
        <f>('VoT3'!$D$33*'VoT5'!$D$40)/100</f>
        <v>2.2491911578548542</v>
      </c>
      <c r="O49" s="530">
        <f>('VoT3'!$D$33*'VoT5'!$D$41)/100</f>
        <v>9.7820171887155141</v>
      </c>
      <c r="P49" s="531">
        <f t="shared" si="9"/>
        <v>13.200000000000001</v>
      </c>
      <c r="Q49" s="65">
        <f>((Q$28-1)*((100+'VoT4'!$E$26)/100)^$B49) +1</f>
        <v>1.1586074096289325</v>
      </c>
      <c r="R49" s="65">
        <f>((R$28-1)*((100+'VoT4'!$E$27)/100)^$B49) +1</f>
        <v>1.1508273706069019</v>
      </c>
      <c r="S49" s="65">
        <f>((S$28-1)*((100+'VoT4'!$E$27)/100)^$B49) +1</f>
        <v>1.823380766174084</v>
      </c>
      <c r="T49" s="530">
        <f>((Q49*'VoT5'!E$28)+(R49*'VoT5'!E$29)+('Forecast occupancies'!S49*'VoT5'!E$30))/100</f>
        <v>1.6344935826498272</v>
      </c>
      <c r="U49" s="65">
        <f>'VoT3'!$D$27</f>
        <v>1.2</v>
      </c>
      <c r="V49" s="65">
        <f>'VoT3'!$D$28</f>
        <v>1.46</v>
      </c>
      <c r="W49" s="530">
        <f>((U49*'VoT5'!$E$31)+(V49*'VoT5'!$E$32))/100</f>
        <v>1.2311999999999999</v>
      </c>
      <c r="X49" s="860">
        <f>'VoT3'!$D$30</f>
        <v>1</v>
      </c>
      <c r="Y49" s="860">
        <f>'VoT3'!$D$31</f>
        <v>1</v>
      </c>
      <c r="Z49" s="65">
        <f>('VoT3'!$D$33*'VoT5'!$E$39)/100 + 'VoT3'!$D$32</f>
        <v>1.2020901087398195</v>
      </c>
      <c r="AA49" s="65">
        <f>('VoT3'!$D$33*'VoT5'!$E$40)/100</f>
        <v>0.78826992816783981</v>
      </c>
      <c r="AB49" s="530">
        <f>('VoT3'!$D$33*'VoT5'!$E$41)/100</f>
        <v>11.209639963092341</v>
      </c>
      <c r="AC49" s="859">
        <f t="shared" si="10"/>
        <v>13.200000000000001</v>
      </c>
      <c r="AD49" s="65">
        <f>((AD$28-1)*((100+'VoT4'!$F$26)/100)^$B49) +1</f>
        <v>1.1469717467060276</v>
      </c>
      <c r="AE49" s="65">
        <f>((AE$28-1)*((100+'VoT4'!$F$27)/100)^$B49) +1</f>
        <v>1.1363203108454192</v>
      </c>
      <c r="AF49" s="65">
        <f>((AF$28-1)*((100+'VoT4'!$F$27)/100)^$B49) +1</f>
        <v>1.7925210409543946</v>
      </c>
      <c r="AG49" s="530">
        <f>((AD49*'VoT5'!F$28)+(AE49*'VoT5'!F$29)+('Forecast occupancies'!AF49*'VoT5'!F$30))/100</f>
        <v>1.4455150928444727</v>
      </c>
      <c r="AH49" s="65">
        <f>'VoT3'!$D$27</f>
        <v>1.2</v>
      </c>
      <c r="AI49" s="65">
        <f>'VoT3'!$D$28</f>
        <v>1.46</v>
      </c>
      <c r="AJ49" s="530">
        <f>((AH49*'VoT5'!$F$31)+(AI49*'VoT5'!$F$32))/100</f>
        <v>1.2311999999999999</v>
      </c>
      <c r="AK49" s="860">
        <f>'VoT3'!$D$30</f>
        <v>1</v>
      </c>
      <c r="AL49" s="530">
        <f>'VoT3'!$D$31</f>
        <v>1</v>
      </c>
      <c r="AM49" s="65">
        <f>('VoT3'!$D$33*'VoT5'!$F$39)/100 + 'VoT3'!$D$32</f>
        <v>1.2791444318533409</v>
      </c>
      <c r="AN49" s="65">
        <f>('VoT3'!$D$33*'VoT5'!$F$40)/100</f>
        <v>3.163211907560131</v>
      </c>
      <c r="AO49" s="530">
        <f>('VoT3'!$D$33*'VoT5'!$F$41)/100</f>
        <v>8.7576436605865258</v>
      </c>
      <c r="AP49" s="531">
        <f t="shared" si="11"/>
        <v>13.199999999999998</v>
      </c>
      <c r="AQ49" s="65">
        <f>((AQ$28-1)*((100+'VoT4'!$G$26)/100)^$B49) +1</f>
        <v>1.1686731657535445</v>
      </c>
      <c r="AR49" s="65">
        <f>((AR$28-1)*((100+'VoT4'!$G$27)/100)^$B49) +1</f>
        <v>1.1529514408135957</v>
      </c>
      <c r="AS49" s="65">
        <f>((AS$28-1)*((100+'VoT4'!$G$27)/100)^$B49) +1</f>
        <v>1.7861213477735842</v>
      </c>
      <c r="AT49" s="530">
        <f>((AQ49*'VoT5'!G$28)+(AR49*'VoT5'!G$29)+('Forecast occupancies'!AS49*'VoT5'!G$30))/100</f>
        <v>1.4625529734459999</v>
      </c>
      <c r="AU49" s="65">
        <f>'VoT3'!$D$27</f>
        <v>1.2</v>
      </c>
      <c r="AV49" s="65">
        <f>'VoT3'!$D$28</f>
        <v>1.46</v>
      </c>
      <c r="AW49" s="530">
        <f>((AU49*'VoT5'!$G$31)+(AV49*'VoT5'!$G$32))/100</f>
        <v>1.2311999999999999</v>
      </c>
      <c r="AX49" s="530">
        <f>'VoT3'!$D$30</f>
        <v>1</v>
      </c>
      <c r="AY49" s="860">
        <f>'VoT3'!$D$31</f>
        <v>1</v>
      </c>
      <c r="AZ49" s="65">
        <f>('VoT3'!$D$33*'VoT5'!$G$39)/100 + 'VoT3'!$D$32</f>
        <v>1.2777359179706231</v>
      </c>
      <c r="BA49" s="65">
        <f>('VoT3'!$D$33*'VoT5'!$G$40)/100</f>
        <v>4.3240321049185146</v>
      </c>
      <c r="BB49" s="530">
        <f>('VoT3'!$D$33*'VoT5'!$G$41)/100</f>
        <v>7.5982319771108608</v>
      </c>
      <c r="BC49" s="531">
        <f t="shared" si="12"/>
        <v>13.2</v>
      </c>
      <c r="BD49" s="65">
        <f>((BD$28-1)*((100+'VoT4'!$H$26)/100)^$B49) +1</f>
        <v>1.1490125418460642</v>
      </c>
      <c r="BE49" s="65">
        <f>((BE$28-1)*((100+'VoT4'!$H$27)/100)^$B49) +1</f>
        <v>1.1401838093663619</v>
      </c>
      <c r="BF49" s="65">
        <f>((BF$28-1)*((100+'VoT4'!$H$27)/100)^$B49) +1</f>
        <v>1.7905592337282852</v>
      </c>
      <c r="BG49" s="530">
        <f>((BD49*'VoT5'!H$28)+(BE49*'VoT5'!H$29)+('Forecast occupancies'!BF49*'VoT5'!H$30))/100</f>
        <v>1.4923153156000231</v>
      </c>
      <c r="BH49" s="65">
        <f>'VoT3'!$D$27</f>
        <v>1.2</v>
      </c>
      <c r="BI49" s="65">
        <f>'VoT3'!$D$28</f>
        <v>1.46</v>
      </c>
      <c r="BJ49" s="530">
        <f>((BH49*'VoT5'!$H$31)+(BI49*'VoT5'!$H$32))/100</f>
        <v>1.2311999999999999</v>
      </c>
      <c r="BK49" s="860">
        <f>'VoT3'!$D$30</f>
        <v>1</v>
      </c>
      <c r="BL49" s="860">
        <f>'VoT3'!$D$31</f>
        <v>1</v>
      </c>
      <c r="BM49" s="65">
        <f>('VoT3'!$D$33*'VoT5'!$H$39)/100 + 'VoT3'!$D$32</f>
        <v>1.2154161555382865</v>
      </c>
      <c r="BN49" s="65">
        <f>('VoT3'!$D$33*'VoT5'!$H$40)/100</f>
        <v>1.9520129541892906</v>
      </c>
      <c r="BO49" s="530">
        <f>('VoT3'!$D$33*'VoT5'!$H$41)/100</f>
        <v>10.032570890272423</v>
      </c>
      <c r="BP49" s="901">
        <f t="shared" si="13"/>
        <v>13.2</v>
      </c>
      <c r="BQ49" s="672">
        <f>((BQ$28-1)*((100+'VoT4'!$I$26)/100)^$B49) +1</f>
        <v>1.3131774973540897</v>
      </c>
      <c r="BR49" s="65">
        <f>((BR$28-1)*((100+'VoT4'!$I$27)/100)^$B49) +1</f>
        <v>1.2071718111863166</v>
      </c>
      <c r="BS49" s="65">
        <f>((BS$28-1)*((100+'VoT4'!$I$27)/100)^$B49) +1</f>
        <v>2.1200652963923514</v>
      </c>
      <c r="BT49" s="530">
        <f>((BQ49*'VoT5'!I$28)+(BR49*'VoT5'!I$29)+('Forecast occupancies'!BS49*'VoT5'!I$30))/100</f>
        <v>2.020025055906864</v>
      </c>
      <c r="BU49" s="65">
        <f>'VoT3'!$E$27</f>
        <v>1.26</v>
      </c>
      <c r="BV49" s="65">
        <f>'VoT3'!$E$28</f>
        <v>2.0299999999999998</v>
      </c>
      <c r="BW49" s="530">
        <f>((BU49*'VoT5'!$I$31)+(BV49*'VoT5'!$I$32))/100</f>
        <v>1.3524</v>
      </c>
      <c r="BX49" s="530">
        <f>'VoT3'!$E$30</f>
        <v>1</v>
      </c>
      <c r="BY49" s="860">
        <f>'VoT3'!$E$31</f>
        <v>1</v>
      </c>
      <c r="BZ49" s="65">
        <f>('VoT3'!$E$33*'VoT5'!$I$39)/100 + 'VoT3'!$E$32</f>
        <v>1.0656255420478047</v>
      </c>
      <c r="CA49" s="65">
        <f>('VoT3'!$E$33*'VoT5'!$I$40)/100</f>
        <v>0.73949783032666783</v>
      </c>
      <c r="CB49" s="530">
        <f>('VoT3'!$E$33*'VoT5'!$I$41)/100</f>
        <v>11.394876627625528</v>
      </c>
      <c r="CC49" s="901">
        <f t="shared" si="14"/>
        <v>13.200000000000001</v>
      </c>
      <c r="CD49" s="65">
        <f>((CD$28-1)*((100+'VoT4'!$J$26)/100)^$B49) +1</f>
        <v>1.1606654296250507</v>
      </c>
      <c r="CE49" s="65">
        <f>((CE$28-1)*((100+'VoT4'!$J$27)/100)^$B49) +1</f>
        <v>1.145603182870168</v>
      </c>
      <c r="CF49" s="65">
        <f>((CF$28-1)*((100+'VoT4'!$J$27)/100)^$B49) +1</f>
        <v>1.9068315187130187</v>
      </c>
      <c r="CG49" s="530">
        <f>((CD49*'VoT5'!J$28)+(CE49*'VoT5'!J$29)+('Forecast occupancies'!CF49*'VoT5'!J$30))/100</f>
        <v>1.6228231414717587</v>
      </c>
      <c r="CH49" s="65">
        <f>'VoT3'!$F$27</f>
        <v>1.2</v>
      </c>
      <c r="CI49" s="65">
        <f>'VoT3'!$F$28</f>
        <v>1.59</v>
      </c>
      <c r="CJ49" s="530">
        <f>((CH49*'VoT5'!$J$31)+(CI49*'VoT5'!$J$32))/100</f>
        <v>1.2467999999999999</v>
      </c>
      <c r="CK49" s="860">
        <f>'VoT3'!$F$30</f>
        <v>1</v>
      </c>
      <c r="CL49" s="860">
        <f>'VoT3'!$F$31</f>
        <v>1</v>
      </c>
      <c r="CM49" s="65">
        <f>('VoT3'!$F$33*'VoT5'!$J$39)/100 + 'VoT3'!$F$32</f>
        <v>1.1784267265920292</v>
      </c>
      <c r="CN49" s="65">
        <f>('VoT3'!$F$33*'VoT5'!$J$40)/100</f>
        <v>1.652535676565674</v>
      </c>
      <c r="CO49" s="530">
        <f>('VoT3'!$F$33*'VoT5'!$J$41)/100</f>
        <v>10.369037596842293</v>
      </c>
      <c r="CP49" s="901">
        <f t="shared" si="15"/>
        <v>13.199999999999996</v>
      </c>
    </row>
    <row r="50" spans="2:94" ht="13.5" customHeight="1">
      <c r="B50" s="1225">
        <f t="shared" si="0"/>
        <v>22</v>
      </c>
      <c r="C50" s="535">
        <f t="shared" si="8"/>
        <v>2032</v>
      </c>
      <c r="D50" s="75">
        <f>((D$28-1)*((100+'VoT4'!$D$26)/100)^$B50) + 1</f>
        <v>1.1306546747898494</v>
      </c>
      <c r="E50" s="75">
        <f>((E$28-1)*((100+'VoT4'!$D$27)/100)^$B50) + 1</f>
        <v>1.1324142099550518</v>
      </c>
      <c r="F50" s="75">
        <f>((F$28-1)*((100+'VoT4'!$D$27)/100)^$B50) + 1</f>
        <v>1.7117149527604505</v>
      </c>
      <c r="G50" s="530">
        <f>((D50*'VoT5'!D$28)+(E50*'VoT5'!D$29)+('Forecast occupancies'!F50*'VoT5'!D$30))/100</f>
        <v>1.3608117390924901</v>
      </c>
      <c r="H50" s="65">
        <f>'VoT3'!$D$27</f>
        <v>1.2</v>
      </c>
      <c r="I50" s="65">
        <f>'VoT3'!$D$28</f>
        <v>1.46</v>
      </c>
      <c r="J50" s="530">
        <f>((H50*'VoT5'!$D$31)+(I50*'VoT5'!$D$32))/100</f>
        <v>1.2311999999999999</v>
      </c>
      <c r="K50" s="860">
        <f>'VoT3'!$D$30</f>
        <v>1</v>
      </c>
      <c r="L50" s="860">
        <f>'VoT3'!$D$31</f>
        <v>1</v>
      </c>
      <c r="M50" s="65">
        <f>('VoT3'!$D$33*'VoT5'!$D$39)/100 + 'VoT3'!$D$32</f>
        <v>1.168791653429633</v>
      </c>
      <c r="N50" s="65">
        <f>('VoT3'!$D$33*'VoT5'!$D$40)/100</f>
        <v>2.2491911578548542</v>
      </c>
      <c r="O50" s="530">
        <f>('VoT3'!$D$33*'VoT5'!$D$41)/100</f>
        <v>9.7820171887155141</v>
      </c>
      <c r="P50" s="531">
        <f t="shared" si="9"/>
        <v>13.200000000000001</v>
      </c>
      <c r="Q50" s="65">
        <f>((Q$28-1)*((100+'VoT4'!$E$26)/100)^$B50) +1</f>
        <v>1.1586074096289325</v>
      </c>
      <c r="R50" s="65">
        <f>((R$28-1)*((100+'VoT4'!$E$27)/100)^$B50) +1</f>
        <v>1.1508273706069019</v>
      </c>
      <c r="S50" s="65">
        <f>((S$28-1)*((100+'VoT4'!$E$27)/100)^$B50) +1</f>
        <v>1.823380766174084</v>
      </c>
      <c r="T50" s="530">
        <f>((Q50*'VoT5'!E$28)+(R50*'VoT5'!E$29)+('Forecast occupancies'!S50*'VoT5'!E$30))/100</f>
        <v>1.6344935826498272</v>
      </c>
      <c r="U50" s="65">
        <f>'VoT3'!$D$27</f>
        <v>1.2</v>
      </c>
      <c r="V50" s="65">
        <f>'VoT3'!$D$28</f>
        <v>1.46</v>
      </c>
      <c r="W50" s="530">
        <f>((U50*'VoT5'!$E$31)+(V50*'VoT5'!$E$32))/100</f>
        <v>1.2311999999999999</v>
      </c>
      <c r="X50" s="860">
        <f>'VoT3'!$D$30</f>
        <v>1</v>
      </c>
      <c r="Y50" s="860">
        <f>'VoT3'!$D$31</f>
        <v>1</v>
      </c>
      <c r="Z50" s="65">
        <f>('VoT3'!$D$33*'VoT5'!$E$39)/100 + 'VoT3'!$D$32</f>
        <v>1.2020901087398195</v>
      </c>
      <c r="AA50" s="65">
        <f>('VoT3'!$D$33*'VoT5'!$E$40)/100</f>
        <v>0.78826992816783981</v>
      </c>
      <c r="AB50" s="530">
        <f>('VoT3'!$D$33*'VoT5'!$E$41)/100</f>
        <v>11.209639963092341</v>
      </c>
      <c r="AC50" s="859">
        <f t="shared" si="10"/>
        <v>13.200000000000001</v>
      </c>
      <c r="AD50" s="65">
        <f>((AD$28-1)*((100+'VoT4'!$F$26)/100)^$B50) +1</f>
        <v>1.1469717467060276</v>
      </c>
      <c r="AE50" s="65">
        <f>((AE$28-1)*((100+'VoT4'!$F$27)/100)^$B50) +1</f>
        <v>1.1363203108454192</v>
      </c>
      <c r="AF50" s="65">
        <f>((AF$28-1)*((100+'VoT4'!$F$27)/100)^$B50) +1</f>
        <v>1.7925210409543946</v>
      </c>
      <c r="AG50" s="530">
        <f>((AD50*'VoT5'!F$28)+(AE50*'VoT5'!F$29)+('Forecast occupancies'!AF50*'VoT5'!F$30))/100</f>
        <v>1.4455150928444727</v>
      </c>
      <c r="AH50" s="65">
        <f>'VoT3'!$D$27</f>
        <v>1.2</v>
      </c>
      <c r="AI50" s="65">
        <f>'VoT3'!$D$28</f>
        <v>1.46</v>
      </c>
      <c r="AJ50" s="530">
        <f>((AH50*'VoT5'!$F$31)+(AI50*'VoT5'!$F$32))/100</f>
        <v>1.2311999999999999</v>
      </c>
      <c r="AK50" s="860">
        <f>'VoT3'!$D$30</f>
        <v>1</v>
      </c>
      <c r="AL50" s="530">
        <f>'VoT3'!$D$31</f>
        <v>1</v>
      </c>
      <c r="AM50" s="65">
        <f>('VoT3'!$D$33*'VoT5'!$F$39)/100 + 'VoT3'!$D$32</f>
        <v>1.2791444318533409</v>
      </c>
      <c r="AN50" s="65">
        <f>('VoT3'!$D$33*'VoT5'!$F$40)/100</f>
        <v>3.163211907560131</v>
      </c>
      <c r="AO50" s="530">
        <f>('VoT3'!$D$33*'VoT5'!$F$41)/100</f>
        <v>8.7576436605865258</v>
      </c>
      <c r="AP50" s="531">
        <f t="shared" si="11"/>
        <v>13.199999999999998</v>
      </c>
      <c r="AQ50" s="65">
        <f>((AQ$28-1)*((100+'VoT4'!$G$26)/100)^$B50) +1</f>
        <v>1.1686731657535445</v>
      </c>
      <c r="AR50" s="65">
        <f>((AR$28-1)*((100+'VoT4'!$G$27)/100)^$B50) +1</f>
        <v>1.1529514408135957</v>
      </c>
      <c r="AS50" s="65">
        <f>((AS$28-1)*((100+'VoT4'!$G$27)/100)^$B50) +1</f>
        <v>1.7861213477735842</v>
      </c>
      <c r="AT50" s="530">
        <f>((AQ50*'VoT5'!G$28)+(AR50*'VoT5'!G$29)+('Forecast occupancies'!AS50*'VoT5'!G$30))/100</f>
        <v>1.4625529734459999</v>
      </c>
      <c r="AU50" s="65">
        <f>'VoT3'!$D$27</f>
        <v>1.2</v>
      </c>
      <c r="AV50" s="65">
        <f>'VoT3'!$D$28</f>
        <v>1.46</v>
      </c>
      <c r="AW50" s="530">
        <f>((AU50*'VoT5'!$G$31)+(AV50*'VoT5'!$G$32))/100</f>
        <v>1.2311999999999999</v>
      </c>
      <c r="AX50" s="530">
        <f>'VoT3'!$D$30</f>
        <v>1</v>
      </c>
      <c r="AY50" s="860">
        <f>'VoT3'!$D$31</f>
        <v>1</v>
      </c>
      <c r="AZ50" s="65">
        <f>('VoT3'!$D$33*'VoT5'!$G$39)/100 + 'VoT3'!$D$32</f>
        <v>1.2777359179706231</v>
      </c>
      <c r="BA50" s="65">
        <f>('VoT3'!$D$33*'VoT5'!$G$40)/100</f>
        <v>4.3240321049185146</v>
      </c>
      <c r="BB50" s="530">
        <f>('VoT3'!$D$33*'VoT5'!$G$41)/100</f>
        <v>7.5982319771108608</v>
      </c>
      <c r="BC50" s="531">
        <f t="shared" si="12"/>
        <v>13.2</v>
      </c>
      <c r="BD50" s="65">
        <f>((BD$28-1)*((100+'VoT4'!$H$26)/100)^$B50) +1</f>
        <v>1.1490125418460642</v>
      </c>
      <c r="BE50" s="65">
        <f>((BE$28-1)*((100+'VoT4'!$H$27)/100)^$B50) +1</f>
        <v>1.1401838093663619</v>
      </c>
      <c r="BF50" s="65">
        <f>((BF$28-1)*((100+'VoT4'!$H$27)/100)^$B50) +1</f>
        <v>1.7905592337282852</v>
      </c>
      <c r="BG50" s="530">
        <f>((BD50*'VoT5'!H$28)+(BE50*'VoT5'!H$29)+('Forecast occupancies'!BF50*'VoT5'!H$30))/100</f>
        <v>1.4923153156000231</v>
      </c>
      <c r="BH50" s="65">
        <f>'VoT3'!$D$27</f>
        <v>1.2</v>
      </c>
      <c r="BI50" s="65">
        <f>'VoT3'!$D$28</f>
        <v>1.46</v>
      </c>
      <c r="BJ50" s="530">
        <f>((BH50*'VoT5'!$H$31)+(BI50*'VoT5'!$H$32))/100</f>
        <v>1.2311999999999999</v>
      </c>
      <c r="BK50" s="860">
        <f>'VoT3'!$D$30</f>
        <v>1</v>
      </c>
      <c r="BL50" s="860">
        <f>'VoT3'!$D$31</f>
        <v>1</v>
      </c>
      <c r="BM50" s="65">
        <f>('VoT3'!$D$33*'VoT5'!$H$39)/100 + 'VoT3'!$D$32</f>
        <v>1.2154161555382865</v>
      </c>
      <c r="BN50" s="65">
        <f>('VoT3'!$D$33*'VoT5'!$H$40)/100</f>
        <v>1.9520129541892906</v>
      </c>
      <c r="BO50" s="530">
        <f>('VoT3'!$D$33*'VoT5'!$H$41)/100</f>
        <v>10.032570890272423</v>
      </c>
      <c r="BP50" s="901">
        <f t="shared" si="13"/>
        <v>13.2</v>
      </c>
      <c r="BQ50" s="672">
        <f>((BQ$28-1)*((100+'VoT4'!$I$26)/100)^$B50) +1</f>
        <v>1.3131774973540897</v>
      </c>
      <c r="BR50" s="65">
        <f>((BR$28-1)*((100+'VoT4'!$I$27)/100)^$B50) +1</f>
        <v>1.2071718111863166</v>
      </c>
      <c r="BS50" s="65">
        <f>((BS$28-1)*((100+'VoT4'!$I$27)/100)^$B50) +1</f>
        <v>2.1200652963923514</v>
      </c>
      <c r="BT50" s="530">
        <f>((BQ50*'VoT5'!I$28)+(BR50*'VoT5'!I$29)+('Forecast occupancies'!BS50*'VoT5'!I$30))/100</f>
        <v>2.020025055906864</v>
      </c>
      <c r="BU50" s="65">
        <f>'VoT3'!$E$27</f>
        <v>1.26</v>
      </c>
      <c r="BV50" s="65">
        <f>'VoT3'!$E$28</f>
        <v>2.0299999999999998</v>
      </c>
      <c r="BW50" s="530">
        <f>((BU50*'VoT5'!$I$31)+(BV50*'VoT5'!$I$32))/100</f>
        <v>1.3524</v>
      </c>
      <c r="BX50" s="530">
        <f>'VoT3'!$E$30</f>
        <v>1</v>
      </c>
      <c r="BY50" s="860">
        <f>'VoT3'!$E$31</f>
        <v>1</v>
      </c>
      <c r="BZ50" s="65">
        <f>('VoT3'!$E$33*'VoT5'!$I$39)/100 + 'VoT3'!$E$32</f>
        <v>1.0656255420478047</v>
      </c>
      <c r="CA50" s="65">
        <f>('VoT3'!$E$33*'VoT5'!$I$40)/100</f>
        <v>0.73949783032666783</v>
      </c>
      <c r="CB50" s="530">
        <f>('VoT3'!$E$33*'VoT5'!$I$41)/100</f>
        <v>11.394876627625528</v>
      </c>
      <c r="CC50" s="901">
        <f t="shared" si="14"/>
        <v>13.200000000000001</v>
      </c>
      <c r="CD50" s="65">
        <f>((CD$28-1)*((100+'VoT4'!$J$26)/100)^$B50) +1</f>
        <v>1.1606654296250507</v>
      </c>
      <c r="CE50" s="65">
        <f>((CE$28-1)*((100+'VoT4'!$J$27)/100)^$B50) +1</f>
        <v>1.145603182870168</v>
      </c>
      <c r="CF50" s="65">
        <f>((CF$28-1)*((100+'VoT4'!$J$27)/100)^$B50) +1</f>
        <v>1.9068315187130187</v>
      </c>
      <c r="CG50" s="530">
        <f>((CD50*'VoT5'!J$28)+(CE50*'VoT5'!J$29)+('Forecast occupancies'!CF50*'VoT5'!J$30))/100</f>
        <v>1.6228231414717587</v>
      </c>
      <c r="CH50" s="65">
        <f>'VoT3'!$F$27</f>
        <v>1.2</v>
      </c>
      <c r="CI50" s="65">
        <f>'VoT3'!$F$28</f>
        <v>1.59</v>
      </c>
      <c r="CJ50" s="530">
        <f>((CH50*'VoT5'!$J$31)+(CI50*'VoT5'!$J$32))/100</f>
        <v>1.2467999999999999</v>
      </c>
      <c r="CK50" s="860">
        <f>'VoT3'!$F$30</f>
        <v>1</v>
      </c>
      <c r="CL50" s="860">
        <f>'VoT3'!$F$31</f>
        <v>1</v>
      </c>
      <c r="CM50" s="65">
        <f>('VoT3'!$F$33*'VoT5'!$J$39)/100 + 'VoT3'!$F$32</f>
        <v>1.1784267265920292</v>
      </c>
      <c r="CN50" s="65">
        <f>('VoT3'!$F$33*'VoT5'!$J$40)/100</f>
        <v>1.652535676565674</v>
      </c>
      <c r="CO50" s="530">
        <f>('VoT3'!$F$33*'VoT5'!$J$41)/100</f>
        <v>10.369037596842293</v>
      </c>
      <c r="CP50" s="901">
        <f t="shared" si="15"/>
        <v>13.199999999999996</v>
      </c>
    </row>
    <row r="51" spans="2:94" ht="13.5" customHeight="1">
      <c r="B51" s="1225">
        <f t="shared" si="0"/>
        <v>23</v>
      </c>
      <c r="C51" s="535">
        <f t="shared" si="8"/>
        <v>2033</v>
      </c>
      <c r="D51" s="75">
        <f>((D$28-1)*((100+'VoT4'!$D$26)/100)^$B51) + 1</f>
        <v>1.1306546747898494</v>
      </c>
      <c r="E51" s="75">
        <f>((E$28-1)*((100+'VoT4'!$D$27)/100)^$B51) + 1</f>
        <v>1.1324142099550518</v>
      </c>
      <c r="F51" s="75">
        <f>((F$28-1)*((100+'VoT4'!$D$27)/100)^$B51) + 1</f>
        <v>1.7117149527604505</v>
      </c>
      <c r="G51" s="530">
        <f>((D51*'VoT5'!D$28)+(E51*'VoT5'!D$29)+('Forecast occupancies'!F51*'VoT5'!D$30))/100</f>
        <v>1.3608117390924901</v>
      </c>
      <c r="H51" s="65">
        <f>'VoT3'!$D$27</f>
        <v>1.2</v>
      </c>
      <c r="I51" s="65">
        <f>'VoT3'!$D$28</f>
        <v>1.46</v>
      </c>
      <c r="J51" s="530">
        <f>((H51*'VoT5'!$D$31)+(I51*'VoT5'!$D$32))/100</f>
        <v>1.2311999999999999</v>
      </c>
      <c r="K51" s="860">
        <f>'VoT3'!$D$30</f>
        <v>1</v>
      </c>
      <c r="L51" s="860">
        <f>'VoT3'!$D$31</f>
        <v>1</v>
      </c>
      <c r="M51" s="65">
        <f>('VoT3'!$D$33*'VoT5'!$D$39)/100 + 'VoT3'!$D$32</f>
        <v>1.168791653429633</v>
      </c>
      <c r="N51" s="65">
        <f>('VoT3'!$D$33*'VoT5'!$D$40)/100</f>
        <v>2.2491911578548542</v>
      </c>
      <c r="O51" s="530">
        <f>('VoT3'!$D$33*'VoT5'!$D$41)/100</f>
        <v>9.7820171887155141</v>
      </c>
      <c r="P51" s="531">
        <f t="shared" si="9"/>
        <v>13.200000000000001</v>
      </c>
      <c r="Q51" s="65">
        <f>((Q$28-1)*((100+'VoT4'!$E$26)/100)^$B51) +1</f>
        <v>1.1586074096289325</v>
      </c>
      <c r="R51" s="65">
        <f>((R$28-1)*((100+'VoT4'!$E$27)/100)^$B51) +1</f>
        <v>1.1508273706069019</v>
      </c>
      <c r="S51" s="65">
        <f>((S$28-1)*((100+'VoT4'!$E$27)/100)^$B51) +1</f>
        <v>1.823380766174084</v>
      </c>
      <c r="T51" s="530">
        <f>((Q51*'VoT5'!E$28)+(R51*'VoT5'!E$29)+('Forecast occupancies'!S51*'VoT5'!E$30))/100</f>
        <v>1.6344935826498272</v>
      </c>
      <c r="U51" s="65">
        <f>'VoT3'!$D$27</f>
        <v>1.2</v>
      </c>
      <c r="V51" s="65">
        <f>'VoT3'!$D$28</f>
        <v>1.46</v>
      </c>
      <c r="W51" s="530">
        <f>((U51*'VoT5'!$E$31)+(V51*'VoT5'!$E$32))/100</f>
        <v>1.2311999999999999</v>
      </c>
      <c r="X51" s="860">
        <f>'VoT3'!$D$30</f>
        <v>1</v>
      </c>
      <c r="Y51" s="860">
        <f>'VoT3'!$D$31</f>
        <v>1</v>
      </c>
      <c r="Z51" s="65">
        <f>('VoT3'!$D$33*'VoT5'!$E$39)/100 + 'VoT3'!$D$32</f>
        <v>1.2020901087398195</v>
      </c>
      <c r="AA51" s="65">
        <f>('VoT3'!$D$33*'VoT5'!$E$40)/100</f>
        <v>0.78826992816783981</v>
      </c>
      <c r="AB51" s="530">
        <f>('VoT3'!$D$33*'VoT5'!$E$41)/100</f>
        <v>11.209639963092341</v>
      </c>
      <c r="AC51" s="859">
        <f t="shared" si="10"/>
        <v>13.200000000000001</v>
      </c>
      <c r="AD51" s="65">
        <f>((AD$28-1)*((100+'VoT4'!$F$26)/100)^$B51) +1</f>
        <v>1.1469717467060276</v>
      </c>
      <c r="AE51" s="65">
        <f>((AE$28-1)*((100+'VoT4'!$F$27)/100)^$B51) +1</f>
        <v>1.1363203108454192</v>
      </c>
      <c r="AF51" s="65">
        <f>((AF$28-1)*((100+'VoT4'!$F$27)/100)^$B51) +1</f>
        <v>1.7925210409543946</v>
      </c>
      <c r="AG51" s="530">
        <f>((AD51*'VoT5'!F$28)+(AE51*'VoT5'!F$29)+('Forecast occupancies'!AF51*'VoT5'!F$30))/100</f>
        <v>1.4455150928444727</v>
      </c>
      <c r="AH51" s="65">
        <f>'VoT3'!$D$27</f>
        <v>1.2</v>
      </c>
      <c r="AI51" s="65">
        <f>'VoT3'!$D$28</f>
        <v>1.46</v>
      </c>
      <c r="AJ51" s="530">
        <f>((AH51*'VoT5'!$F$31)+(AI51*'VoT5'!$F$32))/100</f>
        <v>1.2311999999999999</v>
      </c>
      <c r="AK51" s="860">
        <f>'VoT3'!$D$30</f>
        <v>1</v>
      </c>
      <c r="AL51" s="530">
        <f>'VoT3'!$D$31</f>
        <v>1</v>
      </c>
      <c r="AM51" s="65">
        <f>('VoT3'!$D$33*'VoT5'!$F$39)/100 + 'VoT3'!$D$32</f>
        <v>1.2791444318533409</v>
      </c>
      <c r="AN51" s="65">
        <f>('VoT3'!$D$33*'VoT5'!$F$40)/100</f>
        <v>3.163211907560131</v>
      </c>
      <c r="AO51" s="530">
        <f>('VoT3'!$D$33*'VoT5'!$F$41)/100</f>
        <v>8.7576436605865258</v>
      </c>
      <c r="AP51" s="531">
        <f t="shared" si="11"/>
        <v>13.199999999999998</v>
      </c>
      <c r="AQ51" s="65">
        <f>((AQ$28-1)*((100+'VoT4'!$G$26)/100)^$B51) +1</f>
        <v>1.1686731657535445</v>
      </c>
      <c r="AR51" s="65">
        <f>((AR$28-1)*((100+'VoT4'!$G$27)/100)^$B51) +1</f>
        <v>1.1529514408135957</v>
      </c>
      <c r="AS51" s="65">
        <f>((AS$28-1)*((100+'VoT4'!$G$27)/100)^$B51) +1</f>
        <v>1.7861213477735842</v>
      </c>
      <c r="AT51" s="530">
        <f>((AQ51*'VoT5'!G$28)+(AR51*'VoT5'!G$29)+('Forecast occupancies'!AS51*'VoT5'!G$30))/100</f>
        <v>1.4625529734459999</v>
      </c>
      <c r="AU51" s="65">
        <f>'VoT3'!$D$27</f>
        <v>1.2</v>
      </c>
      <c r="AV51" s="65">
        <f>'VoT3'!$D$28</f>
        <v>1.46</v>
      </c>
      <c r="AW51" s="530">
        <f>((AU51*'VoT5'!$G$31)+(AV51*'VoT5'!$G$32))/100</f>
        <v>1.2311999999999999</v>
      </c>
      <c r="AX51" s="530">
        <f>'VoT3'!$D$30</f>
        <v>1</v>
      </c>
      <c r="AY51" s="860">
        <f>'VoT3'!$D$31</f>
        <v>1</v>
      </c>
      <c r="AZ51" s="65">
        <f>('VoT3'!$D$33*'VoT5'!$G$39)/100 + 'VoT3'!$D$32</f>
        <v>1.2777359179706231</v>
      </c>
      <c r="BA51" s="65">
        <f>('VoT3'!$D$33*'VoT5'!$G$40)/100</f>
        <v>4.3240321049185146</v>
      </c>
      <c r="BB51" s="530">
        <f>('VoT3'!$D$33*'VoT5'!$G$41)/100</f>
        <v>7.5982319771108608</v>
      </c>
      <c r="BC51" s="531">
        <f t="shared" si="12"/>
        <v>13.2</v>
      </c>
      <c r="BD51" s="65">
        <f>((BD$28-1)*((100+'VoT4'!$H$26)/100)^$B51) +1</f>
        <v>1.1490125418460642</v>
      </c>
      <c r="BE51" s="65">
        <f>((BE$28-1)*((100+'VoT4'!$H$27)/100)^$B51) +1</f>
        <v>1.1401838093663619</v>
      </c>
      <c r="BF51" s="65">
        <f>((BF$28-1)*((100+'VoT4'!$H$27)/100)^$B51) +1</f>
        <v>1.7905592337282852</v>
      </c>
      <c r="BG51" s="530">
        <f>((BD51*'VoT5'!H$28)+(BE51*'VoT5'!H$29)+('Forecast occupancies'!BF51*'VoT5'!H$30))/100</f>
        <v>1.4923153156000231</v>
      </c>
      <c r="BH51" s="65">
        <f>'VoT3'!$D$27</f>
        <v>1.2</v>
      </c>
      <c r="BI51" s="65">
        <f>'VoT3'!$D$28</f>
        <v>1.46</v>
      </c>
      <c r="BJ51" s="530">
        <f>((BH51*'VoT5'!$H$31)+(BI51*'VoT5'!$H$32))/100</f>
        <v>1.2311999999999999</v>
      </c>
      <c r="BK51" s="860">
        <f>'VoT3'!$D$30</f>
        <v>1</v>
      </c>
      <c r="BL51" s="860">
        <f>'VoT3'!$D$31</f>
        <v>1</v>
      </c>
      <c r="BM51" s="65">
        <f>('VoT3'!$D$33*'VoT5'!$H$39)/100 + 'VoT3'!$D$32</f>
        <v>1.2154161555382865</v>
      </c>
      <c r="BN51" s="65">
        <f>('VoT3'!$D$33*'VoT5'!$H$40)/100</f>
        <v>1.9520129541892906</v>
      </c>
      <c r="BO51" s="530">
        <f>('VoT3'!$D$33*'VoT5'!$H$41)/100</f>
        <v>10.032570890272423</v>
      </c>
      <c r="BP51" s="901">
        <f t="shared" si="13"/>
        <v>13.2</v>
      </c>
      <c r="BQ51" s="672">
        <f>((BQ$28-1)*((100+'VoT4'!$I$26)/100)^$B51) +1</f>
        <v>1.3131774973540897</v>
      </c>
      <c r="BR51" s="65">
        <f>((BR$28-1)*((100+'VoT4'!$I$27)/100)^$B51) +1</f>
        <v>1.2071718111863166</v>
      </c>
      <c r="BS51" s="65">
        <f>((BS$28-1)*((100+'VoT4'!$I$27)/100)^$B51) +1</f>
        <v>2.1200652963923514</v>
      </c>
      <c r="BT51" s="530">
        <f>((BQ51*'VoT5'!I$28)+(BR51*'VoT5'!I$29)+('Forecast occupancies'!BS51*'VoT5'!I$30))/100</f>
        <v>2.020025055906864</v>
      </c>
      <c r="BU51" s="65">
        <f>'VoT3'!$E$27</f>
        <v>1.26</v>
      </c>
      <c r="BV51" s="65">
        <f>'VoT3'!$E$28</f>
        <v>2.0299999999999998</v>
      </c>
      <c r="BW51" s="530">
        <f>((BU51*'VoT5'!$I$31)+(BV51*'VoT5'!$I$32))/100</f>
        <v>1.3524</v>
      </c>
      <c r="BX51" s="530">
        <f>'VoT3'!$E$30</f>
        <v>1</v>
      </c>
      <c r="BY51" s="860">
        <f>'VoT3'!$E$31</f>
        <v>1</v>
      </c>
      <c r="BZ51" s="65">
        <f>('VoT3'!$E$33*'VoT5'!$I$39)/100 + 'VoT3'!$E$32</f>
        <v>1.0656255420478047</v>
      </c>
      <c r="CA51" s="65">
        <f>('VoT3'!$E$33*'VoT5'!$I$40)/100</f>
        <v>0.73949783032666783</v>
      </c>
      <c r="CB51" s="530">
        <f>('VoT3'!$E$33*'VoT5'!$I$41)/100</f>
        <v>11.394876627625528</v>
      </c>
      <c r="CC51" s="901">
        <f t="shared" si="14"/>
        <v>13.200000000000001</v>
      </c>
      <c r="CD51" s="65">
        <f>((CD$28-1)*((100+'VoT4'!$J$26)/100)^$B51) +1</f>
        <v>1.1606654296250507</v>
      </c>
      <c r="CE51" s="65">
        <f>((CE$28-1)*((100+'VoT4'!$J$27)/100)^$B51) +1</f>
        <v>1.145603182870168</v>
      </c>
      <c r="CF51" s="65">
        <f>((CF$28-1)*((100+'VoT4'!$J$27)/100)^$B51) +1</f>
        <v>1.9068315187130187</v>
      </c>
      <c r="CG51" s="530">
        <f>((CD51*'VoT5'!J$28)+(CE51*'VoT5'!J$29)+('Forecast occupancies'!CF51*'VoT5'!J$30))/100</f>
        <v>1.6228231414717587</v>
      </c>
      <c r="CH51" s="65">
        <f>'VoT3'!$F$27</f>
        <v>1.2</v>
      </c>
      <c r="CI51" s="65">
        <f>'VoT3'!$F$28</f>
        <v>1.59</v>
      </c>
      <c r="CJ51" s="530">
        <f>((CH51*'VoT5'!$J$31)+(CI51*'VoT5'!$J$32))/100</f>
        <v>1.2467999999999999</v>
      </c>
      <c r="CK51" s="860">
        <f>'VoT3'!$F$30</f>
        <v>1</v>
      </c>
      <c r="CL51" s="860">
        <f>'VoT3'!$F$31</f>
        <v>1</v>
      </c>
      <c r="CM51" s="65">
        <f>('VoT3'!$F$33*'VoT5'!$J$39)/100 + 'VoT3'!$F$32</f>
        <v>1.1784267265920292</v>
      </c>
      <c r="CN51" s="65">
        <f>('VoT3'!$F$33*'VoT5'!$J$40)/100</f>
        <v>1.652535676565674</v>
      </c>
      <c r="CO51" s="530">
        <f>('VoT3'!$F$33*'VoT5'!$J$41)/100</f>
        <v>10.369037596842293</v>
      </c>
      <c r="CP51" s="901">
        <f t="shared" si="15"/>
        <v>13.199999999999996</v>
      </c>
    </row>
    <row r="52" spans="2:94" ht="13.5" customHeight="1">
      <c r="B52" s="1225">
        <f t="shared" si="0"/>
        <v>24</v>
      </c>
      <c r="C52" s="535">
        <f t="shared" si="8"/>
        <v>2034</v>
      </c>
      <c r="D52" s="75">
        <f>((D$28-1)*((100+'VoT4'!$D$26)/100)^$B52) + 1</f>
        <v>1.1306546747898494</v>
      </c>
      <c r="E52" s="75">
        <f>((E$28-1)*((100+'VoT4'!$D$27)/100)^$B52) + 1</f>
        <v>1.1324142099550518</v>
      </c>
      <c r="F52" s="75">
        <f>((F$28-1)*((100+'VoT4'!$D$27)/100)^$B52) + 1</f>
        <v>1.7117149527604505</v>
      </c>
      <c r="G52" s="530">
        <f>((D52*'VoT5'!D$28)+(E52*'VoT5'!D$29)+('Forecast occupancies'!F52*'VoT5'!D$30))/100</f>
        <v>1.3608117390924901</v>
      </c>
      <c r="H52" s="65">
        <f>'VoT3'!$D$27</f>
        <v>1.2</v>
      </c>
      <c r="I52" s="65">
        <f>'VoT3'!$D$28</f>
        <v>1.46</v>
      </c>
      <c r="J52" s="530">
        <f>((H52*'VoT5'!$D$31)+(I52*'VoT5'!$D$32))/100</f>
        <v>1.2311999999999999</v>
      </c>
      <c r="K52" s="860">
        <f>'VoT3'!$D$30</f>
        <v>1</v>
      </c>
      <c r="L52" s="860">
        <f>'VoT3'!$D$31</f>
        <v>1</v>
      </c>
      <c r="M52" s="65">
        <f>('VoT3'!$D$33*'VoT5'!$D$39)/100 + 'VoT3'!$D$32</f>
        <v>1.168791653429633</v>
      </c>
      <c r="N52" s="65">
        <f>('VoT3'!$D$33*'VoT5'!$D$40)/100</f>
        <v>2.2491911578548542</v>
      </c>
      <c r="O52" s="530">
        <f>('VoT3'!$D$33*'VoT5'!$D$41)/100</f>
        <v>9.7820171887155141</v>
      </c>
      <c r="P52" s="531">
        <f t="shared" si="9"/>
        <v>13.200000000000001</v>
      </c>
      <c r="Q52" s="65">
        <f>((Q$28-1)*((100+'VoT4'!$E$26)/100)^$B52) +1</f>
        <v>1.1586074096289325</v>
      </c>
      <c r="R52" s="65">
        <f>((R$28-1)*((100+'VoT4'!$E$27)/100)^$B52) +1</f>
        <v>1.1508273706069019</v>
      </c>
      <c r="S52" s="65">
        <f>((S$28-1)*((100+'VoT4'!$E$27)/100)^$B52) +1</f>
        <v>1.823380766174084</v>
      </c>
      <c r="T52" s="530">
        <f>((Q52*'VoT5'!E$28)+(R52*'VoT5'!E$29)+('Forecast occupancies'!S52*'VoT5'!E$30))/100</f>
        <v>1.6344935826498272</v>
      </c>
      <c r="U52" s="65">
        <f>'VoT3'!$D$27</f>
        <v>1.2</v>
      </c>
      <c r="V52" s="65">
        <f>'VoT3'!$D$28</f>
        <v>1.46</v>
      </c>
      <c r="W52" s="530">
        <f>((U52*'VoT5'!$E$31)+(V52*'VoT5'!$E$32))/100</f>
        <v>1.2311999999999999</v>
      </c>
      <c r="X52" s="860">
        <f>'VoT3'!$D$30</f>
        <v>1</v>
      </c>
      <c r="Y52" s="860">
        <f>'VoT3'!$D$31</f>
        <v>1</v>
      </c>
      <c r="Z52" s="65">
        <f>('VoT3'!$D$33*'VoT5'!$E$39)/100 + 'VoT3'!$D$32</f>
        <v>1.2020901087398195</v>
      </c>
      <c r="AA52" s="65">
        <f>('VoT3'!$D$33*'VoT5'!$E$40)/100</f>
        <v>0.78826992816783981</v>
      </c>
      <c r="AB52" s="530">
        <f>('VoT3'!$D$33*'VoT5'!$E$41)/100</f>
        <v>11.209639963092341</v>
      </c>
      <c r="AC52" s="859">
        <f t="shared" si="10"/>
        <v>13.200000000000001</v>
      </c>
      <c r="AD52" s="65">
        <f>((AD$28-1)*((100+'VoT4'!$F$26)/100)^$B52) +1</f>
        <v>1.1469717467060276</v>
      </c>
      <c r="AE52" s="65">
        <f>((AE$28-1)*((100+'VoT4'!$F$27)/100)^$B52) +1</f>
        <v>1.1363203108454192</v>
      </c>
      <c r="AF52" s="65">
        <f>((AF$28-1)*((100+'VoT4'!$F$27)/100)^$B52) +1</f>
        <v>1.7925210409543946</v>
      </c>
      <c r="AG52" s="530">
        <f>((AD52*'VoT5'!F$28)+(AE52*'VoT5'!F$29)+('Forecast occupancies'!AF52*'VoT5'!F$30))/100</f>
        <v>1.4455150928444727</v>
      </c>
      <c r="AH52" s="65">
        <f>'VoT3'!$D$27</f>
        <v>1.2</v>
      </c>
      <c r="AI52" s="65">
        <f>'VoT3'!$D$28</f>
        <v>1.46</v>
      </c>
      <c r="AJ52" s="530">
        <f>((AH52*'VoT5'!$F$31)+(AI52*'VoT5'!$F$32))/100</f>
        <v>1.2311999999999999</v>
      </c>
      <c r="AK52" s="860">
        <f>'VoT3'!$D$30</f>
        <v>1</v>
      </c>
      <c r="AL52" s="530">
        <f>'VoT3'!$D$31</f>
        <v>1</v>
      </c>
      <c r="AM52" s="65">
        <f>('VoT3'!$D$33*'VoT5'!$F$39)/100 + 'VoT3'!$D$32</f>
        <v>1.2791444318533409</v>
      </c>
      <c r="AN52" s="65">
        <f>('VoT3'!$D$33*'VoT5'!$F$40)/100</f>
        <v>3.163211907560131</v>
      </c>
      <c r="AO52" s="530">
        <f>('VoT3'!$D$33*'VoT5'!$F$41)/100</f>
        <v>8.7576436605865258</v>
      </c>
      <c r="AP52" s="531">
        <f t="shared" si="11"/>
        <v>13.199999999999998</v>
      </c>
      <c r="AQ52" s="65">
        <f>((AQ$28-1)*((100+'VoT4'!$G$26)/100)^$B52) +1</f>
        <v>1.1686731657535445</v>
      </c>
      <c r="AR52" s="65">
        <f>((AR$28-1)*((100+'VoT4'!$G$27)/100)^$B52) +1</f>
        <v>1.1529514408135957</v>
      </c>
      <c r="AS52" s="65">
        <f>((AS$28-1)*((100+'VoT4'!$G$27)/100)^$B52) +1</f>
        <v>1.7861213477735842</v>
      </c>
      <c r="AT52" s="530">
        <f>((AQ52*'VoT5'!G$28)+(AR52*'VoT5'!G$29)+('Forecast occupancies'!AS52*'VoT5'!G$30))/100</f>
        <v>1.4625529734459999</v>
      </c>
      <c r="AU52" s="65">
        <f>'VoT3'!$D$27</f>
        <v>1.2</v>
      </c>
      <c r="AV52" s="65">
        <f>'VoT3'!$D$28</f>
        <v>1.46</v>
      </c>
      <c r="AW52" s="530">
        <f>((AU52*'VoT5'!$G$31)+(AV52*'VoT5'!$G$32))/100</f>
        <v>1.2311999999999999</v>
      </c>
      <c r="AX52" s="530">
        <f>'VoT3'!$D$30</f>
        <v>1</v>
      </c>
      <c r="AY52" s="860">
        <f>'VoT3'!$D$31</f>
        <v>1</v>
      </c>
      <c r="AZ52" s="65">
        <f>('VoT3'!$D$33*'VoT5'!$G$39)/100 + 'VoT3'!$D$32</f>
        <v>1.2777359179706231</v>
      </c>
      <c r="BA52" s="65">
        <f>('VoT3'!$D$33*'VoT5'!$G$40)/100</f>
        <v>4.3240321049185146</v>
      </c>
      <c r="BB52" s="530">
        <f>('VoT3'!$D$33*'VoT5'!$G$41)/100</f>
        <v>7.5982319771108608</v>
      </c>
      <c r="BC52" s="531">
        <f t="shared" si="12"/>
        <v>13.2</v>
      </c>
      <c r="BD52" s="65">
        <f>((BD$28-1)*((100+'VoT4'!$H$26)/100)^$B52) +1</f>
        <v>1.1490125418460642</v>
      </c>
      <c r="BE52" s="65">
        <f>((BE$28-1)*((100+'VoT4'!$H$27)/100)^$B52) +1</f>
        <v>1.1401838093663619</v>
      </c>
      <c r="BF52" s="65">
        <f>((BF$28-1)*((100+'VoT4'!$H$27)/100)^$B52) +1</f>
        <v>1.7905592337282852</v>
      </c>
      <c r="BG52" s="530">
        <f>((BD52*'VoT5'!H$28)+(BE52*'VoT5'!H$29)+('Forecast occupancies'!BF52*'VoT5'!H$30))/100</f>
        <v>1.4923153156000231</v>
      </c>
      <c r="BH52" s="65">
        <f>'VoT3'!$D$27</f>
        <v>1.2</v>
      </c>
      <c r="BI52" s="65">
        <f>'VoT3'!$D$28</f>
        <v>1.46</v>
      </c>
      <c r="BJ52" s="530">
        <f>((BH52*'VoT5'!$H$31)+(BI52*'VoT5'!$H$32))/100</f>
        <v>1.2311999999999999</v>
      </c>
      <c r="BK52" s="860">
        <f>'VoT3'!$D$30</f>
        <v>1</v>
      </c>
      <c r="BL52" s="860">
        <f>'VoT3'!$D$31</f>
        <v>1</v>
      </c>
      <c r="BM52" s="65">
        <f>('VoT3'!$D$33*'VoT5'!$H$39)/100 + 'VoT3'!$D$32</f>
        <v>1.2154161555382865</v>
      </c>
      <c r="BN52" s="65">
        <f>('VoT3'!$D$33*'VoT5'!$H$40)/100</f>
        <v>1.9520129541892906</v>
      </c>
      <c r="BO52" s="530">
        <f>('VoT3'!$D$33*'VoT5'!$H$41)/100</f>
        <v>10.032570890272423</v>
      </c>
      <c r="BP52" s="901">
        <f t="shared" si="13"/>
        <v>13.2</v>
      </c>
      <c r="BQ52" s="672">
        <f>((BQ$28-1)*((100+'VoT4'!$I$26)/100)^$B52) +1</f>
        <v>1.3131774973540897</v>
      </c>
      <c r="BR52" s="65">
        <f>((BR$28-1)*((100+'VoT4'!$I$27)/100)^$B52) +1</f>
        <v>1.2071718111863166</v>
      </c>
      <c r="BS52" s="65">
        <f>((BS$28-1)*((100+'VoT4'!$I$27)/100)^$B52) +1</f>
        <v>2.1200652963923514</v>
      </c>
      <c r="BT52" s="530">
        <f>((BQ52*'VoT5'!I$28)+(BR52*'VoT5'!I$29)+('Forecast occupancies'!BS52*'VoT5'!I$30))/100</f>
        <v>2.020025055906864</v>
      </c>
      <c r="BU52" s="65">
        <f>'VoT3'!$E$27</f>
        <v>1.26</v>
      </c>
      <c r="BV52" s="65">
        <f>'VoT3'!$E$28</f>
        <v>2.0299999999999998</v>
      </c>
      <c r="BW52" s="530">
        <f>((BU52*'VoT5'!$I$31)+(BV52*'VoT5'!$I$32))/100</f>
        <v>1.3524</v>
      </c>
      <c r="BX52" s="530">
        <f>'VoT3'!$E$30</f>
        <v>1</v>
      </c>
      <c r="BY52" s="860">
        <f>'VoT3'!$E$31</f>
        <v>1</v>
      </c>
      <c r="BZ52" s="65">
        <f>('VoT3'!$E$33*'VoT5'!$I$39)/100 + 'VoT3'!$E$32</f>
        <v>1.0656255420478047</v>
      </c>
      <c r="CA52" s="65">
        <f>('VoT3'!$E$33*'VoT5'!$I$40)/100</f>
        <v>0.73949783032666783</v>
      </c>
      <c r="CB52" s="530">
        <f>('VoT3'!$E$33*'VoT5'!$I$41)/100</f>
        <v>11.394876627625528</v>
      </c>
      <c r="CC52" s="901">
        <f t="shared" si="14"/>
        <v>13.200000000000001</v>
      </c>
      <c r="CD52" s="65">
        <f>((CD$28-1)*((100+'VoT4'!$J$26)/100)^$B52) +1</f>
        <v>1.1606654296250507</v>
      </c>
      <c r="CE52" s="65">
        <f>((CE$28-1)*((100+'VoT4'!$J$27)/100)^$B52) +1</f>
        <v>1.145603182870168</v>
      </c>
      <c r="CF52" s="65">
        <f>((CF$28-1)*((100+'VoT4'!$J$27)/100)^$B52) +1</f>
        <v>1.9068315187130187</v>
      </c>
      <c r="CG52" s="530">
        <f>((CD52*'VoT5'!J$28)+(CE52*'VoT5'!J$29)+('Forecast occupancies'!CF52*'VoT5'!J$30))/100</f>
        <v>1.6228231414717587</v>
      </c>
      <c r="CH52" s="65">
        <f>'VoT3'!$F$27</f>
        <v>1.2</v>
      </c>
      <c r="CI52" s="65">
        <f>'VoT3'!$F$28</f>
        <v>1.59</v>
      </c>
      <c r="CJ52" s="530">
        <f>((CH52*'VoT5'!$J$31)+(CI52*'VoT5'!$J$32))/100</f>
        <v>1.2467999999999999</v>
      </c>
      <c r="CK52" s="860">
        <f>'VoT3'!$F$30</f>
        <v>1</v>
      </c>
      <c r="CL52" s="860">
        <f>'VoT3'!$F$31</f>
        <v>1</v>
      </c>
      <c r="CM52" s="65">
        <f>('VoT3'!$F$33*'VoT5'!$J$39)/100 + 'VoT3'!$F$32</f>
        <v>1.1784267265920292</v>
      </c>
      <c r="CN52" s="65">
        <f>('VoT3'!$F$33*'VoT5'!$J$40)/100</f>
        <v>1.652535676565674</v>
      </c>
      <c r="CO52" s="530">
        <f>('VoT3'!$F$33*'VoT5'!$J$41)/100</f>
        <v>10.369037596842293</v>
      </c>
      <c r="CP52" s="901">
        <f t="shared" si="15"/>
        <v>13.199999999999996</v>
      </c>
    </row>
    <row r="53" spans="2:94" ht="13.5" customHeight="1">
      <c r="B53" s="1225">
        <f t="shared" si="0"/>
        <v>25</v>
      </c>
      <c r="C53" s="535">
        <f t="shared" si="8"/>
        <v>2035</v>
      </c>
      <c r="D53" s="75">
        <f>((D$28-1)*((100+'VoT4'!$D$26)/100)^$B53) + 1</f>
        <v>1.1306546747898494</v>
      </c>
      <c r="E53" s="75">
        <f>((E$28-1)*((100+'VoT4'!$D$27)/100)^$B53) + 1</f>
        <v>1.1324142099550518</v>
      </c>
      <c r="F53" s="75">
        <f>((F$28-1)*((100+'VoT4'!$D$27)/100)^$B53) + 1</f>
        <v>1.7117149527604505</v>
      </c>
      <c r="G53" s="530">
        <f>((D53*'VoT5'!D$28)+(E53*'VoT5'!D$29)+('Forecast occupancies'!F53*'VoT5'!D$30))/100</f>
        <v>1.3608117390924901</v>
      </c>
      <c r="H53" s="65">
        <f>'VoT3'!$D$27</f>
        <v>1.2</v>
      </c>
      <c r="I53" s="65">
        <f>'VoT3'!$D$28</f>
        <v>1.46</v>
      </c>
      <c r="J53" s="530">
        <f>((H53*'VoT5'!$D$31)+(I53*'VoT5'!$D$32))/100</f>
        <v>1.2311999999999999</v>
      </c>
      <c r="K53" s="860">
        <f>'VoT3'!$D$30</f>
        <v>1</v>
      </c>
      <c r="L53" s="860">
        <f>'VoT3'!$D$31</f>
        <v>1</v>
      </c>
      <c r="M53" s="65">
        <f>('VoT3'!$D$33*'VoT5'!$D$39)/100 + 'VoT3'!$D$32</f>
        <v>1.168791653429633</v>
      </c>
      <c r="N53" s="65">
        <f>('VoT3'!$D$33*'VoT5'!$D$40)/100</f>
        <v>2.2491911578548542</v>
      </c>
      <c r="O53" s="530">
        <f>('VoT3'!$D$33*'VoT5'!$D$41)/100</f>
        <v>9.7820171887155141</v>
      </c>
      <c r="P53" s="531">
        <f t="shared" si="9"/>
        <v>13.200000000000001</v>
      </c>
      <c r="Q53" s="65">
        <f>((Q$28-1)*((100+'VoT4'!$E$26)/100)^$B53) +1</f>
        <v>1.1586074096289325</v>
      </c>
      <c r="R53" s="65">
        <f>((R$28-1)*((100+'VoT4'!$E$27)/100)^$B53) +1</f>
        <v>1.1508273706069019</v>
      </c>
      <c r="S53" s="65">
        <f>((S$28-1)*((100+'VoT4'!$E$27)/100)^$B53) +1</f>
        <v>1.823380766174084</v>
      </c>
      <c r="T53" s="530">
        <f>((Q53*'VoT5'!E$28)+(R53*'VoT5'!E$29)+('Forecast occupancies'!S53*'VoT5'!E$30))/100</f>
        <v>1.6344935826498272</v>
      </c>
      <c r="U53" s="65">
        <f>'VoT3'!$D$27</f>
        <v>1.2</v>
      </c>
      <c r="V53" s="65">
        <f>'VoT3'!$D$28</f>
        <v>1.46</v>
      </c>
      <c r="W53" s="530">
        <f>((U53*'VoT5'!$E$31)+(V53*'VoT5'!$E$32))/100</f>
        <v>1.2311999999999999</v>
      </c>
      <c r="X53" s="860">
        <f>'VoT3'!$D$30</f>
        <v>1</v>
      </c>
      <c r="Y53" s="860">
        <f>'VoT3'!$D$31</f>
        <v>1</v>
      </c>
      <c r="Z53" s="65">
        <f>('VoT3'!$D$33*'VoT5'!$E$39)/100 + 'VoT3'!$D$32</f>
        <v>1.2020901087398195</v>
      </c>
      <c r="AA53" s="65">
        <f>('VoT3'!$D$33*'VoT5'!$E$40)/100</f>
        <v>0.78826992816783981</v>
      </c>
      <c r="AB53" s="530">
        <f>('VoT3'!$D$33*'VoT5'!$E$41)/100</f>
        <v>11.209639963092341</v>
      </c>
      <c r="AC53" s="859">
        <f t="shared" si="10"/>
        <v>13.200000000000001</v>
      </c>
      <c r="AD53" s="65">
        <f>((AD$28-1)*((100+'VoT4'!$F$26)/100)^$B53) +1</f>
        <v>1.1469717467060276</v>
      </c>
      <c r="AE53" s="65">
        <f>((AE$28-1)*((100+'VoT4'!$F$27)/100)^$B53) +1</f>
        <v>1.1363203108454192</v>
      </c>
      <c r="AF53" s="65">
        <f>((AF$28-1)*((100+'VoT4'!$F$27)/100)^$B53) +1</f>
        <v>1.7925210409543946</v>
      </c>
      <c r="AG53" s="530">
        <f>((AD53*'VoT5'!F$28)+(AE53*'VoT5'!F$29)+('Forecast occupancies'!AF53*'VoT5'!F$30))/100</f>
        <v>1.4455150928444727</v>
      </c>
      <c r="AH53" s="65">
        <f>'VoT3'!$D$27</f>
        <v>1.2</v>
      </c>
      <c r="AI53" s="65">
        <f>'VoT3'!$D$28</f>
        <v>1.46</v>
      </c>
      <c r="AJ53" s="530">
        <f>((AH53*'VoT5'!$F$31)+(AI53*'VoT5'!$F$32))/100</f>
        <v>1.2311999999999999</v>
      </c>
      <c r="AK53" s="860">
        <f>'VoT3'!$D$30</f>
        <v>1</v>
      </c>
      <c r="AL53" s="530">
        <f>'VoT3'!$D$31</f>
        <v>1</v>
      </c>
      <c r="AM53" s="65">
        <f>('VoT3'!$D$33*'VoT5'!$F$39)/100 + 'VoT3'!$D$32</f>
        <v>1.2791444318533409</v>
      </c>
      <c r="AN53" s="65">
        <f>('VoT3'!$D$33*'VoT5'!$F$40)/100</f>
        <v>3.163211907560131</v>
      </c>
      <c r="AO53" s="530">
        <f>('VoT3'!$D$33*'VoT5'!$F$41)/100</f>
        <v>8.7576436605865258</v>
      </c>
      <c r="AP53" s="531">
        <f t="shared" si="11"/>
        <v>13.199999999999998</v>
      </c>
      <c r="AQ53" s="65">
        <f>((AQ$28-1)*((100+'VoT4'!$G$26)/100)^$B53) +1</f>
        <v>1.1686731657535445</v>
      </c>
      <c r="AR53" s="65">
        <f>((AR$28-1)*((100+'VoT4'!$G$27)/100)^$B53) +1</f>
        <v>1.1529514408135957</v>
      </c>
      <c r="AS53" s="65">
        <f>((AS$28-1)*((100+'VoT4'!$G$27)/100)^$B53) +1</f>
        <v>1.7861213477735842</v>
      </c>
      <c r="AT53" s="530">
        <f>((AQ53*'VoT5'!G$28)+(AR53*'VoT5'!G$29)+('Forecast occupancies'!AS53*'VoT5'!G$30))/100</f>
        <v>1.4625529734459999</v>
      </c>
      <c r="AU53" s="65">
        <f>'VoT3'!$D$27</f>
        <v>1.2</v>
      </c>
      <c r="AV53" s="65">
        <f>'VoT3'!$D$28</f>
        <v>1.46</v>
      </c>
      <c r="AW53" s="530">
        <f>((AU53*'VoT5'!$G$31)+(AV53*'VoT5'!$G$32))/100</f>
        <v>1.2311999999999999</v>
      </c>
      <c r="AX53" s="530">
        <f>'VoT3'!$D$30</f>
        <v>1</v>
      </c>
      <c r="AY53" s="860">
        <f>'VoT3'!$D$31</f>
        <v>1</v>
      </c>
      <c r="AZ53" s="65">
        <f>('VoT3'!$D$33*'VoT5'!$G$39)/100 + 'VoT3'!$D$32</f>
        <v>1.2777359179706231</v>
      </c>
      <c r="BA53" s="65">
        <f>('VoT3'!$D$33*'VoT5'!$G$40)/100</f>
        <v>4.3240321049185146</v>
      </c>
      <c r="BB53" s="530">
        <f>('VoT3'!$D$33*'VoT5'!$G$41)/100</f>
        <v>7.5982319771108608</v>
      </c>
      <c r="BC53" s="531">
        <f t="shared" si="12"/>
        <v>13.2</v>
      </c>
      <c r="BD53" s="65">
        <f>((BD$28-1)*((100+'VoT4'!$H$26)/100)^$B53) +1</f>
        <v>1.1490125418460642</v>
      </c>
      <c r="BE53" s="65">
        <f>((BE$28-1)*((100+'VoT4'!$H$27)/100)^$B53) +1</f>
        <v>1.1401838093663619</v>
      </c>
      <c r="BF53" s="65">
        <f>((BF$28-1)*((100+'VoT4'!$H$27)/100)^$B53) +1</f>
        <v>1.7905592337282852</v>
      </c>
      <c r="BG53" s="530">
        <f>((BD53*'VoT5'!H$28)+(BE53*'VoT5'!H$29)+('Forecast occupancies'!BF53*'VoT5'!H$30))/100</f>
        <v>1.4923153156000231</v>
      </c>
      <c r="BH53" s="65">
        <f>'VoT3'!$D$27</f>
        <v>1.2</v>
      </c>
      <c r="BI53" s="65">
        <f>'VoT3'!$D$28</f>
        <v>1.46</v>
      </c>
      <c r="BJ53" s="530">
        <f>((BH53*'VoT5'!$H$31)+(BI53*'VoT5'!$H$32))/100</f>
        <v>1.2311999999999999</v>
      </c>
      <c r="BK53" s="860">
        <f>'VoT3'!$D$30</f>
        <v>1</v>
      </c>
      <c r="BL53" s="860">
        <f>'VoT3'!$D$31</f>
        <v>1</v>
      </c>
      <c r="BM53" s="65">
        <f>('VoT3'!$D$33*'VoT5'!$H$39)/100 + 'VoT3'!$D$32</f>
        <v>1.2154161555382865</v>
      </c>
      <c r="BN53" s="65">
        <f>('VoT3'!$D$33*'VoT5'!$H$40)/100</f>
        <v>1.9520129541892906</v>
      </c>
      <c r="BO53" s="530">
        <f>('VoT3'!$D$33*'VoT5'!$H$41)/100</f>
        <v>10.032570890272423</v>
      </c>
      <c r="BP53" s="901">
        <f t="shared" si="13"/>
        <v>13.2</v>
      </c>
      <c r="BQ53" s="672">
        <f>((BQ$28-1)*((100+'VoT4'!$I$26)/100)^$B53) +1</f>
        <v>1.3131774973540897</v>
      </c>
      <c r="BR53" s="65">
        <f>((BR$28-1)*((100+'VoT4'!$I$27)/100)^$B53) +1</f>
        <v>1.2071718111863166</v>
      </c>
      <c r="BS53" s="65">
        <f>((BS$28-1)*((100+'VoT4'!$I$27)/100)^$B53) +1</f>
        <v>2.1200652963923514</v>
      </c>
      <c r="BT53" s="530">
        <f>((BQ53*'VoT5'!I$28)+(BR53*'VoT5'!I$29)+('Forecast occupancies'!BS53*'VoT5'!I$30))/100</f>
        <v>2.020025055906864</v>
      </c>
      <c r="BU53" s="65">
        <f>'VoT3'!$E$27</f>
        <v>1.26</v>
      </c>
      <c r="BV53" s="65">
        <f>'VoT3'!$E$28</f>
        <v>2.0299999999999998</v>
      </c>
      <c r="BW53" s="530">
        <f>((BU53*'VoT5'!$I$31)+(BV53*'VoT5'!$I$32))/100</f>
        <v>1.3524</v>
      </c>
      <c r="BX53" s="530">
        <f>'VoT3'!$E$30</f>
        <v>1</v>
      </c>
      <c r="BY53" s="860">
        <f>'VoT3'!$E$31</f>
        <v>1</v>
      </c>
      <c r="BZ53" s="65">
        <f>('VoT3'!$E$33*'VoT5'!$I$39)/100 + 'VoT3'!$E$32</f>
        <v>1.0656255420478047</v>
      </c>
      <c r="CA53" s="65">
        <f>('VoT3'!$E$33*'VoT5'!$I$40)/100</f>
        <v>0.73949783032666783</v>
      </c>
      <c r="CB53" s="530">
        <f>('VoT3'!$E$33*'VoT5'!$I$41)/100</f>
        <v>11.394876627625528</v>
      </c>
      <c r="CC53" s="901">
        <f t="shared" si="14"/>
        <v>13.200000000000001</v>
      </c>
      <c r="CD53" s="65">
        <f>((CD$28-1)*((100+'VoT4'!$J$26)/100)^$B53) +1</f>
        <v>1.1606654296250507</v>
      </c>
      <c r="CE53" s="65">
        <f>((CE$28-1)*((100+'VoT4'!$J$27)/100)^$B53) +1</f>
        <v>1.145603182870168</v>
      </c>
      <c r="CF53" s="65">
        <f>((CF$28-1)*((100+'VoT4'!$J$27)/100)^$B53) +1</f>
        <v>1.9068315187130187</v>
      </c>
      <c r="CG53" s="530">
        <f>((CD53*'VoT5'!J$28)+(CE53*'VoT5'!J$29)+('Forecast occupancies'!CF53*'VoT5'!J$30))/100</f>
        <v>1.6228231414717587</v>
      </c>
      <c r="CH53" s="65">
        <f>'VoT3'!$F$27</f>
        <v>1.2</v>
      </c>
      <c r="CI53" s="65">
        <f>'VoT3'!$F$28</f>
        <v>1.59</v>
      </c>
      <c r="CJ53" s="530">
        <f>((CH53*'VoT5'!$J$31)+(CI53*'VoT5'!$J$32))/100</f>
        <v>1.2467999999999999</v>
      </c>
      <c r="CK53" s="860">
        <f>'VoT3'!$F$30</f>
        <v>1</v>
      </c>
      <c r="CL53" s="860">
        <f>'VoT3'!$F$31</f>
        <v>1</v>
      </c>
      <c r="CM53" s="65">
        <f>('VoT3'!$F$33*'VoT5'!$J$39)/100 + 'VoT3'!$F$32</f>
        <v>1.1784267265920292</v>
      </c>
      <c r="CN53" s="65">
        <f>('VoT3'!$F$33*'VoT5'!$J$40)/100</f>
        <v>1.652535676565674</v>
      </c>
      <c r="CO53" s="530">
        <f>('VoT3'!$F$33*'VoT5'!$J$41)/100</f>
        <v>10.369037596842293</v>
      </c>
      <c r="CP53" s="901">
        <f t="shared" si="15"/>
        <v>13.199999999999996</v>
      </c>
    </row>
    <row r="54" spans="2:94" ht="13.5" customHeight="1">
      <c r="B54" s="1225">
        <f t="shared" si="0"/>
        <v>26</v>
      </c>
      <c r="C54" s="535">
        <f t="shared" si="8"/>
        <v>2036</v>
      </c>
      <c r="D54" s="75">
        <f>((D$28-1)*((100+'VoT4'!$D$26)/100)^$B54) + 1</f>
        <v>1.1306546747898494</v>
      </c>
      <c r="E54" s="75">
        <f>((E$28-1)*((100+'VoT4'!$D$27)/100)^$B54) + 1</f>
        <v>1.1324142099550518</v>
      </c>
      <c r="F54" s="75">
        <f>((F$28-1)*((100+'VoT4'!$D$27)/100)^$B54) + 1</f>
        <v>1.7117149527604505</v>
      </c>
      <c r="G54" s="530">
        <f>((D54*'VoT5'!D$28)+(E54*'VoT5'!D$29)+('Forecast occupancies'!F54*'VoT5'!D$30))/100</f>
        <v>1.3608117390924901</v>
      </c>
      <c r="H54" s="65">
        <f>'VoT3'!$D$27</f>
        <v>1.2</v>
      </c>
      <c r="I54" s="65">
        <f>'VoT3'!$D$28</f>
        <v>1.46</v>
      </c>
      <c r="J54" s="530">
        <f>((H54*'VoT5'!$D$31)+(I54*'VoT5'!$D$32))/100</f>
        <v>1.2311999999999999</v>
      </c>
      <c r="K54" s="860">
        <f>'VoT3'!$D$30</f>
        <v>1</v>
      </c>
      <c r="L54" s="860">
        <f>'VoT3'!$D$31</f>
        <v>1</v>
      </c>
      <c r="M54" s="65">
        <f>('VoT3'!$D$33*'VoT5'!$D$39)/100 + 'VoT3'!$D$32</f>
        <v>1.168791653429633</v>
      </c>
      <c r="N54" s="65">
        <f>('VoT3'!$D$33*'VoT5'!$D$40)/100</f>
        <v>2.2491911578548542</v>
      </c>
      <c r="O54" s="530">
        <f>('VoT3'!$D$33*'VoT5'!$D$41)/100</f>
        <v>9.7820171887155141</v>
      </c>
      <c r="P54" s="531">
        <f t="shared" si="9"/>
        <v>13.200000000000001</v>
      </c>
      <c r="Q54" s="65">
        <f>((Q$28-1)*((100+'VoT4'!$E$26)/100)^$B54) +1</f>
        <v>1.1586074096289325</v>
      </c>
      <c r="R54" s="65">
        <f>((R$28-1)*((100+'VoT4'!$E$27)/100)^$B54) +1</f>
        <v>1.1508273706069019</v>
      </c>
      <c r="S54" s="65">
        <f>((S$28-1)*((100+'VoT4'!$E$27)/100)^$B54) +1</f>
        <v>1.823380766174084</v>
      </c>
      <c r="T54" s="530">
        <f>((Q54*'VoT5'!E$28)+(R54*'VoT5'!E$29)+('Forecast occupancies'!S54*'VoT5'!E$30))/100</f>
        <v>1.6344935826498272</v>
      </c>
      <c r="U54" s="65">
        <f>'VoT3'!$D$27</f>
        <v>1.2</v>
      </c>
      <c r="V54" s="65">
        <f>'VoT3'!$D$28</f>
        <v>1.46</v>
      </c>
      <c r="W54" s="530">
        <f>((U54*'VoT5'!$E$31)+(V54*'VoT5'!$E$32))/100</f>
        <v>1.2311999999999999</v>
      </c>
      <c r="X54" s="860">
        <f>'VoT3'!$D$30</f>
        <v>1</v>
      </c>
      <c r="Y54" s="860">
        <f>'VoT3'!$D$31</f>
        <v>1</v>
      </c>
      <c r="Z54" s="65">
        <f>('VoT3'!$D$33*'VoT5'!$E$39)/100 + 'VoT3'!$D$32</f>
        <v>1.2020901087398195</v>
      </c>
      <c r="AA54" s="65">
        <f>('VoT3'!$D$33*'VoT5'!$E$40)/100</f>
        <v>0.78826992816783981</v>
      </c>
      <c r="AB54" s="530">
        <f>('VoT3'!$D$33*'VoT5'!$E$41)/100</f>
        <v>11.209639963092341</v>
      </c>
      <c r="AC54" s="859">
        <f t="shared" si="10"/>
        <v>13.200000000000001</v>
      </c>
      <c r="AD54" s="65">
        <f>((AD$28-1)*((100+'VoT4'!$F$26)/100)^$B54) +1</f>
        <v>1.1469717467060276</v>
      </c>
      <c r="AE54" s="65">
        <f>((AE$28-1)*((100+'VoT4'!$F$27)/100)^$B54) +1</f>
        <v>1.1363203108454192</v>
      </c>
      <c r="AF54" s="65">
        <f>((AF$28-1)*((100+'VoT4'!$F$27)/100)^$B54) +1</f>
        <v>1.7925210409543946</v>
      </c>
      <c r="AG54" s="530">
        <f>((AD54*'VoT5'!F$28)+(AE54*'VoT5'!F$29)+('Forecast occupancies'!AF54*'VoT5'!F$30))/100</f>
        <v>1.4455150928444727</v>
      </c>
      <c r="AH54" s="65">
        <f>'VoT3'!$D$27</f>
        <v>1.2</v>
      </c>
      <c r="AI54" s="65">
        <f>'VoT3'!$D$28</f>
        <v>1.46</v>
      </c>
      <c r="AJ54" s="530">
        <f>((AH54*'VoT5'!$F$31)+(AI54*'VoT5'!$F$32))/100</f>
        <v>1.2311999999999999</v>
      </c>
      <c r="AK54" s="860">
        <f>'VoT3'!$D$30</f>
        <v>1</v>
      </c>
      <c r="AL54" s="530">
        <f>'VoT3'!$D$31</f>
        <v>1</v>
      </c>
      <c r="AM54" s="65">
        <f>('VoT3'!$D$33*'VoT5'!$F$39)/100 + 'VoT3'!$D$32</f>
        <v>1.2791444318533409</v>
      </c>
      <c r="AN54" s="65">
        <f>('VoT3'!$D$33*'VoT5'!$F$40)/100</f>
        <v>3.163211907560131</v>
      </c>
      <c r="AO54" s="530">
        <f>('VoT3'!$D$33*'VoT5'!$F$41)/100</f>
        <v>8.7576436605865258</v>
      </c>
      <c r="AP54" s="531">
        <f t="shared" si="11"/>
        <v>13.199999999999998</v>
      </c>
      <c r="AQ54" s="65">
        <f>((AQ$28-1)*((100+'VoT4'!$G$26)/100)^$B54) +1</f>
        <v>1.1686731657535445</v>
      </c>
      <c r="AR54" s="65">
        <f>((AR$28-1)*((100+'VoT4'!$G$27)/100)^$B54) +1</f>
        <v>1.1529514408135957</v>
      </c>
      <c r="AS54" s="65">
        <f>((AS$28-1)*((100+'VoT4'!$G$27)/100)^$B54) +1</f>
        <v>1.7861213477735842</v>
      </c>
      <c r="AT54" s="530">
        <f>((AQ54*'VoT5'!G$28)+(AR54*'VoT5'!G$29)+('Forecast occupancies'!AS54*'VoT5'!G$30))/100</f>
        <v>1.4625529734459999</v>
      </c>
      <c r="AU54" s="65">
        <f>'VoT3'!$D$27</f>
        <v>1.2</v>
      </c>
      <c r="AV54" s="65">
        <f>'VoT3'!$D$28</f>
        <v>1.46</v>
      </c>
      <c r="AW54" s="530">
        <f>((AU54*'VoT5'!$G$31)+(AV54*'VoT5'!$G$32))/100</f>
        <v>1.2311999999999999</v>
      </c>
      <c r="AX54" s="530">
        <f>'VoT3'!$D$30</f>
        <v>1</v>
      </c>
      <c r="AY54" s="860">
        <f>'VoT3'!$D$31</f>
        <v>1</v>
      </c>
      <c r="AZ54" s="65">
        <f>('VoT3'!$D$33*'VoT5'!$G$39)/100 + 'VoT3'!$D$32</f>
        <v>1.2777359179706231</v>
      </c>
      <c r="BA54" s="65">
        <f>('VoT3'!$D$33*'VoT5'!$G$40)/100</f>
        <v>4.3240321049185146</v>
      </c>
      <c r="BB54" s="530">
        <f>('VoT3'!$D$33*'VoT5'!$G$41)/100</f>
        <v>7.5982319771108608</v>
      </c>
      <c r="BC54" s="531">
        <f t="shared" si="12"/>
        <v>13.2</v>
      </c>
      <c r="BD54" s="65">
        <f>((BD$28-1)*((100+'VoT4'!$H$26)/100)^$B54) +1</f>
        <v>1.1490125418460642</v>
      </c>
      <c r="BE54" s="65">
        <f>((BE$28-1)*((100+'VoT4'!$H$27)/100)^$B54) +1</f>
        <v>1.1401838093663619</v>
      </c>
      <c r="BF54" s="65">
        <f>((BF$28-1)*((100+'VoT4'!$H$27)/100)^$B54) +1</f>
        <v>1.7905592337282852</v>
      </c>
      <c r="BG54" s="530">
        <f>((BD54*'VoT5'!H$28)+(BE54*'VoT5'!H$29)+('Forecast occupancies'!BF54*'VoT5'!H$30))/100</f>
        <v>1.4923153156000231</v>
      </c>
      <c r="BH54" s="65">
        <f>'VoT3'!$D$27</f>
        <v>1.2</v>
      </c>
      <c r="BI54" s="65">
        <f>'VoT3'!$D$28</f>
        <v>1.46</v>
      </c>
      <c r="BJ54" s="530">
        <f>((BH54*'VoT5'!$H$31)+(BI54*'VoT5'!$H$32))/100</f>
        <v>1.2311999999999999</v>
      </c>
      <c r="BK54" s="860">
        <f>'VoT3'!$D$30</f>
        <v>1</v>
      </c>
      <c r="BL54" s="860">
        <f>'VoT3'!$D$31</f>
        <v>1</v>
      </c>
      <c r="BM54" s="65">
        <f>('VoT3'!$D$33*'VoT5'!$H$39)/100 + 'VoT3'!$D$32</f>
        <v>1.2154161555382865</v>
      </c>
      <c r="BN54" s="65">
        <f>('VoT3'!$D$33*'VoT5'!$H$40)/100</f>
        <v>1.9520129541892906</v>
      </c>
      <c r="BO54" s="530">
        <f>('VoT3'!$D$33*'VoT5'!$H$41)/100</f>
        <v>10.032570890272423</v>
      </c>
      <c r="BP54" s="901">
        <f t="shared" si="13"/>
        <v>13.2</v>
      </c>
      <c r="BQ54" s="672">
        <f>((BQ$28-1)*((100+'VoT4'!$I$26)/100)^$B54) +1</f>
        <v>1.3131774973540897</v>
      </c>
      <c r="BR54" s="65">
        <f>((BR$28-1)*((100+'VoT4'!$I$27)/100)^$B54) +1</f>
        <v>1.2071718111863166</v>
      </c>
      <c r="BS54" s="65">
        <f>((BS$28-1)*((100+'VoT4'!$I$27)/100)^$B54) +1</f>
        <v>2.1200652963923514</v>
      </c>
      <c r="BT54" s="530">
        <f>((BQ54*'VoT5'!I$28)+(BR54*'VoT5'!I$29)+('Forecast occupancies'!BS54*'VoT5'!I$30))/100</f>
        <v>2.020025055906864</v>
      </c>
      <c r="BU54" s="65">
        <f>'VoT3'!$E$27</f>
        <v>1.26</v>
      </c>
      <c r="BV54" s="65">
        <f>'VoT3'!$E$28</f>
        <v>2.0299999999999998</v>
      </c>
      <c r="BW54" s="530">
        <f>((BU54*'VoT5'!$I$31)+(BV54*'VoT5'!$I$32))/100</f>
        <v>1.3524</v>
      </c>
      <c r="BX54" s="530">
        <f>'VoT3'!$E$30</f>
        <v>1</v>
      </c>
      <c r="BY54" s="860">
        <f>'VoT3'!$E$31</f>
        <v>1</v>
      </c>
      <c r="BZ54" s="65">
        <f>('VoT3'!$E$33*'VoT5'!$I$39)/100 + 'VoT3'!$E$32</f>
        <v>1.0656255420478047</v>
      </c>
      <c r="CA54" s="65">
        <f>('VoT3'!$E$33*'VoT5'!$I$40)/100</f>
        <v>0.73949783032666783</v>
      </c>
      <c r="CB54" s="530">
        <f>('VoT3'!$E$33*'VoT5'!$I$41)/100</f>
        <v>11.394876627625528</v>
      </c>
      <c r="CC54" s="901">
        <f t="shared" si="14"/>
        <v>13.200000000000001</v>
      </c>
      <c r="CD54" s="65">
        <f>((CD$28-1)*((100+'VoT4'!$J$26)/100)^$B54) +1</f>
        <v>1.1606654296250507</v>
      </c>
      <c r="CE54" s="65">
        <f>((CE$28-1)*((100+'VoT4'!$J$27)/100)^$B54) +1</f>
        <v>1.145603182870168</v>
      </c>
      <c r="CF54" s="65">
        <f>((CF$28-1)*((100+'VoT4'!$J$27)/100)^$B54) +1</f>
        <v>1.9068315187130187</v>
      </c>
      <c r="CG54" s="530">
        <f>((CD54*'VoT5'!J$28)+(CE54*'VoT5'!J$29)+('Forecast occupancies'!CF54*'VoT5'!J$30))/100</f>
        <v>1.6228231414717587</v>
      </c>
      <c r="CH54" s="65">
        <f>'VoT3'!$F$27</f>
        <v>1.2</v>
      </c>
      <c r="CI54" s="65">
        <f>'VoT3'!$F$28</f>
        <v>1.59</v>
      </c>
      <c r="CJ54" s="530">
        <f>((CH54*'VoT5'!$J$31)+(CI54*'VoT5'!$J$32))/100</f>
        <v>1.2467999999999999</v>
      </c>
      <c r="CK54" s="860">
        <f>'VoT3'!$F$30</f>
        <v>1</v>
      </c>
      <c r="CL54" s="860">
        <f>'VoT3'!$F$31</f>
        <v>1</v>
      </c>
      <c r="CM54" s="65">
        <f>('VoT3'!$F$33*'VoT5'!$J$39)/100 + 'VoT3'!$F$32</f>
        <v>1.1784267265920292</v>
      </c>
      <c r="CN54" s="65">
        <f>('VoT3'!$F$33*'VoT5'!$J$40)/100</f>
        <v>1.652535676565674</v>
      </c>
      <c r="CO54" s="530">
        <f>('VoT3'!$F$33*'VoT5'!$J$41)/100</f>
        <v>10.369037596842293</v>
      </c>
      <c r="CP54" s="901">
        <f t="shared" si="15"/>
        <v>13.199999999999996</v>
      </c>
    </row>
    <row r="55" spans="2:94" ht="13.5" customHeight="1">
      <c r="B55" s="1225">
        <f t="shared" si="0"/>
        <v>27</v>
      </c>
      <c r="C55" s="535">
        <f t="shared" si="8"/>
        <v>2037</v>
      </c>
      <c r="D55" s="75">
        <f>((D$28-1)*((100+'VoT4'!$D$26)/100)^$B55) + 1</f>
        <v>1.1306546747898494</v>
      </c>
      <c r="E55" s="75">
        <f>((E$28-1)*((100+'VoT4'!$D$27)/100)^$B55) + 1</f>
        <v>1.1324142099550518</v>
      </c>
      <c r="F55" s="75">
        <f>((F$28-1)*((100+'VoT4'!$D$27)/100)^$B55) + 1</f>
        <v>1.7117149527604505</v>
      </c>
      <c r="G55" s="530">
        <f>((D55*'VoT5'!D$28)+(E55*'VoT5'!D$29)+('Forecast occupancies'!F55*'VoT5'!D$30))/100</f>
        <v>1.3608117390924901</v>
      </c>
      <c r="H55" s="65">
        <f>'VoT3'!$D$27</f>
        <v>1.2</v>
      </c>
      <c r="I55" s="65">
        <f>'VoT3'!$D$28</f>
        <v>1.46</v>
      </c>
      <c r="J55" s="530">
        <f>((H55*'VoT5'!$D$31)+(I55*'VoT5'!$D$32))/100</f>
        <v>1.2311999999999999</v>
      </c>
      <c r="K55" s="860">
        <f>'VoT3'!$D$30</f>
        <v>1</v>
      </c>
      <c r="L55" s="860">
        <f>'VoT3'!$D$31</f>
        <v>1</v>
      </c>
      <c r="M55" s="65">
        <f>('VoT3'!$D$33*'VoT5'!$D$39)/100 + 'VoT3'!$D$32</f>
        <v>1.168791653429633</v>
      </c>
      <c r="N55" s="65">
        <f>('VoT3'!$D$33*'VoT5'!$D$40)/100</f>
        <v>2.2491911578548542</v>
      </c>
      <c r="O55" s="530">
        <f>('VoT3'!$D$33*'VoT5'!$D$41)/100</f>
        <v>9.7820171887155141</v>
      </c>
      <c r="P55" s="531">
        <f t="shared" si="9"/>
        <v>13.200000000000001</v>
      </c>
      <c r="Q55" s="65">
        <f>((Q$28-1)*((100+'VoT4'!$E$26)/100)^$B55) +1</f>
        <v>1.1586074096289325</v>
      </c>
      <c r="R55" s="65">
        <f>((R$28-1)*((100+'VoT4'!$E$27)/100)^$B55) +1</f>
        <v>1.1508273706069019</v>
      </c>
      <c r="S55" s="65">
        <f>((S$28-1)*((100+'VoT4'!$E$27)/100)^$B55) +1</f>
        <v>1.823380766174084</v>
      </c>
      <c r="T55" s="530">
        <f>((Q55*'VoT5'!E$28)+(R55*'VoT5'!E$29)+('Forecast occupancies'!S55*'VoT5'!E$30))/100</f>
        <v>1.6344935826498272</v>
      </c>
      <c r="U55" s="65">
        <f>'VoT3'!$D$27</f>
        <v>1.2</v>
      </c>
      <c r="V55" s="65">
        <f>'VoT3'!$D$28</f>
        <v>1.46</v>
      </c>
      <c r="W55" s="530">
        <f>((U55*'VoT5'!$E$31)+(V55*'VoT5'!$E$32))/100</f>
        <v>1.2311999999999999</v>
      </c>
      <c r="X55" s="860">
        <f>'VoT3'!$D$30</f>
        <v>1</v>
      </c>
      <c r="Y55" s="860">
        <f>'VoT3'!$D$31</f>
        <v>1</v>
      </c>
      <c r="Z55" s="65">
        <f>('VoT3'!$D$33*'VoT5'!$E$39)/100 + 'VoT3'!$D$32</f>
        <v>1.2020901087398195</v>
      </c>
      <c r="AA55" s="65">
        <f>('VoT3'!$D$33*'VoT5'!$E$40)/100</f>
        <v>0.78826992816783981</v>
      </c>
      <c r="AB55" s="530">
        <f>('VoT3'!$D$33*'VoT5'!$E$41)/100</f>
        <v>11.209639963092341</v>
      </c>
      <c r="AC55" s="859">
        <f t="shared" si="10"/>
        <v>13.200000000000001</v>
      </c>
      <c r="AD55" s="65">
        <f>((AD$28-1)*((100+'VoT4'!$F$26)/100)^$B55) +1</f>
        <v>1.1469717467060276</v>
      </c>
      <c r="AE55" s="65">
        <f>((AE$28-1)*((100+'VoT4'!$F$27)/100)^$B55) +1</f>
        <v>1.1363203108454192</v>
      </c>
      <c r="AF55" s="65">
        <f>((AF$28-1)*((100+'VoT4'!$F$27)/100)^$B55) +1</f>
        <v>1.7925210409543946</v>
      </c>
      <c r="AG55" s="530">
        <f>((AD55*'VoT5'!F$28)+(AE55*'VoT5'!F$29)+('Forecast occupancies'!AF55*'VoT5'!F$30))/100</f>
        <v>1.4455150928444727</v>
      </c>
      <c r="AH55" s="65">
        <f>'VoT3'!$D$27</f>
        <v>1.2</v>
      </c>
      <c r="AI55" s="65">
        <f>'VoT3'!$D$28</f>
        <v>1.46</v>
      </c>
      <c r="AJ55" s="530">
        <f>((AH55*'VoT5'!$F$31)+(AI55*'VoT5'!$F$32))/100</f>
        <v>1.2311999999999999</v>
      </c>
      <c r="AK55" s="860">
        <f>'VoT3'!$D$30</f>
        <v>1</v>
      </c>
      <c r="AL55" s="530">
        <f>'VoT3'!$D$31</f>
        <v>1</v>
      </c>
      <c r="AM55" s="65">
        <f>('VoT3'!$D$33*'VoT5'!$F$39)/100 + 'VoT3'!$D$32</f>
        <v>1.2791444318533409</v>
      </c>
      <c r="AN55" s="65">
        <f>('VoT3'!$D$33*'VoT5'!$F$40)/100</f>
        <v>3.163211907560131</v>
      </c>
      <c r="AO55" s="530">
        <f>('VoT3'!$D$33*'VoT5'!$F$41)/100</f>
        <v>8.7576436605865258</v>
      </c>
      <c r="AP55" s="531">
        <f t="shared" si="11"/>
        <v>13.199999999999998</v>
      </c>
      <c r="AQ55" s="65">
        <f>((AQ$28-1)*((100+'VoT4'!$G$26)/100)^$B55) +1</f>
        <v>1.1686731657535445</v>
      </c>
      <c r="AR55" s="65">
        <f>((AR$28-1)*((100+'VoT4'!$G$27)/100)^$B55) +1</f>
        <v>1.1529514408135957</v>
      </c>
      <c r="AS55" s="65">
        <f>((AS$28-1)*((100+'VoT4'!$G$27)/100)^$B55) +1</f>
        <v>1.7861213477735842</v>
      </c>
      <c r="AT55" s="530">
        <f>((AQ55*'VoT5'!G$28)+(AR55*'VoT5'!G$29)+('Forecast occupancies'!AS55*'VoT5'!G$30))/100</f>
        <v>1.4625529734459999</v>
      </c>
      <c r="AU55" s="65">
        <f>'VoT3'!$D$27</f>
        <v>1.2</v>
      </c>
      <c r="AV55" s="65">
        <f>'VoT3'!$D$28</f>
        <v>1.46</v>
      </c>
      <c r="AW55" s="530">
        <f>((AU55*'VoT5'!$G$31)+(AV55*'VoT5'!$G$32))/100</f>
        <v>1.2311999999999999</v>
      </c>
      <c r="AX55" s="530">
        <f>'VoT3'!$D$30</f>
        <v>1</v>
      </c>
      <c r="AY55" s="860">
        <f>'VoT3'!$D$31</f>
        <v>1</v>
      </c>
      <c r="AZ55" s="65">
        <f>('VoT3'!$D$33*'VoT5'!$G$39)/100 + 'VoT3'!$D$32</f>
        <v>1.2777359179706231</v>
      </c>
      <c r="BA55" s="65">
        <f>('VoT3'!$D$33*'VoT5'!$G$40)/100</f>
        <v>4.3240321049185146</v>
      </c>
      <c r="BB55" s="530">
        <f>('VoT3'!$D$33*'VoT5'!$G$41)/100</f>
        <v>7.5982319771108608</v>
      </c>
      <c r="BC55" s="531">
        <f t="shared" si="12"/>
        <v>13.2</v>
      </c>
      <c r="BD55" s="65">
        <f>((BD$28-1)*((100+'VoT4'!$H$26)/100)^$B55) +1</f>
        <v>1.1490125418460642</v>
      </c>
      <c r="BE55" s="65">
        <f>((BE$28-1)*((100+'VoT4'!$H$27)/100)^$B55) +1</f>
        <v>1.1401838093663619</v>
      </c>
      <c r="BF55" s="65">
        <f>((BF$28-1)*((100+'VoT4'!$H$27)/100)^$B55) +1</f>
        <v>1.7905592337282852</v>
      </c>
      <c r="BG55" s="530">
        <f>((BD55*'VoT5'!H$28)+(BE55*'VoT5'!H$29)+('Forecast occupancies'!BF55*'VoT5'!H$30))/100</f>
        <v>1.4923153156000231</v>
      </c>
      <c r="BH55" s="65">
        <f>'VoT3'!$D$27</f>
        <v>1.2</v>
      </c>
      <c r="BI55" s="65">
        <f>'VoT3'!$D$28</f>
        <v>1.46</v>
      </c>
      <c r="BJ55" s="530">
        <f>((BH55*'VoT5'!$H$31)+(BI55*'VoT5'!$H$32))/100</f>
        <v>1.2311999999999999</v>
      </c>
      <c r="BK55" s="860">
        <f>'VoT3'!$D$30</f>
        <v>1</v>
      </c>
      <c r="BL55" s="860">
        <f>'VoT3'!$D$31</f>
        <v>1</v>
      </c>
      <c r="BM55" s="65">
        <f>('VoT3'!$D$33*'VoT5'!$H$39)/100 + 'VoT3'!$D$32</f>
        <v>1.2154161555382865</v>
      </c>
      <c r="BN55" s="65">
        <f>('VoT3'!$D$33*'VoT5'!$H$40)/100</f>
        <v>1.9520129541892906</v>
      </c>
      <c r="BO55" s="530">
        <f>('VoT3'!$D$33*'VoT5'!$H$41)/100</f>
        <v>10.032570890272423</v>
      </c>
      <c r="BP55" s="901">
        <f t="shared" si="13"/>
        <v>13.2</v>
      </c>
      <c r="BQ55" s="672">
        <f>((BQ$28-1)*((100+'VoT4'!$I$26)/100)^$B55) +1</f>
        <v>1.3131774973540897</v>
      </c>
      <c r="BR55" s="65">
        <f>((BR$28-1)*((100+'VoT4'!$I$27)/100)^$B55) +1</f>
        <v>1.2071718111863166</v>
      </c>
      <c r="BS55" s="65">
        <f>((BS$28-1)*((100+'VoT4'!$I$27)/100)^$B55) +1</f>
        <v>2.1200652963923514</v>
      </c>
      <c r="BT55" s="530">
        <f>((BQ55*'VoT5'!I$28)+(BR55*'VoT5'!I$29)+('Forecast occupancies'!BS55*'VoT5'!I$30))/100</f>
        <v>2.020025055906864</v>
      </c>
      <c r="BU55" s="65">
        <f>'VoT3'!$E$27</f>
        <v>1.26</v>
      </c>
      <c r="BV55" s="65">
        <f>'VoT3'!$E$28</f>
        <v>2.0299999999999998</v>
      </c>
      <c r="BW55" s="530">
        <f>((BU55*'VoT5'!$I$31)+(BV55*'VoT5'!$I$32))/100</f>
        <v>1.3524</v>
      </c>
      <c r="BX55" s="530">
        <f>'VoT3'!$E$30</f>
        <v>1</v>
      </c>
      <c r="BY55" s="860">
        <f>'VoT3'!$E$31</f>
        <v>1</v>
      </c>
      <c r="BZ55" s="65">
        <f>('VoT3'!$E$33*'VoT5'!$I$39)/100 + 'VoT3'!$E$32</f>
        <v>1.0656255420478047</v>
      </c>
      <c r="CA55" s="65">
        <f>('VoT3'!$E$33*'VoT5'!$I$40)/100</f>
        <v>0.73949783032666783</v>
      </c>
      <c r="CB55" s="530">
        <f>('VoT3'!$E$33*'VoT5'!$I$41)/100</f>
        <v>11.394876627625528</v>
      </c>
      <c r="CC55" s="901">
        <f t="shared" si="14"/>
        <v>13.200000000000001</v>
      </c>
      <c r="CD55" s="65">
        <f>((CD$28-1)*((100+'VoT4'!$J$26)/100)^$B55) +1</f>
        <v>1.1606654296250507</v>
      </c>
      <c r="CE55" s="65">
        <f>((CE$28-1)*((100+'VoT4'!$J$27)/100)^$B55) +1</f>
        <v>1.145603182870168</v>
      </c>
      <c r="CF55" s="65">
        <f>((CF$28-1)*((100+'VoT4'!$J$27)/100)^$B55) +1</f>
        <v>1.9068315187130187</v>
      </c>
      <c r="CG55" s="530">
        <f>((CD55*'VoT5'!J$28)+(CE55*'VoT5'!J$29)+('Forecast occupancies'!CF55*'VoT5'!J$30))/100</f>
        <v>1.6228231414717587</v>
      </c>
      <c r="CH55" s="65">
        <f>'VoT3'!$F$27</f>
        <v>1.2</v>
      </c>
      <c r="CI55" s="65">
        <f>'VoT3'!$F$28</f>
        <v>1.59</v>
      </c>
      <c r="CJ55" s="530">
        <f>((CH55*'VoT5'!$J$31)+(CI55*'VoT5'!$J$32))/100</f>
        <v>1.2467999999999999</v>
      </c>
      <c r="CK55" s="860">
        <f>'VoT3'!$F$30</f>
        <v>1</v>
      </c>
      <c r="CL55" s="860">
        <f>'VoT3'!$F$31</f>
        <v>1</v>
      </c>
      <c r="CM55" s="65">
        <f>('VoT3'!$F$33*'VoT5'!$J$39)/100 + 'VoT3'!$F$32</f>
        <v>1.1784267265920292</v>
      </c>
      <c r="CN55" s="65">
        <f>('VoT3'!$F$33*'VoT5'!$J$40)/100</f>
        <v>1.652535676565674</v>
      </c>
      <c r="CO55" s="530">
        <f>('VoT3'!$F$33*'VoT5'!$J$41)/100</f>
        <v>10.369037596842293</v>
      </c>
      <c r="CP55" s="901">
        <f t="shared" si="15"/>
        <v>13.199999999999996</v>
      </c>
    </row>
    <row r="56" spans="2:94" ht="13.5" customHeight="1">
      <c r="B56" s="1225">
        <f t="shared" si="0"/>
        <v>28</v>
      </c>
      <c r="C56" s="535">
        <f t="shared" si="8"/>
        <v>2038</v>
      </c>
      <c r="D56" s="75">
        <f>((D$28-1)*((100+'VoT4'!$D$26)/100)^$B56) + 1</f>
        <v>1.1306546747898494</v>
      </c>
      <c r="E56" s="75">
        <f>((E$28-1)*((100+'VoT4'!$D$27)/100)^$B56) + 1</f>
        <v>1.1324142099550518</v>
      </c>
      <c r="F56" s="75">
        <f>((F$28-1)*((100+'VoT4'!$D$27)/100)^$B56) + 1</f>
        <v>1.7117149527604505</v>
      </c>
      <c r="G56" s="530">
        <f>((D56*'VoT5'!D$28)+(E56*'VoT5'!D$29)+('Forecast occupancies'!F56*'VoT5'!D$30))/100</f>
        <v>1.3608117390924901</v>
      </c>
      <c r="H56" s="65">
        <f>'VoT3'!$D$27</f>
        <v>1.2</v>
      </c>
      <c r="I56" s="65">
        <f>'VoT3'!$D$28</f>
        <v>1.46</v>
      </c>
      <c r="J56" s="530">
        <f>((H56*'VoT5'!$D$31)+(I56*'VoT5'!$D$32))/100</f>
        <v>1.2311999999999999</v>
      </c>
      <c r="K56" s="860">
        <f>'VoT3'!$D$30</f>
        <v>1</v>
      </c>
      <c r="L56" s="860">
        <f>'VoT3'!$D$31</f>
        <v>1</v>
      </c>
      <c r="M56" s="65">
        <f>('VoT3'!$D$33*'VoT5'!$D$39)/100 + 'VoT3'!$D$32</f>
        <v>1.168791653429633</v>
      </c>
      <c r="N56" s="65">
        <f>('VoT3'!$D$33*'VoT5'!$D$40)/100</f>
        <v>2.2491911578548542</v>
      </c>
      <c r="O56" s="530">
        <f>('VoT3'!$D$33*'VoT5'!$D$41)/100</f>
        <v>9.7820171887155141</v>
      </c>
      <c r="P56" s="531">
        <f t="shared" si="9"/>
        <v>13.200000000000001</v>
      </c>
      <c r="Q56" s="65">
        <f>((Q$28-1)*((100+'VoT4'!$E$26)/100)^$B56) +1</f>
        <v>1.1586074096289325</v>
      </c>
      <c r="R56" s="65">
        <f>((R$28-1)*((100+'VoT4'!$E$27)/100)^$B56) +1</f>
        <v>1.1508273706069019</v>
      </c>
      <c r="S56" s="65">
        <f>((S$28-1)*((100+'VoT4'!$E$27)/100)^$B56) +1</f>
        <v>1.823380766174084</v>
      </c>
      <c r="T56" s="530">
        <f>((Q56*'VoT5'!E$28)+(R56*'VoT5'!E$29)+('Forecast occupancies'!S56*'VoT5'!E$30))/100</f>
        <v>1.6344935826498272</v>
      </c>
      <c r="U56" s="65">
        <f>'VoT3'!$D$27</f>
        <v>1.2</v>
      </c>
      <c r="V56" s="65">
        <f>'VoT3'!$D$28</f>
        <v>1.46</v>
      </c>
      <c r="W56" s="530">
        <f>((U56*'VoT5'!$E$31)+(V56*'VoT5'!$E$32))/100</f>
        <v>1.2311999999999999</v>
      </c>
      <c r="X56" s="860">
        <f>'VoT3'!$D$30</f>
        <v>1</v>
      </c>
      <c r="Y56" s="860">
        <f>'VoT3'!$D$31</f>
        <v>1</v>
      </c>
      <c r="Z56" s="65">
        <f>('VoT3'!$D$33*'VoT5'!$E$39)/100 + 'VoT3'!$D$32</f>
        <v>1.2020901087398195</v>
      </c>
      <c r="AA56" s="65">
        <f>('VoT3'!$D$33*'VoT5'!$E$40)/100</f>
        <v>0.78826992816783981</v>
      </c>
      <c r="AB56" s="530">
        <f>('VoT3'!$D$33*'VoT5'!$E$41)/100</f>
        <v>11.209639963092341</v>
      </c>
      <c r="AC56" s="859">
        <f t="shared" si="10"/>
        <v>13.200000000000001</v>
      </c>
      <c r="AD56" s="65">
        <f>((AD$28-1)*((100+'VoT4'!$F$26)/100)^$B56) +1</f>
        <v>1.1469717467060276</v>
      </c>
      <c r="AE56" s="65">
        <f>((AE$28-1)*((100+'VoT4'!$F$27)/100)^$B56) +1</f>
        <v>1.1363203108454192</v>
      </c>
      <c r="AF56" s="65">
        <f>((AF$28-1)*((100+'VoT4'!$F$27)/100)^$B56) +1</f>
        <v>1.7925210409543946</v>
      </c>
      <c r="AG56" s="530">
        <f>((AD56*'VoT5'!F$28)+(AE56*'VoT5'!F$29)+('Forecast occupancies'!AF56*'VoT5'!F$30))/100</f>
        <v>1.4455150928444727</v>
      </c>
      <c r="AH56" s="65">
        <f>'VoT3'!$D$27</f>
        <v>1.2</v>
      </c>
      <c r="AI56" s="65">
        <f>'VoT3'!$D$28</f>
        <v>1.46</v>
      </c>
      <c r="AJ56" s="530">
        <f>((AH56*'VoT5'!$F$31)+(AI56*'VoT5'!$F$32))/100</f>
        <v>1.2311999999999999</v>
      </c>
      <c r="AK56" s="860">
        <f>'VoT3'!$D$30</f>
        <v>1</v>
      </c>
      <c r="AL56" s="530">
        <f>'VoT3'!$D$31</f>
        <v>1</v>
      </c>
      <c r="AM56" s="65">
        <f>('VoT3'!$D$33*'VoT5'!$F$39)/100 + 'VoT3'!$D$32</f>
        <v>1.2791444318533409</v>
      </c>
      <c r="AN56" s="65">
        <f>('VoT3'!$D$33*'VoT5'!$F$40)/100</f>
        <v>3.163211907560131</v>
      </c>
      <c r="AO56" s="530">
        <f>('VoT3'!$D$33*'VoT5'!$F$41)/100</f>
        <v>8.7576436605865258</v>
      </c>
      <c r="AP56" s="531">
        <f t="shared" si="11"/>
        <v>13.199999999999998</v>
      </c>
      <c r="AQ56" s="65">
        <f>((AQ$28-1)*((100+'VoT4'!$G$26)/100)^$B56) +1</f>
        <v>1.1686731657535445</v>
      </c>
      <c r="AR56" s="65">
        <f>((AR$28-1)*((100+'VoT4'!$G$27)/100)^$B56) +1</f>
        <v>1.1529514408135957</v>
      </c>
      <c r="AS56" s="65">
        <f>((AS$28-1)*((100+'VoT4'!$G$27)/100)^$B56) +1</f>
        <v>1.7861213477735842</v>
      </c>
      <c r="AT56" s="530">
        <f>((AQ56*'VoT5'!G$28)+(AR56*'VoT5'!G$29)+('Forecast occupancies'!AS56*'VoT5'!G$30))/100</f>
        <v>1.4625529734459999</v>
      </c>
      <c r="AU56" s="65">
        <f>'VoT3'!$D$27</f>
        <v>1.2</v>
      </c>
      <c r="AV56" s="65">
        <f>'VoT3'!$D$28</f>
        <v>1.46</v>
      </c>
      <c r="AW56" s="530">
        <f>((AU56*'VoT5'!$G$31)+(AV56*'VoT5'!$G$32))/100</f>
        <v>1.2311999999999999</v>
      </c>
      <c r="AX56" s="530">
        <f>'VoT3'!$D$30</f>
        <v>1</v>
      </c>
      <c r="AY56" s="860">
        <f>'VoT3'!$D$31</f>
        <v>1</v>
      </c>
      <c r="AZ56" s="65">
        <f>('VoT3'!$D$33*'VoT5'!$G$39)/100 + 'VoT3'!$D$32</f>
        <v>1.2777359179706231</v>
      </c>
      <c r="BA56" s="65">
        <f>('VoT3'!$D$33*'VoT5'!$G$40)/100</f>
        <v>4.3240321049185146</v>
      </c>
      <c r="BB56" s="530">
        <f>('VoT3'!$D$33*'VoT5'!$G$41)/100</f>
        <v>7.5982319771108608</v>
      </c>
      <c r="BC56" s="531">
        <f t="shared" si="12"/>
        <v>13.2</v>
      </c>
      <c r="BD56" s="65">
        <f>((BD$28-1)*((100+'VoT4'!$H$26)/100)^$B56) +1</f>
        <v>1.1490125418460642</v>
      </c>
      <c r="BE56" s="65">
        <f>((BE$28-1)*((100+'VoT4'!$H$27)/100)^$B56) +1</f>
        <v>1.1401838093663619</v>
      </c>
      <c r="BF56" s="65">
        <f>((BF$28-1)*((100+'VoT4'!$H$27)/100)^$B56) +1</f>
        <v>1.7905592337282852</v>
      </c>
      <c r="BG56" s="530">
        <f>((BD56*'VoT5'!H$28)+(BE56*'VoT5'!H$29)+('Forecast occupancies'!BF56*'VoT5'!H$30))/100</f>
        <v>1.4923153156000231</v>
      </c>
      <c r="BH56" s="65">
        <f>'VoT3'!$D$27</f>
        <v>1.2</v>
      </c>
      <c r="BI56" s="65">
        <f>'VoT3'!$D$28</f>
        <v>1.46</v>
      </c>
      <c r="BJ56" s="530">
        <f>((BH56*'VoT5'!$H$31)+(BI56*'VoT5'!$H$32))/100</f>
        <v>1.2311999999999999</v>
      </c>
      <c r="BK56" s="860">
        <f>'VoT3'!$D$30</f>
        <v>1</v>
      </c>
      <c r="BL56" s="860">
        <f>'VoT3'!$D$31</f>
        <v>1</v>
      </c>
      <c r="BM56" s="65">
        <f>('VoT3'!$D$33*'VoT5'!$H$39)/100 + 'VoT3'!$D$32</f>
        <v>1.2154161555382865</v>
      </c>
      <c r="BN56" s="65">
        <f>('VoT3'!$D$33*'VoT5'!$H$40)/100</f>
        <v>1.9520129541892906</v>
      </c>
      <c r="BO56" s="530">
        <f>('VoT3'!$D$33*'VoT5'!$H$41)/100</f>
        <v>10.032570890272423</v>
      </c>
      <c r="BP56" s="901">
        <f t="shared" si="13"/>
        <v>13.2</v>
      </c>
      <c r="BQ56" s="672">
        <f>((BQ$28-1)*((100+'VoT4'!$I$26)/100)^$B56) +1</f>
        <v>1.3131774973540897</v>
      </c>
      <c r="BR56" s="65">
        <f>((BR$28-1)*((100+'VoT4'!$I$27)/100)^$B56) +1</f>
        <v>1.2071718111863166</v>
      </c>
      <c r="BS56" s="65">
        <f>((BS$28-1)*((100+'VoT4'!$I$27)/100)^$B56) +1</f>
        <v>2.1200652963923514</v>
      </c>
      <c r="BT56" s="530">
        <f>((BQ56*'VoT5'!I$28)+(BR56*'VoT5'!I$29)+('Forecast occupancies'!BS56*'VoT5'!I$30))/100</f>
        <v>2.020025055906864</v>
      </c>
      <c r="BU56" s="65">
        <f>'VoT3'!$E$27</f>
        <v>1.26</v>
      </c>
      <c r="BV56" s="65">
        <f>'VoT3'!$E$28</f>
        <v>2.0299999999999998</v>
      </c>
      <c r="BW56" s="530">
        <f>((BU56*'VoT5'!$I$31)+(BV56*'VoT5'!$I$32))/100</f>
        <v>1.3524</v>
      </c>
      <c r="BX56" s="530">
        <f>'VoT3'!$E$30</f>
        <v>1</v>
      </c>
      <c r="BY56" s="860">
        <f>'VoT3'!$E$31</f>
        <v>1</v>
      </c>
      <c r="BZ56" s="65">
        <f>('VoT3'!$E$33*'VoT5'!$I$39)/100 + 'VoT3'!$E$32</f>
        <v>1.0656255420478047</v>
      </c>
      <c r="CA56" s="65">
        <f>('VoT3'!$E$33*'VoT5'!$I$40)/100</f>
        <v>0.73949783032666783</v>
      </c>
      <c r="CB56" s="530">
        <f>('VoT3'!$E$33*'VoT5'!$I$41)/100</f>
        <v>11.394876627625528</v>
      </c>
      <c r="CC56" s="901">
        <f t="shared" si="14"/>
        <v>13.200000000000001</v>
      </c>
      <c r="CD56" s="65">
        <f>((CD$28-1)*((100+'VoT4'!$J$26)/100)^$B56) +1</f>
        <v>1.1606654296250507</v>
      </c>
      <c r="CE56" s="65">
        <f>((CE$28-1)*((100+'VoT4'!$J$27)/100)^$B56) +1</f>
        <v>1.145603182870168</v>
      </c>
      <c r="CF56" s="65">
        <f>((CF$28-1)*((100+'VoT4'!$J$27)/100)^$B56) +1</f>
        <v>1.9068315187130187</v>
      </c>
      <c r="CG56" s="530">
        <f>((CD56*'VoT5'!J$28)+(CE56*'VoT5'!J$29)+('Forecast occupancies'!CF56*'VoT5'!J$30))/100</f>
        <v>1.6228231414717587</v>
      </c>
      <c r="CH56" s="65">
        <f>'VoT3'!$F$27</f>
        <v>1.2</v>
      </c>
      <c r="CI56" s="65">
        <f>'VoT3'!$F$28</f>
        <v>1.59</v>
      </c>
      <c r="CJ56" s="530">
        <f>((CH56*'VoT5'!$J$31)+(CI56*'VoT5'!$J$32))/100</f>
        <v>1.2467999999999999</v>
      </c>
      <c r="CK56" s="860">
        <f>'VoT3'!$F$30</f>
        <v>1</v>
      </c>
      <c r="CL56" s="860">
        <f>'VoT3'!$F$31</f>
        <v>1</v>
      </c>
      <c r="CM56" s="65">
        <f>('VoT3'!$F$33*'VoT5'!$J$39)/100 + 'VoT3'!$F$32</f>
        <v>1.1784267265920292</v>
      </c>
      <c r="CN56" s="65">
        <f>('VoT3'!$F$33*'VoT5'!$J$40)/100</f>
        <v>1.652535676565674</v>
      </c>
      <c r="CO56" s="530">
        <f>('VoT3'!$F$33*'VoT5'!$J$41)/100</f>
        <v>10.369037596842293</v>
      </c>
      <c r="CP56" s="901">
        <f t="shared" si="15"/>
        <v>13.199999999999996</v>
      </c>
    </row>
    <row r="57" spans="2:94" ht="13.5" customHeight="1">
      <c r="B57" s="1225">
        <f t="shared" si="0"/>
        <v>29</v>
      </c>
      <c r="C57" s="535">
        <f t="shared" si="8"/>
        <v>2039</v>
      </c>
      <c r="D57" s="75">
        <f>((D$28-1)*((100+'VoT4'!$D$26)/100)^$B57) + 1</f>
        <v>1.1306546747898494</v>
      </c>
      <c r="E57" s="75">
        <f>((E$28-1)*((100+'VoT4'!$D$27)/100)^$B57) + 1</f>
        <v>1.1324142099550518</v>
      </c>
      <c r="F57" s="75">
        <f>((F$28-1)*((100+'VoT4'!$D$27)/100)^$B57) + 1</f>
        <v>1.7117149527604505</v>
      </c>
      <c r="G57" s="530">
        <f>((D57*'VoT5'!D$28)+(E57*'VoT5'!D$29)+('Forecast occupancies'!F57*'VoT5'!D$30))/100</f>
        <v>1.3608117390924901</v>
      </c>
      <c r="H57" s="65">
        <f>'VoT3'!$D$27</f>
        <v>1.2</v>
      </c>
      <c r="I57" s="65">
        <f>'VoT3'!$D$28</f>
        <v>1.46</v>
      </c>
      <c r="J57" s="530">
        <f>((H57*'VoT5'!$D$31)+(I57*'VoT5'!$D$32))/100</f>
        <v>1.2311999999999999</v>
      </c>
      <c r="K57" s="860">
        <f>'VoT3'!$D$30</f>
        <v>1</v>
      </c>
      <c r="L57" s="860">
        <f>'VoT3'!$D$31</f>
        <v>1</v>
      </c>
      <c r="M57" s="65">
        <f>('VoT3'!$D$33*'VoT5'!$D$39)/100 + 'VoT3'!$D$32</f>
        <v>1.168791653429633</v>
      </c>
      <c r="N57" s="65">
        <f>('VoT3'!$D$33*'VoT5'!$D$40)/100</f>
        <v>2.2491911578548542</v>
      </c>
      <c r="O57" s="530">
        <f>('VoT3'!$D$33*'VoT5'!$D$41)/100</f>
        <v>9.7820171887155141</v>
      </c>
      <c r="P57" s="531">
        <f t="shared" si="9"/>
        <v>13.200000000000001</v>
      </c>
      <c r="Q57" s="65">
        <f>((Q$28-1)*((100+'VoT4'!$E$26)/100)^$B57) +1</f>
        <v>1.1586074096289325</v>
      </c>
      <c r="R57" s="65">
        <f>((R$28-1)*((100+'VoT4'!$E$27)/100)^$B57) +1</f>
        <v>1.1508273706069019</v>
      </c>
      <c r="S57" s="65">
        <f>((S$28-1)*((100+'VoT4'!$E$27)/100)^$B57) +1</f>
        <v>1.823380766174084</v>
      </c>
      <c r="T57" s="530">
        <f>((Q57*'VoT5'!E$28)+(R57*'VoT5'!E$29)+('Forecast occupancies'!S57*'VoT5'!E$30))/100</f>
        <v>1.6344935826498272</v>
      </c>
      <c r="U57" s="65">
        <f>'VoT3'!$D$27</f>
        <v>1.2</v>
      </c>
      <c r="V57" s="65">
        <f>'VoT3'!$D$28</f>
        <v>1.46</v>
      </c>
      <c r="W57" s="530">
        <f>((U57*'VoT5'!$E$31)+(V57*'VoT5'!$E$32))/100</f>
        <v>1.2311999999999999</v>
      </c>
      <c r="X57" s="860">
        <f>'VoT3'!$D$30</f>
        <v>1</v>
      </c>
      <c r="Y57" s="860">
        <f>'VoT3'!$D$31</f>
        <v>1</v>
      </c>
      <c r="Z57" s="65">
        <f>('VoT3'!$D$33*'VoT5'!$E$39)/100 + 'VoT3'!$D$32</f>
        <v>1.2020901087398195</v>
      </c>
      <c r="AA57" s="65">
        <f>('VoT3'!$D$33*'VoT5'!$E$40)/100</f>
        <v>0.78826992816783981</v>
      </c>
      <c r="AB57" s="530">
        <f>('VoT3'!$D$33*'VoT5'!$E$41)/100</f>
        <v>11.209639963092341</v>
      </c>
      <c r="AC57" s="859">
        <f t="shared" si="10"/>
        <v>13.200000000000001</v>
      </c>
      <c r="AD57" s="65">
        <f>((AD$28-1)*((100+'VoT4'!$F$26)/100)^$B57) +1</f>
        <v>1.1469717467060276</v>
      </c>
      <c r="AE57" s="65">
        <f>((AE$28-1)*((100+'VoT4'!$F$27)/100)^$B57) +1</f>
        <v>1.1363203108454192</v>
      </c>
      <c r="AF57" s="65">
        <f>((AF$28-1)*((100+'VoT4'!$F$27)/100)^$B57) +1</f>
        <v>1.7925210409543946</v>
      </c>
      <c r="AG57" s="530">
        <f>((AD57*'VoT5'!F$28)+(AE57*'VoT5'!F$29)+('Forecast occupancies'!AF57*'VoT5'!F$30))/100</f>
        <v>1.4455150928444727</v>
      </c>
      <c r="AH57" s="65">
        <f>'VoT3'!$D$27</f>
        <v>1.2</v>
      </c>
      <c r="AI57" s="65">
        <f>'VoT3'!$D$28</f>
        <v>1.46</v>
      </c>
      <c r="AJ57" s="530">
        <f>((AH57*'VoT5'!$F$31)+(AI57*'VoT5'!$F$32))/100</f>
        <v>1.2311999999999999</v>
      </c>
      <c r="AK57" s="860">
        <f>'VoT3'!$D$30</f>
        <v>1</v>
      </c>
      <c r="AL57" s="530">
        <f>'VoT3'!$D$31</f>
        <v>1</v>
      </c>
      <c r="AM57" s="65">
        <f>('VoT3'!$D$33*'VoT5'!$F$39)/100 + 'VoT3'!$D$32</f>
        <v>1.2791444318533409</v>
      </c>
      <c r="AN57" s="65">
        <f>('VoT3'!$D$33*'VoT5'!$F$40)/100</f>
        <v>3.163211907560131</v>
      </c>
      <c r="AO57" s="530">
        <f>('VoT3'!$D$33*'VoT5'!$F$41)/100</f>
        <v>8.7576436605865258</v>
      </c>
      <c r="AP57" s="531">
        <f t="shared" si="11"/>
        <v>13.199999999999998</v>
      </c>
      <c r="AQ57" s="65">
        <f>((AQ$28-1)*((100+'VoT4'!$G$26)/100)^$B57) +1</f>
        <v>1.1686731657535445</v>
      </c>
      <c r="AR57" s="65">
        <f>((AR$28-1)*((100+'VoT4'!$G$27)/100)^$B57) +1</f>
        <v>1.1529514408135957</v>
      </c>
      <c r="AS57" s="65">
        <f>((AS$28-1)*((100+'VoT4'!$G$27)/100)^$B57) +1</f>
        <v>1.7861213477735842</v>
      </c>
      <c r="AT57" s="530">
        <f>((AQ57*'VoT5'!G$28)+(AR57*'VoT5'!G$29)+('Forecast occupancies'!AS57*'VoT5'!G$30))/100</f>
        <v>1.4625529734459999</v>
      </c>
      <c r="AU57" s="65">
        <f>'VoT3'!$D$27</f>
        <v>1.2</v>
      </c>
      <c r="AV57" s="65">
        <f>'VoT3'!$D$28</f>
        <v>1.46</v>
      </c>
      <c r="AW57" s="530">
        <f>((AU57*'VoT5'!$G$31)+(AV57*'VoT5'!$G$32))/100</f>
        <v>1.2311999999999999</v>
      </c>
      <c r="AX57" s="530">
        <f>'VoT3'!$D$30</f>
        <v>1</v>
      </c>
      <c r="AY57" s="860">
        <f>'VoT3'!$D$31</f>
        <v>1</v>
      </c>
      <c r="AZ57" s="65">
        <f>('VoT3'!$D$33*'VoT5'!$G$39)/100 + 'VoT3'!$D$32</f>
        <v>1.2777359179706231</v>
      </c>
      <c r="BA57" s="65">
        <f>('VoT3'!$D$33*'VoT5'!$G$40)/100</f>
        <v>4.3240321049185146</v>
      </c>
      <c r="BB57" s="530">
        <f>('VoT3'!$D$33*'VoT5'!$G$41)/100</f>
        <v>7.5982319771108608</v>
      </c>
      <c r="BC57" s="531">
        <f t="shared" si="12"/>
        <v>13.2</v>
      </c>
      <c r="BD57" s="65">
        <f>((BD$28-1)*((100+'VoT4'!$H$26)/100)^$B57) +1</f>
        <v>1.1490125418460642</v>
      </c>
      <c r="BE57" s="65">
        <f>((BE$28-1)*((100+'VoT4'!$H$27)/100)^$B57) +1</f>
        <v>1.1401838093663619</v>
      </c>
      <c r="BF57" s="65">
        <f>((BF$28-1)*((100+'VoT4'!$H$27)/100)^$B57) +1</f>
        <v>1.7905592337282852</v>
      </c>
      <c r="BG57" s="530">
        <f>((BD57*'VoT5'!H$28)+(BE57*'VoT5'!H$29)+('Forecast occupancies'!BF57*'VoT5'!H$30))/100</f>
        <v>1.4923153156000231</v>
      </c>
      <c r="BH57" s="65">
        <f>'VoT3'!$D$27</f>
        <v>1.2</v>
      </c>
      <c r="BI57" s="65">
        <f>'VoT3'!$D$28</f>
        <v>1.46</v>
      </c>
      <c r="BJ57" s="530">
        <f>((BH57*'VoT5'!$H$31)+(BI57*'VoT5'!$H$32))/100</f>
        <v>1.2311999999999999</v>
      </c>
      <c r="BK57" s="860">
        <f>'VoT3'!$D$30</f>
        <v>1</v>
      </c>
      <c r="BL57" s="860">
        <f>'VoT3'!$D$31</f>
        <v>1</v>
      </c>
      <c r="BM57" s="65">
        <f>('VoT3'!$D$33*'VoT5'!$H$39)/100 + 'VoT3'!$D$32</f>
        <v>1.2154161555382865</v>
      </c>
      <c r="BN57" s="65">
        <f>('VoT3'!$D$33*'VoT5'!$H$40)/100</f>
        <v>1.9520129541892906</v>
      </c>
      <c r="BO57" s="530">
        <f>('VoT3'!$D$33*'VoT5'!$H$41)/100</f>
        <v>10.032570890272423</v>
      </c>
      <c r="BP57" s="901">
        <f t="shared" si="13"/>
        <v>13.2</v>
      </c>
      <c r="BQ57" s="672">
        <f>((BQ$28-1)*((100+'VoT4'!$I$26)/100)^$B57) +1</f>
        <v>1.3131774973540897</v>
      </c>
      <c r="BR57" s="65">
        <f>((BR$28-1)*((100+'VoT4'!$I$27)/100)^$B57) +1</f>
        <v>1.2071718111863166</v>
      </c>
      <c r="BS57" s="65">
        <f>((BS$28-1)*((100+'VoT4'!$I$27)/100)^$B57) +1</f>
        <v>2.1200652963923514</v>
      </c>
      <c r="BT57" s="530">
        <f>((BQ57*'VoT5'!I$28)+(BR57*'VoT5'!I$29)+('Forecast occupancies'!BS57*'VoT5'!I$30))/100</f>
        <v>2.020025055906864</v>
      </c>
      <c r="BU57" s="65">
        <f>'VoT3'!$E$27</f>
        <v>1.26</v>
      </c>
      <c r="BV57" s="65">
        <f>'VoT3'!$E$28</f>
        <v>2.0299999999999998</v>
      </c>
      <c r="BW57" s="530">
        <f>((BU57*'VoT5'!$I$31)+(BV57*'VoT5'!$I$32))/100</f>
        <v>1.3524</v>
      </c>
      <c r="BX57" s="530">
        <f>'VoT3'!$E$30</f>
        <v>1</v>
      </c>
      <c r="BY57" s="860">
        <f>'VoT3'!$E$31</f>
        <v>1</v>
      </c>
      <c r="BZ57" s="65">
        <f>('VoT3'!$E$33*'VoT5'!$I$39)/100 + 'VoT3'!$E$32</f>
        <v>1.0656255420478047</v>
      </c>
      <c r="CA57" s="65">
        <f>('VoT3'!$E$33*'VoT5'!$I$40)/100</f>
        <v>0.73949783032666783</v>
      </c>
      <c r="CB57" s="530">
        <f>('VoT3'!$E$33*'VoT5'!$I$41)/100</f>
        <v>11.394876627625528</v>
      </c>
      <c r="CC57" s="901">
        <f t="shared" si="14"/>
        <v>13.200000000000001</v>
      </c>
      <c r="CD57" s="65">
        <f>((CD$28-1)*((100+'VoT4'!$J$26)/100)^$B57) +1</f>
        <v>1.1606654296250507</v>
      </c>
      <c r="CE57" s="65">
        <f>((CE$28-1)*((100+'VoT4'!$J$27)/100)^$B57) +1</f>
        <v>1.145603182870168</v>
      </c>
      <c r="CF57" s="65">
        <f>((CF$28-1)*((100+'VoT4'!$J$27)/100)^$B57) +1</f>
        <v>1.9068315187130187</v>
      </c>
      <c r="CG57" s="530">
        <f>((CD57*'VoT5'!J$28)+(CE57*'VoT5'!J$29)+('Forecast occupancies'!CF57*'VoT5'!J$30))/100</f>
        <v>1.6228231414717587</v>
      </c>
      <c r="CH57" s="65">
        <f>'VoT3'!$F$27</f>
        <v>1.2</v>
      </c>
      <c r="CI57" s="65">
        <f>'VoT3'!$F$28</f>
        <v>1.59</v>
      </c>
      <c r="CJ57" s="530">
        <f>((CH57*'VoT5'!$J$31)+(CI57*'VoT5'!$J$32))/100</f>
        <v>1.2467999999999999</v>
      </c>
      <c r="CK57" s="860">
        <f>'VoT3'!$F$30</f>
        <v>1</v>
      </c>
      <c r="CL57" s="860">
        <f>'VoT3'!$F$31</f>
        <v>1</v>
      </c>
      <c r="CM57" s="65">
        <f>('VoT3'!$F$33*'VoT5'!$J$39)/100 + 'VoT3'!$F$32</f>
        <v>1.1784267265920292</v>
      </c>
      <c r="CN57" s="65">
        <f>('VoT3'!$F$33*'VoT5'!$J$40)/100</f>
        <v>1.652535676565674</v>
      </c>
      <c r="CO57" s="530">
        <f>('VoT3'!$F$33*'VoT5'!$J$41)/100</f>
        <v>10.369037596842293</v>
      </c>
      <c r="CP57" s="901">
        <f t="shared" si="15"/>
        <v>13.199999999999996</v>
      </c>
    </row>
    <row r="58" spans="2:94" ht="13.5" customHeight="1">
      <c r="B58" s="1225">
        <f t="shared" si="0"/>
        <v>30</v>
      </c>
      <c r="C58" s="535">
        <f t="shared" si="8"/>
        <v>2040</v>
      </c>
      <c r="D58" s="75">
        <f>((D$28-1)*((100+'VoT4'!$D$26)/100)^$B58) + 1</f>
        <v>1.1306546747898494</v>
      </c>
      <c r="E58" s="75">
        <f>((E$28-1)*((100+'VoT4'!$D$27)/100)^$B58) + 1</f>
        <v>1.1324142099550518</v>
      </c>
      <c r="F58" s="75">
        <f>((F$28-1)*((100+'VoT4'!$D$27)/100)^$B58) + 1</f>
        <v>1.7117149527604505</v>
      </c>
      <c r="G58" s="530">
        <f>((D58*'VoT5'!D$28)+(E58*'VoT5'!D$29)+('Forecast occupancies'!F58*'VoT5'!D$30))/100</f>
        <v>1.3608117390924901</v>
      </c>
      <c r="H58" s="65">
        <f>'VoT3'!$D$27</f>
        <v>1.2</v>
      </c>
      <c r="I58" s="65">
        <f>'VoT3'!$D$28</f>
        <v>1.46</v>
      </c>
      <c r="J58" s="530">
        <f>((H58*'VoT5'!$D$31)+(I58*'VoT5'!$D$32))/100</f>
        <v>1.2311999999999999</v>
      </c>
      <c r="K58" s="860">
        <f>'VoT3'!$D$30</f>
        <v>1</v>
      </c>
      <c r="L58" s="860">
        <f>'VoT3'!$D$31</f>
        <v>1</v>
      </c>
      <c r="M58" s="65">
        <f>('VoT3'!$D$33*'VoT5'!$D$39)/100 + 'VoT3'!$D$32</f>
        <v>1.168791653429633</v>
      </c>
      <c r="N58" s="65">
        <f>('VoT3'!$D$33*'VoT5'!$D$40)/100</f>
        <v>2.2491911578548542</v>
      </c>
      <c r="O58" s="530">
        <f>('VoT3'!$D$33*'VoT5'!$D$41)/100</f>
        <v>9.7820171887155141</v>
      </c>
      <c r="P58" s="531">
        <f t="shared" si="9"/>
        <v>13.200000000000001</v>
      </c>
      <c r="Q58" s="65">
        <f>((Q$28-1)*((100+'VoT4'!$E$26)/100)^$B58) +1</f>
        <v>1.1586074096289325</v>
      </c>
      <c r="R58" s="65">
        <f>((R$28-1)*((100+'VoT4'!$E$27)/100)^$B58) +1</f>
        <v>1.1508273706069019</v>
      </c>
      <c r="S58" s="65">
        <f>((S$28-1)*((100+'VoT4'!$E$27)/100)^$B58) +1</f>
        <v>1.823380766174084</v>
      </c>
      <c r="T58" s="530">
        <f>((Q58*'VoT5'!E$28)+(R58*'VoT5'!E$29)+('Forecast occupancies'!S58*'VoT5'!E$30))/100</f>
        <v>1.6344935826498272</v>
      </c>
      <c r="U58" s="65">
        <f>'VoT3'!$D$27</f>
        <v>1.2</v>
      </c>
      <c r="V58" s="65">
        <f>'VoT3'!$D$28</f>
        <v>1.46</v>
      </c>
      <c r="W58" s="530">
        <f>((U58*'VoT5'!$E$31)+(V58*'VoT5'!$E$32))/100</f>
        <v>1.2311999999999999</v>
      </c>
      <c r="X58" s="860">
        <f>'VoT3'!$D$30</f>
        <v>1</v>
      </c>
      <c r="Y58" s="860">
        <f>'VoT3'!$D$31</f>
        <v>1</v>
      </c>
      <c r="Z58" s="65">
        <f>('VoT3'!$D$33*'VoT5'!$E$39)/100 + 'VoT3'!$D$32</f>
        <v>1.2020901087398195</v>
      </c>
      <c r="AA58" s="65">
        <f>('VoT3'!$D$33*'VoT5'!$E$40)/100</f>
        <v>0.78826992816783981</v>
      </c>
      <c r="AB58" s="530">
        <f>('VoT3'!$D$33*'VoT5'!$E$41)/100</f>
        <v>11.209639963092341</v>
      </c>
      <c r="AC58" s="859">
        <f t="shared" si="10"/>
        <v>13.200000000000001</v>
      </c>
      <c r="AD58" s="65">
        <f>((AD$28-1)*((100+'VoT4'!$F$26)/100)^$B58) +1</f>
        <v>1.1469717467060276</v>
      </c>
      <c r="AE58" s="65">
        <f>((AE$28-1)*((100+'VoT4'!$F$27)/100)^$B58) +1</f>
        <v>1.1363203108454192</v>
      </c>
      <c r="AF58" s="65">
        <f>((AF$28-1)*((100+'VoT4'!$F$27)/100)^$B58) +1</f>
        <v>1.7925210409543946</v>
      </c>
      <c r="AG58" s="530">
        <f>((AD58*'VoT5'!F$28)+(AE58*'VoT5'!F$29)+('Forecast occupancies'!AF58*'VoT5'!F$30))/100</f>
        <v>1.4455150928444727</v>
      </c>
      <c r="AH58" s="65">
        <f>'VoT3'!$D$27</f>
        <v>1.2</v>
      </c>
      <c r="AI58" s="65">
        <f>'VoT3'!$D$28</f>
        <v>1.46</v>
      </c>
      <c r="AJ58" s="530">
        <f>((AH58*'VoT5'!$F$31)+(AI58*'VoT5'!$F$32))/100</f>
        <v>1.2311999999999999</v>
      </c>
      <c r="AK58" s="860">
        <f>'VoT3'!$D$30</f>
        <v>1</v>
      </c>
      <c r="AL58" s="530">
        <f>'VoT3'!$D$31</f>
        <v>1</v>
      </c>
      <c r="AM58" s="65">
        <f>('VoT3'!$D$33*'VoT5'!$F$39)/100 + 'VoT3'!$D$32</f>
        <v>1.2791444318533409</v>
      </c>
      <c r="AN58" s="65">
        <f>('VoT3'!$D$33*'VoT5'!$F$40)/100</f>
        <v>3.163211907560131</v>
      </c>
      <c r="AO58" s="530">
        <f>('VoT3'!$D$33*'VoT5'!$F$41)/100</f>
        <v>8.7576436605865258</v>
      </c>
      <c r="AP58" s="531">
        <f t="shared" si="11"/>
        <v>13.199999999999998</v>
      </c>
      <c r="AQ58" s="65">
        <f>((AQ$28-1)*((100+'VoT4'!$G$26)/100)^$B58) +1</f>
        <v>1.1686731657535445</v>
      </c>
      <c r="AR58" s="65">
        <f>((AR$28-1)*((100+'VoT4'!$G$27)/100)^$B58) +1</f>
        <v>1.1529514408135957</v>
      </c>
      <c r="AS58" s="65">
        <f>((AS$28-1)*((100+'VoT4'!$G$27)/100)^$B58) +1</f>
        <v>1.7861213477735842</v>
      </c>
      <c r="AT58" s="530">
        <f>((AQ58*'VoT5'!G$28)+(AR58*'VoT5'!G$29)+('Forecast occupancies'!AS58*'VoT5'!G$30))/100</f>
        <v>1.4625529734459999</v>
      </c>
      <c r="AU58" s="65">
        <f>'VoT3'!$D$27</f>
        <v>1.2</v>
      </c>
      <c r="AV58" s="65">
        <f>'VoT3'!$D$28</f>
        <v>1.46</v>
      </c>
      <c r="AW58" s="530">
        <f>((AU58*'VoT5'!$G$31)+(AV58*'VoT5'!$G$32))/100</f>
        <v>1.2311999999999999</v>
      </c>
      <c r="AX58" s="530">
        <f>'VoT3'!$D$30</f>
        <v>1</v>
      </c>
      <c r="AY58" s="860">
        <f>'VoT3'!$D$31</f>
        <v>1</v>
      </c>
      <c r="AZ58" s="65">
        <f>('VoT3'!$D$33*'VoT5'!$G$39)/100 + 'VoT3'!$D$32</f>
        <v>1.2777359179706231</v>
      </c>
      <c r="BA58" s="65">
        <f>('VoT3'!$D$33*'VoT5'!$G$40)/100</f>
        <v>4.3240321049185146</v>
      </c>
      <c r="BB58" s="530">
        <f>('VoT3'!$D$33*'VoT5'!$G$41)/100</f>
        <v>7.5982319771108608</v>
      </c>
      <c r="BC58" s="531">
        <f t="shared" si="12"/>
        <v>13.2</v>
      </c>
      <c r="BD58" s="65">
        <f>((BD$28-1)*((100+'VoT4'!$H$26)/100)^$B58) +1</f>
        <v>1.1490125418460642</v>
      </c>
      <c r="BE58" s="65">
        <f>((BE$28-1)*((100+'VoT4'!$H$27)/100)^$B58) +1</f>
        <v>1.1401838093663619</v>
      </c>
      <c r="BF58" s="65">
        <f>((BF$28-1)*((100+'VoT4'!$H$27)/100)^$B58) +1</f>
        <v>1.7905592337282852</v>
      </c>
      <c r="BG58" s="530">
        <f>((BD58*'VoT5'!H$28)+(BE58*'VoT5'!H$29)+('Forecast occupancies'!BF58*'VoT5'!H$30))/100</f>
        <v>1.4923153156000231</v>
      </c>
      <c r="BH58" s="65">
        <f>'VoT3'!$D$27</f>
        <v>1.2</v>
      </c>
      <c r="BI58" s="65">
        <f>'VoT3'!$D$28</f>
        <v>1.46</v>
      </c>
      <c r="BJ58" s="530">
        <f>((BH58*'VoT5'!$H$31)+(BI58*'VoT5'!$H$32))/100</f>
        <v>1.2311999999999999</v>
      </c>
      <c r="BK58" s="860">
        <f>'VoT3'!$D$30</f>
        <v>1</v>
      </c>
      <c r="BL58" s="860">
        <f>'VoT3'!$D$31</f>
        <v>1</v>
      </c>
      <c r="BM58" s="65">
        <f>('VoT3'!$D$33*'VoT5'!$H$39)/100 + 'VoT3'!$D$32</f>
        <v>1.2154161555382865</v>
      </c>
      <c r="BN58" s="65">
        <f>('VoT3'!$D$33*'VoT5'!$H$40)/100</f>
        <v>1.9520129541892906</v>
      </c>
      <c r="BO58" s="530">
        <f>('VoT3'!$D$33*'VoT5'!$H$41)/100</f>
        <v>10.032570890272423</v>
      </c>
      <c r="BP58" s="901">
        <f t="shared" si="13"/>
        <v>13.2</v>
      </c>
      <c r="BQ58" s="672">
        <f>((BQ$28-1)*((100+'VoT4'!$I$26)/100)^$B58) +1</f>
        <v>1.3131774973540897</v>
      </c>
      <c r="BR58" s="65">
        <f>((BR$28-1)*((100+'VoT4'!$I$27)/100)^$B58) +1</f>
        <v>1.2071718111863166</v>
      </c>
      <c r="BS58" s="65">
        <f>((BS$28-1)*((100+'VoT4'!$I$27)/100)^$B58) +1</f>
        <v>2.1200652963923514</v>
      </c>
      <c r="BT58" s="530">
        <f>((BQ58*'VoT5'!I$28)+(BR58*'VoT5'!I$29)+('Forecast occupancies'!BS58*'VoT5'!I$30))/100</f>
        <v>2.020025055906864</v>
      </c>
      <c r="BU58" s="65">
        <f>'VoT3'!$E$27</f>
        <v>1.26</v>
      </c>
      <c r="BV58" s="65">
        <f>'VoT3'!$E$28</f>
        <v>2.0299999999999998</v>
      </c>
      <c r="BW58" s="530">
        <f>((BU58*'VoT5'!$I$31)+(BV58*'VoT5'!$I$32))/100</f>
        <v>1.3524</v>
      </c>
      <c r="BX58" s="530">
        <f>'VoT3'!$E$30</f>
        <v>1</v>
      </c>
      <c r="BY58" s="860">
        <f>'VoT3'!$E$31</f>
        <v>1</v>
      </c>
      <c r="BZ58" s="65">
        <f>('VoT3'!$E$33*'VoT5'!$I$39)/100 + 'VoT3'!$E$32</f>
        <v>1.0656255420478047</v>
      </c>
      <c r="CA58" s="65">
        <f>('VoT3'!$E$33*'VoT5'!$I$40)/100</f>
        <v>0.73949783032666783</v>
      </c>
      <c r="CB58" s="530">
        <f>('VoT3'!$E$33*'VoT5'!$I$41)/100</f>
        <v>11.394876627625528</v>
      </c>
      <c r="CC58" s="901">
        <f t="shared" si="14"/>
        <v>13.200000000000001</v>
      </c>
      <c r="CD58" s="65">
        <f>((CD$28-1)*((100+'VoT4'!$J$26)/100)^$B58) +1</f>
        <v>1.1606654296250507</v>
      </c>
      <c r="CE58" s="65">
        <f>((CE$28-1)*((100+'VoT4'!$J$27)/100)^$B58) +1</f>
        <v>1.145603182870168</v>
      </c>
      <c r="CF58" s="65">
        <f>((CF$28-1)*((100+'VoT4'!$J$27)/100)^$B58) +1</f>
        <v>1.9068315187130187</v>
      </c>
      <c r="CG58" s="530">
        <f>((CD58*'VoT5'!J$28)+(CE58*'VoT5'!J$29)+('Forecast occupancies'!CF58*'VoT5'!J$30))/100</f>
        <v>1.6228231414717587</v>
      </c>
      <c r="CH58" s="65">
        <f>'VoT3'!$F$27</f>
        <v>1.2</v>
      </c>
      <c r="CI58" s="65">
        <f>'VoT3'!$F$28</f>
        <v>1.59</v>
      </c>
      <c r="CJ58" s="530">
        <f>((CH58*'VoT5'!$J$31)+(CI58*'VoT5'!$J$32))/100</f>
        <v>1.2467999999999999</v>
      </c>
      <c r="CK58" s="860">
        <f>'VoT3'!$F$30</f>
        <v>1</v>
      </c>
      <c r="CL58" s="860">
        <f>'VoT3'!$F$31</f>
        <v>1</v>
      </c>
      <c r="CM58" s="65">
        <f>('VoT3'!$F$33*'VoT5'!$J$39)/100 + 'VoT3'!$F$32</f>
        <v>1.1784267265920292</v>
      </c>
      <c r="CN58" s="65">
        <f>('VoT3'!$F$33*'VoT5'!$J$40)/100</f>
        <v>1.652535676565674</v>
      </c>
      <c r="CO58" s="530">
        <f>('VoT3'!$F$33*'VoT5'!$J$41)/100</f>
        <v>10.369037596842293</v>
      </c>
      <c r="CP58" s="901">
        <f t="shared" si="15"/>
        <v>13.199999999999996</v>
      </c>
    </row>
    <row r="59" spans="2:94" ht="13.5" customHeight="1">
      <c r="B59" s="1225">
        <f t="shared" si="0"/>
        <v>31</v>
      </c>
      <c r="C59" s="535">
        <f t="shared" si="8"/>
        <v>2041</v>
      </c>
      <c r="D59" s="75">
        <f>((D$28-1)*((100+'VoT4'!$D$26)/100)^$B59) + 1</f>
        <v>1.1306546747898494</v>
      </c>
      <c r="E59" s="75">
        <f>((E$28-1)*((100+'VoT4'!$D$27)/100)^$B59) + 1</f>
        <v>1.1324142099550518</v>
      </c>
      <c r="F59" s="75">
        <f>((F$28-1)*((100+'VoT4'!$D$27)/100)^$B59) + 1</f>
        <v>1.7117149527604505</v>
      </c>
      <c r="G59" s="530">
        <f>((D59*'VoT5'!D$28)+(E59*'VoT5'!D$29)+('Forecast occupancies'!F59*'VoT5'!D$30))/100</f>
        <v>1.3608117390924901</v>
      </c>
      <c r="H59" s="65">
        <f>'VoT3'!$D$27</f>
        <v>1.2</v>
      </c>
      <c r="I59" s="65">
        <f>'VoT3'!$D$28</f>
        <v>1.46</v>
      </c>
      <c r="J59" s="530">
        <f>((H59*'VoT5'!$D$31)+(I59*'VoT5'!$D$32))/100</f>
        <v>1.2311999999999999</v>
      </c>
      <c r="K59" s="860">
        <f>'VoT3'!$D$30</f>
        <v>1</v>
      </c>
      <c r="L59" s="860">
        <f>'VoT3'!$D$31</f>
        <v>1</v>
      </c>
      <c r="M59" s="65">
        <f>('VoT3'!$D$33*'VoT5'!$D$39)/100 + 'VoT3'!$D$32</f>
        <v>1.168791653429633</v>
      </c>
      <c r="N59" s="65">
        <f>('VoT3'!$D$33*'VoT5'!$D$40)/100</f>
        <v>2.2491911578548542</v>
      </c>
      <c r="O59" s="530">
        <f>('VoT3'!$D$33*'VoT5'!$D$41)/100</f>
        <v>9.7820171887155141</v>
      </c>
      <c r="P59" s="531">
        <f t="shared" si="9"/>
        <v>13.200000000000001</v>
      </c>
      <c r="Q59" s="65">
        <f>((Q$28-1)*((100+'VoT4'!$E$26)/100)^$B59) +1</f>
        <v>1.1586074096289325</v>
      </c>
      <c r="R59" s="65">
        <f>((R$28-1)*((100+'VoT4'!$E$27)/100)^$B59) +1</f>
        <v>1.1508273706069019</v>
      </c>
      <c r="S59" s="65">
        <f>((S$28-1)*((100+'VoT4'!$E$27)/100)^$B59) +1</f>
        <v>1.823380766174084</v>
      </c>
      <c r="T59" s="530">
        <f>((Q59*'VoT5'!E$28)+(R59*'VoT5'!E$29)+('Forecast occupancies'!S59*'VoT5'!E$30))/100</f>
        <v>1.6344935826498272</v>
      </c>
      <c r="U59" s="65">
        <f>'VoT3'!$D$27</f>
        <v>1.2</v>
      </c>
      <c r="V59" s="65">
        <f>'VoT3'!$D$28</f>
        <v>1.46</v>
      </c>
      <c r="W59" s="530">
        <f>((U59*'VoT5'!$E$31)+(V59*'VoT5'!$E$32))/100</f>
        <v>1.2311999999999999</v>
      </c>
      <c r="X59" s="860">
        <f>'VoT3'!$D$30</f>
        <v>1</v>
      </c>
      <c r="Y59" s="860">
        <f>'VoT3'!$D$31</f>
        <v>1</v>
      </c>
      <c r="Z59" s="65">
        <f>('VoT3'!$D$33*'VoT5'!$E$39)/100 + 'VoT3'!$D$32</f>
        <v>1.2020901087398195</v>
      </c>
      <c r="AA59" s="65">
        <f>('VoT3'!$D$33*'VoT5'!$E$40)/100</f>
        <v>0.78826992816783981</v>
      </c>
      <c r="AB59" s="530">
        <f>('VoT3'!$D$33*'VoT5'!$E$41)/100</f>
        <v>11.209639963092341</v>
      </c>
      <c r="AC59" s="859">
        <f t="shared" si="10"/>
        <v>13.200000000000001</v>
      </c>
      <c r="AD59" s="65">
        <f>((AD$28-1)*((100+'VoT4'!$F$26)/100)^$B59) +1</f>
        <v>1.1469717467060276</v>
      </c>
      <c r="AE59" s="65">
        <f>((AE$28-1)*((100+'VoT4'!$F$27)/100)^$B59) +1</f>
        <v>1.1363203108454192</v>
      </c>
      <c r="AF59" s="65">
        <f>((AF$28-1)*((100+'VoT4'!$F$27)/100)^$B59) +1</f>
        <v>1.7925210409543946</v>
      </c>
      <c r="AG59" s="530">
        <f>((AD59*'VoT5'!F$28)+(AE59*'VoT5'!F$29)+('Forecast occupancies'!AF59*'VoT5'!F$30))/100</f>
        <v>1.4455150928444727</v>
      </c>
      <c r="AH59" s="65">
        <f>'VoT3'!$D$27</f>
        <v>1.2</v>
      </c>
      <c r="AI59" s="65">
        <f>'VoT3'!$D$28</f>
        <v>1.46</v>
      </c>
      <c r="AJ59" s="530">
        <f>((AH59*'VoT5'!$F$31)+(AI59*'VoT5'!$F$32))/100</f>
        <v>1.2311999999999999</v>
      </c>
      <c r="AK59" s="860">
        <f>'VoT3'!$D$30</f>
        <v>1</v>
      </c>
      <c r="AL59" s="530">
        <f>'VoT3'!$D$31</f>
        <v>1</v>
      </c>
      <c r="AM59" s="65">
        <f>('VoT3'!$D$33*'VoT5'!$F$39)/100 + 'VoT3'!$D$32</f>
        <v>1.2791444318533409</v>
      </c>
      <c r="AN59" s="65">
        <f>('VoT3'!$D$33*'VoT5'!$F$40)/100</f>
        <v>3.163211907560131</v>
      </c>
      <c r="AO59" s="530">
        <f>('VoT3'!$D$33*'VoT5'!$F$41)/100</f>
        <v>8.7576436605865258</v>
      </c>
      <c r="AP59" s="531">
        <f t="shared" si="11"/>
        <v>13.199999999999998</v>
      </c>
      <c r="AQ59" s="65">
        <f>((AQ$28-1)*((100+'VoT4'!$G$26)/100)^$B59) +1</f>
        <v>1.1686731657535445</v>
      </c>
      <c r="AR59" s="65">
        <f>((AR$28-1)*((100+'VoT4'!$G$27)/100)^$B59) +1</f>
        <v>1.1529514408135957</v>
      </c>
      <c r="AS59" s="65">
        <f>((AS$28-1)*((100+'VoT4'!$G$27)/100)^$B59) +1</f>
        <v>1.7861213477735842</v>
      </c>
      <c r="AT59" s="530">
        <f>((AQ59*'VoT5'!G$28)+(AR59*'VoT5'!G$29)+('Forecast occupancies'!AS59*'VoT5'!G$30))/100</f>
        <v>1.4625529734459999</v>
      </c>
      <c r="AU59" s="65">
        <f>'VoT3'!$D$27</f>
        <v>1.2</v>
      </c>
      <c r="AV59" s="65">
        <f>'VoT3'!$D$28</f>
        <v>1.46</v>
      </c>
      <c r="AW59" s="530">
        <f>((AU59*'VoT5'!$G$31)+(AV59*'VoT5'!$G$32))/100</f>
        <v>1.2311999999999999</v>
      </c>
      <c r="AX59" s="530">
        <f>'VoT3'!$D$30</f>
        <v>1</v>
      </c>
      <c r="AY59" s="860">
        <f>'VoT3'!$D$31</f>
        <v>1</v>
      </c>
      <c r="AZ59" s="65">
        <f>('VoT3'!$D$33*'VoT5'!$G$39)/100 + 'VoT3'!$D$32</f>
        <v>1.2777359179706231</v>
      </c>
      <c r="BA59" s="65">
        <f>('VoT3'!$D$33*'VoT5'!$G$40)/100</f>
        <v>4.3240321049185146</v>
      </c>
      <c r="BB59" s="530">
        <f>('VoT3'!$D$33*'VoT5'!$G$41)/100</f>
        <v>7.5982319771108608</v>
      </c>
      <c r="BC59" s="531">
        <f t="shared" si="12"/>
        <v>13.2</v>
      </c>
      <c r="BD59" s="65">
        <f>((BD$28-1)*((100+'VoT4'!$H$26)/100)^$B59) +1</f>
        <v>1.1490125418460642</v>
      </c>
      <c r="BE59" s="65">
        <f>((BE$28-1)*((100+'VoT4'!$H$27)/100)^$B59) +1</f>
        <v>1.1401838093663619</v>
      </c>
      <c r="BF59" s="65">
        <f>((BF$28-1)*((100+'VoT4'!$H$27)/100)^$B59) +1</f>
        <v>1.7905592337282852</v>
      </c>
      <c r="BG59" s="530">
        <f>((BD59*'VoT5'!H$28)+(BE59*'VoT5'!H$29)+('Forecast occupancies'!BF59*'VoT5'!H$30))/100</f>
        <v>1.4923153156000231</v>
      </c>
      <c r="BH59" s="65">
        <f>'VoT3'!$D$27</f>
        <v>1.2</v>
      </c>
      <c r="BI59" s="65">
        <f>'VoT3'!$D$28</f>
        <v>1.46</v>
      </c>
      <c r="BJ59" s="530">
        <f>((BH59*'VoT5'!$H$31)+(BI59*'VoT5'!$H$32))/100</f>
        <v>1.2311999999999999</v>
      </c>
      <c r="BK59" s="860">
        <f>'VoT3'!$D$30</f>
        <v>1</v>
      </c>
      <c r="BL59" s="860">
        <f>'VoT3'!$D$31</f>
        <v>1</v>
      </c>
      <c r="BM59" s="65">
        <f>('VoT3'!$D$33*'VoT5'!$H$39)/100 + 'VoT3'!$D$32</f>
        <v>1.2154161555382865</v>
      </c>
      <c r="BN59" s="65">
        <f>('VoT3'!$D$33*'VoT5'!$H$40)/100</f>
        <v>1.9520129541892906</v>
      </c>
      <c r="BO59" s="530">
        <f>('VoT3'!$D$33*'VoT5'!$H$41)/100</f>
        <v>10.032570890272423</v>
      </c>
      <c r="BP59" s="901">
        <f t="shared" si="13"/>
        <v>13.2</v>
      </c>
      <c r="BQ59" s="672">
        <f>((BQ$28-1)*((100+'VoT4'!$I$26)/100)^$B59) +1</f>
        <v>1.3131774973540897</v>
      </c>
      <c r="BR59" s="65">
        <f>((BR$28-1)*((100+'VoT4'!$I$27)/100)^$B59) +1</f>
        <v>1.2071718111863166</v>
      </c>
      <c r="BS59" s="65">
        <f>((BS$28-1)*((100+'VoT4'!$I$27)/100)^$B59) +1</f>
        <v>2.1200652963923514</v>
      </c>
      <c r="BT59" s="530">
        <f>((BQ59*'VoT5'!I$28)+(BR59*'VoT5'!I$29)+('Forecast occupancies'!BS59*'VoT5'!I$30))/100</f>
        <v>2.020025055906864</v>
      </c>
      <c r="BU59" s="65">
        <f>'VoT3'!$E$27</f>
        <v>1.26</v>
      </c>
      <c r="BV59" s="65">
        <f>'VoT3'!$E$28</f>
        <v>2.0299999999999998</v>
      </c>
      <c r="BW59" s="530">
        <f>((BU59*'VoT5'!$I$31)+(BV59*'VoT5'!$I$32))/100</f>
        <v>1.3524</v>
      </c>
      <c r="BX59" s="530">
        <f>'VoT3'!$E$30</f>
        <v>1</v>
      </c>
      <c r="BY59" s="860">
        <f>'VoT3'!$E$31</f>
        <v>1</v>
      </c>
      <c r="BZ59" s="65">
        <f>('VoT3'!$E$33*'VoT5'!$I$39)/100 + 'VoT3'!$E$32</f>
        <v>1.0656255420478047</v>
      </c>
      <c r="CA59" s="65">
        <f>('VoT3'!$E$33*'VoT5'!$I$40)/100</f>
        <v>0.73949783032666783</v>
      </c>
      <c r="CB59" s="530">
        <f>('VoT3'!$E$33*'VoT5'!$I$41)/100</f>
        <v>11.394876627625528</v>
      </c>
      <c r="CC59" s="901">
        <f t="shared" si="14"/>
        <v>13.200000000000001</v>
      </c>
      <c r="CD59" s="65">
        <f>((CD$28-1)*((100+'VoT4'!$J$26)/100)^$B59) +1</f>
        <v>1.1606654296250507</v>
      </c>
      <c r="CE59" s="65">
        <f>((CE$28-1)*((100+'VoT4'!$J$27)/100)^$B59) +1</f>
        <v>1.145603182870168</v>
      </c>
      <c r="CF59" s="65">
        <f>((CF$28-1)*((100+'VoT4'!$J$27)/100)^$B59) +1</f>
        <v>1.9068315187130187</v>
      </c>
      <c r="CG59" s="530">
        <f>((CD59*'VoT5'!J$28)+(CE59*'VoT5'!J$29)+('Forecast occupancies'!CF59*'VoT5'!J$30))/100</f>
        <v>1.6228231414717587</v>
      </c>
      <c r="CH59" s="65">
        <f>'VoT3'!$F$27</f>
        <v>1.2</v>
      </c>
      <c r="CI59" s="65">
        <f>'VoT3'!$F$28</f>
        <v>1.59</v>
      </c>
      <c r="CJ59" s="530">
        <f>((CH59*'VoT5'!$J$31)+(CI59*'VoT5'!$J$32))/100</f>
        <v>1.2467999999999999</v>
      </c>
      <c r="CK59" s="860">
        <f>'VoT3'!$F$30</f>
        <v>1</v>
      </c>
      <c r="CL59" s="860">
        <f>'VoT3'!$F$31</f>
        <v>1</v>
      </c>
      <c r="CM59" s="65">
        <f>('VoT3'!$F$33*'VoT5'!$J$39)/100 + 'VoT3'!$F$32</f>
        <v>1.1784267265920292</v>
      </c>
      <c r="CN59" s="65">
        <f>('VoT3'!$F$33*'VoT5'!$J$40)/100</f>
        <v>1.652535676565674</v>
      </c>
      <c r="CO59" s="530">
        <f>('VoT3'!$F$33*'VoT5'!$J$41)/100</f>
        <v>10.369037596842293</v>
      </c>
      <c r="CP59" s="901">
        <f t="shared" si="15"/>
        <v>13.199999999999996</v>
      </c>
    </row>
    <row r="60" spans="2:94" ht="13.5" customHeight="1">
      <c r="B60" s="1225">
        <f t="shared" si="0"/>
        <v>32</v>
      </c>
      <c r="C60" s="535">
        <f t="shared" si="8"/>
        <v>2042</v>
      </c>
      <c r="D60" s="75">
        <f>((D$28-1)*((100+'VoT4'!$D$26)/100)^$B60) + 1</f>
        <v>1.1306546747898494</v>
      </c>
      <c r="E60" s="75">
        <f>((E$28-1)*((100+'VoT4'!$D$27)/100)^$B60) + 1</f>
        <v>1.1324142099550518</v>
      </c>
      <c r="F60" s="75">
        <f>((F$28-1)*((100+'VoT4'!$D$27)/100)^$B60) + 1</f>
        <v>1.7117149527604505</v>
      </c>
      <c r="G60" s="530">
        <f>((D60*'VoT5'!D$28)+(E60*'VoT5'!D$29)+('Forecast occupancies'!F60*'VoT5'!D$30))/100</f>
        <v>1.3608117390924901</v>
      </c>
      <c r="H60" s="65">
        <f>'VoT3'!$D$27</f>
        <v>1.2</v>
      </c>
      <c r="I60" s="65">
        <f>'VoT3'!$D$28</f>
        <v>1.46</v>
      </c>
      <c r="J60" s="530">
        <f>((H60*'VoT5'!$D$31)+(I60*'VoT5'!$D$32))/100</f>
        <v>1.2311999999999999</v>
      </c>
      <c r="K60" s="860">
        <f>'VoT3'!$D$30</f>
        <v>1</v>
      </c>
      <c r="L60" s="860">
        <f>'VoT3'!$D$31</f>
        <v>1</v>
      </c>
      <c r="M60" s="65">
        <f>('VoT3'!$D$33*'VoT5'!$D$39)/100 + 'VoT3'!$D$32</f>
        <v>1.168791653429633</v>
      </c>
      <c r="N60" s="65">
        <f>('VoT3'!$D$33*'VoT5'!$D$40)/100</f>
        <v>2.2491911578548542</v>
      </c>
      <c r="O60" s="530">
        <f>('VoT3'!$D$33*'VoT5'!$D$41)/100</f>
        <v>9.7820171887155141</v>
      </c>
      <c r="P60" s="531">
        <f t="shared" si="9"/>
        <v>13.200000000000001</v>
      </c>
      <c r="Q60" s="65">
        <f>((Q$28-1)*((100+'VoT4'!$E$26)/100)^$B60) +1</f>
        <v>1.1586074096289325</v>
      </c>
      <c r="R60" s="65">
        <f>((R$28-1)*((100+'VoT4'!$E$27)/100)^$B60) +1</f>
        <v>1.1508273706069019</v>
      </c>
      <c r="S60" s="65">
        <f>((S$28-1)*((100+'VoT4'!$E$27)/100)^$B60) +1</f>
        <v>1.823380766174084</v>
      </c>
      <c r="T60" s="530">
        <f>((Q60*'VoT5'!E$28)+(R60*'VoT5'!E$29)+('Forecast occupancies'!S60*'VoT5'!E$30))/100</f>
        <v>1.6344935826498272</v>
      </c>
      <c r="U60" s="65">
        <f>'VoT3'!$D$27</f>
        <v>1.2</v>
      </c>
      <c r="V60" s="65">
        <f>'VoT3'!$D$28</f>
        <v>1.46</v>
      </c>
      <c r="W60" s="530">
        <f>((U60*'VoT5'!$E$31)+(V60*'VoT5'!$E$32))/100</f>
        <v>1.2311999999999999</v>
      </c>
      <c r="X60" s="860">
        <f>'VoT3'!$D$30</f>
        <v>1</v>
      </c>
      <c r="Y60" s="860">
        <f>'VoT3'!$D$31</f>
        <v>1</v>
      </c>
      <c r="Z60" s="65">
        <f>('VoT3'!$D$33*'VoT5'!$E$39)/100 + 'VoT3'!$D$32</f>
        <v>1.2020901087398195</v>
      </c>
      <c r="AA60" s="65">
        <f>('VoT3'!$D$33*'VoT5'!$E$40)/100</f>
        <v>0.78826992816783981</v>
      </c>
      <c r="AB60" s="530">
        <f>('VoT3'!$D$33*'VoT5'!$E$41)/100</f>
        <v>11.209639963092341</v>
      </c>
      <c r="AC60" s="859">
        <f t="shared" si="10"/>
        <v>13.200000000000001</v>
      </c>
      <c r="AD60" s="65">
        <f>((AD$28-1)*((100+'VoT4'!$F$26)/100)^$B60) +1</f>
        <v>1.1469717467060276</v>
      </c>
      <c r="AE60" s="65">
        <f>((AE$28-1)*((100+'VoT4'!$F$27)/100)^$B60) +1</f>
        <v>1.1363203108454192</v>
      </c>
      <c r="AF60" s="65">
        <f>((AF$28-1)*((100+'VoT4'!$F$27)/100)^$B60) +1</f>
        <v>1.7925210409543946</v>
      </c>
      <c r="AG60" s="530">
        <f>((AD60*'VoT5'!F$28)+(AE60*'VoT5'!F$29)+('Forecast occupancies'!AF60*'VoT5'!F$30))/100</f>
        <v>1.4455150928444727</v>
      </c>
      <c r="AH60" s="65">
        <f>'VoT3'!$D$27</f>
        <v>1.2</v>
      </c>
      <c r="AI60" s="65">
        <f>'VoT3'!$D$28</f>
        <v>1.46</v>
      </c>
      <c r="AJ60" s="530">
        <f>((AH60*'VoT5'!$F$31)+(AI60*'VoT5'!$F$32))/100</f>
        <v>1.2311999999999999</v>
      </c>
      <c r="AK60" s="860">
        <f>'VoT3'!$D$30</f>
        <v>1</v>
      </c>
      <c r="AL60" s="530">
        <f>'VoT3'!$D$31</f>
        <v>1</v>
      </c>
      <c r="AM60" s="65">
        <f>('VoT3'!$D$33*'VoT5'!$F$39)/100 + 'VoT3'!$D$32</f>
        <v>1.2791444318533409</v>
      </c>
      <c r="AN60" s="65">
        <f>('VoT3'!$D$33*'VoT5'!$F$40)/100</f>
        <v>3.163211907560131</v>
      </c>
      <c r="AO60" s="530">
        <f>('VoT3'!$D$33*'VoT5'!$F$41)/100</f>
        <v>8.7576436605865258</v>
      </c>
      <c r="AP60" s="531">
        <f t="shared" si="11"/>
        <v>13.199999999999998</v>
      </c>
      <c r="AQ60" s="65">
        <f>((AQ$28-1)*((100+'VoT4'!$G$26)/100)^$B60) +1</f>
        <v>1.1686731657535445</v>
      </c>
      <c r="AR60" s="65">
        <f>((AR$28-1)*((100+'VoT4'!$G$27)/100)^$B60) +1</f>
        <v>1.1529514408135957</v>
      </c>
      <c r="AS60" s="65">
        <f>((AS$28-1)*((100+'VoT4'!$G$27)/100)^$B60) +1</f>
        <v>1.7861213477735842</v>
      </c>
      <c r="AT60" s="530">
        <f>((AQ60*'VoT5'!G$28)+(AR60*'VoT5'!G$29)+('Forecast occupancies'!AS60*'VoT5'!G$30))/100</f>
        <v>1.4625529734459999</v>
      </c>
      <c r="AU60" s="65">
        <f>'VoT3'!$D$27</f>
        <v>1.2</v>
      </c>
      <c r="AV60" s="65">
        <f>'VoT3'!$D$28</f>
        <v>1.46</v>
      </c>
      <c r="AW60" s="530">
        <f>((AU60*'VoT5'!$G$31)+(AV60*'VoT5'!$G$32))/100</f>
        <v>1.2311999999999999</v>
      </c>
      <c r="AX60" s="530">
        <f>'VoT3'!$D$30</f>
        <v>1</v>
      </c>
      <c r="AY60" s="860">
        <f>'VoT3'!$D$31</f>
        <v>1</v>
      </c>
      <c r="AZ60" s="65">
        <f>('VoT3'!$D$33*'VoT5'!$G$39)/100 + 'VoT3'!$D$32</f>
        <v>1.2777359179706231</v>
      </c>
      <c r="BA60" s="65">
        <f>('VoT3'!$D$33*'VoT5'!$G$40)/100</f>
        <v>4.3240321049185146</v>
      </c>
      <c r="BB60" s="530">
        <f>('VoT3'!$D$33*'VoT5'!$G$41)/100</f>
        <v>7.5982319771108608</v>
      </c>
      <c r="BC60" s="531">
        <f t="shared" si="12"/>
        <v>13.2</v>
      </c>
      <c r="BD60" s="65">
        <f>((BD$28-1)*((100+'VoT4'!$H$26)/100)^$B60) +1</f>
        <v>1.1490125418460642</v>
      </c>
      <c r="BE60" s="65">
        <f>((BE$28-1)*((100+'VoT4'!$H$27)/100)^$B60) +1</f>
        <v>1.1401838093663619</v>
      </c>
      <c r="BF60" s="65">
        <f>((BF$28-1)*((100+'VoT4'!$H$27)/100)^$B60) +1</f>
        <v>1.7905592337282852</v>
      </c>
      <c r="BG60" s="530">
        <f>((BD60*'VoT5'!H$28)+(BE60*'VoT5'!H$29)+('Forecast occupancies'!BF60*'VoT5'!H$30))/100</f>
        <v>1.4923153156000231</v>
      </c>
      <c r="BH60" s="65">
        <f>'VoT3'!$D$27</f>
        <v>1.2</v>
      </c>
      <c r="BI60" s="65">
        <f>'VoT3'!$D$28</f>
        <v>1.46</v>
      </c>
      <c r="BJ60" s="530">
        <f>((BH60*'VoT5'!$H$31)+(BI60*'VoT5'!$H$32))/100</f>
        <v>1.2311999999999999</v>
      </c>
      <c r="BK60" s="860">
        <f>'VoT3'!$D$30</f>
        <v>1</v>
      </c>
      <c r="BL60" s="860">
        <f>'VoT3'!$D$31</f>
        <v>1</v>
      </c>
      <c r="BM60" s="65">
        <f>('VoT3'!$D$33*'VoT5'!$H$39)/100 + 'VoT3'!$D$32</f>
        <v>1.2154161555382865</v>
      </c>
      <c r="BN60" s="65">
        <f>('VoT3'!$D$33*'VoT5'!$H$40)/100</f>
        <v>1.9520129541892906</v>
      </c>
      <c r="BO60" s="530">
        <f>('VoT3'!$D$33*'VoT5'!$H$41)/100</f>
        <v>10.032570890272423</v>
      </c>
      <c r="BP60" s="901">
        <f t="shared" si="13"/>
        <v>13.2</v>
      </c>
      <c r="BQ60" s="672">
        <f>((BQ$28-1)*((100+'VoT4'!$I$26)/100)^$B60) +1</f>
        <v>1.3131774973540897</v>
      </c>
      <c r="BR60" s="65">
        <f>((BR$28-1)*((100+'VoT4'!$I$27)/100)^$B60) +1</f>
        <v>1.2071718111863166</v>
      </c>
      <c r="BS60" s="65">
        <f>((BS$28-1)*((100+'VoT4'!$I$27)/100)^$B60) +1</f>
        <v>2.1200652963923514</v>
      </c>
      <c r="BT60" s="530">
        <f>((BQ60*'VoT5'!I$28)+(BR60*'VoT5'!I$29)+('Forecast occupancies'!BS60*'VoT5'!I$30))/100</f>
        <v>2.020025055906864</v>
      </c>
      <c r="BU60" s="65">
        <f>'VoT3'!$E$27</f>
        <v>1.26</v>
      </c>
      <c r="BV60" s="65">
        <f>'VoT3'!$E$28</f>
        <v>2.0299999999999998</v>
      </c>
      <c r="BW60" s="530">
        <f>((BU60*'VoT5'!$I$31)+(BV60*'VoT5'!$I$32))/100</f>
        <v>1.3524</v>
      </c>
      <c r="BX60" s="530">
        <f>'VoT3'!$E$30</f>
        <v>1</v>
      </c>
      <c r="BY60" s="860">
        <f>'VoT3'!$E$31</f>
        <v>1</v>
      </c>
      <c r="BZ60" s="65">
        <f>('VoT3'!$E$33*'VoT5'!$I$39)/100 + 'VoT3'!$E$32</f>
        <v>1.0656255420478047</v>
      </c>
      <c r="CA60" s="65">
        <f>('VoT3'!$E$33*'VoT5'!$I$40)/100</f>
        <v>0.73949783032666783</v>
      </c>
      <c r="CB60" s="530">
        <f>('VoT3'!$E$33*'VoT5'!$I$41)/100</f>
        <v>11.394876627625528</v>
      </c>
      <c r="CC60" s="901">
        <f t="shared" si="14"/>
        <v>13.200000000000001</v>
      </c>
      <c r="CD60" s="65">
        <f>((CD$28-1)*((100+'VoT4'!$J$26)/100)^$B60) +1</f>
        <v>1.1606654296250507</v>
      </c>
      <c r="CE60" s="65">
        <f>((CE$28-1)*((100+'VoT4'!$J$27)/100)^$B60) +1</f>
        <v>1.145603182870168</v>
      </c>
      <c r="CF60" s="65">
        <f>((CF$28-1)*((100+'VoT4'!$J$27)/100)^$B60) +1</f>
        <v>1.9068315187130187</v>
      </c>
      <c r="CG60" s="530">
        <f>((CD60*'VoT5'!J$28)+(CE60*'VoT5'!J$29)+('Forecast occupancies'!CF60*'VoT5'!J$30))/100</f>
        <v>1.6228231414717587</v>
      </c>
      <c r="CH60" s="65">
        <f>'VoT3'!$F$27</f>
        <v>1.2</v>
      </c>
      <c r="CI60" s="65">
        <f>'VoT3'!$F$28</f>
        <v>1.59</v>
      </c>
      <c r="CJ60" s="530">
        <f>((CH60*'VoT5'!$J$31)+(CI60*'VoT5'!$J$32))/100</f>
        <v>1.2467999999999999</v>
      </c>
      <c r="CK60" s="860">
        <f>'VoT3'!$F$30</f>
        <v>1</v>
      </c>
      <c r="CL60" s="860">
        <f>'VoT3'!$F$31</f>
        <v>1</v>
      </c>
      <c r="CM60" s="65">
        <f>('VoT3'!$F$33*'VoT5'!$J$39)/100 + 'VoT3'!$F$32</f>
        <v>1.1784267265920292</v>
      </c>
      <c r="CN60" s="65">
        <f>('VoT3'!$F$33*'VoT5'!$J$40)/100</f>
        <v>1.652535676565674</v>
      </c>
      <c r="CO60" s="530">
        <f>('VoT3'!$F$33*'VoT5'!$J$41)/100</f>
        <v>10.369037596842293</v>
      </c>
      <c r="CP60" s="901">
        <f t="shared" si="15"/>
        <v>13.199999999999996</v>
      </c>
    </row>
    <row r="61" spans="2:94" ht="13.5" customHeight="1">
      <c r="B61" s="1225">
        <f t="shared" si="0"/>
        <v>33</v>
      </c>
      <c r="C61" s="535">
        <f t="shared" si="8"/>
        <v>2043</v>
      </c>
      <c r="D61" s="75">
        <f>((D$28-1)*((100+'VoT4'!$D$26)/100)^$B61) + 1</f>
        <v>1.1306546747898494</v>
      </c>
      <c r="E61" s="75">
        <f>((E$28-1)*((100+'VoT4'!$D$27)/100)^$B61) + 1</f>
        <v>1.1324142099550518</v>
      </c>
      <c r="F61" s="75">
        <f>((F$28-1)*((100+'VoT4'!$D$27)/100)^$B61) + 1</f>
        <v>1.7117149527604505</v>
      </c>
      <c r="G61" s="530">
        <f>((D61*'VoT5'!D$28)+(E61*'VoT5'!D$29)+('Forecast occupancies'!F61*'VoT5'!D$30))/100</f>
        <v>1.3608117390924901</v>
      </c>
      <c r="H61" s="65">
        <f>'VoT3'!$D$27</f>
        <v>1.2</v>
      </c>
      <c r="I61" s="65">
        <f>'VoT3'!$D$28</f>
        <v>1.46</v>
      </c>
      <c r="J61" s="530">
        <f>((H61*'VoT5'!$D$31)+(I61*'VoT5'!$D$32))/100</f>
        <v>1.2311999999999999</v>
      </c>
      <c r="K61" s="860">
        <f>'VoT3'!$D$30</f>
        <v>1</v>
      </c>
      <c r="L61" s="860">
        <f>'VoT3'!$D$31</f>
        <v>1</v>
      </c>
      <c r="M61" s="65">
        <f>('VoT3'!$D$33*'VoT5'!$D$39)/100 + 'VoT3'!$D$32</f>
        <v>1.168791653429633</v>
      </c>
      <c r="N61" s="65">
        <f>('VoT3'!$D$33*'VoT5'!$D$40)/100</f>
        <v>2.2491911578548542</v>
      </c>
      <c r="O61" s="530">
        <f>('VoT3'!$D$33*'VoT5'!$D$41)/100</f>
        <v>9.7820171887155141</v>
      </c>
      <c r="P61" s="531">
        <f t="shared" si="9"/>
        <v>13.200000000000001</v>
      </c>
      <c r="Q61" s="65">
        <f>((Q$28-1)*((100+'VoT4'!$E$26)/100)^$B61) +1</f>
        <v>1.1586074096289325</v>
      </c>
      <c r="R61" s="65">
        <f>((R$28-1)*((100+'VoT4'!$E$27)/100)^$B61) +1</f>
        <v>1.1508273706069019</v>
      </c>
      <c r="S61" s="65">
        <f>((S$28-1)*((100+'VoT4'!$E$27)/100)^$B61) +1</f>
        <v>1.823380766174084</v>
      </c>
      <c r="T61" s="530">
        <f>((Q61*'VoT5'!E$28)+(R61*'VoT5'!E$29)+('Forecast occupancies'!S61*'VoT5'!E$30))/100</f>
        <v>1.6344935826498272</v>
      </c>
      <c r="U61" s="65">
        <f>'VoT3'!$D$27</f>
        <v>1.2</v>
      </c>
      <c r="V61" s="65">
        <f>'VoT3'!$D$28</f>
        <v>1.46</v>
      </c>
      <c r="W61" s="530">
        <f>((U61*'VoT5'!$E$31)+(V61*'VoT5'!$E$32))/100</f>
        <v>1.2311999999999999</v>
      </c>
      <c r="X61" s="860">
        <f>'VoT3'!$D$30</f>
        <v>1</v>
      </c>
      <c r="Y61" s="860">
        <f>'VoT3'!$D$31</f>
        <v>1</v>
      </c>
      <c r="Z61" s="65">
        <f>('VoT3'!$D$33*'VoT5'!$E$39)/100 + 'VoT3'!$D$32</f>
        <v>1.2020901087398195</v>
      </c>
      <c r="AA61" s="65">
        <f>('VoT3'!$D$33*'VoT5'!$E$40)/100</f>
        <v>0.78826992816783981</v>
      </c>
      <c r="AB61" s="530">
        <f>('VoT3'!$D$33*'VoT5'!$E$41)/100</f>
        <v>11.209639963092341</v>
      </c>
      <c r="AC61" s="859">
        <f t="shared" si="10"/>
        <v>13.200000000000001</v>
      </c>
      <c r="AD61" s="65">
        <f>((AD$28-1)*((100+'VoT4'!$F$26)/100)^$B61) +1</f>
        <v>1.1469717467060276</v>
      </c>
      <c r="AE61" s="65">
        <f>((AE$28-1)*((100+'VoT4'!$F$27)/100)^$B61) +1</f>
        <v>1.1363203108454192</v>
      </c>
      <c r="AF61" s="65">
        <f>((AF$28-1)*((100+'VoT4'!$F$27)/100)^$B61) +1</f>
        <v>1.7925210409543946</v>
      </c>
      <c r="AG61" s="530">
        <f>((AD61*'VoT5'!F$28)+(AE61*'VoT5'!F$29)+('Forecast occupancies'!AF61*'VoT5'!F$30))/100</f>
        <v>1.4455150928444727</v>
      </c>
      <c r="AH61" s="65">
        <f>'VoT3'!$D$27</f>
        <v>1.2</v>
      </c>
      <c r="AI61" s="65">
        <f>'VoT3'!$D$28</f>
        <v>1.46</v>
      </c>
      <c r="AJ61" s="530">
        <f>((AH61*'VoT5'!$F$31)+(AI61*'VoT5'!$F$32))/100</f>
        <v>1.2311999999999999</v>
      </c>
      <c r="AK61" s="860">
        <f>'VoT3'!$D$30</f>
        <v>1</v>
      </c>
      <c r="AL61" s="530">
        <f>'VoT3'!$D$31</f>
        <v>1</v>
      </c>
      <c r="AM61" s="65">
        <f>('VoT3'!$D$33*'VoT5'!$F$39)/100 + 'VoT3'!$D$32</f>
        <v>1.2791444318533409</v>
      </c>
      <c r="AN61" s="65">
        <f>('VoT3'!$D$33*'VoT5'!$F$40)/100</f>
        <v>3.163211907560131</v>
      </c>
      <c r="AO61" s="530">
        <f>('VoT3'!$D$33*'VoT5'!$F$41)/100</f>
        <v>8.7576436605865258</v>
      </c>
      <c r="AP61" s="531">
        <f t="shared" si="11"/>
        <v>13.199999999999998</v>
      </c>
      <c r="AQ61" s="65">
        <f>((AQ$28-1)*((100+'VoT4'!$G$26)/100)^$B61) +1</f>
        <v>1.1686731657535445</v>
      </c>
      <c r="AR61" s="65">
        <f>((AR$28-1)*((100+'VoT4'!$G$27)/100)^$B61) +1</f>
        <v>1.1529514408135957</v>
      </c>
      <c r="AS61" s="65">
        <f>((AS$28-1)*((100+'VoT4'!$G$27)/100)^$B61) +1</f>
        <v>1.7861213477735842</v>
      </c>
      <c r="AT61" s="530">
        <f>((AQ61*'VoT5'!G$28)+(AR61*'VoT5'!G$29)+('Forecast occupancies'!AS61*'VoT5'!G$30))/100</f>
        <v>1.4625529734459999</v>
      </c>
      <c r="AU61" s="65">
        <f>'VoT3'!$D$27</f>
        <v>1.2</v>
      </c>
      <c r="AV61" s="65">
        <f>'VoT3'!$D$28</f>
        <v>1.46</v>
      </c>
      <c r="AW61" s="530">
        <f>((AU61*'VoT5'!$G$31)+(AV61*'VoT5'!$G$32))/100</f>
        <v>1.2311999999999999</v>
      </c>
      <c r="AX61" s="530">
        <f>'VoT3'!$D$30</f>
        <v>1</v>
      </c>
      <c r="AY61" s="860">
        <f>'VoT3'!$D$31</f>
        <v>1</v>
      </c>
      <c r="AZ61" s="65">
        <f>('VoT3'!$D$33*'VoT5'!$G$39)/100 + 'VoT3'!$D$32</f>
        <v>1.2777359179706231</v>
      </c>
      <c r="BA61" s="65">
        <f>('VoT3'!$D$33*'VoT5'!$G$40)/100</f>
        <v>4.3240321049185146</v>
      </c>
      <c r="BB61" s="530">
        <f>('VoT3'!$D$33*'VoT5'!$G$41)/100</f>
        <v>7.5982319771108608</v>
      </c>
      <c r="BC61" s="531">
        <f t="shared" si="12"/>
        <v>13.2</v>
      </c>
      <c r="BD61" s="65">
        <f>((BD$28-1)*((100+'VoT4'!$H$26)/100)^$B61) +1</f>
        <v>1.1490125418460642</v>
      </c>
      <c r="BE61" s="65">
        <f>((BE$28-1)*((100+'VoT4'!$H$27)/100)^$B61) +1</f>
        <v>1.1401838093663619</v>
      </c>
      <c r="BF61" s="65">
        <f>((BF$28-1)*((100+'VoT4'!$H$27)/100)^$B61) +1</f>
        <v>1.7905592337282852</v>
      </c>
      <c r="BG61" s="530">
        <f>((BD61*'VoT5'!H$28)+(BE61*'VoT5'!H$29)+('Forecast occupancies'!BF61*'VoT5'!H$30))/100</f>
        <v>1.4923153156000231</v>
      </c>
      <c r="BH61" s="65">
        <f>'VoT3'!$D$27</f>
        <v>1.2</v>
      </c>
      <c r="BI61" s="65">
        <f>'VoT3'!$D$28</f>
        <v>1.46</v>
      </c>
      <c r="BJ61" s="530">
        <f>((BH61*'VoT5'!$H$31)+(BI61*'VoT5'!$H$32))/100</f>
        <v>1.2311999999999999</v>
      </c>
      <c r="BK61" s="860">
        <f>'VoT3'!$D$30</f>
        <v>1</v>
      </c>
      <c r="BL61" s="860">
        <f>'VoT3'!$D$31</f>
        <v>1</v>
      </c>
      <c r="BM61" s="65">
        <f>('VoT3'!$D$33*'VoT5'!$H$39)/100 + 'VoT3'!$D$32</f>
        <v>1.2154161555382865</v>
      </c>
      <c r="BN61" s="65">
        <f>('VoT3'!$D$33*'VoT5'!$H$40)/100</f>
        <v>1.9520129541892906</v>
      </c>
      <c r="BO61" s="530">
        <f>('VoT3'!$D$33*'VoT5'!$H$41)/100</f>
        <v>10.032570890272423</v>
      </c>
      <c r="BP61" s="901">
        <f t="shared" si="13"/>
        <v>13.2</v>
      </c>
      <c r="BQ61" s="672">
        <f>((BQ$28-1)*((100+'VoT4'!$I$26)/100)^$B61) +1</f>
        <v>1.3131774973540897</v>
      </c>
      <c r="BR61" s="65">
        <f>((BR$28-1)*((100+'VoT4'!$I$27)/100)^$B61) +1</f>
        <v>1.2071718111863166</v>
      </c>
      <c r="BS61" s="65">
        <f>((BS$28-1)*((100+'VoT4'!$I$27)/100)^$B61) +1</f>
        <v>2.1200652963923514</v>
      </c>
      <c r="BT61" s="530">
        <f>((BQ61*'VoT5'!I$28)+(BR61*'VoT5'!I$29)+('Forecast occupancies'!BS61*'VoT5'!I$30))/100</f>
        <v>2.020025055906864</v>
      </c>
      <c r="BU61" s="65">
        <f>'VoT3'!$E$27</f>
        <v>1.26</v>
      </c>
      <c r="BV61" s="65">
        <f>'VoT3'!$E$28</f>
        <v>2.0299999999999998</v>
      </c>
      <c r="BW61" s="530">
        <f>((BU61*'VoT5'!$I$31)+(BV61*'VoT5'!$I$32))/100</f>
        <v>1.3524</v>
      </c>
      <c r="BX61" s="530">
        <f>'VoT3'!$E$30</f>
        <v>1</v>
      </c>
      <c r="BY61" s="860">
        <f>'VoT3'!$E$31</f>
        <v>1</v>
      </c>
      <c r="BZ61" s="65">
        <f>('VoT3'!$E$33*'VoT5'!$I$39)/100 + 'VoT3'!$E$32</f>
        <v>1.0656255420478047</v>
      </c>
      <c r="CA61" s="65">
        <f>('VoT3'!$E$33*'VoT5'!$I$40)/100</f>
        <v>0.73949783032666783</v>
      </c>
      <c r="CB61" s="530">
        <f>('VoT3'!$E$33*'VoT5'!$I$41)/100</f>
        <v>11.394876627625528</v>
      </c>
      <c r="CC61" s="901">
        <f t="shared" si="14"/>
        <v>13.200000000000001</v>
      </c>
      <c r="CD61" s="65">
        <f>((CD$28-1)*((100+'VoT4'!$J$26)/100)^$B61) +1</f>
        <v>1.1606654296250507</v>
      </c>
      <c r="CE61" s="65">
        <f>((CE$28-1)*((100+'VoT4'!$J$27)/100)^$B61) +1</f>
        <v>1.145603182870168</v>
      </c>
      <c r="CF61" s="65">
        <f>((CF$28-1)*((100+'VoT4'!$J$27)/100)^$B61) +1</f>
        <v>1.9068315187130187</v>
      </c>
      <c r="CG61" s="530">
        <f>((CD61*'VoT5'!J$28)+(CE61*'VoT5'!J$29)+('Forecast occupancies'!CF61*'VoT5'!J$30))/100</f>
        <v>1.6228231414717587</v>
      </c>
      <c r="CH61" s="65">
        <f>'VoT3'!$F$27</f>
        <v>1.2</v>
      </c>
      <c r="CI61" s="65">
        <f>'VoT3'!$F$28</f>
        <v>1.59</v>
      </c>
      <c r="CJ61" s="530">
        <f>((CH61*'VoT5'!$J$31)+(CI61*'VoT5'!$J$32))/100</f>
        <v>1.2467999999999999</v>
      </c>
      <c r="CK61" s="860">
        <f>'VoT3'!$F$30</f>
        <v>1</v>
      </c>
      <c r="CL61" s="860">
        <f>'VoT3'!$F$31</f>
        <v>1</v>
      </c>
      <c r="CM61" s="65">
        <f>('VoT3'!$F$33*'VoT5'!$J$39)/100 + 'VoT3'!$F$32</f>
        <v>1.1784267265920292</v>
      </c>
      <c r="CN61" s="65">
        <f>('VoT3'!$F$33*'VoT5'!$J$40)/100</f>
        <v>1.652535676565674</v>
      </c>
      <c r="CO61" s="530">
        <f>('VoT3'!$F$33*'VoT5'!$J$41)/100</f>
        <v>10.369037596842293</v>
      </c>
      <c r="CP61" s="901">
        <f t="shared" si="15"/>
        <v>13.199999999999996</v>
      </c>
    </row>
    <row r="62" spans="2:94" ht="13.5" customHeight="1">
      <c r="B62" s="1225">
        <f t="shared" si="0"/>
        <v>34</v>
      </c>
      <c r="C62" s="535">
        <f t="shared" si="8"/>
        <v>2044</v>
      </c>
      <c r="D62" s="75">
        <f>((D$28-1)*((100+'VoT4'!$D$26)/100)^$B62) + 1</f>
        <v>1.1306546747898494</v>
      </c>
      <c r="E62" s="75">
        <f>((E$28-1)*((100+'VoT4'!$D$27)/100)^$B62) + 1</f>
        <v>1.1324142099550518</v>
      </c>
      <c r="F62" s="75">
        <f>((F$28-1)*((100+'VoT4'!$D$27)/100)^$B62) + 1</f>
        <v>1.7117149527604505</v>
      </c>
      <c r="G62" s="530">
        <f>((D62*'VoT5'!D$28)+(E62*'VoT5'!D$29)+('Forecast occupancies'!F62*'VoT5'!D$30))/100</f>
        <v>1.3608117390924901</v>
      </c>
      <c r="H62" s="65">
        <f>'VoT3'!$D$27</f>
        <v>1.2</v>
      </c>
      <c r="I62" s="65">
        <f>'VoT3'!$D$28</f>
        <v>1.46</v>
      </c>
      <c r="J62" s="530">
        <f>((H62*'VoT5'!$D$31)+(I62*'VoT5'!$D$32))/100</f>
        <v>1.2311999999999999</v>
      </c>
      <c r="K62" s="860">
        <f>'VoT3'!$D$30</f>
        <v>1</v>
      </c>
      <c r="L62" s="860">
        <f>'VoT3'!$D$31</f>
        <v>1</v>
      </c>
      <c r="M62" s="65">
        <f>('VoT3'!$D$33*'VoT5'!$D$39)/100 + 'VoT3'!$D$32</f>
        <v>1.168791653429633</v>
      </c>
      <c r="N62" s="65">
        <f>('VoT3'!$D$33*'VoT5'!$D$40)/100</f>
        <v>2.2491911578548542</v>
      </c>
      <c r="O62" s="530">
        <f>('VoT3'!$D$33*'VoT5'!$D$41)/100</f>
        <v>9.7820171887155141</v>
      </c>
      <c r="P62" s="531">
        <f t="shared" si="9"/>
        <v>13.200000000000001</v>
      </c>
      <c r="Q62" s="65">
        <f>((Q$28-1)*((100+'VoT4'!$E$26)/100)^$B62) +1</f>
        <v>1.1586074096289325</v>
      </c>
      <c r="R62" s="65">
        <f>((R$28-1)*((100+'VoT4'!$E$27)/100)^$B62) +1</f>
        <v>1.1508273706069019</v>
      </c>
      <c r="S62" s="65">
        <f>((S$28-1)*((100+'VoT4'!$E$27)/100)^$B62) +1</f>
        <v>1.823380766174084</v>
      </c>
      <c r="T62" s="530">
        <f>((Q62*'VoT5'!E$28)+(R62*'VoT5'!E$29)+('Forecast occupancies'!S62*'VoT5'!E$30))/100</f>
        <v>1.6344935826498272</v>
      </c>
      <c r="U62" s="65">
        <f>'VoT3'!$D$27</f>
        <v>1.2</v>
      </c>
      <c r="V62" s="65">
        <f>'VoT3'!$D$28</f>
        <v>1.46</v>
      </c>
      <c r="W62" s="530">
        <f>((U62*'VoT5'!$E$31)+(V62*'VoT5'!$E$32))/100</f>
        <v>1.2311999999999999</v>
      </c>
      <c r="X62" s="860">
        <f>'VoT3'!$D$30</f>
        <v>1</v>
      </c>
      <c r="Y62" s="860">
        <f>'VoT3'!$D$31</f>
        <v>1</v>
      </c>
      <c r="Z62" s="65">
        <f>('VoT3'!$D$33*'VoT5'!$E$39)/100 + 'VoT3'!$D$32</f>
        <v>1.2020901087398195</v>
      </c>
      <c r="AA62" s="65">
        <f>('VoT3'!$D$33*'VoT5'!$E$40)/100</f>
        <v>0.78826992816783981</v>
      </c>
      <c r="AB62" s="530">
        <f>('VoT3'!$D$33*'VoT5'!$E$41)/100</f>
        <v>11.209639963092341</v>
      </c>
      <c r="AC62" s="859">
        <f t="shared" si="10"/>
        <v>13.200000000000001</v>
      </c>
      <c r="AD62" s="65">
        <f>((AD$28-1)*((100+'VoT4'!$F$26)/100)^$B62) +1</f>
        <v>1.1469717467060276</v>
      </c>
      <c r="AE62" s="65">
        <f>((AE$28-1)*((100+'VoT4'!$F$27)/100)^$B62) +1</f>
        <v>1.1363203108454192</v>
      </c>
      <c r="AF62" s="65">
        <f>((AF$28-1)*((100+'VoT4'!$F$27)/100)^$B62) +1</f>
        <v>1.7925210409543946</v>
      </c>
      <c r="AG62" s="530">
        <f>((AD62*'VoT5'!F$28)+(AE62*'VoT5'!F$29)+('Forecast occupancies'!AF62*'VoT5'!F$30))/100</f>
        <v>1.4455150928444727</v>
      </c>
      <c r="AH62" s="65">
        <f>'VoT3'!$D$27</f>
        <v>1.2</v>
      </c>
      <c r="AI62" s="65">
        <f>'VoT3'!$D$28</f>
        <v>1.46</v>
      </c>
      <c r="AJ62" s="530">
        <f>((AH62*'VoT5'!$F$31)+(AI62*'VoT5'!$F$32))/100</f>
        <v>1.2311999999999999</v>
      </c>
      <c r="AK62" s="860">
        <f>'VoT3'!$D$30</f>
        <v>1</v>
      </c>
      <c r="AL62" s="530">
        <f>'VoT3'!$D$31</f>
        <v>1</v>
      </c>
      <c r="AM62" s="65">
        <f>('VoT3'!$D$33*'VoT5'!$F$39)/100 + 'VoT3'!$D$32</f>
        <v>1.2791444318533409</v>
      </c>
      <c r="AN62" s="65">
        <f>('VoT3'!$D$33*'VoT5'!$F$40)/100</f>
        <v>3.163211907560131</v>
      </c>
      <c r="AO62" s="530">
        <f>('VoT3'!$D$33*'VoT5'!$F$41)/100</f>
        <v>8.7576436605865258</v>
      </c>
      <c r="AP62" s="531">
        <f t="shared" si="11"/>
        <v>13.199999999999998</v>
      </c>
      <c r="AQ62" s="65">
        <f>((AQ$28-1)*((100+'VoT4'!$G$26)/100)^$B62) +1</f>
        <v>1.1686731657535445</v>
      </c>
      <c r="AR62" s="65">
        <f>((AR$28-1)*((100+'VoT4'!$G$27)/100)^$B62) +1</f>
        <v>1.1529514408135957</v>
      </c>
      <c r="AS62" s="65">
        <f>((AS$28-1)*((100+'VoT4'!$G$27)/100)^$B62) +1</f>
        <v>1.7861213477735842</v>
      </c>
      <c r="AT62" s="530">
        <f>((AQ62*'VoT5'!G$28)+(AR62*'VoT5'!G$29)+('Forecast occupancies'!AS62*'VoT5'!G$30))/100</f>
        <v>1.4625529734459999</v>
      </c>
      <c r="AU62" s="65">
        <f>'VoT3'!$D$27</f>
        <v>1.2</v>
      </c>
      <c r="AV62" s="65">
        <f>'VoT3'!$D$28</f>
        <v>1.46</v>
      </c>
      <c r="AW62" s="530">
        <f>((AU62*'VoT5'!$G$31)+(AV62*'VoT5'!$G$32))/100</f>
        <v>1.2311999999999999</v>
      </c>
      <c r="AX62" s="530">
        <f>'VoT3'!$D$30</f>
        <v>1</v>
      </c>
      <c r="AY62" s="860">
        <f>'VoT3'!$D$31</f>
        <v>1</v>
      </c>
      <c r="AZ62" s="65">
        <f>('VoT3'!$D$33*'VoT5'!$G$39)/100 + 'VoT3'!$D$32</f>
        <v>1.2777359179706231</v>
      </c>
      <c r="BA62" s="65">
        <f>('VoT3'!$D$33*'VoT5'!$G$40)/100</f>
        <v>4.3240321049185146</v>
      </c>
      <c r="BB62" s="530">
        <f>('VoT3'!$D$33*'VoT5'!$G$41)/100</f>
        <v>7.5982319771108608</v>
      </c>
      <c r="BC62" s="531">
        <f t="shared" si="12"/>
        <v>13.2</v>
      </c>
      <c r="BD62" s="65">
        <f>((BD$28-1)*((100+'VoT4'!$H$26)/100)^$B62) +1</f>
        <v>1.1490125418460642</v>
      </c>
      <c r="BE62" s="65">
        <f>((BE$28-1)*((100+'VoT4'!$H$27)/100)^$B62) +1</f>
        <v>1.1401838093663619</v>
      </c>
      <c r="BF62" s="65">
        <f>((BF$28-1)*((100+'VoT4'!$H$27)/100)^$B62) +1</f>
        <v>1.7905592337282852</v>
      </c>
      <c r="BG62" s="530">
        <f>((BD62*'VoT5'!H$28)+(BE62*'VoT5'!H$29)+('Forecast occupancies'!BF62*'VoT5'!H$30))/100</f>
        <v>1.4923153156000231</v>
      </c>
      <c r="BH62" s="65">
        <f>'VoT3'!$D$27</f>
        <v>1.2</v>
      </c>
      <c r="BI62" s="65">
        <f>'VoT3'!$D$28</f>
        <v>1.46</v>
      </c>
      <c r="BJ62" s="530">
        <f>((BH62*'VoT5'!$H$31)+(BI62*'VoT5'!$H$32))/100</f>
        <v>1.2311999999999999</v>
      </c>
      <c r="BK62" s="860">
        <f>'VoT3'!$D$30</f>
        <v>1</v>
      </c>
      <c r="BL62" s="860">
        <f>'VoT3'!$D$31</f>
        <v>1</v>
      </c>
      <c r="BM62" s="65">
        <f>('VoT3'!$D$33*'VoT5'!$H$39)/100 + 'VoT3'!$D$32</f>
        <v>1.2154161555382865</v>
      </c>
      <c r="BN62" s="65">
        <f>('VoT3'!$D$33*'VoT5'!$H$40)/100</f>
        <v>1.9520129541892906</v>
      </c>
      <c r="BO62" s="530">
        <f>('VoT3'!$D$33*'VoT5'!$H$41)/100</f>
        <v>10.032570890272423</v>
      </c>
      <c r="BP62" s="901">
        <f t="shared" si="13"/>
        <v>13.2</v>
      </c>
      <c r="BQ62" s="672">
        <f>((BQ$28-1)*((100+'VoT4'!$I$26)/100)^$B62) +1</f>
        <v>1.3131774973540897</v>
      </c>
      <c r="BR62" s="65">
        <f>((BR$28-1)*((100+'VoT4'!$I$27)/100)^$B62) +1</f>
        <v>1.2071718111863166</v>
      </c>
      <c r="BS62" s="65">
        <f>((BS$28-1)*((100+'VoT4'!$I$27)/100)^$B62) +1</f>
        <v>2.1200652963923514</v>
      </c>
      <c r="BT62" s="530">
        <f>((BQ62*'VoT5'!I$28)+(BR62*'VoT5'!I$29)+('Forecast occupancies'!BS62*'VoT5'!I$30))/100</f>
        <v>2.020025055906864</v>
      </c>
      <c r="BU62" s="65">
        <f>'VoT3'!$E$27</f>
        <v>1.26</v>
      </c>
      <c r="BV62" s="65">
        <f>'VoT3'!$E$28</f>
        <v>2.0299999999999998</v>
      </c>
      <c r="BW62" s="530">
        <f>((BU62*'VoT5'!$I$31)+(BV62*'VoT5'!$I$32))/100</f>
        <v>1.3524</v>
      </c>
      <c r="BX62" s="530">
        <f>'VoT3'!$E$30</f>
        <v>1</v>
      </c>
      <c r="BY62" s="860">
        <f>'VoT3'!$E$31</f>
        <v>1</v>
      </c>
      <c r="BZ62" s="65">
        <f>('VoT3'!$E$33*'VoT5'!$I$39)/100 + 'VoT3'!$E$32</f>
        <v>1.0656255420478047</v>
      </c>
      <c r="CA62" s="65">
        <f>('VoT3'!$E$33*'VoT5'!$I$40)/100</f>
        <v>0.73949783032666783</v>
      </c>
      <c r="CB62" s="530">
        <f>('VoT3'!$E$33*'VoT5'!$I$41)/100</f>
        <v>11.394876627625528</v>
      </c>
      <c r="CC62" s="901">
        <f t="shared" si="14"/>
        <v>13.200000000000001</v>
      </c>
      <c r="CD62" s="65">
        <f>((CD$28-1)*((100+'VoT4'!$J$26)/100)^$B62) +1</f>
        <v>1.1606654296250507</v>
      </c>
      <c r="CE62" s="65">
        <f>((CE$28-1)*((100+'VoT4'!$J$27)/100)^$B62) +1</f>
        <v>1.145603182870168</v>
      </c>
      <c r="CF62" s="65">
        <f>((CF$28-1)*((100+'VoT4'!$J$27)/100)^$B62) +1</f>
        <v>1.9068315187130187</v>
      </c>
      <c r="CG62" s="530">
        <f>((CD62*'VoT5'!J$28)+(CE62*'VoT5'!J$29)+('Forecast occupancies'!CF62*'VoT5'!J$30))/100</f>
        <v>1.6228231414717587</v>
      </c>
      <c r="CH62" s="65">
        <f>'VoT3'!$F$27</f>
        <v>1.2</v>
      </c>
      <c r="CI62" s="65">
        <f>'VoT3'!$F$28</f>
        <v>1.59</v>
      </c>
      <c r="CJ62" s="530">
        <f>((CH62*'VoT5'!$J$31)+(CI62*'VoT5'!$J$32))/100</f>
        <v>1.2467999999999999</v>
      </c>
      <c r="CK62" s="860">
        <f>'VoT3'!$F$30</f>
        <v>1</v>
      </c>
      <c r="CL62" s="860">
        <f>'VoT3'!$F$31</f>
        <v>1</v>
      </c>
      <c r="CM62" s="65">
        <f>('VoT3'!$F$33*'VoT5'!$J$39)/100 + 'VoT3'!$F$32</f>
        <v>1.1784267265920292</v>
      </c>
      <c r="CN62" s="65">
        <f>('VoT3'!$F$33*'VoT5'!$J$40)/100</f>
        <v>1.652535676565674</v>
      </c>
      <c r="CO62" s="530">
        <f>('VoT3'!$F$33*'VoT5'!$J$41)/100</f>
        <v>10.369037596842293</v>
      </c>
      <c r="CP62" s="901">
        <f t="shared" si="15"/>
        <v>13.199999999999996</v>
      </c>
    </row>
    <row r="63" spans="2:94" ht="13.5" customHeight="1">
      <c r="B63" s="1225">
        <f t="shared" si="0"/>
        <v>35</v>
      </c>
      <c r="C63" s="535">
        <f t="shared" si="8"/>
        <v>2045</v>
      </c>
      <c r="D63" s="75">
        <f>((D$28-1)*((100+'VoT4'!$D$26)/100)^$B63) + 1</f>
        <v>1.1306546747898494</v>
      </c>
      <c r="E63" s="75">
        <f>((E$28-1)*((100+'VoT4'!$D$27)/100)^$B63) + 1</f>
        <v>1.1324142099550518</v>
      </c>
      <c r="F63" s="75">
        <f>((F$28-1)*((100+'VoT4'!$D$27)/100)^$B63) + 1</f>
        <v>1.7117149527604505</v>
      </c>
      <c r="G63" s="530">
        <f>((D63*'VoT5'!D$28)+(E63*'VoT5'!D$29)+('Forecast occupancies'!F63*'VoT5'!D$30))/100</f>
        <v>1.3608117390924901</v>
      </c>
      <c r="H63" s="65">
        <f>'VoT3'!$D$27</f>
        <v>1.2</v>
      </c>
      <c r="I63" s="65">
        <f>'VoT3'!$D$28</f>
        <v>1.46</v>
      </c>
      <c r="J63" s="530">
        <f>((H63*'VoT5'!$D$31)+(I63*'VoT5'!$D$32))/100</f>
        <v>1.2311999999999999</v>
      </c>
      <c r="K63" s="860">
        <f>'VoT3'!$D$30</f>
        <v>1</v>
      </c>
      <c r="L63" s="860">
        <f>'VoT3'!$D$31</f>
        <v>1</v>
      </c>
      <c r="M63" s="65">
        <f>('VoT3'!$D$33*'VoT5'!$D$39)/100 + 'VoT3'!$D$32</f>
        <v>1.168791653429633</v>
      </c>
      <c r="N63" s="65">
        <f>('VoT3'!$D$33*'VoT5'!$D$40)/100</f>
        <v>2.2491911578548542</v>
      </c>
      <c r="O63" s="530">
        <f>('VoT3'!$D$33*'VoT5'!$D$41)/100</f>
        <v>9.7820171887155141</v>
      </c>
      <c r="P63" s="531">
        <f t="shared" si="9"/>
        <v>13.200000000000001</v>
      </c>
      <c r="Q63" s="65">
        <f>((Q$28-1)*((100+'VoT4'!$E$26)/100)^$B63) +1</f>
        <v>1.1586074096289325</v>
      </c>
      <c r="R63" s="65">
        <f>((R$28-1)*((100+'VoT4'!$E$27)/100)^$B63) +1</f>
        <v>1.1508273706069019</v>
      </c>
      <c r="S63" s="65">
        <f>((S$28-1)*((100+'VoT4'!$E$27)/100)^$B63) +1</f>
        <v>1.823380766174084</v>
      </c>
      <c r="T63" s="530">
        <f>((Q63*'VoT5'!E$28)+(R63*'VoT5'!E$29)+('Forecast occupancies'!S63*'VoT5'!E$30))/100</f>
        <v>1.6344935826498272</v>
      </c>
      <c r="U63" s="65">
        <f>'VoT3'!$D$27</f>
        <v>1.2</v>
      </c>
      <c r="V63" s="65">
        <f>'VoT3'!$D$28</f>
        <v>1.46</v>
      </c>
      <c r="W63" s="530">
        <f>((U63*'VoT5'!$E$31)+(V63*'VoT5'!$E$32))/100</f>
        <v>1.2311999999999999</v>
      </c>
      <c r="X63" s="860">
        <f>'VoT3'!$D$30</f>
        <v>1</v>
      </c>
      <c r="Y63" s="860">
        <f>'VoT3'!$D$31</f>
        <v>1</v>
      </c>
      <c r="Z63" s="65">
        <f>('VoT3'!$D$33*'VoT5'!$E$39)/100 + 'VoT3'!$D$32</f>
        <v>1.2020901087398195</v>
      </c>
      <c r="AA63" s="65">
        <f>('VoT3'!$D$33*'VoT5'!$E$40)/100</f>
        <v>0.78826992816783981</v>
      </c>
      <c r="AB63" s="530">
        <f>('VoT3'!$D$33*'VoT5'!$E$41)/100</f>
        <v>11.209639963092341</v>
      </c>
      <c r="AC63" s="859">
        <f t="shared" si="10"/>
        <v>13.200000000000001</v>
      </c>
      <c r="AD63" s="65">
        <f>((AD$28-1)*((100+'VoT4'!$F$26)/100)^$B63) +1</f>
        <v>1.1469717467060276</v>
      </c>
      <c r="AE63" s="65">
        <f>((AE$28-1)*((100+'VoT4'!$F$27)/100)^$B63) +1</f>
        <v>1.1363203108454192</v>
      </c>
      <c r="AF63" s="65">
        <f>((AF$28-1)*((100+'VoT4'!$F$27)/100)^$B63) +1</f>
        <v>1.7925210409543946</v>
      </c>
      <c r="AG63" s="530">
        <f>((AD63*'VoT5'!F$28)+(AE63*'VoT5'!F$29)+('Forecast occupancies'!AF63*'VoT5'!F$30))/100</f>
        <v>1.4455150928444727</v>
      </c>
      <c r="AH63" s="65">
        <f>'VoT3'!$D$27</f>
        <v>1.2</v>
      </c>
      <c r="AI63" s="65">
        <f>'VoT3'!$D$28</f>
        <v>1.46</v>
      </c>
      <c r="AJ63" s="530">
        <f>((AH63*'VoT5'!$F$31)+(AI63*'VoT5'!$F$32))/100</f>
        <v>1.2311999999999999</v>
      </c>
      <c r="AK63" s="860">
        <f>'VoT3'!$D$30</f>
        <v>1</v>
      </c>
      <c r="AL63" s="530">
        <f>'VoT3'!$D$31</f>
        <v>1</v>
      </c>
      <c r="AM63" s="65">
        <f>('VoT3'!$D$33*'VoT5'!$F$39)/100 + 'VoT3'!$D$32</f>
        <v>1.2791444318533409</v>
      </c>
      <c r="AN63" s="65">
        <f>('VoT3'!$D$33*'VoT5'!$F$40)/100</f>
        <v>3.163211907560131</v>
      </c>
      <c r="AO63" s="530">
        <f>('VoT3'!$D$33*'VoT5'!$F$41)/100</f>
        <v>8.7576436605865258</v>
      </c>
      <c r="AP63" s="531">
        <f t="shared" si="11"/>
        <v>13.199999999999998</v>
      </c>
      <c r="AQ63" s="65">
        <f>((AQ$28-1)*((100+'VoT4'!$G$26)/100)^$B63) +1</f>
        <v>1.1686731657535445</v>
      </c>
      <c r="AR63" s="65">
        <f>((AR$28-1)*((100+'VoT4'!$G$27)/100)^$B63) +1</f>
        <v>1.1529514408135957</v>
      </c>
      <c r="AS63" s="65">
        <f>((AS$28-1)*((100+'VoT4'!$G$27)/100)^$B63) +1</f>
        <v>1.7861213477735842</v>
      </c>
      <c r="AT63" s="530">
        <f>((AQ63*'VoT5'!G$28)+(AR63*'VoT5'!G$29)+('Forecast occupancies'!AS63*'VoT5'!G$30))/100</f>
        <v>1.4625529734459999</v>
      </c>
      <c r="AU63" s="65">
        <f>'VoT3'!$D$27</f>
        <v>1.2</v>
      </c>
      <c r="AV63" s="65">
        <f>'VoT3'!$D$28</f>
        <v>1.46</v>
      </c>
      <c r="AW63" s="530">
        <f>((AU63*'VoT5'!$G$31)+(AV63*'VoT5'!$G$32))/100</f>
        <v>1.2311999999999999</v>
      </c>
      <c r="AX63" s="530">
        <f>'VoT3'!$D$30</f>
        <v>1</v>
      </c>
      <c r="AY63" s="860">
        <f>'VoT3'!$D$31</f>
        <v>1</v>
      </c>
      <c r="AZ63" s="65">
        <f>('VoT3'!$D$33*'VoT5'!$G$39)/100 + 'VoT3'!$D$32</f>
        <v>1.2777359179706231</v>
      </c>
      <c r="BA63" s="65">
        <f>('VoT3'!$D$33*'VoT5'!$G$40)/100</f>
        <v>4.3240321049185146</v>
      </c>
      <c r="BB63" s="530">
        <f>('VoT3'!$D$33*'VoT5'!$G$41)/100</f>
        <v>7.5982319771108608</v>
      </c>
      <c r="BC63" s="531">
        <f t="shared" si="12"/>
        <v>13.2</v>
      </c>
      <c r="BD63" s="65">
        <f>((BD$28-1)*((100+'VoT4'!$H$26)/100)^$B63) +1</f>
        <v>1.1490125418460642</v>
      </c>
      <c r="BE63" s="65">
        <f>((BE$28-1)*((100+'VoT4'!$H$27)/100)^$B63) +1</f>
        <v>1.1401838093663619</v>
      </c>
      <c r="BF63" s="65">
        <f>((BF$28-1)*((100+'VoT4'!$H$27)/100)^$B63) +1</f>
        <v>1.7905592337282852</v>
      </c>
      <c r="BG63" s="530">
        <f>((BD63*'VoT5'!H$28)+(BE63*'VoT5'!H$29)+('Forecast occupancies'!BF63*'VoT5'!H$30))/100</f>
        <v>1.4923153156000231</v>
      </c>
      <c r="BH63" s="65">
        <f>'VoT3'!$D$27</f>
        <v>1.2</v>
      </c>
      <c r="BI63" s="65">
        <f>'VoT3'!$D$28</f>
        <v>1.46</v>
      </c>
      <c r="BJ63" s="530">
        <f>((BH63*'VoT5'!$H$31)+(BI63*'VoT5'!$H$32))/100</f>
        <v>1.2311999999999999</v>
      </c>
      <c r="BK63" s="860">
        <f>'VoT3'!$D$30</f>
        <v>1</v>
      </c>
      <c r="BL63" s="860">
        <f>'VoT3'!$D$31</f>
        <v>1</v>
      </c>
      <c r="BM63" s="65">
        <f>('VoT3'!$D$33*'VoT5'!$H$39)/100 + 'VoT3'!$D$32</f>
        <v>1.2154161555382865</v>
      </c>
      <c r="BN63" s="65">
        <f>('VoT3'!$D$33*'VoT5'!$H$40)/100</f>
        <v>1.9520129541892906</v>
      </c>
      <c r="BO63" s="530">
        <f>('VoT3'!$D$33*'VoT5'!$H$41)/100</f>
        <v>10.032570890272423</v>
      </c>
      <c r="BP63" s="901">
        <f t="shared" si="13"/>
        <v>13.2</v>
      </c>
      <c r="BQ63" s="672">
        <f>((BQ$28-1)*((100+'VoT4'!$I$26)/100)^$B63) +1</f>
        <v>1.3131774973540897</v>
      </c>
      <c r="BR63" s="65">
        <f>((BR$28-1)*((100+'VoT4'!$I$27)/100)^$B63) +1</f>
        <v>1.2071718111863166</v>
      </c>
      <c r="BS63" s="65">
        <f>((BS$28-1)*((100+'VoT4'!$I$27)/100)^$B63) +1</f>
        <v>2.1200652963923514</v>
      </c>
      <c r="BT63" s="530">
        <f>((BQ63*'VoT5'!I$28)+(BR63*'VoT5'!I$29)+('Forecast occupancies'!BS63*'VoT5'!I$30))/100</f>
        <v>2.020025055906864</v>
      </c>
      <c r="BU63" s="65">
        <f>'VoT3'!$E$27</f>
        <v>1.26</v>
      </c>
      <c r="BV63" s="65">
        <f>'VoT3'!$E$28</f>
        <v>2.0299999999999998</v>
      </c>
      <c r="BW63" s="530">
        <f>((BU63*'VoT5'!$I$31)+(BV63*'VoT5'!$I$32))/100</f>
        <v>1.3524</v>
      </c>
      <c r="BX63" s="530">
        <f>'VoT3'!$E$30</f>
        <v>1</v>
      </c>
      <c r="BY63" s="860">
        <f>'VoT3'!$E$31</f>
        <v>1</v>
      </c>
      <c r="BZ63" s="65">
        <f>('VoT3'!$E$33*'VoT5'!$I$39)/100 + 'VoT3'!$E$32</f>
        <v>1.0656255420478047</v>
      </c>
      <c r="CA63" s="65">
        <f>('VoT3'!$E$33*'VoT5'!$I$40)/100</f>
        <v>0.73949783032666783</v>
      </c>
      <c r="CB63" s="530">
        <f>('VoT3'!$E$33*'VoT5'!$I$41)/100</f>
        <v>11.394876627625528</v>
      </c>
      <c r="CC63" s="901">
        <f t="shared" si="14"/>
        <v>13.200000000000001</v>
      </c>
      <c r="CD63" s="65">
        <f>((CD$28-1)*((100+'VoT4'!$J$26)/100)^$B63) +1</f>
        <v>1.1606654296250507</v>
      </c>
      <c r="CE63" s="65">
        <f>((CE$28-1)*((100+'VoT4'!$J$27)/100)^$B63) +1</f>
        <v>1.145603182870168</v>
      </c>
      <c r="CF63" s="65">
        <f>((CF$28-1)*((100+'VoT4'!$J$27)/100)^$B63) +1</f>
        <v>1.9068315187130187</v>
      </c>
      <c r="CG63" s="530">
        <f>((CD63*'VoT5'!J$28)+(CE63*'VoT5'!J$29)+('Forecast occupancies'!CF63*'VoT5'!J$30))/100</f>
        <v>1.6228231414717587</v>
      </c>
      <c r="CH63" s="65">
        <f>'VoT3'!$F$27</f>
        <v>1.2</v>
      </c>
      <c r="CI63" s="65">
        <f>'VoT3'!$F$28</f>
        <v>1.59</v>
      </c>
      <c r="CJ63" s="530">
        <f>((CH63*'VoT5'!$J$31)+(CI63*'VoT5'!$J$32))/100</f>
        <v>1.2467999999999999</v>
      </c>
      <c r="CK63" s="860">
        <f>'VoT3'!$F$30</f>
        <v>1</v>
      </c>
      <c r="CL63" s="860">
        <f>'VoT3'!$F$31</f>
        <v>1</v>
      </c>
      <c r="CM63" s="65">
        <f>('VoT3'!$F$33*'VoT5'!$J$39)/100 + 'VoT3'!$F$32</f>
        <v>1.1784267265920292</v>
      </c>
      <c r="CN63" s="65">
        <f>('VoT3'!$F$33*'VoT5'!$J$40)/100</f>
        <v>1.652535676565674</v>
      </c>
      <c r="CO63" s="530">
        <f>('VoT3'!$F$33*'VoT5'!$J$41)/100</f>
        <v>10.369037596842293</v>
      </c>
      <c r="CP63" s="901">
        <f t="shared" si="15"/>
        <v>13.199999999999996</v>
      </c>
    </row>
    <row r="64" spans="2:94" ht="13.5" customHeight="1">
      <c r="B64" s="1225">
        <f t="shared" si="0"/>
        <v>36</v>
      </c>
      <c r="C64" s="535">
        <f t="shared" si="8"/>
        <v>2046</v>
      </c>
      <c r="D64" s="75">
        <f>((D$28-1)*((100+'VoT4'!$D$26)/100)^$B64) + 1</f>
        <v>1.1306546747898494</v>
      </c>
      <c r="E64" s="75">
        <f>((E$28-1)*((100+'VoT4'!$D$27)/100)^$B64) + 1</f>
        <v>1.1324142099550518</v>
      </c>
      <c r="F64" s="75">
        <f>((F$28-1)*((100+'VoT4'!$D$27)/100)^$B64) + 1</f>
        <v>1.7117149527604505</v>
      </c>
      <c r="G64" s="530">
        <f>((D64*'VoT5'!D$28)+(E64*'VoT5'!D$29)+('Forecast occupancies'!F64*'VoT5'!D$30))/100</f>
        <v>1.3608117390924901</v>
      </c>
      <c r="H64" s="65">
        <f>'VoT3'!$D$27</f>
        <v>1.2</v>
      </c>
      <c r="I64" s="65">
        <f>'VoT3'!$D$28</f>
        <v>1.46</v>
      </c>
      <c r="J64" s="530">
        <f>((H64*'VoT5'!$D$31)+(I64*'VoT5'!$D$32))/100</f>
        <v>1.2311999999999999</v>
      </c>
      <c r="K64" s="860">
        <f>'VoT3'!$D$30</f>
        <v>1</v>
      </c>
      <c r="L64" s="860">
        <f>'VoT3'!$D$31</f>
        <v>1</v>
      </c>
      <c r="M64" s="65">
        <f>('VoT3'!$D$33*'VoT5'!$D$39)/100 + 'VoT3'!$D$32</f>
        <v>1.168791653429633</v>
      </c>
      <c r="N64" s="65">
        <f>('VoT3'!$D$33*'VoT5'!$D$40)/100</f>
        <v>2.2491911578548542</v>
      </c>
      <c r="O64" s="530">
        <f>('VoT3'!$D$33*'VoT5'!$D$41)/100</f>
        <v>9.7820171887155141</v>
      </c>
      <c r="P64" s="531">
        <f>SUM(M64:O64)</f>
        <v>13.200000000000001</v>
      </c>
      <c r="Q64" s="65">
        <f>((Q$28-1)*((100+'VoT4'!$E$26)/100)^$B64) +1</f>
        <v>1.1586074096289325</v>
      </c>
      <c r="R64" s="65">
        <f>((R$28-1)*((100+'VoT4'!$E$27)/100)^$B64) +1</f>
        <v>1.1508273706069019</v>
      </c>
      <c r="S64" s="65">
        <f>((S$28-1)*((100+'VoT4'!$E$27)/100)^$B64) +1</f>
        <v>1.823380766174084</v>
      </c>
      <c r="T64" s="530">
        <f>((Q64*'VoT5'!E$28)+(R64*'VoT5'!E$29)+('Forecast occupancies'!S64*'VoT5'!E$30))/100</f>
        <v>1.6344935826498272</v>
      </c>
      <c r="U64" s="65">
        <f>'VoT3'!$D$27</f>
        <v>1.2</v>
      </c>
      <c r="V64" s="65">
        <f>'VoT3'!$D$28</f>
        <v>1.46</v>
      </c>
      <c r="W64" s="530">
        <f>((U64*'VoT5'!$E$31)+(V64*'VoT5'!$E$32))/100</f>
        <v>1.2311999999999999</v>
      </c>
      <c r="X64" s="860">
        <f>'VoT3'!$D$30</f>
        <v>1</v>
      </c>
      <c r="Y64" s="860">
        <f>'VoT3'!$D$31</f>
        <v>1</v>
      </c>
      <c r="Z64" s="65">
        <f>('VoT3'!$D$33*'VoT5'!$E$39)/100 + 'VoT3'!$D$32</f>
        <v>1.2020901087398195</v>
      </c>
      <c r="AA64" s="65">
        <f>('VoT3'!$D$33*'VoT5'!$E$40)/100</f>
        <v>0.78826992816783981</v>
      </c>
      <c r="AB64" s="530">
        <f>('VoT3'!$D$33*'VoT5'!$E$41)/100</f>
        <v>11.209639963092341</v>
      </c>
      <c r="AC64" s="859">
        <f>SUM(Z64:AB64)</f>
        <v>13.200000000000001</v>
      </c>
      <c r="AD64" s="65">
        <f>((AD$28-1)*((100+'VoT4'!$F$26)/100)^$B64) +1</f>
        <v>1.1469717467060276</v>
      </c>
      <c r="AE64" s="65">
        <f>((AE$28-1)*((100+'VoT4'!$F$27)/100)^$B64) +1</f>
        <v>1.1363203108454192</v>
      </c>
      <c r="AF64" s="65">
        <f>((AF$28-1)*((100+'VoT4'!$F$27)/100)^$B64) +1</f>
        <v>1.7925210409543946</v>
      </c>
      <c r="AG64" s="530">
        <f>((AD64*'VoT5'!F$28)+(AE64*'VoT5'!F$29)+('Forecast occupancies'!AF64*'VoT5'!F$30))/100</f>
        <v>1.4455150928444727</v>
      </c>
      <c r="AH64" s="65">
        <f>'VoT3'!$D$27</f>
        <v>1.2</v>
      </c>
      <c r="AI64" s="65">
        <f>'VoT3'!$D$28</f>
        <v>1.46</v>
      </c>
      <c r="AJ64" s="530">
        <f>((AH64*'VoT5'!$F$31)+(AI64*'VoT5'!$F$32))/100</f>
        <v>1.2311999999999999</v>
      </c>
      <c r="AK64" s="860">
        <f>'VoT3'!$D$30</f>
        <v>1</v>
      </c>
      <c r="AL64" s="530">
        <f>'VoT3'!$D$31</f>
        <v>1</v>
      </c>
      <c r="AM64" s="65">
        <f>('VoT3'!$D$33*'VoT5'!$F$39)/100 + 'VoT3'!$D$32</f>
        <v>1.2791444318533409</v>
      </c>
      <c r="AN64" s="65">
        <f>('VoT3'!$D$33*'VoT5'!$F$40)/100</f>
        <v>3.163211907560131</v>
      </c>
      <c r="AO64" s="530">
        <f>('VoT3'!$D$33*'VoT5'!$F$41)/100</f>
        <v>8.7576436605865258</v>
      </c>
      <c r="AP64" s="531">
        <f>SUM(AM64:AO64)</f>
        <v>13.199999999999998</v>
      </c>
      <c r="AQ64" s="65">
        <f>((AQ$28-1)*((100+'VoT4'!$G$26)/100)^$B64) +1</f>
        <v>1.1686731657535445</v>
      </c>
      <c r="AR64" s="65">
        <f>((AR$28-1)*((100+'VoT4'!$G$27)/100)^$B64) +1</f>
        <v>1.1529514408135957</v>
      </c>
      <c r="AS64" s="65">
        <f>((AS$28-1)*((100+'VoT4'!$G$27)/100)^$B64) +1</f>
        <v>1.7861213477735842</v>
      </c>
      <c r="AT64" s="530">
        <f>((AQ64*'VoT5'!G$28)+(AR64*'VoT5'!G$29)+('Forecast occupancies'!AS64*'VoT5'!G$30))/100</f>
        <v>1.4625529734459999</v>
      </c>
      <c r="AU64" s="65">
        <f>'VoT3'!$D$27</f>
        <v>1.2</v>
      </c>
      <c r="AV64" s="65">
        <f>'VoT3'!$D$28</f>
        <v>1.46</v>
      </c>
      <c r="AW64" s="530">
        <f>((AU64*'VoT5'!$G$31)+(AV64*'VoT5'!$G$32))/100</f>
        <v>1.2311999999999999</v>
      </c>
      <c r="AX64" s="860">
        <f>'VoT3'!$D$30</f>
        <v>1</v>
      </c>
      <c r="AY64" s="860">
        <f>'VoT3'!$D$31</f>
        <v>1</v>
      </c>
      <c r="AZ64" s="65">
        <f>('VoT3'!$D$33*'VoT5'!$G$39)/100 + 'VoT3'!$D$32</f>
        <v>1.2777359179706231</v>
      </c>
      <c r="BA64" s="65">
        <f>('VoT3'!$D$33*'VoT5'!$G$40)/100</f>
        <v>4.3240321049185146</v>
      </c>
      <c r="BB64" s="530">
        <f>('VoT3'!$D$33*'VoT5'!$G$41)/100</f>
        <v>7.5982319771108608</v>
      </c>
      <c r="BC64" s="531">
        <f>SUM(AZ64:BB64)</f>
        <v>13.2</v>
      </c>
      <c r="BD64" s="65">
        <f>((BD$28-1)*((100+'VoT4'!$H$26)/100)^$B64) +1</f>
        <v>1.1490125418460642</v>
      </c>
      <c r="BE64" s="65">
        <f>((BE$28-1)*((100+'VoT4'!$H$27)/100)^$B64) +1</f>
        <v>1.1401838093663619</v>
      </c>
      <c r="BF64" s="65">
        <f>((BF$28-1)*((100+'VoT4'!$H$27)/100)^$B64) +1</f>
        <v>1.7905592337282852</v>
      </c>
      <c r="BG64" s="530">
        <f>((BD64*'VoT5'!H$28)+(BE64*'VoT5'!H$29)+('Forecast occupancies'!BF64*'VoT5'!H$30))/100</f>
        <v>1.4923153156000231</v>
      </c>
      <c r="BH64" s="65">
        <f>'VoT3'!$D$27</f>
        <v>1.2</v>
      </c>
      <c r="BI64" s="65">
        <f>'VoT3'!$D$28</f>
        <v>1.46</v>
      </c>
      <c r="BJ64" s="530">
        <f>((BH64*'VoT5'!$H$31)+(BI64*'VoT5'!$H$32))/100</f>
        <v>1.2311999999999999</v>
      </c>
      <c r="BK64" s="860">
        <f>'VoT3'!$D$30</f>
        <v>1</v>
      </c>
      <c r="BL64" s="860">
        <f>'VoT3'!$D$31</f>
        <v>1</v>
      </c>
      <c r="BM64" s="65">
        <f>('VoT3'!$D$33*'VoT5'!$H$39)/100 + 'VoT3'!$D$32</f>
        <v>1.2154161555382865</v>
      </c>
      <c r="BN64" s="65">
        <f>('VoT3'!$D$33*'VoT5'!$H$40)/100</f>
        <v>1.9520129541892906</v>
      </c>
      <c r="BO64" s="530">
        <f>('VoT3'!$D$33*'VoT5'!$H$41)/100</f>
        <v>10.032570890272423</v>
      </c>
      <c r="BP64" s="901">
        <f>SUM(BM64:BO64)</f>
        <v>13.2</v>
      </c>
      <c r="BQ64" s="672">
        <f>((BQ$28-1)*((100+'VoT4'!$I$26)/100)^$B64) +1</f>
        <v>1.3131774973540897</v>
      </c>
      <c r="BR64" s="65">
        <f>((BR$28-1)*((100+'VoT4'!$I$27)/100)^$B64) +1</f>
        <v>1.2071718111863166</v>
      </c>
      <c r="BS64" s="65">
        <f>((BS$28-1)*((100+'VoT4'!$I$27)/100)^$B64) +1</f>
        <v>2.1200652963923514</v>
      </c>
      <c r="BT64" s="530">
        <f>((BQ64*'VoT5'!I$28)+(BR64*'VoT5'!I$29)+('Forecast occupancies'!BS64*'VoT5'!I$30))/100</f>
        <v>2.020025055906864</v>
      </c>
      <c r="BU64" s="65">
        <f>'VoT3'!$E$27</f>
        <v>1.26</v>
      </c>
      <c r="BV64" s="65">
        <f>'VoT3'!$E$28</f>
        <v>2.0299999999999998</v>
      </c>
      <c r="BW64" s="530">
        <f>((BU64*'VoT5'!$I$31)+(BV64*'VoT5'!$I$32))/100</f>
        <v>1.3524</v>
      </c>
      <c r="BX64" s="530">
        <f>'VoT3'!$E$30</f>
        <v>1</v>
      </c>
      <c r="BY64" s="860">
        <f>'VoT3'!$E$31</f>
        <v>1</v>
      </c>
      <c r="BZ64" s="65">
        <f>('VoT3'!$E$33*'VoT5'!$I$39)/100 + 'VoT3'!$E$32</f>
        <v>1.0656255420478047</v>
      </c>
      <c r="CA64" s="65">
        <f>('VoT3'!$E$33*'VoT5'!$I$40)/100</f>
        <v>0.73949783032666783</v>
      </c>
      <c r="CB64" s="530">
        <f>('VoT3'!$E$33*'VoT5'!$I$41)/100</f>
        <v>11.394876627625528</v>
      </c>
      <c r="CC64" s="901">
        <f>SUM(BZ64:CB64)</f>
        <v>13.200000000000001</v>
      </c>
      <c r="CD64" s="65">
        <f>((CD$28-1)*((100+'VoT4'!$J$26)/100)^$B64) +1</f>
        <v>1.1606654296250507</v>
      </c>
      <c r="CE64" s="65">
        <f>((CE$28-1)*((100+'VoT4'!$J$27)/100)^$B64) +1</f>
        <v>1.145603182870168</v>
      </c>
      <c r="CF64" s="65">
        <f>((CF$28-1)*((100+'VoT4'!$J$27)/100)^$B64) +1</f>
        <v>1.9068315187130187</v>
      </c>
      <c r="CG64" s="530">
        <f>((CD64*'VoT5'!J$28)+(CE64*'VoT5'!J$29)+('Forecast occupancies'!CF64*'VoT5'!J$30))/100</f>
        <v>1.6228231414717587</v>
      </c>
      <c r="CH64" s="65">
        <f>'VoT3'!$F$27</f>
        <v>1.2</v>
      </c>
      <c r="CI64" s="65">
        <f>'VoT3'!$F$28</f>
        <v>1.59</v>
      </c>
      <c r="CJ64" s="530">
        <f>((CH64*'VoT5'!$J$31)+(CI64*'VoT5'!$J$32))/100</f>
        <v>1.2467999999999999</v>
      </c>
      <c r="CK64" s="860">
        <f>'VoT3'!$F$30</f>
        <v>1</v>
      </c>
      <c r="CL64" s="860">
        <f>'VoT3'!$F$31</f>
        <v>1</v>
      </c>
      <c r="CM64" s="65">
        <f>('VoT3'!$F$33*'VoT5'!$J$39)/100 + 'VoT3'!$F$32</f>
        <v>1.1784267265920292</v>
      </c>
      <c r="CN64" s="65">
        <f>('VoT3'!$F$33*'VoT5'!$J$40)/100</f>
        <v>1.652535676565674</v>
      </c>
      <c r="CO64" s="530">
        <f>('VoT3'!$F$33*'VoT5'!$J$41)/100</f>
        <v>10.369037596842293</v>
      </c>
      <c r="CP64" s="901">
        <f>SUM(CM64:CO64)</f>
        <v>13.199999999999996</v>
      </c>
    </row>
    <row r="65" spans="1:94" s="26" customFormat="1" ht="13.5" customHeight="1">
      <c r="B65" s="82"/>
      <c r="C65" s="82" t="s">
        <v>457</v>
      </c>
      <c r="D65" s="65"/>
      <c r="E65" s="65"/>
      <c r="F65" s="65"/>
      <c r="G65" s="530"/>
      <c r="H65" s="65"/>
      <c r="I65" s="65"/>
      <c r="J65" s="530"/>
      <c r="K65" s="860"/>
      <c r="L65" s="860"/>
      <c r="M65" s="65"/>
      <c r="N65" s="65"/>
      <c r="O65" s="530"/>
      <c r="P65" s="531"/>
      <c r="Q65" s="65"/>
      <c r="R65" s="65"/>
      <c r="S65" s="65"/>
      <c r="T65" s="530"/>
      <c r="U65" s="65"/>
      <c r="V65" s="65"/>
      <c r="W65" s="530"/>
      <c r="X65" s="860"/>
      <c r="Y65" s="860"/>
      <c r="Z65" s="65"/>
      <c r="AA65" s="65"/>
      <c r="AB65" s="530"/>
      <c r="AC65" s="531"/>
      <c r="AD65" s="65"/>
      <c r="AE65" s="65"/>
      <c r="AF65" s="65"/>
      <c r="AG65" s="530"/>
      <c r="AH65" s="65"/>
      <c r="AI65" s="65"/>
      <c r="AJ65" s="530"/>
      <c r="AK65" s="860"/>
      <c r="AL65" s="860"/>
      <c r="AM65" s="65"/>
      <c r="AN65" s="65"/>
      <c r="AO65" s="530"/>
      <c r="AP65" s="531"/>
      <c r="AQ65" s="65"/>
      <c r="AR65" s="65"/>
      <c r="AS65" s="65"/>
      <c r="AT65" s="530"/>
      <c r="AU65" s="65"/>
      <c r="AV65" s="65"/>
      <c r="AW65" s="530"/>
      <c r="AX65" s="860"/>
      <c r="AY65" s="860"/>
      <c r="AZ65" s="65"/>
      <c r="BA65" s="65"/>
      <c r="BB65" s="530"/>
      <c r="BC65" s="531"/>
      <c r="BD65" s="65"/>
      <c r="BE65" s="65"/>
      <c r="BF65" s="65"/>
      <c r="BG65" s="530"/>
      <c r="BH65" s="65"/>
      <c r="BI65" s="65"/>
      <c r="BJ65" s="530"/>
      <c r="BK65" s="860"/>
      <c r="BL65" s="860"/>
      <c r="BM65" s="65"/>
      <c r="BN65" s="65"/>
      <c r="BO65" s="530"/>
      <c r="BP65" s="901"/>
      <c r="BQ65" s="672"/>
      <c r="BR65" s="65"/>
      <c r="BS65" s="65"/>
      <c r="BT65" s="530"/>
      <c r="BU65" s="65"/>
      <c r="BV65" s="65"/>
      <c r="BW65" s="530"/>
      <c r="BX65" s="860"/>
      <c r="BY65" s="860"/>
      <c r="BZ65" s="65"/>
      <c r="CA65" s="65"/>
      <c r="CB65" s="530"/>
      <c r="CC65" s="76"/>
      <c r="CD65" s="65"/>
      <c r="CE65" s="65"/>
      <c r="CF65" s="65"/>
      <c r="CG65" s="530"/>
      <c r="CH65" s="65"/>
      <c r="CI65" s="65"/>
      <c r="CJ65" s="530"/>
      <c r="CK65" s="860"/>
      <c r="CL65" s="860"/>
      <c r="CM65" s="65"/>
      <c r="CN65" s="65"/>
      <c r="CO65" s="530"/>
      <c r="CP65" s="901"/>
    </row>
    <row r="66" spans="1:94" ht="13.5" customHeight="1" thickBot="1">
      <c r="A66" s="13"/>
      <c r="B66" s="13"/>
      <c r="C66" s="13"/>
      <c r="D66" s="902"/>
      <c r="E66" s="902"/>
      <c r="F66" s="902"/>
      <c r="G66" s="1557"/>
      <c r="H66" s="902"/>
      <c r="I66" s="902"/>
      <c r="J66" s="1557"/>
      <c r="K66" s="1558"/>
      <c r="L66" s="1558"/>
      <c r="M66" s="902"/>
      <c r="N66" s="902"/>
      <c r="O66" s="1557"/>
      <c r="P66" s="1559"/>
      <c r="Q66" s="902"/>
      <c r="R66" s="902"/>
      <c r="S66" s="902"/>
      <c r="T66" s="1557"/>
      <c r="U66" s="902"/>
      <c r="V66" s="902"/>
      <c r="W66" s="1557"/>
      <c r="X66" s="1558"/>
      <c r="Y66" s="1558"/>
      <c r="Z66" s="902"/>
      <c r="AA66" s="902"/>
      <c r="AB66" s="1557"/>
      <c r="AC66" s="1559"/>
      <c r="AD66" s="902"/>
      <c r="AE66" s="902"/>
      <c r="AF66" s="902"/>
      <c r="AG66" s="1557"/>
      <c r="AH66" s="902"/>
      <c r="AI66" s="902"/>
      <c r="AJ66" s="1557"/>
      <c r="AK66" s="1558"/>
      <c r="AL66" s="1558"/>
      <c r="AM66" s="902"/>
      <c r="AN66" s="902"/>
      <c r="AO66" s="1557"/>
      <c r="AP66" s="1559"/>
      <c r="AQ66" s="902"/>
      <c r="AR66" s="902"/>
      <c r="AS66" s="902"/>
      <c r="AT66" s="1557"/>
      <c r="AU66" s="902"/>
      <c r="AV66" s="902"/>
      <c r="AW66" s="1557"/>
      <c r="AX66" s="1558"/>
      <c r="AY66" s="1558"/>
      <c r="AZ66" s="902"/>
      <c r="BA66" s="902"/>
      <c r="BB66" s="1557"/>
      <c r="BC66" s="1559"/>
      <c r="BD66" s="902"/>
      <c r="BE66" s="902"/>
      <c r="BF66" s="902"/>
      <c r="BG66" s="1557"/>
      <c r="BH66" s="902"/>
      <c r="BI66" s="902"/>
      <c r="BJ66" s="1557"/>
      <c r="BK66" s="1558"/>
      <c r="BL66" s="1558"/>
      <c r="BM66" s="902"/>
      <c r="BN66" s="902"/>
      <c r="BO66" s="1557"/>
      <c r="BP66" s="1560"/>
      <c r="BQ66" s="1561"/>
      <c r="BR66" s="902"/>
      <c r="BS66" s="902"/>
      <c r="BT66" s="1557"/>
      <c r="BU66" s="902"/>
      <c r="BV66" s="902"/>
      <c r="BW66" s="1557"/>
      <c r="BX66" s="1558"/>
      <c r="BY66" s="1558"/>
      <c r="BZ66" s="902"/>
      <c r="CA66" s="902"/>
      <c r="CB66" s="1557"/>
      <c r="CC66" s="1454"/>
      <c r="CD66" s="902"/>
      <c r="CE66" s="902"/>
      <c r="CF66" s="902"/>
      <c r="CG66" s="1557"/>
      <c r="CH66" s="902"/>
      <c r="CI66" s="902"/>
      <c r="CJ66" s="1557"/>
      <c r="CK66" s="1558"/>
      <c r="CL66" s="1558"/>
      <c r="CM66" s="902"/>
      <c r="CN66" s="902"/>
      <c r="CO66" s="1557"/>
      <c r="CP66" s="1560"/>
    </row>
    <row r="67" spans="1:94" ht="13.5" customHeight="1" thickTop="1" thickBot="1">
      <c r="C67" s="862"/>
      <c r="H67" s="441"/>
      <c r="I67" s="441"/>
      <c r="J67" s="441"/>
      <c r="K67" s="441"/>
      <c r="L67" s="441"/>
      <c r="M67" s="441"/>
      <c r="N67" s="441"/>
      <c r="O67" s="441"/>
      <c r="P67" s="441"/>
      <c r="Q67" s="441"/>
      <c r="R67" s="441"/>
      <c r="S67" s="441"/>
      <c r="T67" s="441"/>
      <c r="U67" s="441"/>
      <c r="V67" s="441"/>
      <c r="W67" s="441"/>
      <c r="X67" s="441"/>
      <c r="Y67" s="441"/>
      <c r="Z67" s="441"/>
      <c r="AA67" s="441"/>
      <c r="AB67" s="441"/>
      <c r="AC67" s="441"/>
      <c r="AD67" s="441"/>
      <c r="AE67" s="441"/>
      <c r="AF67" s="441"/>
      <c r="AG67" s="441"/>
      <c r="AH67" s="441"/>
      <c r="AI67" s="441"/>
      <c r="AJ67" s="441"/>
      <c r="AK67" s="441"/>
      <c r="AL67" s="441"/>
      <c r="AM67" s="441"/>
      <c r="AN67" s="441"/>
      <c r="AO67" s="441"/>
      <c r="AP67" s="441"/>
      <c r="AQ67" s="441"/>
      <c r="AR67" s="441"/>
      <c r="AS67" s="441"/>
      <c r="AT67" s="441"/>
      <c r="AU67" s="441"/>
      <c r="AV67" s="441"/>
      <c r="AW67" s="429"/>
      <c r="AX67" s="441"/>
      <c r="AY67" s="441"/>
      <c r="AZ67" s="441"/>
      <c r="BA67" s="441"/>
      <c r="BB67" s="441"/>
      <c r="BC67" s="441"/>
      <c r="BD67" s="441"/>
      <c r="BE67" s="441"/>
      <c r="BF67" s="441"/>
      <c r="BG67" s="441"/>
      <c r="BH67" s="441"/>
      <c r="BI67" s="441"/>
      <c r="BJ67" s="441"/>
      <c r="BK67" s="441"/>
      <c r="BL67" s="441"/>
      <c r="BM67" s="441"/>
      <c r="BN67" s="441"/>
      <c r="BO67" s="441"/>
      <c r="BP67" s="441"/>
      <c r="BQ67" s="441"/>
      <c r="BR67" s="441"/>
      <c r="BS67" s="441"/>
      <c r="BT67" s="441"/>
      <c r="BU67" s="441"/>
      <c r="BV67" s="441"/>
      <c r="BW67" s="441"/>
      <c r="BX67" s="441"/>
      <c r="BY67" s="441"/>
      <c r="BZ67" s="441"/>
      <c r="CA67" s="441"/>
      <c r="CB67" s="441"/>
      <c r="CC67" s="441"/>
      <c r="CD67" s="441"/>
      <c r="CE67" s="441"/>
      <c r="CF67" s="441"/>
      <c r="CG67" s="441"/>
      <c r="CH67" s="441"/>
      <c r="CI67" s="441"/>
      <c r="CJ67" s="441"/>
      <c r="CK67" s="441"/>
      <c r="CL67" s="441"/>
      <c r="CM67" s="441"/>
      <c r="CN67" s="441"/>
      <c r="CO67" s="441"/>
      <c r="CP67" s="441"/>
    </row>
    <row r="68" spans="1:94" ht="13.5" customHeight="1" thickBot="1">
      <c r="C68" s="26"/>
      <c r="D68" s="2087" t="s">
        <v>1489</v>
      </c>
      <c r="H68" s="441"/>
      <c r="I68" s="441"/>
      <c r="J68" s="441"/>
      <c r="K68" s="441"/>
      <c r="L68" s="441"/>
      <c r="M68" s="441"/>
      <c r="N68" s="441"/>
      <c r="O68" s="441"/>
      <c r="P68" s="441"/>
      <c r="Q68" s="528" t="s">
        <v>1489</v>
      </c>
      <c r="R68" s="441"/>
      <c r="S68" s="441"/>
      <c r="T68" s="441"/>
      <c r="U68" s="441"/>
      <c r="V68" s="441"/>
      <c r="W68" s="441"/>
      <c r="X68" s="441"/>
      <c r="Y68" s="441"/>
      <c r="Z68" s="441"/>
      <c r="AA68" s="441"/>
      <c r="AB68" s="441"/>
      <c r="AC68" s="441"/>
      <c r="AD68" s="528" t="s">
        <v>1489</v>
      </c>
      <c r="AE68" s="441"/>
      <c r="AF68" s="441"/>
      <c r="AG68" s="441"/>
      <c r="AH68" s="441"/>
      <c r="AI68" s="441"/>
      <c r="AJ68" s="441"/>
      <c r="AK68" s="441"/>
      <c r="AL68" s="441"/>
      <c r="AM68" s="441"/>
      <c r="AN68" s="441"/>
      <c r="AO68" s="441"/>
      <c r="AP68" s="441"/>
      <c r="AQ68" s="528" t="s">
        <v>1489</v>
      </c>
      <c r="AR68" s="441"/>
      <c r="AS68" s="441"/>
      <c r="AT68" s="441"/>
      <c r="AU68" s="441"/>
      <c r="AV68" s="441"/>
      <c r="AW68" s="441"/>
      <c r="AX68" s="441"/>
      <c r="AY68" s="441"/>
      <c r="AZ68" s="441"/>
      <c r="BA68" s="441"/>
      <c r="BB68" s="441"/>
      <c r="BC68" s="441"/>
      <c r="BD68" s="528" t="s">
        <v>1489</v>
      </c>
      <c r="BE68" s="441"/>
      <c r="BF68" s="441"/>
      <c r="BG68" s="441"/>
      <c r="BH68" s="441"/>
      <c r="BI68" s="441"/>
      <c r="BJ68" s="441"/>
      <c r="BK68" s="441"/>
      <c r="BL68" s="441"/>
      <c r="BM68" s="441"/>
      <c r="BN68" s="441"/>
      <c r="BO68" s="441"/>
      <c r="BP68" s="441"/>
      <c r="BQ68" s="528" t="s">
        <v>1489</v>
      </c>
      <c r="BR68" s="441"/>
      <c r="BS68" s="441"/>
      <c r="BT68" s="441"/>
      <c r="BU68" s="441"/>
      <c r="BV68" s="441"/>
      <c r="BW68" s="441"/>
      <c r="BX68" s="441"/>
      <c r="BY68" s="441"/>
      <c r="BZ68" s="441"/>
      <c r="CA68" s="441"/>
      <c r="CB68" s="441"/>
      <c r="CC68" s="441"/>
      <c r="CD68" s="528" t="s">
        <v>1489</v>
      </c>
      <c r="CE68" s="441"/>
      <c r="CF68" s="441"/>
      <c r="CG68" s="441"/>
      <c r="CH68" s="441"/>
      <c r="CI68" s="441"/>
      <c r="CJ68" s="441"/>
      <c r="CK68" s="441"/>
      <c r="CL68" s="441"/>
      <c r="CM68" s="441"/>
      <c r="CN68" s="441"/>
      <c r="CO68" s="441"/>
      <c r="CP68" s="441"/>
    </row>
  </sheetData>
  <sheetProtection sheet="1" objects="1" scenarios="1"/>
  <mergeCells count="41">
    <mergeCell ref="A19:B19"/>
    <mergeCell ref="E6:S6"/>
    <mergeCell ref="BD1:BP1"/>
    <mergeCell ref="BQ1:CC1"/>
    <mergeCell ref="A7:B7"/>
    <mergeCell ref="A8:B8"/>
    <mergeCell ref="A10:B10"/>
    <mergeCell ref="A12:B12"/>
    <mergeCell ref="A11:B11"/>
    <mergeCell ref="AD26:AG26"/>
    <mergeCell ref="CD1:CP1"/>
    <mergeCell ref="D1:P1"/>
    <mergeCell ref="Q1:AC3"/>
    <mergeCell ref="AD1:AP1"/>
    <mergeCell ref="AQ1:BC1"/>
    <mergeCell ref="BU26:BW26"/>
    <mergeCell ref="BQ26:BT26"/>
    <mergeCell ref="CD26:CG26"/>
    <mergeCell ref="CD24:CP24"/>
    <mergeCell ref="BD25:BP25"/>
    <mergeCell ref="CD25:CP25"/>
    <mergeCell ref="BD26:BG26"/>
    <mergeCell ref="BH26:BJ26"/>
    <mergeCell ref="CH26:CJ26"/>
    <mergeCell ref="BQ24:CC24"/>
    <mergeCell ref="A20:B20"/>
    <mergeCell ref="AH26:AJ26"/>
    <mergeCell ref="AQ26:AT26"/>
    <mergeCell ref="Q26:T26"/>
    <mergeCell ref="AQ25:BC25"/>
    <mergeCell ref="D25:P25"/>
    <mergeCell ref="D24:E24"/>
    <mergeCell ref="D26:G26"/>
    <mergeCell ref="A21:B21"/>
    <mergeCell ref="H26:J26"/>
    <mergeCell ref="U26:W26"/>
    <mergeCell ref="AU26:AW26"/>
    <mergeCell ref="Q25:AC25"/>
    <mergeCell ref="A22:B22"/>
    <mergeCell ref="B25:B27"/>
    <mergeCell ref="AD25:AP25"/>
  </mergeCells>
  <phoneticPr fontId="8" type="noConversion"/>
  <hyperlinks>
    <hyperlink ref="A18" location="'Forecast occupancies'!AE1" tooltip="Evening peak" display="4-7pm"/>
    <hyperlink ref="B18" location="'Forecast occupancies'!AQ1" tooltip="Night" display="7pm-7am"/>
    <hyperlink ref="A19" location="'Calc future occupancies'!BT1" display="Weekday"/>
    <hyperlink ref="A20" location="'Calc future occupancies'!CG1" display="Weekend"/>
    <hyperlink ref="A21" location="'Calc future occupancies'!CT1" display="All week"/>
    <hyperlink ref="A19:B19" location="'Forecast occupancies'!BD1" tooltip="Weekday average" display="Weekday average"/>
    <hyperlink ref="A20:B20" location="'Forecast occupancies'!BQ1" tooltip="Weekend average" display="Weekend average"/>
    <hyperlink ref="A21:B21" location="'Forecast occupancies'!CD1" tooltip="All week average" display="All week average"/>
    <hyperlink ref="D68" location="'Forecast occupancies'!D28" tooltip="Top of this column" display="Top"/>
    <hyperlink ref="Q68" location="'Forecast occupancies'!Q28" tooltip="Top of this column" display="Top"/>
    <hyperlink ref="AD68" location="'Forecast occupancies'!AD28" tooltip="Top of this column" display="Top"/>
    <hyperlink ref="AQ68" location="'Forecast occupancies'!AQ28" tooltip="Top of this column" display="Top"/>
    <hyperlink ref="BD68" location="'Forecast occupancies'!BD28" tooltip="Top of this column" display="Top"/>
    <hyperlink ref="BQ68" location="'Forecast occupancies'!BQ28" tooltip="Top of this column" display="Top"/>
    <hyperlink ref="CD68" location="'Forecast occupancies'!CD28" tooltip="Top of this column" display="Top"/>
    <hyperlink ref="A11" location="Contents!A1" display="Contents"/>
    <hyperlink ref="A11:B11" r:id="rId1" display="WebTAG Unit 3.5.6"/>
    <hyperlink ref="A10" location="Contents!A1" display="Contents"/>
    <hyperlink ref="A10:B10" location="Contents!A1" tooltip="Contents page" display="Contents"/>
    <hyperlink ref="A17" location="'Forecast occupancies'!D1" tooltip="Morning peak" display="7am-10am"/>
    <hyperlink ref="B17" location="'Forecast occupancies'!Q1" tooltip="Inter-peak" display="10am-4pm"/>
    <hyperlink ref="A12:B12" r:id="rId2" tooltip="Unit A1.3 User &amp; Provider Impacts" display="WebTAG Unit A 1.3"/>
  </hyperlinks>
  <pageMargins left="0.75" right="0.75" top="1" bottom="1" header="0.5" footer="0.5"/>
  <pageSetup paperSize="9" orientation="portrait" r:id="rId3"/>
  <headerFooter alignWithMargins="0"/>
  <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indexed="10"/>
  </sheetPr>
  <dimension ref="A1:S38"/>
  <sheetViews>
    <sheetView showGridLines="0"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c r="D2" s="318"/>
    </row>
    <row r="3" spans="1:19" s="319" customFormat="1" ht="20.100000000000001" customHeight="1">
      <c r="A3" s="894" t="s">
        <v>2217</v>
      </c>
      <c r="D3" s="318"/>
    </row>
    <row r="4" spans="1:19" s="322" customFormat="1" ht="20.100000000000001" customHeight="1" thickBot="1">
      <c r="A4" s="967" t="s">
        <v>841</v>
      </c>
      <c r="B4" s="320"/>
      <c r="C4" s="320"/>
      <c r="D4" s="320"/>
      <c r="E4" s="320"/>
      <c r="F4" s="320"/>
      <c r="G4" s="320"/>
      <c r="H4" s="320"/>
      <c r="I4" s="320"/>
      <c r="J4" s="320"/>
      <c r="K4" s="320"/>
      <c r="L4" s="320"/>
      <c r="M4" s="320"/>
      <c r="N4" s="320"/>
      <c r="O4" s="320"/>
      <c r="P4" s="320"/>
      <c r="Q4" s="320"/>
      <c r="R4" s="320"/>
      <c r="S4" s="320"/>
    </row>
    <row r="5" spans="1:19" ht="9.9" customHeight="1" thickTop="1" thickBot="1">
      <c r="A5" s="511"/>
      <c r="B5" s="321"/>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3117" t="s">
        <v>1851</v>
      </c>
      <c r="F7" s="335" t="s">
        <v>1915</v>
      </c>
      <c r="G7" s="26"/>
      <c r="H7" s="26"/>
      <c r="I7" s="26"/>
      <c r="J7" s="26"/>
      <c r="K7" s="26"/>
      <c r="L7" s="26"/>
      <c r="M7" s="26"/>
      <c r="N7" s="26"/>
      <c r="O7" s="26"/>
      <c r="P7" s="26"/>
      <c r="Q7" s="26"/>
      <c r="R7" s="26"/>
      <c r="S7" s="147"/>
    </row>
    <row r="8" spans="1:19" s="38" customFormat="1" ht="13.5" customHeight="1">
      <c r="A8" s="3646">
        <f>Audit!C12</f>
        <v>43586</v>
      </c>
      <c r="B8" s="3651"/>
      <c r="C8" s="321"/>
      <c r="D8" s="321"/>
      <c r="E8" s="3117" t="s">
        <v>1853</v>
      </c>
      <c r="F8" s="335" t="s">
        <v>1916</v>
      </c>
      <c r="G8" s="26"/>
      <c r="H8" s="26"/>
      <c r="I8" s="26"/>
      <c r="J8" s="26"/>
      <c r="K8" s="26"/>
      <c r="L8" s="26"/>
      <c r="M8" s="26"/>
      <c r="N8" s="26"/>
      <c r="O8" s="26"/>
      <c r="P8" s="26"/>
      <c r="Q8" s="26"/>
      <c r="R8" s="26"/>
      <c r="S8" s="147"/>
    </row>
    <row r="9" spans="1:19" s="38" customFormat="1" ht="13.5" customHeight="1" thickBot="1">
      <c r="A9" s="172" t="s">
        <v>14</v>
      </c>
      <c r="B9" s="173"/>
      <c r="D9" s="321"/>
      <c r="E9" s="3117" t="s">
        <v>1855</v>
      </c>
      <c r="F9" s="335" t="s">
        <v>1917</v>
      </c>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2216</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2217</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6"/>
      <c r="B14" s="316"/>
      <c r="C14" s="321"/>
      <c r="D14" s="321"/>
      <c r="E14" s="113"/>
      <c r="F14" s="26"/>
      <c r="G14" s="26"/>
      <c r="H14" s="26"/>
      <c r="I14" s="26"/>
      <c r="J14" s="26"/>
      <c r="K14" s="26"/>
      <c r="L14" s="26"/>
      <c r="M14" s="26"/>
      <c r="N14" s="26"/>
      <c r="O14" s="26"/>
      <c r="P14" s="26"/>
      <c r="Q14" s="26"/>
      <c r="R14" s="26"/>
      <c r="S14" s="147"/>
    </row>
    <row r="15" spans="1:19" s="38" customFormat="1" ht="13.5" customHeight="1">
      <c r="A15" s="56"/>
      <c r="B15" s="32"/>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323</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619" t="s">
        <v>2233</v>
      </c>
      <c r="F20" s="163"/>
      <c r="G20" s="306"/>
      <c r="H20" s="163"/>
      <c r="I20" s="163"/>
      <c r="J20" s="163"/>
      <c r="K20" s="163"/>
      <c r="L20" s="163"/>
      <c r="M20" s="163"/>
      <c r="N20" s="163"/>
      <c r="O20" s="163"/>
      <c r="P20" s="163"/>
      <c r="Q20" s="163"/>
      <c r="R20" s="163"/>
      <c r="S20" s="382"/>
    </row>
    <row r="21" spans="1:19" ht="13.5" customHeight="1" thickTop="1"/>
    <row r="22" spans="1:19" ht="13.5" customHeight="1" thickBot="1">
      <c r="A22" s="376"/>
      <c r="B22" s="376"/>
      <c r="C22" s="376"/>
    </row>
    <row r="23" spans="1:19" ht="13.5" customHeight="1" thickTop="1" thickBot="1">
      <c r="A23" s="437" t="str">
        <f>CONCATENATE("Car Occupancies (",B16,")")</f>
        <v>Car Occupancies (2010)</v>
      </c>
      <c r="B23" s="957"/>
      <c r="C23" s="957"/>
      <c r="D23" s="822"/>
      <c r="E23" s="822"/>
      <c r="F23" s="822"/>
      <c r="G23" s="822"/>
      <c r="H23" s="822"/>
      <c r="I23" s="822"/>
      <c r="J23" s="954"/>
    </row>
    <row r="24" spans="1:19" ht="13.5" customHeight="1" thickTop="1" thickBot="1">
      <c r="A24" s="978"/>
      <c r="B24" s="955"/>
      <c r="C24" s="958"/>
      <c r="D24" s="3701" t="s">
        <v>1420</v>
      </c>
      <c r="E24" s="3702"/>
      <c r="F24" s="3702"/>
      <c r="G24" s="3702"/>
      <c r="H24" s="3703"/>
      <c r="I24" s="4"/>
      <c r="J24" s="4"/>
    </row>
    <row r="25" spans="1:19" ht="13.5" customHeight="1" thickTop="1">
      <c r="A25" s="956"/>
      <c r="B25" s="955"/>
      <c r="C25" s="959"/>
      <c r="D25" s="394" t="s">
        <v>262</v>
      </c>
      <c r="E25" s="396" t="s">
        <v>264</v>
      </c>
      <c r="F25" s="396" t="s">
        <v>266</v>
      </c>
      <c r="G25" s="397" t="s">
        <v>268</v>
      </c>
      <c r="H25" s="229" t="s">
        <v>270</v>
      </c>
      <c r="I25" s="4" t="s">
        <v>1421</v>
      </c>
      <c r="J25" s="4" t="s">
        <v>1423</v>
      </c>
    </row>
    <row r="26" spans="1:19" ht="13.5" customHeight="1" thickBot="1">
      <c r="A26" s="153"/>
      <c r="B26" s="955"/>
      <c r="C26" s="959"/>
      <c r="D26" s="395" t="s">
        <v>263</v>
      </c>
      <c r="E26" s="398" t="s">
        <v>265</v>
      </c>
      <c r="F26" s="398" t="s">
        <v>267</v>
      </c>
      <c r="G26" s="398" t="s">
        <v>269</v>
      </c>
      <c r="H26" s="393" t="s">
        <v>1422</v>
      </c>
      <c r="I26" s="392" t="s">
        <v>1422</v>
      </c>
      <c r="J26" s="392" t="s">
        <v>1422</v>
      </c>
    </row>
    <row r="27" spans="1:19" ht="13.5" customHeight="1" thickTop="1" thickBot="1">
      <c r="A27" s="1438" t="s">
        <v>1453</v>
      </c>
      <c r="B27" s="966"/>
      <c r="C27" s="964"/>
      <c r="D27" s="443" t="s">
        <v>847</v>
      </c>
      <c r="E27" s="422"/>
      <c r="F27" s="422"/>
      <c r="G27" s="422"/>
      <c r="H27" s="443"/>
      <c r="I27" s="443"/>
      <c r="J27" s="591"/>
    </row>
    <row r="28" spans="1:19" ht="13.5" customHeight="1" thickTop="1">
      <c r="A28" s="953" t="s">
        <v>1427</v>
      </c>
      <c r="C28" s="969"/>
      <c r="D28" s="1418">
        <v>1.1306546747898494</v>
      </c>
      <c r="E28" s="1418">
        <v>1.1586074096289325</v>
      </c>
      <c r="F28" s="1418">
        <v>1.1469717467060276</v>
      </c>
      <c r="G28" s="1418">
        <v>1.1686731657535445</v>
      </c>
      <c r="H28" s="1418">
        <v>1.1490125418460642</v>
      </c>
      <c r="I28" s="1418">
        <v>1.3131774973540897</v>
      </c>
      <c r="J28" s="431">
        <v>1.1606654296250507</v>
      </c>
    </row>
    <row r="29" spans="1:19" ht="13.5" customHeight="1">
      <c r="A29" s="953" t="s">
        <v>1418</v>
      </c>
      <c r="C29" s="372"/>
      <c r="D29" s="1418">
        <v>1.1324142099550518</v>
      </c>
      <c r="E29" s="1418">
        <v>1.1508273706069019</v>
      </c>
      <c r="F29" s="1418">
        <v>1.1363203108454192</v>
      </c>
      <c r="G29" s="1418">
        <v>1.1529514408135957</v>
      </c>
      <c r="H29" s="1418">
        <v>1.1401838093663619</v>
      </c>
      <c r="I29" s="1418">
        <v>1.2071718111863166</v>
      </c>
      <c r="J29" s="431">
        <v>1.145603182870168</v>
      </c>
    </row>
    <row r="30" spans="1:19" ht="13.5" customHeight="1">
      <c r="A30" s="953" t="s">
        <v>1428</v>
      </c>
      <c r="C30" s="372"/>
      <c r="D30" s="1418">
        <v>1.7117149527604505</v>
      </c>
      <c r="E30" s="1418">
        <v>1.823380766174084</v>
      </c>
      <c r="F30" s="1418">
        <v>1.7925210409543946</v>
      </c>
      <c r="G30" s="1418">
        <v>1.7861213477735842</v>
      </c>
      <c r="H30" s="1418">
        <v>1.7905592337282852</v>
      </c>
      <c r="I30" s="1418">
        <v>2.1200652963923514</v>
      </c>
      <c r="J30" s="431">
        <v>1.9068315187130187</v>
      </c>
    </row>
    <row r="31" spans="1:19" ht="13.5" customHeight="1" thickBot="1">
      <c r="A31" s="960" t="s">
        <v>1429</v>
      </c>
      <c r="C31" s="377"/>
      <c r="D31" s="937">
        <v>1.3479169640858997</v>
      </c>
      <c r="E31" s="937">
        <v>1.6281464569127049</v>
      </c>
      <c r="F31" s="937">
        <v>1.4300304559591868</v>
      </c>
      <c r="G31" s="937">
        <v>1.4468321506136064</v>
      </c>
      <c r="H31" s="937">
        <v>1.4799920043328101</v>
      </c>
      <c r="I31" s="937">
        <v>2.0100159024412441</v>
      </c>
      <c r="J31" s="938">
        <v>1.609758064696829</v>
      </c>
    </row>
    <row r="32" spans="1:19" ht="13.5" customHeight="1" thickTop="1" thickBot="1">
      <c r="A32" s="961"/>
      <c r="B32" s="962"/>
      <c r="C32" s="963"/>
      <c r="D32" s="399" t="s">
        <v>846</v>
      </c>
      <c r="E32" s="399"/>
      <c r="F32" s="399"/>
      <c r="G32" s="399"/>
      <c r="H32" s="399"/>
      <c r="I32" s="399"/>
      <c r="J32" s="400"/>
    </row>
    <row r="33" spans="1:10" ht="13.5" customHeight="1" thickTop="1">
      <c r="A33" s="953" t="s">
        <v>1427</v>
      </c>
      <c r="C33" s="372"/>
      <c r="D33" s="1418">
        <v>1.1952822495157718</v>
      </c>
      <c r="E33" s="1418">
        <v>1.1943455512472745</v>
      </c>
      <c r="F33" s="1418">
        <v>1.166918638136681</v>
      </c>
      <c r="G33" s="1418">
        <v>1.1769475627932595</v>
      </c>
      <c r="H33" s="1418">
        <v>1.1909584146758085</v>
      </c>
      <c r="I33" s="1418">
        <v>1.2570578944600488</v>
      </c>
      <c r="J33" s="431">
        <v>1.1968792988600181</v>
      </c>
    </row>
    <row r="34" spans="1:10" ht="13.5" customHeight="1">
      <c r="A34" s="953" t="s">
        <v>1418</v>
      </c>
      <c r="C34" s="372"/>
      <c r="D34" s="1418">
        <v>1.171040789620305</v>
      </c>
      <c r="E34" s="1418">
        <v>1.1542495466478655</v>
      </c>
      <c r="F34" s="1418">
        <v>1.1644181710072612</v>
      </c>
      <c r="G34" s="1418">
        <v>1.1795630892337279</v>
      </c>
      <c r="H34" s="1418">
        <v>1.1675739727545928</v>
      </c>
      <c r="I34" s="1418">
        <v>1.2439910310708631</v>
      </c>
      <c r="J34" s="431">
        <v>1.1751718617356393</v>
      </c>
    </row>
    <row r="35" spans="1:10" ht="13.5" customHeight="1">
      <c r="A35" s="953" t="s">
        <v>1428</v>
      </c>
      <c r="C35" s="372"/>
      <c r="D35" s="1418">
        <v>1.6750993589896288</v>
      </c>
      <c r="E35" s="1418">
        <v>1.648670824134963</v>
      </c>
      <c r="F35" s="1418">
        <v>1.7082248601407435</v>
      </c>
      <c r="G35" s="1418">
        <v>1.6602460963032655</v>
      </c>
      <c r="H35" s="1418">
        <v>1.6661906312982415</v>
      </c>
      <c r="I35" s="1418">
        <v>1.8952590399602967</v>
      </c>
      <c r="J35" s="431">
        <v>1.7310710797070423</v>
      </c>
    </row>
    <row r="36" spans="1:10" ht="13.5" customHeight="1" thickBot="1">
      <c r="A36" s="960" t="s">
        <v>1429</v>
      </c>
      <c r="B36" s="376"/>
      <c r="C36" s="377"/>
      <c r="D36" s="937">
        <v>1.4269590339606923</v>
      </c>
      <c r="E36" s="937">
        <v>1.5531395530423959</v>
      </c>
      <c r="F36" s="937">
        <v>1.4792655628147469</v>
      </c>
      <c r="G36" s="937">
        <v>1.478182909504804</v>
      </c>
      <c r="H36" s="937">
        <v>1.4941398749103103</v>
      </c>
      <c r="I36" s="937">
        <v>1.8125210246951553</v>
      </c>
      <c r="J36" s="938">
        <v>1.566703591814357</v>
      </c>
    </row>
    <row r="37" spans="1:10" ht="13.5" customHeight="1" thickTop="1">
      <c r="C37" s="322"/>
      <c r="D37" s="965"/>
    </row>
    <row r="38" spans="1:10" ht="13.5" customHeight="1">
      <c r="C38" s="322"/>
    </row>
  </sheetData>
  <sheetProtection sheet="1" objects="1" scenarios="1"/>
  <mergeCells count="10">
    <mergeCell ref="D24:H24"/>
    <mergeCell ref="A18:B18"/>
    <mergeCell ref="A19:B19"/>
    <mergeCell ref="A20:B20"/>
    <mergeCell ref="A11:B11"/>
    <mergeCell ref="E6:S6"/>
    <mergeCell ref="A7:B7"/>
    <mergeCell ref="A8:B8"/>
    <mergeCell ref="A10:B10"/>
    <mergeCell ref="A12:B12"/>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9" orientation="portrait" r:id="rId3"/>
  <headerFooter alignWithMargins="0"/>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indexed="10"/>
  </sheetPr>
  <dimension ref="A1:S34"/>
  <sheetViews>
    <sheetView showGridLines="0"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c r="D2" s="318"/>
    </row>
    <row r="3" spans="1:19" s="319" customFormat="1" ht="20.100000000000001" customHeight="1">
      <c r="A3" s="894" t="s">
        <v>2217</v>
      </c>
      <c r="D3" s="318"/>
    </row>
    <row r="4" spans="1:19" s="322" customFormat="1" ht="20.100000000000001" customHeight="1" thickBot="1">
      <c r="A4" s="986" t="s">
        <v>840</v>
      </c>
      <c r="B4" s="320"/>
      <c r="C4" s="320"/>
      <c r="D4" s="320"/>
      <c r="E4" s="320"/>
      <c r="F4" s="320"/>
      <c r="G4" s="320"/>
      <c r="H4" s="320"/>
      <c r="I4" s="320"/>
      <c r="J4" s="320"/>
      <c r="K4" s="320"/>
      <c r="L4" s="320"/>
      <c r="M4" s="320"/>
      <c r="N4" s="320"/>
      <c r="O4" s="320"/>
      <c r="P4" s="320"/>
      <c r="Q4" s="320"/>
      <c r="R4" s="320"/>
      <c r="S4" s="320"/>
    </row>
    <row r="5" spans="1:19" ht="9.9" customHeight="1" thickTop="1" thickBot="1">
      <c r="A5" s="511"/>
      <c r="B5" s="321"/>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113"/>
      <c r="F7" s="29"/>
      <c r="G7" s="26"/>
      <c r="H7" s="26"/>
      <c r="I7" s="26"/>
      <c r="J7" s="26"/>
      <c r="K7" s="26"/>
      <c r="L7" s="26"/>
      <c r="M7" s="26"/>
      <c r="N7" s="26"/>
      <c r="O7" s="26"/>
      <c r="P7" s="26"/>
      <c r="Q7" s="26"/>
      <c r="R7" s="26"/>
      <c r="S7" s="147"/>
    </row>
    <row r="8" spans="1:19" s="38" customFormat="1" ht="13.5" customHeight="1">
      <c r="A8" s="3646">
        <f>Audit!C12</f>
        <v>43586</v>
      </c>
      <c r="B8" s="3651"/>
      <c r="C8" s="321"/>
      <c r="D8" s="321"/>
      <c r="E8" s="113"/>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2216</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2217</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6"/>
      <c r="B14" s="316"/>
      <c r="C14" s="321"/>
      <c r="D14" s="321"/>
      <c r="E14" s="113"/>
      <c r="F14" s="26"/>
      <c r="G14" s="26"/>
      <c r="H14" s="26"/>
      <c r="I14" s="26"/>
      <c r="J14" s="26"/>
      <c r="K14" s="26"/>
      <c r="L14" s="26"/>
      <c r="M14" s="26"/>
      <c r="N14" s="26"/>
      <c r="O14" s="26"/>
      <c r="P14" s="26"/>
      <c r="Q14" s="26"/>
      <c r="R14" s="26"/>
      <c r="S14" s="147"/>
    </row>
    <row r="15" spans="1:19" s="38" customFormat="1" ht="13.5" customHeight="1">
      <c r="A15" s="56"/>
      <c r="B15" s="32"/>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2000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324</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619" t="s">
        <v>2234</v>
      </c>
      <c r="F20" s="163"/>
      <c r="G20" s="163"/>
      <c r="H20" s="163"/>
      <c r="I20" s="163"/>
      <c r="J20" s="163"/>
      <c r="K20" s="163"/>
      <c r="L20" s="163"/>
      <c r="M20" s="163"/>
      <c r="N20" s="163"/>
      <c r="O20" s="163"/>
      <c r="P20" s="163"/>
      <c r="Q20" s="163"/>
      <c r="R20" s="163"/>
      <c r="S20" s="382"/>
    </row>
    <row r="21" spans="1:19" ht="13.5" customHeight="1" thickTop="1"/>
    <row r="22" spans="1:19" ht="13.5" customHeight="1" thickBot="1">
      <c r="G22" s="322"/>
      <c r="H22" s="322"/>
      <c r="I22" s="322"/>
    </row>
    <row r="23" spans="1:19" ht="13.5" customHeight="1" thickTop="1" thickBot="1">
      <c r="A23" s="122" t="str">
        <f>CONCATENATE("Vehicle Occupancies (",B16,")")</f>
        <v>Vehicle Occupancies (2000)</v>
      </c>
      <c r="B23" s="968"/>
      <c r="C23" s="968"/>
      <c r="D23" s="404"/>
      <c r="E23" s="404"/>
      <c r="F23" s="405"/>
      <c r="G23" s="882"/>
      <c r="H23" s="882"/>
      <c r="I23" s="882"/>
      <c r="J23" s="882"/>
    </row>
    <row r="24" spans="1:19" ht="13.5" customHeight="1" thickTop="1" thickBot="1">
      <c r="A24" s="978"/>
      <c r="B24" s="979"/>
      <c r="C24" s="958"/>
      <c r="D24" s="980" t="s">
        <v>1109</v>
      </c>
      <c r="E24" s="981"/>
      <c r="F24" s="982"/>
      <c r="G24" s="15"/>
      <c r="H24" s="15"/>
      <c r="I24" s="695"/>
      <c r="J24" s="695"/>
    </row>
    <row r="25" spans="1:19" ht="13.5" customHeight="1" thickTop="1">
      <c r="A25" s="524" t="s">
        <v>1238</v>
      </c>
      <c r="B25" s="983"/>
      <c r="C25" s="959"/>
      <c r="D25" s="390" t="s">
        <v>1420</v>
      </c>
      <c r="E25" s="3" t="s">
        <v>1421</v>
      </c>
      <c r="F25" s="390" t="s">
        <v>1423</v>
      </c>
      <c r="G25" s="15"/>
    </row>
    <row r="26" spans="1:19" ht="13.5" customHeight="1" thickBot="1">
      <c r="A26" s="984" t="s">
        <v>629</v>
      </c>
      <c r="B26" s="985" t="s">
        <v>1453</v>
      </c>
      <c r="C26" s="964"/>
      <c r="D26" s="391" t="s">
        <v>1234</v>
      </c>
      <c r="E26" s="408" t="s">
        <v>1234</v>
      </c>
      <c r="F26" s="391" t="s">
        <v>1234</v>
      </c>
      <c r="G26" s="15"/>
    </row>
    <row r="27" spans="1:19" ht="13.5" customHeight="1" thickTop="1">
      <c r="A27" s="743" t="s">
        <v>1431</v>
      </c>
      <c r="B27" s="973" t="s">
        <v>1432</v>
      </c>
      <c r="C27" s="372"/>
      <c r="D27" s="1419">
        <v>1.2</v>
      </c>
      <c r="E27" s="1420">
        <v>1.26</v>
      </c>
      <c r="F27" s="1419">
        <v>1.2</v>
      </c>
      <c r="G27" s="15"/>
    </row>
    <row r="28" spans="1:19" ht="13.5" customHeight="1">
      <c r="A28" s="953"/>
      <c r="B28" s="974" t="s">
        <v>271</v>
      </c>
      <c r="C28" s="373"/>
      <c r="D28" s="1421">
        <v>1.46</v>
      </c>
      <c r="E28" s="1422">
        <v>2.0299999999999998</v>
      </c>
      <c r="F28" s="1421">
        <v>1.59</v>
      </c>
      <c r="G28" s="15"/>
    </row>
    <row r="29" spans="1:19" ht="13.5" customHeight="1" thickBot="1">
      <c r="A29" s="970"/>
      <c r="B29" s="975" t="s">
        <v>1433</v>
      </c>
      <c r="C29" s="971"/>
      <c r="D29" s="1423">
        <v>1.23</v>
      </c>
      <c r="E29" s="1424">
        <v>1.35</v>
      </c>
      <c r="F29" s="1423">
        <v>1.25</v>
      </c>
      <c r="G29" s="15"/>
    </row>
    <row r="30" spans="1:19" ht="13.5" customHeight="1">
      <c r="A30" s="180" t="s">
        <v>1235</v>
      </c>
      <c r="B30" s="976" t="s">
        <v>1236</v>
      </c>
      <c r="C30" s="372"/>
      <c r="D30" s="1419">
        <v>1</v>
      </c>
      <c r="E30" s="1420">
        <v>1</v>
      </c>
      <c r="F30" s="1419">
        <v>1</v>
      </c>
      <c r="G30" s="15"/>
    </row>
    <row r="31" spans="1:19" ht="13.5" customHeight="1" thickBot="1">
      <c r="A31" s="972" t="s">
        <v>1237</v>
      </c>
      <c r="B31" s="975" t="s">
        <v>1236</v>
      </c>
      <c r="C31" s="971"/>
      <c r="D31" s="1423">
        <v>1</v>
      </c>
      <c r="E31" s="1424">
        <v>1</v>
      </c>
      <c r="F31" s="1423">
        <v>1</v>
      </c>
      <c r="G31" s="15"/>
    </row>
    <row r="32" spans="1:19" ht="13.5" customHeight="1">
      <c r="A32" s="743" t="s">
        <v>1434</v>
      </c>
      <c r="B32" s="976" t="s">
        <v>1435</v>
      </c>
      <c r="C32" s="372"/>
      <c r="D32" s="1419">
        <v>1</v>
      </c>
      <c r="E32" s="1420">
        <v>1</v>
      </c>
      <c r="F32" s="1419">
        <v>1</v>
      </c>
      <c r="G32" s="15"/>
    </row>
    <row r="33" spans="1:7" ht="13.5" customHeight="1" thickBot="1">
      <c r="A33" s="960"/>
      <c r="B33" s="977" t="s">
        <v>1436</v>
      </c>
      <c r="C33" s="377"/>
      <c r="D33" s="1425">
        <v>12.2</v>
      </c>
      <c r="E33" s="1426">
        <v>12.2</v>
      </c>
      <c r="F33" s="1425">
        <v>12.2</v>
      </c>
      <c r="G33" s="15"/>
    </row>
    <row r="34" spans="1:7" ht="13.5" customHeight="1" thickTop="1"/>
  </sheetData>
  <sheetProtection sheet="1" objects="1" scenarios="1"/>
  <mergeCells count="9">
    <mergeCell ref="A18:B18"/>
    <mergeCell ref="A19:B19"/>
    <mergeCell ref="A20:B20"/>
    <mergeCell ref="A11:B11"/>
    <mergeCell ref="E6:S6"/>
    <mergeCell ref="A7:B7"/>
    <mergeCell ref="A8:B8"/>
    <mergeCell ref="A10:B10"/>
    <mergeCell ref="A12:B12"/>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headerFooter alignWithMargins="0"/>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indexed="10"/>
  </sheetPr>
  <dimension ref="A1:S31"/>
  <sheetViews>
    <sheetView showGridLines="0"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c r="D2" s="318"/>
    </row>
    <row r="3" spans="1:19" s="319" customFormat="1" ht="20.100000000000001" customHeight="1">
      <c r="A3" s="894" t="s">
        <v>2217</v>
      </c>
      <c r="D3" s="318"/>
    </row>
    <row r="4" spans="1:19" s="322" customFormat="1" ht="20.100000000000001" customHeight="1" thickBot="1">
      <c r="A4" s="986" t="s">
        <v>842</v>
      </c>
      <c r="B4" s="320"/>
      <c r="C4" s="320"/>
      <c r="D4" s="320"/>
      <c r="E4" s="320"/>
      <c r="F4" s="320"/>
      <c r="G4" s="320"/>
      <c r="H4" s="320"/>
      <c r="I4" s="320"/>
      <c r="J4" s="320"/>
      <c r="K4" s="320"/>
      <c r="L4" s="320"/>
      <c r="M4" s="320"/>
      <c r="N4" s="320"/>
      <c r="O4" s="320"/>
      <c r="P4" s="320"/>
      <c r="Q4" s="320"/>
      <c r="R4" s="320"/>
      <c r="S4" s="320"/>
    </row>
    <row r="5" spans="1:19" ht="9.9" customHeight="1" thickTop="1" thickBot="1">
      <c r="A5" s="511"/>
      <c r="B5" s="321"/>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D7" s="147"/>
      <c r="E7" s="12" t="s">
        <v>873</v>
      </c>
      <c r="F7" s="29"/>
      <c r="G7" s="26"/>
      <c r="H7" s="26"/>
      <c r="I7" s="26"/>
      <c r="J7" s="26"/>
      <c r="K7" s="26"/>
      <c r="L7" s="26"/>
      <c r="M7" s="26"/>
      <c r="N7" s="26"/>
      <c r="O7" s="26"/>
      <c r="P7" s="26"/>
      <c r="Q7" s="26"/>
      <c r="R7" s="26"/>
      <c r="S7" s="147"/>
    </row>
    <row r="8" spans="1:19" s="38" customFormat="1" ht="13.5" customHeight="1">
      <c r="A8" s="3646">
        <f>Audit!C12</f>
        <v>43586</v>
      </c>
      <c r="B8" s="3651"/>
      <c r="C8" s="321"/>
      <c r="D8" s="412"/>
      <c r="E8" s="12" t="s">
        <v>272</v>
      </c>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2216</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2217</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6"/>
      <c r="B14" s="316"/>
      <c r="C14" s="321"/>
      <c r="D14" s="321"/>
      <c r="E14" s="113"/>
      <c r="F14" s="26"/>
      <c r="G14" s="26"/>
      <c r="H14" s="26"/>
      <c r="I14" s="26"/>
      <c r="J14" s="26"/>
      <c r="K14" s="26"/>
      <c r="L14" s="26"/>
      <c r="M14" s="26"/>
      <c r="N14" s="26"/>
      <c r="O14" s="26"/>
      <c r="P14" s="26"/>
      <c r="Q14" s="26"/>
      <c r="R14" s="26"/>
      <c r="S14" s="147"/>
    </row>
    <row r="15" spans="1:19" s="38" customFormat="1" ht="13.5" customHeight="1">
      <c r="A15" s="56"/>
      <c r="B15" s="32"/>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2000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324</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619" t="s">
        <v>2235</v>
      </c>
      <c r="F20" s="163"/>
      <c r="G20" s="163"/>
      <c r="H20" s="163"/>
      <c r="I20" s="163"/>
      <c r="J20" s="163"/>
      <c r="K20" s="163"/>
      <c r="L20" s="163"/>
      <c r="M20" s="163"/>
      <c r="N20" s="163"/>
      <c r="O20" s="163"/>
      <c r="P20" s="163"/>
      <c r="Q20" s="163"/>
      <c r="R20" s="163"/>
      <c r="S20" s="382"/>
    </row>
    <row r="21" spans="1:19" ht="13.5" customHeight="1" thickTop="1"/>
    <row r="22" spans="1:19" ht="13.5" customHeight="1" thickBot="1">
      <c r="C22" s="987"/>
    </row>
    <row r="23" spans="1:19" ht="13.5" customHeight="1" thickTop="1" thickBot="1">
      <c r="A23" s="625" t="s">
        <v>553</v>
      </c>
      <c r="B23" s="1427"/>
      <c r="C23" s="496"/>
      <c r="D23" s="835"/>
      <c r="E23" s="835"/>
      <c r="F23" s="835"/>
      <c r="G23" s="835"/>
      <c r="H23" s="835"/>
      <c r="I23" s="835"/>
      <c r="J23" s="988"/>
    </row>
    <row r="24" spans="1:19" ht="13.5" customHeight="1" thickTop="1" thickBot="1">
      <c r="A24" s="1428"/>
      <c r="B24" s="955"/>
      <c r="C24" s="385"/>
      <c r="D24" s="631" t="s">
        <v>1420</v>
      </c>
      <c r="E24" s="443"/>
      <c r="F24" s="443"/>
      <c r="G24" s="443"/>
      <c r="H24" s="591"/>
      <c r="I24" s="389"/>
      <c r="J24" s="389"/>
    </row>
    <row r="25" spans="1:19" ht="27.6" thickTop="1" thickBot="1">
      <c r="A25" s="482" t="s">
        <v>1453</v>
      </c>
      <c r="B25" s="966"/>
      <c r="C25" s="964"/>
      <c r="D25" s="1467" t="s">
        <v>1437</v>
      </c>
      <c r="E25" s="1468" t="s">
        <v>1424</v>
      </c>
      <c r="F25" s="1468" t="s">
        <v>1425</v>
      </c>
      <c r="G25" s="1469" t="s">
        <v>1426</v>
      </c>
      <c r="H25" s="391" t="s">
        <v>386</v>
      </c>
      <c r="I25" s="1430" t="s">
        <v>1421</v>
      </c>
      <c r="J25" s="1429" t="s">
        <v>1423</v>
      </c>
    </row>
    <row r="26" spans="1:19" ht="13.5" customHeight="1" thickTop="1">
      <c r="A26" s="991" t="s">
        <v>1427</v>
      </c>
      <c r="B26" s="965"/>
      <c r="C26" s="969"/>
      <c r="D26" s="1431">
        <v>0</v>
      </c>
      <c r="E26" s="1431">
        <v>0</v>
      </c>
      <c r="F26" s="1431">
        <v>0</v>
      </c>
      <c r="G26" s="1431">
        <v>0</v>
      </c>
      <c r="H26" s="1432">
        <v>0</v>
      </c>
      <c r="I26" s="1432">
        <v>0</v>
      </c>
      <c r="J26" s="1433">
        <v>0</v>
      </c>
    </row>
    <row r="27" spans="1:19" ht="13.5" customHeight="1">
      <c r="A27" s="989" t="s">
        <v>1787</v>
      </c>
      <c r="B27" s="322"/>
      <c r="C27" s="372"/>
      <c r="D27" s="1431">
        <v>0</v>
      </c>
      <c r="E27" s="1434">
        <v>0</v>
      </c>
      <c r="F27" s="1434">
        <v>0</v>
      </c>
      <c r="G27" s="1435">
        <v>0</v>
      </c>
      <c r="H27" s="1436">
        <v>0</v>
      </c>
      <c r="I27" s="1436">
        <v>0</v>
      </c>
      <c r="J27" s="1436">
        <v>0</v>
      </c>
    </row>
    <row r="28" spans="1:19" ht="13.5" customHeight="1" thickBot="1">
      <c r="A28" s="990" t="s">
        <v>1419</v>
      </c>
      <c r="B28" s="376"/>
      <c r="C28" s="377"/>
      <c r="D28" s="2891">
        <v>0</v>
      </c>
      <c r="E28" s="2892">
        <v>0</v>
      </c>
      <c r="F28" s="2892">
        <v>0</v>
      </c>
      <c r="G28" s="2893">
        <v>0</v>
      </c>
      <c r="H28" s="2894">
        <v>0</v>
      </c>
      <c r="I28" s="2894">
        <v>0</v>
      </c>
      <c r="J28" s="2894">
        <v>0</v>
      </c>
    </row>
    <row r="29" spans="1:19" ht="13.5" customHeight="1" thickTop="1">
      <c r="C29" s="21"/>
      <c r="D29" s="21"/>
      <c r="E29" s="21"/>
      <c r="F29" s="21"/>
      <c r="G29" s="21"/>
      <c r="H29" s="21"/>
      <c r="I29" s="21"/>
      <c r="J29" s="21"/>
    </row>
    <row r="30" spans="1:19" ht="13.5" customHeight="1">
      <c r="D30" s="14"/>
      <c r="E30" s="14"/>
      <c r="F30" s="14"/>
      <c r="G30" s="14"/>
      <c r="H30" s="14"/>
      <c r="I30" s="14"/>
      <c r="J30" s="14"/>
    </row>
    <row r="31" spans="1:19" ht="13.5" customHeight="1">
      <c r="D31" s="21"/>
      <c r="E31" s="21"/>
      <c r="F31" s="21"/>
      <c r="G31" s="21"/>
      <c r="H31" s="21"/>
      <c r="I31" s="21"/>
      <c r="J31" s="21"/>
    </row>
  </sheetData>
  <sheetProtection sheet="1" objects="1" scenarios="1"/>
  <mergeCells count="9">
    <mergeCell ref="A18:B18"/>
    <mergeCell ref="A19:B19"/>
    <mergeCell ref="A20:B20"/>
    <mergeCell ref="A11:B11"/>
    <mergeCell ref="E6:S6"/>
    <mergeCell ref="A7:B7"/>
    <mergeCell ref="A8:B8"/>
    <mergeCell ref="A10:B10"/>
    <mergeCell ref="A12:B12"/>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headerFooter alignWithMargins="0"/>
  <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17"/>
    <pageSetUpPr fitToPage="1"/>
  </sheetPr>
  <dimension ref="A1:S50"/>
  <sheetViews>
    <sheetView showGridLines="0" topLeftCell="A16" zoomScale="85" zoomScaleNormal="85" workbookViewId="0">
      <selection activeCell="B16" sqref="B16"/>
    </sheetView>
  </sheetViews>
  <sheetFormatPr defaultColWidth="12.88671875" defaultRowHeight="13.5" customHeight="1"/>
  <cols>
    <col min="1" max="16384" width="12.88671875" style="38"/>
  </cols>
  <sheetData>
    <row r="1" spans="1:19" ht="54.9" customHeight="1">
      <c r="A1" s="28"/>
      <c r="D1" s="28"/>
    </row>
    <row r="2" spans="1:19" s="300" customFormat="1" ht="5.0999999999999996" customHeight="1">
      <c r="D2" s="83"/>
      <c r="E2" s="83"/>
      <c r="F2" s="83"/>
    </row>
    <row r="3" spans="1:19" s="300" customFormat="1" ht="20.100000000000001" customHeight="1">
      <c r="A3" s="426" t="s">
        <v>2236</v>
      </c>
      <c r="D3" s="46"/>
      <c r="E3" s="83"/>
      <c r="F3" s="445"/>
      <c r="G3" s="46"/>
      <c r="I3" s="83"/>
      <c r="J3" s="445"/>
    </row>
    <row r="4" spans="1:19" s="26" customFormat="1" ht="20.100000000000001" customHeight="1" thickBot="1">
      <c r="A4" s="109" t="s">
        <v>1224</v>
      </c>
      <c r="B4" s="446"/>
      <c r="C4" s="446"/>
      <c r="D4" s="486"/>
      <c r="E4" s="450"/>
      <c r="F4" s="446"/>
      <c r="G4" s="449"/>
      <c r="H4" s="446"/>
      <c r="I4" s="450"/>
      <c r="J4" s="487"/>
      <c r="K4" s="446"/>
      <c r="L4" s="446"/>
      <c r="M4" s="446"/>
      <c r="N4" s="446"/>
      <c r="O4" s="446"/>
      <c r="P4" s="446"/>
      <c r="Q4" s="446"/>
      <c r="R4" s="446"/>
      <c r="S4" s="446"/>
    </row>
    <row r="5" spans="1:19" ht="9.9" customHeight="1" thickTop="1" thickBot="1">
      <c r="E5" s="28"/>
      <c r="G5" s="31"/>
      <c r="I5" s="28"/>
      <c r="J5" s="32"/>
    </row>
    <row r="6" spans="1:19" ht="13.5" customHeight="1" thickTop="1">
      <c r="A6" s="169" t="s">
        <v>10</v>
      </c>
      <c r="B6" s="169"/>
      <c r="E6" s="3626" t="s">
        <v>255</v>
      </c>
      <c r="F6" s="3649"/>
      <c r="G6" s="3649"/>
      <c r="H6" s="3649"/>
      <c r="I6" s="3649"/>
      <c r="J6" s="3649"/>
      <c r="K6" s="3649"/>
      <c r="L6" s="3649"/>
      <c r="M6" s="3649"/>
      <c r="N6" s="3649"/>
      <c r="O6" s="3649"/>
      <c r="P6" s="3649"/>
      <c r="Q6" s="3649"/>
      <c r="R6" s="3649"/>
      <c r="S6" s="3650"/>
    </row>
    <row r="7" spans="1:19" ht="13.5" customHeight="1">
      <c r="A7" s="3644" t="str">
        <f>Audit!A12</f>
        <v>May 2019 v1.12</v>
      </c>
      <c r="B7" s="3651"/>
      <c r="E7" s="113" t="s">
        <v>914</v>
      </c>
      <c r="F7" s="29"/>
      <c r="G7" s="26"/>
      <c r="H7" s="26"/>
      <c r="I7" s="26"/>
      <c r="J7" s="26"/>
      <c r="K7" s="26"/>
      <c r="L7" s="26"/>
      <c r="M7" s="26"/>
      <c r="N7" s="26"/>
      <c r="O7" s="26"/>
      <c r="P7" s="26"/>
      <c r="Q7" s="26"/>
      <c r="R7" s="26"/>
      <c r="S7" s="147"/>
    </row>
    <row r="8" spans="1:19" ht="13.5" customHeight="1">
      <c r="A8" s="3630">
        <f>Audit!C12</f>
        <v>43586</v>
      </c>
      <c r="B8" s="3631"/>
      <c r="C8" s="321"/>
      <c r="D8" s="321"/>
      <c r="E8" s="113" t="s">
        <v>915</v>
      </c>
      <c r="F8" s="315"/>
      <c r="G8" s="26"/>
      <c r="H8" s="26"/>
      <c r="I8" s="26"/>
      <c r="J8" s="26"/>
      <c r="K8" s="26"/>
      <c r="L8" s="26"/>
      <c r="M8" s="26"/>
      <c r="N8" s="26"/>
      <c r="O8" s="26"/>
      <c r="P8" s="26"/>
      <c r="Q8" s="26"/>
      <c r="R8" s="26"/>
      <c r="S8" s="147"/>
    </row>
    <row r="9" spans="1:19" ht="13.5" customHeight="1" thickBot="1">
      <c r="A9" s="172" t="s">
        <v>14</v>
      </c>
      <c r="B9" s="173"/>
      <c r="D9" s="321"/>
      <c r="E9" s="113"/>
      <c r="F9" s="26"/>
      <c r="G9" s="26"/>
      <c r="H9" s="26"/>
      <c r="I9" s="26"/>
      <c r="J9" s="26"/>
      <c r="K9" s="26"/>
      <c r="L9" s="26"/>
      <c r="M9" s="26"/>
      <c r="N9" s="26"/>
      <c r="O9" s="26"/>
      <c r="P9" s="26"/>
      <c r="Q9" s="26"/>
      <c r="R9" s="26"/>
      <c r="S9" s="147"/>
    </row>
    <row r="10" spans="1:19" ht="13.5" customHeight="1" thickBot="1">
      <c r="A10" s="3570" t="s">
        <v>1306</v>
      </c>
      <c r="B10" s="3610"/>
      <c r="D10" s="321"/>
      <c r="E10" s="113"/>
      <c r="F10" s="26"/>
      <c r="G10" s="26"/>
      <c r="H10" s="26"/>
      <c r="I10" s="26"/>
      <c r="J10" s="26"/>
      <c r="K10" s="26"/>
      <c r="L10" s="26"/>
      <c r="M10" s="26"/>
      <c r="N10" s="26"/>
      <c r="O10" s="26"/>
      <c r="P10" s="26"/>
      <c r="Q10" s="26"/>
      <c r="R10" s="26"/>
      <c r="S10" s="147"/>
    </row>
    <row r="11" spans="1:19" ht="13.5" customHeight="1" thickBot="1">
      <c r="A11" s="3570" t="s">
        <v>2216</v>
      </c>
      <c r="B11" s="3581"/>
      <c r="D11" s="321"/>
      <c r="E11" s="113"/>
      <c r="F11" s="53"/>
      <c r="G11" s="53"/>
      <c r="H11" s="53"/>
      <c r="I11" s="53"/>
      <c r="J11" s="53"/>
      <c r="K11" s="53"/>
      <c r="L11" s="53"/>
      <c r="M11" s="53"/>
      <c r="N11" s="53"/>
      <c r="O11" s="53"/>
      <c r="P11" s="53"/>
      <c r="Q11" s="53"/>
      <c r="R11" s="53"/>
      <c r="S11" s="379"/>
    </row>
    <row r="12" spans="1:19" ht="13.5" customHeight="1" thickBot="1">
      <c r="A12" s="3570" t="s">
        <v>2217</v>
      </c>
      <c r="B12" s="3581"/>
      <c r="D12" s="321"/>
      <c r="E12" s="113"/>
      <c r="F12" s="26"/>
      <c r="G12" s="26"/>
      <c r="H12" s="26"/>
      <c r="I12" s="26"/>
      <c r="J12" s="26"/>
      <c r="K12" s="26"/>
      <c r="L12" s="26"/>
      <c r="M12" s="26"/>
      <c r="N12" s="26"/>
      <c r="O12" s="26"/>
      <c r="P12" s="26"/>
      <c r="Q12" s="26"/>
      <c r="R12" s="26"/>
      <c r="S12" s="147"/>
    </row>
    <row r="13" spans="1:19" ht="13.5" customHeight="1">
      <c r="A13" s="172" t="s">
        <v>252</v>
      </c>
      <c r="B13" s="194"/>
      <c r="C13" s="321"/>
      <c r="D13" s="321"/>
      <c r="E13" s="114"/>
      <c r="F13" s="26"/>
      <c r="G13" s="26"/>
      <c r="H13" s="26"/>
      <c r="I13" s="26"/>
      <c r="J13" s="26"/>
      <c r="K13" s="26"/>
      <c r="L13" s="26"/>
      <c r="M13" s="26"/>
      <c r="N13" s="26"/>
      <c r="O13" s="26"/>
      <c r="P13" s="26"/>
      <c r="Q13" s="26"/>
      <c r="R13" s="26"/>
      <c r="S13" s="147"/>
    </row>
    <row r="14" spans="1:19" ht="13.5" customHeight="1">
      <c r="A14" s="2440"/>
      <c r="B14" s="2440"/>
      <c r="C14" s="321"/>
      <c r="D14" s="321"/>
      <c r="E14" s="113"/>
      <c r="F14" s="26"/>
      <c r="G14" s="26"/>
      <c r="H14" s="26"/>
      <c r="I14" s="26"/>
      <c r="J14" s="26"/>
      <c r="K14" s="26"/>
      <c r="L14" s="26"/>
      <c r="M14" s="26"/>
      <c r="N14" s="26"/>
      <c r="O14" s="26"/>
      <c r="P14" s="26"/>
      <c r="Q14" s="26"/>
      <c r="R14" s="26"/>
      <c r="S14" s="147"/>
    </row>
    <row r="15" spans="1:19" ht="13.5" customHeight="1">
      <c r="A15" s="2473"/>
      <c r="B15" s="2446"/>
      <c r="C15" s="321"/>
      <c r="D15" s="321"/>
      <c r="E15" s="113"/>
      <c r="F15" s="26"/>
      <c r="G15" s="26"/>
      <c r="H15" s="26"/>
      <c r="I15" s="26"/>
      <c r="J15" s="26"/>
      <c r="K15" s="26"/>
      <c r="L15" s="26"/>
      <c r="M15" s="26"/>
      <c r="N15" s="26"/>
      <c r="O15" s="26"/>
      <c r="P15" s="26"/>
      <c r="Q15" s="26"/>
      <c r="R15" s="26"/>
      <c r="S15" s="147"/>
    </row>
    <row r="16" spans="1:19" ht="13.5" customHeight="1">
      <c r="A16" s="2440" t="s">
        <v>370</v>
      </c>
      <c r="B16" s="2451">
        <f>'VoT5'!B16</f>
        <v>2010</v>
      </c>
      <c r="D16" s="321"/>
      <c r="E16" s="113"/>
      <c r="F16" s="26"/>
      <c r="G16" s="26"/>
      <c r="H16" s="26"/>
      <c r="I16" s="26"/>
      <c r="J16" s="26"/>
      <c r="K16" s="26"/>
      <c r="L16" s="26"/>
      <c r="M16" s="26"/>
      <c r="N16" s="26"/>
      <c r="O16" s="26"/>
      <c r="P16" s="26"/>
      <c r="Q16" s="26"/>
      <c r="R16" s="26"/>
      <c r="S16" s="147"/>
    </row>
    <row r="17" spans="1:19" ht="13.5" customHeight="1">
      <c r="A17" s="169" t="s">
        <v>253</v>
      </c>
      <c r="B17" s="170"/>
      <c r="C17" s="321"/>
      <c r="D17" s="412"/>
      <c r="F17" s="26"/>
      <c r="G17" s="26"/>
      <c r="H17" s="26"/>
      <c r="I17" s="26"/>
      <c r="J17" s="26"/>
      <c r="K17" s="26"/>
      <c r="L17" s="26"/>
      <c r="M17" s="26"/>
      <c r="N17" s="26"/>
      <c r="O17" s="26"/>
      <c r="P17" s="26"/>
      <c r="Q17" s="26"/>
      <c r="R17" s="26"/>
      <c r="S17" s="147"/>
    </row>
    <row r="18" spans="1:19" ht="13.5" customHeight="1">
      <c r="A18" s="3653"/>
      <c r="B18" s="3653"/>
      <c r="C18" s="321"/>
      <c r="D18" s="412"/>
      <c r="E18" s="26" t="s">
        <v>1171</v>
      </c>
      <c r="F18" s="26"/>
      <c r="G18" s="26"/>
      <c r="H18" s="26"/>
      <c r="I18" s="26"/>
      <c r="J18" s="26"/>
      <c r="K18" s="26"/>
      <c r="L18" s="26"/>
      <c r="M18" s="26"/>
      <c r="N18" s="26"/>
      <c r="O18" s="26"/>
      <c r="P18" s="26"/>
      <c r="Q18" s="26"/>
      <c r="R18" s="26"/>
      <c r="S18" s="147"/>
    </row>
    <row r="19" spans="1:19" ht="13.5" customHeight="1">
      <c r="A19" s="3653"/>
      <c r="B19" s="3653"/>
      <c r="C19" s="321"/>
      <c r="D19" s="412"/>
      <c r="E19" s="26" t="s">
        <v>2358</v>
      </c>
      <c r="F19" s="26"/>
      <c r="G19" s="26"/>
      <c r="H19" s="26"/>
      <c r="I19" s="26"/>
      <c r="J19" s="26"/>
      <c r="K19" s="26"/>
      <c r="L19" s="26"/>
      <c r="M19" s="26"/>
      <c r="N19" s="26"/>
      <c r="O19" s="26"/>
      <c r="P19" s="26"/>
      <c r="Q19" s="26"/>
      <c r="R19" s="26"/>
      <c r="S19" s="147"/>
    </row>
    <row r="20" spans="1:19" ht="13.5" customHeight="1" thickBot="1">
      <c r="A20" s="3653"/>
      <c r="B20" s="3653"/>
      <c r="C20" s="321"/>
      <c r="D20" s="412"/>
      <c r="E20" s="381" t="s">
        <v>2237</v>
      </c>
      <c r="F20" s="163"/>
      <c r="G20" s="163"/>
      <c r="H20" s="163"/>
      <c r="I20" s="163"/>
      <c r="J20" s="163"/>
      <c r="K20" s="163"/>
      <c r="L20" s="163"/>
      <c r="M20" s="163"/>
      <c r="N20" s="163"/>
      <c r="O20" s="163"/>
      <c r="P20" s="163"/>
      <c r="Q20" s="163"/>
      <c r="R20" s="163"/>
      <c r="S20" s="382"/>
    </row>
    <row r="21" spans="1:19" ht="13.5" customHeight="1" thickTop="1">
      <c r="A21" s="2437"/>
      <c r="B21" s="2421"/>
      <c r="C21" s="321"/>
      <c r="D21" s="32"/>
      <c r="E21" s="28"/>
      <c r="G21" s="31"/>
      <c r="I21" s="28"/>
      <c r="J21" s="32"/>
    </row>
    <row r="22" spans="1:19" ht="13.5" customHeight="1" thickBot="1">
      <c r="B22" s="13"/>
      <c r="C22" s="13"/>
      <c r="Q22" s="13"/>
    </row>
    <row r="23" spans="1:19" ht="13.5" customHeight="1" thickTop="1" thickBot="1">
      <c r="A23" s="122" t="s">
        <v>707</v>
      </c>
      <c r="B23" s="362"/>
      <c r="C23" s="362"/>
      <c r="D23" s="404" t="s">
        <v>926</v>
      </c>
      <c r="E23" s="404"/>
      <c r="F23" s="404"/>
      <c r="G23" s="404"/>
      <c r="H23" s="404"/>
      <c r="I23" s="404"/>
      <c r="J23" s="405"/>
      <c r="K23" s="404" t="s">
        <v>456</v>
      </c>
      <c r="L23" s="496"/>
      <c r="M23" s="496"/>
      <c r="N23" s="496"/>
      <c r="O23" s="496"/>
      <c r="P23" s="496"/>
      <c r="Q23" s="469"/>
    </row>
    <row r="24" spans="1:19" ht="13.5" customHeight="1" thickTop="1" thickBot="1">
      <c r="A24" s="512"/>
      <c r="B24" s="102"/>
      <c r="C24" s="438"/>
      <c r="D24" s="39" t="s">
        <v>1420</v>
      </c>
      <c r="E24" s="39"/>
      <c r="F24" s="39"/>
      <c r="G24" s="39"/>
      <c r="H24" s="40"/>
      <c r="I24" s="497" t="s">
        <v>1421</v>
      </c>
      <c r="J24" s="498" t="s">
        <v>1423</v>
      </c>
      <c r="K24" s="232" t="s">
        <v>1420</v>
      </c>
      <c r="L24" s="39"/>
      <c r="M24" s="39"/>
      <c r="N24" s="39"/>
      <c r="O24" s="40"/>
      <c r="P24" s="499" t="s">
        <v>1421</v>
      </c>
      <c r="Q24" s="498" t="s">
        <v>1423</v>
      </c>
    </row>
    <row r="25" spans="1:19" ht="13.5" customHeight="1" thickTop="1" thickBot="1">
      <c r="A25" s="514" t="s">
        <v>993</v>
      </c>
      <c r="B25" s="173"/>
      <c r="C25" s="293"/>
      <c r="D25" s="500" t="s">
        <v>1437</v>
      </c>
      <c r="E25" s="501" t="s">
        <v>1424</v>
      </c>
      <c r="F25" s="501" t="s">
        <v>1425</v>
      </c>
      <c r="G25" s="501" t="s">
        <v>1426</v>
      </c>
      <c r="H25" s="502" t="s">
        <v>1422</v>
      </c>
      <c r="I25" s="503" t="s">
        <v>1422</v>
      </c>
      <c r="J25" s="504" t="s">
        <v>1422</v>
      </c>
      <c r="K25" s="505" t="s">
        <v>1437</v>
      </c>
      <c r="L25" s="398" t="s">
        <v>1424</v>
      </c>
      <c r="M25" s="398" t="s">
        <v>1425</v>
      </c>
      <c r="N25" s="398" t="s">
        <v>1426</v>
      </c>
      <c r="O25" s="506" t="s">
        <v>1422</v>
      </c>
      <c r="P25" s="507" t="s">
        <v>1422</v>
      </c>
      <c r="Q25" s="504" t="s">
        <v>1422</v>
      </c>
    </row>
    <row r="26" spans="1:19" ht="13.5" customHeight="1" thickTop="1" thickBot="1">
      <c r="A26" s="513" t="s">
        <v>994</v>
      </c>
      <c r="B26" s="474"/>
      <c r="C26" s="439"/>
      <c r="D26" s="281" t="s">
        <v>509</v>
      </c>
      <c r="E26" s="281"/>
      <c r="F26" s="281"/>
      <c r="G26" s="281"/>
      <c r="H26" s="281"/>
      <c r="I26" s="281"/>
      <c r="J26" s="282"/>
      <c r="K26" s="1015" t="s">
        <v>559</v>
      </c>
      <c r="L26" s="632"/>
      <c r="M26" s="632"/>
      <c r="N26" s="632"/>
      <c r="O26" s="281"/>
      <c r="P26" s="281"/>
      <c r="Q26" s="40"/>
    </row>
    <row r="27" spans="1:19" ht="13.5" customHeight="1" thickTop="1">
      <c r="A27" s="489" t="s">
        <v>1439</v>
      </c>
      <c r="B27" s="451" t="s">
        <v>1427</v>
      </c>
      <c r="C27" s="380"/>
      <c r="D27" s="1530">
        <f>'VoT5'!D28</f>
        <v>16.459385289942354</v>
      </c>
      <c r="E27" s="1530">
        <f>'VoT5'!E28</f>
        <v>16.469988489431714</v>
      </c>
      <c r="F27" s="1530">
        <f>'VoT5'!F28</f>
        <v>11.806951255862748</v>
      </c>
      <c r="G27" s="1531">
        <f>'VoT5'!G28</f>
        <v>12.87839002123401</v>
      </c>
      <c r="H27" s="1532">
        <f>'VoT5'!H28</f>
        <v>14.849800189287379</v>
      </c>
      <c r="I27" s="1533">
        <f>'VoT5'!I28</f>
        <v>3.4734156577865827</v>
      </c>
      <c r="J27" s="1532">
        <f>'VoT5'!J28</f>
        <v>12.059245195845831</v>
      </c>
      <c r="K27" s="1534">
        <f>'VoT6'!D28</f>
        <v>6.9515649524418661</v>
      </c>
      <c r="L27" s="1534">
        <f>'VoT6'!E28</f>
        <v>7.1900684892442879</v>
      </c>
      <c r="M27" s="1534">
        <f>'VoT6'!F28</f>
        <v>5.1143393605159027</v>
      </c>
      <c r="N27" s="1531">
        <f>'VoT6'!G28</f>
        <v>4.3088671199828381</v>
      </c>
      <c r="O27" s="1535">
        <f>'VoT6'!H28</f>
        <v>6.2432133338518145</v>
      </c>
      <c r="P27" s="1531">
        <f>'VoT6'!I28</f>
        <v>2.0480225695361778</v>
      </c>
      <c r="Q27" s="1535">
        <f>'VoT6'!J28</f>
        <v>5.2842550876349348</v>
      </c>
      <c r="R27" s="26"/>
    </row>
    <row r="28" spans="1:19" ht="13.5" customHeight="1">
      <c r="A28" s="113"/>
      <c r="B28" s="451" t="s">
        <v>1440</v>
      </c>
      <c r="C28" s="147"/>
      <c r="D28" s="1534">
        <f>'VoT5'!D29</f>
        <v>44.0642044603279</v>
      </c>
      <c r="E28" s="1534">
        <f>'VoT5'!E29</f>
        <v>11.805618519478546</v>
      </c>
      <c r="F28" s="1534">
        <f>'VoT5'!F29</f>
        <v>41.265765973847898</v>
      </c>
      <c r="G28" s="1536">
        <f>'VoT5'!G29</f>
        <v>38.544312764290439</v>
      </c>
      <c r="H28" s="1537">
        <f>'VoT5'!H29</f>
        <v>31.208976947723109</v>
      </c>
      <c r="I28" s="1538">
        <f>'VoT5'!I29</f>
        <v>7.8885077503504997</v>
      </c>
      <c r="J28" s="1537">
        <f>'VoT5'!J29</f>
        <v>25.488591248387817</v>
      </c>
      <c r="K28" s="1534">
        <f>'VoT6'!D29</f>
        <v>38.301883054042669</v>
      </c>
      <c r="L28" s="1534">
        <f>'VoT6'!E29</f>
        <v>11.281736317334822</v>
      </c>
      <c r="M28" s="1534">
        <f>'VoT6'!F29</f>
        <v>32.577420727763638</v>
      </c>
      <c r="N28" s="1536">
        <f>'VoT6'!G29</f>
        <v>28.755829192894218</v>
      </c>
      <c r="O28" s="1539">
        <f>'VoT6'!H29</f>
        <v>25.157566816563381</v>
      </c>
      <c r="P28" s="1536">
        <f>'VoT6'!I29</f>
        <v>8.3873910932897324</v>
      </c>
      <c r="Q28" s="1539">
        <f>'VoT6'!J29</f>
        <v>21.324153938862427</v>
      </c>
      <c r="R28" s="26"/>
    </row>
    <row r="29" spans="1:19" ht="13.5" customHeight="1">
      <c r="A29" s="490"/>
      <c r="B29" s="491" t="s">
        <v>1428</v>
      </c>
      <c r="C29" s="510"/>
      <c r="D29" s="1540">
        <f>'VoT5'!D30</f>
        <v>39.476410249729753</v>
      </c>
      <c r="E29" s="1540">
        <f>'VoT5'!E30</f>
        <v>71.724392991089715</v>
      </c>
      <c r="F29" s="1540">
        <f>'VoT5'!F30</f>
        <v>46.927282770289352</v>
      </c>
      <c r="G29" s="1541">
        <f>'VoT5'!G30</f>
        <v>48.577297214475557</v>
      </c>
      <c r="H29" s="1542">
        <f>'VoT5'!H30</f>
        <v>53.941222862989513</v>
      </c>
      <c r="I29" s="1543">
        <f>'VoT5'!I30</f>
        <v>88.638076591862927</v>
      </c>
      <c r="J29" s="1542">
        <f>'VoT5'!J30</f>
        <v>62.452163555766383</v>
      </c>
      <c r="K29" s="1544">
        <f>'VoT6'!D30</f>
        <v>54.746551993515482</v>
      </c>
      <c r="L29" s="1540">
        <f>'VoT6'!E30</f>
        <v>81.528195193420871</v>
      </c>
      <c r="M29" s="1540">
        <f>'VoT6'!F30</f>
        <v>62.308239911720442</v>
      </c>
      <c r="N29" s="1541">
        <f>'VoT6'!G30</f>
        <v>66.935303687122939</v>
      </c>
      <c r="O29" s="1545">
        <f>'VoT6'!H30</f>
        <v>68.599219849584813</v>
      </c>
      <c r="P29" s="1541">
        <f>'VoT6'!I30</f>
        <v>89.564586337174106</v>
      </c>
      <c r="Q29" s="1545">
        <f>'VoT6'!J30</f>
        <v>73.391590973502645</v>
      </c>
      <c r="R29" s="26"/>
    </row>
    <row r="30" spans="1:19" ht="13.5" customHeight="1">
      <c r="A30" s="489" t="s">
        <v>1431</v>
      </c>
      <c r="B30" s="451" t="s">
        <v>1304</v>
      </c>
      <c r="C30" s="147"/>
      <c r="D30" s="1534">
        <f>'VoT5'!D31</f>
        <v>88</v>
      </c>
      <c r="E30" s="1534">
        <f>'VoT5'!E31</f>
        <v>88</v>
      </c>
      <c r="F30" s="1534">
        <f>'VoT5'!F31</f>
        <v>88</v>
      </c>
      <c r="G30" s="1536">
        <f>'VoT5'!G31</f>
        <v>88</v>
      </c>
      <c r="H30" s="1537">
        <f>'VoT5'!H31</f>
        <v>88</v>
      </c>
      <c r="I30" s="1538">
        <f>'VoT5'!I31</f>
        <v>88</v>
      </c>
      <c r="J30" s="1537">
        <f>'VoT5'!J31</f>
        <v>88</v>
      </c>
      <c r="K30" s="1534">
        <f>'VoT6'!D31</f>
        <v>88</v>
      </c>
      <c r="L30" s="1534">
        <f>'VoT6'!E31</f>
        <v>88</v>
      </c>
      <c r="M30" s="1534">
        <f>'VoT6'!F31</f>
        <v>88</v>
      </c>
      <c r="N30" s="1536">
        <f>'VoT6'!G31</f>
        <v>88</v>
      </c>
      <c r="O30" s="1539">
        <f>'VoT6'!H31</f>
        <v>88</v>
      </c>
      <c r="P30" s="1536">
        <f>'VoT6'!I31</f>
        <v>88</v>
      </c>
      <c r="Q30" s="1539">
        <f>'VoT6'!J31</f>
        <v>88</v>
      </c>
    </row>
    <row r="31" spans="1:19" ht="13.5" customHeight="1">
      <c r="A31" s="490"/>
      <c r="B31" s="491" t="s">
        <v>1438</v>
      </c>
      <c r="C31" s="510"/>
      <c r="D31" s="1540">
        <f>'VoT5'!D32</f>
        <v>12</v>
      </c>
      <c r="E31" s="1540">
        <f>'VoT5'!E32</f>
        <v>12</v>
      </c>
      <c r="F31" s="1540">
        <f>'VoT5'!F32</f>
        <v>12</v>
      </c>
      <c r="G31" s="1541">
        <f>'VoT5'!G32</f>
        <v>12</v>
      </c>
      <c r="H31" s="1542">
        <f>'VoT5'!H32</f>
        <v>12</v>
      </c>
      <c r="I31" s="1543">
        <f>'VoT5'!I32</f>
        <v>12</v>
      </c>
      <c r="J31" s="1542">
        <f>'VoT5'!J32</f>
        <v>12</v>
      </c>
      <c r="K31" s="1544">
        <f>'VoT6'!D32</f>
        <v>12</v>
      </c>
      <c r="L31" s="1540">
        <f>'VoT6'!E32</f>
        <v>12</v>
      </c>
      <c r="M31" s="1540">
        <f>'VoT6'!F32</f>
        <v>12</v>
      </c>
      <c r="N31" s="1541">
        <f>'VoT6'!G32</f>
        <v>12</v>
      </c>
      <c r="O31" s="1545">
        <f>'VoT6'!H32</f>
        <v>12</v>
      </c>
      <c r="P31" s="1541">
        <f>'VoT6'!I32</f>
        <v>12</v>
      </c>
      <c r="Q31" s="1545">
        <f>'VoT6'!J32</f>
        <v>12</v>
      </c>
    </row>
    <row r="32" spans="1:19" ht="13.5" customHeight="1">
      <c r="A32" s="489" t="s">
        <v>1443</v>
      </c>
      <c r="B32" s="451" t="s">
        <v>1427</v>
      </c>
      <c r="C32" s="147"/>
      <c r="D32" s="1534">
        <f>'VoT5'!D33</f>
        <v>100</v>
      </c>
      <c r="E32" s="1534">
        <f>'VoT5'!E33</f>
        <v>100</v>
      </c>
      <c r="F32" s="1534">
        <f>'VoT5'!F33</f>
        <v>100</v>
      </c>
      <c r="G32" s="1536">
        <f>'VoT5'!G33</f>
        <v>100</v>
      </c>
      <c r="H32" s="1537">
        <f>'VoT5'!H33</f>
        <v>100</v>
      </c>
      <c r="I32" s="1538">
        <f>'VoT5'!I33</f>
        <v>100</v>
      </c>
      <c r="J32" s="1537">
        <f>'VoT5'!J33</f>
        <v>100</v>
      </c>
      <c r="K32" s="1534">
        <f>'VoT6'!D33</f>
        <v>100</v>
      </c>
      <c r="L32" s="1534">
        <f>'VoT6'!E33</f>
        <v>100</v>
      </c>
      <c r="M32" s="1534">
        <f>'VoT6'!F33</f>
        <v>100</v>
      </c>
      <c r="N32" s="1536">
        <f>'VoT6'!G33</f>
        <v>100</v>
      </c>
      <c r="O32" s="1539">
        <f>'VoT6'!H33</f>
        <v>100</v>
      </c>
      <c r="P32" s="1536">
        <f>'VoT6'!I33</f>
        <v>100</v>
      </c>
      <c r="Q32" s="1539">
        <f>'VoT6'!J33</f>
        <v>100</v>
      </c>
    </row>
    <row r="33" spans="1:17" ht="13.5" customHeight="1" thickBot="1">
      <c r="A33" s="489" t="s">
        <v>1444</v>
      </c>
      <c r="B33" s="451" t="s">
        <v>1427</v>
      </c>
      <c r="C33" s="168"/>
      <c r="D33" s="1549">
        <f>'VoT5'!D34</f>
        <v>100</v>
      </c>
      <c r="E33" s="1549">
        <f>'VoT5'!E34</f>
        <v>100</v>
      </c>
      <c r="F33" s="1549">
        <f>'VoT5'!F34</f>
        <v>100</v>
      </c>
      <c r="G33" s="1550">
        <f>'VoT5'!G34</f>
        <v>100</v>
      </c>
      <c r="H33" s="1551">
        <f>'VoT5'!H34</f>
        <v>100</v>
      </c>
      <c r="I33" s="1552">
        <f>'VoT5'!I34</f>
        <v>100</v>
      </c>
      <c r="J33" s="1551">
        <f>'VoT5'!J34</f>
        <v>100</v>
      </c>
      <c r="K33" s="1534">
        <f>'VoT6'!D34</f>
        <v>100</v>
      </c>
      <c r="L33" s="1534">
        <f>'VoT6'!E34</f>
        <v>100</v>
      </c>
      <c r="M33" s="1534">
        <f>'VoT6'!F34</f>
        <v>100</v>
      </c>
      <c r="N33" s="1550">
        <f>'VoT6'!G34</f>
        <v>100</v>
      </c>
      <c r="O33" s="1553">
        <f>'VoT6'!H34</f>
        <v>100</v>
      </c>
      <c r="P33" s="1550">
        <f>'VoT6'!I34</f>
        <v>100</v>
      </c>
      <c r="Q33" s="1553">
        <f>'VoT6'!J34</f>
        <v>100</v>
      </c>
    </row>
    <row r="34" spans="1:17" ht="13.5" customHeight="1" thickTop="1" thickBot="1">
      <c r="A34" s="508"/>
      <c r="B34" s="509"/>
      <c r="C34" s="479"/>
      <c r="D34" s="1554" t="s">
        <v>566</v>
      </c>
      <c r="E34" s="1554"/>
      <c r="F34" s="1554"/>
      <c r="G34" s="1554"/>
      <c r="H34" s="1554"/>
      <c r="I34" s="1554"/>
      <c r="J34" s="1555"/>
      <c r="K34" s="1492" t="s">
        <v>560</v>
      </c>
      <c r="L34" s="1493"/>
      <c r="M34" s="1493"/>
      <c r="N34" s="1493"/>
      <c r="O34" s="1493"/>
      <c r="P34" s="1493"/>
      <c r="Q34" s="1494"/>
    </row>
    <row r="35" spans="1:17" ht="13.5" customHeight="1" thickTop="1">
      <c r="A35" s="489" t="s">
        <v>1439</v>
      </c>
      <c r="B35" s="451" t="s">
        <v>1427</v>
      </c>
      <c r="C35" s="147"/>
      <c r="D35" s="1530">
        <f>'VoT5'!D36</f>
        <v>13.707109449031424</v>
      </c>
      <c r="E35" s="1530">
        <f>'VoT5'!E36</f>
        <v>11.710206944296946</v>
      </c>
      <c r="F35" s="1530">
        <f>'VoT5'!F36</f>
        <v>9.4299458510915066</v>
      </c>
      <c r="G35" s="1531">
        <f>'VoT5'!G36</f>
        <v>10.398251832525704</v>
      </c>
      <c r="H35" s="1535">
        <f>'VoT5'!H36</f>
        <v>11.485345199364792</v>
      </c>
      <c r="I35" s="1531">
        <f>'VoT5'!I36</f>
        <v>2.2040849409950423</v>
      </c>
      <c r="J35" s="1535">
        <f>'VoT5'!J36</f>
        <v>8.6480052616501482</v>
      </c>
      <c r="K35" s="1534">
        <f>'VoT6'!D36</f>
        <v>5.3489439523393312</v>
      </c>
      <c r="L35" s="1534">
        <f>'VoT6'!E36</f>
        <v>5.096653185807388</v>
      </c>
      <c r="M35" s="1534">
        <f>'VoT6'!F36</f>
        <v>3.9052898141362329</v>
      </c>
      <c r="N35" s="1536">
        <f>'VoT6'!G36</f>
        <v>3.4216248543363461</v>
      </c>
      <c r="O35" s="1535">
        <f>'VoT6'!H36</f>
        <v>4.6540517356340283</v>
      </c>
      <c r="P35" s="1536">
        <f>'VoT6'!I36</f>
        <v>1.3414680228859601</v>
      </c>
      <c r="Q35" s="1535">
        <f>'VoT6'!J36</f>
        <v>3.7834758750926478</v>
      </c>
    </row>
    <row r="36" spans="1:17" ht="13.5" customHeight="1">
      <c r="A36" s="113"/>
      <c r="B36" s="451" t="s">
        <v>1440</v>
      </c>
      <c r="C36" s="147"/>
      <c r="D36" s="1534">
        <f>'VoT5'!D37</f>
        <v>36.073485614974651</v>
      </c>
      <c r="E36" s="1534">
        <f>'VoT5'!E37</f>
        <v>8.1261077675954354</v>
      </c>
      <c r="F36" s="1534">
        <f>'VoT5'!F37</f>
        <v>32.060324375697427</v>
      </c>
      <c r="G36" s="1536">
        <f>'VoT5'!G37</f>
        <v>30.113600843965006</v>
      </c>
      <c r="H36" s="1539">
        <f>'VoT5'!H37</f>
        <v>23.504141644346408</v>
      </c>
      <c r="I36" s="1536">
        <f>'VoT5'!I37</f>
        <v>4.4335642053449007</v>
      </c>
      <c r="J36" s="1539">
        <f>'VoT5'!J37</f>
        <v>17.674138095978513</v>
      </c>
      <c r="K36" s="1534">
        <f>'VoT6'!D37</f>
        <v>31.006276852149849</v>
      </c>
      <c r="L36" s="1534">
        <f>'VoT6'!E37</f>
        <v>8.4039563677917908</v>
      </c>
      <c r="M36" s="1534">
        <f>'VoT6'!F37</f>
        <v>25.792590539002507</v>
      </c>
      <c r="N36" s="1536">
        <f>'VoT6'!G37</f>
        <v>23.742440586135078</v>
      </c>
      <c r="O36" s="1539">
        <f>'VoT6'!H37</f>
        <v>19.747044079467098</v>
      </c>
      <c r="P36" s="1536">
        <f>'VoT6'!I37</f>
        <v>5.9648569465853427</v>
      </c>
      <c r="Q36" s="1539">
        <f>'VoT6'!J37</f>
        <v>16.124965223866759</v>
      </c>
    </row>
    <row r="37" spans="1:17" ht="13.5" customHeight="1">
      <c r="A37" s="490"/>
      <c r="B37" s="491" t="s">
        <v>1428</v>
      </c>
      <c r="C37" s="510"/>
      <c r="D37" s="1540">
        <f>'VoT5'!D38</f>
        <v>50.219404935993929</v>
      </c>
      <c r="E37" s="1540">
        <f>'VoT5'!E38</f>
        <v>80.163685288107629</v>
      </c>
      <c r="F37" s="1540">
        <f>'VoT5'!F38</f>
        <v>58.509729773211063</v>
      </c>
      <c r="G37" s="1541">
        <f>'VoT5'!G38</f>
        <v>59.488147323509295</v>
      </c>
      <c r="H37" s="1545">
        <f>'VoT5'!H38</f>
        <v>65.010513156288823</v>
      </c>
      <c r="I37" s="1541">
        <f>'VoT5'!I38</f>
        <v>93.362350853660061</v>
      </c>
      <c r="J37" s="1545">
        <f>'VoT5'!J38</f>
        <v>73.677856642371339</v>
      </c>
      <c r="K37" s="1540">
        <f>'VoT6'!D38</f>
        <v>63.644779195510814</v>
      </c>
      <c r="L37" s="1540">
        <f>'VoT6'!E38</f>
        <v>86.499390446400824</v>
      </c>
      <c r="M37" s="1540">
        <f>'VoT6'!F38</f>
        <v>70.302119646861257</v>
      </c>
      <c r="N37" s="1541">
        <f>'VoT6'!G38</f>
        <v>72.835934559528567</v>
      </c>
      <c r="O37" s="1545">
        <f>'VoT6'!H38</f>
        <v>75.598904184898871</v>
      </c>
      <c r="P37" s="1541">
        <f>'VoT6'!I38</f>
        <v>92.693675030528695</v>
      </c>
      <c r="Q37" s="1545">
        <f>'VoT6'!J38</f>
        <v>80.091558901040614</v>
      </c>
    </row>
    <row r="38" spans="1:17" ht="13.5" customHeight="1">
      <c r="A38" s="489" t="s">
        <v>1434</v>
      </c>
      <c r="B38" s="451" t="s">
        <v>1441</v>
      </c>
      <c r="C38" s="147"/>
      <c r="D38" s="1534">
        <f>'VoT5'!D39</f>
        <v>1.3835381428658444</v>
      </c>
      <c r="E38" s="1534">
        <f>'VoT5'!E39</f>
        <v>1.6564763011460604</v>
      </c>
      <c r="F38" s="1534">
        <f>'VoT5'!F39</f>
        <v>2.2880691135519755</v>
      </c>
      <c r="G38" s="1536">
        <f>'VoT5'!G39</f>
        <v>2.2765239177919931</v>
      </c>
      <c r="H38" s="1539">
        <f>'VoT5'!H39</f>
        <v>1.7657061929367741</v>
      </c>
      <c r="I38" s="1536">
        <f>'VoT5'!I39</f>
        <v>0.53791427908036671</v>
      </c>
      <c r="J38" s="1539">
        <f>'VoT5'!J39</f>
        <v>1.4625141523936813</v>
      </c>
      <c r="K38" s="1534">
        <f>'VoT6'!D39</f>
        <v>2.0620311603752706</v>
      </c>
      <c r="L38" s="1534">
        <f>'VoT6'!E39</f>
        <v>1.6971566002284895</v>
      </c>
      <c r="M38" s="1534">
        <f>'VoT6'!F39</f>
        <v>2.5522125273356004</v>
      </c>
      <c r="N38" s="1536">
        <f>'VoT6'!G39</f>
        <v>3.0542035378127141</v>
      </c>
      <c r="O38" s="1539">
        <f>'VoT6'!H39</f>
        <v>2.0425526970517467</v>
      </c>
      <c r="P38" s="1536">
        <f>'VoT6'!I39</f>
        <v>1.0351145668376249</v>
      </c>
      <c r="Q38" s="1539">
        <f>'VoT6'!J39</f>
        <v>1.8634978515394973</v>
      </c>
    </row>
    <row r="39" spans="1:17" ht="13.5" customHeight="1">
      <c r="A39" s="113"/>
      <c r="B39" s="451" t="s">
        <v>1440</v>
      </c>
      <c r="C39" s="147"/>
      <c r="D39" s="1534">
        <f>'VoT5'!D40</f>
        <v>18.435993097170936</v>
      </c>
      <c r="E39" s="1534">
        <f>'VoT5'!E40</f>
        <v>6.4612289194085237</v>
      </c>
      <c r="F39" s="1534">
        <f>'VoT5'!F40</f>
        <v>25.92796645541091</v>
      </c>
      <c r="G39" s="1536">
        <f>'VoT5'!G40</f>
        <v>35.442886105889464</v>
      </c>
      <c r="H39" s="1539">
        <f>'VoT5'!H40</f>
        <v>16.000106181879431</v>
      </c>
      <c r="I39" s="1536">
        <f>'VoT5'!I40</f>
        <v>6.0614576256284254</v>
      </c>
      <c r="J39" s="1539">
        <f>'VoT5'!J40</f>
        <v>13.545374398079296</v>
      </c>
      <c r="K39" s="1534">
        <f>'VoT6'!D40</f>
        <v>25.623264775499742</v>
      </c>
      <c r="L39" s="1534">
        <f>'VoT6'!E40</f>
        <v>7.1975731902045395</v>
      </c>
      <c r="M39" s="1534">
        <f>'VoT6'!F40</f>
        <v>33.495222288334006</v>
      </c>
      <c r="N39" s="1536">
        <f>'VoT6'!G40</f>
        <v>46.344935501346981</v>
      </c>
      <c r="O39" s="1539">
        <f>'VoT6'!H40</f>
        <v>19.606410626116272</v>
      </c>
      <c r="P39" s="1536">
        <f>'VoT6'!I40</f>
        <v>10.564070540514182</v>
      </c>
      <c r="Q39" s="1539">
        <f>'VoT6'!J40</f>
        <v>17.999289793045776</v>
      </c>
    </row>
    <row r="40" spans="1:17" ht="13.5" customHeight="1">
      <c r="A40" s="490"/>
      <c r="B40" s="491" t="s">
        <v>1419</v>
      </c>
      <c r="C40" s="510"/>
      <c r="D40" s="1540">
        <f>'VoT5'!D41</f>
        <v>80.180468759963233</v>
      </c>
      <c r="E40" s="1540">
        <f>'VoT5'!E41</f>
        <v>91.882294779445417</v>
      </c>
      <c r="F40" s="1540">
        <f>'VoT5'!F41</f>
        <v>71.783964431037106</v>
      </c>
      <c r="G40" s="1541">
        <f>'VoT5'!G41</f>
        <v>62.280589976318538</v>
      </c>
      <c r="H40" s="1545">
        <f>'VoT5'!H41</f>
        <v>82.234187625183793</v>
      </c>
      <c r="I40" s="1541">
        <f>'VoT5'!I41</f>
        <v>93.400628095291225</v>
      </c>
      <c r="J40" s="1545">
        <f>'VoT5'!J41</f>
        <v>84.992111449527002</v>
      </c>
      <c r="K40" s="1540">
        <f>'VoT6'!D41</f>
        <v>72.314704064124996</v>
      </c>
      <c r="L40" s="1540">
        <f>'VoT6'!E41</f>
        <v>91.105270209566996</v>
      </c>
      <c r="M40" s="1540">
        <f>'VoT6'!F41</f>
        <v>63.952565184330403</v>
      </c>
      <c r="N40" s="1541">
        <f>'VoT6'!G41</f>
        <v>50.600860960840315</v>
      </c>
      <c r="O40" s="1545">
        <f>'VoT6'!H41</f>
        <v>78.351036676831981</v>
      </c>
      <c r="P40" s="1541">
        <f>'VoT6'!I41</f>
        <v>88.400814892648171</v>
      </c>
      <c r="Q40" s="1545">
        <f>'VoT6'!J41</f>
        <v>80.137212355414718</v>
      </c>
    </row>
    <row r="41" spans="1:17" ht="13.5" customHeight="1">
      <c r="A41" s="489" t="s">
        <v>1445</v>
      </c>
      <c r="B41" s="451" t="s">
        <v>1441</v>
      </c>
      <c r="C41" s="147"/>
      <c r="D41" s="1534">
        <f>'VoT5'!D42</f>
        <v>17.095763351895148</v>
      </c>
      <c r="E41" s="1534">
        <f>'VoT5'!E42</f>
        <v>15.761291414217771</v>
      </c>
      <c r="F41" s="1534">
        <f>'VoT5'!F42</f>
        <v>15.721088702465865</v>
      </c>
      <c r="G41" s="1536">
        <f>'VoT5'!G42</f>
        <v>17.717640128986556</v>
      </c>
      <c r="H41" s="1539">
        <f>'VoT5'!H42</f>
        <v>16.44148885167294</v>
      </c>
      <c r="I41" s="1536">
        <f>'VoT5'!I42</f>
        <v>1.8492375471835516</v>
      </c>
      <c r="J41" s="1539">
        <f>'VoT5'!J42</f>
        <v>12.179493858306254</v>
      </c>
      <c r="K41" s="1534">
        <f>'VoT6'!D42</f>
        <v>9.0268728217372605</v>
      </c>
      <c r="L41" s="1534">
        <f>'VoT6'!E42</f>
        <v>11.135963461038441</v>
      </c>
      <c r="M41" s="1534">
        <f>'VoT6'!F42</f>
        <v>7.7729247010364686</v>
      </c>
      <c r="N41" s="1536">
        <f>'VoT6'!G42</f>
        <v>8.1026517319291074</v>
      </c>
      <c r="O41" s="1539">
        <f>'VoT6'!H42</f>
        <v>8.9517958945516174</v>
      </c>
      <c r="P41" s="1536">
        <f>'VoT6'!I42</f>
        <v>2.2603582152230248</v>
      </c>
      <c r="Q41" s="1539">
        <f>'VoT6'!J42</f>
        <v>7.8384787304505457</v>
      </c>
    </row>
    <row r="42" spans="1:17" ht="13.5" customHeight="1">
      <c r="A42" s="113"/>
      <c r="B42" s="451" t="s">
        <v>1418</v>
      </c>
      <c r="C42" s="147"/>
      <c r="D42" s="1534">
        <f>'VoT5'!D43</f>
        <v>31.240592139668948</v>
      </c>
      <c r="E42" s="1534">
        <f>'VoT5'!E43</f>
        <v>5.4870791527197555</v>
      </c>
      <c r="F42" s="1534">
        <f>'VoT5'!F43</f>
        <v>38.148455568347032</v>
      </c>
      <c r="G42" s="1536">
        <f>'VoT5'!G43</f>
        <v>38.550056446297575</v>
      </c>
      <c r="H42" s="1539">
        <f>'VoT5'!H43</f>
        <v>27.236732211776136</v>
      </c>
      <c r="I42" s="1536">
        <f>'VoT5'!I43</f>
        <v>2.7903948162008922</v>
      </c>
      <c r="J42" s="1539">
        <f>'VoT5'!J43</f>
        <v>20.096601909304603</v>
      </c>
      <c r="K42" s="1534">
        <f>'VoT6'!D43</f>
        <v>60.518630692255329</v>
      </c>
      <c r="L42" s="1534">
        <f>'VoT6'!E43</f>
        <v>13.697403581896934</v>
      </c>
      <c r="M42" s="1534">
        <f>'VoT6'!F43</f>
        <v>60.74338277824728</v>
      </c>
      <c r="N42" s="1536">
        <f>'VoT6'!G43</f>
        <v>59.55748319014279</v>
      </c>
      <c r="O42" s="1539">
        <f>'VoT6'!H43</f>
        <v>49.968167233959306</v>
      </c>
      <c r="P42" s="1536">
        <f>'VoT6'!I43</f>
        <v>10.686962187466062</v>
      </c>
      <c r="Q42" s="1539">
        <f>'VoT6'!J43</f>
        <v>43.432585210990496</v>
      </c>
    </row>
    <row r="43" spans="1:17" ht="13.5" customHeight="1">
      <c r="A43" s="490"/>
      <c r="B43" s="491" t="s">
        <v>1419</v>
      </c>
      <c r="C43" s="510"/>
      <c r="D43" s="1540">
        <f>'VoT5'!D44</f>
        <v>51.663644508435894</v>
      </c>
      <c r="E43" s="1540">
        <f>'VoT5'!E44</f>
        <v>78.751629433062462</v>
      </c>
      <c r="F43" s="1540">
        <f>'VoT5'!F44</f>
        <v>46.130455729187105</v>
      </c>
      <c r="G43" s="1541">
        <f>'VoT5'!G44</f>
        <v>43.732303424715866</v>
      </c>
      <c r="H43" s="1545">
        <f>'VoT5'!H44</f>
        <v>56.321778936550935</v>
      </c>
      <c r="I43" s="1541">
        <f>'VoT5'!I44</f>
        <v>95.36036763661555</v>
      </c>
      <c r="J43" s="1545">
        <f>'VoT5'!J44</f>
        <v>67.723904232389145</v>
      </c>
      <c r="K43" s="1540">
        <f>'VoT6'!D44</f>
        <v>30.454496486007411</v>
      </c>
      <c r="L43" s="1540">
        <f>'VoT6'!E44</f>
        <v>75.166632957064621</v>
      </c>
      <c r="M43" s="1540">
        <f>'VoT6'!F44</f>
        <v>31.483692520716247</v>
      </c>
      <c r="N43" s="1541">
        <f>'VoT6'!G44</f>
        <v>32.339865077928096</v>
      </c>
      <c r="O43" s="1545">
        <f>'VoT6'!H44</f>
        <v>41.080036871489071</v>
      </c>
      <c r="P43" s="1541">
        <f>'VoT6'!I44</f>
        <v>87.052679597310913</v>
      </c>
      <c r="Q43" s="1545">
        <f>'VoT6'!J44</f>
        <v>48.728936058558951</v>
      </c>
    </row>
    <row r="44" spans="1:17" ht="13.5" customHeight="1">
      <c r="A44" s="489" t="s">
        <v>1446</v>
      </c>
      <c r="B44" s="451" t="s">
        <v>1441</v>
      </c>
      <c r="C44" s="147"/>
      <c r="D44" s="1546">
        <f>'VoT5'!D45</f>
        <v>4.5008390781006646</v>
      </c>
      <c r="E44" s="1546">
        <f>'VoT5'!E45</f>
        <v>3.2169908590276095</v>
      </c>
      <c r="F44" s="1546">
        <f>'VoT5'!F45</f>
        <v>5.2139820322458004</v>
      </c>
      <c r="G44" s="1547">
        <f>'VoT5'!G45</f>
        <v>2.4938726123871469</v>
      </c>
      <c r="H44" s="1548">
        <f>'VoT5'!H45</f>
        <v>3.9317225935534537</v>
      </c>
      <c r="I44" s="1547">
        <f>'VoT5'!I45</f>
        <v>0.70816836393730676</v>
      </c>
      <c r="J44" s="1548">
        <f>'VoT5'!J45</f>
        <v>3.0634255554530738</v>
      </c>
      <c r="K44" s="1546">
        <f>'VoT6'!D45</f>
        <v>3.7863186661884214</v>
      </c>
      <c r="L44" s="1546">
        <f>'VoT6'!E45</f>
        <v>3.5032089256733219</v>
      </c>
      <c r="M44" s="1546">
        <f>'VoT6'!F45</f>
        <v>4.4548951366615386</v>
      </c>
      <c r="N44" s="1547">
        <f>'VoT6'!G45</f>
        <v>0.59299205326845184</v>
      </c>
      <c r="O44" s="1548">
        <f>'VoT6'!H45</f>
        <v>3.4648699159114247</v>
      </c>
      <c r="P44" s="1547">
        <f>'VoT6'!I45</f>
        <v>0.98220081224650002</v>
      </c>
      <c r="Q44" s="1548">
        <f>'VoT6'!J45</f>
        <v>2.9611340750221973</v>
      </c>
    </row>
    <row r="45" spans="1:17" ht="13.5" customHeight="1">
      <c r="A45" s="113"/>
      <c r="B45" s="451" t="s">
        <v>1418</v>
      </c>
      <c r="C45" s="147"/>
      <c r="D45" s="1546">
        <f>'VoT5'!D46</f>
        <v>50.081493196827211</v>
      </c>
      <c r="E45" s="1546">
        <f>'VoT5'!E46</f>
        <v>10.74492752850948</v>
      </c>
      <c r="F45" s="1546">
        <f>'VoT5'!F46</f>
        <v>45.856382354256567</v>
      </c>
      <c r="G45" s="1547">
        <f>'VoT5'!G46</f>
        <v>54.706195642057139</v>
      </c>
      <c r="H45" s="1548">
        <f>'VoT5'!H46</f>
        <v>34.473255631310224</v>
      </c>
      <c r="I45" s="1547">
        <f>'VoT5'!I46</f>
        <v>7.5870535223892785</v>
      </c>
      <c r="J45" s="1548">
        <f>'VoT5'!J46</f>
        <v>27.209783429130745</v>
      </c>
      <c r="K45" s="1546">
        <f>'VoT6'!D46</f>
        <v>55.027631543558641</v>
      </c>
      <c r="L45" s="1546">
        <f>'VoT6'!E46</f>
        <v>15.010141939553231</v>
      </c>
      <c r="M45" s="1546">
        <f>'VoT6'!F46</f>
        <v>50.164851544861698</v>
      </c>
      <c r="N45" s="1547">
        <f>'VoT6'!G46</f>
        <v>60.077717233172343</v>
      </c>
      <c r="O45" s="1548">
        <f>'VoT6'!H46</f>
        <v>40.548040409691566</v>
      </c>
      <c r="P45" s="1547">
        <f>'VoT6'!I46</f>
        <v>12.769996064470817</v>
      </c>
      <c r="Q45" s="1548">
        <f>'VoT6'!J46</f>
        <v>34.911849704356776</v>
      </c>
    </row>
    <row r="46" spans="1:17" ht="13.5" customHeight="1">
      <c r="A46" s="113"/>
      <c r="B46" s="463" t="s">
        <v>1419</v>
      </c>
      <c r="C46" s="147"/>
      <c r="D46" s="1546">
        <f>'VoT5'!D47</f>
        <v>45.417667725072128</v>
      </c>
      <c r="E46" s="1546">
        <f>'VoT5'!E47</f>
        <v>86.038081612462918</v>
      </c>
      <c r="F46" s="1546">
        <f>'VoT5'!F47</f>
        <v>48.929635613497602</v>
      </c>
      <c r="G46" s="1547">
        <f>'VoT5'!G47</f>
        <v>42.799931745555703</v>
      </c>
      <c r="H46" s="1548">
        <f>'VoT5'!H47</f>
        <v>61.595021775136296</v>
      </c>
      <c r="I46" s="1547">
        <f>'VoT5'!I47</f>
        <v>91.704778113673413</v>
      </c>
      <c r="J46" s="1548">
        <f>'VoT5'!J47</f>
        <v>69.726791015416183</v>
      </c>
      <c r="K46" s="1546">
        <f>'VoT6'!D47</f>
        <v>41.186049790252952</v>
      </c>
      <c r="L46" s="1546">
        <f>'VoT6'!E47</f>
        <v>81.486649134773444</v>
      </c>
      <c r="M46" s="1546">
        <f>'VoT6'!F47</f>
        <v>45.380253318476761</v>
      </c>
      <c r="N46" s="1547">
        <f>'VoT6'!G47</f>
        <v>39.329290713559203</v>
      </c>
      <c r="O46" s="1548">
        <f>'VoT6'!H47</f>
        <v>55.987089674397019</v>
      </c>
      <c r="P46" s="1547">
        <f>'VoT6'!I47</f>
        <v>86.247803123282665</v>
      </c>
      <c r="Q46" s="1548">
        <f>'VoT6'!J47</f>
        <v>62.12701622062103</v>
      </c>
    </row>
    <row r="47" spans="1:17" ht="13.5" customHeight="1" thickBot="1">
      <c r="A47" s="381"/>
      <c r="B47" s="495"/>
      <c r="C47" s="168"/>
      <c r="D47" s="9"/>
      <c r="E47" s="9"/>
      <c r="F47" s="9"/>
      <c r="G47" s="9"/>
      <c r="H47" s="493"/>
      <c r="I47" s="494"/>
      <c r="J47" s="10"/>
      <c r="K47" s="8"/>
      <c r="L47" s="9"/>
      <c r="M47" s="9"/>
      <c r="N47" s="494"/>
      <c r="O47" s="493"/>
      <c r="P47" s="494"/>
      <c r="Q47" s="10"/>
    </row>
    <row r="48" spans="1:17" ht="13.5" customHeight="1" thickTop="1"/>
    <row r="49" spans="1:4" ht="13.5" customHeight="1">
      <c r="B49" s="28"/>
    </row>
    <row r="50" spans="1:4" ht="13.5" customHeight="1">
      <c r="A50" s="1217"/>
      <c r="B50" s="1218"/>
      <c r="C50" s="1219"/>
      <c r="D50" s="1219"/>
    </row>
  </sheetData>
  <sheetProtection sheet="1" objects="1" scenarios="1"/>
  <mergeCells count="9">
    <mergeCell ref="A18:B18"/>
    <mergeCell ref="A19:B19"/>
    <mergeCell ref="A20:B20"/>
    <mergeCell ref="A11:B11"/>
    <mergeCell ref="E6:S6"/>
    <mergeCell ref="A7:B7"/>
    <mergeCell ref="A8:B8"/>
    <mergeCell ref="A10:B10"/>
    <mergeCell ref="A12:B12"/>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9" scale="54" fitToHeight="0" orientation="landscape" r:id="rId3"/>
  <headerFooter alignWithMargins="0"/>
  <drawing r:id="rId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indexed="10"/>
  </sheetPr>
  <dimension ref="A1:S49"/>
  <sheetViews>
    <sheetView showGridLines="0"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row r="3" spans="1:19" s="319" customFormat="1" ht="20.100000000000001" customHeight="1">
      <c r="A3" s="894" t="s">
        <v>2217</v>
      </c>
    </row>
    <row r="4" spans="1:19" s="322" customFormat="1" ht="20.100000000000001" customHeight="1" thickBot="1">
      <c r="A4" s="967" t="s">
        <v>1140</v>
      </c>
      <c r="B4" s="320"/>
      <c r="C4" s="320"/>
      <c r="D4" s="320"/>
      <c r="E4" s="320"/>
      <c r="F4" s="320"/>
      <c r="G4" s="320"/>
      <c r="H4" s="320"/>
      <c r="I4" s="320"/>
      <c r="J4" s="320"/>
      <c r="K4" s="320"/>
      <c r="L4" s="320"/>
      <c r="M4" s="320"/>
      <c r="N4" s="320"/>
      <c r="O4" s="320"/>
      <c r="P4" s="320"/>
      <c r="Q4" s="320"/>
      <c r="R4" s="320"/>
      <c r="S4" s="320"/>
    </row>
    <row r="5" spans="1:19" ht="9.9" customHeight="1" thickTop="1" thickBot="1">
      <c r="A5" s="511"/>
      <c r="B5" s="321"/>
    </row>
    <row r="6" spans="1:19" s="38" customFormat="1" ht="13.5" customHeight="1" thickTop="1">
      <c r="A6" s="169" t="s">
        <v>10</v>
      </c>
      <c r="B6" s="169"/>
      <c r="E6" s="174" t="s">
        <v>255</v>
      </c>
      <c r="F6" s="328"/>
      <c r="G6" s="328"/>
      <c r="H6" s="328"/>
      <c r="I6" s="328"/>
      <c r="J6" s="328"/>
      <c r="K6" s="328"/>
      <c r="L6" s="328"/>
      <c r="M6" s="328"/>
      <c r="N6" s="328"/>
      <c r="O6" s="328"/>
      <c r="P6" s="328"/>
      <c r="Q6" s="328"/>
      <c r="R6" s="328"/>
      <c r="S6" s="225"/>
    </row>
    <row r="7" spans="1:19" s="38" customFormat="1" ht="13.5" customHeight="1">
      <c r="A7" s="3644" t="str">
        <f>Audit!A12</f>
        <v>May 2019 v1.12</v>
      </c>
      <c r="B7" s="3651"/>
      <c r="E7" s="3117" t="s">
        <v>1851</v>
      </c>
      <c r="F7" s="335" t="s">
        <v>1919</v>
      </c>
      <c r="G7" s="26"/>
      <c r="H7" s="26"/>
      <c r="I7" s="26"/>
      <c r="J7" s="26"/>
      <c r="K7" s="26"/>
      <c r="L7" s="26"/>
      <c r="M7" s="26"/>
      <c r="N7" s="26"/>
      <c r="O7" s="26"/>
      <c r="P7" s="26"/>
      <c r="Q7" s="26"/>
      <c r="R7" s="26"/>
      <c r="S7" s="147"/>
    </row>
    <row r="8" spans="1:19" s="38" customFormat="1" ht="13.5" customHeight="1">
      <c r="A8" s="3646">
        <f>Audit!C12</f>
        <v>43586</v>
      </c>
      <c r="B8" s="3651"/>
      <c r="C8" s="321"/>
      <c r="E8" s="3117" t="s">
        <v>1853</v>
      </c>
      <c r="F8" s="26" t="s">
        <v>915</v>
      </c>
      <c r="G8" s="26"/>
      <c r="H8" s="26"/>
      <c r="I8" s="26"/>
      <c r="J8" s="26"/>
      <c r="K8" s="26"/>
      <c r="L8" s="26"/>
      <c r="M8" s="26"/>
      <c r="N8" s="26"/>
      <c r="O8" s="26"/>
      <c r="P8" s="26"/>
      <c r="Q8" s="26"/>
      <c r="R8" s="26"/>
      <c r="S8" s="147"/>
    </row>
    <row r="9" spans="1:19" s="38" customFormat="1" ht="13.5" customHeight="1" thickBot="1">
      <c r="A9" s="172" t="s">
        <v>14</v>
      </c>
      <c r="B9" s="173"/>
      <c r="E9" s="113"/>
      <c r="F9" s="26"/>
      <c r="G9" s="26"/>
      <c r="H9" s="26"/>
      <c r="I9" s="26"/>
      <c r="J9" s="26"/>
      <c r="K9" s="26"/>
      <c r="L9" s="26"/>
      <c r="M9" s="26"/>
      <c r="N9" s="26"/>
      <c r="O9" s="26"/>
      <c r="P9" s="26"/>
      <c r="Q9" s="26"/>
      <c r="R9" s="26"/>
      <c r="S9" s="147"/>
    </row>
    <row r="10" spans="1:19" s="38" customFormat="1" ht="13.5" customHeight="1" thickBot="1">
      <c r="A10" s="3611" t="s">
        <v>1306</v>
      </c>
      <c r="B10" s="3612"/>
      <c r="E10" s="113"/>
      <c r="F10" s="26"/>
      <c r="G10" s="26"/>
      <c r="H10" s="26"/>
      <c r="I10" s="26"/>
      <c r="J10" s="26"/>
      <c r="K10" s="26"/>
      <c r="L10" s="26"/>
      <c r="M10" s="26"/>
      <c r="N10" s="26"/>
      <c r="O10" s="26"/>
      <c r="P10" s="26"/>
      <c r="Q10" s="26"/>
      <c r="R10" s="26"/>
      <c r="S10" s="147"/>
    </row>
    <row r="11" spans="1:19" s="38" customFormat="1" ht="13.5" customHeight="1" thickBot="1">
      <c r="A11" s="3611" t="s">
        <v>2216</v>
      </c>
      <c r="B11" s="3639"/>
      <c r="E11" s="113"/>
      <c r="F11" s="53"/>
      <c r="G11" s="53"/>
      <c r="H11" s="53"/>
      <c r="I11" s="53"/>
      <c r="J11" s="53"/>
      <c r="K11" s="53"/>
      <c r="L11" s="53"/>
      <c r="M11" s="53"/>
      <c r="N11" s="53"/>
      <c r="O11" s="53"/>
      <c r="P11" s="53"/>
      <c r="Q11" s="53"/>
      <c r="R11" s="53"/>
      <c r="S11" s="379"/>
    </row>
    <row r="12" spans="1:19" s="38" customFormat="1" ht="13.5" customHeight="1" thickBot="1">
      <c r="A12" s="3611" t="s">
        <v>2217</v>
      </c>
      <c r="B12" s="3639"/>
      <c r="E12" s="113"/>
      <c r="F12" s="26"/>
      <c r="G12" s="26"/>
      <c r="H12" s="26"/>
      <c r="I12" s="26"/>
      <c r="J12" s="26"/>
      <c r="K12" s="26"/>
      <c r="L12" s="26"/>
      <c r="M12" s="26"/>
      <c r="N12" s="26"/>
      <c r="O12" s="26"/>
      <c r="P12" s="26"/>
      <c r="Q12" s="26"/>
      <c r="R12" s="26"/>
      <c r="S12" s="147"/>
    </row>
    <row r="13" spans="1:19" s="38" customFormat="1" ht="13.5" customHeight="1">
      <c r="A13" s="172" t="s">
        <v>252</v>
      </c>
      <c r="B13" s="194"/>
      <c r="C13" s="321"/>
      <c r="E13" s="114"/>
      <c r="F13" s="26"/>
      <c r="G13" s="26"/>
      <c r="H13" s="26"/>
      <c r="I13" s="26"/>
      <c r="J13" s="26"/>
      <c r="K13" s="26"/>
      <c r="L13" s="26"/>
      <c r="M13" s="26"/>
      <c r="N13" s="26"/>
      <c r="O13" s="26"/>
      <c r="P13" s="26"/>
      <c r="Q13" s="26"/>
      <c r="R13" s="26"/>
      <c r="S13" s="147"/>
    </row>
    <row r="14" spans="1:19" s="38" customFormat="1" ht="13.5" customHeight="1">
      <c r="A14" s="26"/>
      <c r="B14" s="316"/>
      <c r="C14" s="321"/>
      <c r="E14" s="113"/>
      <c r="F14" s="26"/>
      <c r="G14" s="26"/>
      <c r="H14" s="26"/>
      <c r="I14" s="26"/>
      <c r="J14" s="26"/>
      <c r="K14" s="26"/>
      <c r="L14" s="26"/>
      <c r="M14" s="26"/>
      <c r="N14" s="26"/>
      <c r="O14" s="26"/>
      <c r="P14" s="26"/>
      <c r="Q14" s="26"/>
      <c r="R14" s="26"/>
      <c r="S14" s="147"/>
    </row>
    <row r="15" spans="1:19" s="38" customFormat="1" ht="13.5" customHeight="1">
      <c r="A15" s="56"/>
      <c r="B15" s="32"/>
      <c r="C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E17" s="207"/>
      <c r="F17" s="26"/>
      <c r="G17" s="26"/>
      <c r="H17" s="26"/>
      <c r="I17" s="26"/>
      <c r="J17" s="26"/>
      <c r="K17" s="26"/>
      <c r="L17" s="26"/>
      <c r="M17" s="26"/>
      <c r="N17" s="26"/>
      <c r="O17" s="26"/>
      <c r="P17" s="26"/>
      <c r="Q17" s="26"/>
      <c r="R17" s="26"/>
      <c r="S17" s="147"/>
    </row>
    <row r="18" spans="1:19" s="38" customFormat="1" ht="13.5" customHeight="1">
      <c r="A18" s="3704"/>
      <c r="B18" s="3704"/>
      <c r="C18" s="321"/>
      <c r="E18" s="113"/>
      <c r="F18" s="26"/>
      <c r="G18" s="26"/>
      <c r="H18" s="26"/>
      <c r="I18" s="26"/>
      <c r="J18" s="26"/>
      <c r="K18" s="26"/>
      <c r="L18" s="26"/>
      <c r="M18" s="26"/>
      <c r="N18" s="26"/>
      <c r="O18" s="26"/>
      <c r="P18" s="26"/>
      <c r="Q18" s="26"/>
      <c r="R18" s="26"/>
      <c r="S18" s="147"/>
    </row>
    <row r="19" spans="1:19" s="38" customFormat="1" ht="13.5" customHeight="1">
      <c r="A19" s="3615"/>
      <c r="B19" s="3615"/>
      <c r="C19" s="321"/>
      <c r="E19" s="623" t="s">
        <v>325</v>
      </c>
      <c r="F19" s="26"/>
      <c r="G19" s="26"/>
      <c r="H19" s="26"/>
      <c r="I19" s="26"/>
      <c r="J19" s="26"/>
      <c r="K19" s="26"/>
      <c r="L19" s="26"/>
      <c r="M19" s="26"/>
      <c r="N19" s="26"/>
      <c r="O19" s="26"/>
      <c r="P19" s="26"/>
      <c r="Q19" s="26"/>
      <c r="R19" s="26"/>
      <c r="S19" s="147"/>
    </row>
    <row r="20" spans="1:19" s="38" customFormat="1" ht="13.5" customHeight="1" thickBot="1">
      <c r="A20" s="3615"/>
      <c r="B20" s="3615"/>
      <c r="C20" s="321"/>
      <c r="E20" s="381" t="s">
        <v>2238</v>
      </c>
      <c r="F20" s="163"/>
      <c r="G20" s="163"/>
      <c r="H20" s="163"/>
      <c r="I20" s="163"/>
      <c r="J20" s="163"/>
      <c r="K20" s="163"/>
      <c r="L20" s="163"/>
      <c r="M20" s="163"/>
      <c r="N20" s="163"/>
      <c r="O20" s="163"/>
      <c r="P20" s="163"/>
      <c r="Q20" s="163"/>
      <c r="R20" s="163"/>
      <c r="S20" s="382"/>
    </row>
    <row r="21" spans="1:19" ht="13.5" customHeight="1" thickTop="1"/>
    <row r="22" spans="1:19" ht="13.5" customHeight="1" thickBot="1">
      <c r="C22" s="376"/>
    </row>
    <row r="23" spans="1:19" ht="13.5" customHeight="1" thickTop="1" thickBot="1">
      <c r="A23" s="122" t="s">
        <v>508</v>
      </c>
      <c r="B23" s="992"/>
      <c r="C23" s="968"/>
      <c r="D23" s="384"/>
      <c r="E23" s="384"/>
      <c r="F23" s="384"/>
      <c r="G23" s="384"/>
      <c r="H23" s="384"/>
      <c r="I23" s="384"/>
      <c r="J23" s="406"/>
    </row>
    <row r="24" spans="1:19" ht="13.5" customHeight="1" thickTop="1" thickBot="1">
      <c r="A24" s="1528" t="s">
        <v>555</v>
      </c>
      <c r="B24" s="998"/>
      <c r="C24" s="385"/>
      <c r="D24" s="232" t="s">
        <v>1420</v>
      </c>
      <c r="E24" s="416"/>
      <c r="F24" s="416"/>
      <c r="G24" s="416"/>
      <c r="H24" s="417"/>
      <c r="I24" s="418"/>
      <c r="J24" s="419"/>
    </row>
    <row r="25" spans="1:19" ht="13.5" customHeight="1" thickTop="1">
      <c r="A25" s="1525" t="s">
        <v>1238</v>
      </c>
      <c r="B25" s="983"/>
      <c r="C25" s="955"/>
      <c r="D25" s="390" t="s">
        <v>262</v>
      </c>
      <c r="E25" s="388" t="s">
        <v>264</v>
      </c>
      <c r="F25" s="388" t="s">
        <v>266</v>
      </c>
      <c r="G25" s="389" t="s">
        <v>268</v>
      </c>
      <c r="H25" s="388" t="s">
        <v>270</v>
      </c>
      <c r="I25" s="420" t="s">
        <v>1421</v>
      </c>
      <c r="J25" s="421" t="s">
        <v>1423</v>
      </c>
    </row>
    <row r="26" spans="1:19" ht="13.5" customHeight="1" thickBot="1">
      <c r="A26" s="809" t="s">
        <v>629</v>
      </c>
      <c r="B26" s="999" t="s">
        <v>554</v>
      </c>
      <c r="C26" s="955"/>
      <c r="D26" s="391" t="s">
        <v>263</v>
      </c>
      <c r="E26" s="391" t="s">
        <v>265</v>
      </c>
      <c r="F26" s="391" t="s">
        <v>267</v>
      </c>
      <c r="G26" s="391" t="s">
        <v>269</v>
      </c>
      <c r="H26" s="392" t="s">
        <v>1422</v>
      </c>
      <c r="I26" s="1386" t="s">
        <v>1422</v>
      </c>
      <c r="J26" s="421" t="s">
        <v>1422</v>
      </c>
    </row>
    <row r="27" spans="1:19" ht="13.5" customHeight="1" thickTop="1" thickBot="1">
      <c r="A27" s="1529"/>
      <c r="B27" s="1000"/>
      <c r="C27" s="955"/>
      <c r="D27" s="232" t="s">
        <v>509</v>
      </c>
      <c r="E27" s="39"/>
      <c r="F27" s="39"/>
      <c r="G27" s="39"/>
      <c r="H27" s="39"/>
      <c r="I27" s="39"/>
      <c r="J27" s="40"/>
    </row>
    <row r="28" spans="1:19" ht="13.5" customHeight="1" thickTop="1">
      <c r="A28" s="813" t="s">
        <v>1439</v>
      </c>
      <c r="B28" s="973" t="s">
        <v>1427</v>
      </c>
      <c r="C28" s="965"/>
      <c r="D28" s="1495">
        <v>16.459385289942354</v>
      </c>
      <c r="E28" s="1496">
        <v>16.469988489431714</v>
      </c>
      <c r="F28" s="1496">
        <v>11.806951255862748</v>
      </c>
      <c r="G28" s="1496">
        <v>12.87839002123401</v>
      </c>
      <c r="H28" s="1495">
        <v>14.849800189287379</v>
      </c>
      <c r="I28" s="1497">
        <v>3.4734156577865827</v>
      </c>
      <c r="J28" s="1498">
        <v>12.059245195845831</v>
      </c>
    </row>
    <row r="29" spans="1:19" ht="13.5" customHeight="1">
      <c r="A29" s="358"/>
      <c r="B29" s="993" t="s">
        <v>1440</v>
      </c>
      <c r="C29" s="322"/>
      <c r="D29" s="1495">
        <v>44.0642044603279</v>
      </c>
      <c r="E29" s="1496">
        <v>11.805618519478546</v>
      </c>
      <c r="F29" s="1496">
        <v>41.265765973847898</v>
      </c>
      <c r="G29" s="1496">
        <v>38.544312764290439</v>
      </c>
      <c r="H29" s="1495">
        <v>31.208976947723109</v>
      </c>
      <c r="I29" s="1497">
        <v>7.8885077503504997</v>
      </c>
      <c r="J29" s="1498">
        <v>25.488591248387817</v>
      </c>
    </row>
    <row r="30" spans="1:19" ht="13.5" customHeight="1">
      <c r="A30" s="997"/>
      <c r="B30" s="994" t="s">
        <v>1428</v>
      </c>
      <c r="C30" s="334"/>
      <c r="D30" s="1499">
        <v>39.476410249729753</v>
      </c>
      <c r="E30" s="1500">
        <v>71.724392991089715</v>
      </c>
      <c r="F30" s="1500">
        <v>46.927282770289352</v>
      </c>
      <c r="G30" s="1500">
        <v>48.577297214475557</v>
      </c>
      <c r="H30" s="1499">
        <v>53.941222862989513</v>
      </c>
      <c r="I30" s="1501">
        <v>88.638076591862927</v>
      </c>
      <c r="J30" s="1502">
        <v>62.452163555766383</v>
      </c>
    </row>
    <row r="31" spans="1:19" ht="13.5" customHeight="1">
      <c r="A31" s="743" t="s">
        <v>1431</v>
      </c>
      <c r="B31" s="993" t="s">
        <v>1304</v>
      </c>
      <c r="C31" s="322"/>
      <c r="D31" s="1495">
        <v>88</v>
      </c>
      <c r="E31" s="1496">
        <v>88</v>
      </c>
      <c r="F31" s="1496">
        <v>88</v>
      </c>
      <c r="G31" s="1496">
        <v>88</v>
      </c>
      <c r="H31" s="1495">
        <v>88</v>
      </c>
      <c r="I31" s="1497">
        <v>88</v>
      </c>
      <c r="J31" s="1498">
        <v>88</v>
      </c>
    </row>
    <row r="32" spans="1:19" ht="13.5" customHeight="1">
      <c r="A32" s="997"/>
      <c r="B32" s="994" t="s">
        <v>510</v>
      </c>
      <c r="C32" s="334"/>
      <c r="D32" s="1503">
        <v>12</v>
      </c>
      <c r="E32" s="1504">
        <v>12</v>
      </c>
      <c r="F32" s="1504">
        <v>12</v>
      </c>
      <c r="G32" s="1505">
        <v>12</v>
      </c>
      <c r="H32" s="1506">
        <v>12</v>
      </c>
      <c r="I32" s="1506">
        <v>12</v>
      </c>
      <c r="J32" s="1506">
        <v>12</v>
      </c>
    </row>
    <row r="33" spans="1:10" ht="13.5" customHeight="1">
      <c r="A33" s="743" t="s">
        <v>1443</v>
      </c>
      <c r="B33" s="993" t="s">
        <v>1427</v>
      </c>
      <c r="C33" s="322"/>
      <c r="D33" s="1495">
        <v>100</v>
      </c>
      <c r="E33" s="1496">
        <v>100</v>
      </c>
      <c r="F33" s="1496">
        <v>100</v>
      </c>
      <c r="G33" s="1496">
        <v>100</v>
      </c>
      <c r="H33" s="1495">
        <v>100</v>
      </c>
      <c r="I33" s="1497">
        <v>100</v>
      </c>
      <c r="J33" s="1498">
        <v>100</v>
      </c>
    </row>
    <row r="34" spans="1:10" ht="13.5" customHeight="1" thickBot="1">
      <c r="A34" s="744" t="s">
        <v>1444</v>
      </c>
      <c r="B34" s="995" t="s">
        <v>1427</v>
      </c>
      <c r="C34" s="376"/>
      <c r="D34" s="1495">
        <v>100</v>
      </c>
      <c r="E34" s="1496">
        <v>100</v>
      </c>
      <c r="F34" s="1496">
        <v>100</v>
      </c>
      <c r="G34" s="1496">
        <v>100</v>
      </c>
      <c r="H34" s="1507">
        <v>100</v>
      </c>
      <c r="I34" s="1497">
        <v>100</v>
      </c>
      <c r="J34" s="1498">
        <v>100</v>
      </c>
    </row>
    <row r="35" spans="1:10" ht="13.5" customHeight="1" thickTop="1" thickBot="1">
      <c r="A35" s="1001"/>
      <c r="B35" s="1002"/>
      <c r="C35" s="962"/>
      <c r="D35" s="1492" t="s">
        <v>566</v>
      </c>
      <c r="E35" s="1493"/>
      <c r="F35" s="1493"/>
      <c r="G35" s="1493"/>
      <c r="H35" s="1493"/>
      <c r="I35" s="1493"/>
      <c r="J35" s="1494"/>
    </row>
    <row r="36" spans="1:10" ht="13.5" customHeight="1" thickTop="1">
      <c r="A36" s="743" t="s">
        <v>1439</v>
      </c>
      <c r="B36" s="993" t="s">
        <v>1427</v>
      </c>
      <c r="C36" s="322"/>
      <c r="D36" s="1495">
        <v>13.707109449031424</v>
      </c>
      <c r="E36" s="1496">
        <v>11.710206944296946</v>
      </c>
      <c r="F36" s="1496">
        <v>9.4299458510915066</v>
      </c>
      <c r="G36" s="1496">
        <v>10.398251832525704</v>
      </c>
      <c r="H36" s="1497">
        <v>11.485345199364792</v>
      </c>
      <c r="I36" s="1496">
        <v>2.2040849409950423</v>
      </c>
      <c r="J36" s="1497">
        <v>8.6480052616501482</v>
      </c>
    </row>
    <row r="37" spans="1:10" ht="13.5" customHeight="1">
      <c r="A37" s="358"/>
      <c r="B37" s="993" t="s">
        <v>1440</v>
      </c>
      <c r="C37" s="322"/>
      <c r="D37" s="1495">
        <v>36.073485614974651</v>
      </c>
      <c r="E37" s="1496">
        <v>8.1261077675954354</v>
      </c>
      <c r="F37" s="1496">
        <v>32.060324375697427</v>
      </c>
      <c r="G37" s="1496">
        <v>30.113600843965006</v>
      </c>
      <c r="H37" s="1497">
        <v>23.504141644346408</v>
      </c>
      <c r="I37" s="1496">
        <v>4.4335642053449007</v>
      </c>
      <c r="J37" s="1497">
        <v>17.674138095978513</v>
      </c>
    </row>
    <row r="38" spans="1:10" ht="13.5" customHeight="1">
      <c r="A38" s="997"/>
      <c r="B38" s="994" t="s">
        <v>1428</v>
      </c>
      <c r="C38" s="334"/>
      <c r="D38" s="1499">
        <v>50.219404935993929</v>
      </c>
      <c r="E38" s="1500">
        <v>80.163685288107629</v>
      </c>
      <c r="F38" s="1500">
        <v>58.509729773211063</v>
      </c>
      <c r="G38" s="1500">
        <v>59.488147323509295</v>
      </c>
      <c r="H38" s="1501">
        <v>65.010513156288823</v>
      </c>
      <c r="I38" s="1500">
        <v>93.362350853660061</v>
      </c>
      <c r="J38" s="1501">
        <v>73.677856642371339</v>
      </c>
    </row>
    <row r="39" spans="1:10" ht="13.5" customHeight="1">
      <c r="A39" s="743" t="s">
        <v>1434</v>
      </c>
      <c r="B39" s="993" t="s">
        <v>1441</v>
      </c>
      <c r="C39" s="322"/>
      <c r="D39" s="1495">
        <v>1.3835381428658444</v>
      </c>
      <c r="E39" s="1496">
        <v>1.6564763011460604</v>
      </c>
      <c r="F39" s="1496">
        <v>2.2880691135519755</v>
      </c>
      <c r="G39" s="1496">
        <v>2.2765239177919931</v>
      </c>
      <c r="H39" s="1497">
        <v>1.7657061929367741</v>
      </c>
      <c r="I39" s="1496">
        <v>0.53791427908036671</v>
      </c>
      <c r="J39" s="1497">
        <v>1.4625141523936813</v>
      </c>
    </row>
    <row r="40" spans="1:10" ht="13.5" customHeight="1">
      <c r="A40" s="358"/>
      <c r="B40" s="993" t="s">
        <v>1440</v>
      </c>
      <c r="C40" s="322"/>
      <c r="D40" s="1495">
        <v>18.435993097170936</v>
      </c>
      <c r="E40" s="1496">
        <v>6.4612289194085237</v>
      </c>
      <c r="F40" s="1496">
        <v>25.92796645541091</v>
      </c>
      <c r="G40" s="1496">
        <v>35.442886105889464</v>
      </c>
      <c r="H40" s="1497">
        <v>16.000106181879431</v>
      </c>
      <c r="I40" s="1496">
        <v>6.0614576256284254</v>
      </c>
      <c r="J40" s="1497">
        <v>13.545374398079296</v>
      </c>
    </row>
    <row r="41" spans="1:10" ht="13.5" customHeight="1">
      <c r="A41" s="997"/>
      <c r="B41" s="994" t="s">
        <v>1419</v>
      </c>
      <c r="C41" s="334"/>
      <c r="D41" s="1499">
        <v>80.180468759963233</v>
      </c>
      <c r="E41" s="1500">
        <v>91.882294779445417</v>
      </c>
      <c r="F41" s="1500">
        <v>71.783964431037106</v>
      </c>
      <c r="G41" s="1500">
        <v>62.280589976318538</v>
      </c>
      <c r="H41" s="1501">
        <v>82.234187625183793</v>
      </c>
      <c r="I41" s="1500">
        <v>93.400628095291225</v>
      </c>
      <c r="J41" s="1501">
        <v>84.992111449527002</v>
      </c>
    </row>
    <row r="42" spans="1:10" ht="13.5" customHeight="1">
      <c r="A42" s="743" t="s">
        <v>1445</v>
      </c>
      <c r="B42" s="993" t="s">
        <v>1441</v>
      </c>
      <c r="C42" s="322"/>
      <c r="D42" s="1495">
        <v>17.095763351895148</v>
      </c>
      <c r="E42" s="1496">
        <v>15.761291414217771</v>
      </c>
      <c r="F42" s="1496">
        <v>15.721088702465865</v>
      </c>
      <c r="G42" s="1496">
        <v>17.717640128986556</v>
      </c>
      <c r="H42" s="1497">
        <v>16.44148885167294</v>
      </c>
      <c r="I42" s="1496">
        <v>1.8492375471835516</v>
      </c>
      <c r="J42" s="1497">
        <v>12.179493858306254</v>
      </c>
    </row>
    <row r="43" spans="1:10" ht="13.5" customHeight="1">
      <c r="A43" s="358"/>
      <c r="B43" s="993" t="s">
        <v>1418</v>
      </c>
      <c r="C43" s="322"/>
      <c r="D43" s="1495">
        <v>31.240592139668948</v>
      </c>
      <c r="E43" s="1496">
        <v>5.4870791527197555</v>
      </c>
      <c r="F43" s="1496">
        <v>38.148455568347032</v>
      </c>
      <c r="G43" s="1496">
        <v>38.550056446297575</v>
      </c>
      <c r="H43" s="1497">
        <v>27.236732211776136</v>
      </c>
      <c r="I43" s="1496">
        <v>2.7903948162008922</v>
      </c>
      <c r="J43" s="1497">
        <v>20.096601909304603</v>
      </c>
    </row>
    <row r="44" spans="1:10" ht="13.5" customHeight="1">
      <c r="A44" s="997"/>
      <c r="B44" s="994" t="s">
        <v>1419</v>
      </c>
      <c r="C44" s="334"/>
      <c r="D44" s="1499">
        <v>51.663644508435894</v>
      </c>
      <c r="E44" s="1500">
        <v>78.751629433062462</v>
      </c>
      <c r="F44" s="1500">
        <v>46.130455729187105</v>
      </c>
      <c r="G44" s="1500">
        <v>43.732303424715866</v>
      </c>
      <c r="H44" s="1501">
        <v>56.321778936550935</v>
      </c>
      <c r="I44" s="1500">
        <v>95.36036763661555</v>
      </c>
      <c r="J44" s="1501">
        <v>67.723904232389145</v>
      </c>
    </row>
    <row r="45" spans="1:10" ht="13.5" customHeight="1">
      <c r="A45" s="743" t="s">
        <v>1446</v>
      </c>
      <c r="B45" s="993" t="s">
        <v>1441</v>
      </c>
      <c r="C45" s="322"/>
      <c r="D45" s="1510">
        <v>4.5008390781006646</v>
      </c>
      <c r="E45" s="1511">
        <v>3.2169908590276095</v>
      </c>
      <c r="F45" s="1511">
        <v>5.2139820322458004</v>
      </c>
      <c r="G45" s="1512">
        <v>2.4938726123871469</v>
      </c>
      <c r="H45" s="1497">
        <v>3.9317225935534537</v>
      </c>
      <c r="I45" s="1512">
        <v>0.70816836393730676</v>
      </c>
      <c r="J45" s="1497">
        <v>3.0634255554530738</v>
      </c>
    </row>
    <row r="46" spans="1:10" ht="13.5" customHeight="1">
      <c r="A46" s="358"/>
      <c r="B46" s="993" t="s">
        <v>1418</v>
      </c>
      <c r="C46" s="322"/>
      <c r="D46" s="1509">
        <v>50.081493196827211</v>
      </c>
      <c r="E46" s="1513">
        <v>10.74492752850948</v>
      </c>
      <c r="F46" s="1513">
        <v>45.856382354256567</v>
      </c>
      <c r="G46" s="1514">
        <v>54.706195642057139</v>
      </c>
      <c r="H46" s="1497">
        <v>34.473255631310224</v>
      </c>
      <c r="I46" s="1514">
        <v>7.5870535223892785</v>
      </c>
      <c r="J46" s="1497">
        <v>27.209783429130745</v>
      </c>
    </row>
    <row r="47" spans="1:10" ht="13.5" customHeight="1">
      <c r="A47" s="358"/>
      <c r="B47" s="993" t="s">
        <v>1419</v>
      </c>
      <c r="C47" s="322"/>
      <c r="D47" s="1509">
        <v>45.417667725072128</v>
      </c>
      <c r="E47" s="1513">
        <v>86.038081612462918</v>
      </c>
      <c r="F47" s="1513">
        <v>48.929635613497602</v>
      </c>
      <c r="G47" s="1514">
        <v>42.799931745555703</v>
      </c>
      <c r="H47" s="1508">
        <v>61.595021775136296</v>
      </c>
      <c r="I47" s="1514">
        <v>91.704778113673413</v>
      </c>
      <c r="J47" s="1508">
        <v>69.726791015416183</v>
      </c>
    </row>
    <row r="48" spans="1:10" ht="13.5" customHeight="1" thickBot="1">
      <c r="A48" s="359"/>
      <c r="B48" s="996"/>
      <c r="C48" s="376"/>
      <c r="D48" s="1491"/>
      <c r="E48" s="492"/>
      <c r="F48" s="492"/>
      <c r="G48" s="492"/>
      <c r="H48" s="881"/>
      <c r="I48" s="492"/>
      <c r="J48" s="881"/>
    </row>
    <row r="49" ht="13.5" customHeight="1" thickTop="1"/>
  </sheetData>
  <sheetProtection sheet="1" objects="1" scenarios="1"/>
  <mergeCells count="8">
    <mergeCell ref="A19:B19"/>
    <mergeCell ref="A20:B20"/>
    <mergeCell ref="A7:B7"/>
    <mergeCell ref="A8:B8"/>
    <mergeCell ref="A10:B10"/>
    <mergeCell ref="A11:B11"/>
    <mergeCell ref="A12:B12"/>
    <mergeCell ref="A18:B18"/>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headerFooter alignWithMargins="0"/>
  <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indexed="10"/>
  </sheetPr>
  <dimension ref="A1:S50"/>
  <sheetViews>
    <sheetView showGridLines="0"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c r="D2" s="318"/>
    </row>
    <row r="3" spans="1:19" s="319" customFormat="1" ht="20.100000000000001" customHeight="1">
      <c r="A3" s="894" t="s">
        <v>2236</v>
      </c>
      <c r="D3" s="318"/>
    </row>
    <row r="4" spans="1:19" s="322" customFormat="1" ht="20.100000000000001" customHeight="1" thickBot="1">
      <c r="A4" s="967" t="s">
        <v>1141</v>
      </c>
      <c r="B4" s="320"/>
      <c r="C4" s="320"/>
      <c r="D4" s="320"/>
      <c r="E4" s="320"/>
      <c r="F4" s="320"/>
      <c r="G4" s="320"/>
      <c r="H4" s="320"/>
      <c r="I4" s="320"/>
      <c r="J4" s="320"/>
      <c r="K4" s="320"/>
      <c r="L4" s="320"/>
      <c r="M4" s="320"/>
      <c r="N4" s="320"/>
      <c r="O4" s="320"/>
      <c r="P4" s="320"/>
      <c r="Q4" s="320"/>
      <c r="R4" s="320"/>
      <c r="S4" s="320"/>
    </row>
    <row r="5" spans="1:19" ht="9.9" customHeight="1" thickTop="1" thickBot="1">
      <c r="A5" s="511"/>
      <c r="B5" s="321"/>
      <c r="E5" s="376"/>
    </row>
    <row r="6" spans="1:19" s="38" customFormat="1" ht="13.5" customHeight="1" thickTop="1">
      <c r="A6" s="169" t="s">
        <v>10</v>
      </c>
      <c r="B6" s="169"/>
      <c r="D6" s="147"/>
      <c r="E6" s="893" t="s">
        <v>255</v>
      </c>
      <c r="F6" s="328"/>
      <c r="G6" s="328"/>
      <c r="H6" s="328"/>
      <c r="I6" s="328"/>
      <c r="J6" s="328"/>
      <c r="K6" s="328"/>
      <c r="L6" s="328"/>
      <c r="M6" s="328"/>
      <c r="N6" s="328"/>
      <c r="O6" s="328"/>
      <c r="P6" s="328"/>
      <c r="Q6" s="328"/>
      <c r="R6" s="328"/>
      <c r="S6" s="225"/>
    </row>
    <row r="7" spans="1:19" s="38" customFormat="1" ht="13.5" customHeight="1">
      <c r="A7" s="3644" t="str">
        <f>Audit!A12</f>
        <v>May 2019 v1.12</v>
      </c>
      <c r="B7" s="3651"/>
      <c r="E7" s="3117" t="s">
        <v>1851</v>
      </c>
      <c r="F7" s="335" t="s">
        <v>1919</v>
      </c>
      <c r="G7" s="26"/>
      <c r="H7" s="26"/>
      <c r="I7" s="26"/>
      <c r="J7" s="26"/>
      <c r="K7" s="26"/>
      <c r="L7" s="26"/>
      <c r="M7" s="26"/>
      <c r="N7" s="26"/>
      <c r="O7" s="26"/>
      <c r="P7" s="26"/>
      <c r="Q7" s="26"/>
      <c r="R7" s="26"/>
      <c r="S7" s="147"/>
    </row>
    <row r="8" spans="1:19" s="38" customFormat="1" ht="13.5" customHeight="1">
      <c r="A8" s="3646">
        <f>Audit!C12</f>
        <v>43586</v>
      </c>
      <c r="B8" s="3651"/>
      <c r="C8" s="321"/>
      <c r="D8" s="321"/>
      <c r="E8" s="3117" t="s">
        <v>1853</v>
      </c>
      <c r="F8" s="26" t="s">
        <v>915</v>
      </c>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2216</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2217</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6"/>
      <c r="B14" s="316"/>
      <c r="C14" s="321"/>
      <c r="D14" s="321"/>
      <c r="E14" s="113"/>
      <c r="F14" s="26"/>
      <c r="G14" s="26"/>
      <c r="H14" s="26"/>
      <c r="I14" s="26"/>
      <c r="J14" s="26"/>
      <c r="K14" s="26"/>
      <c r="L14" s="26"/>
      <c r="M14" s="26"/>
      <c r="N14" s="26"/>
      <c r="O14" s="26"/>
      <c r="P14" s="26"/>
      <c r="Q14" s="26"/>
      <c r="R14" s="26"/>
      <c r="S14" s="147"/>
    </row>
    <row r="15" spans="1:19" s="38" customFormat="1" ht="13.5" customHeight="1">
      <c r="A15" s="56"/>
      <c r="B15" s="32"/>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704"/>
      <c r="B18" s="3704"/>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412"/>
      <c r="E19" s="609" t="s">
        <v>326</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381" t="s">
        <v>2239</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thickBot="1">
      <c r="A23" s="122" t="s">
        <v>916</v>
      </c>
      <c r="B23" s="1008"/>
      <c r="C23" s="968"/>
      <c r="D23" s="968"/>
      <c r="E23" s="404"/>
      <c r="F23" s="404"/>
      <c r="G23" s="404"/>
      <c r="H23" s="404"/>
      <c r="I23" s="404"/>
      <c r="J23" s="405"/>
      <c r="K23" s="1007"/>
    </row>
    <row r="24" spans="1:19" ht="13.5" customHeight="1" thickTop="1" thickBot="1">
      <c r="A24" s="1013" t="s">
        <v>556</v>
      </c>
      <c r="B24" s="1014"/>
      <c r="C24" s="955"/>
      <c r="D24" s="1015" t="s">
        <v>1420</v>
      </c>
      <c r="E24" s="281"/>
      <c r="F24" s="281"/>
      <c r="G24" s="281"/>
      <c r="H24" s="282"/>
      <c r="I24" s="420"/>
      <c r="J24" s="421"/>
    </row>
    <row r="25" spans="1:19" ht="13.5" customHeight="1" thickTop="1">
      <c r="A25" s="1016" t="s">
        <v>1238</v>
      </c>
      <c r="B25" s="385"/>
      <c r="C25" s="959"/>
      <c r="D25" s="4" t="s">
        <v>262</v>
      </c>
      <c r="E25" s="388" t="s">
        <v>264</v>
      </c>
      <c r="F25" s="388" t="s">
        <v>266</v>
      </c>
      <c r="G25" s="389" t="s">
        <v>268</v>
      </c>
      <c r="H25" s="388" t="s">
        <v>270</v>
      </c>
      <c r="I25" s="420" t="s">
        <v>1421</v>
      </c>
      <c r="J25" s="421" t="s">
        <v>1423</v>
      </c>
    </row>
    <row r="26" spans="1:19" ht="13.5" customHeight="1" thickBot="1">
      <c r="A26" s="1525" t="s">
        <v>629</v>
      </c>
      <c r="B26" s="999" t="s">
        <v>554</v>
      </c>
      <c r="C26" s="959"/>
      <c r="D26" s="407" t="s">
        <v>263</v>
      </c>
      <c r="E26" s="391" t="s">
        <v>265</v>
      </c>
      <c r="F26" s="391" t="s">
        <v>267</v>
      </c>
      <c r="G26" s="391" t="s">
        <v>269</v>
      </c>
      <c r="H26" s="392" t="s">
        <v>1422</v>
      </c>
      <c r="I26" s="1386" t="s">
        <v>1422</v>
      </c>
      <c r="J26" s="421" t="s">
        <v>1422</v>
      </c>
    </row>
    <row r="27" spans="1:19" ht="13.5" customHeight="1" thickTop="1" thickBot="1">
      <c r="A27" s="1526"/>
      <c r="B27" s="1527"/>
      <c r="C27" s="964"/>
      <c r="D27" s="232" t="s">
        <v>559</v>
      </c>
      <c r="E27" s="39"/>
      <c r="F27" s="39"/>
      <c r="G27" s="39"/>
      <c r="H27" s="39"/>
      <c r="I27" s="39"/>
      <c r="J27" s="40"/>
    </row>
    <row r="28" spans="1:19" ht="13.5" customHeight="1" thickTop="1">
      <c r="A28" s="1012" t="s">
        <v>1439</v>
      </c>
      <c r="B28" s="1004" t="s">
        <v>1427</v>
      </c>
      <c r="C28" s="372"/>
      <c r="D28" s="1495">
        <v>6.9515649524418661</v>
      </c>
      <c r="E28" s="1515">
        <v>7.1900684892442879</v>
      </c>
      <c r="F28" s="1515">
        <v>5.1143393605159027</v>
      </c>
      <c r="G28" s="1515">
        <v>4.3088671199828381</v>
      </c>
      <c r="H28" s="1495">
        <v>6.2432133338518145</v>
      </c>
      <c r="I28" s="1497">
        <v>2.0480225695361778</v>
      </c>
      <c r="J28" s="1498">
        <v>5.2842550876349348</v>
      </c>
    </row>
    <row r="29" spans="1:19" ht="13.5" customHeight="1">
      <c r="A29" s="1010"/>
      <c r="B29" s="1004" t="s">
        <v>1440</v>
      </c>
      <c r="C29" s="372"/>
      <c r="D29" s="1495">
        <v>38.301883054042669</v>
      </c>
      <c r="E29" s="1515">
        <v>11.281736317334822</v>
      </c>
      <c r="F29" s="1515">
        <v>32.577420727763638</v>
      </c>
      <c r="G29" s="1515">
        <v>28.755829192894218</v>
      </c>
      <c r="H29" s="1495">
        <v>25.157566816563381</v>
      </c>
      <c r="I29" s="1497">
        <v>8.3873910932897324</v>
      </c>
      <c r="J29" s="1498">
        <v>21.324153938862427</v>
      </c>
    </row>
    <row r="30" spans="1:19" ht="13.5" customHeight="1">
      <c r="A30" s="1011"/>
      <c r="B30" s="1005" t="s">
        <v>1428</v>
      </c>
      <c r="C30" s="373"/>
      <c r="D30" s="1499">
        <v>54.746551993515482</v>
      </c>
      <c r="E30" s="1500">
        <v>81.528195193420871</v>
      </c>
      <c r="F30" s="1500">
        <v>62.308239911720442</v>
      </c>
      <c r="G30" s="1500">
        <v>66.935303687122939</v>
      </c>
      <c r="H30" s="1499">
        <v>68.599219849584813</v>
      </c>
      <c r="I30" s="1501">
        <v>89.564586337174106</v>
      </c>
      <c r="J30" s="1502">
        <v>73.391590973502645</v>
      </c>
    </row>
    <row r="31" spans="1:19" ht="13.5" customHeight="1">
      <c r="A31" s="1009" t="s">
        <v>1431</v>
      </c>
      <c r="B31" s="1004" t="s">
        <v>1304</v>
      </c>
      <c r="C31" s="372"/>
      <c r="D31" s="1495">
        <v>88</v>
      </c>
      <c r="E31" s="1515">
        <v>88</v>
      </c>
      <c r="F31" s="1515">
        <v>88</v>
      </c>
      <c r="G31" s="1515">
        <v>88</v>
      </c>
      <c r="H31" s="1495">
        <v>88</v>
      </c>
      <c r="I31" s="1497">
        <v>88</v>
      </c>
      <c r="J31" s="1498">
        <v>88</v>
      </c>
    </row>
    <row r="32" spans="1:19" ht="13.5" customHeight="1">
      <c r="A32" s="1011"/>
      <c r="B32" s="994" t="s">
        <v>510</v>
      </c>
      <c r="C32" s="373"/>
      <c r="D32" s="1503">
        <v>12</v>
      </c>
      <c r="E32" s="1504">
        <v>12</v>
      </c>
      <c r="F32" s="1504">
        <v>12</v>
      </c>
      <c r="G32" s="1505">
        <v>12</v>
      </c>
      <c r="H32" s="1506">
        <v>12</v>
      </c>
      <c r="I32" s="1506">
        <v>12</v>
      </c>
      <c r="J32" s="1506">
        <v>12</v>
      </c>
    </row>
    <row r="33" spans="1:10" ht="13.5" customHeight="1">
      <c r="A33" s="1009" t="s">
        <v>1443</v>
      </c>
      <c r="B33" s="1004" t="s">
        <v>1427</v>
      </c>
      <c r="C33" s="372"/>
      <c r="D33" s="1495">
        <v>100</v>
      </c>
      <c r="E33" s="1515">
        <v>100</v>
      </c>
      <c r="F33" s="1515">
        <v>100</v>
      </c>
      <c r="G33" s="1515">
        <v>100</v>
      </c>
      <c r="H33" s="1495">
        <v>100</v>
      </c>
      <c r="I33" s="1497">
        <v>100</v>
      </c>
      <c r="J33" s="1498">
        <v>100</v>
      </c>
    </row>
    <row r="34" spans="1:10" ht="13.5" customHeight="1" thickBot="1">
      <c r="A34" s="1009" t="s">
        <v>1444</v>
      </c>
      <c r="B34" s="1004" t="s">
        <v>1427</v>
      </c>
      <c r="C34" s="372"/>
      <c r="D34" s="1495">
        <v>100</v>
      </c>
      <c r="E34" s="1515">
        <v>100</v>
      </c>
      <c r="F34" s="1515">
        <v>100</v>
      </c>
      <c r="G34" s="1515">
        <v>100</v>
      </c>
      <c r="H34" s="1495">
        <v>100</v>
      </c>
      <c r="I34" s="1497">
        <v>100</v>
      </c>
      <c r="J34" s="1498">
        <v>100</v>
      </c>
    </row>
    <row r="35" spans="1:10" ht="13.5" customHeight="1" thickTop="1" thickBot="1">
      <c r="A35" s="1019"/>
      <c r="B35" s="1018"/>
      <c r="C35" s="963"/>
      <c r="D35" s="1492" t="s">
        <v>560</v>
      </c>
      <c r="E35" s="1493"/>
      <c r="F35" s="1493"/>
      <c r="G35" s="1493"/>
      <c r="H35" s="1493"/>
      <c r="I35" s="1493"/>
      <c r="J35" s="1494"/>
    </row>
    <row r="36" spans="1:10" ht="13.5" customHeight="1" thickTop="1">
      <c r="A36" s="1009" t="s">
        <v>1439</v>
      </c>
      <c r="B36" s="1004" t="s">
        <v>1427</v>
      </c>
      <c r="C36" s="372"/>
      <c r="D36" s="1495">
        <v>5.3489439523393312</v>
      </c>
      <c r="E36" s="1516">
        <v>5.096653185807388</v>
      </c>
      <c r="F36" s="1517">
        <v>3.9052898141362329</v>
      </c>
      <c r="G36" s="1498">
        <v>3.4216248543363461</v>
      </c>
      <c r="H36" s="1497">
        <v>4.6540517356340283</v>
      </c>
      <c r="I36" s="1515">
        <v>1.3414680228859601</v>
      </c>
      <c r="J36" s="1497">
        <v>3.7834758750926478</v>
      </c>
    </row>
    <row r="37" spans="1:10" ht="13.5" customHeight="1">
      <c r="A37" s="1010"/>
      <c r="B37" s="1004" t="s">
        <v>1440</v>
      </c>
      <c r="C37" s="372"/>
      <c r="D37" s="1495">
        <v>31.006276852149849</v>
      </c>
      <c r="E37" s="1516">
        <v>8.4039563677917908</v>
      </c>
      <c r="F37" s="1517">
        <v>25.792590539002507</v>
      </c>
      <c r="G37" s="1498">
        <v>23.742440586135078</v>
      </c>
      <c r="H37" s="1497">
        <v>19.747044079467098</v>
      </c>
      <c r="I37" s="1515">
        <v>5.9648569465853427</v>
      </c>
      <c r="J37" s="1497">
        <v>16.124965223866759</v>
      </c>
    </row>
    <row r="38" spans="1:10" ht="13.5" customHeight="1">
      <c r="A38" s="1011"/>
      <c r="B38" s="1005" t="s">
        <v>1428</v>
      </c>
      <c r="C38" s="373"/>
      <c r="D38" s="1503">
        <v>63.644779195510814</v>
      </c>
      <c r="E38" s="1504">
        <v>86.499390446400824</v>
      </c>
      <c r="F38" s="1504">
        <v>70.302119646861257</v>
      </c>
      <c r="G38" s="1505">
        <v>72.835934559528567</v>
      </c>
      <c r="H38" s="1506">
        <v>75.598904184898871</v>
      </c>
      <c r="I38" s="1504">
        <v>92.693675030528695</v>
      </c>
      <c r="J38" s="1506">
        <v>80.091558901040614</v>
      </c>
    </row>
    <row r="39" spans="1:10" ht="13.5" customHeight="1">
      <c r="A39" s="1009" t="s">
        <v>1434</v>
      </c>
      <c r="B39" s="1004" t="s">
        <v>1441</v>
      </c>
      <c r="C39" s="372"/>
      <c r="D39" s="1495">
        <v>2.0620311603752706</v>
      </c>
      <c r="E39" s="1516">
        <v>1.6971566002284895</v>
      </c>
      <c r="F39" s="1517">
        <v>2.5522125273356004</v>
      </c>
      <c r="G39" s="1498">
        <v>3.0542035378127141</v>
      </c>
      <c r="H39" s="1497">
        <v>2.0425526970517467</v>
      </c>
      <c r="I39" s="1515">
        <v>1.0351145668376249</v>
      </c>
      <c r="J39" s="1497">
        <v>1.8634978515394973</v>
      </c>
    </row>
    <row r="40" spans="1:10" ht="13.5" customHeight="1">
      <c r="A40" s="1010"/>
      <c r="B40" s="1004" t="s">
        <v>1440</v>
      </c>
      <c r="C40" s="372"/>
      <c r="D40" s="1495">
        <v>25.623264775499742</v>
      </c>
      <c r="E40" s="1516">
        <v>7.1975731902045395</v>
      </c>
      <c r="F40" s="1517">
        <v>33.495222288334006</v>
      </c>
      <c r="G40" s="1498">
        <v>46.344935501346981</v>
      </c>
      <c r="H40" s="1497">
        <v>19.606410626116272</v>
      </c>
      <c r="I40" s="1515">
        <v>10.564070540514182</v>
      </c>
      <c r="J40" s="1497">
        <v>17.999289793045776</v>
      </c>
    </row>
    <row r="41" spans="1:10" ht="13.5" customHeight="1">
      <c r="A41" s="1011"/>
      <c r="B41" s="1005" t="s">
        <v>1419</v>
      </c>
      <c r="C41" s="373"/>
      <c r="D41" s="1499">
        <v>72.314704064124996</v>
      </c>
      <c r="E41" s="1504">
        <v>91.105270209566996</v>
      </c>
      <c r="F41" s="1504">
        <v>63.952565184330403</v>
      </c>
      <c r="G41" s="1502">
        <v>50.600860960840315</v>
      </c>
      <c r="H41" s="1501">
        <v>78.351036676831981</v>
      </c>
      <c r="I41" s="1500">
        <v>88.400814892648171</v>
      </c>
      <c r="J41" s="1501">
        <v>80.137212355414718</v>
      </c>
    </row>
    <row r="42" spans="1:10" ht="13.5" customHeight="1">
      <c r="A42" s="1009" t="s">
        <v>1445</v>
      </c>
      <c r="B42" s="1004" t="s">
        <v>1441</v>
      </c>
      <c r="C42" s="372"/>
      <c r="D42" s="1495">
        <v>9.0268728217372605</v>
      </c>
      <c r="E42" s="1516">
        <v>11.135963461038441</v>
      </c>
      <c r="F42" s="1517">
        <v>7.7729247010364686</v>
      </c>
      <c r="G42" s="1498">
        <v>8.1026517319291074</v>
      </c>
      <c r="H42" s="1497">
        <v>8.9517958945516174</v>
      </c>
      <c r="I42" s="1515">
        <v>2.2603582152230248</v>
      </c>
      <c r="J42" s="1497">
        <v>7.8384787304505457</v>
      </c>
    </row>
    <row r="43" spans="1:10" ht="13.5" customHeight="1">
      <c r="A43" s="1010"/>
      <c r="B43" s="1004" t="s">
        <v>1418</v>
      </c>
      <c r="C43" s="372"/>
      <c r="D43" s="1495">
        <v>60.518630692255329</v>
      </c>
      <c r="E43" s="1516">
        <v>13.697403581896934</v>
      </c>
      <c r="F43" s="1517">
        <v>60.74338277824728</v>
      </c>
      <c r="G43" s="1498">
        <v>59.55748319014279</v>
      </c>
      <c r="H43" s="1497">
        <v>49.968167233959306</v>
      </c>
      <c r="I43" s="1515">
        <v>10.686962187466062</v>
      </c>
      <c r="J43" s="1497">
        <v>43.432585210990496</v>
      </c>
    </row>
    <row r="44" spans="1:10" ht="13.5" customHeight="1">
      <c r="A44" s="1011"/>
      <c r="B44" s="1005" t="s">
        <v>1419</v>
      </c>
      <c r="C44" s="373"/>
      <c r="D44" s="1499">
        <v>30.454496486007411</v>
      </c>
      <c r="E44" s="1504">
        <v>75.166632957064621</v>
      </c>
      <c r="F44" s="1504">
        <v>31.483692520716247</v>
      </c>
      <c r="G44" s="1502">
        <v>32.339865077928096</v>
      </c>
      <c r="H44" s="1501">
        <v>41.080036871489071</v>
      </c>
      <c r="I44" s="1500">
        <v>87.052679597310913</v>
      </c>
      <c r="J44" s="1501">
        <v>48.728936058558951</v>
      </c>
    </row>
    <row r="45" spans="1:10" ht="13.5" customHeight="1">
      <c r="A45" s="1009" t="s">
        <v>1446</v>
      </c>
      <c r="B45" s="1004" t="s">
        <v>1441</v>
      </c>
      <c r="C45" s="372"/>
      <c r="D45" s="1509">
        <v>3.7863186661884214</v>
      </c>
      <c r="E45" s="1518">
        <v>3.5032089256733219</v>
      </c>
      <c r="F45" s="1518">
        <v>4.4548951366615386</v>
      </c>
      <c r="G45" s="1518">
        <v>0.59299205326845184</v>
      </c>
      <c r="H45" s="1519">
        <v>3.4648699159114247</v>
      </c>
      <c r="I45" s="1518">
        <v>0.98220081224650002</v>
      </c>
      <c r="J45" s="1519">
        <v>2.9611340750221973</v>
      </c>
    </row>
    <row r="46" spans="1:10" ht="13.5" customHeight="1">
      <c r="A46" s="1010"/>
      <c r="B46" s="1004" t="s">
        <v>1418</v>
      </c>
      <c r="C46" s="372"/>
      <c r="D46" s="1509">
        <v>55.027631543558641</v>
      </c>
      <c r="E46" s="1518">
        <v>15.010141939553231</v>
      </c>
      <c r="F46" s="1518">
        <v>50.164851544861698</v>
      </c>
      <c r="G46" s="1518">
        <v>60.077717233172343</v>
      </c>
      <c r="H46" s="1519">
        <v>40.548040409691566</v>
      </c>
      <c r="I46" s="1518">
        <v>12.769996064470817</v>
      </c>
      <c r="J46" s="1519">
        <v>34.911849704356776</v>
      </c>
    </row>
    <row r="47" spans="1:10" ht="13.5" customHeight="1">
      <c r="A47" s="1010"/>
      <c r="B47" s="1004" t="s">
        <v>1419</v>
      </c>
      <c r="C47" s="372"/>
      <c r="D47" s="1520">
        <v>41.186049790252952</v>
      </c>
      <c r="E47" s="1521">
        <v>81.486649134773444</v>
      </c>
      <c r="F47" s="1521">
        <v>45.380253318476761</v>
      </c>
      <c r="G47" s="1522">
        <v>39.329290713559203</v>
      </c>
      <c r="H47" s="1523">
        <v>55.987089674397019</v>
      </c>
      <c r="I47" s="1524">
        <v>86.247803123282665</v>
      </c>
      <c r="J47" s="1523">
        <v>62.12701622062103</v>
      </c>
    </row>
    <row r="48" spans="1:10" ht="13.5" customHeight="1" thickBot="1">
      <c r="A48" s="1003"/>
      <c r="B48" s="1006"/>
      <c r="C48" s="377"/>
      <c r="D48" s="8"/>
      <c r="E48" s="9"/>
      <c r="F48" s="9"/>
      <c r="G48" s="10"/>
      <c r="H48" s="11"/>
      <c r="I48" s="11"/>
      <c r="J48" s="11"/>
    </row>
    <row r="49" spans="3:11" ht="13.5" customHeight="1" thickTop="1">
      <c r="C49" s="21"/>
      <c r="D49" s="21"/>
      <c r="E49" s="21"/>
      <c r="F49" s="21"/>
      <c r="G49" s="21"/>
      <c r="H49" s="21"/>
      <c r="I49" s="21"/>
      <c r="J49" s="21"/>
      <c r="K49" s="21"/>
    </row>
    <row r="50" spans="3:11" ht="13.5" customHeight="1">
      <c r="D50" s="21"/>
      <c r="E50" s="21"/>
      <c r="F50" s="21"/>
      <c r="G50" s="21"/>
      <c r="H50" s="21"/>
      <c r="I50" s="21"/>
      <c r="J50" s="21"/>
      <c r="K50" s="21"/>
    </row>
  </sheetData>
  <sheetProtection sheet="1" objects="1" scenarios="1"/>
  <mergeCells count="8">
    <mergeCell ref="A18:B18"/>
    <mergeCell ref="A19:B19"/>
    <mergeCell ref="A20:B20"/>
    <mergeCell ref="A7:B7"/>
    <mergeCell ref="A8:B8"/>
    <mergeCell ref="A10:B10"/>
    <mergeCell ref="A12:B12"/>
    <mergeCell ref="A11:B11"/>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headerFooter alignWithMargins="0"/>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17"/>
    <pageSetUpPr fitToPage="1"/>
  </sheetPr>
  <dimension ref="A1:U47"/>
  <sheetViews>
    <sheetView showGridLines="0" topLeftCell="A22" zoomScale="85" zoomScaleNormal="85" workbookViewId="0">
      <selection activeCell="B46" sqref="B46"/>
    </sheetView>
  </sheetViews>
  <sheetFormatPr defaultColWidth="12.88671875" defaultRowHeight="13.5" customHeight="1"/>
  <cols>
    <col min="1" max="16384" width="12.88671875" style="38"/>
  </cols>
  <sheetData>
    <row r="1" spans="1:21" ht="54.9" customHeight="1" thickBot="1">
      <c r="A1" s="28"/>
      <c r="B1" s="28"/>
    </row>
    <row r="2" spans="1:21" s="300" customFormat="1" ht="5.0999999999999996" customHeight="1">
      <c r="C2" s="83"/>
      <c r="D2" s="83"/>
      <c r="E2" s="83"/>
      <c r="U2" s="1569" t="s">
        <v>1295</v>
      </c>
    </row>
    <row r="3" spans="1:21" s="300" customFormat="1" ht="20.100000000000001" customHeight="1" thickBot="1">
      <c r="A3" s="426" t="s">
        <v>2240</v>
      </c>
      <c r="C3" s="46"/>
      <c r="D3" s="83"/>
      <c r="E3" s="445"/>
      <c r="U3" s="1570" t="s">
        <v>1296</v>
      </c>
    </row>
    <row r="4" spans="1:21" s="26" customFormat="1" ht="20.100000000000001" customHeight="1" thickBot="1">
      <c r="A4" s="529" t="s">
        <v>995</v>
      </c>
      <c r="B4" s="447"/>
      <c r="C4" s="446"/>
      <c r="D4" s="446"/>
      <c r="E4" s="446"/>
      <c r="F4" s="446"/>
      <c r="G4" s="446"/>
      <c r="H4" s="446"/>
      <c r="I4" s="446"/>
      <c r="J4" s="446"/>
      <c r="K4" s="446"/>
      <c r="L4" s="446"/>
      <c r="M4" s="446"/>
      <c r="N4" s="446"/>
      <c r="O4" s="446"/>
      <c r="P4" s="446"/>
      <c r="Q4" s="446"/>
      <c r="R4" s="446"/>
      <c r="S4" s="446"/>
    </row>
    <row r="5" spans="1:21" ht="9.9" customHeight="1" thickTop="1" thickBot="1">
      <c r="A5" s="35"/>
      <c r="B5" s="321"/>
      <c r="D5" s="427"/>
      <c r="U5" s="546">
        <f>IF(E21="£ per hour",1,10/6)</f>
        <v>1</v>
      </c>
    </row>
    <row r="6" spans="1:21" ht="13.5" customHeight="1" thickTop="1">
      <c r="A6" s="169" t="s">
        <v>10</v>
      </c>
      <c r="B6" s="170"/>
      <c r="E6" s="3626" t="s">
        <v>255</v>
      </c>
      <c r="F6" s="3649"/>
      <c r="G6" s="3649"/>
      <c r="H6" s="3649"/>
      <c r="I6" s="3649"/>
      <c r="J6" s="3649"/>
      <c r="K6" s="3649"/>
      <c r="L6" s="3649"/>
      <c r="M6" s="3649"/>
      <c r="N6" s="3649"/>
      <c r="O6" s="3649"/>
      <c r="P6" s="3649"/>
      <c r="Q6" s="3649"/>
      <c r="R6" s="3649"/>
      <c r="S6" s="3650"/>
    </row>
    <row r="7" spans="1:21" ht="13.5" customHeight="1">
      <c r="A7" s="3644" t="str">
        <f>Audit!A12</f>
        <v>May 2019 v1.12</v>
      </c>
      <c r="B7" s="3651"/>
      <c r="E7" s="2528" t="s">
        <v>2121</v>
      </c>
      <c r="F7" s="29"/>
      <c r="G7" s="26"/>
      <c r="H7" s="26"/>
      <c r="I7" s="26"/>
      <c r="J7" s="26"/>
      <c r="K7" s="26"/>
      <c r="L7" s="26"/>
      <c r="M7" s="26"/>
      <c r="N7" s="26"/>
      <c r="O7" s="26"/>
      <c r="P7" s="26"/>
      <c r="Q7" s="26"/>
      <c r="R7" s="26"/>
      <c r="S7" s="147"/>
    </row>
    <row r="8" spans="1:21" ht="13.5" customHeight="1">
      <c r="A8" s="3630">
        <f>Audit!C12</f>
        <v>43586</v>
      </c>
      <c r="B8" s="3631"/>
      <c r="C8" s="321"/>
      <c r="D8" s="321"/>
      <c r="E8" s="113" t="s">
        <v>1298</v>
      </c>
      <c r="F8" s="315"/>
      <c r="G8" s="26"/>
      <c r="H8" s="26"/>
      <c r="I8" s="26"/>
      <c r="J8" s="26"/>
      <c r="K8" s="26"/>
      <c r="L8" s="26"/>
      <c r="M8" s="26"/>
      <c r="N8" s="26"/>
      <c r="O8" s="26"/>
      <c r="P8" s="26"/>
      <c r="Q8" s="26"/>
      <c r="R8" s="26"/>
      <c r="S8" s="147"/>
    </row>
    <row r="9" spans="1:21" ht="13.5" customHeight="1" thickBot="1">
      <c r="A9" s="169" t="s">
        <v>14</v>
      </c>
      <c r="B9" s="170"/>
      <c r="D9" s="321"/>
      <c r="E9" s="113" t="s">
        <v>280</v>
      </c>
      <c r="F9" s="26"/>
      <c r="G9" s="26"/>
      <c r="H9" s="26"/>
      <c r="I9" s="26"/>
      <c r="J9" s="26"/>
      <c r="K9" s="26"/>
      <c r="L9" s="26"/>
      <c r="M9" s="26"/>
      <c r="N9" s="26"/>
      <c r="O9" s="26"/>
      <c r="P9" s="26"/>
      <c r="Q9" s="26"/>
      <c r="R9" s="26"/>
      <c r="S9" s="147"/>
    </row>
    <row r="10" spans="1:21" ht="13.5" customHeight="1" thickBot="1">
      <c r="A10" s="3570" t="s">
        <v>1306</v>
      </c>
      <c r="B10" s="3610"/>
      <c r="D10" s="321"/>
      <c r="E10" s="113" t="s">
        <v>1219</v>
      </c>
      <c r="F10" s="26"/>
      <c r="G10" s="26"/>
      <c r="H10" s="26"/>
      <c r="I10" s="26"/>
      <c r="J10" s="26"/>
      <c r="K10" s="26"/>
      <c r="L10" s="26"/>
      <c r="M10" s="26"/>
      <c r="N10" s="26"/>
      <c r="O10" s="26"/>
      <c r="P10" s="26"/>
      <c r="Q10" s="26"/>
      <c r="R10" s="26"/>
      <c r="S10" s="147"/>
    </row>
    <row r="11" spans="1:21" ht="13.5" customHeight="1" thickBot="1">
      <c r="A11" s="3570" t="s">
        <v>2216</v>
      </c>
      <c r="B11" s="3581"/>
      <c r="D11" s="321"/>
      <c r="E11" s="113"/>
      <c r="F11" s="53"/>
      <c r="G11" s="53"/>
      <c r="H11" s="53"/>
      <c r="I11" s="53"/>
      <c r="J11" s="53"/>
      <c r="K11" s="53"/>
      <c r="L11" s="53"/>
      <c r="M11" s="53"/>
      <c r="N11" s="53"/>
      <c r="O11" s="53"/>
      <c r="P11" s="53"/>
      <c r="Q11" s="53"/>
      <c r="R11" s="53"/>
      <c r="S11" s="379"/>
    </row>
    <row r="12" spans="1:21" ht="13.5" customHeight="1" thickBot="1">
      <c r="A12" s="3570" t="s">
        <v>2217</v>
      </c>
      <c r="B12" s="3581"/>
      <c r="D12" s="321"/>
      <c r="E12" s="113"/>
      <c r="F12" s="26"/>
      <c r="G12" s="26"/>
      <c r="H12" s="26"/>
      <c r="I12" s="26"/>
      <c r="J12" s="26"/>
      <c r="K12" s="26"/>
      <c r="L12" s="26"/>
      <c r="M12" s="26"/>
      <c r="N12" s="26"/>
      <c r="O12" s="26"/>
      <c r="P12" s="26"/>
      <c r="Q12" s="26"/>
      <c r="R12" s="26"/>
      <c r="S12" s="147"/>
    </row>
    <row r="13" spans="1:21" ht="13.5" customHeight="1">
      <c r="A13" s="169" t="s">
        <v>252</v>
      </c>
      <c r="B13" s="170"/>
      <c r="C13" s="321"/>
      <c r="D13" s="321"/>
      <c r="E13" s="114"/>
      <c r="F13" s="26"/>
      <c r="G13" s="26"/>
      <c r="H13" s="26"/>
      <c r="I13" s="26"/>
      <c r="J13" s="26"/>
      <c r="K13" s="26"/>
      <c r="L13" s="26"/>
      <c r="M13" s="26"/>
      <c r="N13" s="26"/>
      <c r="O13" s="26"/>
      <c r="P13" s="26"/>
      <c r="Q13" s="26"/>
      <c r="R13" s="26"/>
      <c r="S13" s="147"/>
    </row>
    <row r="14" spans="1:21" ht="13.5" customHeight="1">
      <c r="A14" s="2445" t="s">
        <v>799</v>
      </c>
      <c r="B14" s="2451">
        <f>'User Parameters'!L13</f>
        <v>2010</v>
      </c>
      <c r="C14" s="321"/>
      <c r="D14" s="321"/>
      <c r="E14" s="113"/>
      <c r="F14" s="26"/>
      <c r="G14" s="26"/>
      <c r="H14" s="26"/>
      <c r="I14" s="26"/>
      <c r="J14" s="26"/>
      <c r="K14" s="26"/>
      <c r="L14" s="26"/>
      <c r="M14" s="26"/>
      <c r="N14" s="26"/>
      <c r="O14" s="26"/>
      <c r="P14" s="26"/>
      <c r="Q14" s="26"/>
      <c r="R14" s="26"/>
      <c r="S14" s="147"/>
    </row>
    <row r="15" spans="1:21" ht="13.5" customHeight="1">
      <c r="A15" s="2441" t="s">
        <v>54</v>
      </c>
      <c r="B15" s="2450">
        <f>'User Parameters'!L19</f>
        <v>2010</v>
      </c>
      <c r="C15" s="321"/>
      <c r="D15" s="321"/>
      <c r="E15" s="113"/>
      <c r="F15" s="26"/>
      <c r="G15" s="26"/>
      <c r="H15" s="26"/>
      <c r="I15" s="26"/>
      <c r="J15" s="26"/>
      <c r="K15" s="26"/>
      <c r="L15" s="26"/>
      <c r="M15" s="26"/>
      <c r="N15" s="26"/>
      <c r="O15" s="26"/>
      <c r="P15" s="26"/>
      <c r="Q15" s="26"/>
      <c r="R15" s="26"/>
      <c r="S15" s="147"/>
    </row>
    <row r="16" spans="1:21" ht="13.5" customHeight="1">
      <c r="A16" s="2440"/>
      <c r="B16" s="2440"/>
      <c r="C16" s="321"/>
      <c r="D16" s="321"/>
      <c r="E16" s="207"/>
      <c r="F16" s="26"/>
      <c r="G16" s="26"/>
      <c r="H16" s="26"/>
      <c r="I16" s="26"/>
      <c r="J16" s="26"/>
      <c r="K16" s="26"/>
      <c r="L16" s="26"/>
      <c r="M16" s="26"/>
      <c r="N16" s="26"/>
      <c r="O16" s="26"/>
      <c r="P16" s="26"/>
      <c r="Q16" s="26"/>
      <c r="R16" s="26"/>
      <c r="S16" s="147"/>
    </row>
    <row r="17" spans="1:19" ht="13.5" customHeight="1">
      <c r="A17" s="169" t="s">
        <v>253</v>
      </c>
      <c r="B17" s="170"/>
      <c r="C17" s="321"/>
      <c r="D17" s="321"/>
      <c r="E17" s="113"/>
      <c r="F17" s="26"/>
      <c r="G17" s="26"/>
      <c r="H17" s="26"/>
      <c r="I17" s="26"/>
      <c r="J17" s="26"/>
      <c r="K17" s="26"/>
      <c r="L17" s="26"/>
      <c r="M17" s="26"/>
      <c r="N17" s="26"/>
      <c r="O17" s="26"/>
      <c r="P17" s="26"/>
      <c r="Q17" s="26"/>
      <c r="R17" s="26"/>
      <c r="S17" s="147"/>
    </row>
    <row r="18" spans="1:19" ht="13.5" customHeight="1">
      <c r="A18" s="3653"/>
      <c r="B18" s="3653"/>
      <c r="C18" s="321"/>
      <c r="D18" s="412"/>
      <c r="E18" s="26" t="s">
        <v>2359</v>
      </c>
      <c r="F18" s="26"/>
      <c r="G18" s="26"/>
      <c r="H18" s="26"/>
      <c r="I18" s="26"/>
      <c r="J18" s="26"/>
      <c r="K18" s="26"/>
      <c r="L18" s="26"/>
      <c r="M18" s="26"/>
      <c r="N18" s="26"/>
      <c r="O18" s="26"/>
      <c r="P18" s="26"/>
      <c r="Q18" s="26"/>
      <c r="R18" s="26"/>
      <c r="S18" s="147"/>
    </row>
    <row r="19" spans="1:19" ht="13.5" customHeight="1" thickBot="1">
      <c r="A19" s="3653"/>
      <c r="B19" s="3653"/>
      <c r="C19" s="321"/>
      <c r="D19" s="412"/>
      <c r="E19" s="381" t="s">
        <v>2241</v>
      </c>
      <c r="F19" s="163"/>
      <c r="G19" s="163"/>
      <c r="H19" s="163"/>
      <c r="I19" s="163"/>
      <c r="J19" s="163"/>
      <c r="K19" s="163"/>
      <c r="L19" s="163"/>
      <c r="M19" s="163"/>
      <c r="N19" s="163"/>
      <c r="O19" s="163"/>
      <c r="P19" s="163"/>
      <c r="Q19" s="163"/>
      <c r="R19" s="163"/>
      <c r="S19" s="382"/>
    </row>
    <row r="20" spans="1:19" ht="13.5" customHeight="1" thickTop="1" thickBot="1">
      <c r="A20" s="2420"/>
      <c r="B20" s="2421"/>
      <c r="C20" s="32"/>
      <c r="D20" s="427"/>
    </row>
    <row r="21" spans="1:19" ht="13.5" customHeight="1" thickBot="1">
      <c r="A21" s="2422"/>
      <c r="B21" s="2420"/>
      <c r="C21" s="31"/>
      <c r="E21" s="2438" t="s">
        <v>1295</v>
      </c>
      <c r="F21" s="2043" t="s">
        <v>186</v>
      </c>
      <c r="G21" s="38" t="s">
        <v>1297</v>
      </c>
      <c r="H21" s="31"/>
      <c r="I21" s="28"/>
    </row>
    <row r="22" spans="1:19" ht="13.5" customHeight="1" thickBot="1">
      <c r="A22" s="13"/>
      <c r="B22" s="13"/>
      <c r="C22" s="13"/>
      <c r="L22" s="35"/>
      <c r="M22" s="321"/>
      <c r="N22" s="32"/>
    </row>
    <row r="23" spans="1:19" ht="13.5" customHeight="1" thickTop="1">
      <c r="A23" s="436" t="s">
        <v>708</v>
      </c>
      <c r="B23" s="1602"/>
      <c r="C23" s="1603"/>
      <c r="D23" s="1602"/>
      <c r="E23" s="1602"/>
      <c r="F23" s="1602"/>
      <c r="G23" s="1602"/>
      <c r="H23" s="1602"/>
      <c r="I23" s="1602"/>
      <c r="J23" s="1604"/>
    </row>
    <row r="24" spans="1:19" ht="13.5" customHeight="1" thickBot="1">
      <c r="A24" s="226"/>
      <c r="B24" s="1605" t="str">
        <f>CONCATENATE("  (",'A1.3.6'!E21,", ",B14," prices and ",B15," values)")</f>
        <v xml:space="preserve">  (£ per hour, 2010 prices and 2010 values)</v>
      </c>
      <c r="C24" s="1606"/>
      <c r="D24" s="1605"/>
      <c r="E24" s="1605"/>
      <c r="F24" s="1605"/>
      <c r="G24" s="1605"/>
      <c r="H24" s="1605"/>
      <c r="I24" s="1605"/>
      <c r="J24" s="1607"/>
    </row>
    <row r="25" spans="1:19" ht="13.5" customHeight="1" thickTop="1" thickBot="1">
      <c r="A25" s="1599" t="s">
        <v>998</v>
      </c>
      <c r="B25" s="524"/>
      <c r="C25" s="170"/>
      <c r="D25" s="115" t="s">
        <v>1420</v>
      </c>
      <c r="E25" s="443"/>
      <c r="F25" s="443"/>
      <c r="G25" s="410"/>
      <c r="H25" s="411"/>
      <c r="I25" s="389"/>
      <c r="J25" s="411"/>
    </row>
    <row r="26" spans="1:19" ht="29.25" customHeight="1" thickTop="1" thickBot="1">
      <c r="A26" s="525" t="s">
        <v>629</v>
      </c>
      <c r="B26" s="1600" t="s">
        <v>383</v>
      </c>
      <c r="C26" s="439"/>
      <c r="D26" s="1601" t="s">
        <v>1437</v>
      </c>
      <c r="E26" s="396" t="s">
        <v>1424</v>
      </c>
      <c r="F26" s="396" t="s">
        <v>1425</v>
      </c>
      <c r="G26" s="229" t="s">
        <v>1426</v>
      </c>
      <c r="H26" s="229" t="s">
        <v>1422</v>
      </c>
      <c r="I26" s="390" t="s">
        <v>1421</v>
      </c>
      <c r="J26" s="4" t="s">
        <v>1423</v>
      </c>
    </row>
    <row r="27" spans="1:19" ht="13.5" customHeight="1" thickTop="1">
      <c r="A27" s="522" t="s">
        <v>1439</v>
      </c>
      <c r="B27" s="12" t="s">
        <v>1427</v>
      </c>
      <c r="D27" s="1593">
        <f>IF(ISERROR(MATCH($B15,'A1.3.2'!$B$27:$B$106,0)),"",(((VLOOKUP($B15,'Forecast occupancies'!$C$28:$CP$64,2,TRUE) -1) * VLOOKUP($B15,'A1.3.2'!$B$27:$AY$106,36,) + VLOOKUP($B15,'A1.3.2'!$B$27:$AY$106,35,)) * $U$5))</f>
        <v>19.999723130530565</v>
      </c>
      <c r="E27" s="1593">
        <f>IF(ISERROR(MATCH($B15,'A1.3.2'!$B$27:$B$106,0)),"",(((VLOOKUP($B15,'Forecast occupancies'!$C$28:$CP$64,15,TRUE) -1) * VLOOKUP($B15,'A1.3.2'!$B$27:$AY$106,36,) + VLOOKUP($B15,'A1.3.2'!$B$27:$AY$106,35,)) * $U$5))</f>
        <v>20.494168490363094</v>
      </c>
      <c r="F27" s="1593">
        <f>IF(ISERROR(MATCH($B15,'A1.3.2'!$B$27:$B$106,0)),"",(((VLOOKUP($B15,'Forecast occupancies'!$C$28:$CP$64,28,TRUE) -1) * VLOOKUP($B15,'A1.3.2'!$B$27:$AY$106,36,) + VLOOKUP($B15,'A1.3.2'!$B$27:$AY$106,35,)) * $U$5))</f>
        <v>20.288349647451106</v>
      </c>
      <c r="G27" s="1593">
        <f>IF(ISERROR(MATCH($B15,'A1.3.2'!$B$27:$B$106,0)),"",(((VLOOKUP($B15,'Forecast occupancies'!$C$28:$CP$64,41,TRUE) -1) * VLOOKUP($B15,'A1.3.2'!$B$27:$AY$106,36,) + VLOOKUP($B15,'A1.3.2'!$B$27:$AY$106,35,)) * $U$5))</f>
        <v>20.672217845378672</v>
      </c>
      <c r="H27" s="1593">
        <f>IF(ISERROR(MATCH($B15,'A1.3.2'!$B$27:$B$106,0)),"",(((VLOOKUP($B15,'Forecast occupancies'!$C$28:$CP$64,54,TRUE) -1) * VLOOKUP($B15,'A1.3.2'!$B$27:$AY$106,36,) + VLOOKUP($B15,'A1.3.2'!$B$27:$AY$106,35,)) * $U$5))</f>
        <v>20.324448501218679</v>
      </c>
      <c r="I27" s="1593">
        <f>IF(ISERROR(MATCH($B15,'A1.3.2'!$B$27:$B$106,0)),"",(((VLOOKUP($B15,'Forecast occupancies'!$C$28:$CP$64,67,TRUE) -1) * VLOOKUP($B15,'A1.3.2'!$B$27:$AY$106,36,) + VLOOKUP($B15,'A1.3.2'!$B$27:$AY$106,35,)) * $U$5))</f>
        <v>23.228300341310018</v>
      </c>
      <c r="J27" s="1593">
        <f>IF(ISERROR(MATCH($B15,'A1.3.2'!$B$27:$B$106,0)),"",(((VLOOKUP($B15,'Forecast occupancies'!$C$28:$CP$64,80,TRUE) -1) * VLOOKUP($B15,'A1.3.2'!$B$27:$AY$106,36,) + VLOOKUP($B15,'A1.3.2'!$B$27:$AY$106,35,)) * $U$5))</f>
        <v>20.530572028098529</v>
      </c>
    </row>
    <row r="28" spans="1:19" ht="13.5" customHeight="1">
      <c r="A28" s="460"/>
      <c r="B28" s="12" t="s">
        <v>1440</v>
      </c>
      <c r="D28" s="515">
        <f>IF(ISERROR(MATCH($B15,'A1.3.2'!$B$27:$B$106,0)),"",VLOOKUP($B15,'Forecast occupancies'!$C$28:$CP$64,3,TRUE)*VLOOKUP($B15,'A1.3.2'!$B$27:$AY$106,49,)*$U$5)</f>
        <v>11.270862371732013</v>
      </c>
      <c r="E28" s="515">
        <f>IF(ISERROR(MATCH($B15,'A1.3.2'!$B$27:$B$106,0)),"",VLOOKUP($B15,'Forecast occupancies'!$C$28:$CP$64,16,TRUE)*VLOOKUP($B15,'A1.3.2'!$B$27:$AY$106,49,)*$U$5)</f>
        <v>11.454127644907834</v>
      </c>
      <c r="F28" s="515">
        <f>IF(ISERROR(MATCH($B15,'A1.3.2'!$B$27:$B$106,0)),"",VLOOKUP($B15,'Forecast occupancies'!$C$28:$CP$64,29,TRUE)*VLOOKUP($B15,'A1.3.2'!$B$27:$AY$106,49,)*$U$5)</f>
        <v>11.309739599833184</v>
      </c>
      <c r="G28" s="515">
        <f>IF(ISERROR(MATCH($B15,'A1.3.2'!$B$27:$B$106,0)),"",VLOOKUP($B15,'Forecast occupancies'!$C$28:$CP$64,42,TRUE)*VLOOKUP($B15,'A1.3.2'!$B$27:$AY$106,49,)*$U$5)</f>
        <v>11.475268410148223</v>
      </c>
      <c r="H28" s="515">
        <f>IF(ISERROR(MATCH($B15,'A1.3.2'!$B$27:$B$106,0)),"",VLOOKUP($B15,'Forecast occupancies'!$C$28:$CP$64,55,TRUE)*VLOOKUP($B15,'A1.3.2'!$B$27:$AY$106,49,)*$U$5)</f>
        <v>11.348192808668019</v>
      </c>
      <c r="I28" s="515">
        <f>IF(ISERROR(MATCH($B15,'A1.3.2'!$B$27:$B$106,0)),"",VLOOKUP($B15,'Forecast occupancies'!$C$28:$CP$64,68,TRUE)*VLOOKUP($B15,'A1.3.2'!$B$27:$AY$106,49,)*$U$5)</f>
        <v>12.014921062722699</v>
      </c>
      <c r="J28" s="515">
        <f>IF(ISERROR(MATCH($B15,'A1.3.2'!$B$27:$B$106,0)),"",VLOOKUP($B15,'Forecast occupancies'!$C$28:$CP$64,81,TRUE)*VLOOKUP($B15,'A1.3.2'!$B$27:$AY$106,49,)*$U$5)</f>
        <v>11.402131563909208</v>
      </c>
    </row>
    <row r="29" spans="1:19" ht="13.5" customHeight="1">
      <c r="A29" s="460"/>
      <c r="B29" s="12" t="s">
        <v>1428</v>
      </c>
      <c r="D29" s="515">
        <f>IF(ISERROR(MATCH($B15,'A1.3.2'!$B$27:$B$106,0)),"",VLOOKUP($B15,'Forecast occupancies'!$C$28:$CP$64,4,TRUE)*VLOOKUP($B15,'A1.3.2'!$B$27:$AY$106,50,)*$U$5)</f>
        <v>7.7760218476864438</v>
      </c>
      <c r="E29" s="515">
        <f>IF(ISERROR(MATCH($B15,'A1.3.2'!$B$27:$B$106,0)),"",VLOOKUP($B15,'Forecast occupancies'!$C$28:$CP$64,17,TRUE)*VLOOKUP($B15,'A1.3.2'!$B$27:$AY$106,50,)*$U$5)</f>
        <v>8.2833001204758325</v>
      </c>
      <c r="F29" s="515">
        <f>IF(ISERROR(MATCH($B15,'A1.3.2'!$B$27:$B$106,0)),"",VLOOKUP($B15,'Forecast occupancies'!$C$28:$CP$64,30,TRUE)*VLOOKUP($B15,'A1.3.2'!$B$27:$AY$106,50,)*$U$5)</f>
        <v>8.1431097826307859</v>
      </c>
      <c r="G29" s="515">
        <f>IF(ISERROR(MATCH($B15,'A1.3.2'!$B$27:$B$106,0)),"",VLOOKUP($B15,'Forecast occupancies'!$C$28:$CP$64,43,TRUE)*VLOOKUP($B15,'A1.3.2'!$B$27:$AY$106,50,)*$U$5)</f>
        <v>8.1140370950830043</v>
      </c>
      <c r="H29" s="515">
        <f>IF(ISERROR(MATCH($B15,'A1.3.2'!$B$27:$B$106,0)),"",VLOOKUP($B15,'Forecast occupancies'!$C$28:$CP$64,56,TRUE)*VLOOKUP($B15,'A1.3.2'!$B$27:$AY$106,50,)*$U$5)</f>
        <v>8.1341976352977419</v>
      </c>
      <c r="I29" s="515">
        <f>IF(ISERROR(MATCH($B15,'A1.3.2'!$B$27:$B$106,0)),"",VLOOKUP($B15,'Forecast occupancies'!$C$28:$CP$64,69,TRUE)*VLOOKUP($B15,'A1.3.2'!$B$27:$AY$106,50,)*$U$5)</f>
        <v>9.6310860851467268</v>
      </c>
      <c r="J29" s="515">
        <f>IF(ISERROR(MATCH($B15,'A1.3.2'!$B$27:$B$106,0)),"",VLOOKUP($B15,'Forecast occupancies'!$C$28:$CP$64,82,TRUE)*VLOOKUP($B15,'A1.3.2'!$B$27:$AY$106,50,)*$U$5)</f>
        <v>8.6624023032908735</v>
      </c>
    </row>
    <row r="30" spans="1:19" ht="13.5" customHeight="1">
      <c r="A30" s="1594"/>
      <c r="B30" s="1595" t="s">
        <v>1429</v>
      </c>
      <c r="C30" s="597"/>
      <c r="D30" s="517">
        <f>IF(ISERROR(MATCH($B15,'A1.3.2'!$B$27:$B$106,0)),"",(((D27*'VoT5'!$D$28)+(D28*'VoT5'!$D$29)+(D29*'VoT5'!$D$30))/100))</f>
        <v>11.32794161259922</v>
      </c>
      <c r="E30" s="517">
        <f>IF(ISERROR(MATCH($B15,'A1.3.2'!$B$27:$B$106,0)),"",(((E27*'VoT5'!$E$28)+(E28*'VoT5'!$E$29)+(E29*'VoT5'!$E$30))/100))</f>
        <v>10.668764536900987</v>
      </c>
      <c r="F30" s="517">
        <f>IF(ISERROR(MATCH($B15,'A1.3.2'!$B$27:$B$106,0)),"",(((F27*'VoT5'!$F$28)+(F28*'VoT5'!$F$29)+(F29*'VoT5'!$F$30))/100))</f>
        <v>10.88382638300256</v>
      </c>
      <c r="G30" s="517">
        <f>IF(ISERROR(MATCH($B15,'A1.3.2'!$B$27:$B$106,0)),"",(((G27*'VoT5'!$G$28)+(G28*'VoT5'!$G$29)+(G29*'VoT5'!$G$30))/100))</f>
        <v>11.026892102487622</v>
      </c>
      <c r="H30" s="517">
        <f>IF(ISERROR(MATCH($B15,'A1.3.2'!$B$27:$B$106,0)),"",(((H27*'VoT5'!$H$28)+(H28*'VoT5'!$H$29)+(H29*'VoT5'!$H$30))/100))</f>
        <v>10.947480544217941</v>
      </c>
      <c r="I30" s="517">
        <f>IF(ISERROR(MATCH($B15,'A1.3.2'!$B$27:$B$106,0)),"",(((I27*'VoT5'!$I$28)+(I28*'VoT5'!$I$29)+(I29*'VoT5'!$I$30))/100))</f>
        <v>10.29142286110474</v>
      </c>
      <c r="J30" s="517">
        <f>IF(ISERROR(MATCH($B15,'A1.3.2'!$B$27:$B$106,0)),"",(((J27*'VoT5'!$J$28)+(J28*'VoT5'!$J$29)+(J29*'VoT5'!$J$30))/100))</f>
        <v>10.791932383216057</v>
      </c>
    </row>
    <row r="31" spans="1:19" ht="13.5" customHeight="1">
      <c r="A31" s="1596" t="s">
        <v>1431</v>
      </c>
      <c r="B31" s="12" t="s">
        <v>1304</v>
      </c>
      <c r="D31" s="515">
        <f>IF(ISERROR(MATCH($B15,'A1.3.2'!$B$27:$B$106,0)),"",(VLOOKUP($B15,'Forecast occupancies'!$C$28:$CP$64,6,TRUE) * VLOOKUP($B15, 'A1.3.2'!$B$27:$AY$106,37,)) * $U$5)</f>
        <v>14.615979367528487</v>
      </c>
      <c r="E31" s="515">
        <f>IF(ISERROR(MATCH($B15,'A1.3.2'!$B$27:$B$106,0)),"",(VLOOKUP($B15,'Forecast occupancies'!$C$28:$CP$64,19,TRUE) * VLOOKUP($B15, 'A1.3.2'!$B$27:$AY$106,37,)) * $U$5)</f>
        <v>14.615979367528487</v>
      </c>
      <c r="F31" s="515">
        <f>IF(ISERROR(MATCH($B15,'A1.3.2'!$B$27:$B$106,0)),"",(VLOOKUP($B15,'Forecast occupancies'!$C$28:$CP$64,32,TRUE) * VLOOKUP($B15, 'A1.3.2'!$B$27:$AY$106,37,)) * $U$5)</f>
        <v>14.615979367528487</v>
      </c>
      <c r="G31" s="515">
        <f>IF(ISERROR(MATCH($B15,'A1.3.2'!$B$27:$B$106,0)),"",(VLOOKUP($B15,'Forecast occupancies'!$C$28:$CP$64,45,TRUE) * VLOOKUP($B15, 'A1.3.2'!$B$27:$AY$106,37,)) * $U$5)</f>
        <v>14.615979367528487</v>
      </c>
      <c r="H31" s="515">
        <f>IF(ISERROR(MATCH($B15,'A1.3.2'!$B$27:$B$106,0)),"",(VLOOKUP($B15,'Forecast occupancies'!$C$28:$CP$64,58,TRUE) * VLOOKUP($B15, 'A1.3.2'!$B$27:$AY$106,37,)) * $U$5)</f>
        <v>14.615979367528487</v>
      </c>
      <c r="I31" s="515">
        <f>IF(ISERROR(MATCH($B15,'A1.3.2'!$B$27:$B$106,0)),"",(VLOOKUP($B15,'Forecast occupancies'!$C$28:$CP$64,71,TRUE) * VLOOKUP($B15, 'A1.3.2'!$B$27:$AY$106,37,)) * $U$5)</f>
        <v>15.346778335904913</v>
      </c>
      <c r="J31" s="515">
        <f>IF(ISERROR(MATCH($B15,'A1.3.2'!$B$27:$B$106,0)),"",(VLOOKUP($B15,'Forecast occupancies'!$C$28:$CP$64,84,TRUE) * VLOOKUP($B15, 'A1.3.2'!$B$27:$AY$106,37,)) * $U$5)</f>
        <v>14.615979367528487</v>
      </c>
    </row>
    <row r="32" spans="1:19" ht="13.5" customHeight="1">
      <c r="A32" s="460"/>
      <c r="B32" s="12" t="s">
        <v>996</v>
      </c>
      <c r="D32" s="515">
        <f>IF(ISERROR(MATCH($B15,'A1.3.2'!$B$27:$B$106,0)),"",H32)</f>
        <v>8.9218938643805537</v>
      </c>
      <c r="E32" s="515">
        <f>IF(ISERROR(MATCH($B15,'A1.3.2'!$B$27:$B$106,0)),"",H32)</f>
        <v>8.9218938643805537</v>
      </c>
      <c r="F32" s="515">
        <f>IF(ISERROR(MATCH($B15,'A1.3.2'!$B$27:$B$106,0)),"",H32)</f>
        <v>8.9218938643805537</v>
      </c>
      <c r="G32" s="515">
        <f>IF(ISERROR(MATCH($B15,'A1.3.2'!$B$27:$B$106,0)),"",H32)</f>
        <v>8.9218938643805537</v>
      </c>
      <c r="H32" s="515">
        <f>IF(ISERROR(MATCH($B15,'A1.3.2'!$B$27:$B$106,0)),"",(VLOOKUP($B15,'Forecast occupancies'!$C$28:$CP$64,59,TRUE) * (VLOOKUP($B15,'A1.3.2'!$B$27:$AY$106,49,) * 'VoT5'!$J$29 + VLOOKUP($B15,'A1.3.2'!$B$27:$AY$106,50,) * 'VoT5'!$J$30) / (SUM('VoT5'!$J$29:$J$30))) * $U$5)</f>
        <v>8.9218938643805537</v>
      </c>
      <c r="I32" s="515">
        <f>IF(ISERROR(MATCH($B15,'A1.3.2'!$B$27:$B$106,0)),"",(VLOOKUP($B15,'Forecast occupancies'!$C$28:$CP$64,72,TRUE) * (VLOOKUP($B15,'A1.3.2'!$B$27:$AY$106,49,) * 'VoT5'!$J$29 + VLOOKUP($B15,'A1.3.2'!$B$27:$AY$106,50,) * 'VoT5'!$J$30) / (SUM('VoT5'!$J$29:$J$30))) * $U$5)</f>
        <v>12.405099003214058</v>
      </c>
      <c r="J32" s="515">
        <f>IF(ISERROR(MATCH($B15,'A1.3.2'!$B$27:$B$106,0)),"",(VLOOKUP($B15,'Forecast occupancies'!$C$28:$CP$64,85,TRUE) * (VLOOKUP($B15,'A1.3.2'!$B$27:$AY$106,49,) * 'VoT5'!$J$29 + VLOOKUP($B15,'A1.3.2'!$B$27:$AY$106,50,) * 'VoT5'!$J$30) / (SUM('VoT5'!$J$29:$J$30))) * $U$5)</f>
        <v>9.7163090714829323</v>
      </c>
    </row>
    <row r="33" spans="1:10" ht="13.5" customHeight="1">
      <c r="A33" s="1594"/>
      <c r="B33" s="1595" t="s">
        <v>1433</v>
      </c>
      <c r="C33" s="597"/>
      <c r="D33" s="517">
        <f>IF(ISERROR(MATCH($B15,'A1.3.2'!$B$27:$B$106,0)),"",(D31*'VoT5'!D$31 + D32*'VoT5'!D$32)/100)</f>
        <v>13.932689107150736</v>
      </c>
      <c r="E33" s="517">
        <f>IF(ISERROR(MATCH($B15,'A1.3.2'!$B$27:$B$106,0)),"",(E31*'VoT5'!E$31 + E32*'VoT5'!E$32)/100)</f>
        <v>13.932689107150736</v>
      </c>
      <c r="F33" s="517">
        <f>IF(ISERROR(MATCH($B15,'A1.3.2'!$B$27:$B$106,0)),"",(F31*'VoT5'!F$31 + F32*'VoT5'!F$32)/100)</f>
        <v>13.932689107150736</v>
      </c>
      <c r="G33" s="517">
        <f>IF(ISERROR(MATCH($B15,'A1.3.2'!$B$27:$B$106,0)),"",(G31*'VoT5'!G$31 + G32*'VoT5'!G$32)/100)</f>
        <v>13.932689107150736</v>
      </c>
      <c r="H33" s="517">
        <f>IF(ISERROR(MATCH($B15,'A1.3.2'!$B$27:$B$106,0)),"",(H31*'VoT5'!H$31 + H32*'VoT5'!H$32)/100)</f>
        <v>13.932689107150736</v>
      </c>
      <c r="I33" s="517">
        <f>IF(ISERROR(MATCH($B15,'A1.3.2'!$B$27:$B$106,0)),"",(I31*'VoT5'!I$31 + I32*'VoT5'!I$32)/100)</f>
        <v>14.99377681598201</v>
      </c>
      <c r="J33" s="517">
        <f>IF(ISERROR(MATCH($B15,'A1.3.2'!$B$27:$B$106,0)),"",(J31*'VoT5'!J$31 + J32*'VoT5'!J$32)/100)</f>
        <v>14.028018932003022</v>
      </c>
    </row>
    <row r="34" spans="1:10" ht="13.5" customHeight="1">
      <c r="A34" s="1596" t="s">
        <v>1443</v>
      </c>
      <c r="B34" s="12" t="s">
        <v>1448</v>
      </c>
      <c r="D34" s="515">
        <f>IF(ISERROR(MATCH($B15,'A1.3.2'!$B$27:$B$106,0)),"",(VLOOKUP($B15,'Forecast occupancies'!$C$28:$CP$64,9,TRUE)*VLOOKUP($B15,'A1.3.2'!$B$27:$AY$106,38,)) * $U$5)</f>
        <v>14.350951963873461</v>
      </c>
      <c r="E34" s="515">
        <f>IF(ISERROR(MATCH($B15,'A1.3.2'!$B$27:$B$106,0)),"",(VLOOKUP($B15,'Forecast occupancies'!$C$28:$CP$64,22,TRUE)*VLOOKUP($B15,'A1.3.2'!$B$27:$AY$106,38,)) * $U$5)</f>
        <v>14.350951963873461</v>
      </c>
      <c r="F34" s="515">
        <f>IF(ISERROR(MATCH($B15,'A1.3.2'!$B$27:$B$106,0)),"",(VLOOKUP($B15,'Forecast occupancies'!$C$28:$CP$64,35,TRUE)*VLOOKUP($B15,'A1.3.2'!$B$27:$AY$106,38,)) * $U$5)</f>
        <v>14.350951963873461</v>
      </c>
      <c r="G34" s="515">
        <f>IF(ISERROR(MATCH($B15,'A1.3.2'!$B$27:$B$106,0)),"",(VLOOKUP($B15,'Forecast occupancies'!$C$28:$CP$64,48,TRUE)*VLOOKUP($B15,'A1.3.2'!$B$27:$AY$106,38,)) * $U$5)</f>
        <v>14.350951963873461</v>
      </c>
      <c r="H34" s="515">
        <f>IF(ISERROR(MATCH($B15,'A1.3.2'!$B$27:$B$106,0)),"",(VLOOKUP($B15,'Forecast occupancies'!$C$28:$CP$64,61,TRUE)*VLOOKUP($B15,'A1.3.2'!$B$27:$AY$106,38,)) * $U$5)</f>
        <v>14.350951963873461</v>
      </c>
      <c r="I34" s="515">
        <f>IF(ISERROR(MATCH($B15,'A1.3.2'!$B$27:$B$106,0)),"",(VLOOKUP($B15,'Forecast occupancies'!$C$28:$CP$64,74,TRUE)*VLOOKUP($B15,'A1.3.2'!$B$27:$AY$106,38,)) * $U$5)</f>
        <v>14.350951963873461</v>
      </c>
      <c r="J34" s="515">
        <f>IF(ISERROR(MATCH($B15,'A1.3.2'!$B$27:$B$106,0)),"",(VLOOKUP($B15,'Forecast occupancies'!$C$28:$CP$64,87,TRUE)*VLOOKUP($B15,'A1.3.2'!$B$27:$AY$106,38,)) * $U$5)</f>
        <v>14.350951963873461</v>
      </c>
    </row>
    <row r="35" spans="1:10" ht="13.5" customHeight="1">
      <c r="A35" s="1597" t="s">
        <v>1444</v>
      </c>
      <c r="B35" s="1595" t="s">
        <v>1448</v>
      </c>
      <c r="C35" s="597"/>
      <c r="D35" s="517">
        <f>IF(ISERROR(MATCH($B15,'A1.3.2'!$B$27:$B$106,0)),"",(VLOOKUP($B15,'Forecast occupancies'!$C$28:$CP$64,10,TRUE)*VLOOKUP($B15,'A1.3.2'!$B$27:$AY$106,38,)) * $U$5)</f>
        <v>14.350951963873461</v>
      </c>
      <c r="E35" s="517">
        <f>IF(ISERROR(MATCH($B15,'A1.3.2'!$B$27:$B$106,0)),"",(VLOOKUP($B15,'Forecast occupancies'!$C$28:$CP$64,23,TRUE)*VLOOKUP($B15,'A1.3.2'!$B$27:$AY$106,38,)) * $U$5)</f>
        <v>14.350951963873461</v>
      </c>
      <c r="F35" s="517">
        <f>IF(ISERROR(MATCH($B15,'A1.3.2'!$B$27:$B$106,0)),"",(VLOOKUP($B15,'Forecast occupancies'!$C$28:$CP$64,36,TRUE)*VLOOKUP($B15,'A1.3.2'!$B$27:$AY$106,38,)) * $U$5)</f>
        <v>14.350951963873461</v>
      </c>
      <c r="G35" s="517">
        <f>IF(ISERROR(MATCH($B15,'A1.3.2'!$B$27:$B$106,0)),"",(VLOOKUP($B15,'Forecast occupancies'!$C$28:$CP$64,49,TRUE)*VLOOKUP($B15,'A1.3.2'!$B$27:$AY$106,38,)) * $U$5)</f>
        <v>14.350951963873461</v>
      </c>
      <c r="H35" s="517">
        <f>IF(ISERROR(MATCH($B15,'A1.3.2'!$B$27:$B$106,0)),"",(VLOOKUP($B15,'Forecast occupancies'!$C$28:$CP$64,62,TRUE)*VLOOKUP($B15,'A1.3.2'!$B$27:$AY$106,38,)) * $U$5)</f>
        <v>14.350951963873461</v>
      </c>
      <c r="I35" s="517">
        <f>IF(ISERROR(MATCH($B15,'A1.3.2'!$B$27:$B$106,0)),"",(VLOOKUP($B15,'Forecast occupancies'!$C$28:$CP$64,75,TRUE)*VLOOKUP($B15,'A1.3.2'!$B$27:$AY$106,38,)) * $U$5)</f>
        <v>14.350951963873461</v>
      </c>
      <c r="J35" s="517">
        <f>IF(ISERROR(MATCH($B15,'A1.3.2'!$B$27:$B$106,0)),"",(VLOOKUP($B15,'Forecast occupancies'!$C$28:$CP$64,88,TRUE)*VLOOKUP($B15,'A1.3.2'!$B$27:$AY$106,38,)) * $U$5)</f>
        <v>14.350951963873461</v>
      </c>
    </row>
    <row r="36" spans="1:10" ht="13.5" customHeight="1">
      <c r="A36" s="1592" t="s">
        <v>793</v>
      </c>
      <c r="B36" s="12" t="s">
        <v>1427</v>
      </c>
      <c r="D36" s="515">
        <f>IF(ISERROR(MATCH($B15,'A1.3.2'!$B$27:$B$106,0)),"",(((VLOOKUP($B15,'Forecast occupancies'!$C$28:$CP$64,11,TRUE) -1) * VLOOKUP($B15,'A1.3.2'!$B$27:$AY$106,40,)) + VLOOKUP($B15,'A1.3.2'!$B$27:$AY$106,39,)) * $U$5)</f>
        <v>16.353039511604919</v>
      </c>
      <c r="E36" s="515">
        <f>IF(ISERROR(MATCH($B15,'A1.3.2'!$B$27:$B$106,0)),"",(((VLOOKUP($B15,'Forecast occupancies'!$C$28:$CP$64,24,TRUE) -1) * VLOOKUP($B15,'A1.3.2'!$B$27:$AY$106,40,)) + VLOOKUP($B15,'A1.3.2'!$B$27:$AY$106,39,)) * $U$5)</f>
        <v>16.686819590400443</v>
      </c>
      <c r="F36" s="515">
        <f>IF(ISERROR(MATCH($B15,'A1.3.2'!$B$27:$B$106,0)),"",(((VLOOKUP($B15,'Forecast occupancies'!$C$28:$CP$64,37,TRUE) -1) * VLOOKUP($B15,'A1.3.2'!$B$27:$AY$106,40,)) + VLOOKUP($B15,'A1.3.2'!$B$27:$AY$106,39,)) * $U$5)</f>
        <v>17.459203708545985</v>
      </c>
      <c r="G36" s="515">
        <f>IF(ISERROR(MATCH($B15,'A1.3.2'!$B$27:$B$106,0)),"",(((VLOOKUP($B15,'Forecast occupancies'!$C$28:$CP$64,50,TRUE) -1) * VLOOKUP($B15,'A1.3.2'!$B$27:$AY$106,40,)) + VLOOKUP($B15,'A1.3.2'!$B$27:$AY$106,39,)) * $U$5)</f>
        <v>17.445084919239434</v>
      </c>
      <c r="H36" s="515">
        <f>IF(ISERROR(MATCH($B15,'A1.3.2'!$B$27:$B$106,0)),"",(((VLOOKUP($B15,'Forecast occupancies'!$C$28:$CP$64,63,TRUE) -1) * VLOOKUP($B15,'A1.3.2'!$B$27:$AY$106,40,)) + VLOOKUP($B15,'A1.3.2'!$B$27:$AY$106,39,)) * $U$5)</f>
        <v>16.820398427886772</v>
      </c>
      <c r="I36" s="515">
        <f>IF(ISERROR(MATCH($B15,'A1.3.2'!$B$27:$B$106,0)),"",(((VLOOKUP($B15,'Forecast occupancies'!$C$28:$CP$64,76,TRUE) -1) * VLOOKUP($B15,'A1.3.2'!$B$27:$AY$106,40,)) + VLOOKUP($B15,'A1.3.2'!$B$27:$AY$106,39,)) * $U$5)</f>
        <v>15.31891368008262</v>
      </c>
      <c r="J36" s="515">
        <f>IF(ISERROR(MATCH($B15,'A1.3.2'!$B$27:$B$106,0)),"",(((VLOOKUP($B15,'Forecast occupancies'!$C$28:$CP$64,89,TRUE) -1) * VLOOKUP($B15,'A1.3.2'!$B$27:$AY$106,40,)) + VLOOKUP($B15,'A1.3.2'!$B$27:$AY$106,39,)) * $U$5)</f>
        <v>16.449620432533145</v>
      </c>
    </row>
    <row r="37" spans="1:10" ht="13.5" customHeight="1">
      <c r="A37" s="1592" t="s">
        <v>997</v>
      </c>
      <c r="B37" s="12" t="s">
        <v>1440</v>
      </c>
      <c r="D37" s="515">
        <f>IF(ISERROR(MATCH($B15,'A1.3.2'!$B$27:$B$106,0)),"",(VLOOKUP($B15,'Forecast occupancies'!$C$28:$CP$64,12,TRUE) * VLOOKUP($B15,'A1.3.2'!$B$27:$AY$106,49,)) * $U$5)</f>
        <v>22.386087851109576</v>
      </c>
      <c r="E37" s="515">
        <f>IF(ISERROR(MATCH($B15,'A1.3.2'!$B$27:$B$106,0)),"",(VLOOKUP($B15,'Forecast occupancies'!$C$28:$CP$64,25,TRUE) * VLOOKUP($B15,'A1.3.2'!$B$27:$AY$106,49,)) * $U$5)</f>
        <v>7.8456114326819053</v>
      </c>
      <c r="F37" s="515">
        <f>IF(ISERROR(MATCH($B15,'A1.3.2'!$B$27:$B$106,0)),"",(VLOOKUP($B15,'Forecast occupancies'!$C$28:$CP$64,38,TRUE) * VLOOKUP($B15,'A1.3.2'!$B$27:$AY$106,49,)) * $U$5)</f>
        <v>31.483290963073696</v>
      </c>
      <c r="G37" s="515">
        <f>IF(ISERROR(MATCH($B15,'A1.3.2'!$B$27:$B$106,0)),"",(VLOOKUP($B15,'Forecast occupancies'!$C$28:$CP$64,51,TRUE) * VLOOKUP($B15,'A1.3.2'!$B$27:$AY$106,49,)) * $U$5)</f>
        <v>43.036876716181162</v>
      </c>
      <c r="H37" s="515">
        <f>IF(ISERROR(MATCH($B15,'A1.3.2'!$B$27:$B$106,0)),"",(VLOOKUP($B15,'Forecast occupancies'!$C$28:$CP$64,64,TRUE) * VLOOKUP($B15,'A1.3.2'!$B$27:$AY$106,49,)) * $U$5)</f>
        <v>19.42828795426259</v>
      </c>
      <c r="I37" s="515">
        <f>IF(ISERROR(MATCH($B15,'A1.3.2'!$B$27:$B$106,0)),"",(VLOOKUP($B15,'Forecast occupancies'!$C$28:$CP$64,77,TRUE) * VLOOKUP($B15,'A1.3.2'!$B$27:$AY$106,49,)) * $U$5)</f>
        <v>7.3601851659359978</v>
      </c>
      <c r="J37" s="515">
        <f>IF(ISERROR(MATCH($B15,'A1.3.2'!$B$27:$B$106,0)),"",(VLOOKUP($B15,'Forecast occupancies'!$C$28:$CP$64,90,TRUE) * VLOOKUP($B15,'A1.3.2'!$B$27:$AY$106,49,)) * $U$5)</f>
        <v>16.447605488532371</v>
      </c>
    </row>
    <row r="38" spans="1:10" ht="13.5" customHeight="1">
      <c r="A38" s="460"/>
      <c r="B38" s="745" t="s">
        <v>1419</v>
      </c>
      <c r="C38" s="597"/>
      <c r="D38" s="517">
        <f>IF(ISERROR(MATCH($B15,'A1.3.2'!$B$27:$B$106,0)),"",(VLOOKUP($B15,'Forecast occupancies'!$C$28:$CP$64,13,TRUE) * VLOOKUP($B15,'A1.3.2'!$B$27:$AY$106,50,)) * $U$5)</f>
        <v>44.437994334995601</v>
      </c>
      <c r="E38" s="517">
        <f>IF(ISERROR(MATCH($B15,'A1.3.2'!$B$27:$B$106,0)),"",(VLOOKUP($B15,'Forecast occupancies'!$C$28:$CP$64,26,TRUE) * VLOOKUP($B15,'A1.3.2'!$B$27:$AY$106,50,)) * $U$5)</f>
        <v>50.923435071437268</v>
      </c>
      <c r="F38" s="517">
        <f>IF(ISERROR(MATCH($B15,'A1.3.2'!$B$27:$B$106,0)),"",(VLOOKUP($B15,'Forecast occupancies'!$C$28:$CP$64,39,TRUE) * VLOOKUP($B15,'A1.3.2'!$B$27:$AY$106,50,)) * $U$5)</f>
        <v>39.784444442195543</v>
      </c>
      <c r="G38" s="517">
        <f>IF(ISERROR(MATCH($B15,'A1.3.2'!$B$27:$B$106,0)),"",(VLOOKUP($B15,'Forecast occupancies'!$C$28:$CP$64,52,TRUE) * VLOOKUP($B15,'A1.3.2'!$B$27:$AY$106,50,)) * $U$5)</f>
        <v>34.517439812347341</v>
      </c>
      <c r="H38" s="517">
        <f>IF(ISERROR(MATCH($B15,'A1.3.2'!$B$27:$B$106,0)),"",(VLOOKUP($B15,'Forecast occupancies'!$C$28:$CP$64,65,TRUE) * VLOOKUP($B15,'A1.3.2'!$B$27:$AY$106,50,)) * $U$5)</f>
        <v>45.576216008051169</v>
      </c>
      <c r="I38" s="517">
        <f>IF(ISERROR(MATCH($B15,'A1.3.2'!$B$27:$B$106,0)),"",(VLOOKUP($B15,'Forecast occupancies'!$C$28:$CP$64,78,TRUE) * VLOOKUP($B15,'A1.3.2'!$B$27:$AY$106,50,)) * $U$5)</f>
        <v>51.764932861755518</v>
      </c>
      <c r="J38" s="517">
        <f>IF(ISERROR(MATCH($B15,'A1.3.2'!$B$27:$B$106,0)),"",(VLOOKUP($B15,'Forecast occupancies'!$C$28:$CP$64,91,TRUE) * VLOOKUP($B15,'A1.3.2'!$B$27:$AY$106,50,)) * $U$5)</f>
        <v>47.104725446545615</v>
      </c>
    </row>
    <row r="39" spans="1:10" ht="13.5" customHeight="1">
      <c r="A39" s="460"/>
      <c r="B39" s="12" t="s">
        <v>1449</v>
      </c>
      <c r="D39" s="515">
        <f>IF(ISERROR(MATCH($B15,'A1.3.2'!$B$27:$B$106,0)),"",SUM(D36:D38))</f>
        <v>83.177121697710106</v>
      </c>
      <c r="E39" s="515">
        <f>IF(ISERROR(MATCH($B15,'A1.3.2'!$B$27:$B$106,0)),"",SUM(E36:E38))</f>
        <v>75.455866094519621</v>
      </c>
      <c r="F39" s="515">
        <f>IF(ISERROR(MATCH($B15,'A1.3.2'!$B$27:$B$106,0)),"",SUM(F36:F38))</f>
        <v>88.726939113815234</v>
      </c>
      <c r="G39" s="515">
        <f>IF(ISERROR(MATCH($B15,'A1.3.2'!$B$27:$B$106,0)),"",SUM(G36:G38))</f>
        <v>94.999401447767937</v>
      </c>
      <c r="H39" s="515">
        <f>IF(ISERROR(MATCH($B15,'A1.3.2'!$B$27:$B$106,0)),"",SUM(H36:H38))</f>
        <v>81.824902390200521</v>
      </c>
      <c r="I39" s="515">
        <f>IF(ISERROR(MATCH($B15,'A1.3.2'!$B$27:$B$106,0)),"",SUM(I36:I38))</f>
        <v>74.444031707774144</v>
      </c>
      <c r="J39" s="515">
        <f>IF(ISERROR(MATCH($B15,'A1.3.2'!$B$27:$B$106,0)),"",SUM(J36:J38))</f>
        <v>80.001951367611127</v>
      </c>
    </row>
    <row r="40" spans="1:10" ht="13.5" customHeight="1" thickBot="1">
      <c r="A40" s="461"/>
      <c r="B40" s="521"/>
      <c r="C40" s="13"/>
      <c r="D40" s="519"/>
      <c r="E40" s="1598"/>
      <c r="F40" s="1598"/>
      <c r="G40" s="1598"/>
      <c r="H40" s="1598"/>
      <c r="I40" s="1598"/>
      <c r="J40" s="1598"/>
    </row>
    <row r="41" spans="1:10" ht="13.5" customHeight="1" thickTop="1"/>
    <row r="42" spans="1:10" ht="13.5" customHeight="1">
      <c r="C42" s="451"/>
    </row>
    <row r="43" spans="1:10" ht="13.5" customHeight="1">
      <c r="C43" s="451"/>
    </row>
    <row r="45" spans="1:10" ht="13.5" customHeight="1">
      <c r="C45" s="520"/>
    </row>
    <row r="47" spans="1:10" ht="13.5" customHeight="1">
      <c r="B47" s="427"/>
    </row>
  </sheetData>
  <sheetProtection sheet="1" objects="1" scenarios="1"/>
  <mergeCells count="8">
    <mergeCell ref="A19:B19"/>
    <mergeCell ref="E6:S6"/>
    <mergeCell ref="A7:B7"/>
    <mergeCell ref="A8:B8"/>
    <mergeCell ref="A10:B10"/>
    <mergeCell ref="A11:B11"/>
    <mergeCell ref="A12:B12"/>
    <mergeCell ref="A18:B18"/>
  </mergeCells>
  <phoneticPr fontId="8" type="noConversion"/>
  <dataValidations count="1">
    <dataValidation type="list" showInputMessage="1" showErrorMessage="1" sqref="E21">
      <formula1>$U$2:$U$3</formula1>
    </dataValidation>
  </dataValidations>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9" scale="49" fitToHeight="0" orientation="landscape" r:id="rId3"/>
  <headerFooter alignWithMargins="0"/>
  <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8000"/>
  </sheetPr>
  <dimension ref="A1:CY143"/>
  <sheetViews>
    <sheetView showGridLines="0" zoomScale="85" zoomScaleNormal="85" zoomScaleSheetLayoutView="55" workbookViewId="0">
      <selection activeCell="B15" sqref="B15"/>
    </sheetView>
  </sheetViews>
  <sheetFormatPr defaultColWidth="12.88671875" defaultRowHeight="13.5" customHeight="1"/>
  <cols>
    <col min="1" max="16384" width="12.88671875" style="38"/>
  </cols>
  <sheetData>
    <row r="1" spans="1:100" ht="54.9" customHeight="1" thickBot="1">
      <c r="A1" s="28"/>
      <c r="C1" s="28"/>
      <c r="D1" s="3688"/>
      <c r="E1" s="3689"/>
      <c r="F1" s="3689"/>
      <c r="G1" s="3689"/>
      <c r="H1" s="3689"/>
      <c r="I1" s="3689"/>
      <c r="J1" s="3689"/>
      <c r="K1" s="3689"/>
      <c r="L1" s="3689"/>
      <c r="M1" s="3689"/>
      <c r="N1" s="3689"/>
      <c r="O1" s="3689"/>
      <c r="P1" s="3689"/>
      <c r="Q1" s="3715"/>
      <c r="R1" s="3689"/>
      <c r="S1" s="3689"/>
      <c r="T1" s="3689"/>
      <c r="U1" s="3689"/>
      <c r="V1" s="3689"/>
      <c r="W1" s="3689"/>
      <c r="X1" s="3689"/>
      <c r="Y1" s="3689"/>
      <c r="Z1" s="3689"/>
      <c r="AA1" s="3689"/>
      <c r="AB1" s="3689"/>
      <c r="AC1" s="3689"/>
      <c r="AD1" s="3688"/>
      <c r="AE1" s="3688"/>
      <c r="AF1" s="3688"/>
      <c r="AG1" s="3688"/>
      <c r="AH1" s="3688"/>
      <c r="AI1" s="3688"/>
      <c r="AJ1" s="3688"/>
      <c r="AK1" s="3688"/>
      <c r="AL1" s="3688"/>
      <c r="AM1" s="3688"/>
      <c r="AN1" s="3688"/>
      <c r="AO1" s="3688"/>
      <c r="AP1" s="3688"/>
      <c r="AQ1" s="3688"/>
      <c r="AR1" s="3689"/>
      <c r="AS1" s="3689"/>
      <c r="AT1" s="3689"/>
      <c r="AU1" s="3689"/>
      <c r="AV1" s="3689"/>
      <c r="AW1" s="3689"/>
      <c r="AX1" s="3689"/>
      <c r="AY1" s="3689"/>
      <c r="AZ1" s="3689"/>
      <c r="BA1" s="3689"/>
      <c r="BB1" s="3689"/>
      <c r="BC1" s="3689"/>
      <c r="BD1" s="3688"/>
      <c r="BE1" s="3689"/>
      <c r="BF1" s="3689"/>
      <c r="BG1" s="3689"/>
      <c r="BH1" s="3689"/>
      <c r="BI1" s="3689"/>
      <c r="BJ1" s="3689"/>
      <c r="BK1" s="3689"/>
      <c r="BL1" s="3689"/>
      <c r="BM1" s="3689"/>
      <c r="BN1" s="3689"/>
      <c r="BO1" s="3689"/>
      <c r="BP1" s="3689"/>
      <c r="BQ1" s="3688"/>
      <c r="BR1" s="3689"/>
      <c r="BS1" s="3689"/>
      <c r="BT1" s="3689"/>
      <c r="BU1" s="3689"/>
      <c r="BV1" s="3689"/>
      <c r="BW1" s="3689"/>
      <c r="BX1" s="3689"/>
      <c r="BY1" s="3689"/>
      <c r="BZ1" s="3689"/>
      <c r="CA1" s="3689"/>
      <c r="CB1" s="3689"/>
      <c r="CC1" s="3689"/>
      <c r="CD1" s="3688"/>
      <c r="CE1" s="3688"/>
      <c r="CF1" s="3688"/>
      <c r="CG1" s="3688"/>
      <c r="CH1" s="3688"/>
      <c r="CI1" s="3688"/>
      <c r="CJ1" s="3688"/>
      <c r="CK1" s="3688"/>
      <c r="CL1" s="3688"/>
      <c r="CM1" s="3688"/>
      <c r="CN1" s="3688"/>
      <c r="CO1" s="3688"/>
      <c r="CP1" s="3688"/>
    </row>
    <row r="2" spans="1:100" s="300" customFormat="1" ht="5.0999999999999996" customHeight="1">
      <c r="D2" s="83"/>
      <c r="E2" s="83"/>
      <c r="F2" s="83"/>
      <c r="M2" s="31"/>
      <c r="N2" s="35"/>
      <c r="O2" s="35"/>
      <c r="P2" s="35"/>
      <c r="Q2" s="31"/>
      <c r="R2" s="32"/>
      <c r="U2" s="485"/>
      <c r="V2" s="485"/>
      <c r="W2" s="485"/>
      <c r="X2" s="485"/>
      <c r="AF2" s="31"/>
      <c r="AG2" s="35"/>
      <c r="AH2" s="35"/>
      <c r="AI2" s="35"/>
      <c r="AJ2" s="83"/>
      <c r="AP2" s="485"/>
      <c r="AS2" s="31"/>
      <c r="AT2" s="35"/>
      <c r="AU2" s="35"/>
      <c r="AV2" s="35"/>
      <c r="AW2" s="31"/>
      <c r="AX2" s="32"/>
      <c r="BC2" s="444"/>
      <c r="BD2" s="444"/>
      <c r="BE2" s="444"/>
      <c r="BF2" s="31"/>
      <c r="BG2" s="35"/>
      <c r="BH2" s="35"/>
      <c r="BI2" s="35"/>
      <c r="BJ2" s="31"/>
      <c r="BK2" s="32"/>
      <c r="BP2" s="444"/>
      <c r="BQ2" s="444"/>
      <c r="BR2" s="444"/>
      <c r="BS2" s="31"/>
      <c r="BT2" s="35"/>
      <c r="BU2" s="35"/>
      <c r="BV2" s="35"/>
      <c r="BW2" s="31"/>
      <c r="BX2" s="32"/>
      <c r="CC2" s="444"/>
      <c r="CD2" s="444"/>
      <c r="CE2" s="444"/>
      <c r="CQ2" s="46"/>
      <c r="CR2" s="1569" t="s">
        <v>1295</v>
      </c>
      <c r="CS2" s="444"/>
      <c r="CT2" s="444"/>
      <c r="CU2" s="46"/>
      <c r="CV2" s="445"/>
    </row>
    <row r="3" spans="1:100" s="300" customFormat="1" ht="20.100000000000001" customHeight="1" thickBot="1">
      <c r="A3" s="426" t="s">
        <v>2242</v>
      </c>
      <c r="D3" s="46"/>
      <c r="E3" s="444"/>
      <c r="F3" s="445"/>
      <c r="G3" s="485"/>
      <c r="H3" s="46"/>
      <c r="K3" s="485"/>
      <c r="L3" s="485"/>
      <c r="M3" s="31"/>
      <c r="N3" s="29"/>
      <c r="O3" s="32"/>
      <c r="P3" s="29"/>
      <c r="Q3" s="31"/>
      <c r="R3" s="32"/>
      <c r="AF3" s="83"/>
      <c r="AG3" s="29"/>
      <c r="AH3" s="32"/>
      <c r="AI3" s="29"/>
      <c r="AJ3" s="83"/>
      <c r="AS3" s="31"/>
      <c r="AT3" s="29"/>
      <c r="AU3" s="32"/>
      <c r="AV3" s="29"/>
      <c r="AW3" s="31"/>
      <c r="AX3" s="32"/>
      <c r="BF3" s="31"/>
      <c r="BG3" s="29"/>
      <c r="BH3" s="32"/>
      <c r="BI3" s="29"/>
      <c r="BJ3" s="31"/>
      <c r="BK3" s="32"/>
      <c r="BS3" s="31"/>
      <c r="BT3" s="29"/>
      <c r="BU3" s="32"/>
      <c r="BV3" s="29"/>
      <c r="BW3" s="31"/>
      <c r="BX3" s="32"/>
      <c r="CQ3" s="46"/>
      <c r="CR3" s="1570" t="s">
        <v>1296</v>
      </c>
      <c r="CS3" s="445"/>
      <c r="CT3" s="83"/>
      <c r="CU3" s="46"/>
      <c r="CV3" s="445"/>
    </row>
    <row r="4" spans="1:100" s="26" customFormat="1" ht="20.100000000000001" customHeight="1" thickBot="1">
      <c r="A4" s="529" t="s">
        <v>48</v>
      </c>
      <c r="B4" s="447"/>
      <c r="C4" s="446"/>
      <c r="D4" s="446"/>
      <c r="E4" s="446"/>
      <c r="F4" s="446"/>
      <c r="G4" s="446"/>
      <c r="H4" s="446"/>
      <c r="I4" s="446"/>
      <c r="J4" s="446"/>
      <c r="K4" s="446"/>
      <c r="L4" s="446"/>
      <c r="M4" s="449"/>
      <c r="N4" s="446"/>
      <c r="O4" s="487"/>
      <c r="P4" s="446"/>
      <c r="Q4" s="449"/>
      <c r="R4" s="487"/>
      <c r="S4" s="446"/>
      <c r="T4" s="446"/>
      <c r="U4" s="446"/>
      <c r="V4" s="446"/>
      <c r="W4" s="446"/>
      <c r="X4" s="446"/>
      <c r="Y4" s="446"/>
      <c r="Z4" s="446"/>
      <c r="AA4" s="446"/>
      <c r="AB4" s="446"/>
      <c r="AC4" s="446"/>
      <c r="AD4" s="446"/>
      <c r="AE4" s="446"/>
      <c r="AF4" s="446"/>
      <c r="AG4" s="450"/>
      <c r="AH4" s="487"/>
      <c r="AI4" s="450"/>
      <c r="AJ4" s="446"/>
      <c r="AK4" s="446"/>
      <c r="AL4" s="446"/>
      <c r="AM4" s="446"/>
      <c r="AN4" s="446"/>
      <c r="AO4" s="446"/>
      <c r="AP4" s="446"/>
      <c r="AQ4" s="446"/>
      <c r="AR4" s="446"/>
      <c r="AS4" s="449"/>
      <c r="AT4" s="450"/>
      <c r="AU4" s="487"/>
      <c r="AV4" s="450"/>
      <c r="AW4" s="449"/>
      <c r="AX4" s="487"/>
      <c r="AY4" s="446"/>
      <c r="AZ4" s="446"/>
      <c r="BA4" s="446"/>
      <c r="BB4" s="446"/>
      <c r="BC4" s="446"/>
      <c r="BD4" s="446"/>
      <c r="BE4" s="446"/>
      <c r="BF4" s="449"/>
      <c r="BG4" s="450"/>
      <c r="BH4" s="487"/>
      <c r="BI4" s="450"/>
      <c r="BJ4" s="449"/>
      <c r="BK4" s="487"/>
      <c r="BL4" s="446"/>
      <c r="BM4" s="446"/>
      <c r="BN4" s="446"/>
      <c r="BO4" s="446"/>
      <c r="BP4" s="446"/>
      <c r="BQ4" s="446"/>
      <c r="BR4" s="446"/>
      <c r="BS4" s="449"/>
      <c r="BT4" s="450"/>
      <c r="BU4" s="487"/>
      <c r="BV4" s="450"/>
      <c r="BW4" s="449"/>
      <c r="BX4" s="487"/>
      <c r="BY4" s="446"/>
      <c r="BZ4" s="446"/>
      <c r="CA4" s="446"/>
      <c r="CB4" s="446"/>
      <c r="CC4" s="446"/>
      <c r="CD4" s="446"/>
      <c r="CE4" s="446"/>
      <c r="CF4" s="446"/>
      <c r="CG4" s="446"/>
      <c r="CH4" s="446"/>
      <c r="CI4" s="446"/>
      <c r="CJ4" s="446"/>
      <c r="CK4" s="446"/>
      <c r="CL4" s="446"/>
      <c r="CM4" s="446"/>
      <c r="CN4" s="446"/>
      <c r="CO4" s="446"/>
      <c r="CP4" s="446"/>
      <c r="CQ4" s="31"/>
      <c r="CS4" s="32"/>
      <c r="CT4" s="29"/>
      <c r="CU4" s="31"/>
      <c r="CV4" s="32"/>
    </row>
    <row r="5" spans="1:100" ht="9.9" customHeight="1" thickTop="1" thickBot="1">
      <c r="C5" s="401"/>
      <c r="D5" s="321"/>
      <c r="O5" s="301"/>
      <c r="Q5" s="165"/>
      <c r="AF5" s="26"/>
      <c r="AG5" s="119"/>
      <c r="AH5" s="29"/>
      <c r="AI5" s="29"/>
      <c r="AJ5" s="31"/>
      <c r="AS5" s="31"/>
      <c r="AT5" s="119"/>
      <c r="AU5" s="29"/>
      <c r="AV5" s="29"/>
      <c r="AW5" s="31"/>
      <c r="AX5" s="26"/>
      <c r="BF5" s="31"/>
      <c r="BG5" s="119"/>
      <c r="BH5" s="32"/>
      <c r="BI5" s="29"/>
      <c r="BJ5" s="31"/>
      <c r="BK5" s="26"/>
      <c r="BS5" s="31"/>
      <c r="BT5" s="119"/>
      <c r="BU5" s="32"/>
      <c r="BV5" s="29"/>
      <c r="BW5" s="31"/>
      <c r="BX5" s="26"/>
      <c r="CP5" s="28"/>
      <c r="CQ5" s="31"/>
      <c r="CR5" s="546">
        <f>IF(E21="£ per hour",1,10/6)</f>
        <v>1</v>
      </c>
      <c r="CS5" s="32"/>
      <c r="CT5" s="29"/>
      <c r="CU5" s="31"/>
      <c r="CV5" s="26"/>
    </row>
    <row r="6" spans="1:100" ht="13.5" customHeight="1" thickTop="1">
      <c r="A6" s="169" t="s">
        <v>10</v>
      </c>
      <c r="B6" s="169"/>
      <c r="E6" s="3626" t="s">
        <v>255</v>
      </c>
      <c r="F6" s="3649"/>
      <c r="G6" s="3649"/>
      <c r="H6" s="3649"/>
      <c r="I6" s="3649"/>
      <c r="J6" s="3649"/>
      <c r="K6" s="3649"/>
      <c r="L6" s="3649"/>
      <c r="M6" s="3649"/>
      <c r="N6" s="3649"/>
      <c r="O6" s="3649"/>
      <c r="P6" s="3649"/>
      <c r="Q6" s="3699"/>
      <c r="R6" s="3649"/>
      <c r="S6" s="3650"/>
      <c r="AS6" s="26"/>
      <c r="AT6" s="26"/>
      <c r="AU6" s="26"/>
      <c r="AV6" s="26"/>
      <c r="AW6" s="26"/>
      <c r="AX6" s="26"/>
      <c r="BF6" s="26"/>
      <c r="BG6" s="26"/>
      <c r="BH6" s="26"/>
      <c r="BI6" s="26"/>
      <c r="BJ6" s="26"/>
      <c r="BK6" s="26"/>
      <c r="BS6" s="26"/>
      <c r="BT6" s="26"/>
      <c r="BU6" s="26"/>
      <c r="BV6" s="26"/>
      <c r="BW6" s="26"/>
      <c r="BX6" s="26"/>
    </row>
    <row r="7" spans="1:100" ht="13.5" customHeight="1">
      <c r="A7" s="3644" t="str">
        <f>Audit!A12</f>
        <v>May 2019 v1.12</v>
      </c>
      <c r="B7" s="3651"/>
      <c r="D7" s="147"/>
      <c r="E7" s="1359" t="s">
        <v>327</v>
      </c>
      <c r="F7" s="29"/>
      <c r="G7" s="26"/>
      <c r="H7" s="26"/>
      <c r="I7" s="26"/>
      <c r="J7" s="26"/>
      <c r="K7" s="26"/>
      <c r="L7" s="26"/>
      <c r="M7" s="26"/>
      <c r="N7" s="26"/>
      <c r="O7" s="26"/>
      <c r="P7" s="26"/>
      <c r="Q7" s="26"/>
      <c r="R7" s="26"/>
      <c r="S7" s="147"/>
      <c r="BF7" s="26"/>
      <c r="BG7" s="26"/>
      <c r="BH7" s="26"/>
      <c r="BI7" s="26"/>
      <c r="BJ7" s="26"/>
      <c r="BK7" s="26"/>
    </row>
    <row r="8" spans="1:100" ht="13.5" customHeight="1">
      <c r="A8" s="3630">
        <f>Audit!C12</f>
        <v>43586</v>
      </c>
      <c r="B8" s="3631"/>
      <c r="C8" s="321"/>
      <c r="D8" s="321"/>
      <c r="E8" s="113" t="s">
        <v>1298</v>
      </c>
      <c r="F8" s="315"/>
      <c r="G8" s="26"/>
      <c r="H8" s="26"/>
      <c r="I8" s="26"/>
      <c r="J8" s="26"/>
      <c r="K8" s="26"/>
      <c r="L8" s="26"/>
      <c r="M8" s="26"/>
      <c r="N8" s="26"/>
      <c r="O8" s="26"/>
      <c r="P8" s="26"/>
      <c r="Q8" s="26"/>
      <c r="R8" s="26"/>
      <c r="S8" s="147"/>
    </row>
    <row r="9" spans="1:100" ht="13.5" customHeight="1" thickBot="1">
      <c r="A9" s="172" t="s">
        <v>14</v>
      </c>
      <c r="B9" s="173"/>
      <c r="D9" s="321"/>
      <c r="E9" s="113" t="s">
        <v>280</v>
      </c>
      <c r="F9" s="26"/>
      <c r="G9" s="26"/>
      <c r="H9" s="26"/>
      <c r="I9" s="26"/>
      <c r="J9" s="26"/>
      <c r="K9" s="315"/>
      <c r="L9" s="26"/>
      <c r="M9" s="26"/>
      <c r="N9" s="26"/>
      <c r="O9" s="26"/>
      <c r="P9" s="26"/>
      <c r="Q9" s="26"/>
      <c r="R9" s="26"/>
      <c r="S9" s="147"/>
    </row>
    <row r="10" spans="1:100" ht="13.5" customHeight="1" thickBot="1">
      <c r="A10" s="3570" t="s">
        <v>1306</v>
      </c>
      <c r="B10" s="3610"/>
      <c r="D10" s="321"/>
      <c r="E10" s="113" t="s">
        <v>1219</v>
      </c>
      <c r="F10" s="26"/>
      <c r="G10" s="26"/>
      <c r="H10" s="26"/>
      <c r="I10" s="26"/>
      <c r="J10" s="26"/>
      <c r="K10" s="26"/>
      <c r="L10" s="26"/>
      <c r="M10" s="26"/>
      <c r="N10" s="26"/>
      <c r="O10" s="26"/>
      <c r="P10" s="26"/>
      <c r="Q10" s="26"/>
      <c r="R10" s="26"/>
      <c r="S10" s="147"/>
    </row>
    <row r="11" spans="1:100" ht="13.5" customHeight="1" thickBot="1">
      <c r="A11" s="3570" t="s">
        <v>2216</v>
      </c>
      <c r="B11" s="3571"/>
      <c r="D11" s="321"/>
      <c r="E11" s="113"/>
      <c r="F11" s="26"/>
      <c r="G11" s="26"/>
      <c r="H11" s="26"/>
      <c r="I11" s="26"/>
      <c r="J11" s="26"/>
      <c r="K11" s="26"/>
      <c r="L11" s="26"/>
      <c r="M11" s="26"/>
      <c r="N11" s="26"/>
      <c r="O11" s="26"/>
      <c r="P11" s="26"/>
      <c r="Q11" s="26"/>
      <c r="R11" s="26"/>
      <c r="S11" s="147"/>
    </row>
    <row r="12" spans="1:100" ht="13.5" customHeight="1" thickBot="1">
      <c r="A12" s="3570" t="s">
        <v>2217</v>
      </c>
      <c r="B12" s="3581"/>
      <c r="D12" s="321"/>
      <c r="E12" s="113"/>
      <c r="F12" s="53"/>
      <c r="G12" s="53"/>
      <c r="H12" s="53"/>
      <c r="I12" s="53"/>
      <c r="J12" s="53"/>
      <c r="K12" s="53"/>
      <c r="L12" s="53"/>
      <c r="M12" s="53"/>
      <c r="N12" s="53"/>
      <c r="O12" s="53"/>
      <c r="P12" s="53"/>
      <c r="Q12" s="53"/>
      <c r="R12" s="53"/>
      <c r="S12" s="379"/>
    </row>
    <row r="13" spans="1:100" ht="13.5" customHeight="1">
      <c r="A13" s="172" t="s">
        <v>252</v>
      </c>
      <c r="B13" s="194"/>
      <c r="C13" s="321"/>
      <c r="D13" s="321"/>
      <c r="E13" s="149"/>
      <c r="F13" s="26"/>
      <c r="G13" s="26"/>
      <c r="H13" s="26"/>
      <c r="I13" s="26"/>
      <c r="J13" s="26"/>
      <c r="K13" s="26"/>
      <c r="L13" s="26"/>
      <c r="M13" s="26"/>
      <c r="N13" s="26"/>
      <c r="O13" s="26"/>
      <c r="P13" s="26"/>
      <c r="Q13" s="26"/>
      <c r="R13" s="26"/>
      <c r="S13" s="147"/>
    </row>
    <row r="14" spans="1:100" ht="13.5" customHeight="1">
      <c r="A14" s="2445" t="s">
        <v>799</v>
      </c>
      <c r="B14" s="2450">
        <f>'User Parameters'!L13</f>
        <v>2010</v>
      </c>
      <c r="C14" s="321"/>
      <c r="D14" s="321"/>
      <c r="E14" s="1359"/>
      <c r="F14" s="26"/>
      <c r="G14" s="26"/>
      <c r="H14" s="26"/>
      <c r="I14" s="26"/>
      <c r="J14" s="26"/>
      <c r="K14" s="26"/>
      <c r="L14" s="26"/>
      <c r="M14" s="26"/>
      <c r="N14" s="26"/>
      <c r="O14" s="26"/>
      <c r="P14" s="26"/>
      <c r="Q14" s="26"/>
      <c r="R14" s="26"/>
      <c r="S14" s="147"/>
    </row>
    <row r="15" spans="1:100" ht="13.5" customHeight="1">
      <c r="A15" s="2441" t="s">
        <v>751</v>
      </c>
      <c r="B15" s="2450">
        <f>'User Parameters'!L16</f>
        <v>2010</v>
      </c>
      <c r="C15" s="321"/>
      <c r="D15" s="321"/>
      <c r="E15" s="113"/>
      <c r="F15" s="26"/>
      <c r="G15" s="26"/>
      <c r="H15" s="26"/>
      <c r="I15" s="26"/>
      <c r="J15" s="26"/>
      <c r="K15" s="26"/>
      <c r="L15" s="26"/>
      <c r="M15" s="26"/>
      <c r="N15" s="26"/>
      <c r="O15" s="26"/>
      <c r="P15" s="26"/>
      <c r="Q15" s="26"/>
      <c r="R15" s="26"/>
      <c r="S15" s="147"/>
    </row>
    <row r="16" spans="1:100" ht="13.5" customHeight="1">
      <c r="A16" s="2471" t="s">
        <v>253</v>
      </c>
      <c r="B16" s="2472"/>
      <c r="C16" s="321"/>
      <c r="D16" s="321"/>
      <c r="E16" s="113"/>
      <c r="F16" s="26"/>
      <c r="G16" s="26"/>
      <c r="H16" s="26"/>
      <c r="I16" s="26"/>
      <c r="J16" s="26"/>
      <c r="K16" s="26"/>
      <c r="L16" s="26"/>
      <c r="M16" s="26"/>
      <c r="N16" s="26"/>
      <c r="O16" s="26"/>
      <c r="P16" s="26"/>
      <c r="Q16" s="26"/>
      <c r="R16" s="26"/>
      <c r="S16" s="147"/>
    </row>
    <row r="17" spans="1:103" ht="13.5" customHeight="1">
      <c r="A17" s="2436" t="s">
        <v>408</v>
      </c>
      <c r="B17" s="2436" t="s">
        <v>276</v>
      </c>
      <c r="C17" s="321"/>
      <c r="D17" s="412"/>
      <c r="E17" s="26"/>
      <c r="F17" s="26"/>
      <c r="G17" s="26"/>
      <c r="H17" s="26"/>
      <c r="I17" s="26"/>
      <c r="J17" s="26"/>
      <c r="K17" s="26"/>
      <c r="L17" s="26"/>
      <c r="M17" s="26"/>
      <c r="N17" s="26"/>
      <c r="O17" s="26"/>
      <c r="P17" s="26"/>
      <c r="Q17" s="26"/>
      <c r="R17" s="26"/>
      <c r="S17" s="147"/>
    </row>
    <row r="18" spans="1:103" ht="13.5" customHeight="1">
      <c r="A18" s="2436" t="s">
        <v>277</v>
      </c>
      <c r="B18" s="2436" t="s">
        <v>278</v>
      </c>
      <c r="C18" s="321"/>
      <c r="D18" s="412"/>
      <c r="E18" s="26" t="s">
        <v>2359</v>
      </c>
      <c r="F18" s="26"/>
      <c r="G18" s="26"/>
      <c r="H18" s="26"/>
      <c r="I18" s="26"/>
      <c r="J18" s="26"/>
      <c r="K18" s="26"/>
      <c r="L18" s="26"/>
      <c r="M18" s="26"/>
      <c r="N18" s="26"/>
      <c r="O18" s="26"/>
      <c r="P18" s="26"/>
      <c r="Q18" s="26"/>
      <c r="R18" s="26"/>
      <c r="S18" s="147"/>
    </row>
    <row r="19" spans="1:103" ht="13.5" customHeight="1" thickBot="1">
      <c r="A19" s="3713" t="s">
        <v>405</v>
      </c>
      <c r="B19" s="3714"/>
      <c r="C19" s="321"/>
      <c r="D19" s="412"/>
      <c r="E19" s="381" t="s">
        <v>2241</v>
      </c>
      <c r="F19" s="13"/>
      <c r="G19" s="13"/>
      <c r="H19" s="13"/>
      <c r="I19" s="13"/>
      <c r="J19" s="13"/>
      <c r="K19" s="13"/>
      <c r="L19" s="13"/>
      <c r="M19" s="13"/>
      <c r="N19" s="13"/>
      <c r="O19" s="13"/>
      <c r="P19" s="13"/>
      <c r="Q19" s="13"/>
      <c r="R19" s="13"/>
      <c r="S19" s="168"/>
    </row>
    <row r="20" spans="1:103" ht="13.5" customHeight="1" thickTop="1" thickBot="1">
      <c r="A20" s="3713" t="s">
        <v>406</v>
      </c>
      <c r="B20" s="3714"/>
      <c r="C20" s="321"/>
      <c r="D20" s="72"/>
      <c r="F20" s="29"/>
      <c r="G20" s="29"/>
      <c r="H20" s="29"/>
      <c r="I20" s="29"/>
      <c r="J20" s="29"/>
      <c r="K20" s="29"/>
      <c r="L20" s="29"/>
      <c r="M20" s="29"/>
      <c r="N20" s="29"/>
      <c r="O20" s="29"/>
      <c r="P20" s="29"/>
      <c r="Q20" s="29"/>
      <c r="R20" s="29"/>
      <c r="S20" s="332"/>
    </row>
    <row r="21" spans="1:103" ht="13.5" customHeight="1" thickBot="1">
      <c r="A21" s="3713" t="s">
        <v>407</v>
      </c>
      <c r="B21" s="3714"/>
      <c r="C21" s="401"/>
      <c r="D21" s="321"/>
      <c r="E21" s="2438" t="s">
        <v>1295</v>
      </c>
      <c r="F21" s="1417" t="s">
        <v>185</v>
      </c>
      <c r="G21" s="22" t="s">
        <v>1297</v>
      </c>
      <c r="H21" s="26"/>
      <c r="I21" s="26"/>
      <c r="J21" s="26"/>
      <c r="K21" s="26"/>
      <c r="L21" s="26"/>
      <c r="M21" s="26"/>
      <c r="N21" s="26"/>
      <c r="O21" s="32"/>
      <c r="P21" s="26"/>
      <c r="Q21" s="31"/>
      <c r="R21" s="26"/>
      <c r="S21" s="26"/>
      <c r="AF21" s="31"/>
      <c r="AG21" s="119"/>
      <c r="AH21" s="28"/>
      <c r="AI21" s="28"/>
      <c r="AJ21" s="31"/>
      <c r="AS21" s="31"/>
      <c r="AT21" s="119"/>
      <c r="AU21" s="28"/>
      <c r="AV21" s="28"/>
      <c r="AW21" s="31"/>
      <c r="BF21" s="31"/>
      <c r="BG21" s="119"/>
      <c r="BH21" s="301"/>
      <c r="BI21" s="28"/>
      <c r="BJ21" s="31"/>
      <c r="BS21" s="31"/>
      <c r="BT21" s="119"/>
      <c r="BU21" s="301"/>
      <c r="BV21" s="28"/>
      <c r="BW21" s="31"/>
      <c r="CP21" s="28"/>
      <c r="CQ21" s="31"/>
      <c r="CR21" s="119"/>
      <c r="CS21" s="301"/>
      <c r="CT21" s="28"/>
      <c r="CU21" s="31"/>
      <c r="CY21" s="119"/>
    </row>
    <row r="22" spans="1:103" ht="13.5" customHeight="1" thickBot="1">
      <c r="C22" s="401"/>
      <c r="D22" s="96"/>
      <c r="H22" s="1"/>
      <c r="I22" s="1"/>
      <c r="K22" s="1568"/>
      <c r="N22" s="119"/>
      <c r="Q22" s="31"/>
      <c r="AF22" s="31"/>
      <c r="AG22" s="119"/>
      <c r="AJ22" s="31"/>
      <c r="AS22" s="31"/>
      <c r="AT22" s="119"/>
      <c r="AW22" s="31"/>
      <c r="BF22" s="31"/>
      <c r="BG22" s="119"/>
      <c r="BH22" s="301"/>
      <c r="BJ22" s="31"/>
      <c r="BS22" s="31"/>
      <c r="BT22" s="119"/>
      <c r="BU22" s="301"/>
      <c r="BW22" s="31"/>
      <c r="CP22" s="28"/>
      <c r="CQ22" s="31"/>
      <c r="CR22" s="119"/>
      <c r="CS22" s="301"/>
      <c r="CU22" s="31"/>
    </row>
    <row r="23" spans="1:103" ht="13.5" customHeight="1" thickTop="1" thickBot="1">
      <c r="A23" s="836" t="str">
        <f>CONCATENATE("Table A 1.3.6:  Market Price Values of Time per Vehicle based on distance travelled (",E21,", ",B14," prices)")</f>
        <v>Table A 1.3.6:  Market Price Values of Time per Vehicle based on distance travelled (£ per hour, 2010 prices)</v>
      </c>
      <c r="B23" s="1701"/>
      <c r="C23" s="362"/>
      <c r="D23" s="362"/>
      <c r="E23" s="362"/>
      <c r="F23" s="362"/>
      <c r="G23" s="277"/>
      <c r="H23" s="277"/>
      <c r="I23" s="277"/>
      <c r="J23" s="277"/>
      <c r="K23" s="277"/>
      <c r="L23" s="277"/>
      <c r="M23" s="277"/>
      <c r="N23" s="277"/>
      <c r="O23" s="277"/>
      <c r="P23" s="277"/>
      <c r="Q23" s="277"/>
      <c r="R23" s="277"/>
      <c r="S23" s="277"/>
      <c r="T23" s="277"/>
      <c r="U23" s="277"/>
      <c r="V23" s="277"/>
      <c r="W23" s="277"/>
      <c r="X23" s="277"/>
      <c r="Y23" s="277"/>
      <c r="Z23" s="277"/>
      <c r="AA23" s="277"/>
      <c r="AB23" s="277"/>
      <c r="AC23" s="277"/>
      <c r="AD23" s="277"/>
      <c r="AE23" s="277"/>
      <c r="AF23" s="277"/>
      <c r="AG23" s="277"/>
      <c r="AH23" s="277"/>
      <c r="AI23" s="277"/>
      <c r="AJ23" s="277"/>
      <c r="AK23" s="277"/>
      <c r="AL23" s="277"/>
      <c r="AM23" s="277"/>
      <c r="AN23" s="277"/>
      <c r="AO23" s="277"/>
      <c r="AP23" s="277"/>
      <c r="AQ23" s="277"/>
      <c r="AR23" s="277"/>
      <c r="AS23" s="277"/>
      <c r="AT23" s="277"/>
      <c r="AU23" s="277"/>
      <c r="AV23" s="277"/>
      <c r="AW23" s="277"/>
      <c r="AX23" s="277"/>
      <c r="AY23" s="277"/>
      <c r="AZ23" s="277"/>
      <c r="BA23" s="277"/>
      <c r="BB23" s="277"/>
      <c r="BC23" s="277"/>
      <c r="BD23" s="277"/>
      <c r="BE23" s="277"/>
      <c r="BF23" s="277"/>
      <c r="BG23" s="277"/>
      <c r="BH23" s="277"/>
      <c r="BI23" s="277"/>
      <c r="BJ23" s="277"/>
      <c r="BK23" s="277"/>
      <c r="BL23" s="277"/>
      <c r="BM23" s="277"/>
      <c r="BN23" s="277"/>
      <c r="BO23" s="277"/>
      <c r="BP23" s="277"/>
      <c r="BQ23" s="277"/>
      <c r="BR23" s="277"/>
      <c r="BS23" s="277"/>
      <c r="BT23" s="277"/>
      <c r="BU23" s="277"/>
      <c r="BV23" s="277"/>
      <c r="BW23" s="277"/>
      <c r="BX23" s="277"/>
      <c r="BY23" s="277"/>
      <c r="BZ23" s="277"/>
      <c r="CA23" s="277"/>
      <c r="CB23" s="277"/>
      <c r="CC23" s="277"/>
      <c r="CD23" s="277"/>
      <c r="CE23" s="277"/>
      <c r="CF23" s="277"/>
      <c r="CG23" s="277"/>
      <c r="CH23" s="277"/>
      <c r="CI23" s="277"/>
      <c r="CJ23" s="277"/>
      <c r="CK23" s="277"/>
      <c r="CL23" s="277"/>
      <c r="CM23" s="277"/>
      <c r="CN23" s="277"/>
      <c r="CO23" s="277"/>
      <c r="CP23" s="278"/>
    </row>
    <row r="24" spans="1:103" ht="13.5" customHeight="1" thickTop="1" thickBot="1">
      <c r="A24" s="104"/>
      <c r="B24" s="173"/>
      <c r="C24" s="173"/>
      <c r="D24" s="551" t="s">
        <v>261</v>
      </c>
      <c r="E24" s="368"/>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7"/>
      <c r="BC24" s="367"/>
      <c r="BD24" s="367"/>
      <c r="BE24" s="367"/>
      <c r="BF24" s="367"/>
      <c r="BG24" s="367"/>
      <c r="BH24" s="367"/>
      <c r="BI24" s="367"/>
      <c r="BJ24" s="367"/>
      <c r="BK24" s="367"/>
      <c r="BL24" s="367"/>
      <c r="BM24" s="367"/>
      <c r="BN24" s="367"/>
      <c r="BO24" s="367"/>
      <c r="BP24" s="567"/>
      <c r="BQ24" s="3709" t="s">
        <v>406</v>
      </c>
      <c r="BR24" s="3654"/>
      <c r="BS24" s="3654"/>
      <c r="BT24" s="3654"/>
      <c r="BU24" s="3654"/>
      <c r="BV24" s="3654"/>
      <c r="BW24" s="3654"/>
      <c r="BX24" s="3654"/>
      <c r="BY24" s="3654"/>
      <c r="BZ24" s="3654"/>
      <c r="CA24" s="3654"/>
      <c r="CB24" s="3654"/>
      <c r="CC24" s="3655"/>
      <c r="CD24" s="3709" t="s">
        <v>1423</v>
      </c>
      <c r="CE24" s="3710"/>
      <c r="CF24" s="3710"/>
      <c r="CG24" s="3710"/>
      <c r="CH24" s="3710"/>
      <c r="CI24" s="3710"/>
      <c r="CJ24" s="3710"/>
      <c r="CK24" s="3710"/>
      <c r="CL24" s="3710"/>
      <c r="CM24" s="3710"/>
      <c r="CN24" s="3710"/>
      <c r="CO24" s="3710"/>
      <c r="CP24" s="3711"/>
      <c r="CQ24" s="301"/>
    </row>
    <row r="25" spans="1:103" ht="13.5" customHeight="1" thickBot="1">
      <c r="A25" s="104"/>
      <c r="B25" s="173"/>
      <c r="C25" s="173"/>
      <c r="D25" s="3712" t="s">
        <v>257</v>
      </c>
      <c r="E25" s="3706"/>
      <c r="F25" s="3706"/>
      <c r="G25" s="3706"/>
      <c r="H25" s="3706"/>
      <c r="I25" s="3706"/>
      <c r="J25" s="3706"/>
      <c r="K25" s="3706"/>
      <c r="L25" s="3706"/>
      <c r="M25" s="3706"/>
      <c r="N25" s="3706"/>
      <c r="O25" s="3706"/>
      <c r="P25" s="3707"/>
      <c r="Q25" s="3712" t="s">
        <v>258</v>
      </c>
      <c r="R25" s="3706"/>
      <c r="S25" s="3706"/>
      <c r="T25" s="3706"/>
      <c r="U25" s="3706"/>
      <c r="V25" s="3706"/>
      <c r="W25" s="3706"/>
      <c r="X25" s="3706"/>
      <c r="Y25" s="3706"/>
      <c r="Z25" s="3706"/>
      <c r="AA25" s="3706"/>
      <c r="AB25" s="3706"/>
      <c r="AC25" s="3707"/>
      <c r="AD25" s="3712" t="s">
        <v>259</v>
      </c>
      <c r="AE25" s="3706"/>
      <c r="AF25" s="3706"/>
      <c r="AG25" s="3706"/>
      <c r="AH25" s="3706"/>
      <c r="AI25" s="3706"/>
      <c r="AJ25" s="3706"/>
      <c r="AK25" s="3706"/>
      <c r="AL25" s="3706"/>
      <c r="AM25" s="3706"/>
      <c r="AN25" s="3706"/>
      <c r="AO25" s="3706"/>
      <c r="AP25" s="3707"/>
      <c r="AQ25" s="3705" t="s">
        <v>260</v>
      </c>
      <c r="AR25" s="3706"/>
      <c r="AS25" s="3706"/>
      <c r="AT25" s="3706"/>
      <c r="AU25" s="3706"/>
      <c r="AV25" s="3706"/>
      <c r="AW25" s="3706"/>
      <c r="AX25" s="3706"/>
      <c r="AY25" s="3706"/>
      <c r="AZ25" s="3706"/>
      <c r="BA25" s="3706"/>
      <c r="BB25" s="3706"/>
      <c r="BC25" s="3707"/>
      <c r="BD25" s="3708" t="s">
        <v>1305</v>
      </c>
      <c r="BE25" s="3706"/>
      <c r="BF25" s="3706"/>
      <c r="BG25" s="3706"/>
      <c r="BH25" s="3706"/>
      <c r="BI25" s="3706"/>
      <c r="BJ25" s="3706"/>
      <c r="BK25" s="3706"/>
      <c r="BL25" s="3706"/>
      <c r="BM25" s="3706"/>
      <c r="BN25" s="3706"/>
      <c r="BO25" s="3706"/>
      <c r="BP25" s="3707"/>
      <c r="BQ25" s="536"/>
      <c r="BR25" s="536"/>
      <c r="BS25" s="536"/>
      <c r="BT25" s="536"/>
      <c r="BU25" s="536"/>
      <c r="BV25" s="536"/>
      <c r="BW25" s="536"/>
      <c r="BX25" s="536"/>
      <c r="BY25" s="536"/>
      <c r="BZ25" s="536"/>
      <c r="CA25" s="536"/>
      <c r="CB25" s="536"/>
      <c r="CC25" s="569"/>
      <c r="CD25" s="537"/>
      <c r="CE25" s="537"/>
      <c r="CF25" s="537"/>
      <c r="CG25" s="537"/>
      <c r="CH25" s="537"/>
      <c r="CI25" s="537"/>
      <c r="CJ25" s="537"/>
      <c r="CK25" s="537"/>
      <c r="CL25" s="537"/>
      <c r="CM25" s="537"/>
      <c r="CN25" s="537"/>
      <c r="CO25" s="537"/>
      <c r="CP25" s="552"/>
    </row>
    <row r="26" spans="1:103" ht="13.5" customHeight="1">
      <c r="A26" s="104"/>
      <c r="B26" s="173"/>
      <c r="C26" s="173"/>
      <c r="D26" s="553" t="s">
        <v>1439</v>
      </c>
      <c r="E26" s="545"/>
      <c r="F26" s="545"/>
      <c r="G26" s="547"/>
      <c r="H26" s="545" t="s">
        <v>1431</v>
      </c>
      <c r="I26" s="545"/>
      <c r="J26" s="548"/>
      <c r="K26" s="548" t="s">
        <v>1443</v>
      </c>
      <c r="L26" s="538" t="s">
        <v>1444</v>
      </c>
      <c r="M26" s="539" t="s">
        <v>1220</v>
      </c>
      <c r="N26" s="540"/>
      <c r="O26" s="540"/>
      <c r="P26" s="1608"/>
      <c r="Q26" s="1610" t="s">
        <v>1439</v>
      </c>
      <c r="R26" s="540"/>
      <c r="S26" s="540"/>
      <c r="T26" s="547"/>
      <c r="U26" s="549" t="s">
        <v>1431</v>
      </c>
      <c r="V26" s="540"/>
      <c r="W26" s="547"/>
      <c r="X26" s="547" t="s">
        <v>1443</v>
      </c>
      <c r="Y26" s="541" t="s">
        <v>1444</v>
      </c>
      <c r="Z26" s="539" t="s">
        <v>1220</v>
      </c>
      <c r="AA26" s="540"/>
      <c r="AB26" s="540"/>
      <c r="AC26" s="568"/>
      <c r="AD26" s="1610" t="s">
        <v>1439</v>
      </c>
      <c r="AE26" s="545"/>
      <c r="AF26" s="545"/>
      <c r="AG26" s="547"/>
      <c r="AH26" s="549" t="s">
        <v>1431</v>
      </c>
      <c r="AI26" s="545"/>
      <c r="AJ26" s="547"/>
      <c r="AK26" s="547" t="s">
        <v>1443</v>
      </c>
      <c r="AL26" s="541" t="s">
        <v>1444</v>
      </c>
      <c r="AM26" s="539" t="s">
        <v>1220</v>
      </c>
      <c r="AN26" s="540"/>
      <c r="AO26" s="540"/>
      <c r="AP26" s="568"/>
      <c r="AQ26" s="1610" t="s">
        <v>1439</v>
      </c>
      <c r="AR26" s="540"/>
      <c r="AS26" s="540"/>
      <c r="AT26" s="547"/>
      <c r="AU26" s="549" t="s">
        <v>1431</v>
      </c>
      <c r="AV26" s="540"/>
      <c r="AW26" s="547"/>
      <c r="AX26" s="547" t="s">
        <v>1443</v>
      </c>
      <c r="AY26" s="541" t="s">
        <v>1444</v>
      </c>
      <c r="AZ26" s="539" t="s">
        <v>1220</v>
      </c>
      <c r="BA26" s="540"/>
      <c r="BB26" s="540"/>
      <c r="BC26" s="568"/>
      <c r="BD26" s="540" t="s">
        <v>1439</v>
      </c>
      <c r="BE26" s="540"/>
      <c r="BF26" s="540"/>
      <c r="BG26" s="547"/>
      <c r="BH26" s="549" t="s">
        <v>1431</v>
      </c>
      <c r="BI26" s="540"/>
      <c r="BJ26" s="547"/>
      <c r="BK26" s="547" t="s">
        <v>1443</v>
      </c>
      <c r="BL26" s="541" t="s">
        <v>1444</v>
      </c>
      <c r="BM26" s="539" t="s">
        <v>1220</v>
      </c>
      <c r="BN26" s="540"/>
      <c r="BO26" s="540"/>
      <c r="BP26" s="568"/>
      <c r="BQ26" s="545" t="s">
        <v>1439</v>
      </c>
      <c r="BR26" s="545"/>
      <c r="BS26" s="545"/>
      <c r="BT26" s="548"/>
      <c r="BU26" s="550" t="s">
        <v>1431</v>
      </c>
      <c r="BV26" s="545"/>
      <c r="BW26" s="548"/>
      <c r="BX26" s="548" t="s">
        <v>1443</v>
      </c>
      <c r="BY26" s="538" t="s">
        <v>1444</v>
      </c>
      <c r="BZ26" s="539" t="s">
        <v>1220</v>
      </c>
      <c r="CA26" s="545"/>
      <c r="CB26" s="545"/>
      <c r="CC26" s="554"/>
      <c r="CD26" s="545" t="s">
        <v>1439</v>
      </c>
      <c r="CE26" s="545"/>
      <c r="CF26" s="545"/>
      <c r="CG26" s="548"/>
      <c r="CH26" s="550" t="s">
        <v>1431</v>
      </c>
      <c r="CI26" s="545"/>
      <c r="CJ26" s="548"/>
      <c r="CK26" s="548" t="s">
        <v>1443</v>
      </c>
      <c r="CL26" s="538" t="s">
        <v>1444</v>
      </c>
      <c r="CM26" s="539" t="s">
        <v>1220</v>
      </c>
      <c r="CN26" s="545"/>
      <c r="CO26" s="545"/>
      <c r="CP26" s="554"/>
    </row>
    <row r="27" spans="1:103" ht="13.5" customHeight="1" thickBot="1">
      <c r="A27" s="104"/>
      <c r="B27" s="105" t="s">
        <v>1450</v>
      </c>
      <c r="C27" s="173"/>
      <c r="D27" s="555" t="s">
        <v>1441</v>
      </c>
      <c r="E27" s="556" t="s">
        <v>1418</v>
      </c>
      <c r="F27" s="556" t="s">
        <v>1419</v>
      </c>
      <c r="G27" s="557" t="s">
        <v>1422</v>
      </c>
      <c r="H27" s="558" t="s">
        <v>1441</v>
      </c>
      <c r="I27" s="556" t="s">
        <v>256</v>
      </c>
      <c r="J27" s="559" t="s">
        <v>1422</v>
      </c>
      <c r="K27" s="559" t="s">
        <v>1441</v>
      </c>
      <c r="L27" s="561" t="s">
        <v>1441</v>
      </c>
      <c r="M27" s="562" t="s">
        <v>1441</v>
      </c>
      <c r="N27" s="563" t="s">
        <v>1418</v>
      </c>
      <c r="O27" s="563" t="s">
        <v>1419</v>
      </c>
      <c r="P27" s="1613" t="s">
        <v>1449</v>
      </c>
      <c r="Q27" s="1611" t="s">
        <v>1441</v>
      </c>
      <c r="R27" s="563" t="s">
        <v>1418</v>
      </c>
      <c r="S27" s="563" t="s">
        <v>1419</v>
      </c>
      <c r="T27" s="559" t="s">
        <v>1422</v>
      </c>
      <c r="U27" s="560" t="s">
        <v>1441</v>
      </c>
      <c r="V27" s="563" t="s">
        <v>256</v>
      </c>
      <c r="W27" s="559" t="s">
        <v>1422</v>
      </c>
      <c r="X27" s="559" t="s">
        <v>1441</v>
      </c>
      <c r="Y27" s="560" t="s">
        <v>1441</v>
      </c>
      <c r="Z27" s="560" t="s">
        <v>1441</v>
      </c>
      <c r="AA27" s="563" t="s">
        <v>1418</v>
      </c>
      <c r="AB27" s="563" t="s">
        <v>1419</v>
      </c>
      <c r="AC27" s="1614" t="s">
        <v>1449</v>
      </c>
      <c r="AD27" s="1611" t="s">
        <v>1441</v>
      </c>
      <c r="AE27" s="556" t="s">
        <v>1418</v>
      </c>
      <c r="AF27" s="556" t="s">
        <v>1419</v>
      </c>
      <c r="AG27" s="559" t="s">
        <v>1422</v>
      </c>
      <c r="AH27" s="560" t="s">
        <v>1441</v>
      </c>
      <c r="AI27" s="556" t="s">
        <v>256</v>
      </c>
      <c r="AJ27" s="559" t="s">
        <v>1422</v>
      </c>
      <c r="AK27" s="559" t="s">
        <v>1441</v>
      </c>
      <c r="AL27" s="560" t="s">
        <v>1441</v>
      </c>
      <c r="AM27" s="560" t="s">
        <v>1441</v>
      </c>
      <c r="AN27" s="563" t="s">
        <v>1418</v>
      </c>
      <c r="AO27" s="563" t="s">
        <v>1419</v>
      </c>
      <c r="AP27" s="1614" t="s">
        <v>1449</v>
      </c>
      <c r="AQ27" s="1611" t="s">
        <v>1441</v>
      </c>
      <c r="AR27" s="556" t="s">
        <v>1418</v>
      </c>
      <c r="AS27" s="556" t="s">
        <v>1419</v>
      </c>
      <c r="AT27" s="559" t="s">
        <v>1422</v>
      </c>
      <c r="AU27" s="562" t="s">
        <v>1441</v>
      </c>
      <c r="AV27" s="556" t="s">
        <v>256</v>
      </c>
      <c r="AW27" s="559" t="s">
        <v>1422</v>
      </c>
      <c r="AX27" s="559" t="s">
        <v>1441</v>
      </c>
      <c r="AY27" s="560" t="s">
        <v>1441</v>
      </c>
      <c r="AZ27" s="560" t="s">
        <v>1441</v>
      </c>
      <c r="BA27" s="563" t="s">
        <v>1418</v>
      </c>
      <c r="BB27" s="563" t="s">
        <v>1419</v>
      </c>
      <c r="BC27" s="1614" t="s">
        <v>1449</v>
      </c>
      <c r="BD27" s="562" t="s">
        <v>1441</v>
      </c>
      <c r="BE27" s="556" t="s">
        <v>1418</v>
      </c>
      <c r="BF27" s="556" t="s">
        <v>1419</v>
      </c>
      <c r="BG27" s="559" t="s">
        <v>1422</v>
      </c>
      <c r="BH27" s="560" t="s">
        <v>1441</v>
      </c>
      <c r="BI27" s="556" t="s">
        <v>256</v>
      </c>
      <c r="BJ27" s="559" t="s">
        <v>1422</v>
      </c>
      <c r="BK27" s="559" t="s">
        <v>1441</v>
      </c>
      <c r="BL27" s="560" t="s">
        <v>1441</v>
      </c>
      <c r="BM27" s="560" t="s">
        <v>1441</v>
      </c>
      <c r="BN27" s="563" t="s">
        <v>1418</v>
      </c>
      <c r="BO27" s="563" t="s">
        <v>1419</v>
      </c>
      <c r="BP27" s="1614" t="s">
        <v>1449</v>
      </c>
      <c r="BQ27" s="562" t="s">
        <v>1441</v>
      </c>
      <c r="BR27" s="556" t="s">
        <v>1418</v>
      </c>
      <c r="BS27" s="556" t="s">
        <v>1419</v>
      </c>
      <c r="BT27" s="559" t="s">
        <v>1422</v>
      </c>
      <c r="BU27" s="560" t="s">
        <v>1441</v>
      </c>
      <c r="BV27" s="556" t="s">
        <v>256</v>
      </c>
      <c r="BW27" s="559" t="s">
        <v>1422</v>
      </c>
      <c r="BX27" s="559" t="s">
        <v>1441</v>
      </c>
      <c r="BY27" s="560" t="s">
        <v>1441</v>
      </c>
      <c r="BZ27" s="560" t="s">
        <v>1441</v>
      </c>
      <c r="CA27" s="563" t="s">
        <v>1418</v>
      </c>
      <c r="CB27" s="563" t="s">
        <v>1419</v>
      </c>
      <c r="CC27" s="1614" t="s">
        <v>1449</v>
      </c>
      <c r="CD27" s="562" t="s">
        <v>1441</v>
      </c>
      <c r="CE27" s="556" t="s">
        <v>1418</v>
      </c>
      <c r="CF27" s="556" t="s">
        <v>1419</v>
      </c>
      <c r="CG27" s="559" t="s">
        <v>1422</v>
      </c>
      <c r="CH27" s="560" t="s">
        <v>1441</v>
      </c>
      <c r="CI27" s="556" t="s">
        <v>256</v>
      </c>
      <c r="CJ27" s="559" t="s">
        <v>1422</v>
      </c>
      <c r="CK27" s="559" t="s">
        <v>1441</v>
      </c>
      <c r="CL27" s="560" t="s">
        <v>1441</v>
      </c>
      <c r="CM27" s="560" t="s">
        <v>1441</v>
      </c>
      <c r="CN27" s="563" t="s">
        <v>1418</v>
      </c>
      <c r="CO27" s="563" t="s">
        <v>1419</v>
      </c>
      <c r="CP27" s="1613" t="s">
        <v>1449</v>
      </c>
    </row>
    <row r="28" spans="1:103" s="26" customFormat="1" ht="13.5" customHeight="1" thickTop="1">
      <c r="A28" s="113"/>
      <c r="B28" s="711">
        <f>B15</f>
        <v>2010</v>
      </c>
      <c r="D28" s="1609">
        <f>IF(ISERROR(MATCH($B28,'A1.3.2'!$B$27:$B$106,0)),"",(((VLOOKUP($B28,'Forecast occupancies'!$C$28:$CP$64,2,TRUE) -1) * VLOOKUP($B28,'A1.3.2'!$B$27:$AY$106,36,) + VLOOKUP($B28,'A1.3.2'!$B$27:$AY$106,35,)) * $CR$5))</f>
        <v>19.999723130530565</v>
      </c>
      <c r="E28" s="1565">
        <f>IF(ISERROR(MATCH($B28,'A1.3.2'!$B$27:$B$106,0)),"",VLOOKUP($B28,'Forecast occupancies'!$C$28:$CP$64,3,TRUE)*VLOOKUP($B28,'A1.3.2'!$B$27:$AY$106,49,)*$CR$5)</f>
        <v>11.270862371732013</v>
      </c>
      <c r="F28" s="1565">
        <f>IF(ISERROR(MATCH($B28,'A1.3.2'!$B$27:$B$106,0)),"",VLOOKUP($B28,'Forecast occupancies'!$C$28:$CP$64,4,TRUE)*VLOOKUP($B28,'A1.3.2'!$B$27:$AY$106,50,)*$CR$5)</f>
        <v>7.7760218476864438</v>
      </c>
      <c r="G28" s="1566">
        <f>IF(ISERROR(MATCH($B28,'A1.3.2'!$B$27:$B$106,0)),"",(((D28*'VoT5'!$D$28)+(E28*'VoT5'!$D$29)+(F28*'VoT5'!$D$30))/100))</f>
        <v>11.32794161259922</v>
      </c>
      <c r="H28" s="1565">
        <f>IF(ISERROR(MATCH($B28,'A1.3.2'!$B$27:$B$106,0)),"",(VLOOKUP($B28,'Forecast occupancies'!$C$28:$CP$64,6,TRUE) * VLOOKUP($B28, 'A1.3.2'!$B$27:$AY$106,37,)) * $CR$5)</f>
        <v>14.615979367528487</v>
      </c>
      <c r="I28" s="1565">
        <f>IF(ISERROR(MATCH($B28,'A1.3.2'!$B$27:$B$106,0)),"",VLOOKUP($B28,'Forecast occupancies'!$C$28:$CP$64,7,TRUE) * ('VoT5'!$J$29*VLOOKUP($B28, 'A1.3.2'!$B$27:$AY$106,49,)+'VoT5'!$J$30*VLOOKUP($B28, 'A1.3.2'!$B$27:$AY$106,50,))/('VoT5'!$J$29+'VoT5'!$J$30) * $CR$5)</f>
        <v>8.9218938643805537</v>
      </c>
      <c r="J28" s="1566">
        <f>IF(ISERROR(MATCH($B28,'A1.3.2'!$B$27:$B$106,0)),"",(H28*'VoT5'!$D$31 + I28*'VoT5'!$D$32)/100)</f>
        <v>13.932689107150736</v>
      </c>
      <c r="K28" s="1566">
        <f>IF(ISERROR(MATCH($B28,'A1.3.2'!$B$27:$B$106,0)),"",(VLOOKUP($B28,'Forecast occupancies'!$C$28:$CP$64,9,TRUE)*VLOOKUP($B28,'A1.3.2'!$B$27:$AY$106,38,)) * $CR$5)</f>
        <v>14.350951963873461</v>
      </c>
      <c r="L28" s="1566">
        <f>IF(ISERROR(MATCH($B28,'A1.3.2'!$B$27:$B$106,0)),"",(VLOOKUP($B28,'Forecast occupancies'!$C$28:$CP$64,10,TRUE)*VLOOKUP($B28,'A1.3.2'!$B$27:$AY$106,38,)) * $CR$5)</f>
        <v>14.350951963873461</v>
      </c>
      <c r="M28" s="1565">
        <f>IF(ISERROR(MATCH($B28,'A1.3.2'!$B$27:$B$106,0)),"",(((VLOOKUP($B28,'Forecast occupancies'!$C$28:$CP$64,11,TRUE) -1) * VLOOKUP($B28,'A1.3.2'!$B$27:$AY$106,40,)) + VLOOKUP($B28,'A1.3.2'!$B$27:$AY$106,39,)) * $CR$5)</f>
        <v>16.353039511604919</v>
      </c>
      <c r="N28" s="1565">
        <f>IF(ISERROR(MATCH($B28,'A1.3.2'!$B$27:$B$106,0)),"",(VLOOKUP($B28,'Forecast occupancies'!$C$28:$CP$64,12,TRUE) * VLOOKUP($B28,'A1.3.2'!$B$27:$AY$106,49,)) * $CR$5)</f>
        <v>22.386087851109576</v>
      </c>
      <c r="O28" s="1565">
        <f>IF(ISERROR(MATCH($B28,'A1.3.2'!$B$27:$B$106,0)),"",(VLOOKUP($B28,'Forecast occupancies'!$C$28:$CP$64,13,TRUE) * VLOOKUP($B28,'A1.3.2'!$B$27:$AY$106,50,)) * $CR$5)</f>
        <v>44.437994334995601</v>
      </c>
      <c r="P28" s="1567">
        <f>IF(ISERROR(MATCH($B28,'A1.3.2'!$B$27:$B$106,0)),"",SUM(M28:O28))</f>
        <v>83.177121697710106</v>
      </c>
      <c r="Q28" s="1609">
        <f>IF(ISERROR(MATCH($B28,'A1.3.2'!$B$27:$B$106,0)),"",(((VLOOKUP($B28,'Forecast occupancies'!$C$28:$CP$64,15,TRUE)-1)*VLOOKUP($B28,'A1.3.2'!$B$27:$AY$106,36,)+VLOOKUP($B28,'A1.3.2'!$B$27:$AY$106,35,))*$CR$5))</f>
        <v>20.494168490363094</v>
      </c>
      <c r="R28" s="1565">
        <f>IF(ISERROR(MATCH($B28,'A1.3.2'!$B$27:$B$106,0)),"",VLOOKUP($B28,'Forecast occupancies'!$C$28:$CP$64,16,TRUE)*VLOOKUP($B28,'A1.3.2'!$B$27:$AY$106,49,)*$CR$5)</f>
        <v>11.454127644907834</v>
      </c>
      <c r="S28" s="1565">
        <f>IF(ISERROR(MATCH($B28,'A1.3.2'!$B$27:$B$106,0)),"",VLOOKUP($B28,'Forecast occupancies'!$C$28:$CP$64,17,TRUE)*VLOOKUP($B28,'A1.3.2'!$B$27:$AY$106,50,)*$CR$5)</f>
        <v>8.2833001204758325</v>
      </c>
      <c r="T28" s="1566">
        <f>IF(ISERROR(MATCH($B28,'A1.3.2'!$B$27:$B$106,0)),"",(((Q28*'VoT5'!$E$28)+(R28*'VoT5'!$E$29)+(S28*'VoT5'!$E$30))/100))</f>
        <v>10.668764536900987</v>
      </c>
      <c r="U28" s="1565">
        <f>IF(ISERROR(MATCH($B28,'A1.3.2'!$B$27:$B$106,0)),"",(VLOOKUP($B28,'Forecast occupancies'!$C$28:$CP$64,19,TRUE) * VLOOKUP($B28, 'A1.3.2'!$B$27:$AY$106,37,)) * $CR$5)</f>
        <v>14.615979367528487</v>
      </c>
      <c r="V28" s="1565">
        <f>IF(ISERROR(MATCH($B28,'A1.3.2'!$B$27:$B$106,0)),"",VLOOKUP($B28,'Forecast occupancies'!$C$28:$CP$64,20,TRUE) * ('VoT5'!$J$29*VLOOKUP($B28, 'A1.3.2'!$B$27:$AY$106,49,)+'VoT5'!$J$30*VLOOKUP($B28, 'A1.3.2'!$B$27:$AY$106,50,))/('VoT5'!$J$29+'VoT5'!$J$30) * $CR$5)</f>
        <v>8.9218938643805537</v>
      </c>
      <c r="W28" s="1566">
        <f>IF(ISERROR(MATCH($B28,'A1.3.2'!$B$27:$B$106,0)),"",(U28*'VoT5'!$E$31 + V28*'VoT5'!$E$32)/100)</f>
        <v>13.932689107150736</v>
      </c>
      <c r="X28" s="1566">
        <f>IF(ISERROR(MATCH($B28,'A1.3.2'!$B$27:$B$106,0)),"",(VLOOKUP($B28,'Forecast occupancies'!$C$28:$CP$64,22,TRUE)*VLOOKUP($B28,'A1.3.2'!$B$27:$AY$106,38,)) * $CR$5)</f>
        <v>14.350951963873461</v>
      </c>
      <c r="Y28" s="1566">
        <f>IF(ISERROR(MATCH($B28,'A1.3.2'!$B$27:$B$106,0)),"",(VLOOKUP($B28,'Forecast occupancies'!$C$28:$CP$64,23,TRUE)*VLOOKUP($B28,'A1.3.2'!$B$27:$AY$106,38,)) * $CR$5)</f>
        <v>14.350951963873461</v>
      </c>
      <c r="Z28" s="1565">
        <f>IF(ISERROR(MATCH($B28,'A1.3.2'!$B$27:$B$106,0)),"",(((VLOOKUP($B28,'Forecast occupancies'!$C$28:$CP$64,24,TRUE) -1) * VLOOKUP($B28,'A1.3.2'!$B$27:$AY$106,40,)) + VLOOKUP($B28,'A1.3.2'!$B$27:$AY$106,39,)) * $CR$5)</f>
        <v>16.686819590400443</v>
      </c>
      <c r="AA28" s="1565">
        <f>IF(ISERROR(MATCH($B28,'A1.3.2'!$B$27:$B$106,0)),"",(VLOOKUP($B28,'Forecast occupancies'!$C$28:$CP$64,25,TRUE) * VLOOKUP($B28,'A1.3.2'!$B$27:$AY$106,49,)) * $CR$5)</f>
        <v>7.8456114326819053</v>
      </c>
      <c r="AB28" s="1565">
        <f>IF(ISERROR(MATCH($B28,'A1.3.2'!$B$27:$B$106,0)),"",(VLOOKUP($B28,'Forecast occupancies'!$C$28:$CP$64,26,TRUE) * VLOOKUP($B28,'A1.3.2'!$B$27:$AY$106,50,)) * $CR$5)</f>
        <v>50.923435071437268</v>
      </c>
      <c r="AC28" s="1567">
        <f>IF(ISERROR(MATCH($B28,'A1.3.2'!$B$27:$B$106,0)),"",SUM(Z28:AB28))</f>
        <v>75.455866094519621</v>
      </c>
      <c r="AD28" s="1609">
        <f>IF(ISERROR(MATCH($B28,'A1.3.2'!$B$27:$B$106,0)),"",(((VLOOKUP($B28,'Forecast occupancies'!$C$28:$CP$64,28,TRUE)-1)*VLOOKUP($B28,'A1.3.2'!$B$27:$AY$106,36,)+VLOOKUP($B28,'A1.3.2'!$B$27:$AY$106,35,))*$CR$5))</f>
        <v>20.288349647451106</v>
      </c>
      <c r="AE28" s="1565">
        <f>IF(ISERROR(MATCH($B28,'A1.3.2'!$B$27:$B$106,0)),"",VLOOKUP($B28,'Forecast occupancies'!$C$28:$CP$64,29,TRUE)*VLOOKUP($B28,'A1.3.2'!$B$27:$AY$106,49,)*$CR$5)</f>
        <v>11.309739599833184</v>
      </c>
      <c r="AF28" s="1565">
        <f>IF(ISERROR(MATCH($B28,'A1.3.2'!$B$27:$B$106,0)),"",VLOOKUP($B28,'Forecast occupancies'!$C$28:$CP$64,30,TRUE)*VLOOKUP($B28,'A1.3.2'!$B$27:$AY$106,50,)*$CR$5)</f>
        <v>8.1431097826307859</v>
      </c>
      <c r="AG28" s="1566">
        <f>IF(ISERROR(MATCH($B28,'A1.3.2'!$B$27:$B$106,0)),"",(((AD28*'VoT5'!$F$28)+(AE28*'VoT5'!$F$29)+(AF28*'VoT5'!$F$30))/100))</f>
        <v>10.88382638300256</v>
      </c>
      <c r="AH28" s="1565">
        <f>IF(ISERROR(MATCH($B28,'A1.3.2'!$B$27:$B$106,0)),"",(VLOOKUP($B28,'Forecast occupancies'!$C$28:$CP$64,32,TRUE) * VLOOKUP($B28, 'A1.3.2'!$B$27:$AY$106,37,)) * $CR$5)</f>
        <v>14.615979367528487</v>
      </c>
      <c r="AI28" s="1565">
        <f>IF(ISERROR(MATCH($B28,'A1.3.2'!$B$27:$B$106,0)),"",VLOOKUP($B28,'Forecast occupancies'!$C$28:$CP$64,33,TRUE) * ('VoT5'!$J$29*VLOOKUP($B28, 'A1.3.2'!$B$27:$AY$106,49,)+'VoT5'!$J$30*VLOOKUP($B28, 'A1.3.2'!$B$27:$AY$106,50,))/('VoT5'!$J$29+'VoT5'!$J$30) * $CR$5)</f>
        <v>8.9218938643805537</v>
      </c>
      <c r="AJ28" s="1566">
        <f>IF(ISERROR(MATCH($B28,'A1.3.2'!$B$27:$B$106,0)),"",(AH28*'VoT5'!$F$31 + AI28*'VoT5'!$F$32)/100)</f>
        <v>13.932689107150736</v>
      </c>
      <c r="AK28" s="1566">
        <f>IF(ISERROR(MATCH($B28,'A1.3.2'!$B$27:$B$106,0)),"",(VLOOKUP($B28,'Forecast occupancies'!$C$28:$CP$64,35,TRUE)*VLOOKUP($B28,'A1.3.2'!$B$27:$AY$106,38,)) * $CR$5)</f>
        <v>14.350951963873461</v>
      </c>
      <c r="AL28" s="1566">
        <f>IF(ISERROR(MATCH($B28,'A1.3.2'!$B$27:$B$106,0)),"",(VLOOKUP($B28,'Forecast occupancies'!$C$28:$CP$64,36,TRUE)*VLOOKUP($B28,'A1.3.2'!$B$27:$AY$106,38,)) * $CR$5)</f>
        <v>14.350951963873461</v>
      </c>
      <c r="AM28" s="1565">
        <f>IF(ISERROR(MATCH($B28,'A1.3.2'!$B$27:$B$106,0)),"",(((VLOOKUP($B28,'Forecast occupancies'!$C$28:$CP$64,37,TRUE) -1) * VLOOKUP($B28,'A1.3.2'!$B$27:$AY$106,40,)) + VLOOKUP($B28,'A1.3.2'!$B$27:$AY$106,39,)) * $CR$5)</f>
        <v>17.459203708545985</v>
      </c>
      <c r="AN28" s="1565">
        <f>IF(ISERROR(MATCH($B28,'A1.3.2'!$B$27:$B$106,0)),"",(VLOOKUP($B28,'Forecast occupancies'!$C$28:$CP$64,38,TRUE) * VLOOKUP($B28,'A1.3.2'!$B$27:$AY$106,49,)) * $CR$5)</f>
        <v>31.483290963073696</v>
      </c>
      <c r="AO28" s="1565">
        <f>IF(ISERROR(MATCH($B28,'A1.3.2'!$B$27:$B$106,0)),"",(VLOOKUP($B28,'Forecast occupancies'!$C$28:$CP$64,39,TRUE) * VLOOKUP($B28,'A1.3.2'!$B$27:$AY$106,50,)) * $CR$5)</f>
        <v>39.784444442195543</v>
      </c>
      <c r="AP28" s="1567">
        <f>IF(ISERROR(MATCH($B28,'A1.3.2'!$B$27:$B$106,0)),"",SUM(AM28:AO28))</f>
        <v>88.726939113815234</v>
      </c>
      <c r="AQ28" s="1609">
        <f>IF(ISERROR(MATCH($B28,'A1.3.2'!$B$27:$B$106,0)),"",(((VLOOKUP($B28,'Forecast occupancies'!$C$28:$CP$64,41,TRUE)-1)*VLOOKUP($B28,'A1.3.2'!$B$27:$AY$106,36,)+VLOOKUP($B28,'A1.3.2'!$B$27:$AY$106,35,))*$CR$5))</f>
        <v>20.672217845378672</v>
      </c>
      <c r="AR28" s="1565">
        <f>IF(ISERROR(MATCH($B28,'A1.3.2'!$B$27:$B$106,0)),"",VLOOKUP($B28,'Forecast occupancies'!$C$28:$CP$64,42,TRUE)*VLOOKUP($B28,'A1.3.2'!$B$27:$AY$106,49,)*$CR$5)</f>
        <v>11.475268410148223</v>
      </c>
      <c r="AS28" s="1565">
        <f>IF(ISERROR(MATCH($B28,'A1.3.2'!$B$27:$B$106,0)),"",VLOOKUP($B28,'Forecast occupancies'!$C$28:$CP$64,43,TRUE)*VLOOKUP($B28,'A1.3.2'!$B$27:$AY$106,50,)*$CR$5)</f>
        <v>8.1140370950830043</v>
      </c>
      <c r="AT28" s="1566">
        <f>IF(ISERROR(MATCH($B28,'A1.3.2'!$B$27:$B$106,0)),"",(((AQ28*'VoT5'!$G$28)+(AR28*'VoT5'!$G$29)+(AS28*'VoT5'!$G$30))/100))</f>
        <v>11.026892102487622</v>
      </c>
      <c r="AU28" s="1565">
        <f>IF(ISERROR(MATCH($B28,'A1.3.2'!$B$27:$B$106,0)),"",(VLOOKUP($B28,'Forecast occupancies'!$C$28:$CP$64,45,TRUE) * VLOOKUP($B28, 'A1.3.2'!$B$27:$AY$106,37,)) * $CR$5)</f>
        <v>14.615979367528487</v>
      </c>
      <c r="AV28" s="1565">
        <f>IF(ISERROR(MATCH($B28,'A1.3.2'!$B$27:$B$106,0)),"",VLOOKUP($B28,'Forecast occupancies'!$C$28:$CP$64,46,TRUE) * ('VoT5'!$J$29*VLOOKUP($B28, 'A1.3.2'!$B$27:$AY$106,49,)+'VoT5'!$J$30*VLOOKUP($B28, 'A1.3.2'!$B$27:$AY$106,50,))/('VoT5'!$J$29+'VoT5'!$J$30) * $CR$5)</f>
        <v>8.9218938643805537</v>
      </c>
      <c r="AW28" s="1566">
        <f>IF(ISERROR(MATCH($B28,'A1.3.2'!$B$27:$B$106,0)),"",(AU28*'VoT5'!$G$31 + AV28*'VoT5'!$G$32)/100)</f>
        <v>13.932689107150736</v>
      </c>
      <c r="AX28" s="1566">
        <f>IF(ISERROR(MATCH($B28,'A1.3.2'!$B$27:$B$106,0)),"",(VLOOKUP($B28,'Forecast occupancies'!$C$28:$CP$64,48,TRUE)*VLOOKUP($B28,'A1.3.2'!$B$27:$AY$106,38,)) * $CR$5)</f>
        <v>14.350951963873461</v>
      </c>
      <c r="AY28" s="1566">
        <f>IF(ISERROR(MATCH($B28,'A1.3.2'!$B$27:$B$106,0)),"",(VLOOKUP($B28,'Forecast occupancies'!$C$28:$CP$64,49,TRUE)*VLOOKUP($B28,'A1.3.2'!$B$27:$AY$106,38,)) * $CR$5)</f>
        <v>14.350951963873461</v>
      </c>
      <c r="AZ28" s="1565">
        <f>IF(ISERROR(MATCH($B28,'A1.3.2'!$B$27:$B$106,0)),"",(((VLOOKUP($B28,'Forecast occupancies'!$C$28:$CP$64,50,TRUE) -1) * VLOOKUP($B28,'A1.3.2'!$B$27:$AY$106,40,)) + VLOOKUP($B28,'A1.3.2'!$B$27:$AY$106,39,)) * $CR$5)</f>
        <v>17.445084919239434</v>
      </c>
      <c r="BA28" s="1565">
        <f>IF(ISERROR(MATCH($B28,'A1.3.2'!$B$27:$B$106,0)),"",(VLOOKUP($B28,'Forecast occupancies'!$C$28:$CP$64,51,TRUE) * VLOOKUP($B28,'A1.3.2'!$B$27:$AY$106,49,)) * $CR$5)</f>
        <v>43.036876716181162</v>
      </c>
      <c r="BB28" s="1565">
        <f>IF(ISERROR(MATCH($B28,'A1.3.2'!$B$27:$B$106,0)),"",(VLOOKUP($B28,'Forecast occupancies'!$C$28:$CP$64,52,TRUE) * VLOOKUP($B28,'A1.3.2'!$B$27:$AY$106,50,)) * $CR$5)</f>
        <v>34.517439812347341</v>
      </c>
      <c r="BC28" s="1567">
        <f>IF(ISERROR(MATCH($B28,'A1.3.2'!$B$27:$B$106,0)),"",SUM(AZ28:BB28))</f>
        <v>94.999401447767937</v>
      </c>
      <c r="BD28" s="1565">
        <f>IF(ISERROR(MATCH($B28,'A1.3.2'!$B$27:$B$106,0)),"",(((VLOOKUP($B28,'Forecast occupancies'!$C$28:$CP$64,54,TRUE)-1)*VLOOKUP($B28,'A1.3.2'!$B$27:$AY$106,36,)+VLOOKUP($B28,'A1.3.2'!$B$27:$AY$106,35,))*$CR$5))</f>
        <v>20.324448501218679</v>
      </c>
      <c r="BE28" s="1565">
        <f>IF(ISERROR(MATCH($B28,'A1.3.2'!$B$27:$B$106,0)),"",VLOOKUP($B28,'Forecast occupancies'!$C$28:$CP$64,55,TRUE)*VLOOKUP($B28,'A1.3.2'!$B$27:$AY$106,49,)*$CR$5)</f>
        <v>11.348192808668019</v>
      </c>
      <c r="BF28" s="1565">
        <f>IF(ISERROR(MATCH($B28,'A1.3.2'!$B$27:$B$106,0)),"",VLOOKUP($B28,'Forecast occupancies'!$C$28:$CP$64,56,TRUE)*VLOOKUP($B28,'A1.3.2'!$B$27:$AY$106,50,)*$CR$5)</f>
        <v>8.1341976352977419</v>
      </c>
      <c r="BG28" s="1566">
        <f>IF(ISERROR(MATCH($B28,'A1.3.2'!$B$27:$B$106,0)),"",(((BD28*'VoT5'!$H$28)+(BE28*'VoT5'!$H$29)+(BF28*'VoT5'!$H$30))/100))</f>
        <v>10.947480544217941</v>
      </c>
      <c r="BH28" s="1565">
        <f>IF(ISERROR(MATCH($B28,'A1.3.2'!$B$27:$B$106,0)),"",(VLOOKUP($B28,'Forecast occupancies'!$C$28:$CP$64,58,TRUE) * VLOOKUP($B28, 'A1.3.2'!$B$27:$AY$106,37,)) * $CR$5)</f>
        <v>14.615979367528487</v>
      </c>
      <c r="BI28" s="1565">
        <f>IF(ISERROR(MATCH($B28,'A1.3.2'!$B$27:$B$106,0)),"",(VLOOKUP($B28,'Forecast occupancies'!$C$28:$CP$64,59,TRUE) * (VLOOKUP($B28,'A1.3.2'!$B$27:$AY$106,49,) * 'VoT5'!$J$29 + VLOOKUP($B28,'A1.3.2'!$B$27:$AY$106,50,) * 'VoT5'!$J$30) / (SUM('VoT5'!$J$29:$J$30))) * $CR$5)</f>
        <v>8.9218938643805537</v>
      </c>
      <c r="BJ28" s="1566">
        <f>IF(ISERROR(MATCH($B28,'A1.3.2'!$B$27:$B$106,0)),"",(BH28*'VoT5'!$H$31 + BI28*'VoT5'!$H$32)/100)</f>
        <v>13.932689107150736</v>
      </c>
      <c r="BK28" s="1566">
        <f>IF(ISERROR(MATCH($B28,'A1.3.2'!$B$27:$B$106,0)),"",(VLOOKUP($B28,'Forecast occupancies'!$C$28:$CP$64,61,TRUE)*VLOOKUP($B28,'A1.3.2'!$B$27:$AY$106,38,)) * $CR$5)</f>
        <v>14.350951963873461</v>
      </c>
      <c r="BL28" s="1566">
        <f>IF(ISERROR(MATCH($B28,'A1.3.2'!$B$27:$B$106,0)),"",(VLOOKUP($B28,'Forecast occupancies'!$C$28:$CP$64,62,TRUE)*VLOOKUP($B28,'A1.3.2'!$B$27:$AY$106,38,)) * $CR$5)</f>
        <v>14.350951963873461</v>
      </c>
      <c r="BM28" s="1565">
        <f>IF(ISERROR(MATCH($B28,'A1.3.2'!$B$27:$B$106,0)),"",(((VLOOKUP($B28,'Forecast occupancies'!$C$28:$CP$64,63,TRUE) -1) * VLOOKUP($B28,'A1.3.2'!$B$27:$AY$106,40,)) + VLOOKUP($B28,'A1.3.2'!$B$27:$AY$106,39,)) * $CR$5)</f>
        <v>16.820398427886772</v>
      </c>
      <c r="BN28" s="1565">
        <f>IF(ISERROR(MATCH($B28,'A1.3.2'!$B$27:$B$106,0)),"",(VLOOKUP($B28,'Forecast occupancies'!$C$28:$CP$64,64,TRUE) * VLOOKUP($B28,'A1.3.2'!$B$27:$AY$106,49,)) * $CR$5)</f>
        <v>19.42828795426259</v>
      </c>
      <c r="BO28" s="1565">
        <f>IF(ISERROR(MATCH($B28,'A1.3.2'!$B$27:$B$106,0)),"",(VLOOKUP($B28,'Forecast occupancies'!$C$28:$CP$64,65,TRUE) * VLOOKUP($B28,'A1.3.2'!$B$27:$AY$106,50,)) * $CR$5)</f>
        <v>45.576216008051169</v>
      </c>
      <c r="BP28" s="1567">
        <f>IF(ISERROR(MATCH($B28,'A1.3.2'!$B$27:$B$106,0)),"",SUM(BM28:BO28))</f>
        <v>81.824902390200521</v>
      </c>
      <c r="BQ28" s="1565">
        <f>IF(ISERROR(MATCH($B28,'A1.3.2'!$B$27:$B$106,0)),"",(((VLOOKUP($B28,'Forecast occupancies'!$C$28:$CP$64,67,TRUE)-1)*VLOOKUP($B28,'A1.3.2'!$B$27:$AY$106,36,)+VLOOKUP($B28,'A1.3.2'!$B$27:$AY$106,35,))*$CR$5))</f>
        <v>23.228300341310018</v>
      </c>
      <c r="BR28" s="1565">
        <f>IF(ISERROR(MATCH($B28,'A1.3.2'!$B$27:$B$106,0)),"",VLOOKUP($B28,'Forecast occupancies'!$C$28:$CP$64,68,TRUE)*VLOOKUP($B28,'A1.3.2'!$B$27:$AY$106,49,)*$CR$5)</f>
        <v>12.014921062722699</v>
      </c>
      <c r="BS28" s="1565">
        <f>IF(ISERROR(MATCH($B28,'A1.3.2'!$B$27:$B$106,0)),"",VLOOKUP($B28,'Forecast occupancies'!$C$28:$CP$64,69,TRUE)*VLOOKUP($B28,'A1.3.2'!$B$27:$AY$106,50,)*$CR$5)</f>
        <v>9.6310860851467268</v>
      </c>
      <c r="BT28" s="1566">
        <f>IF(ISERROR(MATCH($B28,'A1.3.2'!$B$27:$B$106,0)),"",(((BQ28*'VoT5'!$I$28)+(BR28*'VoT5'!$I$29)+(BS28*'VoT5'!$I$30))/100))</f>
        <v>10.29142286110474</v>
      </c>
      <c r="BU28" s="1565">
        <f>IF(ISERROR(MATCH($B28,'A1.3.2'!$B$27:$B$106,0)),"",(VLOOKUP($B28,'Forecast occupancies'!$C$28:$CP$64,71,TRUE) * VLOOKUP($B28, 'A1.3.2'!$B$27:$AY$106,37,)) * $CR$5)</f>
        <v>15.346778335904913</v>
      </c>
      <c r="BV28" s="1565">
        <f>IF(ISERROR(MATCH($B28,'A1.3.2'!$B$27:$B$106,0)),"",(VLOOKUP($B28,'Forecast occupancies'!$C$28:$CP$64,72,TRUE) * (VLOOKUP($B28,'A1.3.2'!$B$27:$AY$106,49,)*'VoT5'!$J$29 + VLOOKUP($B28,'A1.3.2'!$B$27:$AY$106,50,)*'VoT5'!$J$30) / (SUM('VoT5'!$J$29:$J$30))) * $CR$5)</f>
        <v>12.405099003214058</v>
      </c>
      <c r="BW28" s="1566">
        <f>IF(ISERROR(MATCH($B28,'A1.3.2'!$B$27:$B$106,0)),"",(BU28*'VoT5'!$I$31 + BV28*'VoT5'!$I$32)/100)</f>
        <v>14.99377681598201</v>
      </c>
      <c r="BX28" s="1566">
        <f>IF(ISERROR(MATCH($B28,'A1.3.2'!$B$27:$B$106,0)),"",(VLOOKUP($B28,'Forecast occupancies'!$C$28:$CP$64,74,TRUE)*VLOOKUP($B28,'A1.3.2'!$B$27:$AY$106,38,)) * $CR$5)</f>
        <v>14.350951963873461</v>
      </c>
      <c r="BY28" s="1566">
        <f>IF(ISERROR(MATCH($B28,'A1.3.2'!$B$27:$B$106,0)),"",(VLOOKUP($B28,'Forecast occupancies'!$C$28:$CP$64,75,TRUE)*VLOOKUP($B28,'A1.3.2'!$B$27:$AY$106,38,)) * $CR$5)</f>
        <v>14.350951963873461</v>
      </c>
      <c r="BZ28" s="1565">
        <f>IF(ISERROR(MATCH($B28,'A1.3.2'!$B$27:$B$106,0)),"",(((VLOOKUP($B28,'Forecast occupancies'!$C$28:$CP$64,76,TRUE) -1) * VLOOKUP($B28,'A1.3.2'!$B$27:$AY$106,40,)) + VLOOKUP($B28,'A1.3.2'!$B$27:$AY$106,39,)) * $CR$5)</f>
        <v>15.31891368008262</v>
      </c>
      <c r="CA28" s="1565">
        <f>IF(ISERROR(MATCH($B28,'A1.3.2'!$B$27:$B$106,0)),"",(VLOOKUP($B28,'Forecast occupancies'!$C$28:$CP$64,77,TRUE) * VLOOKUP($B28,'A1.3.2'!$B$27:$AY$106,49,)) * $CR$5)</f>
        <v>7.3601851659359978</v>
      </c>
      <c r="CB28" s="1565">
        <f>IF(ISERROR(MATCH($B28,'A1.3.2'!$B$27:$B$106,0)),"",(VLOOKUP($B28,'Forecast occupancies'!$C$28:$CP$64,78,TRUE) * VLOOKUP($B28,'A1.3.2'!$B$27:$AY$106,50,)) * $CR$5)</f>
        <v>51.764932861755518</v>
      </c>
      <c r="CC28" s="1567">
        <f>IF(ISERROR(MATCH($B28,'A1.3.2'!$B$27:$B$106,0)),"",SUM(BZ28:CB28))</f>
        <v>74.444031707774144</v>
      </c>
      <c r="CD28" s="1565">
        <f>IF(ISERROR(MATCH($B28,'A1.3.2'!$B$27:$B$106,0)),"",(((VLOOKUP($B28,'Forecast occupancies'!$C$28:$CP$64,80,TRUE)-1)*VLOOKUP($B28,'A1.3.2'!$B$27:$AY$106,36,)+VLOOKUP($B28,'A1.3.2'!$B$27:$AY$106,35,))*$CR$5))</f>
        <v>20.530572028098529</v>
      </c>
      <c r="CE28" s="1565">
        <f>IF(ISERROR(MATCH($B28,'A1.3.2'!$B$27:$B$106,0)),"",VLOOKUP($B28,'Forecast occupancies'!$C$28:$CP$64,81,TRUE)*VLOOKUP($B28,'A1.3.2'!$B$27:$AY$106,49,)*$CR$5)</f>
        <v>11.402131563909208</v>
      </c>
      <c r="CF28" s="1565">
        <f>IF(ISERROR(MATCH($B28,'A1.3.2'!$B$27:$B$106,0)),"",VLOOKUP($B28,'Forecast occupancies'!$C$28:$CP$64,82,TRUE)*VLOOKUP($B28,'A1.3.2'!$B$27:$AY$106,50,)*$CR$5)</f>
        <v>8.6624023032908735</v>
      </c>
      <c r="CG28" s="1566">
        <f>IF(ISERROR(MATCH($B28,'A1.3.2'!$B$27:$B$106,0)),"",(((CD28*'VoT5'!$J$28)+(CE28*'VoT5'!$J$29)+(CF28*'VoT5'!$J$30))/100))</f>
        <v>10.791932383216057</v>
      </c>
      <c r="CH28" s="1565">
        <f>IF(ISERROR(MATCH($B28,'A1.3.2'!$B$27:$B$106,0)),"",(VLOOKUP($B28,'Forecast occupancies'!$C$28:$CP$64,84,TRUE) * VLOOKUP($B28, 'A1.3.2'!$B$27:$AY$106,37,)) * $CR$5)</f>
        <v>14.615979367528487</v>
      </c>
      <c r="CI28" s="1565">
        <f>IF(ISERROR(MATCH($B28,'A1.3.2'!$B$27:$B$106,0)),"",(VLOOKUP($B28,'Forecast occupancies'!$C$28:$CP$64,85,TRUE) * (VLOOKUP($B28,'A1.3.2'!$B$27:$AY$106,49,)*'VoT5'!$J$29 + VLOOKUP($B28,'A1.3.2'!$B$27:$AY$106,50,)*'VoT5'!$J$30) / (SUM('VoT5'!$J$29:$J$30))) * $CR$5)</f>
        <v>9.7163090714829323</v>
      </c>
      <c r="CJ28" s="1566">
        <f>IF(ISERROR(MATCH($B28,'A1.3.2'!$B$27:$B$106,0)),"",(CH28*'VoT5'!$J$31 + CI28*'VoT5'!$J$32)/100)</f>
        <v>14.028018932003022</v>
      </c>
      <c r="CK28" s="1566">
        <f>IF(ISERROR(MATCH($B28,'A1.3.2'!$B$27:$B$106,0)),"",(VLOOKUP($B28,'Forecast occupancies'!$C$28:$CP$64,87,TRUE)*VLOOKUP($B28,'A1.3.2'!$B$27:$AY$106,38,)) * $CR$5)</f>
        <v>14.350951963873461</v>
      </c>
      <c r="CL28" s="1566">
        <f>IF(ISERROR(MATCH($B28,'A1.3.2'!$B$27:$B$106,0)),"",(VLOOKUP($B28,'Forecast occupancies'!$C$28:$CP$64,88,TRUE)*VLOOKUP($B28,'A1.3.2'!$B$27:$AY$106,38,)) * $CR$5)</f>
        <v>14.350951963873461</v>
      </c>
      <c r="CM28" s="1565">
        <f>IF(ISERROR(MATCH($B28,'A1.3.2'!$B$27:$B$106,0)),"",(((VLOOKUP($B28,'Forecast occupancies'!$C$28:$CP$64,89,TRUE) -1) * VLOOKUP($B28,'A1.3.2'!$B$27:$AY$106,40,)) + VLOOKUP($B28,'A1.3.2'!$B$27:$AY$106,39,)) * $CR$5)</f>
        <v>16.449620432533145</v>
      </c>
      <c r="CN28" s="1565">
        <f>IF(ISERROR(MATCH($B28,'A1.3.2'!$B$27:$B$106,0)),"",(VLOOKUP($B28,'Forecast occupancies'!$C$28:$CP$64,90,TRUE) * VLOOKUP($B28,'A1.3.2'!$B$27:$AY$106,49,)) * $CR$5)</f>
        <v>16.447605488532371</v>
      </c>
      <c r="CO28" s="1565">
        <f>IF(ISERROR(MATCH($B28,'A1.3.2'!$B$27:$B$106,0)),"",(VLOOKUP($B28,'Forecast occupancies'!$C$28:$CP$64,91,TRUE) * VLOOKUP($B28,'A1.3.2'!$B$27:$AY$106,50,)) * $CR$5)</f>
        <v>47.104725446545615</v>
      </c>
      <c r="CP28" s="1567">
        <f>IF(ISERROR(MATCH($B28,'A1.3.2'!$B$27:$B$106,0)),"",SUM(CM28:CO28))</f>
        <v>80.001951367611127</v>
      </c>
      <c r="CR28" s="53"/>
      <c r="CS28" s="53"/>
      <c r="CT28" s="53"/>
      <c r="CU28" s="53"/>
      <c r="CV28" s="53"/>
      <c r="CW28" s="53"/>
      <c r="CX28" s="53"/>
    </row>
    <row r="29" spans="1:103" s="26" customFormat="1" ht="13.5" customHeight="1">
      <c r="A29" s="113"/>
      <c r="B29" s="82">
        <f>B28+1</f>
        <v>2011</v>
      </c>
      <c r="D29" s="1609">
        <f>IF(ISERROR(MATCH($B29,'A1.3.2'!$B$27:$B$106,0)),"",(((VLOOKUP($B29,'Forecast occupancies'!$C$28:$CP$64,2,TRUE) -1) * VLOOKUP($B29,'A1.3.2'!$B$27:$AY$106,36,) + VLOOKUP($B29,'A1.3.2'!$B$27:$AY$106,35,)) * $CR$5))</f>
        <v>20.15983741482858</v>
      </c>
      <c r="E29" s="1565">
        <f>IF(ISERROR(MATCH($B29,'A1.3.2'!$B$27:$B$106,0)),"",VLOOKUP($B29,'Forecast occupancies'!$C$28:$CP$64,3,TRUE)*VLOOKUP($B29,'A1.3.2'!$B$27:$AY$106,49,)*$CR$5)</f>
        <v>11.361094923967523</v>
      </c>
      <c r="F29" s="1565">
        <f>IF(ISERROR(MATCH($B29,'A1.3.2'!$B$27:$B$106,0)),"",VLOOKUP($B29,'Forecast occupancies'!$C$28:$CP$64,4,TRUE)*VLOOKUP($B29,'A1.3.2'!$B$27:$AY$106,50,)*$CR$5)</f>
        <v>7.8382753181321139</v>
      </c>
      <c r="G29" s="1566">
        <f>IF(ISERROR(MATCH($B29,'A1.3.2'!$B$27:$B$106,0)),"",(((D29*'VoT5'!$D$28)+(E29*'VoT5'!$D$29)+(F29*'VoT5'!$D$30))/100))</f>
        <v>11.418631131250718</v>
      </c>
      <c r="H29" s="1565">
        <f>IF(ISERROR(MATCH($B29,'A1.3.2'!$B$27:$B$106,0)),"",(VLOOKUP($B29,'Forecast occupancies'!$C$28:$CP$64,6,TRUE) * VLOOKUP($B29, 'A1.3.2'!$B$27:$AY$106,37,)) * $CR$5)</f>
        <v>14.732992341181809</v>
      </c>
      <c r="I29" s="1565">
        <f>IF(ISERROR(MATCH($B29,'A1.3.2'!$B$27:$B$106,0)),"",VLOOKUP($B29,'Forecast occupancies'!$C$28:$CP$64,7,TRUE) * ('VoT5'!$J$29*VLOOKUP($B29, 'A1.3.2'!$B$27:$AY$106,49,)+'VoT5'!$J$30*VLOOKUP($B29, 'A1.3.2'!$B$27:$AY$106,50,))/('VoT5'!$J$29+'VoT5'!$J$30) * $CR$5)</f>
        <v>8.9933209857139218</v>
      </c>
      <c r="J29" s="1566">
        <f>IF(ISERROR(MATCH($B29,'A1.3.2'!$B$27:$B$106,0)),"",(H29*'VoT5'!$D$31 + I29*'VoT5'!$D$32)/100)</f>
        <v>14.044231778525663</v>
      </c>
      <c r="K29" s="1566">
        <f>IF(ISERROR(MATCH($B29,'A1.3.2'!$B$27:$B$106,0)),"",(VLOOKUP($B29,'Forecast occupancies'!$C$28:$CP$64,9,TRUE)*VLOOKUP($B29,'A1.3.2'!$B$27:$AY$106,38,)) * $CR$5)</f>
        <v>14.465843174501426</v>
      </c>
      <c r="L29" s="1566">
        <f>IF(ISERROR(MATCH($B29,'A1.3.2'!$B$27:$B$106,0)),"",(VLOOKUP($B29,'Forecast occupancies'!$C$28:$CP$64,10,TRUE)*VLOOKUP($B29,'A1.3.2'!$B$27:$AY$106,38,)) * $CR$5)</f>
        <v>14.465843174501426</v>
      </c>
      <c r="M29" s="1565">
        <f>IF(ISERROR(MATCH($B29,'A1.3.2'!$B$27:$B$106,0)),"",(((VLOOKUP($B29,'Forecast occupancies'!$C$28:$CP$64,11,TRUE) -1) * VLOOKUP($B29,'A1.3.2'!$B$27:$AY$106,40,)) + VLOOKUP($B29,'A1.3.2'!$B$27:$AY$106,39,)) * $CR$5)</f>
        <v>16.483959084861446</v>
      </c>
      <c r="N29" s="1565">
        <f>IF(ISERROR(MATCH($B29,'A1.3.2'!$B$27:$B$106,0)),"",(VLOOKUP($B29,'Forecast occupancies'!$C$28:$CP$64,12,TRUE) * VLOOKUP($B29,'A1.3.2'!$B$27:$AY$106,49,)) * $CR$5)</f>
        <v>22.565306953850119</v>
      </c>
      <c r="O29" s="1565">
        <f>IF(ISERROR(MATCH($B29,'A1.3.2'!$B$27:$B$106,0)),"",(VLOOKUP($B29,'Forecast occupancies'!$C$28:$CP$64,13,TRUE) * VLOOKUP($B29,'A1.3.2'!$B$27:$AY$106,50,)) * $CR$5)</f>
        <v>44.793757142917954</v>
      </c>
      <c r="P29" s="1567">
        <f>IF(ISERROR(MATCH($B29,'A1.3.2'!$B$27:$B$106,0)),"",SUM(M29:O29))</f>
        <v>83.843023181629519</v>
      </c>
      <c r="Q29" s="1609">
        <f>IF(ISERROR(MATCH($B29,'A1.3.2'!$B$27:$B$106,0)),"",(((VLOOKUP($B29,'Forecast occupancies'!$C$28:$CP$64,15,TRUE)-1)*VLOOKUP($B29,'A1.3.2'!$B$27:$AY$106,36,)+VLOOKUP($B29,'A1.3.2'!$B$27:$AY$106,35,))*$CR$5))</f>
        <v>20.658241217705413</v>
      </c>
      <c r="R29" s="1565">
        <f>IF(ISERROR(MATCH($B29,'A1.3.2'!$B$27:$B$106,0)),"",VLOOKUP($B29,'Forecast occupancies'!$C$28:$CP$64,16,TRUE)*VLOOKUP($B29,'A1.3.2'!$B$27:$AY$106,49,)*$CR$5)</f>
        <v>11.545827386856907</v>
      </c>
      <c r="S29" s="1565">
        <f>IF(ISERROR(MATCH($B29,'A1.3.2'!$B$27:$B$106,0)),"",VLOOKUP($B29,'Forecast occupancies'!$C$28:$CP$64,17,TRUE)*VLOOKUP($B29,'A1.3.2'!$B$27:$AY$106,50,)*$CR$5)</f>
        <v>8.3496147720217362</v>
      </c>
      <c r="T29" s="1566">
        <f>IF(ISERROR(MATCH($B29,'A1.3.2'!$B$27:$B$106,0)),"",(((Q29*'VoT5'!$E$28)+(R29*'VoT5'!$E$29)+(S29*'VoT5'!$E$30))/100))</f>
        <v>10.754176799211873</v>
      </c>
      <c r="U29" s="1565">
        <f>IF(ISERROR(MATCH($B29,'A1.3.2'!$B$27:$B$106,0)),"",(VLOOKUP($B29,'Forecast occupancies'!$C$28:$CP$64,19,TRUE) * VLOOKUP($B29, 'A1.3.2'!$B$27:$AY$106,37,)) * $CR$5)</f>
        <v>14.732992341181809</v>
      </c>
      <c r="V29" s="1565">
        <f>IF(ISERROR(MATCH($B29,'A1.3.2'!$B$27:$B$106,0)),"",VLOOKUP($B29,'Forecast occupancies'!$C$28:$CP$64,20,TRUE) * ('VoT5'!$J$29*VLOOKUP($B29, 'A1.3.2'!$B$27:$AY$106,49,)+'VoT5'!$J$30*VLOOKUP($B29, 'A1.3.2'!$B$27:$AY$106,50,))/('VoT5'!$J$29+'VoT5'!$J$30) * $CR$5)</f>
        <v>8.9933209857139218</v>
      </c>
      <c r="W29" s="1566">
        <f>IF(ISERROR(MATCH($B29,'A1.3.2'!$B$27:$B$106,0)),"",(U29*'VoT5'!$E$31 + V29*'VoT5'!$E$32)/100)</f>
        <v>14.044231778525663</v>
      </c>
      <c r="X29" s="1566">
        <f>IF(ISERROR(MATCH($B29,'A1.3.2'!$B$27:$B$106,0)),"",(VLOOKUP($B29,'Forecast occupancies'!$C$28:$CP$64,22,TRUE)*VLOOKUP($B29,'A1.3.2'!$B$27:$AY$106,38,)) * $CR$5)</f>
        <v>14.465843174501426</v>
      </c>
      <c r="Y29" s="1566">
        <f>IF(ISERROR(MATCH($B29,'A1.3.2'!$B$27:$B$106,0)),"",(VLOOKUP($B29,'Forecast occupancies'!$C$28:$CP$64,23,TRUE)*VLOOKUP($B29,'A1.3.2'!$B$27:$AY$106,38,)) * $CR$5)</f>
        <v>14.465843174501426</v>
      </c>
      <c r="Z29" s="1565">
        <f>IF(ISERROR(MATCH($B29,'A1.3.2'!$B$27:$B$106,0)),"",(((VLOOKUP($B29,'Forecast occupancies'!$C$28:$CP$64,24,TRUE) -1) * VLOOKUP($B29,'A1.3.2'!$B$27:$AY$106,40,)) + VLOOKUP($B29,'A1.3.2'!$B$27:$AY$106,39,)) * $CR$5)</f>
        <v>16.820411348570758</v>
      </c>
      <c r="AA29" s="1565">
        <f>IF(ISERROR(MATCH($B29,'A1.3.2'!$B$27:$B$106,0)),"",(VLOOKUP($B29,'Forecast occupancies'!$C$28:$CP$64,25,TRUE) * VLOOKUP($B29,'A1.3.2'!$B$27:$AY$106,49,)) * $CR$5)</f>
        <v>7.9084220251698873</v>
      </c>
      <c r="AB29" s="1565">
        <f>IF(ISERROR(MATCH($B29,'A1.3.2'!$B$27:$B$106,0)),"",(VLOOKUP($B29,'Forecast occupancies'!$C$28:$CP$64,26,TRUE) * VLOOKUP($B29,'A1.3.2'!$B$27:$AY$106,50,)) * $CR$5)</f>
        <v>51.331119183224438</v>
      </c>
      <c r="AC29" s="1567">
        <f>IF(ISERROR(MATCH($B29,'A1.3.2'!$B$27:$B$106,0)),"",SUM(Z29:AB29))</f>
        <v>76.059952556965087</v>
      </c>
      <c r="AD29" s="1609">
        <f>IF(ISERROR(MATCH($B29,'A1.3.2'!$B$27:$B$106,0)),"",(((VLOOKUP($B29,'Forecast occupancies'!$C$28:$CP$64,28,TRUE)-1)*VLOOKUP($B29,'A1.3.2'!$B$27:$AY$106,36,)+VLOOKUP($B29,'A1.3.2'!$B$27:$AY$106,35,))*$CR$5))</f>
        <v>20.450774625146451</v>
      </c>
      <c r="AE29" s="1565">
        <f>IF(ISERROR(MATCH($B29,'A1.3.2'!$B$27:$B$106,0)),"",VLOOKUP($B29,'Forecast occupancies'!$C$28:$CP$64,29,TRUE)*VLOOKUP($B29,'A1.3.2'!$B$27:$AY$106,49,)*$CR$5)</f>
        <v>11.400283396355041</v>
      </c>
      <c r="AF29" s="1565">
        <f>IF(ISERROR(MATCH($B29,'A1.3.2'!$B$27:$B$106,0)),"",VLOOKUP($B29,'Forecast occupancies'!$C$28:$CP$64,30,TRUE)*VLOOKUP($B29,'A1.3.2'!$B$27:$AY$106,50,)*$CR$5)</f>
        <v>8.2083020948591372</v>
      </c>
      <c r="AG29" s="1566">
        <f>IF(ISERROR(MATCH($B29,'A1.3.2'!$B$27:$B$106,0)),"",(((AD29*'VoT5'!$F$28)+(AE29*'VoT5'!$F$29)+(AF29*'VoT5'!$F$30))/100))</f>
        <v>10.970960392826832</v>
      </c>
      <c r="AH29" s="1565">
        <f>IF(ISERROR(MATCH($B29,'A1.3.2'!$B$27:$B$106,0)),"",(VLOOKUP($B29,'Forecast occupancies'!$C$28:$CP$64,32,TRUE) * VLOOKUP($B29, 'A1.3.2'!$B$27:$AY$106,37,)) * $CR$5)</f>
        <v>14.732992341181809</v>
      </c>
      <c r="AI29" s="1565">
        <f>IF(ISERROR(MATCH($B29,'A1.3.2'!$B$27:$B$106,0)),"",VLOOKUP($B29,'Forecast occupancies'!$C$28:$CP$64,33,TRUE) * ('VoT5'!$J$29*VLOOKUP($B29, 'A1.3.2'!$B$27:$AY$106,49,)+'VoT5'!$J$30*VLOOKUP($B29, 'A1.3.2'!$B$27:$AY$106,50,))/('VoT5'!$J$29+'VoT5'!$J$30) * $CR$5)</f>
        <v>8.9933209857139218</v>
      </c>
      <c r="AJ29" s="1566">
        <f>IF(ISERROR(MATCH($B29,'A1.3.2'!$B$27:$B$106,0)),"",(AH29*'VoT5'!$F$31 + AI29*'VoT5'!$F$32)/100)</f>
        <v>14.044231778525663</v>
      </c>
      <c r="AK29" s="1566">
        <f>IF(ISERROR(MATCH($B29,'A1.3.2'!$B$27:$B$106,0)),"",(VLOOKUP($B29,'Forecast occupancies'!$C$28:$CP$64,35,TRUE)*VLOOKUP($B29,'A1.3.2'!$B$27:$AY$106,38,)) * $CR$5)</f>
        <v>14.465843174501426</v>
      </c>
      <c r="AL29" s="1566">
        <f>IF(ISERROR(MATCH($B29,'A1.3.2'!$B$27:$B$106,0)),"",(VLOOKUP($B29,'Forecast occupancies'!$C$28:$CP$64,36,TRUE)*VLOOKUP($B29,'A1.3.2'!$B$27:$AY$106,38,)) * $CR$5)</f>
        <v>14.465843174501426</v>
      </c>
      <c r="AM29" s="1565">
        <f>IF(ISERROR(MATCH($B29,'A1.3.2'!$B$27:$B$106,0)),"",(((VLOOKUP($B29,'Forecast occupancies'!$C$28:$CP$64,37,TRUE) -1) * VLOOKUP($B29,'A1.3.2'!$B$27:$AY$106,40,)) + VLOOKUP($B29,'A1.3.2'!$B$27:$AY$106,39,)) * $CR$5)</f>
        <v>17.598979038832418</v>
      </c>
      <c r="AN29" s="1565">
        <f>IF(ISERROR(MATCH($B29,'A1.3.2'!$B$27:$B$106,0)),"",(VLOOKUP($B29,'Forecast occupancies'!$C$28:$CP$64,38,TRUE) * VLOOKUP($B29,'A1.3.2'!$B$27:$AY$106,49,)) * $CR$5)</f>
        <v>31.735340682312238</v>
      </c>
      <c r="AO29" s="1565">
        <f>IF(ISERROR(MATCH($B29,'A1.3.2'!$B$27:$B$106,0)),"",(VLOOKUP($B29,'Forecast occupancies'!$C$28:$CP$64,39,TRUE) * VLOOKUP($B29,'A1.3.2'!$B$27:$AY$106,50,)) * $CR$5)</f>
        <v>40.102951743845743</v>
      </c>
      <c r="AP29" s="1567">
        <f>IF(ISERROR(MATCH($B29,'A1.3.2'!$B$27:$B$106,0)),"",SUM(AM29:AO29))</f>
        <v>89.437271464990403</v>
      </c>
      <c r="AQ29" s="1609">
        <f>IF(ISERROR(MATCH($B29,'A1.3.2'!$B$27:$B$106,0)),"",(((VLOOKUP($B29,'Forecast occupancies'!$C$28:$CP$64,41,TRUE)-1)*VLOOKUP($B29,'A1.3.2'!$B$27:$AY$106,36,)+VLOOKUP($B29,'A1.3.2'!$B$27:$AY$106,35,))*$CR$5))</f>
        <v>20.837716004706326</v>
      </c>
      <c r="AR29" s="1565">
        <f>IF(ISERROR(MATCH($B29,'A1.3.2'!$B$27:$B$106,0)),"",VLOOKUP($B29,'Forecast occupancies'!$C$28:$CP$64,42,TRUE)*VLOOKUP($B29,'A1.3.2'!$B$27:$AY$106,49,)*$CR$5)</f>
        <v>11.567137401365093</v>
      </c>
      <c r="AS29" s="1565">
        <f>IF(ISERROR(MATCH($B29,'A1.3.2'!$B$27:$B$106,0)),"",VLOOKUP($B29,'Forecast occupancies'!$C$28:$CP$64,43,TRUE)*VLOOKUP($B29,'A1.3.2'!$B$27:$AY$106,50,)*$CR$5)</f>
        <v>8.1789966564613081</v>
      </c>
      <c r="AT29" s="1566">
        <f>IF(ISERROR(MATCH($B29,'A1.3.2'!$B$27:$B$106,0)),"",(((AQ29*'VoT5'!$G$28)+(AR29*'VoT5'!$G$29)+(AS29*'VoT5'!$G$30))/100))</f>
        <v>11.115171471431788</v>
      </c>
      <c r="AU29" s="1565">
        <f>IF(ISERROR(MATCH($B29,'A1.3.2'!$B$27:$B$106,0)),"",(VLOOKUP($B29,'Forecast occupancies'!$C$28:$CP$64,45,TRUE) * VLOOKUP($B29, 'A1.3.2'!$B$27:$AY$106,37,)) * $CR$5)</f>
        <v>14.732992341181809</v>
      </c>
      <c r="AV29" s="1565">
        <f>IF(ISERROR(MATCH($B29,'A1.3.2'!$B$27:$B$106,0)),"",VLOOKUP($B29,'Forecast occupancies'!$C$28:$CP$64,46,TRUE) * ('VoT5'!$J$29*VLOOKUP($B29, 'A1.3.2'!$B$27:$AY$106,49,)+'VoT5'!$J$30*VLOOKUP($B29, 'A1.3.2'!$B$27:$AY$106,50,))/('VoT5'!$J$29+'VoT5'!$J$30) * $CR$5)</f>
        <v>8.9933209857139218</v>
      </c>
      <c r="AW29" s="1566">
        <f>IF(ISERROR(MATCH($B29,'A1.3.2'!$B$27:$B$106,0)),"",(AU29*'VoT5'!$G$31 + AV29*'VoT5'!$G$32)/100)</f>
        <v>14.044231778525663</v>
      </c>
      <c r="AX29" s="1566">
        <f>IF(ISERROR(MATCH($B29,'A1.3.2'!$B$27:$B$106,0)),"",(VLOOKUP($B29,'Forecast occupancies'!$C$28:$CP$64,48,TRUE)*VLOOKUP($B29,'A1.3.2'!$B$27:$AY$106,38,)) * $CR$5)</f>
        <v>14.465843174501426</v>
      </c>
      <c r="AY29" s="1566">
        <f>IF(ISERROR(MATCH($B29,'A1.3.2'!$B$27:$B$106,0)),"",(VLOOKUP($B29,'Forecast occupancies'!$C$28:$CP$64,49,TRUE)*VLOOKUP($B29,'A1.3.2'!$B$27:$AY$106,38,)) * $CR$5)</f>
        <v>14.465843174501426</v>
      </c>
      <c r="AZ29" s="1565">
        <f>IF(ISERROR(MATCH($B29,'A1.3.2'!$B$27:$B$106,0)),"",(((VLOOKUP($B29,'Forecast occupancies'!$C$28:$CP$64,50,TRUE) -1) * VLOOKUP($B29,'A1.3.2'!$B$27:$AY$106,40,)) + VLOOKUP($B29,'A1.3.2'!$B$27:$AY$106,39,)) * $CR$5)</f>
        <v>17.584747216968857</v>
      </c>
      <c r="BA29" s="1565">
        <f>IF(ISERROR(MATCH($B29,'A1.3.2'!$B$27:$B$106,0)),"",(VLOOKUP($B29,'Forecast occupancies'!$C$28:$CP$64,51,TRUE) * VLOOKUP($B29,'A1.3.2'!$B$27:$AY$106,49,)) * $CR$5)</f>
        <v>43.381422421582165</v>
      </c>
      <c r="BB29" s="1565">
        <f>IF(ISERROR(MATCH($B29,'A1.3.2'!$B$27:$B$106,0)),"",(VLOOKUP($B29,'Forecast occupancies'!$C$28:$CP$64,52,TRUE) * VLOOKUP($B29,'A1.3.2'!$B$27:$AY$106,50,)) * $CR$5)</f>
        <v>34.793780396428581</v>
      </c>
      <c r="BC29" s="1567">
        <f>IF(ISERROR(MATCH($B29,'A1.3.2'!$B$27:$B$106,0)),"",SUM(AZ29:BB29))</f>
        <v>95.759950034979596</v>
      </c>
      <c r="BD29" s="1565">
        <f>IF(ISERROR(MATCH($B29,'A1.3.2'!$B$27:$B$106,0)),"",(((VLOOKUP($B29,'Forecast occupancies'!$C$28:$CP$64,54,TRUE)-1)*VLOOKUP($B29,'A1.3.2'!$B$27:$AY$106,36,)+VLOOKUP($B29,'A1.3.2'!$B$27:$AY$106,35,))*$CR$5))</f>
        <v>20.487162480021553</v>
      </c>
      <c r="BE29" s="1565">
        <f>IF(ISERROR(MATCH($B29,'A1.3.2'!$B$27:$B$106,0)),"",VLOOKUP($B29,'Forecast occupancies'!$C$28:$CP$64,55,TRUE)*VLOOKUP($B29,'A1.3.2'!$B$27:$AY$106,49,)*$CR$5)</f>
        <v>11.439044454852162</v>
      </c>
      <c r="BF29" s="1565">
        <f>IF(ISERROR(MATCH($B29,'A1.3.2'!$B$27:$B$106,0)),"",VLOOKUP($B29,'Forecast occupancies'!$C$28:$CP$64,56,TRUE)*VLOOKUP($B29,'A1.3.2'!$B$27:$AY$106,50,)*$CR$5)</f>
        <v>8.1993185984337842</v>
      </c>
      <c r="BG29" s="1566">
        <f>IF(ISERROR(MATCH($B29,'A1.3.2'!$B$27:$B$106,0)),"",(((BD29*'VoT5'!$H$28)+(BE29*'VoT5'!$H$29)+(BF29*'VoT5'!$H$30))/100))</f>
        <v>11.03512415812018</v>
      </c>
      <c r="BH29" s="1565">
        <f>IF(ISERROR(MATCH($B29,'A1.3.2'!$B$27:$B$106,0)),"",(VLOOKUP($B29,'Forecast occupancies'!$C$28:$CP$64,58,TRUE) * VLOOKUP($B29, 'A1.3.2'!$B$27:$AY$106,37,)) * $CR$5)</f>
        <v>14.732992341181809</v>
      </c>
      <c r="BI29" s="1565">
        <f>IF(ISERROR(MATCH($B29,'A1.3.2'!$B$27:$B$106,0)),"",(VLOOKUP($B29,'Forecast occupancies'!$C$28:$CP$64,59,TRUE) * (VLOOKUP($B29,'A1.3.2'!$B$27:$AY$106,49,) * 'VoT5'!$J$29 + VLOOKUP($B29,'A1.3.2'!$B$27:$AY$106,50,) * 'VoT5'!$J$30) / (SUM('VoT5'!$J$29:$J$30))) * $CR$5)</f>
        <v>8.9933209857139218</v>
      </c>
      <c r="BJ29" s="1566">
        <f>IF(ISERROR(MATCH($B29,'A1.3.2'!$B$27:$B$106,0)),"",(BH29*'VoT5'!$H$31 + BI29*'VoT5'!$H$32)/100)</f>
        <v>14.044231778525663</v>
      </c>
      <c r="BK29" s="1566">
        <f>IF(ISERROR(MATCH($B29,'A1.3.2'!$B$27:$B$106,0)),"",(VLOOKUP($B29,'Forecast occupancies'!$C$28:$CP$64,61,TRUE)*VLOOKUP($B29,'A1.3.2'!$B$27:$AY$106,38,)) * $CR$5)</f>
        <v>14.465843174501426</v>
      </c>
      <c r="BL29" s="1566">
        <f>IF(ISERROR(MATCH($B29,'A1.3.2'!$B$27:$B$106,0)),"",(VLOOKUP($B29,'Forecast occupancies'!$C$28:$CP$64,62,TRUE)*VLOOKUP($B29,'A1.3.2'!$B$27:$AY$106,38,)) * $CR$5)</f>
        <v>14.465843174501426</v>
      </c>
      <c r="BM29" s="1565">
        <f>IF(ISERROR(MATCH($B29,'A1.3.2'!$B$27:$B$106,0)),"",(((VLOOKUP($B29,'Forecast occupancies'!$C$28:$CP$64,63,TRUE) -1) * VLOOKUP($B29,'A1.3.2'!$B$27:$AY$106,40,)) + VLOOKUP($B29,'A1.3.2'!$B$27:$AY$106,39,)) * $CR$5)</f>
        <v>16.955059594859495</v>
      </c>
      <c r="BN29" s="1565">
        <f>IF(ISERROR(MATCH($B29,'A1.3.2'!$B$27:$B$106,0)),"",(VLOOKUP($B29,'Forecast occupancies'!$C$28:$CP$64,64,TRUE) * VLOOKUP($B29,'A1.3.2'!$B$27:$AY$106,49,)) * $CR$5)</f>
        <v>19.583827428515804</v>
      </c>
      <c r="BO29" s="1565">
        <f>IF(ISERROR(MATCH($B29,'A1.3.2'!$B$27:$B$106,0)),"",(VLOOKUP($B29,'Forecast occupancies'!$C$28:$CP$64,65,TRUE) * VLOOKUP($B29,'A1.3.2'!$B$27:$AY$106,50,)) * $CR$5)</f>
        <v>45.941091219548525</v>
      </c>
      <c r="BP29" s="1567">
        <f>IF(ISERROR(MATCH($B29,'A1.3.2'!$B$27:$B$106,0)),"",SUM(BM29:BO29))</f>
        <v>82.479978242923821</v>
      </c>
      <c r="BQ29" s="1565">
        <f>IF(ISERROR(MATCH($B29,'A1.3.2'!$B$27:$B$106,0)),"",(((VLOOKUP($B29,'Forecast occupancies'!$C$28:$CP$64,67,TRUE)-1)*VLOOKUP($B29,'A1.3.2'!$B$27:$AY$106,36,)+VLOOKUP($B29,'A1.3.2'!$B$27:$AY$106,35,))*$CR$5))</f>
        <v>23.414262049896411</v>
      </c>
      <c r="BR29" s="1565">
        <f>IF(ISERROR(MATCH($B29,'A1.3.2'!$B$27:$B$106,0)),"",VLOOKUP($B29,'Forecast occupancies'!$C$28:$CP$64,68,TRUE)*VLOOKUP($B29,'A1.3.2'!$B$27:$AY$106,49,)*$CR$5)</f>
        <v>12.111110418660248</v>
      </c>
      <c r="BS29" s="1565">
        <f>IF(ISERROR(MATCH($B29,'A1.3.2'!$B$27:$B$106,0)),"",VLOOKUP($B29,'Forecast occupancies'!$C$28:$CP$64,69,TRUE)*VLOOKUP($B29,'A1.3.2'!$B$27:$AY$106,50,)*$CR$5)</f>
        <v>9.7081908753216375</v>
      </c>
      <c r="BT29" s="1566">
        <f>IF(ISERROR(MATCH($B29,'A1.3.2'!$B$27:$B$106,0)),"",(((BQ29*'VoT5'!$I$28)+(BR29*'VoT5'!$I$29)+(BS29*'VoT5'!$I$30))/100))</f>
        <v>10.373814191977644</v>
      </c>
      <c r="BU29" s="1565">
        <f>IF(ISERROR(MATCH($B29,'A1.3.2'!$B$27:$B$106,0)),"",(VLOOKUP($B29,'Forecast occupancies'!$C$28:$CP$64,71,TRUE) * VLOOKUP($B29, 'A1.3.2'!$B$27:$AY$106,37,)) * $CR$5)</f>
        <v>15.469641958240901</v>
      </c>
      <c r="BV29" s="1565">
        <f>IF(ISERROR(MATCH($B29,'A1.3.2'!$B$27:$B$106,0)),"",(VLOOKUP($B29,'Forecast occupancies'!$C$28:$CP$64,72,TRUE) * (VLOOKUP($B29,'A1.3.2'!$B$27:$AY$106,49,)*'VoT5'!$J$29 + VLOOKUP($B29,'A1.3.2'!$B$27:$AY$106,50,)*'VoT5'!$J$30) / (SUM('VoT5'!$J$29:$J$30))) * $CR$5)</f>
        <v>12.504412055478946</v>
      </c>
      <c r="BW29" s="1566">
        <f>IF(ISERROR(MATCH($B29,'A1.3.2'!$B$27:$B$106,0)),"",(BU29*'VoT5'!$I$31 + BV29*'VoT5'!$I$32)/100)</f>
        <v>15.113814369909466</v>
      </c>
      <c r="BX29" s="1566">
        <f>IF(ISERROR(MATCH($B29,'A1.3.2'!$B$27:$B$106,0)),"",(VLOOKUP($B29,'Forecast occupancies'!$C$28:$CP$64,74,TRUE)*VLOOKUP($B29,'A1.3.2'!$B$27:$AY$106,38,)) * $CR$5)</f>
        <v>14.465843174501426</v>
      </c>
      <c r="BY29" s="1566">
        <f>IF(ISERROR(MATCH($B29,'A1.3.2'!$B$27:$B$106,0)),"",(VLOOKUP($B29,'Forecast occupancies'!$C$28:$CP$64,75,TRUE)*VLOOKUP($B29,'A1.3.2'!$B$27:$AY$106,38,)) * $CR$5)</f>
        <v>14.465843174501426</v>
      </c>
      <c r="BZ29" s="1565">
        <f>IF(ISERROR(MATCH($B29,'A1.3.2'!$B$27:$B$106,0)),"",(((VLOOKUP($B29,'Forecast occupancies'!$C$28:$CP$64,76,TRUE) -1) * VLOOKUP($B29,'A1.3.2'!$B$27:$AY$106,40,)) + VLOOKUP($B29,'A1.3.2'!$B$27:$AY$106,39,)) * $CR$5)</f>
        <v>15.441554222859198</v>
      </c>
      <c r="CA29" s="1565">
        <f>IF(ISERROR(MATCH($B29,'A1.3.2'!$B$27:$B$106,0)),"",(VLOOKUP($B29,'Forecast occupancies'!$C$28:$CP$64,77,TRUE) * VLOOKUP($B29,'A1.3.2'!$B$27:$AY$106,49,)) * $CR$5)</f>
        <v>7.4191095206609754</v>
      </c>
      <c r="CB29" s="1565">
        <f>IF(ISERROR(MATCH($B29,'A1.3.2'!$B$27:$B$106,0)),"",(VLOOKUP($B29,'Forecast occupancies'!$C$28:$CP$64,78,TRUE) * VLOOKUP($B29,'A1.3.2'!$B$27:$AY$106,50,)) * $CR$5)</f>
        <v>52.179353857626324</v>
      </c>
      <c r="CC29" s="1567">
        <f>IF(ISERROR(MATCH($B29,'A1.3.2'!$B$27:$B$106,0)),"",SUM(BZ29:CB29))</f>
        <v>75.040017601146502</v>
      </c>
      <c r="CD29" s="1565">
        <f>IF(ISERROR(MATCH($B29,'A1.3.2'!$B$27:$B$106,0)),"",(((VLOOKUP($B29,'Forecast occupancies'!$C$28:$CP$64,80,TRUE)-1)*VLOOKUP($B29,'A1.3.2'!$B$27:$AY$106,36,)+VLOOKUP($B29,'A1.3.2'!$B$27:$AY$106,35,))*$CR$5))</f>
        <v>20.694936195794917</v>
      </c>
      <c r="CE29" s="1565">
        <f>IF(ISERROR(MATCH($B29,'A1.3.2'!$B$27:$B$106,0)),"",VLOOKUP($B29,'Forecast occupancies'!$C$28:$CP$64,81,TRUE)*VLOOKUP($B29,'A1.3.2'!$B$27:$AY$106,49,)*$CR$5)</f>
        <v>11.493415034330868</v>
      </c>
      <c r="CF29" s="1565">
        <f>IF(ISERROR(MATCH($B29,'A1.3.2'!$B$27:$B$106,0)),"",VLOOKUP($B29,'Forecast occupancies'!$C$28:$CP$64,82,TRUE)*VLOOKUP($B29,'A1.3.2'!$B$27:$AY$106,50,)*$CR$5)</f>
        <v>8.7317519805859369</v>
      </c>
      <c r="CG29" s="1566">
        <f>IF(ISERROR(MATCH($B29,'A1.3.2'!$B$27:$B$106,0)),"",(((CD29*'VoT5'!$J$28)+(CE29*'VoT5'!$J$29)+(CF29*'VoT5'!$J$30))/100))</f>
        <v>10.878330705755507</v>
      </c>
      <c r="CH29" s="1565">
        <f>IF(ISERROR(MATCH($B29,'A1.3.2'!$B$27:$B$106,0)),"",(VLOOKUP($B29,'Forecast occupancies'!$C$28:$CP$64,84,TRUE) * VLOOKUP($B29, 'A1.3.2'!$B$27:$AY$106,37,)) * $CR$5)</f>
        <v>14.732992341181809</v>
      </c>
      <c r="CI29" s="1565">
        <f>IF(ISERROR(MATCH($B29,'A1.3.2'!$B$27:$B$106,0)),"",(VLOOKUP($B29,'Forecast occupancies'!$C$28:$CP$64,85,TRUE) * (VLOOKUP($B29,'A1.3.2'!$B$27:$AY$106,49,)*'VoT5'!$J$29 + VLOOKUP($B29,'A1.3.2'!$B$27:$AY$106,50,)*'VoT5'!$J$30) / (SUM('VoT5'!$J$29:$J$30))) * $CR$5)</f>
        <v>9.7940961419761212</v>
      </c>
      <c r="CJ29" s="1566">
        <f>IF(ISERROR(MATCH($B29,'A1.3.2'!$B$27:$B$106,0)),"",(CH29*'VoT5'!$J$31 + CI29*'VoT5'!$J$32)/100)</f>
        <v>14.140324797277128</v>
      </c>
      <c r="CK29" s="1566">
        <f>IF(ISERROR(MATCH($B29,'A1.3.2'!$B$27:$B$106,0)),"",(VLOOKUP($B29,'Forecast occupancies'!$C$28:$CP$64,87,TRUE)*VLOOKUP($B29,'A1.3.2'!$B$27:$AY$106,38,)) * $CR$5)</f>
        <v>14.465843174501426</v>
      </c>
      <c r="CL29" s="1566">
        <f>IF(ISERROR(MATCH($B29,'A1.3.2'!$B$27:$B$106,0)),"",(VLOOKUP($B29,'Forecast occupancies'!$C$28:$CP$64,88,TRUE)*VLOOKUP($B29,'A1.3.2'!$B$27:$AY$106,38,)) * $CR$5)</f>
        <v>14.465843174501426</v>
      </c>
      <c r="CM29" s="1565">
        <f>IF(ISERROR(MATCH($B29,'A1.3.2'!$B$27:$B$106,0)),"",(((VLOOKUP($B29,'Forecast occupancies'!$C$28:$CP$64,89,TRUE) -1) * VLOOKUP($B29,'A1.3.2'!$B$27:$AY$106,40,)) + VLOOKUP($B29,'A1.3.2'!$B$27:$AY$106,39,)) * $CR$5)</f>
        <v>16.581313215745151</v>
      </c>
      <c r="CN29" s="1565">
        <f>IF(ISERROR(MATCH($B29,'A1.3.2'!$B$27:$B$106,0)),"",(VLOOKUP($B29,'Forecast occupancies'!$C$28:$CP$64,90,TRUE) * VLOOKUP($B29,'A1.3.2'!$B$27:$AY$106,49,)) * $CR$5)</f>
        <v>16.579282140455234</v>
      </c>
      <c r="CO29" s="1565">
        <f>IF(ISERROR(MATCH($B29,'A1.3.2'!$B$27:$B$106,0)),"",(VLOOKUP($B29,'Forecast occupancies'!$C$28:$CP$64,91,TRUE) * VLOOKUP($B29,'A1.3.2'!$B$27:$AY$106,50,)) * $CR$5)</f>
        <v>47.481837637184633</v>
      </c>
      <c r="CP29" s="1567">
        <f>IF(ISERROR(MATCH($B29,'A1.3.2'!$B$27:$B$106,0)),"",SUM(CM29:CO29))</f>
        <v>80.642432993385029</v>
      </c>
      <c r="CQ29" s="53"/>
      <c r="CR29" s="53"/>
      <c r="CS29" s="53"/>
      <c r="CT29" s="53"/>
      <c r="CU29" s="53"/>
      <c r="CV29" s="53"/>
      <c r="CW29" s="53"/>
      <c r="CX29" s="53"/>
    </row>
    <row r="30" spans="1:103" s="26" customFormat="1" ht="13.5" customHeight="1">
      <c r="A30" s="113"/>
      <c r="B30" s="82">
        <f t="shared" ref="B30:B93" si="0">B29+1</f>
        <v>2012</v>
      </c>
      <c r="D30" s="1609">
        <f>IF(ISERROR(MATCH($B30,'A1.3.2'!$B$27:$B$106,0)),"",(((VLOOKUP($B30,'Forecast occupancies'!$C$28:$CP$64,2,TRUE) -1) * VLOOKUP($B30,'A1.3.2'!$B$27:$AY$106,36,) + VLOOKUP($B30,'A1.3.2'!$B$27:$AY$106,35,)) * $CR$5))</f>
        <v>20.316759667632507</v>
      </c>
      <c r="E30" s="1565">
        <f>IF(ISERROR(MATCH($B30,'A1.3.2'!$B$27:$B$106,0)),"",VLOOKUP($B30,'Forecast occupancies'!$C$28:$CP$64,3,TRUE)*VLOOKUP($B30,'A1.3.2'!$B$27:$AY$106,49,)*$CR$5)</f>
        <v>11.449528603917583</v>
      </c>
      <c r="F30" s="1565">
        <f>IF(ISERROR(MATCH($B30,'A1.3.2'!$B$27:$B$106,0)),"",VLOOKUP($B30,'Forecast occupancies'!$C$28:$CP$64,4,TRUE)*VLOOKUP($B30,'A1.3.2'!$B$27:$AY$106,50,)*$CR$5)</f>
        <v>7.8992877060650626</v>
      </c>
      <c r="G30" s="1566">
        <f>IF(ISERROR(MATCH($B30,'A1.3.2'!$B$27:$B$106,0)),"",(((D30*'VoT5'!$D$28)+(E30*'VoT5'!$D$29)+(F30*'VoT5'!$D$30))/100))</f>
        <v>11.507512667553929</v>
      </c>
      <c r="H30" s="1565">
        <f>IF(ISERROR(MATCH($B30,'A1.3.2'!$B$27:$B$106,0)),"",(VLOOKUP($B30,'Forecast occupancies'!$C$28:$CP$64,6,TRUE) * VLOOKUP($B30, 'A1.3.2'!$B$27:$AY$106,37,)) * $CR$5)</f>
        <v>14.84767254921864</v>
      </c>
      <c r="I30" s="1565">
        <f>IF(ISERROR(MATCH($B30,'A1.3.2'!$B$27:$B$106,0)),"",VLOOKUP($B30,'Forecast occupancies'!$C$28:$CP$64,7,TRUE) * ('VoT5'!$J$29*VLOOKUP($B30, 'A1.3.2'!$B$27:$AY$106,49,)+'VoT5'!$J$30*VLOOKUP($B30, 'A1.3.2'!$B$27:$AY$106,50,))/('VoT5'!$J$29+'VoT5'!$J$30) * $CR$5)</f>
        <v>9.0633241390245232</v>
      </c>
      <c r="J30" s="1566">
        <f>IF(ISERROR(MATCH($B30,'A1.3.2'!$B$27:$B$106,0)),"",(H30*'VoT5'!$D$31 + I30*'VoT5'!$D$32)/100)</f>
        <v>14.153550739995346</v>
      </c>
      <c r="K30" s="1566">
        <f>IF(ISERROR(MATCH($B30,'A1.3.2'!$B$27:$B$106,0)),"",(VLOOKUP($B30,'Forecast occupancies'!$C$28:$CP$64,9,TRUE)*VLOOKUP($B30,'A1.3.2'!$B$27:$AY$106,38,)) * $CR$5)</f>
        <v>14.578443918889441</v>
      </c>
      <c r="L30" s="1566">
        <f>IF(ISERROR(MATCH($B30,'A1.3.2'!$B$27:$B$106,0)),"",(VLOOKUP($B30,'Forecast occupancies'!$C$28:$CP$64,10,TRUE)*VLOOKUP($B30,'A1.3.2'!$B$27:$AY$106,38,)) * $CR$5)</f>
        <v>14.578443918889441</v>
      </c>
      <c r="M30" s="1565">
        <f>IF(ISERROR(MATCH($B30,'A1.3.2'!$B$27:$B$106,0)),"",(((VLOOKUP($B30,'Forecast occupancies'!$C$28:$CP$64,11,TRUE) -1) * VLOOKUP($B30,'A1.3.2'!$B$27:$AY$106,40,)) + VLOOKUP($B30,'A1.3.2'!$B$27:$AY$106,39,)) * $CR$5)</f>
        <v>16.612268651129156</v>
      </c>
      <c r="N30" s="1565">
        <f>IF(ISERROR(MATCH($B30,'A1.3.2'!$B$27:$B$106,0)),"",(VLOOKUP($B30,'Forecast occupancies'!$C$28:$CP$64,12,TRUE) * VLOOKUP($B30,'A1.3.2'!$B$27:$AY$106,49,)) * $CR$5)</f>
        <v>22.74095315225674</v>
      </c>
      <c r="O30" s="1565">
        <f>IF(ISERROR(MATCH($B30,'A1.3.2'!$B$27:$B$106,0)),"",(VLOOKUP($B30,'Forecast occupancies'!$C$28:$CP$64,13,TRUE) * VLOOKUP($B30,'A1.3.2'!$B$27:$AY$106,50,)) * $CR$5)</f>
        <v>45.142427478783283</v>
      </c>
      <c r="P30" s="1567">
        <f>IF(ISERROR(MATCH($B30,'A1.3.2'!$B$27:$B$106,0)),"",SUM(M30:O30))</f>
        <v>84.495649282169182</v>
      </c>
      <c r="Q30" s="1609">
        <f>IF(ISERROR(MATCH($B30,'A1.3.2'!$B$27:$B$106,0)),"",(((VLOOKUP($B30,'Forecast occupancies'!$C$28:$CP$64,15,TRUE)-1)*VLOOKUP($B30,'A1.3.2'!$B$27:$AY$106,36,)+VLOOKUP($B30,'A1.3.2'!$B$27:$AY$106,35,))*$CR$5))</f>
        <v>20.819042998203148</v>
      </c>
      <c r="R30" s="1565">
        <f>IF(ISERROR(MATCH($B30,'A1.3.2'!$B$27:$B$106,0)),"",VLOOKUP($B30,'Forecast occupancies'!$C$28:$CP$64,16,TRUE)*VLOOKUP($B30,'A1.3.2'!$B$27:$AY$106,49,)*$CR$5)</f>
        <v>11.635699006689423</v>
      </c>
      <c r="S30" s="1565">
        <f>IF(ISERROR(MATCH($B30,'A1.3.2'!$B$27:$B$106,0)),"",VLOOKUP($B30,'Forecast occupancies'!$C$28:$CP$64,17,TRUE)*VLOOKUP($B30,'A1.3.2'!$B$27:$AY$106,50,)*$CR$5)</f>
        <v>8.4146073775229517</v>
      </c>
      <c r="T30" s="1566">
        <f>IF(ISERROR(MATCH($B30,'A1.3.2'!$B$27:$B$106,0)),"",(((Q30*'VoT5'!$E$28)+(R30*'VoT5'!$E$29)+(S30*'VoT5'!$E$30))/100))</f>
        <v>10.837886286330194</v>
      </c>
      <c r="U30" s="1565">
        <f>IF(ISERROR(MATCH($B30,'A1.3.2'!$B$27:$B$106,0)),"",(VLOOKUP($B30,'Forecast occupancies'!$C$28:$CP$64,19,TRUE) * VLOOKUP($B30, 'A1.3.2'!$B$27:$AY$106,37,)) * $CR$5)</f>
        <v>14.84767254921864</v>
      </c>
      <c r="V30" s="1565">
        <f>IF(ISERROR(MATCH($B30,'A1.3.2'!$B$27:$B$106,0)),"",VLOOKUP($B30,'Forecast occupancies'!$C$28:$CP$64,20,TRUE) * ('VoT5'!$J$29*VLOOKUP($B30, 'A1.3.2'!$B$27:$AY$106,49,)+'VoT5'!$J$30*VLOOKUP($B30, 'A1.3.2'!$B$27:$AY$106,50,))/('VoT5'!$J$29+'VoT5'!$J$30) * $CR$5)</f>
        <v>9.0633241390245232</v>
      </c>
      <c r="W30" s="1566">
        <f>IF(ISERROR(MATCH($B30,'A1.3.2'!$B$27:$B$106,0)),"",(U30*'VoT5'!$E$31 + V30*'VoT5'!$E$32)/100)</f>
        <v>14.153550739995346</v>
      </c>
      <c r="X30" s="1566">
        <f>IF(ISERROR(MATCH($B30,'A1.3.2'!$B$27:$B$106,0)),"",(VLOOKUP($B30,'Forecast occupancies'!$C$28:$CP$64,22,TRUE)*VLOOKUP($B30,'A1.3.2'!$B$27:$AY$106,38,)) * $CR$5)</f>
        <v>14.578443918889441</v>
      </c>
      <c r="Y30" s="1566">
        <f>IF(ISERROR(MATCH($B30,'A1.3.2'!$B$27:$B$106,0)),"",(VLOOKUP($B30,'Forecast occupancies'!$C$28:$CP$64,23,TRUE)*VLOOKUP($B30,'A1.3.2'!$B$27:$AY$106,38,)) * $CR$5)</f>
        <v>14.578443918889441</v>
      </c>
      <c r="Z30" s="1565">
        <f>IF(ISERROR(MATCH($B30,'A1.3.2'!$B$27:$B$106,0)),"",(((VLOOKUP($B30,'Forecast occupancies'!$C$28:$CP$64,24,TRUE) -1) * VLOOKUP($B30,'A1.3.2'!$B$27:$AY$106,40,)) + VLOOKUP($B30,'A1.3.2'!$B$27:$AY$106,39,)) * $CR$5)</f>
        <v>16.951339827188594</v>
      </c>
      <c r="AA30" s="1565">
        <f>IF(ISERROR(MATCH($B30,'A1.3.2'!$B$27:$B$106,0)),"",(VLOOKUP($B30,'Forecast occupancies'!$C$28:$CP$64,25,TRUE) * VLOOKUP($B30,'A1.3.2'!$B$27:$AY$106,49,)) * $CR$5)</f>
        <v>7.9699804283840425</v>
      </c>
      <c r="AB30" s="1565">
        <f>IF(ISERROR(MATCH($B30,'A1.3.2'!$B$27:$B$106,0)),"",(VLOOKUP($B30,'Forecast occupancies'!$C$28:$CP$64,26,TRUE) * VLOOKUP($B30,'A1.3.2'!$B$27:$AY$106,50,)) * $CR$5)</f>
        <v>51.730675722071005</v>
      </c>
      <c r="AC30" s="1567">
        <f>IF(ISERROR(MATCH($B30,'A1.3.2'!$B$27:$B$106,0)),"",SUM(Z30:AB30))</f>
        <v>76.651995977643651</v>
      </c>
      <c r="AD30" s="1609">
        <f>IF(ISERROR(MATCH($B30,'A1.3.2'!$B$27:$B$106,0)),"",(((VLOOKUP($B30,'Forecast occupancies'!$C$28:$CP$64,28,TRUE)-1)*VLOOKUP($B30,'A1.3.2'!$B$27:$AY$106,36,)+VLOOKUP($B30,'A1.3.2'!$B$27:$AY$106,35,))*$CR$5))</f>
        <v>20.609961505463396</v>
      </c>
      <c r="AE30" s="1565">
        <f>IF(ISERROR(MATCH($B30,'A1.3.2'!$B$27:$B$106,0)),"",VLOOKUP($B30,'Forecast occupancies'!$C$28:$CP$64,29,TRUE)*VLOOKUP($B30,'A1.3.2'!$B$27:$AY$106,49,)*$CR$5)</f>
        <v>11.489022115638727</v>
      </c>
      <c r="AF30" s="1565">
        <f>IF(ISERROR(MATCH($B30,'A1.3.2'!$B$27:$B$106,0)),"",VLOOKUP($B30,'Forecast occupancies'!$C$28:$CP$64,30,TRUE)*VLOOKUP($B30,'A1.3.2'!$B$27:$AY$106,50,)*$CR$5)</f>
        <v>8.2721947359512242</v>
      </c>
      <c r="AG30" s="1566">
        <f>IF(ISERROR(MATCH($B30,'A1.3.2'!$B$27:$B$106,0)),"",(((AD30*'VoT5'!$F$28)+(AE30*'VoT5'!$F$29)+(AF30*'VoT5'!$F$30))/100))</f>
        <v>11.056357302774067</v>
      </c>
      <c r="AH30" s="1565">
        <f>IF(ISERROR(MATCH($B30,'A1.3.2'!$B$27:$B$106,0)),"",(VLOOKUP($B30,'Forecast occupancies'!$C$28:$CP$64,32,TRUE) * VLOOKUP($B30, 'A1.3.2'!$B$27:$AY$106,37,)) * $CR$5)</f>
        <v>14.84767254921864</v>
      </c>
      <c r="AI30" s="1565">
        <f>IF(ISERROR(MATCH($B30,'A1.3.2'!$B$27:$B$106,0)),"",VLOOKUP($B30,'Forecast occupancies'!$C$28:$CP$64,33,TRUE) * ('VoT5'!$J$29*VLOOKUP($B30, 'A1.3.2'!$B$27:$AY$106,49,)+'VoT5'!$J$30*VLOOKUP($B30, 'A1.3.2'!$B$27:$AY$106,50,))/('VoT5'!$J$29+'VoT5'!$J$30) * $CR$5)</f>
        <v>9.0633241390245232</v>
      </c>
      <c r="AJ30" s="1566">
        <f>IF(ISERROR(MATCH($B30,'A1.3.2'!$B$27:$B$106,0)),"",(AH30*'VoT5'!$F$31 + AI30*'VoT5'!$F$32)/100)</f>
        <v>14.153550739995346</v>
      </c>
      <c r="AK30" s="1566">
        <f>IF(ISERROR(MATCH($B30,'A1.3.2'!$B$27:$B$106,0)),"",(VLOOKUP($B30,'Forecast occupancies'!$C$28:$CP$64,35,TRUE)*VLOOKUP($B30,'A1.3.2'!$B$27:$AY$106,38,)) * $CR$5)</f>
        <v>14.578443918889441</v>
      </c>
      <c r="AL30" s="1566">
        <f>IF(ISERROR(MATCH($B30,'A1.3.2'!$B$27:$B$106,0)),"",(VLOOKUP($B30,'Forecast occupancies'!$C$28:$CP$64,36,TRUE)*VLOOKUP($B30,'A1.3.2'!$B$27:$AY$106,38,)) * $CR$5)</f>
        <v>14.578443918889441</v>
      </c>
      <c r="AM30" s="1565">
        <f>IF(ISERROR(MATCH($B30,'A1.3.2'!$B$27:$B$106,0)),"",(((VLOOKUP($B30,'Forecast occupancies'!$C$28:$CP$64,37,TRUE) -1) * VLOOKUP($B30,'A1.3.2'!$B$27:$AY$106,40,)) + VLOOKUP($B30,'A1.3.2'!$B$27:$AY$106,39,)) * $CR$5)</f>
        <v>17.735967814138277</v>
      </c>
      <c r="AN30" s="1565">
        <f>IF(ISERROR(MATCH($B30,'A1.3.2'!$B$27:$B$106,0)),"",(VLOOKUP($B30,'Forecast occupancies'!$C$28:$CP$64,38,TRUE) * VLOOKUP($B30,'A1.3.2'!$B$27:$AY$106,49,)) * $CR$5)</f>
        <v>31.98236554917478</v>
      </c>
      <c r="AO30" s="1565">
        <f>IF(ISERROR(MATCH($B30,'A1.3.2'!$B$27:$B$106,0)),"",(VLOOKUP($B30,'Forecast occupancies'!$C$28:$CP$64,39,TRUE) * VLOOKUP($B30,'A1.3.2'!$B$27:$AY$106,50,)) * $CR$5)</f>
        <v>40.415109297611657</v>
      </c>
      <c r="AP30" s="1567">
        <f>IF(ISERROR(MATCH($B30,'A1.3.2'!$B$27:$B$106,0)),"",SUM(AM30:AO30))</f>
        <v>90.133442660924715</v>
      </c>
      <c r="AQ30" s="1609">
        <f>IF(ISERROR(MATCH($B30,'A1.3.2'!$B$27:$B$106,0)),"",(((VLOOKUP($B30,'Forecast occupancies'!$C$28:$CP$64,41,TRUE)-1)*VLOOKUP($B30,'A1.3.2'!$B$27:$AY$106,36,)+VLOOKUP($B30,'A1.3.2'!$B$27:$AY$106,35,))*$CR$5))</f>
        <v>20.99991479983856</v>
      </c>
      <c r="AR30" s="1565">
        <f>IF(ISERROR(MATCH($B30,'A1.3.2'!$B$27:$B$106,0)),"",VLOOKUP($B30,'Forecast occupancies'!$C$28:$CP$64,42,TRUE)*VLOOKUP($B30,'A1.3.2'!$B$27:$AY$106,49,)*$CR$5)</f>
        <v>11.657174896319274</v>
      </c>
      <c r="AS30" s="1565">
        <f>IF(ISERROR(MATCH($B30,'A1.3.2'!$B$27:$B$106,0)),"",VLOOKUP($B30,'Forecast occupancies'!$C$28:$CP$64,43,TRUE)*VLOOKUP($B30,'A1.3.2'!$B$27:$AY$106,50,)*$CR$5)</f>
        <v>8.2426611868142974</v>
      </c>
      <c r="AT30" s="1566">
        <f>IF(ISERROR(MATCH($B30,'A1.3.2'!$B$27:$B$106,0)),"",(((AQ30*'VoT5'!$G$28)+(AR30*'VoT5'!$G$29)+(AS30*'VoT5'!$G$30))/100))</f>
        <v>11.201690906668706</v>
      </c>
      <c r="AU30" s="1565">
        <f>IF(ISERROR(MATCH($B30,'A1.3.2'!$B$27:$B$106,0)),"",(VLOOKUP($B30,'Forecast occupancies'!$C$28:$CP$64,45,TRUE) * VLOOKUP($B30, 'A1.3.2'!$B$27:$AY$106,37,)) * $CR$5)</f>
        <v>14.84767254921864</v>
      </c>
      <c r="AV30" s="1565">
        <f>IF(ISERROR(MATCH($B30,'A1.3.2'!$B$27:$B$106,0)),"",VLOOKUP($B30,'Forecast occupancies'!$C$28:$CP$64,46,TRUE) * ('VoT5'!$J$29*VLOOKUP($B30, 'A1.3.2'!$B$27:$AY$106,49,)+'VoT5'!$J$30*VLOOKUP($B30, 'A1.3.2'!$B$27:$AY$106,50,))/('VoT5'!$J$29+'VoT5'!$J$30) * $CR$5)</f>
        <v>9.0633241390245232</v>
      </c>
      <c r="AW30" s="1566">
        <f>IF(ISERROR(MATCH($B30,'A1.3.2'!$B$27:$B$106,0)),"",(AU30*'VoT5'!$G$31 + AV30*'VoT5'!$G$32)/100)</f>
        <v>14.153550739995346</v>
      </c>
      <c r="AX30" s="1566">
        <f>IF(ISERROR(MATCH($B30,'A1.3.2'!$B$27:$B$106,0)),"",(VLOOKUP($B30,'Forecast occupancies'!$C$28:$CP$64,48,TRUE)*VLOOKUP($B30,'A1.3.2'!$B$27:$AY$106,38,)) * $CR$5)</f>
        <v>14.578443918889441</v>
      </c>
      <c r="AY30" s="1566">
        <f>IF(ISERROR(MATCH($B30,'A1.3.2'!$B$27:$B$106,0)),"",(VLOOKUP($B30,'Forecast occupancies'!$C$28:$CP$64,49,TRUE)*VLOOKUP($B30,'A1.3.2'!$B$27:$AY$106,38,)) * $CR$5)</f>
        <v>14.578443918889441</v>
      </c>
      <c r="AZ30" s="1565">
        <f>IF(ISERROR(MATCH($B30,'A1.3.2'!$B$27:$B$106,0)),"",(((VLOOKUP($B30,'Forecast occupancies'!$C$28:$CP$64,50,TRUE) -1) * VLOOKUP($B30,'A1.3.2'!$B$27:$AY$106,40,)) + VLOOKUP($B30,'A1.3.2'!$B$27:$AY$106,39,)) * $CR$5)</f>
        <v>17.721625213129904</v>
      </c>
      <c r="BA30" s="1565">
        <f>IF(ISERROR(MATCH($B30,'A1.3.2'!$B$27:$B$106,0)),"",(VLOOKUP($B30,'Forecast occupancies'!$C$28:$CP$64,51,TRUE) * VLOOKUP($B30,'A1.3.2'!$B$27:$AY$106,49,)) * $CR$5)</f>
        <v>43.719099278600176</v>
      </c>
      <c r="BB30" s="1565">
        <f>IF(ISERROR(MATCH($B30,'A1.3.2'!$B$27:$B$106,0)),"",(VLOOKUP($B30,'Forecast occupancies'!$C$28:$CP$64,52,TRUE) * VLOOKUP($B30,'A1.3.2'!$B$27:$AY$106,50,)) * $CR$5)</f>
        <v>35.064611866495724</v>
      </c>
      <c r="BC30" s="1567">
        <f>IF(ISERROR(MATCH($B30,'A1.3.2'!$B$27:$B$106,0)),"",SUM(AZ30:BB30))</f>
        <v>96.505336358225804</v>
      </c>
      <c r="BD30" s="1565">
        <f>IF(ISERROR(MATCH($B30,'A1.3.2'!$B$27:$B$106,0)),"",(((VLOOKUP($B30,'Forecast occupancies'!$C$28:$CP$64,54,TRUE)-1)*VLOOKUP($B30,'A1.3.2'!$B$27:$AY$106,36,)+VLOOKUP($B30,'A1.3.2'!$B$27:$AY$106,35,))*$CR$5))</f>
        <v>20.64663259993236</v>
      </c>
      <c r="BE30" s="1565">
        <f>IF(ISERROR(MATCH($B30,'A1.3.2'!$B$27:$B$106,0)),"",VLOOKUP($B30,'Forecast occupancies'!$C$28:$CP$64,55,TRUE)*VLOOKUP($B30,'A1.3.2'!$B$27:$AY$106,49,)*$CR$5)</f>
        <v>11.528084886520491</v>
      </c>
      <c r="BF30" s="1565">
        <f>IF(ISERROR(MATCH($B30,'A1.3.2'!$B$27:$B$106,0)),"",VLOOKUP($B30,'Forecast occupancies'!$C$28:$CP$64,56,TRUE)*VLOOKUP($B30,'A1.3.2'!$B$27:$AY$106,50,)*$CR$5)</f>
        <v>8.2631413128460025</v>
      </c>
      <c r="BG30" s="1566">
        <f>IF(ISERROR(MATCH($B30,'A1.3.2'!$B$27:$B$106,0)),"",(((BD30*'VoT5'!$H$28)+(BE30*'VoT5'!$H$29)+(BF30*'VoT5'!$H$30))/100))</f>
        <v>11.121020512700374</v>
      </c>
      <c r="BH30" s="1565">
        <f>IF(ISERROR(MATCH($B30,'A1.3.2'!$B$27:$B$106,0)),"",(VLOOKUP($B30,'Forecast occupancies'!$C$28:$CP$64,58,TRUE) * VLOOKUP($B30, 'A1.3.2'!$B$27:$AY$106,37,)) * $CR$5)</f>
        <v>14.84767254921864</v>
      </c>
      <c r="BI30" s="1565">
        <f>IF(ISERROR(MATCH($B30,'A1.3.2'!$B$27:$B$106,0)),"",(VLOOKUP($B30,'Forecast occupancies'!$C$28:$CP$64,59,TRUE) * (VLOOKUP($B30,'A1.3.2'!$B$27:$AY$106,49,) * 'VoT5'!$J$29 + VLOOKUP($B30,'A1.3.2'!$B$27:$AY$106,50,) * 'VoT5'!$J$30) / (SUM('VoT5'!$J$29:$J$30))) * $CR$5)</f>
        <v>9.0633241390245232</v>
      </c>
      <c r="BJ30" s="1566">
        <f>IF(ISERROR(MATCH($B30,'A1.3.2'!$B$27:$B$106,0)),"",(BH30*'VoT5'!$H$31 + BI30*'VoT5'!$H$32)/100)</f>
        <v>14.153550739995346</v>
      </c>
      <c r="BK30" s="1566">
        <f>IF(ISERROR(MATCH($B30,'A1.3.2'!$B$27:$B$106,0)),"",(VLOOKUP($B30,'Forecast occupancies'!$C$28:$CP$64,61,TRUE)*VLOOKUP($B30,'A1.3.2'!$B$27:$AY$106,38,)) * $CR$5)</f>
        <v>14.578443918889441</v>
      </c>
      <c r="BL30" s="1566">
        <f>IF(ISERROR(MATCH($B30,'A1.3.2'!$B$27:$B$106,0)),"",(VLOOKUP($B30,'Forecast occupancies'!$C$28:$CP$64,62,TRUE)*VLOOKUP($B30,'A1.3.2'!$B$27:$AY$106,38,)) * $CR$5)</f>
        <v>14.578443918889441</v>
      </c>
      <c r="BM30" s="1565">
        <f>IF(ISERROR(MATCH($B30,'A1.3.2'!$B$27:$B$106,0)),"",(((VLOOKUP($B30,'Forecast occupancies'!$C$28:$CP$64,63,TRUE) -1) * VLOOKUP($B30,'A1.3.2'!$B$27:$AY$106,40,)) + VLOOKUP($B30,'A1.3.2'!$B$27:$AY$106,39,)) * $CR$5)</f>
        <v>17.087036162591787</v>
      </c>
      <c r="BN30" s="1565">
        <f>IF(ISERROR(MATCH($B30,'A1.3.2'!$B$27:$B$106,0)),"",(VLOOKUP($B30,'Forecast occupancies'!$C$28:$CP$64,64,TRUE) * VLOOKUP($B30,'A1.3.2'!$B$27:$AY$106,49,)) * $CR$5)</f>
        <v>19.736266074491468</v>
      </c>
      <c r="BO30" s="1565">
        <f>IF(ISERROR(MATCH($B30,'A1.3.2'!$B$27:$B$106,0)),"",(VLOOKUP($B30,'Forecast occupancies'!$C$28:$CP$64,65,TRUE) * VLOOKUP($B30,'A1.3.2'!$B$27:$AY$106,50,)) * $CR$5)</f>
        <v>46.298692294502608</v>
      </c>
      <c r="BP30" s="1567">
        <f>IF(ISERROR(MATCH($B30,'A1.3.2'!$B$27:$B$106,0)),"",SUM(BM30:BO30))</f>
        <v>83.121994531585869</v>
      </c>
      <c r="BQ30" s="1565">
        <f>IF(ISERROR(MATCH($B30,'A1.3.2'!$B$27:$B$106,0)),"",(((VLOOKUP($B30,'Forecast occupancies'!$C$28:$CP$64,67,TRUE)-1)*VLOOKUP($B30,'A1.3.2'!$B$27:$AY$106,36,)+VLOOKUP($B30,'A1.3.2'!$B$27:$AY$106,35,))*$CR$5))</f>
        <v>23.596516433848368</v>
      </c>
      <c r="BR30" s="1565">
        <f>IF(ISERROR(MATCH($B30,'A1.3.2'!$B$27:$B$106,0)),"",VLOOKUP($B30,'Forecast occupancies'!$C$28:$CP$64,68,TRUE)*VLOOKUP($B30,'A1.3.2'!$B$27:$AY$106,49,)*$CR$5)</f>
        <v>12.205382147729617</v>
      </c>
      <c r="BS30" s="1565">
        <f>IF(ISERROR(MATCH($B30,'A1.3.2'!$B$27:$B$106,0)),"",VLOOKUP($B30,'Forecast occupancies'!$C$28:$CP$64,69,TRUE)*VLOOKUP($B30,'A1.3.2'!$B$27:$AY$106,50,)*$CR$5)</f>
        <v>9.7837585077116405</v>
      </c>
      <c r="BT30" s="1566">
        <f>IF(ISERROR(MATCH($B30,'A1.3.2'!$B$27:$B$106,0)),"",(((BQ30*'VoT5'!$I$28)+(BR30*'VoT5'!$I$29)+(BS30*'VoT5'!$I$30))/100))</f>
        <v>10.454562972817371</v>
      </c>
      <c r="BU30" s="1565">
        <f>IF(ISERROR(MATCH($B30,'A1.3.2'!$B$27:$B$106,0)),"",(VLOOKUP($B30,'Forecast occupancies'!$C$28:$CP$64,71,TRUE) * VLOOKUP($B30, 'A1.3.2'!$B$27:$AY$106,37,)) * $CR$5)</f>
        <v>15.590056176679573</v>
      </c>
      <c r="BV30" s="1565">
        <f>IF(ISERROR(MATCH($B30,'A1.3.2'!$B$27:$B$106,0)),"",(VLOOKUP($B30,'Forecast occupancies'!$C$28:$CP$64,72,TRUE) * (VLOOKUP($B30,'A1.3.2'!$B$27:$AY$106,49,)*'VoT5'!$J$29 + VLOOKUP($B30,'A1.3.2'!$B$27:$AY$106,50,)*'VoT5'!$J$30) / (SUM('VoT5'!$J$29:$J$30))) * $CR$5)</f>
        <v>12.601745206999849</v>
      </c>
      <c r="BW30" s="1566">
        <f>IF(ISERROR(MATCH($B30,'A1.3.2'!$B$27:$B$106,0)),"",(BU30*'VoT5'!$I$31 + BV30*'VoT5'!$I$32)/100)</f>
        <v>15.231458860318007</v>
      </c>
      <c r="BX30" s="1566">
        <f>IF(ISERROR(MATCH($B30,'A1.3.2'!$B$27:$B$106,0)),"",(VLOOKUP($B30,'Forecast occupancies'!$C$28:$CP$64,74,TRUE)*VLOOKUP($B30,'A1.3.2'!$B$27:$AY$106,38,)) * $CR$5)</f>
        <v>14.578443918889441</v>
      </c>
      <c r="BY30" s="1566">
        <f>IF(ISERROR(MATCH($B30,'A1.3.2'!$B$27:$B$106,0)),"",(VLOOKUP($B30,'Forecast occupancies'!$C$28:$CP$64,75,TRUE)*VLOOKUP($B30,'A1.3.2'!$B$27:$AY$106,38,)) * $CR$5)</f>
        <v>14.578443918889441</v>
      </c>
      <c r="BZ30" s="1565">
        <f>IF(ISERROR(MATCH($B30,'A1.3.2'!$B$27:$B$106,0)),"",(((VLOOKUP($B30,'Forecast occupancies'!$C$28:$CP$64,76,TRUE) -1) * VLOOKUP($B30,'A1.3.2'!$B$27:$AY$106,40,)) + VLOOKUP($B30,'A1.3.2'!$B$27:$AY$106,39,)) * $CR$5)</f>
        <v>15.561749809042976</v>
      </c>
      <c r="CA30" s="1565">
        <f>IF(ISERROR(MATCH($B30,'A1.3.2'!$B$27:$B$106,0)),"",(VLOOKUP($B30,'Forecast occupancies'!$C$28:$CP$64,77,TRUE) * VLOOKUP($B30,'A1.3.2'!$B$27:$AY$106,49,)) * $CR$5)</f>
        <v>7.4768591619812383</v>
      </c>
      <c r="CB30" s="1565">
        <f>IF(ISERROR(MATCH($B30,'A1.3.2'!$B$27:$B$106,0)),"",(VLOOKUP($B30,'Forecast occupancies'!$C$28:$CP$64,78,TRUE) * VLOOKUP($B30,'A1.3.2'!$B$27:$AY$106,50,)) * $CR$5)</f>
        <v>52.585512974324814</v>
      </c>
      <c r="CC30" s="1567">
        <f>IF(ISERROR(MATCH($B30,'A1.3.2'!$B$27:$B$106,0)),"",SUM(BZ30:CB30))</f>
        <v>75.624121945349032</v>
      </c>
      <c r="CD30" s="1565">
        <f>IF(ISERROR(MATCH($B30,'A1.3.2'!$B$27:$B$106,0)),"",(((VLOOKUP($B30,'Forecast occupancies'!$C$28:$CP$64,80,TRUE)-1)*VLOOKUP($B30,'A1.3.2'!$B$27:$AY$106,36,)+VLOOKUP($B30,'A1.3.2'!$B$27:$AY$106,35,))*$CR$5))</f>
        <v>20.856023606504341</v>
      </c>
      <c r="CE30" s="1565">
        <f>IF(ISERROR(MATCH($B30,'A1.3.2'!$B$27:$B$106,0)),"",VLOOKUP($B30,'Forecast occupancies'!$C$28:$CP$64,81,TRUE)*VLOOKUP($B30,'A1.3.2'!$B$27:$AY$106,49,)*$CR$5)</f>
        <v>11.58287868140726</v>
      </c>
      <c r="CF30" s="1565">
        <f>IF(ISERROR(MATCH($B30,'A1.3.2'!$B$27:$B$106,0)),"",VLOOKUP($B30,'Forecast occupancies'!$C$28:$CP$64,82,TRUE)*VLOOKUP($B30,'A1.3.2'!$B$27:$AY$106,50,)*$CR$5)</f>
        <v>8.799719105693347</v>
      </c>
      <c r="CG30" s="1566">
        <f>IF(ISERROR(MATCH($B30,'A1.3.2'!$B$27:$B$106,0)),"",(((CD30*'VoT5'!$J$28)+(CE30*'VoT5'!$J$29)+(CF30*'VoT5'!$J$30))/100))</f>
        <v>10.963006595048027</v>
      </c>
      <c r="CH30" s="1565">
        <f>IF(ISERROR(MATCH($B30,'A1.3.2'!$B$27:$B$106,0)),"",(VLOOKUP($B30,'Forecast occupancies'!$C$28:$CP$64,84,TRUE) * VLOOKUP($B30, 'A1.3.2'!$B$27:$AY$106,37,)) * $CR$5)</f>
        <v>14.84767254921864</v>
      </c>
      <c r="CI30" s="1565">
        <f>IF(ISERROR(MATCH($B30,'A1.3.2'!$B$27:$B$106,0)),"",(VLOOKUP($B30,'Forecast occupancies'!$C$28:$CP$64,85,TRUE) * (VLOOKUP($B30,'A1.3.2'!$B$27:$AY$106,49,)*'VoT5'!$J$29 + VLOOKUP($B30,'A1.3.2'!$B$27:$AY$106,50,)*'VoT5'!$J$30) / (SUM('VoT5'!$J$29:$J$30))) * $CR$5)</f>
        <v>9.8703324527732832</v>
      </c>
      <c r="CJ30" s="1566">
        <f>IF(ISERROR(MATCH($B30,'A1.3.2'!$B$27:$B$106,0)),"",(CH30*'VoT5'!$J$31 + CI30*'VoT5'!$J$32)/100)</f>
        <v>14.250391737645195</v>
      </c>
      <c r="CK30" s="1566">
        <f>IF(ISERROR(MATCH($B30,'A1.3.2'!$B$27:$B$106,0)),"",(VLOOKUP($B30,'Forecast occupancies'!$C$28:$CP$64,87,TRUE)*VLOOKUP($B30,'A1.3.2'!$B$27:$AY$106,38,)) * $CR$5)</f>
        <v>14.578443918889441</v>
      </c>
      <c r="CL30" s="1566">
        <f>IF(ISERROR(MATCH($B30,'A1.3.2'!$B$27:$B$106,0)),"",(VLOOKUP($B30,'Forecast occupancies'!$C$28:$CP$64,88,TRUE)*VLOOKUP($B30,'A1.3.2'!$B$27:$AY$106,38,)) * $CR$5)</f>
        <v>14.578443918889441</v>
      </c>
      <c r="CM30" s="1565">
        <f>IF(ISERROR(MATCH($B30,'A1.3.2'!$B$27:$B$106,0)),"",(((VLOOKUP($B30,'Forecast occupancies'!$C$28:$CP$64,89,TRUE) -1) * VLOOKUP($B30,'A1.3.2'!$B$27:$AY$106,40,)) + VLOOKUP($B30,'A1.3.2'!$B$27:$AY$106,39,)) * $CR$5)</f>
        <v>16.710380577287875</v>
      </c>
      <c r="CN30" s="1565">
        <f>IF(ISERROR(MATCH($B30,'A1.3.2'!$B$27:$B$106,0)),"",(VLOOKUP($B30,'Forecast occupancies'!$C$28:$CP$64,90,TRUE) * VLOOKUP($B30,'A1.3.2'!$B$27:$AY$106,49,)) * $CR$5)</f>
        <v>16.708333692301505</v>
      </c>
      <c r="CO30" s="1565">
        <f>IF(ISERROR(MATCH($B30,'A1.3.2'!$B$27:$B$106,0)),"",(VLOOKUP($B30,'Forecast occupancies'!$C$28:$CP$64,91,TRUE) * VLOOKUP($B30,'A1.3.2'!$B$27:$AY$106,50,)) * $CR$5)</f>
        <v>47.851431735389845</v>
      </c>
      <c r="CP30" s="1567">
        <f>IF(ISERROR(MATCH($B30,'A1.3.2'!$B$27:$B$106,0)),"",SUM(CM30:CO30))</f>
        <v>81.270146004979225</v>
      </c>
      <c r="CQ30" s="53"/>
      <c r="CR30" s="53"/>
      <c r="CS30" s="53"/>
      <c r="CT30" s="53"/>
      <c r="CU30" s="53"/>
      <c r="CV30" s="53"/>
      <c r="CW30" s="53"/>
      <c r="CX30" s="53"/>
    </row>
    <row r="31" spans="1:103" s="26" customFormat="1" ht="13.5" customHeight="1">
      <c r="A31" s="113"/>
      <c r="B31" s="82">
        <f t="shared" si="0"/>
        <v>2013</v>
      </c>
      <c r="D31" s="1609">
        <f>IF(ISERROR(MATCH($B31,'A1.3.2'!$B$27:$B$106,0)),"",(((VLOOKUP($B31,'Forecast occupancies'!$C$28:$CP$64,2,TRUE) -1) * VLOOKUP($B31,'A1.3.2'!$B$27:$AY$106,36,) + VLOOKUP($B31,'A1.3.2'!$B$27:$AY$106,35,)) * $CR$5))</f>
        <v>20.602910567935972</v>
      </c>
      <c r="E31" s="1565">
        <f>IF(ISERROR(MATCH($B31,'A1.3.2'!$B$27:$B$106,0)),"",VLOOKUP($B31,'Forecast occupancies'!$C$28:$CP$64,3,TRUE)*VLOOKUP($B31,'A1.3.2'!$B$27:$AY$106,49,)*$CR$5)</f>
        <v>11.610789207067844</v>
      </c>
      <c r="F31" s="1565">
        <f>IF(ISERROR(MATCH($B31,'A1.3.2'!$B$27:$B$106,0)),"",VLOOKUP($B31,'Forecast occupancies'!$C$28:$CP$64,4,TRUE)*VLOOKUP($B31,'A1.3.2'!$B$27:$AY$106,50,)*$CR$5)</f>
        <v>8.0105450288776048</v>
      </c>
      <c r="G31" s="1566">
        <f>IF(ISERROR(MATCH($B31,'A1.3.2'!$B$27:$B$106,0)),"",(((D31*'VoT5'!$D$28)+(E31*'VoT5'!$D$29)+(F31*'VoT5'!$D$30))/100))</f>
        <v>11.669589945817947</v>
      </c>
      <c r="H31" s="1565">
        <f>IF(ISERROR(MATCH($B31,'A1.3.2'!$B$27:$B$106,0)),"",(VLOOKUP($B31,'Forecast occupancies'!$C$28:$CP$64,6,TRUE) * VLOOKUP($B31, 'A1.3.2'!$B$27:$AY$106,37,)) * $CR$5)</f>
        <v>15.056794226930798</v>
      </c>
      <c r="I31" s="1565">
        <f>IF(ISERROR(MATCH($B31,'A1.3.2'!$B$27:$B$106,0)),"",VLOOKUP($B31,'Forecast occupancies'!$C$28:$CP$64,7,TRUE) * ('VoT5'!$J$29*VLOOKUP($B31, 'A1.3.2'!$B$27:$AY$106,49,)+'VoT5'!$J$30*VLOOKUP($B31, 'A1.3.2'!$B$27:$AY$106,50,))/('VoT5'!$J$29+'VoT5'!$J$30) * $CR$5)</f>
        <v>9.1909763042591113</v>
      </c>
      <c r="J31" s="1566">
        <f>IF(ISERROR(MATCH($B31,'A1.3.2'!$B$27:$B$106,0)),"",(H31*'VoT5'!$D$31 + I31*'VoT5'!$D$32)/100)</f>
        <v>14.352896076210195</v>
      </c>
      <c r="K31" s="1566">
        <f>IF(ISERROR(MATCH($B31,'A1.3.2'!$B$27:$B$106,0)),"",(VLOOKUP($B31,'Forecast occupancies'!$C$28:$CP$64,9,TRUE)*VLOOKUP($B31,'A1.3.2'!$B$27:$AY$106,38,)) * $CR$5)</f>
        <v>14.783773652599873</v>
      </c>
      <c r="L31" s="1566">
        <f>IF(ISERROR(MATCH($B31,'A1.3.2'!$B$27:$B$106,0)),"",(VLOOKUP($B31,'Forecast occupancies'!$C$28:$CP$64,10,TRUE)*VLOOKUP($B31,'A1.3.2'!$B$27:$AY$106,38,)) * $CR$5)</f>
        <v>14.783773652599873</v>
      </c>
      <c r="M31" s="1565">
        <f>IF(ISERROR(MATCH($B31,'A1.3.2'!$B$27:$B$106,0)),"",(((VLOOKUP($B31,'Forecast occupancies'!$C$28:$CP$64,11,TRUE) -1) * VLOOKUP($B31,'A1.3.2'!$B$27:$AY$106,40,)) + VLOOKUP($B31,'A1.3.2'!$B$27:$AY$106,39,)) * $CR$5)</f>
        <v>16.846243739104278</v>
      </c>
      <c r="N31" s="1565">
        <f>IF(ISERROR(MATCH($B31,'A1.3.2'!$B$27:$B$106,0)),"",(VLOOKUP($B31,'Forecast occupancies'!$C$28:$CP$64,12,TRUE) * VLOOKUP($B31,'A1.3.2'!$B$27:$AY$106,49,)) * $CR$5)</f>
        <v>23.061247545887056</v>
      </c>
      <c r="O31" s="1565">
        <f>IF(ISERROR(MATCH($B31,'A1.3.2'!$B$27:$B$106,0)),"",(VLOOKUP($B31,'Forecast occupancies'!$C$28:$CP$64,13,TRUE) * VLOOKUP($B31,'A1.3.2'!$B$27:$AY$106,50,)) * $CR$5)</f>
        <v>45.778234884898204</v>
      </c>
      <c r="P31" s="1567">
        <f>IF(ISERROR(MATCH($B31,'A1.3.2'!$B$27:$B$106,0)),"",SUM(M31:O31))</f>
        <v>85.685726169889534</v>
      </c>
      <c r="Q31" s="1609">
        <f>IF(ISERROR(MATCH($B31,'A1.3.2'!$B$27:$B$106,0)),"",(((VLOOKUP($B31,'Forecast occupancies'!$C$28:$CP$64,15,TRUE)-1)*VLOOKUP($B31,'A1.3.2'!$B$27:$AY$106,36,)+VLOOKUP($B31,'A1.3.2'!$B$27:$AY$106,35,))*$CR$5))</f>
        <v>21.112268295684192</v>
      </c>
      <c r="R31" s="1565">
        <f>IF(ISERROR(MATCH($B31,'A1.3.2'!$B$27:$B$106,0)),"",VLOOKUP($B31,'Forecast occupancies'!$C$28:$CP$64,16,TRUE)*VLOOKUP($B31,'A1.3.2'!$B$27:$AY$106,49,)*$CR$5)</f>
        <v>11.799581722284509</v>
      </c>
      <c r="S31" s="1565">
        <f>IF(ISERROR(MATCH($B31,'A1.3.2'!$B$27:$B$106,0)),"",VLOOKUP($B31,'Forecast occupancies'!$C$28:$CP$64,17,TRUE)*VLOOKUP($B31,'A1.3.2'!$B$27:$AY$106,50,)*$CR$5)</f>
        <v>8.5331227075346767</v>
      </c>
      <c r="T31" s="1566">
        <f>IF(ISERROR(MATCH($B31,'A1.3.2'!$B$27:$B$106,0)),"",(((Q31*'VoT5'!$E$28)+(R31*'VoT5'!$E$29)+(S31*'VoT5'!$E$30))/100))</f>
        <v>10.990532228348238</v>
      </c>
      <c r="U31" s="1565">
        <f>IF(ISERROR(MATCH($B31,'A1.3.2'!$B$27:$B$106,0)),"",(VLOOKUP($B31,'Forecast occupancies'!$C$28:$CP$64,19,TRUE) * VLOOKUP($B31, 'A1.3.2'!$B$27:$AY$106,37,)) * $CR$5)</f>
        <v>15.056794226930798</v>
      </c>
      <c r="V31" s="1565">
        <f>IF(ISERROR(MATCH($B31,'A1.3.2'!$B$27:$B$106,0)),"",VLOOKUP($B31,'Forecast occupancies'!$C$28:$CP$64,20,TRUE) * ('VoT5'!$J$29*VLOOKUP($B31, 'A1.3.2'!$B$27:$AY$106,49,)+'VoT5'!$J$30*VLOOKUP($B31, 'A1.3.2'!$B$27:$AY$106,50,))/('VoT5'!$J$29+'VoT5'!$J$30) * $CR$5)</f>
        <v>9.1909763042591113</v>
      </c>
      <c r="W31" s="1566">
        <f>IF(ISERROR(MATCH($B31,'A1.3.2'!$B$27:$B$106,0)),"",(U31*'VoT5'!$E$31 + V31*'VoT5'!$E$32)/100)</f>
        <v>14.352896076210195</v>
      </c>
      <c r="X31" s="1566">
        <f>IF(ISERROR(MATCH($B31,'A1.3.2'!$B$27:$B$106,0)),"",(VLOOKUP($B31,'Forecast occupancies'!$C$28:$CP$64,22,TRUE)*VLOOKUP($B31,'A1.3.2'!$B$27:$AY$106,38,)) * $CR$5)</f>
        <v>14.783773652599873</v>
      </c>
      <c r="Y31" s="1566">
        <f>IF(ISERROR(MATCH($B31,'A1.3.2'!$B$27:$B$106,0)),"",(VLOOKUP($B31,'Forecast occupancies'!$C$28:$CP$64,23,TRUE)*VLOOKUP($B31,'A1.3.2'!$B$27:$AY$106,38,)) * $CR$5)</f>
        <v>14.783773652599873</v>
      </c>
      <c r="Z31" s="1565">
        <f>IF(ISERROR(MATCH($B31,'A1.3.2'!$B$27:$B$106,0)),"",(((VLOOKUP($B31,'Forecast occupancies'!$C$28:$CP$64,24,TRUE) -1) * VLOOKUP($B31,'A1.3.2'!$B$27:$AY$106,40,)) + VLOOKUP($B31,'A1.3.2'!$B$27:$AY$106,39,)) * $CR$5)</f>
        <v>17.19009055477769</v>
      </c>
      <c r="AA31" s="1565">
        <f>IF(ISERROR(MATCH($B31,'A1.3.2'!$B$27:$B$106,0)),"",(VLOOKUP($B31,'Forecast occupancies'!$C$28:$CP$64,25,TRUE) * VLOOKUP($B31,'A1.3.2'!$B$27:$AY$106,49,)) * $CR$5)</f>
        <v>8.0822334211000246</v>
      </c>
      <c r="AB31" s="1565">
        <f>IF(ISERROR(MATCH($B31,'A1.3.2'!$B$27:$B$106,0)),"",(VLOOKUP($B31,'Forecast occupancies'!$C$28:$CP$64,26,TRUE) * VLOOKUP($B31,'A1.3.2'!$B$27:$AY$106,50,)) * $CR$5)</f>
        <v>52.459275148029668</v>
      </c>
      <c r="AC31" s="1567">
        <f>IF(ISERROR(MATCH($B31,'A1.3.2'!$B$27:$B$106,0)),"",SUM(Z31:AB31))</f>
        <v>77.731599123907387</v>
      </c>
      <c r="AD31" s="1609">
        <f>IF(ISERROR(MATCH($B31,'A1.3.2'!$B$27:$B$106,0)),"",(((VLOOKUP($B31,'Forecast occupancies'!$C$28:$CP$64,28,TRUE)-1)*VLOOKUP($B31,'A1.3.2'!$B$27:$AY$106,36,)+VLOOKUP($B31,'A1.3.2'!$B$27:$AY$106,35,))*$CR$5))</f>
        <v>20.900241999818203</v>
      </c>
      <c r="AE31" s="1565">
        <f>IF(ISERROR(MATCH($B31,'A1.3.2'!$B$27:$B$106,0)),"",VLOOKUP($B31,'Forecast occupancies'!$C$28:$CP$64,29,TRUE)*VLOOKUP($B31,'A1.3.2'!$B$27:$AY$106,49,)*$CR$5)</f>
        <v>11.650838964180478</v>
      </c>
      <c r="AF31" s="1565">
        <f>IF(ISERROR(MATCH($B31,'A1.3.2'!$B$27:$B$106,0)),"",VLOOKUP($B31,'Forecast occupancies'!$C$28:$CP$64,30,TRUE)*VLOOKUP($B31,'A1.3.2'!$B$27:$AY$106,50,)*$CR$5)</f>
        <v>8.3887042586261984</v>
      </c>
      <c r="AG31" s="1566">
        <f>IF(ISERROR(MATCH($B31,'A1.3.2'!$B$27:$B$106,0)),"",(((AD31*'VoT5'!$F$28)+(AE31*'VoT5'!$F$29)+(AF31*'VoT5'!$F$30))/100))</f>
        <v>11.21208029443331</v>
      </c>
      <c r="AH31" s="1565">
        <f>IF(ISERROR(MATCH($B31,'A1.3.2'!$B$27:$B$106,0)),"",(VLOOKUP($B31,'Forecast occupancies'!$C$28:$CP$64,32,TRUE) * VLOOKUP($B31, 'A1.3.2'!$B$27:$AY$106,37,)) * $CR$5)</f>
        <v>15.056794226930798</v>
      </c>
      <c r="AI31" s="1565">
        <f>IF(ISERROR(MATCH($B31,'A1.3.2'!$B$27:$B$106,0)),"",VLOOKUP($B31,'Forecast occupancies'!$C$28:$CP$64,33,TRUE) * ('VoT5'!$J$29*VLOOKUP($B31, 'A1.3.2'!$B$27:$AY$106,49,)+'VoT5'!$J$30*VLOOKUP($B31, 'A1.3.2'!$B$27:$AY$106,50,))/('VoT5'!$J$29+'VoT5'!$J$30) * $CR$5)</f>
        <v>9.1909763042591113</v>
      </c>
      <c r="AJ31" s="1566">
        <f>IF(ISERROR(MATCH($B31,'A1.3.2'!$B$27:$B$106,0)),"",(AH31*'VoT5'!$F$31 + AI31*'VoT5'!$F$32)/100)</f>
        <v>14.352896076210195</v>
      </c>
      <c r="AK31" s="1566">
        <f>IF(ISERROR(MATCH($B31,'A1.3.2'!$B$27:$B$106,0)),"",(VLOOKUP($B31,'Forecast occupancies'!$C$28:$CP$64,35,TRUE)*VLOOKUP($B31,'A1.3.2'!$B$27:$AY$106,38,)) * $CR$5)</f>
        <v>14.783773652599873</v>
      </c>
      <c r="AL31" s="1566">
        <f>IF(ISERROR(MATCH($B31,'A1.3.2'!$B$27:$B$106,0)),"",(VLOOKUP($B31,'Forecast occupancies'!$C$28:$CP$64,36,TRUE)*VLOOKUP($B31,'A1.3.2'!$B$27:$AY$106,38,)) * $CR$5)</f>
        <v>14.783773652599873</v>
      </c>
      <c r="AM31" s="1565">
        <f>IF(ISERROR(MATCH($B31,'A1.3.2'!$B$27:$B$106,0)),"",(((VLOOKUP($B31,'Forecast occupancies'!$C$28:$CP$64,37,TRUE) -1) * VLOOKUP($B31,'A1.3.2'!$B$27:$AY$106,40,)) + VLOOKUP($B31,'A1.3.2'!$B$27:$AY$106,39,)) * $CR$5)</f>
        <v>17.985769615251989</v>
      </c>
      <c r="AN31" s="1565">
        <f>IF(ISERROR(MATCH($B31,'A1.3.2'!$B$27:$B$106,0)),"",(VLOOKUP($B31,'Forecast occupancies'!$C$28:$CP$64,38,TRUE) * VLOOKUP($B31,'A1.3.2'!$B$27:$AY$106,49,)) * $CR$5)</f>
        <v>32.432820387714365</v>
      </c>
      <c r="AO31" s="1565">
        <f>IF(ISERROR(MATCH($B31,'A1.3.2'!$B$27:$B$106,0)),"",(VLOOKUP($B31,'Forecast occupancies'!$C$28:$CP$64,39,TRUE) * VLOOKUP($B31,'A1.3.2'!$B$27:$AY$106,50,)) * $CR$5)</f>
        <v>40.984334907431652</v>
      </c>
      <c r="AP31" s="1567">
        <f>IF(ISERROR(MATCH($B31,'A1.3.2'!$B$27:$B$106,0)),"",SUM(AM31:AO31))</f>
        <v>91.402924910398013</v>
      </c>
      <c r="AQ31" s="1609">
        <f>IF(ISERROR(MATCH($B31,'A1.3.2'!$B$27:$B$106,0)),"",(((VLOOKUP($B31,'Forecast occupancies'!$C$28:$CP$64,41,TRUE)-1)*VLOOKUP($B31,'A1.3.2'!$B$27:$AY$106,36,)+VLOOKUP($B31,'A1.3.2'!$B$27:$AY$106,35,))*$CR$5))</f>
        <v>21.295687581747444</v>
      </c>
      <c r="AR31" s="1565">
        <f>IF(ISERROR(MATCH($B31,'A1.3.2'!$B$27:$B$106,0)),"",VLOOKUP($B31,'Forecast occupancies'!$C$28:$CP$64,42,TRUE)*VLOOKUP($B31,'A1.3.2'!$B$27:$AY$106,49,)*$CR$5)</f>
        <v>11.821360088552019</v>
      </c>
      <c r="AS31" s="1565">
        <f>IF(ISERROR(MATCH($B31,'A1.3.2'!$B$27:$B$106,0)),"",VLOOKUP($B31,'Forecast occupancies'!$C$28:$CP$64,43,TRUE)*VLOOKUP($B31,'A1.3.2'!$B$27:$AY$106,50,)*$CR$5)</f>
        <v>8.3587547449450756</v>
      </c>
      <c r="AT31" s="1566">
        <f>IF(ISERROR(MATCH($B31,'A1.3.2'!$B$27:$B$106,0)),"",(((AQ31*'VoT5'!$G$28)+(AR31*'VoT5'!$G$29)+(AS31*'VoT5'!$G$30))/100))</f>
        <v>11.359460845886472</v>
      </c>
      <c r="AU31" s="1565">
        <f>IF(ISERROR(MATCH($B31,'A1.3.2'!$B$27:$B$106,0)),"",(VLOOKUP($B31,'Forecast occupancies'!$C$28:$CP$64,45,TRUE) * VLOOKUP($B31, 'A1.3.2'!$B$27:$AY$106,37,)) * $CR$5)</f>
        <v>15.056794226930798</v>
      </c>
      <c r="AV31" s="1565">
        <f>IF(ISERROR(MATCH($B31,'A1.3.2'!$B$27:$B$106,0)),"",VLOOKUP($B31,'Forecast occupancies'!$C$28:$CP$64,46,TRUE) * ('VoT5'!$J$29*VLOOKUP($B31, 'A1.3.2'!$B$27:$AY$106,49,)+'VoT5'!$J$30*VLOOKUP($B31, 'A1.3.2'!$B$27:$AY$106,50,))/('VoT5'!$J$29+'VoT5'!$J$30) * $CR$5)</f>
        <v>9.1909763042591113</v>
      </c>
      <c r="AW31" s="1566">
        <f>IF(ISERROR(MATCH($B31,'A1.3.2'!$B$27:$B$106,0)),"",(AU31*'VoT5'!$G$31 + AV31*'VoT5'!$G$32)/100)</f>
        <v>14.352896076210195</v>
      </c>
      <c r="AX31" s="1566">
        <f>IF(ISERROR(MATCH($B31,'A1.3.2'!$B$27:$B$106,0)),"",(VLOOKUP($B31,'Forecast occupancies'!$C$28:$CP$64,48,TRUE)*VLOOKUP($B31,'A1.3.2'!$B$27:$AY$106,38,)) * $CR$5)</f>
        <v>14.783773652599873</v>
      </c>
      <c r="AY31" s="1566">
        <f>IF(ISERROR(MATCH($B31,'A1.3.2'!$B$27:$B$106,0)),"",(VLOOKUP($B31,'Forecast occupancies'!$C$28:$CP$64,49,TRUE)*VLOOKUP($B31,'A1.3.2'!$B$27:$AY$106,38,)) * $CR$5)</f>
        <v>14.783773652599873</v>
      </c>
      <c r="AZ31" s="1565">
        <f>IF(ISERROR(MATCH($B31,'A1.3.2'!$B$27:$B$106,0)),"",(((VLOOKUP($B31,'Forecast occupancies'!$C$28:$CP$64,50,TRUE) -1) * VLOOKUP($B31,'A1.3.2'!$B$27:$AY$106,40,)) + VLOOKUP($B31,'A1.3.2'!$B$27:$AY$106,39,)) * $CR$5)</f>
        <v>17.97122500623356</v>
      </c>
      <c r="BA31" s="1565">
        <f>IF(ISERROR(MATCH($B31,'A1.3.2'!$B$27:$B$106,0)),"",(VLOOKUP($B31,'Forecast occupancies'!$C$28:$CP$64,51,TRUE) * VLOOKUP($B31,'A1.3.2'!$B$27:$AY$106,49,)) * $CR$5)</f>
        <v>44.33485985379459</v>
      </c>
      <c r="BB31" s="1565">
        <f>IF(ISERROR(MATCH($B31,'A1.3.2'!$B$27:$B$106,0)),"",(VLOOKUP($B31,'Forecast occupancies'!$C$28:$CP$64,52,TRUE) * VLOOKUP($B31,'A1.3.2'!$B$27:$AY$106,50,)) * $CR$5)</f>
        <v>35.558478527249434</v>
      </c>
      <c r="BC31" s="1567">
        <f>IF(ISERROR(MATCH($B31,'A1.3.2'!$B$27:$B$106,0)),"",SUM(AZ31:BB31))</f>
        <v>97.864563387277585</v>
      </c>
      <c r="BD31" s="1565">
        <f>IF(ISERROR(MATCH($B31,'A1.3.2'!$B$27:$B$106,0)),"",(((VLOOKUP($B31,'Forecast occupancies'!$C$28:$CP$64,54,TRUE)-1)*VLOOKUP($B31,'A1.3.2'!$B$27:$AY$106,36,)+VLOOKUP($B31,'A1.3.2'!$B$27:$AY$106,35,))*$CR$5))</f>
        <v>20.937429587412499</v>
      </c>
      <c r="BE31" s="1565">
        <f>IF(ISERROR(MATCH($B31,'A1.3.2'!$B$27:$B$106,0)),"",VLOOKUP($B31,'Forecast occupancies'!$C$28:$CP$64,55,TRUE)*VLOOKUP($B31,'A1.3.2'!$B$27:$AY$106,49,)*$CR$5)</f>
        <v>11.690451913695007</v>
      </c>
      <c r="BF31" s="1565">
        <f>IF(ISERROR(MATCH($B31,'A1.3.2'!$B$27:$B$106,0)),"",VLOOKUP($B31,'Forecast occupancies'!$C$28:$CP$64,56,TRUE)*VLOOKUP($B31,'A1.3.2'!$B$27:$AY$106,50,)*$CR$5)</f>
        <v>8.3795233228066088</v>
      </c>
      <c r="BG31" s="1566">
        <f>IF(ISERROR(MATCH($B31,'A1.3.2'!$B$27:$B$106,0)),"",(((BD31*'VoT5'!$H$28)+(BE31*'VoT5'!$H$29)+(BF31*'VoT5'!$H$30))/100))</f>
        <v>11.27765425174452</v>
      </c>
      <c r="BH31" s="1565">
        <f>IF(ISERROR(MATCH($B31,'A1.3.2'!$B$27:$B$106,0)),"",(VLOOKUP($B31,'Forecast occupancies'!$C$28:$CP$64,58,TRUE) * VLOOKUP($B31, 'A1.3.2'!$B$27:$AY$106,37,)) * $CR$5)</f>
        <v>15.056794226930798</v>
      </c>
      <c r="BI31" s="1565">
        <f>IF(ISERROR(MATCH($B31,'A1.3.2'!$B$27:$B$106,0)),"",(VLOOKUP($B31,'Forecast occupancies'!$C$28:$CP$64,59,TRUE) * (VLOOKUP($B31,'A1.3.2'!$B$27:$AY$106,49,) * 'VoT5'!$J$29 + VLOOKUP($B31,'A1.3.2'!$B$27:$AY$106,50,) * 'VoT5'!$J$30) / (SUM('VoT5'!$J$29:$J$30))) * $CR$5)</f>
        <v>9.1909763042591113</v>
      </c>
      <c r="BJ31" s="1566">
        <f>IF(ISERROR(MATCH($B31,'A1.3.2'!$B$27:$B$106,0)),"",(BH31*'VoT5'!$H$31 + BI31*'VoT5'!$H$32)/100)</f>
        <v>14.352896076210195</v>
      </c>
      <c r="BK31" s="1566">
        <f>IF(ISERROR(MATCH($B31,'A1.3.2'!$B$27:$B$106,0)),"",(VLOOKUP($B31,'Forecast occupancies'!$C$28:$CP$64,61,TRUE)*VLOOKUP($B31,'A1.3.2'!$B$27:$AY$106,38,)) * $CR$5)</f>
        <v>14.783773652599873</v>
      </c>
      <c r="BL31" s="1566">
        <f>IF(ISERROR(MATCH($B31,'A1.3.2'!$B$27:$B$106,0)),"",(VLOOKUP($B31,'Forecast occupancies'!$C$28:$CP$64,62,TRUE)*VLOOKUP($B31,'A1.3.2'!$B$27:$AY$106,38,)) * $CR$5)</f>
        <v>14.783773652599873</v>
      </c>
      <c r="BM31" s="1565">
        <f>IF(ISERROR(MATCH($B31,'A1.3.2'!$B$27:$B$106,0)),"",(((VLOOKUP($B31,'Forecast occupancies'!$C$28:$CP$64,63,TRUE) -1) * VLOOKUP($B31,'A1.3.2'!$B$27:$AY$106,40,)) + VLOOKUP($B31,'A1.3.2'!$B$27:$AY$106,39,)) * $CR$5)</f>
        <v>17.327698101869103</v>
      </c>
      <c r="BN31" s="1565">
        <f>IF(ISERROR(MATCH($B31,'A1.3.2'!$B$27:$B$106,0)),"",(VLOOKUP($B31,'Forecast occupancies'!$C$28:$CP$64,64,TRUE) * VLOOKUP($B31,'A1.3.2'!$B$27:$AY$106,49,)) * $CR$5)</f>
        <v>20.014241027103711</v>
      </c>
      <c r="BO31" s="1565">
        <f>IF(ISERROR(MATCH($B31,'A1.3.2'!$B$27:$B$106,0)),"",(VLOOKUP($B31,'Forecast occupancies'!$C$28:$CP$64,65,TRUE) * VLOOKUP($B31,'A1.3.2'!$B$27:$AY$106,50,)) * $CR$5)</f>
        <v>46.950785083888292</v>
      </c>
      <c r="BP31" s="1567">
        <f>IF(ISERROR(MATCH($B31,'A1.3.2'!$B$27:$B$106,0)),"",SUM(BM31:BO31))</f>
        <v>84.292724212861103</v>
      </c>
      <c r="BQ31" s="1565">
        <f>IF(ISERROR(MATCH($B31,'A1.3.2'!$B$27:$B$106,0)),"",(((VLOOKUP($B31,'Forecast occupancies'!$C$28:$CP$64,67,TRUE)-1)*VLOOKUP($B31,'A1.3.2'!$B$27:$AY$106,36,)+VLOOKUP($B31,'A1.3.2'!$B$27:$AY$106,35,))*$CR$5))</f>
        <v>23.928860987410637</v>
      </c>
      <c r="BR31" s="1565">
        <f>IF(ISERROR(MATCH($B31,'A1.3.2'!$B$27:$B$106,0)),"",VLOOKUP($B31,'Forecast occupancies'!$C$28:$CP$64,68,TRUE)*VLOOKUP($B31,'A1.3.2'!$B$27:$AY$106,49,)*$CR$5)</f>
        <v>12.377288551470016</v>
      </c>
      <c r="BS31" s="1565">
        <f>IF(ISERROR(MATCH($B31,'A1.3.2'!$B$27:$B$106,0)),"",VLOOKUP($B31,'Forecast occupancies'!$C$28:$CP$64,69,TRUE)*VLOOKUP($B31,'A1.3.2'!$B$27:$AY$106,50,)*$CR$5)</f>
        <v>9.9215576130381447</v>
      </c>
      <c r="BT31" s="1566">
        <f>IF(ISERROR(MATCH($B31,'A1.3.2'!$B$27:$B$106,0)),"",(((BQ31*'VoT5'!$I$28)+(BR31*'VoT5'!$I$29)+(BS31*'VoT5'!$I$30))/100))</f>
        <v>10.601810007083223</v>
      </c>
      <c r="BU31" s="1565">
        <f>IF(ISERROR(MATCH($B31,'A1.3.2'!$B$27:$B$106,0)),"",(VLOOKUP($B31,'Forecast occupancies'!$C$28:$CP$64,71,TRUE) * VLOOKUP($B31, 'A1.3.2'!$B$27:$AY$106,37,)) * $CR$5)</f>
        <v>15.809633938277338</v>
      </c>
      <c r="BV31" s="1565">
        <f>IF(ISERROR(MATCH($B31,'A1.3.2'!$B$27:$B$106,0)),"",(VLOOKUP($B31,'Forecast occupancies'!$C$28:$CP$64,72,TRUE) * (VLOOKUP($B31,'A1.3.2'!$B$27:$AY$106,49,)*'VoT5'!$J$29 + VLOOKUP($B31,'A1.3.2'!$B$27:$AY$106,50,)*'VoT5'!$J$30) / (SUM('VoT5'!$J$29:$J$30))) * $CR$5)</f>
        <v>12.779234176469858</v>
      </c>
      <c r="BW31" s="1566">
        <f>IF(ISERROR(MATCH($B31,'A1.3.2'!$B$27:$B$106,0)),"",(BU31*'VoT5'!$I$31 + BV31*'VoT5'!$I$32)/100)</f>
        <v>15.445985966860439</v>
      </c>
      <c r="BX31" s="1566">
        <f>IF(ISERROR(MATCH($B31,'A1.3.2'!$B$27:$B$106,0)),"",(VLOOKUP($B31,'Forecast occupancies'!$C$28:$CP$64,74,TRUE)*VLOOKUP($B31,'A1.3.2'!$B$27:$AY$106,38,)) * $CR$5)</f>
        <v>14.783773652599873</v>
      </c>
      <c r="BY31" s="1566">
        <f>IF(ISERROR(MATCH($B31,'A1.3.2'!$B$27:$B$106,0)),"",(VLOOKUP($B31,'Forecast occupancies'!$C$28:$CP$64,75,TRUE)*VLOOKUP($B31,'A1.3.2'!$B$27:$AY$106,38,)) * $CR$5)</f>
        <v>14.783773652599873</v>
      </c>
      <c r="BZ31" s="1565">
        <f>IF(ISERROR(MATCH($B31,'A1.3.2'!$B$27:$B$106,0)),"",(((VLOOKUP($B31,'Forecast occupancies'!$C$28:$CP$64,76,TRUE) -1) * VLOOKUP($B31,'A1.3.2'!$B$27:$AY$106,40,)) + VLOOKUP($B31,'A1.3.2'!$B$27:$AY$106,39,)) * $CR$5)</f>
        <v>15.780928890304111</v>
      </c>
      <c r="CA31" s="1565">
        <f>IF(ISERROR(MATCH($B31,'A1.3.2'!$B$27:$B$106,0)),"",(VLOOKUP($B31,'Forecast occupancies'!$C$28:$CP$64,77,TRUE) * VLOOKUP($B31,'A1.3.2'!$B$27:$AY$106,49,)) * $CR$5)</f>
        <v>7.5821668003863776</v>
      </c>
      <c r="CB31" s="1565">
        <f>IF(ISERROR(MATCH($B31,'A1.3.2'!$B$27:$B$106,0)),"",(VLOOKUP($B31,'Forecast occupancies'!$C$28:$CP$64,78,TRUE) * VLOOKUP($B31,'A1.3.2'!$B$27:$AY$106,50,)) * $CR$5)</f>
        <v>53.326152334473136</v>
      </c>
      <c r="CC31" s="1567">
        <f>IF(ISERROR(MATCH($B31,'A1.3.2'!$B$27:$B$106,0)),"",SUM(BZ31:CB31))</f>
        <v>76.689248025163621</v>
      </c>
      <c r="CD31" s="1565">
        <f>IF(ISERROR(MATCH($B31,'A1.3.2'!$B$27:$B$106,0)),"",(((VLOOKUP($B31,'Forecast occupancies'!$C$28:$CP$64,80,TRUE)-1)*VLOOKUP($B31,'A1.3.2'!$B$27:$AY$106,36,)+VLOOKUP($B31,'A1.3.2'!$B$27:$AY$106,35,))*$CR$5))</f>
        <v>21.149769756450652</v>
      </c>
      <c r="CE31" s="1565">
        <f>IF(ISERROR(MATCH($B31,'A1.3.2'!$B$27:$B$106,0)),"",VLOOKUP($B31,'Forecast occupancies'!$C$28:$CP$64,81,TRUE)*VLOOKUP($B31,'A1.3.2'!$B$27:$AY$106,49,)*$CR$5)</f>
        <v>11.74601745043404</v>
      </c>
      <c r="CF31" s="1565">
        <f>IF(ISERROR(MATCH($B31,'A1.3.2'!$B$27:$B$106,0)),"",VLOOKUP($B31,'Forecast occupancies'!$C$28:$CP$64,82,TRUE)*VLOOKUP($B31,'A1.3.2'!$B$27:$AY$106,50,)*$CR$5)</f>
        <v>8.9236585323393864</v>
      </c>
      <c r="CG31" s="1566">
        <f>IF(ISERROR(MATCH($B31,'A1.3.2'!$B$27:$B$106,0)),"",(((CD31*'VoT5'!$J$28)+(CE31*'VoT5'!$J$29)+(CF31*'VoT5'!$J$30))/100))</f>
        <v>11.117414790967365</v>
      </c>
      <c r="CH31" s="1565">
        <f>IF(ISERROR(MATCH($B31,'A1.3.2'!$B$27:$B$106,0)),"",(VLOOKUP($B31,'Forecast occupancies'!$C$28:$CP$64,84,TRUE) * VLOOKUP($B31, 'A1.3.2'!$B$27:$AY$106,37,)) * $CR$5)</f>
        <v>15.056794226930798</v>
      </c>
      <c r="CI31" s="1565">
        <f>IF(ISERROR(MATCH($B31,'A1.3.2'!$B$27:$B$106,0)),"",(VLOOKUP($B31,'Forecast occupancies'!$C$28:$CP$64,85,TRUE) * (VLOOKUP($B31,'A1.3.2'!$B$27:$AY$106,49,)*'VoT5'!$J$29 + VLOOKUP($B31,'A1.3.2'!$B$27:$AY$106,50,)*'VoT5'!$J$30) / (SUM('VoT5'!$J$29:$J$30))) * $CR$5)</f>
        <v>10.009350906693143</v>
      </c>
      <c r="CJ31" s="1566">
        <f>IF(ISERROR(MATCH($B31,'A1.3.2'!$B$27:$B$106,0)),"",(CH31*'VoT5'!$J$31 + CI31*'VoT5'!$J$32)/100)</f>
        <v>14.451101028502277</v>
      </c>
      <c r="CK31" s="1566">
        <f>IF(ISERROR(MATCH($B31,'A1.3.2'!$B$27:$B$106,0)),"",(VLOOKUP($B31,'Forecast occupancies'!$C$28:$CP$64,87,TRUE)*VLOOKUP($B31,'A1.3.2'!$B$27:$AY$106,38,)) * $CR$5)</f>
        <v>14.783773652599873</v>
      </c>
      <c r="CL31" s="1566">
        <f>IF(ISERROR(MATCH($B31,'A1.3.2'!$B$27:$B$106,0)),"",(VLOOKUP($B31,'Forecast occupancies'!$C$28:$CP$64,88,TRUE)*VLOOKUP($B31,'A1.3.2'!$B$27:$AY$106,38,)) * $CR$5)</f>
        <v>14.783773652599873</v>
      </c>
      <c r="CM31" s="1565">
        <f>IF(ISERROR(MATCH($B31,'A1.3.2'!$B$27:$B$106,0)),"",(((VLOOKUP($B31,'Forecast occupancies'!$C$28:$CP$64,89,TRUE) -1) * VLOOKUP($B31,'A1.3.2'!$B$27:$AY$106,40,)) + VLOOKUP($B31,'A1.3.2'!$B$27:$AY$106,39,)) * $CR$5)</f>
        <v>16.945737520266455</v>
      </c>
      <c r="CN31" s="1565">
        <f>IF(ISERROR(MATCH($B31,'A1.3.2'!$B$27:$B$106,0)),"",(VLOOKUP($B31,'Forecast occupancies'!$C$28:$CP$64,90,TRUE) * VLOOKUP($B31,'A1.3.2'!$B$27:$AY$106,49,)) * $CR$5)</f>
        <v>16.943661805978991</v>
      </c>
      <c r="CO31" s="1565">
        <f>IF(ISERROR(MATCH($B31,'A1.3.2'!$B$27:$B$106,0)),"",(VLOOKUP($B31,'Forecast occupancies'!$C$28:$CP$64,91,TRUE) * VLOOKUP($B31,'A1.3.2'!$B$27:$AY$106,50,)) * $CR$5)</f>
        <v>48.525394045123029</v>
      </c>
      <c r="CP31" s="1567">
        <f>IF(ISERROR(MATCH($B31,'A1.3.2'!$B$27:$B$106,0)),"",SUM(CM31:CO31))</f>
        <v>82.414793371368475</v>
      </c>
      <c r="CQ31" s="532"/>
      <c r="CR31" s="533"/>
      <c r="CS31" s="533"/>
      <c r="CT31" s="533"/>
      <c r="CU31" s="533"/>
      <c r="CV31" s="534"/>
      <c r="CW31" s="533"/>
    </row>
    <row r="32" spans="1:103" s="26" customFormat="1" ht="13.5" customHeight="1">
      <c r="A32" s="113"/>
      <c r="B32" s="82">
        <f t="shared" si="0"/>
        <v>2014</v>
      </c>
      <c r="D32" s="1609">
        <f>IF(ISERROR(MATCH($B32,'A1.3.2'!$B$27:$B$106,0)),"",(((VLOOKUP($B32,'Forecast occupancies'!$C$28:$CP$64,2,TRUE) -1) * VLOOKUP($B32,'A1.3.2'!$B$27:$AY$106,36,) + VLOOKUP($B32,'A1.3.2'!$B$27:$AY$106,35,)) * $CR$5))</f>
        <v>21.048942735563546</v>
      </c>
      <c r="E32" s="1565">
        <f>IF(ISERROR(MATCH($B32,'A1.3.2'!$B$27:$B$106,0)),"",VLOOKUP($B32,'Forecast occupancies'!$C$28:$CP$64,3,TRUE)*VLOOKUP($B32,'A1.3.2'!$B$27:$AY$106,49,)*$CR$5)</f>
        <v>11.86215104552357</v>
      </c>
      <c r="F32" s="1565">
        <f>IF(ISERROR(MATCH($B32,'A1.3.2'!$B$27:$B$106,0)),"",VLOOKUP($B32,'Forecast occupancies'!$C$28:$CP$64,4,TRUE)*VLOOKUP($B32,'A1.3.2'!$B$27:$AY$106,50,)*$CR$5)</f>
        <v>8.1839652236276166</v>
      </c>
      <c r="G32" s="1566">
        <f>IF(ISERROR(MATCH($B32,'A1.3.2'!$B$27:$B$106,0)),"",(((D32*'VoT5'!$D$28)+(E32*'VoT5'!$D$29)+(F32*'VoT5'!$D$30))/100))</f>
        <v>11.922224760772615</v>
      </c>
      <c r="H32" s="1565">
        <f>IF(ISERROR(MATCH($B32,'A1.3.2'!$B$27:$B$106,0)),"",(VLOOKUP($B32,'Forecast occupancies'!$C$28:$CP$64,6,TRUE) * VLOOKUP($B32, 'A1.3.2'!$B$27:$AY$106,37,)) * $CR$5)</f>
        <v>15.382758587374703</v>
      </c>
      <c r="I32" s="1565">
        <f>IF(ISERROR(MATCH($B32,'A1.3.2'!$B$27:$B$106,0)),"",VLOOKUP($B32,'Forecast occupancies'!$C$28:$CP$64,7,TRUE) * ('VoT5'!$J$29*VLOOKUP($B32, 'A1.3.2'!$B$27:$AY$106,49,)+'VoT5'!$J$30*VLOOKUP($B32, 'A1.3.2'!$B$27:$AY$106,50,))/('VoT5'!$J$29+'VoT5'!$J$30) * $CR$5)</f>
        <v>9.3899516417525568</v>
      </c>
      <c r="J32" s="1566">
        <f>IF(ISERROR(MATCH($B32,'A1.3.2'!$B$27:$B$106,0)),"",(H32*'VoT5'!$D$31 + I32*'VoT5'!$D$32)/100)</f>
        <v>14.663621753900046</v>
      </c>
      <c r="K32" s="1566">
        <f>IF(ISERROR(MATCH($B32,'A1.3.2'!$B$27:$B$106,0)),"",(VLOOKUP($B32,'Forecast occupancies'!$C$28:$CP$64,9,TRUE)*VLOOKUP($B32,'A1.3.2'!$B$27:$AY$106,38,)) * $CR$5)</f>
        <v>15.10382739385363</v>
      </c>
      <c r="L32" s="1566">
        <f>IF(ISERROR(MATCH($B32,'A1.3.2'!$B$27:$B$106,0)),"",(VLOOKUP($B32,'Forecast occupancies'!$C$28:$CP$64,10,TRUE)*VLOOKUP($B32,'A1.3.2'!$B$27:$AY$106,38,)) * $CR$5)</f>
        <v>15.10382739385363</v>
      </c>
      <c r="M32" s="1565">
        <f>IF(ISERROR(MATCH($B32,'A1.3.2'!$B$27:$B$106,0)),"",(((VLOOKUP($B32,'Forecast occupancies'!$C$28:$CP$64,11,TRUE) -1) * VLOOKUP($B32,'A1.3.2'!$B$27:$AY$106,40,)) + VLOOKUP($B32,'A1.3.2'!$B$27:$AY$106,39,)) * $CR$5)</f>
        <v>17.210947870909276</v>
      </c>
      <c r="N32" s="1565">
        <f>IF(ISERROR(MATCH($B32,'A1.3.2'!$B$27:$B$106,0)),"",(VLOOKUP($B32,'Forecast occupancies'!$C$28:$CP$64,12,TRUE) * VLOOKUP($B32,'A1.3.2'!$B$27:$AY$106,49,)) * $CR$5)</f>
        <v>23.560500221724812</v>
      </c>
      <c r="O32" s="1565">
        <f>IF(ISERROR(MATCH($B32,'A1.3.2'!$B$27:$B$106,0)),"",(VLOOKUP($B32,'Forecast occupancies'!$C$28:$CP$64,13,TRUE) * VLOOKUP($B32,'A1.3.2'!$B$27:$AY$106,50,)) * $CR$5)</f>
        <v>46.769287351419727</v>
      </c>
      <c r="P32" s="1567">
        <f>IF(ISERROR(MATCH($B32,'A1.3.2'!$B$27:$B$106,0)),"",SUM(M32:O32))</f>
        <v>87.540735444053809</v>
      </c>
      <c r="Q32" s="1609">
        <f>IF(ISERROR(MATCH($B32,'A1.3.2'!$B$27:$B$106,0)),"",(((VLOOKUP($B32,'Forecast occupancies'!$C$28:$CP$64,15,TRUE)-1)*VLOOKUP($B32,'A1.3.2'!$B$27:$AY$106,36,)+VLOOKUP($B32,'A1.3.2'!$B$27:$AY$106,35,))*$CR$5))</f>
        <v>21.569327542745821</v>
      </c>
      <c r="R32" s="1565">
        <f>IF(ISERROR(MATCH($B32,'A1.3.2'!$B$27:$B$106,0)),"",VLOOKUP($B32,'Forecast occupancies'!$C$28:$CP$64,16,TRUE)*VLOOKUP($B32,'A1.3.2'!$B$27:$AY$106,49,)*$CR$5)</f>
        <v>12.055030727673094</v>
      </c>
      <c r="S32" s="1565">
        <f>IF(ISERROR(MATCH($B32,'A1.3.2'!$B$27:$B$106,0)),"",VLOOKUP($B32,'Forecast occupancies'!$C$28:$CP$64,17,TRUE)*VLOOKUP($B32,'A1.3.2'!$B$27:$AY$106,50,)*$CR$5)</f>
        <v>8.7178561802798828</v>
      </c>
      <c r="T32" s="1566">
        <f>IF(ISERROR(MATCH($B32,'A1.3.2'!$B$27:$B$106,0)),"",(((Q32*'VoT5'!$E$28)+(R32*'VoT5'!$E$29)+(S32*'VoT5'!$E$30))/100))</f>
        <v>11.228466130795011</v>
      </c>
      <c r="U32" s="1565">
        <f>IF(ISERROR(MATCH($B32,'A1.3.2'!$B$27:$B$106,0)),"",(VLOOKUP($B32,'Forecast occupancies'!$C$28:$CP$64,19,TRUE) * VLOOKUP($B32, 'A1.3.2'!$B$27:$AY$106,37,)) * $CR$5)</f>
        <v>15.382758587374703</v>
      </c>
      <c r="V32" s="1565">
        <f>IF(ISERROR(MATCH($B32,'A1.3.2'!$B$27:$B$106,0)),"",VLOOKUP($B32,'Forecast occupancies'!$C$28:$CP$64,20,TRUE) * ('VoT5'!$J$29*VLOOKUP($B32, 'A1.3.2'!$B$27:$AY$106,49,)+'VoT5'!$J$30*VLOOKUP($B32, 'A1.3.2'!$B$27:$AY$106,50,))/('VoT5'!$J$29+'VoT5'!$J$30) * $CR$5)</f>
        <v>9.3899516417525568</v>
      </c>
      <c r="W32" s="1566">
        <f>IF(ISERROR(MATCH($B32,'A1.3.2'!$B$27:$B$106,0)),"",(U32*'VoT5'!$E$31 + V32*'VoT5'!$E$32)/100)</f>
        <v>14.663621753900046</v>
      </c>
      <c r="X32" s="1566">
        <f>IF(ISERROR(MATCH($B32,'A1.3.2'!$B$27:$B$106,0)),"",(VLOOKUP($B32,'Forecast occupancies'!$C$28:$CP$64,22,TRUE)*VLOOKUP($B32,'A1.3.2'!$B$27:$AY$106,38,)) * $CR$5)</f>
        <v>15.10382739385363</v>
      </c>
      <c r="Y32" s="1566">
        <f>IF(ISERROR(MATCH($B32,'A1.3.2'!$B$27:$B$106,0)),"",(VLOOKUP($B32,'Forecast occupancies'!$C$28:$CP$64,23,TRUE)*VLOOKUP($B32,'A1.3.2'!$B$27:$AY$106,38,)) * $CR$5)</f>
        <v>15.10382739385363</v>
      </c>
      <c r="Z32" s="1565">
        <f>IF(ISERROR(MATCH($B32,'A1.3.2'!$B$27:$B$106,0)),"",(((VLOOKUP($B32,'Forecast occupancies'!$C$28:$CP$64,24,TRUE) -1) * VLOOKUP($B32,'A1.3.2'!$B$27:$AY$106,40,)) + VLOOKUP($B32,'A1.3.2'!$B$27:$AY$106,39,)) * $CR$5)</f>
        <v>17.562238622235419</v>
      </c>
      <c r="AA32" s="1565">
        <f>IF(ISERROR(MATCH($B32,'A1.3.2'!$B$27:$B$106,0)),"",(VLOOKUP($B32,'Forecast occupancies'!$C$28:$CP$64,25,TRUE) * VLOOKUP($B32,'A1.3.2'!$B$27:$AY$106,49,)) * $CR$5)</f>
        <v>8.2572055970068376</v>
      </c>
      <c r="AB32" s="1565">
        <f>IF(ISERROR(MATCH($B32,'A1.3.2'!$B$27:$B$106,0)),"",(VLOOKUP($B32,'Forecast occupancies'!$C$28:$CP$64,26,TRUE) * VLOOKUP($B32,'A1.3.2'!$B$27:$AY$106,50,)) * $CR$5)</f>
        <v>53.594965376324971</v>
      </c>
      <c r="AC32" s="1567">
        <f>IF(ISERROR(MATCH($B32,'A1.3.2'!$B$27:$B$106,0)),"",SUM(Z32:AB32))</f>
        <v>79.414409595567236</v>
      </c>
      <c r="AD32" s="1609">
        <f>IF(ISERROR(MATCH($B32,'A1.3.2'!$B$27:$B$106,0)),"",(((VLOOKUP($B32,'Forecast occupancies'!$C$28:$CP$64,28,TRUE)-1)*VLOOKUP($B32,'A1.3.2'!$B$27:$AY$106,36,)+VLOOKUP($B32,'A1.3.2'!$B$27:$AY$106,35,))*$CR$5))</f>
        <v>21.352711092104013</v>
      </c>
      <c r="AE32" s="1565">
        <f>IF(ISERROR(MATCH($B32,'A1.3.2'!$B$27:$B$106,0)),"",VLOOKUP($B32,'Forecast occupancies'!$C$28:$CP$64,29,TRUE)*VLOOKUP($B32,'A1.3.2'!$B$27:$AY$106,49,)*$CR$5)</f>
        <v>11.903067839355069</v>
      </c>
      <c r="AF32" s="1565">
        <f>IF(ISERROR(MATCH($B32,'A1.3.2'!$B$27:$B$106,0)),"",VLOOKUP($B32,'Forecast occupancies'!$C$28:$CP$64,30,TRUE)*VLOOKUP($B32,'A1.3.2'!$B$27:$AY$106,50,)*$CR$5)</f>
        <v>8.5703112180761298</v>
      </c>
      <c r="AG32" s="1566">
        <f>IF(ISERROR(MATCH($B32,'A1.3.2'!$B$27:$B$106,0)),"",(((AD32*'VoT5'!$F$28)+(AE32*'VoT5'!$F$29)+(AF32*'VoT5'!$F$30))/100))</f>
        <v>11.454810488346951</v>
      </c>
      <c r="AH32" s="1565">
        <f>IF(ISERROR(MATCH($B32,'A1.3.2'!$B$27:$B$106,0)),"",(VLOOKUP($B32,'Forecast occupancies'!$C$28:$CP$64,32,TRUE) * VLOOKUP($B32, 'A1.3.2'!$B$27:$AY$106,37,)) * $CR$5)</f>
        <v>15.382758587374703</v>
      </c>
      <c r="AI32" s="1565">
        <f>IF(ISERROR(MATCH($B32,'A1.3.2'!$B$27:$B$106,0)),"",VLOOKUP($B32,'Forecast occupancies'!$C$28:$CP$64,33,TRUE) * ('VoT5'!$J$29*VLOOKUP($B32, 'A1.3.2'!$B$27:$AY$106,49,)+'VoT5'!$J$30*VLOOKUP($B32, 'A1.3.2'!$B$27:$AY$106,50,))/('VoT5'!$J$29+'VoT5'!$J$30) * $CR$5)</f>
        <v>9.3899516417525568</v>
      </c>
      <c r="AJ32" s="1566">
        <f>IF(ISERROR(MATCH($B32,'A1.3.2'!$B$27:$B$106,0)),"",(AH32*'VoT5'!$F$31 + AI32*'VoT5'!$F$32)/100)</f>
        <v>14.663621753900046</v>
      </c>
      <c r="AK32" s="1566">
        <f>IF(ISERROR(MATCH($B32,'A1.3.2'!$B$27:$B$106,0)),"",(VLOOKUP($B32,'Forecast occupancies'!$C$28:$CP$64,35,TRUE)*VLOOKUP($B32,'A1.3.2'!$B$27:$AY$106,38,)) * $CR$5)</f>
        <v>15.10382739385363</v>
      </c>
      <c r="AL32" s="1566">
        <f>IF(ISERROR(MATCH($B32,'A1.3.2'!$B$27:$B$106,0)),"",(VLOOKUP($B32,'Forecast occupancies'!$C$28:$CP$64,36,TRUE)*VLOOKUP($B32,'A1.3.2'!$B$27:$AY$106,38,)) * $CR$5)</f>
        <v>15.10382739385363</v>
      </c>
      <c r="AM32" s="1565">
        <f>IF(ISERROR(MATCH($B32,'A1.3.2'!$B$27:$B$106,0)),"",(((VLOOKUP($B32,'Forecast occupancies'!$C$28:$CP$64,37,TRUE) -1) * VLOOKUP($B32,'A1.3.2'!$B$27:$AY$106,40,)) + VLOOKUP($B32,'A1.3.2'!$B$27:$AY$106,39,)) * $CR$5)</f>
        <v>18.37514332929538</v>
      </c>
      <c r="AN32" s="1565">
        <f>IF(ISERROR(MATCH($B32,'A1.3.2'!$B$27:$B$106,0)),"",(VLOOKUP($B32,'Forecast occupancies'!$C$28:$CP$64,38,TRUE) * VLOOKUP($B32,'A1.3.2'!$B$27:$AY$106,49,)) * $CR$5)</f>
        <v>33.134958133355077</v>
      </c>
      <c r="AO32" s="1565">
        <f>IF(ISERROR(MATCH($B32,'A1.3.2'!$B$27:$B$106,0)),"",(VLOOKUP($B32,'Forecast occupancies'!$C$28:$CP$64,39,TRUE) * VLOOKUP($B32,'A1.3.2'!$B$27:$AY$106,50,)) * $CR$5)</f>
        <v>41.871604289942375</v>
      </c>
      <c r="AP32" s="1567">
        <f>IF(ISERROR(MATCH($B32,'A1.3.2'!$B$27:$B$106,0)),"",SUM(AM32:AO32))</f>
        <v>93.381705752592836</v>
      </c>
      <c r="AQ32" s="1609">
        <f>IF(ISERROR(MATCH($B32,'A1.3.2'!$B$27:$B$106,0)),"",(((VLOOKUP($B32,'Forecast occupancies'!$C$28:$CP$64,41,TRUE)-1)*VLOOKUP($B32,'A1.3.2'!$B$27:$AY$106,36,)+VLOOKUP($B32,'A1.3.2'!$B$27:$AY$106,35,))*$CR$5))</f>
        <v>21.756717670767436</v>
      </c>
      <c r="AR32" s="1565">
        <f>IF(ISERROR(MATCH($B32,'A1.3.2'!$B$27:$B$106,0)),"",VLOOKUP($B32,'Forecast occupancies'!$C$28:$CP$64,42,TRUE)*VLOOKUP($B32,'A1.3.2'!$B$27:$AY$106,49,)*$CR$5)</f>
        <v>12.077280573534795</v>
      </c>
      <c r="AS32" s="1565">
        <f>IF(ISERROR(MATCH($B32,'A1.3.2'!$B$27:$B$106,0)),"",VLOOKUP($B32,'Forecast occupancies'!$C$28:$CP$64,43,TRUE)*VLOOKUP($B32,'A1.3.2'!$B$27:$AY$106,50,)*$CR$5)</f>
        <v>8.5397133277269361</v>
      </c>
      <c r="AT32" s="1566">
        <f>IF(ISERROR(MATCH($B32,'A1.3.2'!$B$27:$B$106,0)),"",(((AQ32*'VoT5'!$G$28)+(AR32*'VoT5'!$G$29)+(AS32*'VoT5'!$G$30))/100))</f>
        <v>11.605381679618405</v>
      </c>
      <c r="AU32" s="1565">
        <f>IF(ISERROR(MATCH($B32,'A1.3.2'!$B$27:$B$106,0)),"",(VLOOKUP($B32,'Forecast occupancies'!$C$28:$CP$64,45,TRUE) * VLOOKUP($B32, 'A1.3.2'!$B$27:$AY$106,37,)) * $CR$5)</f>
        <v>15.382758587374703</v>
      </c>
      <c r="AV32" s="1565">
        <f>IF(ISERROR(MATCH($B32,'A1.3.2'!$B$27:$B$106,0)),"",VLOOKUP($B32,'Forecast occupancies'!$C$28:$CP$64,46,TRUE) * ('VoT5'!$J$29*VLOOKUP($B32, 'A1.3.2'!$B$27:$AY$106,49,)+'VoT5'!$J$30*VLOOKUP($B32, 'A1.3.2'!$B$27:$AY$106,50,))/('VoT5'!$J$29+'VoT5'!$J$30) * $CR$5)</f>
        <v>9.3899516417525568</v>
      </c>
      <c r="AW32" s="1566">
        <f>IF(ISERROR(MATCH($B32,'A1.3.2'!$B$27:$B$106,0)),"",(AU32*'VoT5'!$G$31 + AV32*'VoT5'!$G$32)/100)</f>
        <v>14.663621753900046</v>
      </c>
      <c r="AX32" s="1566">
        <f>IF(ISERROR(MATCH($B32,'A1.3.2'!$B$27:$B$106,0)),"",(VLOOKUP($B32,'Forecast occupancies'!$C$28:$CP$64,48,TRUE)*VLOOKUP($B32,'A1.3.2'!$B$27:$AY$106,38,)) * $CR$5)</f>
        <v>15.10382739385363</v>
      </c>
      <c r="AY32" s="1566">
        <f>IF(ISERROR(MATCH($B32,'A1.3.2'!$B$27:$B$106,0)),"",(VLOOKUP($B32,'Forecast occupancies'!$C$28:$CP$64,49,TRUE)*VLOOKUP($B32,'A1.3.2'!$B$27:$AY$106,38,)) * $CR$5)</f>
        <v>15.10382739385363</v>
      </c>
      <c r="AZ32" s="1565">
        <f>IF(ISERROR(MATCH($B32,'A1.3.2'!$B$27:$B$106,0)),"",(((VLOOKUP($B32,'Forecast occupancies'!$C$28:$CP$64,50,TRUE) -1) * VLOOKUP($B32,'A1.3.2'!$B$27:$AY$106,40,)) + VLOOKUP($B32,'A1.3.2'!$B$27:$AY$106,39,)) * $CR$5)</f>
        <v>18.360283844208038</v>
      </c>
      <c r="BA32" s="1565">
        <f>IF(ISERROR(MATCH($B32,'A1.3.2'!$B$27:$B$106,0)),"",(VLOOKUP($B32,'Forecast occupancies'!$C$28:$CP$64,51,TRUE) * VLOOKUP($B32,'A1.3.2'!$B$27:$AY$106,49,)) * $CR$5)</f>
        <v>45.294664711309608</v>
      </c>
      <c r="BB32" s="1565">
        <f>IF(ISERROR(MATCH($B32,'A1.3.2'!$B$27:$B$106,0)),"",(VLOOKUP($B32,'Forecast occupancies'!$C$28:$CP$64,52,TRUE) * VLOOKUP($B32,'A1.3.2'!$B$27:$AY$106,50,)) * $CR$5)</f>
        <v>36.328283609048441</v>
      </c>
      <c r="BC32" s="1567">
        <f>IF(ISERROR(MATCH($B32,'A1.3.2'!$B$27:$B$106,0)),"",SUM(AZ32:BB32))</f>
        <v>99.98323216456609</v>
      </c>
      <c r="BD32" s="1565">
        <f>IF(ISERROR(MATCH($B32,'A1.3.2'!$B$27:$B$106,0)),"",(((VLOOKUP($B32,'Forecast occupancies'!$C$28:$CP$64,54,TRUE)-1)*VLOOKUP($B32,'A1.3.2'!$B$27:$AY$106,36,)+VLOOKUP($B32,'A1.3.2'!$B$27:$AY$106,35,))*$CR$5))</f>
        <v>21.390703753343068</v>
      </c>
      <c r="BE32" s="1565">
        <f>IF(ISERROR(MATCH($B32,'A1.3.2'!$B$27:$B$106,0)),"",VLOOKUP($B32,'Forecast occupancies'!$C$28:$CP$64,55,TRUE)*VLOOKUP($B32,'A1.3.2'!$B$27:$AY$106,49,)*$CR$5)</f>
        <v>11.943538369145928</v>
      </c>
      <c r="BF32" s="1565">
        <f>IF(ISERROR(MATCH($B32,'A1.3.2'!$B$27:$B$106,0)),"",VLOOKUP($B32,'Forecast occupancies'!$C$28:$CP$64,56,TRUE)*VLOOKUP($B32,'A1.3.2'!$B$27:$AY$106,50,)*$CR$5)</f>
        <v>8.5609315242853796</v>
      </c>
      <c r="BG32" s="1566">
        <f>IF(ISERROR(MATCH($B32,'A1.3.2'!$B$27:$B$106,0)),"",(((BD32*'VoT5'!$H$28)+(BE32*'VoT5'!$H$29)+(BF32*'VoT5'!$H$30))/100))</f>
        <v>11.521804055485761</v>
      </c>
      <c r="BH32" s="1565">
        <f>IF(ISERROR(MATCH($B32,'A1.3.2'!$B$27:$B$106,0)),"",(VLOOKUP($B32,'Forecast occupancies'!$C$28:$CP$64,58,TRUE) * VLOOKUP($B32, 'A1.3.2'!$B$27:$AY$106,37,)) * $CR$5)</f>
        <v>15.382758587374703</v>
      </c>
      <c r="BI32" s="1565">
        <f>IF(ISERROR(MATCH($B32,'A1.3.2'!$B$27:$B$106,0)),"",(VLOOKUP($B32,'Forecast occupancies'!$C$28:$CP$64,59,TRUE) * (VLOOKUP($B32,'A1.3.2'!$B$27:$AY$106,49,) * 'VoT5'!$J$29 + VLOOKUP($B32,'A1.3.2'!$B$27:$AY$106,50,) * 'VoT5'!$J$30) / (SUM('VoT5'!$J$29:$J$30))) * $CR$5)</f>
        <v>9.3899516417525568</v>
      </c>
      <c r="BJ32" s="1566">
        <f>IF(ISERROR(MATCH($B32,'A1.3.2'!$B$27:$B$106,0)),"",(BH32*'VoT5'!$H$31 + BI32*'VoT5'!$H$32)/100)</f>
        <v>14.663621753900046</v>
      </c>
      <c r="BK32" s="1566">
        <f>IF(ISERROR(MATCH($B32,'A1.3.2'!$B$27:$B$106,0)),"",(VLOOKUP($B32,'Forecast occupancies'!$C$28:$CP$64,61,TRUE)*VLOOKUP($B32,'A1.3.2'!$B$27:$AY$106,38,)) * $CR$5)</f>
        <v>15.10382739385363</v>
      </c>
      <c r="BL32" s="1566">
        <f>IF(ISERROR(MATCH($B32,'A1.3.2'!$B$27:$B$106,0)),"",(VLOOKUP($B32,'Forecast occupancies'!$C$28:$CP$64,62,TRUE)*VLOOKUP($B32,'A1.3.2'!$B$27:$AY$106,38,)) * $CR$5)</f>
        <v>15.10382739385363</v>
      </c>
      <c r="BM32" s="1565">
        <f>IF(ISERROR(MATCH($B32,'A1.3.2'!$B$27:$B$106,0)),"",(((VLOOKUP($B32,'Forecast occupancies'!$C$28:$CP$64,63,TRUE) -1) * VLOOKUP($B32,'A1.3.2'!$B$27:$AY$106,40,)) + VLOOKUP($B32,'A1.3.2'!$B$27:$AY$106,39,)) * $CR$5)</f>
        <v>17.702825233489087</v>
      </c>
      <c r="BN32" s="1565">
        <f>IF(ISERROR(MATCH($B32,'A1.3.2'!$B$27:$B$106,0)),"",(VLOOKUP($B32,'Forecast occupancies'!$C$28:$CP$64,64,TRUE) * VLOOKUP($B32,'A1.3.2'!$B$27:$AY$106,49,)) * $CR$5)</f>
        <v>20.447529094792198</v>
      </c>
      <c r="BO32" s="1565">
        <f>IF(ISERROR(MATCH($B32,'A1.3.2'!$B$27:$B$106,0)),"",(VLOOKUP($B32,'Forecast occupancies'!$C$28:$CP$64,65,TRUE) * VLOOKUP($B32,'A1.3.2'!$B$27:$AY$106,50,)) * $CR$5)</f>
        <v>47.9672220758235</v>
      </c>
      <c r="BP32" s="1567">
        <f>IF(ISERROR(MATCH($B32,'A1.3.2'!$B$27:$B$106,0)),"",SUM(BM32:BO32))</f>
        <v>86.117576404104781</v>
      </c>
      <c r="BQ32" s="1565">
        <f>IF(ISERROR(MATCH($B32,'A1.3.2'!$B$27:$B$106,0)),"",(((VLOOKUP($B32,'Forecast occupancies'!$C$28:$CP$64,67,TRUE)-1)*VLOOKUP($B32,'A1.3.2'!$B$27:$AY$106,36,)+VLOOKUP($B32,'A1.3.2'!$B$27:$AY$106,35,))*$CR$5))</f>
        <v>24.446896616400068</v>
      </c>
      <c r="BR32" s="1565">
        <f>IF(ISERROR(MATCH($B32,'A1.3.2'!$B$27:$B$106,0)),"",VLOOKUP($B32,'Forecast occupancies'!$C$28:$CP$64,68,TRUE)*VLOOKUP($B32,'A1.3.2'!$B$27:$AY$106,49,)*$CR$5)</f>
        <v>12.645244325182679</v>
      </c>
      <c r="BS32" s="1565">
        <f>IF(ISERROR(MATCH($B32,'A1.3.2'!$B$27:$B$106,0)),"",VLOOKUP($B32,'Forecast occupancies'!$C$28:$CP$64,69,TRUE)*VLOOKUP($B32,'A1.3.2'!$B$27:$AY$106,50,)*$CR$5)</f>
        <v>10.136349296659406</v>
      </c>
      <c r="BT32" s="1566">
        <f>IF(ISERROR(MATCH($B32,'A1.3.2'!$B$27:$B$106,0)),"",(((BQ32*'VoT5'!$I$28)+(BR32*'VoT5'!$I$29)+(BS32*'VoT5'!$I$30))/100))</f>
        <v>10.831328466751454</v>
      </c>
      <c r="BU32" s="1565">
        <f>IF(ISERROR(MATCH($B32,'A1.3.2'!$B$27:$B$106,0)),"",(VLOOKUP($B32,'Forecast occupancies'!$C$28:$CP$64,71,TRUE) * VLOOKUP($B32, 'A1.3.2'!$B$27:$AY$106,37,)) * $CR$5)</f>
        <v>16.151896516743438</v>
      </c>
      <c r="BV32" s="1565">
        <f>IF(ISERROR(MATCH($B32,'A1.3.2'!$B$27:$B$106,0)),"",(VLOOKUP($B32,'Forecast occupancies'!$C$28:$CP$64,72,TRUE) * (VLOOKUP($B32,'A1.3.2'!$B$27:$AY$106,49,)*'VoT5'!$J$29 + VLOOKUP($B32,'A1.3.2'!$B$27:$AY$106,50,)*'VoT5'!$J$30) / (SUM('VoT5'!$J$29:$J$30))) * $CR$5)</f>
        <v>13.055891666272389</v>
      </c>
      <c r="BW32" s="1566">
        <f>IF(ISERROR(MATCH($B32,'A1.3.2'!$B$27:$B$106,0)),"",(BU32*'VoT5'!$I$31 + BV32*'VoT5'!$I$32)/100)</f>
        <v>15.780375934686912</v>
      </c>
      <c r="BX32" s="1566">
        <f>IF(ISERROR(MATCH($B32,'A1.3.2'!$B$27:$B$106,0)),"",(VLOOKUP($B32,'Forecast occupancies'!$C$28:$CP$64,74,TRUE)*VLOOKUP($B32,'A1.3.2'!$B$27:$AY$106,38,)) * $CR$5)</f>
        <v>15.10382739385363</v>
      </c>
      <c r="BY32" s="1566">
        <f>IF(ISERROR(MATCH($B32,'A1.3.2'!$B$27:$B$106,0)),"",(VLOOKUP($B32,'Forecast occupancies'!$C$28:$CP$64,75,TRUE)*VLOOKUP($B32,'A1.3.2'!$B$27:$AY$106,38,)) * $CR$5)</f>
        <v>15.10382739385363</v>
      </c>
      <c r="BZ32" s="1565">
        <f>IF(ISERROR(MATCH($B32,'A1.3.2'!$B$27:$B$106,0)),"",(((VLOOKUP($B32,'Forecast occupancies'!$C$28:$CP$64,76,TRUE) -1) * VLOOKUP($B32,'A1.3.2'!$B$27:$AY$106,40,)) + VLOOKUP($B32,'A1.3.2'!$B$27:$AY$106,39,)) * $CR$5)</f>
        <v>16.122570033525562</v>
      </c>
      <c r="CA32" s="1565">
        <f>IF(ISERROR(MATCH($B32,'A1.3.2'!$B$27:$B$106,0)),"",(VLOOKUP($B32,'Forecast occupancies'!$C$28:$CP$64,77,TRUE) * VLOOKUP($B32,'A1.3.2'!$B$27:$AY$106,49,)) * $CR$5)</f>
        <v>7.7463130399256261</v>
      </c>
      <c r="CB32" s="1565">
        <f>IF(ISERROR(MATCH($B32,'A1.3.2'!$B$27:$B$106,0)),"",(VLOOKUP($B32,'Forecast occupancies'!$C$28:$CP$64,78,TRUE) * VLOOKUP($B32,'A1.3.2'!$B$27:$AY$106,50,)) * $CR$5)</f>
        <v>54.480609576742573</v>
      </c>
      <c r="CC32" s="1567">
        <f>IF(ISERROR(MATCH($B32,'A1.3.2'!$B$27:$B$106,0)),"",SUM(BZ32:CB32))</f>
        <v>78.349492650193753</v>
      </c>
      <c r="CD32" s="1565">
        <f>IF(ISERROR(MATCH($B32,'A1.3.2'!$B$27:$B$106,0)),"",(((VLOOKUP($B32,'Forecast occupancies'!$C$28:$CP$64,80,TRUE)-1)*VLOOKUP($B32,'A1.3.2'!$B$27:$AY$106,36,)+VLOOKUP($B32,'A1.3.2'!$B$27:$AY$106,35,))*$CR$5))</f>
        <v>21.607640872193638</v>
      </c>
      <c r="CE32" s="1565">
        <f>IF(ISERROR(MATCH($B32,'A1.3.2'!$B$27:$B$106,0)),"",VLOOKUP($B32,'Forecast occupancies'!$C$28:$CP$64,81,TRUE)*VLOOKUP($B32,'A1.3.2'!$B$27:$AY$106,49,)*$CR$5)</f>
        <v>12.000306843533767</v>
      </c>
      <c r="CF32" s="1565">
        <f>IF(ISERROR(MATCH($B32,'A1.3.2'!$B$27:$B$106,0)),"",VLOOKUP($B32,'Forecast occupancies'!$C$28:$CP$64,82,TRUE)*VLOOKUP($B32,'A1.3.2'!$B$27:$AY$106,50,)*$CR$5)</f>
        <v>9.1168467105447508</v>
      </c>
      <c r="CG32" s="1566">
        <f>IF(ISERROR(MATCH($B32,'A1.3.2'!$B$27:$B$106,0)),"",(((CD32*'VoT5'!$J$28)+(CE32*'VoT5'!$J$29)+(CF32*'VoT5'!$J$30))/100))</f>
        <v>11.358095572514181</v>
      </c>
      <c r="CH32" s="1565">
        <f>IF(ISERROR(MATCH($B32,'A1.3.2'!$B$27:$B$106,0)),"",(VLOOKUP($B32,'Forecast occupancies'!$C$28:$CP$64,84,TRUE) * VLOOKUP($B32, 'A1.3.2'!$B$27:$AY$106,37,)) * $CR$5)</f>
        <v>15.382758587374703</v>
      </c>
      <c r="CI32" s="1565">
        <f>IF(ISERROR(MATCH($B32,'A1.3.2'!$B$27:$B$106,0)),"",(VLOOKUP($B32,'Forecast occupancies'!$C$28:$CP$64,85,TRUE) * (VLOOKUP($B32,'A1.3.2'!$B$27:$AY$106,49,)*'VoT5'!$J$29 + VLOOKUP($B32,'A1.3.2'!$B$27:$AY$106,50,)*'VoT5'!$J$30) / (SUM('VoT5'!$J$29:$J$30))) * $CR$5)</f>
        <v>10.226043226292168</v>
      </c>
      <c r="CJ32" s="1566">
        <f>IF(ISERROR(MATCH($B32,'A1.3.2'!$B$27:$B$106,0)),"",(CH32*'VoT5'!$J$31 + CI32*'VoT5'!$J$32)/100)</f>
        <v>14.763952744044801</v>
      </c>
      <c r="CK32" s="1566">
        <f>IF(ISERROR(MATCH($B32,'A1.3.2'!$B$27:$B$106,0)),"",(VLOOKUP($B32,'Forecast occupancies'!$C$28:$CP$64,87,TRUE)*VLOOKUP($B32,'A1.3.2'!$B$27:$AY$106,38,)) * $CR$5)</f>
        <v>15.10382739385363</v>
      </c>
      <c r="CL32" s="1566">
        <f>IF(ISERROR(MATCH($B32,'A1.3.2'!$B$27:$B$106,0)),"",(VLOOKUP($B32,'Forecast occupancies'!$C$28:$CP$64,88,TRUE)*VLOOKUP($B32,'A1.3.2'!$B$27:$AY$106,38,)) * $CR$5)</f>
        <v>15.10382739385363</v>
      </c>
      <c r="CM32" s="1565">
        <f>IF(ISERROR(MATCH($B32,'A1.3.2'!$B$27:$B$106,0)),"",(((VLOOKUP($B32,'Forecast occupancies'!$C$28:$CP$64,89,TRUE) -1) * VLOOKUP($B32,'A1.3.2'!$B$27:$AY$106,40,)) + VLOOKUP($B32,'A1.3.2'!$B$27:$AY$106,39,)) * $CR$5)</f>
        <v>17.312595591765117</v>
      </c>
      <c r="CN32" s="1565">
        <f>IF(ISERROR(MATCH($B32,'A1.3.2'!$B$27:$B$106,0)),"",(VLOOKUP($B32,'Forecast occupancies'!$C$28:$CP$64,90,TRUE) * VLOOKUP($B32,'A1.3.2'!$B$27:$AY$106,49,)) * $CR$5)</f>
        <v>17.310474940363548</v>
      </c>
      <c r="CO32" s="1565">
        <f>IF(ISERROR(MATCH($B32,'A1.3.2'!$B$27:$B$106,0)),"",(VLOOKUP($B32,'Forecast occupancies'!$C$28:$CP$64,91,TRUE) * VLOOKUP($B32,'A1.3.2'!$B$27:$AY$106,50,)) * $CR$5)</f>
        <v>49.575919727868673</v>
      </c>
      <c r="CP32" s="1567">
        <f>IF(ISERROR(MATCH($B32,'A1.3.2'!$B$27:$B$106,0)),"",SUM(CM32:CO32))</f>
        <v>84.198990259997345</v>
      </c>
    </row>
    <row r="33" spans="1:94" s="26" customFormat="1" ht="13.5" customHeight="1">
      <c r="A33" s="113"/>
      <c r="B33" s="82">
        <f t="shared" si="0"/>
        <v>2015</v>
      </c>
      <c r="D33" s="1609">
        <f>IF(ISERROR(MATCH($B33,'A1.3.2'!$B$27:$B$106,0)),"",(((VLOOKUP($B33,'Forecast occupancies'!$C$28:$CP$64,2,TRUE) -1) * VLOOKUP($B33,'A1.3.2'!$B$27:$AY$106,36,) + VLOOKUP($B33,'A1.3.2'!$B$27:$AY$106,35,)) * $CR$5))</f>
        <v>21.373602095548435</v>
      </c>
      <c r="E33" s="1565">
        <f>IF(ISERROR(MATCH($B33,'A1.3.2'!$B$27:$B$106,0)),"",VLOOKUP($B33,'Forecast occupancies'!$C$28:$CP$64,3,TRUE)*VLOOKUP($B33,'A1.3.2'!$B$27:$AY$106,49,)*$CR$5)</f>
        <v>12.045113126558494</v>
      </c>
      <c r="F33" s="1565">
        <f>IF(ISERROR(MATCH($B33,'A1.3.2'!$B$27:$B$106,0)),"",VLOOKUP($B33,'Forecast occupancies'!$C$28:$CP$64,4,TRUE)*VLOOKUP($B33,'A1.3.2'!$B$27:$AY$106,50,)*$CR$5)</f>
        <v>8.310194884899504</v>
      </c>
      <c r="G33" s="1566">
        <f>IF(ISERROR(MATCH($B33,'A1.3.2'!$B$27:$B$106,0)),"",(((D33*'VoT5'!$D$28)+(E33*'VoT5'!$D$29)+(F33*'VoT5'!$D$30))/100))</f>
        <v>12.106113420125025</v>
      </c>
      <c r="H33" s="1565">
        <f>IF(ISERROR(MATCH($B33,'A1.3.2'!$B$27:$B$106,0)),"",(VLOOKUP($B33,'Forecast occupancies'!$C$28:$CP$64,6,TRUE) * VLOOKUP($B33, 'A1.3.2'!$B$27:$AY$106,37,)) * $CR$5)</f>
        <v>15.620022597283432</v>
      </c>
      <c r="I33" s="1565">
        <f>IF(ISERROR(MATCH($B33,'A1.3.2'!$B$27:$B$106,0)),"",VLOOKUP($B33,'Forecast occupancies'!$C$28:$CP$64,7,TRUE) * ('VoT5'!$J$29*VLOOKUP($B33, 'A1.3.2'!$B$27:$AY$106,49,)+'VoT5'!$J$30*VLOOKUP($B33, 'A1.3.2'!$B$27:$AY$106,50,))/('VoT5'!$J$29+'VoT5'!$J$30) * $CR$5)</f>
        <v>9.534782464307348</v>
      </c>
      <c r="J33" s="1566">
        <f>IF(ISERROR(MATCH($B33,'A1.3.2'!$B$27:$B$106,0)),"",(H33*'VoT5'!$D$31 + I33*'VoT5'!$D$32)/100)</f>
        <v>14.889793781326301</v>
      </c>
      <c r="K33" s="1566">
        <f>IF(ISERROR(MATCH($B33,'A1.3.2'!$B$27:$B$106,0)),"",(VLOOKUP($B33,'Forecast occupancies'!$C$28:$CP$64,9,TRUE)*VLOOKUP($B33,'A1.3.2'!$B$27:$AY$106,38,)) * $CR$5)</f>
        <v>15.336789162841949</v>
      </c>
      <c r="L33" s="1566">
        <f>IF(ISERROR(MATCH($B33,'A1.3.2'!$B$27:$B$106,0)),"",(VLOOKUP($B33,'Forecast occupancies'!$C$28:$CP$64,10,TRUE)*VLOOKUP($B33,'A1.3.2'!$B$27:$AY$106,38,)) * $CR$5)</f>
        <v>15.336789162841949</v>
      </c>
      <c r="M33" s="1565">
        <f>IF(ISERROR(MATCH($B33,'A1.3.2'!$B$27:$B$106,0)),"",(((VLOOKUP($B33,'Forecast occupancies'!$C$28:$CP$64,11,TRUE) -1) * VLOOKUP($B33,'A1.3.2'!$B$27:$AY$106,40,)) + VLOOKUP($B33,'A1.3.2'!$B$27:$AY$106,39,)) * $CR$5)</f>
        <v>17.47640991290827</v>
      </c>
      <c r="N33" s="1565">
        <f>IF(ISERROR(MATCH($B33,'A1.3.2'!$B$27:$B$106,0)),"",(VLOOKUP($B33,'Forecast occupancies'!$C$28:$CP$64,12,TRUE) * VLOOKUP($B33,'A1.3.2'!$B$27:$AY$106,49,)) * $CR$5)</f>
        <v>23.92389790012626</v>
      </c>
      <c r="O33" s="1565">
        <f>IF(ISERROR(MATCH($B33,'A1.3.2'!$B$27:$B$106,0)),"",(VLOOKUP($B33,'Forecast occupancies'!$C$28:$CP$64,13,TRUE) * VLOOKUP($B33,'A1.3.2'!$B$27:$AY$106,50,)) * $CR$5)</f>
        <v>47.490657877684058</v>
      </c>
      <c r="P33" s="1567">
        <f>IF(ISERROR(MATCH($B33,'A1.3.2'!$B$27:$B$106,0)),"",SUM(M33:O33))</f>
        <v>88.890965690718588</v>
      </c>
      <c r="Q33" s="1609">
        <f>IF(ISERROR(MATCH($B33,'A1.3.2'!$B$27:$B$106,0)),"",(((VLOOKUP($B33,'Forecast occupancies'!$C$28:$CP$64,15,TRUE)-1)*VLOOKUP($B33,'A1.3.2'!$B$27:$AY$106,36,)+VLOOKUP($B33,'A1.3.2'!$B$27:$AY$106,35,))*$CR$5))</f>
        <v>21.90201332954787</v>
      </c>
      <c r="R33" s="1565">
        <f>IF(ISERROR(MATCH($B33,'A1.3.2'!$B$27:$B$106,0)),"",VLOOKUP($B33,'Forecast occupancies'!$C$28:$CP$64,16,TRUE)*VLOOKUP($B33,'A1.3.2'!$B$27:$AY$106,49,)*$CR$5)</f>
        <v>12.24096778920692</v>
      </c>
      <c r="S33" s="1565">
        <f>IF(ISERROR(MATCH($B33,'A1.3.2'!$B$27:$B$106,0)),"",VLOOKUP($B33,'Forecast occupancies'!$C$28:$CP$64,17,TRUE)*VLOOKUP($B33,'A1.3.2'!$B$27:$AY$106,50,)*$CR$5)</f>
        <v>8.8523205875181592</v>
      </c>
      <c r="T33" s="1566">
        <f>IF(ISERROR(MATCH($B33,'A1.3.2'!$B$27:$B$106,0)),"",(((Q33*'VoT5'!$E$28)+(R33*'VoT5'!$E$29)+(S33*'VoT5'!$E$30))/100))</f>
        <v>11.401654241639017</v>
      </c>
      <c r="U33" s="1565">
        <f>IF(ISERROR(MATCH($B33,'A1.3.2'!$B$27:$B$106,0)),"",(VLOOKUP($B33,'Forecast occupancies'!$C$28:$CP$64,19,TRUE) * VLOOKUP($B33, 'A1.3.2'!$B$27:$AY$106,37,)) * $CR$5)</f>
        <v>15.620022597283432</v>
      </c>
      <c r="V33" s="1565">
        <f>IF(ISERROR(MATCH($B33,'A1.3.2'!$B$27:$B$106,0)),"",VLOOKUP($B33,'Forecast occupancies'!$C$28:$CP$64,20,TRUE) * ('VoT5'!$J$29*VLOOKUP($B33, 'A1.3.2'!$B$27:$AY$106,49,)+'VoT5'!$J$30*VLOOKUP($B33, 'A1.3.2'!$B$27:$AY$106,50,))/('VoT5'!$J$29+'VoT5'!$J$30) * $CR$5)</f>
        <v>9.534782464307348</v>
      </c>
      <c r="W33" s="1566">
        <f>IF(ISERROR(MATCH($B33,'A1.3.2'!$B$27:$B$106,0)),"",(U33*'VoT5'!$E$31 + V33*'VoT5'!$E$32)/100)</f>
        <v>14.889793781326301</v>
      </c>
      <c r="X33" s="1566">
        <f>IF(ISERROR(MATCH($B33,'A1.3.2'!$B$27:$B$106,0)),"",(VLOOKUP($B33,'Forecast occupancies'!$C$28:$CP$64,22,TRUE)*VLOOKUP($B33,'A1.3.2'!$B$27:$AY$106,38,)) * $CR$5)</f>
        <v>15.336789162841949</v>
      </c>
      <c r="Y33" s="1566">
        <f>IF(ISERROR(MATCH($B33,'A1.3.2'!$B$27:$B$106,0)),"",(VLOOKUP($B33,'Forecast occupancies'!$C$28:$CP$64,23,TRUE)*VLOOKUP($B33,'A1.3.2'!$B$27:$AY$106,38,)) * $CR$5)</f>
        <v>15.336789162841949</v>
      </c>
      <c r="Z33" s="1565">
        <f>IF(ISERROR(MATCH($B33,'A1.3.2'!$B$27:$B$106,0)),"",(((VLOOKUP($B33,'Forecast occupancies'!$C$28:$CP$64,24,TRUE) -1) * VLOOKUP($B33,'A1.3.2'!$B$27:$AY$106,40,)) + VLOOKUP($B33,'A1.3.2'!$B$27:$AY$106,39,)) * $CR$5)</f>
        <v>17.833118980580604</v>
      </c>
      <c r="AA33" s="1565">
        <f>IF(ISERROR(MATCH($B33,'A1.3.2'!$B$27:$B$106,0)),"",(VLOOKUP($B33,'Forecast occupancies'!$C$28:$CP$64,25,TRUE) * VLOOKUP($B33,'A1.3.2'!$B$27:$AY$106,49,)) * $CR$5)</f>
        <v>8.3845649194234682</v>
      </c>
      <c r="AB33" s="1565">
        <f>IF(ISERROR(MATCH($B33,'A1.3.2'!$B$27:$B$106,0)),"",(VLOOKUP($B33,'Forecast occupancies'!$C$28:$CP$64,26,TRUE) * VLOOKUP($B33,'A1.3.2'!$B$27:$AY$106,50,)) * $CR$5)</f>
        <v>54.421615311957673</v>
      </c>
      <c r="AC33" s="1567">
        <f>IF(ISERROR(MATCH($B33,'A1.3.2'!$B$27:$B$106,0)),"",SUM(Z33:AB33))</f>
        <v>80.639299211961742</v>
      </c>
      <c r="AD33" s="1609">
        <f>IF(ISERROR(MATCH($B33,'A1.3.2'!$B$27:$B$106,0)),"",(((VLOOKUP($B33,'Forecast occupancies'!$C$28:$CP$64,28,TRUE)-1)*VLOOKUP($B33,'A1.3.2'!$B$27:$AY$106,36,)+VLOOKUP($B33,'A1.3.2'!$B$27:$AY$106,35,))*$CR$5))</f>
        <v>21.682055781963044</v>
      </c>
      <c r="AE33" s="1565">
        <f>IF(ISERROR(MATCH($B33,'A1.3.2'!$B$27:$B$106,0)),"",VLOOKUP($B33,'Forecast occupancies'!$C$28:$CP$64,29,TRUE)*VLOOKUP($B33,'A1.3.2'!$B$27:$AY$106,49,)*$CR$5)</f>
        <v>12.086661021926297</v>
      </c>
      <c r="AF33" s="1565">
        <f>IF(ISERROR(MATCH($B33,'A1.3.2'!$B$27:$B$106,0)),"",VLOOKUP($B33,'Forecast occupancies'!$C$28:$CP$64,30,TRUE)*VLOOKUP($B33,'A1.3.2'!$B$27:$AY$106,50,)*$CR$5)</f>
        <v>8.7024998885422615</v>
      </c>
      <c r="AG33" s="1566">
        <f>IF(ISERROR(MATCH($B33,'A1.3.2'!$B$27:$B$106,0)),"",(((AD33*'VoT5'!$F$28)+(AE33*'VoT5'!$F$29)+(AF33*'VoT5'!$F$30))/100))</f>
        <v>11.631489739586089</v>
      </c>
      <c r="AH33" s="1565">
        <f>IF(ISERROR(MATCH($B33,'A1.3.2'!$B$27:$B$106,0)),"",(VLOOKUP($B33,'Forecast occupancies'!$C$28:$CP$64,32,TRUE) * VLOOKUP($B33, 'A1.3.2'!$B$27:$AY$106,37,)) * $CR$5)</f>
        <v>15.620022597283432</v>
      </c>
      <c r="AI33" s="1565">
        <f>IF(ISERROR(MATCH($B33,'A1.3.2'!$B$27:$B$106,0)),"",VLOOKUP($B33,'Forecast occupancies'!$C$28:$CP$64,33,TRUE) * ('VoT5'!$J$29*VLOOKUP($B33, 'A1.3.2'!$B$27:$AY$106,49,)+'VoT5'!$J$30*VLOOKUP($B33, 'A1.3.2'!$B$27:$AY$106,50,))/('VoT5'!$J$29+'VoT5'!$J$30) * $CR$5)</f>
        <v>9.534782464307348</v>
      </c>
      <c r="AJ33" s="1566">
        <f>IF(ISERROR(MATCH($B33,'A1.3.2'!$B$27:$B$106,0)),"",(AH33*'VoT5'!$F$31 + AI33*'VoT5'!$F$32)/100)</f>
        <v>14.889793781326301</v>
      </c>
      <c r="AK33" s="1566">
        <f>IF(ISERROR(MATCH($B33,'A1.3.2'!$B$27:$B$106,0)),"",(VLOOKUP($B33,'Forecast occupancies'!$C$28:$CP$64,35,TRUE)*VLOOKUP($B33,'A1.3.2'!$B$27:$AY$106,38,)) * $CR$5)</f>
        <v>15.336789162841949</v>
      </c>
      <c r="AL33" s="1566">
        <f>IF(ISERROR(MATCH($B33,'A1.3.2'!$B$27:$B$106,0)),"",(VLOOKUP($B33,'Forecast occupancies'!$C$28:$CP$64,36,TRUE)*VLOOKUP($B33,'A1.3.2'!$B$27:$AY$106,38,)) * $CR$5)</f>
        <v>15.336789162841949</v>
      </c>
      <c r="AM33" s="1565">
        <f>IF(ISERROR(MATCH($B33,'A1.3.2'!$B$27:$B$106,0)),"",(((VLOOKUP($B33,'Forecast occupancies'!$C$28:$CP$64,37,TRUE) -1) * VLOOKUP($B33,'A1.3.2'!$B$27:$AY$106,40,)) + VLOOKUP($B33,'A1.3.2'!$B$27:$AY$106,39,)) * $CR$5)</f>
        <v>18.658561947886618</v>
      </c>
      <c r="AN33" s="1565">
        <f>IF(ISERROR(MATCH($B33,'A1.3.2'!$B$27:$B$106,0)),"",(VLOOKUP($B33,'Forecast occupancies'!$C$28:$CP$64,38,TRUE) * VLOOKUP($B33,'A1.3.2'!$B$27:$AY$106,49,)) * $CR$5)</f>
        <v>33.646032463113471</v>
      </c>
      <c r="AO33" s="1565">
        <f>IF(ISERROR(MATCH($B33,'A1.3.2'!$B$27:$B$106,0)),"",(VLOOKUP($B33,'Forecast occupancies'!$C$28:$CP$64,39,TRUE) * VLOOKUP($B33,'A1.3.2'!$B$27:$AY$106,50,)) * $CR$5)</f>
        <v>42.517432843950708</v>
      </c>
      <c r="AP33" s="1567">
        <f>IF(ISERROR(MATCH($B33,'A1.3.2'!$B$27:$B$106,0)),"",SUM(AM33:AO33))</f>
        <v>94.822027254950797</v>
      </c>
      <c r="AQ33" s="1609">
        <f>IF(ISERROR(MATCH($B33,'A1.3.2'!$B$27:$B$106,0)),"",(((VLOOKUP($B33,'Forecast occupancies'!$C$28:$CP$64,41,TRUE)-1)*VLOOKUP($B33,'A1.3.2'!$B$27:$AY$106,36,)+VLOOKUP($B33,'A1.3.2'!$B$27:$AY$106,35,))*$CR$5))</f>
        <v>22.092293767063662</v>
      </c>
      <c r="AR33" s="1565">
        <f>IF(ISERROR(MATCH($B33,'A1.3.2'!$B$27:$B$106,0)),"",VLOOKUP($B33,'Forecast occupancies'!$C$28:$CP$64,42,TRUE)*VLOOKUP($B33,'A1.3.2'!$B$27:$AY$106,49,)*$CR$5)</f>
        <v>12.263560817185079</v>
      </c>
      <c r="AS33" s="1565">
        <f>IF(ISERROR(MATCH($B33,'A1.3.2'!$B$27:$B$106,0)),"",VLOOKUP($B33,'Forecast occupancies'!$C$28:$CP$64,43,TRUE)*VLOOKUP($B33,'A1.3.2'!$B$27:$AY$106,50,)*$CR$5)</f>
        <v>8.6714300556531292</v>
      </c>
      <c r="AT33" s="1566">
        <f>IF(ISERROR(MATCH($B33,'A1.3.2'!$B$27:$B$106,0)),"",(((AQ33*'VoT5'!$G$28)+(AR33*'VoT5'!$G$29)+(AS33*'VoT5'!$G$30))/100))</f>
        <v>11.784383344254001</v>
      </c>
      <c r="AU33" s="1565">
        <f>IF(ISERROR(MATCH($B33,'A1.3.2'!$B$27:$B$106,0)),"",(VLOOKUP($B33,'Forecast occupancies'!$C$28:$CP$64,45,TRUE) * VLOOKUP($B33, 'A1.3.2'!$B$27:$AY$106,37,)) * $CR$5)</f>
        <v>15.620022597283432</v>
      </c>
      <c r="AV33" s="1565">
        <f>IF(ISERROR(MATCH($B33,'A1.3.2'!$B$27:$B$106,0)),"",VLOOKUP($B33,'Forecast occupancies'!$C$28:$CP$64,46,TRUE) * ('VoT5'!$J$29*VLOOKUP($B33, 'A1.3.2'!$B$27:$AY$106,49,)+'VoT5'!$J$30*VLOOKUP($B33, 'A1.3.2'!$B$27:$AY$106,50,))/('VoT5'!$J$29+'VoT5'!$J$30) * $CR$5)</f>
        <v>9.534782464307348</v>
      </c>
      <c r="AW33" s="1566">
        <f>IF(ISERROR(MATCH($B33,'A1.3.2'!$B$27:$B$106,0)),"",(AU33*'VoT5'!$G$31 + AV33*'VoT5'!$G$32)/100)</f>
        <v>14.889793781326301</v>
      </c>
      <c r="AX33" s="1566">
        <f>IF(ISERROR(MATCH($B33,'A1.3.2'!$B$27:$B$106,0)),"",(VLOOKUP($B33,'Forecast occupancies'!$C$28:$CP$64,48,TRUE)*VLOOKUP($B33,'A1.3.2'!$B$27:$AY$106,38,)) * $CR$5)</f>
        <v>15.336789162841949</v>
      </c>
      <c r="AY33" s="1566">
        <f>IF(ISERROR(MATCH($B33,'A1.3.2'!$B$27:$B$106,0)),"",(VLOOKUP($B33,'Forecast occupancies'!$C$28:$CP$64,49,TRUE)*VLOOKUP($B33,'A1.3.2'!$B$27:$AY$106,38,)) * $CR$5)</f>
        <v>15.336789162841949</v>
      </c>
      <c r="AZ33" s="1565">
        <f>IF(ISERROR(MATCH($B33,'A1.3.2'!$B$27:$B$106,0)),"",(((VLOOKUP($B33,'Forecast occupancies'!$C$28:$CP$64,50,TRUE) -1) * VLOOKUP($B33,'A1.3.2'!$B$27:$AY$106,40,)) + VLOOKUP($B33,'A1.3.2'!$B$27:$AY$106,39,)) * $CR$5)</f>
        <v>18.643473269771448</v>
      </c>
      <c r="BA33" s="1565">
        <f>IF(ISERROR(MATCH($B33,'A1.3.2'!$B$27:$B$106,0)),"",(VLOOKUP($B33,'Forecast occupancies'!$C$28:$CP$64,51,TRUE) * VLOOKUP($B33,'A1.3.2'!$B$27:$AY$106,49,)) * $CR$5)</f>
        <v>45.9932906252401</v>
      </c>
      <c r="BB33" s="1565">
        <f>IF(ISERROR(MATCH($B33,'A1.3.2'!$B$27:$B$106,0)),"",(VLOOKUP($B33,'Forecast occupancies'!$C$28:$CP$64,52,TRUE) * VLOOKUP($B33,'A1.3.2'!$B$27:$AY$106,50,)) * $CR$5)</f>
        <v>36.888611861827421</v>
      </c>
      <c r="BC33" s="1567">
        <f>IF(ISERROR(MATCH($B33,'A1.3.2'!$B$27:$B$106,0)),"",SUM(AZ33:BB33))</f>
        <v>101.52537575683897</v>
      </c>
      <c r="BD33" s="1565">
        <f>IF(ISERROR(MATCH($B33,'A1.3.2'!$B$27:$B$106,0)),"",(((VLOOKUP($B33,'Forecast occupancies'!$C$28:$CP$64,54,TRUE)-1)*VLOOKUP($B33,'A1.3.2'!$B$27:$AY$106,36,)+VLOOKUP($B33,'A1.3.2'!$B$27:$AY$106,35,))*$CR$5))</f>
        <v>21.72063444285239</v>
      </c>
      <c r="BE33" s="1565">
        <f>IF(ISERROR(MATCH($B33,'A1.3.2'!$B$27:$B$106,0)),"",VLOOKUP($B33,'Forecast occupancies'!$C$28:$CP$64,55,TRUE)*VLOOKUP($B33,'A1.3.2'!$B$27:$AY$106,49,)*$CR$5)</f>
        <v>12.127755770066992</v>
      </c>
      <c r="BF33" s="1565">
        <f>IF(ISERROR(MATCH($B33,'A1.3.2'!$B$27:$B$106,0)),"",VLOOKUP($B33,'Forecast occupancies'!$C$28:$CP$64,56,TRUE)*VLOOKUP($B33,'A1.3.2'!$B$27:$AY$106,50,)*$CR$5)</f>
        <v>8.6929755221462788</v>
      </c>
      <c r="BG33" s="1566">
        <f>IF(ISERROR(MATCH($B33,'A1.3.2'!$B$27:$B$106,0)),"",(((BD33*'VoT5'!$H$28)+(BE33*'VoT5'!$H$29)+(BF33*'VoT5'!$H$30))/100))</f>
        <v>11.699516616991533</v>
      </c>
      <c r="BH33" s="1565">
        <f>IF(ISERROR(MATCH($B33,'A1.3.2'!$B$27:$B$106,0)),"",(VLOOKUP($B33,'Forecast occupancies'!$C$28:$CP$64,58,TRUE) * VLOOKUP($B33, 'A1.3.2'!$B$27:$AY$106,37,)) * $CR$5)</f>
        <v>15.620022597283432</v>
      </c>
      <c r="BI33" s="1565">
        <f>IF(ISERROR(MATCH($B33,'A1.3.2'!$B$27:$B$106,0)),"",(VLOOKUP($B33,'Forecast occupancies'!$C$28:$CP$64,59,TRUE) * (VLOOKUP($B33,'A1.3.2'!$B$27:$AY$106,49,) * 'VoT5'!$J$29 + VLOOKUP($B33,'A1.3.2'!$B$27:$AY$106,50,) * 'VoT5'!$J$30) / (SUM('VoT5'!$J$29:$J$30))) * $CR$5)</f>
        <v>9.534782464307348</v>
      </c>
      <c r="BJ33" s="1566">
        <f>IF(ISERROR(MATCH($B33,'A1.3.2'!$B$27:$B$106,0)),"",(BH33*'VoT5'!$H$31 + BI33*'VoT5'!$H$32)/100)</f>
        <v>14.889793781326301</v>
      </c>
      <c r="BK33" s="1566">
        <f>IF(ISERROR(MATCH($B33,'A1.3.2'!$B$27:$B$106,0)),"",(VLOOKUP($B33,'Forecast occupancies'!$C$28:$CP$64,61,TRUE)*VLOOKUP($B33,'A1.3.2'!$B$27:$AY$106,38,)) * $CR$5)</f>
        <v>15.336789162841949</v>
      </c>
      <c r="BL33" s="1566">
        <f>IF(ISERROR(MATCH($B33,'A1.3.2'!$B$27:$B$106,0)),"",(VLOOKUP($B33,'Forecast occupancies'!$C$28:$CP$64,62,TRUE)*VLOOKUP($B33,'A1.3.2'!$B$27:$AY$106,38,)) * $CR$5)</f>
        <v>15.336789162841949</v>
      </c>
      <c r="BM33" s="1565">
        <f>IF(ISERROR(MATCH($B33,'A1.3.2'!$B$27:$B$106,0)),"",(((VLOOKUP($B33,'Forecast occupancies'!$C$28:$CP$64,63,TRUE) -1) * VLOOKUP($B33,'A1.3.2'!$B$27:$AY$106,40,)) + VLOOKUP($B33,'A1.3.2'!$B$27:$AY$106,39,)) * $CR$5)</f>
        <v>17.975874002846904</v>
      </c>
      <c r="BN33" s="1565">
        <f>IF(ISERROR(MATCH($B33,'A1.3.2'!$B$27:$B$106,0)),"",(VLOOKUP($B33,'Forecast occupancies'!$C$28:$CP$64,64,TRUE) * VLOOKUP($B33,'A1.3.2'!$B$27:$AY$106,49,)) * $CR$5)</f>
        <v>20.762912237432012</v>
      </c>
      <c r="BO33" s="1565">
        <f>IF(ISERROR(MATCH($B33,'A1.3.2'!$B$27:$B$106,0)),"",(VLOOKUP($B33,'Forecast occupancies'!$C$28:$CP$64,65,TRUE) * VLOOKUP($B33,'A1.3.2'!$B$27:$AY$106,50,)) * $CR$5)</f>
        <v>48.707069573868061</v>
      </c>
      <c r="BP33" s="1567">
        <f>IF(ISERROR(MATCH($B33,'A1.3.2'!$B$27:$B$106,0)),"",SUM(BM33:BO33))</f>
        <v>87.445855814146967</v>
      </c>
      <c r="BQ33" s="1565">
        <f>IF(ISERROR(MATCH($B33,'A1.3.2'!$B$27:$B$106,0)),"",(((VLOOKUP($B33,'Forecast occupancies'!$C$28:$CP$64,67,TRUE)-1)*VLOOKUP($B33,'A1.3.2'!$B$27:$AY$106,36,)+VLOOKUP($B33,'A1.3.2'!$B$27:$AY$106,35,))*$CR$5))</f>
        <v>24.823966092468677</v>
      </c>
      <c r="BR33" s="1565">
        <f>IF(ISERROR(MATCH($B33,'A1.3.2'!$B$27:$B$106,0)),"",VLOOKUP($B33,'Forecast occupancies'!$C$28:$CP$64,68,TRUE)*VLOOKUP($B33,'A1.3.2'!$B$27:$AY$106,49,)*$CR$5)</f>
        <v>12.840284854345692</v>
      </c>
      <c r="BS33" s="1565">
        <f>IF(ISERROR(MATCH($B33,'A1.3.2'!$B$27:$B$106,0)),"",VLOOKUP($B33,'Forecast occupancies'!$C$28:$CP$64,69,TRUE)*VLOOKUP($B33,'A1.3.2'!$B$27:$AY$106,50,)*$CR$5)</f>
        <v>10.292692573211562</v>
      </c>
      <c r="BT33" s="1566">
        <f>IF(ISERROR(MATCH($B33,'A1.3.2'!$B$27:$B$106,0)),"",(((BQ33*'VoT5'!$I$28)+(BR33*'VoT5'!$I$29)+(BS33*'VoT5'!$I$30))/100))</f>
        <v>10.998391117449833</v>
      </c>
      <c r="BU33" s="1565">
        <f>IF(ISERROR(MATCH($B33,'A1.3.2'!$B$27:$B$106,0)),"",(VLOOKUP($B33,'Forecast occupancies'!$C$28:$CP$64,71,TRUE) * VLOOKUP($B33, 'A1.3.2'!$B$27:$AY$106,37,)) * $CR$5)</f>
        <v>16.401023727147606</v>
      </c>
      <c r="BV33" s="1565">
        <f>IF(ISERROR(MATCH($B33,'A1.3.2'!$B$27:$B$106,0)),"",(VLOOKUP($B33,'Forecast occupancies'!$C$28:$CP$64,72,TRUE) * (VLOOKUP($B33,'A1.3.2'!$B$27:$AY$106,49,)*'VoT5'!$J$29 + VLOOKUP($B33,'A1.3.2'!$B$27:$AY$106,50,)*'VoT5'!$J$30) / (SUM('VoT5'!$J$29:$J$30))) * $CR$5)</f>
        <v>13.257266029139668</v>
      </c>
      <c r="BW33" s="1566">
        <f>IF(ISERROR(MATCH($B33,'A1.3.2'!$B$27:$B$106,0)),"",(BU33*'VoT5'!$I$31 + BV33*'VoT5'!$I$32)/100)</f>
        <v>16.023772803386656</v>
      </c>
      <c r="BX33" s="1566">
        <f>IF(ISERROR(MATCH($B33,'A1.3.2'!$B$27:$B$106,0)),"",(VLOOKUP($B33,'Forecast occupancies'!$C$28:$CP$64,74,TRUE)*VLOOKUP($B33,'A1.3.2'!$B$27:$AY$106,38,)) * $CR$5)</f>
        <v>15.336789162841949</v>
      </c>
      <c r="BY33" s="1566">
        <f>IF(ISERROR(MATCH($B33,'A1.3.2'!$B$27:$B$106,0)),"",(VLOOKUP($B33,'Forecast occupancies'!$C$28:$CP$64,75,TRUE)*VLOOKUP($B33,'A1.3.2'!$B$27:$AY$106,38,)) * $CR$5)</f>
        <v>15.336789162841949</v>
      </c>
      <c r="BZ33" s="1565">
        <f>IF(ISERROR(MATCH($B33,'A1.3.2'!$B$27:$B$106,0)),"",(((VLOOKUP($B33,'Forecast occupancies'!$C$28:$CP$64,76,TRUE) -1) * VLOOKUP($B33,'A1.3.2'!$B$27:$AY$106,40,)) + VLOOKUP($B33,'A1.3.2'!$B$27:$AY$106,39,)) * $CR$5)</f>
        <v>16.371244911601604</v>
      </c>
      <c r="CA33" s="1565">
        <f>IF(ISERROR(MATCH($B33,'A1.3.2'!$B$27:$B$106,0)),"",(VLOOKUP($B33,'Forecast occupancies'!$C$28:$CP$64,77,TRUE) * VLOOKUP($B33,'A1.3.2'!$B$27:$AY$106,49,)) * $CR$5)</f>
        <v>7.8657923442013553</v>
      </c>
      <c r="CB33" s="1565">
        <f>IF(ISERROR(MATCH($B33,'A1.3.2'!$B$27:$B$106,0)),"",(VLOOKUP($B33,'Forecast occupancies'!$C$28:$CP$64,78,TRUE) * VLOOKUP($B33,'A1.3.2'!$B$27:$AY$106,50,)) * $CR$5)</f>
        <v>55.320919708181499</v>
      </c>
      <c r="CC33" s="1567">
        <f>IF(ISERROR(MATCH($B33,'A1.3.2'!$B$27:$B$106,0)),"",SUM(BZ33:CB33))</f>
        <v>79.557956963984452</v>
      </c>
      <c r="CD33" s="1565">
        <f>IF(ISERROR(MATCH($B33,'A1.3.2'!$B$27:$B$106,0)),"",(((VLOOKUP($B33,'Forecast occupancies'!$C$28:$CP$64,80,TRUE)-1)*VLOOKUP($B33,'A1.3.2'!$B$27:$AY$106,36,)+VLOOKUP($B33,'A1.3.2'!$B$27:$AY$106,35,))*$CR$5))</f>
        <v>21.940917604639544</v>
      </c>
      <c r="CE33" s="1565">
        <f>IF(ISERROR(MATCH($B33,'A1.3.2'!$B$27:$B$106,0)),"",VLOOKUP($B33,'Forecast occupancies'!$C$28:$CP$64,81,TRUE)*VLOOKUP($B33,'A1.3.2'!$B$27:$AY$106,49,)*$CR$5)</f>
        <v>12.1853998426639</v>
      </c>
      <c r="CF33" s="1565">
        <f>IF(ISERROR(MATCH($B33,'A1.3.2'!$B$27:$B$106,0)),"",VLOOKUP($B33,'Forecast occupancies'!$C$28:$CP$64,82,TRUE)*VLOOKUP($B33,'A1.3.2'!$B$27:$AY$106,50,)*$CR$5)</f>
        <v>9.2574651565783803</v>
      </c>
      <c r="CG33" s="1566">
        <f>IF(ISERROR(MATCH($B33,'A1.3.2'!$B$27:$B$106,0)),"",(((CD33*'VoT5'!$J$28)+(CE33*'VoT5'!$J$29)+(CF33*'VoT5'!$J$30))/100))</f>
        <v>11.533283090744694</v>
      </c>
      <c r="CH33" s="1565">
        <f>IF(ISERROR(MATCH($B33,'A1.3.2'!$B$27:$B$106,0)),"",(VLOOKUP($B33,'Forecast occupancies'!$C$28:$CP$64,84,TRUE) * VLOOKUP($B33, 'A1.3.2'!$B$27:$AY$106,37,)) * $CR$5)</f>
        <v>15.620022597283432</v>
      </c>
      <c r="CI33" s="1565">
        <f>IF(ISERROR(MATCH($B33,'A1.3.2'!$B$27:$B$106,0)),"",(VLOOKUP($B33,'Forecast occupancies'!$C$28:$CP$64,85,TRUE) * (VLOOKUP($B33,'A1.3.2'!$B$27:$AY$106,49,)*'VoT5'!$J$29 + VLOOKUP($B33,'A1.3.2'!$B$27:$AY$106,50,)*'VoT5'!$J$30) / (SUM('VoT5'!$J$29:$J$30))) * $CR$5)</f>
        <v>10.383769944005948</v>
      </c>
      <c r="CJ33" s="1566">
        <f>IF(ISERROR(MATCH($B33,'A1.3.2'!$B$27:$B$106,0)),"",(CH33*'VoT5'!$J$31 + CI33*'VoT5'!$J$32)/100)</f>
        <v>14.991672278890132</v>
      </c>
      <c r="CK33" s="1566">
        <f>IF(ISERROR(MATCH($B33,'A1.3.2'!$B$27:$B$106,0)),"",(VLOOKUP($B33,'Forecast occupancies'!$C$28:$CP$64,87,TRUE)*VLOOKUP($B33,'A1.3.2'!$B$27:$AY$106,38,)) * $CR$5)</f>
        <v>15.336789162841949</v>
      </c>
      <c r="CL33" s="1566">
        <f>IF(ISERROR(MATCH($B33,'A1.3.2'!$B$27:$B$106,0)),"",(VLOOKUP($B33,'Forecast occupancies'!$C$28:$CP$64,88,TRUE)*VLOOKUP($B33,'A1.3.2'!$B$27:$AY$106,38,)) * $CR$5)</f>
        <v>15.336789162841949</v>
      </c>
      <c r="CM33" s="1565">
        <f>IF(ISERROR(MATCH($B33,'A1.3.2'!$B$27:$B$106,0)),"",(((VLOOKUP($B33,'Forecast occupancies'!$C$28:$CP$64,89,TRUE) -1) * VLOOKUP($B33,'A1.3.2'!$B$27:$AY$106,40,)) + VLOOKUP($B33,'A1.3.2'!$B$27:$AY$106,39,)) * $CR$5)</f>
        <v>17.579625450466903</v>
      </c>
      <c r="CN33" s="1565">
        <f>IF(ISERROR(MATCH($B33,'A1.3.2'!$B$27:$B$106,0)),"",(VLOOKUP($B33,'Forecast occupancies'!$C$28:$CP$64,90,TRUE) * VLOOKUP($B33,'A1.3.2'!$B$27:$AY$106,49,)) * $CR$5)</f>
        <v>17.577472090091042</v>
      </c>
      <c r="CO33" s="1565">
        <f>IF(ISERROR(MATCH($B33,'A1.3.2'!$B$27:$B$106,0)),"",(VLOOKUP($B33,'Forecast occupancies'!$C$28:$CP$64,91,TRUE) * VLOOKUP($B33,'A1.3.2'!$B$27:$AY$106,50,)) * $CR$5)</f>
        <v>50.34057981420726</v>
      </c>
      <c r="CP33" s="1567">
        <f>IF(ISERROR(MATCH($B33,'A1.3.2'!$B$27:$B$106,0)),"",SUM(CM33:CO33))</f>
        <v>85.497677354765202</v>
      </c>
    </row>
    <row r="34" spans="1:94" s="26" customFormat="1" ht="13.5" customHeight="1">
      <c r="A34" s="113"/>
      <c r="B34" s="82">
        <f t="shared" si="0"/>
        <v>2016</v>
      </c>
      <c r="D34" s="1609">
        <f>IF(ISERROR(MATCH($B34,'A1.3.2'!$B$27:$B$106,0)),"",(((VLOOKUP($B34,'Forecast occupancies'!$C$28:$CP$64,2,TRUE) -1) * VLOOKUP($B34,'A1.3.2'!$B$27:$AY$106,36,) + VLOOKUP($B34,'A1.3.2'!$B$27:$AY$106,35,)) * $CR$5))</f>
        <v>21.577709086353487</v>
      </c>
      <c r="E34" s="1565">
        <f>IF(ISERROR(MATCH($B34,'A1.3.2'!$B$27:$B$106,0)),"",VLOOKUP($B34,'Forecast occupancies'!$C$28:$CP$64,3,TRUE)*VLOOKUP($B34,'A1.3.2'!$B$27:$AY$106,49,)*$CR$5)</f>
        <v>12.160137809023245</v>
      </c>
      <c r="F34" s="1565">
        <f>IF(ISERROR(MATCH($B34,'A1.3.2'!$B$27:$B$106,0)),"",VLOOKUP($B34,'Forecast occupancies'!$C$28:$CP$64,4,TRUE)*VLOOKUP($B34,'A1.3.2'!$B$27:$AY$106,50,)*$CR$5)</f>
        <v>8.3895530044798097</v>
      </c>
      <c r="G34" s="1566">
        <f>IF(ISERROR(MATCH($B34,'A1.3.2'!$B$27:$B$106,0)),"",(((D34*'VoT5'!$D$28)+(E34*'VoT5'!$D$29)+(F34*'VoT5'!$D$30))/100))</f>
        <v>12.221720624258436</v>
      </c>
      <c r="H34" s="1565">
        <f>IF(ISERROR(MATCH($B34,'A1.3.2'!$B$27:$B$106,0)),"",(VLOOKUP($B34,'Forecast occupancies'!$C$28:$CP$64,6,TRUE) * VLOOKUP($B34, 'A1.3.2'!$B$27:$AY$106,37,)) * $CR$5)</f>
        <v>15.769185840539585</v>
      </c>
      <c r="I34" s="1565">
        <f>IF(ISERROR(MATCH($B34,'A1.3.2'!$B$27:$B$106,0)),"",VLOOKUP($B34,'Forecast occupancies'!$C$28:$CP$64,7,TRUE) * ('VoT5'!$J$29*VLOOKUP($B34, 'A1.3.2'!$B$27:$AY$106,49,)+'VoT5'!$J$30*VLOOKUP($B34, 'A1.3.2'!$B$27:$AY$106,50,))/('VoT5'!$J$29+'VoT5'!$J$30) * $CR$5)</f>
        <v>9.6258347702345741</v>
      </c>
      <c r="J34" s="1566">
        <f>IF(ISERROR(MATCH($B34,'A1.3.2'!$B$27:$B$106,0)),"",(H34*'VoT5'!$D$31 + I34*'VoT5'!$D$32)/100)</f>
        <v>15.031983712102983</v>
      </c>
      <c r="K34" s="1566">
        <f>IF(ISERROR(MATCH($B34,'A1.3.2'!$B$27:$B$106,0)),"",(VLOOKUP($B34,'Forecast occupancies'!$C$28:$CP$64,9,TRUE)*VLOOKUP($B34,'A1.3.2'!$B$27:$AY$106,38,)) * $CR$5)</f>
        <v>15.483247671363136</v>
      </c>
      <c r="L34" s="1566">
        <f>IF(ISERROR(MATCH($B34,'A1.3.2'!$B$27:$B$106,0)),"",(VLOOKUP($B34,'Forecast occupancies'!$C$28:$CP$64,10,TRUE)*VLOOKUP($B34,'A1.3.2'!$B$27:$AY$106,38,)) * $CR$5)</f>
        <v>15.483247671363136</v>
      </c>
      <c r="M34" s="1565">
        <f>IF(ISERROR(MATCH($B34,'A1.3.2'!$B$27:$B$106,0)),"",(((VLOOKUP($B34,'Forecast occupancies'!$C$28:$CP$64,11,TRUE) -1) * VLOOKUP($B34,'A1.3.2'!$B$27:$AY$106,40,)) + VLOOKUP($B34,'A1.3.2'!$B$27:$AY$106,39,)) * $CR$5)</f>
        <v>17.643300707518051</v>
      </c>
      <c r="N34" s="1565">
        <f>IF(ISERROR(MATCH($B34,'A1.3.2'!$B$27:$B$106,0)),"",(VLOOKUP($B34,'Forecast occupancies'!$C$28:$CP$64,12,TRUE) * VLOOKUP($B34,'A1.3.2'!$B$27:$AY$106,49,)) * $CR$5)</f>
        <v>24.152358914179636</v>
      </c>
      <c r="O34" s="1565">
        <f>IF(ISERROR(MATCH($B34,'A1.3.2'!$B$27:$B$106,0)),"",(VLOOKUP($B34,'Forecast occupancies'!$C$28:$CP$64,13,TRUE) * VLOOKUP($B34,'A1.3.2'!$B$27:$AY$106,50,)) * $CR$5)</f>
        <v>47.944169420915486</v>
      </c>
      <c r="P34" s="1567">
        <f>IF(ISERROR(MATCH($B34,'A1.3.2'!$B$27:$B$106,0)),"",SUM(M34:O34))</f>
        <v>89.739829042613167</v>
      </c>
      <c r="Q34" s="1609">
        <f>IF(ISERROR(MATCH($B34,'A1.3.2'!$B$27:$B$106,0)),"",(((VLOOKUP($B34,'Forecast occupancies'!$C$28:$CP$64,15,TRUE)-1)*VLOOKUP($B34,'A1.3.2'!$B$27:$AY$106,36,)+VLOOKUP($B34,'A1.3.2'!$B$27:$AY$106,35,))*$CR$5))</f>
        <v>22.111166377933536</v>
      </c>
      <c r="R34" s="1565">
        <f>IF(ISERROR(MATCH($B34,'A1.3.2'!$B$27:$B$106,0)),"",VLOOKUP($B34,'Forecast occupancies'!$C$28:$CP$64,16,TRUE)*VLOOKUP($B34,'A1.3.2'!$B$27:$AY$106,49,)*$CR$5)</f>
        <v>12.357862783734635</v>
      </c>
      <c r="S34" s="1565">
        <f>IF(ISERROR(MATCH($B34,'A1.3.2'!$B$27:$B$106,0)),"",VLOOKUP($B34,'Forecast occupancies'!$C$28:$CP$64,17,TRUE)*VLOOKUP($B34,'A1.3.2'!$B$27:$AY$106,50,)*$CR$5)</f>
        <v>8.9368557308544485</v>
      </c>
      <c r="T34" s="1566">
        <f>IF(ISERROR(MATCH($B34,'A1.3.2'!$B$27:$B$106,0)),"",(((Q34*'VoT5'!$E$28)+(R34*'VoT5'!$E$29)+(S34*'VoT5'!$E$30))/100))</f>
        <v>11.510534220177838</v>
      </c>
      <c r="U34" s="1565">
        <f>IF(ISERROR(MATCH($B34,'A1.3.2'!$B$27:$B$106,0)),"",(VLOOKUP($B34,'Forecast occupancies'!$C$28:$CP$64,19,TRUE) * VLOOKUP($B34, 'A1.3.2'!$B$27:$AY$106,37,)) * $CR$5)</f>
        <v>15.769185840539585</v>
      </c>
      <c r="V34" s="1565">
        <f>IF(ISERROR(MATCH($B34,'A1.3.2'!$B$27:$B$106,0)),"",VLOOKUP($B34,'Forecast occupancies'!$C$28:$CP$64,20,TRUE) * ('VoT5'!$J$29*VLOOKUP($B34, 'A1.3.2'!$B$27:$AY$106,49,)+'VoT5'!$J$30*VLOOKUP($B34, 'A1.3.2'!$B$27:$AY$106,50,))/('VoT5'!$J$29+'VoT5'!$J$30) * $CR$5)</f>
        <v>9.6258347702345741</v>
      </c>
      <c r="W34" s="1566">
        <f>IF(ISERROR(MATCH($B34,'A1.3.2'!$B$27:$B$106,0)),"",(U34*'VoT5'!$E$31 + V34*'VoT5'!$E$32)/100)</f>
        <v>15.031983712102983</v>
      </c>
      <c r="X34" s="1566">
        <f>IF(ISERROR(MATCH($B34,'A1.3.2'!$B$27:$B$106,0)),"",(VLOOKUP($B34,'Forecast occupancies'!$C$28:$CP$64,22,TRUE)*VLOOKUP($B34,'A1.3.2'!$B$27:$AY$106,38,)) * $CR$5)</f>
        <v>15.483247671363136</v>
      </c>
      <c r="Y34" s="1566">
        <f>IF(ISERROR(MATCH($B34,'A1.3.2'!$B$27:$B$106,0)),"",(VLOOKUP($B34,'Forecast occupancies'!$C$28:$CP$64,23,TRUE)*VLOOKUP($B34,'A1.3.2'!$B$27:$AY$106,38,)) * $CR$5)</f>
        <v>15.483247671363136</v>
      </c>
      <c r="Z34" s="1565">
        <f>IF(ISERROR(MATCH($B34,'A1.3.2'!$B$27:$B$106,0)),"",(((VLOOKUP($B34,'Forecast occupancies'!$C$28:$CP$64,24,TRUE) -1) * VLOOKUP($B34,'A1.3.2'!$B$27:$AY$106,40,)) + VLOOKUP($B34,'A1.3.2'!$B$27:$AY$106,39,)) * $CR$5)</f>
        <v>18.003416164720331</v>
      </c>
      <c r="AA34" s="1565">
        <f>IF(ISERROR(MATCH($B34,'A1.3.2'!$B$27:$B$106,0)),"",(VLOOKUP($B34,'Forecast occupancies'!$C$28:$CP$64,25,TRUE) * VLOOKUP($B34,'A1.3.2'!$B$27:$AY$106,49,)) * $CR$5)</f>
        <v>8.4646332348745936</v>
      </c>
      <c r="AB34" s="1565">
        <f>IF(ISERROR(MATCH($B34,'A1.3.2'!$B$27:$B$106,0)),"",(VLOOKUP($B34,'Forecast occupancies'!$C$28:$CP$64,26,TRUE) * VLOOKUP($B34,'A1.3.2'!$B$27:$AY$106,50,)) * $CR$5)</f>
        <v>54.941313961086522</v>
      </c>
      <c r="AC34" s="1567">
        <f>IF(ISERROR(MATCH($B34,'A1.3.2'!$B$27:$B$106,0)),"",SUM(Z34:AB34))</f>
        <v>81.409363360681454</v>
      </c>
      <c r="AD34" s="1609">
        <f>IF(ISERROR(MATCH($B34,'A1.3.2'!$B$27:$B$106,0)),"",(((VLOOKUP($B34,'Forecast occupancies'!$C$28:$CP$64,28,TRUE)-1)*VLOOKUP($B34,'A1.3.2'!$B$27:$AY$106,36,)+VLOOKUP($B34,'A1.3.2'!$B$27:$AY$106,35,))*$CR$5))</f>
        <v>21.889108348036853</v>
      </c>
      <c r="AE34" s="1565">
        <f>IF(ISERROR(MATCH($B34,'A1.3.2'!$B$27:$B$106,0)),"",VLOOKUP($B34,'Forecast occupancies'!$C$28:$CP$64,29,TRUE)*VLOOKUP($B34,'A1.3.2'!$B$27:$AY$106,49,)*$CR$5)</f>
        <v>12.20208246558553</v>
      </c>
      <c r="AF34" s="1565">
        <f>IF(ISERROR(MATCH($B34,'A1.3.2'!$B$27:$B$106,0)),"",VLOOKUP($B34,'Forecast occupancies'!$C$28:$CP$64,30,TRUE)*VLOOKUP($B34,'A1.3.2'!$B$27:$AY$106,50,)*$CR$5)</f>
        <v>8.7856043206726628</v>
      </c>
      <c r="AG34" s="1566">
        <f>IF(ISERROR(MATCH($B34,'A1.3.2'!$B$27:$B$106,0)),"",(((AD34*'VoT5'!$F$28)+(AE34*'VoT5'!$F$29)+(AF34*'VoT5'!$F$30))/100))</f>
        <v>11.742564529820967</v>
      </c>
      <c r="AH34" s="1565">
        <f>IF(ISERROR(MATCH($B34,'A1.3.2'!$B$27:$B$106,0)),"",(VLOOKUP($B34,'Forecast occupancies'!$C$28:$CP$64,32,TRUE) * VLOOKUP($B34, 'A1.3.2'!$B$27:$AY$106,37,)) * $CR$5)</f>
        <v>15.769185840539585</v>
      </c>
      <c r="AI34" s="1565">
        <f>IF(ISERROR(MATCH($B34,'A1.3.2'!$B$27:$B$106,0)),"",VLOOKUP($B34,'Forecast occupancies'!$C$28:$CP$64,33,TRUE) * ('VoT5'!$J$29*VLOOKUP($B34, 'A1.3.2'!$B$27:$AY$106,49,)+'VoT5'!$J$30*VLOOKUP($B34, 'A1.3.2'!$B$27:$AY$106,50,))/('VoT5'!$J$29+'VoT5'!$J$30) * $CR$5)</f>
        <v>9.6258347702345741</v>
      </c>
      <c r="AJ34" s="1566">
        <f>IF(ISERROR(MATCH($B34,'A1.3.2'!$B$27:$B$106,0)),"",(AH34*'VoT5'!$F$31 + AI34*'VoT5'!$F$32)/100)</f>
        <v>15.031983712102983</v>
      </c>
      <c r="AK34" s="1566">
        <f>IF(ISERROR(MATCH($B34,'A1.3.2'!$B$27:$B$106,0)),"",(VLOOKUP($B34,'Forecast occupancies'!$C$28:$CP$64,35,TRUE)*VLOOKUP($B34,'A1.3.2'!$B$27:$AY$106,38,)) * $CR$5)</f>
        <v>15.483247671363136</v>
      </c>
      <c r="AL34" s="1566">
        <f>IF(ISERROR(MATCH($B34,'A1.3.2'!$B$27:$B$106,0)),"",(VLOOKUP($B34,'Forecast occupancies'!$C$28:$CP$64,36,TRUE)*VLOOKUP($B34,'A1.3.2'!$B$27:$AY$106,38,)) * $CR$5)</f>
        <v>15.483247671363136</v>
      </c>
      <c r="AM34" s="1565">
        <f>IF(ISERROR(MATCH($B34,'A1.3.2'!$B$27:$B$106,0)),"",(((VLOOKUP($B34,'Forecast occupancies'!$C$28:$CP$64,37,TRUE) -1) * VLOOKUP($B34,'A1.3.2'!$B$27:$AY$106,40,)) + VLOOKUP($B34,'A1.3.2'!$B$27:$AY$106,39,)) * $CR$5)</f>
        <v>18.836741691053358</v>
      </c>
      <c r="AN34" s="1565">
        <f>IF(ISERROR(MATCH($B34,'A1.3.2'!$B$27:$B$106,0)),"",(VLOOKUP($B34,'Forecast occupancies'!$C$28:$CP$64,38,TRUE) * VLOOKUP($B34,'A1.3.2'!$B$27:$AY$106,49,)) * $CR$5)</f>
        <v>33.96733490001089</v>
      </c>
      <c r="AO34" s="1565">
        <f>IF(ISERROR(MATCH($B34,'A1.3.2'!$B$27:$B$106,0)),"",(VLOOKUP($B34,'Forecast occupancies'!$C$28:$CP$64,39,TRUE) * VLOOKUP($B34,'A1.3.2'!$B$27:$AY$106,50,)) * $CR$5)</f>
        <v>42.923452626472177</v>
      </c>
      <c r="AP34" s="1567">
        <f>IF(ISERROR(MATCH($B34,'A1.3.2'!$B$27:$B$106,0)),"",SUM(AM34:AO34))</f>
        <v>95.727529217536414</v>
      </c>
      <c r="AQ34" s="1609">
        <f>IF(ISERROR(MATCH($B34,'A1.3.2'!$B$27:$B$106,0)),"",(((VLOOKUP($B34,'Forecast occupancies'!$C$28:$CP$64,41,TRUE)-1)*VLOOKUP($B34,'A1.3.2'!$B$27:$AY$106,36,)+VLOOKUP($B34,'A1.3.2'!$B$27:$AY$106,35,))*$CR$5))</f>
        <v>22.303263896507392</v>
      </c>
      <c r="AR34" s="1565">
        <f>IF(ISERROR(MATCH($B34,'A1.3.2'!$B$27:$B$106,0)),"",VLOOKUP($B34,'Forecast occupancies'!$C$28:$CP$64,42,TRUE)*VLOOKUP($B34,'A1.3.2'!$B$27:$AY$106,49,)*$CR$5)</f>
        <v>12.380671563598376</v>
      </c>
      <c r="AS34" s="1565">
        <f>IF(ISERROR(MATCH($B34,'A1.3.2'!$B$27:$B$106,0)),"",VLOOKUP($B34,'Forecast occupancies'!$C$28:$CP$64,43,TRUE)*VLOOKUP($B34,'A1.3.2'!$B$27:$AY$106,50,)*$CR$5)</f>
        <v>8.754237786737658</v>
      </c>
      <c r="AT34" s="1566">
        <f>IF(ISERROR(MATCH($B34,'A1.3.2'!$B$27:$B$106,0)),"",(((AQ34*'VoT5'!$G$28)+(AR34*'VoT5'!$G$29)+(AS34*'VoT5'!$G$30))/100))</f>
        <v>11.8969181903757</v>
      </c>
      <c r="AU34" s="1565">
        <f>IF(ISERROR(MATCH($B34,'A1.3.2'!$B$27:$B$106,0)),"",(VLOOKUP($B34,'Forecast occupancies'!$C$28:$CP$64,45,TRUE) * VLOOKUP($B34, 'A1.3.2'!$B$27:$AY$106,37,)) * $CR$5)</f>
        <v>15.769185840539585</v>
      </c>
      <c r="AV34" s="1565">
        <f>IF(ISERROR(MATCH($B34,'A1.3.2'!$B$27:$B$106,0)),"",VLOOKUP($B34,'Forecast occupancies'!$C$28:$CP$64,46,TRUE) * ('VoT5'!$J$29*VLOOKUP($B34, 'A1.3.2'!$B$27:$AY$106,49,)+'VoT5'!$J$30*VLOOKUP($B34, 'A1.3.2'!$B$27:$AY$106,50,))/('VoT5'!$J$29+'VoT5'!$J$30) * $CR$5)</f>
        <v>9.6258347702345741</v>
      </c>
      <c r="AW34" s="1566">
        <f>IF(ISERROR(MATCH($B34,'A1.3.2'!$B$27:$B$106,0)),"",(AU34*'VoT5'!$G$31 + AV34*'VoT5'!$G$32)/100)</f>
        <v>15.031983712102983</v>
      </c>
      <c r="AX34" s="1566">
        <f>IF(ISERROR(MATCH($B34,'A1.3.2'!$B$27:$B$106,0)),"",(VLOOKUP($B34,'Forecast occupancies'!$C$28:$CP$64,48,TRUE)*VLOOKUP($B34,'A1.3.2'!$B$27:$AY$106,38,)) * $CR$5)</f>
        <v>15.483247671363136</v>
      </c>
      <c r="AY34" s="1566">
        <f>IF(ISERROR(MATCH($B34,'A1.3.2'!$B$27:$B$106,0)),"",(VLOOKUP($B34,'Forecast occupancies'!$C$28:$CP$64,49,TRUE)*VLOOKUP($B34,'A1.3.2'!$B$27:$AY$106,38,)) * $CR$5)</f>
        <v>15.483247671363136</v>
      </c>
      <c r="AZ34" s="1565">
        <f>IF(ISERROR(MATCH($B34,'A1.3.2'!$B$27:$B$106,0)),"",(((VLOOKUP($B34,'Forecast occupancies'!$C$28:$CP$64,50,TRUE) -1) * VLOOKUP($B34,'A1.3.2'!$B$27:$AY$106,40,)) + VLOOKUP($B34,'A1.3.2'!$B$27:$AY$106,39,)) * $CR$5)</f>
        <v>18.821508923763535</v>
      </c>
      <c r="BA34" s="1565">
        <f>IF(ISERROR(MATCH($B34,'A1.3.2'!$B$27:$B$106,0)),"",(VLOOKUP($B34,'Forecast occupancies'!$C$28:$CP$64,51,TRUE) * VLOOKUP($B34,'A1.3.2'!$B$27:$AY$106,49,)) * $CR$5)</f>
        <v>46.43250307547541</v>
      </c>
      <c r="BB34" s="1565">
        <f>IF(ISERROR(MATCH($B34,'A1.3.2'!$B$27:$B$106,0)),"",(VLOOKUP($B34,'Forecast occupancies'!$C$28:$CP$64,52,TRUE) * VLOOKUP($B34,'A1.3.2'!$B$27:$AY$106,50,)) * $CR$5)</f>
        <v>37.240879276951681</v>
      </c>
      <c r="BC34" s="1567">
        <f>IF(ISERROR(MATCH($B34,'A1.3.2'!$B$27:$B$106,0)),"",SUM(AZ34:BB34))</f>
        <v>102.49489127619063</v>
      </c>
      <c r="BD34" s="1565">
        <f>IF(ISERROR(MATCH($B34,'A1.3.2'!$B$27:$B$106,0)),"",(((VLOOKUP($B34,'Forecast occupancies'!$C$28:$CP$64,54,TRUE)-1)*VLOOKUP($B34,'A1.3.2'!$B$27:$AY$106,36,)+VLOOKUP($B34,'A1.3.2'!$B$27:$AY$106,35,))*$CR$5))</f>
        <v>21.928055415446924</v>
      </c>
      <c r="BE34" s="1565">
        <f>IF(ISERROR(MATCH($B34,'A1.3.2'!$B$27:$B$106,0)),"",VLOOKUP($B34,'Forecast occupancies'!$C$28:$CP$64,55,TRUE)*VLOOKUP($B34,'A1.3.2'!$B$27:$AY$106,49,)*$CR$5)</f>
        <v>12.243569647595976</v>
      </c>
      <c r="BF34" s="1565">
        <f>IF(ISERROR(MATCH($B34,'A1.3.2'!$B$27:$B$106,0)),"",VLOOKUP($B34,'Forecast occupancies'!$C$28:$CP$64,56,TRUE)*VLOOKUP($B34,'A1.3.2'!$B$27:$AY$106,50,)*$CR$5)</f>
        <v>8.775989001438889</v>
      </c>
      <c r="BG34" s="1566">
        <f>IF(ISERROR(MATCH($B34,'A1.3.2'!$B$27:$B$106,0)),"",(((BD34*'VoT5'!$H$28)+(BE34*'VoT5'!$H$29)+(BF34*'VoT5'!$H$30))/100))</f>
        <v>11.81124102918433</v>
      </c>
      <c r="BH34" s="1565">
        <f>IF(ISERROR(MATCH($B34,'A1.3.2'!$B$27:$B$106,0)),"",(VLOOKUP($B34,'Forecast occupancies'!$C$28:$CP$64,58,TRUE) * VLOOKUP($B34, 'A1.3.2'!$B$27:$AY$106,37,)) * $CR$5)</f>
        <v>15.769185840539585</v>
      </c>
      <c r="BI34" s="1565">
        <f>IF(ISERROR(MATCH($B34,'A1.3.2'!$B$27:$B$106,0)),"",(VLOOKUP($B34,'Forecast occupancies'!$C$28:$CP$64,59,TRUE) * (VLOOKUP($B34,'A1.3.2'!$B$27:$AY$106,49,) * 'VoT5'!$J$29 + VLOOKUP($B34,'A1.3.2'!$B$27:$AY$106,50,) * 'VoT5'!$J$30) / (SUM('VoT5'!$J$29:$J$30))) * $CR$5)</f>
        <v>9.6258347702345741</v>
      </c>
      <c r="BJ34" s="1566">
        <f>IF(ISERROR(MATCH($B34,'A1.3.2'!$B$27:$B$106,0)),"",(BH34*'VoT5'!$H$31 + BI34*'VoT5'!$H$32)/100)</f>
        <v>15.031983712102983</v>
      </c>
      <c r="BK34" s="1566">
        <f>IF(ISERROR(MATCH($B34,'A1.3.2'!$B$27:$B$106,0)),"",(VLOOKUP($B34,'Forecast occupancies'!$C$28:$CP$64,61,TRUE)*VLOOKUP($B34,'A1.3.2'!$B$27:$AY$106,38,)) * $CR$5)</f>
        <v>15.483247671363136</v>
      </c>
      <c r="BL34" s="1566">
        <f>IF(ISERROR(MATCH($B34,'A1.3.2'!$B$27:$B$106,0)),"",(VLOOKUP($B34,'Forecast occupancies'!$C$28:$CP$64,62,TRUE)*VLOOKUP($B34,'A1.3.2'!$B$27:$AY$106,38,)) * $CR$5)</f>
        <v>15.483247671363136</v>
      </c>
      <c r="BM34" s="1565">
        <f>IF(ISERROR(MATCH($B34,'A1.3.2'!$B$27:$B$106,0)),"",(((VLOOKUP($B34,'Forecast occupancies'!$C$28:$CP$64,63,TRUE) -1) * VLOOKUP($B34,'A1.3.2'!$B$27:$AY$106,40,)) + VLOOKUP($B34,'A1.3.2'!$B$27:$AY$106,39,)) * $CR$5)</f>
        <v>18.147534424586304</v>
      </c>
      <c r="BN34" s="1565">
        <f>IF(ISERROR(MATCH($B34,'A1.3.2'!$B$27:$B$106,0)),"",(VLOOKUP($B34,'Forecast occupancies'!$C$28:$CP$64,64,TRUE) * VLOOKUP($B34,'A1.3.2'!$B$27:$AY$106,49,)) * $CR$5)</f>
        <v>20.96118745179162</v>
      </c>
      <c r="BO34" s="1565">
        <f>IF(ISERROR(MATCH($B34,'A1.3.2'!$B$27:$B$106,0)),"",(VLOOKUP($B34,'Forecast occupancies'!$C$28:$CP$64,65,TRUE) * VLOOKUP($B34,'A1.3.2'!$B$27:$AY$106,50,)) * $CR$5)</f>
        <v>49.172197227934632</v>
      </c>
      <c r="BP34" s="1567">
        <f>IF(ISERROR(MATCH($B34,'A1.3.2'!$B$27:$B$106,0)),"",SUM(BM34:BO34))</f>
        <v>88.280919104312559</v>
      </c>
      <c r="BQ34" s="1565">
        <f>IF(ISERROR(MATCH($B34,'A1.3.2'!$B$27:$B$106,0)),"",(((VLOOKUP($B34,'Forecast occupancies'!$C$28:$CP$64,67,TRUE)-1)*VLOOKUP($B34,'A1.3.2'!$B$27:$AY$106,36,)+VLOOKUP($B34,'A1.3.2'!$B$27:$AY$106,35,))*$CR$5))</f>
        <v>25.061022298359013</v>
      </c>
      <c r="BR34" s="1565">
        <f>IF(ISERROR(MATCH($B34,'A1.3.2'!$B$27:$B$106,0)),"",VLOOKUP($B34,'Forecast occupancies'!$C$28:$CP$64,68,TRUE)*VLOOKUP($B34,'A1.3.2'!$B$27:$AY$106,49,)*$CR$5)</f>
        <v>12.962903020950662</v>
      </c>
      <c r="BS34" s="1565">
        <f>IF(ISERROR(MATCH($B34,'A1.3.2'!$B$27:$B$106,0)),"",VLOOKUP($B34,'Forecast occupancies'!$C$28:$CP$64,69,TRUE)*VLOOKUP($B34,'A1.3.2'!$B$27:$AY$106,50,)*$CR$5)</f>
        <v>10.390982533837214</v>
      </c>
      <c r="BT34" s="1566">
        <f>IF(ISERROR(MATCH($B34,'A1.3.2'!$B$27:$B$106,0)),"",(((BQ34*'VoT5'!$I$28)+(BR34*'VoT5'!$I$29)+(BS34*'VoT5'!$I$30))/100))</f>
        <v>11.103420138980431</v>
      </c>
      <c r="BU34" s="1565">
        <f>IF(ISERROR(MATCH($B34,'A1.3.2'!$B$27:$B$106,0)),"",(VLOOKUP($B34,'Forecast occupancies'!$C$28:$CP$64,71,TRUE) * VLOOKUP($B34, 'A1.3.2'!$B$27:$AY$106,37,)) * $CR$5)</f>
        <v>16.557645132566567</v>
      </c>
      <c r="BV34" s="1565">
        <f>IF(ISERROR(MATCH($B34,'A1.3.2'!$B$27:$B$106,0)),"",(VLOOKUP($B34,'Forecast occupancies'!$C$28:$CP$64,72,TRUE) * (VLOOKUP($B34,'A1.3.2'!$B$27:$AY$106,49,)*'VoT5'!$J$29 + VLOOKUP($B34,'A1.3.2'!$B$27:$AY$106,50,)*'VoT5'!$J$30) / (SUM('VoT5'!$J$29:$J$30))) * $CR$5)</f>
        <v>13.383866153134372</v>
      </c>
      <c r="BW34" s="1566">
        <f>IF(ISERROR(MATCH($B34,'A1.3.2'!$B$27:$B$106,0)),"",(BU34*'VoT5'!$I$31 + BV34*'VoT5'!$I$32)/100)</f>
        <v>16.176791655034705</v>
      </c>
      <c r="BX34" s="1566">
        <f>IF(ISERROR(MATCH($B34,'A1.3.2'!$B$27:$B$106,0)),"",(VLOOKUP($B34,'Forecast occupancies'!$C$28:$CP$64,74,TRUE)*VLOOKUP($B34,'A1.3.2'!$B$27:$AY$106,38,)) * $CR$5)</f>
        <v>15.483247671363136</v>
      </c>
      <c r="BY34" s="1566">
        <f>IF(ISERROR(MATCH($B34,'A1.3.2'!$B$27:$B$106,0)),"",(VLOOKUP($B34,'Forecast occupancies'!$C$28:$CP$64,75,TRUE)*VLOOKUP($B34,'A1.3.2'!$B$27:$AY$106,38,)) * $CR$5)</f>
        <v>15.483247671363136</v>
      </c>
      <c r="BZ34" s="1565">
        <f>IF(ISERROR(MATCH($B34,'A1.3.2'!$B$27:$B$106,0)),"",(((VLOOKUP($B34,'Forecast occupancies'!$C$28:$CP$64,76,TRUE) -1) * VLOOKUP($B34,'A1.3.2'!$B$27:$AY$106,40,)) + VLOOKUP($B34,'A1.3.2'!$B$27:$AY$106,39,)) * $CR$5)</f>
        <v>16.527581944531377</v>
      </c>
      <c r="CA34" s="1565">
        <f>IF(ISERROR(MATCH($B34,'A1.3.2'!$B$27:$B$106,0)),"",(VLOOKUP($B34,'Forecast occupancies'!$C$28:$CP$64,77,TRUE) * VLOOKUP($B34,'A1.3.2'!$B$27:$AY$106,49,)) * $CR$5)</f>
        <v>7.9409066463435671</v>
      </c>
      <c r="CB34" s="1565">
        <f>IF(ISERROR(MATCH($B34,'A1.3.2'!$B$27:$B$106,0)),"",(VLOOKUP($B34,'Forecast occupancies'!$C$28:$CP$64,78,TRUE) * VLOOKUP($B34,'A1.3.2'!$B$27:$AY$106,50,)) * $CR$5)</f>
        <v>55.849206255284237</v>
      </c>
      <c r="CC34" s="1567">
        <f>IF(ISERROR(MATCH($B34,'A1.3.2'!$B$27:$B$106,0)),"",SUM(BZ34:CB34))</f>
        <v>80.317694846159185</v>
      </c>
      <c r="CD34" s="1565">
        <f>IF(ISERROR(MATCH($B34,'A1.3.2'!$B$27:$B$106,0)),"",(((VLOOKUP($B34,'Forecast occupancies'!$C$28:$CP$64,80,TRUE)-1)*VLOOKUP($B34,'A1.3.2'!$B$27:$AY$106,36,)+VLOOKUP($B34,'A1.3.2'!$B$27:$AY$106,35,))*$CR$5))</f>
        <v>22.150442168995376</v>
      </c>
      <c r="CE34" s="1565">
        <f>IF(ISERROR(MATCH($B34,'A1.3.2'!$B$27:$B$106,0)),"",VLOOKUP($B34,'Forecast occupancies'!$C$28:$CP$64,81,TRUE)*VLOOKUP($B34,'A1.3.2'!$B$27:$AY$106,49,)*$CR$5)</f>
        <v>12.301764191664324</v>
      </c>
      <c r="CF34" s="1565">
        <f>IF(ISERROR(MATCH($B34,'A1.3.2'!$B$27:$B$106,0)),"",VLOOKUP($B34,'Forecast occupancies'!$C$28:$CP$64,82,TRUE)*VLOOKUP($B34,'A1.3.2'!$B$27:$AY$106,50,)*$CR$5)</f>
        <v>9.345869223761115</v>
      </c>
      <c r="CG34" s="1566">
        <f>IF(ISERROR(MATCH($B34,'A1.3.2'!$B$27:$B$106,0)),"",(((CD34*'VoT5'!$J$28)+(CE34*'VoT5'!$J$29)+(CF34*'VoT5'!$J$30))/100))</f>
        <v>11.643420057608369</v>
      </c>
      <c r="CH34" s="1565">
        <f>IF(ISERROR(MATCH($B34,'A1.3.2'!$B$27:$B$106,0)),"",(VLOOKUP($B34,'Forecast occupancies'!$C$28:$CP$64,84,TRUE) * VLOOKUP($B34, 'A1.3.2'!$B$27:$AY$106,37,)) * $CR$5)</f>
        <v>15.769185840539585</v>
      </c>
      <c r="CI34" s="1565">
        <f>IF(ISERROR(MATCH($B34,'A1.3.2'!$B$27:$B$106,0)),"",(VLOOKUP($B34,'Forecast occupancies'!$C$28:$CP$64,85,TRUE) * (VLOOKUP($B34,'A1.3.2'!$B$27:$AY$106,49,)*'VoT5'!$J$29 + VLOOKUP($B34,'A1.3.2'!$B$27:$AY$106,50,)*'VoT5'!$J$30) / (SUM('VoT5'!$J$29:$J$30))) * $CR$5)</f>
        <v>10.482929647036283</v>
      </c>
      <c r="CJ34" s="1566">
        <f>IF(ISERROR(MATCH($B34,'A1.3.2'!$B$27:$B$106,0)),"",(CH34*'VoT5'!$J$31 + CI34*'VoT5'!$J$32)/100)</f>
        <v>15.134835097319188</v>
      </c>
      <c r="CK34" s="1566">
        <f>IF(ISERROR(MATCH($B34,'A1.3.2'!$B$27:$B$106,0)),"",(VLOOKUP($B34,'Forecast occupancies'!$C$28:$CP$64,87,TRUE)*VLOOKUP($B34,'A1.3.2'!$B$27:$AY$106,38,)) * $CR$5)</f>
        <v>15.483247671363136</v>
      </c>
      <c r="CL34" s="1566">
        <f>IF(ISERROR(MATCH($B34,'A1.3.2'!$B$27:$B$106,0)),"",(VLOOKUP($B34,'Forecast occupancies'!$C$28:$CP$64,88,TRUE)*VLOOKUP($B34,'A1.3.2'!$B$27:$AY$106,38,)) * $CR$5)</f>
        <v>15.483247671363136</v>
      </c>
      <c r="CM34" s="1565">
        <f>IF(ISERROR(MATCH($B34,'A1.3.2'!$B$27:$B$106,0)),"",(((VLOOKUP($B34,'Forecast occupancies'!$C$28:$CP$64,89,TRUE) -1) * VLOOKUP($B34,'A1.3.2'!$B$27:$AY$106,40,)) + VLOOKUP($B34,'A1.3.2'!$B$27:$AY$106,39,)) * $CR$5)</f>
        <v>17.74750190077858</v>
      </c>
      <c r="CN34" s="1565">
        <f>IF(ISERROR(MATCH($B34,'A1.3.2'!$B$27:$B$106,0)),"",(VLOOKUP($B34,'Forecast occupancies'!$C$28:$CP$64,90,TRUE) * VLOOKUP($B34,'A1.3.2'!$B$27:$AY$106,49,)) * $CR$5)</f>
        <v>17.745327976910218</v>
      </c>
      <c r="CO34" s="1565">
        <f>IF(ISERROR(MATCH($B34,'A1.3.2'!$B$27:$B$106,0)),"",(VLOOKUP($B34,'Forecast occupancies'!$C$28:$CP$64,91,TRUE) * VLOOKUP($B34,'A1.3.2'!$B$27:$AY$106,50,)) * $CR$5)</f>
        <v>50.821306657316207</v>
      </c>
      <c r="CP34" s="1567">
        <f>IF(ISERROR(MATCH($B34,'A1.3.2'!$B$27:$B$106,0)),"",SUM(CM34:CO34))</f>
        <v>86.314136535005005</v>
      </c>
    </row>
    <row r="35" spans="1:94" s="26" customFormat="1" ht="13.5" customHeight="1">
      <c r="A35" s="113"/>
      <c r="B35" s="82">
        <f t="shared" si="0"/>
        <v>2017</v>
      </c>
      <c r="D35" s="1609">
        <f>IF(ISERROR(MATCH($B35,'A1.3.2'!$B$27:$B$106,0)),"",(((VLOOKUP($B35,'Forecast occupancies'!$C$28:$CP$64,2,TRUE) -1) * VLOOKUP($B35,'A1.3.2'!$B$27:$AY$106,36,) + VLOOKUP($B35,'A1.3.2'!$B$27:$AY$106,35,)) * $CR$5))</f>
        <v>21.840606551995318</v>
      </c>
      <c r="E35" s="1565">
        <f>IF(ISERROR(MATCH($B35,'A1.3.2'!$B$27:$B$106,0)),"",VLOOKUP($B35,'Forecast occupancies'!$C$28:$CP$64,3,TRUE)*VLOOKUP($B35,'A1.3.2'!$B$27:$AY$106,49,)*$CR$5)</f>
        <v>12.308293917674714</v>
      </c>
      <c r="F35" s="1565">
        <f>IF(ISERROR(MATCH($B35,'A1.3.2'!$B$27:$B$106,0)),"",VLOOKUP($B35,'Forecast occupancies'!$C$28:$CP$64,4,TRUE)*VLOOKUP($B35,'A1.3.2'!$B$27:$AY$106,50,)*$CR$5)</f>
        <v>8.4917692413341861</v>
      </c>
      <c r="G35" s="1566">
        <f>IF(ISERROR(MATCH($B35,'A1.3.2'!$B$27:$B$106,0)),"",(((D35*'VoT5'!$D$28)+(E35*'VoT5'!$D$29)+(F35*'VoT5'!$D$30))/100))</f>
        <v>12.370627042685038</v>
      </c>
      <c r="H35" s="1565">
        <f>IF(ISERROR(MATCH($B35,'A1.3.2'!$B$27:$B$106,0)),"",(VLOOKUP($B35,'Forecast occupancies'!$C$28:$CP$64,6,TRUE) * VLOOKUP($B35, 'A1.3.2'!$B$27:$AY$106,37,)) * $CR$5)</f>
        <v>15.961313696936294</v>
      </c>
      <c r="I35" s="1565">
        <f>IF(ISERROR(MATCH($B35,'A1.3.2'!$B$27:$B$106,0)),"",VLOOKUP($B35,'Forecast occupancies'!$C$28:$CP$64,7,TRUE) * ('VoT5'!$J$29*VLOOKUP($B35, 'A1.3.2'!$B$27:$AY$106,49,)+'VoT5'!$J$30*VLOOKUP($B35, 'A1.3.2'!$B$27:$AY$106,50,))/('VoT5'!$J$29+'VoT5'!$J$30) * $CR$5)</f>
        <v>9.7431135580639125</v>
      </c>
      <c r="J35" s="1566">
        <f>IF(ISERROR(MATCH($B35,'A1.3.2'!$B$27:$B$106,0)),"",(H35*'VoT5'!$D$31 + I35*'VoT5'!$D$32)/100)</f>
        <v>15.215129680271609</v>
      </c>
      <c r="K35" s="1566">
        <f>IF(ISERROR(MATCH($B35,'A1.3.2'!$B$27:$B$106,0)),"",(VLOOKUP($B35,'Forecast occupancies'!$C$28:$CP$64,9,TRUE)*VLOOKUP($B35,'A1.3.2'!$B$27:$AY$106,38,)) * $CR$5)</f>
        <v>15.671891727894625</v>
      </c>
      <c r="L35" s="1566">
        <f>IF(ISERROR(MATCH($B35,'A1.3.2'!$B$27:$B$106,0)),"",(VLOOKUP($B35,'Forecast occupancies'!$C$28:$CP$64,10,TRUE)*VLOOKUP($B35,'A1.3.2'!$B$27:$AY$106,38,)) * $CR$5)</f>
        <v>15.671891727894625</v>
      </c>
      <c r="M35" s="1565">
        <f>IF(ISERROR(MATCH($B35,'A1.3.2'!$B$27:$B$106,0)),"",(((VLOOKUP($B35,'Forecast occupancies'!$C$28:$CP$64,11,TRUE) -1) * VLOOKUP($B35,'A1.3.2'!$B$27:$AY$106,40,)) + VLOOKUP($B35,'A1.3.2'!$B$27:$AY$106,39,)) * $CR$5)</f>
        <v>17.85826231549045</v>
      </c>
      <c r="N35" s="1565">
        <f>IF(ISERROR(MATCH($B35,'A1.3.2'!$B$27:$B$106,0)),"",(VLOOKUP($B35,'Forecast occupancies'!$C$28:$CP$64,12,TRUE) * VLOOKUP($B35,'A1.3.2'!$B$27:$AY$106,49,)) * $CR$5)</f>
        <v>24.446625275932806</v>
      </c>
      <c r="O35" s="1565">
        <f>IF(ISERROR(MATCH($B35,'A1.3.2'!$B$27:$B$106,0)),"",(VLOOKUP($B35,'Forecast occupancies'!$C$28:$CP$64,13,TRUE) * VLOOKUP($B35,'A1.3.2'!$B$27:$AY$106,50,)) * $CR$5)</f>
        <v>48.528309311884378</v>
      </c>
      <c r="P35" s="1567">
        <f>IF(ISERROR(MATCH($B35,'A1.3.2'!$B$27:$B$106,0)),"",SUM(M35:O35))</f>
        <v>90.833196903307623</v>
      </c>
      <c r="Q35" s="1609">
        <f>IF(ISERROR(MATCH($B35,'A1.3.2'!$B$27:$B$106,0)),"",(((VLOOKUP($B35,'Forecast occupancies'!$C$28:$CP$64,15,TRUE)-1)*VLOOKUP($B35,'A1.3.2'!$B$27:$AY$106,36,)+VLOOKUP($B35,'A1.3.2'!$B$27:$AY$106,35,))*$CR$5))</f>
        <v>22.380563355151097</v>
      </c>
      <c r="R35" s="1565">
        <f>IF(ISERROR(MATCH($B35,'A1.3.2'!$B$27:$B$106,0)),"",VLOOKUP($B35,'Forecast occupancies'!$C$28:$CP$64,16,TRUE)*VLOOKUP($B35,'A1.3.2'!$B$27:$AY$106,49,)*$CR$5)</f>
        <v>12.50842792452838</v>
      </c>
      <c r="S35" s="1565">
        <f>IF(ISERROR(MATCH($B35,'A1.3.2'!$B$27:$B$106,0)),"",VLOOKUP($B35,'Forecast occupancies'!$C$28:$CP$64,17,TRUE)*VLOOKUP($B35,'A1.3.2'!$B$27:$AY$106,50,)*$CR$5)</f>
        <v>9.0457401686344614</v>
      </c>
      <c r="T35" s="1566">
        <f>IF(ISERROR(MATCH($B35,'A1.3.2'!$B$27:$B$106,0)),"",(((Q35*'VoT5'!$E$28)+(R35*'VoT5'!$E$29)+(S35*'VoT5'!$E$30))/100))</f>
        <v>11.650775719521349</v>
      </c>
      <c r="U35" s="1565">
        <f>IF(ISERROR(MATCH($B35,'A1.3.2'!$B$27:$B$106,0)),"",(VLOOKUP($B35,'Forecast occupancies'!$C$28:$CP$64,19,TRUE) * VLOOKUP($B35, 'A1.3.2'!$B$27:$AY$106,37,)) * $CR$5)</f>
        <v>15.961313696936294</v>
      </c>
      <c r="V35" s="1565">
        <f>IF(ISERROR(MATCH($B35,'A1.3.2'!$B$27:$B$106,0)),"",VLOOKUP($B35,'Forecast occupancies'!$C$28:$CP$64,20,TRUE) * ('VoT5'!$J$29*VLOOKUP($B35, 'A1.3.2'!$B$27:$AY$106,49,)+'VoT5'!$J$30*VLOOKUP($B35, 'A1.3.2'!$B$27:$AY$106,50,))/('VoT5'!$J$29+'VoT5'!$J$30) * $CR$5)</f>
        <v>9.7431135580639125</v>
      </c>
      <c r="W35" s="1566">
        <f>IF(ISERROR(MATCH($B35,'A1.3.2'!$B$27:$B$106,0)),"",(U35*'VoT5'!$E$31 + V35*'VoT5'!$E$32)/100)</f>
        <v>15.215129680271609</v>
      </c>
      <c r="X35" s="1566">
        <f>IF(ISERROR(MATCH($B35,'A1.3.2'!$B$27:$B$106,0)),"",(VLOOKUP($B35,'Forecast occupancies'!$C$28:$CP$64,22,TRUE)*VLOOKUP($B35,'A1.3.2'!$B$27:$AY$106,38,)) * $CR$5)</f>
        <v>15.671891727894625</v>
      </c>
      <c r="Y35" s="1566">
        <f>IF(ISERROR(MATCH($B35,'A1.3.2'!$B$27:$B$106,0)),"",(VLOOKUP($B35,'Forecast occupancies'!$C$28:$CP$64,23,TRUE)*VLOOKUP($B35,'A1.3.2'!$B$27:$AY$106,38,)) * $CR$5)</f>
        <v>15.671891727894625</v>
      </c>
      <c r="Z35" s="1565">
        <f>IF(ISERROR(MATCH($B35,'A1.3.2'!$B$27:$B$106,0)),"",(((VLOOKUP($B35,'Forecast occupancies'!$C$28:$CP$64,24,TRUE) -1) * VLOOKUP($B35,'A1.3.2'!$B$27:$AY$106,40,)) + VLOOKUP($B35,'A1.3.2'!$B$27:$AY$106,39,)) * $CR$5)</f>
        <v>18.222765330271621</v>
      </c>
      <c r="AA35" s="1565">
        <f>IF(ISERROR(MATCH($B35,'A1.3.2'!$B$27:$B$106,0)),"",(VLOOKUP($B35,'Forecast occupancies'!$C$28:$CP$64,25,TRUE) * VLOOKUP($B35,'A1.3.2'!$B$27:$AY$106,49,)) * $CR$5)</f>
        <v>8.5677642306689279</v>
      </c>
      <c r="AB35" s="1565">
        <f>IF(ISERROR(MATCH($B35,'A1.3.2'!$B$27:$B$106,0)),"",(VLOOKUP($B35,'Forecast occupancies'!$C$28:$CP$64,26,TRUE) * VLOOKUP($B35,'A1.3.2'!$B$27:$AY$106,50,)) * $CR$5)</f>
        <v>55.610705328891015</v>
      </c>
      <c r="AC35" s="1567">
        <f>IF(ISERROR(MATCH($B35,'A1.3.2'!$B$27:$B$106,0)),"",SUM(Z35:AB35))</f>
        <v>82.401234889831557</v>
      </c>
      <c r="AD35" s="1609">
        <f>IF(ISERROR(MATCH($B35,'A1.3.2'!$B$27:$B$106,0)),"",(((VLOOKUP($B35,'Forecast occupancies'!$C$28:$CP$64,28,TRUE)-1)*VLOOKUP($B35,'A1.3.2'!$B$27:$AY$106,36,)+VLOOKUP($B35,'A1.3.2'!$B$27:$AY$106,35,))*$CR$5))</f>
        <v>22.15579982519175</v>
      </c>
      <c r="AE35" s="1565">
        <f>IF(ISERROR(MATCH($B35,'A1.3.2'!$B$27:$B$106,0)),"",VLOOKUP($B35,'Forecast occupancies'!$C$28:$CP$64,29,TRUE)*VLOOKUP($B35,'A1.3.2'!$B$27:$AY$106,49,)*$CR$5)</f>
        <v>12.350749617548562</v>
      </c>
      <c r="AF35" s="1565">
        <f>IF(ISERROR(MATCH($B35,'A1.3.2'!$B$27:$B$106,0)),"",VLOOKUP($B35,'Forecast occupancies'!$C$28:$CP$64,30,TRUE)*VLOOKUP($B35,'A1.3.2'!$B$27:$AY$106,50,)*$CR$5)</f>
        <v>8.8926459487154421</v>
      </c>
      <c r="AG35" s="1566">
        <f>IF(ISERROR(MATCH($B35,'A1.3.2'!$B$27:$B$106,0)),"",(((AD35*'VoT5'!$F$28)+(AE35*'VoT5'!$F$29)+(AF35*'VoT5'!$F$30))/100))</f>
        <v>11.885633029014793</v>
      </c>
      <c r="AH35" s="1565">
        <f>IF(ISERROR(MATCH($B35,'A1.3.2'!$B$27:$B$106,0)),"",(VLOOKUP($B35,'Forecast occupancies'!$C$28:$CP$64,32,TRUE) * VLOOKUP($B35, 'A1.3.2'!$B$27:$AY$106,37,)) * $CR$5)</f>
        <v>15.961313696936294</v>
      </c>
      <c r="AI35" s="1565">
        <f>IF(ISERROR(MATCH($B35,'A1.3.2'!$B$27:$B$106,0)),"",VLOOKUP($B35,'Forecast occupancies'!$C$28:$CP$64,33,TRUE) * ('VoT5'!$J$29*VLOOKUP($B35, 'A1.3.2'!$B$27:$AY$106,49,)+'VoT5'!$J$30*VLOOKUP($B35, 'A1.3.2'!$B$27:$AY$106,50,))/('VoT5'!$J$29+'VoT5'!$J$30) * $CR$5)</f>
        <v>9.7431135580639125</v>
      </c>
      <c r="AJ35" s="1566">
        <f>IF(ISERROR(MATCH($B35,'A1.3.2'!$B$27:$B$106,0)),"",(AH35*'VoT5'!$F$31 + AI35*'VoT5'!$F$32)/100)</f>
        <v>15.215129680271609</v>
      </c>
      <c r="AK35" s="1566">
        <f>IF(ISERROR(MATCH($B35,'A1.3.2'!$B$27:$B$106,0)),"",(VLOOKUP($B35,'Forecast occupancies'!$C$28:$CP$64,35,TRUE)*VLOOKUP($B35,'A1.3.2'!$B$27:$AY$106,38,)) * $CR$5)</f>
        <v>15.671891727894625</v>
      </c>
      <c r="AL35" s="1566">
        <f>IF(ISERROR(MATCH($B35,'A1.3.2'!$B$27:$B$106,0)),"",(VLOOKUP($B35,'Forecast occupancies'!$C$28:$CP$64,36,TRUE)*VLOOKUP($B35,'A1.3.2'!$B$27:$AY$106,38,)) * $CR$5)</f>
        <v>15.671891727894625</v>
      </c>
      <c r="AM35" s="1565">
        <f>IF(ISERROR(MATCH($B35,'A1.3.2'!$B$27:$B$106,0)),"",(((VLOOKUP($B35,'Forecast occupancies'!$C$28:$CP$64,37,TRUE) -1) * VLOOKUP($B35,'A1.3.2'!$B$27:$AY$106,40,)) + VLOOKUP($B35,'A1.3.2'!$B$27:$AY$106,39,)) * $CR$5)</f>
        <v>19.066243888515995</v>
      </c>
      <c r="AN35" s="1565">
        <f>IF(ISERROR(MATCH($B35,'A1.3.2'!$B$27:$B$106,0)),"",(VLOOKUP($B35,'Forecast occupancies'!$C$28:$CP$64,38,TRUE) * VLOOKUP($B35,'A1.3.2'!$B$27:$AY$106,49,)) * $CR$5)</f>
        <v>34.38118449933966</v>
      </c>
      <c r="AO35" s="1565">
        <f>IF(ISERROR(MATCH($B35,'A1.3.2'!$B$27:$B$106,0)),"",(VLOOKUP($B35,'Forecast occupancies'!$C$28:$CP$64,39,TRUE) * VLOOKUP($B35,'A1.3.2'!$B$27:$AY$106,50,)) * $CR$5)</f>
        <v>43.446421346966844</v>
      </c>
      <c r="AP35" s="1567">
        <f>IF(ISERROR(MATCH($B35,'A1.3.2'!$B$27:$B$106,0)),"",SUM(AM35:AO35))</f>
        <v>96.893849734822496</v>
      </c>
      <c r="AQ35" s="1609">
        <f>IF(ISERROR(MATCH($B35,'A1.3.2'!$B$27:$B$106,0)),"",(((VLOOKUP($B35,'Forecast occupancies'!$C$28:$CP$64,41,TRUE)-1)*VLOOKUP($B35,'A1.3.2'!$B$27:$AY$106,36,)+VLOOKUP($B35,'A1.3.2'!$B$27:$AY$106,35,))*$CR$5))</f>
        <v>22.575001342334808</v>
      </c>
      <c r="AR35" s="1565">
        <f>IF(ISERROR(MATCH($B35,'A1.3.2'!$B$27:$B$106,0)),"",VLOOKUP($B35,'Forecast occupancies'!$C$28:$CP$64,42,TRUE)*VLOOKUP($B35,'A1.3.2'!$B$27:$AY$106,49,)*$CR$5)</f>
        <v>12.531514600919346</v>
      </c>
      <c r="AS35" s="1565">
        <f>IF(ISERROR(MATCH($B35,'A1.3.2'!$B$27:$B$106,0)),"",VLOOKUP($B35,'Forecast occupancies'!$C$28:$CP$64,43,TRUE)*VLOOKUP($B35,'A1.3.2'!$B$27:$AY$106,50,)*$CR$5)</f>
        <v>8.8608972526961995</v>
      </c>
      <c r="AT35" s="1566">
        <f>IF(ISERROR(MATCH($B35,'A1.3.2'!$B$27:$B$106,0)),"",(((AQ35*'VoT5'!$G$28)+(AR35*'VoT5'!$G$29)+(AS35*'VoT5'!$G$30))/100))</f>
        <v>12.041867296357298</v>
      </c>
      <c r="AU35" s="1565">
        <f>IF(ISERROR(MATCH($B35,'A1.3.2'!$B$27:$B$106,0)),"",(VLOOKUP($B35,'Forecast occupancies'!$C$28:$CP$64,45,TRUE) * VLOOKUP($B35, 'A1.3.2'!$B$27:$AY$106,37,)) * $CR$5)</f>
        <v>15.961313696936294</v>
      </c>
      <c r="AV35" s="1565">
        <f>IF(ISERROR(MATCH($B35,'A1.3.2'!$B$27:$B$106,0)),"",VLOOKUP($B35,'Forecast occupancies'!$C$28:$CP$64,46,TRUE) * ('VoT5'!$J$29*VLOOKUP($B35, 'A1.3.2'!$B$27:$AY$106,49,)+'VoT5'!$J$30*VLOOKUP($B35, 'A1.3.2'!$B$27:$AY$106,50,))/('VoT5'!$J$29+'VoT5'!$J$30) * $CR$5)</f>
        <v>9.7431135580639125</v>
      </c>
      <c r="AW35" s="1566">
        <f>IF(ISERROR(MATCH($B35,'A1.3.2'!$B$27:$B$106,0)),"",(AU35*'VoT5'!$G$31 + AV35*'VoT5'!$G$32)/100)</f>
        <v>15.215129680271609</v>
      </c>
      <c r="AX35" s="1566">
        <f>IF(ISERROR(MATCH($B35,'A1.3.2'!$B$27:$B$106,0)),"",(VLOOKUP($B35,'Forecast occupancies'!$C$28:$CP$64,48,TRUE)*VLOOKUP($B35,'A1.3.2'!$B$27:$AY$106,38,)) * $CR$5)</f>
        <v>15.671891727894625</v>
      </c>
      <c r="AY35" s="1566">
        <f>IF(ISERROR(MATCH($B35,'A1.3.2'!$B$27:$B$106,0)),"",(VLOOKUP($B35,'Forecast occupancies'!$C$28:$CP$64,49,TRUE)*VLOOKUP($B35,'A1.3.2'!$B$27:$AY$106,38,)) * $CR$5)</f>
        <v>15.671891727894625</v>
      </c>
      <c r="AZ35" s="1565">
        <f>IF(ISERROR(MATCH($B35,'A1.3.2'!$B$27:$B$106,0)),"",(((VLOOKUP($B35,'Forecast occupancies'!$C$28:$CP$64,50,TRUE) -1) * VLOOKUP($B35,'A1.3.2'!$B$27:$AY$106,40,)) + VLOOKUP($B35,'A1.3.2'!$B$27:$AY$106,39,)) * $CR$5)</f>
        <v>19.050825528960601</v>
      </c>
      <c r="BA35" s="1565">
        <f>IF(ISERROR(MATCH($B35,'A1.3.2'!$B$27:$B$106,0)),"",(VLOOKUP($B35,'Forecast occupancies'!$C$28:$CP$64,51,TRUE) * VLOOKUP($B35,'A1.3.2'!$B$27:$AY$106,49,)) * $CR$5)</f>
        <v>46.998225197925791</v>
      </c>
      <c r="BB35" s="1565">
        <f>IF(ISERROR(MATCH($B35,'A1.3.2'!$B$27:$B$106,0)),"",(VLOOKUP($B35,'Forecast occupancies'!$C$28:$CP$64,52,TRUE) * VLOOKUP($B35,'A1.3.2'!$B$27:$AY$106,50,)) * $CR$5)</f>
        <v>37.694612930557</v>
      </c>
      <c r="BC35" s="1567">
        <f>IF(ISERROR(MATCH($B35,'A1.3.2'!$B$27:$B$106,0)),"",SUM(AZ35:BB35))</f>
        <v>103.74366365744339</v>
      </c>
      <c r="BD35" s="1565">
        <f>IF(ISERROR(MATCH($B35,'A1.3.2'!$B$27:$B$106,0)),"",(((VLOOKUP($B35,'Forecast occupancies'!$C$28:$CP$64,54,TRUE)-1)*VLOOKUP($B35,'A1.3.2'!$B$27:$AY$106,36,)+VLOOKUP($B35,'A1.3.2'!$B$27:$AY$106,35,))*$CR$5))</f>
        <v>22.195221414029248</v>
      </c>
      <c r="BE35" s="1565">
        <f>IF(ISERROR(MATCH($B35,'A1.3.2'!$B$27:$B$106,0)),"",VLOOKUP($B35,'Forecast occupancies'!$C$28:$CP$64,55,TRUE)*VLOOKUP($B35,'A1.3.2'!$B$27:$AY$106,49,)*$CR$5)</f>
        <v>12.392742269113887</v>
      </c>
      <c r="BF35" s="1565">
        <f>IF(ISERROR(MATCH($B35,'A1.3.2'!$B$27:$B$106,0)),"",VLOOKUP($B35,'Forecast occupancies'!$C$28:$CP$64,56,TRUE)*VLOOKUP($B35,'A1.3.2'!$B$27:$AY$106,50,)*$CR$5)</f>
        <v>8.8829134788125312</v>
      </c>
      <c r="BG35" s="1566">
        <f>IF(ISERROR(MATCH($B35,'A1.3.2'!$B$27:$B$106,0)),"",(((BD35*'VoT5'!$H$28)+(BE35*'VoT5'!$H$29)+(BF35*'VoT5'!$H$30))/100))</f>
        <v>11.95514626584456</v>
      </c>
      <c r="BH35" s="1565">
        <f>IF(ISERROR(MATCH($B35,'A1.3.2'!$B$27:$B$106,0)),"",(VLOOKUP($B35,'Forecast occupancies'!$C$28:$CP$64,58,TRUE) * VLOOKUP($B35, 'A1.3.2'!$B$27:$AY$106,37,)) * $CR$5)</f>
        <v>15.961313696936294</v>
      </c>
      <c r="BI35" s="1565">
        <f>IF(ISERROR(MATCH($B35,'A1.3.2'!$B$27:$B$106,0)),"",(VLOOKUP($B35,'Forecast occupancies'!$C$28:$CP$64,59,TRUE) * (VLOOKUP($B35,'A1.3.2'!$B$27:$AY$106,49,) * 'VoT5'!$J$29 + VLOOKUP($B35,'A1.3.2'!$B$27:$AY$106,50,) * 'VoT5'!$J$30) / (SUM('VoT5'!$J$29:$J$30))) * $CR$5)</f>
        <v>9.7431135580639125</v>
      </c>
      <c r="BJ35" s="1566">
        <f>IF(ISERROR(MATCH($B35,'A1.3.2'!$B$27:$B$106,0)),"",(BH35*'VoT5'!$H$31 + BI35*'VoT5'!$H$32)/100)</f>
        <v>15.215129680271609</v>
      </c>
      <c r="BK35" s="1566">
        <f>IF(ISERROR(MATCH($B35,'A1.3.2'!$B$27:$B$106,0)),"",(VLOOKUP($B35,'Forecast occupancies'!$C$28:$CP$64,61,TRUE)*VLOOKUP($B35,'A1.3.2'!$B$27:$AY$106,38,)) * $CR$5)</f>
        <v>15.671891727894625</v>
      </c>
      <c r="BL35" s="1566">
        <f>IF(ISERROR(MATCH($B35,'A1.3.2'!$B$27:$B$106,0)),"",(VLOOKUP($B35,'Forecast occupancies'!$C$28:$CP$64,62,TRUE)*VLOOKUP($B35,'A1.3.2'!$B$27:$AY$106,38,)) * $CR$5)</f>
        <v>15.671891727894625</v>
      </c>
      <c r="BM35" s="1565">
        <f>IF(ISERROR(MATCH($B35,'A1.3.2'!$B$27:$B$106,0)),"",(((VLOOKUP($B35,'Forecast occupancies'!$C$28:$CP$64,63,TRUE) -1) * VLOOKUP($B35,'A1.3.2'!$B$27:$AY$106,40,)) + VLOOKUP($B35,'A1.3.2'!$B$27:$AY$106,39,)) * $CR$5)</f>
        <v>18.368639491337291</v>
      </c>
      <c r="BN35" s="1565">
        <f>IF(ISERROR(MATCH($B35,'A1.3.2'!$B$27:$B$106,0)),"",(VLOOKUP($B35,'Forecast occupancies'!$C$28:$CP$64,64,TRUE) * VLOOKUP($B35,'A1.3.2'!$B$27:$AY$106,49,)) * $CR$5)</f>
        <v>21.216573370466573</v>
      </c>
      <c r="BO35" s="1565">
        <f>IF(ISERROR(MATCH($B35,'A1.3.2'!$B$27:$B$106,0)),"",(VLOOKUP($B35,'Forecast occupancies'!$C$28:$CP$64,65,TRUE) * VLOOKUP($B35,'A1.3.2'!$B$27:$AY$106,50,)) * $CR$5)</f>
        <v>49.771299105688641</v>
      </c>
      <c r="BP35" s="1567">
        <f>IF(ISERROR(MATCH($B35,'A1.3.2'!$B$27:$B$106,0)),"",SUM(BM35:BO35))</f>
        <v>89.356511967492509</v>
      </c>
      <c r="BQ35" s="1565">
        <f>IF(ISERROR(MATCH($B35,'A1.3.2'!$B$27:$B$106,0)),"",(((VLOOKUP($B35,'Forecast occupancies'!$C$28:$CP$64,67,TRUE)-1)*VLOOKUP($B35,'A1.3.2'!$B$27:$AY$106,36,)+VLOOKUP($B35,'A1.3.2'!$B$27:$AY$106,35,))*$CR$5))</f>
        <v>25.366359589832591</v>
      </c>
      <c r="BR35" s="1565">
        <f>IF(ISERROR(MATCH($B35,'A1.3.2'!$B$27:$B$106,0)),"",VLOOKUP($B35,'Forecast occupancies'!$C$28:$CP$64,68,TRUE)*VLOOKUP($B35,'A1.3.2'!$B$27:$AY$106,49,)*$CR$5)</f>
        <v>13.120839822208401</v>
      </c>
      <c r="BS35" s="1565">
        <f>IF(ISERROR(MATCH($B35,'A1.3.2'!$B$27:$B$106,0)),"",VLOOKUP($B35,'Forecast occupancies'!$C$28:$CP$64,69,TRUE)*VLOOKUP($B35,'A1.3.2'!$B$27:$AY$106,50,)*$CR$5)</f>
        <v>10.517583692595162</v>
      </c>
      <c r="BT35" s="1566">
        <f>IF(ISERROR(MATCH($B35,'A1.3.2'!$B$27:$B$106,0)),"",(((BQ35*'VoT5'!$I$28)+(BR35*'VoT5'!$I$29)+(BS35*'VoT5'!$I$30))/100))</f>
        <v>11.238701461145462</v>
      </c>
      <c r="BU35" s="1565">
        <f>IF(ISERROR(MATCH($B35,'A1.3.2'!$B$27:$B$106,0)),"",(VLOOKUP($B35,'Forecast occupancies'!$C$28:$CP$64,71,TRUE) * VLOOKUP($B35, 'A1.3.2'!$B$27:$AY$106,37,)) * $CR$5)</f>
        <v>16.759379381783109</v>
      </c>
      <c r="BV35" s="1565">
        <f>IF(ISERROR(MATCH($B35,'A1.3.2'!$B$27:$B$106,0)),"",(VLOOKUP($B35,'Forecast occupancies'!$C$28:$CP$64,72,TRUE) * (VLOOKUP($B35,'A1.3.2'!$B$27:$AY$106,49,)*'VoT5'!$J$29 + VLOOKUP($B35,'A1.3.2'!$B$27:$AY$106,50,)*'VoT5'!$J$30) / (SUM('VoT5'!$J$29:$J$30))) * $CR$5)</f>
        <v>13.546931864979273</v>
      </c>
      <c r="BW35" s="1566">
        <f>IF(ISERROR(MATCH($B35,'A1.3.2'!$B$27:$B$106,0)),"",(BU35*'VoT5'!$I$31 + BV35*'VoT5'!$I$32)/100)</f>
        <v>16.373885679766648</v>
      </c>
      <c r="BX35" s="1566">
        <f>IF(ISERROR(MATCH($B35,'A1.3.2'!$B$27:$B$106,0)),"",(VLOOKUP($B35,'Forecast occupancies'!$C$28:$CP$64,74,TRUE)*VLOOKUP($B35,'A1.3.2'!$B$27:$AY$106,38,)) * $CR$5)</f>
        <v>15.671891727894625</v>
      </c>
      <c r="BY35" s="1566">
        <f>IF(ISERROR(MATCH($B35,'A1.3.2'!$B$27:$B$106,0)),"",(VLOOKUP($B35,'Forecast occupancies'!$C$28:$CP$64,75,TRUE)*VLOOKUP($B35,'A1.3.2'!$B$27:$AY$106,38,)) * $CR$5)</f>
        <v>15.671891727894625</v>
      </c>
      <c r="BZ35" s="1565">
        <f>IF(ISERROR(MATCH($B35,'A1.3.2'!$B$27:$B$106,0)),"",(((VLOOKUP($B35,'Forecast occupancies'!$C$28:$CP$64,76,TRUE) -1) * VLOOKUP($B35,'A1.3.2'!$B$27:$AY$106,40,)) + VLOOKUP($B35,'A1.3.2'!$B$27:$AY$106,39,)) * $CR$5)</f>
        <v>16.728949911307467</v>
      </c>
      <c r="CA35" s="1565">
        <f>IF(ISERROR(MATCH($B35,'A1.3.2'!$B$27:$B$106,0)),"",(VLOOKUP($B35,'Forecast occupancies'!$C$28:$CP$64,77,TRUE) * VLOOKUP($B35,'A1.3.2'!$B$27:$AY$106,49,)) * $CR$5)</f>
        <v>8.0376566870391457</v>
      </c>
      <c r="CB35" s="1565">
        <f>IF(ISERROR(MATCH($B35,'A1.3.2'!$B$27:$B$106,0)),"",(VLOOKUP($B35,'Forecast occupancies'!$C$28:$CP$64,78,TRUE) * VLOOKUP($B35,'A1.3.2'!$B$27:$AY$106,50,)) * $CR$5)</f>
        <v>56.529659158039692</v>
      </c>
      <c r="CC35" s="1567">
        <f>IF(ISERROR(MATCH($B35,'A1.3.2'!$B$27:$B$106,0)),"",SUM(BZ35:CB35))</f>
        <v>81.296265756386305</v>
      </c>
      <c r="CD35" s="1565">
        <f>IF(ISERROR(MATCH($B35,'A1.3.2'!$B$27:$B$106,0)),"",(((VLOOKUP($B35,'Forecast occupancies'!$C$28:$CP$64,80,TRUE)-1)*VLOOKUP($B35,'A1.3.2'!$B$27:$AY$106,36,)+VLOOKUP($B35,'A1.3.2'!$B$27:$AY$106,35,))*$CR$5))</f>
        <v>22.420317672727958</v>
      </c>
      <c r="CE35" s="1565">
        <f>IF(ISERROR(MATCH($B35,'A1.3.2'!$B$27:$B$106,0)),"",VLOOKUP($B35,'Forecast occupancies'!$C$28:$CP$64,81,TRUE)*VLOOKUP($B35,'A1.3.2'!$B$27:$AY$106,49,)*$CR$5)</f>
        <v>12.451645841100282</v>
      </c>
      <c r="CF35" s="1565">
        <f>IF(ISERROR(MATCH($B35,'A1.3.2'!$B$27:$B$106,0)),"",VLOOKUP($B35,'Forecast occupancies'!$C$28:$CP$64,82,TRUE)*VLOOKUP($B35,'A1.3.2'!$B$27:$AY$106,50,)*$CR$5)</f>
        <v>9.459736980681642</v>
      </c>
      <c r="CG35" s="1566">
        <f>IF(ISERROR(MATCH($B35,'A1.3.2'!$B$27:$B$106,0)),"",(((CD35*'VoT5'!$J$28)+(CE35*'VoT5'!$J$29)+(CF35*'VoT5'!$J$30))/100))</f>
        <v>11.785280605097368</v>
      </c>
      <c r="CH35" s="1565">
        <f>IF(ISERROR(MATCH($B35,'A1.3.2'!$B$27:$B$106,0)),"",(VLOOKUP($B35,'Forecast occupancies'!$C$28:$CP$64,84,TRUE) * VLOOKUP($B35, 'A1.3.2'!$B$27:$AY$106,37,)) * $CR$5)</f>
        <v>15.961313696936294</v>
      </c>
      <c r="CI35" s="1565">
        <f>IF(ISERROR(MATCH($B35,'A1.3.2'!$B$27:$B$106,0)),"",(VLOOKUP($B35,'Forecast occupancies'!$C$28:$CP$64,85,TRUE) * (VLOOKUP($B35,'A1.3.2'!$B$27:$AY$106,49,)*'VoT5'!$J$29 + VLOOKUP($B35,'A1.3.2'!$B$27:$AY$106,50,)*'VoT5'!$J$30) / (SUM('VoT5'!$J$29:$J$30))) * $CR$5)</f>
        <v>10.610651066658646</v>
      </c>
      <c r="CJ35" s="1566">
        <f>IF(ISERROR(MATCH($B35,'A1.3.2'!$B$27:$B$106,0)),"",(CH35*'VoT5'!$J$31 + CI35*'VoT5'!$J$32)/100)</f>
        <v>15.319234181302978</v>
      </c>
      <c r="CK35" s="1566">
        <f>IF(ISERROR(MATCH($B35,'A1.3.2'!$B$27:$B$106,0)),"",(VLOOKUP($B35,'Forecast occupancies'!$C$28:$CP$64,87,TRUE)*VLOOKUP($B35,'A1.3.2'!$B$27:$AY$106,38,)) * $CR$5)</f>
        <v>15.671891727894625</v>
      </c>
      <c r="CL35" s="1566">
        <f>IF(ISERROR(MATCH($B35,'A1.3.2'!$B$27:$B$106,0)),"",(VLOOKUP($B35,'Forecast occupancies'!$C$28:$CP$64,88,TRUE)*VLOOKUP($B35,'A1.3.2'!$B$27:$AY$106,38,)) * $CR$5)</f>
        <v>15.671891727894625</v>
      </c>
      <c r="CM35" s="1565">
        <f>IF(ISERROR(MATCH($B35,'A1.3.2'!$B$27:$B$106,0)),"",(((VLOOKUP($B35,'Forecast occupancies'!$C$28:$CP$64,89,TRUE) -1) * VLOOKUP($B35,'A1.3.2'!$B$27:$AY$106,40,)) + VLOOKUP($B35,'A1.3.2'!$B$27:$AY$106,39,)) * $CR$5)</f>
        <v>17.963733070293188</v>
      </c>
      <c r="CN35" s="1565">
        <f>IF(ISERROR(MATCH($B35,'A1.3.2'!$B$27:$B$106,0)),"",(VLOOKUP($B35,'Forecast occupancies'!$C$28:$CP$64,90,TRUE) * VLOOKUP($B35,'A1.3.2'!$B$27:$AY$106,49,)) * $CR$5)</f>
        <v>17.961532659874599</v>
      </c>
      <c r="CO35" s="1565">
        <f>IF(ISERROR(MATCH($B35,'A1.3.2'!$B$27:$B$106,0)),"",(VLOOKUP($B35,'Forecast occupancies'!$C$28:$CP$64,91,TRUE) * VLOOKUP($B35,'A1.3.2'!$B$27:$AY$106,50,)) * $CR$5)</f>
        <v>51.440500876097488</v>
      </c>
      <c r="CP35" s="1567">
        <f>IF(ISERROR(MATCH($B35,'A1.3.2'!$B$27:$B$106,0)),"",SUM(CM35:CO35))</f>
        <v>87.365766606265282</v>
      </c>
    </row>
    <row r="36" spans="1:94" s="26" customFormat="1" ht="13.5" customHeight="1">
      <c r="A36" s="113"/>
      <c r="B36" s="82">
        <f t="shared" si="0"/>
        <v>2018</v>
      </c>
      <c r="D36" s="1609">
        <f>IF(ISERROR(MATCH($B36,'A1.3.2'!$B$27:$B$106,0)),"",(((VLOOKUP($B36,'Forecast occupancies'!$C$28:$CP$64,2,TRUE) -1) * VLOOKUP($B36,'A1.3.2'!$B$27:$AY$106,36,) + VLOOKUP($B36,'A1.3.2'!$B$27:$AY$106,35,)) * $CR$5))</f>
        <v>22.007862522790809</v>
      </c>
      <c r="E36" s="1565">
        <f>IF(ISERROR(MATCH($B36,'A1.3.2'!$B$27:$B$106,0)),"",VLOOKUP($B36,'Forecast occupancies'!$C$28:$CP$64,3,TRUE)*VLOOKUP($B36,'A1.3.2'!$B$27:$AY$106,49,)*$CR$5)</f>
        <v>12.402551173906865</v>
      </c>
      <c r="F36" s="1565">
        <f>IF(ISERROR(MATCH($B36,'A1.3.2'!$B$27:$B$106,0)),"",VLOOKUP($B36,'Forecast occupancies'!$C$28:$CP$64,4,TRUE)*VLOOKUP($B36,'A1.3.2'!$B$27:$AY$106,50,)*$CR$5)</f>
        <v>8.5567994457311833</v>
      </c>
      <c r="G36" s="1566">
        <f>IF(ISERROR(MATCH($B36,'A1.3.2'!$B$27:$B$106,0)),"",(((D36*'VoT5'!$D$28)+(E36*'VoT5'!$D$29)+(F36*'VoT5'!$D$30))/100))</f>
        <v>12.465361647717529</v>
      </c>
      <c r="H36" s="1565">
        <f>IF(ISERROR(MATCH($B36,'A1.3.2'!$B$27:$B$106,0)),"",(VLOOKUP($B36,'Forecast occupancies'!$C$28:$CP$64,6,TRUE) * VLOOKUP($B36, 'A1.3.2'!$B$27:$AY$106,37,)) * $CR$5)</f>
        <v>16.083545879966422</v>
      </c>
      <c r="I36" s="1565">
        <f>IF(ISERROR(MATCH($B36,'A1.3.2'!$B$27:$B$106,0)),"",VLOOKUP($B36,'Forecast occupancies'!$C$28:$CP$64,7,TRUE) * ('VoT5'!$J$29*VLOOKUP($B36, 'A1.3.2'!$B$27:$AY$106,49,)+'VoT5'!$J$30*VLOOKUP($B36, 'A1.3.2'!$B$27:$AY$106,50,))/('VoT5'!$J$29+'VoT5'!$J$30) * $CR$5)</f>
        <v>9.817726591948535</v>
      </c>
      <c r="J36" s="1566">
        <f>IF(ISERROR(MATCH($B36,'A1.3.2'!$B$27:$B$106,0)),"",(H36*'VoT5'!$D$31 + I36*'VoT5'!$D$32)/100)</f>
        <v>15.331647565404275</v>
      </c>
      <c r="K36" s="1566">
        <f>IF(ISERROR(MATCH($B36,'A1.3.2'!$B$27:$B$106,0)),"",(VLOOKUP($B36,'Forecast occupancies'!$C$28:$CP$64,9,TRUE)*VLOOKUP($B36,'A1.3.2'!$B$27:$AY$106,38,)) * $CR$5)</f>
        <v>15.791907509457769</v>
      </c>
      <c r="L36" s="1566">
        <f>IF(ISERROR(MATCH($B36,'A1.3.2'!$B$27:$B$106,0)),"",(VLOOKUP($B36,'Forecast occupancies'!$C$28:$CP$64,10,TRUE)*VLOOKUP($B36,'A1.3.2'!$B$27:$AY$106,38,)) * $CR$5)</f>
        <v>15.791907509457769</v>
      </c>
      <c r="M36" s="1565">
        <f>IF(ISERROR(MATCH($B36,'A1.3.2'!$B$27:$B$106,0)),"",(((VLOOKUP($B36,'Forecast occupancies'!$C$28:$CP$64,11,TRUE) -1) * VLOOKUP($B36,'A1.3.2'!$B$27:$AY$106,40,)) + VLOOKUP($B36,'A1.3.2'!$B$27:$AY$106,39,)) * $CR$5)</f>
        <v>17.995021383659509</v>
      </c>
      <c r="N36" s="1565">
        <f>IF(ISERROR(MATCH($B36,'A1.3.2'!$B$27:$B$106,0)),"",(VLOOKUP($B36,'Forecast occupancies'!$C$28:$CP$64,12,TRUE) * VLOOKUP($B36,'A1.3.2'!$B$27:$AY$106,49,)) * $CR$5)</f>
        <v>24.633838210402633</v>
      </c>
      <c r="O36" s="1565">
        <f>IF(ISERROR(MATCH($B36,'A1.3.2'!$B$27:$B$106,0)),"",(VLOOKUP($B36,'Forecast occupancies'!$C$28:$CP$64,13,TRUE) * VLOOKUP($B36,'A1.3.2'!$B$27:$AY$106,50,)) * $CR$5)</f>
        <v>48.899940450685406</v>
      </c>
      <c r="P36" s="1567">
        <f>IF(ISERROR(MATCH($B36,'A1.3.2'!$B$27:$B$106,0)),"",SUM(M36:O36))</f>
        <v>91.528800044747555</v>
      </c>
      <c r="Q36" s="1609">
        <f>IF(ISERROR(MATCH($B36,'A1.3.2'!$B$27:$B$106,0)),"",(((VLOOKUP($B36,'Forecast occupancies'!$C$28:$CP$64,15,TRUE)-1)*VLOOKUP($B36,'A1.3.2'!$B$27:$AY$106,36,)+VLOOKUP($B36,'A1.3.2'!$B$27:$AY$106,35,))*$CR$5))</f>
        <v>22.551954330122619</v>
      </c>
      <c r="R36" s="1565">
        <f>IF(ISERROR(MATCH($B36,'A1.3.2'!$B$27:$B$106,0)),"",VLOOKUP($B36,'Forecast occupancies'!$C$28:$CP$64,16,TRUE)*VLOOKUP($B36,'A1.3.2'!$B$27:$AY$106,49,)*$CR$5)</f>
        <v>12.604217812536385</v>
      </c>
      <c r="S36" s="1565">
        <f>IF(ISERROR(MATCH($B36,'A1.3.2'!$B$27:$B$106,0)),"",VLOOKUP($B36,'Forecast occupancies'!$C$28:$CP$64,17,TRUE)*VLOOKUP($B36,'A1.3.2'!$B$27:$AY$106,50,)*$CR$5)</f>
        <v>9.1150126977589103</v>
      </c>
      <c r="T36" s="1566">
        <f>IF(ISERROR(MATCH($B36,'A1.3.2'!$B$27:$B$106,0)),"",(((Q36*'VoT5'!$E$28)+(R36*'VoT5'!$E$29)+(S36*'VoT5'!$E$30))/100))</f>
        <v>11.73999768315363</v>
      </c>
      <c r="U36" s="1565">
        <f>IF(ISERROR(MATCH($B36,'A1.3.2'!$B$27:$B$106,0)),"",(VLOOKUP($B36,'Forecast occupancies'!$C$28:$CP$64,19,TRUE) * VLOOKUP($B36, 'A1.3.2'!$B$27:$AY$106,37,)) * $CR$5)</f>
        <v>16.083545879966422</v>
      </c>
      <c r="V36" s="1565">
        <f>IF(ISERROR(MATCH($B36,'A1.3.2'!$B$27:$B$106,0)),"",VLOOKUP($B36,'Forecast occupancies'!$C$28:$CP$64,20,TRUE) * ('VoT5'!$J$29*VLOOKUP($B36, 'A1.3.2'!$B$27:$AY$106,49,)+'VoT5'!$J$30*VLOOKUP($B36, 'A1.3.2'!$B$27:$AY$106,50,))/('VoT5'!$J$29+'VoT5'!$J$30) * $CR$5)</f>
        <v>9.817726591948535</v>
      </c>
      <c r="W36" s="1566">
        <f>IF(ISERROR(MATCH($B36,'A1.3.2'!$B$27:$B$106,0)),"",(U36*'VoT5'!$E$31 + V36*'VoT5'!$E$32)/100)</f>
        <v>15.331647565404275</v>
      </c>
      <c r="X36" s="1566">
        <f>IF(ISERROR(MATCH($B36,'A1.3.2'!$B$27:$B$106,0)),"",(VLOOKUP($B36,'Forecast occupancies'!$C$28:$CP$64,22,TRUE)*VLOOKUP($B36,'A1.3.2'!$B$27:$AY$106,38,)) * $CR$5)</f>
        <v>15.791907509457769</v>
      </c>
      <c r="Y36" s="1566">
        <f>IF(ISERROR(MATCH($B36,'A1.3.2'!$B$27:$B$106,0)),"",(VLOOKUP($B36,'Forecast occupancies'!$C$28:$CP$64,23,TRUE)*VLOOKUP($B36,'A1.3.2'!$B$27:$AY$106,38,)) * $CR$5)</f>
        <v>15.791907509457769</v>
      </c>
      <c r="Z36" s="1565">
        <f>IF(ISERROR(MATCH($B36,'A1.3.2'!$B$27:$B$106,0)),"",(((VLOOKUP($B36,'Forecast occupancies'!$C$28:$CP$64,24,TRUE) -1) * VLOOKUP($B36,'A1.3.2'!$B$27:$AY$106,40,)) + VLOOKUP($B36,'A1.3.2'!$B$27:$AY$106,39,)) * $CR$5)</f>
        <v>18.362315772638549</v>
      </c>
      <c r="AA36" s="1565">
        <f>IF(ISERROR(MATCH($B36,'A1.3.2'!$B$27:$B$106,0)),"",(VLOOKUP($B36,'Forecast occupancies'!$C$28:$CP$64,25,TRUE) * VLOOKUP($B36,'A1.3.2'!$B$27:$AY$106,49,)) * $CR$5)</f>
        <v>8.6333764068022223</v>
      </c>
      <c r="AB36" s="1565">
        <f>IF(ISERROR(MATCH($B36,'A1.3.2'!$B$27:$B$106,0)),"",(VLOOKUP($B36,'Forecast occupancies'!$C$28:$CP$64,26,TRUE) * VLOOKUP($B36,'A1.3.2'!$B$27:$AY$106,50,)) * $CR$5)</f>
        <v>56.036573652843586</v>
      </c>
      <c r="AC36" s="1567">
        <f>IF(ISERROR(MATCH($B36,'A1.3.2'!$B$27:$B$106,0)),"",SUM(Z36:AB36))</f>
        <v>83.032265832284367</v>
      </c>
      <c r="AD36" s="1609">
        <f>IF(ISERROR(MATCH($B36,'A1.3.2'!$B$27:$B$106,0)),"",(((VLOOKUP($B36,'Forecast occupancies'!$C$28:$CP$64,28,TRUE)-1)*VLOOKUP($B36,'A1.3.2'!$B$27:$AY$106,36,)+VLOOKUP($B36,'A1.3.2'!$B$27:$AY$106,35,))*$CR$5))</f>
        <v>22.325469554816294</v>
      </c>
      <c r="AE36" s="1565">
        <f>IF(ISERROR(MATCH($B36,'A1.3.2'!$B$27:$B$106,0)),"",VLOOKUP($B36,'Forecast occupancies'!$C$28:$CP$64,29,TRUE)*VLOOKUP($B36,'A1.3.2'!$B$27:$AY$106,49,)*$CR$5)</f>
        <v>12.445332000707994</v>
      </c>
      <c r="AF36" s="1565">
        <f>IF(ISERROR(MATCH($B36,'A1.3.2'!$B$27:$B$106,0)),"",VLOOKUP($B36,'Forecast occupancies'!$C$28:$CP$64,30,TRUE)*VLOOKUP($B36,'A1.3.2'!$B$27:$AY$106,50,)*$CR$5)</f>
        <v>8.9607460780571841</v>
      </c>
      <c r="AG36" s="1566">
        <f>IF(ISERROR(MATCH($B36,'A1.3.2'!$B$27:$B$106,0)),"",(((AD36*'VoT5'!$F$28)+(AE36*'VoT5'!$F$29)+(AF36*'VoT5'!$F$30))/100))</f>
        <v>11.976653536437709</v>
      </c>
      <c r="AH36" s="1565">
        <f>IF(ISERROR(MATCH($B36,'A1.3.2'!$B$27:$B$106,0)),"",(VLOOKUP($B36,'Forecast occupancies'!$C$28:$CP$64,32,TRUE) * VLOOKUP($B36, 'A1.3.2'!$B$27:$AY$106,37,)) * $CR$5)</f>
        <v>16.083545879966422</v>
      </c>
      <c r="AI36" s="1565">
        <f>IF(ISERROR(MATCH($B36,'A1.3.2'!$B$27:$B$106,0)),"",VLOOKUP($B36,'Forecast occupancies'!$C$28:$CP$64,33,TRUE) * ('VoT5'!$J$29*VLOOKUP($B36, 'A1.3.2'!$B$27:$AY$106,49,)+'VoT5'!$J$30*VLOOKUP($B36, 'A1.3.2'!$B$27:$AY$106,50,))/('VoT5'!$J$29+'VoT5'!$J$30) * $CR$5)</f>
        <v>9.817726591948535</v>
      </c>
      <c r="AJ36" s="1566">
        <f>IF(ISERROR(MATCH($B36,'A1.3.2'!$B$27:$B$106,0)),"",(AH36*'VoT5'!$F$31 + AI36*'VoT5'!$F$32)/100)</f>
        <v>15.331647565404275</v>
      </c>
      <c r="AK36" s="1566">
        <f>IF(ISERROR(MATCH($B36,'A1.3.2'!$B$27:$B$106,0)),"",(VLOOKUP($B36,'Forecast occupancies'!$C$28:$CP$64,35,TRUE)*VLOOKUP($B36,'A1.3.2'!$B$27:$AY$106,38,)) * $CR$5)</f>
        <v>15.791907509457769</v>
      </c>
      <c r="AL36" s="1566">
        <f>IF(ISERROR(MATCH($B36,'A1.3.2'!$B$27:$B$106,0)),"",(VLOOKUP($B36,'Forecast occupancies'!$C$28:$CP$64,36,TRUE)*VLOOKUP($B36,'A1.3.2'!$B$27:$AY$106,38,)) * $CR$5)</f>
        <v>15.791907509457769</v>
      </c>
      <c r="AM36" s="1565">
        <f>IF(ISERROR(MATCH($B36,'A1.3.2'!$B$27:$B$106,0)),"",(((VLOOKUP($B36,'Forecast occupancies'!$C$28:$CP$64,37,TRUE) -1) * VLOOKUP($B36,'A1.3.2'!$B$27:$AY$106,40,)) + VLOOKUP($B36,'A1.3.2'!$B$27:$AY$106,39,)) * $CR$5)</f>
        <v>19.212253713078585</v>
      </c>
      <c r="AN36" s="1565">
        <f>IF(ISERROR(MATCH($B36,'A1.3.2'!$B$27:$B$106,0)),"",(VLOOKUP($B36,'Forecast occupancies'!$C$28:$CP$64,38,TRUE) * VLOOKUP($B36,'A1.3.2'!$B$27:$AY$106,49,)) * $CR$5)</f>
        <v>34.64447656390967</v>
      </c>
      <c r="AO36" s="1565">
        <f>IF(ISERROR(MATCH($B36,'A1.3.2'!$B$27:$B$106,0)),"",(VLOOKUP($B36,'Forecast occupancies'!$C$28:$CP$64,39,TRUE) * VLOOKUP($B36,'A1.3.2'!$B$27:$AY$106,50,)) * $CR$5)</f>
        <v>43.779135246769826</v>
      </c>
      <c r="AP36" s="1567">
        <f>IF(ISERROR(MATCH($B36,'A1.3.2'!$B$27:$B$106,0)),"",SUM(AM36:AO36))</f>
        <v>97.635865523758085</v>
      </c>
      <c r="AQ36" s="1609">
        <f>IF(ISERROR(MATCH($B36,'A1.3.2'!$B$27:$B$106,0)),"",(((VLOOKUP($B36,'Forecast occupancies'!$C$28:$CP$64,41,TRUE)-1)*VLOOKUP($B36,'A1.3.2'!$B$27:$AY$106,36,)+VLOOKUP($B36,'A1.3.2'!$B$27:$AY$106,35,))*$CR$5))</f>
        <v>22.747881328805551</v>
      </c>
      <c r="AR36" s="1565">
        <f>IF(ISERROR(MATCH($B36,'A1.3.2'!$B$27:$B$106,0)),"",VLOOKUP($B36,'Forecast occupancies'!$C$28:$CP$64,42,TRUE)*VLOOKUP($B36,'A1.3.2'!$B$27:$AY$106,49,)*$CR$5)</f>
        <v>12.627481287335536</v>
      </c>
      <c r="AS36" s="1565">
        <f>IF(ISERROR(MATCH($B36,'A1.3.2'!$B$27:$B$106,0)),"",VLOOKUP($B36,'Forecast occupancies'!$C$28:$CP$64,43,TRUE)*VLOOKUP($B36,'A1.3.2'!$B$27:$AY$106,50,)*$CR$5)</f>
        <v>8.9287542496431751</v>
      </c>
      <c r="AT36" s="1566">
        <f>IF(ISERROR(MATCH($B36,'A1.3.2'!$B$27:$B$106,0)),"",(((AQ36*'VoT5'!$G$28)+(AR36*'VoT5'!$G$29)+(AS36*'VoT5'!$G$30))/100))</f>
        <v>12.134084250133187</v>
      </c>
      <c r="AU36" s="1565">
        <f>IF(ISERROR(MATCH($B36,'A1.3.2'!$B$27:$B$106,0)),"",(VLOOKUP($B36,'Forecast occupancies'!$C$28:$CP$64,45,TRUE) * VLOOKUP($B36, 'A1.3.2'!$B$27:$AY$106,37,)) * $CR$5)</f>
        <v>16.083545879966422</v>
      </c>
      <c r="AV36" s="1565">
        <f>IF(ISERROR(MATCH($B36,'A1.3.2'!$B$27:$B$106,0)),"",VLOOKUP($B36,'Forecast occupancies'!$C$28:$CP$64,46,TRUE) * ('VoT5'!$J$29*VLOOKUP($B36, 'A1.3.2'!$B$27:$AY$106,49,)+'VoT5'!$J$30*VLOOKUP($B36, 'A1.3.2'!$B$27:$AY$106,50,))/('VoT5'!$J$29+'VoT5'!$J$30) * $CR$5)</f>
        <v>9.817726591948535</v>
      </c>
      <c r="AW36" s="1566">
        <f>IF(ISERROR(MATCH($B36,'A1.3.2'!$B$27:$B$106,0)),"",(AU36*'VoT5'!$G$31 + AV36*'VoT5'!$G$32)/100)</f>
        <v>15.331647565404275</v>
      </c>
      <c r="AX36" s="1566">
        <f>IF(ISERROR(MATCH($B36,'A1.3.2'!$B$27:$B$106,0)),"",(VLOOKUP($B36,'Forecast occupancies'!$C$28:$CP$64,48,TRUE)*VLOOKUP($B36,'A1.3.2'!$B$27:$AY$106,38,)) * $CR$5)</f>
        <v>15.791907509457769</v>
      </c>
      <c r="AY36" s="1566">
        <f>IF(ISERROR(MATCH($B36,'A1.3.2'!$B$27:$B$106,0)),"",(VLOOKUP($B36,'Forecast occupancies'!$C$28:$CP$64,49,TRUE)*VLOOKUP($B36,'A1.3.2'!$B$27:$AY$106,38,)) * $CR$5)</f>
        <v>15.791907509457769</v>
      </c>
      <c r="AZ36" s="1565">
        <f>IF(ISERROR(MATCH($B36,'A1.3.2'!$B$27:$B$106,0)),"",(((VLOOKUP($B36,'Forecast occupancies'!$C$28:$CP$64,50,TRUE) -1) * VLOOKUP($B36,'A1.3.2'!$B$27:$AY$106,40,)) + VLOOKUP($B36,'A1.3.2'!$B$27:$AY$106,39,)) * $CR$5)</f>
        <v>19.196717279298035</v>
      </c>
      <c r="BA36" s="1565">
        <f>IF(ISERROR(MATCH($B36,'A1.3.2'!$B$27:$B$106,0)),"",(VLOOKUP($B36,'Forecast occupancies'!$C$28:$CP$64,51,TRUE) * VLOOKUP($B36,'A1.3.2'!$B$27:$AY$106,49,)) * $CR$5)</f>
        <v>47.358138910140276</v>
      </c>
      <c r="BB36" s="1565">
        <f>IF(ISERROR(MATCH($B36,'A1.3.2'!$B$27:$B$106,0)),"",(VLOOKUP($B36,'Forecast occupancies'!$C$28:$CP$64,52,TRUE) * VLOOKUP($B36,'A1.3.2'!$B$27:$AY$106,50,)) * $CR$5)</f>
        <v>37.983279321961987</v>
      </c>
      <c r="BC36" s="1567">
        <f>IF(ISERROR(MATCH($B36,'A1.3.2'!$B$27:$B$106,0)),"",SUM(AZ36:BB36))</f>
        <v>104.5381355114003</v>
      </c>
      <c r="BD36" s="1565">
        <f>IF(ISERROR(MATCH($B36,'A1.3.2'!$B$27:$B$106,0)),"",(((VLOOKUP($B36,'Forecast occupancies'!$C$28:$CP$64,54,TRUE)-1)*VLOOKUP($B36,'A1.3.2'!$B$27:$AY$106,36,)+VLOOKUP($B36,'A1.3.2'!$B$27:$AY$106,35,))*$CR$5))</f>
        <v>22.365193035274597</v>
      </c>
      <c r="BE36" s="1565">
        <f>IF(ISERROR(MATCH($B36,'A1.3.2'!$B$27:$B$106,0)),"",VLOOKUP($B36,'Forecast occupancies'!$C$28:$CP$64,55,TRUE)*VLOOKUP($B36,'A1.3.2'!$B$27:$AY$106,49,)*$CR$5)</f>
        <v>12.487646233163808</v>
      </c>
      <c r="BF36" s="1565">
        <f>IF(ISERROR(MATCH($B36,'A1.3.2'!$B$27:$B$106,0)),"",VLOOKUP($B36,'Forecast occupancies'!$C$28:$CP$64,56,TRUE)*VLOOKUP($B36,'A1.3.2'!$B$27:$AY$106,50,)*$CR$5)</f>
        <v>8.9509390766297958</v>
      </c>
      <c r="BG36" s="1566">
        <f>IF(ISERROR(MATCH($B36,'A1.3.2'!$B$27:$B$106,0)),"",(((BD36*'VoT5'!$H$28)+(BE36*'VoT5'!$H$29)+(BF36*'VoT5'!$H$30))/100))</f>
        <v>12.046699107563292</v>
      </c>
      <c r="BH36" s="1565">
        <f>IF(ISERROR(MATCH($B36,'A1.3.2'!$B$27:$B$106,0)),"",(VLOOKUP($B36,'Forecast occupancies'!$C$28:$CP$64,58,TRUE) * VLOOKUP($B36, 'A1.3.2'!$B$27:$AY$106,37,)) * $CR$5)</f>
        <v>16.083545879966422</v>
      </c>
      <c r="BI36" s="1565">
        <f>IF(ISERROR(MATCH($B36,'A1.3.2'!$B$27:$B$106,0)),"",(VLOOKUP($B36,'Forecast occupancies'!$C$28:$CP$64,59,TRUE) * (VLOOKUP($B36,'A1.3.2'!$B$27:$AY$106,49,) * 'VoT5'!$J$29 + VLOOKUP($B36,'A1.3.2'!$B$27:$AY$106,50,) * 'VoT5'!$J$30) / (SUM('VoT5'!$J$29:$J$30))) * $CR$5)</f>
        <v>9.817726591948535</v>
      </c>
      <c r="BJ36" s="1566">
        <f>IF(ISERROR(MATCH($B36,'A1.3.2'!$B$27:$B$106,0)),"",(BH36*'VoT5'!$H$31 + BI36*'VoT5'!$H$32)/100)</f>
        <v>15.331647565404275</v>
      </c>
      <c r="BK36" s="1566">
        <f>IF(ISERROR(MATCH($B36,'A1.3.2'!$B$27:$B$106,0)),"",(VLOOKUP($B36,'Forecast occupancies'!$C$28:$CP$64,61,TRUE)*VLOOKUP($B36,'A1.3.2'!$B$27:$AY$106,38,)) * $CR$5)</f>
        <v>15.791907509457769</v>
      </c>
      <c r="BL36" s="1566">
        <f>IF(ISERROR(MATCH($B36,'A1.3.2'!$B$27:$B$106,0)),"",(VLOOKUP($B36,'Forecast occupancies'!$C$28:$CP$64,62,TRUE)*VLOOKUP($B36,'A1.3.2'!$B$27:$AY$106,38,)) * $CR$5)</f>
        <v>15.791907509457769</v>
      </c>
      <c r="BM36" s="1565">
        <f>IF(ISERROR(MATCH($B36,'A1.3.2'!$B$27:$B$106,0)),"",(((VLOOKUP($B36,'Forecast occupancies'!$C$28:$CP$64,63,TRUE) -1) * VLOOKUP($B36,'A1.3.2'!$B$27:$AY$106,40,)) + VLOOKUP($B36,'A1.3.2'!$B$27:$AY$106,39,)) * $CR$5)</f>
        <v>18.509307042075957</v>
      </c>
      <c r="BN36" s="1565">
        <f>IF(ISERROR(MATCH($B36,'A1.3.2'!$B$27:$B$106,0)),"",(VLOOKUP($B36,'Forecast occupancies'!$C$28:$CP$64,64,TRUE) * VLOOKUP($B36,'A1.3.2'!$B$27:$AY$106,49,)) * $CR$5)</f>
        <v>21.379050477848335</v>
      </c>
      <c r="BO36" s="1565">
        <f>IF(ISERROR(MATCH($B36,'A1.3.2'!$B$27:$B$106,0)),"",(VLOOKUP($B36,'Forecast occupancies'!$C$28:$CP$64,65,TRUE) * VLOOKUP($B36,'A1.3.2'!$B$27:$AY$106,50,)) * $CR$5)</f>
        <v>50.152449094808986</v>
      </c>
      <c r="BP36" s="1567">
        <f>IF(ISERROR(MATCH($B36,'A1.3.2'!$B$27:$B$106,0)),"",SUM(BM36:BO36))</f>
        <v>90.04080661473327</v>
      </c>
      <c r="BQ36" s="1565">
        <f>IF(ISERROR(MATCH($B36,'A1.3.2'!$B$27:$B$106,0)),"",(((VLOOKUP($B36,'Forecast occupancies'!$C$28:$CP$64,67,TRUE)-1)*VLOOKUP($B36,'A1.3.2'!$B$27:$AY$106,36,)+VLOOKUP($B36,'A1.3.2'!$B$27:$AY$106,35,))*$CR$5))</f>
        <v>25.560615875190081</v>
      </c>
      <c r="BR36" s="1565">
        <f>IF(ISERROR(MATCH($B36,'A1.3.2'!$B$27:$B$106,0)),"",VLOOKUP($B36,'Forecast occupancies'!$C$28:$CP$64,68,TRUE)*VLOOKUP($B36,'A1.3.2'!$B$27:$AY$106,49,)*$CR$5)</f>
        <v>13.221319577516077</v>
      </c>
      <c r="BS36" s="1565">
        <f>IF(ISERROR(MATCH($B36,'A1.3.2'!$B$27:$B$106,0)),"",VLOOKUP($B36,'Forecast occupancies'!$C$28:$CP$64,69,TRUE)*VLOOKUP($B36,'A1.3.2'!$B$27:$AY$106,50,)*$CR$5)</f>
        <v>10.598127640252473</v>
      </c>
      <c r="BT36" s="1566">
        <f>IF(ISERROR(MATCH($B36,'A1.3.2'!$B$27:$B$106,0)),"",(((BQ36*'VoT5'!$I$28)+(BR36*'VoT5'!$I$29)+(BS36*'VoT5'!$I$30))/100))</f>
        <v>11.324767748676882</v>
      </c>
      <c r="BU36" s="1565">
        <f>IF(ISERROR(MATCH($B36,'A1.3.2'!$B$27:$B$106,0)),"",(VLOOKUP($B36,'Forecast occupancies'!$C$28:$CP$64,71,TRUE) * VLOOKUP($B36, 'A1.3.2'!$B$27:$AY$106,37,)) * $CR$5)</f>
        <v>16.887723173964744</v>
      </c>
      <c r="BV36" s="1565">
        <f>IF(ISERROR(MATCH($B36,'A1.3.2'!$B$27:$B$106,0)),"",(VLOOKUP($B36,'Forecast occupancies'!$C$28:$CP$64,72,TRUE) * (VLOOKUP($B36,'A1.3.2'!$B$27:$AY$106,49,)*'VoT5'!$J$29 + VLOOKUP($B36,'A1.3.2'!$B$27:$AY$106,50,)*'VoT5'!$J$30) / (SUM('VoT5'!$J$29:$J$30))) * $CR$5)</f>
        <v>13.650674644969536</v>
      </c>
      <c r="BW36" s="1566">
        <f>IF(ISERROR(MATCH($B36,'A1.3.2'!$B$27:$B$106,0)),"",(BU36*'VoT5'!$I$31 + BV36*'VoT5'!$I$32)/100)</f>
        <v>16.499277350485318</v>
      </c>
      <c r="BX36" s="1566">
        <f>IF(ISERROR(MATCH($B36,'A1.3.2'!$B$27:$B$106,0)),"",(VLOOKUP($B36,'Forecast occupancies'!$C$28:$CP$64,74,TRUE)*VLOOKUP($B36,'A1.3.2'!$B$27:$AY$106,38,)) * $CR$5)</f>
        <v>15.791907509457769</v>
      </c>
      <c r="BY36" s="1566">
        <f>IF(ISERROR(MATCH($B36,'A1.3.2'!$B$27:$B$106,0)),"",(VLOOKUP($B36,'Forecast occupancies'!$C$28:$CP$64,75,TRUE)*VLOOKUP($B36,'A1.3.2'!$B$27:$AY$106,38,)) * $CR$5)</f>
        <v>15.791907509457769</v>
      </c>
      <c r="BZ36" s="1565">
        <f>IF(ISERROR(MATCH($B36,'A1.3.2'!$B$27:$B$106,0)),"",(((VLOOKUP($B36,'Forecast occupancies'!$C$28:$CP$64,76,TRUE) -1) * VLOOKUP($B36,'A1.3.2'!$B$27:$AY$106,40,)) + VLOOKUP($B36,'A1.3.2'!$B$27:$AY$106,39,)) * $CR$5)</f>
        <v>16.857060673760138</v>
      </c>
      <c r="CA36" s="1565">
        <f>IF(ISERROR(MATCH($B36,'A1.3.2'!$B$27:$B$106,0)),"",(VLOOKUP($B36,'Forecast occupancies'!$C$28:$CP$64,77,TRUE) * VLOOKUP($B36,'A1.3.2'!$B$27:$AY$106,49,)) * $CR$5)</f>
        <v>8.0992092848990644</v>
      </c>
      <c r="CB36" s="1565">
        <f>IF(ISERROR(MATCH($B36,'A1.3.2'!$B$27:$B$106,0)),"",(VLOOKUP($B36,'Forecast occupancies'!$C$28:$CP$64,78,TRUE) * VLOOKUP($B36,'A1.3.2'!$B$27:$AY$106,50,)) * $CR$5)</f>
        <v>56.962564855906052</v>
      </c>
      <c r="CC36" s="1567">
        <f>IF(ISERROR(MATCH($B36,'A1.3.2'!$B$27:$B$106,0)),"",SUM(BZ36:CB36))</f>
        <v>81.918834814565258</v>
      </c>
      <c r="CD36" s="1565">
        <f>IF(ISERROR(MATCH($B36,'A1.3.2'!$B$27:$B$106,0)),"",(((VLOOKUP($B36,'Forecast occupancies'!$C$28:$CP$64,80,TRUE)-1)*VLOOKUP($B36,'A1.3.2'!$B$27:$AY$106,36,)+VLOOKUP($B36,'A1.3.2'!$B$27:$AY$106,35,))*$CR$5))</f>
        <v>22.592013087366198</v>
      </c>
      <c r="CE36" s="1565">
        <f>IF(ISERROR(MATCH($B36,'A1.3.2'!$B$27:$B$106,0)),"",VLOOKUP($B36,'Forecast occupancies'!$C$28:$CP$64,81,TRUE)*VLOOKUP($B36,'A1.3.2'!$B$27:$AY$106,49,)*$CR$5)</f>
        <v>12.547000890338358</v>
      </c>
      <c r="CF36" s="1565">
        <f>IF(ISERROR(MATCH($B36,'A1.3.2'!$B$27:$B$106,0)),"",VLOOKUP($B36,'Forecast occupancies'!$C$28:$CP$64,82,TRUE)*VLOOKUP($B36,'A1.3.2'!$B$27:$AY$106,50,)*$CR$5)</f>
        <v>9.532179908876298</v>
      </c>
      <c r="CG36" s="1566">
        <f>IF(ISERROR(MATCH($B36,'A1.3.2'!$B$27:$B$106,0)),"",(((CD36*'VoT5'!$J$28)+(CE36*'VoT5'!$J$29)+(CF36*'VoT5'!$J$30))/100))</f>
        <v>11.875532610874323</v>
      </c>
      <c r="CH36" s="1565">
        <f>IF(ISERROR(MATCH($B36,'A1.3.2'!$B$27:$B$106,0)),"",(VLOOKUP($B36,'Forecast occupancies'!$C$28:$CP$64,84,TRUE) * VLOOKUP($B36, 'A1.3.2'!$B$27:$AY$106,37,)) * $CR$5)</f>
        <v>16.083545879966422</v>
      </c>
      <c r="CI36" s="1565">
        <f>IF(ISERROR(MATCH($B36,'A1.3.2'!$B$27:$B$106,0)),"",(VLOOKUP($B36,'Forecast occupancies'!$C$28:$CP$64,85,TRUE) * (VLOOKUP($B36,'A1.3.2'!$B$27:$AY$106,49,)*'VoT5'!$J$29 + VLOOKUP($B36,'A1.3.2'!$B$27:$AY$106,50,)*'VoT5'!$J$30) / (SUM('VoT5'!$J$29:$J$30))) * $CR$5)</f>
        <v>10.691907726848063</v>
      </c>
      <c r="CJ36" s="1566">
        <f>IF(ISERROR(MATCH($B36,'A1.3.2'!$B$27:$B$106,0)),"",(CH36*'VoT5'!$J$31 + CI36*'VoT5'!$J$32)/100)</f>
        <v>15.436549301592217</v>
      </c>
      <c r="CK36" s="1566">
        <f>IF(ISERROR(MATCH($B36,'A1.3.2'!$B$27:$B$106,0)),"",(VLOOKUP($B36,'Forecast occupancies'!$C$28:$CP$64,87,TRUE)*VLOOKUP($B36,'A1.3.2'!$B$27:$AY$106,38,)) * $CR$5)</f>
        <v>15.791907509457769</v>
      </c>
      <c r="CL36" s="1566">
        <f>IF(ISERROR(MATCH($B36,'A1.3.2'!$B$27:$B$106,0)),"",(VLOOKUP($B36,'Forecast occupancies'!$C$28:$CP$64,88,TRUE)*VLOOKUP($B36,'A1.3.2'!$B$27:$AY$106,38,)) * $CR$5)</f>
        <v>15.791907509457769</v>
      </c>
      <c r="CM36" s="1565">
        <f>IF(ISERROR(MATCH($B36,'A1.3.2'!$B$27:$B$106,0)),"",(((VLOOKUP($B36,'Forecast occupancies'!$C$28:$CP$64,89,TRUE) -1) * VLOOKUP($B36,'A1.3.2'!$B$27:$AY$106,40,)) + VLOOKUP($B36,'A1.3.2'!$B$27:$AY$106,39,)) * $CR$5)</f>
        <v>18.101299836428097</v>
      </c>
      <c r="CN36" s="1565">
        <f>IF(ISERROR(MATCH($B36,'A1.3.2'!$B$27:$B$106,0)),"",(VLOOKUP($B36,'Forecast occupancies'!$C$28:$CP$64,90,TRUE) * VLOOKUP($B36,'A1.3.2'!$B$27:$AY$106,49,)) * $CR$5)</f>
        <v>18.099082575205497</v>
      </c>
      <c r="CO36" s="1565">
        <f>IF(ISERROR(MATCH($B36,'A1.3.2'!$B$27:$B$106,0)),"",(VLOOKUP($B36,'Forecast occupancies'!$C$28:$CP$64,91,TRUE) * VLOOKUP($B36,'A1.3.2'!$B$27:$AY$106,50,)) * $CR$5)</f>
        <v>51.834433658676375</v>
      </c>
      <c r="CP36" s="1567">
        <f>IF(ISERROR(MATCH($B36,'A1.3.2'!$B$27:$B$106,0)),"",SUM(CM36:CO36))</f>
        <v>88.034816070309972</v>
      </c>
    </row>
    <row r="37" spans="1:94" s="26" customFormat="1" ht="13.5" customHeight="1">
      <c r="A37" s="113"/>
      <c r="B37" s="82">
        <f t="shared" si="0"/>
        <v>2019</v>
      </c>
      <c r="D37" s="1609">
        <f>IF(ISERROR(MATCH($B37,'A1.3.2'!$B$27:$B$106,0)),"",(((VLOOKUP($B37,'Forecast occupancies'!$C$28:$CP$64,2,TRUE) -1) * VLOOKUP($B37,'A1.3.2'!$B$27:$AY$106,36,) + VLOOKUP($B37,'A1.3.2'!$B$27:$AY$106,35,)) * $CR$5))</f>
        <v>22.14439917252194</v>
      </c>
      <c r="E37" s="1565">
        <f>IF(ISERROR(MATCH($B37,'A1.3.2'!$B$27:$B$106,0)),"",VLOOKUP($B37,'Forecast occupancies'!$C$28:$CP$64,3,TRUE)*VLOOKUP($B37,'A1.3.2'!$B$27:$AY$106,49,)*$CR$5)</f>
        <v>12.479496528488687</v>
      </c>
      <c r="F37" s="1565">
        <f>IF(ISERROR(MATCH($B37,'A1.3.2'!$B$27:$B$106,0)),"",VLOOKUP($B37,'Forecast occupancies'!$C$28:$CP$64,4,TRUE)*VLOOKUP($B37,'A1.3.2'!$B$27:$AY$106,50,)*$CR$5)</f>
        <v>8.6098857791963912</v>
      </c>
      <c r="G37" s="1566">
        <f>IF(ISERROR(MATCH($B37,'A1.3.2'!$B$27:$B$106,0)),"",(((D37*'VoT5'!$D$28)+(E37*'VoT5'!$D$29)+(F37*'VoT5'!$D$30))/100))</f>
        <v>12.542696678109678</v>
      </c>
      <c r="H37" s="1565">
        <f>IF(ISERROR(MATCH($B37,'A1.3.2'!$B$27:$B$106,0)),"",(VLOOKUP($B37,'Forecast occupancies'!$C$28:$CP$64,6,TRUE) * VLOOKUP($B37, 'A1.3.2'!$B$27:$AY$106,37,)) * $CR$5)</f>
        <v>16.183328104068071</v>
      </c>
      <c r="I37" s="1565">
        <f>IF(ISERROR(MATCH($B37,'A1.3.2'!$B$27:$B$106,0)),"",VLOOKUP($B37,'Forecast occupancies'!$C$28:$CP$64,7,TRUE) * ('VoT5'!$J$29*VLOOKUP($B37, 'A1.3.2'!$B$27:$AY$106,49,)+'VoT5'!$J$30*VLOOKUP($B37, 'A1.3.2'!$B$27:$AY$106,50,))/('VoT5'!$J$29+'VoT5'!$J$30) * $CR$5)</f>
        <v>9.8786357100172566</v>
      </c>
      <c r="J37" s="1566">
        <f>IF(ISERROR(MATCH($B37,'A1.3.2'!$B$27:$B$106,0)),"",(H37*'VoT5'!$D$31 + I37*'VoT5'!$D$32)/100)</f>
        <v>15.426765016781971</v>
      </c>
      <c r="K37" s="1566">
        <f>IF(ISERROR(MATCH($B37,'A1.3.2'!$B$27:$B$106,0)),"",(VLOOKUP($B37,'Forecast occupancies'!$C$28:$CP$64,9,TRUE)*VLOOKUP($B37,'A1.3.2'!$B$27:$AY$106,38,)) * $CR$5)</f>
        <v>15.889880410823011</v>
      </c>
      <c r="L37" s="1566">
        <f>IF(ISERROR(MATCH($B37,'A1.3.2'!$B$27:$B$106,0)),"",(VLOOKUP($B37,'Forecast occupancies'!$C$28:$CP$64,10,TRUE)*VLOOKUP($B37,'A1.3.2'!$B$27:$AY$106,38,)) * $CR$5)</f>
        <v>15.889880410823011</v>
      </c>
      <c r="M37" s="1565">
        <f>IF(ISERROR(MATCH($B37,'A1.3.2'!$B$27:$B$106,0)),"",(((VLOOKUP($B37,'Forecast occupancies'!$C$28:$CP$64,11,TRUE) -1) * VLOOKUP($B37,'A1.3.2'!$B$27:$AY$106,40,)) + VLOOKUP($B37,'A1.3.2'!$B$27:$AY$106,39,)) * $CR$5)</f>
        <v>18.106662390550593</v>
      </c>
      <c r="N37" s="1565">
        <f>IF(ISERROR(MATCH($B37,'A1.3.2'!$B$27:$B$106,0)),"",(VLOOKUP($B37,'Forecast occupancies'!$C$28:$CP$64,12,TRUE) * VLOOKUP($B37,'A1.3.2'!$B$27:$AY$106,49,)) * $CR$5)</f>
        <v>24.786666397864451</v>
      </c>
      <c r="O37" s="1565">
        <f>IF(ISERROR(MATCH($B37,'A1.3.2'!$B$27:$B$106,0)),"",(VLOOKUP($B37,'Forecast occupancies'!$C$28:$CP$64,13,TRUE) * VLOOKUP($B37,'A1.3.2'!$B$27:$AY$106,50,)) * $CR$5)</f>
        <v>49.203315393811941</v>
      </c>
      <c r="P37" s="1567">
        <f>IF(ISERROR(MATCH($B37,'A1.3.2'!$B$27:$B$106,0)),"",SUM(M37:O37))</f>
        <v>92.096644182226981</v>
      </c>
      <c r="Q37" s="1609">
        <f>IF(ISERROR(MATCH($B37,'A1.3.2'!$B$27:$B$106,0)),"",(((VLOOKUP($B37,'Forecast occupancies'!$C$28:$CP$64,15,TRUE)-1)*VLOOKUP($B37,'A1.3.2'!$B$27:$AY$106,36,)+VLOOKUP($B37,'A1.3.2'!$B$27:$AY$106,35,))*$CR$5))</f>
        <v>22.69186652222831</v>
      </c>
      <c r="R37" s="1565">
        <f>IF(ISERROR(MATCH($B37,'A1.3.2'!$B$27:$B$106,0)),"",VLOOKUP($B37,'Forecast occupancies'!$C$28:$CP$64,16,TRUE)*VLOOKUP($B37,'A1.3.2'!$B$27:$AY$106,49,)*$CR$5)</f>
        <v>12.682414305758886</v>
      </c>
      <c r="S37" s="1565">
        <f>IF(ISERROR(MATCH($B37,'A1.3.2'!$B$27:$B$106,0)),"",VLOOKUP($B37,'Forecast occupancies'!$C$28:$CP$64,17,TRUE)*VLOOKUP($B37,'A1.3.2'!$B$27:$AY$106,50,)*$CR$5)</f>
        <v>9.1715621829585707</v>
      </c>
      <c r="T37" s="1566">
        <f>IF(ISERROR(MATCH($B37,'A1.3.2'!$B$27:$B$106,0)),"",(((Q37*'VoT5'!$E$28)+(R37*'VoT5'!$E$29)+(S37*'VoT5'!$E$30))/100))</f>
        <v>11.81283255977325</v>
      </c>
      <c r="U37" s="1565">
        <f>IF(ISERROR(MATCH($B37,'A1.3.2'!$B$27:$B$106,0)),"",(VLOOKUP($B37,'Forecast occupancies'!$C$28:$CP$64,19,TRUE) * VLOOKUP($B37, 'A1.3.2'!$B$27:$AY$106,37,)) * $CR$5)</f>
        <v>16.183328104068071</v>
      </c>
      <c r="V37" s="1565">
        <f>IF(ISERROR(MATCH($B37,'A1.3.2'!$B$27:$B$106,0)),"",VLOOKUP($B37,'Forecast occupancies'!$C$28:$CP$64,20,TRUE) * ('VoT5'!$J$29*VLOOKUP($B37, 'A1.3.2'!$B$27:$AY$106,49,)+'VoT5'!$J$30*VLOOKUP($B37, 'A1.3.2'!$B$27:$AY$106,50,))/('VoT5'!$J$29+'VoT5'!$J$30) * $CR$5)</f>
        <v>9.8786357100172566</v>
      </c>
      <c r="W37" s="1566">
        <f>IF(ISERROR(MATCH($B37,'A1.3.2'!$B$27:$B$106,0)),"",(U37*'VoT5'!$E$31 + V37*'VoT5'!$E$32)/100)</f>
        <v>15.426765016781971</v>
      </c>
      <c r="X37" s="1566">
        <f>IF(ISERROR(MATCH($B37,'A1.3.2'!$B$27:$B$106,0)),"",(VLOOKUP($B37,'Forecast occupancies'!$C$28:$CP$64,22,TRUE)*VLOOKUP($B37,'A1.3.2'!$B$27:$AY$106,38,)) * $CR$5)</f>
        <v>15.889880410823011</v>
      </c>
      <c r="Y37" s="1566">
        <f>IF(ISERROR(MATCH($B37,'A1.3.2'!$B$27:$B$106,0)),"",(VLOOKUP($B37,'Forecast occupancies'!$C$28:$CP$64,23,TRUE)*VLOOKUP($B37,'A1.3.2'!$B$27:$AY$106,38,)) * $CR$5)</f>
        <v>15.889880410823011</v>
      </c>
      <c r="Z37" s="1565">
        <f>IF(ISERROR(MATCH($B37,'A1.3.2'!$B$27:$B$106,0)),"",(((VLOOKUP($B37,'Forecast occupancies'!$C$28:$CP$64,24,TRUE) -1) * VLOOKUP($B37,'A1.3.2'!$B$27:$AY$106,40,)) + VLOOKUP($B37,'A1.3.2'!$B$27:$AY$106,39,)) * $CR$5)</f>
        <v>18.476235471759935</v>
      </c>
      <c r="AA37" s="1565">
        <f>IF(ISERROR(MATCH($B37,'A1.3.2'!$B$27:$B$106,0)),"",(VLOOKUP($B37,'Forecast occupancies'!$C$28:$CP$64,25,TRUE) * VLOOKUP($B37,'A1.3.2'!$B$27:$AY$106,49,)) * $CR$5)</f>
        <v>8.6869378232838006</v>
      </c>
      <c r="AB37" s="1565">
        <f>IF(ISERROR(MATCH($B37,'A1.3.2'!$B$27:$B$106,0)),"",(VLOOKUP($B37,'Forecast occupancies'!$C$28:$CP$64,26,TRUE) * VLOOKUP($B37,'A1.3.2'!$B$27:$AY$106,50,)) * $CR$5)</f>
        <v>56.38422422640781</v>
      </c>
      <c r="AC37" s="1567">
        <f>IF(ISERROR(MATCH($B37,'A1.3.2'!$B$27:$B$106,0)),"",SUM(Z37:AB37))</f>
        <v>83.547397521451543</v>
      </c>
      <c r="AD37" s="1609">
        <f>IF(ISERROR(MATCH($B37,'A1.3.2'!$B$27:$B$106,0)),"",(((VLOOKUP($B37,'Forecast occupancies'!$C$28:$CP$64,28,TRUE)-1)*VLOOKUP($B37,'A1.3.2'!$B$27:$AY$106,36,)+VLOOKUP($B37,'A1.3.2'!$B$27:$AY$106,35,))*$CR$5))</f>
        <v>22.46397663670724</v>
      </c>
      <c r="AE37" s="1565">
        <f>IF(ISERROR(MATCH($B37,'A1.3.2'!$B$27:$B$106,0)),"",VLOOKUP($B37,'Forecast occupancies'!$C$28:$CP$64,29,TRUE)*VLOOKUP($B37,'A1.3.2'!$B$27:$AY$106,49,)*$CR$5)</f>
        <v>12.522542767287828</v>
      </c>
      <c r="AF37" s="1565">
        <f>IF(ISERROR(MATCH($B37,'A1.3.2'!$B$27:$B$106,0)),"",VLOOKUP($B37,'Forecast occupancies'!$C$28:$CP$64,30,TRUE)*VLOOKUP($B37,'A1.3.2'!$B$27:$AY$106,50,)*$CR$5)</f>
        <v>9.0163384940549811</v>
      </c>
      <c r="AG37" s="1566">
        <f>IF(ISERROR(MATCH($B37,'A1.3.2'!$B$27:$B$106,0)),"",(((AD37*'VoT5'!$F$28)+(AE37*'VoT5'!$F$29)+(AF37*'VoT5'!$F$30))/100))</f>
        <v>12.05095662458006</v>
      </c>
      <c r="AH37" s="1565">
        <f>IF(ISERROR(MATCH($B37,'A1.3.2'!$B$27:$B$106,0)),"",(VLOOKUP($B37,'Forecast occupancies'!$C$28:$CP$64,32,TRUE) * VLOOKUP($B37, 'A1.3.2'!$B$27:$AY$106,37,)) * $CR$5)</f>
        <v>16.183328104068071</v>
      </c>
      <c r="AI37" s="1565">
        <f>IF(ISERROR(MATCH($B37,'A1.3.2'!$B$27:$B$106,0)),"",VLOOKUP($B37,'Forecast occupancies'!$C$28:$CP$64,33,TRUE) * ('VoT5'!$J$29*VLOOKUP($B37, 'A1.3.2'!$B$27:$AY$106,49,)+'VoT5'!$J$30*VLOOKUP($B37, 'A1.3.2'!$B$27:$AY$106,50,))/('VoT5'!$J$29+'VoT5'!$J$30) * $CR$5)</f>
        <v>9.8786357100172566</v>
      </c>
      <c r="AJ37" s="1566">
        <f>IF(ISERROR(MATCH($B37,'A1.3.2'!$B$27:$B$106,0)),"",(AH37*'VoT5'!$F$31 + AI37*'VoT5'!$F$32)/100)</f>
        <v>15.426765016781971</v>
      </c>
      <c r="AK37" s="1566">
        <f>IF(ISERROR(MATCH($B37,'A1.3.2'!$B$27:$B$106,0)),"",(VLOOKUP($B37,'Forecast occupancies'!$C$28:$CP$64,35,TRUE)*VLOOKUP($B37,'A1.3.2'!$B$27:$AY$106,38,)) * $CR$5)</f>
        <v>15.889880410823011</v>
      </c>
      <c r="AL37" s="1566">
        <f>IF(ISERROR(MATCH($B37,'A1.3.2'!$B$27:$B$106,0)),"",(VLOOKUP($B37,'Forecast occupancies'!$C$28:$CP$64,36,TRUE)*VLOOKUP($B37,'A1.3.2'!$B$27:$AY$106,38,)) * $CR$5)</f>
        <v>15.889880410823011</v>
      </c>
      <c r="AM37" s="1565">
        <f>IF(ISERROR(MATCH($B37,'A1.3.2'!$B$27:$B$106,0)),"",(((VLOOKUP($B37,'Forecast occupancies'!$C$28:$CP$64,37,TRUE) -1) * VLOOKUP($B37,'A1.3.2'!$B$27:$AY$106,40,)) + VLOOKUP($B37,'A1.3.2'!$B$27:$AY$106,39,)) * $CR$5)</f>
        <v>19.331446422186602</v>
      </c>
      <c r="AN37" s="1565">
        <f>IF(ISERROR(MATCH($B37,'A1.3.2'!$B$27:$B$106,0)),"",(VLOOKUP($B37,'Forecast occupancies'!$C$28:$CP$64,38,TRUE) * VLOOKUP($B37,'A1.3.2'!$B$27:$AY$106,49,)) * $CR$5)</f>
        <v>34.859410692875002</v>
      </c>
      <c r="AO37" s="1565">
        <f>IF(ISERROR(MATCH($B37,'A1.3.2'!$B$27:$B$106,0)),"",(VLOOKUP($B37,'Forecast occupancies'!$C$28:$CP$64,39,TRUE) * VLOOKUP($B37,'A1.3.2'!$B$27:$AY$106,50,)) * $CR$5)</f>
        <v>44.050740744510911</v>
      </c>
      <c r="AP37" s="1567">
        <f>IF(ISERROR(MATCH($B37,'A1.3.2'!$B$27:$B$106,0)),"",SUM(AM37:AO37))</f>
        <v>98.241597859572522</v>
      </c>
      <c r="AQ37" s="1609">
        <f>IF(ISERROR(MATCH($B37,'A1.3.2'!$B$27:$B$106,0)),"",(((VLOOKUP($B37,'Forecast occupancies'!$C$28:$CP$64,41,TRUE)-1)*VLOOKUP($B37,'A1.3.2'!$B$27:$AY$106,36,)+VLOOKUP($B37,'A1.3.2'!$B$27:$AY$106,35,))*$CR$5))</f>
        <v>22.889009050859428</v>
      </c>
      <c r="AR37" s="1565">
        <f>IF(ISERROR(MATCH($B37,'A1.3.2'!$B$27:$B$106,0)),"",VLOOKUP($B37,'Forecast occupancies'!$C$28:$CP$64,42,TRUE)*VLOOKUP($B37,'A1.3.2'!$B$27:$AY$106,49,)*$CR$5)</f>
        <v>12.705822107018951</v>
      </c>
      <c r="AS37" s="1565">
        <f>IF(ISERROR(MATCH($B37,'A1.3.2'!$B$27:$B$106,0)),"",VLOOKUP($B37,'Forecast occupancies'!$C$28:$CP$64,43,TRUE)*VLOOKUP($B37,'A1.3.2'!$B$27:$AY$106,50,)*$CR$5)</f>
        <v>8.9841481885255359</v>
      </c>
      <c r="AT37" s="1566">
        <f>IF(ISERROR(MATCH($B37,'A1.3.2'!$B$27:$B$106,0)),"",(((AQ37*'VoT5'!$G$28)+(AR37*'VoT5'!$G$29)+(AS37*'VoT5'!$G$30))/100))</f>
        <v>12.209364037497943</v>
      </c>
      <c r="AU37" s="1565">
        <f>IF(ISERROR(MATCH($B37,'A1.3.2'!$B$27:$B$106,0)),"",(VLOOKUP($B37,'Forecast occupancies'!$C$28:$CP$64,45,TRUE) * VLOOKUP($B37, 'A1.3.2'!$B$27:$AY$106,37,)) * $CR$5)</f>
        <v>16.183328104068071</v>
      </c>
      <c r="AV37" s="1565">
        <f>IF(ISERROR(MATCH($B37,'A1.3.2'!$B$27:$B$106,0)),"",VLOOKUP($B37,'Forecast occupancies'!$C$28:$CP$64,46,TRUE) * ('VoT5'!$J$29*VLOOKUP($B37, 'A1.3.2'!$B$27:$AY$106,49,)+'VoT5'!$J$30*VLOOKUP($B37, 'A1.3.2'!$B$27:$AY$106,50,))/('VoT5'!$J$29+'VoT5'!$J$30) * $CR$5)</f>
        <v>9.8786357100172566</v>
      </c>
      <c r="AW37" s="1566">
        <f>IF(ISERROR(MATCH($B37,'A1.3.2'!$B$27:$B$106,0)),"",(AU37*'VoT5'!$G$31 + AV37*'VoT5'!$G$32)/100)</f>
        <v>15.426765016781971</v>
      </c>
      <c r="AX37" s="1566">
        <f>IF(ISERROR(MATCH($B37,'A1.3.2'!$B$27:$B$106,0)),"",(VLOOKUP($B37,'Forecast occupancies'!$C$28:$CP$64,48,TRUE)*VLOOKUP($B37,'A1.3.2'!$B$27:$AY$106,38,)) * $CR$5)</f>
        <v>15.889880410823011</v>
      </c>
      <c r="AY37" s="1566">
        <f>IF(ISERROR(MATCH($B37,'A1.3.2'!$B$27:$B$106,0)),"",(VLOOKUP($B37,'Forecast occupancies'!$C$28:$CP$64,49,TRUE)*VLOOKUP($B37,'A1.3.2'!$B$27:$AY$106,38,)) * $CR$5)</f>
        <v>15.889880410823011</v>
      </c>
      <c r="AZ37" s="1565">
        <f>IF(ISERROR(MATCH($B37,'A1.3.2'!$B$27:$B$106,0)),"",(((VLOOKUP($B37,'Forecast occupancies'!$C$28:$CP$64,50,TRUE) -1) * VLOOKUP($B37,'A1.3.2'!$B$27:$AY$106,40,)) + VLOOKUP($B37,'A1.3.2'!$B$27:$AY$106,39,)) * $CR$5)</f>
        <v>19.315813600462199</v>
      </c>
      <c r="BA37" s="1565">
        <f>IF(ISERROR(MATCH($B37,'A1.3.2'!$B$27:$B$106,0)),"",(VLOOKUP($B37,'Forecast occupancies'!$C$28:$CP$64,51,TRUE) * VLOOKUP($B37,'A1.3.2'!$B$27:$AY$106,49,)) * $CR$5)</f>
        <v>47.651948525571839</v>
      </c>
      <c r="BB37" s="1565">
        <f>IF(ISERROR(MATCH($B37,'A1.3.2'!$B$27:$B$106,0)),"",(VLOOKUP($B37,'Forecast occupancies'!$C$28:$CP$64,52,TRUE) * VLOOKUP($B37,'A1.3.2'!$B$27:$AY$106,50,)) * $CR$5)</f>
        <v>38.218927363613091</v>
      </c>
      <c r="BC37" s="1567">
        <f>IF(ISERROR(MATCH($B37,'A1.3.2'!$B$27:$B$106,0)),"",SUM(AZ37:BB37))</f>
        <v>105.18668948964714</v>
      </c>
      <c r="BD37" s="1565">
        <f>IF(ISERROR(MATCH($B37,'A1.3.2'!$B$27:$B$106,0)),"",(((VLOOKUP($B37,'Forecast occupancies'!$C$28:$CP$64,54,TRUE)-1)*VLOOKUP($B37,'A1.3.2'!$B$27:$AY$106,36,)+VLOOKUP($B37,'A1.3.2'!$B$27:$AY$106,35,))*$CR$5))</f>
        <v>22.503946561404817</v>
      </c>
      <c r="BE37" s="1565">
        <f>IF(ISERROR(MATCH($B37,'A1.3.2'!$B$27:$B$106,0)),"",VLOOKUP($B37,'Forecast occupancies'!$C$28:$CP$64,55,TRUE)*VLOOKUP($B37,'A1.3.2'!$B$27:$AY$106,49,)*$CR$5)</f>
        <v>12.565119516993079</v>
      </c>
      <c r="BF37" s="1565">
        <f>IF(ISERROR(MATCH($B37,'A1.3.2'!$B$27:$B$106,0)),"",VLOOKUP($B37,'Forecast occupancies'!$C$28:$CP$64,56,TRUE)*VLOOKUP($B37,'A1.3.2'!$B$27:$AY$106,50,)*$CR$5)</f>
        <v>9.0064706500483815</v>
      </c>
      <c r="BG37" s="1566">
        <f>IF(ISERROR(MATCH($B37,'A1.3.2'!$B$27:$B$106,0)),"",(((BD37*'VoT5'!$H$28)+(BE37*'VoT5'!$H$29)+(BF37*'VoT5'!$H$30))/100))</f>
        <v>12.12143675801719</v>
      </c>
      <c r="BH37" s="1565">
        <f>IF(ISERROR(MATCH($B37,'A1.3.2'!$B$27:$B$106,0)),"",(VLOOKUP($B37,'Forecast occupancies'!$C$28:$CP$64,58,TRUE) * VLOOKUP($B37, 'A1.3.2'!$B$27:$AY$106,37,)) * $CR$5)</f>
        <v>16.183328104068071</v>
      </c>
      <c r="BI37" s="1565">
        <f>IF(ISERROR(MATCH($B37,'A1.3.2'!$B$27:$B$106,0)),"",(VLOOKUP($B37,'Forecast occupancies'!$C$28:$CP$64,59,TRUE) * (VLOOKUP($B37,'A1.3.2'!$B$27:$AY$106,49,) * 'VoT5'!$J$29 + VLOOKUP($B37,'A1.3.2'!$B$27:$AY$106,50,) * 'VoT5'!$J$30) / (SUM('VoT5'!$J$29:$J$30))) * $CR$5)</f>
        <v>9.8786357100172566</v>
      </c>
      <c r="BJ37" s="1566">
        <f>IF(ISERROR(MATCH($B37,'A1.3.2'!$B$27:$B$106,0)),"",(BH37*'VoT5'!$H$31 + BI37*'VoT5'!$H$32)/100)</f>
        <v>15.426765016781971</v>
      </c>
      <c r="BK37" s="1566">
        <f>IF(ISERROR(MATCH($B37,'A1.3.2'!$B$27:$B$106,0)),"",(VLOOKUP($B37,'Forecast occupancies'!$C$28:$CP$64,61,TRUE)*VLOOKUP($B37,'A1.3.2'!$B$27:$AY$106,38,)) * $CR$5)</f>
        <v>15.889880410823011</v>
      </c>
      <c r="BL37" s="1566">
        <f>IF(ISERROR(MATCH($B37,'A1.3.2'!$B$27:$B$106,0)),"",(VLOOKUP($B37,'Forecast occupancies'!$C$28:$CP$64,62,TRUE)*VLOOKUP($B37,'A1.3.2'!$B$27:$AY$106,38,)) * $CR$5)</f>
        <v>15.889880410823011</v>
      </c>
      <c r="BM37" s="1565">
        <f>IF(ISERROR(MATCH($B37,'A1.3.2'!$B$27:$B$106,0)),"",(((VLOOKUP($B37,'Forecast occupancies'!$C$28:$CP$64,63,TRUE) -1) * VLOOKUP($B37,'A1.3.2'!$B$27:$AY$106,40,)) + VLOOKUP($B37,'A1.3.2'!$B$27:$AY$106,39,)) * $CR$5)</f>
        <v>18.624138674168933</v>
      </c>
      <c r="BN37" s="1565">
        <f>IF(ISERROR(MATCH($B37,'A1.3.2'!$B$27:$B$106,0)),"",(VLOOKUP($B37,'Forecast occupancies'!$C$28:$CP$64,64,TRUE) * VLOOKUP($B37,'A1.3.2'!$B$27:$AY$106,49,)) * $CR$5)</f>
        <v>21.511685981348741</v>
      </c>
      <c r="BO37" s="1565">
        <f>IF(ISERROR(MATCH($B37,'A1.3.2'!$B$27:$B$106,0)),"",(VLOOKUP($B37,'Forecast occupancies'!$C$28:$CP$64,65,TRUE) * VLOOKUP($B37,'A1.3.2'!$B$27:$AY$106,50,)) * $CR$5)</f>
        <v>50.463594594201531</v>
      </c>
      <c r="BP37" s="1567">
        <f>IF(ISERROR(MATCH($B37,'A1.3.2'!$B$27:$B$106,0)),"",SUM(BM37:BO37))</f>
        <v>90.599419249719205</v>
      </c>
      <c r="BQ37" s="1565">
        <f>IF(ISERROR(MATCH($B37,'A1.3.2'!$B$27:$B$106,0)),"",(((VLOOKUP($B37,'Forecast occupancies'!$C$28:$CP$64,67,TRUE)-1)*VLOOKUP($B37,'A1.3.2'!$B$27:$AY$106,36,)+VLOOKUP($B37,'A1.3.2'!$B$27:$AY$106,35,))*$CR$5))</f>
        <v>25.719193785836723</v>
      </c>
      <c r="BR37" s="1565">
        <f>IF(ISERROR(MATCH($B37,'A1.3.2'!$B$27:$B$106,0)),"",VLOOKUP($B37,'Forecast occupancies'!$C$28:$CP$64,68,TRUE)*VLOOKUP($B37,'A1.3.2'!$B$27:$AY$106,49,)*$CR$5)</f>
        <v>13.303344566461242</v>
      </c>
      <c r="BS37" s="1565">
        <f>IF(ISERROR(MATCH($B37,'A1.3.2'!$B$27:$B$106,0)),"",VLOOKUP($B37,'Forecast occupancies'!$C$28:$CP$64,69,TRUE)*VLOOKUP($B37,'A1.3.2'!$B$27:$AY$106,50,)*$CR$5)</f>
        <v>10.663878361837746</v>
      </c>
      <c r="BT37" s="1566">
        <f>IF(ISERROR(MATCH($B37,'A1.3.2'!$B$27:$B$106,0)),"",(((BQ37*'VoT5'!$I$28)+(BR37*'VoT5'!$I$29)+(BS37*'VoT5'!$I$30))/100))</f>
        <v>11.395026541223693</v>
      </c>
      <c r="BU37" s="1565">
        <f>IF(ISERROR(MATCH($B37,'A1.3.2'!$B$27:$B$106,0)),"",(VLOOKUP($B37,'Forecast occupancies'!$C$28:$CP$64,71,TRUE) * VLOOKUP($B37, 'A1.3.2'!$B$27:$AY$106,37,)) * $CR$5)</f>
        <v>16.992494509271477</v>
      </c>
      <c r="BV37" s="1565">
        <f>IF(ISERROR(MATCH($B37,'A1.3.2'!$B$27:$B$106,0)),"",(VLOOKUP($B37,'Forecast occupancies'!$C$28:$CP$64,72,TRUE) * (VLOOKUP($B37,'A1.3.2'!$B$27:$AY$106,49,)*'VoT5'!$J$29 + VLOOKUP($B37,'A1.3.2'!$B$27:$AY$106,50,)*'VoT5'!$J$30) / (SUM('VoT5'!$J$29:$J$30))) * $CR$5)</f>
        <v>13.735363350229472</v>
      </c>
      <c r="BW37" s="1566">
        <f>IF(ISERROR(MATCH($B37,'A1.3.2'!$B$27:$B$106,0)),"",(BU37*'VoT5'!$I$31 + BV37*'VoT5'!$I$32)/100)</f>
        <v>16.601638770186437</v>
      </c>
      <c r="BX37" s="1566">
        <f>IF(ISERROR(MATCH($B37,'A1.3.2'!$B$27:$B$106,0)),"",(VLOOKUP($B37,'Forecast occupancies'!$C$28:$CP$64,74,TRUE)*VLOOKUP($B37,'A1.3.2'!$B$27:$AY$106,38,)) * $CR$5)</f>
        <v>15.889880410823011</v>
      </c>
      <c r="BY37" s="1566">
        <f>IF(ISERROR(MATCH($B37,'A1.3.2'!$B$27:$B$106,0)),"",(VLOOKUP($B37,'Forecast occupancies'!$C$28:$CP$64,75,TRUE)*VLOOKUP($B37,'A1.3.2'!$B$27:$AY$106,38,)) * $CR$5)</f>
        <v>15.889880410823011</v>
      </c>
      <c r="BZ37" s="1565">
        <f>IF(ISERROR(MATCH($B37,'A1.3.2'!$B$27:$B$106,0)),"",(((VLOOKUP($B37,'Forecast occupancies'!$C$28:$CP$64,76,TRUE) -1) * VLOOKUP($B37,'A1.3.2'!$B$27:$AY$106,40,)) + VLOOKUP($B37,'A1.3.2'!$B$27:$AY$106,39,)) * $CR$5)</f>
        <v>16.961641779095839</v>
      </c>
      <c r="CA37" s="1565">
        <f>IF(ISERROR(MATCH($B37,'A1.3.2'!$B$27:$B$106,0)),"",(VLOOKUP($B37,'Forecast occupancies'!$C$28:$CP$64,77,TRUE) * VLOOKUP($B37,'A1.3.2'!$B$27:$AY$106,49,)) * $CR$5)</f>
        <v>8.1494567316961444</v>
      </c>
      <c r="CB37" s="1565">
        <f>IF(ISERROR(MATCH($B37,'A1.3.2'!$B$27:$B$106,0)),"",(VLOOKUP($B37,'Forecast occupancies'!$C$28:$CP$64,78,TRUE) * VLOOKUP($B37,'A1.3.2'!$B$27:$AY$106,50,)) * $CR$5)</f>
        <v>57.315960273451189</v>
      </c>
      <c r="CC37" s="1567">
        <f>IF(ISERROR(MATCH($B37,'A1.3.2'!$B$27:$B$106,0)),"",SUM(BZ37:CB37))</f>
        <v>82.427058784243172</v>
      </c>
      <c r="CD37" s="1565">
        <f>IF(ISERROR(MATCH($B37,'A1.3.2'!$B$27:$B$106,0)),"",(((VLOOKUP($B37,'Forecast occupancies'!$C$28:$CP$64,80,TRUE)-1)*VLOOKUP($B37,'A1.3.2'!$B$27:$AY$106,36,)+VLOOKUP($B37,'A1.3.2'!$B$27:$AY$106,35,))*$CR$5))</f>
        <v>22.732173803766365</v>
      </c>
      <c r="CE37" s="1565">
        <f>IF(ISERROR(MATCH($B37,'A1.3.2'!$B$27:$B$106,0)),"",VLOOKUP($B37,'Forecast occupancies'!$C$28:$CP$64,81,TRUE)*VLOOKUP($B37,'A1.3.2'!$B$27:$AY$106,49,)*$CR$5)</f>
        <v>12.624842410111858</v>
      </c>
      <c r="CF37" s="1565">
        <f>IF(ISERROR(MATCH($B37,'A1.3.2'!$B$27:$B$106,0)),"",VLOOKUP($B37,'Forecast occupancies'!$C$28:$CP$64,82,TRUE)*VLOOKUP($B37,'A1.3.2'!$B$27:$AY$106,50,)*$CR$5)</f>
        <v>9.5913174970016577</v>
      </c>
      <c r="CG37" s="1566">
        <f>IF(ISERROR(MATCH($B37,'A1.3.2'!$B$27:$B$106,0)),"",(((CD37*'VoT5'!$J$28)+(CE37*'VoT5'!$J$29)+(CF37*'VoT5'!$J$30))/100))</f>
        <v>11.949208345388859</v>
      </c>
      <c r="CH37" s="1565">
        <f>IF(ISERROR(MATCH($B37,'A1.3.2'!$B$27:$B$106,0)),"",(VLOOKUP($B37,'Forecast occupancies'!$C$28:$CP$64,84,TRUE) * VLOOKUP($B37, 'A1.3.2'!$B$27:$AY$106,37,)) * $CR$5)</f>
        <v>16.183328104068071</v>
      </c>
      <c r="CI37" s="1565">
        <f>IF(ISERROR(MATCH($B37,'A1.3.2'!$B$27:$B$106,0)),"",(VLOOKUP($B37,'Forecast occupancies'!$C$28:$CP$64,85,TRUE) * (VLOOKUP($B37,'A1.3.2'!$B$27:$AY$106,49,)*'VoT5'!$J$29 + VLOOKUP($B37,'A1.3.2'!$B$27:$AY$106,50,)*'VoT5'!$J$30) / (SUM('VoT5'!$J$29:$J$30))) * $CR$5)</f>
        <v>10.758240259539342</v>
      </c>
      <c r="CJ37" s="1566">
        <f>IF(ISERROR(MATCH($B37,'A1.3.2'!$B$27:$B$106,0)),"",(CH37*'VoT5'!$J$31 + CI37*'VoT5'!$J$32)/100)</f>
        <v>15.532317562724621</v>
      </c>
      <c r="CK37" s="1566">
        <f>IF(ISERROR(MATCH($B37,'A1.3.2'!$B$27:$B$106,0)),"",(VLOOKUP($B37,'Forecast occupancies'!$C$28:$CP$64,87,TRUE)*VLOOKUP($B37,'A1.3.2'!$B$27:$AY$106,38,)) * $CR$5)</f>
        <v>15.889880410823011</v>
      </c>
      <c r="CL37" s="1566">
        <f>IF(ISERROR(MATCH($B37,'A1.3.2'!$B$27:$B$106,0)),"",(VLOOKUP($B37,'Forecast occupancies'!$C$28:$CP$64,88,TRUE)*VLOOKUP($B37,'A1.3.2'!$B$27:$AY$106,38,)) * $CR$5)</f>
        <v>15.889880410823011</v>
      </c>
      <c r="CM37" s="1565">
        <f>IF(ISERROR(MATCH($B37,'A1.3.2'!$B$27:$B$106,0)),"",(((VLOOKUP($B37,'Forecast occupancies'!$C$28:$CP$64,89,TRUE) -1) * VLOOKUP($B37,'A1.3.2'!$B$27:$AY$106,40,)) + VLOOKUP($B37,'A1.3.2'!$B$27:$AY$106,39,)) * $CR$5)</f>
        <v>18.213600194215463</v>
      </c>
      <c r="CN37" s="1565">
        <f>IF(ISERROR(MATCH($B37,'A1.3.2'!$B$27:$B$106,0)),"",(VLOOKUP($B37,'Forecast occupancies'!$C$28:$CP$64,90,TRUE) * VLOOKUP($B37,'A1.3.2'!$B$27:$AY$106,49,)) * $CR$5)</f>
        <v>18.211369177117266</v>
      </c>
      <c r="CO37" s="1565">
        <f>IF(ISERROR(MATCH($B37,'A1.3.2'!$B$27:$B$106,0)),"",(VLOOKUP($B37,'Forecast occupancies'!$C$28:$CP$64,91,TRUE) * VLOOKUP($B37,'A1.3.2'!$B$27:$AY$106,50,)) * $CR$5)</f>
        <v>52.156014180416591</v>
      </c>
      <c r="CP37" s="1567">
        <f>IF(ISERROR(MATCH($B37,'A1.3.2'!$B$27:$B$106,0)),"",SUM(CM37:CO37))</f>
        <v>88.580983551749313</v>
      </c>
    </row>
    <row r="38" spans="1:94" s="26" customFormat="1" ht="13.5" customHeight="1">
      <c r="A38" s="113"/>
      <c r="B38" s="82">
        <f t="shared" si="0"/>
        <v>2020</v>
      </c>
      <c r="D38" s="1609">
        <f>IF(ISERROR(MATCH($B38,'A1.3.2'!$B$27:$B$106,0)),"",(((VLOOKUP($B38,'Forecast occupancies'!$C$28:$CP$64,2,TRUE) -1) * VLOOKUP($B38,'A1.3.2'!$B$27:$AY$106,36,) + VLOOKUP($B38,'A1.3.2'!$B$27:$AY$106,35,)) * $CR$5))</f>
        <v>22.335418697991678</v>
      </c>
      <c r="E38" s="1565">
        <f>IF(ISERROR(MATCH($B38,'A1.3.2'!$B$27:$B$106,0)),"",VLOOKUP($B38,'Forecast occupancies'!$C$28:$CP$64,3,TRUE)*VLOOKUP($B38,'A1.3.2'!$B$27:$AY$106,49,)*$CR$5)</f>
        <v>12.587145757822084</v>
      </c>
      <c r="F38" s="1565">
        <f>IF(ISERROR(MATCH($B38,'A1.3.2'!$B$27:$B$106,0)),"",VLOOKUP($B38,'Forecast occupancies'!$C$28:$CP$64,4,TRUE)*VLOOKUP($B38,'A1.3.2'!$B$27:$AY$106,50,)*$CR$5)</f>
        <v>8.6841554075153873</v>
      </c>
      <c r="G38" s="1566">
        <f>IF(ISERROR(MATCH($B38,'A1.3.2'!$B$27:$B$106,0)),"",(((D38*'VoT5'!$D$28)+(E38*'VoT5'!$D$29)+(F38*'VoT5'!$D$30))/100))</f>
        <v>12.650891077465353</v>
      </c>
      <c r="H38" s="1565">
        <f>IF(ISERROR(MATCH($B38,'A1.3.2'!$B$27:$B$106,0)),"",(VLOOKUP($B38,'Forecast occupancies'!$C$28:$CP$64,6,TRUE) * VLOOKUP($B38, 'A1.3.2'!$B$27:$AY$106,37,)) * $CR$5)</f>
        <v>16.322926908753466</v>
      </c>
      <c r="I38" s="1565">
        <f>IF(ISERROR(MATCH($B38,'A1.3.2'!$B$27:$B$106,0)),"",VLOOKUP($B38,'Forecast occupancies'!$C$28:$CP$64,7,TRUE) * ('VoT5'!$J$29*VLOOKUP($B38, 'A1.3.2'!$B$27:$AY$106,49,)+'VoT5'!$J$30*VLOOKUP($B38, 'A1.3.2'!$B$27:$AY$106,50,))/('VoT5'!$J$29+'VoT5'!$J$30) * $CR$5)</f>
        <v>9.9638496862879418</v>
      </c>
      <c r="J38" s="1566">
        <f>IF(ISERROR(MATCH($B38,'A1.3.2'!$B$27:$B$106,0)),"",(H38*'VoT5'!$D$31 + I38*'VoT5'!$D$32)/100)</f>
        <v>15.559837642057603</v>
      </c>
      <c r="K38" s="1566">
        <f>IF(ISERROR(MATCH($B38,'A1.3.2'!$B$27:$B$106,0)),"",(VLOOKUP($B38,'Forecast occupancies'!$C$28:$CP$64,9,TRUE)*VLOOKUP($B38,'A1.3.2'!$B$27:$AY$106,38,)) * $CR$5)</f>
        <v>16.026947910022205</v>
      </c>
      <c r="L38" s="1566">
        <f>IF(ISERROR(MATCH($B38,'A1.3.2'!$B$27:$B$106,0)),"",(VLOOKUP($B38,'Forecast occupancies'!$C$28:$CP$64,10,TRUE)*VLOOKUP($B38,'A1.3.2'!$B$27:$AY$106,38,)) * $CR$5)</f>
        <v>16.026947910022205</v>
      </c>
      <c r="M38" s="1565">
        <f>IF(ISERROR(MATCH($B38,'A1.3.2'!$B$27:$B$106,0)),"",(((VLOOKUP($B38,'Forecast occupancies'!$C$28:$CP$64,11,TRUE) -1) * VLOOKUP($B38,'A1.3.2'!$B$27:$AY$106,40,)) + VLOOKUP($B38,'A1.3.2'!$B$27:$AY$106,39,)) * $CR$5)</f>
        <v>18.262852045132661</v>
      </c>
      <c r="N38" s="1565">
        <f>IF(ISERROR(MATCH($B38,'A1.3.2'!$B$27:$B$106,0)),"",(VLOOKUP($B38,'Forecast occupancies'!$C$28:$CP$64,12,TRUE) * VLOOKUP($B38,'A1.3.2'!$B$27:$AY$106,49,)) * $CR$5)</f>
        <v>25.000478351686699</v>
      </c>
      <c r="O38" s="1565">
        <f>IF(ISERROR(MATCH($B38,'A1.3.2'!$B$27:$B$106,0)),"",(VLOOKUP($B38,'Forecast occupancies'!$C$28:$CP$64,13,TRUE) * VLOOKUP($B38,'A1.3.2'!$B$27:$AY$106,50,)) * $CR$5)</f>
        <v>49.627747498961419</v>
      </c>
      <c r="P38" s="1567">
        <f>IF(ISERROR(MATCH($B38,'A1.3.2'!$B$27:$B$106,0)),"",SUM(M38:O38))</f>
        <v>92.891077895780768</v>
      </c>
      <c r="Q38" s="1609">
        <f>IF(ISERROR(MATCH($B38,'A1.3.2'!$B$27:$B$106,0)),"",(((VLOOKUP($B38,'Forecast occupancies'!$C$28:$CP$64,15,TRUE)-1)*VLOOKUP($B38,'A1.3.2'!$B$27:$AY$106,36,)+VLOOKUP($B38,'A1.3.2'!$B$27:$AY$106,35,))*$CR$5))</f>
        <v>22.887608548974168</v>
      </c>
      <c r="R38" s="1565">
        <f>IF(ISERROR(MATCH($B38,'A1.3.2'!$B$27:$B$106,0)),"",VLOOKUP($B38,'Forecast occupancies'!$C$28:$CP$64,16,TRUE)*VLOOKUP($B38,'A1.3.2'!$B$27:$AY$106,49,)*$CR$5)</f>
        <v>12.791813921599568</v>
      </c>
      <c r="S38" s="1565">
        <f>IF(ISERROR(MATCH($B38,'A1.3.2'!$B$27:$B$106,0)),"",VLOOKUP($B38,'Forecast occupancies'!$C$28:$CP$64,17,TRUE)*VLOOKUP($B38,'A1.3.2'!$B$27:$AY$106,50,)*$CR$5)</f>
        <v>9.2506768810976308</v>
      </c>
      <c r="T38" s="1566">
        <f>IF(ISERROR(MATCH($B38,'A1.3.2'!$B$27:$B$106,0)),"",(((Q38*'VoT5'!$E$28)+(R38*'VoT5'!$E$29)+(S38*'VoT5'!$E$30))/100))</f>
        <v>11.914731087362174</v>
      </c>
      <c r="U38" s="1565">
        <f>IF(ISERROR(MATCH($B38,'A1.3.2'!$B$27:$B$106,0)),"",(VLOOKUP($B38,'Forecast occupancies'!$C$28:$CP$64,19,TRUE) * VLOOKUP($B38, 'A1.3.2'!$B$27:$AY$106,37,)) * $CR$5)</f>
        <v>16.322926908753466</v>
      </c>
      <c r="V38" s="1565">
        <f>IF(ISERROR(MATCH($B38,'A1.3.2'!$B$27:$B$106,0)),"",VLOOKUP($B38,'Forecast occupancies'!$C$28:$CP$64,20,TRUE) * ('VoT5'!$J$29*VLOOKUP($B38, 'A1.3.2'!$B$27:$AY$106,49,)+'VoT5'!$J$30*VLOOKUP($B38, 'A1.3.2'!$B$27:$AY$106,50,))/('VoT5'!$J$29+'VoT5'!$J$30) * $CR$5)</f>
        <v>9.9638496862879418</v>
      </c>
      <c r="W38" s="1566">
        <f>IF(ISERROR(MATCH($B38,'A1.3.2'!$B$27:$B$106,0)),"",(U38*'VoT5'!$E$31 + V38*'VoT5'!$E$32)/100)</f>
        <v>15.559837642057603</v>
      </c>
      <c r="X38" s="1566">
        <f>IF(ISERROR(MATCH($B38,'A1.3.2'!$B$27:$B$106,0)),"",(VLOOKUP($B38,'Forecast occupancies'!$C$28:$CP$64,22,TRUE)*VLOOKUP($B38,'A1.3.2'!$B$27:$AY$106,38,)) * $CR$5)</f>
        <v>16.026947910022205</v>
      </c>
      <c r="Y38" s="1566">
        <f>IF(ISERROR(MATCH($B38,'A1.3.2'!$B$27:$B$106,0)),"",(VLOOKUP($B38,'Forecast occupancies'!$C$28:$CP$64,23,TRUE)*VLOOKUP($B38,'A1.3.2'!$B$27:$AY$106,38,)) * $CR$5)</f>
        <v>16.026947910022205</v>
      </c>
      <c r="Z38" s="1565">
        <f>IF(ISERROR(MATCH($B38,'A1.3.2'!$B$27:$B$106,0)),"",(((VLOOKUP($B38,'Forecast occupancies'!$C$28:$CP$64,24,TRUE) -1) * VLOOKUP($B38,'A1.3.2'!$B$27:$AY$106,40,)) + VLOOKUP($B38,'A1.3.2'!$B$27:$AY$106,39,)) * $CR$5)</f>
        <v>18.635613096087717</v>
      </c>
      <c r="AA38" s="1565">
        <f>IF(ISERROR(MATCH($B38,'A1.3.2'!$B$27:$B$106,0)),"",(VLOOKUP($B38,'Forecast occupancies'!$C$28:$CP$64,25,TRUE) * VLOOKUP($B38,'A1.3.2'!$B$27:$AY$106,49,)) * $CR$5)</f>
        <v>8.7618721092791425</v>
      </c>
      <c r="AB38" s="1565">
        <f>IF(ISERROR(MATCH($B38,'A1.3.2'!$B$27:$B$106,0)),"",(VLOOKUP($B38,'Forecast occupancies'!$C$28:$CP$64,26,TRUE) * VLOOKUP($B38,'A1.3.2'!$B$27:$AY$106,50,)) * $CR$5)</f>
        <v>56.870599479662474</v>
      </c>
      <c r="AC38" s="1567">
        <f>IF(ISERROR(MATCH($B38,'A1.3.2'!$B$27:$B$106,0)),"",SUM(Z38:AB38))</f>
        <v>84.268084685029336</v>
      </c>
      <c r="AD38" s="1609">
        <f>IF(ISERROR(MATCH($B38,'A1.3.2'!$B$27:$B$106,0)),"",(((VLOOKUP($B38,'Forecast occupancies'!$C$28:$CP$64,28,TRUE)-1)*VLOOKUP($B38,'A1.3.2'!$B$27:$AY$106,36,)+VLOOKUP($B38,'A1.3.2'!$B$27:$AY$106,35,))*$CR$5))</f>
        <v>22.657752865354336</v>
      </c>
      <c r="AE38" s="1565">
        <f>IF(ISERROR(MATCH($B38,'A1.3.2'!$B$27:$B$106,0)),"",VLOOKUP($B38,'Forecast occupancies'!$C$28:$CP$64,29,TRUE)*VLOOKUP($B38,'A1.3.2'!$B$27:$AY$106,49,)*$CR$5)</f>
        <v>12.630563317244766</v>
      </c>
      <c r="AF38" s="1565">
        <f>IF(ISERROR(MATCH($B38,'A1.3.2'!$B$27:$B$106,0)),"",VLOOKUP($B38,'Forecast occupancies'!$C$28:$CP$64,30,TRUE)*VLOOKUP($B38,'A1.3.2'!$B$27:$AY$106,50,)*$CR$5)</f>
        <v>9.0941142190674711</v>
      </c>
      <c r="AG38" s="1566">
        <f>IF(ISERROR(MATCH($B38,'A1.3.2'!$B$27:$B$106,0)),"",(((AD38*'VoT5'!$F$28)+(AE38*'VoT5'!$F$29)+(AF38*'VoT5'!$F$30))/100))</f>
        <v>12.154909231194019</v>
      </c>
      <c r="AH38" s="1565">
        <f>IF(ISERROR(MATCH($B38,'A1.3.2'!$B$27:$B$106,0)),"",(VLOOKUP($B38,'Forecast occupancies'!$C$28:$CP$64,32,TRUE) * VLOOKUP($B38, 'A1.3.2'!$B$27:$AY$106,37,)) * $CR$5)</f>
        <v>16.322926908753466</v>
      </c>
      <c r="AI38" s="1565">
        <f>IF(ISERROR(MATCH($B38,'A1.3.2'!$B$27:$B$106,0)),"",VLOOKUP($B38,'Forecast occupancies'!$C$28:$CP$64,33,TRUE) * ('VoT5'!$J$29*VLOOKUP($B38, 'A1.3.2'!$B$27:$AY$106,49,)+'VoT5'!$J$30*VLOOKUP($B38, 'A1.3.2'!$B$27:$AY$106,50,))/('VoT5'!$J$29+'VoT5'!$J$30) * $CR$5)</f>
        <v>9.9638496862879418</v>
      </c>
      <c r="AJ38" s="1566">
        <f>IF(ISERROR(MATCH($B38,'A1.3.2'!$B$27:$B$106,0)),"",(AH38*'VoT5'!$F$31 + AI38*'VoT5'!$F$32)/100)</f>
        <v>15.559837642057603</v>
      </c>
      <c r="AK38" s="1566">
        <f>IF(ISERROR(MATCH($B38,'A1.3.2'!$B$27:$B$106,0)),"",(VLOOKUP($B38,'Forecast occupancies'!$C$28:$CP$64,35,TRUE)*VLOOKUP($B38,'A1.3.2'!$B$27:$AY$106,38,)) * $CR$5)</f>
        <v>16.026947910022205</v>
      </c>
      <c r="AL38" s="1566">
        <f>IF(ISERROR(MATCH($B38,'A1.3.2'!$B$27:$B$106,0)),"",(VLOOKUP($B38,'Forecast occupancies'!$C$28:$CP$64,36,TRUE)*VLOOKUP($B38,'A1.3.2'!$B$27:$AY$106,38,)) * $CR$5)</f>
        <v>16.026947910022205</v>
      </c>
      <c r="AM38" s="1565">
        <f>IF(ISERROR(MATCH($B38,'A1.3.2'!$B$27:$B$106,0)),"",(((VLOOKUP($B38,'Forecast occupancies'!$C$28:$CP$64,37,TRUE) -1) * VLOOKUP($B38,'A1.3.2'!$B$27:$AY$106,40,)) + VLOOKUP($B38,'A1.3.2'!$B$27:$AY$106,39,)) * $CR$5)</f>
        <v>19.498201171025837</v>
      </c>
      <c r="AN38" s="1565">
        <f>IF(ISERROR(MATCH($B38,'A1.3.2'!$B$27:$B$106,0)),"",(VLOOKUP($B38,'Forecast occupancies'!$C$28:$CP$64,38,TRUE) * VLOOKUP($B38,'A1.3.2'!$B$27:$AY$106,49,)) * $CR$5)</f>
        <v>35.160111020611609</v>
      </c>
      <c r="AO38" s="1565">
        <f>IF(ISERROR(MATCH($B38,'A1.3.2'!$B$27:$B$106,0)),"",(VLOOKUP($B38,'Forecast occupancies'!$C$28:$CP$64,39,TRUE) * VLOOKUP($B38,'A1.3.2'!$B$27:$AY$106,50,)) * $CR$5)</f>
        <v>44.430726289751995</v>
      </c>
      <c r="AP38" s="1567">
        <f>IF(ISERROR(MATCH($B38,'A1.3.2'!$B$27:$B$106,0)),"",SUM(AM38:AO38))</f>
        <v>99.089038481389451</v>
      </c>
      <c r="AQ38" s="1609">
        <f>IF(ISERROR(MATCH($B38,'A1.3.2'!$B$27:$B$106,0)),"",(((VLOOKUP($B38,'Forecast occupancies'!$C$28:$CP$64,41,TRUE)-1)*VLOOKUP($B38,'A1.3.2'!$B$27:$AY$106,36,)+VLOOKUP($B38,'A1.3.2'!$B$27:$AY$106,35,))*$CR$5))</f>
        <v>23.086451646312327</v>
      </c>
      <c r="AR38" s="1565">
        <f>IF(ISERROR(MATCH($B38,'A1.3.2'!$B$27:$B$106,0)),"",VLOOKUP($B38,'Forecast occupancies'!$C$28:$CP$64,42,TRUE)*VLOOKUP($B38,'A1.3.2'!$B$27:$AY$106,49,)*$CR$5)</f>
        <v>12.81542364060209</v>
      </c>
      <c r="AS38" s="1565">
        <f>IF(ISERROR(MATCH($B38,'A1.3.2'!$B$27:$B$106,0)),"",VLOOKUP($B38,'Forecast occupancies'!$C$28:$CP$64,43,TRUE)*VLOOKUP($B38,'A1.3.2'!$B$27:$AY$106,50,)*$CR$5)</f>
        <v>9.0616462371450446</v>
      </c>
      <c r="AT38" s="1566">
        <f>IF(ISERROR(MATCH($B38,'A1.3.2'!$B$27:$B$106,0)),"",(((AQ38*'VoT5'!$G$28)+(AR38*'VoT5'!$G$29)+(AS38*'VoT5'!$G$30))/100))</f>
        <v>12.314683080320474</v>
      </c>
      <c r="AU38" s="1565">
        <f>IF(ISERROR(MATCH($B38,'A1.3.2'!$B$27:$B$106,0)),"",(VLOOKUP($B38,'Forecast occupancies'!$C$28:$CP$64,45,TRUE) * VLOOKUP($B38, 'A1.3.2'!$B$27:$AY$106,37,)) * $CR$5)</f>
        <v>16.322926908753466</v>
      </c>
      <c r="AV38" s="1565">
        <f>IF(ISERROR(MATCH($B38,'A1.3.2'!$B$27:$B$106,0)),"",VLOOKUP($B38,'Forecast occupancies'!$C$28:$CP$64,46,TRUE) * ('VoT5'!$J$29*VLOOKUP($B38, 'A1.3.2'!$B$27:$AY$106,49,)+'VoT5'!$J$30*VLOOKUP($B38, 'A1.3.2'!$B$27:$AY$106,50,))/('VoT5'!$J$29+'VoT5'!$J$30) * $CR$5)</f>
        <v>9.9638496862879418</v>
      </c>
      <c r="AW38" s="1566">
        <f>IF(ISERROR(MATCH($B38,'A1.3.2'!$B$27:$B$106,0)),"",(AU38*'VoT5'!$G$31 + AV38*'VoT5'!$G$32)/100)</f>
        <v>15.559837642057603</v>
      </c>
      <c r="AX38" s="1566">
        <f>IF(ISERROR(MATCH($B38,'A1.3.2'!$B$27:$B$106,0)),"",(VLOOKUP($B38,'Forecast occupancies'!$C$28:$CP$64,48,TRUE)*VLOOKUP($B38,'A1.3.2'!$B$27:$AY$106,38,)) * $CR$5)</f>
        <v>16.026947910022205</v>
      </c>
      <c r="AY38" s="1566">
        <f>IF(ISERROR(MATCH($B38,'A1.3.2'!$B$27:$B$106,0)),"",(VLOOKUP($B38,'Forecast occupancies'!$C$28:$CP$64,49,TRUE)*VLOOKUP($B38,'A1.3.2'!$B$27:$AY$106,38,)) * $CR$5)</f>
        <v>16.026947910022205</v>
      </c>
      <c r="AZ38" s="1565">
        <f>IF(ISERROR(MATCH($B38,'A1.3.2'!$B$27:$B$106,0)),"",(((VLOOKUP($B38,'Forecast occupancies'!$C$28:$CP$64,50,TRUE) -1) * VLOOKUP($B38,'A1.3.2'!$B$27:$AY$106,40,)) + VLOOKUP($B38,'A1.3.2'!$B$27:$AY$106,39,)) * $CR$5)</f>
        <v>19.482433499212963</v>
      </c>
      <c r="BA38" s="1565">
        <f>IF(ISERROR(MATCH($B38,'A1.3.2'!$B$27:$B$106,0)),"",(VLOOKUP($B38,'Forecast occupancies'!$C$28:$CP$64,51,TRUE) * VLOOKUP($B38,'A1.3.2'!$B$27:$AY$106,49,)) * $CR$5)</f>
        <v>48.062998404331154</v>
      </c>
      <c r="BB38" s="1565">
        <f>IF(ISERROR(MATCH($B38,'A1.3.2'!$B$27:$B$106,0)),"",(VLOOKUP($B38,'Forecast occupancies'!$C$28:$CP$64,52,TRUE) * VLOOKUP($B38,'A1.3.2'!$B$27:$AY$106,50,)) * $CR$5)</f>
        <v>38.548607176196072</v>
      </c>
      <c r="BC38" s="1567">
        <f>IF(ISERROR(MATCH($B38,'A1.3.2'!$B$27:$B$106,0)),"",SUM(AZ38:BB38))</f>
        <v>106.09403907974018</v>
      </c>
      <c r="BD38" s="1565">
        <f>IF(ISERROR(MATCH($B38,'A1.3.2'!$B$27:$B$106,0)),"",(((VLOOKUP($B38,'Forecast occupancies'!$C$28:$CP$64,54,TRUE)-1)*VLOOKUP($B38,'A1.3.2'!$B$27:$AY$106,36,)+VLOOKUP($B38,'A1.3.2'!$B$27:$AY$106,35,))*$CR$5))</f>
        <v>22.698067574120756</v>
      </c>
      <c r="BE38" s="1565">
        <f>IF(ISERROR(MATCH($B38,'A1.3.2'!$B$27:$B$106,0)),"",VLOOKUP($B38,'Forecast occupancies'!$C$28:$CP$64,55,TRUE)*VLOOKUP($B38,'A1.3.2'!$B$27:$AY$106,49,)*$CR$5)</f>
        <v>12.67350733771954</v>
      </c>
      <c r="BF38" s="1565">
        <f>IF(ISERROR(MATCH($B38,'A1.3.2'!$B$27:$B$106,0)),"",VLOOKUP($B38,'Forecast occupancies'!$C$28:$CP$64,56,TRUE)*VLOOKUP($B38,'A1.3.2'!$B$27:$AY$106,50,)*$CR$5)</f>
        <v>9.0841612541747789</v>
      </c>
      <c r="BG38" s="1566">
        <f>IF(ISERROR(MATCH($B38,'A1.3.2'!$B$27:$B$106,0)),"",(((BD38*'VoT5'!$H$28)+(BE38*'VoT5'!$H$29)+(BF38*'VoT5'!$H$30))/100))</f>
        <v>12.225997332431012</v>
      </c>
      <c r="BH38" s="1565">
        <f>IF(ISERROR(MATCH($B38,'A1.3.2'!$B$27:$B$106,0)),"",(VLOOKUP($B38,'Forecast occupancies'!$C$28:$CP$64,58,TRUE) * VLOOKUP($B38, 'A1.3.2'!$B$27:$AY$106,37,)) * $CR$5)</f>
        <v>16.322926908753466</v>
      </c>
      <c r="BI38" s="1565">
        <f>IF(ISERROR(MATCH($B38,'A1.3.2'!$B$27:$B$106,0)),"",(VLOOKUP($B38,'Forecast occupancies'!$C$28:$CP$64,59,TRUE) * (VLOOKUP($B38,'A1.3.2'!$B$27:$AY$106,49,) * 'VoT5'!$J$29 + VLOOKUP($B38,'A1.3.2'!$B$27:$AY$106,50,) * 'VoT5'!$J$30) / (SUM('VoT5'!$J$29:$J$30))) * $CR$5)</f>
        <v>9.9638496862879418</v>
      </c>
      <c r="BJ38" s="1566">
        <f>IF(ISERROR(MATCH($B38,'A1.3.2'!$B$27:$B$106,0)),"",(BH38*'VoT5'!$H$31 + BI38*'VoT5'!$H$32)/100)</f>
        <v>15.559837642057603</v>
      </c>
      <c r="BK38" s="1566">
        <f>IF(ISERROR(MATCH($B38,'A1.3.2'!$B$27:$B$106,0)),"",(VLOOKUP($B38,'Forecast occupancies'!$C$28:$CP$64,61,TRUE)*VLOOKUP($B38,'A1.3.2'!$B$27:$AY$106,38,)) * $CR$5)</f>
        <v>16.026947910022205</v>
      </c>
      <c r="BL38" s="1566">
        <f>IF(ISERROR(MATCH($B38,'A1.3.2'!$B$27:$B$106,0)),"",(VLOOKUP($B38,'Forecast occupancies'!$C$28:$CP$64,62,TRUE)*VLOOKUP($B38,'A1.3.2'!$B$27:$AY$106,38,)) * $CR$5)</f>
        <v>16.026947910022205</v>
      </c>
      <c r="BM38" s="1565">
        <f>IF(ISERROR(MATCH($B38,'A1.3.2'!$B$27:$B$106,0)),"",(((VLOOKUP($B38,'Forecast occupancies'!$C$28:$CP$64,63,TRUE) -1) * VLOOKUP($B38,'A1.3.2'!$B$27:$AY$106,40,)) + VLOOKUP($B38,'A1.3.2'!$B$27:$AY$106,39,)) * $CR$5)</f>
        <v>18.784792124466048</v>
      </c>
      <c r="BN38" s="1565">
        <f>IF(ISERROR(MATCH($B38,'A1.3.2'!$B$27:$B$106,0)),"",(VLOOKUP($B38,'Forecast occupancies'!$C$28:$CP$64,64,TRUE) * VLOOKUP($B38,'A1.3.2'!$B$27:$AY$106,49,)) * $CR$5)</f>
        <v>21.697247667452647</v>
      </c>
      <c r="BO38" s="1565">
        <f>IF(ISERROR(MATCH($B38,'A1.3.2'!$B$27:$B$106,0)),"",(VLOOKUP($B38,'Forecast occupancies'!$C$28:$CP$64,65,TRUE) * VLOOKUP($B38,'A1.3.2'!$B$27:$AY$106,50,)) * $CR$5)</f>
        <v>50.898897978040587</v>
      </c>
      <c r="BP38" s="1567">
        <f>IF(ISERROR(MATCH($B38,'A1.3.2'!$B$27:$B$106,0)),"",SUM(BM38:BO38))</f>
        <v>91.380937769959274</v>
      </c>
      <c r="BQ38" s="1565">
        <f>IF(ISERROR(MATCH($B38,'A1.3.2'!$B$27:$B$106,0)),"",(((VLOOKUP($B38,'Forecast occupancies'!$C$28:$CP$64,67,TRUE)-1)*VLOOKUP($B38,'A1.3.2'!$B$27:$AY$106,36,)+VLOOKUP($B38,'A1.3.2'!$B$27:$AY$106,35,))*$CR$5))</f>
        <v>25.941049802527886</v>
      </c>
      <c r="BR38" s="1565">
        <f>IF(ISERROR(MATCH($B38,'A1.3.2'!$B$27:$B$106,0)),"",VLOOKUP($B38,'Forecast occupancies'!$C$28:$CP$64,68,TRUE)*VLOOKUP($B38,'A1.3.2'!$B$27:$AY$106,49,)*$CR$5)</f>
        <v>13.418100381078197</v>
      </c>
      <c r="BS38" s="1565">
        <f>IF(ISERROR(MATCH($B38,'A1.3.2'!$B$27:$B$106,0)),"",VLOOKUP($B38,'Forecast occupancies'!$C$28:$CP$64,69,TRUE)*VLOOKUP($B38,'A1.3.2'!$B$27:$AY$106,50,)*$CR$5)</f>
        <v>10.755865909952073</v>
      </c>
      <c r="BT38" s="1566">
        <f>IF(ISERROR(MATCH($B38,'A1.3.2'!$B$27:$B$106,0)),"",(((BQ38*'VoT5'!$I$28)+(BR38*'VoT5'!$I$29)+(BS38*'VoT5'!$I$30))/100))</f>
        <v>11.493321037527776</v>
      </c>
      <c r="BU38" s="1565">
        <f>IF(ISERROR(MATCH($B38,'A1.3.2'!$B$27:$B$106,0)),"",(VLOOKUP($B38,'Forecast occupancies'!$C$28:$CP$64,71,TRUE) * VLOOKUP($B38, 'A1.3.2'!$B$27:$AY$106,37,)) * $CR$5)</f>
        <v>17.139073254191139</v>
      </c>
      <c r="BV38" s="1565">
        <f>IF(ISERROR(MATCH($B38,'A1.3.2'!$B$27:$B$106,0)),"",(VLOOKUP($B38,'Forecast occupancies'!$C$28:$CP$64,72,TRUE) * (VLOOKUP($B38,'A1.3.2'!$B$27:$AY$106,49,)*'VoT5'!$J$29 + VLOOKUP($B38,'A1.3.2'!$B$27:$AY$106,50,)*'VoT5'!$J$30) / (SUM('VoT5'!$J$29:$J$30))) * $CR$5)</f>
        <v>13.853845796688027</v>
      </c>
      <c r="BW38" s="1566">
        <f>IF(ISERROR(MATCH($B38,'A1.3.2'!$B$27:$B$106,0)),"",(BU38*'VoT5'!$I$31 + BV38*'VoT5'!$I$32)/100)</f>
        <v>16.744845959290764</v>
      </c>
      <c r="BX38" s="1566">
        <f>IF(ISERROR(MATCH($B38,'A1.3.2'!$B$27:$B$106,0)),"",(VLOOKUP($B38,'Forecast occupancies'!$C$28:$CP$64,74,TRUE)*VLOOKUP($B38,'A1.3.2'!$B$27:$AY$106,38,)) * $CR$5)</f>
        <v>16.026947910022205</v>
      </c>
      <c r="BY38" s="1566">
        <f>IF(ISERROR(MATCH($B38,'A1.3.2'!$B$27:$B$106,0)),"",(VLOOKUP($B38,'Forecast occupancies'!$C$28:$CP$64,75,TRUE)*VLOOKUP($B38,'A1.3.2'!$B$27:$AY$106,38,)) * $CR$5)</f>
        <v>16.026947910022205</v>
      </c>
      <c r="BZ38" s="1565">
        <f>IF(ISERROR(MATCH($B38,'A1.3.2'!$B$27:$B$106,0)),"",(((VLOOKUP($B38,'Forecast occupancies'!$C$28:$CP$64,76,TRUE) -1) * VLOOKUP($B38,'A1.3.2'!$B$27:$AY$106,40,)) + VLOOKUP($B38,'A1.3.2'!$B$27:$AY$106,39,)) * $CR$5)</f>
        <v>17.107954385664584</v>
      </c>
      <c r="CA38" s="1565">
        <f>IF(ISERROR(MATCH($B38,'A1.3.2'!$B$27:$B$106,0)),"",(VLOOKUP($B38,'Forecast occupancies'!$C$28:$CP$64,77,TRUE) * VLOOKUP($B38,'A1.3.2'!$B$27:$AY$106,49,)) * $CR$5)</f>
        <v>8.2197546587519543</v>
      </c>
      <c r="CB38" s="1565">
        <f>IF(ISERROR(MATCH($B38,'A1.3.2'!$B$27:$B$106,0)),"",(VLOOKUP($B38,'Forecast occupancies'!$C$28:$CP$64,78,TRUE) * VLOOKUP($B38,'A1.3.2'!$B$27:$AY$106,50,)) * $CR$5)</f>
        <v>57.810372763398647</v>
      </c>
      <c r="CC38" s="1567">
        <f>IF(ISERROR(MATCH($B38,'A1.3.2'!$B$27:$B$106,0)),"",SUM(BZ38:CB38))</f>
        <v>83.138081807815183</v>
      </c>
      <c r="CD38" s="1565">
        <f>IF(ISERROR(MATCH($B38,'A1.3.2'!$B$27:$B$106,0)),"",(((VLOOKUP($B38,'Forecast occupancies'!$C$28:$CP$64,80,TRUE)-1)*VLOOKUP($B38,'A1.3.2'!$B$27:$AY$106,36,)+VLOOKUP($B38,'A1.3.2'!$B$27:$AY$106,35,))*$CR$5))</f>
        <v>22.928263524650699</v>
      </c>
      <c r="CE38" s="1565">
        <f>IF(ISERROR(MATCH($B38,'A1.3.2'!$B$27:$B$106,0)),"",VLOOKUP($B38,'Forecast occupancies'!$C$28:$CP$64,81,TRUE)*VLOOKUP($B38,'A1.3.2'!$B$27:$AY$106,49,)*$CR$5)</f>
        <v>12.73374540574166</v>
      </c>
      <c r="CF38" s="1565">
        <f>IF(ISERROR(MATCH($B38,'A1.3.2'!$B$27:$B$106,0)),"",VLOOKUP($B38,'Forecast occupancies'!$C$28:$CP$64,82,TRUE)*VLOOKUP($B38,'A1.3.2'!$B$27:$AY$106,50,)*$CR$5)</f>
        <v>9.6740530412190981</v>
      </c>
      <c r="CG38" s="1566">
        <f>IF(ISERROR(MATCH($B38,'A1.3.2'!$B$27:$B$106,0)),"",(((CD38*'VoT5'!$J$28)+(CE38*'VoT5'!$J$29)+(CF38*'VoT5'!$J$30))/100))</f>
        <v>12.052283262440911</v>
      </c>
      <c r="CH38" s="1565">
        <f>IF(ISERROR(MATCH($B38,'A1.3.2'!$B$27:$B$106,0)),"",(VLOOKUP($B38,'Forecast occupancies'!$C$28:$CP$64,84,TRUE) * VLOOKUP($B38, 'A1.3.2'!$B$27:$AY$106,37,)) * $CR$5)</f>
        <v>16.322926908753466</v>
      </c>
      <c r="CI38" s="1565">
        <f>IF(ISERROR(MATCH($B38,'A1.3.2'!$B$27:$B$106,0)),"",(VLOOKUP($B38,'Forecast occupancies'!$C$28:$CP$64,85,TRUE) * (VLOOKUP($B38,'A1.3.2'!$B$27:$AY$106,49,)*'VoT5'!$J$29 + VLOOKUP($B38,'A1.3.2'!$B$27:$AY$106,50,)*'VoT5'!$J$30) / (SUM('VoT5'!$J$29:$J$30))) * $CR$5)</f>
        <v>10.851041781642348</v>
      </c>
      <c r="CJ38" s="1566">
        <f>IF(ISERROR(MATCH($B38,'A1.3.2'!$B$27:$B$106,0)),"",(CH38*'VoT5'!$J$31 + CI38*'VoT5'!$J$32)/100)</f>
        <v>15.666300693500132</v>
      </c>
      <c r="CK38" s="1566">
        <f>IF(ISERROR(MATCH($B38,'A1.3.2'!$B$27:$B$106,0)),"",(VLOOKUP($B38,'Forecast occupancies'!$C$28:$CP$64,87,TRUE)*VLOOKUP($B38,'A1.3.2'!$B$27:$AY$106,38,)) * $CR$5)</f>
        <v>16.026947910022205</v>
      </c>
      <c r="CL38" s="1566">
        <f>IF(ISERROR(MATCH($B38,'A1.3.2'!$B$27:$B$106,0)),"",(VLOOKUP($B38,'Forecast occupancies'!$C$28:$CP$64,88,TRUE)*VLOOKUP($B38,'A1.3.2'!$B$27:$AY$106,38,)) * $CR$5)</f>
        <v>16.026947910022205</v>
      </c>
      <c r="CM38" s="1565">
        <f>IF(ISERROR(MATCH($B38,'A1.3.2'!$B$27:$B$106,0)),"",(((VLOOKUP($B38,'Forecast occupancies'!$C$28:$CP$64,89,TRUE) -1) * VLOOKUP($B38,'A1.3.2'!$B$27:$AY$106,40,)) + VLOOKUP($B38,'A1.3.2'!$B$27:$AY$106,39,)) * $CR$5)</f>
        <v>18.370712303651768</v>
      </c>
      <c r="CN38" s="1565">
        <f>IF(ISERROR(MATCH($B38,'A1.3.2'!$B$27:$B$106,0)),"",(VLOOKUP($B38,'Forecast occupancies'!$C$28:$CP$64,90,TRUE) * VLOOKUP($B38,'A1.3.2'!$B$27:$AY$106,49,)) * $CR$5)</f>
        <v>18.368462041604811</v>
      </c>
      <c r="CO38" s="1565">
        <f>IF(ISERROR(MATCH($B38,'A1.3.2'!$B$27:$B$106,0)),"",(VLOOKUP($B38,'Forecast occupancies'!$C$28:$CP$64,91,TRUE) * VLOOKUP($B38,'A1.3.2'!$B$27:$AY$106,50,)) * $CR$5)</f>
        <v>52.605916523736816</v>
      </c>
      <c r="CP38" s="1567">
        <f>IF(ISERROR(MATCH($B38,'A1.3.2'!$B$27:$B$106,0)),"",SUM(CM38:CO38))</f>
        <v>89.345090868993395</v>
      </c>
    </row>
    <row r="39" spans="1:94" s="26" customFormat="1" ht="13.5" customHeight="1">
      <c r="A39" s="113"/>
      <c r="B39" s="82">
        <f t="shared" si="0"/>
        <v>2021</v>
      </c>
      <c r="D39" s="1609">
        <f>IF(ISERROR(MATCH($B39,'A1.3.2'!$B$27:$B$106,0)),"",(((VLOOKUP($B39,'Forecast occupancies'!$C$28:$CP$64,2,TRUE) -1) * VLOOKUP($B39,'A1.3.2'!$B$27:$AY$106,36,) + VLOOKUP($B39,'A1.3.2'!$B$27:$AY$106,35,)) * $CR$5))</f>
        <v>22.570414461248532</v>
      </c>
      <c r="E39" s="1565">
        <f>IF(ISERROR(MATCH($B39,'A1.3.2'!$B$27:$B$106,0)),"",VLOOKUP($B39,'Forecast occupancies'!$C$28:$CP$64,3,TRUE)*VLOOKUP($B39,'A1.3.2'!$B$27:$AY$106,49,)*$CR$5)</f>
        <v>12.719577836422459</v>
      </c>
      <c r="F39" s="1565">
        <f>IF(ISERROR(MATCH($B39,'A1.3.2'!$B$27:$B$106,0)),"",VLOOKUP($B39,'Forecast occupancies'!$C$28:$CP$64,4,TRUE)*VLOOKUP($B39,'A1.3.2'!$B$27:$AY$106,50,)*$CR$5)</f>
        <v>8.7755232818240856</v>
      </c>
      <c r="G39" s="1566">
        <f>IF(ISERROR(MATCH($B39,'A1.3.2'!$B$27:$B$106,0)),"",(((D39*'VoT5'!$D$28)+(E39*'VoT5'!$D$29)+(F39*'VoT5'!$D$30))/100))</f>
        <v>12.783993834338931</v>
      </c>
      <c r="H39" s="1565">
        <f>IF(ISERROR(MATCH($B39,'A1.3.2'!$B$27:$B$106,0)),"",(VLOOKUP($B39,'Forecast occupancies'!$C$28:$CP$64,6,TRUE) * VLOOKUP($B39, 'A1.3.2'!$B$27:$AY$106,37,)) * $CR$5)</f>
        <v>16.494663947551544</v>
      </c>
      <c r="I39" s="1565">
        <f>IF(ISERROR(MATCH($B39,'A1.3.2'!$B$27:$B$106,0)),"",VLOOKUP($B39,'Forecast occupancies'!$C$28:$CP$64,7,TRUE) * ('VoT5'!$J$29*VLOOKUP($B39, 'A1.3.2'!$B$27:$AY$106,49,)+'VoT5'!$J$30*VLOOKUP($B39, 'A1.3.2'!$B$27:$AY$106,50,))/('VoT5'!$J$29+'VoT5'!$J$30) * $CR$5)</f>
        <v>10.068681500442221</v>
      </c>
      <c r="J39" s="1566">
        <f>IF(ISERROR(MATCH($B39,'A1.3.2'!$B$27:$B$106,0)),"",(H39*'VoT5'!$D$31 + I39*'VoT5'!$D$32)/100)</f>
        <v>15.723546053898426</v>
      </c>
      <c r="K39" s="1566">
        <f>IF(ISERROR(MATCH($B39,'A1.3.2'!$B$27:$B$106,0)),"",(VLOOKUP($B39,'Forecast occupancies'!$C$28:$CP$64,9,TRUE)*VLOOKUP($B39,'A1.3.2'!$B$27:$AY$106,38,)) * $CR$5)</f>
        <v>16.195570889860601</v>
      </c>
      <c r="L39" s="1566">
        <f>IF(ISERROR(MATCH($B39,'A1.3.2'!$B$27:$B$106,0)),"",(VLOOKUP($B39,'Forecast occupancies'!$C$28:$CP$64,10,TRUE)*VLOOKUP($B39,'A1.3.2'!$B$27:$AY$106,38,)) * $CR$5)</f>
        <v>16.195570889860601</v>
      </c>
      <c r="M39" s="1565">
        <f>IF(ISERROR(MATCH($B39,'A1.3.2'!$B$27:$B$106,0)),"",(((VLOOKUP($B39,'Forecast occupancies'!$C$28:$CP$64,11,TRUE) -1) * VLOOKUP($B39,'A1.3.2'!$B$27:$AY$106,40,)) + VLOOKUP($B39,'A1.3.2'!$B$27:$AY$106,39,)) * $CR$5)</f>
        <v>18.454999455200195</v>
      </c>
      <c r="N39" s="1565">
        <f>IF(ISERROR(MATCH($B39,'A1.3.2'!$B$27:$B$106,0)),"",(VLOOKUP($B39,'Forecast occupancies'!$C$28:$CP$64,12,TRUE) * VLOOKUP($B39,'A1.3.2'!$B$27:$AY$106,49,)) * $CR$5)</f>
        <v>25.263513783056045</v>
      </c>
      <c r="O39" s="1565">
        <f>IF(ISERROR(MATCH($B39,'A1.3.2'!$B$27:$B$106,0)),"",(VLOOKUP($B39,'Forecast occupancies'!$C$28:$CP$64,13,TRUE) * VLOOKUP($B39,'A1.3.2'!$B$27:$AY$106,50,)) * $CR$5)</f>
        <v>50.149891747069269</v>
      </c>
      <c r="P39" s="1567">
        <f>IF(ISERROR(MATCH($B39,'A1.3.2'!$B$27:$B$106,0)),"",SUM(M39:O39))</f>
        <v>93.868404985325498</v>
      </c>
      <c r="Q39" s="1609">
        <f>IF(ISERROR(MATCH($B39,'A1.3.2'!$B$27:$B$106,0)),"",(((VLOOKUP($B39,'Forecast occupancies'!$C$28:$CP$64,15,TRUE)-1)*VLOOKUP($B39,'A1.3.2'!$B$27:$AY$106,36,)+VLOOKUP($B39,'A1.3.2'!$B$27:$AY$106,35,))*$CR$5))</f>
        <v>23.1284140208937</v>
      </c>
      <c r="R39" s="1565">
        <f>IF(ISERROR(MATCH($B39,'A1.3.2'!$B$27:$B$106,0)),"",VLOOKUP($B39,'Forecast occupancies'!$C$28:$CP$64,16,TRUE)*VLOOKUP($B39,'A1.3.2'!$B$27:$AY$106,49,)*$CR$5)</f>
        <v>12.92639935814732</v>
      </c>
      <c r="S39" s="1565">
        <f>IF(ISERROR(MATCH($B39,'A1.3.2'!$B$27:$B$106,0)),"",VLOOKUP($B39,'Forecast occupancies'!$C$28:$CP$64,17,TRUE)*VLOOKUP($B39,'A1.3.2'!$B$27:$AY$106,50,)*$CR$5)</f>
        <v>9.3480052501651674</v>
      </c>
      <c r="T39" s="1566">
        <f>IF(ISERROR(MATCH($B39,'A1.3.2'!$B$27:$B$106,0)),"",(((Q39*'VoT5'!$E$28)+(R39*'VoT5'!$E$29)+(S39*'VoT5'!$E$30))/100))</f>
        <v>12.040088546012662</v>
      </c>
      <c r="U39" s="1565">
        <f>IF(ISERROR(MATCH($B39,'A1.3.2'!$B$27:$B$106,0)),"",(VLOOKUP($B39,'Forecast occupancies'!$C$28:$CP$64,19,TRUE) * VLOOKUP($B39, 'A1.3.2'!$B$27:$AY$106,37,)) * $CR$5)</f>
        <v>16.494663947551544</v>
      </c>
      <c r="V39" s="1565">
        <f>IF(ISERROR(MATCH($B39,'A1.3.2'!$B$27:$B$106,0)),"",VLOOKUP($B39,'Forecast occupancies'!$C$28:$CP$64,20,TRUE) * ('VoT5'!$J$29*VLOOKUP($B39, 'A1.3.2'!$B$27:$AY$106,49,)+'VoT5'!$J$30*VLOOKUP($B39, 'A1.3.2'!$B$27:$AY$106,50,))/('VoT5'!$J$29+'VoT5'!$J$30) * $CR$5)</f>
        <v>10.068681500442221</v>
      </c>
      <c r="W39" s="1566">
        <f>IF(ISERROR(MATCH($B39,'A1.3.2'!$B$27:$B$106,0)),"",(U39*'VoT5'!$E$31 + V39*'VoT5'!$E$32)/100)</f>
        <v>15.723546053898426</v>
      </c>
      <c r="X39" s="1566">
        <f>IF(ISERROR(MATCH($B39,'A1.3.2'!$B$27:$B$106,0)),"",(VLOOKUP($B39,'Forecast occupancies'!$C$28:$CP$64,22,TRUE)*VLOOKUP($B39,'A1.3.2'!$B$27:$AY$106,38,)) * $CR$5)</f>
        <v>16.195570889860601</v>
      </c>
      <c r="Y39" s="1566">
        <f>IF(ISERROR(MATCH($B39,'A1.3.2'!$B$27:$B$106,0)),"",(VLOOKUP($B39,'Forecast occupancies'!$C$28:$CP$64,23,TRUE)*VLOOKUP($B39,'A1.3.2'!$B$27:$AY$106,38,)) * $CR$5)</f>
        <v>16.195570889860601</v>
      </c>
      <c r="Z39" s="1565">
        <f>IF(ISERROR(MATCH($B39,'A1.3.2'!$B$27:$B$106,0)),"",(((VLOOKUP($B39,'Forecast occupancies'!$C$28:$CP$64,24,TRUE) -1) * VLOOKUP($B39,'A1.3.2'!$B$27:$AY$106,40,)) + VLOOKUP($B39,'A1.3.2'!$B$27:$AY$106,39,)) * $CR$5)</f>
        <v>18.83168240566679</v>
      </c>
      <c r="AA39" s="1565">
        <f>IF(ISERROR(MATCH($B39,'A1.3.2'!$B$27:$B$106,0)),"",(VLOOKUP($B39,'Forecast occupancies'!$C$28:$CP$64,25,TRUE) * VLOOKUP($B39,'A1.3.2'!$B$27:$AY$106,49,)) * $CR$5)</f>
        <v>8.8540576577893297</v>
      </c>
      <c r="AB39" s="1565">
        <f>IF(ISERROR(MATCH($B39,'A1.3.2'!$B$27:$B$106,0)),"",(VLOOKUP($B39,'Forecast occupancies'!$C$28:$CP$64,26,TRUE) * VLOOKUP($B39,'A1.3.2'!$B$27:$AY$106,50,)) * $CR$5)</f>
        <v>57.468947337488842</v>
      </c>
      <c r="AC39" s="1567">
        <f>IF(ISERROR(MATCH($B39,'A1.3.2'!$B$27:$B$106,0)),"",SUM(Z39:AB39))</f>
        <v>85.154687400944965</v>
      </c>
      <c r="AD39" s="1609">
        <f>IF(ISERROR(MATCH($B39,'A1.3.2'!$B$27:$B$106,0)),"",(((VLOOKUP($B39,'Forecast occupancies'!$C$28:$CP$64,28,TRUE)-1)*VLOOKUP($B39,'A1.3.2'!$B$27:$AY$106,36,)+VLOOKUP($B39,'A1.3.2'!$B$27:$AY$106,35,))*$CR$5))</f>
        <v>22.896139975991211</v>
      </c>
      <c r="AE39" s="1565">
        <f>IF(ISERROR(MATCH($B39,'A1.3.2'!$B$27:$B$106,0)),"",VLOOKUP($B39,'Forecast occupancies'!$C$28:$CP$64,29,TRUE)*VLOOKUP($B39,'A1.3.2'!$B$27:$AY$106,49,)*$CR$5)</f>
        <v>12.763452201363464</v>
      </c>
      <c r="AF39" s="1565">
        <f>IF(ISERROR(MATCH($B39,'A1.3.2'!$B$27:$B$106,0)),"",VLOOKUP($B39,'Forecast occupancies'!$C$28:$CP$64,30,TRUE)*VLOOKUP($B39,'A1.3.2'!$B$27:$AY$106,50,)*$CR$5)</f>
        <v>9.189795358559472</v>
      </c>
      <c r="AG39" s="1566">
        <f>IF(ISERROR(MATCH($B39,'A1.3.2'!$B$27:$B$106,0)),"",(((AD39*'VoT5'!$F$28)+(AE39*'VoT5'!$F$29)+(AF39*'VoT5'!$F$30))/100))</f>
        <v>12.282793655960102</v>
      </c>
      <c r="AH39" s="1565">
        <f>IF(ISERROR(MATCH($B39,'A1.3.2'!$B$27:$B$106,0)),"",(VLOOKUP($B39,'Forecast occupancies'!$C$28:$CP$64,32,TRUE) * VLOOKUP($B39, 'A1.3.2'!$B$27:$AY$106,37,)) * $CR$5)</f>
        <v>16.494663947551544</v>
      </c>
      <c r="AI39" s="1565">
        <f>IF(ISERROR(MATCH($B39,'A1.3.2'!$B$27:$B$106,0)),"",VLOOKUP($B39,'Forecast occupancies'!$C$28:$CP$64,33,TRUE) * ('VoT5'!$J$29*VLOOKUP($B39, 'A1.3.2'!$B$27:$AY$106,49,)+'VoT5'!$J$30*VLOOKUP($B39, 'A1.3.2'!$B$27:$AY$106,50,))/('VoT5'!$J$29+'VoT5'!$J$30) * $CR$5)</f>
        <v>10.068681500442221</v>
      </c>
      <c r="AJ39" s="1566">
        <f>IF(ISERROR(MATCH($B39,'A1.3.2'!$B$27:$B$106,0)),"",(AH39*'VoT5'!$F$31 + AI39*'VoT5'!$F$32)/100)</f>
        <v>15.723546053898426</v>
      </c>
      <c r="AK39" s="1566">
        <f>IF(ISERROR(MATCH($B39,'A1.3.2'!$B$27:$B$106,0)),"",(VLOOKUP($B39,'Forecast occupancies'!$C$28:$CP$64,35,TRUE)*VLOOKUP($B39,'A1.3.2'!$B$27:$AY$106,38,)) * $CR$5)</f>
        <v>16.195570889860601</v>
      </c>
      <c r="AL39" s="1566">
        <f>IF(ISERROR(MATCH($B39,'A1.3.2'!$B$27:$B$106,0)),"",(VLOOKUP($B39,'Forecast occupancies'!$C$28:$CP$64,36,TRUE)*VLOOKUP($B39,'A1.3.2'!$B$27:$AY$106,38,)) * $CR$5)</f>
        <v>16.195570889860601</v>
      </c>
      <c r="AM39" s="1565">
        <f>IF(ISERROR(MATCH($B39,'A1.3.2'!$B$27:$B$106,0)),"",(((VLOOKUP($B39,'Forecast occupancies'!$C$28:$CP$64,37,TRUE) -1) * VLOOKUP($B39,'A1.3.2'!$B$27:$AY$106,40,)) + VLOOKUP($B39,'A1.3.2'!$B$27:$AY$106,39,)) * $CR$5)</f>
        <v>19.703345956009564</v>
      </c>
      <c r="AN39" s="1565">
        <f>IF(ISERROR(MATCH($B39,'A1.3.2'!$B$27:$B$106,0)),"",(VLOOKUP($B39,'Forecast occupancies'!$C$28:$CP$64,38,TRUE) * VLOOKUP($B39,'A1.3.2'!$B$27:$AY$106,49,)) * $CR$5)</f>
        <v>35.530038141173151</v>
      </c>
      <c r="AO39" s="1565">
        <f>IF(ISERROR(MATCH($B39,'A1.3.2'!$B$27:$B$106,0)),"",(VLOOKUP($B39,'Forecast occupancies'!$C$28:$CP$64,39,TRUE) * VLOOKUP($B39,'A1.3.2'!$B$27:$AY$106,50,)) * $CR$5)</f>
        <v>44.898191555467186</v>
      </c>
      <c r="AP39" s="1567">
        <f>IF(ISERROR(MATCH($B39,'A1.3.2'!$B$27:$B$106,0)),"",SUM(AM39:AO39))</f>
        <v>100.1315756526499</v>
      </c>
      <c r="AQ39" s="1609">
        <f>IF(ISERROR(MATCH($B39,'A1.3.2'!$B$27:$B$106,0)),"",(((VLOOKUP($B39,'Forecast occupancies'!$C$28:$CP$64,41,TRUE)-1)*VLOOKUP($B39,'A1.3.2'!$B$27:$AY$106,36,)+VLOOKUP($B39,'A1.3.2'!$B$27:$AY$106,35,))*$CR$5))</f>
        <v>23.329349189397355</v>
      </c>
      <c r="AR39" s="1565">
        <f>IF(ISERROR(MATCH($B39,'A1.3.2'!$B$27:$B$106,0)),"",VLOOKUP($B39,'Forecast occupancies'!$C$28:$CP$64,42,TRUE)*VLOOKUP($B39,'A1.3.2'!$B$27:$AY$106,49,)*$CR$5)</f>
        <v>12.950257480101776</v>
      </c>
      <c r="AS39" s="1565">
        <f>IF(ISERROR(MATCH($B39,'A1.3.2'!$B$27:$B$106,0)),"",VLOOKUP($B39,'Forecast occupancies'!$C$28:$CP$64,43,TRUE)*VLOOKUP($B39,'A1.3.2'!$B$27:$AY$106,50,)*$CR$5)</f>
        <v>9.1569857739880689</v>
      </c>
      <c r="AT39" s="1566">
        <f>IF(ISERROR(MATCH($B39,'A1.3.2'!$B$27:$B$106,0)),"",(((AQ39*'VoT5'!$G$28)+(AR39*'VoT5'!$G$29)+(AS39*'VoT5'!$G$30))/100))</f>
        <v>12.444248520254963</v>
      </c>
      <c r="AU39" s="1565">
        <f>IF(ISERROR(MATCH($B39,'A1.3.2'!$B$27:$B$106,0)),"",(VLOOKUP($B39,'Forecast occupancies'!$C$28:$CP$64,45,TRUE) * VLOOKUP($B39, 'A1.3.2'!$B$27:$AY$106,37,)) * $CR$5)</f>
        <v>16.494663947551544</v>
      </c>
      <c r="AV39" s="1565">
        <f>IF(ISERROR(MATCH($B39,'A1.3.2'!$B$27:$B$106,0)),"",VLOOKUP($B39,'Forecast occupancies'!$C$28:$CP$64,46,TRUE) * ('VoT5'!$J$29*VLOOKUP($B39, 'A1.3.2'!$B$27:$AY$106,49,)+'VoT5'!$J$30*VLOOKUP($B39, 'A1.3.2'!$B$27:$AY$106,50,))/('VoT5'!$J$29+'VoT5'!$J$30) * $CR$5)</f>
        <v>10.068681500442221</v>
      </c>
      <c r="AW39" s="1566">
        <f>IF(ISERROR(MATCH($B39,'A1.3.2'!$B$27:$B$106,0)),"",(AU39*'VoT5'!$G$31 + AV39*'VoT5'!$G$32)/100)</f>
        <v>15.723546053898426</v>
      </c>
      <c r="AX39" s="1566">
        <f>IF(ISERROR(MATCH($B39,'A1.3.2'!$B$27:$B$106,0)),"",(VLOOKUP($B39,'Forecast occupancies'!$C$28:$CP$64,48,TRUE)*VLOOKUP($B39,'A1.3.2'!$B$27:$AY$106,38,)) * $CR$5)</f>
        <v>16.195570889860601</v>
      </c>
      <c r="AY39" s="1566">
        <f>IF(ISERROR(MATCH($B39,'A1.3.2'!$B$27:$B$106,0)),"",(VLOOKUP($B39,'Forecast occupancies'!$C$28:$CP$64,49,TRUE)*VLOOKUP($B39,'A1.3.2'!$B$27:$AY$106,38,)) * $CR$5)</f>
        <v>16.195570889860601</v>
      </c>
      <c r="AZ39" s="1565">
        <f>IF(ISERROR(MATCH($B39,'A1.3.2'!$B$27:$B$106,0)),"",(((VLOOKUP($B39,'Forecast occupancies'!$C$28:$CP$64,50,TRUE) -1) * VLOOKUP($B39,'A1.3.2'!$B$27:$AY$106,40,)) + VLOOKUP($B39,'A1.3.2'!$B$27:$AY$106,39,)) * $CR$5)</f>
        <v>19.687412389116659</v>
      </c>
      <c r="BA39" s="1565">
        <f>IF(ISERROR(MATCH($B39,'A1.3.2'!$B$27:$B$106,0)),"",(VLOOKUP($B39,'Forecast occupancies'!$C$28:$CP$64,51,TRUE) * VLOOKUP($B39,'A1.3.2'!$B$27:$AY$106,49,)) * $CR$5)</f>
        <v>48.568679589320737</v>
      </c>
      <c r="BB39" s="1565">
        <f>IF(ISERROR(MATCH($B39,'A1.3.2'!$B$27:$B$106,0)),"",(VLOOKUP($B39,'Forecast occupancies'!$C$28:$CP$64,52,TRUE) * VLOOKUP($B39,'A1.3.2'!$B$27:$AY$106,50,)) * $CR$5)</f>
        <v>38.954185396526164</v>
      </c>
      <c r="BC39" s="1567">
        <f>IF(ISERROR(MATCH($B39,'A1.3.2'!$B$27:$B$106,0)),"",SUM(AZ39:BB39))</f>
        <v>107.21027737496357</v>
      </c>
      <c r="BD39" s="1565">
        <f>IF(ISERROR(MATCH($B39,'A1.3.2'!$B$27:$B$106,0)),"",(((VLOOKUP($B39,'Forecast occupancies'!$C$28:$CP$64,54,TRUE)-1)*VLOOKUP($B39,'A1.3.2'!$B$27:$AY$106,36,)+VLOOKUP($B39,'A1.3.2'!$B$27:$AY$106,35,))*$CR$5))</f>
        <v>22.936878844514165</v>
      </c>
      <c r="BE39" s="1565">
        <f>IF(ISERROR(MATCH($B39,'A1.3.2'!$B$27:$B$106,0)),"",VLOOKUP($B39,'Forecast occupancies'!$C$28:$CP$64,55,TRUE)*VLOOKUP($B39,'A1.3.2'!$B$27:$AY$106,49,)*$CR$5)</f>
        <v>12.806848045151034</v>
      </c>
      <c r="BF39" s="1565">
        <f>IF(ISERROR(MATCH($B39,'A1.3.2'!$B$27:$B$106,0)),"",VLOOKUP($B39,'Forecast occupancies'!$C$28:$CP$64,56,TRUE)*VLOOKUP($B39,'A1.3.2'!$B$27:$AY$106,50,)*$CR$5)</f>
        <v>9.1797376763738896</v>
      </c>
      <c r="BG39" s="1566">
        <f>IF(ISERROR(MATCH($B39,'A1.3.2'!$B$27:$B$106,0)),"",(((BD39*'VoT5'!$H$28)+(BE39*'VoT5'!$H$29)+(BF39*'VoT5'!$H$30))/100))</f>
        <v>12.354629690461049</v>
      </c>
      <c r="BH39" s="1565">
        <f>IF(ISERROR(MATCH($B39,'A1.3.2'!$B$27:$B$106,0)),"",(VLOOKUP($B39,'Forecast occupancies'!$C$28:$CP$64,58,TRUE) * VLOOKUP($B39, 'A1.3.2'!$B$27:$AY$106,37,)) * $CR$5)</f>
        <v>16.494663947551544</v>
      </c>
      <c r="BI39" s="1565">
        <f>IF(ISERROR(MATCH($B39,'A1.3.2'!$B$27:$B$106,0)),"",(VLOOKUP($B39,'Forecast occupancies'!$C$28:$CP$64,59,TRUE) * (VLOOKUP($B39,'A1.3.2'!$B$27:$AY$106,49,) * 'VoT5'!$J$29 + VLOOKUP($B39,'A1.3.2'!$B$27:$AY$106,50,) * 'VoT5'!$J$30) / (SUM('VoT5'!$J$29:$J$30))) * $CR$5)</f>
        <v>10.068681500442221</v>
      </c>
      <c r="BJ39" s="1566">
        <f>IF(ISERROR(MATCH($B39,'A1.3.2'!$B$27:$B$106,0)),"",(BH39*'VoT5'!$H$31 + BI39*'VoT5'!$H$32)/100)</f>
        <v>15.723546053898426</v>
      </c>
      <c r="BK39" s="1566">
        <f>IF(ISERROR(MATCH($B39,'A1.3.2'!$B$27:$B$106,0)),"",(VLOOKUP($B39,'Forecast occupancies'!$C$28:$CP$64,61,TRUE)*VLOOKUP($B39,'A1.3.2'!$B$27:$AY$106,38,)) * $CR$5)</f>
        <v>16.195570889860601</v>
      </c>
      <c r="BL39" s="1566">
        <f>IF(ISERROR(MATCH($B39,'A1.3.2'!$B$27:$B$106,0)),"",(VLOOKUP($B39,'Forecast occupancies'!$C$28:$CP$64,62,TRUE)*VLOOKUP($B39,'A1.3.2'!$B$27:$AY$106,38,)) * $CR$5)</f>
        <v>16.195570889860601</v>
      </c>
      <c r="BM39" s="1565">
        <f>IF(ISERROR(MATCH($B39,'A1.3.2'!$B$27:$B$106,0)),"",(((VLOOKUP($B39,'Forecast occupancies'!$C$28:$CP$64,63,TRUE) -1) * VLOOKUP($B39,'A1.3.2'!$B$27:$AY$106,40,)) + VLOOKUP($B39,'A1.3.2'!$B$27:$AY$106,39,)) * $CR$5)</f>
        <v>18.982430978816573</v>
      </c>
      <c r="BN39" s="1565">
        <f>IF(ISERROR(MATCH($B39,'A1.3.2'!$B$27:$B$106,0)),"",(VLOOKUP($B39,'Forecast occupancies'!$C$28:$CP$64,64,TRUE) * VLOOKUP($B39,'A1.3.2'!$B$27:$AY$106,49,)) * $CR$5)</f>
        <v>21.925529095489843</v>
      </c>
      <c r="BO39" s="1565">
        <f>IF(ISERROR(MATCH($B39,'A1.3.2'!$B$27:$B$106,0)),"",(VLOOKUP($B39,'Forecast occupancies'!$C$28:$CP$64,65,TRUE) * VLOOKUP($B39,'A1.3.2'!$B$27:$AY$106,50,)) * $CR$5)</f>
        <v>51.434416274832486</v>
      </c>
      <c r="BP39" s="1567">
        <f>IF(ISERROR(MATCH($B39,'A1.3.2'!$B$27:$B$106,0)),"",SUM(BM39:BO39))</f>
        <v>92.342376349138902</v>
      </c>
      <c r="BQ39" s="1565">
        <f>IF(ISERROR(MATCH($B39,'A1.3.2'!$B$27:$B$106,0)),"",(((VLOOKUP($B39,'Forecast occupancies'!$C$28:$CP$64,67,TRUE)-1)*VLOOKUP($B39,'A1.3.2'!$B$27:$AY$106,36,)+VLOOKUP($B39,'A1.3.2'!$B$27:$AY$106,35,))*$CR$5))</f>
        <v>26.213981189239576</v>
      </c>
      <c r="BR39" s="1565">
        <f>IF(ISERROR(MATCH($B39,'A1.3.2'!$B$27:$B$106,0)),"",VLOOKUP($B39,'Forecast occupancies'!$C$28:$CP$64,68,TRUE)*VLOOKUP($B39,'A1.3.2'!$B$27:$AY$106,49,)*$CR$5)</f>
        <v>13.559275112707121</v>
      </c>
      <c r="BS39" s="1565">
        <f>IF(ISERROR(MATCH($B39,'A1.3.2'!$B$27:$B$106,0)),"",VLOOKUP($B39,'Forecast occupancies'!$C$28:$CP$64,69,TRUE)*VLOOKUP($B39,'A1.3.2'!$B$27:$AY$106,50,)*$CR$5)</f>
        <v>10.869030697824389</v>
      </c>
      <c r="BT39" s="1566">
        <f>IF(ISERROR(MATCH($B39,'A1.3.2'!$B$27:$B$106,0)),"",(((BQ39*'VoT5'!$I$28)+(BR39*'VoT5'!$I$29)+(BS39*'VoT5'!$I$30))/100))</f>
        <v>11.6142447500442</v>
      </c>
      <c r="BU39" s="1565">
        <f>IF(ISERROR(MATCH($B39,'A1.3.2'!$B$27:$B$106,0)),"",(VLOOKUP($B39,'Forecast occupancies'!$C$28:$CP$64,71,TRUE) * VLOOKUP($B39, 'A1.3.2'!$B$27:$AY$106,37,)) * $CR$5)</f>
        <v>17.319397144929123</v>
      </c>
      <c r="BV39" s="1565">
        <f>IF(ISERROR(MATCH($B39,'A1.3.2'!$B$27:$B$106,0)),"",(VLOOKUP($B39,'Forecast occupancies'!$C$28:$CP$64,72,TRUE) * (VLOOKUP($B39,'A1.3.2'!$B$27:$AY$106,49,)*'VoT5'!$J$29 + VLOOKUP($B39,'A1.3.2'!$B$27:$AY$106,50,)*'VoT5'!$J$30) / (SUM('VoT5'!$J$29:$J$30))) * $CR$5)</f>
        <v>13.999605099929935</v>
      </c>
      <c r="BW39" s="1566">
        <f>IF(ISERROR(MATCH($B39,'A1.3.2'!$B$27:$B$106,0)),"",(BU39*'VoT5'!$I$31 + BV39*'VoT5'!$I$32)/100)</f>
        <v>16.921022099529221</v>
      </c>
      <c r="BX39" s="1566">
        <f>IF(ISERROR(MATCH($B39,'A1.3.2'!$B$27:$B$106,0)),"",(VLOOKUP($B39,'Forecast occupancies'!$C$28:$CP$64,74,TRUE)*VLOOKUP($B39,'A1.3.2'!$B$27:$AY$106,38,)) * $CR$5)</f>
        <v>16.195570889860601</v>
      </c>
      <c r="BY39" s="1566">
        <f>IF(ISERROR(MATCH($B39,'A1.3.2'!$B$27:$B$106,0)),"",(VLOOKUP($B39,'Forecast occupancies'!$C$28:$CP$64,75,TRUE)*VLOOKUP($B39,'A1.3.2'!$B$27:$AY$106,38,)) * $CR$5)</f>
        <v>16.195570889860601</v>
      </c>
      <c r="BZ39" s="1565">
        <f>IF(ISERROR(MATCH($B39,'A1.3.2'!$B$27:$B$106,0)),"",(((VLOOKUP($B39,'Forecast occupancies'!$C$28:$CP$64,76,TRUE) -1) * VLOOKUP($B39,'A1.3.2'!$B$27:$AY$106,40,)) + VLOOKUP($B39,'A1.3.2'!$B$27:$AY$106,39,)) * $CR$5)</f>
        <v>17.287950868066961</v>
      </c>
      <c r="CA39" s="1565">
        <f>IF(ISERROR(MATCH($B39,'A1.3.2'!$B$27:$B$106,0)),"",(VLOOKUP($B39,'Forecast occupancies'!$C$28:$CP$64,77,TRUE) * VLOOKUP($B39,'A1.3.2'!$B$27:$AY$106,49,)) * $CR$5)</f>
        <v>8.3062364724996964</v>
      </c>
      <c r="CB39" s="1565">
        <f>IF(ISERROR(MATCH($B39,'A1.3.2'!$B$27:$B$106,0)),"",(VLOOKUP($B39,'Forecast occupancies'!$C$28:$CP$64,78,TRUE) * VLOOKUP($B39,'A1.3.2'!$B$27:$AY$106,50,)) * $CR$5)</f>
        <v>58.418608178878891</v>
      </c>
      <c r="CC39" s="1567">
        <f>IF(ISERROR(MATCH($B39,'A1.3.2'!$B$27:$B$106,0)),"",SUM(BZ39:CB39))</f>
        <v>84.012795519445547</v>
      </c>
      <c r="CD39" s="1565">
        <f>IF(ISERROR(MATCH($B39,'A1.3.2'!$B$27:$B$106,0)),"",(((VLOOKUP($B39,'Forecast occupancies'!$C$28:$CP$64,80,TRUE)-1)*VLOOKUP($B39,'A1.3.2'!$B$27:$AY$106,36,)+VLOOKUP($B39,'A1.3.2'!$B$27:$AY$106,35,))*$CR$5))</f>
        <v>23.169496736348407</v>
      </c>
      <c r="CE39" s="1565">
        <f>IF(ISERROR(MATCH($B39,'A1.3.2'!$B$27:$B$106,0)),"",VLOOKUP($B39,'Forecast occupancies'!$C$28:$CP$64,81,TRUE)*VLOOKUP($B39,'A1.3.2'!$B$27:$AY$106,49,)*$CR$5)</f>
        <v>12.867719890894689</v>
      </c>
      <c r="CF39" s="1565">
        <f>IF(ISERROR(MATCH($B39,'A1.3.2'!$B$27:$B$106,0)),"",VLOOKUP($B39,'Forecast occupancies'!$C$28:$CP$64,82,TRUE)*VLOOKUP($B39,'A1.3.2'!$B$27:$AY$106,50,)*$CR$5)</f>
        <v>9.7758358422915954</v>
      </c>
      <c r="CG39" s="1566">
        <f>IF(ISERROR(MATCH($B39,'A1.3.2'!$B$27:$B$106,0)),"",(((CD39*'VoT5'!$J$28)+(CE39*'VoT5'!$J$29)+(CF39*'VoT5'!$J$30))/100))</f>
        <v>12.179087937228573</v>
      </c>
      <c r="CH39" s="1565">
        <f>IF(ISERROR(MATCH($B39,'A1.3.2'!$B$27:$B$106,0)),"",(VLOOKUP($B39,'Forecast occupancies'!$C$28:$CP$64,84,TRUE) * VLOOKUP($B39, 'A1.3.2'!$B$27:$AY$106,37,)) * $CR$5)</f>
        <v>16.494663947551544</v>
      </c>
      <c r="CI39" s="1565">
        <f>IF(ISERROR(MATCH($B39,'A1.3.2'!$B$27:$B$106,0)),"",(VLOOKUP($B39,'Forecast occupancies'!$C$28:$CP$64,85,TRUE) * (VLOOKUP($B39,'A1.3.2'!$B$27:$AY$106,49,)*'VoT5'!$J$29 + VLOOKUP($B39,'A1.3.2'!$B$27:$AY$106,50,)*'VoT5'!$J$30) / (SUM('VoT5'!$J$29:$J$30))) * $CR$5)</f>
        <v>10.965207935413103</v>
      </c>
      <c r="CJ39" s="1566">
        <f>IF(ISERROR(MATCH($B39,'A1.3.2'!$B$27:$B$106,0)),"",(CH39*'VoT5'!$J$31 + CI39*'VoT5'!$J$32)/100)</f>
        <v>15.831129226094932</v>
      </c>
      <c r="CK39" s="1566">
        <f>IF(ISERROR(MATCH($B39,'A1.3.2'!$B$27:$B$106,0)),"",(VLOOKUP($B39,'Forecast occupancies'!$C$28:$CP$64,87,TRUE)*VLOOKUP($B39,'A1.3.2'!$B$27:$AY$106,38,)) * $CR$5)</f>
        <v>16.195570889860601</v>
      </c>
      <c r="CL39" s="1566">
        <f>IF(ISERROR(MATCH($B39,'A1.3.2'!$B$27:$B$106,0)),"",(VLOOKUP($B39,'Forecast occupancies'!$C$28:$CP$64,88,TRUE)*VLOOKUP($B39,'A1.3.2'!$B$27:$AY$106,38,)) * $CR$5)</f>
        <v>16.195570889860601</v>
      </c>
      <c r="CM39" s="1565">
        <f>IF(ISERROR(MATCH($B39,'A1.3.2'!$B$27:$B$106,0)),"",(((VLOOKUP($B39,'Forecast occupancies'!$C$28:$CP$64,89,TRUE) -1) * VLOOKUP($B39,'A1.3.2'!$B$27:$AY$106,40,)) + VLOOKUP($B39,'A1.3.2'!$B$27:$AY$106,39,)) * $CR$5)</f>
        <v>18.563994534790648</v>
      </c>
      <c r="CN39" s="1565">
        <f>IF(ISERROR(MATCH($B39,'A1.3.2'!$B$27:$B$106,0)),"",(VLOOKUP($B39,'Forecast occupancies'!$C$28:$CP$64,90,TRUE) * VLOOKUP($B39,'A1.3.2'!$B$27:$AY$106,49,)) * $CR$5)</f>
        <v>18.561720597250769</v>
      </c>
      <c r="CO39" s="1565">
        <f>IF(ISERROR(MATCH($B39,'A1.3.2'!$B$27:$B$106,0)),"",(VLOOKUP($B39,'Forecast occupancies'!$C$28:$CP$64,91,TRUE) * VLOOKUP($B39,'A1.3.2'!$B$27:$AY$106,50,)) * $CR$5)</f>
        <v>53.159394731263482</v>
      </c>
      <c r="CP39" s="1567">
        <f>IF(ISERROR(MATCH($B39,'A1.3.2'!$B$27:$B$106,0)),"",SUM(CM39:CO39))</f>
        <v>90.285109863304911</v>
      </c>
    </row>
    <row r="40" spans="1:94" s="26" customFormat="1" ht="13.5" customHeight="1">
      <c r="A40" s="113"/>
      <c r="B40" s="82">
        <f t="shared" si="0"/>
        <v>2022</v>
      </c>
      <c r="D40" s="1609">
        <f>IF(ISERROR(MATCH($B40,'A1.3.2'!$B$27:$B$106,0)),"",(((VLOOKUP($B40,'Forecast occupancies'!$C$28:$CP$64,2,TRUE) -1) * VLOOKUP($B40,'A1.3.2'!$B$27:$AY$106,36,) + VLOOKUP($B40,'A1.3.2'!$B$27:$AY$106,35,)) * $CR$5))</f>
        <v>22.815377426550572</v>
      </c>
      <c r="E40" s="1565">
        <f>IF(ISERROR(MATCH($B40,'A1.3.2'!$B$27:$B$106,0)),"",VLOOKUP($B40,'Forecast occupancies'!$C$28:$CP$64,3,TRUE)*VLOOKUP($B40,'A1.3.2'!$B$27:$AY$106,49,)*$CR$5)</f>
        <v>12.857626940906107</v>
      </c>
      <c r="F40" s="1565">
        <f>IF(ISERROR(MATCH($B40,'A1.3.2'!$B$27:$B$106,0)),"",VLOOKUP($B40,'Forecast occupancies'!$C$28:$CP$64,4,TRUE)*VLOOKUP($B40,'A1.3.2'!$B$27:$AY$106,50,)*$CR$5)</f>
        <v>8.8707664688237529</v>
      </c>
      <c r="G40" s="1566">
        <f>IF(ISERROR(MATCH($B40,'A1.3.2'!$B$27:$B$106,0)),"",(((D40*'VoT5'!$D$28)+(E40*'VoT5'!$D$29)+(F40*'VoT5'!$D$30))/100))</f>
        <v>12.922742063505893</v>
      </c>
      <c r="H40" s="1565">
        <f>IF(ISERROR(MATCH($B40,'A1.3.2'!$B$27:$B$106,0)),"",(VLOOKUP($B40,'Forecast occupancies'!$C$28:$CP$64,6,TRUE) * VLOOKUP($B40, 'A1.3.2'!$B$27:$AY$106,37,)) * $CR$5)</f>
        <v>16.673685108159393</v>
      </c>
      <c r="I40" s="1565">
        <f>IF(ISERROR(MATCH($B40,'A1.3.2'!$B$27:$B$106,0)),"",VLOOKUP($B40,'Forecast occupancies'!$C$28:$CP$64,7,TRUE) * ('VoT5'!$J$29*VLOOKUP($B40, 'A1.3.2'!$B$27:$AY$106,49,)+'VoT5'!$J$30*VLOOKUP($B40, 'A1.3.2'!$B$27:$AY$106,50,))/('VoT5'!$J$29+'VoT5'!$J$30) * $CR$5)</f>
        <v>10.177959692088404</v>
      </c>
      <c r="J40" s="1566">
        <f>IF(ISERROR(MATCH($B40,'A1.3.2'!$B$27:$B$106,0)),"",(H40*'VoT5'!$D$31 + I40*'VoT5'!$D$32)/100)</f>
        <v>15.894198058230876</v>
      </c>
      <c r="K40" s="1566">
        <f>IF(ISERROR(MATCH($B40,'A1.3.2'!$B$27:$B$106,0)),"",(VLOOKUP($B40,'Forecast occupancies'!$C$28:$CP$64,9,TRUE)*VLOOKUP($B40,'A1.3.2'!$B$27:$AY$106,38,)) * $CR$5)</f>
        <v>16.371345910596315</v>
      </c>
      <c r="L40" s="1566">
        <f>IF(ISERROR(MATCH($B40,'A1.3.2'!$B$27:$B$106,0)),"",(VLOOKUP($B40,'Forecast occupancies'!$C$28:$CP$64,10,TRUE)*VLOOKUP($B40,'A1.3.2'!$B$27:$AY$106,38,)) * $CR$5)</f>
        <v>16.371345910596315</v>
      </c>
      <c r="M40" s="1565">
        <f>IF(ISERROR(MATCH($B40,'A1.3.2'!$B$27:$B$106,0)),"",(((VLOOKUP($B40,'Forecast occupancies'!$C$28:$CP$64,11,TRUE) -1) * VLOOKUP($B40,'A1.3.2'!$B$27:$AY$106,40,)) + VLOOKUP($B40,'A1.3.2'!$B$27:$AY$106,39,)) * $CR$5)</f>
        <v>18.655296680532729</v>
      </c>
      <c r="N40" s="1565">
        <f>IF(ISERROR(MATCH($B40,'A1.3.2'!$B$27:$B$106,0)),"",(VLOOKUP($B40,'Forecast occupancies'!$C$28:$CP$64,12,TRUE) * VLOOKUP($B40,'A1.3.2'!$B$27:$AY$106,49,)) * $CR$5)</f>
        <v>25.537705701900585</v>
      </c>
      <c r="O40" s="1565">
        <f>IF(ISERROR(MATCH($B40,'A1.3.2'!$B$27:$B$106,0)),"",(VLOOKUP($B40,'Forecast occupancies'!$C$28:$CP$64,13,TRUE) * VLOOKUP($B40,'A1.3.2'!$B$27:$AY$106,50,)) * $CR$5)</f>
        <v>50.694182425161621</v>
      </c>
      <c r="P40" s="1567">
        <f>IF(ISERROR(MATCH($B40,'A1.3.2'!$B$27:$B$106,0)),"",SUM(M40:O40))</f>
        <v>94.887184807594934</v>
      </c>
      <c r="Q40" s="1609">
        <f>IF(ISERROR(MATCH($B40,'A1.3.2'!$B$27:$B$106,0)),"",(((VLOOKUP($B40,'Forecast occupancies'!$C$28:$CP$64,15,TRUE)-1)*VLOOKUP($B40,'A1.3.2'!$B$27:$AY$106,36,)+VLOOKUP($B40,'A1.3.2'!$B$27:$AY$106,35,))*$CR$5))</f>
        <v>23.379433110109755</v>
      </c>
      <c r="R40" s="1565">
        <f>IF(ISERROR(MATCH($B40,'A1.3.2'!$B$27:$B$106,0)),"",VLOOKUP($B40,'Forecast occupancies'!$C$28:$CP$64,16,TRUE)*VLOOKUP($B40,'A1.3.2'!$B$27:$AY$106,49,)*$CR$5)</f>
        <v>13.066693153942992</v>
      </c>
      <c r="S40" s="1565">
        <f>IF(ISERROR(MATCH($B40,'A1.3.2'!$B$27:$B$106,0)),"",VLOOKUP($B40,'Forecast occupancies'!$C$28:$CP$64,17,TRUE)*VLOOKUP($B40,'A1.3.2'!$B$27:$AY$106,50,)*$CR$5)</f>
        <v>9.4494617426753553</v>
      </c>
      <c r="T40" s="1566">
        <f>IF(ISERROR(MATCH($B40,'A1.3.2'!$B$27:$B$106,0)),"",(((Q40*'VoT5'!$E$28)+(R40*'VoT5'!$E$29)+(S40*'VoT5'!$E$30))/100))</f>
        <v>12.170762964853939</v>
      </c>
      <c r="U40" s="1565">
        <f>IF(ISERROR(MATCH($B40,'A1.3.2'!$B$27:$B$106,0)),"",(VLOOKUP($B40,'Forecast occupancies'!$C$28:$CP$64,19,TRUE) * VLOOKUP($B40, 'A1.3.2'!$B$27:$AY$106,37,)) * $CR$5)</f>
        <v>16.673685108159393</v>
      </c>
      <c r="V40" s="1565">
        <f>IF(ISERROR(MATCH($B40,'A1.3.2'!$B$27:$B$106,0)),"",VLOOKUP($B40,'Forecast occupancies'!$C$28:$CP$64,20,TRUE) * ('VoT5'!$J$29*VLOOKUP($B40, 'A1.3.2'!$B$27:$AY$106,49,)+'VoT5'!$J$30*VLOOKUP($B40, 'A1.3.2'!$B$27:$AY$106,50,))/('VoT5'!$J$29+'VoT5'!$J$30) * $CR$5)</f>
        <v>10.177959692088404</v>
      </c>
      <c r="W40" s="1566">
        <f>IF(ISERROR(MATCH($B40,'A1.3.2'!$B$27:$B$106,0)),"",(U40*'VoT5'!$E$31 + V40*'VoT5'!$E$32)/100)</f>
        <v>15.894198058230876</v>
      </c>
      <c r="X40" s="1566">
        <f>IF(ISERROR(MATCH($B40,'A1.3.2'!$B$27:$B$106,0)),"",(VLOOKUP($B40,'Forecast occupancies'!$C$28:$CP$64,22,TRUE)*VLOOKUP($B40,'A1.3.2'!$B$27:$AY$106,38,)) * $CR$5)</f>
        <v>16.371345910596315</v>
      </c>
      <c r="Y40" s="1566">
        <f>IF(ISERROR(MATCH($B40,'A1.3.2'!$B$27:$B$106,0)),"",(VLOOKUP($B40,'Forecast occupancies'!$C$28:$CP$64,23,TRUE)*VLOOKUP($B40,'A1.3.2'!$B$27:$AY$106,38,)) * $CR$5)</f>
        <v>16.371345910596315</v>
      </c>
      <c r="Z40" s="1565">
        <f>IF(ISERROR(MATCH($B40,'A1.3.2'!$B$27:$B$106,0)),"",(((VLOOKUP($B40,'Forecast occupancies'!$C$28:$CP$64,24,TRUE) -1) * VLOOKUP($B40,'A1.3.2'!$B$27:$AY$106,40,)) + VLOOKUP($B40,'A1.3.2'!$B$27:$AY$106,39,)) * $CR$5)</f>
        <v>19.036067875487852</v>
      </c>
      <c r="AA40" s="1565">
        <f>IF(ISERROR(MATCH($B40,'A1.3.2'!$B$27:$B$106,0)),"",(VLOOKUP($B40,'Forecast occupancies'!$C$28:$CP$64,25,TRUE) * VLOOKUP($B40,'A1.3.2'!$B$27:$AY$106,49,)) * $CR$5)</f>
        <v>8.9501532001432871</v>
      </c>
      <c r="AB40" s="1565">
        <f>IF(ISERROR(MATCH($B40,'A1.3.2'!$B$27:$B$106,0)),"",(VLOOKUP($B40,'Forecast occupancies'!$C$28:$CP$64,26,TRUE) * VLOOKUP($B40,'A1.3.2'!$B$27:$AY$106,50,)) * $CR$5)</f>
        <v>58.092673754952209</v>
      </c>
      <c r="AC40" s="1567">
        <f>IF(ISERROR(MATCH($B40,'A1.3.2'!$B$27:$B$106,0)),"",SUM(Z40:AB40))</f>
        <v>86.078894830583351</v>
      </c>
      <c r="AD40" s="1609">
        <f>IF(ISERROR(MATCH($B40,'A1.3.2'!$B$27:$B$106,0)),"",(((VLOOKUP($B40,'Forecast occupancies'!$C$28:$CP$64,28,TRUE)-1)*VLOOKUP($B40,'A1.3.2'!$B$27:$AY$106,36,)+VLOOKUP($B40,'A1.3.2'!$B$27:$AY$106,35,))*$CR$5))</f>
        <v>23.144638130605038</v>
      </c>
      <c r="AE40" s="1565">
        <f>IF(ISERROR(MATCH($B40,'A1.3.2'!$B$27:$B$106,0)),"",VLOOKUP($B40,'Forecast occupancies'!$C$28:$CP$64,29,TRUE)*VLOOKUP($B40,'A1.3.2'!$B$27:$AY$106,49,)*$CR$5)</f>
        <v>12.901977486493024</v>
      </c>
      <c r="AF40" s="1565">
        <f>IF(ISERROR(MATCH($B40,'A1.3.2'!$B$27:$B$106,0)),"",VLOOKUP($B40,'Forecast occupancies'!$C$28:$CP$64,30,TRUE)*VLOOKUP($B40,'A1.3.2'!$B$27:$AY$106,50,)*$CR$5)</f>
        <v>9.2895347552558292</v>
      </c>
      <c r="AG40" s="1566">
        <f>IF(ISERROR(MATCH($B40,'A1.3.2'!$B$27:$B$106,0)),"",(((AD40*'VoT5'!$F$28)+(AE40*'VoT5'!$F$29)+(AF40*'VoT5'!$F$30))/100))</f>
        <v>12.416102220644325</v>
      </c>
      <c r="AH40" s="1565">
        <f>IF(ISERROR(MATCH($B40,'A1.3.2'!$B$27:$B$106,0)),"",(VLOOKUP($B40,'Forecast occupancies'!$C$28:$CP$64,32,TRUE) * VLOOKUP($B40, 'A1.3.2'!$B$27:$AY$106,37,)) * $CR$5)</f>
        <v>16.673685108159393</v>
      </c>
      <c r="AI40" s="1565">
        <f>IF(ISERROR(MATCH($B40,'A1.3.2'!$B$27:$B$106,0)),"",VLOOKUP($B40,'Forecast occupancies'!$C$28:$CP$64,33,TRUE) * ('VoT5'!$J$29*VLOOKUP($B40, 'A1.3.2'!$B$27:$AY$106,49,)+'VoT5'!$J$30*VLOOKUP($B40, 'A1.3.2'!$B$27:$AY$106,50,))/('VoT5'!$J$29+'VoT5'!$J$30) * $CR$5)</f>
        <v>10.177959692088404</v>
      </c>
      <c r="AJ40" s="1566">
        <f>IF(ISERROR(MATCH($B40,'A1.3.2'!$B$27:$B$106,0)),"",(AH40*'VoT5'!$F$31 + AI40*'VoT5'!$F$32)/100)</f>
        <v>15.894198058230876</v>
      </c>
      <c r="AK40" s="1566">
        <f>IF(ISERROR(MATCH($B40,'A1.3.2'!$B$27:$B$106,0)),"",(VLOOKUP($B40,'Forecast occupancies'!$C$28:$CP$64,35,TRUE)*VLOOKUP($B40,'A1.3.2'!$B$27:$AY$106,38,)) * $CR$5)</f>
        <v>16.371345910596315</v>
      </c>
      <c r="AL40" s="1566">
        <f>IF(ISERROR(MATCH($B40,'A1.3.2'!$B$27:$B$106,0)),"",(VLOOKUP($B40,'Forecast occupancies'!$C$28:$CP$64,36,TRUE)*VLOOKUP($B40,'A1.3.2'!$B$27:$AY$106,38,)) * $CR$5)</f>
        <v>16.371345910596315</v>
      </c>
      <c r="AM40" s="1565">
        <f>IF(ISERROR(MATCH($B40,'A1.3.2'!$B$27:$B$106,0)),"",(((VLOOKUP($B40,'Forecast occupancies'!$C$28:$CP$64,37,TRUE) -1) * VLOOKUP($B40,'A1.3.2'!$B$27:$AY$106,40,)) + VLOOKUP($B40,'A1.3.2'!$B$27:$AY$106,39,)) * $CR$5)</f>
        <v>19.917191831992167</v>
      </c>
      <c r="AN40" s="1565">
        <f>IF(ISERROR(MATCH($B40,'A1.3.2'!$B$27:$B$106,0)),"",(VLOOKUP($B40,'Forecast occupancies'!$C$28:$CP$64,38,TRUE) * VLOOKUP($B40,'A1.3.2'!$B$27:$AY$106,49,)) * $CR$5)</f>
        <v>35.915655495045833</v>
      </c>
      <c r="AO40" s="1565">
        <f>IF(ISERROR(MATCH($B40,'A1.3.2'!$B$27:$B$106,0)),"",(VLOOKUP($B40,'Forecast occupancies'!$C$28:$CP$64,39,TRUE) * VLOOKUP($B40,'A1.3.2'!$B$27:$AY$106,50,)) * $CR$5)</f>
        <v>45.38548407546098</v>
      </c>
      <c r="AP40" s="1567">
        <f>IF(ISERROR(MATCH($B40,'A1.3.2'!$B$27:$B$106,0)),"",SUM(AM40:AO40))</f>
        <v>101.21833140249898</v>
      </c>
      <c r="AQ40" s="1609">
        <f>IF(ISERROR(MATCH($B40,'A1.3.2'!$B$27:$B$106,0)),"",(((VLOOKUP($B40,'Forecast occupancies'!$C$28:$CP$64,41,TRUE)-1)*VLOOKUP($B40,'A1.3.2'!$B$27:$AY$106,36,)+VLOOKUP($B40,'A1.3.2'!$B$27:$AY$106,35,))*$CR$5))</f>
        <v>23.582549083702062</v>
      </c>
      <c r="AR40" s="1565">
        <f>IF(ISERROR(MATCH($B40,'A1.3.2'!$B$27:$B$106,0)),"",VLOOKUP($B40,'Forecast occupancies'!$C$28:$CP$64,42,TRUE)*VLOOKUP($B40,'A1.3.2'!$B$27:$AY$106,49,)*$CR$5)</f>
        <v>13.090810214709165</v>
      </c>
      <c r="AS40" s="1565">
        <f>IF(ISERROR(MATCH($B40,'A1.3.2'!$B$27:$B$106,0)),"",VLOOKUP($B40,'Forecast occupancies'!$C$28:$CP$64,43,TRUE)*VLOOKUP($B40,'A1.3.2'!$B$27:$AY$106,50,)*$CR$5)</f>
        <v>9.2563690791673299</v>
      </c>
      <c r="AT40" s="1566">
        <f>IF(ISERROR(MATCH($B40,'A1.3.2'!$B$27:$B$106,0)),"",(((AQ40*'VoT5'!$G$28)+(AR40*'VoT5'!$G$29)+(AS40*'VoT5'!$G$30))/100))</f>
        <v>12.579309399341209</v>
      </c>
      <c r="AU40" s="1565">
        <f>IF(ISERROR(MATCH($B40,'A1.3.2'!$B$27:$B$106,0)),"",(VLOOKUP($B40,'Forecast occupancies'!$C$28:$CP$64,45,TRUE) * VLOOKUP($B40, 'A1.3.2'!$B$27:$AY$106,37,)) * $CR$5)</f>
        <v>16.673685108159393</v>
      </c>
      <c r="AV40" s="1565">
        <f>IF(ISERROR(MATCH($B40,'A1.3.2'!$B$27:$B$106,0)),"",VLOOKUP($B40,'Forecast occupancies'!$C$28:$CP$64,46,TRUE) * ('VoT5'!$J$29*VLOOKUP($B40, 'A1.3.2'!$B$27:$AY$106,49,)+'VoT5'!$J$30*VLOOKUP($B40, 'A1.3.2'!$B$27:$AY$106,50,))/('VoT5'!$J$29+'VoT5'!$J$30) * $CR$5)</f>
        <v>10.177959692088404</v>
      </c>
      <c r="AW40" s="1566">
        <f>IF(ISERROR(MATCH($B40,'A1.3.2'!$B$27:$B$106,0)),"",(AU40*'VoT5'!$G$31 + AV40*'VoT5'!$G$32)/100)</f>
        <v>15.894198058230876</v>
      </c>
      <c r="AX40" s="1566">
        <f>IF(ISERROR(MATCH($B40,'A1.3.2'!$B$27:$B$106,0)),"",(VLOOKUP($B40,'Forecast occupancies'!$C$28:$CP$64,48,TRUE)*VLOOKUP($B40,'A1.3.2'!$B$27:$AY$106,38,)) * $CR$5)</f>
        <v>16.371345910596315</v>
      </c>
      <c r="AY40" s="1566">
        <f>IF(ISERROR(MATCH($B40,'A1.3.2'!$B$27:$B$106,0)),"",(VLOOKUP($B40,'Forecast occupancies'!$C$28:$CP$64,49,TRUE)*VLOOKUP($B40,'A1.3.2'!$B$27:$AY$106,38,)) * $CR$5)</f>
        <v>16.371345910596315</v>
      </c>
      <c r="AZ40" s="1565">
        <f>IF(ISERROR(MATCH($B40,'A1.3.2'!$B$27:$B$106,0)),"",(((VLOOKUP($B40,'Forecast occupancies'!$C$28:$CP$64,50,TRUE) -1) * VLOOKUP($B40,'A1.3.2'!$B$27:$AY$106,40,)) + VLOOKUP($B40,'A1.3.2'!$B$27:$AY$106,39,)) * $CR$5)</f>
        <v>19.901085333680538</v>
      </c>
      <c r="BA40" s="1565">
        <f>IF(ISERROR(MATCH($B40,'A1.3.2'!$B$27:$B$106,0)),"",(VLOOKUP($B40,'Forecast occupancies'!$C$28:$CP$64,51,TRUE) * VLOOKUP($B40,'A1.3.2'!$B$27:$AY$106,49,)) * $CR$5)</f>
        <v>49.095808933508529</v>
      </c>
      <c r="BB40" s="1565">
        <f>IF(ISERROR(MATCH($B40,'A1.3.2'!$B$27:$B$106,0)),"",(VLOOKUP($B40,'Forecast occupancies'!$C$28:$CP$64,52,TRUE) * VLOOKUP($B40,'A1.3.2'!$B$27:$AY$106,50,)) * $CR$5)</f>
        <v>39.376965969831176</v>
      </c>
      <c r="BC40" s="1567">
        <f>IF(ISERROR(MATCH($B40,'A1.3.2'!$B$27:$B$106,0)),"",SUM(AZ40:BB40))</f>
        <v>108.37386023702024</v>
      </c>
      <c r="BD40" s="1565">
        <f>IF(ISERROR(MATCH($B40,'A1.3.2'!$B$27:$B$106,0)),"",(((VLOOKUP($B40,'Forecast occupancies'!$C$28:$CP$64,54,TRUE)-1)*VLOOKUP($B40,'A1.3.2'!$B$27:$AY$106,36,)+VLOOKUP($B40,'A1.3.2'!$B$27:$AY$106,35,))*$CR$5))</f>
        <v>23.185819149362032</v>
      </c>
      <c r="BE40" s="1565">
        <f>IF(ISERROR(MATCH($B40,'A1.3.2'!$B$27:$B$106,0)),"",VLOOKUP($B40,'Forecast occupancies'!$C$28:$CP$64,55,TRUE)*VLOOKUP($B40,'A1.3.2'!$B$27:$AY$106,49,)*$CR$5)</f>
        <v>12.94584431740377</v>
      </c>
      <c r="BF40" s="1565">
        <f>IF(ISERROR(MATCH($B40,'A1.3.2'!$B$27:$B$106,0)),"",VLOOKUP($B40,'Forecast occupancies'!$C$28:$CP$64,56,TRUE)*VLOOKUP($B40,'A1.3.2'!$B$27:$AY$106,50,)*$CR$5)</f>
        <v>9.2793679142572127</v>
      </c>
      <c r="BG40" s="1566">
        <f>IF(ISERROR(MATCH($B40,'A1.3.2'!$B$27:$B$106,0)),"",(((BD40*'VoT5'!$H$28)+(BE40*'VoT5'!$H$29)+(BF40*'VoT5'!$H$30))/100))</f>
        <v>12.488717911542681</v>
      </c>
      <c r="BH40" s="1565">
        <f>IF(ISERROR(MATCH($B40,'A1.3.2'!$B$27:$B$106,0)),"",(VLOOKUP($B40,'Forecast occupancies'!$C$28:$CP$64,58,TRUE) * VLOOKUP($B40, 'A1.3.2'!$B$27:$AY$106,37,)) * $CR$5)</f>
        <v>16.673685108159393</v>
      </c>
      <c r="BI40" s="1565">
        <f>IF(ISERROR(MATCH($B40,'A1.3.2'!$B$27:$B$106,0)),"",(VLOOKUP($B40,'Forecast occupancies'!$C$28:$CP$64,59,TRUE) * (VLOOKUP($B40,'A1.3.2'!$B$27:$AY$106,49,) * 'VoT5'!$J$29 + VLOOKUP($B40,'A1.3.2'!$B$27:$AY$106,50,) * 'VoT5'!$J$30) / (SUM('VoT5'!$J$29:$J$30))) * $CR$5)</f>
        <v>10.177959692088404</v>
      </c>
      <c r="BJ40" s="1566">
        <f>IF(ISERROR(MATCH($B40,'A1.3.2'!$B$27:$B$106,0)),"",(BH40*'VoT5'!$H$31 + BI40*'VoT5'!$H$32)/100)</f>
        <v>15.894198058230876</v>
      </c>
      <c r="BK40" s="1566">
        <f>IF(ISERROR(MATCH($B40,'A1.3.2'!$B$27:$B$106,0)),"",(VLOOKUP($B40,'Forecast occupancies'!$C$28:$CP$64,61,TRUE)*VLOOKUP($B40,'A1.3.2'!$B$27:$AY$106,38,)) * $CR$5)</f>
        <v>16.371345910596315</v>
      </c>
      <c r="BL40" s="1566">
        <f>IF(ISERROR(MATCH($B40,'A1.3.2'!$B$27:$B$106,0)),"",(VLOOKUP($B40,'Forecast occupancies'!$C$28:$CP$64,62,TRUE)*VLOOKUP($B40,'A1.3.2'!$B$27:$AY$106,38,)) * $CR$5)</f>
        <v>16.371345910596315</v>
      </c>
      <c r="BM40" s="1565">
        <f>IF(ISERROR(MATCH($B40,'A1.3.2'!$B$27:$B$106,0)),"",(((VLOOKUP($B40,'Forecast occupancies'!$C$28:$CP$64,63,TRUE) -1) * VLOOKUP($B40,'A1.3.2'!$B$27:$AY$106,40,)) + VLOOKUP($B40,'A1.3.2'!$B$27:$AY$106,39,)) * $CR$5)</f>
        <v>19.188452564693776</v>
      </c>
      <c r="BN40" s="1565">
        <f>IF(ISERROR(MATCH($B40,'A1.3.2'!$B$27:$B$106,0)),"",(VLOOKUP($B40,'Forecast occupancies'!$C$28:$CP$64,64,TRUE) * VLOOKUP($B40,'A1.3.2'!$B$27:$AY$106,49,)) * $CR$5)</f>
        <v>22.163492941136926</v>
      </c>
      <c r="BO40" s="1565">
        <f>IF(ISERROR(MATCH($B40,'A1.3.2'!$B$27:$B$106,0)),"",(VLOOKUP($B40,'Forecast occupancies'!$C$28:$CP$64,65,TRUE) * VLOOKUP($B40,'A1.3.2'!$B$27:$AY$106,50,)) * $CR$5)</f>
        <v>51.992648253731005</v>
      </c>
      <c r="BP40" s="1567">
        <f>IF(ISERROR(MATCH($B40,'A1.3.2'!$B$27:$B$106,0)),"",SUM(BM40:BO40))</f>
        <v>93.344593759561704</v>
      </c>
      <c r="BQ40" s="1565">
        <f>IF(ISERROR(MATCH($B40,'A1.3.2'!$B$27:$B$106,0)),"",(((VLOOKUP($B40,'Forecast occupancies'!$C$28:$CP$64,67,TRUE)-1)*VLOOKUP($B40,'A1.3.2'!$B$27:$AY$106,36,)+VLOOKUP($B40,'A1.3.2'!$B$27:$AY$106,35,))*$CR$5))</f>
        <v>26.498488794339746</v>
      </c>
      <c r="BR40" s="1565">
        <f>IF(ISERROR(MATCH($B40,'A1.3.2'!$B$27:$B$106,0)),"",VLOOKUP($B40,'Forecast occupancies'!$C$28:$CP$64,68,TRUE)*VLOOKUP($B40,'A1.3.2'!$B$27:$AY$106,49,)*$CR$5)</f>
        <v>13.706437684518002</v>
      </c>
      <c r="BS40" s="1565">
        <f>IF(ISERROR(MATCH($B40,'A1.3.2'!$B$27:$B$106,0)),"",VLOOKUP($B40,'Forecast occupancies'!$C$28:$CP$64,69,TRUE)*VLOOKUP($B40,'A1.3.2'!$B$27:$AY$106,50,)*$CR$5)</f>
        <v>10.986995301189083</v>
      </c>
      <c r="BT40" s="1566">
        <f>IF(ISERROR(MATCH($B40,'A1.3.2'!$B$27:$B$106,0)),"",(((BQ40*'VoT5'!$I$28)+(BR40*'VoT5'!$I$29)+(BS40*'VoT5'!$I$30))/100))</f>
        <v>11.740297368111944</v>
      </c>
      <c r="BU40" s="1565">
        <f>IF(ISERROR(MATCH($B40,'A1.3.2'!$B$27:$B$106,0)),"",(VLOOKUP($B40,'Forecast occupancies'!$C$28:$CP$64,71,TRUE) * VLOOKUP($B40, 'A1.3.2'!$B$27:$AY$106,37,)) * $CR$5)</f>
        <v>17.507369363567364</v>
      </c>
      <c r="BV40" s="1565">
        <f>IF(ISERROR(MATCH($B40,'A1.3.2'!$B$27:$B$106,0)),"",(VLOOKUP($B40,'Forecast occupancies'!$C$28:$CP$64,72,TRUE) * (VLOOKUP($B40,'A1.3.2'!$B$27:$AY$106,49,)*'VoT5'!$J$29 + VLOOKUP($B40,'A1.3.2'!$B$27:$AY$106,50,)*'VoT5'!$J$30) / (SUM('VoT5'!$J$29:$J$30))) * $CR$5)</f>
        <v>14.151546695164011</v>
      </c>
      <c r="BW40" s="1566">
        <f>IF(ISERROR(MATCH($B40,'A1.3.2'!$B$27:$B$106,0)),"",(BU40*'VoT5'!$I$31 + BV40*'VoT5'!$I$32)/100)</f>
        <v>17.104670643358961</v>
      </c>
      <c r="BX40" s="1566">
        <f>IF(ISERROR(MATCH($B40,'A1.3.2'!$B$27:$B$106,0)),"",(VLOOKUP($B40,'Forecast occupancies'!$C$28:$CP$64,74,TRUE)*VLOOKUP($B40,'A1.3.2'!$B$27:$AY$106,38,)) * $CR$5)</f>
        <v>16.371345910596315</v>
      </c>
      <c r="BY40" s="1566">
        <f>IF(ISERROR(MATCH($B40,'A1.3.2'!$B$27:$B$106,0)),"",(VLOOKUP($B40,'Forecast occupancies'!$C$28:$CP$64,75,TRUE)*VLOOKUP($B40,'A1.3.2'!$B$27:$AY$106,38,)) * $CR$5)</f>
        <v>16.371345910596315</v>
      </c>
      <c r="BZ40" s="1565">
        <f>IF(ISERROR(MATCH($B40,'A1.3.2'!$B$27:$B$106,0)),"",(((VLOOKUP($B40,'Forecast occupancies'!$C$28:$CP$64,76,TRUE) -1) * VLOOKUP($B40,'A1.3.2'!$B$27:$AY$106,40,)) + VLOOKUP($B40,'A1.3.2'!$B$27:$AY$106,39,)) * $CR$5)</f>
        <v>17.475581791544627</v>
      </c>
      <c r="CA40" s="1565">
        <f>IF(ISERROR(MATCH($B40,'A1.3.2'!$B$27:$B$106,0)),"",(VLOOKUP($B40,'Forecast occupancies'!$C$28:$CP$64,77,TRUE) * VLOOKUP($B40,'A1.3.2'!$B$27:$AY$106,49,)) * $CR$5)</f>
        <v>8.3963863596582566</v>
      </c>
      <c r="CB40" s="1565">
        <f>IF(ISERROR(MATCH($B40,'A1.3.2'!$B$27:$B$106,0)),"",(VLOOKUP($B40,'Forecast occupancies'!$C$28:$CP$64,78,TRUE) * VLOOKUP($B40,'A1.3.2'!$B$27:$AY$106,50,)) * $CR$5)</f>
        <v>59.052641528726575</v>
      </c>
      <c r="CC40" s="1567">
        <f>IF(ISERROR(MATCH($B40,'A1.3.2'!$B$27:$B$106,0)),"",SUM(BZ40:CB40))</f>
        <v>84.924609679929461</v>
      </c>
      <c r="CD40" s="1565">
        <f>IF(ISERROR(MATCH($B40,'A1.3.2'!$B$27:$B$106,0)),"",(((VLOOKUP($B40,'Forecast occupancies'!$C$28:$CP$64,80,TRUE)-1)*VLOOKUP($B40,'A1.3.2'!$B$27:$AY$106,36,)+VLOOKUP($B40,'A1.3.2'!$B$27:$AY$106,35,))*$CR$5))</f>
        <v>23.420961707664574</v>
      </c>
      <c r="CE40" s="1565">
        <f>IF(ISERROR(MATCH($B40,'A1.3.2'!$B$27:$B$106,0)),"",VLOOKUP($B40,'Forecast occupancies'!$C$28:$CP$64,81,TRUE)*VLOOKUP($B40,'A1.3.2'!$B$27:$AY$106,49,)*$CR$5)</f>
        <v>13.007376822164671</v>
      </c>
      <c r="CF40" s="1565">
        <f>IF(ISERROR(MATCH($B40,'A1.3.2'!$B$27:$B$106,0)),"",VLOOKUP($B40,'Forecast occupancies'!$C$28:$CP$64,82,TRUE)*VLOOKUP($B40,'A1.3.2'!$B$27:$AY$106,50,)*$CR$5)</f>
        <v>9.8819356988248099</v>
      </c>
      <c r="CG40" s="1566">
        <f>IF(ISERROR(MATCH($B40,'A1.3.2'!$B$27:$B$106,0)),"",(((CD40*'VoT5'!$J$28)+(CE40*'VoT5'!$J$29)+(CF40*'VoT5'!$J$30))/100))</f>
        <v>12.311270954997259</v>
      </c>
      <c r="CH40" s="1565">
        <f>IF(ISERROR(MATCH($B40,'A1.3.2'!$B$27:$B$106,0)),"",(VLOOKUP($B40,'Forecast occupancies'!$C$28:$CP$64,84,TRUE) * VLOOKUP($B40, 'A1.3.2'!$B$27:$AY$106,37,)) * $CR$5)</f>
        <v>16.673685108159393</v>
      </c>
      <c r="CI40" s="1565">
        <f>IF(ISERROR(MATCH($B40,'A1.3.2'!$B$27:$B$106,0)),"",(VLOOKUP($B40,'Forecast occupancies'!$C$28:$CP$64,85,TRUE) * (VLOOKUP($B40,'A1.3.2'!$B$27:$AY$106,49,)*'VoT5'!$J$29 + VLOOKUP($B40,'A1.3.2'!$B$27:$AY$106,50,)*'VoT5'!$J$30) / (SUM('VoT5'!$J$29:$J$30))) * $CR$5)</f>
        <v>11.084216377000384</v>
      </c>
      <c r="CJ40" s="1566">
        <f>IF(ISERROR(MATCH($B40,'A1.3.2'!$B$27:$B$106,0)),"",(CH40*'VoT5'!$J$31 + CI40*'VoT5'!$J$32)/100)</f>
        <v>16.002948860420311</v>
      </c>
      <c r="CK40" s="1566">
        <f>IF(ISERROR(MATCH($B40,'A1.3.2'!$B$27:$B$106,0)),"",(VLOOKUP($B40,'Forecast occupancies'!$C$28:$CP$64,87,TRUE)*VLOOKUP($B40,'A1.3.2'!$B$27:$AY$106,38,)) * $CR$5)</f>
        <v>16.371345910596315</v>
      </c>
      <c r="CL40" s="1566">
        <f>IF(ISERROR(MATCH($B40,'A1.3.2'!$B$27:$B$106,0)),"",(VLOOKUP($B40,'Forecast occupancies'!$C$28:$CP$64,88,TRUE)*VLOOKUP($B40,'A1.3.2'!$B$27:$AY$106,38,)) * $CR$5)</f>
        <v>16.371345910596315</v>
      </c>
      <c r="CM40" s="1565">
        <f>IF(ISERROR(MATCH($B40,'A1.3.2'!$B$27:$B$106,0)),"",(((VLOOKUP($B40,'Forecast occupancies'!$C$28:$CP$64,89,TRUE) -1) * VLOOKUP($B40,'A1.3.2'!$B$27:$AY$106,40,)) + VLOOKUP($B40,'A1.3.2'!$B$27:$AY$106,39,)) * $CR$5)</f>
        <v>18.765474713938481</v>
      </c>
      <c r="CN40" s="1565">
        <f>IF(ISERROR(MATCH($B40,'A1.3.2'!$B$27:$B$106,0)),"",(VLOOKUP($B40,'Forecast occupancies'!$C$28:$CP$64,90,TRUE) * VLOOKUP($B40,'A1.3.2'!$B$27:$AY$106,49,)) * $CR$5)</f>
        <v>18.763176096724081</v>
      </c>
      <c r="CO40" s="1565">
        <f>IF(ISERROR(MATCH($B40,'A1.3.2'!$B$27:$B$106,0)),"",(VLOOKUP($B40,'Forecast occupancies'!$C$28:$CP$64,91,TRUE) * VLOOKUP($B40,'A1.3.2'!$B$27:$AY$106,50,)) * $CR$5)</f>
        <v>53.736348379562216</v>
      </c>
      <c r="CP40" s="1567">
        <f>IF(ISERROR(MATCH($B40,'A1.3.2'!$B$27:$B$106,0)),"",SUM(CM40:CO40))</f>
        <v>91.264999190224785</v>
      </c>
    </row>
    <row r="41" spans="1:94" s="26" customFormat="1" ht="13.5" customHeight="1">
      <c r="A41" s="113"/>
      <c r="B41" s="82">
        <f t="shared" si="0"/>
        <v>2023</v>
      </c>
      <c r="D41" s="1609">
        <f>IF(ISERROR(MATCH($B41,'A1.3.2'!$B$27:$B$106,0)),"",(((VLOOKUP($B41,'Forecast occupancies'!$C$28:$CP$64,2,TRUE) -1) * VLOOKUP($B41,'A1.3.2'!$B$27:$AY$106,36,) + VLOOKUP($B41,'A1.3.2'!$B$27:$AY$106,35,)) * $CR$5))</f>
        <v>23.067954428756522</v>
      </c>
      <c r="E41" s="1565">
        <f>IF(ISERROR(MATCH($B41,'A1.3.2'!$B$27:$B$106,0)),"",VLOOKUP($B41,'Forecast occupancies'!$C$28:$CP$64,3,TRUE)*VLOOKUP($B41,'A1.3.2'!$B$27:$AY$106,49,)*$CR$5)</f>
        <v>12.999966942892545</v>
      </c>
      <c r="F41" s="1565">
        <f>IF(ISERROR(MATCH($B41,'A1.3.2'!$B$27:$B$106,0)),"",VLOOKUP($B41,'Forecast occupancies'!$C$28:$CP$64,4,TRUE)*VLOOKUP($B41,'A1.3.2'!$B$27:$AY$106,50,)*$CR$5)</f>
        <v>8.9689700426711525</v>
      </c>
      <c r="G41" s="1566">
        <f>IF(ISERROR(MATCH($B41,'A1.3.2'!$B$27:$B$106,0)),"",(((D41*'VoT5'!$D$28)+(E41*'VoT5'!$D$29)+(F41*'VoT5'!$D$30))/100))</f>
        <v>13.065802920648791</v>
      </c>
      <c r="H41" s="1565">
        <f>IF(ISERROR(MATCH($B41,'A1.3.2'!$B$27:$B$106,0)),"",(VLOOKUP($B41,'Forecast occupancies'!$C$28:$CP$64,6,TRUE) * VLOOKUP($B41, 'A1.3.2'!$B$27:$AY$106,37,)) * $CR$5)</f>
        <v>16.858270676112522</v>
      </c>
      <c r="I41" s="1565">
        <f>IF(ISERROR(MATCH($B41,'A1.3.2'!$B$27:$B$106,0)),"",VLOOKUP($B41,'Forecast occupancies'!$C$28:$CP$64,7,TRUE) * ('VoT5'!$J$29*VLOOKUP($B41, 'A1.3.2'!$B$27:$AY$106,49,)+'VoT5'!$J$30*VLOOKUP($B41, 'A1.3.2'!$B$27:$AY$106,50,))/('VoT5'!$J$29+'VoT5'!$J$30) * $CR$5)</f>
        <v>10.290634512212531</v>
      </c>
      <c r="J41" s="1566">
        <f>IF(ISERROR(MATCH($B41,'A1.3.2'!$B$27:$B$106,0)),"",(H41*'VoT5'!$D$31 + I41*'VoT5'!$D$32)/100)</f>
        <v>16.070154336444524</v>
      </c>
      <c r="K41" s="1566">
        <f>IF(ISERROR(MATCH($B41,'A1.3.2'!$B$27:$B$106,0)),"",(VLOOKUP($B41,'Forecast occupancies'!$C$28:$CP$64,9,TRUE)*VLOOKUP($B41,'A1.3.2'!$B$27:$AY$106,38,)) * $CR$5)</f>
        <v>16.552584440858936</v>
      </c>
      <c r="L41" s="1566">
        <f>IF(ISERROR(MATCH($B41,'A1.3.2'!$B$27:$B$106,0)),"",(VLOOKUP($B41,'Forecast occupancies'!$C$28:$CP$64,10,TRUE)*VLOOKUP($B41,'A1.3.2'!$B$27:$AY$106,38,)) * $CR$5)</f>
        <v>16.552584440858936</v>
      </c>
      <c r="M41" s="1565">
        <f>IF(ISERROR(MATCH($B41,'A1.3.2'!$B$27:$B$106,0)),"",(((VLOOKUP($B41,'Forecast occupancies'!$C$28:$CP$64,11,TRUE) -1) * VLOOKUP($B41,'A1.3.2'!$B$27:$AY$106,40,)) + VLOOKUP($B41,'A1.3.2'!$B$27:$AY$106,39,)) * $CR$5)</f>
        <v>18.861819624367456</v>
      </c>
      <c r="N41" s="1565">
        <f>IF(ISERROR(MATCH($B41,'A1.3.2'!$B$27:$B$106,0)),"",(VLOOKUP($B41,'Forecast occupancies'!$C$28:$CP$64,12,TRUE) * VLOOKUP($B41,'A1.3.2'!$B$27:$AY$106,49,)) * $CR$5)</f>
        <v>25.820420163678353</v>
      </c>
      <c r="O41" s="1565">
        <f>IF(ISERROR(MATCH($B41,'A1.3.2'!$B$27:$B$106,0)),"",(VLOOKUP($B41,'Forecast occupancies'!$C$28:$CP$64,13,TRUE) * VLOOKUP($B41,'A1.3.2'!$B$27:$AY$106,50,)) * $CR$5)</f>
        <v>51.255390963896048</v>
      </c>
      <c r="P41" s="1567">
        <f>IF(ISERROR(MATCH($B41,'A1.3.2'!$B$27:$B$106,0)),"",SUM(M41:O41))</f>
        <v>95.937630751941853</v>
      </c>
      <c r="Q41" s="1609">
        <f>IF(ISERROR(MATCH($B41,'A1.3.2'!$B$27:$B$106,0)),"",(((VLOOKUP($B41,'Forecast occupancies'!$C$28:$CP$64,15,TRUE)-1)*VLOOKUP($B41,'A1.3.2'!$B$27:$AY$106,36,)+VLOOKUP($B41,'A1.3.2'!$B$27:$AY$106,35,))*$CR$5))</f>
        <v>23.638254475096428</v>
      </c>
      <c r="R41" s="1565">
        <f>IF(ISERROR(MATCH($B41,'A1.3.2'!$B$27:$B$106,0)),"",VLOOKUP($B41,'Forecast occupancies'!$C$28:$CP$64,16,TRUE)*VLOOKUP($B41,'A1.3.2'!$B$27:$AY$106,49,)*$CR$5)</f>
        <v>13.21134761763498</v>
      </c>
      <c r="S41" s="1565">
        <f>IF(ISERROR(MATCH($B41,'A1.3.2'!$B$27:$B$106,0)),"",VLOOKUP($B41,'Forecast occupancies'!$C$28:$CP$64,17,TRUE)*VLOOKUP($B41,'A1.3.2'!$B$27:$AY$106,50,)*$CR$5)</f>
        <v>9.5540717464812648</v>
      </c>
      <c r="T41" s="1566">
        <f>IF(ISERROR(MATCH($B41,'A1.3.2'!$B$27:$B$106,0)),"",(((Q41*'VoT5'!$E$28)+(R41*'VoT5'!$E$29)+(S41*'VoT5'!$E$30))/100))</f>
        <v>12.305499058268051</v>
      </c>
      <c r="U41" s="1565">
        <f>IF(ISERROR(MATCH($B41,'A1.3.2'!$B$27:$B$106,0)),"",(VLOOKUP($B41,'Forecast occupancies'!$C$28:$CP$64,19,TRUE) * VLOOKUP($B41, 'A1.3.2'!$B$27:$AY$106,37,)) * $CR$5)</f>
        <v>16.858270676112522</v>
      </c>
      <c r="V41" s="1565">
        <f>IF(ISERROR(MATCH($B41,'A1.3.2'!$B$27:$B$106,0)),"",VLOOKUP($B41,'Forecast occupancies'!$C$28:$CP$64,20,TRUE) * ('VoT5'!$J$29*VLOOKUP($B41, 'A1.3.2'!$B$27:$AY$106,49,)+'VoT5'!$J$30*VLOOKUP($B41, 'A1.3.2'!$B$27:$AY$106,50,))/('VoT5'!$J$29+'VoT5'!$J$30) * $CR$5)</f>
        <v>10.290634512212531</v>
      </c>
      <c r="W41" s="1566">
        <f>IF(ISERROR(MATCH($B41,'A1.3.2'!$B$27:$B$106,0)),"",(U41*'VoT5'!$E$31 + V41*'VoT5'!$E$32)/100)</f>
        <v>16.070154336444524</v>
      </c>
      <c r="X41" s="1566">
        <f>IF(ISERROR(MATCH($B41,'A1.3.2'!$B$27:$B$106,0)),"",(VLOOKUP($B41,'Forecast occupancies'!$C$28:$CP$64,22,TRUE)*VLOOKUP($B41,'A1.3.2'!$B$27:$AY$106,38,)) * $CR$5)</f>
        <v>16.552584440858936</v>
      </c>
      <c r="Y41" s="1566">
        <f>IF(ISERROR(MATCH($B41,'A1.3.2'!$B$27:$B$106,0)),"",(VLOOKUP($B41,'Forecast occupancies'!$C$28:$CP$64,23,TRUE)*VLOOKUP($B41,'A1.3.2'!$B$27:$AY$106,38,)) * $CR$5)</f>
        <v>16.552584440858936</v>
      </c>
      <c r="Z41" s="1565">
        <f>IF(ISERROR(MATCH($B41,'A1.3.2'!$B$27:$B$106,0)),"",(((VLOOKUP($B41,'Forecast occupancies'!$C$28:$CP$64,24,TRUE) -1) * VLOOKUP($B41,'A1.3.2'!$B$27:$AY$106,40,)) + VLOOKUP($B41,'A1.3.2'!$B$27:$AY$106,39,)) * $CR$5)</f>
        <v>19.246806136262116</v>
      </c>
      <c r="AA41" s="1565">
        <f>IF(ISERROR(MATCH($B41,'A1.3.2'!$B$27:$B$106,0)),"",(VLOOKUP($B41,'Forecast occupancies'!$C$28:$CP$64,25,TRUE) * VLOOKUP($B41,'A1.3.2'!$B$27:$AY$106,49,)) * $CR$5)</f>
        <v>9.04923562259515</v>
      </c>
      <c r="AB41" s="1565">
        <f>IF(ISERROR(MATCH($B41,'A1.3.2'!$B$27:$B$106,0)),"",(VLOOKUP($B41,'Forecast occupancies'!$C$28:$CP$64,26,TRUE) * VLOOKUP($B41,'A1.3.2'!$B$27:$AY$106,50,)) * $CR$5)</f>
        <v>58.735787086493197</v>
      </c>
      <c r="AC41" s="1567">
        <f>IF(ISERROR(MATCH($B41,'A1.3.2'!$B$27:$B$106,0)),"",SUM(Z41:AB41))</f>
        <v>87.031828845350461</v>
      </c>
      <c r="AD41" s="1609">
        <f>IF(ISERROR(MATCH($B41,'A1.3.2'!$B$27:$B$106,0)),"",(((VLOOKUP($B41,'Forecast occupancies'!$C$28:$CP$64,28,TRUE)-1)*VLOOKUP($B41,'A1.3.2'!$B$27:$AY$106,36,)+VLOOKUP($B41,'A1.3.2'!$B$27:$AY$106,35,))*$CR$5))</f>
        <v>23.400860204291483</v>
      </c>
      <c r="AE41" s="1565">
        <f>IF(ISERROR(MATCH($B41,'A1.3.2'!$B$27:$B$106,0)),"",VLOOKUP($B41,'Forecast occupancies'!$C$28:$CP$64,29,TRUE)*VLOOKUP($B41,'A1.3.2'!$B$27:$AY$106,49,)*$CR$5)</f>
        <v>13.044808469962744</v>
      </c>
      <c r="AF41" s="1565">
        <f>IF(ISERROR(MATCH($B41,'A1.3.2'!$B$27:$B$106,0)),"",VLOOKUP($B41,'Forecast occupancies'!$C$28:$CP$64,30,TRUE)*VLOOKUP($B41,'A1.3.2'!$B$27:$AY$106,50,)*$CR$5)</f>
        <v>9.3923742917887658</v>
      </c>
      <c r="AG41" s="1566">
        <f>IF(ISERROR(MATCH($B41,'A1.3.2'!$B$27:$B$106,0)),"",(((AD41*'VoT5'!$F$28)+(AE41*'VoT5'!$F$29)+(AF41*'VoT5'!$F$30))/100))</f>
        <v>12.55355433547647</v>
      </c>
      <c r="AH41" s="1565">
        <f>IF(ISERROR(MATCH($B41,'A1.3.2'!$B$27:$B$106,0)),"",(VLOOKUP($B41,'Forecast occupancies'!$C$28:$CP$64,32,TRUE) * VLOOKUP($B41, 'A1.3.2'!$B$27:$AY$106,37,)) * $CR$5)</f>
        <v>16.858270676112522</v>
      </c>
      <c r="AI41" s="1565">
        <f>IF(ISERROR(MATCH($B41,'A1.3.2'!$B$27:$B$106,0)),"",VLOOKUP($B41,'Forecast occupancies'!$C$28:$CP$64,33,TRUE) * ('VoT5'!$J$29*VLOOKUP($B41, 'A1.3.2'!$B$27:$AY$106,49,)+'VoT5'!$J$30*VLOOKUP($B41, 'A1.3.2'!$B$27:$AY$106,50,))/('VoT5'!$J$29+'VoT5'!$J$30) * $CR$5)</f>
        <v>10.290634512212531</v>
      </c>
      <c r="AJ41" s="1566">
        <f>IF(ISERROR(MATCH($B41,'A1.3.2'!$B$27:$B$106,0)),"",(AH41*'VoT5'!$F$31 + AI41*'VoT5'!$F$32)/100)</f>
        <v>16.070154336444524</v>
      </c>
      <c r="AK41" s="1566">
        <f>IF(ISERROR(MATCH($B41,'A1.3.2'!$B$27:$B$106,0)),"",(VLOOKUP($B41,'Forecast occupancies'!$C$28:$CP$64,35,TRUE)*VLOOKUP($B41,'A1.3.2'!$B$27:$AY$106,38,)) * $CR$5)</f>
        <v>16.552584440858936</v>
      </c>
      <c r="AL41" s="1566">
        <f>IF(ISERROR(MATCH($B41,'A1.3.2'!$B$27:$B$106,0)),"",(VLOOKUP($B41,'Forecast occupancies'!$C$28:$CP$64,36,TRUE)*VLOOKUP($B41,'A1.3.2'!$B$27:$AY$106,38,)) * $CR$5)</f>
        <v>16.552584440858936</v>
      </c>
      <c r="AM41" s="1565">
        <f>IF(ISERROR(MATCH($B41,'A1.3.2'!$B$27:$B$106,0)),"",(((VLOOKUP($B41,'Forecast occupancies'!$C$28:$CP$64,37,TRUE) -1) * VLOOKUP($B41,'A1.3.2'!$B$27:$AY$106,40,)) + VLOOKUP($B41,'A1.3.2'!$B$27:$AY$106,39,)) * $CR$5)</f>
        <v>20.137684551057653</v>
      </c>
      <c r="AN41" s="1565">
        <f>IF(ISERROR(MATCH($B41,'A1.3.2'!$B$27:$B$106,0)),"",(VLOOKUP($B41,'Forecast occupancies'!$C$28:$CP$64,38,TRUE) * VLOOKUP($B41,'A1.3.2'!$B$27:$AY$106,49,)) * $CR$5)</f>
        <v>36.313258761807646</v>
      </c>
      <c r="AO41" s="1565">
        <f>IF(ISERROR(MATCH($B41,'A1.3.2'!$B$27:$B$106,0)),"",(VLOOKUP($B41,'Forecast occupancies'!$C$28:$CP$64,39,TRUE) * VLOOKUP($B41,'A1.3.2'!$B$27:$AY$106,50,)) * $CR$5)</f>
        <v>45.887922816540303</v>
      </c>
      <c r="AP41" s="1567">
        <f>IF(ISERROR(MATCH($B41,'A1.3.2'!$B$27:$B$106,0)),"",SUM(AM41:AO41))</f>
        <v>102.3388661294056</v>
      </c>
      <c r="AQ41" s="1609">
        <f>IF(ISERROR(MATCH($B41,'A1.3.2'!$B$27:$B$106,0)),"",(((VLOOKUP($B41,'Forecast occupancies'!$C$28:$CP$64,41,TRUE)-1)*VLOOKUP($B41,'A1.3.2'!$B$27:$AY$106,36,)+VLOOKUP($B41,'A1.3.2'!$B$27:$AY$106,35,))*$CR$5))</f>
        <v>23.843619038433758</v>
      </c>
      <c r="AR41" s="1565">
        <f>IF(ISERROR(MATCH($B41,'A1.3.2'!$B$27:$B$106,0)),"",VLOOKUP($B41,'Forecast occupancies'!$C$28:$CP$64,42,TRUE)*VLOOKUP($B41,'A1.3.2'!$B$27:$AY$106,49,)*$CR$5)</f>
        <v>13.23573166565262</v>
      </c>
      <c r="AS41" s="1565">
        <f>IF(ISERROR(MATCH($B41,'A1.3.2'!$B$27:$B$106,0)),"",VLOOKUP($B41,'Forecast occupancies'!$C$28:$CP$64,43,TRUE)*VLOOKUP($B41,'A1.3.2'!$B$27:$AY$106,50,)*$CR$5)</f>
        <v>9.3588414560041571</v>
      </c>
      <c r="AT41" s="1566">
        <f>IF(ISERROR(MATCH($B41,'A1.3.2'!$B$27:$B$106,0)),"",(((AQ41*'VoT5'!$G$28)+(AR41*'VoT5'!$G$29)+(AS41*'VoT5'!$G$30))/100))</f>
        <v>12.718568294712773</v>
      </c>
      <c r="AU41" s="1565">
        <f>IF(ISERROR(MATCH($B41,'A1.3.2'!$B$27:$B$106,0)),"",(VLOOKUP($B41,'Forecast occupancies'!$C$28:$CP$64,45,TRUE) * VLOOKUP($B41, 'A1.3.2'!$B$27:$AY$106,37,)) * $CR$5)</f>
        <v>16.858270676112522</v>
      </c>
      <c r="AV41" s="1565">
        <f>IF(ISERROR(MATCH($B41,'A1.3.2'!$B$27:$B$106,0)),"",VLOOKUP($B41,'Forecast occupancies'!$C$28:$CP$64,46,TRUE) * ('VoT5'!$J$29*VLOOKUP($B41, 'A1.3.2'!$B$27:$AY$106,49,)+'VoT5'!$J$30*VLOOKUP($B41, 'A1.3.2'!$B$27:$AY$106,50,))/('VoT5'!$J$29+'VoT5'!$J$30) * $CR$5)</f>
        <v>10.290634512212531</v>
      </c>
      <c r="AW41" s="1566">
        <f>IF(ISERROR(MATCH($B41,'A1.3.2'!$B$27:$B$106,0)),"",(AU41*'VoT5'!$G$31 + AV41*'VoT5'!$G$32)/100)</f>
        <v>16.070154336444524</v>
      </c>
      <c r="AX41" s="1566">
        <f>IF(ISERROR(MATCH($B41,'A1.3.2'!$B$27:$B$106,0)),"",(VLOOKUP($B41,'Forecast occupancies'!$C$28:$CP$64,48,TRUE)*VLOOKUP($B41,'A1.3.2'!$B$27:$AY$106,38,)) * $CR$5)</f>
        <v>16.552584440858936</v>
      </c>
      <c r="AY41" s="1566">
        <f>IF(ISERROR(MATCH($B41,'A1.3.2'!$B$27:$B$106,0)),"",(VLOOKUP($B41,'Forecast occupancies'!$C$28:$CP$64,49,TRUE)*VLOOKUP($B41,'A1.3.2'!$B$27:$AY$106,38,)) * $CR$5)</f>
        <v>16.552584440858936</v>
      </c>
      <c r="AZ41" s="1565">
        <f>IF(ISERROR(MATCH($B41,'A1.3.2'!$B$27:$B$106,0)),"",(((VLOOKUP($B41,'Forecast occupancies'!$C$28:$CP$64,50,TRUE) -1) * VLOOKUP($B41,'A1.3.2'!$B$27:$AY$106,40,)) + VLOOKUP($B41,'A1.3.2'!$B$27:$AY$106,39,)) * $CR$5)</f>
        <v>20.12139974620375</v>
      </c>
      <c r="BA41" s="1565">
        <f>IF(ISERROR(MATCH($B41,'A1.3.2'!$B$27:$B$106,0)),"",(VLOOKUP($B41,'Forecast occupancies'!$C$28:$CP$64,51,TRUE) * VLOOKUP($B41,'A1.3.2'!$B$27:$AY$106,49,)) * $CR$5)</f>
        <v>49.639322722891258</v>
      </c>
      <c r="BB41" s="1565">
        <f>IF(ISERROR(MATCH($B41,'A1.3.2'!$B$27:$B$106,0)),"",(VLOOKUP($B41,'Forecast occupancies'!$C$28:$CP$64,52,TRUE) * VLOOKUP($B41,'A1.3.2'!$B$27:$AY$106,50,)) * $CR$5)</f>
        <v>39.812887578081742</v>
      </c>
      <c r="BC41" s="1567">
        <f>IF(ISERROR(MATCH($B41,'A1.3.2'!$B$27:$B$106,0)),"",SUM(AZ41:BB41))</f>
        <v>109.57361004717676</v>
      </c>
      <c r="BD41" s="1565">
        <f>IF(ISERROR(MATCH($B41,'A1.3.2'!$B$27:$B$106,0)),"",(((VLOOKUP($B41,'Forecast occupancies'!$C$28:$CP$64,54,TRUE)-1)*VLOOKUP($B41,'A1.3.2'!$B$27:$AY$106,36,)+VLOOKUP($B41,'A1.3.2'!$B$27:$AY$106,35,))*$CR$5))</f>
        <v>23.442497116373005</v>
      </c>
      <c r="BE41" s="1565">
        <f>IF(ISERROR(MATCH($B41,'A1.3.2'!$B$27:$B$106,0)),"",VLOOKUP($B41,'Forecast occupancies'!$C$28:$CP$64,55,TRUE)*VLOOKUP($B41,'A1.3.2'!$B$27:$AY$106,49,)*$CR$5)</f>
        <v>13.089160927406883</v>
      </c>
      <c r="BF41" s="1565">
        <f>IF(ISERROR(MATCH($B41,'A1.3.2'!$B$27:$B$106,0)),"",VLOOKUP($B41,'Forecast occupancies'!$C$28:$CP$64,56,TRUE)*VLOOKUP($B41,'A1.3.2'!$B$27:$AY$106,50,)*$CR$5)</f>
        <v>9.3820948990592132</v>
      </c>
      <c r="BG41" s="1566">
        <f>IF(ISERROR(MATCH($B41,'A1.3.2'!$B$27:$B$106,0)),"",(((BD41*'VoT5'!$H$28)+(BE41*'VoT5'!$H$29)+(BF41*'VoT5'!$H$30))/100))</f>
        <v>12.626973916364342</v>
      </c>
      <c r="BH41" s="1565">
        <f>IF(ISERROR(MATCH($B41,'A1.3.2'!$B$27:$B$106,0)),"",(VLOOKUP($B41,'Forecast occupancies'!$C$28:$CP$64,58,TRUE) * VLOOKUP($B41, 'A1.3.2'!$B$27:$AY$106,37,)) * $CR$5)</f>
        <v>16.858270676112522</v>
      </c>
      <c r="BI41" s="1565">
        <f>IF(ISERROR(MATCH($B41,'A1.3.2'!$B$27:$B$106,0)),"",(VLOOKUP($B41,'Forecast occupancies'!$C$28:$CP$64,59,TRUE) * (VLOOKUP($B41,'A1.3.2'!$B$27:$AY$106,49,) * 'VoT5'!$J$29 + VLOOKUP($B41,'A1.3.2'!$B$27:$AY$106,50,) * 'VoT5'!$J$30) / (SUM('VoT5'!$J$29:$J$30))) * $CR$5)</f>
        <v>10.290634512212531</v>
      </c>
      <c r="BJ41" s="1566">
        <f>IF(ISERROR(MATCH($B41,'A1.3.2'!$B$27:$B$106,0)),"",(BH41*'VoT5'!$H$31 + BI41*'VoT5'!$H$32)/100)</f>
        <v>16.070154336444524</v>
      </c>
      <c r="BK41" s="1566">
        <f>IF(ISERROR(MATCH($B41,'A1.3.2'!$B$27:$B$106,0)),"",(VLOOKUP($B41,'Forecast occupancies'!$C$28:$CP$64,61,TRUE)*VLOOKUP($B41,'A1.3.2'!$B$27:$AY$106,38,)) * $CR$5)</f>
        <v>16.552584440858936</v>
      </c>
      <c r="BL41" s="1566">
        <f>IF(ISERROR(MATCH($B41,'A1.3.2'!$B$27:$B$106,0)),"",(VLOOKUP($B41,'Forecast occupancies'!$C$28:$CP$64,62,TRUE)*VLOOKUP($B41,'A1.3.2'!$B$27:$AY$106,38,)) * $CR$5)</f>
        <v>16.552584440858936</v>
      </c>
      <c r="BM41" s="1565">
        <f>IF(ISERROR(MATCH($B41,'A1.3.2'!$B$27:$B$106,0)),"",(((VLOOKUP($B41,'Forecast occupancies'!$C$28:$CP$64,63,TRUE) -1) * VLOOKUP($B41,'A1.3.2'!$B$27:$AY$106,40,)) + VLOOKUP($B41,'A1.3.2'!$B$27:$AY$106,39,)) * $CR$5)</f>
        <v>19.400877795938097</v>
      </c>
      <c r="BN41" s="1565">
        <f>IF(ISERROR(MATCH($B41,'A1.3.2'!$B$27:$B$106,0)),"",(VLOOKUP($B41,'Forecast occupancies'!$C$28:$CP$64,64,TRUE) * VLOOKUP($B41,'A1.3.2'!$B$27:$AY$106,49,)) * $CR$5)</f>
        <v>22.408853274250269</v>
      </c>
      <c r="BO41" s="1565">
        <f>IF(ISERROR(MATCH($B41,'A1.3.2'!$B$27:$B$106,0)),"",(VLOOKUP($B41,'Forecast occupancies'!$C$28:$CP$64,65,TRUE) * VLOOKUP($B41,'A1.3.2'!$B$27:$AY$106,50,)) * $CR$5)</f>
        <v>52.568231422361542</v>
      </c>
      <c r="BP41" s="1567">
        <f>IF(ISERROR(MATCH($B41,'A1.3.2'!$B$27:$B$106,0)),"",SUM(BM41:BO41))</f>
        <v>94.377962492549898</v>
      </c>
      <c r="BQ41" s="1565">
        <f>IF(ISERROR(MATCH($B41,'A1.3.2'!$B$27:$B$106,0)),"",(((VLOOKUP($B41,'Forecast occupancies'!$C$28:$CP$64,67,TRUE)-1)*VLOOKUP($B41,'A1.3.2'!$B$27:$AY$106,36,)+VLOOKUP($B41,'A1.3.2'!$B$27:$AY$106,35,))*$CR$5))</f>
        <v>26.79183957866092</v>
      </c>
      <c r="BR41" s="1565">
        <f>IF(ISERROR(MATCH($B41,'A1.3.2'!$B$27:$B$106,0)),"",VLOOKUP($B41,'Forecast occupancies'!$C$28:$CP$64,68,TRUE)*VLOOKUP($B41,'A1.3.2'!$B$27:$AY$106,49,)*$CR$5)</f>
        <v>13.858174422269688</v>
      </c>
      <c r="BS41" s="1565">
        <f>IF(ISERROR(MATCH($B41,'A1.3.2'!$B$27:$B$106,0)),"",VLOOKUP($B41,'Forecast occupancies'!$C$28:$CP$64,69,TRUE)*VLOOKUP($B41,'A1.3.2'!$B$27:$AY$106,50,)*$CR$5)</f>
        <v>11.108626527556428</v>
      </c>
      <c r="BT41" s="1566">
        <f>IF(ISERROR(MATCH($B41,'A1.3.2'!$B$27:$B$106,0)),"",(((BQ41*'VoT5'!$I$28)+(BR41*'VoT5'!$I$29)+(BS41*'VoT5'!$I$30))/100))</f>
        <v>11.870268004091576</v>
      </c>
      <c r="BU41" s="1565">
        <f>IF(ISERROR(MATCH($B41,'A1.3.2'!$B$27:$B$106,0)),"",(VLOOKUP($B41,'Forecast occupancies'!$C$28:$CP$64,71,TRUE) * VLOOKUP($B41, 'A1.3.2'!$B$27:$AY$106,37,)) * $CR$5)</f>
        <v>17.70118420991815</v>
      </c>
      <c r="BV41" s="1565">
        <f>IF(ISERROR(MATCH($B41,'A1.3.2'!$B$27:$B$106,0)),"",(VLOOKUP($B41,'Forecast occupancies'!$C$28:$CP$64,72,TRUE) * (VLOOKUP($B41,'A1.3.2'!$B$27:$AY$106,49,)*'VoT5'!$J$29 + VLOOKUP($B41,'A1.3.2'!$B$27:$AY$106,50,)*'VoT5'!$J$30) / (SUM('VoT5'!$J$29:$J$30))) * $CR$5)</f>
        <v>14.308210999857147</v>
      </c>
      <c r="BW41" s="1566">
        <f>IF(ISERROR(MATCH($B41,'A1.3.2'!$B$27:$B$106,0)),"",(BU41*'VoT5'!$I$31 + BV41*'VoT5'!$I$32)/100)</f>
        <v>17.29402742471083</v>
      </c>
      <c r="BX41" s="1566">
        <f>IF(ISERROR(MATCH($B41,'A1.3.2'!$B$27:$B$106,0)),"",(VLOOKUP($B41,'Forecast occupancies'!$C$28:$CP$64,74,TRUE)*VLOOKUP($B41,'A1.3.2'!$B$27:$AY$106,38,)) * $CR$5)</f>
        <v>16.552584440858936</v>
      </c>
      <c r="BY41" s="1566">
        <f>IF(ISERROR(MATCH($B41,'A1.3.2'!$B$27:$B$106,0)),"",(VLOOKUP($B41,'Forecast occupancies'!$C$28:$CP$64,75,TRUE)*VLOOKUP($B41,'A1.3.2'!$B$27:$AY$106,38,)) * $CR$5)</f>
        <v>16.552584440858936</v>
      </c>
      <c r="BZ41" s="1565">
        <f>IF(ISERROR(MATCH($B41,'A1.3.2'!$B$27:$B$106,0)),"",(((VLOOKUP($B41,'Forecast occupancies'!$C$28:$CP$64,76,TRUE) -1) * VLOOKUP($B41,'A1.3.2'!$B$27:$AY$106,40,)) + VLOOKUP($B41,'A1.3.2'!$B$27:$AY$106,39,)) * $CR$5)</f>
        <v>17.669044734462094</v>
      </c>
      <c r="CA41" s="1565">
        <f>IF(ISERROR(MATCH($B41,'A1.3.2'!$B$27:$B$106,0)),"",(VLOOKUP($B41,'Forecast occupancies'!$C$28:$CP$64,77,TRUE) * VLOOKUP($B41,'A1.3.2'!$B$27:$AY$106,49,)) * $CR$5)</f>
        <v>8.4893383216809166</v>
      </c>
      <c r="CB41" s="1565">
        <f>IF(ISERROR(MATCH($B41,'A1.3.2'!$B$27:$B$106,0)),"",(VLOOKUP($B41,'Forecast occupancies'!$C$28:$CP$64,78,TRUE) * VLOOKUP($B41,'A1.3.2'!$B$27:$AY$106,50,)) * $CR$5)</f>
        <v>59.706382156848342</v>
      </c>
      <c r="CC41" s="1567">
        <f>IF(ISERROR(MATCH($B41,'A1.3.2'!$B$27:$B$106,0)),"",SUM(BZ41:CB41))</f>
        <v>85.864765212991358</v>
      </c>
      <c r="CD41" s="1565">
        <f>IF(ISERROR(MATCH($B41,'A1.3.2'!$B$27:$B$106,0)),"",(((VLOOKUP($B41,'Forecast occupancies'!$C$28:$CP$64,80,TRUE)-1)*VLOOKUP($B41,'A1.3.2'!$B$27:$AY$106,36,)+VLOOKUP($B41,'A1.3.2'!$B$27:$AY$106,35,))*$CR$5))</f>
        <v>23.680242813837211</v>
      </c>
      <c r="CE41" s="1565">
        <f>IF(ISERROR(MATCH($B41,'A1.3.2'!$B$27:$B$106,0)),"",VLOOKUP($B41,'Forecast occupancies'!$C$28:$CP$64,81,TRUE)*VLOOKUP($B41,'A1.3.2'!$B$27:$AY$106,49,)*$CR$5)</f>
        <v>13.15137462605295</v>
      </c>
      <c r="CF41" s="1565">
        <f>IF(ISERROR(MATCH($B41,'A1.3.2'!$B$27:$B$106,0)),"",VLOOKUP($B41,'Forecast occupancies'!$C$28:$CP$64,82,TRUE)*VLOOKUP($B41,'A1.3.2'!$B$27:$AY$106,50,)*$CR$5)</f>
        <v>9.9913333935522513</v>
      </c>
      <c r="CG41" s="1566">
        <f>IF(ISERROR(MATCH($B41,'A1.3.2'!$B$27:$B$106,0)),"",(((CD41*'VoT5'!$J$28)+(CE41*'VoT5'!$J$29)+(CF41*'VoT5'!$J$30))/100))</f>
        <v>12.447562538214274</v>
      </c>
      <c r="CH41" s="1565">
        <f>IF(ISERROR(MATCH($B41,'A1.3.2'!$B$27:$B$106,0)),"",(VLOOKUP($B41,'Forecast occupancies'!$C$28:$CP$64,84,TRUE) * VLOOKUP($B41, 'A1.3.2'!$B$27:$AY$106,37,)) * $CR$5)</f>
        <v>16.858270676112522</v>
      </c>
      <c r="CI41" s="1565">
        <f>IF(ISERROR(MATCH($B41,'A1.3.2'!$B$27:$B$106,0)),"",(VLOOKUP($B41,'Forecast occupancies'!$C$28:$CP$64,85,TRUE) * (VLOOKUP($B41,'A1.3.2'!$B$27:$AY$106,49,)*'VoT5'!$J$29 + VLOOKUP($B41,'A1.3.2'!$B$27:$AY$106,50,)*'VoT5'!$J$30) / (SUM('VoT5'!$J$29:$J$30))) * $CR$5)</f>
        <v>11.206923886587619</v>
      </c>
      <c r="CJ41" s="1566">
        <f>IF(ISERROR(MATCH($B41,'A1.3.2'!$B$27:$B$106,0)),"",(CH41*'VoT5'!$J$31 + CI41*'VoT5'!$J$32)/100)</f>
        <v>16.180109061369532</v>
      </c>
      <c r="CK41" s="1566">
        <f>IF(ISERROR(MATCH($B41,'A1.3.2'!$B$27:$B$106,0)),"",(VLOOKUP($B41,'Forecast occupancies'!$C$28:$CP$64,87,TRUE)*VLOOKUP($B41,'A1.3.2'!$B$27:$AY$106,38,)) * $CR$5)</f>
        <v>16.552584440858936</v>
      </c>
      <c r="CL41" s="1566">
        <f>IF(ISERROR(MATCH($B41,'A1.3.2'!$B$27:$B$106,0)),"",(VLOOKUP($B41,'Forecast occupancies'!$C$28:$CP$64,88,TRUE)*VLOOKUP($B41,'A1.3.2'!$B$27:$AY$106,38,)) * $CR$5)</f>
        <v>16.552584440858936</v>
      </c>
      <c r="CM41" s="1565">
        <f>IF(ISERROR(MATCH($B41,'A1.3.2'!$B$27:$B$106,0)),"",(((VLOOKUP($B41,'Forecast occupancies'!$C$28:$CP$64,89,TRUE) -1) * VLOOKUP($B41,'A1.3.2'!$B$27:$AY$106,40,)) + VLOOKUP($B41,'A1.3.2'!$B$27:$AY$106,39,)) * $CR$5)</f>
        <v>18.973217380632324</v>
      </c>
      <c r="CN41" s="1565">
        <f>IF(ISERROR(MATCH($B41,'A1.3.2'!$B$27:$B$106,0)),"",(VLOOKUP($B41,'Forecast occupancies'!$C$28:$CP$64,90,TRUE) * VLOOKUP($B41,'A1.3.2'!$B$27:$AY$106,49,)) * $CR$5)</f>
        <v>18.970893316639884</v>
      </c>
      <c r="CO41" s="1565">
        <f>IF(ISERROR(MATCH($B41,'A1.3.2'!$B$27:$B$106,0)),"",(VLOOKUP($B41,'Forecast occupancies'!$C$28:$CP$64,91,TRUE) * VLOOKUP($B41,'A1.3.2'!$B$27:$AY$106,50,)) * $CR$5)</f>
        <v>54.331235132012331</v>
      </c>
      <c r="CP41" s="1567">
        <f>IF(ISERROR(MATCH($B41,'A1.3.2'!$B$27:$B$106,0)),"",SUM(CM41:CO41))</f>
        <v>92.275345829284532</v>
      </c>
    </row>
    <row r="42" spans="1:94" s="26" customFormat="1" ht="13.5" customHeight="1">
      <c r="A42" s="113"/>
      <c r="B42" s="82">
        <f t="shared" si="0"/>
        <v>2024</v>
      </c>
      <c r="D42" s="1609">
        <f>IF(ISERROR(MATCH($B42,'A1.3.2'!$B$27:$B$106,0)),"",(((VLOOKUP($B42,'Forecast occupancies'!$C$28:$CP$64,2,TRUE) -1) * VLOOKUP($B42,'A1.3.2'!$B$27:$AY$106,36,) + VLOOKUP($B42,'A1.3.2'!$B$27:$AY$106,35,)) * $CR$5))</f>
        <v>23.361906579220946</v>
      </c>
      <c r="E42" s="1565">
        <f>IF(ISERROR(MATCH($B42,'A1.3.2'!$B$27:$B$106,0)),"",VLOOKUP($B42,'Forecast occupancies'!$C$28:$CP$64,3,TRUE)*VLOOKUP($B42,'A1.3.2'!$B$27:$AY$106,49,)*$CR$5)</f>
        <v>13.165623947748855</v>
      </c>
      <c r="F42" s="1565">
        <f>IF(ISERROR(MATCH($B42,'A1.3.2'!$B$27:$B$106,0)),"",VLOOKUP($B42,'Forecast occupancies'!$C$28:$CP$64,4,TRUE)*VLOOKUP($B42,'A1.3.2'!$B$27:$AY$106,50,)*$CR$5)</f>
        <v>9.0832605420579373</v>
      </c>
      <c r="G42" s="1566">
        <f>IF(ISERROR(MATCH($B42,'A1.3.2'!$B$27:$B$106,0)),"",(((D42*'VoT5'!$D$28)+(E42*'VoT5'!$D$29)+(F42*'VoT5'!$D$30))/100))</f>
        <v>13.232298865398935</v>
      </c>
      <c r="H42" s="1565">
        <f>IF(ISERROR(MATCH($B42,'A1.3.2'!$B$27:$B$106,0)),"",(VLOOKUP($B42,'Forecast occupancies'!$C$28:$CP$64,6,TRUE) * VLOOKUP($B42, 'A1.3.2'!$B$27:$AY$106,37,)) * $CR$5)</f>
        <v>17.073093578319103</v>
      </c>
      <c r="I42" s="1565">
        <f>IF(ISERROR(MATCH($B42,'A1.3.2'!$B$27:$B$106,0)),"",VLOOKUP($B42,'Forecast occupancies'!$C$28:$CP$64,7,TRUE) * ('VoT5'!$J$29*VLOOKUP($B42, 'A1.3.2'!$B$27:$AY$106,49,)+'VoT5'!$J$30*VLOOKUP($B42, 'A1.3.2'!$B$27:$AY$106,50,))/('VoT5'!$J$29+'VoT5'!$J$30) * $CR$5)</f>
        <v>10.421766821921681</v>
      </c>
      <c r="J42" s="1566">
        <f>IF(ISERROR(MATCH($B42,'A1.3.2'!$B$27:$B$106,0)),"",(H42*'VoT5'!$D$31 + I42*'VoT5'!$D$32)/100)</f>
        <v>16.27493436755141</v>
      </c>
      <c r="K42" s="1566">
        <f>IF(ISERROR(MATCH($B42,'A1.3.2'!$B$27:$B$106,0)),"",(VLOOKUP($B42,'Forecast occupancies'!$C$28:$CP$64,9,TRUE)*VLOOKUP($B42,'A1.3.2'!$B$27:$AY$106,38,)) * $CR$5)</f>
        <v>16.763512020378901</v>
      </c>
      <c r="L42" s="1566">
        <f>IF(ISERROR(MATCH($B42,'A1.3.2'!$B$27:$B$106,0)),"",(VLOOKUP($B42,'Forecast occupancies'!$C$28:$CP$64,10,TRUE)*VLOOKUP($B42,'A1.3.2'!$B$27:$AY$106,38,)) * $CR$5)</f>
        <v>16.763512020378901</v>
      </c>
      <c r="M42" s="1565">
        <f>IF(ISERROR(MATCH($B42,'A1.3.2'!$B$27:$B$106,0)),"",(((VLOOKUP($B42,'Forecast occupancies'!$C$28:$CP$64,11,TRUE) -1) * VLOOKUP($B42,'A1.3.2'!$B$27:$AY$106,40,)) + VLOOKUP($B42,'A1.3.2'!$B$27:$AY$106,39,)) * $CR$5)</f>
        <v>19.102173508253365</v>
      </c>
      <c r="N42" s="1565">
        <f>IF(ISERROR(MATCH($B42,'A1.3.2'!$B$27:$B$106,0)),"",(VLOOKUP($B42,'Forecast occupancies'!$C$28:$CP$64,12,TRUE) * VLOOKUP($B42,'A1.3.2'!$B$27:$AY$106,49,)) * $CR$5)</f>
        <v>26.149446651763771</v>
      </c>
      <c r="O42" s="1565">
        <f>IF(ISERROR(MATCH($B42,'A1.3.2'!$B$27:$B$106,0)),"",(VLOOKUP($B42,'Forecast occupancies'!$C$28:$CP$64,13,TRUE) * VLOOKUP($B42,'A1.3.2'!$B$27:$AY$106,50,)) * $CR$5)</f>
        <v>51.908532205494382</v>
      </c>
      <c r="P42" s="1567">
        <f>IF(ISERROR(MATCH($B42,'A1.3.2'!$B$27:$B$106,0)),"",SUM(M42:O42))</f>
        <v>97.160152365511522</v>
      </c>
      <c r="Q42" s="1609">
        <f>IF(ISERROR(MATCH($B42,'A1.3.2'!$B$27:$B$106,0)),"",(((VLOOKUP($B42,'Forecast occupancies'!$C$28:$CP$64,15,TRUE)-1)*VLOOKUP($B42,'A1.3.2'!$B$27:$AY$106,36,)+VLOOKUP($B42,'A1.3.2'!$B$27:$AY$106,35,))*$CR$5))</f>
        <v>23.939473890005534</v>
      </c>
      <c r="R42" s="1565">
        <f>IF(ISERROR(MATCH($B42,'A1.3.2'!$B$27:$B$106,0)),"",VLOOKUP($B42,'Forecast occupancies'!$C$28:$CP$64,16,TRUE)*VLOOKUP($B42,'A1.3.2'!$B$27:$AY$106,49,)*$CR$5)</f>
        <v>13.379698220837822</v>
      </c>
      <c r="S42" s="1565">
        <f>IF(ISERROR(MATCH($B42,'A1.3.2'!$B$27:$B$106,0)),"",VLOOKUP($B42,'Forecast occupancies'!$C$28:$CP$64,17,TRUE)*VLOOKUP($B42,'A1.3.2'!$B$27:$AY$106,50,)*$CR$5)</f>
        <v>9.675818126041845</v>
      </c>
      <c r="T42" s="1566">
        <f>IF(ISERROR(MATCH($B42,'A1.3.2'!$B$27:$B$106,0)),"",(((Q42*'VoT5'!$E$28)+(R42*'VoT5'!$E$29)+(S42*'VoT5'!$E$30))/100))</f>
        <v>12.462306542949339</v>
      </c>
      <c r="U42" s="1565">
        <f>IF(ISERROR(MATCH($B42,'A1.3.2'!$B$27:$B$106,0)),"",(VLOOKUP($B42,'Forecast occupancies'!$C$28:$CP$64,19,TRUE) * VLOOKUP($B42, 'A1.3.2'!$B$27:$AY$106,37,)) * $CR$5)</f>
        <v>17.073093578319103</v>
      </c>
      <c r="V42" s="1565">
        <f>IF(ISERROR(MATCH($B42,'A1.3.2'!$B$27:$B$106,0)),"",VLOOKUP($B42,'Forecast occupancies'!$C$28:$CP$64,20,TRUE) * ('VoT5'!$J$29*VLOOKUP($B42, 'A1.3.2'!$B$27:$AY$106,49,)+'VoT5'!$J$30*VLOOKUP($B42, 'A1.3.2'!$B$27:$AY$106,50,))/('VoT5'!$J$29+'VoT5'!$J$30) * $CR$5)</f>
        <v>10.421766821921681</v>
      </c>
      <c r="W42" s="1566">
        <f>IF(ISERROR(MATCH($B42,'A1.3.2'!$B$27:$B$106,0)),"",(U42*'VoT5'!$E$31 + V42*'VoT5'!$E$32)/100)</f>
        <v>16.27493436755141</v>
      </c>
      <c r="X42" s="1566">
        <f>IF(ISERROR(MATCH($B42,'A1.3.2'!$B$27:$B$106,0)),"",(VLOOKUP($B42,'Forecast occupancies'!$C$28:$CP$64,22,TRUE)*VLOOKUP($B42,'A1.3.2'!$B$27:$AY$106,38,)) * $CR$5)</f>
        <v>16.763512020378901</v>
      </c>
      <c r="Y42" s="1566">
        <f>IF(ISERROR(MATCH($B42,'A1.3.2'!$B$27:$B$106,0)),"",(VLOOKUP($B42,'Forecast occupancies'!$C$28:$CP$64,23,TRUE)*VLOOKUP($B42,'A1.3.2'!$B$27:$AY$106,38,)) * $CR$5)</f>
        <v>16.763512020378901</v>
      </c>
      <c r="Z42" s="1565">
        <f>IF(ISERROR(MATCH($B42,'A1.3.2'!$B$27:$B$106,0)),"",(((VLOOKUP($B42,'Forecast occupancies'!$C$28:$CP$64,24,TRUE) -1) * VLOOKUP($B42,'A1.3.2'!$B$27:$AY$106,40,)) + VLOOKUP($B42,'A1.3.2'!$B$27:$AY$106,39,)) * $CR$5)</f>
        <v>19.49206585665905</v>
      </c>
      <c r="AA42" s="1565">
        <f>IF(ISERROR(MATCH($B42,'A1.3.2'!$B$27:$B$106,0)),"",(VLOOKUP($B42,'Forecast occupancies'!$C$28:$CP$64,25,TRUE) * VLOOKUP($B42,'A1.3.2'!$B$27:$AY$106,49,)) * $CR$5)</f>
        <v>9.1645489365492079</v>
      </c>
      <c r="AB42" s="1565">
        <f>IF(ISERROR(MATCH($B42,'A1.3.2'!$B$27:$B$106,0)),"",(VLOOKUP($B42,'Forecast occupancies'!$C$28:$CP$64,26,TRUE) * VLOOKUP($B42,'A1.3.2'!$B$27:$AY$106,50,)) * $CR$5)</f>
        <v>59.484250110235429</v>
      </c>
      <c r="AC42" s="1567">
        <f>IF(ISERROR(MATCH($B42,'A1.3.2'!$B$27:$B$106,0)),"",SUM(Z42:AB42))</f>
        <v>88.140864903443685</v>
      </c>
      <c r="AD42" s="1609">
        <f>IF(ISERROR(MATCH($B42,'A1.3.2'!$B$27:$B$106,0)),"",(((VLOOKUP($B42,'Forecast occupancies'!$C$28:$CP$64,28,TRUE)-1)*VLOOKUP($B42,'A1.3.2'!$B$27:$AY$106,36,)+VLOOKUP($B42,'A1.3.2'!$B$27:$AY$106,35,))*$CR$5))</f>
        <v>23.699054532748878</v>
      </c>
      <c r="AE42" s="1565">
        <f>IF(ISERROR(MATCH($B42,'A1.3.2'!$B$27:$B$106,0)),"",VLOOKUP($B42,'Forecast occupancies'!$C$28:$CP$64,29,TRUE)*VLOOKUP($B42,'A1.3.2'!$B$27:$AY$106,49,)*$CR$5)</f>
        <v>13.211036884969579</v>
      </c>
      <c r="AF42" s="1565">
        <f>IF(ISERROR(MATCH($B42,'A1.3.2'!$B$27:$B$106,0)),"",VLOOKUP($B42,'Forecast occupancies'!$C$28:$CP$64,30,TRUE)*VLOOKUP($B42,'A1.3.2'!$B$27:$AY$106,50,)*$CR$5)</f>
        <v>9.5120601802607965</v>
      </c>
      <c r="AG42" s="1566">
        <f>IF(ISERROR(MATCH($B42,'A1.3.2'!$B$27:$B$106,0)),"",(((AD42*'VoT5'!$F$28)+(AE42*'VoT5'!$F$29)+(AF42*'VoT5'!$F$30))/100))</f>
        <v>12.713522758523341</v>
      </c>
      <c r="AH42" s="1565">
        <f>IF(ISERROR(MATCH($B42,'A1.3.2'!$B$27:$B$106,0)),"",(VLOOKUP($B42,'Forecast occupancies'!$C$28:$CP$64,32,TRUE) * VLOOKUP($B42, 'A1.3.2'!$B$27:$AY$106,37,)) * $CR$5)</f>
        <v>17.073093578319103</v>
      </c>
      <c r="AI42" s="1565">
        <f>IF(ISERROR(MATCH($B42,'A1.3.2'!$B$27:$B$106,0)),"",VLOOKUP($B42,'Forecast occupancies'!$C$28:$CP$64,33,TRUE) * ('VoT5'!$J$29*VLOOKUP($B42, 'A1.3.2'!$B$27:$AY$106,49,)+'VoT5'!$J$30*VLOOKUP($B42, 'A1.3.2'!$B$27:$AY$106,50,))/('VoT5'!$J$29+'VoT5'!$J$30) * $CR$5)</f>
        <v>10.421766821921681</v>
      </c>
      <c r="AJ42" s="1566">
        <f>IF(ISERROR(MATCH($B42,'A1.3.2'!$B$27:$B$106,0)),"",(AH42*'VoT5'!$F$31 + AI42*'VoT5'!$F$32)/100)</f>
        <v>16.27493436755141</v>
      </c>
      <c r="AK42" s="1566">
        <f>IF(ISERROR(MATCH($B42,'A1.3.2'!$B$27:$B$106,0)),"",(VLOOKUP($B42,'Forecast occupancies'!$C$28:$CP$64,35,TRUE)*VLOOKUP($B42,'A1.3.2'!$B$27:$AY$106,38,)) * $CR$5)</f>
        <v>16.763512020378901</v>
      </c>
      <c r="AL42" s="1566">
        <f>IF(ISERROR(MATCH($B42,'A1.3.2'!$B$27:$B$106,0)),"",(VLOOKUP($B42,'Forecast occupancies'!$C$28:$CP$64,36,TRUE)*VLOOKUP($B42,'A1.3.2'!$B$27:$AY$106,38,)) * $CR$5)</f>
        <v>16.763512020378901</v>
      </c>
      <c r="AM42" s="1565">
        <f>IF(ISERROR(MATCH($B42,'A1.3.2'!$B$27:$B$106,0)),"",(((VLOOKUP($B42,'Forecast occupancies'!$C$28:$CP$64,37,TRUE) -1) * VLOOKUP($B42,'A1.3.2'!$B$27:$AY$106,40,)) + VLOOKUP($B42,'A1.3.2'!$B$27:$AY$106,39,)) * $CR$5)</f>
        <v>20.394296627236294</v>
      </c>
      <c r="AN42" s="1565">
        <f>IF(ISERROR(MATCH($B42,'A1.3.2'!$B$27:$B$106,0)),"",(VLOOKUP($B42,'Forecast occupancies'!$C$28:$CP$64,38,TRUE) * VLOOKUP($B42,'A1.3.2'!$B$27:$AY$106,49,)) * $CR$5)</f>
        <v>36.775994221788345</v>
      </c>
      <c r="AO42" s="1565">
        <f>IF(ISERROR(MATCH($B42,'A1.3.2'!$B$27:$B$106,0)),"",(VLOOKUP($B42,'Forecast occupancies'!$C$28:$CP$64,39,TRUE) * VLOOKUP($B42,'A1.3.2'!$B$27:$AY$106,50,)) * $CR$5)</f>
        <v>46.472667061372533</v>
      </c>
      <c r="AP42" s="1567">
        <f>IF(ISERROR(MATCH($B42,'A1.3.2'!$B$27:$B$106,0)),"",SUM(AM42:AO42))</f>
        <v>103.64295791039717</v>
      </c>
      <c r="AQ42" s="1609">
        <f>IF(ISERROR(MATCH($B42,'A1.3.2'!$B$27:$B$106,0)),"",(((VLOOKUP($B42,'Forecast occupancies'!$C$28:$CP$64,41,TRUE)-1)*VLOOKUP($B42,'A1.3.2'!$B$27:$AY$106,36,)+VLOOKUP($B42,'A1.3.2'!$B$27:$AY$106,35,))*$CR$5))</f>
        <v>24.147455389110124</v>
      </c>
      <c r="AR42" s="1565">
        <f>IF(ISERROR(MATCH($B42,'A1.3.2'!$B$27:$B$106,0)),"",VLOOKUP($B42,'Forecast occupancies'!$C$28:$CP$64,42,TRUE)*VLOOKUP($B42,'A1.3.2'!$B$27:$AY$106,49,)*$CR$5)</f>
        <v>13.404392991827191</v>
      </c>
      <c r="AS42" s="1565">
        <f>IF(ISERROR(MATCH($B42,'A1.3.2'!$B$27:$B$106,0)),"",VLOOKUP($B42,'Forecast occupancies'!$C$28:$CP$64,43,TRUE)*VLOOKUP($B42,'A1.3.2'!$B$27:$AY$106,50,)*$CR$5)</f>
        <v>9.4781000396095827</v>
      </c>
      <c r="AT42" s="1566">
        <f>IF(ISERROR(MATCH($B42,'A1.3.2'!$B$27:$B$106,0)),"",(((AQ42*'VoT5'!$G$28)+(AR42*'VoT5'!$G$29)+(AS42*'VoT5'!$G$30))/100))</f>
        <v>12.880639470664065</v>
      </c>
      <c r="AU42" s="1565">
        <f>IF(ISERROR(MATCH($B42,'A1.3.2'!$B$27:$B$106,0)),"",(VLOOKUP($B42,'Forecast occupancies'!$C$28:$CP$64,45,TRUE) * VLOOKUP($B42, 'A1.3.2'!$B$27:$AY$106,37,)) * $CR$5)</f>
        <v>17.073093578319103</v>
      </c>
      <c r="AV42" s="1565">
        <f>IF(ISERROR(MATCH($B42,'A1.3.2'!$B$27:$B$106,0)),"",VLOOKUP($B42,'Forecast occupancies'!$C$28:$CP$64,46,TRUE) * ('VoT5'!$J$29*VLOOKUP($B42, 'A1.3.2'!$B$27:$AY$106,49,)+'VoT5'!$J$30*VLOOKUP($B42, 'A1.3.2'!$B$27:$AY$106,50,))/('VoT5'!$J$29+'VoT5'!$J$30) * $CR$5)</f>
        <v>10.421766821921681</v>
      </c>
      <c r="AW42" s="1566">
        <f>IF(ISERROR(MATCH($B42,'A1.3.2'!$B$27:$B$106,0)),"",(AU42*'VoT5'!$G$31 + AV42*'VoT5'!$G$32)/100)</f>
        <v>16.27493436755141</v>
      </c>
      <c r="AX42" s="1566">
        <f>IF(ISERROR(MATCH($B42,'A1.3.2'!$B$27:$B$106,0)),"",(VLOOKUP($B42,'Forecast occupancies'!$C$28:$CP$64,48,TRUE)*VLOOKUP($B42,'A1.3.2'!$B$27:$AY$106,38,)) * $CR$5)</f>
        <v>16.763512020378901</v>
      </c>
      <c r="AY42" s="1566">
        <f>IF(ISERROR(MATCH($B42,'A1.3.2'!$B$27:$B$106,0)),"",(VLOOKUP($B42,'Forecast occupancies'!$C$28:$CP$64,49,TRUE)*VLOOKUP($B42,'A1.3.2'!$B$27:$AY$106,38,)) * $CR$5)</f>
        <v>16.763512020378901</v>
      </c>
      <c r="AZ42" s="1565">
        <f>IF(ISERROR(MATCH($B42,'A1.3.2'!$B$27:$B$106,0)),"",(((VLOOKUP($B42,'Forecast occupancies'!$C$28:$CP$64,50,TRUE) -1) * VLOOKUP($B42,'A1.3.2'!$B$27:$AY$106,40,)) + VLOOKUP($B42,'A1.3.2'!$B$27:$AY$106,39,)) * $CR$5)</f>
        <v>20.377804307085729</v>
      </c>
      <c r="BA42" s="1565">
        <f>IF(ISERROR(MATCH($B42,'A1.3.2'!$B$27:$B$106,0)),"",(VLOOKUP($B42,'Forecast occupancies'!$C$28:$CP$64,51,TRUE) * VLOOKUP($B42,'A1.3.2'!$B$27:$AY$106,49,)) * $CR$5)</f>
        <v>50.271870602550734</v>
      </c>
      <c r="BB42" s="1565">
        <f>IF(ISERROR(MATCH($B42,'A1.3.2'!$B$27:$B$106,0)),"",(VLOOKUP($B42,'Forecast occupancies'!$C$28:$CP$64,52,TRUE) * VLOOKUP($B42,'A1.3.2'!$B$27:$AY$106,50,)) * $CR$5)</f>
        <v>40.320218384370591</v>
      </c>
      <c r="BC42" s="1567">
        <f>IF(ISERROR(MATCH($B42,'A1.3.2'!$B$27:$B$106,0)),"",SUM(AZ42:BB42))</f>
        <v>110.96989329400705</v>
      </c>
      <c r="BD42" s="1565">
        <f>IF(ISERROR(MATCH($B42,'A1.3.2'!$B$27:$B$106,0)),"",(((VLOOKUP($B42,'Forecast occupancies'!$C$28:$CP$64,54,TRUE)-1)*VLOOKUP($B42,'A1.3.2'!$B$27:$AY$106,36,)+VLOOKUP($B42,'A1.3.2'!$B$27:$AY$106,35,))*$CR$5))</f>
        <v>23.741222018960105</v>
      </c>
      <c r="BE42" s="1565">
        <f>IF(ISERROR(MATCH($B42,'A1.3.2'!$B$27:$B$106,0)),"",VLOOKUP($B42,'Forecast occupancies'!$C$28:$CP$64,55,TRUE)*VLOOKUP($B42,'A1.3.2'!$B$27:$AY$106,49,)*$CR$5)</f>
        <v>13.255954520409206</v>
      </c>
      <c r="BF42" s="1565">
        <f>IF(ISERROR(MATCH($B42,'A1.3.2'!$B$27:$B$106,0)),"",VLOOKUP($B42,'Forecast occupancies'!$C$28:$CP$64,56,TRUE)*VLOOKUP($B42,'A1.3.2'!$B$27:$AY$106,50,)*$CR$5)</f>
        <v>9.5016497984742117</v>
      </c>
      <c r="BG42" s="1566">
        <f>IF(ISERROR(MATCH($B42,'A1.3.2'!$B$27:$B$106,0)),"",(((BD42*'VoT5'!$H$28)+(BE42*'VoT5'!$H$29)+(BF42*'VoT5'!$H$30))/100))</f>
        <v>12.787877916241612</v>
      </c>
      <c r="BH42" s="1565">
        <f>IF(ISERROR(MATCH($B42,'A1.3.2'!$B$27:$B$106,0)),"",(VLOOKUP($B42,'Forecast occupancies'!$C$28:$CP$64,58,TRUE) * VLOOKUP($B42, 'A1.3.2'!$B$27:$AY$106,37,)) * $CR$5)</f>
        <v>17.073093578319103</v>
      </c>
      <c r="BI42" s="1565">
        <f>IF(ISERROR(MATCH($B42,'A1.3.2'!$B$27:$B$106,0)),"",(VLOOKUP($B42,'Forecast occupancies'!$C$28:$CP$64,59,TRUE) * (VLOOKUP($B42,'A1.3.2'!$B$27:$AY$106,49,) * 'VoT5'!$J$29 + VLOOKUP($B42,'A1.3.2'!$B$27:$AY$106,50,) * 'VoT5'!$J$30) / (SUM('VoT5'!$J$29:$J$30))) * $CR$5)</f>
        <v>10.421766821921681</v>
      </c>
      <c r="BJ42" s="1566">
        <f>IF(ISERROR(MATCH($B42,'A1.3.2'!$B$27:$B$106,0)),"",(BH42*'VoT5'!$H$31 + BI42*'VoT5'!$H$32)/100)</f>
        <v>16.27493436755141</v>
      </c>
      <c r="BK42" s="1566">
        <f>IF(ISERROR(MATCH($B42,'A1.3.2'!$B$27:$B$106,0)),"",(VLOOKUP($B42,'Forecast occupancies'!$C$28:$CP$64,61,TRUE)*VLOOKUP($B42,'A1.3.2'!$B$27:$AY$106,38,)) * $CR$5)</f>
        <v>16.763512020378901</v>
      </c>
      <c r="BL42" s="1566">
        <f>IF(ISERROR(MATCH($B42,'A1.3.2'!$B$27:$B$106,0)),"",(VLOOKUP($B42,'Forecast occupancies'!$C$28:$CP$64,62,TRUE)*VLOOKUP($B42,'A1.3.2'!$B$27:$AY$106,38,)) * $CR$5)</f>
        <v>16.763512020378901</v>
      </c>
      <c r="BM42" s="1565">
        <f>IF(ISERROR(MATCH($B42,'A1.3.2'!$B$27:$B$106,0)),"",(((VLOOKUP($B42,'Forecast occupancies'!$C$28:$CP$64,63,TRUE) -1) * VLOOKUP($B42,'A1.3.2'!$B$27:$AY$106,40,)) + VLOOKUP($B42,'A1.3.2'!$B$27:$AY$106,39,)) * $CR$5)</f>
        <v>19.648100832840932</v>
      </c>
      <c r="BN42" s="1565">
        <f>IF(ISERROR(MATCH($B42,'A1.3.2'!$B$27:$B$106,0)),"",(VLOOKUP($B42,'Forecast occupancies'!$C$28:$CP$64,64,TRUE) * VLOOKUP($B42,'A1.3.2'!$B$27:$AY$106,49,)) * $CR$5)</f>
        <v>22.694406578499738</v>
      </c>
      <c r="BO42" s="1565">
        <f>IF(ISERROR(MATCH($B42,'A1.3.2'!$B$27:$B$106,0)),"",(VLOOKUP($B42,'Forecast occupancies'!$C$28:$CP$64,65,TRUE) * VLOOKUP($B42,'A1.3.2'!$B$27:$AY$106,50,)) * $CR$5)</f>
        <v>53.23810203097743</v>
      </c>
      <c r="BP42" s="1567">
        <f>IF(ISERROR(MATCH($B42,'A1.3.2'!$B$27:$B$106,0)),"",SUM(BM42:BO42))</f>
        <v>95.580609442318092</v>
      </c>
      <c r="BQ42" s="1565">
        <f>IF(ISERROR(MATCH($B42,'A1.3.2'!$B$27:$B$106,0)),"",(((VLOOKUP($B42,'Forecast occupancies'!$C$28:$CP$64,67,TRUE)-1)*VLOOKUP($B42,'A1.3.2'!$B$27:$AY$106,36,)+VLOOKUP($B42,'A1.3.2'!$B$27:$AY$106,35,))*$CR$5))</f>
        <v>27.133244746742392</v>
      </c>
      <c r="BR42" s="1565">
        <f>IF(ISERROR(MATCH($B42,'A1.3.2'!$B$27:$B$106,0)),"",VLOOKUP($B42,'Forecast occupancies'!$C$28:$CP$64,68,TRUE)*VLOOKUP($B42,'A1.3.2'!$B$27:$AY$106,49,)*$CR$5)</f>
        <v>14.034767461133118</v>
      </c>
      <c r="BS42" s="1565">
        <f>IF(ISERROR(MATCH($B42,'A1.3.2'!$B$27:$B$106,0)),"",VLOOKUP($B42,'Forecast occupancies'!$C$28:$CP$64,69,TRUE)*VLOOKUP($B42,'A1.3.2'!$B$27:$AY$106,50,)*$CR$5)</f>
        <v>11.250182410483381</v>
      </c>
      <c r="BT42" s="1566">
        <f>IF(ISERROR(MATCH($B42,'A1.3.2'!$B$27:$B$106,0)),"",(((BQ42*'VoT5'!$I$28)+(BR42*'VoT5'!$I$29)+(BS42*'VoT5'!$I$30))/100))</f>
        <v>12.021529392142611</v>
      </c>
      <c r="BU42" s="1565">
        <f>IF(ISERROR(MATCH($B42,'A1.3.2'!$B$27:$B$106,0)),"",(VLOOKUP($B42,'Forecast occupancies'!$C$28:$CP$64,71,TRUE) * VLOOKUP($B42, 'A1.3.2'!$B$27:$AY$106,37,)) * $CR$5)</f>
        <v>17.926748257235058</v>
      </c>
      <c r="BV42" s="1565">
        <f>IF(ISERROR(MATCH($B42,'A1.3.2'!$B$27:$B$106,0)),"",(VLOOKUP($B42,'Forecast occupancies'!$C$28:$CP$64,72,TRUE) * (VLOOKUP($B42,'A1.3.2'!$B$27:$AY$106,49,)*'VoT5'!$J$29 + VLOOKUP($B42,'A1.3.2'!$B$27:$AY$106,50,)*'VoT5'!$J$30) / (SUM('VoT5'!$J$29:$J$30))) * $CR$5)</f>
        <v>14.490538800343158</v>
      </c>
      <c r="BW42" s="1566">
        <f>IF(ISERROR(MATCH($B42,'A1.3.2'!$B$27:$B$106,0)),"",(BU42*'VoT5'!$I$31 + BV42*'VoT5'!$I$32)/100)</f>
        <v>17.51440312240803</v>
      </c>
      <c r="BX42" s="1566">
        <f>IF(ISERROR(MATCH($B42,'A1.3.2'!$B$27:$B$106,0)),"",(VLOOKUP($B42,'Forecast occupancies'!$C$28:$CP$64,74,TRUE)*VLOOKUP($B42,'A1.3.2'!$B$27:$AY$106,38,)) * $CR$5)</f>
        <v>16.763512020378901</v>
      </c>
      <c r="BY42" s="1566">
        <f>IF(ISERROR(MATCH($B42,'A1.3.2'!$B$27:$B$106,0)),"",(VLOOKUP($B42,'Forecast occupancies'!$C$28:$CP$64,75,TRUE)*VLOOKUP($B42,'A1.3.2'!$B$27:$AY$106,38,)) * $CR$5)</f>
        <v>16.763512020378901</v>
      </c>
      <c r="BZ42" s="1565">
        <f>IF(ISERROR(MATCH($B42,'A1.3.2'!$B$27:$B$106,0)),"",(((VLOOKUP($B42,'Forecast occupancies'!$C$28:$CP$64,76,TRUE) -1) * VLOOKUP($B42,'A1.3.2'!$B$27:$AY$106,40,)) + VLOOKUP($B42,'A1.3.2'!$B$27:$AY$106,39,)) * $CR$5)</f>
        <v>17.894199232334365</v>
      </c>
      <c r="CA42" s="1565">
        <f>IF(ISERROR(MATCH($B42,'A1.3.2'!$B$27:$B$106,0)),"",(VLOOKUP($B42,'Forecast occupancies'!$C$28:$CP$64,77,TRUE) * VLOOKUP($B42,'A1.3.2'!$B$27:$AY$106,49,)) * $CR$5)</f>
        <v>8.597516932115802</v>
      </c>
      <c r="CB42" s="1565">
        <f>IF(ISERROR(MATCH($B42,'A1.3.2'!$B$27:$B$106,0)),"",(VLOOKUP($B42,'Forecast occupancies'!$C$28:$CP$64,78,TRUE) * VLOOKUP($B42,'A1.3.2'!$B$27:$AY$106,50,)) * $CR$5)</f>
        <v>60.467213356062835</v>
      </c>
      <c r="CC42" s="1567">
        <f>IF(ISERROR(MATCH($B42,'A1.3.2'!$B$27:$B$106,0)),"",SUM(BZ42:CB42))</f>
        <v>86.95892952051301</v>
      </c>
      <c r="CD42" s="1565">
        <f>IF(ISERROR(MATCH($B42,'A1.3.2'!$B$27:$B$106,0)),"",(((VLOOKUP($B42,'Forecast occupancies'!$C$28:$CP$64,80,TRUE)-1)*VLOOKUP($B42,'A1.3.2'!$B$27:$AY$106,36,)+VLOOKUP($B42,'A1.3.2'!$B$27:$AY$106,35,))*$CR$5))</f>
        <v>23.981997281063389</v>
      </c>
      <c r="CE42" s="1565">
        <f>IF(ISERROR(MATCH($B42,'A1.3.2'!$B$27:$B$106,0)),"",VLOOKUP($B42,'Forecast occupancies'!$C$28:$CP$64,81,TRUE)*VLOOKUP($B42,'A1.3.2'!$B$27:$AY$106,49,)*$CR$5)</f>
        <v>13.318961000684951</v>
      </c>
      <c r="CF42" s="1565">
        <f>IF(ISERROR(MATCH($B42,'A1.3.2'!$B$27:$B$106,0)),"",VLOOKUP($B42,'Forecast occupancies'!$C$28:$CP$64,82,TRUE)*VLOOKUP($B42,'A1.3.2'!$B$27:$AY$106,50,)*$CR$5)</f>
        <v>10.118651745342493</v>
      </c>
      <c r="CG42" s="1566">
        <f>IF(ISERROR(MATCH($B42,'A1.3.2'!$B$27:$B$106,0)),"",(((CD42*'VoT5'!$J$28)+(CE42*'VoT5'!$J$29)+(CF42*'VoT5'!$J$30))/100))</f>
        <v>12.606180320620988</v>
      </c>
      <c r="CH42" s="1565">
        <f>IF(ISERROR(MATCH($B42,'A1.3.2'!$B$27:$B$106,0)),"",(VLOOKUP($B42,'Forecast occupancies'!$C$28:$CP$64,84,TRUE) * VLOOKUP($B42, 'A1.3.2'!$B$27:$AY$106,37,)) * $CR$5)</f>
        <v>17.073093578319103</v>
      </c>
      <c r="CI42" s="1565">
        <f>IF(ISERROR(MATCH($B42,'A1.3.2'!$B$27:$B$106,0)),"",(VLOOKUP($B42,'Forecast occupancies'!$C$28:$CP$64,85,TRUE) * (VLOOKUP($B42,'A1.3.2'!$B$27:$AY$106,49,)*'VoT5'!$J$29 + VLOOKUP($B42,'A1.3.2'!$B$27:$AY$106,50,)*'VoT5'!$J$30) / (SUM('VoT5'!$J$29:$J$30))) * $CR$5)</f>
        <v>11.349732360859914</v>
      </c>
      <c r="CJ42" s="1566">
        <f>IF(ISERROR(MATCH($B42,'A1.3.2'!$B$27:$B$106,0)),"",(CH42*'VoT5'!$J$31 + CI42*'VoT5'!$J$32)/100)</f>
        <v>16.386290232223999</v>
      </c>
      <c r="CK42" s="1566">
        <f>IF(ISERROR(MATCH($B42,'A1.3.2'!$B$27:$B$106,0)),"",(VLOOKUP($B42,'Forecast occupancies'!$C$28:$CP$64,87,TRUE)*VLOOKUP($B42,'A1.3.2'!$B$27:$AY$106,38,)) * $CR$5)</f>
        <v>16.763512020378901</v>
      </c>
      <c r="CL42" s="1566">
        <f>IF(ISERROR(MATCH($B42,'A1.3.2'!$B$27:$B$106,0)),"",(VLOOKUP($B42,'Forecast occupancies'!$C$28:$CP$64,88,TRUE)*VLOOKUP($B42,'A1.3.2'!$B$27:$AY$106,38,)) * $CR$5)</f>
        <v>16.763512020378901</v>
      </c>
      <c r="CM42" s="1565">
        <f>IF(ISERROR(MATCH($B42,'A1.3.2'!$B$27:$B$106,0)),"",(((VLOOKUP($B42,'Forecast occupancies'!$C$28:$CP$64,89,TRUE) -1) * VLOOKUP($B42,'A1.3.2'!$B$27:$AY$106,40,)) + VLOOKUP($B42,'A1.3.2'!$B$27:$AY$106,39,)) * $CR$5)</f>
        <v>19.214990792639465</v>
      </c>
      <c r="CN42" s="1565">
        <f>IF(ISERROR(MATCH($B42,'A1.3.2'!$B$27:$B$106,0)),"",(VLOOKUP($B42,'Forecast occupancies'!$C$28:$CP$64,90,TRUE) * VLOOKUP($B42,'A1.3.2'!$B$27:$AY$106,49,)) * $CR$5)</f>
        <v>19.21263711338095</v>
      </c>
      <c r="CO42" s="1565">
        <f>IF(ISERROR(MATCH($B42,'A1.3.2'!$B$27:$B$106,0)),"",(VLOOKUP($B42,'Forecast occupancies'!$C$28:$CP$64,91,TRUE) * VLOOKUP($B42,'A1.3.2'!$B$27:$AY$106,50,)) * $CR$5)</f>
        <v>55.02357148345466</v>
      </c>
      <c r="CP42" s="1567">
        <f>IF(ISERROR(MATCH($B42,'A1.3.2'!$B$27:$B$106,0)),"",SUM(CM42:CO42))</f>
        <v>93.451199389475079</v>
      </c>
    </row>
    <row r="43" spans="1:94" s="26" customFormat="1" ht="13.5" customHeight="1">
      <c r="A43" s="113"/>
      <c r="B43" s="82">
        <f t="shared" si="0"/>
        <v>2025</v>
      </c>
      <c r="D43" s="1609">
        <f>IF(ISERROR(MATCH($B43,'A1.3.2'!$B$27:$B$106,0)),"",(((VLOOKUP($B43,'Forecast occupancies'!$C$28:$CP$64,2,TRUE) -1) * VLOOKUP($B43,'A1.3.2'!$B$27:$AY$106,36,) + VLOOKUP($B43,'A1.3.2'!$B$27:$AY$106,35,)) * $CR$5))</f>
        <v>23.694159379873</v>
      </c>
      <c r="E43" s="1565">
        <f>IF(ISERROR(MATCH($B43,'A1.3.2'!$B$27:$B$106,0)),"",VLOOKUP($B43,'Forecast occupancies'!$C$28:$CP$64,3,TRUE)*VLOOKUP($B43,'A1.3.2'!$B$27:$AY$106,49,)*$CR$5)</f>
        <v>13.352865319258406</v>
      </c>
      <c r="F43" s="1565">
        <f>IF(ISERROR(MATCH($B43,'A1.3.2'!$B$27:$B$106,0)),"",VLOOKUP($B43,'Forecast occupancies'!$C$28:$CP$64,4,TRUE)*VLOOKUP($B43,'A1.3.2'!$B$27:$AY$106,50,)*$CR$5)</f>
        <v>9.2124425822273519</v>
      </c>
      <c r="G43" s="1566">
        <f>IF(ISERROR(MATCH($B43,'A1.3.2'!$B$27:$B$106,0)),"",(((D43*'VoT5'!$D$28)+(E43*'VoT5'!$D$29)+(F43*'VoT5'!$D$30))/100))</f>
        <v>13.420488486917417</v>
      </c>
      <c r="H43" s="1565">
        <f>IF(ISERROR(MATCH($B43,'A1.3.2'!$B$27:$B$106,0)),"",(VLOOKUP($B43,'Forecast occupancies'!$C$28:$CP$64,6,TRUE) * VLOOKUP($B43, 'A1.3.2'!$B$27:$AY$106,37,)) * $CR$5)</f>
        <v>17.315906943656184</v>
      </c>
      <c r="I43" s="1565">
        <f>IF(ISERROR(MATCH($B43,'A1.3.2'!$B$27:$B$106,0)),"",VLOOKUP($B43,'Forecast occupancies'!$C$28:$CP$64,7,TRUE) * ('VoT5'!$J$29*VLOOKUP($B43, 'A1.3.2'!$B$27:$AY$106,49,)+'VoT5'!$J$30*VLOOKUP($B43, 'A1.3.2'!$B$27:$AY$106,50,))/('VoT5'!$J$29+'VoT5'!$J$30) * $CR$5)</f>
        <v>10.569985084955315</v>
      </c>
      <c r="J43" s="1566">
        <f>IF(ISERROR(MATCH($B43,'A1.3.2'!$B$27:$B$106,0)),"",(H43*'VoT5'!$D$31 + I43*'VoT5'!$D$32)/100)</f>
        <v>16.50639632061208</v>
      </c>
      <c r="K43" s="1566">
        <f>IF(ISERROR(MATCH($B43,'A1.3.2'!$B$27:$B$106,0)),"",(VLOOKUP($B43,'Forecast occupancies'!$C$28:$CP$64,9,TRUE)*VLOOKUP($B43,'A1.3.2'!$B$27:$AY$106,38,)) * $CR$5)</f>
        <v>17.001922519909332</v>
      </c>
      <c r="L43" s="1566">
        <f>IF(ISERROR(MATCH($B43,'A1.3.2'!$B$27:$B$106,0)),"",(VLOOKUP($B43,'Forecast occupancies'!$C$28:$CP$64,10,TRUE)*VLOOKUP($B43,'A1.3.2'!$B$27:$AY$106,38,)) * $CR$5)</f>
        <v>17.001922519909332</v>
      </c>
      <c r="M43" s="1565">
        <f>IF(ISERROR(MATCH($B43,'A1.3.2'!$B$27:$B$106,0)),"",(((VLOOKUP($B43,'Forecast occupancies'!$C$28:$CP$64,11,TRUE) -1) * VLOOKUP($B43,'A1.3.2'!$B$27:$AY$106,40,)) + VLOOKUP($B43,'A1.3.2'!$B$27:$AY$106,39,)) * $CR$5)</f>
        <v>19.373844427967757</v>
      </c>
      <c r="N43" s="1565">
        <f>IF(ISERROR(MATCH($B43,'A1.3.2'!$B$27:$B$106,0)),"",(VLOOKUP($B43,'Forecast occupancies'!$C$28:$CP$64,12,TRUE) * VLOOKUP($B43,'A1.3.2'!$B$27:$AY$106,49,)) * $CR$5)</f>
        <v>26.52134381932105</v>
      </c>
      <c r="O43" s="1565">
        <f>IF(ISERROR(MATCH($B43,'A1.3.2'!$B$27:$B$106,0)),"",(VLOOKUP($B43,'Forecast occupancies'!$C$28:$CP$64,13,TRUE) * VLOOKUP($B43,'A1.3.2'!$B$27:$AY$106,50,)) * $CR$5)</f>
        <v>52.646774828994673</v>
      </c>
      <c r="P43" s="1567">
        <f>IF(ISERROR(MATCH($B43,'A1.3.2'!$B$27:$B$106,0)),"",SUM(M43:O43))</f>
        <v>98.54196307628348</v>
      </c>
      <c r="Q43" s="1609">
        <f>IF(ISERROR(MATCH($B43,'A1.3.2'!$B$27:$B$106,0)),"",(((VLOOKUP($B43,'Forecast occupancies'!$C$28:$CP$64,15,TRUE)-1)*VLOOKUP($B43,'A1.3.2'!$B$27:$AY$106,36,)+VLOOKUP($B43,'A1.3.2'!$B$27:$AY$106,35,))*$CR$5))</f>
        <v>24.27994084714873</v>
      </c>
      <c r="R43" s="1565">
        <f>IF(ISERROR(MATCH($B43,'A1.3.2'!$B$27:$B$106,0)),"",VLOOKUP($B43,'Forecast occupancies'!$C$28:$CP$64,16,TRUE)*VLOOKUP($B43,'A1.3.2'!$B$27:$AY$106,49,)*$CR$5)</f>
        <v>13.569984154508434</v>
      </c>
      <c r="S43" s="1565">
        <f>IF(ISERROR(MATCH($B43,'A1.3.2'!$B$27:$B$106,0)),"",VLOOKUP($B43,'Forecast occupancies'!$C$28:$CP$64,17,TRUE)*VLOOKUP($B43,'A1.3.2'!$B$27:$AY$106,50,)*$CR$5)</f>
        <v>9.8134275142172385</v>
      </c>
      <c r="T43" s="1566">
        <f>IF(ISERROR(MATCH($B43,'A1.3.2'!$B$27:$B$106,0)),"",(((Q43*'VoT5'!$E$28)+(R43*'VoT5'!$E$29)+(S43*'VoT5'!$E$30))/100))</f>
        <v>12.639545341394076</v>
      </c>
      <c r="U43" s="1565">
        <f>IF(ISERROR(MATCH($B43,'A1.3.2'!$B$27:$B$106,0)),"",(VLOOKUP($B43,'Forecast occupancies'!$C$28:$CP$64,19,TRUE) * VLOOKUP($B43, 'A1.3.2'!$B$27:$AY$106,37,)) * $CR$5)</f>
        <v>17.315906943656184</v>
      </c>
      <c r="V43" s="1565">
        <f>IF(ISERROR(MATCH($B43,'A1.3.2'!$B$27:$B$106,0)),"",VLOOKUP($B43,'Forecast occupancies'!$C$28:$CP$64,20,TRUE) * ('VoT5'!$J$29*VLOOKUP($B43, 'A1.3.2'!$B$27:$AY$106,49,)+'VoT5'!$J$30*VLOOKUP($B43, 'A1.3.2'!$B$27:$AY$106,50,))/('VoT5'!$J$29+'VoT5'!$J$30) * $CR$5)</f>
        <v>10.569985084955315</v>
      </c>
      <c r="W43" s="1566">
        <f>IF(ISERROR(MATCH($B43,'A1.3.2'!$B$27:$B$106,0)),"",(U43*'VoT5'!$E$31 + V43*'VoT5'!$E$32)/100)</f>
        <v>16.50639632061208</v>
      </c>
      <c r="X43" s="1566">
        <f>IF(ISERROR(MATCH($B43,'A1.3.2'!$B$27:$B$106,0)),"",(VLOOKUP($B43,'Forecast occupancies'!$C$28:$CP$64,22,TRUE)*VLOOKUP($B43,'A1.3.2'!$B$27:$AY$106,38,)) * $CR$5)</f>
        <v>17.001922519909332</v>
      </c>
      <c r="Y43" s="1566">
        <f>IF(ISERROR(MATCH($B43,'A1.3.2'!$B$27:$B$106,0)),"",(VLOOKUP($B43,'Forecast occupancies'!$C$28:$CP$64,23,TRUE)*VLOOKUP($B43,'A1.3.2'!$B$27:$AY$106,38,)) * $CR$5)</f>
        <v>17.001922519909332</v>
      </c>
      <c r="Z43" s="1565">
        <f>IF(ISERROR(MATCH($B43,'A1.3.2'!$B$27:$B$106,0)),"",(((VLOOKUP($B43,'Forecast occupancies'!$C$28:$CP$64,24,TRUE) -1) * VLOOKUP($B43,'A1.3.2'!$B$27:$AY$106,40,)) + VLOOKUP($B43,'A1.3.2'!$B$27:$AY$106,39,)) * $CR$5)</f>
        <v>19.769281821435211</v>
      </c>
      <c r="AA43" s="1565">
        <f>IF(ISERROR(MATCH($B43,'A1.3.2'!$B$27:$B$106,0)),"",(VLOOKUP($B43,'Forecast occupancies'!$C$28:$CP$64,25,TRUE) * VLOOKUP($B43,'A1.3.2'!$B$27:$AY$106,49,)) * $CR$5)</f>
        <v>9.2948870594483726</v>
      </c>
      <c r="AB43" s="1565">
        <f>IF(ISERROR(MATCH($B43,'A1.3.2'!$B$27:$B$106,0)),"",(VLOOKUP($B43,'Forecast occupancies'!$C$28:$CP$64,26,TRUE) * VLOOKUP($B43,'A1.3.2'!$B$27:$AY$106,50,)) * $CR$5)</f>
        <v>60.330234517663527</v>
      </c>
      <c r="AC43" s="1567">
        <f>IF(ISERROR(MATCH($B43,'A1.3.2'!$B$27:$B$106,0)),"",SUM(Z43:AB43))</f>
        <v>89.394403398547112</v>
      </c>
      <c r="AD43" s="1609">
        <f>IF(ISERROR(MATCH($B43,'A1.3.2'!$B$27:$B$106,0)),"",(((VLOOKUP($B43,'Forecast occupancies'!$C$28:$CP$64,28,TRUE)-1)*VLOOKUP($B43,'A1.3.2'!$B$27:$AY$106,36,)+VLOOKUP($B43,'A1.3.2'!$B$27:$AY$106,35,))*$CR$5))</f>
        <v>24.036102248208671</v>
      </c>
      <c r="AE43" s="1565">
        <f>IF(ISERROR(MATCH($B43,'A1.3.2'!$B$27:$B$106,0)),"",VLOOKUP($B43,'Forecast occupancies'!$C$28:$CP$64,29,TRUE)*VLOOKUP($B43,'A1.3.2'!$B$27:$AY$106,49,)*$CR$5)</f>
        <v>13.398924118816018</v>
      </c>
      <c r="AF43" s="1565">
        <f>IF(ISERROR(MATCH($B43,'A1.3.2'!$B$27:$B$106,0)),"",VLOOKUP($B43,'Forecast occupancies'!$C$28:$CP$64,30,TRUE)*VLOOKUP($B43,'A1.3.2'!$B$27:$AY$106,50,)*$CR$5)</f>
        <v>9.6473406045765717</v>
      </c>
      <c r="AG43" s="1566">
        <f>IF(ISERROR(MATCH($B43,'A1.3.2'!$B$27:$B$106,0)),"",(((AD43*'VoT5'!$F$28)+(AE43*'VoT5'!$F$29)+(AF43*'VoT5'!$F$30))/100))</f>
        <v>12.894334351461998</v>
      </c>
      <c r="AH43" s="1565">
        <f>IF(ISERROR(MATCH($B43,'A1.3.2'!$B$27:$B$106,0)),"",(VLOOKUP($B43,'Forecast occupancies'!$C$28:$CP$64,32,TRUE) * VLOOKUP($B43, 'A1.3.2'!$B$27:$AY$106,37,)) * $CR$5)</f>
        <v>17.315906943656184</v>
      </c>
      <c r="AI43" s="1565">
        <f>IF(ISERROR(MATCH($B43,'A1.3.2'!$B$27:$B$106,0)),"",VLOOKUP($B43,'Forecast occupancies'!$C$28:$CP$64,33,TRUE) * ('VoT5'!$J$29*VLOOKUP($B43, 'A1.3.2'!$B$27:$AY$106,49,)+'VoT5'!$J$30*VLOOKUP($B43, 'A1.3.2'!$B$27:$AY$106,50,))/('VoT5'!$J$29+'VoT5'!$J$30) * $CR$5)</f>
        <v>10.569985084955315</v>
      </c>
      <c r="AJ43" s="1566">
        <f>IF(ISERROR(MATCH($B43,'A1.3.2'!$B$27:$B$106,0)),"",(AH43*'VoT5'!$F$31 + AI43*'VoT5'!$F$32)/100)</f>
        <v>16.50639632061208</v>
      </c>
      <c r="AK43" s="1566">
        <f>IF(ISERROR(MATCH($B43,'A1.3.2'!$B$27:$B$106,0)),"",(VLOOKUP($B43,'Forecast occupancies'!$C$28:$CP$64,35,TRUE)*VLOOKUP($B43,'A1.3.2'!$B$27:$AY$106,38,)) * $CR$5)</f>
        <v>17.001922519909332</v>
      </c>
      <c r="AL43" s="1566">
        <f>IF(ISERROR(MATCH($B43,'A1.3.2'!$B$27:$B$106,0)),"",(VLOOKUP($B43,'Forecast occupancies'!$C$28:$CP$64,36,TRUE)*VLOOKUP($B43,'A1.3.2'!$B$27:$AY$106,38,)) * $CR$5)</f>
        <v>17.001922519909332</v>
      </c>
      <c r="AM43" s="1565">
        <f>IF(ISERROR(MATCH($B43,'A1.3.2'!$B$27:$B$106,0)),"",(((VLOOKUP($B43,'Forecast occupancies'!$C$28:$CP$64,37,TRUE) -1) * VLOOKUP($B43,'A1.3.2'!$B$27:$AY$106,40,)) + VLOOKUP($B43,'A1.3.2'!$B$27:$AY$106,39,)) * $CR$5)</f>
        <v>20.684344108966869</v>
      </c>
      <c r="AN43" s="1565">
        <f>IF(ISERROR(MATCH($B43,'A1.3.2'!$B$27:$B$106,0)),"",(VLOOKUP($B43,'Forecast occupancies'!$C$28:$CP$64,38,TRUE) * VLOOKUP($B43,'A1.3.2'!$B$27:$AY$106,49,)) * $CR$5)</f>
        <v>37.299022042121344</v>
      </c>
      <c r="AO43" s="1565">
        <f>IF(ISERROR(MATCH($B43,'A1.3.2'!$B$27:$B$106,0)),"",(VLOOKUP($B43,'Forecast occupancies'!$C$28:$CP$64,39,TRUE) * VLOOKUP($B43,'A1.3.2'!$B$27:$AY$106,50,)) * $CR$5)</f>
        <v>47.133600865407388</v>
      </c>
      <c r="AP43" s="1567">
        <f>IF(ISERROR(MATCH($B43,'A1.3.2'!$B$27:$B$106,0)),"",SUM(AM43:AO43))</f>
        <v>105.11696701649561</v>
      </c>
      <c r="AQ43" s="1609">
        <f>IF(ISERROR(MATCH($B43,'A1.3.2'!$B$27:$B$106,0)),"",(((VLOOKUP($B43,'Forecast occupancies'!$C$28:$CP$64,41,TRUE)-1)*VLOOKUP($B43,'A1.3.2'!$B$27:$AY$106,36,)+VLOOKUP($B43,'A1.3.2'!$B$27:$AY$106,35,))*$CR$5))</f>
        <v>24.490880257043994</v>
      </c>
      <c r="AR43" s="1565">
        <f>IF(ISERROR(MATCH($B43,'A1.3.2'!$B$27:$B$106,0)),"",VLOOKUP($B43,'Forecast occupancies'!$C$28:$CP$64,42,TRUE)*VLOOKUP($B43,'A1.3.2'!$B$27:$AY$106,49,)*$CR$5)</f>
        <v>13.595030134282707</v>
      </c>
      <c r="AS43" s="1565">
        <f>IF(ISERROR(MATCH($B43,'A1.3.2'!$B$27:$B$106,0)),"",VLOOKUP($B43,'Forecast occupancies'!$C$28:$CP$64,43,TRUE)*VLOOKUP($B43,'A1.3.2'!$B$27:$AY$106,50,)*$CR$5)</f>
        <v>9.6128974831462148</v>
      </c>
      <c r="AT43" s="1566">
        <f>IF(ISERROR(MATCH($B43,'A1.3.2'!$B$27:$B$106,0)),"",(((AQ43*'VoT5'!$G$28)+(AR43*'VoT5'!$G$29)+(AS43*'VoT5'!$G$30))/100))</f>
        <v>13.063827795803764</v>
      </c>
      <c r="AU43" s="1565">
        <f>IF(ISERROR(MATCH($B43,'A1.3.2'!$B$27:$B$106,0)),"",(VLOOKUP($B43,'Forecast occupancies'!$C$28:$CP$64,45,TRUE) * VLOOKUP($B43, 'A1.3.2'!$B$27:$AY$106,37,)) * $CR$5)</f>
        <v>17.315906943656184</v>
      </c>
      <c r="AV43" s="1565">
        <f>IF(ISERROR(MATCH($B43,'A1.3.2'!$B$27:$B$106,0)),"",VLOOKUP($B43,'Forecast occupancies'!$C$28:$CP$64,46,TRUE) * ('VoT5'!$J$29*VLOOKUP($B43, 'A1.3.2'!$B$27:$AY$106,49,)+'VoT5'!$J$30*VLOOKUP($B43, 'A1.3.2'!$B$27:$AY$106,50,))/('VoT5'!$J$29+'VoT5'!$J$30) * $CR$5)</f>
        <v>10.569985084955315</v>
      </c>
      <c r="AW43" s="1566">
        <f>IF(ISERROR(MATCH($B43,'A1.3.2'!$B$27:$B$106,0)),"",(AU43*'VoT5'!$G$31 + AV43*'VoT5'!$G$32)/100)</f>
        <v>16.50639632061208</v>
      </c>
      <c r="AX43" s="1566">
        <f>IF(ISERROR(MATCH($B43,'A1.3.2'!$B$27:$B$106,0)),"",(VLOOKUP($B43,'Forecast occupancies'!$C$28:$CP$64,48,TRUE)*VLOOKUP($B43,'A1.3.2'!$B$27:$AY$106,38,)) * $CR$5)</f>
        <v>17.001922519909332</v>
      </c>
      <c r="AY43" s="1566">
        <f>IF(ISERROR(MATCH($B43,'A1.3.2'!$B$27:$B$106,0)),"",(VLOOKUP($B43,'Forecast occupancies'!$C$28:$CP$64,49,TRUE)*VLOOKUP($B43,'A1.3.2'!$B$27:$AY$106,38,)) * $CR$5)</f>
        <v>17.001922519909332</v>
      </c>
      <c r="AZ43" s="1565">
        <f>IF(ISERROR(MATCH($B43,'A1.3.2'!$B$27:$B$106,0)),"",(((VLOOKUP($B43,'Forecast occupancies'!$C$28:$CP$64,50,TRUE) -1) * VLOOKUP($B43,'A1.3.2'!$B$27:$AY$106,40,)) + VLOOKUP($B43,'A1.3.2'!$B$27:$AY$106,39,)) * $CR$5)</f>
        <v>20.667617235204823</v>
      </c>
      <c r="BA43" s="1565">
        <f>IF(ISERROR(MATCH($B43,'A1.3.2'!$B$27:$B$106,0)),"",(VLOOKUP($B43,'Forecast occupancies'!$C$28:$CP$64,51,TRUE) * VLOOKUP($B43,'A1.3.2'!$B$27:$AY$106,49,)) * $CR$5)</f>
        <v>50.986836641177547</v>
      </c>
      <c r="BB43" s="1565">
        <f>IF(ISERROR(MATCH($B43,'A1.3.2'!$B$27:$B$106,0)),"",(VLOOKUP($B43,'Forecast occupancies'!$C$28:$CP$64,52,TRUE) * VLOOKUP($B43,'A1.3.2'!$B$27:$AY$106,50,)) * $CR$5)</f>
        <v>40.893652125134921</v>
      </c>
      <c r="BC43" s="1567">
        <f>IF(ISERROR(MATCH($B43,'A1.3.2'!$B$27:$B$106,0)),"",SUM(AZ43:BB43))</f>
        <v>112.5481060015173</v>
      </c>
      <c r="BD43" s="1565">
        <f>IF(ISERROR(MATCH($B43,'A1.3.2'!$B$27:$B$106,0)),"",(((VLOOKUP($B43,'Forecast occupancies'!$C$28:$CP$64,54,TRUE)-1)*VLOOKUP($B43,'A1.3.2'!$B$27:$AY$106,36,)+VLOOKUP($B43,'A1.3.2'!$B$27:$AY$106,35,))*$CR$5))</f>
        <v>24.078869439985137</v>
      </c>
      <c r="BE43" s="1565">
        <f>IF(ISERROR(MATCH($B43,'A1.3.2'!$B$27:$B$106,0)),"",VLOOKUP($B43,'Forecast occupancies'!$C$28:$CP$64,55,TRUE)*VLOOKUP($B43,'A1.3.2'!$B$27:$AY$106,49,)*$CR$5)</f>
        <v>13.44448057241558</v>
      </c>
      <c r="BF43" s="1565">
        <f>IF(ISERROR(MATCH($B43,'A1.3.2'!$B$27:$B$106,0)),"",VLOOKUP($B43,'Forecast occupancies'!$C$28:$CP$64,56,TRUE)*VLOOKUP($B43,'A1.3.2'!$B$27:$AY$106,50,)*$CR$5)</f>
        <v>9.6367821664448119</v>
      </c>
      <c r="BG43" s="1566">
        <f>IF(ISERROR(MATCH($B43,'A1.3.2'!$B$27:$B$106,0)),"",(((BD43*'VoT5'!$H$28)+(BE43*'VoT5'!$H$29)+(BF43*'VoT5'!$H$30))/100))</f>
        <v>12.969746987486289</v>
      </c>
      <c r="BH43" s="1565">
        <f>IF(ISERROR(MATCH($B43,'A1.3.2'!$B$27:$B$106,0)),"",(VLOOKUP($B43,'Forecast occupancies'!$C$28:$CP$64,58,TRUE) * VLOOKUP($B43, 'A1.3.2'!$B$27:$AY$106,37,)) * $CR$5)</f>
        <v>17.315906943656184</v>
      </c>
      <c r="BI43" s="1565">
        <f>IF(ISERROR(MATCH($B43,'A1.3.2'!$B$27:$B$106,0)),"",(VLOOKUP($B43,'Forecast occupancies'!$C$28:$CP$64,59,TRUE) * (VLOOKUP($B43,'A1.3.2'!$B$27:$AY$106,49,) * 'VoT5'!$J$29 + VLOOKUP($B43,'A1.3.2'!$B$27:$AY$106,50,) * 'VoT5'!$J$30) / (SUM('VoT5'!$J$29:$J$30))) * $CR$5)</f>
        <v>10.569985084955315</v>
      </c>
      <c r="BJ43" s="1566">
        <f>IF(ISERROR(MATCH($B43,'A1.3.2'!$B$27:$B$106,0)),"",(BH43*'VoT5'!$H$31 + BI43*'VoT5'!$H$32)/100)</f>
        <v>16.50639632061208</v>
      </c>
      <c r="BK43" s="1566">
        <f>IF(ISERROR(MATCH($B43,'A1.3.2'!$B$27:$B$106,0)),"",(VLOOKUP($B43,'Forecast occupancies'!$C$28:$CP$64,61,TRUE)*VLOOKUP($B43,'A1.3.2'!$B$27:$AY$106,38,)) * $CR$5)</f>
        <v>17.001922519909332</v>
      </c>
      <c r="BL43" s="1566">
        <f>IF(ISERROR(MATCH($B43,'A1.3.2'!$B$27:$B$106,0)),"",(VLOOKUP($B43,'Forecast occupancies'!$C$28:$CP$64,62,TRUE)*VLOOKUP($B43,'A1.3.2'!$B$27:$AY$106,38,)) * $CR$5)</f>
        <v>17.001922519909332</v>
      </c>
      <c r="BM43" s="1565">
        <f>IF(ISERROR(MATCH($B43,'A1.3.2'!$B$27:$B$106,0)),"",(((VLOOKUP($B43,'Forecast occupancies'!$C$28:$CP$64,63,TRUE) -1) * VLOOKUP($B43,'A1.3.2'!$B$27:$AY$106,40,)) + VLOOKUP($B43,'A1.3.2'!$B$27:$AY$106,39,)) * $CR$5)</f>
        <v>19.927535925480665</v>
      </c>
      <c r="BN43" s="1565">
        <f>IF(ISERROR(MATCH($B43,'A1.3.2'!$B$27:$B$106,0)),"",(VLOOKUP($B43,'Forecast occupancies'!$C$28:$CP$64,64,TRUE) * VLOOKUP($B43,'A1.3.2'!$B$27:$AY$106,49,)) * $CR$5)</f>
        <v>23.017166200847928</v>
      </c>
      <c r="BO43" s="1565">
        <f>IF(ISERROR(MATCH($B43,'A1.3.2'!$B$27:$B$106,0)),"",(VLOOKUP($B43,'Forecast occupancies'!$C$28:$CP$64,65,TRUE) * VLOOKUP($B43,'A1.3.2'!$B$27:$AY$106,50,)) * $CR$5)</f>
        <v>53.995253783177517</v>
      </c>
      <c r="BP43" s="1567">
        <f>IF(ISERROR(MATCH($B43,'A1.3.2'!$B$27:$B$106,0)),"",SUM(BM43:BO43))</f>
        <v>96.939955909506111</v>
      </c>
      <c r="BQ43" s="1565">
        <f>IF(ISERROR(MATCH($B43,'A1.3.2'!$B$27:$B$106,0)),"",(((VLOOKUP($B43,'Forecast occupancies'!$C$28:$CP$64,67,TRUE)-1)*VLOOKUP($B43,'A1.3.2'!$B$27:$AY$106,36,)+VLOOKUP($B43,'A1.3.2'!$B$27:$AY$106,35,))*$CR$5))</f>
        <v>27.519133480922207</v>
      </c>
      <c r="BR43" s="1565">
        <f>IF(ISERROR(MATCH($B43,'A1.3.2'!$B$27:$B$106,0)),"",VLOOKUP($B43,'Forecast occupancies'!$C$28:$CP$64,68,TRUE)*VLOOKUP($B43,'A1.3.2'!$B$27:$AY$106,49,)*$CR$5)</f>
        <v>14.234369782957716</v>
      </c>
      <c r="BS43" s="1565">
        <f>IF(ISERROR(MATCH($B43,'A1.3.2'!$B$27:$B$106,0)),"",VLOOKUP($B43,'Forecast occupancies'!$C$28:$CP$64,69,TRUE)*VLOOKUP($B43,'A1.3.2'!$B$27:$AY$106,50,)*$CR$5)</f>
        <v>11.410182391694427</v>
      </c>
      <c r="BT43" s="1566">
        <f>IF(ISERROR(MATCH($B43,'A1.3.2'!$B$27:$B$106,0)),"",(((BQ43*'VoT5'!$I$28)+(BR43*'VoT5'!$I$29)+(BS43*'VoT5'!$I$30))/100))</f>
        <v>12.192499462377075</v>
      </c>
      <c r="BU43" s="1565">
        <f>IF(ISERROR(MATCH($B43,'A1.3.2'!$B$27:$B$106,0)),"",(VLOOKUP($B43,'Forecast occupancies'!$C$28:$CP$64,71,TRUE) * VLOOKUP($B43, 'A1.3.2'!$B$27:$AY$106,37,)) * $CR$5)</f>
        <v>18.181702290838995</v>
      </c>
      <c r="BV43" s="1565">
        <f>IF(ISERROR(MATCH($B43,'A1.3.2'!$B$27:$B$106,0)),"",(VLOOKUP($B43,'Forecast occupancies'!$C$28:$CP$64,72,TRUE) * (VLOOKUP($B43,'A1.3.2'!$B$27:$AY$106,49,)*'VoT5'!$J$29 + VLOOKUP($B43,'A1.3.2'!$B$27:$AY$106,50,)*'VoT5'!$J$30) / (SUM('VoT5'!$J$29:$J$30))) * $CR$5)</f>
        <v>14.696623097574856</v>
      </c>
      <c r="BW43" s="1566">
        <f>IF(ISERROR(MATCH($B43,'A1.3.2'!$B$27:$B$106,0)),"",(BU43*'VoT5'!$I$31 + BV43*'VoT5'!$I$32)/100)</f>
        <v>17.763492787647298</v>
      </c>
      <c r="BX43" s="1566">
        <f>IF(ISERROR(MATCH($B43,'A1.3.2'!$B$27:$B$106,0)),"",(VLOOKUP($B43,'Forecast occupancies'!$C$28:$CP$64,74,TRUE)*VLOOKUP($B43,'A1.3.2'!$B$27:$AY$106,38,)) * $CR$5)</f>
        <v>17.001922519909332</v>
      </c>
      <c r="BY43" s="1566">
        <f>IF(ISERROR(MATCH($B43,'A1.3.2'!$B$27:$B$106,0)),"",(VLOOKUP($B43,'Forecast occupancies'!$C$28:$CP$64,75,TRUE)*VLOOKUP($B43,'A1.3.2'!$B$27:$AY$106,38,)) * $CR$5)</f>
        <v>17.001922519909332</v>
      </c>
      <c r="BZ43" s="1565">
        <f>IF(ISERROR(MATCH($B43,'A1.3.2'!$B$27:$B$106,0)),"",(((VLOOKUP($B43,'Forecast occupancies'!$C$28:$CP$64,76,TRUE) -1) * VLOOKUP($B43,'A1.3.2'!$B$27:$AY$106,40,)) + VLOOKUP($B43,'A1.3.2'!$B$27:$AY$106,39,)) * $CR$5)</f>
        <v>18.148690354033185</v>
      </c>
      <c r="CA43" s="1565">
        <f>IF(ISERROR(MATCH($B43,'A1.3.2'!$B$27:$B$106,0)),"",(VLOOKUP($B43,'Forecast occupancies'!$C$28:$CP$64,77,TRUE) * VLOOKUP($B43,'A1.3.2'!$B$27:$AY$106,49,)) * $CR$5)</f>
        <v>8.719790731544899</v>
      </c>
      <c r="CB43" s="1565">
        <f>IF(ISERROR(MATCH($B43,'A1.3.2'!$B$27:$B$106,0)),"",(VLOOKUP($B43,'Forecast occupancies'!$C$28:$CP$64,78,TRUE) * VLOOKUP($B43,'A1.3.2'!$B$27:$AY$106,50,)) * $CR$5)</f>
        <v>61.327177456897239</v>
      </c>
      <c r="CC43" s="1567">
        <f>IF(ISERROR(MATCH($B43,'A1.3.2'!$B$27:$B$106,0)),"",SUM(BZ43:CB43))</f>
        <v>88.195658542475314</v>
      </c>
      <c r="CD43" s="1565">
        <f>IF(ISERROR(MATCH($B43,'A1.3.2'!$B$27:$B$106,0)),"",(((VLOOKUP($B43,'Forecast occupancies'!$C$28:$CP$64,80,TRUE)-1)*VLOOKUP($B43,'A1.3.2'!$B$27:$AY$106,36,)+VLOOKUP($B43,'A1.3.2'!$B$27:$AY$106,35,))*$CR$5))</f>
        <v>24.323069005446978</v>
      </c>
      <c r="CE43" s="1565">
        <f>IF(ISERROR(MATCH($B43,'A1.3.2'!$B$27:$B$106,0)),"",VLOOKUP($B43,'Forecast occupancies'!$C$28:$CP$64,81,TRUE)*VLOOKUP($B43,'A1.3.2'!$B$27:$AY$106,49,)*$CR$5)</f>
        <v>13.508383130220778</v>
      </c>
      <c r="CF43" s="1565">
        <f>IF(ISERROR(MATCH($B43,'A1.3.2'!$B$27:$B$106,0)),"",VLOOKUP($B43,'Forecast occupancies'!$C$28:$CP$64,82,TRUE)*VLOOKUP($B43,'A1.3.2'!$B$27:$AY$106,50,)*$CR$5)</f>
        <v>10.262559108802419</v>
      </c>
      <c r="CG43" s="1566">
        <f>IF(ISERROR(MATCH($B43,'A1.3.2'!$B$27:$B$106,0)),"",(((CD43*'VoT5'!$J$28)+(CE43*'VoT5'!$J$29)+(CF43*'VoT5'!$J$30))/100))</f>
        <v>12.785465290486268</v>
      </c>
      <c r="CH43" s="1565">
        <f>IF(ISERROR(MATCH($B43,'A1.3.2'!$B$27:$B$106,0)),"",(VLOOKUP($B43,'Forecast occupancies'!$C$28:$CP$64,84,TRUE) * VLOOKUP($B43, 'A1.3.2'!$B$27:$AY$106,37,)) * $CR$5)</f>
        <v>17.315906943656184</v>
      </c>
      <c r="CI43" s="1565">
        <f>IF(ISERROR(MATCH($B43,'A1.3.2'!$B$27:$B$106,0)),"",(VLOOKUP($B43,'Forecast occupancies'!$C$28:$CP$64,85,TRUE) * (VLOOKUP($B43,'A1.3.2'!$B$27:$AY$106,49,)*'VoT5'!$J$29 + VLOOKUP($B43,'A1.3.2'!$B$27:$AY$106,50,)*'VoT5'!$J$30) / (SUM('VoT5'!$J$29:$J$30))) * $CR$5)</f>
        <v>11.511148140465036</v>
      </c>
      <c r="CJ43" s="1566">
        <f>IF(ISERROR(MATCH($B43,'A1.3.2'!$B$27:$B$106,0)),"",(CH43*'VoT5'!$J$31 + CI43*'VoT5'!$J$32)/100)</f>
        <v>16.619335887273245</v>
      </c>
      <c r="CK43" s="1566">
        <f>IF(ISERROR(MATCH($B43,'A1.3.2'!$B$27:$B$106,0)),"",(VLOOKUP($B43,'Forecast occupancies'!$C$28:$CP$64,87,TRUE)*VLOOKUP($B43,'A1.3.2'!$B$27:$AY$106,38,)) * $CR$5)</f>
        <v>17.001922519909332</v>
      </c>
      <c r="CL43" s="1566">
        <f>IF(ISERROR(MATCH($B43,'A1.3.2'!$B$27:$B$106,0)),"",(VLOOKUP($B43,'Forecast occupancies'!$C$28:$CP$64,88,TRUE)*VLOOKUP($B43,'A1.3.2'!$B$27:$AY$106,38,)) * $CR$5)</f>
        <v>17.001922519909332</v>
      </c>
      <c r="CM43" s="1565">
        <f>IF(ISERROR(MATCH($B43,'A1.3.2'!$B$27:$B$106,0)),"",(((VLOOKUP($B43,'Forecast occupancies'!$C$28:$CP$64,89,TRUE) -1) * VLOOKUP($B43,'A1.3.2'!$B$27:$AY$106,40,)) + VLOOKUP($B43,'A1.3.2'!$B$27:$AY$106,39,)) * $CR$5)</f>
        <v>19.488266198638922</v>
      </c>
      <c r="CN43" s="1565">
        <f>IF(ISERROR(MATCH($B43,'A1.3.2'!$B$27:$B$106,0)),"",(VLOOKUP($B43,'Forecast occupancies'!$C$28:$CP$64,90,TRUE) * VLOOKUP($B43,'A1.3.2'!$B$27:$AY$106,49,)) * $CR$5)</f>
        <v>19.485879045377636</v>
      </c>
      <c r="CO43" s="1565">
        <f>IF(ISERROR(MATCH($B43,'A1.3.2'!$B$27:$B$106,0)),"",(VLOOKUP($B43,'Forecast occupancies'!$C$28:$CP$64,91,TRUE) * VLOOKUP($B43,'A1.3.2'!$B$27:$AY$106,50,)) * $CR$5)</f>
        <v>55.806116164269227</v>
      </c>
      <c r="CP43" s="1567">
        <f>IF(ISERROR(MATCH($B43,'A1.3.2'!$B$27:$B$106,0)),"",SUM(CM43:CO43))</f>
        <v>94.780261408285781</v>
      </c>
    </row>
    <row r="44" spans="1:94" s="26" customFormat="1" ht="13.5" customHeight="1">
      <c r="A44" s="113"/>
      <c r="B44" s="82">
        <f t="shared" si="0"/>
        <v>2026</v>
      </c>
      <c r="D44" s="1609">
        <f>IF(ISERROR(MATCH($B44,'A1.3.2'!$B$27:$B$106,0)),"",(((VLOOKUP($B44,'Forecast occupancies'!$C$28:$CP$64,2,TRUE) -1) * VLOOKUP($B44,'A1.3.2'!$B$27:$AY$106,36,) + VLOOKUP($B44,'A1.3.2'!$B$27:$AY$106,35,)) * $CR$5))</f>
        <v>24.060195482505947</v>
      </c>
      <c r="E44" s="1565">
        <f>IF(ISERROR(MATCH($B44,'A1.3.2'!$B$27:$B$106,0)),"",VLOOKUP($B44,'Forecast occupancies'!$C$28:$CP$64,3,TRUE)*VLOOKUP($B44,'A1.3.2'!$B$27:$AY$106,49,)*$CR$5)</f>
        <v>13.559145301682928</v>
      </c>
      <c r="F44" s="1565">
        <f>IF(ISERROR(MATCH($B44,'A1.3.2'!$B$27:$B$106,0)),"",VLOOKUP($B44,'Forecast occupancies'!$C$28:$CP$64,4,TRUE)*VLOOKUP($B44,'A1.3.2'!$B$27:$AY$106,50,)*$CR$5)</f>
        <v>9.3547597889476197</v>
      </c>
      <c r="G44" s="1566">
        <f>IF(ISERROR(MATCH($B44,'A1.3.2'!$B$27:$B$106,0)),"",(((D44*'VoT5'!$D$28)+(E44*'VoT5'!$D$29)+(F44*'VoT5'!$D$30))/100))</f>
        <v>13.627813136947184</v>
      </c>
      <c r="H44" s="1565">
        <f>IF(ISERROR(MATCH($B44,'A1.3.2'!$B$27:$B$106,0)),"",(VLOOKUP($B44,'Forecast occupancies'!$C$28:$CP$64,6,TRUE) * VLOOKUP($B44, 'A1.3.2'!$B$27:$AY$106,37,)) * $CR$5)</f>
        <v>17.583409453012763</v>
      </c>
      <c r="I44" s="1565">
        <f>IF(ISERROR(MATCH($B44,'A1.3.2'!$B$27:$B$106,0)),"",VLOOKUP($B44,'Forecast occupancies'!$C$28:$CP$64,7,TRUE) * ('VoT5'!$J$29*VLOOKUP($B44, 'A1.3.2'!$B$27:$AY$106,49,)+'VoT5'!$J$30*VLOOKUP($B44, 'A1.3.2'!$B$27:$AY$106,50,))/('VoT5'!$J$29+'VoT5'!$J$30) * $CR$5)</f>
        <v>10.733274108353715</v>
      </c>
      <c r="J44" s="1566">
        <f>IF(ISERROR(MATCH($B44,'A1.3.2'!$B$27:$B$106,0)),"",(H44*'VoT5'!$D$31 + I44*'VoT5'!$D$32)/100)</f>
        <v>16.761393211653676</v>
      </c>
      <c r="K44" s="1566">
        <f>IF(ISERROR(MATCH($B44,'A1.3.2'!$B$27:$B$106,0)),"",(VLOOKUP($B44,'Forecast occupancies'!$C$28:$CP$64,9,TRUE)*VLOOKUP($B44,'A1.3.2'!$B$27:$AY$106,38,)) * $CR$5)</f>
        <v>17.264574482221246</v>
      </c>
      <c r="L44" s="1566">
        <f>IF(ISERROR(MATCH($B44,'A1.3.2'!$B$27:$B$106,0)),"",(VLOOKUP($B44,'Forecast occupancies'!$C$28:$CP$64,10,TRUE)*VLOOKUP($B44,'A1.3.2'!$B$27:$AY$106,38,)) * $CR$5)</f>
        <v>17.264574482221246</v>
      </c>
      <c r="M44" s="1565">
        <f>IF(ISERROR(MATCH($B44,'A1.3.2'!$B$27:$B$106,0)),"",(((VLOOKUP($B44,'Forecast occupancies'!$C$28:$CP$64,11,TRUE) -1) * VLOOKUP($B44,'A1.3.2'!$B$27:$AY$106,40,)) + VLOOKUP($B44,'A1.3.2'!$B$27:$AY$106,39,)) * $CR$5)</f>
        <v>19.673138713691785</v>
      </c>
      <c r="N44" s="1565">
        <f>IF(ISERROR(MATCH($B44,'A1.3.2'!$B$27:$B$106,0)),"",(VLOOKUP($B44,'Forecast occupancies'!$C$28:$CP$64,12,TRUE) * VLOOKUP($B44,'A1.3.2'!$B$27:$AY$106,49,)) * $CR$5)</f>
        <v>26.931055308662131</v>
      </c>
      <c r="O44" s="1565">
        <f>IF(ISERROR(MATCH($B44,'A1.3.2'!$B$27:$B$106,0)),"",(VLOOKUP($B44,'Forecast occupancies'!$C$28:$CP$64,13,TRUE) * VLOOKUP($B44,'A1.3.2'!$B$27:$AY$106,50,)) * $CR$5)</f>
        <v>53.460081600745745</v>
      </c>
      <c r="P44" s="1567">
        <f>IF(ISERROR(MATCH($B44,'A1.3.2'!$B$27:$B$106,0)),"",SUM(M44:O44))</f>
        <v>100.06427562309966</v>
      </c>
      <c r="Q44" s="1609">
        <f>IF(ISERROR(MATCH($B44,'A1.3.2'!$B$27:$B$106,0)),"",(((VLOOKUP($B44,'Forecast occupancies'!$C$28:$CP$64,15,TRUE)-1)*VLOOKUP($B44,'A1.3.2'!$B$27:$AY$106,36,)+VLOOKUP($B44,'A1.3.2'!$B$27:$AY$106,35,))*$CR$5))</f>
        <v>24.655026317680267</v>
      </c>
      <c r="R44" s="1565">
        <f>IF(ISERROR(MATCH($B44,'A1.3.2'!$B$27:$B$106,0)),"",VLOOKUP($B44,'Forecast occupancies'!$C$28:$CP$64,16,TRUE)*VLOOKUP($B44,'A1.3.2'!$B$27:$AY$106,49,)*$CR$5)</f>
        <v>13.779618268682853</v>
      </c>
      <c r="S44" s="1565">
        <f>IF(ISERROR(MATCH($B44,'A1.3.2'!$B$27:$B$106,0)),"",VLOOKUP($B44,'Forecast occupancies'!$C$28:$CP$64,17,TRUE)*VLOOKUP($B44,'A1.3.2'!$B$27:$AY$106,50,)*$CR$5)</f>
        <v>9.9650289575596993</v>
      </c>
      <c r="T44" s="1566">
        <f>IF(ISERROR(MATCH($B44,'A1.3.2'!$B$27:$B$106,0)),"",(((Q44*'VoT5'!$E$28)+(R44*'VoT5'!$E$29)+(S44*'VoT5'!$E$30))/100))</f>
        <v>12.834805694025381</v>
      </c>
      <c r="U44" s="1565">
        <f>IF(ISERROR(MATCH($B44,'A1.3.2'!$B$27:$B$106,0)),"",(VLOOKUP($B44,'Forecast occupancies'!$C$28:$CP$64,19,TRUE) * VLOOKUP($B44, 'A1.3.2'!$B$27:$AY$106,37,)) * $CR$5)</f>
        <v>17.583409453012763</v>
      </c>
      <c r="V44" s="1565">
        <f>IF(ISERROR(MATCH($B44,'A1.3.2'!$B$27:$B$106,0)),"",VLOOKUP($B44,'Forecast occupancies'!$C$28:$CP$64,20,TRUE) * ('VoT5'!$J$29*VLOOKUP($B44, 'A1.3.2'!$B$27:$AY$106,49,)+'VoT5'!$J$30*VLOOKUP($B44, 'A1.3.2'!$B$27:$AY$106,50,))/('VoT5'!$J$29+'VoT5'!$J$30) * $CR$5)</f>
        <v>10.733274108353715</v>
      </c>
      <c r="W44" s="1566">
        <f>IF(ISERROR(MATCH($B44,'A1.3.2'!$B$27:$B$106,0)),"",(U44*'VoT5'!$E$31 + V44*'VoT5'!$E$32)/100)</f>
        <v>16.761393211653676</v>
      </c>
      <c r="X44" s="1566">
        <f>IF(ISERROR(MATCH($B44,'A1.3.2'!$B$27:$B$106,0)),"",(VLOOKUP($B44,'Forecast occupancies'!$C$28:$CP$64,22,TRUE)*VLOOKUP($B44,'A1.3.2'!$B$27:$AY$106,38,)) * $CR$5)</f>
        <v>17.264574482221246</v>
      </c>
      <c r="Y44" s="1566">
        <f>IF(ISERROR(MATCH($B44,'A1.3.2'!$B$27:$B$106,0)),"",(VLOOKUP($B44,'Forecast occupancies'!$C$28:$CP$64,23,TRUE)*VLOOKUP($B44,'A1.3.2'!$B$27:$AY$106,38,)) * $CR$5)</f>
        <v>17.264574482221246</v>
      </c>
      <c r="Z44" s="1565">
        <f>IF(ISERROR(MATCH($B44,'A1.3.2'!$B$27:$B$106,0)),"",(((VLOOKUP($B44,'Forecast occupancies'!$C$28:$CP$64,24,TRUE) -1) * VLOOKUP($B44,'A1.3.2'!$B$27:$AY$106,40,)) + VLOOKUP($B44,'A1.3.2'!$B$27:$AY$106,39,)) * $CR$5)</f>
        <v>20.074684969686057</v>
      </c>
      <c r="AA44" s="1565">
        <f>IF(ISERROR(MATCH($B44,'A1.3.2'!$B$27:$B$106,0)),"",(VLOOKUP($B44,'Forecast occupancies'!$C$28:$CP$64,25,TRUE) * VLOOKUP($B44,'A1.3.2'!$B$27:$AY$106,49,)) * $CR$5)</f>
        <v>9.4384778988239173</v>
      </c>
      <c r="AB44" s="1565">
        <f>IF(ISERROR(MATCH($B44,'A1.3.2'!$B$27:$B$106,0)),"",(VLOOKUP($B44,'Forecast occupancies'!$C$28:$CP$64,26,TRUE) * VLOOKUP($B44,'A1.3.2'!$B$27:$AY$106,50,)) * $CR$5)</f>
        <v>61.262238205143404</v>
      </c>
      <c r="AC44" s="1567">
        <f>IF(ISERROR(MATCH($B44,'A1.3.2'!$B$27:$B$106,0)),"",SUM(Z44:AB44))</f>
        <v>90.77540107365337</v>
      </c>
      <c r="AD44" s="1609">
        <f>IF(ISERROR(MATCH($B44,'A1.3.2'!$B$27:$B$106,0)),"",(((VLOOKUP($B44,'Forecast occupancies'!$C$28:$CP$64,28,TRUE)-1)*VLOOKUP($B44,'A1.3.2'!$B$27:$AY$106,36,)+VLOOKUP($B44,'A1.3.2'!$B$27:$AY$106,35,))*$CR$5))</f>
        <v>24.40742081023771</v>
      </c>
      <c r="AE44" s="1565">
        <f>IF(ISERROR(MATCH($B44,'A1.3.2'!$B$27:$B$106,0)),"",VLOOKUP($B44,'Forecast occupancies'!$C$28:$CP$64,29,TRUE)*VLOOKUP($B44,'A1.3.2'!$B$27:$AY$106,49,)*$CR$5)</f>
        <v>13.605915634543399</v>
      </c>
      <c r="AF44" s="1565">
        <f>IF(ISERROR(MATCH($B44,'A1.3.2'!$B$27:$B$106,0)),"",VLOOKUP($B44,'Forecast occupancies'!$C$28:$CP$64,30,TRUE)*VLOOKUP($B44,'A1.3.2'!$B$27:$AY$106,50,)*$CR$5)</f>
        <v>9.7963762761552609</v>
      </c>
      <c r="AG44" s="1566">
        <f>IF(ISERROR(MATCH($B44,'A1.3.2'!$B$27:$B$106,0)),"",(((AD44*'VoT5'!$F$28)+(AE44*'VoT5'!$F$29)+(AF44*'VoT5'!$F$30))/100))</f>
        <v>13.093530778580849</v>
      </c>
      <c r="AH44" s="1565">
        <f>IF(ISERROR(MATCH($B44,'A1.3.2'!$B$27:$B$106,0)),"",(VLOOKUP($B44,'Forecast occupancies'!$C$28:$CP$64,32,TRUE) * VLOOKUP($B44, 'A1.3.2'!$B$27:$AY$106,37,)) * $CR$5)</f>
        <v>17.583409453012763</v>
      </c>
      <c r="AI44" s="1565">
        <f>IF(ISERROR(MATCH($B44,'A1.3.2'!$B$27:$B$106,0)),"",VLOOKUP($B44,'Forecast occupancies'!$C$28:$CP$64,33,TRUE) * ('VoT5'!$J$29*VLOOKUP($B44, 'A1.3.2'!$B$27:$AY$106,49,)+'VoT5'!$J$30*VLOOKUP($B44, 'A1.3.2'!$B$27:$AY$106,50,))/('VoT5'!$J$29+'VoT5'!$J$30) * $CR$5)</f>
        <v>10.733274108353715</v>
      </c>
      <c r="AJ44" s="1566">
        <f>IF(ISERROR(MATCH($B44,'A1.3.2'!$B$27:$B$106,0)),"",(AH44*'VoT5'!$F$31 + AI44*'VoT5'!$F$32)/100)</f>
        <v>16.761393211653676</v>
      </c>
      <c r="AK44" s="1566">
        <f>IF(ISERROR(MATCH($B44,'A1.3.2'!$B$27:$B$106,0)),"",(VLOOKUP($B44,'Forecast occupancies'!$C$28:$CP$64,35,TRUE)*VLOOKUP($B44,'A1.3.2'!$B$27:$AY$106,38,)) * $CR$5)</f>
        <v>17.264574482221246</v>
      </c>
      <c r="AL44" s="1566">
        <f>IF(ISERROR(MATCH($B44,'A1.3.2'!$B$27:$B$106,0)),"",(VLOOKUP($B44,'Forecast occupancies'!$C$28:$CP$64,36,TRUE)*VLOOKUP($B44,'A1.3.2'!$B$27:$AY$106,38,)) * $CR$5)</f>
        <v>17.264574482221246</v>
      </c>
      <c r="AM44" s="1565">
        <f>IF(ISERROR(MATCH($B44,'A1.3.2'!$B$27:$B$106,0)),"",(((VLOOKUP($B44,'Forecast occupancies'!$C$28:$CP$64,37,TRUE) -1) * VLOOKUP($B44,'A1.3.2'!$B$27:$AY$106,40,)) + VLOOKUP($B44,'A1.3.2'!$B$27:$AY$106,39,)) * $CR$5)</f>
        <v>21.003883476529172</v>
      </c>
      <c r="AN44" s="1565">
        <f>IF(ISERROR(MATCH($B44,'A1.3.2'!$B$27:$B$106,0)),"",(VLOOKUP($B44,'Forecast occupancies'!$C$28:$CP$64,38,TRUE) * VLOOKUP($B44,'A1.3.2'!$B$27:$AY$106,49,)) * $CR$5)</f>
        <v>37.875231074964937</v>
      </c>
      <c r="AO44" s="1565">
        <f>IF(ISERROR(MATCH($B44,'A1.3.2'!$B$27:$B$106,0)),"",(VLOOKUP($B44,'Forecast occupancies'!$C$28:$CP$64,39,TRUE) * VLOOKUP($B44,'A1.3.2'!$B$27:$AY$106,50,)) * $CR$5)</f>
        <v>47.861738094807727</v>
      </c>
      <c r="AP44" s="1567">
        <f>IF(ISERROR(MATCH($B44,'A1.3.2'!$B$27:$B$106,0)),"",SUM(AM44:AO44))</f>
        <v>106.74085264630185</v>
      </c>
      <c r="AQ44" s="1609">
        <f>IF(ISERROR(MATCH($B44,'A1.3.2'!$B$27:$B$106,0)),"",(((VLOOKUP($B44,'Forecast occupancies'!$C$28:$CP$64,41,TRUE)-1)*VLOOKUP($B44,'A1.3.2'!$B$27:$AY$106,36,)+VLOOKUP($B44,'A1.3.2'!$B$27:$AY$106,35,))*$CR$5))</f>
        <v>24.869224397286146</v>
      </c>
      <c r="AR44" s="1565">
        <f>IF(ISERROR(MATCH($B44,'A1.3.2'!$B$27:$B$106,0)),"",VLOOKUP($B44,'Forecast occupancies'!$C$28:$CP$64,42,TRUE)*VLOOKUP($B44,'A1.3.2'!$B$27:$AY$106,49,)*$CR$5)</f>
        <v>13.805051167979197</v>
      </c>
      <c r="AS44" s="1565">
        <f>IF(ISERROR(MATCH($B44,'A1.3.2'!$B$27:$B$106,0)),"",VLOOKUP($B44,'Forecast occupancies'!$C$28:$CP$64,43,TRUE)*VLOOKUP($B44,'A1.3.2'!$B$27:$AY$106,50,)*$CR$5)</f>
        <v>9.7614010646967753</v>
      </c>
      <c r="AT44" s="1566">
        <f>IF(ISERROR(MATCH($B44,'A1.3.2'!$B$27:$B$106,0)),"",(((AQ44*'VoT5'!$G$28)+(AR44*'VoT5'!$G$29)+(AS44*'VoT5'!$G$30))/100))</f>
        <v>13.265642620089359</v>
      </c>
      <c r="AU44" s="1565">
        <f>IF(ISERROR(MATCH($B44,'A1.3.2'!$B$27:$B$106,0)),"",(VLOOKUP($B44,'Forecast occupancies'!$C$28:$CP$64,45,TRUE) * VLOOKUP($B44, 'A1.3.2'!$B$27:$AY$106,37,)) * $CR$5)</f>
        <v>17.583409453012763</v>
      </c>
      <c r="AV44" s="1565">
        <f>IF(ISERROR(MATCH($B44,'A1.3.2'!$B$27:$B$106,0)),"",VLOOKUP($B44,'Forecast occupancies'!$C$28:$CP$64,46,TRUE) * ('VoT5'!$J$29*VLOOKUP($B44, 'A1.3.2'!$B$27:$AY$106,49,)+'VoT5'!$J$30*VLOOKUP($B44, 'A1.3.2'!$B$27:$AY$106,50,))/('VoT5'!$J$29+'VoT5'!$J$30) * $CR$5)</f>
        <v>10.733274108353715</v>
      </c>
      <c r="AW44" s="1566">
        <f>IF(ISERROR(MATCH($B44,'A1.3.2'!$B$27:$B$106,0)),"",(AU44*'VoT5'!$G$31 + AV44*'VoT5'!$G$32)/100)</f>
        <v>16.761393211653676</v>
      </c>
      <c r="AX44" s="1566">
        <f>IF(ISERROR(MATCH($B44,'A1.3.2'!$B$27:$B$106,0)),"",(VLOOKUP($B44,'Forecast occupancies'!$C$28:$CP$64,48,TRUE)*VLOOKUP($B44,'A1.3.2'!$B$27:$AY$106,38,)) * $CR$5)</f>
        <v>17.264574482221246</v>
      </c>
      <c r="AY44" s="1566">
        <f>IF(ISERROR(MATCH($B44,'A1.3.2'!$B$27:$B$106,0)),"",(VLOOKUP($B44,'Forecast occupancies'!$C$28:$CP$64,49,TRUE)*VLOOKUP($B44,'A1.3.2'!$B$27:$AY$106,38,)) * $CR$5)</f>
        <v>17.264574482221246</v>
      </c>
      <c r="AZ44" s="1565">
        <f>IF(ISERROR(MATCH($B44,'A1.3.2'!$B$27:$B$106,0)),"",(((VLOOKUP($B44,'Forecast occupancies'!$C$28:$CP$64,50,TRUE) -1) * VLOOKUP($B44,'A1.3.2'!$B$27:$AY$106,40,)) + VLOOKUP($B44,'A1.3.2'!$B$27:$AY$106,39,)) * $CR$5)</f>
        <v>20.986898199859347</v>
      </c>
      <c r="BA44" s="1565">
        <f>IF(ISERROR(MATCH($B44,'A1.3.2'!$B$27:$B$106,0)),"",(VLOOKUP($B44,'Forecast occupancies'!$C$28:$CP$64,51,TRUE) * VLOOKUP($B44,'A1.3.2'!$B$27:$AY$106,49,)) * $CR$5)</f>
        <v>51.7745000763097</v>
      </c>
      <c r="BB44" s="1565">
        <f>IF(ISERROR(MATCH($B44,'A1.3.2'!$B$27:$B$106,0)),"",(VLOOKUP($B44,'Forecast occupancies'!$C$28:$CP$64,52,TRUE) * VLOOKUP($B44,'A1.3.2'!$B$27:$AY$106,50,)) * $CR$5)</f>
        <v>41.525392327702612</v>
      </c>
      <c r="BC44" s="1567">
        <f>IF(ISERROR(MATCH($B44,'A1.3.2'!$B$27:$B$106,0)),"",SUM(AZ44:BB44))</f>
        <v>114.28679060387165</v>
      </c>
      <c r="BD44" s="1565">
        <f>IF(ISERROR(MATCH($B44,'A1.3.2'!$B$27:$B$106,0)),"",(((VLOOKUP($B44,'Forecast occupancies'!$C$28:$CP$64,54,TRUE)-1)*VLOOKUP($B44,'A1.3.2'!$B$27:$AY$106,36,)+VLOOKUP($B44,'A1.3.2'!$B$27:$AY$106,35,))*$CR$5))</f>
        <v>24.450848685347459</v>
      </c>
      <c r="BE44" s="1565">
        <f>IF(ISERROR(MATCH($B44,'A1.3.2'!$B$27:$B$106,0)),"",VLOOKUP($B44,'Forecast occupancies'!$C$28:$CP$64,55,TRUE)*VLOOKUP($B44,'A1.3.2'!$B$27:$AY$106,49,)*$CR$5)</f>
        <v>13.652175861020403</v>
      </c>
      <c r="BF44" s="1565">
        <f>IF(ISERROR(MATCH($B44,'A1.3.2'!$B$27:$B$106,0)),"",VLOOKUP($B44,'Forecast occupancies'!$C$28:$CP$64,56,TRUE)*VLOOKUP($B44,'A1.3.2'!$B$27:$AY$106,50,)*$CR$5)</f>
        <v>9.7856547273816883</v>
      </c>
      <c r="BG44" s="1566">
        <f>IF(ISERROR(MATCH($B44,'A1.3.2'!$B$27:$B$106,0)),"",(((BD44*'VoT5'!$H$28)+(BE44*'VoT5'!$H$29)+(BF44*'VoT5'!$H$30))/100))</f>
        <v>13.170108416787199</v>
      </c>
      <c r="BH44" s="1565">
        <f>IF(ISERROR(MATCH($B44,'A1.3.2'!$B$27:$B$106,0)),"",(VLOOKUP($B44,'Forecast occupancies'!$C$28:$CP$64,58,TRUE) * VLOOKUP($B44, 'A1.3.2'!$B$27:$AY$106,37,)) * $CR$5)</f>
        <v>17.583409453012763</v>
      </c>
      <c r="BI44" s="1565">
        <f>IF(ISERROR(MATCH($B44,'A1.3.2'!$B$27:$B$106,0)),"",(VLOOKUP($B44,'Forecast occupancies'!$C$28:$CP$64,59,TRUE) * (VLOOKUP($B44,'A1.3.2'!$B$27:$AY$106,49,) * 'VoT5'!$J$29 + VLOOKUP($B44,'A1.3.2'!$B$27:$AY$106,50,) * 'VoT5'!$J$30) / (SUM('VoT5'!$J$29:$J$30))) * $CR$5)</f>
        <v>10.733274108353715</v>
      </c>
      <c r="BJ44" s="1566">
        <f>IF(ISERROR(MATCH($B44,'A1.3.2'!$B$27:$B$106,0)),"",(BH44*'VoT5'!$H$31 + BI44*'VoT5'!$H$32)/100)</f>
        <v>16.761393211653676</v>
      </c>
      <c r="BK44" s="1566">
        <f>IF(ISERROR(MATCH($B44,'A1.3.2'!$B$27:$B$106,0)),"",(VLOOKUP($B44,'Forecast occupancies'!$C$28:$CP$64,61,TRUE)*VLOOKUP($B44,'A1.3.2'!$B$27:$AY$106,38,)) * $CR$5)</f>
        <v>17.264574482221246</v>
      </c>
      <c r="BL44" s="1566">
        <f>IF(ISERROR(MATCH($B44,'A1.3.2'!$B$27:$B$106,0)),"",(VLOOKUP($B44,'Forecast occupancies'!$C$28:$CP$64,62,TRUE)*VLOOKUP($B44,'A1.3.2'!$B$27:$AY$106,38,)) * $CR$5)</f>
        <v>17.264574482221246</v>
      </c>
      <c r="BM44" s="1565">
        <f>IF(ISERROR(MATCH($B44,'A1.3.2'!$B$27:$B$106,0)),"",(((VLOOKUP($B44,'Forecast occupancies'!$C$28:$CP$64,63,TRUE) -1) * VLOOKUP($B44,'A1.3.2'!$B$27:$AY$106,40,)) + VLOOKUP($B44,'A1.3.2'!$B$27:$AY$106,39,)) * $CR$5)</f>
        <v>20.235383841428973</v>
      </c>
      <c r="BN44" s="1565">
        <f>IF(ISERROR(MATCH($B44,'A1.3.2'!$B$27:$B$106,0)),"",(VLOOKUP($B44,'Forecast occupancies'!$C$28:$CP$64,64,TRUE) * VLOOKUP($B44,'A1.3.2'!$B$27:$AY$106,49,)) * $CR$5)</f>
        <v>23.372743863458314</v>
      </c>
      <c r="BO44" s="1565">
        <f>IF(ISERROR(MATCH($B44,'A1.3.2'!$B$27:$B$106,0)),"",(VLOOKUP($B44,'Forecast occupancies'!$C$28:$CP$64,65,TRUE) * VLOOKUP($B44,'A1.3.2'!$B$27:$AY$106,50,)) * $CR$5)</f>
        <v>54.829392354569933</v>
      </c>
      <c r="BP44" s="1567">
        <f>IF(ISERROR(MATCH($B44,'A1.3.2'!$B$27:$B$106,0)),"",SUM(BM44:BO44))</f>
        <v>98.437520059457228</v>
      </c>
      <c r="BQ44" s="1565">
        <f>IF(ISERROR(MATCH($B44,'A1.3.2'!$B$27:$B$106,0)),"",(((VLOOKUP($B44,'Forecast occupancies'!$C$28:$CP$64,67,TRUE)-1)*VLOOKUP($B44,'A1.3.2'!$B$27:$AY$106,36,)+VLOOKUP($B44,'A1.3.2'!$B$27:$AY$106,35,))*$CR$5))</f>
        <v>27.944259192524754</v>
      </c>
      <c r="BR44" s="1565">
        <f>IF(ISERROR(MATCH($B44,'A1.3.2'!$B$27:$B$106,0)),"",VLOOKUP($B44,'Forecast occupancies'!$C$28:$CP$64,68,TRUE)*VLOOKUP($B44,'A1.3.2'!$B$27:$AY$106,49,)*$CR$5)</f>
        <v>14.454267571068989</v>
      </c>
      <c r="BS44" s="1565">
        <f>IF(ISERROR(MATCH($B44,'A1.3.2'!$B$27:$B$106,0)),"",VLOOKUP($B44,'Forecast occupancies'!$C$28:$CP$64,69,TRUE)*VLOOKUP($B44,'A1.3.2'!$B$27:$AY$106,50,)*$CR$5)</f>
        <v>11.58645109260199</v>
      </c>
      <c r="BT44" s="1566">
        <f>IF(ISERROR(MATCH($B44,'A1.3.2'!$B$27:$B$106,0)),"",(((BQ44*'VoT5'!$I$28)+(BR44*'VoT5'!$I$29)+(BS44*'VoT5'!$I$30))/100))</f>
        <v>12.380853685585089</v>
      </c>
      <c r="BU44" s="1565">
        <f>IF(ISERROR(MATCH($B44,'A1.3.2'!$B$27:$B$106,0)),"",(VLOOKUP($B44,'Forecast occupancies'!$C$28:$CP$64,71,TRUE) * VLOOKUP($B44, 'A1.3.2'!$B$27:$AY$106,37,)) * $CR$5)</f>
        <v>18.462579925663402</v>
      </c>
      <c r="BV44" s="1565">
        <f>IF(ISERROR(MATCH($B44,'A1.3.2'!$B$27:$B$106,0)),"",(VLOOKUP($B44,'Forecast occupancies'!$C$28:$CP$64,72,TRUE) * (VLOOKUP($B44,'A1.3.2'!$B$27:$AY$106,49,)*'VoT5'!$J$29 + VLOOKUP($B44,'A1.3.2'!$B$27:$AY$106,50,)*'VoT5'!$J$30) / (SUM('VoT5'!$J$29:$J$30))) * $CR$5)</f>
        <v>14.92366194517674</v>
      </c>
      <c r="BW44" s="1566">
        <f>IF(ISERROR(MATCH($B44,'A1.3.2'!$B$27:$B$106,0)),"",(BU44*'VoT5'!$I$31 + BV44*'VoT5'!$I$32)/100)</f>
        <v>18.037909768005001</v>
      </c>
      <c r="BX44" s="1566">
        <f>IF(ISERROR(MATCH($B44,'A1.3.2'!$B$27:$B$106,0)),"",(VLOOKUP($B44,'Forecast occupancies'!$C$28:$CP$64,74,TRUE)*VLOOKUP($B44,'A1.3.2'!$B$27:$AY$106,38,)) * $CR$5)</f>
        <v>17.264574482221246</v>
      </c>
      <c r="BY44" s="1566">
        <f>IF(ISERROR(MATCH($B44,'A1.3.2'!$B$27:$B$106,0)),"",(VLOOKUP($B44,'Forecast occupancies'!$C$28:$CP$64,75,TRUE)*VLOOKUP($B44,'A1.3.2'!$B$27:$AY$106,38,)) * $CR$5)</f>
        <v>17.264574482221246</v>
      </c>
      <c r="BZ44" s="1565">
        <f>IF(ISERROR(MATCH($B44,'A1.3.2'!$B$27:$B$106,0)),"",(((VLOOKUP($B44,'Forecast occupancies'!$C$28:$CP$64,76,TRUE) -1) * VLOOKUP($B44,'A1.3.2'!$B$27:$AY$106,40,)) + VLOOKUP($B44,'A1.3.2'!$B$27:$AY$106,39,)) * $CR$5)</f>
        <v>18.429058008296767</v>
      </c>
      <c r="CA44" s="1565">
        <f>IF(ISERROR(MATCH($B44,'A1.3.2'!$B$27:$B$106,0)),"",(VLOOKUP($B44,'Forecast occupancies'!$C$28:$CP$64,77,TRUE) * VLOOKUP($B44,'A1.3.2'!$B$27:$AY$106,49,)) * $CR$5)</f>
        <v>8.8544972709911072</v>
      </c>
      <c r="CB44" s="1565">
        <f>IF(ISERROR(MATCH($B44,'A1.3.2'!$B$27:$B$106,0)),"",(VLOOKUP($B44,'Forecast occupancies'!$C$28:$CP$64,78,TRUE) * VLOOKUP($B44,'A1.3.2'!$B$27:$AY$106,50,)) * $CR$5)</f>
        <v>62.274582286159536</v>
      </c>
      <c r="CC44" s="1567">
        <f>IF(ISERROR(MATCH($B44,'A1.3.2'!$B$27:$B$106,0)),"",SUM(BZ44:CB44))</f>
        <v>89.55813756544741</v>
      </c>
      <c r="CD44" s="1565">
        <f>IF(ISERROR(MATCH($B44,'A1.3.2'!$B$27:$B$106,0)),"",(((VLOOKUP($B44,'Forecast occupancies'!$C$28:$CP$64,80,TRUE)-1)*VLOOKUP($B44,'A1.3.2'!$B$27:$AY$106,36,)+VLOOKUP($B44,'A1.3.2'!$B$27:$AY$106,35,))*$CR$5))</f>
        <v>24.698820735655598</v>
      </c>
      <c r="CE44" s="1565">
        <f>IF(ISERROR(MATCH($B44,'A1.3.2'!$B$27:$B$106,0)),"",VLOOKUP($B44,'Forecast occupancies'!$C$28:$CP$64,81,TRUE)*VLOOKUP($B44,'A1.3.2'!$B$27:$AY$106,49,)*$CR$5)</f>
        <v>13.717065609079212</v>
      </c>
      <c r="CF44" s="1565">
        <f>IF(ISERROR(MATCH($B44,'A1.3.2'!$B$27:$B$106,0)),"",VLOOKUP($B44,'Forecast occupancies'!$C$28:$CP$64,82,TRUE)*VLOOKUP($B44,'A1.3.2'!$B$27:$AY$106,50,)*$CR$5)</f>
        <v>10.421098902470613</v>
      </c>
      <c r="CG44" s="1566">
        <f>IF(ISERROR(MATCH($B44,'A1.3.2'!$B$27:$B$106,0)),"",(((CD44*'VoT5'!$J$28)+(CE44*'VoT5'!$J$29)+(CF44*'VoT5'!$J$30))/100))</f>
        <v>12.982979868245623</v>
      </c>
      <c r="CH44" s="1565">
        <f>IF(ISERROR(MATCH($B44,'A1.3.2'!$B$27:$B$106,0)),"",(VLOOKUP($B44,'Forecast occupancies'!$C$28:$CP$64,84,TRUE) * VLOOKUP($B44, 'A1.3.2'!$B$27:$AY$106,37,)) * $CR$5)</f>
        <v>17.583409453012763</v>
      </c>
      <c r="CI44" s="1565">
        <f>IF(ISERROR(MATCH($B44,'A1.3.2'!$B$27:$B$106,0)),"",(VLOOKUP($B44,'Forecast occupancies'!$C$28:$CP$64,85,TRUE) * (VLOOKUP($B44,'A1.3.2'!$B$27:$AY$106,49,)*'VoT5'!$J$29 + VLOOKUP($B44,'A1.3.2'!$B$27:$AY$106,50,)*'VoT5'!$J$30) / (SUM('VoT5'!$J$29:$J$30))) * $CR$5)</f>
        <v>11.688976597453703</v>
      </c>
      <c r="CJ44" s="1566">
        <f>IF(ISERROR(MATCH($B44,'A1.3.2'!$B$27:$B$106,0)),"",(CH44*'VoT5'!$J$31 + CI44*'VoT5'!$J$32)/100)</f>
        <v>16.876077510345677</v>
      </c>
      <c r="CK44" s="1566">
        <f>IF(ISERROR(MATCH($B44,'A1.3.2'!$B$27:$B$106,0)),"",(VLOOKUP($B44,'Forecast occupancies'!$C$28:$CP$64,87,TRUE)*VLOOKUP($B44,'A1.3.2'!$B$27:$AY$106,38,)) * $CR$5)</f>
        <v>17.264574482221246</v>
      </c>
      <c r="CL44" s="1566">
        <f>IF(ISERROR(MATCH($B44,'A1.3.2'!$B$27:$B$106,0)),"",(VLOOKUP($B44,'Forecast occupancies'!$C$28:$CP$64,88,TRUE)*VLOOKUP($B44,'A1.3.2'!$B$27:$AY$106,38,)) * $CR$5)</f>
        <v>17.264574482221246</v>
      </c>
      <c r="CM44" s="1565">
        <f>IF(ISERROR(MATCH($B44,'A1.3.2'!$B$27:$B$106,0)),"",(((VLOOKUP($B44,'Forecast occupancies'!$C$28:$CP$64,89,TRUE) -1) * VLOOKUP($B44,'A1.3.2'!$B$27:$AY$106,40,)) + VLOOKUP($B44,'A1.3.2'!$B$27:$AY$106,39,)) * $CR$5)</f>
        <v>19.789328114027349</v>
      </c>
      <c r="CN44" s="1565">
        <f>IF(ISERROR(MATCH($B44,'A1.3.2'!$B$27:$B$106,0)),"",(VLOOKUP($B44,'Forecast occupancies'!$C$28:$CP$64,90,TRUE) * VLOOKUP($B44,'A1.3.2'!$B$27:$AY$106,49,)) * $CR$5)</f>
        <v>19.786904083143096</v>
      </c>
      <c r="CO44" s="1565">
        <f>IF(ISERROR(MATCH($B44,'A1.3.2'!$B$27:$B$106,0)),"",(VLOOKUP($B44,'Forecast occupancies'!$C$28:$CP$64,91,TRUE) * VLOOKUP($B44,'A1.3.2'!$B$27:$AY$106,50,)) * $CR$5)</f>
        <v>56.668229604816212</v>
      </c>
      <c r="CP44" s="1567">
        <f>IF(ISERROR(MATCH($B44,'A1.3.2'!$B$27:$B$106,0)),"",SUM(CM44:CO44))</f>
        <v>96.24446180198666</v>
      </c>
    </row>
    <row r="45" spans="1:94" s="26" customFormat="1" ht="13.5" customHeight="1">
      <c r="A45" s="113"/>
      <c r="B45" s="82">
        <f t="shared" si="0"/>
        <v>2027</v>
      </c>
      <c r="D45" s="1609">
        <f>IF(ISERROR(MATCH($B45,'A1.3.2'!$B$27:$B$106,0)),"",(((VLOOKUP($B45,'Forecast occupancies'!$C$28:$CP$64,2,TRUE) -1) * VLOOKUP($B45,'A1.3.2'!$B$27:$AY$106,36,) + VLOOKUP($B45,'A1.3.2'!$B$27:$AY$106,35,)) * $CR$5))</f>
        <v>24.45858860114415</v>
      </c>
      <c r="E45" s="1565">
        <f>IF(ISERROR(MATCH($B45,'A1.3.2'!$B$27:$B$106,0)),"",VLOOKUP($B45,'Forecast occupancies'!$C$28:$CP$64,3,TRUE)*VLOOKUP($B45,'A1.3.2'!$B$27:$AY$106,49,)*$CR$5)</f>
        <v>13.783660110248533</v>
      </c>
      <c r="F45" s="1565">
        <f>IF(ISERROR(MATCH($B45,'A1.3.2'!$B$27:$B$106,0)),"",VLOOKUP($B45,'Forecast occupancies'!$C$28:$CP$64,4,TRUE)*VLOOKUP($B45,'A1.3.2'!$B$27:$AY$106,50,)*$CR$5)</f>
        <v>9.5096576129964667</v>
      </c>
      <c r="G45" s="1566">
        <f>IF(ISERROR(MATCH($B45,'A1.3.2'!$B$27:$B$106,0)),"",(((D45*'VoT5'!$D$28)+(E45*'VoT5'!$D$29)+(F45*'VoT5'!$D$30))/100))</f>
        <v>13.853464960091951</v>
      </c>
      <c r="H45" s="1565">
        <f>IF(ISERROR(MATCH($B45,'A1.3.2'!$B$27:$B$106,0)),"",(VLOOKUP($B45,'Forecast occupancies'!$C$28:$CP$64,6,TRUE) * VLOOKUP($B45, 'A1.3.2'!$B$27:$AY$106,37,)) * $CR$5)</f>
        <v>17.87455876363958</v>
      </c>
      <c r="I45" s="1565">
        <f>IF(ISERROR(MATCH($B45,'A1.3.2'!$B$27:$B$106,0)),"",VLOOKUP($B45,'Forecast occupancies'!$C$28:$CP$64,7,TRUE) * ('VoT5'!$J$29*VLOOKUP($B45, 'A1.3.2'!$B$27:$AY$106,49,)+'VoT5'!$J$30*VLOOKUP($B45, 'A1.3.2'!$B$27:$AY$106,50,))/('VoT5'!$J$29+'VoT5'!$J$30) * $CR$5)</f>
        <v>10.910997624703976</v>
      </c>
      <c r="J45" s="1566">
        <f>IF(ISERROR(MATCH($B45,'A1.3.2'!$B$27:$B$106,0)),"",(H45*'VoT5'!$D$31 + I45*'VoT5'!$D$32)/100)</f>
        <v>17.038931426967309</v>
      </c>
      <c r="K45" s="1566">
        <f>IF(ISERROR(MATCH($B45,'A1.3.2'!$B$27:$B$106,0)),"",(VLOOKUP($B45,'Forecast occupancies'!$C$28:$CP$64,9,TRUE)*VLOOKUP($B45,'A1.3.2'!$B$27:$AY$106,38,)) * $CR$5)</f>
        <v>17.550444465070498</v>
      </c>
      <c r="L45" s="1566">
        <f>IF(ISERROR(MATCH($B45,'A1.3.2'!$B$27:$B$106,0)),"",(VLOOKUP($B45,'Forecast occupancies'!$C$28:$CP$64,10,TRUE)*VLOOKUP($B45,'A1.3.2'!$B$27:$AY$106,38,)) * $CR$5)</f>
        <v>17.550444465070498</v>
      </c>
      <c r="M45" s="1565">
        <f>IF(ISERROR(MATCH($B45,'A1.3.2'!$B$27:$B$106,0)),"",(((VLOOKUP($B45,'Forecast occupancies'!$C$28:$CP$64,11,TRUE) -1) * VLOOKUP($B45,'A1.3.2'!$B$27:$AY$106,40,)) + VLOOKUP($B45,'A1.3.2'!$B$27:$AY$106,39,)) * $CR$5)</f>
        <v>19.998890143735164</v>
      </c>
      <c r="N45" s="1565">
        <f>IF(ISERROR(MATCH($B45,'A1.3.2'!$B$27:$B$106,0)),"",(VLOOKUP($B45,'Forecast occupancies'!$C$28:$CP$64,12,TRUE) * VLOOKUP($B45,'A1.3.2'!$B$27:$AY$106,49,)) * $CR$5)</f>
        <v>27.376984649528737</v>
      </c>
      <c r="O45" s="1565">
        <f>IF(ISERROR(MATCH($B45,'A1.3.2'!$B$27:$B$106,0)),"",(VLOOKUP($B45,'Forecast occupancies'!$C$28:$CP$64,13,TRUE) * VLOOKUP($B45,'A1.3.2'!$B$27:$AY$106,50,)) * $CR$5)</f>
        <v>54.345283412470813</v>
      </c>
      <c r="P45" s="1567">
        <f>IF(ISERROR(MATCH($B45,'A1.3.2'!$B$27:$B$106,0)),"",SUM(M45:O45))</f>
        <v>101.72115820573472</v>
      </c>
      <c r="Q45" s="1609">
        <f>IF(ISERROR(MATCH($B45,'A1.3.2'!$B$27:$B$106,0)),"",(((VLOOKUP($B45,'Forecast occupancies'!$C$28:$CP$64,15,TRUE)-1)*VLOOKUP($B45,'A1.3.2'!$B$27:$AY$106,36,)+VLOOKUP($B45,'A1.3.2'!$B$27:$AY$106,35,))*$CR$5))</f>
        <v>25.063268754112229</v>
      </c>
      <c r="R45" s="1565">
        <f>IF(ISERROR(MATCH($B45,'A1.3.2'!$B$27:$B$106,0)),"",VLOOKUP($B45,'Forecast occupancies'!$C$28:$CP$64,16,TRUE)*VLOOKUP($B45,'A1.3.2'!$B$27:$AY$106,49,)*$CR$5)</f>
        <v>14.007783708971811</v>
      </c>
      <c r="S45" s="1565">
        <f>IF(ISERROR(MATCH($B45,'A1.3.2'!$B$27:$B$106,0)),"",VLOOKUP($B45,'Forecast occupancies'!$C$28:$CP$64,17,TRUE)*VLOOKUP($B45,'A1.3.2'!$B$27:$AY$106,50,)*$CR$5)</f>
        <v>10.130031730151831</v>
      </c>
      <c r="T45" s="1566">
        <f>IF(ISERROR(MATCH($B45,'A1.3.2'!$B$27:$B$106,0)),"",(((Q45*'VoT5'!$E$28)+(R45*'VoT5'!$E$29)+(S45*'VoT5'!$E$30))/100))</f>
        <v>13.047326754848678</v>
      </c>
      <c r="U45" s="1565">
        <f>IF(ISERROR(MATCH($B45,'A1.3.2'!$B$27:$B$106,0)),"",(VLOOKUP($B45,'Forecast occupancies'!$C$28:$CP$64,19,TRUE) * VLOOKUP($B45, 'A1.3.2'!$B$27:$AY$106,37,)) * $CR$5)</f>
        <v>17.87455876363958</v>
      </c>
      <c r="V45" s="1565">
        <f>IF(ISERROR(MATCH($B45,'A1.3.2'!$B$27:$B$106,0)),"",VLOOKUP($B45,'Forecast occupancies'!$C$28:$CP$64,20,TRUE) * ('VoT5'!$J$29*VLOOKUP($B45, 'A1.3.2'!$B$27:$AY$106,49,)+'VoT5'!$J$30*VLOOKUP($B45, 'A1.3.2'!$B$27:$AY$106,50,))/('VoT5'!$J$29+'VoT5'!$J$30) * $CR$5)</f>
        <v>10.910997624703976</v>
      </c>
      <c r="W45" s="1566">
        <f>IF(ISERROR(MATCH($B45,'A1.3.2'!$B$27:$B$106,0)),"",(U45*'VoT5'!$E$31 + V45*'VoT5'!$E$32)/100)</f>
        <v>17.038931426967309</v>
      </c>
      <c r="X45" s="1566">
        <f>IF(ISERROR(MATCH($B45,'A1.3.2'!$B$27:$B$106,0)),"",(VLOOKUP($B45,'Forecast occupancies'!$C$28:$CP$64,22,TRUE)*VLOOKUP($B45,'A1.3.2'!$B$27:$AY$106,38,)) * $CR$5)</f>
        <v>17.550444465070498</v>
      </c>
      <c r="Y45" s="1566">
        <f>IF(ISERROR(MATCH($B45,'A1.3.2'!$B$27:$B$106,0)),"",(VLOOKUP($B45,'Forecast occupancies'!$C$28:$CP$64,23,TRUE)*VLOOKUP($B45,'A1.3.2'!$B$27:$AY$106,38,)) * $CR$5)</f>
        <v>17.550444465070498</v>
      </c>
      <c r="Z45" s="1565">
        <f>IF(ISERROR(MATCH($B45,'A1.3.2'!$B$27:$B$106,0)),"",(((VLOOKUP($B45,'Forecast occupancies'!$C$28:$CP$64,24,TRUE) -1) * VLOOKUP($B45,'A1.3.2'!$B$27:$AY$106,40,)) + VLOOKUP($B45,'A1.3.2'!$B$27:$AY$106,39,)) * $CR$5)</f>
        <v>20.407085276099515</v>
      </c>
      <c r="AA45" s="1565">
        <f>IF(ISERROR(MATCH($B45,'A1.3.2'!$B$27:$B$106,0)),"",(VLOOKUP($B45,'Forecast occupancies'!$C$28:$CP$64,25,TRUE) * VLOOKUP($B45,'A1.3.2'!$B$27:$AY$106,49,)) * $CR$5)</f>
        <v>9.5947619426524131</v>
      </c>
      <c r="AB45" s="1565">
        <f>IF(ISERROR(MATCH($B45,'A1.3.2'!$B$27:$B$106,0)),"",(VLOOKUP($B45,'Forecast occupancies'!$C$28:$CP$64,26,TRUE) * VLOOKUP($B45,'A1.3.2'!$B$27:$AY$106,50,)) * $CR$5)</f>
        <v>62.276629553337109</v>
      </c>
      <c r="AC45" s="1567">
        <f>IF(ISERROR(MATCH($B45,'A1.3.2'!$B$27:$B$106,0)),"",SUM(Z45:AB45))</f>
        <v>92.278476772089036</v>
      </c>
      <c r="AD45" s="1609">
        <f>IF(ISERROR(MATCH($B45,'A1.3.2'!$B$27:$B$106,0)),"",(((VLOOKUP($B45,'Forecast occupancies'!$C$28:$CP$64,28,TRUE)-1)*VLOOKUP($B45,'A1.3.2'!$B$27:$AY$106,36,)+VLOOKUP($B45,'A1.3.2'!$B$27:$AY$106,35,))*$CR$5))</f>
        <v>24.811563349377746</v>
      </c>
      <c r="AE45" s="1565">
        <f>IF(ISERROR(MATCH($B45,'A1.3.2'!$B$27:$B$106,0)),"",VLOOKUP($B45,'Forecast occupancies'!$C$28:$CP$64,29,TRUE)*VLOOKUP($B45,'A1.3.2'!$B$27:$AY$106,49,)*$CR$5)</f>
        <v>13.831204874837191</v>
      </c>
      <c r="AF45" s="1565">
        <f>IF(ISERROR(MATCH($B45,'A1.3.2'!$B$27:$B$106,0)),"",VLOOKUP($B45,'Forecast occupancies'!$C$28:$CP$64,30,TRUE)*VLOOKUP($B45,'A1.3.2'!$B$27:$AY$106,50,)*$CR$5)</f>
        <v>9.9585864667935056</v>
      </c>
      <c r="AG45" s="1566">
        <f>IF(ISERROR(MATCH($B45,'A1.3.2'!$B$27:$B$106,0)),"",(((AD45*'VoT5'!$F$28)+(AE45*'VoT5'!$F$29)+(AF45*'VoT5'!$F$30))/100))</f>
        <v>13.310335856688249</v>
      </c>
      <c r="AH45" s="1565">
        <f>IF(ISERROR(MATCH($B45,'A1.3.2'!$B$27:$B$106,0)),"",(VLOOKUP($B45,'Forecast occupancies'!$C$28:$CP$64,32,TRUE) * VLOOKUP($B45, 'A1.3.2'!$B$27:$AY$106,37,)) * $CR$5)</f>
        <v>17.87455876363958</v>
      </c>
      <c r="AI45" s="1565">
        <f>IF(ISERROR(MATCH($B45,'A1.3.2'!$B$27:$B$106,0)),"",VLOOKUP($B45,'Forecast occupancies'!$C$28:$CP$64,33,TRUE) * ('VoT5'!$J$29*VLOOKUP($B45, 'A1.3.2'!$B$27:$AY$106,49,)+'VoT5'!$J$30*VLOOKUP($B45, 'A1.3.2'!$B$27:$AY$106,50,))/('VoT5'!$J$29+'VoT5'!$J$30) * $CR$5)</f>
        <v>10.910997624703976</v>
      </c>
      <c r="AJ45" s="1566">
        <f>IF(ISERROR(MATCH($B45,'A1.3.2'!$B$27:$B$106,0)),"",(AH45*'VoT5'!$F$31 + AI45*'VoT5'!$F$32)/100)</f>
        <v>17.038931426967309</v>
      </c>
      <c r="AK45" s="1566">
        <f>IF(ISERROR(MATCH($B45,'A1.3.2'!$B$27:$B$106,0)),"",(VLOOKUP($B45,'Forecast occupancies'!$C$28:$CP$64,35,TRUE)*VLOOKUP($B45,'A1.3.2'!$B$27:$AY$106,38,)) * $CR$5)</f>
        <v>17.550444465070498</v>
      </c>
      <c r="AL45" s="1566">
        <f>IF(ISERROR(MATCH($B45,'A1.3.2'!$B$27:$B$106,0)),"",(VLOOKUP($B45,'Forecast occupancies'!$C$28:$CP$64,36,TRUE)*VLOOKUP($B45,'A1.3.2'!$B$27:$AY$106,38,)) * $CR$5)</f>
        <v>17.550444465070498</v>
      </c>
      <c r="AM45" s="1565">
        <f>IF(ISERROR(MATCH($B45,'A1.3.2'!$B$27:$B$106,0)),"",(((VLOOKUP($B45,'Forecast occupancies'!$C$28:$CP$64,37,TRUE) -1) * VLOOKUP($B45,'A1.3.2'!$B$27:$AY$106,40,)) + VLOOKUP($B45,'A1.3.2'!$B$27:$AY$106,39,)) * $CR$5)</f>
        <v>21.351669621816811</v>
      </c>
      <c r="AN45" s="1565">
        <f>IF(ISERROR(MATCH($B45,'A1.3.2'!$B$27:$B$106,0)),"",(VLOOKUP($B45,'Forecast occupancies'!$C$28:$CP$64,38,TRUE) * VLOOKUP($B45,'A1.3.2'!$B$27:$AY$106,49,)) * $CR$5)</f>
        <v>38.502376080418806</v>
      </c>
      <c r="AO45" s="1565">
        <f>IF(ISERROR(MATCH($B45,'A1.3.2'!$B$27:$B$106,0)),"",(VLOOKUP($B45,'Forecast occupancies'!$C$28:$CP$64,39,TRUE) * VLOOKUP($B45,'A1.3.2'!$B$27:$AY$106,50,)) * $CR$5)</f>
        <v>48.654241510538462</v>
      </c>
      <c r="AP45" s="1567">
        <f>IF(ISERROR(MATCH($B45,'A1.3.2'!$B$27:$B$106,0)),"",SUM(AM45:AO45))</f>
        <v>108.50828721277408</v>
      </c>
      <c r="AQ45" s="1609">
        <f>IF(ISERROR(MATCH($B45,'A1.3.2'!$B$27:$B$106,0)),"",(((VLOOKUP($B45,'Forecast occupancies'!$C$28:$CP$64,41,TRUE)-1)*VLOOKUP($B45,'A1.3.2'!$B$27:$AY$106,36,)+VLOOKUP($B45,'A1.3.2'!$B$27:$AY$106,35,))*$CR$5))</f>
        <v>25.281013564707997</v>
      </c>
      <c r="AR45" s="1565">
        <f>IF(ISERROR(MATCH($B45,'A1.3.2'!$B$27:$B$106,0)),"",VLOOKUP($B45,'Forecast occupancies'!$C$28:$CP$64,42,TRUE)*VLOOKUP($B45,'A1.3.2'!$B$27:$AY$106,49,)*$CR$5)</f>
        <v>14.033637730867682</v>
      </c>
      <c r="AS45" s="1565">
        <f>IF(ISERROR(MATCH($B45,'A1.3.2'!$B$27:$B$106,0)),"",VLOOKUP($B45,'Forecast occupancies'!$C$28:$CP$64,43,TRUE)*VLOOKUP($B45,'A1.3.2'!$B$27:$AY$106,50,)*$CR$5)</f>
        <v>9.9230321293849393</v>
      </c>
      <c r="AT45" s="1566">
        <f>IF(ISERROR(MATCH($B45,'A1.3.2'!$B$27:$B$106,0)),"",(((AQ45*'VoT5'!$G$28)+(AR45*'VoT5'!$G$29)+(AS45*'VoT5'!$G$30))/100))</f>
        <v>13.485297557556507</v>
      </c>
      <c r="AU45" s="1565">
        <f>IF(ISERROR(MATCH($B45,'A1.3.2'!$B$27:$B$106,0)),"",(VLOOKUP($B45,'Forecast occupancies'!$C$28:$CP$64,45,TRUE) * VLOOKUP($B45, 'A1.3.2'!$B$27:$AY$106,37,)) * $CR$5)</f>
        <v>17.87455876363958</v>
      </c>
      <c r="AV45" s="1565">
        <f>IF(ISERROR(MATCH($B45,'A1.3.2'!$B$27:$B$106,0)),"",VLOOKUP($B45,'Forecast occupancies'!$C$28:$CP$64,46,TRUE) * ('VoT5'!$J$29*VLOOKUP($B45, 'A1.3.2'!$B$27:$AY$106,49,)+'VoT5'!$J$30*VLOOKUP($B45, 'A1.3.2'!$B$27:$AY$106,50,))/('VoT5'!$J$29+'VoT5'!$J$30) * $CR$5)</f>
        <v>10.910997624703976</v>
      </c>
      <c r="AW45" s="1566">
        <f>IF(ISERROR(MATCH($B45,'A1.3.2'!$B$27:$B$106,0)),"",(AU45*'VoT5'!$G$31 + AV45*'VoT5'!$G$32)/100)</f>
        <v>17.038931426967309</v>
      </c>
      <c r="AX45" s="1566">
        <f>IF(ISERROR(MATCH($B45,'A1.3.2'!$B$27:$B$106,0)),"",(VLOOKUP($B45,'Forecast occupancies'!$C$28:$CP$64,48,TRUE)*VLOOKUP($B45,'A1.3.2'!$B$27:$AY$106,38,)) * $CR$5)</f>
        <v>17.550444465070498</v>
      </c>
      <c r="AY45" s="1566">
        <f>IF(ISERROR(MATCH($B45,'A1.3.2'!$B$27:$B$106,0)),"",(VLOOKUP($B45,'Forecast occupancies'!$C$28:$CP$64,49,TRUE)*VLOOKUP($B45,'A1.3.2'!$B$27:$AY$106,38,)) * $CR$5)</f>
        <v>17.550444465070498</v>
      </c>
      <c r="AZ45" s="1565">
        <f>IF(ISERROR(MATCH($B45,'A1.3.2'!$B$27:$B$106,0)),"",(((VLOOKUP($B45,'Forecast occupancies'!$C$28:$CP$64,50,TRUE) -1) * VLOOKUP($B45,'A1.3.2'!$B$27:$AY$106,40,)) + VLOOKUP($B45,'A1.3.2'!$B$27:$AY$106,39,)) * $CR$5)</f>
        <v>21.334403099828414</v>
      </c>
      <c r="BA45" s="1565">
        <f>IF(ISERROR(MATCH($B45,'A1.3.2'!$B$27:$B$106,0)),"",(VLOOKUP($B45,'Forecast occupancies'!$C$28:$CP$64,51,TRUE) * VLOOKUP($B45,'A1.3.2'!$B$27:$AY$106,49,)) * $CR$5)</f>
        <v>52.631791720774181</v>
      </c>
      <c r="BB45" s="1565">
        <f>IF(ISERROR(MATCH($B45,'A1.3.2'!$B$27:$B$106,0)),"",(VLOOKUP($B45,'Forecast occupancies'!$C$28:$CP$64,52,TRUE) * VLOOKUP($B45,'A1.3.2'!$B$27:$AY$106,50,)) * $CR$5)</f>
        <v>42.212977370980283</v>
      </c>
      <c r="BC45" s="1567">
        <f>IF(ISERROR(MATCH($B45,'A1.3.2'!$B$27:$B$106,0)),"",SUM(AZ45:BB45))</f>
        <v>116.17917219158288</v>
      </c>
      <c r="BD45" s="1565">
        <f>IF(ISERROR(MATCH($B45,'A1.3.2'!$B$27:$B$106,0)),"",(((VLOOKUP($B45,'Forecast occupancies'!$C$28:$CP$64,54,TRUE)-1)*VLOOKUP($B45,'A1.3.2'!$B$27:$AY$106,36,)+VLOOKUP($B45,'A1.3.2'!$B$27:$AY$106,35,))*$CR$5))</f>
        <v>24.855710311188737</v>
      </c>
      <c r="BE45" s="1565">
        <f>IF(ISERROR(MATCH($B45,'A1.3.2'!$B$27:$B$106,0)),"",VLOOKUP($B45,'Forecast occupancies'!$C$28:$CP$64,55,TRUE)*VLOOKUP($B45,'A1.3.2'!$B$27:$AY$106,49,)*$CR$5)</f>
        <v>13.87823108660756</v>
      </c>
      <c r="BF45" s="1565">
        <f>IF(ISERROR(MATCH($B45,'A1.3.2'!$B$27:$B$106,0)),"",VLOOKUP($B45,'Forecast occupancies'!$C$28:$CP$64,56,TRUE)*VLOOKUP($B45,'A1.3.2'!$B$27:$AY$106,50,)*$CR$5)</f>
        <v>9.9476873886538222</v>
      </c>
      <c r="BG45" s="1566">
        <f>IF(ISERROR(MATCH($B45,'A1.3.2'!$B$27:$B$106,0)),"",(((BD45*'VoT5'!$H$28)+(BE45*'VoT5'!$H$29)+(BF45*'VoT5'!$H$30))/100))</f>
        <v>13.388181481437982</v>
      </c>
      <c r="BH45" s="1565">
        <f>IF(ISERROR(MATCH($B45,'A1.3.2'!$B$27:$B$106,0)),"",(VLOOKUP($B45,'Forecast occupancies'!$C$28:$CP$64,58,TRUE) * VLOOKUP($B45, 'A1.3.2'!$B$27:$AY$106,37,)) * $CR$5)</f>
        <v>17.87455876363958</v>
      </c>
      <c r="BI45" s="1565">
        <f>IF(ISERROR(MATCH($B45,'A1.3.2'!$B$27:$B$106,0)),"",(VLOOKUP($B45,'Forecast occupancies'!$C$28:$CP$64,59,TRUE) * (VLOOKUP($B45,'A1.3.2'!$B$27:$AY$106,49,) * 'VoT5'!$J$29 + VLOOKUP($B45,'A1.3.2'!$B$27:$AY$106,50,) * 'VoT5'!$J$30) / (SUM('VoT5'!$J$29:$J$30))) * $CR$5)</f>
        <v>10.910997624703976</v>
      </c>
      <c r="BJ45" s="1566">
        <f>IF(ISERROR(MATCH($B45,'A1.3.2'!$B$27:$B$106,0)),"",(BH45*'VoT5'!$H$31 + BI45*'VoT5'!$H$32)/100)</f>
        <v>17.038931426967309</v>
      </c>
      <c r="BK45" s="1566">
        <f>IF(ISERROR(MATCH($B45,'A1.3.2'!$B$27:$B$106,0)),"",(VLOOKUP($B45,'Forecast occupancies'!$C$28:$CP$64,61,TRUE)*VLOOKUP($B45,'A1.3.2'!$B$27:$AY$106,38,)) * $CR$5)</f>
        <v>17.550444465070498</v>
      </c>
      <c r="BL45" s="1566">
        <f>IF(ISERROR(MATCH($B45,'A1.3.2'!$B$27:$B$106,0)),"",(VLOOKUP($B45,'Forecast occupancies'!$C$28:$CP$64,62,TRUE)*VLOOKUP($B45,'A1.3.2'!$B$27:$AY$106,38,)) * $CR$5)</f>
        <v>17.550444465070498</v>
      </c>
      <c r="BM45" s="1565">
        <f>IF(ISERROR(MATCH($B45,'A1.3.2'!$B$27:$B$106,0)),"",(((VLOOKUP($B45,'Forecast occupancies'!$C$28:$CP$64,63,TRUE) -1) * VLOOKUP($B45,'A1.3.2'!$B$27:$AY$106,40,)) + VLOOKUP($B45,'A1.3.2'!$B$27:$AY$106,39,)) * $CR$5)</f>
        <v>20.570445029160783</v>
      </c>
      <c r="BN45" s="1565">
        <f>IF(ISERROR(MATCH($B45,'A1.3.2'!$B$27:$B$106,0)),"",(VLOOKUP($B45,'Forecast occupancies'!$C$28:$CP$64,64,TRUE) * VLOOKUP($B45,'A1.3.2'!$B$27:$AY$106,49,)) * $CR$5)</f>
        <v>23.759754032418297</v>
      </c>
      <c r="BO45" s="1565">
        <f>IF(ISERROR(MATCH($B45,'A1.3.2'!$B$27:$B$106,0)),"",(VLOOKUP($B45,'Forecast occupancies'!$C$28:$CP$64,65,TRUE) * VLOOKUP($B45,'A1.3.2'!$B$27:$AY$106,50,)) * $CR$5)</f>
        <v>55.737267464273714</v>
      </c>
      <c r="BP45" s="1567">
        <f>IF(ISERROR(MATCH($B45,'A1.3.2'!$B$27:$B$106,0)),"",SUM(BM45:BO45))</f>
        <v>100.06746652585279</v>
      </c>
      <c r="BQ45" s="1565">
        <f>IF(ISERROR(MATCH($B45,'A1.3.2'!$B$27:$B$106,0)),"",(((VLOOKUP($B45,'Forecast occupancies'!$C$28:$CP$64,67,TRUE)-1)*VLOOKUP($B45,'A1.3.2'!$B$27:$AY$106,36,)+VLOOKUP($B45,'A1.3.2'!$B$27:$AY$106,35,))*$CR$5))</f>
        <v>28.406965348667118</v>
      </c>
      <c r="BR45" s="1565">
        <f>IF(ISERROR(MATCH($B45,'A1.3.2'!$B$27:$B$106,0)),"",VLOOKUP($B45,'Forecast occupancies'!$C$28:$CP$64,68,TRUE)*VLOOKUP($B45,'A1.3.2'!$B$27:$AY$106,49,)*$CR$5)</f>
        <v>14.693603977934679</v>
      </c>
      <c r="BS45" s="1565">
        <f>IF(ISERROR(MATCH($B45,'A1.3.2'!$B$27:$B$106,0)),"",VLOOKUP($B45,'Forecast occupancies'!$C$28:$CP$64,69,TRUE)*VLOOKUP($B45,'A1.3.2'!$B$27:$AY$106,50,)*$CR$5)</f>
        <v>11.778301669547091</v>
      </c>
      <c r="BT45" s="1566">
        <f>IF(ISERROR(MATCH($B45,'A1.3.2'!$B$27:$B$106,0)),"",(((BQ45*'VoT5'!$I$28)+(BR45*'VoT5'!$I$29)+(BS45*'VoT5'!$I$30))/100))</f>
        <v>12.58585812600162</v>
      </c>
      <c r="BU45" s="1565">
        <f>IF(ISERROR(MATCH($B45,'A1.3.2'!$B$27:$B$106,0)),"",(VLOOKUP($B45,'Forecast occupancies'!$C$28:$CP$64,71,TRUE) * VLOOKUP($B45, 'A1.3.2'!$B$27:$AY$106,37,)) * $CR$5)</f>
        <v>18.768286701821559</v>
      </c>
      <c r="BV45" s="1565">
        <f>IF(ISERROR(MATCH($B45,'A1.3.2'!$B$27:$B$106,0)),"",(VLOOKUP($B45,'Forecast occupancies'!$C$28:$CP$64,72,TRUE) * (VLOOKUP($B45,'A1.3.2'!$B$27:$AY$106,49,)*'VoT5'!$J$29 + VLOOKUP($B45,'A1.3.2'!$B$27:$AY$106,50,)*'VoT5'!$J$30) / (SUM('VoT5'!$J$29:$J$30))) * $CR$5)</f>
        <v>15.170770669965114</v>
      </c>
      <c r="BW45" s="1566">
        <f>IF(ISERROR(MATCH($B45,'A1.3.2'!$B$27:$B$106,0)),"",(BU45*'VoT5'!$I$31 + BV45*'VoT5'!$I$32)/100)</f>
        <v>18.336584777998787</v>
      </c>
      <c r="BX45" s="1566">
        <f>IF(ISERROR(MATCH($B45,'A1.3.2'!$B$27:$B$106,0)),"",(VLOOKUP($B45,'Forecast occupancies'!$C$28:$CP$64,74,TRUE)*VLOOKUP($B45,'A1.3.2'!$B$27:$AY$106,38,)) * $CR$5)</f>
        <v>17.550444465070498</v>
      </c>
      <c r="BY45" s="1566">
        <f>IF(ISERROR(MATCH($B45,'A1.3.2'!$B$27:$B$106,0)),"",(VLOOKUP($B45,'Forecast occupancies'!$C$28:$CP$64,75,TRUE)*VLOOKUP($B45,'A1.3.2'!$B$27:$AY$106,38,)) * $CR$5)</f>
        <v>17.550444465070498</v>
      </c>
      <c r="BZ45" s="1565">
        <f>IF(ISERROR(MATCH($B45,'A1.3.2'!$B$27:$B$106,0)),"",(((VLOOKUP($B45,'Forecast occupancies'!$C$28:$CP$64,76,TRUE) -1) * VLOOKUP($B45,'A1.3.2'!$B$27:$AY$106,40,)) + VLOOKUP($B45,'A1.3.2'!$B$27:$AY$106,39,)) * $CR$5)</f>
        <v>18.734209722414302</v>
      </c>
      <c r="CA45" s="1565">
        <f>IF(ISERROR(MATCH($B45,'A1.3.2'!$B$27:$B$106,0)),"",(VLOOKUP($B45,'Forecast occupancies'!$C$28:$CP$64,77,TRUE) * VLOOKUP($B45,'A1.3.2'!$B$27:$AY$106,49,)) * $CR$5)</f>
        <v>9.0011116567440581</v>
      </c>
      <c r="CB45" s="1565">
        <f>IF(ISERROR(MATCH($B45,'A1.3.2'!$B$27:$B$106,0)),"",(VLOOKUP($B45,'Forecast occupancies'!$C$28:$CP$64,78,TRUE) * VLOOKUP($B45,'A1.3.2'!$B$27:$AY$106,50,)) * $CR$5)</f>
        <v>63.305736212856146</v>
      </c>
      <c r="CC45" s="1567">
        <f>IF(ISERROR(MATCH($B45,'A1.3.2'!$B$27:$B$106,0)),"",SUM(BZ45:CB45))</f>
        <v>91.041057592014511</v>
      </c>
      <c r="CD45" s="1565">
        <f>IF(ISERROR(MATCH($B45,'A1.3.2'!$B$27:$B$106,0)),"",(((VLOOKUP($B45,'Forecast occupancies'!$C$28:$CP$64,80,TRUE)-1)*VLOOKUP($B45,'A1.3.2'!$B$27:$AY$106,36,)+VLOOKUP($B45,'A1.3.2'!$B$27:$AY$106,35,))*$CR$5))</f>
        <v>25.107788328072637</v>
      </c>
      <c r="CE45" s="1565">
        <f>IF(ISERROR(MATCH($B45,'A1.3.2'!$B$27:$B$106,0)),"",VLOOKUP($B45,'Forecast occupancies'!$C$28:$CP$64,81,TRUE)*VLOOKUP($B45,'A1.3.2'!$B$27:$AY$106,49,)*$CR$5)</f>
        <v>13.944195290986377</v>
      </c>
      <c r="CF45" s="1565">
        <f>IF(ISERROR(MATCH($B45,'A1.3.2'!$B$27:$B$106,0)),"",VLOOKUP($B45,'Forecast occupancies'!$C$28:$CP$64,82,TRUE)*VLOOKUP($B45,'A1.3.2'!$B$27:$AY$106,50,)*$CR$5)</f>
        <v>10.59365336464907</v>
      </c>
      <c r="CG45" s="1566">
        <f>IF(ISERROR(MATCH($B45,'A1.3.2'!$B$27:$B$106,0)),"",(((CD45*'VoT5'!$J$28)+(CE45*'VoT5'!$J$29)+(CF45*'VoT5'!$J$30))/100))</f>
        <v>13.197954424154286</v>
      </c>
      <c r="CH45" s="1565">
        <f>IF(ISERROR(MATCH($B45,'A1.3.2'!$B$27:$B$106,0)),"",(VLOOKUP($B45,'Forecast occupancies'!$C$28:$CP$64,84,TRUE) * VLOOKUP($B45, 'A1.3.2'!$B$27:$AY$106,37,)) * $CR$5)</f>
        <v>17.87455876363958</v>
      </c>
      <c r="CI45" s="1565">
        <f>IF(ISERROR(MATCH($B45,'A1.3.2'!$B$27:$B$106,0)),"",(VLOOKUP($B45,'Forecast occupancies'!$C$28:$CP$64,85,TRUE) * (VLOOKUP($B45,'A1.3.2'!$B$27:$AY$106,49,)*'VoT5'!$J$29 + VLOOKUP($B45,'A1.3.2'!$B$27:$AY$106,50,)*'VoT5'!$J$30) / (SUM('VoT5'!$J$29:$J$30))) * $CR$5)</f>
        <v>11.88252481046529</v>
      </c>
      <c r="CJ45" s="1566">
        <f>IF(ISERROR(MATCH($B45,'A1.3.2'!$B$27:$B$106,0)),"",(CH45*'VoT5'!$J$31 + CI45*'VoT5'!$J$32)/100)</f>
        <v>17.155514689258666</v>
      </c>
      <c r="CK45" s="1566">
        <f>IF(ISERROR(MATCH($B45,'A1.3.2'!$B$27:$B$106,0)),"",(VLOOKUP($B45,'Forecast occupancies'!$C$28:$CP$64,87,TRUE)*VLOOKUP($B45,'A1.3.2'!$B$27:$AY$106,38,)) * $CR$5)</f>
        <v>17.550444465070498</v>
      </c>
      <c r="CL45" s="1566">
        <f>IF(ISERROR(MATCH($B45,'A1.3.2'!$B$27:$B$106,0)),"",(VLOOKUP($B45,'Forecast occupancies'!$C$28:$CP$64,88,TRUE)*VLOOKUP($B45,'A1.3.2'!$B$27:$AY$106,38,)) * $CR$5)</f>
        <v>17.550444465070498</v>
      </c>
      <c r="CM45" s="1565">
        <f>IF(ISERROR(MATCH($B45,'A1.3.2'!$B$27:$B$106,0)),"",(((VLOOKUP($B45,'Forecast occupancies'!$C$28:$CP$64,89,TRUE) -1) * VLOOKUP($B45,'A1.3.2'!$B$27:$AY$106,40,)) + VLOOKUP($B45,'A1.3.2'!$B$27:$AY$106,39,)) * $CR$5)</f>
        <v>20.11700342941846</v>
      </c>
      <c r="CN45" s="1565">
        <f>IF(ISERROR(MATCH($B45,'A1.3.2'!$B$27:$B$106,0)),"",(VLOOKUP($B45,'Forecast occupancies'!$C$28:$CP$64,90,TRUE) * VLOOKUP($B45,'A1.3.2'!$B$27:$AY$106,49,)) * $CR$5)</f>
        <v>20.114539260987343</v>
      </c>
      <c r="CO45" s="1565">
        <f>IF(ISERROR(MATCH($B45,'A1.3.2'!$B$27:$B$106,0)),"",(VLOOKUP($B45,'Forecast occupancies'!$C$28:$CP$64,91,TRUE) * VLOOKUP($B45,'A1.3.2'!$B$27:$AY$106,50,)) * $CR$5)</f>
        <v>57.60655251812684</v>
      </c>
      <c r="CP45" s="1567">
        <f>IF(ISERROR(MATCH($B45,'A1.3.2'!$B$27:$B$106,0)),"",SUM(CM45:CO45))</f>
        <v>97.83809520853265</v>
      </c>
    </row>
    <row r="46" spans="1:94" s="26" customFormat="1" ht="13.5" customHeight="1">
      <c r="A46" s="113"/>
      <c r="B46" s="82">
        <f t="shared" si="0"/>
        <v>2028</v>
      </c>
      <c r="D46" s="1609">
        <f>IF(ISERROR(MATCH($B46,'A1.3.2'!$B$27:$B$106,0)),"",(((VLOOKUP($B46,'Forecast occupancies'!$C$28:$CP$64,2,TRUE) -1) * VLOOKUP($B46,'A1.3.2'!$B$27:$AY$106,36,) + VLOOKUP($B46,'A1.3.2'!$B$27:$AY$106,35,)) * $CR$5))</f>
        <v>24.88863463180634</v>
      </c>
      <c r="E46" s="1565">
        <f>IF(ISERROR(MATCH($B46,'A1.3.2'!$B$27:$B$106,0)),"",VLOOKUP($B46,'Forecast occupancies'!$C$28:$CP$64,3,TRUE)*VLOOKUP($B46,'A1.3.2'!$B$27:$AY$106,49,)*$CR$5)</f>
        <v>14.026012946508754</v>
      </c>
      <c r="F46" s="1565">
        <f>IF(ISERROR(MATCH($B46,'A1.3.2'!$B$27:$B$106,0)),"",VLOOKUP($B46,'Forecast occupancies'!$C$28:$CP$64,4,TRUE)*VLOOKUP($B46,'A1.3.2'!$B$27:$AY$106,50,)*$CR$5)</f>
        <v>9.6768622941870355</v>
      </c>
      <c r="G46" s="1566">
        <f>IF(ISERROR(MATCH($B46,'A1.3.2'!$B$27:$B$106,0)),"",(((D46*'VoT5'!$D$28)+(E46*'VoT5'!$D$29)+(F46*'VoT5'!$D$30))/100))</f>
        <v>14.097045148391397</v>
      </c>
      <c r="H46" s="1565">
        <f>IF(ISERROR(MATCH($B46,'A1.3.2'!$B$27:$B$106,0)),"",(VLOOKUP($B46,'Forecast occupancies'!$C$28:$CP$64,6,TRUE) * VLOOKUP($B46, 'A1.3.2'!$B$27:$AY$106,37,)) * $CR$5)</f>
        <v>18.188840309950134</v>
      </c>
      <c r="I46" s="1565">
        <f>IF(ISERROR(MATCH($B46,'A1.3.2'!$B$27:$B$106,0)),"",VLOOKUP($B46,'Forecast occupancies'!$C$28:$CP$64,7,TRUE) * ('VoT5'!$J$29*VLOOKUP($B46, 'A1.3.2'!$B$27:$AY$106,49,)+'VoT5'!$J$30*VLOOKUP($B46, 'A1.3.2'!$B$27:$AY$106,50,))/('VoT5'!$J$29+'VoT5'!$J$30) * $CR$5)</f>
        <v>11.102841532608334</v>
      </c>
      <c r="J46" s="1566">
        <f>IF(ISERROR(MATCH($B46,'A1.3.2'!$B$27:$B$106,0)),"",(H46*'VoT5'!$D$31 + I46*'VoT5'!$D$32)/100)</f>
        <v>17.338520456669119</v>
      </c>
      <c r="K46" s="1566">
        <f>IF(ISERROR(MATCH($B46,'A1.3.2'!$B$27:$B$106,0)),"",(VLOOKUP($B46,'Forecast occupancies'!$C$28:$CP$64,9,TRUE)*VLOOKUP($B46,'A1.3.2'!$B$27:$AY$106,38,)) * $CR$5)</f>
        <v>17.859027233342243</v>
      </c>
      <c r="L46" s="1566">
        <f>IF(ISERROR(MATCH($B46,'A1.3.2'!$B$27:$B$106,0)),"",(VLOOKUP($B46,'Forecast occupancies'!$C$28:$CP$64,10,TRUE)*VLOOKUP($B46,'A1.3.2'!$B$27:$AY$106,38,)) * $CR$5)</f>
        <v>17.859027233342243</v>
      </c>
      <c r="M46" s="1565">
        <f>IF(ISERROR(MATCH($B46,'A1.3.2'!$B$27:$B$106,0)),"",(((VLOOKUP($B46,'Forecast occupancies'!$C$28:$CP$64,11,TRUE) -1) * VLOOKUP($B46,'A1.3.2'!$B$27:$AY$106,40,)) + VLOOKUP($B46,'A1.3.2'!$B$27:$AY$106,39,)) * $CR$5)</f>
        <v>20.350522998116642</v>
      </c>
      <c r="N46" s="1565">
        <f>IF(ISERROR(MATCH($B46,'A1.3.2'!$B$27:$B$106,0)),"",(VLOOKUP($B46,'Forecast occupancies'!$C$28:$CP$64,12,TRUE) * VLOOKUP($B46,'A1.3.2'!$B$27:$AY$106,49,)) * $CR$5)</f>
        <v>27.858343724331561</v>
      </c>
      <c r="O46" s="1565">
        <f>IF(ISERROR(MATCH($B46,'A1.3.2'!$B$27:$B$106,0)),"",(VLOOKUP($B46,'Forecast occupancies'!$C$28:$CP$64,13,TRUE) * VLOOKUP($B46,'A1.3.2'!$B$27:$AY$106,50,)) * $CR$5)</f>
        <v>55.300815794075682</v>
      </c>
      <c r="P46" s="1567">
        <f>IF(ISERROR(MATCH($B46,'A1.3.2'!$B$27:$B$106,0)),"",SUM(M46:O46))</f>
        <v>103.5096825165239</v>
      </c>
      <c r="Q46" s="1609">
        <f>IF(ISERROR(MATCH($B46,'A1.3.2'!$B$27:$B$106,0)),"",(((VLOOKUP($B46,'Forecast occupancies'!$C$28:$CP$64,15,TRUE)-1)*VLOOKUP($B46,'A1.3.2'!$B$27:$AY$106,36,)+VLOOKUP($B46,'A1.3.2'!$B$27:$AY$106,35,))*$CR$5))</f>
        <v>25.503946645175063</v>
      </c>
      <c r="R46" s="1565">
        <f>IF(ISERROR(MATCH($B46,'A1.3.2'!$B$27:$B$106,0)),"",VLOOKUP($B46,'Forecast occupancies'!$C$28:$CP$64,16,TRUE)*VLOOKUP($B46,'A1.3.2'!$B$27:$AY$106,49,)*$CR$5)</f>
        <v>14.254077224949102</v>
      </c>
      <c r="S46" s="1565">
        <f>IF(ISERROR(MATCH($B46,'A1.3.2'!$B$27:$B$106,0)),"",VLOOKUP($B46,'Forecast occupancies'!$C$28:$CP$64,17,TRUE)*VLOOKUP($B46,'A1.3.2'!$B$27:$AY$106,50,)*$CR$5)</f>
        <v>10.308144212726972</v>
      </c>
      <c r="T46" s="1566">
        <f>IF(ISERROR(MATCH($B46,'A1.3.2'!$B$27:$B$106,0)),"",(((Q46*'VoT5'!$E$28)+(R46*'VoT5'!$E$29)+(S46*'VoT5'!$E$30))/100))</f>
        <v>13.276732922685069</v>
      </c>
      <c r="U46" s="1565">
        <f>IF(ISERROR(MATCH($B46,'A1.3.2'!$B$27:$B$106,0)),"",(VLOOKUP($B46,'Forecast occupancies'!$C$28:$CP$64,19,TRUE) * VLOOKUP($B46, 'A1.3.2'!$B$27:$AY$106,37,)) * $CR$5)</f>
        <v>18.188840309950134</v>
      </c>
      <c r="V46" s="1565">
        <f>IF(ISERROR(MATCH($B46,'A1.3.2'!$B$27:$B$106,0)),"",VLOOKUP($B46,'Forecast occupancies'!$C$28:$CP$64,20,TRUE) * ('VoT5'!$J$29*VLOOKUP($B46, 'A1.3.2'!$B$27:$AY$106,49,)+'VoT5'!$J$30*VLOOKUP($B46, 'A1.3.2'!$B$27:$AY$106,50,))/('VoT5'!$J$29+'VoT5'!$J$30) * $CR$5)</f>
        <v>11.102841532608334</v>
      </c>
      <c r="W46" s="1566">
        <f>IF(ISERROR(MATCH($B46,'A1.3.2'!$B$27:$B$106,0)),"",(U46*'VoT5'!$E$31 + V46*'VoT5'!$E$32)/100)</f>
        <v>17.338520456669119</v>
      </c>
      <c r="X46" s="1566">
        <f>IF(ISERROR(MATCH($B46,'A1.3.2'!$B$27:$B$106,0)),"",(VLOOKUP($B46,'Forecast occupancies'!$C$28:$CP$64,22,TRUE)*VLOOKUP($B46,'A1.3.2'!$B$27:$AY$106,38,)) * $CR$5)</f>
        <v>17.859027233342243</v>
      </c>
      <c r="Y46" s="1566">
        <f>IF(ISERROR(MATCH($B46,'A1.3.2'!$B$27:$B$106,0)),"",(VLOOKUP($B46,'Forecast occupancies'!$C$28:$CP$64,23,TRUE)*VLOOKUP($B46,'A1.3.2'!$B$27:$AY$106,38,)) * $CR$5)</f>
        <v>17.859027233342243</v>
      </c>
      <c r="Z46" s="1565">
        <f>IF(ISERROR(MATCH($B46,'A1.3.2'!$B$27:$B$106,0)),"",(((VLOOKUP($B46,'Forecast occupancies'!$C$28:$CP$64,24,TRUE) -1) * VLOOKUP($B46,'A1.3.2'!$B$27:$AY$106,40,)) + VLOOKUP($B46,'A1.3.2'!$B$27:$AY$106,39,)) * $CR$5)</f>
        <v>20.765895269737534</v>
      </c>
      <c r="AA46" s="1565">
        <f>IF(ISERROR(MATCH($B46,'A1.3.2'!$B$27:$B$106,0)),"",(VLOOKUP($B46,'Forecast occupancies'!$C$28:$CP$64,25,TRUE) * VLOOKUP($B46,'A1.3.2'!$B$27:$AY$106,49,)) * $CR$5)</f>
        <v>9.7634629807978985</v>
      </c>
      <c r="AB46" s="1565">
        <f>IF(ISERROR(MATCH($B46,'A1.3.2'!$B$27:$B$106,0)),"",(VLOOKUP($B46,'Forecast occupancies'!$C$28:$CP$64,26,TRUE) * VLOOKUP($B46,'A1.3.2'!$B$27:$AY$106,50,)) * $CR$5)</f>
        <v>63.37161576775749</v>
      </c>
      <c r="AC46" s="1567">
        <f>IF(ISERROR(MATCH($B46,'A1.3.2'!$B$27:$B$106,0)),"",SUM(Z46:AB46))</f>
        <v>93.900974018292914</v>
      </c>
      <c r="AD46" s="1609">
        <f>IF(ISERROR(MATCH($B46,'A1.3.2'!$B$27:$B$106,0)),"",(((VLOOKUP($B46,'Forecast occupancies'!$C$28:$CP$64,28,TRUE)-1)*VLOOKUP($B46,'A1.3.2'!$B$27:$AY$106,36,)+VLOOKUP($B46,'A1.3.2'!$B$27:$AY$106,35,))*$CR$5))</f>
        <v>25.247815600352858</v>
      </c>
      <c r="AE46" s="1565">
        <f>IF(ISERROR(MATCH($B46,'A1.3.2'!$B$27:$B$106,0)),"",VLOOKUP($B46,'Forecast occupancies'!$C$28:$CP$64,29,TRUE)*VLOOKUP($B46,'A1.3.2'!$B$27:$AY$106,49,)*$CR$5)</f>
        <v>14.074393672551425</v>
      </c>
      <c r="AF46" s="1565">
        <f>IF(ISERROR(MATCH($B46,'A1.3.2'!$B$27:$B$106,0)),"",VLOOKUP($B46,'Forecast occupancies'!$C$28:$CP$64,30,TRUE)*VLOOKUP($B46,'A1.3.2'!$B$27:$AY$106,50,)*$CR$5)</f>
        <v>10.133684492721724</v>
      </c>
      <c r="AG46" s="1566">
        <f>IF(ISERROR(MATCH($B46,'A1.3.2'!$B$27:$B$106,0)),"",(((AD46*'VoT5'!$F$28)+(AE46*'VoT5'!$F$29)+(AF46*'VoT5'!$F$30))/100))</f>
        <v>13.544366413205385</v>
      </c>
      <c r="AH46" s="1565">
        <f>IF(ISERROR(MATCH($B46,'A1.3.2'!$B$27:$B$106,0)),"",(VLOOKUP($B46,'Forecast occupancies'!$C$28:$CP$64,32,TRUE) * VLOOKUP($B46, 'A1.3.2'!$B$27:$AY$106,37,)) * $CR$5)</f>
        <v>18.188840309950134</v>
      </c>
      <c r="AI46" s="1565">
        <f>IF(ISERROR(MATCH($B46,'A1.3.2'!$B$27:$B$106,0)),"",VLOOKUP($B46,'Forecast occupancies'!$C$28:$CP$64,33,TRUE) * ('VoT5'!$J$29*VLOOKUP($B46, 'A1.3.2'!$B$27:$AY$106,49,)+'VoT5'!$J$30*VLOOKUP($B46, 'A1.3.2'!$B$27:$AY$106,50,))/('VoT5'!$J$29+'VoT5'!$J$30) * $CR$5)</f>
        <v>11.102841532608334</v>
      </c>
      <c r="AJ46" s="1566">
        <f>IF(ISERROR(MATCH($B46,'A1.3.2'!$B$27:$B$106,0)),"",(AH46*'VoT5'!$F$31 + AI46*'VoT5'!$F$32)/100)</f>
        <v>17.338520456669119</v>
      </c>
      <c r="AK46" s="1566">
        <f>IF(ISERROR(MATCH($B46,'A1.3.2'!$B$27:$B$106,0)),"",(VLOOKUP($B46,'Forecast occupancies'!$C$28:$CP$64,35,TRUE)*VLOOKUP($B46,'A1.3.2'!$B$27:$AY$106,38,)) * $CR$5)</f>
        <v>17.859027233342243</v>
      </c>
      <c r="AL46" s="1566">
        <f>IF(ISERROR(MATCH($B46,'A1.3.2'!$B$27:$B$106,0)),"",(VLOOKUP($B46,'Forecast occupancies'!$C$28:$CP$64,36,TRUE)*VLOOKUP($B46,'A1.3.2'!$B$27:$AY$106,38,)) * $CR$5)</f>
        <v>17.859027233342243</v>
      </c>
      <c r="AM46" s="1565">
        <f>IF(ISERROR(MATCH($B46,'A1.3.2'!$B$27:$B$106,0)),"",(((VLOOKUP($B46,'Forecast occupancies'!$C$28:$CP$64,37,TRUE) -1) * VLOOKUP($B46,'A1.3.2'!$B$27:$AY$106,40,)) + VLOOKUP($B46,'A1.3.2'!$B$27:$AY$106,39,)) * $CR$5)</f>
        <v>21.727087881578672</v>
      </c>
      <c r="AN46" s="1565">
        <f>IF(ISERROR(MATCH($B46,'A1.3.2'!$B$27:$B$106,0)),"",(VLOOKUP($B46,'Forecast occupancies'!$C$28:$CP$64,38,TRUE) * VLOOKUP($B46,'A1.3.2'!$B$27:$AY$106,49,)) * $CR$5)</f>
        <v>39.179348667613496</v>
      </c>
      <c r="AO46" s="1565">
        <f>IF(ISERROR(MATCH($B46,'A1.3.2'!$B$27:$B$106,0)),"",(VLOOKUP($B46,'Forecast occupancies'!$C$28:$CP$64,39,TRUE) * VLOOKUP($B46,'A1.3.2'!$B$27:$AY$106,50,)) * $CR$5)</f>
        <v>49.509710473923697</v>
      </c>
      <c r="AP46" s="1567">
        <f>IF(ISERROR(MATCH($B46,'A1.3.2'!$B$27:$B$106,0)),"",SUM(AM46:AO46))</f>
        <v>110.41614702311585</v>
      </c>
      <c r="AQ46" s="1609">
        <f>IF(ISERROR(MATCH($B46,'A1.3.2'!$B$27:$B$106,0)),"",(((VLOOKUP($B46,'Forecast occupancies'!$C$28:$CP$64,41,TRUE)-1)*VLOOKUP($B46,'A1.3.2'!$B$27:$AY$106,36,)+VLOOKUP($B46,'A1.3.2'!$B$27:$AY$106,35,))*$CR$5))</f>
        <v>25.725519979690219</v>
      </c>
      <c r="AR46" s="1565">
        <f>IF(ISERROR(MATCH($B46,'A1.3.2'!$B$27:$B$106,0)),"",VLOOKUP($B46,'Forecast occupancies'!$C$28:$CP$64,42,TRUE)*VLOOKUP($B46,'A1.3.2'!$B$27:$AY$106,49,)*$CR$5)</f>
        <v>14.280385828246796</v>
      </c>
      <c r="AS46" s="1565">
        <f>IF(ISERROR(MATCH($B46,'A1.3.2'!$B$27:$B$106,0)),"",VLOOKUP($B46,'Forecast occupancies'!$C$28:$CP$64,43,TRUE)*VLOOKUP($B46,'A1.3.2'!$B$27:$AY$106,50,)*$CR$5)</f>
        <v>10.097505016965041</v>
      </c>
      <c r="AT46" s="1566">
        <f>IF(ISERROR(MATCH($B46,'A1.3.2'!$B$27:$B$106,0)),"",(((AQ46*'VoT5'!$G$28)+(AR46*'VoT5'!$G$29)+(AS46*'VoT5'!$G$30))/100))</f>
        <v>13.722404398899529</v>
      </c>
      <c r="AU46" s="1565">
        <f>IF(ISERROR(MATCH($B46,'A1.3.2'!$B$27:$B$106,0)),"",(VLOOKUP($B46,'Forecast occupancies'!$C$28:$CP$64,45,TRUE) * VLOOKUP($B46, 'A1.3.2'!$B$27:$AY$106,37,)) * $CR$5)</f>
        <v>18.188840309950134</v>
      </c>
      <c r="AV46" s="1565">
        <f>IF(ISERROR(MATCH($B46,'A1.3.2'!$B$27:$B$106,0)),"",VLOOKUP($B46,'Forecast occupancies'!$C$28:$CP$64,46,TRUE) * ('VoT5'!$J$29*VLOOKUP($B46, 'A1.3.2'!$B$27:$AY$106,49,)+'VoT5'!$J$30*VLOOKUP($B46, 'A1.3.2'!$B$27:$AY$106,50,))/('VoT5'!$J$29+'VoT5'!$J$30) * $CR$5)</f>
        <v>11.102841532608334</v>
      </c>
      <c r="AW46" s="1566">
        <f>IF(ISERROR(MATCH($B46,'A1.3.2'!$B$27:$B$106,0)),"",(AU46*'VoT5'!$G$31 + AV46*'VoT5'!$G$32)/100)</f>
        <v>17.338520456669119</v>
      </c>
      <c r="AX46" s="1566">
        <f>IF(ISERROR(MATCH($B46,'A1.3.2'!$B$27:$B$106,0)),"",(VLOOKUP($B46,'Forecast occupancies'!$C$28:$CP$64,48,TRUE)*VLOOKUP($B46,'A1.3.2'!$B$27:$AY$106,38,)) * $CR$5)</f>
        <v>17.859027233342243</v>
      </c>
      <c r="AY46" s="1566">
        <f>IF(ISERROR(MATCH($B46,'A1.3.2'!$B$27:$B$106,0)),"",(VLOOKUP($B46,'Forecast occupancies'!$C$28:$CP$64,49,TRUE)*VLOOKUP($B46,'A1.3.2'!$B$27:$AY$106,38,)) * $CR$5)</f>
        <v>17.859027233342243</v>
      </c>
      <c r="AZ46" s="1565">
        <f>IF(ISERROR(MATCH($B46,'A1.3.2'!$B$27:$B$106,0)),"",(((VLOOKUP($B46,'Forecast occupancies'!$C$28:$CP$64,50,TRUE) -1) * VLOOKUP($B46,'A1.3.2'!$B$27:$AY$106,40,)) + VLOOKUP($B46,'A1.3.2'!$B$27:$AY$106,39,)) * $CR$5)</f>
        <v>21.709517768922574</v>
      </c>
      <c r="BA46" s="1565">
        <f>IF(ISERROR(MATCH($B46,'A1.3.2'!$B$27:$B$106,0)),"",(VLOOKUP($B46,'Forecast occupancies'!$C$28:$CP$64,51,TRUE) * VLOOKUP($B46,'A1.3.2'!$B$27:$AY$106,49,)) * $CR$5)</f>
        <v>53.557196431784341</v>
      </c>
      <c r="BB46" s="1565">
        <f>IF(ISERROR(MATCH($B46,'A1.3.2'!$B$27:$B$106,0)),"",(VLOOKUP($B46,'Forecast occupancies'!$C$28:$CP$64,52,TRUE) * VLOOKUP($B46,'A1.3.2'!$B$27:$AY$106,50,)) * $CR$5)</f>
        <v>42.955192044805486</v>
      </c>
      <c r="BC46" s="1567">
        <f>IF(ISERROR(MATCH($B46,'A1.3.2'!$B$27:$B$106,0)),"",SUM(AZ46:BB46))</f>
        <v>118.2219062455124</v>
      </c>
      <c r="BD46" s="1565">
        <f>IF(ISERROR(MATCH($B46,'A1.3.2'!$B$27:$B$106,0)),"",(((VLOOKUP($B46,'Forecast occupancies'!$C$28:$CP$64,54,TRUE)-1)*VLOOKUP($B46,'A1.3.2'!$B$27:$AY$106,36,)+VLOOKUP($B46,'A1.3.2'!$B$27:$AY$106,35,))*$CR$5))</f>
        <v>25.292738781348131</v>
      </c>
      <c r="BE46" s="1565">
        <f>IF(ISERROR(MATCH($B46,'A1.3.2'!$B$27:$B$106,0)),"",VLOOKUP($B46,'Forecast occupancies'!$C$28:$CP$64,55,TRUE)*VLOOKUP($B46,'A1.3.2'!$B$27:$AY$106,49,)*$CR$5)</f>
        <v>14.122246728259469</v>
      </c>
      <c r="BF46" s="1565">
        <f>IF(ISERROR(MATCH($B46,'A1.3.2'!$B$27:$B$106,0)),"",VLOOKUP($B46,'Forecast occupancies'!$C$28:$CP$64,56,TRUE)*VLOOKUP($B46,'A1.3.2'!$B$27:$AY$106,50,)*$CR$5)</f>
        <v>10.122593780249892</v>
      </c>
      <c r="BG46" s="1566">
        <f>IF(ISERROR(MATCH($B46,'A1.3.2'!$B$27:$B$106,0)),"",(((BD46*'VoT5'!$H$28)+(BE46*'VoT5'!$H$29)+(BF46*'VoT5'!$H$30))/100))</f>
        <v>13.623580767871385</v>
      </c>
      <c r="BH46" s="1565">
        <f>IF(ISERROR(MATCH($B46,'A1.3.2'!$B$27:$B$106,0)),"",(VLOOKUP($B46,'Forecast occupancies'!$C$28:$CP$64,58,TRUE) * VLOOKUP($B46, 'A1.3.2'!$B$27:$AY$106,37,)) * $CR$5)</f>
        <v>18.188840309950134</v>
      </c>
      <c r="BI46" s="1565">
        <f>IF(ISERROR(MATCH($B46,'A1.3.2'!$B$27:$B$106,0)),"",(VLOOKUP($B46,'Forecast occupancies'!$C$28:$CP$64,59,TRUE) * (VLOOKUP($B46,'A1.3.2'!$B$27:$AY$106,49,) * 'VoT5'!$J$29 + VLOOKUP($B46,'A1.3.2'!$B$27:$AY$106,50,) * 'VoT5'!$J$30) / (SUM('VoT5'!$J$29:$J$30))) * $CR$5)</f>
        <v>11.102841532608334</v>
      </c>
      <c r="BJ46" s="1566">
        <f>IF(ISERROR(MATCH($B46,'A1.3.2'!$B$27:$B$106,0)),"",(BH46*'VoT5'!$H$31 + BI46*'VoT5'!$H$32)/100)</f>
        <v>17.338520456669119</v>
      </c>
      <c r="BK46" s="1566">
        <f>IF(ISERROR(MATCH($B46,'A1.3.2'!$B$27:$B$106,0)),"",(VLOOKUP($B46,'Forecast occupancies'!$C$28:$CP$64,61,TRUE)*VLOOKUP($B46,'A1.3.2'!$B$27:$AY$106,38,)) * $CR$5)</f>
        <v>17.859027233342243</v>
      </c>
      <c r="BL46" s="1566">
        <f>IF(ISERROR(MATCH($B46,'A1.3.2'!$B$27:$B$106,0)),"",(VLOOKUP($B46,'Forecast occupancies'!$C$28:$CP$64,62,TRUE)*VLOOKUP($B46,'A1.3.2'!$B$27:$AY$106,38,)) * $CR$5)</f>
        <v>17.859027233342243</v>
      </c>
      <c r="BM46" s="1565">
        <f>IF(ISERROR(MATCH($B46,'A1.3.2'!$B$27:$B$106,0)),"",(((VLOOKUP($B46,'Forecast occupancies'!$C$28:$CP$64,63,TRUE) -1) * VLOOKUP($B46,'A1.3.2'!$B$27:$AY$106,40,)) + VLOOKUP($B46,'A1.3.2'!$B$27:$AY$106,39,)) * $CR$5)</f>
        <v>20.932127315003378</v>
      </c>
      <c r="BN46" s="1565">
        <f>IF(ISERROR(MATCH($B46,'A1.3.2'!$B$27:$B$106,0)),"",(VLOOKUP($B46,'Forecast occupancies'!$C$28:$CP$64,64,TRUE) * VLOOKUP($B46,'A1.3.2'!$B$27:$AY$106,49,)) * $CR$5)</f>
        <v>24.177512721514265</v>
      </c>
      <c r="BO46" s="1565">
        <f>IF(ISERROR(MATCH($B46,'A1.3.2'!$B$27:$B$106,0)),"",(VLOOKUP($B46,'Forecast occupancies'!$C$28:$CP$64,65,TRUE) * VLOOKUP($B46,'A1.3.2'!$B$27:$AY$106,50,)) * $CR$5)</f>
        <v>56.71727457031934</v>
      </c>
      <c r="BP46" s="1567">
        <f>IF(ISERROR(MATCH($B46,'A1.3.2'!$B$27:$B$106,0)),"",SUM(BM46:BO46))</f>
        <v>101.82691460683699</v>
      </c>
      <c r="BQ46" s="1565">
        <f>IF(ISERROR(MATCH($B46,'A1.3.2'!$B$27:$B$106,0)),"",(((VLOOKUP($B46,'Forecast occupancies'!$C$28:$CP$64,67,TRUE)-1)*VLOOKUP($B46,'A1.3.2'!$B$27:$AY$106,36,)+VLOOKUP($B46,'A1.3.2'!$B$27:$AY$106,35,))*$CR$5))</f>
        <v>28.906434181091129</v>
      </c>
      <c r="BR46" s="1565">
        <f>IF(ISERROR(MATCH($B46,'A1.3.2'!$B$27:$B$106,0)),"",VLOOKUP($B46,'Forecast occupancies'!$C$28:$CP$64,68,TRUE)*VLOOKUP($B46,'A1.3.2'!$B$27:$AY$106,49,)*$CR$5)</f>
        <v>14.951956010011356</v>
      </c>
      <c r="BS46" s="1565">
        <f>IF(ISERROR(MATCH($B46,'A1.3.2'!$B$27:$B$106,0)),"",VLOOKUP($B46,'Forecast occupancies'!$C$28:$CP$64,69,TRUE)*VLOOKUP($B46,'A1.3.2'!$B$27:$AY$106,50,)*$CR$5)</f>
        <v>11.985395053533018</v>
      </c>
      <c r="BT46" s="1566">
        <f>IF(ISERROR(MATCH($B46,'A1.3.2'!$B$27:$B$106,0)),"",(((BQ46*'VoT5'!$I$28)+(BR46*'VoT5'!$I$29)+(BS46*'VoT5'!$I$30))/100))</f>
        <v>12.807150467020483</v>
      </c>
      <c r="BU46" s="1565">
        <f>IF(ISERROR(MATCH($B46,'A1.3.2'!$B$27:$B$106,0)),"",(VLOOKUP($B46,'Forecast occupancies'!$C$28:$CP$64,71,TRUE) * VLOOKUP($B46, 'A1.3.2'!$B$27:$AY$106,37,)) * $CR$5)</f>
        <v>19.098282325447641</v>
      </c>
      <c r="BV46" s="1565">
        <f>IF(ISERROR(MATCH($B46,'A1.3.2'!$B$27:$B$106,0)),"",(VLOOKUP($B46,'Forecast occupancies'!$C$28:$CP$64,72,TRUE) * (VLOOKUP($B46,'A1.3.2'!$B$27:$AY$106,49,)*'VoT5'!$J$29 + VLOOKUP($B46,'A1.3.2'!$B$27:$AY$106,50,)*'VoT5'!$J$30) / (SUM('VoT5'!$J$29:$J$30))) * $CR$5)</f>
        <v>15.437512541914327</v>
      </c>
      <c r="BW46" s="1566">
        <f>IF(ISERROR(MATCH($B46,'A1.3.2'!$B$27:$B$106,0)),"",(BU46*'VoT5'!$I$31 + BV46*'VoT5'!$I$32)/100)</f>
        <v>18.658989951423642</v>
      </c>
      <c r="BX46" s="1566">
        <f>IF(ISERROR(MATCH($B46,'A1.3.2'!$B$27:$B$106,0)),"",(VLOOKUP($B46,'Forecast occupancies'!$C$28:$CP$64,74,TRUE)*VLOOKUP($B46,'A1.3.2'!$B$27:$AY$106,38,)) * $CR$5)</f>
        <v>17.859027233342243</v>
      </c>
      <c r="BY46" s="1566">
        <f>IF(ISERROR(MATCH($B46,'A1.3.2'!$B$27:$B$106,0)),"",(VLOOKUP($B46,'Forecast occupancies'!$C$28:$CP$64,75,TRUE)*VLOOKUP($B46,'A1.3.2'!$B$27:$AY$106,38,)) * $CR$5)</f>
        <v>17.859027233342243</v>
      </c>
      <c r="BZ46" s="1565">
        <f>IF(ISERROR(MATCH($B46,'A1.3.2'!$B$27:$B$106,0)),"",(((VLOOKUP($B46,'Forecast occupancies'!$C$28:$CP$64,76,TRUE) -1) * VLOOKUP($B46,'A1.3.2'!$B$27:$AY$106,40,)) + VLOOKUP($B46,'A1.3.2'!$B$27:$AY$106,39,)) * $CR$5)</f>
        <v>19.063606183514288</v>
      </c>
      <c r="CA46" s="1565">
        <f>IF(ISERROR(MATCH($B46,'A1.3.2'!$B$27:$B$106,0)),"",(VLOOKUP($B46,'Forecast occupancies'!$C$28:$CP$64,77,TRUE) * VLOOKUP($B46,'A1.3.2'!$B$27:$AY$106,49,)) * $CR$5)</f>
        <v>9.1593747684327234</v>
      </c>
      <c r="CB46" s="1565">
        <f>IF(ISERROR(MATCH($B46,'A1.3.2'!$B$27:$B$106,0)),"",(VLOOKUP($B46,'Forecast occupancies'!$C$28:$CP$64,78,TRUE) * VLOOKUP($B46,'A1.3.2'!$B$27:$AY$106,50,)) * $CR$5)</f>
        <v>64.418816816992603</v>
      </c>
      <c r="CC46" s="1567">
        <f>IF(ISERROR(MATCH($B46,'A1.3.2'!$B$27:$B$106,0)),"",SUM(BZ46:CB46))</f>
        <v>92.641797768939611</v>
      </c>
      <c r="CD46" s="1565">
        <f>IF(ISERROR(MATCH($B46,'A1.3.2'!$B$27:$B$106,0)),"",(((VLOOKUP($B46,'Forecast occupancies'!$C$28:$CP$64,80,TRUE)-1)*VLOOKUP($B46,'A1.3.2'!$B$27:$AY$106,36,)+VLOOKUP($B46,'A1.3.2'!$B$27:$AY$106,35,))*$CR$5))</f>
        <v>25.549248989816991</v>
      </c>
      <c r="CE46" s="1565">
        <f>IF(ISERROR(MATCH($B46,'A1.3.2'!$B$27:$B$106,0)),"",VLOOKUP($B46,'Forecast occupancies'!$C$28:$CP$64,81,TRUE)*VLOOKUP($B46,'A1.3.2'!$B$27:$AY$106,49,)*$CR$5)</f>
        <v>14.189370756073787</v>
      </c>
      <c r="CF46" s="1565">
        <f>IF(ISERROR(MATCH($B46,'A1.3.2'!$B$27:$B$106,0)),"",VLOOKUP($B46,'Forecast occupancies'!$C$28:$CP$64,82,TRUE)*VLOOKUP($B46,'A1.3.2'!$B$27:$AY$106,50,)*$CR$5)</f>
        <v>10.779917529518558</v>
      </c>
      <c r="CG46" s="1566">
        <f>IF(ISERROR(MATCH($B46,'A1.3.2'!$B$27:$B$106,0)),"",(((CD46*'VoT5'!$J$28)+(CE46*'VoT5'!$J$29)+(CF46*'VoT5'!$J$30))/100))</f>
        <v>13.43000902082478</v>
      </c>
      <c r="CH46" s="1565">
        <f>IF(ISERROR(MATCH($B46,'A1.3.2'!$B$27:$B$106,0)),"",(VLOOKUP($B46,'Forecast occupancies'!$C$28:$CP$64,84,TRUE) * VLOOKUP($B46, 'A1.3.2'!$B$27:$AY$106,37,)) * $CR$5)</f>
        <v>18.188840309950134</v>
      </c>
      <c r="CI46" s="1565">
        <f>IF(ISERROR(MATCH($B46,'A1.3.2'!$B$27:$B$106,0)),"",(VLOOKUP($B46,'Forecast occupancies'!$C$28:$CP$64,85,TRUE) * (VLOOKUP($B46,'A1.3.2'!$B$27:$AY$106,49,)*'VoT5'!$J$29 + VLOOKUP($B46,'A1.3.2'!$B$27:$AY$106,50,)*'VoT5'!$J$30) / (SUM('VoT5'!$J$29:$J$30))) * $CR$5)</f>
        <v>12.091450710169353</v>
      </c>
      <c r="CJ46" s="1566">
        <f>IF(ISERROR(MATCH($B46,'A1.3.2'!$B$27:$B$106,0)),"",(CH46*'VoT5'!$J$31 + CI46*'VoT5'!$J$32)/100)</f>
        <v>17.45715355797644</v>
      </c>
      <c r="CK46" s="1566">
        <f>IF(ISERROR(MATCH($B46,'A1.3.2'!$B$27:$B$106,0)),"",(VLOOKUP($B46,'Forecast occupancies'!$C$28:$CP$64,87,TRUE)*VLOOKUP($B46,'A1.3.2'!$B$27:$AY$106,38,)) * $CR$5)</f>
        <v>17.859027233342243</v>
      </c>
      <c r="CL46" s="1566">
        <f>IF(ISERROR(MATCH($B46,'A1.3.2'!$B$27:$B$106,0)),"",(VLOOKUP($B46,'Forecast occupancies'!$C$28:$CP$64,88,TRUE)*VLOOKUP($B46,'A1.3.2'!$B$27:$AY$106,38,)) * $CR$5)</f>
        <v>17.859027233342243</v>
      </c>
      <c r="CM46" s="1565">
        <f>IF(ISERROR(MATCH($B46,'A1.3.2'!$B$27:$B$106,0)),"",(((VLOOKUP($B46,'Forecast occupancies'!$C$28:$CP$64,89,TRUE) -1) * VLOOKUP($B46,'A1.3.2'!$B$27:$AY$106,40,)) + VLOOKUP($B46,'A1.3.2'!$B$27:$AY$106,39,)) * $CR$5)</f>
        <v>20.470713024633387</v>
      </c>
      <c r="CN46" s="1565">
        <f>IF(ISERROR(MATCH($B46,'A1.3.2'!$B$27:$B$106,0)),"",(VLOOKUP($B46,'Forecast occupancies'!$C$28:$CP$64,90,TRUE) * VLOOKUP($B46,'A1.3.2'!$B$27:$AY$106,49,)) * $CR$5)</f>
        <v>20.468205529669003</v>
      </c>
      <c r="CO46" s="1565">
        <f>IF(ISERROR(MATCH($B46,'A1.3.2'!$B$27:$B$106,0)),"",(VLOOKUP($B46,'Forecast occupancies'!$C$28:$CP$64,91,TRUE) * VLOOKUP($B46,'A1.3.2'!$B$27:$AY$106,50,)) * $CR$5)</f>
        <v>58.619426550007589</v>
      </c>
      <c r="CP46" s="1567">
        <f>IF(ISERROR(MATCH($B46,'A1.3.2'!$B$27:$B$106,0)),"",SUM(CM46:CO46))</f>
        <v>99.558345104309979</v>
      </c>
    </row>
    <row r="47" spans="1:94" s="26" customFormat="1" ht="13.5" customHeight="1">
      <c r="A47" s="113"/>
      <c r="B47" s="82">
        <f t="shared" si="0"/>
        <v>2029</v>
      </c>
      <c r="D47" s="1609">
        <f>IF(ISERROR(MATCH($B47,'A1.3.2'!$B$27:$B$106,0)),"",(((VLOOKUP($B47,'Forecast occupancies'!$C$28:$CP$64,2,TRUE) -1) * VLOOKUP($B47,'A1.3.2'!$B$27:$AY$106,36,) + VLOOKUP($B47,'A1.3.2'!$B$27:$AY$106,35,)) * $CR$5))</f>
        <v>25.337856139388737</v>
      </c>
      <c r="E47" s="1565">
        <f>IF(ISERROR(MATCH($B47,'A1.3.2'!$B$27:$B$106,0)),"",VLOOKUP($B47,'Forecast occupancies'!$C$28:$CP$64,3,TRUE)*VLOOKUP($B47,'A1.3.2'!$B$27:$AY$106,49,)*$CR$5)</f>
        <v>14.279172140430497</v>
      </c>
      <c r="F47" s="1565">
        <f>IF(ISERROR(MATCH($B47,'A1.3.2'!$B$27:$B$106,0)),"",VLOOKUP($B47,'Forecast occupancies'!$C$28:$CP$64,4,TRUE)*VLOOKUP($B47,'A1.3.2'!$B$27:$AY$106,50,)*$CR$5)</f>
        <v>9.8515225249618759</v>
      </c>
      <c r="G47" s="1566">
        <f>IF(ISERROR(MATCH($B47,'A1.3.2'!$B$27:$B$106,0)),"",(((D47*'VoT5'!$D$28)+(E47*'VoT5'!$D$29)+(F47*'VoT5'!$D$30))/100))</f>
        <v>14.351486421193265</v>
      </c>
      <c r="H47" s="1565">
        <f>IF(ISERROR(MATCH($B47,'A1.3.2'!$B$27:$B$106,0)),"",(VLOOKUP($B47,'Forecast occupancies'!$C$28:$CP$64,6,TRUE) * VLOOKUP($B47, 'A1.3.2'!$B$27:$AY$106,37,)) * $CR$5)</f>
        <v>18.51713546900918</v>
      </c>
      <c r="I47" s="1565">
        <f>IF(ISERROR(MATCH($B47,'A1.3.2'!$B$27:$B$106,0)),"",VLOOKUP($B47,'Forecast occupancies'!$C$28:$CP$64,7,TRUE) * ('VoT5'!$J$29*VLOOKUP($B47, 'A1.3.2'!$B$27:$AY$106,49,)+'VoT5'!$J$30*VLOOKUP($B47, 'A1.3.2'!$B$27:$AY$106,50,))/('VoT5'!$J$29+'VoT5'!$J$30) * $CR$5)</f>
        <v>11.303239637426541</v>
      </c>
      <c r="J47" s="1566">
        <f>IF(ISERROR(MATCH($B47,'A1.3.2'!$B$27:$B$106,0)),"",(H47*'VoT5'!$D$31 + I47*'VoT5'!$D$32)/100)</f>
        <v>17.651467969219265</v>
      </c>
      <c r="K47" s="1566">
        <f>IF(ISERROR(MATCH($B47,'A1.3.2'!$B$27:$B$106,0)),"",(VLOOKUP($B47,'Forecast occupancies'!$C$28:$CP$64,9,TRUE)*VLOOKUP($B47,'A1.3.2'!$B$27:$AY$106,38,)) * $CR$5)</f>
        <v>18.181369509501682</v>
      </c>
      <c r="L47" s="1566">
        <f>IF(ISERROR(MATCH($B47,'A1.3.2'!$B$27:$B$106,0)),"",(VLOOKUP($B47,'Forecast occupancies'!$C$28:$CP$64,10,TRUE)*VLOOKUP($B47,'A1.3.2'!$B$27:$AY$106,38,)) * $CR$5)</f>
        <v>18.181369509501682</v>
      </c>
      <c r="M47" s="1565">
        <f>IF(ISERROR(MATCH($B47,'A1.3.2'!$B$27:$B$106,0)),"",(((VLOOKUP($B47,'Forecast occupancies'!$C$28:$CP$64,11,TRUE) -1) * VLOOKUP($B47,'A1.3.2'!$B$27:$AY$106,40,)) + VLOOKUP($B47,'A1.3.2'!$B$27:$AY$106,39,)) * $CR$5)</f>
        <v>20.717834936137596</v>
      </c>
      <c r="N47" s="1565">
        <f>IF(ISERROR(MATCH($B47,'A1.3.2'!$B$27:$B$106,0)),"",(VLOOKUP($B47,'Forecast occupancies'!$C$28:$CP$64,12,TRUE) * VLOOKUP($B47,'A1.3.2'!$B$27:$AY$106,49,)) * $CR$5)</f>
        <v>28.361166291809806</v>
      </c>
      <c r="O47" s="1565">
        <f>IF(ISERROR(MATCH($B47,'A1.3.2'!$B$27:$B$106,0)),"",(VLOOKUP($B47,'Forecast occupancies'!$C$28:$CP$64,13,TRUE) * VLOOKUP($B47,'A1.3.2'!$B$27:$AY$106,50,)) * $CR$5)</f>
        <v>56.298954752241109</v>
      </c>
      <c r="P47" s="1567">
        <f>IF(ISERROR(MATCH($B47,'A1.3.2'!$B$27:$B$106,0)),"",SUM(M47:O47))</f>
        <v>105.37795598018852</v>
      </c>
      <c r="Q47" s="1609">
        <f>IF(ISERROR(MATCH($B47,'A1.3.2'!$B$27:$B$106,0)),"",(((VLOOKUP($B47,'Forecast occupancies'!$C$28:$CP$64,15,TRUE)-1)*VLOOKUP($B47,'A1.3.2'!$B$27:$AY$106,36,)+VLOOKUP($B47,'A1.3.2'!$B$27:$AY$106,35,))*$CR$5))</f>
        <v>25.964274081000141</v>
      </c>
      <c r="R47" s="1565">
        <f>IF(ISERROR(MATCH($B47,'A1.3.2'!$B$27:$B$106,0)),"",VLOOKUP($B47,'Forecast occupancies'!$C$28:$CP$64,16,TRUE)*VLOOKUP($B47,'A1.3.2'!$B$27:$AY$106,49,)*$CR$5)</f>
        <v>14.511352810971186</v>
      </c>
      <c r="S47" s="1565">
        <f>IF(ISERROR(MATCH($B47,'A1.3.2'!$B$27:$B$106,0)),"",VLOOKUP($B47,'Forecast occupancies'!$C$28:$CP$64,17,TRUE)*VLOOKUP($B47,'A1.3.2'!$B$27:$AY$106,50,)*$CR$5)</f>
        <v>10.494198616760061</v>
      </c>
      <c r="T47" s="1566">
        <f>IF(ISERROR(MATCH($B47,'A1.3.2'!$B$27:$B$106,0)),"",(((Q47*'VoT5'!$E$28)+(R47*'VoT5'!$E$29)+(S47*'VoT5'!$E$30))/100))</f>
        <v>13.516368164534597</v>
      </c>
      <c r="U47" s="1565">
        <f>IF(ISERROR(MATCH($B47,'A1.3.2'!$B$27:$B$106,0)),"",(VLOOKUP($B47,'Forecast occupancies'!$C$28:$CP$64,19,TRUE) * VLOOKUP($B47, 'A1.3.2'!$B$27:$AY$106,37,)) * $CR$5)</f>
        <v>18.51713546900918</v>
      </c>
      <c r="V47" s="1565">
        <f>IF(ISERROR(MATCH($B47,'A1.3.2'!$B$27:$B$106,0)),"",VLOOKUP($B47,'Forecast occupancies'!$C$28:$CP$64,20,TRUE) * ('VoT5'!$J$29*VLOOKUP($B47, 'A1.3.2'!$B$27:$AY$106,49,)+'VoT5'!$J$30*VLOOKUP($B47, 'A1.3.2'!$B$27:$AY$106,50,))/('VoT5'!$J$29+'VoT5'!$J$30) * $CR$5)</f>
        <v>11.303239637426541</v>
      </c>
      <c r="W47" s="1566">
        <f>IF(ISERROR(MATCH($B47,'A1.3.2'!$B$27:$B$106,0)),"",(U47*'VoT5'!$E$31 + V47*'VoT5'!$E$32)/100)</f>
        <v>17.651467969219265</v>
      </c>
      <c r="X47" s="1566">
        <f>IF(ISERROR(MATCH($B47,'A1.3.2'!$B$27:$B$106,0)),"",(VLOOKUP($B47,'Forecast occupancies'!$C$28:$CP$64,22,TRUE)*VLOOKUP($B47,'A1.3.2'!$B$27:$AY$106,38,)) * $CR$5)</f>
        <v>18.181369509501682</v>
      </c>
      <c r="Y47" s="1566">
        <f>IF(ISERROR(MATCH($B47,'A1.3.2'!$B$27:$B$106,0)),"",(VLOOKUP($B47,'Forecast occupancies'!$C$28:$CP$64,23,TRUE)*VLOOKUP($B47,'A1.3.2'!$B$27:$AY$106,38,)) * $CR$5)</f>
        <v>18.181369509501682</v>
      </c>
      <c r="Z47" s="1565">
        <f>IF(ISERROR(MATCH($B47,'A1.3.2'!$B$27:$B$106,0)),"",(((VLOOKUP($B47,'Forecast occupancies'!$C$28:$CP$64,24,TRUE) -1) * VLOOKUP($B47,'A1.3.2'!$B$27:$AY$106,40,)) + VLOOKUP($B47,'A1.3.2'!$B$27:$AY$106,39,)) * $CR$5)</f>
        <v>21.140704371055143</v>
      </c>
      <c r="AA47" s="1565">
        <f>IF(ISERROR(MATCH($B47,'A1.3.2'!$B$27:$B$106,0)),"",(VLOOKUP($B47,'Forecast occupancies'!$C$28:$CP$64,25,TRUE) * VLOOKUP($B47,'A1.3.2'!$B$27:$AY$106,49,)) * $CR$5)</f>
        <v>9.9396862901253584</v>
      </c>
      <c r="AB47" s="1565">
        <f>IF(ISERROR(MATCH($B47,'A1.3.2'!$B$27:$B$106,0)),"",(VLOOKUP($B47,'Forecast occupancies'!$C$28:$CP$64,26,TRUE) * VLOOKUP($B47,'A1.3.2'!$B$27:$AY$106,50,)) * $CR$5)</f>
        <v>64.515426715777281</v>
      </c>
      <c r="AC47" s="1567">
        <f>IF(ISERROR(MATCH($B47,'A1.3.2'!$B$27:$B$106,0)),"",SUM(Z47:AB47))</f>
        <v>95.595817376957783</v>
      </c>
      <c r="AD47" s="1609">
        <f>IF(ISERROR(MATCH($B47,'A1.3.2'!$B$27:$B$106,0)),"",(((VLOOKUP($B47,'Forecast occupancies'!$C$28:$CP$64,28,TRUE)-1)*VLOOKUP($B47,'A1.3.2'!$B$27:$AY$106,36,)+VLOOKUP($B47,'A1.3.2'!$B$27:$AY$106,35,))*$CR$5))</f>
        <v>25.703520059634794</v>
      </c>
      <c r="AE47" s="1565">
        <f>IF(ISERROR(MATCH($B47,'A1.3.2'!$B$27:$B$106,0)),"",VLOOKUP($B47,'Forecast occupancies'!$C$28:$CP$64,29,TRUE)*VLOOKUP($B47,'A1.3.2'!$B$27:$AY$106,49,)*$CR$5)</f>
        <v>14.328426102912704</v>
      </c>
      <c r="AF47" s="1565">
        <f>IF(ISERROR(MATCH($B47,'A1.3.2'!$B$27:$B$106,0)),"",VLOOKUP($B47,'Forecast occupancies'!$C$28:$CP$64,30,TRUE)*VLOOKUP($B47,'A1.3.2'!$B$27:$AY$106,50,)*$CR$5)</f>
        <v>10.31659002741776</v>
      </c>
      <c r="AG47" s="1566">
        <f>IF(ISERROR(MATCH($B47,'A1.3.2'!$B$27:$B$106,0)),"",(((AD47*'VoT5'!$F$28)+(AE47*'VoT5'!$F$29)+(AF47*'VoT5'!$F$30))/100))</f>
        <v>13.78883224226348</v>
      </c>
      <c r="AH47" s="1565">
        <f>IF(ISERROR(MATCH($B47,'A1.3.2'!$B$27:$B$106,0)),"",(VLOOKUP($B47,'Forecast occupancies'!$C$28:$CP$64,32,TRUE) * VLOOKUP($B47, 'A1.3.2'!$B$27:$AY$106,37,)) * $CR$5)</f>
        <v>18.51713546900918</v>
      </c>
      <c r="AI47" s="1565">
        <f>IF(ISERROR(MATCH($B47,'A1.3.2'!$B$27:$B$106,0)),"",VLOOKUP($B47,'Forecast occupancies'!$C$28:$CP$64,33,TRUE) * ('VoT5'!$J$29*VLOOKUP($B47, 'A1.3.2'!$B$27:$AY$106,49,)+'VoT5'!$J$30*VLOOKUP($B47, 'A1.3.2'!$B$27:$AY$106,50,))/('VoT5'!$J$29+'VoT5'!$J$30) * $CR$5)</f>
        <v>11.303239637426541</v>
      </c>
      <c r="AJ47" s="1566">
        <f>IF(ISERROR(MATCH($B47,'A1.3.2'!$B$27:$B$106,0)),"",(AH47*'VoT5'!$F$31 + AI47*'VoT5'!$F$32)/100)</f>
        <v>17.651467969219265</v>
      </c>
      <c r="AK47" s="1566">
        <f>IF(ISERROR(MATCH($B47,'A1.3.2'!$B$27:$B$106,0)),"",(VLOOKUP($B47,'Forecast occupancies'!$C$28:$CP$64,35,TRUE)*VLOOKUP($B47,'A1.3.2'!$B$27:$AY$106,38,)) * $CR$5)</f>
        <v>18.181369509501682</v>
      </c>
      <c r="AL47" s="1566">
        <f>IF(ISERROR(MATCH($B47,'A1.3.2'!$B$27:$B$106,0)),"",(VLOOKUP($B47,'Forecast occupancies'!$C$28:$CP$64,36,TRUE)*VLOOKUP($B47,'A1.3.2'!$B$27:$AY$106,38,)) * $CR$5)</f>
        <v>18.181369509501682</v>
      </c>
      <c r="AM47" s="1565">
        <f>IF(ISERROR(MATCH($B47,'A1.3.2'!$B$27:$B$106,0)),"",(((VLOOKUP($B47,'Forecast occupancies'!$C$28:$CP$64,37,TRUE) -1) * VLOOKUP($B47,'A1.3.2'!$B$27:$AY$106,40,)) + VLOOKUP($B47,'A1.3.2'!$B$27:$AY$106,39,)) * $CR$5)</f>
        <v>22.119245800963487</v>
      </c>
      <c r="AN47" s="1565">
        <f>IF(ISERROR(MATCH($B47,'A1.3.2'!$B$27:$B$106,0)),"",(VLOOKUP($B47,'Forecast occupancies'!$C$28:$CP$64,38,TRUE) * VLOOKUP($B47,'A1.3.2'!$B$27:$AY$106,49,)) * $CR$5)</f>
        <v>39.886507028645866</v>
      </c>
      <c r="AO47" s="1565">
        <f>IF(ISERROR(MATCH($B47,'A1.3.2'!$B$27:$B$106,0)),"",(VLOOKUP($B47,'Forecast occupancies'!$C$28:$CP$64,39,TRUE) * VLOOKUP($B47,'A1.3.2'!$B$27:$AY$106,50,)) * $CR$5)</f>
        <v>50.403324250174862</v>
      </c>
      <c r="AP47" s="1567">
        <f>IF(ISERROR(MATCH($B47,'A1.3.2'!$B$27:$B$106,0)),"",SUM(AM47:AO47))</f>
        <v>112.40907707978421</v>
      </c>
      <c r="AQ47" s="1609">
        <f>IF(ISERROR(MATCH($B47,'A1.3.2'!$B$27:$B$106,0)),"",(((VLOOKUP($B47,'Forecast occupancies'!$C$28:$CP$64,41,TRUE)-1)*VLOOKUP($B47,'A1.3.2'!$B$27:$AY$106,36,)+VLOOKUP($B47,'A1.3.2'!$B$27:$AY$106,35,))*$CR$5))</f>
        <v>26.189846650862812</v>
      </c>
      <c r="AR47" s="1565">
        <f>IF(ISERROR(MATCH($B47,'A1.3.2'!$B$27:$B$106,0)),"",VLOOKUP($B47,'Forecast occupancies'!$C$28:$CP$64,42,TRUE)*VLOOKUP($B47,'A1.3.2'!$B$27:$AY$106,49,)*$CR$5)</f>
        <v>14.538136265164104</v>
      </c>
      <c r="AS47" s="1565">
        <f>IF(ISERROR(MATCH($B47,'A1.3.2'!$B$27:$B$106,0)),"",VLOOKUP($B47,'Forecast occupancies'!$C$28:$CP$64,43,TRUE)*VLOOKUP($B47,'A1.3.2'!$B$27:$AY$106,50,)*$CR$5)</f>
        <v>10.279757538794627</v>
      </c>
      <c r="AT47" s="1566">
        <f>IF(ISERROR(MATCH($B47,'A1.3.2'!$B$27:$B$106,0)),"",(((AQ47*'VoT5'!$G$28)+(AR47*'VoT5'!$G$29)+(AS47*'VoT5'!$G$30))/100))</f>
        <v>13.970083682352515</v>
      </c>
      <c r="AU47" s="1565">
        <f>IF(ISERROR(MATCH($B47,'A1.3.2'!$B$27:$B$106,0)),"",(VLOOKUP($B47,'Forecast occupancies'!$C$28:$CP$64,45,TRUE) * VLOOKUP($B47, 'A1.3.2'!$B$27:$AY$106,37,)) * $CR$5)</f>
        <v>18.51713546900918</v>
      </c>
      <c r="AV47" s="1565">
        <f>IF(ISERROR(MATCH($B47,'A1.3.2'!$B$27:$B$106,0)),"",VLOOKUP($B47,'Forecast occupancies'!$C$28:$CP$64,46,TRUE) * ('VoT5'!$J$29*VLOOKUP($B47, 'A1.3.2'!$B$27:$AY$106,49,)+'VoT5'!$J$30*VLOOKUP($B47, 'A1.3.2'!$B$27:$AY$106,50,))/('VoT5'!$J$29+'VoT5'!$J$30) * $CR$5)</f>
        <v>11.303239637426541</v>
      </c>
      <c r="AW47" s="1566">
        <f>IF(ISERROR(MATCH($B47,'A1.3.2'!$B$27:$B$106,0)),"",(AU47*'VoT5'!$G$31 + AV47*'VoT5'!$G$32)/100)</f>
        <v>17.651467969219265</v>
      </c>
      <c r="AX47" s="1566">
        <f>IF(ISERROR(MATCH($B47,'A1.3.2'!$B$27:$B$106,0)),"",(VLOOKUP($B47,'Forecast occupancies'!$C$28:$CP$64,48,TRUE)*VLOOKUP($B47,'A1.3.2'!$B$27:$AY$106,38,)) * $CR$5)</f>
        <v>18.181369509501682</v>
      </c>
      <c r="AY47" s="1566">
        <f>IF(ISERROR(MATCH($B47,'A1.3.2'!$B$27:$B$106,0)),"",(VLOOKUP($B47,'Forecast occupancies'!$C$28:$CP$64,49,TRUE)*VLOOKUP($B47,'A1.3.2'!$B$27:$AY$106,38,)) * $CR$5)</f>
        <v>18.181369509501682</v>
      </c>
      <c r="AZ47" s="1565">
        <f>IF(ISERROR(MATCH($B47,'A1.3.2'!$B$27:$B$106,0)),"",(((VLOOKUP($B47,'Forecast occupancies'!$C$28:$CP$64,50,TRUE) -1) * VLOOKUP($B47,'A1.3.2'!$B$27:$AY$106,40,)) + VLOOKUP($B47,'A1.3.2'!$B$27:$AY$106,39,)) * $CR$5)</f>
        <v>22.101358560726364</v>
      </c>
      <c r="BA47" s="1565">
        <f>IF(ISERROR(MATCH($B47,'A1.3.2'!$B$27:$B$106,0)),"",(VLOOKUP($B47,'Forecast occupancies'!$C$28:$CP$64,51,TRUE) * VLOOKUP($B47,'A1.3.2'!$B$27:$AY$106,49,)) * $CR$5)</f>
        <v>54.523864345829999</v>
      </c>
      <c r="BB47" s="1565">
        <f>IF(ISERROR(MATCH($B47,'A1.3.2'!$B$27:$B$106,0)),"",(VLOOKUP($B47,'Forecast occupancies'!$C$28:$CP$64,52,TRUE) * VLOOKUP($B47,'A1.3.2'!$B$27:$AY$106,50,)) * $CR$5)</f>
        <v>43.730501595302051</v>
      </c>
      <c r="BC47" s="1567">
        <f>IF(ISERROR(MATCH($B47,'A1.3.2'!$B$27:$B$106,0)),"",SUM(AZ47:BB47))</f>
        <v>120.35572450185842</v>
      </c>
      <c r="BD47" s="1565">
        <f>IF(ISERROR(MATCH($B47,'A1.3.2'!$B$27:$B$106,0)),"",(((VLOOKUP($B47,'Forecast occupancies'!$C$28:$CP$64,54,TRUE)-1)*VLOOKUP($B47,'A1.3.2'!$B$27:$AY$106,36,)+VLOOKUP($B47,'A1.3.2'!$B$27:$AY$106,35,))*$CR$5))</f>
        <v>25.749254070930345</v>
      </c>
      <c r="BE47" s="1565">
        <f>IF(ISERROR(MATCH($B47,'A1.3.2'!$B$27:$B$106,0)),"",VLOOKUP($B47,'Forecast occupancies'!$C$28:$CP$64,55,TRUE)*VLOOKUP($B47,'A1.3.2'!$B$27:$AY$106,49,)*$CR$5)</f>
        <v>14.377142870999736</v>
      </c>
      <c r="BF47" s="1565">
        <f>IF(ISERROR(MATCH($B47,'A1.3.2'!$B$27:$B$106,0)),"",VLOOKUP($B47,'Forecast occupancies'!$C$28:$CP$64,56,TRUE)*VLOOKUP($B47,'A1.3.2'!$B$27:$AY$106,50,)*$CR$5)</f>
        <v>10.305299135761716</v>
      </c>
      <c r="BG47" s="1566">
        <f>IF(ISERROR(MATCH($B47,'A1.3.2'!$B$27:$B$106,0)),"",(((BD47*'VoT5'!$H$28)+(BE47*'VoT5'!$H$29)+(BF47*'VoT5'!$H$30))/100))</f>
        <v>13.869476357635586</v>
      </c>
      <c r="BH47" s="1565">
        <f>IF(ISERROR(MATCH($B47,'A1.3.2'!$B$27:$B$106,0)),"",(VLOOKUP($B47,'Forecast occupancies'!$C$28:$CP$64,58,TRUE) * VLOOKUP($B47, 'A1.3.2'!$B$27:$AY$106,37,)) * $CR$5)</f>
        <v>18.51713546900918</v>
      </c>
      <c r="BI47" s="1565">
        <f>IF(ISERROR(MATCH($B47,'A1.3.2'!$B$27:$B$106,0)),"",(VLOOKUP($B47,'Forecast occupancies'!$C$28:$CP$64,59,TRUE) * (VLOOKUP($B47,'A1.3.2'!$B$27:$AY$106,49,) * 'VoT5'!$J$29 + VLOOKUP($B47,'A1.3.2'!$B$27:$AY$106,50,) * 'VoT5'!$J$30) / (SUM('VoT5'!$J$29:$J$30))) * $CR$5)</f>
        <v>11.303239637426541</v>
      </c>
      <c r="BJ47" s="1566">
        <f>IF(ISERROR(MATCH($B47,'A1.3.2'!$B$27:$B$106,0)),"",(BH47*'VoT5'!$H$31 + BI47*'VoT5'!$H$32)/100)</f>
        <v>17.651467969219265</v>
      </c>
      <c r="BK47" s="1566">
        <f>IF(ISERROR(MATCH($B47,'A1.3.2'!$B$27:$B$106,0)),"",(VLOOKUP($B47,'Forecast occupancies'!$C$28:$CP$64,61,TRUE)*VLOOKUP($B47,'A1.3.2'!$B$27:$AY$106,38,)) * $CR$5)</f>
        <v>18.181369509501682</v>
      </c>
      <c r="BL47" s="1566">
        <f>IF(ISERROR(MATCH($B47,'A1.3.2'!$B$27:$B$106,0)),"",(VLOOKUP($B47,'Forecast occupancies'!$C$28:$CP$64,62,TRUE)*VLOOKUP($B47,'A1.3.2'!$B$27:$AY$106,38,)) * $CR$5)</f>
        <v>18.181369509501682</v>
      </c>
      <c r="BM47" s="1565">
        <f>IF(ISERROR(MATCH($B47,'A1.3.2'!$B$27:$B$106,0)),"",(((VLOOKUP($B47,'Forecast occupancies'!$C$28:$CP$64,63,TRUE) -1) * VLOOKUP($B47,'A1.3.2'!$B$27:$AY$106,40,)) + VLOOKUP($B47,'A1.3.2'!$B$27:$AY$106,39,)) * $CR$5)</f>
        <v>21.309936782194306</v>
      </c>
      <c r="BN47" s="1565">
        <f>IF(ISERROR(MATCH($B47,'A1.3.2'!$B$27:$B$106,0)),"",(VLOOKUP($B47,'Forecast occupancies'!$C$28:$CP$64,64,TRUE) * VLOOKUP($B47,'A1.3.2'!$B$27:$AY$106,49,)) * $CR$5)</f>
        <v>24.613899002844111</v>
      </c>
      <c r="BO47" s="1565">
        <f>IF(ISERROR(MATCH($B47,'A1.3.2'!$B$27:$B$106,0)),"",(VLOOKUP($B47,'Forecast occupancies'!$C$28:$CP$64,65,TRUE) * VLOOKUP($B47,'A1.3.2'!$B$27:$AY$106,50,)) * $CR$5)</f>
        <v>57.740979565204171</v>
      </c>
      <c r="BP47" s="1567">
        <f>IF(ISERROR(MATCH($B47,'A1.3.2'!$B$27:$B$106,0)),"",SUM(BM47:BO47))</f>
        <v>103.66481535024259</v>
      </c>
      <c r="BQ47" s="1565">
        <f>IF(ISERROR(MATCH($B47,'A1.3.2'!$B$27:$B$106,0)),"",(((VLOOKUP($B47,'Forecast occupancies'!$C$28:$CP$64,67,TRUE)-1)*VLOOKUP($B47,'A1.3.2'!$B$27:$AY$106,36,)+VLOOKUP($B47,'A1.3.2'!$B$27:$AY$106,35,))*$CR$5))</f>
        <v>29.42817400867759</v>
      </c>
      <c r="BR47" s="1565">
        <f>IF(ISERROR(MATCH($B47,'A1.3.2'!$B$27:$B$106,0)),"",VLOOKUP($B47,'Forecast occupancies'!$C$28:$CP$64,68,TRUE)*VLOOKUP($B47,'A1.3.2'!$B$27:$AY$106,49,)*$CR$5)</f>
        <v>15.221827793638221</v>
      </c>
      <c r="BS47" s="1565">
        <f>IF(ISERROR(MATCH($B47,'A1.3.2'!$B$27:$B$106,0)),"",VLOOKUP($B47,'Forecast occupancies'!$C$28:$CP$64,69,TRUE)*VLOOKUP($B47,'A1.3.2'!$B$27:$AY$106,50,)*$CR$5)</f>
        <v>12.201722598798927</v>
      </c>
      <c r="BT47" s="1566">
        <f>IF(ISERROR(MATCH($B47,'A1.3.2'!$B$27:$B$106,0)),"",(((BQ47*'VoT5'!$I$28)+(BR47*'VoT5'!$I$29)+(BS47*'VoT5'!$I$30))/100))</f>
        <v>13.038310091714287</v>
      </c>
      <c r="BU47" s="1565">
        <f>IF(ISERROR(MATCH($B47,'A1.3.2'!$B$27:$B$106,0)),"",(VLOOKUP($B47,'Forecast occupancies'!$C$28:$CP$64,71,TRUE) * VLOOKUP($B47, 'A1.3.2'!$B$27:$AY$106,37,)) * $CR$5)</f>
        <v>19.442992242459638</v>
      </c>
      <c r="BV47" s="1565">
        <f>IF(ISERROR(MATCH($B47,'A1.3.2'!$B$27:$B$106,0)),"",(VLOOKUP($B47,'Forecast occupancies'!$C$28:$CP$64,72,TRUE) * (VLOOKUP($B47,'A1.3.2'!$B$27:$AY$106,49,)*'VoT5'!$J$29 + VLOOKUP($B47,'A1.3.2'!$B$27:$AY$106,50,)*'VoT5'!$J$30) / (SUM('VoT5'!$J$29:$J$30))) * $CR$5)</f>
        <v>15.716148262997178</v>
      </c>
      <c r="BW47" s="1566">
        <f>IF(ISERROR(MATCH($B47,'A1.3.2'!$B$27:$B$106,0)),"",(BU47*'VoT5'!$I$31 + BV47*'VoT5'!$I$32)/100)</f>
        <v>18.995770964924144</v>
      </c>
      <c r="BX47" s="1566">
        <f>IF(ISERROR(MATCH($B47,'A1.3.2'!$B$27:$B$106,0)),"",(VLOOKUP($B47,'Forecast occupancies'!$C$28:$CP$64,74,TRUE)*VLOOKUP($B47,'A1.3.2'!$B$27:$AY$106,38,)) * $CR$5)</f>
        <v>18.181369509501682</v>
      </c>
      <c r="BY47" s="1566">
        <f>IF(ISERROR(MATCH($B47,'A1.3.2'!$B$27:$B$106,0)),"",(VLOOKUP($B47,'Forecast occupancies'!$C$28:$CP$64,75,TRUE)*VLOOKUP($B47,'A1.3.2'!$B$27:$AY$106,38,)) * $CR$5)</f>
        <v>18.181369509501682</v>
      </c>
      <c r="BZ47" s="1565">
        <f>IF(ISERROR(MATCH($B47,'A1.3.2'!$B$27:$B$106,0)),"",(((VLOOKUP($B47,'Forecast occupancies'!$C$28:$CP$64,76,TRUE) -1) * VLOOKUP($B47,'A1.3.2'!$B$27:$AY$106,40,)) + VLOOKUP($B47,'A1.3.2'!$B$27:$AY$106,39,)) * $CR$5)</f>
        <v>19.407690221727108</v>
      </c>
      <c r="CA47" s="1565">
        <f>IF(ISERROR(MATCH($B47,'A1.3.2'!$B$27:$B$106,0)),"",(VLOOKUP($B47,'Forecast occupancies'!$C$28:$CP$64,77,TRUE) * VLOOKUP($B47,'A1.3.2'!$B$27:$AY$106,49,)) * $CR$5)</f>
        <v>9.3246947308516042</v>
      </c>
      <c r="CB47" s="1565">
        <f>IF(ISERROR(MATCH($B47,'A1.3.2'!$B$27:$B$106,0)),"",(VLOOKUP($B47,'Forecast occupancies'!$C$28:$CP$64,78,TRUE) * VLOOKUP($B47,'A1.3.2'!$B$27:$AY$106,50,)) * $CR$5)</f>
        <v>65.581528971970442</v>
      </c>
      <c r="CC47" s="1567">
        <f>IF(ISERROR(MATCH($B47,'A1.3.2'!$B$27:$B$106,0)),"",SUM(BZ47:CB47))</f>
        <v>94.313913924549155</v>
      </c>
      <c r="CD47" s="1565">
        <f>IF(ISERROR(MATCH($B47,'A1.3.2'!$B$27:$B$106,0)),"",(((VLOOKUP($B47,'Forecast occupancies'!$C$28:$CP$64,80,TRUE)-1)*VLOOKUP($B47,'A1.3.2'!$B$27:$AY$106,36,)+VLOOKUP($B47,'A1.3.2'!$B$27:$AY$106,35,))*$CR$5))</f>
        <v>26.01039409956666</v>
      </c>
      <c r="CE47" s="1565">
        <f>IF(ISERROR(MATCH($B47,'A1.3.2'!$B$27:$B$106,0)),"",VLOOKUP($B47,'Forecast occupancies'!$C$28:$CP$64,81,TRUE)*VLOOKUP($B47,'A1.3.2'!$B$27:$AY$106,49,)*$CR$5)</f>
        <v>14.445478438033293</v>
      </c>
      <c r="CF47" s="1565">
        <f>IF(ISERROR(MATCH($B47,'A1.3.2'!$B$27:$B$106,0)),"",VLOOKUP($B47,'Forecast occupancies'!$C$28:$CP$64,82,TRUE)*VLOOKUP($B47,'A1.3.2'!$B$27:$AY$106,50,)*$CR$5)</f>
        <v>10.974487094135643</v>
      </c>
      <c r="CG47" s="1566">
        <f>IF(ISERROR(MATCH($B47,'A1.3.2'!$B$27:$B$106,0)),"",(((CD47*'VoT5'!$J$28)+(CE47*'VoT5'!$J$29)+(CF47*'VoT5'!$J$30))/100))</f>
        <v>13.672410783252928</v>
      </c>
      <c r="CH47" s="1565">
        <f>IF(ISERROR(MATCH($B47,'A1.3.2'!$B$27:$B$106,0)),"",(VLOOKUP($B47,'Forecast occupancies'!$C$28:$CP$64,84,TRUE) * VLOOKUP($B47, 'A1.3.2'!$B$27:$AY$106,37,)) * $CR$5)</f>
        <v>18.51713546900918</v>
      </c>
      <c r="CI47" s="1565">
        <f>IF(ISERROR(MATCH($B47,'A1.3.2'!$B$27:$B$106,0)),"",(VLOOKUP($B47,'Forecast occupancies'!$C$28:$CP$64,85,TRUE) * (VLOOKUP($B47,'A1.3.2'!$B$27:$AY$106,49,)*'VoT5'!$J$29 + VLOOKUP($B47,'A1.3.2'!$B$27:$AY$106,50,)*'VoT5'!$J$30) / (SUM('VoT5'!$J$29:$J$30))) * $CR$5)</f>
        <v>12.309692481854933</v>
      </c>
      <c r="CJ47" s="1566">
        <f>IF(ISERROR(MATCH($B47,'A1.3.2'!$B$27:$B$106,0)),"",(CH47*'VoT5'!$J$31 + CI47*'VoT5'!$J$32)/100)</f>
        <v>17.77224231055067</v>
      </c>
      <c r="CK47" s="1566">
        <f>IF(ISERROR(MATCH($B47,'A1.3.2'!$B$27:$B$106,0)),"",(VLOOKUP($B47,'Forecast occupancies'!$C$28:$CP$64,87,TRUE)*VLOOKUP($B47,'A1.3.2'!$B$27:$AY$106,38,)) * $CR$5)</f>
        <v>18.181369509501682</v>
      </c>
      <c r="CL47" s="1566">
        <f>IF(ISERROR(MATCH($B47,'A1.3.2'!$B$27:$B$106,0)),"",(VLOOKUP($B47,'Forecast occupancies'!$C$28:$CP$64,88,TRUE)*VLOOKUP($B47,'A1.3.2'!$B$27:$AY$106,38,)) * $CR$5)</f>
        <v>18.181369509501682</v>
      </c>
      <c r="CM47" s="1565">
        <f>IF(ISERROR(MATCH($B47,'A1.3.2'!$B$27:$B$106,0)),"",(((VLOOKUP($B47,'Forecast occupancies'!$C$28:$CP$64,89,TRUE) -1) * VLOOKUP($B47,'A1.3.2'!$B$27:$AY$106,40,)) + VLOOKUP($B47,'A1.3.2'!$B$27:$AY$106,39,)) * $CR$5)</f>
        <v>20.840194304030714</v>
      </c>
      <c r="CN47" s="1565">
        <f>IF(ISERROR(MATCH($B47,'A1.3.2'!$B$27:$B$106,0)),"",(VLOOKUP($B47,'Forecast occupancies'!$C$28:$CP$64,90,TRUE) * VLOOKUP($B47,'A1.3.2'!$B$27:$AY$106,49,)) * $CR$5)</f>
        <v>20.83764155063071</v>
      </c>
      <c r="CO47" s="1565">
        <f>IF(ISERROR(MATCH($B47,'A1.3.2'!$B$27:$B$106,0)),"",(VLOOKUP($B47,'Forecast occupancies'!$C$28:$CP$64,91,TRUE) * VLOOKUP($B47,'A1.3.2'!$B$27:$AY$106,50,)) * $CR$5)</f>
        <v>59.67746398588838</v>
      </c>
      <c r="CP47" s="1567">
        <f>IF(ISERROR(MATCH($B47,'A1.3.2'!$B$27:$B$106,0)),"",SUM(CM47:CO47))</f>
        <v>101.3552998405498</v>
      </c>
    </row>
    <row r="48" spans="1:94" s="26" customFormat="1" ht="13.5" customHeight="1">
      <c r="A48" s="113"/>
      <c r="B48" s="82">
        <f t="shared" si="0"/>
        <v>2030</v>
      </c>
      <c r="D48" s="1609">
        <f>IF(ISERROR(MATCH($B48,'A1.3.2'!$B$27:$B$106,0)),"",(((VLOOKUP($B48,'Forecast occupancies'!$C$28:$CP$64,2,TRUE) -1) * VLOOKUP($B48,'A1.3.2'!$B$27:$AY$106,36,) + VLOOKUP($B48,'A1.3.2'!$B$27:$AY$106,35,)) * $CR$5))</f>
        <v>25.819126986355315</v>
      </c>
      <c r="E48" s="1565">
        <f>IF(ISERROR(MATCH($B48,'A1.3.2'!$B$27:$B$106,0)),"",VLOOKUP($B48,'Forecast occupancies'!$C$28:$CP$64,3,TRUE)*VLOOKUP($B48,'A1.3.2'!$B$27:$AY$106,49,)*$CR$5)</f>
        <v>14.550392769050436</v>
      </c>
      <c r="F48" s="1565">
        <f>IF(ISERROR(MATCH($B48,'A1.3.2'!$B$27:$B$106,0)),"",VLOOKUP($B48,'Forecast occupancies'!$C$28:$CP$64,4,TRUE)*VLOOKUP($B48,'A1.3.2'!$B$27:$AY$106,50,)*$CR$5)</f>
        <v>10.038643746402872</v>
      </c>
      <c r="G48" s="1566">
        <f>IF(ISERROR(MATCH($B48,'A1.3.2'!$B$27:$B$106,0)),"",(((D48*'VoT5'!$D$28)+(E48*'VoT5'!$D$29)+(F48*'VoT5'!$D$30))/100))</f>
        <v>14.624080597557693</v>
      </c>
      <c r="H48" s="1565">
        <f>IF(ISERROR(MATCH($B48,'A1.3.2'!$B$27:$B$106,0)),"",(VLOOKUP($B48,'Forecast occupancies'!$C$28:$CP$64,6,TRUE) * VLOOKUP($B48, 'A1.3.2'!$B$27:$AY$106,37,)) * $CR$5)</f>
        <v>18.868852576468452</v>
      </c>
      <c r="I48" s="1565">
        <f>IF(ISERROR(MATCH($B48,'A1.3.2'!$B$27:$B$106,0)),"",VLOOKUP($B48,'Forecast occupancies'!$C$28:$CP$64,7,TRUE) * ('VoT5'!$J$29*VLOOKUP($B48, 'A1.3.2'!$B$27:$AY$106,49,)+'VoT5'!$J$30*VLOOKUP($B48, 'A1.3.2'!$B$27:$AY$106,50,))/('VoT5'!$J$29+'VoT5'!$J$30) * $CR$5)</f>
        <v>11.517934980388642</v>
      </c>
      <c r="J48" s="1566">
        <f>IF(ISERROR(MATCH($B48,'A1.3.2'!$B$27:$B$106,0)),"",(H48*'VoT5'!$D$31 + I48*'VoT5'!$D$32)/100)</f>
        <v>17.986742464938875</v>
      </c>
      <c r="K48" s="1566">
        <f>IF(ISERROR(MATCH($B48,'A1.3.2'!$B$27:$B$106,0)),"",(VLOOKUP($B48,'Forecast occupancies'!$C$28:$CP$64,9,TRUE)*VLOOKUP($B48,'A1.3.2'!$B$27:$AY$106,38,)) * $CR$5)</f>
        <v>18.526709030521683</v>
      </c>
      <c r="L48" s="1566">
        <f>IF(ISERROR(MATCH($B48,'A1.3.2'!$B$27:$B$106,0)),"",(VLOOKUP($B48,'Forecast occupancies'!$C$28:$CP$64,10,TRUE)*VLOOKUP($B48,'A1.3.2'!$B$27:$AY$106,38,)) * $CR$5)</f>
        <v>18.526709030521683</v>
      </c>
      <c r="M48" s="1565">
        <f>IF(ISERROR(MATCH($B48,'A1.3.2'!$B$27:$B$106,0)),"",(((VLOOKUP($B48,'Forecast occupancies'!$C$28:$CP$64,11,TRUE) -1) * VLOOKUP($B48,'A1.3.2'!$B$27:$AY$106,40,)) + VLOOKUP($B48,'A1.3.2'!$B$27:$AY$106,39,)) * $CR$5)</f>
        <v>21.111352442598157</v>
      </c>
      <c r="N48" s="1565">
        <f>IF(ISERROR(MATCH($B48,'A1.3.2'!$B$27:$B$106,0)),"",(VLOOKUP($B48,'Forecast occupancies'!$C$28:$CP$64,12,TRUE) * VLOOKUP($B48,'A1.3.2'!$B$27:$AY$106,49,)) * $CR$5)</f>
        <v>28.899862322252602</v>
      </c>
      <c r="O48" s="1565">
        <f>IF(ISERROR(MATCH($B48,'A1.3.2'!$B$27:$B$106,0)),"",(VLOOKUP($B48,'Forecast occupancies'!$C$28:$CP$64,13,TRUE) * VLOOKUP($B48,'A1.3.2'!$B$27:$AY$106,50,)) * $CR$5)</f>
        <v>57.368305114319433</v>
      </c>
      <c r="P48" s="1567">
        <f>IF(ISERROR(MATCH($B48,'A1.3.2'!$B$27:$B$106,0)),"",SUM(M48:O48))</f>
        <v>107.3795198791702</v>
      </c>
      <c r="Q48" s="1609">
        <f>IF(ISERROR(MATCH($B48,'A1.3.2'!$B$27:$B$106,0)),"",(((VLOOKUP($B48,'Forecast occupancies'!$C$28:$CP$64,15,TRUE)-1)*VLOOKUP($B48,'A1.3.2'!$B$27:$AY$106,36,)+VLOOKUP($B48,'A1.3.2'!$B$27:$AY$106,35,))*$CR$5))</f>
        <v>26.45744319953539</v>
      </c>
      <c r="R48" s="1565">
        <f>IF(ISERROR(MATCH($B48,'A1.3.2'!$B$27:$B$106,0)),"",VLOOKUP($B48,'Forecast occupancies'!$C$28:$CP$64,16,TRUE)*VLOOKUP($B48,'A1.3.2'!$B$27:$AY$106,49,)*$CR$5)</f>
        <v>14.786983512303895</v>
      </c>
      <c r="S48" s="1565">
        <f>IF(ISERROR(MATCH($B48,'A1.3.2'!$B$27:$B$106,0)),"",VLOOKUP($B48,'Forecast occupancies'!$C$28:$CP$64,17,TRUE)*VLOOKUP($B48,'A1.3.2'!$B$27:$AY$106,50,)*$CR$5)</f>
        <v>10.693526919389116</v>
      </c>
      <c r="T48" s="1566">
        <f>IF(ISERROR(MATCH($B48,'A1.3.2'!$B$27:$B$106,0)),"",(((Q48*'VoT5'!$E$28)+(R48*'VoT5'!$E$29)+(S48*'VoT5'!$E$30))/100))</f>
        <v>13.773099985832818</v>
      </c>
      <c r="U48" s="1565">
        <f>IF(ISERROR(MATCH($B48,'A1.3.2'!$B$27:$B$106,0)),"",(VLOOKUP($B48,'Forecast occupancies'!$C$28:$CP$64,19,TRUE) * VLOOKUP($B48, 'A1.3.2'!$B$27:$AY$106,37,)) * $CR$5)</f>
        <v>18.868852576468452</v>
      </c>
      <c r="V48" s="1565">
        <f>IF(ISERROR(MATCH($B48,'A1.3.2'!$B$27:$B$106,0)),"",VLOOKUP($B48,'Forecast occupancies'!$C$28:$CP$64,20,TRUE) * ('VoT5'!$J$29*VLOOKUP($B48, 'A1.3.2'!$B$27:$AY$106,49,)+'VoT5'!$J$30*VLOOKUP($B48, 'A1.3.2'!$B$27:$AY$106,50,))/('VoT5'!$J$29+'VoT5'!$J$30) * $CR$5)</f>
        <v>11.517934980388642</v>
      </c>
      <c r="W48" s="1566">
        <f>IF(ISERROR(MATCH($B48,'A1.3.2'!$B$27:$B$106,0)),"",(U48*'VoT5'!$E$31 + V48*'VoT5'!$E$32)/100)</f>
        <v>17.986742464938875</v>
      </c>
      <c r="X48" s="1566">
        <f>IF(ISERROR(MATCH($B48,'A1.3.2'!$B$27:$B$106,0)),"",(VLOOKUP($B48,'Forecast occupancies'!$C$28:$CP$64,22,TRUE)*VLOOKUP($B48,'A1.3.2'!$B$27:$AY$106,38,)) * $CR$5)</f>
        <v>18.526709030521683</v>
      </c>
      <c r="Y48" s="1566">
        <f>IF(ISERROR(MATCH($B48,'A1.3.2'!$B$27:$B$106,0)),"",(VLOOKUP($B48,'Forecast occupancies'!$C$28:$CP$64,23,TRUE)*VLOOKUP($B48,'A1.3.2'!$B$27:$AY$106,38,)) * $CR$5)</f>
        <v>18.526709030521683</v>
      </c>
      <c r="Z48" s="1565">
        <f>IF(ISERROR(MATCH($B48,'A1.3.2'!$B$27:$B$106,0)),"",(((VLOOKUP($B48,'Forecast occupancies'!$C$28:$CP$64,24,TRUE) -1) * VLOOKUP($B48,'A1.3.2'!$B$27:$AY$106,40,)) + VLOOKUP($B48,'A1.3.2'!$B$27:$AY$106,39,)) * $CR$5)</f>
        <v>21.542253919768193</v>
      </c>
      <c r="AA48" s="1565">
        <f>IF(ISERROR(MATCH($B48,'A1.3.2'!$B$27:$B$106,0)),"",(VLOOKUP($B48,'Forecast occupancies'!$C$28:$CP$64,25,TRUE) * VLOOKUP($B48,'A1.3.2'!$B$27:$AY$106,49,)) * $CR$5)</f>
        <v>10.128482106674111</v>
      </c>
      <c r="AB48" s="1565">
        <f>IF(ISERROR(MATCH($B48,'A1.3.2'!$B$27:$B$106,0)),"",(VLOOKUP($B48,'Forecast occupancies'!$C$28:$CP$64,26,TRUE) * VLOOKUP($B48,'A1.3.2'!$B$27:$AY$106,50,)) * $CR$5)</f>
        <v>65.740841916143992</v>
      </c>
      <c r="AC48" s="1567">
        <f>IF(ISERROR(MATCH($B48,'A1.3.2'!$B$27:$B$106,0)),"",SUM(Z48:AB48))</f>
        <v>97.411577942586291</v>
      </c>
      <c r="AD48" s="1609">
        <f>IF(ISERROR(MATCH($B48,'A1.3.2'!$B$27:$B$106,0)),"",(((VLOOKUP($B48,'Forecast occupancies'!$C$28:$CP$64,28,TRUE)-1)*VLOOKUP($B48,'A1.3.2'!$B$27:$AY$106,36,)+VLOOKUP($B48,'A1.3.2'!$B$27:$AY$106,35,))*$CR$5))</f>
        <v>26.191736379163604</v>
      </c>
      <c r="AE48" s="1565">
        <f>IF(ISERROR(MATCH($B48,'A1.3.2'!$B$27:$B$106,0)),"",VLOOKUP($B48,'Forecast occupancies'!$C$28:$CP$64,29,TRUE)*VLOOKUP($B48,'A1.3.2'!$B$27:$AY$106,49,)*$CR$5)</f>
        <v>14.60058226830852</v>
      </c>
      <c r="AF48" s="1565">
        <f>IF(ISERROR(MATCH($B48,'A1.3.2'!$B$27:$B$106,0)),"",VLOOKUP($B48,'Forecast occupancies'!$C$28:$CP$64,30,TRUE)*VLOOKUP($B48,'A1.3.2'!$B$27:$AY$106,50,)*$CR$5)</f>
        <v>10.512544807213983</v>
      </c>
      <c r="AG48" s="1566">
        <f>IF(ISERROR(MATCH($B48,'A1.3.2'!$B$27:$B$106,0)),"",(((AD48*'VoT5'!$F$28)+(AE48*'VoT5'!$F$29)+(AF48*'VoT5'!$F$30))/100))</f>
        <v>14.050739285045919</v>
      </c>
      <c r="AH48" s="1565">
        <f>IF(ISERROR(MATCH($B48,'A1.3.2'!$B$27:$B$106,0)),"",(VLOOKUP($B48,'Forecast occupancies'!$C$28:$CP$64,32,TRUE) * VLOOKUP($B48, 'A1.3.2'!$B$27:$AY$106,37,)) * $CR$5)</f>
        <v>18.868852576468452</v>
      </c>
      <c r="AI48" s="1565">
        <f>IF(ISERROR(MATCH($B48,'A1.3.2'!$B$27:$B$106,0)),"",VLOOKUP($B48,'Forecast occupancies'!$C$28:$CP$64,33,TRUE) * ('VoT5'!$J$29*VLOOKUP($B48, 'A1.3.2'!$B$27:$AY$106,49,)+'VoT5'!$J$30*VLOOKUP($B48, 'A1.3.2'!$B$27:$AY$106,50,))/('VoT5'!$J$29+'VoT5'!$J$30) * $CR$5)</f>
        <v>11.517934980388642</v>
      </c>
      <c r="AJ48" s="1566">
        <f>IF(ISERROR(MATCH($B48,'A1.3.2'!$B$27:$B$106,0)),"",(AH48*'VoT5'!$F$31 + AI48*'VoT5'!$F$32)/100)</f>
        <v>17.986742464938875</v>
      </c>
      <c r="AK48" s="1566">
        <f>IF(ISERROR(MATCH($B48,'A1.3.2'!$B$27:$B$106,0)),"",(VLOOKUP($B48,'Forecast occupancies'!$C$28:$CP$64,35,TRUE)*VLOOKUP($B48,'A1.3.2'!$B$27:$AY$106,38,)) * $CR$5)</f>
        <v>18.526709030521683</v>
      </c>
      <c r="AL48" s="1566">
        <f>IF(ISERROR(MATCH($B48,'A1.3.2'!$B$27:$B$106,0)),"",(VLOOKUP($B48,'Forecast occupancies'!$C$28:$CP$64,36,TRUE)*VLOOKUP($B48,'A1.3.2'!$B$27:$AY$106,38,)) * $CR$5)</f>
        <v>18.526709030521683</v>
      </c>
      <c r="AM48" s="1565">
        <f>IF(ISERROR(MATCH($B48,'A1.3.2'!$B$27:$B$106,0)),"",(((VLOOKUP($B48,'Forecast occupancies'!$C$28:$CP$64,37,TRUE) -1) * VLOOKUP($B48,'A1.3.2'!$B$27:$AY$106,40,)) + VLOOKUP($B48,'A1.3.2'!$B$27:$AY$106,39,)) * $CR$5)</f>
        <v>22.539381904915196</v>
      </c>
      <c r="AN48" s="1565">
        <f>IF(ISERROR(MATCH($B48,'A1.3.2'!$B$27:$B$106,0)),"",(VLOOKUP($B48,'Forecast occupancies'!$C$28:$CP$64,38,TRUE) * VLOOKUP($B48,'A1.3.2'!$B$27:$AY$106,49,)) * $CR$5)</f>
        <v>40.644117021954401</v>
      </c>
      <c r="AO48" s="1565">
        <f>IF(ISERROR(MATCH($B48,'A1.3.2'!$B$27:$B$106,0)),"",(VLOOKUP($B48,'Forecast occupancies'!$C$28:$CP$64,39,TRUE) * VLOOKUP($B48,'A1.3.2'!$B$27:$AY$106,50,)) * $CR$5)</f>
        <v>51.360692167111729</v>
      </c>
      <c r="AP48" s="1567">
        <f>IF(ISERROR(MATCH($B48,'A1.3.2'!$B$27:$B$106,0)),"",SUM(AM48:AO48))</f>
        <v>114.54419109398133</v>
      </c>
      <c r="AQ48" s="1609">
        <f>IF(ISERROR(MATCH($B48,'A1.3.2'!$B$27:$B$106,0)),"",(((VLOOKUP($B48,'Forecast occupancies'!$C$28:$CP$64,41,TRUE)-1)*VLOOKUP($B48,'A1.3.2'!$B$27:$AY$106,36,)+VLOOKUP($B48,'A1.3.2'!$B$27:$AY$106,35,))*$CR$5))</f>
        <v>26.687300326905731</v>
      </c>
      <c r="AR48" s="1565">
        <f>IF(ISERROR(MATCH($B48,'A1.3.2'!$B$27:$B$106,0)),"",VLOOKUP($B48,'Forecast occupancies'!$C$28:$CP$64,42,TRUE)*VLOOKUP($B48,'A1.3.2'!$B$27:$AY$106,49,)*$CR$5)</f>
        <v>14.814275695239024</v>
      </c>
      <c r="AS48" s="1565">
        <f>IF(ISERROR(MATCH($B48,'A1.3.2'!$B$27:$B$106,0)),"",VLOOKUP($B48,'Forecast occupancies'!$C$28:$CP$64,43,TRUE)*VLOOKUP($B48,'A1.3.2'!$B$27:$AY$106,50,)*$CR$5)</f>
        <v>10.475012717057947</v>
      </c>
      <c r="AT48" s="1566">
        <f>IF(ISERROR(MATCH($B48,'A1.3.2'!$B$27:$B$106,0)),"",(((AQ48*'VoT5'!$G$28)+(AR48*'VoT5'!$G$29)+(AS48*'VoT5'!$G$30))/100))</f>
        <v>14.235433440793519</v>
      </c>
      <c r="AU48" s="1565">
        <f>IF(ISERROR(MATCH($B48,'A1.3.2'!$B$27:$B$106,0)),"",(VLOOKUP($B48,'Forecast occupancies'!$C$28:$CP$64,45,TRUE) * VLOOKUP($B48, 'A1.3.2'!$B$27:$AY$106,37,)) * $CR$5)</f>
        <v>18.868852576468452</v>
      </c>
      <c r="AV48" s="1565">
        <f>IF(ISERROR(MATCH($B48,'A1.3.2'!$B$27:$B$106,0)),"",VLOOKUP($B48,'Forecast occupancies'!$C$28:$CP$64,46,TRUE) * ('VoT5'!$J$29*VLOOKUP($B48, 'A1.3.2'!$B$27:$AY$106,49,)+'VoT5'!$J$30*VLOOKUP($B48, 'A1.3.2'!$B$27:$AY$106,50,))/('VoT5'!$J$29+'VoT5'!$J$30) * $CR$5)</f>
        <v>11.517934980388642</v>
      </c>
      <c r="AW48" s="1566">
        <f>IF(ISERROR(MATCH($B48,'A1.3.2'!$B$27:$B$106,0)),"",(AU48*'VoT5'!$G$31 + AV48*'VoT5'!$G$32)/100)</f>
        <v>17.986742464938875</v>
      </c>
      <c r="AX48" s="1566">
        <f>IF(ISERROR(MATCH($B48,'A1.3.2'!$B$27:$B$106,0)),"",(VLOOKUP($B48,'Forecast occupancies'!$C$28:$CP$64,48,TRUE)*VLOOKUP($B48,'A1.3.2'!$B$27:$AY$106,38,)) * $CR$5)</f>
        <v>18.526709030521683</v>
      </c>
      <c r="AY48" s="1566">
        <f>IF(ISERROR(MATCH($B48,'A1.3.2'!$B$27:$B$106,0)),"",(VLOOKUP($B48,'Forecast occupancies'!$C$28:$CP$64,49,TRUE)*VLOOKUP($B48,'A1.3.2'!$B$27:$AY$106,38,)) * $CR$5)</f>
        <v>18.526709030521683</v>
      </c>
      <c r="AZ48" s="1565">
        <f>IF(ISERROR(MATCH($B48,'A1.3.2'!$B$27:$B$106,0)),"",(((VLOOKUP($B48,'Forecast occupancies'!$C$28:$CP$64,50,TRUE) -1) * VLOOKUP($B48,'A1.3.2'!$B$27:$AY$106,40,)) + VLOOKUP($B48,'A1.3.2'!$B$27:$AY$106,39,)) * $CR$5)</f>
        <v>22.521154911890328</v>
      </c>
      <c r="BA48" s="1565">
        <f>IF(ISERROR(MATCH($B48,'A1.3.2'!$B$27:$B$106,0)),"",(VLOOKUP($B48,'Forecast occupancies'!$C$28:$CP$64,51,TRUE) * VLOOKUP($B48,'A1.3.2'!$B$27:$AY$106,49,)) * $CR$5)</f>
        <v>55.559498388002027</v>
      </c>
      <c r="BB48" s="1565">
        <f>IF(ISERROR(MATCH($B48,'A1.3.2'!$B$27:$B$106,0)),"",(VLOOKUP($B48,'Forecast occupancies'!$C$28:$CP$64,52,TRUE) * VLOOKUP($B48,'A1.3.2'!$B$27:$AY$106,50,)) * $CR$5)</f>
        <v>44.56112496869499</v>
      </c>
      <c r="BC48" s="1567">
        <f>IF(ISERROR(MATCH($B48,'A1.3.2'!$B$27:$B$106,0)),"",SUM(AZ48:BB48))</f>
        <v>122.64177826858736</v>
      </c>
      <c r="BD48" s="1565">
        <f>IF(ISERROR(MATCH($B48,'A1.3.2'!$B$27:$B$106,0)),"",(((VLOOKUP($B48,'Forecast occupancies'!$C$28:$CP$64,54,TRUE)-1)*VLOOKUP($B48,'A1.3.2'!$B$27:$AY$106,36,)+VLOOKUP($B48,'A1.3.2'!$B$27:$AY$106,35,))*$CR$5))</f>
        <v>26.238339068781045</v>
      </c>
      <c r="BE48" s="1565">
        <f>IF(ISERROR(MATCH($B48,'A1.3.2'!$B$27:$B$106,0)),"",VLOOKUP($B48,'Forecast occupancies'!$C$28:$CP$64,55,TRUE)*VLOOKUP($B48,'A1.3.2'!$B$27:$AY$106,49,)*$CR$5)</f>
        <v>14.650224369624604</v>
      </c>
      <c r="BF48" s="1565">
        <f>IF(ISERROR(MATCH($B48,'A1.3.2'!$B$27:$B$106,0)),"",VLOOKUP($B48,'Forecast occupancies'!$C$28:$CP$64,56,TRUE)*VLOOKUP($B48,'A1.3.2'!$B$27:$AY$106,50,)*$CR$5)</f>
        <v>10.501039454754292</v>
      </c>
      <c r="BG48" s="1566">
        <f>IF(ISERROR(MATCH($B48,'A1.3.2'!$B$27:$B$106,0)),"",(((BD48*'VoT5'!$H$28)+(BE48*'VoT5'!$H$29)+(BF48*'VoT5'!$H$30))/100))</f>
        <v>14.13291516622704</v>
      </c>
      <c r="BH48" s="1565">
        <f>IF(ISERROR(MATCH($B48,'A1.3.2'!$B$27:$B$106,0)),"",(VLOOKUP($B48,'Forecast occupancies'!$C$28:$CP$64,58,TRUE) * VLOOKUP($B48, 'A1.3.2'!$B$27:$AY$106,37,)) * $CR$5)</f>
        <v>18.868852576468452</v>
      </c>
      <c r="BI48" s="1565">
        <f>IF(ISERROR(MATCH($B48,'A1.3.2'!$B$27:$B$106,0)),"",(VLOOKUP($B48,'Forecast occupancies'!$C$28:$CP$64,59,TRUE) * (VLOOKUP($B48,'A1.3.2'!$B$27:$AY$106,49,) * 'VoT5'!$J$29 + VLOOKUP($B48,'A1.3.2'!$B$27:$AY$106,50,) * 'VoT5'!$J$30) / (SUM('VoT5'!$J$29:$J$30))) * $CR$5)</f>
        <v>11.517934980388642</v>
      </c>
      <c r="BJ48" s="1566">
        <f>IF(ISERROR(MATCH($B48,'A1.3.2'!$B$27:$B$106,0)),"",(BH48*'VoT5'!$H$31 + BI48*'VoT5'!$H$32)/100)</f>
        <v>17.986742464938875</v>
      </c>
      <c r="BK48" s="1566">
        <f>IF(ISERROR(MATCH($B48,'A1.3.2'!$B$27:$B$106,0)),"",(VLOOKUP($B48,'Forecast occupancies'!$C$28:$CP$64,61,TRUE)*VLOOKUP($B48,'A1.3.2'!$B$27:$AY$106,38,)) * $CR$5)</f>
        <v>18.526709030521683</v>
      </c>
      <c r="BL48" s="1566">
        <f>IF(ISERROR(MATCH($B48,'A1.3.2'!$B$27:$B$106,0)),"",(VLOOKUP($B48,'Forecast occupancies'!$C$28:$CP$64,62,TRUE)*VLOOKUP($B48,'A1.3.2'!$B$27:$AY$106,38,)) * $CR$5)</f>
        <v>18.526709030521683</v>
      </c>
      <c r="BM48" s="1565">
        <f>IF(ISERROR(MATCH($B48,'A1.3.2'!$B$27:$B$106,0)),"",(((VLOOKUP($B48,'Forecast occupancies'!$C$28:$CP$64,63,TRUE) -1) * VLOOKUP($B48,'A1.3.2'!$B$27:$AY$106,40,)) + VLOOKUP($B48,'A1.3.2'!$B$27:$AY$106,39,)) * $CR$5)</f>
        <v>21.71470075541885</v>
      </c>
      <c r="BN48" s="1565">
        <f>IF(ISERROR(MATCH($B48,'A1.3.2'!$B$27:$B$106,0)),"",(VLOOKUP($B48,'Forecast occupancies'!$C$28:$CP$64,64,TRUE) * VLOOKUP($B48,'A1.3.2'!$B$27:$AY$106,49,)) * $CR$5)</f>
        <v>25.081418904886398</v>
      </c>
      <c r="BO48" s="1565">
        <f>IF(ISERROR(MATCH($B48,'A1.3.2'!$B$27:$B$106,0)),"",(VLOOKUP($B48,'Forecast occupancies'!$C$28:$CP$64,65,TRUE) * VLOOKUP($B48,'A1.3.2'!$B$27:$AY$106,50,)) * $CR$5)</f>
        <v>58.837719951886932</v>
      </c>
      <c r="BP48" s="1567">
        <f>IF(ISERROR(MATCH($B48,'A1.3.2'!$B$27:$B$106,0)),"",SUM(BM48:BO48))</f>
        <v>105.63383961219219</v>
      </c>
      <c r="BQ48" s="1565">
        <f>IF(ISERROR(MATCH($B48,'A1.3.2'!$B$27:$B$106,0)),"",(((VLOOKUP($B48,'Forecast occupancies'!$C$28:$CP$64,67,TRUE)-1)*VLOOKUP($B48,'A1.3.2'!$B$27:$AY$106,36,)+VLOOKUP($B48,'A1.3.2'!$B$27:$AY$106,35,))*$CR$5))</f>
        <v>29.987136935608859</v>
      </c>
      <c r="BR48" s="1565">
        <f>IF(ISERROR(MATCH($B48,'A1.3.2'!$B$27:$B$106,0)),"",VLOOKUP($B48,'Forecast occupancies'!$C$28:$CP$64,68,TRUE)*VLOOKUP($B48,'A1.3.2'!$B$27:$AY$106,49,)*$CR$5)</f>
        <v>15.51095335794496</v>
      </c>
      <c r="BS48" s="1565">
        <f>IF(ISERROR(MATCH($B48,'A1.3.2'!$B$27:$B$106,0)),"",VLOOKUP($B48,'Forecast occupancies'!$C$28:$CP$64,69,TRUE)*VLOOKUP($B48,'A1.3.2'!$B$27:$AY$106,50,)*$CR$5)</f>
        <v>12.433483855050056</v>
      </c>
      <c r="BT48" s="1566">
        <f>IF(ISERROR(MATCH($B48,'A1.3.2'!$B$27:$B$106,0)),"",(((BQ48*'VoT5'!$I$28)+(BR48*'VoT5'!$I$29)+(BS48*'VoT5'!$I$30))/100))</f>
        <v>13.285961609914262</v>
      </c>
      <c r="BU48" s="1565">
        <f>IF(ISERROR(MATCH($B48,'A1.3.2'!$B$27:$B$106,0)),"",(VLOOKUP($B48,'Forecast occupancies'!$C$28:$CP$64,71,TRUE) * VLOOKUP($B48, 'A1.3.2'!$B$27:$AY$106,37,)) * $CR$5)</f>
        <v>19.812295205291875</v>
      </c>
      <c r="BV48" s="1565">
        <f>IF(ISERROR(MATCH($B48,'A1.3.2'!$B$27:$B$106,0)),"",(VLOOKUP($B48,'Forecast occupancies'!$C$28:$CP$64,72,TRUE) * (VLOOKUP($B48,'A1.3.2'!$B$27:$AY$106,49,)*'VoT5'!$J$29 + VLOOKUP($B48,'A1.3.2'!$B$27:$AY$106,50,)*'VoT5'!$J$30) / (SUM('VoT5'!$J$29:$J$30))) * $CR$5)</f>
        <v>16.014663020677357</v>
      </c>
      <c r="BW48" s="1566">
        <f>IF(ISERROR(MATCH($B48,'A1.3.2'!$B$27:$B$106,0)),"",(BU48*'VoT5'!$I$31 + BV48*'VoT5'!$I$32)/100)</f>
        <v>19.356579343138133</v>
      </c>
      <c r="BX48" s="1566">
        <f>IF(ISERROR(MATCH($B48,'A1.3.2'!$B$27:$B$106,0)),"",(VLOOKUP($B48,'Forecast occupancies'!$C$28:$CP$64,74,TRUE)*VLOOKUP($B48,'A1.3.2'!$B$27:$AY$106,38,)) * $CR$5)</f>
        <v>18.526709030521683</v>
      </c>
      <c r="BY48" s="1566">
        <f>IF(ISERROR(MATCH($B48,'A1.3.2'!$B$27:$B$106,0)),"",(VLOOKUP($B48,'Forecast occupancies'!$C$28:$CP$64,75,TRUE)*VLOOKUP($B48,'A1.3.2'!$B$27:$AY$106,38,)) * $CR$5)</f>
        <v>18.526709030521683</v>
      </c>
      <c r="BZ48" s="1565">
        <f>IF(ISERROR(MATCH($B48,'A1.3.2'!$B$27:$B$106,0)),"",(((VLOOKUP($B48,'Forecast occupancies'!$C$28:$CP$64,76,TRUE) -1) * VLOOKUP($B48,'A1.3.2'!$B$27:$AY$106,40,)) + VLOOKUP($B48,'A1.3.2'!$B$27:$AY$106,39,)) * $CR$5)</f>
        <v>19.776322652951457</v>
      </c>
      <c r="CA48" s="1565">
        <f>IF(ISERROR(MATCH($B48,'A1.3.2'!$B$27:$B$106,0)),"",(VLOOKUP($B48,'Forecast occupancies'!$C$28:$CP$64,77,TRUE) * VLOOKUP($B48,'A1.3.2'!$B$27:$AY$106,49,)) * $CR$5)</f>
        <v>9.5018093101646279</v>
      </c>
      <c r="CB48" s="1565">
        <f>IF(ISERROR(MATCH($B48,'A1.3.2'!$B$27:$B$106,0)),"",(VLOOKUP($B48,'Forecast occupancies'!$C$28:$CP$64,78,TRUE) * VLOOKUP($B48,'A1.3.2'!$B$27:$AY$106,50,)) * $CR$5)</f>
        <v>66.827193870376661</v>
      </c>
      <c r="CC48" s="1567">
        <f>IF(ISERROR(MATCH($B48,'A1.3.2'!$B$27:$B$106,0)),"",SUM(BZ48:CB48))</f>
        <v>96.105325833492742</v>
      </c>
      <c r="CD48" s="1565">
        <f>IF(ISERROR(MATCH($B48,'A1.3.2'!$B$27:$B$106,0)),"",(((VLOOKUP($B48,'Forecast occupancies'!$C$28:$CP$64,80,TRUE)-1)*VLOOKUP($B48,'A1.3.2'!$B$27:$AY$106,36,)+VLOOKUP($B48,'A1.3.2'!$B$27:$AY$106,35,))*$CR$5))</f>
        <v>26.504439228300861</v>
      </c>
      <c r="CE48" s="1565">
        <f>IF(ISERROR(MATCH($B48,'A1.3.2'!$B$27:$B$106,0)),"",VLOOKUP($B48,'Forecast occupancies'!$C$28:$CP$64,81,TRUE)*VLOOKUP($B48,'A1.3.2'!$B$27:$AY$106,49,)*$CR$5)</f>
        <v>14.719857912147614</v>
      </c>
      <c r="CF48" s="1565">
        <f>IF(ISERROR(MATCH($B48,'A1.3.2'!$B$27:$B$106,0)),"",VLOOKUP($B48,'Forecast occupancies'!$C$28:$CP$64,82,TRUE)*VLOOKUP($B48,'A1.3.2'!$B$27:$AY$106,50,)*$CR$5)</f>
        <v>11.182938064484622</v>
      </c>
      <c r="CG48" s="1566">
        <f>IF(ISERROR(MATCH($B48,'A1.3.2'!$B$27:$B$106,0)),"",(((CD48*'VoT5'!$J$28)+(CE48*'VoT5'!$J$29)+(CF48*'VoT5'!$J$30))/100))</f>
        <v>13.932106500267519</v>
      </c>
      <c r="CH48" s="1565">
        <f>IF(ISERROR(MATCH($B48,'A1.3.2'!$B$27:$B$106,0)),"",(VLOOKUP($B48,'Forecast occupancies'!$C$28:$CP$64,84,TRUE) * VLOOKUP($B48, 'A1.3.2'!$B$27:$AY$106,37,)) * $CR$5)</f>
        <v>18.868852576468452</v>
      </c>
      <c r="CI48" s="1565">
        <f>IF(ISERROR(MATCH($B48,'A1.3.2'!$B$27:$B$106,0)),"",(VLOOKUP($B48,'Forecast occupancies'!$C$28:$CP$64,85,TRUE) * (VLOOKUP($B48,'A1.3.2'!$B$27:$AY$106,49,)*'VoT5'!$J$29 + VLOOKUP($B48,'A1.3.2'!$B$27:$AY$106,50,)*'VoT5'!$J$30) / (SUM('VoT5'!$J$29:$J$30))) * $CR$5)</f>
        <v>12.543504533436948</v>
      </c>
      <c r="CJ48" s="1566">
        <f>IF(ISERROR(MATCH($B48,'A1.3.2'!$B$27:$B$106,0)),"",(CH48*'VoT5'!$J$31 + CI48*'VoT5'!$J$32)/100)</f>
        <v>18.109810811304673</v>
      </c>
      <c r="CK48" s="1566">
        <f>IF(ISERROR(MATCH($B48,'A1.3.2'!$B$27:$B$106,0)),"",(VLOOKUP($B48,'Forecast occupancies'!$C$28:$CP$64,87,TRUE)*VLOOKUP($B48,'A1.3.2'!$B$27:$AY$106,38,)) * $CR$5)</f>
        <v>18.526709030521683</v>
      </c>
      <c r="CL48" s="1566">
        <f>IF(ISERROR(MATCH($B48,'A1.3.2'!$B$27:$B$106,0)),"",(VLOOKUP($B48,'Forecast occupancies'!$C$28:$CP$64,88,TRUE)*VLOOKUP($B48,'A1.3.2'!$B$27:$AY$106,38,)) * $CR$5)</f>
        <v>18.526709030521683</v>
      </c>
      <c r="CM48" s="1565">
        <f>IF(ISERROR(MATCH($B48,'A1.3.2'!$B$27:$B$106,0)),"",(((VLOOKUP($B48,'Forecast occupancies'!$C$28:$CP$64,89,TRUE) -1) * VLOOKUP($B48,'A1.3.2'!$B$27:$AY$106,40,)) + VLOOKUP($B48,'A1.3.2'!$B$27:$AY$106,39,)) * $CR$5)</f>
        <v>21.236035921745845</v>
      </c>
      <c r="CN48" s="1565">
        <f>IF(ISERROR(MATCH($B48,'A1.3.2'!$B$27:$B$106,0)),"",(VLOOKUP($B48,'Forecast occupancies'!$C$28:$CP$64,90,TRUE) * VLOOKUP($B48,'A1.3.2'!$B$27:$AY$106,49,)) * $CR$5)</f>
        <v>21.233434680984317</v>
      </c>
      <c r="CO48" s="1565">
        <f>IF(ISERROR(MATCH($B48,'A1.3.2'!$B$27:$B$106,0)),"",(VLOOKUP($B48,'Forecast occupancies'!$C$28:$CP$64,91,TRUE) * VLOOKUP($B48,'A1.3.2'!$B$27:$AY$106,50,)) * $CR$5)</f>
        <v>60.81098623336289</v>
      </c>
      <c r="CP48" s="1567">
        <f>IF(ISERROR(MATCH($B48,'A1.3.2'!$B$27:$B$106,0)),"",SUM(CM48:CO48))</f>
        <v>103.28045683609305</v>
      </c>
    </row>
    <row r="49" spans="1:94" s="26" customFormat="1" ht="13.5" customHeight="1">
      <c r="A49" s="113"/>
      <c r="B49" s="82">
        <f t="shared" si="0"/>
        <v>2031</v>
      </c>
      <c r="D49" s="1609">
        <f>IF(ISERROR(MATCH($B49,'A1.3.2'!$B$27:$B$106,0)),"",(((VLOOKUP($B49,'Forecast occupancies'!$C$28:$CP$64,2,TRUE) -1) * VLOOKUP($B49,'A1.3.2'!$B$27:$AY$106,36,) + VLOOKUP($B49,'A1.3.2'!$B$27:$AY$106,35,)) * $CR$5))</f>
        <v>26.308185857621851</v>
      </c>
      <c r="E49" s="1565">
        <f>IF(ISERROR(MATCH($B49,'A1.3.2'!$B$27:$B$106,0)),"",VLOOKUP($B49,'Forecast occupancies'!$C$28:$CP$64,3,TRUE)*VLOOKUP($B49,'A1.3.2'!$B$27:$AY$106,49,)*$CR$5)</f>
        <v>14.826002345930291</v>
      </c>
      <c r="F49" s="1565">
        <f>IF(ISERROR(MATCH($B49,'A1.3.2'!$B$27:$B$106,0)),"",VLOOKUP($B49,'Forecast occupancies'!$C$28:$CP$64,4,TRUE)*VLOOKUP($B49,'A1.3.2'!$B$27:$AY$106,50,)*$CR$5)</f>
        <v>10.228793002117726</v>
      </c>
      <c r="G49" s="1566">
        <f>IF(ISERROR(MATCH($B49,'A1.3.2'!$B$27:$B$106,0)),"",(((D49*'VoT5'!$D$28)+(E49*'VoT5'!$D$29)+(F49*'VoT5'!$D$30))/100))</f>
        <v>14.90108594921548</v>
      </c>
      <c r="H49" s="1565">
        <f>IF(ISERROR(MATCH($B49,'A1.3.2'!$B$27:$B$106,0)),"",(VLOOKUP($B49,'Forecast occupancies'!$C$28:$CP$64,6,TRUE) * VLOOKUP($B49, 'A1.3.2'!$B$27:$AY$106,37,)) * $CR$5)</f>
        <v>19.226261242842767</v>
      </c>
      <c r="I49" s="1565">
        <f>IF(ISERROR(MATCH($B49,'A1.3.2'!$B$27:$B$106,0)),"",VLOOKUP($B49,'Forecast occupancies'!$C$28:$CP$64,7,TRUE) * ('VoT5'!$J$29*VLOOKUP($B49, 'A1.3.2'!$B$27:$AY$106,49,)+'VoT5'!$J$30*VLOOKUP($B49, 'A1.3.2'!$B$27:$AY$106,50,))/('VoT5'!$J$29+'VoT5'!$J$30) * $CR$5)</f>
        <v>11.736104567757231</v>
      </c>
      <c r="J49" s="1566">
        <f>IF(ISERROR(MATCH($B49,'A1.3.2'!$B$27:$B$106,0)),"",(H49*'VoT5'!$D$31 + I49*'VoT5'!$D$32)/100)</f>
        <v>18.327442441832503</v>
      </c>
      <c r="K49" s="1566">
        <f>IF(ISERROR(MATCH($B49,'A1.3.2'!$B$27:$B$106,0)),"",(VLOOKUP($B49,'Forecast occupancies'!$C$28:$CP$64,9,TRUE)*VLOOKUP($B49,'A1.3.2'!$B$27:$AY$106,38,)) * $CR$5)</f>
        <v>18.877636907035043</v>
      </c>
      <c r="L49" s="1566">
        <f>IF(ISERROR(MATCH($B49,'A1.3.2'!$B$27:$B$106,0)),"",(VLOOKUP($B49,'Forecast occupancies'!$C$28:$CP$64,10,TRUE)*VLOOKUP($B49,'A1.3.2'!$B$27:$AY$106,38,)) * $CR$5)</f>
        <v>18.877636907035043</v>
      </c>
      <c r="M49" s="1565">
        <f>IF(ISERROR(MATCH($B49,'A1.3.2'!$B$27:$B$106,0)),"",(((VLOOKUP($B49,'Forecast occupancies'!$C$28:$CP$64,11,TRUE) -1) * VLOOKUP($B49,'A1.3.2'!$B$27:$AY$106,40,)) + VLOOKUP($B49,'A1.3.2'!$B$27:$AY$106,39,)) * $CR$5)</f>
        <v>21.511237930668432</v>
      </c>
      <c r="N49" s="1565">
        <f>IF(ISERROR(MATCH($B49,'A1.3.2'!$B$27:$B$106,0)),"",(VLOOKUP($B49,'Forecast occupancies'!$C$28:$CP$64,12,TRUE) * VLOOKUP($B49,'A1.3.2'!$B$27:$AY$106,49,)) * $CR$5)</f>
        <v>29.447275643181253</v>
      </c>
      <c r="O49" s="1565">
        <f>IF(ISERROR(MATCH($B49,'A1.3.2'!$B$27:$B$106,0)),"",(VLOOKUP($B49,'Forecast occupancies'!$C$28:$CP$64,13,TRUE) * VLOOKUP($B49,'A1.3.2'!$B$27:$AY$106,50,)) * $CR$5)</f>
        <v>58.454959924937583</v>
      </c>
      <c r="P49" s="1567">
        <f>IF(ISERROR(MATCH($B49,'A1.3.2'!$B$27:$B$106,0)),"",SUM(M49:O49))</f>
        <v>109.41347349878727</v>
      </c>
      <c r="Q49" s="1609">
        <f>IF(ISERROR(MATCH($B49,'A1.3.2'!$B$27:$B$106,0)),"",(((VLOOKUP($B49,'Forecast occupancies'!$C$28:$CP$64,15,TRUE)-1)*VLOOKUP($B49,'A1.3.2'!$B$27:$AY$106,36,)+VLOOKUP($B49,'A1.3.2'!$B$27:$AY$106,35,))*$CR$5))</f>
        <v>26.95859288265989</v>
      </c>
      <c r="R49" s="1565">
        <f>IF(ISERROR(MATCH($B49,'A1.3.2'!$B$27:$B$106,0)),"",VLOOKUP($B49,'Forecast occupancies'!$C$28:$CP$64,16,TRUE)*VLOOKUP($B49,'A1.3.2'!$B$27:$AY$106,49,)*$CR$5)</f>
        <v>15.067074526604495</v>
      </c>
      <c r="S49" s="1565">
        <f>IF(ISERROR(MATCH($B49,'A1.3.2'!$B$27:$B$106,0)),"",VLOOKUP($B49,'Forecast occupancies'!$C$28:$CP$64,17,TRUE)*VLOOKUP($B49,'A1.3.2'!$B$27:$AY$106,50,)*$CR$5)</f>
        <v>10.896080793802401</v>
      </c>
      <c r="T49" s="1566">
        <f>IF(ISERROR(MATCH($B49,'A1.3.2'!$B$27:$B$106,0)),"",(((Q49*'VoT5'!$E$28)+(R49*'VoT5'!$E$29)+(S49*'VoT5'!$E$30))/100))</f>
        <v>14.033986294516778</v>
      </c>
      <c r="U49" s="1565">
        <f>IF(ISERROR(MATCH($B49,'A1.3.2'!$B$27:$B$106,0)),"",(VLOOKUP($B49,'Forecast occupancies'!$C$28:$CP$64,19,TRUE) * VLOOKUP($B49, 'A1.3.2'!$B$27:$AY$106,37,)) * $CR$5)</f>
        <v>19.226261242842767</v>
      </c>
      <c r="V49" s="1565">
        <f>IF(ISERROR(MATCH($B49,'A1.3.2'!$B$27:$B$106,0)),"",VLOOKUP($B49,'Forecast occupancies'!$C$28:$CP$64,20,TRUE) * ('VoT5'!$J$29*VLOOKUP($B49, 'A1.3.2'!$B$27:$AY$106,49,)+'VoT5'!$J$30*VLOOKUP($B49, 'A1.3.2'!$B$27:$AY$106,50,))/('VoT5'!$J$29+'VoT5'!$J$30) * $CR$5)</f>
        <v>11.736104567757231</v>
      </c>
      <c r="W49" s="1566">
        <f>IF(ISERROR(MATCH($B49,'A1.3.2'!$B$27:$B$106,0)),"",(U49*'VoT5'!$E$31 + V49*'VoT5'!$E$32)/100)</f>
        <v>18.327442441832503</v>
      </c>
      <c r="X49" s="1566">
        <f>IF(ISERROR(MATCH($B49,'A1.3.2'!$B$27:$B$106,0)),"",(VLOOKUP($B49,'Forecast occupancies'!$C$28:$CP$64,22,TRUE)*VLOOKUP($B49,'A1.3.2'!$B$27:$AY$106,38,)) * $CR$5)</f>
        <v>18.877636907035043</v>
      </c>
      <c r="Y49" s="1566">
        <f>IF(ISERROR(MATCH($B49,'A1.3.2'!$B$27:$B$106,0)),"",(VLOOKUP($B49,'Forecast occupancies'!$C$28:$CP$64,23,TRUE)*VLOOKUP($B49,'A1.3.2'!$B$27:$AY$106,38,)) * $CR$5)</f>
        <v>18.877636907035043</v>
      </c>
      <c r="Z49" s="1565">
        <f>IF(ISERROR(MATCH($B49,'A1.3.2'!$B$27:$B$106,0)),"",(((VLOOKUP($B49,'Forecast occupancies'!$C$28:$CP$64,24,TRUE) -1) * VLOOKUP($B49,'A1.3.2'!$B$27:$AY$106,40,)) + VLOOKUP($B49,'A1.3.2'!$B$27:$AY$106,39,)) * $CR$5)</f>
        <v>21.950301426258505</v>
      </c>
      <c r="AA49" s="1565">
        <f>IF(ISERROR(MATCH($B49,'A1.3.2'!$B$27:$B$106,0)),"",(VLOOKUP($B49,'Forecast occupancies'!$C$28:$CP$64,25,TRUE) * VLOOKUP($B49,'A1.3.2'!$B$27:$AY$106,49,)) * $CR$5)</f>
        <v>10.320333056140806</v>
      </c>
      <c r="AB49" s="1565">
        <f>IF(ISERROR(MATCH($B49,'A1.3.2'!$B$27:$B$106,0)),"",(VLOOKUP($B49,'Forecast occupancies'!$C$28:$CP$64,26,TRUE) * VLOOKUP($B49,'A1.3.2'!$B$27:$AY$106,50,)) * $CR$5)</f>
        <v>66.986087038514427</v>
      </c>
      <c r="AC49" s="1567">
        <f>IF(ISERROR(MATCH($B49,'A1.3.2'!$B$27:$B$106,0)),"",SUM(Z49:AB49))</f>
        <v>99.256721520913743</v>
      </c>
      <c r="AD49" s="1609">
        <f>IF(ISERROR(MATCH($B49,'A1.3.2'!$B$27:$B$106,0)),"",(((VLOOKUP($B49,'Forecast occupancies'!$C$28:$CP$64,28,TRUE)-1)*VLOOKUP($B49,'A1.3.2'!$B$27:$AY$106,36,)+VLOOKUP($B49,'A1.3.2'!$B$27:$AY$106,35,))*$CR$5))</f>
        <v>26.687853116064652</v>
      </c>
      <c r="AE49" s="1565">
        <f>IF(ISERROR(MATCH($B49,'A1.3.2'!$B$27:$B$106,0)),"",VLOOKUP($B49,'Forecast occupancies'!$C$28:$CP$64,29,TRUE)*VLOOKUP($B49,'A1.3.2'!$B$27:$AY$106,49,)*$CR$5)</f>
        <v>14.877142521013688</v>
      </c>
      <c r="AF49" s="1565">
        <f>IF(ISERROR(MATCH($B49,'A1.3.2'!$B$27:$B$106,0)),"",VLOOKUP($B49,'Forecast occupancies'!$C$28:$CP$64,30,TRUE)*VLOOKUP($B49,'A1.3.2'!$B$27:$AY$106,50,)*$CR$5)</f>
        <v>10.711670567750815</v>
      </c>
      <c r="AG49" s="1566">
        <f>IF(ISERROR(MATCH($B49,'A1.3.2'!$B$27:$B$106,0)),"",(((AD49*'VoT5'!$F$28)+(AE49*'VoT5'!$F$29)+(AF49*'VoT5'!$F$30))/100))</f>
        <v>14.316884561717609</v>
      </c>
      <c r="AH49" s="1565">
        <f>IF(ISERROR(MATCH($B49,'A1.3.2'!$B$27:$B$106,0)),"",(VLOOKUP($B49,'Forecast occupancies'!$C$28:$CP$64,32,TRUE) * VLOOKUP($B49, 'A1.3.2'!$B$27:$AY$106,37,)) * $CR$5)</f>
        <v>19.226261242842767</v>
      </c>
      <c r="AI49" s="1565">
        <f>IF(ISERROR(MATCH($B49,'A1.3.2'!$B$27:$B$106,0)),"",VLOOKUP($B49,'Forecast occupancies'!$C$28:$CP$64,33,TRUE) * ('VoT5'!$J$29*VLOOKUP($B49, 'A1.3.2'!$B$27:$AY$106,49,)+'VoT5'!$J$30*VLOOKUP($B49, 'A1.3.2'!$B$27:$AY$106,50,))/('VoT5'!$J$29+'VoT5'!$J$30) * $CR$5)</f>
        <v>11.736104567757231</v>
      </c>
      <c r="AJ49" s="1566">
        <f>IF(ISERROR(MATCH($B49,'A1.3.2'!$B$27:$B$106,0)),"",(AH49*'VoT5'!$F$31 + AI49*'VoT5'!$F$32)/100)</f>
        <v>18.327442441832503</v>
      </c>
      <c r="AK49" s="1566">
        <f>IF(ISERROR(MATCH($B49,'A1.3.2'!$B$27:$B$106,0)),"",(VLOOKUP($B49,'Forecast occupancies'!$C$28:$CP$64,35,TRUE)*VLOOKUP($B49,'A1.3.2'!$B$27:$AY$106,38,)) * $CR$5)</f>
        <v>18.877636907035043</v>
      </c>
      <c r="AL49" s="1566">
        <f>IF(ISERROR(MATCH($B49,'A1.3.2'!$B$27:$B$106,0)),"",(VLOOKUP($B49,'Forecast occupancies'!$C$28:$CP$64,36,TRUE)*VLOOKUP($B49,'A1.3.2'!$B$27:$AY$106,38,)) * $CR$5)</f>
        <v>18.877636907035043</v>
      </c>
      <c r="AM49" s="1565">
        <f>IF(ISERROR(MATCH($B49,'A1.3.2'!$B$27:$B$106,0)),"",(((VLOOKUP($B49,'Forecast occupancies'!$C$28:$CP$64,37,TRUE) -1) * VLOOKUP($B49,'A1.3.2'!$B$27:$AY$106,40,)) + VLOOKUP($B49,'A1.3.2'!$B$27:$AY$106,39,)) * $CR$5)</f>
        <v>22.966316738121936</v>
      </c>
      <c r="AN49" s="1565">
        <f>IF(ISERROR(MATCH($B49,'A1.3.2'!$B$27:$B$106,0)),"",(VLOOKUP($B49,'Forecast occupancies'!$C$28:$CP$64,38,TRUE) * VLOOKUP($B49,'A1.3.2'!$B$27:$AY$106,49,)) * $CR$5)</f>
        <v>41.413986816734329</v>
      </c>
      <c r="AO49" s="1565">
        <f>IF(ISERROR(MATCH($B49,'A1.3.2'!$B$27:$B$106,0)),"",(VLOOKUP($B49,'Forecast occupancies'!$C$28:$CP$64,39,TRUE) * VLOOKUP($B49,'A1.3.2'!$B$27:$AY$106,50,)) * $CR$5)</f>
        <v>52.333552409520017</v>
      </c>
      <c r="AP49" s="1567">
        <f>IF(ISERROR(MATCH($B49,'A1.3.2'!$B$27:$B$106,0)),"",SUM(AM49:AO49))</f>
        <v>116.71385596437628</v>
      </c>
      <c r="AQ49" s="1609">
        <f>IF(ISERROR(MATCH($B49,'A1.3.2'!$B$27:$B$106,0)),"",(((VLOOKUP($B49,'Forecast occupancies'!$C$28:$CP$64,41,TRUE)-1)*VLOOKUP($B49,'A1.3.2'!$B$27:$AY$106,36,)+VLOOKUP($B49,'A1.3.2'!$B$27:$AY$106,35,))*$CR$5))</f>
        <v>27.192803901132891</v>
      </c>
      <c r="AR49" s="1565">
        <f>IF(ISERROR(MATCH($B49,'A1.3.2'!$B$27:$B$106,0)),"",VLOOKUP($B49,'Forecast occupancies'!$C$28:$CP$64,42,TRUE)*VLOOKUP($B49,'A1.3.2'!$B$27:$AY$106,49,)*$CR$5)</f>
        <v>15.09488367063547</v>
      </c>
      <c r="AS49" s="1565">
        <f>IF(ISERROR(MATCH($B49,'A1.3.2'!$B$27:$B$106,0)),"",VLOOKUP($B49,'Forecast occupancies'!$C$28:$CP$64,43,TRUE)*VLOOKUP($B49,'A1.3.2'!$B$27:$AY$106,50,)*$CR$5)</f>
        <v>10.673427554965301</v>
      </c>
      <c r="AT49" s="1566">
        <f>IF(ISERROR(MATCH($B49,'A1.3.2'!$B$27:$B$106,0)),"",(((AQ49*'VoT5'!$G$28)+(AR49*'VoT5'!$G$29)+(AS49*'VoT5'!$G$30))/100))</f>
        <v>14.505077143859996</v>
      </c>
      <c r="AU49" s="1565">
        <f>IF(ISERROR(MATCH($B49,'A1.3.2'!$B$27:$B$106,0)),"",(VLOOKUP($B49,'Forecast occupancies'!$C$28:$CP$64,45,TRUE) * VLOOKUP($B49, 'A1.3.2'!$B$27:$AY$106,37,)) * $CR$5)</f>
        <v>19.226261242842767</v>
      </c>
      <c r="AV49" s="1565">
        <f>IF(ISERROR(MATCH($B49,'A1.3.2'!$B$27:$B$106,0)),"",VLOOKUP($B49,'Forecast occupancies'!$C$28:$CP$64,46,TRUE) * ('VoT5'!$J$29*VLOOKUP($B49, 'A1.3.2'!$B$27:$AY$106,49,)+'VoT5'!$J$30*VLOOKUP($B49, 'A1.3.2'!$B$27:$AY$106,50,))/('VoT5'!$J$29+'VoT5'!$J$30) * $CR$5)</f>
        <v>11.736104567757231</v>
      </c>
      <c r="AW49" s="1566">
        <f>IF(ISERROR(MATCH($B49,'A1.3.2'!$B$27:$B$106,0)),"",(AU49*'VoT5'!$G$31 + AV49*'VoT5'!$G$32)/100)</f>
        <v>18.327442441832503</v>
      </c>
      <c r="AX49" s="1566">
        <f>IF(ISERROR(MATCH($B49,'A1.3.2'!$B$27:$B$106,0)),"",(VLOOKUP($B49,'Forecast occupancies'!$C$28:$CP$64,48,TRUE)*VLOOKUP($B49,'A1.3.2'!$B$27:$AY$106,38,)) * $CR$5)</f>
        <v>18.877636907035043</v>
      </c>
      <c r="AY49" s="1566">
        <f>IF(ISERROR(MATCH($B49,'A1.3.2'!$B$27:$B$106,0)),"",(VLOOKUP($B49,'Forecast occupancies'!$C$28:$CP$64,49,TRUE)*VLOOKUP($B49,'A1.3.2'!$B$27:$AY$106,38,)) * $CR$5)</f>
        <v>18.877636907035043</v>
      </c>
      <c r="AZ49" s="1565">
        <f>IF(ISERROR(MATCH($B49,'A1.3.2'!$B$27:$B$106,0)),"",(((VLOOKUP($B49,'Forecast occupancies'!$C$28:$CP$64,50,TRUE) -1) * VLOOKUP($B49,'A1.3.2'!$B$27:$AY$106,40,)) + VLOOKUP($B49,'A1.3.2'!$B$27:$AY$106,39,)) * $CR$5)</f>
        <v>22.947744494359505</v>
      </c>
      <c r="BA49" s="1565">
        <f>IF(ISERROR(MATCH($B49,'A1.3.2'!$B$27:$B$106,0)),"",(VLOOKUP($B49,'Forecast occupancies'!$C$28:$CP$64,51,TRUE) * VLOOKUP($B49,'A1.3.2'!$B$27:$AY$106,49,)) * $CR$5)</f>
        <v>56.611891274257673</v>
      </c>
      <c r="BB49" s="1565">
        <f>IF(ISERROR(MATCH($B49,'A1.3.2'!$B$27:$B$106,0)),"",(VLOOKUP($B49,'Forecast occupancies'!$C$28:$CP$64,52,TRUE) * VLOOKUP($B49,'A1.3.2'!$B$27:$AY$106,50,)) * $CR$5)</f>
        <v>45.405189661164044</v>
      </c>
      <c r="BC49" s="1567">
        <f>IF(ISERROR(MATCH($B49,'A1.3.2'!$B$27:$B$106,0)),"",SUM(AZ49:BB49))</f>
        <v>124.96482542978121</v>
      </c>
      <c r="BD49" s="1565">
        <f>IF(ISERROR(MATCH($B49,'A1.3.2'!$B$27:$B$106,0)),"",(((VLOOKUP($B49,'Forecast occupancies'!$C$28:$CP$64,54,TRUE)-1)*VLOOKUP($B49,'A1.3.2'!$B$27:$AY$106,36,)+VLOOKUP($B49,'A1.3.2'!$B$27:$AY$106,35,))*$CR$5))</f>
        <v>26.735338541136095</v>
      </c>
      <c r="BE49" s="1565">
        <f>IF(ISERROR(MATCH($B49,'A1.3.2'!$B$27:$B$106,0)),"",VLOOKUP($B49,'Forecast occupancies'!$C$28:$CP$64,55,TRUE)*VLOOKUP($B49,'A1.3.2'!$B$27:$AY$106,49,)*$CR$5)</f>
        <v>14.927724929492356</v>
      </c>
      <c r="BF49" s="1565">
        <f>IF(ISERROR(MATCH($B49,'A1.3.2'!$B$27:$B$106,0)),"",VLOOKUP($B49,'Forecast occupancies'!$C$28:$CP$64,56,TRUE)*VLOOKUP($B49,'A1.3.2'!$B$27:$AY$106,50,)*$CR$5)</f>
        <v>10.699947284038435</v>
      </c>
      <c r="BG49" s="1566">
        <f>IF(ISERROR(MATCH($B49,'A1.3.2'!$B$27:$B$106,0)),"",(((BD49*'VoT5'!$H$28)+(BE49*'VoT5'!$H$29)+(BF49*'VoT5'!$H$30))/100))</f>
        <v>14.400616996058602</v>
      </c>
      <c r="BH49" s="1565">
        <f>IF(ISERROR(MATCH($B49,'A1.3.2'!$B$27:$B$106,0)),"",(VLOOKUP($B49,'Forecast occupancies'!$C$28:$CP$64,58,TRUE) * VLOOKUP($B49, 'A1.3.2'!$B$27:$AY$106,37,)) * $CR$5)</f>
        <v>19.226261242842767</v>
      </c>
      <c r="BI49" s="1565">
        <f>IF(ISERROR(MATCH($B49,'A1.3.2'!$B$27:$B$106,0)),"",(VLOOKUP($B49,'Forecast occupancies'!$C$28:$CP$64,59,TRUE) * (VLOOKUP($B49,'A1.3.2'!$B$27:$AY$106,49,) * 'VoT5'!$J$29 + VLOOKUP($B49,'A1.3.2'!$B$27:$AY$106,50,) * 'VoT5'!$J$30) / (SUM('VoT5'!$J$29:$J$30))) * $CR$5)</f>
        <v>11.736104567757231</v>
      </c>
      <c r="BJ49" s="1566">
        <f>IF(ISERROR(MATCH($B49,'A1.3.2'!$B$27:$B$106,0)),"",(BH49*'VoT5'!$H$31 + BI49*'VoT5'!$H$32)/100)</f>
        <v>18.327442441832503</v>
      </c>
      <c r="BK49" s="1566">
        <f>IF(ISERROR(MATCH($B49,'A1.3.2'!$B$27:$B$106,0)),"",(VLOOKUP($B49,'Forecast occupancies'!$C$28:$CP$64,61,TRUE)*VLOOKUP($B49,'A1.3.2'!$B$27:$AY$106,38,)) * $CR$5)</f>
        <v>18.877636907035043</v>
      </c>
      <c r="BL49" s="1566">
        <f>IF(ISERROR(MATCH($B49,'A1.3.2'!$B$27:$B$106,0)),"",(VLOOKUP($B49,'Forecast occupancies'!$C$28:$CP$64,62,TRUE)*VLOOKUP($B49,'A1.3.2'!$B$27:$AY$106,38,)) * $CR$5)</f>
        <v>18.877636907035043</v>
      </c>
      <c r="BM49" s="1565">
        <f>IF(ISERROR(MATCH($B49,'A1.3.2'!$B$27:$B$106,0)),"",(((VLOOKUP($B49,'Forecast occupancies'!$C$28:$CP$64,63,TRUE) -1) * VLOOKUP($B49,'A1.3.2'!$B$27:$AY$106,40,)) + VLOOKUP($B49,'A1.3.2'!$B$27:$AY$106,39,)) * $CR$5)</f>
        <v>22.12601470290236</v>
      </c>
      <c r="BN49" s="1565">
        <f>IF(ISERROR(MATCH($B49,'A1.3.2'!$B$27:$B$106,0)),"",(VLOOKUP($B49,'Forecast occupancies'!$C$28:$CP$64,64,TRUE) * VLOOKUP($B49,'A1.3.2'!$B$27:$AY$106,49,)) * $CR$5)</f>
        <v>25.55650431059626</v>
      </c>
      <c r="BO49" s="1565">
        <f>IF(ISERROR(MATCH($B49,'A1.3.2'!$B$27:$B$106,0)),"",(VLOOKUP($B49,'Forecast occupancies'!$C$28:$CP$64,65,TRUE) * VLOOKUP($B49,'A1.3.2'!$B$27:$AY$106,50,)) * $CR$5)</f>
        <v>59.9522080181478</v>
      </c>
      <c r="BP49" s="1567">
        <f>IF(ISERROR(MATCH($B49,'A1.3.2'!$B$27:$B$106,0)),"",SUM(BM49:BO49))</f>
        <v>107.63472703164642</v>
      </c>
      <c r="BQ49" s="1565">
        <f>IF(ISERROR(MATCH($B49,'A1.3.2'!$B$27:$B$106,0)),"",(((VLOOKUP($B49,'Forecast occupancies'!$C$28:$CP$64,67,TRUE)-1)*VLOOKUP($B49,'A1.3.2'!$B$27:$AY$106,36,)+VLOOKUP($B49,'A1.3.2'!$B$27:$AY$106,35,))*$CR$5))</f>
        <v>30.555145116133094</v>
      </c>
      <c r="BR49" s="1565">
        <f>IF(ISERROR(MATCH($B49,'A1.3.2'!$B$27:$B$106,0)),"",VLOOKUP($B49,'Forecast occupancies'!$C$28:$CP$64,68,TRUE)*VLOOKUP($B49,'A1.3.2'!$B$27:$AY$106,49,)*$CR$5)</f>
        <v>15.804757611880943</v>
      </c>
      <c r="BS49" s="1565">
        <f>IF(ISERROR(MATCH($B49,'A1.3.2'!$B$27:$B$106,0)),"",VLOOKUP($B49,'Forecast occupancies'!$C$28:$CP$64,69,TRUE)*VLOOKUP($B49,'A1.3.2'!$B$27:$AY$106,50,)*$CR$5)</f>
        <v>12.668995519843179</v>
      </c>
      <c r="BT49" s="1566">
        <f>IF(ISERROR(MATCH($B49,'A1.3.2'!$B$27:$B$106,0)),"",(((BQ49*'VoT5'!$I$28)+(BR49*'VoT5'!$I$29)+(BS49*'VoT5'!$I$30))/100))</f>
        <v>13.537620676158797</v>
      </c>
      <c r="BU49" s="1565">
        <f>IF(ISERROR(MATCH($B49,'A1.3.2'!$B$27:$B$106,0)),"",(VLOOKUP($B49,'Forecast occupancies'!$C$28:$CP$64,71,TRUE) * VLOOKUP($B49, 'A1.3.2'!$B$27:$AY$106,37,)) * $CR$5)</f>
        <v>20.187574304984906</v>
      </c>
      <c r="BV49" s="1565">
        <f>IF(ISERROR(MATCH($B49,'A1.3.2'!$B$27:$B$106,0)),"",(VLOOKUP($B49,'Forecast occupancies'!$C$28:$CP$64,72,TRUE) * (VLOOKUP($B49,'A1.3.2'!$B$27:$AY$106,49,)*'VoT5'!$J$29 + VLOOKUP($B49,'A1.3.2'!$B$27:$AY$106,50,)*'VoT5'!$J$30) / (SUM('VoT5'!$J$29:$J$30))) * $CR$5)</f>
        <v>16.318008405854233</v>
      </c>
      <c r="BW49" s="1566">
        <f>IF(ISERROR(MATCH($B49,'A1.3.2'!$B$27:$B$106,0)),"",(BU49*'VoT5'!$I$31 + BV49*'VoT5'!$I$32)/100)</f>
        <v>19.723226397089224</v>
      </c>
      <c r="BX49" s="1566">
        <f>IF(ISERROR(MATCH($B49,'A1.3.2'!$B$27:$B$106,0)),"",(VLOOKUP($B49,'Forecast occupancies'!$C$28:$CP$64,74,TRUE)*VLOOKUP($B49,'A1.3.2'!$B$27:$AY$106,38,)) * $CR$5)</f>
        <v>18.877636907035043</v>
      </c>
      <c r="BY49" s="1566">
        <f>IF(ISERROR(MATCH($B49,'A1.3.2'!$B$27:$B$106,0)),"",(VLOOKUP($B49,'Forecast occupancies'!$C$28:$CP$64,75,TRUE)*VLOOKUP($B49,'A1.3.2'!$B$27:$AY$106,38,)) * $CR$5)</f>
        <v>18.877636907035043</v>
      </c>
      <c r="BZ49" s="1565">
        <f>IF(ISERROR(MATCH($B49,'A1.3.2'!$B$27:$B$106,0)),"",(((VLOOKUP($B49,'Forecast occupancies'!$C$28:$CP$64,76,TRUE) -1) * VLOOKUP($B49,'A1.3.2'!$B$27:$AY$106,40,)) + VLOOKUP($B49,'A1.3.2'!$B$27:$AY$106,39,)) * $CR$5)</f>
        <v>20.150920370355554</v>
      </c>
      <c r="CA49" s="1565">
        <f>IF(ISERROR(MATCH($B49,'A1.3.2'!$B$27:$B$106,0)),"",(VLOOKUP($B49,'Forecast occupancies'!$C$28:$CP$64,77,TRUE) * VLOOKUP($B49,'A1.3.2'!$B$27:$AY$106,49,)) * $CR$5)</f>
        <v>9.6817899942007237</v>
      </c>
      <c r="CB49" s="1565">
        <f>IF(ISERROR(MATCH($B49,'A1.3.2'!$B$27:$B$106,0)),"",(VLOOKUP($B49,'Forecast occupancies'!$C$28:$CP$64,78,TRUE) * VLOOKUP($B49,'A1.3.2'!$B$27:$AY$106,50,)) * $CR$5)</f>
        <v>68.093016375584867</v>
      </c>
      <c r="CC49" s="1567">
        <f>IF(ISERROR(MATCH($B49,'A1.3.2'!$B$27:$B$106,0)),"",SUM(BZ49:CB49))</f>
        <v>97.925726740141144</v>
      </c>
      <c r="CD49" s="1565">
        <f>IF(ISERROR(MATCH($B49,'A1.3.2'!$B$27:$B$106,0)),"",(((VLOOKUP($B49,'Forecast occupancies'!$C$28:$CP$64,80,TRUE)-1)*VLOOKUP($B49,'A1.3.2'!$B$27:$AY$106,36,)+VLOOKUP($B49,'A1.3.2'!$B$27:$AY$106,35,))*$CR$5))</f>
        <v>27.006479097402377</v>
      </c>
      <c r="CE49" s="1565">
        <f>IF(ISERROR(MATCH($B49,'A1.3.2'!$B$27:$B$106,0)),"",VLOOKUP($B49,'Forecast occupancies'!$C$28:$CP$64,81,TRUE)*VLOOKUP($B49,'A1.3.2'!$B$27:$AY$106,49,)*$CR$5)</f>
        <v>14.998677451612412</v>
      </c>
      <c r="CF49" s="1565">
        <f>IF(ISERROR(MATCH($B49,'A1.3.2'!$B$27:$B$106,0)),"",VLOOKUP($B49,'Forecast occupancies'!$C$28:$CP$64,82,TRUE)*VLOOKUP($B49,'A1.3.2'!$B$27:$AY$106,50,)*$CR$5)</f>
        <v>11.394762231512066</v>
      </c>
      <c r="CG49" s="1566">
        <f>IF(ISERROR(MATCH($B49,'A1.3.2'!$B$27:$B$106,0)),"",(((CD49*'VoT5'!$J$28)+(CE49*'VoT5'!$J$29)+(CF49*'VoT5'!$J$30))/100))</f>
        <v>14.196004667040816</v>
      </c>
      <c r="CH49" s="1565">
        <f>IF(ISERROR(MATCH($B49,'A1.3.2'!$B$27:$B$106,0)),"",(VLOOKUP($B49,'Forecast occupancies'!$C$28:$CP$64,84,TRUE) * VLOOKUP($B49, 'A1.3.2'!$B$27:$AY$106,37,)) * $CR$5)</f>
        <v>19.226261242842767</v>
      </c>
      <c r="CI49" s="1565">
        <f>IF(ISERROR(MATCH($B49,'A1.3.2'!$B$27:$B$106,0)),"",(VLOOKUP($B49,'Forecast occupancies'!$C$28:$CP$64,85,TRUE) * (VLOOKUP($B49,'A1.3.2'!$B$27:$AY$106,49,)*'VoT5'!$J$29 + VLOOKUP($B49,'A1.3.2'!$B$27:$AY$106,50,)*'VoT5'!$J$30) / (SUM('VoT5'!$J$29:$J$30))) * $CR$5)</f>
        <v>12.781100179954795</v>
      </c>
      <c r="CJ49" s="1566">
        <f>IF(ISERROR(MATCH($B49,'A1.3.2'!$B$27:$B$106,0)),"",(CH49*'VoT5'!$J$31 + CI49*'VoT5'!$J$32)/100)</f>
        <v>18.452841915296212</v>
      </c>
      <c r="CK49" s="1566">
        <f>IF(ISERROR(MATCH($B49,'A1.3.2'!$B$27:$B$106,0)),"",(VLOOKUP($B49,'Forecast occupancies'!$C$28:$CP$64,87,TRUE)*VLOOKUP($B49,'A1.3.2'!$B$27:$AY$106,38,)) * $CR$5)</f>
        <v>18.877636907035043</v>
      </c>
      <c r="CL49" s="1566">
        <f>IF(ISERROR(MATCH($B49,'A1.3.2'!$B$27:$B$106,0)),"",(VLOOKUP($B49,'Forecast occupancies'!$C$28:$CP$64,88,TRUE)*VLOOKUP($B49,'A1.3.2'!$B$27:$AY$106,38,)) * $CR$5)</f>
        <v>18.877636907035043</v>
      </c>
      <c r="CM49" s="1565">
        <f>IF(ISERROR(MATCH($B49,'A1.3.2'!$B$27:$B$106,0)),"",(((VLOOKUP($B49,'Forecast occupancies'!$C$28:$CP$64,89,TRUE) -1) * VLOOKUP($B49,'A1.3.2'!$B$27:$AY$106,40,)) + VLOOKUP($B49,'A1.3.2'!$B$27:$AY$106,39,)) * $CR$5)</f>
        <v>21.638283130319287</v>
      </c>
      <c r="CN49" s="1565">
        <f>IF(ISERROR(MATCH($B49,'A1.3.2'!$B$27:$B$106,0)),"",(VLOOKUP($B49,'Forecast occupancies'!$C$28:$CP$64,90,TRUE) * VLOOKUP($B49,'A1.3.2'!$B$27:$AY$106,49,)) * $CR$5)</f>
        <v>21.635632617563733</v>
      </c>
      <c r="CO49" s="1565">
        <f>IF(ISERROR(MATCH($B49,'A1.3.2'!$B$27:$B$106,0)),"",(VLOOKUP($B49,'Forecast occupancies'!$C$28:$CP$64,91,TRUE) * VLOOKUP($B49,'A1.3.2'!$B$27:$AY$106,50,)) * $CR$5)</f>
        <v>61.962851372087783</v>
      </c>
      <c r="CP49" s="1567">
        <f>IF(ISERROR(MATCH($B49,'A1.3.2'!$B$27:$B$106,0)),"",SUM(CM49:CO49))</f>
        <v>105.23676711997081</v>
      </c>
    </row>
    <row r="50" spans="1:94" s="26" customFormat="1" ht="13.5" customHeight="1">
      <c r="A50" s="113"/>
      <c r="B50" s="82">
        <f t="shared" si="0"/>
        <v>2032</v>
      </c>
      <c r="D50" s="1609">
        <f>IF(ISERROR(MATCH($B50,'A1.3.2'!$B$27:$B$106,0)),"",(((VLOOKUP($B50,'Forecast occupancies'!$C$28:$CP$64,2,TRUE) -1) * VLOOKUP($B50,'A1.3.2'!$B$27:$AY$106,36,) + VLOOKUP($B50,'A1.3.2'!$B$27:$AY$106,35,)) * $CR$5))</f>
        <v>26.804186662804391</v>
      </c>
      <c r="E50" s="1565">
        <f>IF(ISERROR(MATCH($B50,'A1.3.2'!$B$27:$B$106,0)),"",VLOOKUP($B50,'Forecast occupancies'!$C$28:$CP$64,3,TRUE)*VLOOKUP($B50,'A1.3.2'!$B$27:$AY$106,49,)*$CR$5)</f>
        <v>15.1055240560557</v>
      </c>
      <c r="F50" s="1565">
        <f>IF(ISERROR(MATCH($B50,'A1.3.2'!$B$27:$B$106,0)),"",VLOOKUP($B50,'Forecast occupancies'!$C$28:$CP$64,4,TRUE)*VLOOKUP($B50,'A1.3.2'!$B$27:$AY$106,50,)*$CR$5)</f>
        <v>10.421641326686865</v>
      </c>
      <c r="G50" s="1566">
        <f>IF(ISERROR(MATCH($B50,'A1.3.2'!$B$27:$B$106,0)),"",(((D50*'VoT5'!$D$28)+(E50*'VoT5'!$D$29)+(F50*'VoT5'!$D$30))/100))</f>
        <v>15.182023246409001</v>
      </c>
      <c r="H50" s="1565">
        <f>IF(ISERROR(MATCH($B50,'A1.3.2'!$B$27:$B$106,0)),"",(VLOOKUP($B50,'Forecast occupancies'!$C$28:$CP$64,6,TRUE) * VLOOKUP($B50, 'A1.3.2'!$B$27:$AY$106,37,)) * $CR$5)</f>
        <v>19.588743137592537</v>
      </c>
      <c r="I50" s="1565">
        <f>IF(ISERROR(MATCH($B50,'A1.3.2'!$B$27:$B$106,0)),"",VLOOKUP($B50,'Forecast occupancies'!$C$28:$CP$64,7,TRUE) * ('VoT5'!$J$29*VLOOKUP($B50, 'A1.3.2'!$B$27:$AY$106,49,)+'VoT5'!$J$30*VLOOKUP($B50, 'A1.3.2'!$B$27:$AY$106,50,))/('VoT5'!$J$29+'VoT5'!$J$30) * $CR$5)</f>
        <v>11.957370957876925</v>
      </c>
      <c r="J50" s="1566">
        <f>IF(ISERROR(MATCH($B50,'A1.3.2'!$B$27:$B$106,0)),"",(H50*'VoT5'!$D$31 + I50*'VoT5'!$D$32)/100)</f>
        <v>18.672978476026664</v>
      </c>
      <c r="K50" s="1566">
        <f>IF(ISERROR(MATCH($B50,'A1.3.2'!$B$27:$B$106,0)),"",(VLOOKUP($B50,'Forecast occupancies'!$C$28:$CP$64,9,TRUE)*VLOOKUP($B50,'A1.3.2'!$B$27:$AY$106,38,)) * $CR$5)</f>
        <v>19.233546020514275</v>
      </c>
      <c r="L50" s="1566">
        <f>IF(ISERROR(MATCH($B50,'A1.3.2'!$B$27:$B$106,0)),"",(VLOOKUP($B50,'Forecast occupancies'!$C$28:$CP$64,10,TRUE)*VLOOKUP($B50,'A1.3.2'!$B$27:$AY$106,38,)) * $CR$5)</f>
        <v>19.233546020514275</v>
      </c>
      <c r="M50" s="1565">
        <f>IF(ISERROR(MATCH($B50,'A1.3.2'!$B$27:$B$106,0)),"",(((VLOOKUP($B50,'Forecast occupancies'!$C$28:$CP$64,11,TRUE) -1) * VLOOKUP($B50,'A1.3.2'!$B$27:$AY$106,40,)) + VLOOKUP($B50,'A1.3.2'!$B$27:$AY$106,39,)) * $CR$5)</f>
        <v>21.916799583297305</v>
      </c>
      <c r="N50" s="1565">
        <f>IF(ISERROR(MATCH($B50,'A1.3.2'!$B$27:$B$106,0)),"",(VLOOKUP($B50,'Forecast occupancies'!$C$28:$CP$64,12,TRUE) * VLOOKUP($B50,'A1.3.2'!$B$27:$AY$106,49,)) * $CR$5)</f>
        <v>30.002459208802076</v>
      </c>
      <c r="O50" s="1565">
        <f>IF(ISERROR(MATCH($B50,'A1.3.2'!$B$27:$B$106,0)),"",(VLOOKUP($B50,'Forecast occupancies'!$C$28:$CP$64,13,TRUE) * VLOOKUP($B50,'A1.3.2'!$B$27:$AY$106,50,)) * $CR$5)</f>
        <v>59.557039230085955</v>
      </c>
      <c r="P50" s="1567">
        <f>IF(ISERROR(MATCH($B50,'A1.3.2'!$B$27:$B$106,0)),"",SUM(M50:O50))</f>
        <v>111.47629802218535</v>
      </c>
      <c r="Q50" s="1609">
        <f>IF(ISERROR(MATCH($B50,'A1.3.2'!$B$27:$B$106,0)),"",(((VLOOKUP($B50,'Forecast occupancies'!$C$28:$CP$64,15,TRUE)-1)*VLOOKUP($B50,'A1.3.2'!$B$27:$AY$106,36,)+VLOOKUP($B50,'A1.3.2'!$B$27:$AY$106,35,))*$CR$5))</f>
        <v>27.466856122426904</v>
      </c>
      <c r="R50" s="1565">
        <f>IF(ISERROR(MATCH($B50,'A1.3.2'!$B$27:$B$106,0)),"",VLOOKUP($B50,'Forecast occupancies'!$C$28:$CP$64,16,TRUE)*VLOOKUP($B50,'A1.3.2'!$B$27:$AY$106,49,)*$CR$5)</f>
        <v>15.351141285802029</v>
      </c>
      <c r="S50" s="1565">
        <f>IF(ISERROR(MATCH($B50,'A1.3.2'!$B$27:$B$106,0)),"",VLOOKUP($B50,'Forecast occupancies'!$C$28:$CP$64,17,TRUE)*VLOOKUP($B50,'A1.3.2'!$B$27:$AY$106,50,)*$CR$5)</f>
        <v>11.101509814119824</v>
      </c>
      <c r="T50" s="1566">
        <f>IF(ISERROR(MATCH($B50,'A1.3.2'!$B$27:$B$106,0)),"",(((Q50*'VoT5'!$E$28)+(R50*'VoT5'!$E$29)+(S50*'VoT5'!$E$30))/100))</f>
        <v>14.298575747384138</v>
      </c>
      <c r="U50" s="1565">
        <f>IF(ISERROR(MATCH($B50,'A1.3.2'!$B$27:$B$106,0)),"",(VLOOKUP($B50,'Forecast occupancies'!$C$28:$CP$64,19,TRUE) * VLOOKUP($B50, 'A1.3.2'!$B$27:$AY$106,37,)) * $CR$5)</f>
        <v>19.588743137592537</v>
      </c>
      <c r="V50" s="1565">
        <f>IF(ISERROR(MATCH($B50,'A1.3.2'!$B$27:$B$106,0)),"",VLOOKUP($B50,'Forecast occupancies'!$C$28:$CP$64,20,TRUE) * ('VoT5'!$J$29*VLOOKUP($B50, 'A1.3.2'!$B$27:$AY$106,49,)+'VoT5'!$J$30*VLOOKUP($B50, 'A1.3.2'!$B$27:$AY$106,50,))/('VoT5'!$J$29+'VoT5'!$J$30) * $CR$5)</f>
        <v>11.957370957876925</v>
      </c>
      <c r="W50" s="1566">
        <f>IF(ISERROR(MATCH($B50,'A1.3.2'!$B$27:$B$106,0)),"",(U50*'VoT5'!$E$31 + V50*'VoT5'!$E$32)/100)</f>
        <v>18.672978476026664</v>
      </c>
      <c r="X50" s="1566">
        <f>IF(ISERROR(MATCH($B50,'A1.3.2'!$B$27:$B$106,0)),"",(VLOOKUP($B50,'Forecast occupancies'!$C$28:$CP$64,22,TRUE)*VLOOKUP($B50,'A1.3.2'!$B$27:$AY$106,38,)) * $CR$5)</f>
        <v>19.233546020514275</v>
      </c>
      <c r="Y50" s="1566">
        <f>IF(ISERROR(MATCH($B50,'A1.3.2'!$B$27:$B$106,0)),"",(VLOOKUP($B50,'Forecast occupancies'!$C$28:$CP$64,23,TRUE)*VLOOKUP($B50,'A1.3.2'!$B$27:$AY$106,38,)) * $CR$5)</f>
        <v>19.233546020514275</v>
      </c>
      <c r="Z50" s="1565">
        <f>IF(ISERROR(MATCH($B50,'A1.3.2'!$B$27:$B$106,0)),"",(((VLOOKUP($B50,'Forecast occupancies'!$C$28:$CP$64,24,TRUE) -1) * VLOOKUP($B50,'A1.3.2'!$B$27:$AY$106,40,)) + VLOOKUP($B50,'A1.3.2'!$B$27:$AY$106,39,)) * $CR$5)</f>
        <v>22.364140952873733</v>
      </c>
      <c r="AA50" s="1565">
        <f>IF(ISERROR(MATCH($B50,'A1.3.2'!$B$27:$B$106,0)),"",(VLOOKUP($B50,'Forecast occupancies'!$C$28:$CP$64,25,TRUE) * VLOOKUP($B50,'A1.3.2'!$B$27:$AY$106,49,)) * $CR$5)</f>
        <v>10.514907229111182</v>
      </c>
      <c r="AB50" s="1565">
        <f>IF(ISERROR(MATCH($B50,'A1.3.2'!$B$27:$B$106,0)),"",(VLOOKUP($B50,'Forecast occupancies'!$C$28:$CP$64,26,TRUE) * VLOOKUP($B50,'A1.3.2'!$B$27:$AY$106,50,)) * $CR$5)</f>
        <v>68.249007761628633</v>
      </c>
      <c r="AC50" s="1567">
        <f>IF(ISERROR(MATCH($B50,'A1.3.2'!$B$27:$B$106,0)),"",SUM(Z50:AB50))</f>
        <v>101.12805594361355</v>
      </c>
      <c r="AD50" s="1609">
        <f>IF(ISERROR(MATCH($B50,'A1.3.2'!$B$27:$B$106,0)),"",(((VLOOKUP($B50,'Forecast occupancies'!$C$28:$CP$64,28,TRUE)-1)*VLOOKUP($B50,'A1.3.2'!$B$27:$AY$106,36,)+VLOOKUP($B50,'A1.3.2'!$B$27:$AY$106,35,))*$CR$5))</f>
        <v>27.191011969578927</v>
      </c>
      <c r="AE50" s="1565">
        <f>IF(ISERROR(MATCH($B50,'A1.3.2'!$B$27:$B$106,0)),"",VLOOKUP($B50,'Forecast occupancies'!$C$28:$CP$64,29,TRUE)*VLOOKUP($B50,'A1.3.2'!$B$27:$AY$106,49,)*$CR$5)</f>
        <v>15.157628401308632</v>
      </c>
      <c r="AF50" s="1565">
        <f>IF(ISERROR(MATCH($B50,'A1.3.2'!$B$27:$B$106,0)),"",VLOOKUP($B50,'Forecast occupancies'!$C$28:$CP$64,30,TRUE)*VLOOKUP($B50,'A1.3.2'!$B$27:$AY$106,50,)*$CR$5)</f>
        <v>10.91362281391511</v>
      </c>
      <c r="AG50" s="1566">
        <f>IF(ISERROR(MATCH($B50,'A1.3.2'!$B$27:$B$106,0)),"",(((AD50*'VoT5'!$F$28)+(AE50*'VoT5'!$F$29)+(AF50*'VoT5'!$F$30))/100))</f>
        <v>14.586807630862262</v>
      </c>
      <c r="AH50" s="1565">
        <f>IF(ISERROR(MATCH($B50,'A1.3.2'!$B$27:$B$106,0)),"",(VLOOKUP($B50,'Forecast occupancies'!$C$28:$CP$64,32,TRUE) * VLOOKUP($B50, 'A1.3.2'!$B$27:$AY$106,37,)) * $CR$5)</f>
        <v>19.588743137592537</v>
      </c>
      <c r="AI50" s="1565">
        <f>IF(ISERROR(MATCH($B50,'A1.3.2'!$B$27:$B$106,0)),"",VLOOKUP($B50,'Forecast occupancies'!$C$28:$CP$64,33,TRUE) * ('VoT5'!$J$29*VLOOKUP($B50, 'A1.3.2'!$B$27:$AY$106,49,)+'VoT5'!$J$30*VLOOKUP($B50, 'A1.3.2'!$B$27:$AY$106,50,))/('VoT5'!$J$29+'VoT5'!$J$30) * $CR$5)</f>
        <v>11.957370957876925</v>
      </c>
      <c r="AJ50" s="1566">
        <f>IF(ISERROR(MATCH($B50,'A1.3.2'!$B$27:$B$106,0)),"",(AH50*'VoT5'!$F$31 + AI50*'VoT5'!$F$32)/100)</f>
        <v>18.672978476026664</v>
      </c>
      <c r="AK50" s="1566">
        <f>IF(ISERROR(MATCH($B50,'A1.3.2'!$B$27:$B$106,0)),"",(VLOOKUP($B50,'Forecast occupancies'!$C$28:$CP$64,35,TRUE)*VLOOKUP($B50,'A1.3.2'!$B$27:$AY$106,38,)) * $CR$5)</f>
        <v>19.233546020514275</v>
      </c>
      <c r="AL50" s="1566">
        <f>IF(ISERROR(MATCH($B50,'A1.3.2'!$B$27:$B$106,0)),"",(VLOOKUP($B50,'Forecast occupancies'!$C$28:$CP$64,36,TRUE)*VLOOKUP($B50,'A1.3.2'!$B$27:$AY$106,38,)) * $CR$5)</f>
        <v>19.233546020514275</v>
      </c>
      <c r="AM50" s="1565">
        <f>IF(ISERROR(MATCH($B50,'A1.3.2'!$B$27:$B$106,0)),"",(((VLOOKUP($B50,'Forecast occupancies'!$C$28:$CP$64,37,TRUE) -1) * VLOOKUP($B50,'A1.3.2'!$B$27:$AY$106,40,)) + VLOOKUP($B50,'A1.3.2'!$B$27:$AY$106,39,)) * $CR$5)</f>
        <v>23.399311687140262</v>
      </c>
      <c r="AN50" s="1565">
        <f>IF(ISERROR(MATCH($B50,'A1.3.2'!$B$27:$B$106,0)),"",(VLOOKUP($B50,'Forecast occupancies'!$C$28:$CP$64,38,TRUE) * VLOOKUP($B50,'A1.3.2'!$B$27:$AY$106,49,)) * $CR$5)</f>
        <v>42.19478450906049</v>
      </c>
      <c r="AO50" s="1565">
        <f>IF(ISERROR(MATCH($B50,'A1.3.2'!$B$27:$B$106,0)),"",(VLOOKUP($B50,'Forecast occupancies'!$C$28:$CP$64,39,TRUE) * VLOOKUP($B50,'A1.3.2'!$B$27:$AY$106,50,)) * $CR$5)</f>
        <v>53.320221892306279</v>
      </c>
      <c r="AP50" s="1567">
        <f>IF(ISERROR(MATCH($B50,'A1.3.2'!$B$27:$B$106,0)),"",SUM(AM50:AO50))</f>
        <v>118.91431808850703</v>
      </c>
      <c r="AQ50" s="1609">
        <f>IF(ISERROR(MATCH($B50,'A1.3.2'!$B$27:$B$106,0)),"",(((VLOOKUP($B50,'Forecast occupancies'!$C$28:$CP$64,41,TRUE)-1)*VLOOKUP($B50,'A1.3.2'!$B$27:$AY$106,36,)+VLOOKUP($B50,'A1.3.2'!$B$27:$AY$106,35,))*$CR$5))</f>
        <v>27.705482833200922</v>
      </c>
      <c r="AR50" s="1565">
        <f>IF(ISERROR(MATCH($B50,'A1.3.2'!$B$27:$B$106,0)),"",VLOOKUP($B50,'Forecast occupancies'!$C$28:$CP$64,42,TRUE)*VLOOKUP($B50,'A1.3.2'!$B$27:$AY$106,49,)*$CR$5)</f>
        <v>15.379474728920195</v>
      </c>
      <c r="AS50" s="1565">
        <f>IF(ISERROR(MATCH($B50,'A1.3.2'!$B$27:$B$106,0)),"",VLOOKUP($B50,'Forecast occupancies'!$C$28:$CP$64,43,TRUE)*VLOOKUP($B50,'A1.3.2'!$B$27:$AY$106,50,)*$CR$5)</f>
        <v>10.874658787326634</v>
      </c>
      <c r="AT50" s="1566">
        <f>IF(ISERROR(MATCH($B50,'A1.3.2'!$B$27:$B$106,0)),"",(((AQ50*'VoT5'!$G$28)+(AR50*'VoT5'!$G$29)+(AS50*'VoT5'!$G$30))/100))</f>
        <v>14.778548297725401</v>
      </c>
      <c r="AU50" s="1565">
        <f>IF(ISERROR(MATCH($B50,'A1.3.2'!$B$27:$B$106,0)),"",(VLOOKUP($B50,'Forecast occupancies'!$C$28:$CP$64,45,TRUE) * VLOOKUP($B50, 'A1.3.2'!$B$27:$AY$106,37,)) * $CR$5)</f>
        <v>19.588743137592537</v>
      </c>
      <c r="AV50" s="1565">
        <f>IF(ISERROR(MATCH($B50,'A1.3.2'!$B$27:$B$106,0)),"",VLOOKUP($B50,'Forecast occupancies'!$C$28:$CP$64,46,TRUE) * ('VoT5'!$J$29*VLOOKUP($B50, 'A1.3.2'!$B$27:$AY$106,49,)+'VoT5'!$J$30*VLOOKUP($B50, 'A1.3.2'!$B$27:$AY$106,50,))/('VoT5'!$J$29+'VoT5'!$J$30) * $CR$5)</f>
        <v>11.957370957876925</v>
      </c>
      <c r="AW50" s="1566">
        <f>IF(ISERROR(MATCH($B50,'A1.3.2'!$B$27:$B$106,0)),"",(AU50*'VoT5'!$G$31 + AV50*'VoT5'!$G$32)/100)</f>
        <v>18.672978476026664</v>
      </c>
      <c r="AX50" s="1566">
        <f>IF(ISERROR(MATCH($B50,'A1.3.2'!$B$27:$B$106,0)),"",(VLOOKUP($B50,'Forecast occupancies'!$C$28:$CP$64,48,TRUE)*VLOOKUP($B50,'A1.3.2'!$B$27:$AY$106,38,)) * $CR$5)</f>
        <v>19.233546020514275</v>
      </c>
      <c r="AY50" s="1566">
        <f>IF(ISERROR(MATCH($B50,'A1.3.2'!$B$27:$B$106,0)),"",(VLOOKUP($B50,'Forecast occupancies'!$C$28:$CP$64,49,TRUE)*VLOOKUP($B50,'A1.3.2'!$B$27:$AY$106,38,)) * $CR$5)</f>
        <v>19.233546020514275</v>
      </c>
      <c r="AZ50" s="1565">
        <f>IF(ISERROR(MATCH($B50,'A1.3.2'!$B$27:$B$106,0)),"",(((VLOOKUP($B50,'Forecast occupancies'!$C$28:$CP$64,50,TRUE) -1) * VLOOKUP($B50,'A1.3.2'!$B$27:$AY$106,40,)) + VLOOKUP($B50,'A1.3.2'!$B$27:$AY$106,39,)) * $CR$5)</f>
        <v>23.380389291987306</v>
      </c>
      <c r="BA50" s="1565">
        <f>IF(ISERROR(MATCH($B50,'A1.3.2'!$B$27:$B$106,0)),"",(VLOOKUP($B50,'Forecast occupancies'!$C$28:$CP$64,51,TRUE) * VLOOKUP($B50,'A1.3.2'!$B$27:$AY$106,49,)) * $CR$5)</f>
        <v>57.679222325015118</v>
      </c>
      <c r="BB50" s="1565">
        <f>IF(ISERROR(MATCH($B50,'A1.3.2'!$B$27:$B$106,0)),"",(VLOOKUP($B50,'Forecast occupancies'!$C$28:$CP$64,52,TRUE) * VLOOKUP($B50,'A1.3.2'!$B$27:$AY$106,50,)) * $CR$5)</f>
        <v>46.261235408798846</v>
      </c>
      <c r="BC50" s="1567">
        <f>IF(ISERROR(MATCH($B50,'A1.3.2'!$B$27:$B$106,0)),"",SUM(AZ50:BB50))</f>
        <v>127.32084702580127</v>
      </c>
      <c r="BD50" s="1565">
        <f>IF(ISERROR(MATCH($B50,'A1.3.2'!$B$27:$B$106,0)),"",(((VLOOKUP($B50,'Forecast occupancies'!$C$28:$CP$64,54,TRUE)-1)*VLOOKUP($B50,'A1.3.2'!$B$27:$AY$106,36,)+VLOOKUP($B50,'A1.3.2'!$B$27:$AY$106,35,))*$CR$5))</f>
        <v>27.239392660070699</v>
      </c>
      <c r="BE50" s="1565">
        <f>IF(ISERROR(MATCH($B50,'A1.3.2'!$B$27:$B$106,0)),"",VLOOKUP($B50,'Forecast occupancies'!$C$28:$CP$64,55,TRUE)*VLOOKUP($B50,'A1.3.2'!$B$27:$AY$106,49,)*$CR$5)</f>
        <v>15.209164464116384</v>
      </c>
      <c r="BF50" s="1565">
        <f>IF(ISERROR(MATCH($B50,'A1.3.2'!$B$27:$B$106,0)),"",VLOOKUP($B50,'Forecast occupancies'!$C$28:$CP$64,56,TRUE)*VLOOKUP($B50,'A1.3.2'!$B$27:$AY$106,50,)*$CR$5)</f>
        <v>10.901678505530327</v>
      </c>
      <c r="BG50" s="1566">
        <f>IF(ISERROR(MATCH($B50,'A1.3.2'!$B$27:$B$106,0)),"",(((BD50*'VoT5'!$H$28)+(BE50*'VoT5'!$H$29)+(BF50*'VoT5'!$H$30))/100))</f>
        <v>14.672118712818028</v>
      </c>
      <c r="BH50" s="1565">
        <f>IF(ISERROR(MATCH($B50,'A1.3.2'!$B$27:$B$106,0)),"",(VLOOKUP($B50,'Forecast occupancies'!$C$28:$CP$64,58,TRUE) * VLOOKUP($B50, 'A1.3.2'!$B$27:$AY$106,37,)) * $CR$5)</f>
        <v>19.588743137592537</v>
      </c>
      <c r="BI50" s="1565">
        <f>IF(ISERROR(MATCH($B50,'A1.3.2'!$B$27:$B$106,0)),"",(VLOOKUP($B50,'Forecast occupancies'!$C$28:$CP$64,59,TRUE) * (VLOOKUP($B50,'A1.3.2'!$B$27:$AY$106,49,) * 'VoT5'!$J$29 + VLOOKUP($B50,'A1.3.2'!$B$27:$AY$106,50,) * 'VoT5'!$J$30) / (SUM('VoT5'!$J$29:$J$30))) * $CR$5)</f>
        <v>11.957370957876925</v>
      </c>
      <c r="BJ50" s="1566">
        <f>IF(ISERROR(MATCH($B50,'A1.3.2'!$B$27:$B$106,0)),"",(BH50*'VoT5'!$H$31 + BI50*'VoT5'!$H$32)/100)</f>
        <v>18.672978476026664</v>
      </c>
      <c r="BK50" s="1566">
        <f>IF(ISERROR(MATCH($B50,'A1.3.2'!$B$27:$B$106,0)),"",(VLOOKUP($B50,'Forecast occupancies'!$C$28:$CP$64,61,TRUE)*VLOOKUP($B50,'A1.3.2'!$B$27:$AY$106,38,)) * $CR$5)</f>
        <v>19.233546020514275</v>
      </c>
      <c r="BL50" s="1566">
        <f>IF(ISERROR(MATCH($B50,'A1.3.2'!$B$27:$B$106,0)),"",(VLOOKUP($B50,'Forecast occupancies'!$C$28:$CP$64,62,TRUE)*VLOOKUP($B50,'A1.3.2'!$B$27:$AY$106,38,)) * $CR$5)</f>
        <v>19.233546020514275</v>
      </c>
      <c r="BM50" s="1565">
        <f>IF(ISERROR(MATCH($B50,'A1.3.2'!$B$27:$B$106,0)),"",(((VLOOKUP($B50,'Forecast occupancies'!$C$28:$CP$64,63,TRUE) -1) * VLOOKUP($B50,'A1.3.2'!$B$27:$AY$106,40,)) + VLOOKUP($B50,'A1.3.2'!$B$27:$AY$106,39,)) * $CR$5)</f>
        <v>22.543167035925762</v>
      </c>
      <c r="BN50" s="1565">
        <f>IF(ISERROR(MATCH($B50,'A1.3.2'!$B$27:$B$106,0)),"",(VLOOKUP($B50,'Forecast occupancies'!$C$28:$CP$64,64,TRUE) * VLOOKUP($B50,'A1.3.2'!$B$27:$AY$106,49,)) * $CR$5)</f>
        <v>26.038333304214767</v>
      </c>
      <c r="BO50" s="1565">
        <f>IF(ISERROR(MATCH($B50,'A1.3.2'!$B$27:$B$106,0)),"",(VLOOKUP($B50,'Forecast occupancies'!$C$28:$CP$64,65,TRUE) * VLOOKUP($B50,'A1.3.2'!$B$27:$AY$106,50,)) * $CR$5)</f>
        <v>61.082515657389955</v>
      </c>
      <c r="BP50" s="1567">
        <f>IF(ISERROR(MATCH($B50,'A1.3.2'!$B$27:$B$106,0)),"",SUM(BM50:BO50))</f>
        <v>109.66401599753048</v>
      </c>
      <c r="BQ50" s="1565">
        <f>IF(ISERROR(MATCH($B50,'A1.3.2'!$B$27:$B$106,0)),"",(((VLOOKUP($B50,'Forecast occupancies'!$C$28:$CP$64,67,TRUE)-1)*VLOOKUP($B50,'A1.3.2'!$B$27:$AY$106,36,)+VLOOKUP($B50,'A1.3.2'!$B$27:$AY$106,35,))*$CR$5))</f>
        <v>31.131215874568941</v>
      </c>
      <c r="BR50" s="1565">
        <f>IF(ISERROR(MATCH($B50,'A1.3.2'!$B$27:$B$106,0)),"",VLOOKUP($B50,'Forecast occupancies'!$C$28:$CP$64,68,TRUE)*VLOOKUP($B50,'A1.3.2'!$B$27:$AY$106,49,)*$CR$5)</f>
        <v>16.10273226295087</v>
      </c>
      <c r="BS50" s="1565">
        <f>IF(ISERROR(MATCH($B50,'A1.3.2'!$B$27:$B$106,0)),"",VLOOKUP($B50,'Forecast occupancies'!$C$28:$CP$64,69,TRUE)*VLOOKUP($B50,'A1.3.2'!$B$27:$AY$106,50,)*$CR$5)</f>
        <v>12.907850149071658</v>
      </c>
      <c r="BT50" s="1566">
        <f>IF(ISERROR(MATCH($B50,'A1.3.2'!$B$27:$B$106,0)),"",(((BQ50*'VoT5'!$I$28)+(BR50*'VoT5'!$I$29)+(BS50*'VoT5'!$I$30))/100))</f>
        <v>13.792851910724719</v>
      </c>
      <c r="BU50" s="1565">
        <f>IF(ISERROR(MATCH($B50,'A1.3.2'!$B$27:$B$106,0)),"",(VLOOKUP($B50,'Forecast occupancies'!$C$28:$CP$64,71,TRUE) * VLOOKUP($B50, 'A1.3.2'!$B$27:$AY$106,37,)) * $CR$5)</f>
        <v>20.568180294472167</v>
      </c>
      <c r="BV50" s="1565">
        <f>IF(ISERROR(MATCH($B50,'A1.3.2'!$B$27:$B$106,0)),"",(VLOOKUP($B50,'Forecast occupancies'!$C$28:$CP$64,72,TRUE) * (VLOOKUP($B50,'A1.3.2'!$B$27:$AY$106,49,)*'VoT5'!$J$29 + VLOOKUP($B50,'A1.3.2'!$B$27:$AY$106,50,)*'VoT5'!$J$30) / (SUM('VoT5'!$J$29:$J$30))) * $CR$5)</f>
        <v>16.625659619513804</v>
      </c>
      <c r="BW50" s="1566">
        <f>IF(ISERROR(MATCH($B50,'A1.3.2'!$B$27:$B$106,0)),"",(BU50*'VoT5'!$I$31 + BV50*'VoT5'!$I$32)/100)</f>
        <v>20.095077813477165</v>
      </c>
      <c r="BX50" s="1566">
        <f>IF(ISERROR(MATCH($B50,'A1.3.2'!$B$27:$B$106,0)),"",(VLOOKUP($B50,'Forecast occupancies'!$C$28:$CP$64,74,TRUE)*VLOOKUP($B50,'A1.3.2'!$B$27:$AY$106,38,)) * $CR$5)</f>
        <v>19.233546020514275</v>
      </c>
      <c r="BY50" s="1566">
        <f>IF(ISERROR(MATCH($B50,'A1.3.2'!$B$27:$B$106,0)),"",(VLOOKUP($B50,'Forecast occupancies'!$C$28:$CP$64,75,TRUE)*VLOOKUP($B50,'A1.3.2'!$B$27:$AY$106,38,)) * $CR$5)</f>
        <v>19.233546020514275</v>
      </c>
      <c r="BZ50" s="1565">
        <f>IF(ISERROR(MATCH($B50,'A1.3.2'!$B$27:$B$106,0)),"",(((VLOOKUP($B50,'Forecast occupancies'!$C$28:$CP$64,76,TRUE) -1) * VLOOKUP($B50,'A1.3.2'!$B$27:$AY$106,40,)) + VLOOKUP($B50,'A1.3.2'!$B$27:$AY$106,39,)) * $CR$5)</f>
        <v>20.530835305690022</v>
      </c>
      <c r="CA50" s="1565">
        <f>IF(ISERROR(MATCH($B50,'A1.3.2'!$B$27:$B$106,0)),"",(VLOOKUP($B50,'Forecast occupancies'!$C$28:$CP$64,77,TRUE) * VLOOKUP($B50,'A1.3.2'!$B$27:$AY$106,49,)) * $CR$5)</f>
        <v>9.864325409554743</v>
      </c>
      <c r="CB50" s="1565">
        <f>IF(ISERROR(MATCH($B50,'A1.3.2'!$B$27:$B$106,0)),"",(VLOOKUP($B50,'Forecast occupancies'!$C$28:$CP$64,78,TRUE) * VLOOKUP($B50,'A1.3.2'!$B$27:$AY$106,50,)) * $CR$5)</f>
        <v>69.376806566682859</v>
      </c>
      <c r="CC50" s="1567">
        <f>IF(ISERROR(MATCH($B50,'A1.3.2'!$B$27:$B$106,0)),"",SUM(BZ50:CB50))</f>
        <v>99.77196728192763</v>
      </c>
      <c r="CD50" s="1565">
        <f>IF(ISERROR(MATCH($B50,'A1.3.2'!$B$27:$B$106,0)),"",(((VLOOKUP($B50,'Forecast occupancies'!$C$28:$CP$64,80,TRUE)-1)*VLOOKUP($B50,'A1.3.2'!$B$27:$AY$106,36,)+VLOOKUP($B50,'A1.3.2'!$B$27:$AY$106,35,))*$CR$5))</f>
        <v>27.515645158868992</v>
      </c>
      <c r="CE50" s="1565">
        <f>IF(ISERROR(MATCH($B50,'A1.3.2'!$B$27:$B$106,0)),"",VLOOKUP($B50,'Forecast occupancies'!$C$28:$CP$64,81,TRUE)*VLOOKUP($B50,'A1.3.2'!$B$27:$AY$106,49,)*$CR$5)</f>
        <v>15.281454688056389</v>
      </c>
      <c r="CF50" s="1565">
        <f>IF(ISERROR(MATCH($B50,'A1.3.2'!$B$27:$B$106,0)),"",VLOOKUP($B50,'Forecast occupancies'!$C$28:$CP$64,82,TRUE)*VLOOKUP($B50,'A1.3.2'!$B$27:$AY$106,50,)*$CR$5)</f>
        <v>11.609593131380297</v>
      </c>
      <c r="CG50" s="1566">
        <f>IF(ISERROR(MATCH($B50,'A1.3.2'!$B$27:$B$106,0)),"",(((CD50*'VoT5'!$J$28)+(CE50*'VoT5'!$J$29)+(CF50*'VoT5'!$J$30))/100))</f>
        <v>14.463648729741831</v>
      </c>
      <c r="CH50" s="1565">
        <f>IF(ISERROR(MATCH($B50,'A1.3.2'!$B$27:$B$106,0)),"",(VLOOKUP($B50,'Forecast occupancies'!$C$28:$CP$64,84,TRUE) * VLOOKUP($B50, 'A1.3.2'!$B$27:$AY$106,37,)) * $CR$5)</f>
        <v>19.588743137592537</v>
      </c>
      <c r="CI50" s="1565">
        <f>IF(ISERROR(MATCH($B50,'A1.3.2'!$B$27:$B$106,0)),"",(VLOOKUP($B50,'Forecast occupancies'!$C$28:$CP$64,85,TRUE) * (VLOOKUP($B50,'A1.3.2'!$B$27:$AY$106,49,)*'VoT5'!$J$29 + VLOOKUP($B50,'A1.3.2'!$B$27:$AY$106,50,)*'VoT5'!$J$30) / (SUM('VoT5'!$J$29:$J$30))) * $CR$5)</f>
        <v>13.022068371934461</v>
      </c>
      <c r="CJ50" s="1566">
        <f>IF(ISERROR(MATCH($B50,'A1.3.2'!$B$27:$B$106,0)),"",(CH50*'VoT5'!$J$31 + CI50*'VoT5'!$J$32)/100)</f>
        <v>18.800742165713569</v>
      </c>
      <c r="CK50" s="1566">
        <f>IF(ISERROR(MATCH($B50,'A1.3.2'!$B$27:$B$106,0)),"",(VLOOKUP($B50,'Forecast occupancies'!$C$28:$CP$64,87,TRUE)*VLOOKUP($B50,'A1.3.2'!$B$27:$AY$106,38,)) * $CR$5)</f>
        <v>19.233546020514275</v>
      </c>
      <c r="CL50" s="1566">
        <f>IF(ISERROR(MATCH($B50,'A1.3.2'!$B$27:$B$106,0)),"",(VLOOKUP($B50,'Forecast occupancies'!$C$28:$CP$64,88,TRUE)*VLOOKUP($B50,'A1.3.2'!$B$27:$AY$106,38,)) * $CR$5)</f>
        <v>19.233546020514275</v>
      </c>
      <c r="CM50" s="1565">
        <f>IF(ISERROR(MATCH($B50,'A1.3.2'!$B$27:$B$106,0)),"",(((VLOOKUP($B50,'Forecast occupancies'!$C$28:$CP$64,89,TRUE) -1) * VLOOKUP($B50,'A1.3.2'!$B$27:$AY$106,40,)) + VLOOKUP($B50,'A1.3.2'!$B$27:$AY$106,39,)) * $CR$5)</f>
        <v>22.046240026833942</v>
      </c>
      <c r="CN50" s="1565">
        <f>IF(ISERROR(MATCH($B50,'A1.3.2'!$B$27:$B$106,0)),"",(VLOOKUP($B50,'Forecast occupancies'!$C$28:$CP$64,90,TRUE) * VLOOKUP($B50,'A1.3.2'!$B$27:$AY$106,49,)) * $CR$5)</f>
        <v>22.043539542694262</v>
      </c>
      <c r="CO50" s="1565">
        <f>IF(ISERROR(MATCH($B50,'A1.3.2'!$B$27:$B$106,0)),"",(VLOOKUP($B50,'Forecast occupancies'!$C$28:$CP$64,91,TRUE) * VLOOKUP($B50,'A1.3.2'!$B$27:$AY$106,50,)) * $CR$5)</f>
        <v>63.131066631714191</v>
      </c>
      <c r="CP50" s="1567">
        <f>IF(ISERROR(MATCH($B50,'A1.3.2'!$B$27:$B$106,0)),"",SUM(CM50:CO50))</f>
        <v>107.2208462012424</v>
      </c>
    </row>
    <row r="51" spans="1:94" s="26" customFormat="1" ht="13.5" customHeight="1">
      <c r="A51" s="113"/>
      <c r="B51" s="82">
        <f t="shared" si="0"/>
        <v>2033</v>
      </c>
      <c r="D51" s="1609">
        <f>IF(ISERROR(MATCH($B51,'A1.3.2'!$B$27:$B$106,0)),"",(((VLOOKUP($B51,'Forecast occupancies'!$C$28:$CP$64,2,TRUE) -1) * VLOOKUP($B51,'A1.3.2'!$B$27:$AY$106,36,) + VLOOKUP($B51,'A1.3.2'!$B$27:$AY$106,35,)) * $CR$5))</f>
        <v>27.305264893781136</v>
      </c>
      <c r="E51" s="1565">
        <f>IF(ISERROR(MATCH($B51,'A1.3.2'!$B$27:$B$106,0)),"",VLOOKUP($B51,'Forecast occupancies'!$C$28:$CP$64,3,TRUE)*VLOOKUP($B51,'A1.3.2'!$B$27:$AY$106,49,)*$CR$5)</f>
        <v>15.387907154159121</v>
      </c>
      <c r="F51" s="1565">
        <f>IF(ISERROR(MATCH($B51,'A1.3.2'!$B$27:$B$106,0)),"",VLOOKUP($B51,'Forecast occupancies'!$C$28:$CP$64,4,TRUE)*VLOOKUP($B51,'A1.3.2'!$B$27:$AY$106,50,)*$CR$5)</f>
        <v>10.616463787280191</v>
      </c>
      <c r="G51" s="1566">
        <f>IF(ISERROR(MATCH($B51,'A1.3.2'!$B$27:$B$106,0)),"",(((D51*'VoT5'!$D$28)+(E51*'VoT5'!$D$29)+(F51*'VoT5'!$D$30))/100))</f>
        <v>15.465836422561631</v>
      </c>
      <c r="H51" s="1565">
        <f>IF(ISERROR(MATCH($B51,'A1.3.2'!$B$27:$B$106,0)),"",(VLOOKUP($B51,'Forecast occupancies'!$C$28:$CP$64,6,TRUE) * VLOOKUP($B51, 'A1.3.2'!$B$27:$AY$106,37,)) * $CR$5)</f>
        <v>19.954935661242715</v>
      </c>
      <c r="I51" s="1565">
        <f>IF(ISERROR(MATCH($B51,'A1.3.2'!$B$27:$B$106,0)),"",VLOOKUP($B51,'Forecast occupancies'!$C$28:$CP$64,7,TRUE) * ('VoT5'!$J$29*VLOOKUP($B51, 'A1.3.2'!$B$27:$AY$106,49,)+'VoT5'!$J$30*VLOOKUP($B51, 'A1.3.2'!$B$27:$AY$106,50,))/('VoT5'!$J$29+'VoT5'!$J$30) * $CR$5)</f>
        <v>12.18090239205471</v>
      </c>
      <c r="J51" s="1566">
        <f>IF(ISERROR(MATCH($B51,'A1.3.2'!$B$27:$B$106,0)),"",(H51*'VoT5'!$D$31 + I51*'VoT5'!$D$32)/100)</f>
        <v>19.022051668940154</v>
      </c>
      <c r="K51" s="1566">
        <f>IF(ISERROR(MATCH($B51,'A1.3.2'!$B$27:$B$106,0)),"",(VLOOKUP($B51,'Forecast occupancies'!$C$28:$CP$64,9,TRUE)*VLOOKUP($B51,'A1.3.2'!$B$27:$AY$106,38,)) * $CR$5)</f>
        <v>19.593098479113696</v>
      </c>
      <c r="L51" s="1566">
        <f>IF(ISERROR(MATCH($B51,'A1.3.2'!$B$27:$B$106,0)),"",(VLOOKUP($B51,'Forecast occupancies'!$C$28:$CP$64,10,TRUE)*VLOOKUP($B51,'A1.3.2'!$B$27:$AY$106,38,)) * $CR$5)</f>
        <v>19.593098479113696</v>
      </c>
      <c r="M51" s="1565">
        <f>IF(ISERROR(MATCH($B51,'A1.3.2'!$B$27:$B$106,0)),"",(((VLOOKUP($B51,'Forecast occupancies'!$C$28:$CP$64,11,TRUE) -1) * VLOOKUP($B51,'A1.3.2'!$B$27:$AY$106,40,)) + VLOOKUP($B51,'A1.3.2'!$B$27:$AY$106,39,)) * $CR$5)</f>
        <v>22.326512860630583</v>
      </c>
      <c r="N51" s="1565">
        <f>IF(ISERROR(MATCH($B51,'A1.3.2'!$B$27:$B$106,0)),"",(VLOOKUP($B51,'Forecast occupancies'!$C$28:$CP$64,12,TRUE) * VLOOKUP($B51,'A1.3.2'!$B$27:$AY$106,49,)) * $CR$5)</f>
        <v>30.563326038093354</v>
      </c>
      <c r="O51" s="1565">
        <f>IF(ISERROR(MATCH($B51,'A1.3.2'!$B$27:$B$106,0)),"",(VLOOKUP($B51,'Forecast occupancies'!$C$28:$CP$64,13,TRUE) * VLOOKUP($B51,'A1.3.2'!$B$27:$AY$106,50,)) * $CR$5)</f>
        <v>60.670400222346011</v>
      </c>
      <c r="P51" s="1567">
        <f>IF(ISERROR(MATCH($B51,'A1.3.2'!$B$27:$B$106,0)),"",SUM(M51:O51))</f>
        <v>113.56023912106994</v>
      </c>
      <c r="Q51" s="1609">
        <f>IF(ISERROR(MATCH($B51,'A1.3.2'!$B$27:$B$106,0)),"",(((VLOOKUP($B51,'Forecast occupancies'!$C$28:$CP$64,15,TRUE)-1)*VLOOKUP($B51,'A1.3.2'!$B$27:$AY$106,36,)+VLOOKUP($B51,'A1.3.2'!$B$27:$AY$106,35,))*$CR$5))</f>
        <v>27.980322315207047</v>
      </c>
      <c r="R51" s="1565">
        <f>IF(ISERROR(MATCH($B51,'A1.3.2'!$B$27:$B$106,0)),"",VLOOKUP($B51,'Forecast occupancies'!$C$28:$CP$64,16,TRUE)*VLOOKUP($B51,'A1.3.2'!$B$27:$AY$106,49,)*$CR$5)</f>
        <v>15.638115959412927</v>
      </c>
      <c r="S51" s="1565">
        <f>IF(ISERROR(MATCH($B51,'A1.3.2'!$B$27:$B$106,0)),"",VLOOKUP($B51,'Forecast occupancies'!$C$28:$CP$64,17,TRUE)*VLOOKUP($B51,'A1.3.2'!$B$27:$AY$106,50,)*$CR$5)</f>
        <v>11.309041755633624</v>
      </c>
      <c r="T51" s="1566">
        <f>IF(ISERROR(MATCH($B51,'A1.3.2'!$B$27:$B$106,0)),"",(((Q51*'VoT5'!$E$28)+(R51*'VoT5'!$E$29)+(S51*'VoT5'!$E$30))/100))</f>
        <v>14.565873730759568</v>
      </c>
      <c r="U51" s="1565">
        <f>IF(ISERROR(MATCH($B51,'A1.3.2'!$B$27:$B$106,0)),"",(VLOOKUP($B51,'Forecast occupancies'!$C$28:$CP$64,19,TRUE) * VLOOKUP($B51, 'A1.3.2'!$B$27:$AY$106,37,)) * $CR$5)</f>
        <v>19.954935661242715</v>
      </c>
      <c r="V51" s="1565">
        <f>IF(ISERROR(MATCH($B51,'A1.3.2'!$B$27:$B$106,0)),"",VLOOKUP($B51,'Forecast occupancies'!$C$28:$CP$64,20,TRUE) * ('VoT5'!$J$29*VLOOKUP($B51, 'A1.3.2'!$B$27:$AY$106,49,)+'VoT5'!$J$30*VLOOKUP($B51, 'A1.3.2'!$B$27:$AY$106,50,))/('VoT5'!$J$29+'VoT5'!$J$30) * $CR$5)</f>
        <v>12.18090239205471</v>
      </c>
      <c r="W51" s="1566">
        <f>IF(ISERROR(MATCH($B51,'A1.3.2'!$B$27:$B$106,0)),"",(U51*'VoT5'!$E$31 + V51*'VoT5'!$E$32)/100)</f>
        <v>19.022051668940154</v>
      </c>
      <c r="X51" s="1566">
        <f>IF(ISERROR(MATCH($B51,'A1.3.2'!$B$27:$B$106,0)),"",(VLOOKUP($B51,'Forecast occupancies'!$C$28:$CP$64,22,TRUE)*VLOOKUP($B51,'A1.3.2'!$B$27:$AY$106,38,)) * $CR$5)</f>
        <v>19.593098479113696</v>
      </c>
      <c r="Y51" s="1566">
        <f>IF(ISERROR(MATCH($B51,'A1.3.2'!$B$27:$B$106,0)),"",(VLOOKUP($B51,'Forecast occupancies'!$C$28:$CP$64,23,TRUE)*VLOOKUP($B51,'A1.3.2'!$B$27:$AY$106,38,)) * $CR$5)</f>
        <v>19.593098479113696</v>
      </c>
      <c r="Z51" s="1565">
        <f>IF(ISERROR(MATCH($B51,'A1.3.2'!$B$27:$B$106,0)),"",(((VLOOKUP($B51,'Forecast occupancies'!$C$28:$CP$64,24,TRUE) -1) * VLOOKUP($B51,'A1.3.2'!$B$27:$AY$106,40,)) + VLOOKUP($B51,'A1.3.2'!$B$27:$AY$106,39,)) * $CR$5)</f>
        <v>22.782216842545516</v>
      </c>
      <c r="AA51" s="1565">
        <f>IF(ISERROR(MATCH($B51,'A1.3.2'!$B$27:$B$106,0)),"",(VLOOKUP($B51,'Forecast occupancies'!$C$28:$CP$64,25,TRUE) * VLOOKUP($B51,'A1.3.2'!$B$27:$AY$106,49,)) * $CR$5)</f>
        <v>10.711473205148017</v>
      </c>
      <c r="AB51" s="1565">
        <f>IF(ISERROR(MATCH($B51,'A1.3.2'!$B$27:$B$106,0)),"",(VLOOKUP($B51,'Forecast occupancies'!$C$28:$CP$64,26,TRUE) * VLOOKUP($B51,'A1.3.2'!$B$27:$AY$106,50,)) * $CR$5)</f>
        <v>69.524856661851771</v>
      </c>
      <c r="AC51" s="1567">
        <f>IF(ISERROR(MATCH($B51,'A1.3.2'!$B$27:$B$106,0)),"",SUM(Z51:AB51))</f>
        <v>103.0185467095453</v>
      </c>
      <c r="AD51" s="1609">
        <f>IF(ISERROR(MATCH($B51,'A1.3.2'!$B$27:$B$106,0)),"",(((VLOOKUP($B51,'Forecast occupancies'!$C$28:$CP$64,28,TRUE)-1)*VLOOKUP($B51,'A1.3.2'!$B$27:$AY$106,36,)+VLOOKUP($B51,'A1.3.2'!$B$27:$AY$106,35,))*$CR$5))</f>
        <v>27.699321523887882</v>
      </c>
      <c r="AE51" s="1565">
        <f>IF(ISERROR(MATCH($B51,'A1.3.2'!$B$27:$B$106,0)),"",VLOOKUP($B51,'Forecast occupancies'!$C$28:$CP$64,29,TRUE)*VLOOKUP($B51,'A1.3.2'!$B$27:$AY$106,49,)*$CR$5)</f>
        <v>15.440985539530264</v>
      </c>
      <c r="AF51" s="1565">
        <f>IF(ISERROR(MATCH($B51,'A1.3.2'!$B$27:$B$106,0)),"",VLOOKUP($B51,'Forecast occupancies'!$C$28:$CP$64,30,TRUE)*VLOOKUP($B51,'A1.3.2'!$B$27:$AY$106,50,)*$CR$5)</f>
        <v>11.117642390481207</v>
      </c>
      <c r="AG51" s="1566">
        <f>IF(ISERROR(MATCH($B51,'A1.3.2'!$B$27:$B$106,0)),"",(((AD51*'VoT5'!$F$28)+(AE51*'VoT5'!$F$29)+(AF51*'VoT5'!$F$30))/100))</f>
        <v>14.859493829299067</v>
      </c>
      <c r="AH51" s="1565">
        <f>IF(ISERROR(MATCH($B51,'A1.3.2'!$B$27:$B$106,0)),"",(VLOOKUP($B51,'Forecast occupancies'!$C$28:$CP$64,32,TRUE) * VLOOKUP($B51, 'A1.3.2'!$B$27:$AY$106,37,)) * $CR$5)</f>
        <v>19.954935661242715</v>
      </c>
      <c r="AI51" s="1565">
        <f>IF(ISERROR(MATCH($B51,'A1.3.2'!$B$27:$B$106,0)),"",VLOOKUP($B51,'Forecast occupancies'!$C$28:$CP$64,33,TRUE) * ('VoT5'!$J$29*VLOOKUP($B51, 'A1.3.2'!$B$27:$AY$106,49,)+'VoT5'!$J$30*VLOOKUP($B51, 'A1.3.2'!$B$27:$AY$106,50,))/('VoT5'!$J$29+'VoT5'!$J$30) * $CR$5)</f>
        <v>12.18090239205471</v>
      </c>
      <c r="AJ51" s="1566">
        <f>IF(ISERROR(MATCH($B51,'A1.3.2'!$B$27:$B$106,0)),"",(AH51*'VoT5'!$F$31 + AI51*'VoT5'!$F$32)/100)</f>
        <v>19.022051668940154</v>
      </c>
      <c r="AK51" s="1566">
        <f>IF(ISERROR(MATCH($B51,'A1.3.2'!$B$27:$B$106,0)),"",(VLOOKUP($B51,'Forecast occupancies'!$C$28:$CP$64,35,TRUE)*VLOOKUP($B51,'A1.3.2'!$B$27:$AY$106,38,)) * $CR$5)</f>
        <v>19.593098479113696</v>
      </c>
      <c r="AL51" s="1566">
        <f>IF(ISERROR(MATCH($B51,'A1.3.2'!$B$27:$B$106,0)),"",(VLOOKUP($B51,'Forecast occupancies'!$C$28:$CP$64,36,TRUE)*VLOOKUP($B51,'A1.3.2'!$B$27:$AY$106,38,)) * $CR$5)</f>
        <v>19.593098479113696</v>
      </c>
      <c r="AM51" s="1565">
        <f>IF(ISERROR(MATCH($B51,'A1.3.2'!$B$27:$B$106,0)),"",(((VLOOKUP($B51,'Forecast occupancies'!$C$28:$CP$64,37,TRUE) -1) * VLOOKUP($B51,'A1.3.2'!$B$27:$AY$106,40,)) + VLOOKUP($B51,'A1.3.2'!$B$27:$AY$106,39,)) * $CR$5)</f>
        <v>23.836739088081927</v>
      </c>
      <c r="AN51" s="1565">
        <f>IF(ISERROR(MATCH($B51,'A1.3.2'!$B$27:$B$106,0)),"",(VLOOKUP($B51,'Forecast occupancies'!$C$28:$CP$64,38,TRUE) * VLOOKUP($B51,'A1.3.2'!$B$27:$AY$106,49,)) * $CR$5)</f>
        <v>42.983575015716113</v>
      </c>
      <c r="AO51" s="1565">
        <f>IF(ISERROR(MATCH($B51,'A1.3.2'!$B$27:$B$106,0)),"",(VLOOKUP($B51,'Forecast occupancies'!$C$28:$CP$64,39,TRUE) * VLOOKUP($B51,'A1.3.2'!$B$27:$AY$106,50,)) * $CR$5)</f>
        <v>54.316991643136269</v>
      </c>
      <c r="AP51" s="1567">
        <f>IF(ISERROR(MATCH($B51,'A1.3.2'!$B$27:$B$106,0)),"",SUM(AM51:AO51))</f>
        <v>121.13730574693432</v>
      </c>
      <c r="AQ51" s="1609">
        <f>IF(ISERROR(MATCH($B51,'A1.3.2'!$B$27:$B$106,0)),"",(((VLOOKUP($B51,'Forecast occupancies'!$C$28:$CP$64,41,TRUE)-1)*VLOOKUP($B51,'A1.3.2'!$B$27:$AY$106,36,)+VLOOKUP($B51,'A1.3.2'!$B$27:$AY$106,35,))*$CR$5))</f>
        <v>28.223409920527228</v>
      </c>
      <c r="AR51" s="1565">
        <f>IF(ISERROR(MATCH($B51,'A1.3.2'!$B$27:$B$106,0)),"",VLOOKUP($B51,'Forecast occupancies'!$C$28:$CP$64,42,TRUE)*VLOOKUP($B51,'A1.3.2'!$B$27:$AY$106,49,)*$CR$5)</f>
        <v>15.66697906872592</v>
      </c>
      <c r="AS51" s="1565">
        <f>IF(ISERROR(MATCH($B51,'A1.3.2'!$B$27:$B$106,0)),"",VLOOKUP($B51,'Forecast occupancies'!$C$28:$CP$64,43,TRUE)*VLOOKUP($B51,'A1.3.2'!$B$27:$AY$106,50,)*$CR$5)</f>
        <v>11.077949969266911</v>
      </c>
      <c r="AT51" s="1566">
        <f>IF(ISERROR(MATCH($B51,'A1.3.2'!$B$27:$B$106,0)),"",(((AQ51*'VoT5'!$G$28)+(AR51*'VoT5'!$G$29)+(AS51*'VoT5'!$G$30))/100))</f>
        <v>15.054818901664476</v>
      </c>
      <c r="AU51" s="1565">
        <f>IF(ISERROR(MATCH($B51,'A1.3.2'!$B$27:$B$106,0)),"",(VLOOKUP($B51,'Forecast occupancies'!$C$28:$CP$64,45,TRUE) * VLOOKUP($B51, 'A1.3.2'!$B$27:$AY$106,37,)) * $CR$5)</f>
        <v>19.954935661242715</v>
      </c>
      <c r="AV51" s="1565">
        <f>IF(ISERROR(MATCH($B51,'A1.3.2'!$B$27:$B$106,0)),"",VLOOKUP($B51,'Forecast occupancies'!$C$28:$CP$64,46,TRUE) * ('VoT5'!$J$29*VLOOKUP($B51, 'A1.3.2'!$B$27:$AY$106,49,)+'VoT5'!$J$30*VLOOKUP($B51, 'A1.3.2'!$B$27:$AY$106,50,))/('VoT5'!$J$29+'VoT5'!$J$30) * $CR$5)</f>
        <v>12.18090239205471</v>
      </c>
      <c r="AW51" s="1566">
        <f>IF(ISERROR(MATCH($B51,'A1.3.2'!$B$27:$B$106,0)),"",(AU51*'VoT5'!$G$31 + AV51*'VoT5'!$G$32)/100)</f>
        <v>19.022051668940154</v>
      </c>
      <c r="AX51" s="1566">
        <f>IF(ISERROR(MATCH($B51,'A1.3.2'!$B$27:$B$106,0)),"",(VLOOKUP($B51,'Forecast occupancies'!$C$28:$CP$64,48,TRUE)*VLOOKUP($B51,'A1.3.2'!$B$27:$AY$106,38,)) * $CR$5)</f>
        <v>19.593098479113696</v>
      </c>
      <c r="AY51" s="1566">
        <f>IF(ISERROR(MATCH($B51,'A1.3.2'!$B$27:$B$106,0)),"",(VLOOKUP($B51,'Forecast occupancies'!$C$28:$CP$64,49,TRUE)*VLOOKUP($B51,'A1.3.2'!$B$27:$AY$106,38,)) * $CR$5)</f>
        <v>19.593098479113696</v>
      </c>
      <c r="AZ51" s="1565">
        <f>IF(ISERROR(MATCH($B51,'A1.3.2'!$B$27:$B$106,0)),"",(((VLOOKUP($B51,'Forecast occupancies'!$C$28:$CP$64,50,TRUE) -1) * VLOOKUP($B51,'A1.3.2'!$B$27:$AY$106,40,)) + VLOOKUP($B51,'A1.3.2'!$B$27:$AY$106,39,)) * $CR$5)</f>
        <v>23.817462957133579</v>
      </c>
      <c r="BA51" s="1565">
        <f>IF(ISERROR(MATCH($B51,'A1.3.2'!$B$27:$B$106,0)),"",(VLOOKUP($B51,'Forecast occupancies'!$C$28:$CP$64,51,TRUE) * VLOOKUP($B51,'A1.3.2'!$B$27:$AY$106,49,)) * $CR$5)</f>
        <v>58.757479354423133</v>
      </c>
      <c r="BB51" s="1565">
        <f>IF(ISERROR(MATCH($B51,'A1.3.2'!$B$27:$B$106,0)),"",(VLOOKUP($B51,'Forecast occupancies'!$C$28:$CP$64,52,TRUE) * VLOOKUP($B51,'A1.3.2'!$B$27:$AY$106,50,)) * $CR$5)</f>
        <v>47.126044264708156</v>
      </c>
      <c r="BC51" s="1567">
        <f>IF(ISERROR(MATCH($B51,'A1.3.2'!$B$27:$B$106,0)),"",SUM(AZ51:BB51))</f>
        <v>129.70098657626488</v>
      </c>
      <c r="BD51" s="1565">
        <f>IF(ISERROR(MATCH($B51,'A1.3.2'!$B$27:$B$106,0)),"",(((VLOOKUP($B51,'Forecast occupancies'!$C$28:$CP$64,54,TRUE)-1)*VLOOKUP($B51,'A1.3.2'!$B$27:$AY$106,36,)+VLOOKUP($B51,'A1.3.2'!$B$27:$AY$106,35,))*$CR$5))</f>
        <v>27.748606644389412</v>
      </c>
      <c r="BE51" s="1565">
        <f>IF(ISERROR(MATCH($B51,'A1.3.2'!$B$27:$B$106,0)),"",VLOOKUP($B51,'Forecast occupancies'!$C$28:$CP$64,55,TRUE)*VLOOKUP($B51,'A1.3.2'!$B$27:$AY$106,49,)*$CR$5)</f>
        <v>15.493485018967966</v>
      </c>
      <c r="BF51" s="1565">
        <f>IF(ISERROR(MATCH($B51,'A1.3.2'!$B$27:$B$106,0)),"",VLOOKUP($B51,'Forecast occupancies'!$C$28:$CP$64,56,TRUE)*VLOOKUP($B51,'A1.3.2'!$B$27:$AY$106,50,)*$CR$5)</f>
        <v>11.105474794854361</v>
      </c>
      <c r="BG51" s="1566">
        <f>IF(ISERROR(MATCH($B51,'A1.3.2'!$B$27:$B$106,0)),"",(((BD51*'VoT5'!$H$28)+(BE51*'VoT5'!$H$29)+(BF51*'VoT5'!$H$30))/100))</f>
        <v>14.946399719057313</v>
      </c>
      <c r="BH51" s="1565">
        <f>IF(ISERROR(MATCH($B51,'A1.3.2'!$B$27:$B$106,0)),"",(VLOOKUP($B51,'Forecast occupancies'!$C$28:$CP$64,58,TRUE) * VLOOKUP($B51, 'A1.3.2'!$B$27:$AY$106,37,)) * $CR$5)</f>
        <v>19.954935661242715</v>
      </c>
      <c r="BI51" s="1565">
        <f>IF(ISERROR(MATCH($B51,'A1.3.2'!$B$27:$B$106,0)),"",(VLOOKUP($B51,'Forecast occupancies'!$C$28:$CP$64,59,TRUE) * (VLOOKUP($B51,'A1.3.2'!$B$27:$AY$106,49,) * 'VoT5'!$J$29 + VLOOKUP($B51,'A1.3.2'!$B$27:$AY$106,50,) * 'VoT5'!$J$30) / (SUM('VoT5'!$J$29:$J$30))) * $CR$5)</f>
        <v>12.18090239205471</v>
      </c>
      <c r="BJ51" s="1566">
        <f>IF(ISERROR(MATCH($B51,'A1.3.2'!$B$27:$B$106,0)),"",(BH51*'VoT5'!$H$31 + BI51*'VoT5'!$H$32)/100)</f>
        <v>19.022051668940154</v>
      </c>
      <c r="BK51" s="1566">
        <f>IF(ISERROR(MATCH($B51,'A1.3.2'!$B$27:$B$106,0)),"",(VLOOKUP($B51,'Forecast occupancies'!$C$28:$CP$64,61,TRUE)*VLOOKUP($B51,'A1.3.2'!$B$27:$AY$106,38,)) * $CR$5)</f>
        <v>19.593098479113696</v>
      </c>
      <c r="BL51" s="1566">
        <f>IF(ISERROR(MATCH($B51,'A1.3.2'!$B$27:$B$106,0)),"",(VLOOKUP($B51,'Forecast occupancies'!$C$28:$CP$64,62,TRUE)*VLOOKUP($B51,'A1.3.2'!$B$27:$AY$106,38,)) * $CR$5)</f>
        <v>19.593098479113696</v>
      </c>
      <c r="BM51" s="1565">
        <f>IF(ISERROR(MATCH($B51,'A1.3.2'!$B$27:$B$106,0)),"",(((VLOOKUP($B51,'Forecast occupancies'!$C$28:$CP$64,63,TRUE) -1) * VLOOKUP($B51,'A1.3.2'!$B$27:$AY$106,40,)) + VLOOKUP($B51,'A1.3.2'!$B$27:$AY$106,39,)) * $CR$5)</f>
        <v>22.96458964430694</v>
      </c>
      <c r="BN51" s="1565">
        <f>IF(ISERROR(MATCH($B51,'A1.3.2'!$B$27:$B$106,0)),"",(VLOOKUP($B51,'Forecast occupancies'!$C$28:$CP$64,64,TRUE) * VLOOKUP($B51,'A1.3.2'!$B$27:$AY$106,49,)) * $CR$5)</f>
        <v>26.525094650633996</v>
      </c>
      <c r="BO51" s="1565">
        <f>IF(ISERROR(MATCH($B51,'A1.3.2'!$B$27:$B$106,0)),"",(VLOOKUP($B51,'Forecast occupancies'!$C$28:$CP$64,65,TRUE) * VLOOKUP($B51,'A1.3.2'!$B$27:$AY$106,50,)) * $CR$5)</f>
        <v>62.224393949548201</v>
      </c>
      <c r="BP51" s="1567">
        <f>IF(ISERROR(MATCH($B51,'A1.3.2'!$B$27:$B$106,0)),"",SUM(BM51:BO51))</f>
        <v>111.71407824448914</v>
      </c>
      <c r="BQ51" s="1565">
        <f>IF(ISERROR(MATCH($B51,'A1.3.2'!$B$27:$B$106,0)),"",(((VLOOKUP($B51,'Forecast occupancies'!$C$28:$CP$64,67,TRUE)-1)*VLOOKUP($B51,'A1.3.2'!$B$27:$AY$106,36,)+VLOOKUP($B51,'A1.3.2'!$B$27:$AY$106,35,))*$CR$5))</f>
        <v>31.713183713206284</v>
      </c>
      <c r="BR51" s="1565">
        <f>IF(ISERROR(MATCH($B51,'A1.3.2'!$B$27:$B$106,0)),"",VLOOKUP($B51,'Forecast occupancies'!$C$28:$CP$64,68,TRUE)*VLOOKUP($B51,'A1.3.2'!$B$27:$AY$106,49,)*$CR$5)</f>
        <v>16.403757199753318</v>
      </c>
      <c r="BS51" s="1565">
        <f>IF(ISERROR(MATCH($B51,'A1.3.2'!$B$27:$B$106,0)),"",VLOOKUP($B51,'Forecast occupancies'!$C$28:$CP$64,69,TRUE)*VLOOKUP($B51,'A1.3.2'!$B$27:$AY$106,50,)*$CR$5)</f>
        <v>13.149149868394423</v>
      </c>
      <c r="BT51" s="1566">
        <f>IF(ISERROR(MATCH($B51,'A1.3.2'!$B$27:$B$106,0)),"",(((BQ51*'VoT5'!$I$28)+(BR51*'VoT5'!$I$29)+(BS51*'VoT5'!$I$30))/100))</f>
        <v>14.050695878254642</v>
      </c>
      <c r="BU51" s="1565">
        <f>IF(ISERROR(MATCH($B51,'A1.3.2'!$B$27:$B$106,0)),"",(VLOOKUP($B51,'Forecast occupancies'!$C$28:$CP$64,71,TRUE) * VLOOKUP($B51, 'A1.3.2'!$B$27:$AY$106,37,)) * $CR$5)</f>
        <v>20.952682444304852</v>
      </c>
      <c r="BV51" s="1565">
        <f>IF(ISERROR(MATCH($B51,'A1.3.2'!$B$27:$B$106,0)),"",(VLOOKUP($B51,'Forecast occupancies'!$C$28:$CP$64,72,TRUE) * (VLOOKUP($B51,'A1.3.2'!$B$27:$AY$106,49,)*'VoT5'!$J$29 + VLOOKUP($B51,'A1.3.2'!$B$27:$AY$106,50,)*'VoT5'!$J$30) / (SUM('VoT5'!$J$29:$J$30))) * $CR$5)</f>
        <v>16.936460175254151</v>
      </c>
      <c r="BW51" s="1566">
        <f>IF(ISERROR(MATCH($B51,'A1.3.2'!$B$27:$B$106,0)),"",(BU51*'VoT5'!$I$31 + BV51*'VoT5'!$I$32)/100)</f>
        <v>20.470735772018767</v>
      </c>
      <c r="BX51" s="1566">
        <f>IF(ISERROR(MATCH($B51,'A1.3.2'!$B$27:$B$106,0)),"",(VLOOKUP($B51,'Forecast occupancies'!$C$28:$CP$64,74,TRUE)*VLOOKUP($B51,'A1.3.2'!$B$27:$AY$106,38,)) * $CR$5)</f>
        <v>19.593098479113696</v>
      </c>
      <c r="BY51" s="1566">
        <f>IF(ISERROR(MATCH($B51,'A1.3.2'!$B$27:$B$106,0)),"",(VLOOKUP($B51,'Forecast occupancies'!$C$28:$CP$64,75,TRUE)*VLOOKUP($B51,'A1.3.2'!$B$27:$AY$106,38,)) * $CR$5)</f>
        <v>19.593098479113696</v>
      </c>
      <c r="BZ51" s="1565">
        <f>IF(ISERROR(MATCH($B51,'A1.3.2'!$B$27:$B$106,0)),"",(((VLOOKUP($B51,'Forecast occupancies'!$C$28:$CP$64,76,TRUE) -1) * VLOOKUP($B51,'A1.3.2'!$B$27:$AY$106,40,)) + VLOOKUP($B51,'A1.3.2'!$B$27:$AY$106,39,)) * $CR$5)</f>
        <v>20.914639327235879</v>
      </c>
      <c r="CA51" s="1565">
        <f>IF(ISERROR(MATCH($B51,'A1.3.2'!$B$27:$B$106,0)),"",(VLOOKUP($B51,'Forecast occupancies'!$C$28:$CP$64,77,TRUE) * VLOOKUP($B51,'A1.3.2'!$B$27:$AY$106,49,)) * $CR$5)</f>
        <v>10.048729390476787</v>
      </c>
      <c r="CB51" s="1565">
        <f>IF(ISERROR(MATCH($B51,'A1.3.2'!$B$27:$B$106,0)),"",(VLOOKUP($B51,'Forecast occupancies'!$C$28:$CP$64,78,TRUE) * VLOOKUP($B51,'A1.3.2'!$B$27:$AY$106,50,)) * $CR$5)</f>
        <v>70.67373856997655</v>
      </c>
      <c r="CC51" s="1567">
        <f>IF(ISERROR(MATCH($B51,'A1.3.2'!$B$27:$B$106,0)),"",SUM(BZ51:CB51))</f>
        <v>101.63710728768922</v>
      </c>
      <c r="CD51" s="1565">
        <f>IF(ISERROR(MATCH($B51,'A1.3.2'!$B$27:$B$106,0)),"",(((VLOOKUP($B51,'Forecast occupancies'!$C$28:$CP$64,80,TRUE)-1)*VLOOKUP($B51,'A1.3.2'!$B$27:$AY$106,36,)+VLOOKUP($B51,'A1.3.2'!$B$27:$AY$106,35,))*$CR$5))</f>
        <v>28.030023415289751</v>
      </c>
      <c r="CE51" s="1565">
        <f>IF(ISERROR(MATCH($B51,'A1.3.2'!$B$27:$B$106,0)),"",VLOOKUP($B51,'Forecast occupancies'!$C$28:$CP$64,81,TRUE)*VLOOKUP($B51,'A1.3.2'!$B$27:$AY$106,49,)*$CR$5)</f>
        <v>15.567126638418847</v>
      </c>
      <c r="CF51" s="1565">
        <f>IF(ISERROR(MATCH($B51,'A1.3.2'!$B$27:$B$106,0)),"",VLOOKUP($B51,'Forecast occupancies'!$C$28:$CP$64,82,TRUE)*VLOOKUP($B51,'A1.3.2'!$B$27:$AY$106,50,)*$CR$5)</f>
        <v>11.826623196937343</v>
      </c>
      <c r="CG51" s="1566">
        <f>IF(ISERROR(MATCH($B51,'A1.3.2'!$B$27:$B$106,0)),"",(((CD51*'VoT5'!$J$28)+(CE51*'VoT5'!$J$29)+(CF51*'VoT5'!$J$30))/100))</f>
        <v>14.73403259216378</v>
      </c>
      <c r="CH51" s="1565">
        <f>IF(ISERROR(MATCH($B51,'A1.3.2'!$B$27:$B$106,0)),"",(VLOOKUP($B51,'Forecast occupancies'!$C$28:$CP$64,84,TRUE) * VLOOKUP($B51, 'A1.3.2'!$B$27:$AY$106,37,)) * $CR$5)</f>
        <v>19.954935661242715</v>
      </c>
      <c r="CI51" s="1565">
        <f>IF(ISERROR(MATCH($B51,'A1.3.2'!$B$27:$B$106,0)),"",(VLOOKUP($B51,'Forecast occupancies'!$C$28:$CP$64,85,TRUE) * (VLOOKUP($B51,'A1.3.2'!$B$27:$AY$106,49,)*'VoT5'!$J$29 + VLOOKUP($B51,'A1.3.2'!$B$27:$AY$106,50,)*'VoT5'!$J$30) / (SUM('VoT5'!$J$29:$J$30))) * $CR$5)</f>
        <v>13.26550328997739</v>
      </c>
      <c r="CJ51" s="1566">
        <f>IF(ISERROR(MATCH($B51,'A1.3.2'!$B$27:$B$106,0)),"",(CH51*'VoT5'!$J$31 + CI51*'VoT5'!$J$32)/100)</f>
        <v>19.152203776690875</v>
      </c>
      <c r="CK51" s="1566">
        <f>IF(ISERROR(MATCH($B51,'A1.3.2'!$B$27:$B$106,0)),"",(VLOOKUP($B51,'Forecast occupancies'!$C$28:$CP$64,87,TRUE)*VLOOKUP($B51,'A1.3.2'!$B$27:$AY$106,38,)) * $CR$5)</f>
        <v>19.593098479113696</v>
      </c>
      <c r="CL51" s="1566">
        <f>IF(ISERROR(MATCH($B51,'A1.3.2'!$B$27:$B$106,0)),"",(VLOOKUP($B51,'Forecast occupancies'!$C$28:$CP$64,88,TRUE)*VLOOKUP($B51,'A1.3.2'!$B$27:$AY$106,38,)) * $CR$5)</f>
        <v>19.593098479113696</v>
      </c>
      <c r="CM51" s="1565">
        <f>IF(ISERROR(MATCH($B51,'A1.3.2'!$B$27:$B$106,0)),"",(((VLOOKUP($B51,'Forecast occupancies'!$C$28:$CP$64,89,TRUE) -1) * VLOOKUP($B51,'A1.3.2'!$B$27:$AY$106,40,)) + VLOOKUP($B51,'A1.3.2'!$B$27:$AY$106,39,)) * $CR$5)</f>
        <v>22.458373067515389</v>
      </c>
      <c r="CN51" s="1565">
        <f>IF(ISERROR(MATCH($B51,'A1.3.2'!$B$27:$B$106,0)),"",(VLOOKUP($B51,'Forecast occupancies'!$C$28:$CP$64,90,TRUE) * VLOOKUP($B51,'A1.3.2'!$B$27:$AY$106,49,)) * $CR$5)</f>
        <v>22.455622100448085</v>
      </c>
      <c r="CO51" s="1565">
        <f>IF(ISERROR(MATCH($B51,'A1.3.2'!$B$27:$B$106,0)),"",(VLOOKUP($B51,'Forecast occupancies'!$C$28:$CP$64,91,TRUE) * VLOOKUP($B51,'A1.3.2'!$B$27:$AY$106,50,)) * $CR$5)</f>
        <v>64.311240594291135</v>
      </c>
      <c r="CP51" s="1567">
        <f>IF(ISERROR(MATCH($B51,'A1.3.2'!$B$27:$B$106,0)),"",SUM(CM51:CO51))</f>
        <v>109.22523576225461</v>
      </c>
    </row>
    <row r="52" spans="1:94" s="26" customFormat="1" ht="13.5" customHeight="1">
      <c r="A52" s="113"/>
      <c r="B52" s="82">
        <f t="shared" si="0"/>
        <v>2034</v>
      </c>
      <c r="D52" s="1609">
        <f>IF(ISERROR(MATCH($B52,'A1.3.2'!$B$27:$B$106,0)),"",(((VLOOKUP($B52,'Forecast occupancies'!$C$28:$CP$64,2,TRUE) -1) * VLOOKUP($B52,'A1.3.2'!$B$27:$AY$106,36,) + VLOOKUP($B52,'A1.3.2'!$B$27:$AY$106,35,)) * $CR$5))</f>
        <v>27.818547662561869</v>
      </c>
      <c r="E52" s="1565">
        <f>IF(ISERROR(MATCH($B52,'A1.3.2'!$B$27:$B$106,0)),"",VLOOKUP($B52,'Forecast occupancies'!$C$28:$CP$64,3,TRUE)*VLOOKUP($B52,'A1.3.2'!$B$27:$AY$106,49,)*$CR$5)</f>
        <v>15.677168130771236</v>
      </c>
      <c r="F52" s="1565">
        <f>IF(ISERROR(MATCH($B52,'A1.3.2'!$B$27:$B$106,0)),"",VLOOKUP($B52,'Forecast occupancies'!$C$28:$CP$64,4,TRUE)*VLOOKUP($B52,'A1.3.2'!$B$27:$AY$106,50,)*$CR$5)</f>
        <v>10.816031451193851</v>
      </c>
      <c r="G52" s="1566">
        <f>IF(ISERROR(MATCH($B52,'A1.3.2'!$B$27:$B$106,0)),"",(((D52*'VoT5'!$D$28)+(E52*'VoT5'!$D$29)+(F52*'VoT5'!$D$30))/100))</f>
        <v>15.756562308992798</v>
      </c>
      <c r="H52" s="1565">
        <f>IF(ISERROR(MATCH($B52,'A1.3.2'!$B$27:$B$106,0)),"",(VLOOKUP($B52,'Forecast occupancies'!$C$28:$CP$64,6,TRUE) * VLOOKUP($B52, 'A1.3.2'!$B$27:$AY$106,37,)) * $CR$5)</f>
        <v>20.330047372002081</v>
      </c>
      <c r="I52" s="1565">
        <f>IF(ISERROR(MATCH($B52,'A1.3.2'!$B$27:$B$106,0)),"",VLOOKUP($B52,'Forecast occupancies'!$C$28:$CP$64,7,TRUE) * ('VoT5'!$J$29*VLOOKUP($B52, 'A1.3.2'!$B$27:$AY$106,49,)+'VoT5'!$J$30*VLOOKUP($B52, 'A1.3.2'!$B$27:$AY$106,50,))/('VoT5'!$J$29+'VoT5'!$J$30) * $CR$5)</f>
        <v>12.409878281150212</v>
      </c>
      <c r="J52" s="1566">
        <f>IF(ISERROR(MATCH($B52,'A1.3.2'!$B$27:$B$106,0)),"",(H52*'VoT5'!$D$31 + I52*'VoT5'!$D$32)/100)</f>
        <v>19.379627081099855</v>
      </c>
      <c r="K52" s="1566">
        <f>IF(ISERROR(MATCH($B52,'A1.3.2'!$B$27:$B$106,0)),"",(VLOOKUP($B52,'Forecast occupancies'!$C$28:$CP$64,9,TRUE)*VLOOKUP($B52,'A1.3.2'!$B$27:$AY$106,38,)) * $CR$5)</f>
        <v>19.961408395735067</v>
      </c>
      <c r="L52" s="1566">
        <f>IF(ISERROR(MATCH($B52,'A1.3.2'!$B$27:$B$106,0)),"",(VLOOKUP($B52,'Forecast occupancies'!$C$28:$CP$64,10,TRUE)*VLOOKUP($B52,'A1.3.2'!$B$27:$AY$106,38,)) * $CR$5)</f>
        <v>19.961408395735067</v>
      </c>
      <c r="M52" s="1565">
        <f>IF(ISERROR(MATCH($B52,'A1.3.2'!$B$27:$B$106,0)),"",(((VLOOKUP($B52,'Forecast occupancies'!$C$28:$CP$64,11,TRUE) -1) * VLOOKUP($B52,'A1.3.2'!$B$27:$AY$106,40,)) + VLOOKUP($B52,'A1.3.2'!$B$27:$AY$106,39,)) * $CR$5)</f>
        <v>22.746205340557157</v>
      </c>
      <c r="N52" s="1565">
        <f>IF(ISERROR(MATCH($B52,'A1.3.2'!$B$27:$B$106,0)),"",(VLOOKUP($B52,'Forecast occupancies'!$C$28:$CP$64,12,TRUE) * VLOOKUP($B52,'A1.3.2'!$B$27:$AY$106,49,)) * $CR$5)</f>
        <v>31.137853649270408</v>
      </c>
      <c r="O52" s="1565">
        <f>IF(ISERROR(MATCH($B52,'A1.3.2'!$B$27:$B$106,0)),"",(VLOOKUP($B52,'Forecast occupancies'!$C$28:$CP$64,13,TRUE) * VLOOKUP($B52,'A1.3.2'!$B$27:$AY$106,50,)) * $CR$5)</f>
        <v>61.810878849098081</v>
      </c>
      <c r="P52" s="1567">
        <f>IF(ISERROR(MATCH($B52,'A1.3.2'!$B$27:$B$106,0)),"",SUM(M52:O52))</f>
        <v>115.69493783892565</v>
      </c>
      <c r="Q52" s="1609">
        <f>IF(ISERROR(MATCH($B52,'A1.3.2'!$B$27:$B$106,0)),"",(((VLOOKUP($B52,'Forecast occupancies'!$C$28:$CP$64,15,TRUE)-1)*VLOOKUP($B52,'A1.3.2'!$B$27:$AY$106,36,)+VLOOKUP($B52,'A1.3.2'!$B$27:$AY$106,35,))*$CR$5))</f>
        <v>28.506294773822447</v>
      </c>
      <c r="R52" s="1565">
        <f>IF(ISERROR(MATCH($B52,'A1.3.2'!$B$27:$B$106,0)),"",VLOOKUP($B52,'Forecast occupancies'!$C$28:$CP$64,16,TRUE)*VLOOKUP($B52,'A1.3.2'!$B$27:$AY$106,49,)*$CR$5)</f>
        <v>15.932080346478431</v>
      </c>
      <c r="S52" s="1565">
        <f>IF(ISERROR(MATCH($B52,'A1.3.2'!$B$27:$B$106,0)),"",VLOOKUP($B52,'Forecast occupancies'!$C$28:$CP$64,17,TRUE)*VLOOKUP($B52,'A1.3.2'!$B$27:$AY$106,50,)*$CR$5)</f>
        <v>11.521628459596002</v>
      </c>
      <c r="T52" s="1566">
        <f>IF(ISERROR(MATCH($B52,'A1.3.2'!$B$27:$B$106,0)),"",(((Q52*'VoT5'!$E$28)+(R52*'VoT5'!$E$29)+(S52*'VoT5'!$E$30))/100))</f>
        <v>14.839682171267963</v>
      </c>
      <c r="U52" s="1565">
        <f>IF(ISERROR(MATCH($B52,'A1.3.2'!$B$27:$B$106,0)),"",(VLOOKUP($B52,'Forecast occupancies'!$C$28:$CP$64,19,TRUE) * VLOOKUP($B52, 'A1.3.2'!$B$27:$AY$106,37,)) * $CR$5)</f>
        <v>20.330047372002081</v>
      </c>
      <c r="V52" s="1565">
        <f>IF(ISERROR(MATCH($B52,'A1.3.2'!$B$27:$B$106,0)),"",VLOOKUP($B52,'Forecast occupancies'!$C$28:$CP$64,20,TRUE) * ('VoT5'!$J$29*VLOOKUP($B52, 'A1.3.2'!$B$27:$AY$106,49,)+'VoT5'!$J$30*VLOOKUP($B52, 'A1.3.2'!$B$27:$AY$106,50,))/('VoT5'!$J$29+'VoT5'!$J$30) * $CR$5)</f>
        <v>12.409878281150212</v>
      </c>
      <c r="W52" s="1566">
        <f>IF(ISERROR(MATCH($B52,'A1.3.2'!$B$27:$B$106,0)),"",(U52*'VoT5'!$E$31 + V52*'VoT5'!$E$32)/100)</f>
        <v>19.379627081099855</v>
      </c>
      <c r="X52" s="1566">
        <f>IF(ISERROR(MATCH($B52,'A1.3.2'!$B$27:$B$106,0)),"",(VLOOKUP($B52,'Forecast occupancies'!$C$28:$CP$64,22,TRUE)*VLOOKUP($B52,'A1.3.2'!$B$27:$AY$106,38,)) * $CR$5)</f>
        <v>19.961408395735067</v>
      </c>
      <c r="Y52" s="1566">
        <f>IF(ISERROR(MATCH($B52,'A1.3.2'!$B$27:$B$106,0)),"",(VLOOKUP($B52,'Forecast occupancies'!$C$28:$CP$64,23,TRUE)*VLOOKUP($B52,'A1.3.2'!$B$27:$AY$106,38,)) * $CR$5)</f>
        <v>19.961408395735067</v>
      </c>
      <c r="Z52" s="1565">
        <f>IF(ISERROR(MATCH($B52,'A1.3.2'!$B$27:$B$106,0)),"",(((VLOOKUP($B52,'Forecast occupancies'!$C$28:$CP$64,24,TRUE) -1) * VLOOKUP($B52,'A1.3.2'!$B$27:$AY$106,40,)) + VLOOKUP($B52,'A1.3.2'!$B$27:$AY$106,39,)) * $CR$5)</f>
        <v>23.210475619209792</v>
      </c>
      <c r="AA52" s="1565">
        <f>IF(ISERROR(MATCH($B52,'A1.3.2'!$B$27:$B$106,0)),"",(VLOOKUP($B52,'Forecast occupancies'!$C$28:$CP$64,25,TRUE) * VLOOKUP($B52,'A1.3.2'!$B$27:$AY$106,49,)) * $CR$5)</f>
        <v>10.912826850529102</v>
      </c>
      <c r="AB52" s="1565">
        <f>IF(ISERROR(MATCH($B52,'A1.3.2'!$B$27:$B$106,0)),"",(VLOOKUP($B52,'Forecast occupancies'!$C$28:$CP$64,26,TRUE) * VLOOKUP($B52,'A1.3.2'!$B$27:$AY$106,50,)) * $CR$5)</f>
        <v>70.831780841686651</v>
      </c>
      <c r="AC52" s="1567">
        <f>IF(ISERROR(MATCH($B52,'A1.3.2'!$B$27:$B$106,0)),"",SUM(Z52:AB52))</f>
        <v>104.95508331142554</v>
      </c>
      <c r="AD52" s="1609">
        <f>IF(ISERROR(MATCH($B52,'A1.3.2'!$B$27:$B$106,0)),"",(((VLOOKUP($B52,'Forecast occupancies'!$C$28:$CP$64,28,TRUE)-1)*VLOOKUP($B52,'A1.3.2'!$B$27:$AY$106,36,)+VLOOKUP($B52,'A1.3.2'!$B$27:$AY$106,35,))*$CR$5))</f>
        <v>28.220011746100923</v>
      </c>
      <c r="AE52" s="1565">
        <f>IF(ISERROR(MATCH($B52,'A1.3.2'!$B$27:$B$106,0)),"",VLOOKUP($B52,'Forecast occupancies'!$C$28:$CP$64,29,TRUE)*VLOOKUP($B52,'A1.3.2'!$B$27:$AY$106,49,)*$CR$5)</f>
        <v>15.731244280519016</v>
      </c>
      <c r="AF52" s="1565">
        <f>IF(ISERROR(MATCH($B52,'A1.3.2'!$B$27:$B$106,0)),"",VLOOKUP($B52,'Forecast occupancies'!$C$28:$CP$64,30,TRUE)*VLOOKUP($B52,'A1.3.2'!$B$27:$AY$106,50,)*$CR$5)</f>
        <v>11.326631180397687</v>
      </c>
      <c r="AG52" s="1566">
        <f>IF(ISERROR(MATCH($B52,'A1.3.2'!$B$27:$B$106,0)),"",(((AD52*'VoT5'!$F$28)+(AE52*'VoT5'!$F$29)+(AF52*'VoT5'!$F$30))/100))</f>
        <v>15.138821723207172</v>
      </c>
      <c r="AH52" s="1565">
        <f>IF(ISERROR(MATCH($B52,'A1.3.2'!$B$27:$B$106,0)),"",(VLOOKUP($B52,'Forecast occupancies'!$C$28:$CP$64,32,TRUE) * VLOOKUP($B52, 'A1.3.2'!$B$27:$AY$106,37,)) * $CR$5)</f>
        <v>20.330047372002081</v>
      </c>
      <c r="AI52" s="1565">
        <f>IF(ISERROR(MATCH($B52,'A1.3.2'!$B$27:$B$106,0)),"",VLOOKUP($B52,'Forecast occupancies'!$C$28:$CP$64,33,TRUE) * ('VoT5'!$J$29*VLOOKUP($B52, 'A1.3.2'!$B$27:$AY$106,49,)+'VoT5'!$J$30*VLOOKUP($B52, 'A1.3.2'!$B$27:$AY$106,50,))/('VoT5'!$J$29+'VoT5'!$J$30) * $CR$5)</f>
        <v>12.409878281150212</v>
      </c>
      <c r="AJ52" s="1566">
        <f>IF(ISERROR(MATCH($B52,'A1.3.2'!$B$27:$B$106,0)),"",(AH52*'VoT5'!$F$31 + AI52*'VoT5'!$F$32)/100)</f>
        <v>19.379627081099855</v>
      </c>
      <c r="AK52" s="1566">
        <f>IF(ISERROR(MATCH($B52,'A1.3.2'!$B$27:$B$106,0)),"",(VLOOKUP($B52,'Forecast occupancies'!$C$28:$CP$64,35,TRUE)*VLOOKUP($B52,'A1.3.2'!$B$27:$AY$106,38,)) * $CR$5)</f>
        <v>19.961408395735067</v>
      </c>
      <c r="AL52" s="1566">
        <f>IF(ISERROR(MATCH($B52,'A1.3.2'!$B$27:$B$106,0)),"",(VLOOKUP($B52,'Forecast occupancies'!$C$28:$CP$64,36,TRUE)*VLOOKUP($B52,'A1.3.2'!$B$27:$AY$106,38,)) * $CR$5)</f>
        <v>19.961408395735067</v>
      </c>
      <c r="AM52" s="1565">
        <f>IF(ISERROR(MATCH($B52,'A1.3.2'!$B$27:$B$106,0)),"",(((VLOOKUP($B52,'Forecast occupancies'!$C$28:$CP$64,37,TRUE) -1) * VLOOKUP($B52,'A1.3.2'!$B$27:$AY$106,40,)) + VLOOKUP($B52,'A1.3.2'!$B$27:$AY$106,39,)) * $CR$5)</f>
        <v>24.284820712099464</v>
      </c>
      <c r="AN52" s="1565">
        <f>IF(ISERROR(MATCH($B52,'A1.3.2'!$B$27:$B$106,0)),"",(VLOOKUP($B52,'Forecast occupancies'!$C$28:$CP$64,38,TRUE) * VLOOKUP($B52,'A1.3.2'!$B$27:$AY$106,49,)) * $CR$5)</f>
        <v>43.791577739073162</v>
      </c>
      <c r="AO52" s="1565">
        <f>IF(ISERROR(MATCH($B52,'A1.3.2'!$B$27:$B$106,0)),"",(VLOOKUP($B52,'Forecast occupancies'!$C$28:$CP$64,39,TRUE) * VLOOKUP($B52,'A1.3.2'!$B$27:$AY$106,50,)) * $CR$5)</f>
        <v>55.338039267866648</v>
      </c>
      <c r="AP52" s="1567">
        <f>IF(ISERROR(MATCH($B52,'A1.3.2'!$B$27:$B$106,0)),"",SUM(AM52:AO52))</f>
        <v>123.41443771903927</v>
      </c>
      <c r="AQ52" s="1609">
        <f>IF(ISERROR(MATCH($B52,'A1.3.2'!$B$27:$B$106,0)),"",(((VLOOKUP($B52,'Forecast occupancies'!$C$28:$CP$64,41,TRUE)-1)*VLOOKUP($B52,'A1.3.2'!$B$27:$AY$106,36,)+VLOOKUP($B52,'A1.3.2'!$B$27:$AY$106,35,))*$CR$5))</f>
        <v>28.753951925697123</v>
      </c>
      <c r="AR52" s="1565">
        <f>IF(ISERROR(MATCH($B52,'A1.3.2'!$B$27:$B$106,0)),"",VLOOKUP($B52,'Forecast occupancies'!$C$28:$CP$64,42,TRUE)*VLOOKUP($B52,'A1.3.2'!$B$27:$AY$106,49,)*$CR$5)</f>
        <v>15.961486022828273</v>
      </c>
      <c r="AS52" s="1565">
        <f>IF(ISERROR(MATCH($B52,'A1.3.2'!$B$27:$B$106,0)),"",VLOOKUP($B52,'Forecast occupancies'!$C$28:$CP$64,43,TRUE)*VLOOKUP($B52,'A1.3.2'!$B$27:$AY$106,50,)*$CR$5)</f>
        <v>11.286192623376259</v>
      </c>
      <c r="AT52" s="1566">
        <f>IF(ISERROR(MATCH($B52,'A1.3.2'!$B$27:$B$106,0)),"",(((AQ52*'VoT5'!$G$28)+(AR52*'VoT5'!$G$29)+(AS52*'VoT5'!$G$30))/100))</f>
        <v>15.337818504832537</v>
      </c>
      <c r="AU52" s="1565">
        <f>IF(ISERROR(MATCH($B52,'A1.3.2'!$B$27:$B$106,0)),"",(VLOOKUP($B52,'Forecast occupancies'!$C$28:$CP$64,45,TRUE) * VLOOKUP($B52, 'A1.3.2'!$B$27:$AY$106,37,)) * $CR$5)</f>
        <v>20.330047372002081</v>
      </c>
      <c r="AV52" s="1565">
        <f>IF(ISERROR(MATCH($B52,'A1.3.2'!$B$27:$B$106,0)),"",VLOOKUP($B52,'Forecast occupancies'!$C$28:$CP$64,46,TRUE) * ('VoT5'!$J$29*VLOOKUP($B52, 'A1.3.2'!$B$27:$AY$106,49,)+'VoT5'!$J$30*VLOOKUP($B52, 'A1.3.2'!$B$27:$AY$106,50,))/('VoT5'!$J$29+'VoT5'!$J$30) * $CR$5)</f>
        <v>12.409878281150212</v>
      </c>
      <c r="AW52" s="1566">
        <f>IF(ISERROR(MATCH($B52,'A1.3.2'!$B$27:$B$106,0)),"",(AU52*'VoT5'!$G$31 + AV52*'VoT5'!$G$32)/100)</f>
        <v>19.379627081099855</v>
      </c>
      <c r="AX52" s="1566">
        <f>IF(ISERROR(MATCH($B52,'A1.3.2'!$B$27:$B$106,0)),"",(VLOOKUP($B52,'Forecast occupancies'!$C$28:$CP$64,48,TRUE)*VLOOKUP($B52,'A1.3.2'!$B$27:$AY$106,38,)) * $CR$5)</f>
        <v>19.961408395735067</v>
      </c>
      <c r="AY52" s="1566">
        <f>IF(ISERROR(MATCH($B52,'A1.3.2'!$B$27:$B$106,0)),"",(VLOOKUP($B52,'Forecast occupancies'!$C$28:$CP$64,49,TRUE)*VLOOKUP($B52,'A1.3.2'!$B$27:$AY$106,38,)) * $CR$5)</f>
        <v>19.961408395735067</v>
      </c>
      <c r="AZ52" s="1565">
        <f>IF(ISERROR(MATCH($B52,'A1.3.2'!$B$27:$B$106,0)),"",(((VLOOKUP($B52,'Forecast occupancies'!$C$28:$CP$64,50,TRUE) -1) * VLOOKUP($B52,'A1.3.2'!$B$27:$AY$106,40,)) + VLOOKUP($B52,'A1.3.2'!$B$27:$AY$106,39,)) * $CR$5)</f>
        <v>24.265182229571554</v>
      </c>
      <c r="BA52" s="1565">
        <f>IF(ISERROR(MATCH($B52,'A1.3.2'!$B$27:$B$106,0)),"",(VLOOKUP($B52,'Forecast occupancies'!$C$28:$CP$64,51,TRUE) * VLOOKUP($B52,'A1.3.2'!$B$27:$AY$106,49,)) * $CR$5)</f>
        <v>59.861999006839454</v>
      </c>
      <c r="BB52" s="1565">
        <f>IF(ISERROR(MATCH($B52,'A1.3.2'!$B$27:$B$106,0)),"",(VLOOKUP($B52,'Forecast occupancies'!$C$28:$CP$64,52,TRUE) * VLOOKUP($B52,'A1.3.2'!$B$27:$AY$106,50,)) * $CR$5)</f>
        <v>48.011916882167434</v>
      </c>
      <c r="BC52" s="1567">
        <f>IF(ISERROR(MATCH($B52,'A1.3.2'!$B$27:$B$106,0)),"",SUM(AZ52:BB52))</f>
        <v>132.13909811857843</v>
      </c>
      <c r="BD52" s="1565">
        <f>IF(ISERROR(MATCH($B52,'A1.3.2'!$B$27:$B$106,0)),"",(((VLOOKUP($B52,'Forecast occupancies'!$C$28:$CP$64,54,TRUE)-1)*VLOOKUP($B52,'A1.3.2'!$B$27:$AY$106,36,)+VLOOKUP($B52,'A1.3.2'!$B$27:$AY$106,35,))*$CR$5))</f>
        <v>28.270223325408445</v>
      </c>
      <c r="BE52" s="1565">
        <f>IF(ISERROR(MATCH($B52,'A1.3.2'!$B$27:$B$106,0)),"",VLOOKUP($B52,'Forecast occupancies'!$C$28:$CP$64,55,TRUE)*VLOOKUP($B52,'A1.3.2'!$B$27:$AY$106,49,)*$CR$5)</f>
        <v>15.784730642093558</v>
      </c>
      <c r="BF52" s="1565">
        <f>IF(ISERROR(MATCH($B52,'A1.3.2'!$B$27:$B$106,0)),"",VLOOKUP($B52,'Forecast occupancies'!$C$28:$CP$64,56,TRUE)*VLOOKUP($B52,'A1.3.2'!$B$27:$AY$106,50,)*$CR$5)</f>
        <v>11.314234859021537</v>
      </c>
      <c r="BG52" s="1566">
        <f>IF(ISERROR(MATCH($B52,'A1.3.2'!$B$27:$B$106,0)),"",(((BD52*'VoT5'!$H$28)+(BE52*'VoT5'!$H$29)+(BF52*'VoT5'!$H$30))/100))</f>
        <v>15.227361264786486</v>
      </c>
      <c r="BH52" s="1565">
        <f>IF(ISERROR(MATCH($B52,'A1.3.2'!$B$27:$B$106,0)),"",(VLOOKUP($B52,'Forecast occupancies'!$C$28:$CP$64,58,TRUE) * VLOOKUP($B52, 'A1.3.2'!$B$27:$AY$106,37,)) * $CR$5)</f>
        <v>20.330047372002081</v>
      </c>
      <c r="BI52" s="1565">
        <f>IF(ISERROR(MATCH($B52,'A1.3.2'!$B$27:$B$106,0)),"",(VLOOKUP($B52,'Forecast occupancies'!$C$28:$CP$64,59,TRUE) * (VLOOKUP($B52,'A1.3.2'!$B$27:$AY$106,49,) * 'VoT5'!$J$29 + VLOOKUP($B52,'A1.3.2'!$B$27:$AY$106,50,) * 'VoT5'!$J$30) / (SUM('VoT5'!$J$29:$J$30))) * $CR$5)</f>
        <v>12.409878281150212</v>
      </c>
      <c r="BJ52" s="1566">
        <f>IF(ISERROR(MATCH($B52,'A1.3.2'!$B$27:$B$106,0)),"",(BH52*'VoT5'!$H$31 + BI52*'VoT5'!$H$32)/100)</f>
        <v>19.379627081099855</v>
      </c>
      <c r="BK52" s="1566">
        <f>IF(ISERROR(MATCH($B52,'A1.3.2'!$B$27:$B$106,0)),"",(VLOOKUP($B52,'Forecast occupancies'!$C$28:$CP$64,61,TRUE)*VLOOKUP($B52,'A1.3.2'!$B$27:$AY$106,38,)) * $CR$5)</f>
        <v>19.961408395735067</v>
      </c>
      <c r="BL52" s="1566">
        <f>IF(ISERROR(MATCH($B52,'A1.3.2'!$B$27:$B$106,0)),"",(VLOOKUP($B52,'Forecast occupancies'!$C$28:$CP$64,62,TRUE)*VLOOKUP($B52,'A1.3.2'!$B$27:$AY$106,38,)) * $CR$5)</f>
        <v>19.961408395735067</v>
      </c>
      <c r="BM52" s="1565">
        <f>IF(ISERROR(MATCH($B52,'A1.3.2'!$B$27:$B$106,0)),"",(((VLOOKUP($B52,'Forecast occupancies'!$C$28:$CP$64,63,TRUE) -1) * VLOOKUP($B52,'A1.3.2'!$B$27:$AY$106,40,)) + VLOOKUP($B52,'A1.3.2'!$B$27:$AY$106,39,)) * $CR$5)</f>
        <v>23.396276654207647</v>
      </c>
      <c r="BN52" s="1565">
        <f>IF(ISERROR(MATCH($B52,'A1.3.2'!$B$27:$B$106,0)),"",(VLOOKUP($B52,'Forecast occupancies'!$C$28:$CP$64,64,TRUE) * VLOOKUP($B52,'A1.3.2'!$B$27:$AY$106,49,)) * $CR$5)</f>
        <v>27.023711824919278</v>
      </c>
      <c r="BO52" s="1565">
        <f>IF(ISERROR(MATCH($B52,'A1.3.2'!$B$27:$B$106,0)),"",(VLOOKUP($B52,'Forecast occupancies'!$C$28:$CP$64,65,TRUE) * VLOOKUP($B52,'A1.3.2'!$B$27:$AY$106,50,)) * $CR$5)</f>
        <v>63.394084459285807</v>
      </c>
      <c r="BP52" s="1567">
        <f>IF(ISERROR(MATCH($B52,'A1.3.2'!$B$27:$B$106,0)),"",SUM(BM52:BO52))</f>
        <v>113.81407293841274</v>
      </c>
      <c r="BQ52" s="1565">
        <f>IF(ISERROR(MATCH($B52,'A1.3.2'!$B$27:$B$106,0)),"",(((VLOOKUP($B52,'Forecast occupancies'!$C$28:$CP$64,67,TRUE)-1)*VLOOKUP($B52,'A1.3.2'!$B$27:$AY$106,36,)+VLOOKUP($B52,'A1.3.2'!$B$27:$AY$106,35,))*$CR$5))</f>
        <v>32.309326281553012</v>
      </c>
      <c r="BR52" s="1565">
        <f>IF(ISERROR(MATCH($B52,'A1.3.2'!$B$27:$B$106,0)),"",VLOOKUP($B52,'Forecast occupancies'!$C$28:$CP$64,68,TRUE)*VLOOKUP($B52,'A1.3.2'!$B$27:$AY$106,49,)*$CR$5)</f>
        <v>16.712114065971225</v>
      </c>
      <c r="BS52" s="1565">
        <f>IF(ISERROR(MATCH($B52,'A1.3.2'!$B$27:$B$106,0)),"",VLOOKUP($B52,'Forecast occupancies'!$C$28:$CP$64,69,TRUE)*VLOOKUP($B52,'A1.3.2'!$B$27:$AY$106,50,)*$CR$5)</f>
        <v>13.396326816789436</v>
      </c>
      <c r="BT52" s="1566">
        <f>IF(ISERROR(MATCH($B52,'A1.3.2'!$B$27:$B$106,0)),"",(((BQ52*'VoT5'!$I$28)+(BR52*'VoT5'!$I$29)+(BS52*'VoT5'!$I$30))/100))</f>
        <v>14.314820035692467</v>
      </c>
      <c r="BU52" s="1565">
        <f>IF(ISERROR(MATCH($B52,'A1.3.2'!$B$27:$B$106,0)),"",(VLOOKUP($B52,'Forecast occupancies'!$C$28:$CP$64,71,TRUE) * VLOOKUP($B52, 'A1.3.2'!$B$27:$AY$106,37,)) * $CR$5)</f>
        <v>21.346549740602185</v>
      </c>
      <c r="BV52" s="1565">
        <f>IF(ISERROR(MATCH($B52,'A1.3.2'!$B$27:$B$106,0)),"",(VLOOKUP($B52,'Forecast occupancies'!$C$28:$CP$64,72,TRUE) * (VLOOKUP($B52,'A1.3.2'!$B$27:$AY$106,49,)*'VoT5'!$J$29 + VLOOKUP($B52,'A1.3.2'!$B$27:$AY$106,50,)*'VoT5'!$J$30) / (SUM('VoT5'!$J$29:$J$30))) * $CR$5)</f>
        <v>17.254830760777345</v>
      </c>
      <c r="BW52" s="1566">
        <f>IF(ISERROR(MATCH($B52,'A1.3.2'!$B$27:$B$106,0)),"",(BU52*'VoT5'!$I$31 + BV52*'VoT5'!$I$32)/100)</f>
        <v>20.855543463023206</v>
      </c>
      <c r="BX52" s="1566">
        <f>IF(ISERROR(MATCH($B52,'A1.3.2'!$B$27:$B$106,0)),"",(VLOOKUP($B52,'Forecast occupancies'!$C$28:$CP$64,74,TRUE)*VLOOKUP($B52,'A1.3.2'!$B$27:$AY$106,38,)) * $CR$5)</f>
        <v>19.961408395735067</v>
      </c>
      <c r="BY52" s="1566">
        <f>IF(ISERROR(MATCH($B52,'A1.3.2'!$B$27:$B$106,0)),"",(VLOOKUP($B52,'Forecast occupancies'!$C$28:$CP$64,75,TRUE)*VLOOKUP($B52,'A1.3.2'!$B$27:$AY$106,38,)) * $CR$5)</f>
        <v>19.961408395735067</v>
      </c>
      <c r="BZ52" s="1565">
        <f>IF(ISERROR(MATCH($B52,'A1.3.2'!$B$27:$B$106,0)),"",(((VLOOKUP($B52,'Forecast occupancies'!$C$28:$CP$64,76,TRUE) -1) * VLOOKUP($B52,'A1.3.2'!$B$27:$AY$106,40,)) + VLOOKUP($B52,'A1.3.2'!$B$27:$AY$106,39,)) * $CR$5)</f>
        <v>21.307791491248718</v>
      </c>
      <c r="CA52" s="1565">
        <f>IF(ISERROR(MATCH($B52,'A1.3.2'!$B$27:$B$106,0)),"",(VLOOKUP($B52,'Forecast occupancies'!$C$28:$CP$64,77,TRUE) * VLOOKUP($B52,'A1.3.2'!$B$27:$AY$106,49,)) * $CR$5)</f>
        <v>10.23762481648113</v>
      </c>
      <c r="CB52" s="1565">
        <f>IF(ISERROR(MATCH($B52,'A1.3.2'!$B$27:$B$106,0)),"",(VLOOKUP($B52,'Forecast occupancies'!$C$28:$CP$64,78,TRUE) * VLOOKUP($B52,'A1.3.2'!$B$27:$AY$106,50,)) * $CR$5)</f>
        <v>72.002259364570463</v>
      </c>
      <c r="CC52" s="1567">
        <f>IF(ISERROR(MATCH($B52,'A1.3.2'!$B$27:$B$106,0)),"",SUM(BZ52:CB52))</f>
        <v>103.54767567230031</v>
      </c>
      <c r="CD52" s="1565">
        <f>IF(ISERROR(MATCH($B52,'A1.3.2'!$B$27:$B$106,0)),"",(((VLOOKUP($B52,'Forecast occupancies'!$C$28:$CP$64,80,TRUE)-1)*VLOOKUP($B52,'A1.3.2'!$B$27:$AY$106,36,)+VLOOKUP($B52,'A1.3.2'!$B$27:$AY$106,35,))*$CR$5))</f>
        <v>28.556930152270919</v>
      </c>
      <c r="CE52" s="1565">
        <f>IF(ISERROR(MATCH($B52,'A1.3.2'!$B$27:$B$106,0)),"",VLOOKUP($B52,'Forecast occupancies'!$C$28:$CP$64,81,TRUE)*VLOOKUP($B52,'A1.3.2'!$B$27:$AY$106,49,)*$CR$5)</f>
        <v>15.859756572389848</v>
      </c>
      <c r="CF52" s="1565">
        <f>IF(ISERROR(MATCH($B52,'A1.3.2'!$B$27:$B$106,0)),"",VLOOKUP($B52,'Forecast occupancies'!$C$28:$CP$64,82,TRUE)*VLOOKUP($B52,'A1.3.2'!$B$27:$AY$106,50,)*$CR$5)</f>
        <v>12.048939366491627</v>
      </c>
      <c r="CG52" s="1566">
        <f>IF(ISERROR(MATCH($B52,'A1.3.2'!$B$27:$B$106,0)),"",(((CD52*'VoT5'!$J$28)+(CE52*'VoT5'!$J$29)+(CF52*'VoT5'!$J$30))/100))</f>
        <v>15.011002073091023</v>
      </c>
      <c r="CH52" s="1565">
        <f>IF(ISERROR(MATCH($B52,'A1.3.2'!$B$27:$B$106,0)),"",(VLOOKUP($B52,'Forecast occupancies'!$C$28:$CP$64,84,TRUE) * VLOOKUP($B52, 'A1.3.2'!$B$27:$AY$106,37,)) * $CR$5)</f>
        <v>20.330047372002081</v>
      </c>
      <c r="CI52" s="1565">
        <f>IF(ISERROR(MATCH($B52,'A1.3.2'!$B$27:$B$106,0)),"",(VLOOKUP($B52,'Forecast occupancies'!$C$28:$CP$64,85,TRUE) * (VLOOKUP($B52,'A1.3.2'!$B$27:$AY$106,49,)*'VoT5'!$J$29 + VLOOKUP($B52,'A1.3.2'!$B$27:$AY$106,50,)*'VoT5'!$J$30) / (SUM('VoT5'!$J$29:$J$30))) * $CR$5)</f>
        <v>13.514867443170436</v>
      </c>
      <c r="CJ52" s="1566">
        <f>IF(ISERROR(MATCH($B52,'A1.3.2'!$B$27:$B$106,0)),"",(CH52*'VoT5'!$J$31 + CI52*'VoT5'!$J$32)/100)</f>
        <v>19.512225780542284</v>
      </c>
      <c r="CK52" s="1566">
        <f>IF(ISERROR(MATCH($B52,'A1.3.2'!$B$27:$B$106,0)),"",(VLOOKUP($B52,'Forecast occupancies'!$C$28:$CP$64,87,TRUE)*VLOOKUP($B52,'A1.3.2'!$B$27:$AY$106,38,)) * $CR$5)</f>
        <v>19.961408395735067</v>
      </c>
      <c r="CL52" s="1566">
        <f>IF(ISERROR(MATCH($B52,'A1.3.2'!$B$27:$B$106,0)),"",(VLOOKUP($B52,'Forecast occupancies'!$C$28:$CP$64,88,TRUE)*VLOOKUP($B52,'A1.3.2'!$B$27:$AY$106,38,)) * $CR$5)</f>
        <v>19.961408395735067</v>
      </c>
      <c r="CM52" s="1565">
        <f>IF(ISERROR(MATCH($B52,'A1.3.2'!$B$27:$B$106,0)),"",(((VLOOKUP($B52,'Forecast occupancies'!$C$28:$CP$64,89,TRUE) -1) * VLOOKUP($B52,'A1.3.2'!$B$27:$AY$106,40,)) + VLOOKUP($B52,'A1.3.2'!$B$27:$AY$106,39,)) * $CR$5)</f>
        <v>22.880544247881058</v>
      </c>
      <c r="CN52" s="1565">
        <f>IF(ISERROR(MATCH($B52,'A1.3.2'!$B$27:$B$106,0)),"",(VLOOKUP($B52,'Forecast occupancies'!$C$28:$CP$64,90,TRUE) * VLOOKUP($B52,'A1.3.2'!$B$27:$AY$106,49,)) * $CR$5)</f>
        <v>22.877741568296091</v>
      </c>
      <c r="CO52" s="1565">
        <f>IF(ISERROR(MATCH($B52,'A1.3.2'!$B$27:$B$106,0)),"",(VLOOKUP($B52,'Forecast occupancies'!$C$28:$CP$64,91,TRUE) * VLOOKUP($B52,'A1.3.2'!$B$27:$AY$106,50,)) * $CR$5)</f>
        <v>65.52015952492124</v>
      </c>
      <c r="CP52" s="1567">
        <f>IF(ISERROR(MATCH($B52,'A1.3.2'!$B$27:$B$106,0)),"",SUM(CM52:CO52))</f>
        <v>111.27844534109839</v>
      </c>
    </row>
    <row r="53" spans="1:94" s="26" customFormat="1" ht="13.5" customHeight="1">
      <c r="A53" s="113"/>
      <c r="B53" s="82">
        <f t="shared" si="0"/>
        <v>2035</v>
      </c>
      <c r="D53" s="1609">
        <f>IF(ISERROR(MATCH($B53,'A1.3.2'!$B$27:$B$106,0)),"",(((VLOOKUP($B53,'Forecast occupancies'!$C$28:$CP$64,2,TRUE) -1) * VLOOKUP($B53,'A1.3.2'!$B$27:$AY$106,36,) + VLOOKUP($B53,'A1.3.2'!$B$27:$AY$106,35,)) * $CR$5))</f>
        <v>28.349760962998332</v>
      </c>
      <c r="E53" s="1565">
        <f>IF(ISERROR(MATCH($B53,'A1.3.2'!$B$27:$B$106,0)),"",VLOOKUP($B53,'Forecast occupancies'!$C$28:$CP$64,3,TRUE)*VLOOKUP($B53,'A1.3.2'!$B$27:$AY$106,49,)*$CR$5)</f>
        <v>15.976533874995617</v>
      </c>
      <c r="F53" s="1565">
        <f>IF(ISERROR(MATCH($B53,'A1.3.2'!$B$27:$B$106,0)),"",VLOOKUP($B53,'Forecast occupancies'!$C$28:$CP$64,4,TRUE)*VLOOKUP($B53,'A1.3.2'!$B$27:$AY$106,50,)*$CR$5)</f>
        <v>11.022570621912157</v>
      </c>
      <c r="G53" s="1566">
        <f>IF(ISERROR(MATCH($B53,'A1.3.2'!$B$27:$B$106,0)),"",(((D53*'VoT5'!$D$28)+(E53*'VoT5'!$D$29)+(F53*'VoT5'!$D$30))/100))</f>
        <v>16.057444136801415</v>
      </c>
      <c r="H53" s="1565">
        <f>IF(ISERROR(MATCH($B53,'A1.3.2'!$B$27:$B$106,0)),"",(VLOOKUP($B53,'Forecast occupancies'!$C$28:$CP$64,6,TRUE) * VLOOKUP($B53, 'A1.3.2'!$B$27:$AY$106,37,)) * $CR$5)</f>
        <v>20.718262878199941</v>
      </c>
      <c r="I53" s="1565">
        <f>IF(ISERROR(MATCH($B53,'A1.3.2'!$B$27:$B$106,0)),"",VLOOKUP($B53,'Forecast occupancies'!$C$28:$CP$64,7,TRUE) * ('VoT5'!$J$29*VLOOKUP($B53, 'A1.3.2'!$B$27:$AY$106,49,)+'VoT5'!$J$30*VLOOKUP($B53, 'A1.3.2'!$B$27:$AY$106,50,))/('VoT5'!$J$29+'VoT5'!$J$30) * $CR$5)</f>
        <v>12.646852995995458</v>
      </c>
      <c r="J53" s="1566">
        <f>IF(ISERROR(MATCH($B53,'A1.3.2'!$B$27:$B$106,0)),"",(H53*'VoT5'!$D$31 + I53*'VoT5'!$D$32)/100)</f>
        <v>19.749693692335402</v>
      </c>
      <c r="K53" s="1566">
        <f>IF(ISERROR(MATCH($B53,'A1.3.2'!$B$27:$B$106,0)),"",(VLOOKUP($B53,'Forecast occupancies'!$C$28:$CP$64,9,TRUE)*VLOOKUP($B53,'A1.3.2'!$B$27:$AY$106,38,)) * $CR$5)</f>
        <v>20.342584500393073</v>
      </c>
      <c r="L53" s="1566">
        <f>IF(ISERROR(MATCH($B53,'A1.3.2'!$B$27:$B$106,0)),"",(VLOOKUP($B53,'Forecast occupancies'!$C$28:$CP$64,10,TRUE)*VLOOKUP($B53,'A1.3.2'!$B$27:$AY$106,38,)) * $CR$5)</f>
        <v>20.342584500393073</v>
      </c>
      <c r="M53" s="1565">
        <f>IF(ISERROR(MATCH($B53,'A1.3.2'!$B$27:$B$106,0)),"",(((VLOOKUP($B53,'Forecast occupancies'!$C$28:$CP$64,11,TRUE) -1) * VLOOKUP($B53,'A1.3.2'!$B$27:$AY$106,40,)) + VLOOKUP($B53,'A1.3.2'!$B$27:$AY$106,39,)) * $CR$5)</f>
        <v>23.180558958076311</v>
      </c>
      <c r="N53" s="1565">
        <f>IF(ISERROR(MATCH($B53,'A1.3.2'!$B$27:$B$106,0)),"",(VLOOKUP($B53,'Forecast occupancies'!$C$28:$CP$64,12,TRUE) * VLOOKUP($B53,'A1.3.2'!$B$27:$AY$106,49,)) * $CR$5)</f>
        <v>31.732451261129096</v>
      </c>
      <c r="O53" s="1565">
        <f>IF(ISERROR(MATCH($B53,'A1.3.2'!$B$27:$B$106,0)),"",(VLOOKUP($B53,'Forecast occupancies'!$C$28:$CP$64,13,TRUE) * VLOOKUP($B53,'A1.3.2'!$B$27:$AY$106,50,)) * $CR$5)</f>
        <v>62.991197870586632</v>
      </c>
      <c r="P53" s="1567">
        <f>IF(ISERROR(MATCH($B53,'A1.3.2'!$B$27:$B$106,0)),"",SUM(M53:O53))</f>
        <v>117.90420808979204</v>
      </c>
      <c r="Q53" s="1609">
        <f>IF(ISERROR(MATCH($B53,'A1.3.2'!$B$27:$B$106,0)),"",(((VLOOKUP($B53,'Forecast occupancies'!$C$28:$CP$64,15,TRUE)-1)*VLOOKUP($B53,'A1.3.2'!$B$27:$AY$106,36,)+VLOOKUP($B53,'A1.3.2'!$B$27:$AY$106,35,))*$CR$5))</f>
        <v>29.050641053639069</v>
      </c>
      <c r="R53" s="1565">
        <f>IF(ISERROR(MATCH($B53,'A1.3.2'!$B$27:$B$106,0)),"",VLOOKUP($B53,'Forecast occupancies'!$C$28:$CP$64,16,TRUE)*VLOOKUP($B53,'A1.3.2'!$B$27:$AY$106,49,)*$CR$5)</f>
        <v>16.236313805619851</v>
      </c>
      <c r="S53" s="1565">
        <f>IF(ISERROR(MATCH($B53,'A1.3.2'!$B$27:$B$106,0)),"",VLOOKUP($B53,'Forecast occupancies'!$C$28:$CP$64,17,TRUE)*VLOOKUP($B53,'A1.3.2'!$B$27:$AY$106,50,)*$CR$5)</f>
        <v>11.741641465115391</v>
      </c>
      <c r="T53" s="1566">
        <f>IF(ISERROR(MATCH($B53,'A1.3.2'!$B$27:$B$106,0)),"",(((Q53*'VoT5'!$E$28)+(R53*'VoT5'!$E$29)+(S53*'VoT5'!$E$30))/100))</f>
        <v>15.123055575201494</v>
      </c>
      <c r="U53" s="1565">
        <f>IF(ISERROR(MATCH($B53,'A1.3.2'!$B$27:$B$106,0)),"",(VLOOKUP($B53,'Forecast occupancies'!$C$28:$CP$64,19,TRUE) * VLOOKUP($B53, 'A1.3.2'!$B$27:$AY$106,37,)) * $CR$5)</f>
        <v>20.718262878199941</v>
      </c>
      <c r="V53" s="1565">
        <f>IF(ISERROR(MATCH($B53,'A1.3.2'!$B$27:$B$106,0)),"",VLOOKUP($B53,'Forecast occupancies'!$C$28:$CP$64,20,TRUE) * ('VoT5'!$J$29*VLOOKUP($B53, 'A1.3.2'!$B$27:$AY$106,49,)+'VoT5'!$J$30*VLOOKUP($B53, 'A1.3.2'!$B$27:$AY$106,50,))/('VoT5'!$J$29+'VoT5'!$J$30) * $CR$5)</f>
        <v>12.646852995995458</v>
      </c>
      <c r="W53" s="1566">
        <f>IF(ISERROR(MATCH($B53,'A1.3.2'!$B$27:$B$106,0)),"",(U53*'VoT5'!$E$31 + V53*'VoT5'!$E$32)/100)</f>
        <v>19.749693692335402</v>
      </c>
      <c r="X53" s="1566">
        <f>IF(ISERROR(MATCH($B53,'A1.3.2'!$B$27:$B$106,0)),"",(VLOOKUP($B53,'Forecast occupancies'!$C$28:$CP$64,22,TRUE)*VLOOKUP($B53,'A1.3.2'!$B$27:$AY$106,38,)) * $CR$5)</f>
        <v>20.342584500393073</v>
      </c>
      <c r="Y53" s="1566">
        <f>IF(ISERROR(MATCH($B53,'A1.3.2'!$B$27:$B$106,0)),"",(VLOOKUP($B53,'Forecast occupancies'!$C$28:$CP$64,23,TRUE)*VLOOKUP($B53,'A1.3.2'!$B$27:$AY$106,38,)) * $CR$5)</f>
        <v>20.342584500393073</v>
      </c>
      <c r="Z53" s="1565">
        <f>IF(ISERROR(MATCH($B53,'A1.3.2'!$B$27:$B$106,0)),"",(((VLOOKUP($B53,'Forecast occupancies'!$C$28:$CP$64,24,TRUE) -1) * VLOOKUP($B53,'A1.3.2'!$B$27:$AY$106,40,)) + VLOOKUP($B53,'A1.3.2'!$B$27:$AY$106,39,)) * $CR$5)</f>
        <v>23.653694780322713</v>
      </c>
      <c r="AA53" s="1565">
        <f>IF(ISERROR(MATCH($B53,'A1.3.2'!$B$27:$B$106,0)),"",(VLOOKUP($B53,'Forecast occupancies'!$C$28:$CP$64,25,TRUE) * VLOOKUP($B53,'A1.3.2'!$B$27:$AY$106,49,)) * $CR$5)</f>
        <v>11.12121439249136</v>
      </c>
      <c r="AB53" s="1565">
        <f>IF(ISERROR(MATCH($B53,'A1.3.2'!$B$27:$B$106,0)),"",(VLOOKUP($B53,'Forecast occupancies'!$C$28:$CP$64,26,TRUE) * VLOOKUP($B53,'A1.3.2'!$B$27:$AY$106,50,)) * $CR$5)</f>
        <v>72.184359866771487</v>
      </c>
      <c r="AC53" s="1567">
        <f>IF(ISERROR(MATCH($B53,'A1.3.2'!$B$27:$B$106,0)),"",SUM(Z53:AB53))</f>
        <v>106.95926903958556</v>
      </c>
      <c r="AD53" s="1609">
        <f>IF(ISERROR(MATCH($B53,'A1.3.2'!$B$27:$B$106,0)),"",(((VLOOKUP($B53,'Forecast occupancies'!$C$28:$CP$64,28,TRUE)-1)*VLOOKUP($B53,'A1.3.2'!$B$27:$AY$106,36,)+VLOOKUP($B53,'A1.3.2'!$B$27:$AY$106,35,))*$CR$5))</f>
        <v>28.758891264896818</v>
      </c>
      <c r="AE53" s="1565">
        <f>IF(ISERROR(MATCH($B53,'A1.3.2'!$B$27:$B$106,0)),"",VLOOKUP($B53,'Forecast occupancies'!$C$28:$CP$64,29,TRUE)*VLOOKUP($B53,'A1.3.2'!$B$27:$AY$106,49,)*$CR$5)</f>
        <v>16.03164264407101</v>
      </c>
      <c r="AF53" s="1565">
        <f>IF(ISERROR(MATCH($B53,'A1.3.2'!$B$27:$B$106,0)),"",VLOOKUP($B53,'Forecast occupancies'!$C$28:$CP$64,30,TRUE)*VLOOKUP($B53,'A1.3.2'!$B$27:$AY$106,50,)*$CR$5)</f>
        <v>11.542920585766717</v>
      </c>
      <c r="AG53" s="1566">
        <f>IF(ISERROR(MATCH($B53,'A1.3.2'!$B$27:$B$106,0)),"",(((AD53*'VoT5'!$F$28)+(AE53*'VoT5'!$F$29)+(AF53*'VoT5'!$F$30))/100))</f>
        <v>15.427907391871567</v>
      </c>
      <c r="AH53" s="1565">
        <f>IF(ISERROR(MATCH($B53,'A1.3.2'!$B$27:$B$106,0)),"",(VLOOKUP($B53,'Forecast occupancies'!$C$28:$CP$64,32,TRUE) * VLOOKUP($B53, 'A1.3.2'!$B$27:$AY$106,37,)) * $CR$5)</f>
        <v>20.718262878199941</v>
      </c>
      <c r="AI53" s="1565">
        <f>IF(ISERROR(MATCH($B53,'A1.3.2'!$B$27:$B$106,0)),"",VLOOKUP($B53,'Forecast occupancies'!$C$28:$CP$64,33,TRUE) * ('VoT5'!$J$29*VLOOKUP($B53, 'A1.3.2'!$B$27:$AY$106,49,)+'VoT5'!$J$30*VLOOKUP($B53, 'A1.3.2'!$B$27:$AY$106,50,))/('VoT5'!$J$29+'VoT5'!$J$30) * $CR$5)</f>
        <v>12.646852995995458</v>
      </c>
      <c r="AJ53" s="1566">
        <f>IF(ISERROR(MATCH($B53,'A1.3.2'!$B$27:$B$106,0)),"",(AH53*'VoT5'!$F$31 + AI53*'VoT5'!$F$32)/100)</f>
        <v>19.749693692335402</v>
      </c>
      <c r="AK53" s="1566">
        <f>IF(ISERROR(MATCH($B53,'A1.3.2'!$B$27:$B$106,0)),"",(VLOOKUP($B53,'Forecast occupancies'!$C$28:$CP$64,35,TRUE)*VLOOKUP($B53,'A1.3.2'!$B$27:$AY$106,38,)) * $CR$5)</f>
        <v>20.342584500393073</v>
      </c>
      <c r="AL53" s="1566">
        <f>IF(ISERROR(MATCH($B53,'A1.3.2'!$B$27:$B$106,0)),"",(VLOOKUP($B53,'Forecast occupancies'!$C$28:$CP$64,36,TRUE)*VLOOKUP($B53,'A1.3.2'!$B$27:$AY$106,38,)) * $CR$5)</f>
        <v>20.342584500393073</v>
      </c>
      <c r="AM53" s="1565">
        <f>IF(ISERROR(MATCH($B53,'A1.3.2'!$B$27:$B$106,0)),"",(((VLOOKUP($B53,'Forecast occupancies'!$C$28:$CP$64,37,TRUE) -1) * VLOOKUP($B53,'A1.3.2'!$B$27:$AY$106,40,)) + VLOOKUP($B53,'A1.3.2'!$B$27:$AY$106,39,)) * $CR$5)</f>
        <v>24.74855519304591</v>
      </c>
      <c r="AN53" s="1565">
        <f>IF(ISERROR(MATCH($B53,'A1.3.2'!$B$27:$B$106,0)),"",(VLOOKUP($B53,'Forecast occupancies'!$C$28:$CP$64,38,TRUE) * VLOOKUP($B53,'A1.3.2'!$B$27:$AY$106,49,)) * $CR$5)</f>
        <v>44.627806460438073</v>
      </c>
      <c r="AO53" s="1565">
        <f>IF(ISERROR(MATCH($B53,'A1.3.2'!$B$27:$B$106,0)),"",(VLOOKUP($B53,'Forecast occupancies'!$C$28:$CP$64,39,TRUE) * VLOOKUP($B53,'A1.3.2'!$B$27:$AY$106,50,)) * $CR$5)</f>
        <v>56.39475519839408</v>
      </c>
      <c r="AP53" s="1567">
        <f>IF(ISERROR(MATCH($B53,'A1.3.2'!$B$27:$B$106,0)),"",SUM(AM53:AO53))</f>
        <v>125.77111685187806</v>
      </c>
      <c r="AQ53" s="1609">
        <f>IF(ISERROR(MATCH($B53,'A1.3.2'!$B$27:$B$106,0)),"",(((VLOOKUP($B53,'Forecast occupancies'!$C$28:$CP$64,41,TRUE)-1)*VLOOKUP($B53,'A1.3.2'!$B$27:$AY$106,36,)+VLOOKUP($B53,'A1.3.2'!$B$27:$AY$106,35,))*$CR$5))</f>
        <v>29.30302738025787</v>
      </c>
      <c r="AR53" s="1565">
        <f>IF(ISERROR(MATCH($B53,'A1.3.2'!$B$27:$B$106,0)),"",VLOOKUP($B53,'Forecast occupancies'!$C$28:$CP$64,42,TRUE)*VLOOKUP($B53,'A1.3.2'!$B$27:$AY$106,49,)*$CR$5)</f>
        <v>16.266281002526942</v>
      </c>
      <c r="AS53" s="1565">
        <f>IF(ISERROR(MATCH($B53,'A1.3.2'!$B$27:$B$106,0)),"",VLOOKUP($B53,'Forecast occupancies'!$C$28:$CP$64,43,TRUE)*VLOOKUP($B53,'A1.3.2'!$B$27:$AY$106,50,)*$CR$5)</f>
        <v>11.501709828140109</v>
      </c>
      <c r="AT53" s="1566">
        <f>IF(ISERROR(MATCH($B53,'A1.3.2'!$B$27:$B$106,0)),"",(((AQ53*'VoT5'!$G$28)+(AR53*'VoT5'!$G$29)+(AS53*'VoT5'!$G$30))/100))</f>
        <v>15.630704146753111</v>
      </c>
      <c r="AU53" s="1565">
        <f>IF(ISERROR(MATCH($B53,'A1.3.2'!$B$27:$B$106,0)),"",(VLOOKUP($B53,'Forecast occupancies'!$C$28:$CP$64,45,TRUE) * VLOOKUP($B53, 'A1.3.2'!$B$27:$AY$106,37,)) * $CR$5)</f>
        <v>20.718262878199941</v>
      </c>
      <c r="AV53" s="1565">
        <f>IF(ISERROR(MATCH($B53,'A1.3.2'!$B$27:$B$106,0)),"",VLOOKUP($B53,'Forecast occupancies'!$C$28:$CP$64,46,TRUE) * ('VoT5'!$J$29*VLOOKUP($B53, 'A1.3.2'!$B$27:$AY$106,49,)+'VoT5'!$J$30*VLOOKUP($B53, 'A1.3.2'!$B$27:$AY$106,50,))/('VoT5'!$J$29+'VoT5'!$J$30) * $CR$5)</f>
        <v>12.646852995995458</v>
      </c>
      <c r="AW53" s="1566">
        <f>IF(ISERROR(MATCH($B53,'A1.3.2'!$B$27:$B$106,0)),"",(AU53*'VoT5'!$G$31 + AV53*'VoT5'!$G$32)/100)</f>
        <v>19.749693692335402</v>
      </c>
      <c r="AX53" s="1566">
        <f>IF(ISERROR(MATCH($B53,'A1.3.2'!$B$27:$B$106,0)),"",(VLOOKUP($B53,'Forecast occupancies'!$C$28:$CP$64,48,TRUE)*VLOOKUP($B53,'A1.3.2'!$B$27:$AY$106,38,)) * $CR$5)</f>
        <v>20.342584500393073</v>
      </c>
      <c r="AY53" s="1566">
        <f>IF(ISERROR(MATCH($B53,'A1.3.2'!$B$27:$B$106,0)),"",(VLOOKUP($B53,'Forecast occupancies'!$C$28:$CP$64,49,TRUE)*VLOOKUP($B53,'A1.3.2'!$B$27:$AY$106,38,)) * $CR$5)</f>
        <v>20.342584500393073</v>
      </c>
      <c r="AZ53" s="1565">
        <f>IF(ISERROR(MATCH($B53,'A1.3.2'!$B$27:$B$106,0)),"",(((VLOOKUP($B53,'Forecast occupancies'!$C$28:$CP$64,50,TRUE) -1) * VLOOKUP($B53,'A1.3.2'!$B$27:$AY$106,40,)) + VLOOKUP($B53,'A1.3.2'!$B$27:$AY$106,39,)) * $CR$5)</f>
        <v>24.728541700893278</v>
      </c>
      <c r="BA53" s="1565">
        <f>IF(ISERROR(MATCH($B53,'A1.3.2'!$B$27:$B$106,0)),"",(VLOOKUP($B53,'Forecast occupancies'!$C$28:$CP$64,51,TRUE) * VLOOKUP($B53,'A1.3.2'!$B$27:$AY$106,49,)) * $CR$5)</f>
        <v>61.005102897411824</v>
      </c>
      <c r="BB53" s="1565">
        <f>IF(ISERROR(MATCH($B53,'A1.3.2'!$B$27:$B$106,0)),"",(VLOOKUP($B53,'Forecast occupancies'!$C$28:$CP$64,52,TRUE) * VLOOKUP($B53,'A1.3.2'!$B$27:$AY$106,50,)) * $CR$5)</f>
        <v>48.92873573039153</v>
      </c>
      <c r="BC53" s="1567">
        <f>IF(ISERROR(MATCH($B53,'A1.3.2'!$B$27:$B$106,0)),"",SUM(AZ53:BB53))</f>
        <v>134.66238032869663</v>
      </c>
      <c r="BD53" s="1565">
        <f>IF(ISERROR(MATCH($B53,'A1.3.2'!$B$27:$B$106,0)),"",(((VLOOKUP($B53,'Forecast occupancies'!$C$28:$CP$64,54,TRUE)-1)*VLOOKUP($B53,'A1.3.2'!$B$27:$AY$106,36,)+VLOOKUP($B53,'A1.3.2'!$B$27:$AY$106,35,))*$CR$5))</f>
        <v>28.810061667040372</v>
      </c>
      <c r="BE53" s="1565">
        <f>IF(ISERROR(MATCH($B53,'A1.3.2'!$B$27:$B$106,0)),"",VLOOKUP($B53,'Forecast occupancies'!$C$28:$CP$64,55,TRUE)*VLOOKUP($B53,'A1.3.2'!$B$27:$AY$106,49,)*$CR$5)</f>
        <v>16.086150362583556</v>
      </c>
      <c r="BF53" s="1565">
        <f>IF(ISERROR(MATCH($B53,'A1.3.2'!$B$27:$B$106,0)),"",VLOOKUP($B53,'Forecast occupancies'!$C$28:$CP$64,56,TRUE)*VLOOKUP($B53,'A1.3.2'!$B$27:$AY$106,50,)*$CR$5)</f>
        <v>11.530287548553661</v>
      </c>
      <c r="BG53" s="1566">
        <f>IF(ISERROR(MATCH($B53,'A1.3.2'!$B$27:$B$106,0)),"",(((BD53*'VoT5'!$H$28)+(BE53*'VoT5'!$H$29)+(BF53*'VoT5'!$H$30))/100))</f>
        <v>15.518137653709609</v>
      </c>
      <c r="BH53" s="1565">
        <f>IF(ISERROR(MATCH($B53,'A1.3.2'!$B$27:$B$106,0)),"",(VLOOKUP($B53,'Forecast occupancies'!$C$28:$CP$64,58,TRUE) * VLOOKUP($B53, 'A1.3.2'!$B$27:$AY$106,37,)) * $CR$5)</f>
        <v>20.718262878199941</v>
      </c>
      <c r="BI53" s="1565">
        <f>IF(ISERROR(MATCH($B53,'A1.3.2'!$B$27:$B$106,0)),"",(VLOOKUP($B53,'Forecast occupancies'!$C$28:$CP$64,59,TRUE) * (VLOOKUP($B53,'A1.3.2'!$B$27:$AY$106,49,) * 'VoT5'!$J$29 + VLOOKUP($B53,'A1.3.2'!$B$27:$AY$106,50,) * 'VoT5'!$J$30) / (SUM('VoT5'!$J$29:$J$30))) * $CR$5)</f>
        <v>12.646852995995458</v>
      </c>
      <c r="BJ53" s="1566">
        <f>IF(ISERROR(MATCH($B53,'A1.3.2'!$B$27:$B$106,0)),"",(BH53*'VoT5'!$H$31 + BI53*'VoT5'!$H$32)/100)</f>
        <v>19.749693692335402</v>
      </c>
      <c r="BK53" s="1566">
        <f>IF(ISERROR(MATCH($B53,'A1.3.2'!$B$27:$B$106,0)),"",(VLOOKUP($B53,'Forecast occupancies'!$C$28:$CP$64,61,TRUE)*VLOOKUP($B53,'A1.3.2'!$B$27:$AY$106,38,)) * $CR$5)</f>
        <v>20.342584500393073</v>
      </c>
      <c r="BL53" s="1566">
        <f>IF(ISERROR(MATCH($B53,'A1.3.2'!$B$27:$B$106,0)),"",(VLOOKUP($B53,'Forecast occupancies'!$C$28:$CP$64,62,TRUE)*VLOOKUP($B53,'A1.3.2'!$B$27:$AY$106,38,)) * $CR$5)</f>
        <v>20.342584500393073</v>
      </c>
      <c r="BM53" s="1565">
        <f>IF(ISERROR(MATCH($B53,'A1.3.2'!$B$27:$B$106,0)),"",(((VLOOKUP($B53,'Forecast occupancies'!$C$28:$CP$64,63,TRUE) -1) * VLOOKUP($B53,'A1.3.2'!$B$27:$AY$106,40,)) + VLOOKUP($B53,'A1.3.2'!$B$27:$AY$106,39,)) * $CR$5)</f>
        <v>23.843043807193574</v>
      </c>
      <c r="BN53" s="1565">
        <f>IF(ISERROR(MATCH($B53,'A1.3.2'!$B$27:$B$106,0)),"",(VLOOKUP($B53,'Forecast occupancies'!$C$28:$CP$64,64,TRUE) * VLOOKUP($B53,'A1.3.2'!$B$27:$AY$106,49,)) * $CR$5)</f>
        <v>27.539747216942228</v>
      </c>
      <c r="BO53" s="1565">
        <f>IF(ISERROR(MATCH($B53,'A1.3.2'!$B$27:$B$106,0)),"",(VLOOKUP($B53,'Forecast occupancies'!$C$28:$CP$64,65,TRUE) * VLOOKUP($B53,'A1.3.2'!$B$27:$AY$106,50,)) * $CR$5)</f>
        <v>64.604635823873593</v>
      </c>
      <c r="BP53" s="1567">
        <f>IF(ISERROR(MATCH($B53,'A1.3.2'!$B$27:$B$106,0)),"",SUM(BM53:BO53))</f>
        <v>115.98742684800939</v>
      </c>
      <c r="BQ53" s="1565">
        <f>IF(ISERROR(MATCH($B53,'A1.3.2'!$B$27:$B$106,0)),"",(((VLOOKUP($B53,'Forecast occupancies'!$C$28:$CP$64,67,TRUE)-1)*VLOOKUP($B53,'A1.3.2'!$B$27:$AY$106,36,)+VLOOKUP($B53,'A1.3.2'!$B$27:$AY$106,35,))*$CR$5))</f>
        <v>32.926293926920081</v>
      </c>
      <c r="BR53" s="1565">
        <f>IF(ISERROR(MATCH($B53,'A1.3.2'!$B$27:$B$106,0)),"",VLOOKUP($B53,'Forecast occupancies'!$C$28:$CP$64,68,TRUE)*VLOOKUP($B53,'A1.3.2'!$B$27:$AY$106,49,)*$CR$5)</f>
        <v>17.0312427774317</v>
      </c>
      <c r="BS53" s="1565">
        <f>IF(ISERROR(MATCH($B53,'A1.3.2'!$B$27:$B$106,0)),"",VLOOKUP($B53,'Forecast occupancies'!$C$28:$CP$64,69,TRUE)*VLOOKUP($B53,'A1.3.2'!$B$27:$AY$106,50,)*$CR$5)</f>
        <v>13.652138409414354</v>
      </c>
      <c r="BT53" s="1566">
        <f>IF(ISERROR(MATCH($B53,'A1.3.2'!$B$27:$B$106,0)),"",(((BQ53*'VoT5'!$I$28)+(BR53*'VoT5'!$I$29)+(BS53*'VoT5'!$I$30))/100))</f>
        <v>14.588170855029016</v>
      </c>
      <c r="BU53" s="1565">
        <f>IF(ISERROR(MATCH($B53,'A1.3.2'!$B$27:$B$106,0)),"",(VLOOKUP($B53,'Forecast occupancies'!$C$28:$CP$64,71,TRUE) * VLOOKUP($B53, 'A1.3.2'!$B$27:$AY$106,37,)) * $CR$5)</f>
        <v>21.754176022109942</v>
      </c>
      <c r="BV53" s="1565">
        <f>IF(ISERROR(MATCH($B53,'A1.3.2'!$B$27:$B$106,0)),"",(VLOOKUP($B53,'Forecast occupancies'!$C$28:$CP$64,72,TRUE) * (VLOOKUP($B53,'A1.3.2'!$B$27:$AY$106,49,)*'VoT5'!$J$29 + VLOOKUP($B53,'A1.3.2'!$B$27:$AY$106,50,)*'VoT5'!$J$30) / (SUM('VoT5'!$J$29:$J$30))) * $CR$5)</f>
        <v>17.584323001281355</v>
      </c>
      <c r="BW53" s="1566">
        <f>IF(ISERROR(MATCH($B53,'A1.3.2'!$B$27:$B$106,0)),"",(BU53*'VoT5'!$I$31 + BV53*'VoT5'!$I$32)/100)</f>
        <v>21.253793659610508</v>
      </c>
      <c r="BX53" s="1566">
        <f>IF(ISERROR(MATCH($B53,'A1.3.2'!$B$27:$B$106,0)),"",(VLOOKUP($B53,'Forecast occupancies'!$C$28:$CP$64,74,TRUE)*VLOOKUP($B53,'A1.3.2'!$B$27:$AY$106,38,)) * $CR$5)</f>
        <v>20.342584500393073</v>
      </c>
      <c r="BY53" s="1566">
        <f>IF(ISERROR(MATCH($B53,'A1.3.2'!$B$27:$B$106,0)),"",(VLOOKUP($B53,'Forecast occupancies'!$C$28:$CP$64,75,TRUE)*VLOOKUP($B53,'A1.3.2'!$B$27:$AY$106,38,)) * $CR$5)</f>
        <v>20.342584500393073</v>
      </c>
      <c r="BZ53" s="1565">
        <f>IF(ISERROR(MATCH($B53,'A1.3.2'!$B$27:$B$106,0)),"",(((VLOOKUP($B53,'Forecast occupancies'!$C$28:$CP$64,76,TRUE) -1) * VLOOKUP($B53,'A1.3.2'!$B$27:$AY$106,40,)) + VLOOKUP($B53,'A1.3.2'!$B$27:$AY$106,39,)) * $CR$5)</f>
        <v>21.714677658721481</v>
      </c>
      <c r="CA53" s="1565">
        <f>IF(ISERROR(MATCH($B53,'A1.3.2'!$B$27:$B$106,0)),"",(VLOOKUP($B53,'Forecast occupancies'!$C$28:$CP$64,77,TRUE) * VLOOKUP($B53,'A1.3.2'!$B$27:$AY$106,49,)) * $CR$5)</f>
        <v>10.433118935489798</v>
      </c>
      <c r="CB53" s="1565">
        <f>IF(ISERROR(MATCH($B53,'A1.3.2'!$B$27:$B$106,0)),"",(VLOOKUP($B53,'Forecast occupancies'!$C$28:$CP$64,78,TRUE) * VLOOKUP($B53,'A1.3.2'!$B$27:$AY$106,50,)) * $CR$5)</f>
        <v>73.377189439996727</v>
      </c>
      <c r="CC53" s="1567">
        <f>IF(ISERROR(MATCH($B53,'A1.3.2'!$B$27:$B$106,0)),"",SUM(BZ53:CB53))</f>
        <v>105.52498603420801</v>
      </c>
      <c r="CD53" s="1565">
        <f>IF(ISERROR(MATCH($B53,'A1.3.2'!$B$27:$B$106,0)),"",(((VLOOKUP($B53,'Forecast occupancies'!$C$28:$CP$64,80,TRUE)-1)*VLOOKUP($B53,'A1.3.2'!$B$27:$AY$106,36,)+VLOOKUP($B53,'A1.3.2'!$B$27:$AY$106,35,))*$CR$5))</f>
        <v>29.102243347644411</v>
      </c>
      <c r="CE53" s="1565">
        <f>IF(ISERROR(MATCH($B53,'A1.3.2'!$B$27:$B$106,0)),"",VLOOKUP($B53,'Forecast occupancies'!$C$28:$CP$64,81,TRUE)*VLOOKUP($B53,'A1.3.2'!$B$27:$AY$106,49,)*$CR$5)</f>
        <v>16.162608961922615</v>
      </c>
      <c r="CF53" s="1565">
        <f>IF(ISERROR(MATCH($B53,'A1.3.2'!$B$27:$B$106,0)),"",VLOOKUP($B53,'Forecast occupancies'!$C$28:$CP$64,82,TRUE)*VLOOKUP($B53,'A1.3.2'!$B$27:$AY$106,50,)*$CR$5)</f>
        <v>12.279021717492524</v>
      </c>
      <c r="CG53" s="1566">
        <f>IF(ISERROR(MATCH($B53,'A1.3.2'!$B$27:$B$106,0)),"",(((CD53*'VoT5'!$J$28)+(CE53*'VoT5'!$J$29)+(CF53*'VoT5'!$J$30))/100))</f>
        <v>15.297646942220432</v>
      </c>
      <c r="CH53" s="1565">
        <f>IF(ISERROR(MATCH($B53,'A1.3.2'!$B$27:$B$106,0)),"",(VLOOKUP($B53,'Forecast occupancies'!$C$28:$CP$64,84,TRUE) * VLOOKUP($B53, 'A1.3.2'!$B$27:$AY$106,37,)) * $CR$5)</f>
        <v>20.718262878199941</v>
      </c>
      <c r="CI53" s="1565">
        <f>IF(ISERROR(MATCH($B53,'A1.3.2'!$B$27:$B$106,0)),"",(VLOOKUP($B53,'Forecast occupancies'!$C$28:$CP$64,85,TRUE) * (VLOOKUP($B53,'A1.3.2'!$B$27:$AY$106,49,)*'VoT5'!$J$29 + VLOOKUP($B53,'A1.3.2'!$B$27:$AY$106,50,)*'VoT5'!$J$30) / (SUM('VoT5'!$J$29:$J$30))) * $CR$5)</f>
        <v>13.772942646323823</v>
      </c>
      <c r="CJ53" s="1566">
        <f>IF(ISERROR(MATCH($B53,'A1.3.2'!$B$27:$B$106,0)),"",(CH53*'VoT5'!$J$31 + CI53*'VoT5'!$J$32)/100)</f>
        <v>19.884824450374808</v>
      </c>
      <c r="CK53" s="1566">
        <f>IF(ISERROR(MATCH($B53,'A1.3.2'!$B$27:$B$106,0)),"",(VLOOKUP($B53,'Forecast occupancies'!$C$28:$CP$64,87,TRUE)*VLOOKUP($B53,'A1.3.2'!$B$27:$AY$106,38,)) * $CR$5)</f>
        <v>20.342584500393073</v>
      </c>
      <c r="CL53" s="1566">
        <f>IF(ISERROR(MATCH($B53,'A1.3.2'!$B$27:$B$106,0)),"",(VLOOKUP($B53,'Forecast occupancies'!$C$28:$CP$64,88,TRUE)*VLOOKUP($B53,'A1.3.2'!$B$27:$AY$106,38,)) * $CR$5)</f>
        <v>20.342584500393073</v>
      </c>
      <c r="CM53" s="1565">
        <f>IF(ISERROR(MATCH($B53,'A1.3.2'!$B$27:$B$106,0)),"",(((VLOOKUP($B53,'Forecast occupancies'!$C$28:$CP$64,89,TRUE) -1) * VLOOKUP($B53,'A1.3.2'!$B$27:$AY$106,40,)) + VLOOKUP($B53,'A1.3.2'!$B$27:$AY$106,39,)) * $CR$5)</f>
        <v>23.317463154400997</v>
      </c>
      <c r="CN53" s="1565">
        <f>IF(ISERROR(MATCH($B53,'A1.3.2'!$B$27:$B$106,0)),"",(VLOOKUP($B53,'Forecast occupancies'!$C$28:$CP$64,90,TRUE) * VLOOKUP($B53,'A1.3.2'!$B$27:$AY$106,49,)) * $CR$5)</f>
        <v>23.314606955822502</v>
      </c>
      <c r="CO53" s="1565">
        <f>IF(ISERROR(MATCH($B53,'A1.3.2'!$B$27:$B$106,0)),"",(VLOOKUP($B53,'Forecast occupancies'!$C$28:$CP$64,91,TRUE) * VLOOKUP($B53,'A1.3.2'!$B$27:$AY$106,50,)) * $CR$5)</f>
        <v>66.771309678715852</v>
      </c>
      <c r="CP53" s="1567">
        <f>IF(ISERROR(MATCH($B53,'A1.3.2'!$B$27:$B$106,0)),"",SUM(CM53:CO53))</f>
        <v>113.40337978893935</v>
      </c>
    </row>
    <row r="54" spans="1:94" s="26" customFormat="1" ht="13.5" customHeight="1">
      <c r="A54" s="113"/>
      <c r="B54" s="82">
        <f t="shared" si="0"/>
        <v>2036</v>
      </c>
      <c r="D54" s="1609">
        <f>IF(ISERROR(MATCH($B54,'A1.3.2'!$B$27:$B$106,0)),"",(((VLOOKUP($B54,'Forecast occupancies'!$C$28:$CP$64,2,TRUE) -1) * VLOOKUP($B54,'A1.3.2'!$B$27:$AY$106,36,) + VLOOKUP($B54,'A1.3.2'!$B$27:$AY$106,35,)) * $CR$5))</f>
        <v>28.908229602408692</v>
      </c>
      <c r="E54" s="1565">
        <f>IF(ISERROR(MATCH($B54,'A1.3.2'!$B$27:$B$106,0)),"",VLOOKUP($B54,'Forecast occupancies'!$C$28:$CP$64,3,TRUE)*VLOOKUP($B54,'A1.3.2'!$B$27:$AY$106,49,)*$CR$5)</f>
        <v>16.291259390576077</v>
      </c>
      <c r="F54" s="1565">
        <f>IF(ISERROR(MATCH($B54,'A1.3.2'!$B$27:$B$106,0)),"",VLOOKUP($B54,'Forecast occupancies'!$C$28:$CP$64,4,TRUE)*VLOOKUP($B54,'A1.3.2'!$B$27:$AY$106,50,)*$CR$5)</f>
        <v>11.239706844896837</v>
      </c>
      <c r="G54" s="1566">
        <f>IF(ISERROR(MATCH($B54,'A1.3.2'!$B$27:$B$106,0)),"",(((D54*'VoT5'!$D$28)+(E54*'VoT5'!$D$29)+(F54*'VoT5'!$D$30))/100))</f>
        <v>16.373763522745861</v>
      </c>
      <c r="H54" s="1565">
        <f>IF(ISERROR(MATCH($B54,'A1.3.2'!$B$27:$B$106,0)),"",(VLOOKUP($B54,'Forecast occupancies'!$C$28:$CP$64,6,TRUE) * VLOOKUP($B54, 'A1.3.2'!$B$27:$AY$106,37,)) * $CR$5)</f>
        <v>21.126396833743211</v>
      </c>
      <c r="I54" s="1565">
        <f>IF(ISERROR(MATCH($B54,'A1.3.2'!$B$27:$B$106,0)),"",VLOOKUP($B54,'Forecast occupancies'!$C$28:$CP$64,7,TRUE) * ('VoT5'!$J$29*VLOOKUP($B54, 'A1.3.2'!$B$27:$AY$106,49,)+'VoT5'!$J$30*VLOOKUP($B54, 'A1.3.2'!$B$27:$AY$106,50,))/('VoT5'!$J$29+'VoT5'!$J$30) * $CR$5)</f>
        <v>12.895986341236529</v>
      </c>
      <c r="J54" s="1566">
        <f>IF(ISERROR(MATCH($B54,'A1.3.2'!$B$27:$B$106,0)),"",(H54*'VoT5'!$D$31 + I54*'VoT5'!$D$32)/100)</f>
        <v>20.138747574642409</v>
      </c>
      <c r="K54" s="1566">
        <f>IF(ISERROR(MATCH($B54,'A1.3.2'!$B$27:$B$106,0)),"",(VLOOKUP($B54,'Forecast occupancies'!$C$28:$CP$64,9,TRUE)*VLOOKUP($B54,'A1.3.2'!$B$27:$AY$106,38,)) * $CR$5)</f>
        <v>20.743317878810362</v>
      </c>
      <c r="L54" s="1566">
        <f>IF(ISERROR(MATCH($B54,'A1.3.2'!$B$27:$B$106,0)),"",(VLOOKUP($B54,'Forecast occupancies'!$C$28:$CP$64,10,TRUE)*VLOOKUP($B54,'A1.3.2'!$B$27:$AY$106,38,)) * $CR$5)</f>
        <v>20.743317878810362</v>
      </c>
      <c r="M54" s="1565">
        <f>IF(ISERROR(MATCH($B54,'A1.3.2'!$B$27:$B$106,0)),"",(((VLOOKUP($B54,'Forecast occupancies'!$C$28:$CP$64,11,TRUE) -1) * VLOOKUP($B54,'A1.3.2'!$B$27:$AY$106,40,)) + VLOOKUP($B54,'A1.3.2'!$B$27:$AY$106,39,)) * $CR$5)</f>
        <v>23.637198265863947</v>
      </c>
      <c r="N54" s="1565">
        <f>IF(ISERROR(MATCH($B54,'A1.3.2'!$B$27:$B$106,0)),"",(VLOOKUP($B54,'Forecast occupancies'!$C$28:$CP$64,12,TRUE) * VLOOKUP($B54,'A1.3.2'!$B$27:$AY$106,49,)) * $CR$5)</f>
        <v>32.357556315950845</v>
      </c>
      <c r="O54" s="1565">
        <f>IF(ISERROR(MATCH($B54,'A1.3.2'!$B$27:$B$106,0)),"",(VLOOKUP($B54,'Forecast occupancies'!$C$28:$CP$64,13,TRUE) * VLOOKUP($B54,'A1.3.2'!$B$27:$AY$106,50,)) * $CR$5)</f>
        <v>64.232076360374606</v>
      </c>
      <c r="P54" s="1567">
        <f>IF(ISERROR(MATCH($B54,'A1.3.2'!$B$27:$B$106,0)),"",SUM(M54:O54))</f>
        <v>120.22683094218939</v>
      </c>
      <c r="Q54" s="1609">
        <f>IF(ISERROR(MATCH($B54,'A1.3.2'!$B$27:$B$106,0)),"",(((VLOOKUP($B54,'Forecast occupancies'!$C$28:$CP$64,15,TRUE)-1)*VLOOKUP($B54,'A1.3.2'!$B$27:$AY$106,36,)+VLOOKUP($B54,'A1.3.2'!$B$27:$AY$106,35,))*$CR$5))</f>
        <v>29.622916495551955</v>
      </c>
      <c r="R54" s="1565">
        <f>IF(ISERROR(MATCH($B54,'A1.3.2'!$B$27:$B$106,0)),"",VLOOKUP($B54,'Forecast occupancies'!$C$28:$CP$64,16,TRUE)*VLOOKUP($B54,'A1.3.2'!$B$27:$AY$106,49,)*$CR$5)</f>
        <v>16.556156787431899</v>
      </c>
      <c r="S54" s="1565">
        <f>IF(ISERROR(MATCH($B54,'A1.3.2'!$B$27:$B$106,0)),"",VLOOKUP($B54,'Forecast occupancies'!$C$28:$CP$64,17,TRUE)*VLOOKUP($B54,'A1.3.2'!$B$27:$AY$106,50,)*$CR$5)</f>
        <v>11.972942834535257</v>
      </c>
      <c r="T54" s="1566">
        <f>IF(ISERROR(MATCH($B54,'A1.3.2'!$B$27:$B$106,0)),"",(((Q54*'VoT5'!$E$28)+(R54*'VoT5'!$E$29)+(S54*'VoT5'!$E$30))/100))</f>
        <v>15.420968220102923</v>
      </c>
      <c r="U54" s="1565">
        <f>IF(ISERROR(MATCH($B54,'A1.3.2'!$B$27:$B$106,0)),"",(VLOOKUP($B54,'Forecast occupancies'!$C$28:$CP$64,19,TRUE) * VLOOKUP($B54, 'A1.3.2'!$B$27:$AY$106,37,)) * $CR$5)</f>
        <v>21.126396833743211</v>
      </c>
      <c r="V54" s="1565">
        <f>IF(ISERROR(MATCH($B54,'A1.3.2'!$B$27:$B$106,0)),"",VLOOKUP($B54,'Forecast occupancies'!$C$28:$CP$64,20,TRUE) * ('VoT5'!$J$29*VLOOKUP($B54, 'A1.3.2'!$B$27:$AY$106,49,)+'VoT5'!$J$30*VLOOKUP($B54, 'A1.3.2'!$B$27:$AY$106,50,))/('VoT5'!$J$29+'VoT5'!$J$30) * $CR$5)</f>
        <v>12.895986341236529</v>
      </c>
      <c r="W54" s="1566">
        <f>IF(ISERROR(MATCH($B54,'A1.3.2'!$B$27:$B$106,0)),"",(U54*'VoT5'!$E$31 + V54*'VoT5'!$E$32)/100)</f>
        <v>20.138747574642409</v>
      </c>
      <c r="X54" s="1566">
        <f>IF(ISERROR(MATCH($B54,'A1.3.2'!$B$27:$B$106,0)),"",(VLOOKUP($B54,'Forecast occupancies'!$C$28:$CP$64,22,TRUE)*VLOOKUP($B54,'A1.3.2'!$B$27:$AY$106,38,)) * $CR$5)</f>
        <v>20.743317878810362</v>
      </c>
      <c r="Y54" s="1566">
        <f>IF(ISERROR(MATCH($B54,'A1.3.2'!$B$27:$B$106,0)),"",(VLOOKUP($B54,'Forecast occupancies'!$C$28:$CP$64,23,TRUE)*VLOOKUP($B54,'A1.3.2'!$B$27:$AY$106,38,)) * $CR$5)</f>
        <v>20.743317878810362</v>
      </c>
      <c r="Z54" s="1565">
        <f>IF(ISERROR(MATCH($B54,'A1.3.2'!$B$27:$B$106,0)),"",(((VLOOKUP($B54,'Forecast occupancies'!$C$28:$CP$64,24,TRUE) -1) * VLOOKUP($B54,'A1.3.2'!$B$27:$AY$106,40,)) + VLOOKUP($B54,'A1.3.2'!$B$27:$AY$106,39,)) * $CR$5)</f>
        <v>24.119654502460619</v>
      </c>
      <c r="AA54" s="1565">
        <f>IF(ISERROR(MATCH($B54,'A1.3.2'!$B$27:$B$106,0)),"",(VLOOKUP($B54,'Forecast occupancies'!$C$28:$CP$64,25,TRUE) * VLOOKUP($B54,'A1.3.2'!$B$27:$AY$106,49,)) * $CR$5)</f>
        <v>11.34029382241925</v>
      </c>
      <c r="AB54" s="1565">
        <f>IF(ISERROR(MATCH($B54,'A1.3.2'!$B$27:$B$106,0)),"",(VLOOKUP($B54,'Forecast occupancies'!$C$28:$CP$64,26,TRUE) * VLOOKUP($B54,'A1.3.2'!$B$27:$AY$106,50,)) * $CR$5)</f>
        <v>73.606336626791432</v>
      </c>
      <c r="AC54" s="1567">
        <f>IF(ISERROR(MATCH($B54,'A1.3.2'!$B$27:$B$106,0)),"",SUM(Z54:AB54))</f>
        <v>109.06628495167129</v>
      </c>
      <c r="AD54" s="1609">
        <f>IF(ISERROR(MATCH($B54,'A1.3.2'!$B$27:$B$106,0)),"",(((VLOOKUP($B54,'Forecast occupancies'!$C$28:$CP$64,28,TRUE)-1)*VLOOKUP($B54,'A1.3.2'!$B$27:$AY$106,36,)+VLOOKUP($B54,'A1.3.2'!$B$27:$AY$106,35,))*$CR$5))</f>
        <v>29.325419458789526</v>
      </c>
      <c r="AE54" s="1565">
        <f>IF(ISERROR(MATCH($B54,'A1.3.2'!$B$27:$B$106,0)),"",VLOOKUP($B54,'Forecast occupancies'!$C$28:$CP$64,29,TRUE)*VLOOKUP($B54,'A1.3.2'!$B$27:$AY$106,49,)*$CR$5)</f>
        <v>16.347453760314036</v>
      </c>
      <c r="AF54" s="1565">
        <f>IF(ISERROR(MATCH($B54,'A1.3.2'!$B$27:$B$106,0)),"",VLOOKUP($B54,'Forecast occupancies'!$C$28:$CP$64,30,TRUE)*VLOOKUP($B54,'A1.3.2'!$B$27:$AY$106,50,)*$CR$5)</f>
        <v>11.770307305632496</v>
      </c>
      <c r="AG54" s="1566">
        <f>IF(ISERROR(MATCH($B54,'A1.3.2'!$B$27:$B$106,0)),"",(((AD54*'VoT5'!$F$28)+(AE54*'VoT5'!$F$29)+(AF54*'VoT5'!$F$30))/100))</f>
        <v>15.731825384736943</v>
      </c>
      <c r="AH54" s="1565">
        <f>IF(ISERROR(MATCH($B54,'A1.3.2'!$B$27:$B$106,0)),"",(VLOOKUP($B54,'Forecast occupancies'!$C$28:$CP$64,32,TRUE) * VLOOKUP($B54, 'A1.3.2'!$B$27:$AY$106,37,)) * $CR$5)</f>
        <v>21.126396833743211</v>
      </c>
      <c r="AI54" s="1565">
        <f>IF(ISERROR(MATCH($B54,'A1.3.2'!$B$27:$B$106,0)),"",VLOOKUP($B54,'Forecast occupancies'!$C$28:$CP$64,33,TRUE) * ('VoT5'!$J$29*VLOOKUP($B54, 'A1.3.2'!$B$27:$AY$106,49,)+'VoT5'!$J$30*VLOOKUP($B54, 'A1.3.2'!$B$27:$AY$106,50,))/('VoT5'!$J$29+'VoT5'!$J$30) * $CR$5)</f>
        <v>12.895986341236529</v>
      </c>
      <c r="AJ54" s="1566">
        <f>IF(ISERROR(MATCH($B54,'A1.3.2'!$B$27:$B$106,0)),"",(AH54*'VoT5'!$F$31 + AI54*'VoT5'!$F$32)/100)</f>
        <v>20.138747574642409</v>
      </c>
      <c r="AK54" s="1566">
        <f>IF(ISERROR(MATCH($B54,'A1.3.2'!$B$27:$B$106,0)),"",(VLOOKUP($B54,'Forecast occupancies'!$C$28:$CP$64,35,TRUE)*VLOOKUP($B54,'A1.3.2'!$B$27:$AY$106,38,)) * $CR$5)</f>
        <v>20.743317878810362</v>
      </c>
      <c r="AL54" s="1566">
        <f>IF(ISERROR(MATCH($B54,'A1.3.2'!$B$27:$B$106,0)),"",(VLOOKUP($B54,'Forecast occupancies'!$C$28:$CP$64,36,TRUE)*VLOOKUP($B54,'A1.3.2'!$B$27:$AY$106,38,)) * $CR$5)</f>
        <v>20.743317878810362</v>
      </c>
      <c r="AM54" s="1565">
        <f>IF(ISERROR(MATCH($B54,'A1.3.2'!$B$27:$B$106,0)),"",(((VLOOKUP($B54,'Forecast occupancies'!$C$28:$CP$64,37,TRUE) -1) * VLOOKUP($B54,'A1.3.2'!$B$27:$AY$106,40,)) + VLOOKUP($B54,'A1.3.2'!$B$27:$AY$106,39,)) * $CR$5)</f>
        <v>25.236082829136805</v>
      </c>
      <c r="AN54" s="1565">
        <f>IF(ISERROR(MATCH($B54,'A1.3.2'!$B$27:$B$106,0)),"",(VLOOKUP($B54,'Forecast occupancies'!$C$28:$CP$64,38,TRUE) * VLOOKUP($B54,'A1.3.2'!$B$27:$AY$106,49,)) * $CR$5)</f>
        <v>45.506940164117601</v>
      </c>
      <c r="AO54" s="1565">
        <f>IF(ISERROR(MATCH($B54,'A1.3.2'!$B$27:$B$106,0)),"",(VLOOKUP($B54,'Forecast occupancies'!$C$28:$CP$64,39,TRUE) * VLOOKUP($B54,'A1.3.2'!$B$27:$AY$106,50,)) * $CR$5)</f>
        <v>57.505688805440506</v>
      </c>
      <c r="AP54" s="1567">
        <f>IF(ISERROR(MATCH($B54,'A1.3.2'!$B$27:$B$106,0)),"",SUM(AM54:AO54))</f>
        <v>128.24871179869493</v>
      </c>
      <c r="AQ54" s="1609">
        <f>IF(ISERROR(MATCH($B54,'A1.3.2'!$B$27:$B$106,0)),"",(((VLOOKUP($B54,'Forecast occupancies'!$C$28:$CP$64,41,TRUE)-1)*VLOOKUP($B54,'A1.3.2'!$B$27:$AY$106,36,)+VLOOKUP($B54,'A1.3.2'!$B$27:$AY$106,35,))*$CR$5))</f>
        <v>29.88027464005016</v>
      </c>
      <c r="AR54" s="1565">
        <f>IF(ISERROR(MATCH($B54,'A1.3.2'!$B$27:$B$106,0)),"",VLOOKUP($B54,'Forecast occupancies'!$C$28:$CP$64,42,TRUE)*VLOOKUP($B54,'A1.3.2'!$B$27:$AY$106,49,)*$CR$5)</f>
        <v>16.586714315231216</v>
      </c>
      <c r="AS54" s="1565">
        <f>IF(ISERROR(MATCH($B54,'A1.3.2'!$B$27:$B$106,0)),"",VLOOKUP($B54,'Forecast occupancies'!$C$28:$CP$64,43,TRUE)*VLOOKUP($B54,'A1.3.2'!$B$27:$AY$106,50,)*$CR$5)</f>
        <v>11.728284727554533</v>
      </c>
      <c r="AT54" s="1566">
        <f>IF(ISERROR(MATCH($B54,'A1.3.2'!$B$27:$B$106,0)),"",(((AQ54*'VoT5'!$G$28)+(AR54*'VoT5'!$G$29)+(AS54*'VoT5'!$G$30))/100))</f>
        <v>15.938617080807701</v>
      </c>
      <c r="AU54" s="1565">
        <f>IF(ISERROR(MATCH($B54,'A1.3.2'!$B$27:$B$106,0)),"",(VLOOKUP($B54,'Forecast occupancies'!$C$28:$CP$64,45,TRUE) * VLOOKUP($B54, 'A1.3.2'!$B$27:$AY$106,37,)) * $CR$5)</f>
        <v>21.126396833743211</v>
      </c>
      <c r="AV54" s="1565">
        <f>IF(ISERROR(MATCH($B54,'A1.3.2'!$B$27:$B$106,0)),"",VLOOKUP($B54,'Forecast occupancies'!$C$28:$CP$64,46,TRUE) * ('VoT5'!$J$29*VLOOKUP($B54, 'A1.3.2'!$B$27:$AY$106,49,)+'VoT5'!$J$30*VLOOKUP($B54, 'A1.3.2'!$B$27:$AY$106,50,))/('VoT5'!$J$29+'VoT5'!$J$30) * $CR$5)</f>
        <v>12.895986341236529</v>
      </c>
      <c r="AW54" s="1566">
        <f>IF(ISERROR(MATCH($B54,'A1.3.2'!$B$27:$B$106,0)),"",(AU54*'VoT5'!$G$31 + AV54*'VoT5'!$G$32)/100)</f>
        <v>20.138747574642409</v>
      </c>
      <c r="AX54" s="1566">
        <f>IF(ISERROR(MATCH($B54,'A1.3.2'!$B$27:$B$106,0)),"",(VLOOKUP($B54,'Forecast occupancies'!$C$28:$CP$64,48,TRUE)*VLOOKUP($B54,'A1.3.2'!$B$27:$AY$106,38,)) * $CR$5)</f>
        <v>20.743317878810362</v>
      </c>
      <c r="AY54" s="1566">
        <f>IF(ISERROR(MATCH($B54,'A1.3.2'!$B$27:$B$106,0)),"",(VLOOKUP($B54,'Forecast occupancies'!$C$28:$CP$64,49,TRUE)*VLOOKUP($B54,'A1.3.2'!$B$27:$AY$106,38,)) * $CR$5)</f>
        <v>20.743317878810362</v>
      </c>
      <c r="AZ54" s="1565">
        <f>IF(ISERROR(MATCH($B54,'A1.3.2'!$B$27:$B$106,0)),"",(((VLOOKUP($B54,'Forecast occupancies'!$C$28:$CP$64,50,TRUE) -1) * VLOOKUP($B54,'A1.3.2'!$B$27:$AY$106,40,)) + VLOOKUP($B54,'A1.3.2'!$B$27:$AY$106,39,)) * $CR$5)</f>
        <v>25.21567508647367</v>
      </c>
      <c r="BA54" s="1565">
        <f>IF(ISERROR(MATCH($B54,'A1.3.2'!$B$27:$B$106,0)),"",(VLOOKUP($B54,'Forecast occupancies'!$C$28:$CP$64,51,TRUE) * VLOOKUP($B54,'A1.3.2'!$B$27:$AY$106,49,)) * $CR$5)</f>
        <v>62.206856833068414</v>
      </c>
      <c r="BB54" s="1565">
        <f>IF(ISERROR(MATCH($B54,'A1.3.2'!$B$27:$B$106,0)),"",(VLOOKUP($B54,'Forecast occupancies'!$C$28:$CP$64,52,TRUE) * VLOOKUP($B54,'A1.3.2'!$B$27:$AY$106,50,)) * $CR$5)</f>
        <v>49.892594455940774</v>
      </c>
      <c r="BC54" s="1567">
        <f>IF(ISERROR(MATCH($B54,'A1.3.2'!$B$27:$B$106,0)),"",SUM(AZ54:BB54))</f>
        <v>137.31512637548286</v>
      </c>
      <c r="BD54" s="1565">
        <f>IF(ISERROR(MATCH($B54,'A1.3.2'!$B$27:$B$106,0)),"",(((VLOOKUP($B54,'Forecast occupancies'!$C$28:$CP$64,54,TRUE)-1)*VLOOKUP($B54,'A1.3.2'!$B$27:$AY$106,36,)+VLOOKUP($B54,'A1.3.2'!$B$27:$AY$106,35,))*$CR$5))</f>
        <v>29.377597878774939</v>
      </c>
      <c r="BE54" s="1565">
        <f>IF(ISERROR(MATCH($B54,'A1.3.2'!$B$27:$B$106,0)),"",VLOOKUP($B54,'Forecast occupancies'!$C$28:$CP$64,55,TRUE)*VLOOKUP($B54,'A1.3.2'!$B$27:$AY$106,49,)*$CR$5)</f>
        <v>16.403035239252105</v>
      </c>
      <c r="BF54" s="1565">
        <f>IF(ISERROR(MATCH($B54,'A1.3.2'!$B$27:$B$106,0)),"",VLOOKUP($B54,'Forecast occupancies'!$C$28:$CP$64,56,TRUE)*VLOOKUP($B54,'A1.3.2'!$B$27:$AY$106,50,)*$CR$5)</f>
        <v>11.757425407234571</v>
      </c>
      <c r="BG54" s="1566">
        <f>IF(ISERROR(MATCH($B54,'A1.3.2'!$B$27:$B$106,0)),"",(((BD54*'VoT5'!$H$28)+(BE54*'VoT5'!$H$29)+(BF54*'VoT5'!$H$30))/100))</f>
        <v>15.823833113821644</v>
      </c>
      <c r="BH54" s="1565">
        <f>IF(ISERROR(MATCH($B54,'A1.3.2'!$B$27:$B$106,0)),"",(VLOOKUP($B54,'Forecast occupancies'!$C$28:$CP$64,58,TRUE) * VLOOKUP($B54, 'A1.3.2'!$B$27:$AY$106,37,)) * $CR$5)</f>
        <v>21.126396833743211</v>
      </c>
      <c r="BI54" s="1565">
        <f>IF(ISERROR(MATCH($B54,'A1.3.2'!$B$27:$B$106,0)),"",(VLOOKUP($B54,'Forecast occupancies'!$C$28:$CP$64,59,TRUE) * (VLOOKUP($B54,'A1.3.2'!$B$27:$AY$106,49,) * 'VoT5'!$J$29 + VLOOKUP($B54,'A1.3.2'!$B$27:$AY$106,50,) * 'VoT5'!$J$30) / (SUM('VoT5'!$J$29:$J$30))) * $CR$5)</f>
        <v>12.895986341236529</v>
      </c>
      <c r="BJ54" s="1566">
        <f>IF(ISERROR(MATCH($B54,'A1.3.2'!$B$27:$B$106,0)),"",(BH54*'VoT5'!$H$31 + BI54*'VoT5'!$H$32)/100)</f>
        <v>20.138747574642409</v>
      </c>
      <c r="BK54" s="1566">
        <f>IF(ISERROR(MATCH($B54,'A1.3.2'!$B$27:$B$106,0)),"",(VLOOKUP($B54,'Forecast occupancies'!$C$28:$CP$64,61,TRUE)*VLOOKUP($B54,'A1.3.2'!$B$27:$AY$106,38,)) * $CR$5)</f>
        <v>20.743317878810362</v>
      </c>
      <c r="BL54" s="1566">
        <f>IF(ISERROR(MATCH($B54,'A1.3.2'!$B$27:$B$106,0)),"",(VLOOKUP($B54,'Forecast occupancies'!$C$28:$CP$64,62,TRUE)*VLOOKUP($B54,'A1.3.2'!$B$27:$AY$106,38,)) * $CR$5)</f>
        <v>20.743317878810362</v>
      </c>
      <c r="BM54" s="1565">
        <f>IF(ISERROR(MATCH($B54,'A1.3.2'!$B$27:$B$106,0)),"",(((VLOOKUP($B54,'Forecast occupancies'!$C$28:$CP$64,63,TRUE) -1) * VLOOKUP($B54,'A1.3.2'!$B$27:$AY$106,40,)) + VLOOKUP($B54,'A1.3.2'!$B$27:$AY$106,39,)) * $CR$5)</f>
        <v>24.312733560549319</v>
      </c>
      <c r="BN54" s="1565">
        <f>IF(ISERROR(MATCH($B54,'A1.3.2'!$B$27:$B$106,0)),"",(VLOOKUP($B54,'Forecast occupancies'!$C$28:$CP$64,64,TRUE) * VLOOKUP($B54,'A1.3.2'!$B$27:$AY$106,49,)) * $CR$5)</f>
        <v>28.082259204187022</v>
      </c>
      <c r="BO54" s="1565">
        <f>IF(ISERROR(MATCH($B54,'A1.3.2'!$B$27:$B$106,0)),"",(VLOOKUP($B54,'Forecast occupancies'!$C$28:$CP$64,65,TRUE) * VLOOKUP($B54,'A1.3.2'!$B$27:$AY$106,50,)) * $CR$5)</f>
        <v>65.877297809110502</v>
      </c>
      <c r="BP54" s="1567">
        <f>IF(ISERROR(MATCH($B54,'A1.3.2'!$B$27:$B$106,0)),"",SUM(BM54:BO54))</f>
        <v>118.27229057384685</v>
      </c>
      <c r="BQ54" s="1565">
        <f>IF(ISERROR(MATCH($B54,'A1.3.2'!$B$27:$B$106,0)),"",(((VLOOKUP($B54,'Forecast occupancies'!$C$28:$CP$64,67,TRUE)-1)*VLOOKUP($B54,'A1.3.2'!$B$27:$AY$106,36,)+VLOOKUP($B54,'A1.3.2'!$B$27:$AY$106,35,))*$CR$5))</f>
        <v>33.574916770484542</v>
      </c>
      <c r="BR54" s="1565">
        <f>IF(ISERROR(MATCH($B54,'A1.3.2'!$B$27:$B$106,0)),"",VLOOKUP($B54,'Forecast occupancies'!$C$28:$CP$64,68,TRUE)*VLOOKUP($B54,'A1.3.2'!$B$27:$AY$106,49,)*$CR$5)</f>
        <v>17.366745252877401</v>
      </c>
      <c r="BS54" s="1565">
        <f>IF(ISERROR(MATCH($B54,'A1.3.2'!$B$27:$B$106,0)),"",VLOOKUP($B54,'Forecast occupancies'!$C$28:$CP$64,69,TRUE)*VLOOKUP($B54,'A1.3.2'!$B$27:$AY$106,50,)*$CR$5)</f>
        <v>13.921075109533229</v>
      </c>
      <c r="BT54" s="1566">
        <f>IF(ISERROR(MATCH($B54,'A1.3.2'!$B$27:$B$106,0)),"",(((BQ54*'VoT5'!$I$28)+(BR54*'VoT5'!$I$29)+(BS54*'VoT5'!$I$30))/100))</f>
        <v>14.875546679450515</v>
      </c>
      <c r="BU54" s="1565">
        <f>IF(ISERROR(MATCH($B54,'A1.3.2'!$B$27:$B$106,0)),"",(VLOOKUP($B54,'Forecast occupancies'!$C$28:$CP$64,71,TRUE) * VLOOKUP($B54, 'A1.3.2'!$B$27:$AY$106,37,)) * $CR$5)</f>
        <v>22.18271667543037</v>
      </c>
      <c r="BV54" s="1565">
        <f>IF(ISERROR(MATCH($B54,'A1.3.2'!$B$27:$B$106,0)),"",(VLOOKUP($B54,'Forecast occupancies'!$C$28:$CP$64,72,TRUE) * (VLOOKUP($B54,'A1.3.2'!$B$27:$AY$106,49,)*'VoT5'!$J$29 + VLOOKUP($B54,'A1.3.2'!$B$27:$AY$106,50,)*'VoT5'!$J$30) / (SUM('VoT5'!$J$29:$J$30))) * $CR$5)</f>
        <v>17.930720734732979</v>
      </c>
      <c r="BW54" s="1566">
        <f>IF(ISERROR(MATCH($B54,'A1.3.2'!$B$27:$B$106,0)),"",(BU54*'VoT5'!$I$31 + BV54*'VoT5'!$I$32)/100)</f>
        <v>21.672477162546684</v>
      </c>
      <c r="BX54" s="1566">
        <f>IF(ISERROR(MATCH($B54,'A1.3.2'!$B$27:$B$106,0)),"",(VLOOKUP($B54,'Forecast occupancies'!$C$28:$CP$64,74,TRUE)*VLOOKUP($B54,'A1.3.2'!$B$27:$AY$106,38,)) * $CR$5)</f>
        <v>20.743317878810362</v>
      </c>
      <c r="BY54" s="1566">
        <f>IF(ISERROR(MATCH($B54,'A1.3.2'!$B$27:$B$106,0)),"",(VLOOKUP($B54,'Forecast occupancies'!$C$28:$CP$64,75,TRUE)*VLOOKUP($B54,'A1.3.2'!$B$27:$AY$106,38,)) * $CR$5)</f>
        <v>20.743317878810362</v>
      </c>
      <c r="BZ54" s="1565">
        <f>IF(ISERROR(MATCH($B54,'A1.3.2'!$B$27:$B$106,0)),"",(((VLOOKUP($B54,'Forecast occupancies'!$C$28:$CP$64,76,TRUE) -1) * VLOOKUP($B54,'A1.3.2'!$B$27:$AY$106,40,)) + VLOOKUP($B54,'A1.3.2'!$B$27:$AY$106,39,)) * $CR$5)</f>
        <v>22.142440224449235</v>
      </c>
      <c r="CA54" s="1565">
        <f>IF(ISERROR(MATCH($B54,'A1.3.2'!$B$27:$B$106,0)),"",(VLOOKUP($B54,'Forecast occupancies'!$C$28:$CP$64,77,TRUE) * VLOOKUP($B54,'A1.3.2'!$B$27:$AY$106,49,)) * $CR$5)</f>
        <v>10.638643410433845</v>
      </c>
      <c r="CB54" s="1565">
        <f>IF(ISERROR(MATCH($B54,'A1.3.2'!$B$27:$B$106,0)),"",(VLOOKUP($B54,'Forecast occupancies'!$C$28:$CP$64,78,TRUE) * VLOOKUP($B54,'A1.3.2'!$B$27:$AY$106,50,)) * $CR$5)</f>
        <v>74.822664031609577</v>
      </c>
      <c r="CC54" s="1567">
        <f>IF(ISERROR(MATCH($B54,'A1.3.2'!$B$27:$B$106,0)),"",SUM(BZ54:CB54))</f>
        <v>107.60374766649267</v>
      </c>
      <c r="CD54" s="1565">
        <f>IF(ISERROR(MATCH($B54,'A1.3.2'!$B$27:$B$106,0)),"",(((VLOOKUP($B54,'Forecast occupancies'!$C$28:$CP$64,80,TRUE)-1)*VLOOKUP($B54,'A1.3.2'!$B$27:$AY$106,36,)+VLOOKUP($B54,'A1.3.2'!$B$27:$AY$106,35,))*$CR$5))</f>
        <v>29.675535315338987</v>
      </c>
      <c r="CE54" s="1565">
        <f>IF(ISERROR(MATCH($B54,'A1.3.2'!$B$27:$B$106,0)),"",VLOOKUP($B54,'Forecast occupancies'!$C$28:$CP$64,81,TRUE)*VLOOKUP($B54,'A1.3.2'!$B$27:$AY$106,49,)*$CR$5)</f>
        <v>16.481000014604426</v>
      </c>
      <c r="CF54" s="1565">
        <f>IF(ISERROR(MATCH($B54,'A1.3.2'!$B$27:$B$106,0)),"",VLOOKUP($B54,'Forecast occupancies'!$C$28:$CP$64,82,TRUE)*VLOOKUP($B54,'A1.3.2'!$B$27:$AY$106,50,)*$CR$5)</f>
        <v>12.520909067470841</v>
      </c>
      <c r="CG54" s="1566">
        <f>IF(ISERROR(MATCH($B54,'A1.3.2'!$B$27:$B$106,0)),"",(((CD54*'VoT5'!$J$28)+(CE54*'VoT5'!$J$29)+(CF54*'VoT5'!$J$30))/100))</f>
        <v>15.598998903711481</v>
      </c>
      <c r="CH54" s="1565">
        <f>IF(ISERROR(MATCH($B54,'A1.3.2'!$B$27:$B$106,0)),"",(VLOOKUP($B54,'Forecast occupancies'!$C$28:$CP$64,84,TRUE) * VLOOKUP($B54, 'A1.3.2'!$B$27:$AY$106,37,)) * $CR$5)</f>
        <v>21.126396833743211</v>
      </c>
      <c r="CI54" s="1565">
        <f>IF(ISERROR(MATCH($B54,'A1.3.2'!$B$27:$B$106,0)),"",(VLOOKUP($B54,'Forecast occupancies'!$C$28:$CP$64,85,TRUE) * (VLOOKUP($B54,'A1.3.2'!$B$27:$AY$106,49,)*'VoT5'!$J$29 + VLOOKUP($B54,'A1.3.2'!$B$27:$AY$106,50,)*'VoT5'!$J$30) / (SUM('VoT5'!$J$29:$J$30))) * $CR$5)</f>
        <v>14.044259097648002</v>
      </c>
      <c r="CJ54" s="1566">
        <f>IF(ISERROR(MATCH($B54,'A1.3.2'!$B$27:$B$106,0)),"",(CH54*'VoT5'!$J$31 + CI54*'VoT5'!$J$32)/100)</f>
        <v>20.276540305411785</v>
      </c>
      <c r="CK54" s="1566">
        <f>IF(ISERROR(MATCH($B54,'A1.3.2'!$B$27:$B$106,0)),"",(VLOOKUP($B54,'Forecast occupancies'!$C$28:$CP$64,87,TRUE)*VLOOKUP($B54,'A1.3.2'!$B$27:$AY$106,38,)) * $CR$5)</f>
        <v>20.743317878810362</v>
      </c>
      <c r="CL54" s="1566">
        <f>IF(ISERROR(MATCH($B54,'A1.3.2'!$B$27:$B$106,0)),"",(VLOOKUP($B54,'Forecast occupancies'!$C$28:$CP$64,88,TRUE)*VLOOKUP($B54,'A1.3.2'!$B$27:$AY$106,38,)) * $CR$5)</f>
        <v>20.743317878810362</v>
      </c>
      <c r="CM54" s="1565">
        <f>IF(ISERROR(MATCH($B54,'A1.3.2'!$B$27:$B$106,0)),"",(((VLOOKUP($B54,'Forecast occupancies'!$C$28:$CP$64,89,TRUE) -1) * VLOOKUP($B54,'A1.3.2'!$B$27:$AY$106,40,)) + VLOOKUP($B54,'A1.3.2'!$B$27:$AY$106,39,)) * $CR$5)</f>
        <v>23.776799370298399</v>
      </c>
      <c r="CN54" s="1565">
        <f>IF(ISERROR(MATCH($B54,'A1.3.2'!$B$27:$B$106,0)),"",(VLOOKUP($B54,'Forecast occupancies'!$C$28:$CP$64,90,TRUE) * VLOOKUP($B54,'A1.3.2'!$B$27:$AY$106,49,)) * $CR$5)</f>
        <v>23.773886906789272</v>
      </c>
      <c r="CO54" s="1565">
        <f>IF(ISERROR(MATCH($B54,'A1.3.2'!$B$27:$B$106,0)),"",(VLOOKUP($B54,'Forecast occupancies'!$C$28:$CP$64,91,TRUE) * VLOOKUP($B54,'A1.3.2'!$B$27:$AY$106,50,)) * $CR$5)</f>
        <v>68.086653484139489</v>
      </c>
      <c r="CP54" s="1567">
        <f>IF(ISERROR(MATCH($B54,'A1.3.2'!$B$27:$B$106,0)),"",SUM(CM54:CO54))</f>
        <v>115.63733976122717</v>
      </c>
    </row>
    <row r="55" spans="1:94" s="26" customFormat="1" ht="13.5" customHeight="1">
      <c r="A55" s="113"/>
      <c r="B55" s="82">
        <f t="shared" si="0"/>
        <v>2037</v>
      </c>
      <c r="D55" s="1609">
        <f>IF(ISERROR(MATCH($B55,'A1.3.2'!$B$27:$B$106,0)),"",(((VLOOKUP($B55,'Forecast occupancies'!$C$28:$CP$64,2,TRUE) -1) * VLOOKUP($B55,'A1.3.2'!$B$27:$AY$106,36,) + VLOOKUP($B55,'A1.3.2'!$B$27:$AY$106,35,)) * $CR$5))</f>
        <v>29.481431899015437</v>
      </c>
      <c r="E55" s="1565">
        <f>IF(ISERROR(MATCH($B55,'A1.3.2'!$B$27:$B$106,0)),"",VLOOKUP($B55,'Forecast occupancies'!$C$28:$CP$64,3,TRUE)*VLOOKUP($B55,'A1.3.2'!$B$27:$AY$106,49,)*$CR$5)</f>
        <v>16.614288072225829</v>
      </c>
      <c r="F55" s="1565">
        <f>IF(ISERROR(MATCH($B55,'A1.3.2'!$B$27:$B$106,0)),"",VLOOKUP($B55,'Forecast occupancies'!$C$28:$CP$64,4,TRUE)*VLOOKUP($B55,'A1.3.2'!$B$27:$AY$106,50,)*$CR$5)</f>
        <v>11.462571609197195</v>
      </c>
      <c r="G55" s="1566">
        <f>IF(ISERROR(MATCH($B55,'A1.3.2'!$B$27:$B$106,0)),"",(((D55*'VoT5'!$D$28)+(E55*'VoT5'!$D$29)+(F55*'VoT5'!$D$30))/100))</f>
        <v>16.698428124640113</v>
      </c>
      <c r="H55" s="1565">
        <f>IF(ISERROR(MATCH($B55,'A1.3.2'!$B$27:$B$106,0)),"",(VLOOKUP($B55,'Forecast occupancies'!$C$28:$CP$64,6,TRUE) * VLOOKUP($B55, 'A1.3.2'!$B$27:$AY$106,37,)) * $CR$5)</f>
        <v>21.545298279825474</v>
      </c>
      <c r="I55" s="1565">
        <f>IF(ISERROR(MATCH($B55,'A1.3.2'!$B$27:$B$106,0)),"",VLOOKUP($B55,'Forecast occupancies'!$C$28:$CP$64,7,TRUE) * ('VoT5'!$J$29*VLOOKUP($B55, 'A1.3.2'!$B$27:$AY$106,49,)+'VoT5'!$J$30*VLOOKUP($B55, 'A1.3.2'!$B$27:$AY$106,50,))/('VoT5'!$J$29+'VoT5'!$J$30) * $CR$5)</f>
        <v>13.151692383753574</v>
      </c>
      <c r="J55" s="1566">
        <f>IF(ISERROR(MATCH($B55,'A1.3.2'!$B$27:$B$106,0)),"",(H55*'VoT5'!$D$31 + I55*'VoT5'!$D$32)/100)</f>
        <v>20.538065572296844</v>
      </c>
      <c r="K55" s="1566">
        <f>IF(ISERROR(MATCH($B55,'A1.3.2'!$B$27:$B$106,0)),"",(VLOOKUP($B55,'Forecast occupancies'!$C$28:$CP$64,9,TRUE)*VLOOKUP($B55,'A1.3.2'!$B$27:$AY$106,38,)) * $CR$5)</f>
        <v>21.154623503918142</v>
      </c>
      <c r="L55" s="1566">
        <f>IF(ISERROR(MATCH($B55,'A1.3.2'!$B$27:$B$106,0)),"",(VLOOKUP($B55,'Forecast occupancies'!$C$28:$CP$64,10,TRUE)*VLOOKUP($B55,'A1.3.2'!$B$27:$AY$106,38,)) * $CR$5)</f>
        <v>21.154623503918142</v>
      </c>
      <c r="M55" s="1565">
        <f>IF(ISERROR(MATCH($B55,'A1.3.2'!$B$27:$B$106,0)),"",(((VLOOKUP($B55,'Forecast occupancies'!$C$28:$CP$64,11,TRUE) -1) * VLOOKUP($B55,'A1.3.2'!$B$27:$AY$106,40,)) + VLOOKUP($B55,'A1.3.2'!$B$27:$AY$106,39,)) * $CR$5)</f>
        <v>24.105884744340422</v>
      </c>
      <c r="N55" s="1565">
        <f>IF(ISERROR(MATCH($B55,'A1.3.2'!$B$27:$B$106,0)),"",(VLOOKUP($B55,'Forecast occupancies'!$C$28:$CP$64,12,TRUE) * VLOOKUP($B55,'A1.3.2'!$B$27:$AY$106,49,)) * $CR$5)</f>
        <v>32.999153046292982</v>
      </c>
      <c r="O55" s="1565">
        <f>IF(ISERROR(MATCH($B55,'A1.3.2'!$B$27:$B$106,0)),"",(VLOOKUP($B55,'Forecast occupancies'!$C$28:$CP$64,13,TRUE) * VLOOKUP($B55,'A1.3.2'!$B$27:$AY$106,50,)) * $CR$5)</f>
        <v>65.505692012109947</v>
      </c>
      <c r="P55" s="1567">
        <f>IF(ISERROR(MATCH($B55,'A1.3.2'!$B$27:$B$106,0)),"",SUM(M55:O55))</f>
        <v>122.61072980274335</v>
      </c>
      <c r="Q55" s="1609">
        <f>IF(ISERROR(MATCH($B55,'A1.3.2'!$B$27:$B$106,0)),"",(((VLOOKUP($B55,'Forecast occupancies'!$C$28:$CP$64,15,TRUE)-1)*VLOOKUP($B55,'A1.3.2'!$B$27:$AY$106,36,)+VLOOKUP($B55,'A1.3.2'!$B$27:$AY$106,35,))*$CR$5))</f>
        <v>30.210289849125477</v>
      </c>
      <c r="R55" s="1565">
        <f>IF(ISERROR(MATCH($B55,'A1.3.2'!$B$27:$B$106,0)),"",VLOOKUP($B55,'Forecast occupancies'!$C$28:$CP$64,16,TRUE)*VLOOKUP($B55,'A1.3.2'!$B$27:$AY$106,49,)*$CR$5)</f>
        <v>16.884437945567804</v>
      </c>
      <c r="S55" s="1565">
        <f>IF(ISERROR(MATCH($B55,'A1.3.2'!$B$27:$B$106,0)),"",VLOOKUP($B55,'Forecast occupancies'!$C$28:$CP$64,17,TRUE)*VLOOKUP($B55,'A1.3.2'!$B$27:$AY$106,50,)*$CR$5)</f>
        <v>12.210346453652942</v>
      </c>
      <c r="T55" s="1566">
        <f>IF(ISERROR(MATCH($B55,'A1.3.2'!$B$27:$B$106,0)),"",(((Q55*'VoT5'!$E$28)+(R55*'VoT5'!$E$29)+(S55*'VoT5'!$E$30))/100))</f>
        <v>15.72674046977836</v>
      </c>
      <c r="U55" s="1565">
        <f>IF(ISERROR(MATCH($B55,'A1.3.2'!$B$27:$B$106,0)),"",(VLOOKUP($B55,'Forecast occupancies'!$C$28:$CP$64,19,TRUE) * VLOOKUP($B55, 'A1.3.2'!$B$27:$AY$106,37,)) * $CR$5)</f>
        <v>21.545298279825474</v>
      </c>
      <c r="V55" s="1565">
        <f>IF(ISERROR(MATCH($B55,'A1.3.2'!$B$27:$B$106,0)),"",VLOOKUP($B55,'Forecast occupancies'!$C$28:$CP$64,20,TRUE) * ('VoT5'!$J$29*VLOOKUP($B55, 'A1.3.2'!$B$27:$AY$106,49,)+'VoT5'!$J$30*VLOOKUP($B55, 'A1.3.2'!$B$27:$AY$106,50,))/('VoT5'!$J$29+'VoT5'!$J$30) * $CR$5)</f>
        <v>13.151692383753574</v>
      </c>
      <c r="W55" s="1566">
        <f>IF(ISERROR(MATCH($B55,'A1.3.2'!$B$27:$B$106,0)),"",(U55*'VoT5'!$E$31 + V55*'VoT5'!$E$32)/100)</f>
        <v>20.538065572296844</v>
      </c>
      <c r="X55" s="1566">
        <f>IF(ISERROR(MATCH($B55,'A1.3.2'!$B$27:$B$106,0)),"",(VLOOKUP($B55,'Forecast occupancies'!$C$28:$CP$64,22,TRUE)*VLOOKUP($B55,'A1.3.2'!$B$27:$AY$106,38,)) * $CR$5)</f>
        <v>21.154623503918142</v>
      </c>
      <c r="Y55" s="1566">
        <f>IF(ISERROR(MATCH($B55,'A1.3.2'!$B$27:$B$106,0)),"",(VLOOKUP($B55,'Forecast occupancies'!$C$28:$CP$64,23,TRUE)*VLOOKUP($B55,'A1.3.2'!$B$27:$AY$106,38,)) * $CR$5)</f>
        <v>21.154623503918142</v>
      </c>
      <c r="Z55" s="1565">
        <f>IF(ISERROR(MATCH($B55,'A1.3.2'!$B$27:$B$106,0)),"",(((VLOOKUP($B55,'Forecast occupancies'!$C$28:$CP$64,24,TRUE) -1) * VLOOKUP($B55,'A1.3.2'!$B$27:$AY$106,40,)) + VLOOKUP($B55,'A1.3.2'!$B$27:$AY$106,39,)) * $CR$5)</f>
        <v>24.597907288754378</v>
      </c>
      <c r="AA55" s="1565">
        <f>IF(ISERROR(MATCH($B55,'A1.3.2'!$B$27:$B$106,0)),"",(VLOOKUP($B55,'Forecast occupancies'!$C$28:$CP$64,25,TRUE) * VLOOKUP($B55,'A1.3.2'!$B$27:$AY$106,49,)) * $CR$5)</f>
        <v>11.565153059827008</v>
      </c>
      <c r="AB55" s="1565">
        <f>IF(ISERROR(MATCH($B55,'A1.3.2'!$B$27:$B$106,0)),"",(VLOOKUP($B55,'Forecast occupancies'!$C$28:$CP$64,26,TRUE) * VLOOKUP($B55,'A1.3.2'!$B$27:$AY$106,50,)) * $CR$5)</f>
        <v>75.065828327928699</v>
      </c>
      <c r="AC55" s="1567">
        <f>IF(ISERROR(MATCH($B55,'A1.3.2'!$B$27:$B$106,0)),"",SUM(Z55:AB55))</f>
        <v>111.22888867651008</v>
      </c>
      <c r="AD55" s="1609">
        <f>IF(ISERROR(MATCH($B55,'A1.3.2'!$B$27:$B$106,0)),"",(((VLOOKUP($B55,'Forecast occupancies'!$C$28:$CP$64,28,TRUE)-1)*VLOOKUP($B55,'A1.3.2'!$B$27:$AY$106,36,)+VLOOKUP($B55,'A1.3.2'!$B$27:$AY$106,35,))*$CR$5))</f>
        <v>29.906893939030049</v>
      </c>
      <c r="AE55" s="1565">
        <f>IF(ISERROR(MATCH($B55,'A1.3.2'!$B$27:$B$106,0)),"",VLOOKUP($B55,'Forecast occupancies'!$C$28:$CP$64,29,TRUE)*VLOOKUP($B55,'A1.3.2'!$B$27:$AY$106,49,)*$CR$5)</f>
        <v>16.671596683210424</v>
      </c>
      <c r="AF55" s="1565">
        <f>IF(ISERROR(MATCH($B55,'A1.3.2'!$B$27:$B$106,0)),"",VLOOKUP($B55,'Forecast occupancies'!$C$28:$CP$64,30,TRUE)*VLOOKUP($B55,'A1.3.2'!$B$27:$AY$106,50,)*$CR$5)</f>
        <v>12.003692997947375</v>
      </c>
      <c r="AG55" s="1566">
        <f>IF(ISERROR(MATCH($B55,'A1.3.2'!$B$27:$B$106,0)),"",(((AD55*'VoT5'!$F$28)+(AE55*'VoT5'!$F$29)+(AF55*'VoT5'!$F$30))/100))</f>
        <v>16.04376141694544</v>
      </c>
      <c r="AH55" s="1565">
        <f>IF(ISERROR(MATCH($B55,'A1.3.2'!$B$27:$B$106,0)),"",(VLOOKUP($B55,'Forecast occupancies'!$C$28:$CP$64,32,TRUE) * VLOOKUP($B55, 'A1.3.2'!$B$27:$AY$106,37,)) * $CR$5)</f>
        <v>21.545298279825474</v>
      </c>
      <c r="AI55" s="1565">
        <f>IF(ISERROR(MATCH($B55,'A1.3.2'!$B$27:$B$106,0)),"",VLOOKUP($B55,'Forecast occupancies'!$C$28:$CP$64,33,TRUE) * ('VoT5'!$J$29*VLOOKUP($B55, 'A1.3.2'!$B$27:$AY$106,49,)+'VoT5'!$J$30*VLOOKUP($B55, 'A1.3.2'!$B$27:$AY$106,50,))/('VoT5'!$J$29+'VoT5'!$J$30) * $CR$5)</f>
        <v>13.151692383753574</v>
      </c>
      <c r="AJ55" s="1566">
        <f>IF(ISERROR(MATCH($B55,'A1.3.2'!$B$27:$B$106,0)),"",(AH55*'VoT5'!$F$31 + AI55*'VoT5'!$F$32)/100)</f>
        <v>20.538065572296844</v>
      </c>
      <c r="AK55" s="1566">
        <f>IF(ISERROR(MATCH($B55,'A1.3.2'!$B$27:$B$106,0)),"",(VLOOKUP($B55,'Forecast occupancies'!$C$28:$CP$64,35,TRUE)*VLOOKUP($B55,'A1.3.2'!$B$27:$AY$106,38,)) * $CR$5)</f>
        <v>21.154623503918142</v>
      </c>
      <c r="AL55" s="1566">
        <f>IF(ISERROR(MATCH($B55,'A1.3.2'!$B$27:$B$106,0)),"",(VLOOKUP($B55,'Forecast occupancies'!$C$28:$CP$64,36,TRUE)*VLOOKUP($B55,'A1.3.2'!$B$27:$AY$106,38,)) * $CR$5)</f>
        <v>21.154623503918142</v>
      </c>
      <c r="AM55" s="1565">
        <f>IF(ISERROR(MATCH($B55,'A1.3.2'!$B$27:$B$106,0)),"",(((VLOOKUP($B55,'Forecast occupancies'!$C$28:$CP$64,37,TRUE) -1) * VLOOKUP($B55,'A1.3.2'!$B$27:$AY$106,40,)) + VLOOKUP($B55,'A1.3.2'!$B$27:$AY$106,39,)) * $CR$5)</f>
        <v>25.736472539401667</v>
      </c>
      <c r="AN55" s="1565">
        <f>IF(ISERROR(MATCH($B55,'A1.3.2'!$B$27:$B$106,0)),"",(VLOOKUP($B55,'Forecast occupancies'!$C$28:$CP$64,38,TRUE) * VLOOKUP($B55,'A1.3.2'!$B$27:$AY$106,49,)) * $CR$5)</f>
        <v>46.409267389699224</v>
      </c>
      <c r="AO55" s="1565">
        <f>IF(ISERROR(MATCH($B55,'A1.3.2'!$B$27:$B$106,0)),"",(VLOOKUP($B55,'Forecast occupancies'!$C$28:$CP$64,39,TRUE) * VLOOKUP($B55,'A1.3.2'!$B$27:$AY$106,50,)) * $CR$5)</f>
        <v>58.645931336532236</v>
      </c>
      <c r="AP55" s="1567">
        <f>IF(ISERROR(MATCH($B55,'A1.3.2'!$B$27:$B$106,0)),"",SUM(AM55:AO55))</f>
        <v>130.79167126563314</v>
      </c>
      <c r="AQ55" s="1609">
        <f>IF(ISERROR(MATCH($B55,'A1.3.2'!$B$27:$B$106,0)),"",(((VLOOKUP($B55,'Forecast occupancies'!$C$28:$CP$64,41,TRUE)-1)*VLOOKUP($B55,'A1.3.2'!$B$27:$AY$106,36,)+VLOOKUP($B55,'A1.3.2'!$B$27:$AY$106,35,))*$CR$5))</f>
        <v>30.472750979226941</v>
      </c>
      <c r="AR55" s="1565">
        <f>IF(ISERROR(MATCH($B55,'A1.3.2'!$B$27:$B$106,0)),"",VLOOKUP($B55,'Forecast occupancies'!$C$28:$CP$64,42,TRUE)*VLOOKUP($B55,'A1.3.2'!$B$27:$AY$106,49,)*$CR$5)</f>
        <v>16.915601378514346</v>
      </c>
      <c r="AS55" s="1565">
        <f>IF(ISERROR(MATCH($B55,'A1.3.2'!$B$27:$B$106,0)),"",VLOOKUP($B55,'Forecast occupancies'!$C$28:$CP$64,43,TRUE)*VLOOKUP($B55,'A1.3.2'!$B$27:$AY$106,50,)*$CR$5)</f>
        <v>11.960837181770957</v>
      </c>
      <c r="AT55" s="1566">
        <f>IF(ISERROR(MATCH($B55,'A1.3.2'!$B$27:$B$106,0)),"",(((AQ55*'VoT5'!$G$28)+(AR55*'VoT5'!$G$29)+(AS55*'VoT5'!$G$30))/100))</f>
        <v>16.254653449727826</v>
      </c>
      <c r="AU55" s="1565">
        <f>IF(ISERROR(MATCH($B55,'A1.3.2'!$B$27:$B$106,0)),"",(VLOOKUP($B55,'Forecast occupancies'!$C$28:$CP$64,45,TRUE) * VLOOKUP($B55, 'A1.3.2'!$B$27:$AY$106,37,)) * $CR$5)</f>
        <v>21.545298279825474</v>
      </c>
      <c r="AV55" s="1565">
        <f>IF(ISERROR(MATCH($B55,'A1.3.2'!$B$27:$B$106,0)),"",VLOOKUP($B55,'Forecast occupancies'!$C$28:$CP$64,46,TRUE) * ('VoT5'!$J$29*VLOOKUP($B55, 'A1.3.2'!$B$27:$AY$106,49,)+'VoT5'!$J$30*VLOOKUP($B55, 'A1.3.2'!$B$27:$AY$106,50,))/('VoT5'!$J$29+'VoT5'!$J$30) * $CR$5)</f>
        <v>13.151692383753574</v>
      </c>
      <c r="AW55" s="1566">
        <f>IF(ISERROR(MATCH($B55,'A1.3.2'!$B$27:$B$106,0)),"",(AU55*'VoT5'!$G$31 + AV55*'VoT5'!$G$32)/100)</f>
        <v>20.538065572296844</v>
      </c>
      <c r="AX55" s="1566">
        <f>IF(ISERROR(MATCH($B55,'A1.3.2'!$B$27:$B$106,0)),"",(VLOOKUP($B55,'Forecast occupancies'!$C$28:$CP$64,48,TRUE)*VLOOKUP($B55,'A1.3.2'!$B$27:$AY$106,38,)) * $CR$5)</f>
        <v>21.154623503918142</v>
      </c>
      <c r="AY55" s="1566">
        <f>IF(ISERROR(MATCH($B55,'A1.3.2'!$B$27:$B$106,0)),"",(VLOOKUP($B55,'Forecast occupancies'!$C$28:$CP$64,49,TRUE)*VLOOKUP($B55,'A1.3.2'!$B$27:$AY$106,38,)) * $CR$5)</f>
        <v>21.154623503918142</v>
      </c>
      <c r="AZ55" s="1565">
        <f>IF(ISERROR(MATCH($B55,'A1.3.2'!$B$27:$B$106,0)),"",(((VLOOKUP($B55,'Forecast occupancies'!$C$28:$CP$64,50,TRUE) -1) * VLOOKUP($B55,'A1.3.2'!$B$27:$AY$106,40,)) + VLOOKUP($B55,'A1.3.2'!$B$27:$AY$106,39,)) * $CR$5)</f>
        <v>25.715660145013956</v>
      </c>
      <c r="BA55" s="1565">
        <f>IF(ISERROR(MATCH($B55,'A1.3.2'!$B$27:$B$106,0)),"",(VLOOKUP($B55,'Forecast occupancies'!$C$28:$CP$64,51,TRUE) * VLOOKUP($B55,'A1.3.2'!$B$27:$AY$106,49,)) * $CR$5)</f>
        <v>63.440315737048856</v>
      </c>
      <c r="BB55" s="1565">
        <f>IF(ISERROR(MATCH($B55,'A1.3.2'!$B$27:$B$106,0)),"",(VLOOKUP($B55,'Forecast occupancies'!$C$28:$CP$64,52,TRUE) * VLOOKUP($B55,'A1.3.2'!$B$27:$AY$106,50,)) * $CR$5)</f>
        <v>50.881881939786936</v>
      </c>
      <c r="BC55" s="1567">
        <f>IF(ISERROR(MATCH($B55,'A1.3.2'!$B$27:$B$106,0)),"",SUM(AZ55:BB55))</f>
        <v>140.03785782184974</v>
      </c>
      <c r="BD55" s="1565">
        <f>IF(ISERROR(MATCH($B55,'A1.3.2'!$B$27:$B$106,0)),"",(((VLOOKUP($B55,'Forecast occupancies'!$C$28:$CP$64,54,TRUE)-1)*VLOOKUP($B55,'A1.3.2'!$B$27:$AY$106,36,)+VLOOKUP($B55,'A1.3.2'!$B$27:$AY$106,35,))*$CR$5))</f>
        <v>29.960106970632303</v>
      </c>
      <c r="BE55" s="1565">
        <f>IF(ISERROR(MATCH($B55,'A1.3.2'!$B$27:$B$106,0)),"",VLOOKUP($B55,'Forecast occupancies'!$C$28:$CP$64,55,TRUE)*VLOOKUP($B55,'A1.3.2'!$B$27:$AY$106,49,)*$CR$5)</f>
        <v>16.728280250786028</v>
      </c>
      <c r="BF55" s="1565">
        <f>IF(ISERROR(MATCH($B55,'A1.3.2'!$B$27:$B$106,0)),"",VLOOKUP($B55,'Forecast occupancies'!$C$28:$CP$64,56,TRUE)*VLOOKUP($B55,'A1.3.2'!$B$27:$AY$106,50,)*$CR$5)</f>
        <v>11.990555672847508</v>
      </c>
      <c r="BG55" s="1566">
        <f>IF(ISERROR(MATCH($B55,'A1.3.2'!$B$27:$B$106,0)),"",(((BD55*'VoT5'!$H$28)+(BE55*'VoT5'!$H$29)+(BF55*'VoT5'!$H$30))/100))</f>
        <v>16.137593506855492</v>
      </c>
      <c r="BH55" s="1565">
        <f>IF(ISERROR(MATCH($B55,'A1.3.2'!$B$27:$B$106,0)),"",(VLOOKUP($B55,'Forecast occupancies'!$C$28:$CP$64,58,TRUE) * VLOOKUP($B55, 'A1.3.2'!$B$27:$AY$106,37,)) * $CR$5)</f>
        <v>21.545298279825474</v>
      </c>
      <c r="BI55" s="1565">
        <f>IF(ISERROR(MATCH($B55,'A1.3.2'!$B$27:$B$106,0)),"",(VLOOKUP($B55,'Forecast occupancies'!$C$28:$CP$64,59,TRUE) * (VLOOKUP($B55,'A1.3.2'!$B$27:$AY$106,49,) * 'VoT5'!$J$29 + VLOOKUP($B55,'A1.3.2'!$B$27:$AY$106,50,) * 'VoT5'!$J$30) / (SUM('VoT5'!$J$29:$J$30))) * $CR$5)</f>
        <v>13.151692383753574</v>
      </c>
      <c r="BJ55" s="1566">
        <f>IF(ISERROR(MATCH($B55,'A1.3.2'!$B$27:$B$106,0)),"",(BH55*'VoT5'!$H$31 + BI55*'VoT5'!$H$32)/100)</f>
        <v>20.538065572296844</v>
      </c>
      <c r="BK55" s="1566">
        <f>IF(ISERROR(MATCH($B55,'A1.3.2'!$B$27:$B$106,0)),"",(VLOOKUP($B55,'Forecast occupancies'!$C$28:$CP$64,61,TRUE)*VLOOKUP($B55,'A1.3.2'!$B$27:$AY$106,38,)) * $CR$5)</f>
        <v>21.154623503918142</v>
      </c>
      <c r="BL55" s="1566">
        <f>IF(ISERROR(MATCH($B55,'A1.3.2'!$B$27:$B$106,0)),"",(VLOOKUP($B55,'Forecast occupancies'!$C$28:$CP$64,62,TRUE)*VLOOKUP($B55,'A1.3.2'!$B$27:$AY$106,38,)) * $CR$5)</f>
        <v>21.154623503918142</v>
      </c>
      <c r="BM55" s="1565">
        <f>IF(ISERROR(MATCH($B55,'A1.3.2'!$B$27:$B$106,0)),"",(((VLOOKUP($B55,'Forecast occupancies'!$C$28:$CP$64,63,TRUE) -1) * VLOOKUP($B55,'A1.3.2'!$B$27:$AY$106,40,)) + VLOOKUP($B55,'A1.3.2'!$B$27:$AY$106,39,)) * $CR$5)</f>
        <v>24.794814784663217</v>
      </c>
      <c r="BN55" s="1565">
        <f>IF(ISERROR(MATCH($B55,'A1.3.2'!$B$27:$B$106,0)),"",(VLOOKUP($B55,'Forecast occupancies'!$C$28:$CP$64,64,TRUE) * VLOOKUP($B55,'A1.3.2'!$B$27:$AY$106,49,)) * $CR$5)</f>
        <v>28.639083876300624</v>
      </c>
      <c r="BO55" s="1565">
        <f>IF(ISERROR(MATCH($B55,'A1.3.2'!$B$27:$B$106,0)),"",(VLOOKUP($B55,'Forecast occupancies'!$C$28:$CP$64,65,TRUE) * VLOOKUP($B55,'A1.3.2'!$B$27:$AY$106,50,)) * $CR$5)</f>
        <v>67.183535476299994</v>
      </c>
      <c r="BP55" s="1567">
        <f>IF(ISERROR(MATCH($B55,'A1.3.2'!$B$27:$B$106,0)),"",SUM(BM55:BO55))</f>
        <v>120.61743413726384</v>
      </c>
      <c r="BQ55" s="1565">
        <f>IF(ISERROR(MATCH($B55,'A1.3.2'!$B$27:$B$106,0)),"",(((VLOOKUP($B55,'Forecast occupancies'!$C$28:$CP$64,67,TRUE)-1)*VLOOKUP($B55,'A1.3.2'!$B$27:$AY$106,36,)+VLOOKUP($B55,'A1.3.2'!$B$27:$AY$106,35,))*$CR$5))</f>
        <v>34.240651741664458</v>
      </c>
      <c r="BR55" s="1565">
        <f>IF(ISERROR(MATCH($B55,'A1.3.2'!$B$27:$B$106,0)),"",VLOOKUP($B55,'Forecast occupancies'!$C$28:$CP$64,68,TRUE)*VLOOKUP($B55,'A1.3.2'!$B$27:$AY$106,49,)*$CR$5)</f>
        <v>17.711099037264951</v>
      </c>
      <c r="BS55" s="1565">
        <f>IF(ISERROR(MATCH($B55,'A1.3.2'!$B$27:$B$106,0)),"",VLOOKUP($B55,'Forecast occupancies'!$C$28:$CP$64,69,TRUE)*VLOOKUP($B55,'A1.3.2'!$B$27:$AY$106,50,)*$CR$5)</f>
        <v>14.197106963914051</v>
      </c>
      <c r="BT55" s="1566">
        <f>IF(ISERROR(MATCH($B55,'A1.3.2'!$B$27:$B$106,0)),"",(((BQ55*'VoT5'!$I$28)+(BR55*'VoT5'!$I$29)+(BS55*'VoT5'!$I$30))/100))</f>
        <v>15.170504123652886</v>
      </c>
      <c r="BU55" s="1565">
        <f>IF(ISERROR(MATCH($B55,'A1.3.2'!$B$27:$B$106,0)),"",(VLOOKUP($B55,'Forecast occupancies'!$C$28:$CP$64,71,TRUE) * VLOOKUP($B55, 'A1.3.2'!$B$27:$AY$106,37,)) * $CR$5)</f>
        <v>22.622563193816749</v>
      </c>
      <c r="BV55" s="1565">
        <f>IF(ISERROR(MATCH($B55,'A1.3.2'!$B$27:$B$106,0)),"",(VLOOKUP($B55,'Forecast occupancies'!$C$28:$CP$64,72,TRUE) * (VLOOKUP($B55,'A1.3.2'!$B$27:$AY$106,49,)*'VoT5'!$J$29 + VLOOKUP($B55,'A1.3.2'!$B$27:$AY$106,50,)*'VoT5'!$J$30) / (SUM('VoT5'!$J$29:$J$30))) * $CR$5)</f>
        <v>18.28625721850668</v>
      </c>
      <c r="BW55" s="1566">
        <f>IF(ISERROR(MATCH($B55,'A1.3.2'!$B$27:$B$106,0)),"",(BU55*'VoT5'!$I$31 + BV55*'VoT5'!$I$32)/100)</f>
        <v>22.102206476779539</v>
      </c>
      <c r="BX55" s="1566">
        <f>IF(ISERROR(MATCH($B55,'A1.3.2'!$B$27:$B$106,0)),"",(VLOOKUP($B55,'Forecast occupancies'!$C$28:$CP$64,74,TRUE)*VLOOKUP($B55,'A1.3.2'!$B$27:$AY$106,38,)) * $CR$5)</f>
        <v>21.154623503918142</v>
      </c>
      <c r="BY55" s="1566">
        <f>IF(ISERROR(MATCH($B55,'A1.3.2'!$B$27:$B$106,0)),"",(VLOOKUP($B55,'Forecast occupancies'!$C$28:$CP$64,75,TRUE)*VLOOKUP($B55,'A1.3.2'!$B$27:$AY$106,38,)) * $CR$5)</f>
        <v>21.154623503918142</v>
      </c>
      <c r="BZ55" s="1565">
        <f>IF(ISERROR(MATCH($B55,'A1.3.2'!$B$27:$B$106,0)),"",(((VLOOKUP($B55,'Forecast occupancies'!$C$28:$CP$64,76,TRUE) -1) * VLOOKUP($B55,'A1.3.2'!$B$27:$AY$106,40,)) + VLOOKUP($B55,'A1.3.2'!$B$27:$AY$106,39,)) * $CR$5)</f>
        <v>22.581488127544432</v>
      </c>
      <c r="CA55" s="1565">
        <f>IF(ISERROR(MATCH($B55,'A1.3.2'!$B$27:$B$106,0)),"",(VLOOKUP($B55,'Forecast occupancies'!$C$28:$CP$64,77,TRUE) * VLOOKUP($B55,'A1.3.2'!$B$27:$AY$106,49,)) * $CR$5)</f>
        <v>10.849590082696778</v>
      </c>
      <c r="CB55" s="1565">
        <f>IF(ISERROR(MATCH($B55,'A1.3.2'!$B$27:$B$106,0)),"",(VLOOKUP($B55,'Forecast occupancies'!$C$28:$CP$64,78,TRUE) * VLOOKUP($B55,'A1.3.2'!$B$27:$AY$106,50,)) * $CR$5)</f>
        <v>76.306273489920358</v>
      </c>
      <c r="CC55" s="1567">
        <f>IF(ISERROR(MATCH($B55,'A1.3.2'!$B$27:$B$106,0)),"",SUM(BZ55:CB55))</f>
        <v>109.73735170016157</v>
      </c>
      <c r="CD55" s="1565">
        <f>IF(ISERROR(MATCH($B55,'A1.3.2'!$B$27:$B$106,0)),"",(((VLOOKUP($B55,'Forecast occupancies'!$C$28:$CP$64,80,TRUE)-1)*VLOOKUP($B55,'A1.3.2'!$B$27:$AY$106,36,)+VLOOKUP($B55,'A1.3.2'!$B$27:$AY$106,35,))*$CR$5))</f>
        <v>30.263952012927746</v>
      </c>
      <c r="CE55" s="1565">
        <f>IF(ISERROR(MATCH($B55,'A1.3.2'!$B$27:$B$106,0)),"",VLOOKUP($B55,'Forecast occupancies'!$C$28:$CP$64,81,TRUE)*VLOOKUP($B55,'A1.3.2'!$B$27:$AY$106,49,)*$CR$5)</f>
        <v>16.807790938458162</v>
      </c>
      <c r="CF55" s="1565">
        <f>IF(ISERROR(MATCH($B55,'A1.3.2'!$B$27:$B$106,0)),"",VLOOKUP($B55,'Forecast occupancies'!$C$28:$CP$64,82,TRUE)*VLOOKUP($B55,'A1.3.2'!$B$27:$AY$106,50,)*$CR$5)</f>
        <v>12.769177949093413</v>
      </c>
      <c r="CG55" s="1566">
        <f>IF(ISERROR(MATCH($B55,'A1.3.2'!$B$27:$B$106,0)),"",(((CD55*'VoT5'!$J$28)+(CE55*'VoT5'!$J$29)+(CF55*'VoT5'!$J$30))/100))</f>
        <v>15.908301206873917</v>
      </c>
      <c r="CH55" s="1565">
        <f>IF(ISERROR(MATCH($B55,'A1.3.2'!$B$27:$B$106,0)),"",(VLOOKUP($B55,'Forecast occupancies'!$C$28:$CP$64,84,TRUE) * VLOOKUP($B55, 'A1.3.2'!$B$27:$AY$106,37,)) * $CR$5)</f>
        <v>21.545298279825474</v>
      </c>
      <c r="CI55" s="1565">
        <f>IF(ISERROR(MATCH($B55,'A1.3.2'!$B$27:$B$106,0)),"",(VLOOKUP($B55,'Forecast occupancies'!$C$28:$CP$64,85,TRUE) * (VLOOKUP($B55,'A1.3.2'!$B$27:$AY$106,49,)*'VoT5'!$J$29 + VLOOKUP($B55,'A1.3.2'!$B$27:$AY$106,50,)*'VoT5'!$J$30) / (SUM('VoT5'!$J$29:$J$30))) * $CR$5)</f>
        <v>14.322733486416563</v>
      </c>
      <c r="CJ55" s="1566">
        <f>IF(ISERROR(MATCH($B55,'A1.3.2'!$B$27:$B$106,0)),"",(CH55*'VoT5'!$J$31 + CI55*'VoT5'!$J$32)/100)</f>
        <v>20.678590504616405</v>
      </c>
      <c r="CK55" s="1566">
        <f>IF(ISERROR(MATCH($B55,'A1.3.2'!$B$27:$B$106,0)),"",(VLOOKUP($B55,'Forecast occupancies'!$C$28:$CP$64,87,TRUE)*VLOOKUP($B55,'A1.3.2'!$B$27:$AY$106,38,)) * $CR$5)</f>
        <v>21.154623503918142</v>
      </c>
      <c r="CL55" s="1566">
        <f>IF(ISERROR(MATCH($B55,'A1.3.2'!$B$27:$B$106,0)),"",(VLOOKUP($B55,'Forecast occupancies'!$C$28:$CP$64,88,TRUE)*VLOOKUP($B55,'A1.3.2'!$B$27:$AY$106,38,)) * $CR$5)</f>
        <v>21.154623503918142</v>
      </c>
      <c r="CM55" s="1565">
        <f>IF(ISERROR(MATCH($B55,'A1.3.2'!$B$27:$B$106,0)),"",(((VLOOKUP($B55,'Forecast occupancies'!$C$28:$CP$64,89,TRUE) -1) * VLOOKUP($B55,'A1.3.2'!$B$27:$AY$106,40,)) + VLOOKUP($B55,'A1.3.2'!$B$27:$AY$106,39,)) * $CR$5)</f>
        <v>24.248253907378643</v>
      </c>
      <c r="CN55" s="1565">
        <f>IF(ISERROR(MATCH($B55,'A1.3.2'!$B$27:$B$106,0)),"",(VLOOKUP($B55,'Forecast occupancies'!$C$28:$CP$64,90,TRUE) * VLOOKUP($B55,'A1.3.2'!$B$27:$AY$106,49,)) * $CR$5)</f>
        <v>24.245283694543623</v>
      </c>
      <c r="CO55" s="1565">
        <f>IF(ISERROR(MATCH($B55,'A1.3.2'!$B$27:$B$106,0)),"",(VLOOKUP($B55,'Forecast occupancies'!$C$28:$CP$64,91,TRUE) * VLOOKUP($B55,'A1.3.2'!$B$27:$AY$106,50,)) * $CR$5)</f>
        <v>69.436699013808465</v>
      </c>
      <c r="CP55" s="1567">
        <f>IF(ISERROR(MATCH($B55,'A1.3.2'!$B$27:$B$106,0)),"",SUM(CM55:CO55))</f>
        <v>117.93023661573073</v>
      </c>
    </row>
    <row r="56" spans="1:94" s="26" customFormat="1" ht="13.5" customHeight="1">
      <c r="A56" s="113"/>
      <c r="B56" s="82">
        <f t="shared" si="0"/>
        <v>2038</v>
      </c>
      <c r="D56" s="1609">
        <f>IF(ISERROR(MATCH($B56,'A1.3.2'!$B$27:$B$106,0)),"",(((VLOOKUP($B56,'Forecast occupancies'!$C$28:$CP$64,2,TRUE) -1) * VLOOKUP($B56,'A1.3.2'!$B$27:$AY$106,36,) + VLOOKUP($B56,'A1.3.2'!$B$27:$AY$106,35,)) * $CR$5))</f>
        <v>30.066651794314939</v>
      </c>
      <c r="E56" s="1565">
        <f>IF(ISERROR(MATCH($B56,'A1.3.2'!$B$27:$B$106,0)),"",VLOOKUP($B56,'Forecast occupancies'!$C$28:$CP$64,3,TRUE)*VLOOKUP($B56,'A1.3.2'!$B$27:$AY$106,49,)*$CR$5)</f>
        <v>16.944089282676142</v>
      </c>
      <c r="F56" s="1565">
        <f>IF(ISERROR(MATCH($B56,'A1.3.2'!$B$27:$B$106,0)),"",VLOOKUP($B56,'Forecast occupancies'!$C$28:$CP$64,4,TRUE)*VLOOKUP($B56,'A1.3.2'!$B$27:$AY$106,50,)*$CR$5)</f>
        <v>11.690108893681042</v>
      </c>
      <c r="G56" s="1566">
        <f>IF(ISERROR(MATCH($B56,'A1.3.2'!$B$27:$B$106,0)),"",(((D56*'VoT5'!$D$28)+(E56*'VoT5'!$D$29)+(F56*'VoT5'!$D$30))/100))</f>
        <v>17.029899553580258</v>
      </c>
      <c r="H56" s="1565">
        <f>IF(ISERROR(MATCH($B56,'A1.3.2'!$B$27:$B$106,0)),"",(VLOOKUP($B56,'Forecast occupancies'!$C$28:$CP$64,6,TRUE) * VLOOKUP($B56, 'A1.3.2'!$B$27:$AY$106,37,)) * $CR$5)</f>
        <v>21.972982296216042</v>
      </c>
      <c r="I56" s="1565">
        <f>IF(ISERROR(MATCH($B56,'A1.3.2'!$B$27:$B$106,0)),"",VLOOKUP($B56,'Forecast occupancies'!$C$28:$CP$64,7,TRUE) * ('VoT5'!$J$29*VLOOKUP($B56, 'A1.3.2'!$B$27:$AY$106,49,)+'VoT5'!$J$30*VLOOKUP($B56, 'A1.3.2'!$B$27:$AY$106,50,))/('VoT5'!$J$29+'VoT5'!$J$30) * $CR$5)</f>
        <v>13.412759487488403</v>
      </c>
      <c r="J56" s="1566">
        <f>IF(ISERROR(MATCH($B56,'A1.3.2'!$B$27:$B$106,0)),"",(H56*'VoT5'!$D$31 + I56*'VoT5'!$D$32)/100)</f>
        <v>20.945755559168724</v>
      </c>
      <c r="K56" s="1566">
        <f>IF(ISERROR(MATCH($B56,'A1.3.2'!$B$27:$B$106,0)),"",(VLOOKUP($B56,'Forecast occupancies'!$C$28:$CP$64,9,TRUE)*VLOOKUP($B56,'A1.3.2'!$B$27:$AY$106,38,)) * $CR$5)</f>
        <v>21.574552447480645</v>
      </c>
      <c r="L56" s="1566">
        <f>IF(ISERROR(MATCH($B56,'A1.3.2'!$B$27:$B$106,0)),"",(VLOOKUP($B56,'Forecast occupancies'!$C$28:$CP$64,10,TRUE)*VLOOKUP($B56,'A1.3.2'!$B$27:$AY$106,38,)) * $CR$5)</f>
        <v>21.574552447480645</v>
      </c>
      <c r="M56" s="1565">
        <f>IF(ISERROR(MATCH($B56,'A1.3.2'!$B$27:$B$106,0)),"",(((VLOOKUP($B56,'Forecast occupancies'!$C$28:$CP$64,11,TRUE) -1) * VLOOKUP($B56,'A1.3.2'!$B$27:$AY$106,40,)) + VLOOKUP($B56,'A1.3.2'!$B$27:$AY$106,39,)) * $CR$5)</f>
        <v>24.584397572160565</v>
      </c>
      <c r="N56" s="1565">
        <f>IF(ISERROR(MATCH($B56,'A1.3.2'!$B$27:$B$106,0)),"",(VLOOKUP($B56,'Forecast occupancies'!$C$28:$CP$64,12,TRUE) * VLOOKUP($B56,'A1.3.2'!$B$27:$AY$106,49,)) * $CR$5)</f>
        <v>33.654201313855886</v>
      </c>
      <c r="O56" s="1565">
        <f>IF(ISERROR(MATCH($B56,'A1.3.2'!$B$27:$B$106,0)),"",(VLOOKUP($B56,'Forecast occupancies'!$C$28:$CP$64,13,TRUE) * VLOOKUP($B56,'A1.3.2'!$B$27:$AY$106,50,)) * $CR$5)</f>
        <v>66.806009932628896</v>
      </c>
      <c r="P56" s="1567">
        <f>IF(ISERROR(MATCH($B56,'A1.3.2'!$B$27:$B$106,0)),"",SUM(M56:O56))</f>
        <v>125.04460881864534</v>
      </c>
      <c r="Q56" s="1609">
        <f>IF(ISERROR(MATCH($B56,'A1.3.2'!$B$27:$B$106,0)),"",(((VLOOKUP($B56,'Forecast occupancies'!$C$28:$CP$64,15,TRUE)-1)*VLOOKUP($B56,'A1.3.2'!$B$27:$AY$106,36,)+VLOOKUP($B56,'A1.3.2'!$B$27:$AY$106,35,))*$CR$5))</f>
        <v>30.809977907800246</v>
      </c>
      <c r="R56" s="1565">
        <f>IF(ISERROR(MATCH($B56,'A1.3.2'!$B$27:$B$106,0)),"",VLOOKUP($B56,'Forecast occupancies'!$C$28:$CP$64,16,TRUE)*VLOOKUP($B56,'A1.3.2'!$B$27:$AY$106,49,)*$CR$5)</f>
        <v>17.219601754454107</v>
      </c>
      <c r="S56" s="1565">
        <f>IF(ISERROR(MATCH($B56,'A1.3.2'!$B$27:$B$106,0)),"",VLOOKUP($B56,'Forecast occupancies'!$C$28:$CP$64,17,TRUE)*VLOOKUP($B56,'A1.3.2'!$B$27:$AY$106,50,)*$CR$5)</f>
        <v>12.452727410509253</v>
      </c>
      <c r="T56" s="1566">
        <f>IF(ISERROR(MATCH($B56,'A1.3.2'!$B$27:$B$106,0)),"",(((Q56*'VoT5'!$E$28)+(R56*'VoT5'!$E$29)+(S56*'VoT5'!$E$30))/100))</f>
        <v>16.038923454738246</v>
      </c>
      <c r="U56" s="1565">
        <f>IF(ISERROR(MATCH($B56,'A1.3.2'!$B$27:$B$106,0)),"",(VLOOKUP($B56,'Forecast occupancies'!$C$28:$CP$64,19,TRUE) * VLOOKUP($B56, 'A1.3.2'!$B$27:$AY$106,37,)) * $CR$5)</f>
        <v>21.972982296216042</v>
      </c>
      <c r="V56" s="1565">
        <f>IF(ISERROR(MATCH($B56,'A1.3.2'!$B$27:$B$106,0)),"",VLOOKUP($B56,'Forecast occupancies'!$C$28:$CP$64,20,TRUE) * ('VoT5'!$J$29*VLOOKUP($B56, 'A1.3.2'!$B$27:$AY$106,49,)+'VoT5'!$J$30*VLOOKUP($B56, 'A1.3.2'!$B$27:$AY$106,50,))/('VoT5'!$J$29+'VoT5'!$J$30) * $CR$5)</f>
        <v>13.412759487488403</v>
      </c>
      <c r="W56" s="1566">
        <f>IF(ISERROR(MATCH($B56,'A1.3.2'!$B$27:$B$106,0)),"",(U56*'VoT5'!$E$31 + V56*'VoT5'!$E$32)/100)</f>
        <v>20.945755559168724</v>
      </c>
      <c r="X56" s="1566">
        <f>IF(ISERROR(MATCH($B56,'A1.3.2'!$B$27:$B$106,0)),"",(VLOOKUP($B56,'Forecast occupancies'!$C$28:$CP$64,22,TRUE)*VLOOKUP($B56,'A1.3.2'!$B$27:$AY$106,38,)) * $CR$5)</f>
        <v>21.574552447480645</v>
      </c>
      <c r="Y56" s="1566">
        <f>IF(ISERROR(MATCH($B56,'A1.3.2'!$B$27:$B$106,0)),"",(VLOOKUP($B56,'Forecast occupancies'!$C$28:$CP$64,23,TRUE)*VLOOKUP($B56,'A1.3.2'!$B$27:$AY$106,38,)) * $CR$5)</f>
        <v>21.574552447480645</v>
      </c>
      <c r="Z56" s="1565">
        <f>IF(ISERROR(MATCH($B56,'A1.3.2'!$B$27:$B$106,0)),"",(((VLOOKUP($B56,'Forecast occupancies'!$C$28:$CP$64,24,TRUE) -1) * VLOOKUP($B56,'A1.3.2'!$B$27:$AY$106,40,)) + VLOOKUP($B56,'A1.3.2'!$B$27:$AY$106,39,)) * $CR$5)</f>
        <v>25.086186988920247</v>
      </c>
      <c r="AA56" s="1565">
        <f>IF(ISERROR(MATCH($B56,'A1.3.2'!$B$27:$B$106,0)),"",(VLOOKUP($B56,'Forecast occupancies'!$C$28:$CP$64,25,TRUE) * VLOOKUP($B56,'A1.3.2'!$B$27:$AY$106,49,)) * $CR$5)</f>
        <v>11.794726632982412</v>
      </c>
      <c r="AB56" s="1565">
        <f>IF(ISERROR(MATCH($B56,'A1.3.2'!$B$27:$B$106,0)),"",(VLOOKUP($B56,'Forecast occupancies'!$C$28:$CP$64,26,TRUE) * VLOOKUP($B56,'A1.3.2'!$B$27:$AY$106,50,)) * $CR$5)</f>
        <v>76.555919323003749</v>
      </c>
      <c r="AC56" s="1567">
        <f>IF(ISERROR(MATCH($B56,'A1.3.2'!$B$27:$B$106,0)),"",SUM(Z56:AB56))</f>
        <v>113.4368329449064</v>
      </c>
      <c r="AD56" s="1609">
        <f>IF(ISERROR(MATCH($B56,'A1.3.2'!$B$27:$B$106,0)),"",(((VLOOKUP($B56,'Forecast occupancies'!$C$28:$CP$64,28,TRUE)-1)*VLOOKUP($B56,'A1.3.2'!$B$27:$AY$106,36,)+VLOOKUP($B56,'A1.3.2'!$B$27:$AY$106,35,))*$CR$5))</f>
        <v>30.500559450246858</v>
      </c>
      <c r="AE56" s="1565">
        <f>IF(ISERROR(MATCH($B56,'A1.3.2'!$B$27:$B$106,0)),"",VLOOKUP($B56,'Forecast occupancies'!$C$28:$CP$64,29,TRUE)*VLOOKUP($B56,'A1.3.2'!$B$27:$AY$106,49,)*$CR$5)</f>
        <v>17.002535495777046</v>
      </c>
      <c r="AF56" s="1565">
        <f>IF(ISERROR(MATCH($B56,'A1.3.2'!$B$27:$B$106,0)),"",VLOOKUP($B56,'Forecast occupancies'!$C$28:$CP$64,30,TRUE)*VLOOKUP($B56,'A1.3.2'!$B$27:$AY$106,50,)*$CR$5)</f>
        <v>12.241971789273682</v>
      </c>
      <c r="AG56" s="1566">
        <f>IF(ISERROR(MATCH($B56,'A1.3.2'!$B$27:$B$106,0)),"",(((AD56*'VoT5'!$F$28)+(AE56*'VoT5'!$F$29)+(AF56*'VoT5'!$F$30))/100))</f>
        <v>16.362237412575372</v>
      </c>
      <c r="AH56" s="1565">
        <f>IF(ISERROR(MATCH($B56,'A1.3.2'!$B$27:$B$106,0)),"",(VLOOKUP($B56,'Forecast occupancies'!$C$28:$CP$64,32,TRUE) * VLOOKUP($B56, 'A1.3.2'!$B$27:$AY$106,37,)) * $CR$5)</f>
        <v>21.972982296216042</v>
      </c>
      <c r="AI56" s="1565">
        <f>IF(ISERROR(MATCH($B56,'A1.3.2'!$B$27:$B$106,0)),"",VLOOKUP($B56,'Forecast occupancies'!$C$28:$CP$64,33,TRUE) * ('VoT5'!$J$29*VLOOKUP($B56, 'A1.3.2'!$B$27:$AY$106,49,)+'VoT5'!$J$30*VLOOKUP($B56, 'A1.3.2'!$B$27:$AY$106,50,))/('VoT5'!$J$29+'VoT5'!$J$30) * $CR$5)</f>
        <v>13.412759487488403</v>
      </c>
      <c r="AJ56" s="1566">
        <f>IF(ISERROR(MATCH($B56,'A1.3.2'!$B$27:$B$106,0)),"",(AH56*'VoT5'!$F$31 + AI56*'VoT5'!$F$32)/100)</f>
        <v>20.945755559168724</v>
      </c>
      <c r="AK56" s="1566">
        <f>IF(ISERROR(MATCH($B56,'A1.3.2'!$B$27:$B$106,0)),"",(VLOOKUP($B56,'Forecast occupancies'!$C$28:$CP$64,35,TRUE)*VLOOKUP($B56,'A1.3.2'!$B$27:$AY$106,38,)) * $CR$5)</f>
        <v>21.574552447480645</v>
      </c>
      <c r="AL56" s="1566">
        <f>IF(ISERROR(MATCH($B56,'A1.3.2'!$B$27:$B$106,0)),"",(VLOOKUP($B56,'Forecast occupancies'!$C$28:$CP$64,36,TRUE)*VLOOKUP($B56,'A1.3.2'!$B$27:$AY$106,38,)) * $CR$5)</f>
        <v>21.574552447480645</v>
      </c>
      <c r="AM56" s="1565">
        <f>IF(ISERROR(MATCH($B56,'A1.3.2'!$B$27:$B$106,0)),"",(((VLOOKUP($B56,'Forecast occupancies'!$C$28:$CP$64,37,TRUE) -1) * VLOOKUP($B56,'A1.3.2'!$B$27:$AY$106,40,)) + VLOOKUP($B56,'A1.3.2'!$B$27:$AY$106,39,)) * $CR$5)</f>
        <v>26.247353280082045</v>
      </c>
      <c r="AN56" s="1565">
        <f>IF(ISERROR(MATCH($B56,'A1.3.2'!$B$27:$B$106,0)),"",(VLOOKUP($B56,'Forecast occupancies'!$C$28:$CP$64,38,TRUE) * VLOOKUP($B56,'A1.3.2'!$B$27:$AY$106,49,)) * $CR$5)</f>
        <v>47.330512554986917</v>
      </c>
      <c r="AO56" s="1565">
        <f>IF(ISERROR(MATCH($B56,'A1.3.2'!$B$27:$B$106,0)),"",(VLOOKUP($B56,'Forecast occupancies'!$C$28:$CP$64,39,TRUE) * VLOOKUP($B56,'A1.3.2'!$B$27:$AY$106,50,)) * $CR$5)</f>
        <v>59.810079872942154</v>
      </c>
      <c r="AP56" s="1567">
        <f>IF(ISERROR(MATCH($B56,'A1.3.2'!$B$27:$B$106,0)),"",SUM(AM56:AO56))</f>
        <v>133.3879457080111</v>
      </c>
      <c r="AQ56" s="1609">
        <f>IF(ISERROR(MATCH($B56,'A1.3.2'!$B$27:$B$106,0)),"",(((VLOOKUP($B56,'Forecast occupancies'!$C$28:$CP$64,41,TRUE)-1)*VLOOKUP($B56,'A1.3.2'!$B$27:$AY$106,36,)+VLOOKUP($B56,'A1.3.2'!$B$27:$AY$106,35,))*$CR$5))</f>
        <v>31.077649011270854</v>
      </c>
      <c r="AR56" s="1565">
        <f>IF(ISERROR(MATCH($B56,'A1.3.2'!$B$27:$B$106,0)),"",VLOOKUP($B56,'Forecast occupancies'!$C$28:$CP$64,42,TRUE)*VLOOKUP($B56,'A1.3.2'!$B$27:$AY$106,49,)*$CR$5)</f>
        <v>17.251383795785362</v>
      </c>
      <c r="AS56" s="1565">
        <f>IF(ISERROR(MATCH($B56,'A1.3.2'!$B$27:$B$106,0)),"",VLOOKUP($B56,'Forecast occupancies'!$C$28:$CP$64,43,TRUE)*VLOOKUP($B56,'A1.3.2'!$B$27:$AY$106,50,)*$CR$5)</f>
        <v>12.198265265562377</v>
      </c>
      <c r="AT56" s="1566">
        <f>IF(ISERROR(MATCH($B56,'A1.3.2'!$B$27:$B$106,0)),"",(((AQ56*'VoT5'!$G$28)+(AR56*'VoT5'!$G$29)+(AS56*'VoT5'!$G$30))/100))</f>
        <v>16.577315748579636</v>
      </c>
      <c r="AU56" s="1565">
        <f>IF(ISERROR(MATCH($B56,'A1.3.2'!$B$27:$B$106,0)),"",(VLOOKUP($B56,'Forecast occupancies'!$C$28:$CP$64,45,TRUE) * VLOOKUP($B56, 'A1.3.2'!$B$27:$AY$106,37,)) * $CR$5)</f>
        <v>21.972982296216042</v>
      </c>
      <c r="AV56" s="1565">
        <f>IF(ISERROR(MATCH($B56,'A1.3.2'!$B$27:$B$106,0)),"",VLOOKUP($B56,'Forecast occupancies'!$C$28:$CP$64,46,TRUE) * ('VoT5'!$J$29*VLOOKUP($B56, 'A1.3.2'!$B$27:$AY$106,49,)+'VoT5'!$J$30*VLOOKUP($B56, 'A1.3.2'!$B$27:$AY$106,50,))/('VoT5'!$J$29+'VoT5'!$J$30) * $CR$5)</f>
        <v>13.412759487488403</v>
      </c>
      <c r="AW56" s="1566">
        <f>IF(ISERROR(MATCH($B56,'A1.3.2'!$B$27:$B$106,0)),"",(AU56*'VoT5'!$G$31 + AV56*'VoT5'!$G$32)/100)</f>
        <v>20.945755559168724</v>
      </c>
      <c r="AX56" s="1566">
        <f>IF(ISERROR(MATCH($B56,'A1.3.2'!$B$27:$B$106,0)),"",(VLOOKUP($B56,'Forecast occupancies'!$C$28:$CP$64,48,TRUE)*VLOOKUP($B56,'A1.3.2'!$B$27:$AY$106,38,)) * $CR$5)</f>
        <v>21.574552447480645</v>
      </c>
      <c r="AY56" s="1566">
        <f>IF(ISERROR(MATCH($B56,'A1.3.2'!$B$27:$B$106,0)),"",(VLOOKUP($B56,'Forecast occupancies'!$C$28:$CP$64,49,TRUE)*VLOOKUP($B56,'A1.3.2'!$B$27:$AY$106,38,)) * $CR$5)</f>
        <v>21.574552447480645</v>
      </c>
      <c r="AZ56" s="1565">
        <f>IF(ISERROR(MATCH($B56,'A1.3.2'!$B$27:$B$106,0)),"",(((VLOOKUP($B56,'Forecast occupancies'!$C$28:$CP$64,50,TRUE) -1) * VLOOKUP($B56,'A1.3.2'!$B$27:$AY$106,40,)) + VLOOKUP($B56,'A1.3.2'!$B$27:$AY$106,39,)) * $CR$5)</f>
        <v>26.226127750155115</v>
      </c>
      <c r="BA56" s="1565">
        <f>IF(ISERROR(MATCH($B56,'A1.3.2'!$B$27:$B$106,0)),"",(VLOOKUP($B56,'Forecast occupancies'!$C$28:$CP$64,51,TRUE) * VLOOKUP($B56,'A1.3.2'!$B$27:$AY$106,49,)) * $CR$5)</f>
        <v>64.699634994694648</v>
      </c>
      <c r="BB56" s="1565">
        <f>IF(ISERROR(MATCH($B56,'A1.3.2'!$B$27:$B$106,0)),"",(VLOOKUP($B56,'Forecast occupancies'!$C$28:$CP$64,52,TRUE) * VLOOKUP($B56,'A1.3.2'!$B$27:$AY$106,50,)) * $CR$5)</f>
        <v>51.891910547740629</v>
      </c>
      <c r="BC56" s="1567">
        <f>IF(ISERROR(MATCH($B56,'A1.3.2'!$B$27:$B$106,0)),"",SUM(AZ56:BB56))</f>
        <v>142.8176732925904</v>
      </c>
      <c r="BD56" s="1565">
        <f>IF(ISERROR(MATCH($B56,'A1.3.2'!$B$27:$B$106,0)),"",(((VLOOKUP($B56,'Forecast occupancies'!$C$28:$CP$64,54,TRUE)-1)*VLOOKUP($B56,'A1.3.2'!$B$27:$AY$106,36,)+VLOOKUP($B56,'A1.3.2'!$B$27:$AY$106,35,))*$CR$5))</f>
        <v>30.554828784843128</v>
      </c>
      <c r="BE56" s="1565">
        <f>IF(ISERROR(MATCH($B56,'A1.3.2'!$B$27:$B$106,0)),"",VLOOKUP($B56,'Forecast occupancies'!$C$28:$CP$64,55,TRUE)*VLOOKUP($B56,'A1.3.2'!$B$27:$AY$106,49,)*$CR$5)</f>
        <v>17.060344258071666</v>
      </c>
      <c r="BF56" s="1565">
        <f>IF(ISERROR(MATCH($B56,'A1.3.2'!$B$27:$B$106,0)),"",VLOOKUP($B56,'Forecast occupancies'!$C$28:$CP$64,56,TRUE)*VLOOKUP($B56,'A1.3.2'!$B$27:$AY$106,50,)*$CR$5)</f>
        <v>12.22857368226723</v>
      </c>
      <c r="BG56" s="1566">
        <f>IF(ISERROR(MATCH($B56,'A1.3.2'!$B$27:$B$106,0)),"",(((BD56*'VoT5'!$H$28)+(BE56*'VoT5'!$H$29)+(BF56*'VoT5'!$H$30))/100))</f>
        <v>16.457932112348509</v>
      </c>
      <c r="BH56" s="1565">
        <f>IF(ISERROR(MATCH($B56,'A1.3.2'!$B$27:$B$106,0)),"",(VLOOKUP($B56,'Forecast occupancies'!$C$28:$CP$64,58,TRUE) * VLOOKUP($B56, 'A1.3.2'!$B$27:$AY$106,37,)) * $CR$5)</f>
        <v>21.972982296216042</v>
      </c>
      <c r="BI56" s="1565">
        <f>IF(ISERROR(MATCH($B56,'A1.3.2'!$B$27:$B$106,0)),"",(VLOOKUP($B56,'Forecast occupancies'!$C$28:$CP$64,59,TRUE) * (VLOOKUP($B56,'A1.3.2'!$B$27:$AY$106,49,) * 'VoT5'!$J$29 + VLOOKUP($B56,'A1.3.2'!$B$27:$AY$106,50,) * 'VoT5'!$J$30) / (SUM('VoT5'!$J$29:$J$30))) * $CR$5)</f>
        <v>13.412759487488403</v>
      </c>
      <c r="BJ56" s="1566">
        <f>IF(ISERROR(MATCH($B56,'A1.3.2'!$B$27:$B$106,0)),"",(BH56*'VoT5'!$H$31 + BI56*'VoT5'!$H$32)/100)</f>
        <v>20.945755559168724</v>
      </c>
      <c r="BK56" s="1566">
        <f>IF(ISERROR(MATCH($B56,'A1.3.2'!$B$27:$B$106,0)),"",(VLOOKUP($B56,'Forecast occupancies'!$C$28:$CP$64,61,TRUE)*VLOOKUP($B56,'A1.3.2'!$B$27:$AY$106,38,)) * $CR$5)</f>
        <v>21.574552447480645</v>
      </c>
      <c r="BL56" s="1566">
        <f>IF(ISERROR(MATCH($B56,'A1.3.2'!$B$27:$B$106,0)),"",(VLOOKUP($B56,'Forecast occupancies'!$C$28:$CP$64,62,TRUE)*VLOOKUP($B56,'A1.3.2'!$B$27:$AY$106,38,)) * $CR$5)</f>
        <v>21.574552447480645</v>
      </c>
      <c r="BM56" s="1565">
        <f>IF(ISERROR(MATCH($B56,'A1.3.2'!$B$27:$B$106,0)),"",(((VLOOKUP($B56,'Forecast occupancies'!$C$28:$CP$64,63,TRUE) -1) * VLOOKUP($B56,'A1.3.2'!$B$27:$AY$106,40,)) + VLOOKUP($B56,'A1.3.2'!$B$27:$AY$106,39,)) * $CR$5)</f>
        <v>25.287003188603524</v>
      </c>
      <c r="BN56" s="1565">
        <f>IF(ISERROR(MATCH($B56,'A1.3.2'!$B$27:$B$106,0)),"",(VLOOKUP($B56,'Forecast occupancies'!$C$28:$CP$64,64,TRUE) * VLOOKUP($B56,'A1.3.2'!$B$27:$AY$106,49,)) * $CR$5)</f>
        <v>29.2075827784222</v>
      </c>
      <c r="BO56" s="1565">
        <f>IF(ISERROR(MATCH($B56,'A1.3.2'!$B$27:$B$106,0)),"",(VLOOKUP($B56,'Forecast occupancies'!$C$28:$CP$64,65,TRUE) * VLOOKUP($B56,'A1.3.2'!$B$27:$AY$106,50,)) * $CR$5)</f>
        <v>68.517159356305768</v>
      </c>
      <c r="BP56" s="1567">
        <f>IF(ISERROR(MATCH($B56,'A1.3.2'!$B$27:$B$106,0)),"",SUM(BM56:BO56))</f>
        <v>123.0117453233315</v>
      </c>
      <c r="BQ56" s="1565">
        <f>IF(ISERROR(MATCH($B56,'A1.3.2'!$B$27:$B$106,0)),"",(((VLOOKUP($B56,'Forecast occupancies'!$C$28:$CP$64,67,TRUE)-1)*VLOOKUP($B56,'A1.3.2'!$B$27:$AY$106,36,)+VLOOKUP($B56,'A1.3.2'!$B$27:$AY$106,35,))*$CR$5))</f>
        <v>34.920344325657062</v>
      </c>
      <c r="BR56" s="1565">
        <f>IF(ISERROR(MATCH($B56,'A1.3.2'!$B$27:$B$106,0)),"",VLOOKUP($B56,'Forecast occupancies'!$C$28:$CP$64,68,TRUE)*VLOOKUP($B56,'A1.3.2'!$B$27:$AY$106,49,)*$CR$5)</f>
        <v>18.062672446580038</v>
      </c>
      <c r="BS56" s="1565">
        <f>IF(ISERROR(MATCH($B56,'A1.3.2'!$B$27:$B$106,0)),"",VLOOKUP($B56,'Forecast occupancies'!$C$28:$CP$64,69,TRUE)*VLOOKUP($B56,'A1.3.2'!$B$27:$AY$106,50,)*$CR$5)</f>
        <v>14.478926024787249</v>
      </c>
      <c r="BT56" s="1566">
        <f>IF(ISERROR(MATCH($B56,'A1.3.2'!$B$27:$B$106,0)),"",(((BQ56*'VoT5'!$I$28)+(BR56*'VoT5'!$I$29)+(BS56*'VoT5'!$I$30))/100))</f>
        <v>15.471645562959347</v>
      </c>
      <c r="BU56" s="1565">
        <f>IF(ISERROR(MATCH($B56,'A1.3.2'!$B$27:$B$106,0)),"",(VLOOKUP($B56,'Forecast occupancies'!$C$28:$CP$64,71,TRUE) * VLOOKUP($B56, 'A1.3.2'!$B$27:$AY$106,37,)) * $CR$5)</f>
        <v>23.071631411026846</v>
      </c>
      <c r="BV56" s="1565">
        <f>IF(ISERROR(MATCH($B56,'A1.3.2'!$B$27:$B$106,0)),"",(VLOOKUP($B56,'Forecast occupancies'!$C$28:$CP$64,72,TRUE) * (VLOOKUP($B56,'A1.3.2'!$B$27:$AY$106,49,)*'VoT5'!$J$29 + VLOOKUP($B56,'A1.3.2'!$B$27:$AY$106,50,)*'VoT5'!$J$30) / (SUM('VoT5'!$J$29:$J$30))) * $CR$5)</f>
        <v>18.64924778054894</v>
      </c>
      <c r="BW56" s="1566">
        <f>IF(ISERROR(MATCH($B56,'A1.3.2'!$B$27:$B$106,0)),"",(BU56*'VoT5'!$I$31 + BV56*'VoT5'!$I$32)/100)</f>
        <v>22.540945375369496</v>
      </c>
      <c r="BX56" s="1566">
        <f>IF(ISERROR(MATCH($B56,'A1.3.2'!$B$27:$B$106,0)),"",(VLOOKUP($B56,'Forecast occupancies'!$C$28:$CP$64,74,TRUE)*VLOOKUP($B56,'A1.3.2'!$B$27:$AY$106,38,)) * $CR$5)</f>
        <v>21.574552447480645</v>
      </c>
      <c r="BY56" s="1566">
        <f>IF(ISERROR(MATCH($B56,'A1.3.2'!$B$27:$B$106,0)),"",(VLOOKUP($B56,'Forecast occupancies'!$C$28:$CP$64,75,TRUE)*VLOOKUP($B56,'A1.3.2'!$B$27:$AY$106,38,)) * $CR$5)</f>
        <v>21.574552447480645</v>
      </c>
      <c r="BZ56" s="1565">
        <f>IF(ISERROR(MATCH($B56,'A1.3.2'!$B$27:$B$106,0)),"",(((VLOOKUP($B56,'Forecast occupancies'!$C$28:$CP$64,76,TRUE) -1) * VLOOKUP($B56,'A1.3.2'!$B$27:$AY$106,40,)) + VLOOKUP($B56,'A1.3.2'!$B$27:$AY$106,39,)) * $CR$5)</f>
        <v>23.029740985918988</v>
      </c>
      <c r="CA56" s="1565">
        <f>IF(ISERROR(MATCH($B56,'A1.3.2'!$B$27:$B$106,0)),"",(VLOOKUP($B56,'Forecast occupancies'!$C$28:$CP$64,77,TRUE) * VLOOKUP($B56,'A1.3.2'!$B$27:$AY$106,49,)) * $CR$5)</f>
        <v>11.064959403765961</v>
      </c>
      <c r="CB56" s="1565">
        <f>IF(ISERROR(MATCH($B56,'A1.3.2'!$B$27:$B$106,0)),"",(VLOOKUP($B56,'Forecast occupancies'!$C$28:$CP$64,78,TRUE) * VLOOKUP($B56,'A1.3.2'!$B$27:$AY$106,50,)) * $CR$5)</f>
        <v>77.820987888306078</v>
      </c>
      <c r="CC56" s="1567">
        <f>IF(ISERROR(MATCH($B56,'A1.3.2'!$B$27:$B$106,0)),"",SUM(BZ56:CB56))</f>
        <v>111.91568827799102</v>
      </c>
      <c r="CD56" s="1565">
        <f>IF(ISERROR(MATCH($B56,'A1.3.2'!$B$27:$B$106,0)),"",(((VLOOKUP($B56,'Forecast occupancies'!$C$28:$CP$64,80,TRUE)-1)*VLOOKUP($B56,'A1.3.2'!$B$27:$AY$106,36,)+VLOOKUP($B56,'A1.3.2'!$B$27:$AY$106,35,))*$CR$5))</f>
        <v>30.864705290075936</v>
      </c>
      <c r="CE56" s="1565">
        <f>IF(ISERROR(MATCH($B56,'A1.3.2'!$B$27:$B$106,0)),"",VLOOKUP($B56,'Forecast occupancies'!$C$28:$CP$64,81,TRUE)*VLOOKUP($B56,'A1.3.2'!$B$27:$AY$106,49,)*$CR$5)</f>
        <v>17.14143326922802</v>
      </c>
      <c r="CF56" s="1565">
        <f>IF(ISERROR(MATCH($B56,'A1.3.2'!$B$27:$B$106,0)),"",VLOOKUP($B56,'Forecast occupancies'!$C$28:$CP$64,82,TRUE)*VLOOKUP($B56,'A1.3.2'!$B$27:$AY$106,50,)*$CR$5)</f>
        <v>13.022651966502954</v>
      </c>
      <c r="CG56" s="1566">
        <f>IF(ISERROR(MATCH($B56,'A1.3.2'!$B$27:$B$106,0)),"",(((CD56*'VoT5'!$J$28)+(CE56*'VoT5'!$J$29)+(CF56*'VoT5'!$J$30))/100))</f>
        <v>16.224088255432797</v>
      </c>
      <c r="CH56" s="1565">
        <f>IF(ISERROR(MATCH($B56,'A1.3.2'!$B$27:$B$106,0)),"",(VLOOKUP($B56,'Forecast occupancies'!$C$28:$CP$64,84,TRUE) * VLOOKUP($B56, 'A1.3.2'!$B$27:$AY$106,37,)) * $CR$5)</f>
        <v>21.972982296216042</v>
      </c>
      <c r="CI56" s="1565">
        <f>IF(ISERROR(MATCH($B56,'A1.3.2'!$B$27:$B$106,0)),"",(VLOOKUP($B56,'Forecast occupancies'!$C$28:$CP$64,85,TRUE) * (VLOOKUP($B56,'A1.3.2'!$B$27:$AY$106,49,)*'VoT5'!$J$29 + VLOOKUP($B56,'A1.3.2'!$B$27:$AY$106,50,)*'VoT5'!$J$30) / (SUM('VoT5'!$J$29:$J$30))) * $CR$5)</f>
        <v>14.607046291168878</v>
      </c>
      <c r="CJ56" s="1566">
        <f>IF(ISERROR(MATCH($B56,'A1.3.2'!$B$27:$B$106,0)),"",(CH56*'VoT5'!$J$31 + CI56*'VoT5'!$J$32)/100)</f>
        <v>21.089069975610382</v>
      </c>
      <c r="CK56" s="1566">
        <f>IF(ISERROR(MATCH($B56,'A1.3.2'!$B$27:$B$106,0)),"",(VLOOKUP($B56,'Forecast occupancies'!$C$28:$CP$64,87,TRUE)*VLOOKUP($B56,'A1.3.2'!$B$27:$AY$106,38,)) * $CR$5)</f>
        <v>21.574552447480645</v>
      </c>
      <c r="CL56" s="1566">
        <f>IF(ISERROR(MATCH($B56,'A1.3.2'!$B$27:$B$106,0)),"",(VLOOKUP($B56,'Forecast occupancies'!$C$28:$CP$64,88,TRUE)*VLOOKUP($B56,'A1.3.2'!$B$27:$AY$106,38,)) * $CR$5)</f>
        <v>21.574552447480645</v>
      </c>
      <c r="CM56" s="1565">
        <f>IF(ISERROR(MATCH($B56,'A1.3.2'!$B$27:$B$106,0)),"",(((VLOOKUP($B56,'Forecast occupancies'!$C$28:$CP$64,89,TRUE) -1) * VLOOKUP($B56,'A1.3.2'!$B$27:$AY$106,40,)) + VLOOKUP($B56,'A1.3.2'!$B$27:$AY$106,39,)) * $CR$5)</f>
        <v>24.729592828143403</v>
      </c>
      <c r="CN56" s="1565">
        <f>IF(ISERROR(MATCH($B56,'A1.3.2'!$B$27:$B$106,0)),"",(VLOOKUP($B56,'Forecast occupancies'!$C$28:$CP$64,90,TRUE) * VLOOKUP($B56,'A1.3.2'!$B$27:$AY$106,49,)) * $CR$5)</f>
        <v>24.726563655226315</v>
      </c>
      <c r="CO56" s="1565">
        <f>IF(ISERROR(MATCH($B56,'A1.3.2'!$B$27:$B$106,0)),"",(VLOOKUP($B56,'Forecast occupancies'!$C$28:$CP$64,91,TRUE) * VLOOKUP($B56,'A1.3.2'!$B$27:$AY$106,50,)) * $CR$5)</f>
        <v>70.815049219659954</v>
      </c>
      <c r="CP56" s="1567">
        <f>IF(ISERROR(MATCH($B56,'A1.3.2'!$B$27:$B$106,0)),"",SUM(CM56:CO56))</f>
        <v>120.27120570302966</v>
      </c>
    </row>
    <row r="57" spans="1:94" s="26" customFormat="1" ht="13.5" customHeight="1">
      <c r="A57" s="113"/>
      <c r="B57" s="82">
        <f t="shared" si="0"/>
        <v>2039</v>
      </c>
      <c r="D57" s="1609">
        <f>IF(ISERROR(MATCH($B57,'A1.3.2'!$B$27:$B$106,0)),"",(((VLOOKUP($B57,'Forecast occupancies'!$C$28:$CP$64,2,TRUE) -1) * VLOOKUP($B57,'A1.3.2'!$B$27:$AY$106,36,) + VLOOKUP($B57,'A1.3.2'!$B$27:$AY$106,35,)) * $CR$5))</f>
        <v>30.658849376480326</v>
      </c>
      <c r="E57" s="1565">
        <f>IF(ISERROR(MATCH($B57,'A1.3.2'!$B$27:$B$106,0)),"",VLOOKUP($B57,'Forecast occupancies'!$C$28:$CP$64,3,TRUE)*VLOOKUP($B57,'A1.3.2'!$B$27:$AY$106,49,)*$CR$5)</f>
        <v>17.277822774979814</v>
      </c>
      <c r="F57" s="1565">
        <f>IF(ISERROR(MATCH($B57,'A1.3.2'!$B$27:$B$106,0)),"",VLOOKUP($B57,'Forecast occupancies'!$C$28:$CP$64,4,TRUE)*VLOOKUP($B57,'A1.3.2'!$B$27:$AY$106,50,)*$CR$5)</f>
        <v>11.920359147997585</v>
      </c>
      <c r="G57" s="1566">
        <f>IF(ISERROR(MATCH($B57,'A1.3.2'!$B$27:$B$106,0)),"",(((D57*'VoT5'!$D$28)+(E57*'VoT5'!$D$29)+(F57*'VoT5'!$D$30))/100))</f>
        <v>17.365323178702909</v>
      </c>
      <c r="H57" s="1565">
        <f>IF(ISERROR(MATCH($B57,'A1.3.2'!$B$27:$B$106,0)),"",(VLOOKUP($B57,'Forecast occupancies'!$C$28:$CP$64,6,TRUE) * VLOOKUP($B57, 'A1.3.2'!$B$27:$AY$106,37,)) * $CR$5)</f>
        <v>22.405765669562673</v>
      </c>
      <c r="I57" s="1565">
        <f>IF(ISERROR(MATCH($B57,'A1.3.2'!$B$27:$B$106,0)),"",VLOOKUP($B57,'Forecast occupancies'!$C$28:$CP$64,7,TRUE) * ('VoT5'!$J$29*VLOOKUP($B57, 'A1.3.2'!$B$27:$AY$106,49,)+'VoT5'!$J$30*VLOOKUP($B57, 'A1.3.2'!$B$27:$AY$106,50,))/('VoT5'!$J$29+'VoT5'!$J$30) * $CR$5)</f>
        <v>13.676939343396345</v>
      </c>
      <c r="J57" s="1566">
        <f>IF(ISERROR(MATCH($B57,'A1.3.2'!$B$27:$B$106,0)),"",(H57*'VoT5'!$D$31 + I57*'VoT5'!$D$32)/100)</f>
        <v>21.358306510422711</v>
      </c>
      <c r="K57" s="1566">
        <f>IF(ISERROR(MATCH($B57,'A1.3.2'!$B$27:$B$106,0)),"",(VLOOKUP($B57,'Forecast occupancies'!$C$28:$CP$64,9,TRUE)*VLOOKUP($B57,'A1.3.2'!$B$27:$AY$106,38,)) * $CR$5)</f>
        <v>21.999488282807484</v>
      </c>
      <c r="L57" s="1566">
        <f>IF(ISERROR(MATCH($B57,'A1.3.2'!$B$27:$B$106,0)),"",(VLOOKUP($B57,'Forecast occupancies'!$C$28:$CP$64,10,TRUE)*VLOOKUP($B57,'A1.3.2'!$B$27:$AY$106,38,)) * $CR$5)</f>
        <v>21.999488282807484</v>
      </c>
      <c r="M57" s="1565">
        <f>IF(ISERROR(MATCH($B57,'A1.3.2'!$B$27:$B$106,0)),"",(((VLOOKUP($B57,'Forecast occupancies'!$C$28:$CP$64,11,TRUE) -1) * VLOOKUP($B57,'A1.3.2'!$B$27:$AY$106,40,)) + VLOOKUP($B57,'A1.3.2'!$B$27:$AY$106,39,)) * $CR$5)</f>
        <v>25.068615798414111</v>
      </c>
      <c r="N57" s="1565">
        <f>IF(ISERROR(MATCH($B57,'A1.3.2'!$B$27:$B$106,0)),"",(VLOOKUP($B57,'Forecast occupancies'!$C$28:$CP$64,12,TRUE) * VLOOKUP($B57,'A1.3.2'!$B$27:$AY$106,49,)) * $CR$5)</f>
        <v>34.317059845098825</v>
      </c>
      <c r="O57" s="1565">
        <f>IF(ISERROR(MATCH($B57,'A1.3.2'!$B$27:$B$106,0)),"",(VLOOKUP($B57,'Forecast occupancies'!$C$28:$CP$64,13,TRUE) * VLOOKUP($B57,'A1.3.2'!$B$27:$AY$106,50,)) * $CR$5)</f>
        <v>68.121831788247022</v>
      </c>
      <c r="P57" s="1567">
        <f>IF(ISERROR(MATCH($B57,'A1.3.2'!$B$27:$B$106,0)),"",SUM(M57:O57))</f>
        <v>127.50750743175996</v>
      </c>
      <c r="Q57" s="1609">
        <f>IF(ISERROR(MATCH($B57,'A1.3.2'!$B$27:$B$106,0)),"",(((VLOOKUP($B57,'Forecast occupancies'!$C$28:$CP$64,15,TRUE)-1)*VLOOKUP($B57,'A1.3.2'!$B$27:$AY$106,36,)+VLOOKUP($B57,'A1.3.2'!$B$27:$AY$106,35,))*$CR$5))</f>
        <v>31.416816159973642</v>
      </c>
      <c r="R57" s="1565">
        <f>IF(ISERROR(MATCH($B57,'A1.3.2'!$B$27:$B$106,0)),"",VLOOKUP($B57,'Forecast occupancies'!$C$28:$CP$64,16,TRUE)*VLOOKUP($B57,'A1.3.2'!$B$27:$AY$106,49,)*$CR$5)</f>
        <v>17.558761784463389</v>
      </c>
      <c r="S57" s="1565">
        <f>IF(ISERROR(MATCH($B57,'A1.3.2'!$B$27:$B$106,0)),"",VLOOKUP($B57,'Forecast occupancies'!$C$28:$CP$64,17,TRUE)*VLOOKUP($B57,'A1.3.2'!$B$27:$AY$106,50,)*$CR$5)</f>
        <v>12.697998321095398</v>
      </c>
      <c r="T57" s="1566">
        <f>IF(ISERROR(MATCH($B57,'A1.3.2'!$B$27:$B$106,0)),"",(((Q57*'VoT5'!$E$28)+(R57*'VoT5'!$E$29)+(S57*'VoT5'!$E$30))/100))</f>
        <v>16.354828656135751</v>
      </c>
      <c r="U57" s="1565">
        <f>IF(ISERROR(MATCH($B57,'A1.3.2'!$B$27:$B$106,0)),"",(VLOOKUP($B57,'Forecast occupancies'!$C$28:$CP$64,19,TRUE) * VLOOKUP($B57, 'A1.3.2'!$B$27:$AY$106,37,)) * $CR$5)</f>
        <v>22.405765669562673</v>
      </c>
      <c r="V57" s="1565">
        <f>IF(ISERROR(MATCH($B57,'A1.3.2'!$B$27:$B$106,0)),"",VLOOKUP($B57,'Forecast occupancies'!$C$28:$CP$64,20,TRUE) * ('VoT5'!$J$29*VLOOKUP($B57, 'A1.3.2'!$B$27:$AY$106,49,)+'VoT5'!$J$30*VLOOKUP($B57, 'A1.3.2'!$B$27:$AY$106,50,))/('VoT5'!$J$29+'VoT5'!$J$30) * $CR$5)</f>
        <v>13.676939343396345</v>
      </c>
      <c r="W57" s="1566">
        <f>IF(ISERROR(MATCH($B57,'A1.3.2'!$B$27:$B$106,0)),"",(U57*'VoT5'!$E$31 + V57*'VoT5'!$E$32)/100)</f>
        <v>21.358306510422711</v>
      </c>
      <c r="X57" s="1566">
        <f>IF(ISERROR(MATCH($B57,'A1.3.2'!$B$27:$B$106,0)),"",(VLOOKUP($B57,'Forecast occupancies'!$C$28:$CP$64,22,TRUE)*VLOOKUP($B57,'A1.3.2'!$B$27:$AY$106,38,)) * $CR$5)</f>
        <v>21.999488282807484</v>
      </c>
      <c r="Y57" s="1566">
        <f>IF(ISERROR(MATCH($B57,'A1.3.2'!$B$27:$B$106,0)),"",(VLOOKUP($B57,'Forecast occupancies'!$C$28:$CP$64,23,TRUE)*VLOOKUP($B57,'A1.3.2'!$B$27:$AY$106,38,)) * $CR$5)</f>
        <v>21.999488282807484</v>
      </c>
      <c r="Z57" s="1565">
        <f>IF(ISERROR(MATCH($B57,'A1.3.2'!$B$27:$B$106,0)),"",(((VLOOKUP($B57,'Forecast occupancies'!$C$28:$CP$64,24,TRUE) -1) * VLOOKUP($B57,'A1.3.2'!$B$27:$AY$106,40,)) + VLOOKUP($B57,'A1.3.2'!$B$27:$AY$106,39,)) * $CR$5)</f>
        <v>25.580288539775221</v>
      </c>
      <c r="AA57" s="1565">
        <f>IF(ISERROR(MATCH($B57,'A1.3.2'!$B$27:$B$106,0)),"",(VLOOKUP($B57,'Forecast occupancies'!$C$28:$CP$64,25,TRUE) * VLOOKUP($B57,'A1.3.2'!$B$27:$AY$106,49,)) * $CR$5)</f>
        <v>12.027037455023281</v>
      </c>
      <c r="AB57" s="1565">
        <f>IF(ISERROR(MATCH($B57,'A1.3.2'!$B$27:$B$106,0)),"",(VLOOKUP($B57,'Forecast occupancies'!$C$28:$CP$64,26,TRUE) * VLOOKUP($B57,'A1.3.2'!$B$27:$AY$106,50,)) * $CR$5)</f>
        <v>78.063776953233898</v>
      </c>
      <c r="AC57" s="1567">
        <f>IF(ISERROR(MATCH($B57,'A1.3.2'!$B$27:$B$106,0)),"",SUM(Z57:AB57))</f>
        <v>115.6711029480324</v>
      </c>
      <c r="AD57" s="1609">
        <f>IF(ISERROR(MATCH($B57,'A1.3.2'!$B$27:$B$106,0)),"",(((VLOOKUP($B57,'Forecast occupancies'!$C$28:$CP$64,28,TRUE)-1)*VLOOKUP($B57,'A1.3.2'!$B$27:$AY$106,36,)+VLOOKUP($B57,'A1.3.2'!$B$27:$AY$106,35,))*$CR$5))</f>
        <v>31.101303346996382</v>
      </c>
      <c r="AE57" s="1565">
        <f>IF(ISERROR(MATCH($B57,'A1.3.2'!$B$27:$B$106,0)),"",VLOOKUP($B57,'Forecast occupancies'!$C$28:$CP$64,29,TRUE)*VLOOKUP($B57,'A1.3.2'!$B$27:$AY$106,49,)*$CR$5)</f>
        <v>17.337420154040995</v>
      </c>
      <c r="AF57" s="1565">
        <f>IF(ISERROR(MATCH($B57,'A1.3.2'!$B$27:$B$106,0)),"",VLOOKUP($B57,'Forecast occupancies'!$C$28:$CP$64,30,TRUE)*VLOOKUP($B57,'A1.3.2'!$B$27:$AY$106,50,)*$CR$5)</f>
        <v>12.483091623438771</v>
      </c>
      <c r="AG57" s="1566">
        <f>IF(ISERROR(MATCH($B57,'A1.3.2'!$B$27:$B$106,0)),"",(((AD57*'VoT5'!$F$28)+(AE57*'VoT5'!$F$29)+(AF57*'VoT5'!$F$30))/100))</f>
        <v>16.684510657392583</v>
      </c>
      <c r="AH57" s="1565">
        <f>IF(ISERROR(MATCH($B57,'A1.3.2'!$B$27:$B$106,0)),"",(VLOOKUP($B57,'Forecast occupancies'!$C$28:$CP$64,32,TRUE) * VLOOKUP($B57, 'A1.3.2'!$B$27:$AY$106,37,)) * $CR$5)</f>
        <v>22.405765669562673</v>
      </c>
      <c r="AI57" s="1565">
        <f>IF(ISERROR(MATCH($B57,'A1.3.2'!$B$27:$B$106,0)),"",VLOOKUP($B57,'Forecast occupancies'!$C$28:$CP$64,33,TRUE) * ('VoT5'!$J$29*VLOOKUP($B57, 'A1.3.2'!$B$27:$AY$106,49,)+'VoT5'!$J$30*VLOOKUP($B57, 'A1.3.2'!$B$27:$AY$106,50,))/('VoT5'!$J$29+'VoT5'!$J$30) * $CR$5)</f>
        <v>13.676939343396345</v>
      </c>
      <c r="AJ57" s="1566">
        <f>IF(ISERROR(MATCH($B57,'A1.3.2'!$B$27:$B$106,0)),"",(AH57*'VoT5'!$F$31 + AI57*'VoT5'!$F$32)/100)</f>
        <v>21.358306510422711</v>
      </c>
      <c r="AK57" s="1566">
        <f>IF(ISERROR(MATCH($B57,'A1.3.2'!$B$27:$B$106,0)),"",(VLOOKUP($B57,'Forecast occupancies'!$C$28:$CP$64,35,TRUE)*VLOOKUP($B57,'A1.3.2'!$B$27:$AY$106,38,)) * $CR$5)</f>
        <v>21.999488282807484</v>
      </c>
      <c r="AL57" s="1566">
        <f>IF(ISERROR(MATCH($B57,'A1.3.2'!$B$27:$B$106,0)),"",(VLOOKUP($B57,'Forecast occupancies'!$C$28:$CP$64,36,TRUE)*VLOOKUP($B57,'A1.3.2'!$B$27:$AY$106,38,)) * $CR$5)</f>
        <v>21.999488282807484</v>
      </c>
      <c r="AM57" s="1565">
        <f>IF(ISERROR(MATCH($B57,'A1.3.2'!$B$27:$B$106,0)),"",(((VLOOKUP($B57,'Forecast occupancies'!$C$28:$CP$64,37,TRUE) -1) * VLOOKUP($B57,'A1.3.2'!$B$27:$AY$106,40,)) + VLOOKUP($B57,'A1.3.2'!$B$27:$AY$106,39,)) * $CR$5)</f>
        <v>26.764325347907853</v>
      </c>
      <c r="AN57" s="1565">
        <f>IF(ISERROR(MATCH($B57,'A1.3.2'!$B$27:$B$106,0)),"",(VLOOKUP($B57,'Forecast occupancies'!$C$28:$CP$64,38,TRUE) * VLOOKUP($B57,'A1.3.2'!$B$27:$AY$106,49,)) * $CR$5)</f>
        <v>48.262741899626199</v>
      </c>
      <c r="AO57" s="1565">
        <f>IF(ISERROR(MATCH($B57,'A1.3.2'!$B$27:$B$106,0)),"",(VLOOKUP($B57,'Forecast occupancies'!$C$28:$CP$64,39,TRUE) * VLOOKUP($B57,'A1.3.2'!$B$27:$AY$106,50,)) * $CR$5)</f>
        <v>60.988108771277012</v>
      </c>
      <c r="AP57" s="1567">
        <f>IF(ISERROR(MATCH($B57,'A1.3.2'!$B$27:$B$106,0)),"",SUM(AM57:AO57))</f>
        <v>136.01517601881108</v>
      </c>
      <c r="AQ57" s="1609">
        <f>IF(ISERROR(MATCH($B57,'A1.3.2'!$B$27:$B$106,0)),"",(((VLOOKUP($B57,'Forecast occupancies'!$C$28:$CP$64,41,TRUE)-1)*VLOOKUP($B57,'A1.3.2'!$B$27:$AY$106,36,)+VLOOKUP($B57,'A1.3.2'!$B$27:$AY$106,35,))*$CR$5))</f>
        <v>31.689759356305647</v>
      </c>
      <c r="AR57" s="1565">
        <f>IF(ISERROR(MATCH($B57,'A1.3.2'!$B$27:$B$106,0)),"",VLOOKUP($B57,'Forecast occupancies'!$C$28:$CP$64,42,TRUE)*VLOOKUP($B57,'A1.3.2'!$B$27:$AY$106,49,)*$CR$5)</f>
        <v>17.591169809963464</v>
      </c>
      <c r="AS57" s="1565">
        <f>IF(ISERROR(MATCH($B57,'A1.3.2'!$B$27:$B$106,0)),"",VLOOKUP($B57,'Forecast occupancies'!$C$28:$CP$64,43,TRUE)*VLOOKUP($B57,'A1.3.2'!$B$27:$AY$106,50,)*$CR$5)</f>
        <v>12.43852424904666</v>
      </c>
      <c r="AT57" s="1566">
        <f>IF(ISERROR(MATCH($B57,'A1.3.2'!$B$27:$B$106,0)),"",(((AQ57*'VoT5'!$G$28)+(AR57*'VoT5'!$G$29)+(AS57*'VoT5'!$G$30))/100))</f>
        <v>16.903825210699299</v>
      </c>
      <c r="AU57" s="1565">
        <f>IF(ISERROR(MATCH($B57,'A1.3.2'!$B$27:$B$106,0)),"",(VLOOKUP($B57,'Forecast occupancies'!$C$28:$CP$64,45,TRUE) * VLOOKUP($B57, 'A1.3.2'!$B$27:$AY$106,37,)) * $CR$5)</f>
        <v>22.405765669562673</v>
      </c>
      <c r="AV57" s="1565">
        <f>IF(ISERROR(MATCH($B57,'A1.3.2'!$B$27:$B$106,0)),"",VLOOKUP($B57,'Forecast occupancies'!$C$28:$CP$64,46,TRUE) * ('VoT5'!$J$29*VLOOKUP($B57, 'A1.3.2'!$B$27:$AY$106,49,)+'VoT5'!$J$30*VLOOKUP($B57, 'A1.3.2'!$B$27:$AY$106,50,))/('VoT5'!$J$29+'VoT5'!$J$30) * $CR$5)</f>
        <v>13.676939343396345</v>
      </c>
      <c r="AW57" s="1566">
        <f>IF(ISERROR(MATCH($B57,'A1.3.2'!$B$27:$B$106,0)),"",(AU57*'VoT5'!$G$31 + AV57*'VoT5'!$G$32)/100)</f>
        <v>21.358306510422711</v>
      </c>
      <c r="AX57" s="1566">
        <f>IF(ISERROR(MATCH($B57,'A1.3.2'!$B$27:$B$106,0)),"",(VLOOKUP($B57,'Forecast occupancies'!$C$28:$CP$64,48,TRUE)*VLOOKUP($B57,'A1.3.2'!$B$27:$AY$106,38,)) * $CR$5)</f>
        <v>21.999488282807484</v>
      </c>
      <c r="AY57" s="1566">
        <f>IF(ISERROR(MATCH($B57,'A1.3.2'!$B$27:$B$106,0)),"",(VLOOKUP($B57,'Forecast occupancies'!$C$28:$CP$64,49,TRUE)*VLOOKUP($B57,'A1.3.2'!$B$27:$AY$106,38,)) * $CR$5)</f>
        <v>21.999488282807484</v>
      </c>
      <c r="AZ57" s="1565">
        <f>IF(ISERROR(MATCH($B57,'A1.3.2'!$B$27:$B$106,0)),"",(((VLOOKUP($B57,'Forecast occupancies'!$C$28:$CP$64,50,TRUE) -1) * VLOOKUP($B57,'A1.3.2'!$B$27:$AY$106,40,)) + VLOOKUP($B57,'A1.3.2'!$B$27:$AY$106,39,)) * $CR$5)</f>
        <v>26.742681756548979</v>
      </c>
      <c r="BA57" s="1565">
        <f>IF(ISERROR(MATCH($B57,'A1.3.2'!$B$27:$B$106,0)),"",(VLOOKUP($B57,'Forecast occupancies'!$C$28:$CP$64,51,TRUE) * VLOOKUP($B57,'A1.3.2'!$B$27:$AY$106,49,)) * $CR$5)</f>
        <v>65.973969352672142</v>
      </c>
      <c r="BB57" s="1565">
        <f>IF(ISERROR(MATCH($B57,'A1.3.2'!$B$27:$B$106,0)),"",(VLOOKUP($B57,'Forecast occupancies'!$C$28:$CP$64,52,TRUE) * VLOOKUP($B57,'A1.3.2'!$B$27:$AY$106,50,)) * $CR$5)</f>
        <v>52.913981916729064</v>
      </c>
      <c r="BC57" s="1567">
        <f>IF(ISERROR(MATCH($B57,'A1.3.2'!$B$27:$B$106,0)),"",SUM(AZ57:BB57))</f>
        <v>145.63063302595017</v>
      </c>
      <c r="BD57" s="1565">
        <f>IF(ISERROR(MATCH($B57,'A1.3.2'!$B$27:$B$106,0)),"",(((VLOOKUP($B57,'Forecast occupancies'!$C$28:$CP$64,54,TRUE)-1)*VLOOKUP($B57,'A1.3.2'!$B$27:$AY$106,36,)+VLOOKUP($B57,'A1.3.2'!$B$27:$AY$106,35,))*$CR$5))</f>
        <v>31.15664157908591</v>
      </c>
      <c r="BE57" s="1565">
        <f>IF(ISERROR(MATCH($B57,'A1.3.2'!$B$27:$B$106,0)),"",VLOOKUP($B57,'Forecast occupancies'!$C$28:$CP$64,55,TRUE)*VLOOKUP($B57,'A1.3.2'!$B$27:$AY$106,49,)*$CR$5)</f>
        <v>17.396367526962866</v>
      </c>
      <c r="BF57" s="1565">
        <f>IF(ISERROR(MATCH($B57,'A1.3.2'!$B$27:$B$106,0)),"",VLOOKUP($B57,'Forecast occupancies'!$C$28:$CP$64,56,TRUE)*VLOOKUP($B57,'A1.3.2'!$B$27:$AY$106,50,)*$CR$5)</f>
        <v>12.469429625174021</v>
      </c>
      <c r="BG57" s="1566">
        <f>IF(ISERROR(MATCH($B57,'A1.3.2'!$B$27:$B$106,0)),"",(((BD57*'VoT5'!$H$28)+(BE57*'VoT5'!$H$29)+(BF57*'VoT5'!$H$30))/100))</f>
        <v>16.782090175276476</v>
      </c>
      <c r="BH57" s="1565">
        <f>IF(ISERROR(MATCH($B57,'A1.3.2'!$B$27:$B$106,0)),"",(VLOOKUP($B57,'Forecast occupancies'!$C$28:$CP$64,58,TRUE) * VLOOKUP($B57, 'A1.3.2'!$B$27:$AY$106,37,)) * $CR$5)</f>
        <v>22.405765669562673</v>
      </c>
      <c r="BI57" s="1565">
        <f>IF(ISERROR(MATCH($B57,'A1.3.2'!$B$27:$B$106,0)),"",(VLOOKUP($B57,'Forecast occupancies'!$C$28:$CP$64,59,TRUE) * (VLOOKUP($B57,'A1.3.2'!$B$27:$AY$106,49,) * 'VoT5'!$J$29 + VLOOKUP($B57,'A1.3.2'!$B$27:$AY$106,50,) * 'VoT5'!$J$30) / (SUM('VoT5'!$J$29:$J$30))) * $CR$5)</f>
        <v>13.676939343396345</v>
      </c>
      <c r="BJ57" s="1566">
        <f>IF(ISERROR(MATCH($B57,'A1.3.2'!$B$27:$B$106,0)),"",(BH57*'VoT5'!$H$31 + BI57*'VoT5'!$H$32)/100)</f>
        <v>21.358306510422711</v>
      </c>
      <c r="BK57" s="1566">
        <f>IF(ISERROR(MATCH($B57,'A1.3.2'!$B$27:$B$106,0)),"",(VLOOKUP($B57,'Forecast occupancies'!$C$28:$CP$64,61,TRUE)*VLOOKUP($B57,'A1.3.2'!$B$27:$AY$106,38,)) * $CR$5)</f>
        <v>21.999488282807484</v>
      </c>
      <c r="BL57" s="1566">
        <f>IF(ISERROR(MATCH($B57,'A1.3.2'!$B$27:$B$106,0)),"",(VLOOKUP($B57,'Forecast occupancies'!$C$28:$CP$64,62,TRUE)*VLOOKUP($B57,'A1.3.2'!$B$27:$AY$106,38,)) * $CR$5)</f>
        <v>21.999488282807484</v>
      </c>
      <c r="BM57" s="1565">
        <f>IF(ISERROR(MATCH($B57,'A1.3.2'!$B$27:$B$106,0)),"",(((VLOOKUP($B57,'Forecast occupancies'!$C$28:$CP$64,63,TRUE) -1) * VLOOKUP($B57,'A1.3.2'!$B$27:$AY$106,40,)) + VLOOKUP($B57,'A1.3.2'!$B$27:$AY$106,39,)) * $CR$5)</f>
        <v>25.785060047443093</v>
      </c>
      <c r="BN57" s="1565">
        <f>IF(ISERROR(MATCH($B57,'A1.3.2'!$B$27:$B$106,0)),"",(VLOOKUP($B57,'Forecast occupancies'!$C$28:$CP$64,64,TRUE) * VLOOKUP($B57,'A1.3.2'!$B$27:$AY$106,49,)) * $CR$5)</f>
        <v>29.782859999863511</v>
      </c>
      <c r="BO57" s="1565">
        <f>IF(ISERROR(MATCH($B57,'A1.3.2'!$B$27:$B$106,0)),"",(VLOOKUP($B57,'Forecast occupancies'!$C$28:$CP$64,65,TRUE) * VLOOKUP($B57,'A1.3.2'!$B$27:$AY$106,50,)) * $CR$5)</f>
        <v>69.866684284629059</v>
      </c>
      <c r="BP57" s="1567">
        <f>IF(ISERROR(MATCH($B57,'A1.3.2'!$B$27:$B$106,0)),"",SUM(BM57:BO57))</f>
        <v>125.43460433193566</v>
      </c>
      <c r="BQ57" s="1565">
        <f>IF(ISERROR(MATCH($B57,'A1.3.2'!$B$27:$B$106,0)),"",(((VLOOKUP($B57,'Forecast occupancies'!$C$28:$CP$64,67,TRUE)-1)*VLOOKUP($B57,'A1.3.2'!$B$27:$AY$106,36,)+VLOOKUP($B57,'A1.3.2'!$B$27:$AY$106,35,))*$CR$5))</f>
        <v>35.608141012149005</v>
      </c>
      <c r="BR57" s="1565">
        <f>IF(ISERROR(MATCH($B57,'A1.3.2'!$B$27:$B$106,0)),"",VLOOKUP($B57,'Forecast occupancies'!$C$28:$CP$64,68,TRUE)*VLOOKUP($B57,'A1.3.2'!$B$27:$AY$106,49,)*$CR$5)</f>
        <v>18.418437731769938</v>
      </c>
      <c r="BS57" s="1565">
        <f>IF(ISERROR(MATCH($B57,'A1.3.2'!$B$27:$B$106,0)),"",VLOOKUP($B57,'Forecast occupancies'!$C$28:$CP$64,69,TRUE)*VLOOKUP($B57,'A1.3.2'!$B$27:$AY$106,50,)*$CR$5)</f>
        <v>14.764105267321055</v>
      </c>
      <c r="BT57" s="1566">
        <f>IF(ISERROR(MATCH($B57,'A1.3.2'!$B$27:$B$106,0)),"",(((BQ57*'VoT5'!$I$28)+(BR57*'VoT5'!$I$29)+(BS57*'VoT5'!$I$30))/100))</f>
        <v>15.776377568278168</v>
      </c>
      <c r="BU57" s="1565">
        <f>IF(ISERROR(MATCH($B57,'A1.3.2'!$B$27:$B$106,0)),"",(VLOOKUP($B57,'Forecast occupancies'!$C$28:$CP$64,71,TRUE) * VLOOKUP($B57, 'A1.3.2'!$B$27:$AY$106,37,)) * $CR$5)</f>
        <v>23.526053953040805</v>
      </c>
      <c r="BV57" s="1565">
        <f>IF(ISERROR(MATCH($B57,'A1.3.2'!$B$27:$B$106,0)),"",(VLOOKUP($B57,'Forecast occupancies'!$C$28:$CP$64,72,TRUE) * (VLOOKUP($B57,'A1.3.2'!$B$27:$AY$106,49,)*'VoT5'!$J$29 + VLOOKUP($B57,'A1.3.2'!$B$27:$AY$106,50,)*'VoT5'!$J$30) / (SUM('VoT5'!$J$29:$J$30))) * $CR$5)</f>
        <v>19.016566347325053</v>
      </c>
      <c r="BW57" s="1566">
        <f>IF(ISERROR(MATCH($B57,'A1.3.2'!$B$27:$B$106,0)),"",(BU57*'VoT5'!$I$31 + BV57*'VoT5'!$I$32)/100)</f>
        <v>22.984915440354911</v>
      </c>
      <c r="BX57" s="1566">
        <f>IF(ISERROR(MATCH($B57,'A1.3.2'!$B$27:$B$106,0)),"",(VLOOKUP($B57,'Forecast occupancies'!$C$28:$CP$64,74,TRUE)*VLOOKUP($B57,'A1.3.2'!$B$27:$AY$106,38,)) * $CR$5)</f>
        <v>21.999488282807484</v>
      </c>
      <c r="BY57" s="1566">
        <f>IF(ISERROR(MATCH($B57,'A1.3.2'!$B$27:$B$106,0)),"",(VLOOKUP($B57,'Forecast occupancies'!$C$28:$CP$64,75,TRUE)*VLOOKUP($B57,'A1.3.2'!$B$27:$AY$106,38,)) * $CR$5)</f>
        <v>21.999488282807484</v>
      </c>
      <c r="BZ57" s="1565">
        <f>IF(ISERROR(MATCH($B57,'A1.3.2'!$B$27:$B$106,0)),"",(((VLOOKUP($B57,'Forecast occupancies'!$C$28:$CP$64,76,TRUE) -1) * VLOOKUP($B57,'A1.3.2'!$B$27:$AY$106,40,)) + VLOOKUP($B57,'A1.3.2'!$B$27:$AY$106,39,)) * $CR$5)</f>
        <v>23.483338447420678</v>
      </c>
      <c r="CA57" s="1565">
        <f>IF(ISERROR(MATCH($B57,'A1.3.2'!$B$27:$B$106,0)),"",(VLOOKUP($B57,'Forecast occupancies'!$C$28:$CP$64,77,TRUE) * VLOOKUP($B57,'A1.3.2'!$B$27:$AY$106,49,)) * $CR$5)</f>
        <v>11.282896613751788</v>
      </c>
      <c r="CB57" s="1565">
        <f>IF(ISERROR(MATCH($B57,'A1.3.2'!$B$27:$B$106,0)),"",(VLOOKUP($B57,'Forecast occupancies'!$C$28:$CP$64,78,TRUE) * VLOOKUP($B57,'A1.3.2'!$B$27:$AY$106,50,)) * $CR$5)</f>
        <v>79.353762511315153</v>
      </c>
      <c r="CC57" s="1567">
        <f>IF(ISERROR(MATCH($B57,'A1.3.2'!$B$27:$B$106,0)),"",SUM(BZ57:CB57))</f>
        <v>114.11999757248762</v>
      </c>
      <c r="CD57" s="1565">
        <f>IF(ISERROR(MATCH($B57,'A1.3.2'!$B$27:$B$106,0)),"",(((VLOOKUP($B57,'Forecast occupancies'!$C$28:$CP$64,80,TRUE)-1)*VLOOKUP($B57,'A1.3.2'!$B$27:$AY$106,36,)+VLOOKUP($B57,'A1.3.2'!$B$27:$AY$106,35,))*$CR$5))</f>
        <v>31.472621461522941</v>
      </c>
      <c r="CE57" s="1565">
        <f>IF(ISERROR(MATCH($B57,'A1.3.2'!$B$27:$B$106,0)),"",VLOOKUP($B57,'Forecast occupancies'!$C$28:$CP$64,81,TRUE)*VLOOKUP($B57,'A1.3.2'!$B$27:$AY$106,49,)*$CR$5)</f>
        <v>17.479053680251155</v>
      </c>
      <c r="CF57" s="1565">
        <f>IF(ISERROR(MATCH($B57,'A1.3.2'!$B$27:$B$106,0)),"",VLOOKUP($B57,'Forecast occupancies'!$C$28:$CP$64,82,TRUE)*VLOOKUP($B57,'A1.3.2'!$B$27:$AY$106,50,)*$CR$5)</f>
        <v>13.279148202289422</v>
      </c>
      <c r="CG57" s="1566">
        <f>IF(ISERROR(MATCH($B57,'A1.3.2'!$B$27:$B$106,0)),"",(((CD57*'VoT5'!$J$28)+(CE57*'VoT5'!$J$29)+(CF57*'VoT5'!$J$30))/100))</f>
        <v>16.543640492357355</v>
      </c>
      <c r="CH57" s="1565">
        <f>IF(ISERROR(MATCH($B57,'A1.3.2'!$B$27:$B$106,0)),"",(VLOOKUP($B57,'Forecast occupancies'!$C$28:$CP$64,84,TRUE) * VLOOKUP($B57, 'A1.3.2'!$B$27:$AY$106,37,)) * $CR$5)</f>
        <v>22.405765669562673</v>
      </c>
      <c r="CI57" s="1565">
        <f>IF(ISERROR(MATCH($B57,'A1.3.2'!$B$27:$B$106,0)),"",(VLOOKUP($B57,'Forecast occupancies'!$C$28:$CP$64,85,TRUE) * (VLOOKUP($B57,'A1.3.2'!$B$27:$AY$106,49,)*'VoT5'!$J$29 + VLOOKUP($B57,'A1.3.2'!$B$27:$AY$106,50,)*'VoT5'!$J$30) / (SUM('VoT5'!$J$29:$J$30))) * $CR$5)</f>
        <v>14.894749010959034</v>
      </c>
      <c r="CJ57" s="1566">
        <f>IF(ISERROR(MATCH($B57,'A1.3.2'!$B$27:$B$106,0)),"",(CH57*'VoT5'!$J$31 + CI57*'VoT5'!$J$32)/100)</f>
        <v>21.504443670530236</v>
      </c>
      <c r="CK57" s="1566">
        <f>IF(ISERROR(MATCH($B57,'A1.3.2'!$B$27:$B$106,0)),"",(VLOOKUP($B57,'Forecast occupancies'!$C$28:$CP$64,87,TRUE)*VLOOKUP($B57,'A1.3.2'!$B$27:$AY$106,38,)) * $CR$5)</f>
        <v>21.999488282807484</v>
      </c>
      <c r="CL57" s="1566">
        <f>IF(ISERROR(MATCH($B57,'A1.3.2'!$B$27:$B$106,0)),"",(VLOOKUP($B57,'Forecast occupancies'!$C$28:$CP$64,88,TRUE)*VLOOKUP($B57,'A1.3.2'!$B$27:$AY$106,38,)) * $CR$5)</f>
        <v>21.999488282807484</v>
      </c>
      <c r="CM57" s="1565">
        <f>IF(ISERROR(MATCH($B57,'A1.3.2'!$B$27:$B$106,0)),"",(((VLOOKUP($B57,'Forecast occupancies'!$C$28:$CP$64,89,TRUE) -1) * VLOOKUP($B57,'A1.3.2'!$B$27:$AY$106,40,)) + VLOOKUP($B57,'A1.3.2'!$B$27:$AY$106,39,)) * $CR$5)</f>
        <v>25.216670843379216</v>
      </c>
      <c r="CN57" s="1565">
        <f>IF(ISERROR(MATCH($B57,'A1.3.2'!$B$27:$B$106,0)),"",(VLOOKUP($B57,'Forecast occupancies'!$C$28:$CP$64,90,TRUE) * VLOOKUP($B57,'A1.3.2'!$B$27:$AY$106,49,)) * $CR$5)</f>
        <v>25.213582007387902</v>
      </c>
      <c r="CO57" s="1565">
        <f>IF(ISERROR(MATCH($B57,'A1.3.2'!$B$27:$B$106,0)),"",(VLOOKUP($B57,'Forecast occupancies'!$C$28:$CP$64,91,TRUE) * VLOOKUP($B57,'A1.3.2'!$B$27:$AY$106,50,)) * $CR$5)</f>
        <v>72.209833754223069</v>
      </c>
      <c r="CP57" s="1567">
        <f>IF(ISERROR(MATCH($B57,'A1.3.2'!$B$27:$B$106,0)),"",SUM(CM57:CO57))</f>
        <v>122.64008660499019</v>
      </c>
    </row>
    <row r="58" spans="1:94" s="26" customFormat="1" ht="13.5" customHeight="1">
      <c r="A58" s="113"/>
      <c r="B58" s="82">
        <f t="shared" si="0"/>
        <v>2040</v>
      </c>
      <c r="D58" s="1609">
        <f>IF(ISERROR(MATCH($B58,'A1.3.2'!$B$27:$B$106,0)),"",(((VLOOKUP($B58,'Forecast occupancies'!$C$28:$CP$64,2,TRUE) -1) * VLOOKUP($B58,'A1.3.2'!$B$27:$AY$106,36,) + VLOOKUP($B58,'A1.3.2'!$B$27:$AY$106,35,)) * $CR$5))</f>
        <v>31.255489787316463</v>
      </c>
      <c r="E58" s="1565">
        <f>IF(ISERROR(MATCH($B58,'A1.3.2'!$B$27:$B$106,0)),"",VLOOKUP($B58,'Forecast occupancies'!$C$28:$CP$64,3,TRUE)*VLOOKUP($B58,'A1.3.2'!$B$27:$AY$106,49,)*$CR$5)</f>
        <v>17.614060027468685</v>
      </c>
      <c r="F58" s="1565">
        <f>IF(ISERROR(MATCH($B58,'A1.3.2'!$B$27:$B$106,0)),"",VLOOKUP($B58,'Forecast occupancies'!$C$28:$CP$64,4,TRUE)*VLOOKUP($B58,'A1.3.2'!$B$27:$AY$106,50,)*$CR$5)</f>
        <v>12.152336802867817</v>
      </c>
      <c r="G58" s="1566">
        <f>IF(ISERROR(MATCH($B58,'A1.3.2'!$B$27:$B$106,0)),"",(((D58*'VoT5'!$D$28)+(E58*'VoT5'!$D$29)+(F58*'VoT5'!$D$30))/100))</f>
        <v>17.703263243850685</v>
      </c>
      <c r="H58" s="1565">
        <f>IF(ISERROR(MATCH($B58,'A1.3.2'!$B$27:$B$106,0)),"",(VLOOKUP($B58,'Forecast occupancies'!$C$28:$CP$64,6,TRUE) * VLOOKUP($B58, 'A1.3.2'!$B$27:$AY$106,37,)) * $CR$5)</f>
        <v>22.841795902466366</v>
      </c>
      <c r="I58" s="1565">
        <f>IF(ISERROR(MATCH($B58,'A1.3.2'!$B$27:$B$106,0)),"",VLOOKUP($B58,'Forecast occupancies'!$C$28:$CP$64,7,TRUE) * ('VoT5'!$J$29*VLOOKUP($B58, 'A1.3.2'!$B$27:$AY$106,49,)+'VoT5'!$J$30*VLOOKUP($B58, 'A1.3.2'!$B$27:$AY$106,50,))/('VoT5'!$J$29+'VoT5'!$J$30) * $CR$5)</f>
        <v>13.943101149034263</v>
      </c>
      <c r="J58" s="1566">
        <f>IF(ISERROR(MATCH($B58,'A1.3.2'!$B$27:$B$106,0)),"",(H58*'VoT5'!$D$31 + I58*'VoT5'!$D$32)/100)</f>
        <v>21.773952532054512</v>
      </c>
      <c r="K58" s="1566">
        <f>IF(ISERROR(MATCH($B58,'A1.3.2'!$B$27:$B$106,0)),"",(VLOOKUP($B58,'Forecast occupancies'!$C$28:$CP$64,9,TRUE)*VLOOKUP($B58,'A1.3.2'!$B$27:$AY$106,38,)) * $CR$5)</f>
        <v>22.427612103308988</v>
      </c>
      <c r="L58" s="1566">
        <f>IF(ISERROR(MATCH($B58,'A1.3.2'!$B$27:$B$106,0)),"",(VLOOKUP($B58,'Forecast occupancies'!$C$28:$CP$64,10,TRUE)*VLOOKUP($B58,'A1.3.2'!$B$27:$AY$106,38,)) * $CR$5)</f>
        <v>22.427612103308988</v>
      </c>
      <c r="M58" s="1565">
        <f>IF(ISERROR(MATCH($B58,'A1.3.2'!$B$27:$B$106,0)),"",(((VLOOKUP($B58,'Forecast occupancies'!$C$28:$CP$64,11,TRUE) -1) * VLOOKUP($B58,'A1.3.2'!$B$27:$AY$106,40,)) + VLOOKUP($B58,'A1.3.2'!$B$27:$AY$106,39,)) * $CR$5)</f>
        <v>25.556466762597157</v>
      </c>
      <c r="N58" s="1565">
        <f>IF(ISERROR(MATCH($B58,'A1.3.2'!$B$27:$B$106,0)),"",(VLOOKUP($B58,'Forecast occupancies'!$C$28:$CP$64,12,TRUE) * VLOOKUP($B58,'A1.3.2'!$B$27:$AY$106,49,)) * $CR$5)</f>
        <v>34.98489132283116</v>
      </c>
      <c r="O58" s="1565">
        <f>IF(ISERROR(MATCH($B58,'A1.3.2'!$B$27:$B$106,0)),"",(VLOOKUP($B58,'Forecast occupancies'!$C$28:$CP$64,13,TRUE) * VLOOKUP($B58,'A1.3.2'!$B$27:$AY$106,50,)) * $CR$5)</f>
        <v>69.447525300288262</v>
      </c>
      <c r="P58" s="1567">
        <f>IF(ISERROR(MATCH($B58,'A1.3.2'!$B$27:$B$106,0)),"",SUM(M58:O58))</f>
        <v>129.98888338571658</v>
      </c>
      <c r="Q58" s="1609">
        <f>IF(ISERROR(MATCH($B58,'A1.3.2'!$B$27:$B$106,0)),"",(((VLOOKUP($B58,'Forecast occupancies'!$C$28:$CP$64,15,TRUE)-1)*VLOOKUP($B58,'A1.3.2'!$B$27:$AY$106,36,)+VLOOKUP($B58,'A1.3.2'!$B$27:$AY$106,35,))*$CR$5))</f>
        <v>32.028207079139378</v>
      </c>
      <c r="R58" s="1565">
        <f>IF(ISERROR(MATCH($B58,'A1.3.2'!$B$27:$B$106,0)),"",VLOOKUP($B58,'Forecast occupancies'!$C$28:$CP$64,16,TRUE)*VLOOKUP($B58,'A1.3.2'!$B$27:$AY$106,49,)*$CR$5)</f>
        <v>17.900466286031957</v>
      </c>
      <c r="S58" s="1565">
        <f>IF(ISERROR(MATCH($B58,'A1.3.2'!$B$27:$B$106,0)),"",VLOOKUP($B58,'Forecast occupancies'!$C$28:$CP$64,17,TRUE)*VLOOKUP($B58,'A1.3.2'!$B$27:$AY$106,50,)*$CR$5)</f>
        <v>12.945109321317959</v>
      </c>
      <c r="T58" s="1566">
        <f>IF(ISERROR(MATCH($B58,'A1.3.2'!$B$27:$B$106,0)),"",(((Q58*'VoT5'!$E$28)+(R58*'VoT5'!$E$29)+(S58*'VoT5'!$E$30))/100))</f>
        <v>16.67310386499069</v>
      </c>
      <c r="U58" s="1565">
        <f>IF(ISERROR(MATCH($B58,'A1.3.2'!$B$27:$B$106,0)),"",(VLOOKUP($B58,'Forecast occupancies'!$C$28:$CP$64,19,TRUE) * VLOOKUP($B58, 'A1.3.2'!$B$27:$AY$106,37,)) * $CR$5)</f>
        <v>22.841795902466366</v>
      </c>
      <c r="V58" s="1565">
        <f>IF(ISERROR(MATCH($B58,'A1.3.2'!$B$27:$B$106,0)),"",VLOOKUP($B58,'Forecast occupancies'!$C$28:$CP$64,20,TRUE) * ('VoT5'!$J$29*VLOOKUP($B58, 'A1.3.2'!$B$27:$AY$106,49,)+'VoT5'!$J$30*VLOOKUP($B58, 'A1.3.2'!$B$27:$AY$106,50,))/('VoT5'!$J$29+'VoT5'!$J$30) * $CR$5)</f>
        <v>13.943101149034263</v>
      </c>
      <c r="W58" s="1566">
        <f>IF(ISERROR(MATCH($B58,'A1.3.2'!$B$27:$B$106,0)),"",(U58*'VoT5'!$E$31 + V58*'VoT5'!$E$32)/100)</f>
        <v>21.773952532054512</v>
      </c>
      <c r="X58" s="1566">
        <f>IF(ISERROR(MATCH($B58,'A1.3.2'!$B$27:$B$106,0)),"",(VLOOKUP($B58,'Forecast occupancies'!$C$28:$CP$64,22,TRUE)*VLOOKUP($B58,'A1.3.2'!$B$27:$AY$106,38,)) * $CR$5)</f>
        <v>22.427612103308988</v>
      </c>
      <c r="Y58" s="1566">
        <f>IF(ISERROR(MATCH($B58,'A1.3.2'!$B$27:$B$106,0)),"",(VLOOKUP($B58,'Forecast occupancies'!$C$28:$CP$64,23,TRUE)*VLOOKUP($B58,'A1.3.2'!$B$27:$AY$106,38,)) * $CR$5)</f>
        <v>22.427612103308988</v>
      </c>
      <c r="Z58" s="1565">
        <f>IF(ISERROR(MATCH($B58,'A1.3.2'!$B$27:$B$106,0)),"",(((VLOOKUP($B58,'Forecast occupancies'!$C$28:$CP$64,24,TRUE) -1) * VLOOKUP($B58,'A1.3.2'!$B$27:$AY$106,40,)) + VLOOKUP($B58,'A1.3.2'!$B$27:$AY$106,39,)) * $CR$5)</f>
        <v>26.078096975971341</v>
      </c>
      <c r="AA58" s="1565">
        <f>IF(ISERROR(MATCH($B58,'A1.3.2'!$B$27:$B$106,0)),"",(VLOOKUP($B58,'Forecast occupancies'!$C$28:$CP$64,25,TRUE) * VLOOKUP($B58,'A1.3.2'!$B$27:$AY$106,49,)) * $CR$5)</f>
        <v>12.261091136562012</v>
      </c>
      <c r="AB58" s="1565">
        <f>IF(ISERROR(MATCH($B58,'A1.3.2'!$B$27:$B$106,0)),"",(VLOOKUP($B58,'Forecast occupancies'!$C$28:$CP$64,26,TRUE) * VLOOKUP($B58,'A1.3.2'!$B$27:$AY$106,50,)) * $CR$5)</f>
        <v>79.582946944933852</v>
      </c>
      <c r="AC58" s="1567">
        <f>IF(ISERROR(MATCH($B58,'A1.3.2'!$B$27:$B$106,0)),"",SUM(Z58:AB58))</f>
        <v>117.9221350574672</v>
      </c>
      <c r="AD58" s="1609">
        <f>IF(ISERROR(MATCH($B58,'A1.3.2'!$B$27:$B$106,0)),"",(((VLOOKUP($B58,'Forecast occupancies'!$C$28:$CP$64,28,TRUE)-1)*VLOOKUP($B58,'A1.3.2'!$B$27:$AY$106,36,)+VLOOKUP($B58,'A1.3.2'!$B$27:$AY$106,35,))*$CR$5))</f>
        <v>31.706554189212479</v>
      </c>
      <c r="AE58" s="1565">
        <f>IF(ISERROR(MATCH($B58,'A1.3.2'!$B$27:$B$106,0)),"",VLOOKUP($B58,'Forecast occupancies'!$C$28:$CP$64,29,TRUE)*VLOOKUP($B58,'A1.3.2'!$B$27:$AY$106,49,)*$CR$5)</f>
        <v>17.674817208852879</v>
      </c>
      <c r="AF58" s="1565">
        <f>IF(ISERROR(MATCH($B58,'A1.3.2'!$B$27:$B$106,0)),"",VLOOKUP($B58,'Forecast occupancies'!$C$28:$CP$64,30,TRUE)*VLOOKUP($B58,'A1.3.2'!$B$27:$AY$106,50,)*$CR$5)</f>
        <v>12.72602040472654</v>
      </c>
      <c r="AG58" s="1566">
        <f>IF(ISERROR(MATCH($B58,'A1.3.2'!$B$27:$B$106,0)),"",(((AD58*'VoT5'!$F$28)+(AE58*'VoT5'!$F$29)+(AF58*'VoT5'!$F$30))/100))</f>
        <v>17.009201684475396</v>
      </c>
      <c r="AH58" s="1565">
        <f>IF(ISERROR(MATCH($B58,'A1.3.2'!$B$27:$B$106,0)),"",(VLOOKUP($B58,'Forecast occupancies'!$C$28:$CP$64,32,TRUE) * VLOOKUP($B58, 'A1.3.2'!$B$27:$AY$106,37,)) * $CR$5)</f>
        <v>22.841795902466366</v>
      </c>
      <c r="AI58" s="1565">
        <f>IF(ISERROR(MATCH($B58,'A1.3.2'!$B$27:$B$106,0)),"",VLOOKUP($B58,'Forecast occupancies'!$C$28:$CP$64,33,TRUE) * ('VoT5'!$J$29*VLOOKUP($B58, 'A1.3.2'!$B$27:$AY$106,49,)+'VoT5'!$J$30*VLOOKUP($B58, 'A1.3.2'!$B$27:$AY$106,50,))/('VoT5'!$J$29+'VoT5'!$J$30) * $CR$5)</f>
        <v>13.943101149034263</v>
      </c>
      <c r="AJ58" s="1566">
        <f>IF(ISERROR(MATCH($B58,'A1.3.2'!$B$27:$B$106,0)),"",(AH58*'VoT5'!$F$31 + AI58*'VoT5'!$F$32)/100)</f>
        <v>21.773952532054512</v>
      </c>
      <c r="AK58" s="1566">
        <f>IF(ISERROR(MATCH($B58,'A1.3.2'!$B$27:$B$106,0)),"",(VLOOKUP($B58,'Forecast occupancies'!$C$28:$CP$64,35,TRUE)*VLOOKUP($B58,'A1.3.2'!$B$27:$AY$106,38,)) * $CR$5)</f>
        <v>22.427612103308988</v>
      </c>
      <c r="AL58" s="1566">
        <f>IF(ISERROR(MATCH($B58,'A1.3.2'!$B$27:$B$106,0)),"",(VLOOKUP($B58,'Forecast occupancies'!$C$28:$CP$64,36,TRUE)*VLOOKUP($B58,'A1.3.2'!$B$27:$AY$106,38,)) * $CR$5)</f>
        <v>22.427612103308988</v>
      </c>
      <c r="AM58" s="1565">
        <f>IF(ISERROR(MATCH($B58,'A1.3.2'!$B$27:$B$106,0)),"",(((VLOOKUP($B58,'Forecast occupancies'!$C$28:$CP$64,37,TRUE) -1) * VLOOKUP($B58,'A1.3.2'!$B$27:$AY$106,40,)) + VLOOKUP($B58,'A1.3.2'!$B$27:$AY$106,39,)) * $CR$5)</f>
        <v>27.285175881965326</v>
      </c>
      <c r="AN58" s="1565">
        <f>IF(ISERROR(MATCH($B58,'A1.3.2'!$B$27:$B$106,0)),"",(VLOOKUP($B58,'Forecast occupancies'!$C$28:$CP$64,38,TRUE) * VLOOKUP($B58,'A1.3.2'!$B$27:$AY$106,49,)) * $CR$5)</f>
        <v>49.201965084471531</v>
      </c>
      <c r="AO58" s="1565">
        <f>IF(ISERROR(MATCH($B58,'A1.3.2'!$B$27:$B$106,0)),"",(VLOOKUP($B58,'Forecast occupancies'!$C$28:$CP$64,39,TRUE) * VLOOKUP($B58,'A1.3.2'!$B$27:$AY$106,50,)) * $CR$5)</f>
        <v>62.17497556547994</v>
      </c>
      <c r="AP58" s="1567">
        <f>IF(ISERROR(MATCH($B58,'A1.3.2'!$B$27:$B$106,0)),"",SUM(AM58:AO58))</f>
        <v>138.66211653191681</v>
      </c>
      <c r="AQ58" s="1609">
        <f>IF(ISERROR(MATCH($B58,'A1.3.2'!$B$27:$B$106,0)),"",(((VLOOKUP($B58,'Forecast occupancies'!$C$28:$CP$64,41,TRUE)-1)*VLOOKUP($B58,'A1.3.2'!$B$27:$AY$106,36,)+VLOOKUP($B58,'A1.3.2'!$B$27:$AY$106,35,))*$CR$5))</f>
        <v>32.306461921019284</v>
      </c>
      <c r="AR58" s="1565">
        <f>IF(ISERROR(MATCH($B58,'A1.3.2'!$B$27:$B$106,0)),"",VLOOKUP($B58,'Forecast occupancies'!$C$28:$CP$64,42,TRUE)*VLOOKUP($B58,'A1.3.2'!$B$27:$AY$106,49,)*$CR$5)</f>
        <v>17.933504992005762</v>
      </c>
      <c r="AS58" s="1565">
        <f>IF(ISERROR(MATCH($B58,'A1.3.2'!$B$27:$B$106,0)),"",VLOOKUP($B58,'Forecast occupancies'!$C$28:$CP$64,43,TRUE)*VLOOKUP($B58,'A1.3.2'!$B$27:$AY$106,50,)*$CR$5)</f>
        <v>12.680585721315728</v>
      </c>
      <c r="AT58" s="1566">
        <f>IF(ISERROR(MATCH($B58,'A1.3.2'!$B$27:$B$106,0)),"",(((AQ58*'VoT5'!$G$28)+(AR58*'VoT5'!$G$29)+(AS58*'VoT5'!$G$30))/100))</f>
        <v>17.232784236348543</v>
      </c>
      <c r="AU58" s="1565">
        <f>IF(ISERROR(MATCH($B58,'A1.3.2'!$B$27:$B$106,0)),"",(VLOOKUP($B58,'Forecast occupancies'!$C$28:$CP$64,45,TRUE) * VLOOKUP($B58, 'A1.3.2'!$B$27:$AY$106,37,)) * $CR$5)</f>
        <v>22.841795902466366</v>
      </c>
      <c r="AV58" s="1565">
        <f>IF(ISERROR(MATCH($B58,'A1.3.2'!$B$27:$B$106,0)),"",VLOOKUP($B58,'Forecast occupancies'!$C$28:$CP$64,46,TRUE) * ('VoT5'!$J$29*VLOOKUP($B58, 'A1.3.2'!$B$27:$AY$106,49,)+'VoT5'!$J$30*VLOOKUP($B58, 'A1.3.2'!$B$27:$AY$106,50,))/('VoT5'!$J$29+'VoT5'!$J$30) * $CR$5)</f>
        <v>13.943101149034263</v>
      </c>
      <c r="AW58" s="1566">
        <f>IF(ISERROR(MATCH($B58,'A1.3.2'!$B$27:$B$106,0)),"",(AU58*'VoT5'!$G$31 + AV58*'VoT5'!$G$32)/100)</f>
        <v>21.773952532054512</v>
      </c>
      <c r="AX58" s="1566">
        <f>IF(ISERROR(MATCH($B58,'A1.3.2'!$B$27:$B$106,0)),"",(VLOOKUP($B58,'Forecast occupancies'!$C$28:$CP$64,48,TRUE)*VLOOKUP($B58,'A1.3.2'!$B$27:$AY$106,38,)) * $CR$5)</f>
        <v>22.427612103308988</v>
      </c>
      <c r="AY58" s="1566">
        <f>IF(ISERROR(MATCH($B58,'A1.3.2'!$B$27:$B$106,0)),"",(VLOOKUP($B58,'Forecast occupancies'!$C$28:$CP$64,49,TRUE)*VLOOKUP($B58,'A1.3.2'!$B$27:$AY$106,38,)) * $CR$5)</f>
        <v>22.427612103308988</v>
      </c>
      <c r="AZ58" s="1565">
        <f>IF(ISERROR(MATCH($B58,'A1.3.2'!$B$27:$B$106,0)),"",(((VLOOKUP($B58,'Forecast occupancies'!$C$28:$CP$64,50,TRUE) -1) * VLOOKUP($B58,'A1.3.2'!$B$27:$AY$106,40,)) + VLOOKUP($B58,'A1.3.2'!$B$27:$AY$106,39,)) * $CR$5)</f>
        <v>27.263111092762994</v>
      </c>
      <c r="BA58" s="1565">
        <f>IF(ISERROR(MATCH($B58,'A1.3.2'!$B$27:$B$106,0)),"",(VLOOKUP($B58,'Forecast occupancies'!$C$28:$CP$64,51,TRUE) * VLOOKUP($B58,'A1.3.2'!$B$27:$AY$106,49,)) * $CR$5)</f>
        <v>67.257864116487553</v>
      </c>
      <c r="BB58" s="1565">
        <f>IF(ISERROR(MATCH($B58,'A1.3.2'!$B$27:$B$106,0)),"",(VLOOKUP($B58,'Forecast occupancies'!$C$28:$CP$64,52,TRUE) * VLOOKUP($B58,'A1.3.2'!$B$27:$AY$106,50,)) * $CR$5)</f>
        <v>53.943721145429286</v>
      </c>
      <c r="BC58" s="1567">
        <f>IF(ISERROR(MATCH($B58,'A1.3.2'!$B$27:$B$106,0)),"",SUM(AZ58:BB58))</f>
        <v>148.46469635467983</v>
      </c>
      <c r="BD58" s="1565">
        <f>IF(ISERROR(MATCH($B58,'A1.3.2'!$B$27:$B$106,0)),"",(((VLOOKUP($B58,'Forecast occupancies'!$C$28:$CP$64,54,TRUE)-1)*VLOOKUP($B58,'A1.3.2'!$B$27:$AY$106,36,)+VLOOKUP($B58,'A1.3.2'!$B$27:$AY$106,35,))*$CR$5))</f>
        <v>31.762969337957408</v>
      </c>
      <c r="BE58" s="1565">
        <f>IF(ISERROR(MATCH($B58,'A1.3.2'!$B$27:$B$106,0)),"",VLOOKUP($B58,'Forecast occupancies'!$C$28:$CP$64,55,TRUE)*VLOOKUP($B58,'A1.3.2'!$B$27:$AY$106,49,)*$CR$5)</f>
        <v>17.734911734571188</v>
      </c>
      <c r="BF58" s="1565">
        <f>IF(ISERROR(MATCH($B58,'A1.3.2'!$B$27:$B$106,0)),"",VLOOKUP($B58,'Forecast occupancies'!$C$28:$CP$64,56,TRUE)*VLOOKUP($B58,'A1.3.2'!$B$27:$AY$106,50,)*$CR$5)</f>
        <v>12.7120925354189</v>
      </c>
      <c r="BG58" s="1566">
        <f>IF(ISERROR(MATCH($B58,'A1.3.2'!$B$27:$B$106,0)),"",(((BD58*'VoT5'!$H$28)+(BE58*'VoT5'!$H$29)+(BF58*'VoT5'!$H$30))/100))</f>
        <v>17.108680160892419</v>
      </c>
      <c r="BH58" s="1565">
        <f>IF(ISERROR(MATCH($B58,'A1.3.2'!$B$27:$B$106,0)),"",(VLOOKUP($B58,'Forecast occupancies'!$C$28:$CP$64,58,TRUE) * VLOOKUP($B58, 'A1.3.2'!$B$27:$AY$106,37,)) * $CR$5)</f>
        <v>22.841795902466366</v>
      </c>
      <c r="BI58" s="1565">
        <f>IF(ISERROR(MATCH($B58,'A1.3.2'!$B$27:$B$106,0)),"",(VLOOKUP($B58,'Forecast occupancies'!$C$28:$CP$64,59,TRUE) * (VLOOKUP($B58,'A1.3.2'!$B$27:$AY$106,49,) * 'VoT5'!$J$29 + VLOOKUP($B58,'A1.3.2'!$B$27:$AY$106,50,) * 'VoT5'!$J$30) / (SUM('VoT5'!$J$29:$J$30))) * $CR$5)</f>
        <v>13.943101149034263</v>
      </c>
      <c r="BJ58" s="1566">
        <f>IF(ISERROR(MATCH($B58,'A1.3.2'!$B$27:$B$106,0)),"",(BH58*'VoT5'!$H$31 + BI58*'VoT5'!$H$32)/100)</f>
        <v>21.773952532054512</v>
      </c>
      <c r="BK58" s="1566">
        <f>IF(ISERROR(MATCH($B58,'A1.3.2'!$B$27:$B$106,0)),"",(VLOOKUP($B58,'Forecast occupancies'!$C$28:$CP$64,61,TRUE)*VLOOKUP($B58,'A1.3.2'!$B$27:$AY$106,38,)) * $CR$5)</f>
        <v>22.427612103308988</v>
      </c>
      <c r="BL58" s="1566">
        <f>IF(ISERROR(MATCH($B58,'A1.3.2'!$B$27:$B$106,0)),"",(VLOOKUP($B58,'Forecast occupancies'!$C$28:$CP$64,62,TRUE)*VLOOKUP($B58,'A1.3.2'!$B$27:$AY$106,38,)) * $CR$5)</f>
        <v>22.427612103308988</v>
      </c>
      <c r="BM58" s="1565">
        <f>IF(ISERROR(MATCH($B58,'A1.3.2'!$B$27:$B$106,0)),"",(((VLOOKUP($B58,'Forecast occupancies'!$C$28:$CP$64,63,TRUE) -1) * VLOOKUP($B58,'A1.3.2'!$B$27:$AY$106,40,)) + VLOOKUP($B58,'A1.3.2'!$B$27:$AY$106,39,)) * $CR$5)</f>
        <v>26.286853465429044</v>
      </c>
      <c r="BN58" s="1565">
        <f>IF(ISERROR(MATCH($B58,'A1.3.2'!$B$27:$B$106,0)),"",(VLOOKUP($B58,'Forecast occupancies'!$C$28:$CP$64,64,TRUE) * VLOOKUP($B58,'A1.3.2'!$B$27:$AY$106,49,)) * $CR$5)</f>
        <v>30.362453108789037</v>
      </c>
      <c r="BO58" s="1565">
        <f>IF(ISERROR(MATCH($B58,'A1.3.2'!$B$27:$B$106,0)),"",(VLOOKUP($B58,'Forecast occupancies'!$C$28:$CP$64,65,TRUE) * VLOOKUP($B58,'A1.3.2'!$B$27:$AY$106,50,)) * $CR$5)</f>
        <v>71.226333719069956</v>
      </c>
      <c r="BP58" s="1567">
        <f>IF(ISERROR(MATCH($B58,'A1.3.2'!$B$27:$B$106,0)),"",SUM(BM58:BO58))</f>
        <v>127.87564029328803</v>
      </c>
      <c r="BQ58" s="1565">
        <f>IF(ISERROR(MATCH($B58,'A1.3.2'!$B$27:$B$106,0)),"",(((VLOOKUP($B58,'Forecast occupancies'!$C$28:$CP$64,67,TRUE)-1)*VLOOKUP($B58,'A1.3.2'!$B$27:$AY$106,36,)+VLOOKUP($B58,'A1.3.2'!$B$27:$AY$106,35,))*$CR$5))</f>
        <v>36.30109773801027</v>
      </c>
      <c r="BR58" s="1565">
        <f>IF(ISERROR(MATCH($B58,'A1.3.2'!$B$27:$B$106,0)),"",VLOOKUP($B58,'Forecast occupancies'!$C$28:$CP$64,68,TRUE)*VLOOKUP($B58,'A1.3.2'!$B$27:$AY$106,49,)*$CR$5)</f>
        <v>18.776872065697461</v>
      </c>
      <c r="BS58" s="1565">
        <f>IF(ISERROR(MATCH($B58,'A1.3.2'!$B$27:$B$106,0)),"",VLOOKUP($B58,'Forecast occupancies'!$C$28:$CP$64,69,TRUE)*VLOOKUP($B58,'A1.3.2'!$B$27:$AY$106,50,)*$CR$5)</f>
        <v>15.051424002742353</v>
      </c>
      <c r="BT58" s="1566">
        <f>IF(ISERROR(MATCH($B58,'A1.3.2'!$B$27:$B$106,0)),"",(((BQ58*'VoT5'!$I$28)+(BR58*'VoT5'!$I$29)+(BS58*'VoT5'!$I$30))/100))</f>
        <v>16.083395756673209</v>
      </c>
      <c r="BU58" s="1565">
        <f>IF(ISERROR(MATCH($B58,'A1.3.2'!$B$27:$B$106,0)),"",(VLOOKUP($B58,'Forecast occupancies'!$C$28:$CP$64,71,TRUE) * VLOOKUP($B58, 'A1.3.2'!$B$27:$AY$106,37,)) * $CR$5)</f>
        <v>23.983885697589685</v>
      </c>
      <c r="BV58" s="1565">
        <f>IF(ISERROR(MATCH($B58,'A1.3.2'!$B$27:$B$106,0)),"",(VLOOKUP($B58,'Forecast occupancies'!$C$28:$CP$64,72,TRUE) * (VLOOKUP($B58,'A1.3.2'!$B$27:$AY$106,49,)*'VoT5'!$J$29 + VLOOKUP($B58,'A1.3.2'!$B$27:$AY$106,50,)*'VoT5'!$J$30) / (SUM('VoT5'!$J$29:$J$30))) * $CR$5)</f>
        <v>19.386640638725719</v>
      </c>
      <c r="BW58" s="1566">
        <f>IF(ISERROR(MATCH($B58,'A1.3.2'!$B$27:$B$106,0)),"",(BU58*'VoT5'!$I$31 + BV58*'VoT5'!$I$32)/100)</f>
        <v>23.432216290526007</v>
      </c>
      <c r="BX58" s="1566">
        <f>IF(ISERROR(MATCH($B58,'A1.3.2'!$B$27:$B$106,0)),"",(VLOOKUP($B58,'Forecast occupancies'!$C$28:$CP$64,74,TRUE)*VLOOKUP($B58,'A1.3.2'!$B$27:$AY$106,38,)) * $CR$5)</f>
        <v>22.427612103308988</v>
      </c>
      <c r="BY58" s="1566">
        <f>IF(ISERROR(MATCH($B58,'A1.3.2'!$B$27:$B$106,0)),"",(VLOOKUP($B58,'Forecast occupancies'!$C$28:$CP$64,75,TRUE)*VLOOKUP($B58,'A1.3.2'!$B$27:$AY$106,38,)) * $CR$5)</f>
        <v>22.427612103308988</v>
      </c>
      <c r="BZ58" s="1565">
        <f>IF(ISERROR(MATCH($B58,'A1.3.2'!$B$27:$B$106,0)),"",(((VLOOKUP($B58,'Forecast occupancies'!$C$28:$CP$64,76,TRUE) -1) * VLOOKUP($B58,'A1.3.2'!$B$27:$AY$106,40,)) + VLOOKUP($B58,'A1.3.2'!$B$27:$AY$106,39,)) * $CR$5)</f>
        <v>23.940338921476997</v>
      </c>
      <c r="CA58" s="1565">
        <f>IF(ISERROR(MATCH($B58,'A1.3.2'!$B$27:$B$106,0)),"",(VLOOKUP($B58,'Forecast occupancies'!$C$28:$CP$64,77,TRUE) * VLOOKUP($B58,'A1.3.2'!$B$27:$AY$106,49,)) * $CR$5)</f>
        <v>11.502468848455898</v>
      </c>
      <c r="CB58" s="1565">
        <f>IF(ISERROR(MATCH($B58,'A1.3.2'!$B$27:$B$106,0)),"",(VLOOKUP($B58,'Forecast occupancies'!$C$28:$CP$64,78,TRUE) * VLOOKUP($B58,'A1.3.2'!$B$27:$AY$106,50,)) * $CR$5)</f>
        <v>80.898036429907322</v>
      </c>
      <c r="CC58" s="1567">
        <f>IF(ISERROR(MATCH($B58,'A1.3.2'!$B$27:$B$106,0)),"",SUM(BZ58:CB58))</f>
        <v>116.34084419984022</v>
      </c>
      <c r="CD58" s="1565">
        <f>IF(ISERROR(MATCH($B58,'A1.3.2'!$B$27:$B$106,0)),"",(((VLOOKUP($B58,'Forecast occupancies'!$C$28:$CP$64,80,TRUE)-1)*VLOOKUP($B58,'A1.3.2'!$B$27:$AY$106,36,)+VLOOKUP($B58,'A1.3.2'!$B$27:$AY$106,35,))*$CR$5))</f>
        <v>32.085098386808291</v>
      </c>
      <c r="CE58" s="1565">
        <f>IF(ISERROR(MATCH($B58,'A1.3.2'!$B$27:$B$106,0)),"",VLOOKUP($B58,'Forecast occupancies'!$C$28:$CP$64,81,TRUE)*VLOOKUP($B58,'A1.3.2'!$B$27:$AY$106,49,)*$CR$5)</f>
        <v>17.819207012189704</v>
      </c>
      <c r="CF58" s="1565">
        <f>IF(ISERROR(MATCH($B58,'A1.3.2'!$B$27:$B$106,0)),"",VLOOKUP($B58,'Forecast occupancies'!$C$28:$CP$64,82,TRUE)*VLOOKUP($B58,'A1.3.2'!$B$27:$AY$106,50,)*$CR$5)</f>
        <v>13.537568743180493</v>
      </c>
      <c r="CG58" s="1566">
        <f>IF(ISERROR(MATCH($B58,'A1.3.2'!$B$27:$B$106,0)),"",(((CD58*'VoT5'!$J$28)+(CE58*'VoT5'!$J$29)+(CF58*'VoT5'!$J$30))/100))</f>
        <v>16.865590097800069</v>
      </c>
      <c r="CH58" s="1565">
        <f>IF(ISERROR(MATCH($B58,'A1.3.2'!$B$27:$B$106,0)),"",(VLOOKUP($B58,'Forecast occupancies'!$C$28:$CP$64,84,TRUE) * VLOOKUP($B58, 'A1.3.2'!$B$27:$AY$106,37,)) * $CR$5)</f>
        <v>22.841795902466366</v>
      </c>
      <c r="CI58" s="1565">
        <f>IF(ISERROR(MATCH($B58,'A1.3.2'!$B$27:$B$106,0)),"",(VLOOKUP($B58,'Forecast occupancies'!$C$28:$CP$64,85,TRUE) * (VLOOKUP($B58,'A1.3.2'!$B$27:$AY$106,49,)*'VoT5'!$J$29 + VLOOKUP($B58,'A1.3.2'!$B$27:$AY$106,50,)*'VoT5'!$J$30) / (SUM('VoT5'!$J$29:$J$30))) * $CR$5)</f>
        <v>15.184610155455122</v>
      </c>
      <c r="CJ58" s="1566">
        <f>IF(ISERROR(MATCH($B58,'A1.3.2'!$B$27:$B$106,0)),"",(CH58*'VoT5'!$J$31 + CI58*'VoT5'!$J$32)/100)</f>
        <v>21.92293361282502</v>
      </c>
      <c r="CK58" s="1566">
        <f>IF(ISERROR(MATCH($B58,'A1.3.2'!$B$27:$B$106,0)),"",(VLOOKUP($B58,'Forecast occupancies'!$C$28:$CP$64,87,TRUE)*VLOOKUP($B58,'A1.3.2'!$B$27:$AY$106,38,)) * $CR$5)</f>
        <v>22.427612103308988</v>
      </c>
      <c r="CL58" s="1566">
        <f>IF(ISERROR(MATCH($B58,'A1.3.2'!$B$27:$B$106,0)),"",(VLOOKUP($B58,'Forecast occupancies'!$C$28:$CP$64,88,TRUE)*VLOOKUP($B58,'A1.3.2'!$B$27:$AY$106,38,)) * $CR$5)</f>
        <v>22.427612103308988</v>
      </c>
      <c r="CM58" s="1565">
        <f>IF(ISERROR(MATCH($B58,'A1.3.2'!$B$27:$B$106,0)),"",(((VLOOKUP($B58,'Forecast occupancies'!$C$28:$CP$64,89,TRUE) -1) * VLOOKUP($B58,'A1.3.2'!$B$27:$AY$106,40,)) + VLOOKUP($B58,'A1.3.2'!$B$27:$AY$106,39,)) * $CR$5)</f>
        <v>25.707403051465761</v>
      </c>
      <c r="CN58" s="1565">
        <f>IF(ISERROR(MATCH($B58,'A1.3.2'!$B$27:$B$106,0)),"",(VLOOKUP($B58,'Forecast occupancies'!$C$28:$CP$64,90,TRUE) * VLOOKUP($B58,'A1.3.2'!$B$27:$AY$106,49,)) * $CR$5)</f>
        <v>25.704254104791495</v>
      </c>
      <c r="CO58" s="1565">
        <f>IF(ISERROR(MATCH($B58,'A1.3.2'!$B$27:$B$106,0)),"",(VLOOKUP($B58,'Forecast occupancies'!$C$28:$CP$64,91,TRUE) * VLOOKUP($B58,'A1.3.2'!$B$27:$AY$106,50,)) * $CR$5)</f>
        <v>73.615082344882182</v>
      </c>
      <c r="CP58" s="1567">
        <f>IF(ISERROR(MATCH($B58,'A1.3.2'!$B$27:$B$106,0)),"",SUM(CM58:CO58))</f>
        <v>125.02673950113945</v>
      </c>
    </row>
    <row r="59" spans="1:94" s="26" customFormat="1" ht="13.5" customHeight="1">
      <c r="A59" s="113"/>
      <c r="B59" s="82">
        <f t="shared" si="0"/>
        <v>2041</v>
      </c>
      <c r="D59" s="1609">
        <f>IF(ISERROR(MATCH($B59,'A1.3.2'!$B$27:$B$106,0)),"",(((VLOOKUP($B59,'Forecast occupancies'!$C$28:$CP$64,2,TRUE) -1) * VLOOKUP($B59,'A1.3.2'!$B$27:$AY$106,36,) + VLOOKUP($B59,'A1.3.2'!$B$27:$AY$106,35,)) * $CR$5))</f>
        <v>31.865273866228023</v>
      </c>
      <c r="E59" s="1565">
        <f>IF(ISERROR(MATCH($B59,'A1.3.2'!$B$27:$B$106,0)),"",VLOOKUP($B59,'Forecast occupancies'!$C$28:$CP$64,3,TRUE)*VLOOKUP($B59,'A1.3.2'!$B$27:$AY$106,49,)*$CR$5)</f>
        <v>17.957704406194804</v>
      </c>
      <c r="F59" s="1565">
        <f>IF(ISERROR(MATCH($B59,'A1.3.2'!$B$27:$B$106,0)),"",VLOOKUP($B59,'Forecast occupancies'!$C$28:$CP$64,4,TRUE)*VLOOKUP($B59,'A1.3.2'!$B$27:$AY$106,50,)*$CR$5)</f>
        <v>12.389424800988612</v>
      </c>
      <c r="G59" s="1566">
        <f>IF(ISERROR(MATCH($B59,'A1.3.2'!$B$27:$B$106,0)),"",(((D59*'VoT5'!$D$28)+(E59*'VoT5'!$D$29)+(F59*'VoT5'!$D$30))/100))</f>
        <v>18.048647947284799</v>
      </c>
      <c r="H59" s="1565">
        <f>IF(ISERROR(MATCH($B59,'A1.3.2'!$B$27:$B$106,0)),"",(VLOOKUP($B59,'Forecast occupancies'!$C$28:$CP$64,6,TRUE) * VLOOKUP($B59, 'A1.3.2'!$B$27:$AY$106,37,)) * $CR$5)</f>
        <v>23.287431647413914</v>
      </c>
      <c r="I59" s="1565">
        <f>IF(ISERROR(MATCH($B59,'A1.3.2'!$B$27:$B$106,0)),"",VLOOKUP($B59,'Forecast occupancies'!$C$28:$CP$64,7,TRUE) * ('VoT5'!$J$29*VLOOKUP($B59, 'A1.3.2'!$B$27:$AY$106,49,)+'VoT5'!$J$30*VLOOKUP($B59, 'A1.3.2'!$B$27:$AY$106,50,))/('VoT5'!$J$29+'VoT5'!$J$30) * $CR$5)</f>
        <v>14.215126356419903</v>
      </c>
      <c r="J59" s="1566">
        <f>IF(ISERROR(MATCH($B59,'A1.3.2'!$B$27:$B$106,0)),"",(H59*'VoT5'!$D$31 + I59*'VoT5'!$D$32)/100)</f>
        <v>22.19875501249463</v>
      </c>
      <c r="K59" s="1566">
        <f>IF(ISERROR(MATCH($B59,'A1.3.2'!$B$27:$B$106,0)),"",(VLOOKUP($B59,'Forecast occupancies'!$C$28:$CP$64,9,TRUE)*VLOOKUP($B59,'A1.3.2'!$B$27:$AY$106,38,)) * $CR$5)</f>
        <v>22.865167261831949</v>
      </c>
      <c r="L59" s="1566">
        <f>IF(ISERROR(MATCH($B59,'A1.3.2'!$B$27:$B$106,0)),"",(VLOOKUP($B59,'Forecast occupancies'!$C$28:$CP$64,10,TRUE)*VLOOKUP($B59,'A1.3.2'!$B$27:$AY$106,38,)) * $CR$5)</f>
        <v>22.865167261831949</v>
      </c>
      <c r="M59" s="1565">
        <f>IF(ISERROR(MATCH($B59,'A1.3.2'!$B$27:$B$106,0)),"",(((VLOOKUP($B59,'Forecast occupancies'!$C$28:$CP$64,11,TRUE) -1) * VLOOKUP($B59,'A1.3.2'!$B$27:$AY$106,40,)) + VLOOKUP($B59,'A1.3.2'!$B$27:$AY$106,39,)) * $CR$5)</f>
        <v>26.055064821725587</v>
      </c>
      <c r="N59" s="1565">
        <f>IF(ISERROR(MATCH($B59,'A1.3.2'!$B$27:$B$106,0)),"",(VLOOKUP($B59,'Forecast occupancies'!$C$28:$CP$64,12,TRUE) * VLOOKUP($B59,'A1.3.2'!$B$27:$AY$106,49,)) * $CR$5)</f>
        <v>35.667434769639371</v>
      </c>
      <c r="O59" s="1565">
        <f>IF(ISERROR(MATCH($B59,'A1.3.2'!$B$27:$B$106,0)),"",(VLOOKUP($B59,'Forecast occupancies'!$C$28:$CP$64,13,TRUE) * VLOOKUP($B59,'A1.3.2'!$B$27:$AY$106,50,)) * $CR$5)</f>
        <v>70.802423128992544</v>
      </c>
      <c r="P59" s="1567">
        <f>IF(ISERROR(MATCH($B59,'A1.3.2'!$B$27:$B$106,0)),"",SUM(M59:O59))</f>
        <v>132.52492272035749</v>
      </c>
      <c r="Q59" s="1609">
        <f>IF(ISERROR(MATCH($B59,'A1.3.2'!$B$27:$B$106,0)),"",(((VLOOKUP($B59,'Forecast occupancies'!$C$28:$CP$64,15,TRUE)-1)*VLOOKUP($B59,'A1.3.2'!$B$27:$AY$106,36,)+VLOOKUP($B59,'A1.3.2'!$B$27:$AY$106,35,))*$CR$5))</f>
        <v>32.653066612163464</v>
      </c>
      <c r="R59" s="1565">
        <f>IF(ISERROR(MATCH($B59,'A1.3.2'!$B$27:$B$106,0)),"",VLOOKUP($B59,'Forecast occupancies'!$C$28:$CP$64,16,TRUE)*VLOOKUP($B59,'A1.3.2'!$B$27:$AY$106,49,)*$CR$5)</f>
        <v>18.249698354401112</v>
      </c>
      <c r="S59" s="1565">
        <f>IF(ISERROR(MATCH($B59,'A1.3.2'!$B$27:$B$106,0)),"",VLOOKUP($B59,'Forecast occupancies'!$C$28:$CP$64,17,TRUE)*VLOOKUP($B59,'A1.3.2'!$B$27:$AY$106,50,)*$CR$5)</f>
        <v>13.197664044268187</v>
      </c>
      <c r="T59" s="1566">
        <f>IF(ISERROR(MATCH($B59,'A1.3.2'!$B$27:$B$106,0)),"",(((Q59*'VoT5'!$E$28)+(R59*'VoT5'!$E$29)+(S59*'VoT5'!$E$30))/100))</f>
        <v>16.998390505900602</v>
      </c>
      <c r="U59" s="1565">
        <f>IF(ISERROR(MATCH($B59,'A1.3.2'!$B$27:$B$106,0)),"",(VLOOKUP($B59,'Forecast occupancies'!$C$28:$CP$64,19,TRUE) * VLOOKUP($B59, 'A1.3.2'!$B$27:$AY$106,37,)) * $CR$5)</f>
        <v>23.287431647413914</v>
      </c>
      <c r="V59" s="1565">
        <f>IF(ISERROR(MATCH($B59,'A1.3.2'!$B$27:$B$106,0)),"",VLOOKUP($B59,'Forecast occupancies'!$C$28:$CP$64,20,TRUE) * ('VoT5'!$J$29*VLOOKUP($B59, 'A1.3.2'!$B$27:$AY$106,49,)+'VoT5'!$J$30*VLOOKUP($B59, 'A1.3.2'!$B$27:$AY$106,50,))/('VoT5'!$J$29+'VoT5'!$J$30) * $CR$5)</f>
        <v>14.215126356419903</v>
      </c>
      <c r="W59" s="1566">
        <f>IF(ISERROR(MATCH($B59,'A1.3.2'!$B$27:$B$106,0)),"",(U59*'VoT5'!$E$31 + V59*'VoT5'!$E$32)/100)</f>
        <v>22.19875501249463</v>
      </c>
      <c r="X59" s="1566">
        <f>IF(ISERROR(MATCH($B59,'A1.3.2'!$B$27:$B$106,0)),"",(VLOOKUP($B59,'Forecast occupancies'!$C$28:$CP$64,22,TRUE)*VLOOKUP($B59,'A1.3.2'!$B$27:$AY$106,38,)) * $CR$5)</f>
        <v>22.865167261831949</v>
      </c>
      <c r="Y59" s="1566">
        <f>IF(ISERROR(MATCH($B59,'A1.3.2'!$B$27:$B$106,0)),"",(VLOOKUP($B59,'Forecast occupancies'!$C$28:$CP$64,23,TRUE)*VLOOKUP($B59,'A1.3.2'!$B$27:$AY$106,38,)) * $CR$5)</f>
        <v>22.865167261831949</v>
      </c>
      <c r="Z59" s="1565">
        <f>IF(ISERROR(MATCH($B59,'A1.3.2'!$B$27:$B$106,0)),"",(((VLOOKUP($B59,'Forecast occupancies'!$C$28:$CP$64,24,TRUE) -1) * VLOOKUP($B59,'A1.3.2'!$B$27:$AY$106,40,)) + VLOOKUP($B59,'A1.3.2'!$B$27:$AY$106,39,)) * $CR$5)</f>
        <v>26.586871864877814</v>
      </c>
      <c r="AA59" s="1565">
        <f>IF(ISERROR(MATCH($B59,'A1.3.2'!$B$27:$B$106,0)),"",(VLOOKUP($B59,'Forecast occupancies'!$C$28:$CP$64,25,TRUE) * VLOOKUP($B59,'A1.3.2'!$B$27:$AY$106,49,)) * $CR$5)</f>
        <v>12.500300895104756</v>
      </c>
      <c r="AB59" s="1565">
        <f>IF(ISERROR(MATCH($B59,'A1.3.2'!$B$27:$B$106,0)),"",(VLOOKUP($B59,'Forecast occupancies'!$C$28:$CP$64,26,TRUE) * VLOOKUP($B59,'A1.3.2'!$B$27:$AY$106,50,)) * $CR$5)</f>
        <v>81.135583436318399</v>
      </c>
      <c r="AC59" s="1567">
        <f>IF(ISERROR(MATCH($B59,'A1.3.2'!$B$27:$B$106,0)),"",SUM(Z59:AB59))</f>
        <v>120.22275619630096</v>
      </c>
      <c r="AD59" s="1609">
        <f>IF(ISERROR(MATCH($B59,'A1.3.2'!$B$27:$B$106,0)),"",(((VLOOKUP($B59,'Forecast occupancies'!$C$28:$CP$64,28,TRUE)-1)*VLOOKUP($B59,'A1.3.2'!$B$27:$AY$106,36,)+VLOOKUP($B59,'A1.3.2'!$B$27:$AY$106,35,))*$CR$5))</f>
        <v>32.325138382686681</v>
      </c>
      <c r="AE59" s="1565">
        <f>IF(ISERROR(MATCH($B59,'A1.3.2'!$B$27:$B$106,0)),"",VLOOKUP($B59,'Forecast occupancies'!$C$28:$CP$64,29,TRUE)*VLOOKUP($B59,'A1.3.2'!$B$27:$AY$106,49,)*$CR$5)</f>
        <v>18.019646939724808</v>
      </c>
      <c r="AF59" s="1565">
        <f>IF(ISERROR(MATCH($B59,'A1.3.2'!$B$27:$B$106,0)),"",VLOOKUP($B59,'Forecast occupancies'!$C$28:$CP$64,30,TRUE)*VLOOKUP($B59,'A1.3.2'!$B$27:$AY$106,50,)*$CR$5)</f>
        <v>12.974300776703146</v>
      </c>
      <c r="AG59" s="1566">
        <f>IF(ISERROR(MATCH($B59,'A1.3.2'!$B$27:$B$106,0)),"",(((AD59*'VoT5'!$F$28)+(AE59*'VoT5'!$F$29)+(AF59*'VoT5'!$F$30))/100))</f>
        <v>17.341045480645811</v>
      </c>
      <c r="AH59" s="1565">
        <f>IF(ISERROR(MATCH($B59,'A1.3.2'!$B$27:$B$106,0)),"",(VLOOKUP($B59,'Forecast occupancies'!$C$28:$CP$64,32,TRUE) * VLOOKUP($B59, 'A1.3.2'!$B$27:$AY$106,37,)) * $CR$5)</f>
        <v>23.287431647413914</v>
      </c>
      <c r="AI59" s="1565">
        <f>IF(ISERROR(MATCH($B59,'A1.3.2'!$B$27:$B$106,0)),"",VLOOKUP($B59,'Forecast occupancies'!$C$28:$CP$64,33,TRUE) * ('VoT5'!$J$29*VLOOKUP($B59, 'A1.3.2'!$B$27:$AY$106,49,)+'VoT5'!$J$30*VLOOKUP($B59, 'A1.3.2'!$B$27:$AY$106,50,))/('VoT5'!$J$29+'VoT5'!$J$30) * $CR$5)</f>
        <v>14.215126356419903</v>
      </c>
      <c r="AJ59" s="1566">
        <f>IF(ISERROR(MATCH($B59,'A1.3.2'!$B$27:$B$106,0)),"",(AH59*'VoT5'!$F$31 + AI59*'VoT5'!$F$32)/100)</f>
        <v>22.19875501249463</v>
      </c>
      <c r="AK59" s="1566">
        <f>IF(ISERROR(MATCH($B59,'A1.3.2'!$B$27:$B$106,0)),"",(VLOOKUP($B59,'Forecast occupancies'!$C$28:$CP$64,35,TRUE)*VLOOKUP($B59,'A1.3.2'!$B$27:$AY$106,38,)) * $CR$5)</f>
        <v>22.865167261831949</v>
      </c>
      <c r="AL59" s="1566">
        <f>IF(ISERROR(MATCH($B59,'A1.3.2'!$B$27:$B$106,0)),"",(VLOOKUP($B59,'Forecast occupancies'!$C$28:$CP$64,36,TRUE)*VLOOKUP($B59,'A1.3.2'!$B$27:$AY$106,38,)) * $CR$5)</f>
        <v>22.865167261831949</v>
      </c>
      <c r="AM59" s="1565">
        <f>IF(ISERROR(MATCH($B59,'A1.3.2'!$B$27:$B$106,0)),"",(((VLOOKUP($B59,'Forecast occupancies'!$C$28:$CP$64,37,TRUE) -1) * VLOOKUP($B59,'A1.3.2'!$B$27:$AY$106,40,)) + VLOOKUP($B59,'A1.3.2'!$B$27:$AY$106,39,)) * $CR$5)</f>
        <v>27.817500473783952</v>
      </c>
      <c r="AN59" s="1565">
        <f>IF(ISERROR(MATCH($B59,'A1.3.2'!$B$27:$B$106,0)),"",(VLOOKUP($B59,'Forecast occupancies'!$C$28:$CP$64,38,TRUE) * VLOOKUP($B59,'A1.3.2'!$B$27:$AY$106,49,)) * $CR$5)</f>
        <v>50.161878852063438</v>
      </c>
      <c r="AO59" s="1565">
        <f>IF(ISERROR(MATCH($B59,'A1.3.2'!$B$27:$B$106,0)),"",(VLOOKUP($B59,'Forecast occupancies'!$C$28:$CP$64,39,TRUE) * VLOOKUP($B59,'A1.3.2'!$B$27:$AY$106,50,)) * $CR$5)</f>
        <v>63.387988398250542</v>
      </c>
      <c r="AP59" s="1567">
        <f>IF(ISERROR(MATCH($B59,'A1.3.2'!$B$27:$B$106,0)),"",SUM(AM59:AO59))</f>
        <v>141.36736772409793</v>
      </c>
      <c r="AQ59" s="1609">
        <f>IF(ISERROR(MATCH($B59,'A1.3.2'!$B$27:$B$106,0)),"",(((VLOOKUP($B59,'Forecast occupancies'!$C$28:$CP$64,41,TRUE)-1)*VLOOKUP($B59,'A1.3.2'!$B$27:$AY$106,36,)+VLOOKUP($B59,'A1.3.2'!$B$27:$AY$106,35,))*$CR$5))</f>
        <v>32.936750112292302</v>
      </c>
      <c r="AR59" s="1565">
        <f>IF(ISERROR(MATCH($B59,'A1.3.2'!$B$27:$B$106,0)),"",VLOOKUP($B59,'Forecast occupancies'!$C$28:$CP$64,42,TRUE)*VLOOKUP($B59,'A1.3.2'!$B$27:$AY$106,49,)*$CR$5)</f>
        <v>18.283381634401039</v>
      </c>
      <c r="AS59" s="1565">
        <f>IF(ISERROR(MATCH($B59,'A1.3.2'!$B$27:$B$106,0)),"",VLOOKUP($B59,'Forecast occupancies'!$C$28:$CP$64,43,TRUE)*VLOOKUP($B59,'A1.3.2'!$B$27:$AY$106,50,)*$CR$5)</f>
        <v>12.927979677921376</v>
      </c>
      <c r="AT59" s="1566">
        <f>IF(ISERROR(MATCH($B59,'A1.3.2'!$B$27:$B$106,0)),"",(((AQ59*'VoT5'!$G$28)+(AR59*'VoT5'!$G$29)+(AS59*'VoT5'!$G$30))/100))</f>
        <v>17.568990052803475</v>
      </c>
      <c r="AU59" s="1565">
        <f>IF(ISERROR(MATCH($B59,'A1.3.2'!$B$27:$B$106,0)),"",(VLOOKUP($B59,'Forecast occupancies'!$C$28:$CP$64,45,TRUE) * VLOOKUP($B59, 'A1.3.2'!$B$27:$AY$106,37,)) * $CR$5)</f>
        <v>23.287431647413914</v>
      </c>
      <c r="AV59" s="1565">
        <f>IF(ISERROR(MATCH($B59,'A1.3.2'!$B$27:$B$106,0)),"",VLOOKUP($B59,'Forecast occupancies'!$C$28:$CP$64,46,TRUE) * ('VoT5'!$J$29*VLOOKUP($B59, 'A1.3.2'!$B$27:$AY$106,49,)+'VoT5'!$J$30*VLOOKUP($B59, 'A1.3.2'!$B$27:$AY$106,50,))/('VoT5'!$J$29+'VoT5'!$J$30) * $CR$5)</f>
        <v>14.215126356419903</v>
      </c>
      <c r="AW59" s="1566">
        <f>IF(ISERROR(MATCH($B59,'A1.3.2'!$B$27:$B$106,0)),"",(AU59*'VoT5'!$G$31 + AV59*'VoT5'!$G$32)/100)</f>
        <v>22.19875501249463</v>
      </c>
      <c r="AX59" s="1566">
        <f>IF(ISERROR(MATCH($B59,'A1.3.2'!$B$27:$B$106,0)),"",(VLOOKUP($B59,'Forecast occupancies'!$C$28:$CP$64,48,TRUE)*VLOOKUP($B59,'A1.3.2'!$B$27:$AY$106,38,)) * $CR$5)</f>
        <v>22.865167261831949</v>
      </c>
      <c r="AY59" s="1566">
        <f>IF(ISERROR(MATCH($B59,'A1.3.2'!$B$27:$B$106,0)),"",(VLOOKUP($B59,'Forecast occupancies'!$C$28:$CP$64,49,TRUE)*VLOOKUP($B59,'A1.3.2'!$B$27:$AY$106,38,)) * $CR$5)</f>
        <v>22.865167261831949</v>
      </c>
      <c r="AZ59" s="1565">
        <f>IF(ISERROR(MATCH($B59,'A1.3.2'!$B$27:$B$106,0)),"",(((VLOOKUP($B59,'Forecast occupancies'!$C$28:$CP$64,50,TRUE) -1) * VLOOKUP($B59,'A1.3.2'!$B$27:$AY$106,40,)) + VLOOKUP($B59,'A1.3.2'!$B$27:$AY$106,39,)) * $CR$5)</f>
        <v>27.795005207975692</v>
      </c>
      <c r="BA59" s="1565">
        <f>IF(ISERROR(MATCH($B59,'A1.3.2'!$B$27:$B$106,0)),"",(VLOOKUP($B59,'Forecast occupancies'!$C$28:$CP$64,51,TRUE) * VLOOKUP($B59,'A1.3.2'!$B$27:$AY$106,49,)) * $CR$5)</f>
        <v>68.570042392973065</v>
      </c>
      <c r="BB59" s="1565">
        <f>IF(ISERROR(MATCH($B59,'A1.3.2'!$B$27:$B$106,0)),"",(VLOOKUP($B59,'Forecast occupancies'!$C$28:$CP$64,52,TRUE) * VLOOKUP($B59,'A1.3.2'!$B$27:$AY$106,50,)) * $CR$5)</f>
        <v>54.996144976748553</v>
      </c>
      <c r="BC59" s="1567">
        <f>IF(ISERROR(MATCH($B59,'A1.3.2'!$B$27:$B$106,0)),"",SUM(AZ59:BB59))</f>
        <v>151.3611925776973</v>
      </c>
      <c r="BD59" s="1565">
        <f>IF(ISERROR(MATCH($B59,'A1.3.2'!$B$27:$B$106,0)),"",(((VLOOKUP($B59,'Forecast occupancies'!$C$28:$CP$64,54,TRUE)-1)*VLOOKUP($B59,'A1.3.2'!$B$27:$AY$106,36,)+VLOOKUP($B59,'A1.3.2'!$B$27:$AY$106,35,))*$CR$5))</f>
        <v>32.38265417198302</v>
      </c>
      <c r="BE59" s="1565">
        <f>IF(ISERROR(MATCH($B59,'A1.3.2'!$B$27:$B$106,0)),"",VLOOKUP($B59,'Forecast occupancies'!$C$28:$CP$64,55,TRUE)*VLOOKUP($B59,'A1.3.2'!$B$27:$AY$106,49,)*$CR$5)</f>
        <v>18.080913889400062</v>
      </c>
      <c r="BF59" s="1565">
        <f>IF(ISERROR(MATCH($B59,'A1.3.2'!$B$27:$B$106,0)),"",VLOOKUP($B59,'Forecast occupancies'!$C$28:$CP$64,56,TRUE)*VLOOKUP($B59,'A1.3.2'!$B$27:$AY$106,50,)*$CR$5)</f>
        <v>12.960101179356215</v>
      </c>
      <c r="BG59" s="1566">
        <f>IF(ISERROR(MATCH($B59,'A1.3.2'!$B$27:$B$106,0)),"",(((BD59*'VoT5'!$H$28)+(BE59*'VoT5'!$H$29)+(BF59*'VoT5'!$H$30))/100))</f>
        <v>17.442464748633412</v>
      </c>
      <c r="BH59" s="1565">
        <f>IF(ISERROR(MATCH($B59,'A1.3.2'!$B$27:$B$106,0)),"",(VLOOKUP($B59,'Forecast occupancies'!$C$28:$CP$64,58,TRUE) * VLOOKUP($B59, 'A1.3.2'!$B$27:$AY$106,37,)) * $CR$5)</f>
        <v>23.287431647413914</v>
      </c>
      <c r="BI59" s="1565">
        <f>IF(ISERROR(MATCH($B59,'A1.3.2'!$B$27:$B$106,0)),"",(VLOOKUP($B59,'Forecast occupancies'!$C$28:$CP$64,59,TRUE) * (VLOOKUP($B59,'A1.3.2'!$B$27:$AY$106,49,) * 'VoT5'!$J$29 + VLOOKUP($B59,'A1.3.2'!$B$27:$AY$106,50,) * 'VoT5'!$J$30) / (SUM('VoT5'!$J$29:$J$30))) * $CR$5)</f>
        <v>14.215126356419903</v>
      </c>
      <c r="BJ59" s="1566">
        <f>IF(ISERROR(MATCH($B59,'A1.3.2'!$B$27:$B$106,0)),"",(BH59*'VoT5'!$H$31 + BI59*'VoT5'!$H$32)/100)</f>
        <v>22.19875501249463</v>
      </c>
      <c r="BK59" s="1566">
        <f>IF(ISERROR(MATCH($B59,'A1.3.2'!$B$27:$B$106,0)),"",(VLOOKUP($B59,'Forecast occupancies'!$C$28:$CP$64,61,TRUE)*VLOOKUP($B59,'A1.3.2'!$B$27:$AY$106,38,)) * $CR$5)</f>
        <v>22.865167261831949</v>
      </c>
      <c r="BL59" s="1566">
        <f>IF(ISERROR(MATCH($B59,'A1.3.2'!$B$27:$B$106,0)),"",(VLOOKUP($B59,'Forecast occupancies'!$C$28:$CP$64,62,TRUE)*VLOOKUP($B59,'A1.3.2'!$B$27:$AY$106,38,)) * $CR$5)</f>
        <v>22.865167261831949</v>
      </c>
      <c r="BM59" s="1565">
        <f>IF(ISERROR(MATCH($B59,'A1.3.2'!$B$27:$B$106,0)),"",(((VLOOKUP($B59,'Forecast occupancies'!$C$28:$CP$64,63,TRUE) -1) * VLOOKUP($B59,'A1.3.2'!$B$27:$AY$106,40,)) + VLOOKUP($B59,'A1.3.2'!$B$27:$AY$106,39,)) * $CR$5)</f>
        <v>26.799701123135716</v>
      </c>
      <c r="BN59" s="1565">
        <f>IF(ISERROR(MATCH($B59,'A1.3.2'!$B$27:$B$106,0)),"",(VLOOKUP($B59,'Forecast occupancies'!$C$28:$CP$64,64,TRUE) * VLOOKUP($B59,'A1.3.2'!$B$27:$AY$106,49,)) * $CR$5)</f>
        <v>30.954814342876997</v>
      </c>
      <c r="BO59" s="1565">
        <f>IF(ISERROR(MATCH($B59,'A1.3.2'!$B$27:$B$106,0)),"",(VLOOKUP($B59,'Forecast occupancies'!$C$28:$CP$64,65,TRUE) * VLOOKUP($B59,'A1.3.2'!$B$27:$AY$106,50,)) * $CR$5)</f>
        <v>72.615935500922546</v>
      </c>
      <c r="BP59" s="1567">
        <f>IF(ISERROR(MATCH($B59,'A1.3.2'!$B$27:$B$106,0)),"",SUM(BM59:BO59))</f>
        <v>130.37045096693527</v>
      </c>
      <c r="BQ59" s="1565">
        <f>IF(ISERROR(MATCH($B59,'A1.3.2'!$B$27:$B$106,0)),"",(((VLOOKUP($B59,'Forecast occupancies'!$C$28:$CP$64,67,TRUE)-1)*VLOOKUP($B59,'A1.3.2'!$B$27:$AY$106,36,)+VLOOKUP($B59,'A1.3.2'!$B$27:$AY$106,35,))*$CR$5))</f>
        <v>37.009319928680725</v>
      </c>
      <c r="BR59" s="1565">
        <f>IF(ISERROR(MATCH($B59,'A1.3.2'!$B$27:$B$106,0)),"",VLOOKUP($B59,'Forecast occupancies'!$C$28:$CP$64,68,TRUE)*VLOOKUP($B59,'A1.3.2'!$B$27:$AY$106,49,)*$CR$5)</f>
        <v>19.143202515654703</v>
      </c>
      <c r="BS59" s="1565">
        <f>IF(ISERROR(MATCH($B59,'A1.3.2'!$B$27:$B$106,0)),"",VLOOKUP($B59,'Forecast occupancies'!$C$28:$CP$64,69,TRUE)*VLOOKUP($B59,'A1.3.2'!$B$27:$AY$106,50,)*$CR$5)</f>
        <v>15.345072215721059</v>
      </c>
      <c r="BT59" s="1566">
        <f>IF(ISERROR(MATCH($B59,'A1.3.2'!$B$27:$B$106,0)),"",(((BQ59*'VoT5'!$I$28)+(BR59*'VoT5'!$I$29)+(BS59*'VoT5'!$I$30))/100))</f>
        <v>16.39717739100335</v>
      </c>
      <c r="BU59" s="1565">
        <f>IF(ISERROR(MATCH($B59,'A1.3.2'!$B$27:$B$106,0)),"",(VLOOKUP($B59,'Forecast occupancies'!$C$28:$CP$64,71,TRUE) * VLOOKUP($B59, 'A1.3.2'!$B$27:$AY$106,37,)) * $CR$5)</f>
        <v>24.451803229784613</v>
      </c>
      <c r="BV59" s="1565">
        <f>IF(ISERROR(MATCH($B59,'A1.3.2'!$B$27:$B$106,0)),"",(VLOOKUP($B59,'Forecast occupancies'!$C$28:$CP$64,72,TRUE) * (VLOOKUP($B59,'A1.3.2'!$B$27:$AY$106,49,)*'VoT5'!$J$29 + VLOOKUP($B59,'A1.3.2'!$B$27:$AY$106,50,)*'VoT5'!$J$30) / (SUM('VoT5'!$J$29:$J$30))) * $CR$5)</f>
        <v>19.764867468172881</v>
      </c>
      <c r="BW59" s="1566">
        <f>IF(ISERROR(MATCH($B59,'A1.3.2'!$B$27:$B$106,0)),"",(BU59*'VoT5'!$I$31 + BV59*'VoT5'!$I$32)/100)</f>
        <v>23.889370938391203</v>
      </c>
      <c r="BX59" s="1566">
        <f>IF(ISERROR(MATCH($B59,'A1.3.2'!$B$27:$B$106,0)),"",(VLOOKUP($B59,'Forecast occupancies'!$C$28:$CP$64,74,TRUE)*VLOOKUP($B59,'A1.3.2'!$B$27:$AY$106,38,)) * $CR$5)</f>
        <v>22.865167261831949</v>
      </c>
      <c r="BY59" s="1566">
        <f>IF(ISERROR(MATCH($B59,'A1.3.2'!$B$27:$B$106,0)),"",(VLOOKUP($B59,'Forecast occupancies'!$C$28:$CP$64,75,TRUE)*VLOOKUP($B59,'A1.3.2'!$B$27:$AY$106,38,)) * $CR$5)</f>
        <v>22.865167261831949</v>
      </c>
      <c r="BZ59" s="1565">
        <f>IF(ISERROR(MATCH($B59,'A1.3.2'!$B$27:$B$106,0)),"",(((VLOOKUP($B59,'Forecast occupancies'!$C$28:$CP$64,76,TRUE) -1) * VLOOKUP($B59,'A1.3.2'!$B$27:$AY$106,40,)) + VLOOKUP($B59,'A1.3.2'!$B$27:$AY$106,39,)) * $CR$5)</f>
        <v>24.407406870736512</v>
      </c>
      <c r="CA59" s="1565">
        <f>IF(ISERROR(MATCH($B59,'A1.3.2'!$B$27:$B$106,0)),"",(VLOOKUP($B59,'Forecast occupancies'!$C$28:$CP$64,77,TRUE) * VLOOKUP($B59,'A1.3.2'!$B$27:$AY$106,49,)) * $CR$5)</f>
        <v>11.726878141661436</v>
      </c>
      <c r="CB59" s="1565">
        <f>IF(ISERROR(MATCH($B59,'A1.3.2'!$B$27:$B$106,0)),"",(VLOOKUP($B59,'Forecast occupancies'!$C$28:$CP$64,78,TRUE) * VLOOKUP($B59,'A1.3.2'!$B$27:$AY$106,50,)) * $CR$5)</f>
        <v>82.476329874221975</v>
      </c>
      <c r="CC59" s="1567">
        <f>IF(ISERROR(MATCH($B59,'A1.3.2'!$B$27:$B$106,0)),"",SUM(BZ59:CB59))</f>
        <v>118.61061488661991</v>
      </c>
      <c r="CD59" s="1565">
        <f>IF(ISERROR(MATCH($B59,'A1.3.2'!$B$27:$B$106,0)),"",(((VLOOKUP($B59,'Forecast occupancies'!$C$28:$CP$64,80,TRUE)-1)*VLOOKUP($B59,'A1.3.2'!$B$27:$AY$106,36,)+VLOOKUP($B59,'A1.3.2'!$B$27:$AY$106,35,))*$CR$5))</f>
        <v>32.711067850084021</v>
      </c>
      <c r="CE59" s="1565">
        <f>IF(ISERROR(MATCH($B59,'A1.3.2'!$B$27:$B$106,0)),"",VLOOKUP($B59,'Forecast occupancies'!$C$28:$CP$64,81,TRUE)*VLOOKUP($B59,'A1.3.2'!$B$27:$AY$106,49,)*$CR$5)</f>
        <v>18.166853739494293</v>
      </c>
      <c r="CF59" s="1565">
        <f>IF(ISERROR(MATCH($B59,'A1.3.2'!$B$27:$B$106,0)),"",VLOOKUP($B59,'Forecast occupancies'!$C$28:$CP$64,82,TRUE)*VLOOKUP($B59,'A1.3.2'!$B$27:$AY$106,50,)*$CR$5)</f>
        <v>13.801682149911114</v>
      </c>
      <c r="CG59" s="1566">
        <f>IF(ISERROR(MATCH($B59,'A1.3.2'!$B$27:$B$106,0)),"",(((CD59*'VoT5'!$J$28)+(CE59*'VoT5'!$J$29)+(CF59*'VoT5'!$J$30))/100))</f>
        <v>17.194632080282787</v>
      </c>
      <c r="CH59" s="1565">
        <f>IF(ISERROR(MATCH($B59,'A1.3.2'!$B$27:$B$106,0)),"",(VLOOKUP($B59,'Forecast occupancies'!$C$28:$CP$64,84,TRUE) * VLOOKUP($B59, 'A1.3.2'!$B$27:$AY$106,37,)) * $CR$5)</f>
        <v>23.287431647413914</v>
      </c>
      <c r="CI59" s="1565">
        <f>IF(ISERROR(MATCH($B59,'A1.3.2'!$B$27:$B$106,0)),"",(VLOOKUP($B59,'Forecast occupancies'!$C$28:$CP$64,85,TRUE) * (VLOOKUP($B59,'A1.3.2'!$B$27:$AY$106,49,)*'VoT5'!$J$29 + VLOOKUP($B59,'A1.3.2'!$B$27:$AY$106,50,)*'VoT5'!$J$30) / (SUM('VoT5'!$J$29:$J$30))) * $CR$5)</f>
        <v>15.480856785416197</v>
      </c>
      <c r="CJ59" s="1566">
        <f>IF(ISERROR(MATCH($B59,'A1.3.2'!$B$27:$B$106,0)),"",(CH59*'VoT5'!$J$31 + CI59*'VoT5'!$J$32)/100)</f>
        <v>22.350642663974185</v>
      </c>
      <c r="CK59" s="1566">
        <f>IF(ISERROR(MATCH($B59,'A1.3.2'!$B$27:$B$106,0)),"",(VLOOKUP($B59,'Forecast occupancies'!$C$28:$CP$64,87,TRUE)*VLOOKUP($B59,'A1.3.2'!$B$27:$AY$106,38,)) * $CR$5)</f>
        <v>22.865167261831949</v>
      </c>
      <c r="CL59" s="1566">
        <f>IF(ISERROR(MATCH($B59,'A1.3.2'!$B$27:$B$106,0)),"",(VLOOKUP($B59,'Forecast occupancies'!$C$28:$CP$64,88,TRUE)*VLOOKUP($B59,'A1.3.2'!$B$27:$AY$106,38,)) * $CR$5)</f>
        <v>22.865167261831949</v>
      </c>
      <c r="CM59" s="1565">
        <f>IF(ISERROR(MATCH($B59,'A1.3.2'!$B$27:$B$106,0)),"",(((VLOOKUP($B59,'Forecast occupancies'!$C$28:$CP$64,89,TRUE) -1) * VLOOKUP($B59,'A1.3.2'!$B$27:$AY$106,40,)) + VLOOKUP($B59,'A1.3.2'!$B$27:$AY$106,39,)) * $CR$5)</f>
        <v>26.208945826754725</v>
      </c>
      <c r="CN59" s="1565">
        <f>IF(ISERROR(MATCH($B59,'A1.3.2'!$B$27:$B$106,0)),"",(VLOOKUP($B59,'Forecast occupancies'!$C$28:$CP$64,90,TRUE) * VLOOKUP($B59,'A1.3.2'!$B$27:$AY$106,49,)) * $CR$5)</f>
        <v>26.205735445191401</v>
      </c>
      <c r="CO59" s="1565">
        <f>IF(ISERROR(MATCH($B59,'A1.3.2'!$B$27:$B$106,0)),"",(VLOOKUP($B59,'Forecast occupancies'!$C$28:$CP$64,91,TRUE) * VLOOKUP($B59,'A1.3.2'!$B$27:$AY$106,50,)) * $CR$5)</f>
        <v>75.051287807894596</v>
      </c>
      <c r="CP59" s="1567">
        <f>IF(ISERROR(MATCH($B59,'A1.3.2'!$B$27:$B$106,0)),"",SUM(CM59:CO59))</f>
        <v>127.46596907984072</v>
      </c>
    </row>
    <row r="60" spans="1:94" s="26" customFormat="1" ht="13.5" customHeight="1">
      <c r="A60" s="113"/>
      <c r="B60" s="82">
        <f t="shared" si="0"/>
        <v>2042</v>
      </c>
      <c r="D60" s="1609">
        <f>IF(ISERROR(MATCH($B60,'A1.3.2'!$B$27:$B$106,0)),"",(((VLOOKUP($B60,'Forecast occupancies'!$C$28:$CP$64,2,TRUE) -1) * VLOOKUP($B60,'A1.3.2'!$B$27:$AY$106,36,) + VLOOKUP($B60,'A1.3.2'!$B$27:$AY$106,35,)) * $CR$5))</f>
        <v>32.487109946945246</v>
      </c>
      <c r="E60" s="1565">
        <f>IF(ISERROR(MATCH($B60,'A1.3.2'!$B$27:$B$106,0)),"",VLOOKUP($B60,'Forecast occupancies'!$C$28:$CP$64,3,TRUE)*VLOOKUP($B60,'A1.3.2'!$B$27:$AY$106,49,)*$CR$5)</f>
        <v>18.308140701627419</v>
      </c>
      <c r="F60" s="1565">
        <f>IF(ISERROR(MATCH($B60,'A1.3.2'!$B$27:$B$106,0)),"",VLOOKUP($B60,'Forecast occupancies'!$C$28:$CP$64,4,TRUE)*VLOOKUP($B60,'A1.3.2'!$B$27:$AY$106,50,)*$CR$5)</f>
        <v>12.631198695445947</v>
      </c>
      <c r="G60" s="1566">
        <f>IF(ISERROR(MATCH($B60,'A1.3.2'!$B$27:$B$106,0)),"",(((D60*'VoT5'!$D$28)+(E60*'VoT5'!$D$29)+(F60*'VoT5'!$D$30))/100))</f>
        <v>18.400858963857278</v>
      </c>
      <c r="H60" s="1565">
        <f>IF(ISERROR(MATCH($B60,'A1.3.2'!$B$27:$B$106,0)),"",(VLOOKUP($B60,'Forecast occupancies'!$C$28:$CP$64,6,TRUE) * VLOOKUP($B60, 'A1.3.2'!$B$27:$AY$106,37,)) * $CR$5)</f>
        <v>23.741875104777247</v>
      </c>
      <c r="I60" s="1565">
        <f>IF(ISERROR(MATCH($B60,'A1.3.2'!$B$27:$B$106,0)),"",VLOOKUP($B60,'Forecast occupancies'!$C$28:$CP$64,7,TRUE) * ('VoT5'!$J$29*VLOOKUP($B60, 'A1.3.2'!$B$27:$AY$106,49,)+'VoT5'!$J$30*VLOOKUP($B60, 'A1.3.2'!$B$27:$AY$106,50,))/('VoT5'!$J$29+'VoT5'!$J$30) * $CR$5)</f>
        <v>14.492527972281886</v>
      </c>
      <c r="J60" s="1566">
        <f>IF(ISERROR(MATCH($B60,'A1.3.2'!$B$27:$B$106,0)),"",(H60*'VoT5'!$D$31 + I60*'VoT5'!$D$32)/100)</f>
        <v>22.631953448877802</v>
      </c>
      <c r="K60" s="1566">
        <f>IF(ISERROR(MATCH($B60,'A1.3.2'!$B$27:$B$106,0)),"",(VLOOKUP($B60,'Forecast occupancies'!$C$28:$CP$64,9,TRUE)*VLOOKUP($B60,'A1.3.2'!$B$27:$AY$106,38,)) * $CR$5)</f>
        <v>23.31137042502241</v>
      </c>
      <c r="L60" s="1566">
        <f>IF(ISERROR(MATCH($B60,'A1.3.2'!$B$27:$B$106,0)),"",(VLOOKUP($B60,'Forecast occupancies'!$C$28:$CP$64,10,TRUE)*VLOOKUP($B60,'A1.3.2'!$B$27:$AY$106,38,)) * $CR$5)</f>
        <v>23.31137042502241</v>
      </c>
      <c r="M60" s="1565">
        <f>IF(ISERROR(MATCH($B60,'A1.3.2'!$B$27:$B$106,0)),"",(((VLOOKUP($B60,'Forecast occupancies'!$C$28:$CP$64,11,TRUE) -1) * VLOOKUP($B60,'A1.3.2'!$B$27:$AY$106,40,)) + VLOOKUP($B60,'A1.3.2'!$B$27:$AY$106,39,)) * $CR$5)</f>
        <v>26.563517360360333</v>
      </c>
      <c r="N60" s="1565">
        <f>IF(ISERROR(MATCH($B60,'A1.3.2'!$B$27:$B$106,0)),"",(VLOOKUP($B60,'Forecast occupancies'!$C$28:$CP$64,12,TRUE) * VLOOKUP($B60,'A1.3.2'!$B$27:$AY$106,49,)) * $CR$5)</f>
        <v>36.363468261756822</v>
      </c>
      <c r="O60" s="1565">
        <f>IF(ISERROR(MATCH($B60,'A1.3.2'!$B$27:$B$106,0)),"",(VLOOKUP($B60,'Forecast occupancies'!$C$28:$CP$64,13,TRUE) * VLOOKUP($B60,'A1.3.2'!$B$27:$AY$106,50,)) * $CR$5)</f>
        <v>72.184099667805441</v>
      </c>
      <c r="P60" s="1567">
        <f>IF(ISERROR(MATCH($B60,'A1.3.2'!$B$27:$B$106,0)),"",SUM(M60:O60))</f>
        <v>135.11108528992258</v>
      </c>
      <c r="Q60" s="1609">
        <f>IF(ISERROR(MATCH($B60,'A1.3.2'!$B$27:$B$106,0)),"",(((VLOOKUP($B60,'Forecast occupancies'!$C$28:$CP$64,15,TRUE)-1)*VLOOKUP($B60,'A1.3.2'!$B$27:$AY$106,36,)+VLOOKUP($B60,'A1.3.2'!$B$27:$AY$106,35,))*$CR$5))</f>
        <v>33.290276103936449</v>
      </c>
      <c r="R60" s="1565">
        <f>IF(ISERROR(MATCH($B60,'A1.3.2'!$B$27:$B$106,0)),"",VLOOKUP($B60,'Forecast occupancies'!$C$28:$CP$64,16,TRUE)*VLOOKUP($B60,'A1.3.2'!$B$27:$AY$106,49,)*$CR$5)</f>
        <v>18.605832776675754</v>
      </c>
      <c r="S60" s="1565">
        <f>IF(ISERROR(MATCH($B60,'A1.3.2'!$B$27:$B$106,0)),"",VLOOKUP($B60,'Forecast occupancies'!$C$28:$CP$64,17,TRUE)*VLOOKUP($B60,'A1.3.2'!$B$27:$AY$106,50,)*$CR$5)</f>
        <v>13.455210353719748</v>
      </c>
      <c r="T60" s="1566">
        <f>IF(ISERROR(MATCH($B60,'A1.3.2'!$B$27:$B$106,0)),"",(((Q60*'VoT5'!$E$28)+(R60*'VoT5'!$E$29)+(S60*'VoT5'!$E$30))/100))</f>
        <v>17.330106234284557</v>
      </c>
      <c r="U60" s="1565">
        <f>IF(ISERROR(MATCH($B60,'A1.3.2'!$B$27:$B$106,0)),"",(VLOOKUP($B60,'Forecast occupancies'!$C$28:$CP$64,19,TRUE) * VLOOKUP($B60, 'A1.3.2'!$B$27:$AY$106,37,)) * $CR$5)</f>
        <v>23.741875104777247</v>
      </c>
      <c r="V60" s="1565">
        <f>IF(ISERROR(MATCH($B60,'A1.3.2'!$B$27:$B$106,0)),"",VLOOKUP($B60,'Forecast occupancies'!$C$28:$CP$64,20,TRUE) * ('VoT5'!$J$29*VLOOKUP($B60, 'A1.3.2'!$B$27:$AY$106,49,)+'VoT5'!$J$30*VLOOKUP($B60, 'A1.3.2'!$B$27:$AY$106,50,))/('VoT5'!$J$29+'VoT5'!$J$30) * $CR$5)</f>
        <v>14.492527972281886</v>
      </c>
      <c r="W60" s="1566">
        <f>IF(ISERROR(MATCH($B60,'A1.3.2'!$B$27:$B$106,0)),"",(U60*'VoT5'!$E$31 + V60*'VoT5'!$E$32)/100)</f>
        <v>22.631953448877802</v>
      </c>
      <c r="X60" s="1566">
        <f>IF(ISERROR(MATCH($B60,'A1.3.2'!$B$27:$B$106,0)),"",(VLOOKUP($B60,'Forecast occupancies'!$C$28:$CP$64,22,TRUE)*VLOOKUP($B60,'A1.3.2'!$B$27:$AY$106,38,)) * $CR$5)</f>
        <v>23.31137042502241</v>
      </c>
      <c r="Y60" s="1566">
        <f>IF(ISERROR(MATCH($B60,'A1.3.2'!$B$27:$B$106,0)),"",(VLOOKUP($B60,'Forecast occupancies'!$C$28:$CP$64,23,TRUE)*VLOOKUP($B60,'A1.3.2'!$B$27:$AY$106,38,)) * $CR$5)</f>
        <v>23.31137042502241</v>
      </c>
      <c r="Z60" s="1565">
        <f>IF(ISERROR(MATCH($B60,'A1.3.2'!$B$27:$B$106,0)),"",(((VLOOKUP($B60,'Forecast occupancies'!$C$28:$CP$64,24,TRUE) -1) * VLOOKUP($B60,'A1.3.2'!$B$27:$AY$106,40,)) + VLOOKUP($B60,'A1.3.2'!$B$27:$AY$106,39,)) * $CR$5)</f>
        <v>27.105702371980673</v>
      </c>
      <c r="AA60" s="1565">
        <f>IF(ISERROR(MATCH($B60,'A1.3.2'!$B$27:$B$106,0)),"",(VLOOKUP($B60,'Forecast occupancies'!$C$28:$CP$64,25,TRUE) * VLOOKUP($B60,'A1.3.2'!$B$27:$AY$106,49,)) * $CR$5)</f>
        <v>12.744238485254773</v>
      </c>
      <c r="AB60" s="1565">
        <f>IF(ISERROR(MATCH($B60,'A1.3.2'!$B$27:$B$106,0)),"",(VLOOKUP($B60,'Forecast occupancies'!$C$28:$CP$64,26,TRUE) * VLOOKUP($B60,'A1.3.2'!$B$27:$AY$106,50,)) * $CR$5)</f>
        <v>82.718906819087664</v>
      </c>
      <c r="AC60" s="1567">
        <f>IF(ISERROR(MATCH($B60,'A1.3.2'!$B$27:$B$106,0)),"",SUM(Z60:AB60))</f>
        <v>122.56884767632312</v>
      </c>
      <c r="AD60" s="1609">
        <f>IF(ISERROR(MATCH($B60,'A1.3.2'!$B$27:$B$106,0)),"",(((VLOOKUP($B60,'Forecast occupancies'!$C$28:$CP$64,28,TRUE)-1)*VLOOKUP($B60,'A1.3.2'!$B$27:$AY$106,36,)+VLOOKUP($B60,'A1.3.2'!$B$27:$AY$106,35,))*$CR$5))</f>
        <v>32.955948506739482</v>
      </c>
      <c r="AE60" s="1565">
        <f>IF(ISERROR(MATCH($B60,'A1.3.2'!$B$27:$B$106,0)),"",VLOOKUP($B60,'Forecast occupancies'!$C$28:$CP$64,29,TRUE)*VLOOKUP($B60,'A1.3.2'!$B$27:$AY$106,49,)*$CR$5)</f>
        <v>18.371292015048713</v>
      </c>
      <c r="AF60" s="1565">
        <f>IF(ISERROR(MATCH($B60,'A1.3.2'!$B$27:$B$106,0)),"",VLOOKUP($B60,'Forecast occupancies'!$C$28:$CP$64,30,TRUE)*VLOOKUP($B60,'A1.3.2'!$B$27:$AY$106,50,)*$CR$5)</f>
        <v>13.227488255301349</v>
      </c>
      <c r="AG60" s="1566">
        <f>IF(ISERROR(MATCH($B60,'A1.3.2'!$B$27:$B$106,0)),"",(((AD60*'VoT5'!$F$28)+(AE60*'VoT5'!$F$29)+(AF60*'VoT5'!$F$30))/100))</f>
        <v>17.67944796237224</v>
      </c>
      <c r="AH60" s="1565">
        <f>IF(ISERROR(MATCH($B60,'A1.3.2'!$B$27:$B$106,0)),"",(VLOOKUP($B60,'Forecast occupancies'!$C$28:$CP$64,32,TRUE) * VLOOKUP($B60, 'A1.3.2'!$B$27:$AY$106,37,)) * $CR$5)</f>
        <v>23.741875104777247</v>
      </c>
      <c r="AI60" s="1565">
        <f>IF(ISERROR(MATCH($B60,'A1.3.2'!$B$27:$B$106,0)),"",VLOOKUP($B60,'Forecast occupancies'!$C$28:$CP$64,33,TRUE) * ('VoT5'!$J$29*VLOOKUP($B60, 'A1.3.2'!$B$27:$AY$106,49,)+'VoT5'!$J$30*VLOOKUP($B60, 'A1.3.2'!$B$27:$AY$106,50,))/('VoT5'!$J$29+'VoT5'!$J$30) * $CR$5)</f>
        <v>14.492527972281886</v>
      </c>
      <c r="AJ60" s="1566">
        <f>IF(ISERROR(MATCH($B60,'A1.3.2'!$B$27:$B$106,0)),"",(AH60*'VoT5'!$F$31 + AI60*'VoT5'!$F$32)/100)</f>
        <v>22.631953448877802</v>
      </c>
      <c r="AK60" s="1566">
        <f>IF(ISERROR(MATCH($B60,'A1.3.2'!$B$27:$B$106,0)),"",(VLOOKUP($B60,'Forecast occupancies'!$C$28:$CP$64,35,TRUE)*VLOOKUP($B60,'A1.3.2'!$B$27:$AY$106,38,)) * $CR$5)</f>
        <v>23.31137042502241</v>
      </c>
      <c r="AL60" s="1566">
        <f>IF(ISERROR(MATCH($B60,'A1.3.2'!$B$27:$B$106,0)),"",(VLOOKUP($B60,'Forecast occupancies'!$C$28:$CP$64,36,TRUE)*VLOOKUP($B60,'A1.3.2'!$B$27:$AY$106,38,)) * $CR$5)</f>
        <v>23.31137042502241</v>
      </c>
      <c r="AM60" s="1565">
        <f>IF(ISERROR(MATCH($B60,'A1.3.2'!$B$27:$B$106,0)),"",(((VLOOKUP($B60,'Forecast occupancies'!$C$28:$CP$64,37,TRUE) -1) * VLOOKUP($B60,'A1.3.2'!$B$27:$AY$106,40,)) + VLOOKUP($B60,'A1.3.2'!$B$27:$AY$106,39,)) * $CR$5)</f>
        <v>28.360346128981668</v>
      </c>
      <c r="AN60" s="1565">
        <f>IF(ISERROR(MATCH($B60,'A1.3.2'!$B$27:$B$106,0)),"",(VLOOKUP($B60,'Forecast occupancies'!$C$28:$CP$64,38,TRUE) * VLOOKUP($B60,'A1.3.2'!$B$27:$AY$106,49,)) * $CR$5)</f>
        <v>51.140764716271818</v>
      </c>
      <c r="AO60" s="1565">
        <f>IF(ISERROR(MATCH($B60,'A1.3.2'!$B$27:$B$106,0)),"",(VLOOKUP($B60,'Forecast occupancies'!$C$28:$CP$64,39,TRUE) * VLOOKUP($B60,'A1.3.2'!$B$27:$AY$106,50,)) * $CR$5)</f>
        <v>64.624975672723409</v>
      </c>
      <c r="AP60" s="1567">
        <f>IF(ISERROR(MATCH($B60,'A1.3.2'!$B$27:$B$106,0)),"",SUM(AM60:AO60))</f>
        <v>144.12608651797689</v>
      </c>
      <c r="AQ60" s="1609">
        <f>IF(ISERROR(MATCH($B60,'A1.3.2'!$B$27:$B$106,0)),"",(((VLOOKUP($B60,'Forecast occupancies'!$C$28:$CP$64,41,TRUE)-1)*VLOOKUP($B60,'A1.3.2'!$B$27:$AY$106,36,)+VLOOKUP($B60,'A1.3.2'!$B$27:$AY$106,35,))*$CR$5))</f>
        <v>33.579495556356953</v>
      </c>
      <c r="AR60" s="1565">
        <f>IF(ISERROR(MATCH($B60,'A1.3.2'!$B$27:$B$106,0)),"",VLOOKUP($B60,'Forecast occupancies'!$C$28:$CP$64,42,TRUE)*VLOOKUP($B60,'A1.3.2'!$B$27:$AY$106,49,)*$CR$5)</f>
        <v>18.640173370305206</v>
      </c>
      <c r="AS60" s="1565">
        <f>IF(ISERROR(MATCH($B60,'A1.3.2'!$B$27:$B$106,0)),"",VLOOKUP($B60,'Forecast occupancies'!$C$28:$CP$64,43,TRUE)*VLOOKUP($B60,'A1.3.2'!$B$27:$AY$106,50,)*$CR$5)</f>
        <v>13.180263221701949</v>
      </c>
      <c r="AT60" s="1566">
        <f>IF(ISERROR(MATCH($B60,'A1.3.2'!$B$27:$B$106,0)),"",(((AQ60*'VoT5'!$G$28)+(AR60*'VoT5'!$G$29)+(AS60*'VoT5'!$G$30))/100))</f>
        <v>17.911840767423378</v>
      </c>
      <c r="AU60" s="1565">
        <f>IF(ISERROR(MATCH($B60,'A1.3.2'!$B$27:$B$106,0)),"",(VLOOKUP($B60,'Forecast occupancies'!$C$28:$CP$64,45,TRUE) * VLOOKUP($B60, 'A1.3.2'!$B$27:$AY$106,37,)) * $CR$5)</f>
        <v>23.741875104777247</v>
      </c>
      <c r="AV60" s="1565">
        <f>IF(ISERROR(MATCH($B60,'A1.3.2'!$B$27:$B$106,0)),"",VLOOKUP($B60,'Forecast occupancies'!$C$28:$CP$64,46,TRUE) * ('VoT5'!$J$29*VLOOKUP($B60, 'A1.3.2'!$B$27:$AY$106,49,)+'VoT5'!$J$30*VLOOKUP($B60, 'A1.3.2'!$B$27:$AY$106,50,))/('VoT5'!$J$29+'VoT5'!$J$30) * $CR$5)</f>
        <v>14.492527972281886</v>
      </c>
      <c r="AW60" s="1566">
        <f>IF(ISERROR(MATCH($B60,'A1.3.2'!$B$27:$B$106,0)),"",(AU60*'VoT5'!$G$31 + AV60*'VoT5'!$G$32)/100)</f>
        <v>22.631953448877802</v>
      </c>
      <c r="AX60" s="1566">
        <f>IF(ISERROR(MATCH($B60,'A1.3.2'!$B$27:$B$106,0)),"",(VLOOKUP($B60,'Forecast occupancies'!$C$28:$CP$64,48,TRUE)*VLOOKUP($B60,'A1.3.2'!$B$27:$AY$106,38,)) * $CR$5)</f>
        <v>23.31137042502241</v>
      </c>
      <c r="AY60" s="1566">
        <f>IF(ISERROR(MATCH($B60,'A1.3.2'!$B$27:$B$106,0)),"",(VLOOKUP($B60,'Forecast occupancies'!$C$28:$CP$64,49,TRUE)*VLOOKUP($B60,'A1.3.2'!$B$27:$AY$106,38,)) * $CR$5)</f>
        <v>23.31137042502241</v>
      </c>
      <c r="AZ60" s="1565">
        <f>IF(ISERROR(MATCH($B60,'A1.3.2'!$B$27:$B$106,0)),"",(((VLOOKUP($B60,'Forecast occupancies'!$C$28:$CP$64,50,TRUE) -1) * VLOOKUP($B60,'A1.3.2'!$B$27:$AY$106,40,)) + VLOOKUP($B60,'A1.3.2'!$B$27:$AY$106,39,)) * $CR$5)</f>
        <v>28.337411878465993</v>
      </c>
      <c r="BA60" s="1565">
        <f>IF(ISERROR(MATCH($B60,'A1.3.2'!$B$27:$B$106,0)),"",(VLOOKUP($B60,'Forecast occupancies'!$C$28:$CP$64,51,TRUE) * VLOOKUP($B60,'A1.3.2'!$B$27:$AY$106,49,)) * $CR$5)</f>
        <v>69.908155054275213</v>
      </c>
      <c r="BB60" s="1565">
        <f>IF(ISERROR(MATCH($B60,'A1.3.2'!$B$27:$B$106,0)),"",(VLOOKUP($B60,'Forecast occupancies'!$C$28:$CP$64,52,TRUE) * VLOOKUP($B60,'A1.3.2'!$B$27:$AY$106,50,)) * $CR$5)</f>
        <v>56.069369308366248</v>
      </c>
      <c r="BC60" s="1567">
        <f>IF(ISERROR(MATCH($B60,'A1.3.2'!$B$27:$B$106,0)),"",SUM(AZ60:BB60))</f>
        <v>154.31493624110746</v>
      </c>
      <c r="BD60" s="1565">
        <f>IF(ISERROR(MATCH($B60,'A1.3.2'!$B$27:$B$106,0)),"",(((VLOOKUP($B60,'Forecast occupancies'!$C$28:$CP$64,54,TRUE)-1)*VLOOKUP($B60,'A1.3.2'!$B$27:$AY$106,36,)+VLOOKUP($B60,'A1.3.2'!$B$27:$AY$106,35,))*$CR$5))</f>
        <v>33.014586690060916</v>
      </c>
      <c r="BE60" s="1565">
        <f>IF(ISERROR(MATCH($B60,'A1.3.2'!$B$27:$B$106,0)),"",VLOOKUP($B60,'Forecast occupancies'!$C$28:$CP$64,55,TRUE)*VLOOKUP($B60,'A1.3.2'!$B$27:$AY$106,49,)*$CR$5)</f>
        <v>18.433754560908813</v>
      </c>
      <c r="BF60" s="1565">
        <f>IF(ISERROR(MATCH($B60,'A1.3.2'!$B$27:$B$106,0)),"",VLOOKUP($B60,'Forecast occupancies'!$C$28:$CP$64,56,TRUE)*VLOOKUP($B60,'A1.3.2'!$B$27:$AY$106,50,)*$CR$5)</f>
        <v>13.213011559379993</v>
      </c>
      <c r="BG60" s="1566">
        <f>IF(ISERROR(MATCH($B60,'A1.3.2'!$B$27:$B$106,0)),"",(((BD60*'VoT5'!$H$28)+(BE60*'VoT5'!$H$29)+(BF60*'VoT5'!$H$30))/100))</f>
        <v>17.782846380464726</v>
      </c>
      <c r="BH60" s="1565">
        <f>IF(ISERROR(MATCH($B60,'A1.3.2'!$B$27:$B$106,0)),"",(VLOOKUP($B60,'Forecast occupancies'!$C$28:$CP$64,58,TRUE) * VLOOKUP($B60, 'A1.3.2'!$B$27:$AY$106,37,)) * $CR$5)</f>
        <v>23.741875104777247</v>
      </c>
      <c r="BI60" s="1565">
        <f>IF(ISERROR(MATCH($B60,'A1.3.2'!$B$27:$B$106,0)),"",(VLOOKUP($B60,'Forecast occupancies'!$C$28:$CP$64,59,TRUE) * (VLOOKUP($B60,'A1.3.2'!$B$27:$AY$106,49,) * 'VoT5'!$J$29 + VLOOKUP($B60,'A1.3.2'!$B$27:$AY$106,50,) * 'VoT5'!$J$30) / (SUM('VoT5'!$J$29:$J$30))) * $CR$5)</f>
        <v>14.492527972281886</v>
      </c>
      <c r="BJ60" s="1566">
        <f>IF(ISERROR(MATCH($B60,'A1.3.2'!$B$27:$B$106,0)),"",(BH60*'VoT5'!$H$31 + BI60*'VoT5'!$H$32)/100)</f>
        <v>22.631953448877802</v>
      </c>
      <c r="BK60" s="1566">
        <f>IF(ISERROR(MATCH($B60,'A1.3.2'!$B$27:$B$106,0)),"",(VLOOKUP($B60,'Forecast occupancies'!$C$28:$CP$64,61,TRUE)*VLOOKUP($B60,'A1.3.2'!$B$27:$AY$106,38,)) * $CR$5)</f>
        <v>23.31137042502241</v>
      </c>
      <c r="BL60" s="1566">
        <f>IF(ISERROR(MATCH($B60,'A1.3.2'!$B$27:$B$106,0)),"",(VLOOKUP($B60,'Forecast occupancies'!$C$28:$CP$64,62,TRUE)*VLOOKUP($B60,'A1.3.2'!$B$27:$AY$106,38,)) * $CR$5)</f>
        <v>23.31137042502241</v>
      </c>
      <c r="BM60" s="1565">
        <f>IF(ISERROR(MATCH($B60,'A1.3.2'!$B$27:$B$106,0)),"",(((VLOOKUP($B60,'Forecast occupancies'!$C$28:$CP$64,63,TRUE) -1) * VLOOKUP($B60,'A1.3.2'!$B$27:$AY$106,40,)) + VLOOKUP($B60,'A1.3.2'!$B$27:$AY$106,39,)) * $CR$5)</f>
        <v>27.322684894772646</v>
      </c>
      <c r="BN60" s="1565">
        <f>IF(ISERROR(MATCH($B60,'A1.3.2'!$B$27:$B$106,0)),"",(VLOOKUP($B60,'Forecast occupancies'!$C$28:$CP$64,64,TRUE) * VLOOKUP($B60,'A1.3.2'!$B$27:$AY$106,49,)) * $CR$5)</f>
        <v>31.558883227114787</v>
      </c>
      <c r="BO60" s="1565">
        <f>IF(ISERROR(MATCH($B60,'A1.3.2'!$B$27:$B$106,0)),"",(VLOOKUP($B60,'Forecast occupancies'!$C$28:$CP$64,65,TRUE) * VLOOKUP($B60,'A1.3.2'!$B$27:$AY$106,50,)) * $CR$5)</f>
        <v>74.033001894861982</v>
      </c>
      <c r="BP60" s="1567">
        <f>IF(ISERROR(MATCH($B60,'A1.3.2'!$B$27:$B$106,0)),"",SUM(BM60:BO60))</f>
        <v>132.91457001674942</v>
      </c>
      <c r="BQ60" s="1565">
        <f>IF(ISERROR(MATCH($B60,'A1.3.2'!$B$27:$B$106,0)),"",(((VLOOKUP($B60,'Forecast occupancies'!$C$28:$CP$64,67,TRUE)-1)*VLOOKUP($B60,'A1.3.2'!$B$27:$AY$106,36,)+VLOOKUP($B60,'A1.3.2'!$B$27:$AY$106,35,))*$CR$5))</f>
        <v>37.731539689008954</v>
      </c>
      <c r="BR60" s="1565">
        <f>IF(ISERROR(MATCH($B60,'A1.3.2'!$B$27:$B$106,0)),"",VLOOKUP($B60,'Forecast occupancies'!$C$28:$CP$64,68,TRUE)*VLOOKUP($B60,'A1.3.2'!$B$27:$AY$106,49,)*$CR$5)</f>
        <v>19.516773258359883</v>
      </c>
      <c r="BS60" s="1565">
        <f>IF(ISERROR(MATCH($B60,'A1.3.2'!$B$27:$B$106,0)),"",VLOOKUP($B60,'Forecast occupancies'!$C$28:$CP$64,69,TRUE)*VLOOKUP($B60,'A1.3.2'!$B$27:$AY$106,50,)*$CR$5)</f>
        <v>15.644524202388583</v>
      </c>
      <c r="BT60" s="1566">
        <f>IF(ISERROR(MATCH($B60,'A1.3.2'!$B$27:$B$106,0)),"",(((BQ60*'VoT5'!$I$28)+(BR60*'VoT5'!$I$29)+(BS60*'VoT5'!$I$30))/100))</f>
        <v>16.717160723531773</v>
      </c>
      <c r="BU60" s="1565">
        <f>IF(ISERROR(MATCH($B60,'A1.3.2'!$B$27:$B$106,0)),"",(VLOOKUP($B60,'Forecast occupancies'!$C$28:$CP$64,71,TRUE) * VLOOKUP($B60, 'A1.3.2'!$B$27:$AY$106,37,)) * $CR$5)</f>
        <v>24.928968860016109</v>
      </c>
      <c r="BV60" s="1565">
        <f>IF(ISERROR(MATCH($B60,'A1.3.2'!$B$27:$B$106,0)),"",(VLOOKUP($B60,'Forecast occupancies'!$C$28:$CP$64,72,TRUE) * (VLOOKUP($B60,'A1.3.2'!$B$27:$AY$106,49,)*'VoT5'!$J$29 + VLOOKUP($B60,'A1.3.2'!$B$27:$AY$106,50,)*'VoT5'!$J$30) / (SUM('VoT5'!$J$29:$J$30))) * $CR$5)</f>
        <v>20.150569714885087</v>
      </c>
      <c r="BW60" s="1566">
        <f>IF(ISERROR(MATCH($B60,'A1.3.2'!$B$27:$B$106,0)),"",(BU60*'VoT5'!$I$31 + BV60*'VoT5'!$I$32)/100)</f>
        <v>24.355560962600389</v>
      </c>
      <c r="BX60" s="1566">
        <f>IF(ISERROR(MATCH($B60,'A1.3.2'!$B$27:$B$106,0)),"",(VLOOKUP($B60,'Forecast occupancies'!$C$28:$CP$64,74,TRUE)*VLOOKUP($B60,'A1.3.2'!$B$27:$AY$106,38,)) * $CR$5)</f>
        <v>23.31137042502241</v>
      </c>
      <c r="BY60" s="1566">
        <f>IF(ISERROR(MATCH($B60,'A1.3.2'!$B$27:$B$106,0)),"",(VLOOKUP($B60,'Forecast occupancies'!$C$28:$CP$64,75,TRUE)*VLOOKUP($B60,'A1.3.2'!$B$27:$AY$106,38,)) * $CR$5)</f>
        <v>23.31137042502241</v>
      </c>
      <c r="BZ60" s="1565">
        <f>IF(ISERROR(MATCH($B60,'A1.3.2'!$B$27:$B$106,0)),"",(((VLOOKUP($B60,'Forecast occupancies'!$C$28:$CP$64,76,TRUE) -1) * VLOOKUP($B60,'A1.3.2'!$B$27:$AY$106,40,)) + VLOOKUP($B60,'A1.3.2'!$B$27:$AY$106,39,)) * $CR$5)</f>
        <v>24.883706126556024</v>
      </c>
      <c r="CA60" s="1565">
        <f>IF(ISERROR(MATCH($B60,'A1.3.2'!$B$27:$B$106,0)),"",(VLOOKUP($B60,'Forecast occupancies'!$C$28:$CP$64,77,TRUE) * VLOOKUP($B60,'A1.3.2'!$B$27:$AY$106,49,)) * $CR$5)</f>
        <v>11.95572274451256</v>
      </c>
      <c r="CB60" s="1565">
        <f>IF(ISERROR(MATCH($B60,'A1.3.2'!$B$27:$B$106,0)),"",(VLOOKUP($B60,'Forecast occupancies'!$C$28:$CP$64,78,TRUE) * VLOOKUP($B60,'A1.3.2'!$B$27:$AY$106,50,)) * $CR$5)</f>
        <v>84.085817303585713</v>
      </c>
      <c r="CC60" s="1567">
        <f>IF(ISERROR(MATCH($B60,'A1.3.2'!$B$27:$B$106,0)),"",SUM(BZ60:CB60))</f>
        <v>120.92524617465429</v>
      </c>
      <c r="CD60" s="1565">
        <f>IF(ISERROR(MATCH($B60,'A1.3.2'!$B$27:$B$106,0)),"",(((VLOOKUP($B60,'Forecast occupancies'!$C$28:$CP$64,80,TRUE)-1)*VLOOKUP($B60,'A1.3.2'!$B$27:$AY$106,36,)+VLOOKUP($B60,'A1.3.2'!$B$27:$AY$106,35,))*$CR$5))</f>
        <v>33.349409209187463</v>
      </c>
      <c r="CE60" s="1565">
        <f>IF(ISERROR(MATCH($B60,'A1.3.2'!$B$27:$B$106,0)),"",VLOOKUP($B60,'Forecast occupancies'!$C$28:$CP$64,81,TRUE)*VLOOKUP($B60,'A1.3.2'!$B$27:$AY$106,49,)*$CR$5)</f>
        <v>18.521371487427505</v>
      </c>
      <c r="CF60" s="1565">
        <f>IF(ISERROR(MATCH($B60,'A1.3.2'!$B$27:$B$106,0)),"",VLOOKUP($B60,'Forecast occupancies'!$C$28:$CP$64,82,TRUE)*VLOOKUP($B60,'A1.3.2'!$B$27:$AY$106,50,)*$CR$5)</f>
        <v>14.071015593315204</v>
      </c>
      <c r="CG60" s="1566">
        <f>IF(ISERROR(MATCH($B60,'A1.3.2'!$B$27:$B$106,0)),"",(((CD60*'VoT5'!$J$28)+(CE60*'VoT5'!$J$29)+(CF60*'VoT5'!$J$30))/100))</f>
        <v>17.530177372222351</v>
      </c>
      <c r="CH60" s="1565">
        <f>IF(ISERROR(MATCH($B60,'A1.3.2'!$B$27:$B$106,0)),"",(VLOOKUP($B60,'Forecast occupancies'!$C$28:$CP$64,84,TRUE) * VLOOKUP($B60, 'A1.3.2'!$B$27:$AY$106,37,)) * $CR$5)</f>
        <v>23.741875104777247</v>
      </c>
      <c r="CI60" s="1565">
        <f>IF(ISERROR(MATCH($B60,'A1.3.2'!$B$27:$B$106,0)),"",(VLOOKUP($B60,'Forecast occupancies'!$C$28:$CP$64,85,TRUE) * (VLOOKUP($B60,'A1.3.2'!$B$27:$AY$106,49,)*'VoT5'!$J$29 + VLOOKUP($B60,'A1.3.2'!$B$27:$AY$106,50,)*'VoT5'!$J$30) / (SUM('VoT5'!$J$29:$J$30))) * $CR$5)</f>
        <v>15.782958545156301</v>
      </c>
      <c r="CJ60" s="1566">
        <f>IF(ISERROR(MATCH($B60,'A1.3.2'!$B$27:$B$106,0)),"",(CH60*'VoT5'!$J$31 + CI60*'VoT5'!$J$32)/100)</f>
        <v>22.78680511762273</v>
      </c>
      <c r="CK60" s="1566">
        <f>IF(ISERROR(MATCH($B60,'A1.3.2'!$B$27:$B$106,0)),"",(VLOOKUP($B60,'Forecast occupancies'!$C$28:$CP$64,87,TRUE)*VLOOKUP($B60,'A1.3.2'!$B$27:$AY$106,38,)) * $CR$5)</f>
        <v>23.31137042502241</v>
      </c>
      <c r="CL60" s="1566">
        <f>IF(ISERROR(MATCH($B60,'A1.3.2'!$B$27:$B$106,0)),"",(VLOOKUP($B60,'Forecast occupancies'!$C$28:$CP$64,88,TRUE)*VLOOKUP($B60,'A1.3.2'!$B$27:$AY$106,38,)) * $CR$5)</f>
        <v>23.31137042502241</v>
      </c>
      <c r="CM60" s="1565">
        <f>IF(ISERROR(MATCH($B60,'A1.3.2'!$B$27:$B$106,0)),"",(((VLOOKUP($B60,'Forecast occupancies'!$C$28:$CP$64,89,TRUE) -1) * VLOOKUP($B60,'A1.3.2'!$B$27:$AY$106,40,)) + VLOOKUP($B60,'A1.3.2'!$B$27:$AY$106,39,)) * $CR$5)</f>
        <v>26.720401282027368</v>
      </c>
      <c r="CN60" s="1565">
        <f>IF(ISERROR(MATCH($B60,'A1.3.2'!$B$27:$B$106,0)),"",(VLOOKUP($B60,'Forecast occupancies'!$C$28:$CP$64,90,TRUE) * VLOOKUP($B60,'A1.3.2'!$B$27:$AY$106,49,)) * $CR$5)</f>
        <v>26.717128251352751</v>
      </c>
      <c r="CO60" s="1565">
        <f>IF(ISERROR(MATCH($B60,'A1.3.2'!$B$27:$B$106,0)),"",(VLOOKUP($B60,'Forecast occupancies'!$C$28:$CP$64,91,TRUE) * VLOOKUP($B60,'A1.3.2'!$B$27:$AY$106,50,)) * $CR$5)</f>
        <v>76.515878975670603</v>
      </c>
      <c r="CP60" s="1567">
        <f>IF(ISERROR(MATCH($B60,'A1.3.2'!$B$27:$B$106,0)),"",SUM(CM60:CO60))</f>
        <v>129.95340850905072</v>
      </c>
    </row>
    <row r="61" spans="1:94" s="26" customFormat="1" ht="13.5" customHeight="1">
      <c r="A61" s="113"/>
      <c r="B61" s="82">
        <f t="shared" si="0"/>
        <v>2043</v>
      </c>
      <c r="D61" s="1609">
        <f>IF(ISERROR(MATCH($B61,'A1.3.2'!$B$27:$B$106,0)),"",(((VLOOKUP($B61,'Forecast occupancies'!$C$28:$CP$64,2,TRUE) -1) * VLOOKUP($B61,'A1.3.2'!$B$27:$AY$106,36,) + VLOOKUP($B61,'A1.3.2'!$B$27:$AY$106,35,)) * $CR$5))</f>
        <v>33.116834291636096</v>
      </c>
      <c r="E61" s="1565">
        <f>IF(ISERROR(MATCH($B61,'A1.3.2'!$B$27:$B$106,0)),"",VLOOKUP($B61,'Forecast occupancies'!$C$28:$CP$64,3,TRUE)*VLOOKUP($B61,'A1.3.2'!$B$27:$AY$106,49,)*$CR$5)</f>
        <v>18.663022435480272</v>
      </c>
      <c r="F61" s="1565">
        <f>IF(ISERROR(MATCH($B61,'A1.3.2'!$B$27:$B$106,0)),"",VLOOKUP($B61,'Forecast occupancies'!$C$28:$CP$64,4,TRUE)*VLOOKUP($B61,'A1.3.2'!$B$27:$AY$106,50,)*$CR$5)</f>
        <v>12.876039598011291</v>
      </c>
      <c r="G61" s="1566">
        <f>IF(ISERROR(MATCH($B61,'A1.3.2'!$B$27:$B$106,0)),"",(((D61*'VoT5'!$D$28)+(E61*'VoT5'!$D$29)+(F61*'VoT5'!$D$30))/100))</f>
        <v>18.757537931967622</v>
      </c>
      <c r="H61" s="1565">
        <f>IF(ISERROR(MATCH($B61,'A1.3.2'!$B$27:$B$106,0)),"",(VLOOKUP($B61,'Forecast occupancies'!$C$28:$CP$64,6,TRUE) * VLOOKUP($B61, 'A1.3.2'!$B$27:$AY$106,37,)) * $CR$5)</f>
        <v>24.202083377119852</v>
      </c>
      <c r="I61" s="1565">
        <f>IF(ISERROR(MATCH($B61,'A1.3.2'!$B$27:$B$106,0)),"",VLOOKUP($B61,'Forecast occupancies'!$C$28:$CP$64,7,TRUE) * ('VoT5'!$J$29*VLOOKUP($B61, 'A1.3.2'!$B$27:$AY$106,49,)+'VoT5'!$J$30*VLOOKUP($B61, 'A1.3.2'!$B$27:$AY$106,50,))/('VoT5'!$J$29+'VoT5'!$J$30) * $CR$5)</f>
        <v>14.773448549555862</v>
      </c>
      <c r="J61" s="1566">
        <f>IF(ISERROR(MATCH($B61,'A1.3.2'!$B$27:$B$106,0)),"",(H61*'VoT5'!$D$31 + I61*'VoT5'!$D$32)/100)</f>
        <v>23.070647197812171</v>
      </c>
      <c r="K61" s="1566">
        <f>IF(ISERROR(MATCH($B61,'A1.3.2'!$B$27:$B$106,0)),"",(VLOOKUP($B61,'Forecast occupancies'!$C$28:$CP$64,9,TRUE)*VLOOKUP($B61,'A1.3.2'!$B$27:$AY$106,38,)) * $CR$5)</f>
        <v>23.763233871439049</v>
      </c>
      <c r="L61" s="1566">
        <f>IF(ISERROR(MATCH($B61,'A1.3.2'!$B$27:$B$106,0)),"",(VLOOKUP($B61,'Forecast occupancies'!$C$28:$CP$64,10,TRUE)*VLOOKUP($B61,'A1.3.2'!$B$27:$AY$106,38,)) * $CR$5)</f>
        <v>23.763233871439049</v>
      </c>
      <c r="M61" s="1565">
        <f>IF(ISERROR(MATCH($B61,'A1.3.2'!$B$27:$B$106,0)),"",(((VLOOKUP($B61,'Forecast occupancies'!$C$28:$CP$64,11,TRUE) -1) * VLOOKUP($B61,'A1.3.2'!$B$27:$AY$106,40,)) + VLOOKUP($B61,'A1.3.2'!$B$27:$AY$106,39,)) * $CR$5)</f>
        <v>27.078419842906634</v>
      </c>
      <c r="N61" s="1565">
        <f>IF(ISERROR(MATCH($B61,'A1.3.2'!$B$27:$B$106,0)),"",(VLOOKUP($B61,'Forecast occupancies'!$C$28:$CP$64,12,TRUE) * VLOOKUP($B61,'A1.3.2'!$B$27:$AY$106,49,)) * $CR$5)</f>
        <v>37.068331244620417</v>
      </c>
      <c r="O61" s="1565">
        <f>IF(ISERROR(MATCH($B61,'A1.3.2'!$B$27:$B$106,0)),"",(VLOOKUP($B61,'Forecast occupancies'!$C$28:$CP$64,13,TRUE) * VLOOKUP($B61,'A1.3.2'!$B$27:$AY$106,50,)) * $CR$5)</f>
        <v>73.583303380743956</v>
      </c>
      <c r="P61" s="1567">
        <f>IF(ISERROR(MATCH($B61,'A1.3.2'!$B$27:$B$106,0)),"",SUM(M61:O61))</f>
        <v>137.73005446827102</v>
      </c>
      <c r="Q61" s="1609">
        <f>IF(ISERROR(MATCH($B61,'A1.3.2'!$B$27:$B$106,0)),"",(((VLOOKUP($B61,'Forecast occupancies'!$C$28:$CP$64,15,TRUE)-1)*VLOOKUP($B61,'A1.3.2'!$B$27:$AY$106,36,)+VLOOKUP($B61,'A1.3.2'!$B$27:$AY$106,35,))*$CR$5))</f>
        <v>33.935568878158733</v>
      </c>
      <c r="R61" s="1565">
        <f>IF(ISERROR(MATCH($B61,'A1.3.2'!$B$27:$B$106,0)),"",VLOOKUP($B61,'Forecast occupancies'!$C$28:$CP$64,16,TRUE)*VLOOKUP($B61,'A1.3.2'!$B$27:$AY$106,49,)*$CR$5)</f>
        <v>18.966484920613887</v>
      </c>
      <c r="S61" s="1565">
        <f>IF(ISERROR(MATCH($B61,'A1.3.2'!$B$27:$B$106,0)),"",VLOOKUP($B61,'Forecast occupancies'!$C$28:$CP$64,17,TRUE)*VLOOKUP($B61,'A1.3.2'!$B$27:$AY$106,50,)*$CR$5)</f>
        <v>13.716023751295312</v>
      </c>
      <c r="T61" s="1566">
        <f>IF(ISERROR(MATCH($B61,'A1.3.2'!$B$27:$B$106,0)),"",(((Q61*'VoT5'!$E$28)+(R61*'VoT5'!$E$29)+(S61*'VoT5'!$E$30))/100))</f>
        <v>17.666029922468269</v>
      </c>
      <c r="U61" s="1565">
        <f>IF(ISERROR(MATCH($B61,'A1.3.2'!$B$27:$B$106,0)),"",(VLOOKUP($B61,'Forecast occupancies'!$C$28:$CP$64,19,TRUE) * VLOOKUP($B61, 'A1.3.2'!$B$27:$AY$106,37,)) * $CR$5)</f>
        <v>24.202083377119852</v>
      </c>
      <c r="V61" s="1565">
        <f>IF(ISERROR(MATCH($B61,'A1.3.2'!$B$27:$B$106,0)),"",VLOOKUP($B61,'Forecast occupancies'!$C$28:$CP$64,20,TRUE) * ('VoT5'!$J$29*VLOOKUP($B61, 'A1.3.2'!$B$27:$AY$106,49,)+'VoT5'!$J$30*VLOOKUP($B61, 'A1.3.2'!$B$27:$AY$106,50,))/('VoT5'!$J$29+'VoT5'!$J$30) * $CR$5)</f>
        <v>14.773448549555862</v>
      </c>
      <c r="W61" s="1566">
        <f>IF(ISERROR(MATCH($B61,'A1.3.2'!$B$27:$B$106,0)),"",(U61*'VoT5'!$E$31 + V61*'VoT5'!$E$32)/100)</f>
        <v>23.070647197812171</v>
      </c>
      <c r="X61" s="1566">
        <f>IF(ISERROR(MATCH($B61,'A1.3.2'!$B$27:$B$106,0)),"",(VLOOKUP($B61,'Forecast occupancies'!$C$28:$CP$64,22,TRUE)*VLOOKUP($B61,'A1.3.2'!$B$27:$AY$106,38,)) * $CR$5)</f>
        <v>23.763233871439049</v>
      </c>
      <c r="Y61" s="1566">
        <f>IF(ISERROR(MATCH($B61,'A1.3.2'!$B$27:$B$106,0)),"",(VLOOKUP($B61,'Forecast occupancies'!$C$28:$CP$64,23,TRUE)*VLOOKUP($B61,'A1.3.2'!$B$27:$AY$106,38,)) * $CR$5)</f>
        <v>23.763233871439049</v>
      </c>
      <c r="Z61" s="1565">
        <f>IF(ISERROR(MATCH($B61,'A1.3.2'!$B$27:$B$106,0)),"",(((VLOOKUP($B61,'Forecast occupancies'!$C$28:$CP$64,24,TRUE) -1) * VLOOKUP($B61,'A1.3.2'!$B$27:$AY$106,40,)) + VLOOKUP($B61,'A1.3.2'!$B$27:$AY$106,39,)) * $CR$5)</f>
        <v>27.631114472086107</v>
      </c>
      <c r="AA61" s="1565">
        <f>IF(ISERROR(MATCH($B61,'A1.3.2'!$B$27:$B$106,0)),"",(VLOOKUP($B61,'Forecast occupancies'!$C$28:$CP$64,25,TRUE) * VLOOKUP($B61,'A1.3.2'!$B$27:$AY$106,49,)) * $CR$5)</f>
        <v>12.991270530943575</v>
      </c>
      <c r="AB61" s="1565">
        <f>IF(ISERROR(MATCH($B61,'A1.3.2'!$B$27:$B$106,0)),"",(VLOOKUP($B61,'Forecast occupancies'!$C$28:$CP$64,26,TRUE) * VLOOKUP($B61,'A1.3.2'!$B$27:$AY$106,50,)) * $CR$5)</f>
        <v>84.32231535481958</v>
      </c>
      <c r="AC61" s="1567">
        <f>IF(ISERROR(MATCH($B61,'A1.3.2'!$B$27:$B$106,0)),"",SUM(Z61:AB61))</f>
        <v>124.94470035784926</v>
      </c>
      <c r="AD61" s="1609">
        <f>IF(ISERROR(MATCH($B61,'A1.3.2'!$B$27:$B$106,0)),"",(((VLOOKUP($B61,'Forecast occupancies'!$C$28:$CP$64,28,TRUE)-1)*VLOOKUP($B61,'A1.3.2'!$B$27:$AY$106,36,)+VLOOKUP($B61,'A1.3.2'!$B$27:$AY$106,35,))*$CR$5))</f>
        <v>33.594760734449608</v>
      </c>
      <c r="AE61" s="1565">
        <f>IF(ISERROR(MATCH($B61,'A1.3.2'!$B$27:$B$106,0)),"",VLOOKUP($B61,'Forecast occupancies'!$C$28:$CP$64,29,TRUE)*VLOOKUP($B61,'A1.3.2'!$B$27:$AY$106,49,)*$CR$5)</f>
        <v>18.727397862697021</v>
      </c>
      <c r="AF61" s="1565">
        <f>IF(ISERROR(MATCH($B61,'A1.3.2'!$B$27:$B$106,0)),"",VLOOKUP($B61,'Forecast occupancies'!$C$28:$CP$64,30,TRUE)*VLOOKUP($B61,'A1.3.2'!$B$27:$AY$106,50,)*$CR$5)</f>
        <v>13.483887528338522</v>
      </c>
      <c r="AG61" s="1566">
        <f>IF(ISERROR(MATCH($B61,'A1.3.2'!$B$27:$B$106,0)),"",(((AD61*'VoT5'!$F$28)+(AE61*'VoT5'!$F$29)+(AF61*'VoT5'!$F$30))/100))</f>
        <v>18.022143228303324</v>
      </c>
      <c r="AH61" s="1565">
        <f>IF(ISERROR(MATCH($B61,'A1.3.2'!$B$27:$B$106,0)),"",(VLOOKUP($B61,'Forecast occupancies'!$C$28:$CP$64,32,TRUE) * VLOOKUP($B61, 'A1.3.2'!$B$27:$AY$106,37,)) * $CR$5)</f>
        <v>24.202083377119852</v>
      </c>
      <c r="AI61" s="1565">
        <f>IF(ISERROR(MATCH($B61,'A1.3.2'!$B$27:$B$106,0)),"",VLOOKUP($B61,'Forecast occupancies'!$C$28:$CP$64,33,TRUE) * ('VoT5'!$J$29*VLOOKUP($B61, 'A1.3.2'!$B$27:$AY$106,49,)+'VoT5'!$J$30*VLOOKUP($B61, 'A1.3.2'!$B$27:$AY$106,50,))/('VoT5'!$J$29+'VoT5'!$J$30) * $CR$5)</f>
        <v>14.773448549555862</v>
      </c>
      <c r="AJ61" s="1566">
        <f>IF(ISERROR(MATCH($B61,'A1.3.2'!$B$27:$B$106,0)),"",(AH61*'VoT5'!$F$31 + AI61*'VoT5'!$F$32)/100)</f>
        <v>23.070647197812171</v>
      </c>
      <c r="AK61" s="1566">
        <f>IF(ISERROR(MATCH($B61,'A1.3.2'!$B$27:$B$106,0)),"",(VLOOKUP($B61,'Forecast occupancies'!$C$28:$CP$64,35,TRUE)*VLOOKUP($B61,'A1.3.2'!$B$27:$AY$106,38,)) * $CR$5)</f>
        <v>23.763233871439049</v>
      </c>
      <c r="AL61" s="1566">
        <f>IF(ISERROR(MATCH($B61,'A1.3.2'!$B$27:$B$106,0)),"",(VLOOKUP($B61,'Forecast occupancies'!$C$28:$CP$64,36,TRUE)*VLOOKUP($B61,'A1.3.2'!$B$27:$AY$106,38,)) * $CR$5)</f>
        <v>23.763233871439049</v>
      </c>
      <c r="AM61" s="1565">
        <f>IF(ISERROR(MATCH($B61,'A1.3.2'!$B$27:$B$106,0)),"",(((VLOOKUP($B61,'Forecast occupancies'!$C$28:$CP$64,37,TRUE) -1) * VLOOKUP($B61,'A1.3.2'!$B$27:$AY$106,40,)) + VLOOKUP($B61,'A1.3.2'!$B$27:$AY$106,39,)) * $CR$5)</f>
        <v>28.910078019889923</v>
      </c>
      <c r="AN61" s="1565">
        <f>IF(ISERROR(MATCH($B61,'A1.3.2'!$B$27:$B$106,0)),"",(VLOOKUP($B61,'Forecast occupancies'!$C$28:$CP$64,38,TRUE) * VLOOKUP($B61,'A1.3.2'!$B$27:$AY$106,49,)) * $CR$5)</f>
        <v>52.13206817787664</v>
      </c>
      <c r="AO61" s="1565">
        <f>IF(ISERROR(MATCH($B61,'A1.3.2'!$B$27:$B$106,0)),"",(VLOOKUP($B61,'Forecast occupancies'!$C$28:$CP$64,39,TRUE) * VLOOKUP($B61,'A1.3.2'!$B$27:$AY$106,50,)) * $CR$5)</f>
        <v>65.877654674414487</v>
      </c>
      <c r="AP61" s="1567">
        <f>IF(ISERROR(MATCH($B61,'A1.3.2'!$B$27:$B$106,0)),"",SUM(AM61:AO61))</f>
        <v>146.91980087218104</v>
      </c>
      <c r="AQ61" s="1609">
        <f>IF(ISERROR(MATCH($B61,'A1.3.2'!$B$27:$B$106,0)),"",(((VLOOKUP($B61,'Forecast occupancies'!$C$28:$CP$64,41,TRUE)-1)*VLOOKUP($B61,'A1.3.2'!$B$27:$AY$106,36,)+VLOOKUP($B61,'A1.3.2'!$B$27:$AY$106,35,))*$CR$5))</f>
        <v>34.230394508858716</v>
      </c>
      <c r="AR61" s="1565">
        <f>IF(ISERROR(MATCH($B61,'A1.3.2'!$B$27:$B$106,0)),"",VLOOKUP($B61,'Forecast occupancies'!$C$28:$CP$64,42,TRUE)*VLOOKUP($B61,'A1.3.2'!$B$27:$AY$106,49,)*$CR$5)</f>
        <v>19.00149116618514</v>
      </c>
      <c r="AS61" s="1565">
        <f>IF(ISERROR(MATCH($B61,'A1.3.2'!$B$27:$B$106,0)),"",VLOOKUP($B61,'Forecast occupancies'!$C$28:$CP$64,43,TRUE)*VLOOKUP($B61,'A1.3.2'!$B$27:$AY$106,50,)*$CR$5)</f>
        <v>13.435747093111065</v>
      </c>
      <c r="AT61" s="1566">
        <f>IF(ISERROR(MATCH($B61,'A1.3.2'!$B$27:$B$106,0)),"",(((AQ61*'VoT5'!$G$28)+(AR61*'VoT5'!$G$29)+(AS61*'VoT5'!$G$30))/100))</f>
        <v>18.259040694037136</v>
      </c>
      <c r="AU61" s="1565">
        <f>IF(ISERROR(MATCH($B61,'A1.3.2'!$B$27:$B$106,0)),"",(VLOOKUP($B61,'Forecast occupancies'!$C$28:$CP$64,45,TRUE) * VLOOKUP($B61, 'A1.3.2'!$B$27:$AY$106,37,)) * $CR$5)</f>
        <v>24.202083377119852</v>
      </c>
      <c r="AV61" s="1565">
        <f>IF(ISERROR(MATCH($B61,'A1.3.2'!$B$27:$B$106,0)),"",VLOOKUP($B61,'Forecast occupancies'!$C$28:$CP$64,46,TRUE) * ('VoT5'!$J$29*VLOOKUP($B61, 'A1.3.2'!$B$27:$AY$106,49,)+'VoT5'!$J$30*VLOOKUP($B61, 'A1.3.2'!$B$27:$AY$106,50,))/('VoT5'!$J$29+'VoT5'!$J$30) * $CR$5)</f>
        <v>14.773448549555862</v>
      </c>
      <c r="AW61" s="1566">
        <f>IF(ISERROR(MATCH($B61,'A1.3.2'!$B$27:$B$106,0)),"",(AU61*'VoT5'!$G$31 + AV61*'VoT5'!$G$32)/100)</f>
        <v>23.070647197812171</v>
      </c>
      <c r="AX61" s="1566">
        <f>IF(ISERROR(MATCH($B61,'A1.3.2'!$B$27:$B$106,0)),"",(VLOOKUP($B61,'Forecast occupancies'!$C$28:$CP$64,48,TRUE)*VLOOKUP($B61,'A1.3.2'!$B$27:$AY$106,38,)) * $CR$5)</f>
        <v>23.763233871439049</v>
      </c>
      <c r="AY61" s="1566">
        <f>IF(ISERROR(MATCH($B61,'A1.3.2'!$B$27:$B$106,0)),"",(VLOOKUP($B61,'Forecast occupancies'!$C$28:$CP$64,49,TRUE)*VLOOKUP($B61,'A1.3.2'!$B$27:$AY$106,38,)) * $CR$5)</f>
        <v>23.763233871439049</v>
      </c>
      <c r="AZ61" s="1565">
        <f>IF(ISERROR(MATCH($B61,'A1.3.2'!$B$27:$B$106,0)),"",(((VLOOKUP($B61,'Forecast occupancies'!$C$28:$CP$64,50,TRUE) -1) * VLOOKUP($B61,'A1.3.2'!$B$27:$AY$106,40,)) + VLOOKUP($B61,'A1.3.2'!$B$27:$AY$106,39,)) * $CR$5)</f>
        <v>28.886699215952888</v>
      </c>
      <c r="BA61" s="1565">
        <f>IF(ISERROR(MATCH($B61,'A1.3.2'!$B$27:$B$106,0)),"",(VLOOKUP($B61,'Forecast occupancies'!$C$28:$CP$64,51,TRUE) * VLOOKUP($B61,'A1.3.2'!$B$27:$AY$106,49,)) * $CR$5)</f>
        <v>71.263242262770945</v>
      </c>
      <c r="BB61" s="1565">
        <f>IF(ISERROR(MATCH($B61,'A1.3.2'!$B$27:$B$106,0)),"",(VLOOKUP($B61,'Forecast occupancies'!$C$28:$CP$64,52,TRUE) * VLOOKUP($B61,'A1.3.2'!$B$27:$AY$106,50,)) * $CR$5)</f>
        <v>57.156207962300137</v>
      </c>
      <c r="BC61" s="1567">
        <f>IF(ISERROR(MATCH($B61,'A1.3.2'!$B$27:$B$106,0)),"",SUM(AZ61:BB61))</f>
        <v>157.30614944102396</v>
      </c>
      <c r="BD61" s="1565">
        <f>IF(ISERROR(MATCH($B61,'A1.3.2'!$B$27:$B$106,0)),"",(((VLOOKUP($B61,'Forecast occupancies'!$C$28:$CP$64,54,TRUE)-1)*VLOOKUP($B61,'A1.3.2'!$B$27:$AY$106,36,)+VLOOKUP($B61,'A1.3.2'!$B$27:$AY$106,35,))*$CR$5))</f>
        <v>33.654535549857613</v>
      </c>
      <c r="BE61" s="1565">
        <f>IF(ISERROR(MATCH($B61,'A1.3.2'!$B$27:$B$106,0)),"",VLOOKUP($B61,'Forecast occupancies'!$C$28:$CP$64,55,TRUE)*VLOOKUP($B61,'A1.3.2'!$B$27:$AY$106,49,)*$CR$5)</f>
        <v>18.791071171405026</v>
      </c>
      <c r="BF61" s="1565">
        <f>IF(ISERROR(MATCH($B61,'A1.3.2'!$B$27:$B$106,0)),"",VLOOKUP($B61,'Forecast occupancies'!$C$28:$CP$64,56,TRUE)*VLOOKUP($B61,'A1.3.2'!$B$27:$AY$106,50,)*$CR$5)</f>
        <v>13.469130218725546</v>
      </c>
      <c r="BG61" s="1566">
        <f>IF(ISERROR(MATCH($B61,'A1.3.2'!$B$27:$B$106,0)),"",(((BD61*'VoT5'!$H$28)+(BE61*'VoT5'!$H$29)+(BF61*'VoT5'!$H$30))/100))</f>
        <v>18.127545902889594</v>
      </c>
      <c r="BH61" s="1565">
        <f>IF(ISERROR(MATCH($B61,'A1.3.2'!$B$27:$B$106,0)),"",(VLOOKUP($B61,'Forecast occupancies'!$C$28:$CP$64,58,TRUE) * VLOOKUP($B61, 'A1.3.2'!$B$27:$AY$106,37,)) * $CR$5)</f>
        <v>24.202083377119852</v>
      </c>
      <c r="BI61" s="1565">
        <f>IF(ISERROR(MATCH($B61,'A1.3.2'!$B$27:$B$106,0)),"",(VLOOKUP($B61,'Forecast occupancies'!$C$28:$CP$64,59,TRUE) * (VLOOKUP($B61,'A1.3.2'!$B$27:$AY$106,49,) * 'VoT5'!$J$29 + VLOOKUP($B61,'A1.3.2'!$B$27:$AY$106,50,) * 'VoT5'!$J$30) / (SUM('VoT5'!$J$29:$J$30))) * $CR$5)</f>
        <v>14.773448549555862</v>
      </c>
      <c r="BJ61" s="1566">
        <f>IF(ISERROR(MATCH($B61,'A1.3.2'!$B$27:$B$106,0)),"",(BH61*'VoT5'!$H$31 + BI61*'VoT5'!$H$32)/100)</f>
        <v>23.070647197812171</v>
      </c>
      <c r="BK61" s="1566">
        <f>IF(ISERROR(MATCH($B61,'A1.3.2'!$B$27:$B$106,0)),"",(VLOOKUP($B61,'Forecast occupancies'!$C$28:$CP$64,61,TRUE)*VLOOKUP($B61,'A1.3.2'!$B$27:$AY$106,38,)) * $CR$5)</f>
        <v>23.763233871439049</v>
      </c>
      <c r="BL61" s="1566">
        <f>IF(ISERROR(MATCH($B61,'A1.3.2'!$B$27:$B$106,0)),"",(VLOOKUP($B61,'Forecast occupancies'!$C$28:$CP$64,62,TRUE)*VLOOKUP($B61,'A1.3.2'!$B$27:$AY$106,38,)) * $CR$5)</f>
        <v>23.763233871439049</v>
      </c>
      <c r="BM61" s="1565">
        <f>IF(ISERROR(MATCH($B61,'A1.3.2'!$B$27:$B$106,0)),"",(((VLOOKUP($B61,'Forecast occupancies'!$C$28:$CP$64,63,TRUE) -1) * VLOOKUP($B61,'A1.3.2'!$B$27:$AY$106,40,)) + VLOOKUP($B61,'A1.3.2'!$B$27:$AY$106,39,)) * $CR$5)</f>
        <v>27.852302945398076</v>
      </c>
      <c r="BN61" s="1565">
        <f>IF(ISERROR(MATCH($B61,'A1.3.2'!$B$27:$B$106,0)),"",(VLOOKUP($B61,'Forecast occupancies'!$C$28:$CP$64,64,TRUE) * VLOOKUP($B61,'A1.3.2'!$B$27:$AY$106,49,)) * $CR$5)</f>
        <v>32.170614990630384</v>
      </c>
      <c r="BO61" s="1565">
        <f>IF(ISERROR(MATCH($B61,'A1.3.2'!$B$27:$B$106,0)),"",(VLOOKUP($B61,'Forecast occupancies'!$C$28:$CP$64,65,TRUE) * VLOOKUP($B61,'A1.3.2'!$B$27:$AY$106,50,)) * $CR$5)</f>
        <v>75.468044398792742</v>
      </c>
      <c r="BP61" s="1567">
        <f>IF(ISERROR(MATCH($B61,'A1.3.2'!$B$27:$B$106,0)),"",SUM(BM61:BO61))</f>
        <v>135.49096233482121</v>
      </c>
      <c r="BQ61" s="1565">
        <f>IF(ISERROR(MATCH($B61,'A1.3.2'!$B$27:$B$106,0)),"",(((VLOOKUP($B61,'Forecast occupancies'!$C$28:$CP$64,67,TRUE)-1)*VLOOKUP($B61,'A1.3.2'!$B$27:$AY$106,36,)+VLOOKUP($B61,'A1.3.2'!$B$27:$AY$106,35,))*$CR$5))</f>
        <v>38.462921124404133</v>
      </c>
      <c r="BR61" s="1565">
        <f>IF(ISERROR(MATCH($B61,'A1.3.2'!$B$27:$B$106,0)),"",VLOOKUP($B61,'Forecast occupancies'!$C$28:$CP$64,68,TRUE)*VLOOKUP($B61,'A1.3.2'!$B$27:$AY$106,49,)*$CR$5)</f>
        <v>19.89508291011628</v>
      </c>
      <c r="BS61" s="1565">
        <f>IF(ISERROR(MATCH($B61,'A1.3.2'!$B$27:$B$106,0)),"",VLOOKUP($B61,'Forecast occupancies'!$C$28:$CP$64,69,TRUE)*VLOOKUP($B61,'A1.3.2'!$B$27:$AY$106,50,)*$CR$5)</f>
        <v>15.947774869112651</v>
      </c>
      <c r="BT61" s="1566">
        <f>IF(ISERROR(MATCH($B61,'A1.3.2'!$B$27:$B$106,0)),"",(((BQ61*'VoT5'!$I$28)+(BR61*'VoT5'!$I$29)+(BS61*'VoT5'!$I$30))/100))</f>
        <v>17.041203185262276</v>
      </c>
      <c r="BU61" s="1565">
        <f>IF(ISERROR(MATCH($B61,'A1.3.2'!$B$27:$B$106,0)),"",(VLOOKUP($B61,'Forecast occupancies'!$C$28:$CP$64,71,TRUE) * VLOOKUP($B61, 'A1.3.2'!$B$27:$AY$106,37,)) * $CR$5)</f>
        <v>25.412187545975844</v>
      </c>
      <c r="BV61" s="1565">
        <f>IF(ISERROR(MATCH($B61,'A1.3.2'!$B$27:$B$106,0)),"",(VLOOKUP($B61,'Forecast occupancies'!$C$28:$CP$64,72,TRUE) * (VLOOKUP($B61,'A1.3.2'!$B$27:$AY$106,49,)*'VoT5'!$J$29 + VLOOKUP($B61,'A1.3.2'!$B$27:$AY$106,50,)*'VoT5'!$J$30) / (SUM('VoT5'!$J$29:$J$30))) * $CR$5)</f>
        <v>20.541164764108494</v>
      </c>
      <c r="BW61" s="1566">
        <f>IF(ISERROR(MATCH($B61,'A1.3.2'!$B$27:$B$106,0)),"",(BU61*'VoT5'!$I$31 + BV61*'VoT5'!$I$32)/100)</f>
        <v>24.82766481215176</v>
      </c>
      <c r="BX61" s="1566">
        <f>IF(ISERROR(MATCH($B61,'A1.3.2'!$B$27:$B$106,0)),"",(VLOOKUP($B61,'Forecast occupancies'!$C$28:$CP$64,74,TRUE)*VLOOKUP($B61,'A1.3.2'!$B$27:$AY$106,38,)) * $CR$5)</f>
        <v>23.763233871439049</v>
      </c>
      <c r="BY61" s="1566">
        <f>IF(ISERROR(MATCH($B61,'A1.3.2'!$B$27:$B$106,0)),"",(VLOOKUP($B61,'Forecast occupancies'!$C$28:$CP$64,75,TRUE)*VLOOKUP($B61,'A1.3.2'!$B$27:$AY$106,38,)) * $CR$5)</f>
        <v>23.763233871439049</v>
      </c>
      <c r="BZ61" s="1565">
        <f>IF(ISERROR(MATCH($B61,'A1.3.2'!$B$27:$B$106,0)),"",(((VLOOKUP($B61,'Forecast occupancies'!$C$28:$CP$64,76,TRUE) -1) * VLOOKUP($B61,'A1.3.2'!$B$27:$AY$106,40,)) + VLOOKUP($B61,'A1.3.2'!$B$27:$AY$106,39,)) * $CR$5)</f>
        <v>25.366047447763592</v>
      </c>
      <c r="CA61" s="1565">
        <f>IF(ISERROR(MATCH($B61,'A1.3.2'!$B$27:$B$106,0)),"",(VLOOKUP($B61,'Forecast occupancies'!$C$28:$CP$64,77,TRUE) * VLOOKUP($B61,'A1.3.2'!$B$27:$AY$106,49,)) * $CR$5)</f>
        <v>12.187470341725392</v>
      </c>
      <c r="CB61" s="1565">
        <f>IF(ISERROR(MATCH($B61,'A1.3.2'!$B$27:$B$106,0)),"",(VLOOKUP($B61,'Forecast occupancies'!$C$28:$CP$64,78,TRUE) * VLOOKUP($B61,'A1.3.2'!$B$27:$AY$106,50,)) * $CR$5)</f>
        <v>85.715721788341952</v>
      </c>
      <c r="CC61" s="1567">
        <f>IF(ISERROR(MATCH($B61,'A1.3.2'!$B$27:$B$106,0)),"",SUM(BZ61:CB61))</f>
        <v>123.26923957783094</v>
      </c>
      <c r="CD61" s="1565">
        <f>IF(ISERROR(MATCH($B61,'A1.3.2'!$B$27:$B$106,0)),"",(((VLOOKUP($B61,'Forecast occupancies'!$C$28:$CP$64,80,TRUE)-1)*VLOOKUP($B61,'A1.3.2'!$B$27:$AY$106,36,)+VLOOKUP($B61,'A1.3.2'!$B$27:$AY$106,35,))*$CR$5))</f>
        <v>33.995848208974735</v>
      </c>
      <c r="CE61" s="1565">
        <f>IF(ISERROR(MATCH($B61,'A1.3.2'!$B$27:$B$106,0)),"",VLOOKUP($B61,'Forecast occupancies'!$C$28:$CP$64,81,TRUE)*VLOOKUP($B61,'A1.3.2'!$B$27:$AY$106,49,)*$CR$5)</f>
        <v>18.88038644879968</v>
      </c>
      <c r="CF61" s="1565">
        <f>IF(ISERROR(MATCH($B61,'A1.3.2'!$B$27:$B$106,0)),"",VLOOKUP($B61,'Forecast occupancies'!$C$28:$CP$64,82,TRUE)*VLOOKUP($B61,'A1.3.2'!$B$27:$AY$106,50,)*$CR$5)</f>
        <v>14.343765649817794</v>
      </c>
      <c r="CG61" s="1566">
        <f>IF(ISERROR(MATCH($B61,'A1.3.2'!$B$27:$B$106,0)),"",(((CD61*'VoT5'!$J$28)+(CE61*'VoT5'!$J$29)+(CF61*'VoT5'!$J$30))/100))</f>
        <v>17.869979203658428</v>
      </c>
      <c r="CH61" s="1565">
        <f>IF(ISERROR(MATCH($B61,'A1.3.2'!$B$27:$B$106,0)),"",(VLOOKUP($B61,'Forecast occupancies'!$C$28:$CP$64,84,TRUE) * VLOOKUP($B61, 'A1.3.2'!$B$27:$AY$106,37,)) * $CR$5)</f>
        <v>24.202083377119852</v>
      </c>
      <c r="CI61" s="1565">
        <f>IF(ISERROR(MATCH($B61,'A1.3.2'!$B$27:$B$106,0)),"",(VLOOKUP($B61,'Forecast occupancies'!$C$28:$CP$64,85,TRUE) * (VLOOKUP($B61,'A1.3.2'!$B$27:$AY$106,49,)*'VoT5'!$J$29 + VLOOKUP($B61,'A1.3.2'!$B$27:$AY$106,50,)*'VoT5'!$J$30) / (SUM('VoT5'!$J$29:$J$30))) * $CR$5)</f>
        <v>16.088892598488922</v>
      </c>
      <c r="CJ61" s="1566">
        <f>IF(ISERROR(MATCH($B61,'A1.3.2'!$B$27:$B$106,0)),"",(CH61*'VoT5'!$J$31 + CI61*'VoT5'!$J$32)/100)</f>
        <v>23.228500483684137</v>
      </c>
      <c r="CK61" s="1566">
        <f>IF(ISERROR(MATCH($B61,'A1.3.2'!$B$27:$B$106,0)),"",(VLOOKUP($B61,'Forecast occupancies'!$C$28:$CP$64,87,TRUE)*VLOOKUP($B61,'A1.3.2'!$B$27:$AY$106,38,)) * $CR$5)</f>
        <v>23.763233871439049</v>
      </c>
      <c r="CL61" s="1566">
        <f>IF(ISERROR(MATCH($B61,'A1.3.2'!$B$27:$B$106,0)),"",(VLOOKUP($B61,'Forecast occupancies'!$C$28:$CP$64,88,TRUE)*VLOOKUP($B61,'A1.3.2'!$B$27:$AY$106,38,)) * $CR$5)</f>
        <v>23.763233871439049</v>
      </c>
      <c r="CM61" s="1565">
        <f>IF(ISERROR(MATCH($B61,'A1.3.2'!$B$27:$B$106,0)),"",(((VLOOKUP($B61,'Forecast occupancies'!$C$28:$CP$64,89,TRUE) -1) * VLOOKUP($B61,'A1.3.2'!$B$27:$AY$106,40,)) + VLOOKUP($B61,'A1.3.2'!$B$27:$AY$106,39,)) * $CR$5)</f>
        <v>27.238344774528869</v>
      </c>
      <c r="CN61" s="1565">
        <f>IF(ISERROR(MATCH($B61,'A1.3.2'!$B$27:$B$106,0)),"",(VLOOKUP($B61,'Forecast occupancies'!$C$28:$CP$64,90,TRUE) * VLOOKUP($B61,'A1.3.2'!$B$27:$AY$106,49,)) * $CR$5)</f>
        <v>27.235008300011447</v>
      </c>
      <c r="CO61" s="1565">
        <f>IF(ISERROR(MATCH($B61,'A1.3.2'!$B$27:$B$106,0)),"",(VLOOKUP($B61,'Forecast occupancies'!$C$28:$CP$64,91,TRUE) * VLOOKUP($B61,'A1.3.2'!$B$27:$AY$106,50,)) * $CR$5)</f>
        <v>77.999049126080649</v>
      </c>
      <c r="CP61" s="1567">
        <f>IF(ISERROR(MATCH($B61,'A1.3.2'!$B$27:$B$106,0)),"",SUM(CM61:CO61))</f>
        <v>132.47240220062096</v>
      </c>
    </row>
    <row r="62" spans="1:94" s="26" customFormat="1" ht="13.5" customHeight="1">
      <c r="A62" s="113"/>
      <c r="B62" s="82">
        <f t="shared" si="0"/>
        <v>2044</v>
      </c>
      <c r="D62" s="1609">
        <f>IF(ISERROR(MATCH($B62,'A1.3.2'!$B$27:$B$106,0)),"",(((VLOOKUP($B62,'Forecast occupancies'!$C$28:$CP$64,2,TRUE) -1) * VLOOKUP($B62,'A1.3.2'!$B$27:$AY$106,36,) + VLOOKUP($B62,'A1.3.2'!$B$27:$AY$106,35,)) * $CR$5))</f>
        <v>33.751566458964284</v>
      </c>
      <c r="E62" s="1565">
        <f>IF(ISERROR(MATCH($B62,'A1.3.2'!$B$27:$B$106,0)),"",VLOOKUP($B62,'Forecast occupancies'!$C$28:$CP$64,3,TRUE)*VLOOKUP($B62,'A1.3.2'!$B$27:$AY$106,49,)*$CR$5)</f>
        <v>19.020726332388033</v>
      </c>
      <c r="F62" s="1565">
        <f>IF(ISERROR(MATCH($B62,'A1.3.2'!$B$27:$B$106,0)),"",VLOOKUP($B62,'Forecast occupancies'!$C$28:$CP$64,4,TRUE)*VLOOKUP($B62,'A1.3.2'!$B$27:$AY$106,50,)*$CR$5)</f>
        <v>13.122827574442763</v>
      </c>
      <c r="G62" s="1566">
        <f>IF(ISERROR(MATCH($B62,'A1.3.2'!$B$27:$B$106,0)),"",(((D62*'VoT5'!$D$28)+(E62*'VoT5'!$D$29)+(F62*'VoT5'!$D$30))/100))</f>
        <v>19.11705335546646</v>
      </c>
      <c r="H62" s="1565">
        <f>IF(ISERROR(MATCH($B62,'A1.3.2'!$B$27:$B$106,0)),"",(VLOOKUP($B62,'Forecast occupancies'!$C$28:$CP$64,6,TRUE) * VLOOKUP($B62, 'A1.3.2'!$B$27:$AY$106,37,)) * $CR$5)</f>
        <v>24.66595141174345</v>
      </c>
      <c r="I62" s="1565">
        <f>IF(ISERROR(MATCH($B62,'A1.3.2'!$B$27:$B$106,0)),"",VLOOKUP($B62,'Forecast occupancies'!$C$28:$CP$64,7,TRUE) * ('VoT5'!$J$29*VLOOKUP($B62, 'A1.3.2'!$B$27:$AY$106,49,)+'VoT5'!$J$30*VLOOKUP($B62, 'A1.3.2'!$B$27:$AY$106,50,))/('VoT5'!$J$29+'VoT5'!$J$30) * $CR$5)</f>
        <v>15.056603120859176</v>
      </c>
      <c r="J62" s="1566">
        <f>IF(ISERROR(MATCH($B62,'A1.3.2'!$B$27:$B$106,0)),"",(H62*'VoT5'!$D$31 + I62*'VoT5'!$D$32)/100)</f>
        <v>23.51282961683734</v>
      </c>
      <c r="K62" s="1566">
        <f>IF(ISERROR(MATCH($B62,'A1.3.2'!$B$27:$B$106,0)),"",(VLOOKUP($B62,'Forecast occupancies'!$C$28:$CP$64,9,TRUE)*VLOOKUP($B62,'A1.3.2'!$B$27:$AY$106,38,)) * $CR$5)</f>
        <v>24.218690718706434</v>
      </c>
      <c r="L62" s="1566">
        <f>IF(ISERROR(MATCH($B62,'A1.3.2'!$B$27:$B$106,0)),"",(VLOOKUP($B62,'Forecast occupancies'!$C$28:$CP$64,10,TRUE)*VLOOKUP($B62,'A1.3.2'!$B$27:$AY$106,38,)) * $CR$5)</f>
        <v>24.218690718706434</v>
      </c>
      <c r="M62" s="1565">
        <f>IF(ISERROR(MATCH($B62,'A1.3.2'!$B$27:$B$106,0)),"",(((VLOOKUP($B62,'Forecast occupancies'!$C$28:$CP$64,11,TRUE) -1) * VLOOKUP($B62,'A1.3.2'!$B$27:$AY$106,40,)) + VLOOKUP($B62,'A1.3.2'!$B$27:$AY$106,39,)) * $CR$5)</f>
        <v>27.597417038210764</v>
      </c>
      <c r="N62" s="1565">
        <f>IF(ISERROR(MATCH($B62,'A1.3.2'!$B$27:$B$106,0)),"",(VLOOKUP($B62,'Forecast occupancies'!$C$28:$CP$64,12,TRUE) * VLOOKUP($B62,'A1.3.2'!$B$27:$AY$106,49,)) * $CR$5)</f>
        <v>37.778799582956701</v>
      </c>
      <c r="O62" s="1565">
        <f>IF(ISERROR(MATCH($B62,'A1.3.2'!$B$27:$B$106,0)),"",(VLOOKUP($B62,'Forecast occupancies'!$C$28:$CP$64,13,TRUE) * VLOOKUP($B62,'A1.3.2'!$B$27:$AY$106,50,)) * $CR$5)</f>
        <v>74.993634127418701</v>
      </c>
      <c r="P62" s="1567">
        <f>IF(ISERROR(MATCH($B62,'A1.3.2'!$B$27:$B$106,0)),"",SUM(M62:O62))</f>
        <v>140.36985074858615</v>
      </c>
      <c r="Q62" s="1609">
        <f>IF(ISERROR(MATCH($B62,'A1.3.2'!$B$27:$B$106,0)),"",(((VLOOKUP($B62,'Forecast occupancies'!$C$28:$CP$64,15,TRUE)-1)*VLOOKUP($B62,'A1.3.2'!$B$27:$AY$106,36,)+VLOOKUP($B62,'A1.3.2'!$B$27:$AY$106,35,))*$CR$5))</f>
        <v>34.585993281465569</v>
      </c>
      <c r="R62" s="1565">
        <f>IF(ISERROR(MATCH($B62,'A1.3.2'!$B$27:$B$106,0)),"",VLOOKUP($B62,'Forecast occupancies'!$C$28:$CP$64,16,TRUE)*VLOOKUP($B62,'A1.3.2'!$B$27:$AY$106,49,)*$CR$5)</f>
        <v>19.33000511624137</v>
      </c>
      <c r="S62" s="1565">
        <f>IF(ISERROR(MATCH($B62,'A1.3.2'!$B$27:$B$106,0)),"",VLOOKUP($B62,'Forecast occupancies'!$C$28:$CP$64,17,TRUE)*VLOOKUP($B62,'A1.3.2'!$B$27:$AY$106,50,)*$CR$5)</f>
        <v>13.978911242476293</v>
      </c>
      <c r="T62" s="1566">
        <f>IF(ISERROR(MATCH($B62,'A1.3.2'!$B$27:$B$106,0)),"",(((Q62*'VoT5'!$E$28)+(R62*'VoT5'!$E$29)+(S62*'VoT5'!$E$30))/100))</f>
        <v>18.004625011661464</v>
      </c>
      <c r="U62" s="1565">
        <f>IF(ISERROR(MATCH($B62,'A1.3.2'!$B$27:$B$106,0)),"",(VLOOKUP($B62,'Forecast occupancies'!$C$28:$CP$64,19,TRUE) * VLOOKUP($B62, 'A1.3.2'!$B$27:$AY$106,37,)) * $CR$5)</f>
        <v>24.66595141174345</v>
      </c>
      <c r="V62" s="1565">
        <f>IF(ISERROR(MATCH($B62,'A1.3.2'!$B$27:$B$106,0)),"",VLOOKUP($B62,'Forecast occupancies'!$C$28:$CP$64,20,TRUE) * ('VoT5'!$J$29*VLOOKUP($B62, 'A1.3.2'!$B$27:$AY$106,49,)+'VoT5'!$J$30*VLOOKUP($B62, 'A1.3.2'!$B$27:$AY$106,50,))/('VoT5'!$J$29+'VoT5'!$J$30) * $CR$5)</f>
        <v>15.056603120859176</v>
      </c>
      <c r="W62" s="1566">
        <f>IF(ISERROR(MATCH($B62,'A1.3.2'!$B$27:$B$106,0)),"",(U62*'VoT5'!$E$31 + V62*'VoT5'!$E$32)/100)</f>
        <v>23.51282961683734</v>
      </c>
      <c r="X62" s="1566">
        <f>IF(ISERROR(MATCH($B62,'A1.3.2'!$B$27:$B$106,0)),"",(VLOOKUP($B62,'Forecast occupancies'!$C$28:$CP$64,22,TRUE)*VLOOKUP($B62,'A1.3.2'!$B$27:$AY$106,38,)) * $CR$5)</f>
        <v>24.218690718706434</v>
      </c>
      <c r="Y62" s="1566">
        <f>IF(ISERROR(MATCH($B62,'A1.3.2'!$B$27:$B$106,0)),"",(VLOOKUP($B62,'Forecast occupancies'!$C$28:$CP$64,23,TRUE)*VLOOKUP($B62,'A1.3.2'!$B$27:$AY$106,38,)) * $CR$5)</f>
        <v>24.218690718706434</v>
      </c>
      <c r="Z62" s="1565">
        <f>IF(ISERROR(MATCH($B62,'A1.3.2'!$B$27:$B$106,0)),"",(((VLOOKUP($B62,'Forecast occupancies'!$C$28:$CP$64,24,TRUE) -1) * VLOOKUP($B62,'A1.3.2'!$B$27:$AY$106,40,)) + VLOOKUP($B62,'A1.3.2'!$B$27:$AY$106,39,)) * $CR$5)</f>
        <v>28.160704861678084</v>
      </c>
      <c r="AA62" s="1565">
        <f>IF(ISERROR(MATCH($B62,'A1.3.2'!$B$27:$B$106,0)),"",(VLOOKUP($B62,'Forecast occupancies'!$C$28:$CP$64,25,TRUE) * VLOOKUP($B62,'A1.3.2'!$B$27:$AY$106,49,)) * $CR$5)</f>
        <v>13.24026707535468</v>
      </c>
      <c r="AB62" s="1565">
        <f>IF(ISERROR(MATCH($B62,'A1.3.2'!$B$27:$B$106,0)),"",(VLOOKUP($B62,'Forecast occupancies'!$C$28:$CP$64,26,TRUE) * VLOOKUP($B62,'A1.3.2'!$B$27:$AY$106,50,)) * $CR$5)</f>
        <v>85.938474843615069</v>
      </c>
      <c r="AC62" s="1567">
        <f>IF(ISERROR(MATCH($B62,'A1.3.2'!$B$27:$B$106,0)),"",SUM(Z62:AB62))</f>
        <v>127.33944678064783</v>
      </c>
      <c r="AD62" s="1609">
        <f>IF(ISERROR(MATCH($B62,'A1.3.2'!$B$27:$B$106,0)),"",(((VLOOKUP($B62,'Forecast occupancies'!$C$28:$CP$64,28,TRUE)-1)*VLOOKUP($B62,'A1.3.2'!$B$27:$AY$106,36,)+VLOOKUP($B62,'A1.3.2'!$B$27:$AY$106,35,))*$CR$5))</f>
        <v>34.238653055317812</v>
      </c>
      <c r="AE62" s="1565">
        <f>IF(ISERROR(MATCH($B62,'A1.3.2'!$B$27:$B$106,0)),"",VLOOKUP($B62,'Forecast occupancies'!$C$28:$CP$64,29,TRUE)*VLOOKUP($B62,'A1.3.2'!$B$27:$AY$106,49,)*$CR$5)</f>
        <v>19.086335608048152</v>
      </c>
      <c r="AF62" s="1565">
        <f>IF(ISERROR(MATCH($B62,'A1.3.2'!$B$27:$B$106,0)),"",VLOOKUP($B62,'Forecast occupancies'!$C$28:$CP$64,30,TRUE)*VLOOKUP($B62,'A1.3.2'!$B$27:$AY$106,50,)*$CR$5)</f>
        <v>13.742325792077802</v>
      </c>
      <c r="AG62" s="1566">
        <f>IF(ISERROR(MATCH($B62,'A1.3.2'!$B$27:$B$106,0)),"",(((AD62*'VoT5'!$F$28)+(AE62*'VoT5'!$F$29)+(AF62*'VoT5'!$F$30))/100))</f>
        <v>18.36756374556844</v>
      </c>
      <c r="AH62" s="1565">
        <f>IF(ISERROR(MATCH($B62,'A1.3.2'!$B$27:$B$106,0)),"",(VLOOKUP($B62,'Forecast occupancies'!$C$28:$CP$64,32,TRUE) * VLOOKUP($B62, 'A1.3.2'!$B$27:$AY$106,37,)) * $CR$5)</f>
        <v>24.66595141174345</v>
      </c>
      <c r="AI62" s="1565">
        <f>IF(ISERROR(MATCH($B62,'A1.3.2'!$B$27:$B$106,0)),"",VLOOKUP($B62,'Forecast occupancies'!$C$28:$CP$64,33,TRUE) * ('VoT5'!$J$29*VLOOKUP($B62, 'A1.3.2'!$B$27:$AY$106,49,)+'VoT5'!$J$30*VLOOKUP($B62, 'A1.3.2'!$B$27:$AY$106,50,))/('VoT5'!$J$29+'VoT5'!$J$30) * $CR$5)</f>
        <v>15.056603120859176</v>
      </c>
      <c r="AJ62" s="1566">
        <f>IF(ISERROR(MATCH($B62,'A1.3.2'!$B$27:$B$106,0)),"",(AH62*'VoT5'!$F$31 + AI62*'VoT5'!$F$32)/100)</f>
        <v>23.51282961683734</v>
      </c>
      <c r="AK62" s="1566">
        <f>IF(ISERROR(MATCH($B62,'A1.3.2'!$B$27:$B$106,0)),"",(VLOOKUP($B62,'Forecast occupancies'!$C$28:$CP$64,35,TRUE)*VLOOKUP($B62,'A1.3.2'!$B$27:$AY$106,38,)) * $CR$5)</f>
        <v>24.218690718706434</v>
      </c>
      <c r="AL62" s="1566">
        <f>IF(ISERROR(MATCH($B62,'A1.3.2'!$B$27:$B$106,0)),"",(VLOOKUP($B62,'Forecast occupancies'!$C$28:$CP$64,36,TRUE)*VLOOKUP($B62,'A1.3.2'!$B$27:$AY$106,38,)) * $CR$5)</f>
        <v>24.218690718706434</v>
      </c>
      <c r="AM62" s="1565">
        <f>IF(ISERROR(MATCH($B62,'A1.3.2'!$B$27:$B$106,0)),"",(((VLOOKUP($B62,'Forecast occupancies'!$C$28:$CP$64,37,TRUE) -1) * VLOOKUP($B62,'A1.3.2'!$B$27:$AY$106,40,)) + VLOOKUP($B62,'A1.3.2'!$B$27:$AY$106,39,)) * $CR$5)</f>
        <v>29.464181601095635</v>
      </c>
      <c r="AN62" s="1565">
        <f>IF(ISERROR(MATCH($B62,'A1.3.2'!$B$27:$B$106,0)),"",(VLOOKUP($B62,'Forecast occupancies'!$C$28:$CP$64,38,TRUE) * VLOOKUP($B62,'A1.3.2'!$B$27:$AY$106,49,)) * $CR$5)</f>
        <v>53.131254885472096</v>
      </c>
      <c r="AO62" s="1565">
        <f>IF(ISERROR(MATCH($B62,'A1.3.2'!$B$27:$B$106,0)),"",(VLOOKUP($B62,'Forecast occupancies'!$C$28:$CP$64,39,TRUE) * VLOOKUP($B62,'A1.3.2'!$B$27:$AY$106,50,)) * $CR$5)</f>
        <v>67.140295486086188</v>
      </c>
      <c r="AP62" s="1567">
        <f>IF(ISERROR(MATCH($B62,'A1.3.2'!$B$27:$B$106,0)),"",SUM(AM62:AO62))</f>
        <v>149.73573197265392</v>
      </c>
      <c r="AQ62" s="1609">
        <f>IF(ISERROR(MATCH($B62,'A1.3.2'!$B$27:$B$106,0)),"",(((VLOOKUP($B62,'Forecast occupancies'!$C$28:$CP$64,41,TRUE)-1)*VLOOKUP($B62,'A1.3.2'!$B$27:$AY$106,36,)+VLOOKUP($B62,'A1.3.2'!$B$27:$AY$106,35,))*$CR$5))</f>
        <v>34.886469673041731</v>
      </c>
      <c r="AR62" s="1565">
        <f>IF(ISERROR(MATCH($B62,'A1.3.2'!$B$27:$B$106,0)),"",VLOOKUP($B62,'Forecast occupancies'!$C$28:$CP$64,42,TRUE)*VLOOKUP($B62,'A1.3.2'!$B$27:$AY$106,49,)*$CR$5)</f>
        <v>19.365682307287837</v>
      </c>
      <c r="AS62" s="1565">
        <f>IF(ISERROR(MATCH($B62,'A1.3.2'!$B$27:$B$106,0)),"",VLOOKUP($B62,'Forecast occupancies'!$C$28:$CP$64,43,TRUE)*VLOOKUP($B62,'A1.3.2'!$B$27:$AY$106,50,)*$CR$5)</f>
        <v>13.693262675578366</v>
      </c>
      <c r="AT62" s="1566">
        <f>IF(ISERROR(MATCH($B62,'A1.3.2'!$B$27:$B$106,0)),"",(((AQ62*'VoT5'!$G$28)+(AR62*'VoT5'!$G$29)+(AS62*'VoT5'!$G$30))/100))</f>
        <v>18.609001694868265</v>
      </c>
      <c r="AU62" s="1565">
        <f>IF(ISERROR(MATCH($B62,'A1.3.2'!$B$27:$B$106,0)),"",(VLOOKUP($B62,'Forecast occupancies'!$C$28:$CP$64,45,TRUE) * VLOOKUP($B62, 'A1.3.2'!$B$27:$AY$106,37,)) * $CR$5)</f>
        <v>24.66595141174345</v>
      </c>
      <c r="AV62" s="1565">
        <f>IF(ISERROR(MATCH($B62,'A1.3.2'!$B$27:$B$106,0)),"",VLOOKUP($B62,'Forecast occupancies'!$C$28:$CP$64,46,TRUE) * ('VoT5'!$J$29*VLOOKUP($B62, 'A1.3.2'!$B$27:$AY$106,49,)+'VoT5'!$J$30*VLOOKUP($B62, 'A1.3.2'!$B$27:$AY$106,50,))/('VoT5'!$J$29+'VoT5'!$J$30) * $CR$5)</f>
        <v>15.056603120859176</v>
      </c>
      <c r="AW62" s="1566">
        <f>IF(ISERROR(MATCH($B62,'A1.3.2'!$B$27:$B$106,0)),"",(AU62*'VoT5'!$G$31 + AV62*'VoT5'!$G$32)/100)</f>
        <v>23.51282961683734</v>
      </c>
      <c r="AX62" s="1566">
        <f>IF(ISERROR(MATCH($B62,'A1.3.2'!$B$27:$B$106,0)),"",(VLOOKUP($B62,'Forecast occupancies'!$C$28:$CP$64,48,TRUE)*VLOOKUP($B62,'A1.3.2'!$B$27:$AY$106,38,)) * $CR$5)</f>
        <v>24.218690718706434</v>
      </c>
      <c r="AY62" s="1566">
        <f>IF(ISERROR(MATCH($B62,'A1.3.2'!$B$27:$B$106,0)),"",(VLOOKUP($B62,'Forecast occupancies'!$C$28:$CP$64,49,TRUE)*VLOOKUP($B62,'A1.3.2'!$B$27:$AY$106,38,)) * $CR$5)</f>
        <v>24.218690718706434</v>
      </c>
      <c r="AZ62" s="1565">
        <f>IF(ISERROR(MATCH($B62,'A1.3.2'!$B$27:$B$106,0)),"",(((VLOOKUP($B62,'Forecast occupancies'!$C$28:$CP$64,50,TRUE) -1) * VLOOKUP($B62,'A1.3.2'!$B$27:$AY$106,40,)) + VLOOKUP($B62,'A1.3.2'!$B$27:$AY$106,39,)) * $CR$5)</f>
        <v>29.440354708468671</v>
      </c>
      <c r="BA62" s="1565">
        <f>IF(ISERROR(MATCH($B62,'A1.3.2'!$B$27:$B$106,0)),"",(VLOOKUP($B62,'Forecast occupancies'!$C$28:$CP$64,51,TRUE) * VLOOKUP($B62,'A1.3.2'!$B$27:$AY$106,49,)) * $CR$5)</f>
        <v>72.629105672719703</v>
      </c>
      <c r="BB62" s="1565">
        <f>IF(ISERROR(MATCH($B62,'A1.3.2'!$B$27:$B$106,0)),"",(VLOOKUP($B62,'Forecast occupancies'!$C$28:$CP$64,52,TRUE) * VLOOKUP($B62,'A1.3.2'!$B$27:$AY$106,50,)) * $CR$5)</f>
        <v>58.251689596706655</v>
      </c>
      <c r="BC62" s="1567">
        <f>IF(ISERROR(MATCH($B62,'A1.3.2'!$B$27:$B$106,0)),"",SUM(AZ62:BB62))</f>
        <v>160.32114997789503</v>
      </c>
      <c r="BD62" s="1565">
        <f>IF(ISERROR(MATCH($B62,'A1.3.2'!$B$27:$B$106,0)),"",(((VLOOKUP($B62,'Forecast occupancies'!$C$28:$CP$64,54,TRUE)-1)*VLOOKUP($B62,'A1.3.2'!$B$27:$AY$106,36,)+VLOOKUP($B62,'A1.3.2'!$B$27:$AY$106,35,))*$CR$5))</f>
        <v>34.299573541770386</v>
      </c>
      <c r="BE62" s="1565">
        <f>IF(ISERROR(MATCH($B62,'A1.3.2'!$B$27:$B$106,0)),"",VLOOKUP($B62,'Forecast occupancies'!$C$28:$CP$64,55,TRUE)*VLOOKUP($B62,'A1.3.2'!$B$27:$AY$106,49,)*$CR$5)</f>
        <v>19.151229308079834</v>
      </c>
      <c r="BF62" s="1565">
        <f>IF(ISERROR(MATCH($B62,'A1.3.2'!$B$27:$B$106,0)),"",VLOOKUP($B62,'Forecast occupancies'!$C$28:$CP$64,56,TRUE)*VLOOKUP($B62,'A1.3.2'!$B$27:$AY$106,50,)*$CR$5)</f>
        <v>13.72728563721965</v>
      </c>
      <c r="BG62" s="1566">
        <f>IF(ISERROR(MATCH($B62,'A1.3.2'!$B$27:$B$106,0)),"",(((BD62*'VoT5'!$H$28)+(BE62*'VoT5'!$H$29)+(BF62*'VoT5'!$H$30))/100))</f>
        <v>18.474986615306612</v>
      </c>
      <c r="BH62" s="1565">
        <f>IF(ISERROR(MATCH($B62,'A1.3.2'!$B$27:$B$106,0)),"",(VLOOKUP($B62,'Forecast occupancies'!$C$28:$CP$64,58,TRUE) * VLOOKUP($B62, 'A1.3.2'!$B$27:$AY$106,37,)) * $CR$5)</f>
        <v>24.66595141174345</v>
      </c>
      <c r="BI62" s="1565">
        <f>IF(ISERROR(MATCH($B62,'A1.3.2'!$B$27:$B$106,0)),"",(VLOOKUP($B62,'Forecast occupancies'!$C$28:$CP$64,59,TRUE) * (VLOOKUP($B62,'A1.3.2'!$B$27:$AY$106,49,) * 'VoT5'!$J$29 + VLOOKUP($B62,'A1.3.2'!$B$27:$AY$106,50,) * 'VoT5'!$J$30) / (SUM('VoT5'!$J$29:$J$30))) * $CR$5)</f>
        <v>15.056603120859176</v>
      </c>
      <c r="BJ62" s="1566">
        <f>IF(ISERROR(MATCH($B62,'A1.3.2'!$B$27:$B$106,0)),"",(BH62*'VoT5'!$H$31 + BI62*'VoT5'!$H$32)/100)</f>
        <v>23.51282961683734</v>
      </c>
      <c r="BK62" s="1566">
        <f>IF(ISERROR(MATCH($B62,'A1.3.2'!$B$27:$B$106,0)),"",(VLOOKUP($B62,'Forecast occupancies'!$C$28:$CP$64,61,TRUE)*VLOOKUP($B62,'A1.3.2'!$B$27:$AY$106,38,)) * $CR$5)</f>
        <v>24.218690718706434</v>
      </c>
      <c r="BL62" s="1566">
        <f>IF(ISERROR(MATCH($B62,'A1.3.2'!$B$27:$B$106,0)),"",(VLOOKUP($B62,'Forecast occupancies'!$C$28:$CP$64,62,TRUE)*VLOOKUP($B62,'A1.3.2'!$B$27:$AY$106,38,)) * $CR$5)</f>
        <v>24.218690718706434</v>
      </c>
      <c r="BM62" s="1565">
        <f>IF(ISERROR(MATCH($B62,'A1.3.2'!$B$27:$B$106,0)),"",(((VLOOKUP($B62,'Forecast occupancies'!$C$28:$CP$64,63,TRUE) -1) * VLOOKUP($B62,'A1.3.2'!$B$27:$AY$106,40,)) + VLOOKUP($B62,'A1.3.2'!$B$27:$AY$106,39,)) * $CR$5)</f>
        <v>28.38613273292939</v>
      </c>
      <c r="BN62" s="1565">
        <f>IF(ISERROR(MATCH($B62,'A1.3.2'!$B$27:$B$106,0)),"",(VLOOKUP($B62,'Forecast occupancies'!$C$28:$CP$64,64,TRUE) * VLOOKUP($B62,'A1.3.2'!$B$27:$AY$106,49,)) * $CR$5)</f>
        <v>32.787211492501953</v>
      </c>
      <c r="BO62" s="1565">
        <f>IF(ISERROR(MATCH($B62,'A1.3.2'!$B$27:$B$106,0)),"",(VLOOKUP($B62,'Forecast occupancies'!$C$28:$CP$64,65,TRUE) * VLOOKUP($B62,'A1.3.2'!$B$27:$AY$106,50,)) * $CR$5)</f>
        <v>76.914498941018223</v>
      </c>
      <c r="BP62" s="1567">
        <f>IF(ISERROR(MATCH($B62,'A1.3.2'!$B$27:$B$106,0)),"",SUM(BM62:BO62))</f>
        <v>138.08784316644957</v>
      </c>
      <c r="BQ62" s="1565">
        <f>IF(ISERROR(MATCH($B62,'A1.3.2'!$B$27:$B$106,0)),"",(((VLOOKUP($B62,'Forecast occupancies'!$C$28:$CP$64,67,TRUE)-1)*VLOOKUP($B62,'A1.3.2'!$B$27:$AY$106,36,)+VLOOKUP($B62,'A1.3.2'!$B$27:$AY$106,35,))*$CR$5))</f>
        <v>39.200118800730102</v>
      </c>
      <c r="BR62" s="1565">
        <f>IF(ISERROR(MATCH($B62,'A1.3.2'!$B$27:$B$106,0)),"",VLOOKUP($B62,'Forecast occupancies'!$C$28:$CP$64,68,TRUE)*VLOOKUP($B62,'A1.3.2'!$B$27:$AY$106,49,)*$CR$5)</f>
        <v>20.27640103320455</v>
      </c>
      <c r="BS62" s="1565">
        <f>IF(ISERROR(MATCH($B62,'A1.3.2'!$B$27:$B$106,0)),"",VLOOKUP($B62,'Forecast occupancies'!$C$28:$CP$64,69,TRUE)*VLOOKUP($B62,'A1.3.2'!$B$27:$AY$106,50,)*$CR$5)</f>
        <v>16.253437107767219</v>
      </c>
      <c r="BT62" s="1566">
        <f>IF(ISERROR(MATCH($B62,'A1.3.2'!$B$27:$B$106,0)),"",(((BQ62*'VoT5'!$I$28)+(BR62*'VoT5'!$I$29)+(BS62*'VoT5'!$I$30))/100))</f>
        <v>17.367822563684971</v>
      </c>
      <c r="BU62" s="1565">
        <f>IF(ISERROR(MATCH($B62,'A1.3.2'!$B$27:$B$106,0)),"",(VLOOKUP($B62,'Forecast occupancies'!$C$28:$CP$64,71,TRUE) * VLOOKUP($B62, 'A1.3.2'!$B$27:$AY$106,37,)) * $CR$5)</f>
        <v>25.899248982330622</v>
      </c>
      <c r="BV62" s="1565">
        <f>IF(ISERROR(MATCH($B62,'A1.3.2'!$B$27:$B$106,0)),"",(VLOOKUP($B62,'Forecast occupancies'!$C$28:$CP$64,72,TRUE) * (VLOOKUP($B62,'A1.3.2'!$B$27:$AY$106,49,)*'VoT5'!$J$29 + VLOOKUP($B62,'A1.3.2'!$B$27:$AY$106,50,)*'VoT5'!$J$30) / (SUM('VoT5'!$J$29:$J$30))) * $CR$5)</f>
        <v>20.934865983112413</v>
      </c>
      <c r="BW62" s="1566">
        <f>IF(ISERROR(MATCH($B62,'A1.3.2'!$B$27:$B$106,0)),"",(BU62*'VoT5'!$I$31 + BV62*'VoT5'!$I$32)/100)</f>
        <v>25.303523022424439</v>
      </c>
      <c r="BX62" s="1566">
        <f>IF(ISERROR(MATCH($B62,'A1.3.2'!$B$27:$B$106,0)),"",(VLOOKUP($B62,'Forecast occupancies'!$C$28:$CP$64,74,TRUE)*VLOOKUP($B62,'A1.3.2'!$B$27:$AY$106,38,)) * $CR$5)</f>
        <v>24.218690718706434</v>
      </c>
      <c r="BY62" s="1566">
        <f>IF(ISERROR(MATCH($B62,'A1.3.2'!$B$27:$B$106,0)),"",(VLOOKUP($B62,'Forecast occupancies'!$C$28:$CP$64,75,TRUE)*VLOOKUP($B62,'A1.3.2'!$B$27:$AY$106,38,)) * $CR$5)</f>
        <v>24.218690718706434</v>
      </c>
      <c r="BZ62" s="1565">
        <f>IF(ISERROR(MATCH($B62,'A1.3.2'!$B$27:$B$106,0)),"",(((VLOOKUP($B62,'Forecast occupancies'!$C$28:$CP$64,76,TRUE) -1) * VLOOKUP($B62,'A1.3.2'!$B$27:$AY$106,40,)) + VLOOKUP($B62,'A1.3.2'!$B$27:$AY$106,39,)) * $CR$5)</f>
        <v>25.852224542206919</v>
      </c>
      <c r="CA62" s="1565">
        <f>IF(ISERROR(MATCH($B62,'A1.3.2'!$B$27:$B$106,0)),"",(VLOOKUP($B62,'Forecast occupancies'!$C$28:$CP$64,77,TRUE) * VLOOKUP($B62,'A1.3.2'!$B$27:$AY$106,49,)) * $CR$5)</f>
        <v>12.421060889545508</v>
      </c>
      <c r="CB62" s="1565">
        <f>IF(ISERROR(MATCH($B62,'A1.3.2'!$B$27:$B$106,0)),"",(VLOOKUP($B62,'Forecast occupancies'!$C$28:$CP$64,78,TRUE) * VLOOKUP($B62,'A1.3.2'!$B$27:$AY$106,50,)) * $CR$5)</f>
        <v>87.358587932662843</v>
      </c>
      <c r="CC62" s="1567">
        <f>IF(ISERROR(MATCH($B62,'A1.3.2'!$B$27:$B$106,0)),"",SUM(BZ62:CB62))</f>
        <v>125.63187336441527</v>
      </c>
      <c r="CD62" s="1565">
        <f>IF(ISERROR(MATCH($B62,'A1.3.2'!$B$27:$B$106,0)),"",(((VLOOKUP($B62,'Forecast occupancies'!$C$28:$CP$64,80,TRUE)-1)*VLOOKUP($B62,'A1.3.2'!$B$27:$AY$106,36,)+VLOOKUP($B62,'A1.3.2'!$B$27:$AY$106,35,))*$CR$5))</f>
        <v>34.647427953095765</v>
      </c>
      <c r="CE62" s="1565">
        <f>IF(ISERROR(MATCH($B62,'A1.3.2'!$B$27:$B$106,0)),"",VLOOKUP($B62,'Forecast occupancies'!$C$28:$CP$64,81,TRUE)*VLOOKUP($B62,'A1.3.2'!$B$27:$AY$106,49,)*$CR$5)</f>
        <v>19.242256442323391</v>
      </c>
      <c r="CF62" s="1565">
        <f>IF(ISERROR(MATCH($B62,'A1.3.2'!$B$27:$B$106,0)),"",VLOOKUP($B62,'Forecast occupancies'!$C$28:$CP$64,82,TRUE)*VLOOKUP($B62,'A1.3.2'!$B$27:$AY$106,50,)*$CR$5)</f>
        <v>14.618684725064542</v>
      </c>
      <c r="CG62" s="1566">
        <f>IF(ISERROR(MATCH($B62,'A1.3.2'!$B$27:$B$106,0)),"",(((CD62*'VoT5'!$J$28)+(CE62*'VoT5'!$J$29)+(CF62*'VoT5'!$J$30))/100))</f>
        <v>18.212483276667371</v>
      </c>
      <c r="CH62" s="1565">
        <f>IF(ISERROR(MATCH($B62,'A1.3.2'!$B$27:$B$106,0)),"",(VLOOKUP($B62,'Forecast occupancies'!$C$28:$CP$64,84,TRUE) * VLOOKUP($B62, 'A1.3.2'!$B$27:$AY$106,37,)) * $CR$5)</f>
        <v>24.66595141174345</v>
      </c>
      <c r="CI62" s="1565">
        <f>IF(ISERROR(MATCH($B62,'A1.3.2'!$B$27:$B$106,0)),"",(VLOOKUP($B62,'Forecast occupancies'!$C$28:$CP$64,85,TRUE) * (VLOOKUP($B62,'A1.3.2'!$B$27:$AY$106,49,)*'VoT5'!$J$29 + VLOOKUP($B62,'A1.3.2'!$B$27:$AY$106,50,)*'VoT5'!$J$30) / (SUM('VoT5'!$J$29:$J$30))) * $CR$5)</f>
        <v>16.397259563127459</v>
      </c>
      <c r="CJ62" s="1566">
        <f>IF(ISERROR(MATCH($B62,'A1.3.2'!$B$27:$B$106,0)),"",(CH62*'VoT5'!$J$31 + CI62*'VoT5'!$J$32)/100)</f>
        <v>23.673708389909535</v>
      </c>
      <c r="CK62" s="1566">
        <f>IF(ISERROR(MATCH($B62,'A1.3.2'!$B$27:$B$106,0)),"",(VLOOKUP($B62,'Forecast occupancies'!$C$28:$CP$64,87,TRUE)*VLOOKUP($B62,'A1.3.2'!$B$27:$AY$106,38,)) * $CR$5)</f>
        <v>24.218690718706434</v>
      </c>
      <c r="CL62" s="1566">
        <f>IF(ISERROR(MATCH($B62,'A1.3.2'!$B$27:$B$106,0)),"",(VLOOKUP($B62,'Forecast occupancies'!$C$28:$CP$64,88,TRUE)*VLOOKUP($B62,'A1.3.2'!$B$27:$AY$106,38,)) * $CR$5)</f>
        <v>24.218690718706434</v>
      </c>
      <c r="CM62" s="1565">
        <f>IF(ISERROR(MATCH($B62,'A1.3.2'!$B$27:$B$106,0)),"",(((VLOOKUP($B62,'Forecast occupancies'!$C$28:$CP$64,89,TRUE) -1) * VLOOKUP($B62,'A1.3.2'!$B$27:$AY$106,40,)) + VLOOKUP($B62,'A1.3.2'!$B$27:$AY$106,39,)) * $CR$5)</f>
        <v>27.760407163129088</v>
      </c>
      <c r="CN62" s="1565">
        <f>IF(ISERROR(MATCH($B62,'A1.3.2'!$B$27:$B$106,0)),"",(VLOOKUP($B62,'Forecast occupancies'!$C$28:$CP$64,90,TRUE) * VLOOKUP($B62,'A1.3.2'!$B$27:$AY$106,49,)) * $CR$5)</f>
        <v>27.75700674023776</v>
      </c>
      <c r="CO62" s="1565">
        <f>IF(ISERROR(MATCH($B62,'A1.3.2'!$B$27:$B$106,0)),"",(VLOOKUP($B62,'Forecast occupancies'!$C$28:$CP$64,91,TRUE) * VLOOKUP($B62,'A1.3.2'!$B$27:$AY$106,50,)) * $CR$5)</f>
        <v>79.494014045292104</v>
      </c>
      <c r="CP62" s="1567">
        <f>IF(ISERROR(MATCH($B62,'A1.3.2'!$B$27:$B$106,0)),"",SUM(CM62:CO62))</f>
        <v>135.01142794865893</v>
      </c>
    </row>
    <row r="63" spans="1:94" s="26" customFormat="1" ht="13.5" customHeight="1">
      <c r="A63" s="113"/>
      <c r="B63" s="82">
        <f t="shared" si="0"/>
        <v>2045</v>
      </c>
      <c r="D63" s="1609">
        <f>IF(ISERROR(MATCH($B63,'A1.3.2'!$B$27:$B$106,0)),"",(((VLOOKUP($B63,'Forecast occupancies'!$C$28:$CP$64,2,TRUE) -1) * VLOOKUP($B63,'A1.3.2'!$B$27:$AY$106,36,) + VLOOKUP($B63,'A1.3.2'!$B$27:$AY$106,35,)) * $CR$5))</f>
        <v>34.395021284663443</v>
      </c>
      <c r="E63" s="1565">
        <f>IF(ISERROR(MATCH($B63,'A1.3.2'!$B$27:$B$106,0)),"",VLOOKUP($B63,'Forecast occupancies'!$C$28:$CP$64,3,TRUE)*VLOOKUP($B63,'A1.3.2'!$B$27:$AY$106,49,)*$CR$5)</f>
        <v>19.383345891446385</v>
      </c>
      <c r="F63" s="1565">
        <f>IF(ISERROR(MATCH($B63,'A1.3.2'!$B$27:$B$106,0)),"",VLOOKUP($B63,'Forecast occupancies'!$C$28:$CP$64,4,TRUE)*VLOOKUP($B63,'A1.3.2'!$B$27:$AY$106,50,)*$CR$5)</f>
        <v>13.373006976926481</v>
      </c>
      <c r="G63" s="1566">
        <f>IF(ISERROR(MATCH($B63,'A1.3.2'!$B$27:$B$106,0)),"",(((D63*'VoT5'!$D$28)+(E63*'VoT5'!$D$29)+(F63*'VoT5'!$D$30))/100))</f>
        <v>19.481509335596421</v>
      </c>
      <c r="H63" s="1565">
        <f>IF(ISERROR(MATCH($B63,'A1.3.2'!$B$27:$B$106,0)),"",(VLOOKUP($B63,'Forecast occupancies'!$C$28:$CP$64,6,TRUE) * VLOOKUP($B63, 'A1.3.2'!$B$27:$AY$106,37,)) * $CR$5)</f>
        <v>25.136194044352642</v>
      </c>
      <c r="I63" s="1565">
        <f>IF(ISERROR(MATCH($B63,'A1.3.2'!$B$27:$B$106,0)),"",VLOOKUP($B63,'Forecast occupancies'!$C$28:$CP$64,7,TRUE) * ('VoT5'!$J$29*VLOOKUP($B63, 'A1.3.2'!$B$27:$AY$106,49,)+'VoT5'!$J$30*VLOOKUP($B63, 'A1.3.2'!$B$27:$AY$106,50,))/('VoT5'!$J$29+'VoT5'!$J$30) * $CR$5)</f>
        <v>15.343648877640064</v>
      </c>
      <c r="J63" s="1566">
        <f>IF(ISERROR(MATCH($B63,'A1.3.2'!$B$27:$B$106,0)),"",(H63*'VoT5'!$D$31 + I63*'VoT5'!$D$32)/100)</f>
        <v>23.961088624347131</v>
      </c>
      <c r="K63" s="1566">
        <f>IF(ISERROR(MATCH($B63,'A1.3.2'!$B$27:$B$106,0)),"",(VLOOKUP($B63,'Forecast occupancies'!$C$28:$CP$64,9,TRUE)*VLOOKUP($B63,'A1.3.2'!$B$27:$AY$106,38,)) * $CR$5)</f>
        <v>24.680406575184207</v>
      </c>
      <c r="L63" s="1566">
        <f>IF(ISERROR(MATCH($B63,'A1.3.2'!$B$27:$B$106,0)),"",(VLOOKUP($B63,'Forecast occupancies'!$C$28:$CP$64,10,TRUE)*VLOOKUP($B63,'A1.3.2'!$B$27:$AY$106,38,)) * $CR$5)</f>
        <v>24.680406575184207</v>
      </c>
      <c r="M63" s="1565">
        <f>IF(ISERROR(MATCH($B63,'A1.3.2'!$B$27:$B$106,0)),"",(((VLOOKUP($B63,'Forecast occupancies'!$C$28:$CP$64,11,TRUE) -1) * VLOOKUP($B63,'A1.3.2'!$B$27:$AY$106,40,)) + VLOOKUP($B63,'A1.3.2'!$B$27:$AY$106,39,)) * $CR$5)</f>
        <v>28.123546431098621</v>
      </c>
      <c r="N63" s="1565">
        <f>IF(ISERROR(MATCH($B63,'A1.3.2'!$B$27:$B$106,0)),"",(VLOOKUP($B63,'Forecast occupancies'!$C$28:$CP$64,12,TRUE) * VLOOKUP($B63,'A1.3.2'!$B$27:$AY$106,49,)) * $CR$5)</f>
        <v>38.499031366282388</v>
      </c>
      <c r="O63" s="1565">
        <f>IF(ISERROR(MATCH($B63,'A1.3.2'!$B$27:$B$106,0)),"",(VLOOKUP($B63,'Forecast occupancies'!$C$28:$CP$64,13,TRUE) * VLOOKUP($B63,'A1.3.2'!$B$27:$AY$106,50,)) * $CR$5)</f>
        <v>76.423346014559542</v>
      </c>
      <c r="P63" s="1567">
        <f>IF(ISERROR(MATCH($B63,'A1.3.2'!$B$27:$B$106,0)),"",SUM(M63:O63))</f>
        <v>143.04592381194055</v>
      </c>
      <c r="Q63" s="1609">
        <f>IF(ISERROR(MATCH($B63,'A1.3.2'!$B$27:$B$106,0)),"",(((VLOOKUP($B63,'Forecast occupancies'!$C$28:$CP$64,15,TRUE)-1)*VLOOKUP($B63,'A1.3.2'!$B$27:$AY$106,36,)+VLOOKUP($B63,'A1.3.2'!$B$27:$AY$106,35,))*$CR$5))</f>
        <v>35.245355990026525</v>
      </c>
      <c r="R63" s="1565">
        <f>IF(ISERROR(MATCH($B63,'A1.3.2'!$B$27:$B$106,0)),"",VLOOKUP($B63,'Forecast occupancies'!$C$28:$CP$64,16,TRUE)*VLOOKUP($B63,'A1.3.2'!$B$27:$AY$106,49,)*$CR$5)</f>
        <v>19.698520903144399</v>
      </c>
      <c r="S63" s="1565">
        <f>IF(ISERROR(MATCH($B63,'A1.3.2'!$B$27:$B$106,0)),"",VLOOKUP($B63,'Forecast occupancies'!$C$28:$CP$64,17,TRUE)*VLOOKUP($B63,'A1.3.2'!$B$27:$AY$106,50,)*$CR$5)</f>
        <v>14.245411403525935</v>
      </c>
      <c r="T63" s="1566">
        <f>IF(ISERROR(MATCH($B63,'A1.3.2'!$B$27:$B$106,0)),"",(((Q63*'VoT5'!$E$28)+(R63*'VoT5'!$E$29)+(S63*'VoT5'!$E$30))/100))</f>
        <v>18.347873164684021</v>
      </c>
      <c r="U63" s="1565">
        <f>IF(ISERROR(MATCH($B63,'A1.3.2'!$B$27:$B$106,0)),"",(VLOOKUP($B63,'Forecast occupancies'!$C$28:$CP$64,19,TRUE) * VLOOKUP($B63, 'A1.3.2'!$B$27:$AY$106,37,)) * $CR$5)</f>
        <v>25.136194044352642</v>
      </c>
      <c r="V63" s="1565">
        <f>IF(ISERROR(MATCH($B63,'A1.3.2'!$B$27:$B$106,0)),"",VLOOKUP($B63,'Forecast occupancies'!$C$28:$CP$64,20,TRUE) * ('VoT5'!$J$29*VLOOKUP($B63, 'A1.3.2'!$B$27:$AY$106,49,)+'VoT5'!$J$30*VLOOKUP($B63, 'A1.3.2'!$B$27:$AY$106,50,))/('VoT5'!$J$29+'VoT5'!$J$30) * $CR$5)</f>
        <v>15.343648877640064</v>
      </c>
      <c r="W63" s="1566">
        <f>IF(ISERROR(MATCH($B63,'A1.3.2'!$B$27:$B$106,0)),"",(U63*'VoT5'!$E$31 + V63*'VoT5'!$E$32)/100)</f>
        <v>23.961088624347131</v>
      </c>
      <c r="X63" s="1566">
        <f>IF(ISERROR(MATCH($B63,'A1.3.2'!$B$27:$B$106,0)),"",(VLOOKUP($B63,'Forecast occupancies'!$C$28:$CP$64,22,TRUE)*VLOOKUP($B63,'A1.3.2'!$B$27:$AY$106,38,)) * $CR$5)</f>
        <v>24.680406575184207</v>
      </c>
      <c r="Y63" s="1566">
        <f>IF(ISERROR(MATCH($B63,'A1.3.2'!$B$27:$B$106,0)),"",(VLOOKUP($B63,'Forecast occupancies'!$C$28:$CP$64,23,TRUE)*VLOOKUP($B63,'A1.3.2'!$B$27:$AY$106,38,)) * $CR$5)</f>
        <v>24.680406575184207</v>
      </c>
      <c r="Z63" s="1565">
        <f>IF(ISERROR(MATCH($B63,'A1.3.2'!$B$27:$B$106,0)),"",(((VLOOKUP($B63,'Forecast occupancies'!$C$28:$CP$64,24,TRUE) -1) * VLOOKUP($B63,'A1.3.2'!$B$27:$AY$106,40,)) + VLOOKUP($B63,'A1.3.2'!$B$27:$AY$106,39,)) * $CR$5)</f>
        <v>28.697573023348962</v>
      </c>
      <c r="AA63" s="1565">
        <f>IF(ISERROR(MATCH($B63,'A1.3.2'!$B$27:$B$106,0)),"",(VLOOKUP($B63,'Forecast occupancies'!$C$28:$CP$64,25,TRUE) * VLOOKUP($B63,'A1.3.2'!$B$27:$AY$106,49,)) * $CR$5)</f>
        <v>13.492685396546999</v>
      </c>
      <c r="AB63" s="1565">
        <f>IF(ISERROR(MATCH($B63,'A1.3.2'!$B$27:$B$106,0)),"",(VLOOKUP($B63,'Forecast occupancies'!$C$28:$CP$64,26,TRUE) * VLOOKUP($B63,'A1.3.2'!$B$27:$AY$106,50,)) * $CR$5)</f>
        <v>87.576844026230091</v>
      </c>
      <c r="AC63" s="1567">
        <f>IF(ISERROR(MATCH($B63,'A1.3.2'!$B$27:$B$106,0)),"",SUM(Z63:AB63))</f>
        <v>129.76710244612605</v>
      </c>
      <c r="AD63" s="1609">
        <f>IF(ISERROR(MATCH($B63,'A1.3.2'!$B$27:$B$106,0)),"",(((VLOOKUP($B63,'Forecast occupancies'!$C$28:$CP$64,28,TRUE)-1)*VLOOKUP($B63,'A1.3.2'!$B$27:$AY$106,36,)+VLOOKUP($B63,'A1.3.2'!$B$27:$AY$106,35,))*$CR$5))</f>
        <v>34.891393915824807</v>
      </c>
      <c r="AE63" s="1565">
        <f>IF(ISERROR(MATCH($B63,'A1.3.2'!$B$27:$B$106,0)),"",VLOOKUP($B63,'Forecast occupancies'!$C$28:$CP$64,29,TRUE)*VLOOKUP($B63,'A1.3.2'!$B$27:$AY$106,49,)*$CR$5)</f>
        <v>19.450205971423554</v>
      </c>
      <c r="AF63" s="1565">
        <f>IF(ISERROR(MATCH($B63,'A1.3.2'!$B$27:$B$106,0)),"",VLOOKUP($B63,'Forecast occupancies'!$C$28:$CP$64,30,TRUE)*VLOOKUP($B63,'A1.3.2'!$B$27:$AY$106,50,)*$CR$5)</f>
        <v>14.004315583218116</v>
      </c>
      <c r="AG63" s="1566">
        <f>IF(ISERROR(MATCH($B63,'A1.3.2'!$B$27:$B$106,0)),"",(((AD63*'VoT5'!$F$28)+(AE63*'VoT5'!$F$29)+(AF63*'VoT5'!$F$30))/100))</f>
        <v>18.717731123511989</v>
      </c>
      <c r="AH63" s="1565">
        <f>IF(ISERROR(MATCH($B63,'A1.3.2'!$B$27:$B$106,0)),"",(VLOOKUP($B63,'Forecast occupancies'!$C$28:$CP$64,32,TRUE) * VLOOKUP($B63, 'A1.3.2'!$B$27:$AY$106,37,)) * $CR$5)</f>
        <v>25.136194044352642</v>
      </c>
      <c r="AI63" s="1565">
        <f>IF(ISERROR(MATCH($B63,'A1.3.2'!$B$27:$B$106,0)),"",VLOOKUP($B63,'Forecast occupancies'!$C$28:$CP$64,33,TRUE) * ('VoT5'!$J$29*VLOOKUP($B63, 'A1.3.2'!$B$27:$AY$106,49,)+'VoT5'!$J$30*VLOOKUP($B63, 'A1.3.2'!$B$27:$AY$106,50,))/('VoT5'!$J$29+'VoT5'!$J$30) * $CR$5)</f>
        <v>15.343648877640064</v>
      </c>
      <c r="AJ63" s="1566">
        <f>IF(ISERROR(MATCH($B63,'A1.3.2'!$B$27:$B$106,0)),"",(AH63*'VoT5'!$F$31 + AI63*'VoT5'!$F$32)/100)</f>
        <v>23.961088624347131</v>
      </c>
      <c r="AK63" s="1566">
        <f>IF(ISERROR(MATCH($B63,'A1.3.2'!$B$27:$B$106,0)),"",(VLOOKUP($B63,'Forecast occupancies'!$C$28:$CP$64,35,TRUE)*VLOOKUP($B63,'A1.3.2'!$B$27:$AY$106,38,)) * $CR$5)</f>
        <v>24.680406575184207</v>
      </c>
      <c r="AL63" s="1566">
        <f>IF(ISERROR(MATCH($B63,'A1.3.2'!$B$27:$B$106,0)),"",(VLOOKUP($B63,'Forecast occupancies'!$C$28:$CP$64,36,TRUE)*VLOOKUP($B63,'A1.3.2'!$B$27:$AY$106,38,)) * $CR$5)</f>
        <v>24.680406575184207</v>
      </c>
      <c r="AM63" s="1565">
        <f>IF(ISERROR(MATCH($B63,'A1.3.2'!$B$27:$B$106,0)),"",(((VLOOKUP($B63,'Forecast occupancies'!$C$28:$CP$64,37,TRUE) -1) * VLOOKUP($B63,'A1.3.2'!$B$27:$AY$106,40,)) + VLOOKUP($B63,'A1.3.2'!$B$27:$AY$106,39,)) * $CR$5)</f>
        <v>30.025899821183344</v>
      </c>
      <c r="AN63" s="1565">
        <f>IF(ISERROR(MATCH($B63,'A1.3.2'!$B$27:$B$106,0)),"",(VLOOKUP($B63,'Forecast occupancies'!$C$28:$CP$64,38,TRUE) * VLOOKUP($B63,'A1.3.2'!$B$27:$AY$106,49,)) * $CR$5)</f>
        <v>54.144172682726783</v>
      </c>
      <c r="AO63" s="1565">
        <f>IF(ISERROR(MATCH($B63,'A1.3.2'!$B$27:$B$106,0)),"",(VLOOKUP($B63,'Forecast occupancies'!$C$28:$CP$64,39,TRUE) * VLOOKUP($B63,'A1.3.2'!$B$27:$AY$106,50,)) * $CR$5)</f>
        <v>68.420287843830991</v>
      </c>
      <c r="AP63" s="1567">
        <f>IF(ISERROR(MATCH($B63,'A1.3.2'!$B$27:$B$106,0)),"",SUM(AM63:AO63))</f>
        <v>152.59036034774113</v>
      </c>
      <c r="AQ63" s="1609">
        <f>IF(ISERROR(MATCH($B63,'A1.3.2'!$B$27:$B$106,0)),"",(((VLOOKUP($B63,'Forecast occupancies'!$C$28:$CP$64,41,TRUE)-1)*VLOOKUP($B63,'A1.3.2'!$B$27:$AY$106,36,)+VLOOKUP($B63,'A1.3.2'!$B$27:$AY$106,35,))*$CR$5))</f>
        <v>35.551560796738713</v>
      </c>
      <c r="AR63" s="1565">
        <f>IF(ISERROR(MATCH($B63,'A1.3.2'!$B$27:$B$106,0)),"",VLOOKUP($B63,'Forecast occupancies'!$C$28:$CP$64,42,TRUE)*VLOOKUP($B63,'A1.3.2'!$B$27:$AY$106,49,)*$CR$5)</f>
        <v>19.734878259977368</v>
      </c>
      <c r="AS63" s="1565">
        <f>IF(ISERROR(MATCH($B63,'A1.3.2'!$B$27:$B$106,0)),"",VLOOKUP($B63,'Forecast occupancies'!$C$28:$CP$64,43,TRUE)*VLOOKUP($B63,'A1.3.2'!$B$27:$AY$106,50,)*$CR$5)</f>
        <v>13.954317105715102</v>
      </c>
      <c r="AT63" s="1566">
        <f>IF(ISERROR(MATCH($B63,'A1.3.2'!$B$27:$B$106,0)),"",(((AQ63*'VoT5'!$G$28)+(AR63*'VoT5'!$G$29)+(AS63*'VoT5'!$G$30))/100))</f>
        <v>18.963771952911404</v>
      </c>
      <c r="AU63" s="1565">
        <f>IF(ISERROR(MATCH($B63,'A1.3.2'!$B$27:$B$106,0)),"",(VLOOKUP($B63,'Forecast occupancies'!$C$28:$CP$64,45,TRUE) * VLOOKUP($B63, 'A1.3.2'!$B$27:$AY$106,37,)) * $CR$5)</f>
        <v>25.136194044352642</v>
      </c>
      <c r="AV63" s="1565">
        <f>IF(ISERROR(MATCH($B63,'A1.3.2'!$B$27:$B$106,0)),"",VLOOKUP($B63,'Forecast occupancies'!$C$28:$CP$64,46,TRUE) * ('VoT5'!$J$29*VLOOKUP($B63, 'A1.3.2'!$B$27:$AY$106,49,)+'VoT5'!$J$30*VLOOKUP($B63, 'A1.3.2'!$B$27:$AY$106,50,))/('VoT5'!$J$29+'VoT5'!$J$30) * $CR$5)</f>
        <v>15.343648877640064</v>
      </c>
      <c r="AW63" s="1566">
        <f>IF(ISERROR(MATCH($B63,'A1.3.2'!$B$27:$B$106,0)),"",(AU63*'VoT5'!$G$31 + AV63*'VoT5'!$G$32)/100)</f>
        <v>23.961088624347131</v>
      </c>
      <c r="AX63" s="1566">
        <f>IF(ISERROR(MATCH($B63,'A1.3.2'!$B$27:$B$106,0)),"",(VLOOKUP($B63,'Forecast occupancies'!$C$28:$CP$64,48,TRUE)*VLOOKUP($B63,'A1.3.2'!$B$27:$AY$106,38,)) * $CR$5)</f>
        <v>24.680406575184207</v>
      </c>
      <c r="AY63" s="1566">
        <f>IF(ISERROR(MATCH($B63,'A1.3.2'!$B$27:$B$106,0)),"",(VLOOKUP($B63,'Forecast occupancies'!$C$28:$CP$64,49,TRUE)*VLOOKUP($B63,'A1.3.2'!$B$27:$AY$106,38,)) * $CR$5)</f>
        <v>24.680406575184207</v>
      </c>
      <c r="AZ63" s="1565">
        <f>IF(ISERROR(MATCH($B63,'A1.3.2'!$B$27:$B$106,0)),"",(((VLOOKUP($B63,'Forecast occupancies'!$C$28:$CP$64,50,TRUE) -1) * VLOOKUP($B63,'A1.3.2'!$B$27:$AY$106,40,)) + VLOOKUP($B63,'A1.3.2'!$B$27:$AY$106,39,)) * $CR$5)</f>
        <v>30.001618682112415</v>
      </c>
      <c r="BA63" s="1565">
        <f>IF(ISERROR(MATCH($B63,'A1.3.2'!$B$27:$B$106,0)),"",(VLOOKUP($B63,'Forecast occupancies'!$C$28:$CP$64,51,TRUE) * VLOOKUP($B63,'A1.3.2'!$B$27:$AY$106,49,)) * $CR$5)</f>
        <v>74.013739141158723</v>
      </c>
      <c r="BB63" s="1565">
        <f>IF(ISERROR(MATCH($B63,'A1.3.2'!$B$27:$B$106,0)),"",(VLOOKUP($B63,'Forecast occupancies'!$C$28:$CP$64,52,TRUE) * VLOOKUP($B63,'A1.3.2'!$B$27:$AY$106,50,)) * $CR$5)</f>
        <v>59.362225631284552</v>
      </c>
      <c r="BC63" s="1567">
        <f>IF(ISERROR(MATCH($B63,'A1.3.2'!$B$27:$B$106,0)),"",SUM(AZ63:BB63))</f>
        <v>163.37758345455569</v>
      </c>
      <c r="BD63" s="1565">
        <f>IF(ISERROR(MATCH($B63,'A1.3.2'!$B$27:$B$106,0)),"",(((VLOOKUP($B63,'Forecast occupancies'!$C$28:$CP$64,54,TRUE)-1)*VLOOKUP($B63,'A1.3.2'!$B$27:$AY$106,36,)+VLOOKUP($B63,'A1.3.2'!$B$27:$AY$106,35,))*$CR$5))</f>
        <v>34.953475817438346</v>
      </c>
      <c r="BE63" s="1565">
        <f>IF(ISERROR(MATCH($B63,'A1.3.2'!$B$27:$B$106,0)),"",VLOOKUP($B63,'Forecast occupancies'!$C$28:$CP$64,55,TRUE)*VLOOKUP($B63,'A1.3.2'!$B$27:$AY$106,49,)*$CR$5)</f>
        <v>19.516336833721279</v>
      </c>
      <c r="BF63" s="1565">
        <f>IF(ISERROR(MATCH($B63,'A1.3.2'!$B$27:$B$106,0)),"",VLOOKUP($B63,'Forecast occupancies'!$C$28:$CP$64,56,TRUE)*VLOOKUP($B63,'A1.3.2'!$B$27:$AY$106,50,)*$CR$5)</f>
        <v>13.988988696180156</v>
      </c>
      <c r="BG63" s="1566">
        <f>IF(ISERROR(MATCH($B63,'A1.3.2'!$B$27:$B$106,0)),"",(((BD63*'VoT5'!$H$28)+(BE63*'VoT5'!$H$29)+(BF63*'VoT5'!$H$30))/100))</f>
        <v>18.827201950461493</v>
      </c>
      <c r="BH63" s="1565">
        <f>IF(ISERROR(MATCH($B63,'A1.3.2'!$B$27:$B$106,0)),"",(VLOOKUP($B63,'Forecast occupancies'!$C$28:$CP$64,58,TRUE) * VLOOKUP($B63, 'A1.3.2'!$B$27:$AY$106,37,)) * $CR$5)</f>
        <v>25.136194044352642</v>
      </c>
      <c r="BI63" s="1565">
        <f>IF(ISERROR(MATCH($B63,'A1.3.2'!$B$27:$B$106,0)),"",(VLOOKUP($B63,'Forecast occupancies'!$C$28:$CP$64,59,TRUE) * (VLOOKUP($B63,'A1.3.2'!$B$27:$AY$106,49,) * 'VoT5'!$J$29 + VLOOKUP($B63,'A1.3.2'!$B$27:$AY$106,50,) * 'VoT5'!$J$30) / (SUM('VoT5'!$J$29:$J$30))) * $CR$5)</f>
        <v>15.343648877640064</v>
      </c>
      <c r="BJ63" s="1566">
        <f>IF(ISERROR(MATCH($B63,'A1.3.2'!$B$27:$B$106,0)),"",(BH63*'VoT5'!$H$31 + BI63*'VoT5'!$H$32)/100)</f>
        <v>23.961088624347131</v>
      </c>
      <c r="BK63" s="1566">
        <f>IF(ISERROR(MATCH($B63,'A1.3.2'!$B$27:$B$106,0)),"",(VLOOKUP($B63,'Forecast occupancies'!$C$28:$CP$64,61,TRUE)*VLOOKUP($B63,'A1.3.2'!$B$27:$AY$106,38,)) * $CR$5)</f>
        <v>24.680406575184207</v>
      </c>
      <c r="BL63" s="1566">
        <f>IF(ISERROR(MATCH($B63,'A1.3.2'!$B$27:$B$106,0)),"",(VLOOKUP($B63,'Forecast occupancies'!$C$28:$CP$64,62,TRUE)*VLOOKUP($B63,'A1.3.2'!$B$27:$AY$106,38,)) * $CR$5)</f>
        <v>24.680406575184207</v>
      </c>
      <c r="BM63" s="1565">
        <f>IF(ISERROR(MATCH($B63,'A1.3.2'!$B$27:$B$106,0)),"",(((VLOOKUP($B63,'Forecast occupancies'!$C$28:$CP$64,63,TRUE) -1) * VLOOKUP($B63,'A1.3.2'!$B$27:$AY$106,40,)) + VLOOKUP($B63,'A1.3.2'!$B$27:$AY$106,39,)) * $CR$5)</f>
        <v>28.927298551474362</v>
      </c>
      <c r="BN63" s="1565">
        <f>IF(ISERROR(MATCH($B63,'A1.3.2'!$B$27:$B$106,0)),"",(VLOOKUP($B63,'Forecast occupancies'!$C$28:$CP$64,64,TRUE) * VLOOKUP($B63,'A1.3.2'!$B$27:$AY$106,49,)) * $CR$5)</f>
        <v>33.412281427603183</v>
      </c>
      <c r="BO63" s="1565">
        <f>IF(ISERROR(MATCH($B63,'A1.3.2'!$B$27:$B$106,0)),"",(VLOOKUP($B63,'Forecast occupancies'!$C$28:$CP$64,65,TRUE) * VLOOKUP($B63,'A1.3.2'!$B$27:$AY$106,50,)) * $CR$5)</f>
        <v>78.380831046522218</v>
      </c>
      <c r="BP63" s="1567">
        <f>IF(ISERROR(MATCH($B63,'A1.3.2'!$B$27:$B$106,0)),"",SUM(BM63:BO63))</f>
        <v>140.72041102559976</v>
      </c>
      <c r="BQ63" s="1565">
        <f>IF(ISERROR(MATCH($B63,'A1.3.2'!$B$27:$B$106,0)),"",(((VLOOKUP($B63,'Forecast occupancies'!$C$28:$CP$64,67,TRUE)-1)*VLOOKUP($B63,'A1.3.2'!$B$27:$AY$106,36,)+VLOOKUP($B63,'A1.3.2'!$B$27:$AY$106,35,))*$CR$5))</f>
        <v>39.947447243721847</v>
      </c>
      <c r="BR63" s="1565">
        <f>IF(ISERROR(MATCH($B63,'A1.3.2'!$B$27:$B$106,0)),"",VLOOKUP($B63,'Forecast occupancies'!$C$28:$CP$64,68,TRUE)*VLOOKUP($B63,'A1.3.2'!$B$27:$AY$106,49,)*$CR$5)</f>
        <v>20.662959331424268</v>
      </c>
      <c r="BS63" s="1565">
        <f>IF(ISERROR(MATCH($B63,'A1.3.2'!$B$27:$B$106,0)),"",VLOOKUP($B63,'Forecast occupancies'!$C$28:$CP$64,69,TRUE)*VLOOKUP($B63,'A1.3.2'!$B$27:$AY$106,50,)*$CR$5)</f>
        <v>16.563299838254295</v>
      </c>
      <c r="BT63" s="1566">
        <f>IF(ISERROR(MATCH($B63,'A1.3.2'!$B$27:$B$106,0)),"",(((BQ63*'VoT5'!$I$28)+(BR63*'VoT5'!$I$29)+(BS63*'VoT5'!$I$30))/100))</f>
        <v>17.698930432532396</v>
      </c>
      <c r="BU63" s="1565">
        <f>IF(ISERROR(MATCH($B63,'A1.3.2'!$B$27:$B$106,0)),"",(VLOOKUP($B63,'Forecast occupancies'!$C$28:$CP$64,71,TRUE) * VLOOKUP($B63, 'A1.3.2'!$B$27:$AY$106,37,)) * $CR$5)</f>
        <v>26.393003746570276</v>
      </c>
      <c r="BV63" s="1565">
        <f>IF(ISERROR(MATCH($B63,'A1.3.2'!$B$27:$B$106,0)),"",(VLOOKUP($B63,'Forecast occupancies'!$C$28:$CP$64,72,TRUE) * (VLOOKUP($B63,'A1.3.2'!$B$27:$AY$106,49,)*'VoT5'!$J$29 + VLOOKUP($B63,'A1.3.2'!$B$27:$AY$106,50,)*'VoT5'!$J$30) / (SUM('VoT5'!$J$29:$J$30))) * $CR$5)</f>
        <v>21.333977549047486</v>
      </c>
      <c r="BW63" s="1566">
        <f>IF(ISERROR(MATCH($B63,'A1.3.2'!$B$27:$B$106,0)),"",(BU63*'VoT5'!$I$31 + BV63*'VoT5'!$I$32)/100)</f>
        <v>25.785920602867542</v>
      </c>
      <c r="BX63" s="1566">
        <f>IF(ISERROR(MATCH($B63,'A1.3.2'!$B$27:$B$106,0)),"",(VLOOKUP($B63,'Forecast occupancies'!$C$28:$CP$64,74,TRUE)*VLOOKUP($B63,'A1.3.2'!$B$27:$AY$106,38,)) * $CR$5)</f>
        <v>24.680406575184207</v>
      </c>
      <c r="BY63" s="1566">
        <f>IF(ISERROR(MATCH($B63,'A1.3.2'!$B$27:$B$106,0)),"",(VLOOKUP($B63,'Forecast occupancies'!$C$28:$CP$64,75,TRUE)*VLOOKUP($B63,'A1.3.2'!$B$27:$AY$106,38,)) * $CR$5)</f>
        <v>24.680406575184207</v>
      </c>
      <c r="BZ63" s="1565">
        <f>IF(ISERROR(MATCH($B63,'A1.3.2'!$B$27:$B$106,0)),"",(((VLOOKUP($B63,'Forecast occupancies'!$C$28:$CP$64,76,TRUE) -1) * VLOOKUP($B63,'A1.3.2'!$B$27:$AY$106,40,)) + VLOOKUP($B63,'A1.3.2'!$B$27:$AY$106,39,)) * $CR$5)</f>
        <v>26.345082811673198</v>
      </c>
      <c r="CA63" s="1565">
        <f>IF(ISERROR(MATCH($B63,'A1.3.2'!$B$27:$B$106,0)),"",(VLOOKUP($B63,'Forecast occupancies'!$C$28:$CP$64,77,TRUE) * VLOOKUP($B63,'A1.3.2'!$B$27:$AY$106,49,)) * $CR$5)</f>
        <v>12.657861500841534</v>
      </c>
      <c r="CB63" s="1565">
        <f>IF(ISERROR(MATCH($B63,'A1.3.2'!$B$27:$B$106,0)),"",(VLOOKUP($B63,'Forecast occupancies'!$C$28:$CP$64,78,TRUE) * VLOOKUP($B63,'A1.3.2'!$B$27:$AY$106,50,)) * $CR$5)</f>
        <v>89.024030780771213</v>
      </c>
      <c r="CC63" s="1567">
        <f>IF(ISERROR(MATCH($B63,'A1.3.2'!$B$27:$B$106,0)),"",SUM(BZ63:CB63))</f>
        <v>128.02697509328596</v>
      </c>
      <c r="CD63" s="1565">
        <f>IF(ISERROR(MATCH($B63,'A1.3.2'!$B$27:$B$106,0)),"",(((VLOOKUP($B63,'Forecast occupancies'!$C$28:$CP$64,80,TRUE)-1)*VLOOKUP($B63,'A1.3.2'!$B$27:$AY$106,36,)+VLOOKUP($B63,'A1.3.2'!$B$27:$AY$106,35,))*$CR$5))</f>
        <v>35.307961879471861</v>
      </c>
      <c r="CE63" s="1565">
        <f>IF(ISERROR(MATCH($B63,'A1.3.2'!$B$27:$B$106,0)),"",VLOOKUP($B63,'Forecast occupancies'!$C$28:$CP$64,81,TRUE)*VLOOKUP($B63,'A1.3.2'!$B$27:$AY$106,49,)*$CR$5)</f>
        <v>19.609099349606154</v>
      </c>
      <c r="CF63" s="1565">
        <f>IF(ISERROR(MATCH($B63,'A1.3.2'!$B$27:$B$106,0)),"",VLOOKUP($B63,'Forecast occupancies'!$C$28:$CP$64,82,TRUE)*VLOOKUP($B63,'A1.3.2'!$B$27:$AY$106,50,)*$CR$5)</f>
        <v>14.897381811410266</v>
      </c>
      <c r="CG63" s="1566">
        <f>IF(ISERROR(MATCH($B63,'A1.3.2'!$B$27:$B$106,0)),"",(((CD63*'VoT5'!$J$28)+(CE63*'VoT5'!$J$29)+(CF63*'VoT5'!$J$30))/100))</f>
        <v>18.559694131801606</v>
      </c>
      <c r="CH63" s="1565">
        <f>IF(ISERROR(MATCH($B63,'A1.3.2'!$B$27:$B$106,0)),"",(VLOOKUP($B63,'Forecast occupancies'!$C$28:$CP$64,84,TRUE) * VLOOKUP($B63, 'A1.3.2'!$B$27:$AY$106,37,)) * $CR$5)</f>
        <v>25.136194044352642</v>
      </c>
      <c r="CI63" s="1565">
        <f>IF(ISERROR(MATCH($B63,'A1.3.2'!$B$27:$B$106,0)),"",(VLOOKUP($B63,'Forecast occupancies'!$C$28:$CP$64,85,TRUE) * (VLOOKUP($B63,'A1.3.2'!$B$27:$AY$106,49,)*'VoT5'!$J$29 + VLOOKUP($B63,'A1.3.2'!$B$27:$AY$106,50,)*'VoT5'!$J$30) / (SUM('VoT5'!$J$29:$J$30))) * $CR$5)</f>
        <v>16.709864188662809</v>
      </c>
      <c r="CJ63" s="1566">
        <f>IF(ISERROR(MATCH($B63,'A1.3.2'!$B$27:$B$106,0)),"",(CH63*'VoT5'!$J$31 + CI63*'VoT5'!$J$32)/100)</f>
        <v>24.125034461669863</v>
      </c>
      <c r="CK63" s="1566">
        <f>IF(ISERROR(MATCH($B63,'A1.3.2'!$B$27:$B$106,0)),"",(VLOOKUP($B63,'Forecast occupancies'!$C$28:$CP$64,87,TRUE)*VLOOKUP($B63,'A1.3.2'!$B$27:$AY$106,38,)) * $CR$5)</f>
        <v>24.680406575184207</v>
      </c>
      <c r="CL63" s="1566">
        <f>IF(ISERROR(MATCH($B63,'A1.3.2'!$B$27:$B$106,0)),"",(VLOOKUP($B63,'Forecast occupancies'!$C$28:$CP$64,88,TRUE)*VLOOKUP($B63,'A1.3.2'!$B$27:$AY$106,38,)) * $CR$5)</f>
        <v>24.680406575184207</v>
      </c>
      <c r="CM63" s="1565">
        <f>IF(ISERROR(MATCH($B63,'A1.3.2'!$B$27:$B$106,0)),"",(((VLOOKUP($B63,'Forecast occupancies'!$C$28:$CP$64,89,TRUE) -1) * VLOOKUP($B63,'A1.3.2'!$B$27:$AY$106,40,)) + VLOOKUP($B63,'A1.3.2'!$B$27:$AY$106,39,)) * $CR$5)</f>
        <v>28.289643872015077</v>
      </c>
      <c r="CN63" s="1565">
        <f>IF(ISERROR(MATCH($B63,'A1.3.2'!$B$27:$B$106,0)),"",(VLOOKUP($B63,'Forecast occupancies'!$C$28:$CP$64,90,TRUE) * VLOOKUP($B63,'A1.3.2'!$B$27:$AY$106,49,)) * $CR$5)</f>
        <v>28.286178621954278</v>
      </c>
      <c r="CO63" s="1565">
        <f>IF(ISERROR(MATCH($B63,'A1.3.2'!$B$27:$B$106,0)),"",(VLOOKUP($B63,'Forecast occupancies'!$C$28:$CP$64,91,TRUE) * VLOOKUP($B63,'A1.3.2'!$B$27:$AY$106,50,)) * $CR$5)</f>
        <v>81.009523170293164</v>
      </c>
      <c r="CP63" s="1567">
        <f>IF(ISERROR(MATCH($B63,'A1.3.2'!$B$27:$B$106,0)),"",SUM(CM63:CO63))</f>
        <v>137.58534566426252</v>
      </c>
    </row>
    <row r="64" spans="1:94" s="26" customFormat="1" ht="13.5" customHeight="1">
      <c r="A64" s="113"/>
      <c r="B64" s="82">
        <f t="shared" si="0"/>
        <v>2046</v>
      </c>
      <c r="D64" s="1609">
        <f>IF(ISERROR(MATCH($B64,'A1.3.2'!$B$27:$B$106,0)),"",(((VLOOKUP($B64,'Forecast occupancies'!$C$28:$CP$64,2,TRUE) -1) * VLOOKUP($B64,'A1.3.2'!$B$27:$AY$106,36,) + VLOOKUP($B64,'A1.3.2'!$B$27:$AY$106,35,)) * $CR$5))</f>
        <v>35.048661078403661</v>
      </c>
      <c r="E64" s="1565">
        <f>IF(ISERROR(MATCH($B64,'A1.3.2'!$B$27:$B$106,0)),"",VLOOKUP($B64,'Forecast occupancies'!$C$28:$CP$64,3,TRUE)*VLOOKUP($B64,'A1.3.2'!$B$27:$AY$106,49,)*$CR$5)</f>
        <v>19.751705198615344</v>
      </c>
      <c r="F64" s="1565">
        <f>IF(ISERROR(MATCH($B64,'A1.3.2'!$B$27:$B$106,0)),"",VLOOKUP($B64,'Forecast occupancies'!$C$28:$CP$64,4,TRUE)*VLOOKUP($B64,'A1.3.2'!$B$27:$AY$106,50,)*$CR$5)</f>
        <v>13.627146360930363</v>
      </c>
      <c r="G64" s="1566">
        <f>IF(ISERROR(MATCH($B64,'A1.3.2'!$B$27:$B$106,0)),"",(((D64*'VoT5'!$D$28)+(E64*'VoT5'!$D$29)+(F64*'VoT5'!$D$30))/100))</f>
        <v>19.851734131751591</v>
      </c>
      <c r="H64" s="1565">
        <f>IF(ISERROR(MATCH($B64,'A1.3.2'!$B$27:$B$106,0)),"",(VLOOKUP($B64,'Forecast occupancies'!$C$28:$CP$64,6,TRUE) * VLOOKUP($B64, 'A1.3.2'!$B$27:$AY$106,37,)) * $CR$5)</f>
        <v>25.61387994413985</v>
      </c>
      <c r="I64" s="1565">
        <f>IF(ISERROR(MATCH($B64,'A1.3.2'!$B$27:$B$106,0)),"",VLOOKUP($B64,'Forecast occupancies'!$C$28:$CP$64,7,TRUE) * ('VoT5'!$J$29*VLOOKUP($B64, 'A1.3.2'!$B$27:$AY$106,49,)+'VoT5'!$J$30*VLOOKUP($B64, 'A1.3.2'!$B$27:$AY$106,50,))/('VoT5'!$J$29+'VoT5'!$J$30) * $CR$5)</f>
        <v>15.635238157512815</v>
      </c>
      <c r="J64" s="1566">
        <f>IF(ISERROR(MATCH($B64,'A1.3.2'!$B$27:$B$106,0)),"",(H64*'VoT5'!$D$31 + I64*'VoT5'!$D$32)/100)</f>
        <v>24.416442929744605</v>
      </c>
      <c r="K64" s="1566">
        <f>IF(ISERROR(MATCH($B64,'A1.3.2'!$B$27:$B$106,0)),"",(VLOOKUP($B64,'Forecast occupancies'!$C$28:$CP$64,9,TRUE)*VLOOKUP($B64,'A1.3.2'!$B$27:$AY$106,38,)) * $CR$5)</f>
        <v>25.149430732189785</v>
      </c>
      <c r="L64" s="1566">
        <f>IF(ISERROR(MATCH($B64,'A1.3.2'!$B$27:$B$106,0)),"",(VLOOKUP($B64,'Forecast occupancies'!$C$28:$CP$64,10,TRUE)*VLOOKUP($B64,'A1.3.2'!$B$27:$AY$106,38,)) * $CR$5)</f>
        <v>25.149430732189785</v>
      </c>
      <c r="M64" s="1565">
        <f>IF(ISERROR(MATCH($B64,'A1.3.2'!$B$27:$B$106,0)),"",(((VLOOKUP($B64,'Forecast occupancies'!$C$28:$CP$64,11,TRUE) -1) * VLOOKUP($B64,'A1.3.2'!$B$27:$AY$106,40,)) + VLOOKUP($B64,'A1.3.2'!$B$27:$AY$106,39,)) * $CR$5)</f>
        <v>28.658003698513177</v>
      </c>
      <c r="N64" s="1565">
        <f>IF(ISERROR(MATCH($B64,'A1.3.2'!$B$27:$B$106,0)),"",(VLOOKUP($B64,'Forecast occupancies'!$C$28:$CP$64,12,TRUE) * VLOOKUP($B64,'A1.3.2'!$B$27:$AY$106,49,)) * $CR$5)</f>
        <v>39.230663386893333</v>
      </c>
      <c r="O64" s="1565">
        <f>IF(ISERROR(MATCH($B64,'A1.3.2'!$B$27:$B$106,0)),"",(VLOOKUP($B64,'Forecast occupancies'!$C$28:$CP$64,13,TRUE) * VLOOKUP($B64,'A1.3.2'!$B$27:$AY$106,50,)) * $CR$5)</f>
        <v>77.875688192587731</v>
      </c>
      <c r="P64" s="1567">
        <f>IF(ISERROR(MATCH($B64,'A1.3.2'!$B$27:$B$106,0)),"",SUM(M64:O64))</f>
        <v>145.76435527799424</v>
      </c>
      <c r="Q64" s="1609">
        <f>IF(ISERROR(MATCH($B64,'A1.3.2'!$B$27:$B$106,0)),"",(((VLOOKUP($B64,'Forecast occupancies'!$C$28:$CP$64,15,TRUE)-1)*VLOOKUP($B64,'A1.3.2'!$B$27:$AY$106,36,)+VLOOKUP($B64,'A1.3.2'!$B$27:$AY$106,35,))*$CR$5))</f>
        <v>35.915155465623705</v>
      </c>
      <c r="R64" s="1565">
        <f>IF(ISERROR(MATCH($B64,'A1.3.2'!$B$27:$B$106,0)),"",VLOOKUP($B64,'Forecast occupancies'!$C$28:$CP$64,16,TRUE)*VLOOKUP($B64,'A1.3.2'!$B$27:$AY$106,49,)*$CR$5)</f>
        <v>20.072869766997549</v>
      </c>
      <c r="S64" s="1565">
        <f>IF(ISERROR(MATCH($B64,'A1.3.2'!$B$27:$B$106,0)),"",VLOOKUP($B64,'Forecast occupancies'!$C$28:$CP$64,17,TRUE)*VLOOKUP($B64,'A1.3.2'!$B$27:$AY$106,50,)*$CR$5)</f>
        <v>14.516129880321795</v>
      </c>
      <c r="T64" s="1566">
        <f>IF(ISERROR(MATCH($B64,'A1.3.2'!$B$27:$B$106,0)),"",(((Q64*'VoT5'!$E$28)+(R64*'VoT5'!$E$29)+(S64*'VoT5'!$E$30))/100))</f>
        <v>18.696554444212207</v>
      </c>
      <c r="U64" s="1565">
        <f>IF(ISERROR(MATCH($B64,'A1.3.2'!$B$27:$B$106,0)),"",(VLOOKUP($B64,'Forecast occupancies'!$C$28:$CP$64,19,TRUE) * VLOOKUP($B64, 'A1.3.2'!$B$27:$AY$106,37,)) * $CR$5)</f>
        <v>25.61387994413985</v>
      </c>
      <c r="V64" s="1565">
        <f>IF(ISERROR(MATCH($B64,'A1.3.2'!$B$27:$B$106,0)),"",VLOOKUP($B64,'Forecast occupancies'!$C$28:$CP$64,20,TRUE) * ('VoT5'!$J$29*VLOOKUP($B64, 'A1.3.2'!$B$27:$AY$106,49,)+'VoT5'!$J$30*VLOOKUP($B64, 'A1.3.2'!$B$27:$AY$106,50,))/('VoT5'!$J$29+'VoT5'!$J$30) * $CR$5)</f>
        <v>15.635238157512815</v>
      </c>
      <c r="W64" s="1566">
        <f>IF(ISERROR(MATCH($B64,'A1.3.2'!$B$27:$B$106,0)),"",(U64*'VoT5'!$E$31 + V64*'VoT5'!$E$32)/100)</f>
        <v>24.416442929744605</v>
      </c>
      <c r="X64" s="1566">
        <f>IF(ISERROR(MATCH($B64,'A1.3.2'!$B$27:$B$106,0)),"",(VLOOKUP($B64,'Forecast occupancies'!$C$28:$CP$64,22,TRUE)*VLOOKUP($B64,'A1.3.2'!$B$27:$AY$106,38,)) * $CR$5)</f>
        <v>25.149430732189785</v>
      </c>
      <c r="Y64" s="1566">
        <f>IF(ISERROR(MATCH($B64,'A1.3.2'!$B$27:$B$106,0)),"",(VLOOKUP($B64,'Forecast occupancies'!$C$28:$CP$64,23,TRUE)*VLOOKUP($B64,'A1.3.2'!$B$27:$AY$106,38,)) * $CR$5)</f>
        <v>25.149430732189785</v>
      </c>
      <c r="Z64" s="1565">
        <f>IF(ISERROR(MATCH($B64,'A1.3.2'!$B$27:$B$106,0)),"",(((VLOOKUP($B64,'Forecast occupancies'!$C$28:$CP$64,24,TRUE) -1) * VLOOKUP($B64,'A1.3.2'!$B$27:$AY$106,40,)) + VLOOKUP($B64,'A1.3.2'!$B$27:$AY$106,39,)) * $CR$5)</f>
        <v>29.242939038871409</v>
      </c>
      <c r="AA64" s="1565">
        <f>IF(ISERROR(MATCH($B64,'A1.3.2'!$B$27:$B$106,0)),"",(VLOOKUP($B64,'Forecast occupancies'!$C$28:$CP$64,25,TRUE) * VLOOKUP($B64,'A1.3.2'!$B$27:$AY$106,49,)) * $CR$5)</f>
        <v>13.749099138135032</v>
      </c>
      <c r="AB64" s="1565">
        <f>IF(ISERROR(MATCH($B64,'A1.3.2'!$B$27:$B$106,0)),"",(VLOOKUP($B64,'Forecast occupancies'!$C$28:$CP$64,26,TRUE) * VLOOKUP($B64,'A1.3.2'!$B$27:$AY$106,50,)) * $CR$5)</f>
        <v>89.241146245785615</v>
      </c>
      <c r="AC64" s="1567">
        <f>IF(ISERROR(MATCH($B64,'A1.3.2'!$B$27:$B$106,0)),"",SUM(Z64:AB64))</f>
        <v>132.23318442279205</v>
      </c>
      <c r="AD64" s="1609">
        <f>IF(ISERROR(MATCH($B64,'A1.3.2'!$B$27:$B$106,0)),"",(((VLOOKUP($B64,'Forecast occupancies'!$C$28:$CP$64,28,TRUE)-1)*VLOOKUP($B64,'A1.3.2'!$B$27:$AY$106,36,)+VLOOKUP($B64,'A1.3.2'!$B$27:$AY$106,35,))*$CR$5))</f>
        <v>35.554466729000175</v>
      </c>
      <c r="AE64" s="1565">
        <f>IF(ISERROR(MATCH($B64,'A1.3.2'!$B$27:$B$106,0)),"",VLOOKUP($B64,'Forecast occupancies'!$C$28:$CP$64,29,TRUE)*VLOOKUP($B64,'A1.3.2'!$B$27:$AY$106,49,)*$CR$5)</f>
        <v>19.819835881349931</v>
      </c>
      <c r="AF64" s="1565">
        <f>IF(ISERROR(MATCH($B64,'A1.3.2'!$B$27:$B$106,0)),"",VLOOKUP($B64,'Forecast occupancies'!$C$28:$CP$64,30,TRUE)*VLOOKUP($B64,'A1.3.2'!$B$27:$AY$106,50,)*$CR$5)</f>
        <v>14.270452297410797</v>
      </c>
      <c r="AG64" s="1566">
        <f>IF(ISERROR(MATCH($B64,'A1.3.2'!$B$27:$B$106,0)),"",(((AD64*'VoT5'!$F$28)+(AE64*'VoT5'!$F$29)+(AF64*'VoT5'!$F$30))/100))</f>
        <v>19.073441149378802</v>
      </c>
      <c r="AH64" s="1565">
        <f>IF(ISERROR(MATCH($B64,'A1.3.2'!$B$27:$B$106,0)),"",(VLOOKUP($B64,'Forecast occupancies'!$C$28:$CP$64,32,TRUE) * VLOOKUP($B64, 'A1.3.2'!$B$27:$AY$106,37,)) * $CR$5)</f>
        <v>25.61387994413985</v>
      </c>
      <c r="AI64" s="1565">
        <f>IF(ISERROR(MATCH($B64,'A1.3.2'!$B$27:$B$106,0)),"",VLOOKUP($B64,'Forecast occupancies'!$C$28:$CP$64,33,TRUE) * ('VoT5'!$J$29*VLOOKUP($B64, 'A1.3.2'!$B$27:$AY$106,49,)+'VoT5'!$J$30*VLOOKUP($B64, 'A1.3.2'!$B$27:$AY$106,50,))/('VoT5'!$J$29+'VoT5'!$J$30) * $CR$5)</f>
        <v>15.635238157512815</v>
      </c>
      <c r="AJ64" s="1566">
        <f>IF(ISERROR(MATCH($B64,'A1.3.2'!$B$27:$B$106,0)),"",(AH64*'VoT5'!$F$31 + AI64*'VoT5'!$F$32)/100)</f>
        <v>24.416442929744605</v>
      </c>
      <c r="AK64" s="1566">
        <f>IF(ISERROR(MATCH($B64,'A1.3.2'!$B$27:$B$106,0)),"",(VLOOKUP($B64,'Forecast occupancies'!$C$28:$CP$64,35,TRUE)*VLOOKUP($B64,'A1.3.2'!$B$27:$AY$106,38,)) * $CR$5)</f>
        <v>25.149430732189785</v>
      </c>
      <c r="AL64" s="1566">
        <f>IF(ISERROR(MATCH($B64,'A1.3.2'!$B$27:$B$106,0)),"",(VLOOKUP($B64,'Forecast occupancies'!$C$28:$CP$64,36,TRUE)*VLOOKUP($B64,'A1.3.2'!$B$27:$AY$106,38,)) * $CR$5)</f>
        <v>25.149430732189785</v>
      </c>
      <c r="AM64" s="1565">
        <f>IF(ISERROR(MATCH($B64,'A1.3.2'!$B$27:$B$106,0)),"",(((VLOOKUP($B64,'Forecast occupancies'!$C$28:$CP$64,37,TRUE) -1) * VLOOKUP($B64,'A1.3.2'!$B$27:$AY$106,40,)) + VLOOKUP($B64,'A1.3.2'!$B$27:$AY$106,39,)) * $CR$5)</f>
        <v>30.596509235945764</v>
      </c>
      <c r="AN64" s="1565">
        <f>IF(ISERROR(MATCH($B64,'A1.3.2'!$B$27:$B$106,0)),"",(VLOOKUP($B64,'Forecast occupancies'!$C$28:$CP$64,38,TRUE) * VLOOKUP($B64,'A1.3.2'!$B$27:$AY$106,49,)) * $CR$5)</f>
        <v>55.173123517548703</v>
      </c>
      <c r="AO64" s="1565">
        <f>IF(ISERROR(MATCH($B64,'A1.3.2'!$B$27:$B$106,0)),"",(VLOOKUP($B64,'Forecast occupancies'!$C$28:$CP$64,39,TRUE) * VLOOKUP($B64,'A1.3.2'!$B$27:$AY$106,50,)) * $CR$5)</f>
        <v>69.720540646809468</v>
      </c>
      <c r="AP64" s="1567">
        <f>IF(ISERROR(MATCH($B64,'A1.3.2'!$B$27:$B$106,0)),"",SUM(AM64:AO64))</f>
        <v>155.49017340030395</v>
      </c>
      <c r="AQ64" s="1609">
        <f>IF(ISERROR(MATCH($B64,'A1.3.2'!$B$27:$B$106,0)),"",(((VLOOKUP($B64,'Forecast occupancies'!$C$28:$CP$64,41,TRUE)-1)*VLOOKUP($B64,'A1.3.2'!$B$27:$AY$106,36,)+VLOOKUP($B64,'A1.3.2'!$B$27:$AY$106,35,))*$CR$5))</f>
        <v>36.227179360076683</v>
      </c>
      <c r="AR64" s="1565">
        <f>IF(ISERROR(MATCH($B64,'A1.3.2'!$B$27:$B$106,0)),"",VLOOKUP($B64,'Forecast occupancies'!$C$28:$CP$64,42,TRUE)*VLOOKUP($B64,'A1.3.2'!$B$27:$AY$106,49,)*$CR$5)</f>
        <v>20.109918055666977</v>
      </c>
      <c r="AS64" s="1565">
        <f>IF(ISERROR(MATCH($B64,'A1.3.2'!$B$27:$B$106,0)),"",VLOOKUP($B64,'Forecast occupancies'!$C$28:$CP$64,43,TRUE)*VLOOKUP($B64,'A1.3.2'!$B$27:$AY$106,50,)*$CR$5)</f>
        <v>14.219503653479569</v>
      </c>
      <c r="AT64" s="1566">
        <f>IF(ISERROR(MATCH($B64,'A1.3.2'!$B$27:$B$106,0)),"",(((AQ64*'VoT5'!$G$28)+(AR64*'VoT5'!$G$29)+(AS64*'VoT5'!$G$30))/100))</f>
        <v>19.324157715875437</v>
      </c>
      <c r="AU64" s="1565">
        <f>IF(ISERROR(MATCH($B64,'A1.3.2'!$B$27:$B$106,0)),"",(VLOOKUP($B64,'Forecast occupancies'!$C$28:$CP$64,45,TRUE) * VLOOKUP($B64, 'A1.3.2'!$B$27:$AY$106,37,)) * $CR$5)</f>
        <v>25.61387994413985</v>
      </c>
      <c r="AV64" s="1565">
        <f>IF(ISERROR(MATCH($B64,'A1.3.2'!$B$27:$B$106,0)),"",VLOOKUP($B64,'Forecast occupancies'!$C$28:$CP$64,46,TRUE) * ('VoT5'!$J$29*VLOOKUP($B64, 'A1.3.2'!$B$27:$AY$106,49,)+'VoT5'!$J$30*VLOOKUP($B64, 'A1.3.2'!$B$27:$AY$106,50,))/('VoT5'!$J$29+'VoT5'!$J$30) * $CR$5)</f>
        <v>15.635238157512815</v>
      </c>
      <c r="AW64" s="1566">
        <f>IF(ISERROR(MATCH($B64,'A1.3.2'!$B$27:$B$106,0)),"",(AU64*'VoT5'!$G$31 + AV64*'VoT5'!$G$32)/100)</f>
        <v>24.416442929744605</v>
      </c>
      <c r="AX64" s="1566">
        <f>IF(ISERROR(MATCH($B64,'A1.3.2'!$B$27:$B$106,0)),"",(VLOOKUP($B64,'Forecast occupancies'!$C$28:$CP$64,48,TRUE)*VLOOKUP($B64,'A1.3.2'!$B$27:$AY$106,38,)) * $CR$5)</f>
        <v>25.149430732189785</v>
      </c>
      <c r="AY64" s="1566">
        <f>IF(ISERROR(MATCH($B64,'A1.3.2'!$B$27:$B$106,0)),"",(VLOOKUP($B64,'Forecast occupancies'!$C$28:$CP$64,49,TRUE)*VLOOKUP($B64,'A1.3.2'!$B$27:$AY$106,38,)) * $CR$5)</f>
        <v>25.149430732189785</v>
      </c>
      <c r="AZ64" s="1565">
        <f>IF(ISERROR(MATCH($B64,'A1.3.2'!$B$27:$B$106,0)),"",(((VLOOKUP($B64,'Forecast occupancies'!$C$28:$CP$64,50,TRUE) -1) * VLOOKUP($B64,'A1.3.2'!$B$27:$AY$106,40,)) + VLOOKUP($B64,'A1.3.2'!$B$27:$AY$106,39,)) * $CR$5)</f>
        <v>30.571766660360439</v>
      </c>
      <c r="BA64" s="1565">
        <f>IF(ISERROR(MATCH($B64,'A1.3.2'!$B$27:$B$106,0)),"",(VLOOKUP($B64,'Forecast occupancies'!$C$28:$CP$64,51,TRUE) * VLOOKUP($B64,'A1.3.2'!$B$27:$AY$106,49,)) * $CR$5)</f>
        <v>75.420289373698949</v>
      </c>
      <c r="BB64" s="1565">
        <f>IF(ISERROR(MATCH($B64,'A1.3.2'!$B$27:$B$106,0)),"",(VLOOKUP($B64,'Forecast occupancies'!$C$28:$CP$64,52,TRUE) * VLOOKUP($B64,'A1.3.2'!$B$27:$AY$106,50,)) * $CR$5)</f>
        <v>60.49033986027311</v>
      </c>
      <c r="BC64" s="1567">
        <f>IF(ISERROR(MATCH($B64,'A1.3.2'!$B$27:$B$106,0)),"",SUM(AZ64:BB64))</f>
        <v>166.48239589433251</v>
      </c>
      <c r="BD64" s="1565">
        <f>IF(ISERROR(MATCH($B64,'A1.3.2'!$B$27:$B$106,0)),"",(((VLOOKUP($B64,'Forecast occupancies'!$C$28:$CP$64,54,TRUE)-1)*VLOOKUP($B64,'A1.3.2'!$B$27:$AY$106,36,)+VLOOKUP($B64,'A1.3.2'!$B$27:$AY$106,35,))*$CR$5))</f>
        <v>35.61772842931277</v>
      </c>
      <c r="BE64" s="1565">
        <f>IF(ISERROR(MATCH($B64,'A1.3.2'!$B$27:$B$106,0)),"",VLOOKUP($B64,'Forecast occupancies'!$C$28:$CP$64,55,TRUE)*VLOOKUP($B64,'A1.3.2'!$B$27:$AY$106,49,)*$CR$5)</f>
        <v>19.887223488419941</v>
      </c>
      <c r="BF64" s="1565">
        <f>IF(ISERROR(MATCH($B64,'A1.3.2'!$B$27:$B$106,0)),"",VLOOKUP($B64,'Forecast occupancies'!$C$28:$CP$64,56,TRUE)*VLOOKUP($B64,'A1.3.2'!$B$27:$AY$106,50,)*$CR$5)</f>
        <v>14.254834139633411</v>
      </c>
      <c r="BG64" s="1566">
        <f>IF(ISERROR(MATCH($B64,'A1.3.2'!$B$27:$B$106,0)),"",(((BD64*'VoT5'!$H$28)+(BE64*'VoT5'!$H$29)+(BF64*'VoT5'!$H$30))/100))</f>
        <v>19.184992349768276</v>
      </c>
      <c r="BH64" s="1565">
        <f>IF(ISERROR(MATCH($B64,'A1.3.2'!$B$27:$B$106,0)),"",(VLOOKUP($B64,'Forecast occupancies'!$C$28:$CP$64,58,TRUE) * VLOOKUP($B64, 'A1.3.2'!$B$27:$AY$106,37,)) * $CR$5)</f>
        <v>25.61387994413985</v>
      </c>
      <c r="BI64" s="1565">
        <f>IF(ISERROR(MATCH($B64,'A1.3.2'!$B$27:$B$106,0)),"",(VLOOKUP($B64,'Forecast occupancies'!$C$28:$CP$64,59,TRUE) * (VLOOKUP($B64,'A1.3.2'!$B$27:$AY$106,49,) * 'VoT5'!$J$29 + VLOOKUP($B64,'A1.3.2'!$B$27:$AY$106,50,) * 'VoT5'!$J$30) / (SUM('VoT5'!$J$29:$J$30))) * $CR$5)</f>
        <v>15.635238157512815</v>
      </c>
      <c r="BJ64" s="1566">
        <f>IF(ISERROR(MATCH($B64,'A1.3.2'!$B$27:$B$106,0)),"",(BH64*'VoT5'!$H$31 + BI64*'VoT5'!$H$32)/100)</f>
        <v>24.416442929744605</v>
      </c>
      <c r="BK64" s="1566">
        <f>IF(ISERROR(MATCH($B64,'A1.3.2'!$B$27:$B$106,0)),"",(VLOOKUP($B64,'Forecast occupancies'!$C$28:$CP$64,61,TRUE)*VLOOKUP($B64,'A1.3.2'!$B$27:$AY$106,38,)) * $CR$5)</f>
        <v>25.149430732189785</v>
      </c>
      <c r="BL64" s="1566">
        <f>IF(ISERROR(MATCH($B64,'A1.3.2'!$B$27:$B$106,0)),"",(VLOOKUP($B64,'Forecast occupancies'!$C$28:$CP$64,62,TRUE)*VLOOKUP($B64,'A1.3.2'!$B$27:$AY$106,38,)) * $CR$5)</f>
        <v>25.149430732189785</v>
      </c>
      <c r="BM64" s="1565">
        <f>IF(ISERROR(MATCH($B64,'A1.3.2'!$B$27:$B$106,0)),"",(((VLOOKUP($B64,'Forecast occupancies'!$C$28:$CP$64,63,TRUE) -1) * VLOOKUP($B64,'A1.3.2'!$B$27:$AY$106,40,)) + VLOOKUP($B64,'A1.3.2'!$B$27:$AY$106,39,)) * $CR$5)</f>
        <v>29.47703024962215</v>
      </c>
      <c r="BN64" s="1565">
        <f>IF(ISERROR(MATCH($B64,'A1.3.2'!$B$27:$B$106,0)),"",(VLOOKUP($B64,'Forecast occupancies'!$C$28:$CP$64,64,TRUE) * VLOOKUP($B64,'A1.3.2'!$B$27:$AY$106,49,)) * $CR$5)</f>
        <v>34.047245324266527</v>
      </c>
      <c r="BO64" s="1565">
        <f>IF(ISERROR(MATCH($B64,'A1.3.2'!$B$27:$B$106,0)),"",(VLOOKUP($B64,'Forecast occupancies'!$C$28:$CP$64,65,TRUE) * VLOOKUP($B64,'A1.3.2'!$B$27:$AY$106,50,)) * $CR$5)</f>
        <v>79.870373088506085</v>
      </c>
      <c r="BP64" s="1567">
        <f>IF(ISERROR(MATCH($B64,'A1.3.2'!$B$27:$B$106,0)),"",SUM(BM64:BO64))</f>
        <v>143.39464866239476</v>
      </c>
      <c r="BQ64" s="1565">
        <f>IF(ISERROR(MATCH($B64,'A1.3.2'!$B$27:$B$106,0)),"",(((VLOOKUP($B64,'Forecast occupancies'!$C$28:$CP$64,67,TRUE)-1)*VLOOKUP($B64,'A1.3.2'!$B$27:$AY$106,36,)+VLOOKUP($B64,'A1.3.2'!$B$27:$AY$106,35,))*$CR$5))</f>
        <v>40.70660482530117</v>
      </c>
      <c r="BR64" s="1565">
        <f>IF(ISERROR(MATCH($B64,'A1.3.2'!$B$27:$B$106,0)),"",VLOOKUP($B64,'Forecast occupancies'!$C$28:$CP$64,68,TRUE)*VLOOKUP($B64,'A1.3.2'!$B$27:$AY$106,49,)*$CR$5)</f>
        <v>21.055636293699532</v>
      </c>
      <c r="BS64" s="1565">
        <f>IF(ISERROR(MATCH($B64,'A1.3.2'!$B$27:$B$106,0)),"",VLOOKUP($B64,'Forecast occupancies'!$C$28:$CP$64,69,TRUE)*VLOOKUP($B64,'A1.3.2'!$B$27:$AY$106,50,)*$CR$5)</f>
        <v>16.878067251838115</v>
      </c>
      <c r="BT64" s="1566">
        <f>IF(ISERROR(MATCH($B64,'A1.3.2'!$B$27:$B$106,0)),"",(((BQ64*'VoT5'!$I$28)+(BR64*'VoT5'!$I$29)+(BS64*'VoT5'!$I$30))/100))</f>
        <v>18.03527926457982</v>
      </c>
      <c r="BU64" s="1565">
        <f>IF(ISERROR(MATCH($B64,'A1.3.2'!$B$27:$B$106,0)),"",(VLOOKUP($B64,'Forecast occupancies'!$C$28:$CP$64,71,TRUE) * VLOOKUP($B64, 'A1.3.2'!$B$27:$AY$106,37,)) * $CR$5)</f>
        <v>26.894573941346842</v>
      </c>
      <c r="BV64" s="1565">
        <f>IF(ISERROR(MATCH($B64,'A1.3.2'!$B$27:$B$106,0)),"",(VLOOKUP($B64,'Forecast occupancies'!$C$28:$CP$64,72,TRUE) * (VLOOKUP($B64,'A1.3.2'!$B$27:$AY$106,49,)*'VoT5'!$J$29 + VLOOKUP($B64,'A1.3.2'!$B$27:$AY$106,50,)*'VoT5'!$J$30) / (SUM('VoT5'!$J$29:$J$30))) * $CR$5)</f>
        <v>21.739406479281516</v>
      </c>
      <c r="BW64" s="1566">
        <f>IF(ISERROR(MATCH($B64,'A1.3.2'!$B$27:$B$106,0)),"",(BU64*'VoT5'!$I$31 + BV64*'VoT5'!$I$32)/100)</f>
        <v>26.275953845899004</v>
      </c>
      <c r="BX64" s="1566">
        <f>IF(ISERROR(MATCH($B64,'A1.3.2'!$B$27:$B$106,0)),"",(VLOOKUP($B64,'Forecast occupancies'!$C$28:$CP$64,74,TRUE)*VLOOKUP($B64,'A1.3.2'!$B$27:$AY$106,38,)) * $CR$5)</f>
        <v>25.149430732189785</v>
      </c>
      <c r="BY64" s="1566">
        <f>IF(ISERROR(MATCH($B64,'A1.3.2'!$B$27:$B$106,0)),"",(VLOOKUP($B64,'Forecast occupancies'!$C$28:$CP$64,75,TRUE)*VLOOKUP($B64,'A1.3.2'!$B$27:$AY$106,38,)) * $CR$5)</f>
        <v>25.149430732189785</v>
      </c>
      <c r="BZ64" s="1565">
        <f>IF(ISERROR(MATCH($B64,'A1.3.2'!$B$27:$B$106,0)),"",(((VLOOKUP($B64,'Forecast occupancies'!$C$28:$CP$64,76,TRUE) -1) * VLOOKUP($B64,'A1.3.2'!$B$27:$AY$106,40,)) + VLOOKUP($B64,'A1.3.2'!$B$27:$AY$106,39,)) * $CR$5)</f>
        <v>26.845742321448512</v>
      </c>
      <c r="CA64" s="1565">
        <f>IF(ISERROR(MATCH($B64,'A1.3.2'!$B$27:$B$106,0)),"",(VLOOKUP($B64,'Forecast occupancies'!$C$28:$CP$64,77,TRUE) * VLOOKUP($B64,'A1.3.2'!$B$27:$AY$106,49,)) * $CR$5)</f>
        <v>12.898410326560432</v>
      </c>
      <c r="CB64" s="1565">
        <f>IF(ISERROR(MATCH($B64,'A1.3.2'!$B$27:$B$106,0)),"",(VLOOKUP($B64,'Forecast occupancies'!$C$28:$CP$64,78,TRUE) * VLOOKUP($B64,'A1.3.2'!$B$27:$AY$106,50,)) * $CR$5)</f>
        <v>90.715835203157567</v>
      </c>
      <c r="CC64" s="1567">
        <f>IF(ISERROR(MATCH($B64,'A1.3.2'!$B$27:$B$106,0)),"",SUM(BZ64:CB64))</f>
        <v>130.45998785116652</v>
      </c>
      <c r="CD64" s="1565">
        <f>IF(ISERROR(MATCH($B64,'A1.3.2'!$B$27:$B$106,0)),"",(((VLOOKUP($B64,'Forecast occupancies'!$C$28:$CP$64,80,TRUE)-1)*VLOOKUP($B64,'A1.3.2'!$B$27:$AY$106,36,)+VLOOKUP($B64,'A1.3.2'!$B$27:$AY$106,35,))*$CR$5))</f>
        <v>35.978951111584244</v>
      </c>
      <c r="CE64" s="1565">
        <f>IF(ISERROR(MATCH($B64,'A1.3.2'!$B$27:$B$106,0)),"",VLOOKUP($B64,'Forecast occupancies'!$C$28:$CP$64,81,TRUE)*VLOOKUP($B64,'A1.3.2'!$B$27:$AY$106,49,)*$CR$5)</f>
        <v>19.981748854551309</v>
      </c>
      <c r="CF64" s="1565">
        <f>IF(ISERROR(MATCH($B64,'A1.3.2'!$B$27:$B$106,0)),"",VLOOKUP($B64,'Forecast occupancies'!$C$28:$CP$64,82,TRUE)*VLOOKUP($B64,'A1.3.2'!$B$27:$AY$106,50,)*$CR$5)</f>
        <v>15.180490273355643</v>
      </c>
      <c r="CG64" s="1566">
        <f>IF(ISERROR(MATCH($B64,'A1.3.2'!$B$27:$B$106,0)),"",(((CD64*'VoT5'!$J$28)+(CE64*'VoT5'!$J$29)+(CF64*'VoT5'!$J$30))/100))</f>
        <v>18.912400837338716</v>
      </c>
      <c r="CH64" s="1565">
        <f>IF(ISERROR(MATCH($B64,'A1.3.2'!$B$27:$B$106,0)),"",(VLOOKUP($B64,'Forecast occupancies'!$C$28:$CP$64,84,TRUE) * VLOOKUP($B64, 'A1.3.2'!$B$27:$AY$106,37,)) * $CR$5)</f>
        <v>25.61387994413985</v>
      </c>
      <c r="CI64" s="1565">
        <f>IF(ISERROR(MATCH($B64,'A1.3.2'!$B$27:$B$106,0)),"",(VLOOKUP($B64,'Forecast occupancies'!$C$28:$CP$64,85,TRUE) * (VLOOKUP($B64,'A1.3.2'!$B$27:$AY$106,49,)*'VoT5'!$J$29 + VLOOKUP($B64,'A1.3.2'!$B$27:$AY$106,50,)*'VoT5'!$J$30) / (SUM('VoT5'!$J$29:$J$30))) * $CR$5)</f>
        <v>17.027416897565331</v>
      </c>
      <c r="CJ64" s="1566">
        <f>IF(ISERROR(MATCH($B64,'A1.3.2'!$B$27:$B$106,0)),"",(CH64*'VoT5'!$J$31 + CI64*'VoT5'!$J$32)/100)</f>
        <v>24.583504378550906</v>
      </c>
      <c r="CK64" s="1566">
        <f>IF(ISERROR(MATCH($B64,'A1.3.2'!$B$27:$B$106,0)),"",(VLOOKUP($B64,'Forecast occupancies'!$C$28:$CP$64,87,TRUE)*VLOOKUP($B64,'A1.3.2'!$B$27:$AY$106,38,)) * $CR$5)</f>
        <v>25.149430732189785</v>
      </c>
      <c r="CL64" s="1566">
        <f>IF(ISERROR(MATCH($B64,'A1.3.2'!$B$27:$B$106,0)),"",(VLOOKUP($B64,'Forecast occupancies'!$C$28:$CP$64,88,TRUE)*VLOOKUP($B64,'A1.3.2'!$B$27:$AY$106,38,)) * $CR$5)</f>
        <v>25.149430732189785</v>
      </c>
      <c r="CM64" s="1565">
        <f>IF(ISERROR(MATCH($B64,'A1.3.2'!$B$27:$B$106,0)),"",(((VLOOKUP($B64,'Forecast occupancies'!$C$28:$CP$64,89,TRUE) -1) * VLOOKUP($B64,'A1.3.2'!$B$27:$AY$106,40,)) + VLOOKUP($B64,'A1.3.2'!$B$27:$AY$106,39,)) * $CR$5)</f>
        <v>28.827257639788304</v>
      </c>
      <c r="CN64" s="1565">
        <f>IF(ISERROR(MATCH($B64,'A1.3.2'!$B$27:$B$106,0)),"",(VLOOKUP($B64,'Forecast occupancies'!$C$28:$CP$64,90,TRUE) * VLOOKUP($B64,'A1.3.2'!$B$27:$AY$106,49,)) * $CR$5)</f>
        <v>28.823726536436808</v>
      </c>
      <c r="CO64" s="1565">
        <f>IF(ISERROR(MATCH($B64,'A1.3.2'!$B$27:$B$106,0)),"",(VLOOKUP($B64,'Forecast occupancies'!$C$28:$CP$64,91,TRUE) * VLOOKUP($B64,'A1.3.2'!$B$27:$AY$106,50,)) * $CR$5)</f>
        <v>82.549020633538944</v>
      </c>
      <c r="CP64" s="1567">
        <f>IF(ISERROR(MATCH($B64,'A1.3.2'!$B$27:$B$106,0)),"",SUM(CM64:CO64))</f>
        <v>140.20000480976404</v>
      </c>
    </row>
    <row r="65" spans="1:94" s="26" customFormat="1" ht="13.5" customHeight="1">
      <c r="A65" s="113"/>
      <c r="B65" s="82">
        <f t="shared" si="0"/>
        <v>2047</v>
      </c>
      <c r="D65" s="1609">
        <f>IF(ISERROR(MATCH($B65,'A1.3.2'!$B$27:$B$106,0)),"",(((VLOOKUP($B65,'Forecast occupancies'!$C$28:$CP$64,2,TRUE) -1) * VLOOKUP($B65,'A1.3.2'!$B$27:$AY$106,36,) + VLOOKUP($B65,'A1.3.2'!$B$27:$AY$106,35,)) * $CR$5))</f>
        <v>35.707809925410267</v>
      </c>
      <c r="E65" s="1565">
        <f>IF(ISERROR(MATCH($B65,'A1.3.2'!$B$27:$B$106,0)),"",VLOOKUP($B65,'Forecast occupancies'!$C$28:$CP$64,3,TRUE)*VLOOKUP($B65,'A1.3.2'!$B$27:$AY$106,49,)*$CR$5)</f>
        <v>20.123169137821403</v>
      </c>
      <c r="F65" s="1565">
        <f>IF(ISERROR(MATCH($B65,'A1.3.2'!$B$27:$B$106,0)),"",VLOOKUP($B65,'Forecast occupancies'!$C$28:$CP$64,4,TRUE)*VLOOKUP($B65,'A1.3.2'!$B$27:$AY$106,50,)*$CR$5)</f>
        <v>13.883427700514327</v>
      </c>
      <c r="G65" s="1566">
        <f>IF(ISERROR(MATCH($B65,'A1.3.2'!$B$27:$B$106,0)),"",(((D65*'VoT5'!$D$28)+(E65*'VoT5'!$D$29)+(F65*'VoT5'!$D$30))/100))</f>
        <v>20.225079282790439</v>
      </c>
      <c r="H65" s="1565">
        <f>IF(ISERROR(MATCH($B65,'A1.3.2'!$B$27:$B$106,0)),"",(VLOOKUP($B65,'Forecast occupancies'!$C$28:$CP$64,6,TRUE) * VLOOKUP($B65, 'A1.3.2'!$B$27:$AY$106,37,)) * $CR$5)</f>
        <v>26.095591910105611</v>
      </c>
      <c r="I65" s="1565">
        <f>IF(ISERROR(MATCH($B65,'A1.3.2'!$B$27:$B$106,0)),"",VLOOKUP($B65,'Forecast occupancies'!$C$28:$CP$64,7,TRUE) * ('VoT5'!$J$29*VLOOKUP($B65, 'A1.3.2'!$B$27:$AY$106,49,)+'VoT5'!$J$30*VLOOKUP($B65, 'A1.3.2'!$B$27:$AY$106,50,))/('VoT5'!$J$29+'VoT5'!$J$30) * $CR$5)</f>
        <v>15.929285030833999</v>
      </c>
      <c r="J65" s="1566">
        <f>IF(ISERROR(MATCH($B65,'A1.3.2'!$B$27:$B$106,0)),"",(H65*'VoT5'!$D$31 + I65*'VoT5'!$D$32)/100)</f>
        <v>24.875635084593018</v>
      </c>
      <c r="K65" s="1566">
        <f>IF(ISERROR(MATCH($B65,'A1.3.2'!$B$27:$B$106,0)),"",(VLOOKUP($B65,'Forecast occupancies'!$C$28:$CP$64,9,TRUE)*VLOOKUP($B65,'A1.3.2'!$B$27:$AY$106,38,)) * $CR$5)</f>
        <v>25.622407951859099</v>
      </c>
      <c r="L65" s="1566">
        <f>IF(ISERROR(MATCH($B65,'A1.3.2'!$B$27:$B$106,0)),"",(VLOOKUP($B65,'Forecast occupancies'!$C$28:$CP$64,10,TRUE)*VLOOKUP($B65,'A1.3.2'!$B$27:$AY$106,38,)) * $CR$5)</f>
        <v>25.622407951859099</v>
      </c>
      <c r="M65" s="1565">
        <f>IF(ISERROR(MATCH($B65,'A1.3.2'!$B$27:$B$106,0)),"",(((VLOOKUP($B65,'Forecast occupancies'!$C$28:$CP$64,11,TRUE) -1) * VLOOKUP($B65,'A1.3.2'!$B$27:$AY$106,40,)) + VLOOKUP($B65,'A1.3.2'!$B$27:$AY$106,39,)) * $CR$5)</f>
        <v>29.196965516573204</v>
      </c>
      <c r="N65" s="1565">
        <f>IF(ISERROR(MATCH($B65,'A1.3.2'!$B$27:$B$106,0)),"",(VLOOKUP($B65,'Forecast occupancies'!$C$28:$CP$64,12,TRUE) * VLOOKUP($B65,'A1.3.2'!$B$27:$AY$106,49,)) * $CR$5)</f>
        <v>39.968461800388475</v>
      </c>
      <c r="O65" s="1565">
        <f>IF(ISERROR(MATCH($B65,'A1.3.2'!$B$27:$B$106,0)),"",(VLOOKUP($B65,'Forecast occupancies'!$C$28:$CP$64,13,TRUE) * VLOOKUP($B65,'A1.3.2'!$B$27:$AY$106,50,)) * $CR$5)</f>
        <v>79.340271103962351</v>
      </c>
      <c r="P65" s="1567">
        <f>IF(ISERROR(MATCH($B65,'A1.3.2'!$B$27:$B$106,0)),"",SUM(M65:O65))</f>
        <v>148.50569842092403</v>
      </c>
      <c r="Q65" s="1609">
        <f>IF(ISERROR(MATCH($B65,'A1.3.2'!$B$27:$B$106,0)),"",(((VLOOKUP($B65,'Forecast occupancies'!$C$28:$CP$64,15,TRUE)-1)*VLOOKUP($B65,'A1.3.2'!$B$27:$AY$106,36,)+VLOOKUP($B65,'A1.3.2'!$B$27:$AY$106,35,))*$CR$5))</f>
        <v>36.590600192663963</v>
      </c>
      <c r="R65" s="1565">
        <f>IF(ISERROR(MATCH($B65,'A1.3.2'!$B$27:$B$106,0)),"",VLOOKUP($B65,'Forecast occupancies'!$C$28:$CP$64,16,TRUE)*VLOOKUP($B65,'A1.3.2'!$B$27:$AY$106,49,)*$CR$5)</f>
        <v>20.450373744494222</v>
      </c>
      <c r="S65" s="1565">
        <f>IF(ISERROR(MATCH($B65,'A1.3.2'!$B$27:$B$106,0)),"",VLOOKUP($B65,'Forecast occupancies'!$C$28:$CP$64,17,TRUE)*VLOOKUP($B65,'A1.3.2'!$B$27:$AY$106,50,)*$CR$5)</f>
        <v>14.789130045783413</v>
      </c>
      <c r="T65" s="1566">
        <f>IF(ISERROR(MATCH($B65,'A1.3.2'!$B$27:$B$106,0)),"",(((Q65*'VoT5'!$E$28)+(R65*'VoT5'!$E$29)+(S65*'VoT5'!$E$30))/100))</f>
        <v>19.04817450402934</v>
      </c>
      <c r="U65" s="1565">
        <f>IF(ISERROR(MATCH($B65,'A1.3.2'!$B$27:$B$106,0)),"",(VLOOKUP($B65,'Forecast occupancies'!$C$28:$CP$64,19,TRUE) * VLOOKUP($B65, 'A1.3.2'!$B$27:$AY$106,37,)) * $CR$5)</f>
        <v>26.095591910105611</v>
      </c>
      <c r="V65" s="1565">
        <f>IF(ISERROR(MATCH($B65,'A1.3.2'!$B$27:$B$106,0)),"",VLOOKUP($B65,'Forecast occupancies'!$C$28:$CP$64,20,TRUE) * ('VoT5'!$J$29*VLOOKUP($B65, 'A1.3.2'!$B$27:$AY$106,49,)+'VoT5'!$J$30*VLOOKUP($B65, 'A1.3.2'!$B$27:$AY$106,50,))/('VoT5'!$J$29+'VoT5'!$J$30) * $CR$5)</f>
        <v>15.929285030833999</v>
      </c>
      <c r="W65" s="1566">
        <f>IF(ISERROR(MATCH($B65,'A1.3.2'!$B$27:$B$106,0)),"",(U65*'VoT5'!$E$31 + V65*'VoT5'!$E$32)/100)</f>
        <v>24.875635084593018</v>
      </c>
      <c r="X65" s="1566">
        <f>IF(ISERROR(MATCH($B65,'A1.3.2'!$B$27:$B$106,0)),"",(VLOOKUP($B65,'Forecast occupancies'!$C$28:$CP$64,22,TRUE)*VLOOKUP($B65,'A1.3.2'!$B$27:$AY$106,38,)) * $CR$5)</f>
        <v>25.622407951859099</v>
      </c>
      <c r="Y65" s="1566">
        <f>IF(ISERROR(MATCH($B65,'A1.3.2'!$B$27:$B$106,0)),"",(VLOOKUP($B65,'Forecast occupancies'!$C$28:$CP$64,23,TRUE)*VLOOKUP($B65,'A1.3.2'!$B$27:$AY$106,38,)) * $CR$5)</f>
        <v>25.622407951859099</v>
      </c>
      <c r="Z65" s="1565">
        <f>IF(ISERROR(MATCH($B65,'A1.3.2'!$B$27:$B$106,0)),"",(((VLOOKUP($B65,'Forecast occupancies'!$C$28:$CP$64,24,TRUE) -1) * VLOOKUP($B65,'A1.3.2'!$B$27:$AY$106,40,)) + VLOOKUP($B65,'A1.3.2'!$B$27:$AY$106,39,)) * $CR$5)</f>
        <v>29.792901546923787</v>
      </c>
      <c r="AA65" s="1565">
        <f>IF(ISERROR(MATCH($B65,'A1.3.2'!$B$27:$B$106,0)),"",(VLOOKUP($B65,'Forecast occupancies'!$C$28:$CP$64,25,TRUE) * VLOOKUP($B65,'A1.3.2'!$B$27:$AY$106,49,)) * $CR$5)</f>
        <v>14.00767400420504</v>
      </c>
      <c r="AB65" s="1565">
        <f>IF(ISERROR(MATCH($B65,'A1.3.2'!$B$27:$B$106,0)),"",(VLOOKUP($B65,'Forecast occupancies'!$C$28:$CP$64,26,TRUE) * VLOOKUP($B65,'A1.3.2'!$B$27:$AY$106,50,)) * $CR$5)</f>
        <v>90.919475655341969</v>
      </c>
      <c r="AC65" s="1567">
        <f>IF(ISERROR(MATCH($B65,'A1.3.2'!$B$27:$B$106,0)),"",SUM(Z65:AB65))</f>
        <v>134.7200512064708</v>
      </c>
      <c r="AD65" s="1609">
        <f>IF(ISERROR(MATCH($B65,'A1.3.2'!$B$27:$B$106,0)),"",(((VLOOKUP($B65,'Forecast occupancies'!$C$28:$CP$64,28,TRUE)-1)*VLOOKUP($B65,'A1.3.2'!$B$27:$AY$106,36,)+VLOOKUP($B65,'A1.3.2'!$B$27:$AY$106,35,))*$CR$5))</f>
        <v>36.223128099485336</v>
      </c>
      <c r="AE65" s="1565">
        <f>IF(ISERROR(MATCH($B65,'A1.3.2'!$B$27:$B$106,0)),"",VLOOKUP($B65,'Forecast occupancies'!$C$28:$CP$64,29,TRUE)*VLOOKUP($B65,'A1.3.2'!$B$27:$AY$106,49,)*$CR$5)</f>
        <v>20.192581132297679</v>
      </c>
      <c r="AF65" s="1565">
        <f>IF(ISERROR(MATCH($B65,'A1.3.2'!$B$27:$B$106,0)),"",VLOOKUP($B65,'Forecast occupancies'!$C$28:$CP$64,30,TRUE)*VLOOKUP($B65,'A1.3.2'!$B$27:$AY$106,50,)*$CR$5)</f>
        <v>14.53883208393272</v>
      </c>
      <c r="AG65" s="1566">
        <f>IF(ISERROR(MATCH($B65,'A1.3.2'!$B$27:$B$106,0)),"",(((AD65*'VoT5'!$F$28)+(AE65*'VoT5'!$F$29)+(AF65*'VoT5'!$F$30))/100))</f>
        <v>19.432149195712942</v>
      </c>
      <c r="AH65" s="1565">
        <f>IF(ISERROR(MATCH($B65,'A1.3.2'!$B$27:$B$106,0)),"",(VLOOKUP($B65,'Forecast occupancies'!$C$28:$CP$64,32,TRUE) * VLOOKUP($B65, 'A1.3.2'!$B$27:$AY$106,37,)) * $CR$5)</f>
        <v>26.095591910105611</v>
      </c>
      <c r="AI65" s="1565">
        <f>IF(ISERROR(MATCH($B65,'A1.3.2'!$B$27:$B$106,0)),"",VLOOKUP($B65,'Forecast occupancies'!$C$28:$CP$64,33,TRUE) * ('VoT5'!$J$29*VLOOKUP($B65, 'A1.3.2'!$B$27:$AY$106,49,)+'VoT5'!$J$30*VLOOKUP($B65, 'A1.3.2'!$B$27:$AY$106,50,))/('VoT5'!$J$29+'VoT5'!$J$30) * $CR$5)</f>
        <v>15.929285030833999</v>
      </c>
      <c r="AJ65" s="1566">
        <f>IF(ISERROR(MATCH($B65,'A1.3.2'!$B$27:$B$106,0)),"",(AH65*'VoT5'!$F$31 + AI65*'VoT5'!$F$32)/100)</f>
        <v>24.875635084593018</v>
      </c>
      <c r="AK65" s="1566">
        <f>IF(ISERROR(MATCH($B65,'A1.3.2'!$B$27:$B$106,0)),"",(VLOOKUP($B65,'Forecast occupancies'!$C$28:$CP$64,35,TRUE)*VLOOKUP($B65,'A1.3.2'!$B$27:$AY$106,38,)) * $CR$5)</f>
        <v>25.622407951859099</v>
      </c>
      <c r="AL65" s="1566">
        <f>IF(ISERROR(MATCH($B65,'A1.3.2'!$B$27:$B$106,0)),"",(VLOOKUP($B65,'Forecast occupancies'!$C$28:$CP$64,36,TRUE)*VLOOKUP($B65,'A1.3.2'!$B$27:$AY$106,38,)) * $CR$5)</f>
        <v>25.622407951859099</v>
      </c>
      <c r="AM65" s="1565">
        <f>IF(ISERROR(MATCH($B65,'A1.3.2'!$B$27:$B$106,0)),"",(((VLOOKUP($B65,'Forecast occupancies'!$C$28:$CP$64,37,TRUE) -1) * VLOOKUP($B65,'A1.3.2'!$B$27:$AY$106,40,)) + VLOOKUP($B65,'A1.3.2'!$B$27:$AY$106,39,)) * $CR$5)</f>
        <v>31.171927901445876</v>
      </c>
      <c r="AN65" s="1565">
        <f>IF(ISERROR(MATCH($B65,'A1.3.2'!$B$27:$B$106,0)),"",(VLOOKUP($B65,'Forecast occupancies'!$C$28:$CP$64,38,TRUE) * VLOOKUP($B65,'A1.3.2'!$B$27:$AY$106,49,)) * $CR$5)</f>
        <v>56.210746628770899</v>
      </c>
      <c r="AO65" s="1565">
        <f>IF(ISERROR(MATCH($B65,'A1.3.2'!$B$27:$B$106,0)),"",(VLOOKUP($B65,'Forecast occupancies'!$C$28:$CP$64,39,TRUE) * VLOOKUP($B65,'A1.3.2'!$B$27:$AY$106,50,)) * $CR$5)</f>
        <v>71.031752332677257</v>
      </c>
      <c r="AP65" s="1567">
        <f>IF(ISERROR(MATCH($B65,'A1.3.2'!$B$27:$B$106,0)),"",SUM(AM65:AO65))</f>
        <v>158.41442686289403</v>
      </c>
      <c r="AQ65" s="1609">
        <f>IF(ISERROR(MATCH($B65,'A1.3.2'!$B$27:$B$106,0)),"",(((VLOOKUP($B65,'Forecast occupancies'!$C$28:$CP$64,41,TRUE)-1)*VLOOKUP($B65,'A1.3.2'!$B$27:$AY$106,36,)+VLOOKUP($B65,'A1.3.2'!$B$27:$AY$106,35,))*$CR$5))</f>
        <v>36.908492219705721</v>
      </c>
      <c r="AR65" s="1565">
        <f>IF(ISERROR(MATCH($B65,'A1.3.2'!$B$27:$B$106,0)),"",VLOOKUP($B65,'Forecast occupancies'!$C$28:$CP$64,42,TRUE)*VLOOKUP($B65,'A1.3.2'!$B$27:$AY$106,49,)*$CR$5)</f>
        <v>20.488118788360815</v>
      </c>
      <c r="AS65" s="1565">
        <f>IF(ISERROR(MATCH($B65,'A1.3.2'!$B$27:$B$106,0)),"",VLOOKUP($B65,'Forecast occupancies'!$C$28:$CP$64,43,TRUE)*VLOOKUP($B65,'A1.3.2'!$B$27:$AY$106,50,)*$CR$5)</f>
        <v>14.4869252653132</v>
      </c>
      <c r="AT65" s="1566">
        <f>IF(ISERROR(MATCH($B65,'A1.3.2'!$B$27:$B$106,0)),"",(((AQ65*'VoT5'!$G$28)+(AR65*'VoT5'!$G$29)+(AS65*'VoT5'!$G$30))/100))</f>
        <v>19.687580907685803</v>
      </c>
      <c r="AU65" s="1565">
        <f>IF(ISERROR(MATCH($B65,'A1.3.2'!$B$27:$B$106,0)),"",(VLOOKUP($B65,'Forecast occupancies'!$C$28:$CP$64,45,TRUE) * VLOOKUP($B65, 'A1.3.2'!$B$27:$AY$106,37,)) * $CR$5)</f>
        <v>26.095591910105611</v>
      </c>
      <c r="AV65" s="1565">
        <f>IF(ISERROR(MATCH($B65,'A1.3.2'!$B$27:$B$106,0)),"",VLOOKUP($B65,'Forecast occupancies'!$C$28:$CP$64,46,TRUE) * ('VoT5'!$J$29*VLOOKUP($B65, 'A1.3.2'!$B$27:$AY$106,49,)+'VoT5'!$J$30*VLOOKUP($B65, 'A1.3.2'!$B$27:$AY$106,50,))/('VoT5'!$J$29+'VoT5'!$J$30) * $CR$5)</f>
        <v>15.929285030833999</v>
      </c>
      <c r="AW65" s="1566">
        <f>IF(ISERROR(MATCH($B65,'A1.3.2'!$B$27:$B$106,0)),"",(AU65*'VoT5'!$G$31 + AV65*'VoT5'!$G$32)/100)</f>
        <v>24.875635084593018</v>
      </c>
      <c r="AX65" s="1566">
        <f>IF(ISERROR(MATCH($B65,'A1.3.2'!$B$27:$B$106,0)),"",(VLOOKUP($B65,'Forecast occupancies'!$C$28:$CP$64,48,TRUE)*VLOOKUP($B65,'A1.3.2'!$B$27:$AY$106,38,)) * $CR$5)</f>
        <v>25.622407951859099</v>
      </c>
      <c r="AY65" s="1566">
        <f>IF(ISERROR(MATCH($B65,'A1.3.2'!$B$27:$B$106,0)),"",(VLOOKUP($B65,'Forecast occupancies'!$C$28:$CP$64,49,TRUE)*VLOOKUP($B65,'A1.3.2'!$B$27:$AY$106,38,)) * $CR$5)</f>
        <v>25.622407951859099</v>
      </c>
      <c r="AZ65" s="1565">
        <f>IF(ISERROR(MATCH($B65,'A1.3.2'!$B$27:$B$106,0)),"",(((VLOOKUP($B65,'Forecast occupancies'!$C$28:$CP$64,50,TRUE) -1) * VLOOKUP($B65,'A1.3.2'!$B$27:$AY$106,40,)) + VLOOKUP($B65,'A1.3.2'!$B$27:$AY$106,39,)) * $CR$5)</f>
        <v>31.1467200002342</v>
      </c>
      <c r="BA65" s="1565">
        <f>IF(ISERROR(MATCH($B65,'A1.3.2'!$B$27:$B$106,0)),"",(VLOOKUP($B65,'Forecast occupancies'!$C$28:$CP$64,51,TRUE) * VLOOKUP($B65,'A1.3.2'!$B$27:$AY$106,49,)) * $CR$5)</f>
        <v>76.838694392663015</v>
      </c>
      <c r="BB65" s="1565">
        <f>IF(ISERROR(MATCH($B65,'A1.3.2'!$B$27:$B$106,0)),"",(VLOOKUP($B65,'Forecast occupancies'!$C$28:$CP$64,52,TRUE) * VLOOKUP($B65,'A1.3.2'!$B$27:$AY$106,50,)) * $CR$5)</f>
        <v>61.62796214161343</v>
      </c>
      <c r="BC65" s="1567">
        <f>IF(ISERROR(MATCH($B65,'A1.3.2'!$B$27:$B$106,0)),"",SUM(AZ65:BB65))</f>
        <v>169.61337653451065</v>
      </c>
      <c r="BD65" s="1565">
        <f>IF(ISERROR(MATCH($B65,'A1.3.2'!$B$27:$B$106,0)),"",(((VLOOKUP($B65,'Forecast occupancies'!$C$28:$CP$64,54,TRUE)-1)*VLOOKUP($B65,'A1.3.2'!$B$27:$AY$106,36,)+VLOOKUP($B65,'A1.3.2'!$B$27:$AY$106,35,))*$CR$5))</f>
        <v>36.28757954216006</v>
      </c>
      <c r="BE65" s="1565">
        <f>IF(ISERROR(MATCH($B65,'A1.3.2'!$B$27:$B$106,0)),"",VLOOKUP($B65,'Forecast occupancies'!$C$28:$CP$64,55,TRUE)*VLOOKUP($B65,'A1.3.2'!$B$27:$AY$106,49,)*$CR$5)</f>
        <v>20.261236076325392</v>
      </c>
      <c r="BF65" s="1565">
        <f>IF(ISERROR(MATCH($B65,'A1.3.2'!$B$27:$B$106,0)),"",VLOOKUP($B65,'Forecast occupancies'!$C$28:$CP$64,56,TRUE)*VLOOKUP($B65,'A1.3.2'!$B$27:$AY$106,50,)*$CR$5)</f>
        <v>14.522920200507205</v>
      </c>
      <c r="BG65" s="1566">
        <f>IF(ISERROR(MATCH($B65,'A1.3.2'!$B$27:$B$106,0)),"",(((BD65*'VoT5'!$H$28)+(BE65*'VoT5'!$H$29)+(BF65*'VoT5'!$H$30))/100))</f>
        <v>19.545798303493356</v>
      </c>
      <c r="BH65" s="1565">
        <f>IF(ISERROR(MATCH($B65,'A1.3.2'!$B$27:$B$106,0)),"",(VLOOKUP($B65,'Forecast occupancies'!$C$28:$CP$64,58,TRUE) * VLOOKUP($B65, 'A1.3.2'!$B$27:$AY$106,37,)) * $CR$5)</f>
        <v>26.095591910105611</v>
      </c>
      <c r="BI65" s="1565">
        <f>IF(ISERROR(MATCH($B65,'A1.3.2'!$B$27:$B$106,0)),"",(VLOOKUP($B65,'Forecast occupancies'!$C$28:$CP$64,59,TRUE) * (VLOOKUP($B65,'A1.3.2'!$B$27:$AY$106,49,) * 'VoT5'!$J$29 + VLOOKUP($B65,'A1.3.2'!$B$27:$AY$106,50,) * 'VoT5'!$J$30) / (SUM('VoT5'!$J$29:$J$30))) * $CR$5)</f>
        <v>15.929285030833999</v>
      </c>
      <c r="BJ65" s="1566">
        <f>IF(ISERROR(MATCH($B65,'A1.3.2'!$B$27:$B$106,0)),"",(BH65*'VoT5'!$H$31 + BI65*'VoT5'!$H$32)/100)</f>
        <v>24.875635084593018</v>
      </c>
      <c r="BK65" s="1566">
        <f>IF(ISERROR(MATCH($B65,'A1.3.2'!$B$27:$B$106,0)),"",(VLOOKUP($B65,'Forecast occupancies'!$C$28:$CP$64,61,TRUE)*VLOOKUP($B65,'A1.3.2'!$B$27:$AY$106,38,)) * $CR$5)</f>
        <v>25.622407951859099</v>
      </c>
      <c r="BL65" s="1566">
        <f>IF(ISERROR(MATCH($B65,'A1.3.2'!$B$27:$B$106,0)),"",(VLOOKUP($B65,'Forecast occupancies'!$C$28:$CP$64,62,TRUE)*VLOOKUP($B65,'A1.3.2'!$B$27:$AY$106,38,)) * $CR$5)</f>
        <v>25.622407951859099</v>
      </c>
      <c r="BM65" s="1565">
        <f>IF(ISERROR(MATCH($B65,'A1.3.2'!$B$27:$B$106,0)),"",(((VLOOKUP($B65,'Forecast occupancies'!$C$28:$CP$64,63,TRUE) -1) * VLOOKUP($B65,'A1.3.2'!$B$27:$AY$106,40,)) + VLOOKUP($B65,'A1.3.2'!$B$27:$AY$106,39,)) * $CR$5)</f>
        <v>30.031395235455793</v>
      </c>
      <c r="BN65" s="1565">
        <f>IF(ISERROR(MATCH($B65,'A1.3.2'!$B$27:$B$106,0)),"",(VLOOKUP($B65,'Forecast occupancies'!$C$28:$CP$64,64,TRUE) * VLOOKUP($B65,'A1.3.2'!$B$27:$AY$106,49,)) * $CR$5)</f>
        <v>34.687560868676009</v>
      </c>
      <c r="BO65" s="1565">
        <f>IF(ISERROR(MATCH($B65,'A1.3.2'!$B$27:$B$106,0)),"",(VLOOKUP($B65,'Forecast occupancies'!$C$28:$CP$64,65,TRUE) * VLOOKUP($B65,'A1.3.2'!$B$27:$AY$106,50,)) * $CR$5)</f>
        <v>81.372469394368011</v>
      </c>
      <c r="BP65" s="1567">
        <f>IF(ISERROR(MATCH($B65,'A1.3.2'!$B$27:$B$106,0)),"",SUM(BM65:BO65))</f>
        <v>146.0914254984998</v>
      </c>
      <c r="BQ65" s="1565">
        <f>IF(ISERROR(MATCH($B65,'A1.3.2'!$B$27:$B$106,0)),"",(((VLOOKUP($B65,'Forecast occupancies'!$C$28:$CP$64,67,TRUE)-1)*VLOOKUP($B65,'A1.3.2'!$B$27:$AY$106,36,)+VLOOKUP($B65,'A1.3.2'!$B$27:$AY$106,35,))*$CR$5))</f>
        <v>41.472160792649781</v>
      </c>
      <c r="BR65" s="1565">
        <f>IF(ISERROR(MATCH($B65,'A1.3.2'!$B$27:$B$106,0)),"",VLOOKUP($B65,'Forecast occupancies'!$C$28:$CP$64,68,TRUE)*VLOOKUP($B65,'A1.3.2'!$B$27:$AY$106,49,)*$CR$5)</f>
        <v>21.451622843797288</v>
      </c>
      <c r="BS65" s="1565">
        <f>IF(ISERROR(MATCH($B65,'A1.3.2'!$B$27:$B$106,0)),"",VLOOKUP($B65,'Forecast occupancies'!$C$28:$CP$64,69,TRUE)*VLOOKUP($B65,'A1.3.2'!$B$27:$AY$106,50,)*$CR$5)</f>
        <v>17.195487610460724</v>
      </c>
      <c r="BT65" s="1566">
        <f>IF(ISERROR(MATCH($B65,'A1.3.2'!$B$27:$B$106,0)),"",(((BQ65*'VoT5'!$I$28)+(BR65*'VoT5'!$I$29)+(BS65*'VoT5'!$I$30))/100))</f>
        <v>18.374462935707708</v>
      </c>
      <c r="BU65" s="1565">
        <f>IF(ISERROR(MATCH($B65,'A1.3.2'!$B$27:$B$106,0)),"",(VLOOKUP($B65,'Forecast occupancies'!$C$28:$CP$64,71,TRUE) * VLOOKUP($B65, 'A1.3.2'!$B$27:$AY$106,37,)) * $CR$5)</f>
        <v>27.400371505610892</v>
      </c>
      <c r="BV65" s="1565">
        <f>IF(ISERROR(MATCH($B65,'A1.3.2'!$B$27:$B$106,0)),"",(VLOOKUP($B65,'Forecast occupancies'!$C$28:$CP$64,72,TRUE) * (VLOOKUP($B65,'A1.3.2'!$B$27:$AY$106,49,)*'VoT5'!$J$29 + VLOOKUP($B65,'A1.3.2'!$B$27:$AY$106,50,)*'VoT5'!$J$30) / (SUM('VoT5'!$J$29:$J$30))) * $CR$5)</f>
        <v>22.148252474378776</v>
      </c>
      <c r="BW65" s="1566">
        <f>IF(ISERROR(MATCH($B65,'A1.3.2'!$B$27:$B$106,0)),"",(BU65*'VoT5'!$I$31 + BV65*'VoT5'!$I$32)/100)</f>
        <v>26.770117221863039</v>
      </c>
      <c r="BX65" s="1566">
        <f>IF(ISERROR(MATCH($B65,'A1.3.2'!$B$27:$B$106,0)),"",(VLOOKUP($B65,'Forecast occupancies'!$C$28:$CP$64,74,TRUE)*VLOOKUP($B65,'A1.3.2'!$B$27:$AY$106,38,)) * $CR$5)</f>
        <v>25.622407951859099</v>
      </c>
      <c r="BY65" s="1566">
        <f>IF(ISERROR(MATCH($B65,'A1.3.2'!$B$27:$B$106,0)),"",(VLOOKUP($B65,'Forecast occupancies'!$C$28:$CP$64,75,TRUE)*VLOOKUP($B65,'A1.3.2'!$B$27:$AY$106,38,)) * $CR$5)</f>
        <v>25.622407951859099</v>
      </c>
      <c r="BZ65" s="1565">
        <f>IF(ISERROR(MATCH($B65,'A1.3.2'!$B$27:$B$106,0)),"",(((VLOOKUP($B65,'Forecast occupancies'!$C$28:$CP$64,76,TRUE) -1) * VLOOKUP($B65,'A1.3.2'!$B$27:$AY$106,40,)) + VLOOKUP($B65,'A1.3.2'!$B$27:$AY$106,39,)) * $CR$5)</f>
        <v>27.350621525211388</v>
      </c>
      <c r="CA65" s="1565">
        <f>IF(ISERROR(MATCH($B65,'A1.3.2'!$B$27:$B$106,0)),"",(VLOOKUP($B65,'Forecast occupancies'!$C$28:$CP$64,77,TRUE) * VLOOKUP($B65,'A1.3.2'!$B$27:$AY$106,49,)) * $CR$5)</f>
        <v>13.14098656295222</v>
      </c>
      <c r="CB65" s="1565">
        <f>IF(ISERROR(MATCH($B65,'A1.3.2'!$B$27:$B$106,0)),"",(VLOOKUP($B65,'Forecast occupancies'!$C$28:$CP$64,78,TRUE) * VLOOKUP($B65,'A1.3.2'!$B$27:$AY$106,50,)) * $CR$5)</f>
        <v>92.421898611561147</v>
      </c>
      <c r="CC65" s="1567">
        <f>IF(ISERROR(MATCH($B65,'A1.3.2'!$B$27:$B$106,0)),"",SUM(BZ65:CB65))</f>
        <v>132.91350669972476</v>
      </c>
      <c r="CD65" s="1565">
        <f>IF(ISERROR(MATCH($B65,'A1.3.2'!$B$27:$B$106,0)),"",(((VLOOKUP($B65,'Forecast occupancies'!$C$28:$CP$64,80,TRUE)-1)*VLOOKUP($B65,'A1.3.2'!$B$27:$AY$106,36,)+VLOOKUP($B65,'A1.3.2'!$B$27:$AY$106,35,))*$CR$5))</f>
        <v>36.655595622729948</v>
      </c>
      <c r="CE65" s="1565">
        <f>IF(ISERROR(MATCH($B65,'A1.3.2'!$B$27:$B$106,0)),"",VLOOKUP($B65,'Forecast occupancies'!$C$28:$CP$64,81,TRUE)*VLOOKUP($B65,'A1.3.2'!$B$27:$AY$106,49,)*$CR$5)</f>
        <v>20.357539150482726</v>
      </c>
      <c r="CF65" s="1565">
        <f>IF(ISERROR(MATCH($B65,'A1.3.2'!$B$27:$B$106,0)),"",VLOOKUP($B65,'Forecast occupancies'!$C$28:$CP$64,82,TRUE)*VLOOKUP($B65,'A1.3.2'!$B$27:$AY$106,50,)*$CR$5)</f>
        <v>15.465984850118321</v>
      </c>
      <c r="CG65" s="1566">
        <f>IF(ISERROR(MATCH($B65,'A1.3.2'!$B$27:$B$106,0)),"",(((CD65*'VoT5'!$J$28)+(CE65*'VoT5'!$J$29)+(CF65*'VoT5'!$J$30))/100))</f>
        <v>19.268080250545744</v>
      </c>
      <c r="CH65" s="1565">
        <f>IF(ISERROR(MATCH($B65,'A1.3.2'!$B$27:$B$106,0)),"",(VLOOKUP($B65,'Forecast occupancies'!$C$28:$CP$64,84,TRUE) * VLOOKUP($B65, 'A1.3.2'!$B$27:$AY$106,37,)) * $CR$5)</f>
        <v>26.095591910105611</v>
      </c>
      <c r="CI65" s="1565">
        <f>IF(ISERROR(MATCH($B65,'A1.3.2'!$B$27:$B$106,0)),"",(VLOOKUP($B65,'Forecast occupancies'!$C$28:$CP$64,85,TRUE) * (VLOOKUP($B65,'A1.3.2'!$B$27:$AY$106,49,)*'VoT5'!$J$29 + VLOOKUP($B65,'A1.3.2'!$B$27:$AY$106,50,)*'VoT5'!$J$30) / (SUM('VoT5'!$J$29:$J$30))) * $CR$5)</f>
        <v>17.347646026730178</v>
      </c>
      <c r="CJ65" s="1566">
        <f>IF(ISERROR(MATCH($B65,'A1.3.2'!$B$27:$B$106,0)),"",(CH65*'VoT5'!$J$31 + CI65*'VoT5'!$J$32)/100)</f>
        <v>25.045838404100561</v>
      </c>
      <c r="CK65" s="1566">
        <f>IF(ISERROR(MATCH($B65,'A1.3.2'!$B$27:$B$106,0)),"",(VLOOKUP($B65,'Forecast occupancies'!$C$28:$CP$64,87,TRUE)*VLOOKUP($B65,'A1.3.2'!$B$27:$AY$106,38,)) * $CR$5)</f>
        <v>25.622407951859099</v>
      </c>
      <c r="CL65" s="1566">
        <f>IF(ISERROR(MATCH($B65,'A1.3.2'!$B$27:$B$106,0)),"",(VLOOKUP($B65,'Forecast occupancies'!$C$28:$CP$64,88,TRUE)*VLOOKUP($B65,'A1.3.2'!$B$27:$AY$106,38,)) * $CR$5)</f>
        <v>25.622407951859099</v>
      </c>
      <c r="CM65" s="1565">
        <f>IF(ISERROR(MATCH($B65,'A1.3.2'!$B$27:$B$106,0)),"",(((VLOOKUP($B65,'Forecast occupancies'!$C$28:$CP$64,89,TRUE) -1) * VLOOKUP($B65,'A1.3.2'!$B$27:$AY$106,40,)) + VLOOKUP($B65,'A1.3.2'!$B$27:$AY$106,39,)) * $CR$5)</f>
        <v>29.369402562047181</v>
      </c>
      <c r="CN65" s="1565">
        <f>IF(ISERROR(MATCH($B65,'A1.3.2'!$B$27:$B$106,0)),"",(VLOOKUP($B65,'Forecast occupancies'!$C$28:$CP$64,90,TRUE) * VLOOKUP($B65,'A1.3.2'!$B$27:$AY$106,49,)) * $CR$5)</f>
        <v>29.36580505037562</v>
      </c>
      <c r="CO65" s="1565">
        <f>IF(ISERROR(MATCH($B65,'A1.3.2'!$B$27:$B$106,0)),"",(VLOOKUP($B65,'Forecast occupancies'!$C$28:$CP$64,91,TRUE) * VLOOKUP($B65,'A1.3.2'!$B$27:$AY$106,50,)) * $CR$5)</f>
        <v>84.101493398487165</v>
      </c>
      <c r="CP65" s="1567">
        <f>IF(ISERROR(MATCH($B65,'A1.3.2'!$B$27:$B$106,0)),"",SUM(CM65:CO65))</f>
        <v>142.83670101090996</v>
      </c>
    </row>
    <row r="66" spans="1:94" s="26" customFormat="1" ht="13.5" customHeight="1">
      <c r="A66" s="113"/>
      <c r="B66" s="82">
        <f t="shared" si="0"/>
        <v>2048</v>
      </c>
      <c r="D66" s="1609">
        <f>IF(ISERROR(MATCH($B66,'A1.3.2'!$B$27:$B$106,0)),"",(((VLOOKUP($B66,'Forecast occupancies'!$C$28:$CP$64,2,TRUE) -1) * VLOOKUP($B66,'A1.3.2'!$B$27:$AY$106,36,) + VLOOKUP($B66,'A1.3.2'!$B$27:$AY$106,35,)) * $CR$5))</f>
        <v>36.375584398340827</v>
      </c>
      <c r="E66" s="1565">
        <f>IF(ISERROR(MATCH($B66,'A1.3.2'!$B$27:$B$106,0)),"",VLOOKUP($B66,'Forecast occupancies'!$C$28:$CP$64,3,TRUE)*VLOOKUP($B66,'A1.3.2'!$B$27:$AY$106,49,)*$CR$5)</f>
        <v>20.499494056453241</v>
      </c>
      <c r="F66" s="1565">
        <f>IF(ISERROR(MATCH($B66,'A1.3.2'!$B$27:$B$106,0)),"",VLOOKUP($B66,'Forecast occupancies'!$C$28:$CP$64,4,TRUE)*VLOOKUP($B66,'A1.3.2'!$B$27:$AY$106,50,)*$CR$5)</f>
        <v>14.143062739306862</v>
      </c>
      <c r="G66" s="1566">
        <f>IF(ISERROR(MATCH($B66,'A1.3.2'!$B$27:$B$106,0)),"",(((D66*'VoT5'!$D$28)+(E66*'VoT5'!$D$29)+(F66*'VoT5'!$D$30))/100))</f>
        <v>20.603310030804842</v>
      </c>
      <c r="H66" s="1565">
        <f>IF(ISERROR(MATCH($B66,'A1.3.2'!$B$27:$B$106,0)),"",(VLOOKUP($B66,'Forecast occupancies'!$C$28:$CP$64,6,TRUE) * VLOOKUP($B66, 'A1.3.2'!$B$27:$AY$106,37,)) * $CR$5)</f>
        <v>26.583607561863108</v>
      </c>
      <c r="I66" s="1565">
        <f>IF(ISERROR(MATCH($B66,'A1.3.2'!$B$27:$B$106,0)),"",VLOOKUP($B66,'Forecast occupancies'!$C$28:$CP$64,7,TRUE) * ('VoT5'!$J$29*VLOOKUP($B66, 'A1.3.2'!$B$27:$AY$106,49,)+'VoT5'!$J$30*VLOOKUP($B66, 'A1.3.2'!$B$27:$AY$106,50,))/('VoT5'!$J$29+'VoT5'!$J$30) * $CR$5)</f>
        <v>16.227179803373833</v>
      </c>
      <c r="J66" s="1566">
        <f>IF(ISERROR(MATCH($B66,'A1.3.2'!$B$27:$B$106,0)),"",(H66*'VoT5'!$D$31 + I66*'VoT5'!$D$32)/100)</f>
        <v>25.340836230844399</v>
      </c>
      <c r="K66" s="1566">
        <f>IF(ISERROR(MATCH($B66,'A1.3.2'!$B$27:$B$106,0)),"",(VLOOKUP($B66,'Forecast occupancies'!$C$28:$CP$64,9,TRUE)*VLOOKUP($B66,'A1.3.2'!$B$27:$AY$106,38,)) * $CR$5)</f>
        <v>26.10157455437561</v>
      </c>
      <c r="L66" s="1566">
        <f>IF(ISERROR(MATCH($B66,'A1.3.2'!$B$27:$B$106,0)),"",(VLOOKUP($B66,'Forecast occupancies'!$C$28:$CP$64,10,TRUE)*VLOOKUP($B66,'A1.3.2'!$B$27:$AY$106,38,)) * $CR$5)</f>
        <v>26.10157455437561</v>
      </c>
      <c r="M66" s="1565">
        <f>IF(ISERROR(MATCH($B66,'A1.3.2'!$B$27:$B$106,0)),"",(((VLOOKUP($B66,'Forecast occupancies'!$C$28:$CP$64,11,TRUE) -1) * VLOOKUP($B66,'A1.3.2'!$B$27:$AY$106,40,)) + VLOOKUP($B66,'A1.3.2'!$B$27:$AY$106,39,)) * $CR$5)</f>
        <v>29.742980192346607</v>
      </c>
      <c r="N66" s="1565">
        <f>IF(ISERROR(MATCH($B66,'A1.3.2'!$B$27:$B$106,0)),"",(VLOOKUP($B66,'Forecast occupancies'!$C$28:$CP$64,12,TRUE) * VLOOKUP($B66,'A1.3.2'!$B$27:$AY$106,49,)) * $CR$5)</f>
        <v>40.715915048525282</v>
      </c>
      <c r="O66" s="1565">
        <f>IF(ISERROR(MATCH($B66,'A1.3.2'!$B$27:$B$106,0)),"",(VLOOKUP($B66,'Forecast occupancies'!$C$28:$CP$64,13,TRUE) * VLOOKUP($B66,'A1.3.2'!$B$27:$AY$106,50,)) * $CR$5)</f>
        <v>80.824019556451816</v>
      </c>
      <c r="P66" s="1567">
        <f>IF(ISERROR(MATCH($B66,'A1.3.2'!$B$27:$B$106,0)),"",SUM(M66:O66))</f>
        <v>151.28291479732371</v>
      </c>
      <c r="Q66" s="1609">
        <f>IF(ISERROR(MATCH($B66,'A1.3.2'!$B$27:$B$106,0)),"",(((VLOOKUP($B66,'Forecast occupancies'!$C$28:$CP$64,15,TRUE)-1)*VLOOKUP($B66,'A1.3.2'!$B$27:$AY$106,36,)+VLOOKUP($B66,'A1.3.2'!$B$27:$AY$106,35,))*$CR$5))</f>
        <v>37.274883793615956</v>
      </c>
      <c r="R66" s="1565">
        <f>IF(ISERROR(MATCH($B66,'A1.3.2'!$B$27:$B$106,0)),"",VLOOKUP($B66,'Forecast occupancies'!$C$28:$CP$64,16,TRUE)*VLOOKUP($B66,'A1.3.2'!$B$27:$AY$106,49,)*$CR$5)</f>
        <v>20.832817741395431</v>
      </c>
      <c r="S66" s="1565">
        <f>IF(ISERROR(MATCH($B66,'A1.3.2'!$B$27:$B$106,0)),"",VLOOKUP($B66,'Forecast occupancies'!$C$28:$CP$64,17,TRUE)*VLOOKUP($B66,'A1.3.2'!$B$27:$AY$106,50,)*$CR$5)</f>
        <v>15.065702693113336</v>
      </c>
      <c r="T66" s="1566">
        <f>IF(ISERROR(MATCH($B66,'A1.3.2'!$B$27:$B$106,0)),"",(((Q66*'VoT5'!$E$28)+(R66*'VoT5'!$E$29)+(S66*'VoT5'!$E$30))/100))</f>
        <v>19.404395866142782</v>
      </c>
      <c r="U66" s="1565">
        <f>IF(ISERROR(MATCH($B66,'A1.3.2'!$B$27:$B$106,0)),"",(VLOOKUP($B66,'Forecast occupancies'!$C$28:$CP$64,19,TRUE) * VLOOKUP($B66, 'A1.3.2'!$B$27:$AY$106,37,)) * $CR$5)</f>
        <v>26.583607561863108</v>
      </c>
      <c r="V66" s="1565">
        <f>IF(ISERROR(MATCH($B66,'A1.3.2'!$B$27:$B$106,0)),"",VLOOKUP($B66,'Forecast occupancies'!$C$28:$CP$64,20,TRUE) * ('VoT5'!$J$29*VLOOKUP($B66, 'A1.3.2'!$B$27:$AY$106,49,)+'VoT5'!$J$30*VLOOKUP($B66, 'A1.3.2'!$B$27:$AY$106,50,))/('VoT5'!$J$29+'VoT5'!$J$30) * $CR$5)</f>
        <v>16.227179803373833</v>
      </c>
      <c r="W66" s="1566">
        <f>IF(ISERROR(MATCH($B66,'A1.3.2'!$B$27:$B$106,0)),"",(U66*'VoT5'!$E$31 + V66*'VoT5'!$E$32)/100)</f>
        <v>25.340836230844399</v>
      </c>
      <c r="X66" s="1566">
        <f>IF(ISERROR(MATCH($B66,'A1.3.2'!$B$27:$B$106,0)),"",(VLOOKUP($B66,'Forecast occupancies'!$C$28:$CP$64,22,TRUE)*VLOOKUP($B66,'A1.3.2'!$B$27:$AY$106,38,)) * $CR$5)</f>
        <v>26.10157455437561</v>
      </c>
      <c r="Y66" s="1566">
        <f>IF(ISERROR(MATCH($B66,'A1.3.2'!$B$27:$B$106,0)),"",(VLOOKUP($B66,'Forecast occupancies'!$C$28:$CP$64,23,TRUE)*VLOOKUP($B66,'A1.3.2'!$B$27:$AY$106,38,)) * $CR$5)</f>
        <v>26.10157455437561</v>
      </c>
      <c r="Z66" s="1565">
        <f>IF(ISERROR(MATCH($B66,'A1.3.2'!$B$27:$B$106,0)),"",(((VLOOKUP($B66,'Forecast occupancies'!$C$28:$CP$64,24,TRUE) -1) * VLOOKUP($B66,'A1.3.2'!$B$27:$AY$106,40,)) + VLOOKUP($B66,'A1.3.2'!$B$27:$AY$106,39,)) * $CR$5)</f>
        <v>30.350060867787409</v>
      </c>
      <c r="AA66" s="1565">
        <f>IF(ISERROR(MATCH($B66,'A1.3.2'!$B$27:$B$106,0)),"",(VLOOKUP($B66,'Forecast occupancies'!$C$28:$CP$64,25,TRUE) * VLOOKUP($B66,'A1.3.2'!$B$27:$AY$106,49,)) * $CR$5)</f>
        <v>14.269632582585526</v>
      </c>
      <c r="AB66" s="1565">
        <f>IF(ISERROR(MATCH($B66,'A1.3.2'!$B$27:$B$106,0)),"",(VLOOKUP($B66,'Forecast occupancies'!$C$28:$CP$64,26,TRUE) * VLOOKUP($B66,'A1.3.2'!$B$27:$AY$106,50,)) * $CR$5)</f>
        <v>92.619767694021803</v>
      </c>
      <c r="AC66" s="1567">
        <f>IF(ISERROR(MATCH($B66,'A1.3.2'!$B$27:$B$106,0)),"",SUM(Z66:AB66))</f>
        <v>137.23946114439474</v>
      </c>
      <c r="AD66" s="1609">
        <f>IF(ISERROR(MATCH($B66,'A1.3.2'!$B$27:$B$106,0)),"",(((VLOOKUP($B66,'Forecast occupancies'!$C$28:$CP$64,28,TRUE)-1)*VLOOKUP($B66,'A1.3.2'!$B$27:$AY$106,36,)+VLOOKUP($B66,'A1.3.2'!$B$27:$AY$106,35,))*$CR$5))</f>
        <v>36.900539576836032</v>
      </c>
      <c r="AE66" s="1565">
        <f>IF(ISERROR(MATCH($B66,'A1.3.2'!$B$27:$B$106,0)),"",VLOOKUP($B66,'Forecast occupancies'!$C$28:$CP$64,29,TRUE)*VLOOKUP($B66,'A1.3.2'!$B$27:$AY$106,49,)*$CR$5)</f>
        <v>20.570204129924651</v>
      </c>
      <c r="AF66" s="1565">
        <f>IF(ISERROR(MATCH($B66,'A1.3.2'!$B$27:$B$106,0)),"",VLOOKUP($B66,'Forecast occupancies'!$C$28:$CP$64,30,TRUE)*VLOOKUP($B66,'A1.3.2'!$B$27:$AY$106,50,)*$CR$5)</f>
        <v>14.81072389001532</v>
      </c>
      <c r="AG66" s="1566">
        <f>IF(ISERROR(MATCH($B66,'A1.3.2'!$B$27:$B$106,0)),"",(((AD66*'VoT5'!$F$28)+(AE66*'VoT5'!$F$29)+(AF66*'VoT5'!$F$30))/100))</f>
        <v>19.795551297779163</v>
      </c>
      <c r="AH66" s="1565">
        <f>IF(ISERROR(MATCH($B66,'A1.3.2'!$B$27:$B$106,0)),"",(VLOOKUP($B66,'Forecast occupancies'!$C$28:$CP$64,32,TRUE) * VLOOKUP($B66, 'A1.3.2'!$B$27:$AY$106,37,)) * $CR$5)</f>
        <v>26.583607561863108</v>
      </c>
      <c r="AI66" s="1565">
        <f>IF(ISERROR(MATCH($B66,'A1.3.2'!$B$27:$B$106,0)),"",VLOOKUP($B66,'Forecast occupancies'!$C$28:$CP$64,33,TRUE) * ('VoT5'!$J$29*VLOOKUP($B66, 'A1.3.2'!$B$27:$AY$106,49,)+'VoT5'!$J$30*VLOOKUP($B66, 'A1.3.2'!$B$27:$AY$106,50,))/('VoT5'!$J$29+'VoT5'!$J$30) * $CR$5)</f>
        <v>16.227179803373833</v>
      </c>
      <c r="AJ66" s="1566">
        <f>IF(ISERROR(MATCH($B66,'A1.3.2'!$B$27:$B$106,0)),"",(AH66*'VoT5'!$F$31 + AI66*'VoT5'!$F$32)/100)</f>
        <v>25.340836230844399</v>
      </c>
      <c r="AK66" s="1566">
        <f>IF(ISERROR(MATCH($B66,'A1.3.2'!$B$27:$B$106,0)),"",(VLOOKUP($B66,'Forecast occupancies'!$C$28:$CP$64,35,TRUE)*VLOOKUP($B66,'A1.3.2'!$B$27:$AY$106,38,)) * $CR$5)</f>
        <v>26.10157455437561</v>
      </c>
      <c r="AL66" s="1566">
        <f>IF(ISERROR(MATCH($B66,'A1.3.2'!$B$27:$B$106,0)),"",(VLOOKUP($B66,'Forecast occupancies'!$C$28:$CP$64,36,TRUE)*VLOOKUP($B66,'A1.3.2'!$B$27:$AY$106,38,)) * $CR$5)</f>
        <v>26.10157455437561</v>
      </c>
      <c r="AM66" s="1565">
        <f>IF(ISERROR(MATCH($B66,'A1.3.2'!$B$27:$B$106,0)),"",(((VLOOKUP($B66,'Forecast occupancies'!$C$28:$CP$64,37,TRUE) -1) * VLOOKUP($B66,'A1.3.2'!$B$27:$AY$106,40,)) + VLOOKUP($B66,'A1.3.2'!$B$27:$AY$106,39,)) * $CR$5)</f>
        <v>31.754876499192395</v>
      </c>
      <c r="AN66" s="1565">
        <f>IF(ISERROR(MATCH($B66,'A1.3.2'!$B$27:$B$106,0)),"",(VLOOKUP($B66,'Forecast occupancies'!$C$28:$CP$64,38,TRUE) * VLOOKUP($B66,'A1.3.2'!$B$27:$AY$106,49,)) * $CR$5)</f>
        <v>57.261948082499636</v>
      </c>
      <c r="AO66" s="1565">
        <f>IF(ISERROR(MATCH($B66,'A1.3.2'!$B$27:$B$106,0)),"",(VLOOKUP($B66,'Forecast occupancies'!$C$28:$CP$64,39,TRUE) * VLOOKUP($B66,'A1.3.2'!$B$27:$AY$106,50,)) * $CR$5)</f>
        <v>72.360122542846113</v>
      </c>
      <c r="AP66" s="1567">
        <f>IF(ISERROR(MATCH($B66,'A1.3.2'!$B$27:$B$106,0)),"",SUM(AM66:AO66))</f>
        <v>161.37694712453816</v>
      </c>
      <c r="AQ66" s="1609">
        <f>IF(ISERROR(MATCH($B66,'A1.3.2'!$B$27:$B$106,0)),"",(((VLOOKUP($B66,'Forecast occupancies'!$C$28:$CP$64,41,TRUE)-1)*VLOOKUP($B66,'A1.3.2'!$B$27:$AY$106,36,)+VLOOKUP($B66,'A1.3.2'!$B$27:$AY$106,35,))*$CR$5))</f>
        <v>37.598720743666149</v>
      </c>
      <c r="AR66" s="1565">
        <f>IF(ISERROR(MATCH($B66,'A1.3.2'!$B$27:$B$106,0)),"",VLOOKUP($B66,'Forecast occupancies'!$C$28:$CP$64,42,TRUE)*VLOOKUP($B66,'A1.3.2'!$B$27:$AY$106,49,)*$CR$5)</f>
        <v>20.871268658202045</v>
      </c>
      <c r="AS66" s="1565">
        <f>IF(ISERROR(MATCH($B66,'A1.3.2'!$B$27:$B$106,0)),"",VLOOKUP($B66,'Forecast occupancies'!$C$28:$CP$64,43,TRUE)*VLOOKUP($B66,'A1.3.2'!$B$27:$AY$106,50,)*$CR$5)</f>
        <v>14.75784635802756</v>
      </c>
      <c r="AT66" s="1566">
        <f>IF(ISERROR(MATCH($B66,'A1.3.2'!$B$27:$B$106,0)),"",(((AQ66*'VoT5'!$G$28)+(AR66*'VoT5'!$G$29)+(AS66*'VoT5'!$G$30))/100))</f>
        <v>20.05575985765137</v>
      </c>
      <c r="AU66" s="1565">
        <f>IF(ISERROR(MATCH($B66,'A1.3.2'!$B$27:$B$106,0)),"",(VLOOKUP($B66,'Forecast occupancies'!$C$28:$CP$64,45,TRUE) * VLOOKUP($B66, 'A1.3.2'!$B$27:$AY$106,37,)) * $CR$5)</f>
        <v>26.583607561863108</v>
      </c>
      <c r="AV66" s="1565">
        <f>IF(ISERROR(MATCH($B66,'A1.3.2'!$B$27:$B$106,0)),"",VLOOKUP($B66,'Forecast occupancies'!$C$28:$CP$64,46,TRUE) * ('VoT5'!$J$29*VLOOKUP($B66, 'A1.3.2'!$B$27:$AY$106,49,)+'VoT5'!$J$30*VLOOKUP($B66, 'A1.3.2'!$B$27:$AY$106,50,))/('VoT5'!$J$29+'VoT5'!$J$30) * $CR$5)</f>
        <v>16.227179803373833</v>
      </c>
      <c r="AW66" s="1566">
        <f>IF(ISERROR(MATCH($B66,'A1.3.2'!$B$27:$B$106,0)),"",(AU66*'VoT5'!$G$31 + AV66*'VoT5'!$G$32)/100)</f>
        <v>25.340836230844399</v>
      </c>
      <c r="AX66" s="1566">
        <f>IF(ISERROR(MATCH($B66,'A1.3.2'!$B$27:$B$106,0)),"",(VLOOKUP($B66,'Forecast occupancies'!$C$28:$CP$64,48,TRUE)*VLOOKUP($B66,'A1.3.2'!$B$27:$AY$106,38,)) * $CR$5)</f>
        <v>26.10157455437561</v>
      </c>
      <c r="AY66" s="1566">
        <f>IF(ISERROR(MATCH($B66,'A1.3.2'!$B$27:$B$106,0)),"",(VLOOKUP($B66,'Forecast occupancies'!$C$28:$CP$64,49,TRUE)*VLOOKUP($B66,'A1.3.2'!$B$27:$AY$106,38,)) * $CR$5)</f>
        <v>26.10157455437561</v>
      </c>
      <c r="AZ66" s="1565">
        <f>IF(ISERROR(MATCH($B66,'A1.3.2'!$B$27:$B$106,0)),"",(((VLOOKUP($B66,'Forecast occupancies'!$C$28:$CP$64,50,TRUE) -1) * VLOOKUP($B66,'A1.3.2'!$B$27:$AY$106,40,)) + VLOOKUP($B66,'A1.3.2'!$B$27:$AY$106,39,)) * $CR$5)</f>
        <v>31.729197183100322</v>
      </c>
      <c r="BA66" s="1565">
        <f>IF(ISERROR(MATCH($B66,'A1.3.2'!$B$27:$B$106,0)),"",(VLOOKUP($B66,'Forecast occupancies'!$C$28:$CP$64,51,TRUE) * VLOOKUP($B66,'A1.3.2'!$B$27:$AY$106,49,)) * $CR$5)</f>
        <v>78.275660668553797</v>
      </c>
      <c r="BB66" s="1565">
        <f>IF(ISERROR(MATCH($B66,'A1.3.2'!$B$27:$B$106,0)),"",(VLOOKUP($B66,'Forecast occupancies'!$C$28:$CP$64,52,TRUE) * VLOOKUP($B66,'A1.3.2'!$B$27:$AY$106,50,)) * $CR$5)</f>
        <v>62.780471355224272</v>
      </c>
      <c r="BC66" s="1567">
        <f>IF(ISERROR(MATCH($B66,'A1.3.2'!$B$27:$B$106,0)),"",SUM(AZ66:BB66))</f>
        <v>172.7853292068784</v>
      </c>
      <c r="BD66" s="1565">
        <f>IF(ISERROR(MATCH($B66,'A1.3.2'!$B$27:$B$106,0)),"",(((VLOOKUP($B66,'Forecast occupancies'!$C$28:$CP$64,54,TRUE)-1)*VLOOKUP($B66,'A1.3.2'!$B$27:$AY$106,36,)+VLOOKUP($B66,'A1.3.2'!$B$27:$AY$106,35,))*$CR$5))</f>
        <v>36.966196330848845</v>
      </c>
      <c r="BE66" s="1565">
        <f>IF(ISERROR(MATCH($B66,'A1.3.2'!$B$27:$B$106,0)),"",VLOOKUP($B66,'Forecast occupancies'!$C$28:$CP$64,55,TRUE)*VLOOKUP($B66,'A1.3.2'!$B$27:$AY$106,49,)*$CR$5)</f>
        <v>20.640142995289406</v>
      </c>
      <c r="BF66" s="1565">
        <f>IF(ISERROR(MATCH($B66,'A1.3.2'!$B$27:$B$106,0)),"",VLOOKUP($B66,'Forecast occupancies'!$C$28:$CP$64,56,TRUE)*VLOOKUP($B66,'A1.3.2'!$B$27:$AY$106,50,)*$CR$5)</f>
        <v>14.79451443724601</v>
      </c>
      <c r="BG66" s="1566">
        <f>IF(ISERROR(MATCH($B66,'A1.3.2'!$B$27:$B$106,0)),"",(((BD66*'VoT5'!$H$28)+(BE66*'VoT5'!$H$29)+(BF66*'VoT5'!$H$30))/100))</f>
        <v>19.911325766179722</v>
      </c>
      <c r="BH66" s="1565">
        <f>IF(ISERROR(MATCH($B66,'A1.3.2'!$B$27:$B$106,0)),"",(VLOOKUP($B66,'Forecast occupancies'!$C$28:$CP$64,58,TRUE) * VLOOKUP($B66, 'A1.3.2'!$B$27:$AY$106,37,)) * $CR$5)</f>
        <v>26.583607561863108</v>
      </c>
      <c r="BI66" s="1565">
        <f>IF(ISERROR(MATCH($B66,'A1.3.2'!$B$27:$B$106,0)),"",(VLOOKUP($B66,'Forecast occupancies'!$C$28:$CP$64,59,TRUE) * (VLOOKUP($B66,'A1.3.2'!$B$27:$AY$106,49,) * 'VoT5'!$J$29 + VLOOKUP($B66,'A1.3.2'!$B$27:$AY$106,50,) * 'VoT5'!$J$30) / (SUM('VoT5'!$J$29:$J$30))) * $CR$5)</f>
        <v>16.227179803373833</v>
      </c>
      <c r="BJ66" s="1566">
        <f>IF(ISERROR(MATCH($B66,'A1.3.2'!$B$27:$B$106,0)),"",(BH66*'VoT5'!$H$31 + BI66*'VoT5'!$H$32)/100)</f>
        <v>25.340836230844399</v>
      </c>
      <c r="BK66" s="1566">
        <f>IF(ISERROR(MATCH($B66,'A1.3.2'!$B$27:$B$106,0)),"",(VLOOKUP($B66,'Forecast occupancies'!$C$28:$CP$64,61,TRUE)*VLOOKUP($B66,'A1.3.2'!$B$27:$AY$106,38,)) * $CR$5)</f>
        <v>26.10157455437561</v>
      </c>
      <c r="BL66" s="1566">
        <f>IF(ISERROR(MATCH($B66,'A1.3.2'!$B$27:$B$106,0)),"",(VLOOKUP($B66,'Forecast occupancies'!$C$28:$CP$64,62,TRUE)*VLOOKUP($B66,'A1.3.2'!$B$27:$AY$106,38,)) * $CR$5)</f>
        <v>26.10157455437561</v>
      </c>
      <c r="BM66" s="1565">
        <f>IF(ISERROR(MATCH($B66,'A1.3.2'!$B$27:$B$106,0)),"",(((VLOOKUP($B66,'Forecast occupancies'!$C$28:$CP$64,63,TRUE) -1) * VLOOKUP($B66,'A1.3.2'!$B$27:$AY$106,40,)) + VLOOKUP($B66,'A1.3.2'!$B$27:$AY$106,39,)) * $CR$5)</f>
        <v>30.59301464495239</v>
      </c>
      <c r="BN66" s="1565">
        <f>IF(ISERROR(MATCH($B66,'A1.3.2'!$B$27:$B$106,0)),"",(VLOOKUP($B66,'Forecast occupancies'!$C$28:$CP$64,64,TRUE) * VLOOKUP($B66,'A1.3.2'!$B$27:$AY$106,49,)) * $CR$5)</f>
        <v>35.336255586294165</v>
      </c>
      <c r="BO66" s="1565">
        <f>IF(ISERROR(MATCH($B66,'A1.3.2'!$B$27:$B$106,0)),"",(VLOOKUP($B66,'Forecast occupancies'!$C$28:$CP$64,65,TRUE) * VLOOKUP($B66,'A1.3.2'!$B$27:$AY$106,50,)) * $CR$5)</f>
        <v>82.894222141859061</v>
      </c>
      <c r="BP66" s="1567">
        <f>IF(ISERROR(MATCH($B66,'A1.3.2'!$B$27:$B$106,0)),"",SUM(BM66:BO66))</f>
        <v>148.82349237310564</v>
      </c>
      <c r="BQ66" s="1565">
        <f>IF(ISERROR(MATCH($B66,'A1.3.2'!$B$27:$B$106,0)),"",(((VLOOKUP($B66,'Forecast occupancies'!$C$28:$CP$64,67,TRUE)-1)*VLOOKUP($B66,'A1.3.2'!$B$27:$AY$106,36,)+VLOOKUP($B66,'A1.3.2'!$B$27:$AY$106,35,))*$CR$5))</f>
        <v>42.247734830162948</v>
      </c>
      <c r="BR66" s="1565">
        <f>IF(ISERROR(MATCH($B66,'A1.3.2'!$B$27:$B$106,0)),"",VLOOKUP($B66,'Forecast occupancies'!$C$28:$CP$64,68,TRUE)*VLOOKUP($B66,'A1.3.2'!$B$27:$AY$106,49,)*$CR$5)</f>
        <v>21.852791276359937</v>
      </c>
      <c r="BS66" s="1565">
        <f>IF(ISERROR(MATCH($B66,'A1.3.2'!$B$27:$B$106,0)),"",VLOOKUP($B66,'Forecast occupancies'!$C$28:$CP$64,69,TRUE)*VLOOKUP($B66,'A1.3.2'!$B$27:$AY$106,50,)*$CR$5)</f>
        <v>17.517061733876449</v>
      </c>
      <c r="BT66" s="1566">
        <f>IF(ISERROR(MATCH($B66,'A1.3.2'!$B$27:$B$106,0)),"",(((BQ66*'VoT5'!$I$28)+(BR66*'VoT5'!$I$29)+(BS66*'VoT5'!$I$30))/100))</f>
        <v>18.71808516647193</v>
      </c>
      <c r="BU66" s="1565">
        <f>IF(ISERROR(MATCH($B66,'A1.3.2'!$B$27:$B$106,0)),"",(VLOOKUP($B66,'Forecast occupancies'!$C$28:$CP$64,71,TRUE) * VLOOKUP($B66, 'A1.3.2'!$B$27:$AY$106,37,)) * $CR$5)</f>
        <v>27.912787939956264</v>
      </c>
      <c r="BV66" s="1565">
        <f>IF(ISERROR(MATCH($B66,'A1.3.2'!$B$27:$B$106,0)),"",(VLOOKUP($B66,'Forecast occupancies'!$C$28:$CP$64,72,TRUE) * (VLOOKUP($B66,'A1.3.2'!$B$27:$AY$106,49,)*'VoT5'!$J$29 + VLOOKUP($B66,'A1.3.2'!$B$27:$AY$106,50,)*'VoT5'!$J$30) / (SUM('VoT5'!$J$29:$J$30))) * $CR$5)</f>
        <v>22.562448630718411</v>
      </c>
      <c r="BW66" s="1566">
        <f>IF(ISERROR(MATCH($B66,'A1.3.2'!$B$27:$B$106,0)),"",(BU66*'VoT5'!$I$31 + BV66*'VoT5'!$I$32)/100)</f>
        <v>27.270747222847721</v>
      </c>
      <c r="BX66" s="1566">
        <f>IF(ISERROR(MATCH($B66,'A1.3.2'!$B$27:$B$106,0)),"",(VLOOKUP($B66,'Forecast occupancies'!$C$28:$CP$64,74,TRUE)*VLOOKUP($B66,'A1.3.2'!$B$27:$AY$106,38,)) * $CR$5)</f>
        <v>26.10157455437561</v>
      </c>
      <c r="BY66" s="1566">
        <f>IF(ISERROR(MATCH($B66,'A1.3.2'!$B$27:$B$106,0)),"",(VLOOKUP($B66,'Forecast occupancies'!$C$28:$CP$64,75,TRUE)*VLOOKUP($B66,'A1.3.2'!$B$27:$AY$106,38,)) * $CR$5)</f>
        <v>26.10157455437561</v>
      </c>
      <c r="BZ66" s="1565">
        <f>IF(ISERROR(MATCH($B66,'A1.3.2'!$B$27:$B$106,0)),"",(((VLOOKUP($B66,'Forecast occupancies'!$C$28:$CP$64,76,TRUE) -1) * VLOOKUP($B66,'A1.3.2'!$B$27:$AY$106,40,)) + VLOOKUP($B66,'A1.3.2'!$B$27:$AY$106,39,)) * $CR$5)</f>
        <v>27.862107581384329</v>
      </c>
      <c r="CA66" s="1565">
        <f>IF(ISERROR(MATCH($B66,'A1.3.2'!$B$27:$B$106,0)),"",(VLOOKUP($B66,'Forecast occupancies'!$C$28:$CP$64,77,TRUE) * VLOOKUP($B66,'A1.3.2'!$B$27:$AY$106,49,)) * $CR$5)</f>
        <v>13.386737153486711</v>
      </c>
      <c r="CB66" s="1565">
        <f>IF(ISERROR(MATCH($B66,'A1.3.2'!$B$27:$B$106,0)),"",(VLOOKUP($B66,'Forecast occupancies'!$C$28:$CP$64,78,TRUE) * VLOOKUP($B66,'A1.3.2'!$B$27:$AY$106,50,)) * $CR$5)</f>
        <v>94.150287576370147</v>
      </c>
      <c r="CC66" s="1567">
        <f>IF(ISERROR(MATCH($B66,'A1.3.2'!$B$27:$B$106,0)),"",SUM(BZ66:CB66))</f>
        <v>135.3991323112412</v>
      </c>
      <c r="CD66" s="1565">
        <f>IF(ISERROR(MATCH($B66,'A1.3.2'!$B$27:$B$106,0)),"",(((VLOOKUP($B66,'Forecast occupancies'!$C$28:$CP$64,80,TRUE)-1)*VLOOKUP($B66,'A1.3.2'!$B$27:$AY$106,36,)+VLOOKUP($B66,'A1.3.2'!$B$27:$AY$106,35,))*$CR$5))</f>
        <v>37.34109470816967</v>
      </c>
      <c r="CE66" s="1565">
        <f>IF(ISERROR(MATCH($B66,'A1.3.2'!$B$27:$B$106,0)),"",VLOOKUP($B66,'Forecast occupancies'!$C$28:$CP$64,81,TRUE)*VLOOKUP($B66,'A1.3.2'!$B$27:$AY$106,49,)*$CR$5)</f>
        <v>20.738247040571018</v>
      </c>
      <c r="CF66" s="1565">
        <f>IF(ISERROR(MATCH($B66,'A1.3.2'!$B$27:$B$106,0)),"",VLOOKUP($B66,'Forecast occupancies'!$C$28:$CP$64,82,TRUE)*VLOOKUP($B66,'A1.3.2'!$B$27:$AY$106,50,)*$CR$5)</f>
        <v>15.755215410693538</v>
      </c>
      <c r="CG66" s="1566">
        <f>IF(ISERROR(MATCH($B66,'A1.3.2'!$B$27:$B$106,0)),"",(((CD66*'VoT5'!$J$28)+(CE66*'VoT5'!$J$29)+(CF66*'VoT5'!$J$30))/100))</f>
        <v>19.62841408677286</v>
      </c>
      <c r="CH66" s="1565">
        <f>IF(ISERROR(MATCH($B66,'A1.3.2'!$B$27:$B$106,0)),"",(VLOOKUP($B66,'Forecast occupancies'!$C$28:$CP$64,84,TRUE) * VLOOKUP($B66, 'A1.3.2'!$B$27:$AY$106,37,)) * $CR$5)</f>
        <v>26.583607561863108</v>
      </c>
      <c r="CI66" s="1565">
        <f>IF(ISERROR(MATCH($B66,'A1.3.2'!$B$27:$B$106,0)),"",(VLOOKUP($B66,'Forecast occupancies'!$C$28:$CP$64,85,TRUE) * (VLOOKUP($B66,'A1.3.2'!$B$27:$AY$106,49,)*'VoT5'!$J$29 + VLOOKUP($B66,'A1.3.2'!$B$27:$AY$106,50,)*'VoT5'!$J$30) / (SUM('VoT5'!$J$29:$J$30))) * $CR$5)</f>
        <v>17.672065676276983</v>
      </c>
      <c r="CJ66" s="1566">
        <f>IF(ISERROR(MATCH($B66,'A1.3.2'!$B$27:$B$106,0)),"",(CH66*'VoT5'!$J$31 + CI66*'VoT5'!$J$32)/100)</f>
        <v>25.514222535592772</v>
      </c>
      <c r="CK66" s="1566">
        <f>IF(ISERROR(MATCH($B66,'A1.3.2'!$B$27:$B$106,0)),"",(VLOOKUP($B66,'Forecast occupancies'!$C$28:$CP$64,87,TRUE)*VLOOKUP($B66,'A1.3.2'!$B$27:$AY$106,38,)) * $CR$5)</f>
        <v>26.10157455437561</v>
      </c>
      <c r="CL66" s="1566">
        <f>IF(ISERROR(MATCH($B66,'A1.3.2'!$B$27:$B$106,0)),"",(VLOOKUP($B66,'Forecast occupancies'!$C$28:$CP$64,88,TRUE)*VLOOKUP($B66,'A1.3.2'!$B$27:$AY$106,38,)) * $CR$5)</f>
        <v>26.10157455437561</v>
      </c>
      <c r="CM66" s="1565">
        <f>IF(ISERROR(MATCH($B66,'A1.3.2'!$B$27:$B$106,0)),"",(((VLOOKUP($B66,'Forecast occupancies'!$C$28:$CP$64,89,TRUE) -1) * VLOOKUP($B66,'A1.3.2'!$B$27:$AY$106,40,)) + VLOOKUP($B66,'A1.3.2'!$B$27:$AY$106,39,)) * $CR$5)</f>
        <v>29.918641996140842</v>
      </c>
      <c r="CN66" s="1565">
        <f>IF(ISERROR(MATCH($B66,'A1.3.2'!$B$27:$B$106,0)),"",(VLOOKUP($B66,'Forecast occupancies'!$C$28:$CP$64,90,TRUE) * VLOOKUP($B66,'A1.3.2'!$B$27:$AY$106,49,)) * $CR$5)</f>
        <v>29.914977207129528</v>
      </c>
      <c r="CO66" s="1565">
        <f>IF(ISERROR(MATCH($B66,'A1.3.2'!$B$27:$B$106,0)),"",(VLOOKUP($B66,'Forecast occupancies'!$C$28:$CP$64,91,TRUE) * VLOOKUP($B66,'A1.3.2'!$B$27:$AY$106,50,)) * $CR$5)</f>
        <v>85.674281831722382</v>
      </c>
      <c r="CP66" s="1567">
        <f>IF(ISERROR(MATCH($B66,'A1.3.2'!$B$27:$B$106,0)),"",SUM(CM66:CO66))</f>
        <v>145.50790103499276</v>
      </c>
    </row>
    <row r="67" spans="1:94" s="26" customFormat="1" ht="13.5" customHeight="1">
      <c r="A67" s="113"/>
      <c r="B67" s="82">
        <f t="shared" si="0"/>
        <v>2049</v>
      </c>
      <c r="D67" s="1609">
        <f>IF(ISERROR(MATCH($B67,'A1.3.2'!$B$27:$B$106,0)),"",(((VLOOKUP($B67,'Forecast occupancies'!$C$28:$CP$64,2,TRUE) -1) * VLOOKUP($B67,'A1.3.2'!$B$27:$AY$106,36,) + VLOOKUP($B67,'A1.3.2'!$B$27:$AY$106,35,)) * $CR$5))</f>
        <v>37.05710167535328</v>
      </c>
      <c r="E67" s="1565">
        <f>IF(ISERROR(MATCH($B67,'A1.3.2'!$B$27:$B$106,0)),"",VLOOKUP($B67,'Forecast occupancies'!$C$28:$CP$64,3,TRUE)*VLOOKUP($B67,'A1.3.2'!$B$27:$AY$106,49,)*$CR$5)</f>
        <v>20.883563744970029</v>
      </c>
      <c r="F67" s="1565">
        <f>IF(ISERROR(MATCH($B67,'A1.3.2'!$B$27:$B$106,0)),"",VLOOKUP($B67,'Forecast occupancies'!$C$28:$CP$64,4,TRUE)*VLOOKUP($B67,'A1.3.2'!$B$27:$AY$106,50,)*$CR$5)</f>
        <v>14.408041069308574</v>
      </c>
      <c r="G67" s="1566">
        <f>IF(ISERROR(MATCH($B67,'A1.3.2'!$B$27:$B$106,0)),"",(((D67*'VoT5'!$D$28)+(E67*'VoT5'!$D$29)+(F67*'VoT5'!$D$30))/100))</f>
        <v>20.989324770688384</v>
      </c>
      <c r="H67" s="1565">
        <f>IF(ISERROR(MATCH($B67,'A1.3.2'!$B$27:$B$106,0)),"",(VLOOKUP($B67,'Forecast occupancies'!$C$28:$CP$64,6,TRUE) * VLOOKUP($B67, 'A1.3.2'!$B$27:$AY$106,37,)) * $CR$5)</f>
        <v>27.081666579701317</v>
      </c>
      <c r="I67" s="1565">
        <f>IF(ISERROR(MATCH($B67,'A1.3.2'!$B$27:$B$106,0)),"",VLOOKUP($B67,'Forecast occupancies'!$C$28:$CP$64,7,TRUE) * ('VoT5'!$J$29*VLOOKUP($B67, 'A1.3.2'!$B$27:$AY$106,49,)+'VoT5'!$J$30*VLOOKUP($B67, 'A1.3.2'!$B$27:$AY$106,50,))/('VoT5'!$J$29+'VoT5'!$J$30) * $CR$5)</f>
        <v>16.531205252754415</v>
      </c>
      <c r="J67" s="1566">
        <f>IF(ISERROR(MATCH($B67,'A1.3.2'!$B$27:$B$106,0)),"",(H67*'VoT5'!$D$31 + I67*'VoT5'!$D$32)/100)</f>
        <v>25.815611220467691</v>
      </c>
      <c r="K67" s="1566">
        <f>IF(ISERROR(MATCH($B67,'A1.3.2'!$B$27:$B$106,0)),"",(VLOOKUP($B67,'Forecast occupancies'!$C$28:$CP$64,9,TRUE)*VLOOKUP($B67,'A1.3.2'!$B$27:$AY$106,38,)) * $CR$5)</f>
        <v>26.590602409467529</v>
      </c>
      <c r="L67" s="1566">
        <f>IF(ISERROR(MATCH($B67,'A1.3.2'!$B$27:$B$106,0)),"",(VLOOKUP($B67,'Forecast occupancies'!$C$28:$CP$64,10,TRUE)*VLOOKUP($B67,'A1.3.2'!$B$27:$AY$106,38,)) * $CR$5)</f>
        <v>26.590602409467529</v>
      </c>
      <c r="M67" s="1565">
        <f>IF(ISERROR(MATCH($B67,'A1.3.2'!$B$27:$B$106,0)),"",(((VLOOKUP($B67,'Forecast occupancies'!$C$28:$CP$64,11,TRUE) -1) * VLOOKUP($B67,'A1.3.2'!$B$27:$AY$106,40,)) + VLOOKUP($B67,'A1.3.2'!$B$27:$AY$106,39,)) * $CR$5)</f>
        <v>30.300231854586514</v>
      </c>
      <c r="N67" s="1565">
        <f>IF(ISERROR(MATCH($B67,'A1.3.2'!$B$27:$B$106,0)),"",(VLOOKUP($B67,'Forecast occupancies'!$C$28:$CP$64,12,TRUE) * VLOOKUP($B67,'A1.3.2'!$B$27:$AY$106,49,)) * $CR$5)</f>
        <v>41.478750890585509</v>
      </c>
      <c r="O67" s="1565">
        <f>IF(ISERROR(MATCH($B67,'A1.3.2'!$B$27:$B$106,0)),"",(VLOOKUP($B67,'Forecast occupancies'!$C$28:$CP$64,13,TRUE) * VLOOKUP($B67,'A1.3.2'!$B$27:$AY$106,50,)) * $CR$5)</f>
        <v>82.338303564156348</v>
      </c>
      <c r="P67" s="1567">
        <f>IF(ISERROR(MATCH($B67,'A1.3.2'!$B$27:$B$106,0)),"",SUM(M67:O67))</f>
        <v>154.11728630932836</v>
      </c>
      <c r="Q67" s="1609">
        <f>IF(ISERROR(MATCH($B67,'A1.3.2'!$B$27:$B$106,0)),"",(((VLOOKUP($B67,'Forecast occupancies'!$C$28:$CP$64,15,TRUE)-1)*VLOOKUP($B67,'A1.3.2'!$B$27:$AY$106,36,)+VLOOKUP($B67,'A1.3.2'!$B$27:$AY$106,35,))*$CR$5))</f>
        <v>37.973249956638739</v>
      </c>
      <c r="R67" s="1565">
        <f>IF(ISERROR(MATCH($B67,'A1.3.2'!$B$27:$B$106,0)),"",VLOOKUP($B67,'Forecast occupancies'!$C$28:$CP$64,16,TRUE)*VLOOKUP($B67,'A1.3.2'!$B$27:$AY$106,49,)*$CR$5)</f>
        <v>21.223132438862123</v>
      </c>
      <c r="S67" s="1565">
        <f>IF(ISERROR(MATCH($B67,'A1.3.2'!$B$27:$B$106,0)),"",VLOOKUP($B67,'Forecast occupancies'!$C$28:$CP$64,17,TRUE)*VLOOKUP($B67,'A1.3.2'!$B$27:$AY$106,50,)*$CR$5)</f>
        <v>15.347967207773836</v>
      </c>
      <c r="T67" s="1566">
        <f>IF(ISERROR(MATCH($B67,'A1.3.2'!$B$27:$B$106,0)),"",(((Q67*'VoT5'!$E$28)+(R67*'VoT5'!$E$29)+(S67*'VoT5'!$E$30))/100))</f>
        <v>19.767948266784583</v>
      </c>
      <c r="U67" s="1565">
        <f>IF(ISERROR(MATCH($B67,'A1.3.2'!$B$27:$B$106,0)),"",(VLOOKUP($B67,'Forecast occupancies'!$C$28:$CP$64,19,TRUE) * VLOOKUP($B67, 'A1.3.2'!$B$27:$AY$106,37,)) * $CR$5)</f>
        <v>27.081666579701317</v>
      </c>
      <c r="V67" s="1565">
        <f>IF(ISERROR(MATCH($B67,'A1.3.2'!$B$27:$B$106,0)),"",VLOOKUP($B67,'Forecast occupancies'!$C$28:$CP$64,20,TRUE) * ('VoT5'!$J$29*VLOOKUP($B67, 'A1.3.2'!$B$27:$AY$106,49,)+'VoT5'!$J$30*VLOOKUP($B67, 'A1.3.2'!$B$27:$AY$106,50,))/('VoT5'!$J$29+'VoT5'!$J$30) * $CR$5)</f>
        <v>16.531205252754415</v>
      </c>
      <c r="W67" s="1566">
        <f>IF(ISERROR(MATCH($B67,'A1.3.2'!$B$27:$B$106,0)),"",(U67*'VoT5'!$E$31 + V67*'VoT5'!$E$32)/100)</f>
        <v>25.815611220467691</v>
      </c>
      <c r="X67" s="1566">
        <f>IF(ISERROR(MATCH($B67,'A1.3.2'!$B$27:$B$106,0)),"",(VLOOKUP($B67,'Forecast occupancies'!$C$28:$CP$64,22,TRUE)*VLOOKUP($B67,'A1.3.2'!$B$27:$AY$106,38,)) * $CR$5)</f>
        <v>26.590602409467529</v>
      </c>
      <c r="Y67" s="1566">
        <f>IF(ISERROR(MATCH($B67,'A1.3.2'!$B$27:$B$106,0)),"",(VLOOKUP($B67,'Forecast occupancies'!$C$28:$CP$64,23,TRUE)*VLOOKUP($B67,'A1.3.2'!$B$27:$AY$106,38,)) * $CR$5)</f>
        <v>26.590602409467529</v>
      </c>
      <c r="Z67" s="1565">
        <f>IF(ISERROR(MATCH($B67,'A1.3.2'!$B$27:$B$106,0)),"",(((VLOOKUP($B67,'Forecast occupancies'!$C$28:$CP$64,24,TRUE) -1) * VLOOKUP($B67,'A1.3.2'!$B$27:$AY$106,40,)) + VLOOKUP($B67,'A1.3.2'!$B$27:$AY$106,39,)) * $CR$5)</f>
        <v>30.918686532004095</v>
      </c>
      <c r="AA67" s="1565">
        <f>IF(ISERROR(MATCH($B67,'A1.3.2'!$B$27:$B$106,0)),"",(VLOOKUP($B67,'Forecast occupancies'!$C$28:$CP$64,25,TRUE) * VLOOKUP($B67,'A1.3.2'!$B$27:$AY$106,49,)) * $CR$5)</f>
        <v>14.536982270638797</v>
      </c>
      <c r="AB67" s="1565">
        <f>IF(ISERROR(MATCH($B67,'A1.3.2'!$B$27:$B$106,0)),"",(VLOOKUP($B67,'Forecast occupancies'!$C$28:$CP$64,26,TRUE) * VLOOKUP($B67,'A1.3.2'!$B$27:$AY$106,50,)) * $CR$5)</f>
        <v>94.355051756681007</v>
      </c>
      <c r="AC67" s="1567">
        <f>IF(ISERROR(MATCH($B67,'A1.3.2'!$B$27:$B$106,0)),"",SUM(Z67:AB67))</f>
        <v>139.8107205593239</v>
      </c>
      <c r="AD67" s="1609">
        <f>IF(ISERROR(MATCH($B67,'A1.3.2'!$B$27:$B$106,0)),"",(((VLOOKUP($B67,'Forecast occupancies'!$C$28:$CP$64,28,TRUE)-1)*VLOOKUP($B67,'A1.3.2'!$B$27:$AY$106,36,)+VLOOKUP($B67,'A1.3.2'!$B$27:$AY$106,35,))*$CR$5))</f>
        <v>37.591892187897926</v>
      </c>
      <c r="AE67" s="1565">
        <f>IF(ISERROR(MATCH($B67,'A1.3.2'!$B$27:$B$106,0)),"",VLOOKUP($B67,'Forecast occupancies'!$C$28:$CP$64,29,TRUE)*VLOOKUP($B67,'A1.3.2'!$B$27:$AY$106,49,)*$CR$5)</f>
        <v>20.955598611912848</v>
      </c>
      <c r="AF67" s="1565">
        <f>IF(ISERROR(MATCH($B67,'A1.3.2'!$B$27:$B$106,0)),"",VLOOKUP($B67,'Forecast occupancies'!$C$28:$CP$64,30,TRUE)*VLOOKUP($B67,'A1.3.2'!$B$27:$AY$106,50,)*$CR$5)</f>
        <v>15.088211231677572</v>
      </c>
      <c r="AG67" s="1566">
        <f>IF(ISERROR(MATCH($B67,'A1.3.2'!$B$27:$B$106,0)),"",(((AD67*'VoT5'!$F$28)+(AE67*'VoT5'!$F$29)+(AF67*'VoT5'!$F$30))/100))</f>
        <v>20.166432218060351</v>
      </c>
      <c r="AH67" s="1565">
        <f>IF(ISERROR(MATCH($B67,'A1.3.2'!$B$27:$B$106,0)),"",(VLOOKUP($B67,'Forecast occupancies'!$C$28:$CP$64,32,TRUE) * VLOOKUP($B67, 'A1.3.2'!$B$27:$AY$106,37,)) * $CR$5)</f>
        <v>27.081666579701317</v>
      </c>
      <c r="AI67" s="1565">
        <f>IF(ISERROR(MATCH($B67,'A1.3.2'!$B$27:$B$106,0)),"",VLOOKUP($B67,'Forecast occupancies'!$C$28:$CP$64,33,TRUE) * ('VoT5'!$J$29*VLOOKUP($B67, 'A1.3.2'!$B$27:$AY$106,49,)+'VoT5'!$J$30*VLOOKUP($B67, 'A1.3.2'!$B$27:$AY$106,50,))/('VoT5'!$J$29+'VoT5'!$J$30) * $CR$5)</f>
        <v>16.531205252754415</v>
      </c>
      <c r="AJ67" s="1566">
        <f>IF(ISERROR(MATCH($B67,'A1.3.2'!$B$27:$B$106,0)),"",(AH67*'VoT5'!$F$31 + AI67*'VoT5'!$F$32)/100)</f>
        <v>25.815611220467691</v>
      </c>
      <c r="AK67" s="1566">
        <f>IF(ISERROR(MATCH($B67,'A1.3.2'!$B$27:$B$106,0)),"",(VLOOKUP($B67,'Forecast occupancies'!$C$28:$CP$64,35,TRUE)*VLOOKUP($B67,'A1.3.2'!$B$27:$AY$106,38,)) * $CR$5)</f>
        <v>26.590602409467529</v>
      </c>
      <c r="AL67" s="1566">
        <f>IF(ISERROR(MATCH($B67,'A1.3.2'!$B$27:$B$106,0)),"",(VLOOKUP($B67,'Forecast occupancies'!$C$28:$CP$64,36,TRUE)*VLOOKUP($B67,'A1.3.2'!$B$27:$AY$106,38,)) * $CR$5)</f>
        <v>26.590602409467529</v>
      </c>
      <c r="AM67" s="1565">
        <f>IF(ISERROR(MATCH($B67,'A1.3.2'!$B$27:$B$106,0)),"",(((VLOOKUP($B67,'Forecast occupancies'!$C$28:$CP$64,37,TRUE) -1) * VLOOKUP($B67,'A1.3.2'!$B$27:$AY$106,40,)) + VLOOKUP($B67,'A1.3.2'!$B$27:$AY$106,39,)) * $CR$5)</f>
        <v>32.349822183819896</v>
      </c>
      <c r="AN67" s="1565">
        <f>IF(ISERROR(MATCH($B67,'A1.3.2'!$B$27:$B$106,0)),"",(VLOOKUP($B67,'Forecast occupancies'!$C$28:$CP$64,38,TRUE) * VLOOKUP($B67,'A1.3.2'!$B$27:$AY$106,49,)) * $CR$5)</f>
        <v>58.334783270692341</v>
      </c>
      <c r="AO67" s="1565">
        <f>IF(ISERROR(MATCH($B67,'A1.3.2'!$B$27:$B$106,0)),"",(VLOOKUP($B67,'Forecast occupancies'!$C$28:$CP$64,39,TRUE) * VLOOKUP($B67,'A1.3.2'!$B$27:$AY$106,50,)) * $CR$5)</f>
        <v>73.715830622739873</v>
      </c>
      <c r="AP67" s="1567">
        <f>IF(ISERROR(MATCH($B67,'A1.3.2'!$B$27:$B$106,0)),"",SUM(AM67:AO67))</f>
        <v>164.4004360772521</v>
      </c>
      <c r="AQ67" s="1609">
        <f>IF(ISERROR(MATCH($B67,'A1.3.2'!$B$27:$B$106,0)),"",(((VLOOKUP($B67,'Forecast occupancies'!$C$28:$CP$64,41,TRUE)-1)*VLOOKUP($B67,'A1.3.2'!$B$27:$AY$106,36,)+VLOOKUP($B67,'A1.3.2'!$B$27:$AY$106,35,))*$CR$5))</f>
        <v>38.303154176261224</v>
      </c>
      <c r="AR67" s="1565">
        <f>IF(ISERROR(MATCH($B67,'A1.3.2'!$B$27:$B$106,0)),"",VLOOKUP($B67,'Forecast occupancies'!$C$28:$CP$64,42,TRUE)*VLOOKUP($B67,'A1.3.2'!$B$27:$AY$106,49,)*$CR$5)</f>
        <v>21.262303755479603</v>
      </c>
      <c r="AS67" s="1565">
        <f>IF(ISERROR(MATCH($B67,'A1.3.2'!$B$27:$B$106,0)),"",VLOOKUP($B67,'Forecast occupancies'!$C$28:$CP$64,43,TRUE)*VLOOKUP($B67,'A1.3.2'!$B$27:$AY$106,50,)*$CR$5)</f>
        <v>15.034343009032563</v>
      </c>
      <c r="AT67" s="1566">
        <f>IF(ISERROR(MATCH($B67,'A1.3.2'!$B$27:$B$106,0)),"",(((AQ67*'VoT5'!$G$28)+(AR67*'VoT5'!$G$29)+(AS67*'VoT5'!$G$30))/100))</f>
        <v>20.431515933400512</v>
      </c>
      <c r="AU67" s="1565">
        <f>IF(ISERROR(MATCH($B67,'A1.3.2'!$B$27:$B$106,0)),"",(VLOOKUP($B67,'Forecast occupancies'!$C$28:$CP$64,45,TRUE) * VLOOKUP($B67, 'A1.3.2'!$B$27:$AY$106,37,)) * $CR$5)</f>
        <v>27.081666579701317</v>
      </c>
      <c r="AV67" s="1565">
        <f>IF(ISERROR(MATCH($B67,'A1.3.2'!$B$27:$B$106,0)),"",VLOOKUP($B67,'Forecast occupancies'!$C$28:$CP$64,46,TRUE) * ('VoT5'!$J$29*VLOOKUP($B67, 'A1.3.2'!$B$27:$AY$106,49,)+'VoT5'!$J$30*VLOOKUP($B67, 'A1.3.2'!$B$27:$AY$106,50,))/('VoT5'!$J$29+'VoT5'!$J$30) * $CR$5)</f>
        <v>16.531205252754415</v>
      </c>
      <c r="AW67" s="1566">
        <f>IF(ISERROR(MATCH($B67,'A1.3.2'!$B$27:$B$106,0)),"",(AU67*'VoT5'!$G$31 + AV67*'VoT5'!$G$32)/100)</f>
        <v>25.815611220467691</v>
      </c>
      <c r="AX67" s="1566">
        <f>IF(ISERROR(MATCH($B67,'A1.3.2'!$B$27:$B$106,0)),"",(VLOOKUP($B67,'Forecast occupancies'!$C$28:$CP$64,48,TRUE)*VLOOKUP($B67,'A1.3.2'!$B$27:$AY$106,38,)) * $CR$5)</f>
        <v>26.590602409467529</v>
      </c>
      <c r="AY67" s="1566">
        <f>IF(ISERROR(MATCH($B67,'A1.3.2'!$B$27:$B$106,0)),"",(VLOOKUP($B67,'Forecast occupancies'!$C$28:$CP$64,49,TRUE)*VLOOKUP($B67,'A1.3.2'!$B$27:$AY$106,38,)) * $CR$5)</f>
        <v>26.590602409467529</v>
      </c>
      <c r="AZ67" s="1565">
        <f>IF(ISERROR(MATCH($B67,'A1.3.2'!$B$27:$B$106,0)),"",(((VLOOKUP($B67,'Forecast occupancies'!$C$28:$CP$64,50,TRUE) -1) * VLOOKUP($B67,'A1.3.2'!$B$27:$AY$106,40,)) + VLOOKUP($B67,'A1.3.2'!$B$27:$AY$106,39,)) * $CR$5)</f>
        <v>32.323661751125357</v>
      </c>
      <c r="BA67" s="1565">
        <f>IF(ISERROR(MATCH($B67,'A1.3.2'!$B$27:$B$106,0)),"",(VLOOKUP($B67,'Forecast occupancies'!$C$28:$CP$64,51,TRUE) * VLOOKUP($B67,'A1.3.2'!$B$27:$AY$106,49,)) * $CR$5)</f>
        <v>79.742199722084905</v>
      </c>
      <c r="BB67" s="1565">
        <f>IF(ISERROR(MATCH($B67,'A1.3.2'!$B$27:$B$106,0)),"",(VLOOKUP($B67,'Forecast occupancies'!$C$28:$CP$64,52,TRUE) * VLOOKUP($B67,'A1.3.2'!$B$27:$AY$106,50,)) * $CR$5)</f>
        <v>63.95669921782109</v>
      </c>
      <c r="BC67" s="1567">
        <f>IF(ISERROR(MATCH($B67,'A1.3.2'!$B$27:$B$106,0)),"",SUM(AZ67:BB67))</f>
        <v>176.02256069103134</v>
      </c>
      <c r="BD67" s="1565">
        <f>IF(ISERROR(MATCH($B67,'A1.3.2'!$B$27:$B$106,0)),"",(((VLOOKUP($B67,'Forecast occupancies'!$C$28:$CP$64,54,TRUE)-1)*VLOOKUP($B67,'A1.3.2'!$B$27:$AY$106,36,)+VLOOKUP($B67,'A1.3.2'!$B$27:$AY$106,35,))*$CR$5))</f>
        <v>37.658779058565983</v>
      </c>
      <c r="BE67" s="1565">
        <f>IF(ISERROR(MATCH($B67,'A1.3.2'!$B$27:$B$106,0)),"",VLOOKUP($B67,'Forecast occupancies'!$C$28:$CP$64,55,TRUE)*VLOOKUP($B67,'A1.3.2'!$B$27:$AY$106,49,)*$CR$5)</f>
        <v>21.026847821726196</v>
      </c>
      <c r="BF67" s="1565">
        <f>IF(ISERROR(MATCH($B67,'A1.3.2'!$B$27:$B$106,0)),"",VLOOKUP($B67,'Forecast occupancies'!$C$28:$CP$64,56,TRUE)*VLOOKUP($B67,'A1.3.2'!$B$27:$AY$106,50,)*$CR$5)</f>
        <v>15.071698085584956</v>
      </c>
      <c r="BG67" s="1566">
        <f>IF(ISERROR(MATCH($B67,'A1.3.2'!$B$27:$B$106,0)),"",(((BD67*'VoT5'!$H$28)+(BE67*'VoT5'!$H$29)+(BF67*'VoT5'!$H$30))/100))</f>
        <v>20.284375787019897</v>
      </c>
      <c r="BH67" s="1565">
        <f>IF(ISERROR(MATCH($B67,'A1.3.2'!$B$27:$B$106,0)),"",(VLOOKUP($B67,'Forecast occupancies'!$C$28:$CP$64,58,TRUE) * VLOOKUP($B67, 'A1.3.2'!$B$27:$AY$106,37,)) * $CR$5)</f>
        <v>27.081666579701317</v>
      </c>
      <c r="BI67" s="1565">
        <f>IF(ISERROR(MATCH($B67,'A1.3.2'!$B$27:$B$106,0)),"",(VLOOKUP($B67,'Forecast occupancies'!$C$28:$CP$64,59,TRUE) * (VLOOKUP($B67,'A1.3.2'!$B$27:$AY$106,49,) * 'VoT5'!$J$29 + VLOOKUP($B67,'A1.3.2'!$B$27:$AY$106,50,) * 'VoT5'!$J$30) / (SUM('VoT5'!$J$29:$J$30))) * $CR$5)</f>
        <v>16.531205252754415</v>
      </c>
      <c r="BJ67" s="1566">
        <f>IF(ISERROR(MATCH($B67,'A1.3.2'!$B$27:$B$106,0)),"",(BH67*'VoT5'!$H$31 + BI67*'VoT5'!$H$32)/100)</f>
        <v>25.815611220467691</v>
      </c>
      <c r="BK67" s="1566">
        <f>IF(ISERROR(MATCH($B67,'A1.3.2'!$B$27:$B$106,0)),"",(VLOOKUP($B67,'Forecast occupancies'!$C$28:$CP$64,61,TRUE)*VLOOKUP($B67,'A1.3.2'!$B$27:$AY$106,38,)) * $CR$5)</f>
        <v>26.590602409467529</v>
      </c>
      <c r="BL67" s="1566">
        <f>IF(ISERROR(MATCH($B67,'A1.3.2'!$B$27:$B$106,0)),"",(VLOOKUP($B67,'Forecast occupancies'!$C$28:$CP$64,62,TRUE)*VLOOKUP($B67,'A1.3.2'!$B$27:$AY$106,38,)) * $CR$5)</f>
        <v>26.590602409467529</v>
      </c>
      <c r="BM67" s="1565">
        <f>IF(ISERROR(MATCH($B67,'A1.3.2'!$B$27:$B$106,0)),"",(((VLOOKUP($B67,'Forecast occupancies'!$C$28:$CP$64,63,TRUE) -1) * VLOOKUP($B67,'A1.3.2'!$B$27:$AY$106,40,)) + VLOOKUP($B67,'A1.3.2'!$B$27:$AY$106,39,)) * $CR$5)</f>
        <v>31.166192186462379</v>
      </c>
      <c r="BN67" s="1565">
        <f>IF(ISERROR(MATCH($B67,'A1.3.2'!$B$27:$B$106,0)),"",(VLOOKUP($B67,'Forecast occupancies'!$C$28:$CP$64,64,TRUE) * VLOOKUP($B67,'A1.3.2'!$B$27:$AY$106,49,)) * $CR$5)</f>
        <v>35.998300446474765</v>
      </c>
      <c r="BO67" s="1565">
        <f>IF(ISERROR(MATCH($B67,'A1.3.2'!$B$27:$B$106,0)),"",(VLOOKUP($B67,'Forecast occupancies'!$C$28:$CP$64,65,TRUE) * VLOOKUP($B67,'A1.3.2'!$B$27:$AY$106,50,)) * $CR$5)</f>
        <v>84.447292573265301</v>
      </c>
      <c r="BP67" s="1567">
        <f>IF(ISERROR(MATCH($B67,'A1.3.2'!$B$27:$B$106,0)),"",SUM(BM67:BO67))</f>
        <v>151.61178520620246</v>
      </c>
      <c r="BQ67" s="1565">
        <f>IF(ISERROR(MATCH($B67,'A1.3.2'!$B$27:$B$106,0)),"",(((VLOOKUP($B67,'Forecast occupancies'!$C$28:$CP$64,67,TRUE)-1)*VLOOKUP($B67,'A1.3.2'!$B$27:$AY$106,36,)+VLOOKUP($B67,'A1.3.2'!$B$27:$AY$106,35,))*$CR$5))</f>
        <v>43.039270187673523</v>
      </c>
      <c r="BR67" s="1565">
        <f>IF(ISERROR(MATCH($B67,'A1.3.2'!$B$27:$B$106,0)),"",VLOOKUP($B67,'Forecast occupancies'!$C$28:$CP$64,68,TRUE)*VLOOKUP($B67,'A1.3.2'!$B$27:$AY$106,49,)*$CR$5)</f>
        <v>22.262215758526214</v>
      </c>
      <c r="BS67" s="1565">
        <f>IF(ISERROR(MATCH($B67,'A1.3.2'!$B$27:$B$106,0)),"",VLOOKUP($B67,'Forecast occupancies'!$C$28:$CP$64,69,TRUE)*VLOOKUP($B67,'A1.3.2'!$B$27:$AY$106,50,)*$CR$5)</f>
        <v>17.845253855366465</v>
      </c>
      <c r="BT67" s="1566">
        <f>IF(ISERROR(MATCH($B67,'A1.3.2'!$B$27:$B$106,0)),"",(((BQ67*'VoT5'!$I$28)+(BR67*'VoT5'!$I$29)+(BS67*'VoT5'!$I$30))/100))</f>
        <v>19.068779145538915</v>
      </c>
      <c r="BU67" s="1565">
        <f>IF(ISERROR(MATCH($B67,'A1.3.2'!$B$27:$B$106,0)),"",(VLOOKUP($B67,'Forecast occupancies'!$C$28:$CP$64,71,TRUE) * VLOOKUP($B67, 'A1.3.2'!$B$27:$AY$106,37,)) * $CR$5)</f>
        <v>28.435749908686386</v>
      </c>
      <c r="BV67" s="1565">
        <f>IF(ISERROR(MATCH($B67,'A1.3.2'!$B$27:$B$106,0)),"",(VLOOKUP($B67,'Forecast occupancies'!$C$28:$CP$64,72,TRUE) * (VLOOKUP($B67,'A1.3.2'!$B$27:$AY$106,49,)*'VoT5'!$J$29 + VLOOKUP($B67,'A1.3.2'!$B$27:$AY$106,50,)*'VoT5'!$J$30) / (SUM('VoT5'!$J$29:$J$30))) * $CR$5)</f>
        <v>22.985168947322915</v>
      </c>
      <c r="BW67" s="1566">
        <f>IF(ISERROR(MATCH($B67,'A1.3.2'!$B$27:$B$106,0)),"",(BU67*'VoT5'!$I$31 + BV67*'VoT5'!$I$32)/100)</f>
        <v>27.781680193322767</v>
      </c>
      <c r="BX67" s="1566">
        <f>IF(ISERROR(MATCH($B67,'A1.3.2'!$B$27:$B$106,0)),"",(VLOOKUP($B67,'Forecast occupancies'!$C$28:$CP$64,74,TRUE)*VLOOKUP($B67,'A1.3.2'!$B$27:$AY$106,38,)) * $CR$5)</f>
        <v>26.590602409467529</v>
      </c>
      <c r="BY67" s="1566">
        <f>IF(ISERROR(MATCH($B67,'A1.3.2'!$B$27:$B$106,0)),"",(VLOOKUP($B67,'Forecast occupancies'!$C$28:$CP$64,75,TRUE)*VLOOKUP($B67,'A1.3.2'!$B$27:$AY$106,38,)) * $CR$5)</f>
        <v>26.590602409467529</v>
      </c>
      <c r="BZ67" s="1565">
        <f>IF(ISERROR(MATCH($B67,'A1.3.2'!$B$27:$B$106,0)),"",(((VLOOKUP($B67,'Forecast occupancies'!$C$28:$CP$64,76,TRUE) -1) * VLOOKUP($B67,'A1.3.2'!$B$27:$AY$106,40,)) + VLOOKUP($B67,'A1.3.2'!$B$27:$AY$106,39,)) * $CR$5)</f>
        <v>28.384120024751677</v>
      </c>
      <c r="CA67" s="1565">
        <f>IF(ISERROR(MATCH($B67,'A1.3.2'!$B$27:$B$106,0)),"",(VLOOKUP($B67,'Forecast occupancies'!$C$28:$CP$64,77,TRUE) * VLOOKUP($B67,'A1.3.2'!$B$27:$AY$106,49,)) * $CR$5)</f>
        <v>13.637545293172346</v>
      </c>
      <c r="CB67" s="1565">
        <f>IF(ISERROR(MATCH($B67,'A1.3.2'!$B$27:$B$106,0)),"",(VLOOKUP($B67,'Forecast occupancies'!$C$28:$CP$64,78,TRUE) * VLOOKUP($B67,'A1.3.2'!$B$27:$AY$106,50,)) * $CR$5)</f>
        <v>95.914246800126662</v>
      </c>
      <c r="CC67" s="1567">
        <f>IF(ISERROR(MATCH($B67,'A1.3.2'!$B$27:$B$106,0)),"",SUM(BZ67:CB67))</f>
        <v>137.93591211805068</v>
      </c>
      <c r="CD67" s="1565">
        <f>IF(ISERROR(MATCH($B67,'A1.3.2'!$B$27:$B$106,0)),"",(((VLOOKUP($B67,'Forecast occupancies'!$C$28:$CP$64,80,TRUE)-1)*VLOOKUP($B67,'A1.3.2'!$B$27:$AY$106,36,)+VLOOKUP($B67,'A1.3.2'!$B$27:$AY$106,35,))*$CR$5))</f>
        <v>38.040701370360829</v>
      </c>
      <c r="CE67" s="1565">
        <f>IF(ISERROR(MATCH($B67,'A1.3.2'!$B$27:$B$106,0)),"",VLOOKUP($B67,'Forecast occupancies'!$C$28:$CP$64,81,TRUE)*VLOOKUP($B67,'A1.3.2'!$B$27:$AY$106,49,)*$CR$5)</f>
        <v>21.126789902132472</v>
      </c>
      <c r="CF67" s="1565">
        <f>IF(ISERROR(MATCH($B67,'A1.3.2'!$B$27:$B$106,0)),"",VLOOKUP($B67,'Forecast occupancies'!$C$28:$CP$64,82,TRUE)*VLOOKUP($B67,'A1.3.2'!$B$27:$AY$106,50,)*$CR$5)</f>
        <v>16.050398338556828</v>
      </c>
      <c r="CG67" s="1566">
        <f>IF(ISERROR(MATCH($B67,'A1.3.2'!$B$27:$B$106,0)),"",(((CD67*'VoT5'!$J$28)+(CE67*'VoT5'!$J$29)+(CF67*'VoT5'!$J$30))/100))</f>
        <v>19.996163596279033</v>
      </c>
      <c r="CH67" s="1565">
        <f>IF(ISERROR(MATCH($B67,'A1.3.2'!$B$27:$B$106,0)),"",(VLOOKUP($B67,'Forecast occupancies'!$C$28:$CP$64,84,TRUE) * VLOOKUP($B67, 'A1.3.2'!$B$27:$AY$106,37,)) * $CR$5)</f>
        <v>27.081666579701317</v>
      </c>
      <c r="CI67" s="1565">
        <f>IF(ISERROR(MATCH($B67,'A1.3.2'!$B$27:$B$106,0)),"",(VLOOKUP($B67,'Forecast occupancies'!$C$28:$CP$64,85,TRUE) * (VLOOKUP($B67,'A1.3.2'!$B$27:$AY$106,49,)*'VoT5'!$J$29 + VLOOKUP($B67,'A1.3.2'!$B$27:$AY$106,50,)*'VoT5'!$J$30) / (SUM('VoT5'!$J$29:$J$30))) * $CR$5)</f>
        <v>18.003161884848986</v>
      </c>
      <c r="CJ67" s="1566">
        <f>IF(ISERROR(MATCH($B67,'A1.3.2'!$B$27:$B$106,0)),"",(CH67*'VoT5'!$J$31 + CI67*'VoT5'!$J$32)/100)</f>
        <v>25.99224601631904</v>
      </c>
      <c r="CK67" s="1566">
        <f>IF(ISERROR(MATCH($B67,'A1.3.2'!$B$27:$B$106,0)),"",(VLOOKUP($B67,'Forecast occupancies'!$C$28:$CP$64,87,TRUE)*VLOOKUP($B67,'A1.3.2'!$B$27:$AY$106,38,)) * $CR$5)</f>
        <v>26.590602409467529</v>
      </c>
      <c r="CL67" s="1566">
        <f>IF(ISERROR(MATCH($B67,'A1.3.2'!$B$27:$B$106,0)),"",(VLOOKUP($B67,'Forecast occupancies'!$C$28:$CP$64,88,TRUE)*VLOOKUP($B67,'A1.3.2'!$B$27:$AY$106,38,)) * $CR$5)</f>
        <v>26.590602409467529</v>
      </c>
      <c r="CM67" s="1565">
        <f>IF(ISERROR(MATCH($B67,'A1.3.2'!$B$27:$B$106,0)),"",(((VLOOKUP($B67,'Forecast occupancies'!$C$28:$CP$64,89,TRUE) -1) * VLOOKUP($B67,'A1.3.2'!$B$27:$AY$106,40,)) + VLOOKUP($B67,'A1.3.2'!$B$27:$AY$106,39,)) * $CR$5)</f>
        <v>30.479184782253451</v>
      </c>
      <c r="CN67" s="1565">
        <f>IF(ISERROR(MATCH($B67,'A1.3.2'!$B$27:$B$106,0)),"",(VLOOKUP($B67,'Forecast occupancies'!$C$28:$CP$64,90,TRUE) * VLOOKUP($B67,'A1.3.2'!$B$27:$AY$106,49,)) * $CR$5)</f>
        <v>30.475451331334181</v>
      </c>
      <c r="CO67" s="1565">
        <f>IF(ISERROR(MATCH($B67,'A1.3.2'!$B$27:$B$106,0)),"",(VLOOKUP($B67,'Forecast occupancies'!$C$28:$CP$64,91,TRUE) * VLOOKUP($B67,'A1.3.2'!$B$27:$AY$106,50,)) * $CR$5)</f>
        <v>87.279438263700314</v>
      </c>
      <c r="CP67" s="1567">
        <f>IF(ISERROR(MATCH($B67,'A1.3.2'!$B$27:$B$106,0)),"",SUM(CM67:CO67))</f>
        <v>148.23407437728795</v>
      </c>
    </row>
    <row r="68" spans="1:94" s="26" customFormat="1" ht="13.5" customHeight="1">
      <c r="A68" s="113"/>
      <c r="B68" s="82">
        <f t="shared" si="0"/>
        <v>2050</v>
      </c>
      <c r="D68" s="1609">
        <f>IF(ISERROR(MATCH($B68,'A1.3.2'!$B$27:$B$106,0)),"",(((VLOOKUP($B68,'Forecast occupancies'!$C$28:$CP$64,2,TRUE) -1) * VLOOKUP($B68,'A1.3.2'!$B$27:$AY$106,36,) + VLOOKUP($B68,'A1.3.2'!$B$27:$AY$106,35,)) * $CR$5))</f>
        <v>37.758997501931105</v>
      </c>
      <c r="E68" s="1565">
        <f>IF(ISERROR(MATCH($B68,'A1.3.2'!$B$27:$B$106,0)),"",VLOOKUP($B68,'Forecast occupancies'!$C$28:$CP$64,3,TRUE)*VLOOKUP($B68,'A1.3.2'!$B$27:$AY$106,49,)*$CR$5)</f>
        <v>21.279117783844463</v>
      </c>
      <c r="F68" s="1565">
        <f>IF(ISERROR(MATCH($B68,'A1.3.2'!$B$27:$B$106,0)),"",VLOOKUP($B68,'Forecast occupancies'!$C$28:$CP$64,4,TRUE)*VLOOKUP($B68,'A1.3.2'!$B$27:$AY$106,50,)*$CR$5)</f>
        <v>14.680942711328672</v>
      </c>
      <c r="G68" s="1566">
        <f>IF(ISERROR(MATCH($B68,'A1.3.2'!$B$27:$B$106,0)),"",(((D68*'VoT5'!$D$28)+(E68*'VoT5'!$D$29)+(F68*'VoT5'!$D$30))/100))</f>
        <v>21.38688202134167</v>
      </c>
      <c r="H68" s="1565">
        <f>IF(ISERROR(MATCH($B68,'A1.3.2'!$B$27:$B$106,0)),"",(VLOOKUP($B68,'Forecast occupancies'!$C$28:$CP$64,6,TRUE) * VLOOKUP($B68, 'A1.3.2'!$B$27:$AY$106,37,)) * $CR$5)</f>
        <v>27.594618426707388</v>
      </c>
      <c r="I68" s="1565">
        <f>IF(ISERROR(MATCH($B68,'A1.3.2'!$B$27:$B$106,0)),"",VLOOKUP($B68,'Forecast occupancies'!$C$28:$CP$64,7,TRUE) * ('VoT5'!$J$29*VLOOKUP($B68, 'A1.3.2'!$B$27:$AY$106,49,)+'VoT5'!$J$30*VLOOKUP($B68, 'A1.3.2'!$B$27:$AY$106,50,))/('VoT5'!$J$29+'VoT5'!$J$30) * $CR$5)</f>
        <v>16.844321590801083</v>
      </c>
      <c r="J68" s="1566">
        <f>IF(ISERROR(MATCH($B68,'A1.3.2'!$B$27:$B$106,0)),"",(H68*'VoT5'!$D$31 + I68*'VoT5'!$D$32)/100)</f>
        <v>26.304582806398631</v>
      </c>
      <c r="K68" s="1566">
        <f>IF(ISERROR(MATCH($B68,'A1.3.2'!$B$27:$B$106,0)),"",(VLOOKUP($B68,'Forecast occupancies'!$C$28:$CP$64,9,TRUE)*VLOOKUP($B68,'A1.3.2'!$B$27:$AY$106,38,)) * $CR$5)</f>
        <v>27.094253046284837</v>
      </c>
      <c r="L68" s="1566">
        <f>IF(ISERROR(MATCH($B68,'A1.3.2'!$B$27:$B$106,0)),"",(VLOOKUP($B68,'Forecast occupancies'!$C$28:$CP$64,10,TRUE)*VLOOKUP($B68,'A1.3.2'!$B$27:$AY$106,38,)) * $CR$5)</f>
        <v>27.094253046284837</v>
      </c>
      <c r="M68" s="1565">
        <f>IF(ISERROR(MATCH($B68,'A1.3.2'!$B$27:$B$106,0)),"",(((VLOOKUP($B68,'Forecast occupancies'!$C$28:$CP$64,11,TRUE) -1) * VLOOKUP($B68,'A1.3.2'!$B$27:$AY$106,40,)) + VLOOKUP($B68,'A1.3.2'!$B$27:$AY$106,39,)) * $CR$5)</f>
        <v>30.874146308808925</v>
      </c>
      <c r="N68" s="1565">
        <f>IF(ISERROR(MATCH($B68,'A1.3.2'!$B$27:$B$106,0)),"",(VLOOKUP($B68,'Forecast occupancies'!$C$28:$CP$64,12,TRUE) * VLOOKUP($B68,'A1.3.2'!$B$27:$AY$106,49,)) * $CR$5)</f>
        <v>42.264396848459405</v>
      </c>
      <c r="O68" s="1565">
        <f>IF(ISERROR(MATCH($B68,'A1.3.2'!$B$27:$B$106,0)),"",(VLOOKUP($B68,'Forecast occupancies'!$C$28:$CP$64,13,TRUE) * VLOOKUP($B68,'A1.3.2'!$B$27:$AY$106,50,)) * $CR$5)</f>
        <v>83.89786729219658</v>
      </c>
      <c r="P68" s="1567">
        <f>IF(ISERROR(MATCH($B68,'A1.3.2'!$B$27:$B$106,0)),"",SUM(M68:O68))</f>
        <v>157.03641044946491</v>
      </c>
      <c r="Q68" s="1609">
        <f>IF(ISERROR(MATCH($B68,'A1.3.2'!$B$27:$B$106,0)),"",(((VLOOKUP($B68,'Forecast occupancies'!$C$28:$CP$64,15,TRUE)-1)*VLOOKUP($B68,'A1.3.2'!$B$27:$AY$106,36,)+VLOOKUP($B68,'A1.3.2'!$B$27:$AY$106,35,))*$CR$5))</f>
        <v>38.692498480165028</v>
      </c>
      <c r="R68" s="1565">
        <f>IF(ISERROR(MATCH($B68,'A1.3.2'!$B$27:$B$106,0)),"",VLOOKUP($B68,'Forecast occupancies'!$C$28:$CP$64,16,TRUE)*VLOOKUP($B68,'A1.3.2'!$B$27:$AY$106,49,)*$CR$5)</f>
        <v>21.625118223294191</v>
      </c>
      <c r="S68" s="1565">
        <f>IF(ISERROR(MATCH($B68,'A1.3.2'!$B$27:$B$106,0)),"",VLOOKUP($B68,'Forecast occupancies'!$C$28:$CP$64,17,TRUE)*VLOOKUP($B68,'A1.3.2'!$B$27:$AY$106,50,)*$CR$5)</f>
        <v>15.638671921379508</v>
      </c>
      <c r="T68" s="1566">
        <f>IF(ISERROR(MATCH($B68,'A1.3.2'!$B$27:$B$106,0)),"",(((Q68*'VoT5'!$E$28)+(R68*'VoT5'!$E$29)+(S68*'VoT5'!$E$30))/100))</f>
        <v>20.142371515262507</v>
      </c>
      <c r="U68" s="1565">
        <f>IF(ISERROR(MATCH($B68,'A1.3.2'!$B$27:$B$106,0)),"",(VLOOKUP($B68,'Forecast occupancies'!$C$28:$CP$64,19,TRUE) * VLOOKUP($B68, 'A1.3.2'!$B$27:$AY$106,37,)) * $CR$5)</f>
        <v>27.594618426707388</v>
      </c>
      <c r="V68" s="1565">
        <f>IF(ISERROR(MATCH($B68,'A1.3.2'!$B$27:$B$106,0)),"",VLOOKUP($B68,'Forecast occupancies'!$C$28:$CP$64,20,TRUE) * ('VoT5'!$J$29*VLOOKUP($B68, 'A1.3.2'!$B$27:$AY$106,49,)+'VoT5'!$J$30*VLOOKUP($B68, 'A1.3.2'!$B$27:$AY$106,50,))/('VoT5'!$J$29+'VoT5'!$J$30) * $CR$5)</f>
        <v>16.844321590801083</v>
      </c>
      <c r="W68" s="1566">
        <f>IF(ISERROR(MATCH($B68,'A1.3.2'!$B$27:$B$106,0)),"",(U68*'VoT5'!$E$31 + V68*'VoT5'!$E$32)/100)</f>
        <v>26.304582806398631</v>
      </c>
      <c r="X68" s="1566">
        <f>IF(ISERROR(MATCH($B68,'A1.3.2'!$B$27:$B$106,0)),"",(VLOOKUP($B68,'Forecast occupancies'!$C$28:$CP$64,22,TRUE)*VLOOKUP($B68,'A1.3.2'!$B$27:$AY$106,38,)) * $CR$5)</f>
        <v>27.094253046284837</v>
      </c>
      <c r="Y68" s="1566">
        <f>IF(ISERROR(MATCH($B68,'A1.3.2'!$B$27:$B$106,0)),"",(VLOOKUP($B68,'Forecast occupancies'!$C$28:$CP$64,23,TRUE)*VLOOKUP($B68,'A1.3.2'!$B$27:$AY$106,38,)) * $CR$5)</f>
        <v>27.094253046284837</v>
      </c>
      <c r="Z68" s="1565">
        <f>IF(ISERROR(MATCH($B68,'A1.3.2'!$B$27:$B$106,0)),"",(((VLOOKUP($B68,'Forecast occupancies'!$C$28:$CP$64,24,TRUE) -1) * VLOOKUP($B68,'A1.3.2'!$B$27:$AY$106,40,)) + VLOOKUP($B68,'A1.3.2'!$B$27:$AY$106,39,)) * $CR$5)</f>
        <v>31.50431509060547</v>
      </c>
      <c r="AA68" s="1565">
        <f>IF(ISERROR(MATCH($B68,'A1.3.2'!$B$27:$B$106,0)),"",(VLOOKUP($B68,'Forecast occupancies'!$C$28:$CP$64,25,TRUE) * VLOOKUP($B68,'A1.3.2'!$B$27:$AY$106,49,)) * $CR$5)</f>
        <v>14.812326178432416</v>
      </c>
      <c r="AB68" s="1565">
        <f>IF(ISERROR(MATCH($B68,'A1.3.2'!$B$27:$B$106,0)),"",(VLOOKUP($B68,'Forecast occupancies'!$C$28:$CP$64,26,TRUE) * VLOOKUP($B68,'A1.3.2'!$B$27:$AY$106,50,)) * $CR$5)</f>
        <v>96.142223824932572</v>
      </c>
      <c r="AC68" s="1567">
        <f>IF(ISERROR(MATCH($B68,'A1.3.2'!$B$27:$B$106,0)),"",SUM(Z68:AB68))</f>
        <v>142.45886509397047</v>
      </c>
      <c r="AD68" s="1609">
        <f>IF(ISERROR(MATCH($B68,'A1.3.2'!$B$27:$B$106,0)),"",(((VLOOKUP($B68,'Forecast occupancies'!$C$28:$CP$64,28,TRUE)-1)*VLOOKUP($B68,'A1.3.2'!$B$27:$AY$106,36,)+VLOOKUP($B68,'A1.3.2'!$B$27:$AY$106,35,))*$CR$5))</f>
        <v>38.303917442085528</v>
      </c>
      <c r="AE68" s="1565">
        <f>IF(ISERROR(MATCH($B68,'A1.3.2'!$B$27:$B$106,0)),"",VLOOKUP($B68,'Forecast occupancies'!$C$28:$CP$64,29,TRUE)*VLOOKUP($B68,'A1.3.2'!$B$27:$AY$106,49,)*$CR$5)</f>
        <v>21.35251705788307</v>
      </c>
      <c r="AF68" s="1565">
        <f>IF(ISERROR(MATCH($B68,'A1.3.2'!$B$27:$B$106,0)),"",VLOOKUP($B68,'Forecast occupancies'!$C$28:$CP$64,30,TRUE)*VLOOKUP($B68,'A1.3.2'!$B$27:$AY$106,50,)*$CR$5)</f>
        <v>15.373995926520095</v>
      </c>
      <c r="AG68" s="1566">
        <f>IF(ISERROR(MATCH($B68,'A1.3.2'!$B$27:$B$106,0)),"",(((AD68*'VoT5'!$F$28)+(AE68*'VoT5'!$F$29)+(AF68*'VoT5'!$F$30))/100))</f>
        <v>20.548403121635779</v>
      </c>
      <c r="AH68" s="1565">
        <f>IF(ISERROR(MATCH($B68,'A1.3.2'!$B$27:$B$106,0)),"",(VLOOKUP($B68,'Forecast occupancies'!$C$28:$CP$64,32,TRUE) * VLOOKUP($B68, 'A1.3.2'!$B$27:$AY$106,37,)) * $CR$5)</f>
        <v>27.594618426707388</v>
      </c>
      <c r="AI68" s="1565">
        <f>IF(ISERROR(MATCH($B68,'A1.3.2'!$B$27:$B$106,0)),"",VLOOKUP($B68,'Forecast occupancies'!$C$28:$CP$64,33,TRUE) * ('VoT5'!$J$29*VLOOKUP($B68, 'A1.3.2'!$B$27:$AY$106,49,)+'VoT5'!$J$30*VLOOKUP($B68, 'A1.3.2'!$B$27:$AY$106,50,))/('VoT5'!$J$29+'VoT5'!$J$30) * $CR$5)</f>
        <v>16.844321590801083</v>
      </c>
      <c r="AJ68" s="1566">
        <f>IF(ISERROR(MATCH($B68,'A1.3.2'!$B$27:$B$106,0)),"",(AH68*'VoT5'!$F$31 + AI68*'VoT5'!$F$32)/100)</f>
        <v>26.304582806398631</v>
      </c>
      <c r="AK68" s="1566">
        <f>IF(ISERROR(MATCH($B68,'A1.3.2'!$B$27:$B$106,0)),"",(VLOOKUP($B68,'Forecast occupancies'!$C$28:$CP$64,35,TRUE)*VLOOKUP($B68,'A1.3.2'!$B$27:$AY$106,38,)) * $CR$5)</f>
        <v>27.094253046284837</v>
      </c>
      <c r="AL68" s="1566">
        <f>IF(ISERROR(MATCH($B68,'A1.3.2'!$B$27:$B$106,0)),"",(VLOOKUP($B68,'Forecast occupancies'!$C$28:$CP$64,36,TRUE)*VLOOKUP($B68,'A1.3.2'!$B$27:$AY$106,38,)) * $CR$5)</f>
        <v>27.094253046284837</v>
      </c>
      <c r="AM68" s="1565">
        <f>IF(ISERROR(MATCH($B68,'A1.3.2'!$B$27:$B$106,0)),"",(((VLOOKUP($B68,'Forecast occupancies'!$C$28:$CP$64,37,TRUE) -1) * VLOOKUP($B68,'A1.3.2'!$B$27:$AY$106,40,)) + VLOOKUP($B68,'A1.3.2'!$B$27:$AY$106,39,)) * $CR$5)</f>
        <v>32.96255777712885</v>
      </c>
      <c r="AN68" s="1565">
        <f>IF(ISERROR(MATCH($B68,'A1.3.2'!$B$27:$B$106,0)),"",(VLOOKUP($B68,'Forecast occupancies'!$C$28:$CP$64,38,TRUE) * VLOOKUP($B68,'A1.3.2'!$B$27:$AY$106,49,)) * $CR$5)</f>
        <v>59.439698093247216</v>
      </c>
      <c r="AO68" s="1565">
        <f>IF(ISERROR(MATCH($B68,'A1.3.2'!$B$27:$B$106,0)),"",(VLOOKUP($B68,'Forecast occupancies'!$C$28:$CP$64,39,TRUE) * VLOOKUP($B68,'A1.3.2'!$B$27:$AY$106,50,)) * $CR$5)</f>
        <v>75.112076727470509</v>
      </c>
      <c r="AP68" s="1567">
        <f>IF(ISERROR(MATCH($B68,'A1.3.2'!$B$27:$B$106,0)),"",SUM(AM68:AO68))</f>
        <v>167.51433259784659</v>
      </c>
      <c r="AQ68" s="1609">
        <f>IF(ISERROR(MATCH($B68,'A1.3.2'!$B$27:$B$106,0)),"",(((VLOOKUP($B68,'Forecast occupancies'!$C$28:$CP$64,41,TRUE)-1)*VLOOKUP($B68,'A1.3.2'!$B$27:$AY$106,36,)+VLOOKUP($B68,'A1.3.2'!$B$27:$AY$106,35,))*$CR$5))</f>
        <v>39.028651391251621</v>
      </c>
      <c r="AR68" s="1565">
        <f>IF(ISERROR(MATCH($B68,'A1.3.2'!$B$27:$B$106,0)),"",VLOOKUP($B68,'Forecast occupancies'!$C$28:$CP$64,42,TRUE)*VLOOKUP($B68,'A1.3.2'!$B$27:$AY$106,49,)*$CR$5)</f>
        <v>21.665031480927357</v>
      </c>
      <c r="AS68" s="1565">
        <f>IF(ISERROR(MATCH($B68,'A1.3.2'!$B$27:$B$106,0)),"",VLOOKUP($B68,'Forecast occupancies'!$C$28:$CP$64,43,TRUE)*VLOOKUP($B68,'A1.3.2'!$B$27:$AY$106,50,)*$CR$5)</f>
        <v>15.319107389847538</v>
      </c>
      <c r="AT68" s="1566">
        <f>IF(ISERROR(MATCH($B68,'A1.3.2'!$B$27:$B$106,0)),"",(((AQ68*'VoT5'!$G$28)+(AR68*'VoT5'!$G$29)+(AS68*'VoT5'!$G$30))/100))</f>
        <v>20.818507768054712</v>
      </c>
      <c r="AU68" s="1565">
        <f>IF(ISERROR(MATCH($B68,'A1.3.2'!$B$27:$B$106,0)),"",(VLOOKUP($B68,'Forecast occupancies'!$C$28:$CP$64,45,TRUE) * VLOOKUP($B68, 'A1.3.2'!$B$27:$AY$106,37,)) * $CR$5)</f>
        <v>27.594618426707388</v>
      </c>
      <c r="AV68" s="1565">
        <f>IF(ISERROR(MATCH($B68,'A1.3.2'!$B$27:$B$106,0)),"",VLOOKUP($B68,'Forecast occupancies'!$C$28:$CP$64,46,TRUE) * ('VoT5'!$J$29*VLOOKUP($B68, 'A1.3.2'!$B$27:$AY$106,49,)+'VoT5'!$J$30*VLOOKUP($B68, 'A1.3.2'!$B$27:$AY$106,50,))/('VoT5'!$J$29+'VoT5'!$J$30) * $CR$5)</f>
        <v>16.844321590801083</v>
      </c>
      <c r="AW68" s="1566">
        <f>IF(ISERROR(MATCH($B68,'A1.3.2'!$B$27:$B$106,0)),"",(AU68*'VoT5'!$G$31 + AV68*'VoT5'!$G$32)/100)</f>
        <v>26.304582806398631</v>
      </c>
      <c r="AX68" s="1566">
        <f>IF(ISERROR(MATCH($B68,'A1.3.2'!$B$27:$B$106,0)),"",(VLOOKUP($B68,'Forecast occupancies'!$C$28:$CP$64,48,TRUE)*VLOOKUP($B68,'A1.3.2'!$B$27:$AY$106,38,)) * $CR$5)</f>
        <v>27.094253046284837</v>
      </c>
      <c r="AY68" s="1566">
        <f>IF(ISERROR(MATCH($B68,'A1.3.2'!$B$27:$B$106,0)),"",(VLOOKUP($B68,'Forecast occupancies'!$C$28:$CP$64,49,TRUE)*VLOOKUP($B68,'A1.3.2'!$B$27:$AY$106,38,)) * $CR$5)</f>
        <v>27.094253046284837</v>
      </c>
      <c r="AZ68" s="1565">
        <f>IF(ISERROR(MATCH($B68,'A1.3.2'!$B$27:$B$106,0)),"",(((VLOOKUP($B68,'Forecast occupancies'!$C$28:$CP$64,50,TRUE) -1) * VLOOKUP($B68,'A1.3.2'!$B$27:$AY$106,40,)) + VLOOKUP($B68,'A1.3.2'!$B$27:$AY$106,39,)) * $CR$5)</f>
        <v>32.935901841610303</v>
      </c>
      <c r="BA68" s="1565">
        <f>IF(ISERROR(MATCH($B68,'A1.3.2'!$B$27:$B$106,0)),"",(VLOOKUP($B68,'Forecast occupancies'!$C$28:$CP$64,51,TRUE) * VLOOKUP($B68,'A1.3.2'!$B$27:$AY$106,49,)) * $CR$5)</f>
        <v>81.252590838945864</v>
      </c>
      <c r="BB68" s="1565">
        <f>IF(ISERROR(MATCH($B68,'A1.3.2'!$B$27:$B$106,0)),"",(VLOOKUP($B68,'Forecast occupancies'!$C$28:$CP$64,52,TRUE) * VLOOKUP($B68,'A1.3.2'!$B$27:$AY$106,50,)) * $CR$5)</f>
        <v>65.168098335214538</v>
      </c>
      <c r="BC68" s="1567">
        <f>IF(ISERROR(MATCH($B68,'A1.3.2'!$B$27:$B$106,0)),"",SUM(AZ68:BB68))</f>
        <v>179.3565910157707</v>
      </c>
      <c r="BD68" s="1565">
        <f>IF(ISERROR(MATCH($B68,'A1.3.2'!$B$27:$B$106,0)),"",(((VLOOKUP($B68,'Forecast occupancies'!$C$28:$CP$64,54,TRUE)-1)*VLOOKUP($B68,'A1.3.2'!$B$27:$AY$106,36,)+VLOOKUP($B68,'A1.3.2'!$B$27:$AY$106,35,))*$CR$5))</f>
        <v>38.372071212032054</v>
      </c>
      <c r="BE68" s="1565">
        <f>IF(ISERROR(MATCH($B68,'A1.3.2'!$B$27:$B$106,0)),"",VLOOKUP($B68,'Forecast occupancies'!$C$28:$CP$64,55,TRUE)*VLOOKUP($B68,'A1.3.2'!$B$27:$AY$106,49,)*$CR$5)</f>
        <v>21.425115793718533</v>
      </c>
      <c r="BF68" s="1565">
        <f>IF(ISERROR(MATCH($B68,'A1.3.2'!$B$27:$B$106,0)),"",VLOOKUP($B68,'Forecast occupancies'!$C$28:$CP$64,56,TRUE)*VLOOKUP($B68,'A1.3.2'!$B$27:$AY$106,50,)*$CR$5)</f>
        <v>15.357170006146651</v>
      </c>
      <c r="BG68" s="1566">
        <f>IF(ISERROR(MATCH($B68,'A1.3.2'!$B$27:$B$106,0)),"",(((BD68*'VoT5'!$H$28)+(BE68*'VoT5'!$H$29)+(BF68*'VoT5'!$H$30))/100))</f>
        <v>20.668580651026168</v>
      </c>
      <c r="BH68" s="1565">
        <f>IF(ISERROR(MATCH($B68,'A1.3.2'!$B$27:$B$106,0)),"",(VLOOKUP($B68,'Forecast occupancies'!$C$28:$CP$64,58,TRUE) * VLOOKUP($B68, 'A1.3.2'!$B$27:$AY$106,37,)) * $CR$5)</f>
        <v>27.594618426707388</v>
      </c>
      <c r="BI68" s="1565">
        <f>IF(ISERROR(MATCH($B68,'A1.3.2'!$B$27:$B$106,0)),"",(VLOOKUP($B68,'Forecast occupancies'!$C$28:$CP$64,59,TRUE) * (VLOOKUP($B68,'A1.3.2'!$B$27:$AY$106,49,) * 'VoT5'!$J$29 + VLOOKUP($B68,'A1.3.2'!$B$27:$AY$106,50,) * 'VoT5'!$J$30) / (SUM('VoT5'!$J$29:$J$30))) * $CR$5)</f>
        <v>16.844321590801083</v>
      </c>
      <c r="BJ68" s="1566">
        <f>IF(ISERROR(MATCH($B68,'A1.3.2'!$B$27:$B$106,0)),"",(BH68*'VoT5'!$H$31 + BI68*'VoT5'!$H$32)/100)</f>
        <v>26.304582806398631</v>
      </c>
      <c r="BK68" s="1566">
        <f>IF(ISERROR(MATCH($B68,'A1.3.2'!$B$27:$B$106,0)),"",(VLOOKUP($B68,'Forecast occupancies'!$C$28:$CP$64,61,TRUE)*VLOOKUP($B68,'A1.3.2'!$B$27:$AY$106,38,)) * $CR$5)</f>
        <v>27.094253046284837</v>
      </c>
      <c r="BL68" s="1566">
        <f>IF(ISERROR(MATCH($B68,'A1.3.2'!$B$27:$B$106,0)),"",(VLOOKUP($B68,'Forecast occupancies'!$C$28:$CP$64,62,TRUE)*VLOOKUP($B68,'A1.3.2'!$B$27:$AY$106,38,)) * $CR$5)</f>
        <v>27.094253046284837</v>
      </c>
      <c r="BM68" s="1565">
        <f>IF(ISERROR(MATCH($B68,'A1.3.2'!$B$27:$B$106,0)),"",(((VLOOKUP($B68,'Forecast occupancies'!$C$28:$CP$64,63,TRUE) -1) * VLOOKUP($B68,'A1.3.2'!$B$27:$AY$106,40,)) + VLOOKUP($B68,'A1.3.2'!$B$27:$AY$106,39,)) * $CR$5)</f>
        <v>31.756508731389303</v>
      </c>
      <c r="BN68" s="1565">
        <f>IF(ISERROR(MATCH($B68,'A1.3.2'!$B$27:$B$106,0)),"",(VLOOKUP($B68,'Forecast occupancies'!$C$28:$CP$64,64,TRUE) * VLOOKUP($B68,'A1.3.2'!$B$27:$AY$106,49,)) * $CR$5)</f>
        <v>36.680141597157103</v>
      </c>
      <c r="BO68" s="1565">
        <f>IF(ISERROR(MATCH($B68,'A1.3.2'!$B$27:$B$106,0)),"",(VLOOKUP($B68,'Forecast occupancies'!$C$28:$CP$64,65,TRUE) * VLOOKUP($B68,'A1.3.2'!$B$27:$AY$106,50,)) * $CR$5)</f>
        <v>86.046802506401662</v>
      </c>
      <c r="BP68" s="1567">
        <f>IF(ISERROR(MATCH($B68,'A1.3.2'!$B$27:$B$106,0)),"",SUM(BM68:BO68))</f>
        <v>154.48345283494808</v>
      </c>
      <c r="BQ68" s="1565">
        <f>IF(ISERROR(MATCH($B68,'A1.3.2'!$B$27:$B$106,0)),"",(((VLOOKUP($B68,'Forecast occupancies'!$C$28:$CP$64,67,TRUE)-1)*VLOOKUP($B68,'A1.3.2'!$B$27:$AY$106,36,)+VLOOKUP($B68,'A1.3.2'!$B$27:$AY$106,35,))*$CR$5))</f>
        <v>43.854473826326554</v>
      </c>
      <c r="BR68" s="1565">
        <f>IF(ISERROR(MATCH($B68,'A1.3.2'!$B$27:$B$106,0)),"",VLOOKUP($B68,'Forecast occupancies'!$C$28:$CP$64,68,TRUE)*VLOOKUP($B68,'A1.3.2'!$B$27:$AY$106,49,)*$CR$5)</f>
        <v>22.683882743391287</v>
      </c>
      <c r="BS68" s="1565">
        <f>IF(ISERROR(MATCH($B68,'A1.3.2'!$B$27:$B$106,0)),"",VLOOKUP($B68,'Forecast occupancies'!$C$28:$CP$64,69,TRUE)*VLOOKUP($B68,'A1.3.2'!$B$27:$AY$106,50,)*$CR$5)</f>
        <v>18.183259490967327</v>
      </c>
      <c r="BT68" s="1566">
        <f>IF(ISERROR(MATCH($B68,'A1.3.2'!$B$27:$B$106,0)),"",(((BQ68*'VoT5'!$I$28)+(BR68*'VoT5'!$I$29)+(BS68*'VoT5'!$I$30))/100))</f>
        <v>19.429959483317191</v>
      </c>
      <c r="BU68" s="1565">
        <f>IF(ISERROR(MATCH($B68,'A1.3.2'!$B$27:$B$106,0)),"",(VLOOKUP($B68,'Forecast occupancies'!$C$28:$CP$64,71,TRUE) * VLOOKUP($B68, 'A1.3.2'!$B$27:$AY$106,37,)) * $CR$5)</f>
        <v>28.974349348042757</v>
      </c>
      <c r="BV68" s="1565">
        <f>IF(ISERROR(MATCH($B68,'A1.3.2'!$B$27:$B$106,0)),"",(VLOOKUP($B68,'Forecast occupancies'!$C$28:$CP$64,72,TRUE) * (VLOOKUP($B68,'A1.3.2'!$B$27:$AY$106,49,)*'VoT5'!$J$29 + VLOOKUP($B68,'A1.3.2'!$B$27:$AY$106,50,)*'VoT5'!$J$30) / (SUM('VoT5'!$J$29:$J$30))) * $CR$5)</f>
        <v>23.420529335154932</v>
      </c>
      <c r="BW68" s="1566">
        <f>IF(ISERROR(MATCH($B68,'A1.3.2'!$B$27:$B$106,0)),"",(BU68*'VoT5'!$I$31 + BV68*'VoT5'!$I$32)/100)</f>
        <v>28.307890946496219</v>
      </c>
      <c r="BX68" s="1566">
        <f>IF(ISERROR(MATCH($B68,'A1.3.2'!$B$27:$B$106,0)),"",(VLOOKUP($B68,'Forecast occupancies'!$C$28:$CP$64,74,TRUE)*VLOOKUP($B68,'A1.3.2'!$B$27:$AY$106,38,)) * $CR$5)</f>
        <v>27.094253046284837</v>
      </c>
      <c r="BY68" s="1566">
        <f>IF(ISERROR(MATCH($B68,'A1.3.2'!$B$27:$B$106,0)),"",(VLOOKUP($B68,'Forecast occupancies'!$C$28:$CP$64,75,TRUE)*VLOOKUP($B68,'A1.3.2'!$B$27:$AY$106,38,)) * $CR$5)</f>
        <v>27.094253046284837</v>
      </c>
      <c r="BZ68" s="1565">
        <f>IF(ISERROR(MATCH($B68,'A1.3.2'!$B$27:$B$106,0)),"",(((VLOOKUP($B68,'Forecast occupancies'!$C$28:$CP$64,76,TRUE) -1) * VLOOKUP($B68,'A1.3.2'!$B$27:$AY$106,40,)) + VLOOKUP($B68,'A1.3.2'!$B$27:$AY$106,39,)) * $CR$5)</f>
        <v>28.921741546288743</v>
      </c>
      <c r="CA68" s="1565">
        <f>IF(ISERROR(MATCH($B68,'A1.3.2'!$B$27:$B$106,0)),"",(VLOOKUP($B68,'Forecast occupancies'!$C$28:$CP$64,77,TRUE) * VLOOKUP($B68,'A1.3.2'!$B$27:$AY$106,49,)) * $CR$5)</f>
        <v>13.895853031589196</v>
      </c>
      <c r="CB68" s="1565">
        <f>IF(ISERROR(MATCH($B68,'A1.3.2'!$B$27:$B$106,0)),"",(VLOOKUP($B68,'Forecast occupancies'!$C$28:$CP$64,78,TRUE) * VLOOKUP($B68,'A1.3.2'!$B$27:$AY$106,50,)) * $CR$5)</f>
        <v>97.730951466566907</v>
      </c>
      <c r="CC68" s="1567">
        <f>IF(ISERROR(MATCH($B68,'A1.3.2'!$B$27:$B$106,0)),"",SUM(BZ68:CB68))</f>
        <v>140.54854604444483</v>
      </c>
      <c r="CD68" s="1565">
        <f>IF(ISERROR(MATCH($B68,'A1.3.2'!$B$27:$B$106,0)),"",(((VLOOKUP($B68,'Forecast occupancies'!$C$28:$CP$64,80,TRUE)-1)*VLOOKUP($B68,'A1.3.2'!$B$27:$AY$106,36,)+VLOOKUP($B68,'A1.3.2'!$B$27:$AY$106,35,))*$CR$5))</f>
        <v>38.76122748613389</v>
      </c>
      <c r="CE68" s="1565">
        <f>IF(ISERROR(MATCH($B68,'A1.3.2'!$B$27:$B$106,0)),"",VLOOKUP($B68,'Forecast occupancies'!$C$28:$CP$64,81,TRUE)*VLOOKUP($B68,'A1.3.2'!$B$27:$AY$106,49,)*$CR$5)</f>
        <v>21.526950869690172</v>
      </c>
      <c r="CF68" s="1565">
        <f>IF(ISERROR(MATCH($B68,'A1.3.2'!$B$27:$B$106,0)),"",VLOOKUP($B68,'Forecast occupancies'!$C$28:$CP$64,82,TRUE)*VLOOKUP($B68,'A1.3.2'!$B$27:$AY$106,50,)*$CR$5)</f>
        <v>16.354407748343931</v>
      </c>
      <c r="CG68" s="1566">
        <f>IF(ISERROR(MATCH($B68,'A1.3.2'!$B$27:$B$106,0)),"",(((CD68*'VoT5'!$J$28)+(CE68*'VoT5'!$J$29)+(CF68*'VoT5'!$J$30))/100))</f>
        <v>20.374909454461751</v>
      </c>
      <c r="CH68" s="1565">
        <f>IF(ISERROR(MATCH($B68,'A1.3.2'!$B$27:$B$106,0)),"",(VLOOKUP($B68,'Forecast occupancies'!$C$28:$CP$64,84,TRUE) * VLOOKUP($B68, 'A1.3.2'!$B$27:$AY$106,37,)) * $CR$5)</f>
        <v>27.594618426707388</v>
      </c>
      <c r="CI68" s="1565">
        <f>IF(ISERROR(MATCH($B68,'A1.3.2'!$B$27:$B$106,0)),"",(VLOOKUP($B68,'Forecast occupancies'!$C$28:$CP$64,85,TRUE) * (VLOOKUP($B68,'A1.3.2'!$B$27:$AY$106,49,)*'VoT5'!$J$29 + VLOOKUP($B68,'A1.3.2'!$B$27:$AY$106,50,)*'VoT5'!$J$30) / (SUM('VoT5'!$J$29:$J$30))) * $CR$5)</f>
        <v>18.344158444776525</v>
      </c>
      <c r="CJ68" s="1566">
        <f>IF(ISERROR(MATCH($B68,'A1.3.2'!$B$27:$B$106,0)),"",(CH68*'VoT5'!$J$31 + CI68*'VoT5'!$J$32)/100)</f>
        <v>26.484563228875682</v>
      </c>
      <c r="CK68" s="1566">
        <f>IF(ISERROR(MATCH($B68,'A1.3.2'!$B$27:$B$106,0)),"",(VLOOKUP($B68,'Forecast occupancies'!$C$28:$CP$64,87,TRUE)*VLOOKUP($B68,'A1.3.2'!$B$27:$AY$106,38,)) * $CR$5)</f>
        <v>27.094253046284837</v>
      </c>
      <c r="CL68" s="1566">
        <f>IF(ISERROR(MATCH($B68,'A1.3.2'!$B$27:$B$106,0)),"",(VLOOKUP($B68,'Forecast occupancies'!$C$28:$CP$64,88,TRUE)*VLOOKUP($B68,'A1.3.2'!$B$27:$AY$106,38,)) * $CR$5)</f>
        <v>27.094253046284837</v>
      </c>
      <c r="CM68" s="1565">
        <f>IF(ISERROR(MATCH($B68,'A1.3.2'!$B$27:$B$106,0)),"",(((VLOOKUP($B68,'Forecast occupancies'!$C$28:$CP$64,89,TRUE) -1) * VLOOKUP($B68,'A1.3.2'!$B$27:$AY$106,40,)) + VLOOKUP($B68,'A1.3.2'!$B$27:$AY$106,39,)) * $CR$5)</f>
        <v>31.056488770665116</v>
      </c>
      <c r="CN68" s="1565">
        <f>IF(ISERROR(MATCH($B68,'A1.3.2'!$B$27:$B$106,0)),"",(VLOOKUP($B68,'Forecast occupancies'!$C$28:$CP$64,90,TRUE) * VLOOKUP($B68,'A1.3.2'!$B$27:$AY$106,49,)) * $CR$5)</f>
        <v>31.052684604727659</v>
      </c>
      <c r="CO68" s="1565">
        <f>IF(ISERROR(MATCH($B68,'A1.3.2'!$B$27:$B$106,0)),"",(VLOOKUP($B68,'Forecast occupancies'!$C$28:$CP$64,91,TRUE) * VLOOKUP($B68,'A1.3.2'!$B$27:$AY$106,50,)) * $CR$5)</f>
        <v>88.932591659236735</v>
      </c>
      <c r="CP68" s="1567">
        <f>IF(ISERROR(MATCH($B68,'A1.3.2'!$B$27:$B$106,0)),"",SUM(CM68:CO68))</f>
        <v>151.04176503462952</v>
      </c>
    </row>
    <row r="69" spans="1:94" s="26" customFormat="1" ht="13.5" customHeight="1">
      <c r="A69" s="113"/>
      <c r="B69" s="82">
        <f t="shared" si="0"/>
        <v>2051</v>
      </c>
      <c r="D69" s="1609">
        <f>IF(ISERROR(MATCH($B69,'A1.3.2'!$B$27:$B$106,0)),"",(((VLOOKUP($B69,'Forecast occupancies'!$C$28:$CP$64,2,TRUE) -1) * VLOOKUP($B69,'A1.3.2'!$B$27:$AY$106,36,) + VLOOKUP($B69,'A1.3.2'!$B$27:$AY$106,35,)) * $CR$5))</f>
        <v>38.505847571951193</v>
      </c>
      <c r="E69" s="1565">
        <f>IF(ISERROR(MATCH($B69,'A1.3.2'!$B$27:$B$106,0)),"",VLOOKUP($B69,'Forecast occupancies'!$C$28:$CP$64,3,TRUE)*VLOOKUP($B69,'A1.3.2'!$B$27:$AY$106,49,)*$CR$5)</f>
        <v>21.700005827972674</v>
      </c>
      <c r="F69" s="1565">
        <f>IF(ISERROR(MATCH($B69,'A1.3.2'!$B$27:$B$106,0)),"",VLOOKUP($B69,'Forecast occupancies'!$C$28:$CP$64,4,TRUE)*VLOOKUP($B69,'A1.3.2'!$B$27:$AY$106,50,)*$CR$5)</f>
        <v>14.971322854269596</v>
      </c>
      <c r="G69" s="1566">
        <f>IF(ISERROR(MATCH($B69,'A1.3.2'!$B$27:$B$106,0)),"",(((D69*'VoT5'!$D$28)+(E69*'VoT5'!$D$29)+(F69*'VoT5'!$D$30))/100))</f>
        <v>21.809901576729327</v>
      </c>
      <c r="H69" s="1565">
        <f>IF(ISERROR(MATCH($B69,'A1.3.2'!$B$27:$B$106,0)),"",(VLOOKUP($B69,'Forecast occupancies'!$C$28:$CP$64,6,TRUE) * VLOOKUP($B69, 'A1.3.2'!$B$27:$AY$106,37,)) * $CR$5)</f>
        <v>28.140423243244431</v>
      </c>
      <c r="I69" s="1565">
        <f>IF(ISERROR(MATCH($B69,'A1.3.2'!$B$27:$B$106,0)),"",VLOOKUP($B69,'Forecast occupancies'!$C$28:$CP$64,7,TRUE) * ('VoT5'!$J$29*VLOOKUP($B69, 'A1.3.2'!$B$27:$AY$106,49,)+'VoT5'!$J$30*VLOOKUP($B69, 'A1.3.2'!$B$27:$AY$106,50,))/('VoT5'!$J$29+'VoT5'!$J$30) * $CR$5)</f>
        <v>17.177492055903802</v>
      </c>
      <c r="J69" s="1566">
        <f>IF(ISERROR(MATCH($B69,'A1.3.2'!$B$27:$B$106,0)),"",(H69*'VoT5'!$D$31 + I69*'VoT5'!$D$32)/100)</f>
        <v>26.824871500763553</v>
      </c>
      <c r="K69" s="1566">
        <f>IF(ISERROR(MATCH($B69,'A1.3.2'!$B$27:$B$106,0)),"",(VLOOKUP($B69,'Forecast occupancies'!$C$28:$CP$64,9,TRUE)*VLOOKUP($B69,'A1.3.2'!$B$27:$AY$106,38,)) * $CR$5)</f>
        <v>27.630160939065231</v>
      </c>
      <c r="L69" s="1566">
        <f>IF(ISERROR(MATCH($B69,'A1.3.2'!$B$27:$B$106,0)),"",(VLOOKUP($B69,'Forecast occupancies'!$C$28:$CP$64,10,TRUE)*VLOOKUP($B69,'A1.3.2'!$B$27:$AY$106,38,)) * $CR$5)</f>
        <v>27.630160939065231</v>
      </c>
      <c r="M69" s="1565">
        <f>IF(ISERROR(MATCH($B69,'A1.3.2'!$B$27:$B$106,0)),"",(((VLOOKUP($B69,'Forecast occupancies'!$C$28:$CP$64,11,TRUE) -1) * VLOOKUP($B69,'A1.3.2'!$B$27:$AY$106,40,)) + VLOOKUP($B69,'A1.3.2'!$B$27:$AY$106,39,)) * $CR$5)</f>
        <v>31.48481819784319</v>
      </c>
      <c r="N69" s="1565">
        <f>IF(ISERROR(MATCH($B69,'A1.3.2'!$B$27:$B$106,0)),"",(VLOOKUP($B69,'Forecast occupancies'!$C$28:$CP$64,12,TRUE) * VLOOKUP($B69,'A1.3.2'!$B$27:$AY$106,49,)) * $CR$5)</f>
        <v>43.100360985060611</v>
      </c>
      <c r="O69" s="1565">
        <f>IF(ISERROR(MATCH($B69,'A1.3.2'!$B$27:$B$106,0)),"",(VLOOKUP($B69,'Forecast occupancies'!$C$28:$CP$64,13,TRUE) * VLOOKUP($B69,'A1.3.2'!$B$27:$AY$106,50,)) * $CR$5)</f>
        <v>85.557316223766037</v>
      </c>
      <c r="P69" s="1567">
        <f>IF(ISERROR(MATCH($B69,'A1.3.2'!$B$27:$B$106,0)),"",SUM(M69:O69))</f>
        <v>160.14249540666984</v>
      </c>
      <c r="Q69" s="1609">
        <f>IF(ISERROR(MATCH($B69,'A1.3.2'!$B$27:$B$106,0)),"",(((VLOOKUP($B69,'Forecast occupancies'!$C$28:$CP$64,15,TRUE)-1)*VLOOKUP($B69,'A1.3.2'!$B$27:$AY$106,36,)+VLOOKUP($B69,'A1.3.2'!$B$27:$AY$106,35,))*$CR$5))</f>
        <v>39.457812633372768</v>
      </c>
      <c r="R69" s="1565">
        <f>IF(ISERROR(MATCH($B69,'A1.3.2'!$B$27:$B$106,0)),"",VLOOKUP($B69,'Forecast occupancies'!$C$28:$CP$64,16,TRUE)*VLOOKUP($B69,'A1.3.2'!$B$27:$AY$106,49,)*$CR$5)</f>
        <v>22.052849946267873</v>
      </c>
      <c r="S69" s="1565">
        <f>IF(ISERROR(MATCH($B69,'A1.3.2'!$B$27:$B$106,0)),"",VLOOKUP($B69,'Forecast occupancies'!$C$28:$CP$64,17,TRUE)*VLOOKUP($B69,'A1.3.2'!$B$27:$AY$106,50,)*$CR$5)</f>
        <v>15.947995367239164</v>
      </c>
      <c r="T69" s="1566">
        <f>IF(ISERROR(MATCH($B69,'A1.3.2'!$B$27:$B$106,0)),"",(((Q69*'VoT5'!$E$28)+(R69*'VoT5'!$E$29)+(S69*'VoT5'!$E$30))/100))</f>
        <v>20.540775407626843</v>
      </c>
      <c r="U69" s="1565">
        <f>IF(ISERROR(MATCH($B69,'A1.3.2'!$B$27:$B$106,0)),"",(VLOOKUP($B69,'Forecast occupancies'!$C$28:$CP$64,19,TRUE) * VLOOKUP($B69, 'A1.3.2'!$B$27:$AY$106,37,)) * $CR$5)</f>
        <v>28.140423243244431</v>
      </c>
      <c r="V69" s="1565">
        <f>IF(ISERROR(MATCH($B69,'A1.3.2'!$B$27:$B$106,0)),"",VLOOKUP($B69,'Forecast occupancies'!$C$28:$CP$64,20,TRUE) * ('VoT5'!$J$29*VLOOKUP($B69, 'A1.3.2'!$B$27:$AY$106,49,)+'VoT5'!$J$30*VLOOKUP($B69, 'A1.3.2'!$B$27:$AY$106,50,))/('VoT5'!$J$29+'VoT5'!$J$30) * $CR$5)</f>
        <v>17.177492055903802</v>
      </c>
      <c r="W69" s="1566">
        <f>IF(ISERROR(MATCH($B69,'A1.3.2'!$B$27:$B$106,0)),"",(U69*'VoT5'!$E$31 + V69*'VoT5'!$E$32)/100)</f>
        <v>26.824871500763553</v>
      </c>
      <c r="X69" s="1566">
        <f>IF(ISERROR(MATCH($B69,'A1.3.2'!$B$27:$B$106,0)),"",(VLOOKUP($B69,'Forecast occupancies'!$C$28:$CP$64,22,TRUE)*VLOOKUP($B69,'A1.3.2'!$B$27:$AY$106,38,)) * $CR$5)</f>
        <v>27.630160939065231</v>
      </c>
      <c r="Y69" s="1566">
        <f>IF(ISERROR(MATCH($B69,'A1.3.2'!$B$27:$B$106,0)),"",(VLOOKUP($B69,'Forecast occupancies'!$C$28:$CP$64,23,TRUE)*VLOOKUP($B69,'A1.3.2'!$B$27:$AY$106,38,)) * $CR$5)</f>
        <v>27.630160939065231</v>
      </c>
      <c r="Z69" s="1565">
        <f>IF(ISERROR(MATCH($B69,'A1.3.2'!$B$27:$B$106,0)),"",(((VLOOKUP($B69,'Forecast occupancies'!$C$28:$CP$64,24,TRUE) -1) * VLOOKUP($B69,'A1.3.2'!$B$27:$AY$106,40,)) + VLOOKUP($B69,'A1.3.2'!$B$27:$AY$106,39,)) * $CR$5)</f>
        <v>32.12745133595071</v>
      </c>
      <c r="AA69" s="1565">
        <f>IF(ISERROR(MATCH($B69,'A1.3.2'!$B$27:$B$106,0)),"",(VLOOKUP($B69,'Forecast occupancies'!$C$28:$CP$64,25,TRUE) * VLOOKUP($B69,'A1.3.2'!$B$27:$AY$106,49,)) * $CR$5)</f>
        <v>15.105305006669496</v>
      </c>
      <c r="AB69" s="1565">
        <f>IF(ISERROR(MATCH($B69,'A1.3.2'!$B$27:$B$106,0)),"",(VLOOKUP($B69,'Forecast occupancies'!$C$28:$CP$64,26,TRUE) * VLOOKUP($B69,'A1.3.2'!$B$27:$AY$106,50,)) * $CR$5)</f>
        <v>98.043858702602876</v>
      </c>
      <c r="AC69" s="1567">
        <f>IF(ISERROR(MATCH($B69,'A1.3.2'!$B$27:$B$106,0)),"",SUM(Z69:AB69))</f>
        <v>145.27661504522308</v>
      </c>
      <c r="AD69" s="1609">
        <f>IF(ISERROR(MATCH($B69,'A1.3.2'!$B$27:$B$106,0)),"",(((VLOOKUP($B69,'Forecast occupancies'!$C$28:$CP$64,28,TRUE)-1)*VLOOKUP($B69,'A1.3.2'!$B$27:$AY$106,36,)+VLOOKUP($B69,'A1.3.2'!$B$27:$AY$106,35,))*$CR$5))</f>
        <v>39.061545698031736</v>
      </c>
      <c r="AE69" s="1565">
        <f>IF(ISERROR(MATCH($B69,'A1.3.2'!$B$27:$B$106,0)),"",VLOOKUP($B69,'Forecast occupancies'!$C$28:$CP$64,29,TRUE)*VLOOKUP($B69,'A1.3.2'!$B$27:$AY$106,49,)*$CR$5)</f>
        <v>21.774856895135624</v>
      </c>
      <c r="AF69" s="1565">
        <f>IF(ISERROR(MATCH($B69,'A1.3.2'!$B$27:$B$106,0)),"",VLOOKUP($B69,'Forecast occupancies'!$C$28:$CP$64,30,TRUE)*VLOOKUP($B69,'A1.3.2'!$B$27:$AY$106,50,)*$CR$5)</f>
        <v>15.678084241725573</v>
      </c>
      <c r="AG69" s="1566">
        <f>IF(ISERROR(MATCH($B69,'A1.3.2'!$B$27:$B$106,0)),"",(((AD69*'VoT5'!$F$28)+(AE69*'VoT5'!$F$29)+(AF69*'VoT5'!$F$30))/100))</f>
        <v>20.954838072918843</v>
      </c>
      <c r="AH69" s="1565">
        <f>IF(ISERROR(MATCH($B69,'A1.3.2'!$B$27:$B$106,0)),"",(VLOOKUP($B69,'Forecast occupancies'!$C$28:$CP$64,32,TRUE) * VLOOKUP($B69, 'A1.3.2'!$B$27:$AY$106,37,)) * $CR$5)</f>
        <v>28.140423243244431</v>
      </c>
      <c r="AI69" s="1565">
        <f>IF(ISERROR(MATCH($B69,'A1.3.2'!$B$27:$B$106,0)),"",VLOOKUP($B69,'Forecast occupancies'!$C$28:$CP$64,33,TRUE) * ('VoT5'!$J$29*VLOOKUP($B69, 'A1.3.2'!$B$27:$AY$106,49,)+'VoT5'!$J$30*VLOOKUP($B69, 'A1.3.2'!$B$27:$AY$106,50,))/('VoT5'!$J$29+'VoT5'!$J$30) * $CR$5)</f>
        <v>17.177492055903802</v>
      </c>
      <c r="AJ69" s="1566">
        <f>IF(ISERROR(MATCH($B69,'A1.3.2'!$B$27:$B$106,0)),"",(AH69*'VoT5'!$F$31 + AI69*'VoT5'!$F$32)/100)</f>
        <v>26.824871500763553</v>
      </c>
      <c r="AK69" s="1566">
        <f>IF(ISERROR(MATCH($B69,'A1.3.2'!$B$27:$B$106,0)),"",(VLOOKUP($B69,'Forecast occupancies'!$C$28:$CP$64,35,TRUE)*VLOOKUP($B69,'A1.3.2'!$B$27:$AY$106,38,)) * $CR$5)</f>
        <v>27.630160939065231</v>
      </c>
      <c r="AL69" s="1566">
        <f>IF(ISERROR(MATCH($B69,'A1.3.2'!$B$27:$B$106,0)),"",(VLOOKUP($B69,'Forecast occupancies'!$C$28:$CP$64,36,TRUE)*VLOOKUP($B69,'A1.3.2'!$B$27:$AY$106,38,)) * $CR$5)</f>
        <v>27.630160939065231</v>
      </c>
      <c r="AM69" s="1565">
        <f>IF(ISERROR(MATCH($B69,'A1.3.2'!$B$27:$B$106,0)),"",(((VLOOKUP($B69,'Forecast occupancies'!$C$28:$CP$64,37,TRUE) -1) * VLOOKUP($B69,'A1.3.2'!$B$27:$AY$106,40,)) + VLOOKUP($B69,'A1.3.2'!$B$27:$AY$106,39,)) * $CR$5)</f>
        <v>33.61453717839953</v>
      </c>
      <c r="AN69" s="1565">
        <f>IF(ISERROR(MATCH($B69,'A1.3.2'!$B$27:$B$106,0)),"",(VLOOKUP($B69,'Forecast occupancies'!$C$28:$CP$64,38,TRUE) * VLOOKUP($B69,'A1.3.2'!$B$27:$AY$106,49,)) * $CR$5)</f>
        <v>60.615379271770145</v>
      </c>
      <c r="AO69" s="1565">
        <f>IF(ISERROR(MATCH($B69,'A1.3.2'!$B$27:$B$106,0)),"",(VLOOKUP($B69,'Forecast occupancies'!$C$28:$CP$64,39,TRUE) * VLOOKUP($B69,'A1.3.2'!$B$27:$AY$106,50,)) * $CR$5)</f>
        <v>76.597748050190248</v>
      </c>
      <c r="AP69" s="1567">
        <f>IF(ISERROR(MATCH($B69,'A1.3.2'!$B$27:$B$106,0)),"",SUM(AM69:AO69))</f>
        <v>170.8276645003599</v>
      </c>
      <c r="AQ69" s="1609">
        <f>IF(ISERROR(MATCH($B69,'A1.3.2'!$B$27:$B$106,0)),"",(((VLOOKUP($B69,'Forecast occupancies'!$C$28:$CP$64,41,TRUE)-1)*VLOOKUP($B69,'A1.3.2'!$B$27:$AY$106,36,)+VLOOKUP($B69,'A1.3.2'!$B$27:$AY$106,35,))*$CR$5))</f>
        <v>39.800614445166261</v>
      </c>
      <c r="AR69" s="1565">
        <f>IF(ISERROR(MATCH($B69,'A1.3.2'!$B$27:$B$106,0)),"",VLOOKUP($B69,'Forecast occupancies'!$C$28:$CP$64,42,TRUE)*VLOOKUP($B69,'A1.3.2'!$B$27:$AY$106,49,)*$CR$5)</f>
        <v>22.093552663929909</v>
      </c>
      <c r="AS69" s="1565">
        <f>IF(ISERROR(MATCH($B69,'A1.3.2'!$B$27:$B$106,0)),"",VLOOKUP($B69,'Forecast occupancies'!$C$28:$CP$64,43,TRUE)*VLOOKUP($B69,'A1.3.2'!$B$27:$AY$106,50,)*$CR$5)</f>
        <v>15.622110043087147</v>
      </c>
      <c r="AT69" s="1566">
        <f>IF(ISERROR(MATCH($B69,'A1.3.2'!$B$27:$B$106,0)),"",(((AQ69*'VoT5'!$G$28)+(AR69*'VoT5'!$G$29)+(AS69*'VoT5'!$G$30))/100))</f>
        <v>21.230285225427359</v>
      </c>
      <c r="AU69" s="1565">
        <f>IF(ISERROR(MATCH($B69,'A1.3.2'!$B$27:$B$106,0)),"",(VLOOKUP($B69,'Forecast occupancies'!$C$28:$CP$64,45,TRUE) * VLOOKUP($B69, 'A1.3.2'!$B$27:$AY$106,37,)) * $CR$5)</f>
        <v>28.140423243244431</v>
      </c>
      <c r="AV69" s="1565">
        <f>IF(ISERROR(MATCH($B69,'A1.3.2'!$B$27:$B$106,0)),"",VLOOKUP($B69,'Forecast occupancies'!$C$28:$CP$64,46,TRUE) * ('VoT5'!$J$29*VLOOKUP($B69, 'A1.3.2'!$B$27:$AY$106,49,)+'VoT5'!$J$30*VLOOKUP($B69, 'A1.3.2'!$B$27:$AY$106,50,))/('VoT5'!$J$29+'VoT5'!$J$30) * $CR$5)</f>
        <v>17.177492055903802</v>
      </c>
      <c r="AW69" s="1566">
        <f>IF(ISERROR(MATCH($B69,'A1.3.2'!$B$27:$B$106,0)),"",(AU69*'VoT5'!$G$31 + AV69*'VoT5'!$G$32)/100)</f>
        <v>26.824871500763553</v>
      </c>
      <c r="AX69" s="1566">
        <f>IF(ISERROR(MATCH($B69,'A1.3.2'!$B$27:$B$106,0)),"",(VLOOKUP($B69,'Forecast occupancies'!$C$28:$CP$64,48,TRUE)*VLOOKUP($B69,'A1.3.2'!$B$27:$AY$106,38,)) * $CR$5)</f>
        <v>27.630160939065231</v>
      </c>
      <c r="AY69" s="1566">
        <f>IF(ISERROR(MATCH($B69,'A1.3.2'!$B$27:$B$106,0)),"",(VLOOKUP($B69,'Forecast occupancies'!$C$28:$CP$64,49,TRUE)*VLOOKUP($B69,'A1.3.2'!$B$27:$AY$106,38,)) * $CR$5)</f>
        <v>27.630160939065231</v>
      </c>
      <c r="AZ69" s="1565">
        <f>IF(ISERROR(MATCH($B69,'A1.3.2'!$B$27:$B$106,0)),"",(((VLOOKUP($B69,'Forecast occupancies'!$C$28:$CP$64,50,TRUE) -1) * VLOOKUP($B69,'A1.3.2'!$B$27:$AY$106,40,)) + VLOOKUP($B69,'A1.3.2'!$B$27:$AY$106,39,)) * $CR$5)</f>
        <v>33.587354004643053</v>
      </c>
      <c r="BA69" s="1565">
        <f>IF(ISERROR(MATCH($B69,'A1.3.2'!$B$27:$B$106,0)),"",(VLOOKUP($B69,'Forecast occupancies'!$C$28:$CP$64,51,TRUE) * VLOOKUP($B69,'A1.3.2'!$B$27:$AY$106,49,)) * $CR$5)</f>
        <v>82.859717806611698</v>
      </c>
      <c r="BB69" s="1565">
        <f>IF(ISERROR(MATCH($B69,'A1.3.2'!$B$27:$B$106,0)),"",(VLOOKUP($B69,'Forecast occupancies'!$C$28:$CP$64,52,TRUE) * VLOOKUP($B69,'A1.3.2'!$B$27:$AY$106,50,)) * $CR$5)</f>
        <v>66.457083796288856</v>
      </c>
      <c r="BC69" s="1567">
        <f>IF(ISERROR(MATCH($B69,'A1.3.2'!$B$27:$B$106,0)),"",SUM(AZ69:BB69))</f>
        <v>182.9041556075436</v>
      </c>
      <c r="BD69" s="1565">
        <f>IF(ISERROR(MATCH($B69,'A1.3.2'!$B$27:$B$106,0)),"",(((VLOOKUP($B69,'Forecast occupancies'!$C$28:$CP$64,54,TRUE)-1)*VLOOKUP($B69,'A1.3.2'!$B$27:$AY$106,36,)+VLOOKUP($B69,'A1.3.2'!$B$27:$AY$106,35,))*$CR$5))</f>
        <v>39.131047508213022</v>
      </c>
      <c r="BE69" s="1565">
        <f>IF(ISERROR(MATCH($B69,'A1.3.2'!$B$27:$B$106,0)),"",VLOOKUP($B69,'Forecast occupancies'!$C$28:$CP$64,55,TRUE)*VLOOKUP($B69,'A1.3.2'!$B$27:$AY$106,49,)*$CR$5)</f>
        <v>21.848891589935285</v>
      </c>
      <c r="BF69" s="1565">
        <f>IF(ISERROR(MATCH($B69,'A1.3.2'!$B$27:$B$106,0)),"",VLOOKUP($B69,'Forecast occupancies'!$C$28:$CP$64,56,TRUE)*VLOOKUP($B69,'A1.3.2'!$B$27:$AY$106,50,)*$CR$5)</f>
        <v>15.660925514851945</v>
      </c>
      <c r="BG69" s="1566">
        <f>IF(ISERROR(MATCH($B69,'A1.3.2'!$B$27:$B$106,0)),"",(((BD69*'VoT5'!$H$28)+(BE69*'VoT5'!$H$29)+(BF69*'VoT5'!$H$30))/100))</f>
        <v>21.077392640953743</v>
      </c>
      <c r="BH69" s="1565">
        <f>IF(ISERROR(MATCH($B69,'A1.3.2'!$B$27:$B$106,0)),"",(VLOOKUP($B69,'Forecast occupancies'!$C$28:$CP$64,58,TRUE) * VLOOKUP($B69, 'A1.3.2'!$B$27:$AY$106,37,)) * $CR$5)</f>
        <v>28.140423243244431</v>
      </c>
      <c r="BI69" s="1565">
        <f>IF(ISERROR(MATCH($B69,'A1.3.2'!$B$27:$B$106,0)),"",(VLOOKUP($B69,'Forecast occupancies'!$C$28:$CP$64,59,TRUE) * (VLOOKUP($B69,'A1.3.2'!$B$27:$AY$106,49,) * 'VoT5'!$J$29 + VLOOKUP($B69,'A1.3.2'!$B$27:$AY$106,50,) * 'VoT5'!$J$30) / (SUM('VoT5'!$J$29:$J$30))) * $CR$5)</f>
        <v>17.177492055903802</v>
      </c>
      <c r="BJ69" s="1566">
        <f>IF(ISERROR(MATCH($B69,'A1.3.2'!$B$27:$B$106,0)),"",(BH69*'VoT5'!$H$31 + BI69*'VoT5'!$H$32)/100)</f>
        <v>26.824871500763553</v>
      </c>
      <c r="BK69" s="1566">
        <f>IF(ISERROR(MATCH($B69,'A1.3.2'!$B$27:$B$106,0)),"",(VLOOKUP($B69,'Forecast occupancies'!$C$28:$CP$64,61,TRUE)*VLOOKUP($B69,'A1.3.2'!$B$27:$AY$106,38,)) * $CR$5)</f>
        <v>27.630160939065231</v>
      </c>
      <c r="BL69" s="1566">
        <f>IF(ISERROR(MATCH($B69,'A1.3.2'!$B$27:$B$106,0)),"",(VLOOKUP($B69,'Forecast occupancies'!$C$28:$CP$64,62,TRUE)*VLOOKUP($B69,'A1.3.2'!$B$27:$AY$106,38,)) * $CR$5)</f>
        <v>27.630160939065231</v>
      </c>
      <c r="BM69" s="1565">
        <f>IF(ISERROR(MATCH($B69,'A1.3.2'!$B$27:$B$106,0)),"",(((VLOOKUP($B69,'Forecast occupancies'!$C$28:$CP$64,63,TRUE) -1) * VLOOKUP($B69,'A1.3.2'!$B$27:$AY$106,40,)) + VLOOKUP($B69,'A1.3.2'!$B$27:$AY$106,39,)) * $CR$5)</f>
        <v>32.384633213995571</v>
      </c>
      <c r="BN69" s="1565">
        <f>IF(ISERROR(MATCH($B69,'A1.3.2'!$B$27:$B$106,0)),"",(VLOOKUP($B69,'Forecast occupancies'!$C$28:$CP$64,64,TRUE) * VLOOKUP($B69,'A1.3.2'!$B$27:$AY$106,49,)) * $CR$5)</f>
        <v>37.405652551699333</v>
      </c>
      <c r="BO69" s="1565">
        <f>IF(ISERROR(MATCH($B69,'A1.3.2'!$B$27:$B$106,0)),"",(VLOOKUP($B69,'Forecast occupancies'!$C$28:$CP$64,65,TRUE) * VLOOKUP($B69,'A1.3.2'!$B$27:$AY$106,50,)) * $CR$5)</f>
        <v>87.748756073193903</v>
      </c>
      <c r="BP69" s="1567">
        <f>IF(ISERROR(MATCH($B69,'A1.3.2'!$B$27:$B$106,0)),"",SUM(BM69:BO69))</f>
        <v>157.53904183888881</v>
      </c>
      <c r="BQ69" s="1565">
        <f>IF(ISERROR(MATCH($B69,'A1.3.2'!$B$27:$B$106,0)),"",(((VLOOKUP($B69,'Forecast occupancies'!$C$28:$CP$64,67,TRUE)-1)*VLOOKUP($B69,'A1.3.2'!$B$27:$AY$106,36,)+VLOOKUP($B69,'A1.3.2'!$B$27:$AY$106,35,))*$CR$5))</f>
        <v>44.721888721179397</v>
      </c>
      <c r="BR69" s="1565">
        <f>IF(ISERROR(MATCH($B69,'A1.3.2'!$B$27:$B$106,0)),"",VLOOKUP($B69,'Forecast occupancies'!$C$28:$CP$64,68,TRUE)*VLOOKUP($B69,'A1.3.2'!$B$27:$AY$106,49,)*$CR$5)</f>
        <v>23.132556186439206</v>
      </c>
      <c r="BS69" s="1565">
        <f>IF(ISERROR(MATCH($B69,'A1.3.2'!$B$27:$B$106,0)),"",VLOOKUP($B69,'Forecast occupancies'!$C$28:$CP$64,69,TRUE)*VLOOKUP($B69,'A1.3.2'!$B$27:$AY$106,50,)*$CR$5)</f>
        <v>18.542913335678854</v>
      </c>
      <c r="BT69" s="1566">
        <f>IF(ISERROR(MATCH($B69,'A1.3.2'!$B$27:$B$106,0)),"",(((BQ69*'VoT5'!$I$28)+(BR69*'VoT5'!$I$29)+(BS69*'VoT5'!$I$30))/100))</f>
        <v>19.814272297762567</v>
      </c>
      <c r="BU69" s="1565">
        <f>IF(ISERROR(MATCH($B69,'A1.3.2'!$B$27:$B$106,0)),"",(VLOOKUP($B69,'Forecast occupancies'!$C$28:$CP$64,71,TRUE) * VLOOKUP($B69, 'A1.3.2'!$B$27:$AY$106,37,)) * $CR$5)</f>
        <v>29.547444405406655</v>
      </c>
      <c r="BV69" s="1565">
        <f>IF(ISERROR(MATCH($B69,'A1.3.2'!$B$27:$B$106,0)),"",(VLOOKUP($B69,'Forecast occupancies'!$C$28:$CP$64,72,TRUE) * (VLOOKUP($B69,'A1.3.2'!$B$27:$AY$106,49,)*'VoT5'!$J$29 + VLOOKUP($B69,'A1.3.2'!$B$27:$AY$106,50,)*'VoT5'!$J$30) / (SUM('VoT5'!$J$29:$J$30))) * $CR$5)</f>
        <v>23.883773201016925</v>
      </c>
      <c r="BW69" s="1566">
        <f>IF(ISERROR(MATCH($B69,'A1.3.2'!$B$27:$B$106,0)),"",(BU69*'VoT5'!$I$31 + BV69*'VoT5'!$I$32)/100)</f>
        <v>28.867803860879885</v>
      </c>
      <c r="BX69" s="1566">
        <f>IF(ISERROR(MATCH($B69,'A1.3.2'!$B$27:$B$106,0)),"",(VLOOKUP($B69,'Forecast occupancies'!$C$28:$CP$64,74,TRUE)*VLOOKUP($B69,'A1.3.2'!$B$27:$AY$106,38,)) * $CR$5)</f>
        <v>27.630160939065231</v>
      </c>
      <c r="BY69" s="1566">
        <f>IF(ISERROR(MATCH($B69,'A1.3.2'!$B$27:$B$106,0)),"",(VLOOKUP($B69,'Forecast occupancies'!$C$28:$CP$64,75,TRUE)*VLOOKUP($B69,'A1.3.2'!$B$27:$AY$106,38,)) * $CR$5)</f>
        <v>27.630160939065231</v>
      </c>
      <c r="BZ69" s="1565">
        <f>IF(ISERROR(MATCH($B69,'A1.3.2'!$B$27:$B$106,0)),"",(((VLOOKUP($B69,'Forecast occupancies'!$C$28:$CP$64,76,TRUE) -1) * VLOOKUP($B69,'A1.3.2'!$B$27:$AY$106,40,)) + VLOOKUP($B69,'A1.3.2'!$B$27:$AY$106,39,)) * $CR$5)</f>
        <v>29.493796053240207</v>
      </c>
      <c r="CA69" s="1565">
        <f>IF(ISERROR(MATCH($B69,'A1.3.2'!$B$27:$B$106,0)),"",(VLOOKUP($B69,'Forecast occupancies'!$C$28:$CP$64,77,TRUE) * VLOOKUP($B69,'A1.3.2'!$B$27:$AY$106,49,)) * $CR$5)</f>
        <v>14.170704576816277</v>
      </c>
      <c r="CB69" s="1565">
        <f>IF(ISERROR(MATCH($B69,'A1.3.2'!$B$27:$B$106,0)),"",(VLOOKUP($B69,'Forecast occupancies'!$C$28:$CP$64,78,TRUE) * VLOOKUP($B69,'A1.3.2'!$B$27:$AY$106,50,)) * $CR$5)</f>
        <v>99.664010413436515</v>
      </c>
      <c r="CC69" s="1567">
        <f>IF(ISERROR(MATCH($B69,'A1.3.2'!$B$27:$B$106,0)),"",SUM(BZ69:CB69))</f>
        <v>143.32851104349299</v>
      </c>
      <c r="CD69" s="1565">
        <f>IF(ISERROR(MATCH($B69,'A1.3.2'!$B$27:$B$106,0)),"",(((VLOOKUP($B69,'Forecast occupancies'!$C$28:$CP$64,80,TRUE)-1)*VLOOKUP($B69,'A1.3.2'!$B$27:$AY$106,36,)+VLOOKUP($B69,'A1.3.2'!$B$27:$AY$106,35,))*$CR$5))</f>
        <v>39.527901057396029</v>
      </c>
      <c r="CE69" s="1565">
        <f>IF(ISERROR(MATCH($B69,'A1.3.2'!$B$27:$B$106,0)),"",VLOOKUP($B69,'Forecast occupancies'!$C$28:$CP$64,81,TRUE)*VLOOKUP($B69,'A1.3.2'!$B$27:$AY$106,49,)*$CR$5)</f>
        <v>21.952740901947379</v>
      </c>
      <c r="CF69" s="1565">
        <f>IF(ISERROR(MATCH($B69,'A1.3.2'!$B$27:$B$106,0)),"",VLOOKUP($B69,'Forecast occupancies'!$C$28:$CP$64,82,TRUE)*VLOOKUP($B69,'A1.3.2'!$B$27:$AY$106,50,)*$CR$5)</f>
        <v>16.677888014772165</v>
      </c>
      <c r="CG69" s="1566">
        <f>IF(ISERROR(MATCH($B69,'A1.3.2'!$B$27:$B$106,0)),"",(((CD69*'VoT5'!$J$28)+(CE69*'VoT5'!$J$29)+(CF69*'VoT5'!$J$30))/100))</f>
        <v>20.777912806230805</v>
      </c>
      <c r="CH69" s="1565">
        <f>IF(ISERROR(MATCH($B69,'A1.3.2'!$B$27:$B$106,0)),"",(VLOOKUP($B69,'Forecast occupancies'!$C$28:$CP$64,84,TRUE) * VLOOKUP($B69, 'A1.3.2'!$B$27:$AY$106,37,)) * $CR$5)</f>
        <v>28.140423243244431</v>
      </c>
      <c r="CI69" s="1565">
        <f>IF(ISERROR(MATCH($B69,'A1.3.2'!$B$27:$B$106,0)),"",(VLOOKUP($B69,'Forecast occupancies'!$C$28:$CP$64,85,TRUE) * (VLOOKUP($B69,'A1.3.2'!$B$27:$AY$106,49,)*'VoT5'!$J$29 + VLOOKUP($B69,'A1.3.2'!$B$27:$AY$106,50,)*'VoT5'!$J$30) / (SUM('VoT5'!$J$29:$J$30))) * $CR$5)</f>
        <v>18.706994773210305</v>
      </c>
      <c r="CJ69" s="1566">
        <f>IF(ISERROR(MATCH($B69,'A1.3.2'!$B$27:$B$106,0)),"",(CH69*'VoT5'!$J$31 + CI69*'VoT5'!$J$32)/100)</f>
        <v>27.008411826840334</v>
      </c>
      <c r="CK69" s="1566">
        <f>IF(ISERROR(MATCH($B69,'A1.3.2'!$B$27:$B$106,0)),"",(VLOOKUP($B69,'Forecast occupancies'!$C$28:$CP$64,87,TRUE)*VLOOKUP($B69,'A1.3.2'!$B$27:$AY$106,38,)) * $CR$5)</f>
        <v>27.630160939065231</v>
      </c>
      <c r="CL69" s="1566">
        <f>IF(ISERROR(MATCH($B69,'A1.3.2'!$B$27:$B$106,0)),"",(VLOOKUP($B69,'Forecast occupancies'!$C$28:$CP$64,88,TRUE)*VLOOKUP($B69,'A1.3.2'!$B$27:$AY$106,38,)) * $CR$5)</f>
        <v>27.630160939065231</v>
      </c>
      <c r="CM69" s="1565">
        <f>IF(ISERROR(MATCH($B69,'A1.3.2'!$B$27:$B$106,0)),"",(((VLOOKUP($B69,'Forecast occupancies'!$C$28:$CP$64,89,TRUE) -1) * VLOOKUP($B69,'A1.3.2'!$B$27:$AY$106,40,)) + VLOOKUP($B69,'A1.3.2'!$B$27:$AY$106,39,)) * $CR$5)</f>
        <v>31.670767283005468</v>
      </c>
      <c r="CN69" s="1565">
        <f>IF(ISERROR(MATCH($B69,'A1.3.2'!$B$27:$B$106,0)),"",(VLOOKUP($B69,'Forecast occupancies'!$C$28:$CP$64,90,TRUE) * VLOOKUP($B69,'A1.3.2'!$B$27:$AY$106,49,)) * $CR$5)</f>
        <v>31.666887872972968</v>
      </c>
      <c r="CO69" s="1565">
        <f>IF(ISERROR(MATCH($B69,'A1.3.2'!$B$27:$B$106,0)),"",(VLOOKUP($B69,'Forecast occupancies'!$C$28:$CP$64,91,TRUE) * VLOOKUP($B69,'A1.3.2'!$B$27:$AY$106,50,)) * $CR$5)</f>
        <v>90.691624385261093</v>
      </c>
      <c r="CP69" s="1567">
        <f>IF(ISERROR(MATCH($B69,'A1.3.2'!$B$27:$B$106,0)),"",SUM(CM69:CO69))</f>
        <v>154.02927954123953</v>
      </c>
    </row>
    <row r="70" spans="1:94" s="26" customFormat="1" ht="13.5" customHeight="1">
      <c r="A70" s="113"/>
      <c r="B70" s="82">
        <f t="shared" si="0"/>
        <v>2052</v>
      </c>
      <c r="D70" s="1609">
        <f>IF(ISERROR(MATCH($B70,'A1.3.2'!$B$27:$B$106,0)),"",(((VLOOKUP($B70,'Forecast occupancies'!$C$28:$CP$64,2,TRUE) -1) * VLOOKUP($B70,'A1.3.2'!$B$27:$AY$106,36,) + VLOOKUP($B70,'A1.3.2'!$B$27:$AY$106,35,)) * $CR$5))</f>
        <v>39.271000284271565</v>
      </c>
      <c r="E70" s="1565">
        <f>IF(ISERROR(MATCH($B70,'A1.3.2'!$B$27:$B$106,0)),"",VLOOKUP($B70,'Forecast occupancies'!$C$28:$CP$64,3,TRUE)*VLOOKUP($B70,'A1.3.2'!$B$27:$AY$106,49,)*$CR$5)</f>
        <v>22.131208343009273</v>
      </c>
      <c r="F70" s="1565">
        <f>IF(ISERROR(MATCH($B70,'A1.3.2'!$B$27:$B$106,0)),"",VLOOKUP($B70,'Forecast occupancies'!$C$28:$CP$64,4,TRUE)*VLOOKUP($B70,'A1.3.2'!$B$27:$AY$106,50,)*$CR$5)</f>
        <v>15.268819183043117</v>
      </c>
      <c r="G70" s="1566">
        <f>IF(ISERROR(MATCH($B70,'A1.3.2'!$B$27:$B$106,0)),"",(((D70*'VoT5'!$D$28)+(E70*'VoT5'!$D$29)+(F70*'VoT5'!$D$30))/100))</f>
        <v>22.243287838794899</v>
      </c>
      <c r="H70" s="1565">
        <f>IF(ISERROR(MATCH($B70,'A1.3.2'!$B$27:$B$106,0)),"",(VLOOKUP($B70,'Forecast occupancies'!$C$28:$CP$64,6,TRUE) * VLOOKUP($B70, 'A1.3.2'!$B$27:$AY$106,37,)) * $CR$5)</f>
        <v>28.699603797059751</v>
      </c>
      <c r="I70" s="1565">
        <f>IF(ISERROR(MATCH($B70,'A1.3.2'!$B$27:$B$106,0)),"",VLOOKUP($B70,'Forecast occupancies'!$C$28:$CP$64,7,TRUE) * ('VoT5'!$J$29*VLOOKUP($B70, 'A1.3.2'!$B$27:$AY$106,49,)+'VoT5'!$J$30*VLOOKUP($B70, 'A1.3.2'!$B$27:$AY$106,50,))/('VoT5'!$J$29+'VoT5'!$J$30) * $CR$5)</f>
        <v>17.518827345638091</v>
      </c>
      <c r="J70" s="1566">
        <f>IF(ISERROR(MATCH($B70,'A1.3.2'!$B$27:$B$106,0)),"",(H70*'VoT5'!$D$31 + I70*'VoT5'!$D$32)/100)</f>
        <v>27.357910622889154</v>
      </c>
      <c r="K70" s="1566">
        <f>IF(ISERROR(MATCH($B70,'A1.3.2'!$B$27:$B$106,0)),"",(VLOOKUP($B70,'Forecast occupancies'!$C$28:$CP$64,9,TRUE)*VLOOKUP($B70,'A1.3.2'!$B$27:$AY$106,38,)) * $CR$5)</f>
        <v>28.179202030677878</v>
      </c>
      <c r="L70" s="1566">
        <f>IF(ISERROR(MATCH($B70,'A1.3.2'!$B$27:$B$106,0)),"",(VLOOKUP($B70,'Forecast occupancies'!$C$28:$CP$64,10,TRUE)*VLOOKUP($B70,'A1.3.2'!$B$27:$AY$106,38,)) * $CR$5)</f>
        <v>28.179202030677878</v>
      </c>
      <c r="M70" s="1565">
        <f>IF(ISERROR(MATCH($B70,'A1.3.2'!$B$27:$B$106,0)),"",(((VLOOKUP($B70,'Forecast occupancies'!$C$28:$CP$64,11,TRUE) -1) * VLOOKUP($B70,'A1.3.2'!$B$27:$AY$106,40,)) + VLOOKUP($B70,'A1.3.2'!$B$27:$AY$106,39,)) * $CR$5)</f>
        <v>32.110455485685726</v>
      </c>
      <c r="N70" s="1565">
        <f>IF(ISERROR(MATCH($B70,'A1.3.2'!$B$27:$B$106,0)),"",(VLOOKUP($B70,'Forecast occupancies'!$C$28:$CP$64,12,TRUE) * VLOOKUP($B70,'A1.3.2'!$B$27:$AY$106,49,)) * $CR$5)</f>
        <v>43.956811633188373</v>
      </c>
      <c r="O70" s="1565">
        <f>IF(ISERROR(MATCH($B70,'A1.3.2'!$B$27:$B$106,0)),"",(VLOOKUP($B70,'Forecast occupancies'!$C$28:$CP$64,13,TRUE) * VLOOKUP($B70,'A1.3.2'!$B$27:$AY$106,50,)) * $CR$5)</f>
        <v>87.257432354053535</v>
      </c>
      <c r="P70" s="1567">
        <f>IF(ISERROR(MATCH($B70,'A1.3.2'!$B$27:$B$106,0)),"",SUM(M70:O70))</f>
        <v>163.32469947292765</v>
      </c>
      <c r="Q70" s="1609">
        <f>IF(ISERROR(MATCH($B70,'A1.3.2'!$B$27:$B$106,0)),"",(((VLOOKUP($B70,'Forecast occupancies'!$C$28:$CP$64,15,TRUE)-1)*VLOOKUP($B70,'A1.3.2'!$B$27:$AY$106,36,)+VLOOKUP($B70,'A1.3.2'!$B$27:$AY$106,35,))*$CR$5))</f>
        <v>40.241881917972705</v>
      </c>
      <c r="R70" s="1565">
        <f>IF(ISERROR(MATCH($B70,'A1.3.2'!$B$27:$B$106,0)),"",VLOOKUP($B70,'Forecast occupancies'!$C$28:$CP$64,16,TRUE)*VLOOKUP($B70,'A1.3.2'!$B$27:$AY$106,49,)*$CR$5)</f>
        <v>22.491063854408736</v>
      </c>
      <c r="S70" s="1565">
        <f>IF(ISERROR(MATCH($B70,'A1.3.2'!$B$27:$B$106,0)),"",VLOOKUP($B70,'Forecast occupancies'!$C$28:$CP$64,17,TRUE)*VLOOKUP($B70,'A1.3.2'!$B$27:$AY$106,50,)*$CR$5)</f>
        <v>16.264899231996694</v>
      </c>
      <c r="T70" s="1566">
        <f>IF(ISERROR(MATCH($B70,'A1.3.2'!$B$27:$B$106,0)),"",(((Q70*'VoT5'!$E$28)+(R70*'VoT5'!$E$29)+(S70*'VoT5'!$E$30))/100))</f>
        <v>20.948942764206674</v>
      </c>
      <c r="U70" s="1565">
        <f>IF(ISERROR(MATCH($B70,'A1.3.2'!$B$27:$B$106,0)),"",(VLOOKUP($B70,'Forecast occupancies'!$C$28:$CP$64,19,TRUE) * VLOOKUP($B70, 'A1.3.2'!$B$27:$AY$106,37,)) * $CR$5)</f>
        <v>28.699603797059751</v>
      </c>
      <c r="V70" s="1565">
        <f>IF(ISERROR(MATCH($B70,'A1.3.2'!$B$27:$B$106,0)),"",VLOOKUP($B70,'Forecast occupancies'!$C$28:$CP$64,20,TRUE) * ('VoT5'!$J$29*VLOOKUP($B70, 'A1.3.2'!$B$27:$AY$106,49,)+'VoT5'!$J$30*VLOOKUP($B70, 'A1.3.2'!$B$27:$AY$106,50,))/('VoT5'!$J$29+'VoT5'!$J$30) * $CR$5)</f>
        <v>17.518827345638091</v>
      </c>
      <c r="W70" s="1566">
        <f>IF(ISERROR(MATCH($B70,'A1.3.2'!$B$27:$B$106,0)),"",(U70*'VoT5'!$E$31 + V70*'VoT5'!$E$32)/100)</f>
        <v>27.357910622889154</v>
      </c>
      <c r="X70" s="1566">
        <f>IF(ISERROR(MATCH($B70,'A1.3.2'!$B$27:$B$106,0)),"",(VLOOKUP($B70,'Forecast occupancies'!$C$28:$CP$64,22,TRUE)*VLOOKUP($B70,'A1.3.2'!$B$27:$AY$106,38,)) * $CR$5)</f>
        <v>28.179202030677878</v>
      </c>
      <c r="Y70" s="1566">
        <f>IF(ISERROR(MATCH($B70,'A1.3.2'!$B$27:$B$106,0)),"",(VLOOKUP($B70,'Forecast occupancies'!$C$28:$CP$64,23,TRUE)*VLOOKUP($B70,'A1.3.2'!$B$27:$AY$106,38,)) * $CR$5)</f>
        <v>28.179202030677878</v>
      </c>
      <c r="Z70" s="1565">
        <f>IF(ISERROR(MATCH($B70,'A1.3.2'!$B$27:$B$106,0)),"",(((VLOOKUP($B70,'Forecast occupancies'!$C$28:$CP$64,24,TRUE) -1) * VLOOKUP($B70,'A1.3.2'!$B$27:$AY$106,40,)) + VLOOKUP($B70,'A1.3.2'!$B$27:$AY$106,39,)) * $CR$5)</f>
        <v>32.765858437202262</v>
      </c>
      <c r="AA70" s="1565">
        <f>IF(ISERROR(MATCH($B70,'A1.3.2'!$B$27:$B$106,0)),"",(VLOOKUP($B70,'Forecast occupancies'!$C$28:$CP$64,25,TRUE) * VLOOKUP($B70,'A1.3.2'!$B$27:$AY$106,49,)) * $CR$5)</f>
        <v>15.405463705284893</v>
      </c>
      <c r="AB70" s="1565">
        <f>IF(ISERROR(MATCH($B70,'A1.3.2'!$B$27:$B$106,0)),"",(VLOOKUP($B70,'Forecast occupancies'!$C$28:$CP$64,26,TRUE) * VLOOKUP($B70,'A1.3.2'!$B$27:$AY$106,50,)) * $CR$5)</f>
        <v>99.992095896251797</v>
      </c>
      <c r="AC70" s="1567">
        <f>IF(ISERROR(MATCH($B70,'A1.3.2'!$B$27:$B$106,0)),"",SUM(Z70:AB70))</f>
        <v>148.16341803873894</v>
      </c>
      <c r="AD70" s="1609">
        <f>IF(ISERROR(MATCH($B70,'A1.3.2'!$B$27:$B$106,0)),"",(((VLOOKUP($B70,'Forecast occupancies'!$C$28:$CP$64,28,TRUE)-1)*VLOOKUP($B70,'A1.3.2'!$B$27:$AY$106,36,)+VLOOKUP($B70,'A1.3.2'!$B$27:$AY$106,35,))*$CR$5))</f>
        <v>39.83774073132966</v>
      </c>
      <c r="AE70" s="1565">
        <f>IF(ISERROR(MATCH($B70,'A1.3.2'!$B$27:$B$106,0)),"",VLOOKUP($B70,'Forecast occupancies'!$C$28:$CP$64,29,TRUE)*VLOOKUP($B70,'A1.3.2'!$B$27:$AY$106,49,)*$CR$5)</f>
        <v>22.207546781589063</v>
      </c>
      <c r="AF70" s="1565">
        <f>IF(ISERROR(MATCH($B70,'A1.3.2'!$B$27:$B$106,0)),"",VLOOKUP($B70,'Forecast occupancies'!$C$28:$CP$64,30,TRUE)*VLOOKUP($B70,'A1.3.2'!$B$27:$AY$106,50,)*$CR$5)</f>
        <v>15.989624681372508</v>
      </c>
      <c r="AG70" s="1566">
        <f>IF(ISERROR(MATCH($B70,'A1.3.2'!$B$27:$B$106,0)),"",(((AD70*'VoT5'!$F$28)+(AE70*'VoT5'!$F$29)+(AF70*'VoT5'!$F$30))/100))</f>
        <v>21.371233301144063</v>
      </c>
      <c r="AH70" s="1565">
        <f>IF(ISERROR(MATCH($B70,'A1.3.2'!$B$27:$B$106,0)),"",(VLOOKUP($B70,'Forecast occupancies'!$C$28:$CP$64,32,TRUE) * VLOOKUP($B70, 'A1.3.2'!$B$27:$AY$106,37,)) * $CR$5)</f>
        <v>28.699603797059751</v>
      </c>
      <c r="AI70" s="1565">
        <f>IF(ISERROR(MATCH($B70,'A1.3.2'!$B$27:$B$106,0)),"",VLOOKUP($B70,'Forecast occupancies'!$C$28:$CP$64,33,TRUE) * ('VoT5'!$J$29*VLOOKUP($B70, 'A1.3.2'!$B$27:$AY$106,49,)+'VoT5'!$J$30*VLOOKUP($B70, 'A1.3.2'!$B$27:$AY$106,50,))/('VoT5'!$J$29+'VoT5'!$J$30) * $CR$5)</f>
        <v>17.518827345638091</v>
      </c>
      <c r="AJ70" s="1566">
        <f>IF(ISERROR(MATCH($B70,'A1.3.2'!$B$27:$B$106,0)),"",(AH70*'VoT5'!$F$31 + AI70*'VoT5'!$F$32)/100)</f>
        <v>27.357910622889154</v>
      </c>
      <c r="AK70" s="1566">
        <f>IF(ISERROR(MATCH($B70,'A1.3.2'!$B$27:$B$106,0)),"",(VLOOKUP($B70,'Forecast occupancies'!$C$28:$CP$64,35,TRUE)*VLOOKUP($B70,'A1.3.2'!$B$27:$AY$106,38,)) * $CR$5)</f>
        <v>28.179202030677878</v>
      </c>
      <c r="AL70" s="1566">
        <f>IF(ISERROR(MATCH($B70,'A1.3.2'!$B$27:$B$106,0)),"",(VLOOKUP($B70,'Forecast occupancies'!$C$28:$CP$64,36,TRUE)*VLOOKUP($B70,'A1.3.2'!$B$27:$AY$106,38,)) * $CR$5)</f>
        <v>28.179202030677878</v>
      </c>
      <c r="AM70" s="1565">
        <f>IF(ISERROR(MATCH($B70,'A1.3.2'!$B$27:$B$106,0)),"",(((VLOOKUP($B70,'Forecast occupancies'!$C$28:$CP$64,37,TRUE) -1) * VLOOKUP($B70,'A1.3.2'!$B$27:$AY$106,40,)) + VLOOKUP($B70,'A1.3.2'!$B$27:$AY$106,39,)) * $CR$5)</f>
        <v>34.28249427887333</v>
      </c>
      <c r="AN70" s="1565">
        <f>IF(ISERROR(MATCH($B70,'A1.3.2'!$B$27:$B$106,0)),"",(VLOOKUP($B70,'Forecast occupancies'!$C$28:$CP$64,38,TRUE) * VLOOKUP($B70,'A1.3.2'!$B$27:$AY$106,49,)) * $CR$5)</f>
        <v>61.819872219794682</v>
      </c>
      <c r="AO70" s="1565">
        <f>IF(ISERROR(MATCH($B70,'A1.3.2'!$B$27:$B$106,0)),"",(VLOOKUP($B70,'Forecast occupancies'!$C$28:$CP$64,39,TRUE) * VLOOKUP($B70,'A1.3.2'!$B$27:$AY$106,50,)) * $CR$5)</f>
        <v>78.119827899717521</v>
      </c>
      <c r="AP70" s="1567">
        <f>IF(ISERROR(MATCH($B70,'A1.3.2'!$B$27:$B$106,0)),"",SUM(AM70:AO70))</f>
        <v>174.22219439838551</v>
      </c>
      <c r="AQ70" s="1609">
        <f>IF(ISERROR(MATCH($B70,'A1.3.2'!$B$27:$B$106,0)),"",(((VLOOKUP($B70,'Forecast occupancies'!$C$28:$CP$64,41,TRUE)-1)*VLOOKUP($B70,'A1.3.2'!$B$27:$AY$106,36,)+VLOOKUP($B70,'A1.3.2'!$B$27:$AY$106,35,))*$CR$5))</f>
        <v>40.591495571411606</v>
      </c>
      <c r="AR70" s="1565">
        <f>IF(ISERROR(MATCH($B70,'A1.3.2'!$B$27:$B$106,0)),"",VLOOKUP($B70,'Forecast occupancies'!$C$28:$CP$64,42,TRUE)*VLOOKUP($B70,'A1.3.2'!$B$27:$AY$106,49,)*$CR$5)</f>
        <v>22.532575378960679</v>
      </c>
      <c r="AS70" s="1565">
        <f>IF(ISERROR(MATCH($B70,'A1.3.2'!$B$27:$B$106,0)),"",VLOOKUP($B70,'Forecast occupancies'!$C$28:$CP$64,43,TRUE)*VLOOKUP($B70,'A1.3.2'!$B$27:$AY$106,50,)*$CR$5)</f>
        <v>15.932538215049851</v>
      </c>
      <c r="AT70" s="1566">
        <f>IF(ISERROR(MATCH($B70,'A1.3.2'!$B$27:$B$106,0)),"",(((AQ70*'VoT5'!$G$28)+(AR70*'VoT5'!$G$29)+(AS70*'VoT5'!$G$30))/100))</f>
        <v>21.65215388558909</v>
      </c>
      <c r="AU70" s="1565">
        <f>IF(ISERROR(MATCH($B70,'A1.3.2'!$B$27:$B$106,0)),"",(VLOOKUP($B70,'Forecast occupancies'!$C$28:$CP$64,45,TRUE) * VLOOKUP($B70, 'A1.3.2'!$B$27:$AY$106,37,)) * $CR$5)</f>
        <v>28.699603797059751</v>
      </c>
      <c r="AV70" s="1565">
        <f>IF(ISERROR(MATCH($B70,'A1.3.2'!$B$27:$B$106,0)),"",VLOOKUP($B70,'Forecast occupancies'!$C$28:$CP$64,46,TRUE) * ('VoT5'!$J$29*VLOOKUP($B70, 'A1.3.2'!$B$27:$AY$106,49,)+'VoT5'!$J$30*VLOOKUP($B70, 'A1.3.2'!$B$27:$AY$106,50,))/('VoT5'!$J$29+'VoT5'!$J$30) * $CR$5)</f>
        <v>17.518827345638091</v>
      </c>
      <c r="AW70" s="1566">
        <f>IF(ISERROR(MATCH($B70,'A1.3.2'!$B$27:$B$106,0)),"",(AU70*'VoT5'!$G$31 + AV70*'VoT5'!$G$32)/100)</f>
        <v>27.357910622889154</v>
      </c>
      <c r="AX70" s="1566">
        <f>IF(ISERROR(MATCH($B70,'A1.3.2'!$B$27:$B$106,0)),"",(VLOOKUP($B70,'Forecast occupancies'!$C$28:$CP$64,48,TRUE)*VLOOKUP($B70,'A1.3.2'!$B$27:$AY$106,38,)) * $CR$5)</f>
        <v>28.179202030677878</v>
      </c>
      <c r="AY70" s="1566">
        <f>IF(ISERROR(MATCH($B70,'A1.3.2'!$B$27:$B$106,0)),"",(VLOOKUP($B70,'Forecast occupancies'!$C$28:$CP$64,49,TRUE)*VLOOKUP($B70,'A1.3.2'!$B$27:$AY$106,38,)) * $CR$5)</f>
        <v>28.179202030677878</v>
      </c>
      <c r="AZ70" s="1565">
        <f>IF(ISERROR(MATCH($B70,'A1.3.2'!$B$27:$B$106,0)),"",(((VLOOKUP($B70,'Forecast occupancies'!$C$28:$CP$64,50,TRUE) -1) * VLOOKUP($B70,'A1.3.2'!$B$27:$AY$106,40,)) + VLOOKUP($B70,'A1.3.2'!$B$27:$AY$106,39,)) * $CR$5)</f>
        <v>34.25477094614255</v>
      </c>
      <c r="BA70" s="1565">
        <f>IF(ISERROR(MATCH($B70,'A1.3.2'!$B$27:$B$106,0)),"",(VLOOKUP($B70,'Forecast occupancies'!$C$28:$CP$64,51,TRUE) * VLOOKUP($B70,'A1.3.2'!$B$27:$AY$106,49,)) * $CR$5)</f>
        <v>84.506229747515249</v>
      </c>
      <c r="BB70" s="1565">
        <f>IF(ISERROR(MATCH($B70,'A1.3.2'!$B$27:$B$106,0)),"",(VLOOKUP($B70,'Forecast occupancies'!$C$28:$CP$64,52,TRUE) * VLOOKUP($B70,'A1.3.2'!$B$27:$AY$106,50,)) * $CR$5)</f>
        <v>67.777657712357467</v>
      </c>
      <c r="BC70" s="1567">
        <f>IF(ISERROR(MATCH($B70,'A1.3.2'!$B$27:$B$106,0)),"",SUM(AZ70:BB70))</f>
        <v>186.53865840601526</v>
      </c>
      <c r="BD70" s="1565">
        <f>IF(ISERROR(MATCH($B70,'A1.3.2'!$B$27:$B$106,0)),"",(((VLOOKUP($B70,'Forecast occupancies'!$C$28:$CP$64,54,TRUE)-1)*VLOOKUP($B70,'A1.3.2'!$B$27:$AY$106,36,)+VLOOKUP($B70,'A1.3.2'!$B$27:$AY$106,35,))*$CR$5))</f>
        <v>39.908623617423423</v>
      </c>
      <c r="BE70" s="1565">
        <f>IF(ISERROR(MATCH($B70,'A1.3.2'!$B$27:$B$106,0)),"",VLOOKUP($B70,'Forecast occupancies'!$C$28:$CP$64,55,TRUE)*VLOOKUP($B70,'A1.3.2'!$B$27:$AY$106,49,)*$CR$5)</f>
        <v>22.283052625606409</v>
      </c>
      <c r="BF70" s="1565">
        <f>IF(ISERROR(MATCH($B70,'A1.3.2'!$B$27:$B$106,0)),"",VLOOKUP($B70,'Forecast occupancies'!$C$28:$CP$64,56,TRUE)*VLOOKUP($B70,'A1.3.2'!$B$27:$AY$106,50,)*$CR$5)</f>
        <v>15.972124992093551</v>
      </c>
      <c r="BG70" s="1566">
        <f>IF(ISERROR(MATCH($B70,'A1.3.2'!$B$27:$B$106,0)),"",(((BD70*'VoT5'!$H$28)+(BE70*'VoT5'!$H$29)+(BF70*'VoT5'!$H$30))/100))</f>
        <v>21.496223160597072</v>
      </c>
      <c r="BH70" s="1565">
        <f>IF(ISERROR(MATCH($B70,'A1.3.2'!$B$27:$B$106,0)),"",(VLOOKUP($B70,'Forecast occupancies'!$C$28:$CP$64,58,TRUE) * VLOOKUP($B70, 'A1.3.2'!$B$27:$AY$106,37,)) * $CR$5)</f>
        <v>28.699603797059751</v>
      </c>
      <c r="BI70" s="1565">
        <f>IF(ISERROR(MATCH($B70,'A1.3.2'!$B$27:$B$106,0)),"",(VLOOKUP($B70,'Forecast occupancies'!$C$28:$CP$64,59,TRUE) * (VLOOKUP($B70,'A1.3.2'!$B$27:$AY$106,49,) * 'VoT5'!$J$29 + VLOOKUP($B70,'A1.3.2'!$B$27:$AY$106,50,) * 'VoT5'!$J$30) / (SUM('VoT5'!$J$29:$J$30))) * $CR$5)</f>
        <v>17.518827345638091</v>
      </c>
      <c r="BJ70" s="1566">
        <f>IF(ISERROR(MATCH($B70,'A1.3.2'!$B$27:$B$106,0)),"",(BH70*'VoT5'!$H$31 + BI70*'VoT5'!$H$32)/100)</f>
        <v>27.357910622889154</v>
      </c>
      <c r="BK70" s="1566">
        <f>IF(ISERROR(MATCH($B70,'A1.3.2'!$B$27:$B$106,0)),"",(VLOOKUP($B70,'Forecast occupancies'!$C$28:$CP$64,61,TRUE)*VLOOKUP($B70,'A1.3.2'!$B$27:$AY$106,38,)) * $CR$5)</f>
        <v>28.179202030677878</v>
      </c>
      <c r="BL70" s="1566">
        <f>IF(ISERROR(MATCH($B70,'A1.3.2'!$B$27:$B$106,0)),"",(VLOOKUP($B70,'Forecast occupancies'!$C$28:$CP$64,62,TRUE)*VLOOKUP($B70,'A1.3.2'!$B$27:$AY$106,38,)) * $CR$5)</f>
        <v>28.179202030677878</v>
      </c>
      <c r="BM70" s="1565">
        <f>IF(ISERROR(MATCH($B70,'A1.3.2'!$B$27:$B$106,0)),"",(((VLOOKUP($B70,'Forecast occupancies'!$C$28:$CP$64,63,TRUE) -1) * VLOOKUP($B70,'A1.3.2'!$B$27:$AY$106,40,)) + VLOOKUP($B70,'A1.3.2'!$B$27:$AY$106,39,)) * $CR$5)</f>
        <v>33.028150796484496</v>
      </c>
      <c r="BN70" s="1565">
        <f>IF(ISERROR(MATCH($B70,'A1.3.2'!$B$27:$B$106,0)),"",(VLOOKUP($B70,'Forecast occupancies'!$C$28:$CP$64,64,TRUE) * VLOOKUP($B70,'A1.3.2'!$B$27:$AY$106,49,)) * $CR$5)</f>
        <v>38.148943202621005</v>
      </c>
      <c r="BO70" s="1565">
        <f>IF(ISERROR(MATCH($B70,'A1.3.2'!$B$27:$B$106,0)),"",(VLOOKUP($B70,'Forecast occupancies'!$C$28:$CP$64,65,TRUE) * VLOOKUP($B70,'A1.3.2'!$B$27:$AY$106,50,)) * $CR$5)</f>
        <v>89.492418476331082</v>
      </c>
      <c r="BP70" s="1567">
        <f>IF(ISERROR(MATCH($B70,'A1.3.2'!$B$27:$B$106,0)),"",SUM(BM70:BO70))</f>
        <v>160.66951247543659</v>
      </c>
      <c r="BQ70" s="1565">
        <f>IF(ISERROR(MATCH($B70,'A1.3.2'!$B$27:$B$106,0)),"",(((VLOOKUP($B70,'Forecast occupancies'!$C$28:$CP$64,67,TRUE)-1)*VLOOKUP($B70,'A1.3.2'!$B$27:$AY$106,36,)+VLOOKUP($B70,'A1.3.2'!$B$27:$AY$106,35,))*$CR$5))</f>
        <v>45.610560873926048</v>
      </c>
      <c r="BR70" s="1565">
        <f>IF(ISERROR(MATCH($B70,'A1.3.2'!$B$27:$B$106,0)),"",VLOOKUP($B70,'Forecast occupancies'!$C$28:$CP$64,68,TRUE)*VLOOKUP($B70,'A1.3.2'!$B$27:$AY$106,49,)*$CR$5)</f>
        <v>23.59222502182541</v>
      </c>
      <c r="BS70" s="1565">
        <f>IF(ISERROR(MATCH($B70,'A1.3.2'!$B$27:$B$106,0)),"",VLOOKUP($B70,'Forecast occupancies'!$C$28:$CP$64,69,TRUE)*VLOOKUP($B70,'A1.3.2'!$B$27:$AY$106,50,)*$CR$5)</f>
        <v>18.911381018583494</v>
      </c>
      <c r="BT70" s="1566">
        <f>IF(ISERROR(MATCH($B70,'A1.3.2'!$B$27:$B$106,0)),"",(((BQ70*'VoT5'!$I$28)+(BR70*'VoT5'!$I$29)+(BS70*'VoT5'!$I$30))/100))</f>
        <v>20.20800325415712</v>
      </c>
      <c r="BU70" s="1565">
        <f>IF(ISERROR(MATCH($B70,'A1.3.2'!$B$27:$B$106,0)),"",(VLOOKUP($B70,'Forecast occupancies'!$C$28:$CP$64,71,TRUE) * VLOOKUP($B70, 'A1.3.2'!$B$27:$AY$106,37,)) * $CR$5)</f>
        <v>30.134583986912737</v>
      </c>
      <c r="BV70" s="1565">
        <f>IF(ISERROR(MATCH($B70,'A1.3.2'!$B$27:$B$106,0)),"",(VLOOKUP($B70,'Forecast occupancies'!$C$28:$CP$64,72,TRUE) * (VLOOKUP($B70,'A1.3.2'!$B$27:$AY$106,49,)*'VoT5'!$J$29 + VLOOKUP($B70,'A1.3.2'!$B$27:$AY$106,50,)*'VoT5'!$J$30) / (SUM('VoT5'!$J$29:$J$30))) * $CR$5)</f>
        <v>24.358369528524193</v>
      </c>
      <c r="BW70" s="1566">
        <f>IF(ISERROR(MATCH($B70,'A1.3.2'!$B$27:$B$106,0)),"",(BU70*'VoT5'!$I$31 + BV70*'VoT5'!$I$32)/100)</f>
        <v>29.44143825190611</v>
      </c>
      <c r="BX70" s="1566">
        <f>IF(ISERROR(MATCH($B70,'A1.3.2'!$B$27:$B$106,0)),"",(VLOOKUP($B70,'Forecast occupancies'!$C$28:$CP$64,74,TRUE)*VLOOKUP($B70,'A1.3.2'!$B$27:$AY$106,38,)) * $CR$5)</f>
        <v>28.179202030677878</v>
      </c>
      <c r="BY70" s="1566">
        <f>IF(ISERROR(MATCH($B70,'A1.3.2'!$B$27:$B$106,0)),"",(VLOOKUP($B70,'Forecast occupancies'!$C$28:$CP$64,75,TRUE)*VLOOKUP($B70,'A1.3.2'!$B$27:$AY$106,38,)) * $CR$5)</f>
        <v>28.179202030677878</v>
      </c>
      <c r="BZ70" s="1565">
        <f>IF(ISERROR(MATCH($B70,'A1.3.2'!$B$27:$B$106,0)),"",(((VLOOKUP($B70,'Forecast occupancies'!$C$28:$CP$64,76,TRUE) -1) * VLOOKUP($B70,'A1.3.2'!$B$27:$AY$106,40,)) + VLOOKUP($B70,'A1.3.2'!$B$27:$AY$106,39,)) * $CR$5)</f>
        <v>30.079869584139431</v>
      </c>
      <c r="CA70" s="1565">
        <f>IF(ISERROR(MATCH($B70,'A1.3.2'!$B$27:$B$106,0)),"",(VLOOKUP($B70,'Forecast occupancies'!$C$28:$CP$64,77,TRUE) * VLOOKUP($B70,'A1.3.2'!$B$27:$AY$106,49,)) * $CR$5)</f>
        <v>14.452291757105742</v>
      </c>
      <c r="CB70" s="1565">
        <f>IF(ISERROR(MATCH($B70,'A1.3.2'!$B$27:$B$106,0)),"",(VLOOKUP($B70,'Forecast occupancies'!$C$28:$CP$64,78,TRUE) * VLOOKUP($B70,'A1.3.2'!$B$27:$AY$106,50,)) * $CR$5)</f>
        <v>101.64444176859814</v>
      </c>
      <c r="CC70" s="1567">
        <f>IF(ISERROR(MATCH($B70,'A1.3.2'!$B$27:$B$106,0)),"",SUM(BZ70:CB70))</f>
        <v>146.17660310984331</v>
      </c>
      <c r="CD70" s="1565">
        <f>IF(ISERROR(MATCH($B70,'A1.3.2'!$B$27:$B$106,0)),"",(((VLOOKUP($B70,'Forecast occupancies'!$C$28:$CP$64,80,TRUE)-1)*VLOOKUP($B70,'A1.3.2'!$B$27:$AY$106,36,)+VLOOKUP($B70,'A1.3.2'!$B$27:$AY$106,35,))*$CR$5))</f>
        <v>40.31336307455804</v>
      </c>
      <c r="CE70" s="1565">
        <f>IF(ISERROR(MATCH($B70,'A1.3.2'!$B$27:$B$106,0)),"",VLOOKUP($B70,'Forecast occupancies'!$C$28:$CP$64,81,TRUE)*VLOOKUP($B70,'A1.3.2'!$B$27:$AY$106,49,)*$CR$5)</f>
        <v>22.388965535429467</v>
      </c>
      <c r="CF70" s="1565">
        <f>IF(ISERROR(MATCH($B70,'A1.3.2'!$B$27:$B$106,0)),"",VLOOKUP($B70,'Forecast occupancies'!$C$28:$CP$64,82,TRUE)*VLOOKUP($B70,'A1.3.2'!$B$27:$AY$106,50,)*$CR$5)</f>
        <v>17.009295633483404</v>
      </c>
      <c r="CG70" s="1566">
        <f>IF(ISERROR(MATCH($B70,'A1.3.2'!$B$27:$B$106,0)),"",(((CD70*'VoT5'!$J$28)+(CE70*'VoT5'!$J$29)+(CF70*'VoT5'!$J$30))/100))</f>
        <v>21.190792338627453</v>
      </c>
      <c r="CH70" s="1565">
        <f>IF(ISERROR(MATCH($B70,'A1.3.2'!$B$27:$B$106,0)),"",(VLOOKUP($B70,'Forecast occupancies'!$C$28:$CP$64,84,TRUE) * VLOOKUP($B70, 'A1.3.2'!$B$27:$AY$106,37,)) * $CR$5)</f>
        <v>28.699603797059751</v>
      </c>
      <c r="CI70" s="1565">
        <f>IF(ISERROR(MATCH($B70,'A1.3.2'!$B$27:$B$106,0)),"",(VLOOKUP($B70,'Forecast occupancies'!$C$28:$CP$64,85,TRUE) * (VLOOKUP($B70,'A1.3.2'!$B$27:$AY$106,49,)*'VoT5'!$J$29 + VLOOKUP($B70,'A1.3.2'!$B$27:$AY$106,50,)*'VoT5'!$J$30) / (SUM('VoT5'!$J$29:$J$30))) * $CR$5)</f>
        <v>19.078722931208606</v>
      </c>
      <c r="CJ70" s="1566">
        <f>IF(ISERROR(MATCH($B70,'A1.3.2'!$B$27:$B$106,0)),"",(CH70*'VoT5'!$J$31 + CI70*'VoT5'!$J$32)/100)</f>
        <v>27.545098093157613</v>
      </c>
      <c r="CK70" s="1566">
        <f>IF(ISERROR(MATCH($B70,'A1.3.2'!$B$27:$B$106,0)),"",(VLOOKUP($B70,'Forecast occupancies'!$C$28:$CP$64,87,TRUE)*VLOOKUP($B70,'A1.3.2'!$B$27:$AY$106,38,)) * $CR$5)</f>
        <v>28.179202030677878</v>
      </c>
      <c r="CL70" s="1566">
        <f>IF(ISERROR(MATCH($B70,'A1.3.2'!$B$27:$B$106,0)),"",(VLOOKUP($B70,'Forecast occupancies'!$C$28:$CP$64,88,TRUE)*VLOOKUP($B70,'A1.3.2'!$B$27:$AY$106,38,)) * $CR$5)</f>
        <v>28.179202030677878</v>
      </c>
      <c r="CM70" s="1565">
        <f>IF(ISERROR(MATCH($B70,'A1.3.2'!$B$27:$B$106,0)),"",(((VLOOKUP($B70,'Forecast occupancies'!$C$28:$CP$64,89,TRUE) -1) * VLOOKUP($B70,'A1.3.2'!$B$27:$AY$106,40,)) + VLOOKUP($B70,'A1.3.2'!$B$27:$AY$106,39,)) * $CR$5)</f>
        <v>32.300099579680094</v>
      </c>
      <c r="CN70" s="1565">
        <f>IF(ISERROR(MATCH($B70,'A1.3.2'!$B$27:$B$106,0)),"",(VLOOKUP($B70,'Forecast occupancies'!$C$28:$CP$64,90,TRUE) * VLOOKUP($B70,'A1.3.2'!$B$27:$AY$106,49,)) * $CR$5)</f>
        <v>32.296143081587054</v>
      </c>
      <c r="CO70" s="1565">
        <f>IF(ISERROR(MATCH($B70,'A1.3.2'!$B$27:$B$106,0)),"",(VLOOKUP($B70,'Forecast occupancies'!$C$28:$CP$64,91,TRUE) * VLOOKUP($B70,'A1.3.2'!$B$27:$AY$106,50,)) * $CR$5)</f>
        <v>92.493764755070032</v>
      </c>
      <c r="CP70" s="1567">
        <f>IF(ISERROR(MATCH($B70,'A1.3.2'!$B$27:$B$106,0)),"",SUM(CM70:CO70))</f>
        <v>157.09000741633719</v>
      </c>
    </row>
    <row r="71" spans="1:94" s="26" customFormat="1" ht="13.5" customHeight="1">
      <c r="A71" s="113"/>
      <c r="B71" s="82">
        <f t="shared" si="0"/>
        <v>2053</v>
      </c>
      <c r="D71" s="1609">
        <f>IF(ISERROR(MATCH($B71,'A1.3.2'!$B$27:$B$106,0)),"",(((VLOOKUP($B71,'Forecast occupancies'!$C$28:$CP$64,2,TRUE) -1) * VLOOKUP($B71,'A1.3.2'!$B$27:$AY$106,36,) + VLOOKUP($B71,'A1.3.2'!$B$27:$AY$106,35,)) * $CR$5))</f>
        <v>40.052447784785699</v>
      </c>
      <c r="E71" s="1565">
        <f>IF(ISERROR(MATCH($B71,'A1.3.2'!$B$27:$B$106,0)),"",VLOOKUP($B71,'Forecast occupancies'!$C$28:$CP$64,3,TRUE)*VLOOKUP($B71,'A1.3.2'!$B$27:$AY$106,49,)*$CR$5)</f>
        <v>22.571593800925115</v>
      </c>
      <c r="F71" s="1565">
        <f>IF(ISERROR(MATCH($B71,'A1.3.2'!$B$27:$B$106,0)),"",VLOOKUP($B71,'Forecast occupancies'!$C$28:$CP$64,4,TRUE)*VLOOKUP($B71,'A1.3.2'!$B$27:$AY$106,50,)*$CR$5)</f>
        <v>15.572651030972137</v>
      </c>
      <c r="G71" s="1566">
        <f>IF(ISERROR(MATCH($B71,'A1.3.2'!$B$27:$B$106,0)),"",(((D71*'VoT5'!$D$28)+(E71*'VoT5'!$D$29)+(F71*'VoT5'!$D$30))/100))</f>
        <v>22.685903549090529</v>
      </c>
      <c r="H71" s="1565">
        <f>IF(ISERROR(MATCH($B71,'A1.3.2'!$B$27:$B$106,0)),"",(VLOOKUP($B71,'Forecast occupancies'!$C$28:$CP$64,6,TRUE) * VLOOKUP($B71, 'A1.3.2'!$B$27:$AY$106,37,)) * $CR$5)</f>
        <v>29.27069273013031</v>
      </c>
      <c r="I71" s="1565">
        <f>IF(ISERROR(MATCH($B71,'A1.3.2'!$B$27:$B$106,0)),"",VLOOKUP($B71,'Forecast occupancies'!$C$28:$CP$64,7,TRUE) * ('VoT5'!$J$29*VLOOKUP($B71, 'A1.3.2'!$B$27:$AY$106,49,)+'VoT5'!$J$30*VLOOKUP($B71, 'A1.3.2'!$B$27:$AY$106,50,))/('VoT5'!$J$29+'VoT5'!$J$30) * $CR$5)</f>
        <v>17.867431754542608</v>
      </c>
      <c r="J71" s="1566">
        <f>IF(ISERROR(MATCH($B71,'A1.3.2'!$B$27:$B$106,0)),"",(H71*'VoT5'!$D$31 + I71*'VoT5'!$D$32)/100)</f>
        <v>27.902301413059785</v>
      </c>
      <c r="K71" s="1566">
        <f>IF(ISERROR(MATCH($B71,'A1.3.2'!$B$27:$B$106,0)),"",(VLOOKUP($B71,'Forecast occupancies'!$C$28:$CP$64,9,TRUE)*VLOOKUP($B71,'A1.3.2'!$B$27:$AY$106,38,)) * $CR$5)</f>
        <v>28.739935570286114</v>
      </c>
      <c r="L71" s="1566">
        <f>IF(ISERROR(MATCH($B71,'A1.3.2'!$B$27:$B$106,0)),"",(VLOOKUP($B71,'Forecast occupancies'!$C$28:$CP$64,10,TRUE)*VLOOKUP($B71,'A1.3.2'!$B$27:$AY$106,38,)) * $CR$5)</f>
        <v>28.739935570286114</v>
      </c>
      <c r="M71" s="1565">
        <f>IF(ISERROR(MATCH($B71,'A1.3.2'!$B$27:$B$106,0)),"",(((VLOOKUP($B71,'Forecast occupancies'!$C$28:$CP$64,11,TRUE) -1) * VLOOKUP($B71,'A1.3.2'!$B$27:$AY$106,40,)) + VLOOKUP($B71,'A1.3.2'!$B$27:$AY$106,39,)) * $CR$5)</f>
        <v>32.74941642373215</v>
      </c>
      <c r="N71" s="1565">
        <f>IF(ISERROR(MATCH($B71,'A1.3.2'!$B$27:$B$106,0)),"",(VLOOKUP($B71,'Forecast occupancies'!$C$28:$CP$64,12,TRUE) * VLOOKUP($B71,'A1.3.2'!$B$27:$AY$106,49,)) * $CR$5)</f>
        <v>44.831501361809394</v>
      </c>
      <c r="O71" s="1565">
        <f>IF(ISERROR(MATCH($B71,'A1.3.2'!$B$27:$B$106,0)),"",(VLOOKUP($B71,'Forecast occupancies'!$C$28:$CP$64,13,TRUE) * VLOOKUP($B71,'A1.3.2'!$B$27:$AY$106,50,)) * $CR$5)</f>
        <v>88.993754370828498</v>
      </c>
      <c r="P71" s="1567">
        <f>IF(ISERROR(MATCH($B71,'A1.3.2'!$B$27:$B$106,0)),"",SUM(M71:O71))</f>
        <v>166.57467215637004</v>
      </c>
      <c r="Q71" s="1609">
        <f>IF(ISERROR(MATCH($B71,'A1.3.2'!$B$27:$B$106,0)),"",(((VLOOKUP($B71,'Forecast occupancies'!$C$28:$CP$64,15,TRUE)-1)*VLOOKUP($B71,'A1.3.2'!$B$27:$AY$106,36,)+VLOOKUP($B71,'A1.3.2'!$B$27:$AY$106,35,))*$CR$5))</f>
        <v>41.042648840463841</v>
      </c>
      <c r="R71" s="1565">
        <f>IF(ISERROR(MATCH($B71,'A1.3.2'!$B$27:$B$106,0)),"",VLOOKUP($B71,'Forecast occupancies'!$C$28:$CP$64,16,TRUE)*VLOOKUP($B71,'A1.3.2'!$B$27:$AY$106,49,)*$CR$5)</f>
        <v>22.938610020936373</v>
      </c>
      <c r="S71" s="1565">
        <f>IF(ISERROR(MATCH($B71,'A1.3.2'!$B$27:$B$106,0)),"",VLOOKUP($B71,'Forecast occupancies'!$C$28:$CP$64,17,TRUE)*VLOOKUP($B71,'A1.3.2'!$B$27:$AY$106,50,)*$CR$5)</f>
        <v>16.588551921231826</v>
      </c>
      <c r="T71" s="1566">
        <f>IF(ISERROR(MATCH($B71,'A1.3.2'!$B$27:$B$106,0)),"",(((Q71*'VoT5'!$E$28)+(R71*'VoT5'!$E$29)+(S71*'VoT5'!$E$30))/100))</f>
        <v>21.365802504040175</v>
      </c>
      <c r="U71" s="1565">
        <f>IF(ISERROR(MATCH($B71,'A1.3.2'!$B$27:$B$106,0)),"",(VLOOKUP($B71,'Forecast occupancies'!$C$28:$CP$64,19,TRUE) * VLOOKUP($B71, 'A1.3.2'!$B$27:$AY$106,37,)) * $CR$5)</f>
        <v>29.27069273013031</v>
      </c>
      <c r="V71" s="1565">
        <f>IF(ISERROR(MATCH($B71,'A1.3.2'!$B$27:$B$106,0)),"",VLOOKUP($B71,'Forecast occupancies'!$C$28:$CP$64,20,TRUE) * ('VoT5'!$J$29*VLOOKUP($B71, 'A1.3.2'!$B$27:$AY$106,49,)+'VoT5'!$J$30*VLOOKUP($B71, 'A1.3.2'!$B$27:$AY$106,50,))/('VoT5'!$J$29+'VoT5'!$J$30) * $CR$5)</f>
        <v>17.867431754542608</v>
      </c>
      <c r="W71" s="1566">
        <f>IF(ISERROR(MATCH($B71,'A1.3.2'!$B$27:$B$106,0)),"",(U71*'VoT5'!$E$31 + V71*'VoT5'!$E$32)/100)</f>
        <v>27.902301413059785</v>
      </c>
      <c r="X71" s="1566">
        <f>IF(ISERROR(MATCH($B71,'A1.3.2'!$B$27:$B$106,0)),"",(VLOOKUP($B71,'Forecast occupancies'!$C$28:$CP$64,22,TRUE)*VLOOKUP($B71,'A1.3.2'!$B$27:$AY$106,38,)) * $CR$5)</f>
        <v>28.739935570286114</v>
      </c>
      <c r="Y71" s="1566">
        <f>IF(ISERROR(MATCH($B71,'A1.3.2'!$B$27:$B$106,0)),"",(VLOOKUP($B71,'Forecast occupancies'!$C$28:$CP$64,23,TRUE)*VLOOKUP($B71,'A1.3.2'!$B$27:$AY$106,38,)) * $CR$5)</f>
        <v>28.739935570286114</v>
      </c>
      <c r="Z71" s="1565">
        <f>IF(ISERROR(MATCH($B71,'A1.3.2'!$B$27:$B$106,0)),"",(((VLOOKUP($B71,'Forecast occupancies'!$C$28:$CP$64,24,TRUE) -1) * VLOOKUP($B71,'A1.3.2'!$B$27:$AY$106,40,)) + VLOOKUP($B71,'A1.3.2'!$B$27:$AY$106,39,)) * $CR$5)</f>
        <v>33.417861136206767</v>
      </c>
      <c r="AA71" s="1565">
        <f>IF(ISERROR(MATCH($B71,'A1.3.2'!$B$27:$B$106,0)),"",(VLOOKUP($B71,'Forecast occupancies'!$C$28:$CP$64,25,TRUE) * VLOOKUP($B71,'A1.3.2'!$B$27:$AY$106,49,)) * $CR$5)</f>
        <v>15.712014621218085</v>
      </c>
      <c r="AB71" s="1565">
        <f>IF(ISERROR(MATCH($B71,'A1.3.2'!$B$27:$B$106,0)),"",(VLOOKUP($B71,'Forecast occupancies'!$C$28:$CP$64,26,TRUE) * VLOOKUP($B71,'A1.3.2'!$B$27:$AY$106,50,)) * $CR$5)</f>
        <v>101.98182299369451</v>
      </c>
      <c r="AC71" s="1567">
        <f>IF(ISERROR(MATCH($B71,'A1.3.2'!$B$27:$B$106,0)),"",SUM(Z71:AB71))</f>
        <v>151.11169875111938</v>
      </c>
      <c r="AD71" s="1609">
        <f>IF(ISERROR(MATCH($B71,'A1.3.2'!$B$27:$B$106,0)),"",(((VLOOKUP($B71,'Forecast occupancies'!$C$28:$CP$64,28,TRUE)-1)*VLOOKUP($B71,'A1.3.2'!$B$27:$AY$106,36,)+VLOOKUP($B71,'A1.3.2'!$B$27:$AY$106,35,))*$CR$5))</f>
        <v>40.630465711474763</v>
      </c>
      <c r="AE71" s="1565">
        <f>IF(ISERROR(MATCH($B71,'A1.3.2'!$B$27:$B$106,0)),"",VLOOKUP($B71,'Forecast occupancies'!$C$28:$CP$64,29,TRUE)*VLOOKUP($B71,'A1.3.2'!$B$27:$AY$106,49,)*$CR$5)</f>
        <v>22.649451286170116</v>
      </c>
      <c r="AF71" s="1565">
        <f>IF(ISERROR(MATCH($B71,'A1.3.2'!$B$27:$B$106,0)),"",VLOOKUP($B71,'Forecast occupancies'!$C$28:$CP$64,30,TRUE)*VLOOKUP($B71,'A1.3.2'!$B$27:$AY$106,50,)*$CR$5)</f>
        <v>16.307799725322742</v>
      </c>
      <c r="AG71" s="1566">
        <f>IF(ISERROR(MATCH($B71,'A1.3.2'!$B$27:$B$106,0)),"",(((AD71*'VoT5'!$F$28)+(AE71*'VoT5'!$F$29)+(AF71*'VoT5'!$F$30))/100))</f>
        <v>21.796496134410166</v>
      </c>
      <c r="AH71" s="1565">
        <f>IF(ISERROR(MATCH($B71,'A1.3.2'!$B$27:$B$106,0)),"",(VLOOKUP($B71,'Forecast occupancies'!$C$28:$CP$64,32,TRUE) * VLOOKUP($B71, 'A1.3.2'!$B$27:$AY$106,37,)) * $CR$5)</f>
        <v>29.27069273013031</v>
      </c>
      <c r="AI71" s="1565">
        <f>IF(ISERROR(MATCH($B71,'A1.3.2'!$B$27:$B$106,0)),"",VLOOKUP($B71,'Forecast occupancies'!$C$28:$CP$64,33,TRUE) * ('VoT5'!$J$29*VLOOKUP($B71, 'A1.3.2'!$B$27:$AY$106,49,)+'VoT5'!$J$30*VLOOKUP($B71, 'A1.3.2'!$B$27:$AY$106,50,))/('VoT5'!$J$29+'VoT5'!$J$30) * $CR$5)</f>
        <v>17.867431754542608</v>
      </c>
      <c r="AJ71" s="1566">
        <f>IF(ISERROR(MATCH($B71,'A1.3.2'!$B$27:$B$106,0)),"",(AH71*'VoT5'!$F$31 + AI71*'VoT5'!$F$32)/100)</f>
        <v>27.902301413059785</v>
      </c>
      <c r="AK71" s="1566">
        <f>IF(ISERROR(MATCH($B71,'A1.3.2'!$B$27:$B$106,0)),"",(VLOOKUP($B71,'Forecast occupancies'!$C$28:$CP$64,35,TRUE)*VLOOKUP($B71,'A1.3.2'!$B$27:$AY$106,38,)) * $CR$5)</f>
        <v>28.739935570286114</v>
      </c>
      <c r="AL71" s="1566">
        <f>IF(ISERROR(MATCH($B71,'A1.3.2'!$B$27:$B$106,0)),"",(VLOOKUP($B71,'Forecast occupancies'!$C$28:$CP$64,36,TRUE)*VLOOKUP($B71,'A1.3.2'!$B$27:$AY$106,38,)) * $CR$5)</f>
        <v>28.739935570286114</v>
      </c>
      <c r="AM71" s="1565">
        <f>IF(ISERROR(MATCH($B71,'A1.3.2'!$B$27:$B$106,0)),"",(((VLOOKUP($B71,'Forecast occupancies'!$C$28:$CP$64,37,TRUE) -1) * VLOOKUP($B71,'A1.3.2'!$B$27:$AY$106,40,)) + VLOOKUP($B71,'A1.3.2'!$B$27:$AY$106,39,)) * $CR$5)</f>
        <v>34.964676277592247</v>
      </c>
      <c r="AN71" s="1565">
        <f>IF(ISERROR(MATCH($B71,'A1.3.2'!$B$27:$B$106,0)),"",(VLOOKUP($B71,'Forecast occupancies'!$C$28:$CP$64,38,TRUE) * VLOOKUP($B71,'A1.3.2'!$B$27:$AY$106,49,)) * $CR$5)</f>
        <v>63.050016200812905</v>
      </c>
      <c r="AO71" s="1565">
        <f>IF(ISERROR(MATCH($B71,'A1.3.2'!$B$27:$B$106,0)),"",(VLOOKUP($B71,'Forecast occupancies'!$C$28:$CP$64,39,TRUE) * VLOOKUP($B71,'A1.3.2'!$B$27:$AY$106,50,)) * $CR$5)</f>
        <v>79.674322152752325</v>
      </c>
      <c r="AP71" s="1567">
        <f>IF(ISERROR(MATCH($B71,'A1.3.2'!$B$27:$B$106,0)),"",SUM(AM71:AO71))</f>
        <v>177.68901463115748</v>
      </c>
      <c r="AQ71" s="1609">
        <f>IF(ISERROR(MATCH($B71,'A1.3.2'!$B$27:$B$106,0)),"",(((VLOOKUP($B71,'Forecast occupancies'!$C$28:$CP$64,41,TRUE)-1)*VLOOKUP($B71,'A1.3.2'!$B$27:$AY$106,36,)+VLOOKUP($B71,'A1.3.2'!$B$27:$AY$106,35,))*$CR$5))</f>
        <v>41.399219401382759</v>
      </c>
      <c r="AR71" s="1565">
        <f>IF(ISERROR(MATCH($B71,'A1.3.2'!$B$27:$B$106,0)),"",VLOOKUP($B71,'Forecast occupancies'!$C$28:$CP$64,42,TRUE)*VLOOKUP($B71,'A1.3.2'!$B$27:$AY$106,49,)*$CR$5)</f>
        <v>22.980947576831262</v>
      </c>
      <c r="AS71" s="1565">
        <f>IF(ISERROR(MATCH($B71,'A1.3.2'!$B$27:$B$106,0)),"",VLOOKUP($B71,'Forecast occupancies'!$C$28:$CP$64,43,TRUE)*VLOOKUP($B71,'A1.3.2'!$B$27:$AY$106,50,)*$CR$5)</f>
        <v>16.249577304323655</v>
      </c>
      <c r="AT71" s="1566">
        <f>IF(ISERROR(MATCH($B71,'A1.3.2'!$B$27:$B$106,0)),"",(((AQ71*'VoT5'!$G$28)+(AR71*'VoT5'!$G$29)+(AS71*'VoT5'!$G$30))/100))</f>
        <v>22.083006713685187</v>
      </c>
      <c r="AU71" s="1565">
        <f>IF(ISERROR(MATCH($B71,'A1.3.2'!$B$27:$B$106,0)),"",(VLOOKUP($B71,'Forecast occupancies'!$C$28:$CP$64,45,TRUE) * VLOOKUP($B71, 'A1.3.2'!$B$27:$AY$106,37,)) * $CR$5)</f>
        <v>29.27069273013031</v>
      </c>
      <c r="AV71" s="1565">
        <f>IF(ISERROR(MATCH($B71,'A1.3.2'!$B$27:$B$106,0)),"",VLOOKUP($B71,'Forecast occupancies'!$C$28:$CP$64,46,TRUE) * ('VoT5'!$J$29*VLOOKUP($B71, 'A1.3.2'!$B$27:$AY$106,49,)+'VoT5'!$J$30*VLOOKUP($B71, 'A1.3.2'!$B$27:$AY$106,50,))/('VoT5'!$J$29+'VoT5'!$J$30) * $CR$5)</f>
        <v>17.867431754542608</v>
      </c>
      <c r="AW71" s="1566">
        <f>IF(ISERROR(MATCH($B71,'A1.3.2'!$B$27:$B$106,0)),"",(AU71*'VoT5'!$G$31 + AV71*'VoT5'!$G$32)/100)</f>
        <v>27.902301413059785</v>
      </c>
      <c r="AX71" s="1566">
        <f>IF(ISERROR(MATCH($B71,'A1.3.2'!$B$27:$B$106,0)),"",(VLOOKUP($B71,'Forecast occupancies'!$C$28:$CP$64,48,TRUE)*VLOOKUP($B71,'A1.3.2'!$B$27:$AY$106,38,)) * $CR$5)</f>
        <v>28.739935570286114</v>
      </c>
      <c r="AY71" s="1566">
        <f>IF(ISERROR(MATCH($B71,'A1.3.2'!$B$27:$B$106,0)),"",(VLOOKUP($B71,'Forecast occupancies'!$C$28:$CP$64,49,TRUE)*VLOOKUP($B71,'A1.3.2'!$B$27:$AY$106,38,)) * $CR$5)</f>
        <v>28.739935570286114</v>
      </c>
      <c r="AZ71" s="1565">
        <f>IF(ISERROR(MATCH($B71,'A1.3.2'!$B$27:$B$106,0)),"",(((VLOOKUP($B71,'Forecast occupancies'!$C$28:$CP$64,50,TRUE) -1) * VLOOKUP($B71,'A1.3.2'!$B$27:$AY$106,40,)) + VLOOKUP($B71,'A1.3.2'!$B$27:$AY$106,39,)) * $CR$5)</f>
        <v>34.936401282593849</v>
      </c>
      <c r="BA71" s="1565">
        <f>IF(ISERROR(MATCH($B71,'A1.3.2'!$B$27:$B$106,0)),"",(VLOOKUP($B71,'Forecast occupancies'!$C$28:$CP$64,51,TRUE) * VLOOKUP($B71,'A1.3.2'!$B$27:$AY$106,49,)) * $CR$5)</f>
        <v>86.18780601336141</v>
      </c>
      <c r="BB71" s="1565">
        <f>IF(ISERROR(MATCH($B71,'A1.3.2'!$B$27:$B$106,0)),"",(VLOOKUP($B71,'Forecast occupancies'!$C$28:$CP$64,52,TRUE) * VLOOKUP($B71,'A1.3.2'!$B$27:$AY$106,50,)) * $CR$5)</f>
        <v>69.126354736284242</v>
      </c>
      <c r="BC71" s="1567">
        <f>IF(ISERROR(MATCH($B71,'A1.3.2'!$B$27:$B$106,0)),"",SUM(AZ71:BB71))</f>
        <v>190.25056203223949</v>
      </c>
      <c r="BD71" s="1565">
        <f>IF(ISERROR(MATCH($B71,'A1.3.2'!$B$27:$B$106,0)),"",(((VLOOKUP($B71,'Forecast occupancies'!$C$28:$CP$64,54,TRUE)-1)*VLOOKUP($B71,'A1.3.2'!$B$27:$AY$106,36,)+VLOOKUP($B71,'A1.3.2'!$B$27:$AY$106,35,))*$CR$5))</f>
        <v>40.702759085046978</v>
      </c>
      <c r="BE71" s="1565">
        <f>IF(ISERROR(MATCH($B71,'A1.3.2'!$B$27:$B$106,0)),"",VLOOKUP($B71,'Forecast occupancies'!$C$28:$CP$64,55,TRUE)*VLOOKUP($B71,'A1.3.2'!$B$27:$AY$106,49,)*$CR$5)</f>
        <v>22.726459609183525</v>
      </c>
      <c r="BF71" s="1565">
        <f>IF(ISERROR(MATCH($B71,'A1.3.2'!$B$27:$B$106,0)),"",VLOOKUP($B71,'Forecast occupancies'!$C$28:$CP$64,56,TRUE)*VLOOKUP($B71,'A1.3.2'!$B$27:$AY$106,50,)*$CR$5)</f>
        <v>16.289951812460281</v>
      </c>
      <c r="BG71" s="1566">
        <f>IF(ISERROR(MATCH($B71,'A1.3.2'!$B$27:$B$106,0)),"",(((BD71*'VoT5'!$H$28)+(BE71*'VoT5'!$H$29)+(BF71*'VoT5'!$H$30))/100))</f>
        <v>21.923973147552978</v>
      </c>
      <c r="BH71" s="1565">
        <f>IF(ISERROR(MATCH($B71,'A1.3.2'!$B$27:$B$106,0)),"",(VLOOKUP($B71,'Forecast occupancies'!$C$28:$CP$64,58,TRUE) * VLOOKUP($B71, 'A1.3.2'!$B$27:$AY$106,37,)) * $CR$5)</f>
        <v>29.27069273013031</v>
      </c>
      <c r="BI71" s="1565">
        <f>IF(ISERROR(MATCH($B71,'A1.3.2'!$B$27:$B$106,0)),"",(VLOOKUP($B71,'Forecast occupancies'!$C$28:$CP$64,59,TRUE) * (VLOOKUP($B71,'A1.3.2'!$B$27:$AY$106,49,) * 'VoT5'!$J$29 + VLOOKUP($B71,'A1.3.2'!$B$27:$AY$106,50,) * 'VoT5'!$J$30) / (SUM('VoT5'!$J$29:$J$30))) * $CR$5)</f>
        <v>17.867431754542608</v>
      </c>
      <c r="BJ71" s="1566">
        <f>IF(ISERROR(MATCH($B71,'A1.3.2'!$B$27:$B$106,0)),"",(BH71*'VoT5'!$H$31 + BI71*'VoT5'!$H$32)/100)</f>
        <v>27.902301413059785</v>
      </c>
      <c r="BK71" s="1566">
        <f>IF(ISERROR(MATCH($B71,'A1.3.2'!$B$27:$B$106,0)),"",(VLOOKUP($B71,'Forecast occupancies'!$C$28:$CP$64,61,TRUE)*VLOOKUP($B71,'A1.3.2'!$B$27:$AY$106,38,)) * $CR$5)</f>
        <v>28.739935570286114</v>
      </c>
      <c r="BL71" s="1566">
        <f>IF(ISERROR(MATCH($B71,'A1.3.2'!$B$27:$B$106,0)),"",(VLOOKUP($B71,'Forecast occupancies'!$C$28:$CP$64,62,TRUE)*VLOOKUP($B71,'A1.3.2'!$B$27:$AY$106,38,)) * $CR$5)</f>
        <v>28.739935570286114</v>
      </c>
      <c r="BM71" s="1565">
        <f>IF(ISERROR(MATCH($B71,'A1.3.2'!$B$27:$B$106,0)),"",(((VLOOKUP($B71,'Forecast occupancies'!$C$28:$CP$64,63,TRUE) -1) * VLOOKUP($B71,'A1.3.2'!$B$27:$AY$106,40,)) + VLOOKUP($B71,'A1.3.2'!$B$27:$AY$106,39,)) * $CR$5)</f>
        <v>33.685372810176212</v>
      </c>
      <c r="BN71" s="1565">
        <f>IF(ISERROR(MATCH($B71,'A1.3.2'!$B$27:$B$106,0)),"",(VLOOKUP($B71,'Forecast occupancies'!$C$28:$CP$64,64,TRUE) * VLOOKUP($B71,'A1.3.2'!$B$27:$AY$106,49,)) * $CR$5)</f>
        <v>38.908063064533039</v>
      </c>
      <c r="BO71" s="1565">
        <f>IF(ISERROR(MATCH($B71,'A1.3.2'!$B$27:$B$106,0)),"",(VLOOKUP($B71,'Forecast occupancies'!$C$28:$CP$64,65,TRUE) * VLOOKUP($B71,'A1.3.2'!$B$27:$AY$106,50,)) * $CR$5)</f>
        <v>91.273214132847713</v>
      </c>
      <c r="BP71" s="1567">
        <f>IF(ISERROR(MATCH($B71,'A1.3.2'!$B$27:$B$106,0)),"",SUM(BM71:BO71))</f>
        <v>163.86665000755698</v>
      </c>
      <c r="BQ71" s="1565">
        <f>IF(ISERROR(MATCH($B71,'A1.3.2'!$B$27:$B$106,0)),"",(((VLOOKUP($B71,'Forecast occupancies'!$C$28:$CP$64,67,TRUE)-1)*VLOOKUP($B71,'A1.3.2'!$B$27:$AY$106,36,)+VLOOKUP($B71,'A1.3.2'!$B$27:$AY$106,35,))*$CR$5))</f>
        <v>46.518158300372356</v>
      </c>
      <c r="BR71" s="1565">
        <f>IF(ISERROR(MATCH($B71,'A1.3.2'!$B$27:$B$106,0)),"",VLOOKUP($B71,'Forecast occupancies'!$C$28:$CP$64,68,TRUE)*VLOOKUP($B71,'A1.3.2'!$B$27:$AY$106,49,)*$CR$5)</f>
        <v>24.061683022421747</v>
      </c>
      <c r="BS71" s="1565">
        <f>IF(ISERROR(MATCH($B71,'A1.3.2'!$B$27:$B$106,0)),"",VLOOKUP($B71,'Forecast occupancies'!$C$28:$CP$64,69,TRUE)*VLOOKUP($B71,'A1.3.2'!$B$27:$AY$106,50,)*$CR$5)</f>
        <v>19.28769563550863</v>
      </c>
      <c r="BT71" s="1566">
        <f>IF(ISERROR(MATCH($B71,'A1.3.2'!$B$27:$B$106,0)),"",(((BQ71*'VoT5'!$I$28)+(BR71*'VoT5'!$I$29)+(BS71*'VoT5'!$I$30))/100))</f>
        <v>20.610119154415134</v>
      </c>
      <c r="BU71" s="1565">
        <f>IF(ISERROR(MATCH($B71,'A1.3.2'!$B$27:$B$106,0)),"",(VLOOKUP($B71,'Forecast occupancies'!$C$28:$CP$64,71,TRUE) * VLOOKUP($B71, 'A1.3.2'!$B$27:$AY$106,37,)) * $CR$5)</f>
        <v>30.734227366636826</v>
      </c>
      <c r="BV71" s="1565">
        <f>IF(ISERROR(MATCH($B71,'A1.3.2'!$B$27:$B$106,0)),"",(VLOOKUP($B71,'Forecast occupancies'!$C$28:$CP$64,72,TRUE) * (VLOOKUP($B71,'A1.3.2'!$B$27:$AY$106,49,)*'VoT5'!$J$29 + VLOOKUP($B71,'A1.3.2'!$B$27:$AY$106,50,)*'VoT5'!$J$30) / (SUM('VoT5'!$J$29:$J$30))) * $CR$5)</f>
        <v>24.843072918987321</v>
      </c>
      <c r="BW71" s="1566">
        <f>IF(ISERROR(MATCH($B71,'A1.3.2'!$B$27:$B$106,0)),"",(BU71*'VoT5'!$I$31 + BV71*'VoT5'!$I$32)/100)</f>
        <v>30.027288832918888</v>
      </c>
      <c r="BX71" s="1566">
        <f>IF(ISERROR(MATCH($B71,'A1.3.2'!$B$27:$B$106,0)),"",(VLOOKUP($B71,'Forecast occupancies'!$C$28:$CP$64,74,TRUE)*VLOOKUP($B71,'A1.3.2'!$B$27:$AY$106,38,)) * $CR$5)</f>
        <v>28.739935570286114</v>
      </c>
      <c r="BY71" s="1566">
        <f>IF(ISERROR(MATCH($B71,'A1.3.2'!$B$27:$B$106,0)),"",(VLOOKUP($B71,'Forecast occupancies'!$C$28:$CP$64,75,TRUE)*VLOOKUP($B71,'A1.3.2'!$B$27:$AY$106,38,)) * $CR$5)</f>
        <v>28.739935570286114</v>
      </c>
      <c r="BZ71" s="1565">
        <f>IF(ISERROR(MATCH($B71,'A1.3.2'!$B$27:$B$106,0)),"",(((VLOOKUP($B71,'Forecast occupancies'!$C$28:$CP$64,76,TRUE) -1) * VLOOKUP($B71,'A1.3.2'!$B$27:$AY$106,40,)) + VLOOKUP($B71,'A1.3.2'!$B$27:$AY$106,39,)) * $CR$5)</f>
        <v>30.678424210509139</v>
      </c>
      <c r="CA71" s="1565">
        <f>IF(ISERROR(MATCH($B71,'A1.3.2'!$B$27:$B$106,0)),"",(VLOOKUP($B71,'Forecast occupancies'!$C$28:$CP$64,77,TRUE) * VLOOKUP($B71,'A1.3.2'!$B$27:$AY$106,49,)) * $CR$5)</f>
        <v>14.739875653327875</v>
      </c>
      <c r="CB71" s="1565">
        <f>IF(ISERROR(MATCH($B71,'A1.3.2'!$B$27:$B$106,0)),"",(VLOOKUP($B71,'Forecast occupancies'!$C$28:$CP$64,78,TRUE) * VLOOKUP($B71,'A1.3.2'!$B$27:$AY$106,50,)) * $CR$5)</f>
        <v>103.66704863845773</v>
      </c>
      <c r="CC71" s="1567">
        <f>IF(ISERROR(MATCH($B71,'A1.3.2'!$B$27:$B$106,0)),"",SUM(BZ71:CB71))</f>
        <v>149.08534850229475</v>
      </c>
      <c r="CD71" s="1565">
        <f>IF(ISERROR(MATCH($B71,'A1.3.2'!$B$27:$B$106,0)),"",(((VLOOKUP($B71,'Forecast occupancies'!$C$28:$CP$64,80,TRUE)-1)*VLOOKUP($B71,'A1.3.2'!$B$27:$AY$106,36,)+VLOOKUP($B71,'A1.3.2'!$B$27:$AY$106,35,))*$CR$5))</f>
        <v>41.115552389418696</v>
      </c>
      <c r="CE71" s="1565">
        <f>IF(ISERROR(MATCH($B71,'A1.3.2'!$B$27:$B$106,0)),"",VLOOKUP($B71,'Forecast occupancies'!$C$28:$CP$64,81,TRUE)*VLOOKUP($B71,'A1.3.2'!$B$27:$AY$106,49,)*$CR$5)</f>
        <v>22.834480063455523</v>
      </c>
      <c r="CF71" s="1565">
        <f>IF(ISERROR(MATCH($B71,'A1.3.2'!$B$27:$B$106,0)),"",VLOOKUP($B71,'Forecast occupancies'!$C$28:$CP$64,82,TRUE)*VLOOKUP($B71,'A1.3.2'!$B$27:$AY$106,50,)*$CR$5)</f>
        <v>17.347760950436768</v>
      </c>
      <c r="CG71" s="1566">
        <f>IF(ISERROR(MATCH($B71,'A1.3.2'!$B$27:$B$106,0)),"",(((CD71*'VoT5'!$J$28)+(CE71*'VoT5'!$J$29)+(CF71*'VoT5'!$J$30))/100))</f>
        <v>21.612464605365375</v>
      </c>
      <c r="CH71" s="1565">
        <f>IF(ISERROR(MATCH($B71,'A1.3.2'!$B$27:$B$106,0)),"",(VLOOKUP($B71,'Forecast occupancies'!$C$28:$CP$64,84,TRUE) * VLOOKUP($B71, 'A1.3.2'!$B$27:$AY$106,37,)) * $CR$5)</f>
        <v>29.27069273013031</v>
      </c>
      <c r="CI71" s="1565">
        <f>IF(ISERROR(MATCH($B71,'A1.3.2'!$B$27:$B$106,0)),"",(VLOOKUP($B71,'Forecast occupancies'!$C$28:$CP$64,85,TRUE) * (VLOOKUP($B71,'A1.3.2'!$B$27:$AY$106,49,)*'VoT5'!$J$29 + VLOOKUP($B71,'A1.3.2'!$B$27:$AY$106,50,)*'VoT5'!$J$30) / (SUM('VoT5'!$J$29:$J$30))) * $CR$5)</f>
        <v>19.458367458714211</v>
      </c>
      <c r="CJ71" s="1566">
        <f>IF(ISERROR(MATCH($B71,'A1.3.2'!$B$27:$B$106,0)),"",(CH71*'VoT5'!$J$31 + CI71*'VoT5'!$J$32)/100)</f>
        <v>28.093213697560376</v>
      </c>
      <c r="CK71" s="1566">
        <f>IF(ISERROR(MATCH($B71,'A1.3.2'!$B$27:$B$106,0)),"",(VLOOKUP($B71,'Forecast occupancies'!$C$28:$CP$64,87,TRUE)*VLOOKUP($B71,'A1.3.2'!$B$27:$AY$106,38,)) * $CR$5)</f>
        <v>28.739935570286114</v>
      </c>
      <c r="CL71" s="1566">
        <f>IF(ISERROR(MATCH($B71,'A1.3.2'!$B$27:$B$106,0)),"",(VLOOKUP($B71,'Forecast occupancies'!$C$28:$CP$64,88,TRUE)*VLOOKUP($B71,'A1.3.2'!$B$27:$AY$106,38,)) * $CR$5)</f>
        <v>28.739935570286114</v>
      </c>
      <c r="CM71" s="1565">
        <f>IF(ISERROR(MATCH($B71,'A1.3.2'!$B$27:$B$106,0)),"",(((VLOOKUP($B71,'Forecast occupancies'!$C$28:$CP$64,89,TRUE) -1) * VLOOKUP($B71,'A1.3.2'!$B$27:$AY$106,40,)) + VLOOKUP($B71,'A1.3.2'!$B$27:$AY$106,39,)) * $CR$5)</f>
        <v>32.942834215930446</v>
      </c>
      <c r="CN71" s="1565">
        <f>IF(ISERROR(MATCH($B71,'A1.3.2'!$B$27:$B$106,0)),"",(VLOOKUP($B71,'Forecast occupancies'!$C$28:$CP$64,90,TRUE) * VLOOKUP($B71,'A1.3.2'!$B$27:$AY$106,49,)) * $CR$5)</f>
        <v>32.938798988099855</v>
      </c>
      <c r="CO71" s="1565">
        <f>IF(ISERROR(MATCH($B71,'A1.3.2'!$B$27:$B$106,0)),"",(VLOOKUP($B71,'Forecast occupancies'!$C$28:$CP$64,91,TRUE) * VLOOKUP($B71,'A1.3.2'!$B$27:$AY$106,50,)) * $CR$5)</f>
        <v>94.334283732376051</v>
      </c>
      <c r="CP71" s="1567">
        <f>IF(ISERROR(MATCH($B71,'A1.3.2'!$B$27:$B$106,0)),"",SUM(CM71:CO71))</f>
        <v>160.21591693640636</v>
      </c>
    </row>
    <row r="72" spans="1:94" s="26" customFormat="1" ht="13.5" customHeight="1">
      <c r="A72" s="113"/>
      <c r="B72" s="82">
        <f t="shared" si="0"/>
        <v>2054</v>
      </c>
      <c r="D72" s="1609">
        <f>IF(ISERROR(MATCH($B72,'A1.3.2'!$B$27:$B$106,0)),"",(((VLOOKUP($B72,'Forecast occupancies'!$C$28:$CP$64,2,TRUE) -1) * VLOOKUP($B72,'A1.3.2'!$B$27:$AY$106,36,) + VLOOKUP($B72,'A1.3.2'!$B$27:$AY$106,35,)) * $CR$5))</f>
        <v>40.84356780048865</v>
      </c>
      <c r="E72" s="1565">
        <f>IF(ISERROR(MATCH($B72,'A1.3.2'!$B$27:$B$106,0)),"",VLOOKUP($B72,'Forecast occupancies'!$C$28:$CP$64,3,TRUE)*VLOOKUP($B72,'A1.3.2'!$B$27:$AY$106,49,)*$CR$5)</f>
        <v>23.01743021367519</v>
      </c>
      <c r="F72" s="1565">
        <f>IF(ISERROR(MATCH($B72,'A1.3.2'!$B$27:$B$106,0)),"",VLOOKUP($B72,'Forecast occupancies'!$C$28:$CP$64,4,TRUE)*VLOOKUP($B72,'A1.3.2'!$B$27:$AY$106,50,)*$CR$5)</f>
        <v>15.880243615434329</v>
      </c>
      <c r="G72" s="1566">
        <f>IF(ISERROR(MATCH($B72,'A1.3.2'!$B$27:$B$106,0)),"",(((D72*'VoT5'!$D$28)+(E72*'VoT5'!$D$29)+(F72*'VoT5'!$D$30))/100))</f>
        <v>23.133997819593759</v>
      </c>
      <c r="H72" s="1565">
        <f>IF(ISERROR(MATCH($B72,'A1.3.2'!$B$27:$B$106,0)),"",(VLOOKUP($B72,'Forecast occupancies'!$C$28:$CP$64,6,TRUE) * VLOOKUP($B72, 'A1.3.2'!$B$27:$AY$106,37,)) * $CR$5)</f>
        <v>29.848850425178679</v>
      </c>
      <c r="I72" s="1565">
        <f>IF(ISERROR(MATCH($B72,'A1.3.2'!$B$27:$B$106,0)),"",VLOOKUP($B72,'Forecast occupancies'!$C$28:$CP$64,7,TRUE) * ('VoT5'!$J$29*VLOOKUP($B72, 'A1.3.2'!$B$27:$AY$106,49,)+'VoT5'!$J$30*VLOOKUP($B72, 'A1.3.2'!$B$27:$AY$106,50,))/('VoT5'!$J$29+'VoT5'!$J$30) * $CR$5)</f>
        <v>18.220351080876377</v>
      </c>
      <c r="J72" s="1566">
        <f>IF(ISERROR(MATCH($B72,'A1.3.2'!$B$27:$B$106,0)),"",(H72*'VoT5'!$D$31 + I72*'VoT5'!$D$32)/100)</f>
        <v>28.4534305038624</v>
      </c>
      <c r="K72" s="1566">
        <f>IF(ISERROR(MATCH($B72,'A1.3.2'!$B$27:$B$106,0)),"",(VLOOKUP($B72,'Forecast occupancies'!$C$28:$CP$64,9,TRUE)*VLOOKUP($B72,'A1.3.2'!$B$27:$AY$106,38,)) * $CR$5)</f>
        <v>29.307609696018417</v>
      </c>
      <c r="L72" s="1566">
        <f>IF(ISERROR(MATCH($B72,'A1.3.2'!$B$27:$B$106,0)),"",(VLOOKUP($B72,'Forecast occupancies'!$C$28:$CP$64,10,TRUE)*VLOOKUP($B72,'A1.3.2'!$B$27:$AY$106,38,)) * $CR$5)</f>
        <v>29.307609696018417</v>
      </c>
      <c r="M72" s="1565">
        <f>IF(ISERROR(MATCH($B72,'A1.3.2'!$B$27:$B$106,0)),"",(((VLOOKUP($B72,'Forecast occupancies'!$C$28:$CP$64,11,TRUE) -1) * VLOOKUP($B72,'A1.3.2'!$B$27:$AY$106,40,)) + VLOOKUP($B72,'A1.3.2'!$B$27:$AY$106,39,)) * $CR$5)</f>
        <v>33.396286222417643</v>
      </c>
      <c r="N72" s="1565">
        <f>IF(ISERROR(MATCH($B72,'A1.3.2'!$B$27:$B$106,0)),"",(VLOOKUP($B72,'Forecast occupancies'!$C$28:$CP$64,12,TRUE) * VLOOKUP($B72,'A1.3.2'!$B$27:$AY$106,49,)) * $CR$5)</f>
        <v>45.717017729046603</v>
      </c>
      <c r="O72" s="1565">
        <f>IF(ISERROR(MATCH($B72,'A1.3.2'!$B$27:$B$106,0)),"",(VLOOKUP($B72,'Forecast occupancies'!$C$28:$CP$64,13,TRUE) * VLOOKUP($B72,'A1.3.2'!$B$27:$AY$106,50,)) * $CR$5)</f>
        <v>90.751568043880908</v>
      </c>
      <c r="P72" s="1567">
        <f>IF(ISERROR(MATCH($B72,'A1.3.2'!$B$27:$B$106,0)),"",SUM(M72:O72))</f>
        <v>169.86487199534514</v>
      </c>
      <c r="Q72" s="1609">
        <f>IF(ISERROR(MATCH($B72,'A1.3.2'!$B$27:$B$106,0)),"",(((VLOOKUP($B72,'Forecast occupancies'!$C$28:$CP$64,15,TRUE)-1)*VLOOKUP($B72,'A1.3.2'!$B$27:$AY$106,36,)+VLOOKUP($B72,'A1.3.2'!$B$27:$AY$106,35,))*$CR$5))</f>
        <v>41.85332740796683</v>
      </c>
      <c r="R72" s="1565">
        <f>IF(ISERROR(MATCH($B72,'A1.3.2'!$B$27:$B$106,0)),"",VLOOKUP($B72,'Forecast occupancies'!$C$28:$CP$64,16,TRUE)*VLOOKUP($B72,'A1.3.2'!$B$27:$AY$106,49,)*$CR$5)</f>
        <v>23.391695775332149</v>
      </c>
      <c r="S72" s="1565">
        <f>IF(ISERROR(MATCH($B72,'A1.3.2'!$B$27:$B$106,0)),"",VLOOKUP($B72,'Forecast occupancies'!$C$28:$CP$64,17,TRUE)*VLOOKUP($B72,'A1.3.2'!$B$27:$AY$106,50,)*$CR$5)</f>
        <v>16.916210683236361</v>
      </c>
      <c r="T72" s="1566">
        <f>IF(ISERROR(MATCH($B72,'A1.3.2'!$B$27:$B$106,0)),"",(((Q72*'VoT5'!$E$28)+(R72*'VoT5'!$E$29)+(S72*'VoT5'!$E$30))/100))</f>
        <v>21.787822004654149</v>
      </c>
      <c r="U72" s="1565">
        <f>IF(ISERROR(MATCH($B72,'A1.3.2'!$B$27:$B$106,0)),"",(VLOOKUP($B72,'Forecast occupancies'!$C$28:$CP$64,19,TRUE) * VLOOKUP($B72, 'A1.3.2'!$B$27:$AY$106,37,)) * $CR$5)</f>
        <v>29.848850425178679</v>
      </c>
      <c r="V72" s="1565">
        <f>IF(ISERROR(MATCH($B72,'A1.3.2'!$B$27:$B$106,0)),"",VLOOKUP($B72,'Forecast occupancies'!$C$28:$CP$64,20,TRUE) * ('VoT5'!$J$29*VLOOKUP($B72, 'A1.3.2'!$B$27:$AY$106,49,)+'VoT5'!$J$30*VLOOKUP($B72, 'A1.3.2'!$B$27:$AY$106,50,))/('VoT5'!$J$29+'VoT5'!$J$30) * $CR$5)</f>
        <v>18.220351080876377</v>
      </c>
      <c r="W72" s="1566">
        <f>IF(ISERROR(MATCH($B72,'A1.3.2'!$B$27:$B$106,0)),"",(U72*'VoT5'!$E$31 + V72*'VoT5'!$E$32)/100)</f>
        <v>28.4534305038624</v>
      </c>
      <c r="X72" s="1566">
        <f>IF(ISERROR(MATCH($B72,'A1.3.2'!$B$27:$B$106,0)),"",(VLOOKUP($B72,'Forecast occupancies'!$C$28:$CP$64,22,TRUE)*VLOOKUP($B72,'A1.3.2'!$B$27:$AY$106,38,)) * $CR$5)</f>
        <v>29.307609696018417</v>
      </c>
      <c r="Y72" s="1566">
        <f>IF(ISERROR(MATCH($B72,'A1.3.2'!$B$27:$B$106,0)),"",(VLOOKUP($B72,'Forecast occupancies'!$C$28:$CP$64,23,TRUE)*VLOOKUP($B72,'A1.3.2'!$B$27:$AY$106,38,)) * $CR$5)</f>
        <v>29.307609696018417</v>
      </c>
      <c r="Z72" s="1565">
        <f>IF(ISERROR(MATCH($B72,'A1.3.2'!$B$27:$B$106,0)),"",(((VLOOKUP($B72,'Forecast occupancies'!$C$28:$CP$64,24,TRUE) -1) * VLOOKUP($B72,'A1.3.2'!$B$27:$AY$106,40,)) + VLOOKUP($B72,'A1.3.2'!$B$27:$AY$106,39,)) * $CR$5)</f>
        <v>34.07793412272914</v>
      </c>
      <c r="AA72" s="1565">
        <f>IF(ISERROR(MATCH($B72,'A1.3.2'!$B$27:$B$106,0)),"",(VLOOKUP($B72,'Forecast occupancies'!$C$28:$CP$64,25,TRUE) * VLOOKUP($B72,'A1.3.2'!$B$27:$AY$106,49,)) * $CR$5)</f>
        <v>16.022359929466255</v>
      </c>
      <c r="AB72" s="1565">
        <f>IF(ISERROR(MATCH($B72,'A1.3.2'!$B$27:$B$106,0)),"",(VLOOKUP($B72,'Forecast occupancies'!$C$28:$CP$64,26,TRUE) * VLOOKUP($B72,'A1.3.2'!$B$27:$AY$106,50,)) * $CR$5)</f>
        <v>103.99617831703718</v>
      </c>
      <c r="AC72" s="1567">
        <f>IF(ISERROR(MATCH($B72,'A1.3.2'!$B$27:$B$106,0)),"",SUM(Z72:AB72))</f>
        <v>154.09647236923257</v>
      </c>
      <c r="AD72" s="1609">
        <f>IF(ISERROR(MATCH($B72,'A1.3.2'!$B$27:$B$106,0)),"",(((VLOOKUP($B72,'Forecast occupancies'!$C$28:$CP$64,28,TRUE)-1)*VLOOKUP($B72,'A1.3.2'!$B$27:$AY$106,36,)+VLOOKUP($B72,'A1.3.2'!$B$27:$AY$106,35,))*$CR$5))</f>
        <v>41.433002795959524</v>
      </c>
      <c r="AE72" s="1565">
        <f>IF(ISERROR(MATCH($B72,'A1.3.2'!$B$27:$B$106,0)),"",VLOOKUP($B72,'Forecast occupancies'!$C$28:$CP$64,29,TRUE)*VLOOKUP($B72,'A1.3.2'!$B$27:$AY$106,49,)*$CR$5)</f>
        <v>23.096825547874655</v>
      </c>
      <c r="AF72" s="1565">
        <f>IF(ISERROR(MATCH($B72,'A1.3.2'!$B$27:$B$106,0)),"",VLOOKUP($B72,'Forecast occupancies'!$C$28:$CP$64,30,TRUE)*VLOOKUP($B72,'A1.3.2'!$B$27:$AY$106,50,)*$CR$5)</f>
        <v>16.629913041445171</v>
      </c>
      <c r="AG72" s="1566">
        <f>IF(ISERROR(MATCH($B72,'A1.3.2'!$B$27:$B$106,0)),"",(((AD72*'VoT5'!$F$28)+(AE72*'VoT5'!$F$29)+(AF72*'VoT5'!$F$30))/100))</f>
        <v>22.227022739345262</v>
      </c>
      <c r="AH72" s="1565">
        <f>IF(ISERROR(MATCH($B72,'A1.3.2'!$B$27:$B$106,0)),"",(VLOOKUP($B72,'Forecast occupancies'!$C$28:$CP$64,32,TRUE) * VLOOKUP($B72, 'A1.3.2'!$B$27:$AY$106,37,)) * $CR$5)</f>
        <v>29.848850425178679</v>
      </c>
      <c r="AI72" s="1565">
        <f>IF(ISERROR(MATCH($B72,'A1.3.2'!$B$27:$B$106,0)),"",VLOOKUP($B72,'Forecast occupancies'!$C$28:$CP$64,33,TRUE) * ('VoT5'!$J$29*VLOOKUP($B72, 'A1.3.2'!$B$27:$AY$106,49,)+'VoT5'!$J$30*VLOOKUP($B72, 'A1.3.2'!$B$27:$AY$106,50,))/('VoT5'!$J$29+'VoT5'!$J$30) * $CR$5)</f>
        <v>18.220351080876377</v>
      </c>
      <c r="AJ72" s="1566">
        <f>IF(ISERROR(MATCH($B72,'A1.3.2'!$B$27:$B$106,0)),"",(AH72*'VoT5'!$F$31 + AI72*'VoT5'!$F$32)/100)</f>
        <v>28.4534305038624</v>
      </c>
      <c r="AK72" s="1566">
        <f>IF(ISERROR(MATCH($B72,'A1.3.2'!$B$27:$B$106,0)),"",(VLOOKUP($B72,'Forecast occupancies'!$C$28:$CP$64,35,TRUE)*VLOOKUP($B72,'A1.3.2'!$B$27:$AY$106,38,)) * $CR$5)</f>
        <v>29.307609696018417</v>
      </c>
      <c r="AL72" s="1566">
        <f>IF(ISERROR(MATCH($B72,'A1.3.2'!$B$27:$B$106,0)),"",(VLOOKUP($B72,'Forecast occupancies'!$C$28:$CP$64,36,TRUE)*VLOOKUP($B72,'A1.3.2'!$B$27:$AY$106,38,)) * $CR$5)</f>
        <v>29.307609696018417</v>
      </c>
      <c r="AM72" s="1565">
        <f>IF(ISERROR(MATCH($B72,'A1.3.2'!$B$27:$B$106,0)),"",(((VLOOKUP($B72,'Forecast occupancies'!$C$28:$CP$64,37,TRUE) -1) * VLOOKUP($B72,'A1.3.2'!$B$27:$AY$106,40,)) + VLOOKUP($B72,'A1.3.2'!$B$27:$AY$106,39,)) * $CR$5)</f>
        <v>35.655302113855988</v>
      </c>
      <c r="AN72" s="1565">
        <f>IF(ISERROR(MATCH($B72,'A1.3.2'!$B$27:$B$106,0)),"",(VLOOKUP($B72,'Forecast occupancies'!$C$28:$CP$64,38,TRUE) * VLOOKUP($B72,'A1.3.2'!$B$27:$AY$106,49,)) * $CR$5)</f>
        <v>64.295386523118296</v>
      </c>
      <c r="AO72" s="1565">
        <f>IF(ISERROR(MATCH($B72,'A1.3.2'!$B$27:$B$106,0)),"",(VLOOKUP($B72,'Forecast occupancies'!$C$28:$CP$64,39,TRUE) * VLOOKUP($B72,'A1.3.2'!$B$27:$AY$106,50,)) * $CR$5)</f>
        <v>81.248057454307371</v>
      </c>
      <c r="AP72" s="1567">
        <f>IF(ISERROR(MATCH($B72,'A1.3.2'!$B$27:$B$106,0)),"",SUM(AM72:AO72))</f>
        <v>181.19874609128166</v>
      </c>
      <c r="AQ72" s="1609">
        <f>IF(ISERROR(MATCH($B72,'A1.3.2'!$B$27:$B$106,0)),"",(((VLOOKUP($B72,'Forecast occupancies'!$C$28:$CP$64,41,TRUE)-1)*VLOOKUP($B72,'A1.3.2'!$B$27:$AY$106,36,)+VLOOKUP($B72,'A1.3.2'!$B$27:$AY$106,35,))*$CR$5))</f>
        <v>42.216940986812375</v>
      </c>
      <c r="AR72" s="1565">
        <f>IF(ISERROR(MATCH($B72,'A1.3.2'!$B$27:$B$106,0)),"",VLOOKUP($B72,'Forecast occupancies'!$C$28:$CP$64,42,TRUE)*VLOOKUP($B72,'A1.3.2'!$B$27:$AY$106,49,)*$CR$5)</f>
        <v>23.434869586930169</v>
      </c>
      <c r="AS72" s="1565">
        <f>IF(ISERROR(MATCH($B72,'A1.3.2'!$B$27:$B$106,0)),"",VLOOKUP($B72,'Forecast occupancies'!$C$28:$CP$64,43,TRUE)*VLOOKUP($B72,'A1.3.2'!$B$27:$AY$106,50,)*$CR$5)</f>
        <v>16.570540605274413</v>
      </c>
      <c r="AT72" s="1566">
        <f>IF(ISERROR(MATCH($B72,'A1.3.2'!$B$27:$B$106,0)),"",(((AQ72*'VoT5'!$G$28)+(AR72*'VoT5'!$G$29)+(AS72*'VoT5'!$G$30))/100))</f>
        <v>22.519192504675349</v>
      </c>
      <c r="AU72" s="1565">
        <f>IF(ISERROR(MATCH($B72,'A1.3.2'!$B$27:$B$106,0)),"",(VLOOKUP($B72,'Forecast occupancies'!$C$28:$CP$64,45,TRUE) * VLOOKUP($B72, 'A1.3.2'!$B$27:$AY$106,37,)) * $CR$5)</f>
        <v>29.848850425178679</v>
      </c>
      <c r="AV72" s="1565">
        <f>IF(ISERROR(MATCH($B72,'A1.3.2'!$B$27:$B$106,0)),"",VLOOKUP($B72,'Forecast occupancies'!$C$28:$CP$64,46,TRUE) * ('VoT5'!$J$29*VLOOKUP($B72, 'A1.3.2'!$B$27:$AY$106,49,)+'VoT5'!$J$30*VLOOKUP($B72, 'A1.3.2'!$B$27:$AY$106,50,))/('VoT5'!$J$29+'VoT5'!$J$30) * $CR$5)</f>
        <v>18.220351080876377</v>
      </c>
      <c r="AW72" s="1566">
        <f>IF(ISERROR(MATCH($B72,'A1.3.2'!$B$27:$B$106,0)),"",(AU72*'VoT5'!$G$31 + AV72*'VoT5'!$G$32)/100)</f>
        <v>28.4534305038624</v>
      </c>
      <c r="AX72" s="1566">
        <f>IF(ISERROR(MATCH($B72,'A1.3.2'!$B$27:$B$106,0)),"",(VLOOKUP($B72,'Forecast occupancies'!$C$28:$CP$64,48,TRUE)*VLOOKUP($B72,'A1.3.2'!$B$27:$AY$106,38,)) * $CR$5)</f>
        <v>29.307609696018417</v>
      </c>
      <c r="AY72" s="1566">
        <f>IF(ISERROR(MATCH($B72,'A1.3.2'!$B$27:$B$106,0)),"",(VLOOKUP($B72,'Forecast occupancies'!$C$28:$CP$64,49,TRUE)*VLOOKUP($B72,'A1.3.2'!$B$27:$AY$106,38,)) * $CR$5)</f>
        <v>29.307609696018417</v>
      </c>
      <c r="AZ72" s="1565">
        <f>IF(ISERROR(MATCH($B72,'A1.3.2'!$B$27:$B$106,0)),"",(((VLOOKUP($B72,'Forecast occupancies'!$C$28:$CP$64,50,TRUE) -1) * VLOOKUP($B72,'A1.3.2'!$B$27:$AY$106,40,)) + VLOOKUP($B72,'A1.3.2'!$B$27:$AY$106,39,)) * $CR$5)</f>
        <v>35.626468628285245</v>
      </c>
      <c r="BA72" s="1565">
        <f>IF(ISERROR(MATCH($B72,'A1.3.2'!$B$27:$B$106,0)),"",(VLOOKUP($B72,'Forecast occupancies'!$C$28:$CP$64,51,TRUE) * VLOOKUP($B72,'A1.3.2'!$B$27:$AY$106,49,)) * $CR$5)</f>
        <v>87.890196309531873</v>
      </c>
      <c r="BB72" s="1565">
        <f>IF(ISERROR(MATCH($B72,'A1.3.2'!$B$27:$B$106,0)),"",(VLOOKUP($B72,'Forecast occupancies'!$C$28:$CP$64,52,TRUE) * VLOOKUP($B72,'A1.3.2'!$B$27:$AY$106,50,)) * $CR$5)</f>
        <v>70.491745514353738</v>
      </c>
      <c r="BC72" s="1567">
        <f>IF(ISERROR(MATCH($B72,'A1.3.2'!$B$27:$B$106,0)),"",SUM(AZ72:BB72))</f>
        <v>194.00841045217086</v>
      </c>
      <c r="BD72" s="1565">
        <f>IF(ISERROR(MATCH($B72,'A1.3.2'!$B$27:$B$106,0)),"",(((VLOOKUP($B72,'Forecast occupancies'!$C$28:$CP$64,54,TRUE)-1)*VLOOKUP($B72,'A1.3.2'!$B$27:$AY$106,36,)+VLOOKUP($B72,'A1.3.2'!$B$27:$AY$106,35,))*$CR$5))</f>
        <v>41.506724115587446</v>
      </c>
      <c r="BE72" s="1565">
        <f>IF(ISERROR(MATCH($B72,'A1.3.2'!$B$27:$B$106,0)),"",VLOOKUP($B72,'Forecast occupancies'!$C$28:$CP$64,55,TRUE)*VLOOKUP($B72,'A1.3.2'!$B$27:$AY$106,49,)*$CR$5)</f>
        <v>23.175354947103905</v>
      </c>
      <c r="BF72" s="1565">
        <f>IF(ISERROR(MATCH($B72,'A1.3.2'!$B$27:$B$106,0)),"",VLOOKUP($B72,'Forecast occupancies'!$C$28:$CP$64,56,TRUE)*VLOOKUP($B72,'A1.3.2'!$B$27:$AY$106,50,)*$CR$5)</f>
        <v>16.611712594795517</v>
      </c>
      <c r="BG72" s="1566">
        <f>IF(ISERROR(MATCH($B72,'A1.3.2'!$B$27:$B$106,0)),"",(((BD72*'VoT5'!$H$28)+(BE72*'VoT5'!$H$29)+(BF72*'VoT5'!$H$30))/100))</f>
        <v>22.357017691396109</v>
      </c>
      <c r="BH72" s="1565">
        <f>IF(ISERROR(MATCH($B72,'A1.3.2'!$B$27:$B$106,0)),"",(VLOOKUP($B72,'Forecast occupancies'!$C$28:$CP$64,58,TRUE) * VLOOKUP($B72, 'A1.3.2'!$B$27:$AY$106,37,)) * $CR$5)</f>
        <v>29.848850425178679</v>
      </c>
      <c r="BI72" s="1565">
        <f>IF(ISERROR(MATCH($B72,'A1.3.2'!$B$27:$B$106,0)),"",(VLOOKUP($B72,'Forecast occupancies'!$C$28:$CP$64,59,TRUE) * (VLOOKUP($B72,'A1.3.2'!$B$27:$AY$106,49,) * 'VoT5'!$J$29 + VLOOKUP($B72,'A1.3.2'!$B$27:$AY$106,50,) * 'VoT5'!$J$30) / (SUM('VoT5'!$J$29:$J$30))) * $CR$5)</f>
        <v>18.220351080876377</v>
      </c>
      <c r="BJ72" s="1566">
        <f>IF(ISERROR(MATCH($B72,'A1.3.2'!$B$27:$B$106,0)),"",(BH72*'VoT5'!$H$31 + BI72*'VoT5'!$H$32)/100)</f>
        <v>28.4534305038624</v>
      </c>
      <c r="BK72" s="1566">
        <f>IF(ISERROR(MATCH($B72,'A1.3.2'!$B$27:$B$106,0)),"",(VLOOKUP($B72,'Forecast occupancies'!$C$28:$CP$64,61,TRUE)*VLOOKUP($B72,'A1.3.2'!$B$27:$AY$106,38,)) * $CR$5)</f>
        <v>29.307609696018417</v>
      </c>
      <c r="BL72" s="1566">
        <f>IF(ISERROR(MATCH($B72,'A1.3.2'!$B$27:$B$106,0)),"",(VLOOKUP($B72,'Forecast occupancies'!$C$28:$CP$64,62,TRUE)*VLOOKUP($B72,'A1.3.2'!$B$27:$AY$106,38,)) * $CR$5)</f>
        <v>29.307609696018417</v>
      </c>
      <c r="BM72" s="1565">
        <f>IF(ISERROR(MATCH($B72,'A1.3.2'!$B$27:$B$106,0)),"",(((VLOOKUP($B72,'Forecast occupancies'!$C$28:$CP$64,63,TRUE) -1) * VLOOKUP($B72,'A1.3.2'!$B$27:$AY$106,40,)) + VLOOKUP($B72,'A1.3.2'!$B$27:$AY$106,39,)) * $CR$5)</f>
        <v>34.35072971444685</v>
      </c>
      <c r="BN72" s="1565">
        <f>IF(ISERROR(MATCH($B72,'A1.3.2'!$B$27:$B$106,0)),"",(VLOOKUP($B72,'Forecast occupancies'!$C$28:$CP$64,64,TRUE) * VLOOKUP($B72,'A1.3.2'!$B$27:$AY$106,49,)) * $CR$5)</f>
        <v>39.676579077036955</v>
      </c>
      <c r="BO72" s="1565">
        <f>IF(ISERROR(MATCH($B72,'A1.3.2'!$B$27:$B$106,0)),"",(VLOOKUP($B72,'Forecast occupancies'!$C$28:$CP$64,65,TRUE) * VLOOKUP($B72,'A1.3.2'!$B$27:$AY$106,50,)) * $CR$5)</f>
        <v>93.076051926583403</v>
      </c>
      <c r="BP72" s="1567">
        <f>IF(ISERROR(MATCH($B72,'A1.3.2'!$B$27:$B$106,0)),"",SUM(BM72:BO72))</f>
        <v>167.10336071806722</v>
      </c>
      <c r="BQ72" s="1565">
        <f>IF(ISERROR(MATCH($B72,'A1.3.2'!$B$27:$B$106,0)),"",(((VLOOKUP($B72,'Forecast occupancies'!$C$28:$CP$64,67,TRUE)-1)*VLOOKUP($B72,'A1.3.2'!$B$27:$AY$106,36,)+VLOOKUP($B72,'A1.3.2'!$B$27:$AY$106,35,))*$CR$5))</f>
        <v>47.436989686728779</v>
      </c>
      <c r="BR72" s="1565">
        <f>IF(ISERROR(MATCH($B72,'A1.3.2'!$B$27:$B$106,0)),"",VLOOKUP($B72,'Forecast occupancies'!$C$28:$CP$64,68,TRUE)*VLOOKUP($B72,'A1.3.2'!$B$27:$AY$106,49,)*$CR$5)</f>
        <v>24.536951828783405</v>
      </c>
      <c r="BS72" s="1565">
        <f>IF(ISERROR(MATCH($B72,'A1.3.2'!$B$27:$B$106,0)),"",VLOOKUP($B72,'Forecast occupancies'!$C$28:$CP$64,69,TRUE)*VLOOKUP($B72,'A1.3.2'!$B$27:$AY$106,50,)*$CR$5)</f>
        <v>19.66866815823753</v>
      </c>
      <c r="BT72" s="1566">
        <f>IF(ISERROR(MATCH($B72,'A1.3.2'!$B$27:$B$106,0)),"",(((BQ72*'VoT5'!$I$28)+(BR72*'VoT5'!$I$29)+(BS72*'VoT5'!$I$30))/100))</f>
        <v>21.017212320772728</v>
      </c>
      <c r="BU72" s="1565">
        <f>IF(ISERROR(MATCH($B72,'A1.3.2'!$B$27:$B$106,0)),"",(VLOOKUP($B72,'Forecast occupancies'!$C$28:$CP$64,71,TRUE) * VLOOKUP($B72, 'A1.3.2'!$B$27:$AY$106,37,)) * $CR$5)</f>
        <v>31.341292946437616</v>
      </c>
      <c r="BV72" s="1565">
        <f>IF(ISERROR(MATCH($B72,'A1.3.2'!$B$27:$B$106,0)),"",(VLOOKUP($B72,'Forecast occupancies'!$C$28:$CP$64,72,TRUE) * (VLOOKUP($B72,'A1.3.2'!$B$27:$AY$106,49,)*'VoT5'!$J$29 + VLOOKUP($B72,'A1.3.2'!$B$27:$AY$106,50,)*'VoT5'!$J$30) / (SUM('VoT5'!$J$29:$J$30))) * $CR$5)</f>
        <v>25.333775817930853</v>
      </c>
      <c r="BW72" s="1566">
        <f>IF(ISERROR(MATCH($B72,'A1.3.2'!$B$27:$B$106,0)),"",(BU72*'VoT5'!$I$31 + BV72*'VoT5'!$I$32)/100)</f>
        <v>30.620390891016804</v>
      </c>
      <c r="BX72" s="1566">
        <f>IF(ISERROR(MATCH($B72,'A1.3.2'!$B$27:$B$106,0)),"",(VLOOKUP($B72,'Forecast occupancies'!$C$28:$CP$64,74,TRUE)*VLOOKUP($B72,'A1.3.2'!$B$27:$AY$106,38,)) * $CR$5)</f>
        <v>29.307609696018417</v>
      </c>
      <c r="BY72" s="1566">
        <f>IF(ISERROR(MATCH($B72,'A1.3.2'!$B$27:$B$106,0)),"",(VLOOKUP($B72,'Forecast occupancies'!$C$28:$CP$64,75,TRUE)*VLOOKUP($B72,'A1.3.2'!$B$27:$AY$106,38,)) * $CR$5)</f>
        <v>29.307609696018417</v>
      </c>
      <c r="BZ72" s="1565">
        <f>IF(ISERROR(MATCH($B72,'A1.3.2'!$B$27:$B$106,0)),"",(((VLOOKUP($B72,'Forecast occupancies'!$C$28:$CP$64,76,TRUE) -1) * VLOOKUP($B72,'A1.3.2'!$B$27:$AY$106,40,)) + VLOOKUP($B72,'A1.3.2'!$B$27:$AY$106,39,)) * $CR$5)</f>
        <v>31.28438756070366</v>
      </c>
      <c r="CA72" s="1565">
        <f>IF(ISERROR(MATCH($B72,'A1.3.2'!$B$27:$B$106,0)),"",(VLOOKUP($B72,'Forecast occupancies'!$C$28:$CP$64,77,TRUE) * VLOOKUP($B72,'A1.3.2'!$B$27:$AY$106,49,)) * $CR$5)</f>
        <v>15.031019173968076</v>
      </c>
      <c r="CB72" s="1565">
        <f>IF(ISERROR(MATCH($B72,'A1.3.2'!$B$27:$B$106,0)),"",(VLOOKUP($B72,'Forecast occupancies'!$C$28:$CP$64,78,TRUE) * VLOOKUP($B72,'A1.3.2'!$B$27:$AY$106,50,)) * $CR$5)</f>
        <v>105.71469070985914</v>
      </c>
      <c r="CC72" s="1567">
        <f>IF(ISERROR(MATCH($B72,'A1.3.2'!$B$27:$B$106,0)),"",SUM(BZ72:CB72))</f>
        <v>152.0300974445309</v>
      </c>
      <c r="CD72" s="1565">
        <f>IF(ISERROR(MATCH($B72,'A1.3.2'!$B$27:$B$106,0)),"",(((VLOOKUP($B72,'Forecast occupancies'!$C$28:$CP$64,80,TRUE)-1)*VLOOKUP($B72,'A1.3.2'!$B$27:$AY$106,36,)+VLOOKUP($B72,'A1.3.2'!$B$27:$AY$106,35,))*$CR$5))</f>
        <v>41.927670955223505</v>
      </c>
      <c r="CE72" s="1565">
        <f>IF(ISERROR(MATCH($B72,'A1.3.2'!$B$27:$B$106,0)),"",VLOOKUP($B72,'Forecast occupancies'!$C$28:$CP$64,81,TRUE)*VLOOKUP($B72,'A1.3.2'!$B$27:$AY$106,49,)*$CR$5)</f>
        <v>23.285509032357439</v>
      </c>
      <c r="CF72" s="1565">
        <f>IF(ISERROR(MATCH($B72,'A1.3.2'!$B$27:$B$106,0)),"",VLOOKUP($B72,'Forecast occupancies'!$C$28:$CP$64,82,TRUE)*VLOOKUP($B72,'A1.3.2'!$B$27:$AY$106,50,)*$CR$5)</f>
        <v>17.690415686278751</v>
      </c>
      <c r="CG72" s="1566">
        <f>IF(ISERROR(MATCH($B72,'A1.3.2'!$B$27:$B$106,0)),"",(((CD72*'VoT5'!$J$28)+(CE72*'VoT5'!$J$29)+(CF72*'VoT5'!$J$30))/100))</f>
        <v>22.039356200851607</v>
      </c>
      <c r="CH72" s="1565">
        <f>IF(ISERROR(MATCH($B72,'A1.3.2'!$B$27:$B$106,0)),"",(VLOOKUP($B72,'Forecast occupancies'!$C$28:$CP$64,84,TRUE) * VLOOKUP($B72, 'A1.3.2'!$B$27:$AY$106,37,)) * $CR$5)</f>
        <v>29.848850425178679</v>
      </c>
      <c r="CI72" s="1565">
        <f>IF(ISERROR(MATCH($B72,'A1.3.2'!$B$27:$B$106,0)),"",(VLOOKUP($B72,'Forecast occupancies'!$C$28:$CP$64,85,TRUE) * (VLOOKUP($B72,'A1.3.2'!$B$27:$AY$106,49,)*'VoT5'!$J$29 + VLOOKUP($B72,'A1.3.2'!$B$27:$AY$106,50,)*'VoT5'!$J$30) / (SUM('VoT5'!$J$29:$J$30))) * $CR$5)</f>
        <v>19.842711108625643</v>
      </c>
      <c r="CJ72" s="1566">
        <f>IF(ISERROR(MATCH($B72,'A1.3.2'!$B$27:$B$106,0)),"",(CH72*'VoT5'!$J$31 + CI72*'VoT5'!$J$32)/100)</f>
        <v>28.648113707192316</v>
      </c>
      <c r="CK72" s="1566">
        <f>IF(ISERROR(MATCH($B72,'A1.3.2'!$B$27:$B$106,0)),"",(VLOOKUP($B72,'Forecast occupancies'!$C$28:$CP$64,87,TRUE)*VLOOKUP($B72,'A1.3.2'!$B$27:$AY$106,38,)) * $CR$5)</f>
        <v>29.307609696018417</v>
      </c>
      <c r="CL72" s="1566">
        <f>IF(ISERROR(MATCH($B72,'A1.3.2'!$B$27:$B$106,0)),"",(VLOOKUP($B72,'Forecast occupancies'!$C$28:$CP$64,88,TRUE)*VLOOKUP($B72,'A1.3.2'!$B$27:$AY$106,38,)) * $CR$5)</f>
        <v>29.307609696018417</v>
      </c>
      <c r="CM72" s="1565">
        <f>IF(ISERROR(MATCH($B72,'A1.3.2'!$B$27:$B$106,0)),"",(((VLOOKUP($B72,'Forecast occupancies'!$C$28:$CP$64,89,TRUE) -1) * VLOOKUP($B72,'A1.3.2'!$B$27:$AY$106,40,)) + VLOOKUP($B72,'A1.3.2'!$B$27:$AY$106,39,)) * $CR$5)</f>
        <v>33.593524422487718</v>
      </c>
      <c r="CN72" s="1565">
        <f>IF(ISERROR(MATCH($B72,'A1.3.2'!$B$27:$B$106,0)),"",(VLOOKUP($B72,'Forecast occupancies'!$C$28:$CP$64,90,TRUE) * VLOOKUP($B72,'A1.3.2'!$B$27:$AY$106,49,)) * $CR$5)</f>
        <v>33.589409490427272</v>
      </c>
      <c r="CO72" s="1565">
        <f>IF(ISERROR(MATCH($B72,'A1.3.2'!$B$27:$B$106,0)),"",(VLOOKUP($B72,'Forecast occupancies'!$C$28:$CP$64,91,TRUE) * VLOOKUP($B72,'A1.3.2'!$B$27:$AY$106,50,)) * $CR$5)</f>
        <v>96.197584083672751</v>
      </c>
      <c r="CP72" s="1567">
        <f>IF(ISERROR(MATCH($B72,'A1.3.2'!$B$27:$B$106,0)),"",SUM(CM72:CO72))</f>
        <v>163.38051799658774</v>
      </c>
    </row>
    <row r="73" spans="1:94" s="26" customFormat="1" ht="13.5" customHeight="1">
      <c r="A73" s="113"/>
      <c r="B73" s="82">
        <f t="shared" si="0"/>
        <v>2055</v>
      </c>
      <c r="D73" s="1609">
        <f>IF(ISERROR(MATCH($B73,'A1.3.2'!$B$27:$B$106,0)),"",(((VLOOKUP($B73,'Forecast occupancies'!$C$28:$CP$64,2,TRUE) -1) * VLOOKUP($B73,'A1.3.2'!$B$27:$AY$106,36,) + VLOOKUP($B73,'A1.3.2'!$B$27:$AY$106,35,)) * $CR$5))</f>
        <v>41.639422349818474</v>
      </c>
      <c r="E73" s="1565">
        <f>IF(ISERROR(MATCH($B73,'A1.3.2'!$B$27:$B$106,0)),"",VLOOKUP($B73,'Forecast occupancies'!$C$28:$CP$64,3,TRUE)*VLOOKUP($B73,'A1.3.2'!$B$27:$AY$106,49,)*$CR$5)</f>
        <v>23.465934777206883</v>
      </c>
      <c r="F73" s="1565">
        <f>IF(ISERROR(MATCH($B73,'A1.3.2'!$B$27:$B$106,0)),"",VLOOKUP($B73,'Forecast occupancies'!$C$28:$CP$64,4,TRUE)*VLOOKUP($B73,'A1.3.2'!$B$27:$AY$106,50,)*$CR$5)</f>
        <v>16.18967701722589</v>
      </c>
      <c r="G73" s="1566">
        <f>IF(ISERROR(MATCH($B73,'A1.3.2'!$B$27:$B$106,0)),"",(((D73*'VoT5'!$D$28)+(E73*'VoT5'!$D$29)+(F73*'VoT5'!$D$30))/100))</f>
        <v>23.584773753244928</v>
      </c>
      <c r="H73" s="1565">
        <f>IF(ISERROR(MATCH($B73,'A1.3.2'!$B$27:$B$106,0)),"",(VLOOKUP($B73,'Forecast occupancies'!$C$28:$CP$64,6,TRUE) * VLOOKUP($B73, 'A1.3.2'!$B$27:$AY$106,37,)) * $CR$5)</f>
        <v>30.430468160416289</v>
      </c>
      <c r="I73" s="1565">
        <f>IF(ISERROR(MATCH($B73,'A1.3.2'!$B$27:$B$106,0)),"",VLOOKUP($B73,'Forecast occupancies'!$C$28:$CP$64,7,TRUE) * ('VoT5'!$J$29*VLOOKUP($B73, 'A1.3.2'!$B$27:$AY$106,49,)+'VoT5'!$J$30*VLOOKUP($B73, 'A1.3.2'!$B$27:$AY$106,50,))/('VoT5'!$J$29+'VoT5'!$J$30) * $CR$5)</f>
        <v>18.575382486774483</v>
      </c>
      <c r="J73" s="1566">
        <f>IF(ISERROR(MATCH($B73,'A1.3.2'!$B$27:$B$106,0)),"",(H73*'VoT5'!$D$31 + I73*'VoT5'!$D$32)/100)</f>
        <v>29.007857879579273</v>
      </c>
      <c r="K73" s="1566">
        <f>IF(ISERROR(MATCH($B73,'A1.3.2'!$B$27:$B$106,0)),"",(VLOOKUP($B73,'Forecast occupancies'!$C$28:$CP$64,9,TRUE)*VLOOKUP($B73,'A1.3.2'!$B$27:$AY$106,38,)) * $CR$5)</f>
        <v>29.878681122013678</v>
      </c>
      <c r="L73" s="1566">
        <f>IF(ISERROR(MATCH($B73,'A1.3.2'!$B$27:$B$106,0)),"",(VLOOKUP($B73,'Forecast occupancies'!$C$28:$CP$64,10,TRUE)*VLOOKUP($B73,'A1.3.2'!$B$27:$AY$106,38,)) * $CR$5)</f>
        <v>29.878681122013678</v>
      </c>
      <c r="M73" s="1565">
        <f>IF(ISERROR(MATCH($B73,'A1.3.2'!$B$27:$B$106,0)),"",(((VLOOKUP($B73,'Forecast occupancies'!$C$28:$CP$64,11,TRUE) -1) * VLOOKUP($B73,'A1.3.2'!$B$27:$AY$106,40,)) + VLOOKUP($B73,'A1.3.2'!$B$27:$AY$106,39,)) * $CR$5)</f>
        <v>34.047027275468203</v>
      </c>
      <c r="N73" s="1565">
        <f>IF(ISERROR(MATCH($B73,'A1.3.2'!$B$27:$B$106,0)),"",(VLOOKUP($B73,'Forecast occupancies'!$C$28:$CP$64,12,TRUE) * VLOOKUP($B73,'A1.3.2'!$B$27:$AY$106,49,)) * $CR$5)</f>
        <v>46.607833553931982</v>
      </c>
      <c r="O73" s="1565">
        <f>IF(ISERROR(MATCH($B73,'A1.3.2'!$B$27:$B$106,0)),"",(VLOOKUP($B73,'Forecast occupancies'!$C$28:$CP$64,13,TRUE) * VLOOKUP($B73,'A1.3.2'!$B$27:$AY$106,50,)) * $CR$5)</f>
        <v>92.519901521488478</v>
      </c>
      <c r="P73" s="1567">
        <f>IF(ISERROR(MATCH($B73,'A1.3.2'!$B$27:$B$106,0)),"",SUM(M73:O73))</f>
        <v>173.17476235088867</v>
      </c>
      <c r="Q73" s="1609">
        <f>IF(ISERROR(MATCH($B73,'A1.3.2'!$B$27:$B$106,0)),"",(((VLOOKUP($B73,'Forecast occupancies'!$C$28:$CP$64,15,TRUE)-1)*VLOOKUP($B73,'A1.3.2'!$B$27:$AY$106,36,)+VLOOKUP($B73,'A1.3.2'!$B$27:$AY$106,35,))*$CR$5))</f>
        <v>42.668857559126216</v>
      </c>
      <c r="R73" s="1565">
        <f>IF(ISERROR(MATCH($B73,'A1.3.2'!$B$27:$B$106,0)),"",VLOOKUP($B73,'Forecast occupancies'!$C$28:$CP$64,16,TRUE)*VLOOKUP($B73,'A1.3.2'!$B$27:$AY$106,49,)*$CR$5)</f>
        <v>23.847493064890056</v>
      </c>
      <c r="S73" s="1565">
        <f>IF(ISERROR(MATCH($B73,'A1.3.2'!$B$27:$B$106,0)),"",VLOOKUP($B73,'Forecast occupancies'!$C$28:$CP$64,17,TRUE)*VLOOKUP($B73,'A1.3.2'!$B$27:$AY$106,50,)*$CR$5)</f>
        <v>17.245830350534732</v>
      </c>
      <c r="T73" s="1566">
        <f>IF(ISERROR(MATCH($B73,'A1.3.2'!$B$27:$B$106,0)),"",(((Q73*'VoT5'!$E$28)+(R73*'VoT5'!$E$29)+(S73*'VoT5'!$E$30))/100))</f>
        <v>22.212367121454282</v>
      </c>
      <c r="U73" s="1565">
        <f>IF(ISERROR(MATCH($B73,'A1.3.2'!$B$27:$B$106,0)),"",(VLOOKUP($B73,'Forecast occupancies'!$C$28:$CP$64,19,TRUE) * VLOOKUP($B73, 'A1.3.2'!$B$27:$AY$106,37,)) * $CR$5)</f>
        <v>30.430468160416289</v>
      </c>
      <c r="V73" s="1565">
        <f>IF(ISERROR(MATCH($B73,'A1.3.2'!$B$27:$B$106,0)),"",VLOOKUP($B73,'Forecast occupancies'!$C$28:$CP$64,20,TRUE) * ('VoT5'!$J$29*VLOOKUP($B73, 'A1.3.2'!$B$27:$AY$106,49,)+'VoT5'!$J$30*VLOOKUP($B73, 'A1.3.2'!$B$27:$AY$106,50,))/('VoT5'!$J$29+'VoT5'!$J$30) * $CR$5)</f>
        <v>18.575382486774483</v>
      </c>
      <c r="W73" s="1566">
        <f>IF(ISERROR(MATCH($B73,'A1.3.2'!$B$27:$B$106,0)),"",(U73*'VoT5'!$E$31 + V73*'VoT5'!$E$32)/100)</f>
        <v>29.007857879579273</v>
      </c>
      <c r="X73" s="1566">
        <f>IF(ISERROR(MATCH($B73,'A1.3.2'!$B$27:$B$106,0)),"",(VLOOKUP($B73,'Forecast occupancies'!$C$28:$CP$64,22,TRUE)*VLOOKUP($B73,'A1.3.2'!$B$27:$AY$106,38,)) * $CR$5)</f>
        <v>29.878681122013678</v>
      </c>
      <c r="Y73" s="1566">
        <f>IF(ISERROR(MATCH($B73,'A1.3.2'!$B$27:$B$106,0)),"",(VLOOKUP($B73,'Forecast occupancies'!$C$28:$CP$64,23,TRUE)*VLOOKUP($B73,'A1.3.2'!$B$27:$AY$106,38,)) * $CR$5)</f>
        <v>29.878681122013678</v>
      </c>
      <c r="Z73" s="1565">
        <f>IF(ISERROR(MATCH($B73,'A1.3.2'!$B$27:$B$106,0)),"",(((VLOOKUP($B73,'Forecast occupancies'!$C$28:$CP$64,24,TRUE) -1) * VLOOKUP($B73,'A1.3.2'!$B$27:$AY$106,40,)) + VLOOKUP($B73,'A1.3.2'!$B$27:$AY$106,39,)) * $CR$5)</f>
        <v>34.741957379360791</v>
      </c>
      <c r="AA73" s="1565">
        <f>IF(ISERROR(MATCH($B73,'A1.3.2'!$B$27:$B$106,0)),"",(VLOOKUP($B73,'Forecast occupancies'!$C$28:$CP$64,25,TRUE) * VLOOKUP($B73,'A1.3.2'!$B$27:$AY$106,49,)) * $CR$5)</f>
        <v>16.334562528983358</v>
      </c>
      <c r="AB73" s="1565">
        <f>IF(ISERROR(MATCH($B73,'A1.3.2'!$B$27:$B$106,0)),"",(VLOOKUP($B73,'Forecast occupancies'!$C$28:$CP$64,26,TRUE) * VLOOKUP($B73,'A1.3.2'!$B$27:$AY$106,50,)) * $CR$5)</f>
        <v>106.02258874305143</v>
      </c>
      <c r="AC73" s="1567">
        <f>IF(ISERROR(MATCH($B73,'A1.3.2'!$B$27:$B$106,0)),"",SUM(Z73:AB73))</f>
        <v>157.09910865139557</v>
      </c>
      <c r="AD73" s="1609">
        <f>IF(ISERROR(MATCH($B73,'A1.3.2'!$B$27:$B$106,0)),"",(((VLOOKUP($B73,'Forecast occupancies'!$C$28:$CP$64,28,TRUE)-1)*VLOOKUP($B73,'A1.3.2'!$B$27:$AY$106,36,)+VLOOKUP($B73,'A1.3.2'!$B$27:$AY$106,35,))*$CR$5))</f>
        <v>42.240342740614537</v>
      </c>
      <c r="AE73" s="1565">
        <f>IF(ISERROR(MATCH($B73,'A1.3.2'!$B$27:$B$106,0)),"",VLOOKUP($B73,'Forecast occupancies'!$C$28:$CP$64,29,TRUE)*VLOOKUP($B73,'A1.3.2'!$B$27:$AY$106,49,)*$CR$5)</f>
        <v>23.546877163765409</v>
      </c>
      <c r="AF73" s="1565">
        <f>IF(ISERROR(MATCH($B73,'A1.3.2'!$B$27:$B$106,0)),"",VLOOKUP($B73,'Forecast occupancies'!$C$28:$CP$64,30,TRUE)*VLOOKUP($B73,'A1.3.2'!$B$27:$AY$106,50,)*$CR$5)</f>
        <v>16.953954075608582</v>
      </c>
      <c r="AG73" s="1566">
        <f>IF(ISERROR(MATCH($B73,'A1.3.2'!$B$27:$B$106,0)),"",(((AD73*'VoT5'!$F$28)+(AE73*'VoT5'!$F$29)+(AF73*'VoT5'!$F$30))/100))</f>
        <v>22.660125872048422</v>
      </c>
      <c r="AH73" s="1565">
        <f>IF(ISERROR(MATCH($B73,'A1.3.2'!$B$27:$B$106,0)),"",(VLOOKUP($B73,'Forecast occupancies'!$C$28:$CP$64,32,TRUE) * VLOOKUP($B73, 'A1.3.2'!$B$27:$AY$106,37,)) * $CR$5)</f>
        <v>30.430468160416289</v>
      </c>
      <c r="AI73" s="1565">
        <f>IF(ISERROR(MATCH($B73,'A1.3.2'!$B$27:$B$106,0)),"",VLOOKUP($B73,'Forecast occupancies'!$C$28:$CP$64,33,TRUE) * ('VoT5'!$J$29*VLOOKUP($B73, 'A1.3.2'!$B$27:$AY$106,49,)+'VoT5'!$J$30*VLOOKUP($B73, 'A1.3.2'!$B$27:$AY$106,50,))/('VoT5'!$J$29+'VoT5'!$J$30) * $CR$5)</f>
        <v>18.575382486774483</v>
      </c>
      <c r="AJ73" s="1566">
        <f>IF(ISERROR(MATCH($B73,'A1.3.2'!$B$27:$B$106,0)),"",(AH73*'VoT5'!$F$31 + AI73*'VoT5'!$F$32)/100)</f>
        <v>29.007857879579273</v>
      </c>
      <c r="AK73" s="1566">
        <f>IF(ISERROR(MATCH($B73,'A1.3.2'!$B$27:$B$106,0)),"",(VLOOKUP($B73,'Forecast occupancies'!$C$28:$CP$64,35,TRUE)*VLOOKUP($B73,'A1.3.2'!$B$27:$AY$106,38,)) * $CR$5)</f>
        <v>29.878681122013678</v>
      </c>
      <c r="AL73" s="1566">
        <f>IF(ISERROR(MATCH($B73,'A1.3.2'!$B$27:$B$106,0)),"",(VLOOKUP($B73,'Forecast occupancies'!$C$28:$CP$64,36,TRUE)*VLOOKUP($B73,'A1.3.2'!$B$27:$AY$106,38,)) * $CR$5)</f>
        <v>29.878681122013678</v>
      </c>
      <c r="AM73" s="1565">
        <f>IF(ISERROR(MATCH($B73,'A1.3.2'!$B$27:$B$106,0)),"",(((VLOOKUP($B73,'Forecast occupancies'!$C$28:$CP$64,37,TRUE) -1) * VLOOKUP($B73,'A1.3.2'!$B$27:$AY$106,40,)) + VLOOKUP($B73,'A1.3.2'!$B$27:$AY$106,39,)) * $CR$5)</f>
        <v>36.350061066689236</v>
      </c>
      <c r="AN73" s="1565">
        <f>IF(ISERROR(MATCH($B73,'A1.3.2'!$B$27:$B$106,0)),"",(VLOOKUP($B73,'Forecast occupancies'!$C$28:$CP$64,38,TRUE) * VLOOKUP($B73,'A1.3.2'!$B$27:$AY$106,49,)) * $CR$5)</f>
        <v>65.548209883587091</v>
      </c>
      <c r="AO73" s="1565">
        <f>IF(ISERROR(MATCH($B73,'A1.3.2'!$B$27:$B$106,0)),"",(VLOOKUP($B73,'Forecast occupancies'!$C$28:$CP$64,39,TRUE) * VLOOKUP($B73,'A1.3.2'!$B$27:$AY$106,50,)) * $CR$5)</f>
        <v>82.831210925744514</v>
      </c>
      <c r="AP73" s="1567">
        <f>IF(ISERROR(MATCH($B73,'A1.3.2'!$B$27:$B$106,0)),"",SUM(AM73:AO73))</f>
        <v>184.72948187602083</v>
      </c>
      <c r="AQ73" s="1609">
        <f>IF(ISERROR(MATCH($B73,'A1.3.2'!$B$27:$B$106,0)),"",(((VLOOKUP($B73,'Forecast occupancies'!$C$28:$CP$64,41,TRUE)-1)*VLOOKUP($B73,'A1.3.2'!$B$27:$AY$106,36,)+VLOOKUP($B73,'A1.3.2'!$B$27:$AY$106,35,))*$CR$5))</f>
        <v>43.039556305514807</v>
      </c>
      <c r="AR73" s="1565">
        <f>IF(ISERROR(MATCH($B73,'A1.3.2'!$B$27:$B$106,0)),"",VLOOKUP($B73,'Forecast occupancies'!$C$28:$CP$64,42,TRUE)*VLOOKUP($B73,'A1.3.2'!$B$27:$AY$106,49,)*$CR$5)</f>
        <v>23.891508136843687</v>
      </c>
      <c r="AS73" s="1565">
        <f>IF(ISERROR(MATCH($B73,'A1.3.2'!$B$27:$B$106,0)),"",VLOOKUP($B73,'Forecast occupancies'!$C$28:$CP$64,43,TRUE)*VLOOKUP($B73,'A1.3.2'!$B$27:$AY$106,50,)*$CR$5)</f>
        <v>16.893424741890037</v>
      </c>
      <c r="AT73" s="1566">
        <f>IF(ISERROR(MATCH($B73,'A1.3.2'!$B$27:$B$106,0)),"",(((AQ73*'VoT5'!$G$28)+(AR73*'VoT5'!$G$29)+(AS73*'VoT5'!$G$30))/100))</f>
        <v>22.957988691375416</v>
      </c>
      <c r="AU73" s="1565">
        <f>IF(ISERROR(MATCH($B73,'A1.3.2'!$B$27:$B$106,0)),"",(VLOOKUP($B73,'Forecast occupancies'!$C$28:$CP$64,45,TRUE) * VLOOKUP($B73, 'A1.3.2'!$B$27:$AY$106,37,)) * $CR$5)</f>
        <v>30.430468160416289</v>
      </c>
      <c r="AV73" s="1565">
        <f>IF(ISERROR(MATCH($B73,'A1.3.2'!$B$27:$B$106,0)),"",VLOOKUP($B73,'Forecast occupancies'!$C$28:$CP$64,46,TRUE) * ('VoT5'!$J$29*VLOOKUP($B73, 'A1.3.2'!$B$27:$AY$106,49,)+'VoT5'!$J$30*VLOOKUP($B73, 'A1.3.2'!$B$27:$AY$106,50,))/('VoT5'!$J$29+'VoT5'!$J$30) * $CR$5)</f>
        <v>18.575382486774483</v>
      </c>
      <c r="AW73" s="1566">
        <f>IF(ISERROR(MATCH($B73,'A1.3.2'!$B$27:$B$106,0)),"",(AU73*'VoT5'!$G$31 + AV73*'VoT5'!$G$32)/100)</f>
        <v>29.007857879579273</v>
      </c>
      <c r="AX73" s="1566">
        <f>IF(ISERROR(MATCH($B73,'A1.3.2'!$B$27:$B$106,0)),"",(VLOOKUP($B73,'Forecast occupancies'!$C$28:$CP$64,48,TRUE)*VLOOKUP($B73,'A1.3.2'!$B$27:$AY$106,38,)) * $CR$5)</f>
        <v>29.878681122013678</v>
      </c>
      <c r="AY73" s="1566">
        <f>IF(ISERROR(MATCH($B73,'A1.3.2'!$B$27:$B$106,0)),"",(VLOOKUP($B73,'Forecast occupancies'!$C$28:$CP$64,49,TRUE)*VLOOKUP($B73,'A1.3.2'!$B$27:$AY$106,38,)) * $CR$5)</f>
        <v>29.878681122013678</v>
      </c>
      <c r="AZ73" s="1565">
        <f>IF(ISERROR(MATCH($B73,'A1.3.2'!$B$27:$B$106,0)),"",(((VLOOKUP($B73,'Forecast occupancies'!$C$28:$CP$64,50,TRUE) -1) * VLOOKUP($B73,'A1.3.2'!$B$27:$AY$106,40,)) + VLOOKUP($B73,'A1.3.2'!$B$27:$AY$106,39,)) * $CR$5)</f>
        <v>36.320665748205748</v>
      </c>
      <c r="BA73" s="1565">
        <f>IF(ISERROR(MATCH($B73,'A1.3.2'!$B$27:$B$106,0)),"",(VLOOKUP($B73,'Forecast occupancies'!$C$28:$CP$64,51,TRUE) * VLOOKUP($B73,'A1.3.2'!$B$27:$AY$106,49,)) * $CR$5)</f>
        <v>89.602774723741703</v>
      </c>
      <c r="BB73" s="1565">
        <f>IF(ISERROR(MATCH($B73,'A1.3.2'!$B$27:$B$106,0)),"",(VLOOKUP($B73,'Forecast occupancies'!$C$28:$CP$64,52,TRUE) * VLOOKUP($B73,'A1.3.2'!$B$27:$AY$106,50,)) * $CR$5)</f>
        <v>71.865307604517866</v>
      </c>
      <c r="BC73" s="1567">
        <f>IF(ISERROR(MATCH($B73,'A1.3.2'!$B$27:$B$106,0)),"",SUM(AZ73:BB73))</f>
        <v>197.78874807646531</v>
      </c>
      <c r="BD73" s="1565">
        <f>IF(ISERROR(MATCH($B73,'A1.3.2'!$B$27:$B$106,0)),"",(((VLOOKUP($B73,'Forecast occupancies'!$C$28:$CP$64,54,TRUE)-1)*VLOOKUP($B73,'A1.3.2'!$B$27:$AY$106,36,)+VLOOKUP($B73,'A1.3.2'!$B$27:$AY$106,35,))*$CR$5))</f>
        <v>42.315500551978317</v>
      </c>
      <c r="BE73" s="1565">
        <f>IF(ISERROR(MATCH($B73,'A1.3.2'!$B$27:$B$106,0)),"",VLOOKUP($B73,'Forecast occupancies'!$C$28:$CP$64,55,TRUE)*VLOOKUP($B73,'A1.3.2'!$B$27:$AY$106,49,)*$CR$5)</f>
        <v>23.626936742237032</v>
      </c>
      <c r="BF73" s="1565">
        <f>IF(ISERROR(MATCH($B73,'A1.3.2'!$B$27:$B$106,0)),"",VLOOKUP($B73,'Forecast occupancies'!$C$28:$CP$64,56,TRUE)*VLOOKUP($B73,'A1.3.2'!$B$27:$AY$106,50,)*$CR$5)</f>
        <v>16.935398985399463</v>
      </c>
      <c r="BG73" s="1566">
        <f>IF(ISERROR(MATCH($B73,'A1.3.2'!$B$27:$B$106,0)),"",(((BD73*'VoT5'!$H$28)+(BE73*'VoT5'!$H$29)+(BF73*'VoT5'!$H$30))/100))</f>
        <v>22.792653831854242</v>
      </c>
      <c r="BH73" s="1565">
        <f>IF(ISERROR(MATCH($B73,'A1.3.2'!$B$27:$B$106,0)),"",(VLOOKUP($B73,'Forecast occupancies'!$C$28:$CP$64,58,TRUE) * VLOOKUP($B73, 'A1.3.2'!$B$27:$AY$106,37,)) * $CR$5)</f>
        <v>30.430468160416289</v>
      </c>
      <c r="BI73" s="1565">
        <f>IF(ISERROR(MATCH($B73,'A1.3.2'!$B$27:$B$106,0)),"",(VLOOKUP($B73,'Forecast occupancies'!$C$28:$CP$64,59,TRUE) * (VLOOKUP($B73,'A1.3.2'!$B$27:$AY$106,49,) * 'VoT5'!$J$29 + VLOOKUP($B73,'A1.3.2'!$B$27:$AY$106,50,) * 'VoT5'!$J$30) / (SUM('VoT5'!$J$29:$J$30))) * $CR$5)</f>
        <v>18.575382486774483</v>
      </c>
      <c r="BJ73" s="1566">
        <f>IF(ISERROR(MATCH($B73,'A1.3.2'!$B$27:$B$106,0)),"",(BH73*'VoT5'!$H$31 + BI73*'VoT5'!$H$32)/100)</f>
        <v>29.007857879579273</v>
      </c>
      <c r="BK73" s="1566">
        <f>IF(ISERROR(MATCH($B73,'A1.3.2'!$B$27:$B$106,0)),"",(VLOOKUP($B73,'Forecast occupancies'!$C$28:$CP$64,61,TRUE)*VLOOKUP($B73,'A1.3.2'!$B$27:$AY$106,38,)) * $CR$5)</f>
        <v>29.878681122013678</v>
      </c>
      <c r="BL73" s="1566">
        <f>IF(ISERROR(MATCH($B73,'A1.3.2'!$B$27:$B$106,0)),"",(VLOOKUP($B73,'Forecast occupancies'!$C$28:$CP$64,62,TRUE)*VLOOKUP($B73,'A1.3.2'!$B$27:$AY$106,38,)) * $CR$5)</f>
        <v>29.878681122013678</v>
      </c>
      <c r="BM73" s="1565">
        <f>IF(ISERROR(MATCH($B73,'A1.3.2'!$B$27:$B$106,0)),"",(((VLOOKUP($B73,'Forecast occupancies'!$C$28:$CP$64,63,TRUE) -1) * VLOOKUP($B73,'A1.3.2'!$B$27:$AY$106,40,)) + VLOOKUP($B73,'A1.3.2'!$B$27:$AY$106,39,)) * $CR$5)</f>
        <v>35.02006851093941</v>
      </c>
      <c r="BN73" s="1565">
        <f>IF(ISERROR(MATCH($B73,'A1.3.2'!$B$27:$B$106,0)),"",(VLOOKUP($B73,'Forecast occupancies'!$C$28:$CP$64,64,TRUE) * VLOOKUP($B73,'A1.3.2'!$B$27:$AY$106,49,)) * $CR$5)</f>
        <v>40.449694347342174</v>
      </c>
      <c r="BO73" s="1565">
        <f>IF(ISERROR(MATCH($B73,'A1.3.2'!$B$27:$B$106,0)),"",(VLOOKUP($B73,'Forecast occupancies'!$C$28:$CP$64,65,TRUE) * VLOOKUP($B73,'A1.3.2'!$B$27:$AY$106,50,)) * $CR$5)</f>
        <v>94.889678976043683</v>
      </c>
      <c r="BP73" s="1567">
        <f>IF(ISERROR(MATCH($B73,'A1.3.2'!$B$27:$B$106,0)),"",SUM(BM73:BO73))</f>
        <v>170.35944183432525</v>
      </c>
      <c r="BQ73" s="1565">
        <f>IF(ISERROR(MATCH($B73,'A1.3.2'!$B$27:$B$106,0)),"",(((VLOOKUP($B73,'Forecast occupancies'!$C$28:$CP$64,67,TRUE)-1)*VLOOKUP($B73,'A1.3.2'!$B$27:$AY$106,36,)+VLOOKUP($B73,'A1.3.2'!$B$27:$AY$106,35,))*$CR$5))</f>
        <v>48.361319907661226</v>
      </c>
      <c r="BR73" s="1565">
        <f>IF(ISERROR(MATCH($B73,'A1.3.2'!$B$27:$B$106,0)),"",VLOOKUP($B73,'Forecast occupancies'!$C$28:$CP$64,68,TRUE)*VLOOKUP($B73,'A1.3.2'!$B$27:$AY$106,49,)*$CR$5)</f>
        <v>25.015064926909726</v>
      </c>
      <c r="BS73" s="1565">
        <f>IF(ISERROR(MATCH($B73,'A1.3.2'!$B$27:$B$106,0)),"",VLOOKUP($B73,'Forecast occupancies'!$C$28:$CP$64,69,TRUE)*VLOOKUP($B73,'A1.3.2'!$B$27:$AY$106,50,)*$CR$5)</f>
        <v>20.051920647575763</v>
      </c>
      <c r="BT73" s="1566">
        <f>IF(ISERROR(MATCH($B73,'A1.3.2'!$B$27:$B$106,0)),"",(((BQ73*'VoT5'!$I$28)+(BR73*'VoT5'!$I$29)+(BS73*'VoT5'!$I$30))/100))</f>
        <v>21.426741775237229</v>
      </c>
      <c r="BU73" s="1565">
        <f>IF(ISERROR(MATCH($B73,'A1.3.2'!$B$27:$B$106,0)),"",(VLOOKUP($B73,'Forecast occupancies'!$C$28:$CP$64,71,TRUE) * VLOOKUP($B73, 'A1.3.2'!$B$27:$AY$106,37,)) * $CR$5)</f>
        <v>31.951991568437105</v>
      </c>
      <c r="BV73" s="1565">
        <f>IF(ISERROR(MATCH($B73,'A1.3.2'!$B$27:$B$106,0)),"",(VLOOKUP($B73,'Forecast occupancies'!$C$28:$CP$64,72,TRUE) * (VLOOKUP($B73,'A1.3.2'!$B$27:$AY$106,49,)*'VoT5'!$J$29 + VLOOKUP($B73,'A1.3.2'!$B$27:$AY$106,50,)*'VoT5'!$J$30) / (SUM('VoT5'!$J$29:$J$30))) * $CR$5)</f>
        <v>25.827415375446712</v>
      </c>
      <c r="BW73" s="1566">
        <f>IF(ISERROR(MATCH($B73,'A1.3.2'!$B$27:$B$106,0)),"",(BU73*'VoT5'!$I$31 + BV73*'VoT5'!$I$32)/100)</f>
        <v>31.217042425278255</v>
      </c>
      <c r="BX73" s="1566">
        <f>IF(ISERROR(MATCH($B73,'A1.3.2'!$B$27:$B$106,0)),"",(VLOOKUP($B73,'Forecast occupancies'!$C$28:$CP$64,74,TRUE)*VLOOKUP($B73,'A1.3.2'!$B$27:$AY$106,38,)) * $CR$5)</f>
        <v>29.878681122013678</v>
      </c>
      <c r="BY73" s="1566">
        <f>IF(ISERROR(MATCH($B73,'A1.3.2'!$B$27:$B$106,0)),"",(VLOOKUP($B73,'Forecast occupancies'!$C$28:$CP$64,75,TRUE)*VLOOKUP($B73,'A1.3.2'!$B$27:$AY$106,38,)) * $CR$5)</f>
        <v>29.878681122013678</v>
      </c>
      <c r="BZ73" s="1565">
        <f>IF(ISERROR(MATCH($B73,'A1.3.2'!$B$27:$B$106,0)),"",(((VLOOKUP($B73,'Forecast occupancies'!$C$28:$CP$64,76,TRUE) -1) * VLOOKUP($B73,'A1.3.2'!$B$27:$AY$106,40,)) + VLOOKUP($B73,'A1.3.2'!$B$27:$AY$106,39,)) * $CR$5)</f>
        <v>31.893977356698059</v>
      </c>
      <c r="CA73" s="1565">
        <f>IF(ISERROR(MATCH($B73,'A1.3.2'!$B$27:$B$106,0)),"",(VLOOKUP($B73,'Forecast occupancies'!$C$28:$CP$64,77,TRUE) * VLOOKUP($B73,'A1.3.2'!$B$27:$AY$106,49,)) * $CR$5)</f>
        <v>15.323905070937224</v>
      </c>
      <c r="CB73" s="1565">
        <f>IF(ISERROR(MATCH($B73,'A1.3.2'!$B$27:$B$106,0)),"",(VLOOKUP($B73,'Forecast occupancies'!$C$28:$CP$64,78,TRUE) * VLOOKUP($B73,'A1.3.2'!$B$27:$AY$106,50,)) * $CR$5)</f>
        <v>107.77458709166913</v>
      </c>
      <c r="CC73" s="1567">
        <f>IF(ISERROR(MATCH($B73,'A1.3.2'!$B$27:$B$106,0)),"",SUM(BZ73:CB73))</f>
        <v>154.99246951930442</v>
      </c>
      <c r="CD73" s="1565">
        <f>IF(ISERROR(MATCH($B73,'A1.3.2'!$B$27:$B$106,0)),"",(((VLOOKUP($B73,'Forecast occupancies'!$C$28:$CP$64,80,TRUE)-1)*VLOOKUP($B73,'A1.3.2'!$B$27:$AY$106,36,)+VLOOKUP($B73,'A1.3.2'!$B$27:$AY$106,35,))*$CR$5))</f>
        <v>42.744649722492689</v>
      </c>
      <c r="CE73" s="1565">
        <f>IF(ISERROR(MATCH($B73,'A1.3.2'!$B$27:$B$106,0)),"",VLOOKUP($B73,'Forecast occupancies'!$C$28:$CP$64,81,TRUE)*VLOOKUP($B73,'A1.3.2'!$B$27:$AY$106,49,)*$CR$5)</f>
        <v>23.739237227391385</v>
      </c>
      <c r="CF73" s="1565">
        <f>IF(ISERROR(MATCH($B73,'A1.3.2'!$B$27:$B$106,0)),"",VLOOKUP($B73,'Forecast occupancies'!$C$28:$CP$64,82,TRUE)*VLOOKUP($B73,'A1.3.2'!$B$27:$AY$106,50,)*$CR$5)</f>
        <v>18.03512107225858</v>
      </c>
      <c r="CG73" s="1566">
        <f>IF(ISERROR(MATCH($B73,'A1.3.2'!$B$27:$B$106,0)),"",(((CD73*'VoT5'!$J$28)+(CE73*'VoT5'!$J$29)+(CF73*'VoT5'!$J$30))/100))</f>
        <v>22.468802570043145</v>
      </c>
      <c r="CH73" s="1565">
        <f>IF(ISERROR(MATCH($B73,'A1.3.2'!$B$27:$B$106,0)),"",(VLOOKUP($B73,'Forecast occupancies'!$C$28:$CP$64,84,TRUE) * VLOOKUP($B73, 'A1.3.2'!$B$27:$AY$106,37,)) * $CR$5)</f>
        <v>30.430468160416289</v>
      </c>
      <c r="CI73" s="1565">
        <f>IF(ISERROR(MATCH($B73,'A1.3.2'!$B$27:$B$106,0)),"",(VLOOKUP($B73,'Forecast occupancies'!$C$28:$CP$64,85,TRUE) * (VLOOKUP($B73,'A1.3.2'!$B$27:$AY$106,49,)*'VoT5'!$J$29 + VLOOKUP($B73,'A1.3.2'!$B$27:$AY$106,50,)*'VoT5'!$J$30) / (SUM('VoT5'!$J$29:$J$30))) * $CR$5)</f>
        <v>20.229354899980432</v>
      </c>
      <c r="CJ73" s="1566">
        <f>IF(ISERROR(MATCH($B73,'A1.3.2'!$B$27:$B$106,0)),"",(CH73*'VoT5'!$J$31 + CI73*'VoT5'!$J$32)/100)</f>
        <v>29.206334569163985</v>
      </c>
      <c r="CK73" s="1566">
        <f>IF(ISERROR(MATCH($B73,'A1.3.2'!$B$27:$B$106,0)),"",(VLOOKUP($B73,'Forecast occupancies'!$C$28:$CP$64,87,TRUE)*VLOOKUP($B73,'A1.3.2'!$B$27:$AY$106,38,)) * $CR$5)</f>
        <v>29.878681122013678</v>
      </c>
      <c r="CL73" s="1566">
        <f>IF(ISERROR(MATCH($B73,'A1.3.2'!$B$27:$B$106,0)),"",(VLOOKUP($B73,'Forecast occupancies'!$C$28:$CP$64,88,TRUE)*VLOOKUP($B73,'A1.3.2'!$B$27:$AY$106,38,)) * $CR$5)</f>
        <v>29.878681122013678</v>
      </c>
      <c r="CM73" s="1565">
        <f>IF(ISERROR(MATCH($B73,'A1.3.2'!$B$27:$B$106,0)),"",(((VLOOKUP($B73,'Forecast occupancies'!$C$28:$CP$64,89,TRUE) -1) * VLOOKUP($B73,'A1.3.2'!$B$27:$AY$106,40,)) + VLOOKUP($B73,'A1.3.2'!$B$27:$AY$106,39,)) * $CR$5)</f>
        <v>34.248108747007464</v>
      </c>
      <c r="CN73" s="1565">
        <f>IF(ISERROR(MATCH($B73,'A1.3.2'!$B$27:$B$106,0)),"",(VLOOKUP($B73,'Forecast occupancies'!$C$28:$CP$64,90,TRUE) * VLOOKUP($B73,'A1.3.2'!$B$27:$AY$106,49,)) * $CR$5)</f>
        <v>34.243913633719551</v>
      </c>
      <c r="CO73" s="1565">
        <f>IF(ISERROR(MATCH($B73,'A1.3.2'!$B$27:$B$106,0)),"",(VLOOKUP($B73,'Forecast occupancies'!$C$28:$CP$64,91,TRUE) * VLOOKUP($B73,'A1.3.2'!$B$27:$AY$106,50,)) * $CR$5)</f>
        <v>98.072035534669979</v>
      </c>
      <c r="CP73" s="1567">
        <f>IF(ISERROR(MATCH($B73,'A1.3.2'!$B$27:$B$106,0)),"",SUM(CM73:CO73))</f>
        <v>166.56405791539697</v>
      </c>
    </row>
    <row r="74" spans="1:94" s="26" customFormat="1" ht="13.5" customHeight="1">
      <c r="A74" s="113"/>
      <c r="B74" s="82">
        <f t="shared" si="0"/>
        <v>2056</v>
      </c>
      <c r="D74" s="1609">
        <f>IF(ISERROR(MATCH($B74,'A1.3.2'!$B$27:$B$106,0)),"",(((VLOOKUP($B74,'Forecast occupancies'!$C$28:$CP$64,2,TRUE) -1) * VLOOKUP($B74,'A1.3.2'!$B$27:$AY$106,36,) + VLOOKUP($B74,'A1.3.2'!$B$27:$AY$106,35,)) * $CR$5))</f>
        <v>42.456140882433459</v>
      </c>
      <c r="E74" s="1565">
        <f>IF(ISERROR(MATCH($B74,'A1.3.2'!$B$27:$B$106,0)),"",VLOOKUP($B74,'Forecast occupancies'!$C$28:$CP$64,3,TRUE)*VLOOKUP($B74,'A1.3.2'!$B$27:$AY$106,49,)*$CR$5)</f>
        <v>23.926197257715636</v>
      </c>
      <c r="F74" s="1565">
        <f>IF(ISERROR(MATCH($B74,'A1.3.2'!$B$27:$B$106,0)),"",VLOOKUP($B74,'Forecast occupancies'!$C$28:$CP$64,4,TRUE)*VLOOKUP($B74,'A1.3.2'!$B$27:$AY$106,50,)*$CR$5)</f>
        <v>16.507222470809179</v>
      </c>
      <c r="G74" s="1566">
        <f>IF(ISERROR(MATCH($B74,'A1.3.2'!$B$27:$B$106,0)),"",(((D74*'VoT5'!$D$28)+(E74*'VoT5'!$D$29)+(F74*'VoT5'!$D$30))/100))</f>
        <v>24.047367149713846</v>
      </c>
      <c r="H74" s="1565">
        <f>IF(ISERROR(MATCH($B74,'A1.3.2'!$B$27:$B$106,0)),"",(VLOOKUP($B74,'Forecast occupancies'!$C$28:$CP$64,6,TRUE) * VLOOKUP($B74, 'A1.3.2'!$B$27:$AY$106,37,)) * $CR$5)</f>
        <v>31.027333484194493</v>
      </c>
      <c r="I74" s="1565">
        <f>IF(ISERROR(MATCH($B74,'A1.3.2'!$B$27:$B$106,0)),"",VLOOKUP($B74,'Forecast occupancies'!$C$28:$CP$64,7,TRUE) * ('VoT5'!$J$29*VLOOKUP($B74, 'A1.3.2'!$B$27:$AY$106,49,)+'VoT5'!$J$30*VLOOKUP($B74, 'A1.3.2'!$B$27:$AY$106,50,))/('VoT5'!$J$29+'VoT5'!$J$30) * $CR$5)</f>
        <v>18.939721333742824</v>
      </c>
      <c r="J74" s="1566">
        <f>IF(ISERROR(MATCH($B74,'A1.3.2'!$B$27:$B$106,0)),"",(H74*'VoT5'!$D$31 + I74*'VoT5'!$D$32)/100)</f>
        <v>29.576820026140293</v>
      </c>
      <c r="K74" s="1566">
        <f>IF(ISERROR(MATCH($B74,'A1.3.2'!$B$27:$B$106,0)),"",(VLOOKUP($B74,'Forecast occupancies'!$C$28:$CP$64,9,TRUE)*VLOOKUP($B74,'A1.3.2'!$B$27:$AY$106,38,)) * $CR$5)</f>
        <v>30.464723656356096</v>
      </c>
      <c r="L74" s="1566">
        <f>IF(ISERROR(MATCH($B74,'A1.3.2'!$B$27:$B$106,0)),"",(VLOOKUP($B74,'Forecast occupancies'!$C$28:$CP$64,10,TRUE)*VLOOKUP($B74,'A1.3.2'!$B$27:$AY$106,38,)) * $CR$5)</f>
        <v>30.464723656356096</v>
      </c>
      <c r="M74" s="1565">
        <f>IF(ISERROR(MATCH($B74,'A1.3.2'!$B$27:$B$106,0)),"",(((VLOOKUP($B74,'Forecast occupancies'!$C$28:$CP$64,11,TRUE) -1) * VLOOKUP($B74,'A1.3.2'!$B$27:$AY$106,40,)) + VLOOKUP($B74,'A1.3.2'!$B$27:$AY$106,39,)) * $CR$5)</f>
        <v>34.714828041836036</v>
      </c>
      <c r="N74" s="1565">
        <f>IF(ISERROR(MATCH($B74,'A1.3.2'!$B$27:$B$106,0)),"",(VLOOKUP($B74,'Forecast occupancies'!$C$28:$CP$64,12,TRUE) * VLOOKUP($B74,'A1.3.2'!$B$27:$AY$106,49,)) * $CR$5)</f>
        <v>47.522002850247787</v>
      </c>
      <c r="O74" s="1565">
        <f>IF(ISERROR(MATCH($B74,'A1.3.2'!$B$27:$B$106,0)),"",(VLOOKUP($B74,'Forecast occupancies'!$C$28:$CP$64,13,TRUE) * VLOOKUP($B74,'A1.3.2'!$B$27:$AY$106,50,)) * $CR$5)</f>
        <v>94.334593319407759</v>
      </c>
      <c r="P74" s="1567">
        <f>IF(ISERROR(MATCH($B74,'A1.3.2'!$B$27:$B$106,0)),"",SUM(M74:O74))</f>
        <v>176.57142421149157</v>
      </c>
      <c r="Q74" s="1609">
        <f>IF(ISERROR(MATCH($B74,'A1.3.2'!$B$27:$B$106,0)),"",(((VLOOKUP($B74,'Forecast occupancies'!$C$28:$CP$64,15,TRUE)-1)*VLOOKUP($B74,'A1.3.2'!$B$27:$AY$106,36,)+VLOOKUP($B74,'A1.3.2'!$B$27:$AY$106,35,))*$CR$5))</f>
        <v>43.505767505697541</v>
      </c>
      <c r="R74" s="1565">
        <f>IF(ISERROR(MATCH($B74,'A1.3.2'!$B$27:$B$106,0)),"",VLOOKUP($B74,'Forecast occupancies'!$C$28:$CP$64,16,TRUE)*VLOOKUP($B74,'A1.3.2'!$B$27:$AY$106,49,)*$CR$5)</f>
        <v>24.315239456251504</v>
      </c>
      <c r="S74" s="1565">
        <f>IF(ISERROR(MATCH($B74,'A1.3.2'!$B$27:$B$106,0)),"",VLOOKUP($B74,'Forecast occupancies'!$C$28:$CP$64,17,TRUE)*VLOOKUP($B74,'A1.3.2'!$B$27:$AY$106,50,)*$CR$5)</f>
        <v>17.584091269221013</v>
      </c>
      <c r="T74" s="1566">
        <f>IF(ISERROR(MATCH($B74,'A1.3.2'!$B$27:$B$106,0)),"",(((Q74*'VoT5'!$E$28)+(R74*'VoT5'!$E$29)+(S74*'VoT5'!$E$30))/100))</f>
        <v>22.648042038578065</v>
      </c>
      <c r="U74" s="1565">
        <f>IF(ISERROR(MATCH($B74,'A1.3.2'!$B$27:$B$106,0)),"",(VLOOKUP($B74,'Forecast occupancies'!$C$28:$CP$64,19,TRUE) * VLOOKUP($B74, 'A1.3.2'!$B$27:$AY$106,37,)) * $CR$5)</f>
        <v>31.027333484194493</v>
      </c>
      <c r="V74" s="1565">
        <f>IF(ISERROR(MATCH($B74,'A1.3.2'!$B$27:$B$106,0)),"",VLOOKUP($B74,'Forecast occupancies'!$C$28:$CP$64,20,TRUE) * ('VoT5'!$J$29*VLOOKUP($B74, 'A1.3.2'!$B$27:$AY$106,49,)+'VoT5'!$J$30*VLOOKUP($B74, 'A1.3.2'!$B$27:$AY$106,50,))/('VoT5'!$J$29+'VoT5'!$J$30) * $CR$5)</f>
        <v>18.939721333742824</v>
      </c>
      <c r="W74" s="1566">
        <f>IF(ISERROR(MATCH($B74,'A1.3.2'!$B$27:$B$106,0)),"",(U74*'VoT5'!$E$31 + V74*'VoT5'!$E$32)/100)</f>
        <v>29.576820026140293</v>
      </c>
      <c r="X74" s="1566">
        <f>IF(ISERROR(MATCH($B74,'A1.3.2'!$B$27:$B$106,0)),"",(VLOOKUP($B74,'Forecast occupancies'!$C$28:$CP$64,22,TRUE)*VLOOKUP($B74,'A1.3.2'!$B$27:$AY$106,38,)) * $CR$5)</f>
        <v>30.464723656356096</v>
      </c>
      <c r="Y74" s="1566">
        <f>IF(ISERROR(MATCH($B74,'A1.3.2'!$B$27:$B$106,0)),"",(VLOOKUP($B74,'Forecast occupancies'!$C$28:$CP$64,23,TRUE)*VLOOKUP($B74,'A1.3.2'!$B$27:$AY$106,38,)) * $CR$5)</f>
        <v>30.464723656356096</v>
      </c>
      <c r="Z74" s="1565">
        <f>IF(ISERROR(MATCH($B74,'A1.3.2'!$B$27:$B$106,0)),"",(((VLOOKUP($B74,'Forecast occupancies'!$C$28:$CP$64,24,TRUE) -1) * VLOOKUP($B74,'A1.3.2'!$B$27:$AY$106,40,)) + VLOOKUP($B74,'A1.3.2'!$B$27:$AY$106,39,)) * $CR$5)</f>
        <v>35.423388553229309</v>
      </c>
      <c r="AA74" s="1565">
        <f>IF(ISERROR(MATCH($B74,'A1.3.2'!$B$27:$B$106,0)),"",(VLOOKUP($B74,'Forecast occupancies'!$C$28:$CP$64,25,TRUE) * VLOOKUP($B74,'A1.3.2'!$B$27:$AY$106,49,)) * $CR$5)</f>
        <v>16.654949777094089</v>
      </c>
      <c r="AB74" s="1565">
        <f>IF(ISERROR(MATCH($B74,'A1.3.2'!$B$27:$B$106,0)),"",(VLOOKUP($B74,'Forecast occupancies'!$C$28:$CP$64,26,TRUE) * VLOOKUP($B74,'A1.3.2'!$B$27:$AY$106,50,)) * $CR$5)</f>
        <v>108.10212318939429</v>
      </c>
      <c r="AC74" s="1567">
        <f>IF(ISERROR(MATCH($B74,'A1.3.2'!$B$27:$B$106,0)),"",SUM(Z74:AB74))</f>
        <v>160.18046151971768</v>
      </c>
      <c r="AD74" s="1609">
        <f>IF(ISERROR(MATCH($B74,'A1.3.2'!$B$27:$B$106,0)),"",(((VLOOKUP($B74,'Forecast occupancies'!$C$28:$CP$64,28,TRUE)-1)*VLOOKUP($B74,'A1.3.2'!$B$27:$AY$106,36,)+VLOOKUP($B74,'A1.3.2'!$B$27:$AY$106,35,))*$CR$5))</f>
        <v>43.068847767664195</v>
      </c>
      <c r="AE74" s="1565">
        <f>IF(ISERROR(MATCH($B74,'A1.3.2'!$B$27:$B$106,0)),"",VLOOKUP($B74,'Forecast occupancies'!$C$28:$CP$64,29,TRUE)*VLOOKUP($B74,'A1.3.2'!$B$27:$AY$106,49,)*$CR$5)</f>
        <v>24.008727253886541</v>
      </c>
      <c r="AF74" s="1565">
        <f>IF(ISERROR(MATCH($B74,'A1.3.2'!$B$27:$B$106,0)),"",VLOOKUP($B74,'Forecast occupancies'!$C$28:$CP$64,30,TRUE)*VLOOKUP($B74,'A1.3.2'!$B$27:$AY$106,50,)*$CR$5)</f>
        <v>17.286490112692036</v>
      </c>
      <c r="AG74" s="1566">
        <f>IF(ISERROR(MATCH($B74,'A1.3.2'!$B$27:$B$106,0)),"",(((AD74*'VoT5'!$F$28)+(AE74*'VoT5'!$F$29)+(AF74*'VoT5'!$F$30))/100))</f>
        <v>23.104583160519205</v>
      </c>
      <c r="AH74" s="1565">
        <f>IF(ISERROR(MATCH($B74,'A1.3.2'!$B$27:$B$106,0)),"",(VLOOKUP($B74,'Forecast occupancies'!$C$28:$CP$64,32,TRUE) * VLOOKUP($B74, 'A1.3.2'!$B$27:$AY$106,37,)) * $CR$5)</f>
        <v>31.027333484194493</v>
      </c>
      <c r="AI74" s="1565">
        <f>IF(ISERROR(MATCH($B74,'A1.3.2'!$B$27:$B$106,0)),"",VLOOKUP($B74,'Forecast occupancies'!$C$28:$CP$64,33,TRUE) * ('VoT5'!$J$29*VLOOKUP($B74, 'A1.3.2'!$B$27:$AY$106,49,)+'VoT5'!$J$30*VLOOKUP($B74, 'A1.3.2'!$B$27:$AY$106,50,))/('VoT5'!$J$29+'VoT5'!$J$30) * $CR$5)</f>
        <v>18.939721333742824</v>
      </c>
      <c r="AJ74" s="1566">
        <f>IF(ISERROR(MATCH($B74,'A1.3.2'!$B$27:$B$106,0)),"",(AH74*'VoT5'!$F$31 + AI74*'VoT5'!$F$32)/100)</f>
        <v>29.576820026140293</v>
      </c>
      <c r="AK74" s="1566">
        <f>IF(ISERROR(MATCH($B74,'A1.3.2'!$B$27:$B$106,0)),"",(VLOOKUP($B74,'Forecast occupancies'!$C$28:$CP$64,35,TRUE)*VLOOKUP($B74,'A1.3.2'!$B$27:$AY$106,38,)) * $CR$5)</f>
        <v>30.464723656356096</v>
      </c>
      <c r="AL74" s="1566">
        <f>IF(ISERROR(MATCH($B74,'A1.3.2'!$B$27:$B$106,0)),"",(VLOOKUP($B74,'Forecast occupancies'!$C$28:$CP$64,36,TRUE)*VLOOKUP($B74,'A1.3.2'!$B$27:$AY$106,38,)) * $CR$5)</f>
        <v>30.464723656356096</v>
      </c>
      <c r="AM74" s="1565">
        <f>IF(ISERROR(MATCH($B74,'A1.3.2'!$B$27:$B$106,0)),"",(((VLOOKUP($B74,'Forecast occupancies'!$C$28:$CP$64,37,TRUE) -1) * VLOOKUP($B74,'A1.3.2'!$B$27:$AY$106,40,)) + VLOOKUP($B74,'A1.3.2'!$B$27:$AY$106,39,)) * $CR$5)</f>
        <v>37.063033698380437</v>
      </c>
      <c r="AN74" s="1565">
        <f>IF(ISERROR(MATCH($B74,'A1.3.2'!$B$27:$B$106,0)),"",(VLOOKUP($B74,'Forecast occupancies'!$C$28:$CP$64,38,TRUE) * VLOOKUP($B74,'A1.3.2'!$B$27:$AY$106,49,)) * $CR$5)</f>
        <v>66.833877041548888</v>
      </c>
      <c r="AO74" s="1565">
        <f>IF(ISERROR(MATCH($B74,'A1.3.2'!$B$27:$B$106,0)),"",(VLOOKUP($B74,'Forecast occupancies'!$C$28:$CP$64,39,TRUE) * VLOOKUP($B74,'A1.3.2'!$B$27:$AY$106,50,)) * $CR$5)</f>
        <v>84.455868070929213</v>
      </c>
      <c r="AP74" s="1567">
        <f>IF(ISERROR(MATCH($B74,'A1.3.2'!$B$27:$B$106,0)),"",SUM(AM74:AO74))</f>
        <v>188.35277881085852</v>
      </c>
      <c r="AQ74" s="1609">
        <f>IF(ISERROR(MATCH($B74,'A1.3.2'!$B$27:$B$106,0)),"",(((VLOOKUP($B74,'Forecast occupancies'!$C$28:$CP$64,41,TRUE)-1)*VLOOKUP($B74,'A1.3.2'!$B$27:$AY$106,36,)+VLOOKUP($B74,'A1.3.2'!$B$27:$AY$106,35,))*$CR$5))</f>
        <v>43.883737163138861</v>
      </c>
      <c r="AR74" s="1565">
        <f>IF(ISERROR(MATCH($B74,'A1.3.2'!$B$27:$B$106,0)),"",VLOOKUP($B74,'Forecast occupancies'!$C$28:$CP$64,42,TRUE)*VLOOKUP($B74,'A1.3.2'!$B$27:$AY$106,49,)*$CR$5)</f>
        <v>24.360117842894685</v>
      </c>
      <c r="AS74" s="1565">
        <f>IF(ISERROR(MATCH($B74,'A1.3.2'!$B$27:$B$106,0)),"",VLOOKUP($B74,'Forecast occupancies'!$C$28:$CP$64,43,TRUE)*VLOOKUP($B74,'A1.3.2'!$B$27:$AY$106,50,)*$CR$5)</f>
        <v>17.224773552402489</v>
      </c>
      <c r="AT74" s="1566">
        <f>IF(ISERROR(MATCH($B74,'A1.3.2'!$B$27:$B$106,0)),"",(((AQ74*'VoT5'!$G$28)+(AR74*'VoT5'!$G$29)+(AS74*'VoT5'!$G$30))/100))</f>
        <v>23.40828828194822</v>
      </c>
      <c r="AU74" s="1565">
        <f>IF(ISERROR(MATCH($B74,'A1.3.2'!$B$27:$B$106,0)),"",(VLOOKUP($B74,'Forecast occupancies'!$C$28:$CP$64,45,TRUE) * VLOOKUP($B74, 'A1.3.2'!$B$27:$AY$106,37,)) * $CR$5)</f>
        <v>31.027333484194493</v>
      </c>
      <c r="AV74" s="1565">
        <f>IF(ISERROR(MATCH($B74,'A1.3.2'!$B$27:$B$106,0)),"",VLOOKUP($B74,'Forecast occupancies'!$C$28:$CP$64,46,TRUE) * ('VoT5'!$J$29*VLOOKUP($B74, 'A1.3.2'!$B$27:$AY$106,49,)+'VoT5'!$J$30*VLOOKUP($B74, 'A1.3.2'!$B$27:$AY$106,50,))/('VoT5'!$J$29+'VoT5'!$J$30) * $CR$5)</f>
        <v>18.939721333742824</v>
      </c>
      <c r="AW74" s="1566">
        <f>IF(ISERROR(MATCH($B74,'A1.3.2'!$B$27:$B$106,0)),"",(AU74*'VoT5'!$G$31 + AV74*'VoT5'!$G$32)/100)</f>
        <v>29.576820026140293</v>
      </c>
      <c r="AX74" s="1566">
        <f>IF(ISERROR(MATCH($B74,'A1.3.2'!$B$27:$B$106,0)),"",(VLOOKUP($B74,'Forecast occupancies'!$C$28:$CP$64,48,TRUE)*VLOOKUP($B74,'A1.3.2'!$B$27:$AY$106,38,)) * $CR$5)</f>
        <v>30.464723656356096</v>
      </c>
      <c r="AY74" s="1566">
        <f>IF(ISERROR(MATCH($B74,'A1.3.2'!$B$27:$B$106,0)),"",(VLOOKUP($B74,'Forecast occupancies'!$C$28:$CP$64,49,TRUE)*VLOOKUP($B74,'A1.3.2'!$B$27:$AY$106,38,)) * $CR$5)</f>
        <v>30.464723656356096</v>
      </c>
      <c r="AZ74" s="1565">
        <f>IF(ISERROR(MATCH($B74,'A1.3.2'!$B$27:$B$106,0)),"",(((VLOOKUP($B74,'Forecast occupancies'!$C$28:$CP$64,50,TRUE) -1) * VLOOKUP($B74,'A1.3.2'!$B$27:$AY$106,40,)) + VLOOKUP($B74,'A1.3.2'!$B$27:$AY$106,39,)) * $CR$5)</f>
        <v>37.03306181807109</v>
      </c>
      <c r="BA74" s="1565">
        <f>IF(ISERROR(MATCH($B74,'A1.3.2'!$B$27:$B$106,0)),"",(VLOOKUP($B74,'Forecast occupancies'!$C$28:$CP$64,51,TRUE) * VLOOKUP($B74,'A1.3.2'!$B$27:$AY$106,49,)) * $CR$5)</f>
        <v>91.360249793299758</v>
      </c>
      <c r="BB74" s="1565">
        <f>IF(ISERROR(MATCH($B74,'A1.3.2'!$B$27:$B$106,0)),"",(VLOOKUP($B74,'Forecast occupancies'!$C$28:$CP$64,52,TRUE) * VLOOKUP($B74,'A1.3.2'!$B$27:$AY$106,50,)) * $CR$5)</f>
        <v>73.274878757537039</v>
      </c>
      <c r="BC74" s="1567">
        <f>IF(ISERROR(MATCH($B74,'A1.3.2'!$B$27:$B$106,0)),"",SUM(AZ74:BB74))</f>
        <v>201.66819036890789</v>
      </c>
      <c r="BD74" s="1565">
        <f>IF(ISERROR(MATCH($B74,'A1.3.2'!$B$27:$B$106,0)),"",(((VLOOKUP($B74,'Forecast occupancies'!$C$28:$CP$64,54,TRUE)-1)*VLOOKUP($B74,'A1.3.2'!$B$27:$AY$106,36,)+VLOOKUP($B74,'A1.3.2'!$B$27:$AY$106,35,))*$CR$5))</f>
        <v>43.14547972957925</v>
      </c>
      <c r="BE74" s="1565">
        <f>IF(ISERROR(MATCH($B74,'A1.3.2'!$B$27:$B$106,0)),"",VLOOKUP($B74,'Forecast occupancies'!$C$28:$CP$64,55,TRUE)*VLOOKUP($B74,'A1.3.2'!$B$27:$AY$106,49,)*$CR$5)</f>
        <v>24.090357126511186</v>
      </c>
      <c r="BF74" s="1565">
        <f>IF(ISERROR(MATCH($B74,'A1.3.2'!$B$27:$B$106,0)),"",VLOOKUP($B74,'Forecast occupancies'!$C$28:$CP$64,56,TRUE)*VLOOKUP($B74,'A1.3.2'!$B$27:$AY$106,50,)*$CR$5)</f>
        <v>17.267571081650093</v>
      </c>
      <c r="BG74" s="1566">
        <f>IF(ISERROR(MATCH($B74,'A1.3.2'!$B$27:$B$106,0)),"",(((BD74*'VoT5'!$H$28)+(BE74*'VoT5'!$H$29)+(BF74*'VoT5'!$H$30))/100))</f>
        <v>23.239710532967059</v>
      </c>
      <c r="BH74" s="1565">
        <f>IF(ISERROR(MATCH($B74,'A1.3.2'!$B$27:$B$106,0)),"",(VLOOKUP($B74,'Forecast occupancies'!$C$28:$CP$64,58,TRUE) * VLOOKUP($B74, 'A1.3.2'!$B$27:$AY$106,37,)) * $CR$5)</f>
        <v>31.027333484194493</v>
      </c>
      <c r="BI74" s="1565">
        <f>IF(ISERROR(MATCH($B74,'A1.3.2'!$B$27:$B$106,0)),"",(VLOOKUP($B74,'Forecast occupancies'!$C$28:$CP$64,59,TRUE) * (VLOOKUP($B74,'A1.3.2'!$B$27:$AY$106,49,) * 'VoT5'!$J$29 + VLOOKUP($B74,'A1.3.2'!$B$27:$AY$106,50,) * 'VoT5'!$J$30) / (SUM('VoT5'!$J$29:$J$30))) * $CR$5)</f>
        <v>18.939721333742824</v>
      </c>
      <c r="BJ74" s="1566">
        <f>IF(ISERROR(MATCH($B74,'A1.3.2'!$B$27:$B$106,0)),"",(BH74*'VoT5'!$H$31 + BI74*'VoT5'!$H$32)/100)</f>
        <v>29.576820026140293</v>
      </c>
      <c r="BK74" s="1566">
        <f>IF(ISERROR(MATCH($B74,'A1.3.2'!$B$27:$B$106,0)),"",(VLOOKUP($B74,'Forecast occupancies'!$C$28:$CP$64,61,TRUE)*VLOOKUP($B74,'A1.3.2'!$B$27:$AY$106,38,)) * $CR$5)</f>
        <v>30.464723656356096</v>
      </c>
      <c r="BL74" s="1566">
        <f>IF(ISERROR(MATCH($B74,'A1.3.2'!$B$27:$B$106,0)),"",(VLOOKUP($B74,'Forecast occupancies'!$C$28:$CP$64,62,TRUE)*VLOOKUP($B74,'A1.3.2'!$B$27:$AY$106,38,)) * $CR$5)</f>
        <v>30.464723656356096</v>
      </c>
      <c r="BM74" s="1565">
        <f>IF(ISERROR(MATCH($B74,'A1.3.2'!$B$27:$B$106,0)),"",(((VLOOKUP($B74,'Forecast occupancies'!$C$28:$CP$64,63,TRUE) -1) * VLOOKUP($B74,'A1.3.2'!$B$27:$AY$106,40,)) + VLOOKUP($B74,'A1.3.2'!$B$27:$AY$106,39,)) * $CR$5)</f>
        <v>35.706954575929586</v>
      </c>
      <c r="BN74" s="1565">
        <f>IF(ISERROR(MATCH($B74,'A1.3.2'!$B$27:$B$106,0)),"",(VLOOKUP($B74,'Forecast occupancies'!$C$28:$CP$64,64,TRUE) * VLOOKUP($B74,'A1.3.2'!$B$27:$AY$106,49,)) * $CR$5)</f>
        <v>41.243077471981742</v>
      </c>
      <c r="BO74" s="1565">
        <f>IF(ISERROR(MATCH($B74,'A1.3.2'!$B$27:$B$106,0)),"",(VLOOKUP($B74,'Forecast occupancies'!$C$28:$CP$64,65,TRUE) * VLOOKUP($B74,'A1.3.2'!$B$27:$AY$106,50,)) * $CR$5)</f>
        <v>96.750851754151611</v>
      </c>
      <c r="BP74" s="1567">
        <f>IF(ISERROR(MATCH($B74,'A1.3.2'!$B$27:$B$106,0)),"",SUM(BM74:BO74))</f>
        <v>173.70088380206295</v>
      </c>
      <c r="BQ74" s="1565">
        <f>IF(ISERROR(MATCH($B74,'A1.3.2'!$B$27:$B$106,0)),"",(((VLOOKUP($B74,'Forecast occupancies'!$C$28:$CP$64,67,TRUE)-1)*VLOOKUP($B74,'A1.3.2'!$B$27:$AY$106,36,)+VLOOKUP($B74,'A1.3.2'!$B$27:$AY$106,35,))*$CR$5))</f>
        <v>49.309882207553002</v>
      </c>
      <c r="BR74" s="1565">
        <f>IF(ISERROR(MATCH($B74,'A1.3.2'!$B$27:$B$106,0)),"",VLOOKUP($B74,'Forecast occupancies'!$C$28:$CP$64,68,TRUE)*VLOOKUP($B74,'A1.3.2'!$B$27:$AY$106,49,)*$CR$5)</f>
        <v>25.505712154163184</v>
      </c>
      <c r="BS74" s="1565">
        <f>IF(ISERROR(MATCH($B74,'A1.3.2'!$B$27:$B$106,0)),"",VLOOKUP($B74,'Forecast occupancies'!$C$28:$CP$64,69,TRUE)*VLOOKUP($B74,'A1.3.2'!$B$27:$AY$106,50,)*$CR$5)</f>
        <v>20.445220416958165</v>
      </c>
      <c r="BT74" s="1566">
        <f>IF(ISERROR(MATCH($B74,'A1.3.2'!$B$27:$B$106,0)),"",(((BQ74*'VoT5'!$I$28)+(BR74*'VoT5'!$I$29)+(BS74*'VoT5'!$I$30))/100))</f>
        <v>21.847007382055093</v>
      </c>
      <c r="BU74" s="1565">
        <f>IF(ISERROR(MATCH($B74,'A1.3.2'!$B$27:$B$106,0)),"",(VLOOKUP($B74,'Forecast occupancies'!$C$28:$CP$64,71,TRUE) * VLOOKUP($B74, 'A1.3.2'!$B$27:$AY$106,37,)) * $CR$5)</f>
        <v>32.578700158404217</v>
      </c>
      <c r="BV74" s="1565">
        <f>IF(ISERROR(MATCH($B74,'A1.3.2'!$B$27:$B$106,0)),"",(VLOOKUP($B74,'Forecast occupancies'!$C$28:$CP$64,72,TRUE) * (VLOOKUP($B74,'A1.3.2'!$B$27:$AY$106,49,)*'VoT5'!$J$29 + VLOOKUP($B74,'A1.3.2'!$B$27:$AY$106,50,)*'VoT5'!$J$30) / (SUM('VoT5'!$J$29:$J$30))) * $CR$5)</f>
        <v>26.333996101025978</v>
      </c>
      <c r="BW74" s="1566">
        <f>IF(ISERROR(MATCH($B74,'A1.3.2'!$B$27:$B$106,0)),"",(BU74*'VoT5'!$I$31 + BV74*'VoT5'!$I$32)/100)</f>
        <v>31.82933567151883</v>
      </c>
      <c r="BX74" s="1566">
        <f>IF(ISERROR(MATCH($B74,'A1.3.2'!$B$27:$B$106,0)),"",(VLOOKUP($B74,'Forecast occupancies'!$C$28:$CP$64,74,TRUE)*VLOOKUP($B74,'A1.3.2'!$B$27:$AY$106,38,)) * $CR$5)</f>
        <v>30.464723656356096</v>
      </c>
      <c r="BY74" s="1566">
        <f>IF(ISERROR(MATCH($B74,'A1.3.2'!$B$27:$B$106,0)),"",(VLOOKUP($B74,'Forecast occupancies'!$C$28:$CP$64,75,TRUE)*VLOOKUP($B74,'A1.3.2'!$B$27:$AY$106,38,)) * $CR$5)</f>
        <v>30.464723656356096</v>
      </c>
      <c r="BZ74" s="1565">
        <f>IF(ISERROR(MATCH($B74,'A1.3.2'!$B$27:$B$106,0)),"",(((VLOOKUP($B74,'Forecast occupancies'!$C$28:$CP$64,76,TRUE) -1) * VLOOKUP($B74,'A1.3.2'!$B$27:$AY$106,40,)) + VLOOKUP($B74,'A1.3.2'!$B$27:$AY$106,39,)) * $CR$5)</f>
        <v>32.519548051872015</v>
      </c>
      <c r="CA74" s="1565">
        <f>IF(ISERROR(MATCH($B74,'A1.3.2'!$B$27:$B$106,0)),"",(VLOOKUP($B74,'Forecast occupancies'!$C$28:$CP$64,77,TRUE) * VLOOKUP($B74,'A1.3.2'!$B$27:$AY$106,49,)) * $CR$5)</f>
        <v>15.624469213213843</v>
      </c>
      <c r="CB74" s="1565">
        <f>IF(ISERROR(MATCH($B74,'A1.3.2'!$B$27:$B$106,0)),"",(VLOOKUP($B74,'Forecast occupancies'!$C$28:$CP$64,78,TRUE) * VLOOKUP($B74,'A1.3.2'!$B$27:$AY$106,50,)) * $CR$5)</f>
        <v>109.88848535575197</v>
      </c>
      <c r="CC74" s="1567">
        <f>IF(ISERROR(MATCH($B74,'A1.3.2'!$B$27:$B$106,0)),"",SUM(BZ74:CB74))</f>
        <v>158.03250262083782</v>
      </c>
      <c r="CD74" s="1565">
        <f>IF(ISERROR(MATCH($B74,'A1.3.2'!$B$27:$B$106,0)),"",(((VLOOKUP($B74,'Forecast occupancies'!$C$28:$CP$64,80,TRUE)-1)*VLOOKUP($B74,'A1.3.2'!$B$27:$AY$106,36,)+VLOOKUP($B74,'A1.3.2'!$B$27:$AY$106,35,))*$CR$5))</f>
        <v>43.583046261839684</v>
      </c>
      <c r="CE74" s="1565">
        <f>IF(ISERROR(MATCH($B74,'A1.3.2'!$B$27:$B$106,0)),"",VLOOKUP($B74,'Forecast occupancies'!$C$28:$CP$64,81,TRUE)*VLOOKUP($B74,'A1.3.2'!$B$27:$AY$106,49,)*$CR$5)</f>
        <v>24.204860281209722</v>
      </c>
      <c r="CF74" s="1565">
        <f>IF(ISERROR(MATCH($B74,'A1.3.2'!$B$27:$B$106,0)),"",VLOOKUP($B74,'Forecast occupancies'!$C$28:$CP$64,82,TRUE)*VLOOKUP($B74,'A1.3.2'!$B$27:$AY$106,50,)*$CR$5)</f>
        <v>18.388863194181479</v>
      </c>
      <c r="CG74" s="1566">
        <f>IF(ISERROR(MATCH($B74,'A1.3.2'!$B$27:$B$106,0)),"",(((CD74*'VoT5'!$J$28)+(CE74*'VoT5'!$J$29)+(CF74*'VoT5'!$J$30))/100))</f>
        <v>22.909507229931432</v>
      </c>
      <c r="CH74" s="1565">
        <f>IF(ISERROR(MATCH($B74,'A1.3.2'!$B$27:$B$106,0)),"",(VLOOKUP($B74,'Forecast occupancies'!$C$28:$CP$64,84,TRUE) * VLOOKUP($B74, 'A1.3.2'!$B$27:$AY$106,37,)) * $CR$5)</f>
        <v>31.027333484194493</v>
      </c>
      <c r="CI74" s="1565">
        <f>IF(ISERROR(MATCH($B74,'A1.3.2'!$B$27:$B$106,0)),"",(VLOOKUP($B74,'Forecast occupancies'!$C$28:$CP$64,85,TRUE) * (VLOOKUP($B74,'A1.3.2'!$B$27:$AY$106,49,)*'VoT5'!$J$29 + VLOOKUP($B74,'A1.3.2'!$B$27:$AY$106,50,)*'VoT5'!$J$30) / (SUM('VoT5'!$J$29:$J$30))) * $CR$5)</f>
        <v>20.626134877158282</v>
      </c>
      <c r="CJ74" s="1566">
        <f>IF(ISERROR(MATCH($B74,'A1.3.2'!$B$27:$B$106,0)),"",(CH74*'VoT5'!$J$31 + CI74*'VoT5'!$J$32)/100)</f>
        <v>29.779189651350148</v>
      </c>
      <c r="CK74" s="1566">
        <f>IF(ISERROR(MATCH($B74,'A1.3.2'!$B$27:$B$106,0)),"",(VLOOKUP($B74,'Forecast occupancies'!$C$28:$CP$64,87,TRUE)*VLOOKUP($B74,'A1.3.2'!$B$27:$AY$106,38,)) * $CR$5)</f>
        <v>30.464723656356096</v>
      </c>
      <c r="CL74" s="1566">
        <f>IF(ISERROR(MATCH($B74,'A1.3.2'!$B$27:$B$106,0)),"",(VLOOKUP($B74,'Forecast occupancies'!$C$28:$CP$64,88,TRUE)*VLOOKUP($B74,'A1.3.2'!$B$27:$AY$106,38,)) * $CR$5)</f>
        <v>30.464723656356096</v>
      </c>
      <c r="CM74" s="1565">
        <f>IF(ISERROR(MATCH($B74,'A1.3.2'!$B$27:$B$106,0)),"",(((VLOOKUP($B74,'Forecast occupancies'!$C$28:$CP$64,89,TRUE) -1) * VLOOKUP($B74,'A1.3.2'!$B$27:$AY$106,40,)) + VLOOKUP($B74,'A1.3.2'!$B$27:$AY$106,39,)) * $CR$5)</f>
        <v>34.919853539375275</v>
      </c>
      <c r="CN74" s="1565">
        <f>IF(ISERROR(MATCH($B74,'A1.3.2'!$B$27:$B$106,0)),"",(VLOOKUP($B74,'Forecast occupancies'!$C$28:$CP$64,90,TRUE) * VLOOKUP($B74,'A1.3.2'!$B$27:$AY$106,49,)) * $CR$5)</f>
        <v>34.915576142842887</v>
      </c>
      <c r="CO74" s="1565">
        <f>IF(ISERROR(MATCH($B74,'A1.3.2'!$B$27:$B$106,0)),"",(VLOOKUP($B74,'Forecast occupancies'!$C$28:$CP$64,91,TRUE) * VLOOKUP($B74,'A1.3.2'!$B$27:$AY$106,50,)) * $CR$5)</f>
        <v>99.995627276157933</v>
      </c>
      <c r="CP74" s="1567">
        <f>IF(ISERROR(MATCH($B74,'A1.3.2'!$B$27:$B$106,0)),"",SUM(CM74:CO74))</f>
        <v>169.83105695837611</v>
      </c>
    </row>
    <row r="75" spans="1:94" s="26" customFormat="1" ht="13.5" customHeight="1">
      <c r="A75" s="113"/>
      <c r="B75" s="82">
        <f t="shared" si="0"/>
        <v>2057</v>
      </c>
      <c r="D75" s="1609">
        <f>IF(ISERROR(MATCH($B75,'A1.3.2'!$B$27:$B$106,0)),"",(((VLOOKUP($B75,'Forecast occupancies'!$C$28:$CP$64,2,TRUE) -1) * VLOOKUP($B75,'A1.3.2'!$B$27:$AY$106,36,) + VLOOKUP($B75,'A1.3.2'!$B$27:$AY$106,35,)) * $CR$5))</f>
        <v>43.290220180760983</v>
      </c>
      <c r="E75" s="1565">
        <f>IF(ISERROR(MATCH($B75,'A1.3.2'!$B$27:$B$106,0)),"",VLOOKUP($B75,'Forecast occupancies'!$C$28:$CP$64,3,TRUE)*VLOOKUP($B75,'A1.3.2'!$B$27:$AY$106,49,)*$CR$5)</f>
        <v>24.396243413715155</v>
      </c>
      <c r="F75" s="1565">
        <f>IF(ISERROR(MATCH($B75,'A1.3.2'!$B$27:$B$106,0)),"",VLOOKUP($B75,'Forecast occupancies'!$C$28:$CP$64,4,TRUE)*VLOOKUP($B75,'A1.3.2'!$B$27:$AY$106,50,)*$CR$5)</f>
        <v>16.831517902509276</v>
      </c>
      <c r="G75" s="1566">
        <f>IF(ISERROR(MATCH($B75,'A1.3.2'!$B$27:$B$106,0)),"",(((D75*'VoT5'!$D$28)+(E75*'VoT5'!$D$29)+(F75*'VoT5'!$D$30))/100))</f>
        <v>24.519793769325826</v>
      </c>
      <c r="H75" s="1565">
        <f>IF(ISERROR(MATCH($B75,'A1.3.2'!$B$27:$B$106,0)),"",(VLOOKUP($B75,'Forecast occupancies'!$C$28:$CP$64,6,TRUE) * VLOOKUP($B75, 'A1.3.2'!$B$27:$AY$106,37,)) * $CR$5)</f>
        <v>31.636886213283432</v>
      </c>
      <c r="I75" s="1565">
        <f>IF(ISERROR(MATCH($B75,'A1.3.2'!$B$27:$B$106,0)),"",VLOOKUP($B75,'Forecast occupancies'!$C$28:$CP$64,7,TRUE) * ('VoT5'!$J$29*VLOOKUP($B75, 'A1.3.2'!$B$27:$AY$106,49,)+'VoT5'!$J$30*VLOOKUP($B75, 'A1.3.2'!$B$27:$AY$106,50,))/('VoT5'!$J$29+'VoT5'!$J$30) * $CR$5)</f>
        <v>19.311804833378641</v>
      </c>
      <c r="J75" s="1566">
        <f>IF(ISERROR(MATCH($B75,'A1.3.2'!$B$27:$B$106,0)),"",(H75*'VoT5'!$D$31 + I75*'VoT5'!$D$32)/100)</f>
        <v>30.157876447694857</v>
      </c>
      <c r="K75" s="1566">
        <f>IF(ISERROR(MATCH($B75,'A1.3.2'!$B$27:$B$106,0)),"",(VLOOKUP($B75,'Forecast occupancies'!$C$28:$CP$64,9,TRUE)*VLOOKUP($B75,'A1.3.2'!$B$27:$AY$106,38,)) * $CR$5)</f>
        <v>31.063223538891325</v>
      </c>
      <c r="L75" s="1566">
        <f>IF(ISERROR(MATCH($B75,'A1.3.2'!$B$27:$B$106,0)),"",(VLOOKUP($B75,'Forecast occupancies'!$C$28:$CP$64,10,TRUE)*VLOOKUP($B75,'A1.3.2'!$B$27:$AY$106,38,)) * $CR$5)</f>
        <v>31.063223538891325</v>
      </c>
      <c r="M75" s="1565">
        <f>IF(ISERROR(MATCH($B75,'A1.3.2'!$B$27:$B$106,0)),"",(((VLOOKUP($B75,'Forecast occupancies'!$C$28:$CP$64,11,TRUE) -1) * VLOOKUP($B75,'A1.3.2'!$B$27:$AY$106,40,)) + VLOOKUP($B75,'A1.3.2'!$B$27:$AY$106,39,)) * $CR$5)</f>
        <v>35.396824069098038</v>
      </c>
      <c r="N75" s="1565">
        <f>IF(ISERROR(MATCH($B75,'A1.3.2'!$B$27:$B$106,0)),"",(VLOOKUP($B75,'Forecast occupancies'!$C$28:$CP$64,12,TRUE) * VLOOKUP($B75,'A1.3.2'!$B$27:$AY$106,49,)) * $CR$5)</f>
        <v>48.455604396893648</v>
      </c>
      <c r="O75" s="1565">
        <f>IF(ISERROR(MATCH($B75,'A1.3.2'!$B$27:$B$106,0)),"",(VLOOKUP($B75,'Forecast occupancies'!$C$28:$CP$64,13,TRUE) * VLOOKUP($B75,'A1.3.2'!$B$27:$AY$106,50,)) * $CR$5)</f>
        <v>96.187859531750192</v>
      </c>
      <c r="P75" s="1567">
        <f>IF(ISERROR(MATCH($B75,'A1.3.2'!$B$27:$B$106,0)),"",SUM(M75:O75))</f>
        <v>180.04028799774187</v>
      </c>
      <c r="Q75" s="1609">
        <f>IF(ISERROR(MATCH($B75,'A1.3.2'!$B$27:$B$106,0)),"",(((VLOOKUP($B75,'Forecast occupancies'!$C$28:$CP$64,15,TRUE)-1)*VLOOKUP($B75,'A1.3.2'!$B$27:$AY$106,36,)+VLOOKUP($B75,'A1.3.2'!$B$27:$AY$106,35,))*$CR$5))</f>
        <v>44.360467421425561</v>
      </c>
      <c r="R75" s="1565">
        <f>IF(ISERROR(MATCH($B75,'A1.3.2'!$B$27:$B$106,0)),"",VLOOKUP($B75,'Forecast occupancies'!$C$28:$CP$64,16,TRUE)*VLOOKUP($B75,'A1.3.2'!$B$27:$AY$106,49,)*$CR$5)</f>
        <v>24.79292860657953</v>
      </c>
      <c r="S75" s="1565">
        <f>IF(ISERROR(MATCH($B75,'A1.3.2'!$B$27:$B$106,0)),"",VLOOKUP($B75,'Forecast occupancies'!$C$28:$CP$64,17,TRUE)*VLOOKUP($B75,'A1.3.2'!$B$27:$AY$106,50,)*$CR$5)</f>
        <v>17.929542509082228</v>
      </c>
      <c r="T75" s="1566">
        <f>IF(ISERROR(MATCH($B75,'A1.3.2'!$B$27:$B$106,0)),"",(((Q75*'VoT5'!$E$28)+(R75*'VoT5'!$E$29)+(S75*'VoT5'!$E$30))/100))</f>
        <v>23.092977979984973</v>
      </c>
      <c r="U75" s="1565">
        <f>IF(ISERROR(MATCH($B75,'A1.3.2'!$B$27:$B$106,0)),"",(VLOOKUP($B75,'Forecast occupancies'!$C$28:$CP$64,19,TRUE) * VLOOKUP($B75, 'A1.3.2'!$B$27:$AY$106,37,)) * $CR$5)</f>
        <v>31.636886213283432</v>
      </c>
      <c r="V75" s="1565">
        <f>IF(ISERROR(MATCH($B75,'A1.3.2'!$B$27:$B$106,0)),"",VLOOKUP($B75,'Forecast occupancies'!$C$28:$CP$64,20,TRUE) * ('VoT5'!$J$29*VLOOKUP($B75, 'A1.3.2'!$B$27:$AY$106,49,)+'VoT5'!$J$30*VLOOKUP($B75, 'A1.3.2'!$B$27:$AY$106,50,))/('VoT5'!$J$29+'VoT5'!$J$30) * $CR$5)</f>
        <v>19.311804833378641</v>
      </c>
      <c r="W75" s="1566">
        <f>IF(ISERROR(MATCH($B75,'A1.3.2'!$B$27:$B$106,0)),"",(U75*'VoT5'!$E$31 + V75*'VoT5'!$E$32)/100)</f>
        <v>30.157876447694857</v>
      </c>
      <c r="X75" s="1566">
        <f>IF(ISERROR(MATCH($B75,'A1.3.2'!$B$27:$B$106,0)),"",(VLOOKUP($B75,'Forecast occupancies'!$C$28:$CP$64,22,TRUE)*VLOOKUP($B75,'A1.3.2'!$B$27:$AY$106,38,)) * $CR$5)</f>
        <v>31.063223538891325</v>
      </c>
      <c r="Y75" s="1566">
        <f>IF(ISERROR(MATCH($B75,'A1.3.2'!$B$27:$B$106,0)),"",(VLOOKUP($B75,'Forecast occupancies'!$C$28:$CP$64,23,TRUE)*VLOOKUP($B75,'A1.3.2'!$B$27:$AY$106,38,)) * $CR$5)</f>
        <v>31.063223538891325</v>
      </c>
      <c r="Z75" s="1565">
        <f>IF(ISERROR(MATCH($B75,'A1.3.2'!$B$27:$B$106,0)),"",(((VLOOKUP($B75,'Forecast occupancies'!$C$28:$CP$64,24,TRUE) -1) * VLOOKUP($B75,'A1.3.2'!$B$27:$AY$106,40,)) + VLOOKUP($B75,'A1.3.2'!$B$27:$AY$106,39,)) * $CR$5)</f>
        <v>36.119304725890352</v>
      </c>
      <c r="AA75" s="1565">
        <f>IF(ISERROR(MATCH($B75,'A1.3.2'!$B$27:$B$106,0)),"",(VLOOKUP($B75,'Forecast occupancies'!$C$28:$CP$64,25,TRUE) * VLOOKUP($B75,'A1.3.2'!$B$27:$AY$106,49,)) * $CR$5)</f>
        <v>16.982147410581945</v>
      </c>
      <c r="AB75" s="1565">
        <f>IF(ISERROR(MATCH($B75,'A1.3.2'!$B$27:$B$106,0)),"",(VLOOKUP($B75,'Forecast occupancies'!$C$28:$CP$64,26,TRUE) * VLOOKUP($B75,'A1.3.2'!$B$27:$AY$106,50,)) * $CR$5)</f>
        <v>110.22586173895316</v>
      </c>
      <c r="AC75" s="1567">
        <f>IF(ISERROR(MATCH($B75,'A1.3.2'!$B$27:$B$106,0)),"",SUM(Z75:AB75))</f>
        <v>163.32731387542546</v>
      </c>
      <c r="AD75" s="1609">
        <f>IF(ISERROR(MATCH($B75,'A1.3.2'!$B$27:$B$106,0)),"",(((VLOOKUP($B75,'Forecast occupancies'!$C$28:$CP$64,28,TRUE)-1)*VLOOKUP($B75,'A1.3.2'!$B$27:$AY$106,36,)+VLOOKUP($B75,'A1.3.2'!$B$27:$AY$106,35,))*$CR$5))</f>
        <v>43.914964102761715</v>
      </c>
      <c r="AE75" s="1565">
        <f>IF(ISERROR(MATCH($B75,'A1.3.2'!$B$27:$B$106,0)),"",VLOOKUP($B75,'Forecast occupancies'!$C$28:$CP$64,29,TRUE)*VLOOKUP($B75,'A1.3.2'!$B$27:$AY$106,49,)*$CR$5)</f>
        <v>24.48039476688805</v>
      </c>
      <c r="AF75" s="1565">
        <f>IF(ISERROR(MATCH($B75,'A1.3.2'!$B$27:$B$106,0)),"",VLOOKUP($B75,'Forecast occupancies'!$C$28:$CP$64,30,TRUE)*VLOOKUP($B75,'A1.3.2'!$B$27:$AY$106,50,)*$CR$5)</f>
        <v>17.626094778685257</v>
      </c>
      <c r="AG75" s="1566">
        <f>IF(ISERROR(MATCH($B75,'A1.3.2'!$B$27:$B$106,0)),"",(((AD75*'VoT5'!$F$28)+(AE75*'VoT5'!$F$29)+(AF75*'VoT5'!$F$30))/100))</f>
        <v>23.558488157773667</v>
      </c>
      <c r="AH75" s="1565">
        <f>IF(ISERROR(MATCH($B75,'A1.3.2'!$B$27:$B$106,0)),"",(VLOOKUP($B75,'Forecast occupancies'!$C$28:$CP$64,32,TRUE) * VLOOKUP($B75, 'A1.3.2'!$B$27:$AY$106,37,)) * $CR$5)</f>
        <v>31.636886213283432</v>
      </c>
      <c r="AI75" s="1565">
        <f>IF(ISERROR(MATCH($B75,'A1.3.2'!$B$27:$B$106,0)),"",VLOOKUP($B75,'Forecast occupancies'!$C$28:$CP$64,33,TRUE) * ('VoT5'!$J$29*VLOOKUP($B75, 'A1.3.2'!$B$27:$AY$106,49,)+'VoT5'!$J$30*VLOOKUP($B75, 'A1.3.2'!$B$27:$AY$106,50,))/('VoT5'!$J$29+'VoT5'!$J$30) * $CR$5)</f>
        <v>19.311804833378641</v>
      </c>
      <c r="AJ75" s="1566">
        <f>IF(ISERROR(MATCH($B75,'A1.3.2'!$B$27:$B$106,0)),"",(AH75*'VoT5'!$F$31 + AI75*'VoT5'!$F$32)/100)</f>
        <v>30.157876447694857</v>
      </c>
      <c r="AK75" s="1566">
        <f>IF(ISERROR(MATCH($B75,'A1.3.2'!$B$27:$B$106,0)),"",(VLOOKUP($B75,'Forecast occupancies'!$C$28:$CP$64,35,TRUE)*VLOOKUP($B75,'A1.3.2'!$B$27:$AY$106,38,)) * $CR$5)</f>
        <v>31.063223538891325</v>
      </c>
      <c r="AL75" s="1566">
        <f>IF(ISERROR(MATCH($B75,'A1.3.2'!$B$27:$B$106,0)),"",(VLOOKUP($B75,'Forecast occupancies'!$C$28:$CP$64,36,TRUE)*VLOOKUP($B75,'A1.3.2'!$B$27:$AY$106,38,)) * $CR$5)</f>
        <v>31.063223538891325</v>
      </c>
      <c r="AM75" s="1565">
        <f>IF(ISERROR(MATCH($B75,'A1.3.2'!$B$27:$B$106,0)),"",(((VLOOKUP($B75,'Forecast occupancies'!$C$28:$CP$64,37,TRUE) -1) * VLOOKUP($B75,'A1.3.2'!$B$27:$AY$106,40,)) + VLOOKUP($B75,'A1.3.2'!$B$27:$AY$106,39,)) * $CR$5)</f>
        <v>37.791161797131537</v>
      </c>
      <c r="AN75" s="1565">
        <f>IF(ISERROR(MATCH($B75,'A1.3.2'!$B$27:$B$106,0)),"",(VLOOKUP($B75,'Forecast occupancies'!$C$28:$CP$64,38,TRUE) * VLOOKUP($B75,'A1.3.2'!$B$27:$AY$106,49,)) * $CR$5)</f>
        <v>68.146873279753592</v>
      </c>
      <c r="AO75" s="1565">
        <f>IF(ISERROR(MATCH($B75,'A1.3.2'!$B$27:$B$106,0)),"",(VLOOKUP($B75,'Forecast occupancies'!$C$28:$CP$64,39,TRUE) * VLOOKUP($B75,'A1.3.2'!$B$27:$AY$106,50,)) * $CR$5)</f>
        <v>86.115060115145113</v>
      </c>
      <c r="AP75" s="1567">
        <f>IF(ISERROR(MATCH($B75,'A1.3.2'!$B$27:$B$106,0)),"",SUM(AM75:AO75))</f>
        <v>192.05309519203024</v>
      </c>
      <c r="AQ75" s="1609">
        <f>IF(ISERROR(MATCH($B75,'A1.3.2'!$B$27:$B$106,0)),"",(((VLOOKUP($B75,'Forecast occupancies'!$C$28:$CP$64,41,TRUE)-1)*VLOOKUP($B75,'A1.3.2'!$B$27:$AY$106,36,)+VLOOKUP($B75,'A1.3.2'!$B$27:$AY$106,35,))*$CR$5))</f>
        <v>44.745862545716086</v>
      </c>
      <c r="AR75" s="1565">
        <f>IF(ISERROR(MATCH($B75,'A1.3.2'!$B$27:$B$106,0)),"",VLOOKUP($B75,'Forecast occupancies'!$C$28:$CP$64,42,TRUE)*VLOOKUP($B75,'A1.3.2'!$B$27:$AY$106,49,)*$CR$5)</f>
        <v>24.838688659159917</v>
      </c>
      <c r="AS75" s="1565">
        <f>IF(ISERROR(MATCH($B75,'A1.3.2'!$B$27:$B$106,0)),"",VLOOKUP($B75,'Forecast occupancies'!$C$28:$CP$64,43,TRUE)*VLOOKUP($B75,'A1.3.2'!$B$27:$AY$106,50,)*$CR$5)</f>
        <v>17.563165755269491</v>
      </c>
      <c r="AT75" s="1566">
        <f>IF(ISERROR(MATCH($B75,'A1.3.2'!$B$27:$B$106,0)),"",(((AQ75*'VoT5'!$G$28)+(AR75*'VoT5'!$G$29)+(AS75*'VoT5'!$G$30))/100))</f>
        <v>23.868159769545773</v>
      </c>
      <c r="AU75" s="1565">
        <f>IF(ISERROR(MATCH($B75,'A1.3.2'!$B$27:$B$106,0)),"",(VLOOKUP($B75,'Forecast occupancies'!$C$28:$CP$64,45,TRUE) * VLOOKUP($B75, 'A1.3.2'!$B$27:$AY$106,37,)) * $CR$5)</f>
        <v>31.636886213283432</v>
      </c>
      <c r="AV75" s="1565">
        <f>IF(ISERROR(MATCH($B75,'A1.3.2'!$B$27:$B$106,0)),"",VLOOKUP($B75,'Forecast occupancies'!$C$28:$CP$64,46,TRUE) * ('VoT5'!$J$29*VLOOKUP($B75, 'A1.3.2'!$B$27:$AY$106,49,)+'VoT5'!$J$30*VLOOKUP($B75, 'A1.3.2'!$B$27:$AY$106,50,))/('VoT5'!$J$29+'VoT5'!$J$30) * $CR$5)</f>
        <v>19.311804833378641</v>
      </c>
      <c r="AW75" s="1566">
        <f>IF(ISERROR(MATCH($B75,'A1.3.2'!$B$27:$B$106,0)),"",(AU75*'VoT5'!$G$31 + AV75*'VoT5'!$G$32)/100)</f>
        <v>30.157876447694857</v>
      </c>
      <c r="AX75" s="1566">
        <f>IF(ISERROR(MATCH($B75,'A1.3.2'!$B$27:$B$106,0)),"",(VLOOKUP($B75,'Forecast occupancies'!$C$28:$CP$64,48,TRUE)*VLOOKUP($B75,'A1.3.2'!$B$27:$AY$106,38,)) * $CR$5)</f>
        <v>31.063223538891325</v>
      </c>
      <c r="AY75" s="1566">
        <f>IF(ISERROR(MATCH($B75,'A1.3.2'!$B$27:$B$106,0)),"",(VLOOKUP($B75,'Forecast occupancies'!$C$28:$CP$64,49,TRUE)*VLOOKUP($B75,'A1.3.2'!$B$27:$AY$106,38,)) * $CR$5)</f>
        <v>31.063223538891325</v>
      </c>
      <c r="AZ75" s="1565">
        <f>IF(ISERROR(MATCH($B75,'A1.3.2'!$B$27:$B$106,0)),"",(((VLOOKUP($B75,'Forecast occupancies'!$C$28:$CP$64,50,TRUE) -1) * VLOOKUP($B75,'A1.3.2'!$B$27:$AY$106,40,)) + VLOOKUP($B75,'A1.3.2'!$B$27:$AY$106,39,)) * $CR$5)</f>
        <v>37.760601099177009</v>
      </c>
      <c r="BA75" s="1565">
        <f>IF(ISERROR(MATCH($B75,'A1.3.2'!$B$27:$B$106,0)),"",(VLOOKUP($B75,'Forecast occupancies'!$C$28:$CP$64,51,TRUE) * VLOOKUP($B75,'A1.3.2'!$B$27:$AY$106,49,)) * $CR$5)</f>
        <v>93.15508303670822</v>
      </c>
      <c r="BB75" s="1565">
        <f>IF(ISERROR(MATCH($B75,'A1.3.2'!$B$27:$B$106,0)),"",(VLOOKUP($B75,'Forecast occupancies'!$C$28:$CP$64,52,TRUE) * VLOOKUP($B75,'A1.3.2'!$B$27:$AY$106,50,)) * $CR$5)</f>
        <v>74.714412784625424</v>
      </c>
      <c r="BC75" s="1567">
        <f>IF(ISERROR(MATCH($B75,'A1.3.2'!$B$27:$B$106,0)),"",SUM(AZ75:BB75))</f>
        <v>205.63009692051065</v>
      </c>
      <c r="BD75" s="1565">
        <f>IF(ISERROR(MATCH($B75,'A1.3.2'!$B$27:$B$106,0)),"",(((VLOOKUP($B75,'Forecast occupancies'!$C$28:$CP$64,54,TRUE)-1)*VLOOKUP($B75,'A1.3.2'!$B$27:$AY$106,36,)+VLOOKUP($B75,'A1.3.2'!$B$27:$AY$106,35,))*$CR$5))</f>
        <v>43.993101550848976</v>
      </c>
      <c r="BE75" s="1565">
        <f>IF(ISERROR(MATCH($B75,'A1.3.2'!$B$27:$B$106,0)),"",VLOOKUP($B75,'Forecast occupancies'!$C$28:$CP$64,55,TRUE)*VLOOKUP($B75,'A1.3.2'!$B$27:$AY$106,49,)*$CR$5)</f>
        <v>24.563628312985276</v>
      </c>
      <c r="BF75" s="1565">
        <f>IF(ISERROR(MATCH($B75,'A1.3.2'!$B$27:$B$106,0)),"",VLOOKUP($B75,'Forecast occupancies'!$C$28:$CP$64,56,TRUE)*VLOOKUP($B75,'A1.3.2'!$B$27:$AY$106,50,)*$CR$5)</f>
        <v>17.606804070618306</v>
      </c>
      <c r="BG75" s="1566">
        <f>IF(ISERROR(MATCH($B75,'A1.3.2'!$B$27:$B$106,0)),"",(((BD75*'VoT5'!$H$28)+(BE75*'VoT5'!$H$29)+(BF75*'VoT5'!$H$30))/100))</f>
        <v>23.696270197877453</v>
      </c>
      <c r="BH75" s="1565">
        <f>IF(ISERROR(MATCH($B75,'A1.3.2'!$B$27:$B$106,0)),"",(VLOOKUP($B75,'Forecast occupancies'!$C$28:$CP$64,58,TRUE) * VLOOKUP($B75, 'A1.3.2'!$B$27:$AY$106,37,)) * $CR$5)</f>
        <v>31.636886213283432</v>
      </c>
      <c r="BI75" s="1565">
        <f>IF(ISERROR(MATCH($B75,'A1.3.2'!$B$27:$B$106,0)),"",(VLOOKUP($B75,'Forecast occupancies'!$C$28:$CP$64,59,TRUE) * (VLOOKUP($B75,'A1.3.2'!$B$27:$AY$106,49,) * 'VoT5'!$J$29 + VLOOKUP($B75,'A1.3.2'!$B$27:$AY$106,50,) * 'VoT5'!$J$30) / (SUM('VoT5'!$J$29:$J$30))) * $CR$5)</f>
        <v>19.311804833378641</v>
      </c>
      <c r="BJ75" s="1566">
        <f>IF(ISERROR(MATCH($B75,'A1.3.2'!$B$27:$B$106,0)),"",(BH75*'VoT5'!$H$31 + BI75*'VoT5'!$H$32)/100)</f>
        <v>30.157876447694857</v>
      </c>
      <c r="BK75" s="1566">
        <f>IF(ISERROR(MATCH($B75,'A1.3.2'!$B$27:$B$106,0)),"",(VLOOKUP($B75,'Forecast occupancies'!$C$28:$CP$64,61,TRUE)*VLOOKUP($B75,'A1.3.2'!$B$27:$AY$106,38,)) * $CR$5)</f>
        <v>31.063223538891325</v>
      </c>
      <c r="BL75" s="1566">
        <f>IF(ISERROR(MATCH($B75,'A1.3.2'!$B$27:$B$106,0)),"",(VLOOKUP($B75,'Forecast occupancies'!$C$28:$CP$64,62,TRUE)*VLOOKUP($B75,'A1.3.2'!$B$27:$AY$106,38,)) * $CR$5)</f>
        <v>31.063223538891325</v>
      </c>
      <c r="BM75" s="1565">
        <f>IF(ISERROR(MATCH($B75,'A1.3.2'!$B$27:$B$106,0)),"",(((VLOOKUP($B75,'Forecast occupancies'!$C$28:$CP$64,63,TRUE) -1) * VLOOKUP($B75,'A1.3.2'!$B$27:$AY$106,40,)) + VLOOKUP($B75,'A1.3.2'!$B$27:$AY$106,39,)) * $CR$5)</f>
        <v>36.408441592862566</v>
      </c>
      <c r="BN75" s="1565">
        <f>IF(ISERROR(MATCH($B75,'A1.3.2'!$B$27:$B$106,0)),"",(VLOOKUP($B75,'Forecast occupancies'!$C$28:$CP$64,64,TRUE) * VLOOKUP($B75,'A1.3.2'!$B$27:$AY$106,49,)) * $CR$5)</f>
        <v>42.053325327856285</v>
      </c>
      <c r="BO75" s="1565">
        <f>IF(ISERROR(MATCH($B75,'A1.3.2'!$B$27:$B$106,0)),"",(VLOOKUP($B75,'Forecast occupancies'!$C$28:$CP$64,65,TRUE) * VLOOKUP($B75,'A1.3.2'!$B$27:$AY$106,50,)) * $CR$5)</f>
        <v>98.651586980350245</v>
      </c>
      <c r="BP75" s="1567">
        <f>IF(ISERROR(MATCH($B75,'A1.3.2'!$B$27:$B$106,0)),"",SUM(BM75:BO75))</f>
        <v>177.1133539010691</v>
      </c>
      <c r="BQ75" s="1565">
        <f>IF(ISERROR(MATCH($B75,'A1.3.2'!$B$27:$B$106,0)),"",(((VLOOKUP($B75,'Forecast occupancies'!$C$28:$CP$64,67,TRUE)-1)*VLOOKUP($B75,'A1.3.2'!$B$27:$AY$106,36,)+VLOOKUP($B75,'A1.3.2'!$B$27:$AY$106,35,))*$CR$5))</f>
        <v>50.278607840581657</v>
      </c>
      <c r="BR75" s="1565">
        <f>IF(ISERROR(MATCH($B75,'A1.3.2'!$B$27:$B$106,0)),"",VLOOKUP($B75,'Forecast occupancies'!$C$28:$CP$64,68,TRUE)*VLOOKUP($B75,'A1.3.2'!$B$27:$AY$106,49,)*$CR$5)</f>
        <v>26.006788937279168</v>
      </c>
      <c r="BS75" s="1565">
        <f>IF(ISERROR(MATCH($B75,'A1.3.2'!$B$27:$B$106,0)),"",VLOOKUP($B75,'Forecast occupancies'!$C$28:$CP$64,69,TRUE)*VLOOKUP($B75,'A1.3.2'!$B$27:$AY$106,50,)*$CR$5)</f>
        <v>20.846880453529785</v>
      </c>
      <c r="BT75" s="1566">
        <f>IF(ISERROR(MATCH($B75,'A1.3.2'!$B$27:$B$106,0)),"",(((BQ75*'VoT5'!$I$28)+(BR75*'VoT5'!$I$29)+(BS75*'VoT5'!$I$30))/100))</f>
        <v>22.276206461600271</v>
      </c>
      <c r="BU75" s="1565">
        <f>IF(ISERROR(MATCH($B75,'A1.3.2'!$B$27:$B$106,0)),"",(VLOOKUP($B75,'Forecast occupancies'!$C$28:$CP$64,71,TRUE) * VLOOKUP($B75, 'A1.3.2'!$B$27:$AY$106,37,)) * $CR$5)</f>
        <v>33.218730523947606</v>
      </c>
      <c r="BV75" s="1565">
        <f>IF(ISERROR(MATCH($B75,'A1.3.2'!$B$27:$B$106,0)),"",(VLOOKUP($B75,'Forecast occupancies'!$C$28:$CP$64,72,TRUE) * (VLOOKUP($B75,'A1.3.2'!$B$27:$AY$106,49,)*'VoT5'!$J$29 + VLOOKUP($B75,'A1.3.2'!$B$27:$AY$106,50,)*'VoT5'!$J$30) / (SUM('VoT5'!$J$29:$J$30))) * $CR$5)</f>
        <v>26.851345076547016</v>
      </c>
      <c r="BW75" s="1566">
        <f>IF(ISERROR(MATCH($B75,'A1.3.2'!$B$27:$B$106,0)),"",(BU75*'VoT5'!$I$31 + BV75*'VoT5'!$I$32)/100)</f>
        <v>32.454644270259536</v>
      </c>
      <c r="BX75" s="1566">
        <f>IF(ISERROR(MATCH($B75,'A1.3.2'!$B$27:$B$106,0)),"",(VLOOKUP($B75,'Forecast occupancies'!$C$28:$CP$64,74,TRUE)*VLOOKUP($B75,'A1.3.2'!$B$27:$AY$106,38,)) * $CR$5)</f>
        <v>31.063223538891325</v>
      </c>
      <c r="BY75" s="1566">
        <f>IF(ISERROR(MATCH($B75,'A1.3.2'!$B$27:$B$106,0)),"",(VLOOKUP($B75,'Forecast occupancies'!$C$28:$CP$64,75,TRUE)*VLOOKUP($B75,'A1.3.2'!$B$27:$AY$106,38,)) * $CR$5)</f>
        <v>31.063223538891325</v>
      </c>
      <c r="BZ75" s="1565">
        <f>IF(ISERROR(MATCH($B75,'A1.3.2'!$B$27:$B$106,0)),"",(((VLOOKUP($B75,'Forecast occupancies'!$C$28:$CP$64,76,TRUE) -1) * VLOOKUP($B75,'A1.3.2'!$B$27:$AY$106,40,)) + VLOOKUP($B75,'A1.3.2'!$B$27:$AY$106,39,)) * $CR$5)</f>
        <v>33.158416334699311</v>
      </c>
      <c r="CA75" s="1565">
        <f>IF(ISERROR(MATCH($B75,'A1.3.2'!$B$27:$B$106,0)),"",(VLOOKUP($B75,'Forecast occupancies'!$C$28:$CP$64,77,TRUE) * VLOOKUP($B75,'A1.3.2'!$B$27:$AY$106,49,)) * $CR$5)</f>
        <v>15.93142236644991</v>
      </c>
      <c r="CB75" s="1565">
        <f>IF(ISERROR(MATCH($B75,'A1.3.2'!$B$27:$B$106,0)),"",(VLOOKUP($B75,'Forecast occupancies'!$C$28:$CP$64,78,TRUE) * VLOOKUP($B75,'A1.3.2'!$B$27:$AY$106,50,)) * $CR$5)</f>
        <v>112.0473181854622</v>
      </c>
      <c r="CC75" s="1567">
        <f>IF(ISERROR(MATCH($B75,'A1.3.2'!$B$27:$B$106,0)),"",SUM(BZ75:CB75))</f>
        <v>161.13715688661142</v>
      </c>
      <c r="CD75" s="1565">
        <f>IF(ISERROR(MATCH($B75,'A1.3.2'!$B$27:$B$106,0)),"",(((VLOOKUP($B75,'Forecast occupancies'!$C$28:$CP$64,80,TRUE)-1)*VLOOKUP($B75,'A1.3.2'!$B$27:$AY$106,36,)+VLOOKUP($B75,'A1.3.2'!$B$27:$AY$106,35,))*$CR$5))</f>
        <v>44.439264370445315</v>
      </c>
      <c r="CE75" s="1565">
        <f>IF(ISERROR(MATCH($B75,'A1.3.2'!$B$27:$B$106,0)),"",VLOOKUP($B75,'Forecast occupancies'!$C$28:$CP$64,81,TRUE)*VLOOKUP($B75,'A1.3.2'!$B$27:$AY$106,49,)*$CR$5)</f>
        <v>24.680380958780795</v>
      </c>
      <c r="CF75" s="1565">
        <f>IF(ISERROR(MATCH($B75,'A1.3.2'!$B$27:$B$106,0)),"",VLOOKUP($B75,'Forecast occupancies'!$C$28:$CP$64,82,TRUE)*VLOOKUP($B75,'A1.3.2'!$B$27:$AY$106,50,)*$CR$5)</f>
        <v>18.750124717043764</v>
      </c>
      <c r="CG75" s="1566">
        <f>IF(ISERROR(MATCH($B75,'A1.3.2'!$B$27:$B$106,0)),"",(((CD75*'VoT5'!$J$28)+(CE75*'VoT5'!$J$29)+(CF75*'VoT5'!$J$30))/100))</f>
        <v>23.35957982998908</v>
      </c>
      <c r="CH75" s="1565">
        <f>IF(ISERROR(MATCH($B75,'A1.3.2'!$B$27:$B$106,0)),"",(VLOOKUP($B75,'Forecast occupancies'!$C$28:$CP$64,84,TRUE) * VLOOKUP($B75, 'A1.3.2'!$B$27:$AY$106,37,)) * $CR$5)</f>
        <v>31.636886213283432</v>
      </c>
      <c r="CI75" s="1565">
        <f>IF(ISERROR(MATCH($B75,'A1.3.2'!$B$27:$B$106,0)),"",(VLOOKUP($B75,'Forecast occupancies'!$C$28:$CP$64,85,TRUE) * (VLOOKUP($B75,'A1.3.2'!$B$27:$AY$106,49,)*'VoT5'!$J$29 + VLOOKUP($B75,'A1.3.2'!$B$27:$AY$106,50,)*'VoT5'!$J$30) / (SUM('VoT5'!$J$29:$J$30))) * $CR$5)</f>
        <v>21.031349099364412</v>
      </c>
      <c r="CJ75" s="1566">
        <f>IF(ISERROR(MATCH($B75,'A1.3.2'!$B$27:$B$106,0)),"",(CH75*'VoT5'!$J$31 + CI75*'VoT5'!$J$32)/100)</f>
        <v>30.364221759613148</v>
      </c>
      <c r="CK75" s="1566">
        <f>IF(ISERROR(MATCH($B75,'A1.3.2'!$B$27:$B$106,0)),"",(VLOOKUP($B75,'Forecast occupancies'!$C$28:$CP$64,87,TRUE)*VLOOKUP($B75,'A1.3.2'!$B$27:$AY$106,38,)) * $CR$5)</f>
        <v>31.063223538891325</v>
      </c>
      <c r="CL75" s="1566">
        <f>IF(ISERROR(MATCH($B75,'A1.3.2'!$B$27:$B$106,0)),"",(VLOOKUP($B75,'Forecast occupancies'!$C$28:$CP$64,88,TRUE)*VLOOKUP($B75,'A1.3.2'!$B$27:$AY$106,38,)) * $CR$5)</f>
        <v>31.063223538891325</v>
      </c>
      <c r="CM75" s="1565">
        <f>IF(ISERROR(MATCH($B75,'A1.3.2'!$B$27:$B$106,0)),"",(((VLOOKUP($B75,'Forecast occupancies'!$C$28:$CP$64,89,TRUE) -1) * VLOOKUP($B75,'A1.3.2'!$B$27:$AY$106,40,)) + VLOOKUP($B75,'A1.3.2'!$B$27:$AY$106,39,)) * $CR$5)</f>
        <v>35.605877429734875</v>
      </c>
      <c r="CN75" s="1565">
        <f>IF(ISERROR(MATCH($B75,'A1.3.2'!$B$27:$B$106,0)),"",(VLOOKUP($B75,'Forecast occupancies'!$C$28:$CP$64,90,TRUE) * VLOOKUP($B75,'A1.3.2'!$B$27:$AY$106,49,)) * $CR$5)</f>
        <v>35.601516000885283</v>
      </c>
      <c r="CO75" s="1565">
        <f>IF(ISERROR(MATCH($B75,'A1.3.2'!$B$27:$B$106,0)),"",(VLOOKUP($B75,'Forecast occupancies'!$C$28:$CP$64,91,TRUE) * VLOOKUP($B75,'A1.3.2'!$B$27:$AY$106,50,)) * $CR$5)</f>
        <v>101.96010828881701</v>
      </c>
      <c r="CP75" s="1567">
        <f>IF(ISERROR(MATCH($B75,'A1.3.2'!$B$27:$B$106,0)),"",SUM(CM75:CO75))</f>
        <v>173.16750171943715</v>
      </c>
    </row>
    <row r="76" spans="1:94" s="26" customFormat="1" ht="13.5" customHeight="1">
      <c r="A76" s="113"/>
      <c r="B76" s="82">
        <f t="shared" si="0"/>
        <v>2058</v>
      </c>
      <c r="D76" s="1609">
        <f>IF(ISERROR(MATCH($B76,'A1.3.2'!$B$27:$B$106,0)),"",(((VLOOKUP($B76,'Forecast occupancies'!$C$28:$CP$64,2,TRUE) -1) * VLOOKUP($B76,'A1.3.2'!$B$27:$AY$106,36,) + VLOOKUP($B76,'A1.3.2'!$B$27:$AY$106,35,)) * $CR$5))</f>
        <v>44.144134654472552</v>
      </c>
      <c r="E76" s="1565">
        <f>IF(ISERROR(MATCH($B76,'A1.3.2'!$B$27:$B$106,0)),"",VLOOKUP($B76,'Forecast occupancies'!$C$28:$CP$64,3,TRUE)*VLOOKUP($B76,'A1.3.2'!$B$27:$AY$106,49,)*$CR$5)</f>
        <v>24.877467701052456</v>
      </c>
      <c r="F76" s="1565">
        <f>IF(ISERROR(MATCH($B76,'A1.3.2'!$B$27:$B$106,0)),"",VLOOKUP($B76,'Forecast occupancies'!$C$28:$CP$64,4,TRUE)*VLOOKUP($B76,'A1.3.2'!$B$27:$AY$106,50,)*$CR$5)</f>
        <v>17.163525378827806</v>
      </c>
      <c r="G76" s="1566">
        <f>IF(ISERROR(MATCH($B76,'A1.3.2'!$B$27:$B$106,0)),"",(((D76*'VoT5'!$D$28)+(E76*'VoT5'!$D$29)+(F76*'VoT5'!$D$30))/100))</f>
        <v>25.003455129896938</v>
      </c>
      <c r="H76" s="1565">
        <f>IF(ISERROR(MATCH($B76,'A1.3.2'!$B$27:$B$106,0)),"",(VLOOKUP($B76,'Forecast occupancies'!$C$28:$CP$64,6,TRUE) * VLOOKUP($B76, 'A1.3.2'!$B$27:$AY$106,37,)) * $CR$5)</f>
        <v>32.260934668751773</v>
      </c>
      <c r="I76" s="1565">
        <f>IF(ISERROR(MATCH($B76,'A1.3.2'!$B$27:$B$106,0)),"",VLOOKUP($B76,'Forecast occupancies'!$C$28:$CP$64,7,TRUE) * ('VoT5'!$J$29*VLOOKUP($B76, 'A1.3.2'!$B$27:$AY$106,49,)+'VoT5'!$J$30*VLOOKUP($B76, 'A1.3.2'!$B$27:$AY$106,50,))/('VoT5'!$J$29+'VoT5'!$J$30) * $CR$5)</f>
        <v>19.69273682198617</v>
      </c>
      <c r="J76" s="1566">
        <f>IF(ISERROR(MATCH($B76,'A1.3.2'!$B$27:$B$106,0)),"",(H76*'VoT5'!$D$31 + I76*'VoT5'!$D$32)/100)</f>
        <v>30.7527509271399</v>
      </c>
      <c r="K76" s="1566">
        <f>IF(ISERROR(MATCH($B76,'A1.3.2'!$B$27:$B$106,0)),"",(VLOOKUP($B76,'Forecast occupancies'!$C$28:$CP$64,9,TRUE)*VLOOKUP($B76,'A1.3.2'!$B$27:$AY$106,38,)) * $CR$5)</f>
        <v>31.675956300915605</v>
      </c>
      <c r="L76" s="1566">
        <f>IF(ISERROR(MATCH($B76,'A1.3.2'!$B$27:$B$106,0)),"",(VLOOKUP($B76,'Forecast occupancies'!$C$28:$CP$64,10,TRUE)*VLOOKUP($B76,'A1.3.2'!$B$27:$AY$106,38,)) * $CR$5)</f>
        <v>31.675956300915605</v>
      </c>
      <c r="M76" s="1565">
        <f>IF(ISERROR(MATCH($B76,'A1.3.2'!$B$27:$B$106,0)),"",(((VLOOKUP($B76,'Forecast occupancies'!$C$28:$CP$64,11,TRUE) -1) * VLOOKUP($B76,'A1.3.2'!$B$27:$AY$106,40,)) + VLOOKUP($B76,'A1.3.2'!$B$27:$AY$106,39,)) * $CR$5)</f>
        <v>36.09503859121908</v>
      </c>
      <c r="N76" s="1565">
        <f>IF(ISERROR(MATCH($B76,'A1.3.2'!$B$27:$B$106,0)),"",(VLOOKUP($B76,'Forecast occupancies'!$C$28:$CP$64,12,TRUE) * VLOOKUP($B76,'A1.3.2'!$B$27:$AY$106,49,)) * $CR$5)</f>
        <v>49.41140784982543</v>
      </c>
      <c r="O76" s="1565">
        <f>IF(ISERROR(MATCH($B76,'A1.3.2'!$B$27:$B$106,0)),"",(VLOOKUP($B76,'Forecast occupancies'!$C$28:$CP$64,13,TRUE) * VLOOKUP($B76,'A1.3.2'!$B$27:$AY$106,50,)) * $CR$5)</f>
        <v>98.085198124774948</v>
      </c>
      <c r="P76" s="1567">
        <f>IF(ISERROR(MATCH($B76,'A1.3.2'!$B$27:$B$106,0)),"",SUM(M76:O76))</f>
        <v>183.59164456581948</v>
      </c>
      <c r="Q76" s="1609">
        <f>IF(ISERROR(MATCH($B76,'A1.3.2'!$B$27:$B$106,0)),"",(((VLOOKUP($B76,'Forecast occupancies'!$C$28:$CP$64,15,TRUE)-1)*VLOOKUP($B76,'A1.3.2'!$B$27:$AY$106,36,)+VLOOKUP($B76,'A1.3.2'!$B$27:$AY$106,35,))*$CR$5))</f>
        <v>45.235492889847649</v>
      </c>
      <c r="R76" s="1565">
        <f>IF(ISERROR(MATCH($B76,'A1.3.2'!$B$27:$B$106,0)),"",VLOOKUP($B76,'Forecast occupancies'!$C$28:$CP$64,16,TRUE)*VLOOKUP($B76,'A1.3.2'!$B$27:$AY$106,49,)*$CR$5)</f>
        <v>25.28197764570325</v>
      </c>
      <c r="S76" s="1565">
        <f>IF(ISERROR(MATCH($B76,'A1.3.2'!$B$27:$B$106,0)),"",VLOOKUP($B76,'Forecast occupancies'!$C$28:$CP$64,17,TRUE)*VLOOKUP($B76,'A1.3.2'!$B$27:$AY$106,50,)*$CR$5)</f>
        <v>18.283208898202059</v>
      </c>
      <c r="T76" s="1566">
        <f>IF(ISERROR(MATCH($B76,'A1.3.2'!$B$27:$B$106,0)),"",(((Q76*'VoT5'!$E$28)+(R76*'VoT5'!$E$29)+(S76*'VoT5'!$E$30))/100))</f>
        <v>23.548494908655503</v>
      </c>
      <c r="U76" s="1565">
        <f>IF(ISERROR(MATCH($B76,'A1.3.2'!$B$27:$B$106,0)),"",(VLOOKUP($B76,'Forecast occupancies'!$C$28:$CP$64,19,TRUE) * VLOOKUP($B76, 'A1.3.2'!$B$27:$AY$106,37,)) * $CR$5)</f>
        <v>32.260934668751773</v>
      </c>
      <c r="V76" s="1565">
        <f>IF(ISERROR(MATCH($B76,'A1.3.2'!$B$27:$B$106,0)),"",VLOOKUP($B76,'Forecast occupancies'!$C$28:$CP$64,20,TRUE) * ('VoT5'!$J$29*VLOOKUP($B76, 'A1.3.2'!$B$27:$AY$106,49,)+'VoT5'!$J$30*VLOOKUP($B76, 'A1.3.2'!$B$27:$AY$106,50,))/('VoT5'!$J$29+'VoT5'!$J$30) * $CR$5)</f>
        <v>19.69273682198617</v>
      </c>
      <c r="W76" s="1566">
        <f>IF(ISERROR(MATCH($B76,'A1.3.2'!$B$27:$B$106,0)),"",(U76*'VoT5'!$E$31 + V76*'VoT5'!$E$32)/100)</f>
        <v>30.7527509271399</v>
      </c>
      <c r="X76" s="1566">
        <f>IF(ISERROR(MATCH($B76,'A1.3.2'!$B$27:$B$106,0)),"",(VLOOKUP($B76,'Forecast occupancies'!$C$28:$CP$64,22,TRUE)*VLOOKUP($B76,'A1.3.2'!$B$27:$AY$106,38,)) * $CR$5)</f>
        <v>31.675956300915605</v>
      </c>
      <c r="Y76" s="1566">
        <f>IF(ISERROR(MATCH($B76,'A1.3.2'!$B$27:$B$106,0)),"",(VLOOKUP($B76,'Forecast occupancies'!$C$28:$CP$64,23,TRUE)*VLOOKUP($B76,'A1.3.2'!$B$27:$AY$106,38,)) * $CR$5)</f>
        <v>31.675956300915605</v>
      </c>
      <c r="Z76" s="1565">
        <f>IF(ISERROR(MATCH($B76,'A1.3.2'!$B$27:$B$106,0)),"",(((VLOOKUP($B76,'Forecast occupancies'!$C$28:$CP$64,24,TRUE) -1) * VLOOKUP($B76,'A1.3.2'!$B$27:$AY$106,40,)) + VLOOKUP($B76,'A1.3.2'!$B$27:$AY$106,39,)) * $CR$5)</f>
        <v>36.831770427313216</v>
      </c>
      <c r="AA76" s="1565">
        <f>IF(ISERROR(MATCH($B76,'A1.3.2'!$B$27:$B$106,0)),"",(VLOOKUP($B76,'Forecast occupancies'!$C$28:$CP$64,25,TRUE) * VLOOKUP($B76,'A1.3.2'!$B$27:$AY$106,49,)) * $CR$5)</f>
        <v>17.317126105724817</v>
      </c>
      <c r="AB76" s="1565">
        <f>IF(ISERROR(MATCH($B76,'A1.3.2'!$B$27:$B$106,0)),"",(VLOOKUP($B76,'Forecast occupancies'!$C$28:$CP$64,26,TRUE) * VLOOKUP($B76,'A1.3.2'!$B$27:$AY$106,50,)) * $CR$5)</f>
        <v>112.4001047509592</v>
      </c>
      <c r="AC76" s="1567">
        <f>IF(ISERROR(MATCH($B76,'A1.3.2'!$B$27:$B$106,0)),"",SUM(Z76:AB76))</f>
        <v>166.54900128399723</v>
      </c>
      <c r="AD76" s="1609">
        <f>IF(ISERROR(MATCH($B76,'A1.3.2'!$B$27:$B$106,0)),"",(((VLOOKUP($B76,'Forecast occupancies'!$C$28:$CP$64,28,TRUE)-1)*VLOOKUP($B76,'A1.3.2'!$B$27:$AY$106,36,)+VLOOKUP($B76,'A1.3.2'!$B$27:$AY$106,35,))*$CR$5))</f>
        <v>44.781201865085173</v>
      </c>
      <c r="AE76" s="1565">
        <f>IF(ISERROR(MATCH($B76,'A1.3.2'!$B$27:$B$106,0)),"",VLOOKUP($B76,'Forecast occupancies'!$C$28:$CP$64,29,TRUE)*VLOOKUP($B76,'A1.3.2'!$B$27:$AY$106,49,)*$CR$5)</f>
        <v>24.963278968592999</v>
      </c>
      <c r="AF76" s="1565">
        <f>IF(ISERROR(MATCH($B76,'A1.3.2'!$B$27:$B$106,0)),"",VLOOKUP($B76,'Forecast occupancies'!$C$28:$CP$64,30,TRUE)*VLOOKUP($B76,'A1.3.2'!$B$27:$AY$106,50,)*$CR$5)</f>
        <v>17.973775557015422</v>
      </c>
      <c r="AG76" s="1566">
        <f>IF(ISERROR(MATCH($B76,'A1.3.2'!$B$27:$B$106,0)),"",(((AD76*'VoT5'!$F$28)+(AE76*'VoT5'!$F$29)+(AF76*'VoT5'!$F$30))/100))</f>
        <v>24.023187434716263</v>
      </c>
      <c r="AH76" s="1565">
        <f>IF(ISERROR(MATCH($B76,'A1.3.2'!$B$27:$B$106,0)),"",(VLOOKUP($B76,'Forecast occupancies'!$C$28:$CP$64,32,TRUE) * VLOOKUP($B76, 'A1.3.2'!$B$27:$AY$106,37,)) * $CR$5)</f>
        <v>32.260934668751773</v>
      </c>
      <c r="AI76" s="1565">
        <f>IF(ISERROR(MATCH($B76,'A1.3.2'!$B$27:$B$106,0)),"",VLOOKUP($B76,'Forecast occupancies'!$C$28:$CP$64,33,TRUE) * ('VoT5'!$J$29*VLOOKUP($B76, 'A1.3.2'!$B$27:$AY$106,49,)+'VoT5'!$J$30*VLOOKUP($B76, 'A1.3.2'!$B$27:$AY$106,50,))/('VoT5'!$J$29+'VoT5'!$J$30) * $CR$5)</f>
        <v>19.69273682198617</v>
      </c>
      <c r="AJ76" s="1566">
        <f>IF(ISERROR(MATCH($B76,'A1.3.2'!$B$27:$B$106,0)),"",(AH76*'VoT5'!$F$31 + AI76*'VoT5'!$F$32)/100)</f>
        <v>30.7527509271399</v>
      </c>
      <c r="AK76" s="1566">
        <f>IF(ISERROR(MATCH($B76,'A1.3.2'!$B$27:$B$106,0)),"",(VLOOKUP($B76,'Forecast occupancies'!$C$28:$CP$64,35,TRUE)*VLOOKUP($B76,'A1.3.2'!$B$27:$AY$106,38,)) * $CR$5)</f>
        <v>31.675956300915605</v>
      </c>
      <c r="AL76" s="1566">
        <f>IF(ISERROR(MATCH($B76,'A1.3.2'!$B$27:$B$106,0)),"",(VLOOKUP($B76,'Forecast occupancies'!$C$28:$CP$64,36,TRUE)*VLOOKUP($B76,'A1.3.2'!$B$27:$AY$106,38,)) * $CR$5)</f>
        <v>31.675956300915605</v>
      </c>
      <c r="AM76" s="1565">
        <f>IF(ISERROR(MATCH($B76,'A1.3.2'!$B$27:$B$106,0)),"",(((VLOOKUP($B76,'Forecast occupancies'!$C$28:$CP$64,37,TRUE) -1) * VLOOKUP($B76,'A1.3.2'!$B$27:$AY$106,40,)) + VLOOKUP($B76,'A1.3.2'!$B$27:$AY$106,39,)) * $CR$5)</f>
        <v>38.536605453971319</v>
      </c>
      <c r="AN76" s="1565">
        <f>IF(ISERROR(MATCH($B76,'A1.3.2'!$B$27:$B$106,0)),"",(VLOOKUP($B76,'Forecast occupancies'!$C$28:$CP$64,38,TRUE) * VLOOKUP($B76,'A1.3.2'!$B$27:$AY$106,49,)) * $CR$5)</f>
        <v>69.491093780106468</v>
      </c>
      <c r="AO76" s="1565">
        <f>IF(ISERROR(MATCH($B76,'A1.3.2'!$B$27:$B$106,0)),"",(VLOOKUP($B76,'Forecast occupancies'!$C$28:$CP$64,39,TRUE) * VLOOKUP($B76,'A1.3.2'!$B$27:$AY$106,50,)) * $CR$5)</f>
        <v>87.813709277237962</v>
      </c>
      <c r="AP76" s="1567">
        <f>IF(ISERROR(MATCH($B76,'A1.3.2'!$B$27:$B$106,0)),"",SUM(AM76:AO76))</f>
        <v>195.84140851131576</v>
      </c>
      <c r="AQ76" s="1609">
        <f>IF(ISERROR(MATCH($B76,'A1.3.2'!$B$27:$B$106,0)),"",(((VLOOKUP($B76,'Forecast occupancies'!$C$28:$CP$64,41,TRUE)-1)*VLOOKUP($B76,'A1.3.2'!$B$27:$AY$106,36,)+VLOOKUP($B76,'A1.3.2'!$B$27:$AY$106,35,))*$CR$5))</f>
        <v>45.628490065441106</v>
      </c>
      <c r="AR76" s="1565">
        <f>IF(ISERROR(MATCH($B76,'A1.3.2'!$B$27:$B$106,0)),"",VLOOKUP($B76,'Forecast occupancies'!$C$28:$CP$64,42,TRUE)*VLOOKUP($B76,'A1.3.2'!$B$27:$AY$106,49,)*$CR$5)</f>
        <v>25.328640331050416</v>
      </c>
      <c r="AS76" s="1565">
        <f>IF(ISERROR(MATCH($B76,'A1.3.2'!$B$27:$B$106,0)),"",VLOOKUP($B76,'Forecast occupancies'!$C$28:$CP$64,43,TRUE)*VLOOKUP($B76,'A1.3.2'!$B$27:$AY$106,50,)*$CR$5)</f>
        <v>17.909605236981463</v>
      </c>
      <c r="AT76" s="1566">
        <f>IF(ISERROR(MATCH($B76,'A1.3.2'!$B$27:$B$106,0)),"",(((AQ76*'VoT5'!$G$28)+(AR76*'VoT5'!$G$29)+(AS76*'VoT5'!$G$30))/100))</f>
        <v>24.338967425477566</v>
      </c>
      <c r="AU76" s="1565">
        <f>IF(ISERROR(MATCH($B76,'A1.3.2'!$B$27:$B$106,0)),"",(VLOOKUP($B76,'Forecast occupancies'!$C$28:$CP$64,45,TRUE) * VLOOKUP($B76, 'A1.3.2'!$B$27:$AY$106,37,)) * $CR$5)</f>
        <v>32.260934668751773</v>
      </c>
      <c r="AV76" s="1565">
        <f>IF(ISERROR(MATCH($B76,'A1.3.2'!$B$27:$B$106,0)),"",VLOOKUP($B76,'Forecast occupancies'!$C$28:$CP$64,46,TRUE) * ('VoT5'!$J$29*VLOOKUP($B76, 'A1.3.2'!$B$27:$AY$106,49,)+'VoT5'!$J$30*VLOOKUP($B76, 'A1.3.2'!$B$27:$AY$106,50,))/('VoT5'!$J$29+'VoT5'!$J$30) * $CR$5)</f>
        <v>19.69273682198617</v>
      </c>
      <c r="AW76" s="1566">
        <f>IF(ISERROR(MATCH($B76,'A1.3.2'!$B$27:$B$106,0)),"",(AU76*'VoT5'!$G$31 + AV76*'VoT5'!$G$32)/100)</f>
        <v>30.7527509271399</v>
      </c>
      <c r="AX76" s="1566">
        <f>IF(ISERROR(MATCH($B76,'A1.3.2'!$B$27:$B$106,0)),"",(VLOOKUP($B76,'Forecast occupancies'!$C$28:$CP$64,48,TRUE)*VLOOKUP($B76,'A1.3.2'!$B$27:$AY$106,38,)) * $CR$5)</f>
        <v>31.675956300915605</v>
      </c>
      <c r="AY76" s="1566">
        <f>IF(ISERROR(MATCH($B76,'A1.3.2'!$B$27:$B$106,0)),"",(VLOOKUP($B76,'Forecast occupancies'!$C$28:$CP$64,49,TRUE)*VLOOKUP($B76,'A1.3.2'!$B$27:$AY$106,38,)) * $CR$5)</f>
        <v>31.675956300915605</v>
      </c>
      <c r="AZ76" s="1565">
        <f>IF(ISERROR(MATCH($B76,'A1.3.2'!$B$27:$B$106,0)),"",(((VLOOKUP($B76,'Forecast occupancies'!$C$28:$CP$64,50,TRUE) -1) * VLOOKUP($B76,'A1.3.2'!$B$27:$AY$106,40,)) + VLOOKUP($B76,'A1.3.2'!$B$27:$AY$106,39,)) * $CR$5)</f>
        <v>38.505441935744656</v>
      </c>
      <c r="BA76" s="1565">
        <f>IF(ISERROR(MATCH($B76,'A1.3.2'!$B$27:$B$106,0)),"",(VLOOKUP($B76,'Forecast occupancies'!$C$28:$CP$64,51,TRUE) * VLOOKUP($B76,'A1.3.2'!$B$27:$AY$106,49,)) * $CR$5)</f>
        <v>94.992599070877034</v>
      </c>
      <c r="BB76" s="1565">
        <f>IF(ISERROR(MATCH($B76,'A1.3.2'!$B$27:$B$106,0)),"",(VLOOKUP($B76,'Forecast occupancies'!$C$28:$CP$64,52,TRUE) * VLOOKUP($B76,'A1.3.2'!$B$27:$AY$106,50,)) * $CR$5)</f>
        <v>76.188180259247929</v>
      </c>
      <c r="BC76" s="1567">
        <f>IF(ISERROR(MATCH($B76,'A1.3.2'!$B$27:$B$106,0)),"",SUM(AZ76:BB76))</f>
        <v>209.68622126586962</v>
      </c>
      <c r="BD76" s="1565">
        <f>IF(ISERROR(MATCH($B76,'A1.3.2'!$B$27:$B$106,0)),"",(((VLOOKUP($B76,'Forecast occupancies'!$C$28:$CP$64,54,TRUE)-1)*VLOOKUP($B76,'A1.3.2'!$B$27:$AY$106,36,)+VLOOKUP($B76,'A1.3.2'!$B$27:$AY$106,35,))*$CR$5))</f>
        <v>44.860880601195035</v>
      </c>
      <c r="BE76" s="1565">
        <f>IF(ISERROR(MATCH($B76,'A1.3.2'!$B$27:$B$106,0)),"",VLOOKUP($B76,'Forecast occupancies'!$C$28:$CP$64,55,TRUE)*VLOOKUP($B76,'A1.3.2'!$B$27:$AY$106,49,)*$CR$5)</f>
        <v>25.048154324997817</v>
      </c>
      <c r="BF76" s="1565">
        <f>IF(ISERROR(MATCH($B76,'A1.3.2'!$B$27:$B$106,0)),"",VLOOKUP($B76,'Forecast occupancies'!$C$28:$CP$64,56,TRUE)*VLOOKUP($B76,'A1.3.2'!$B$27:$AY$106,50,)*$CR$5)</f>
        <v>17.954104333100837</v>
      </c>
      <c r="BG76" s="1566">
        <f>IF(ISERROR(MATCH($B76,'A1.3.2'!$B$27:$B$106,0)),"",(((BD76*'VoT5'!$H$28)+(BE76*'VoT5'!$H$29)+(BF76*'VoT5'!$H$30))/100))</f>
        <v>24.163687272922502</v>
      </c>
      <c r="BH76" s="1565">
        <f>IF(ISERROR(MATCH($B76,'A1.3.2'!$B$27:$B$106,0)),"",(VLOOKUP($B76,'Forecast occupancies'!$C$28:$CP$64,58,TRUE) * VLOOKUP($B76, 'A1.3.2'!$B$27:$AY$106,37,)) * $CR$5)</f>
        <v>32.260934668751773</v>
      </c>
      <c r="BI76" s="1565">
        <f>IF(ISERROR(MATCH($B76,'A1.3.2'!$B$27:$B$106,0)),"",(VLOOKUP($B76,'Forecast occupancies'!$C$28:$CP$64,59,TRUE) * (VLOOKUP($B76,'A1.3.2'!$B$27:$AY$106,49,) * 'VoT5'!$J$29 + VLOOKUP($B76,'A1.3.2'!$B$27:$AY$106,50,) * 'VoT5'!$J$30) / (SUM('VoT5'!$J$29:$J$30))) * $CR$5)</f>
        <v>19.69273682198617</v>
      </c>
      <c r="BJ76" s="1566">
        <f>IF(ISERROR(MATCH($B76,'A1.3.2'!$B$27:$B$106,0)),"",(BH76*'VoT5'!$H$31 + BI76*'VoT5'!$H$32)/100)</f>
        <v>30.7527509271399</v>
      </c>
      <c r="BK76" s="1566">
        <f>IF(ISERROR(MATCH($B76,'A1.3.2'!$B$27:$B$106,0)),"",(VLOOKUP($B76,'Forecast occupancies'!$C$28:$CP$64,61,TRUE)*VLOOKUP($B76,'A1.3.2'!$B$27:$AY$106,38,)) * $CR$5)</f>
        <v>31.675956300915605</v>
      </c>
      <c r="BL76" s="1566">
        <f>IF(ISERROR(MATCH($B76,'A1.3.2'!$B$27:$B$106,0)),"",(VLOOKUP($B76,'Forecast occupancies'!$C$28:$CP$64,62,TRUE)*VLOOKUP($B76,'A1.3.2'!$B$27:$AY$106,38,)) * $CR$5)</f>
        <v>31.675956300915605</v>
      </c>
      <c r="BM76" s="1565">
        <f>IF(ISERROR(MATCH($B76,'A1.3.2'!$B$27:$B$106,0)),"",(((VLOOKUP($B76,'Forecast occupancies'!$C$28:$CP$64,63,TRUE) -1) * VLOOKUP($B76,'A1.3.2'!$B$27:$AY$106,40,)) + VLOOKUP($B76,'A1.3.2'!$B$27:$AY$106,39,)) * $CR$5)</f>
        <v>37.126610618374798</v>
      </c>
      <c r="BN76" s="1565">
        <f>IF(ISERROR(MATCH($B76,'A1.3.2'!$B$27:$B$106,0)),"",(VLOOKUP($B76,'Forecast occupancies'!$C$28:$CP$64,64,TRUE) * VLOOKUP($B76,'A1.3.2'!$B$27:$AY$106,49,)) * $CR$5)</f>
        <v>42.882841625422174</v>
      </c>
      <c r="BO76" s="1565">
        <f>IF(ISERROR(MATCH($B76,'A1.3.2'!$B$27:$B$106,0)),"",(VLOOKUP($B76,'Forecast occupancies'!$C$28:$CP$64,65,TRUE) * VLOOKUP($B76,'A1.3.2'!$B$27:$AY$106,50,)) * $CR$5)</f>
        <v>100.59752344418405</v>
      </c>
      <c r="BP76" s="1567">
        <f>IF(ISERROR(MATCH($B76,'A1.3.2'!$B$27:$B$106,0)),"",SUM(BM76:BO76))</f>
        <v>180.60697568798102</v>
      </c>
      <c r="BQ76" s="1565">
        <f>IF(ISERROR(MATCH($B76,'A1.3.2'!$B$27:$B$106,0)),"",(((VLOOKUP($B76,'Forecast occupancies'!$C$28:$CP$64,67,TRUE)-1)*VLOOKUP($B76,'A1.3.2'!$B$27:$AY$106,36,)+VLOOKUP($B76,'A1.3.2'!$B$27:$AY$106,35,))*$CR$5))</f>
        <v>51.270370663082176</v>
      </c>
      <c r="BR76" s="1565">
        <f>IF(ISERROR(MATCH($B76,'A1.3.2'!$B$27:$B$106,0)),"",VLOOKUP($B76,'Forecast occupancies'!$C$28:$CP$64,68,TRUE)*VLOOKUP($B76,'A1.3.2'!$B$27:$AY$106,49,)*$CR$5)</f>
        <v>26.519781788680131</v>
      </c>
      <c r="BS76" s="1565">
        <f>IF(ISERROR(MATCH($B76,'A1.3.2'!$B$27:$B$106,0)),"",VLOOKUP($B76,'Forecast occupancies'!$C$28:$CP$64,69,TRUE)*VLOOKUP($B76,'A1.3.2'!$B$27:$AY$106,50,)*$CR$5)</f>
        <v>21.258092336414023</v>
      </c>
      <c r="BT76" s="1566">
        <f>IF(ISERROR(MATCH($B76,'A1.3.2'!$B$27:$B$106,0)),"",(((BQ76*'VoT5'!$I$28)+(BR76*'VoT5'!$I$29)+(BS76*'VoT5'!$I$30))/100))</f>
        <v>22.715612291312389</v>
      </c>
      <c r="BU76" s="1565">
        <f>IF(ISERROR(MATCH($B76,'A1.3.2'!$B$27:$B$106,0)),"",(VLOOKUP($B76,'Forecast occupancies'!$C$28:$CP$64,71,TRUE) * VLOOKUP($B76, 'A1.3.2'!$B$27:$AY$106,37,)) * $CR$5)</f>
        <v>33.873981402189365</v>
      </c>
      <c r="BV76" s="1565">
        <f>IF(ISERROR(MATCH($B76,'A1.3.2'!$B$27:$B$106,0)),"",(VLOOKUP($B76,'Forecast occupancies'!$C$28:$CP$64,72,TRUE) * (VLOOKUP($B76,'A1.3.2'!$B$27:$AY$106,49,)*'VoT5'!$J$29 + VLOOKUP($B76,'A1.3.2'!$B$27:$AY$106,50,)*'VoT5'!$J$30) / (SUM('VoT5'!$J$29:$J$30))) * $CR$5)</f>
        <v>27.380997088104053</v>
      </c>
      <c r="BW76" s="1566">
        <f>IF(ISERROR(MATCH($B76,'A1.3.2'!$B$27:$B$106,0)),"",(BU76*'VoT5'!$I$31 + BV76*'VoT5'!$I$32)/100)</f>
        <v>33.094823284499128</v>
      </c>
      <c r="BX76" s="1566">
        <f>IF(ISERROR(MATCH($B76,'A1.3.2'!$B$27:$B$106,0)),"",(VLOOKUP($B76,'Forecast occupancies'!$C$28:$CP$64,74,TRUE)*VLOOKUP($B76,'A1.3.2'!$B$27:$AY$106,38,)) * $CR$5)</f>
        <v>31.675956300915605</v>
      </c>
      <c r="BY76" s="1566">
        <f>IF(ISERROR(MATCH($B76,'A1.3.2'!$B$27:$B$106,0)),"",(VLOOKUP($B76,'Forecast occupancies'!$C$28:$CP$64,75,TRUE)*VLOOKUP($B76,'A1.3.2'!$B$27:$AY$106,38,)) * $CR$5)</f>
        <v>31.675956300915605</v>
      </c>
      <c r="BZ76" s="1565">
        <f>IF(ISERROR(MATCH($B76,'A1.3.2'!$B$27:$B$106,0)),"",(((VLOOKUP($B76,'Forecast occupancies'!$C$28:$CP$64,76,TRUE) -1) * VLOOKUP($B76,'A1.3.2'!$B$27:$AY$106,40,)) + VLOOKUP($B76,'A1.3.2'!$B$27:$AY$106,39,)) * $CR$5)</f>
        <v>33.812477494825657</v>
      </c>
      <c r="CA76" s="1565">
        <f>IF(ISERROR(MATCH($B76,'A1.3.2'!$B$27:$B$106,0)),"",(VLOOKUP($B76,'Forecast occupancies'!$C$28:$CP$64,77,TRUE) * VLOOKUP($B76,'A1.3.2'!$B$27:$AY$106,49,)) * $CR$5)</f>
        <v>16.24567514891946</v>
      </c>
      <c r="CB76" s="1565">
        <f>IF(ISERROR(MATCH($B76,'A1.3.2'!$B$27:$B$106,0)),"",(VLOOKUP($B76,'Forecast occupancies'!$C$28:$CP$64,78,TRUE) * VLOOKUP($B76,'A1.3.2'!$B$27:$AY$106,50,)) * $CR$5)</f>
        <v>114.25749005198584</v>
      </c>
      <c r="CC76" s="1567">
        <f>IF(ISERROR(MATCH($B76,'A1.3.2'!$B$27:$B$106,0)),"",SUM(BZ76:CB76))</f>
        <v>164.31564269573096</v>
      </c>
      <c r="CD76" s="1565">
        <f>IF(ISERROR(MATCH($B76,'A1.3.2'!$B$27:$B$106,0)),"",(((VLOOKUP($B76,'Forecast occupancies'!$C$28:$CP$64,80,TRUE)-1)*VLOOKUP($B76,'A1.3.2'!$B$27:$AY$106,36,)+VLOOKUP($B76,'A1.3.2'!$B$27:$AY$106,35,))*$CR$5))</f>
        <v>45.315844135772601</v>
      </c>
      <c r="CE76" s="1565">
        <f>IF(ISERROR(MATCH($B76,'A1.3.2'!$B$27:$B$106,0)),"",VLOOKUP($B76,'Forecast occupancies'!$C$28:$CP$64,81,TRUE)*VLOOKUP($B76,'A1.3.2'!$B$27:$AY$106,49,)*$CR$5)</f>
        <v>25.167209956864383</v>
      </c>
      <c r="CF76" s="1565">
        <f>IF(ISERROR(MATCH($B76,'A1.3.2'!$B$27:$B$106,0)),"",VLOOKUP($B76,'Forecast occupancies'!$C$28:$CP$64,82,TRUE)*VLOOKUP($B76,'A1.3.2'!$B$27:$AY$106,50,)*$CR$5)</f>
        <v>19.119977372283813</v>
      </c>
      <c r="CG76" s="1566">
        <f>IF(ISERROR(MATCH($B76,'A1.3.2'!$B$27:$B$106,0)),"",(((CD76*'VoT5'!$J$28)+(CE76*'VoT5'!$J$29)+(CF76*'VoT5'!$J$30))/100))</f>
        <v>23.820355571793076</v>
      </c>
      <c r="CH76" s="1565">
        <f>IF(ISERROR(MATCH($B76,'A1.3.2'!$B$27:$B$106,0)),"",(VLOOKUP($B76,'Forecast occupancies'!$C$28:$CP$64,84,TRUE) * VLOOKUP($B76, 'A1.3.2'!$B$27:$AY$106,37,)) * $CR$5)</f>
        <v>32.260934668751773</v>
      </c>
      <c r="CI76" s="1565">
        <f>IF(ISERROR(MATCH($B76,'A1.3.2'!$B$27:$B$106,0)),"",(VLOOKUP($B76,'Forecast occupancies'!$C$28:$CP$64,85,TRUE) * (VLOOKUP($B76,'A1.3.2'!$B$27:$AY$106,49,)*'VoT5'!$J$29 + VLOOKUP($B76,'A1.3.2'!$B$27:$AY$106,50,)*'VoT5'!$J$30) / (SUM('VoT5'!$J$29:$J$30))) * $CR$5)</f>
        <v>21.446199689697266</v>
      </c>
      <c r="CJ76" s="1566">
        <f>IF(ISERROR(MATCH($B76,'A1.3.2'!$B$27:$B$106,0)),"",(CH76*'VoT5'!$J$31 + CI76*'VoT5'!$J$32)/100)</f>
        <v>30.963166471265232</v>
      </c>
      <c r="CK76" s="1566">
        <f>IF(ISERROR(MATCH($B76,'A1.3.2'!$B$27:$B$106,0)),"",(VLOOKUP($B76,'Forecast occupancies'!$C$28:$CP$64,87,TRUE)*VLOOKUP($B76,'A1.3.2'!$B$27:$AY$106,38,)) * $CR$5)</f>
        <v>31.675956300915605</v>
      </c>
      <c r="CL76" s="1566">
        <f>IF(ISERROR(MATCH($B76,'A1.3.2'!$B$27:$B$106,0)),"",(VLOOKUP($B76,'Forecast occupancies'!$C$28:$CP$64,88,TRUE)*VLOOKUP($B76,'A1.3.2'!$B$27:$AY$106,38,)) * $CR$5)</f>
        <v>31.675956300915605</v>
      </c>
      <c r="CM76" s="1565">
        <f>IF(ISERROR(MATCH($B76,'A1.3.2'!$B$27:$B$106,0)),"",(((VLOOKUP($B76,'Forecast occupancies'!$C$28:$CP$64,89,TRUE) -1) * VLOOKUP($B76,'A1.3.2'!$B$27:$AY$106,40,)) + VLOOKUP($B76,'A1.3.2'!$B$27:$AY$106,39,)) * $CR$5)</f>
        <v>36.308215601254794</v>
      </c>
      <c r="CN76" s="1565">
        <f>IF(ISERROR(MATCH($B76,'A1.3.2'!$B$27:$B$106,0)),"",(VLOOKUP($B76,'Forecast occupancies'!$C$28:$CP$64,90,TRUE) * VLOOKUP($B76,'A1.3.2'!$B$27:$AY$106,49,)) * $CR$5)</f>
        <v>36.303768141721932</v>
      </c>
      <c r="CO76" s="1565">
        <f>IF(ISERROR(MATCH($B76,'A1.3.2'!$B$27:$B$106,0)),"",(VLOOKUP($B76,'Forecast occupancies'!$C$28:$CP$64,91,TRUE) * VLOOKUP($B76,'A1.3.2'!$B$27:$AY$106,50,)) * $CR$5)</f>
        <v>103.97130647273646</v>
      </c>
      <c r="CP76" s="1567">
        <f>IF(ISERROR(MATCH($B76,'A1.3.2'!$B$27:$B$106,0)),"",SUM(CM76:CO76))</f>
        <v>176.58329021571319</v>
      </c>
    </row>
    <row r="77" spans="1:94" s="26" customFormat="1" ht="13.5" customHeight="1">
      <c r="A77" s="113"/>
      <c r="B77" s="82">
        <f t="shared" si="0"/>
        <v>2059</v>
      </c>
      <c r="D77" s="1609">
        <f>IF(ISERROR(MATCH($B77,'A1.3.2'!$B$27:$B$106,0)),"",(((VLOOKUP($B77,'Forecast occupancies'!$C$28:$CP$64,2,TRUE) -1) * VLOOKUP($B77,'A1.3.2'!$B$27:$AY$106,36,) + VLOOKUP($B77,'A1.3.2'!$B$27:$AY$106,35,)) * $CR$5))</f>
        <v>45.014670953948929</v>
      </c>
      <c r="E77" s="1565">
        <f>IF(ISERROR(MATCH($B77,'A1.3.2'!$B$27:$B$106,0)),"",VLOOKUP($B77,'Forecast occupancies'!$C$28:$CP$64,3,TRUE)*VLOOKUP($B77,'A1.3.2'!$B$27:$AY$106,49,)*$CR$5)</f>
        <v>25.36805923359308</v>
      </c>
      <c r="F77" s="1565">
        <f>IF(ISERROR(MATCH($B77,'A1.3.2'!$B$27:$B$106,0)),"",VLOOKUP($B77,'Forecast occupancies'!$C$28:$CP$64,4,TRUE)*VLOOKUP($B77,'A1.3.2'!$B$27:$AY$106,50,)*$CR$5)</f>
        <v>17.501995528626967</v>
      </c>
      <c r="G77" s="1566">
        <f>IF(ISERROR(MATCH($B77,'A1.3.2'!$B$27:$B$106,0)),"",(((D77*'VoT5'!$D$28)+(E77*'VoT5'!$D$29)+(F77*'VoT5'!$D$30))/100))</f>
        <v>25.496531174387911</v>
      </c>
      <c r="H77" s="1565">
        <f>IF(ISERROR(MATCH($B77,'A1.3.2'!$B$27:$B$106,0)),"",(VLOOKUP($B77,'Forecast occupancies'!$C$28:$CP$64,6,TRUE) * VLOOKUP($B77, 'A1.3.2'!$B$27:$AY$106,37,)) * $CR$5)</f>
        <v>32.897130505503526</v>
      </c>
      <c r="I77" s="1565">
        <f>IF(ISERROR(MATCH($B77,'A1.3.2'!$B$27:$B$106,0)),"",VLOOKUP($B77,'Forecast occupancies'!$C$28:$CP$64,7,TRUE) * ('VoT5'!$J$29*VLOOKUP($B77, 'A1.3.2'!$B$27:$AY$106,49,)+'VoT5'!$J$30*VLOOKUP($B77, 'A1.3.2'!$B$27:$AY$106,50,))/('VoT5'!$J$29+'VoT5'!$J$30) * $CR$5)</f>
        <v>20.081083821508493</v>
      </c>
      <c r="J77" s="1566">
        <f>IF(ISERROR(MATCH($B77,'A1.3.2'!$B$27:$B$106,0)),"",(H77*'VoT5'!$D$31 + I77*'VoT5'!$D$32)/100)</f>
        <v>31.359204903424121</v>
      </c>
      <c r="K77" s="1566">
        <f>IF(ISERROR(MATCH($B77,'A1.3.2'!$B$27:$B$106,0)),"",(VLOOKUP($B77,'Forecast occupancies'!$C$28:$CP$64,9,TRUE)*VLOOKUP($B77,'A1.3.2'!$B$27:$AY$106,38,)) * $CR$5)</f>
        <v>32.300616179207744</v>
      </c>
      <c r="L77" s="1566">
        <f>IF(ISERROR(MATCH($B77,'A1.3.2'!$B$27:$B$106,0)),"",(VLOOKUP($B77,'Forecast occupancies'!$C$28:$CP$64,10,TRUE)*VLOOKUP($B77,'A1.3.2'!$B$27:$AY$106,38,)) * $CR$5)</f>
        <v>32.300616179207744</v>
      </c>
      <c r="M77" s="1565">
        <f>IF(ISERROR(MATCH($B77,'A1.3.2'!$B$27:$B$106,0)),"",(((VLOOKUP($B77,'Forecast occupancies'!$C$28:$CP$64,11,TRUE) -1) * VLOOKUP($B77,'A1.3.2'!$B$27:$AY$106,40,)) + VLOOKUP($B77,'A1.3.2'!$B$27:$AY$106,39,)) * $CR$5)</f>
        <v>36.806844170161902</v>
      </c>
      <c r="N77" s="1565">
        <f>IF(ISERROR(MATCH($B77,'A1.3.2'!$B$27:$B$106,0)),"",(VLOOKUP($B77,'Forecast occupancies'!$C$28:$CP$64,12,TRUE) * VLOOKUP($B77,'A1.3.2'!$B$27:$AY$106,49,)) * $CR$5)</f>
        <v>50.385816442907839</v>
      </c>
      <c r="O77" s="1565">
        <f>IF(ISERROR(MATCH($B77,'A1.3.2'!$B$27:$B$106,0)),"",(VLOOKUP($B77,'Forecast occupancies'!$C$28:$CP$64,13,TRUE) * VLOOKUP($B77,'A1.3.2'!$B$27:$AY$106,50,)) * $CR$5)</f>
        <v>100.01946925903303</v>
      </c>
      <c r="P77" s="1567">
        <f>IF(ISERROR(MATCH($B77,'A1.3.2'!$B$27:$B$106,0)),"",SUM(M77:O77))</f>
        <v>187.21212987210276</v>
      </c>
      <c r="Q77" s="1609">
        <f>IF(ISERROR(MATCH($B77,'A1.3.2'!$B$27:$B$106,0)),"",(((VLOOKUP($B77,'Forecast occupancies'!$C$28:$CP$64,15,TRUE)-1)*VLOOKUP($B77,'A1.3.2'!$B$27:$AY$106,36,)+VLOOKUP($B77,'A1.3.2'!$B$27:$AY$106,35,))*$CR$5))</f>
        <v>46.127551118954386</v>
      </c>
      <c r="R77" s="1565">
        <f>IF(ISERROR(MATCH($B77,'A1.3.2'!$B$27:$B$106,0)),"",VLOOKUP($B77,'Forecast occupancies'!$C$28:$CP$64,16,TRUE)*VLOOKUP($B77,'A1.3.2'!$B$27:$AY$106,49,)*$CR$5)</f>
        <v>25.780546242310798</v>
      </c>
      <c r="S77" s="1565">
        <f>IF(ISERROR(MATCH($B77,'A1.3.2'!$B$27:$B$106,0)),"",VLOOKUP($B77,'Forecast occupancies'!$C$28:$CP$64,17,TRUE)*VLOOKUP($B77,'A1.3.2'!$B$27:$AY$106,50,)*$CR$5)</f>
        <v>18.643759561192155</v>
      </c>
      <c r="T77" s="1566">
        <f>IF(ISERROR(MATCH($B77,'A1.3.2'!$B$27:$B$106,0)),"",(((Q77*'VoT5'!$E$28)+(R77*'VoT5'!$E$29)+(S77*'VoT5'!$E$30))/100))</f>
        <v>24.012878677336811</v>
      </c>
      <c r="U77" s="1565">
        <f>IF(ISERROR(MATCH($B77,'A1.3.2'!$B$27:$B$106,0)),"",(VLOOKUP($B77,'Forecast occupancies'!$C$28:$CP$64,19,TRUE) * VLOOKUP($B77, 'A1.3.2'!$B$27:$AY$106,37,)) * $CR$5)</f>
        <v>32.897130505503526</v>
      </c>
      <c r="V77" s="1565">
        <f>IF(ISERROR(MATCH($B77,'A1.3.2'!$B$27:$B$106,0)),"",VLOOKUP($B77,'Forecast occupancies'!$C$28:$CP$64,20,TRUE) * ('VoT5'!$J$29*VLOOKUP($B77, 'A1.3.2'!$B$27:$AY$106,49,)+'VoT5'!$J$30*VLOOKUP($B77, 'A1.3.2'!$B$27:$AY$106,50,))/('VoT5'!$J$29+'VoT5'!$J$30) * $CR$5)</f>
        <v>20.081083821508493</v>
      </c>
      <c r="W77" s="1566">
        <f>IF(ISERROR(MATCH($B77,'A1.3.2'!$B$27:$B$106,0)),"",(U77*'VoT5'!$E$31 + V77*'VoT5'!$E$32)/100)</f>
        <v>31.359204903424121</v>
      </c>
      <c r="X77" s="1566">
        <f>IF(ISERROR(MATCH($B77,'A1.3.2'!$B$27:$B$106,0)),"",(VLOOKUP($B77,'Forecast occupancies'!$C$28:$CP$64,22,TRUE)*VLOOKUP($B77,'A1.3.2'!$B$27:$AY$106,38,)) * $CR$5)</f>
        <v>32.300616179207744</v>
      </c>
      <c r="Y77" s="1566">
        <f>IF(ISERROR(MATCH($B77,'A1.3.2'!$B$27:$B$106,0)),"",(VLOOKUP($B77,'Forecast occupancies'!$C$28:$CP$64,23,TRUE)*VLOOKUP($B77,'A1.3.2'!$B$27:$AY$106,38,)) * $CR$5)</f>
        <v>32.300616179207744</v>
      </c>
      <c r="Z77" s="1565">
        <f>IF(ISERROR(MATCH($B77,'A1.3.2'!$B$27:$B$106,0)),"",(((VLOOKUP($B77,'Forecast occupancies'!$C$28:$CP$64,24,TRUE) -1) * VLOOKUP($B77,'A1.3.2'!$B$27:$AY$106,40,)) + VLOOKUP($B77,'A1.3.2'!$B$27:$AY$106,39,)) * $CR$5)</f>
        <v>37.558104591113796</v>
      </c>
      <c r="AA77" s="1565">
        <f>IF(ISERROR(MATCH($B77,'A1.3.2'!$B$27:$B$106,0)),"",(VLOOKUP($B77,'Forecast occupancies'!$C$28:$CP$64,25,TRUE) * VLOOKUP($B77,'A1.3.2'!$B$27:$AY$106,49,)) * $CR$5)</f>
        <v>17.658625310446823</v>
      </c>
      <c r="AB77" s="1565">
        <f>IF(ISERROR(MATCH($B77,'A1.3.2'!$B$27:$B$106,0)),"",(VLOOKUP($B77,'Forecast occupancies'!$C$28:$CP$64,26,TRUE) * VLOOKUP($B77,'A1.3.2'!$B$27:$AY$106,50,)) * $CR$5)</f>
        <v>114.61667037211228</v>
      </c>
      <c r="AC77" s="1567">
        <f>IF(ISERROR(MATCH($B77,'A1.3.2'!$B$27:$B$106,0)),"",SUM(Z77:AB77))</f>
        <v>169.83340027367291</v>
      </c>
      <c r="AD77" s="1609">
        <f>IF(ISERROR(MATCH($B77,'A1.3.2'!$B$27:$B$106,0)),"",(((VLOOKUP($B77,'Forecast occupancies'!$C$28:$CP$64,28,TRUE)-1)*VLOOKUP($B77,'A1.3.2'!$B$27:$AY$106,36,)+VLOOKUP($B77,'A1.3.2'!$B$27:$AY$106,35,))*$CR$5))</f>
        <v>45.664301331477958</v>
      </c>
      <c r="AE77" s="1565">
        <f>IF(ISERROR(MATCH($B77,'A1.3.2'!$B$27:$B$106,0)),"",VLOOKUP($B77,'Forecast occupancies'!$C$28:$CP$64,29,TRUE)*VLOOKUP($B77,'A1.3.2'!$B$27:$AY$106,49,)*$CR$5)</f>
        <v>25.455562726474152</v>
      </c>
      <c r="AF77" s="1565">
        <f>IF(ISERROR(MATCH($B77,'A1.3.2'!$B$27:$B$106,0)),"",VLOOKUP($B77,'Forecast occupancies'!$C$28:$CP$64,30,TRUE)*VLOOKUP($B77,'A1.3.2'!$B$27:$AY$106,50,)*$CR$5)</f>
        <v>18.32822409663444</v>
      </c>
      <c r="AG77" s="1566">
        <f>IF(ISERROR(MATCH($B77,'A1.3.2'!$B$27:$B$106,0)),"",(((AD77*'VoT5'!$F$28)+(AE77*'VoT5'!$F$29)+(AF77*'VoT5'!$F$30))/100))</f>
        <v>24.496932290170722</v>
      </c>
      <c r="AH77" s="1565">
        <f>IF(ISERROR(MATCH($B77,'A1.3.2'!$B$27:$B$106,0)),"",(VLOOKUP($B77,'Forecast occupancies'!$C$28:$CP$64,32,TRUE) * VLOOKUP($B77, 'A1.3.2'!$B$27:$AY$106,37,)) * $CR$5)</f>
        <v>32.897130505503526</v>
      </c>
      <c r="AI77" s="1565">
        <f>IF(ISERROR(MATCH($B77,'A1.3.2'!$B$27:$B$106,0)),"",VLOOKUP($B77,'Forecast occupancies'!$C$28:$CP$64,33,TRUE) * ('VoT5'!$J$29*VLOOKUP($B77, 'A1.3.2'!$B$27:$AY$106,49,)+'VoT5'!$J$30*VLOOKUP($B77, 'A1.3.2'!$B$27:$AY$106,50,))/('VoT5'!$J$29+'VoT5'!$J$30) * $CR$5)</f>
        <v>20.081083821508493</v>
      </c>
      <c r="AJ77" s="1566">
        <f>IF(ISERROR(MATCH($B77,'A1.3.2'!$B$27:$B$106,0)),"",(AH77*'VoT5'!$F$31 + AI77*'VoT5'!$F$32)/100)</f>
        <v>31.359204903424121</v>
      </c>
      <c r="AK77" s="1566">
        <f>IF(ISERROR(MATCH($B77,'A1.3.2'!$B$27:$B$106,0)),"",(VLOOKUP($B77,'Forecast occupancies'!$C$28:$CP$64,35,TRUE)*VLOOKUP($B77,'A1.3.2'!$B$27:$AY$106,38,)) * $CR$5)</f>
        <v>32.300616179207744</v>
      </c>
      <c r="AL77" s="1566">
        <f>IF(ISERROR(MATCH($B77,'A1.3.2'!$B$27:$B$106,0)),"",(VLOOKUP($B77,'Forecast occupancies'!$C$28:$CP$64,36,TRUE)*VLOOKUP($B77,'A1.3.2'!$B$27:$AY$106,38,)) * $CR$5)</f>
        <v>32.300616179207744</v>
      </c>
      <c r="AM77" s="1565">
        <f>IF(ISERROR(MATCH($B77,'A1.3.2'!$B$27:$B$106,0)),"",(((VLOOKUP($B77,'Forecast occupancies'!$C$28:$CP$64,37,TRUE) -1) * VLOOKUP($B77,'A1.3.2'!$B$27:$AY$106,40,)) + VLOOKUP($B77,'A1.3.2'!$B$27:$AY$106,39,)) * $CR$5)</f>
        <v>39.296559503787144</v>
      </c>
      <c r="AN77" s="1565">
        <f>IF(ISERROR(MATCH($B77,'A1.3.2'!$B$27:$B$106,0)),"",(VLOOKUP($B77,'Forecast occupancies'!$C$28:$CP$64,38,TRUE) * VLOOKUP($B77,'A1.3.2'!$B$27:$AY$106,49,)) * $CR$5)</f>
        <v>70.861480131530186</v>
      </c>
      <c r="AO77" s="1565">
        <f>IF(ISERROR(MATCH($B77,'A1.3.2'!$B$27:$B$106,0)),"",(VLOOKUP($B77,'Forecast occupancies'!$C$28:$CP$64,39,TRUE) * VLOOKUP($B77,'A1.3.2'!$B$27:$AY$106,50,)) * $CR$5)</f>
        <v>89.545423402248119</v>
      </c>
      <c r="AP77" s="1567">
        <f>IF(ISERROR(MATCH($B77,'A1.3.2'!$B$27:$B$106,0)),"",SUM(AM77:AO77))</f>
        <v>199.70346303756543</v>
      </c>
      <c r="AQ77" s="1609">
        <f>IF(ISERROR(MATCH($B77,'A1.3.2'!$B$27:$B$106,0)),"",(((VLOOKUP($B77,'Forecast occupancies'!$C$28:$CP$64,41,TRUE)-1)*VLOOKUP($B77,'A1.3.2'!$B$27:$AY$106,36,)+VLOOKUP($B77,'A1.3.2'!$B$27:$AY$106,35,))*$CR$5))</f>
        <v>46.528298323167128</v>
      </c>
      <c r="AR77" s="1565">
        <f>IF(ISERROR(MATCH($B77,'A1.3.2'!$B$27:$B$106,0)),"",VLOOKUP($B77,'Forecast occupancies'!$C$28:$CP$64,42,TRUE)*VLOOKUP($B77,'A1.3.2'!$B$27:$AY$106,49,)*$CR$5)</f>
        <v>25.828129130573792</v>
      </c>
      <c r="AS77" s="1565">
        <f>IF(ISERROR(MATCH($B77,'A1.3.2'!$B$27:$B$106,0)),"",VLOOKUP($B77,'Forecast occupancies'!$C$28:$CP$64,43,TRUE)*VLOOKUP($B77,'A1.3.2'!$B$27:$AY$106,50,)*$CR$5)</f>
        <v>18.262788317590449</v>
      </c>
      <c r="AT77" s="1566">
        <f>IF(ISERROR(MATCH($B77,'A1.3.2'!$B$27:$B$106,0)),"",(((AQ77*'VoT5'!$G$28)+(AR77*'VoT5'!$G$29)+(AS77*'VoT5'!$G$30))/100))</f>
        <v>24.818939562240349</v>
      </c>
      <c r="AU77" s="1565">
        <f>IF(ISERROR(MATCH($B77,'A1.3.2'!$B$27:$B$106,0)),"",(VLOOKUP($B77,'Forecast occupancies'!$C$28:$CP$64,45,TRUE) * VLOOKUP($B77, 'A1.3.2'!$B$27:$AY$106,37,)) * $CR$5)</f>
        <v>32.897130505503526</v>
      </c>
      <c r="AV77" s="1565">
        <f>IF(ISERROR(MATCH($B77,'A1.3.2'!$B$27:$B$106,0)),"",VLOOKUP($B77,'Forecast occupancies'!$C$28:$CP$64,46,TRUE) * ('VoT5'!$J$29*VLOOKUP($B77, 'A1.3.2'!$B$27:$AY$106,49,)+'VoT5'!$J$30*VLOOKUP($B77, 'A1.3.2'!$B$27:$AY$106,50,))/('VoT5'!$J$29+'VoT5'!$J$30) * $CR$5)</f>
        <v>20.081083821508493</v>
      </c>
      <c r="AW77" s="1566">
        <f>IF(ISERROR(MATCH($B77,'A1.3.2'!$B$27:$B$106,0)),"",(AU77*'VoT5'!$G$31 + AV77*'VoT5'!$G$32)/100)</f>
        <v>31.359204903424121</v>
      </c>
      <c r="AX77" s="1566">
        <f>IF(ISERROR(MATCH($B77,'A1.3.2'!$B$27:$B$106,0)),"",(VLOOKUP($B77,'Forecast occupancies'!$C$28:$CP$64,48,TRUE)*VLOOKUP($B77,'A1.3.2'!$B$27:$AY$106,38,)) * $CR$5)</f>
        <v>32.300616179207744</v>
      </c>
      <c r="AY77" s="1566">
        <f>IF(ISERROR(MATCH($B77,'A1.3.2'!$B$27:$B$106,0)),"",(VLOOKUP($B77,'Forecast occupancies'!$C$28:$CP$64,49,TRUE)*VLOOKUP($B77,'A1.3.2'!$B$27:$AY$106,38,)) * $CR$5)</f>
        <v>32.300616179207744</v>
      </c>
      <c r="AZ77" s="1565">
        <f>IF(ISERROR(MATCH($B77,'A1.3.2'!$B$27:$B$106,0)),"",(((VLOOKUP($B77,'Forecast occupancies'!$C$28:$CP$64,50,TRUE) -1) * VLOOKUP($B77,'A1.3.2'!$B$27:$AY$106,40,)) + VLOOKUP($B77,'A1.3.2'!$B$27:$AY$106,39,)) * $CR$5)</f>
        <v>39.264781431123112</v>
      </c>
      <c r="BA77" s="1565">
        <f>IF(ISERROR(MATCH($B77,'A1.3.2'!$B$27:$B$106,0)),"",(VLOOKUP($B77,'Forecast occupancies'!$C$28:$CP$64,51,TRUE) * VLOOKUP($B77,'A1.3.2'!$B$27:$AY$106,49,)) * $CR$5)</f>
        <v>96.865883173512088</v>
      </c>
      <c r="BB77" s="1565">
        <f>IF(ISERROR(MATCH($B77,'A1.3.2'!$B$27:$B$106,0)),"",(VLOOKUP($B77,'Forecast occupancies'!$C$28:$CP$64,52,TRUE) * VLOOKUP($B77,'A1.3.2'!$B$27:$AY$106,50,)) * $CR$5)</f>
        <v>77.690635274526031</v>
      </c>
      <c r="BC77" s="1567">
        <f>IF(ISERROR(MATCH($B77,'A1.3.2'!$B$27:$B$106,0)),"",SUM(AZ77:BB77))</f>
        <v>213.82129987916124</v>
      </c>
      <c r="BD77" s="1565">
        <f>IF(ISERROR(MATCH($B77,'A1.3.2'!$B$27:$B$106,0)),"",(((VLOOKUP($B77,'Forecast occupancies'!$C$28:$CP$64,54,TRUE)-1)*VLOOKUP($B77,'A1.3.2'!$B$27:$AY$106,36,)+VLOOKUP($B77,'A1.3.2'!$B$27:$AY$106,35,))*$CR$5))</f>
        <v>45.745551357468642</v>
      </c>
      <c r="BE77" s="1565">
        <f>IF(ISERROR(MATCH($B77,'A1.3.2'!$B$27:$B$106,0)),"",VLOOKUP($B77,'Forecast occupancies'!$C$28:$CP$64,55,TRUE)*VLOOKUP($B77,'A1.3.2'!$B$27:$AY$106,49,)*$CR$5)</f>
        <v>25.542111851755852</v>
      </c>
      <c r="BF77" s="1565">
        <f>IF(ISERROR(MATCH($B77,'A1.3.2'!$B$27:$B$106,0)),"",VLOOKUP($B77,'Forecast occupancies'!$C$28:$CP$64,56,TRUE)*VLOOKUP($B77,'A1.3.2'!$B$27:$AY$106,50,)*$CR$5)</f>
        <v>18.308164949961668</v>
      </c>
      <c r="BG77" s="1566">
        <f>IF(ISERROR(MATCH($B77,'A1.3.2'!$B$27:$B$106,0)),"",(((BD77*'VoT5'!$H$28)+(BE77*'VoT5'!$H$29)+(BF77*'VoT5'!$H$30))/100))</f>
        <v>24.640202829630624</v>
      </c>
      <c r="BH77" s="1565">
        <f>IF(ISERROR(MATCH($B77,'A1.3.2'!$B$27:$B$106,0)),"",(VLOOKUP($B77,'Forecast occupancies'!$C$28:$CP$64,58,TRUE) * VLOOKUP($B77, 'A1.3.2'!$B$27:$AY$106,37,)) * $CR$5)</f>
        <v>32.897130505503526</v>
      </c>
      <c r="BI77" s="1565">
        <f>IF(ISERROR(MATCH($B77,'A1.3.2'!$B$27:$B$106,0)),"",(VLOOKUP($B77,'Forecast occupancies'!$C$28:$CP$64,59,TRUE) * (VLOOKUP($B77,'A1.3.2'!$B$27:$AY$106,49,) * 'VoT5'!$J$29 + VLOOKUP($B77,'A1.3.2'!$B$27:$AY$106,50,) * 'VoT5'!$J$30) / (SUM('VoT5'!$J$29:$J$30))) * $CR$5)</f>
        <v>20.081083821508493</v>
      </c>
      <c r="BJ77" s="1566">
        <f>IF(ISERROR(MATCH($B77,'A1.3.2'!$B$27:$B$106,0)),"",(BH77*'VoT5'!$H$31 + BI77*'VoT5'!$H$32)/100)</f>
        <v>31.359204903424121</v>
      </c>
      <c r="BK77" s="1566">
        <f>IF(ISERROR(MATCH($B77,'A1.3.2'!$B$27:$B$106,0)),"",(VLOOKUP($B77,'Forecast occupancies'!$C$28:$CP$64,61,TRUE)*VLOOKUP($B77,'A1.3.2'!$B$27:$AY$106,38,)) * $CR$5)</f>
        <v>32.300616179207744</v>
      </c>
      <c r="BL77" s="1566">
        <f>IF(ISERROR(MATCH($B77,'A1.3.2'!$B$27:$B$106,0)),"",(VLOOKUP($B77,'Forecast occupancies'!$C$28:$CP$64,62,TRUE)*VLOOKUP($B77,'A1.3.2'!$B$27:$AY$106,38,)) * $CR$5)</f>
        <v>32.300616179207744</v>
      </c>
      <c r="BM77" s="1565">
        <f>IF(ISERROR(MATCH($B77,'A1.3.2'!$B$27:$B$106,0)),"",(((VLOOKUP($B77,'Forecast occupancies'!$C$28:$CP$64,63,TRUE) -1) * VLOOKUP($B77,'A1.3.2'!$B$27:$AY$106,40,)) + VLOOKUP($B77,'A1.3.2'!$B$27:$AY$106,39,)) * $CR$5)</f>
        <v>37.858759124009751</v>
      </c>
      <c r="BN77" s="1565">
        <f>IF(ISERROR(MATCH($B77,'A1.3.2'!$B$27:$B$106,0)),"",(VLOOKUP($B77,'Forecast occupancies'!$C$28:$CP$64,64,TRUE) * VLOOKUP($B77,'A1.3.2'!$B$27:$AY$106,49,)) * $CR$5)</f>
        <v>43.728504827381542</v>
      </c>
      <c r="BO77" s="1565">
        <f>IF(ISERROR(MATCH($B77,'A1.3.2'!$B$27:$B$106,0)),"",(VLOOKUP($B77,'Forecast occupancies'!$C$28:$CP$64,65,TRUE) * VLOOKUP($B77,'A1.3.2'!$B$27:$AY$106,50,)) * $CR$5)</f>
        <v>102.5813384284634</v>
      </c>
      <c r="BP77" s="1567">
        <f>IF(ISERROR(MATCH($B77,'A1.3.2'!$B$27:$B$106,0)),"",SUM(BM77:BO77))</f>
        <v>184.16860237985469</v>
      </c>
      <c r="BQ77" s="1565">
        <f>IF(ISERROR(MATCH($B77,'A1.3.2'!$B$27:$B$106,0)),"",(((VLOOKUP($B77,'Forecast occupancies'!$C$28:$CP$64,67,TRUE)-1)*VLOOKUP($B77,'A1.3.2'!$B$27:$AY$106,36,)+VLOOKUP($B77,'A1.3.2'!$B$27:$AY$106,35,))*$CR$5))</f>
        <v>52.281438590886708</v>
      </c>
      <c r="BR77" s="1565">
        <f>IF(ISERROR(MATCH($B77,'A1.3.2'!$B$27:$B$106,0)),"",VLOOKUP($B77,'Forecast occupancies'!$C$28:$CP$64,68,TRUE)*VLOOKUP($B77,'A1.3.2'!$B$27:$AY$106,49,)*$CR$5)</f>
        <v>27.042760274541099</v>
      </c>
      <c r="BS77" s="1565">
        <f>IF(ISERROR(MATCH($B77,'A1.3.2'!$B$27:$B$106,0)),"",VLOOKUP($B77,'Forecast occupancies'!$C$28:$CP$64,69,TRUE)*VLOOKUP($B77,'A1.3.2'!$B$27:$AY$106,50,)*$CR$5)</f>
        <v>21.677308641848924</v>
      </c>
      <c r="BT77" s="1566">
        <f>IF(ISERROR(MATCH($B77,'A1.3.2'!$B$27:$B$106,0)),"",(((BQ77*'VoT5'!$I$28)+(BR77*'VoT5'!$I$29)+(BS77*'VoT5'!$I$30))/100))</f>
        <v>23.163571351314385</v>
      </c>
      <c r="BU77" s="1565">
        <f>IF(ISERROR(MATCH($B77,'A1.3.2'!$B$27:$B$106,0)),"",(VLOOKUP($B77,'Forecast occupancies'!$C$28:$CP$64,71,TRUE) * VLOOKUP($B77, 'A1.3.2'!$B$27:$AY$106,37,)) * $CR$5)</f>
        <v>34.541987030778706</v>
      </c>
      <c r="BV77" s="1565">
        <f>IF(ISERROR(MATCH($B77,'A1.3.2'!$B$27:$B$106,0)),"",(VLOOKUP($B77,'Forecast occupancies'!$C$28:$CP$64,72,TRUE) * (VLOOKUP($B77,'A1.3.2'!$B$27:$AY$106,49,)*'VoT5'!$J$29 + VLOOKUP($B77,'A1.3.2'!$B$27:$AY$106,50,)*'VoT5'!$J$30) / (SUM('VoT5'!$J$29:$J$30))) * $CR$5)</f>
        <v>27.920959012097427</v>
      </c>
      <c r="BW77" s="1566">
        <f>IF(ISERROR(MATCH($B77,'A1.3.2'!$B$27:$B$106,0)),"",(BU77*'VoT5'!$I$31 + BV77*'VoT5'!$I$32)/100)</f>
        <v>33.747463668536952</v>
      </c>
      <c r="BX77" s="1566">
        <f>IF(ISERROR(MATCH($B77,'A1.3.2'!$B$27:$B$106,0)),"",(VLOOKUP($B77,'Forecast occupancies'!$C$28:$CP$64,74,TRUE)*VLOOKUP($B77,'A1.3.2'!$B$27:$AY$106,38,)) * $CR$5)</f>
        <v>32.300616179207744</v>
      </c>
      <c r="BY77" s="1566">
        <f>IF(ISERROR(MATCH($B77,'A1.3.2'!$B$27:$B$106,0)),"",(VLOOKUP($B77,'Forecast occupancies'!$C$28:$CP$64,75,TRUE)*VLOOKUP($B77,'A1.3.2'!$B$27:$AY$106,38,)) * $CR$5)</f>
        <v>32.300616179207744</v>
      </c>
      <c r="BZ77" s="1565">
        <f>IF(ISERROR(MATCH($B77,'A1.3.2'!$B$27:$B$106,0)),"",(((VLOOKUP($B77,'Forecast occupancies'!$C$28:$CP$64,76,TRUE) -1) * VLOOKUP($B77,'A1.3.2'!$B$27:$AY$106,40,)) + VLOOKUP($B77,'A1.3.2'!$B$27:$AY$106,39,)) * $CR$5)</f>
        <v>34.479270246906289</v>
      </c>
      <c r="CA77" s="1565">
        <f>IF(ISERROR(MATCH($B77,'A1.3.2'!$B$27:$B$106,0)),"",(VLOOKUP($B77,'Forecast occupancies'!$C$28:$CP$64,77,TRUE) * VLOOKUP($B77,'A1.3.2'!$B$27:$AY$106,49,)) * $CR$5)</f>
        <v>16.566045001841761</v>
      </c>
      <c r="CB77" s="1565">
        <f>IF(ISERROR(MATCH($B77,'A1.3.2'!$B$27:$B$106,0)),"",(VLOOKUP($B77,'Forecast occupancies'!$C$28:$CP$64,78,TRUE) * VLOOKUP($B77,'A1.3.2'!$B$27:$AY$106,50,)) * $CR$5)</f>
        <v>116.51068389882086</v>
      </c>
      <c r="CC77" s="1567">
        <f>IF(ISERROR(MATCH($B77,'A1.3.2'!$B$27:$B$106,0)),"",SUM(BZ77:CB77))</f>
        <v>167.55599914756891</v>
      </c>
      <c r="CD77" s="1565">
        <f>IF(ISERROR(MATCH($B77,'A1.3.2'!$B$27:$B$106,0)),"",(((VLOOKUP($B77,'Forecast occupancies'!$C$28:$CP$64,80,TRUE)-1)*VLOOKUP($B77,'A1.3.2'!$B$27:$AY$106,36,)+VLOOKUP($B77,'A1.3.2'!$B$27:$AY$106,35,))*$CR$5))</f>
        <v>46.209486916866446</v>
      </c>
      <c r="CE77" s="1565">
        <f>IF(ISERROR(MATCH($B77,'A1.3.2'!$B$27:$B$106,0)),"",VLOOKUP($B77,'Forecast occupancies'!$C$28:$CP$64,81,TRUE)*VLOOKUP($B77,'A1.3.2'!$B$27:$AY$106,49,)*$CR$5)</f>
        <v>25.663515298343629</v>
      </c>
      <c r="CF77" s="1565">
        <f>IF(ISERROR(MATCH($B77,'A1.3.2'!$B$27:$B$106,0)),"",VLOOKUP($B77,'Forecast occupancies'!$C$28:$CP$64,82,TRUE)*VLOOKUP($B77,'A1.3.2'!$B$27:$AY$106,50,)*$CR$5)</f>
        <v>19.497029374277322</v>
      </c>
      <c r="CG77" s="1566">
        <f>IF(ISERROR(MATCH($B77,'A1.3.2'!$B$27:$B$106,0)),"",(((CD77*'VoT5'!$J$28)+(CE77*'VoT5'!$J$29)+(CF77*'VoT5'!$J$30))/100))</f>
        <v>24.290100518748996</v>
      </c>
      <c r="CH77" s="1565">
        <f>IF(ISERROR(MATCH($B77,'A1.3.2'!$B$27:$B$106,0)),"",(VLOOKUP($B77,'Forecast occupancies'!$C$28:$CP$64,84,TRUE) * VLOOKUP($B77, 'A1.3.2'!$B$27:$AY$106,37,)) * $CR$5)</f>
        <v>32.897130505503526</v>
      </c>
      <c r="CI77" s="1565">
        <f>IF(ISERROR(MATCH($B77,'A1.3.2'!$B$27:$B$106,0)),"",(VLOOKUP($B77,'Forecast occupancies'!$C$28:$CP$64,85,TRUE) * (VLOOKUP($B77,'A1.3.2'!$B$27:$AY$106,49,)*'VoT5'!$J$29 + VLOOKUP($B77,'A1.3.2'!$B$27:$AY$106,50,)*'VoT5'!$J$30) / (SUM('VoT5'!$J$29:$J$30))) * $CR$5)</f>
        <v>21.869125531642815</v>
      </c>
      <c r="CJ77" s="1566">
        <f>IF(ISERROR(MATCH($B77,'A1.3.2'!$B$27:$B$106,0)),"",(CH77*'VoT5'!$J$31 + CI77*'VoT5'!$J$32)/100)</f>
        <v>31.573769908640244</v>
      </c>
      <c r="CK77" s="1566">
        <f>IF(ISERROR(MATCH($B77,'A1.3.2'!$B$27:$B$106,0)),"",(VLOOKUP($B77,'Forecast occupancies'!$C$28:$CP$64,87,TRUE)*VLOOKUP($B77,'A1.3.2'!$B$27:$AY$106,38,)) * $CR$5)</f>
        <v>32.300616179207744</v>
      </c>
      <c r="CL77" s="1566">
        <f>IF(ISERROR(MATCH($B77,'A1.3.2'!$B$27:$B$106,0)),"",(VLOOKUP($B77,'Forecast occupancies'!$C$28:$CP$64,88,TRUE)*VLOOKUP($B77,'A1.3.2'!$B$27:$AY$106,38,)) * $CR$5)</f>
        <v>32.300616179207744</v>
      </c>
      <c r="CM77" s="1565">
        <f>IF(ISERROR(MATCH($B77,'A1.3.2'!$B$27:$B$106,0)),"",(((VLOOKUP($B77,'Forecast occupancies'!$C$28:$CP$64,89,TRUE) -1) * VLOOKUP($B77,'A1.3.2'!$B$27:$AY$106,40,)) + VLOOKUP($B77,'A1.3.2'!$B$27:$AY$106,39,)) * $CR$5)</f>
        <v>37.024225098269689</v>
      </c>
      <c r="CN77" s="1565">
        <f>IF(ISERROR(MATCH($B77,'A1.3.2'!$B$27:$B$106,0)),"",(VLOOKUP($B77,'Forecast occupancies'!$C$28:$CP$64,90,TRUE) * VLOOKUP($B77,'A1.3.2'!$B$27:$AY$106,49,)) * $CR$5)</f>
        <v>37.019689933427983</v>
      </c>
      <c r="CO77" s="1565">
        <f>IF(ISERROR(MATCH($B77,'A1.3.2'!$B$27:$B$106,0)),"",(VLOOKUP($B77,'Forecast occupancies'!$C$28:$CP$64,91,TRUE) * VLOOKUP($B77,'A1.3.2'!$B$27:$AY$106,50,)) * $CR$5)</f>
        <v>106.02165352556581</v>
      </c>
      <c r="CP77" s="1567">
        <f>IF(ISERROR(MATCH($B77,'A1.3.2'!$B$27:$B$106,0)),"",SUM(CM77:CO77))</f>
        <v>180.06556855726348</v>
      </c>
    </row>
    <row r="78" spans="1:94" s="26" customFormat="1" ht="13.5" customHeight="1">
      <c r="A78" s="113"/>
      <c r="B78" s="82">
        <f t="shared" si="0"/>
        <v>2060</v>
      </c>
      <c r="D78" s="1609">
        <f>IF(ISERROR(MATCH($B78,'A1.3.2'!$B$27:$B$106,0)),"",(((VLOOKUP($B78,'Forecast occupancies'!$C$28:$CP$64,2,TRUE) -1) * VLOOKUP($B78,'A1.3.2'!$B$27:$AY$106,36,) + VLOOKUP($B78,'A1.3.2'!$B$27:$AY$106,35,)) * $CR$5))</f>
        <v>45.908139371569639</v>
      </c>
      <c r="E78" s="1565">
        <f>IF(ISERROR(MATCH($B78,'A1.3.2'!$B$27:$B$106,0)),"",VLOOKUP($B78,'Forecast occupancies'!$C$28:$CP$64,3,TRUE)*VLOOKUP($B78,'A1.3.2'!$B$27:$AY$106,49,)*$CR$5)</f>
        <v>25.871574182413521</v>
      </c>
      <c r="F78" s="1565">
        <f>IF(ISERROR(MATCH($B78,'A1.3.2'!$B$27:$B$106,0)),"",VLOOKUP($B78,'Forecast occupancies'!$C$28:$CP$64,4,TRUE)*VLOOKUP($B78,'A1.3.2'!$B$27:$AY$106,50,)*$CR$5)</f>
        <v>17.849381834441903</v>
      </c>
      <c r="G78" s="1566">
        <f>IF(ISERROR(MATCH($B78,'A1.3.2'!$B$27:$B$106,0)),"",(((D78*'VoT5'!$D$28)+(E78*'VoT5'!$D$29)+(F78*'VoT5'!$D$30))/100))</f>
        <v>26.002596083459494</v>
      </c>
      <c r="H78" s="1565">
        <f>IF(ISERROR(MATCH($B78,'A1.3.2'!$B$27:$B$106,0)),"",(VLOOKUP($B78,'Forecast occupancies'!$C$28:$CP$64,6,TRUE) * VLOOKUP($B78, 'A1.3.2'!$B$27:$AY$106,37,)) * $CR$5)</f>
        <v>33.550085342540626</v>
      </c>
      <c r="I78" s="1565">
        <f>IF(ISERROR(MATCH($B78,'A1.3.2'!$B$27:$B$106,0)),"",VLOOKUP($B78,'Forecast occupancies'!$C$28:$CP$64,7,TRUE) * ('VoT5'!$J$29*VLOOKUP($B78, 'A1.3.2'!$B$27:$AY$106,49,)+'VoT5'!$J$30*VLOOKUP($B78, 'A1.3.2'!$B$27:$AY$106,50,))/('VoT5'!$J$29+'VoT5'!$J$30) * $CR$5)</f>
        <v>20.479660858858541</v>
      </c>
      <c r="J78" s="1566">
        <f>IF(ISERROR(MATCH($B78,'A1.3.2'!$B$27:$B$106,0)),"",(H78*'VoT5'!$D$31 + I78*'VoT5'!$D$32)/100)</f>
        <v>31.981634404498777</v>
      </c>
      <c r="K78" s="1566">
        <f>IF(ISERROR(MATCH($B78,'A1.3.2'!$B$27:$B$106,0)),"",(VLOOKUP($B78,'Forecast occupancies'!$C$28:$CP$64,9,TRUE)*VLOOKUP($B78,'A1.3.2'!$B$27:$AY$106,38,)) * $CR$5)</f>
        <v>32.941731171591776</v>
      </c>
      <c r="L78" s="1566">
        <f>IF(ISERROR(MATCH($B78,'A1.3.2'!$B$27:$B$106,0)),"",(VLOOKUP($B78,'Forecast occupancies'!$C$28:$CP$64,10,TRUE)*VLOOKUP($B78,'A1.3.2'!$B$27:$AY$106,38,)) * $CR$5)</f>
        <v>32.941731171591776</v>
      </c>
      <c r="M78" s="1565">
        <f>IF(ISERROR(MATCH($B78,'A1.3.2'!$B$27:$B$106,0)),"",(((VLOOKUP($B78,'Forecast occupancies'!$C$28:$CP$64,11,TRUE) -1) * VLOOKUP($B78,'A1.3.2'!$B$27:$AY$106,40,)) + VLOOKUP($B78,'A1.3.2'!$B$27:$AY$106,39,)) * $CR$5)</f>
        <v>37.537400500385218</v>
      </c>
      <c r="N78" s="1565">
        <f>IF(ISERROR(MATCH($B78,'A1.3.2'!$B$27:$B$106,0)),"",(VLOOKUP($B78,'Forecast occupancies'!$C$28:$CP$64,12,TRUE) * VLOOKUP($B78,'A1.3.2'!$B$27:$AY$106,49,)) * $CR$5)</f>
        <v>51.385893411899282</v>
      </c>
      <c r="O78" s="1565">
        <f>IF(ISERROR(MATCH($B78,'A1.3.2'!$B$27:$B$106,0)),"",(VLOOKUP($B78,'Forecast occupancies'!$C$28:$CP$64,13,TRUE) * VLOOKUP($B78,'A1.3.2'!$B$27:$AY$106,50,)) * $CR$5)</f>
        <v>102.00469396547494</v>
      </c>
      <c r="P78" s="1567">
        <f>IF(ISERROR(MATCH($B78,'A1.3.2'!$B$27:$B$106,0)),"",SUM(M78:O78))</f>
        <v>190.92798787775945</v>
      </c>
      <c r="Q78" s="1609">
        <f>IF(ISERROR(MATCH($B78,'A1.3.2'!$B$27:$B$106,0)),"",(((VLOOKUP($B78,'Forecast occupancies'!$C$28:$CP$64,15,TRUE)-1)*VLOOKUP($B78,'A1.3.2'!$B$27:$AY$106,36,)+VLOOKUP($B78,'A1.3.2'!$B$27:$AY$106,35,))*$CR$5))</f>
        <v>47.043108408024267</v>
      </c>
      <c r="R78" s="1565">
        <f>IF(ISERROR(MATCH($B78,'A1.3.2'!$B$27:$B$106,0)),"",VLOOKUP($B78,'Forecast occupancies'!$C$28:$CP$64,16,TRUE)*VLOOKUP($B78,'A1.3.2'!$B$27:$AY$106,49,)*$CR$5)</f>
        <v>26.29224839115199</v>
      </c>
      <c r="S78" s="1565">
        <f>IF(ISERROR(MATCH($B78,'A1.3.2'!$B$27:$B$106,0)),"",VLOOKUP($B78,'Forecast occupancies'!$C$28:$CP$64,17,TRUE)*VLOOKUP($B78,'A1.3.2'!$B$27:$AY$106,50,)*$CR$5)</f>
        <v>19.013808036514359</v>
      </c>
      <c r="T78" s="1566">
        <f>IF(ISERROR(MATCH($B78,'A1.3.2'!$B$27:$B$106,0)),"",(((Q78*'VoT5'!$E$28)+(R78*'VoT5'!$E$29)+(S78*'VoT5'!$E$30))/100))</f>
        <v>24.489495483806579</v>
      </c>
      <c r="U78" s="1565">
        <f>IF(ISERROR(MATCH($B78,'A1.3.2'!$B$27:$B$106,0)),"",(VLOOKUP($B78,'Forecast occupancies'!$C$28:$CP$64,19,TRUE) * VLOOKUP($B78, 'A1.3.2'!$B$27:$AY$106,37,)) * $CR$5)</f>
        <v>33.550085342540626</v>
      </c>
      <c r="V78" s="1565">
        <f>IF(ISERROR(MATCH($B78,'A1.3.2'!$B$27:$B$106,0)),"",VLOOKUP($B78,'Forecast occupancies'!$C$28:$CP$64,20,TRUE) * ('VoT5'!$J$29*VLOOKUP($B78, 'A1.3.2'!$B$27:$AY$106,49,)+'VoT5'!$J$30*VLOOKUP($B78, 'A1.3.2'!$B$27:$AY$106,50,))/('VoT5'!$J$29+'VoT5'!$J$30) * $CR$5)</f>
        <v>20.479660858858541</v>
      </c>
      <c r="W78" s="1566">
        <f>IF(ISERROR(MATCH($B78,'A1.3.2'!$B$27:$B$106,0)),"",(U78*'VoT5'!$E$31 + V78*'VoT5'!$E$32)/100)</f>
        <v>31.981634404498777</v>
      </c>
      <c r="X78" s="1566">
        <f>IF(ISERROR(MATCH($B78,'A1.3.2'!$B$27:$B$106,0)),"",(VLOOKUP($B78,'Forecast occupancies'!$C$28:$CP$64,22,TRUE)*VLOOKUP($B78,'A1.3.2'!$B$27:$AY$106,38,)) * $CR$5)</f>
        <v>32.941731171591776</v>
      </c>
      <c r="Y78" s="1566">
        <f>IF(ISERROR(MATCH($B78,'A1.3.2'!$B$27:$B$106,0)),"",(VLOOKUP($B78,'Forecast occupancies'!$C$28:$CP$64,23,TRUE)*VLOOKUP($B78,'A1.3.2'!$B$27:$AY$106,38,)) * $CR$5)</f>
        <v>32.941731171591776</v>
      </c>
      <c r="Z78" s="1565">
        <f>IF(ISERROR(MATCH($B78,'A1.3.2'!$B$27:$B$106,0)),"",(((VLOOKUP($B78,'Forecast occupancies'!$C$28:$CP$64,24,TRUE) -1) * VLOOKUP($B78,'A1.3.2'!$B$27:$AY$106,40,)) + VLOOKUP($B78,'A1.3.2'!$B$27:$AY$106,39,)) * $CR$5)</f>
        <v>38.303572225703093</v>
      </c>
      <c r="AA78" s="1565">
        <f>IF(ISERROR(MATCH($B78,'A1.3.2'!$B$27:$B$106,0)),"",(VLOOKUP($B78,'Forecast occupancies'!$C$28:$CP$64,25,TRUE) * VLOOKUP($B78,'A1.3.2'!$B$27:$AY$106,49,)) * $CR$5)</f>
        <v>18.009120464118446</v>
      </c>
      <c r="AB78" s="1565">
        <f>IF(ISERROR(MATCH($B78,'A1.3.2'!$B$27:$B$106,0)),"",(VLOOKUP($B78,'Forecast occupancies'!$C$28:$CP$64,26,TRUE) * VLOOKUP($B78,'A1.3.2'!$B$27:$AY$106,50,)) * $CR$5)</f>
        <v>116.89162591305339</v>
      </c>
      <c r="AC78" s="1567">
        <f>IF(ISERROR(MATCH($B78,'A1.3.2'!$B$27:$B$106,0)),"",SUM(Z78:AB78))</f>
        <v>173.20431860287493</v>
      </c>
      <c r="AD78" s="1609">
        <f>IF(ISERROR(MATCH($B78,'A1.3.2'!$B$27:$B$106,0)),"",(((VLOOKUP($B78,'Forecast occupancies'!$C$28:$CP$64,28,TRUE)-1)*VLOOKUP($B78,'A1.3.2'!$B$27:$AY$106,36,)+VLOOKUP($B78,'A1.3.2'!$B$27:$AY$106,35,))*$CR$5))</f>
        <v>46.570663861465782</v>
      </c>
      <c r="AE78" s="1565">
        <f>IF(ISERROR(MATCH($B78,'A1.3.2'!$B$27:$B$106,0)),"",VLOOKUP($B78,'Forecast occupancies'!$C$28:$CP$64,29,TRUE)*VLOOKUP($B78,'A1.3.2'!$B$27:$AY$106,49,)*$CR$5)</f>
        <v>25.960814478111633</v>
      </c>
      <c r="AF78" s="1565">
        <f>IF(ISERROR(MATCH($B78,'A1.3.2'!$B$27:$B$106,0)),"",VLOOKUP($B78,'Forecast occupancies'!$C$28:$CP$64,30,TRUE)*VLOOKUP($B78,'A1.3.2'!$B$27:$AY$106,50,)*$CR$5)</f>
        <v>18.692009703290779</v>
      </c>
      <c r="AG78" s="1566">
        <f>IF(ISERROR(MATCH($B78,'A1.3.2'!$B$27:$B$106,0)),"",(((AD78*'VoT5'!$F$28)+(AE78*'VoT5'!$F$29)+(AF78*'VoT5'!$F$30))/100))</f>
        <v>24.98315677801051</v>
      </c>
      <c r="AH78" s="1565">
        <f>IF(ISERROR(MATCH($B78,'A1.3.2'!$B$27:$B$106,0)),"",(VLOOKUP($B78,'Forecast occupancies'!$C$28:$CP$64,32,TRUE) * VLOOKUP($B78, 'A1.3.2'!$B$27:$AY$106,37,)) * $CR$5)</f>
        <v>33.550085342540626</v>
      </c>
      <c r="AI78" s="1565">
        <f>IF(ISERROR(MATCH($B78,'A1.3.2'!$B$27:$B$106,0)),"",VLOOKUP($B78,'Forecast occupancies'!$C$28:$CP$64,33,TRUE) * ('VoT5'!$J$29*VLOOKUP($B78, 'A1.3.2'!$B$27:$AY$106,49,)+'VoT5'!$J$30*VLOOKUP($B78, 'A1.3.2'!$B$27:$AY$106,50,))/('VoT5'!$J$29+'VoT5'!$J$30) * $CR$5)</f>
        <v>20.479660858858541</v>
      </c>
      <c r="AJ78" s="1566">
        <f>IF(ISERROR(MATCH($B78,'A1.3.2'!$B$27:$B$106,0)),"",(AH78*'VoT5'!$F$31 + AI78*'VoT5'!$F$32)/100)</f>
        <v>31.981634404498777</v>
      </c>
      <c r="AK78" s="1566">
        <f>IF(ISERROR(MATCH($B78,'A1.3.2'!$B$27:$B$106,0)),"",(VLOOKUP($B78,'Forecast occupancies'!$C$28:$CP$64,35,TRUE)*VLOOKUP($B78,'A1.3.2'!$B$27:$AY$106,38,)) * $CR$5)</f>
        <v>32.941731171591776</v>
      </c>
      <c r="AL78" s="1566">
        <f>IF(ISERROR(MATCH($B78,'A1.3.2'!$B$27:$B$106,0)),"",(VLOOKUP($B78,'Forecast occupancies'!$C$28:$CP$64,36,TRUE)*VLOOKUP($B78,'A1.3.2'!$B$27:$AY$106,38,)) * $CR$5)</f>
        <v>32.941731171591776</v>
      </c>
      <c r="AM78" s="1565">
        <f>IF(ISERROR(MATCH($B78,'A1.3.2'!$B$27:$B$106,0)),"",(((VLOOKUP($B78,'Forecast occupancies'!$C$28:$CP$64,37,TRUE) -1) * VLOOKUP($B78,'A1.3.2'!$B$27:$AY$106,40,)) + VLOOKUP($B78,'A1.3.2'!$B$27:$AY$106,39,)) * $CR$5)</f>
        <v>40.076532656844414</v>
      </c>
      <c r="AN78" s="1565">
        <f>IF(ISERROR(MATCH($B78,'A1.3.2'!$B$27:$B$106,0)),"",(VLOOKUP($B78,'Forecast occupancies'!$C$28:$CP$64,38,TRUE) * VLOOKUP($B78,'A1.3.2'!$B$27:$AY$106,49,)) * $CR$5)</f>
        <v>72.267965910092229</v>
      </c>
      <c r="AO78" s="1565">
        <f>IF(ISERROR(MATCH($B78,'A1.3.2'!$B$27:$B$106,0)),"",(VLOOKUP($B78,'Forecast occupancies'!$C$28:$CP$64,39,TRUE) * VLOOKUP($B78,'A1.3.2'!$B$27:$AY$106,50,)) * $CR$5)</f>
        <v>91.322755237778622</v>
      </c>
      <c r="AP78" s="1567">
        <f>IF(ISERROR(MATCH($B78,'A1.3.2'!$B$27:$B$106,0)),"",SUM(AM78:AO78))</f>
        <v>203.66725380471524</v>
      </c>
      <c r="AQ78" s="1609">
        <f>IF(ISERROR(MATCH($B78,'A1.3.2'!$B$27:$B$106,0)),"",(((VLOOKUP($B78,'Forecast occupancies'!$C$28:$CP$64,41,TRUE)-1)*VLOOKUP($B78,'A1.3.2'!$B$27:$AY$106,36,)+VLOOKUP($B78,'A1.3.2'!$B$27:$AY$106,35,))*$CR$5))</f>
        <v>47.451809796124756</v>
      </c>
      <c r="AR78" s="1565">
        <f>IF(ISERROR(MATCH($B78,'A1.3.2'!$B$27:$B$106,0)),"",VLOOKUP($B78,'Forecast occupancies'!$C$28:$CP$64,42,TRUE)*VLOOKUP($B78,'A1.3.2'!$B$27:$AY$106,49,)*$CR$5)</f>
        <v>26.340775722792692</v>
      </c>
      <c r="AS78" s="1565">
        <f>IF(ISERROR(MATCH($B78,'A1.3.2'!$B$27:$B$106,0)),"",VLOOKUP($B78,'Forecast occupancies'!$C$28:$CP$64,43,TRUE)*VLOOKUP($B78,'A1.3.2'!$B$27:$AY$106,50,)*$CR$5)</f>
        <v>18.62527512986</v>
      </c>
      <c r="AT78" s="1566">
        <f>IF(ISERROR(MATCH($B78,'A1.3.2'!$B$27:$B$106,0)),"",(((AQ78*'VoT5'!$G$28)+(AR78*'VoT5'!$G$29)+(AS78*'VoT5'!$G$30))/100))</f>
        <v>25.311555373658464</v>
      </c>
      <c r="AU78" s="1565">
        <f>IF(ISERROR(MATCH($B78,'A1.3.2'!$B$27:$B$106,0)),"",(VLOOKUP($B78,'Forecast occupancies'!$C$28:$CP$64,45,TRUE) * VLOOKUP($B78, 'A1.3.2'!$B$27:$AY$106,37,)) * $CR$5)</f>
        <v>33.550085342540626</v>
      </c>
      <c r="AV78" s="1565">
        <f>IF(ISERROR(MATCH($B78,'A1.3.2'!$B$27:$B$106,0)),"",VLOOKUP($B78,'Forecast occupancies'!$C$28:$CP$64,46,TRUE) * ('VoT5'!$J$29*VLOOKUP($B78, 'A1.3.2'!$B$27:$AY$106,49,)+'VoT5'!$J$30*VLOOKUP($B78, 'A1.3.2'!$B$27:$AY$106,50,))/('VoT5'!$J$29+'VoT5'!$J$30) * $CR$5)</f>
        <v>20.479660858858541</v>
      </c>
      <c r="AW78" s="1566">
        <f>IF(ISERROR(MATCH($B78,'A1.3.2'!$B$27:$B$106,0)),"",(AU78*'VoT5'!$G$31 + AV78*'VoT5'!$G$32)/100)</f>
        <v>31.981634404498777</v>
      </c>
      <c r="AX78" s="1566">
        <f>IF(ISERROR(MATCH($B78,'A1.3.2'!$B$27:$B$106,0)),"",(VLOOKUP($B78,'Forecast occupancies'!$C$28:$CP$64,48,TRUE)*VLOOKUP($B78,'A1.3.2'!$B$27:$AY$106,38,)) * $CR$5)</f>
        <v>32.941731171591776</v>
      </c>
      <c r="AY78" s="1566">
        <f>IF(ISERROR(MATCH($B78,'A1.3.2'!$B$27:$B$106,0)),"",(VLOOKUP($B78,'Forecast occupancies'!$C$28:$CP$64,49,TRUE)*VLOOKUP($B78,'A1.3.2'!$B$27:$AY$106,38,)) * $CR$5)</f>
        <v>32.941731171591776</v>
      </c>
      <c r="AZ78" s="1565">
        <f>IF(ISERROR(MATCH($B78,'A1.3.2'!$B$27:$B$106,0)),"",(((VLOOKUP($B78,'Forecast occupancies'!$C$28:$CP$64,50,TRUE) -1) * VLOOKUP($B78,'A1.3.2'!$B$27:$AY$106,40,)) + VLOOKUP($B78,'A1.3.2'!$B$27:$AY$106,39,)) * $CR$5)</f>
        <v>40.044123840831681</v>
      </c>
      <c r="BA78" s="1565">
        <f>IF(ISERROR(MATCH($B78,'A1.3.2'!$B$27:$B$106,0)),"",(VLOOKUP($B78,'Forecast occupancies'!$C$28:$CP$64,51,TRUE) * VLOOKUP($B78,'A1.3.2'!$B$27:$AY$106,49,)) * $CR$5)</f>
        <v>98.788514296352218</v>
      </c>
      <c r="BB78" s="1565">
        <f>IF(ISERROR(MATCH($B78,'A1.3.2'!$B$27:$B$106,0)),"",(VLOOKUP($B78,'Forecast occupancies'!$C$28:$CP$64,52,TRUE) * VLOOKUP($B78,'A1.3.2'!$B$27:$AY$106,50,)) * $CR$5)</f>
        <v>79.232668738098198</v>
      </c>
      <c r="BC78" s="1567">
        <f>IF(ISERROR(MATCH($B78,'A1.3.2'!$B$27:$B$106,0)),"",SUM(AZ78:BB78))</f>
        <v>218.06530687528209</v>
      </c>
      <c r="BD78" s="1565">
        <f>IF(ISERROR(MATCH($B78,'A1.3.2'!$B$27:$B$106,0)),"",(((VLOOKUP($B78,'Forecast occupancies'!$C$28:$CP$64,54,TRUE)-1)*VLOOKUP($B78,'A1.3.2'!$B$27:$AY$106,36,)+VLOOKUP($B78,'A1.3.2'!$B$27:$AY$106,35,))*$CR$5))</f>
        <v>46.653526569069264</v>
      </c>
      <c r="BE78" s="1565">
        <f>IF(ISERROR(MATCH($B78,'A1.3.2'!$B$27:$B$106,0)),"",VLOOKUP($B78,'Forecast occupancies'!$C$28:$CP$64,55,TRUE)*VLOOKUP($B78,'A1.3.2'!$B$27:$AY$106,49,)*$CR$5)</f>
        <v>26.049081463556988</v>
      </c>
      <c r="BF78" s="1565">
        <f>IF(ISERROR(MATCH($B78,'A1.3.2'!$B$27:$B$106,0)),"",VLOOKUP($B78,'Forecast occupancies'!$C$28:$CP$64,56,TRUE)*VLOOKUP($B78,'A1.3.2'!$B$27:$AY$106,50,)*$CR$5)</f>
        <v>18.671552414997585</v>
      </c>
      <c r="BG78" s="1566">
        <f>IF(ISERROR(MATCH($B78,'A1.3.2'!$B$27:$B$106,0)),"",(((BD78*'VoT5'!$H$28)+(BE78*'VoT5'!$H$29)+(BF78*'VoT5'!$H$30))/100))</f>
        <v>25.129271005971745</v>
      </c>
      <c r="BH78" s="1565">
        <f>IF(ISERROR(MATCH($B78,'A1.3.2'!$B$27:$B$106,0)),"",(VLOOKUP($B78,'Forecast occupancies'!$C$28:$CP$64,58,TRUE) * VLOOKUP($B78, 'A1.3.2'!$B$27:$AY$106,37,)) * $CR$5)</f>
        <v>33.550085342540626</v>
      </c>
      <c r="BI78" s="1565">
        <f>IF(ISERROR(MATCH($B78,'A1.3.2'!$B$27:$B$106,0)),"",(VLOOKUP($B78,'Forecast occupancies'!$C$28:$CP$64,59,TRUE) * (VLOOKUP($B78,'A1.3.2'!$B$27:$AY$106,49,) * 'VoT5'!$J$29 + VLOOKUP($B78,'A1.3.2'!$B$27:$AY$106,50,) * 'VoT5'!$J$30) / (SUM('VoT5'!$J$29:$J$30))) * $CR$5)</f>
        <v>20.479660858858541</v>
      </c>
      <c r="BJ78" s="1566">
        <f>IF(ISERROR(MATCH($B78,'A1.3.2'!$B$27:$B$106,0)),"",(BH78*'VoT5'!$H$31 + BI78*'VoT5'!$H$32)/100)</f>
        <v>31.981634404498777</v>
      </c>
      <c r="BK78" s="1566">
        <f>IF(ISERROR(MATCH($B78,'A1.3.2'!$B$27:$B$106,0)),"",(VLOOKUP($B78,'Forecast occupancies'!$C$28:$CP$64,61,TRUE)*VLOOKUP($B78,'A1.3.2'!$B$27:$AY$106,38,)) * $CR$5)</f>
        <v>32.941731171591776</v>
      </c>
      <c r="BL78" s="1566">
        <f>IF(ISERROR(MATCH($B78,'A1.3.2'!$B$27:$B$106,0)),"",(VLOOKUP($B78,'Forecast occupancies'!$C$28:$CP$64,62,TRUE)*VLOOKUP($B78,'A1.3.2'!$B$27:$AY$106,38,)) * $CR$5)</f>
        <v>32.941731171591776</v>
      </c>
      <c r="BM78" s="1565">
        <f>IF(ISERROR(MATCH($B78,'A1.3.2'!$B$27:$B$106,0)),"",(((VLOOKUP($B78,'Forecast occupancies'!$C$28:$CP$64,63,TRUE) -1) * VLOOKUP($B78,'A1.3.2'!$B$27:$AY$106,40,)) + VLOOKUP($B78,'A1.3.2'!$B$27:$AY$106,39,)) * $CR$5)</f>
        <v>38.610194264837894</v>
      </c>
      <c r="BN78" s="1565">
        <f>IF(ISERROR(MATCH($B78,'A1.3.2'!$B$27:$B$106,0)),"",(VLOOKUP($B78,'Forecast occupancies'!$C$28:$CP$64,64,TRUE) * VLOOKUP($B78,'A1.3.2'!$B$27:$AY$106,49,)) * $CR$5)</f>
        <v>44.59644492746601</v>
      </c>
      <c r="BO78" s="1565">
        <f>IF(ISERROR(MATCH($B78,'A1.3.2'!$B$27:$B$106,0)),"",(VLOOKUP($B78,'Forecast occupancies'!$C$28:$CP$64,65,TRUE) * VLOOKUP($B78,'A1.3.2'!$B$27:$AY$106,50,)) * $CR$5)</f>
        <v>104.61741209468785</v>
      </c>
      <c r="BP78" s="1567">
        <f>IF(ISERROR(MATCH($B78,'A1.3.2'!$B$27:$B$106,0)),"",SUM(BM78:BO78))</f>
        <v>187.82405128699173</v>
      </c>
      <c r="BQ78" s="1565">
        <f>IF(ISERROR(MATCH($B78,'A1.3.2'!$B$27:$B$106,0)),"",(((VLOOKUP($B78,'Forecast occupancies'!$C$28:$CP$64,67,TRUE)-1)*VLOOKUP($B78,'A1.3.2'!$B$27:$AY$106,36,)+VLOOKUP($B78,'A1.3.2'!$B$27:$AY$106,35,))*$CR$5))</f>
        <v>53.319140593785299</v>
      </c>
      <c r="BR78" s="1565">
        <f>IF(ISERROR(MATCH($B78,'A1.3.2'!$B$27:$B$106,0)),"",VLOOKUP($B78,'Forecast occupancies'!$C$28:$CP$64,68,TRUE)*VLOOKUP($B78,'A1.3.2'!$B$27:$AY$106,49,)*$CR$5)</f>
        <v>27.579515330582904</v>
      </c>
      <c r="BS78" s="1565">
        <f>IF(ISERROR(MATCH($B78,'A1.3.2'!$B$27:$B$106,0)),"",VLOOKUP($B78,'Forecast occupancies'!$C$28:$CP$64,69,TRUE)*VLOOKUP($B78,'A1.3.2'!$B$27:$AY$106,50,)*$CR$5)</f>
        <v>22.107568160358404</v>
      </c>
      <c r="BT78" s="1566">
        <f>IF(ISERROR(MATCH($B78,'A1.3.2'!$B$27:$B$106,0)),"",(((BQ78*'VoT5'!$I$28)+(BR78*'VoT5'!$I$29)+(BS78*'VoT5'!$I$30))/100))</f>
        <v>23.6233307809207</v>
      </c>
      <c r="BU78" s="1565">
        <f>IF(ISERROR(MATCH($B78,'A1.3.2'!$B$27:$B$106,0)),"",(VLOOKUP($B78,'Forecast occupancies'!$C$28:$CP$64,71,TRUE) * VLOOKUP($B78, 'A1.3.2'!$B$27:$AY$106,37,)) * $CR$5)</f>
        <v>35.22758960966766</v>
      </c>
      <c r="BV78" s="1565">
        <f>IF(ISERROR(MATCH($B78,'A1.3.2'!$B$27:$B$106,0)),"",(VLOOKUP($B78,'Forecast occupancies'!$C$28:$CP$64,72,TRUE) * (VLOOKUP($B78,'A1.3.2'!$B$27:$AY$106,49,)*'VoT5'!$J$29 + VLOOKUP($B78,'A1.3.2'!$B$27:$AY$106,50,)*'VoT5'!$J$30) / (SUM('VoT5'!$J$29:$J$30))) * $CR$5)</f>
        <v>28.475144892796461</v>
      </c>
      <c r="BW78" s="1566">
        <f>IF(ISERROR(MATCH($B78,'A1.3.2'!$B$27:$B$106,0)),"",(BU78*'VoT5'!$I$31 + BV78*'VoT5'!$I$32)/100)</f>
        <v>34.417296243643115</v>
      </c>
      <c r="BX78" s="1566">
        <f>IF(ISERROR(MATCH($B78,'A1.3.2'!$B$27:$B$106,0)),"",(VLOOKUP($B78,'Forecast occupancies'!$C$28:$CP$64,74,TRUE)*VLOOKUP($B78,'A1.3.2'!$B$27:$AY$106,38,)) * $CR$5)</f>
        <v>32.941731171591776</v>
      </c>
      <c r="BY78" s="1566">
        <f>IF(ISERROR(MATCH($B78,'A1.3.2'!$B$27:$B$106,0)),"",(VLOOKUP($B78,'Forecast occupancies'!$C$28:$CP$64,75,TRUE)*VLOOKUP($B78,'A1.3.2'!$B$27:$AY$106,38,)) * $CR$5)</f>
        <v>32.941731171591776</v>
      </c>
      <c r="BZ78" s="1565">
        <f>IF(ISERROR(MATCH($B78,'A1.3.2'!$B$27:$B$106,0)),"",(((VLOOKUP($B78,'Forecast occupancies'!$C$28:$CP$64,76,TRUE) -1) * VLOOKUP($B78,'A1.3.2'!$B$27:$AY$106,40,)) + VLOOKUP($B78,'A1.3.2'!$B$27:$AY$106,39,)) * $CR$5)</f>
        <v>35.163627999065262</v>
      </c>
      <c r="CA78" s="1565">
        <f>IF(ISERROR(MATCH($B78,'A1.3.2'!$B$27:$B$106,0)),"",(VLOOKUP($B78,'Forecast occupancies'!$C$28:$CP$64,77,TRUE) * VLOOKUP($B78,'A1.3.2'!$B$27:$AY$106,49,)) * $CR$5)</f>
        <v>16.894854203383431</v>
      </c>
      <c r="CB78" s="1565">
        <f>IF(ISERROR(MATCH($B78,'A1.3.2'!$B$27:$B$106,0)),"",(VLOOKUP($B78,'Forecast occupancies'!$C$28:$CP$64,78,TRUE) * VLOOKUP($B78,'A1.3.2'!$B$27:$AY$106,50,)) * $CR$5)</f>
        <v>118.82323254513847</v>
      </c>
      <c r="CC78" s="1567">
        <f>IF(ISERROR(MATCH($B78,'A1.3.2'!$B$27:$B$106,0)),"",SUM(BZ78:CB78))</f>
        <v>170.88171474758715</v>
      </c>
      <c r="CD78" s="1565">
        <f>IF(ISERROR(MATCH($B78,'A1.3.2'!$B$27:$B$106,0)),"",(((VLOOKUP($B78,'Forecast occupancies'!$C$28:$CP$64,80,TRUE)-1)*VLOOKUP($B78,'A1.3.2'!$B$27:$AY$106,36,)+VLOOKUP($B78,'A1.3.2'!$B$27:$AY$106,35,))*$CR$5))</f>
        <v>47.12667049901269</v>
      </c>
      <c r="CE78" s="1565">
        <f>IF(ISERROR(MATCH($B78,'A1.3.2'!$B$27:$B$106,0)),"",VLOOKUP($B78,'Forecast occupancies'!$C$28:$CP$64,81,TRUE)*VLOOKUP($B78,'A1.3.2'!$B$27:$AY$106,49,)*$CR$5)</f>
        <v>26.172894572217547</v>
      </c>
      <c r="CF78" s="1565">
        <f>IF(ISERROR(MATCH($B78,'A1.3.2'!$B$27:$B$106,0)),"",VLOOKUP($B78,'Forecast occupancies'!$C$28:$CP$64,82,TRUE)*VLOOKUP($B78,'A1.3.2'!$B$27:$AY$106,50,)*$CR$5)</f>
        <v>19.884013875422763</v>
      </c>
      <c r="CG78" s="1566">
        <f>IF(ISERROR(MATCH($B78,'A1.3.2'!$B$27:$B$106,0)),"",(((CD78*'VoT5'!$J$28)+(CE78*'VoT5'!$J$29)+(CF78*'VoT5'!$J$30))/100))</f>
        <v>24.772219730428596</v>
      </c>
      <c r="CH78" s="1565">
        <f>IF(ISERROR(MATCH($B78,'A1.3.2'!$B$27:$B$106,0)),"",(VLOOKUP($B78,'Forecast occupancies'!$C$28:$CP$64,84,TRUE) * VLOOKUP($B78, 'A1.3.2'!$B$27:$AY$106,37,)) * $CR$5)</f>
        <v>33.550085342540626</v>
      </c>
      <c r="CI78" s="1565">
        <f>IF(ISERROR(MATCH($B78,'A1.3.2'!$B$27:$B$106,0)),"",(VLOOKUP($B78,'Forecast occupancies'!$C$28:$CP$64,85,TRUE) * (VLOOKUP($B78,'A1.3.2'!$B$27:$AY$106,49,)*'VoT5'!$J$29 + VLOOKUP($B78,'A1.3.2'!$B$27:$AY$106,50,)*'VoT5'!$J$30) / (SUM('VoT5'!$J$29:$J$30))) * $CR$5)</f>
        <v>22.30319230519526</v>
      </c>
      <c r="CJ78" s="1566">
        <f>IF(ISERROR(MATCH($B78,'A1.3.2'!$B$27:$B$106,0)),"",(CH78*'VoT5'!$J$31 + CI78*'VoT5'!$J$32)/100)</f>
        <v>32.200458178059179</v>
      </c>
      <c r="CK78" s="1566">
        <f>IF(ISERROR(MATCH($B78,'A1.3.2'!$B$27:$B$106,0)),"",(VLOOKUP($B78,'Forecast occupancies'!$C$28:$CP$64,87,TRUE)*VLOOKUP($B78,'A1.3.2'!$B$27:$AY$106,38,)) * $CR$5)</f>
        <v>32.941731171591776</v>
      </c>
      <c r="CL78" s="1566">
        <f>IF(ISERROR(MATCH($B78,'A1.3.2'!$B$27:$B$106,0)),"",(VLOOKUP($B78,'Forecast occupancies'!$C$28:$CP$64,88,TRUE)*VLOOKUP($B78,'A1.3.2'!$B$27:$AY$106,38,)) * $CR$5)</f>
        <v>32.941731171591776</v>
      </c>
      <c r="CM78" s="1565">
        <f>IF(ISERROR(MATCH($B78,'A1.3.2'!$B$27:$B$106,0)),"",(((VLOOKUP($B78,'Forecast occupancies'!$C$28:$CP$64,89,TRUE) -1) * VLOOKUP($B78,'A1.3.2'!$B$27:$AY$106,40,)) + VLOOKUP($B78,'A1.3.2'!$B$27:$AY$106,39,)) * $CR$5)</f>
        <v>37.759096088352592</v>
      </c>
      <c r="CN78" s="1565">
        <f>IF(ISERROR(MATCH($B78,'A1.3.2'!$B$27:$B$106,0)),"",(VLOOKUP($B78,'Forecast occupancies'!$C$28:$CP$64,90,TRUE) * VLOOKUP($B78,'A1.3.2'!$B$27:$AY$106,49,)) * $CR$5)</f>
        <v>37.75447090782334</v>
      </c>
      <c r="CO78" s="1565">
        <f>IF(ISERROR(MATCH($B78,'A1.3.2'!$B$27:$B$106,0)),"",(VLOOKUP($B78,'Forecast occupancies'!$C$28:$CP$64,91,TRUE) * VLOOKUP($B78,'A1.3.2'!$B$27:$AY$106,50,)) * $CR$5)</f>
        <v>108.12601188255407</v>
      </c>
      <c r="CP78" s="1567">
        <f>IF(ISERROR(MATCH($B78,'A1.3.2'!$B$27:$B$106,0)),"",SUM(CM78:CO78))</f>
        <v>183.63957887872999</v>
      </c>
    </row>
    <row r="79" spans="1:94" ht="13.5" customHeight="1">
      <c r="A79" s="113"/>
      <c r="B79" s="82">
        <f t="shared" si="0"/>
        <v>2061</v>
      </c>
      <c r="C79" s="26"/>
      <c r="D79" s="1609">
        <f>IF(ISERROR(MATCH($B79,'A1.3.2'!$B$27:$B$106,0)),"",(((VLOOKUP($B79,'Forecast occupancies'!$C$28:$CP$64,2,TRUE) -1) * VLOOKUP($B79,'A1.3.2'!$B$27:$AY$106,36,) + VLOOKUP($B79,'A1.3.2'!$B$27:$AY$106,35,)) * $CR$5))</f>
        <v>46.830188331681967</v>
      </c>
      <c r="E79" s="1565">
        <f>IF(ISERROR(MATCH($B79,'A1.3.2'!$B$27:$B$106,0)),"",VLOOKUP($B79,'Forecast occupancies'!$C$28:$CP$64,3,TRUE)*VLOOKUP($B79,'A1.3.2'!$B$27:$AY$106,49,)*$CR$5)</f>
        <v>26.391195722251751</v>
      </c>
      <c r="F79" s="1565">
        <f>IF(ISERROR(MATCH($B79,'A1.3.2'!$B$27:$B$106,0)),"",VLOOKUP($B79,'Forecast occupancies'!$C$28:$CP$64,4,TRUE)*VLOOKUP($B79,'A1.3.2'!$B$27:$AY$106,50,)*$CR$5)</f>
        <v>18.207880440231335</v>
      </c>
      <c r="G79" s="1566">
        <f>IF(ISERROR(MATCH($B79,'A1.3.2'!$B$27:$B$106,0)),"",(((D79*'VoT5'!$D$28)+(E79*'VoT5'!$D$29)+(F79*'VoT5'!$D$30))/100))</f>
        <v>26.524849152461506</v>
      </c>
      <c r="H79" s="1565">
        <f>IF(ISERROR(MATCH($B79,'A1.3.2'!$B$27:$B$106,0)),"",(VLOOKUP($B79,'Forecast occupancies'!$C$28:$CP$64,6,TRUE) * VLOOKUP($B79, 'A1.3.2'!$B$27:$AY$106,37,)) * $CR$5)</f>
        <v>34.223927099693753</v>
      </c>
      <c r="I79" s="1565">
        <f>IF(ISERROR(MATCH($B79,'A1.3.2'!$B$27:$B$106,0)),"",VLOOKUP($B79,'Forecast occupancies'!$C$28:$CP$64,7,TRUE) * ('VoT5'!$J$29*VLOOKUP($B79, 'A1.3.2'!$B$27:$AY$106,49,)+'VoT5'!$J$30*VLOOKUP($B79, 'A1.3.2'!$B$27:$AY$106,50,))/('VoT5'!$J$29+'VoT5'!$J$30) * $CR$5)</f>
        <v>20.890987701044992</v>
      </c>
      <c r="J79" s="1566">
        <f>IF(ISERROR(MATCH($B79,'A1.3.2'!$B$27:$B$106,0)),"",(H79*'VoT5'!$D$31 + I79*'VoT5'!$D$32)/100)</f>
        <v>32.623974371855901</v>
      </c>
      <c r="K79" s="1566">
        <f>IF(ISERROR(MATCH($B79,'A1.3.2'!$B$27:$B$106,0)),"",(VLOOKUP($B79,'Forecast occupancies'!$C$28:$CP$64,9,TRUE)*VLOOKUP($B79,'A1.3.2'!$B$27:$AY$106,38,)) * $CR$5)</f>
        <v>33.603354347500222</v>
      </c>
      <c r="L79" s="1566">
        <f>IF(ISERROR(MATCH($B79,'A1.3.2'!$B$27:$B$106,0)),"",(VLOOKUP($B79,'Forecast occupancies'!$C$28:$CP$64,10,TRUE)*VLOOKUP($B79,'A1.3.2'!$B$27:$AY$106,38,)) * $CR$5)</f>
        <v>33.603354347500222</v>
      </c>
      <c r="M79" s="1565">
        <f>IF(ISERROR(MATCH($B79,'A1.3.2'!$B$27:$B$106,0)),"",(((VLOOKUP($B79,'Forecast occupancies'!$C$28:$CP$64,11,TRUE) -1) * VLOOKUP($B79,'A1.3.2'!$B$27:$AY$106,40,)) + VLOOKUP($B79,'A1.3.2'!$B$27:$AY$106,39,)) * $CR$5)</f>
        <v>38.291326091151667</v>
      </c>
      <c r="N79" s="1565">
        <f>IF(ISERROR(MATCH($B79,'A1.3.2'!$B$27:$B$106,0)),"",(VLOOKUP($B79,'Forecast occupancies'!$C$28:$CP$64,12,TRUE) * VLOOKUP($B79,'A1.3.2'!$B$27:$AY$106,49,)) * $CR$5)</f>
        <v>52.417961150506571</v>
      </c>
      <c r="O79" s="1565">
        <f>IF(ISERROR(MATCH($B79,'A1.3.2'!$B$27:$B$106,0)),"",(VLOOKUP($B79,'Forecast occupancies'!$C$28:$CP$64,13,TRUE) * VLOOKUP($B79,'A1.3.2'!$B$27:$AY$106,50,)) * $CR$5)</f>
        <v>104.05342265029911</v>
      </c>
      <c r="P79" s="1567">
        <f>IF(ISERROR(MATCH($B79,'A1.3.2'!$B$27:$B$106,0)),"",SUM(M79:O79))</f>
        <v>194.76270989195734</v>
      </c>
      <c r="Q79" s="1609">
        <f>IF(ISERROR(MATCH($B79,'A1.3.2'!$B$27:$B$106,0)),"",(((VLOOKUP($B79,'Forecast occupancies'!$C$28:$CP$64,15,TRUE)-1)*VLOOKUP($B79,'A1.3.2'!$B$27:$AY$106,36,)+VLOOKUP($B79,'A1.3.2'!$B$27:$AY$106,35,))*$CR$5))</f>
        <v>47.987952825198199</v>
      </c>
      <c r="R79" s="1565">
        <f>IF(ISERROR(MATCH($B79,'A1.3.2'!$B$27:$B$106,0)),"",VLOOKUP($B79,'Forecast occupancies'!$C$28:$CP$64,16,TRUE)*VLOOKUP($B79,'A1.3.2'!$B$27:$AY$106,49,)*$CR$5)</f>
        <v>26.82031902568286</v>
      </c>
      <c r="S79" s="1565">
        <f>IF(ISERROR(MATCH($B79,'A1.3.2'!$B$27:$B$106,0)),"",VLOOKUP($B79,'Forecast occupancies'!$C$28:$CP$64,17,TRUE)*VLOOKUP($B79,'A1.3.2'!$B$27:$AY$106,50,)*$CR$5)</f>
        <v>19.39569373625806</v>
      </c>
      <c r="T79" s="1566">
        <f>IF(ISERROR(MATCH($B79,'A1.3.2'!$B$27:$B$106,0)),"",(((Q79*'VoT5'!$E$28)+(R79*'VoT5'!$E$29)+(S79*'VoT5'!$E$30))/100))</f>
        <v>24.981358455245207</v>
      </c>
      <c r="U79" s="1565">
        <f>IF(ISERROR(MATCH($B79,'A1.3.2'!$B$27:$B$106,0)),"",(VLOOKUP($B79,'Forecast occupancies'!$C$28:$CP$64,19,TRUE) * VLOOKUP($B79, 'A1.3.2'!$B$27:$AY$106,37,)) * $CR$5)</f>
        <v>34.223927099693753</v>
      </c>
      <c r="V79" s="1565">
        <f>IF(ISERROR(MATCH($B79,'A1.3.2'!$B$27:$B$106,0)),"",VLOOKUP($B79,'Forecast occupancies'!$C$28:$CP$64,20,TRUE) * ('VoT5'!$J$29*VLOOKUP($B79, 'A1.3.2'!$B$27:$AY$106,49,)+'VoT5'!$J$30*VLOOKUP($B79, 'A1.3.2'!$B$27:$AY$106,50,))/('VoT5'!$J$29+'VoT5'!$J$30) * $CR$5)</f>
        <v>20.890987701044992</v>
      </c>
      <c r="W79" s="1566">
        <f>IF(ISERROR(MATCH($B79,'A1.3.2'!$B$27:$B$106,0)),"",(U79*'VoT5'!$E$31 + V79*'VoT5'!$E$32)/100)</f>
        <v>32.623974371855901</v>
      </c>
      <c r="X79" s="1566">
        <f>IF(ISERROR(MATCH($B79,'A1.3.2'!$B$27:$B$106,0)),"",(VLOOKUP($B79,'Forecast occupancies'!$C$28:$CP$64,22,TRUE)*VLOOKUP($B79,'A1.3.2'!$B$27:$AY$106,38,)) * $CR$5)</f>
        <v>33.603354347500222</v>
      </c>
      <c r="Y79" s="1566">
        <f>IF(ISERROR(MATCH($B79,'A1.3.2'!$B$27:$B$106,0)),"",(VLOOKUP($B79,'Forecast occupancies'!$C$28:$CP$64,23,TRUE)*VLOOKUP($B79,'A1.3.2'!$B$27:$AY$106,38,)) * $CR$5)</f>
        <v>33.603354347500222</v>
      </c>
      <c r="Z79" s="1565">
        <f>IF(ISERROR(MATCH($B79,'A1.3.2'!$B$27:$B$106,0)),"",(((VLOOKUP($B79,'Forecast occupancies'!$C$28:$CP$64,24,TRUE) -1) * VLOOKUP($B79,'A1.3.2'!$B$27:$AY$106,40,)) + VLOOKUP($B79,'A1.3.2'!$B$27:$AY$106,39,)) * $CR$5)</f>
        <v>39.072886108224942</v>
      </c>
      <c r="AA79" s="1565">
        <f>IF(ISERROR(MATCH($B79,'A1.3.2'!$B$27:$B$106,0)),"",(VLOOKUP($B79,'Forecast occupancies'!$C$28:$CP$64,25,TRUE) * VLOOKUP($B79,'A1.3.2'!$B$27:$AY$106,49,)) * $CR$5)</f>
        <v>18.370827364545811</v>
      </c>
      <c r="AB79" s="1565">
        <f>IF(ISERROR(MATCH($B79,'A1.3.2'!$B$27:$B$106,0)),"",(VLOOKUP($B79,'Forecast occupancies'!$C$28:$CP$64,26,TRUE) * VLOOKUP($B79,'A1.3.2'!$B$27:$AY$106,50,)) * $CR$5)</f>
        <v>119.23935343140528</v>
      </c>
      <c r="AC79" s="1567">
        <f>IF(ISERROR(MATCH($B79,'A1.3.2'!$B$27:$B$106,0)),"",SUM(Z79:AB79))</f>
        <v>176.68306690417603</v>
      </c>
      <c r="AD79" s="1609">
        <f>IF(ISERROR(MATCH($B79,'A1.3.2'!$B$27:$B$106,0)),"",(((VLOOKUP($B79,'Forecast occupancies'!$C$28:$CP$64,28,TRUE)-1)*VLOOKUP($B79,'A1.3.2'!$B$27:$AY$106,36,)+VLOOKUP($B79,'A1.3.2'!$B$27:$AY$106,35,))*$CR$5))</f>
        <v>47.506019394776672</v>
      </c>
      <c r="AE79" s="1565">
        <f>IF(ISERROR(MATCH($B79,'A1.3.2'!$B$27:$B$106,0)),"",VLOOKUP($B79,'Forecast occupancies'!$C$28:$CP$64,29,TRUE)*VLOOKUP($B79,'A1.3.2'!$B$27:$AY$106,49,)*$CR$5)</f>
        <v>26.48222837814949</v>
      </c>
      <c r="AF79" s="1565">
        <f>IF(ISERROR(MATCH($B79,'A1.3.2'!$B$27:$B$106,0)),"",VLOOKUP($B79,'Forecast occupancies'!$C$28:$CP$64,30,TRUE)*VLOOKUP($B79,'A1.3.2'!$B$27:$AY$106,50,)*$CR$5)</f>
        <v>19.067432195799849</v>
      </c>
      <c r="AG79" s="1566">
        <f>IF(ISERROR(MATCH($B79,'A1.3.2'!$B$27:$B$106,0)),"",(((AD79*'VoT5'!$F$28)+(AE79*'VoT5'!$F$29)+(AF79*'VoT5'!$F$30))/100))</f>
        <v>25.484934764285281</v>
      </c>
      <c r="AH79" s="1565">
        <f>IF(ISERROR(MATCH($B79,'A1.3.2'!$B$27:$B$106,0)),"",(VLOOKUP($B79,'Forecast occupancies'!$C$28:$CP$64,32,TRUE) * VLOOKUP($B79, 'A1.3.2'!$B$27:$AY$106,37,)) * $CR$5)</f>
        <v>34.223927099693753</v>
      </c>
      <c r="AI79" s="1565">
        <f>IF(ISERROR(MATCH($B79,'A1.3.2'!$B$27:$B$106,0)),"",VLOOKUP($B79,'Forecast occupancies'!$C$28:$CP$64,33,TRUE) * ('VoT5'!$J$29*VLOOKUP($B79, 'A1.3.2'!$B$27:$AY$106,49,)+'VoT5'!$J$30*VLOOKUP($B79, 'A1.3.2'!$B$27:$AY$106,50,))/('VoT5'!$J$29+'VoT5'!$J$30) * $CR$5)</f>
        <v>20.890987701044992</v>
      </c>
      <c r="AJ79" s="1566">
        <f>IF(ISERROR(MATCH($B79,'A1.3.2'!$B$27:$B$106,0)),"",(AH79*'VoT5'!$F$31 + AI79*'VoT5'!$F$32)/100)</f>
        <v>32.623974371855901</v>
      </c>
      <c r="AK79" s="1566">
        <f>IF(ISERROR(MATCH($B79,'A1.3.2'!$B$27:$B$106,0)),"",(VLOOKUP($B79,'Forecast occupancies'!$C$28:$CP$64,35,TRUE)*VLOOKUP($B79,'A1.3.2'!$B$27:$AY$106,38,)) * $CR$5)</f>
        <v>33.603354347500222</v>
      </c>
      <c r="AL79" s="1566">
        <f>IF(ISERROR(MATCH($B79,'A1.3.2'!$B$27:$B$106,0)),"",(VLOOKUP($B79,'Forecast occupancies'!$C$28:$CP$64,36,TRUE)*VLOOKUP($B79,'A1.3.2'!$B$27:$AY$106,38,)) * $CR$5)</f>
        <v>33.603354347500222</v>
      </c>
      <c r="AM79" s="1565">
        <f>IF(ISERROR(MATCH($B79,'A1.3.2'!$B$27:$B$106,0)),"",(((VLOOKUP($B79,'Forecast occupancies'!$C$28:$CP$64,37,TRUE) -1) * VLOOKUP($B79,'A1.3.2'!$B$27:$AY$106,40,)) + VLOOKUP($B79,'A1.3.2'!$B$27:$AY$106,39,)) * $CR$5)</f>
        <v>40.881455830969706</v>
      </c>
      <c r="AN79" s="1565">
        <f>IF(ISERROR(MATCH($B79,'A1.3.2'!$B$27:$B$106,0)),"",(VLOOKUP($B79,'Forecast occupancies'!$C$28:$CP$64,38,TRUE) * VLOOKUP($B79,'A1.3.2'!$B$27:$AY$106,49,)) * $CR$5)</f>
        <v>73.719442788244677</v>
      </c>
      <c r="AO79" s="1565">
        <f>IF(ISERROR(MATCH($B79,'A1.3.2'!$B$27:$B$106,0)),"",(VLOOKUP($B79,'Forecast occupancies'!$C$28:$CP$64,39,TRUE) * VLOOKUP($B79,'A1.3.2'!$B$27:$AY$106,50,)) * $CR$5)</f>
        <v>93.156940910607943</v>
      </c>
      <c r="AP79" s="1567">
        <f>IF(ISERROR(MATCH($B79,'A1.3.2'!$B$27:$B$106,0)),"",SUM(AM79:AO79))</f>
        <v>207.75783952982232</v>
      </c>
      <c r="AQ79" s="1609">
        <f>IF(ISERROR(MATCH($B79,'A1.3.2'!$B$27:$B$106,0)),"",(((VLOOKUP($B79,'Forecast occupancies'!$C$28:$CP$64,41,TRUE)-1)*VLOOKUP($B79,'A1.3.2'!$B$27:$AY$106,36,)+VLOOKUP($B79,'A1.3.2'!$B$27:$AY$106,35,))*$CR$5))</f>
        <v>48.404862838066606</v>
      </c>
      <c r="AR79" s="1565">
        <f>IF(ISERROR(MATCH($B79,'A1.3.2'!$B$27:$B$106,0)),"",VLOOKUP($B79,'Forecast occupancies'!$C$28:$CP$64,42,TRUE)*VLOOKUP($B79,'A1.3.2'!$B$27:$AY$106,49,)*$CR$5)</f>
        <v>26.869821011846462</v>
      </c>
      <c r="AS79" s="1565">
        <f>IF(ISERROR(MATCH($B79,'A1.3.2'!$B$27:$B$106,0)),"",VLOOKUP($B79,'Forecast occupancies'!$C$28:$CP$64,43,TRUE)*VLOOKUP($B79,'A1.3.2'!$B$27:$AY$106,50,)*$CR$5)</f>
        <v>18.999357281748043</v>
      </c>
      <c r="AT79" s="1566">
        <f>IF(ISERROR(MATCH($B79,'A1.3.2'!$B$27:$B$106,0)),"",(((AQ79*'VoT5'!$G$28)+(AR79*'VoT5'!$G$29)+(AS79*'VoT5'!$G$30))/100))</f>
        <v>25.819929131135559</v>
      </c>
      <c r="AU79" s="1565">
        <f>IF(ISERROR(MATCH($B79,'A1.3.2'!$B$27:$B$106,0)),"",(VLOOKUP($B79,'Forecast occupancies'!$C$28:$CP$64,45,TRUE) * VLOOKUP($B79, 'A1.3.2'!$B$27:$AY$106,37,)) * $CR$5)</f>
        <v>34.223927099693753</v>
      </c>
      <c r="AV79" s="1565">
        <f>IF(ISERROR(MATCH($B79,'A1.3.2'!$B$27:$B$106,0)),"",VLOOKUP($B79,'Forecast occupancies'!$C$28:$CP$64,46,TRUE) * ('VoT5'!$J$29*VLOOKUP($B79, 'A1.3.2'!$B$27:$AY$106,49,)+'VoT5'!$J$30*VLOOKUP($B79, 'A1.3.2'!$B$27:$AY$106,50,))/('VoT5'!$J$29+'VoT5'!$J$30) * $CR$5)</f>
        <v>20.890987701044992</v>
      </c>
      <c r="AW79" s="1566">
        <f>IF(ISERROR(MATCH($B79,'A1.3.2'!$B$27:$B$106,0)),"",(AU79*'VoT5'!$G$31 + AV79*'VoT5'!$G$32)/100)</f>
        <v>32.623974371855901</v>
      </c>
      <c r="AX79" s="1566">
        <f>IF(ISERROR(MATCH($B79,'A1.3.2'!$B$27:$B$106,0)),"",(VLOOKUP($B79,'Forecast occupancies'!$C$28:$CP$64,48,TRUE)*VLOOKUP($B79,'A1.3.2'!$B$27:$AY$106,38,)) * $CR$5)</f>
        <v>33.603354347500222</v>
      </c>
      <c r="AY79" s="1566">
        <f>IF(ISERROR(MATCH($B79,'A1.3.2'!$B$27:$B$106,0)),"",(VLOOKUP($B79,'Forecast occupancies'!$C$28:$CP$64,49,TRUE)*VLOOKUP($B79,'A1.3.2'!$B$27:$AY$106,38,)) * $CR$5)</f>
        <v>33.603354347500222</v>
      </c>
      <c r="AZ79" s="1565">
        <f>IF(ISERROR(MATCH($B79,'A1.3.2'!$B$27:$B$106,0)),"",(((VLOOKUP($B79,'Forecast occupancies'!$C$28:$CP$64,50,TRUE) -1) * VLOOKUP($B79,'A1.3.2'!$B$27:$AY$106,40,)) + VLOOKUP($B79,'A1.3.2'!$B$27:$AY$106,39,)) * $CR$5)</f>
        <v>40.84839609519608</v>
      </c>
      <c r="BA79" s="1565">
        <f>IF(ISERROR(MATCH($B79,'A1.3.2'!$B$27:$B$106,0)),"",(VLOOKUP($B79,'Forecast occupancies'!$C$28:$CP$64,51,TRUE) * VLOOKUP($B79,'A1.3.2'!$B$27:$AY$106,49,)) * $CR$5)</f>
        <v>100.77264713477437</v>
      </c>
      <c r="BB79" s="1565">
        <f>IF(ISERROR(MATCH($B79,'A1.3.2'!$B$27:$B$106,0)),"",(VLOOKUP($B79,'Forecast occupancies'!$C$28:$CP$64,52,TRUE) * VLOOKUP($B79,'A1.3.2'!$B$27:$AY$106,50,)) * $CR$5)</f>
        <v>80.82402924229082</v>
      </c>
      <c r="BC79" s="1567">
        <f>IF(ISERROR(MATCH($B79,'A1.3.2'!$B$27:$B$106,0)),"",SUM(AZ79:BB79))</f>
        <v>222.44507247226124</v>
      </c>
      <c r="BD79" s="1565">
        <f>IF(ISERROR(MATCH($B79,'A1.3.2'!$B$27:$B$106,0)),"",(((VLOOKUP($B79,'Forecast occupancies'!$C$28:$CP$64,54,TRUE)-1)*VLOOKUP($B79,'A1.3.2'!$B$27:$AY$106,36,)+VLOOKUP($B79,'A1.3.2'!$B$27:$AY$106,35,))*$CR$5))</f>
        <v>47.590546370948296</v>
      </c>
      <c r="BE79" s="1565">
        <f>IF(ISERROR(MATCH($B79,'A1.3.2'!$B$27:$B$106,0)),"",VLOOKUP($B79,'Forecast occupancies'!$C$28:$CP$64,55,TRUE)*VLOOKUP($B79,'A1.3.2'!$B$27:$AY$106,49,)*$CR$5)</f>
        <v>26.572268175197671</v>
      </c>
      <c r="BF79" s="1565">
        <f>IF(ISERROR(MATCH($B79,'A1.3.2'!$B$27:$B$106,0)),"",VLOOKUP($B79,'Forecast occupancies'!$C$28:$CP$64,56,TRUE)*VLOOKUP($B79,'A1.3.2'!$B$27:$AY$106,50,)*$CR$5)</f>
        <v>19.046564030009645</v>
      </c>
      <c r="BG79" s="1566">
        <f>IF(ISERROR(MATCH($B79,'A1.3.2'!$B$27:$B$106,0)),"",(((BD79*'VoT5'!$H$28)+(BE79*'VoT5'!$H$29)+(BF79*'VoT5'!$H$30))/100))</f>
        <v>25.63398364553008</v>
      </c>
      <c r="BH79" s="1565">
        <f>IF(ISERROR(MATCH($B79,'A1.3.2'!$B$27:$B$106,0)),"",(VLOOKUP($B79,'Forecast occupancies'!$C$28:$CP$64,58,TRUE) * VLOOKUP($B79, 'A1.3.2'!$B$27:$AY$106,37,)) * $CR$5)</f>
        <v>34.223927099693753</v>
      </c>
      <c r="BI79" s="1565">
        <f>IF(ISERROR(MATCH($B79,'A1.3.2'!$B$27:$B$106,0)),"",(VLOOKUP($B79,'Forecast occupancies'!$C$28:$CP$64,59,TRUE) * (VLOOKUP($B79,'A1.3.2'!$B$27:$AY$106,49,) * 'VoT5'!$J$29 + VLOOKUP($B79,'A1.3.2'!$B$27:$AY$106,50,) * 'VoT5'!$J$30) / (SUM('VoT5'!$J$29:$J$30))) * $CR$5)</f>
        <v>20.890987701044992</v>
      </c>
      <c r="BJ79" s="1566">
        <f>IF(ISERROR(MATCH($B79,'A1.3.2'!$B$27:$B$106,0)),"",(BH79*'VoT5'!$H$31 + BI79*'VoT5'!$H$32)/100)</f>
        <v>32.623974371855901</v>
      </c>
      <c r="BK79" s="1566">
        <f>IF(ISERROR(MATCH($B79,'A1.3.2'!$B$27:$B$106,0)),"",(VLOOKUP($B79,'Forecast occupancies'!$C$28:$CP$64,61,TRUE)*VLOOKUP($B79,'A1.3.2'!$B$27:$AY$106,38,)) * $CR$5)</f>
        <v>33.603354347500222</v>
      </c>
      <c r="BL79" s="1566">
        <f>IF(ISERROR(MATCH($B79,'A1.3.2'!$B$27:$B$106,0)),"",(VLOOKUP($B79,'Forecast occupancies'!$C$28:$CP$64,62,TRUE)*VLOOKUP($B79,'A1.3.2'!$B$27:$AY$106,38,)) * $CR$5)</f>
        <v>33.603354347500222</v>
      </c>
      <c r="BM79" s="1565">
        <f>IF(ISERROR(MATCH($B79,'A1.3.2'!$B$27:$B$106,0)),"",(((VLOOKUP($B79,'Forecast occupancies'!$C$28:$CP$64,63,TRUE) -1) * VLOOKUP($B79,'A1.3.2'!$B$27:$AY$106,40,)) + VLOOKUP($B79,'A1.3.2'!$B$27:$AY$106,39,)) * $CR$5)</f>
        <v>39.385666544023202</v>
      </c>
      <c r="BN79" s="1565">
        <f>IF(ISERROR(MATCH($B79,'A1.3.2'!$B$27:$B$106,0)),"",(VLOOKUP($B79,'Forecast occupancies'!$C$28:$CP$64,64,TRUE) * VLOOKUP($B79,'A1.3.2'!$B$27:$AY$106,49,)) * $CR$5)</f>
        <v>45.492148962370578</v>
      </c>
      <c r="BO79" s="1565">
        <f>IF(ISERROR(MATCH($B79,'A1.3.2'!$B$27:$B$106,0)),"",(VLOOKUP($B79,'Forecast occupancies'!$C$28:$CP$64,65,TRUE) * VLOOKUP($B79,'A1.3.2'!$B$27:$AY$106,50,)) * $CR$5)</f>
        <v>106.71861631145657</v>
      </c>
      <c r="BP79" s="1567">
        <f>IF(ISERROR(MATCH($B79,'A1.3.2'!$B$27:$B$106,0)),"",SUM(BM79:BO79))</f>
        <v>191.59643181785034</v>
      </c>
      <c r="BQ79" s="1565">
        <f>IF(ISERROR(MATCH($B79,'A1.3.2'!$B$27:$B$106,0)),"",(((VLOOKUP($B79,'Forecast occupancies'!$C$28:$CP$64,67,TRUE)-1)*VLOOKUP($B79,'A1.3.2'!$B$27:$AY$106,36,)+VLOOKUP($B79,'A1.3.2'!$B$27:$AY$106,35,))*$CR$5))</f>
        <v>54.390036927454368</v>
      </c>
      <c r="BR79" s="1565">
        <f>IF(ISERROR(MATCH($B79,'A1.3.2'!$B$27:$B$106,0)),"",VLOOKUP($B79,'Forecast occupancies'!$C$28:$CP$64,68,TRUE)*VLOOKUP($B79,'A1.3.2'!$B$27:$AY$106,49,)*$CR$5)</f>
        <v>28.133440272413896</v>
      </c>
      <c r="BS79" s="1565">
        <f>IF(ISERROR(MATCH($B79,'A1.3.2'!$B$27:$B$106,0)),"",VLOOKUP($B79,'Forecast occupancies'!$C$28:$CP$64,69,TRUE)*VLOOKUP($B79,'A1.3.2'!$B$27:$AY$106,50,)*$CR$5)</f>
        <v>22.551590952654234</v>
      </c>
      <c r="BT79" s="1566">
        <f>IF(ISERROR(MATCH($B79,'A1.3.2'!$B$27:$B$106,0)),"",(((BQ79*'VoT5'!$I$28)+(BR79*'VoT5'!$I$29)+(BS79*'VoT5'!$I$30))/100))</f>
        <v>24.097797136540994</v>
      </c>
      <c r="BU79" s="1565">
        <f>IF(ISERROR(MATCH($B79,'A1.3.2'!$B$27:$B$106,0)),"",(VLOOKUP($B79,'Forecast occupancies'!$C$28:$CP$64,71,TRUE) * VLOOKUP($B79, 'A1.3.2'!$B$27:$AY$106,37,)) * $CR$5)</f>
        <v>35.93512345467844</v>
      </c>
      <c r="BV79" s="1565">
        <f>IF(ISERROR(MATCH($B79,'A1.3.2'!$B$27:$B$106,0)),"",(VLOOKUP($B79,'Forecast occupancies'!$C$28:$CP$64,72,TRUE) * (VLOOKUP($B79,'A1.3.2'!$B$27:$AY$106,49,)*'VoT5'!$J$29 + VLOOKUP($B79,'A1.3.2'!$B$27:$AY$106,50,)*'VoT5'!$J$30) / (SUM('VoT5'!$J$29:$J$30))) * $CR$5)</f>
        <v>29.04705824186393</v>
      </c>
      <c r="BW79" s="1566">
        <f>IF(ISERROR(MATCH($B79,'A1.3.2'!$B$27:$B$106,0)),"",(BU79*'VoT5'!$I$31 + BV79*'VoT5'!$I$32)/100)</f>
        <v>35.108555629140696</v>
      </c>
      <c r="BX79" s="1566">
        <f>IF(ISERROR(MATCH($B79,'A1.3.2'!$B$27:$B$106,0)),"",(VLOOKUP($B79,'Forecast occupancies'!$C$28:$CP$64,74,TRUE)*VLOOKUP($B79,'A1.3.2'!$B$27:$AY$106,38,)) * $CR$5)</f>
        <v>33.603354347500222</v>
      </c>
      <c r="BY79" s="1566">
        <f>IF(ISERROR(MATCH($B79,'A1.3.2'!$B$27:$B$106,0)),"",(VLOOKUP($B79,'Forecast occupancies'!$C$28:$CP$64,75,TRUE)*VLOOKUP($B79,'A1.3.2'!$B$27:$AY$106,38,)) * $CR$5)</f>
        <v>33.603354347500222</v>
      </c>
      <c r="BZ79" s="1565">
        <f>IF(ISERROR(MATCH($B79,'A1.3.2'!$B$27:$B$106,0)),"",(((VLOOKUP($B79,'Forecast occupancies'!$C$28:$CP$64,76,TRUE) -1) * VLOOKUP($B79,'A1.3.2'!$B$27:$AY$106,40,)) + VLOOKUP($B79,'A1.3.2'!$B$27:$AY$106,39,)) * $CR$5)</f>
        <v>35.869877197445824</v>
      </c>
      <c r="CA79" s="1565">
        <f>IF(ISERROR(MATCH($B79,'A1.3.2'!$B$27:$B$106,0)),"",(VLOOKUP($B79,'Forecast occupancies'!$C$28:$CP$64,77,TRUE) * VLOOKUP($B79,'A1.3.2'!$B$27:$AY$106,49,)) * $CR$5)</f>
        <v>17.234181454775506</v>
      </c>
      <c r="CB79" s="1565">
        <f>IF(ISERROR(MATCH($B79,'A1.3.2'!$B$27:$B$106,0)),"",(VLOOKUP($B79,'Forecast occupancies'!$C$28:$CP$64,78,TRUE) * VLOOKUP($B79,'A1.3.2'!$B$27:$AY$106,50,)) * $CR$5)</f>
        <v>121.20975570868183</v>
      </c>
      <c r="CC79" s="1567">
        <f>IF(ISERROR(MATCH($B79,'A1.3.2'!$B$27:$B$106,0)),"",SUM(BZ79:CB79))</f>
        <v>174.31381436090317</v>
      </c>
      <c r="CD79" s="1565">
        <f>IF(ISERROR(MATCH($B79,'A1.3.2'!$B$27:$B$106,0)),"",(((VLOOKUP($B79,'Forecast occupancies'!$C$28:$CP$64,80,TRUE)-1)*VLOOKUP($B79,'A1.3.2'!$B$27:$AY$106,36,)+VLOOKUP($B79,'A1.3.2'!$B$27:$AY$106,35,))*$CR$5))</f>
        <v>48.073193231626</v>
      </c>
      <c r="CE79" s="1565">
        <f>IF(ISERROR(MATCH($B79,'A1.3.2'!$B$27:$B$106,0)),"",VLOOKUP($B79,'Forecast occupancies'!$C$28:$CP$64,81,TRUE)*VLOOKUP($B79,'A1.3.2'!$B$27:$AY$106,49,)*$CR$5)</f>
        <v>26.69856802694239</v>
      </c>
      <c r="CF79" s="1565">
        <f>IF(ISERROR(MATCH($B79,'A1.3.2'!$B$27:$B$106,0)),"",VLOOKUP($B79,'Forecast occupancies'!$C$28:$CP$64,82,TRUE)*VLOOKUP($B79,'A1.3.2'!$B$27:$AY$106,50,)*$CR$5)</f>
        <v>20.283377355791703</v>
      </c>
      <c r="CG79" s="1566">
        <f>IF(ISERROR(MATCH($B79,'A1.3.2'!$B$27:$B$106,0)),"",(((CD79*'VoT5'!$J$28)+(CE79*'VoT5'!$J$29)+(CF79*'VoT5'!$J$30))/100))</f>
        <v>25.269761119706963</v>
      </c>
      <c r="CH79" s="1565">
        <f>IF(ISERROR(MATCH($B79,'A1.3.2'!$B$27:$B$106,0)),"",(VLOOKUP($B79,'Forecast occupancies'!$C$28:$CP$64,84,TRUE) * VLOOKUP($B79, 'A1.3.2'!$B$27:$AY$106,37,)) * $CR$5)</f>
        <v>34.223927099693753</v>
      </c>
      <c r="CI79" s="1565">
        <f>IF(ISERROR(MATCH($B79,'A1.3.2'!$B$27:$B$106,0)),"",(VLOOKUP($B79,'Forecast occupancies'!$C$28:$CP$64,85,TRUE) * (VLOOKUP($B79,'A1.3.2'!$B$27:$AY$106,49,)*'VoT5'!$J$29 + VLOOKUP($B79,'A1.3.2'!$B$27:$AY$106,50,)*'VoT5'!$J$30) / (SUM('VoT5'!$J$29:$J$30))) * $CR$5)</f>
        <v>22.751144140179139</v>
      </c>
      <c r="CJ79" s="1566">
        <f>IF(ISERROR(MATCH($B79,'A1.3.2'!$B$27:$B$106,0)),"",(CH79*'VoT5'!$J$31 + CI79*'VoT5'!$J$32)/100)</f>
        <v>32.847193144552001</v>
      </c>
      <c r="CK79" s="1566">
        <f>IF(ISERROR(MATCH($B79,'A1.3.2'!$B$27:$B$106,0)),"",(VLOOKUP($B79,'Forecast occupancies'!$C$28:$CP$64,87,TRUE)*VLOOKUP($B79,'A1.3.2'!$B$27:$AY$106,38,)) * $CR$5)</f>
        <v>33.603354347500222</v>
      </c>
      <c r="CL79" s="1566">
        <f>IF(ISERROR(MATCH($B79,'A1.3.2'!$B$27:$B$106,0)),"",(VLOOKUP($B79,'Forecast occupancies'!$C$28:$CP$64,88,TRUE)*VLOOKUP($B79,'A1.3.2'!$B$27:$AY$106,38,)) * $CR$5)</f>
        <v>33.603354347500222</v>
      </c>
      <c r="CM79" s="1565">
        <f>IF(ISERROR(MATCH($B79,'A1.3.2'!$B$27:$B$106,0)),"",(((VLOOKUP($B79,'Forecast occupancies'!$C$28:$CP$64,89,TRUE) -1) * VLOOKUP($B79,'A1.3.2'!$B$27:$AY$106,40,)) + VLOOKUP($B79,'A1.3.2'!$B$27:$AY$106,39,)) * $CR$5)</f>
        <v>38.517474357645007</v>
      </c>
      <c r="CN79" s="1565">
        <f>IF(ISERROR(MATCH($B79,'A1.3.2'!$B$27:$B$106,0)),"",(VLOOKUP($B79,'Forecast occupancies'!$C$28:$CP$64,90,TRUE) * VLOOKUP($B79,'A1.3.2'!$B$27:$AY$106,49,)) * $CR$5)</f>
        <v>38.512756281978746</v>
      </c>
      <c r="CO79" s="1565">
        <f>IF(ISERROR(MATCH($B79,'A1.3.2'!$B$27:$B$106,0)),"",(VLOOKUP($B79,'Forecast occupancies'!$C$28:$CP$64,91,TRUE) * VLOOKUP($B79,'A1.3.2'!$B$27:$AY$106,50,)) * $CR$5)</f>
        <v>110.29768510177283</v>
      </c>
      <c r="CP79" s="1567">
        <f>IF(ISERROR(MATCH($B79,'A1.3.2'!$B$27:$B$106,0)),"",SUM(CM79:CO79))</f>
        <v>187.32791574139657</v>
      </c>
    </row>
    <row r="80" spans="1:94" ht="13.5" customHeight="1">
      <c r="A80" s="113"/>
      <c r="B80" s="82">
        <f t="shared" si="0"/>
        <v>2062</v>
      </c>
      <c r="C80" s="26"/>
      <c r="D80" s="1609">
        <f>IF(ISERROR(MATCH($B80,'A1.3.2'!$B$27:$B$106,0)),"",(((VLOOKUP($B80,'Forecast occupancies'!$C$28:$CP$64,2,TRUE) -1) * VLOOKUP($B80,'A1.3.2'!$B$27:$AY$106,36,) + VLOOKUP($B80,'A1.3.2'!$B$27:$AY$106,35,)) * $CR$5))</f>
        <v>47.777233472552759</v>
      </c>
      <c r="E80" s="1565">
        <f>IF(ISERROR(MATCH($B80,'A1.3.2'!$B$27:$B$106,0)),"",VLOOKUP($B80,'Forecast occupancies'!$C$28:$CP$64,3,TRUE)*VLOOKUP($B80,'A1.3.2'!$B$27:$AY$106,49,)*$CR$5)</f>
        <v>26.924903882755142</v>
      </c>
      <c r="F80" s="1565">
        <f>IF(ISERROR(MATCH($B80,'A1.3.2'!$B$27:$B$106,0)),"",VLOOKUP($B80,'Forecast occupancies'!$C$28:$CP$64,4,TRUE)*VLOOKUP($B80,'A1.3.2'!$B$27:$AY$106,50,)*$CR$5)</f>
        <v>18.576097722945352</v>
      </c>
      <c r="G80" s="1566">
        <f>IF(ISERROR(MATCH($B80,'A1.3.2'!$B$27:$B$106,0)),"",(((D80*'VoT5'!$D$28)+(E80*'VoT5'!$D$29)+(F80*'VoT5'!$D$30))/100))</f>
        <v>27.061260181267372</v>
      </c>
      <c r="H80" s="1565">
        <f>IF(ISERROR(MATCH($B80,'A1.3.2'!$B$27:$B$106,0)),"",(VLOOKUP($B80,'Forecast occupancies'!$C$28:$CP$64,6,TRUE) * VLOOKUP($B80, 'A1.3.2'!$B$27:$AY$106,37,)) * $CR$5)</f>
        <v>34.916036292843302</v>
      </c>
      <c r="I80" s="1565">
        <f>IF(ISERROR(MATCH($B80,'A1.3.2'!$B$27:$B$106,0)),"",VLOOKUP($B80,'Forecast occupancies'!$C$28:$CP$64,7,TRUE) * ('VoT5'!$J$29*VLOOKUP($B80, 'A1.3.2'!$B$27:$AY$106,49,)+'VoT5'!$J$30*VLOOKUP($B80, 'A1.3.2'!$B$27:$AY$106,50,))/('VoT5'!$J$29+'VoT5'!$J$30) * $CR$5)</f>
        <v>21.313465361184608</v>
      </c>
      <c r="J80" s="1566">
        <f>IF(ISERROR(MATCH($B80,'A1.3.2'!$B$27:$B$106,0)),"",(H80*'VoT5'!$D$31 + I80*'VoT5'!$D$32)/100)</f>
        <v>33.283727781044263</v>
      </c>
      <c r="K80" s="1566">
        <f>IF(ISERROR(MATCH($B80,'A1.3.2'!$B$27:$B$106,0)),"",(VLOOKUP($B80,'Forecast occupancies'!$C$28:$CP$64,9,TRUE)*VLOOKUP($B80,'A1.3.2'!$B$27:$AY$106,38,)) * $CR$5)</f>
        <v>34.282913721175227</v>
      </c>
      <c r="L80" s="1566">
        <f>IF(ISERROR(MATCH($B80,'A1.3.2'!$B$27:$B$106,0)),"",(VLOOKUP($B80,'Forecast occupancies'!$C$28:$CP$64,10,TRUE)*VLOOKUP($B80,'A1.3.2'!$B$27:$AY$106,38,)) * $CR$5)</f>
        <v>34.282913721175227</v>
      </c>
      <c r="M80" s="1565">
        <f>IF(ISERROR(MATCH($B80,'A1.3.2'!$B$27:$B$106,0)),"",(((VLOOKUP($B80,'Forecast occupancies'!$C$28:$CP$64,11,TRUE) -1) * VLOOKUP($B80,'A1.3.2'!$B$27:$AY$106,40,)) + VLOOKUP($B80,'A1.3.2'!$B$27:$AY$106,39,)) * $CR$5)</f>
        <v>39.065690141436548</v>
      </c>
      <c r="N80" s="1565">
        <f>IF(ISERROR(MATCH($B80,'A1.3.2'!$B$27:$B$106,0)),"",(VLOOKUP($B80,'Forecast occupancies'!$C$28:$CP$64,12,TRUE) * VLOOKUP($B80,'A1.3.2'!$B$27:$AY$106,49,)) * $CR$5)</f>
        <v>53.478007611356659</v>
      </c>
      <c r="O80" s="1565">
        <f>IF(ISERROR(MATCH($B80,'A1.3.2'!$B$27:$B$106,0)),"",(VLOOKUP($B80,'Forecast occupancies'!$C$28:$CP$64,13,TRUE) * VLOOKUP($B80,'A1.3.2'!$B$27:$AY$106,50,)) * $CR$5)</f>
        <v>106.15769111093381</v>
      </c>
      <c r="P80" s="1567">
        <f>IF(ISERROR(MATCH($B80,'A1.3.2'!$B$27:$B$106,0)),"",SUM(M80:O80))</f>
        <v>198.701388863727</v>
      </c>
      <c r="Q80" s="1609">
        <f>IF(ISERROR(MATCH($B80,'A1.3.2'!$B$27:$B$106,0)),"",(((VLOOKUP($B80,'Forecast occupancies'!$C$28:$CP$64,15,TRUE)-1)*VLOOKUP($B80,'A1.3.2'!$B$27:$AY$106,36,)+VLOOKUP($B80,'A1.3.2'!$B$27:$AY$106,35,))*$CR$5))</f>
        <v>48.95841139396493</v>
      </c>
      <c r="R80" s="1565">
        <f>IF(ISERROR(MATCH($B80,'A1.3.2'!$B$27:$B$106,0)),"",VLOOKUP($B80,'Forecast occupancies'!$C$28:$CP$64,16,TRUE)*VLOOKUP($B80,'A1.3.2'!$B$27:$AY$106,49,)*$CR$5)</f>
        <v>27.362705330644488</v>
      </c>
      <c r="S80" s="1565">
        <f>IF(ISERROR(MATCH($B80,'A1.3.2'!$B$27:$B$106,0)),"",VLOOKUP($B80,'Forecast occupancies'!$C$28:$CP$64,17,TRUE)*VLOOKUP($B80,'A1.3.2'!$B$27:$AY$106,50,)*$CR$5)</f>
        <v>19.787932122673315</v>
      </c>
      <c r="T80" s="1566">
        <f>IF(ISERROR(MATCH($B80,'A1.3.2'!$B$27:$B$106,0)),"",(((Q80*'VoT5'!$E$28)+(R80*'VoT5'!$E$29)+(S80*'VoT5'!$E$30))/100))</f>
        <v>25.486555529615849</v>
      </c>
      <c r="U80" s="1565">
        <f>IF(ISERROR(MATCH($B80,'A1.3.2'!$B$27:$B$106,0)),"",(VLOOKUP($B80,'Forecast occupancies'!$C$28:$CP$64,19,TRUE) * VLOOKUP($B80, 'A1.3.2'!$B$27:$AY$106,37,)) * $CR$5)</f>
        <v>34.916036292843302</v>
      </c>
      <c r="V80" s="1565">
        <f>IF(ISERROR(MATCH($B80,'A1.3.2'!$B$27:$B$106,0)),"",VLOOKUP($B80,'Forecast occupancies'!$C$28:$CP$64,20,TRUE) * ('VoT5'!$J$29*VLOOKUP($B80, 'A1.3.2'!$B$27:$AY$106,49,)+'VoT5'!$J$30*VLOOKUP($B80, 'A1.3.2'!$B$27:$AY$106,50,))/('VoT5'!$J$29+'VoT5'!$J$30) * $CR$5)</f>
        <v>21.313465361184608</v>
      </c>
      <c r="W80" s="1566">
        <f>IF(ISERROR(MATCH($B80,'A1.3.2'!$B$27:$B$106,0)),"",(U80*'VoT5'!$E$31 + V80*'VoT5'!$E$32)/100)</f>
        <v>33.283727781044263</v>
      </c>
      <c r="X80" s="1566">
        <f>IF(ISERROR(MATCH($B80,'A1.3.2'!$B$27:$B$106,0)),"",(VLOOKUP($B80,'Forecast occupancies'!$C$28:$CP$64,22,TRUE)*VLOOKUP($B80,'A1.3.2'!$B$27:$AY$106,38,)) * $CR$5)</f>
        <v>34.282913721175227</v>
      </c>
      <c r="Y80" s="1566">
        <f>IF(ISERROR(MATCH($B80,'A1.3.2'!$B$27:$B$106,0)),"",(VLOOKUP($B80,'Forecast occupancies'!$C$28:$CP$64,23,TRUE)*VLOOKUP($B80,'A1.3.2'!$B$27:$AY$106,38,)) * $CR$5)</f>
        <v>34.282913721175227</v>
      </c>
      <c r="Z80" s="1565">
        <f>IF(ISERROR(MATCH($B80,'A1.3.2'!$B$27:$B$106,0)),"",(((VLOOKUP($B80,'Forecast occupancies'!$C$28:$CP$64,24,TRUE) -1) * VLOOKUP($B80,'A1.3.2'!$B$27:$AY$106,40,)) + VLOOKUP($B80,'A1.3.2'!$B$27:$AY$106,39,)) * $CR$5)</f>
        <v>39.863055617399411</v>
      </c>
      <c r="AA80" s="1565">
        <f>IF(ISERROR(MATCH($B80,'A1.3.2'!$B$27:$B$106,0)),"",(VLOOKUP($B80,'Forecast occupancies'!$C$28:$CP$64,25,TRUE) * VLOOKUP($B80,'A1.3.2'!$B$27:$AY$106,49,)) * $CR$5)</f>
        <v>18.742339916794069</v>
      </c>
      <c r="AB80" s="1565">
        <f>IF(ISERROR(MATCH($B80,'A1.3.2'!$B$27:$B$106,0)),"",(VLOOKUP($B80,'Forecast occupancies'!$C$28:$CP$64,26,TRUE) * VLOOKUP($B80,'A1.3.2'!$B$27:$AY$106,50,)) * $CR$5)</f>
        <v>121.65072640022574</v>
      </c>
      <c r="AC80" s="1567">
        <f>IF(ISERROR(MATCH($B80,'A1.3.2'!$B$27:$B$106,0)),"",SUM(Z80:AB80))</f>
        <v>180.25612193441921</v>
      </c>
      <c r="AD80" s="1609">
        <f>IF(ISERROR(MATCH($B80,'A1.3.2'!$B$27:$B$106,0)),"",(((VLOOKUP($B80,'Forecast occupancies'!$C$28:$CP$64,28,TRUE)-1)*VLOOKUP($B80,'A1.3.2'!$B$27:$AY$106,36,)+VLOOKUP($B80,'A1.3.2'!$B$27:$AY$106,35,))*$CR$5))</f>
        <v>48.466731841869262</v>
      </c>
      <c r="AE80" s="1565">
        <f>IF(ISERROR(MATCH($B80,'A1.3.2'!$B$27:$B$106,0)),"",VLOOKUP($B80,'Forecast occupancies'!$C$28:$CP$64,29,TRUE)*VLOOKUP($B80,'A1.3.2'!$B$27:$AY$106,49,)*$CR$5)</f>
        <v>27.017777488636209</v>
      </c>
      <c r="AF80" s="1565">
        <f>IF(ISERROR(MATCH($B80,'A1.3.2'!$B$27:$B$106,0)),"",VLOOKUP($B80,'Forecast occupancies'!$C$28:$CP$64,30,TRUE)*VLOOKUP($B80,'A1.3.2'!$B$27:$AY$106,50,)*$CR$5)</f>
        <v>19.453032161403645</v>
      </c>
      <c r="AG80" s="1566">
        <f>IF(ISERROR(MATCH($B80,'A1.3.2'!$B$27:$B$106,0)),"",(((AD80*'VoT5'!$F$28)+(AE80*'VoT5'!$F$29)+(AF80*'VoT5'!$F$30))/100))</f>
        <v>26.000315643452009</v>
      </c>
      <c r="AH80" s="1565">
        <f>IF(ISERROR(MATCH($B80,'A1.3.2'!$B$27:$B$106,0)),"",(VLOOKUP($B80,'Forecast occupancies'!$C$28:$CP$64,32,TRUE) * VLOOKUP($B80, 'A1.3.2'!$B$27:$AY$106,37,)) * $CR$5)</f>
        <v>34.916036292843302</v>
      </c>
      <c r="AI80" s="1565">
        <f>IF(ISERROR(MATCH($B80,'A1.3.2'!$B$27:$B$106,0)),"",VLOOKUP($B80,'Forecast occupancies'!$C$28:$CP$64,33,TRUE) * ('VoT5'!$J$29*VLOOKUP($B80, 'A1.3.2'!$B$27:$AY$106,49,)+'VoT5'!$J$30*VLOOKUP($B80, 'A1.3.2'!$B$27:$AY$106,50,))/('VoT5'!$J$29+'VoT5'!$J$30) * $CR$5)</f>
        <v>21.313465361184608</v>
      </c>
      <c r="AJ80" s="1566">
        <f>IF(ISERROR(MATCH($B80,'A1.3.2'!$B$27:$B$106,0)),"",(AH80*'VoT5'!$F$31 + AI80*'VoT5'!$F$32)/100)</f>
        <v>33.283727781044263</v>
      </c>
      <c r="AK80" s="1566">
        <f>IF(ISERROR(MATCH($B80,'A1.3.2'!$B$27:$B$106,0)),"",(VLOOKUP($B80,'Forecast occupancies'!$C$28:$CP$64,35,TRUE)*VLOOKUP($B80,'A1.3.2'!$B$27:$AY$106,38,)) * $CR$5)</f>
        <v>34.282913721175227</v>
      </c>
      <c r="AL80" s="1566">
        <f>IF(ISERROR(MATCH($B80,'A1.3.2'!$B$27:$B$106,0)),"",(VLOOKUP($B80,'Forecast occupancies'!$C$28:$CP$64,36,TRUE)*VLOOKUP($B80,'A1.3.2'!$B$27:$AY$106,38,)) * $CR$5)</f>
        <v>34.282913721175227</v>
      </c>
      <c r="AM80" s="1565">
        <f>IF(ISERROR(MATCH($B80,'A1.3.2'!$B$27:$B$106,0)),"",(((VLOOKUP($B80,'Forecast occupancies'!$C$28:$CP$64,37,TRUE) -1) * VLOOKUP($B80,'A1.3.2'!$B$27:$AY$106,40,)) + VLOOKUP($B80,'A1.3.2'!$B$27:$AY$106,39,)) * $CR$5)</f>
        <v>41.70819997776298</v>
      </c>
      <c r="AN80" s="1565">
        <f>IF(ISERROR(MATCH($B80,'A1.3.2'!$B$27:$B$106,0)),"",(VLOOKUP($B80,'Forecast occupancies'!$C$28:$CP$64,38,TRUE) * VLOOKUP($B80,'A1.3.2'!$B$27:$AY$106,49,)) * $CR$5)</f>
        <v>75.210268312708322</v>
      </c>
      <c r="AO80" s="1565">
        <f>IF(ISERROR(MATCH($B80,'A1.3.2'!$B$27:$B$106,0)),"",(VLOOKUP($B80,'Forecast occupancies'!$C$28:$CP$64,39,TRUE) * VLOOKUP($B80,'A1.3.2'!$B$27:$AY$106,50,)) * $CR$5)</f>
        <v>95.040850230017924</v>
      </c>
      <c r="AP80" s="1567">
        <f>IF(ISERROR(MATCH($B80,'A1.3.2'!$B$27:$B$106,0)),"",SUM(AM80:AO80))</f>
        <v>211.95931852048923</v>
      </c>
      <c r="AQ80" s="1609">
        <f>IF(ISERROR(MATCH($B80,'A1.3.2'!$B$27:$B$106,0)),"",(((VLOOKUP($B80,'Forecast occupancies'!$C$28:$CP$64,41,TRUE)-1)*VLOOKUP($B80,'A1.3.2'!$B$27:$AY$106,36,)+VLOOKUP($B80,'A1.3.2'!$B$27:$AY$106,35,))*$CR$5))</f>
        <v>49.383752562374951</v>
      </c>
      <c r="AR80" s="1565">
        <f>IF(ISERROR(MATCH($B80,'A1.3.2'!$B$27:$B$106,0)),"",VLOOKUP($B80,'Forecast occupancies'!$C$28:$CP$64,42,TRUE)*VLOOKUP($B80,'A1.3.2'!$B$27:$AY$106,49,)*$CR$5)</f>
        <v>27.41320839361623</v>
      </c>
      <c r="AS80" s="1565">
        <f>IF(ISERROR(MATCH($B80,'A1.3.2'!$B$27:$B$106,0)),"",VLOOKUP($B80,'Forecast occupancies'!$C$28:$CP$64,43,TRUE)*VLOOKUP($B80,'A1.3.2'!$B$27:$AY$106,50,)*$CR$5)</f>
        <v>19.383580570920145</v>
      </c>
      <c r="AT80" s="1566">
        <f>IF(ISERROR(MATCH($B80,'A1.3.2'!$B$27:$B$106,0)),"",(((AQ80*'VoT5'!$G$28)+(AR80*'VoT5'!$G$29)+(AS80*'VoT5'!$G$30))/100))</f>
        <v>26.342084588809165</v>
      </c>
      <c r="AU80" s="1565">
        <f>IF(ISERROR(MATCH($B80,'A1.3.2'!$B$27:$B$106,0)),"",(VLOOKUP($B80,'Forecast occupancies'!$C$28:$CP$64,45,TRUE) * VLOOKUP($B80, 'A1.3.2'!$B$27:$AY$106,37,)) * $CR$5)</f>
        <v>34.916036292843302</v>
      </c>
      <c r="AV80" s="1565">
        <f>IF(ISERROR(MATCH($B80,'A1.3.2'!$B$27:$B$106,0)),"",VLOOKUP($B80,'Forecast occupancies'!$C$28:$CP$64,46,TRUE) * ('VoT5'!$J$29*VLOOKUP($B80, 'A1.3.2'!$B$27:$AY$106,49,)+'VoT5'!$J$30*VLOOKUP($B80, 'A1.3.2'!$B$27:$AY$106,50,))/('VoT5'!$J$29+'VoT5'!$J$30) * $CR$5)</f>
        <v>21.313465361184608</v>
      </c>
      <c r="AW80" s="1566">
        <f>IF(ISERROR(MATCH($B80,'A1.3.2'!$B$27:$B$106,0)),"",(AU80*'VoT5'!$G$31 + AV80*'VoT5'!$G$32)/100)</f>
        <v>33.283727781044263</v>
      </c>
      <c r="AX80" s="1566">
        <f>IF(ISERROR(MATCH($B80,'A1.3.2'!$B$27:$B$106,0)),"",(VLOOKUP($B80,'Forecast occupancies'!$C$28:$CP$64,48,TRUE)*VLOOKUP($B80,'A1.3.2'!$B$27:$AY$106,38,)) * $CR$5)</f>
        <v>34.282913721175227</v>
      </c>
      <c r="AY80" s="1566">
        <f>IF(ISERROR(MATCH($B80,'A1.3.2'!$B$27:$B$106,0)),"",(VLOOKUP($B80,'Forecast occupancies'!$C$28:$CP$64,49,TRUE)*VLOOKUP($B80,'A1.3.2'!$B$27:$AY$106,38,)) * $CR$5)</f>
        <v>34.282913721175227</v>
      </c>
      <c r="AZ80" s="1565">
        <f>IF(ISERROR(MATCH($B80,'A1.3.2'!$B$27:$B$106,0)),"",(((VLOOKUP($B80,'Forecast occupancies'!$C$28:$CP$64,50,TRUE) -1) * VLOOKUP($B80,'A1.3.2'!$B$27:$AY$106,40,)) + VLOOKUP($B80,'A1.3.2'!$B$27:$AY$106,39,)) * $CR$5)</f>
        <v>41.67447167619369</v>
      </c>
      <c r="BA80" s="1565">
        <f>IF(ISERROR(MATCH($B80,'A1.3.2'!$B$27:$B$106,0)),"",(VLOOKUP($B80,'Forecast occupancies'!$C$28:$CP$64,51,TRUE) * VLOOKUP($B80,'A1.3.2'!$B$27:$AY$106,49,)) * $CR$5)</f>
        <v>102.81056859530185</v>
      </c>
      <c r="BB80" s="1565">
        <f>IF(ISERROR(MATCH($B80,'A1.3.2'!$B$27:$B$106,0)),"",(VLOOKUP($B80,'Forecast occupancies'!$C$28:$CP$64,52,TRUE) * VLOOKUP($B80,'A1.3.2'!$B$27:$AY$106,50,)) * $CR$5)</f>
        <v>82.458530551945543</v>
      </c>
      <c r="BC80" s="1567">
        <f>IF(ISERROR(MATCH($B80,'A1.3.2'!$B$27:$B$106,0)),"",SUM(AZ80:BB80))</f>
        <v>226.94357082344106</v>
      </c>
      <c r="BD80" s="1565">
        <f>IF(ISERROR(MATCH($B80,'A1.3.2'!$B$27:$B$106,0)),"",(((VLOOKUP($B80,'Forecast occupancies'!$C$28:$CP$64,54,TRUE)-1)*VLOOKUP($B80,'A1.3.2'!$B$27:$AY$106,36,)+VLOOKUP($B80,'A1.3.2'!$B$27:$AY$106,35,))*$CR$5))</f>
        <v>48.552968203907298</v>
      </c>
      <c r="BE80" s="1565">
        <f>IF(ISERROR(MATCH($B80,'A1.3.2'!$B$27:$B$106,0)),"",VLOOKUP($B80,'Forecast occupancies'!$C$28:$CP$64,55,TRUE)*VLOOKUP($B80,'A1.3.2'!$B$27:$AY$106,49,)*$CR$5)</f>
        <v>27.109638157120472</v>
      </c>
      <c r="BF80" s="1565">
        <f>IF(ISERROR(MATCH($B80,'A1.3.2'!$B$27:$B$106,0)),"",VLOOKUP($B80,'Forecast occupancies'!$C$28:$CP$64,56,TRUE)*VLOOKUP($B80,'A1.3.2'!$B$27:$AY$106,50,)*$CR$5)</f>
        <v>19.431741979479945</v>
      </c>
      <c r="BG80" s="1566">
        <f>IF(ISERROR(MATCH($B80,'A1.3.2'!$B$27:$B$106,0)),"",(((BD80*'VoT5'!$H$28)+(BE80*'VoT5'!$H$29)+(BF80*'VoT5'!$H$30))/100))</f>
        <v>26.15237873462771</v>
      </c>
      <c r="BH80" s="1565">
        <f>IF(ISERROR(MATCH($B80,'A1.3.2'!$B$27:$B$106,0)),"",(VLOOKUP($B80,'Forecast occupancies'!$C$28:$CP$64,58,TRUE) * VLOOKUP($B80, 'A1.3.2'!$B$27:$AY$106,37,)) * $CR$5)</f>
        <v>34.916036292843302</v>
      </c>
      <c r="BI80" s="1565">
        <f>IF(ISERROR(MATCH($B80,'A1.3.2'!$B$27:$B$106,0)),"",(VLOOKUP($B80,'Forecast occupancies'!$C$28:$CP$64,59,TRUE) * (VLOOKUP($B80,'A1.3.2'!$B$27:$AY$106,49,) * 'VoT5'!$J$29 + VLOOKUP($B80,'A1.3.2'!$B$27:$AY$106,50,) * 'VoT5'!$J$30) / (SUM('VoT5'!$J$29:$J$30))) * $CR$5)</f>
        <v>21.313465361184608</v>
      </c>
      <c r="BJ80" s="1566">
        <f>IF(ISERROR(MATCH($B80,'A1.3.2'!$B$27:$B$106,0)),"",(BH80*'VoT5'!$H$31 + BI80*'VoT5'!$H$32)/100)</f>
        <v>33.283727781044263</v>
      </c>
      <c r="BK80" s="1566">
        <f>IF(ISERROR(MATCH($B80,'A1.3.2'!$B$27:$B$106,0)),"",(VLOOKUP($B80,'Forecast occupancies'!$C$28:$CP$64,61,TRUE)*VLOOKUP($B80,'A1.3.2'!$B$27:$AY$106,38,)) * $CR$5)</f>
        <v>34.282913721175227</v>
      </c>
      <c r="BL80" s="1566">
        <f>IF(ISERROR(MATCH($B80,'A1.3.2'!$B$27:$B$106,0)),"",(VLOOKUP($B80,'Forecast occupancies'!$C$28:$CP$64,62,TRUE)*VLOOKUP($B80,'A1.3.2'!$B$27:$AY$106,38,)) * $CR$5)</f>
        <v>34.282913721175227</v>
      </c>
      <c r="BM80" s="1565">
        <f>IF(ISERROR(MATCH($B80,'A1.3.2'!$B$27:$B$106,0)),"",(((VLOOKUP($B80,'Forecast occupancies'!$C$28:$CP$64,63,TRUE) -1) * VLOOKUP($B80,'A1.3.2'!$B$27:$AY$106,40,)) + VLOOKUP($B80,'A1.3.2'!$B$27:$AY$106,39,)) * $CR$5)</f>
        <v>40.182161400210674</v>
      </c>
      <c r="BN80" s="1565">
        <f>IF(ISERROR(MATCH($B80,'A1.3.2'!$B$27:$B$106,0)),"",(VLOOKUP($B80,'Forecast occupancies'!$C$28:$CP$64,64,TRUE) * VLOOKUP($B80,'A1.3.2'!$B$27:$AY$106,49,)) * $CR$5)</f>
        <v>46.412134983298827</v>
      </c>
      <c r="BO80" s="1565">
        <f>IF(ISERROR(MATCH($B80,'A1.3.2'!$B$27:$B$106,0)),"",(VLOOKUP($B80,'Forecast occupancies'!$C$28:$CP$64,65,TRUE) * VLOOKUP($B80,'A1.3.2'!$B$27:$AY$106,50,)) * $CR$5)</f>
        <v>108.87678288346341</v>
      </c>
      <c r="BP80" s="1567">
        <f>IF(ISERROR(MATCH($B80,'A1.3.2'!$B$27:$B$106,0)),"",SUM(BM80:BO80))</f>
        <v>195.47107926697291</v>
      </c>
      <c r="BQ80" s="1565">
        <f>IF(ISERROR(MATCH($B80,'A1.3.2'!$B$27:$B$106,0)),"",(((VLOOKUP($B80,'Forecast occupancies'!$C$28:$CP$64,67,TRUE)-1)*VLOOKUP($B80,'A1.3.2'!$B$27:$AY$106,36,)+VLOOKUP($B80,'A1.3.2'!$B$27:$AY$106,35,))*$CR$5))</f>
        <v>55.489964602720214</v>
      </c>
      <c r="BR80" s="1565">
        <f>IF(ISERROR(MATCH($B80,'A1.3.2'!$B$27:$B$106,0)),"",VLOOKUP($B80,'Forecast occupancies'!$C$28:$CP$64,68,TRUE)*VLOOKUP($B80,'A1.3.2'!$B$27:$AY$106,49,)*$CR$5)</f>
        <v>28.702381779060445</v>
      </c>
      <c r="BS80" s="1565">
        <f>IF(ISERROR(MATCH($B80,'A1.3.2'!$B$27:$B$106,0)),"",VLOOKUP($B80,'Forecast occupancies'!$C$28:$CP$64,69,TRUE)*VLOOKUP($B80,'A1.3.2'!$B$27:$AY$106,50,)*$CR$5)</f>
        <v>23.007650930020763</v>
      </c>
      <c r="BT80" s="1566">
        <f>IF(ISERROR(MATCH($B80,'A1.3.2'!$B$27:$B$106,0)),"",(((BQ80*'VoT5'!$I$28)+(BR80*'VoT5'!$I$29)+(BS80*'VoT5'!$I$30))/100))</f>
        <v>24.585125983527757</v>
      </c>
      <c r="BU80" s="1565">
        <f>IF(ISERROR(MATCH($B80,'A1.3.2'!$B$27:$B$106,0)),"",(VLOOKUP($B80,'Forecast occupancies'!$C$28:$CP$64,71,TRUE) * VLOOKUP($B80, 'A1.3.2'!$B$27:$AY$106,37,)) * $CR$5)</f>
        <v>36.661838107485465</v>
      </c>
      <c r="BV80" s="1565">
        <f>IF(ISERROR(MATCH($B80,'A1.3.2'!$B$27:$B$106,0)),"",(VLOOKUP($B80,'Forecast occupancies'!$C$28:$CP$64,72,TRUE) * (VLOOKUP($B80,'A1.3.2'!$B$27:$AY$106,49,)*'VoT5'!$J$29 + VLOOKUP($B80,'A1.3.2'!$B$27:$AY$106,50,)*'VoT5'!$J$30) / (SUM('VoT5'!$J$29:$J$30))) * $CR$5)</f>
        <v>29.634475810414216</v>
      </c>
      <c r="BW80" s="1566">
        <f>IF(ISERROR(MATCH($B80,'A1.3.2'!$B$27:$B$106,0)),"",(BU80*'VoT5'!$I$31 + BV80*'VoT5'!$I$32)/100)</f>
        <v>35.818554631836918</v>
      </c>
      <c r="BX80" s="1566">
        <f>IF(ISERROR(MATCH($B80,'A1.3.2'!$B$27:$B$106,0)),"",(VLOOKUP($B80,'Forecast occupancies'!$C$28:$CP$64,74,TRUE)*VLOOKUP($B80,'A1.3.2'!$B$27:$AY$106,38,)) * $CR$5)</f>
        <v>34.282913721175227</v>
      </c>
      <c r="BY80" s="1566">
        <f>IF(ISERROR(MATCH($B80,'A1.3.2'!$B$27:$B$106,0)),"",(VLOOKUP($B80,'Forecast occupancies'!$C$28:$CP$64,75,TRUE)*VLOOKUP($B80,'A1.3.2'!$B$27:$AY$106,38,)) * $CR$5)</f>
        <v>34.282913721175227</v>
      </c>
      <c r="BZ80" s="1565">
        <f>IF(ISERROR(MATCH($B80,'A1.3.2'!$B$27:$B$106,0)),"",(((VLOOKUP($B80,'Forecast occupancies'!$C$28:$CP$64,76,TRUE) -1) * VLOOKUP($B80,'A1.3.2'!$B$27:$AY$106,40,)) + VLOOKUP($B80,'A1.3.2'!$B$27:$AY$106,39,)) * $CR$5)</f>
        <v>36.595272377641841</v>
      </c>
      <c r="CA80" s="1565">
        <f>IF(ISERROR(MATCH($B80,'A1.3.2'!$B$27:$B$106,0)),"",(VLOOKUP($B80,'Forecast occupancies'!$C$28:$CP$64,77,TRUE) * VLOOKUP($B80,'A1.3.2'!$B$27:$AY$106,49,)) * $CR$5)</f>
        <v>17.582707659454229</v>
      </c>
      <c r="CB80" s="1565">
        <f>IF(ISERROR(MATCH($B80,'A1.3.2'!$B$27:$B$106,0)),"",(VLOOKUP($B80,'Forecast occupancies'!$C$28:$CP$64,78,TRUE) * VLOOKUP($B80,'A1.3.2'!$B$27:$AY$106,50,)) * $CR$5)</f>
        <v>123.66097604879702</v>
      </c>
      <c r="CC80" s="1567">
        <f>IF(ISERROR(MATCH($B80,'A1.3.2'!$B$27:$B$106,0)),"",SUM(BZ80:CB80))</f>
        <v>177.8389560858931</v>
      </c>
      <c r="CD80" s="1565">
        <f>IF(ISERROR(MATCH($B80,'A1.3.2'!$B$27:$B$106,0)),"",(((VLOOKUP($B80,'Forecast occupancies'!$C$28:$CP$64,80,TRUE)-1)*VLOOKUP($B80,'A1.3.2'!$B$27:$AY$106,36,)+VLOOKUP($B80,'A1.3.2'!$B$27:$AY$106,35,))*$CR$5))</f>
        <v>49.04537561393245</v>
      </c>
      <c r="CE80" s="1565">
        <f>IF(ISERROR(MATCH($B80,'A1.3.2'!$B$27:$B$106,0)),"",VLOOKUP($B80,'Forecast occupancies'!$C$28:$CP$64,81,TRUE)*VLOOKUP($B80,'A1.3.2'!$B$27:$AY$106,49,)*$CR$5)</f>
        <v>27.238492166026383</v>
      </c>
      <c r="CF80" s="1565">
        <f>IF(ISERROR(MATCH($B80,'A1.3.2'!$B$27:$B$106,0)),"",VLOOKUP($B80,'Forecast occupancies'!$C$28:$CP$64,82,TRUE)*VLOOKUP($B80,'A1.3.2'!$B$27:$AY$106,50,)*$CR$5)</f>
        <v>20.693567334725778</v>
      </c>
      <c r="CG80" s="1566">
        <f>IF(ISERROR(MATCH($B80,'A1.3.2'!$B$27:$B$106,0)),"",(((CD80*'VoT5'!$J$28)+(CE80*'VoT5'!$J$29)+(CF80*'VoT5'!$J$30))/100))</f>
        <v>25.780790550335883</v>
      </c>
      <c r="CH80" s="1565">
        <f>IF(ISERROR(MATCH($B80,'A1.3.2'!$B$27:$B$106,0)),"",(VLOOKUP($B80,'Forecast occupancies'!$C$28:$CP$64,84,TRUE) * VLOOKUP($B80, 'A1.3.2'!$B$27:$AY$106,37,)) * $CR$5)</f>
        <v>34.916036292843302</v>
      </c>
      <c r="CI80" s="1565">
        <f>IF(ISERROR(MATCH($B80,'A1.3.2'!$B$27:$B$106,0)),"",(VLOOKUP($B80,'Forecast occupancies'!$C$28:$CP$64,85,TRUE) * (VLOOKUP($B80,'A1.3.2'!$B$27:$AY$106,49,)*'VoT5'!$J$29 + VLOOKUP($B80,'A1.3.2'!$B$27:$AY$106,50,)*'VoT5'!$J$30) / (SUM('VoT5'!$J$29:$J$30))) * $CR$5)</f>
        <v>23.211239674166801</v>
      </c>
      <c r="CJ80" s="1566">
        <f>IF(ISERROR(MATCH($B80,'A1.3.2'!$B$27:$B$106,0)),"",(CH80*'VoT5'!$J$31 + CI80*'VoT5'!$J$32)/100)</f>
        <v>33.511460698602122</v>
      </c>
      <c r="CK80" s="1566">
        <f>IF(ISERROR(MATCH($B80,'A1.3.2'!$B$27:$B$106,0)),"",(VLOOKUP($B80,'Forecast occupancies'!$C$28:$CP$64,87,TRUE)*VLOOKUP($B80,'A1.3.2'!$B$27:$AY$106,38,)) * $CR$5)</f>
        <v>34.282913721175227</v>
      </c>
      <c r="CL80" s="1566">
        <f>IF(ISERROR(MATCH($B80,'A1.3.2'!$B$27:$B$106,0)),"",(VLOOKUP($B80,'Forecast occupancies'!$C$28:$CP$64,88,TRUE)*VLOOKUP($B80,'A1.3.2'!$B$27:$AY$106,38,)) * $CR$5)</f>
        <v>34.282913721175227</v>
      </c>
      <c r="CM80" s="1565">
        <f>IF(ISERROR(MATCH($B80,'A1.3.2'!$B$27:$B$106,0)),"",(((VLOOKUP($B80,'Forecast occupancies'!$C$28:$CP$64,89,TRUE) -1) * VLOOKUP($B80,'A1.3.2'!$B$27:$AY$106,40,)) + VLOOKUP($B80,'A1.3.2'!$B$27:$AY$106,39,)) * $CR$5)</f>
        <v>39.296411795834757</v>
      </c>
      <c r="CN80" s="1565">
        <f>IF(ISERROR(MATCH($B80,'A1.3.2'!$B$27:$B$106,0)),"",(VLOOKUP($B80,'Forecast occupancies'!$C$28:$CP$64,90,TRUE) * VLOOKUP($B80,'A1.3.2'!$B$27:$AY$106,49,)) * $CR$5)</f>
        <v>39.291598306701395</v>
      </c>
      <c r="CO80" s="1565">
        <f>IF(ISERROR(MATCH($B80,'A1.3.2'!$B$27:$B$106,0)),"",(VLOOKUP($B80,'Forecast occupancies'!$C$28:$CP$64,91,TRUE) * VLOOKUP($B80,'A1.3.2'!$B$27:$AY$106,50,)) * $CR$5)</f>
        <v>112.52823104758667</v>
      </c>
      <c r="CP80" s="1567">
        <f>IF(ISERROR(MATCH($B80,'A1.3.2'!$B$27:$B$106,0)),"",SUM(CM80:CO80))</f>
        <v>191.11624115012282</v>
      </c>
    </row>
    <row r="81" spans="1:94" ht="13.5" customHeight="1">
      <c r="A81" s="113"/>
      <c r="B81" s="82">
        <f t="shared" si="0"/>
        <v>2063</v>
      </c>
      <c r="C81" s="26"/>
      <c r="D81" s="1609">
        <f>IF(ISERROR(MATCH($B81,'A1.3.2'!$B$27:$B$106,0)),"",(((VLOOKUP($B81,'Forecast occupancies'!$C$28:$CP$64,2,TRUE) -1) * VLOOKUP($B81,'A1.3.2'!$B$27:$AY$106,36,) + VLOOKUP($B81,'A1.3.2'!$B$27:$AY$106,35,)) * $CR$5))</f>
        <v>48.751011607713181</v>
      </c>
      <c r="E81" s="1565">
        <f>IF(ISERROR(MATCH($B81,'A1.3.2'!$B$27:$B$106,0)),"",VLOOKUP($B81,'Forecast occupancies'!$C$28:$CP$64,3,TRUE)*VLOOKUP($B81,'A1.3.2'!$B$27:$AY$106,49,)*$CR$5)</f>
        <v>27.473677446787164</v>
      </c>
      <c r="F81" s="1565">
        <f>IF(ISERROR(MATCH($B81,'A1.3.2'!$B$27:$B$106,0)),"",VLOOKUP($B81,'Forecast occupancies'!$C$28:$CP$64,4,TRUE)*VLOOKUP($B81,'A1.3.2'!$B$27:$AY$106,50,)*$CR$5)</f>
        <v>18.954708966930404</v>
      </c>
      <c r="G81" s="1566">
        <f>IF(ISERROR(MATCH($B81,'A1.3.2'!$B$27:$B$106,0)),"",(((D81*'VoT5'!$D$28)+(E81*'VoT5'!$D$29)+(F81*'VoT5'!$D$30))/100))</f>
        <v>27.612812909609083</v>
      </c>
      <c r="H81" s="1565">
        <f>IF(ISERROR(MATCH($B81,'A1.3.2'!$B$27:$B$106,0)),"",(VLOOKUP($B81,'Forecast occupancies'!$C$28:$CP$64,6,TRUE) * VLOOKUP($B81, 'A1.3.2'!$B$27:$AY$106,37,)) * $CR$5)</f>
        <v>35.627682201097294</v>
      </c>
      <c r="I81" s="1565">
        <f>IF(ISERROR(MATCH($B81,'A1.3.2'!$B$27:$B$106,0)),"",VLOOKUP($B81,'Forecast occupancies'!$C$28:$CP$64,7,TRUE) * ('VoT5'!$J$29*VLOOKUP($B81, 'A1.3.2'!$B$27:$AY$106,49,)+'VoT5'!$J$30*VLOOKUP($B81, 'A1.3.2'!$B$27:$AY$106,50,))/('VoT5'!$J$29+'VoT5'!$J$30) * $CR$5)</f>
        <v>21.747868633302566</v>
      </c>
      <c r="J81" s="1566">
        <f>IF(ISERROR(MATCH($B81,'A1.3.2'!$B$27:$B$106,0)),"",(H81*'VoT5'!$D$31 + I81*'VoT5'!$D$32)/100)</f>
        <v>33.962104572961927</v>
      </c>
      <c r="K81" s="1566">
        <f>IF(ISERROR(MATCH($B81,'A1.3.2'!$B$27:$B$106,0)),"",(VLOOKUP($B81,'Forecast occupancies'!$C$28:$CP$64,9,TRUE)*VLOOKUP($B81,'A1.3.2'!$B$27:$AY$106,38,)) * $CR$5)</f>
        <v>34.981655556247148</v>
      </c>
      <c r="L81" s="1566">
        <f>IF(ISERROR(MATCH($B81,'A1.3.2'!$B$27:$B$106,0)),"",(VLOOKUP($B81,'Forecast occupancies'!$C$28:$CP$64,10,TRUE)*VLOOKUP($B81,'A1.3.2'!$B$27:$AY$106,38,)) * $CR$5)</f>
        <v>34.981655556247148</v>
      </c>
      <c r="M81" s="1565">
        <f>IF(ISERROR(MATCH($B81,'A1.3.2'!$B$27:$B$106,0)),"",(((VLOOKUP($B81,'Forecast occupancies'!$C$28:$CP$64,11,TRUE) -1) * VLOOKUP($B81,'A1.3.2'!$B$27:$AY$106,40,)) + VLOOKUP($B81,'A1.3.2'!$B$27:$AY$106,39,)) * $CR$5)</f>
        <v>39.861912779914277</v>
      </c>
      <c r="N81" s="1565">
        <f>IF(ISERROR(MATCH($B81,'A1.3.2'!$B$27:$B$106,0)),"",(VLOOKUP($B81,'Forecast occupancies'!$C$28:$CP$64,12,TRUE) * VLOOKUP($B81,'A1.3.2'!$B$27:$AY$106,49,)) * $CR$5)</f>
        <v>54.567976844376361</v>
      </c>
      <c r="O81" s="1565">
        <f>IF(ISERROR(MATCH($B81,'A1.3.2'!$B$27:$B$106,0)),"",(VLOOKUP($B81,'Forecast occupancies'!$C$28:$CP$64,13,TRUE) * VLOOKUP($B81,'A1.3.2'!$B$27:$AY$106,50,)) * $CR$5)</f>
        <v>108.32135842629495</v>
      </c>
      <c r="P81" s="1567">
        <f>IF(ISERROR(MATCH($B81,'A1.3.2'!$B$27:$B$106,0)),"",SUM(M81:O81))</f>
        <v>202.75124805058559</v>
      </c>
      <c r="Q81" s="1609">
        <f>IF(ISERROR(MATCH($B81,'A1.3.2'!$B$27:$B$106,0)),"",(((VLOOKUP($B81,'Forecast occupancies'!$C$28:$CP$64,15,TRUE)-1)*VLOOKUP($B81,'A1.3.2'!$B$27:$AY$106,36,)+VLOOKUP($B81,'A1.3.2'!$B$27:$AY$106,35,))*$CR$5))</f>
        <v>49.956263866419633</v>
      </c>
      <c r="R81" s="1565">
        <f>IF(ISERROR(MATCH($B81,'A1.3.2'!$B$27:$B$106,0)),"",VLOOKUP($B81,'Forecast occupancies'!$C$28:$CP$64,16,TRUE)*VLOOKUP($B81,'A1.3.2'!$B$27:$AY$106,49,)*$CR$5)</f>
        <v>27.920402004000977</v>
      </c>
      <c r="S81" s="1565">
        <f>IF(ISERROR(MATCH($B81,'A1.3.2'!$B$27:$B$106,0)),"",VLOOKUP($B81,'Forecast occupancies'!$C$28:$CP$64,17,TRUE)*VLOOKUP($B81,'A1.3.2'!$B$27:$AY$106,50,)*$CR$5)</f>
        <v>20.191242533104834</v>
      </c>
      <c r="T81" s="1566">
        <f>IF(ISERROR(MATCH($B81,'A1.3.2'!$B$27:$B$106,0)),"",(((Q81*'VoT5'!$E$28)+(R81*'VoT5'!$E$29)+(S81*'VoT5'!$E$30))/100))</f>
        <v>26.006013202474815</v>
      </c>
      <c r="U81" s="1565">
        <f>IF(ISERROR(MATCH($B81,'A1.3.2'!$B$27:$B$106,0)),"",(VLOOKUP($B81,'Forecast occupancies'!$C$28:$CP$64,19,TRUE) * VLOOKUP($B81, 'A1.3.2'!$B$27:$AY$106,37,)) * $CR$5)</f>
        <v>35.627682201097294</v>
      </c>
      <c r="V81" s="1565">
        <f>IF(ISERROR(MATCH($B81,'A1.3.2'!$B$27:$B$106,0)),"",VLOOKUP($B81,'Forecast occupancies'!$C$28:$CP$64,20,TRUE) * ('VoT5'!$J$29*VLOOKUP($B81, 'A1.3.2'!$B$27:$AY$106,49,)+'VoT5'!$J$30*VLOOKUP($B81, 'A1.3.2'!$B$27:$AY$106,50,))/('VoT5'!$J$29+'VoT5'!$J$30) * $CR$5)</f>
        <v>21.747868633302566</v>
      </c>
      <c r="W81" s="1566">
        <f>IF(ISERROR(MATCH($B81,'A1.3.2'!$B$27:$B$106,0)),"",(U81*'VoT5'!$E$31 + V81*'VoT5'!$E$32)/100)</f>
        <v>33.962104572961927</v>
      </c>
      <c r="X81" s="1566">
        <f>IF(ISERROR(MATCH($B81,'A1.3.2'!$B$27:$B$106,0)),"",(VLOOKUP($B81,'Forecast occupancies'!$C$28:$CP$64,22,TRUE)*VLOOKUP($B81,'A1.3.2'!$B$27:$AY$106,38,)) * $CR$5)</f>
        <v>34.981655556247148</v>
      </c>
      <c r="Y81" s="1566">
        <f>IF(ISERROR(MATCH($B81,'A1.3.2'!$B$27:$B$106,0)),"",(VLOOKUP($B81,'Forecast occupancies'!$C$28:$CP$64,23,TRUE)*VLOOKUP($B81,'A1.3.2'!$B$27:$AY$106,38,)) * $CR$5)</f>
        <v>34.981655556247148</v>
      </c>
      <c r="Z81" s="1565">
        <f>IF(ISERROR(MATCH($B81,'A1.3.2'!$B$27:$B$106,0)),"",(((VLOOKUP($B81,'Forecast occupancies'!$C$28:$CP$64,24,TRUE) -1) * VLOOKUP($B81,'A1.3.2'!$B$27:$AY$106,40,)) + VLOOKUP($B81,'A1.3.2'!$B$27:$AY$106,39,)) * $CR$5)</f>
        <v>40.675529867990065</v>
      </c>
      <c r="AA81" s="1565">
        <f>IF(ISERROR(MATCH($B81,'A1.3.2'!$B$27:$B$106,0)),"",(VLOOKUP($B81,'Forecast occupancies'!$C$28:$CP$64,25,TRUE) * VLOOKUP($B81,'A1.3.2'!$B$27:$AY$106,49,)) * $CR$5)</f>
        <v>19.124339448499963</v>
      </c>
      <c r="AB81" s="1565">
        <f>IF(ISERROR(MATCH($B81,'A1.3.2'!$B$27:$B$106,0)),"",(VLOOKUP($B81,'Forecast occupancies'!$C$28:$CP$64,26,TRUE) * VLOOKUP($B81,'A1.3.2'!$B$27:$AY$106,50,)) * $CR$5)</f>
        <v>124.1301671062887</v>
      </c>
      <c r="AC81" s="1567">
        <f>IF(ISERROR(MATCH($B81,'A1.3.2'!$B$27:$B$106,0)),"",SUM(Z81:AB81))</f>
        <v>183.93003642277873</v>
      </c>
      <c r="AD81" s="1609">
        <f>IF(ISERROR(MATCH($B81,'A1.3.2'!$B$27:$B$106,0)),"",(((VLOOKUP($B81,'Forecast occupancies'!$C$28:$CP$64,28,TRUE)-1)*VLOOKUP($B81,'A1.3.2'!$B$27:$AY$106,36,)+VLOOKUP($B81,'A1.3.2'!$B$27:$AY$106,35,))*$CR$5))</f>
        <v>49.454563081143696</v>
      </c>
      <c r="AE81" s="1565">
        <f>IF(ISERROR(MATCH($B81,'A1.3.2'!$B$27:$B$106,0)),"",VLOOKUP($B81,'Forecast occupancies'!$C$28:$CP$64,29,TRUE)*VLOOKUP($B81,'A1.3.2'!$B$27:$AY$106,49,)*$CR$5)</f>
        <v>27.56844396860679</v>
      </c>
      <c r="AF81" s="1565">
        <f>IF(ISERROR(MATCH($B81,'A1.3.2'!$B$27:$B$106,0)),"",VLOOKUP($B81,'Forecast occupancies'!$C$28:$CP$64,30,TRUE)*VLOOKUP($B81,'A1.3.2'!$B$27:$AY$106,50,)*$CR$5)</f>
        <v>19.849516763054545</v>
      </c>
      <c r="AG81" s="1566">
        <f>IF(ISERROR(MATCH($B81,'A1.3.2'!$B$27:$B$106,0)),"",(((AD81*'VoT5'!$F$28)+(AE81*'VoT5'!$F$29)+(AF81*'VoT5'!$F$30))/100))</f>
        <v>26.530244587441789</v>
      </c>
      <c r="AH81" s="1565">
        <f>IF(ISERROR(MATCH($B81,'A1.3.2'!$B$27:$B$106,0)),"",(VLOOKUP($B81,'Forecast occupancies'!$C$28:$CP$64,32,TRUE) * VLOOKUP($B81, 'A1.3.2'!$B$27:$AY$106,37,)) * $CR$5)</f>
        <v>35.627682201097294</v>
      </c>
      <c r="AI81" s="1565">
        <f>IF(ISERROR(MATCH($B81,'A1.3.2'!$B$27:$B$106,0)),"",VLOOKUP($B81,'Forecast occupancies'!$C$28:$CP$64,33,TRUE) * ('VoT5'!$J$29*VLOOKUP($B81, 'A1.3.2'!$B$27:$AY$106,49,)+'VoT5'!$J$30*VLOOKUP($B81, 'A1.3.2'!$B$27:$AY$106,50,))/('VoT5'!$J$29+'VoT5'!$J$30) * $CR$5)</f>
        <v>21.747868633302566</v>
      </c>
      <c r="AJ81" s="1566">
        <f>IF(ISERROR(MATCH($B81,'A1.3.2'!$B$27:$B$106,0)),"",(AH81*'VoT5'!$F$31 + AI81*'VoT5'!$F$32)/100)</f>
        <v>33.962104572961927</v>
      </c>
      <c r="AK81" s="1566">
        <f>IF(ISERROR(MATCH($B81,'A1.3.2'!$B$27:$B$106,0)),"",(VLOOKUP($B81,'Forecast occupancies'!$C$28:$CP$64,35,TRUE)*VLOOKUP($B81,'A1.3.2'!$B$27:$AY$106,38,)) * $CR$5)</f>
        <v>34.981655556247148</v>
      </c>
      <c r="AL81" s="1566">
        <f>IF(ISERROR(MATCH($B81,'A1.3.2'!$B$27:$B$106,0)),"",(VLOOKUP($B81,'Forecast occupancies'!$C$28:$CP$64,36,TRUE)*VLOOKUP($B81,'A1.3.2'!$B$27:$AY$106,38,)) * $CR$5)</f>
        <v>34.981655556247148</v>
      </c>
      <c r="AM81" s="1565">
        <f>IF(ISERROR(MATCH($B81,'A1.3.2'!$B$27:$B$106,0)),"",(((VLOOKUP($B81,'Forecast occupancies'!$C$28:$CP$64,37,TRUE) -1) * VLOOKUP($B81,'A1.3.2'!$B$27:$AY$106,40,)) + VLOOKUP($B81,'A1.3.2'!$B$27:$AY$106,39,)) * $CR$5)</f>
        <v>42.558281287275719</v>
      </c>
      <c r="AN81" s="1565">
        <f>IF(ISERROR(MATCH($B81,'A1.3.2'!$B$27:$B$106,0)),"",(VLOOKUP($B81,'Forecast occupancies'!$C$28:$CP$64,38,TRUE) * VLOOKUP($B81,'A1.3.2'!$B$27:$AY$106,49,)) * $CR$5)</f>
        <v>76.743176551619598</v>
      </c>
      <c r="AO81" s="1565">
        <f>IF(ISERROR(MATCH($B81,'A1.3.2'!$B$27:$B$106,0)),"",(VLOOKUP($B81,'Forecast occupancies'!$C$28:$CP$64,39,TRUE) * VLOOKUP($B81,'A1.3.2'!$B$27:$AY$106,50,)) * $CR$5)</f>
        <v>96.977938151908887</v>
      </c>
      <c r="AP81" s="1567">
        <f>IF(ISERROR(MATCH($B81,'A1.3.2'!$B$27:$B$106,0)),"",SUM(AM81:AO81))</f>
        <v>216.2793959908042</v>
      </c>
      <c r="AQ81" s="1609">
        <f>IF(ISERROR(MATCH($B81,'A1.3.2'!$B$27:$B$106,0)),"",(((VLOOKUP($B81,'Forecast occupancies'!$C$28:$CP$64,41,TRUE)-1)*VLOOKUP($B81,'A1.3.2'!$B$27:$AY$106,36,)+VLOOKUP($B81,'A1.3.2'!$B$27:$AY$106,35,))*$CR$5))</f>
        <v>50.390274183285456</v>
      </c>
      <c r="AR81" s="1565">
        <f>IF(ISERROR(MATCH($B81,'A1.3.2'!$B$27:$B$106,0)),"",VLOOKUP($B81,'Forecast occupancies'!$C$28:$CP$64,42,TRUE)*VLOOKUP($B81,'A1.3.2'!$B$27:$AY$106,49,)*$CR$5)</f>
        <v>27.971934401969872</v>
      </c>
      <c r="AS81" s="1565">
        <f>IF(ISERROR(MATCH($B81,'A1.3.2'!$B$27:$B$106,0)),"",VLOOKUP($B81,'Forecast occupancies'!$C$28:$CP$64,43,TRUE)*VLOOKUP($B81,'A1.3.2'!$B$27:$AY$106,50,)*$CR$5)</f>
        <v>19.77864963560188</v>
      </c>
      <c r="AT81" s="1566">
        <f>IF(ISERROR(MATCH($B81,'A1.3.2'!$B$27:$B$106,0)),"",(((AQ81*'VoT5'!$G$28)+(AR81*'VoT5'!$G$29)+(AS81*'VoT5'!$G$30))/100))</f>
        <v>26.878979342706224</v>
      </c>
      <c r="AU81" s="1565">
        <f>IF(ISERROR(MATCH($B81,'A1.3.2'!$B$27:$B$106,0)),"",(VLOOKUP($B81,'Forecast occupancies'!$C$28:$CP$64,45,TRUE) * VLOOKUP($B81, 'A1.3.2'!$B$27:$AY$106,37,)) * $CR$5)</f>
        <v>35.627682201097294</v>
      </c>
      <c r="AV81" s="1565">
        <f>IF(ISERROR(MATCH($B81,'A1.3.2'!$B$27:$B$106,0)),"",VLOOKUP($B81,'Forecast occupancies'!$C$28:$CP$64,46,TRUE) * ('VoT5'!$J$29*VLOOKUP($B81, 'A1.3.2'!$B$27:$AY$106,49,)+'VoT5'!$J$30*VLOOKUP($B81, 'A1.3.2'!$B$27:$AY$106,50,))/('VoT5'!$J$29+'VoT5'!$J$30) * $CR$5)</f>
        <v>21.747868633302566</v>
      </c>
      <c r="AW81" s="1566">
        <f>IF(ISERROR(MATCH($B81,'A1.3.2'!$B$27:$B$106,0)),"",(AU81*'VoT5'!$G$31 + AV81*'VoT5'!$G$32)/100)</f>
        <v>33.962104572961927</v>
      </c>
      <c r="AX81" s="1566">
        <f>IF(ISERROR(MATCH($B81,'A1.3.2'!$B$27:$B$106,0)),"",(VLOOKUP($B81,'Forecast occupancies'!$C$28:$CP$64,48,TRUE)*VLOOKUP($B81,'A1.3.2'!$B$27:$AY$106,38,)) * $CR$5)</f>
        <v>34.981655556247148</v>
      </c>
      <c r="AY81" s="1566">
        <f>IF(ISERROR(MATCH($B81,'A1.3.2'!$B$27:$B$106,0)),"",(VLOOKUP($B81,'Forecast occupancies'!$C$28:$CP$64,49,TRUE)*VLOOKUP($B81,'A1.3.2'!$B$27:$AY$106,38,)) * $CR$5)</f>
        <v>34.981655556247148</v>
      </c>
      <c r="AZ81" s="1565">
        <f>IF(ISERROR(MATCH($B81,'A1.3.2'!$B$27:$B$106,0)),"",(((VLOOKUP($B81,'Forecast occupancies'!$C$28:$CP$64,50,TRUE) -1) * VLOOKUP($B81,'A1.3.2'!$B$27:$AY$106,40,)) + VLOOKUP($B81,'A1.3.2'!$B$27:$AY$106,39,)) * $CR$5)</f>
        <v>42.523865547773816</v>
      </c>
      <c r="BA81" s="1565">
        <f>IF(ISERROR(MATCH($B81,'A1.3.2'!$B$27:$B$106,0)),"",(VLOOKUP($B81,'Forecast occupancies'!$C$28:$CP$64,51,TRUE) * VLOOKUP($B81,'A1.3.2'!$B$27:$AY$106,49,)) * $CR$5)</f>
        <v>104.90601608116411</v>
      </c>
      <c r="BB81" s="1565">
        <f>IF(ISERROR(MATCH($B81,'A1.3.2'!$B$27:$B$106,0)),"",(VLOOKUP($B81,'Forecast occupancies'!$C$28:$CP$64,52,TRUE) * VLOOKUP($B81,'A1.3.2'!$B$27:$AY$106,50,)) * $CR$5)</f>
        <v>84.139170226385261</v>
      </c>
      <c r="BC81" s="1567">
        <f>IF(ISERROR(MATCH($B81,'A1.3.2'!$B$27:$B$106,0)),"",SUM(AZ81:BB81))</f>
        <v>231.56905185532318</v>
      </c>
      <c r="BD81" s="1565">
        <f>IF(ISERROR(MATCH($B81,'A1.3.2'!$B$27:$B$106,0)),"",(((VLOOKUP($B81,'Forecast occupancies'!$C$28:$CP$64,54,TRUE)-1)*VLOOKUP($B81,'A1.3.2'!$B$27:$AY$106,36,)+VLOOKUP($B81,'A1.3.2'!$B$27:$AY$106,35,))*$CR$5))</f>
        <v>49.542557081238712</v>
      </c>
      <c r="BE81" s="1565">
        <f>IF(ISERROR(MATCH($B81,'A1.3.2'!$B$27:$B$106,0)),"",VLOOKUP($B81,'Forecast occupancies'!$C$28:$CP$64,55,TRUE)*VLOOKUP($B81,'A1.3.2'!$B$27:$AY$106,49,)*$CR$5)</f>
        <v>27.662176907709288</v>
      </c>
      <c r="BF81" s="1565">
        <f>IF(ISERROR(MATCH($B81,'A1.3.2'!$B$27:$B$106,0)),"",VLOOKUP($B81,'Forecast occupancies'!$C$28:$CP$64,56,TRUE)*VLOOKUP($B81,'A1.3.2'!$B$27:$AY$106,50,)*$CR$5)</f>
        <v>19.827792652413255</v>
      </c>
      <c r="BG81" s="1566">
        <f>IF(ISERROR(MATCH($B81,'A1.3.2'!$B$27:$B$106,0)),"",(((BD81*'VoT5'!$H$28)+(BE81*'VoT5'!$H$29)+(BF81*'VoT5'!$H$30))/100))</f>
        <v>26.685406973042664</v>
      </c>
      <c r="BH81" s="1565">
        <f>IF(ISERROR(MATCH($B81,'A1.3.2'!$B$27:$B$106,0)),"",(VLOOKUP($B81,'Forecast occupancies'!$C$28:$CP$64,58,TRUE) * VLOOKUP($B81, 'A1.3.2'!$B$27:$AY$106,37,)) * $CR$5)</f>
        <v>35.627682201097294</v>
      </c>
      <c r="BI81" s="1565">
        <f>IF(ISERROR(MATCH($B81,'A1.3.2'!$B$27:$B$106,0)),"",(VLOOKUP($B81,'Forecast occupancies'!$C$28:$CP$64,59,TRUE) * (VLOOKUP($B81,'A1.3.2'!$B$27:$AY$106,49,) * 'VoT5'!$J$29 + VLOOKUP($B81,'A1.3.2'!$B$27:$AY$106,50,) * 'VoT5'!$J$30) / (SUM('VoT5'!$J$29:$J$30))) * $CR$5)</f>
        <v>21.747868633302566</v>
      </c>
      <c r="BJ81" s="1566">
        <f>IF(ISERROR(MATCH($B81,'A1.3.2'!$B$27:$B$106,0)),"",(BH81*'VoT5'!$H$31 + BI81*'VoT5'!$H$32)/100)</f>
        <v>33.962104572961927</v>
      </c>
      <c r="BK81" s="1566">
        <f>IF(ISERROR(MATCH($B81,'A1.3.2'!$B$27:$B$106,0)),"",(VLOOKUP($B81,'Forecast occupancies'!$C$28:$CP$64,61,TRUE)*VLOOKUP($B81,'A1.3.2'!$B$27:$AY$106,38,)) * $CR$5)</f>
        <v>34.981655556247148</v>
      </c>
      <c r="BL81" s="1566">
        <f>IF(ISERROR(MATCH($B81,'A1.3.2'!$B$27:$B$106,0)),"",(VLOOKUP($B81,'Forecast occupancies'!$C$28:$CP$64,62,TRUE)*VLOOKUP($B81,'A1.3.2'!$B$27:$AY$106,38,)) * $CR$5)</f>
        <v>34.981655556247148</v>
      </c>
      <c r="BM81" s="1565">
        <f>IF(ISERROR(MATCH($B81,'A1.3.2'!$B$27:$B$106,0)),"",(((VLOOKUP($B81,'Forecast occupancies'!$C$28:$CP$64,63,TRUE) -1) * VLOOKUP($B81,'A1.3.2'!$B$27:$AY$106,40,)) + VLOOKUP($B81,'A1.3.2'!$B$27:$AY$106,39,)) * $CR$5)</f>
        <v>41.001139548401078</v>
      </c>
      <c r="BN81" s="1565">
        <f>IF(ISERROR(MATCH($B81,'A1.3.2'!$B$27:$B$106,0)),"",(VLOOKUP($B81,'Forecast occupancies'!$C$28:$CP$64,64,TRUE) * VLOOKUP($B81,'A1.3.2'!$B$27:$AY$106,49,)) * $CR$5)</f>
        <v>47.358090179277561</v>
      </c>
      <c r="BO81" s="1565">
        <f>IF(ISERROR(MATCH($B81,'A1.3.2'!$B$27:$B$106,0)),"",(VLOOKUP($B81,'Forecast occupancies'!$C$28:$CP$64,65,TRUE) * VLOOKUP($B81,'A1.3.2'!$B$27:$AY$106,50,)) * $CR$5)</f>
        <v>111.09586973493278</v>
      </c>
      <c r="BP81" s="1567">
        <f>IF(ISERROR(MATCH($B81,'A1.3.2'!$B$27:$B$106,0)),"",SUM(BM81:BO81))</f>
        <v>199.45509946261143</v>
      </c>
      <c r="BQ81" s="1565">
        <f>IF(ISERROR(MATCH($B81,'A1.3.2'!$B$27:$B$106,0)),"",(((VLOOKUP($B81,'Forecast occupancies'!$C$28:$CP$64,67,TRUE)-1)*VLOOKUP($B81,'A1.3.2'!$B$27:$AY$106,36,)+VLOOKUP($B81,'A1.3.2'!$B$27:$AY$106,35,))*$CR$5))</f>
        <v>56.620940808824678</v>
      </c>
      <c r="BR81" s="1565">
        <f>IF(ISERROR(MATCH($B81,'A1.3.2'!$B$27:$B$106,0)),"",VLOOKUP($B81,'Forecast occupancies'!$C$28:$CP$64,68,TRUE)*VLOOKUP($B81,'A1.3.2'!$B$27:$AY$106,49,)*$CR$5)</f>
        <v>29.287383248840662</v>
      </c>
      <c r="BS81" s="1565">
        <f>IF(ISERROR(MATCH($B81,'A1.3.2'!$B$27:$B$106,0)),"",VLOOKUP($B81,'Forecast occupancies'!$C$28:$CP$64,69,TRUE)*VLOOKUP($B81,'A1.3.2'!$B$27:$AY$106,50,)*$CR$5)</f>
        <v>23.476584474068019</v>
      </c>
      <c r="BT81" s="1566">
        <f>IF(ISERROR(MATCH($B81,'A1.3.2'!$B$27:$B$106,0)),"",(((BQ81*'VoT5'!$I$28)+(BR81*'VoT5'!$I$29)+(BS81*'VoT5'!$I$30))/100))</f>
        <v>25.086211048377255</v>
      </c>
      <c r="BU81" s="1565">
        <f>IF(ISERROR(MATCH($B81,'A1.3.2'!$B$27:$B$106,0)),"",(VLOOKUP($B81,'Forecast occupancies'!$C$28:$CP$64,71,TRUE) * VLOOKUP($B81, 'A1.3.2'!$B$27:$AY$106,37,)) * $CR$5)</f>
        <v>37.409066311152159</v>
      </c>
      <c r="BV81" s="1565">
        <f>IF(ISERROR(MATCH($B81,'A1.3.2'!$B$27:$B$106,0)),"",(VLOOKUP($B81,'Forecast occupancies'!$C$28:$CP$64,72,TRUE) * (VLOOKUP($B81,'A1.3.2'!$B$27:$AY$106,49,)*'VoT5'!$J$29 + VLOOKUP($B81,'A1.3.2'!$B$27:$AY$106,50,)*'VoT5'!$J$30) / (SUM('VoT5'!$J$29:$J$30))) * $CR$5)</f>
        <v>30.238474880550825</v>
      </c>
      <c r="BW81" s="1566">
        <f>IF(ISERROR(MATCH($B81,'A1.3.2'!$B$27:$B$106,0)),"",(BU81*'VoT5'!$I$31 + BV81*'VoT5'!$I$32)/100)</f>
        <v>36.548595339479995</v>
      </c>
      <c r="BX81" s="1566">
        <f>IF(ISERROR(MATCH($B81,'A1.3.2'!$B$27:$B$106,0)),"",(VLOOKUP($B81,'Forecast occupancies'!$C$28:$CP$64,74,TRUE)*VLOOKUP($B81,'A1.3.2'!$B$27:$AY$106,38,)) * $CR$5)</f>
        <v>34.981655556247148</v>
      </c>
      <c r="BY81" s="1566">
        <f>IF(ISERROR(MATCH($B81,'A1.3.2'!$B$27:$B$106,0)),"",(VLOOKUP($B81,'Forecast occupancies'!$C$28:$CP$64,75,TRUE)*VLOOKUP($B81,'A1.3.2'!$B$27:$AY$106,38,)) * $CR$5)</f>
        <v>34.981655556247148</v>
      </c>
      <c r="BZ81" s="1565">
        <f>IF(ISERROR(MATCH($B81,'A1.3.2'!$B$27:$B$106,0)),"",(((VLOOKUP($B81,'Forecast occupancies'!$C$28:$CP$64,76,TRUE) -1) * VLOOKUP($B81,'A1.3.2'!$B$27:$AY$106,40,)) + VLOOKUP($B81,'A1.3.2'!$B$27:$AY$106,39,)) * $CR$5)</f>
        <v>37.341143862897674</v>
      </c>
      <c r="CA81" s="1565">
        <f>IF(ISERROR(MATCH($B81,'A1.3.2'!$B$27:$B$106,0)),"",(VLOOKUP($B81,'Forecast occupancies'!$C$28:$CP$64,77,TRUE) * VLOOKUP($B81,'A1.3.2'!$B$27:$AY$106,49,)) * $CR$5)</f>
        <v>17.941071989727355</v>
      </c>
      <c r="CB81" s="1565">
        <f>IF(ISERROR(MATCH($B81,'A1.3.2'!$B$27:$B$106,0)),"",(VLOOKUP($B81,'Forecast occupancies'!$C$28:$CP$64,78,TRUE) * VLOOKUP($B81,'A1.3.2'!$B$27:$AY$106,50,)) * $CR$5)</f>
        <v>126.18138892950709</v>
      </c>
      <c r="CC81" s="1567">
        <f>IF(ISERROR(MATCH($B81,'A1.3.2'!$B$27:$B$106,0)),"",SUM(BZ81:CB81))</f>
        <v>181.46360478213211</v>
      </c>
      <c r="CD81" s="1565">
        <f>IF(ISERROR(MATCH($B81,'A1.3.2'!$B$27:$B$106,0)),"",(((VLOOKUP($B81,'Forecast occupancies'!$C$28:$CP$64,80,TRUE)-1)*VLOOKUP($B81,'A1.3.2'!$B$27:$AY$106,36,)+VLOOKUP($B81,'A1.3.2'!$B$27:$AY$106,35,))*$CR$5))</f>
        <v>50.045000559378785</v>
      </c>
      <c r="CE81" s="1565">
        <f>IF(ISERROR(MATCH($B81,'A1.3.2'!$B$27:$B$106,0)),"",VLOOKUP($B81,'Forecast occupancies'!$C$28:$CP$64,81,TRUE)*VLOOKUP($B81,'A1.3.2'!$B$27:$AY$106,49,)*$CR$5)</f>
        <v>27.79365717199628</v>
      </c>
      <c r="CF81" s="1565">
        <f>IF(ISERROR(MATCH($B81,'A1.3.2'!$B$27:$B$106,0)),"",VLOOKUP($B81,'Forecast occupancies'!$C$28:$CP$64,82,TRUE)*VLOOKUP($B81,'A1.3.2'!$B$27:$AY$106,50,)*$CR$5)</f>
        <v>21.11533607151549</v>
      </c>
      <c r="CG81" s="1566">
        <f>IF(ISERROR(MATCH($B81,'A1.3.2'!$B$27:$B$106,0)),"",(((CD81*'VoT5'!$J$28)+(CE81*'VoT5'!$J$29)+(CF81*'VoT5'!$J$30))/100))</f>
        <v>26.306245213998849</v>
      </c>
      <c r="CH81" s="1565">
        <f>IF(ISERROR(MATCH($B81,'A1.3.2'!$B$27:$B$106,0)),"",(VLOOKUP($B81,'Forecast occupancies'!$C$28:$CP$64,84,TRUE) * VLOOKUP($B81, 'A1.3.2'!$B$27:$AY$106,37,)) * $CR$5)</f>
        <v>35.627682201097294</v>
      </c>
      <c r="CI81" s="1565">
        <f>IF(ISERROR(MATCH($B81,'A1.3.2'!$B$27:$B$106,0)),"",(VLOOKUP($B81,'Forecast occupancies'!$C$28:$CP$64,85,TRUE) * (VLOOKUP($B81,'A1.3.2'!$B$27:$AY$106,49,)*'VoT5'!$J$29 + VLOOKUP($B81,'A1.3.2'!$B$27:$AY$106,50,)*'VoT5'!$J$30) / (SUM('VoT5'!$J$29:$J$30))) * $CR$5)</f>
        <v>23.684322689692525</v>
      </c>
      <c r="CJ81" s="1566">
        <f>IF(ISERROR(MATCH($B81,'A1.3.2'!$B$27:$B$106,0)),"",(CH81*'VoT5'!$J$31 + CI81*'VoT5'!$J$32)/100)</f>
        <v>34.194479059728721</v>
      </c>
      <c r="CK81" s="1566">
        <f>IF(ISERROR(MATCH($B81,'A1.3.2'!$B$27:$B$106,0)),"",(VLOOKUP($B81,'Forecast occupancies'!$C$28:$CP$64,87,TRUE)*VLOOKUP($B81,'A1.3.2'!$B$27:$AY$106,38,)) * $CR$5)</f>
        <v>34.981655556247148</v>
      </c>
      <c r="CL81" s="1566">
        <f>IF(ISERROR(MATCH($B81,'A1.3.2'!$B$27:$B$106,0)),"",(VLOOKUP($B81,'Forecast occupancies'!$C$28:$CP$64,88,TRUE)*VLOOKUP($B81,'A1.3.2'!$B$27:$AY$106,38,)) * $CR$5)</f>
        <v>34.981655556247148</v>
      </c>
      <c r="CM81" s="1565">
        <f>IF(ISERROR(MATCH($B81,'A1.3.2'!$B$27:$B$106,0)),"",(((VLOOKUP($B81,'Forecast occupancies'!$C$28:$CP$64,89,TRUE) -1) * VLOOKUP($B81,'A1.3.2'!$B$27:$AY$106,40,)) + VLOOKUP($B81,'A1.3.2'!$B$27:$AY$106,39,)) * $CR$5)</f>
        <v>40.09733691886489</v>
      </c>
      <c r="CN81" s="1565">
        <f>IF(ISERROR(MATCH($B81,'A1.3.2'!$B$27:$B$106,0)),"",(VLOOKUP($B81,'Forecast occupancies'!$C$28:$CP$64,90,TRUE) * VLOOKUP($B81,'A1.3.2'!$B$27:$AY$106,49,)) * $CR$5)</f>
        <v>40.092425322952813</v>
      </c>
      <c r="CO81" s="1565">
        <f>IF(ISERROR(MATCH($B81,'A1.3.2'!$B$27:$B$106,0)),"",(VLOOKUP($B81,'Forecast occupancies'!$C$28:$CP$64,91,TRUE) * VLOOKUP($B81,'A1.3.2'!$B$27:$AY$106,50,)) * $CR$5)</f>
        <v>114.82174038285135</v>
      </c>
      <c r="CP81" s="1567">
        <f>IF(ISERROR(MATCH($B81,'A1.3.2'!$B$27:$B$106,0)),"",SUM(CM81:CO81))</f>
        <v>195.01150262466905</v>
      </c>
    </row>
    <row r="82" spans="1:94" ht="13.5" customHeight="1">
      <c r="A82" s="113"/>
      <c r="B82" s="82">
        <f t="shared" si="0"/>
        <v>2064</v>
      </c>
      <c r="C82" s="26"/>
      <c r="D82" s="1609">
        <f>IF(ISERROR(MATCH($B82,'A1.3.2'!$B$27:$B$106,0)),"",(((VLOOKUP($B82,'Forecast occupancies'!$C$28:$CP$64,2,TRUE) -1) * VLOOKUP($B82,'A1.3.2'!$B$27:$AY$106,36,) + VLOOKUP($B82,'A1.3.2'!$B$27:$AY$106,35,)) * $CR$5))</f>
        <v>49.757375434109797</v>
      </c>
      <c r="E82" s="1565">
        <f>IF(ISERROR(MATCH($B82,'A1.3.2'!$B$27:$B$106,0)),"",VLOOKUP($B82,'Forecast occupancies'!$C$28:$CP$64,3,TRUE)*VLOOKUP($B82,'A1.3.2'!$B$27:$AY$106,49,)*$CR$5)</f>
        <v>28.040814707097081</v>
      </c>
      <c r="F82" s="1565">
        <f>IF(ISERROR(MATCH($B82,'A1.3.2'!$B$27:$B$106,0)),"",VLOOKUP($B82,'Forecast occupancies'!$C$28:$CP$64,4,TRUE)*VLOOKUP($B82,'A1.3.2'!$B$27:$AY$106,50,)*$CR$5)</f>
        <v>19.345989738654463</v>
      </c>
      <c r="G82" s="1566">
        <f>IF(ISERROR(MATCH($B82,'A1.3.2'!$B$27:$B$106,0)),"",(((D82*'VoT5'!$D$28)+(E82*'VoT5'!$D$29)+(F82*'VoT5'!$D$30))/100))</f>
        <v>28.182822333842068</v>
      </c>
      <c r="H82" s="1565">
        <f>IF(ISERROR(MATCH($B82,'A1.3.2'!$B$27:$B$106,0)),"",(VLOOKUP($B82,'Forecast occupancies'!$C$28:$CP$64,6,TRUE) * VLOOKUP($B82, 'A1.3.2'!$B$27:$AY$106,37,)) * $CR$5)</f>
        <v>36.36314202855791</v>
      </c>
      <c r="I82" s="1565">
        <f>IF(ISERROR(MATCH($B82,'A1.3.2'!$B$27:$B$106,0)),"",VLOOKUP($B82,'Forecast occupancies'!$C$28:$CP$64,7,TRUE) * ('VoT5'!$J$29*VLOOKUP($B82, 'A1.3.2'!$B$27:$AY$106,49,)+'VoT5'!$J$30*VLOOKUP($B82, 'A1.3.2'!$B$27:$AY$106,50,))/('VoT5'!$J$29+'VoT5'!$J$30) * $CR$5)</f>
        <v>22.19680841059159</v>
      </c>
      <c r="J82" s="1566">
        <f>IF(ISERROR(MATCH($B82,'A1.3.2'!$B$27:$B$106,0)),"",(H82*'VoT5'!$D$31 + I82*'VoT5'!$D$32)/100)</f>
        <v>34.663181994401953</v>
      </c>
      <c r="K82" s="1566">
        <f>IF(ISERROR(MATCH($B82,'A1.3.2'!$B$27:$B$106,0)),"",(VLOOKUP($B82,'Forecast occupancies'!$C$28:$CP$64,9,TRUE)*VLOOKUP($B82,'A1.3.2'!$B$27:$AY$106,38,)) * $CR$5)</f>
        <v>35.703779499490693</v>
      </c>
      <c r="L82" s="1566">
        <f>IF(ISERROR(MATCH($B82,'A1.3.2'!$B$27:$B$106,0)),"",(VLOOKUP($B82,'Forecast occupancies'!$C$28:$CP$64,10,TRUE)*VLOOKUP($B82,'A1.3.2'!$B$27:$AY$106,38,)) * $CR$5)</f>
        <v>35.703779499490693</v>
      </c>
      <c r="M82" s="1565">
        <f>IF(ISERROR(MATCH($B82,'A1.3.2'!$B$27:$B$106,0)),"",(((VLOOKUP($B82,'Forecast occupancies'!$C$28:$CP$64,11,TRUE) -1) * VLOOKUP($B82,'A1.3.2'!$B$27:$AY$106,40,)) + VLOOKUP($B82,'A1.3.2'!$B$27:$AY$106,39,)) * $CR$5)</f>
        <v>40.684779542054173</v>
      </c>
      <c r="N82" s="1565">
        <f>IF(ISERROR(MATCH($B82,'A1.3.2'!$B$27:$B$106,0)),"",(VLOOKUP($B82,'Forecast occupancies'!$C$28:$CP$64,12,TRUE) * VLOOKUP($B82,'A1.3.2'!$B$27:$AY$106,49,)) * $CR$5)</f>
        <v>55.694419889655457</v>
      </c>
      <c r="O82" s="1565">
        <f>IF(ISERROR(MATCH($B82,'A1.3.2'!$B$27:$B$106,0)),"",(VLOOKUP($B82,'Forecast occupancies'!$C$28:$CP$64,13,TRUE) * VLOOKUP($B82,'A1.3.2'!$B$27:$AY$106,50,)) * $CR$5)</f>
        <v>110.55742888209488</v>
      </c>
      <c r="P82" s="1567">
        <f>IF(ISERROR(MATCH($B82,'A1.3.2'!$B$27:$B$106,0)),"",SUM(M82:O82))</f>
        <v>206.9366283138045</v>
      </c>
      <c r="Q82" s="1609">
        <f>IF(ISERROR(MATCH($B82,'A1.3.2'!$B$27:$B$106,0)),"",(((VLOOKUP($B82,'Forecast occupancies'!$C$28:$CP$64,15,TRUE)-1)*VLOOKUP($B82,'A1.3.2'!$B$27:$AY$106,36,)+VLOOKUP($B82,'A1.3.2'!$B$27:$AY$106,35,))*$CR$5))</f>
        <v>50.9875076334543</v>
      </c>
      <c r="R82" s="1565">
        <f>IF(ISERROR(MATCH($B82,'A1.3.2'!$B$27:$B$106,0)),"",VLOOKUP($B82,'Forecast occupancies'!$C$28:$CP$64,16,TRUE)*VLOOKUP($B82,'A1.3.2'!$B$27:$AY$106,49,)*$CR$5)</f>
        <v>28.496760969049262</v>
      </c>
      <c r="S82" s="1565">
        <f>IF(ISERROR(MATCH($B82,'A1.3.2'!$B$27:$B$106,0)),"",VLOOKUP($B82,'Forecast occupancies'!$C$28:$CP$64,17,TRUE)*VLOOKUP($B82,'A1.3.2'!$B$27:$AY$106,50,)*$CR$5)</f>
        <v>20.608048983375557</v>
      </c>
      <c r="T82" s="1566">
        <f>IF(ISERROR(MATCH($B82,'A1.3.2'!$B$27:$B$106,0)),"",(((Q82*'VoT5'!$E$28)+(R82*'VoT5'!$E$29)+(S82*'VoT5'!$E$30))/100))</f>
        <v>26.542853569324208</v>
      </c>
      <c r="U82" s="1565">
        <f>IF(ISERROR(MATCH($B82,'A1.3.2'!$B$27:$B$106,0)),"",(VLOOKUP($B82,'Forecast occupancies'!$C$28:$CP$64,19,TRUE) * VLOOKUP($B82, 'A1.3.2'!$B$27:$AY$106,37,)) * $CR$5)</f>
        <v>36.36314202855791</v>
      </c>
      <c r="V82" s="1565">
        <f>IF(ISERROR(MATCH($B82,'A1.3.2'!$B$27:$B$106,0)),"",VLOOKUP($B82,'Forecast occupancies'!$C$28:$CP$64,20,TRUE) * ('VoT5'!$J$29*VLOOKUP($B82, 'A1.3.2'!$B$27:$AY$106,49,)+'VoT5'!$J$30*VLOOKUP($B82, 'A1.3.2'!$B$27:$AY$106,50,))/('VoT5'!$J$29+'VoT5'!$J$30) * $CR$5)</f>
        <v>22.19680841059159</v>
      </c>
      <c r="W82" s="1566">
        <f>IF(ISERROR(MATCH($B82,'A1.3.2'!$B$27:$B$106,0)),"",(U82*'VoT5'!$E$31 + V82*'VoT5'!$E$32)/100)</f>
        <v>34.663181994401953</v>
      </c>
      <c r="X82" s="1566">
        <f>IF(ISERROR(MATCH($B82,'A1.3.2'!$B$27:$B$106,0)),"",(VLOOKUP($B82,'Forecast occupancies'!$C$28:$CP$64,22,TRUE)*VLOOKUP($B82,'A1.3.2'!$B$27:$AY$106,38,)) * $CR$5)</f>
        <v>35.703779499490693</v>
      </c>
      <c r="Y82" s="1566">
        <f>IF(ISERROR(MATCH($B82,'A1.3.2'!$B$27:$B$106,0)),"",(VLOOKUP($B82,'Forecast occupancies'!$C$28:$CP$64,23,TRUE)*VLOOKUP($B82,'A1.3.2'!$B$27:$AY$106,38,)) * $CR$5)</f>
        <v>35.703779499490693</v>
      </c>
      <c r="Z82" s="1565">
        <f>IF(ISERROR(MATCH($B82,'A1.3.2'!$B$27:$B$106,0)),"",(((VLOOKUP($B82,'Forecast occupancies'!$C$28:$CP$64,24,TRUE) -1) * VLOOKUP($B82,'A1.3.2'!$B$27:$AY$106,40,)) + VLOOKUP($B82,'A1.3.2'!$B$27:$AY$106,39,)) * $CR$5)</f>
        <v>41.515192072500795</v>
      </c>
      <c r="AA82" s="1565">
        <f>IF(ISERROR(MATCH($B82,'A1.3.2'!$B$27:$B$106,0)),"",(VLOOKUP($B82,'Forecast occupancies'!$C$28:$CP$64,25,TRUE) * VLOOKUP($B82,'A1.3.2'!$B$27:$AY$106,49,)) * $CR$5)</f>
        <v>19.519121890750974</v>
      </c>
      <c r="AB82" s="1565">
        <f>IF(ISERROR(MATCH($B82,'A1.3.2'!$B$27:$B$106,0)),"",(VLOOKUP($B82,'Forecast occupancies'!$C$28:$CP$64,26,TRUE) * VLOOKUP($B82,'A1.3.2'!$B$27:$AY$106,50,)) * $CR$5)</f>
        <v>126.69257772753976</v>
      </c>
      <c r="AC82" s="1567">
        <f>IF(ISERROR(MATCH($B82,'A1.3.2'!$B$27:$B$106,0)),"",SUM(Z82:AB82))</f>
        <v>187.72689169079152</v>
      </c>
      <c r="AD82" s="1609">
        <f>IF(ISERROR(MATCH($B82,'A1.3.2'!$B$27:$B$106,0)),"",(((VLOOKUP($B82,'Forecast occupancies'!$C$28:$CP$64,28,TRUE)-1)*VLOOKUP($B82,'A1.3.2'!$B$27:$AY$106,36,)+VLOOKUP($B82,'A1.3.2'!$B$27:$AY$106,35,))*$CR$5))</f>
        <v>50.475450272892516</v>
      </c>
      <c r="AE82" s="1565">
        <f>IF(ISERROR(MATCH($B82,'A1.3.2'!$B$27:$B$106,0)),"",VLOOKUP($B82,'Forecast occupancies'!$C$28:$CP$64,29,TRUE)*VLOOKUP($B82,'A1.3.2'!$B$27:$AY$106,49,)*$CR$5)</f>
        <v>28.137537487799705</v>
      </c>
      <c r="AF82" s="1565">
        <f>IF(ISERROR(MATCH($B82,'A1.3.2'!$B$27:$B$106,0)),"",VLOOKUP($B82,'Forecast occupancies'!$C$28:$CP$64,30,TRUE)*VLOOKUP($B82,'A1.3.2'!$B$27:$AY$106,50,)*$CR$5)</f>
        <v>20.259268991429458</v>
      </c>
      <c r="AG82" s="1566">
        <f>IF(ISERROR(MATCH($B82,'A1.3.2'!$B$27:$B$106,0)),"",(((AD82*'VoT5'!$F$28)+(AE82*'VoT5'!$F$29)+(AF82*'VoT5'!$F$30))/100))</f>
        <v>27.077906627218454</v>
      </c>
      <c r="AH82" s="1565">
        <f>IF(ISERROR(MATCH($B82,'A1.3.2'!$B$27:$B$106,0)),"",(VLOOKUP($B82,'Forecast occupancies'!$C$28:$CP$64,32,TRUE) * VLOOKUP($B82, 'A1.3.2'!$B$27:$AY$106,37,)) * $CR$5)</f>
        <v>36.36314202855791</v>
      </c>
      <c r="AI82" s="1565">
        <f>IF(ISERROR(MATCH($B82,'A1.3.2'!$B$27:$B$106,0)),"",VLOOKUP($B82,'Forecast occupancies'!$C$28:$CP$64,33,TRUE) * ('VoT5'!$J$29*VLOOKUP($B82, 'A1.3.2'!$B$27:$AY$106,49,)+'VoT5'!$J$30*VLOOKUP($B82, 'A1.3.2'!$B$27:$AY$106,50,))/('VoT5'!$J$29+'VoT5'!$J$30) * $CR$5)</f>
        <v>22.19680841059159</v>
      </c>
      <c r="AJ82" s="1566">
        <f>IF(ISERROR(MATCH($B82,'A1.3.2'!$B$27:$B$106,0)),"",(AH82*'VoT5'!$F$31 + AI82*'VoT5'!$F$32)/100)</f>
        <v>34.663181994401953</v>
      </c>
      <c r="AK82" s="1566">
        <f>IF(ISERROR(MATCH($B82,'A1.3.2'!$B$27:$B$106,0)),"",(VLOOKUP($B82,'Forecast occupancies'!$C$28:$CP$64,35,TRUE)*VLOOKUP($B82,'A1.3.2'!$B$27:$AY$106,38,)) * $CR$5)</f>
        <v>35.703779499490693</v>
      </c>
      <c r="AL82" s="1566">
        <f>IF(ISERROR(MATCH($B82,'A1.3.2'!$B$27:$B$106,0)),"",(VLOOKUP($B82,'Forecast occupancies'!$C$28:$CP$64,36,TRUE)*VLOOKUP($B82,'A1.3.2'!$B$27:$AY$106,38,)) * $CR$5)</f>
        <v>35.703779499490693</v>
      </c>
      <c r="AM82" s="1565">
        <f>IF(ISERROR(MATCH($B82,'A1.3.2'!$B$27:$B$106,0)),"",(((VLOOKUP($B82,'Forecast occupancies'!$C$28:$CP$64,37,TRUE) -1) * VLOOKUP($B82,'A1.3.2'!$B$27:$AY$106,40,)) + VLOOKUP($B82,'A1.3.2'!$B$27:$AY$106,39,)) * $CR$5)</f>
        <v>43.436809001649351</v>
      </c>
      <c r="AN82" s="1565">
        <f>IF(ISERROR(MATCH($B82,'A1.3.2'!$B$27:$B$106,0)),"",(VLOOKUP($B82,'Forecast occupancies'!$C$28:$CP$64,38,TRUE) * VLOOKUP($B82,'A1.3.2'!$B$27:$AY$106,49,)) * $CR$5)</f>
        <v>78.327380740566127</v>
      </c>
      <c r="AO82" s="1565">
        <f>IF(ISERROR(MATCH($B82,'A1.3.2'!$B$27:$B$106,0)),"",(VLOOKUP($B82,'Forecast occupancies'!$C$28:$CP$64,39,TRUE) * VLOOKUP($B82,'A1.3.2'!$B$27:$AY$106,50,)) * $CR$5)</f>
        <v>98.979847152278637</v>
      </c>
      <c r="AP82" s="1567">
        <f>IF(ISERROR(MATCH($B82,'A1.3.2'!$B$27:$B$106,0)),"",SUM(AM82:AO82))</f>
        <v>220.74403689449412</v>
      </c>
      <c r="AQ82" s="1609">
        <f>IF(ISERROR(MATCH($B82,'A1.3.2'!$B$27:$B$106,0)),"",(((VLOOKUP($B82,'Forecast occupancies'!$C$28:$CP$64,41,TRUE)-1)*VLOOKUP($B82,'A1.3.2'!$B$27:$AY$106,36,)+VLOOKUP($B82,'A1.3.2'!$B$27:$AY$106,35,))*$CR$5))</f>
        <v>51.43047719585725</v>
      </c>
      <c r="AR82" s="1565">
        <f>IF(ISERROR(MATCH($B82,'A1.3.2'!$B$27:$B$106,0)),"",VLOOKUP($B82,'Forecast occupancies'!$C$28:$CP$64,42,TRUE)*VLOOKUP($B82,'A1.3.2'!$B$27:$AY$106,49,)*$CR$5)</f>
        <v>28.549357146814579</v>
      </c>
      <c r="AS82" s="1565">
        <f>IF(ISERROR(MATCH($B82,'A1.3.2'!$B$27:$B$106,0)),"",VLOOKUP($B82,'Forecast occupancies'!$C$28:$CP$64,43,TRUE)*VLOOKUP($B82,'A1.3.2'!$B$27:$AY$106,50,)*$CR$5)</f>
        <v>20.18693895867089</v>
      </c>
      <c r="AT82" s="1566">
        <f>IF(ISERROR(MATCH($B82,'A1.3.2'!$B$27:$B$106,0)),"",(((AQ82*'VoT5'!$G$28)+(AR82*'VoT5'!$G$29)+(AS82*'VoT5'!$G$30))/100))</f>
        <v>27.433840290385142</v>
      </c>
      <c r="AU82" s="1565">
        <f>IF(ISERROR(MATCH($B82,'A1.3.2'!$B$27:$B$106,0)),"",(VLOOKUP($B82,'Forecast occupancies'!$C$28:$CP$64,45,TRUE) * VLOOKUP($B82, 'A1.3.2'!$B$27:$AY$106,37,)) * $CR$5)</f>
        <v>36.36314202855791</v>
      </c>
      <c r="AV82" s="1565">
        <f>IF(ISERROR(MATCH($B82,'A1.3.2'!$B$27:$B$106,0)),"",VLOOKUP($B82,'Forecast occupancies'!$C$28:$CP$64,46,TRUE) * ('VoT5'!$J$29*VLOOKUP($B82, 'A1.3.2'!$B$27:$AY$106,49,)+'VoT5'!$J$30*VLOOKUP($B82, 'A1.3.2'!$B$27:$AY$106,50,))/('VoT5'!$J$29+'VoT5'!$J$30) * $CR$5)</f>
        <v>22.19680841059159</v>
      </c>
      <c r="AW82" s="1566">
        <f>IF(ISERROR(MATCH($B82,'A1.3.2'!$B$27:$B$106,0)),"",(AU82*'VoT5'!$G$31 + AV82*'VoT5'!$G$32)/100)</f>
        <v>34.663181994401953</v>
      </c>
      <c r="AX82" s="1566">
        <f>IF(ISERROR(MATCH($B82,'A1.3.2'!$B$27:$B$106,0)),"",(VLOOKUP($B82,'Forecast occupancies'!$C$28:$CP$64,48,TRUE)*VLOOKUP($B82,'A1.3.2'!$B$27:$AY$106,38,)) * $CR$5)</f>
        <v>35.703779499490693</v>
      </c>
      <c r="AY82" s="1566">
        <f>IF(ISERROR(MATCH($B82,'A1.3.2'!$B$27:$B$106,0)),"",(VLOOKUP($B82,'Forecast occupancies'!$C$28:$CP$64,49,TRUE)*VLOOKUP($B82,'A1.3.2'!$B$27:$AY$106,38,)) * $CR$5)</f>
        <v>35.703779499490693</v>
      </c>
      <c r="AZ82" s="1565">
        <f>IF(ISERROR(MATCH($B82,'A1.3.2'!$B$27:$B$106,0)),"",(((VLOOKUP($B82,'Forecast occupancies'!$C$28:$CP$64,50,TRUE) -1) * VLOOKUP($B82,'A1.3.2'!$B$27:$AY$106,40,)) + VLOOKUP($B82,'A1.3.2'!$B$27:$AY$106,39,)) * $CR$5)</f>
        <v>43.401682820370937</v>
      </c>
      <c r="BA82" s="1565">
        <f>IF(ISERROR(MATCH($B82,'A1.3.2'!$B$27:$B$106,0)),"",(VLOOKUP($B82,'Forecast occupancies'!$C$28:$CP$64,51,TRUE) * VLOOKUP($B82,'A1.3.2'!$B$27:$AY$106,49,)) * $CR$5)</f>
        <v>107.07158385655696</v>
      </c>
      <c r="BB82" s="1565">
        <f>IF(ISERROR(MATCH($B82,'A1.3.2'!$B$27:$B$106,0)),"",(VLOOKUP($B82,'Forecast occupancies'!$C$28:$CP$64,52,TRUE) * VLOOKUP($B82,'A1.3.2'!$B$27:$AY$106,50,)) * $CR$5)</f>
        <v>85.876049411174648</v>
      </c>
      <c r="BC82" s="1567">
        <f>IF(ISERROR(MATCH($B82,'A1.3.2'!$B$27:$B$106,0)),"",SUM(AZ82:BB82))</f>
        <v>236.34931608810254</v>
      </c>
      <c r="BD82" s="1565">
        <f>IF(ISERROR(MATCH($B82,'A1.3.2'!$B$27:$B$106,0)),"",(((VLOOKUP($B82,'Forecast occupancies'!$C$28:$CP$64,54,TRUE)-1)*VLOOKUP($B82,'A1.3.2'!$B$27:$AY$106,36,)+VLOOKUP($B82,'A1.3.2'!$B$27:$AY$106,35,))*$CR$5))</f>
        <v>50.565260727163867</v>
      </c>
      <c r="BE82" s="1565">
        <f>IF(ISERROR(MATCH($B82,'A1.3.2'!$B$27:$B$106,0)),"",VLOOKUP($B82,'Forecast occupancies'!$C$28:$CP$64,55,TRUE)*VLOOKUP($B82,'A1.3.2'!$B$27:$AY$106,49,)*$CR$5)</f>
        <v>28.233205349607264</v>
      </c>
      <c r="BF82" s="1565">
        <f>IF(ISERROR(MATCH($B82,'A1.3.2'!$B$27:$B$106,0)),"",VLOOKUP($B82,'Forecast occupancies'!$C$28:$CP$64,56,TRUE)*VLOOKUP($B82,'A1.3.2'!$B$27:$AY$106,50,)*$CR$5)</f>
        <v>20.237096431445494</v>
      </c>
      <c r="BG82" s="1566">
        <f>IF(ISERROR(MATCH($B82,'A1.3.2'!$B$27:$B$106,0)),"",(((BD82*'VoT5'!$H$28)+(BE82*'VoT5'!$H$29)+(BF82*'VoT5'!$H$30))/100))</f>
        <v>27.236272019422408</v>
      </c>
      <c r="BH82" s="1565">
        <f>IF(ISERROR(MATCH($B82,'A1.3.2'!$B$27:$B$106,0)),"",(VLOOKUP($B82,'Forecast occupancies'!$C$28:$CP$64,58,TRUE) * VLOOKUP($B82, 'A1.3.2'!$B$27:$AY$106,37,)) * $CR$5)</f>
        <v>36.36314202855791</v>
      </c>
      <c r="BI82" s="1565">
        <f>IF(ISERROR(MATCH($B82,'A1.3.2'!$B$27:$B$106,0)),"",(VLOOKUP($B82,'Forecast occupancies'!$C$28:$CP$64,59,TRUE) * (VLOOKUP($B82,'A1.3.2'!$B$27:$AY$106,49,) * 'VoT5'!$J$29 + VLOOKUP($B82,'A1.3.2'!$B$27:$AY$106,50,) * 'VoT5'!$J$30) / (SUM('VoT5'!$J$29:$J$30))) * $CR$5)</f>
        <v>22.19680841059159</v>
      </c>
      <c r="BJ82" s="1566">
        <f>IF(ISERROR(MATCH($B82,'A1.3.2'!$B$27:$B$106,0)),"",(BH82*'VoT5'!$H$31 + BI82*'VoT5'!$H$32)/100)</f>
        <v>34.663181994401953</v>
      </c>
      <c r="BK82" s="1566">
        <f>IF(ISERROR(MATCH($B82,'A1.3.2'!$B$27:$B$106,0)),"",(VLOOKUP($B82,'Forecast occupancies'!$C$28:$CP$64,61,TRUE)*VLOOKUP($B82,'A1.3.2'!$B$27:$AY$106,38,)) * $CR$5)</f>
        <v>35.703779499490693</v>
      </c>
      <c r="BL82" s="1566">
        <f>IF(ISERROR(MATCH($B82,'A1.3.2'!$B$27:$B$106,0)),"",(VLOOKUP($B82,'Forecast occupancies'!$C$28:$CP$64,62,TRUE)*VLOOKUP($B82,'A1.3.2'!$B$27:$AY$106,38,)) * $CR$5)</f>
        <v>35.703779499490693</v>
      </c>
      <c r="BM82" s="1565">
        <f>IF(ISERROR(MATCH($B82,'A1.3.2'!$B$27:$B$106,0)),"",(((VLOOKUP($B82,'Forecast occupancies'!$C$28:$CP$64,63,TRUE) -1) * VLOOKUP($B82,'A1.3.2'!$B$27:$AY$106,40,)) + VLOOKUP($B82,'A1.3.2'!$B$27:$AY$106,39,)) * $CR$5)</f>
        <v>41.847523291462167</v>
      </c>
      <c r="BN82" s="1565">
        <f>IF(ISERROR(MATCH($B82,'A1.3.2'!$B$27:$B$106,0)),"",(VLOOKUP($B82,'Forecast occupancies'!$C$28:$CP$64,64,TRUE) * VLOOKUP($B82,'A1.3.2'!$B$27:$AY$106,49,)) * $CR$5)</f>
        <v>48.335700023092855</v>
      </c>
      <c r="BO82" s="1565">
        <f>IF(ISERROR(MATCH($B82,'A1.3.2'!$B$27:$B$106,0)),"",(VLOOKUP($B82,'Forecast occupancies'!$C$28:$CP$64,65,TRUE) * VLOOKUP($B82,'A1.3.2'!$B$27:$AY$106,50,)) * $CR$5)</f>
        <v>113.38921423951368</v>
      </c>
      <c r="BP82" s="1567">
        <f>IF(ISERROR(MATCH($B82,'A1.3.2'!$B$27:$B$106,0)),"",SUM(BM82:BO82))</f>
        <v>203.5724375540687</v>
      </c>
      <c r="BQ82" s="1565">
        <f>IF(ISERROR(MATCH($B82,'A1.3.2'!$B$27:$B$106,0)),"",(((VLOOKUP($B82,'Forecast occupancies'!$C$28:$CP$64,67,TRUE)-1)*VLOOKUP($B82,'A1.3.2'!$B$27:$AY$106,36,)+VLOOKUP($B82,'A1.3.2'!$B$27:$AY$106,35,))*$CR$5))</f>
        <v>57.789763049992892</v>
      </c>
      <c r="BR82" s="1565">
        <f>IF(ISERROR(MATCH($B82,'A1.3.2'!$B$27:$B$106,0)),"",VLOOKUP($B82,'Forecast occupancies'!$C$28:$CP$64,68,TRUE)*VLOOKUP($B82,'A1.3.2'!$B$27:$AY$106,49,)*$CR$5)</f>
        <v>29.891960715019529</v>
      </c>
      <c r="BS82" s="1565">
        <f>IF(ISERROR(MATCH($B82,'A1.3.2'!$B$27:$B$106,0)),"",VLOOKUP($B82,'Forecast occupancies'!$C$28:$CP$64,69,TRUE)*VLOOKUP($B82,'A1.3.2'!$B$27:$AY$106,50,)*$CR$5)</f>
        <v>23.961210015219024</v>
      </c>
      <c r="BT82" s="1566">
        <f>IF(ISERROR(MATCH($B82,'A1.3.2'!$B$27:$B$106,0)),"",(((BQ82*'VoT5'!$I$28)+(BR82*'VoT5'!$I$29)+(BS82*'VoT5'!$I$30))/100))</f>
        <v>25.604064001739228</v>
      </c>
      <c r="BU82" s="1565">
        <f>IF(ISERROR(MATCH($B82,'A1.3.2'!$B$27:$B$106,0)),"",(VLOOKUP($B82,'Forecast occupancies'!$C$28:$CP$64,71,TRUE) * VLOOKUP($B82, 'A1.3.2'!$B$27:$AY$106,37,)) * $CR$5)</f>
        <v>38.18129912998581</v>
      </c>
      <c r="BV82" s="1565">
        <f>IF(ISERROR(MATCH($B82,'A1.3.2'!$B$27:$B$106,0)),"",(VLOOKUP($B82,'Forecast occupancies'!$C$28:$CP$64,72,TRUE) * (VLOOKUP($B82,'A1.3.2'!$B$27:$AY$106,49,)*'VoT5'!$J$29 + VLOOKUP($B82,'A1.3.2'!$B$27:$AY$106,50,)*'VoT5'!$J$30) / (SUM('VoT5'!$J$29:$J$30))) * $CR$5)</f>
        <v>30.862685666781459</v>
      </c>
      <c r="BW82" s="1566">
        <f>IF(ISERROR(MATCH($B82,'A1.3.2'!$B$27:$B$106,0)),"",(BU82*'VoT5'!$I$31 + BV82*'VoT5'!$I$32)/100)</f>
        <v>37.30306551440129</v>
      </c>
      <c r="BX82" s="1566">
        <f>IF(ISERROR(MATCH($B82,'A1.3.2'!$B$27:$B$106,0)),"",(VLOOKUP($B82,'Forecast occupancies'!$C$28:$CP$64,74,TRUE)*VLOOKUP($B82,'A1.3.2'!$B$27:$AY$106,38,)) * $CR$5)</f>
        <v>35.703779499490693</v>
      </c>
      <c r="BY82" s="1566">
        <f>IF(ISERROR(MATCH($B82,'A1.3.2'!$B$27:$B$106,0)),"",(VLOOKUP($B82,'Forecast occupancies'!$C$28:$CP$64,75,TRUE)*VLOOKUP($B82,'A1.3.2'!$B$27:$AY$106,38,)) * $CR$5)</f>
        <v>35.703779499490693</v>
      </c>
      <c r="BZ82" s="1565">
        <f>IF(ISERROR(MATCH($B82,'A1.3.2'!$B$27:$B$106,0)),"",(((VLOOKUP($B82,'Forecast occupancies'!$C$28:$CP$64,76,TRUE) -1) * VLOOKUP($B82,'A1.3.2'!$B$27:$AY$106,40,)) + VLOOKUP($B82,'A1.3.2'!$B$27:$AY$106,39,)) * $CR$5)</f>
        <v>38.111974563238405</v>
      </c>
      <c r="CA82" s="1565">
        <f>IF(ISERROR(MATCH($B82,'A1.3.2'!$B$27:$B$106,0)),"",(VLOOKUP($B82,'Forecast occupancies'!$C$28:$CP$64,77,TRUE) * VLOOKUP($B82,'A1.3.2'!$B$27:$AY$106,49,)) * $CR$5)</f>
        <v>18.31142832207437</v>
      </c>
      <c r="CB82" s="1565">
        <f>IF(ISERROR(MATCH($B82,'A1.3.2'!$B$27:$B$106,0)),"",(VLOOKUP($B82,'Forecast occupancies'!$C$28:$CP$64,78,TRUE) * VLOOKUP($B82,'A1.3.2'!$B$27:$AY$106,50,)) * $CR$5)</f>
        <v>128.78614278374403</v>
      </c>
      <c r="CC82" s="1567">
        <f>IF(ISERROR(MATCH($B82,'A1.3.2'!$B$27:$B$106,0)),"",SUM(BZ82:CB82))</f>
        <v>185.20954566905681</v>
      </c>
      <c r="CD82" s="1565">
        <f>IF(ISERROR(MATCH($B82,'A1.3.2'!$B$27:$B$106,0)),"",(((VLOOKUP($B82,'Forecast occupancies'!$C$28:$CP$64,80,TRUE)-1)*VLOOKUP($B82,'A1.3.2'!$B$27:$AY$106,36,)+VLOOKUP($B82,'A1.3.2'!$B$27:$AY$106,35,))*$CR$5))</f>
        <v>51.078076111948221</v>
      </c>
      <c r="CE82" s="1565">
        <f>IF(ISERROR(MATCH($B82,'A1.3.2'!$B$27:$B$106,0)),"",VLOOKUP($B82,'Forecast occupancies'!$C$28:$CP$64,81,TRUE)*VLOOKUP($B82,'A1.3.2'!$B$27:$AY$106,49,)*$CR$5)</f>
        <v>28.367399752073137</v>
      </c>
      <c r="CF82" s="1565">
        <f>IF(ISERROR(MATCH($B82,'A1.3.2'!$B$27:$B$106,0)),"",VLOOKUP($B82,'Forecast occupancies'!$C$28:$CP$64,82,TRUE)*VLOOKUP($B82,'A1.3.2'!$B$27:$AY$106,50,)*$CR$5)</f>
        <v>21.551218522028972</v>
      </c>
      <c r="CG82" s="1566">
        <f>IF(ISERROR(MATCH($B82,'A1.3.2'!$B$27:$B$106,0)),"",(((CD82*'VoT5'!$J$28)+(CE82*'VoT5'!$J$29)+(CF82*'VoT5'!$J$30))/100))</f>
        <v>26.849283249900846</v>
      </c>
      <c r="CH82" s="1565">
        <f>IF(ISERROR(MATCH($B82,'A1.3.2'!$B$27:$B$106,0)),"",(VLOOKUP($B82,'Forecast occupancies'!$C$28:$CP$64,84,TRUE) * VLOOKUP($B82, 'A1.3.2'!$B$27:$AY$106,37,)) * $CR$5)</f>
        <v>36.36314202855791</v>
      </c>
      <c r="CI82" s="1565">
        <f>IF(ISERROR(MATCH($B82,'A1.3.2'!$B$27:$B$106,0)),"",(VLOOKUP($B82,'Forecast occupancies'!$C$28:$CP$64,85,TRUE) * (VLOOKUP($B82,'A1.3.2'!$B$27:$AY$106,49,)*'VoT5'!$J$29 + VLOOKUP($B82,'A1.3.2'!$B$27:$AY$106,50,)*'VoT5'!$J$30) / (SUM('VoT5'!$J$29:$J$30))) * $CR$5)</f>
        <v>24.173236556740157</v>
      </c>
      <c r="CJ82" s="1566">
        <f>IF(ISERROR(MATCH($B82,'A1.3.2'!$B$27:$B$106,0)),"",(CH82*'VoT5'!$J$31 + CI82*'VoT5'!$J$32)/100)</f>
        <v>34.900353371939779</v>
      </c>
      <c r="CK82" s="1566">
        <f>IF(ISERROR(MATCH($B82,'A1.3.2'!$B$27:$B$106,0)),"",(VLOOKUP($B82,'Forecast occupancies'!$C$28:$CP$64,87,TRUE)*VLOOKUP($B82,'A1.3.2'!$B$27:$AY$106,38,)) * $CR$5)</f>
        <v>35.703779499490693</v>
      </c>
      <c r="CL82" s="1566">
        <f>IF(ISERROR(MATCH($B82,'A1.3.2'!$B$27:$B$106,0)),"",(VLOOKUP($B82,'Forecast occupancies'!$C$28:$CP$64,88,TRUE)*VLOOKUP($B82,'A1.3.2'!$B$27:$AY$106,38,)) * $CR$5)</f>
        <v>35.703779499490693</v>
      </c>
      <c r="CM82" s="1565">
        <f>IF(ISERROR(MATCH($B82,'A1.3.2'!$B$27:$B$106,0)),"",(((VLOOKUP($B82,'Forecast occupancies'!$C$28:$CP$64,89,TRUE) -1) * VLOOKUP($B82,'A1.3.2'!$B$27:$AY$106,40,)) + VLOOKUP($B82,'A1.3.2'!$B$27:$AY$106,39,)) * $CR$5)</f>
        <v>40.925063525539016</v>
      </c>
      <c r="CN82" s="1565">
        <f>IF(ISERROR(MATCH($B82,'A1.3.2'!$B$27:$B$106,0)),"",(VLOOKUP($B82,'Forecast occupancies'!$C$28:$CP$64,90,TRUE) * VLOOKUP($B82,'A1.3.2'!$B$27:$AY$106,49,)) * $CR$5)</f>
        <v>40.920050539885629</v>
      </c>
      <c r="CO82" s="1565">
        <f>IF(ISERROR(MATCH($B82,'A1.3.2'!$B$27:$B$106,0)),"",(VLOOKUP($B82,'Forecast occupancies'!$C$28:$CP$64,91,TRUE) * VLOOKUP($B82,'A1.3.2'!$B$27:$AY$106,50,)) * $CR$5)</f>
        <v>117.1919977825342</v>
      </c>
      <c r="CP82" s="1567">
        <f>IF(ISERROR(MATCH($B82,'A1.3.2'!$B$27:$B$106,0)),"",SUM(CM82:CO82))</f>
        <v>199.03711184795884</v>
      </c>
    </row>
    <row r="83" spans="1:94" ht="13.5" customHeight="1">
      <c r="A83" s="113"/>
      <c r="B83" s="82">
        <f t="shared" si="0"/>
        <v>2065</v>
      </c>
      <c r="C83" s="26"/>
      <c r="D83" s="1609">
        <f>IF(ISERROR(MATCH($B83,'A1.3.2'!$B$27:$B$106,0)),"",(((VLOOKUP($B83,'Forecast occupancies'!$C$28:$CP$64,2,TRUE) -1) * VLOOKUP($B83,'A1.3.2'!$B$27:$AY$106,36,) + VLOOKUP($B83,'A1.3.2'!$B$27:$AY$106,35,)) * $CR$5))</f>
        <v>50.818735586372767</v>
      </c>
      <c r="E83" s="1565">
        <f>IF(ISERROR(MATCH($B83,'A1.3.2'!$B$27:$B$106,0)),"",VLOOKUP($B83,'Forecast occupancies'!$C$28:$CP$64,3,TRUE)*VLOOKUP($B83,'A1.3.2'!$B$27:$AY$106,49,)*$CR$5)</f>
        <v>28.638945197450472</v>
      </c>
      <c r="F83" s="1565">
        <f>IF(ISERROR(MATCH($B83,'A1.3.2'!$B$27:$B$106,0)),"",VLOOKUP($B83,'Forecast occupancies'!$C$28:$CP$64,4,TRUE)*VLOOKUP($B83,'A1.3.2'!$B$27:$AY$106,50,)*$CR$5)</f>
        <v>19.758653437966466</v>
      </c>
      <c r="G83" s="1566">
        <f>IF(ISERROR(MATCH($B83,'A1.3.2'!$B$27:$B$106,0)),"",(((D83*'VoT5'!$D$28)+(E83*'VoT5'!$D$29)+(F83*'VoT5'!$D$30))/100))</f>
        <v>28.783981947717947</v>
      </c>
      <c r="H83" s="1565">
        <f>IF(ISERROR(MATCH($B83,'A1.3.2'!$B$27:$B$106,0)),"",(VLOOKUP($B83,'Forecast occupancies'!$C$28:$CP$64,6,TRUE) * VLOOKUP($B83, 'A1.3.2'!$B$27:$AY$106,37,)) * $CR$5)</f>
        <v>37.138793670620466</v>
      </c>
      <c r="I83" s="1565">
        <f>IF(ISERROR(MATCH($B83,'A1.3.2'!$B$27:$B$106,0)),"",VLOOKUP($B83,'Forecast occupancies'!$C$28:$CP$64,7,TRUE) * ('VoT5'!$J$29*VLOOKUP($B83, 'A1.3.2'!$B$27:$AY$106,49,)+'VoT5'!$J$30*VLOOKUP($B83, 'A1.3.2'!$B$27:$AY$106,50,))/('VoT5'!$J$29+'VoT5'!$J$30) * $CR$5)</f>
        <v>22.670282096630654</v>
      </c>
      <c r="J83" s="1566">
        <f>IF(ISERROR(MATCH($B83,'A1.3.2'!$B$27:$B$106,0)),"",(H83*'VoT5'!$D$31 + I83*'VoT5'!$D$32)/100)</f>
        <v>35.402572281741683</v>
      </c>
      <c r="K83" s="1566">
        <f>IF(ISERROR(MATCH($B83,'A1.3.2'!$B$27:$B$106,0)),"",(VLOOKUP($B83,'Forecast occupancies'!$C$28:$CP$64,9,TRUE)*VLOOKUP($B83,'A1.3.2'!$B$27:$AY$106,38,)) * $CR$5)</f>
        <v>36.465366470574487</v>
      </c>
      <c r="L83" s="1566">
        <f>IF(ISERROR(MATCH($B83,'A1.3.2'!$B$27:$B$106,0)),"",(VLOOKUP($B83,'Forecast occupancies'!$C$28:$CP$64,10,TRUE)*VLOOKUP($B83,'A1.3.2'!$B$27:$AY$106,38,)) * $CR$5)</f>
        <v>36.465366470574487</v>
      </c>
      <c r="M83" s="1565">
        <f>IF(ISERROR(MATCH($B83,'A1.3.2'!$B$27:$B$106,0)),"",(((VLOOKUP($B83,'Forecast occupancies'!$C$28:$CP$64,11,TRUE) -1) * VLOOKUP($B83,'A1.3.2'!$B$27:$AY$106,40,)) + VLOOKUP($B83,'A1.3.2'!$B$27:$AY$106,39,)) * $CR$5)</f>
        <v>41.552614781208241</v>
      </c>
      <c r="N83" s="1565">
        <f>IF(ISERROR(MATCH($B83,'A1.3.2'!$B$27:$B$106,0)),"",(VLOOKUP($B83,'Forecast occupancies'!$C$28:$CP$64,12,TRUE) * VLOOKUP($B83,'A1.3.2'!$B$27:$AY$106,49,)) * $CR$5)</f>
        <v>56.882421416234351</v>
      </c>
      <c r="O83" s="1565">
        <f>IF(ISERROR(MATCH($B83,'A1.3.2'!$B$27:$B$106,0)),"",(VLOOKUP($B83,'Forecast occupancies'!$C$28:$CP$64,13,TRUE) * VLOOKUP($B83,'A1.3.2'!$B$27:$AY$106,50,)) * $CR$5)</f>
        <v>112.91569735040444</v>
      </c>
      <c r="P83" s="1567">
        <f>IF(ISERROR(MATCH($B83,'A1.3.2'!$B$27:$B$106,0)),"",SUM(M83:O83))</f>
        <v>211.35073354784703</v>
      </c>
      <c r="Q83" s="1609">
        <f>IF(ISERROR(MATCH($B83,'A1.3.2'!$B$27:$B$106,0)),"",(((VLOOKUP($B83,'Forecast occupancies'!$C$28:$CP$64,15,TRUE)-1)*VLOOKUP($B83,'A1.3.2'!$B$27:$AY$106,36,)+VLOOKUP($B83,'A1.3.2'!$B$27:$AY$106,35,))*$CR$5))</f>
        <v>52.075107379084265</v>
      </c>
      <c r="R83" s="1565">
        <f>IF(ISERROR(MATCH($B83,'A1.3.2'!$B$27:$B$106,0)),"",VLOOKUP($B83,'Forecast occupancies'!$C$28:$CP$64,16,TRUE)*VLOOKUP($B83,'A1.3.2'!$B$27:$AY$106,49,)*$CR$5)</f>
        <v>29.104617116951655</v>
      </c>
      <c r="S83" s="1565">
        <f>IF(ISERROR(MATCH($B83,'A1.3.2'!$B$27:$B$106,0)),"",VLOOKUP($B83,'Forecast occupancies'!$C$28:$CP$64,17,TRUE)*VLOOKUP($B83,'A1.3.2'!$B$27:$AY$106,50,)*$CR$5)</f>
        <v>21.047633302604819</v>
      </c>
      <c r="T83" s="1566">
        <f>IF(ISERROR(MATCH($B83,'A1.3.2'!$B$27:$B$106,0)),"",(((Q83*'VoT5'!$E$28)+(R83*'VoT5'!$E$29)+(S83*'VoT5'!$E$30))/100))</f>
        <v>27.109031484860306</v>
      </c>
      <c r="U83" s="1565">
        <f>IF(ISERROR(MATCH($B83,'A1.3.2'!$B$27:$B$106,0)),"",(VLOOKUP($B83,'Forecast occupancies'!$C$28:$CP$64,19,TRUE) * VLOOKUP($B83, 'A1.3.2'!$B$27:$AY$106,37,)) * $CR$5)</f>
        <v>37.138793670620466</v>
      </c>
      <c r="V83" s="1565">
        <f>IF(ISERROR(MATCH($B83,'A1.3.2'!$B$27:$B$106,0)),"",VLOOKUP($B83,'Forecast occupancies'!$C$28:$CP$64,20,TRUE) * ('VoT5'!$J$29*VLOOKUP($B83, 'A1.3.2'!$B$27:$AY$106,49,)+'VoT5'!$J$30*VLOOKUP($B83, 'A1.3.2'!$B$27:$AY$106,50,))/('VoT5'!$J$29+'VoT5'!$J$30) * $CR$5)</f>
        <v>22.670282096630654</v>
      </c>
      <c r="W83" s="1566">
        <f>IF(ISERROR(MATCH($B83,'A1.3.2'!$B$27:$B$106,0)),"",(U83*'VoT5'!$E$31 + V83*'VoT5'!$E$32)/100)</f>
        <v>35.402572281741683</v>
      </c>
      <c r="X83" s="1566">
        <f>IF(ISERROR(MATCH($B83,'A1.3.2'!$B$27:$B$106,0)),"",(VLOOKUP($B83,'Forecast occupancies'!$C$28:$CP$64,22,TRUE)*VLOOKUP($B83,'A1.3.2'!$B$27:$AY$106,38,)) * $CR$5)</f>
        <v>36.465366470574487</v>
      </c>
      <c r="Y83" s="1566">
        <f>IF(ISERROR(MATCH($B83,'A1.3.2'!$B$27:$B$106,0)),"",(VLOOKUP($B83,'Forecast occupancies'!$C$28:$CP$64,23,TRUE)*VLOOKUP($B83,'A1.3.2'!$B$27:$AY$106,38,)) * $CR$5)</f>
        <v>36.465366470574487</v>
      </c>
      <c r="Z83" s="1565">
        <f>IF(ISERROR(MATCH($B83,'A1.3.2'!$B$27:$B$106,0)),"",(((VLOOKUP($B83,'Forecast occupancies'!$C$28:$CP$64,24,TRUE) -1) * VLOOKUP($B83,'A1.3.2'!$B$27:$AY$106,40,)) + VLOOKUP($B83,'A1.3.2'!$B$27:$AY$106,39,)) * $CR$5)</f>
        <v>42.400740600630947</v>
      </c>
      <c r="AA83" s="1565">
        <f>IF(ISERROR(MATCH($B83,'A1.3.2'!$B$27:$B$106,0)),"",(VLOOKUP($B83,'Forecast occupancies'!$C$28:$CP$64,25,TRUE) * VLOOKUP($B83,'A1.3.2'!$B$27:$AY$106,49,)) * $CR$5)</f>
        <v>19.935478621813697</v>
      </c>
      <c r="AB83" s="1565">
        <f>IF(ISERROR(MATCH($B83,'A1.3.2'!$B$27:$B$106,0)),"",(VLOOKUP($B83,'Forecast occupancies'!$C$28:$CP$64,26,TRUE) * VLOOKUP($B83,'A1.3.2'!$B$27:$AY$106,50,)) * $CR$5)</f>
        <v>129.3950203787916</v>
      </c>
      <c r="AC83" s="1567">
        <f>IF(ISERROR(MATCH($B83,'A1.3.2'!$B$27:$B$106,0)),"",SUM(Z83:AB83))</f>
        <v>191.73123960123624</v>
      </c>
      <c r="AD83" s="1609">
        <f>IF(ISERROR(MATCH($B83,'A1.3.2'!$B$27:$B$106,0)),"",(((VLOOKUP($B83,'Forecast occupancies'!$C$28:$CP$64,28,TRUE)-1)*VLOOKUP($B83,'A1.3.2'!$B$27:$AY$106,36,)+VLOOKUP($B83,'A1.3.2'!$B$27:$AY$106,35,))*$CR$5))</f>
        <v>51.552127471393909</v>
      </c>
      <c r="AE83" s="1565">
        <f>IF(ISERROR(MATCH($B83,'A1.3.2'!$B$27:$B$106,0)),"",VLOOKUP($B83,'Forecast occupancies'!$C$28:$CP$64,29,TRUE)*VLOOKUP($B83,'A1.3.2'!$B$27:$AY$106,49,)*$CR$5)</f>
        <v>28.737731143751326</v>
      </c>
      <c r="AF83" s="1565">
        <f>IF(ISERROR(MATCH($B83,'A1.3.2'!$B$27:$B$106,0)),"",VLOOKUP($B83,'Forecast occupancies'!$C$28:$CP$64,30,TRUE)*VLOOKUP($B83,'A1.3.2'!$B$27:$AY$106,50,)*$CR$5)</f>
        <v>20.691413585751036</v>
      </c>
      <c r="AG83" s="1566">
        <f>IF(ISERROR(MATCH($B83,'A1.3.2'!$B$27:$B$106,0)),"",(((AD83*'VoT5'!$F$28)+(AE83*'VoT5'!$F$29)+(AF83*'VoT5'!$F$30))/100))</f>
        <v>27.655497604437187</v>
      </c>
      <c r="AH83" s="1565">
        <f>IF(ISERROR(MATCH($B83,'A1.3.2'!$B$27:$B$106,0)),"",(VLOOKUP($B83,'Forecast occupancies'!$C$28:$CP$64,32,TRUE) * VLOOKUP($B83, 'A1.3.2'!$B$27:$AY$106,37,)) * $CR$5)</f>
        <v>37.138793670620466</v>
      </c>
      <c r="AI83" s="1565">
        <f>IF(ISERROR(MATCH($B83,'A1.3.2'!$B$27:$B$106,0)),"",VLOOKUP($B83,'Forecast occupancies'!$C$28:$CP$64,33,TRUE) * ('VoT5'!$J$29*VLOOKUP($B83, 'A1.3.2'!$B$27:$AY$106,49,)+'VoT5'!$J$30*VLOOKUP($B83, 'A1.3.2'!$B$27:$AY$106,50,))/('VoT5'!$J$29+'VoT5'!$J$30) * $CR$5)</f>
        <v>22.670282096630654</v>
      </c>
      <c r="AJ83" s="1566">
        <f>IF(ISERROR(MATCH($B83,'A1.3.2'!$B$27:$B$106,0)),"",(AH83*'VoT5'!$F$31 + AI83*'VoT5'!$F$32)/100)</f>
        <v>35.402572281741683</v>
      </c>
      <c r="AK83" s="1566">
        <f>IF(ISERROR(MATCH($B83,'A1.3.2'!$B$27:$B$106,0)),"",(VLOOKUP($B83,'Forecast occupancies'!$C$28:$CP$64,35,TRUE)*VLOOKUP($B83,'A1.3.2'!$B$27:$AY$106,38,)) * $CR$5)</f>
        <v>36.465366470574487</v>
      </c>
      <c r="AL83" s="1566">
        <f>IF(ISERROR(MATCH($B83,'A1.3.2'!$B$27:$B$106,0)),"",(VLOOKUP($B83,'Forecast occupancies'!$C$28:$CP$64,36,TRUE)*VLOOKUP($B83,'A1.3.2'!$B$27:$AY$106,38,)) * $CR$5)</f>
        <v>36.465366470574487</v>
      </c>
      <c r="AM83" s="1565">
        <f>IF(ISERROR(MATCH($B83,'A1.3.2'!$B$27:$B$106,0)),"",(((VLOOKUP($B83,'Forecast occupancies'!$C$28:$CP$64,37,TRUE) -1) * VLOOKUP($B83,'A1.3.2'!$B$27:$AY$106,40,)) + VLOOKUP($B83,'A1.3.2'!$B$27:$AY$106,39,)) * $CR$5)</f>
        <v>44.363346983477946</v>
      </c>
      <c r="AN83" s="1565">
        <f>IF(ISERROR(MATCH($B83,'A1.3.2'!$B$27:$B$106,0)),"",(VLOOKUP($B83,'Forecast occupancies'!$C$28:$CP$64,38,TRUE) * VLOOKUP($B83,'A1.3.2'!$B$27:$AY$106,49,)) * $CR$5)</f>
        <v>79.998159394461439</v>
      </c>
      <c r="AO83" s="1565">
        <f>IF(ISERROR(MATCH($B83,'A1.3.2'!$B$27:$B$106,0)),"",(VLOOKUP($B83,'Forecast occupancies'!$C$28:$CP$64,39,TRUE) * VLOOKUP($B83,'A1.3.2'!$B$27:$AY$106,50,)) * $CR$5)</f>
        <v>101.09115758069184</v>
      </c>
      <c r="AP83" s="1567">
        <f>IF(ISERROR(MATCH($B83,'A1.3.2'!$B$27:$B$106,0)),"",SUM(AM83:AO83))</f>
        <v>225.45266395863121</v>
      </c>
      <c r="AQ83" s="1609">
        <f>IF(ISERROR(MATCH($B83,'A1.3.2'!$B$27:$B$106,0)),"",(((VLOOKUP($B83,'Forecast occupancies'!$C$28:$CP$64,41,TRUE)-1)*VLOOKUP($B83,'A1.3.2'!$B$27:$AY$106,36,)+VLOOKUP($B83,'A1.3.2'!$B$27:$AY$106,35,))*$CR$5))</f>
        <v>52.527525796819674</v>
      </c>
      <c r="AR83" s="1565">
        <f>IF(ISERROR(MATCH($B83,'A1.3.2'!$B$27:$B$106,0)),"",VLOOKUP($B83,'Forecast occupancies'!$C$28:$CP$64,42,TRUE)*VLOOKUP($B83,'A1.3.2'!$B$27:$AY$106,49,)*$CR$5)</f>
        <v>29.15833520853888</v>
      </c>
      <c r="AS83" s="1565">
        <f>IF(ISERROR(MATCH($B83,'A1.3.2'!$B$27:$B$106,0)),"",VLOOKUP($B83,'Forecast occupancies'!$C$28:$CP$64,43,TRUE)*VLOOKUP($B83,'A1.3.2'!$B$27:$AY$106,50,)*$CR$5)</f>
        <v>20.617540702029931</v>
      </c>
      <c r="AT83" s="1566">
        <f>IF(ISERROR(MATCH($B83,'A1.3.2'!$B$27:$B$106,0)),"",(((AQ83*'VoT5'!$G$28)+(AR83*'VoT5'!$G$29)+(AS83*'VoT5'!$G$30))/100))</f>
        <v>28.019023585398742</v>
      </c>
      <c r="AU83" s="1565">
        <f>IF(ISERROR(MATCH($B83,'A1.3.2'!$B$27:$B$106,0)),"",(VLOOKUP($B83,'Forecast occupancies'!$C$28:$CP$64,45,TRUE) * VLOOKUP($B83, 'A1.3.2'!$B$27:$AY$106,37,)) * $CR$5)</f>
        <v>37.138793670620466</v>
      </c>
      <c r="AV83" s="1565">
        <f>IF(ISERROR(MATCH($B83,'A1.3.2'!$B$27:$B$106,0)),"",VLOOKUP($B83,'Forecast occupancies'!$C$28:$CP$64,46,TRUE) * ('VoT5'!$J$29*VLOOKUP($B83, 'A1.3.2'!$B$27:$AY$106,49,)+'VoT5'!$J$30*VLOOKUP($B83, 'A1.3.2'!$B$27:$AY$106,50,))/('VoT5'!$J$29+'VoT5'!$J$30) * $CR$5)</f>
        <v>22.670282096630654</v>
      </c>
      <c r="AW83" s="1566">
        <f>IF(ISERROR(MATCH($B83,'A1.3.2'!$B$27:$B$106,0)),"",(AU83*'VoT5'!$G$31 + AV83*'VoT5'!$G$32)/100)</f>
        <v>35.402572281741683</v>
      </c>
      <c r="AX83" s="1566">
        <f>IF(ISERROR(MATCH($B83,'A1.3.2'!$B$27:$B$106,0)),"",(VLOOKUP($B83,'Forecast occupancies'!$C$28:$CP$64,48,TRUE)*VLOOKUP($B83,'A1.3.2'!$B$27:$AY$106,38,)) * $CR$5)</f>
        <v>36.465366470574487</v>
      </c>
      <c r="AY83" s="1566">
        <f>IF(ISERROR(MATCH($B83,'A1.3.2'!$B$27:$B$106,0)),"",(VLOOKUP($B83,'Forecast occupancies'!$C$28:$CP$64,49,TRUE)*VLOOKUP($B83,'A1.3.2'!$B$27:$AY$106,38,)) * $CR$5)</f>
        <v>36.465366470574487</v>
      </c>
      <c r="AZ83" s="1565">
        <f>IF(ISERROR(MATCH($B83,'A1.3.2'!$B$27:$B$106,0)),"",(((VLOOKUP($B83,'Forecast occupancies'!$C$28:$CP$64,50,TRUE) -1) * VLOOKUP($B83,'A1.3.2'!$B$27:$AY$106,40,)) + VLOOKUP($B83,'A1.3.2'!$B$27:$AY$106,39,)) * $CR$5)</f>
        <v>44.32747153580867</v>
      </c>
      <c r="BA83" s="1565">
        <f>IF(ISERROR(MATCH($B83,'A1.3.2'!$B$27:$B$106,0)),"",(VLOOKUP($B83,'Forecast occupancies'!$C$28:$CP$64,51,TRUE) * VLOOKUP($B83,'A1.3.2'!$B$27:$AY$106,49,)) * $CR$5)</f>
        <v>109.35549677506526</v>
      </c>
      <c r="BB83" s="1565">
        <f>IF(ISERROR(MATCH($B83,'A1.3.2'!$B$27:$B$106,0)),"",(VLOOKUP($B83,'Forecast occupancies'!$C$28:$CP$64,52,TRUE) * VLOOKUP($B83,'A1.3.2'!$B$27:$AY$106,50,)) * $CR$5)</f>
        <v>87.707846528357479</v>
      </c>
      <c r="BC83" s="1567">
        <f>IF(ISERROR(MATCH($B83,'A1.3.2'!$B$27:$B$106,0)),"",SUM(AZ83:BB83))</f>
        <v>241.39081483923144</v>
      </c>
      <c r="BD83" s="1565">
        <f>IF(ISERROR(MATCH($B83,'A1.3.2'!$B$27:$B$106,0)),"",(((VLOOKUP($B83,'Forecast occupancies'!$C$28:$CP$64,54,TRUE)-1)*VLOOKUP($B83,'A1.3.2'!$B$27:$AY$106,36,)+VLOOKUP($B83,'A1.3.2'!$B$27:$AY$106,35,))*$CR$5))</f>
        <v>51.643853646432056</v>
      </c>
      <c r="BE83" s="1565">
        <f>IF(ISERROR(MATCH($B83,'A1.3.2'!$B$27:$B$106,0)),"",VLOOKUP($B83,'Forecast occupancies'!$C$28:$CP$64,55,TRUE)*VLOOKUP($B83,'A1.3.2'!$B$27:$AY$106,49,)*$CR$5)</f>
        <v>28.835439668987952</v>
      </c>
      <c r="BF83" s="1565">
        <f>IF(ISERROR(MATCH($B83,'A1.3.2'!$B$27:$B$106,0)),"",VLOOKUP($B83,'Forecast occupancies'!$C$28:$CP$64,56,TRUE)*VLOOKUP($B83,'A1.3.2'!$B$27:$AY$106,50,)*$CR$5)</f>
        <v>20.668768069317192</v>
      </c>
      <c r="BG83" s="1566">
        <f>IF(ISERROR(MATCH($B83,'A1.3.2'!$B$27:$B$106,0)),"",(((BD83*'VoT5'!$H$28)+(BE83*'VoT5'!$H$29)+(BF83*'VoT5'!$H$30))/100))</f>
        <v>27.817241042917022</v>
      </c>
      <c r="BH83" s="1565">
        <f>IF(ISERROR(MATCH($B83,'A1.3.2'!$B$27:$B$106,0)),"",(VLOOKUP($B83,'Forecast occupancies'!$C$28:$CP$64,58,TRUE) * VLOOKUP($B83, 'A1.3.2'!$B$27:$AY$106,37,)) * $CR$5)</f>
        <v>37.138793670620466</v>
      </c>
      <c r="BI83" s="1565">
        <f>IF(ISERROR(MATCH($B83,'A1.3.2'!$B$27:$B$106,0)),"",(VLOOKUP($B83,'Forecast occupancies'!$C$28:$CP$64,59,TRUE) * (VLOOKUP($B83,'A1.3.2'!$B$27:$AY$106,49,) * 'VoT5'!$J$29 + VLOOKUP($B83,'A1.3.2'!$B$27:$AY$106,50,) * 'VoT5'!$J$30) / (SUM('VoT5'!$J$29:$J$30))) * $CR$5)</f>
        <v>22.670282096630654</v>
      </c>
      <c r="BJ83" s="1566">
        <f>IF(ISERROR(MATCH($B83,'A1.3.2'!$B$27:$B$106,0)),"",(BH83*'VoT5'!$H$31 + BI83*'VoT5'!$H$32)/100)</f>
        <v>35.402572281741683</v>
      </c>
      <c r="BK83" s="1566">
        <f>IF(ISERROR(MATCH($B83,'A1.3.2'!$B$27:$B$106,0)),"",(VLOOKUP($B83,'Forecast occupancies'!$C$28:$CP$64,61,TRUE)*VLOOKUP($B83,'A1.3.2'!$B$27:$AY$106,38,)) * $CR$5)</f>
        <v>36.465366470574487</v>
      </c>
      <c r="BL83" s="1566">
        <f>IF(ISERROR(MATCH($B83,'A1.3.2'!$B$27:$B$106,0)),"",(VLOOKUP($B83,'Forecast occupancies'!$C$28:$CP$64,62,TRUE)*VLOOKUP($B83,'A1.3.2'!$B$27:$AY$106,38,)) * $CR$5)</f>
        <v>36.465366470574487</v>
      </c>
      <c r="BM83" s="1565">
        <f>IF(ISERROR(MATCH($B83,'A1.3.2'!$B$27:$B$106,0)),"",(((VLOOKUP($B83,'Forecast occupancies'!$C$28:$CP$64,63,TRUE) -1) * VLOOKUP($B83,'A1.3.2'!$B$27:$AY$106,40,)) + VLOOKUP($B83,'A1.3.2'!$B$27:$AY$106,39,)) * $CR$5)</f>
        <v>42.740160680491464</v>
      </c>
      <c r="BN83" s="1565">
        <f>IF(ISERROR(MATCH($B83,'A1.3.2'!$B$27:$B$106,0)),"",(VLOOKUP($B83,'Forecast occupancies'!$C$28:$CP$64,64,TRUE) * VLOOKUP($B83,'A1.3.2'!$B$27:$AY$106,49,)) * $CR$5)</f>
        <v>49.366734829263081</v>
      </c>
      <c r="BO83" s="1565">
        <f>IF(ISERROR(MATCH($B83,'A1.3.2'!$B$27:$B$106,0)),"",(VLOOKUP($B83,'Forecast occupancies'!$C$28:$CP$64,65,TRUE) * VLOOKUP($B83,'A1.3.2'!$B$27:$AY$106,50,)) * $CR$5)</f>
        <v>115.80788670043547</v>
      </c>
      <c r="BP83" s="1567">
        <f>IF(ISERROR(MATCH($B83,'A1.3.2'!$B$27:$B$106,0)),"",SUM(BM83:BO83))</f>
        <v>207.91478221019003</v>
      </c>
      <c r="BQ83" s="1565">
        <f>IF(ISERROR(MATCH($B83,'A1.3.2'!$B$27:$B$106,0)),"",(((VLOOKUP($B83,'Forecast occupancies'!$C$28:$CP$64,67,TRUE)-1)*VLOOKUP($B83,'A1.3.2'!$B$27:$AY$106,36,)+VLOOKUP($B83,'A1.3.2'!$B$27:$AY$106,35,))*$CR$5))</f>
        <v>59.022459734149876</v>
      </c>
      <c r="BR83" s="1565">
        <f>IF(ISERROR(MATCH($B83,'A1.3.2'!$B$27:$B$106,0)),"",VLOOKUP($B83,'Forecast occupancies'!$C$28:$CP$64,68,TRUE)*VLOOKUP($B83,'A1.3.2'!$B$27:$AY$106,49,)*$CR$5)</f>
        <v>30.52957746427802</v>
      </c>
      <c r="BS83" s="1565">
        <f>IF(ISERROR(MATCH($B83,'A1.3.2'!$B$27:$B$106,0)),"",VLOOKUP($B83,'Forecast occupancies'!$C$28:$CP$64,69,TRUE)*VLOOKUP($B83,'A1.3.2'!$B$27:$AY$106,50,)*$CR$5)</f>
        <v>24.472319640441011</v>
      </c>
      <c r="BT83" s="1566">
        <f>IF(ISERROR(MATCH($B83,'A1.3.2'!$B$27:$B$106,0)),"",(((BQ83*'VoT5'!$I$28)+(BR83*'VoT5'!$I$29)+(BS83*'VoT5'!$I$30))/100))</f>
        <v>26.150216869135193</v>
      </c>
      <c r="BU83" s="1565">
        <f>IF(ISERROR(MATCH($B83,'A1.3.2'!$B$27:$B$106,0)),"",(VLOOKUP($B83,'Forecast occupancies'!$C$28:$CP$64,71,TRUE) * VLOOKUP($B83, 'A1.3.2'!$B$27:$AY$106,37,)) * $CR$5)</f>
        <v>38.99573335415149</v>
      </c>
      <c r="BV83" s="1565">
        <f>IF(ISERROR(MATCH($B83,'A1.3.2'!$B$27:$B$106,0)),"",(VLOOKUP($B83,'Forecast occupancies'!$C$28:$CP$64,72,TRUE) * (VLOOKUP($B83,'A1.3.2'!$B$27:$AY$106,49,)*'VoT5'!$J$29 + VLOOKUP($B83,'A1.3.2'!$B$27:$AY$106,50,)*'VoT5'!$J$30) / (SUM('VoT5'!$J$29:$J$30))) * $CR$5)</f>
        <v>31.521008668602892</v>
      </c>
      <c r="BW83" s="1566">
        <f>IF(ISERROR(MATCH($B83,'A1.3.2'!$B$27:$B$106,0)),"",(BU83*'VoT5'!$I$31 + BV83*'VoT5'!$I$32)/100)</f>
        <v>38.098766391885654</v>
      </c>
      <c r="BX83" s="1566">
        <f>IF(ISERROR(MATCH($B83,'A1.3.2'!$B$27:$B$106,0)),"",(VLOOKUP($B83,'Forecast occupancies'!$C$28:$CP$64,74,TRUE)*VLOOKUP($B83,'A1.3.2'!$B$27:$AY$106,38,)) * $CR$5)</f>
        <v>36.465366470574487</v>
      </c>
      <c r="BY83" s="1566">
        <f>IF(ISERROR(MATCH($B83,'A1.3.2'!$B$27:$B$106,0)),"",(VLOOKUP($B83,'Forecast occupancies'!$C$28:$CP$64,75,TRUE)*VLOOKUP($B83,'A1.3.2'!$B$27:$AY$106,38,)) * $CR$5)</f>
        <v>36.465366470574487</v>
      </c>
      <c r="BZ83" s="1565">
        <f>IF(ISERROR(MATCH($B83,'A1.3.2'!$B$27:$B$106,0)),"",(((VLOOKUP($B83,'Forecast occupancies'!$C$28:$CP$64,76,TRUE) -1) * VLOOKUP($B83,'A1.3.2'!$B$27:$AY$106,40,)) + VLOOKUP($B83,'A1.3.2'!$B$27:$AY$106,39,)) * $CR$5)</f>
        <v>38.92493004516583</v>
      </c>
      <c r="CA83" s="1565">
        <f>IF(ISERROR(MATCH($B83,'A1.3.2'!$B$27:$B$106,0)),"",(VLOOKUP($B83,'Forecast occupancies'!$C$28:$CP$64,77,TRUE) * VLOOKUP($B83,'A1.3.2'!$B$27:$AY$106,49,)) * $CR$5)</f>
        <v>18.702024091696615</v>
      </c>
      <c r="CB83" s="1565">
        <f>IF(ISERROR(MATCH($B83,'A1.3.2'!$B$27:$B$106,0)),"",(VLOOKUP($B83,'Forecast occupancies'!$C$28:$CP$64,78,TRUE) * VLOOKUP($B83,'A1.3.2'!$B$27:$AY$106,50,)) * $CR$5)</f>
        <v>131.5332426643501</v>
      </c>
      <c r="CC83" s="1567">
        <f>IF(ISERROR(MATCH($B83,'A1.3.2'!$B$27:$B$106,0)),"",SUM(BZ83:CB83))</f>
        <v>189.16019680121255</v>
      </c>
      <c r="CD83" s="1565">
        <f>IF(ISERROR(MATCH($B83,'A1.3.2'!$B$27:$B$106,0)),"",(((VLOOKUP($B83,'Forecast occupancies'!$C$28:$CP$64,80,TRUE)-1)*VLOOKUP($B83,'A1.3.2'!$B$27:$AY$106,36,)+VLOOKUP($B83,'A1.3.2'!$B$27:$AY$106,35,))*$CR$5))</f>
        <v>52.167607747539947</v>
      </c>
      <c r="CE83" s="1565">
        <f>IF(ISERROR(MATCH($B83,'A1.3.2'!$B$27:$B$106,0)),"",VLOOKUP($B83,'Forecast occupancies'!$C$28:$CP$64,81,TRUE)*VLOOKUP($B83,'A1.3.2'!$B$27:$AY$106,49,)*$CR$5)</f>
        <v>28.972496533354022</v>
      </c>
      <c r="CF83" s="1565">
        <f>IF(ISERROR(MATCH($B83,'A1.3.2'!$B$27:$B$106,0)),"",VLOOKUP($B83,'Forecast occupancies'!$C$28:$CP$64,82,TRUE)*VLOOKUP($B83,'A1.3.2'!$B$27:$AY$106,50,)*$CR$5)</f>
        <v>22.010921317291611</v>
      </c>
      <c r="CG83" s="1566">
        <f>IF(ISERROR(MATCH($B83,'A1.3.2'!$B$27:$B$106,0)),"",(((CD83*'VoT5'!$J$28)+(CE83*'VoT5'!$J$29)+(CF83*'VoT5'!$J$30))/100))</f>
        <v>27.421997528128848</v>
      </c>
      <c r="CH83" s="1565">
        <f>IF(ISERROR(MATCH($B83,'A1.3.2'!$B$27:$B$106,0)),"",(VLOOKUP($B83,'Forecast occupancies'!$C$28:$CP$64,84,TRUE) * VLOOKUP($B83, 'A1.3.2'!$B$27:$AY$106,37,)) * $CR$5)</f>
        <v>37.138793670620466</v>
      </c>
      <c r="CI83" s="1565">
        <f>IF(ISERROR(MATCH($B83,'A1.3.2'!$B$27:$B$106,0)),"",(VLOOKUP($B83,'Forecast occupancies'!$C$28:$CP$64,85,TRUE) * (VLOOKUP($B83,'A1.3.2'!$B$27:$AY$106,49,)*'VoT5'!$J$29 + VLOOKUP($B83,'A1.3.2'!$B$27:$AY$106,50,)*'VoT5'!$J$30) / (SUM('VoT5'!$J$29:$J$30))) * $CR$5)</f>
        <v>24.688868858659408</v>
      </c>
      <c r="CJ83" s="1566">
        <f>IF(ISERROR(MATCH($B83,'A1.3.2'!$B$27:$B$106,0)),"",(CH83*'VoT5'!$J$31 + CI83*'VoT5'!$J$32)/100)</f>
        <v>35.644802693185142</v>
      </c>
      <c r="CK83" s="1566">
        <f>IF(ISERROR(MATCH($B83,'A1.3.2'!$B$27:$B$106,0)),"",(VLOOKUP($B83,'Forecast occupancies'!$C$28:$CP$64,87,TRUE)*VLOOKUP($B83,'A1.3.2'!$B$27:$AY$106,38,)) * $CR$5)</f>
        <v>36.465366470574487</v>
      </c>
      <c r="CL83" s="1566">
        <f>IF(ISERROR(MATCH($B83,'A1.3.2'!$B$27:$B$106,0)),"",(VLOOKUP($B83,'Forecast occupancies'!$C$28:$CP$64,88,TRUE)*VLOOKUP($B83,'A1.3.2'!$B$27:$AY$106,38,)) * $CR$5)</f>
        <v>36.465366470574487</v>
      </c>
      <c r="CM83" s="1565">
        <f>IF(ISERROR(MATCH($B83,'A1.3.2'!$B$27:$B$106,0)),"",(((VLOOKUP($B83,'Forecast occupancies'!$C$28:$CP$64,89,TRUE) -1) * VLOOKUP($B83,'A1.3.2'!$B$27:$AY$106,40,)) + VLOOKUP($B83,'A1.3.2'!$B$27:$AY$106,39,)) * $CR$5)</f>
        <v>41.798024192693916</v>
      </c>
      <c r="CN83" s="1565">
        <f>IF(ISERROR(MATCH($B83,'A1.3.2'!$B$27:$B$106,0)),"",(VLOOKUP($B83,'Forecast occupancies'!$C$28:$CP$64,90,TRUE) * VLOOKUP($B83,'A1.3.2'!$B$27:$AY$106,49,)) * $CR$5)</f>
        <v>41.792904276496664</v>
      </c>
      <c r="CO83" s="1565">
        <f>IF(ISERROR(MATCH($B83,'A1.3.2'!$B$27:$B$106,0)),"",(VLOOKUP($B83,'Forecast occupancies'!$C$28:$CP$64,91,TRUE) * VLOOKUP($B83,'A1.3.2'!$B$27:$AY$106,50,)) * $CR$5)</f>
        <v>119.69178631690299</v>
      </c>
      <c r="CP83" s="1567">
        <f>IF(ISERROR(MATCH($B83,'A1.3.2'!$B$27:$B$106,0)),"",SUM(CM83:CO83))</f>
        <v>203.28271478609355</v>
      </c>
    </row>
    <row r="84" spans="1:94" ht="13.5" customHeight="1">
      <c r="A84" s="113"/>
      <c r="B84" s="82">
        <f t="shared" si="0"/>
        <v>2066</v>
      </c>
      <c r="C84" s="26"/>
      <c r="D84" s="1609">
        <f>IF(ISERROR(MATCH($B84,'A1.3.2'!$B$27:$B$106,0)),"",(((VLOOKUP($B84,'Forecast occupancies'!$C$28:$CP$64,2,TRUE) -1) * VLOOKUP($B84,'A1.3.2'!$B$27:$AY$106,36,) + VLOOKUP($B84,'A1.3.2'!$B$27:$AY$106,35,)) * $CR$5))</f>
        <v>51.908876518507881</v>
      </c>
      <c r="E84" s="1565">
        <f>IF(ISERROR(MATCH($B84,'A1.3.2'!$B$27:$B$106,0)),"",VLOOKUP($B84,'Forecast occupancies'!$C$28:$CP$64,3,TRUE)*VLOOKUP($B84,'A1.3.2'!$B$27:$AY$106,49,)*$CR$5)</f>
        <v>29.25329512278169</v>
      </c>
      <c r="F84" s="1565">
        <f>IF(ISERROR(MATCH($B84,'A1.3.2'!$B$27:$B$106,0)),"",VLOOKUP($B84,'Forecast occupancies'!$C$28:$CP$64,4,TRUE)*VLOOKUP($B84,'A1.3.2'!$B$27:$AY$106,50,)*$CR$5)</f>
        <v>20.182507290843031</v>
      </c>
      <c r="G84" s="1566">
        <f>IF(ISERROR(MATCH($B84,'A1.3.2'!$B$27:$B$106,0)),"",(((D84*'VoT5'!$D$28)+(E84*'VoT5'!$D$29)+(F84*'VoT5'!$D$30))/100))</f>
        <v>29.401443136962094</v>
      </c>
      <c r="H84" s="1565">
        <f>IF(ISERROR(MATCH($B84,'A1.3.2'!$B$27:$B$106,0)),"",(VLOOKUP($B84,'Forecast occupancies'!$C$28:$CP$64,6,TRUE) * VLOOKUP($B84, 'A1.3.2'!$B$27:$AY$106,37,)) * $CR$5)</f>
        <v>37.935478568095959</v>
      </c>
      <c r="I84" s="1565">
        <f>IF(ISERROR(MATCH($B84,'A1.3.2'!$B$27:$B$106,0)),"",VLOOKUP($B84,'Forecast occupancies'!$C$28:$CP$64,7,TRUE) * ('VoT5'!$J$29*VLOOKUP($B84, 'A1.3.2'!$B$27:$AY$106,49,)+'VoT5'!$J$30*VLOOKUP($B84, 'A1.3.2'!$B$27:$AY$106,50,))/('VoT5'!$J$29+'VoT5'!$J$30) * $CR$5)</f>
        <v>23.15659491357555</v>
      </c>
      <c r="J84" s="1566">
        <f>IF(ISERROR(MATCH($B84,'A1.3.2'!$B$27:$B$106,0)),"",(H84*'VoT5'!$D$31 + I84*'VoT5'!$D$32)/100)</f>
        <v>36.162012529553515</v>
      </c>
      <c r="K84" s="1566">
        <f>IF(ISERROR(MATCH($B84,'A1.3.2'!$B$27:$B$106,0)),"",(VLOOKUP($B84,'Forecast occupancies'!$C$28:$CP$64,9,TRUE)*VLOOKUP($B84,'A1.3.2'!$B$27:$AY$106,38,)) * $CR$5)</f>
        <v>37.247605307023235</v>
      </c>
      <c r="L84" s="1566">
        <f>IF(ISERROR(MATCH($B84,'A1.3.2'!$B$27:$B$106,0)),"",(VLOOKUP($B84,'Forecast occupancies'!$C$28:$CP$64,10,TRUE)*VLOOKUP($B84,'A1.3.2'!$B$27:$AY$106,38,)) * $CR$5)</f>
        <v>37.247605307023235</v>
      </c>
      <c r="M84" s="1565">
        <f>IF(ISERROR(MATCH($B84,'A1.3.2'!$B$27:$B$106,0)),"",(((VLOOKUP($B84,'Forecast occupancies'!$C$28:$CP$64,11,TRUE) -1) * VLOOKUP($B84,'A1.3.2'!$B$27:$AY$106,40,)) + VLOOKUP($B84,'A1.3.2'!$B$27:$AY$106,39,)) * $CR$5)</f>
        <v>42.443983007661807</v>
      </c>
      <c r="N84" s="1565">
        <f>IF(ISERROR(MATCH($B84,'A1.3.2'!$B$27:$B$106,0)),"",(VLOOKUP($B84,'Forecast occupancies'!$C$28:$CP$64,12,TRUE) * VLOOKUP($B84,'A1.3.2'!$B$27:$AY$106,49,)) * $CR$5)</f>
        <v>58.102637842111427</v>
      </c>
      <c r="O84" s="1565">
        <f>IF(ISERROR(MATCH($B84,'A1.3.2'!$B$27:$B$106,0)),"",(VLOOKUP($B84,'Forecast occupancies'!$C$28:$CP$64,13,TRUE) * VLOOKUP($B84,'A1.3.2'!$B$27:$AY$106,50,)) * $CR$5)</f>
        <v>115.33791471063456</v>
      </c>
      <c r="P84" s="1567">
        <f>IF(ISERROR(MATCH($B84,'A1.3.2'!$B$27:$B$106,0)),"",SUM(M84:O84))</f>
        <v>215.88453556040781</v>
      </c>
      <c r="Q84" s="1609">
        <f>IF(ISERROR(MATCH($B84,'A1.3.2'!$B$27:$B$106,0)),"",(((VLOOKUP($B84,'Forecast occupancies'!$C$28:$CP$64,15,TRUE)-1)*VLOOKUP($B84,'A1.3.2'!$B$27:$AY$106,36,)+VLOOKUP($B84,'A1.3.2'!$B$27:$AY$106,35,))*$CR$5))</f>
        <v>53.192199440589505</v>
      </c>
      <c r="R84" s="1565">
        <f>IF(ISERROR(MATCH($B84,'A1.3.2'!$B$27:$B$106,0)),"",VLOOKUP($B84,'Forecast occupancies'!$C$28:$CP$64,16,TRUE)*VLOOKUP($B84,'A1.3.2'!$B$27:$AY$106,49,)*$CR$5)</f>
        <v>29.728956429357083</v>
      </c>
      <c r="S84" s="1565">
        <f>IF(ISERROR(MATCH($B84,'A1.3.2'!$B$27:$B$106,0)),"",VLOOKUP($B84,'Forecast occupancies'!$C$28:$CP$64,17,TRUE)*VLOOKUP($B84,'A1.3.2'!$B$27:$AY$106,50,)*$CR$5)</f>
        <v>21.499137778719579</v>
      </c>
      <c r="T84" s="1566">
        <f>IF(ISERROR(MATCH($B84,'A1.3.2'!$B$27:$B$106,0)),"",(((Q84*'VoT5'!$E$28)+(R84*'VoT5'!$E$29)+(S84*'VoT5'!$E$30))/100))</f>
        <v>27.690562381117207</v>
      </c>
      <c r="U84" s="1565">
        <f>IF(ISERROR(MATCH($B84,'A1.3.2'!$B$27:$B$106,0)),"",(VLOOKUP($B84,'Forecast occupancies'!$C$28:$CP$64,19,TRUE) * VLOOKUP($B84, 'A1.3.2'!$B$27:$AY$106,37,)) * $CR$5)</f>
        <v>37.935478568095959</v>
      </c>
      <c r="V84" s="1565">
        <f>IF(ISERROR(MATCH($B84,'A1.3.2'!$B$27:$B$106,0)),"",VLOOKUP($B84,'Forecast occupancies'!$C$28:$CP$64,20,TRUE) * ('VoT5'!$J$29*VLOOKUP($B84, 'A1.3.2'!$B$27:$AY$106,49,)+'VoT5'!$J$30*VLOOKUP($B84, 'A1.3.2'!$B$27:$AY$106,50,))/('VoT5'!$J$29+'VoT5'!$J$30) * $CR$5)</f>
        <v>23.15659491357555</v>
      </c>
      <c r="W84" s="1566">
        <f>IF(ISERROR(MATCH($B84,'A1.3.2'!$B$27:$B$106,0)),"",(U84*'VoT5'!$E$31 + V84*'VoT5'!$E$32)/100)</f>
        <v>36.162012529553515</v>
      </c>
      <c r="X84" s="1566">
        <f>IF(ISERROR(MATCH($B84,'A1.3.2'!$B$27:$B$106,0)),"",(VLOOKUP($B84,'Forecast occupancies'!$C$28:$CP$64,22,TRUE)*VLOOKUP($B84,'A1.3.2'!$B$27:$AY$106,38,)) * $CR$5)</f>
        <v>37.247605307023235</v>
      </c>
      <c r="Y84" s="1566">
        <f>IF(ISERROR(MATCH($B84,'A1.3.2'!$B$27:$B$106,0)),"",(VLOOKUP($B84,'Forecast occupancies'!$C$28:$CP$64,23,TRUE)*VLOOKUP($B84,'A1.3.2'!$B$27:$AY$106,38,)) * $CR$5)</f>
        <v>37.247605307023235</v>
      </c>
      <c r="Z84" s="1565">
        <f>IF(ISERROR(MATCH($B84,'A1.3.2'!$B$27:$B$106,0)),"",(((VLOOKUP($B84,'Forecast occupancies'!$C$28:$CP$64,24,TRUE) -1) * VLOOKUP($B84,'A1.3.2'!$B$27:$AY$106,40,)) + VLOOKUP($B84,'A1.3.2'!$B$27:$AY$106,39,)) * $CR$5)</f>
        <v>43.310302445258699</v>
      </c>
      <c r="AA84" s="1565">
        <f>IF(ISERROR(MATCH($B84,'A1.3.2'!$B$27:$B$106,0)),"",(VLOOKUP($B84,'Forecast occupancies'!$C$28:$CP$64,25,TRUE) * VLOOKUP($B84,'A1.3.2'!$B$27:$AY$106,49,)) * $CR$5)</f>
        <v>20.363125649953673</v>
      </c>
      <c r="AB84" s="1565">
        <f>IF(ISERROR(MATCH($B84,'A1.3.2'!$B$27:$B$106,0)),"",(VLOOKUP($B84,'Forecast occupancies'!$C$28:$CP$64,26,TRUE) * VLOOKUP($B84,'A1.3.2'!$B$27:$AY$106,50,)) * $CR$5)</f>
        <v>132.17074485327464</v>
      </c>
      <c r="AC84" s="1567">
        <f>IF(ISERROR(MATCH($B84,'A1.3.2'!$B$27:$B$106,0)),"",SUM(Z84:AB84))</f>
        <v>195.84417294848703</v>
      </c>
      <c r="AD84" s="1609">
        <f>IF(ISERROR(MATCH($B84,'A1.3.2'!$B$27:$B$106,0)),"",(((VLOOKUP($B84,'Forecast occupancies'!$C$28:$CP$64,28,TRUE)-1)*VLOOKUP($B84,'A1.3.2'!$B$27:$AY$106,36,)+VLOOKUP($B84,'A1.3.2'!$B$27:$AY$106,35,))*$CR$5))</f>
        <v>52.658000800329773</v>
      </c>
      <c r="AE84" s="1565">
        <f>IF(ISERROR(MATCH($B84,'A1.3.2'!$B$27:$B$106,0)),"",VLOOKUP($B84,'Forecast occupancies'!$C$28:$CP$64,29,TRUE)*VLOOKUP($B84,'A1.3.2'!$B$27:$AY$106,49,)*$CR$5)</f>
        <v>29.35420018130247</v>
      </c>
      <c r="AF84" s="1565">
        <f>IF(ISERROR(MATCH($B84,'A1.3.2'!$B$27:$B$106,0)),"",VLOOKUP($B84,'Forecast occupancies'!$C$28:$CP$64,30,TRUE)*VLOOKUP($B84,'A1.3.2'!$B$27:$AY$106,50,)*$CR$5)</f>
        <v>21.135276594802612</v>
      </c>
      <c r="AG84" s="1566">
        <f>IF(ISERROR(MATCH($B84,'A1.3.2'!$B$27:$B$106,0)),"",(((AD84*'VoT5'!$F$28)+(AE84*'VoT5'!$F$29)+(AF84*'VoT5'!$F$30))/100))</f>
        <v>28.248751049043666</v>
      </c>
      <c r="AH84" s="1565">
        <f>IF(ISERROR(MATCH($B84,'A1.3.2'!$B$27:$B$106,0)),"",(VLOOKUP($B84,'Forecast occupancies'!$C$28:$CP$64,32,TRUE) * VLOOKUP($B84, 'A1.3.2'!$B$27:$AY$106,37,)) * $CR$5)</f>
        <v>37.935478568095959</v>
      </c>
      <c r="AI84" s="1565">
        <f>IF(ISERROR(MATCH($B84,'A1.3.2'!$B$27:$B$106,0)),"",VLOOKUP($B84,'Forecast occupancies'!$C$28:$CP$64,33,TRUE) * ('VoT5'!$J$29*VLOOKUP($B84, 'A1.3.2'!$B$27:$AY$106,49,)+'VoT5'!$J$30*VLOOKUP($B84, 'A1.3.2'!$B$27:$AY$106,50,))/('VoT5'!$J$29+'VoT5'!$J$30) * $CR$5)</f>
        <v>23.15659491357555</v>
      </c>
      <c r="AJ84" s="1566">
        <f>IF(ISERROR(MATCH($B84,'A1.3.2'!$B$27:$B$106,0)),"",(AH84*'VoT5'!$F$31 + AI84*'VoT5'!$F$32)/100)</f>
        <v>36.162012529553515</v>
      </c>
      <c r="AK84" s="1566">
        <f>IF(ISERROR(MATCH($B84,'A1.3.2'!$B$27:$B$106,0)),"",(VLOOKUP($B84,'Forecast occupancies'!$C$28:$CP$64,35,TRUE)*VLOOKUP($B84,'A1.3.2'!$B$27:$AY$106,38,)) * $CR$5)</f>
        <v>37.247605307023235</v>
      </c>
      <c r="AL84" s="1566">
        <f>IF(ISERROR(MATCH($B84,'A1.3.2'!$B$27:$B$106,0)),"",(VLOOKUP($B84,'Forecast occupancies'!$C$28:$CP$64,36,TRUE)*VLOOKUP($B84,'A1.3.2'!$B$27:$AY$106,38,)) * $CR$5)</f>
        <v>37.247605307023235</v>
      </c>
      <c r="AM84" s="1565">
        <f>IF(ISERROR(MATCH($B84,'A1.3.2'!$B$27:$B$106,0)),"",(((VLOOKUP($B84,'Forecast occupancies'!$C$28:$CP$64,37,TRUE) -1) * VLOOKUP($B84,'A1.3.2'!$B$27:$AY$106,40,)) + VLOOKUP($B84,'A1.3.2'!$B$27:$AY$106,39,)) * $CR$5)</f>
        <v>45.315009788055292</v>
      </c>
      <c r="AN84" s="1565">
        <f>IF(ISERROR(MATCH($B84,'A1.3.2'!$B$27:$B$106,0)),"",(VLOOKUP($B84,'Forecast occupancies'!$C$28:$CP$64,38,TRUE) * VLOOKUP($B84,'A1.3.2'!$B$27:$AY$106,49,)) * $CR$5)</f>
        <v>81.714244358896423</v>
      </c>
      <c r="AO84" s="1565">
        <f>IF(ISERROR(MATCH($B84,'A1.3.2'!$B$27:$B$106,0)),"",(VLOOKUP($B84,'Forecast occupancies'!$C$28:$CP$64,39,TRUE) * VLOOKUP($B84,'A1.3.2'!$B$27:$AY$106,50,)) * $CR$5)</f>
        <v>103.25972016856514</v>
      </c>
      <c r="AP84" s="1567">
        <f>IF(ISERROR(MATCH($B84,'A1.3.2'!$B$27:$B$106,0)),"",SUM(AM84:AO84))</f>
        <v>230.28897431551684</v>
      </c>
      <c r="AQ84" s="1609">
        <f>IF(ISERROR(MATCH($B84,'A1.3.2'!$B$27:$B$106,0)),"",(((VLOOKUP($B84,'Forecast occupancies'!$C$28:$CP$64,41,TRUE)-1)*VLOOKUP($B84,'A1.3.2'!$B$27:$AY$106,36,)+VLOOKUP($B84,'A1.3.2'!$B$27:$AY$106,35,))*$CR$5))</f>
        <v>53.654322937169056</v>
      </c>
      <c r="AR84" s="1565">
        <f>IF(ISERROR(MATCH($B84,'A1.3.2'!$B$27:$B$106,0)),"",VLOOKUP($B84,'Forecast occupancies'!$C$28:$CP$64,42,TRUE)*VLOOKUP($B84,'A1.3.2'!$B$27:$AY$106,49,)*$CR$5)</f>
        <v>29.783826857572912</v>
      </c>
      <c r="AS84" s="1565">
        <f>IF(ISERROR(MATCH($B84,'A1.3.2'!$B$27:$B$106,0)),"",VLOOKUP($B84,'Forecast occupancies'!$C$28:$CP$64,43,TRUE)*VLOOKUP($B84,'A1.3.2'!$B$27:$AY$106,50,)*$CR$5)</f>
        <v>21.059819022808767</v>
      </c>
      <c r="AT84" s="1566">
        <f>IF(ISERROR(MATCH($B84,'A1.3.2'!$B$27:$B$106,0)),"",(((AQ84*'VoT5'!$G$28)+(AR84*'VoT5'!$G$29)+(AS84*'VoT5'!$G$30))/100))</f>
        <v>28.620075227799166</v>
      </c>
      <c r="AU84" s="1565">
        <f>IF(ISERROR(MATCH($B84,'A1.3.2'!$B$27:$B$106,0)),"",(VLOOKUP($B84,'Forecast occupancies'!$C$28:$CP$64,45,TRUE) * VLOOKUP($B84, 'A1.3.2'!$B$27:$AY$106,37,)) * $CR$5)</f>
        <v>37.935478568095959</v>
      </c>
      <c r="AV84" s="1565">
        <f>IF(ISERROR(MATCH($B84,'A1.3.2'!$B$27:$B$106,0)),"",VLOOKUP($B84,'Forecast occupancies'!$C$28:$CP$64,46,TRUE) * ('VoT5'!$J$29*VLOOKUP($B84, 'A1.3.2'!$B$27:$AY$106,49,)+'VoT5'!$J$30*VLOOKUP($B84, 'A1.3.2'!$B$27:$AY$106,50,))/('VoT5'!$J$29+'VoT5'!$J$30) * $CR$5)</f>
        <v>23.15659491357555</v>
      </c>
      <c r="AW84" s="1566">
        <f>IF(ISERROR(MATCH($B84,'A1.3.2'!$B$27:$B$106,0)),"",(AU84*'VoT5'!$G$31 + AV84*'VoT5'!$G$32)/100)</f>
        <v>36.162012529553515</v>
      </c>
      <c r="AX84" s="1566">
        <f>IF(ISERROR(MATCH($B84,'A1.3.2'!$B$27:$B$106,0)),"",(VLOOKUP($B84,'Forecast occupancies'!$C$28:$CP$64,48,TRUE)*VLOOKUP($B84,'A1.3.2'!$B$27:$AY$106,38,)) * $CR$5)</f>
        <v>37.247605307023235</v>
      </c>
      <c r="AY84" s="1566">
        <f>IF(ISERROR(MATCH($B84,'A1.3.2'!$B$27:$B$106,0)),"",(VLOOKUP($B84,'Forecast occupancies'!$C$28:$CP$64,49,TRUE)*VLOOKUP($B84,'A1.3.2'!$B$27:$AY$106,38,)) * $CR$5)</f>
        <v>37.247605307023235</v>
      </c>
      <c r="AZ84" s="1565">
        <f>IF(ISERROR(MATCH($B84,'A1.3.2'!$B$27:$B$106,0)),"",(((VLOOKUP($B84,'Forecast occupancies'!$C$28:$CP$64,50,TRUE) -1) * VLOOKUP($B84,'A1.3.2'!$B$27:$AY$106,40,)) + VLOOKUP($B84,'A1.3.2'!$B$27:$AY$106,39,)) * $CR$5)</f>
        <v>45.278364756225542</v>
      </c>
      <c r="BA84" s="1565">
        <f>IF(ISERROR(MATCH($B84,'A1.3.2'!$B$27:$B$106,0)),"",(VLOOKUP($B84,'Forecast occupancies'!$C$28:$CP$64,51,TRUE) * VLOOKUP($B84,'A1.3.2'!$B$27:$AY$106,49,)) * $CR$5)</f>
        <v>111.70134229469356</v>
      </c>
      <c r="BB84" s="1565">
        <f>IF(ISERROR(MATCH($B84,'A1.3.2'!$B$27:$B$106,0)),"",(VLOOKUP($B84,'Forecast occupancies'!$C$28:$CP$64,52,TRUE) * VLOOKUP($B84,'A1.3.2'!$B$27:$AY$106,50,)) * $CR$5)</f>
        <v>89.589316275031507</v>
      </c>
      <c r="BC84" s="1567">
        <f>IF(ISERROR(MATCH($B84,'A1.3.2'!$B$27:$B$106,0)),"",SUM(AZ84:BB84))</f>
        <v>246.56902332595061</v>
      </c>
      <c r="BD84" s="1565">
        <f>IF(ISERROR(MATCH($B84,'A1.3.2'!$B$27:$B$106,0)),"",(((VLOOKUP($B84,'Forecast occupancies'!$C$28:$CP$64,54,TRUE)-1)*VLOOKUP($B84,'A1.3.2'!$B$27:$AY$106,36,)+VLOOKUP($B84,'A1.3.2'!$B$27:$AY$106,35,))*$CR$5))</f>
        <v>52.751694644512057</v>
      </c>
      <c r="BE84" s="1565">
        <f>IF(ISERROR(MATCH($B84,'A1.3.2'!$B$27:$B$106,0)),"",VLOOKUP($B84,'Forecast occupancies'!$C$28:$CP$64,55,TRUE)*VLOOKUP($B84,'A1.3.2'!$B$27:$AY$106,49,)*$CR$5)</f>
        <v>29.454004706401154</v>
      </c>
      <c r="BF84" s="1565">
        <f>IF(ISERROR(MATCH($B84,'A1.3.2'!$B$27:$B$106,0)),"",VLOOKUP($B84,'Forecast occupancies'!$C$28:$CP$64,56,TRUE)*VLOOKUP($B84,'A1.3.2'!$B$27:$AY$106,50,)*$CR$5)</f>
        <v>21.112145296813814</v>
      </c>
      <c r="BG84" s="1566">
        <f>IF(ISERROR(MATCH($B84,'A1.3.2'!$B$27:$B$106,0)),"",(((BD84*'VoT5'!$H$28)+(BE84*'VoT5'!$H$29)+(BF84*'VoT5'!$H$30))/100))</f>
        <v>28.413964135887564</v>
      </c>
      <c r="BH84" s="1565">
        <f>IF(ISERROR(MATCH($B84,'A1.3.2'!$B$27:$B$106,0)),"",(VLOOKUP($B84,'Forecast occupancies'!$C$28:$CP$64,58,TRUE) * VLOOKUP($B84, 'A1.3.2'!$B$27:$AY$106,37,)) * $CR$5)</f>
        <v>37.935478568095959</v>
      </c>
      <c r="BI84" s="1565">
        <f>IF(ISERROR(MATCH($B84,'A1.3.2'!$B$27:$B$106,0)),"",(VLOOKUP($B84,'Forecast occupancies'!$C$28:$CP$64,59,TRUE) * (VLOOKUP($B84,'A1.3.2'!$B$27:$AY$106,49,) * 'VoT5'!$J$29 + VLOOKUP($B84,'A1.3.2'!$B$27:$AY$106,50,) * 'VoT5'!$J$30) / (SUM('VoT5'!$J$29:$J$30))) * $CR$5)</f>
        <v>23.15659491357555</v>
      </c>
      <c r="BJ84" s="1566">
        <f>IF(ISERROR(MATCH($B84,'A1.3.2'!$B$27:$B$106,0)),"",(BH84*'VoT5'!$H$31 + BI84*'VoT5'!$H$32)/100)</f>
        <v>36.162012529553515</v>
      </c>
      <c r="BK84" s="1566">
        <f>IF(ISERROR(MATCH($B84,'A1.3.2'!$B$27:$B$106,0)),"",(VLOOKUP($B84,'Forecast occupancies'!$C$28:$CP$64,61,TRUE)*VLOOKUP($B84,'A1.3.2'!$B$27:$AY$106,38,)) * $CR$5)</f>
        <v>37.247605307023235</v>
      </c>
      <c r="BL84" s="1566">
        <f>IF(ISERROR(MATCH($B84,'A1.3.2'!$B$27:$B$106,0)),"",(VLOOKUP($B84,'Forecast occupancies'!$C$28:$CP$64,62,TRUE)*VLOOKUP($B84,'A1.3.2'!$B$27:$AY$106,38,)) * $CR$5)</f>
        <v>37.247605307023235</v>
      </c>
      <c r="BM84" s="1565">
        <f>IF(ISERROR(MATCH($B84,'A1.3.2'!$B$27:$B$106,0)),"",(((VLOOKUP($B84,'Forecast occupancies'!$C$28:$CP$64,63,TRUE) -1) * VLOOKUP($B84,'A1.3.2'!$B$27:$AY$106,40,)) + VLOOKUP($B84,'A1.3.2'!$B$27:$AY$106,39,)) * $CR$5)</f>
        <v>43.657003613835315</v>
      </c>
      <c r="BN84" s="1565">
        <f>IF(ISERROR(MATCH($B84,'A1.3.2'!$B$27:$B$106,0)),"",(VLOOKUP($B84,'Forecast occupancies'!$C$28:$CP$64,64,TRUE) * VLOOKUP($B84,'A1.3.2'!$B$27:$AY$106,49,)) * $CR$5)</f>
        <v>50.425728086420598</v>
      </c>
      <c r="BO84" s="1565">
        <f>IF(ISERROR(MATCH($B84,'A1.3.2'!$B$27:$B$106,0)),"",(VLOOKUP($B84,'Forecast occupancies'!$C$28:$CP$64,65,TRUE) * VLOOKUP($B84,'A1.3.2'!$B$27:$AY$106,50,)) * $CR$5)</f>
        <v>118.29214602132389</v>
      </c>
      <c r="BP84" s="1567">
        <f>IF(ISERROR(MATCH($B84,'A1.3.2'!$B$27:$B$106,0)),"",SUM(BM84:BO84))</f>
        <v>212.37487772157982</v>
      </c>
      <c r="BQ84" s="1565">
        <f>IF(ISERROR(MATCH($B84,'A1.3.2'!$B$27:$B$106,0)),"",(((VLOOKUP($B84,'Forecast occupancies'!$C$28:$CP$64,67,TRUE)-1)*VLOOKUP($B84,'A1.3.2'!$B$27:$AY$106,36,)+VLOOKUP($B84,'A1.3.2'!$B$27:$AY$106,35,))*$CR$5))</f>
        <v>60.288583310997531</v>
      </c>
      <c r="BR84" s="1565">
        <f>IF(ISERROR(MATCH($B84,'A1.3.2'!$B$27:$B$106,0)),"",VLOOKUP($B84,'Forecast occupancies'!$C$28:$CP$64,68,TRUE)*VLOOKUP($B84,'A1.3.2'!$B$27:$AY$106,49,)*$CR$5)</f>
        <v>31.184484392807029</v>
      </c>
      <c r="BS84" s="1565">
        <f>IF(ISERROR(MATCH($B84,'A1.3.2'!$B$27:$B$106,0)),"",VLOOKUP($B84,'Forecast occupancies'!$C$28:$CP$64,69,TRUE)*VLOOKUP($B84,'A1.3.2'!$B$27:$AY$106,50,)*$CR$5)</f>
        <v>24.997288965956713</v>
      </c>
      <c r="BT84" s="1566">
        <f>IF(ISERROR(MATCH($B84,'A1.3.2'!$B$27:$B$106,0)),"",(((BQ84*'VoT5'!$I$28)+(BR84*'VoT5'!$I$29)+(BS84*'VoT5'!$I$30))/100))</f>
        <v>26.71117970034933</v>
      </c>
      <c r="BU84" s="1565">
        <f>IF(ISERROR(MATCH($B84,'A1.3.2'!$B$27:$B$106,0)),"",(VLOOKUP($B84,'Forecast occupancies'!$C$28:$CP$64,71,TRUE) * VLOOKUP($B84, 'A1.3.2'!$B$27:$AY$106,37,)) * $CR$5)</f>
        <v>39.832252496500757</v>
      </c>
      <c r="BV84" s="1565">
        <f>IF(ISERROR(MATCH($B84,'A1.3.2'!$B$27:$B$106,0)),"",(VLOOKUP($B84,'Forecast occupancies'!$C$28:$CP$64,72,TRUE) * (VLOOKUP($B84,'A1.3.2'!$B$27:$AY$106,49,)*'VoT5'!$J$29 + VLOOKUP($B84,'A1.3.2'!$B$27:$AY$106,50,)*'VoT5'!$J$30) / (SUM('VoT5'!$J$29:$J$30))) * $CR$5)</f>
        <v>32.197183338738604</v>
      </c>
      <c r="BW84" s="1566">
        <f>IF(ISERROR(MATCH($B84,'A1.3.2'!$B$27:$B$106,0)),"",(BU84*'VoT5'!$I$31 + BV84*'VoT5'!$I$32)/100)</f>
        <v>38.916044197569299</v>
      </c>
      <c r="BX84" s="1566">
        <f>IF(ISERROR(MATCH($B84,'A1.3.2'!$B$27:$B$106,0)),"",(VLOOKUP($B84,'Forecast occupancies'!$C$28:$CP$64,74,TRUE)*VLOOKUP($B84,'A1.3.2'!$B$27:$AY$106,38,)) * $CR$5)</f>
        <v>37.247605307023235</v>
      </c>
      <c r="BY84" s="1566">
        <f>IF(ISERROR(MATCH($B84,'A1.3.2'!$B$27:$B$106,0)),"",(VLOOKUP($B84,'Forecast occupancies'!$C$28:$CP$64,75,TRUE)*VLOOKUP($B84,'A1.3.2'!$B$27:$AY$106,38,)) * $CR$5)</f>
        <v>37.247605307023235</v>
      </c>
      <c r="BZ84" s="1565">
        <f>IF(ISERROR(MATCH($B84,'A1.3.2'!$B$27:$B$106,0)),"",(((VLOOKUP($B84,'Forecast occupancies'!$C$28:$CP$64,76,TRUE) -1) * VLOOKUP($B84,'A1.3.2'!$B$27:$AY$106,40,)) + VLOOKUP($B84,'A1.3.2'!$B$27:$AY$106,39,)) * $CR$5)</f>
        <v>39.759930346395485</v>
      </c>
      <c r="CA84" s="1565">
        <f>IF(ISERROR(MATCH($B84,'A1.3.2'!$B$27:$B$106,0)),"",(VLOOKUP($B84,'Forecast occupancies'!$C$28:$CP$64,77,TRUE) * VLOOKUP($B84,'A1.3.2'!$B$27:$AY$106,49,)) * $CR$5)</f>
        <v>19.103211601399288</v>
      </c>
      <c r="CB84" s="1565">
        <f>IF(ISERROR(MATCH($B84,'A1.3.2'!$B$27:$B$106,0)),"",(VLOOKUP($B84,'Forecast occupancies'!$C$28:$CP$64,78,TRUE) * VLOOKUP($B84,'A1.3.2'!$B$27:$AY$106,50,)) * $CR$5)</f>
        <v>134.35483533308465</v>
      </c>
      <c r="CC84" s="1567">
        <f>IF(ISERROR(MATCH($B84,'A1.3.2'!$B$27:$B$106,0)),"",SUM(BZ84:CB84))</f>
        <v>193.21797728087944</v>
      </c>
      <c r="CD84" s="1565">
        <f>IF(ISERROR(MATCH($B84,'A1.3.2'!$B$27:$B$106,0)),"",(((VLOOKUP($B84,'Forecast occupancies'!$C$28:$CP$64,80,TRUE)-1)*VLOOKUP($B84,'A1.3.2'!$B$27:$AY$106,36,)+VLOOKUP($B84,'A1.3.2'!$B$27:$AY$106,35,))*$CR$5))</f>
        <v>53.286684085842467</v>
      </c>
      <c r="CE84" s="1565">
        <f>IF(ISERROR(MATCH($B84,'A1.3.2'!$B$27:$B$106,0)),"",VLOOKUP($B84,'Forecast occupancies'!$C$28:$CP$64,81,TRUE)*VLOOKUP($B84,'A1.3.2'!$B$27:$AY$106,49,)*$CR$5)</f>
        <v>29.594001653714027</v>
      </c>
      <c r="CF84" s="1565">
        <f>IF(ISERROR(MATCH($B84,'A1.3.2'!$B$27:$B$106,0)),"",VLOOKUP($B84,'Forecast occupancies'!$C$28:$CP$64,82,TRUE)*VLOOKUP($B84,'A1.3.2'!$B$27:$AY$106,50,)*$CR$5)</f>
        <v>22.483089819815696</v>
      </c>
      <c r="CG84" s="1566">
        <f>IF(ISERROR(MATCH($B84,'A1.3.2'!$B$27:$B$106,0)),"",(((CD84*'VoT5'!$J$28)+(CE84*'VoT5'!$J$29)+(CF84*'VoT5'!$J$30))/100))</f>
        <v>28.010242032864962</v>
      </c>
      <c r="CH84" s="1565">
        <f>IF(ISERROR(MATCH($B84,'A1.3.2'!$B$27:$B$106,0)),"",(VLOOKUP($B84,'Forecast occupancies'!$C$28:$CP$64,84,TRUE) * VLOOKUP($B84, 'A1.3.2'!$B$27:$AY$106,37,)) * $CR$5)</f>
        <v>37.935478568095959</v>
      </c>
      <c r="CI84" s="1565">
        <f>IF(ISERROR(MATCH($B84,'A1.3.2'!$B$27:$B$106,0)),"",(VLOOKUP($B84,'Forecast occupancies'!$C$28:$CP$64,85,TRUE) * (VLOOKUP($B84,'A1.3.2'!$B$27:$AY$106,49,)*'VoT5'!$J$29 + VLOOKUP($B84,'A1.3.2'!$B$27:$AY$106,50,)*'VoT5'!$J$30) / (SUM('VoT5'!$J$29:$J$30))) * $CR$5)</f>
        <v>25.218483501770631</v>
      </c>
      <c r="CJ84" s="1566">
        <f>IF(ISERROR(MATCH($B84,'A1.3.2'!$B$27:$B$106,0)),"",(CH84*'VoT5'!$J$31 + CI84*'VoT5'!$J$32)/100)</f>
        <v>36.40943916013692</v>
      </c>
      <c r="CK84" s="1566">
        <f>IF(ISERROR(MATCH($B84,'A1.3.2'!$B$27:$B$106,0)),"",(VLOOKUP($B84,'Forecast occupancies'!$C$28:$CP$64,87,TRUE)*VLOOKUP($B84,'A1.3.2'!$B$27:$AY$106,38,)) * $CR$5)</f>
        <v>37.247605307023235</v>
      </c>
      <c r="CL84" s="1566">
        <f>IF(ISERROR(MATCH($B84,'A1.3.2'!$B$27:$B$106,0)),"",(VLOOKUP($B84,'Forecast occupancies'!$C$28:$CP$64,88,TRUE)*VLOOKUP($B84,'A1.3.2'!$B$27:$AY$106,38,)) * $CR$5)</f>
        <v>37.247605307023235</v>
      </c>
      <c r="CM84" s="1565">
        <f>IF(ISERROR(MATCH($B84,'A1.3.2'!$B$27:$B$106,0)),"",(((VLOOKUP($B84,'Forecast occupancies'!$C$28:$CP$64,89,TRUE) -1) * VLOOKUP($B84,'A1.3.2'!$B$27:$AY$106,40,)) + VLOOKUP($B84,'A1.3.2'!$B$27:$AY$106,39,)) * $CR$5)</f>
        <v>42.694656832783615</v>
      </c>
      <c r="CN84" s="1565">
        <f>IF(ISERROR(MATCH($B84,'A1.3.2'!$B$27:$B$106,0)),"",(VLOOKUP($B84,'Forecast occupancies'!$C$28:$CP$64,90,TRUE) * VLOOKUP($B84,'A1.3.2'!$B$27:$AY$106,49,)) * $CR$5)</f>
        <v>42.689427086419364</v>
      </c>
      <c r="CO84" s="1565">
        <f>IF(ISERROR(MATCH($B84,'A1.3.2'!$B$27:$B$106,0)),"",(VLOOKUP($B84,'Forecast occupancies'!$C$28:$CP$64,91,TRUE) * VLOOKUP($B84,'A1.3.2'!$B$27:$AY$106,50,)) * $CR$5)</f>
        <v>122.25936132637281</v>
      </c>
      <c r="CP84" s="1567">
        <f>IF(ISERROR(MATCH($B84,'A1.3.2'!$B$27:$B$106,0)),"",SUM(CM84:CO84))</f>
        <v>207.64344524557578</v>
      </c>
    </row>
    <row r="85" spans="1:94" ht="13.5" customHeight="1">
      <c r="A85" s="113"/>
      <c r="B85" s="82">
        <f t="shared" si="0"/>
        <v>2067</v>
      </c>
      <c r="C85" s="26"/>
      <c r="D85" s="1609">
        <f>IF(ISERROR(MATCH($B85,'A1.3.2'!$B$27:$B$106,0)),"",(((VLOOKUP($B85,'Forecast occupancies'!$C$28:$CP$64,2,TRUE) -1) * VLOOKUP($B85,'A1.3.2'!$B$27:$AY$106,36,) + VLOOKUP($B85,'A1.3.2'!$B$27:$AY$106,35,)) * $CR$5))</f>
        <v>53.018260101187877</v>
      </c>
      <c r="E85" s="1565">
        <f>IF(ISERROR(MATCH($B85,'A1.3.2'!$B$27:$B$106,0)),"",VLOOKUP($B85,'Forecast occupancies'!$C$28:$CP$64,3,TRUE)*VLOOKUP($B85,'A1.3.2'!$B$27:$AY$106,49,)*$CR$5)</f>
        <v>29.878489261532422</v>
      </c>
      <c r="F85" s="1565">
        <f>IF(ISERROR(MATCH($B85,'A1.3.2'!$B$27:$B$106,0)),"",VLOOKUP($B85,'Forecast occupancies'!$C$28:$CP$64,4,TRUE)*VLOOKUP($B85,'A1.3.2'!$B$27:$AY$106,50,)*$CR$5)</f>
        <v>20.613842810844076</v>
      </c>
      <c r="G85" s="1566">
        <f>IF(ISERROR(MATCH($B85,'A1.3.2'!$B$27:$B$106,0)),"",(((D85*'VoT5'!$D$28)+(E85*'VoT5'!$D$29)+(F85*'VoT5'!$D$30))/100))</f>
        <v>30.029803458180286</v>
      </c>
      <c r="H85" s="1565">
        <f>IF(ISERROR(MATCH($B85,'A1.3.2'!$B$27:$B$106,0)),"",(VLOOKUP($B85,'Forecast occupancies'!$C$28:$CP$64,6,TRUE) * VLOOKUP($B85, 'A1.3.2'!$B$27:$AY$106,37,)) * $CR$5)</f>
        <v>38.746226169415159</v>
      </c>
      <c r="I85" s="1565">
        <f>IF(ISERROR(MATCH($B85,'A1.3.2'!$B$27:$B$106,0)),"",VLOOKUP($B85,'Forecast occupancies'!$C$28:$CP$64,7,TRUE) * ('VoT5'!$J$29*VLOOKUP($B85, 'A1.3.2'!$B$27:$AY$106,49,)+'VoT5'!$J$30*VLOOKUP($B85, 'A1.3.2'!$B$27:$AY$106,50,))/('VoT5'!$J$29+'VoT5'!$J$30) * $CR$5)</f>
        <v>23.651491893646622</v>
      </c>
      <c r="J85" s="1566">
        <f>IF(ISERROR(MATCH($B85,'A1.3.2'!$B$27:$B$106,0)),"",(H85*'VoT5'!$D$31 + I85*'VoT5'!$D$32)/100)</f>
        <v>36.934858056322931</v>
      </c>
      <c r="K85" s="1566">
        <f>IF(ISERROR(MATCH($B85,'A1.3.2'!$B$27:$B$106,0)),"",(VLOOKUP($B85,'Forecast occupancies'!$C$28:$CP$64,9,TRUE)*VLOOKUP($B85,'A1.3.2'!$B$27:$AY$106,38,)) * $CR$5)</f>
        <v>38.043651852299988</v>
      </c>
      <c r="L85" s="1566">
        <f>IF(ISERROR(MATCH($B85,'A1.3.2'!$B$27:$B$106,0)),"",(VLOOKUP($B85,'Forecast occupancies'!$C$28:$CP$64,10,TRUE)*VLOOKUP($B85,'A1.3.2'!$B$27:$AY$106,38,)) * $CR$5)</f>
        <v>38.043651852299988</v>
      </c>
      <c r="M85" s="1565">
        <f>IF(ISERROR(MATCH($B85,'A1.3.2'!$B$27:$B$106,0)),"",(((VLOOKUP($B85,'Forecast occupancies'!$C$28:$CP$64,11,TRUE) -1) * VLOOKUP($B85,'A1.3.2'!$B$27:$AY$106,40,)) + VLOOKUP($B85,'A1.3.2'!$B$27:$AY$106,39,)) * $CR$5)</f>
        <v>43.351085243162132</v>
      </c>
      <c r="N85" s="1565">
        <f>IF(ISERROR(MATCH($B85,'A1.3.2'!$B$27:$B$106,0)),"",(VLOOKUP($B85,'Forecast occupancies'!$C$28:$CP$64,12,TRUE) * VLOOKUP($B85,'A1.3.2'!$B$27:$AY$106,49,)) * $CR$5)</f>
        <v>59.34439294943796</v>
      </c>
      <c r="O85" s="1565">
        <f>IF(ISERROR(MATCH($B85,'A1.3.2'!$B$27:$B$106,0)),"",(VLOOKUP($B85,'Forecast occupancies'!$C$28:$CP$64,13,TRUE) * VLOOKUP($B85,'A1.3.2'!$B$27:$AY$106,50,)) * $CR$5)</f>
        <v>117.8028879025491</v>
      </c>
      <c r="P85" s="1567">
        <f>IF(ISERROR(MATCH($B85,'A1.3.2'!$B$27:$B$106,0)),"",SUM(M85:O85))</f>
        <v>220.49836609514921</v>
      </c>
      <c r="Q85" s="1609">
        <f>IF(ISERROR(MATCH($B85,'A1.3.2'!$B$27:$B$106,0)),"",(((VLOOKUP($B85,'Forecast occupancies'!$C$28:$CP$64,15,TRUE)-1)*VLOOKUP($B85,'A1.3.2'!$B$27:$AY$106,36,)+VLOOKUP($B85,'A1.3.2'!$B$27:$AY$106,35,))*$CR$5))</f>
        <v>54.329009881189002</v>
      </c>
      <c r="R85" s="1565">
        <f>IF(ISERROR(MATCH($B85,'A1.3.2'!$B$27:$B$106,0)),"",VLOOKUP($B85,'Forecast occupancies'!$C$28:$CP$64,16,TRUE)*VLOOKUP($B85,'A1.3.2'!$B$27:$AY$106,49,)*$CR$5)</f>
        <v>30.364316283103452</v>
      </c>
      <c r="S85" s="1565">
        <f>IF(ISERROR(MATCH($B85,'A1.3.2'!$B$27:$B$106,0)),"",VLOOKUP($B85,'Forecast occupancies'!$C$28:$CP$64,17,TRUE)*VLOOKUP($B85,'A1.3.2'!$B$27:$AY$106,50,)*$CR$5)</f>
        <v>21.958611997642098</v>
      </c>
      <c r="T85" s="1566">
        <f>IF(ISERROR(MATCH($B85,'A1.3.2'!$B$27:$B$106,0)),"",(((Q85*'VoT5'!$E$28)+(R85*'VoT5'!$E$29)+(S85*'VoT5'!$E$30))/100))</f>
        <v>28.282358184862542</v>
      </c>
      <c r="U85" s="1565">
        <f>IF(ISERROR(MATCH($B85,'A1.3.2'!$B$27:$B$106,0)),"",(VLOOKUP($B85,'Forecast occupancies'!$C$28:$CP$64,19,TRUE) * VLOOKUP($B85, 'A1.3.2'!$B$27:$AY$106,37,)) * $CR$5)</f>
        <v>38.746226169415159</v>
      </c>
      <c r="V85" s="1565">
        <f>IF(ISERROR(MATCH($B85,'A1.3.2'!$B$27:$B$106,0)),"",VLOOKUP($B85,'Forecast occupancies'!$C$28:$CP$64,20,TRUE) * ('VoT5'!$J$29*VLOOKUP($B85, 'A1.3.2'!$B$27:$AY$106,49,)+'VoT5'!$J$30*VLOOKUP($B85, 'A1.3.2'!$B$27:$AY$106,50,))/('VoT5'!$J$29+'VoT5'!$J$30) * $CR$5)</f>
        <v>23.651491893646622</v>
      </c>
      <c r="W85" s="1566">
        <f>IF(ISERROR(MATCH($B85,'A1.3.2'!$B$27:$B$106,0)),"",(U85*'VoT5'!$E$31 + V85*'VoT5'!$E$32)/100)</f>
        <v>36.934858056322931</v>
      </c>
      <c r="X85" s="1566">
        <f>IF(ISERROR(MATCH($B85,'A1.3.2'!$B$27:$B$106,0)),"",(VLOOKUP($B85,'Forecast occupancies'!$C$28:$CP$64,22,TRUE)*VLOOKUP($B85,'A1.3.2'!$B$27:$AY$106,38,)) * $CR$5)</f>
        <v>38.043651852299988</v>
      </c>
      <c r="Y85" s="1566">
        <f>IF(ISERROR(MATCH($B85,'A1.3.2'!$B$27:$B$106,0)),"",(VLOOKUP($B85,'Forecast occupancies'!$C$28:$CP$64,23,TRUE)*VLOOKUP($B85,'A1.3.2'!$B$27:$AY$106,38,)) * $CR$5)</f>
        <v>38.043651852299988</v>
      </c>
      <c r="Z85" s="1565">
        <f>IF(ISERROR(MATCH($B85,'A1.3.2'!$B$27:$B$106,0)),"",(((VLOOKUP($B85,'Forecast occupancies'!$C$28:$CP$64,24,TRUE) -1) * VLOOKUP($B85,'A1.3.2'!$B$27:$AY$106,40,)) + VLOOKUP($B85,'A1.3.2'!$B$27:$AY$106,39,)) * $CR$5)</f>
        <v>44.235919444049728</v>
      </c>
      <c r="AA85" s="1565">
        <f>IF(ISERROR(MATCH($B85,'A1.3.2'!$B$27:$B$106,0)),"",(VLOOKUP($B85,'Forecast occupancies'!$C$28:$CP$64,25,TRUE) * VLOOKUP($B85,'A1.3.2'!$B$27:$AY$106,49,)) * $CR$5)</f>
        <v>20.798321300548306</v>
      </c>
      <c r="AB85" s="1565">
        <f>IF(ISERROR(MATCH($B85,'A1.3.2'!$B$27:$B$106,0)),"",(VLOOKUP($B85,'Forecast occupancies'!$C$28:$CP$64,26,TRUE) * VLOOKUP($B85,'A1.3.2'!$B$27:$AY$106,50,)) * $CR$5)</f>
        <v>134.99546509931062</v>
      </c>
      <c r="AC85" s="1567">
        <f>IF(ISERROR(MATCH($B85,'A1.3.2'!$B$27:$B$106,0)),"",SUM(Z85:AB85))</f>
        <v>200.02970584390866</v>
      </c>
      <c r="AD85" s="1609">
        <f>IF(ISERROR(MATCH($B85,'A1.3.2'!$B$27:$B$106,0)),"",(((VLOOKUP($B85,'Forecast occupancies'!$C$28:$CP$64,28,TRUE)-1)*VLOOKUP($B85,'A1.3.2'!$B$27:$AY$106,36,)+VLOOKUP($B85,'A1.3.2'!$B$27:$AY$106,35,))*$CR$5))</f>
        <v>53.783394480615016</v>
      </c>
      <c r="AE85" s="1565">
        <f>IF(ISERROR(MATCH($B85,'A1.3.2'!$B$27:$B$106,0)),"",VLOOKUP($B85,'Forecast occupancies'!$C$28:$CP$64,29,TRUE)*VLOOKUP($B85,'A1.3.2'!$B$27:$AY$106,49,)*$CR$5)</f>
        <v>29.981550837836675</v>
      </c>
      <c r="AF85" s="1565">
        <f>IF(ISERROR(MATCH($B85,'A1.3.2'!$B$27:$B$106,0)),"",VLOOKUP($B85,'Forecast occupancies'!$C$28:$CP$64,30,TRUE)*VLOOKUP($B85,'A1.3.2'!$B$27:$AY$106,50,)*$CR$5)</f>
        <v>21.586974463110643</v>
      </c>
      <c r="AG85" s="1566">
        <f>IF(ISERROR(MATCH($B85,'A1.3.2'!$B$27:$B$106,0)),"",(((AD85*'VoT5'!$F$28)+(AE85*'VoT5'!$F$29)+(AF85*'VoT5'!$F$30))/100))</f>
        <v>28.852476322000587</v>
      </c>
      <c r="AH85" s="1565">
        <f>IF(ISERROR(MATCH($B85,'A1.3.2'!$B$27:$B$106,0)),"",(VLOOKUP($B85,'Forecast occupancies'!$C$28:$CP$64,32,TRUE) * VLOOKUP($B85, 'A1.3.2'!$B$27:$AY$106,37,)) * $CR$5)</f>
        <v>38.746226169415159</v>
      </c>
      <c r="AI85" s="1565">
        <f>IF(ISERROR(MATCH($B85,'A1.3.2'!$B$27:$B$106,0)),"",VLOOKUP($B85,'Forecast occupancies'!$C$28:$CP$64,33,TRUE) * ('VoT5'!$J$29*VLOOKUP($B85, 'A1.3.2'!$B$27:$AY$106,49,)+'VoT5'!$J$30*VLOOKUP($B85, 'A1.3.2'!$B$27:$AY$106,50,))/('VoT5'!$J$29+'VoT5'!$J$30) * $CR$5)</f>
        <v>23.651491893646622</v>
      </c>
      <c r="AJ85" s="1566">
        <f>IF(ISERROR(MATCH($B85,'A1.3.2'!$B$27:$B$106,0)),"",(AH85*'VoT5'!$F$31 + AI85*'VoT5'!$F$32)/100)</f>
        <v>36.934858056322931</v>
      </c>
      <c r="AK85" s="1566">
        <f>IF(ISERROR(MATCH($B85,'A1.3.2'!$B$27:$B$106,0)),"",(VLOOKUP($B85,'Forecast occupancies'!$C$28:$CP$64,35,TRUE)*VLOOKUP($B85,'A1.3.2'!$B$27:$AY$106,38,)) * $CR$5)</f>
        <v>38.043651852299988</v>
      </c>
      <c r="AL85" s="1566">
        <f>IF(ISERROR(MATCH($B85,'A1.3.2'!$B$27:$B$106,0)),"",(VLOOKUP($B85,'Forecast occupancies'!$C$28:$CP$64,36,TRUE)*VLOOKUP($B85,'A1.3.2'!$B$27:$AY$106,38,)) * $CR$5)</f>
        <v>38.043651852299988</v>
      </c>
      <c r="AM85" s="1565">
        <f>IF(ISERROR(MATCH($B85,'A1.3.2'!$B$27:$B$106,0)),"",(((VLOOKUP($B85,'Forecast occupancies'!$C$28:$CP$64,37,TRUE) -1) * VLOOKUP($B85,'A1.3.2'!$B$27:$AY$106,40,)) + VLOOKUP($B85,'A1.3.2'!$B$27:$AY$106,39,)) * $CR$5)</f>
        <v>46.283470892967244</v>
      </c>
      <c r="AN85" s="1565">
        <f>IF(ISERROR(MATCH($B85,'A1.3.2'!$B$27:$B$106,0)),"",(VLOOKUP($B85,'Forecast occupancies'!$C$28:$CP$64,38,TRUE) * VLOOKUP($B85,'A1.3.2'!$B$27:$AY$106,49,)) * $CR$5)</f>
        <v>83.460620840971487</v>
      </c>
      <c r="AO85" s="1565">
        <f>IF(ISERROR(MATCH($B85,'A1.3.2'!$B$27:$B$106,0)),"",(VLOOKUP($B85,'Forecast occupancies'!$C$28:$CP$64,39,TRUE) * VLOOKUP($B85,'A1.3.2'!$B$27:$AY$106,50,)) * $CR$5)</f>
        <v>105.46656119442115</v>
      </c>
      <c r="AP85" s="1567">
        <f>IF(ISERROR(MATCH($B85,'A1.3.2'!$B$27:$B$106,0)),"",SUM(AM85:AO85))</f>
        <v>235.21065292835988</v>
      </c>
      <c r="AQ85" s="1609">
        <f>IF(ISERROR(MATCH($B85,'A1.3.2'!$B$27:$B$106,0)),"",(((VLOOKUP($B85,'Forecast occupancies'!$C$28:$CP$64,41,TRUE)-1)*VLOOKUP($B85,'A1.3.2'!$B$27:$AY$106,36,)+VLOOKUP($B85,'A1.3.2'!$B$27:$AY$106,35,))*$CR$5))</f>
        <v>54.801009766060126</v>
      </c>
      <c r="AR85" s="1565">
        <f>IF(ISERROR(MATCH($B85,'A1.3.2'!$B$27:$B$106,0)),"",VLOOKUP($B85,'Forecast occupancies'!$C$28:$CP$64,42,TRUE)*VLOOKUP($B85,'A1.3.2'!$B$27:$AY$106,49,)*$CR$5)</f>
        <v>30.420359388447352</v>
      </c>
      <c r="AS85" s="1565">
        <f>IF(ISERROR(MATCH($B85,'A1.3.2'!$B$27:$B$106,0)),"",VLOOKUP($B85,'Forecast occupancies'!$C$28:$CP$64,43,TRUE)*VLOOKUP($B85,'A1.3.2'!$B$27:$AY$106,50,)*$CR$5)</f>
        <v>21.50990423067848</v>
      </c>
      <c r="AT85" s="1566">
        <f>IF(ISERROR(MATCH($B85,'A1.3.2'!$B$27:$B$106,0)),"",(((AQ85*'VoT5'!$G$28)+(AR85*'VoT5'!$G$29)+(AS85*'VoT5'!$G$30))/100))</f>
        <v>29.231736348637838</v>
      </c>
      <c r="AU85" s="1565">
        <f>IF(ISERROR(MATCH($B85,'A1.3.2'!$B$27:$B$106,0)),"",(VLOOKUP($B85,'Forecast occupancies'!$C$28:$CP$64,45,TRUE) * VLOOKUP($B85, 'A1.3.2'!$B$27:$AY$106,37,)) * $CR$5)</f>
        <v>38.746226169415159</v>
      </c>
      <c r="AV85" s="1565">
        <f>IF(ISERROR(MATCH($B85,'A1.3.2'!$B$27:$B$106,0)),"",VLOOKUP($B85,'Forecast occupancies'!$C$28:$CP$64,46,TRUE) * ('VoT5'!$J$29*VLOOKUP($B85, 'A1.3.2'!$B$27:$AY$106,49,)+'VoT5'!$J$30*VLOOKUP($B85, 'A1.3.2'!$B$27:$AY$106,50,))/('VoT5'!$J$29+'VoT5'!$J$30) * $CR$5)</f>
        <v>23.651491893646622</v>
      </c>
      <c r="AW85" s="1566">
        <f>IF(ISERROR(MATCH($B85,'A1.3.2'!$B$27:$B$106,0)),"",(AU85*'VoT5'!$G$31 + AV85*'VoT5'!$G$32)/100)</f>
        <v>36.934858056322931</v>
      </c>
      <c r="AX85" s="1566">
        <f>IF(ISERROR(MATCH($B85,'A1.3.2'!$B$27:$B$106,0)),"",(VLOOKUP($B85,'Forecast occupancies'!$C$28:$CP$64,48,TRUE)*VLOOKUP($B85,'A1.3.2'!$B$27:$AY$106,38,)) * $CR$5)</f>
        <v>38.043651852299988</v>
      </c>
      <c r="AY85" s="1566">
        <f>IF(ISERROR(MATCH($B85,'A1.3.2'!$B$27:$B$106,0)),"",(VLOOKUP($B85,'Forecast occupancies'!$C$28:$CP$64,49,TRUE)*VLOOKUP($B85,'A1.3.2'!$B$27:$AY$106,38,)) * $CR$5)</f>
        <v>38.043651852299988</v>
      </c>
      <c r="AZ85" s="1565">
        <f>IF(ISERROR(MATCH($B85,'A1.3.2'!$B$27:$B$106,0)),"",(((VLOOKUP($B85,'Forecast occupancies'!$C$28:$CP$64,50,TRUE) -1) * VLOOKUP($B85,'A1.3.2'!$B$27:$AY$106,40,)) + VLOOKUP($B85,'A1.3.2'!$B$27:$AY$106,39,)) * $CR$5)</f>
        <v>46.246042692642519</v>
      </c>
      <c r="BA85" s="1565">
        <f>IF(ISERROR(MATCH($B85,'A1.3.2'!$B$27:$B$106,0)),"",(VLOOKUP($B85,'Forecast occupancies'!$C$28:$CP$64,51,TRUE) * VLOOKUP($B85,'A1.3.2'!$B$27:$AY$106,49,)) * $CR$5)</f>
        <v>114.08859556650862</v>
      </c>
      <c r="BB85" s="1565">
        <f>IF(ISERROR(MATCH($B85,'A1.3.2'!$B$27:$B$106,0)),"",(VLOOKUP($B85,'Forecast occupancies'!$C$28:$CP$64,52,TRUE) * VLOOKUP($B85,'A1.3.2'!$B$27:$AY$106,50,)) * $CR$5)</f>
        <v>91.503996833059162</v>
      </c>
      <c r="BC85" s="1567">
        <f>IF(ISERROR(MATCH($B85,'A1.3.2'!$B$27:$B$106,0)),"",SUM(AZ85:BB85))</f>
        <v>251.83863509221027</v>
      </c>
      <c r="BD85" s="1565">
        <f>IF(ISERROR(MATCH($B85,'A1.3.2'!$B$27:$B$106,0)),"",(((VLOOKUP($B85,'Forecast occupancies'!$C$28:$CP$64,54,TRUE)-1)*VLOOKUP($B85,'A1.3.2'!$B$27:$AY$106,36,)+VLOOKUP($B85,'A1.3.2'!$B$27:$AY$106,35,))*$CR$5))</f>
        <v>53.879090726303652</v>
      </c>
      <c r="BE85" s="1565">
        <f>IF(ISERROR(MATCH($B85,'A1.3.2'!$B$27:$B$106,0)),"",VLOOKUP($B85,'Forecast occupancies'!$C$28:$CP$64,55,TRUE)*VLOOKUP($B85,'A1.3.2'!$B$27:$AY$106,49,)*$CR$5)</f>
        <v>30.083488360392593</v>
      </c>
      <c r="BF85" s="1565">
        <f>IF(ISERROR(MATCH($B85,'A1.3.2'!$B$27:$B$106,0)),"",VLOOKUP($B85,'Forecast occupancies'!$C$28:$CP$64,56,TRUE)*VLOOKUP($B85,'A1.3.2'!$B$27:$AY$106,50,)*$CR$5)</f>
        <v>21.563348808781353</v>
      </c>
      <c r="BG85" s="1566">
        <f>IF(ISERROR(MATCH($B85,'A1.3.2'!$B$27:$B$106,0)),"",(((BD85*'VoT5'!$H$28)+(BE85*'VoT5'!$H$29)+(BF85*'VoT5'!$H$30))/100))</f>
        <v>29.021220301795392</v>
      </c>
      <c r="BH85" s="1565">
        <f>IF(ISERROR(MATCH($B85,'A1.3.2'!$B$27:$B$106,0)),"",(VLOOKUP($B85,'Forecast occupancies'!$C$28:$CP$64,58,TRUE) * VLOOKUP($B85, 'A1.3.2'!$B$27:$AY$106,37,)) * $CR$5)</f>
        <v>38.746226169415159</v>
      </c>
      <c r="BI85" s="1565">
        <f>IF(ISERROR(MATCH($B85,'A1.3.2'!$B$27:$B$106,0)),"",(VLOOKUP($B85,'Forecast occupancies'!$C$28:$CP$64,59,TRUE) * (VLOOKUP($B85,'A1.3.2'!$B$27:$AY$106,49,) * 'VoT5'!$J$29 + VLOOKUP($B85,'A1.3.2'!$B$27:$AY$106,50,) * 'VoT5'!$J$30) / (SUM('VoT5'!$J$29:$J$30))) * $CR$5)</f>
        <v>23.651491893646622</v>
      </c>
      <c r="BJ85" s="1566">
        <f>IF(ISERROR(MATCH($B85,'A1.3.2'!$B$27:$B$106,0)),"",(BH85*'VoT5'!$H$31 + BI85*'VoT5'!$H$32)/100)</f>
        <v>36.934858056322931</v>
      </c>
      <c r="BK85" s="1566">
        <f>IF(ISERROR(MATCH($B85,'A1.3.2'!$B$27:$B$106,0)),"",(VLOOKUP($B85,'Forecast occupancies'!$C$28:$CP$64,61,TRUE)*VLOOKUP($B85,'A1.3.2'!$B$27:$AY$106,38,)) * $CR$5)</f>
        <v>38.043651852299988</v>
      </c>
      <c r="BL85" s="1566">
        <f>IF(ISERROR(MATCH($B85,'A1.3.2'!$B$27:$B$106,0)),"",(VLOOKUP($B85,'Forecast occupancies'!$C$28:$CP$64,62,TRUE)*VLOOKUP($B85,'A1.3.2'!$B$27:$AY$106,38,)) * $CR$5)</f>
        <v>38.043651852299988</v>
      </c>
      <c r="BM85" s="1565">
        <f>IF(ISERROR(MATCH($B85,'A1.3.2'!$B$27:$B$106,0)),"",(((VLOOKUP($B85,'Forecast occupancies'!$C$28:$CP$64,63,TRUE) -1) * VLOOKUP($B85,'A1.3.2'!$B$27:$AY$106,40,)) + VLOOKUP($B85,'A1.3.2'!$B$27:$AY$106,39,)) * $CR$5)</f>
        <v>44.59003022366614</v>
      </c>
      <c r="BN85" s="1565">
        <f>IF(ISERROR(MATCH($B85,'A1.3.2'!$B$27:$B$106,0)),"",(VLOOKUP($B85,'Forecast occupancies'!$C$28:$CP$64,64,TRUE) * VLOOKUP($B85,'A1.3.2'!$B$27:$AY$106,49,)) * $CR$5)</f>
        <v>51.503414190141505</v>
      </c>
      <c r="BO85" s="1565">
        <f>IF(ISERROR(MATCH($B85,'A1.3.2'!$B$27:$B$106,0)),"",(VLOOKUP($B85,'Forecast occupancies'!$C$28:$CP$64,65,TRUE) * VLOOKUP($B85,'A1.3.2'!$B$27:$AY$106,50,)) * $CR$5)</f>
        <v>120.82025630915206</v>
      </c>
      <c r="BP85" s="1567">
        <f>IF(ISERROR(MATCH($B85,'A1.3.2'!$B$27:$B$106,0)),"",SUM(BM85:BO85))</f>
        <v>216.9137007229597</v>
      </c>
      <c r="BQ85" s="1565">
        <f>IF(ISERROR(MATCH($B85,'A1.3.2'!$B$27:$B$106,0)),"",(((VLOOKUP($B85,'Forecast occupancies'!$C$28:$CP$64,67,TRUE)-1)*VLOOKUP($B85,'A1.3.2'!$B$27:$AY$106,36,)+VLOOKUP($B85,'A1.3.2'!$B$27:$AY$106,35,))*$CR$5))</f>
        <v>61.57705590054411</v>
      </c>
      <c r="BR85" s="1565">
        <f>IF(ISERROR(MATCH($B85,'A1.3.2'!$B$27:$B$106,0)),"",VLOOKUP($B85,'Forecast occupancies'!$C$28:$CP$64,68,TRUE)*VLOOKUP($B85,'A1.3.2'!$B$27:$AY$106,49,)*$CR$5)</f>
        <v>31.850951427734774</v>
      </c>
      <c r="BS85" s="1565">
        <f>IF(ISERROR(MATCH($B85,'A1.3.2'!$B$27:$B$106,0)),"",VLOOKUP($B85,'Forecast occupancies'!$C$28:$CP$64,69,TRUE)*VLOOKUP($B85,'A1.3.2'!$B$27:$AY$106,50,)*$CR$5)</f>
        <v>25.531524800948297</v>
      </c>
      <c r="BT85" s="1566">
        <f>IF(ISERROR(MATCH($B85,'A1.3.2'!$B$27:$B$106,0)),"",(((BQ85*'VoT5'!$I$28)+(BR85*'VoT5'!$I$29)+(BS85*'VoT5'!$I$30))/100))</f>
        <v>27.282044381325758</v>
      </c>
      <c r="BU85" s="1565">
        <f>IF(ISERROR(MATCH($B85,'A1.3.2'!$B$27:$B$106,0)),"",(VLOOKUP($B85,'Forecast occupancies'!$C$28:$CP$64,71,TRUE) * VLOOKUP($B85, 'A1.3.2'!$B$27:$AY$106,37,)) * $CR$5)</f>
        <v>40.68353747788592</v>
      </c>
      <c r="BV85" s="1565">
        <f>IF(ISERROR(MATCH($B85,'A1.3.2'!$B$27:$B$106,0)),"",(VLOOKUP($B85,'Forecast occupancies'!$C$28:$CP$64,72,TRUE) * (VLOOKUP($B85,'A1.3.2'!$B$27:$AY$106,49,)*'VoT5'!$J$29 + VLOOKUP($B85,'A1.3.2'!$B$27:$AY$106,50,)*'VoT5'!$J$30) / (SUM('VoT5'!$J$29:$J$30))) * $CR$5)</f>
        <v>32.885293523357973</v>
      </c>
      <c r="BW85" s="1566">
        <f>IF(ISERROR(MATCH($B85,'A1.3.2'!$B$27:$B$106,0)),"",(BU85*'VoT5'!$I$31 + BV85*'VoT5'!$I$32)/100)</f>
        <v>39.747748203342567</v>
      </c>
      <c r="BX85" s="1566">
        <f>IF(ISERROR(MATCH($B85,'A1.3.2'!$B$27:$B$106,0)),"",(VLOOKUP($B85,'Forecast occupancies'!$C$28:$CP$64,74,TRUE)*VLOOKUP($B85,'A1.3.2'!$B$27:$AY$106,38,)) * $CR$5)</f>
        <v>38.043651852299988</v>
      </c>
      <c r="BY85" s="1566">
        <f>IF(ISERROR(MATCH($B85,'A1.3.2'!$B$27:$B$106,0)),"",(VLOOKUP($B85,'Forecast occupancies'!$C$28:$CP$64,75,TRUE)*VLOOKUP($B85,'A1.3.2'!$B$27:$AY$106,38,)) * $CR$5)</f>
        <v>38.043651852299988</v>
      </c>
      <c r="BZ85" s="1565">
        <f>IF(ISERROR(MATCH($B85,'A1.3.2'!$B$27:$B$106,0)),"",(((VLOOKUP($B85,'Forecast occupancies'!$C$28:$CP$64,76,TRUE) -1) * VLOOKUP($B85,'A1.3.2'!$B$27:$AY$106,40,)) + VLOOKUP($B85,'A1.3.2'!$B$27:$AY$106,39,)) * $CR$5)</f>
        <v>40.609669676798148</v>
      </c>
      <c r="CA85" s="1565">
        <f>IF(ISERROR(MATCH($B85,'A1.3.2'!$B$27:$B$106,0)),"",(VLOOKUP($B85,'Forecast occupancies'!$C$28:$CP$64,77,TRUE) * VLOOKUP($B85,'A1.3.2'!$B$27:$AY$106,49,)) * $CR$5)</f>
        <v>19.511480682690195</v>
      </c>
      <c r="CB85" s="1565">
        <f>IF(ISERROR(MATCH($B85,'A1.3.2'!$B$27:$B$106,0)),"",(VLOOKUP($B85,'Forecast occupancies'!$C$28:$CP$64,78,TRUE) * VLOOKUP($B85,'A1.3.2'!$B$27:$AY$106,50,)) * $CR$5)</f>
        <v>137.22623341697604</v>
      </c>
      <c r="CC85" s="1567">
        <f>IF(ISERROR(MATCH($B85,'A1.3.2'!$B$27:$B$106,0)),"",SUM(BZ85:CB85))</f>
        <v>197.34738377646437</v>
      </c>
      <c r="CD85" s="1565">
        <f>IF(ISERROR(MATCH($B85,'A1.3.2'!$B$27:$B$106,0)),"",(((VLOOKUP($B85,'Forecast occupancies'!$C$28:$CP$64,80,TRUE)-1)*VLOOKUP($B85,'A1.3.2'!$B$27:$AY$106,36,)+VLOOKUP($B85,'A1.3.2'!$B$27:$AY$106,35,))*$CR$5))</f>
        <v>54.425513828751882</v>
      </c>
      <c r="CE85" s="1565">
        <f>IF(ISERROR(MATCH($B85,'A1.3.2'!$B$27:$B$106,0)),"",VLOOKUP($B85,'Forecast occupancies'!$C$28:$CP$64,81,TRUE)*VLOOKUP($B85,'A1.3.2'!$B$27:$AY$106,49,)*$CR$5)</f>
        <v>30.226477287601597</v>
      </c>
      <c r="CF85" s="1565">
        <f>IF(ISERROR(MATCH($B85,'A1.3.2'!$B$27:$B$106,0)),"",VLOOKUP($B85,'Forecast occupancies'!$C$28:$CP$64,82,TRUE)*VLOOKUP($B85,'A1.3.2'!$B$27:$AY$106,50,)*$CR$5)</f>
        <v>22.963592816738203</v>
      </c>
      <c r="CG85" s="1566">
        <f>IF(ISERROR(MATCH($B85,'A1.3.2'!$B$27:$B$106,0)),"",(((CD85*'VoT5'!$J$28)+(CE85*'VoT5'!$J$29)+(CF85*'VoT5'!$J$30))/100))</f>
        <v>28.608869950521285</v>
      </c>
      <c r="CH85" s="1565">
        <f>IF(ISERROR(MATCH($B85,'A1.3.2'!$B$27:$B$106,0)),"",(VLOOKUP($B85,'Forecast occupancies'!$C$28:$CP$64,84,TRUE) * VLOOKUP($B85, 'A1.3.2'!$B$27:$AY$106,37,)) * $CR$5)</f>
        <v>38.746226169415159</v>
      </c>
      <c r="CI85" s="1565">
        <f>IF(ISERROR(MATCH($B85,'A1.3.2'!$B$27:$B$106,0)),"",(VLOOKUP($B85,'Forecast occupancies'!$C$28:$CP$64,85,TRUE) * (VLOOKUP($B85,'A1.3.2'!$B$27:$AY$106,49,)*'VoT5'!$J$29 + VLOOKUP($B85,'A1.3.2'!$B$27:$AY$106,50,)*'VoT5'!$J$30) / (SUM('VoT5'!$J$29:$J$30))) * $CR$5)</f>
        <v>25.757446651300089</v>
      </c>
      <c r="CJ85" s="1566">
        <f>IF(ISERROR(MATCH($B85,'A1.3.2'!$B$27:$B$106,0)),"",(CH85*'VoT5'!$J$31 + CI85*'VoT5'!$J$32)/100)</f>
        <v>37.187572627241352</v>
      </c>
      <c r="CK85" s="1566">
        <f>IF(ISERROR(MATCH($B85,'A1.3.2'!$B$27:$B$106,0)),"",(VLOOKUP($B85,'Forecast occupancies'!$C$28:$CP$64,87,TRUE)*VLOOKUP($B85,'A1.3.2'!$B$27:$AY$106,38,)) * $CR$5)</f>
        <v>38.043651852299988</v>
      </c>
      <c r="CL85" s="1566">
        <f>IF(ISERROR(MATCH($B85,'A1.3.2'!$B$27:$B$106,0)),"",(VLOOKUP($B85,'Forecast occupancies'!$C$28:$CP$64,88,TRUE)*VLOOKUP($B85,'A1.3.2'!$B$27:$AY$106,38,)) * $CR$5)</f>
        <v>38.043651852299988</v>
      </c>
      <c r="CM85" s="1565">
        <f>IF(ISERROR(MATCH($B85,'A1.3.2'!$B$27:$B$106,0)),"",(((VLOOKUP($B85,'Forecast occupancies'!$C$28:$CP$64,89,TRUE) -1) * VLOOKUP($B85,'A1.3.2'!$B$27:$AY$106,40,)) + VLOOKUP($B85,'A1.3.2'!$B$27:$AY$106,39,)) * $CR$5)</f>
        <v>43.607116406852008</v>
      </c>
      <c r="CN85" s="1565">
        <f>IF(ISERROR(MATCH($B85,'A1.3.2'!$B$27:$B$106,0)),"",(VLOOKUP($B85,'Forecast occupancies'!$C$28:$CP$64,90,TRUE) * VLOOKUP($B85,'A1.3.2'!$B$27:$AY$106,49,)) * $CR$5)</f>
        <v>43.601774891650756</v>
      </c>
      <c r="CO85" s="1565">
        <f>IF(ISERROR(MATCH($B85,'A1.3.2'!$B$27:$B$106,0)),"",(VLOOKUP($B85,'Forecast occupancies'!$C$28:$CP$64,91,TRUE) * VLOOKUP($B85,'A1.3.2'!$B$27:$AY$106,50,)) * $CR$5)</f>
        <v>124.87225795179025</v>
      </c>
      <c r="CP85" s="1567">
        <f>IF(ISERROR(MATCH($B85,'A1.3.2'!$B$27:$B$106,0)),"",SUM(CM85:CO85))</f>
        <v>212.08114925029301</v>
      </c>
    </row>
    <row r="86" spans="1:94" ht="13.5" customHeight="1">
      <c r="A86" s="113"/>
      <c r="B86" s="82">
        <f t="shared" si="0"/>
        <v>2068</v>
      </c>
      <c r="C86" s="26"/>
      <c r="D86" s="1609">
        <f>IF(ISERROR(MATCH($B86,'A1.3.2'!$B$27:$B$106,0)),"",(((VLOOKUP($B86,'Forecast occupancies'!$C$28:$CP$64,2,TRUE) -1) * VLOOKUP($B86,'A1.3.2'!$B$27:$AY$106,36,) + VLOOKUP($B86,'A1.3.2'!$B$27:$AY$106,35,)) * $CR$5))</f>
        <v>54.144768247989639</v>
      </c>
      <c r="E86" s="1565">
        <f>IF(ISERROR(MATCH($B86,'A1.3.2'!$B$27:$B$106,0)),"",VLOOKUP($B86,'Forecast occupancies'!$C$28:$CP$64,3,TRUE)*VLOOKUP($B86,'A1.3.2'!$B$27:$AY$106,49,)*$CR$5)</f>
        <v>30.513333964150103</v>
      </c>
      <c r="F86" s="1565">
        <f>IF(ISERROR(MATCH($B86,'A1.3.2'!$B$27:$B$106,0)),"",VLOOKUP($B86,'Forecast occupancies'!$C$28:$CP$64,4,TRUE)*VLOOKUP($B86,'A1.3.2'!$B$27:$AY$106,50,)*$CR$5)</f>
        <v>21.051836472254074</v>
      </c>
      <c r="G86" s="1566">
        <f>IF(ISERROR(MATCH($B86,'A1.3.2'!$B$27:$B$106,0)),"",(((D86*'VoT5'!$D$28)+(E86*'VoT5'!$D$29)+(F86*'VoT5'!$D$30))/100))</f>
        <v>30.667863216798018</v>
      </c>
      <c r="H86" s="1565">
        <f>IF(ISERROR(MATCH($B86,'A1.3.2'!$B$27:$B$106,0)),"",(VLOOKUP($B86,'Forecast occupancies'!$C$28:$CP$64,6,TRUE) * VLOOKUP($B86, 'A1.3.2'!$B$27:$AY$106,37,)) * $CR$5)</f>
        <v>39.569488557776559</v>
      </c>
      <c r="I86" s="1565">
        <f>IF(ISERROR(MATCH($B86,'A1.3.2'!$B$27:$B$106,0)),"",VLOOKUP($B86,'Forecast occupancies'!$C$28:$CP$64,7,TRUE) * ('VoT5'!$J$29*VLOOKUP($B86, 'A1.3.2'!$B$27:$AY$106,49,)+'VoT5'!$J$30*VLOOKUP($B86, 'A1.3.2'!$B$27:$AY$106,50,))/('VoT5'!$J$29+'VoT5'!$J$30) * $CR$5)</f>
        <v>24.15402815665032</v>
      </c>
      <c r="J86" s="1566">
        <f>IF(ISERROR(MATCH($B86,'A1.3.2'!$B$27:$B$106,0)),"",(H86*'VoT5'!$D$31 + I86*'VoT5'!$D$32)/100)</f>
        <v>37.719633309641409</v>
      </c>
      <c r="K86" s="1566">
        <f>IF(ISERROR(MATCH($B86,'A1.3.2'!$B$27:$B$106,0)),"",(VLOOKUP($B86,'Forecast occupancies'!$C$28:$CP$64,9,TRUE)*VLOOKUP($B86,'A1.3.2'!$B$27:$AY$106,38,)) * $CR$5)</f>
        <v>38.851986257539096</v>
      </c>
      <c r="L86" s="1566">
        <f>IF(ISERROR(MATCH($B86,'A1.3.2'!$B$27:$B$106,0)),"",(VLOOKUP($B86,'Forecast occupancies'!$C$28:$CP$64,10,TRUE)*VLOOKUP($B86,'A1.3.2'!$B$27:$AY$106,38,)) * $CR$5)</f>
        <v>38.851986257539096</v>
      </c>
      <c r="M86" s="1565">
        <f>IF(ISERROR(MATCH($B86,'A1.3.2'!$B$27:$B$106,0)),"",(((VLOOKUP($B86,'Forecast occupancies'!$C$28:$CP$64,11,TRUE) -1) * VLOOKUP($B86,'A1.3.2'!$B$27:$AY$106,40,)) + VLOOKUP($B86,'A1.3.2'!$B$27:$AY$106,39,)) * $CR$5)</f>
        <v>44.272189606185648</v>
      </c>
      <c r="N86" s="1565">
        <f>IF(ISERROR(MATCH($B86,'A1.3.2'!$B$27:$B$106,0)),"",(VLOOKUP($B86,'Forecast occupancies'!$C$28:$CP$64,12,TRUE) * VLOOKUP($B86,'A1.3.2'!$B$27:$AY$106,49,)) * $CR$5)</f>
        <v>60.605315921956439</v>
      </c>
      <c r="O86" s="1565">
        <f>IF(ISERROR(MATCH($B86,'A1.3.2'!$B$27:$B$106,0)),"",(VLOOKUP($B86,'Forecast occupancies'!$C$28:$CP$64,13,TRUE) * VLOOKUP($B86,'A1.3.2'!$B$27:$AY$106,50,)) * $CR$5)</f>
        <v>120.30591068537376</v>
      </c>
      <c r="P86" s="1567">
        <f>IF(ISERROR(MATCH($B86,'A1.3.2'!$B$27:$B$106,0)),"",SUM(M86:O86))</f>
        <v>225.18341621351584</v>
      </c>
      <c r="Q86" s="1609">
        <f>IF(ISERROR(MATCH($B86,'A1.3.2'!$B$27:$B$106,0)),"",(((VLOOKUP($B86,'Forecast occupancies'!$C$28:$CP$64,15,TRUE)-1)*VLOOKUP($B86,'A1.3.2'!$B$27:$AY$106,36,)+VLOOKUP($B86,'A1.3.2'!$B$27:$AY$106,35,))*$CR$5))</f>
        <v>55.483368249834562</v>
      </c>
      <c r="R86" s="1565">
        <f>IF(ISERROR(MATCH($B86,'A1.3.2'!$B$27:$B$106,0)),"",VLOOKUP($B86,'Forecast occupancies'!$C$28:$CP$64,16,TRUE)*VLOOKUP($B86,'A1.3.2'!$B$27:$AY$106,49,)*$CR$5)</f>
        <v>31.009483619785165</v>
      </c>
      <c r="S86" s="1565">
        <f>IF(ISERROR(MATCH($B86,'A1.3.2'!$B$27:$B$106,0)),"",VLOOKUP($B86,'Forecast occupancies'!$C$28:$CP$64,17,TRUE)*VLOOKUP($B86,'A1.3.2'!$B$27:$AY$106,50,)*$CR$5)</f>
        <v>22.425178709952007</v>
      </c>
      <c r="T86" s="1566">
        <f>IF(ISERROR(MATCH($B86,'A1.3.2'!$B$27:$B$106,0)),"",(((Q86*'VoT5'!$E$28)+(R86*'VoT5'!$E$29)+(S86*'VoT5'!$E$30))/100))</f>
        <v>28.883289012188943</v>
      </c>
      <c r="U86" s="1565">
        <f>IF(ISERROR(MATCH($B86,'A1.3.2'!$B$27:$B$106,0)),"",(VLOOKUP($B86,'Forecast occupancies'!$C$28:$CP$64,19,TRUE) * VLOOKUP($B86, 'A1.3.2'!$B$27:$AY$106,37,)) * $CR$5)</f>
        <v>39.569488557776559</v>
      </c>
      <c r="V86" s="1565">
        <f>IF(ISERROR(MATCH($B86,'A1.3.2'!$B$27:$B$106,0)),"",VLOOKUP($B86,'Forecast occupancies'!$C$28:$CP$64,20,TRUE) * ('VoT5'!$J$29*VLOOKUP($B86, 'A1.3.2'!$B$27:$AY$106,49,)+'VoT5'!$J$30*VLOOKUP($B86, 'A1.3.2'!$B$27:$AY$106,50,))/('VoT5'!$J$29+'VoT5'!$J$30) * $CR$5)</f>
        <v>24.15402815665032</v>
      </c>
      <c r="W86" s="1566">
        <f>IF(ISERROR(MATCH($B86,'A1.3.2'!$B$27:$B$106,0)),"",(U86*'VoT5'!$E$31 + V86*'VoT5'!$E$32)/100)</f>
        <v>37.719633309641409</v>
      </c>
      <c r="X86" s="1566">
        <f>IF(ISERROR(MATCH($B86,'A1.3.2'!$B$27:$B$106,0)),"",(VLOOKUP($B86,'Forecast occupancies'!$C$28:$CP$64,22,TRUE)*VLOOKUP($B86,'A1.3.2'!$B$27:$AY$106,38,)) * $CR$5)</f>
        <v>38.851986257539096</v>
      </c>
      <c r="Y86" s="1566">
        <f>IF(ISERROR(MATCH($B86,'A1.3.2'!$B$27:$B$106,0)),"",(VLOOKUP($B86,'Forecast occupancies'!$C$28:$CP$64,23,TRUE)*VLOOKUP($B86,'A1.3.2'!$B$27:$AY$106,38,)) * $CR$5)</f>
        <v>38.851986257539096</v>
      </c>
      <c r="Z86" s="1565">
        <f>IF(ISERROR(MATCH($B86,'A1.3.2'!$B$27:$B$106,0)),"",(((VLOOKUP($B86,'Forecast occupancies'!$C$28:$CP$64,24,TRUE) -1) * VLOOKUP($B86,'A1.3.2'!$B$27:$AY$106,40,)) + VLOOKUP($B86,'A1.3.2'!$B$27:$AY$106,39,)) * $CR$5)</f>
        <v>45.175824366238452</v>
      </c>
      <c r="AA86" s="1565">
        <f>IF(ISERROR(MATCH($B86,'A1.3.2'!$B$27:$B$106,0)),"",(VLOOKUP($B86,'Forecast occupancies'!$C$28:$CP$64,25,TRUE) * VLOOKUP($B86,'A1.3.2'!$B$27:$AY$106,49,)) * $CR$5)</f>
        <v>21.240234677942286</v>
      </c>
      <c r="AB86" s="1565">
        <f>IF(ISERROR(MATCH($B86,'A1.3.2'!$B$27:$B$106,0)),"",(VLOOKUP($B86,'Forecast occupancies'!$C$28:$CP$64,26,TRUE) * VLOOKUP($B86,'A1.3.2'!$B$27:$AY$106,50,)) * $CR$5)</f>
        <v>137.86378803041825</v>
      </c>
      <c r="AC86" s="1567">
        <f>IF(ISERROR(MATCH($B86,'A1.3.2'!$B$27:$B$106,0)),"",SUM(Z86:AB86))</f>
        <v>204.27984707459899</v>
      </c>
      <c r="AD86" s="1609">
        <f>IF(ISERROR(MATCH($B86,'A1.3.2'!$B$27:$B$106,0)),"",(((VLOOKUP($B86,'Forecast occupancies'!$C$28:$CP$64,28,TRUE)-1)*VLOOKUP($B86,'A1.3.2'!$B$27:$AY$106,36,)+VLOOKUP($B86,'A1.3.2'!$B$27:$AY$106,35,))*$CR$5))</f>
        <v>54.926159858608031</v>
      </c>
      <c r="AE86" s="1565">
        <f>IF(ISERROR(MATCH($B86,'A1.3.2'!$B$27:$B$106,0)),"",VLOOKUP($B86,'Forecast occupancies'!$C$28:$CP$64,29,TRUE)*VLOOKUP($B86,'A1.3.2'!$B$27:$AY$106,49,)*$CR$5)</f>
        <v>30.618585346477932</v>
      </c>
      <c r="AF86" s="1565">
        <f>IF(ISERROR(MATCH($B86,'A1.3.2'!$B$27:$B$106,0)),"",VLOOKUP($B86,'Forecast occupancies'!$C$28:$CP$64,30,TRUE)*VLOOKUP($B86,'A1.3.2'!$B$27:$AY$106,50,)*$CR$5)</f>
        <v>22.045644788222859</v>
      </c>
      <c r="AG86" s="1566">
        <f>IF(ISERROR(MATCH($B86,'A1.3.2'!$B$27:$B$106,0)),"",(((AD86*'VoT5'!$F$28)+(AE86*'VoT5'!$F$29)+(AF86*'VoT5'!$F$30))/100))</f>
        <v>29.465520763106468</v>
      </c>
      <c r="AH86" s="1565">
        <f>IF(ISERROR(MATCH($B86,'A1.3.2'!$B$27:$B$106,0)),"",(VLOOKUP($B86,'Forecast occupancies'!$C$28:$CP$64,32,TRUE) * VLOOKUP($B86, 'A1.3.2'!$B$27:$AY$106,37,)) * $CR$5)</f>
        <v>39.569488557776559</v>
      </c>
      <c r="AI86" s="1565">
        <f>IF(ISERROR(MATCH($B86,'A1.3.2'!$B$27:$B$106,0)),"",VLOOKUP($B86,'Forecast occupancies'!$C$28:$CP$64,33,TRUE) * ('VoT5'!$J$29*VLOOKUP($B86, 'A1.3.2'!$B$27:$AY$106,49,)+'VoT5'!$J$30*VLOOKUP($B86, 'A1.3.2'!$B$27:$AY$106,50,))/('VoT5'!$J$29+'VoT5'!$J$30) * $CR$5)</f>
        <v>24.15402815665032</v>
      </c>
      <c r="AJ86" s="1566">
        <f>IF(ISERROR(MATCH($B86,'A1.3.2'!$B$27:$B$106,0)),"",(AH86*'VoT5'!$F$31 + AI86*'VoT5'!$F$32)/100)</f>
        <v>37.719633309641409</v>
      </c>
      <c r="AK86" s="1566">
        <f>IF(ISERROR(MATCH($B86,'A1.3.2'!$B$27:$B$106,0)),"",(VLOOKUP($B86,'Forecast occupancies'!$C$28:$CP$64,35,TRUE)*VLOOKUP($B86,'A1.3.2'!$B$27:$AY$106,38,)) * $CR$5)</f>
        <v>38.851986257539096</v>
      </c>
      <c r="AL86" s="1566">
        <f>IF(ISERROR(MATCH($B86,'A1.3.2'!$B$27:$B$106,0)),"",(VLOOKUP($B86,'Forecast occupancies'!$C$28:$CP$64,36,TRUE)*VLOOKUP($B86,'A1.3.2'!$B$27:$AY$106,38,)) * $CR$5)</f>
        <v>38.851986257539096</v>
      </c>
      <c r="AM86" s="1565">
        <f>IF(ISERROR(MATCH($B86,'A1.3.2'!$B$27:$B$106,0)),"",(((VLOOKUP($B86,'Forecast occupancies'!$C$28:$CP$64,37,TRUE) -1) * VLOOKUP($B86,'A1.3.2'!$B$27:$AY$106,40,)) + VLOOKUP($B86,'A1.3.2'!$B$27:$AY$106,39,)) * $CR$5)</f>
        <v>47.266881267500104</v>
      </c>
      <c r="AN86" s="1565">
        <f>IF(ISERROR(MATCH($B86,'A1.3.2'!$B$27:$B$106,0)),"",(VLOOKUP($B86,'Forecast occupancies'!$C$28:$CP$64,38,TRUE) * VLOOKUP($B86,'A1.3.2'!$B$27:$AY$106,49,)) * $CR$5)</f>
        <v>85.233954577971687</v>
      </c>
      <c r="AO86" s="1565">
        <f>IF(ISERROR(MATCH($B86,'A1.3.2'!$B$27:$B$106,0)),"",(VLOOKUP($B86,'Forecast occupancies'!$C$28:$CP$64,39,TRUE) * VLOOKUP($B86,'A1.3.2'!$B$27:$AY$106,50,)) * $CR$5)</f>
        <v>107.70746725535052</v>
      </c>
      <c r="AP86" s="1567">
        <f>IF(ISERROR(MATCH($B86,'A1.3.2'!$B$27:$B$106,0)),"",SUM(AM86:AO86))</f>
        <v>240.20830310082232</v>
      </c>
      <c r="AQ86" s="1609">
        <f>IF(ISERROR(MATCH($B86,'A1.3.2'!$B$27:$B$106,0)),"",(((VLOOKUP($B86,'Forecast occupancies'!$C$28:$CP$64,41,TRUE)-1)*VLOOKUP($B86,'A1.3.2'!$B$27:$AY$106,36,)+VLOOKUP($B86,'A1.3.2'!$B$27:$AY$106,35,))*$CR$5))</f>
        <v>55.965396975987574</v>
      </c>
      <c r="AR86" s="1565">
        <f>IF(ISERROR(MATCH($B86,'A1.3.2'!$B$27:$B$106,0)),"",VLOOKUP($B86,'Forecast occupancies'!$C$28:$CP$64,42,TRUE)*VLOOKUP($B86,'A1.3.2'!$B$27:$AY$106,49,)*$CR$5)</f>
        <v>31.066717503827228</v>
      </c>
      <c r="AS86" s="1565">
        <f>IF(ISERROR(MATCH($B86,'A1.3.2'!$B$27:$B$106,0)),"",VLOOKUP($B86,'Forecast occupancies'!$C$28:$CP$64,43,TRUE)*VLOOKUP($B86,'A1.3.2'!$B$27:$AY$106,50,)*$CR$5)</f>
        <v>21.966937002152665</v>
      </c>
      <c r="AT86" s="1566">
        <f>IF(ISERROR(MATCH($B86,'A1.3.2'!$B$27:$B$106,0)),"",(((AQ86*'VoT5'!$G$28)+(AR86*'VoT5'!$G$29)+(AS86*'VoT5'!$G$30))/100))</f>
        <v>29.852839136225622</v>
      </c>
      <c r="AU86" s="1565">
        <f>IF(ISERROR(MATCH($B86,'A1.3.2'!$B$27:$B$106,0)),"",(VLOOKUP($B86,'Forecast occupancies'!$C$28:$CP$64,45,TRUE) * VLOOKUP($B86, 'A1.3.2'!$B$27:$AY$106,37,)) * $CR$5)</f>
        <v>39.569488557776559</v>
      </c>
      <c r="AV86" s="1565">
        <f>IF(ISERROR(MATCH($B86,'A1.3.2'!$B$27:$B$106,0)),"",VLOOKUP($B86,'Forecast occupancies'!$C$28:$CP$64,46,TRUE) * ('VoT5'!$J$29*VLOOKUP($B86, 'A1.3.2'!$B$27:$AY$106,49,)+'VoT5'!$J$30*VLOOKUP($B86, 'A1.3.2'!$B$27:$AY$106,50,))/('VoT5'!$J$29+'VoT5'!$J$30) * $CR$5)</f>
        <v>24.15402815665032</v>
      </c>
      <c r="AW86" s="1566">
        <f>IF(ISERROR(MATCH($B86,'A1.3.2'!$B$27:$B$106,0)),"",(AU86*'VoT5'!$G$31 + AV86*'VoT5'!$G$32)/100)</f>
        <v>37.719633309641409</v>
      </c>
      <c r="AX86" s="1566">
        <f>IF(ISERROR(MATCH($B86,'A1.3.2'!$B$27:$B$106,0)),"",(VLOOKUP($B86,'Forecast occupancies'!$C$28:$CP$64,48,TRUE)*VLOOKUP($B86,'A1.3.2'!$B$27:$AY$106,38,)) * $CR$5)</f>
        <v>38.851986257539096</v>
      </c>
      <c r="AY86" s="1566">
        <f>IF(ISERROR(MATCH($B86,'A1.3.2'!$B$27:$B$106,0)),"",(VLOOKUP($B86,'Forecast occupancies'!$C$28:$CP$64,49,TRUE)*VLOOKUP($B86,'A1.3.2'!$B$27:$AY$106,38,)) * $CR$5)</f>
        <v>38.851986257539096</v>
      </c>
      <c r="AZ86" s="1565">
        <f>IF(ISERROR(MATCH($B86,'A1.3.2'!$B$27:$B$106,0)),"",(((VLOOKUP($B86,'Forecast occupancies'!$C$28:$CP$64,50,TRUE) -1) * VLOOKUP($B86,'A1.3.2'!$B$27:$AY$106,40,)) + VLOOKUP($B86,'A1.3.2'!$B$27:$AY$106,39,)) * $CR$5)</f>
        <v>47.228657809607405</v>
      </c>
      <c r="BA86" s="1565">
        <f>IF(ISERROR(MATCH($B86,'A1.3.2'!$B$27:$B$106,0)),"",(VLOOKUP($B86,'Forecast occupancies'!$C$28:$CP$64,51,TRUE) * VLOOKUP($B86,'A1.3.2'!$B$27:$AY$106,49,)) * $CR$5)</f>
        <v>116.5126987362006</v>
      </c>
      <c r="BB86" s="1565">
        <f>IF(ISERROR(MATCH($B86,'A1.3.2'!$B$27:$B$106,0)),"",(VLOOKUP($B86,'Forecast occupancies'!$C$28:$CP$64,52,TRUE) * VLOOKUP($B86,'A1.3.2'!$B$27:$AY$106,50,)) * $CR$5)</f>
        <v>93.448232605802957</v>
      </c>
      <c r="BC86" s="1567">
        <f>IF(ISERROR(MATCH($B86,'A1.3.2'!$B$27:$B$106,0)),"",SUM(AZ86:BB86))</f>
        <v>257.18958915161096</v>
      </c>
      <c r="BD86" s="1565">
        <f>IF(ISERROR(MATCH($B86,'A1.3.2'!$B$27:$B$106,0)),"",(((VLOOKUP($B86,'Forecast occupancies'!$C$28:$CP$64,54,TRUE)-1)*VLOOKUP($B86,'A1.3.2'!$B$27:$AY$106,36,)+VLOOKUP($B86,'A1.3.2'!$B$27:$AY$106,35,))*$CR$5))</f>
        <v>55.023889415087716</v>
      </c>
      <c r="BE86" s="1565">
        <f>IF(ISERROR(MATCH($B86,'A1.3.2'!$B$27:$B$106,0)),"",VLOOKUP($B86,'Forecast occupancies'!$C$28:$CP$64,55,TRUE)*VLOOKUP($B86,'A1.3.2'!$B$27:$AY$106,49,)*$CR$5)</f>
        <v>30.722688791668894</v>
      </c>
      <c r="BF86" s="1565">
        <f>IF(ISERROR(MATCH($B86,'A1.3.2'!$B$27:$B$106,0)),"",VLOOKUP($B86,'Forecast occupancies'!$C$28:$CP$64,56,TRUE)*VLOOKUP($B86,'A1.3.2'!$B$27:$AY$106,50,)*$CR$5)</f>
        <v>22.021517146615512</v>
      </c>
      <c r="BG86" s="1566">
        <f>IF(ISERROR(MATCH($B86,'A1.3.2'!$B$27:$B$106,0)),"",(((BD86*'VoT5'!$H$28)+(BE86*'VoT5'!$H$29)+(BF86*'VoT5'!$H$30))/100))</f>
        <v>29.637850139094954</v>
      </c>
      <c r="BH86" s="1565">
        <f>IF(ISERROR(MATCH($B86,'A1.3.2'!$B$27:$B$106,0)),"",(VLOOKUP($B86,'Forecast occupancies'!$C$28:$CP$64,58,TRUE) * VLOOKUP($B86, 'A1.3.2'!$B$27:$AY$106,37,)) * $CR$5)</f>
        <v>39.569488557776559</v>
      </c>
      <c r="BI86" s="1565">
        <f>IF(ISERROR(MATCH($B86,'A1.3.2'!$B$27:$B$106,0)),"",(VLOOKUP($B86,'Forecast occupancies'!$C$28:$CP$64,59,TRUE) * (VLOOKUP($B86,'A1.3.2'!$B$27:$AY$106,49,) * 'VoT5'!$J$29 + VLOOKUP($B86,'A1.3.2'!$B$27:$AY$106,50,) * 'VoT5'!$J$30) / (SUM('VoT5'!$J$29:$J$30))) * $CR$5)</f>
        <v>24.15402815665032</v>
      </c>
      <c r="BJ86" s="1566">
        <f>IF(ISERROR(MATCH($B86,'A1.3.2'!$B$27:$B$106,0)),"",(BH86*'VoT5'!$H$31 + BI86*'VoT5'!$H$32)/100)</f>
        <v>37.719633309641409</v>
      </c>
      <c r="BK86" s="1566">
        <f>IF(ISERROR(MATCH($B86,'A1.3.2'!$B$27:$B$106,0)),"",(VLOOKUP($B86,'Forecast occupancies'!$C$28:$CP$64,61,TRUE)*VLOOKUP($B86,'A1.3.2'!$B$27:$AY$106,38,)) * $CR$5)</f>
        <v>38.851986257539096</v>
      </c>
      <c r="BL86" s="1566">
        <f>IF(ISERROR(MATCH($B86,'A1.3.2'!$B$27:$B$106,0)),"",(VLOOKUP($B86,'Forecast occupancies'!$C$28:$CP$64,62,TRUE)*VLOOKUP($B86,'A1.3.2'!$B$27:$AY$106,38,)) * $CR$5)</f>
        <v>38.851986257539096</v>
      </c>
      <c r="BM86" s="1565">
        <f>IF(ISERROR(MATCH($B86,'A1.3.2'!$B$27:$B$106,0)),"",(((VLOOKUP($B86,'Forecast occupancies'!$C$28:$CP$64,63,TRUE) -1) * VLOOKUP($B86,'A1.3.2'!$B$27:$AY$106,40,)) + VLOOKUP($B86,'A1.3.2'!$B$27:$AY$106,39,)) * $CR$5)</f>
        <v>45.537459132446401</v>
      </c>
      <c r="BN86" s="1565">
        <f>IF(ISERROR(MATCH($B86,'A1.3.2'!$B$27:$B$106,0)),"",(VLOOKUP($B86,'Forecast occupancies'!$C$28:$CP$64,64,TRUE) * VLOOKUP($B86,'A1.3.2'!$B$27:$AY$106,49,)) * $CR$5)</f>
        <v>52.597735572294908</v>
      </c>
      <c r="BO86" s="1565">
        <f>IF(ISERROR(MATCH($B86,'A1.3.2'!$B$27:$B$106,0)),"",(VLOOKUP($B86,'Forecast occupancies'!$C$28:$CP$64,65,TRUE) * VLOOKUP($B86,'A1.3.2'!$B$27:$AY$106,50,)) * $CR$5)</f>
        <v>123.38739077888332</v>
      </c>
      <c r="BP86" s="1567">
        <f>IF(ISERROR(MATCH($B86,'A1.3.2'!$B$27:$B$106,0)),"",SUM(BM86:BO86))</f>
        <v>221.52258548362462</v>
      </c>
      <c r="BQ86" s="1565">
        <f>IF(ISERROR(MATCH($B86,'A1.3.2'!$B$27:$B$106,0)),"",(((VLOOKUP($B86,'Forecast occupancies'!$C$28:$CP$64,67,TRUE)-1)*VLOOKUP($B86,'A1.3.2'!$B$27:$AY$106,36,)+VLOOKUP($B86,'A1.3.2'!$B$27:$AY$106,35,))*$CR$5))</f>
        <v>62.885417491355284</v>
      </c>
      <c r="BR86" s="1565">
        <f>IF(ISERROR(MATCH($B86,'A1.3.2'!$B$27:$B$106,0)),"",VLOOKUP($B86,'Forecast occupancies'!$C$28:$CP$64,68,TRUE)*VLOOKUP($B86,'A1.3.2'!$B$27:$AY$106,49,)*$CR$5)</f>
        <v>32.527706119387261</v>
      </c>
      <c r="BS86" s="1565">
        <f>IF(ISERROR(MATCH($B86,'A1.3.2'!$B$27:$B$106,0)),"",VLOOKUP($B86,'Forecast occupancies'!$C$28:$CP$64,69,TRUE)*VLOOKUP($B86,'A1.3.2'!$B$27:$AY$106,50,)*$CR$5)</f>
        <v>26.074007157661761</v>
      </c>
      <c r="BT86" s="1566">
        <f>IF(ISERROR(MATCH($B86,'A1.3.2'!$B$27:$B$106,0)),"",(((BQ86*'VoT5'!$I$28)+(BR86*'VoT5'!$I$29)+(BS86*'VoT5'!$I$30))/100))</f>
        <v>27.861720990824345</v>
      </c>
      <c r="BU86" s="1565">
        <f>IF(ISERROR(MATCH($B86,'A1.3.2'!$B$27:$B$106,0)),"",(VLOOKUP($B86,'Forecast occupancies'!$C$28:$CP$64,71,TRUE) * VLOOKUP($B86, 'A1.3.2'!$B$27:$AY$106,37,)) * $CR$5)</f>
        <v>41.547962985665386</v>
      </c>
      <c r="BV86" s="1565">
        <f>IF(ISERROR(MATCH($B86,'A1.3.2'!$B$27:$B$106,0)),"",(VLOOKUP($B86,'Forecast occupancies'!$C$28:$CP$64,72,TRUE) * (VLOOKUP($B86,'A1.3.2'!$B$27:$AY$106,49,)*'VoT5'!$J$29 + VLOOKUP($B86,'A1.3.2'!$B$27:$AY$106,50,)*'VoT5'!$J$30) / (SUM('VoT5'!$J$29:$J$30))) * $CR$5)</f>
        <v>33.584025450685033</v>
      </c>
      <c r="BW86" s="1566">
        <f>IF(ISERROR(MATCH($B86,'A1.3.2'!$B$27:$B$106,0)),"",(BU86*'VoT5'!$I$31 + BV86*'VoT5'!$I$32)/100)</f>
        <v>40.592290481467742</v>
      </c>
      <c r="BX86" s="1566">
        <f>IF(ISERROR(MATCH($B86,'A1.3.2'!$B$27:$B$106,0)),"",(VLOOKUP($B86,'Forecast occupancies'!$C$28:$CP$64,74,TRUE)*VLOOKUP($B86,'A1.3.2'!$B$27:$AY$106,38,)) * $CR$5)</f>
        <v>38.851986257539096</v>
      </c>
      <c r="BY86" s="1566">
        <f>IF(ISERROR(MATCH($B86,'A1.3.2'!$B$27:$B$106,0)),"",(VLOOKUP($B86,'Forecast occupancies'!$C$28:$CP$64,75,TRUE)*VLOOKUP($B86,'A1.3.2'!$B$27:$AY$106,38,)) * $CR$5)</f>
        <v>38.851986257539096</v>
      </c>
      <c r="BZ86" s="1565">
        <f>IF(ISERROR(MATCH($B86,'A1.3.2'!$B$27:$B$106,0)),"",(((VLOOKUP($B86,'Forecast occupancies'!$C$28:$CP$64,76,TRUE) -1) * VLOOKUP($B86,'A1.3.2'!$B$27:$AY$106,40,)) + VLOOKUP($B86,'A1.3.2'!$B$27:$AY$106,39,)) * $CR$5)</f>
        <v>41.472525674760568</v>
      </c>
      <c r="CA86" s="1565">
        <f>IF(ISERROR(MATCH($B86,'A1.3.2'!$B$27:$B$106,0)),"",(VLOOKUP($B86,'Forecast occupancies'!$C$28:$CP$64,77,TRUE) * VLOOKUP($B86,'A1.3.2'!$B$27:$AY$106,49,)) * $CR$5)</f>
        <v>19.926051849364963</v>
      </c>
      <c r="CB86" s="1565">
        <f>IF(ISERROR(MATCH($B86,'A1.3.2'!$B$27:$B$106,0)),"",(VLOOKUP($B86,'Forecast occupancies'!$C$28:$CP$64,78,TRUE) * VLOOKUP($B86,'A1.3.2'!$B$27:$AY$106,50,)) * $CR$5)</f>
        <v>140.14195471005712</v>
      </c>
      <c r="CC86" s="1567">
        <f>IF(ISERROR(MATCH($B86,'A1.3.2'!$B$27:$B$106,0)),"",SUM(BZ86:CB86))</f>
        <v>201.54053223418265</v>
      </c>
      <c r="CD86" s="1565">
        <f>IF(ISERROR(MATCH($B86,'A1.3.2'!$B$27:$B$106,0)),"",(((VLOOKUP($B86,'Forecast occupancies'!$C$28:$CP$64,80,TRUE)-1)*VLOOKUP($B86,'A1.3.2'!$B$27:$AY$106,36,)+VLOOKUP($B86,'A1.3.2'!$B$27:$AY$106,35,))*$CR$5))</f>
        <v>55.581922669874665</v>
      </c>
      <c r="CE86" s="1565">
        <f>IF(ISERROR(MATCH($B86,'A1.3.2'!$B$27:$B$106,0)),"",VLOOKUP($B86,'Forecast occupancies'!$C$28:$CP$64,81,TRUE)*VLOOKUP($B86,'A1.3.2'!$B$27:$AY$106,49,)*$CR$5)</f>
        <v>30.868715883297025</v>
      </c>
      <c r="CF86" s="1565">
        <f>IF(ISERROR(MATCH($B86,'A1.3.2'!$B$27:$B$106,0)),"",VLOOKUP($B86,'Forecast occupancies'!$C$28:$CP$64,82,TRUE)*VLOOKUP($B86,'A1.3.2'!$B$27:$AY$106,50,)*$CR$5)</f>
        <v>23.45151290952364</v>
      </c>
      <c r="CG86" s="1566">
        <f>IF(ISERROR(MATCH($B86,'A1.3.2'!$B$27:$B$106,0)),"",(((CD86*'VoT5'!$J$28)+(CE86*'VoT5'!$J$29)+(CF86*'VoT5'!$J$30))/100))</f>
        <v>29.216738353002722</v>
      </c>
      <c r="CH86" s="1565">
        <f>IF(ISERROR(MATCH($B86,'A1.3.2'!$B$27:$B$106,0)),"",(VLOOKUP($B86,'Forecast occupancies'!$C$28:$CP$64,84,TRUE) * VLOOKUP($B86, 'A1.3.2'!$B$27:$AY$106,37,)) * $CR$5)</f>
        <v>39.569488557776559</v>
      </c>
      <c r="CI86" s="1565">
        <f>IF(ISERROR(MATCH($B86,'A1.3.2'!$B$27:$B$106,0)),"",(VLOOKUP($B86,'Forecast occupancies'!$C$28:$CP$64,85,TRUE) * (VLOOKUP($B86,'A1.3.2'!$B$27:$AY$106,49,)*'VoT5'!$J$29 + VLOOKUP($B86,'A1.3.2'!$B$27:$AY$106,50,)*'VoT5'!$J$30) / (SUM('VoT5'!$J$29:$J$30))) * $CR$5)</f>
        <v>26.304729293886307</v>
      </c>
      <c r="CJ86" s="1566">
        <f>IF(ISERROR(MATCH($B86,'A1.3.2'!$B$27:$B$106,0)),"",(CH86*'VoT5'!$J$31 + CI86*'VoT5'!$J$32)/100)</f>
        <v>37.977717446109729</v>
      </c>
      <c r="CK86" s="1566">
        <f>IF(ISERROR(MATCH($B86,'A1.3.2'!$B$27:$B$106,0)),"",(VLOOKUP($B86,'Forecast occupancies'!$C$28:$CP$64,87,TRUE)*VLOOKUP($B86,'A1.3.2'!$B$27:$AY$106,38,)) * $CR$5)</f>
        <v>38.851986257539096</v>
      </c>
      <c r="CL86" s="1566">
        <f>IF(ISERROR(MATCH($B86,'A1.3.2'!$B$27:$B$106,0)),"",(VLOOKUP($B86,'Forecast occupancies'!$C$28:$CP$64,88,TRUE)*VLOOKUP($B86,'A1.3.2'!$B$27:$AY$106,38,)) * $CR$5)</f>
        <v>38.851986257539096</v>
      </c>
      <c r="CM86" s="1565">
        <f>IF(ISERROR(MATCH($B86,'A1.3.2'!$B$27:$B$106,0)),"",(((VLOOKUP($B86,'Forecast occupancies'!$C$28:$CP$64,89,TRUE) -1) * VLOOKUP($B86,'A1.3.2'!$B$27:$AY$106,40,)) + VLOOKUP($B86,'A1.3.2'!$B$27:$AY$106,39,)) * $CR$5)</f>
        <v>44.533660804897067</v>
      </c>
      <c r="CN86" s="1565">
        <f>IF(ISERROR(MATCH($B86,'A1.3.2'!$B$27:$B$106,0)),"",(VLOOKUP($B86,'Forecast occupancies'!$C$28:$CP$64,90,TRUE) * VLOOKUP($B86,'A1.3.2'!$B$27:$AY$106,49,)) * $CR$5)</f>
        <v>44.528205795583062</v>
      </c>
      <c r="CO86" s="1565">
        <f>IF(ISERROR(MATCH($B86,'A1.3.2'!$B$27:$B$106,0)),"",(VLOOKUP($B86,'Forecast occupancies'!$C$28:$CP$64,91,TRUE) * VLOOKUP($B86,'A1.3.2'!$B$27:$AY$106,50,)) * $CR$5)</f>
        <v>127.52548753012324</v>
      </c>
      <c r="CP86" s="1567">
        <f>IF(ISERROR(MATCH($B86,'A1.3.2'!$B$27:$B$106,0)),"",SUM(CM86:CO86))</f>
        <v>216.58735413060339</v>
      </c>
    </row>
    <row r="87" spans="1:94" ht="13.5" customHeight="1">
      <c r="A87" s="113"/>
      <c r="B87" s="82">
        <f t="shared" si="0"/>
        <v>2069</v>
      </c>
      <c r="C87" s="26"/>
      <c r="D87" s="1609">
        <f>IF(ISERROR(MATCH($B87,'A1.3.2'!$B$27:$B$106,0)),"",(((VLOOKUP($B87,'Forecast occupancies'!$C$28:$CP$64,2,TRUE) -1) * VLOOKUP($B87,'A1.3.2'!$B$27:$AY$106,36,) + VLOOKUP($B87,'A1.3.2'!$B$27:$AY$106,35,)) * $CR$5))</f>
        <v>55.29262847920927</v>
      </c>
      <c r="E87" s="1565">
        <f>IF(ISERROR(MATCH($B87,'A1.3.2'!$B$27:$B$106,0)),"",VLOOKUP($B87,'Forecast occupancies'!$C$28:$CP$64,3,TRUE)*VLOOKUP($B87,'A1.3.2'!$B$27:$AY$106,49,)*$CR$5)</f>
        <v>31.160211653587286</v>
      </c>
      <c r="F87" s="1565">
        <f>IF(ISERROR(MATCH($B87,'A1.3.2'!$B$27:$B$106,0)),"",VLOOKUP($B87,'Forecast occupancies'!$C$28:$CP$64,4,TRUE)*VLOOKUP($B87,'A1.3.2'!$B$27:$AY$106,50,)*$CR$5)</f>
        <v>21.498131962336565</v>
      </c>
      <c r="G87" s="1566">
        <f>IF(ISERROR(MATCH($B87,'A1.3.2'!$B$27:$B$106,0)),"",(((D87*'VoT5'!$D$28)+(E87*'VoT5'!$D$29)+(F87*'VoT5'!$D$30))/100))</f>
        <v>31.318016901117332</v>
      </c>
      <c r="H87" s="1565">
        <f>IF(ISERROR(MATCH($B87,'A1.3.2'!$B$27:$B$106,0)),"",(VLOOKUP($B87,'Forecast occupancies'!$C$28:$CP$64,6,TRUE) * VLOOKUP($B87, 'A1.3.2'!$B$27:$AY$106,37,)) * $CR$5)</f>
        <v>40.408355243420893</v>
      </c>
      <c r="I87" s="1565">
        <f>IF(ISERROR(MATCH($B87,'A1.3.2'!$B$27:$B$106,0)),"",VLOOKUP($B87,'Forecast occupancies'!$C$28:$CP$64,7,TRUE) * ('VoT5'!$J$29*VLOOKUP($B87, 'A1.3.2'!$B$27:$AY$106,49,)+'VoT5'!$J$30*VLOOKUP($B87, 'A1.3.2'!$B$27:$AY$106,50,))/('VoT5'!$J$29+'VoT5'!$J$30) * $CR$5)</f>
        <v>24.666089603063615</v>
      </c>
      <c r="J87" s="1566">
        <f>IF(ISERROR(MATCH($B87,'A1.3.2'!$B$27:$B$106,0)),"",(H87*'VoT5'!$D$31 + I87*'VoT5'!$D$32)/100)</f>
        <v>38.519283366578023</v>
      </c>
      <c r="K87" s="1566">
        <f>IF(ISERROR(MATCH($B87,'A1.3.2'!$B$27:$B$106,0)),"",(VLOOKUP($B87,'Forecast occupancies'!$C$28:$CP$64,9,TRUE)*VLOOKUP($B87,'A1.3.2'!$B$27:$AY$106,38,)) * $CR$5)</f>
        <v>39.675642011769355</v>
      </c>
      <c r="L87" s="1566">
        <f>IF(ISERROR(MATCH($B87,'A1.3.2'!$B$27:$B$106,0)),"",(VLOOKUP($B87,'Forecast occupancies'!$C$28:$CP$64,10,TRUE)*VLOOKUP($B87,'A1.3.2'!$B$27:$AY$106,38,)) * $CR$5)</f>
        <v>39.675642011769355</v>
      </c>
      <c r="M87" s="1565">
        <f>IF(ISERROR(MATCH($B87,'A1.3.2'!$B$27:$B$106,0)),"",(((VLOOKUP($B87,'Forecast occupancies'!$C$28:$CP$64,11,TRUE) -1) * VLOOKUP($B87,'A1.3.2'!$B$27:$AY$106,40,)) + VLOOKUP($B87,'A1.3.2'!$B$27:$AY$106,39,)) * $CR$5)</f>
        <v>45.210752784906845</v>
      </c>
      <c r="N87" s="1565">
        <f>IF(ISERROR(MATCH($B87,'A1.3.2'!$B$27:$B$106,0)),"",(VLOOKUP($B87,'Forecast occupancies'!$C$28:$CP$64,12,TRUE) * VLOOKUP($B87,'A1.3.2'!$B$27:$AY$106,49,)) * $CR$5)</f>
        <v>61.890138707210461</v>
      </c>
      <c r="O87" s="1565">
        <f>IF(ISERROR(MATCH($B87,'A1.3.2'!$B$27:$B$106,0)),"",(VLOOKUP($B87,'Forecast occupancies'!$C$28:$CP$64,13,TRUE) * VLOOKUP($B87,'A1.3.2'!$B$27:$AY$106,50,)) * $CR$5)</f>
        <v>122.85637631529228</v>
      </c>
      <c r="P87" s="1567">
        <f>IF(ISERROR(MATCH($B87,'A1.3.2'!$B$27:$B$106,0)),"",SUM(M87:O87))</f>
        <v>229.95726780740961</v>
      </c>
      <c r="Q87" s="1609">
        <f>IF(ISERROR(MATCH($B87,'A1.3.2'!$B$27:$B$106,0)),"",(((VLOOKUP($B87,'Forecast occupancies'!$C$28:$CP$64,15,TRUE)-1)*VLOOKUP($B87,'A1.3.2'!$B$27:$AY$106,36,)+VLOOKUP($B87,'A1.3.2'!$B$27:$AY$106,35,))*$CR$5))</f>
        <v>56.659606582158823</v>
      </c>
      <c r="R87" s="1565">
        <f>IF(ISERROR(MATCH($B87,'A1.3.2'!$B$27:$B$106,0)),"",VLOOKUP($B87,'Forecast occupancies'!$C$28:$CP$64,16,TRUE)*VLOOKUP($B87,'A1.3.2'!$B$27:$AY$106,49,)*$CR$5)</f>
        <v>31.666879600774141</v>
      </c>
      <c r="S87" s="1565">
        <f>IF(ISERROR(MATCH($B87,'A1.3.2'!$B$27:$B$106,0)),"",VLOOKUP($B87,'Forecast occupancies'!$C$28:$CP$64,17,TRUE)*VLOOKUP($B87,'A1.3.2'!$B$27:$AY$106,50,)*$CR$5)</f>
        <v>22.90058883085695</v>
      </c>
      <c r="T87" s="1566">
        <f>IF(ISERROR(MATCH($B87,'A1.3.2'!$B$27:$B$106,0)),"",(((Q87*'VoT5'!$E$28)+(R87*'VoT5'!$E$29)+(S87*'VoT5'!$E$30))/100))</f>
        <v>29.495610015246257</v>
      </c>
      <c r="U87" s="1565">
        <f>IF(ISERROR(MATCH($B87,'A1.3.2'!$B$27:$B$106,0)),"",(VLOOKUP($B87,'Forecast occupancies'!$C$28:$CP$64,19,TRUE) * VLOOKUP($B87, 'A1.3.2'!$B$27:$AY$106,37,)) * $CR$5)</f>
        <v>40.408355243420893</v>
      </c>
      <c r="V87" s="1565">
        <f>IF(ISERROR(MATCH($B87,'A1.3.2'!$B$27:$B$106,0)),"",VLOOKUP($B87,'Forecast occupancies'!$C$28:$CP$64,20,TRUE) * ('VoT5'!$J$29*VLOOKUP($B87, 'A1.3.2'!$B$27:$AY$106,49,)+'VoT5'!$J$30*VLOOKUP($B87, 'A1.3.2'!$B$27:$AY$106,50,))/('VoT5'!$J$29+'VoT5'!$J$30) * $CR$5)</f>
        <v>24.666089603063615</v>
      </c>
      <c r="W87" s="1566">
        <f>IF(ISERROR(MATCH($B87,'A1.3.2'!$B$27:$B$106,0)),"",(U87*'VoT5'!$E$31 + V87*'VoT5'!$E$32)/100)</f>
        <v>38.519283366578023</v>
      </c>
      <c r="X87" s="1566">
        <f>IF(ISERROR(MATCH($B87,'A1.3.2'!$B$27:$B$106,0)),"",(VLOOKUP($B87,'Forecast occupancies'!$C$28:$CP$64,22,TRUE)*VLOOKUP($B87,'A1.3.2'!$B$27:$AY$106,38,)) * $CR$5)</f>
        <v>39.675642011769355</v>
      </c>
      <c r="Y87" s="1566">
        <f>IF(ISERROR(MATCH($B87,'A1.3.2'!$B$27:$B$106,0)),"",(VLOOKUP($B87,'Forecast occupancies'!$C$28:$CP$64,23,TRUE)*VLOOKUP($B87,'A1.3.2'!$B$27:$AY$106,38,)) * $CR$5)</f>
        <v>39.675642011769355</v>
      </c>
      <c r="Z87" s="1565">
        <f>IF(ISERROR(MATCH($B87,'A1.3.2'!$B$27:$B$106,0)),"",(((VLOOKUP($B87,'Forecast occupancies'!$C$28:$CP$64,24,TRUE) -1) * VLOOKUP($B87,'A1.3.2'!$B$27:$AY$106,40,)) + VLOOKUP($B87,'A1.3.2'!$B$27:$AY$106,39,)) * $CR$5)</f>
        <v>46.133544454078944</v>
      </c>
      <c r="AA87" s="1565">
        <f>IF(ISERROR(MATCH($B87,'A1.3.2'!$B$27:$B$106,0)),"",(VLOOKUP($B87,'Forecast occupancies'!$C$28:$CP$64,25,TRUE) * VLOOKUP($B87,'A1.3.2'!$B$27:$AY$106,49,)) * $CR$5)</f>
        <v>21.690524179171934</v>
      </c>
      <c r="AB87" s="1565">
        <f>IF(ISERROR(MATCH($B87,'A1.3.2'!$B$27:$B$106,0)),"",(VLOOKUP($B87,'Forecast occupancies'!$C$28:$CP$64,26,TRUE) * VLOOKUP($B87,'A1.3.2'!$B$27:$AY$106,50,)) * $CR$5)</f>
        <v>140.78647778837629</v>
      </c>
      <c r="AC87" s="1567">
        <f>IF(ISERROR(MATCH($B87,'A1.3.2'!$B$27:$B$106,0)),"",SUM(Z87:AB87))</f>
        <v>208.61054642162716</v>
      </c>
      <c r="AD87" s="1609">
        <f>IF(ISERROR(MATCH($B87,'A1.3.2'!$B$27:$B$106,0)),"",(((VLOOKUP($B87,'Forecast occupancies'!$C$28:$CP$64,28,TRUE)-1)*VLOOKUP($B87,'A1.3.2'!$B$27:$AY$106,36,)+VLOOKUP($B87,'A1.3.2'!$B$27:$AY$106,35,))*$CR$5))</f>
        <v>56.090585464172406</v>
      </c>
      <c r="AE87" s="1565">
        <f>IF(ISERROR(MATCH($B87,'A1.3.2'!$B$27:$B$106,0)),"",VLOOKUP($B87,'Forecast occupancies'!$C$28:$CP$64,29,TRUE)*VLOOKUP($B87,'A1.3.2'!$B$27:$AY$106,49,)*$CR$5)</f>
        <v>31.267694348006092</v>
      </c>
      <c r="AF87" s="1565">
        <f>IF(ISERROR(MATCH($B87,'A1.3.2'!$B$27:$B$106,0)),"",VLOOKUP($B87,'Forecast occupancies'!$C$28:$CP$64,30,TRUE)*VLOOKUP($B87,'A1.3.2'!$B$27:$AY$106,50,)*$CR$5)</f>
        <v>22.513008852061748</v>
      </c>
      <c r="AG87" s="1566">
        <f>IF(ISERROR(MATCH($B87,'A1.3.2'!$B$27:$B$106,0)),"",(((AD87*'VoT5'!$F$28)+(AE87*'VoT5'!$F$29)+(AF87*'VoT5'!$F$30))/100))</f>
        <v>30.090184984056421</v>
      </c>
      <c r="AH87" s="1565">
        <f>IF(ISERROR(MATCH($B87,'A1.3.2'!$B$27:$B$106,0)),"",(VLOOKUP($B87,'Forecast occupancies'!$C$28:$CP$64,32,TRUE) * VLOOKUP($B87, 'A1.3.2'!$B$27:$AY$106,37,)) * $CR$5)</f>
        <v>40.408355243420893</v>
      </c>
      <c r="AI87" s="1565">
        <f>IF(ISERROR(MATCH($B87,'A1.3.2'!$B$27:$B$106,0)),"",VLOOKUP($B87,'Forecast occupancies'!$C$28:$CP$64,33,TRUE) * ('VoT5'!$J$29*VLOOKUP($B87, 'A1.3.2'!$B$27:$AY$106,49,)+'VoT5'!$J$30*VLOOKUP($B87, 'A1.3.2'!$B$27:$AY$106,50,))/('VoT5'!$J$29+'VoT5'!$J$30) * $CR$5)</f>
        <v>24.666089603063615</v>
      </c>
      <c r="AJ87" s="1566">
        <f>IF(ISERROR(MATCH($B87,'A1.3.2'!$B$27:$B$106,0)),"",(AH87*'VoT5'!$F$31 + AI87*'VoT5'!$F$32)/100)</f>
        <v>38.519283366578023</v>
      </c>
      <c r="AK87" s="1566">
        <f>IF(ISERROR(MATCH($B87,'A1.3.2'!$B$27:$B$106,0)),"",(VLOOKUP($B87,'Forecast occupancies'!$C$28:$CP$64,35,TRUE)*VLOOKUP($B87,'A1.3.2'!$B$27:$AY$106,38,)) * $CR$5)</f>
        <v>39.675642011769355</v>
      </c>
      <c r="AL87" s="1566">
        <f>IF(ISERROR(MATCH($B87,'A1.3.2'!$B$27:$B$106,0)),"",(VLOOKUP($B87,'Forecast occupancies'!$C$28:$CP$64,36,TRUE)*VLOOKUP($B87,'A1.3.2'!$B$27:$AY$106,38,)) * $CR$5)</f>
        <v>39.675642011769355</v>
      </c>
      <c r="AM87" s="1565">
        <f>IF(ISERROR(MATCH($B87,'A1.3.2'!$B$27:$B$106,0)),"",(((VLOOKUP($B87,'Forecast occupancies'!$C$28:$CP$64,37,TRUE) -1) * VLOOKUP($B87,'A1.3.2'!$B$27:$AY$106,40,)) + VLOOKUP($B87,'A1.3.2'!$B$27:$AY$106,39,)) * $CR$5)</f>
        <v>48.268931419644915</v>
      </c>
      <c r="AN87" s="1565">
        <f>IF(ISERROR(MATCH($B87,'A1.3.2'!$B$27:$B$106,0)),"",(VLOOKUP($B87,'Forecast occupancies'!$C$28:$CP$64,38,TRUE) * VLOOKUP($B87,'A1.3.2'!$B$27:$AY$106,49,)) * $CR$5)</f>
        <v>87.040900474600718</v>
      </c>
      <c r="AO87" s="1565">
        <f>IF(ISERROR(MATCH($B87,'A1.3.2'!$B$27:$B$106,0)),"",(VLOOKUP($B87,'Forecast occupancies'!$C$28:$CP$64,39,TRUE) * VLOOKUP($B87,'A1.3.2'!$B$27:$AY$106,50,)) * $CR$5)</f>
        <v>109.99084794508869</v>
      </c>
      <c r="AP87" s="1567">
        <f>IF(ISERROR(MATCH($B87,'A1.3.2'!$B$27:$B$106,0)),"",SUM(AM87:AO87))</f>
        <v>245.30067983933432</v>
      </c>
      <c r="AQ87" s="1609">
        <f>IF(ISERROR(MATCH($B87,'A1.3.2'!$B$27:$B$106,0)),"",(((VLOOKUP($B87,'Forecast occupancies'!$C$28:$CP$64,41,TRUE)-1)*VLOOKUP($B87,'A1.3.2'!$B$27:$AY$106,36,)+VLOOKUP($B87,'A1.3.2'!$B$27:$AY$106,35,))*$CR$5))</f>
        <v>57.151854238468161</v>
      </c>
      <c r="AR87" s="1565">
        <f>IF(ISERROR(MATCH($B87,'A1.3.2'!$B$27:$B$106,0)),"",VLOOKUP($B87,'Forecast occupancies'!$C$28:$CP$64,42,TRUE)*VLOOKUP($B87,'A1.3.2'!$B$27:$AY$106,49,)*$CR$5)</f>
        <v>31.725326833797016</v>
      </c>
      <c r="AS87" s="1565">
        <f>IF(ISERROR(MATCH($B87,'A1.3.2'!$B$27:$B$106,0)),"",VLOOKUP($B87,'Forecast occupancies'!$C$28:$CP$64,43,TRUE)*VLOOKUP($B87,'A1.3.2'!$B$27:$AY$106,50,)*$CR$5)</f>
        <v>22.432632473799906</v>
      </c>
      <c r="AT87" s="1566">
        <f>IF(ISERROR(MATCH($B87,'A1.3.2'!$B$27:$B$106,0)),"",(((AQ87*'VoT5'!$G$28)+(AR87*'VoT5'!$G$29)+(AS87*'VoT5'!$G$30))/100))</f>
        <v>30.485714443337912</v>
      </c>
      <c r="AU87" s="1565">
        <f>IF(ISERROR(MATCH($B87,'A1.3.2'!$B$27:$B$106,0)),"",(VLOOKUP($B87,'Forecast occupancies'!$C$28:$CP$64,45,TRUE) * VLOOKUP($B87, 'A1.3.2'!$B$27:$AY$106,37,)) * $CR$5)</f>
        <v>40.408355243420893</v>
      </c>
      <c r="AV87" s="1565">
        <f>IF(ISERROR(MATCH($B87,'A1.3.2'!$B$27:$B$106,0)),"",VLOOKUP($B87,'Forecast occupancies'!$C$28:$CP$64,46,TRUE) * ('VoT5'!$J$29*VLOOKUP($B87, 'A1.3.2'!$B$27:$AY$106,49,)+'VoT5'!$J$30*VLOOKUP($B87, 'A1.3.2'!$B$27:$AY$106,50,))/('VoT5'!$J$29+'VoT5'!$J$30) * $CR$5)</f>
        <v>24.666089603063615</v>
      </c>
      <c r="AW87" s="1566">
        <f>IF(ISERROR(MATCH($B87,'A1.3.2'!$B$27:$B$106,0)),"",(AU87*'VoT5'!$G$31 + AV87*'VoT5'!$G$32)/100)</f>
        <v>38.519283366578023</v>
      </c>
      <c r="AX87" s="1566">
        <f>IF(ISERROR(MATCH($B87,'A1.3.2'!$B$27:$B$106,0)),"",(VLOOKUP($B87,'Forecast occupancies'!$C$28:$CP$64,48,TRUE)*VLOOKUP($B87,'A1.3.2'!$B$27:$AY$106,38,)) * $CR$5)</f>
        <v>39.675642011769355</v>
      </c>
      <c r="AY87" s="1566">
        <f>IF(ISERROR(MATCH($B87,'A1.3.2'!$B$27:$B$106,0)),"",(VLOOKUP($B87,'Forecast occupancies'!$C$28:$CP$64,49,TRUE)*VLOOKUP($B87,'A1.3.2'!$B$27:$AY$106,38,)) * $CR$5)</f>
        <v>39.675642011769355</v>
      </c>
      <c r="AZ87" s="1565">
        <f>IF(ISERROR(MATCH($B87,'A1.3.2'!$B$27:$B$106,0)),"",(((VLOOKUP($B87,'Forecast occupancies'!$C$28:$CP$64,50,TRUE) -1) * VLOOKUP($B87,'A1.3.2'!$B$27:$AY$106,40,)) + VLOOKUP($B87,'A1.3.2'!$B$27:$AY$106,39,)) * $CR$5)</f>
        <v>48.22989763069652</v>
      </c>
      <c r="BA87" s="1565">
        <f>IF(ISERROR(MATCH($B87,'A1.3.2'!$B$27:$B$106,0)),"",(VLOOKUP($B87,'Forecast occupancies'!$C$28:$CP$64,51,TRUE) * VLOOKUP($B87,'A1.3.2'!$B$27:$AY$106,49,)) * $CR$5)</f>
        <v>118.98274889319475</v>
      </c>
      <c r="BB87" s="1565">
        <f>IF(ISERROR(MATCH($B87,'A1.3.2'!$B$27:$B$106,0)),"",(VLOOKUP($B87,'Forecast occupancies'!$C$28:$CP$64,52,TRUE) * VLOOKUP($B87,'A1.3.2'!$B$27:$AY$106,50,)) * $CR$5)</f>
        <v>95.429319853137244</v>
      </c>
      <c r="BC87" s="1567">
        <f>IF(ISERROR(MATCH($B87,'A1.3.2'!$B$27:$B$106,0)),"",SUM(AZ87:BB87))</f>
        <v>262.6419663770285</v>
      </c>
      <c r="BD87" s="1565">
        <f>IF(ISERROR(MATCH($B87,'A1.3.2'!$B$27:$B$106,0)),"",(((VLOOKUP($B87,'Forecast occupancies'!$C$28:$CP$64,54,TRUE)-1)*VLOOKUP($B87,'A1.3.2'!$B$27:$AY$106,36,)+VLOOKUP($B87,'A1.3.2'!$B$27:$AY$106,35,))*$CR$5))</f>
        <v>56.190386871265332</v>
      </c>
      <c r="BE87" s="1565">
        <f>IF(ISERROR(MATCH($B87,'A1.3.2'!$B$27:$B$106,0)),"",VLOOKUP($B87,'Forecast occupancies'!$C$28:$CP$64,55,TRUE)*VLOOKUP($B87,'A1.3.2'!$B$27:$AY$106,49,)*$CR$5)</f>
        <v>31.374004769208483</v>
      </c>
      <c r="BF87" s="1565">
        <f>IF(ISERROR(MATCH($B87,'A1.3.2'!$B$27:$B$106,0)),"",VLOOKUP($B87,'Forecast occupancies'!$C$28:$CP$64,56,TRUE)*VLOOKUP($B87,'A1.3.2'!$B$27:$AY$106,50,)*$CR$5)</f>
        <v>22.488369708398515</v>
      </c>
      <c r="BG87" s="1566">
        <f>IF(ISERROR(MATCH($B87,'A1.3.2'!$B$27:$B$106,0)),"",(((BD87*'VoT5'!$H$28)+(BE87*'VoT5'!$H$29)+(BF87*'VoT5'!$H$30))/100))</f>
        <v>30.266167714630559</v>
      </c>
      <c r="BH87" s="1565">
        <f>IF(ISERROR(MATCH($B87,'A1.3.2'!$B$27:$B$106,0)),"",(VLOOKUP($B87,'Forecast occupancies'!$C$28:$CP$64,58,TRUE) * VLOOKUP($B87, 'A1.3.2'!$B$27:$AY$106,37,)) * $CR$5)</f>
        <v>40.408355243420893</v>
      </c>
      <c r="BI87" s="1565">
        <f>IF(ISERROR(MATCH($B87,'A1.3.2'!$B$27:$B$106,0)),"",(VLOOKUP($B87,'Forecast occupancies'!$C$28:$CP$64,59,TRUE) * (VLOOKUP($B87,'A1.3.2'!$B$27:$AY$106,49,) * 'VoT5'!$J$29 + VLOOKUP($B87,'A1.3.2'!$B$27:$AY$106,50,) * 'VoT5'!$J$30) / (SUM('VoT5'!$J$29:$J$30))) * $CR$5)</f>
        <v>24.666089603063615</v>
      </c>
      <c r="BJ87" s="1566">
        <f>IF(ISERROR(MATCH($B87,'A1.3.2'!$B$27:$B$106,0)),"",(BH87*'VoT5'!$H$31 + BI87*'VoT5'!$H$32)/100)</f>
        <v>38.519283366578023</v>
      </c>
      <c r="BK87" s="1566">
        <f>IF(ISERROR(MATCH($B87,'A1.3.2'!$B$27:$B$106,0)),"",(VLOOKUP($B87,'Forecast occupancies'!$C$28:$CP$64,61,TRUE)*VLOOKUP($B87,'A1.3.2'!$B$27:$AY$106,38,)) * $CR$5)</f>
        <v>39.675642011769355</v>
      </c>
      <c r="BL87" s="1566">
        <f>IF(ISERROR(MATCH($B87,'A1.3.2'!$B$27:$B$106,0)),"",(VLOOKUP($B87,'Forecast occupancies'!$C$28:$CP$64,62,TRUE)*VLOOKUP($B87,'A1.3.2'!$B$27:$AY$106,38,)) * $CR$5)</f>
        <v>39.675642011769355</v>
      </c>
      <c r="BM87" s="1565">
        <f>IF(ISERROR(MATCH($B87,'A1.3.2'!$B$27:$B$106,0)),"",(((VLOOKUP($B87,'Forecast occupancies'!$C$28:$CP$64,63,TRUE) -1) * VLOOKUP($B87,'A1.3.2'!$B$27:$AY$106,40,)) + VLOOKUP($B87,'A1.3.2'!$B$27:$AY$106,39,)) * $CR$5)</f>
        <v>46.502845818183395</v>
      </c>
      <c r="BN87" s="1565">
        <f>IF(ISERROR(MATCH($B87,'A1.3.2'!$B$27:$B$106,0)),"",(VLOOKUP($B87,'Forecast occupancies'!$C$28:$CP$64,64,TRUE) * VLOOKUP($B87,'A1.3.2'!$B$27:$AY$106,49,)) * $CR$5)</f>
        <v>53.712798963814457</v>
      </c>
      <c r="BO87" s="1565">
        <f>IF(ISERROR(MATCH($B87,'A1.3.2'!$B$27:$B$106,0)),"",(VLOOKUP($B87,'Forecast occupancies'!$C$28:$CP$64,65,TRUE) * VLOOKUP($B87,'A1.3.2'!$B$27:$AY$106,50,)) * $CR$5)</f>
        <v>126.00318328279333</v>
      </c>
      <c r="BP87" s="1567">
        <f>IF(ISERROR(MATCH($B87,'A1.3.2'!$B$27:$B$106,0)),"",SUM(BM87:BO87))</f>
        <v>226.21882806479118</v>
      </c>
      <c r="BQ87" s="1565">
        <f>IF(ISERROR(MATCH($B87,'A1.3.2'!$B$27:$B$106,0)),"",(((VLOOKUP($B87,'Forecast occupancies'!$C$28:$CP$64,67,TRUE)-1)*VLOOKUP($B87,'A1.3.2'!$B$27:$AY$106,36,)+VLOOKUP($B87,'A1.3.2'!$B$27:$AY$106,35,))*$CR$5))</f>
        <v>64.218578056958975</v>
      </c>
      <c r="BR87" s="1565">
        <f>IF(ISERROR(MATCH($B87,'A1.3.2'!$B$27:$B$106,0)),"",VLOOKUP($B87,'Forecast occupancies'!$C$28:$CP$64,68,TRUE)*VLOOKUP($B87,'A1.3.2'!$B$27:$AY$106,49,)*$CR$5)</f>
        <v>33.217288169055195</v>
      </c>
      <c r="BS87" s="1565">
        <f>IF(ISERROR(MATCH($B87,'A1.3.2'!$B$27:$B$106,0)),"",VLOOKUP($B87,'Forecast occupancies'!$C$28:$CP$64,69,TRUE)*VLOOKUP($B87,'A1.3.2'!$B$27:$AY$106,50,)*$CR$5)</f>
        <v>26.626771844874675</v>
      </c>
      <c r="BT87" s="1566">
        <f>IF(ISERROR(MATCH($B87,'A1.3.2'!$B$27:$B$106,0)),"",(((BQ87*'VoT5'!$I$28)+(BR87*'VoT5'!$I$29)+(BS87*'VoT5'!$I$30))/100))</f>
        <v>28.452384918911097</v>
      </c>
      <c r="BU87" s="1565">
        <f>IF(ISERROR(MATCH($B87,'A1.3.2'!$B$27:$B$106,0)),"",(VLOOKUP($B87,'Forecast occupancies'!$C$28:$CP$64,71,TRUE) * VLOOKUP($B87, 'A1.3.2'!$B$27:$AY$106,37,)) * $CR$5)</f>
        <v>42.428773005591943</v>
      </c>
      <c r="BV87" s="1565">
        <f>IF(ISERROR(MATCH($B87,'A1.3.2'!$B$27:$B$106,0)),"",(VLOOKUP($B87,'Forecast occupancies'!$C$28:$CP$64,72,TRUE) * (VLOOKUP($B87,'A1.3.2'!$B$27:$AY$106,49,)*'VoT5'!$J$29 + VLOOKUP($B87,'A1.3.2'!$B$27:$AY$106,50,)*'VoT5'!$J$30) / (SUM('VoT5'!$J$29:$J$30))) * $CR$5)</f>
        <v>34.296001297410363</v>
      </c>
      <c r="BW87" s="1566">
        <f>IF(ISERROR(MATCH($B87,'A1.3.2'!$B$27:$B$106,0)),"",(BU87*'VoT5'!$I$31 + BV87*'VoT5'!$I$32)/100)</f>
        <v>41.452840400610157</v>
      </c>
      <c r="BX87" s="1566">
        <f>IF(ISERROR(MATCH($B87,'A1.3.2'!$B$27:$B$106,0)),"",(VLOOKUP($B87,'Forecast occupancies'!$C$28:$CP$64,74,TRUE)*VLOOKUP($B87,'A1.3.2'!$B$27:$AY$106,38,)) * $CR$5)</f>
        <v>39.675642011769355</v>
      </c>
      <c r="BY87" s="1566">
        <f>IF(ISERROR(MATCH($B87,'A1.3.2'!$B$27:$B$106,0)),"",(VLOOKUP($B87,'Forecast occupancies'!$C$28:$CP$64,75,TRUE)*VLOOKUP($B87,'A1.3.2'!$B$27:$AY$106,38,)) * $CR$5)</f>
        <v>39.675642011769355</v>
      </c>
      <c r="BZ87" s="1565">
        <f>IF(ISERROR(MATCH($B87,'A1.3.2'!$B$27:$B$106,0)),"",(((VLOOKUP($B87,'Forecast occupancies'!$C$28:$CP$64,76,TRUE) -1) * VLOOKUP($B87,'A1.3.2'!$B$27:$AY$106,40,)) + VLOOKUP($B87,'A1.3.2'!$B$27:$AY$106,39,)) * $CR$5)</f>
        <v>42.351736436034074</v>
      </c>
      <c r="CA87" s="1565">
        <f>IF(ISERROR(MATCH($B87,'A1.3.2'!$B$27:$B$106,0)),"",(VLOOKUP($B87,'Forecast occupancies'!$C$28:$CP$64,77,TRUE) * VLOOKUP($B87,'A1.3.2'!$B$27:$AY$106,49,)) * $CR$5)</f>
        <v>20.348480889569704</v>
      </c>
      <c r="CB87" s="1565">
        <f>IF(ISERROR(MATCH($B87,'A1.3.2'!$B$27:$B$106,0)),"",(VLOOKUP($B87,'Forecast occupancies'!$C$28:$CP$64,78,TRUE) * VLOOKUP($B87,'A1.3.2'!$B$27:$AY$106,50,)) * $CR$5)</f>
        <v>143.11294122901833</v>
      </c>
      <c r="CC87" s="1567">
        <f>IF(ISERROR(MATCH($B87,'A1.3.2'!$B$27:$B$106,0)),"",SUM(BZ87:CB87))</f>
        <v>205.81315855462211</v>
      </c>
      <c r="CD87" s="1565">
        <f>IF(ISERROR(MATCH($B87,'A1.3.2'!$B$27:$B$106,0)),"",(((VLOOKUP($B87,'Forecast occupancies'!$C$28:$CP$64,80,TRUE)-1)*VLOOKUP($B87,'A1.3.2'!$B$27:$AY$106,36,)+VLOOKUP($B87,'A1.3.2'!$B$27:$AY$106,35,))*$CR$5))</f>
        <v>56.760250339784733</v>
      </c>
      <c r="CE87" s="1565">
        <f>IF(ISERROR(MATCH($B87,'A1.3.2'!$B$27:$B$106,0)),"",VLOOKUP($B87,'Forecast occupancies'!$C$28:$CP$64,81,TRUE)*VLOOKUP($B87,'A1.3.2'!$B$27:$AY$106,49,)*$CR$5)</f>
        <v>31.523127611295696</v>
      </c>
      <c r="CF87" s="1565">
        <f>IF(ISERROR(MATCH($B87,'A1.3.2'!$B$27:$B$106,0)),"",VLOOKUP($B87,'Forecast occupancies'!$C$28:$CP$64,82,TRUE)*VLOOKUP($B87,'A1.3.2'!$B$27:$AY$106,50,)*$CR$5)</f>
        <v>23.9486811475976</v>
      </c>
      <c r="CG87" s="1566">
        <f>IF(ISERROR(MATCH($B87,'A1.3.2'!$B$27:$B$106,0)),"",(((CD87*'VoT5'!$J$28)+(CE87*'VoT5'!$J$29)+(CF87*'VoT5'!$J$30))/100))</f>
        <v>29.836128427548037</v>
      </c>
      <c r="CH87" s="1565">
        <f>IF(ISERROR(MATCH($B87,'A1.3.2'!$B$27:$B$106,0)),"",(VLOOKUP($B87,'Forecast occupancies'!$C$28:$CP$64,84,TRUE) * VLOOKUP($B87, 'A1.3.2'!$B$27:$AY$106,37,)) * $CR$5)</f>
        <v>40.408355243420893</v>
      </c>
      <c r="CI87" s="1565">
        <f>IF(ISERROR(MATCH($B87,'A1.3.2'!$B$27:$B$106,0)),"",(VLOOKUP($B87,'Forecast occupancies'!$C$28:$CP$64,85,TRUE) * (VLOOKUP($B87,'A1.3.2'!$B$27:$AY$106,49,)*'VoT5'!$J$29 + VLOOKUP($B87,'A1.3.2'!$B$27:$AY$106,50,)*'VoT5'!$J$30) / (SUM('VoT5'!$J$29:$J$30))) * $CR$5)</f>
        <v>26.862385252651471</v>
      </c>
      <c r="CJ87" s="1566">
        <f>IF(ISERROR(MATCH($B87,'A1.3.2'!$B$27:$B$106,0)),"",(CH87*'VoT5'!$J$31 + CI87*'VoT5'!$J$32)/100)</f>
        <v>38.782838844528563</v>
      </c>
      <c r="CK87" s="1566">
        <f>IF(ISERROR(MATCH($B87,'A1.3.2'!$B$27:$B$106,0)),"",(VLOOKUP($B87,'Forecast occupancies'!$C$28:$CP$64,87,TRUE)*VLOOKUP($B87,'A1.3.2'!$B$27:$AY$106,38,)) * $CR$5)</f>
        <v>39.675642011769355</v>
      </c>
      <c r="CL87" s="1566">
        <f>IF(ISERROR(MATCH($B87,'A1.3.2'!$B$27:$B$106,0)),"",(VLOOKUP($B87,'Forecast occupancies'!$C$28:$CP$64,88,TRUE)*VLOOKUP($B87,'A1.3.2'!$B$27:$AY$106,38,)) * $CR$5)</f>
        <v>39.675642011769355</v>
      </c>
      <c r="CM87" s="1565">
        <f>IF(ISERROR(MATCH($B87,'A1.3.2'!$B$27:$B$106,0)),"",(((VLOOKUP($B87,'Forecast occupancies'!$C$28:$CP$64,89,TRUE) -1) * VLOOKUP($B87,'A1.3.2'!$B$27:$AY$106,40,)) + VLOOKUP($B87,'A1.3.2'!$B$27:$AY$106,39,)) * $CR$5)</f>
        <v>45.477767130266074</v>
      </c>
      <c r="CN87" s="1565">
        <f>IF(ISERROR(MATCH($B87,'A1.3.2'!$B$27:$B$106,0)),"",(VLOOKUP($B87,'Forecast occupancies'!$C$28:$CP$64,90,TRUE) * VLOOKUP($B87,'A1.3.2'!$B$27:$AY$106,49,)) * $CR$5)</f>
        <v>45.472196475646804</v>
      </c>
      <c r="CO87" s="1565">
        <f>IF(ISERROR(MATCH($B87,'A1.3.2'!$B$27:$B$106,0)),"",(VLOOKUP($B87,'Forecast occupancies'!$C$28:$CP$64,91,TRUE) * VLOOKUP($B87,'A1.3.2'!$B$27:$AY$106,50,)) * $CR$5)</f>
        <v>130.22900700835388</v>
      </c>
      <c r="CP87" s="1567">
        <f>IF(ISERROR(MATCH($B87,'A1.3.2'!$B$27:$B$106,0)),"",SUM(CM87:CO87))</f>
        <v>221.17897061426675</v>
      </c>
    </row>
    <row r="88" spans="1:94" ht="13.5" customHeight="1">
      <c r="A88" s="113"/>
      <c r="B88" s="82">
        <f t="shared" si="0"/>
        <v>2070</v>
      </c>
      <c r="C88" s="26"/>
      <c r="D88" s="1609">
        <f>IF(ISERROR(MATCH($B88,'A1.3.2'!$B$27:$B$106,0)),"",(((VLOOKUP($B88,'Forecast occupancies'!$C$28:$CP$64,2,TRUE) -1) * VLOOKUP($B88,'A1.3.2'!$B$27:$AY$106,36,) + VLOOKUP($B88,'A1.3.2'!$B$27:$AY$106,35,)) * $CR$5))</f>
        <v>56.462325283030438</v>
      </c>
      <c r="E88" s="1565">
        <f>IF(ISERROR(MATCH($B88,'A1.3.2'!$B$27:$B$106,0)),"",VLOOKUP($B88,'Forecast occupancies'!$C$28:$CP$64,3,TRUE)*VLOOKUP($B88,'A1.3.2'!$B$27:$AY$106,49,)*$CR$5)</f>
        <v>31.819395363605647</v>
      </c>
      <c r="F88" s="1565">
        <f>IF(ISERROR(MATCH($B88,'A1.3.2'!$B$27:$B$106,0)),"",VLOOKUP($B88,'Forecast occupancies'!$C$28:$CP$64,4,TRUE)*VLOOKUP($B88,'A1.3.2'!$B$27:$AY$106,50,)*$CR$5)</f>
        <v>21.952917653234334</v>
      </c>
      <c r="G88" s="1566">
        <f>IF(ISERROR(MATCH($B88,'A1.3.2'!$B$27:$B$106,0)),"",(((D88*'VoT5'!$D$28)+(E88*'VoT5'!$D$29)+(F88*'VoT5'!$D$30))/100))</f>
        <v>31.980538927629933</v>
      </c>
      <c r="H88" s="1565">
        <f>IF(ISERROR(MATCH($B88,'A1.3.2'!$B$27:$B$106,0)),"",(VLOOKUP($B88,'Forecast occupancies'!$C$28:$CP$64,6,TRUE) * VLOOKUP($B88, 'A1.3.2'!$B$27:$AY$106,37,)) * $CR$5)</f>
        <v>41.263180294714523</v>
      </c>
      <c r="I88" s="1565">
        <f>IF(ISERROR(MATCH($B88,'A1.3.2'!$B$27:$B$106,0)),"",VLOOKUP($B88,'Forecast occupancies'!$C$28:$CP$64,7,TRUE) * ('VoT5'!$J$29*VLOOKUP($B88, 'A1.3.2'!$B$27:$AY$106,49,)+'VoT5'!$J$30*VLOOKUP($B88, 'A1.3.2'!$B$27:$AY$106,50,))/('VoT5'!$J$29+'VoT5'!$J$30) * $CR$5)</f>
        <v>25.187892363486164</v>
      </c>
      <c r="J88" s="1566">
        <f>IF(ISERROR(MATCH($B88,'A1.3.2'!$B$27:$B$106,0)),"",(H88*'VoT5'!$D$31 + I88*'VoT5'!$D$32)/100)</f>
        <v>39.334145742967124</v>
      </c>
      <c r="K88" s="1566">
        <f>IF(ISERROR(MATCH($B88,'A1.3.2'!$B$27:$B$106,0)),"",(VLOOKUP($B88,'Forecast occupancies'!$C$28:$CP$64,9,TRUE)*VLOOKUP($B88,'A1.3.2'!$B$27:$AY$106,38,)) * $CR$5)</f>
        <v>40.51496676313598</v>
      </c>
      <c r="L88" s="1566">
        <f>IF(ISERROR(MATCH($B88,'A1.3.2'!$B$27:$B$106,0)),"",(VLOOKUP($B88,'Forecast occupancies'!$C$28:$CP$64,10,TRUE)*VLOOKUP($B88,'A1.3.2'!$B$27:$AY$106,38,)) * $CR$5)</f>
        <v>40.51496676313598</v>
      </c>
      <c r="M88" s="1565">
        <f>IF(ISERROR(MATCH($B88,'A1.3.2'!$B$27:$B$106,0)),"",(((VLOOKUP($B88,'Forecast occupancies'!$C$28:$CP$64,11,TRUE) -1) * VLOOKUP($B88,'A1.3.2'!$B$27:$AY$106,40,)) + VLOOKUP($B88,'A1.3.2'!$B$27:$AY$106,39,)) * $CR$5)</f>
        <v>46.167170927530307</v>
      </c>
      <c r="N88" s="1565">
        <f>IF(ISERROR(MATCH($B88,'A1.3.2'!$B$27:$B$106,0)),"",(VLOOKUP($B88,'Forecast occupancies'!$C$28:$CP$64,12,TRUE) * VLOOKUP($B88,'A1.3.2'!$B$27:$AY$106,49,)) * $CR$5)</f>
        <v>63.199403602459448</v>
      </c>
      <c r="O88" s="1565">
        <f>IF(ISERROR(MATCH($B88,'A1.3.2'!$B$27:$B$106,0)),"",(VLOOKUP($B88,'Forecast occupancies'!$C$28:$CP$64,13,TRUE) * VLOOKUP($B88,'A1.3.2'!$B$27:$AY$106,50,)) * $CR$5)</f>
        <v>125.45536129136522</v>
      </c>
      <c r="P88" s="1567">
        <f>IF(ISERROR(MATCH($B88,'A1.3.2'!$B$27:$B$106,0)),"",SUM(M88:O88))</f>
        <v>234.82193582135497</v>
      </c>
      <c r="Q88" s="1609">
        <f>IF(ISERROR(MATCH($B88,'A1.3.2'!$B$27:$B$106,0)),"",(((VLOOKUP($B88,'Forecast occupancies'!$C$28:$CP$64,15,TRUE)-1)*VLOOKUP($B88,'A1.3.2'!$B$27:$AY$106,36,)+VLOOKUP($B88,'A1.3.2'!$B$27:$AY$106,35,))*$CR$5))</f>
        <v>57.858221344157997</v>
      </c>
      <c r="R88" s="1565">
        <f>IF(ISERROR(MATCH($B88,'A1.3.2'!$B$27:$B$106,0)),"",VLOOKUP($B88,'Forecast occupancies'!$C$28:$CP$64,16,TRUE)*VLOOKUP($B88,'A1.3.2'!$B$27:$AY$106,49,)*$CR$5)</f>
        <v>32.336781699386492</v>
      </c>
      <c r="S88" s="1565">
        <f>IF(ISERROR(MATCH($B88,'A1.3.2'!$B$27:$B$106,0)),"",VLOOKUP($B88,'Forecast occupancies'!$C$28:$CP$64,17,TRUE)*VLOOKUP($B88,'A1.3.2'!$B$27:$AY$106,50,)*$CR$5)</f>
        <v>23.385043021186288</v>
      </c>
      <c r="T88" s="1566">
        <f>IF(ISERROR(MATCH($B88,'A1.3.2'!$B$27:$B$106,0)),"",(((Q88*'VoT5'!$E$28)+(R88*'VoT5'!$E$29)+(S88*'VoT5'!$E$30))/100))</f>
        <v>30.119579642129921</v>
      </c>
      <c r="U88" s="1565">
        <f>IF(ISERROR(MATCH($B88,'A1.3.2'!$B$27:$B$106,0)),"",(VLOOKUP($B88,'Forecast occupancies'!$C$28:$CP$64,19,TRUE) * VLOOKUP($B88, 'A1.3.2'!$B$27:$AY$106,37,)) * $CR$5)</f>
        <v>41.263180294714523</v>
      </c>
      <c r="V88" s="1565">
        <f>IF(ISERROR(MATCH($B88,'A1.3.2'!$B$27:$B$106,0)),"",VLOOKUP($B88,'Forecast occupancies'!$C$28:$CP$64,20,TRUE) * ('VoT5'!$J$29*VLOOKUP($B88, 'A1.3.2'!$B$27:$AY$106,49,)+'VoT5'!$J$30*VLOOKUP($B88, 'A1.3.2'!$B$27:$AY$106,50,))/('VoT5'!$J$29+'VoT5'!$J$30) * $CR$5)</f>
        <v>25.187892363486164</v>
      </c>
      <c r="W88" s="1566">
        <f>IF(ISERROR(MATCH($B88,'A1.3.2'!$B$27:$B$106,0)),"",(U88*'VoT5'!$E$31 + V88*'VoT5'!$E$32)/100)</f>
        <v>39.334145742967124</v>
      </c>
      <c r="X88" s="1566">
        <f>IF(ISERROR(MATCH($B88,'A1.3.2'!$B$27:$B$106,0)),"",(VLOOKUP($B88,'Forecast occupancies'!$C$28:$CP$64,22,TRUE)*VLOOKUP($B88,'A1.3.2'!$B$27:$AY$106,38,)) * $CR$5)</f>
        <v>40.51496676313598</v>
      </c>
      <c r="Y88" s="1566">
        <f>IF(ISERROR(MATCH($B88,'A1.3.2'!$B$27:$B$106,0)),"",(VLOOKUP($B88,'Forecast occupancies'!$C$28:$CP$64,23,TRUE)*VLOOKUP($B88,'A1.3.2'!$B$27:$AY$106,38,)) * $CR$5)</f>
        <v>40.51496676313598</v>
      </c>
      <c r="Z88" s="1565">
        <f>IF(ISERROR(MATCH($B88,'A1.3.2'!$B$27:$B$106,0)),"",(((VLOOKUP($B88,'Forecast occupancies'!$C$28:$CP$64,24,TRUE) -1) * VLOOKUP($B88,'A1.3.2'!$B$27:$AY$106,40,)) + VLOOKUP($B88,'A1.3.2'!$B$27:$AY$106,39,)) * $CR$5)</f>
        <v>47.109483941512941</v>
      </c>
      <c r="AA88" s="1565">
        <f>IF(ISERROR(MATCH($B88,'A1.3.2'!$B$27:$B$106,0)),"",(VLOOKUP($B88,'Forecast occupancies'!$C$28:$CP$64,25,TRUE) * VLOOKUP($B88,'A1.3.2'!$B$27:$AY$106,49,)) * $CR$5)</f>
        <v>22.149379862169951</v>
      </c>
      <c r="AB88" s="1565">
        <f>IF(ISERROR(MATCH($B88,'A1.3.2'!$B$27:$B$106,0)),"",(VLOOKUP($B88,'Forecast occupancies'!$C$28:$CP$64,26,TRUE) * VLOOKUP($B88,'A1.3.2'!$B$27:$AY$106,50,)) * $CR$5)</f>
        <v>143.7647679803903</v>
      </c>
      <c r="AC88" s="1567">
        <f>IF(ISERROR(MATCH($B88,'A1.3.2'!$B$27:$B$106,0)),"",SUM(Z88:AB88))</f>
        <v>213.02363178407319</v>
      </c>
      <c r="AD88" s="1609">
        <f>IF(ISERROR(MATCH($B88,'A1.3.2'!$B$27:$B$106,0)),"",(((VLOOKUP($B88,'Forecast occupancies'!$C$28:$CP$64,28,TRUE)-1)*VLOOKUP($B88,'A1.3.2'!$B$27:$AY$106,36,)+VLOOKUP($B88,'A1.3.2'!$B$27:$AY$106,35,))*$CR$5))</f>
        <v>57.277162777395461</v>
      </c>
      <c r="AE88" s="1565">
        <f>IF(ISERROR(MATCH($B88,'A1.3.2'!$B$27:$B$106,0)),"",VLOOKUP($B88,'Forecast occupancies'!$C$28:$CP$64,29,TRUE)*VLOOKUP($B88,'A1.3.2'!$B$27:$AY$106,49,)*$CR$5)</f>
        <v>31.929151817973757</v>
      </c>
      <c r="AF88" s="1565">
        <f>IF(ISERROR(MATCH($B88,'A1.3.2'!$B$27:$B$106,0)),"",VLOOKUP($B88,'Forecast occupancies'!$C$28:$CP$64,30,TRUE)*VLOOKUP($B88,'A1.3.2'!$B$27:$AY$106,50,)*$CR$5)</f>
        <v>22.989263919381546</v>
      </c>
      <c r="AG88" s="1566">
        <f>IF(ISERROR(MATCH($B88,'A1.3.2'!$B$27:$B$106,0)),"",(((AD88*'VoT5'!$F$28)+(AE88*'VoT5'!$F$29)+(AF88*'VoT5'!$F$30))/100))</f>
        <v>30.726732642764183</v>
      </c>
      <c r="AH88" s="1565">
        <f>IF(ISERROR(MATCH($B88,'A1.3.2'!$B$27:$B$106,0)),"",(VLOOKUP($B88,'Forecast occupancies'!$C$28:$CP$64,32,TRUE) * VLOOKUP($B88, 'A1.3.2'!$B$27:$AY$106,37,)) * $CR$5)</f>
        <v>41.263180294714523</v>
      </c>
      <c r="AI88" s="1565">
        <f>IF(ISERROR(MATCH($B88,'A1.3.2'!$B$27:$B$106,0)),"",VLOOKUP($B88,'Forecast occupancies'!$C$28:$CP$64,33,TRUE) * ('VoT5'!$J$29*VLOOKUP($B88, 'A1.3.2'!$B$27:$AY$106,49,)+'VoT5'!$J$30*VLOOKUP($B88, 'A1.3.2'!$B$27:$AY$106,50,))/('VoT5'!$J$29+'VoT5'!$J$30) * $CR$5)</f>
        <v>25.187892363486164</v>
      </c>
      <c r="AJ88" s="1566">
        <f>IF(ISERROR(MATCH($B88,'A1.3.2'!$B$27:$B$106,0)),"",(AH88*'VoT5'!$F$31 + AI88*'VoT5'!$F$32)/100)</f>
        <v>39.334145742967124</v>
      </c>
      <c r="AK88" s="1566">
        <f>IF(ISERROR(MATCH($B88,'A1.3.2'!$B$27:$B$106,0)),"",(VLOOKUP($B88,'Forecast occupancies'!$C$28:$CP$64,35,TRUE)*VLOOKUP($B88,'A1.3.2'!$B$27:$AY$106,38,)) * $CR$5)</f>
        <v>40.51496676313598</v>
      </c>
      <c r="AL88" s="1566">
        <f>IF(ISERROR(MATCH($B88,'A1.3.2'!$B$27:$B$106,0)),"",(VLOOKUP($B88,'Forecast occupancies'!$C$28:$CP$64,36,TRUE)*VLOOKUP($B88,'A1.3.2'!$B$27:$AY$106,38,)) * $CR$5)</f>
        <v>40.51496676313598</v>
      </c>
      <c r="AM88" s="1565">
        <f>IF(ISERROR(MATCH($B88,'A1.3.2'!$B$27:$B$106,0)),"",(((VLOOKUP($B88,'Forecast occupancies'!$C$28:$CP$64,37,TRUE) -1) * VLOOKUP($B88,'A1.3.2'!$B$27:$AY$106,40,)) + VLOOKUP($B88,'A1.3.2'!$B$27:$AY$106,39,)) * $CR$5)</f>
        <v>49.29004429415135</v>
      </c>
      <c r="AN88" s="1565">
        <f>IF(ISERROR(MATCH($B88,'A1.3.2'!$B$27:$B$106,0)),"",(VLOOKUP($B88,'Forecast occupancies'!$C$28:$CP$64,38,TRUE) * VLOOKUP($B88,'A1.3.2'!$B$27:$AY$106,49,)) * $CR$5)</f>
        <v>88.882221205539366</v>
      </c>
      <c r="AO88" s="1565">
        <f>IF(ISERROR(MATCH($B88,'A1.3.2'!$B$27:$B$106,0)),"",(VLOOKUP($B88,'Forecast occupancies'!$C$28:$CP$64,39,TRUE) * VLOOKUP($B88,'A1.3.2'!$B$27:$AY$106,50,)) * $CR$5)</f>
        <v>112.31766703163883</v>
      </c>
      <c r="AP88" s="1567">
        <f>IF(ISERROR(MATCH($B88,'A1.3.2'!$B$27:$B$106,0)),"",SUM(AM88:AO88))</f>
        <v>250.48993253132954</v>
      </c>
      <c r="AQ88" s="1609">
        <f>IF(ISERROR(MATCH($B88,'A1.3.2'!$B$27:$B$106,0)),"",(((VLOOKUP($B88,'Forecast occupancies'!$C$28:$CP$64,41,TRUE)-1)*VLOOKUP($B88,'A1.3.2'!$B$27:$AY$106,36,)+VLOOKUP($B88,'A1.3.2'!$B$27:$AY$106,35,))*$CR$5))</f>
        <v>58.360882332698232</v>
      </c>
      <c r="AR88" s="1565">
        <f>IF(ISERROR(MATCH($B88,'A1.3.2'!$B$27:$B$106,0)),"",VLOOKUP($B88,'Forecast occupancies'!$C$28:$CP$64,42,TRUE)*VLOOKUP($B88,'A1.3.2'!$B$27:$AY$106,49,)*$CR$5)</f>
        <v>32.396465363802477</v>
      </c>
      <c r="AS88" s="1565">
        <f>IF(ISERROR(MATCH($B88,'A1.3.2'!$B$27:$B$106,0)),"",VLOOKUP($B88,'Forecast occupancies'!$C$28:$CP$64,43,TRUE)*VLOOKUP($B88,'A1.3.2'!$B$27:$AY$106,50,)*$CR$5)</f>
        <v>22.907187206096001</v>
      </c>
      <c r="AT88" s="1566">
        <f>IF(ISERROR(MATCH($B88,'A1.3.2'!$B$27:$B$106,0)),"",(((AQ88*'VoT5'!$G$28)+(AR88*'VoT5'!$G$29)+(AS88*'VoT5'!$G$30))/100))</f>
        <v>31.130629393618957</v>
      </c>
      <c r="AU88" s="1565">
        <f>IF(ISERROR(MATCH($B88,'A1.3.2'!$B$27:$B$106,0)),"",(VLOOKUP($B88,'Forecast occupancies'!$C$28:$CP$64,45,TRUE) * VLOOKUP($B88, 'A1.3.2'!$B$27:$AY$106,37,)) * $CR$5)</f>
        <v>41.263180294714523</v>
      </c>
      <c r="AV88" s="1565">
        <f>IF(ISERROR(MATCH($B88,'A1.3.2'!$B$27:$B$106,0)),"",VLOOKUP($B88,'Forecast occupancies'!$C$28:$CP$64,46,TRUE) * ('VoT5'!$J$29*VLOOKUP($B88, 'A1.3.2'!$B$27:$AY$106,49,)+'VoT5'!$J$30*VLOOKUP($B88, 'A1.3.2'!$B$27:$AY$106,50,))/('VoT5'!$J$29+'VoT5'!$J$30) * $CR$5)</f>
        <v>25.187892363486164</v>
      </c>
      <c r="AW88" s="1566">
        <f>IF(ISERROR(MATCH($B88,'A1.3.2'!$B$27:$B$106,0)),"",(AU88*'VoT5'!$G$31 + AV88*'VoT5'!$G$32)/100)</f>
        <v>39.334145742967124</v>
      </c>
      <c r="AX88" s="1566">
        <f>IF(ISERROR(MATCH($B88,'A1.3.2'!$B$27:$B$106,0)),"",(VLOOKUP($B88,'Forecast occupancies'!$C$28:$CP$64,48,TRUE)*VLOOKUP($B88,'A1.3.2'!$B$27:$AY$106,38,)) * $CR$5)</f>
        <v>40.51496676313598</v>
      </c>
      <c r="AY88" s="1566">
        <f>IF(ISERROR(MATCH($B88,'A1.3.2'!$B$27:$B$106,0)),"",(VLOOKUP($B88,'Forecast occupancies'!$C$28:$CP$64,49,TRUE)*VLOOKUP($B88,'A1.3.2'!$B$27:$AY$106,38,)) * $CR$5)</f>
        <v>40.51496676313598</v>
      </c>
      <c r="AZ88" s="1565">
        <f>IF(ISERROR(MATCH($B88,'A1.3.2'!$B$27:$B$106,0)),"",(((VLOOKUP($B88,'Forecast occupancies'!$C$28:$CP$64,50,TRUE) -1) * VLOOKUP($B88,'A1.3.2'!$B$27:$AY$106,40,)) + VLOOKUP($B88,'A1.3.2'!$B$27:$AY$106,39,)) * $CR$5)</f>
        <v>49.25018475863547</v>
      </c>
      <c r="BA88" s="1565">
        <f>IF(ISERROR(MATCH($B88,'A1.3.2'!$B$27:$B$106,0)),"",(VLOOKUP($B88,'Forecast occupancies'!$C$28:$CP$64,51,TRUE) * VLOOKUP($B88,'A1.3.2'!$B$27:$AY$106,49,)) * $CR$5)</f>
        <v>121.49978859483524</v>
      </c>
      <c r="BB88" s="1565">
        <f>IF(ISERROR(MATCH($B88,'A1.3.2'!$B$27:$B$106,0)),"",(VLOOKUP($B88,'Forecast occupancies'!$C$28:$CP$64,52,TRUE) * VLOOKUP($B88,'A1.3.2'!$B$27:$AY$106,50,)) * $CR$5)</f>
        <v>97.448094751223607</v>
      </c>
      <c r="BC88" s="1567">
        <f>IF(ISERROR(MATCH($B88,'A1.3.2'!$B$27:$B$106,0)),"",SUM(AZ88:BB88))</f>
        <v>268.1980681046943</v>
      </c>
      <c r="BD88" s="1565">
        <f>IF(ISERROR(MATCH($B88,'A1.3.2'!$B$27:$B$106,0)),"",(((VLOOKUP($B88,'Forecast occupancies'!$C$28:$CP$64,54,TRUE)-1)*VLOOKUP($B88,'A1.3.2'!$B$27:$AY$106,36,)+VLOOKUP($B88,'A1.3.2'!$B$27:$AY$106,35,))*$CR$5))</f>
        <v>57.379075449409299</v>
      </c>
      <c r="BE88" s="1565">
        <f>IF(ISERROR(MATCH($B88,'A1.3.2'!$B$27:$B$106,0)),"",VLOOKUP($B88,'Forecast occupancies'!$C$28:$CP$64,55,TRUE)*VLOOKUP($B88,'A1.3.2'!$B$27:$AY$106,49,)*$CR$5)</f>
        <v>32.037711200083123</v>
      </c>
      <c r="BF88" s="1565">
        <f>IF(ISERROR(MATCH($B88,'A1.3.2'!$B$27:$B$106,0)),"",VLOOKUP($B88,'Forecast occupancies'!$C$28:$CP$64,56,TRUE)*VLOOKUP($B88,'A1.3.2'!$B$27:$AY$106,50,)*$CR$5)</f>
        <v>22.964103542990109</v>
      </c>
      <c r="BG88" s="1566">
        <f>IF(ISERROR(MATCH($B88,'A1.3.2'!$B$27:$B$106,0)),"",(((BD88*'VoT5'!$H$28)+(BE88*'VoT5'!$H$29)+(BF88*'VoT5'!$H$30))/100))</f>
        <v>30.90643822832174</v>
      </c>
      <c r="BH88" s="1565">
        <f>IF(ISERROR(MATCH($B88,'A1.3.2'!$B$27:$B$106,0)),"",(VLOOKUP($B88,'Forecast occupancies'!$C$28:$CP$64,58,TRUE) * VLOOKUP($B88, 'A1.3.2'!$B$27:$AY$106,37,)) * $CR$5)</f>
        <v>41.263180294714523</v>
      </c>
      <c r="BI88" s="1565">
        <f>IF(ISERROR(MATCH($B88,'A1.3.2'!$B$27:$B$106,0)),"",(VLOOKUP($B88,'Forecast occupancies'!$C$28:$CP$64,59,TRUE) * (VLOOKUP($B88,'A1.3.2'!$B$27:$AY$106,49,) * 'VoT5'!$J$29 + VLOOKUP($B88,'A1.3.2'!$B$27:$AY$106,50,) * 'VoT5'!$J$30) / (SUM('VoT5'!$J$29:$J$30))) * $CR$5)</f>
        <v>25.187892363486164</v>
      </c>
      <c r="BJ88" s="1566">
        <f>IF(ISERROR(MATCH($B88,'A1.3.2'!$B$27:$B$106,0)),"",(BH88*'VoT5'!$H$31 + BI88*'VoT5'!$H$32)/100)</f>
        <v>39.334145742967124</v>
      </c>
      <c r="BK88" s="1566">
        <f>IF(ISERROR(MATCH($B88,'A1.3.2'!$B$27:$B$106,0)),"",(VLOOKUP($B88,'Forecast occupancies'!$C$28:$CP$64,61,TRUE)*VLOOKUP($B88,'A1.3.2'!$B$27:$AY$106,38,)) * $CR$5)</f>
        <v>40.51496676313598</v>
      </c>
      <c r="BL88" s="1566">
        <f>IF(ISERROR(MATCH($B88,'A1.3.2'!$B$27:$B$106,0)),"",(VLOOKUP($B88,'Forecast occupancies'!$C$28:$CP$64,62,TRUE)*VLOOKUP($B88,'A1.3.2'!$B$27:$AY$106,38,)) * $CR$5)</f>
        <v>40.51496676313598</v>
      </c>
      <c r="BM88" s="1565">
        <f>IF(ISERROR(MATCH($B88,'A1.3.2'!$B$27:$B$106,0)),"",(((VLOOKUP($B88,'Forecast occupancies'!$C$28:$CP$64,63,TRUE) -1) * VLOOKUP($B88,'A1.3.2'!$B$27:$AY$106,40,)) + VLOOKUP($B88,'A1.3.2'!$B$27:$AY$106,39,)) * $CR$5)</f>
        <v>47.486597750732066</v>
      </c>
      <c r="BN88" s="1565">
        <f>IF(ISERROR(MATCH($B88,'A1.3.2'!$B$27:$B$106,0)),"",(VLOOKUP($B88,'Forecast occupancies'!$C$28:$CP$64,64,TRUE) * VLOOKUP($B88,'A1.3.2'!$B$27:$AY$106,49,)) * $CR$5)</f>
        <v>54.849075010012676</v>
      </c>
      <c r="BO88" s="1565">
        <f>IF(ISERROR(MATCH($B88,'A1.3.2'!$B$27:$B$106,0)),"",(VLOOKUP($B88,'Forecast occupancies'!$C$28:$CP$64,65,TRUE) * VLOOKUP($B88,'A1.3.2'!$B$27:$AY$106,50,)) * $CR$5)</f>
        <v>128.66873789307189</v>
      </c>
      <c r="BP88" s="1567">
        <f>IF(ISERROR(MATCH($B88,'A1.3.2'!$B$27:$B$106,0)),"",SUM(BM88:BO88))</f>
        <v>231.00441065381665</v>
      </c>
      <c r="BQ88" s="1565">
        <f>IF(ISERROR(MATCH($B88,'A1.3.2'!$B$27:$B$106,0)),"",(((VLOOKUP($B88,'Forecast occupancies'!$C$28:$CP$64,67,TRUE)-1)*VLOOKUP($B88,'A1.3.2'!$B$27:$AY$106,36,)+VLOOKUP($B88,'A1.3.2'!$B$27:$AY$106,35,))*$CR$5))</f>
        <v>65.577100296996989</v>
      </c>
      <c r="BR88" s="1565">
        <f>IF(ISERROR(MATCH($B88,'A1.3.2'!$B$27:$B$106,0)),"",VLOOKUP($B88,'Forecast occupancies'!$C$28:$CP$64,68,TRUE)*VLOOKUP($B88,'A1.3.2'!$B$27:$AY$106,49,)*$CR$5)</f>
        <v>33.919988635131979</v>
      </c>
      <c r="BS88" s="1565">
        <f>IF(ISERROR(MATCH($B88,'A1.3.2'!$B$27:$B$106,0)),"",VLOOKUP($B88,'Forecast occupancies'!$C$28:$CP$64,69,TRUE)*VLOOKUP($B88,'A1.3.2'!$B$27:$AY$106,50,)*$CR$5)</f>
        <v>27.190052173187091</v>
      </c>
      <c r="BT88" s="1566">
        <f>IF(ISERROR(MATCH($B88,'A1.3.2'!$B$27:$B$106,0)),"",(((BQ88*'VoT5'!$I$28)+(BR88*'VoT5'!$I$29)+(BS88*'VoT5'!$I$30))/100))</f>
        <v>29.054285472675765</v>
      </c>
      <c r="BU88" s="1565">
        <f>IF(ISERROR(MATCH($B88,'A1.3.2'!$B$27:$B$106,0)),"",(VLOOKUP($B88,'Forecast occupancies'!$C$28:$CP$64,71,TRUE) * VLOOKUP($B88, 'A1.3.2'!$B$27:$AY$106,37,)) * $CR$5)</f>
        <v>43.326339309450255</v>
      </c>
      <c r="BV88" s="1565">
        <f>IF(ISERROR(MATCH($B88,'A1.3.2'!$B$27:$B$106,0)),"",(VLOOKUP($B88,'Forecast occupancies'!$C$28:$CP$64,72,TRUE) * (VLOOKUP($B88,'A1.3.2'!$B$27:$AY$106,49,)*'VoT5'!$J$29 + VLOOKUP($B88,'A1.3.2'!$B$27:$AY$106,50,)*'VoT5'!$J$30) / (SUM('VoT5'!$J$29:$J$30))) * $CR$5)</f>
        <v>35.021521573888293</v>
      </c>
      <c r="BW88" s="1566">
        <f>IF(ISERROR(MATCH($B88,'A1.3.2'!$B$27:$B$106,0)),"",(BU88*'VoT5'!$I$31 + BV88*'VoT5'!$I$32)/100)</f>
        <v>42.329761181182818</v>
      </c>
      <c r="BX88" s="1566">
        <f>IF(ISERROR(MATCH($B88,'A1.3.2'!$B$27:$B$106,0)),"",(VLOOKUP($B88,'Forecast occupancies'!$C$28:$CP$64,74,TRUE)*VLOOKUP($B88,'A1.3.2'!$B$27:$AY$106,38,)) * $CR$5)</f>
        <v>40.51496676313598</v>
      </c>
      <c r="BY88" s="1566">
        <f>IF(ISERROR(MATCH($B88,'A1.3.2'!$B$27:$B$106,0)),"",(VLOOKUP($B88,'Forecast occupancies'!$C$28:$CP$64,75,TRUE)*VLOOKUP($B88,'A1.3.2'!$B$27:$AY$106,38,)) * $CR$5)</f>
        <v>40.51496676313598</v>
      </c>
      <c r="BZ88" s="1565">
        <f>IF(ISERROR(MATCH($B88,'A1.3.2'!$B$27:$B$106,0)),"",(((VLOOKUP($B88,'Forecast occupancies'!$C$28:$CP$64,76,TRUE) -1) * VLOOKUP($B88,'A1.3.2'!$B$27:$AY$106,40,)) + VLOOKUP($B88,'A1.3.2'!$B$27:$AY$106,39,)) * $CR$5)</f>
        <v>43.247673057389171</v>
      </c>
      <c r="CA88" s="1565">
        <f>IF(ISERROR(MATCH($B88,'A1.3.2'!$B$27:$B$106,0)),"",(VLOOKUP($B88,'Forecast occupancies'!$C$28:$CP$64,77,TRUE) * VLOOKUP($B88,'A1.3.2'!$B$27:$AY$106,49,)) * $CR$5)</f>
        <v>20.778946101909817</v>
      </c>
      <c r="CB88" s="1565">
        <f>IF(ISERROR(MATCH($B88,'A1.3.2'!$B$27:$B$106,0)),"",(VLOOKUP($B88,'Forecast occupancies'!$C$28:$CP$64,78,TRUE) * VLOOKUP($B88,'A1.3.2'!$B$27:$AY$106,50,)) * $CR$5)</f>
        <v>146.14044696613433</v>
      </c>
      <c r="CC88" s="1567">
        <f>IF(ISERROR(MATCH($B88,'A1.3.2'!$B$27:$B$106,0)),"",SUM(BZ88:CB88))</f>
        <v>210.16706612543334</v>
      </c>
      <c r="CD88" s="1565">
        <f>IF(ISERROR(MATCH($B88,'A1.3.2'!$B$27:$B$106,0)),"",(((VLOOKUP($B88,'Forecast occupancies'!$C$28:$CP$64,80,TRUE)-1)*VLOOKUP($B88,'A1.3.2'!$B$27:$AY$106,36,)+VLOOKUP($B88,'A1.3.2'!$B$27:$AY$106,35,))*$CR$5))</f>
        <v>57.960994186344678</v>
      </c>
      <c r="CE88" s="1565">
        <f>IF(ISERROR(MATCH($B88,'A1.3.2'!$B$27:$B$106,0)),"",VLOOKUP($B88,'Forecast occupancies'!$C$28:$CP$64,81,TRUE)*VLOOKUP($B88,'A1.3.2'!$B$27:$AY$106,49,)*$CR$5)</f>
        <v>32.189988685321936</v>
      </c>
      <c r="CF88" s="1565">
        <f>IF(ISERROR(MATCH($B88,'A1.3.2'!$B$27:$B$106,0)),"",VLOOKUP($B88,'Forecast occupancies'!$C$28:$CP$64,82,TRUE)*VLOOKUP($B88,'A1.3.2'!$B$27:$AY$106,50,)*$CR$5)</f>
        <v>24.45530737544297</v>
      </c>
      <c r="CG88" s="1566">
        <f>IF(ISERROR(MATCH($B88,'A1.3.2'!$B$27:$B$106,0)),"",(((CD88*'VoT5'!$J$28)+(CE88*'VoT5'!$J$29)+(CF88*'VoT5'!$J$30))/100))</f>
        <v>30.467301605962295</v>
      </c>
      <c r="CH88" s="1565">
        <f>IF(ISERROR(MATCH($B88,'A1.3.2'!$B$27:$B$106,0)),"",(VLOOKUP($B88,'Forecast occupancies'!$C$28:$CP$64,84,TRUE) * VLOOKUP($B88, 'A1.3.2'!$B$27:$AY$106,37,)) * $CR$5)</f>
        <v>41.263180294714523</v>
      </c>
      <c r="CI88" s="1565">
        <f>IF(ISERROR(MATCH($B88,'A1.3.2'!$B$27:$B$106,0)),"",(VLOOKUP($B88,'Forecast occupancies'!$C$28:$CP$64,85,TRUE) * (VLOOKUP($B88,'A1.3.2'!$B$27:$AY$106,49,)*'VoT5'!$J$29 + VLOOKUP($B88,'A1.3.2'!$B$27:$AY$106,50,)*'VoT5'!$J$30) / (SUM('VoT5'!$J$29:$J$30))) * $CR$5)</f>
        <v>27.430649902700683</v>
      </c>
      <c r="CJ88" s="1566">
        <f>IF(ISERROR(MATCH($B88,'A1.3.2'!$B$27:$B$106,0)),"",(CH88*'VoT5'!$J$31 + CI88*'VoT5'!$J$32)/100)</f>
        <v>39.603276647672857</v>
      </c>
      <c r="CK88" s="1566">
        <f>IF(ISERROR(MATCH($B88,'A1.3.2'!$B$27:$B$106,0)),"",(VLOOKUP($B88,'Forecast occupancies'!$C$28:$CP$64,87,TRUE)*VLOOKUP($B88,'A1.3.2'!$B$27:$AY$106,38,)) * $CR$5)</f>
        <v>40.51496676313598</v>
      </c>
      <c r="CL88" s="1566">
        <f>IF(ISERROR(MATCH($B88,'A1.3.2'!$B$27:$B$106,0)),"",(VLOOKUP($B88,'Forecast occupancies'!$C$28:$CP$64,88,TRUE)*VLOOKUP($B88,'A1.3.2'!$B$27:$AY$106,38,)) * $CR$5)</f>
        <v>40.51496676313598</v>
      </c>
      <c r="CM88" s="1565">
        <f>IF(ISERROR(MATCH($B88,'A1.3.2'!$B$27:$B$106,0)),"",(((VLOOKUP($B88,'Forecast occupancies'!$C$28:$CP$64,89,TRUE) -1) * VLOOKUP($B88,'A1.3.2'!$B$27:$AY$106,40,)) + VLOOKUP($B88,'A1.3.2'!$B$27:$AY$106,39,)) * $CR$5)</f>
        <v>46.439833870811739</v>
      </c>
      <c r="CN88" s="1565">
        <f>IF(ISERROR(MATCH($B88,'A1.3.2'!$B$27:$B$106,0)),"",(VLOOKUP($B88,'Forecast occupancies'!$C$28:$CP$64,90,TRUE) * VLOOKUP($B88,'A1.3.2'!$B$27:$AY$106,49,)) * $CR$5)</f>
        <v>46.434145370883208</v>
      </c>
      <c r="CO88" s="1565">
        <f>IF(ISERROR(MATCH($B88,'A1.3.2'!$B$27:$B$106,0)),"",(VLOOKUP($B88,'Forecast occupancies'!$C$28:$CP$64,91,TRUE) * VLOOKUP($B88,'A1.3.2'!$B$27:$AY$106,50,)) * $CR$5)</f>
        <v>132.98395748642264</v>
      </c>
      <c r="CP88" s="1567">
        <f>IF(ISERROR(MATCH($B88,'A1.3.2'!$B$27:$B$106,0)),"",SUM(CM88:CO88))</f>
        <v>225.85793672811758</v>
      </c>
    </row>
    <row r="89" spans="1:94" ht="13.5" customHeight="1">
      <c r="A89" s="113"/>
      <c r="B89" s="82">
        <f t="shared" si="0"/>
        <v>2071</v>
      </c>
      <c r="C89" s="26"/>
      <c r="D89" s="1609">
        <f>IF(ISERROR(MATCH($B89,'A1.3.2'!$B$27:$B$106,0)),"",(((VLOOKUP($B89,'Forecast occupancies'!$C$28:$CP$64,2,TRUE) -1) * VLOOKUP($B89,'A1.3.2'!$B$27:$AY$106,36,) + VLOOKUP($B89,'A1.3.2'!$B$27:$AY$106,35,)) * $CR$5))</f>
        <v>57.654461389847313</v>
      </c>
      <c r="E89" s="1565">
        <f>IF(ISERROR(MATCH($B89,'A1.3.2'!$B$27:$B$106,0)),"",VLOOKUP($B89,'Forecast occupancies'!$C$28:$CP$64,3,TRUE)*VLOOKUP($B89,'A1.3.2'!$B$27:$AY$106,49,)*$CR$5)</f>
        <v>32.49122476347339</v>
      </c>
      <c r="F89" s="1565">
        <f>IF(ISERROR(MATCH($B89,'A1.3.2'!$B$27:$B$106,0)),"",VLOOKUP($B89,'Forecast occupancies'!$C$28:$CP$64,4,TRUE)*VLOOKUP($B89,'A1.3.2'!$B$27:$AY$106,50,)*$CR$5)</f>
        <v>22.416427890427194</v>
      </c>
      <c r="G89" s="1566">
        <f>IF(ISERROR(MATCH($B89,'A1.3.2'!$B$27:$B$106,0)),"",(((D89*'VoT5'!$D$28)+(E89*'VoT5'!$D$29)+(F89*'VoT5'!$D$30))/100))</f>
        <v>32.655770685797506</v>
      </c>
      <c r="H89" s="1565">
        <f>IF(ISERROR(MATCH($B89,'A1.3.2'!$B$27:$B$106,0)),"",(VLOOKUP($B89,'Forecast occupancies'!$C$28:$CP$64,6,TRUE) * VLOOKUP($B89, 'A1.3.2'!$B$27:$AY$106,37,)) * $CR$5)</f>
        <v>42.1344041925055</v>
      </c>
      <c r="I89" s="1565">
        <f>IF(ISERROR(MATCH($B89,'A1.3.2'!$B$27:$B$106,0)),"",VLOOKUP($B89,'Forecast occupancies'!$C$28:$CP$64,7,TRUE) * ('VoT5'!$J$29*VLOOKUP($B89, 'A1.3.2'!$B$27:$AY$106,49,)+'VoT5'!$J$30*VLOOKUP($B89, 'A1.3.2'!$B$27:$AY$106,50,))/('VoT5'!$J$29+'VoT5'!$J$30) * $CR$5)</f>
        <v>25.719705316470463</v>
      </c>
      <c r="J89" s="1566">
        <f>IF(ISERROR(MATCH($B89,'A1.3.2'!$B$27:$B$106,0)),"",(H89*'VoT5'!$D$31 + I89*'VoT5'!$D$32)/100)</f>
        <v>40.164640327381292</v>
      </c>
      <c r="K89" s="1566">
        <f>IF(ISERROR(MATCH($B89,'A1.3.2'!$B$27:$B$106,0)),"",(VLOOKUP($B89,'Forecast occupancies'!$C$28:$CP$64,9,TRUE)*VLOOKUP($B89,'A1.3.2'!$B$27:$AY$106,38,)) * $CR$5)</f>
        <v>41.370393005372883</v>
      </c>
      <c r="L89" s="1566">
        <f>IF(ISERROR(MATCH($B89,'A1.3.2'!$B$27:$B$106,0)),"",(VLOOKUP($B89,'Forecast occupancies'!$C$28:$CP$64,10,TRUE)*VLOOKUP($B89,'A1.3.2'!$B$27:$AY$106,38,)) * $CR$5)</f>
        <v>41.370393005372883</v>
      </c>
      <c r="M89" s="1565">
        <f>IF(ISERROR(MATCH($B89,'A1.3.2'!$B$27:$B$106,0)),"",(((VLOOKUP($B89,'Forecast occupancies'!$C$28:$CP$64,11,TRUE) -1) * VLOOKUP($B89,'A1.3.2'!$B$27:$AY$106,40,)) + VLOOKUP($B89,'A1.3.2'!$B$27:$AY$106,39,)) * $CR$5)</f>
        <v>47.141936864576053</v>
      </c>
      <c r="N89" s="1565">
        <f>IF(ISERROR(MATCH($B89,'A1.3.2'!$B$27:$B$106,0)),"",(VLOOKUP($B89,'Forecast occupancies'!$C$28:$CP$64,12,TRUE) * VLOOKUP($B89,'A1.3.2'!$B$27:$AY$106,49,)) * $CR$5)</f>
        <v>64.533785255820575</v>
      </c>
      <c r="O89" s="1565">
        <f>IF(ISERROR(MATCH($B89,'A1.3.2'!$B$27:$B$106,0)),"",(VLOOKUP($B89,'Forecast occupancies'!$C$28:$CP$64,13,TRUE) * VLOOKUP($B89,'A1.3.2'!$B$27:$AY$106,50,)) * $CR$5)</f>
        <v>128.10420483862418</v>
      </c>
      <c r="P89" s="1567">
        <f>IF(ISERROR(MATCH($B89,'A1.3.2'!$B$27:$B$106,0)),"",SUM(M89:O89))</f>
        <v>239.77992695902083</v>
      </c>
      <c r="Q89" s="1609">
        <f>IF(ISERROR(MATCH($B89,'A1.3.2'!$B$27:$B$106,0)),"",(((VLOOKUP($B89,'Forecast occupancies'!$C$28:$CP$64,15,TRUE)-1)*VLOOKUP($B89,'A1.3.2'!$B$27:$AY$106,36,)+VLOOKUP($B89,'A1.3.2'!$B$27:$AY$106,35,))*$CR$5))</f>
        <v>59.079830167294858</v>
      </c>
      <c r="R89" s="1565">
        <f>IF(ISERROR(MATCH($B89,'A1.3.2'!$B$27:$B$106,0)),"",VLOOKUP($B89,'Forecast occupancies'!$C$28:$CP$64,16,TRUE)*VLOOKUP($B89,'A1.3.2'!$B$27:$AY$106,49,)*$CR$5)</f>
        <v>33.019535107944385</v>
      </c>
      <c r="S89" s="1565">
        <f>IF(ISERROR(MATCH($B89,'A1.3.2'!$B$27:$B$106,0)),"",VLOOKUP($B89,'Forecast occupancies'!$C$28:$CP$64,17,TRUE)*VLOOKUP($B89,'A1.3.2'!$B$27:$AY$106,50,)*$CR$5)</f>
        <v>23.878790914233132</v>
      </c>
      <c r="T89" s="1566">
        <f>IF(ISERROR(MATCH($B89,'A1.3.2'!$B$27:$B$106,0)),"",(((Q89*'VoT5'!$E$28)+(R89*'VoT5'!$E$29)+(S89*'VoT5'!$E$30))/100))</f>
        <v>30.755519416723665</v>
      </c>
      <c r="U89" s="1565">
        <f>IF(ISERROR(MATCH($B89,'A1.3.2'!$B$27:$B$106,0)),"",(VLOOKUP($B89,'Forecast occupancies'!$C$28:$CP$64,19,TRUE) * VLOOKUP($B89, 'A1.3.2'!$B$27:$AY$106,37,)) * $CR$5)</f>
        <v>42.1344041925055</v>
      </c>
      <c r="V89" s="1565">
        <f>IF(ISERROR(MATCH($B89,'A1.3.2'!$B$27:$B$106,0)),"",VLOOKUP($B89,'Forecast occupancies'!$C$28:$CP$64,20,TRUE) * ('VoT5'!$J$29*VLOOKUP($B89, 'A1.3.2'!$B$27:$AY$106,49,)+'VoT5'!$J$30*VLOOKUP($B89, 'A1.3.2'!$B$27:$AY$106,50,))/('VoT5'!$J$29+'VoT5'!$J$30) * $CR$5)</f>
        <v>25.719705316470463</v>
      </c>
      <c r="W89" s="1566">
        <f>IF(ISERROR(MATCH($B89,'A1.3.2'!$B$27:$B$106,0)),"",(U89*'VoT5'!$E$31 + V89*'VoT5'!$E$32)/100)</f>
        <v>40.164640327381292</v>
      </c>
      <c r="X89" s="1566">
        <f>IF(ISERROR(MATCH($B89,'A1.3.2'!$B$27:$B$106,0)),"",(VLOOKUP($B89,'Forecast occupancies'!$C$28:$CP$64,22,TRUE)*VLOOKUP($B89,'A1.3.2'!$B$27:$AY$106,38,)) * $CR$5)</f>
        <v>41.370393005372883</v>
      </c>
      <c r="Y89" s="1566">
        <f>IF(ISERROR(MATCH($B89,'A1.3.2'!$B$27:$B$106,0)),"",(VLOOKUP($B89,'Forecast occupancies'!$C$28:$CP$64,23,TRUE)*VLOOKUP($B89,'A1.3.2'!$B$27:$AY$106,38,)) * $CR$5)</f>
        <v>41.370393005372883</v>
      </c>
      <c r="Z89" s="1565">
        <f>IF(ISERROR(MATCH($B89,'A1.3.2'!$B$27:$B$106,0)),"",(((VLOOKUP($B89,'Forecast occupancies'!$C$28:$CP$64,24,TRUE) -1) * VLOOKUP($B89,'A1.3.2'!$B$27:$AY$106,40,)) + VLOOKUP($B89,'A1.3.2'!$B$27:$AY$106,39,)) * $CR$5)</f>
        <v>48.10414571816964</v>
      </c>
      <c r="AA89" s="1565">
        <f>IF(ISERROR(MATCH($B89,'A1.3.2'!$B$27:$B$106,0)),"",(VLOOKUP($B89,'Forecast occupancies'!$C$28:$CP$64,25,TRUE) * VLOOKUP($B89,'A1.3.2'!$B$27:$AY$106,49,)) * $CR$5)</f>
        <v>22.617038169633091</v>
      </c>
      <c r="AB89" s="1565">
        <f>IF(ISERROR(MATCH($B89,'A1.3.2'!$B$27:$B$106,0)),"",(VLOOKUP($B89,'Forecast occupancies'!$C$28:$CP$64,26,TRUE) * VLOOKUP($B89,'A1.3.2'!$B$27:$AY$106,50,)) * $CR$5)</f>
        <v>146.80019328281017</v>
      </c>
      <c r="AC89" s="1567">
        <f>IF(ISERROR(MATCH($B89,'A1.3.2'!$B$27:$B$106,0)),"",SUM(Z89:AB89))</f>
        <v>217.52137717061291</v>
      </c>
      <c r="AD89" s="1609">
        <f>IF(ISERROR(MATCH($B89,'A1.3.2'!$B$27:$B$106,0)),"",(((VLOOKUP($B89,'Forecast occupancies'!$C$28:$CP$64,28,TRUE)-1)*VLOOKUP($B89,'A1.3.2'!$B$27:$AY$106,36,)+VLOOKUP($B89,'A1.3.2'!$B$27:$AY$106,35,))*$CR$5))</f>
        <v>58.486503226990486</v>
      </c>
      <c r="AE89" s="1565">
        <f>IF(ISERROR(MATCH($B89,'A1.3.2'!$B$27:$B$106,0)),"",VLOOKUP($B89,'Forecast occupancies'!$C$28:$CP$64,29,TRUE)*VLOOKUP($B89,'A1.3.2'!$B$27:$AY$106,49,)*$CR$5)</f>
        <v>32.603298597289701</v>
      </c>
      <c r="AF89" s="1565">
        <f>IF(ISERROR(MATCH($B89,'A1.3.2'!$B$27:$B$106,0)),"",VLOOKUP($B89,'Forecast occupancies'!$C$28:$CP$64,30,TRUE)*VLOOKUP($B89,'A1.3.2'!$B$27:$AY$106,50,)*$CR$5)</f>
        <v>23.474655398568</v>
      </c>
      <c r="AG89" s="1566">
        <f>IF(ISERROR(MATCH($B89,'A1.3.2'!$B$27:$B$106,0)),"",(((AD89*'VoT5'!$F$28)+(AE89*'VoT5'!$F$29)+(AF89*'VoT5'!$F$30))/100))</f>
        <v>31.37549174441876</v>
      </c>
      <c r="AH89" s="1565">
        <f>IF(ISERROR(MATCH($B89,'A1.3.2'!$B$27:$B$106,0)),"",(VLOOKUP($B89,'Forecast occupancies'!$C$28:$CP$64,32,TRUE) * VLOOKUP($B89, 'A1.3.2'!$B$27:$AY$106,37,)) * $CR$5)</f>
        <v>42.1344041925055</v>
      </c>
      <c r="AI89" s="1565">
        <f>IF(ISERROR(MATCH($B89,'A1.3.2'!$B$27:$B$106,0)),"",VLOOKUP($B89,'Forecast occupancies'!$C$28:$CP$64,33,TRUE) * ('VoT5'!$J$29*VLOOKUP($B89, 'A1.3.2'!$B$27:$AY$106,49,)+'VoT5'!$J$30*VLOOKUP($B89, 'A1.3.2'!$B$27:$AY$106,50,))/('VoT5'!$J$29+'VoT5'!$J$30) * $CR$5)</f>
        <v>25.719705316470463</v>
      </c>
      <c r="AJ89" s="1566">
        <f>IF(ISERROR(MATCH($B89,'A1.3.2'!$B$27:$B$106,0)),"",(AH89*'VoT5'!$F$31 + AI89*'VoT5'!$F$32)/100)</f>
        <v>40.164640327381292</v>
      </c>
      <c r="AK89" s="1566">
        <f>IF(ISERROR(MATCH($B89,'A1.3.2'!$B$27:$B$106,0)),"",(VLOOKUP($B89,'Forecast occupancies'!$C$28:$CP$64,35,TRUE)*VLOOKUP($B89,'A1.3.2'!$B$27:$AY$106,38,)) * $CR$5)</f>
        <v>41.370393005372883</v>
      </c>
      <c r="AL89" s="1566">
        <f>IF(ISERROR(MATCH($B89,'A1.3.2'!$B$27:$B$106,0)),"",(VLOOKUP($B89,'Forecast occupancies'!$C$28:$CP$64,36,TRUE)*VLOOKUP($B89,'A1.3.2'!$B$27:$AY$106,38,)) * $CR$5)</f>
        <v>41.370393005372883</v>
      </c>
      <c r="AM89" s="1565">
        <f>IF(ISERROR(MATCH($B89,'A1.3.2'!$B$27:$B$106,0)),"",(((VLOOKUP($B89,'Forecast occupancies'!$C$28:$CP$64,37,TRUE) -1) * VLOOKUP($B89,'A1.3.2'!$B$27:$AY$106,40,)) + VLOOKUP($B89,'A1.3.2'!$B$27:$AY$106,39,)) * $CR$5)</f>
        <v>50.330746057940047</v>
      </c>
      <c r="AN89" s="1565">
        <f>IF(ISERROR(MATCH($B89,'A1.3.2'!$B$27:$B$106,0)),"",(VLOOKUP($B89,'Forecast occupancies'!$C$28:$CP$64,38,TRUE) * VLOOKUP($B89,'A1.3.2'!$B$27:$AY$106,49,)) * $CR$5)</f>
        <v>90.758865580741059</v>
      </c>
      <c r="AO89" s="1565">
        <f>IF(ISERROR(MATCH($B89,'A1.3.2'!$B$27:$B$106,0)),"",(VLOOKUP($B89,'Forecast occupancies'!$C$28:$CP$64,39,TRUE) * VLOOKUP($B89,'A1.3.2'!$B$27:$AY$106,50,)) * $CR$5)</f>
        <v>114.68912349629304</v>
      </c>
      <c r="AP89" s="1567">
        <f>IF(ISERROR(MATCH($B89,'A1.3.2'!$B$27:$B$106,0)),"",SUM(AM89:AO89))</f>
        <v>255.77873513497414</v>
      </c>
      <c r="AQ89" s="1609">
        <f>IF(ISERROR(MATCH($B89,'A1.3.2'!$B$27:$B$106,0)),"",(((VLOOKUP($B89,'Forecast occupancies'!$C$28:$CP$64,41,TRUE)-1)*VLOOKUP($B89,'A1.3.2'!$B$27:$AY$106,36,)+VLOOKUP($B89,'A1.3.2'!$B$27:$AY$106,35,))*$CR$5))</f>
        <v>59.593104256002732</v>
      </c>
      <c r="AR89" s="1565">
        <f>IF(ISERROR(MATCH($B89,'A1.3.2'!$B$27:$B$106,0)),"",VLOOKUP($B89,'Forecast occupancies'!$C$28:$CP$64,42,TRUE)*VLOOKUP($B89,'A1.3.2'!$B$27:$AY$106,49,)*$CR$5)</f>
        <v>33.080478923283671</v>
      </c>
      <c r="AS89" s="1565">
        <f>IF(ISERROR(MATCH($B89,'A1.3.2'!$B$27:$B$106,0)),"",VLOOKUP($B89,'Forecast occupancies'!$C$28:$CP$64,43,TRUE)*VLOOKUP($B89,'A1.3.2'!$B$27:$AY$106,50,)*$CR$5)</f>
        <v>23.39084573126496</v>
      </c>
      <c r="AT89" s="1566">
        <f>IF(ISERROR(MATCH($B89,'A1.3.2'!$B$27:$B$106,0)),"",(((AQ89*'VoT5'!$G$28)+(AR89*'VoT5'!$G$29)+(AS89*'VoT5'!$G$30))/100))</f>
        <v>31.787916303820321</v>
      </c>
      <c r="AU89" s="1565">
        <f>IF(ISERROR(MATCH($B89,'A1.3.2'!$B$27:$B$106,0)),"",(VLOOKUP($B89,'Forecast occupancies'!$C$28:$CP$64,45,TRUE) * VLOOKUP($B89, 'A1.3.2'!$B$27:$AY$106,37,)) * $CR$5)</f>
        <v>42.1344041925055</v>
      </c>
      <c r="AV89" s="1565">
        <f>IF(ISERROR(MATCH($B89,'A1.3.2'!$B$27:$B$106,0)),"",VLOOKUP($B89,'Forecast occupancies'!$C$28:$CP$64,46,TRUE) * ('VoT5'!$J$29*VLOOKUP($B89, 'A1.3.2'!$B$27:$AY$106,49,)+'VoT5'!$J$30*VLOOKUP($B89, 'A1.3.2'!$B$27:$AY$106,50,))/('VoT5'!$J$29+'VoT5'!$J$30) * $CR$5)</f>
        <v>25.719705316470463</v>
      </c>
      <c r="AW89" s="1566">
        <f>IF(ISERROR(MATCH($B89,'A1.3.2'!$B$27:$B$106,0)),"",(AU89*'VoT5'!$G$31 + AV89*'VoT5'!$G$32)/100)</f>
        <v>40.164640327381292</v>
      </c>
      <c r="AX89" s="1566">
        <f>IF(ISERROR(MATCH($B89,'A1.3.2'!$B$27:$B$106,0)),"",(VLOOKUP($B89,'Forecast occupancies'!$C$28:$CP$64,48,TRUE)*VLOOKUP($B89,'A1.3.2'!$B$27:$AY$106,38,)) * $CR$5)</f>
        <v>41.370393005372883</v>
      </c>
      <c r="AY89" s="1566">
        <f>IF(ISERROR(MATCH($B89,'A1.3.2'!$B$27:$B$106,0)),"",(VLOOKUP($B89,'Forecast occupancies'!$C$28:$CP$64,49,TRUE)*VLOOKUP($B89,'A1.3.2'!$B$27:$AY$106,38,)) * $CR$5)</f>
        <v>41.370393005372883</v>
      </c>
      <c r="AZ89" s="1565">
        <f>IF(ISERROR(MATCH($B89,'A1.3.2'!$B$27:$B$106,0)),"",(((VLOOKUP($B89,'Forecast occupancies'!$C$28:$CP$64,50,TRUE) -1) * VLOOKUP($B89,'A1.3.2'!$B$27:$AY$106,40,)) + VLOOKUP($B89,'A1.3.2'!$B$27:$AY$106,39,)) * $CR$5)</f>
        <v>50.290044934847828</v>
      </c>
      <c r="BA89" s="1565">
        <f>IF(ISERROR(MATCH($B89,'A1.3.2'!$B$27:$B$106,0)),"",(VLOOKUP($B89,'Forecast occupancies'!$C$28:$CP$64,51,TRUE) * VLOOKUP($B89,'A1.3.2'!$B$27:$AY$106,49,)) * $CR$5)</f>
        <v>124.06511484076036</v>
      </c>
      <c r="BB89" s="1565">
        <f>IF(ISERROR(MATCH($B89,'A1.3.2'!$B$27:$B$106,0)),"",(VLOOKUP($B89,'Forecast occupancies'!$C$28:$CP$64,52,TRUE) * VLOOKUP($B89,'A1.3.2'!$B$27:$AY$106,50,)) * $CR$5)</f>
        <v>99.505597549967874</v>
      </c>
      <c r="BC89" s="1567">
        <f>IF(ISERROR(MATCH($B89,'A1.3.2'!$B$27:$B$106,0)),"",SUM(AZ89:BB89))</f>
        <v>273.86075732557606</v>
      </c>
      <c r="BD89" s="1565">
        <f>IF(ISERROR(MATCH($B89,'A1.3.2'!$B$27:$B$106,0)),"",(((VLOOKUP($B89,'Forecast occupancies'!$C$28:$CP$64,54,TRUE)-1)*VLOOKUP($B89,'A1.3.2'!$B$27:$AY$106,36,)+VLOOKUP($B89,'A1.3.2'!$B$27:$AY$106,35,))*$CR$5))</f>
        <v>58.590567666141808</v>
      </c>
      <c r="BE89" s="1565">
        <f>IF(ISERROR(MATCH($B89,'A1.3.2'!$B$27:$B$106,0)),"",VLOOKUP($B89,'Forecast occupancies'!$C$28:$CP$64,55,TRUE)*VLOOKUP($B89,'A1.3.2'!$B$27:$AY$106,49,)*$CR$5)</f>
        <v>32.714150084063498</v>
      </c>
      <c r="BF89" s="1565">
        <f>IF(ISERROR(MATCH($B89,'A1.3.2'!$B$27:$B$106,0)),"",VLOOKUP($B89,'Forecast occupancies'!$C$28:$CP$64,56,TRUE)*VLOOKUP($B89,'A1.3.2'!$B$27:$AY$106,50,)*$CR$5)</f>
        <v>23.448963790191218</v>
      </c>
      <c r="BG89" s="1566">
        <f>IF(ISERROR(MATCH($B89,'A1.3.2'!$B$27:$B$106,0)),"",(((BD89*'VoT5'!$H$28)+(BE89*'VoT5'!$H$29)+(BF89*'VoT5'!$H$30))/100))</f>
        <v>31.558991603698949</v>
      </c>
      <c r="BH89" s="1565">
        <f>IF(ISERROR(MATCH($B89,'A1.3.2'!$B$27:$B$106,0)),"",(VLOOKUP($B89,'Forecast occupancies'!$C$28:$CP$64,58,TRUE) * VLOOKUP($B89, 'A1.3.2'!$B$27:$AY$106,37,)) * $CR$5)</f>
        <v>42.1344041925055</v>
      </c>
      <c r="BI89" s="1565">
        <f>IF(ISERROR(MATCH($B89,'A1.3.2'!$B$27:$B$106,0)),"",(VLOOKUP($B89,'Forecast occupancies'!$C$28:$CP$64,59,TRUE) * (VLOOKUP($B89,'A1.3.2'!$B$27:$AY$106,49,) * 'VoT5'!$J$29 + VLOOKUP($B89,'A1.3.2'!$B$27:$AY$106,50,) * 'VoT5'!$J$30) / (SUM('VoT5'!$J$29:$J$30))) * $CR$5)</f>
        <v>25.719705316470463</v>
      </c>
      <c r="BJ89" s="1566">
        <f>IF(ISERROR(MATCH($B89,'A1.3.2'!$B$27:$B$106,0)),"",(BH89*'VoT5'!$H$31 + BI89*'VoT5'!$H$32)/100)</f>
        <v>40.164640327381292</v>
      </c>
      <c r="BK89" s="1566">
        <f>IF(ISERROR(MATCH($B89,'A1.3.2'!$B$27:$B$106,0)),"",(VLOOKUP($B89,'Forecast occupancies'!$C$28:$CP$64,61,TRUE)*VLOOKUP($B89,'A1.3.2'!$B$27:$AY$106,38,)) * $CR$5)</f>
        <v>41.370393005372883</v>
      </c>
      <c r="BL89" s="1566">
        <f>IF(ISERROR(MATCH($B89,'A1.3.2'!$B$27:$B$106,0)),"",(VLOOKUP($B89,'Forecast occupancies'!$C$28:$CP$64,62,TRUE)*VLOOKUP($B89,'A1.3.2'!$B$27:$AY$106,38,)) * $CR$5)</f>
        <v>41.370393005372883</v>
      </c>
      <c r="BM89" s="1565">
        <f>IF(ISERROR(MATCH($B89,'A1.3.2'!$B$27:$B$106,0)),"",(((VLOOKUP($B89,'Forecast occupancies'!$C$28:$CP$64,63,TRUE) -1) * VLOOKUP($B89,'A1.3.2'!$B$27:$AY$106,40,)) + VLOOKUP($B89,'A1.3.2'!$B$27:$AY$106,39,)) * $CR$5)</f>
        <v>48.489221845378601</v>
      </c>
      <c r="BN89" s="1565">
        <f>IF(ISERROR(MATCH($B89,'A1.3.2'!$B$27:$B$106,0)),"",(VLOOKUP($B89,'Forecast occupancies'!$C$28:$CP$64,64,TRUE) * VLOOKUP($B89,'A1.3.2'!$B$27:$AY$106,49,)) * $CR$5)</f>
        <v>56.007149219977862</v>
      </c>
      <c r="BO89" s="1565">
        <f>IF(ISERROR(MATCH($B89,'A1.3.2'!$B$27:$B$106,0)),"",(VLOOKUP($B89,'Forecast occupancies'!$C$28:$CP$64,65,TRUE) * VLOOKUP($B89,'A1.3.2'!$B$27:$AY$106,50,)) * $CR$5)</f>
        <v>131.38542813726534</v>
      </c>
      <c r="BP89" s="1567">
        <f>IF(ISERROR(MATCH($B89,'A1.3.2'!$B$27:$B$106,0)),"",SUM(BM89:BO89))</f>
        <v>235.88179920262181</v>
      </c>
      <c r="BQ89" s="1565">
        <f>IF(ISERROR(MATCH($B89,'A1.3.2'!$B$27:$B$106,0)),"",(((VLOOKUP($B89,'Forecast occupancies'!$C$28:$CP$64,67,TRUE)-1)*VLOOKUP($B89,'A1.3.2'!$B$27:$AY$106,36,)+VLOOKUP($B89,'A1.3.2'!$B$27:$AY$106,35,))*$CR$5))</f>
        <v>66.961684241291209</v>
      </c>
      <c r="BR89" s="1565">
        <f>IF(ISERROR(MATCH($B89,'A1.3.2'!$B$27:$B$106,0)),"",VLOOKUP($B89,'Forecast occupancies'!$C$28:$CP$64,68,TRUE)*VLOOKUP($B89,'A1.3.2'!$B$27:$AY$106,49,)*$CR$5)</f>
        <v>34.636169610535624</v>
      </c>
      <c r="BS89" s="1565">
        <f>IF(ISERROR(MATCH($B89,'A1.3.2'!$B$27:$B$106,0)),"",VLOOKUP($B89,'Forecast occupancies'!$C$28:$CP$64,69,TRUE)*VLOOKUP($B89,'A1.3.2'!$B$27:$AY$106,50,)*$CR$5)</f>
        <v>27.764138394032706</v>
      </c>
      <c r="BT89" s="1566">
        <f>IF(ISERROR(MATCH($B89,'A1.3.2'!$B$27:$B$106,0)),"",(((BQ89*'VoT5'!$I$28)+(BR89*'VoT5'!$I$29)+(BS89*'VoT5'!$I$30))/100))</f>
        <v>29.667732804079797</v>
      </c>
      <c r="BU89" s="1565">
        <f>IF(ISERROR(MATCH($B89,'A1.3.2'!$B$27:$B$106,0)),"",(VLOOKUP($B89,'Forecast occupancies'!$C$28:$CP$64,71,TRUE) * VLOOKUP($B89, 'A1.3.2'!$B$27:$AY$106,37,)) * $CR$5)</f>
        <v>44.241124402130779</v>
      </c>
      <c r="BV89" s="1565">
        <f>IF(ISERROR(MATCH($B89,'A1.3.2'!$B$27:$B$106,0)),"",(VLOOKUP($B89,'Forecast occupancies'!$C$28:$CP$64,72,TRUE) * (VLOOKUP($B89,'A1.3.2'!$B$27:$AY$106,49,)*'VoT5'!$J$29 + VLOOKUP($B89,'A1.3.2'!$B$27:$AY$106,50,)*'VoT5'!$J$30) / (SUM('VoT5'!$J$29:$J$30))) * $CR$5)</f>
        <v>35.760960131804822</v>
      </c>
      <c r="BW89" s="1566">
        <f>IF(ISERROR(MATCH($B89,'A1.3.2'!$B$27:$B$106,0)),"",(BU89*'VoT5'!$I$31 + BV89*'VoT5'!$I$32)/100)</f>
        <v>43.223504689691666</v>
      </c>
      <c r="BX89" s="1566">
        <f>IF(ISERROR(MATCH($B89,'A1.3.2'!$B$27:$B$106,0)),"",(VLOOKUP($B89,'Forecast occupancies'!$C$28:$CP$64,74,TRUE)*VLOOKUP($B89,'A1.3.2'!$B$27:$AY$106,38,)) * $CR$5)</f>
        <v>41.370393005372883</v>
      </c>
      <c r="BY89" s="1566">
        <f>IF(ISERROR(MATCH($B89,'A1.3.2'!$B$27:$B$106,0)),"",(VLOOKUP($B89,'Forecast occupancies'!$C$28:$CP$64,75,TRUE)*VLOOKUP($B89,'A1.3.2'!$B$27:$AY$106,38,)) * $CR$5)</f>
        <v>41.370393005372883</v>
      </c>
      <c r="BZ89" s="1565">
        <f>IF(ISERROR(MATCH($B89,'A1.3.2'!$B$27:$B$106,0)),"",(((VLOOKUP($B89,'Forecast occupancies'!$C$28:$CP$64,76,TRUE) -1) * VLOOKUP($B89,'A1.3.2'!$B$27:$AY$106,40,)) + VLOOKUP($B89,'A1.3.2'!$B$27:$AY$106,39,)) * $CR$5)</f>
        <v>44.160797203960946</v>
      </c>
      <c r="CA89" s="1565">
        <f>IF(ISERROR(MATCH($B89,'A1.3.2'!$B$27:$B$106,0)),"",(VLOOKUP($B89,'Forecast occupancies'!$C$28:$CP$64,77,TRUE) * VLOOKUP($B89,'A1.3.2'!$B$27:$AY$106,49,)) * $CR$5)</f>
        <v>21.217669299821281</v>
      </c>
      <c r="CB89" s="1565">
        <f>IF(ISERROR(MATCH($B89,'A1.3.2'!$B$27:$B$106,0)),"",(VLOOKUP($B89,'Forecast occupancies'!$C$28:$CP$64,78,TRUE) * VLOOKUP($B89,'A1.3.2'!$B$27:$AY$106,50,)) * $CR$5)</f>
        <v>149.22603195792078</v>
      </c>
      <c r="CC89" s="1567">
        <f>IF(ISERROR(MATCH($B89,'A1.3.2'!$B$27:$B$106,0)),"",SUM(BZ89:CB89))</f>
        <v>214.604498461703</v>
      </c>
      <c r="CD89" s="1565">
        <f>IF(ISERROR(MATCH($B89,'A1.3.2'!$B$27:$B$106,0)),"",(((VLOOKUP($B89,'Forecast occupancies'!$C$28:$CP$64,80,TRUE)-1)*VLOOKUP($B89,'A1.3.2'!$B$27:$AY$106,36,)+VLOOKUP($B89,'A1.3.2'!$B$27:$AY$106,35,))*$CR$5))</f>
        <v>59.184772938108395</v>
      </c>
      <c r="CE89" s="1565">
        <f>IF(ISERROR(MATCH($B89,'A1.3.2'!$B$27:$B$106,0)),"",VLOOKUP($B89,'Forecast occupancies'!$C$28:$CP$64,81,TRUE)*VLOOKUP($B89,'A1.3.2'!$B$27:$AY$106,49,)*$CR$5)</f>
        <v>32.869642730695304</v>
      </c>
      <c r="CF89" s="1565">
        <f>IF(ISERROR(MATCH($B89,'A1.3.2'!$B$27:$B$106,0)),"",VLOOKUP($B89,'Forecast occupancies'!$C$28:$CP$64,82,TRUE)*VLOOKUP($B89,'A1.3.2'!$B$27:$AY$106,50,)*$CR$5)</f>
        <v>24.971652651331429</v>
      </c>
      <c r="CG89" s="1566">
        <f>IF(ISERROR(MATCH($B89,'A1.3.2'!$B$27:$B$106,0)),"",(((CD89*'VoT5'!$J$28)+(CE89*'VoT5'!$J$29)+(CF89*'VoT5'!$J$30))/100))</f>
        <v>31.110583124030821</v>
      </c>
      <c r="CH89" s="1565">
        <f>IF(ISERROR(MATCH($B89,'A1.3.2'!$B$27:$B$106,0)),"",(VLOOKUP($B89,'Forecast occupancies'!$C$28:$CP$64,84,TRUE) * VLOOKUP($B89, 'A1.3.2'!$B$27:$AY$106,37,)) * $CR$5)</f>
        <v>42.1344041925055</v>
      </c>
      <c r="CI89" s="1565">
        <f>IF(ISERROR(MATCH($B89,'A1.3.2'!$B$27:$B$106,0)),"",(VLOOKUP($B89,'Forecast occupancies'!$C$28:$CP$64,85,TRUE) * (VLOOKUP($B89,'A1.3.2'!$B$27:$AY$106,49,)*'VoT5'!$J$29 + VLOOKUP($B89,'A1.3.2'!$B$27:$AY$106,50,)*'VoT5'!$J$30) / (SUM('VoT5'!$J$29:$J$30))) * $CR$5)</f>
        <v>28.009816063827429</v>
      </c>
      <c r="CJ89" s="1566">
        <f>IF(ISERROR(MATCH($B89,'A1.3.2'!$B$27:$B$106,0)),"",(CH89*'VoT5'!$J$31 + CI89*'VoT5'!$J$32)/100)</f>
        <v>40.439453617064132</v>
      </c>
      <c r="CK89" s="1566">
        <f>IF(ISERROR(MATCH($B89,'A1.3.2'!$B$27:$B$106,0)),"",(VLOOKUP($B89,'Forecast occupancies'!$C$28:$CP$64,87,TRUE)*VLOOKUP($B89,'A1.3.2'!$B$27:$AY$106,38,)) * $CR$5)</f>
        <v>41.370393005372883</v>
      </c>
      <c r="CL89" s="1566">
        <f>IF(ISERROR(MATCH($B89,'A1.3.2'!$B$27:$B$106,0)),"",(VLOOKUP($B89,'Forecast occupancies'!$C$28:$CP$64,88,TRUE)*VLOOKUP($B89,'A1.3.2'!$B$27:$AY$106,38,)) * $CR$5)</f>
        <v>41.370393005372883</v>
      </c>
      <c r="CM89" s="1565">
        <f>IF(ISERROR(MATCH($B89,'A1.3.2'!$B$27:$B$106,0)),"",(((VLOOKUP($B89,'Forecast occupancies'!$C$28:$CP$64,89,TRUE) -1) * VLOOKUP($B89,'A1.3.2'!$B$27:$AY$106,40,)) + VLOOKUP($B89,'A1.3.2'!$B$27:$AY$106,39,)) * $CR$5)</f>
        <v>47.420356767707219</v>
      </c>
      <c r="CN89" s="1565">
        <f>IF(ISERROR(MATCH($B89,'A1.3.2'!$B$27:$B$106,0)),"",(VLOOKUP($B89,'Forecast occupancies'!$C$28:$CP$64,90,TRUE) * VLOOKUP($B89,'A1.3.2'!$B$27:$AY$106,49,)) * $CR$5)</f>
        <v>47.414548161741166</v>
      </c>
      <c r="CO89" s="1565">
        <f>IF(ISERROR(MATCH($B89,'A1.3.2'!$B$27:$B$106,0)),"",(VLOOKUP($B89,'Forecast occupancies'!$C$28:$CP$64,91,TRUE) * VLOOKUP($B89,'A1.3.2'!$B$27:$AY$106,50,)) * $CR$5)</f>
        <v>135.79175855646838</v>
      </c>
      <c r="CP89" s="1567">
        <f>IF(ISERROR(MATCH($B89,'A1.3.2'!$B$27:$B$106,0)),"",SUM(CM89:CO89))</f>
        <v>230.62666348591677</v>
      </c>
    </row>
    <row r="90" spans="1:94" ht="13.5" customHeight="1">
      <c r="A90" s="113"/>
      <c r="B90" s="82">
        <f t="shared" si="0"/>
        <v>2072</v>
      </c>
      <c r="C90" s="26"/>
      <c r="D90" s="1609">
        <f>IF(ISERROR(MATCH($B90,'A1.3.2'!$B$27:$B$106,0)),"",(((VLOOKUP($B90,'Forecast occupancies'!$C$28:$CP$64,2,TRUE) -1) * VLOOKUP($B90,'A1.3.2'!$B$27:$AY$106,36,) + VLOOKUP($B90,'A1.3.2'!$B$27:$AY$106,35,)) * $CR$5))</f>
        <v>58.869741514315471</v>
      </c>
      <c r="E90" s="1565">
        <f>IF(ISERROR(MATCH($B90,'A1.3.2'!$B$27:$B$106,0)),"",VLOOKUP($B90,'Forecast occupancies'!$C$28:$CP$64,3,TRUE)*VLOOKUP($B90,'A1.3.2'!$B$27:$AY$106,49,)*$CR$5)</f>
        <v>33.17609699578307</v>
      </c>
      <c r="F90" s="1565">
        <f>IF(ISERROR(MATCH($B90,'A1.3.2'!$B$27:$B$106,0)),"",VLOOKUP($B90,'Forecast occupancies'!$C$28:$CP$64,4,TRUE)*VLOOKUP($B90,'A1.3.2'!$B$27:$AY$106,50,)*$CR$5)</f>
        <v>22.888936671536147</v>
      </c>
      <c r="G90" s="1566">
        <f>IF(ISERROR(MATCH($B90,'A1.3.2'!$B$27:$B$106,0)),"",(((D90*'VoT5'!$D$28)+(E90*'VoT5'!$D$29)+(F90*'VoT5'!$D$30))/100))</f>
        <v>33.344111329469328</v>
      </c>
      <c r="H90" s="1565">
        <f>IF(ISERROR(MATCH($B90,'A1.3.2'!$B$27:$B$106,0)),"",(VLOOKUP($B90,'Forecast occupancies'!$C$28:$CP$64,6,TRUE) * VLOOKUP($B90, 'A1.3.2'!$B$27:$AY$106,37,)) * $CR$5)</f>
        <v>43.022541948666671</v>
      </c>
      <c r="I90" s="1565">
        <f>IF(ISERROR(MATCH($B90,'A1.3.2'!$B$27:$B$106,0)),"",VLOOKUP($B90,'Forecast occupancies'!$C$28:$CP$64,7,TRUE) * ('VoT5'!$J$29*VLOOKUP($B90, 'A1.3.2'!$B$27:$AY$106,49,)+'VoT5'!$J$30*VLOOKUP($B90, 'A1.3.2'!$B$27:$AY$106,50,))/('VoT5'!$J$29+'VoT5'!$J$30) * $CR$5)</f>
        <v>26.261842835836642</v>
      </c>
      <c r="J90" s="1566">
        <f>IF(ISERROR(MATCH($B90,'A1.3.2'!$B$27:$B$106,0)),"",(H90*'VoT5'!$D$31 + I90*'VoT5'!$D$32)/100)</f>
        <v>41.011258055127065</v>
      </c>
      <c r="K90" s="1566">
        <f>IF(ISERROR(MATCH($B90,'A1.3.2'!$B$27:$B$106,0)),"",(VLOOKUP($B90,'Forecast occupancies'!$C$28:$CP$64,9,TRUE)*VLOOKUP($B90,'A1.3.2'!$B$27:$AY$106,38,)) * $CR$5)</f>
        <v>42.242426411788841</v>
      </c>
      <c r="L90" s="1566">
        <f>IF(ISERROR(MATCH($B90,'A1.3.2'!$B$27:$B$106,0)),"",(VLOOKUP($B90,'Forecast occupancies'!$C$28:$CP$64,10,TRUE)*VLOOKUP($B90,'A1.3.2'!$B$27:$AY$106,38,)) * $CR$5)</f>
        <v>42.242426411788841</v>
      </c>
      <c r="M90" s="1565">
        <f>IF(ISERROR(MATCH($B90,'A1.3.2'!$B$27:$B$106,0)),"",(((VLOOKUP($B90,'Forecast occupancies'!$C$28:$CP$64,11,TRUE) -1) * VLOOKUP($B90,'A1.3.2'!$B$27:$AY$106,40,)) + VLOOKUP($B90,'A1.3.2'!$B$27:$AY$106,39,)) * $CR$5)</f>
        <v>48.135626815351316</v>
      </c>
      <c r="N90" s="1565">
        <f>IF(ISERROR(MATCH($B90,'A1.3.2'!$B$27:$B$106,0)),"",(VLOOKUP($B90,'Forecast occupancies'!$C$28:$CP$64,12,TRUE) * VLOOKUP($B90,'A1.3.2'!$B$27:$AY$106,49,)) * $CR$5)</f>
        <v>65.89407246842309</v>
      </c>
      <c r="O90" s="1565">
        <f>IF(ISERROR(MATCH($B90,'A1.3.2'!$B$27:$B$106,0)),"",(VLOOKUP($B90,'Forecast occupancies'!$C$28:$CP$64,13,TRUE) * VLOOKUP($B90,'A1.3.2'!$B$27:$AY$106,50,)) * $CR$5)</f>
        <v>130.80447278403929</v>
      </c>
      <c r="P90" s="1567">
        <f>IF(ISERROR(MATCH($B90,'A1.3.2'!$B$27:$B$106,0)),"",SUM(M90:O90))</f>
        <v>244.83417206781371</v>
      </c>
      <c r="Q90" s="1609">
        <f>IF(ISERROR(MATCH($B90,'A1.3.2'!$B$27:$B$106,0)),"",(((VLOOKUP($B90,'Forecast occupancies'!$C$28:$CP$64,15,TRUE)-1)*VLOOKUP($B90,'A1.3.2'!$B$27:$AY$106,36,)+VLOOKUP($B90,'A1.3.2'!$B$27:$AY$106,35,))*$CR$5))</f>
        <v>60.325155188610751</v>
      </c>
      <c r="R90" s="1565">
        <f>IF(ISERROR(MATCH($B90,'A1.3.2'!$B$27:$B$106,0)),"",VLOOKUP($B90,'Forecast occupancies'!$C$28:$CP$64,16,TRUE)*VLOOKUP($B90,'A1.3.2'!$B$27:$AY$106,49,)*$CR$5)</f>
        <v>33.715543426615966</v>
      </c>
      <c r="S90" s="1565">
        <f>IF(ISERROR(MATCH($B90,'A1.3.2'!$B$27:$B$106,0)),"",VLOOKUP($B90,'Forecast occupancies'!$C$28:$CP$64,17,TRUE)*VLOOKUP($B90,'A1.3.2'!$B$27:$AY$106,50,)*$CR$5)</f>
        <v>24.382124382187595</v>
      </c>
      <c r="T90" s="1566">
        <f>IF(ISERROR(MATCH($B90,'A1.3.2'!$B$27:$B$106,0)),"",(((Q90*'VoT5'!$E$28)+(R90*'VoT5'!$E$29)+(S90*'VoT5'!$E$30))/100))</f>
        <v>31.40380526596795</v>
      </c>
      <c r="U90" s="1565">
        <f>IF(ISERROR(MATCH($B90,'A1.3.2'!$B$27:$B$106,0)),"",(VLOOKUP($B90,'Forecast occupancies'!$C$28:$CP$64,19,TRUE) * VLOOKUP($B90, 'A1.3.2'!$B$27:$AY$106,37,)) * $CR$5)</f>
        <v>43.022541948666671</v>
      </c>
      <c r="V90" s="1565">
        <f>IF(ISERROR(MATCH($B90,'A1.3.2'!$B$27:$B$106,0)),"",VLOOKUP($B90,'Forecast occupancies'!$C$28:$CP$64,20,TRUE) * ('VoT5'!$J$29*VLOOKUP($B90, 'A1.3.2'!$B$27:$AY$106,49,)+'VoT5'!$J$30*VLOOKUP($B90, 'A1.3.2'!$B$27:$AY$106,50,))/('VoT5'!$J$29+'VoT5'!$J$30) * $CR$5)</f>
        <v>26.261842835836642</v>
      </c>
      <c r="W90" s="1566">
        <f>IF(ISERROR(MATCH($B90,'A1.3.2'!$B$27:$B$106,0)),"",(U90*'VoT5'!$E$31 + V90*'VoT5'!$E$32)/100)</f>
        <v>41.011258055127065</v>
      </c>
      <c r="X90" s="1566">
        <f>IF(ISERROR(MATCH($B90,'A1.3.2'!$B$27:$B$106,0)),"",(VLOOKUP($B90,'Forecast occupancies'!$C$28:$CP$64,22,TRUE)*VLOOKUP($B90,'A1.3.2'!$B$27:$AY$106,38,)) * $CR$5)</f>
        <v>42.242426411788841</v>
      </c>
      <c r="Y90" s="1566">
        <f>IF(ISERROR(MATCH($B90,'A1.3.2'!$B$27:$B$106,0)),"",(VLOOKUP($B90,'Forecast occupancies'!$C$28:$CP$64,23,TRUE)*VLOOKUP($B90,'A1.3.2'!$B$27:$AY$106,38,)) * $CR$5)</f>
        <v>42.242426411788841</v>
      </c>
      <c r="Z90" s="1565">
        <f>IF(ISERROR(MATCH($B90,'A1.3.2'!$B$27:$B$106,0)),"",(((VLOOKUP($B90,'Forecast occupancies'!$C$28:$CP$64,24,TRUE) -1) * VLOOKUP($B90,'A1.3.2'!$B$27:$AY$106,40,)) + VLOOKUP($B90,'A1.3.2'!$B$27:$AY$106,39,)) * $CR$5)</f>
        <v>49.118117764504731</v>
      </c>
      <c r="AA90" s="1565">
        <f>IF(ISERROR(MATCH($B90,'A1.3.2'!$B$27:$B$106,0)),"",(VLOOKUP($B90,'Forecast occupancies'!$C$28:$CP$64,25,TRUE) * VLOOKUP($B90,'A1.3.2'!$B$27:$AY$106,49,)) * $CR$5)</f>
        <v>23.093775551256307</v>
      </c>
      <c r="AB90" s="1565">
        <f>IF(ISERROR(MATCH($B90,'A1.3.2'!$B$27:$B$106,0)),"",(VLOOKUP($B90,'Forecast occupancies'!$C$28:$CP$64,26,TRUE) * VLOOKUP($B90,'A1.3.2'!$B$27:$AY$106,50,)) * $CR$5)</f>
        <v>149.89454804502637</v>
      </c>
      <c r="AC90" s="1567">
        <f>IF(ISERROR(MATCH($B90,'A1.3.2'!$B$27:$B$106,0)),"",SUM(Z90:AB90))</f>
        <v>222.10644136078741</v>
      </c>
      <c r="AD90" s="1609">
        <f>IF(ISERROR(MATCH($B90,'A1.3.2'!$B$27:$B$106,0)),"",(((VLOOKUP($B90,'Forecast occupancies'!$C$28:$CP$64,28,TRUE)-1)*VLOOKUP($B90,'A1.3.2'!$B$27:$AY$106,36,)+VLOOKUP($B90,'A1.3.2'!$B$27:$AY$106,35,))*$CR$5))</f>
        <v>59.719321697720673</v>
      </c>
      <c r="AE90" s="1565">
        <f>IF(ISERROR(MATCH($B90,'A1.3.2'!$B$27:$B$106,0)),"",VLOOKUP($B90,'Forecast occupancies'!$C$28:$CP$64,29,TRUE)*VLOOKUP($B90,'A1.3.2'!$B$27:$AY$106,49,)*$CR$5)</f>
        <v>33.290533198433053</v>
      </c>
      <c r="AF90" s="1565">
        <f>IF(ISERROR(MATCH($B90,'A1.3.2'!$B$27:$B$106,0)),"",VLOOKUP($B90,'Forecast occupancies'!$C$28:$CP$64,30,TRUE)*VLOOKUP($B90,'A1.3.2'!$B$27:$AY$106,50,)*$CR$5)</f>
        <v>23.969470222033554</v>
      </c>
      <c r="AG90" s="1566">
        <f>IF(ISERROR(MATCH($B90,'A1.3.2'!$B$27:$B$106,0)),"",(((AD90*'VoT5'!$F$28)+(AE90*'VoT5'!$F$29)+(AF90*'VoT5'!$F$30))/100))</f>
        <v>32.036845793927256</v>
      </c>
      <c r="AH90" s="1565">
        <f>IF(ISERROR(MATCH($B90,'A1.3.2'!$B$27:$B$106,0)),"",(VLOOKUP($B90,'Forecast occupancies'!$C$28:$CP$64,32,TRUE) * VLOOKUP($B90, 'A1.3.2'!$B$27:$AY$106,37,)) * $CR$5)</f>
        <v>43.022541948666671</v>
      </c>
      <c r="AI90" s="1565">
        <f>IF(ISERROR(MATCH($B90,'A1.3.2'!$B$27:$B$106,0)),"",VLOOKUP($B90,'Forecast occupancies'!$C$28:$CP$64,33,TRUE) * ('VoT5'!$J$29*VLOOKUP($B90, 'A1.3.2'!$B$27:$AY$106,49,)+'VoT5'!$J$30*VLOOKUP($B90, 'A1.3.2'!$B$27:$AY$106,50,))/('VoT5'!$J$29+'VoT5'!$J$30) * $CR$5)</f>
        <v>26.261842835836642</v>
      </c>
      <c r="AJ90" s="1566">
        <f>IF(ISERROR(MATCH($B90,'A1.3.2'!$B$27:$B$106,0)),"",(AH90*'VoT5'!$F$31 + AI90*'VoT5'!$F$32)/100)</f>
        <v>41.011258055127065</v>
      </c>
      <c r="AK90" s="1566">
        <f>IF(ISERROR(MATCH($B90,'A1.3.2'!$B$27:$B$106,0)),"",(VLOOKUP($B90,'Forecast occupancies'!$C$28:$CP$64,35,TRUE)*VLOOKUP($B90,'A1.3.2'!$B$27:$AY$106,38,)) * $CR$5)</f>
        <v>42.242426411788841</v>
      </c>
      <c r="AL90" s="1566">
        <f>IF(ISERROR(MATCH($B90,'A1.3.2'!$B$27:$B$106,0)),"",(VLOOKUP($B90,'Forecast occupancies'!$C$28:$CP$64,36,TRUE)*VLOOKUP($B90,'A1.3.2'!$B$27:$AY$106,38,)) * $CR$5)</f>
        <v>42.242426411788841</v>
      </c>
      <c r="AM90" s="1565">
        <f>IF(ISERROR(MATCH($B90,'A1.3.2'!$B$27:$B$106,0)),"",(((VLOOKUP($B90,'Forecast occupancies'!$C$28:$CP$64,37,TRUE) -1) * VLOOKUP($B90,'A1.3.2'!$B$27:$AY$106,40,)) + VLOOKUP($B90,'A1.3.2'!$B$27:$AY$106,39,)) * $CR$5)</f>
        <v>51.391651907363851</v>
      </c>
      <c r="AN90" s="1565">
        <f>IF(ISERROR(MATCH($B90,'A1.3.2'!$B$27:$B$106,0)),"",(VLOOKUP($B90,'Forecast occupancies'!$C$28:$CP$64,38,TRUE) * VLOOKUP($B90,'A1.3.2'!$B$27:$AY$106,49,)) * $CR$5)</f>
        <v>92.671942952390467</v>
      </c>
      <c r="AO90" s="1565">
        <f>IF(ISERROR(MATCH($B90,'A1.3.2'!$B$27:$B$106,0)),"",(VLOOKUP($B90,'Forecast occupancies'!$C$28:$CP$64,39,TRUE) * VLOOKUP($B90,'A1.3.2'!$B$27:$AY$106,50,)) * $CR$5)</f>
        <v>117.10661919251098</v>
      </c>
      <c r="AP90" s="1567">
        <f>IF(ISERROR(MATCH($B90,'A1.3.2'!$B$27:$B$106,0)),"",SUM(AM90:AO90))</f>
        <v>261.17021405226529</v>
      </c>
      <c r="AQ90" s="1609">
        <f>IF(ISERROR(MATCH($B90,'A1.3.2'!$B$27:$B$106,0)),"",(((VLOOKUP($B90,'Forecast occupancies'!$C$28:$CP$64,41,TRUE)-1)*VLOOKUP($B90,'A1.3.2'!$B$27:$AY$106,36,)+VLOOKUP($B90,'A1.3.2'!$B$27:$AY$106,35,))*$CR$5))</f>
        <v>60.849248419209367</v>
      </c>
      <c r="AR90" s="1565">
        <f>IF(ISERROR(MATCH($B90,'A1.3.2'!$B$27:$B$106,0)),"",VLOOKUP($B90,'Forecast occupancies'!$C$28:$CP$64,42,TRUE)*VLOOKUP($B90,'A1.3.2'!$B$27:$AY$106,49,)*$CR$5)</f>
        <v>33.777771857329427</v>
      </c>
      <c r="AS90" s="1565">
        <f>IF(ISERROR(MATCH($B90,'A1.3.2'!$B$27:$B$106,0)),"",VLOOKUP($B90,'Forecast occupancies'!$C$28:$CP$64,43,TRUE)*VLOOKUP($B90,'A1.3.2'!$B$27:$AY$106,50,)*$CR$5)</f>
        <v>23.883893957307585</v>
      </c>
      <c r="AT90" s="1566">
        <f>IF(ISERROR(MATCH($B90,'A1.3.2'!$B$27:$B$106,0)),"",(((AQ90*'VoT5'!$G$28)+(AR90*'VoT5'!$G$29)+(AS90*'VoT5'!$G$30))/100))</f>
        <v>32.45796371994436</v>
      </c>
      <c r="AU90" s="1565">
        <f>IF(ISERROR(MATCH($B90,'A1.3.2'!$B$27:$B$106,0)),"",(VLOOKUP($B90,'Forecast occupancies'!$C$28:$CP$64,45,TRUE) * VLOOKUP($B90, 'A1.3.2'!$B$27:$AY$106,37,)) * $CR$5)</f>
        <v>43.022541948666671</v>
      </c>
      <c r="AV90" s="1565">
        <f>IF(ISERROR(MATCH($B90,'A1.3.2'!$B$27:$B$106,0)),"",VLOOKUP($B90,'Forecast occupancies'!$C$28:$CP$64,46,TRUE) * ('VoT5'!$J$29*VLOOKUP($B90, 'A1.3.2'!$B$27:$AY$106,49,)+'VoT5'!$J$30*VLOOKUP($B90, 'A1.3.2'!$B$27:$AY$106,50,))/('VoT5'!$J$29+'VoT5'!$J$30) * $CR$5)</f>
        <v>26.261842835836642</v>
      </c>
      <c r="AW90" s="1566">
        <f>IF(ISERROR(MATCH($B90,'A1.3.2'!$B$27:$B$106,0)),"",(AU90*'VoT5'!$G$31 + AV90*'VoT5'!$G$32)/100)</f>
        <v>41.011258055127065</v>
      </c>
      <c r="AX90" s="1566">
        <f>IF(ISERROR(MATCH($B90,'A1.3.2'!$B$27:$B$106,0)),"",(VLOOKUP($B90,'Forecast occupancies'!$C$28:$CP$64,48,TRUE)*VLOOKUP($B90,'A1.3.2'!$B$27:$AY$106,38,)) * $CR$5)</f>
        <v>42.242426411788841</v>
      </c>
      <c r="AY90" s="1566">
        <f>IF(ISERROR(MATCH($B90,'A1.3.2'!$B$27:$B$106,0)),"",(VLOOKUP($B90,'Forecast occupancies'!$C$28:$CP$64,49,TRUE)*VLOOKUP($B90,'A1.3.2'!$B$27:$AY$106,38,)) * $CR$5)</f>
        <v>42.242426411788841</v>
      </c>
      <c r="AZ90" s="1565">
        <f>IF(ISERROR(MATCH($B90,'A1.3.2'!$B$27:$B$106,0)),"",(((VLOOKUP($B90,'Forecast occupancies'!$C$28:$CP$64,50,TRUE) -1) * VLOOKUP($B90,'A1.3.2'!$B$27:$AY$106,40,)) + VLOOKUP($B90,'A1.3.2'!$B$27:$AY$106,39,)) * $CR$5)</f>
        <v>51.350092858193669</v>
      </c>
      <c r="BA90" s="1565">
        <f>IF(ISERROR(MATCH($B90,'A1.3.2'!$B$27:$B$106,0)),"",(VLOOKUP($B90,'Forecast occupancies'!$C$28:$CP$64,51,TRUE) * VLOOKUP($B90,'A1.3.2'!$B$27:$AY$106,49,)) * $CR$5)</f>
        <v>126.68024408785078</v>
      </c>
      <c r="BB90" s="1565">
        <f>IF(ISERROR(MATCH($B90,'A1.3.2'!$B$27:$B$106,0)),"",(VLOOKUP($B90,'Forecast occupancies'!$C$28:$CP$64,52,TRUE) * VLOOKUP($B90,'A1.3.2'!$B$27:$AY$106,50,)) * $CR$5)</f>
        <v>101.60304451349286</v>
      </c>
      <c r="BC90" s="1567">
        <f>IF(ISERROR(MATCH($B90,'A1.3.2'!$B$27:$B$106,0)),"",SUM(AZ90:BB90))</f>
        <v>279.6333814595373</v>
      </c>
      <c r="BD90" s="1565">
        <f>IF(ISERROR(MATCH($B90,'A1.3.2'!$B$27:$B$106,0)),"",(((VLOOKUP($B90,'Forecast occupancies'!$C$28:$CP$64,54,TRUE)-1)*VLOOKUP($B90,'A1.3.2'!$B$27:$AY$106,36,)+VLOOKUP($B90,'A1.3.2'!$B$27:$AY$106,35,))*$CR$5))</f>
        <v>59.825579678213217</v>
      </c>
      <c r="BE90" s="1565">
        <f>IF(ISERROR(MATCH($B90,'A1.3.2'!$B$27:$B$106,0)),"",VLOOKUP($B90,'Forecast occupancies'!$C$28:$CP$64,55,TRUE)*VLOOKUP($B90,'A1.3.2'!$B$27:$AY$106,49,)*$CR$5)</f>
        <v>33.403721288574509</v>
      </c>
      <c r="BF90" s="1565">
        <f>IF(ISERROR(MATCH($B90,'A1.3.2'!$B$27:$B$106,0)),"",VLOOKUP($B90,'Forecast occupancies'!$C$28:$CP$64,56,TRUE)*VLOOKUP($B90,'A1.3.2'!$B$27:$AY$106,50,)*$CR$5)</f>
        <v>23.943237068383898</v>
      </c>
      <c r="BG90" s="1566">
        <f>IF(ISERROR(MATCH($B90,'A1.3.2'!$B$27:$B$106,0)),"",(((BD90*'VoT5'!$H$28)+(BE90*'VoT5'!$H$29)+(BF90*'VoT5'!$H$30))/100))</f>
        <v>32.224213588601351</v>
      </c>
      <c r="BH90" s="1565">
        <f>IF(ISERROR(MATCH($B90,'A1.3.2'!$B$27:$B$106,0)),"",(VLOOKUP($B90,'Forecast occupancies'!$C$28:$CP$64,58,TRUE) * VLOOKUP($B90, 'A1.3.2'!$B$27:$AY$106,37,)) * $CR$5)</f>
        <v>43.022541948666671</v>
      </c>
      <c r="BI90" s="1565">
        <f>IF(ISERROR(MATCH($B90,'A1.3.2'!$B$27:$B$106,0)),"",(VLOOKUP($B90,'Forecast occupancies'!$C$28:$CP$64,59,TRUE) * (VLOOKUP($B90,'A1.3.2'!$B$27:$AY$106,49,) * 'VoT5'!$J$29 + VLOOKUP($B90,'A1.3.2'!$B$27:$AY$106,50,) * 'VoT5'!$J$30) / (SUM('VoT5'!$J$29:$J$30))) * $CR$5)</f>
        <v>26.261842835836642</v>
      </c>
      <c r="BJ90" s="1566">
        <f>IF(ISERROR(MATCH($B90,'A1.3.2'!$B$27:$B$106,0)),"",(BH90*'VoT5'!$H$31 + BI90*'VoT5'!$H$32)/100)</f>
        <v>41.011258055127065</v>
      </c>
      <c r="BK90" s="1566">
        <f>IF(ISERROR(MATCH($B90,'A1.3.2'!$B$27:$B$106,0)),"",(VLOOKUP($B90,'Forecast occupancies'!$C$28:$CP$64,61,TRUE)*VLOOKUP($B90,'A1.3.2'!$B$27:$AY$106,38,)) * $CR$5)</f>
        <v>42.242426411788841</v>
      </c>
      <c r="BL90" s="1566">
        <f>IF(ISERROR(MATCH($B90,'A1.3.2'!$B$27:$B$106,0)),"",(VLOOKUP($B90,'Forecast occupancies'!$C$28:$CP$64,62,TRUE)*VLOOKUP($B90,'A1.3.2'!$B$27:$AY$106,38,)) * $CR$5)</f>
        <v>42.242426411788841</v>
      </c>
      <c r="BM90" s="1565">
        <f>IF(ISERROR(MATCH($B90,'A1.3.2'!$B$27:$B$106,0)),"",(((VLOOKUP($B90,'Forecast occupancies'!$C$28:$CP$64,63,TRUE) -1) * VLOOKUP($B90,'A1.3.2'!$B$27:$AY$106,40,)) + VLOOKUP($B90,'A1.3.2'!$B$27:$AY$106,39,)) * $CR$5)</f>
        <v>49.511310789392091</v>
      </c>
      <c r="BN90" s="1565">
        <f>IF(ISERROR(MATCH($B90,'A1.3.2'!$B$27:$B$106,0)),"",(VLOOKUP($B90,'Forecast occupancies'!$C$28:$CP$64,64,TRUE) * VLOOKUP($B90,'A1.3.2'!$B$27:$AY$106,49,)) * $CR$5)</f>
        <v>57.187706173149692</v>
      </c>
      <c r="BO90" s="1565">
        <f>IF(ISERROR(MATCH($B90,'A1.3.2'!$B$27:$B$106,0)),"",(VLOOKUP($B90,'Forecast occupancies'!$C$28:$CP$64,65,TRUE) * VLOOKUP($B90,'A1.3.2'!$B$27:$AY$106,50,)) * $CR$5)</f>
        <v>134.15485994897378</v>
      </c>
      <c r="BP90" s="1567">
        <f>IF(ISERROR(MATCH($B90,'A1.3.2'!$B$27:$B$106,0)),"",SUM(BM90:BO90))</f>
        <v>240.85387691151556</v>
      </c>
      <c r="BQ90" s="1565">
        <f>IF(ISERROR(MATCH($B90,'A1.3.2'!$B$27:$B$106,0)),"",(((VLOOKUP($B90,'Forecast occupancies'!$C$28:$CP$64,67,TRUE)-1)*VLOOKUP($B90,'A1.3.2'!$B$27:$AY$106,36,)+VLOOKUP($B90,'A1.3.2'!$B$27:$AY$106,35,))*$CR$5))</f>
        <v>68.373148367355938</v>
      </c>
      <c r="BR90" s="1565">
        <f>IF(ISERROR(MATCH($B90,'A1.3.2'!$B$27:$B$106,0)),"",VLOOKUP($B90,'Forecast occupancies'!$C$28:$CP$64,68,TRUE)*VLOOKUP($B90,'A1.3.2'!$B$27:$AY$106,49,)*$CR$5)</f>
        <v>35.366254455674841</v>
      </c>
      <c r="BS90" s="1565">
        <f>IF(ISERROR(MATCH($B90,'A1.3.2'!$B$27:$B$106,0)),"",VLOOKUP($B90,'Forecast occupancies'!$C$28:$CP$64,69,TRUE)*VLOOKUP($B90,'A1.3.2'!$B$27:$AY$106,50,)*$CR$5)</f>
        <v>28.349369870485159</v>
      </c>
      <c r="BT90" s="1566">
        <f>IF(ISERROR(MATCH($B90,'A1.3.2'!$B$27:$B$106,0)),"",(((BQ90*'VoT5'!$I$28)+(BR90*'VoT5'!$I$29)+(BS90*'VoT5'!$I$30))/100))</f>
        <v>30.293089543969128</v>
      </c>
      <c r="BU90" s="1565">
        <f>IF(ISERROR(MATCH($B90,'A1.3.2'!$B$27:$B$106,0)),"",(VLOOKUP($B90,'Forecast occupancies'!$C$28:$CP$64,71,TRUE) * VLOOKUP($B90, 'A1.3.2'!$B$27:$AY$106,37,)) * $CR$5)</f>
        <v>45.173669046100002</v>
      </c>
      <c r="BV90" s="1565">
        <f>IF(ISERROR(MATCH($B90,'A1.3.2'!$B$27:$B$106,0)),"",(VLOOKUP($B90,'Forecast occupancies'!$C$28:$CP$64,72,TRUE) * (VLOOKUP($B90,'A1.3.2'!$B$27:$AY$106,49,)*'VoT5'!$J$29 + VLOOKUP($B90,'A1.3.2'!$B$27:$AY$106,50,)*'VoT5'!$J$30) / (SUM('VoT5'!$J$29:$J$30))) * $CR$5)</f>
        <v>36.514754079964639</v>
      </c>
      <c r="BW90" s="1566">
        <f>IF(ISERROR(MATCH($B90,'A1.3.2'!$B$27:$B$106,0)),"",(BU90*'VoT5'!$I$31 + BV90*'VoT5'!$I$32)/100)</f>
        <v>44.134599250163753</v>
      </c>
      <c r="BX90" s="1566">
        <f>IF(ISERROR(MATCH($B90,'A1.3.2'!$B$27:$B$106,0)),"",(VLOOKUP($B90,'Forecast occupancies'!$C$28:$CP$64,74,TRUE)*VLOOKUP($B90,'A1.3.2'!$B$27:$AY$106,38,)) * $CR$5)</f>
        <v>42.242426411788841</v>
      </c>
      <c r="BY90" s="1566">
        <f>IF(ISERROR(MATCH($B90,'A1.3.2'!$B$27:$B$106,0)),"",(VLOOKUP($B90,'Forecast occupancies'!$C$28:$CP$64,75,TRUE)*VLOOKUP($B90,'A1.3.2'!$B$27:$AY$106,38,)) * $CR$5)</f>
        <v>42.242426411788841</v>
      </c>
      <c r="BZ90" s="1565">
        <f>IF(ISERROR(MATCH($B90,'A1.3.2'!$B$27:$B$106,0)),"",(((VLOOKUP($B90,'Forecast occupancies'!$C$28:$CP$64,76,TRUE) -1) * VLOOKUP($B90,'A1.3.2'!$B$27:$AY$106,40,)) + VLOOKUP($B90,'A1.3.2'!$B$27:$AY$106,39,)) * $CR$5)</f>
        <v>45.091648656370715</v>
      </c>
      <c r="CA90" s="1565">
        <f>IF(ISERROR(MATCH($B90,'A1.3.2'!$B$27:$B$106,0)),"",(VLOOKUP($B90,'Forecast occupancies'!$C$28:$CP$64,77,TRUE) * VLOOKUP($B90,'A1.3.2'!$B$27:$AY$106,49,)) * $CR$5)</f>
        <v>21.664909828412043</v>
      </c>
      <c r="CB90" s="1565">
        <f>IF(ISERROR(MATCH($B90,'A1.3.2'!$B$27:$B$106,0)),"",(VLOOKUP($B90,'Forecast occupancies'!$C$28:$CP$64,78,TRUE) * VLOOKUP($B90,'A1.3.2'!$B$27:$AY$106,50,)) * $CR$5)</f>
        <v>152.37152020496993</v>
      </c>
      <c r="CC90" s="1567">
        <f>IF(ISERROR(MATCH($B90,'A1.3.2'!$B$27:$B$106,0)),"",SUM(BZ90:CB90))</f>
        <v>219.12807868975267</v>
      </c>
      <c r="CD90" s="1565">
        <f>IF(ISERROR(MATCH($B90,'A1.3.2'!$B$27:$B$106,0)),"",(((VLOOKUP($B90,'Forecast occupancies'!$C$28:$CP$64,80,TRUE)-1)*VLOOKUP($B90,'A1.3.2'!$B$27:$AY$106,36,)+VLOOKUP($B90,'A1.3.2'!$B$27:$AY$106,35,))*$CR$5))</f>
        <v>60.432310014840326</v>
      </c>
      <c r="CE90" s="1565">
        <f>IF(ISERROR(MATCH($B90,'A1.3.2'!$B$27:$B$106,0)),"",VLOOKUP($B90,'Forecast occupancies'!$C$28:$CP$64,81,TRUE)*VLOOKUP($B90,'A1.3.2'!$B$27:$AY$106,49,)*$CR$5)</f>
        <v>33.562491515438573</v>
      </c>
      <c r="CF90" s="1565">
        <f>IF(ISERROR(MATCH($B90,'A1.3.2'!$B$27:$B$106,0)),"",VLOOKUP($B90,'Forecast occupancies'!$C$28:$CP$64,82,TRUE)*VLOOKUP($B90,'A1.3.2'!$B$27:$AY$106,50,)*$CR$5)</f>
        <v>25.498022205581222</v>
      </c>
      <c r="CG90" s="1566">
        <f>IF(ISERROR(MATCH($B90,'A1.3.2'!$B$27:$B$106,0)),"",(((CD90*'VoT5'!$J$28)+(CE90*'VoT5'!$J$29)+(CF90*'VoT5'!$J$30))/100))</f>
        <v>31.766353248663485</v>
      </c>
      <c r="CH90" s="1565">
        <f>IF(ISERROR(MATCH($B90,'A1.3.2'!$B$27:$B$106,0)),"",(VLOOKUP($B90,'Forecast occupancies'!$C$28:$CP$64,84,TRUE) * VLOOKUP($B90, 'A1.3.2'!$B$27:$AY$106,37,)) * $CR$5)</f>
        <v>43.022541948666671</v>
      </c>
      <c r="CI90" s="1565">
        <f>IF(ISERROR(MATCH($B90,'A1.3.2'!$B$27:$B$106,0)),"",(VLOOKUP($B90,'Forecast occupancies'!$C$28:$CP$64,85,TRUE) * (VLOOKUP($B90,'A1.3.2'!$B$27:$AY$106,49,)*'VoT5'!$J$29 + VLOOKUP($B90,'A1.3.2'!$B$27:$AY$106,50,)*'VoT5'!$J$30) / (SUM('VoT5'!$J$29:$J$30))) * $CR$5)</f>
        <v>28.600226102041272</v>
      </c>
      <c r="CJ90" s="1566">
        <f>IF(ISERROR(MATCH($B90,'A1.3.2'!$B$27:$B$106,0)),"",(CH90*'VoT5'!$J$31 + CI90*'VoT5'!$J$32)/100)</f>
        <v>41.29186404707162</v>
      </c>
      <c r="CK90" s="1566">
        <f>IF(ISERROR(MATCH($B90,'A1.3.2'!$B$27:$B$106,0)),"",(VLOOKUP($B90,'Forecast occupancies'!$C$28:$CP$64,87,TRUE)*VLOOKUP($B90,'A1.3.2'!$B$27:$AY$106,38,)) * $CR$5)</f>
        <v>42.242426411788841</v>
      </c>
      <c r="CL90" s="1566">
        <f>IF(ISERROR(MATCH($B90,'A1.3.2'!$B$27:$B$106,0)),"",(VLOOKUP($B90,'Forecast occupancies'!$C$28:$CP$64,88,TRUE)*VLOOKUP($B90,'A1.3.2'!$B$27:$AY$106,38,)) * $CR$5)</f>
        <v>42.242426411788841</v>
      </c>
      <c r="CM90" s="1565">
        <f>IF(ISERROR(MATCH($B90,'A1.3.2'!$B$27:$B$106,0)),"",(((VLOOKUP($B90,'Forecast occupancies'!$C$28:$CP$64,89,TRUE) -1) * VLOOKUP($B90,'A1.3.2'!$B$27:$AY$106,40,)) + VLOOKUP($B90,'A1.3.2'!$B$27:$AY$106,39,)) * $CR$5)</f>
        <v>48.419915443406367</v>
      </c>
      <c r="CN90" s="1565">
        <f>IF(ISERROR(MATCH($B90,'A1.3.2'!$B$27:$B$106,0)),"",(VLOOKUP($B90,'Forecast occupancies'!$C$28:$CP$64,90,TRUE) * VLOOKUP($B90,'A1.3.2'!$B$27:$AY$106,49,)) * $CR$5)</f>
        <v>48.413984399675556</v>
      </c>
      <c r="CO90" s="1565">
        <f>IF(ISERROR(MATCH($B90,'A1.3.2'!$B$27:$B$106,0)),"",(VLOOKUP($B90,'Forecast occupancies'!$C$28:$CP$64,91,TRUE) * VLOOKUP($B90,'A1.3.2'!$B$27:$AY$106,50,)) * $CR$5)</f>
        <v>138.65407001098689</v>
      </c>
      <c r="CP90" s="1567">
        <f>IF(ISERROR(MATCH($B90,'A1.3.2'!$B$27:$B$106,0)),"",SUM(CM90:CO90))</f>
        <v>235.48796985406881</v>
      </c>
    </row>
    <row r="91" spans="1:94" ht="13.5" customHeight="1">
      <c r="A91" s="113"/>
      <c r="B91" s="82">
        <f t="shared" si="0"/>
        <v>2073</v>
      </c>
      <c r="C91" s="26"/>
      <c r="D91" s="1609">
        <f>IF(ISERROR(MATCH($B91,'A1.3.2'!$B$27:$B$106,0)),"",(((VLOOKUP($B91,'Forecast occupancies'!$C$28:$CP$64,2,TRUE) -1) * VLOOKUP($B91,'A1.3.2'!$B$27:$AY$106,36,) + VLOOKUP($B91,'A1.3.2'!$B$27:$AY$106,35,)) * $CR$5))</f>
        <v>60.108967413968067</v>
      </c>
      <c r="E91" s="1565">
        <f>IF(ISERROR(MATCH($B91,'A1.3.2'!$B$27:$B$106,0)),"",VLOOKUP($B91,'Forecast occupancies'!$C$28:$CP$64,3,TRUE)*VLOOKUP($B91,'A1.3.2'!$B$27:$AY$106,49,)*$CR$5)</f>
        <v>33.874463891730173</v>
      </c>
      <c r="F91" s="1565">
        <f>IF(ISERROR(MATCH($B91,'A1.3.2'!$B$27:$B$106,0)),"",VLOOKUP($B91,'Forecast occupancies'!$C$28:$CP$64,4,TRUE)*VLOOKUP($B91,'A1.3.2'!$B$27:$AY$106,50,)*$CR$5)</f>
        <v>23.370755725081306</v>
      </c>
      <c r="G91" s="1566">
        <f>IF(ISERROR(MATCH($B91,'A1.3.2'!$B$27:$B$106,0)),"",(((D91*'VoT5'!$D$28)+(E91*'VoT5'!$D$29)+(F91*'VoT5'!$D$30))/100))</f>
        <v>34.046014978058139</v>
      </c>
      <c r="H91" s="1565">
        <f>IF(ISERROR(MATCH($B91,'A1.3.2'!$B$27:$B$106,0)),"",(VLOOKUP($B91,'Forecast occupancies'!$C$28:$CP$64,6,TRUE) * VLOOKUP($B91, 'A1.3.2'!$B$27:$AY$106,37,)) * $CR$5)</f>
        <v>43.92817949488748</v>
      </c>
      <c r="I91" s="1565">
        <f>IF(ISERROR(MATCH($B91,'A1.3.2'!$B$27:$B$106,0)),"",VLOOKUP($B91,'Forecast occupancies'!$C$28:$CP$64,7,TRUE) * ('VoT5'!$J$29*VLOOKUP($B91, 'A1.3.2'!$B$27:$AY$106,49,)+'VoT5'!$J$30*VLOOKUP($B91, 'A1.3.2'!$B$27:$AY$106,50,))/('VoT5'!$J$29+'VoT5'!$J$30) * $CR$5)</f>
        <v>26.814662586316793</v>
      </c>
      <c r="J91" s="1566">
        <f>IF(ISERROR(MATCH($B91,'A1.3.2'!$B$27:$B$106,0)),"",(H91*'VoT5'!$D$31 + I91*'VoT5'!$D$32)/100)</f>
        <v>41.874557465858999</v>
      </c>
      <c r="K91" s="1566">
        <f>IF(ISERROR(MATCH($B91,'A1.3.2'!$B$27:$B$106,0)),"",(VLOOKUP($B91,'Forecast occupancies'!$C$28:$CP$64,9,TRUE)*VLOOKUP($B91,'A1.3.2'!$B$27:$AY$106,38,)) * $CR$5)</f>
        <v>43.131642289540366</v>
      </c>
      <c r="L91" s="1566">
        <f>IF(ISERROR(MATCH($B91,'A1.3.2'!$B$27:$B$106,0)),"",(VLOOKUP($B91,'Forecast occupancies'!$C$28:$CP$64,10,TRUE)*VLOOKUP($B91,'A1.3.2'!$B$27:$AY$106,38,)) * $CR$5)</f>
        <v>43.131642289540366</v>
      </c>
      <c r="M91" s="1565">
        <f>IF(ISERROR(MATCH($B91,'A1.3.2'!$B$27:$B$106,0)),"",(((VLOOKUP($B91,'Forecast occupancies'!$C$28:$CP$64,11,TRUE) -1) * VLOOKUP($B91,'A1.3.2'!$B$27:$AY$106,40,)) + VLOOKUP($B91,'A1.3.2'!$B$27:$AY$106,39,)) * $CR$5)</f>
        <v>49.148896347562371</v>
      </c>
      <c r="N91" s="1565">
        <f>IF(ISERROR(MATCH($B91,'A1.3.2'!$B$27:$B$106,0)),"",(VLOOKUP($B91,'Forecast occupancies'!$C$28:$CP$64,12,TRUE) * VLOOKUP($B91,'A1.3.2'!$B$27:$AY$106,49,)) * $CR$5)</f>
        <v>67.281162663419082</v>
      </c>
      <c r="O91" s="1565">
        <f>IF(ISERROR(MATCH($B91,'A1.3.2'!$B$27:$B$106,0)),"",(VLOOKUP($B91,'Forecast occupancies'!$C$28:$CP$64,13,TRUE) * VLOOKUP($B91,'A1.3.2'!$B$27:$AY$106,50,)) * $CR$5)</f>
        <v>133.5579465771078</v>
      </c>
      <c r="P91" s="1567">
        <f>IF(ISERROR(MATCH($B91,'A1.3.2'!$B$27:$B$106,0)),"",SUM(M91:O91))</f>
        <v>249.98800558808927</v>
      </c>
      <c r="Q91" s="1609">
        <f>IF(ISERROR(MATCH($B91,'A1.3.2'!$B$27:$B$106,0)),"",(((VLOOKUP($B91,'Forecast occupancies'!$C$28:$CP$64,15,TRUE)-1)*VLOOKUP($B91,'A1.3.2'!$B$27:$AY$106,36,)+VLOOKUP($B91,'A1.3.2'!$B$27:$AY$106,35,))*$CR$5))</f>
        <v>61.595017987177819</v>
      </c>
      <c r="R91" s="1565">
        <f>IF(ISERROR(MATCH($B91,'A1.3.2'!$B$27:$B$106,0)),"",VLOOKUP($B91,'Forecast occupancies'!$C$28:$CP$64,16,TRUE)*VLOOKUP($B91,'A1.3.2'!$B$27:$AY$106,49,)*$CR$5)</f>
        <v>34.425265833414109</v>
      </c>
      <c r="S91" s="1565">
        <f>IF(ISERROR(MATCH($B91,'A1.3.2'!$B$27:$B$106,0)),"",VLOOKUP($B91,'Forecast occupancies'!$C$28:$CP$64,17,TRUE)*VLOOKUP($B91,'A1.3.2'!$B$27:$AY$106,50,)*$CR$5)</f>
        <v>24.895375489560138</v>
      </c>
      <c r="T91" s="1566">
        <f>IF(ISERROR(MATCH($B91,'A1.3.2'!$B$27:$B$106,0)),"",(((Q91*'VoT5'!$E$28)+(R91*'VoT5'!$E$29)+(S91*'VoT5'!$E$30))/100))</f>
        <v>32.06486488390037</v>
      </c>
      <c r="U91" s="1565">
        <f>IF(ISERROR(MATCH($B91,'A1.3.2'!$B$27:$B$106,0)),"",(VLOOKUP($B91,'Forecast occupancies'!$C$28:$CP$64,19,TRUE) * VLOOKUP($B91, 'A1.3.2'!$B$27:$AY$106,37,)) * $CR$5)</f>
        <v>43.92817949488748</v>
      </c>
      <c r="V91" s="1565">
        <f>IF(ISERROR(MATCH($B91,'A1.3.2'!$B$27:$B$106,0)),"",VLOOKUP($B91,'Forecast occupancies'!$C$28:$CP$64,20,TRUE) * ('VoT5'!$J$29*VLOOKUP($B91, 'A1.3.2'!$B$27:$AY$106,49,)+'VoT5'!$J$30*VLOOKUP($B91, 'A1.3.2'!$B$27:$AY$106,50,))/('VoT5'!$J$29+'VoT5'!$J$30) * $CR$5)</f>
        <v>26.814662586316793</v>
      </c>
      <c r="W91" s="1566">
        <f>IF(ISERROR(MATCH($B91,'A1.3.2'!$B$27:$B$106,0)),"",(U91*'VoT5'!$E$31 + V91*'VoT5'!$E$32)/100)</f>
        <v>41.874557465858999</v>
      </c>
      <c r="X91" s="1566">
        <f>IF(ISERROR(MATCH($B91,'A1.3.2'!$B$27:$B$106,0)),"",(VLOOKUP($B91,'Forecast occupancies'!$C$28:$CP$64,22,TRUE)*VLOOKUP($B91,'A1.3.2'!$B$27:$AY$106,38,)) * $CR$5)</f>
        <v>43.131642289540366</v>
      </c>
      <c r="Y91" s="1566">
        <f>IF(ISERROR(MATCH($B91,'A1.3.2'!$B$27:$B$106,0)),"",(VLOOKUP($B91,'Forecast occupancies'!$C$28:$CP$64,23,TRUE)*VLOOKUP($B91,'A1.3.2'!$B$27:$AY$106,38,)) * $CR$5)</f>
        <v>43.131642289540366</v>
      </c>
      <c r="Z91" s="1565">
        <f>IF(ISERROR(MATCH($B91,'A1.3.2'!$B$27:$B$106,0)),"",(((VLOOKUP($B91,'Forecast occupancies'!$C$28:$CP$64,24,TRUE) -1) * VLOOKUP($B91,'A1.3.2'!$B$27:$AY$106,40,)) + VLOOKUP($B91,'A1.3.2'!$B$27:$AY$106,39,)) * $CR$5)</f>
        <v>50.152069028944368</v>
      </c>
      <c r="AA91" s="1565">
        <f>IF(ISERROR(MATCH($B91,'A1.3.2'!$B$27:$B$106,0)),"",(VLOOKUP($B91,'Forecast occupancies'!$C$28:$CP$64,25,TRUE) * VLOOKUP($B91,'A1.3.2'!$B$27:$AY$106,49,)) * $CR$5)</f>
        <v>23.579906525297048</v>
      </c>
      <c r="AB91" s="1565">
        <f>IF(ISERROR(MATCH($B91,'A1.3.2'!$B$27:$B$106,0)),"",(VLOOKUP($B91,'Forecast occupancies'!$C$28:$CP$64,26,TRUE) * VLOOKUP($B91,'A1.3.2'!$B$27:$AY$106,50,)) * $CR$5)</f>
        <v>153.04987370768359</v>
      </c>
      <c r="AC91" s="1567">
        <f>IF(ISERROR(MATCH($B91,'A1.3.2'!$B$27:$B$106,0)),"",SUM(Z91:AB91))</f>
        <v>226.781849261925</v>
      </c>
      <c r="AD91" s="1609">
        <f>IF(ISERROR(MATCH($B91,'A1.3.2'!$B$27:$B$106,0)),"",(((VLOOKUP($B91,'Forecast occupancies'!$C$28:$CP$64,28,TRUE)-1)*VLOOKUP($B91,'A1.3.2'!$B$27:$AY$106,36,)+VLOOKUP($B91,'A1.3.2'!$B$27:$AY$106,35,))*$CR$5))</f>
        <v>60.976431517703574</v>
      </c>
      <c r="AE91" s="1565">
        <f>IF(ISERROR(MATCH($B91,'A1.3.2'!$B$27:$B$106,0)),"",VLOOKUP($B91,'Forecast occupancies'!$C$28:$CP$64,29,TRUE)*VLOOKUP($B91,'A1.3.2'!$B$27:$AY$106,49,)*$CR$5)</f>
        <v>33.991309011126418</v>
      </c>
      <c r="AF91" s="1565">
        <f>IF(ISERROR(MATCH($B91,'A1.3.2'!$B$27:$B$106,0)),"",VLOOKUP($B91,'Forecast occupancies'!$C$28:$CP$64,30,TRUE)*VLOOKUP($B91,'A1.3.2'!$B$27:$AY$106,50,)*$CR$5)</f>
        <v>24.474034834277901</v>
      </c>
      <c r="AG91" s="1566">
        <f>IF(ISERROR(MATCH($B91,'A1.3.2'!$B$27:$B$106,0)),"",(((AD91*'VoT5'!$F$28)+(AE91*'VoT5'!$F$29)+(AF91*'VoT5'!$F$30))/100))</f>
        <v>32.711231106819397</v>
      </c>
      <c r="AH91" s="1565">
        <f>IF(ISERROR(MATCH($B91,'A1.3.2'!$B$27:$B$106,0)),"",(VLOOKUP($B91,'Forecast occupancies'!$C$28:$CP$64,32,TRUE) * VLOOKUP($B91, 'A1.3.2'!$B$27:$AY$106,37,)) * $CR$5)</f>
        <v>43.92817949488748</v>
      </c>
      <c r="AI91" s="1565">
        <f>IF(ISERROR(MATCH($B91,'A1.3.2'!$B$27:$B$106,0)),"",VLOOKUP($B91,'Forecast occupancies'!$C$28:$CP$64,33,TRUE) * ('VoT5'!$J$29*VLOOKUP($B91, 'A1.3.2'!$B$27:$AY$106,49,)+'VoT5'!$J$30*VLOOKUP($B91, 'A1.3.2'!$B$27:$AY$106,50,))/('VoT5'!$J$29+'VoT5'!$J$30) * $CR$5)</f>
        <v>26.814662586316793</v>
      </c>
      <c r="AJ91" s="1566">
        <f>IF(ISERROR(MATCH($B91,'A1.3.2'!$B$27:$B$106,0)),"",(AH91*'VoT5'!$F$31 + AI91*'VoT5'!$F$32)/100)</f>
        <v>41.874557465858999</v>
      </c>
      <c r="AK91" s="1566">
        <f>IF(ISERROR(MATCH($B91,'A1.3.2'!$B$27:$B$106,0)),"",(VLOOKUP($B91,'Forecast occupancies'!$C$28:$CP$64,35,TRUE)*VLOOKUP($B91,'A1.3.2'!$B$27:$AY$106,38,)) * $CR$5)</f>
        <v>43.131642289540366</v>
      </c>
      <c r="AL91" s="1566">
        <f>IF(ISERROR(MATCH($B91,'A1.3.2'!$B$27:$B$106,0)),"",(VLOOKUP($B91,'Forecast occupancies'!$C$28:$CP$64,36,TRUE)*VLOOKUP($B91,'A1.3.2'!$B$27:$AY$106,38,)) * $CR$5)</f>
        <v>43.131642289540366</v>
      </c>
      <c r="AM91" s="1565">
        <f>IF(ISERROR(MATCH($B91,'A1.3.2'!$B$27:$B$106,0)),"",(((VLOOKUP($B91,'Forecast occupancies'!$C$28:$CP$64,37,TRUE) -1) * VLOOKUP($B91,'A1.3.2'!$B$27:$AY$106,40,)) + VLOOKUP($B91,'A1.3.2'!$B$27:$AY$106,39,)) * $CR$5)</f>
        <v>52.473461754516819</v>
      </c>
      <c r="AN91" s="1565">
        <f>IF(ISERROR(MATCH($B91,'A1.3.2'!$B$27:$B$106,0)),"",(VLOOKUP($B91,'Forecast occupancies'!$C$28:$CP$64,38,TRUE) * VLOOKUP($B91,'A1.3.2'!$B$27:$AY$106,49,)) * $CR$5)</f>
        <v>94.622715436244576</v>
      </c>
      <c r="AO91" s="1565">
        <f>IF(ISERROR(MATCH($B91,'A1.3.2'!$B$27:$B$106,0)),"",(VLOOKUP($B91,'Forecast occupancies'!$C$28:$CP$64,39,TRUE) * VLOOKUP($B91,'A1.3.2'!$B$27:$AY$106,50,)) * $CR$5)</f>
        <v>119.57174901627322</v>
      </c>
      <c r="AP91" s="1567">
        <f>IF(ISERROR(MATCH($B91,'A1.3.2'!$B$27:$B$106,0)),"",SUM(AM91:AO91))</f>
        <v>266.66792620703461</v>
      </c>
      <c r="AQ91" s="1609">
        <f>IF(ISERROR(MATCH($B91,'A1.3.2'!$B$27:$B$106,0)),"",(((VLOOKUP($B91,'Forecast occupancies'!$C$28:$CP$64,41,TRUE)-1)*VLOOKUP($B91,'A1.3.2'!$B$27:$AY$106,36,)+VLOOKUP($B91,'A1.3.2'!$B$27:$AY$106,35,))*$CR$5))</f>
        <v>62.130143539109675</v>
      </c>
      <c r="AR91" s="1565">
        <f>IF(ISERROR(MATCH($B91,'A1.3.2'!$B$27:$B$106,0)),"",VLOOKUP($B91,'Forecast occupancies'!$C$28:$CP$64,42,TRUE)*VLOOKUP($B91,'A1.3.2'!$B$27:$AY$106,49,)*$CR$5)</f>
        <v>34.488804191452736</v>
      </c>
      <c r="AS91" s="1565">
        <f>IF(ISERROR(MATCH($B91,'A1.3.2'!$B$27:$B$106,0)),"",VLOOKUP($B91,'Forecast occupancies'!$C$28:$CP$64,43,TRUE)*VLOOKUP($B91,'A1.3.2'!$B$27:$AY$106,50,)*$CR$5)</f>
        <v>24.386657163245125</v>
      </c>
      <c r="AT91" s="1566">
        <f>IF(ISERROR(MATCH($B91,'A1.3.2'!$B$27:$B$106,0)),"",(((AQ91*'VoT5'!$G$28)+(AR91*'VoT5'!$G$29)+(AS91*'VoT5'!$G$30))/100))</f>
        <v>33.141213692801095</v>
      </c>
      <c r="AU91" s="1565">
        <f>IF(ISERROR(MATCH($B91,'A1.3.2'!$B$27:$B$106,0)),"",(VLOOKUP($B91,'Forecast occupancies'!$C$28:$CP$64,45,TRUE) * VLOOKUP($B91, 'A1.3.2'!$B$27:$AY$106,37,)) * $CR$5)</f>
        <v>43.92817949488748</v>
      </c>
      <c r="AV91" s="1565">
        <f>IF(ISERROR(MATCH($B91,'A1.3.2'!$B$27:$B$106,0)),"",VLOOKUP($B91,'Forecast occupancies'!$C$28:$CP$64,46,TRUE) * ('VoT5'!$J$29*VLOOKUP($B91, 'A1.3.2'!$B$27:$AY$106,49,)+'VoT5'!$J$30*VLOOKUP($B91, 'A1.3.2'!$B$27:$AY$106,50,))/('VoT5'!$J$29+'VoT5'!$J$30) * $CR$5)</f>
        <v>26.814662586316793</v>
      </c>
      <c r="AW91" s="1566">
        <f>IF(ISERROR(MATCH($B91,'A1.3.2'!$B$27:$B$106,0)),"",(AU91*'VoT5'!$G$31 + AV91*'VoT5'!$G$32)/100)</f>
        <v>41.874557465858999</v>
      </c>
      <c r="AX91" s="1566">
        <f>IF(ISERROR(MATCH($B91,'A1.3.2'!$B$27:$B$106,0)),"",(VLOOKUP($B91,'Forecast occupancies'!$C$28:$CP$64,48,TRUE)*VLOOKUP($B91,'A1.3.2'!$B$27:$AY$106,38,)) * $CR$5)</f>
        <v>43.131642289540366</v>
      </c>
      <c r="AY91" s="1566">
        <f>IF(ISERROR(MATCH($B91,'A1.3.2'!$B$27:$B$106,0)),"",(VLOOKUP($B91,'Forecast occupancies'!$C$28:$CP$64,49,TRUE)*VLOOKUP($B91,'A1.3.2'!$B$27:$AY$106,38,)) * $CR$5)</f>
        <v>43.131642289540366</v>
      </c>
      <c r="AZ91" s="1565">
        <f>IF(ISERROR(MATCH($B91,'A1.3.2'!$B$27:$B$106,0)),"",(((VLOOKUP($B91,'Forecast occupancies'!$C$28:$CP$64,50,TRUE) -1) * VLOOKUP($B91,'A1.3.2'!$B$27:$AY$106,40,)) + VLOOKUP($B91,'A1.3.2'!$B$27:$AY$106,39,)) * $CR$5)</f>
        <v>52.431027874766926</v>
      </c>
      <c r="BA91" s="1565">
        <f>IF(ISERROR(MATCH($B91,'A1.3.2'!$B$27:$B$106,0)),"",(VLOOKUP($B91,'Forecast occupancies'!$C$28:$CP$64,51,TRUE) * VLOOKUP($B91,'A1.3.2'!$B$27:$AY$106,49,)) * $CR$5)</f>
        <v>129.34690161699592</v>
      </c>
      <c r="BB91" s="1565">
        <f>IF(ISERROR(MATCH($B91,'A1.3.2'!$B$27:$B$106,0)),"",(VLOOKUP($B91,'Forecast occupancies'!$C$28:$CP$64,52,TRUE) * VLOOKUP($B91,'A1.3.2'!$B$27:$AY$106,50,)) * $CR$5)</f>
        <v>103.74181939182417</v>
      </c>
      <c r="BC91" s="1567">
        <f>IF(ISERROR(MATCH($B91,'A1.3.2'!$B$27:$B$106,0)),"",SUM(AZ91:BB91))</f>
        <v>285.519748883587</v>
      </c>
      <c r="BD91" s="1565">
        <f>IF(ISERROR(MATCH($B91,'A1.3.2'!$B$27:$B$106,0)),"",(((VLOOKUP($B91,'Forecast occupancies'!$C$28:$CP$64,54,TRUE)-1)*VLOOKUP($B91,'A1.3.2'!$B$27:$AY$106,36,)+VLOOKUP($B91,'A1.3.2'!$B$27:$AY$106,35,))*$CR$5))</f>
        <v>61.084926260887507</v>
      </c>
      <c r="BE91" s="1565">
        <f>IF(ISERROR(MATCH($B91,'A1.3.2'!$B$27:$B$106,0)),"",VLOOKUP($B91,'Forecast occupancies'!$C$28:$CP$64,55,TRUE)*VLOOKUP($B91,'A1.3.2'!$B$27:$AY$106,49,)*$CR$5)</f>
        <v>34.106879744867584</v>
      </c>
      <c r="BF91" s="1565">
        <f>IF(ISERROR(MATCH($B91,'A1.3.2'!$B$27:$B$106,0)),"",VLOOKUP($B91,'Forecast occupancies'!$C$28:$CP$64,56,TRUE)*VLOOKUP($B91,'A1.3.2'!$B$27:$AY$106,50,)*$CR$5)</f>
        <v>24.447249464793828</v>
      </c>
      <c r="BG91" s="1566">
        <f>IF(ISERROR(MATCH($B91,'A1.3.2'!$B$27:$B$106,0)),"",(((BD91*'VoT5'!$H$28)+(BE91*'VoT5'!$H$29)+(BF91*'VoT5'!$H$30))/100))</f>
        <v>32.90254305035414</v>
      </c>
      <c r="BH91" s="1565">
        <f>IF(ISERROR(MATCH($B91,'A1.3.2'!$B$27:$B$106,0)),"",(VLOOKUP($B91,'Forecast occupancies'!$C$28:$CP$64,58,TRUE) * VLOOKUP($B91, 'A1.3.2'!$B$27:$AY$106,37,)) * $CR$5)</f>
        <v>43.92817949488748</v>
      </c>
      <c r="BI91" s="1565">
        <f>IF(ISERROR(MATCH($B91,'A1.3.2'!$B$27:$B$106,0)),"",(VLOOKUP($B91,'Forecast occupancies'!$C$28:$CP$64,59,TRUE) * (VLOOKUP($B91,'A1.3.2'!$B$27:$AY$106,49,) * 'VoT5'!$J$29 + VLOOKUP($B91,'A1.3.2'!$B$27:$AY$106,50,) * 'VoT5'!$J$30) / (SUM('VoT5'!$J$29:$J$30))) * $CR$5)</f>
        <v>26.814662586316793</v>
      </c>
      <c r="BJ91" s="1566">
        <f>IF(ISERROR(MATCH($B91,'A1.3.2'!$B$27:$B$106,0)),"",(BH91*'VoT5'!$H$31 + BI91*'VoT5'!$H$32)/100)</f>
        <v>41.874557465858999</v>
      </c>
      <c r="BK91" s="1566">
        <f>IF(ISERROR(MATCH($B91,'A1.3.2'!$B$27:$B$106,0)),"",(VLOOKUP($B91,'Forecast occupancies'!$C$28:$CP$64,61,TRUE)*VLOOKUP($B91,'A1.3.2'!$B$27:$AY$106,38,)) * $CR$5)</f>
        <v>43.131642289540366</v>
      </c>
      <c r="BL91" s="1566">
        <f>IF(ISERROR(MATCH($B91,'A1.3.2'!$B$27:$B$106,0)),"",(VLOOKUP($B91,'Forecast occupancies'!$C$28:$CP$64,62,TRUE)*VLOOKUP($B91,'A1.3.2'!$B$27:$AY$106,38,)) * $CR$5)</f>
        <v>43.131642289540366</v>
      </c>
      <c r="BM91" s="1565">
        <f>IF(ISERROR(MATCH($B91,'A1.3.2'!$B$27:$B$106,0)),"",(((VLOOKUP($B91,'Forecast occupancies'!$C$28:$CP$64,63,TRUE) -1) * VLOOKUP($B91,'A1.3.2'!$B$27:$AY$106,40,)) + VLOOKUP($B91,'A1.3.2'!$B$27:$AY$106,39,)) * $CR$5)</f>
        <v>50.553538886164759</v>
      </c>
      <c r="BN91" s="1565">
        <f>IF(ISERROR(MATCH($B91,'A1.3.2'!$B$27:$B$106,0)),"",(VLOOKUP($B91,'Forecast occupancies'!$C$28:$CP$64,64,TRUE) * VLOOKUP($B91,'A1.3.2'!$B$27:$AY$106,49,)) * $CR$5)</f>
        <v>58.391524719121342</v>
      </c>
      <c r="BO91" s="1565">
        <f>IF(ISERROR(MATCH($B91,'A1.3.2'!$B$27:$B$106,0)),"",(VLOOKUP($B91,'Forecast occupancies'!$C$28:$CP$64,65,TRUE) * VLOOKUP($B91,'A1.3.2'!$B$27:$AY$106,50,)) * $CR$5)</f>
        <v>136.9788604072161</v>
      </c>
      <c r="BP91" s="1567">
        <f>IF(ISERROR(MATCH($B91,'A1.3.2'!$B$27:$B$106,0)),"",SUM(BM91:BO91))</f>
        <v>245.9239240125022</v>
      </c>
      <c r="BQ91" s="1565">
        <f>IF(ISERROR(MATCH($B91,'A1.3.2'!$B$27:$B$106,0)),"",(((VLOOKUP($B91,'Forecast occupancies'!$C$28:$CP$64,67,TRUE)-1)*VLOOKUP($B91,'A1.3.2'!$B$27:$AY$106,36,)+VLOOKUP($B91,'A1.3.2'!$B$27:$AY$106,35,))*$CR$5))</f>
        <v>69.812423861321093</v>
      </c>
      <c r="BR91" s="1565">
        <f>IF(ISERROR(MATCH($B91,'A1.3.2'!$B$27:$B$106,0)),"",VLOOKUP($B91,'Forecast occupancies'!$C$28:$CP$64,68,TRUE)*VLOOKUP($B91,'A1.3.2'!$B$27:$AY$106,49,)*$CR$5)</f>
        <v>36.110724829891097</v>
      </c>
      <c r="BS91" s="1565">
        <f>IF(ISERROR(MATCH($B91,'A1.3.2'!$B$27:$B$106,0)),"",VLOOKUP($B91,'Forecast occupancies'!$C$28:$CP$64,69,TRUE)*VLOOKUP($B91,'A1.3.2'!$B$27:$AY$106,50,)*$CR$5)</f>
        <v>28.946132697680401</v>
      </c>
      <c r="BT91" s="1566">
        <f>IF(ISERROR(MATCH($B91,'A1.3.2'!$B$27:$B$106,0)),"",(((BQ91*'VoT5'!$I$28)+(BR91*'VoT5'!$I$29)+(BS91*'VoT5'!$I$30))/100))</f>
        <v>30.930768259345395</v>
      </c>
      <c r="BU91" s="1565">
        <f>IF(ISERROR(MATCH($B91,'A1.3.2'!$B$27:$B$106,0)),"",(VLOOKUP($B91,'Forecast occupancies'!$C$28:$CP$64,71,TRUE) * VLOOKUP($B91, 'A1.3.2'!$B$27:$AY$106,37,)) * $CR$5)</f>
        <v>46.124588469631853</v>
      </c>
      <c r="BV91" s="1565">
        <f>IF(ISERROR(MATCH($B91,'A1.3.2'!$B$27:$B$106,0)),"",(VLOOKUP($B91,'Forecast occupancies'!$C$28:$CP$64,72,TRUE) * (VLOOKUP($B91,'A1.3.2'!$B$27:$AY$106,49,)*'VoT5'!$J$29 + VLOOKUP($B91,'A1.3.2'!$B$27:$AY$106,50,)*'VoT5'!$J$30) / (SUM('VoT5'!$J$29:$J$30))) * $CR$5)</f>
        <v>37.283400719330878</v>
      </c>
      <c r="BW91" s="1566">
        <f>IF(ISERROR(MATCH($B91,'A1.3.2'!$B$27:$B$106,0)),"",(BU91*'VoT5'!$I$31 + BV91*'VoT5'!$I$32)/100)</f>
        <v>45.063645939595737</v>
      </c>
      <c r="BX91" s="1566">
        <f>IF(ISERROR(MATCH($B91,'A1.3.2'!$B$27:$B$106,0)),"",(VLOOKUP($B91,'Forecast occupancies'!$C$28:$CP$64,74,TRUE)*VLOOKUP($B91,'A1.3.2'!$B$27:$AY$106,38,)) * $CR$5)</f>
        <v>43.131642289540366</v>
      </c>
      <c r="BY91" s="1566">
        <f>IF(ISERROR(MATCH($B91,'A1.3.2'!$B$27:$B$106,0)),"",(VLOOKUP($B91,'Forecast occupancies'!$C$28:$CP$64,75,TRUE)*VLOOKUP($B91,'A1.3.2'!$B$27:$AY$106,38,)) * $CR$5)</f>
        <v>43.131642289540366</v>
      </c>
      <c r="BZ91" s="1565">
        <f>IF(ISERROR(MATCH($B91,'A1.3.2'!$B$27:$B$106,0)),"",(((VLOOKUP($B91,'Forecast occupancies'!$C$28:$CP$64,76,TRUE) -1) * VLOOKUP($B91,'A1.3.2'!$B$27:$AY$106,40,)) + VLOOKUP($B91,'A1.3.2'!$B$27:$AY$106,39,)) * $CR$5)</f>
        <v>46.040841525842076</v>
      </c>
      <c r="CA91" s="1565">
        <f>IF(ISERROR(MATCH($B91,'A1.3.2'!$B$27:$B$106,0)),"",(VLOOKUP($B91,'Forecast occupancies'!$C$28:$CP$64,77,TRUE) * VLOOKUP($B91,'A1.3.2'!$B$27:$AY$106,49,)) * $CR$5)</f>
        <v>22.120962745961844</v>
      </c>
      <c r="CB91" s="1565">
        <f>IF(ISERROR(MATCH($B91,'A1.3.2'!$B$27:$B$106,0)),"",(VLOOKUP($B91,'Forecast occupancies'!$C$28:$CP$64,78,TRUE) * VLOOKUP($B91,'A1.3.2'!$B$27:$AY$106,50,)) * $CR$5)</f>
        <v>155.57898688225302</v>
      </c>
      <c r="CC91" s="1567">
        <f>IF(ISERROR(MATCH($B91,'A1.3.2'!$B$27:$B$106,0)),"",SUM(BZ91:CB91))</f>
        <v>223.74079115405692</v>
      </c>
      <c r="CD91" s="1565">
        <f>IF(ISERROR(MATCH($B91,'A1.3.2'!$B$27:$B$106,0)),"",(((VLOOKUP($B91,'Forecast occupancies'!$C$28:$CP$64,80,TRUE)-1)*VLOOKUP($B91,'A1.3.2'!$B$27:$AY$106,36,)+VLOOKUP($B91,'A1.3.2'!$B$27:$AY$106,35,))*$CR$5))</f>
        <v>61.704428454973353</v>
      </c>
      <c r="CE91" s="1565">
        <f>IF(ISERROR(MATCH($B91,'A1.3.2'!$B$27:$B$106,0)),"",VLOOKUP($B91,'Forecast occupancies'!$C$28:$CP$64,81,TRUE)*VLOOKUP($B91,'A1.3.2'!$B$27:$AY$106,49,)*$CR$5)</f>
        <v>34.268992133123263</v>
      </c>
      <c r="CF91" s="1565">
        <f>IF(ISERROR(MATCH($B91,'A1.3.2'!$B$27:$B$106,0)),"",VLOOKUP($B91,'Forecast occupancies'!$C$28:$CP$64,82,TRUE)*VLOOKUP($B91,'A1.3.2'!$B$27:$AY$106,50,)*$CR$5)</f>
        <v>26.034763300314744</v>
      </c>
      <c r="CG91" s="1566">
        <f>IF(ISERROR(MATCH($B91,'A1.3.2'!$B$27:$B$106,0)),"",(((CD91*'VoT5'!$J$28)+(CE91*'VoT5'!$J$29)+(CF91*'VoT5'!$J$30))/100))</f>
        <v>32.43504461150367</v>
      </c>
      <c r="CH91" s="1565">
        <f>IF(ISERROR(MATCH($B91,'A1.3.2'!$B$27:$B$106,0)),"",(VLOOKUP($B91,'Forecast occupancies'!$C$28:$CP$64,84,TRUE) * VLOOKUP($B91, 'A1.3.2'!$B$27:$AY$106,37,)) * $CR$5)</f>
        <v>43.92817949488748</v>
      </c>
      <c r="CI91" s="1565">
        <f>IF(ISERROR(MATCH($B91,'A1.3.2'!$B$27:$B$106,0)),"",(VLOOKUP($B91,'Forecast occupancies'!$C$28:$CP$64,85,TRUE) * (VLOOKUP($B91,'A1.3.2'!$B$27:$AY$106,49,)*'VoT5'!$J$29 + VLOOKUP($B91,'A1.3.2'!$B$27:$AY$106,50,)*'VoT5'!$J$30) / (SUM('VoT5'!$J$29:$J$30))) * $CR$5)</f>
        <v>29.202269528934043</v>
      </c>
      <c r="CJ91" s="1566">
        <f>IF(ISERROR(MATCH($B91,'A1.3.2'!$B$27:$B$106,0)),"",(CH91*'VoT5'!$J$31 + CI91*'VoT5'!$J$32)/100)</f>
        <v>42.161070298973073</v>
      </c>
      <c r="CK91" s="1566">
        <f>IF(ISERROR(MATCH($B91,'A1.3.2'!$B$27:$B$106,0)),"",(VLOOKUP($B91,'Forecast occupancies'!$C$28:$CP$64,87,TRUE)*VLOOKUP($B91,'A1.3.2'!$B$27:$AY$106,38,)) * $CR$5)</f>
        <v>43.131642289540366</v>
      </c>
      <c r="CL91" s="1566">
        <f>IF(ISERROR(MATCH($B91,'A1.3.2'!$B$27:$B$106,0)),"",(VLOOKUP($B91,'Forecast occupancies'!$C$28:$CP$64,88,TRUE)*VLOOKUP($B91,'A1.3.2'!$B$27:$AY$106,38,)) * $CR$5)</f>
        <v>43.131642289540366</v>
      </c>
      <c r="CM91" s="1565">
        <f>IF(ISERROR(MATCH($B91,'A1.3.2'!$B$27:$B$106,0)),"",(((VLOOKUP($B91,'Forecast occupancies'!$C$28:$CP$64,89,TRUE) -1) * VLOOKUP($B91,'A1.3.2'!$B$27:$AY$106,40,)) + VLOOKUP($B91,'A1.3.2'!$B$27:$AY$106,39,)) * $CR$5)</f>
        <v>49.439169337393096</v>
      </c>
      <c r="CN91" s="1565">
        <f>IF(ISERROR(MATCH($B91,'A1.3.2'!$B$27:$B$106,0)),"",(VLOOKUP($B91,'Forecast occupancies'!$C$28:$CP$64,90,TRUE) * VLOOKUP($B91,'A1.3.2'!$B$27:$AY$106,49,)) * $CR$5)</f>
        <v>49.433113443394312</v>
      </c>
      <c r="CO91" s="1565">
        <f>IF(ISERROR(MATCH($B91,'A1.3.2'!$B$27:$B$106,0)),"",(VLOOKUP($B91,'Forecast occupancies'!$C$28:$CP$64,91,TRUE) * VLOOKUP($B91,'A1.3.2'!$B$27:$AY$106,50,)) * $CR$5)</f>
        <v>141.57278020454322</v>
      </c>
      <c r="CP91" s="1567">
        <f>IF(ISERROR(MATCH($B91,'A1.3.2'!$B$27:$B$106,0)),"",SUM(CM91:CO91))</f>
        <v>240.44506298533062</v>
      </c>
    </row>
    <row r="92" spans="1:94" ht="13.5" customHeight="1">
      <c r="A92" s="113"/>
      <c r="B92" s="82">
        <f t="shared" si="0"/>
        <v>2074</v>
      </c>
      <c r="C92" s="26"/>
      <c r="D92" s="1609">
        <f>IF(ISERROR(MATCH($B92,'A1.3.2'!$B$27:$B$106,0)),"",(((VLOOKUP($B92,'Forecast occupancies'!$C$28:$CP$64,2,TRUE) -1) * VLOOKUP($B92,'A1.3.2'!$B$27:$AY$106,36,) + VLOOKUP($B92,'A1.3.2'!$B$27:$AY$106,35,)) * $CR$5))</f>
        <v>61.373019345121847</v>
      </c>
      <c r="E92" s="1565">
        <f>IF(ISERROR(MATCH($B92,'A1.3.2'!$B$27:$B$106,0)),"",VLOOKUP($B92,'Forecast occupancies'!$C$28:$CP$64,3,TRUE)*VLOOKUP($B92,'A1.3.2'!$B$27:$AY$106,49,)*$CR$5)</f>
        <v>34.586821520571931</v>
      </c>
      <c r="F92" s="1565">
        <f>IF(ISERROR(MATCH($B92,'A1.3.2'!$B$27:$B$106,0)),"",VLOOKUP($B92,'Forecast occupancies'!$C$28:$CP$64,4,TRUE)*VLOOKUP($B92,'A1.3.2'!$B$27:$AY$106,50,)*$CR$5)</f>
        <v>23.862227300418127</v>
      </c>
      <c r="G92" s="1566">
        <f>IF(ISERROR(MATCH($B92,'A1.3.2'!$B$27:$B$106,0)),"",(((D92*'VoT5'!$D$28)+(E92*'VoT5'!$D$29)+(F92*'VoT5'!$D$30))/100))</f>
        <v>34.76198021307404</v>
      </c>
      <c r="H92" s="1565">
        <f>IF(ISERROR(MATCH($B92,'A1.3.2'!$B$27:$B$106,0)),"",(VLOOKUP($B92,'Forecast occupancies'!$C$28:$CP$64,6,TRUE) * VLOOKUP($B92, 'A1.3.2'!$B$27:$AY$106,37,)) * $CR$5)</f>
        <v>44.851960130481615</v>
      </c>
      <c r="I92" s="1565">
        <f>IF(ISERROR(MATCH($B92,'A1.3.2'!$B$27:$B$106,0)),"",VLOOKUP($B92,'Forecast occupancies'!$C$28:$CP$64,7,TRUE) * ('VoT5'!$J$29*VLOOKUP($B92, 'A1.3.2'!$B$27:$AY$106,49,)+'VoT5'!$J$30*VLOOKUP($B92, 'A1.3.2'!$B$27:$AY$106,50,))/('VoT5'!$J$29+'VoT5'!$J$30) * $CR$5)</f>
        <v>27.378557251018588</v>
      </c>
      <c r="J92" s="1566">
        <f>IF(ISERROR(MATCH($B92,'A1.3.2'!$B$27:$B$106,0)),"",(H92*'VoT5'!$D$31 + I92*'VoT5'!$D$32)/100)</f>
        <v>42.755151784946044</v>
      </c>
      <c r="K92" s="1566">
        <f>IF(ISERROR(MATCH($B92,'A1.3.2'!$B$27:$B$106,0)),"",(VLOOKUP($B92,'Forecast occupancies'!$C$28:$CP$64,9,TRUE)*VLOOKUP($B92,'A1.3.2'!$B$27:$AY$106,38,)) * $CR$5)</f>
        <v>44.038672273177347</v>
      </c>
      <c r="L92" s="1566">
        <f>IF(ISERROR(MATCH($B92,'A1.3.2'!$B$27:$B$106,0)),"",(VLOOKUP($B92,'Forecast occupancies'!$C$28:$CP$64,10,TRUE)*VLOOKUP($B92,'A1.3.2'!$B$27:$AY$106,38,)) * $CR$5)</f>
        <v>44.038672273177347</v>
      </c>
      <c r="M92" s="1565">
        <f>IF(ISERROR(MATCH($B92,'A1.3.2'!$B$27:$B$106,0)),"",(((VLOOKUP($B92,'Forecast occupancies'!$C$28:$CP$64,11,TRUE) -1) * VLOOKUP($B92,'A1.3.2'!$B$27:$AY$106,40,)) + VLOOKUP($B92,'A1.3.2'!$B$27:$AY$106,39,)) * $CR$5)</f>
        <v>50.182465214489476</v>
      </c>
      <c r="N92" s="1565">
        <f>IF(ISERROR(MATCH($B92,'A1.3.2'!$B$27:$B$106,0)),"",(VLOOKUP($B92,'Forecast occupancies'!$C$28:$CP$64,12,TRUE) * VLOOKUP($B92,'A1.3.2'!$B$27:$AY$106,49,)) * $CR$5)</f>
        <v>68.696041129210258</v>
      </c>
      <c r="O92" s="1565">
        <f>IF(ISERROR(MATCH($B92,'A1.3.2'!$B$27:$B$106,0)),"",(VLOOKUP($B92,'Forecast occupancies'!$C$28:$CP$64,13,TRUE) * VLOOKUP($B92,'A1.3.2'!$B$27:$AY$106,50,)) * $CR$5)</f>
        <v>136.36658208616657</v>
      </c>
      <c r="P92" s="1567">
        <f>IF(ISERROR(MATCH($B92,'A1.3.2'!$B$27:$B$106,0)),"",SUM(M92:O92))</f>
        <v>255.24508842986631</v>
      </c>
      <c r="Q92" s="1609">
        <f>IF(ISERROR(MATCH($B92,'A1.3.2'!$B$27:$B$106,0)),"",(((VLOOKUP($B92,'Forecast occupancies'!$C$28:$CP$64,15,TRUE)-1)*VLOOKUP($B92,'A1.3.2'!$B$27:$AY$106,36,)+VLOOKUP($B92,'A1.3.2'!$B$27:$AY$106,35,))*$CR$5))</f>
        <v>62.890320581546639</v>
      </c>
      <c r="R92" s="1565">
        <f>IF(ISERROR(MATCH($B92,'A1.3.2'!$B$27:$B$106,0)),"",VLOOKUP($B92,'Forecast occupancies'!$C$28:$CP$64,16,TRUE)*VLOOKUP($B92,'A1.3.2'!$B$27:$AY$106,49,)*$CR$5)</f>
        <v>35.149206463728412</v>
      </c>
      <c r="S92" s="1565">
        <f>IF(ISERROR(MATCH($B92,'A1.3.2'!$B$27:$B$106,0)),"",VLOOKUP($B92,'Forecast occupancies'!$C$28:$CP$64,17,TRUE)*VLOOKUP($B92,'A1.3.2'!$B$27:$AY$106,50,)*$CR$5)</f>
        <v>25.418908812760506</v>
      </c>
      <c r="T92" s="1566">
        <f>IF(ISERROR(MATCH($B92,'A1.3.2'!$B$27:$B$106,0)),"",(((Q92*'VoT5'!$E$28)+(R92*'VoT5'!$E$29)+(S92*'VoT5'!$E$30))/100))</f>
        <v>32.739167839390191</v>
      </c>
      <c r="U92" s="1565">
        <f>IF(ISERROR(MATCH($B92,'A1.3.2'!$B$27:$B$106,0)),"",(VLOOKUP($B92,'Forecast occupancies'!$C$28:$CP$64,19,TRUE) * VLOOKUP($B92, 'A1.3.2'!$B$27:$AY$106,37,)) * $CR$5)</f>
        <v>44.851960130481615</v>
      </c>
      <c r="V92" s="1565">
        <f>IF(ISERROR(MATCH($B92,'A1.3.2'!$B$27:$B$106,0)),"",VLOOKUP($B92,'Forecast occupancies'!$C$28:$CP$64,20,TRUE) * ('VoT5'!$J$29*VLOOKUP($B92, 'A1.3.2'!$B$27:$AY$106,49,)+'VoT5'!$J$30*VLOOKUP($B92, 'A1.3.2'!$B$27:$AY$106,50,))/('VoT5'!$J$29+'VoT5'!$J$30) * $CR$5)</f>
        <v>27.378557251018588</v>
      </c>
      <c r="W92" s="1566">
        <f>IF(ISERROR(MATCH($B92,'A1.3.2'!$B$27:$B$106,0)),"",(U92*'VoT5'!$E$31 + V92*'VoT5'!$E$32)/100)</f>
        <v>42.755151784946044</v>
      </c>
      <c r="X92" s="1566">
        <f>IF(ISERROR(MATCH($B92,'A1.3.2'!$B$27:$B$106,0)),"",(VLOOKUP($B92,'Forecast occupancies'!$C$28:$CP$64,22,TRUE)*VLOOKUP($B92,'A1.3.2'!$B$27:$AY$106,38,)) * $CR$5)</f>
        <v>44.038672273177347</v>
      </c>
      <c r="Y92" s="1566">
        <f>IF(ISERROR(MATCH($B92,'A1.3.2'!$B$27:$B$106,0)),"",(VLOOKUP($B92,'Forecast occupancies'!$C$28:$CP$64,23,TRUE)*VLOOKUP($B92,'A1.3.2'!$B$27:$AY$106,38,)) * $CR$5)</f>
        <v>44.038672273177347</v>
      </c>
      <c r="Z92" s="1565">
        <f>IF(ISERROR(MATCH($B92,'A1.3.2'!$B$27:$B$106,0)),"",(((VLOOKUP($B92,'Forecast occupancies'!$C$28:$CP$64,24,TRUE) -1) * VLOOKUP($B92,'A1.3.2'!$B$27:$AY$106,40,)) + VLOOKUP($B92,'A1.3.2'!$B$27:$AY$106,39,)) * $CR$5)</f>
        <v>51.206733955573327</v>
      </c>
      <c r="AA92" s="1565">
        <f>IF(ISERROR(MATCH($B92,'A1.3.2'!$B$27:$B$106,0)),"",(VLOOKUP($B92,'Forecast occupancies'!$C$28:$CP$64,25,TRUE) * VLOOKUP($B92,'A1.3.2'!$B$27:$AY$106,49,)) * $CR$5)</f>
        <v>24.075776403986751</v>
      </c>
      <c r="AB92" s="1565">
        <f>IF(ISERROR(MATCH($B92,'A1.3.2'!$B$27:$B$106,0)),"",(VLOOKUP($B92,'Forecast occupancies'!$C$28:$CP$64,26,TRUE) * VLOOKUP($B92,'A1.3.2'!$B$27:$AY$106,50,)) * $CR$5)</f>
        <v>156.26841158557906</v>
      </c>
      <c r="AC92" s="1567">
        <f>IF(ISERROR(MATCH($B92,'A1.3.2'!$B$27:$B$106,0)),"",SUM(Z92:AB92))</f>
        <v>231.55092194513912</v>
      </c>
      <c r="AD92" s="1609">
        <f>IF(ISERROR(MATCH($B92,'A1.3.2'!$B$27:$B$106,0)),"",(((VLOOKUP($B92,'Forecast occupancies'!$C$28:$CP$64,28,TRUE)-1)*VLOOKUP($B92,'A1.3.2'!$B$27:$AY$106,36,)+VLOOKUP($B92,'A1.3.2'!$B$27:$AY$106,35,))*$CR$5))</f>
        <v>62.258725646697513</v>
      </c>
      <c r="AE92" s="1565">
        <f>IF(ISERROR(MATCH($B92,'A1.3.2'!$B$27:$B$106,0)),"",VLOOKUP($B92,'Forecast occupancies'!$C$28:$CP$64,29,TRUE)*VLOOKUP($B92,'A1.3.2'!$B$27:$AY$106,49,)*$CR$5)</f>
        <v>34.706123815746984</v>
      </c>
      <c r="AF92" s="1565">
        <f>IF(ISERROR(MATCH($B92,'A1.3.2'!$B$27:$B$106,0)),"",VLOOKUP($B92,'Forecast occupancies'!$C$28:$CP$64,30,TRUE)*VLOOKUP($B92,'A1.3.2'!$B$27:$AY$106,50,)*$CR$5)</f>
        <v>24.988707641453843</v>
      </c>
      <c r="AG92" s="1566">
        <f>IF(ISERROR(MATCH($B92,'A1.3.2'!$B$27:$B$106,0)),"",(((AD92*'VoT5'!$F$28)+(AE92*'VoT5'!$F$29)+(AF92*'VoT5'!$F$30))/100))</f>
        <v>33.399126717572884</v>
      </c>
      <c r="AH92" s="1565">
        <f>IF(ISERROR(MATCH($B92,'A1.3.2'!$B$27:$B$106,0)),"",(VLOOKUP($B92,'Forecast occupancies'!$C$28:$CP$64,32,TRUE) * VLOOKUP($B92, 'A1.3.2'!$B$27:$AY$106,37,)) * $CR$5)</f>
        <v>44.851960130481615</v>
      </c>
      <c r="AI92" s="1565">
        <f>IF(ISERROR(MATCH($B92,'A1.3.2'!$B$27:$B$106,0)),"",VLOOKUP($B92,'Forecast occupancies'!$C$28:$CP$64,33,TRUE) * ('VoT5'!$J$29*VLOOKUP($B92, 'A1.3.2'!$B$27:$AY$106,49,)+'VoT5'!$J$30*VLOOKUP($B92, 'A1.3.2'!$B$27:$AY$106,50,))/('VoT5'!$J$29+'VoT5'!$J$30) * $CR$5)</f>
        <v>27.378557251018588</v>
      </c>
      <c r="AJ92" s="1566">
        <f>IF(ISERROR(MATCH($B92,'A1.3.2'!$B$27:$B$106,0)),"",(AH92*'VoT5'!$F$31 + AI92*'VoT5'!$F$32)/100)</f>
        <v>42.755151784946044</v>
      </c>
      <c r="AK92" s="1566">
        <f>IF(ISERROR(MATCH($B92,'A1.3.2'!$B$27:$B$106,0)),"",(VLOOKUP($B92,'Forecast occupancies'!$C$28:$CP$64,35,TRUE)*VLOOKUP($B92,'A1.3.2'!$B$27:$AY$106,38,)) * $CR$5)</f>
        <v>44.038672273177347</v>
      </c>
      <c r="AL92" s="1566">
        <f>IF(ISERROR(MATCH($B92,'A1.3.2'!$B$27:$B$106,0)),"",(VLOOKUP($B92,'Forecast occupancies'!$C$28:$CP$64,36,TRUE)*VLOOKUP($B92,'A1.3.2'!$B$27:$AY$106,38,)) * $CR$5)</f>
        <v>44.038672273177347</v>
      </c>
      <c r="AM92" s="1565">
        <f>IF(ISERROR(MATCH($B92,'A1.3.2'!$B$27:$B$106,0)),"",(((VLOOKUP($B92,'Forecast occupancies'!$C$28:$CP$64,37,TRUE) -1) * VLOOKUP($B92,'A1.3.2'!$B$27:$AY$106,40,)) + VLOOKUP($B92,'A1.3.2'!$B$27:$AY$106,39,)) * $CR$5)</f>
        <v>53.576944038754291</v>
      </c>
      <c r="AN92" s="1565">
        <f>IF(ISERROR(MATCH($B92,'A1.3.2'!$B$27:$B$106,0)),"",(VLOOKUP($B92,'Forecast occupancies'!$C$28:$CP$64,38,TRUE) * VLOOKUP($B92,'A1.3.2'!$B$27:$AY$106,49,)) * $CR$5)</f>
        <v>96.612568719773222</v>
      </c>
      <c r="AO92" s="1565">
        <f>IF(ISERROR(MATCH($B92,'A1.3.2'!$B$27:$B$106,0)),"",(VLOOKUP($B92,'Forecast occupancies'!$C$28:$CP$64,39,TRUE) * VLOOKUP($B92,'A1.3.2'!$B$27:$AY$106,50,)) * $CR$5)</f>
        <v>122.08626401724682</v>
      </c>
      <c r="AP92" s="1567">
        <f>IF(ISERROR(MATCH($B92,'A1.3.2'!$B$27:$B$106,0)),"",SUM(AM92:AO92))</f>
        <v>272.27577677577432</v>
      </c>
      <c r="AQ92" s="1609">
        <f>IF(ISERROR(MATCH($B92,'A1.3.2'!$B$27:$B$106,0)),"",(((VLOOKUP($B92,'Forecast occupancies'!$C$28:$CP$64,41,TRUE)-1)*VLOOKUP($B92,'A1.3.2'!$B$27:$AY$106,36,)+VLOOKUP($B92,'A1.3.2'!$B$27:$AY$106,35,))*$CR$5))</f>
        <v>63.43669947081618</v>
      </c>
      <c r="AR92" s="1565">
        <f>IF(ISERROR(MATCH($B92,'A1.3.2'!$B$27:$B$106,0)),"",VLOOKUP($B92,'Forecast occupancies'!$C$28:$CP$64,42,TRUE)*VLOOKUP($B92,'A1.3.2'!$B$27:$AY$106,49,)*$CR$5)</f>
        <v>35.214080991520675</v>
      </c>
      <c r="AS92" s="1565">
        <f>IF(ISERROR(MATCH($B92,'A1.3.2'!$B$27:$B$106,0)),"",VLOOKUP($B92,'Forecast occupancies'!$C$28:$CP$64,43,TRUE)*VLOOKUP($B92,'A1.3.2'!$B$27:$AY$106,50,)*$CR$5)</f>
        <v>24.899492475641825</v>
      </c>
      <c r="AT92" s="1566">
        <f>IF(ISERROR(MATCH($B92,'A1.3.2'!$B$27:$B$106,0)),"",(((AQ92*'VoT5'!$G$28)+(AR92*'VoT5'!$G$29)+(AS92*'VoT5'!$G$30))/100))</f>
        <v>33.838151553680582</v>
      </c>
      <c r="AU92" s="1565">
        <f>IF(ISERROR(MATCH($B92,'A1.3.2'!$B$27:$B$106,0)),"",(VLOOKUP($B92,'Forecast occupancies'!$C$28:$CP$64,45,TRUE) * VLOOKUP($B92, 'A1.3.2'!$B$27:$AY$106,37,)) * $CR$5)</f>
        <v>44.851960130481615</v>
      </c>
      <c r="AV92" s="1565">
        <f>IF(ISERROR(MATCH($B92,'A1.3.2'!$B$27:$B$106,0)),"",VLOOKUP($B92,'Forecast occupancies'!$C$28:$CP$64,46,TRUE) * ('VoT5'!$J$29*VLOOKUP($B92, 'A1.3.2'!$B$27:$AY$106,49,)+'VoT5'!$J$30*VLOOKUP($B92, 'A1.3.2'!$B$27:$AY$106,50,))/('VoT5'!$J$29+'VoT5'!$J$30) * $CR$5)</f>
        <v>27.378557251018588</v>
      </c>
      <c r="AW92" s="1566">
        <f>IF(ISERROR(MATCH($B92,'A1.3.2'!$B$27:$B$106,0)),"",(AU92*'VoT5'!$G$31 + AV92*'VoT5'!$G$32)/100)</f>
        <v>42.755151784946044</v>
      </c>
      <c r="AX92" s="1566">
        <f>IF(ISERROR(MATCH($B92,'A1.3.2'!$B$27:$B$106,0)),"",(VLOOKUP($B92,'Forecast occupancies'!$C$28:$CP$64,48,TRUE)*VLOOKUP($B92,'A1.3.2'!$B$27:$AY$106,38,)) * $CR$5)</f>
        <v>44.038672273177347</v>
      </c>
      <c r="AY92" s="1566">
        <f>IF(ISERROR(MATCH($B92,'A1.3.2'!$B$27:$B$106,0)),"",(VLOOKUP($B92,'Forecast occupancies'!$C$28:$CP$64,49,TRUE)*VLOOKUP($B92,'A1.3.2'!$B$27:$AY$106,38,)) * $CR$5)</f>
        <v>44.038672273177347</v>
      </c>
      <c r="AZ92" s="1565">
        <f>IF(ISERROR(MATCH($B92,'A1.3.2'!$B$27:$B$106,0)),"",(((VLOOKUP($B92,'Forecast occupancies'!$C$28:$CP$64,50,TRUE) -1) * VLOOKUP($B92,'A1.3.2'!$B$27:$AY$106,40,)) + VLOOKUP($B92,'A1.3.2'!$B$27:$AY$106,39,)) * $CR$5)</f>
        <v>53.533617802506654</v>
      </c>
      <c r="BA92" s="1565">
        <f>IF(ISERROR(MATCH($B92,'A1.3.2'!$B$27:$B$106,0)),"",(VLOOKUP($B92,'Forecast occupancies'!$C$28:$CP$64,51,TRUE) * VLOOKUP($B92,'A1.3.2'!$B$27:$AY$106,49,)) * $CR$5)</f>
        <v>132.06698162854721</v>
      </c>
      <c r="BB92" s="1565">
        <f>IF(ISERROR(MATCH($B92,'A1.3.2'!$B$27:$B$106,0)),"",(VLOOKUP($B92,'Forecast occupancies'!$C$28:$CP$64,52,TRUE) * VLOOKUP($B92,'A1.3.2'!$B$27:$AY$106,50,)) * $CR$5)</f>
        <v>105.9234414157149</v>
      </c>
      <c r="BC92" s="1567">
        <f>IF(ISERROR(MATCH($B92,'A1.3.2'!$B$27:$B$106,0)),"",SUM(AZ92:BB92))</f>
        <v>291.5240408467688</v>
      </c>
      <c r="BD92" s="1565">
        <f>IF(ISERROR(MATCH($B92,'A1.3.2'!$B$27:$B$106,0)),"",(((VLOOKUP($B92,'Forecast occupancies'!$C$28:$CP$64,54,TRUE)-1)*VLOOKUP($B92,'A1.3.2'!$B$27:$AY$106,36,)+VLOOKUP($B92,'A1.3.2'!$B$27:$AY$106,35,))*$CR$5))</f>
        <v>62.369501962757212</v>
      </c>
      <c r="BE92" s="1565">
        <f>IF(ISERROR(MATCH($B92,'A1.3.2'!$B$27:$B$106,0)),"",VLOOKUP($B92,'Forecast occupancies'!$C$28:$CP$64,55,TRUE)*VLOOKUP($B92,'A1.3.2'!$B$27:$AY$106,49,)*$CR$5)</f>
        <v>34.82412492577734</v>
      </c>
      <c r="BF92" s="1565">
        <f>IF(ISERROR(MATCH($B92,'A1.3.2'!$B$27:$B$106,0)),"",VLOOKUP($B92,'Forecast occupancies'!$C$28:$CP$64,56,TRUE)*VLOOKUP($B92,'A1.3.2'!$B$27:$AY$106,50,)*$CR$5)</f>
        <v>24.961358993319681</v>
      </c>
      <c r="BG92" s="1566">
        <f>IF(ISERROR(MATCH($B92,'A1.3.2'!$B$27:$B$106,0)),"",(((BD92*'VoT5'!$H$28)+(BE92*'VoT5'!$H$29)+(BF92*'VoT5'!$H$30))/100))</f>
        <v>33.594461825072706</v>
      </c>
      <c r="BH92" s="1565">
        <f>IF(ISERROR(MATCH($B92,'A1.3.2'!$B$27:$B$106,0)),"",(VLOOKUP($B92,'Forecast occupancies'!$C$28:$CP$64,58,TRUE) * VLOOKUP($B92, 'A1.3.2'!$B$27:$AY$106,37,)) * $CR$5)</f>
        <v>44.851960130481615</v>
      </c>
      <c r="BI92" s="1565">
        <f>IF(ISERROR(MATCH($B92,'A1.3.2'!$B$27:$B$106,0)),"",(VLOOKUP($B92,'Forecast occupancies'!$C$28:$CP$64,59,TRUE) * (VLOOKUP($B92,'A1.3.2'!$B$27:$AY$106,49,) * 'VoT5'!$J$29 + VLOOKUP($B92,'A1.3.2'!$B$27:$AY$106,50,) * 'VoT5'!$J$30) / (SUM('VoT5'!$J$29:$J$30))) * $CR$5)</f>
        <v>27.378557251018588</v>
      </c>
      <c r="BJ92" s="1566">
        <f>IF(ISERROR(MATCH($B92,'A1.3.2'!$B$27:$B$106,0)),"",(BH92*'VoT5'!$H$31 + BI92*'VoT5'!$H$32)/100)</f>
        <v>42.755151784946044</v>
      </c>
      <c r="BK92" s="1566">
        <f>IF(ISERROR(MATCH($B92,'A1.3.2'!$B$27:$B$106,0)),"",(VLOOKUP($B92,'Forecast occupancies'!$C$28:$CP$64,61,TRUE)*VLOOKUP($B92,'A1.3.2'!$B$27:$AY$106,38,)) * $CR$5)</f>
        <v>44.038672273177347</v>
      </c>
      <c r="BL92" s="1566">
        <f>IF(ISERROR(MATCH($B92,'A1.3.2'!$B$27:$B$106,0)),"",(VLOOKUP($B92,'Forecast occupancies'!$C$28:$CP$64,62,TRUE)*VLOOKUP($B92,'A1.3.2'!$B$27:$AY$106,38,)) * $CR$5)</f>
        <v>44.038672273177347</v>
      </c>
      <c r="BM92" s="1565">
        <f>IF(ISERROR(MATCH($B92,'A1.3.2'!$B$27:$B$106,0)),"",(((VLOOKUP($B92,'Forecast occupancies'!$C$28:$CP$64,63,TRUE) -1) * VLOOKUP($B92,'A1.3.2'!$B$27:$AY$106,40,)) + VLOOKUP($B92,'A1.3.2'!$B$27:$AY$106,39,)) * $CR$5)</f>
        <v>51.616646459043558</v>
      </c>
      <c r="BN92" s="1565">
        <f>IF(ISERROR(MATCH($B92,'A1.3.2'!$B$27:$B$106,0)),"",(VLOOKUP($B92,'Forecast occupancies'!$C$28:$CP$64,64,TRUE) * VLOOKUP($B92,'A1.3.2'!$B$27:$AY$106,49,)) * $CR$5)</f>
        <v>59.619459963390199</v>
      </c>
      <c r="BO92" s="1565">
        <f>IF(ISERROR(MATCH($B92,'A1.3.2'!$B$27:$B$106,0)),"",(VLOOKUP($B92,'Forecast occupancies'!$C$28:$CP$64,65,TRUE) * VLOOKUP($B92,'A1.3.2'!$B$27:$AY$106,50,)) * $CR$5)</f>
        <v>139.85943547736363</v>
      </c>
      <c r="BP92" s="1567">
        <f>IF(ISERROR(MATCH($B92,'A1.3.2'!$B$27:$B$106,0)),"",SUM(BM92:BO92))</f>
        <v>251.09554189979738</v>
      </c>
      <c r="BQ92" s="1565">
        <f>IF(ISERROR(MATCH($B92,'A1.3.2'!$B$27:$B$106,0)),"",(((VLOOKUP($B92,'Forecast occupancies'!$C$28:$CP$64,67,TRUE)-1)*VLOOKUP($B92,'A1.3.2'!$B$27:$AY$106,36,)+VLOOKUP($B92,'A1.3.2'!$B$27:$AY$106,35,))*$CR$5))</f>
        <v>71.280533080244766</v>
      </c>
      <c r="BR92" s="1565">
        <f>IF(ISERROR(MATCH($B92,'A1.3.2'!$B$27:$B$106,0)),"",VLOOKUP($B92,'Forecast occupancies'!$C$28:$CP$64,68,TRUE)*VLOOKUP($B92,'A1.3.2'!$B$27:$AY$106,49,)*$CR$5)</f>
        <v>36.870109551013087</v>
      </c>
      <c r="BS92" s="1565">
        <f>IF(ISERROR(MATCH($B92,'A1.3.2'!$B$27:$B$106,0)),"",VLOOKUP($B92,'Forecast occupancies'!$C$28:$CP$64,69,TRUE)*VLOOKUP($B92,'A1.3.2'!$B$27:$AY$106,50,)*$CR$5)</f>
        <v>29.554850772704832</v>
      </c>
      <c r="BT92" s="1566">
        <f>IF(ISERROR(MATCH($B92,'A1.3.2'!$B$27:$B$106,0)),"",(((BQ92*'VoT5'!$I$28)+(BR92*'VoT5'!$I$29)+(BS92*'VoT5'!$I$30))/100))</f>
        <v>31.581221910978257</v>
      </c>
      <c r="BU92" s="1565">
        <f>IF(ISERROR(MATCH($B92,'A1.3.2'!$B$27:$B$106,0)),"",(VLOOKUP($B92,'Forecast occupancies'!$C$28:$CP$64,71,TRUE) * VLOOKUP($B92, 'A1.3.2'!$B$27:$AY$106,37,)) * $CR$5)</f>
        <v>47.094558137005698</v>
      </c>
      <c r="BV92" s="1565">
        <f>IF(ISERROR(MATCH($B92,'A1.3.2'!$B$27:$B$106,0)),"",(VLOOKUP($B92,'Forecast occupancies'!$C$28:$CP$64,72,TRUE) * (VLOOKUP($B92,'A1.3.2'!$B$27:$AY$106,49,)*'VoT5'!$J$29 + VLOOKUP($B92,'A1.3.2'!$B$27:$AY$106,50,)*'VoT5'!$J$30) / (SUM('VoT5'!$J$29:$J$30))) * $CR$5)</f>
        <v>38.067446040799815</v>
      </c>
      <c r="BW92" s="1566">
        <f>IF(ISERROR(MATCH($B92,'A1.3.2'!$B$27:$B$106,0)),"",(BU92*'VoT5'!$I$31 + BV92*'VoT5'!$I$32)/100)</f>
        <v>46.011304685460992</v>
      </c>
      <c r="BX92" s="1566">
        <f>IF(ISERROR(MATCH($B92,'A1.3.2'!$B$27:$B$106,0)),"",(VLOOKUP($B92,'Forecast occupancies'!$C$28:$CP$64,74,TRUE)*VLOOKUP($B92,'A1.3.2'!$B$27:$AY$106,38,)) * $CR$5)</f>
        <v>44.038672273177347</v>
      </c>
      <c r="BY92" s="1566">
        <f>IF(ISERROR(MATCH($B92,'A1.3.2'!$B$27:$B$106,0)),"",(VLOOKUP($B92,'Forecast occupancies'!$C$28:$CP$64,75,TRUE)*VLOOKUP($B92,'A1.3.2'!$B$27:$AY$106,38,)) * $CR$5)</f>
        <v>44.038672273177347</v>
      </c>
      <c r="BZ92" s="1565">
        <f>IF(ISERROR(MATCH($B92,'A1.3.2'!$B$27:$B$106,0)),"",(((VLOOKUP($B92,'Forecast occupancies'!$C$28:$CP$64,76,TRUE) -1) * VLOOKUP($B92,'A1.3.2'!$B$27:$AY$106,40,)) + VLOOKUP($B92,'A1.3.2'!$B$27:$AY$106,39,)) * $CR$5)</f>
        <v>47.009050050235423</v>
      </c>
      <c r="CA92" s="1565">
        <f>IF(ISERROR(MATCH($B92,'A1.3.2'!$B$27:$B$106,0)),"",(VLOOKUP($B92,'Forecast occupancies'!$C$28:$CP$64,77,TRUE) * VLOOKUP($B92,'A1.3.2'!$B$27:$AY$106,49,)) * $CR$5)</f>
        <v>22.586151999429479</v>
      </c>
      <c r="CB92" s="1565">
        <f>IF(ISERROR(MATCH($B92,'A1.3.2'!$B$27:$B$106,0)),"",(VLOOKUP($B92,'Forecast occupancies'!$C$28:$CP$64,78,TRUE) * VLOOKUP($B92,'A1.3.2'!$B$27:$AY$106,50,)) * $CR$5)</f>
        <v>158.85071034176735</v>
      </c>
      <c r="CC92" s="1567">
        <f>IF(ISERROR(MATCH($B92,'A1.3.2'!$B$27:$B$106,0)),"",SUM(BZ92:CB92))</f>
        <v>228.44591239143227</v>
      </c>
      <c r="CD92" s="1565">
        <f>IF(ISERROR(MATCH($B92,'A1.3.2'!$B$27:$B$106,0)),"",(((VLOOKUP($B92,'Forecast occupancies'!$C$28:$CP$64,80,TRUE)-1)*VLOOKUP($B92,'A1.3.2'!$B$27:$AY$106,36,)+VLOOKUP($B92,'A1.3.2'!$B$27:$AY$106,35,))*$CR$5))</f>
        <v>63.002031879302422</v>
      </c>
      <c r="CE92" s="1565">
        <f>IF(ISERROR(MATCH($B92,'A1.3.2'!$B$27:$B$106,0)),"",VLOOKUP($B92,'Forecast occupancies'!$C$28:$CP$64,81,TRUE)*VLOOKUP($B92,'A1.3.2'!$B$27:$AY$106,49,)*$CR$5)</f>
        <v>34.989646430613362</v>
      </c>
      <c r="CF92" s="1565">
        <f>IF(ISERROR(MATCH($B92,'A1.3.2'!$B$27:$B$106,0)),"",VLOOKUP($B92,'Forecast occupancies'!$C$28:$CP$64,82,TRUE)*VLOOKUP($B92,'A1.3.2'!$B$27:$AY$106,50,)*$CR$5)</f>
        <v>26.58225719752728</v>
      </c>
      <c r="CG92" s="1566">
        <f>IF(ISERROR(MATCH($B92,'A1.3.2'!$B$27:$B$106,0)),"",(((CD92*'VoT5'!$J$28)+(CE92*'VoT5'!$J$29)+(CF92*'VoT5'!$J$30))/100))</f>
        <v>33.117132202459409</v>
      </c>
      <c r="CH92" s="1565">
        <f>IF(ISERROR(MATCH($B92,'A1.3.2'!$B$27:$B$106,0)),"",(VLOOKUP($B92,'Forecast occupancies'!$C$28:$CP$64,84,TRUE) * VLOOKUP($B92, 'A1.3.2'!$B$27:$AY$106,37,)) * $CR$5)</f>
        <v>44.851960130481615</v>
      </c>
      <c r="CI92" s="1565">
        <f>IF(ISERROR(MATCH($B92,'A1.3.2'!$B$27:$B$106,0)),"",(VLOOKUP($B92,'Forecast occupancies'!$C$28:$CP$64,85,TRUE) * (VLOOKUP($B92,'A1.3.2'!$B$27:$AY$106,49,)*'VoT5'!$J$29 + VLOOKUP($B92,'A1.3.2'!$B$27:$AY$106,50,)*'VoT5'!$J$30) / (SUM('VoT5'!$J$29:$J$30))) * $CR$5)</f>
        <v>29.816373992547643</v>
      </c>
      <c r="CJ92" s="1566">
        <f>IF(ISERROR(MATCH($B92,'A1.3.2'!$B$27:$B$106,0)),"",(CH92*'VoT5'!$J$31 + CI92*'VoT5'!$J$32)/100)</f>
        <v>43.047689793929543</v>
      </c>
      <c r="CK92" s="1566">
        <f>IF(ISERROR(MATCH($B92,'A1.3.2'!$B$27:$B$106,0)),"",(VLOOKUP($B92,'Forecast occupancies'!$C$28:$CP$64,87,TRUE)*VLOOKUP($B92,'A1.3.2'!$B$27:$AY$106,38,)) * $CR$5)</f>
        <v>44.038672273177347</v>
      </c>
      <c r="CL92" s="1566">
        <f>IF(ISERROR(MATCH($B92,'A1.3.2'!$B$27:$B$106,0)),"",(VLOOKUP($B92,'Forecast occupancies'!$C$28:$CP$64,88,TRUE)*VLOOKUP($B92,'A1.3.2'!$B$27:$AY$106,38,)) * $CR$5)</f>
        <v>44.038672273177347</v>
      </c>
      <c r="CM92" s="1565">
        <f>IF(ISERROR(MATCH($B92,'A1.3.2'!$B$27:$B$106,0)),"",(((VLOOKUP($B92,'Forecast occupancies'!$C$28:$CP$64,89,TRUE) -1) * VLOOKUP($B92,'A1.3.2'!$B$27:$AY$106,40,)) + VLOOKUP($B92,'A1.3.2'!$B$27:$AY$106,39,)) * $CR$5)</f>
        <v>50.478842453804816</v>
      </c>
      <c r="CN92" s="1565">
        <f>IF(ISERROR(MATCH($B92,'A1.3.2'!$B$27:$B$106,0)),"",(VLOOKUP($B92,'Forecast occupancies'!$C$28:$CP$64,90,TRUE) * VLOOKUP($B92,'A1.3.2'!$B$27:$AY$106,49,)) * $CR$5)</f>
        <v>50.472659208350279</v>
      </c>
      <c r="CO92" s="1565">
        <f>IF(ISERROR(MATCH($B92,'A1.3.2'!$B$27:$B$106,0)),"",(VLOOKUP($B92,'Forecast occupancies'!$C$28:$CP$64,91,TRUE) * VLOOKUP($B92,'A1.3.2'!$B$27:$AY$106,50,)) * $CR$5)</f>
        <v>144.54996237744439</v>
      </c>
      <c r="CP92" s="1567">
        <f>IF(ISERROR(MATCH($B92,'A1.3.2'!$B$27:$B$106,0)),"",SUM(CM92:CO92))</f>
        <v>245.50146403959948</v>
      </c>
    </row>
    <row r="93" spans="1:94" ht="13.5" customHeight="1">
      <c r="A93" s="113"/>
      <c r="B93" s="82">
        <f t="shared" si="0"/>
        <v>2075</v>
      </c>
      <c r="C93" s="26"/>
      <c r="D93" s="1609">
        <f>IF(ISERROR(MATCH($B93,'A1.3.2'!$B$27:$B$106,0)),"",(((VLOOKUP($B93,'Forecast occupancies'!$C$28:$CP$64,2,TRUE) -1) * VLOOKUP($B93,'A1.3.2'!$B$27:$AY$106,36,) + VLOOKUP($B93,'A1.3.2'!$B$27:$AY$106,35,)) * $CR$5))</f>
        <v>62.662833393470287</v>
      </c>
      <c r="E93" s="1565">
        <f>IF(ISERROR(MATCH($B93,'A1.3.2'!$B$27:$B$106,0)),"",VLOOKUP($B93,'Forecast occupancies'!$C$28:$CP$64,3,TRUE)*VLOOKUP($B93,'A1.3.2'!$B$27:$AY$106,49,)*$CR$5)</f>
        <v>35.313697414262172</v>
      </c>
      <c r="F93" s="1565">
        <f>IF(ISERROR(MATCH($B93,'A1.3.2'!$B$27:$B$106,0)),"",VLOOKUP($B93,'Forecast occupancies'!$C$28:$CP$64,4,TRUE)*VLOOKUP($B93,'A1.3.2'!$B$27:$AY$106,50,)*$CR$5)</f>
        <v>24.363715353725205</v>
      </c>
      <c r="G93" s="1566">
        <f>IF(ISERROR(MATCH($B93,'A1.3.2'!$B$27:$B$106,0)),"",(((D93*'VoT5'!$D$28)+(E93*'VoT5'!$D$29)+(F93*'VoT5'!$D$30))/100))</f>
        <v>35.492537238060905</v>
      </c>
      <c r="H93" s="1565">
        <f>IF(ISERROR(MATCH($B93,'A1.3.2'!$B$27:$B$106,0)),"",(VLOOKUP($B93,'Forecast occupancies'!$C$28:$CP$64,6,TRUE) * VLOOKUP($B93, 'A1.3.2'!$B$27:$AY$106,37,)) * $CR$5)</f>
        <v>45.794567955378497</v>
      </c>
      <c r="I93" s="1565">
        <f>IF(ISERROR(MATCH($B93,'A1.3.2'!$B$27:$B$106,0)),"",VLOOKUP($B93,'Forecast occupancies'!$C$28:$CP$64,7,TRUE) * ('VoT5'!$J$29*VLOOKUP($B93, 'A1.3.2'!$B$27:$AY$106,49,)+'VoT5'!$J$30*VLOOKUP($B93, 'A1.3.2'!$B$27:$AY$106,50,))/('VoT5'!$J$29+'VoT5'!$J$30) * $CR$5)</f>
        <v>27.95394441858317</v>
      </c>
      <c r="J93" s="1566">
        <f>IF(ISERROR(MATCH($B93,'A1.3.2'!$B$27:$B$106,0)),"",(H93*'VoT5'!$D$31 + I93*'VoT5'!$D$32)/100)</f>
        <v>43.653693130963056</v>
      </c>
      <c r="K93" s="1566">
        <f>IF(ISERROR(MATCH($B93,'A1.3.2'!$B$27:$B$106,0)),"",(VLOOKUP($B93,'Forecast occupancies'!$C$28:$CP$64,9,TRUE)*VLOOKUP($B93,'A1.3.2'!$B$27:$AY$106,38,)) * $CR$5)</f>
        <v>44.964188058039447</v>
      </c>
      <c r="L93" s="1566">
        <f>IF(ISERROR(MATCH($B93,'A1.3.2'!$B$27:$B$106,0)),"",(VLOOKUP($B93,'Forecast occupancies'!$C$28:$CP$64,10,TRUE)*VLOOKUP($B93,'A1.3.2'!$B$27:$AY$106,38,)) * $CR$5)</f>
        <v>44.964188058039447</v>
      </c>
      <c r="M93" s="1565">
        <f>IF(ISERROR(MATCH($B93,'A1.3.2'!$B$27:$B$106,0)),"",(((VLOOKUP($B93,'Forecast occupancies'!$C$28:$CP$64,11,TRUE) -1) * VLOOKUP($B93,'A1.3.2'!$B$27:$AY$106,40,)) + VLOOKUP($B93,'A1.3.2'!$B$27:$AY$106,39,)) * $CR$5)</f>
        <v>51.237098819045059</v>
      </c>
      <c r="N93" s="1565">
        <f>IF(ISERROR(MATCH($B93,'A1.3.2'!$B$27:$B$106,0)),"",(VLOOKUP($B93,'Forecast occupancies'!$C$28:$CP$64,12,TRUE) * VLOOKUP($B93,'A1.3.2'!$B$27:$AY$106,49,)) * $CR$5)</f>
        <v>70.139755645130037</v>
      </c>
      <c r="O93" s="1565">
        <f>IF(ISERROR(MATCH($B93,'A1.3.2'!$B$27:$B$106,0)),"",(VLOOKUP($B93,'Forecast occupancies'!$C$28:$CP$64,13,TRUE) * VLOOKUP($B93,'A1.3.2'!$B$27:$AY$106,50,)) * $CR$5)</f>
        <v>139.23245922854605</v>
      </c>
      <c r="P93" s="1567">
        <f>IF(ISERROR(MATCH($B93,'A1.3.2'!$B$27:$B$106,0)),"",SUM(M93:O93))</f>
        <v>260.60931369272112</v>
      </c>
      <c r="Q93" s="1609">
        <f>IF(ISERROR(MATCH($B93,'A1.3.2'!$B$27:$B$106,0)),"",(((VLOOKUP($B93,'Forecast occupancies'!$C$28:$CP$64,15,TRUE)-1)*VLOOKUP($B93,'A1.3.2'!$B$27:$AY$106,36,)+VLOOKUP($B93,'A1.3.2'!$B$27:$AY$106,35,))*$CR$5))</f>
        <v>64.212022199892445</v>
      </c>
      <c r="R93" s="1565">
        <f>IF(ISERROR(MATCH($B93,'A1.3.2'!$B$27:$B$106,0)),"",VLOOKUP($B93,'Forecast occupancies'!$C$28:$CP$64,16,TRUE)*VLOOKUP($B93,'A1.3.2'!$B$27:$AY$106,49,)*$CR$5)</f>
        <v>35.887901427231455</v>
      </c>
      <c r="S93" s="1565">
        <f>IF(ISERROR(MATCH($B93,'A1.3.2'!$B$27:$B$106,0)),"",VLOOKUP($B93,'Forecast occupancies'!$C$28:$CP$64,17,TRUE)*VLOOKUP($B93,'A1.3.2'!$B$27:$AY$106,50,)*$CR$5)</f>
        <v>25.953112051092663</v>
      </c>
      <c r="T93" s="1566">
        <f>IF(ISERROR(MATCH($B93,'A1.3.2'!$B$27:$B$106,0)),"",(((Q93*'VoT5'!$E$28)+(R93*'VoT5'!$E$29)+(S93*'VoT5'!$E$30))/100))</f>
        <v>33.427213483242632</v>
      </c>
      <c r="U93" s="1565">
        <f>IF(ISERROR(MATCH($B93,'A1.3.2'!$B$27:$B$106,0)),"",(VLOOKUP($B93,'Forecast occupancies'!$C$28:$CP$64,19,TRUE) * VLOOKUP($B93, 'A1.3.2'!$B$27:$AY$106,37,)) * $CR$5)</f>
        <v>45.794567955378497</v>
      </c>
      <c r="V93" s="1565">
        <f>IF(ISERROR(MATCH($B93,'A1.3.2'!$B$27:$B$106,0)),"",VLOOKUP($B93,'Forecast occupancies'!$C$28:$CP$64,20,TRUE) * ('VoT5'!$J$29*VLOOKUP($B93, 'A1.3.2'!$B$27:$AY$106,49,)+'VoT5'!$J$30*VLOOKUP($B93, 'A1.3.2'!$B$27:$AY$106,50,))/('VoT5'!$J$29+'VoT5'!$J$30) * $CR$5)</f>
        <v>27.95394441858317</v>
      </c>
      <c r="W93" s="1566">
        <f>IF(ISERROR(MATCH($B93,'A1.3.2'!$B$27:$B$106,0)),"",(U93*'VoT5'!$E$31 + V93*'VoT5'!$E$32)/100)</f>
        <v>43.653693130963056</v>
      </c>
      <c r="X93" s="1566">
        <f>IF(ISERROR(MATCH($B93,'A1.3.2'!$B$27:$B$106,0)),"",(VLOOKUP($B93,'Forecast occupancies'!$C$28:$CP$64,22,TRUE)*VLOOKUP($B93,'A1.3.2'!$B$27:$AY$106,38,)) * $CR$5)</f>
        <v>44.964188058039447</v>
      </c>
      <c r="Y93" s="1566">
        <f>IF(ISERROR(MATCH($B93,'A1.3.2'!$B$27:$B$106,0)),"",(VLOOKUP($B93,'Forecast occupancies'!$C$28:$CP$64,23,TRUE)*VLOOKUP($B93,'A1.3.2'!$B$27:$AY$106,38,)) * $CR$5)</f>
        <v>44.964188058039447</v>
      </c>
      <c r="Z93" s="1565">
        <f>IF(ISERROR(MATCH($B93,'A1.3.2'!$B$27:$B$106,0)),"",(((VLOOKUP($B93,'Forecast occupancies'!$C$28:$CP$64,24,TRUE) -1) * VLOOKUP($B93,'A1.3.2'!$B$27:$AY$106,40,)) + VLOOKUP($B93,'A1.3.2'!$B$27:$AY$106,39,)) * $CR$5)</f>
        <v>52.282893569858125</v>
      </c>
      <c r="AA93" s="1565">
        <f>IF(ISERROR(MATCH($B93,'A1.3.2'!$B$27:$B$106,0)),"",(VLOOKUP($B93,'Forecast occupancies'!$C$28:$CP$64,25,TRUE) * VLOOKUP($B93,'A1.3.2'!$B$27:$AY$106,49,)) * $CR$5)</f>
        <v>24.58175240063985</v>
      </c>
      <c r="AB93" s="1565">
        <f>IF(ISERROR(MATCH($B93,'A1.3.2'!$B$27:$B$106,0)),"",(VLOOKUP($B93,'Forecast occupancies'!$C$28:$CP$64,26,TRUE) * VLOOKUP($B93,'A1.3.2'!$B$27:$AY$106,50,)) * $CR$5)</f>
        <v>159.55254514665987</v>
      </c>
      <c r="AC93" s="1567">
        <f>IF(ISERROR(MATCH($B93,'A1.3.2'!$B$27:$B$106,0)),"",SUM(Z93:AB93))</f>
        <v>236.41719111715784</v>
      </c>
      <c r="AD93" s="1609">
        <f>IF(ISERROR(MATCH($B93,'A1.3.2'!$B$27:$B$106,0)),"",(((VLOOKUP($B93,'Forecast occupancies'!$C$28:$CP$64,28,TRUE)-1)*VLOOKUP($B93,'A1.3.2'!$B$27:$AY$106,36,)+VLOOKUP($B93,'A1.3.2'!$B$27:$AY$106,35,))*$CR$5))</f>
        <v>63.567153679540652</v>
      </c>
      <c r="AE93" s="1565">
        <f>IF(ISERROR(MATCH($B93,'A1.3.2'!$B$27:$B$106,0)),"",VLOOKUP($B93,'Forecast occupancies'!$C$28:$CP$64,29,TRUE)*VLOOKUP($B93,'A1.3.2'!$B$27:$AY$106,49,)*$CR$5)</f>
        <v>35.435506963894625</v>
      </c>
      <c r="AF93" s="1565">
        <f>IF(ISERROR(MATCH($B93,'A1.3.2'!$B$27:$B$106,0)),"",VLOOKUP($B93,'Forecast occupancies'!$C$28:$CP$64,30,TRUE)*VLOOKUP($B93,'A1.3.2'!$B$27:$AY$106,50,)*$CR$5)</f>
        <v>25.513869781266031</v>
      </c>
      <c r="AG93" s="1566">
        <f>IF(ISERROR(MATCH($B93,'A1.3.2'!$B$27:$B$106,0)),"",(((AD93*'VoT5'!$F$28)+(AE93*'VoT5'!$F$29)+(AF93*'VoT5'!$F$30))/100))</f>
        <v>34.101042042948173</v>
      </c>
      <c r="AH93" s="1565">
        <f>IF(ISERROR(MATCH($B93,'A1.3.2'!$B$27:$B$106,0)),"",(VLOOKUP($B93,'Forecast occupancies'!$C$28:$CP$64,32,TRUE) * VLOOKUP($B93, 'A1.3.2'!$B$27:$AY$106,37,)) * $CR$5)</f>
        <v>45.794567955378497</v>
      </c>
      <c r="AI93" s="1565">
        <f>IF(ISERROR(MATCH($B93,'A1.3.2'!$B$27:$B$106,0)),"",VLOOKUP($B93,'Forecast occupancies'!$C$28:$CP$64,33,TRUE) * ('VoT5'!$J$29*VLOOKUP($B93, 'A1.3.2'!$B$27:$AY$106,49,)+'VoT5'!$J$30*VLOOKUP($B93, 'A1.3.2'!$B$27:$AY$106,50,))/('VoT5'!$J$29+'VoT5'!$J$30) * $CR$5)</f>
        <v>27.95394441858317</v>
      </c>
      <c r="AJ93" s="1566">
        <f>IF(ISERROR(MATCH($B93,'A1.3.2'!$B$27:$B$106,0)),"",(AH93*'VoT5'!$F$31 + AI93*'VoT5'!$F$32)/100)</f>
        <v>43.653693130963056</v>
      </c>
      <c r="AK93" s="1566">
        <f>IF(ISERROR(MATCH($B93,'A1.3.2'!$B$27:$B$106,0)),"",(VLOOKUP($B93,'Forecast occupancies'!$C$28:$CP$64,35,TRUE)*VLOOKUP($B93,'A1.3.2'!$B$27:$AY$106,38,)) * $CR$5)</f>
        <v>44.964188058039447</v>
      </c>
      <c r="AL93" s="1566">
        <f>IF(ISERROR(MATCH($B93,'A1.3.2'!$B$27:$B$106,0)),"",(VLOOKUP($B93,'Forecast occupancies'!$C$28:$CP$64,36,TRUE)*VLOOKUP($B93,'A1.3.2'!$B$27:$AY$106,38,)) * $CR$5)</f>
        <v>44.964188058039447</v>
      </c>
      <c r="AM93" s="1565">
        <f>IF(ISERROR(MATCH($B93,'A1.3.2'!$B$27:$B$106,0)),"",(((VLOOKUP($B93,'Forecast occupancies'!$C$28:$CP$64,37,TRUE) -1) * VLOOKUP($B93,'A1.3.2'!$B$27:$AY$106,40,)) + VLOOKUP($B93,'A1.3.2'!$B$27:$AY$106,39,)) * $CR$5)</f>
        <v>54.702915936929386</v>
      </c>
      <c r="AN93" s="1565">
        <f>IF(ISERROR(MATCH($B93,'A1.3.2'!$B$27:$B$106,0)),"",(VLOOKUP($B93,'Forecast occupancies'!$C$28:$CP$64,38,TRUE) * VLOOKUP($B93,'A1.3.2'!$B$27:$AY$106,49,)) * $CR$5)</f>
        <v>98.642976376288445</v>
      </c>
      <c r="AO93" s="1565">
        <f>IF(ISERROR(MATCH($B93,'A1.3.2'!$B$27:$B$106,0)),"",(VLOOKUP($B93,'Forecast occupancies'!$C$28:$CP$64,39,TRUE) * VLOOKUP($B93,'A1.3.2'!$B$27:$AY$106,50,)) * $CR$5)</f>
        <v>124.65202630367305</v>
      </c>
      <c r="AP93" s="1567">
        <f>IF(ISERROR(MATCH($B93,'A1.3.2'!$B$27:$B$106,0)),"",SUM(AM93:AO93))</f>
        <v>277.9979186168909</v>
      </c>
      <c r="AQ93" s="1609">
        <f>IF(ISERROR(MATCH($B93,'A1.3.2'!$B$27:$B$106,0)),"",(((VLOOKUP($B93,'Forecast occupancies'!$C$28:$CP$64,41,TRUE)-1)*VLOOKUP($B93,'A1.3.2'!$B$27:$AY$106,36,)+VLOOKUP($B93,'A1.3.2'!$B$27:$AY$106,35,))*$CR$5))</f>
        <v>64.769883776092186</v>
      </c>
      <c r="AR93" s="1565">
        <f>IF(ISERROR(MATCH($B93,'A1.3.2'!$B$27:$B$106,0)),"",VLOOKUP($B93,'Forecast occupancies'!$C$28:$CP$64,42,TRUE)*VLOOKUP($B93,'A1.3.2'!$B$27:$AY$106,49,)*$CR$5)</f>
        <v>35.954139356697929</v>
      </c>
      <c r="AS93" s="1565">
        <f>IF(ISERROR(MATCH($B93,'A1.3.2'!$B$27:$B$106,0)),"",VLOOKUP($B93,'Forecast occupancies'!$C$28:$CP$64,43,TRUE)*VLOOKUP($B93,'A1.3.2'!$B$27:$AY$106,50,)*$CR$5)</f>
        <v>25.42277967145716</v>
      </c>
      <c r="AT93" s="1566">
        <f>IF(ISERROR(MATCH($B93,'A1.3.2'!$B$27:$B$106,0)),"",(((AQ93*'VoT5'!$G$28)+(AR93*'VoT5'!$G$29)+(AS93*'VoT5'!$G$30))/100))</f>
        <v>34.54929341552463</v>
      </c>
      <c r="AU93" s="1565">
        <f>IF(ISERROR(MATCH($B93,'A1.3.2'!$B$27:$B$106,0)),"",(VLOOKUP($B93,'Forecast occupancies'!$C$28:$CP$64,45,TRUE) * VLOOKUP($B93, 'A1.3.2'!$B$27:$AY$106,37,)) * $CR$5)</f>
        <v>45.794567955378497</v>
      </c>
      <c r="AV93" s="1565">
        <f>IF(ISERROR(MATCH($B93,'A1.3.2'!$B$27:$B$106,0)),"",VLOOKUP($B93,'Forecast occupancies'!$C$28:$CP$64,46,TRUE) * ('VoT5'!$J$29*VLOOKUP($B93, 'A1.3.2'!$B$27:$AY$106,49,)+'VoT5'!$J$30*VLOOKUP($B93, 'A1.3.2'!$B$27:$AY$106,50,))/('VoT5'!$J$29+'VoT5'!$J$30) * $CR$5)</f>
        <v>27.95394441858317</v>
      </c>
      <c r="AW93" s="1566">
        <f>IF(ISERROR(MATCH($B93,'A1.3.2'!$B$27:$B$106,0)),"",(AU93*'VoT5'!$G$31 + AV93*'VoT5'!$G$32)/100)</f>
        <v>43.653693130963056</v>
      </c>
      <c r="AX93" s="1566">
        <f>IF(ISERROR(MATCH($B93,'A1.3.2'!$B$27:$B$106,0)),"",(VLOOKUP($B93,'Forecast occupancies'!$C$28:$CP$64,48,TRUE)*VLOOKUP($B93,'A1.3.2'!$B$27:$AY$106,38,)) * $CR$5)</f>
        <v>44.964188058039447</v>
      </c>
      <c r="AY93" s="1566">
        <f>IF(ISERROR(MATCH($B93,'A1.3.2'!$B$27:$B$106,0)),"",(VLOOKUP($B93,'Forecast occupancies'!$C$28:$CP$64,49,TRUE)*VLOOKUP($B93,'A1.3.2'!$B$27:$AY$106,38,)) * $CR$5)</f>
        <v>44.964188058039447</v>
      </c>
      <c r="AZ93" s="1565">
        <f>IF(ISERROR(MATCH($B93,'A1.3.2'!$B$27:$B$106,0)),"",(((VLOOKUP($B93,'Forecast occupancies'!$C$28:$CP$64,50,TRUE) -1) * VLOOKUP($B93,'A1.3.2'!$B$27:$AY$106,40,)) + VLOOKUP($B93,'A1.3.2'!$B$27:$AY$106,39,)) * $CR$5)</f>
        <v>54.658679157437007</v>
      </c>
      <c r="BA93" s="1565">
        <f>IF(ISERROR(MATCH($B93,'A1.3.2'!$B$27:$B$106,0)),"",(VLOOKUP($B93,'Forecast occupancies'!$C$28:$CP$64,51,TRUE) * VLOOKUP($B93,'A1.3.2'!$B$27:$AY$106,49,)) * $CR$5)</f>
        <v>134.84249846061937</v>
      </c>
      <c r="BB93" s="1565">
        <f>IF(ISERROR(MATCH($B93,'A1.3.2'!$B$27:$B$106,0)),"",(VLOOKUP($B93,'Forecast occupancies'!$C$28:$CP$64,52,TRUE) * VLOOKUP($B93,'A1.3.2'!$B$27:$AY$106,50,)) * $CR$5)</f>
        <v>108.14952617160952</v>
      </c>
      <c r="BC93" s="1567">
        <f>IF(ISERROR(MATCH($B93,'A1.3.2'!$B$27:$B$106,0)),"",SUM(AZ93:BB93))</f>
        <v>297.6507037896659</v>
      </c>
      <c r="BD93" s="1565">
        <f>IF(ISERROR(MATCH($B93,'A1.3.2'!$B$27:$B$106,0)),"",(((VLOOKUP($B93,'Forecast occupancies'!$C$28:$CP$64,54,TRUE)-1)*VLOOKUP($B93,'A1.3.2'!$B$27:$AY$106,36,)+VLOOKUP($B93,'A1.3.2'!$B$27:$AY$106,35,))*$CR$5))</f>
        <v>63.680258068264891</v>
      </c>
      <c r="BE93" s="1565">
        <f>IF(ISERROR(MATCH($B93,'A1.3.2'!$B$27:$B$106,0)),"",VLOOKUP($B93,'Forecast occupancies'!$C$28:$CP$64,55,TRUE)*VLOOKUP($B93,'A1.3.2'!$B$27:$AY$106,49,)*$CR$5)</f>
        <v>35.555987982703492</v>
      </c>
      <c r="BF93" s="1565">
        <f>IF(ISERROR(MATCH($B93,'A1.3.2'!$B$27:$B$106,0)),"",VLOOKUP($B93,'Forecast occupancies'!$C$28:$CP$64,56,TRUE)*VLOOKUP($B93,'A1.3.2'!$B$27:$AY$106,50,)*$CR$5)</f>
        <v>25.485946374533661</v>
      </c>
      <c r="BG93" s="1566">
        <f>IF(ISERROR(MATCH($B93,'A1.3.2'!$B$27:$B$106,0)),"",(((BD93*'VoT5'!$H$28)+(BE93*'VoT5'!$H$29)+(BF93*'VoT5'!$H$30))/100))</f>
        <v>34.30048230884622</v>
      </c>
      <c r="BH93" s="1565">
        <f>IF(ISERROR(MATCH($B93,'A1.3.2'!$B$27:$B$106,0)),"",(VLOOKUP($B93,'Forecast occupancies'!$C$28:$CP$64,58,TRUE) * VLOOKUP($B93, 'A1.3.2'!$B$27:$AY$106,37,)) * $CR$5)</f>
        <v>45.794567955378497</v>
      </c>
      <c r="BI93" s="1565">
        <f>IF(ISERROR(MATCH($B93,'A1.3.2'!$B$27:$B$106,0)),"",(VLOOKUP($B93,'Forecast occupancies'!$C$28:$CP$64,59,TRUE) * (VLOOKUP($B93,'A1.3.2'!$B$27:$AY$106,49,) * 'VoT5'!$J$29 + VLOOKUP($B93,'A1.3.2'!$B$27:$AY$106,50,) * 'VoT5'!$J$30) / (SUM('VoT5'!$J$29:$J$30))) * $CR$5)</f>
        <v>27.95394441858317</v>
      </c>
      <c r="BJ93" s="1566">
        <f>IF(ISERROR(MATCH($B93,'A1.3.2'!$B$27:$B$106,0)),"",(BH93*'VoT5'!$H$31 + BI93*'VoT5'!$H$32)/100)</f>
        <v>43.653693130963056</v>
      </c>
      <c r="BK93" s="1566">
        <f>IF(ISERROR(MATCH($B93,'A1.3.2'!$B$27:$B$106,0)),"",(VLOOKUP($B93,'Forecast occupancies'!$C$28:$CP$64,61,TRUE)*VLOOKUP($B93,'A1.3.2'!$B$27:$AY$106,38,)) * $CR$5)</f>
        <v>44.964188058039447</v>
      </c>
      <c r="BL93" s="1566">
        <f>IF(ISERROR(MATCH($B93,'A1.3.2'!$B$27:$B$106,0)),"",(VLOOKUP($B93,'Forecast occupancies'!$C$28:$CP$64,62,TRUE)*VLOOKUP($B93,'A1.3.2'!$B$27:$AY$106,38,)) * $CR$5)</f>
        <v>44.964188058039447</v>
      </c>
      <c r="BM93" s="1565">
        <f>IF(ISERROR(MATCH($B93,'A1.3.2'!$B$27:$B$106,0)),"",(((VLOOKUP($B93,'Forecast occupancies'!$C$28:$CP$64,63,TRUE) -1) * VLOOKUP($B93,'A1.3.2'!$B$27:$AY$106,40,)) + VLOOKUP($B93,'A1.3.2'!$B$27:$AY$106,39,)) * $CR$5)</f>
        <v>52.701420785643499</v>
      </c>
      <c r="BN93" s="1565">
        <f>IF(ISERROR(MATCH($B93,'A1.3.2'!$B$27:$B$106,0)),"",(VLOOKUP($B93,'Forecast occupancies'!$C$28:$CP$64,64,TRUE) * VLOOKUP($B93,'A1.3.2'!$B$27:$AY$106,49,)) * $CR$5)</f>
        <v>60.872421245664803</v>
      </c>
      <c r="BO93" s="1565">
        <f>IF(ISERROR(MATCH($B93,'A1.3.2'!$B$27:$B$106,0)),"",(VLOOKUP($B93,'Forecast occupancies'!$C$28:$CP$64,65,TRUE) * VLOOKUP($B93,'A1.3.2'!$B$27:$AY$106,50,)) * $CR$5)</f>
        <v>142.79871835113551</v>
      </c>
      <c r="BP93" s="1567">
        <f>IF(ISERROR(MATCH($B93,'A1.3.2'!$B$27:$B$106,0)),"",SUM(BM93:BO93))</f>
        <v>256.37256038244379</v>
      </c>
      <c r="BQ93" s="1565">
        <f>IF(ISERROR(MATCH($B93,'A1.3.2'!$B$27:$B$106,0)),"",(((VLOOKUP($B93,'Forecast occupancies'!$C$28:$CP$64,67,TRUE)-1)*VLOOKUP($B93,'A1.3.2'!$B$27:$AY$106,36,)+VLOOKUP($B93,'A1.3.2'!$B$27:$AY$106,35,))*$CR$5))</f>
        <v>72.778563223159239</v>
      </c>
      <c r="BR93" s="1565">
        <f>IF(ISERROR(MATCH($B93,'A1.3.2'!$B$27:$B$106,0)),"",VLOOKUP($B93,'Forecast occupancies'!$C$28:$CP$64,68,TRUE)*VLOOKUP($B93,'A1.3.2'!$B$27:$AY$106,49,)*$CR$5)</f>
        <v>37.644970976611539</v>
      </c>
      <c r="BS93" s="1565">
        <f>IF(ISERROR(MATCH($B93,'A1.3.2'!$B$27:$B$106,0)),"",VLOOKUP($B93,'Forecast occupancies'!$C$28:$CP$64,69,TRUE)*VLOOKUP($B93,'A1.3.2'!$B$27:$AY$106,50,)*$CR$5)</f>
        <v>30.175974877893672</v>
      </c>
      <c r="BT93" s="1566">
        <f>IF(ISERROR(MATCH($B93,'A1.3.2'!$B$27:$B$106,0)),"",(((BQ93*'VoT5'!$I$28)+(BR93*'VoT5'!$I$29)+(BS93*'VoT5'!$I$30))/100))</f>
        <v>32.24493218822122</v>
      </c>
      <c r="BU93" s="1565">
        <f>IF(ISERROR(MATCH($B93,'A1.3.2'!$B$27:$B$106,0)),"",(VLOOKUP($B93,'Forecast occupancies'!$C$28:$CP$64,71,TRUE) * VLOOKUP($B93, 'A1.3.2'!$B$27:$AY$106,37,)) * $CR$5)</f>
        <v>48.084296353147423</v>
      </c>
      <c r="BV93" s="1565">
        <f>IF(ISERROR(MATCH($B93,'A1.3.2'!$B$27:$B$106,0)),"",(VLOOKUP($B93,'Forecast occupancies'!$C$28:$CP$64,72,TRUE) * (VLOOKUP($B93,'A1.3.2'!$B$27:$AY$106,49,)*'VoT5'!$J$29 + VLOOKUP($B93,'A1.3.2'!$B$27:$AY$106,50,)*'VoT5'!$J$30) / (SUM('VoT5'!$J$29:$J$30))) * $CR$5)</f>
        <v>38.8674706641944</v>
      </c>
      <c r="BW93" s="1566">
        <f>IF(ISERROR(MATCH($B93,'A1.3.2'!$B$27:$B$106,0)),"",(BU93*'VoT5'!$I$31 + BV93*'VoT5'!$I$32)/100)</f>
        <v>46.978277270473065</v>
      </c>
      <c r="BX93" s="1566">
        <f>IF(ISERROR(MATCH($B93,'A1.3.2'!$B$27:$B$106,0)),"",(VLOOKUP($B93,'Forecast occupancies'!$C$28:$CP$64,74,TRUE)*VLOOKUP($B93,'A1.3.2'!$B$27:$AY$106,38,)) * $CR$5)</f>
        <v>44.964188058039447</v>
      </c>
      <c r="BY93" s="1566">
        <f>IF(ISERROR(MATCH($B93,'A1.3.2'!$B$27:$B$106,0)),"",(VLOOKUP($B93,'Forecast occupancies'!$C$28:$CP$64,75,TRUE)*VLOOKUP($B93,'A1.3.2'!$B$27:$AY$106,38,)) * $CR$5)</f>
        <v>44.964188058039447</v>
      </c>
      <c r="BZ93" s="1565">
        <f>IF(ISERROR(MATCH($B93,'A1.3.2'!$B$27:$B$106,0)),"",(((VLOOKUP($B93,'Forecast occupancies'!$C$28:$CP$64,76,TRUE) -1) * VLOOKUP($B93,'A1.3.2'!$B$27:$AY$106,40,)) + VLOOKUP($B93,'A1.3.2'!$B$27:$AY$106,39,)) * $CR$5)</f>
        <v>47.996991230273323</v>
      </c>
      <c r="CA93" s="1565">
        <f>IF(ISERROR(MATCH($B93,'A1.3.2'!$B$27:$B$106,0)),"",(VLOOKUP($B93,'Forecast occupancies'!$C$28:$CP$64,77,TRUE) * VLOOKUP($B93,'A1.3.2'!$B$27:$AY$106,49,)) * $CR$5)</f>
        <v>23.060822081785673</v>
      </c>
      <c r="CB93" s="1565">
        <f>IF(ISERROR(MATCH($B93,'A1.3.2'!$B$27:$B$106,0)),"",(VLOOKUP($B93,'Forecast occupancies'!$C$28:$CP$64,78,TRUE) * VLOOKUP($B93,'A1.3.2'!$B$27:$AY$106,50,)) * $CR$5)</f>
        <v>162.18911343770733</v>
      </c>
      <c r="CC93" s="1567">
        <f>IF(ISERROR(MATCH($B93,'A1.3.2'!$B$27:$B$106,0)),"",SUM(BZ93:CB93))</f>
        <v>233.24692674976632</v>
      </c>
      <c r="CD93" s="1565">
        <f>IF(ISERROR(MATCH($B93,'A1.3.2'!$B$27:$B$106,0)),"",(((VLOOKUP($B93,'Forecast occupancies'!$C$28:$CP$64,80,TRUE)-1)*VLOOKUP($B93,'A1.3.2'!$B$27:$AY$106,36,)+VLOOKUP($B93,'A1.3.2'!$B$27:$AY$106,35,))*$CR$5))</f>
        <v>64.326081219867888</v>
      </c>
      <c r="CE93" s="1565">
        <f>IF(ISERROR(MATCH($B93,'A1.3.2'!$B$27:$B$106,0)),"",VLOOKUP($B93,'Forecast occupancies'!$C$28:$CP$64,81,TRUE)*VLOOKUP($B93,'A1.3.2'!$B$27:$AY$106,49,)*$CR$5)</f>
        <v>35.7249880839084</v>
      </c>
      <c r="CF93" s="1565">
        <f>IF(ISERROR(MATCH($B93,'A1.3.2'!$B$27:$B$106,0)),"",VLOOKUP($B93,'Forecast occupancies'!$C$28:$CP$64,82,TRUE)*VLOOKUP($B93,'A1.3.2'!$B$27:$AY$106,50,)*$CR$5)</f>
        <v>27.140909340374918</v>
      </c>
      <c r="CG93" s="1566">
        <f>IF(ISERROR(MATCH($B93,'A1.3.2'!$B$27:$B$106,0)),"",(((CD93*'VoT5'!$J$28)+(CE93*'VoT5'!$J$29)+(CF93*'VoT5'!$J$30))/100))</f>
        <v>33.813121137198692</v>
      </c>
      <c r="CH93" s="1565">
        <f>IF(ISERROR(MATCH($B93,'A1.3.2'!$B$27:$B$106,0)),"",(VLOOKUP($B93,'Forecast occupancies'!$C$28:$CP$64,84,TRUE) * VLOOKUP($B93, 'A1.3.2'!$B$27:$AY$106,37,)) * $CR$5)</f>
        <v>45.794567955378497</v>
      </c>
      <c r="CI93" s="1565">
        <f>IF(ISERROR(MATCH($B93,'A1.3.2'!$B$27:$B$106,0)),"",(VLOOKUP($B93,'Forecast occupancies'!$C$28:$CP$64,85,TRUE) * (VLOOKUP($B93,'A1.3.2'!$B$27:$AY$106,49,)*'VoT5'!$J$29 + VLOOKUP($B93,'A1.3.2'!$B$27:$AY$106,50,)*'VoT5'!$J$30) / (SUM('VoT5'!$J$29:$J$30))) * $CR$5)</f>
        <v>30.442994264073452</v>
      </c>
      <c r="CJ93" s="1566">
        <f>IF(ISERROR(MATCH($B93,'A1.3.2'!$B$27:$B$106,0)),"",(CH93*'VoT5'!$J$31 + CI93*'VoT5'!$J$32)/100)</f>
        <v>43.952379112421895</v>
      </c>
      <c r="CK93" s="1566">
        <f>IF(ISERROR(MATCH($B93,'A1.3.2'!$B$27:$B$106,0)),"",(VLOOKUP($B93,'Forecast occupancies'!$C$28:$CP$64,87,TRUE)*VLOOKUP($B93,'A1.3.2'!$B$27:$AY$106,38,)) * $CR$5)</f>
        <v>44.964188058039447</v>
      </c>
      <c r="CL93" s="1566">
        <f>IF(ISERROR(MATCH($B93,'A1.3.2'!$B$27:$B$106,0)),"",(VLOOKUP($B93,'Forecast occupancies'!$C$28:$CP$64,88,TRUE)*VLOOKUP($B93,'A1.3.2'!$B$27:$AY$106,38,)) * $CR$5)</f>
        <v>44.964188058039447</v>
      </c>
      <c r="CM93" s="1565">
        <f>IF(ISERROR(MATCH($B93,'A1.3.2'!$B$27:$B$106,0)),"",(((VLOOKUP($B93,'Forecast occupancies'!$C$28:$CP$64,89,TRUE) -1) * VLOOKUP($B93,'A1.3.2'!$B$27:$AY$106,40,)) + VLOOKUP($B93,'A1.3.2'!$B$27:$AY$106,39,)) * $CR$5)</f>
        <v>51.53970471601744</v>
      </c>
      <c r="CN93" s="1565">
        <f>IF(ISERROR(MATCH($B93,'A1.3.2'!$B$27:$B$106,0)),"",(VLOOKUP($B93,'Forecast occupancies'!$C$28:$CP$64,90,TRUE) * VLOOKUP($B93,'A1.3.2'!$B$27:$AY$106,49,)) * $CR$5)</f>
        <v>51.533391523610049</v>
      </c>
      <c r="CO93" s="1565">
        <f>IF(ISERROR(MATCH($B93,'A1.3.2'!$B$27:$B$106,0)),"",(VLOOKUP($B93,'Forecast occupancies'!$C$28:$CP$64,91,TRUE) * VLOOKUP($B93,'A1.3.2'!$B$27:$AY$106,50,)) * $CR$5)</f>
        <v>147.58782126319082</v>
      </c>
      <c r="CP93" s="1567">
        <f>IF(ISERROR(MATCH($B93,'A1.3.2'!$B$27:$B$106,0)),"",SUM(CM93:CO93))</f>
        <v>250.66091750281831</v>
      </c>
    </row>
    <row r="94" spans="1:94" ht="13.5" customHeight="1">
      <c r="A94" s="113"/>
      <c r="B94" s="82">
        <f t="shared" ref="B94:B107" si="1">B93+1</f>
        <v>2076</v>
      </c>
      <c r="C94" s="26"/>
      <c r="D94" s="1609">
        <f>IF(ISERROR(MATCH($B94,'A1.3.2'!$B$27:$B$106,0)),"",(((VLOOKUP($B94,'Forecast occupancies'!$C$28:$CP$64,2,TRUE) -1) * VLOOKUP($B94,'A1.3.2'!$B$27:$AY$106,36,) + VLOOKUP($B94,'A1.3.2'!$B$27:$AY$106,35,)) * $CR$5))</f>
        <v>63.979367830139815</v>
      </c>
      <c r="E94" s="1565">
        <f>IF(ISERROR(MATCH($B94,'A1.3.2'!$B$27:$B$106,0)),"",VLOOKUP($B94,'Forecast occupancies'!$C$28:$CP$64,3,TRUE)*VLOOKUP($B94,'A1.3.2'!$B$27:$AY$106,49,)*$CR$5)</f>
        <v>36.055631607375894</v>
      </c>
      <c r="F94" s="1565">
        <f>IF(ISERROR(MATCH($B94,'A1.3.2'!$B$27:$B$106,0)),"",VLOOKUP($B94,'Forecast occupancies'!$C$28:$CP$64,4,TRUE)*VLOOKUP($B94,'A1.3.2'!$B$27:$AY$106,50,)*$CR$5)</f>
        <v>24.875592467021132</v>
      </c>
      <c r="G94" s="1566">
        <f>IF(ISERROR(MATCH($B94,'A1.3.2'!$B$27:$B$106,0)),"",(((D94*'VoT5'!$D$28)+(E94*'VoT5'!$D$29)+(F94*'VoT5'!$D$30))/100))</f>
        <v>36.238228822501</v>
      </c>
      <c r="H94" s="1565">
        <f>IF(ISERROR(MATCH($B94,'A1.3.2'!$B$27:$B$106,0)),"",(VLOOKUP($B94,'Forecast occupancies'!$C$28:$CP$64,6,TRUE) * VLOOKUP($B94, 'A1.3.2'!$B$27:$AY$106,37,)) * $CR$5)</f>
        <v>46.756703282823501</v>
      </c>
      <c r="I94" s="1565">
        <f>IF(ISERROR(MATCH($B94,'A1.3.2'!$B$27:$B$106,0)),"",VLOOKUP($B94,'Forecast occupancies'!$C$28:$CP$64,7,TRUE) * ('VoT5'!$J$29*VLOOKUP($B94, 'A1.3.2'!$B$27:$AY$106,49,)+'VoT5'!$J$30*VLOOKUP($B94, 'A1.3.2'!$B$27:$AY$106,50,))/('VoT5'!$J$29+'VoT5'!$J$30) * $CR$5)</f>
        <v>28.541251574592582</v>
      </c>
      <c r="J94" s="1566">
        <f>IF(ISERROR(MATCH($B94,'A1.3.2'!$B$27:$B$106,0)),"",(H94*'VoT5'!$D$31 + I94*'VoT5'!$D$32)/100)</f>
        <v>44.570849077835788</v>
      </c>
      <c r="K94" s="1566">
        <f>IF(ISERROR(MATCH($B94,'A1.3.2'!$B$27:$B$106,0)),"",(VLOOKUP($B94,'Forecast occupancies'!$C$28:$CP$64,9,TRUE)*VLOOKUP($B94,'A1.3.2'!$B$27:$AY$106,38,)) * $CR$5)</f>
        <v>45.90887725879081</v>
      </c>
      <c r="L94" s="1566">
        <f>IF(ISERROR(MATCH($B94,'A1.3.2'!$B$27:$B$106,0)),"",(VLOOKUP($B94,'Forecast occupancies'!$C$28:$CP$64,10,TRUE)*VLOOKUP($B94,'A1.3.2'!$B$27:$AY$106,38,)) * $CR$5)</f>
        <v>45.90887725879081</v>
      </c>
      <c r="M94" s="1565">
        <f>IF(ISERROR(MATCH($B94,'A1.3.2'!$B$27:$B$106,0)),"",(((VLOOKUP($B94,'Forecast occupancies'!$C$28:$CP$64,11,TRUE) -1) * VLOOKUP($B94,'A1.3.2'!$B$27:$AY$106,40,)) + VLOOKUP($B94,'A1.3.2'!$B$27:$AY$106,39,)) * $CR$5)</f>
        <v>52.313580704355751</v>
      </c>
      <c r="N94" s="1565">
        <f>IF(ISERROR(MATCH($B94,'A1.3.2'!$B$27:$B$106,0)),"",(VLOOKUP($B94,'Forecast occupancies'!$C$28:$CP$64,12,TRUE) * VLOOKUP($B94,'A1.3.2'!$B$27:$AY$106,49,)) * $CR$5)</f>
        <v>71.61337882310815</v>
      </c>
      <c r="O94" s="1565">
        <f>IF(ISERROR(MATCH($B94,'A1.3.2'!$B$27:$B$106,0)),"",(VLOOKUP($B94,'Forecast occupancies'!$C$28:$CP$64,13,TRUE) * VLOOKUP($B94,'A1.3.2'!$B$27:$AY$106,50,)) * $CR$5)</f>
        <v>142.15770721606631</v>
      </c>
      <c r="P94" s="1567">
        <f>IF(ISERROR(MATCH($B94,'A1.3.2'!$B$27:$B$106,0)),"",SUM(M94:O94))</f>
        <v>266.08466674353019</v>
      </c>
      <c r="Q94" s="1609">
        <f>IF(ISERROR(MATCH($B94,'A1.3.2'!$B$27:$B$106,0)),"",(((VLOOKUP($B94,'Forecast occupancies'!$C$28:$CP$64,15,TRUE)-1)*VLOOKUP($B94,'A1.3.2'!$B$27:$AY$106,36,)+VLOOKUP($B94,'A1.3.2'!$B$27:$AY$106,35,))*$CR$5))</f>
        <v>65.561104804305216</v>
      </c>
      <c r="R94" s="1565">
        <f>IF(ISERROR(MATCH($B94,'A1.3.2'!$B$27:$B$106,0)),"",VLOOKUP($B94,'Forecast occupancies'!$C$28:$CP$64,16,TRUE)*VLOOKUP($B94,'A1.3.2'!$B$27:$AY$106,49,)*$CR$5)</f>
        <v>36.641899539510803</v>
      </c>
      <c r="S94" s="1565">
        <f>IF(ISERROR(MATCH($B94,'A1.3.2'!$B$27:$B$106,0)),"",VLOOKUP($B94,'Forecast occupancies'!$C$28:$CP$64,17,TRUE)*VLOOKUP($B94,'A1.3.2'!$B$27:$AY$106,50,)*$CR$5)</f>
        <v>26.498382092417778</v>
      </c>
      <c r="T94" s="1566">
        <f>IF(ISERROR(MATCH($B94,'A1.3.2'!$B$27:$B$106,0)),"",(((Q94*'VoT5'!$E$28)+(R94*'VoT5'!$E$29)+(S94*'VoT5'!$E$30))/100))</f>
        <v>34.129513000984815</v>
      </c>
      <c r="U94" s="1565">
        <f>IF(ISERROR(MATCH($B94,'A1.3.2'!$B$27:$B$106,0)),"",(VLOOKUP($B94,'Forecast occupancies'!$C$28:$CP$64,19,TRUE) * VLOOKUP($B94, 'A1.3.2'!$B$27:$AY$106,37,)) * $CR$5)</f>
        <v>46.756703282823501</v>
      </c>
      <c r="V94" s="1565">
        <f>IF(ISERROR(MATCH($B94,'A1.3.2'!$B$27:$B$106,0)),"",VLOOKUP($B94,'Forecast occupancies'!$C$28:$CP$64,20,TRUE) * ('VoT5'!$J$29*VLOOKUP($B94, 'A1.3.2'!$B$27:$AY$106,49,)+'VoT5'!$J$30*VLOOKUP($B94, 'A1.3.2'!$B$27:$AY$106,50,))/('VoT5'!$J$29+'VoT5'!$J$30) * $CR$5)</f>
        <v>28.541251574592582</v>
      </c>
      <c r="W94" s="1566">
        <f>IF(ISERROR(MATCH($B94,'A1.3.2'!$B$27:$B$106,0)),"",(U94*'VoT5'!$E$31 + V94*'VoT5'!$E$32)/100)</f>
        <v>44.570849077835788</v>
      </c>
      <c r="X94" s="1566">
        <f>IF(ISERROR(MATCH($B94,'A1.3.2'!$B$27:$B$106,0)),"",(VLOOKUP($B94,'Forecast occupancies'!$C$28:$CP$64,22,TRUE)*VLOOKUP($B94,'A1.3.2'!$B$27:$AY$106,38,)) * $CR$5)</f>
        <v>45.90887725879081</v>
      </c>
      <c r="Y94" s="1566">
        <f>IF(ISERROR(MATCH($B94,'A1.3.2'!$B$27:$B$106,0)),"",(VLOOKUP($B94,'Forecast occupancies'!$C$28:$CP$64,23,TRUE)*VLOOKUP($B94,'A1.3.2'!$B$27:$AY$106,38,)) * $CR$5)</f>
        <v>45.90887725879081</v>
      </c>
      <c r="Z94" s="1565">
        <f>IF(ISERROR(MATCH($B94,'A1.3.2'!$B$27:$B$106,0)),"",(((VLOOKUP($B94,'Forecast occupancies'!$C$28:$CP$64,24,TRUE) -1) * VLOOKUP($B94,'A1.3.2'!$B$27:$AY$106,40,)) + VLOOKUP($B94,'A1.3.2'!$B$27:$AY$106,39,)) * $CR$5)</f>
        <v>53.38134740773738</v>
      </c>
      <c r="AA94" s="1565">
        <f>IF(ISERROR(MATCH($B94,'A1.3.2'!$B$27:$B$106,0)),"",(VLOOKUP($B94,'Forecast occupancies'!$C$28:$CP$64,25,TRUE) * VLOOKUP($B94,'A1.3.2'!$B$27:$AY$106,49,)) * $CR$5)</f>
        <v>25.098210431605594</v>
      </c>
      <c r="AB94" s="1565">
        <f>IF(ISERROR(MATCH($B94,'A1.3.2'!$B$27:$B$106,0)),"",(VLOOKUP($B94,'Forecast occupancies'!$C$28:$CP$64,26,TRUE) * VLOOKUP($B94,'A1.3.2'!$B$27:$AY$106,50,)) * $CR$5)</f>
        <v>162.90471434757785</v>
      </c>
      <c r="AC94" s="1567">
        <f>IF(ISERROR(MATCH($B94,'A1.3.2'!$B$27:$B$106,0)),"",SUM(Z94:AB94))</f>
        <v>241.38427218692084</v>
      </c>
      <c r="AD94" s="1609">
        <f>IF(ISERROR(MATCH($B94,'A1.3.2'!$B$27:$B$106,0)),"",(((VLOOKUP($B94,'Forecast occupancies'!$C$28:$CP$64,28,TRUE)-1)*VLOOKUP($B94,'A1.3.2'!$B$27:$AY$106,36,)+VLOOKUP($B94,'A1.3.2'!$B$27:$AY$106,35,))*$CR$5))</f>
        <v>64.902687716673739</v>
      </c>
      <c r="AE94" s="1565">
        <f>IF(ISERROR(MATCH($B94,'A1.3.2'!$B$27:$B$106,0)),"",VLOOKUP($B94,'Forecast occupancies'!$C$28:$CP$64,29,TRUE)*VLOOKUP($B94,'A1.3.2'!$B$27:$AY$106,49,)*$CR$5)</f>
        <v>36.180000352916373</v>
      </c>
      <c r="AF94" s="1565">
        <f>IF(ISERROR(MATCH($B94,'A1.3.2'!$B$27:$B$106,0)),"",VLOOKUP($B94,'Forecast occupancies'!$C$28:$CP$64,30,TRUE)*VLOOKUP($B94,'A1.3.2'!$B$27:$AY$106,50,)*$CR$5)</f>
        <v>26.049911424464995</v>
      </c>
      <c r="AG94" s="1566">
        <f>IF(ISERROR(MATCH($B94,'A1.3.2'!$B$27:$B$106,0)),"",(((AD94*'VoT5'!$F$28)+(AE94*'VoT5'!$F$29)+(AF94*'VoT5'!$F$30))/100))</f>
        <v>34.817498572992896</v>
      </c>
      <c r="AH94" s="1565">
        <f>IF(ISERROR(MATCH($B94,'A1.3.2'!$B$27:$B$106,0)),"",(VLOOKUP($B94,'Forecast occupancies'!$C$28:$CP$64,32,TRUE) * VLOOKUP($B94, 'A1.3.2'!$B$27:$AY$106,37,)) * $CR$5)</f>
        <v>46.756703282823501</v>
      </c>
      <c r="AI94" s="1565">
        <f>IF(ISERROR(MATCH($B94,'A1.3.2'!$B$27:$B$106,0)),"",VLOOKUP($B94,'Forecast occupancies'!$C$28:$CP$64,33,TRUE) * ('VoT5'!$J$29*VLOOKUP($B94, 'A1.3.2'!$B$27:$AY$106,49,)+'VoT5'!$J$30*VLOOKUP($B94, 'A1.3.2'!$B$27:$AY$106,50,))/('VoT5'!$J$29+'VoT5'!$J$30) * $CR$5)</f>
        <v>28.541251574592582</v>
      </c>
      <c r="AJ94" s="1566">
        <f>IF(ISERROR(MATCH($B94,'A1.3.2'!$B$27:$B$106,0)),"",(AH94*'VoT5'!$F$31 + AI94*'VoT5'!$F$32)/100)</f>
        <v>44.570849077835788</v>
      </c>
      <c r="AK94" s="1566">
        <f>IF(ISERROR(MATCH($B94,'A1.3.2'!$B$27:$B$106,0)),"",(VLOOKUP($B94,'Forecast occupancies'!$C$28:$CP$64,35,TRUE)*VLOOKUP($B94,'A1.3.2'!$B$27:$AY$106,38,)) * $CR$5)</f>
        <v>45.90887725879081</v>
      </c>
      <c r="AL94" s="1566">
        <f>IF(ISERROR(MATCH($B94,'A1.3.2'!$B$27:$B$106,0)),"",(VLOOKUP($B94,'Forecast occupancies'!$C$28:$CP$64,36,TRUE)*VLOOKUP($B94,'A1.3.2'!$B$27:$AY$106,38,)) * $CR$5)</f>
        <v>45.90887725879081</v>
      </c>
      <c r="AM94" s="1565">
        <f>IF(ISERROR(MATCH($B94,'A1.3.2'!$B$27:$B$106,0)),"",(((VLOOKUP($B94,'Forecast occupancies'!$C$28:$CP$64,37,TRUE) -1) * VLOOKUP($B94,'A1.3.2'!$B$27:$AY$106,40,)) + VLOOKUP($B94,'A1.3.2'!$B$27:$AY$106,39,)) * $CR$5)</f>
        <v>55.852213993162998</v>
      </c>
      <c r="AN94" s="1565">
        <f>IF(ISERROR(MATCH($B94,'A1.3.2'!$B$27:$B$106,0)),"",(VLOOKUP($B94,'Forecast occupancies'!$C$28:$CP$64,38,TRUE) * VLOOKUP($B94,'A1.3.2'!$B$27:$AY$106,49,)) * $CR$5)</f>
        <v>100.71544690310785</v>
      </c>
      <c r="AO94" s="1565">
        <f>IF(ISERROR(MATCH($B94,'A1.3.2'!$B$27:$B$106,0)),"",(VLOOKUP($B94,'Forecast occupancies'!$C$28:$CP$64,39,TRUE) * VLOOKUP($B94,'A1.3.2'!$B$27:$AY$106,50,)) * $CR$5)</f>
        <v>127.27094211616041</v>
      </c>
      <c r="AP94" s="1567">
        <f>IF(ISERROR(MATCH($B94,'A1.3.2'!$B$27:$B$106,0)),"",SUM(AM94:AO94))</f>
        <v>283.83860301243124</v>
      </c>
      <c r="AQ94" s="1609">
        <f>IF(ISERROR(MATCH($B94,'A1.3.2'!$B$27:$B$106,0)),"",(((VLOOKUP($B94,'Forecast occupancies'!$C$28:$CP$64,41,TRUE)-1)*VLOOKUP($B94,'A1.3.2'!$B$27:$AY$106,36,)+VLOOKUP($B94,'A1.3.2'!$B$27:$AY$106,35,))*$CR$5))</f>
        <v>66.130686948123568</v>
      </c>
      <c r="AR94" s="1565">
        <f>IF(ISERROR(MATCH($B94,'A1.3.2'!$B$27:$B$106,0)),"",VLOOKUP($B94,'Forecast occupancies'!$C$28:$CP$64,42,TRUE)*VLOOKUP($B94,'A1.3.2'!$B$27:$AY$106,49,)*$CR$5)</f>
        <v>36.709529115515323</v>
      </c>
      <c r="AS94" s="1565">
        <f>IF(ISERROR(MATCH($B94,'A1.3.2'!$B$27:$B$106,0)),"",VLOOKUP($B94,'Forecast occupancies'!$C$28:$CP$64,43,TRUE)*VLOOKUP($B94,'A1.3.2'!$B$27:$AY$106,50,)*$CR$5)</f>
        <v>25.956907528446514</v>
      </c>
      <c r="AT94" s="1566">
        <f>IF(ISERROR(MATCH($B94,'A1.3.2'!$B$27:$B$106,0)),"",(((AQ94*'VoT5'!$G$28)+(AR94*'VoT5'!$G$29)+(AS94*'VoT5'!$G$30))/100))</f>
        <v>35.275167623263179</v>
      </c>
      <c r="AU94" s="1565">
        <f>IF(ISERROR(MATCH($B94,'A1.3.2'!$B$27:$B$106,0)),"",(VLOOKUP($B94,'Forecast occupancies'!$C$28:$CP$64,45,TRUE) * VLOOKUP($B94, 'A1.3.2'!$B$27:$AY$106,37,)) * $CR$5)</f>
        <v>46.756703282823501</v>
      </c>
      <c r="AV94" s="1565">
        <f>IF(ISERROR(MATCH($B94,'A1.3.2'!$B$27:$B$106,0)),"",VLOOKUP($B94,'Forecast occupancies'!$C$28:$CP$64,46,TRUE) * ('VoT5'!$J$29*VLOOKUP($B94, 'A1.3.2'!$B$27:$AY$106,49,)+'VoT5'!$J$30*VLOOKUP($B94, 'A1.3.2'!$B$27:$AY$106,50,))/('VoT5'!$J$29+'VoT5'!$J$30) * $CR$5)</f>
        <v>28.541251574592582</v>
      </c>
      <c r="AW94" s="1566">
        <f>IF(ISERROR(MATCH($B94,'A1.3.2'!$B$27:$B$106,0)),"",(AU94*'VoT5'!$G$31 + AV94*'VoT5'!$G$32)/100)</f>
        <v>44.570849077835788</v>
      </c>
      <c r="AX94" s="1566">
        <f>IF(ISERROR(MATCH($B94,'A1.3.2'!$B$27:$B$106,0)),"",(VLOOKUP($B94,'Forecast occupancies'!$C$28:$CP$64,48,TRUE)*VLOOKUP($B94,'A1.3.2'!$B$27:$AY$106,38,)) * $CR$5)</f>
        <v>45.90887725879081</v>
      </c>
      <c r="AY94" s="1566">
        <f>IF(ISERROR(MATCH($B94,'A1.3.2'!$B$27:$B$106,0)),"",(VLOOKUP($B94,'Forecast occupancies'!$C$28:$CP$64,49,TRUE)*VLOOKUP($B94,'A1.3.2'!$B$27:$AY$106,38,)) * $CR$5)</f>
        <v>45.90887725879081</v>
      </c>
      <c r="AZ94" s="1565">
        <f>IF(ISERROR(MATCH($B94,'A1.3.2'!$B$27:$B$106,0)),"",(((VLOOKUP($B94,'Forecast occupancies'!$C$28:$CP$64,50,TRUE) -1) * VLOOKUP($B94,'A1.3.2'!$B$27:$AY$106,40,)) + VLOOKUP($B94,'A1.3.2'!$B$27:$AY$106,39,)) * $CR$5)</f>
        <v>55.807047807188098</v>
      </c>
      <c r="BA94" s="1565">
        <f>IF(ISERROR(MATCH($B94,'A1.3.2'!$B$27:$B$106,0)),"",(VLOOKUP($B94,'Forecast occupancies'!$C$28:$CP$64,51,TRUE) * VLOOKUP($B94,'A1.3.2'!$B$27:$AY$106,49,)) * $CR$5)</f>
        <v>137.67551419157516</v>
      </c>
      <c r="BB94" s="1565">
        <f>IF(ISERROR(MATCH($B94,'A1.3.2'!$B$27:$B$106,0)),"",(VLOOKUP($B94,'Forecast occupancies'!$C$28:$CP$64,52,TRUE) * VLOOKUP($B94,'A1.3.2'!$B$27:$AY$106,50,)) * $CR$5)</f>
        <v>110.42172753569997</v>
      </c>
      <c r="BC94" s="1567">
        <f>IF(ISERROR(MATCH($B94,'A1.3.2'!$B$27:$B$106,0)),"",SUM(AZ94:BB94))</f>
        <v>303.90428953446326</v>
      </c>
      <c r="BD94" s="1565">
        <f>IF(ISERROR(MATCH($B94,'A1.3.2'!$B$27:$B$106,0)),"",(((VLOOKUP($B94,'Forecast occupancies'!$C$28:$CP$64,54,TRUE)-1)*VLOOKUP($B94,'A1.3.2'!$B$27:$AY$106,36,)+VLOOKUP($B94,'A1.3.2'!$B$27:$AY$106,35,))*$CR$5))</f>
        <v>65.018168407499729</v>
      </c>
      <c r="BE94" s="1565">
        <f>IF(ISERROR(MATCH($B94,'A1.3.2'!$B$27:$B$106,0)),"",VLOOKUP($B94,'Forecast occupancies'!$C$28:$CP$64,55,TRUE)*VLOOKUP($B94,'A1.3.2'!$B$27:$AY$106,49,)*$CR$5)</f>
        <v>36.303012655448576</v>
      </c>
      <c r="BF94" s="1565">
        <f>IF(ISERROR(MATCH($B94,'A1.3.2'!$B$27:$B$106,0)),"",VLOOKUP($B94,'Forecast occupancies'!$C$28:$CP$64,56,TRUE)*VLOOKUP($B94,'A1.3.2'!$B$27:$AY$106,50,)*$CR$5)</f>
        <v>26.021401352167704</v>
      </c>
      <c r="BG94" s="1566">
        <f>IF(ISERROR(MATCH($B94,'A1.3.2'!$B$27:$B$106,0)),"",(((BD94*'VoT5'!$H$28)+(BE94*'VoT5'!$H$29)+(BF94*'VoT5'!$H$30))/100))</f>
        <v>35.02112904166178</v>
      </c>
      <c r="BH94" s="1565">
        <f>IF(ISERROR(MATCH($B94,'A1.3.2'!$B$27:$B$106,0)),"",(VLOOKUP($B94,'Forecast occupancies'!$C$28:$CP$64,58,TRUE) * VLOOKUP($B94, 'A1.3.2'!$B$27:$AY$106,37,)) * $CR$5)</f>
        <v>46.756703282823501</v>
      </c>
      <c r="BI94" s="1565">
        <f>IF(ISERROR(MATCH($B94,'A1.3.2'!$B$27:$B$106,0)),"",(VLOOKUP($B94,'Forecast occupancies'!$C$28:$CP$64,59,TRUE) * (VLOOKUP($B94,'A1.3.2'!$B$27:$AY$106,49,) * 'VoT5'!$J$29 + VLOOKUP($B94,'A1.3.2'!$B$27:$AY$106,50,) * 'VoT5'!$J$30) / (SUM('VoT5'!$J$29:$J$30))) * $CR$5)</f>
        <v>28.541251574592582</v>
      </c>
      <c r="BJ94" s="1566">
        <f>IF(ISERROR(MATCH($B94,'A1.3.2'!$B$27:$B$106,0)),"",(BH94*'VoT5'!$H$31 + BI94*'VoT5'!$H$32)/100)</f>
        <v>44.570849077835788</v>
      </c>
      <c r="BK94" s="1566">
        <f>IF(ISERROR(MATCH($B94,'A1.3.2'!$B$27:$B$106,0)),"",(VLOOKUP($B94,'Forecast occupancies'!$C$28:$CP$64,61,TRUE)*VLOOKUP($B94,'A1.3.2'!$B$27:$AY$106,38,)) * $CR$5)</f>
        <v>45.90887725879081</v>
      </c>
      <c r="BL94" s="1566">
        <f>IF(ISERROR(MATCH($B94,'A1.3.2'!$B$27:$B$106,0)),"",(VLOOKUP($B94,'Forecast occupancies'!$C$28:$CP$64,62,TRUE)*VLOOKUP($B94,'A1.3.2'!$B$27:$AY$106,38,)) * $CR$5)</f>
        <v>45.90887725879081</v>
      </c>
      <c r="BM94" s="1565">
        <f>IF(ISERROR(MATCH($B94,'A1.3.2'!$B$27:$B$106,0)),"",(((VLOOKUP($B94,'Forecast occupancies'!$C$28:$CP$64,63,TRUE) -1) * VLOOKUP($B94,'A1.3.2'!$B$27:$AY$106,40,)) + VLOOKUP($B94,'A1.3.2'!$B$27:$AY$106,39,)) * $CR$5)</f>
        <v>53.808667802228939</v>
      </c>
      <c r="BN94" s="1565">
        <f>IF(ISERROR(MATCH($B94,'A1.3.2'!$B$27:$B$106,0)),"",(VLOOKUP($B94,'Forecast occupancies'!$C$28:$CP$64,64,TRUE) * VLOOKUP($B94,'A1.3.2'!$B$27:$AY$106,49,)) * $CR$5)</f>
        <v>62.151339457201054</v>
      </c>
      <c r="BO94" s="1565">
        <f>IF(ISERROR(MATCH($B94,'A1.3.2'!$B$27:$B$106,0)),"",(VLOOKUP($B94,'Forecast occupancies'!$C$28:$CP$64,65,TRUE) * VLOOKUP($B94,'A1.3.2'!$B$27:$AY$106,50,)) * $CR$5)</f>
        <v>145.79889277735498</v>
      </c>
      <c r="BP94" s="1567">
        <f>IF(ISERROR(MATCH($B94,'A1.3.2'!$B$27:$B$106,0)),"",SUM(BM94:BO94))</f>
        <v>261.75890003678501</v>
      </c>
      <c r="BQ94" s="1565">
        <f>IF(ISERROR(MATCH($B94,'A1.3.2'!$B$27:$B$106,0)),"",(((VLOOKUP($B94,'Forecast occupancies'!$C$28:$CP$64,67,TRUE)-1)*VLOOKUP($B94,'A1.3.2'!$B$27:$AY$106,36,)+VLOOKUP($B94,'A1.3.2'!$B$27:$AY$106,35,))*$CR$5))</f>
        <v>74.307627255948461</v>
      </c>
      <c r="BR94" s="1565">
        <f>IF(ISERROR(MATCH($B94,'A1.3.2'!$B$27:$B$106,0)),"",VLOOKUP($B94,'Forecast occupancies'!$C$28:$CP$64,68,TRUE)*VLOOKUP($B94,'A1.3.2'!$B$27:$AY$106,49,)*$CR$5)</f>
        <v>38.435884792252985</v>
      </c>
      <c r="BS94" s="1565">
        <f>IF(ISERROR(MATCH($B94,'A1.3.2'!$B$27:$B$106,0)),"",VLOOKUP($B94,'Forecast occupancies'!$C$28:$CP$64,69,TRUE)*VLOOKUP($B94,'A1.3.2'!$B$27:$AY$106,50,)*$CR$5)</f>
        <v>30.809966479220805</v>
      </c>
      <c r="BT94" s="1566">
        <f>IF(ISERROR(MATCH($B94,'A1.3.2'!$B$27:$B$106,0)),"",(((BQ94*'VoT5'!$I$28)+(BR94*'VoT5'!$I$29)+(BS94*'VoT5'!$I$30))/100))</f>
        <v>32.922392196569497</v>
      </c>
      <c r="BU94" s="1565">
        <f>IF(ISERROR(MATCH($B94,'A1.3.2'!$B$27:$B$106,0)),"",(VLOOKUP($B94,'Forecast occupancies'!$C$28:$CP$64,71,TRUE) * VLOOKUP($B94, 'A1.3.2'!$B$27:$AY$106,37,)) * $CR$5)</f>
        <v>49.094538446964684</v>
      </c>
      <c r="BV94" s="1565">
        <f>IF(ISERROR(MATCH($B94,'A1.3.2'!$B$27:$B$106,0)),"",(VLOOKUP($B94,'Forecast occupancies'!$C$28:$CP$64,72,TRUE) * (VLOOKUP($B94,'A1.3.2'!$B$27:$AY$106,49,)*'VoT5'!$J$29 + VLOOKUP($B94,'A1.3.2'!$B$27:$AY$106,50,)*'VoT5'!$J$30) / (SUM('VoT5'!$J$29:$J$30))) * $CR$5)</f>
        <v>39.684068970152694</v>
      </c>
      <c r="BW94" s="1566">
        <f>IF(ISERROR(MATCH($B94,'A1.3.2'!$B$27:$B$106,0)),"",(BU94*'VoT5'!$I$31 + BV94*'VoT5'!$I$32)/100)</f>
        <v>47.96528210974725</v>
      </c>
      <c r="BX94" s="1566">
        <f>IF(ISERROR(MATCH($B94,'A1.3.2'!$B$27:$B$106,0)),"",(VLOOKUP($B94,'Forecast occupancies'!$C$28:$CP$64,74,TRUE)*VLOOKUP($B94,'A1.3.2'!$B$27:$AY$106,38,)) * $CR$5)</f>
        <v>45.90887725879081</v>
      </c>
      <c r="BY94" s="1566">
        <f>IF(ISERROR(MATCH($B94,'A1.3.2'!$B$27:$B$106,0)),"",(VLOOKUP($B94,'Forecast occupancies'!$C$28:$CP$64,75,TRUE)*VLOOKUP($B94,'A1.3.2'!$B$27:$AY$106,38,)) * $CR$5)</f>
        <v>45.90887725879081</v>
      </c>
      <c r="BZ94" s="1565">
        <f>IF(ISERROR(MATCH($B94,'A1.3.2'!$B$27:$B$106,0)),"",(((VLOOKUP($B94,'Forecast occupancies'!$C$28:$CP$64,76,TRUE) -1) * VLOOKUP($B94,'A1.3.2'!$B$27:$AY$106,40,)) + VLOOKUP($B94,'A1.3.2'!$B$27:$AY$106,39,)) * $CR$5)</f>
        <v>49.005399059750196</v>
      </c>
      <c r="CA94" s="1565">
        <f>IF(ISERROR(MATCH($B94,'A1.3.2'!$B$27:$B$106,0)),"",(VLOOKUP($B94,'Forecast occupancies'!$C$28:$CP$64,77,TRUE) * VLOOKUP($B94,'A1.3.2'!$B$27:$AY$106,49,)) * $CR$5)</f>
        <v>23.545325650558922</v>
      </c>
      <c r="CB94" s="1565">
        <f>IF(ISERROR(MATCH($B94,'A1.3.2'!$B$27:$B$106,0)),"",(VLOOKUP($B94,'Forecast occupancies'!$C$28:$CP$64,78,TRUE) * VLOOKUP($B94,'A1.3.2'!$B$27:$AY$106,50,)) * $CR$5)</f>
        <v>165.5966764464348</v>
      </c>
      <c r="CC94" s="1567">
        <f>IF(ISERROR(MATCH($B94,'A1.3.2'!$B$27:$B$106,0)),"",SUM(BZ94:CB94))</f>
        <v>238.14740115674391</v>
      </c>
      <c r="CD94" s="1565">
        <f>IF(ISERROR(MATCH($B94,'A1.3.2'!$B$27:$B$106,0)),"",(((VLOOKUP($B94,'Forecast occupancies'!$C$28:$CP$64,80,TRUE)-1)*VLOOKUP($B94,'A1.3.2'!$B$27:$AY$106,36,)+VLOOKUP($B94,'A1.3.2'!$B$27:$AY$106,35,))*$CR$5))</f>
        <v>65.677560183006861</v>
      </c>
      <c r="CE94" s="1565">
        <f>IF(ISERROR(MATCH($B94,'A1.3.2'!$B$27:$B$106,0)),"",VLOOKUP($B94,'Forecast occupancies'!$C$28:$CP$64,81,TRUE)*VLOOKUP($B94,'A1.3.2'!$B$27:$AY$106,49,)*$CR$5)</f>
        <v>36.475563417244267</v>
      </c>
      <c r="CF94" s="1565">
        <f>IF(ISERROR(MATCH($B94,'A1.3.2'!$B$27:$B$106,0)),"",VLOOKUP($B94,'Forecast occupancies'!$C$28:$CP$64,82,TRUE)*VLOOKUP($B94,'A1.3.2'!$B$27:$AY$106,50,)*$CR$5)</f>
        <v>27.711134781104072</v>
      </c>
      <c r="CG94" s="1566">
        <f>IF(ISERROR(MATCH($B94,'A1.3.2'!$B$27:$B$106,0)),"",(((CD94*'VoT5'!$J$28)+(CE94*'VoT5'!$J$29)+(CF94*'VoT5'!$J$30))/100))</f>
        <v>34.523528502739858</v>
      </c>
      <c r="CH94" s="1565">
        <f>IF(ISERROR(MATCH($B94,'A1.3.2'!$B$27:$B$106,0)),"",(VLOOKUP($B94,'Forecast occupancies'!$C$28:$CP$64,84,TRUE) * VLOOKUP($B94, 'A1.3.2'!$B$27:$AY$106,37,)) * $CR$5)</f>
        <v>46.756703282823501</v>
      </c>
      <c r="CI94" s="1565">
        <f>IF(ISERROR(MATCH($B94,'A1.3.2'!$B$27:$B$106,0)),"",(VLOOKUP($B94,'Forecast occupancies'!$C$28:$CP$64,85,TRUE) * (VLOOKUP($B94,'A1.3.2'!$B$27:$AY$106,49,)*'VoT5'!$J$29 + VLOOKUP($B94,'A1.3.2'!$B$27:$AY$106,50,)*'VoT5'!$J$30) / (SUM('VoT5'!$J$29:$J$30))) * $CR$5)</f>
        <v>31.082595892878228</v>
      </c>
      <c r="CJ94" s="1566">
        <f>IF(ISERROR(MATCH($B94,'A1.3.2'!$B$27:$B$106,0)),"",(CH94*'VoT5'!$J$31 + CI94*'VoT5'!$J$32)/100)</f>
        <v>44.875810396030076</v>
      </c>
      <c r="CK94" s="1566">
        <f>IF(ISERROR(MATCH($B94,'A1.3.2'!$B$27:$B$106,0)),"",(VLOOKUP($B94,'Forecast occupancies'!$C$28:$CP$64,87,TRUE)*VLOOKUP($B94,'A1.3.2'!$B$27:$AY$106,38,)) * $CR$5)</f>
        <v>45.90887725879081</v>
      </c>
      <c r="CL94" s="1566">
        <f>IF(ISERROR(MATCH($B94,'A1.3.2'!$B$27:$B$106,0)),"",(VLOOKUP($B94,'Forecast occupancies'!$C$28:$CP$64,88,TRUE)*VLOOKUP($B94,'A1.3.2'!$B$27:$AY$106,38,)) * $CR$5)</f>
        <v>45.90887725879081</v>
      </c>
      <c r="CM94" s="1565">
        <f>IF(ISERROR(MATCH($B94,'A1.3.2'!$B$27:$B$106,0)),"",(((VLOOKUP($B94,'Forecast occupancies'!$C$28:$CP$64,89,TRUE) -1) * VLOOKUP($B94,'A1.3.2'!$B$27:$AY$106,40,)) + VLOOKUP($B94,'A1.3.2'!$B$27:$AY$106,39,)) * $CR$5)</f>
        <v>52.622544294757056</v>
      </c>
      <c r="CN94" s="1565">
        <f>IF(ISERROR(MATCH($B94,'A1.3.2'!$B$27:$B$106,0)),"",(VLOOKUP($B94,'Forecast occupancies'!$C$28:$CP$64,90,TRUE) * VLOOKUP($B94,'A1.3.2'!$B$27:$AY$106,49,)) * $CR$5)</f>
        <v>52.616098463355222</v>
      </c>
      <c r="CO94" s="1565">
        <f>IF(ISERROR(MATCH($B94,'A1.3.2'!$B$27:$B$106,0)),"",(VLOOKUP($B94,'Forecast occupancies'!$C$28:$CP$64,91,TRUE) * VLOOKUP($B94,'A1.3.2'!$B$27:$AY$106,50,)) * $CR$5)</f>
        <v>150.68861384794275</v>
      </c>
      <c r="CP94" s="1567">
        <f>IF(ISERROR(MATCH($B94,'A1.3.2'!$B$27:$B$106,0)),"",SUM(CM94:CO94))</f>
        <v>255.92725660605504</v>
      </c>
    </row>
    <row r="95" spans="1:94" ht="13.5" customHeight="1">
      <c r="A95" s="113"/>
      <c r="B95" s="82">
        <f t="shared" si="1"/>
        <v>2077</v>
      </c>
      <c r="C95" s="26"/>
      <c r="D95" s="1609">
        <f>IF(ISERROR(MATCH($B95,'A1.3.2'!$B$27:$B$106,0)),"",(((VLOOKUP($B95,'Forecast occupancies'!$C$28:$CP$64,2,TRUE) -1) * VLOOKUP($B95,'A1.3.2'!$B$27:$AY$106,36,) + VLOOKUP($B95,'A1.3.2'!$B$27:$AY$106,35,)) * $CR$5))</f>
        <v>65.323578808392625</v>
      </c>
      <c r="E95" s="1565">
        <f>IF(ISERROR(MATCH($B95,'A1.3.2'!$B$27:$B$106,0)),"",VLOOKUP($B95,'Forecast occupancies'!$C$28:$CP$64,3,TRUE)*VLOOKUP($B95,'A1.3.2'!$B$27:$AY$106,49,)*$CR$5)</f>
        <v>36.813162940963743</v>
      </c>
      <c r="F95" s="1565">
        <f>IF(ISERROR(MATCH($B95,'A1.3.2'!$B$27:$B$106,0)),"",VLOOKUP($B95,'Forecast occupancies'!$C$28:$CP$64,4,TRUE)*VLOOKUP($B95,'A1.3.2'!$B$27:$AY$106,50,)*$CR$5)</f>
        <v>25.398230398885172</v>
      </c>
      <c r="G95" s="1566">
        <f>IF(ISERROR(MATCH($B95,'A1.3.2'!$B$27:$B$106,0)),"",(((D95*'VoT5'!$D$28)+(E95*'VoT5'!$D$29)+(F95*'VoT5'!$D$30))/100))</f>
        <v>36.999596536307884</v>
      </c>
      <c r="H95" s="1565">
        <f>IF(ISERROR(MATCH($B95,'A1.3.2'!$B$27:$B$106,0)),"",(VLOOKUP($B95,'Forecast occupancies'!$C$28:$CP$64,6,TRUE) * VLOOKUP($B95, 'A1.3.2'!$B$27:$AY$106,37,)) * $CR$5)</f>
        <v>47.739064878307609</v>
      </c>
      <c r="I95" s="1565">
        <f>IF(ISERROR(MATCH($B95,'A1.3.2'!$B$27:$B$106,0)),"",VLOOKUP($B95,'Forecast occupancies'!$C$28:$CP$64,7,TRUE) * ('VoT5'!$J$29*VLOOKUP($B95, 'A1.3.2'!$B$27:$AY$106,49,)+'VoT5'!$J$30*VLOOKUP($B95, 'A1.3.2'!$B$27:$AY$106,50,))/('VoT5'!$J$29+'VoT5'!$J$30) * $CR$5)</f>
        <v>29.140905259847798</v>
      </c>
      <c r="J95" s="1566">
        <f>IF(ISERROR(MATCH($B95,'A1.3.2'!$B$27:$B$106,0)),"",(H95*'VoT5'!$D$31 + I95*'VoT5'!$D$32)/100)</f>
        <v>45.507285724092426</v>
      </c>
      <c r="K95" s="1566">
        <f>IF(ISERROR(MATCH($B95,'A1.3.2'!$B$27:$B$106,0)),"",(VLOOKUP($B95,'Forecast occupancies'!$C$28:$CP$64,9,TRUE)*VLOOKUP($B95,'A1.3.2'!$B$27:$AY$106,38,)) * $CR$5)</f>
        <v>46.873425970406196</v>
      </c>
      <c r="L95" s="1566">
        <f>IF(ISERROR(MATCH($B95,'A1.3.2'!$B$27:$B$106,0)),"",(VLOOKUP($B95,'Forecast occupancies'!$C$28:$CP$64,10,TRUE)*VLOOKUP($B95,'A1.3.2'!$B$27:$AY$106,38,)) * $CR$5)</f>
        <v>46.873425970406196</v>
      </c>
      <c r="M95" s="1565">
        <f>IF(ISERROR(MATCH($B95,'A1.3.2'!$B$27:$B$106,0)),"",(((VLOOKUP($B95,'Forecast occupancies'!$C$28:$CP$64,11,TRUE) -1) * VLOOKUP($B95,'A1.3.2'!$B$27:$AY$106,40,)) + VLOOKUP($B95,'A1.3.2'!$B$27:$AY$106,39,)) * $CR$5)</f>
        <v>53.412692681848313</v>
      </c>
      <c r="N95" s="1565">
        <f>IF(ISERROR(MATCH($B95,'A1.3.2'!$B$27:$B$106,0)),"",(VLOOKUP($B95,'Forecast occupancies'!$C$28:$CP$64,12,TRUE) * VLOOKUP($B95,'A1.3.2'!$B$27:$AY$106,49,)) * $CR$5)</f>
        <v>73.117980904506823</v>
      </c>
      <c r="O95" s="1565">
        <f>IF(ISERROR(MATCH($B95,'A1.3.2'!$B$27:$B$106,0)),"",(VLOOKUP($B95,'Forecast occupancies'!$C$28:$CP$64,13,TRUE) * VLOOKUP($B95,'A1.3.2'!$B$27:$AY$106,50,)) * $CR$5)</f>
        <v>145.14445055480036</v>
      </c>
      <c r="P95" s="1567">
        <f>IF(ISERROR(MATCH($B95,'A1.3.2'!$B$27:$B$106,0)),"",SUM(M95:O95))</f>
        <v>271.67512414115549</v>
      </c>
      <c r="Q95" s="1609">
        <f>IF(ISERROR(MATCH($B95,'A1.3.2'!$B$27:$B$106,0)),"",(((VLOOKUP($B95,'Forecast occupancies'!$C$28:$CP$64,15,TRUE)-1)*VLOOKUP($B95,'A1.3.2'!$B$27:$AY$106,36,)+VLOOKUP($B95,'A1.3.2'!$B$27:$AY$106,35,))*$CR$5))</f>
        <v>66.938548186651587</v>
      </c>
      <c r="R95" s="1565">
        <f>IF(ISERROR(MATCH($B95,'A1.3.2'!$B$27:$B$106,0)),"",VLOOKUP($B95,'Forecast occupancies'!$C$28:$CP$64,16,TRUE)*VLOOKUP($B95,'A1.3.2'!$B$27:$AY$106,49,)*$CR$5)</f>
        <v>37.411748403222823</v>
      </c>
      <c r="S95" s="1565">
        <f>IF(ISERROR(MATCH($B95,'A1.3.2'!$B$27:$B$106,0)),"",VLOOKUP($B95,'Forecast occupancies'!$C$28:$CP$64,17,TRUE)*VLOOKUP($B95,'A1.3.2'!$B$27:$AY$106,50,)*$CR$5)</f>
        <v>27.055114947439613</v>
      </c>
      <c r="T95" s="1566">
        <f>IF(ISERROR(MATCH($B95,'A1.3.2'!$B$27:$B$106,0)),"",(((Q95*'VoT5'!$E$28)+(R95*'VoT5'!$E$29)+(S95*'VoT5'!$E$30))/100))</f>
        <v>34.846576448378457</v>
      </c>
      <c r="U95" s="1565">
        <f>IF(ISERROR(MATCH($B95,'A1.3.2'!$B$27:$B$106,0)),"",(VLOOKUP($B95,'Forecast occupancies'!$C$28:$CP$64,19,TRUE) * VLOOKUP($B95, 'A1.3.2'!$B$27:$AY$106,37,)) * $CR$5)</f>
        <v>47.739064878307609</v>
      </c>
      <c r="V95" s="1565">
        <f>IF(ISERROR(MATCH($B95,'A1.3.2'!$B$27:$B$106,0)),"",VLOOKUP($B95,'Forecast occupancies'!$C$28:$CP$64,20,TRUE) * ('VoT5'!$J$29*VLOOKUP($B95, 'A1.3.2'!$B$27:$AY$106,49,)+'VoT5'!$J$30*VLOOKUP($B95, 'A1.3.2'!$B$27:$AY$106,50,))/('VoT5'!$J$29+'VoT5'!$J$30) * $CR$5)</f>
        <v>29.140905259847798</v>
      </c>
      <c r="W95" s="1566">
        <f>IF(ISERROR(MATCH($B95,'A1.3.2'!$B$27:$B$106,0)),"",(U95*'VoT5'!$E$31 + V95*'VoT5'!$E$32)/100)</f>
        <v>45.507285724092426</v>
      </c>
      <c r="X95" s="1566">
        <f>IF(ISERROR(MATCH($B95,'A1.3.2'!$B$27:$B$106,0)),"",(VLOOKUP($B95,'Forecast occupancies'!$C$28:$CP$64,22,TRUE)*VLOOKUP($B95,'A1.3.2'!$B$27:$AY$106,38,)) * $CR$5)</f>
        <v>46.873425970406196</v>
      </c>
      <c r="Y95" s="1566">
        <f>IF(ISERROR(MATCH($B95,'A1.3.2'!$B$27:$B$106,0)),"",(VLOOKUP($B95,'Forecast occupancies'!$C$28:$CP$64,23,TRUE)*VLOOKUP($B95,'A1.3.2'!$B$27:$AY$106,38,)) * $CR$5)</f>
        <v>46.873425970406196</v>
      </c>
      <c r="Z95" s="1565">
        <f>IF(ISERROR(MATCH($B95,'A1.3.2'!$B$27:$B$106,0)),"",(((VLOOKUP($B95,'Forecast occupancies'!$C$28:$CP$64,24,TRUE) -1) * VLOOKUP($B95,'A1.3.2'!$B$27:$AY$106,40,)) + VLOOKUP($B95,'A1.3.2'!$B$27:$AY$106,39,)) * $CR$5)</f>
        <v>54.502893238104342</v>
      </c>
      <c r="AA95" s="1565">
        <f>IF(ISERROR(MATCH($B95,'A1.3.2'!$B$27:$B$106,0)),"",(VLOOKUP($B95,'Forecast occupancies'!$C$28:$CP$64,25,TRUE) * VLOOKUP($B95,'A1.3.2'!$B$27:$AY$106,49,)) * $CR$5)</f>
        <v>25.625525582424732</v>
      </c>
      <c r="AB95" s="1565">
        <f>IF(ISERROR(MATCH($B95,'A1.3.2'!$B$27:$B$106,0)),"",(VLOOKUP($B95,'Forecast occupancies'!$C$28:$CP$64,26,TRUE) * VLOOKUP($B95,'A1.3.2'!$B$27:$AY$106,50,)) * $CR$5)</f>
        <v>166.32735375246418</v>
      </c>
      <c r="AC95" s="1567">
        <f>IF(ISERROR(MATCH($B95,'A1.3.2'!$B$27:$B$106,0)),"",SUM(Z95:AB95))</f>
        <v>246.45577257299325</v>
      </c>
      <c r="AD95" s="1609">
        <f>IF(ISERROR(MATCH($B95,'A1.3.2'!$B$27:$B$106,0)),"",(((VLOOKUP($B95,'Forecast occupancies'!$C$28:$CP$64,28,TRUE)-1)*VLOOKUP($B95,'A1.3.2'!$B$27:$AY$106,36,)+VLOOKUP($B95,'A1.3.2'!$B$27:$AY$106,35,))*$CR$5))</f>
        <v>66.266297710109271</v>
      </c>
      <c r="AE95" s="1565">
        <f>IF(ISERROR(MATCH($B95,'A1.3.2'!$B$27:$B$106,0)),"",VLOOKUP($B95,'Forecast occupancies'!$C$28:$CP$64,29,TRUE)*VLOOKUP($B95,'A1.3.2'!$B$27:$AY$106,49,)*$CR$5)</f>
        <v>36.940144682518053</v>
      </c>
      <c r="AF95" s="1565">
        <f>IF(ISERROR(MATCH($B95,'A1.3.2'!$B$27:$B$106,0)),"",VLOOKUP($B95,'Forecast occupancies'!$C$28:$CP$64,30,TRUE)*VLOOKUP($B95,'A1.3.2'!$B$27:$AY$106,50,)*$CR$5)</f>
        <v>26.597221879489268</v>
      </c>
      <c r="AG95" s="1566">
        <f>IF(ISERROR(MATCH($B95,'A1.3.2'!$B$27:$B$106,0)),"",(((AD95*'VoT5'!$F$28)+(AE95*'VoT5'!$F$29)+(AF95*'VoT5'!$F$30))/100))</f>
        <v>35.54901664521541</v>
      </c>
      <c r="AH95" s="1565">
        <f>IF(ISERROR(MATCH($B95,'A1.3.2'!$B$27:$B$106,0)),"",(VLOOKUP($B95,'Forecast occupancies'!$C$28:$CP$64,32,TRUE) * VLOOKUP($B95, 'A1.3.2'!$B$27:$AY$106,37,)) * $CR$5)</f>
        <v>47.739064878307609</v>
      </c>
      <c r="AI95" s="1565">
        <f>IF(ISERROR(MATCH($B95,'A1.3.2'!$B$27:$B$106,0)),"",VLOOKUP($B95,'Forecast occupancies'!$C$28:$CP$64,33,TRUE) * ('VoT5'!$J$29*VLOOKUP($B95, 'A1.3.2'!$B$27:$AY$106,49,)+'VoT5'!$J$30*VLOOKUP($B95, 'A1.3.2'!$B$27:$AY$106,50,))/('VoT5'!$J$29+'VoT5'!$J$30) * $CR$5)</f>
        <v>29.140905259847798</v>
      </c>
      <c r="AJ95" s="1566">
        <f>IF(ISERROR(MATCH($B95,'A1.3.2'!$B$27:$B$106,0)),"",(AH95*'VoT5'!$F$31 + AI95*'VoT5'!$F$32)/100)</f>
        <v>45.507285724092426</v>
      </c>
      <c r="AK95" s="1566">
        <f>IF(ISERROR(MATCH($B95,'A1.3.2'!$B$27:$B$106,0)),"",(VLOOKUP($B95,'Forecast occupancies'!$C$28:$CP$64,35,TRUE)*VLOOKUP($B95,'A1.3.2'!$B$27:$AY$106,38,)) * $CR$5)</f>
        <v>46.873425970406196</v>
      </c>
      <c r="AL95" s="1566">
        <f>IF(ISERROR(MATCH($B95,'A1.3.2'!$B$27:$B$106,0)),"",(VLOOKUP($B95,'Forecast occupancies'!$C$28:$CP$64,36,TRUE)*VLOOKUP($B95,'A1.3.2'!$B$27:$AY$106,38,)) * $CR$5)</f>
        <v>46.873425970406196</v>
      </c>
      <c r="AM95" s="1565">
        <f>IF(ISERROR(MATCH($B95,'A1.3.2'!$B$27:$B$106,0)),"",(((VLOOKUP($B95,'Forecast occupancies'!$C$28:$CP$64,37,TRUE) -1) * VLOOKUP($B95,'A1.3.2'!$B$27:$AY$106,40,)) + VLOOKUP($B95,'A1.3.2'!$B$27:$AY$106,39,)) * $CR$5)</f>
        <v>57.025672902739259</v>
      </c>
      <c r="AN95" s="1565">
        <f>IF(ISERROR(MATCH($B95,'A1.3.2'!$B$27:$B$106,0)),"",(VLOOKUP($B95,'Forecast occupancies'!$C$28:$CP$64,38,TRUE) * VLOOKUP($B95,'A1.3.2'!$B$27:$AY$106,49,)) * $CR$5)</f>
        <v>102.83148546363608</v>
      </c>
      <c r="AO95" s="1565">
        <f>IF(ISERROR(MATCH($B95,'A1.3.2'!$B$27:$B$106,0)),"",(VLOOKUP($B95,'Forecast occupancies'!$C$28:$CP$64,39,TRUE) * VLOOKUP($B95,'A1.3.2'!$B$27:$AY$106,50,)) * $CR$5)</f>
        <v>129.9449134823565</v>
      </c>
      <c r="AP95" s="1567">
        <f>IF(ISERROR(MATCH($B95,'A1.3.2'!$B$27:$B$106,0)),"",SUM(AM95:AO95))</f>
        <v>289.80207184873188</v>
      </c>
      <c r="AQ95" s="1609">
        <f>IF(ISERROR(MATCH($B95,'A1.3.2'!$B$27:$B$106,0)),"",(((VLOOKUP($B95,'Forecast occupancies'!$C$28:$CP$64,41,TRUE)-1)*VLOOKUP($B95,'A1.3.2'!$B$27:$AY$106,36,)+VLOOKUP($B95,'A1.3.2'!$B$27:$AY$106,35,))*$CR$5))</f>
        <v>67.520097291018374</v>
      </c>
      <c r="AR95" s="1565">
        <f>IF(ISERROR(MATCH($B95,'A1.3.2'!$B$27:$B$106,0)),"",VLOOKUP($B95,'Forecast occupancies'!$C$28:$CP$64,42,TRUE)*VLOOKUP($B95,'A1.3.2'!$B$27:$AY$106,49,)*$CR$5)</f>
        <v>37.480798881333811</v>
      </c>
      <c r="AS95" s="1565">
        <f>IF(ISERROR(MATCH($B95,'A1.3.2'!$B$27:$B$106,0)),"",VLOOKUP($B95,'Forecast occupancies'!$C$28:$CP$64,43,TRUE)*VLOOKUP($B95,'A1.3.2'!$B$27:$AY$106,50,)*$CR$5)</f>
        <v>26.502263965131934</v>
      </c>
      <c r="AT95" s="1566">
        <f>IF(ISERROR(MATCH($B95,'A1.3.2'!$B$27:$B$106,0)),"",(((AQ95*'VoT5'!$G$28)+(AR95*'VoT5'!$G$29)+(AS95*'VoT5'!$G$30))/100))</f>
        <v>36.016301354136978</v>
      </c>
      <c r="AU95" s="1565">
        <f>IF(ISERROR(MATCH($B95,'A1.3.2'!$B$27:$B$106,0)),"",(VLOOKUP($B95,'Forecast occupancies'!$C$28:$CP$64,45,TRUE) * VLOOKUP($B95, 'A1.3.2'!$B$27:$AY$106,37,)) * $CR$5)</f>
        <v>47.739064878307609</v>
      </c>
      <c r="AV95" s="1565">
        <f>IF(ISERROR(MATCH($B95,'A1.3.2'!$B$27:$B$106,0)),"",VLOOKUP($B95,'Forecast occupancies'!$C$28:$CP$64,46,TRUE) * ('VoT5'!$J$29*VLOOKUP($B95, 'A1.3.2'!$B$27:$AY$106,49,)+'VoT5'!$J$30*VLOOKUP($B95, 'A1.3.2'!$B$27:$AY$106,50,))/('VoT5'!$J$29+'VoT5'!$J$30) * $CR$5)</f>
        <v>29.140905259847798</v>
      </c>
      <c r="AW95" s="1566">
        <f>IF(ISERROR(MATCH($B95,'A1.3.2'!$B$27:$B$106,0)),"",(AU95*'VoT5'!$G$31 + AV95*'VoT5'!$G$32)/100)</f>
        <v>45.507285724092426</v>
      </c>
      <c r="AX95" s="1566">
        <f>IF(ISERROR(MATCH($B95,'A1.3.2'!$B$27:$B$106,0)),"",(VLOOKUP($B95,'Forecast occupancies'!$C$28:$CP$64,48,TRUE)*VLOOKUP($B95,'A1.3.2'!$B$27:$AY$106,38,)) * $CR$5)</f>
        <v>46.873425970406196</v>
      </c>
      <c r="AY95" s="1566">
        <f>IF(ISERROR(MATCH($B95,'A1.3.2'!$B$27:$B$106,0)),"",(VLOOKUP($B95,'Forecast occupancies'!$C$28:$CP$64,49,TRUE)*VLOOKUP($B95,'A1.3.2'!$B$27:$AY$106,38,)) * $CR$5)</f>
        <v>46.873425970406196</v>
      </c>
      <c r="AZ95" s="1565">
        <f>IF(ISERROR(MATCH($B95,'A1.3.2'!$B$27:$B$106,0)),"",(((VLOOKUP($B95,'Forecast occupancies'!$C$28:$CP$64,50,TRUE) -1) * VLOOKUP($B95,'A1.3.2'!$B$27:$AY$106,40,)) + VLOOKUP($B95,'A1.3.2'!$B$27:$AY$106,39,)) * $CR$5)</f>
        <v>56.979557772048395</v>
      </c>
      <c r="BA95" s="1565">
        <f>IF(ISERROR(MATCH($B95,'A1.3.2'!$B$27:$B$106,0)),"",(VLOOKUP($B95,'Forecast occupancies'!$C$28:$CP$64,51,TRUE) * VLOOKUP($B95,'A1.3.2'!$B$27:$AY$106,49,)) * $CR$5)</f>
        <v>140.56808634240116</v>
      </c>
      <c r="BB95" s="1565">
        <f>IF(ISERROR(MATCH($B95,'A1.3.2'!$B$27:$B$106,0)),"",(VLOOKUP($B95,'Forecast occupancies'!$C$28:$CP$64,52,TRUE) * VLOOKUP($B95,'A1.3.2'!$B$27:$AY$106,50,)) * $CR$5)</f>
        <v>112.74169572896501</v>
      </c>
      <c r="BC95" s="1567">
        <f>IF(ISERROR(MATCH($B95,'A1.3.2'!$B$27:$B$106,0)),"",SUM(AZ95:BB95))</f>
        <v>310.28933984341455</v>
      </c>
      <c r="BD95" s="1565">
        <f>IF(ISERROR(MATCH($B95,'A1.3.2'!$B$27:$B$106,0)),"",(((VLOOKUP($B95,'Forecast occupancies'!$C$28:$CP$64,54,TRUE)-1)*VLOOKUP($B95,'A1.3.2'!$B$27:$AY$106,36,)+VLOOKUP($B95,'A1.3.2'!$B$27:$AY$106,35,))*$CR$5))</f>
        <v>66.384204658299922</v>
      </c>
      <c r="BE95" s="1565">
        <f>IF(ISERROR(MATCH($B95,'A1.3.2'!$B$27:$B$106,0)),"",VLOOKUP($B95,'Forecast occupancies'!$C$28:$CP$64,55,TRUE)*VLOOKUP($B95,'A1.3.2'!$B$27:$AY$106,49,)*$CR$5)</f>
        <v>37.065741482101906</v>
      </c>
      <c r="BF95" s="1565">
        <f>IF(ISERROR(MATCH($B95,'A1.3.2'!$B$27:$B$106,0)),"",VLOOKUP($B95,'Forecast occupancies'!$C$28:$CP$64,56,TRUE)*VLOOKUP($B95,'A1.3.2'!$B$27:$AY$106,50,)*$CR$5)</f>
        <v>26.568112808585511</v>
      </c>
      <c r="BG95" s="1566">
        <f>IF(ISERROR(MATCH($B95,'A1.3.2'!$B$27:$B$106,0)),"",(((BD95*'VoT5'!$H$28)+(BE95*'VoT5'!$H$29)+(BF95*'VoT5'!$H$30))/100))</f>
        <v>35.756925404226543</v>
      </c>
      <c r="BH95" s="1565">
        <f>IF(ISERROR(MATCH($B95,'A1.3.2'!$B$27:$B$106,0)),"",(VLOOKUP($B95,'Forecast occupancies'!$C$28:$CP$64,58,TRUE) * VLOOKUP($B95, 'A1.3.2'!$B$27:$AY$106,37,)) * $CR$5)</f>
        <v>47.739064878307609</v>
      </c>
      <c r="BI95" s="1565">
        <f>IF(ISERROR(MATCH($B95,'A1.3.2'!$B$27:$B$106,0)),"",(VLOOKUP($B95,'Forecast occupancies'!$C$28:$CP$64,59,TRUE) * (VLOOKUP($B95,'A1.3.2'!$B$27:$AY$106,49,) * 'VoT5'!$J$29 + VLOOKUP($B95,'A1.3.2'!$B$27:$AY$106,50,) * 'VoT5'!$J$30) / (SUM('VoT5'!$J$29:$J$30))) * $CR$5)</f>
        <v>29.140905259847798</v>
      </c>
      <c r="BJ95" s="1566">
        <f>IF(ISERROR(MATCH($B95,'A1.3.2'!$B$27:$B$106,0)),"",(BH95*'VoT5'!$H$31 + BI95*'VoT5'!$H$32)/100)</f>
        <v>45.507285724092426</v>
      </c>
      <c r="BK95" s="1566">
        <f>IF(ISERROR(MATCH($B95,'A1.3.2'!$B$27:$B$106,0)),"",(VLOOKUP($B95,'Forecast occupancies'!$C$28:$CP$64,61,TRUE)*VLOOKUP($B95,'A1.3.2'!$B$27:$AY$106,38,)) * $CR$5)</f>
        <v>46.873425970406196</v>
      </c>
      <c r="BL95" s="1566">
        <f>IF(ISERROR(MATCH($B95,'A1.3.2'!$B$27:$B$106,0)),"",(VLOOKUP($B95,'Forecast occupancies'!$C$28:$CP$64,62,TRUE)*VLOOKUP($B95,'A1.3.2'!$B$27:$AY$106,38,)) * $CR$5)</f>
        <v>46.873425970406196</v>
      </c>
      <c r="BM95" s="1565">
        <f>IF(ISERROR(MATCH($B95,'A1.3.2'!$B$27:$B$106,0)),"",(((VLOOKUP($B95,'Forecast occupancies'!$C$28:$CP$64,63,TRUE) -1) * VLOOKUP($B95,'A1.3.2'!$B$27:$AY$106,40,)) + VLOOKUP($B95,'A1.3.2'!$B$27:$AY$106,39,)) * $CR$5)</f>
        <v>54.939191663873615</v>
      </c>
      <c r="BN95" s="1565">
        <f>IF(ISERROR(MATCH($B95,'A1.3.2'!$B$27:$B$106,0)),"",(VLOOKUP($B95,'Forecast occupancies'!$C$28:$CP$64,64,TRUE) * VLOOKUP($B95,'A1.3.2'!$B$27:$AY$106,49,)) * $CR$5)</f>
        <v>63.457143431902566</v>
      </c>
      <c r="BO95" s="1565">
        <f>IF(ISERROR(MATCH($B95,'A1.3.2'!$B$27:$B$106,0)),"",(VLOOKUP($B95,'Forecast occupancies'!$C$28:$CP$64,65,TRUE) * VLOOKUP($B95,'A1.3.2'!$B$27:$AY$106,50,)) * $CR$5)</f>
        <v>148.86213767856671</v>
      </c>
      <c r="BP95" s="1567">
        <f>IF(ISERROR(MATCH($B95,'A1.3.2'!$B$27:$B$106,0)),"",SUM(BM95:BO95))</f>
        <v>267.25847277434286</v>
      </c>
      <c r="BQ95" s="1565">
        <f>IF(ISERROR(MATCH($B95,'A1.3.2'!$B$27:$B$106,0)),"",(((VLOOKUP($B95,'Forecast occupancies'!$C$28:$CP$64,67,TRUE)-1)*VLOOKUP($B95,'A1.3.2'!$B$27:$AY$106,36,)+VLOOKUP($B95,'A1.3.2'!$B$27:$AY$106,35,))*$CR$5))</f>
        <v>75.868835684743061</v>
      </c>
      <c r="BR95" s="1565">
        <f>IF(ISERROR(MATCH($B95,'A1.3.2'!$B$27:$B$106,0)),"",VLOOKUP($B95,'Forecast occupancies'!$C$28:$CP$64,68,TRUE)*VLOOKUP($B95,'A1.3.2'!$B$27:$AY$106,49,)*$CR$5)</f>
        <v>39.243425411187758</v>
      </c>
      <c r="BS95" s="1565">
        <f>IF(ISERROR(MATCH($B95,'A1.3.2'!$B$27:$B$106,0)),"",VLOOKUP($B95,'Forecast occupancies'!$C$28:$CP$64,69,TRUE)*VLOOKUP($B95,'A1.3.2'!$B$27:$AY$106,50,)*$CR$5)</f>
        <v>31.457286022779339</v>
      </c>
      <c r="BT95" s="1566">
        <f>IF(ISERROR(MATCH($B95,'A1.3.2'!$B$27:$B$106,0)),"",(((BQ95*'VoT5'!$I$28)+(BR95*'VoT5'!$I$29)+(BS95*'VoT5'!$I$30))/100))</f>
        <v>33.61409395171134</v>
      </c>
      <c r="BU95" s="1565">
        <f>IF(ISERROR(MATCH($B95,'A1.3.2'!$B$27:$B$106,0)),"",(VLOOKUP($B95,'Forecast occupancies'!$C$28:$CP$64,71,TRUE) * VLOOKUP($B95, 'A1.3.2'!$B$27:$AY$106,37,)) * $CR$5)</f>
        <v>50.126018122222995</v>
      </c>
      <c r="BV95" s="1565">
        <f>IF(ISERROR(MATCH($B95,'A1.3.2'!$B$27:$B$106,0)),"",(VLOOKUP($B95,'Forecast occupancies'!$C$28:$CP$64,72,TRUE) * (VLOOKUP($B95,'A1.3.2'!$B$27:$AY$106,49,)*'VoT5'!$J$29 + VLOOKUP($B95,'A1.3.2'!$B$27:$AY$106,50,)*'VoT5'!$J$30) / (SUM('VoT5'!$J$29:$J$30))) * $CR$5)</f>
        <v>40.517834025678788</v>
      </c>
      <c r="BW95" s="1566">
        <f>IF(ISERROR(MATCH($B95,'A1.3.2'!$B$27:$B$106,0)),"",(BU95*'VoT5'!$I$31 + BV95*'VoT5'!$I$32)/100)</f>
        <v>48.973036030637694</v>
      </c>
      <c r="BX95" s="1566">
        <f>IF(ISERROR(MATCH($B95,'A1.3.2'!$B$27:$B$106,0)),"",(VLOOKUP($B95,'Forecast occupancies'!$C$28:$CP$64,74,TRUE)*VLOOKUP($B95,'A1.3.2'!$B$27:$AY$106,38,)) * $CR$5)</f>
        <v>46.873425970406196</v>
      </c>
      <c r="BY95" s="1566">
        <f>IF(ISERROR(MATCH($B95,'A1.3.2'!$B$27:$B$106,0)),"",(VLOOKUP($B95,'Forecast occupancies'!$C$28:$CP$64,75,TRUE)*VLOOKUP($B95,'A1.3.2'!$B$27:$AY$106,38,)) * $CR$5)</f>
        <v>46.873425970406196</v>
      </c>
      <c r="BZ95" s="1565">
        <f>IF(ISERROR(MATCH($B95,'A1.3.2'!$B$27:$B$106,0)),"",(((VLOOKUP($B95,'Forecast occupancies'!$C$28:$CP$64,76,TRUE) -1) * VLOOKUP($B95,'A1.3.2'!$B$27:$AY$106,40,)) + VLOOKUP($B95,'A1.3.2'!$B$27:$AY$106,39,)) * $CR$5)</f>
        <v>50.035005910269021</v>
      </c>
      <c r="CA95" s="1565">
        <f>IF(ISERROR(MATCH($B95,'A1.3.2'!$B$27:$B$106,0)),"",(VLOOKUP($B95,'Forecast occupancies'!$C$28:$CP$64,77,TRUE) * VLOOKUP($B95,'A1.3.2'!$B$27:$AY$106,49,)) * $CR$5)</f>
        <v>24.04001458387328</v>
      </c>
      <c r="CB95" s="1565">
        <f>IF(ISERROR(MATCH($B95,'A1.3.2'!$B$27:$B$106,0)),"",(VLOOKUP($B95,'Forecast occupancies'!$C$28:$CP$64,78,TRUE) * VLOOKUP($B95,'A1.3.2'!$B$27:$AY$106,50,)) * $CR$5)</f>
        <v>169.07587416268069</v>
      </c>
      <c r="CC95" s="1567">
        <f>IF(ISERROR(MATCH($B95,'A1.3.2'!$B$27:$B$106,0)),"",SUM(BZ95:CB95))</f>
        <v>243.150894656823</v>
      </c>
      <c r="CD95" s="1565">
        <f>IF(ISERROR(MATCH($B95,'A1.3.2'!$B$27:$B$106,0)),"",(((VLOOKUP($B95,'Forecast occupancies'!$C$28:$CP$64,80,TRUE)-1)*VLOOKUP($B95,'A1.3.2'!$B$27:$AY$106,36,)+VLOOKUP($B95,'A1.3.2'!$B$27:$AY$106,35,))*$CR$5))</f>
        <v>67.057450300978104</v>
      </c>
      <c r="CE95" s="1565">
        <f>IF(ISERROR(MATCH($B95,'A1.3.2'!$B$27:$B$106,0)),"",VLOOKUP($B95,'Forecast occupancies'!$C$28:$CP$64,81,TRUE)*VLOOKUP($B95,'A1.3.2'!$B$27:$AY$106,49,)*$CR$5)</f>
        <v>37.241917547431818</v>
      </c>
      <c r="CF95" s="1565">
        <f>IF(ISERROR(MATCH($B95,'A1.3.2'!$B$27:$B$106,0)),"",VLOOKUP($B95,'Forecast occupancies'!$C$28:$CP$64,82,TRUE)*VLOOKUP($B95,'A1.3.2'!$B$27:$AY$106,50,)*$CR$5)</f>
        <v>28.293347654658845</v>
      </c>
      <c r="CG95" s="1566">
        <f>IF(ISERROR(MATCH($B95,'A1.3.2'!$B$27:$B$106,0)),"",(((CD95*'VoT5'!$J$28)+(CE95*'VoT5'!$J$29)+(CF95*'VoT5'!$J$30))/100))</f>
        <v>35.248870243293055</v>
      </c>
      <c r="CH95" s="1565">
        <f>IF(ISERROR(MATCH($B95,'A1.3.2'!$B$27:$B$106,0)),"",(VLOOKUP($B95,'Forecast occupancies'!$C$28:$CP$64,84,TRUE) * VLOOKUP($B95, 'A1.3.2'!$B$27:$AY$106,37,)) * $CR$5)</f>
        <v>47.739064878307609</v>
      </c>
      <c r="CI95" s="1565">
        <f>IF(ISERROR(MATCH($B95,'A1.3.2'!$B$27:$B$106,0)),"",(VLOOKUP($B95,'Forecast occupancies'!$C$28:$CP$64,85,TRUE) * (VLOOKUP($B95,'A1.3.2'!$B$27:$AY$106,49,)*'VoT5'!$J$29 + VLOOKUP($B95,'A1.3.2'!$B$27:$AY$106,50,)*'VoT5'!$J$30) / (SUM('VoT5'!$J$29:$J$30))) * $CR$5)</f>
        <v>31.735643399423292</v>
      </c>
      <c r="CJ95" s="1566">
        <f>IF(ISERROR(MATCH($B95,'A1.3.2'!$B$27:$B$106,0)),"",(CH95*'VoT5'!$J$31 + CI95*'VoT5'!$J$32)/100)</f>
        <v>45.818654300841487</v>
      </c>
      <c r="CK95" s="1566">
        <f>IF(ISERROR(MATCH($B95,'A1.3.2'!$B$27:$B$106,0)),"",(VLOOKUP($B95,'Forecast occupancies'!$C$28:$CP$64,87,TRUE)*VLOOKUP($B95,'A1.3.2'!$B$27:$AY$106,38,)) * $CR$5)</f>
        <v>46.873425970406196</v>
      </c>
      <c r="CL95" s="1566">
        <f>IF(ISERROR(MATCH($B95,'A1.3.2'!$B$27:$B$106,0)),"",(VLOOKUP($B95,'Forecast occupancies'!$C$28:$CP$64,88,TRUE)*VLOOKUP($B95,'A1.3.2'!$B$27:$AY$106,38,)) * $CR$5)</f>
        <v>46.873425970406196</v>
      </c>
      <c r="CM95" s="1565">
        <f>IF(ISERROR(MATCH($B95,'A1.3.2'!$B$27:$B$106,0)),"",(((VLOOKUP($B95,'Forecast occupancies'!$C$28:$CP$64,89,TRUE) -1) * VLOOKUP($B95,'A1.3.2'!$B$27:$AY$106,40,)) + VLOOKUP($B95,'A1.3.2'!$B$27:$AY$106,39,)) * $CR$5)</f>
        <v>53.728147618822476</v>
      </c>
      <c r="CN95" s="1565">
        <f>IF(ISERROR(MATCH($B95,'A1.3.2'!$B$27:$B$106,0)),"",(VLOOKUP($B95,'Forecast occupancies'!$C$28:$CP$64,90,TRUE) * VLOOKUP($B95,'A1.3.2'!$B$27:$AY$106,49,)) * $CR$5)</f>
        <v>53.721566360053536</v>
      </c>
      <c r="CO95" s="1565">
        <f>IF(ISERROR(MATCH($B95,'A1.3.2'!$B$27:$B$106,0)),"",(VLOOKUP($B95,'Forecast occupancies'!$C$28:$CP$64,91,TRUE) * VLOOKUP($B95,'A1.3.2'!$B$27:$AY$106,50,)) * $CR$5)</f>
        <v>153.85459212972066</v>
      </c>
      <c r="CP95" s="1567">
        <f>IF(ISERROR(MATCH($B95,'A1.3.2'!$B$27:$B$106,0)),"",SUM(CM95:CO95))</f>
        <v>261.30430610859668</v>
      </c>
    </row>
    <row r="96" spans="1:94" ht="13.5" customHeight="1">
      <c r="A96" s="113"/>
      <c r="B96" s="82">
        <f t="shared" si="1"/>
        <v>2078</v>
      </c>
      <c r="C96" s="26"/>
      <c r="D96" s="1609">
        <f>IF(ISERROR(MATCH($B96,'A1.3.2'!$B$27:$B$106,0)),"",(((VLOOKUP($B96,'Forecast occupancies'!$C$28:$CP$64,2,TRUE) -1) * VLOOKUP($B96,'A1.3.2'!$B$27:$AY$106,36,) + VLOOKUP($B96,'A1.3.2'!$B$27:$AY$106,35,)) * $CR$5))</f>
        <v>66.696396733172676</v>
      </c>
      <c r="E96" s="1565">
        <f>IF(ISERROR(MATCH($B96,'A1.3.2'!$B$27:$B$106,0)),"",VLOOKUP($B96,'Forecast occupancies'!$C$28:$CP$64,3,TRUE)*VLOOKUP($B96,'A1.3.2'!$B$27:$AY$106,49,)*$CR$5)</f>
        <v>37.586815745587955</v>
      </c>
      <c r="F96" s="1565">
        <f>IF(ISERROR(MATCH($B96,'A1.3.2'!$B$27:$B$106,0)),"",VLOOKUP($B96,'Forecast occupancies'!$C$28:$CP$64,4,TRUE)*VLOOKUP($B96,'A1.3.2'!$B$27:$AY$106,50,)*$CR$5)</f>
        <v>25.931990896783727</v>
      </c>
      <c r="G96" s="1566">
        <f>IF(ISERROR(MATCH($B96,'A1.3.2'!$B$27:$B$106,0)),"",(((D96*'VoT5'!$D$28)+(E96*'VoT5'!$D$29)+(F96*'VoT5'!$D$30))/100))</f>
        <v>37.777167365420929</v>
      </c>
      <c r="H96" s="1565">
        <f>IF(ISERROR(MATCH($B96,'A1.3.2'!$B$27:$B$106,0)),"",(VLOOKUP($B96,'Forecast occupancies'!$C$28:$CP$64,6,TRUE) * VLOOKUP($B96, 'A1.3.2'!$B$27:$AY$106,37,)) * $CR$5)</f>
        <v>48.742332690216877</v>
      </c>
      <c r="I96" s="1565">
        <f>IF(ISERROR(MATCH($B96,'A1.3.2'!$B$27:$B$106,0)),"",VLOOKUP($B96,'Forecast occupancies'!$C$28:$CP$64,7,TRUE) * ('VoT5'!$J$29*VLOOKUP($B96, 'A1.3.2'!$B$27:$AY$106,49,)+'VoT5'!$J$30*VLOOKUP($B96, 'A1.3.2'!$B$27:$AY$106,50,))/('VoT5'!$J$29+'VoT5'!$J$30) * $CR$5)</f>
        <v>29.753320528802668</v>
      </c>
      <c r="J96" s="1566">
        <f>IF(ISERROR(MATCH($B96,'A1.3.2'!$B$27:$B$106,0)),"",(H96*'VoT5'!$D$31 + I96*'VoT5'!$D$32)/100)</f>
        <v>46.463651230847169</v>
      </c>
      <c r="K96" s="1566">
        <f>IF(ISERROR(MATCH($B96,'A1.3.2'!$B$27:$B$106,0)),"",(VLOOKUP($B96,'Forecast occupancies'!$C$28:$CP$64,9,TRUE)*VLOOKUP($B96,'A1.3.2'!$B$27:$AY$106,38,)) * $CR$5)</f>
        <v>47.858501811960622</v>
      </c>
      <c r="L96" s="1566">
        <f>IF(ISERROR(MATCH($B96,'A1.3.2'!$B$27:$B$106,0)),"",(VLOOKUP($B96,'Forecast occupancies'!$C$28:$CP$64,10,TRUE)*VLOOKUP($B96,'A1.3.2'!$B$27:$AY$106,38,)) * $CR$5)</f>
        <v>47.858501811960622</v>
      </c>
      <c r="M96" s="1565">
        <f>IF(ISERROR(MATCH($B96,'A1.3.2'!$B$27:$B$106,0)),"",(((VLOOKUP($B96,'Forecast occupancies'!$C$28:$CP$64,11,TRUE) -1) * VLOOKUP($B96,'A1.3.2'!$B$27:$AY$106,40,)) + VLOOKUP($B96,'A1.3.2'!$B$27:$AY$106,39,)) * $CR$5)</f>
        <v>54.53519550949482</v>
      </c>
      <c r="N96" s="1565">
        <f>IF(ISERROR(MATCH($B96,'A1.3.2'!$B$27:$B$106,0)),"",(VLOOKUP($B96,'Forecast occupancies'!$C$28:$CP$64,12,TRUE) * VLOOKUP($B96,'A1.3.2'!$B$27:$AY$106,49,)) * $CR$5)</f>
        <v>74.65460331008353</v>
      </c>
      <c r="O96" s="1565">
        <f>IF(ISERROR(MATCH($B96,'A1.3.2'!$B$27:$B$106,0)),"",(VLOOKUP($B96,'Forecast occupancies'!$C$28:$CP$64,13,TRUE) * VLOOKUP($B96,'A1.3.2'!$B$27:$AY$106,50,)) * $CR$5)</f>
        <v>148.19475653984816</v>
      </c>
      <c r="P96" s="1567">
        <f>IF(ISERROR(MATCH($B96,'A1.3.2'!$B$27:$B$106,0)),"",SUM(M96:O96))</f>
        <v>277.38455535942649</v>
      </c>
      <c r="Q96" s="1609">
        <f>IF(ISERROR(MATCH($B96,'A1.3.2'!$B$27:$B$106,0)),"",(((VLOOKUP($B96,'Forecast occupancies'!$C$28:$CP$64,15,TRUE)-1)*VLOOKUP($B96,'A1.3.2'!$B$27:$AY$106,36,)+VLOOKUP($B96,'A1.3.2'!$B$27:$AY$106,35,))*$CR$5))</f>
        <v>68.345305753914303</v>
      </c>
      <c r="R96" s="1565">
        <f>IF(ISERROR(MATCH($B96,'A1.3.2'!$B$27:$B$106,0)),"",VLOOKUP($B96,'Forecast occupancies'!$C$28:$CP$64,16,TRUE)*VLOOKUP($B96,'A1.3.2'!$B$27:$AY$106,49,)*$CR$5)</f>
        <v>38.197980874593597</v>
      </c>
      <c r="S96" s="1565">
        <f>IF(ISERROR(MATCH($B96,'A1.3.2'!$B$27:$B$106,0)),"",VLOOKUP($B96,'Forecast occupancies'!$C$28:$CP$64,17,TRUE)*VLOOKUP($B96,'A1.3.2'!$B$27:$AY$106,50,)*$CR$5)</f>
        <v>27.623695962661913</v>
      </c>
      <c r="T96" s="1566">
        <f>IF(ISERROR(MATCH($B96,'A1.3.2'!$B$27:$B$106,0)),"",(((Q96*'VoT5'!$E$28)+(R96*'VoT5'!$E$29)+(S96*'VoT5'!$E$30))/100))</f>
        <v>35.578900145857908</v>
      </c>
      <c r="U96" s="1565">
        <f>IF(ISERROR(MATCH($B96,'A1.3.2'!$B$27:$B$106,0)),"",(VLOOKUP($B96,'Forecast occupancies'!$C$28:$CP$64,19,TRUE) * VLOOKUP($B96, 'A1.3.2'!$B$27:$AY$106,37,)) * $CR$5)</f>
        <v>48.742332690216877</v>
      </c>
      <c r="V96" s="1565">
        <f>IF(ISERROR(MATCH($B96,'A1.3.2'!$B$27:$B$106,0)),"",VLOOKUP($B96,'Forecast occupancies'!$C$28:$CP$64,20,TRUE) * ('VoT5'!$J$29*VLOOKUP($B96, 'A1.3.2'!$B$27:$AY$106,49,)+'VoT5'!$J$30*VLOOKUP($B96, 'A1.3.2'!$B$27:$AY$106,50,))/('VoT5'!$J$29+'VoT5'!$J$30) * $CR$5)</f>
        <v>29.753320528802668</v>
      </c>
      <c r="W96" s="1566">
        <f>IF(ISERROR(MATCH($B96,'A1.3.2'!$B$27:$B$106,0)),"",(U96*'VoT5'!$E$31 + V96*'VoT5'!$E$32)/100)</f>
        <v>46.463651230847169</v>
      </c>
      <c r="X96" s="1566">
        <f>IF(ISERROR(MATCH($B96,'A1.3.2'!$B$27:$B$106,0)),"",(VLOOKUP($B96,'Forecast occupancies'!$C$28:$CP$64,22,TRUE)*VLOOKUP($B96,'A1.3.2'!$B$27:$AY$106,38,)) * $CR$5)</f>
        <v>47.858501811960622</v>
      </c>
      <c r="Y96" s="1566">
        <f>IF(ISERROR(MATCH($B96,'A1.3.2'!$B$27:$B$106,0)),"",(VLOOKUP($B96,'Forecast occupancies'!$C$28:$CP$64,23,TRUE)*VLOOKUP($B96,'A1.3.2'!$B$27:$AY$106,38,)) * $CR$5)</f>
        <v>47.858501811960622</v>
      </c>
      <c r="Z96" s="1565">
        <f>IF(ISERROR(MATCH($B96,'A1.3.2'!$B$27:$B$106,0)),"",(((VLOOKUP($B96,'Forecast occupancies'!$C$28:$CP$64,24,TRUE) -1) * VLOOKUP($B96,'A1.3.2'!$B$27:$AY$106,40,)) + VLOOKUP($B96,'A1.3.2'!$B$27:$AY$106,39,)) * $CR$5)</f>
        <v>55.648307346677811</v>
      </c>
      <c r="AA96" s="1565">
        <f>IF(ISERROR(MATCH($B96,'A1.3.2'!$B$27:$B$106,0)),"",(VLOOKUP($B96,'Forecast occupancies'!$C$28:$CP$64,25,TRUE) * VLOOKUP($B96,'A1.3.2'!$B$27:$AY$106,49,)) * $CR$5)</f>
        <v>26.164062837933194</v>
      </c>
      <c r="AB96" s="1565">
        <f>IF(ISERROR(MATCH($B96,'A1.3.2'!$B$27:$B$106,0)),"",(VLOOKUP($B96,'Forecast occupancies'!$C$28:$CP$64,26,TRUE) * VLOOKUP($B96,'A1.3.2'!$B$27:$AY$106,50,)) * $CR$5)</f>
        <v>169.82283236490173</v>
      </c>
      <c r="AC96" s="1567">
        <f>IF(ISERROR(MATCH($B96,'A1.3.2'!$B$27:$B$106,0)),"",SUM(Z96:AB96))</f>
        <v>251.63520254951274</v>
      </c>
      <c r="AD96" s="1609">
        <f>IF(ISERROR(MATCH($B96,'A1.3.2'!$B$27:$B$106,0)),"",(((VLOOKUP($B96,'Forecast occupancies'!$C$28:$CP$64,28,TRUE)-1)*VLOOKUP($B96,'A1.3.2'!$B$27:$AY$106,36,)+VLOOKUP($B96,'A1.3.2'!$B$27:$AY$106,35,))*$CR$5))</f>
        <v>67.658927491954017</v>
      </c>
      <c r="AE96" s="1565">
        <f>IF(ISERROR(MATCH($B96,'A1.3.2'!$B$27:$B$106,0)),"",VLOOKUP($B96,'Forecast occupancies'!$C$28:$CP$64,29,TRUE)*VLOOKUP($B96,'A1.3.2'!$B$27:$AY$106,49,)*$CR$5)</f>
        <v>37.716466091865172</v>
      </c>
      <c r="AF96" s="1565">
        <f>IF(ISERROR(MATCH($B96,'A1.3.2'!$B$27:$B$106,0)),"",VLOOKUP($B96,'Forecast occupancies'!$C$28:$CP$64,30,TRUE)*VLOOKUP($B96,'A1.3.2'!$B$27:$AY$106,50,)*$CR$5)</f>
        <v>27.15617997106315</v>
      </c>
      <c r="AG96" s="1566">
        <f>IF(ISERROR(MATCH($B96,'A1.3.2'!$B$27:$B$106,0)),"",(((AD96*'VoT5'!$F$28)+(AE96*'VoT5'!$F$29)+(AF96*'VoT5'!$F$30))/100))</f>
        <v>36.296102584918792</v>
      </c>
      <c r="AH96" s="1565">
        <f>IF(ISERROR(MATCH($B96,'A1.3.2'!$B$27:$B$106,0)),"",(VLOOKUP($B96,'Forecast occupancies'!$C$28:$CP$64,32,TRUE) * VLOOKUP($B96, 'A1.3.2'!$B$27:$AY$106,37,)) * $CR$5)</f>
        <v>48.742332690216877</v>
      </c>
      <c r="AI96" s="1565">
        <f>IF(ISERROR(MATCH($B96,'A1.3.2'!$B$27:$B$106,0)),"",VLOOKUP($B96,'Forecast occupancies'!$C$28:$CP$64,33,TRUE) * ('VoT5'!$J$29*VLOOKUP($B96, 'A1.3.2'!$B$27:$AY$106,49,)+'VoT5'!$J$30*VLOOKUP($B96, 'A1.3.2'!$B$27:$AY$106,50,))/('VoT5'!$J$29+'VoT5'!$J$30) * $CR$5)</f>
        <v>29.753320528802668</v>
      </c>
      <c r="AJ96" s="1566">
        <f>IF(ISERROR(MATCH($B96,'A1.3.2'!$B$27:$B$106,0)),"",(AH96*'VoT5'!$F$31 + AI96*'VoT5'!$F$32)/100)</f>
        <v>46.463651230847169</v>
      </c>
      <c r="AK96" s="1566">
        <f>IF(ISERROR(MATCH($B96,'A1.3.2'!$B$27:$B$106,0)),"",(VLOOKUP($B96,'Forecast occupancies'!$C$28:$CP$64,35,TRUE)*VLOOKUP($B96,'A1.3.2'!$B$27:$AY$106,38,)) * $CR$5)</f>
        <v>47.858501811960622</v>
      </c>
      <c r="AL96" s="1566">
        <f>IF(ISERROR(MATCH($B96,'A1.3.2'!$B$27:$B$106,0)),"",(VLOOKUP($B96,'Forecast occupancies'!$C$28:$CP$64,36,TRUE)*VLOOKUP($B96,'A1.3.2'!$B$27:$AY$106,38,)) * $CR$5)</f>
        <v>47.858501811960622</v>
      </c>
      <c r="AM96" s="1565">
        <f>IF(ISERROR(MATCH($B96,'A1.3.2'!$B$27:$B$106,0)),"",(((VLOOKUP($B96,'Forecast occupancies'!$C$28:$CP$64,37,TRUE) -1) * VLOOKUP($B96,'A1.3.2'!$B$27:$AY$106,40,)) + VLOOKUP($B96,'A1.3.2'!$B$27:$AY$106,39,)) * $CR$5)</f>
        <v>58.224104883374515</v>
      </c>
      <c r="AN96" s="1565">
        <f>IF(ISERROR(MATCH($B96,'A1.3.2'!$B$27:$B$106,0)),"",(VLOOKUP($B96,'Forecast occupancies'!$C$28:$CP$64,38,TRUE) * VLOOKUP($B96,'A1.3.2'!$B$27:$AY$106,49,)) * $CR$5)</f>
        <v>104.99255668862692</v>
      </c>
      <c r="AO96" s="1565">
        <f>IF(ISERROR(MATCH($B96,'A1.3.2'!$B$27:$B$106,0)),"",(VLOOKUP($B96,'Forecast occupancies'!$C$28:$CP$64,39,TRUE) * VLOOKUP($B96,'A1.3.2'!$B$27:$AY$106,50,)) * $CR$5)</f>
        <v>132.67579121007302</v>
      </c>
      <c r="AP96" s="1567">
        <f>IF(ISERROR(MATCH($B96,'A1.3.2'!$B$27:$B$106,0)),"",SUM(AM96:AO96))</f>
        <v>295.89245278207443</v>
      </c>
      <c r="AQ96" s="1609">
        <f>IF(ISERROR(MATCH($B96,'A1.3.2'!$B$27:$B$106,0)),"",(((VLOOKUP($B96,'Forecast occupancies'!$C$28:$CP$64,41,TRUE)-1)*VLOOKUP($B96,'A1.3.2'!$B$27:$AY$106,36,)+VLOOKUP($B96,'A1.3.2'!$B$27:$AY$106,35,))*$CR$5))</f>
        <v>68.939076494774028</v>
      </c>
      <c r="AR96" s="1565">
        <f>IF(ISERROR(MATCH($B96,'A1.3.2'!$B$27:$B$106,0)),"",VLOOKUP($B96,'Forecast occupancies'!$C$28:$CP$64,42,TRUE)*VLOOKUP($B96,'A1.3.2'!$B$27:$AY$106,49,)*$CR$5)</f>
        <v>38.268482493866692</v>
      </c>
      <c r="AS96" s="1565">
        <f>IF(ISERROR(MATCH($B96,'A1.3.2'!$B$27:$B$106,0)),"",VLOOKUP($B96,'Forecast occupancies'!$C$28:$CP$64,43,TRUE)*VLOOKUP($B96,'A1.3.2'!$B$27:$AY$106,50,)*$CR$5)</f>
        <v>27.059226453750384</v>
      </c>
      <c r="AT96" s="1566">
        <f>IF(ISERROR(MATCH($B96,'A1.3.2'!$B$27:$B$106,0)),"",(((AQ96*'VoT5'!$G$28)+(AR96*'VoT5'!$G$29)+(AS96*'VoT5'!$G$30))/100))</f>
        <v>36.773207588993891</v>
      </c>
      <c r="AU96" s="1565">
        <f>IF(ISERROR(MATCH($B96,'A1.3.2'!$B$27:$B$106,0)),"",(VLOOKUP($B96,'Forecast occupancies'!$C$28:$CP$64,45,TRUE) * VLOOKUP($B96, 'A1.3.2'!$B$27:$AY$106,37,)) * $CR$5)</f>
        <v>48.742332690216877</v>
      </c>
      <c r="AV96" s="1565">
        <f>IF(ISERROR(MATCH($B96,'A1.3.2'!$B$27:$B$106,0)),"",VLOOKUP($B96,'Forecast occupancies'!$C$28:$CP$64,46,TRUE) * ('VoT5'!$J$29*VLOOKUP($B96, 'A1.3.2'!$B$27:$AY$106,49,)+'VoT5'!$J$30*VLOOKUP($B96, 'A1.3.2'!$B$27:$AY$106,50,))/('VoT5'!$J$29+'VoT5'!$J$30) * $CR$5)</f>
        <v>29.753320528802668</v>
      </c>
      <c r="AW96" s="1566">
        <f>IF(ISERROR(MATCH($B96,'A1.3.2'!$B$27:$B$106,0)),"",(AU96*'VoT5'!$G$31 + AV96*'VoT5'!$G$32)/100)</f>
        <v>46.463651230847169</v>
      </c>
      <c r="AX96" s="1566">
        <f>IF(ISERROR(MATCH($B96,'A1.3.2'!$B$27:$B$106,0)),"",(VLOOKUP($B96,'Forecast occupancies'!$C$28:$CP$64,48,TRUE)*VLOOKUP($B96,'A1.3.2'!$B$27:$AY$106,38,)) * $CR$5)</f>
        <v>47.858501811960622</v>
      </c>
      <c r="AY96" s="1566">
        <f>IF(ISERROR(MATCH($B96,'A1.3.2'!$B$27:$B$106,0)),"",(VLOOKUP($B96,'Forecast occupancies'!$C$28:$CP$64,49,TRUE)*VLOOKUP($B96,'A1.3.2'!$B$27:$AY$106,38,)) * $CR$5)</f>
        <v>47.858501811960622</v>
      </c>
      <c r="AZ96" s="1565">
        <f>IF(ISERROR(MATCH($B96,'A1.3.2'!$B$27:$B$106,0)),"",(((VLOOKUP($B96,'Forecast occupancies'!$C$28:$CP$64,50,TRUE) -1) * VLOOKUP($B96,'A1.3.2'!$B$27:$AY$106,40,)) + VLOOKUP($B96,'A1.3.2'!$B$27:$AY$106,39,)) * $CR$5)</f>
        <v>58.177020612915577</v>
      </c>
      <c r="BA96" s="1565">
        <f>IF(ISERROR(MATCH($B96,'A1.3.2'!$B$27:$B$106,0)),"",(VLOOKUP($B96,'Forecast occupancies'!$C$28:$CP$64,51,TRUE) * VLOOKUP($B96,'A1.3.2'!$B$27:$AY$106,49,)) * $CR$5)</f>
        <v>143.52221702695707</v>
      </c>
      <c r="BB96" s="1565">
        <f>IF(ISERROR(MATCH($B96,'A1.3.2'!$B$27:$B$106,0)),"",(VLOOKUP($B96,'Forecast occupancies'!$C$28:$CP$64,52,TRUE) * VLOOKUP($B96,'A1.3.2'!$B$27:$AY$106,50,)) * $CR$5)</f>
        <v>115.11103653346696</v>
      </c>
      <c r="BC96" s="1567">
        <f>IF(ISERROR(MATCH($B96,'A1.3.2'!$B$27:$B$106,0)),"",SUM(AZ96:BB96))</f>
        <v>316.81027417333962</v>
      </c>
      <c r="BD96" s="1565">
        <f>IF(ISERROR(MATCH($B96,'A1.3.2'!$B$27:$B$106,0)),"",(((VLOOKUP($B96,'Forecast occupancies'!$C$28:$CP$64,54,TRUE)-1)*VLOOKUP($B96,'A1.3.2'!$B$27:$AY$106,36,)+VLOOKUP($B96,'A1.3.2'!$B$27:$AY$106,35,))*$CR$5))</f>
        <v>67.779312332123098</v>
      </c>
      <c r="BE96" s="1565">
        <f>IF(ISERROR(MATCH($B96,'A1.3.2'!$B$27:$B$106,0)),"",VLOOKUP($B96,'Forecast occupancies'!$C$28:$CP$64,55,TRUE)*VLOOKUP($B96,'A1.3.2'!$B$27:$AY$106,49,)*$CR$5)</f>
        <v>37.844702390706559</v>
      </c>
      <c r="BF96" s="1565">
        <f>IF(ISERROR(MATCH($B96,'A1.3.2'!$B$27:$B$106,0)),"",VLOOKUP($B96,'Forecast occupancies'!$C$28:$CP$64,56,TRUE)*VLOOKUP($B96,'A1.3.2'!$B$27:$AY$106,50,)*$CR$5)</f>
        <v>27.126459153910346</v>
      </c>
      <c r="BG96" s="1566">
        <f>IF(ISERROR(MATCH($B96,'A1.3.2'!$B$27:$B$106,0)),"",(((BD96*'VoT5'!$H$28)+(BE96*'VoT5'!$H$29)+(BF96*'VoT5'!$H$30))/100))</f>
        <v>36.508380683091922</v>
      </c>
      <c r="BH96" s="1565">
        <f>IF(ISERROR(MATCH($B96,'A1.3.2'!$B$27:$B$106,0)),"",(VLOOKUP($B96,'Forecast occupancies'!$C$28:$CP$64,58,TRUE) * VLOOKUP($B96, 'A1.3.2'!$B$27:$AY$106,37,)) * $CR$5)</f>
        <v>48.742332690216877</v>
      </c>
      <c r="BI96" s="1565">
        <f>IF(ISERROR(MATCH($B96,'A1.3.2'!$B$27:$B$106,0)),"",(VLOOKUP($B96,'Forecast occupancies'!$C$28:$CP$64,59,TRUE) * (VLOOKUP($B96,'A1.3.2'!$B$27:$AY$106,49,) * 'VoT5'!$J$29 + VLOOKUP($B96,'A1.3.2'!$B$27:$AY$106,50,) * 'VoT5'!$J$30) / (SUM('VoT5'!$J$29:$J$30))) * $CR$5)</f>
        <v>29.753320528802668</v>
      </c>
      <c r="BJ96" s="1566">
        <f>IF(ISERROR(MATCH($B96,'A1.3.2'!$B$27:$B$106,0)),"",(BH96*'VoT5'!$H$31 + BI96*'VoT5'!$H$32)/100)</f>
        <v>46.463651230847169</v>
      </c>
      <c r="BK96" s="1566">
        <f>IF(ISERROR(MATCH($B96,'A1.3.2'!$B$27:$B$106,0)),"",(VLOOKUP($B96,'Forecast occupancies'!$C$28:$CP$64,61,TRUE)*VLOOKUP($B96,'A1.3.2'!$B$27:$AY$106,38,)) * $CR$5)</f>
        <v>47.858501811960622</v>
      </c>
      <c r="BL96" s="1566">
        <f>IF(ISERROR(MATCH($B96,'A1.3.2'!$B$27:$B$106,0)),"",(VLOOKUP($B96,'Forecast occupancies'!$C$28:$CP$64,62,TRUE)*VLOOKUP($B96,'A1.3.2'!$B$27:$AY$106,38,)) * $CR$5)</f>
        <v>47.858501811960622</v>
      </c>
      <c r="BM96" s="1565">
        <f>IF(ISERROR(MATCH($B96,'A1.3.2'!$B$27:$B$106,0)),"",(((VLOOKUP($B96,'Forecast occupancies'!$C$28:$CP$64,63,TRUE) -1) * VLOOKUP($B96,'A1.3.2'!$B$27:$AY$106,40,)) + VLOOKUP($B96,'A1.3.2'!$B$27:$AY$106,39,)) * $CR$5)</f>
        <v>56.09377487050287</v>
      </c>
      <c r="BN96" s="1565">
        <f>IF(ISERROR(MATCH($B96,'A1.3.2'!$B$27:$B$106,0)),"",(VLOOKUP($B96,'Forecast occupancies'!$C$28:$CP$64,64,TRUE) * VLOOKUP($B96,'A1.3.2'!$B$27:$AY$106,49,)) * $CR$5)</f>
        <v>64.790736991039623</v>
      </c>
      <c r="BO96" s="1565">
        <f>IF(ISERROR(MATCH($B96,'A1.3.2'!$B$27:$B$106,0)),"",(VLOOKUP($B96,'Forecast occupancies'!$C$28:$CP$64,65,TRUE) * VLOOKUP($B96,'A1.3.2'!$B$27:$AY$106,50,)) * $CR$5)</f>
        <v>151.99057330095729</v>
      </c>
      <c r="BP96" s="1567">
        <f>IF(ISERROR(MATCH($B96,'A1.3.2'!$B$27:$B$106,0)),"",SUM(BM96:BO96))</f>
        <v>272.87508516249977</v>
      </c>
      <c r="BQ96" s="1565">
        <f>IF(ISERROR(MATCH($B96,'A1.3.2'!$B$27:$B$106,0)),"",(((VLOOKUP($B96,'Forecast occupancies'!$C$28:$CP$64,67,TRUE)-1)*VLOOKUP($B96,'A1.3.2'!$B$27:$AY$106,36,)+VLOOKUP($B96,'A1.3.2'!$B$27:$AY$106,35,))*$CR$5))</f>
        <v>77.463269110776139</v>
      </c>
      <c r="BR96" s="1565">
        <f>IF(ISERROR(MATCH($B96,'A1.3.2'!$B$27:$B$106,0)),"",VLOOKUP($B96,'Forecast occupancies'!$C$28:$CP$64,68,TRUE)*VLOOKUP($B96,'A1.3.2'!$B$27:$AY$106,49,)*$CR$5)</f>
        <v>40.068151778251497</v>
      </c>
      <c r="BS96" s="1565">
        <f>IF(ISERROR(MATCH($B96,'A1.3.2'!$B$27:$B$106,0)),"",VLOOKUP($B96,'Forecast occupancies'!$C$28:$CP$64,69,TRUE)*VLOOKUP($B96,'A1.3.2'!$B$27:$AY$106,50,)*$CR$5)</f>
        <v>32.118381555277267</v>
      </c>
      <c r="BT96" s="1566">
        <f>IF(ISERROR(MATCH($B96,'A1.3.2'!$B$27:$B$106,0)),"",(((BQ96*'VoT5'!$I$28)+(BR96*'VoT5'!$I$29)+(BS96*'VoT5'!$I$30))/100))</f>
        <v>34.320516219810067</v>
      </c>
      <c r="BU96" s="1565">
        <f>IF(ISERROR(MATCH($B96,'A1.3.2'!$B$27:$B$106,0)),"",(VLOOKUP($B96,'Forecast occupancies'!$C$28:$CP$64,71,TRUE) * VLOOKUP($B96, 'A1.3.2'!$B$27:$AY$106,37,)) * $CR$5)</f>
        <v>51.17944932472772</v>
      </c>
      <c r="BV96" s="1565">
        <f>IF(ISERROR(MATCH($B96,'A1.3.2'!$B$27:$B$106,0)),"",(VLOOKUP($B96,'Forecast occupancies'!$C$28:$CP$64,72,TRUE) * (VLOOKUP($B96,'A1.3.2'!$B$27:$AY$106,49,)*'VoT5'!$J$29 + VLOOKUP($B96,'A1.3.2'!$B$27:$AY$106,50,)*'VoT5'!$J$30) / (SUM('VoT5'!$J$29:$J$30))) * $CR$5)</f>
        <v>41.369342927033848</v>
      </c>
      <c r="BW96" s="1566">
        <f>IF(ISERROR(MATCH($B96,'A1.3.2'!$B$27:$B$106,0)),"",(BU96*'VoT5'!$I$31 + BV96*'VoT5'!$I$32)/100)</f>
        <v>50.002236557004451</v>
      </c>
      <c r="BX96" s="1566">
        <f>IF(ISERROR(MATCH($B96,'A1.3.2'!$B$27:$B$106,0)),"",(VLOOKUP($B96,'Forecast occupancies'!$C$28:$CP$64,74,TRUE)*VLOOKUP($B96,'A1.3.2'!$B$27:$AY$106,38,)) * $CR$5)</f>
        <v>47.858501811960622</v>
      </c>
      <c r="BY96" s="1566">
        <f>IF(ISERROR(MATCH($B96,'A1.3.2'!$B$27:$B$106,0)),"",(VLOOKUP($B96,'Forecast occupancies'!$C$28:$CP$64,75,TRUE)*VLOOKUP($B96,'A1.3.2'!$B$27:$AY$106,38,)) * $CR$5)</f>
        <v>47.858501811960622</v>
      </c>
      <c r="BZ96" s="1565">
        <f>IF(ISERROR(MATCH($B96,'A1.3.2'!$B$27:$B$106,0)),"",(((VLOOKUP($B96,'Forecast occupancies'!$C$28:$CP$64,76,TRUE) -1) * VLOOKUP($B96,'A1.3.2'!$B$27:$AY$106,40,)) + VLOOKUP($B96,'A1.3.2'!$B$27:$AY$106,39,)) * $CR$5)</f>
        <v>51.086524431346575</v>
      </c>
      <c r="CA96" s="1565">
        <f>IF(ISERROR(MATCH($B96,'A1.3.2'!$B$27:$B$106,0)),"",(VLOOKUP($B96,'Forecast occupancies'!$C$28:$CP$64,77,TRUE) * VLOOKUP($B96,'A1.3.2'!$B$27:$AY$106,49,)) * $CR$5)</f>
        <v>24.545231284102126</v>
      </c>
      <c r="CB96" s="1565">
        <f>IF(ISERROR(MATCH($B96,'A1.3.2'!$B$27:$B$106,0)),"",(VLOOKUP($B96,'Forecast occupancies'!$C$28:$CP$64,78,TRUE) * VLOOKUP($B96,'A1.3.2'!$B$27:$AY$106,50,)) * $CR$5)</f>
        <v>172.62911473725504</v>
      </c>
      <c r="CC96" s="1567">
        <f>IF(ISERROR(MATCH($B96,'A1.3.2'!$B$27:$B$106,0)),"",SUM(BZ96:CB96))</f>
        <v>248.26087045270373</v>
      </c>
      <c r="CD96" s="1565">
        <f>IF(ISERROR(MATCH($B96,'A1.3.2'!$B$27:$B$106,0)),"",(((VLOOKUP($B96,'Forecast occupancies'!$C$28:$CP$64,80,TRUE)-1)*VLOOKUP($B96,'A1.3.2'!$B$27:$AY$106,36,)+VLOOKUP($B96,'A1.3.2'!$B$27:$AY$106,35,))*$CR$5))</f>
        <v>68.466706674289412</v>
      </c>
      <c r="CE96" s="1565">
        <f>IF(ISERROR(MATCH($B96,'A1.3.2'!$B$27:$B$106,0)),"",VLOOKUP($B96,'Forecast occupancies'!$C$28:$CP$64,81,TRUE)*VLOOKUP($B96,'A1.3.2'!$B$27:$AY$106,49,)*$CR$5)</f>
        <v>38.024580911793088</v>
      </c>
      <c r="CF96" s="1565">
        <f>IF(ISERROR(MATCH($B96,'A1.3.2'!$B$27:$B$106,0)),"",VLOOKUP($B96,'Forecast occupancies'!$C$28:$CP$64,82,TRUE)*VLOOKUP($B96,'A1.3.2'!$B$27:$AY$106,50,)*$CR$5)</f>
        <v>28.887950943714394</v>
      </c>
      <c r="CG96" s="1566">
        <f>IF(ISERROR(MATCH($B96,'A1.3.2'!$B$27:$B$106,0)),"",(((CD96*'VoT5'!$J$28)+(CE96*'VoT5'!$J$29)+(CF96*'VoT5'!$J$30))/100))</f>
        <v>35.989648409170613</v>
      </c>
      <c r="CH96" s="1565">
        <f>IF(ISERROR(MATCH($B96,'A1.3.2'!$B$27:$B$106,0)),"",(VLOOKUP($B96,'Forecast occupancies'!$C$28:$CP$64,84,TRUE) * VLOOKUP($B96, 'A1.3.2'!$B$27:$AY$106,37,)) * $CR$5)</f>
        <v>48.742332690216877</v>
      </c>
      <c r="CI96" s="1565">
        <f>IF(ISERROR(MATCH($B96,'A1.3.2'!$B$27:$B$106,0)),"",(VLOOKUP($B96,'Forecast occupancies'!$C$28:$CP$64,85,TRUE) * (VLOOKUP($B96,'A1.3.2'!$B$27:$AY$106,49,)*'VoT5'!$J$29 + VLOOKUP($B96,'A1.3.2'!$B$27:$AY$106,50,)*'VoT5'!$J$30) / (SUM('VoT5'!$J$29:$J$30))) * $CR$5)</f>
        <v>32.402588795065924</v>
      </c>
      <c r="CJ96" s="1566">
        <f>IF(ISERROR(MATCH($B96,'A1.3.2'!$B$27:$B$106,0)),"",(CH96*'VoT5'!$J$31 + CI96*'VoT5'!$J$32)/100)</f>
        <v>46.781563422798762</v>
      </c>
      <c r="CK96" s="1566">
        <f>IF(ISERROR(MATCH($B96,'A1.3.2'!$B$27:$B$106,0)),"",(VLOOKUP($B96,'Forecast occupancies'!$C$28:$CP$64,87,TRUE)*VLOOKUP($B96,'A1.3.2'!$B$27:$AY$106,38,)) * $CR$5)</f>
        <v>47.858501811960622</v>
      </c>
      <c r="CL96" s="1566">
        <f>IF(ISERROR(MATCH($B96,'A1.3.2'!$B$27:$B$106,0)),"",(VLOOKUP($B96,'Forecast occupancies'!$C$28:$CP$64,88,TRUE)*VLOOKUP($B96,'A1.3.2'!$B$27:$AY$106,38,)) * $CR$5)</f>
        <v>47.858501811960622</v>
      </c>
      <c r="CM96" s="1565">
        <f>IF(ISERROR(MATCH($B96,'A1.3.2'!$B$27:$B$106,0)),"",(((VLOOKUP($B96,'Forecast occupancies'!$C$28:$CP$64,89,TRUE) -1) * VLOOKUP($B96,'A1.3.2'!$B$27:$AY$106,40,)) + VLOOKUP($B96,'A1.3.2'!$B$27:$AY$106,39,)) * $CR$5)</f>
        <v>54.857279939216291</v>
      </c>
      <c r="CN96" s="1565">
        <f>IF(ISERROR(MATCH($B96,'A1.3.2'!$B$27:$B$106,0)),"",(VLOOKUP($B96,'Forecast occupancies'!$C$28:$CP$64,90,TRUE) * VLOOKUP($B96,'A1.3.2'!$B$27:$AY$106,49,)) * $CR$5)</f>
        <v>54.850560370970584</v>
      </c>
      <c r="CO96" s="1565">
        <f>IF(ISERROR(MATCH($B96,'A1.3.2'!$B$27:$B$106,0)),"",(VLOOKUP($B96,'Forecast occupancies'!$C$28:$CP$64,91,TRUE) * VLOOKUP($B96,'A1.3.2'!$B$27:$AY$106,50,)) * $CR$5)</f>
        <v>157.08794746233249</v>
      </c>
      <c r="CP96" s="1567">
        <f>IF(ISERROR(MATCH($B96,'A1.3.2'!$B$27:$B$106,0)),"",SUM(CM96:CO96))</f>
        <v>266.79578777251936</v>
      </c>
    </row>
    <row r="97" spans="1:94" ht="13.5" customHeight="1">
      <c r="A97" s="113"/>
      <c r="B97" s="82">
        <f t="shared" si="1"/>
        <v>2079</v>
      </c>
      <c r="C97" s="26"/>
      <c r="D97" s="1609">
        <f>IF(ISERROR(MATCH($B97,'A1.3.2'!$B$27:$B$106,0)),"",(((VLOOKUP($B97,'Forecast occupancies'!$C$28:$CP$64,2,TRUE) -1) * VLOOKUP($B97,'A1.3.2'!$B$27:$AY$106,36,) + VLOOKUP($B97,'A1.3.2'!$B$27:$AY$106,35,)) * $CR$5))</f>
        <v>68.09872162319293</v>
      </c>
      <c r="E97" s="1565">
        <f>IF(ISERROR(MATCH($B97,'A1.3.2'!$B$27:$B$106,0)),"",VLOOKUP($B97,'Forecast occupancies'!$C$28:$CP$64,3,TRUE)*VLOOKUP($B97,'A1.3.2'!$B$27:$AY$106,49,)*$CR$5)</f>
        <v>38.377097227622308</v>
      </c>
      <c r="F97" s="1565">
        <f>IF(ISERROR(MATCH($B97,'A1.3.2'!$B$27:$B$106,0)),"",VLOOKUP($B97,'Forecast occupancies'!$C$28:$CP$64,4,TRUE)*VLOOKUP($B97,'A1.3.2'!$B$27:$AY$106,50,)*$CR$5)</f>
        <v>26.477223893819851</v>
      </c>
      <c r="G97" s="1566">
        <f>IF(ISERROR(MATCH($B97,'A1.3.2'!$B$27:$B$106,0)),"",(((D97*'VoT5'!$D$28)+(E97*'VoT5'!$D$29)+(F97*'VoT5'!$D$30))/100))</f>
        <v>38.571451084868727</v>
      </c>
      <c r="H97" s="1565">
        <f>IF(ISERROR(MATCH($B97,'A1.3.2'!$B$27:$B$106,0)),"",(VLOOKUP($B97,'Forecast occupancies'!$C$28:$CP$64,6,TRUE) * VLOOKUP($B97, 'A1.3.2'!$B$27:$AY$106,37,)) * $CR$5)</f>
        <v>49.76716446040367</v>
      </c>
      <c r="I97" s="1565">
        <f>IF(ISERROR(MATCH($B97,'A1.3.2'!$B$27:$B$106,0)),"",VLOOKUP($B97,'Forecast occupancies'!$C$28:$CP$64,7,TRUE) * ('VoT5'!$J$29*VLOOKUP($B97, 'A1.3.2'!$B$27:$AY$106,49,)+'VoT5'!$J$30*VLOOKUP($B97, 'A1.3.2'!$B$27:$AY$106,50,))/('VoT5'!$J$29+'VoT5'!$J$30) * $CR$5)</f>
        <v>30.378898880586974</v>
      </c>
      <c r="J97" s="1566">
        <f>IF(ISERROR(MATCH($B97,'A1.3.2'!$B$27:$B$106,0)),"",(H97*'VoT5'!$D$31 + I97*'VoT5'!$D$32)/100)</f>
        <v>47.440572590825667</v>
      </c>
      <c r="K97" s="1566">
        <f>IF(ISERROR(MATCH($B97,'A1.3.2'!$B$27:$B$106,0)),"",(VLOOKUP($B97,'Forecast occupancies'!$C$28:$CP$64,9,TRUE)*VLOOKUP($B97,'A1.3.2'!$B$27:$AY$106,38,)) * $CR$5)</f>
        <v>48.864750598660237</v>
      </c>
      <c r="L97" s="1566">
        <f>IF(ISERROR(MATCH($B97,'A1.3.2'!$B$27:$B$106,0)),"",(VLOOKUP($B97,'Forecast occupancies'!$C$28:$CP$64,10,TRUE)*VLOOKUP($B97,'A1.3.2'!$B$27:$AY$106,38,)) * $CR$5)</f>
        <v>48.864750598660237</v>
      </c>
      <c r="M97" s="1565">
        <f>IF(ISERROR(MATCH($B97,'A1.3.2'!$B$27:$B$106,0)),"",(((VLOOKUP($B97,'Forecast occupancies'!$C$28:$CP$64,11,TRUE) -1) * VLOOKUP($B97,'A1.3.2'!$B$27:$AY$106,40,)) + VLOOKUP($B97,'A1.3.2'!$B$27:$AY$106,39,)) * $CR$5)</f>
        <v>55.681825099561522</v>
      </c>
      <c r="N97" s="1565">
        <f>IF(ISERROR(MATCH($B97,'A1.3.2'!$B$27:$B$106,0)),"",(VLOOKUP($B97,'Forecast occupancies'!$C$28:$CP$64,12,TRUE) * VLOOKUP($B97,'A1.3.2'!$B$27:$AY$106,49,)) * $CR$5)</f>
        <v>76.224253448683115</v>
      </c>
      <c r="O97" s="1565">
        <f>IF(ISERROR(MATCH($B97,'A1.3.2'!$B$27:$B$106,0)),"",(VLOOKUP($B97,'Forecast occupancies'!$C$28:$CP$64,13,TRUE) * VLOOKUP($B97,'A1.3.2'!$B$27:$AY$106,50,)) * $CR$5)</f>
        <v>151.31062495021698</v>
      </c>
      <c r="P97" s="1567">
        <f>IF(ISERROR(MATCH($B97,'A1.3.2'!$B$27:$B$106,0)),"",SUM(M97:O97))</f>
        <v>283.21670349846158</v>
      </c>
      <c r="Q97" s="1609">
        <f>IF(ISERROR(MATCH($B97,'A1.3.2'!$B$27:$B$106,0)),"",(((VLOOKUP($B97,'Forecast occupancies'!$C$28:$CP$64,15,TRUE)-1)*VLOOKUP($B97,'A1.3.2'!$B$27:$AY$106,36,)+VLOOKUP($B97,'A1.3.2'!$B$27:$AY$106,35,))*$CR$5))</f>
        <v>69.782299775618156</v>
      </c>
      <c r="R97" s="1565">
        <f>IF(ISERROR(MATCH($B97,'A1.3.2'!$B$27:$B$106,0)),"",VLOOKUP($B97,'Forecast occupancies'!$C$28:$CP$64,16,TRUE)*VLOOKUP($B97,'A1.3.2'!$B$27:$AY$106,49,)*$CR$5)</f>
        <v>39.001112407219821</v>
      </c>
      <c r="S97" s="1565">
        <f>IF(ISERROR(MATCH($B97,'A1.3.2'!$B$27:$B$106,0)),"",VLOOKUP($B97,'Forecast occupancies'!$C$28:$CP$64,17,TRUE)*VLOOKUP($B97,'A1.3.2'!$B$27:$AY$106,50,)*$CR$5)</f>
        <v>28.204497899500662</v>
      </c>
      <c r="T97" s="1566">
        <f>IF(ISERROR(MATCH($B97,'A1.3.2'!$B$27:$B$106,0)),"",(((Q97*'VoT5'!$E$28)+(R97*'VoT5'!$E$29)+(S97*'VoT5'!$E$30))/100))</f>
        <v>36.326964204455926</v>
      </c>
      <c r="U97" s="1565">
        <f>IF(ISERROR(MATCH($B97,'A1.3.2'!$B$27:$B$106,0)),"",(VLOOKUP($B97,'Forecast occupancies'!$C$28:$CP$64,19,TRUE) * VLOOKUP($B97, 'A1.3.2'!$B$27:$AY$106,37,)) * $CR$5)</f>
        <v>49.76716446040367</v>
      </c>
      <c r="V97" s="1565">
        <f>IF(ISERROR(MATCH($B97,'A1.3.2'!$B$27:$B$106,0)),"",VLOOKUP($B97,'Forecast occupancies'!$C$28:$CP$64,20,TRUE) * ('VoT5'!$J$29*VLOOKUP($B97, 'A1.3.2'!$B$27:$AY$106,49,)+'VoT5'!$J$30*VLOOKUP($B97, 'A1.3.2'!$B$27:$AY$106,50,))/('VoT5'!$J$29+'VoT5'!$J$30) * $CR$5)</f>
        <v>30.378898880586974</v>
      </c>
      <c r="W97" s="1566">
        <f>IF(ISERROR(MATCH($B97,'A1.3.2'!$B$27:$B$106,0)),"",(U97*'VoT5'!$E$31 + V97*'VoT5'!$E$32)/100)</f>
        <v>47.440572590825667</v>
      </c>
      <c r="X97" s="1566">
        <f>IF(ISERROR(MATCH($B97,'A1.3.2'!$B$27:$B$106,0)),"",(VLOOKUP($B97,'Forecast occupancies'!$C$28:$CP$64,22,TRUE)*VLOOKUP($B97,'A1.3.2'!$B$27:$AY$106,38,)) * $CR$5)</f>
        <v>48.864750598660237</v>
      </c>
      <c r="Y97" s="1566">
        <f>IF(ISERROR(MATCH($B97,'A1.3.2'!$B$27:$B$106,0)),"",(VLOOKUP($B97,'Forecast occupancies'!$C$28:$CP$64,23,TRUE)*VLOOKUP($B97,'A1.3.2'!$B$27:$AY$106,38,)) * $CR$5)</f>
        <v>48.864750598660237</v>
      </c>
      <c r="Z97" s="1565">
        <f>IF(ISERROR(MATCH($B97,'A1.3.2'!$B$27:$B$106,0)),"",(((VLOOKUP($B97,'Forecast occupancies'!$C$28:$CP$64,24,TRUE) -1) * VLOOKUP($B97,'A1.3.2'!$B$27:$AY$106,40,)) + VLOOKUP($B97,'A1.3.2'!$B$27:$AY$106,39,)) * $CR$5)</f>
        <v>56.818340666347822</v>
      </c>
      <c r="AA97" s="1565">
        <f>IF(ISERROR(MATCH($B97,'A1.3.2'!$B$27:$B$106,0)),"",(VLOOKUP($B97,'Forecast occupancies'!$C$28:$CP$64,25,TRUE) * VLOOKUP($B97,'A1.3.2'!$B$27:$AY$106,49,)) * $CR$5)</f>
        <v>26.714175262873812</v>
      </c>
      <c r="AB97" s="1565">
        <f>IF(ISERROR(MATCH($B97,'A1.3.2'!$B$27:$B$106,0)),"",(VLOOKUP($B97,'Forecast occupancies'!$C$28:$CP$64,26,TRUE) * VLOOKUP($B97,'A1.3.2'!$B$27:$AY$106,50,)) * $CR$5)</f>
        <v>173.39344181883928</v>
      </c>
      <c r="AC97" s="1567">
        <f>IF(ISERROR(MATCH($B97,'A1.3.2'!$B$27:$B$106,0)),"",SUM(Z97:AB97))</f>
        <v>256.92595774806091</v>
      </c>
      <c r="AD97" s="1609">
        <f>IF(ISERROR(MATCH($B97,'A1.3.2'!$B$27:$B$106,0)),"",(((VLOOKUP($B97,'Forecast occupancies'!$C$28:$CP$64,28,TRUE)-1)*VLOOKUP($B97,'A1.3.2'!$B$27:$AY$106,36,)+VLOOKUP($B97,'A1.3.2'!$B$27:$AY$106,35,))*$CR$5))</f>
        <v>69.081490069564026</v>
      </c>
      <c r="AE97" s="1565">
        <f>IF(ISERROR(MATCH($B97,'A1.3.2'!$B$27:$B$106,0)),"",VLOOKUP($B97,'Forecast occupancies'!$C$28:$CP$64,29,TRUE)*VLOOKUP($B97,'A1.3.2'!$B$27:$AY$106,49,)*$CR$5)</f>
        <v>38.509473536867382</v>
      </c>
      <c r="AF97" s="1565">
        <f>IF(ISERROR(MATCH($B97,'A1.3.2'!$B$27:$B$106,0)),"",VLOOKUP($B97,'Forecast occupancies'!$C$28:$CP$64,30,TRUE)*VLOOKUP($B97,'A1.3.2'!$B$27:$AY$106,50,)*$CR$5)</f>
        <v>27.727152151818906</v>
      </c>
      <c r="AG97" s="1566">
        <f>IF(ISERROR(MATCH($B97,'A1.3.2'!$B$27:$B$106,0)),"",(((AD97*'VoT5'!$F$28)+(AE97*'VoT5'!$F$29)+(AF97*'VoT5'!$F$30))/100))</f>
        <v>37.059246181254096</v>
      </c>
      <c r="AH97" s="1565">
        <f>IF(ISERROR(MATCH($B97,'A1.3.2'!$B$27:$B$106,0)),"",(VLOOKUP($B97,'Forecast occupancies'!$C$28:$CP$64,32,TRUE) * VLOOKUP($B97, 'A1.3.2'!$B$27:$AY$106,37,)) * $CR$5)</f>
        <v>49.76716446040367</v>
      </c>
      <c r="AI97" s="1565">
        <f>IF(ISERROR(MATCH($B97,'A1.3.2'!$B$27:$B$106,0)),"",VLOOKUP($B97,'Forecast occupancies'!$C$28:$CP$64,33,TRUE) * ('VoT5'!$J$29*VLOOKUP($B97, 'A1.3.2'!$B$27:$AY$106,49,)+'VoT5'!$J$30*VLOOKUP($B97, 'A1.3.2'!$B$27:$AY$106,50,))/('VoT5'!$J$29+'VoT5'!$J$30) * $CR$5)</f>
        <v>30.378898880586974</v>
      </c>
      <c r="AJ97" s="1566">
        <f>IF(ISERROR(MATCH($B97,'A1.3.2'!$B$27:$B$106,0)),"",(AH97*'VoT5'!$F$31 + AI97*'VoT5'!$F$32)/100)</f>
        <v>47.440572590825667</v>
      </c>
      <c r="AK97" s="1566">
        <f>IF(ISERROR(MATCH($B97,'A1.3.2'!$B$27:$B$106,0)),"",(VLOOKUP($B97,'Forecast occupancies'!$C$28:$CP$64,35,TRUE)*VLOOKUP($B97,'A1.3.2'!$B$27:$AY$106,38,)) * $CR$5)</f>
        <v>48.864750598660237</v>
      </c>
      <c r="AL97" s="1566">
        <f>IF(ISERROR(MATCH($B97,'A1.3.2'!$B$27:$B$106,0)),"",(VLOOKUP($B97,'Forecast occupancies'!$C$28:$CP$64,36,TRUE)*VLOOKUP($B97,'A1.3.2'!$B$27:$AY$106,38,)) * $CR$5)</f>
        <v>48.864750598660237</v>
      </c>
      <c r="AM97" s="1565">
        <f>IF(ISERROR(MATCH($B97,'A1.3.2'!$B$27:$B$106,0)),"",(((VLOOKUP($B97,'Forecast occupancies'!$C$28:$CP$64,37,TRUE) -1) * VLOOKUP($B97,'A1.3.2'!$B$27:$AY$106,40,)) + VLOOKUP($B97,'A1.3.2'!$B$27:$AY$106,39,)) * $CR$5)</f>
        <v>59.448295626447972</v>
      </c>
      <c r="AN97" s="1565">
        <f>IF(ISERROR(MATCH($B97,'A1.3.2'!$B$27:$B$106,0)),"",(VLOOKUP($B97,'Forecast occupancies'!$C$28:$CP$64,38,TRUE) * VLOOKUP($B97,'A1.3.2'!$B$27:$AY$106,49,)) * $CR$5)</f>
        <v>107.20007737524436</v>
      </c>
      <c r="AO97" s="1565">
        <f>IF(ISERROR(MATCH($B97,'A1.3.2'!$B$27:$B$106,0)),"",(VLOOKUP($B97,'Forecast occupancies'!$C$28:$CP$64,39,TRUE) * VLOOKUP($B97,'A1.3.2'!$B$27:$AY$106,50,)) * $CR$5)</f>
        <v>135.46536566131883</v>
      </c>
      <c r="AP97" s="1567">
        <f>IF(ISERROR(MATCH($B97,'A1.3.2'!$B$27:$B$106,0)),"",SUM(AM97:AO97))</f>
        <v>302.11373866301119</v>
      </c>
      <c r="AQ97" s="1609">
        <f>IF(ISERROR(MATCH($B97,'A1.3.2'!$B$27:$B$106,0)),"",(((VLOOKUP($B97,'Forecast occupancies'!$C$28:$CP$64,41,TRUE)-1)*VLOOKUP($B97,'A1.3.2'!$B$27:$AY$106,36,)+VLOOKUP($B97,'A1.3.2'!$B$27:$AY$106,35,))*$CR$5))</f>
        <v>70.388554841413821</v>
      </c>
      <c r="AR97" s="1565">
        <f>IF(ISERROR(MATCH($B97,'A1.3.2'!$B$27:$B$106,0)),"",VLOOKUP($B97,'Forecast occupancies'!$C$28:$CP$64,42,TRUE)*VLOOKUP($B97,'A1.3.2'!$B$27:$AY$106,49,)*$CR$5)</f>
        <v>39.073096358078068</v>
      </c>
      <c r="AS97" s="1565">
        <f>IF(ISERROR(MATCH($B97,'A1.3.2'!$B$27:$B$106,0)),"",VLOOKUP($B97,'Forecast occupancies'!$C$28:$CP$64,43,TRUE)*VLOOKUP($B97,'A1.3.2'!$B$27:$AY$106,50,)*$CR$5)</f>
        <v>27.628160138617876</v>
      </c>
      <c r="AT97" s="1566">
        <f>IF(ISERROR(MATCH($B97,'A1.3.2'!$B$27:$B$106,0)),"",(((AQ97*'VoT5'!$G$28)+(AR97*'VoT5'!$G$29)+(AS97*'VoT5'!$G$30))/100))</f>
        <v>37.546382555165323</v>
      </c>
      <c r="AU97" s="1565">
        <f>IF(ISERROR(MATCH($B97,'A1.3.2'!$B$27:$B$106,0)),"",(VLOOKUP($B97,'Forecast occupancies'!$C$28:$CP$64,45,TRUE) * VLOOKUP($B97, 'A1.3.2'!$B$27:$AY$106,37,)) * $CR$5)</f>
        <v>49.76716446040367</v>
      </c>
      <c r="AV97" s="1565">
        <f>IF(ISERROR(MATCH($B97,'A1.3.2'!$B$27:$B$106,0)),"",VLOOKUP($B97,'Forecast occupancies'!$C$28:$CP$64,46,TRUE) * ('VoT5'!$J$29*VLOOKUP($B97, 'A1.3.2'!$B$27:$AY$106,49,)+'VoT5'!$J$30*VLOOKUP($B97, 'A1.3.2'!$B$27:$AY$106,50,))/('VoT5'!$J$29+'VoT5'!$J$30) * $CR$5)</f>
        <v>30.378898880586974</v>
      </c>
      <c r="AW97" s="1566">
        <f>IF(ISERROR(MATCH($B97,'A1.3.2'!$B$27:$B$106,0)),"",(AU97*'VoT5'!$G$31 + AV97*'VoT5'!$G$32)/100)</f>
        <v>47.440572590825667</v>
      </c>
      <c r="AX97" s="1566">
        <f>IF(ISERROR(MATCH($B97,'A1.3.2'!$B$27:$B$106,0)),"",(VLOOKUP($B97,'Forecast occupancies'!$C$28:$CP$64,48,TRUE)*VLOOKUP($B97,'A1.3.2'!$B$27:$AY$106,38,)) * $CR$5)</f>
        <v>48.864750598660237</v>
      </c>
      <c r="AY97" s="1566">
        <f>IF(ISERROR(MATCH($B97,'A1.3.2'!$B$27:$B$106,0)),"",(VLOOKUP($B97,'Forecast occupancies'!$C$28:$CP$64,49,TRUE)*VLOOKUP($B97,'A1.3.2'!$B$27:$AY$106,38,)) * $CR$5)</f>
        <v>48.864750598660237</v>
      </c>
      <c r="AZ97" s="1565">
        <f>IF(ISERROR(MATCH($B97,'A1.3.2'!$B$27:$B$106,0)),"",(((VLOOKUP($B97,'Forecast occupancies'!$C$28:$CP$64,50,TRUE) -1) * VLOOKUP($B97,'A1.3.2'!$B$27:$AY$106,40,)) + VLOOKUP($B97,'A1.3.2'!$B$27:$AY$106,39,)) * $CR$5)</f>
        <v>59.400221385801331</v>
      </c>
      <c r="BA97" s="1565">
        <f>IF(ISERROR(MATCH($B97,'A1.3.2'!$B$27:$B$106,0)),"",(VLOOKUP($B97,'Forecast occupancies'!$C$28:$CP$64,51,TRUE) * VLOOKUP($B97,'A1.3.2'!$B$27:$AY$106,49,)) * $CR$5)</f>
        <v>146.53984297177342</v>
      </c>
      <c r="BB97" s="1565">
        <f>IF(ISERROR(MATCH($B97,'A1.3.2'!$B$27:$B$106,0)),"",(VLOOKUP($B97,'Forecast occupancies'!$C$28:$CP$64,52,TRUE) * VLOOKUP($B97,'A1.3.2'!$B$27:$AY$106,50,)) * $CR$5)</f>
        <v>117.53130328779706</v>
      </c>
      <c r="BC97" s="1567">
        <f>IF(ISERROR(MATCH($B97,'A1.3.2'!$B$27:$B$106,0)),"",SUM(AZ97:BB97))</f>
        <v>323.4713676453718</v>
      </c>
      <c r="BD97" s="1565">
        <f>IF(ISERROR(MATCH($B97,'A1.3.2'!$B$27:$B$106,0)),"",(((VLOOKUP($B97,'Forecast occupancies'!$C$28:$CP$64,54,TRUE)-1)*VLOOKUP($B97,'A1.3.2'!$B$27:$AY$106,36,)+VLOOKUP($B97,'A1.3.2'!$B$27:$AY$106,35,))*$CR$5))</f>
        <v>69.20440606083001</v>
      </c>
      <c r="BE97" s="1565">
        <f>IF(ISERROR(MATCH($B97,'A1.3.2'!$B$27:$B$106,0)),"",VLOOKUP($B97,'Forecast occupancies'!$C$28:$CP$64,55,TRUE)*VLOOKUP($B97,'A1.3.2'!$B$27:$AY$106,49,)*$CR$5)</f>
        <v>38.640406067626493</v>
      </c>
      <c r="BF97" s="1565">
        <f>IF(ISERROR(MATCH($B97,'A1.3.2'!$B$27:$B$106,0)),"",VLOOKUP($B97,'Forecast occupancies'!$C$28:$CP$64,56,TRUE)*VLOOKUP($B97,'A1.3.2'!$B$27:$AY$106,50,)*$CR$5)</f>
        <v>27.696806439713953</v>
      </c>
      <c r="BG97" s="1566">
        <f>IF(ISERROR(MATCH($B97,'A1.3.2'!$B$27:$B$106,0)),"",(((BD97*'VoT5'!$H$28)+(BE97*'VoT5'!$H$29)+(BF97*'VoT5'!$H$30))/100))</f>
        <v>37.275987531945432</v>
      </c>
      <c r="BH97" s="1565">
        <f>IF(ISERROR(MATCH($B97,'A1.3.2'!$B$27:$B$106,0)),"",(VLOOKUP($B97,'Forecast occupancies'!$C$28:$CP$64,58,TRUE) * VLOOKUP($B97, 'A1.3.2'!$B$27:$AY$106,37,)) * $CR$5)</f>
        <v>49.76716446040367</v>
      </c>
      <c r="BI97" s="1565">
        <f>IF(ISERROR(MATCH($B97,'A1.3.2'!$B$27:$B$106,0)),"",(VLOOKUP($B97,'Forecast occupancies'!$C$28:$CP$64,59,TRUE) * (VLOOKUP($B97,'A1.3.2'!$B$27:$AY$106,49,) * 'VoT5'!$J$29 + VLOOKUP($B97,'A1.3.2'!$B$27:$AY$106,50,) * 'VoT5'!$J$30) / (SUM('VoT5'!$J$29:$J$30))) * $CR$5)</f>
        <v>30.378898880586974</v>
      </c>
      <c r="BJ97" s="1566">
        <f>IF(ISERROR(MATCH($B97,'A1.3.2'!$B$27:$B$106,0)),"",(BH97*'VoT5'!$H$31 + BI97*'VoT5'!$H$32)/100)</f>
        <v>47.440572590825667</v>
      </c>
      <c r="BK97" s="1566">
        <f>IF(ISERROR(MATCH($B97,'A1.3.2'!$B$27:$B$106,0)),"",(VLOOKUP($B97,'Forecast occupancies'!$C$28:$CP$64,61,TRUE)*VLOOKUP($B97,'A1.3.2'!$B$27:$AY$106,38,)) * $CR$5)</f>
        <v>48.864750598660237</v>
      </c>
      <c r="BL97" s="1566">
        <f>IF(ISERROR(MATCH($B97,'A1.3.2'!$B$27:$B$106,0)),"",(VLOOKUP($B97,'Forecast occupancies'!$C$28:$CP$64,62,TRUE)*VLOOKUP($B97,'A1.3.2'!$B$27:$AY$106,38,)) * $CR$5)</f>
        <v>48.864750598660237</v>
      </c>
      <c r="BM97" s="1565">
        <f>IF(ISERROR(MATCH($B97,'A1.3.2'!$B$27:$B$106,0)),"",(((VLOOKUP($B97,'Forecast occupancies'!$C$28:$CP$64,63,TRUE) -1) * VLOOKUP($B97,'A1.3.2'!$B$27:$AY$106,40,)) + VLOOKUP($B97,'A1.3.2'!$B$27:$AY$106,39,)) * $CR$5)</f>
        <v>57.273174366262644</v>
      </c>
      <c r="BN97" s="1565">
        <f>IF(ISERROR(MATCH($B97,'A1.3.2'!$B$27:$B$106,0)),"",(VLOOKUP($B97,'Forecast occupancies'!$C$28:$CP$64,64,TRUE) * VLOOKUP($B97,'A1.3.2'!$B$27:$AY$106,49,)) * $CR$5)</f>
        <v>66.152994437851589</v>
      </c>
      <c r="BO97" s="1565">
        <f>IF(ISERROR(MATCH($B97,'A1.3.2'!$B$27:$B$106,0)),"",(VLOOKUP($B97,'Forecast occupancies'!$C$28:$CP$64,65,TRUE) * VLOOKUP($B97,'A1.3.2'!$B$27:$AY$106,50,)) * $CR$5)</f>
        <v>155.18625064528325</v>
      </c>
      <c r="BP97" s="1567">
        <f>IF(ISERROR(MATCH($B97,'A1.3.2'!$B$27:$B$106,0)),"",SUM(BM97:BO97))</f>
        <v>278.61241944939752</v>
      </c>
      <c r="BQ97" s="1565">
        <f>IF(ISERROR(MATCH($B97,'A1.3.2'!$B$27:$B$106,0)),"",(((VLOOKUP($B97,'Forecast occupancies'!$C$28:$CP$64,67,TRUE)-1)*VLOOKUP($B97,'A1.3.2'!$B$27:$AY$106,36,)+VLOOKUP($B97,'A1.3.2'!$B$27:$AY$106,35,))*$CR$5))</f>
        <v>79.091972843767309</v>
      </c>
      <c r="BR97" s="1565">
        <f>IF(ISERROR(MATCH($B97,'A1.3.2'!$B$27:$B$106,0)),"",VLOOKUP($B97,'Forecast occupancies'!$C$28:$CP$64,68,TRUE)*VLOOKUP($B97,'A1.3.2'!$B$27:$AY$106,49,)*$CR$5)</f>
        <v>40.910604583618785</v>
      </c>
      <c r="BS97" s="1565">
        <f>IF(ISERROR(MATCH($B97,'A1.3.2'!$B$27:$B$106,0)),"",VLOOKUP($B97,'Forecast occupancies'!$C$28:$CP$64,69,TRUE)*VLOOKUP($B97,'A1.3.2'!$B$27:$AY$106,50,)*$CR$5)</f>
        <v>32.793686490599661</v>
      </c>
      <c r="BT97" s="1566">
        <f>IF(ISERROR(MATCH($B97,'A1.3.2'!$B$27:$B$106,0)),"",(((BQ97*'VoT5'!$I$28)+(BR97*'VoT5'!$I$29)+(BS97*'VoT5'!$I$30))/100))</f>
        <v>35.042122130934871</v>
      </c>
      <c r="BU97" s="1565">
        <f>IF(ISERROR(MATCH($B97,'A1.3.2'!$B$27:$B$106,0)),"",(VLOOKUP($B97,'Forecast occupancies'!$C$28:$CP$64,71,TRUE) * VLOOKUP($B97, 'A1.3.2'!$B$27:$AY$106,37,)) * $CR$5)</f>
        <v>52.255522683423855</v>
      </c>
      <c r="BV97" s="1565">
        <f>IF(ISERROR(MATCH($B97,'A1.3.2'!$B$27:$B$106,0)),"",(VLOOKUP($B97,'Forecast occupancies'!$C$28:$CP$64,72,TRUE) * (VLOOKUP($B97,'A1.3.2'!$B$27:$AY$106,49,)*'VoT5'!$J$29 + VLOOKUP($B97,'A1.3.2'!$B$27:$AY$106,50,)*'VoT5'!$J$30) / (SUM('VoT5'!$J$29:$J$30))) * $CR$5)</f>
        <v>42.239153923007912</v>
      </c>
      <c r="BW97" s="1566">
        <f>IF(ISERROR(MATCH($B97,'A1.3.2'!$B$27:$B$106,0)),"",(BU97*'VoT5'!$I$31 + BV97*'VoT5'!$I$32)/100)</f>
        <v>51.053558432173944</v>
      </c>
      <c r="BX97" s="1566">
        <f>IF(ISERROR(MATCH($B97,'A1.3.2'!$B$27:$B$106,0)),"",(VLOOKUP($B97,'Forecast occupancies'!$C$28:$CP$64,74,TRUE)*VLOOKUP($B97,'A1.3.2'!$B$27:$AY$106,38,)) * $CR$5)</f>
        <v>48.864750598660237</v>
      </c>
      <c r="BY97" s="1566">
        <f>IF(ISERROR(MATCH($B97,'A1.3.2'!$B$27:$B$106,0)),"",(VLOOKUP($B97,'Forecast occupancies'!$C$28:$CP$64,75,TRUE)*VLOOKUP($B97,'A1.3.2'!$B$27:$AY$106,38,)) * $CR$5)</f>
        <v>48.864750598660237</v>
      </c>
      <c r="BZ97" s="1565">
        <f>IF(ISERROR(MATCH($B97,'A1.3.2'!$B$27:$B$106,0)),"",(((VLOOKUP($B97,'Forecast occupancies'!$C$28:$CP$64,76,TRUE) -1) * VLOOKUP($B97,'A1.3.2'!$B$27:$AY$106,40,)) + VLOOKUP($B97,'A1.3.2'!$B$27:$AY$106,39,)) * $CR$5)</f>
        <v>52.160643997974866</v>
      </c>
      <c r="CA97" s="1565">
        <f>IF(ISERROR(MATCH($B97,'A1.3.2'!$B$27:$B$106,0)),"",(VLOOKUP($B97,'Forecast occupancies'!$C$28:$CP$64,77,TRUE) * VLOOKUP($B97,'A1.3.2'!$B$27:$AY$106,49,)) * $CR$5)</f>
        <v>25.061306971049696</v>
      </c>
      <c r="CB97" s="1565">
        <f>IF(ISERROR(MATCH($B97,'A1.3.2'!$B$27:$B$106,0)),"",(VLOOKUP($B97,'Forecast occupancies'!$C$28:$CP$64,78,TRUE) * VLOOKUP($B97,'A1.3.2'!$B$27:$AY$106,50,)) * $CR$5)</f>
        <v>176.25872767281871</v>
      </c>
      <c r="CC97" s="1567">
        <f>IF(ISERROR(MATCH($B97,'A1.3.2'!$B$27:$B$106,0)),"",SUM(BZ97:CB97))</f>
        <v>253.48067864184327</v>
      </c>
      <c r="CD97" s="1565">
        <f>IF(ISERROR(MATCH($B97,'A1.3.2'!$B$27:$B$106,0)),"",(((VLOOKUP($B97,'Forecast occupancies'!$C$28:$CP$64,80,TRUE)-1)*VLOOKUP($B97,'A1.3.2'!$B$27:$AY$106,36,)+VLOOKUP($B97,'A1.3.2'!$B$27:$AY$106,35,))*$CR$5))</f>
        <v>69.906253210681484</v>
      </c>
      <c r="CE97" s="1565">
        <f>IF(ISERROR(MATCH($B97,'A1.3.2'!$B$27:$B$106,0)),"",VLOOKUP($B97,'Forecast occupancies'!$C$28:$CP$64,81,TRUE)*VLOOKUP($B97,'A1.3.2'!$B$27:$AY$106,49,)*$CR$5)</f>
        <v>38.824066624020098</v>
      </c>
      <c r="CF97" s="1565">
        <f>IF(ISERROR(MATCH($B97,'A1.3.2'!$B$27:$B$106,0)),"",VLOOKUP($B97,'Forecast occupancies'!$C$28:$CP$64,82,TRUE)*VLOOKUP($B97,'A1.3.2'!$B$27:$AY$106,50,)*$CR$5)</f>
        <v>29.495334469875793</v>
      </c>
      <c r="CG97" s="1566">
        <f>IF(ISERROR(MATCH($B97,'A1.3.2'!$B$27:$B$106,0)),"",(((CD97*'VoT5'!$J$28)+(CE97*'VoT5'!$J$29)+(CF97*'VoT5'!$J$30))/100))</f>
        <v>36.746348654150346</v>
      </c>
      <c r="CH97" s="1565">
        <f>IF(ISERROR(MATCH($B97,'A1.3.2'!$B$27:$B$106,0)),"",(VLOOKUP($B97,'Forecast occupancies'!$C$28:$CP$64,84,TRUE) * VLOOKUP($B97, 'A1.3.2'!$B$27:$AY$106,37,)) * $CR$5)</f>
        <v>49.76716446040367</v>
      </c>
      <c r="CI97" s="1565">
        <f>IF(ISERROR(MATCH($B97,'A1.3.2'!$B$27:$B$106,0)),"",(VLOOKUP($B97,'Forecast occupancies'!$C$28:$CP$64,85,TRUE) * (VLOOKUP($B97,'A1.3.2'!$B$27:$AY$106,49,)*'VoT5'!$J$29 + VLOOKUP($B97,'A1.3.2'!$B$27:$AY$106,50,)*'VoT5'!$J$30) / (SUM('VoT5'!$J$29:$J$30))) * $CR$5)</f>
        <v>33.08386932885842</v>
      </c>
      <c r="CJ97" s="1566">
        <f>IF(ISERROR(MATCH($B97,'A1.3.2'!$B$27:$B$106,0)),"",(CH97*'VoT5'!$J$31 + CI97*'VoT5'!$J$32)/100)</f>
        <v>47.76516904461824</v>
      </c>
      <c r="CK97" s="1566">
        <f>IF(ISERROR(MATCH($B97,'A1.3.2'!$B$27:$B$106,0)),"",(VLOOKUP($B97,'Forecast occupancies'!$C$28:$CP$64,87,TRUE)*VLOOKUP($B97,'A1.3.2'!$B$27:$AY$106,38,)) * $CR$5)</f>
        <v>48.864750598660237</v>
      </c>
      <c r="CL97" s="1566">
        <f>IF(ISERROR(MATCH($B97,'A1.3.2'!$B$27:$B$106,0)),"",(VLOOKUP($B97,'Forecast occupancies'!$C$28:$CP$64,88,TRUE)*VLOOKUP($B97,'A1.3.2'!$B$27:$AY$106,38,)) * $CR$5)</f>
        <v>48.864750598660237</v>
      </c>
      <c r="CM97" s="1565">
        <f>IF(ISERROR(MATCH($B97,'A1.3.2'!$B$27:$B$106,0)),"",(((VLOOKUP($B97,'Forecast occupancies'!$C$28:$CP$64,89,TRUE) -1) * VLOOKUP($B97,'A1.3.2'!$B$27:$AY$106,40,)) + VLOOKUP($B97,'A1.3.2'!$B$27:$AY$106,39,)) * $CR$5)</f>
        <v>56.010681514496731</v>
      </c>
      <c r="CN97" s="1565">
        <f>IF(ISERROR(MATCH($B97,'A1.3.2'!$B$27:$B$106,0)),"",(VLOOKUP($B97,'Forecast occupancies'!$C$28:$CP$64,90,TRUE) * VLOOKUP($B97,'A1.3.2'!$B$27:$AY$106,49,)) * $CR$5)</f>
        <v>56.003820663988975</v>
      </c>
      <c r="CO97" s="1565">
        <f>IF(ISERROR(MATCH($B97,'A1.3.2'!$B$27:$B$106,0)),"",(VLOOKUP($B97,'Forecast occupancies'!$C$28:$CP$64,91,TRUE) * VLOOKUP($B97,'A1.3.2'!$B$27:$AY$106,50,)) * $CR$5)</f>
        <v>160.3907996318419</v>
      </c>
      <c r="CP97" s="1567">
        <f>IF(ISERROR(MATCH($B97,'A1.3.2'!$B$27:$B$106,0)),"",SUM(CM97:CO97))</f>
        <v>272.40530181032761</v>
      </c>
    </row>
    <row r="98" spans="1:94" ht="13.5" customHeight="1">
      <c r="A98" s="113"/>
      <c r="B98" s="82">
        <f t="shared" si="1"/>
        <v>2080</v>
      </c>
      <c r="C98" s="26"/>
      <c r="D98" s="1609">
        <f>IF(ISERROR(MATCH($B98,'A1.3.2'!$B$27:$B$106,0)),"",(((VLOOKUP($B98,'Forecast occupancies'!$C$28:$CP$64,2,TRUE) -1) * VLOOKUP($B98,'A1.3.2'!$B$27:$AY$106,36,) + VLOOKUP($B98,'A1.3.2'!$B$27:$AY$106,35,)) * $CR$5))</f>
        <v>69.531344615491918</v>
      </c>
      <c r="E98" s="1565">
        <f>IF(ISERROR(MATCH($B98,'A1.3.2'!$B$27:$B$106,0)),"",VLOOKUP($B98,'Forecast occupancies'!$C$28:$CP$64,3,TRUE)*VLOOKUP($B98,'A1.3.2'!$B$27:$AY$106,49,)*$CR$5)</f>
        <v>39.184453233072801</v>
      </c>
      <c r="F98" s="1565">
        <f>IF(ISERROR(MATCH($B98,'A1.3.2'!$B$27:$B$106,0)),"",VLOOKUP($B98,'Forecast occupancies'!$C$28:$CP$64,4,TRUE)*VLOOKUP($B98,'A1.3.2'!$B$27:$AY$106,50,)*$CR$5)</f>
        <v>27.034236989196607</v>
      </c>
      <c r="G98" s="1566">
        <f>IF(ISERROR(MATCH($B98,'A1.3.2'!$B$27:$B$106,0)),"",(((D98*'VoT5'!$D$28)+(E98*'VoT5'!$D$29)+(F98*'VoT5'!$D$30))/100))</f>
        <v>39.382895798563617</v>
      </c>
      <c r="H98" s="1565">
        <f>IF(ISERROR(MATCH($B98,'A1.3.2'!$B$27:$B$106,0)),"",(VLOOKUP($B98,'Forecast occupancies'!$C$28:$CP$64,6,TRUE) * VLOOKUP($B98, 'A1.3.2'!$B$27:$AY$106,37,)) * $CR$5)</f>
        <v>50.814138359003515</v>
      </c>
      <c r="I98" s="1565">
        <f>IF(ISERROR(MATCH($B98,'A1.3.2'!$B$27:$B$106,0)),"",VLOOKUP($B98,'Forecast occupancies'!$C$28:$CP$64,7,TRUE) * ('VoT5'!$J$29*VLOOKUP($B98, 'A1.3.2'!$B$27:$AY$106,49,)+'VoT5'!$J$30*VLOOKUP($B98, 'A1.3.2'!$B$27:$AY$106,50,))/('VoT5'!$J$29+'VoT5'!$J$30) * $CR$5)</f>
        <v>31.017993242120962</v>
      </c>
      <c r="J98" s="1566">
        <f>IF(ISERROR(MATCH($B98,'A1.3.2'!$B$27:$B$106,0)),"",(H98*'VoT5'!$D$31 + I98*'VoT5'!$D$32)/100)</f>
        <v>48.438600944977615</v>
      </c>
      <c r="K98" s="1566">
        <f>IF(ISERROR(MATCH($B98,'A1.3.2'!$B$27:$B$106,0)),"",(VLOOKUP($B98,'Forecast occupancies'!$C$28:$CP$64,9,TRUE)*VLOOKUP($B98,'A1.3.2'!$B$27:$AY$106,38,)) * $CR$5)</f>
        <v>49.892740016845643</v>
      </c>
      <c r="L98" s="1566">
        <f>IF(ISERROR(MATCH($B98,'A1.3.2'!$B$27:$B$106,0)),"",(VLOOKUP($B98,'Forecast occupancies'!$C$28:$CP$64,10,TRUE)*VLOOKUP($B98,'A1.3.2'!$B$27:$AY$106,38,)) * $CR$5)</f>
        <v>49.892740016845643</v>
      </c>
      <c r="M98" s="1565">
        <f>IF(ISERROR(MATCH($B98,'A1.3.2'!$B$27:$B$106,0)),"",(((VLOOKUP($B98,'Forecast occupancies'!$C$28:$CP$64,11,TRUE) -1) * VLOOKUP($B98,'A1.3.2'!$B$27:$AY$106,40,)) + VLOOKUP($B98,'A1.3.2'!$B$27:$AY$106,39,)) * $CR$5)</f>
        <v>56.853228335766119</v>
      </c>
      <c r="N98" s="1565">
        <f>IF(ISERROR(MATCH($B98,'A1.3.2'!$B$27:$B$106,0)),"",(VLOOKUP($B98,'Forecast occupancies'!$C$28:$CP$64,12,TRUE) * VLOOKUP($B98,'A1.3.2'!$B$27:$AY$106,49,)) * $CR$5)</f>
        <v>77.827816855726866</v>
      </c>
      <c r="O98" s="1565">
        <f>IF(ISERROR(MATCH($B98,'A1.3.2'!$B$27:$B$106,0)),"",(VLOOKUP($B98,'Forecast occupancies'!$C$28:$CP$64,13,TRUE) * VLOOKUP($B98,'A1.3.2'!$B$27:$AY$106,50,)) * $CR$5)</f>
        <v>154.49381363740349</v>
      </c>
      <c r="P98" s="1567">
        <f>IF(ISERROR(MATCH($B98,'A1.3.2'!$B$27:$B$106,0)),"",SUM(M98:O98))</f>
        <v>289.1748588288965</v>
      </c>
      <c r="Q98" s="1609">
        <f>IF(ISERROR(MATCH($B98,'A1.3.2'!$B$27:$B$106,0)),"",(((VLOOKUP($B98,'Forecast occupancies'!$C$28:$CP$64,15,TRUE)-1)*VLOOKUP($B98,'A1.3.2'!$B$27:$AY$106,36,)+VLOOKUP($B98,'A1.3.2'!$B$27:$AY$106,35,))*$CR$5))</f>
        <v>71.250340947774362</v>
      </c>
      <c r="R98" s="1565">
        <f>IF(ISERROR(MATCH($B98,'A1.3.2'!$B$27:$B$106,0)),"",VLOOKUP($B98,'Forecast occupancies'!$C$28:$CP$64,16,TRUE)*VLOOKUP($B98,'A1.3.2'!$B$27:$AY$106,49,)*$CR$5)</f>
        <v>39.821596096605148</v>
      </c>
      <c r="S98" s="1565">
        <f>IF(ISERROR(MATCH($B98,'A1.3.2'!$B$27:$B$106,0)),"",VLOOKUP($B98,'Forecast occupancies'!$C$28:$CP$64,17,TRUE)*VLOOKUP($B98,'A1.3.2'!$B$27:$AY$106,50,)*$CR$5)</f>
        <v>28.79784842376824</v>
      </c>
      <c r="T98" s="1566">
        <f>IF(ISERROR(MATCH($B98,'A1.3.2'!$B$27:$B$106,0)),"",(((Q98*'VoT5'!$E$28)+(R98*'VoT5'!$E$29)+(S98*'VoT5'!$E$30))/100))</f>
        <v>37.091190652753916</v>
      </c>
      <c r="U98" s="1565">
        <f>IF(ISERROR(MATCH($B98,'A1.3.2'!$B$27:$B$106,0)),"",(VLOOKUP($B98,'Forecast occupancies'!$C$28:$CP$64,19,TRUE) * VLOOKUP($B98, 'A1.3.2'!$B$27:$AY$106,37,)) * $CR$5)</f>
        <v>50.814138359003515</v>
      </c>
      <c r="V98" s="1565">
        <f>IF(ISERROR(MATCH($B98,'A1.3.2'!$B$27:$B$106,0)),"",VLOOKUP($B98,'Forecast occupancies'!$C$28:$CP$64,20,TRUE) * ('VoT5'!$J$29*VLOOKUP($B98, 'A1.3.2'!$B$27:$AY$106,49,)+'VoT5'!$J$30*VLOOKUP($B98, 'A1.3.2'!$B$27:$AY$106,50,))/('VoT5'!$J$29+'VoT5'!$J$30) * $CR$5)</f>
        <v>31.017993242120962</v>
      </c>
      <c r="W98" s="1566">
        <f>IF(ISERROR(MATCH($B98,'A1.3.2'!$B$27:$B$106,0)),"",(U98*'VoT5'!$E$31 + V98*'VoT5'!$E$32)/100)</f>
        <v>48.438600944977615</v>
      </c>
      <c r="X98" s="1566">
        <f>IF(ISERROR(MATCH($B98,'A1.3.2'!$B$27:$B$106,0)),"",(VLOOKUP($B98,'Forecast occupancies'!$C$28:$CP$64,22,TRUE)*VLOOKUP($B98,'A1.3.2'!$B$27:$AY$106,38,)) * $CR$5)</f>
        <v>49.892740016845643</v>
      </c>
      <c r="Y98" s="1566">
        <f>IF(ISERROR(MATCH($B98,'A1.3.2'!$B$27:$B$106,0)),"",(VLOOKUP($B98,'Forecast occupancies'!$C$28:$CP$64,23,TRUE)*VLOOKUP($B98,'A1.3.2'!$B$27:$AY$106,38,)) * $CR$5)</f>
        <v>49.892740016845643</v>
      </c>
      <c r="Z98" s="1565">
        <f>IF(ISERROR(MATCH($B98,'A1.3.2'!$B$27:$B$106,0)),"",(((VLOOKUP($B98,'Forecast occupancies'!$C$28:$CP$64,24,TRUE) -1) * VLOOKUP($B98,'A1.3.2'!$B$27:$AY$106,40,)) + VLOOKUP($B98,'A1.3.2'!$B$27:$AY$106,39,)) * $CR$5)</f>
        <v>58.013653284303999</v>
      </c>
      <c r="AA98" s="1565">
        <f>IF(ISERROR(MATCH($B98,'A1.3.2'!$B$27:$B$106,0)),"",(VLOOKUP($B98,'Forecast occupancies'!$C$28:$CP$64,25,TRUE) * VLOOKUP($B98,'A1.3.2'!$B$27:$AY$106,49,)) * $CR$5)</f>
        <v>27.276173209232681</v>
      </c>
      <c r="AB98" s="1565">
        <f>IF(ISERROR(MATCH($B98,'A1.3.2'!$B$27:$B$106,0)),"",(VLOOKUP($B98,'Forecast occupancies'!$C$28:$CP$64,26,TRUE) * VLOOKUP($B98,'A1.3.2'!$B$27:$AY$106,50,)) * $CR$5)</f>
        <v>177.04119651294394</v>
      </c>
      <c r="AC98" s="1567">
        <f>IF(ISERROR(MATCH($B98,'A1.3.2'!$B$27:$B$106,0)),"",SUM(Z98:AB98))</f>
        <v>262.33102300648062</v>
      </c>
      <c r="AD98" s="1609">
        <f>IF(ISERROR(MATCH($B98,'A1.3.2'!$B$27:$B$106,0)),"",(((VLOOKUP($B98,'Forecast occupancies'!$C$28:$CP$64,28,TRUE)-1)*VLOOKUP($B98,'A1.3.2'!$B$27:$AY$106,36,)+VLOOKUP($B98,'A1.3.2'!$B$27:$AY$106,35,))*$CR$5))</f>
        <v>70.534787997292312</v>
      </c>
      <c r="AE98" s="1565">
        <f>IF(ISERROR(MATCH($B98,'A1.3.2'!$B$27:$B$106,0)),"",VLOOKUP($B98,'Forecast occupancies'!$C$28:$CP$64,29,TRUE)*VLOOKUP($B98,'A1.3.2'!$B$27:$AY$106,49,)*$CR$5)</f>
        <v>39.319614401412736</v>
      </c>
      <c r="AF98" s="1565">
        <f>IF(ISERROR(MATCH($B98,'A1.3.2'!$B$27:$B$106,0)),"",VLOOKUP($B98,'Forecast occupancies'!$C$28:$CP$64,30,TRUE)*VLOOKUP($B98,'A1.3.2'!$B$27:$AY$106,50,)*$CR$5)</f>
        <v>28.310460542003721</v>
      </c>
      <c r="AG98" s="1566">
        <f>IF(ISERROR(MATCH($B98,'A1.3.2'!$B$27:$B$106,0)),"",(((AD98*'VoT5'!$F$28)+(AE98*'VoT5'!$F$29)+(AF98*'VoT5'!$F$30))/100))</f>
        <v>37.838877970090081</v>
      </c>
      <c r="AH98" s="1565">
        <f>IF(ISERROR(MATCH($B98,'A1.3.2'!$B$27:$B$106,0)),"",(VLOOKUP($B98,'Forecast occupancies'!$C$28:$CP$64,32,TRUE) * VLOOKUP($B98, 'A1.3.2'!$B$27:$AY$106,37,)) * $CR$5)</f>
        <v>50.814138359003515</v>
      </c>
      <c r="AI98" s="1565">
        <f>IF(ISERROR(MATCH($B98,'A1.3.2'!$B$27:$B$106,0)),"",VLOOKUP($B98,'Forecast occupancies'!$C$28:$CP$64,33,TRUE) * ('VoT5'!$J$29*VLOOKUP($B98, 'A1.3.2'!$B$27:$AY$106,49,)+'VoT5'!$J$30*VLOOKUP($B98, 'A1.3.2'!$B$27:$AY$106,50,))/('VoT5'!$J$29+'VoT5'!$J$30) * $CR$5)</f>
        <v>31.017993242120962</v>
      </c>
      <c r="AJ98" s="1566">
        <f>IF(ISERROR(MATCH($B98,'A1.3.2'!$B$27:$B$106,0)),"",(AH98*'VoT5'!$F$31 + AI98*'VoT5'!$F$32)/100)</f>
        <v>48.438600944977615</v>
      </c>
      <c r="AK98" s="1566">
        <f>IF(ISERROR(MATCH($B98,'A1.3.2'!$B$27:$B$106,0)),"",(VLOOKUP($B98,'Forecast occupancies'!$C$28:$CP$64,35,TRUE)*VLOOKUP($B98,'A1.3.2'!$B$27:$AY$106,38,)) * $CR$5)</f>
        <v>49.892740016845643</v>
      </c>
      <c r="AL98" s="1566">
        <f>IF(ISERROR(MATCH($B98,'A1.3.2'!$B$27:$B$106,0)),"",(VLOOKUP($B98,'Forecast occupancies'!$C$28:$CP$64,36,TRUE)*VLOOKUP($B98,'A1.3.2'!$B$27:$AY$106,38,)) * $CR$5)</f>
        <v>49.892740016845643</v>
      </c>
      <c r="AM98" s="1565">
        <f>IF(ISERROR(MATCH($B98,'A1.3.2'!$B$27:$B$106,0)),"",(((VLOOKUP($B98,'Forecast occupancies'!$C$28:$CP$64,37,TRUE) -1) * VLOOKUP($B98,'A1.3.2'!$B$27:$AY$106,40,)) + VLOOKUP($B98,'A1.3.2'!$B$27:$AY$106,39,)) * $CR$5)</f>
        <v>60.698935772656412</v>
      </c>
      <c r="AN98" s="1565">
        <f>IF(ISERROR(MATCH($B98,'A1.3.2'!$B$27:$B$106,0)),"",(VLOOKUP($B98,'Forecast occupancies'!$C$28:$CP$64,38,TRUE) * VLOOKUP($B98,'A1.3.2'!$B$27:$AY$106,49,)) * $CR$5)</f>
        <v>109.4552929206079</v>
      </c>
      <c r="AO98" s="1565">
        <f>IF(ISERROR(MATCH($B98,'A1.3.2'!$B$27:$B$106,0)),"",(VLOOKUP($B98,'Forecast occupancies'!$C$28:$CP$64,39,TRUE) * VLOOKUP($B98,'A1.3.2'!$B$27:$AY$106,50,)) * $CR$5)</f>
        <v>138.31521060525827</v>
      </c>
      <c r="AP98" s="1567">
        <f>IF(ISERROR(MATCH($B98,'A1.3.2'!$B$27:$B$106,0)),"",SUM(AM98:AO98))</f>
        <v>308.46943929852262</v>
      </c>
      <c r="AQ98" s="1609">
        <f>IF(ISERROR(MATCH($B98,'A1.3.2'!$B$27:$B$106,0)),"",(((VLOOKUP($B98,'Forecast occupancies'!$C$28:$CP$64,41,TRUE)-1)*VLOOKUP($B98,'A1.3.2'!$B$27:$AY$106,36,)+VLOOKUP($B98,'A1.3.2'!$B$27:$AY$106,35,))*$CR$5))</f>
        <v>71.869350070118443</v>
      </c>
      <c r="AR98" s="1565">
        <f>IF(ISERROR(MATCH($B98,'A1.3.2'!$B$27:$B$106,0)),"",VLOOKUP($B98,'Forecast occupancies'!$C$28:$CP$64,42,TRUE)*VLOOKUP($B98,'A1.3.2'!$B$27:$AY$106,49,)*$CR$5)</f>
        <v>39.895094405745276</v>
      </c>
      <c r="AS98" s="1565">
        <f>IF(ISERROR(MATCH($B98,'A1.3.2'!$B$27:$B$106,0)),"",VLOOKUP($B98,'Forecast occupancies'!$C$28:$CP$64,43,TRUE)*VLOOKUP($B98,'A1.3.2'!$B$27:$AY$106,50,)*$CR$5)</f>
        <v>28.209385989941673</v>
      </c>
      <c r="AT98" s="1566">
        <f>IF(ISERROR(MATCH($B98,'A1.3.2'!$B$27:$B$106,0)),"",(((AQ98*'VoT5'!$G$28)+(AR98*'VoT5'!$G$29)+(AS98*'VoT5'!$G$30))/100))</f>
        <v>38.336262447827863</v>
      </c>
      <c r="AU98" s="1565">
        <f>IF(ISERROR(MATCH($B98,'A1.3.2'!$B$27:$B$106,0)),"",(VLOOKUP($B98,'Forecast occupancies'!$C$28:$CP$64,45,TRUE) * VLOOKUP($B98, 'A1.3.2'!$B$27:$AY$106,37,)) * $CR$5)</f>
        <v>50.814138359003515</v>
      </c>
      <c r="AV98" s="1565">
        <f>IF(ISERROR(MATCH($B98,'A1.3.2'!$B$27:$B$106,0)),"",VLOOKUP($B98,'Forecast occupancies'!$C$28:$CP$64,46,TRUE) * ('VoT5'!$J$29*VLOOKUP($B98, 'A1.3.2'!$B$27:$AY$106,49,)+'VoT5'!$J$30*VLOOKUP($B98, 'A1.3.2'!$B$27:$AY$106,50,))/('VoT5'!$J$29+'VoT5'!$J$30) * $CR$5)</f>
        <v>31.017993242120962</v>
      </c>
      <c r="AW98" s="1566">
        <f>IF(ISERROR(MATCH($B98,'A1.3.2'!$B$27:$B$106,0)),"",(AU98*'VoT5'!$G$31 + AV98*'VoT5'!$G$32)/100)</f>
        <v>48.438600944977615</v>
      </c>
      <c r="AX98" s="1566">
        <f>IF(ISERROR(MATCH($B98,'A1.3.2'!$B$27:$B$106,0)),"",(VLOOKUP($B98,'Forecast occupancies'!$C$28:$CP$64,48,TRUE)*VLOOKUP($B98,'A1.3.2'!$B$27:$AY$106,38,)) * $CR$5)</f>
        <v>49.892740016845643</v>
      </c>
      <c r="AY98" s="1566">
        <f>IF(ISERROR(MATCH($B98,'A1.3.2'!$B$27:$B$106,0)),"",(VLOOKUP($B98,'Forecast occupancies'!$C$28:$CP$64,49,TRUE)*VLOOKUP($B98,'A1.3.2'!$B$27:$AY$106,38,)) * $CR$5)</f>
        <v>49.892740016845643</v>
      </c>
      <c r="AZ98" s="1565">
        <f>IF(ISERROR(MATCH($B98,'A1.3.2'!$B$27:$B$106,0)),"",(((VLOOKUP($B98,'Forecast occupancies'!$C$28:$CP$64,50,TRUE) -1) * VLOOKUP($B98,'A1.3.2'!$B$27:$AY$106,40,)) + VLOOKUP($B98,'A1.3.2'!$B$27:$AY$106,39,)) * $CR$5)</f>
        <v>60.649850172899846</v>
      </c>
      <c r="BA98" s="1565">
        <f>IF(ISERROR(MATCH($B98,'A1.3.2'!$B$27:$B$106,0)),"",(VLOOKUP($B98,'Forecast occupancies'!$C$28:$CP$64,51,TRUE) * VLOOKUP($B98,'A1.3.2'!$B$27:$AY$106,49,)) * $CR$5)</f>
        <v>149.62266660377756</v>
      </c>
      <c r="BB98" s="1565">
        <f>IF(ISERROR(MATCH($B98,'A1.3.2'!$B$27:$B$106,0)),"",(VLOOKUP($B98,'Forecast occupancies'!$C$28:$CP$64,52,TRUE) * VLOOKUP($B98,'A1.3.2'!$B$27:$AY$106,50,)) * $CR$5)</f>
        <v>120.00386141211314</v>
      </c>
      <c r="BC98" s="1567">
        <f>IF(ISERROR(MATCH($B98,'A1.3.2'!$B$27:$B$106,0)),"",SUM(AZ98:BB98))</f>
        <v>330.27637818879055</v>
      </c>
      <c r="BD98" s="1565">
        <f>IF(ISERROR(MATCH($B98,'A1.3.2'!$B$27:$B$106,0)),"",(((VLOOKUP($B98,'Forecast occupancies'!$C$28:$CP$64,54,TRUE)-1)*VLOOKUP($B98,'A1.3.2'!$B$27:$AY$106,36,)+VLOOKUP($B98,'A1.3.2'!$B$27:$AY$106,35,))*$CR$5))</f>
        <v>70.660289826750443</v>
      </c>
      <c r="BE98" s="1565">
        <f>IF(ISERROR(MATCH($B98,'A1.3.2'!$B$27:$B$106,0)),"",VLOOKUP($B98,'Forecast occupancies'!$C$28:$CP$64,55,TRUE)*VLOOKUP($B98,'A1.3.2'!$B$27:$AY$106,49,)*$CR$5)</f>
        <v>39.453301417858718</v>
      </c>
      <c r="BF98" s="1565">
        <f>IF(ISERROR(MATCH($B98,'A1.3.2'!$B$27:$B$106,0)),"",VLOOKUP($B98,'Forecast occupancies'!$C$28:$CP$64,56,TRUE)*VLOOKUP($B98,'A1.3.2'!$B$27:$AY$106,50,)*$CR$5)</f>
        <v>28.279476433702143</v>
      </c>
      <c r="BG98" s="1566">
        <f>IF(ISERROR(MATCH($B98,'A1.3.2'!$B$27:$B$106,0)),"",(((BD98*'VoT5'!$H$28)+(BE98*'VoT5'!$H$29)+(BF98*'VoT5'!$H$30))/100))</f>
        <v>38.060179004648909</v>
      </c>
      <c r="BH98" s="1565">
        <f>IF(ISERROR(MATCH($B98,'A1.3.2'!$B$27:$B$106,0)),"",(VLOOKUP($B98,'Forecast occupancies'!$C$28:$CP$64,58,TRUE) * VLOOKUP($B98, 'A1.3.2'!$B$27:$AY$106,37,)) * $CR$5)</f>
        <v>50.814138359003515</v>
      </c>
      <c r="BI98" s="1565">
        <f>IF(ISERROR(MATCH($B98,'A1.3.2'!$B$27:$B$106,0)),"",(VLOOKUP($B98,'Forecast occupancies'!$C$28:$CP$64,59,TRUE) * (VLOOKUP($B98,'A1.3.2'!$B$27:$AY$106,49,) * 'VoT5'!$J$29 + VLOOKUP($B98,'A1.3.2'!$B$27:$AY$106,50,) * 'VoT5'!$J$30) / (SUM('VoT5'!$J$29:$J$30))) * $CR$5)</f>
        <v>31.017993242120962</v>
      </c>
      <c r="BJ98" s="1566">
        <f>IF(ISERROR(MATCH($B98,'A1.3.2'!$B$27:$B$106,0)),"",(BH98*'VoT5'!$H$31 + BI98*'VoT5'!$H$32)/100)</f>
        <v>48.438600944977615</v>
      </c>
      <c r="BK98" s="1566">
        <f>IF(ISERROR(MATCH($B98,'A1.3.2'!$B$27:$B$106,0)),"",(VLOOKUP($B98,'Forecast occupancies'!$C$28:$CP$64,61,TRUE)*VLOOKUP($B98,'A1.3.2'!$B$27:$AY$106,38,)) * $CR$5)</f>
        <v>49.892740016845643</v>
      </c>
      <c r="BL98" s="1566">
        <f>IF(ISERROR(MATCH($B98,'A1.3.2'!$B$27:$B$106,0)),"",(VLOOKUP($B98,'Forecast occupancies'!$C$28:$CP$64,62,TRUE)*VLOOKUP($B98,'A1.3.2'!$B$27:$AY$106,38,)) * $CR$5)</f>
        <v>49.892740016845643</v>
      </c>
      <c r="BM98" s="1565">
        <f>IF(ISERROR(MATCH($B98,'A1.3.2'!$B$27:$B$106,0)),"",(((VLOOKUP($B98,'Forecast occupancies'!$C$28:$CP$64,63,TRUE) -1) * VLOOKUP($B98,'A1.3.2'!$B$27:$AY$106,40,)) + VLOOKUP($B98,'A1.3.2'!$B$27:$AY$106,39,)) * $CR$5)</f>
        <v>58.478055522374</v>
      </c>
      <c r="BN98" s="1565">
        <f>IF(ISERROR(MATCH($B98,'A1.3.2'!$B$27:$B$106,0)),"",(VLOOKUP($B98,'Forecast occupancies'!$C$28:$CP$64,64,TRUE) * VLOOKUP($B98,'A1.3.2'!$B$27:$AY$106,49,)) * $CR$5)</f>
        <v>67.544684304887483</v>
      </c>
      <c r="BO98" s="1565">
        <f>IF(ISERROR(MATCH($B98,'A1.3.2'!$B$27:$B$106,0)),"",(VLOOKUP($B98,'Forecast occupancies'!$C$28:$CP$64,65,TRUE) * VLOOKUP($B98,'A1.3.2'!$B$27:$AY$106,50,)) * $CR$5)</f>
        <v>158.45097258813087</v>
      </c>
      <c r="BP98" s="1567">
        <f>IF(ISERROR(MATCH($B98,'A1.3.2'!$B$27:$B$106,0)),"",SUM(BM98:BO98))</f>
        <v>284.47371241539236</v>
      </c>
      <c r="BQ98" s="1565">
        <f>IF(ISERROR(MATCH($B98,'A1.3.2'!$B$27:$B$106,0)),"",(((VLOOKUP($B98,'Forecast occupancies'!$C$28:$CP$64,67,TRUE)-1)*VLOOKUP($B98,'A1.3.2'!$B$27:$AY$106,36,)+VLOOKUP($B98,'A1.3.2'!$B$27:$AY$106,35,))*$CR$5))</f>
        <v>80.755865734873765</v>
      </c>
      <c r="BR98" s="1565">
        <f>IF(ISERROR(MATCH($B98,'A1.3.2'!$B$27:$B$106,0)),"",VLOOKUP($B98,'Forecast occupancies'!$C$28:$CP$64,68,TRUE)*VLOOKUP($B98,'A1.3.2'!$B$27:$AY$106,49,)*$CR$5)</f>
        <v>41.771259106322553</v>
      </c>
      <c r="BS98" s="1565">
        <f>IF(ISERROR(MATCH($B98,'A1.3.2'!$B$27:$B$106,0)),"",VLOOKUP($B98,'Forecast occupancies'!$C$28:$CP$64,69,TRUE)*VLOOKUP($B98,'A1.3.2'!$B$27:$AY$106,50,)*$CR$5)</f>
        <v>33.48358180946682</v>
      </c>
      <c r="BT98" s="1566">
        <f>IF(ISERROR(MATCH($B98,'A1.3.2'!$B$27:$B$106,0)),"",(((BQ98*'VoT5'!$I$28)+(BR98*'VoT5'!$I$29)+(BS98*'VoT5'!$I$30))/100))</f>
        <v>35.779318787011739</v>
      </c>
      <c r="BU98" s="1565">
        <f>IF(ISERROR(MATCH($B98,'A1.3.2'!$B$27:$B$106,0)),"",(VLOOKUP($B98,'Forecast occupancies'!$C$28:$CP$64,71,TRUE) * VLOOKUP($B98, 'A1.3.2'!$B$27:$AY$106,37,)) * $CR$5)</f>
        <v>53.354845276953696</v>
      </c>
      <c r="BV98" s="1565">
        <f>IF(ISERROR(MATCH($B98,'A1.3.2'!$B$27:$B$106,0)),"",(VLOOKUP($B98,'Forecast occupancies'!$C$28:$CP$64,72,TRUE) * (VLOOKUP($B98,'A1.3.2'!$B$27:$AY$106,49,)*'VoT5'!$J$29 + VLOOKUP($B98,'A1.3.2'!$B$27:$AY$106,50,)*'VoT5'!$J$30) / (SUM('VoT5'!$J$29:$J$30))) * $CR$5)</f>
        <v>43.127757727058601</v>
      </c>
      <c r="BW98" s="1566">
        <f>IF(ISERROR(MATCH($B98,'A1.3.2'!$B$27:$B$106,0)),"",(BU98*'VoT5'!$I$31 + BV98*'VoT5'!$I$32)/100)</f>
        <v>52.12759477096629</v>
      </c>
      <c r="BX98" s="1566">
        <f>IF(ISERROR(MATCH($B98,'A1.3.2'!$B$27:$B$106,0)),"",(VLOOKUP($B98,'Forecast occupancies'!$C$28:$CP$64,74,TRUE)*VLOOKUP($B98,'A1.3.2'!$B$27:$AY$106,38,)) * $CR$5)</f>
        <v>49.892740016845643</v>
      </c>
      <c r="BY98" s="1566">
        <f>IF(ISERROR(MATCH($B98,'A1.3.2'!$B$27:$B$106,0)),"",(VLOOKUP($B98,'Forecast occupancies'!$C$28:$CP$64,75,TRUE)*VLOOKUP($B98,'A1.3.2'!$B$27:$AY$106,38,)) * $CR$5)</f>
        <v>49.892740016845643</v>
      </c>
      <c r="BZ98" s="1565">
        <f>IF(ISERROR(MATCH($B98,'A1.3.2'!$B$27:$B$106,0)),"",(((VLOOKUP($B98,'Forecast occupancies'!$C$28:$CP$64,76,TRUE) -1) * VLOOKUP($B98,'A1.3.2'!$B$27:$AY$106,40,)) + VLOOKUP($B98,'A1.3.2'!$B$27:$AY$106,39,)) * $CR$5)</f>
        <v>53.257970586542889</v>
      </c>
      <c r="CA98" s="1565">
        <f>IF(ISERROR(MATCH($B98,'A1.3.2'!$B$27:$B$106,0)),"",(VLOOKUP($B98,'Forecast occupancies'!$C$28:$CP$64,77,TRUE) * VLOOKUP($B98,'A1.3.2'!$B$27:$AY$106,49,)) * $CR$5)</f>
        <v>25.588532794501297</v>
      </c>
      <c r="CB98" s="1565">
        <f>IF(ISERROR(MATCH($B98,'A1.3.2'!$B$27:$B$106,0)),"",(VLOOKUP($B98,'Forecast occupancies'!$C$28:$CP$64,78,TRUE) * VLOOKUP($B98,'A1.3.2'!$B$27:$AY$106,50,)) * $CR$5)</f>
        <v>179.96676065550318</v>
      </c>
      <c r="CC98" s="1567">
        <f>IF(ISERROR(MATCH($B98,'A1.3.2'!$B$27:$B$106,0)),"",SUM(BZ98:CB98))</f>
        <v>258.81326403654737</v>
      </c>
      <c r="CD98" s="1565">
        <f>IF(ISERROR(MATCH($B98,'A1.3.2'!$B$27:$B$106,0)),"",(((VLOOKUP($B98,'Forecast occupancies'!$C$28:$CP$64,80,TRUE)-1)*VLOOKUP($B98,'A1.3.2'!$B$27:$AY$106,36,)+VLOOKUP($B98,'A1.3.2'!$B$27:$AY$106,35,))*$CR$5))</f>
        <v>71.376902046194857</v>
      </c>
      <c r="CE98" s="1565">
        <f>IF(ISERROR(MATCH($B98,'A1.3.2'!$B$27:$B$106,0)),"",VLOOKUP($B98,'Forecast occupancies'!$C$28:$CP$64,81,TRUE)*VLOOKUP($B98,'A1.3.2'!$B$27:$AY$106,49,)*$CR$5)</f>
        <v>39.640825722786751</v>
      </c>
      <c r="CF98" s="1565">
        <f>IF(ISERROR(MATCH($B98,'A1.3.2'!$B$27:$B$106,0)),"",VLOOKUP($B98,'Forecast occupancies'!$C$28:$CP$64,82,TRUE)*VLOOKUP($B98,'A1.3.2'!$B$27:$AY$106,50,)*$CR$5)</f>
        <v>30.115840895251949</v>
      </c>
      <c r="CG98" s="1566">
        <f>IF(ISERROR(MATCH($B98,'A1.3.2'!$B$27:$B$106,0)),"",(((CD98*'VoT5'!$J$28)+(CE98*'VoT5'!$J$29)+(CF98*'VoT5'!$J$30))/100))</f>
        <v>37.519397879013354</v>
      </c>
      <c r="CH98" s="1565">
        <f>IF(ISERROR(MATCH($B98,'A1.3.2'!$B$27:$B$106,0)),"",(VLOOKUP($B98,'Forecast occupancies'!$C$28:$CP$64,84,TRUE) * VLOOKUP($B98, 'A1.3.2'!$B$27:$AY$106,37,)) * $CR$5)</f>
        <v>50.814138359003515</v>
      </c>
      <c r="CI98" s="1565">
        <f>IF(ISERROR(MATCH($B98,'A1.3.2'!$B$27:$B$106,0)),"",(VLOOKUP($B98,'Forecast occupancies'!$C$28:$CP$64,85,TRUE) * (VLOOKUP($B98,'A1.3.2'!$B$27:$AY$106,49,)*'VoT5'!$J$29 + VLOOKUP($B98,'A1.3.2'!$B$27:$AY$106,50,)*'VoT5'!$J$30) / (SUM('VoT5'!$J$29:$J$30))) * $CR$5)</f>
        <v>33.77986935272078</v>
      </c>
      <c r="CJ98" s="1566">
        <f>IF(ISERROR(MATCH($B98,'A1.3.2'!$B$27:$B$106,0)),"",(CH98*'VoT5'!$J$31 + CI98*'VoT5'!$J$32)/100)</f>
        <v>48.770026078249593</v>
      </c>
      <c r="CK98" s="1566">
        <f>IF(ISERROR(MATCH($B98,'A1.3.2'!$B$27:$B$106,0)),"",(VLOOKUP($B98,'Forecast occupancies'!$C$28:$CP$64,87,TRUE)*VLOOKUP($B98,'A1.3.2'!$B$27:$AY$106,38,)) * $CR$5)</f>
        <v>49.892740016845643</v>
      </c>
      <c r="CL98" s="1566">
        <f>IF(ISERROR(MATCH($B98,'A1.3.2'!$B$27:$B$106,0)),"",(VLOOKUP($B98,'Forecast occupancies'!$C$28:$CP$64,88,TRUE)*VLOOKUP($B98,'A1.3.2'!$B$27:$AY$106,38,)) * $CR$5)</f>
        <v>49.892740016845643</v>
      </c>
      <c r="CM98" s="1565">
        <f>IF(ISERROR(MATCH($B98,'A1.3.2'!$B$27:$B$106,0)),"",(((VLOOKUP($B98,'Forecast occupancies'!$C$28:$CP$64,89,TRUE) -1) * VLOOKUP($B98,'A1.3.2'!$B$27:$AY$106,40,)) + VLOOKUP($B98,'A1.3.2'!$B$27:$AY$106,39,)) * $CR$5)</f>
        <v>57.189003048871562</v>
      </c>
      <c r="CN98" s="1565">
        <f>IF(ISERROR(MATCH($B98,'A1.3.2'!$B$27:$B$106,0)),"",(VLOOKUP($B98,'Forecast occupancies'!$C$28:$CP$64,90,TRUE) * VLOOKUP($B98,'A1.3.2'!$B$27:$AY$106,49,)) * $CR$5)</f>
        <v>57.181997863610526</v>
      </c>
      <c r="CO98" s="1565">
        <f>IF(ISERROR(MATCH($B98,'A1.3.2'!$B$27:$B$106,0)),"",(VLOOKUP($B98,'Forecast occupancies'!$C$28:$CP$64,91,TRUE) * VLOOKUP($B98,'A1.3.2'!$B$27:$AY$106,50,)) * $CR$5)</f>
        <v>163.76501197869365</v>
      </c>
      <c r="CP98" s="1567">
        <f>IF(ISERROR(MATCH($B98,'A1.3.2'!$B$27:$B$106,0)),"",SUM(CM98:CO98))</f>
        <v>278.13601289117571</v>
      </c>
    </row>
    <row r="99" spans="1:94" ht="13.5" customHeight="1">
      <c r="A99" s="113"/>
      <c r="B99" s="82">
        <f t="shared" si="1"/>
        <v>2081</v>
      </c>
      <c r="C99" s="26"/>
      <c r="D99" s="1609">
        <f>IF(ISERROR(MATCH($B99,'A1.3.2'!$B$27:$B$106,0)),"",(((VLOOKUP($B99,'Forecast occupancies'!$C$28:$CP$64,2,TRUE) -1) * VLOOKUP($B99,'A1.3.2'!$B$27:$AY$106,36,) + VLOOKUP($B99,'A1.3.2'!$B$27:$AY$106,35,)) * $CR$5))</f>
        <v>70.995041989208801</v>
      </c>
      <c r="E99" s="1565">
        <f>IF(ISERROR(MATCH($B99,'A1.3.2'!$B$27:$B$106,0)),"",VLOOKUP($B99,'Forecast occupancies'!$C$28:$CP$64,3,TRUE)*VLOOKUP($B99,'A1.3.2'!$B$27:$AY$106,49,)*$CR$5)</f>
        <v>40.009321234762531</v>
      </c>
      <c r="F99" s="1565">
        <f>IF(ISERROR(MATCH($B99,'A1.3.2'!$B$27:$B$106,0)),"",VLOOKUP($B99,'Forecast occupancies'!$C$28:$CP$64,4,TRUE)*VLOOKUP($B99,'A1.3.2'!$B$27:$AY$106,50,)*$CR$5)</f>
        <v>27.603332005269557</v>
      </c>
      <c r="G99" s="1566">
        <f>IF(ISERROR(MATCH($B99,'A1.3.2'!$B$27:$B$106,0)),"",(((D99*'VoT5'!$D$28)+(E99*'VoT5'!$D$29)+(F99*'VoT5'!$D$30))/100))</f>
        <v>40.211941194830544</v>
      </c>
      <c r="H99" s="1565">
        <f>IF(ISERROR(MATCH($B99,'A1.3.2'!$B$27:$B$106,0)),"",(VLOOKUP($B99,'Forecast occupancies'!$C$28:$CP$64,6,TRUE) * VLOOKUP($B99, 'A1.3.2'!$B$27:$AY$106,37,)) * $CR$5)</f>
        <v>51.883821697864029</v>
      </c>
      <c r="I99" s="1565">
        <f>IF(ISERROR(MATCH($B99,'A1.3.2'!$B$27:$B$106,0)),"",VLOOKUP($B99,'Forecast occupancies'!$C$28:$CP$64,7,TRUE) * ('VoT5'!$J$29*VLOOKUP($B99, 'A1.3.2'!$B$27:$AY$106,49,)+'VoT5'!$J$30*VLOOKUP($B99, 'A1.3.2'!$B$27:$AY$106,50,))/('VoT5'!$J$29+'VoT5'!$J$30) * $CR$5)</f>
        <v>31.670949912203035</v>
      </c>
      <c r="J99" s="1566">
        <f>IF(ISERROR(MATCH($B99,'A1.3.2'!$B$27:$B$106,0)),"",(H99*'VoT5'!$D$31 + I99*'VoT5'!$D$32)/100)</f>
        <v>49.458277083584704</v>
      </c>
      <c r="K99" s="1566">
        <f>IF(ISERROR(MATCH($B99,'A1.3.2'!$B$27:$B$106,0)),"",(VLOOKUP($B99,'Forecast occupancies'!$C$28:$CP$64,9,TRUE)*VLOOKUP($B99,'A1.3.2'!$B$27:$AY$106,38,)) * $CR$5)</f>
        <v>50.943027091459847</v>
      </c>
      <c r="L99" s="1566">
        <f>IF(ISERROR(MATCH($B99,'A1.3.2'!$B$27:$B$106,0)),"",(VLOOKUP($B99,'Forecast occupancies'!$C$28:$CP$64,10,TRUE)*VLOOKUP($B99,'A1.3.2'!$B$27:$AY$106,38,)) * $CR$5)</f>
        <v>50.943027091459847</v>
      </c>
      <c r="M99" s="1565">
        <f>IF(ISERROR(MATCH($B99,'A1.3.2'!$B$27:$B$106,0)),"",(((VLOOKUP($B99,'Forecast occupancies'!$C$28:$CP$64,11,TRUE) -1) * VLOOKUP($B99,'A1.3.2'!$B$27:$AY$106,40,)) + VLOOKUP($B99,'A1.3.2'!$B$27:$AY$106,39,)) * $CR$5)</f>
        <v>58.05003995306722</v>
      </c>
      <c r="N99" s="1565">
        <f>IF(ISERROR(MATCH($B99,'A1.3.2'!$B$27:$B$106,0)),"",(VLOOKUP($B99,'Forecast occupancies'!$C$28:$CP$64,12,TRUE) * VLOOKUP($B99,'A1.3.2'!$B$27:$AY$106,49,)) * $CR$5)</f>
        <v>79.466162435893679</v>
      </c>
      <c r="O99" s="1565">
        <f>IF(ISERROR(MATCH($B99,'A1.3.2'!$B$27:$B$106,0)),"",(VLOOKUP($B99,'Forecast occupancies'!$C$28:$CP$64,13,TRUE) * VLOOKUP($B99,'A1.3.2'!$B$27:$AY$106,50,)) * $CR$5)</f>
        <v>157.74604743968482</v>
      </c>
      <c r="P99" s="1567">
        <f>IF(ISERROR(MATCH($B99,'A1.3.2'!$B$27:$B$106,0)),"",SUM(M99:O99))</f>
        <v>295.26224982864574</v>
      </c>
      <c r="Q99" s="1609">
        <f>IF(ISERROR(MATCH($B99,'A1.3.2'!$B$27:$B$106,0)),"",(((VLOOKUP($B99,'Forecast occupancies'!$C$28:$CP$64,15,TRUE)-1)*VLOOKUP($B99,'A1.3.2'!$B$27:$AY$106,36,)+VLOOKUP($B99,'A1.3.2'!$B$27:$AY$106,35,))*$CR$5))</f>
        <v>72.750224741168665</v>
      </c>
      <c r="R99" s="1565">
        <f>IF(ISERROR(MATCH($B99,'A1.3.2'!$B$27:$B$106,0)),"",VLOOKUP($B99,'Forecast occupancies'!$C$28:$CP$64,16,TRUE)*VLOOKUP($B99,'A1.3.2'!$B$27:$AY$106,49,)*$CR$5)</f>
        <v>40.659876528921551</v>
      </c>
      <c r="S99" s="1565">
        <f>IF(ISERROR(MATCH($B99,'A1.3.2'!$B$27:$B$106,0)),"",VLOOKUP($B99,'Forecast occupancies'!$C$28:$CP$64,17,TRUE)*VLOOKUP($B99,'A1.3.2'!$B$27:$AY$106,50,)*$CR$5)</f>
        <v>29.404069047569831</v>
      </c>
      <c r="T99" s="1566">
        <f>IF(ISERROR(MATCH($B99,'A1.3.2'!$B$27:$B$106,0)),"",(((Q99*'VoT5'!$E$28)+(R99*'VoT5'!$E$29)+(S99*'VoT5'!$E$30))/100))</f>
        <v>37.871993593452011</v>
      </c>
      <c r="U99" s="1565">
        <f>IF(ISERROR(MATCH($B99,'A1.3.2'!$B$27:$B$106,0)),"",(VLOOKUP($B99,'Forecast occupancies'!$C$28:$CP$64,19,TRUE) * VLOOKUP($B99, 'A1.3.2'!$B$27:$AY$106,37,)) * $CR$5)</f>
        <v>51.883821697864029</v>
      </c>
      <c r="V99" s="1565">
        <f>IF(ISERROR(MATCH($B99,'A1.3.2'!$B$27:$B$106,0)),"",VLOOKUP($B99,'Forecast occupancies'!$C$28:$CP$64,20,TRUE) * ('VoT5'!$J$29*VLOOKUP($B99, 'A1.3.2'!$B$27:$AY$106,49,)+'VoT5'!$J$30*VLOOKUP($B99, 'A1.3.2'!$B$27:$AY$106,50,))/('VoT5'!$J$29+'VoT5'!$J$30) * $CR$5)</f>
        <v>31.670949912203035</v>
      </c>
      <c r="W99" s="1566">
        <f>IF(ISERROR(MATCH($B99,'A1.3.2'!$B$27:$B$106,0)),"",(U99*'VoT5'!$E$31 + V99*'VoT5'!$E$32)/100)</f>
        <v>49.458277083584704</v>
      </c>
      <c r="X99" s="1566">
        <f>IF(ISERROR(MATCH($B99,'A1.3.2'!$B$27:$B$106,0)),"",(VLOOKUP($B99,'Forecast occupancies'!$C$28:$CP$64,22,TRUE)*VLOOKUP($B99,'A1.3.2'!$B$27:$AY$106,38,)) * $CR$5)</f>
        <v>50.943027091459847</v>
      </c>
      <c r="Y99" s="1566">
        <f>IF(ISERROR(MATCH($B99,'A1.3.2'!$B$27:$B$106,0)),"",(VLOOKUP($B99,'Forecast occupancies'!$C$28:$CP$64,23,TRUE)*VLOOKUP($B99,'A1.3.2'!$B$27:$AY$106,38,)) * $CR$5)</f>
        <v>50.943027091459847</v>
      </c>
      <c r="Z99" s="1565">
        <f>IF(ISERROR(MATCH($B99,'A1.3.2'!$B$27:$B$106,0)),"",(((VLOOKUP($B99,'Forecast occupancies'!$C$28:$CP$64,24,TRUE) -1) * VLOOKUP($B99,'A1.3.2'!$B$27:$AY$106,40,)) + VLOOKUP($B99,'A1.3.2'!$B$27:$AY$106,39,)) * $CR$5)</f>
        <v>59.23489289100992</v>
      </c>
      <c r="AA99" s="1565">
        <f>IF(ISERROR(MATCH($B99,'A1.3.2'!$B$27:$B$106,0)),"",(VLOOKUP($B99,'Forecast occupancies'!$C$28:$CP$64,25,TRUE) * VLOOKUP($B99,'A1.3.2'!$B$27:$AY$106,49,)) * $CR$5)</f>
        <v>27.850361200449889</v>
      </c>
      <c r="AB99" s="1565">
        <f>IF(ISERROR(MATCH($B99,'A1.3.2'!$B$27:$B$106,0)),"",(VLOOKUP($B99,'Forecast occupancies'!$C$28:$CP$64,26,TRUE) * VLOOKUP($B99,'A1.3.2'!$B$27:$AY$106,50,)) * $CR$5)</f>
        <v>180.76807301459519</v>
      </c>
      <c r="AC99" s="1567">
        <f>IF(ISERROR(MATCH($B99,'A1.3.2'!$B$27:$B$106,0)),"",SUM(Z99:AB99))</f>
        <v>267.85332710605496</v>
      </c>
      <c r="AD99" s="1609">
        <f>IF(ISERROR(MATCH($B99,'A1.3.2'!$B$27:$B$106,0)),"",(((VLOOKUP($B99,'Forecast occupancies'!$C$28:$CP$64,28,TRUE)-1)*VLOOKUP($B99,'A1.3.2'!$B$27:$AY$106,36,)+VLOOKUP($B99,'A1.3.2'!$B$27:$AY$106,35,))*$CR$5))</f>
        <v>72.019608757170317</v>
      </c>
      <c r="AE99" s="1565">
        <f>IF(ISERROR(MATCH($B99,'A1.3.2'!$B$27:$B$106,0)),"",VLOOKUP($B99,'Forecast occupancies'!$C$28:$CP$64,29,TRUE)*VLOOKUP($B99,'A1.3.2'!$B$27:$AY$106,49,)*$CR$5)</f>
        <v>40.147327667324255</v>
      </c>
      <c r="AF99" s="1565">
        <f>IF(ISERROR(MATCH($B99,'A1.3.2'!$B$27:$B$106,0)),"",VLOOKUP($B99,'Forecast occupancies'!$C$28:$CP$64,30,TRUE)*VLOOKUP($B99,'A1.3.2'!$B$27:$AY$106,50,)*$CR$5)</f>
        <v>28.906421212305705</v>
      </c>
      <c r="AG99" s="1566">
        <f>IF(ISERROR(MATCH($B99,'A1.3.2'!$B$27:$B$106,0)),"",(((AD99*'VoT5'!$F$28)+(AE99*'VoT5'!$F$29)+(AF99*'VoT5'!$F$30))/100))</f>
        <v>38.635420401643678</v>
      </c>
      <c r="AH99" s="1565">
        <f>IF(ISERROR(MATCH($B99,'A1.3.2'!$B$27:$B$106,0)),"",(VLOOKUP($B99,'Forecast occupancies'!$C$28:$CP$64,32,TRUE) * VLOOKUP($B99, 'A1.3.2'!$B$27:$AY$106,37,)) * $CR$5)</f>
        <v>51.883821697864029</v>
      </c>
      <c r="AI99" s="1565">
        <f>IF(ISERROR(MATCH($B99,'A1.3.2'!$B$27:$B$106,0)),"",VLOOKUP($B99,'Forecast occupancies'!$C$28:$CP$64,33,TRUE) * ('VoT5'!$J$29*VLOOKUP($B99, 'A1.3.2'!$B$27:$AY$106,49,)+'VoT5'!$J$30*VLOOKUP($B99, 'A1.3.2'!$B$27:$AY$106,50,))/('VoT5'!$J$29+'VoT5'!$J$30) * $CR$5)</f>
        <v>31.670949912203035</v>
      </c>
      <c r="AJ99" s="1566">
        <f>IF(ISERROR(MATCH($B99,'A1.3.2'!$B$27:$B$106,0)),"",(AH99*'VoT5'!$F$31 + AI99*'VoT5'!$F$32)/100)</f>
        <v>49.458277083584704</v>
      </c>
      <c r="AK99" s="1566">
        <f>IF(ISERROR(MATCH($B99,'A1.3.2'!$B$27:$B$106,0)),"",(VLOOKUP($B99,'Forecast occupancies'!$C$28:$CP$64,35,TRUE)*VLOOKUP($B99,'A1.3.2'!$B$27:$AY$106,38,)) * $CR$5)</f>
        <v>50.943027091459847</v>
      </c>
      <c r="AL99" s="1566">
        <f>IF(ISERROR(MATCH($B99,'A1.3.2'!$B$27:$B$106,0)),"",(VLOOKUP($B99,'Forecast occupancies'!$C$28:$CP$64,36,TRUE)*VLOOKUP($B99,'A1.3.2'!$B$27:$AY$106,38,)) * $CR$5)</f>
        <v>50.943027091459847</v>
      </c>
      <c r="AM99" s="1565">
        <f>IF(ISERROR(MATCH($B99,'A1.3.2'!$B$27:$B$106,0)),"",(((VLOOKUP($B99,'Forecast occupancies'!$C$28:$CP$64,37,TRUE) -1) * VLOOKUP($B99,'A1.3.2'!$B$27:$AY$106,40,)) + VLOOKUP($B99,'A1.3.2'!$B$27:$AY$106,39,)) * $CR$5)</f>
        <v>61.976702992162359</v>
      </c>
      <c r="AN99" s="1565">
        <f>IF(ISERROR(MATCH($B99,'A1.3.2'!$B$27:$B$106,0)),"",(VLOOKUP($B99,'Forecast occupancies'!$C$28:$CP$64,38,TRUE) * VLOOKUP($B99,'A1.3.2'!$B$27:$AY$106,49,)) * $CR$5)</f>
        <v>111.75942533273459</v>
      </c>
      <c r="AO99" s="1565">
        <f>IF(ISERROR(MATCH($B99,'A1.3.2'!$B$27:$B$106,0)),"",(VLOOKUP($B99,'Forecast occupancies'!$C$28:$CP$64,39,TRUE) * VLOOKUP($B99,'A1.3.2'!$B$27:$AY$106,50,)) * $CR$5)</f>
        <v>141.22687025498277</v>
      </c>
      <c r="AP99" s="1567">
        <f>IF(ISERROR(MATCH($B99,'A1.3.2'!$B$27:$B$106,0)),"",SUM(AM99:AO99))</f>
        <v>314.9629985798797</v>
      </c>
      <c r="AQ99" s="1609">
        <f>IF(ISERROR(MATCH($B99,'A1.3.2'!$B$27:$B$106,0)),"",(((VLOOKUP($B99,'Forecast occupancies'!$C$28:$CP$64,41,TRUE)-1)*VLOOKUP($B99,'A1.3.2'!$B$27:$AY$106,36,)+VLOOKUP($B99,'A1.3.2'!$B$27:$AY$106,35,))*$CR$5))</f>
        <v>73.38226456256929</v>
      </c>
      <c r="AR99" s="1565">
        <f>IF(ISERROR(MATCH($B99,'A1.3.2'!$B$27:$B$106,0)),"",VLOOKUP($B99,'Forecast occupancies'!$C$28:$CP$64,42,TRUE)*VLOOKUP($B99,'A1.3.2'!$B$27:$AY$106,49,)*$CR$5)</f>
        <v>40.734922043608421</v>
      </c>
      <c r="AS99" s="1565">
        <f>IF(ISERROR(MATCH($B99,'A1.3.2'!$B$27:$B$106,0)),"",VLOOKUP($B99,'Forecast occupancies'!$C$28:$CP$64,43,TRUE)*VLOOKUP($B99,'A1.3.2'!$B$27:$AY$106,50,)*$CR$5)</f>
        <v>28.803218949968226</v>
      </c>
      <c r="AT99" s="1566">
        <f>IF(ISERROR(MATCH($B99,'A1.3.2'!$B$27:$B$106,0)),"",(((AQ99*'VoT5'!$G$28)+(AR99*'VoT5'!$G$29)+(AS99*'VoT5'!$G$30))/100))</f>
        <v>39.143275270221999</v>
      </c>
      <c r="AU99" s="1565">
        <f>IF(ISERROR(MATCH($B99,'A1.3.2'!$B$27:$B$106,0)),"",(VLOOKUP($B99,'Forecast occupancies'!$C$28:$CP$64,45,TRUE) * VLOOKUP($B99, 'A1.3.2'!$B$27:$AY$106,37,)) * $CR$5)</f>
        <v>51.883821697864029</v>
      </c>
      <c r="AV99" s="1565">
        <f>IF(ISERROR(MATCH($B99,'A1.3.2'!$B$27:$B$106,0)),"",VLOOKUP($B99,'Forecast occupancies'!$C$28:$CP$64,46,TRUE) * ('VoT5'!$J$29*VLOOKUP($B99, 'A1.3.2'!$B$27:$AY$106,49,)+'VoT5'!$J$30*VLOOKUP($B99, 'A1.3.2'!$B$27:$AY$106,50,))/('VoT5'!$J$29+'VoT5'!$J$30) * $CR$5)</f>
        <v>31.670949912203035</v>
      </c>
      <c r="AW99" s="1566">
        <f>IF(ISERROR(MATCH($B99,'A1.3.2'!$B$27:$B$106,0)),"",(AU99*'VoT5'!$G$31 + AV99*'VoT5'!$G$32)/100)</f>
        <v>49.458277083584704</v>
      </c>
      <c r="AX99" s="1566">
        <f>IF(ISERROR(MATCH($B99,'A1.3.2'!$B$27:$B$106,0)),"",(VLOOKUP($B99,'Forecast occupancies'!$C$28:$CP$64,48,TRUE)*VLOOKUP($B99,'A1.3.2'!$B$27:$AY$106,38,)) * $CR$5)</f>
        <v>50.943027091459847</v>
      </c>
      <c r="AY99" s="1566">
        <f>IF(ISERROR(MATCH($B99,'A1.3.2'!$B$27:$B$106,0)),"",(VLOOKUP($B99,'Forecast occupancies'!$C$28:$CP$64,49,TRUE)*VLOOKUP($B99,'A1.3.2'!$B$27:$AY$106,38,)) * $CR$5)</f>
        <v>50.943027091459847</v>
      </c>
      <c r="AZ99" s="1565">
        <f>IF(ISERROR(MATCH($B99,'A1.3.2'!$B$27:$B$106,0)),"",(((VLOOKUP($B99,'Forecast occupancies'!$C$28:$CP$64,50,TRUE) -1) * VLOOKUP($B99,'A1.3.2'!$B$27:$AY$106,40,)) + VLOOKUP($B99,'A1.3.2'!$B$27:$AY$106,39,)) * $CR$5)</f>
        <v>61.926584096359981</v>
      </c>
      <c r="BA99" s="1565">
        <f>IF(ISERROR(MATCH($B99,'A1.3.2'!$B$27:$B$106,0)),"",(VLOOKUP($B99,'Forecast occupancies'!$C$28:$CP$64,51,TRUE) * VLOOKUP($B99,'A1.3.2'!$B$27:$AY$106,49,)) * $CR$5)</f>
        <v>152.77235837757468</v>
      </c>
      <c r="BB99" s="1565">
        <f>IF(ISERROR(MATCH($B99,'A1.3.2'!$B$27:$B$106,0)),"",(VLOOKUP($B99,'Forecast occupancies'!$C$28:$CP$64,52,TRUE) * VLOOKUP($B99,'A1.3.2'!$B$27:$AY$106,50,)) * $CR$5)</f>
        <v>122.5300506833855</v>
      </c>
      <c r="BC99" s="1567">
        <f>IF(ISERROR(MATCH($B99,'A1.3.2'!$B$27:$B$106,0)),"",SUM(AZ99:BB99))</f>
        <v>337.22899315732013</v>
      </c>
      <c r="BD99" s="1565">
        <f>IF(ISERROR(MATCH($B99,'A1.3.2'!$B$27:$B$106,0)),"",(((VLOOKUP($B99,'Forecast occupancies'!$C$28:$CP$64,54,TRUE)-1)*VLOOKUP($B99,'A1.3.2'!$B$27:$AY$106,36,)+VLOOKUP($B99,'A1.3.2'!$B$27:$AY$106,35,))*$CR$5))</f>
        <v>72.147752513074565</v>
      </c>
      <c r="BE99" s="1565">
        <f>IF(ISERROR(MATCH($B99,'A1.3.2'!$B$27:$B$106,0)),"",VLOOKUP($B99,'Forecast occupancies'!$C$28:$CP$64,55,TRUE)*VLOOKUP($B99,'A1.3.2'!$B$27:$AY$106,49,)*$CR$5)</f>
        <v>40.283828915768112</v>
      </c>
      <c r="BF99" s="1565">
        <f>IF(ISERROR(MATCH($B99,'A1.3.2'!$B$27:$B$106,0)),"",VLOOKUP($B99,'Forecast occupancies'!$C$28:$CP$64,56,TRUE)*VLOOKUP($B99,'A1.3.2'!$B$27:$AY$106,50,)*$CR$5)</f>
        <v>28.874784860642535</v>
      </c>
      <c r="BG99" s="1566">
        <f>IF(ISERROR(MATCH($B99,'A1.3.2'!$B$27:$B$106,0)),"",(((BD99*'VoT5'!$H$28)+(BE99*'VoT5'!$H$29)+(BF99*'VoT5'!$H$30))/100))</f>
        <v>38.86138002212337</v>
      </c>
      <c r="BH99" s="1565">
        <f>IF(ISERROR(MATCH($B99,'A1.3.2'!$B$27:$B$106,0)),"",(VLOOKUP($B99,'Forecast occupancies'!$C$28:$CP$64,58,TRUE) * VLOOKUP($B99, 'A1.3.2'!$B$27:$AY$106,37,)) * $CR$5)</f>
        <v>51.883821697864029</v>
      </c>
      <c r="BI99" s="1565">
        <f>IF(ISERROR(MATCH($B99,'A1.3.2'!$B$27:$B$106,0)),"",(VLOOKUP($B99,'Forecast occupancies'!$C$28:$CP$64,59,TRUE) * (VLOOKUP($B99,'A1.3.2'!$B$27:$AY$106,49,) * 'VoT5'!$J$29 + VLOOKUP($B99,'A1.3.2'!$B$27:$AY$106,50,) * 'VoT5'!$J$30) / (SUM('VoT5'!$J$29:$J$30))) * $CR$5)</f>
        <v>31.670949912203035</v>
      </c>
      <c r="BJ99" s="1566">
        <f>IF(ISERROR(MATCH($B99,'A1.3.2'!$B$27:$B$106,0)),"",(BH99*'VoT5'!$H$31 + BI99*'VoT5'!$H$32)/100)</f>
        <v>49.458277083584704</v>
      </c>
      <c r="BK99" s="1566">
        <f>IF(ISERROR(MATCH($B99,'A1.3.2'!$B$27:$B$106,0)),"",(VLOOKUP($B99,'Forecast occupancies'!$C$28:$CP$64,61,TRUE)*VLOOKUP($B99,'A1.3.2'!$B$27:$AY$106,38,)) * $CR$5)</f>
        <v>50.943027091459847</v>
      </c>
      <c r="BL99" s="1566">
        <f>IF(ISERROR(MATCH($B99,'A1.3.2'!$B$27:$B$106,0)),"",(VLOOKUP($B99,'Forecast occupancies'!$C$28:$CP$64,62,TRUE)*VLOOKUP($B99,'A1.3.2'!$B$27:$AY$106,38,)) * $CR$5)</f>
        <v>50.943027091459847</v>
      </c>
      <c r="BM99" s="1565">
        <f>IF(ISERROR(MATCH($B99,'A1.3.2'!$B$27:$B$106,0)),"",(((VLOOKUP($B99,'Forecast occupancies'!$C$28:$CP$64,63,TRUE) -1) * VLOOKUP($B99,'A1.3.2'!$B$27:$AY$106,40,)) + VLOOKUP($B99,'A1.3.2'!$B$27:$AY$106,39,)) * $CR$5)</f>
        <v>59.709071214095538</v>
      </c>
      <c r="BN99" s="1565">
        <f>IF(ISERROR(MATCH($B99,'A1.3.2'!$B$27:$B$106,0)),"",(VLOOKUP($B99,'Forecast occupancies'!$C$28:$CP$64,64,TRUE) * VLOOKUP($B99,'A1.3.2'!$B$27:$AY$106,49,)) * $CR$5)</f>
        <v>68.966560691318989</v>
      </c>
      <c r="BO99" s="1565">
        <f>IF(ISERROR(MATCH($B99,'A1.3.2'!$B$27:$B$106,0)),"",(VLOOKUP($B99,'Forecast occupancies'!$C$28:$CP$64,65,TRUE) * VLOOKUP($B99,'A1.3.2'!$B$27:$AY$106,50,)) * $CR$5)</f>
        <v>161.78650814727581</v>
      </c>
      <c r="BP99" s="1567">
        <f>IF(ISERROR(MATCH($B99,'A1.3.2'!$B$27:$B$106,0)),"",SUM(BM99:BO99))</f>
        <v>290.4621400526903</v>
      </c>
      <c r="BQ99" s="1565">
        <f>IF(ISERROR(MATCH($B99,'A1.3.2'!$B$27:$B$106,0)),"",(((VLOOKUP($B99,'Forecast occupancies'!$C$28:$CP$64,67,TRUE)-1)*VLOOKUP($B99,'A1.3.2'!$B$27:$AY$106,36,)+VLOOKUP($B99,'A1.3.2'!$B$27:$AY$106,35,))*$CR$5))</f>
        <v>82.455849378826372</v>
      </c>
      <c r="BR99" s="1565">
        <f>IF(ISERROR(MATCH($B99,'A1.3.2'!$B$27:$B$106,0)),"",VLOOKUP($B99,'Forecast occupancies'!$C$28:$CP$64,68,TRUE)*VLOOKUP($B99,'A1.3.2'!$B$27:$AY$106,49,)*$CR$5)</f>
        <v>42.650581699447685</v>
      </c>
      <c r="BS99" s="1565">
        <f>IF(ISERROR(MATCH($B99,'A1.3.2'!$B$27:$B$106,0)),"",VLOOKUP($B99,'Forecast occupancies'!$C$28:$CP$64,69,TRUE)*VLOOKUP($B99,'A1.3.2'!$B$27:$AY$106,50,)*$CR$5)</f>
        <v>34.188441337614528</v>
      </c>
      <c r="BT99" s="1566">
        <f>IF(ISERROR(MATCH($B99,'A1.3.2'!$B$27:$B$106,0)),"",(((BQ99*'VoT5'!$I$28)+(BR99*'VoT5'!$I$29)+(BS99*'VoT5'!$I$30))/100))</f>
        <v>36.532505644414471</v>
      </c>
      <c r="BU99" s="1565">
        <f>IF(ISERROR(MATCH($B99,'A1.3.2'!$B$27:$B$106,0)),"",(VLOOKUP($B99,'Forecast occupancies'!$C$28:$CP$64,71,TRUE) * VLOOKUP($B99, 'A1.3.2'!$B$27:$AY$106,37,)) * $CR$5)</f>
        <v>54.478012782757226</v>
      </c>
      <c r="BV99" s="1565">
        <f>IF(ISERROR(MATCH($B99,'A1.3.2'!$B$27:$B$106,0)),"",(VLOOKUP($B99,'Forecast occupancies'!$C$28:$CP$64,72,TRUE) * (VLOOKUP($B99,'A1.3.2'!$B$27:$AY$106,49,)*'VoT5'!$J$29 + VLOOKUP($B99,'A1.3.2'!$B$27:$AY$106,50,)*'VoT5'!$J$30) / (SUM('VoT5'!$J$29:$J$30))) * $CR$5)</f>
        <v>44.035635836830245</v>
      </c>
      <c r="BW99" s="1566">
        <f>IF(ISERROR(MATCH($B99,'A1.3.2'!$B$27:$B$106,0)),"",(BU99*'VoT5'!$I$31 + BV99*'VoT5'!$I$32)/100)</f>
        <v>53.224927549245997</v>
      </c>
      <c r="BX99" s="1566">
        <f>IF(ISERROR(MATCH($B99,'A1.3.2'!$B$27:$B$106,0)),"",(VLOOKUP($B99,'Forecast occupancies'!$C$28:$CP$64,74,TRUE)*VLOOKUP($B99,'A1.3.2'!$B$27:$AY$106,38,)) * $CR$5)</f>
        <v>50.943027091459847</v>
      </c>
      <c r="BY99" s="1566">
        <f>IF(ISERROR(MATCH($B99,'A1.3.2'!$B$27:$B$106,0)),"",(VLOOKUP($B99,'Forecast occupancies'!$C$28:$CP$64,75,TRUE)*VLOOKUP($B99,'A1.3.2'!$B$27:$AY$106,38,)) * $CR$5)</f>
        <v>50.943027091459847</v>
      </c>
      <c r="BZ99" s="1565">
        <f>IF(ISERROR(MATCH($B99,'A1.3.2'!$B$27:$B$106,0)),"",(((VLOOKUP($B99,'Forecast occupancies'!$C$28:$CP$64,76,TRUE) -1) * VLOOKUP($B99,'A1.3.2'!$B$27:$AY$106,40,)) + VLOOKUP($B99,'A1.3.2'!$B$27:$AY$106,39,)) * $CR$5)</f>
        <v>54.379098792938102</v>
      </c>
      <c r="CA99" s="1565">
        <f>IF(ISERROR(MATCH($B99,'A1.3.2'!$B$27:$B$106,0)),"",(VLOOKUP($B99,'Forecast occupancies'!$C$28:$CP$64,77,TRUE) * VLOOKUP($B99,'A1.3.2'!$B$27:$AY$106,49,)) * $CR$5)</f>
        <v>26.127194436321972</v>
      </c>
      <c r="CB99" s="1565">
        <f>IF(ISERROR(MATCH($B99,'A1.3.2'!$B$27:$B$106,0)),"",(VLOOKUP($B99,'Forecast occupancies'!$C$28:$CP$64,78,TRUE) * VLOOKUP($B99,'A1.3.2'!$B$27:$AY$106,50,)) * $CR$5)</f>
        <v>183.75522291499914</v>
      </c>
      <c r="CC99" s="1567">
        <f>IF(ISERROR(MATCH($B99,'A1.3.2'!$B$27:$B$106,0)),"",SUM(BZ99:CB99))</f>
        <v>264.26151614425919</v>
      </c>
      <c r="CD99" s="1565">
        <f>IF(ISERROR(MATCH($B99,'A1.3.2'!$B$27:$B$106,0)),"",(((VLOOKUP($B99,'Forecast occupancies'!$C$28:$CP$64,80,TRUE)-1)*VLOOKUP($B99,'A1.3.2'!$B$27:$AY$106,36,)+VLOOKUP($B99,'A1.3.2'!$B$27:$AY$106,35,))*$CR$5))</f>
        <v>72.87945006460015</v>
      </c>
      <c r="CE99" s="1565">
        <f>IF(ISERROR(MATCH($B99,'A1.3.2'!$B$27:$B$106,0)),"",VLOOKUP($B99,'Forecast occupancies'!$C$28:$CP$64,81,TRUE)*VLOOKUP($B99,'A1.3.2'!$B$27:$AY$106,49,)*$CR$5)</f>
        <v>40.475300776063428</v>
      </c>
      <c r="CF99" s="1565">
        <f>IF(ISERROR(MATCH($B99,'A1.3.2'!$B$27:$B$106,0)),"",VLOOKUP($B99,'Forecast occupancies'!$C$28:$CP$64,82,TRUE)*VLOOKUP($B99,'A1.3.2'!$B$27:$AY$106,50,)*$CR$5)</f>
        <v>30.749806446607543</v>
      </c>
      <c r="CG99" s="1566">
        <f>IF(ISERROR(MATCH($B99,'A1.3.2'!$B$27:$B$106,0)),"",(((CD99*'VoT5'!$J$28)+(CE99*'VoT5'!$J$29)+(CF99*'VoT5'!$J$30))/100))</f>
        <v>38.309214967157438</v>
      </c>
      <c r="CH99" s="1565">
        <f>IF(ISERROR(MATCH($B99,'A1.3.2'!$B$27:$B$106,0)),"",(VLOOKUP($B99,'Forecast occupancies'!$C$28:$CP$64,84,TRUE) * VLOOKUP($B99, 'A1.3.2'!$B$27:$AY$106,37,)) * $CR$5)</f>
        <v>51.883821697864029</v>
      </c>
      <c r="CI99" s="1565">
        <f>IF(ISERROR(MATCH($B99,'A1.3.2'!$B$27:$B$106,0)),"",(VLOOKUP($B99,'Forecast occupancies'!$C$28:$CP$64,85,TRUE) * (VLOOKUP($B99,'A1.3.2'!$B$27:$AY$106,49,)*'VoT5'!$J$29 + VLOOKUP($B99,'A1.3.2'!$B$27:$AY$106,50,)*'VoT5'!$J$30) / (SUM('VoT5'!$J$29:$J$30))) * $CR$5)</f>
        <v>34.490966000275911</v>
      </c>
      <c r="CJ99" s="1566">
        <f>IF(ISERROR(MATCH($B99,'A1.3.2'!$B$27:$B$106,0)),"",(CH99*'VoT5'!$J$31 + CI99*'VoT5'!$J$32)/100)</f>
        <v>49.796679014153455</v>
      </c>
      <c r="CK99" s="1566">
        <f>IF(ISERROR(MATCH($B99,'A1.3.2'!$B$27:$B$106,0)),"",(VLOOKUP($B99,'Forecast occupancies'!$C$28:$CP$64,87,TRUE)*VLOOKUP($B99,'A1.3.2'!$B$27:$AY$106,38,)) * $CR$5)</f>
        <v>50.943027091459847</v>
      </c>
      <c r="CL99" s="1566">
        <f>IF(ISERROR(MATCH($B99,'A1.3.2'!$B$27:$B$106,0)),"",(VLOOKUP($B99,'Forecast occupancies'!$C$28:$CP$64,88,TRUE)*VLOOKUP($B99,'A1.3.2'!$B$27:$AY$106,38,)) * $CR$5)</f>
        <v>50.943027091459847</v>
      </c>
      <c r="CM99" s="1565">
        <f>IF(ISERROR(MATCH($B99,'A1.3.2'!$B$27:$B$106,0)),"",(((VLOOKUP($B99,'Forecast occupancies'!$C$28:$CP$64,89,TRUE) -1) * VLOOKUP($B99,'A1.3.2'!$B$27:$AY$106,40,)) + VLOOKUP($B99,'A1.3.2'!$B$27:$AY$106,39,)) * $CR$5)</f>
        <v>58.392883026039001</v>
      </c>
      <c r="CN99" s="1565">
        <f>IF(ISERROR(MATCH($B99,'A1.3.2'!$B$27:$B$106,0)),"",(VLOOKUP($B99,'Forecast occupancies'!$C$28:$CP$64,90,TRUE) * VLOOKUP($B99,'A1.3.2'!$B$27:$AY$106,49,)) * $CR$5)</f>
        <v>58.385730375324435</v>
      </c>
      <c r="CO99" s="1565">
        <f>IF(ISERROR(MATCH($B99,'A1.3.2'!$B$27:$B$106,0)),"",(VLOOKUP($B99,'Forecast occupancies'!$C$28:$CP$64,91,TRUE) * VLOOKUP($B99,'A1.3.2'!$B$27:$AY$106,50,)) * $CR$5)</f>
        <v>167.21241284898437</v>
      </c>
      <c r="CP99" s="1567">
        <f>IF(ISERROR(MATCH($B99,'A1.3.2'!$B$27:$B$106,0)),"",SUM(CM99:CO99))</f>
        <v>283.99102625034777</v>
      </c>
    </row>
    <row r="100" spans="1:94" ht="13.5" customHeight="1">
      <c r="A100" s="113"/>
      <c r="B100" s="82">
        <f t="shared" si="1"/>
        <v>2082</v>
      </c>
      <c r="C100" s="26"/>
      <c r="D100" s="1609">
        <f>IF(ISERROR(MATCH($B100,'A1.3.2'!$B$27:$B$106,0)),"",(((VLOOKUP($B100,'Forecast occupancies'!$C$28:$CP$64,2,TRUE) -1) * VLOOKUP($B100,'A1.3.2'!$B$27:$AY$106,36,) + VLOOKUP($B100,'A1.3.2'!$B$27:$AY$106,35,)) * $CR$5))</f>
        <v>72.490444117708051</v>
      </c>
      <c r="E100" s="1565">
        <f>IF(ISERROR(MATCH($B100,'A1.3.2'!$B$27:$B$106,0)),"",VLOOKUP($B100,'Forecast occupancies'!$C$28:$CP$64,3,TRUE)*VLOOKUP($B100,'A1.3.2'!$B$27:$AY$106,49,)*$CR$5)</f>
        <v>40.852056480181048</v>
      </c>
      <c r="F100" s="1565">
        <f>IF(ISERROR(MATCH($B100,'A1.3.2'!$B$27:$B$106,0)),"",VLOOKUP($B100,'Forecast occupancies'!$C$28:$CP$64,4,TRUE)*VLOOKUP($B100,'A1.3.2'!$B$27:$AY$106,50,)*$CR$5)</f>
        <v>28.18475403528435</v>
      </c>
      <c r="G100" s="1566">
        <f>IF(ISERROR(MATCH($B100,'A1.3.2'!$B$27:$B$106,0)),"",(((D100*'VoT5'!$D$28)+(E100*'VoT5'!$D$29)+(F100*'VoT5'!$D$30))/100))</f>
        <v>41.058944320245644</v>
      </c>
      <c r="H100" s="1565">
        <f>IF(ISERROR(MATCH($B100,'A1.3.2'!$B$27:$B$106,0)),"",(VLOOKUP($B100,'Forecast occupancies'!$C$28:$CP$64,6,TRUE) * VLOOKUP($B100, 'A1.3.2'!$B$27:$AY$106,37,)) * $CR$5)</f>
        <v>52.976675159567101</v>
      </c>
      <c r="I100" s="1565">
        <f>IF(ISERROR(MATCH($B100,'A1.3.2'!$B$27:$B$106,0)),"",VLOOKUP($B100,'Forecast occupancies'!$C$28:$CP$64,7,TRUE) * ('VoT5'!$J$29*VLOOKUP($B100, 'A1.3.2'!$B$27:$AY$106,49,)+'VoT5'!$J$30*VLOOKUP($B100, 'A1.3.2'!$B$27:$AY$106,50,))/('VoT5'!$J$29+'VoT5'!$J$30) * $CR$5)</f>
        <v>32.338050100938752</v>
      </c>
      <c r="J100" s="1566">
        <f>IF(ISERROR(MATCH($B100,'A1.3.2'!$B$27:$B$106,0)),"",(H100*'VoT5'!$D$31 + I100*'VoT5'!$D$32)/100)</f>
        <v>50.500040152531703</v>
      </c>
      <c r="K100" s="1566">
        <f>IF(ISERROR(MATCH($B100,'A1.3.2'!$B$27:$B$106,0)),"",(VLOOKUP($B100,'Forecast occupancies'!$C$28:$CP$64,9,TRUE)*VLOOKUP($B100,'A1.3.2'!$B$27:$AY$106,38,)) * $CR$5)</f>
        <v>52.016064151658263</v>
      </c>
      <c r="L100" s="1566">
        <f>IF(ISERROR(MATCH($B100,'A1.3.2'!$B$27:$B$106,0)),"",(VLOOKUP($B100,'Forecast occupancies'!$C$28:$CP$64,10,TRUE)*VLOOKUP($B100,'A1.3.2'!$B$27:$AY$106,38,)) * $CR$5)</f>
        <v>52.016064151658263</v>
      </c>
      <c r="M100" s="1565">
        <f>IF(ISERROR(MATCH($B100,'A1.3.2'!$B$27:$B$106,0)),"",(((VLOOKUP($B100,'Forecast occupancies'!$C$28:$CP$64,11,TRUE) -1) * VLOOKUP($B100,'A1.3.2'!$B$27:$AY$106,40,)) + VLOOKUP($B100,'A1.3.2'!$B$27:$AY$106,39,)) * $CR$5)</f>
        <v>59.272775384627039</v>
      </c>
      <c r="N100" s="1565">
        <f>IF(ISERROR(MATCH($B100,'A1.3.2'!$B$27:$B$106,0)),"",(VLOOKUP($B100,'Forecast occupancies'!$C$28:$CP$64,12,TRUE) * VLOOKUP($B100,'A1.3.2'!$B$27:$AY$106,49,)) * $CR$5)</f>
        <v>81.139995778627167</v>
      </c>
      <c r="O100" s="1565">
        <f>IF(ISERROR(MATCH($B100,'A1.3.2'!$B$27:$B$106,0)),"",(VLOOKUP($B100,'Forecast occupancies'!$C$28:$CP$64,13,TRUE) * VLOOKUP($B100,'A1.3.2'!$B$27:$AY$106,50,)) * $CR$5)</f>
        <v>161.06872700285069</v>
      </c>
      <c r="P100" s="1567">
        <f>IF(ISERROR(MATCH($B100,'A1.3.2'!$B$27:$B$106,0)),"",SUM(M100:O100))</f>
        <v>301.48149816610487</v>
      </c>
      <c r="Q100" s="1609">
        <f>IF(ISERROR(MATCH($B100,'A1.3.2'!$B$27:$B$106,0)),"",(((VLOOKUP($B100,'Forecast occupancies'!$C$28:$CP$64,15,TRUE)-1)*VLOOKUP($B100,'A1.3.2'!$B$27:$AY$106,36,)+VLOOKUP($B100,'A1.3.2'!$B$27:$AY$106,35,))*$CR$5))</f>
        <v>74.282597113640506</v>
      </c>
      <c r="R100" s="1565">
        <f>IF(ISERROR(MATCH($B100,'A1.3.2'!$B$27:$B$106,0)),"",VLOOKUP($B100,'Forecast occupancies'!$C$28:$CP$64,16,TRUE)*VLOOKUP($B100,'A1.3.2'!$B$27:$AY$106,49,)*$CR$5)</f>
        <v>41.5163147280159</v>
      </c>
      <c r="S100" s="1565">
        <f>IF(ISERROR(MATCH($B100,'A1.3.2'!$B$27:$B$106,0)),"",VLOOKUP($B100,'Forecast occupancies'!$C$28:$CP$64,17,TRUE)*VLOOKUP($B100,'A1.3.2'!$B$27:$AY$106,50,)*$CR$5)</f>
        <v>30.023420853108</v>
      </c>
      <c r="T100" s="1566">
        <f>IF(ISERROR(MATCH($B100,'A1.3.2'!$B$27:$B$106,0)),"",(((Q100*'VoT5'!$E$28)+(R100*'VoT5'!$E$29)+(S100*'VoT5'!$E$30))/100))</f>
        <v>38.669709296455132</v>
      </c>
      <c r="U100" s="1565">
        <f>IF(ISERROR(MATCH($B100,'A1.3.2'!$B$27:$B$106,0)),"",(VLOOKUP($B100,'Forecast occupancies'!$C$28:$CP$64,19,TRUE) * VLOOKUP($B100, 'A1.3.2'!$B$27:$AY$106,37,)) * $CR$5)</f>
        <v>52.976675159567101</v>
      </c>
      <c r="V100" s="1565">
        <f>IF(ISERROR(MATCH($B100,'A1.3.2'!$B$27:$B$106,0)),"",VLOOKUP($B100,'Forecast occupancies'!$C$28:$CP$64,20,TRUE) * ('VoT5'!$J$29*VLOOKUP($B100, 'A1.3.2'!$B$27:$AY$106,49,)+'VoT5'!$J$30*VLOOKUP($B100, 'A1.3.2'!$B$27:$AY$106,50,))/('VoT5'!$J$29+'VoT5'!$J$30) * $CR$5)</f>
        <v>32.338050100938752</v>
      </c>
      <c r="W100" s="1566">
        <f>IF(ISERROR(MATCH($B100,'A1.3.2'!$B$27:$B$106,0)),"",(U100*'VoT5'!$E$31 + V100*'VoT5'!$E$32)/100)</f>
        <v>50.500040152531703</v>
      </c>
      <c r="X100" s="1566">
        <f>IF(ISERROR(MATCH($B100,'A1.3.2'!$B$27:$B$106,0)),"",(VLOOKUP($B100,'Forecast occupancies'!$C$28:$CP$64,22,TRUE)*VLOOKUP($B100,'A1.3.2'!$B$27:$AY$106,38,)) * $CR$5)</f>
        <v>52.016064151658263</v>
      </c>
      <c r="Y100" s="1566">
        <f>IF(ISERROR(MATCH($B100,'A1.3.2'!$B$27:$B$106,0)),"",(VLOOKUP($B100,'Forecast occupancies'!$C$28:$CP$64,23,TRUE)*VLOOKUP($B100,'A1.3.2'!$B$27:$AY$106,38,)) * $CR$5)</f>
        <v>52.016064151658263</v>
      </c>
      <c r="Z100" s="1565">
        <f>IF(ISERROR(MATCH($B100,'A1.3.2'!$B$27:$B$106,0)),"",(((VLOOKUP($B100,'Forecast occupancies'!$C$28:$CP$64,24,TRUE) -1) * VLOOKUP($B100,'A1.3.2'!$B$27:$AY$106,40,)) + VLOOKUP($B100,'A1.3.2'!$B$27:$AY$106,39,)) * $CR$5)</f>
        <v>60.48258544007701</v>
      </c>
      <c r="AA100" s="1565">
        <f>IF(ISERROR(MATCH($B100,'A1.3.2'!$B$27:$B$106,0)),"",(VLOOKUP($B100,'Forecast occupancies'!$C$28:$CP$64,25,TRUE) * VLOOKUP($B100,'A1.3.2'!$B$27:$AY$106,49,)) * $CR$5)</f>
        <v>28.436986523172507</v>
      </c>
      <c r="AB100" s="1565">
        <f>IF(ISERROR(MATCH($B100,'A1.3.2'!$B$27:$B$106,0)),"",(VLOOKUP($B100,'Forecast occupancies'!$C$28:$CP$64,26,TRUE) * VLOOKUP($B100,'A1.3.2'!$B$27:$AY$106,50,)) * $CR$5)</f>
        <v>184.57567638486745</v>
      </c>
      <c r="AC100" s="1567">
        <f>IF(ISERROR(MATCH($B100,'A1.3.2'!$B$27:$B$106,0)),"",SUM(Z100:AB100))</f>
        <v>273.495248348117</v>
      </c>
      <c r="AD100" s="1609">
        <f>IF(ISERROR(MATCH($B100,'A1.3.2'!$B$27:$B$106,0)),"",(((VLOOKUP($B100,'Forecast occupancies'!$C$28:$CP$64,28,TRUE)-1)*VLOOKUP($B100,'A1.3.2'!$B$27:$AY$106,36,)+VLOOKUP($B100,'A1.3.2'!$B$27:$AY$106,35,))*$CR$5))</f>
        <v>73.536591819811875</v>
      </c>
      <c r="AE100" s="1565">
        <f>IF(ISERROR(MATCH($B100,'A1.3.2'!$B$27:$B$106,0)),"",VLOOKUP($B100,'Forecast occupancies'!$C$28:$CP$64,29,TRUE)*VLOOKUP($B100,'A1.3.2'!$B$27:$AY$106,49,)*$CR$5)</f>
        <v>40.992969807466928</v>
      </c>
      <c r="AF100" s="1565">
        <f>IF(ISERROR(MATCH($B100,'A1.3.2'!$B$27:$B$106,0)),"",VLOOKUP($B100,'Forecast occupancies'!$C$28:$CP$64,30,TRUE)*VLOOKUP($B100,'A1.3.2'!$B$27:$AY$106,50,)*$CR$5)</f>
        <v>29.515290826253505</v>
      </c>
      <c r="AG100" s="1566">
        <f>IF(ISERROR(MATCH($B100,'A1.3.2'!$B$27:$B$106,0)),"",(((AD100*'VoT5'!$F$28)+(AE100*'VoT5'!$F$29)+(AF100*'VoT5'!$F$30))/100))</f>
        <v>39.449216524376624</v>
      </c>
      <c r="AH100" s="1565">
        <f>IF(ISERROR(MATCH($B100,'A1.3.2'!$B$27:$B$106,0)),"",(VLOOKUP($B100,'Forecast occupancies'!$C$28:$CP$64,32,TRUE) * VLOOKUP($B100, 'A1.3.2'!$B$27:$AY$106,37,)) * $CR$5)</f>
        <v>52.976675159567101</v>
      </c>
      <c r="AI100" s="1565">
        <f>IF(ISERROR(MATCH($B100,'A1.3.2'!$B$27:$B$106,0)),"",VLOOKUP($B100,'Forecast occupancies'!$C$28:$CP$64,33,TRUE) * ('VoT5'!$J$29*VLOOKUP($B100, 'A1.3.2'!$B$27:$AY$106,49,)+'VoT5'!$J$30*VLOOKUP($B100, 'A1.3.2'!$B$27:$AY$106,50,))/('VoT5'!$J$29+'VoT5'!$J$30) * $CR$5)</f>
        <v>32.338050100938752</v>
      </c>
      <c r="AJ100" s="1566">
        <f>IF(ISERROR(MATCH($B100,'A1.3.2'!$B$27:$B$106,0)),"",(AH100*'VoT5'!$F$31 + AI100*'VoT5'!$F$32)/100)</f>
        <v>50.500040152531703</v>
      </c>
      <c r="AK100" s="1566">
        <f>IF(ISERROR(MATCH($B100,'A1.3.2'!$B$27:$B$106,0)),"",(VLOOKUP($B100,'Forecast occupancies'!$C$28:$CP$64,35,TRUE)*VLOOKUP($B100,'A1.3.2'!$B$27:$AY$106,38,)) * $CR$5)</f>
        <v>52.016064151658263</v>
      </c>
      <c r="AL100" s="1566">
        <f>IF(ISERROR(MATCH($B100,'A1.3.2'!$B$27:$B$106,0)),"",(VLOOKUP($B100,'Forecast occupancies'!$C$28:$CP$64,36,TRUE)*VLOOKUP($B100,'A1.3.2'!$B$27:$AY$106,38,)) * $CR$5)</f>
        <v>52.016064151658263</v>
      </c>
      <c r="AM100" s="1565">
        <f>IF(ISERROR(MATCH($B100,'A1.3.2'!$B$27:$B$106,0)),"",(((VLOOKUP($B100,'Forecast occupancies'!$C$28:$CP$64,37,TRUE) -1) * VLOOKUP($B100,'A1.3.2'!$B$27:$AY$106,40,)) + VLOOKUP($B100,'A1.3.2'!$B$27:$AY$106,39,)) * $CR$5)</f>
        <v>63.282147583433002</v>
      </c>
      <c r="AN100" s="1565">
        <f>IF(ISERROR(MATCH($B100,'A1.3.2'!$B$27:$B$106,0)),"",(VLOOKUP($B100,'Forecast occupancies'!$C$28:$CP$64,38,TRUE) * VLOOKUP($B100,'A1.3.2'!$B$27:$AY$106,49,)) * $CR$5)</f>
        <v>114.11346693676415</v>
      </c>
      <c r="AO100" s="1565">
        <f>IF(ISERROR(MATCH($B100,'A1.3.2'!$B$27:$B$106,0)),"",(VLOOKUP($B100,'Forecast occupancies'!$C$28:$CP$64,39,TRUE) * VLOOKUP($B100,'A1.3.2'!$B$27:$AY$106,50,)) * $CR$5)</f>
        <v>144.20159858055638</v>
      </c>
      <c r="AP100" s="1567">
        <f>IF(ISERROR(MATCH($B100,'A1.3.2'!$B$27:$B$106,0)),"",SUM(AM100:AO100))</f>
        <v>321.59721310075355</v>
      </c>
      <c r="AQ100" s="1609">
        <f>IF(ISERROR(MATCH($B100,'A1.3.2'!$B$27:$B$106,0)),"",(((VLOOKUP($B100,'Forecast occupancies'!$C$28:$CP$64,41,TRUE)-1)*VLOOKUP($B100,'A1.3.2'!$B$27:$AY$106,36,)+VLOOKUP($B100,'A1.3.2'!$B$27:$AY$106,35,))*$CR$5))</f>
        <v>74.927949888562068</v>
      </c>
      <c r="AR100" s="1565">
        <f>IF(ISERROR(MATCH($B100,'A1.3.2'!$B$27:$B$106,0)),"",VLOOKUP($B100,'Forecast occupancies'!$C$28:$CP$64,42,TRUE)*VLOOKUP($B100,'A1.3.2'!$B$27:$AY$106,49,)*$CR$5)</f>
        <v>41.592940961852342</v>
      </c>
      <c r="AS100" s="1565">
        <f>IF(ISERROR(MATCH($B100,'A1.3.2'!$B$27:$B$106,0)),"",VLOOKUP($B100,'Forecast occupancies'!$C$28:$CP$64,43,TRUE)*VLOOKUP($B100,'A1.3.2'!$B$27:$AY$106,50,)*$CR$5)</f>
        <v>29.409914765881105</v>
      </c>
      <c r="AT100" s="1566">
        <f>IF(ISERROR(MATCH($B100,'A1.3.2'!$B$27:$B$106,0)),"",(((AQ100*'VoT5'!$G$28)+(AR100*'VoT5'!$G$29)+(AS100*'VoT5'!$G$30))/100))</f>
        <v>39.967768580112832</v>
      </c>
      <c r="AU100" s="1565">
        <f>IF(ISERROR(MATCH($B100,'A1.3.2'!$B$27:$B$106,0)),"",(VLOOKUP($B100,'Forecast occupancies'!$C$28:$CP$64,45,TRUE) * VLOOKUP($B100, 'A1.3.2'!$B$27:$AY$106,37,)) * $CR$5)</f>
        <v>52.976675159567101</v>
      </c>
      <c r="AV100" s="1565">
        <f>IF(ISERROR(MATCH($B100,'A1.3.2'!$B$27:$B$106,0)),"",VLOOKUP($B100,'Forecast occupancies'!$C$28:$CP$64,46,TRUE) * ('VoT5'!$J$29*VLOOKUP($B100, 'A1.3.2'!$B$27:$AY$106,49,)+'VoT5'!$J$30*VLOOKUP($B100, 'A1.3.2'!$B$27:$AY$106,50,))/('VoT5'!$J$29+'VoT5'!$J$30) * $CR$5)</f>
        <v>32.338050100938752</v>
      </c>
      <c r="AW100" s="1566">
        <f>IF(ISERROR(MATCH($B100,'A1.3.2'!$B$27:$B$106,0)),"",(AU100*'VoT5'!$G$31 + AV100*'VoT5'!$G$32)/100)</f>
        <v>50.500040152531703</v>
      </c>
      <c r="AX100" s="1566">
        <f>IF(ISERROR(MATCH($B100,'A1.3.2'!$B$27:$B$106,0)),"",(VLOOKUP($B100,'Forecast occupancies'!$C$28:$CP$64,48,TRUE)*VLOOKUP($B100,'A1.3.2'!$B$27:$AY$106,38,)) * $CR$5)</f>
        <v>52.016064151658263</v>
      </c>
      <c r="AY100" s="1566">
        <f>IF(ISERROR(MATCH($B100,'A1.3.2'!$B$27:$B$106,0)),"",(VLOOKUP($B100,'Forecast occupancies'!$C$28:$CP$64,49,TRUE)*VLOOKUP($B100,'A1.3.2'!$B$27:$AY$106,38,)) * $CR$5)</f>
        <v>52.016064151658263</v>
      </c>
      <c r="AZ100" s="1565">
        <f>IF(ISERROR(MATCH($B100,'A1.3.2'!$B$27:$B$106,0)),"",(((VLOOKUP($B100,'Forecast occupancies'!$C$28:$CP$64,50,TRUE) -1) * VLOOKUP($B100,'A1.3.2'!$B$27:$AY$106,40,)) + VLOOKUP($B100,'A1.3.2'!$B$27:$AY$106,39,)) * $CR$5)</f>
        <v>63.230973009637339</v>
      </c>
      <c r="BA100" s="1565">
        <f>IF(ISERROR(MATCH($B100,'A1.3.2'!$B$27:$B$106,0)),"",(VLOOKUP($B100,'Forecast occupancies'!$C$28:$CP$64,51,TRUE) * VLOOKUP($B100,'A1.3.2'!$B$27:$AY$106,49,)) * $CR$5)</f>
        <v>155.99027477698181</v>
      </c>
      <c r="BB100" s="1565">
        <f>IF(ISERROR(MATCH($B100,'A1.3.2'!$B$27:$B$106,0)),"",(VLOOKUP($B100,'Forecast occupancies'!$C$28:$CP$64,52,TRUE) * VLOOKUP($B100,'A1.3.2'!$B$27:$AY$106,50,)) * $CR$5)</f>
        <v>125.11095906040858</v>
      </c>
      <c r="BC100" s="1567">
        <f>IF(ISERROR(MATCH($B100,'A1.3.2'!$B$27:$B$106,0)),"",SUM(AZ100:BB100))</f>
        <v>344.33220684702769</v>
      </c>
      <c r="BD100" s="1565">
        <f>IF(ISERROR(MATCH($B100,'A1.3.2'!$B$27:$B$106,0)),"",(((VLOOKUP($B100,'Forecast occupancies'!$C$28:$CP$64,54,TRUE)-1)*VLOOKUP($B100,'A1.3.2'!$B$27:$AY$106,36,)+VLOOKUP($B100,'A1.3.2'!$B$27:$AY$106,35,))*$CR$5))</f>
        <v>73.667434728219789</v>
      </c>
      <c r="BE100" s="1565">
        <f>IF(ISERROR(MATCH($B100,'A1.3.2'!$B$27:$B$106,0)),"",VLOOKUP($B100,'Forecast occupancies'!$C$28:$CP$64,55,TRUE)*VLOOKUP($B100,'A1.3.2'!$B$27:$AY$106,49,)*$CR$5)</f>
        <v>41.132346246230362</v>
      </c>
      <c r="BF100" s="1565">
        <f>IF(ISERROR(MATCH($B100,'A1.3.2'!$B$27:$B$106,0)),"",VLOOKUP($B100,'Forecast occupancies'!$C$28:$CP$64,56,TRUE)*VLOOKUP($B100,'A1.3.2'!$B$27:$AY$106,50,)*$CR$5)</f>
        <v>29.482988103160874</v>
      </c>
      <c r="BG100" s="1566">
        <f>IF(ISERROR(MATCH($B100,'A1.3.2'!$B$27:$B$106,0)),"",(((BD100*'VoT5'!$H$28)+(BE100*'VoT5'!$H$29)+(BF100*'VoT5'!$H$30))/100))</f>
        <v>39.679935639152717</v>
      </c>
      <c r="BH100" s="1565">
        <f>IF(ISERROR(MATCH($B100,'A1.3.2'!$B$27:$B$106,0)),"",(VLOOKUP($B100,'Forecast occupancies'!$C$28:$CP$64,58,TRUE) * VLOOKUP($B100, 'A1.3.2'!$B$27:$AY$106,37,)) * $CR$5)</f>
        <v>52.976675159567101</v>
      </c>
      <c r="BI100" s="1565">
        <f>IF(ISERROR(MATCH($B100,'A1.3.2'!$B$27:$B$106,0)),"",(VLOOKUP($B100,'Forecast occupancies'!$C$28:$CP$64,59,TRUE) * (VLOOKUP($B100,'A1.3.2'!$B$27:$AY$106,49,) * 'VoT5'!$J$29 + VLOOKUP($B100,'A1.3.2'!$B$27:$AY$106,50,) * 'VoT5'!$J$30) / (SUM('VoT5'!$J$29:$J$30))) * $CR$5)</f>
        <v>32.338050100938752</v>
      </c>
      <c r="BJ100" s="1566">
        <f>IF(ISERROR(MATCH($B100,'A1.3.2'!$B$27:$B$106,0)),"",(BH100*'VoT5'!$H$31 + BI100*'VoT5'!$H$32)/100)</f>
        <v>50.500040152531703</v>
      </c>
      <c r="BK100" s="1566">
        <f>IF(ISERROR(MATCH($B100,'A1.3.2'!$B$27:$B$106,0)),"",(VLOOKUP($B100,'Forecast occupancies'!$C$28:$CP$64,61,TRUE)*VLOOKUP($B100,'A1.3.2'!$B$27:$AY$106,38,)) * $CR$5)</f>
        <v>52.016064151658263</v>
      </c>
      <c r="BL100" s="1566">
        <f>IF(ISERROR(MATCH($B100,'A1.3.2'!$B$27:$B$106,0)),"",(VLOOKUP($B100,'Forecast occupancies'!$C$28:$CP$64,62,TRUE)*VLOOKUP($B100,'A1.3.2'!$B$27:$AY$106,38,)) * $CR$5)</f>
        <v>52.016064151658263</v>
      </c>
      <c r="BM100" s="1565">
        <f>IF(ISERROR(MATCH($B100,'A1.3.2'!$B$27:$B$106,0)),"",(((VLOOKUP($B100,'Forecast occupancies'!$C$28:$CP$64,63,TRUE) -1) * VLOOKUP($B100,'A1.3.2'!$B$27:$AY$106,40,)) + VLOOKUP($B100,'A1.3.2'!$B$27:$AY$106,39,)) * $CR$5)</f>
        <v>60.966751605324035</v>
      </c>
      <c r="BN100" s="1565">
        <f>IF(ISERROR(MATCH($B100,'A1.3.2'!$B$27:$B$106,0)),"",(VLOOKUP($B100,'Forecast occupancies'!$C$28:$CP$64,64,TRUE) * VLOOKUP($B100,'A1.3.2'!$B$27:$AY$106,49,)) * $CR$5)</f>
        <v>70.419235959385546</v>
      </c>
      <c r="BO100" s="1565">
        <f>IF(ISERROR(MATCH($B100,'A1.3.2'!$B$27:$B$106,0)),"",(VLOOKUP($B100,'Forecast occupancies'!$C$28:$CP$64,65,TRUE) * VLOOKUP($B100,'A1.3.2'!$B$27:$AY$106,50,)) * $CR$5)</f>
        <v>165.19429384423574</v>
      </c>
      <c r="BP100" s="1567">
        <f>IF(ISERROR(MATCH($B100,'A1.3.2'!$B$27:$B$106,0)),"",SUM(BM100:BO100))</f>
        <v>296.58028140894532</v>
      </c>
      <c r="BQ100" s="1565">
        <f>IF(ISERROR(MATCH($B100,'A1.3.2'!$B$27:$B$106,0)),"",(((VLOOKUP($B100,'Forecast occupancies'!$C$28:$CP$64,67,TRUE)-1)*VLOOKUP($B100,'A1.3.2'!$B$27:$AY$106,36,)+VLOOKUP($B100,'A1.3.2'!$B$27:$AY$106,35,))*$CR$5))</f>
        <v>84.192655910852267</v>
      </c>
      <c r="BR100" s="1565">
        <f>IF(ISERROR(MATCH($B100,'A1.3.2'!$B$27:$B$106,0)),"",VLOOKUP($B100,'Forecast occupancies'!$C$28:$CP$64,68,TRUE)*VLOOKUP($B100,'A1.3.2'!$B$27:$AY$106,49,)*$CR$5)</f>
        <v>43.548951062547424</v>
      </c>
      <c r="BS100" s="1565">
        <f>IF(ISERROR(MATCH($B100,'A1.3.2'!$B$27:$B$106,0)),"",VLOOKUP($B100,'Forecast occupancies'!$C$28:$CP$64,69,TRUE)*VLOOKUP($B100,'A1.3.2'!$B$27:$AY$106,50,)*$CR$5)</f>
        <v>34.908568638252099</v>
      </c>
      <c r="BT100" s="1566">
        <f>IF(ISERROR(MATCH($B100,'A1.3.2'!$B$27:$B$106,0)),"",(((BQ100*'VoT5'!$I$28)+(BR100*'VoT5'!$I$29)+(BS100*'VoT5'!$I$30))/100))</f>
        <v>37.302007079576263</v>
      </c>
      <c r="BU100" s="1565">
        <f>IF(ISERROR(MATCH($B100,'A1.3.2'!$B$27:$B$106,0)),"",(VLOOKUP($B100,'Forecast occupancies'!$C$28:$CP$64,71,TRUE) * VLOOKUP($B100, 'A1.3.2'!$B$27:$AY$106,37,)) * $CR$5)</f>
        <v>55.625508917545453</v>
      </c>
      <c r="BV100" s="1565">
        <f>IF(ISERROR(MATCH($B100,'A1.3.2'!$B$27:$B$106,0)),"",(VLOOKUP($B100,'Forecast occupancies'!$C$28:$CP$64,72,TRUE) * (VLOOKUP($B100,'A1.3.2'!$B$27:$AY$106,49,)*'VoT5'!$J$29 + VLOOKUP($B100,'A1.3.2'!$B$27:$AY$106,50,)*'VoT5'!$J$30) / (SUM('VoT5'!$J$29:$J$30))) * $CR$5)</f>
        <v>44.963179249935386</v>
      </c>
      <c r="BW100" s="1566">
        <f>IF(ISERROR(MATCH($B100,'A1.3.2'!$B$27:$B$106,0)),"",(BU100*'VoT5'!$I$31 + BV100*'VoT5'!$I$32)/100)</f>
        <v>54.346029357432244</v>
      </c>
      <c r="BX100" s="1566">
        <f>IF(ISERROR(MATCH($B100,'A1.3.2'!$B$27:$B$106,0)),"",(VLOOKUP($B100,'Forecast occupancies'!$C$28:$CP$64,74,TRUE)*VLOOKUP($B100,'A1.3.2'!$B$27:$AY$106,38,)) * $CR$5)</f>
        <v>52.016064151658263</v>
      </c>
      <c r="BY100" s="1566">
        <f>IF(ISERROR(MATCH($B100,'A1.3.2'!$B$27:$B$106,0)),"",(VLOOKUP($B100,'Forecast occupancies'!$C$28:$CP$64,75,TRUE)*VLOOKUP($B100,'A1.3.2'!$B$27:$AY$106,38,)) * $CR$5)</f>
        <v>52.016064151658263</v>
      </c>
      <c r="BZ100" s="1565">
        <f>IF(ISERROR(MATCH($B100,'A1.3.2'!$B$27:$B$106,0)),"",(((VLOOKUP($B100,'Forecast occupancies'!$C$28:$CP$64,76,TRUE) -1) * VLOOKUP($B100,'A1.3.2'!$B$27:$AY$106,40,)) + VLOOKUP($B100,'A1.3.2'!$B$27:$AY$106,39,)) * $CR$5)</f>
        <v>55.524511455602493</v>
      </c>
      <c r="CA100" s="1565">
        <f>IF(ISERROR(MATCH($B100,'A1.3.2'!$B$27:$B$106,0)),"",(VLOOKUP($B100,'Forecast occupancies'!$C$28:$CP$64,77,TRUE) * VLOOKUP($B100,'A1.3.2'!$B$27:$AY$106,49,)) * $CR$5)</f>
        <v>26.67752388295753</v>
      </c>
      <c r="CB100" s="1565">
        <f>IF(ISERROR(MATCH($B100,'A1.3.2'!$B$27:$B$106,0)),"",(VLOOKUP($B100,'Forecast occupancies'!$C$28:$CP$64,78,TRUE) * VLOOKUP($B100,'A1.3.2'!$B$27:$AY$106,50,)) * $CR$5)</f>
        <v>187.62574603563775</v>
      </c>
      <c r="CC100" s="1567">
        <f>IF(ISERROR(MATCH($B100,'A1.3.2'!$B$27:$B$106,0)),"",SUM(BZ100:CB100))</f>
        <v>269.8277813741978</v>
      </c>
      <c r="CD100" s="1565">
        <f>IF(ISERROR(MATCH($B100,'A1.3.2'!$B$27:$B$106,0)),"",(((VLOOKUP($B100,'Forecast occupancies'!$C$28:$CP$64,80,TRUE)-1)*VLOOKUP($B100,'A1.3.2'!$B$27:$AY$106,36,)+VLOOKUP($B100,'A1.3.2'!$B$27:$AY$106,35,))*$CR$5))</f>
        <v>74.414544371143734</v>
      </c>
      <c r="CE100" s="1565">
        <f>IF(ISERROR(MATCH($B100,'A1.3.2'!$B$27:$B$106,0)),"",VLOOKUP($B100,'Forecast occupancies'!$C$28:$CP$64,81,TRUE)*VLOOKUP($B100,'A1.3.2'!$B$27:$AY$106,49,)*$CR$5)</f>
        <v>41.327851168827081</v>
      </c>
      <c r="CF100" s="1565">
        <f>IF(ISERROR(MATCH($B100,'A1.3.2'!$B$27:$B$106,0)),"",VLOOKUP($B100,'Forecast occupancies'!$C$28:$CP$64,82,TRUE)*VLOOKUP($B100,'A1.3.2'!$B$27:$AY$106,50,)*$CR$5)</f>
        <v>31.397504155106482</v>
      </c>
      <c r="CG100" s="1566">
        <f>IF(ISERROR(MATCH($B100,'A1.3.2'!$B$27:$B$106,0)),"",(((CD100*'VoT5'!$J$28)+(CE100*'VoT5'!$J$29)+(CF100*'VoT5'!$J$30))/100))</f>
        <v>39.116140070627765</v>
      </c>
      <c r="CH100" s="1565">
        <f>IF(ISERROR(MATCH($B100,'A1.3.2'!$B$27:$B$106,0)),"",(VLOOKUP($B100,'Forecast occupancies'!$C$28:$CP$64,84,TRUE) * VLOOKUP($B100, 'A1.3.2'!$B$27:$AY$106,37,)) * $CR$5)</f>
        <v>52.976675159567101</v>
      </c>
      <c r="CI100" s="1565">
        <f>IF(ISERROR(MATCH($B100,'A1.3.2'!$B$27:$B$106,0)),"",(VLOOKUP($B100,'Forecast occupancies'!$C$28:$CP$64,85,TRUE) * (VLOOKUP($B100,'A1.3.2'!$B$27:$AY$106,49,)*'VoT5'!$J$29 + VLOOKUP($B100,'A1.3.2'!$B$27:$AY$106,50,)*'VoT5'!$J$30) / (SUM('VoT5'!$J$29:$J$30))) * $CR$5)</f>
        <v>35.217465520885355</v>
      </c>
      <c r="CJ100" s="1566">
        <f>IF(ISERROR(MATCH($B100,'A1.3.2'!$B$27:$B$106,0)),"",(CH100*'VoT5'!$J$31 + CI100*'VoT5'!$J$32)/100)</f>
        <v>50.845570002925299</v>
      </c>
      <c r="CK100" s="1566">
        <f>IF(ISERROR(MATCH($B100,'A1.3.2'!$B$27:$B$106,0)),"",(VLOOKUP($B100,'Forecast occupancies'!$C$28:$CP$64,87,TRUE)*VLOOKUP($B100,'A1.3.2'!$B$27:$AY$106,38,)) * $CR$5)</f>
        <v>52.016064151658263</v>
      </c>
      <c r="CL100" s="1566">
        <f>IF(ISERROR(MATCH($B100,'A1.3.2'!$B$27:$B$106,0)),"",(VLOOKUP($B100,'Forecast occupancies'!$C$28:$CP$64,88,TRUE)*VLOOKUP($B100,'A1.3.2'!$B$27:$AY$106,38,)) * $CR$5)</f>
        <v>52.016064151658263</v>
      </c>
      <c r="CM100" s="1565">
        <f>IF(ISERROR(MATCH($B100,'A1.3.2'!$B$27:$B$106,0)),"",(((VLOOKUP($B100,'Forecast occupancies'!$C$28:$CP$64,89,TRUE) -1) * VLOOKUP($B100,'A1.3.2'!$B$27:$AY$106,40,)) + VLOOKUP($B100,'A1.3.2'!$B$27:$AY$106,39,)) * $CR$5)</f>
        <v>59.622839923305413</v>
      </c>
      <c r="CN100" s="1565">
        <f>IF(ISERROR(MATCH($B100,'A1.3.2'!$B$27:$B$106,0)),"",(VLOOKUP($B100,'Forecast occupancies'!$C$28:$CP$64,90,TRUE) * VLOOKUP($B100,'A1.3.2'!$B$27:$AY$106,49,)) * $CR$5)</f>
        <v>59.615536612927819</v>
      </c>
      <c r="CO100" s="1565">
        <f>IF(ISERROR(MATCH($B100,'A1.3.2'!$B$27:$B$106,0)),"",(VLOOKUP($B100,'Forecast occupancies'!$C$28:$CP$64,91,TRUE) * VLOOKUP($B100,'A1.3.2'!$B$27:$AY$106,50,)) * $CR$5)</f>
        <v>170.73448694148047</v>
      </c>
      <c r="CP100" s="1567">
        <f>IF(ISERROR(MATCH($B100,'A1.3.2'!$B$27:$B$106,0)),"",SUM(CM100:CO100))</f>
        <v>289.9728634777137</v>
      </c>
    </row>
    <row r="101" spans="1:94" ht="13.5" customHeight="1">
      <c r="A101" s="113"/>
      <c r="B101" s="82">
        <f t="shared" si="1"/>
        <v>2083</v>
      </c>
      <c r="C101" s="26"/>
      <c r="D101" s="1609">
        <f>IF(ISERROR(MATCH($B101,'A1.3.2'!$B$27:$B$106,0)),"",(((VLOOKUP($B101,'Forecast occupancies'!$C$28:$CP$64,2,TRUE) -1) * VLOOKUP($B101,'A1.3.2'!$B$27:$AY$106,36,) + VLOOKUP($B101,'A1.3.2'!$B$27:$AY$106,35,)) * $CR$5))</f>
        <v>74.01818138444203</v>
      </c>
      <c r="E101" s="1565">
        <f>IF(ISERROR(MATCH($B101,'A1.3.2'!$B$27:$B$106,0)),"",VLOOKUP($B101,'Forecast occupancies'!$C$28:$CP$64,3,TRUE)*VLOOKUP($B101,'A1.3.2'!$B$27:$AY$106,49,)*$CR$5)</f>
        <v>41.713014222502949</v>
      </c>
      <c r="F101" s="1565">
        <f>IF(ISERROR(MATCH($B101,'A1.3.2'!$B$27:$B$106,0)),"",VLOOKUP($B101,'Forecast occupancies'!$C$28:$CP$64,4,TRUE)*VLOOKUP($B101,'A1.3.2'!$B$27:$AY$106,50,)*$CR$5)</f>
        <v>28.778748176408893</v>
      </c>
      <c r="G101" s="1566">
        <f>IF(ISERROR(MATCH($B101,'A1.3.2'!$B$27:$B$106,0)),"",(((D101*'VoT5'!$D$28)+(E101*'VoT5'!$D$29)+(F101*'VoT5'!$D$30))/100))</f>
        <v>41.924262227098851</v>
      </c>
      <c r="H101" s="1565">
        <f>IF(ISERROR(MATCH($B101,'A1.3.2'!$B$27:$B$106,0)),"",(VLOOKUP($B101,'Forecast occupancies'!$C$28:$CP$64,6,TRUE) * VLOOKUP($B101, 'A1.3.2'!$B$27:$AY$106,37,)) * $CR$5)</f>
        <v>54.093159434066941</v>
      </c>
      <c r="I101" s="1565">
        <f>IF(ISERROR(MATCH($B101,'A1.3.2'!$B$27:$B$106,0)),"",VLOOKUP($B101,'Forecast occupancies'!$C$28:$CP$64,7,TRUE) * ('VoT5'!$J$29*VLOOKUP($B101, 'A1.3.2'!$B$27:$AY$106,49,)+'VoT5'!$J$30*VLOOKUP($B101, 'A1.3.2'!$B$27:$AY$106,50,))/('VoT5'!$J$29+'VoT5'!$J$30) * $CR$5)</f>
        <v>33.0195750229339</v>
      </c>
      <c r="J101" s="1566">
        <f>IF(ISERROR(MATCH($B101,'A1.3.2'!$B$27:$B$106,0)),"",(H101*'VoT5'!$D$31 + I101*'VoT5'!$D$32)/100)</f>
        <v>51.564329304730983</v>
      </c>
      <c r="K101" s="1566">
        <f>IF(ISERROR(MATCH($B101,'A1.3.2'!$B$27:$B$106,0)),"",(VLOOKUP($B101,'Forecast occupancies'!$C$28:$CP$64,9,TRUE)*VLOOKUP($B101,'A1.3.2'!$B$27:$AY$106,38,)) * $CR$5)</f>
        <v>53.112303533835004</v>
      </c>
      <c r="L101" s="1566">
        <f>IF(ISERROR(MATCH($B101,'A1.3.2'!$B$27:$B$106,0)),"",(VLOOKUP($B101,'Forecast occupancies'!$C$28:$CP$64,10,TRUE)*VLOOKUP($B101,'A1.3.2'!$B$27:$AY$106,38,)) * $CR$5)</f>
        <v>53.112303533835004</v>
      </c>
      <c r="M101" s="1565">
        <f>IF(ISERROR(MATCH($B101,'A1.3.2'!$B$27:$B$106,0)),"",(((VLOOKUP($B101,'Forecast occupancies'!$C$28:$CP$64,11,TRUE) -1) * VLOOKUP($B101,'A1.3.2'!$B$27:$AY$106,40,)) + VLOOKUP($B101,'A1.3.2'!$B$27:$AY$106,39,)) * $CR$5)</f>
        <v>60.521950071856281</v>
      </c>
      <c r="N101" s="1565">
        <f>IF(ISERROR(MATCH($B101,'A1.3.2'!$B$27:$B$106,0)),"",(VLOOKUP($B101,'Forecast occupancies'!$C$28:$CP$64,12,TRUE) * VLOOKUP($B101,'A1.3.2'!$B$27:$AY$106,49,)) * $CR$5)</f>
        <v>82.850022484662546</v>
      </c>
      <c r="O101" s="1565">
        <f>IF(ISERROR(MATCH($B101,'A1.3.2'!$B$27:$B$106,0)),"",(VLOOKUP($B101,'Forecast occupancies'!$C$28:$CP$64,13,TRUE) * VLOOKUP($B101,'A1.3.2'!$B$27:$AY$106,50,)) * $CR$5)</f>
        <v>164.46325299510553</v>
      </c>
      <c r="P101" s="1567">
        <f>IF(ISERROR(MATCH($B101,'A1.3.2'!$B$27:$B$106,0)),"",SUM(M101:O101))</f>
        <v>307.83522555162438</v>
      </c>
      <c r="Q101" s="1609">
        <f>IF(ISERROR(MATCH($B101,'A1.3.2'!$B$27:$B$106,0)),"",(((VLOOKUP($B101,'Forecast occupancies'!$C$28:$CP$64,15,TRUE)-1)*VLOOKUP($B101,'A1.3.2'!$B$27:$AY$106,36,)+VLOOKUP($B101,'A1.3.2'!$B$27:$AY$106,35,))*$CR$5))</f>
        <v>75.848104033366667</v>
      </c>
      <c r="R101" s="1565">
        <f>IF(ISERROR(MATCH($B101,'A1.3.2'!$B$27:$B$106,0)),"",VLOOKUP($B101,'Forecast occupancies'!$C$28:$CP$64,16,TRUE)*VLOOKUP($B101,'A1.3.2'!$B$27:$AY$106,49,)*$CR$5)</f>
        <v>42.391271723512531</v>
      </c>
      <c r="S101" s="1565">
        <f>IF(ISERROR(MATCH($B101,'A1.3.2'!$B$27:$B$106,0)),"",VLOOKUP($B101,'Forecast occupancies'!$C$28:$CP$64,17,TRUE)*VLOOKUP($B101,'A1.3.2'!$B$27:$AY$106,50,)*$CR$5)</f>
        <v>30.656164926763445</v>
      </c>
      <c r="T101" s="1566">
        <f>IF(ISERROR(MATCH($B101,'A1.3.2'!$B$27:$B$106,0)),"",(((Q101*'VoT5'!$E$28)+(R101*'VoT5'!$E$29)+(S101*'VoT5'!$E$30))/100))</f>
        <v>39.484674037049572</v>
      </c>
      <c r="U101" s="1565">
        <f>IF(ISERROR(MATCH($B101,'A1.3.2'!$B$27:$B$106,0)),"",(VLOOKUP($B101,'Forecast occupancies'!$C$28:$CP$64,19,TRUE) * VLOOKUP($B101, 'A1.3.2'!$B$27:$AY$106,37,)) * $CR$5)</f>
        <v>54.093159434066941</v>
      </c>
      <c r="V101" s="1565">
        <f>IF(ISERROR(MATCH($B101,'A1.3.2'!$B$27:$B$106,0)),"",VLOOKUP($B101,'Forecast occupancies'!$C$28:$CP$64,20,TRUE) * ('VoT5'!$J$29*VLOOKUP($B101, 'A1.3.2'!$B$27:$AY$106,49,)+'VoT5'!$J$30*VLOOKUP($B101, 'A1.3.2'!$B$27:$AY$106,50,))/('VoT5'!$J$29+'VoT5'!$J$30) * $CR$5)</f>
        <v>33.0195750229339</v>
      </c>
      <c r="W101" s="1566">
        <f>IF(ISERROR(MATCH($B101,'A1.3.2'!$B$27:$B$106,0)),"",(U101*'VoT5'!$E$31 + V101*'VoT5'!$E$32)/100)</f>
        <v>51.564329304730983</v>
      </c>
      <c r="X101" s="1566">
        <f>IF(ISERROR(MATCH($B101,'A1.3.2'!$B$27:$B$106,0)),"",(VLOOKUP($B101,'Forecast occupancies'!$C$28:$CP$64,22,TRUE)*VLOOKUP($B101,'A1.3.2'!$B$27:$AY$106,38,)) * $CR$5)</f>
        <v>53.112303533835004</v>
      </c>
      <c r="Y101" s="1566">
        <f>IF(ISERROR(MATCH($B101,'A1.3.2'!$B$27:$B$106,0)),"",(VLOOKUP($B101,'Forecast occupancies'!$C$28:$CP$64,23,TRUE)*VLOOKUP($B101,'A1.3.2'!$B$27:$AY$106,38,)) * $CR$5)</f>
        <v>53.112303533835004</v>
      </c>
      <c r="Z101" s="1565">
        <f>IF(ISERROR(MATCH($B101,'A1.3.2'!$B$27:$B$106,0)),"",(((VLOOKUP($B101,'Forecast occupancies'!$C$28:$CP$64,24,TRUE) -1) * VLOOKUP($B101,'A1.3.2'!$B$27:$AY$106,40,)) + VLOOKUP($B101,'A1.3.2'!$B$27:$AY$106,39,)) * $CR$5)</f>
        <v>61.75725689353353</v>
      </c>
      <c r="AA101" s="1565">
        <f>IF(ISERROR(MATCH($B101,'A1.3.2'!$B$27:$B$106,0)),"",(VLOOKUP($B101,'Forecast occupancies'!$C$28:$CP$64,25,TRUE) * VLOOKUP($B101,'A1.3.2'!$B$27:$AY$106,49,)) * $CR$5)</f>
        <v>29.036296468004945</v>
      </c>
      <c r="AB101" s="1565">
        <f>IF(ISERROR(MATCH($B101,'A1.3.2'!$B$27:$B$106,0)),"",(VLOOKUP($B101,'Forecast occupancies'!$C$28:$CP$64,26,TRUE) * VLOOKUP($B101,'A1.3.2'!$B$27:$AY$106,50,)) * $CR$5)</f>
        <v>188.46561171052107</v>
      </c>
      <c r="AC101" s="1567">
        <f>IF(ISERROR(MATCH($B101,'A1.3.2'!$B$27:$B$106,0)),"",SUM(Z101:AB101))</f>
        <v>279.25916507205955</v>
      </c>
      <c r="AD101" s="1609">
        <f>IF(ISERROR(MATCH($B101,'A1.3.2'!$B$27:$B$106,0)),"",(((VLOOKUP($B101,'Forecast occupancies'!$C$28:$CP$64,28,TRUE)-1)*VLOOKUP($B101,'A1.3.2'!$B$27:$AY$106,36,)+VLOOKUP($B101,'A1.3.2'!$B$27:$AY$106,35,))*$CR$5))</f>
        <v>75.086376666064297</v>
      </c>
      <c r="AE101" s="1565">
        <f>IF(ISERROR(MATCH($B101,'A1.3.2'!$B$27:$B$106,0)),"",VLOOKUP($B101,'Forecast occupancies'!$C$28:$CP$64,29,TRUE)*VLOOKUP($B101,'A1.3.2'!$B$27:$AY$106,49,)*$CR$5)</f>
        <v>41.856897300410367</v>
      </c>
      <c r="AF101" s="1565">
        <f>IF(ISERROR(MATCH($B101,'A1.3.2'!$B$27:$B$106,0)),"",VLOOKUP($B101,'Forecast occupancies'!$C$28:$CP$64,30,TRUE)*VLOOKUP($B101,'A1.3.2'!$B$27:$AY$106,50,)*$CR$5)</f>
        <v>30.1373260514832</v>
      </c>
      <c r="AG101" s="1566">
        <f>IF(ISERROR(MATCH($B101,'A1.3.2'!$B$27:$B$106,0)),"",(((AD101*'VoT5'!$F$28)+(AE101*'VoT5'!$F$29)+(AF101*'VoT5'!$F$30))/100))</f>
        <v>40.280609392240514</v>
      </c>
      <c r="AH101" s="1565">
        <f>IF(ISERROR(MATCH($B101,'A1.3.2'!$B$27:$B$106,0)),"",(VLOOKUP($B101,'Forecast occupancies'!$C$28:$CP$64,32,TRUE) * VLOOKUP($B101, 'A1.3.2'!$B$27:$AY$106,37,)) * $CR$5)</f>
        <v>54.093159434066941</v>
      </c>
      <c r="AI101" s="1565">
        <f>IF(ISERROR(MATCH($B101,'A1.3.2'!$B$27:$B$106,0)),"",VLOOKUP($B101,'Forecast occupancies'!$C$28:$CP$64,33,TRUE) * ('VoT5'!$J$29*VLOOKUP($B101, 'A1.3.2'!$B$27:$AY$106,49,)+'VoT5'!$J$30*VLOOKUP($B101, 'A1.3.2'!$B$27:$AY$106,50,))/('VoT5'!$J$29+'VoT5'!$J$30) * $CR$5)</f>
        <v>33.0195750229339</v>
      </c>
      <c r="AJ101" s="1566">
        <f>IF(ISERROR(MATCH($B101,'A1.3.2'!$B$27:$B$106,0)),"",(AH101*'VoT5'!$F$31 + AI101*'VoT5'!$F$32)/100)</f>
        <v>51.564329304730983</v>
      </c>
      <c r="AK101" s="1566">
        <f>IF(ISERROR(MATCH($B101,'A1.3.2'!$B$27:$B$106,0)),"",(VLOOKUP($B101,'Forecast occupancies'!$C$28:$CP$64,35,TRUE)*VLOOKUP($B101,'A1.3.2'!$B$27:$AY$106,38,)) * $CR$5)</f>
        <v>53.112303533835004</v>
      </c>
      <c r="AL101" s="1566">
        <f>IF(ISERROR(MATCH($B101,'A1.3.2'!$B$27:$B$106,0)),"",(VLOOKUP($B101,'Forecast occupancies'!$C$28:$CP$64,36,TRUE)*VLOOKUP($B101,'A1.3.2'!$B$27:$AY$106,38,)) * $CR$5)</f>
        <v>53.112303533835004</v>
      </c>
      <c r="AM101" s="1565">
        <f>IF(ISERROR(MATCH($B101,'A1.3.2'!$B$27:$B$106,0)),"",(((VLOOKUP($B101,'Forecast occupancies'!$C$28:$CP$64,37,TRUE) -1) * VLOOKUP($B101,'A1.3.2'!$B$27:$AY$106,40,)) + VLOOKUP($B101,'A1.3.2'!$B$27:$AY$106,39,)) * $CR$5)</f>
        <v>64.615819853741982</v>
      </c>
      <c r="AN101" s="1565">
        <f>IF(ISERROR(MATCH($B101,'A1.3.2'!$B$27:$B$106,0)),"",(VLOOKUP($B101,'Forecast occupancies'!$C$28:$CP$64,38,TRUE) * VLOOKUP($B101,'A1.3.2'!$B$27:$AY$106,49,)) * $CR$5)</f>
        <v>116.51841007371651</v>
      </c>
      <c r="AO101" s="1565">
        <f>IF(ISERROR(MATCH($B101,'A1.3.2'!$B$27:$B$106,0)),"",(VLOOKUP($B101,'Forecast occupancies'!$C$28:$CP$64,39,TRUE) * VLOOKUP($B101,'A1.3.2'!$B$27:$AY$106,50,)) * $CR$5)</f>
        <v>147.24064957211064</v>
      </c>
      <c r="AP101" s="1567">
        <f>IF(ISERROR(MATCH($B101,'A1.3.2'!$B$27:$B$106,0)),"",SUM(AM101:AO101))</f>
        <v>328.37487949956915</v>
      </c>
      <c r="AQ101" s="1609">
        <f>IF(ISERROR(MATCH($B101,'A1.3.2'!$B$27:$B$106,0)),"",(((VLOOKUP($B101,'Forecast occupancies'!$C$28:$CP$64,41,TRUE)-1)*VLOOKUP($B101,'A1.3.2'!$B$27:$AY$106,36,)+VLOOKUP($B101,'A1.3.2'!$B$27:$AY$106,35,))*$CR$5))</f>
        <v>76.507057628319586</v>
      </c>
      <c r="AR101" s="1565">
        <f>IF(ISERROR(MATCH($B101,'A1.3.2'!$B$27:$B$106,0)),"",VLOOKUP($B101,'Forecast occupancies'!$C$28:$CP$64,42,TRUE)*VLOOKUP($B101,'A1.3.2'!$B$27:$AY$106,49,)*$CR$5)</f>
        <v>42.469512856450038</v>
      </c>
      <c r="AS101" s="1565">
        <f>IF(ISERROR(MATCH($B101,'A1.3.2'!$B$27:$B$106,0)),"",VLOOKUP($B101,'Forecast occupancies'!$C$28:$CP$64,43,TRUE)*VLOOKUP($B101,'A1.3.2'!$B$27:$AY$106,50,)*$CR$5)</f>
        <v>30.02972918895664</v>
      </c>
      <c r="AT101" s="1566">
        <f>IF(ISERROR(MATCH($B101,'A1.3.2'!$B$27:$B$106,0)),"",(((AQ101*'VoT5'!$G$28)+(AR101*'VoT5'!$G$29)+(AS101*'VoT5'!$G$30))/100))</f>
        <v>40.810089940827496</v>
      </c>
      <c r="AU101" s="1565">
        <f>IF(ISERROR(MATCH($B101,'A1.3.2'!$B$27:$B$106,0)),"",(VLOOKUP($B101,'Forecast occupancies'!$C$28:$CP$64,45,TRUE) * VLOOKUP($B101, 'A1.3.2'!$B$27:$AY$106,37,)) * $CR$5)</f>
        <v>54.093159434066941</v>
      </c>
      <c r="AV101" s="1565">
        <f>IF(ISERROR(MATCH($B101,'A1.3.2'!$B$27:$B$106,0)),"",VLOOKUP($B101,'Forecast occupancies'!$C$28:$CP$64,46,TRUE) * ('VoT5'!$J$29*VLOOKUP($B101, 'A1.3.2'!$B$27:$AY$106,49,)+'VoT5'!$J$30*VLOOKUP($B101, 'A1.3.2'!$B$27:$AY$106,50,))/('VoT5'!$J$29+'VoT5'!$J$30) * $CR$5)</f>
        <v>33.0195750229339</v>
      </c>
      <c r="AW101" s="1566">
        <f>IF(ISERROR(MATCH($B101,'A1.3.2'!$B$27:$B$106,0)),"",(AU101*'VoT5'!$G$31 + AV101*'VoT5'!$G$32)/100)</f>
        <v>51.564329304730983</v>
      </c>
      <c r="AX101" s="1566">
        <f>IF(ISERROR(MATCH($B101,'A1.3.2'!$B$27:$B$106,0)),"",(VLOOKUP($B101,'Forecast occupancies'!$C$28:$CP$64,48,TRUE)*VLOOKUP($B101,'A1.3.2'!$B$27:$AY$106,38,)) * $CR$5)</f>
        <v>53.112303533835004</v>
      </c>
      <c r="AY101" s="1566">
        <f>IF(ISERROR(MATCH($B101,'A1.3.2'!$B$27:$B$106,0)),"",(VLOOKUP($B101,'Forecast occupancies'!$C$28:$CP$64,49,TRUE)*VLOOKUP($B101,'A1.3.2'!$B$27:$AY$106,38,)) * $CR$5)</f>
        <v>53.112303533835004</v>
      </c>
      <c r="AZ101" s="1565">
        <f>IF(ISERROR(MATCH($B101,'A1.3.2'!$B$27:$B$106,0)),"",(((VLOOKUP($B101,'Forecast occupancies'!$C$28:$CP$64,50,TRUE) -1) * VLOOKUP($B101,'A1.3.2'!$B$27:$AY$106,40,)) + VLOOKUP($B101,'A1.3.2'!$B$27:$AY$106,39,)) * $CR$5)</f>
        <v>64.563566774986825</v>
      </c>
      <c r="BA101" s="1565">
        <f>IF(ISERROR(MATCH($B101,'A1.3.2'!$B$27:$B$106,0)),"",(VLOOKUP($B101,'Forecast occupancies'!$C$28:$CP$64,51,TRUE) * VLOOKUP($B101,'A1.3.2'!$B$27:$AY$106,49,)) * $CR$5)</f>
        <v>159.27777230752395</v>
      </c>
      <c r="BB101" s="1565">
        <f>IF(ISERROR(MATCH($B101,'A1.3.2'!$B$27:$B$106,0)),"",(VLOOKUP($B101,'Forecast occupancies'!$C$28:$CP$64,52,TRUE) * VLOOKUP($B101,'A1.3.2'!$B$27:$AY$106,50,)) * $CR$5)</f>
        <v>127.74767451938759</v>
      </c>
      <c r="BC101" s="1567">
        <f>IF(ISERROR(MATCH($B101,'A1.3.2'!$B$27:$B$106,0)),"",SUM(AZ101:BB101))</f>
        <v>351.58901360189839</v>
      </c>
      <c r="BD101" s="1565">
        <f>IF(ISERROR(MATCH($B101,'A1.3.2'!$B$27:$B$106,0)),"",(((VLOOKUP($B101,'Forecast occupancies'!$C$28:$CP$64,54,TRUE)-1)*VLOOKUP($B101,'A1.3.2'!$B$27:$AY$106,36,)+VLOOKUP($B101,'A1.3.2'!$B$27:$AY$106,35,))*$CR$5))</f>
        <v>75.219977090855167</v>
      </c>
      <c r="BE101" s="1565">
        <f>IF(ISERROR(MATCH($B101,'A1.3.2'!$B$27:$B$106,0)),"",VLOOKUP($B101,'Forecast occupancies'!$C$28:$CP$64,55,TRUE)*VLOOKUP($B101,'A1.3.2'!$B$27:$AY$106,49,)*$CR$5)</f>
        <v>41.999211099845205</v>
      </c>
      <c r="BF101" s="1565">
        <f>IF(ISERROR(MATCH($B101,'A1.3.2'!$B$27:$B$106,0)),"",VLOOKUP($B101,'Forecast occupancies'!$C$28:$CP$64,56,TRUE)*VLOOKUP($B101,'A1.3.2'!$B$27:$AY$106,50,)*$CR$5)</f>
        <v>30.104342547985837</v>
      </c>
      <c r="BG101" s="1566">
        <f>IF(ISERROR(MATCH($B101,'A1.3.2'!$B$27:$B$106,0)),"",(((BD101*'VoT5'!$H$28)+(BE101*'VoT5'!$H$29)+(BF101*'VoT5'!$H$30))/100))</f>
        <v>40.516190916042802</v>
      </c>
      <c r="BH101" s="1565">
        <f>IF(ISERROR(MATCH($B101,'A1.3.2'!$B$27:$B$106,0)),"",(VLOOKUP($B101,'Forecast occupancies'!$C$28:$CP$64,58,TRUE) * VLOOKUP($B101, 'A1.3.2'!$B$27:$AY$106,37,)) * $CR$5)</f>
        <v>54.093159434066941</v>
      </c>
      <c r="BI101" s="1565">
        <f>IF(ISERROR(MATCH($B101,'A1.3.2'!$B$27:$B$106,0)),"",(VLOOKUP($B101,'Forecast occupancies'!$C$28:$CP$64,59,TRUE) * (VLOOKUP($B101,'A1.3.2'!$B$27:$AY$106,49,) * 'VoT5'!$J$29 + VLOOKUP($B101,'A1.3.2'!$B$27:$AY$106,50,) * 'VoT5'!$J$30) / (SUM('VoT5'!$J$29:$J$30))) * $CR$5)</f>
        <v>33.0195750229339</v>
      </c>
      <c r="BJ101" s="1566">
        <f>IF(ISERROR(MATCH($B101,'A1.3.2'!$B$27:$B$106,0)),"",(BH101*'VoT5'!$H$31 + BI101*'VoT5'!$H$32)/100)</f>
        <v>51.564329304730983</v>
      </c>
      <c r="BK101" s="1566">
        <f>IF(ISERROR(MATCH($B101,'A1.3.2'!$B$27:$B$106,0)),"",(VLOOKUP($B101,'Forecast occupancies'!$C$28:$CP$64,61,TRUE)*VLOOKUP($B101,'A1.3.2'!$B$27:$AY$106,38,)) * $CR$5)</f>
        <v>53.112303533835004</v>
      </c>
      <c r="BL101" s="1566">
        <f>IF(ISERROR(MATCH($B101,'A1.3.2'!$B$27:$B$106,0)),"",(VLOOKUP($B101,'Forecast occupancies'!$C$28:$CP$64,62,TRUE)*VLOOKUP($B101,'A1.3.2'!$B$27:$AY$106,38,)) * $CR$5)</f>
        <v>53.112303533835004</v>
      </c>
      <c r="BM101" s="1565">
        <f>IF(ISERROR(MATCH($B101,'A1.3.2'!$B$27:$B$106,0)),"",(((VLOOKUP($B101,'Forecast occupancies'!$C$28:$CP$64,63,TRUE) -1) * VLOOKUP($B101,'A1.3.2'!$B$27:$AY$106,40,)) + VLOOKUP($B101,'A1.3.2'!$B$27:$AY$106,39,)) * $CR$5)</f>
        <v>62.251626868440468</v>
      </c>
      <c r="BN101" s="1565">
        <f>IF(ISERROR(MATCH($B101,'A1.3.2'!$B$27:$B$106,0)),"",(VLOOKUP($B101,'Forecast occupancies'!$C$28:$CP$64,64,TRUE) * VLOOKUP($B101,'A1.3.2'!$B$27:$AY$106,49,)) * $CR$5)</f>
        <v>71.903322481126239</v>
      </c>
      <c r="BO101" s="1565">
        <f>IF(ISERROR(MATCH($B101,'A1.3.2'!$B$27:$B$106,0)),"",(VLOOKUP($B101,'Forecast occupancies'!$C$28:$CP$64,65,TRUE) * VLOOKUP($B101,'A1.3.2'!$B$27:$AY$106,50,)) * $CR$5)</f>
        <v>168.67576622351714</v>
      </c>
      <c r="BP101" s="1567">
        <f>IF(ISERROR(MATCH($B101,'A1.3.2'!$B$27:$B$106,0)),"",SUM(BM101:BO101))</f>
        <v>302.83071557308386</v>
      </c>
      <c r="BQ101" s="1565">
        <f>IF(ISERROR(MATCH($B101,'A1.3.2'!$B$27:$B$106,0)),"",(((VLOOKUP($B101,'Forecast occupancies'!$C$28:$CP$64,67,TRUE)-1)*VLOOKUP($B101,'A1.3.2'!$B$27:$AY$106,36,)+VLOOKUP($B101,'A1.3.2'!$B$27:$AY$106,35,))*$CR$5))</f>
        <v>85.967017477894984</v>
      </c>
      <c r="BR101" s="1565">
        <f>IF(ISERROR(MATCH($B101,'A1.3.2'!$B$27:$B$106,0)),"",VLOOKUP($B101,'Forecast occupancies'!$C$28:$CP$64,68,TRUE)*VLOOKUP($B101,'A1.3.2'!$B$27:$AY$106,49,)*$CR$5)</f>
        <v>44.466745901235349</v>
      </c>
      <c r="BS101" s="1565">
        <f>IF(ISERROR(MATCH($B101,'A1.3.2'!$B$27:$B$106,0)),"",VLOOKUP($B101,'Forecast occupancies'!$C$28:$CP$64,69,TRUE)*VLOOKUP($B101,'A1.3.2'!$B$27:$AY$106,50,)*$CR$5)</f>
        <v>35.644267279446808</v>
      </c>
      <c r="BT101" s="1566">
        <f>IF(ISERROR(MATCH($B101,'A1.3.2'!$B$27:$B$106,0)),"",(((BQ101*'VoT5'!$I$28)+(BR101*'VoT5'!$I$29)+(BS101*'VoT5'!$I$30))/100))</f>
        <v>38.088147474121342</v>
      </c>
      <c r="BU101" s="1565">
        <f>IF(ISERROR(MATCH($B101,'A1.3.2'!$B$27:$B$106,0)),"",(VLOOKUP($B101,'Forecast occupancies'!$C$28:$CP$64,71,TRUE) * VLOOKUP($B101, 'A1.3.2'!$B$27:$AY$106,37,)) * $CR$5)</f>
        <v>56.797817405770289</v>
      </c>
      <c r="BV101" s="1565">
        <f>IF(ISERROR(MATCH($B101,'A1.3.2'!$B$27:$B$106,0)),"",(VLOOKUP($B101,'Forecast occupancies'!$C$28:$CP$64,72,TRUE) * (VLOOKUP($B101,'A1.3.2'!$B$27:$AY$106,49,)*'VoT5'!$J$29 + VLOOKUP($B101,'A1.3.2'!$B$27:$AY$106,50,)*'VoT5'!$J$30) / (SUM('VoT5'!$J$29:$J$30))) * $CR$5)</f>
        <v>45.910778970243712</v>
      </c>
      <c r="BW101" s="1566">
        <f>IF(ISERROR(MATCH($B101,'A1.3.2'!$B$27:$B$106,0)),"",(BU101*'VoT5'!$I$31 + BV101*'VoT5'!$I$32)/100)</f>
        <v>55.491372793507097</v>
      </c>
      <c r="BX101" s="1566">
        <f>IF(ISERROR(MATCH($B101,'A1.3.2'!$B$27:$B$106,0)),"",(VLOOKUP($B101,'Forecast occupancies'!$C$28:$CP$64,74,TRUE)*VLOOKUP($B101,'A1.3.2'!$B$27:$AY$106,38,)) * $CR$5)</f>
        <v>53.112303533835004</v>
      </c>
      <c r="BY101" s="1566">
        <f>IF(ISERROR(MATCH($B101,'A1.3.2'!$B$27:$B$106,0)),"",(VLOOKUP($B101,'Forecast occupancies'!$C$28:$CP$64,75,TRUE)*VLOOKUP($B101,'A1.3.2'!$B$27:$AY$106,38,)) * $CR$5)</f>
        <v>53.112303533835004</v>
      </c>
      <c r="BZ101" s="1565">
        <f>IF(ISERROR(MATCH($B101,'A1.3.2'!$B$27:$B$106,0)),"",(((VLOOKUP($B101,'Forecast occupancies'!$C$28:$CP$64,76,TRUE) -1) * VLOOKUP($B101,'A1.3.2'!$B$27:$AY$106,40,)) + VLOOKUP($B101,'A1.3.2'!$B$27:$AY$106,39,)) * $CR$5)</f>
        <v>56.694691420704956</v>
      </c>
      <c r="CA101" s="1565">
        <f>IF(ISERROR(MATCH($B101,'A1.3.2'!$B$27:$B$106,0)),"",(VLOOKUP($B101,'Forecast occupancies'!$C$28:$CP$64,77,TRUE) * VLOOKUP($B101,'A1.3.2'!$B$27:$AY$106,49,)) * $CR$5)</f>
        <v>27.239753124566271</v>
      </c>
      <c r="CB101" s="1565">
        <f>IF(ISERROR(MATCH($B101,'A1.3.2'!$B$27:$B$106,0)),"",(VLOOKUP($B101,'Forecast occupancies'!$C$28:$CP$64,78,TRUE) * VLOOKUP($B101,'A1.3.2'!$B$27:$AY$106,50,)) * $CR$5)</f>
        <v>191.57996162786071</v>
      </c>
      <c r="CC101" s="1567">
        <f>IF(ISERROR(MATCH($B101,'A1.3.2'!$B$27:$B$106,0)),"",SUM(BZ101:CB101))</f>
        <v>275.51440617313193</v>
      </c>
      <c r="CD101" s="1565">
        <f>IF(ISERROR(MATCH($B101,'A1.3.2'!$B$27:$B$106,0)),"",(((VLOOKUP($B101,'Forecast occupancies'!$C$28:$CP$64,80,TRUE)-1)*VLOOKUP($B101,'A1.3.2'!$B$27:$AY$106,36,)+VLOOKUP($B101,'A1.3.2'!$B$27:$AY$106,35,))*$CR$5))</f>
        <v>75.982832081427674</v>
      </c>
      <c r="CE101" s="1565">
        <f>IF(ISERROR(MATCH($B101,'A1.3.2'!$B$27:$B$106,0)),"",VLOOKUP($B101,'Forecast occupancies'!$C$28:$CP$64,81,TRUE)*VLOOKUP($B101,'A1.3.2'!$B$27:$AY$106,49,)*$CR$5)</f>
        <v>42.198836291805918</v>
      </c>
      <c r="CF101" s="1565">
        <f>IF(ISERROR(MATCH($B101,'A1.3.2'!$B$27:$B$106,0)),"",VLOOKUP($B101,'Forecast occupancies'!$C$28:$CP$64,82,TRUE)*VLOOKUP($B101,'A1.3.2'!$B$27:$AY$106,50,)*$CR$5)</f>
        <v>32.059207056282027</v>
      </c>
      <c r="CG101" s="1566">
        <f>IF(ISERROR(MATCH($B101,'A1.3.2'!$B$27:$B$106,0)),"",(((CD101*'VoT5'!$J$28)+(CE101*'VoT5'!$J$29)+(CF101*'VoT5'!$J$30))/100))</f>
        <v>39.940513346912965</v>
      </c>
      <c r="CH101" s="1565">
        <f>IF(ISERROR(MATCH($B101,'A1.3.2'!$B$27:$B$106,0)),"",(VLOOKUP($B101,'Forecast occupancies'!$C$28:$CP$64,84,TRUE) * VLOOKUP($B101, 'A1.3.2'!$B$27:$AY$106,37,)) * $CR$5)</f>
        <v>54.093159434066941</v>
      </c>
      <c r="CI101" s="1565">
        <f>IF(ISERROR(MATCH($B101,'A1.3.2'!$B$27:$B$106,0)),"",(VLOOKUP($B101,'Forecast occupancies'!$C$28:$CP$64,85,TRUE) * (VLOOKUP($B101,'A1.3.2'!$B$27:$AY$106,49,)*'VoT5'!$J$29 + VLOOKUP($B101,'A1.3.2'!$B$27:$AY$106,50,)*'VoT5'!$J$30) / (SUM('VoT5'!$J$29:$J$30))) * $CR$5)</f>
        <v>35.959674168811581</v>
      </c>
      <c r="CJ101" s="1566">
        <f>IF(ISERROR(MATCH($B101,'A1.3.2'!$B$27:$B$106,0)),"",(CH101*'VoT5'!$J$31 + CI101*'VoT5'!$J$32)/100)</f>
        <v>51.917141202236301</v>
      </c>
      <c r="CK101" s="1566">
        <f>IF(ISERROR(MATCH($B101,'A1.3.2'!$B$27:$B$106,0)),"",(VLOOKUP($B101,'Forecast occupancies'!$C$28:$CP$64,87,TRUE)*VLOOKUP($B101,'A1.3.2'!$B$27:$AY$106,38,)) * $CR$5)</f>
        <v>53.112303533835004</v>
      </c>
      <c r="CL101" s="1566">
        <f>IF(ISERROR(MATCH($B101,'A1.3.2'!$B$27:$B$106,0)),"",(VLOOKUP($B101,'Forecast occupancies'!$C$28:$CP$64,88,TRUE)*VLOOKUP($B101,'A1.3.2'!$B$27:$AY$106,38,)) * $CR$5)</f>
        <v>53.112303533835004</v>
      </c>
      <c r="CM101" s="1565">
        <f>IF(ISERROR(MATCH($B101,'A1.3.2'!$B$27:$B$106,0)),"",(((VLOOKUP($B101,'Forecast occupancies'!$C$28:$CP$64,89,TRUE) -1) * VLOOKUP($B101,'A1.3.2'!$B$27:$AY$106,40,)) + VLOOKUP($B101,'A1.3.2'!$B$27:$AY$106,39,)) * $CR$5)</f>
        <v>60.879392226274369</v>
      </c>
      <c r="CN101" s="1565">
        <f>IF(ISERROR(MATCH($B101,'A1.3.2'!$B$27:$B$106,0)),"",(VLOOKUP($B101,'Forecast occupancies'!$C$28:$CP$64,90,TRUE) * VLOOKUP($B101,'A1.3.2'!$B$27:$AY$106,49,)) * $CR$5)</f>
        <v>60.871934998514</v>
      </c>
      <c r="CO101" s="1565">
        <f>IF(ISERROR(MATCH($B101,'A1.3.2'!$B$27:$B$106,0)),"",(VLOOKUP($B101,'Forecast occupancies'!$C$28:$CP$64,91,TRUE) * VLOOKUP($B101,'A1.3.2'!$B$27:$AY$106,50,)) * $CR$5)</f>
        <v>174.33271897870821</v>
      </c>
      <c r="CP101" s="1567">
        <f>IF(ISERROR(MATCH($B101,'A1.3.2'!$B$27:$B$106,0)),"",SUM(CM101:CO101))</f>
        <v>296.0840462034966</v>
      </c>
    </row>
    <row r="102" spans="1:94" ht="13.5" customHeight="1">
      <c r="A102" s="113"/>
      <c r="B102" s="82">
        <f t="shared" si="1"/>
        <v>2084</v>
      </c>
      <c r="C102" s="26"/>
      <c r="D102" s="1609">
        <f>IF(ISERROR(MATCH($B102,'A1.3.2'!$B$27:$B$106,0)),"",(((VLOOKUP($B102,'Forecast occupancies'!$C$28:$CP$64,2,TRUE) -1) * VLOOKUP($B102,'A1.3.2'!$B$27:$AY$106,36,) + VLOOKUP($B102,'A1.3.2'!$B$27:$AY$106,35,)) * $CR$5))</f>
        <v>75.578782323533503</v>
      </c>
      <c r="E102" s="1565">
        <f>IF(ISERROR(MATCH($B102,'A1.3.2'!$B$27:$B$106,0)),"",VLOOKUP($B102,'Forecast occupancies'!$C$28:$CP$64,3,TRUE)*VLOOKUP($B102,'A1.3.2'!$B$27:$AY$106,49,)*$CR$5)</f>
        <v>42.59249231761941</v>
      </c>
      <c r="F102" s="1565">
        <f>IF(ISERROR(MATCH($B102,'A1.3.2'!$B$27:$B$106,0)),"",VLOOKUP($B102,'Forecast occupancies'!$C$28:$CP$64,4,TRUE)*VLOOKUP($B102,'A1.3.2'!$B$27:$AY$106,50,)*$CR$5)</f>
        <v>29.385519926132275</v>
      </c>
      <c r="G102" s="1566">
        <f>IF(ISERROR(MATCH($B102,'A1.3.2'!$B$27:$B$106,0)),"",(((D102*'VoT5'!$D$28)+(E102*'VoT5'!$D$29)+(F102*'VoT5'!$D$30))/100))</f>
        <v>42.808194279718556</v>
      </c>
      <c r="H102" s="1565">
        <f>IF(ISERROR(MATCH($B102,'A1.3.2'!$B$27:$B$106,0)),"",(VLOOKUP($B102,'Forecast occupancies'!$C$28:$CP$64,6,TRUE) * VLOOKUP($B102, 'A1.3.2'!$B$27:$AY$106,37,)) * $CR$5)</f>
        <v>55.233660778902369</v>
      </c>
      <c r="I102" s="1565">
        <f>IF(ISERROR(MATCH($B102,'A1.3.2'!$B$27:$B$106,0)),"",VLOOKUP($B102,'Forecast occupancies'!$C$28:$CP$64,7,TRUE) * ('VoT5'!$J$29*VLOOKUP($B102, 'A1.3.2'!$B$27:$AY$106,49,)+'VoT5'!$J$30*VLOOKUP($B102, 'A1.3.2'!$B$27:$AY$106,50,))/('VoT5'!$J$29+'VoT5'!$J$30) * $CR$5)</f>
        <v>33.715760457719831</v>
      </c>
      <c r="J102" s="1566">
        <f>IF(ISERROR(MATCH($B102,'A1.3.2'!$B$27:$B$106,0)),"",(H102*'VoT5'!$D$31 + I102*'VoT5'!$D$32)/100)</f>
        <v>52.651512740360467</v>
      </c>
      <c r="K102" s="1566">
        <f>IF(ISERROR(MATCH($B102,'A1.3.2'!$B$27:$B$106,0)),"",(VLOOKUP($B102,'Forecast occupancies'!$C$28:$CP$64,9,TRUE)*VLOOKUP($B102,'A1.3.2'!$B$27:$AY$106,38,)) * $CR$5)</f>
        <v>54.2321244916306</v>
      </c>
      <c r="L102" s="1566">
        <f>IF(ISERROR(MATCH($B102,'A1.3.2'!$B$27:$B$106,0)),"",(VLOOKUP($B102,'Forecast occupancies'!$C$28:$CP$64,10,TRUE)*VLOOKUP($B102,'A1.3.2'!$B$27:$AY$106,38,)) * $CR$5)</f>
        <v>54.2321244916306</v>
      </c>
      <c r="M102" s="1565">
        <f>IF(ISERROR(MATCH($B102,'A1.3.2'!$B$27:$B$106,0)),"",(((VLOOKUP($B102,'Forecast occupancies'!$C$28:$CP$64,11,TRUE) -1) * VLOOKUP($B102,'A1.3.2'!$B$27:$AY$106,40,)) + VLOOKUP($B102,'A1.3.2'!$B$27:$AY$106,39,)) * $CR$5)</f>
        <v>61.797996177707226</v>
      </c>
      <c r="N102" s="1565">
        <f>IF(ISERROR(MATCH($B102,'A1.3.2'!$B$27:$B$106,0)),"",(VLOOKUP($B102,'Forecast occupancies'!$C$28:$CP$64,12,TRUE) * VLOOKUP($B102,'A1.3.2'!$B$27:$AY$106,49,)) * $CR$5)</f>
        <v>84.596834152754809</v>
      </c>
      <c r="O102" s="1565">
        <f>IF(ISERROR(MATCH($B102,'A1.3.2'!$B$27:$B$106,0)),"",(VLOOKUP($B102,'Forecast occupancies'!$C$28:$CP$64,13,TRUE) * VLOOKUP($B102,'A1.3.2'!$B$27:$AY$106,50,)) * $CR$5)</f>
        <v>167.93079978252425</v>
      </c>
      <c r="P102" s="1567">
        <f>IF(ISERROR(MATCH($B102,'A1.3.2'!$B$27:$B$106,0)),"",SUM(M102:O102))</f>
        <v>314.32563011298629</v>
      </c>
      <c r="Q102" s="1609">
        <f>IF(ISERROR(MATCH($B102,'A1.3.2'!$B$27:$B$106,0)),"",(((VLOOKUP($B102,'Forecast occupancies'!$C$28:$CP$64,15,TRUE)-1)*VLOOKUP($B102,'A1.3.2'!$B$27:$AY$106,36,)+VLOOKUP($B102,'A1.3.2'!$B$27:$AY$106,35,))*$CR$5))</f>
        <v>77.447287101213021</v>
      </c>
      <c r="R102" s="1565">
        <f>IF(ISERROR(MATCH($B102,'A1.3.2'!$B$27:$B$106,0)),"",VLOOKUP($B102,'Forecast occupancies'!$C$28:$CP$64,16,TRUE)*VLOOKUP($B102,'A1.3.2'!$B$27:$AY$106,49,)*$CR$5)</f>
        <v>43.285050214467198</v>
      </c>
      <c r="S102" s="1565">
        <f>IF(ISERROR(MATCH($B102,'A1.3.2'!$B$27:$B$106,0)),"",VLOOKUP($B102,'Forecast occupancies'!$C$28:$CP$64,17,TRUE)*VLOOKUP($B102,'A1.3.2'!$B$27:$AY$106,50,)*$CR$5)</f>
        <v>31.302520171904685</v>
      </c>
      <c r="T102" s="1566">
        <f>IF(ISERROR(MATCH($B102,'A1.3.2'!$B$27:$B$106,0)),"",(((Q102*'VoT5'!$E$28)+(R102*'VoT5'!$E$29)+(S102*'VoT5'!$E$30))/100))</f>
        <v>40.317169759443694</v>
      </c>
      <c r="U102" s="1565">
        <f>IF(ISERROR(MATCH($B102,'A1.3.2'!$B$27:$B$106,0)),"",(VLOOKUP($B102,'Forecast occupancies'!$C$28:$CP$64,19,TRUE) * VLOOKUP($B102, 'A1.3.2'!$B$27:$AY$106,37,)) * $CR$5)</f>
        <v>55.233660778902369</v>
      </c>
      <c r="V102" s="1565">
        <f>IF(ISERROR(MATCH($B102,'A1.3.2'!$B$27:$B$106,0)),"",VLOOKUP($B102,'Forecast occupancies'!$C$28:$CP$64,20,TRUE) * ('VoT5'!$J$29*VLOOKUP($B102, 'A1.3.2'!$B$27:$AY$106,49,)+'VoT5'!$J$30*VLOOKUP($B102, 'A1.3.2'!$B$27:$AY$106,50,))/('VoT5'!$J$29+'VoT5'!$J$30) * $CR$5)</f>
        <v>33.715760457719831</v>
      </c>
      <c r="W102" s="1566">
        <f>IF(ISERROR(MATCH($B102,'A1.3.2'!$B$27:$B$106,0)),"",(U102*'VoT5'!$E$31 + V102*'VoT5'!$E$32)/100)</f>
        <v>52.651512740360467</v>
      </c>
      <c r="X102" s="1566">
        <f>IF(ISERROR(MATCH($B102,'A1.3.2'!$B$27:$B$106,0)),"",(VLOOKUP($B102,'Forecast occupancies'!$C$28:$CP$64,22,TRUE)*VLOOKUP($B102,'A1.3.2'!$B$27:$AY$106,38,)) * $CR$5)</f>
        <v>54.2321244916306</v>
      </c>
      <c r="Y102" s="1566">
        <f>IF(ISERROR(MATCH($B102,'A1.3.2'!$B$27:$B$106,0)),"",(VLOOKUP($B102,'Forecast occupancies'!$C$28:$CP$64,23,TRUE)*VLOOKUP($B102,'A1.3.2'!$B$27:$AY$106,38,)) * $CR$5)</f>
        <v>54.2321244916306</v>
      </c>
      <c r="Z102" s="1565">
        <f>IF(ISERROR(MATCH($B102,'A1.3.2'!$B$27:$B$106,0)),"",(((VLOOKUP($B102,'Forecast occupancies'!$C$28:$CP$64,24,TRUE) -1) * VLOOKUP($B102,'A1.3.2'!$B$27:$AY$106,40,)) + VLOOKUP($B102,'A1.3.2'!$B$27:$AY$106,39,)) * $CR$5)</f>
        <v>63.05934823516192</v>
      </c>
      <c r="AA102" s="1565">
        <f>IF(ISERROR(MATCH($B102,'A1.3.2'!$B$27:$B$106,0)),"",(VLOOKUP($B102,'Forecast occupancies'!$C$28:$CP$64,25,TRUE) * VLOOKUP($B102,'A1.3.2'!$B$27:$AY$106,49,)) * $CR$5)</f>
        <v>29.64849837148526</v>
      </c>
      <c r="AB102" s="1565">
        <f>IF(ISERROR(MATCH($B102,'A1.3.2'!$B$27:$B$106,0)),"",(VLOOKUP($B102,'Forecast occupancies'!$C$28:$CP$64,26,TRUE) * VLOOKUP($B102,'A1.3.2'!$B$27:$AY$106,50,)) * $CR$5)</f>
        <v>192.43922474884016</v>
      </c>
      <c r="AC102" s="1567">
        <f>IF(ISERROR(MATCH($B102,'A1.3.2'!$B$27:$B$106,0)),"",SUM(Z102:AB102))</f>
        <v>285.14707135548736</v>
      </c>
      <c r="AD102" s="1609">
        <f>IF(ISERROR(MATCH($B102,'A1.3.2'!$B$27:$B$106,0)),"",(((VLOOKUP($B102,'Forecast occupancies'!$C$28:$CP$64,28,TRUE)-1)*VLOOKUP($B102,'A1.3.2'!$B$27:$AY$106,36,)+VLOOKUP($B102,'A1.3.2'!$B$27:$AY$106,35,))*$CR$5))</f>
        <v>76.669499457604076</v>
      </c>
      <c r="AE102" s="1565">
        <f>IF(ISERROR(MATCH($B102,'A1.3.2'!$B$27:$B$106,0)),"",VLOOKUP($B102,'Forecast occupancies'!$C$28:$CP$64,29,TRUE)*VLOOKUP($B102,'A1.3.2'!$B$27:$AY$106,49,)*$CR$5)</f>
        <v>42.739409029457057</v>
      </c>
      <c r="AF102" s="1565">
        <f>IF(ISERROR(MATCH($B102,'A1.3.2'!$B$27:$B$106,0)),"",VLOOKUP($B102,'Forecast occupancies'!$C$28:$CP$64,30,TRUE)*VLOOKUP($B102,'A1.3.2'!$B$27:$AY$106,50,)*$CR$5)</f>
        <v>30.772742086543147</v>
      </c>
      <c r="AG102" s="1566">
        <f>IF(ISERROR(MATCH($B102,'A1.3.2'!$B$27:$B$106,0)),"",(((AD102*'VoT5'!$F$28)+(AE102*'VoT5'!$F$29)+(AF102*'VoT5'!$F$30))/100))</f>
        <v>41.129886632898575</v>
      </c>
      <c r="AH102" s="1565">
        <f>IF(ISERROR(MATCH($B102,'A1.3.2'!$B$27:$B$106,0)),"",(VLOOKUP($B102,'Forecast occupancies'!$C$28:$CP$64,32,TRUE) * VLOOKUP($B102, 'A1.3.2'!$B$27:$AY$106,37,)) * $CR$5)</f>
        <v>55.233660778902369</v>
      </c>
      <c r="AI102" s="1565">
        <f>IF(ISERROR(MATCH($B102,'A1.3.2'!$B$27:$B$106,0)),"",VLOOKUP($B102,'Forecast occupancies'!$C$28:$CP$64,33,TRUE) * ('VoT5'!$J$29*VLOOKUP($B102, 'A1.3.2'!$B$27:$AY$106,49,)+'VoT5'!$J$30*VLOOKUP($B102, 'A1.3.2'!$B$27:$AY$106,50,))/('VoT5'!$J$29+'VoT5'!$J$30) * $CR$5)</f>
        <v>33.715760457719831</v>
      </c>
      <c r="AJ102" s="1566">
        <f>IF(ISERROR(MATCH($B102,'A1.3.2'!$B$27:$B$106,0)),"",(AH102*'VoT5'!$F$31 + AI102*'VoT5'!$F$32)/100)</f>
        <v>52.651512740360467</v>
      </c>
      <c r="AK102" s="1566">
        <f>IF(ISERROR(MATCH($B102,'A1.3.2'!$B$27:$B$106,0)),"",(VLOOKUP($B102,'Forecast occupancies'!$C$28:$CP$64,35,TRUE)*VLOOKUP($B102,'A1.3.2'!$B$27:$AY$106,38,)) * $CR$5)</f>
        <v>54.2321244916306</v>
      </c>
      <c r="AL102" s="1566">
        <f>IF(ISERROR(MATCH($B102,'A1.3.2'!$B$27:$B$106,0)),"",(VLOOKUP($B102,'Forecast occupancies'!$C$28:$CP$64,36,TRUE)*VLOOKUP($B102,'A1.3.2'!$B$27:$AY$106,38,)) * $CR$5)</f>
        <v>54.2321244916306</v>
      </c>
      <c r="AM102" s="1565">
        <f>IF(ISERROR(MATCH($B102,'A1.3.2'!$B$27:$B$106,0)),"",(((VLOOKUP($B102,'Forecast occupancies'!$C$28:$CP$64,37,TRUE) -1) * VLOOKUP($B102,'A1.3.2'!$B$27:$AY$106,40,)) + VLOOKUP($B102,'A1.3.2'!$B$27:$AY$106,39,)) * $CR$5)</f>
        <v>65.978181198722439</v>
      </c>
      <c r="AN102" s="1565">
        <f>IF(ISERROR(MATCH($B102,'A1.3.2'!$B$27:$B$106,0)),"",(VLOOKUP($B102,'Forecast occupancies'!$C$28:$CP$64,38,TRUE) * VLOOKUP($B102,'A1.3.2'!$B$27:$AY$106,49,)) * $CR$5)</f>
        <v>118.97508675478811</v>
      </c>
      <c r="AO102" s="1565">
        <f>IF(ISERROR(MATCH($B102,'A1.3.2'!$B$27:$B$106,0)),"",(VLOOKUP($B102,'Forecast occupancies'!$C$28:$CP$64,39,TRUE) * VLOOKUP($B102,'A1.3.2'!$B$27:$AY$106,50,)) * $CR$5)</f>
        <v>150.34507461602252</v>
      </c>
      <c r="AP102" s="1567">
        <f>IF(ISERROR(MATCH($B102,'A1.3.2'!$B$27:$B$106,0)),"",SUM(AM102:AO102))</f>
        <v>335.29834256953302</v>
      </c>
      <c r="AQ102" s="1609">
        <f>IF(ISERROR(MATCH($B102,'A1.3.2'!$B$27:$B$106,0)),"",(((VLOOKUP($B102,'Forecast occupancies'!$C$28:$CP$64,41,TRUE)-1)*VLOOKUP($B102,'A1.3.2'!$B$27:$AY$106,36,)+VLOOKUP($B102,'A1.3.2'!$B$27:$AY$106,35,))*$CR$5))</f>
        <v>78.120134088030838</v>
      </c>
      <c r="AR102" s="1565">
        <f>IF(ISERROR(MATCH($B102,'A1.3.2'!$B$27:$B$106,0)),"",VLOOKUP($B102,'Forecast occupancies'!$C$28:$CP$64,42,TRUE)*VLOOKUP($B102,'A1.3.2'!$B$27:$AY$106,49,)*$CR$5)</f>
        <v>43.364940985145779</v>
      </c>
      <c r="AS102" s="1565">
        <f>IF(ISERROR(MATCH($B102,'A1.3.2'!$B$27:$B$106,0)),"",VLOOKUP($B102,'Forecast occupancies'!$C$28:$CP$64,43,TRUE)*VLOOKUP($B102,'A1.3.2'!$B$27:$AY$106,50,)*$CR$5)</f>
        <v>30.662876649437187</v>
      </c>
      <c r="AT102" s="1566">
        <f>IF(ISERROR(MATCH($B102,'A1.3.2'!$B$27:$B$106,0)),"",(((AQ102*'VoT5'!$G$28)+(AR102*'VoT5'!$G$29)+(AS102*'VoT5'!$G$30))/100))</f>
        <v>41.670530760837281</v>
      </c>
      <c r="AU102" s="1565">
        <f>IF(ISERROR(MATCH($B102,'A1.3.2'!$B$27:$B$106,0)),"",(VLOOKUP($B102,'Forecast occupancies'!$C$28:$CP$64,45,TRUE) * VLOOKUP($B102, 'A1.3.2'!$B$27:$AY$106,37,)) * $CR$5)</f>
        <v>55.233660778902369</v>
      </c>
      <c r="AV102" s="1565">
        <f>IF(ISERROR(MATCH($B102,'A1.3.2'!$B$27:$B$106,0)),"",VLOOKUP($B102,'Forecast occupancies'!$C$28:$CP$64,46,TRUE) * ('VoT5'!$J$29*VLOOKUP($B102, 'A1.3.2'!$B$27:$AY$106,49,)+'VoT5'!$J$30*VLOOKUP($B102, 'A1.3.2'!$B$27:$AY$106,50,))/('VoT5'!$J$29+'VoT5'!$J$30) * $CR$5)</f>
        <v>33.715760457719831</v>
      </c>
      <c r="AW102" s="1566">
        <f>IF(ISERROR(MATCH($B102,'A1.3.2'!$B$27:$B$106,0)),"",(AU102*'VoT5'!$G$31 + AV102*'VoT5'!$G$32)/100)</f>
        <v>52.651512740360467</v>
      </c>
      <c r="AX102" s="1566">
        <f>IF(ISERROR(MATCH($B102,'A1.3.2'!$B$27:$B$106,0)),"",(VLOOKUP($B102,'Forecast occupancies'!$C$28:$CP$64,48,TRUE)*VLOOKUP($B102,'A1.3.2'!$B$27:$AY$106,38,)) * $CR$5)</f>
        <v>54.2321244916306</v>
      </c>
      <c r="AY102" s="1566">
        <f>IF(ISERROR(MATCH($B102,'A1.3.2'!$B$27:$B$106,0)),"",(VLOOKUP($B102,'Forecast occupancies'!$C$28:$CP$64,49,TRUE)*VLOOKUP($B102,'A1.3.2'!$B$27:$AY$106,38,)) * $CR$5)</f>
        <v>54.2321244916306</v>
      </c>
      <c r="AZ102" s="1565">
        <f>IF(ISERROR(MATCH($B102,'A1.3.2'!$B$27:$B$106,0)),"",(((VLOOKUP($B102,'Forecast occupancies'!$C$28:$CP$64,50,TRUE) -1) * VLOOKUP($B102,'A1.3.2'!$B$27:$AY$106,40,)) + VLOOKUP($B102,'A1.3.2'!$B$27:$AY$106,39,)) * $CR$5)</f>
        <v>65.924826414923317</v>
      </c>
      <c r="BA102" s="1565">
        <f>IF(ISERROR(MATCH($B102,'A1.3.2'!$B$27:$B$106,0)),"",(VLOOKUP($B102,'Forecast occupancies'!$C$28:$CP$64,51,TRUE) * VLOOKUP($B102,'A1.3.2'!$B$27:$AY$106,49,)) * $CR$5)</f>
        <v>162.63598830783988</v>
      </c>
      <c r="BB102" s="1565">
        <f>IF(ISERROR(MATCH($B102,'A1.3.2'!$B$27:$B$106,0)),"",(VLOOKUP($B102,'Forecast occupancies'!$C$28:$CP$64,52,TRUE) * VLOOKUP($B102,'A1.3.2'!$B$27:$AY$106,50,)) * $CR$5)</f>
        <v>130.44110925518902</v>
      </c>
      <c r="BC102" s="1567">
        <f>IF(ISERROR(MATCH($B102,'A1.3.2'!$B$27:$B$106,0)),"",SUM(AZ102:BB102))</f>
        <v>359.00192397795223</v>
      </c>
      <c r="BD102" s="1565">
        <f>IF(ISERROR(MATCH($B102,'A1.3.2'!$B$27:$B$106,0)),"",(((VLOOKUP($B102,'Forecast occupancies'!$C$28:$CP$64,54,TRUE)-1)*VLOOKUP($B102,'A1.3.2'!$B$27:$AY$106,36,)+VLOOKUP($B102,'A1.3.2'!$B$27:$AY$106,35,))*$CR$5))</f>
        <v>76.805916716644205</v>
      </c>
      <c r="BE102" s="1565">
        <f>IF(ISERROR(MATCH($B102,'A1.3.2'!$B$27:$B$106,0)),"",VLOOKUP($B102,'Forecast occupancies'!$C$28:$CP$64,55,TRUE)*VLOOKUP($B102,'A1.3.2'!$B$27:$AY$106,49,)*$CR$5)</f>
        <v>42.884723376120824</v>
      </c>
      <c r="BF102" s="1565">
        <f>IF(ISERROR(MATCH($B102,'A1.3.2'!$B$27:$B$106,0)),"",VLOOKUP($B102,'Forecast occupancies'!$C$28:$CP$64,56,TRUE)*VLOOKUP($B102,'A1.3.2'!$B$27:$AY$106,50,)*$CR$5)</f>
        <v>30.739063158143825</v>
      </c>
      <c r="BG102" s="1566">
        <f>IF(ISERROR(MATCH($B102,'A1.3.2'!$B$27:$B$106,0)),"",(((BD102*'VoT5'!$H$28)+(BE102*'VoT5'!$H$29)+(BF102*'VoT5'!$H$30))/100))</f>
        <v>41.370435162649976</v>
      </c>
      <c r="BH102" s="1565">
        <f>IF(ISERROR(MATCH($B102,'A1.3.2'!$B$27:$B$106,0)),"",(VLOOKUP($B102,'Forecast occupancies'!$C$28:$CP$64,58,TRUE) * VLOOKUP($B102, 'A1.3.2'!$B$27:$AY$106,37,)) * $CR$5)</f>
        <v>55.233660778902369</v>
      </c>
      <c r="BI102" s="1565">
        <f>IF(ISERROR(MATCH($B102,'A1.3.2'!$B$27:$B$106,0)),"",(VLOOKUP($B102,'Forecast occupancies'!$C$28:$CP$64,59,TRUE) * (VLOOKUP($B102,'A1.3.2'!$B$27:$AY$106,49,) * 'VoT5'!$J$29 + VLOOKUP($B102,'A1.3.2'!$B$27:$AY$106,50,) * 'VoT5'!$J$30) / (SUM('VoT5'!$J$29:$J$30))) * $CR$5)</f>
        <v>33.715760457719831</v>
      </c>
      <c r="BJ102" s="1566">
        <f>IF(ISERROR(MATCH($B102,'A1.3.2'!$B$27:$B$106,0)),"",(BH102*'VoT5'!$H$31 + BI102*'VoT5'!$H$32)/100)</f>
        <v>52.651512740360467</v>
      </c>
      <c r="BK102" s="1566">
        <f>IF(ISERROR(MATCH($B102,'A1.3.2'!$B$27:$B$106,0)),"",(VLOOKUP($B102,'Forecast occupancies'!$C$28:$CP$64,61,TRUE)*VLOOKUP($B102,'A1.3.2'!$B$27:$AY$106,38,)) * $CR$5)</f>
        <v>54.2321244916306</v>
      </c>
      <c r="BL102" s="1566">
        <f>IF(ISERROR(MATCH($B102,'A1.3.2'!$B$27:$B$106,0)),"",(VLOOKUP($B102,'Forecast occupancies'!$C$28:$CP$64,62,TRUE)*VLOOKUP($B102,'A1.3.2'!$B$27:$AY$106,38,)) * $CR$5)</f>
        <v>54.2321244916306</v>
      </c>
      <c r="BM102" s="1565">
        <f>IF(ISERROR(MATCH($B102,'A1.3.2'!$B$27:$B$106,0)),"",(((VLOOKUP($B102,'Forecast occupancies'!$C$28:$CP$64,63,TRUE) -1) * VLOOKUP($B102,'A1.3.2'!$B$27:$AY$106,40,)) + VLOOKUP($B102,'A1.3.2'!$B$27:$AY$106,39,)) * $CR$5)</f>
        <v>63.564141517324828</v>
      </c>
      <c r="BN102" s="1565">
        <f>IF(ISERROR(MATCH($B102,'A1.3.2'!$B$27:$B$106,0)),"",(VLOOKUP($B102,'Forecast occupancies'!$C$28:$CP$64,64,TRUE) * VLOOKUP($B102,'A1.3.2'!$B$27:$AY$106,49,)) * $CR$5)</f>
        <v>73.419333689305262</v>
      </c>
      <c r="BO102" s="1565">
        <f>IF(ISERROR(MATCH($B102,'A1.3.2'!$B$27:$B$106,0)),"",(VLOOKUP($B102,'Forecast occupancies'!$C$28:$CP$64,65,TRUE) * VLOOKUP($B102,'A1.3.2'!$B$27:$AY$106,50,)) * $CR$5)</f>
        <v>172.23212973106104</v>
      </c>
      <c r="BP102" s="1567">
        <f>IF(ISERROR(MATCH($B102,'A1.3.2'!$B$27:$B$106,0)),"",SUM(BM102:BO102))</f>
        <v>309.21560493769113</v>
      </c>
      <c r="BQ102" s="1565">
        <f>IF(ISERROR(MATCH($B102,'A1.3.2'!$B$27:$B$106,0)),"",(((VLOOKUP($B102,'Forecast occupancies'!$C$28:$CP$64,67,TRUE)-1)*VLOOKUP($B102,'A1.3.2'!$B$27:$AY$106,36,)+VLOOKUP($B102,'A1.3.2'!$B$27:$AY$106,35,))*$CR$5))</f>
        <v>87.779547935919652</v>
      </c>
      <c r="BR102" s="1565">
        <f>IF(ISERROR(MATCH($B102,'A1.3.2'!$B$27:$B$106,0)),"",VLOOKUP($B102,'Forecast occupancies'!$C$28:$CP$64,68,TRUE)*VLOOKUP($B102,'A1.3.2'!$B$27:$AY$106,49,)*$CR$5)</f>
        <v>45.40428373469522</v>
      </c>
      <c r="BS102" s="1565">
        <f>IF(ISERROR(MATCH($B102,'A1.3.2'!$B$27:$B$106,0)),"",VLOOKUP($B102,'Forecast occupancies'!$C$28:$CP$64,69,TRUE)*VLOOKUP($B102,'A1.3.2'!$B$27:$AY$106,50,)*$CR$5)</f>
        <v>36.395791782603865</v>
      </c>
      <c r="BT102" s="1566">
        <f>IF(ISERROR(MATCH($B102,'A1.3.2'!$B$27:$B$106,0)),"",(((BQ102*'VoT5'!$I$28)+(BR102*'VoT5'!$I$29)+(BS102*'VoT5'!$I$30))/100))</f>
        <v>38.891198800222448</v>
      </c>
      <c r="BU102" s="1565">
        <f>IF(ISERROR(MATCH($B102,'A1.3.2'!$B$27:$B$106,0)),"",(VLOOKUP($B102,'Forecast occupancies'!$C$28:$CP$64,71,TRUE) * VLOOKUP($B102, 'A1.3.2'!$B$27:$AY$106,37,)) * $CR$5)</f>
        <v>57.995343817847491</v>
      </c>
      <c r="BV102" s="1565">
        <f>IF(ISERROR(MATCH($B102,'A1.3.2'!$B$27:$B$106,0)),"",(VLOOKUP($B102,'Forecast occupancies'!$C$28:$CP$64,72,TRUE) * (VLOOKUP($B102,'A1.3.2'!$B$27:$AY$106,49,)*'VoT5'!$J$29 + VLOOKUP($B102,'A1.3.2'!$B$27:$AY$106,50,)*'VoT5'!$J$30) / (SUM('VoT5'!$J$29:$J$30))) * $CR$5)</f>
        <v>46.878762828199491</v>
      </c>
      <c r="BW102" s="1566">
        <f>IF(ISERROR(MATCH($B102,'A1.3.2'!$B$27:$B$106,0)),"",(BU102*'VoT5'!$I$31 + BV102*'VoT5'!$I$32)/100)</f>
        <v>56.661354099089728</v>
      </c>
      <c r="BX102" s="1566">
        <f>IF(ISERROR(MATCH($B102,'A1.3.2'!$B$27:$B$106,0)),"",(VLOOKUP($B102,'Forecast occupancies'!$C$28:$CP$64,74,TRUE)*VLOOKUP($B102,'A1.3.2'!$B$27:$AY$106,38,)) * $CR$5)</f>
        <v>54.2321244916306</v>
      </c>
      <c r="BY102" s="1566">
        <f>IF(ISERROR(MATCH($B102,'A1.3.2'!$B$27:$B$106,0)),"",(VLOOKUP($B102,'Forecast occupancies'!$C$28:$CP$64,75,TRUE)*VLOOKUP($B102,'A1.3.2'!$B$27:$AY$106,38,)) * $CR$5)</f>
        <v>54.2321244916306</v>
      </c>
      <c r="BZ102" s="1565">
        <f>IF(ISERROR(MATCH($B102,'A1.3.2'!$B$27:$B$106,0)),"",(((VLOOKUP($B102,'Forecast occupancies'!$C$28:$CP$64,76,TRUE) -1) * VLOOKUP($B102,'A1.3.2'!$B$27:$AY$106,40,)) + VLOOKUP($B102,'A1.3.2'!$B$27:$AY$106,39,)) * $CR$5)</f>
        <v>57.890043522279967</v>
      </c>
      <c r="CA102" s="1565">
        <f>IF(ISERROR(MATCH($B102,'A1.3.2'!$B$27:$B$106,0)),"",(VLOOKUP($B102,'Forecast occupancies'!$C$28:$CP$64,77,TRUE) * VLOOKUP($B102,'A1.3.2'!$B$27:$AY$106,49,)) * $CR$5)</f>
        <v>27.814076669291367</v>
      </c>
      <c r="CB102" s="1565">
        <f>IF(ISERROR(MATCH($B102,'A1.3.2'!$B$27:$B$106,0)),"",(VLOOKUP($B102,'Forecast occupancies'!$C$28:$CP$64,78,TRUE) * VLOOKUP($B102,'A1.3.2'!$B$27:$AY$106,50,)) * $CR$5)</f>
        <v>195.61923768727479</v>
      </c>
      <c r="CC102" s="1567">
        <f>IF(ISERROR(MATCH($B102,'A1.3.2'!$B$27:$B$106,0)),"",SUM(BZ102:CB102))</f>
        <v>281.32335787884614</v>
      </c>
      <c r="CD102" s="1565">
        <f>IF(ISERROR(MATCH($B102,'A1.3.2'!$B$27:$B$106,0)),"",(((VLOOKUP($B102,'Forecast occupancies'!$C$28:$CP$64,80,TRUE)-1)*VLOOKUP($B102,'A1.3.2'!$B$27:$AY$106,36,)+VLOOKUP($B102,'A1.3.2'!$B$27:$AY$106,35,))*$CR$5))</f>
        <v>77.584855758356724</v>
      </c>
      <c r="CE102" s="1565">
        <f>IF(ISERROR(MATCH($B102,'A1.3.2'!$B$27:$B$106,0)),"",VLOOKUP($B102,'Forecast occupancies'!$C$28:$CP$64,81,TRUE)*VLOOKUP($B102,'A1.3.2'!$B$27:$AY$106,49,)*$CR$5)</f>
        <v>43.088557469951503</v>
      </c>
      <c r="CF102" s="1565">
        <f>IF(ISERROR(MATCH($B102,'A1.3.2'!$B$27:$B$106,0)),"",VLOOKUP($B102,'Forecast occupancies'!$C$28:$CP$64,82,TRUE)*VLOOKUP($B102,'A1.3.2'!$B$27:$AY$106,50,)*$CR$5)</f>
        <v>32.735144072063363</v>
      </c>
      <c r="CG102" s="1566">
        <f>IF(ISERROR(MATCH($B102,'A1.3.2'!$B$27:$B$106,0)),"",(((CD102*'VoT5'!$J$28)+(CE102*'VoT5'!$J$29)+(CF102*'VoT5'!$J$30))/100))</f>
        <v>40.782619995186941</v>
      </c>
      <c r="CH102" s="1565">
        <f>IF(ISERROR(MATCH($B102,'A1.3.2'!$B$27:$B$106,0)),"",(VLOOKUP($B102,'Forecast occupancies'!$C$28:$CP$64,84,TRUE) * VLOOKUP($B102, 'A1.3.2'!$B$27:$AY$106,37,)) * $CR$5)</f>
        <v>55.233660778902369</v>
      </c>
      <c r="CI102" s="1565">
        <f>IF(ISERROR(MATCH($B102,'A1.3.2'!$B$27:$B$106,0)),"",(VLOOKUP($B102,'Forecast occupancies'!$C$28:$CP$64,85,TRUE) * (VLOOKUP($B102,'A1.3.2'!$B$27:$AY$106,49,)*'VoT5'!$J$29 + VLOOKUP($B102,'A1.3.2'!$B$27:$AY$106,50,)*'VoT5'!$J$30) / (SUM('VoT5'!$J$29:$J$30))) * $CR$5)</f>
        <v>36.717848717653787</v>
      </c>
      <c r="CJ102" s="1566">
        <f>IF(ISERROR(MATCH($B102,'A1.3.2'!$B$27:$B$106,0)),"",(CH102*'VoT5'!$J$31 + CI102*'VoT5'!$J$32)/100)</f>
        <v>53.011763331552537</v>
      </c>
      <c r="CK102" s="1566">
        <f>IF(ISERROR(MATCH($B102,'A1.3.2'!$B$27:$B$106,0)),"",(VLOOKUP($B102,'Forecast occupancies'!$C$28:$CP$64,87,TRUE)*VLOOKUP($B102,'A1.3.2'!$B$27:$AY$106,38,)) * $CR$5)</f>
        <v>54.2321244916306</v>
      </c>
      <c r="CL102" s="1566">
        <f>IF(ISERROR(MATCH($B102,'A1.3.2'!$B$27:$B$106,0)),"",(VLOOKUP($B102,'Forecast occupancies'!$C$28:$CP$64,88,TRUE)*VLOOKUP($B102,'A1.3.2'!$B$27:$AY$106,38,)) * $CR$5)</f>
        <v>54.2321244916306</v>
      </c>
      <c r="CM102" s="1565">
        <f>IF(ISERROR(MATCH($B102,'A1.3.2'!$B$27:$B$106,0)),"",(((VLOOKUP($B102,'Forecast occupancies'!$C$28:$CP$64,89,TRUE) -1) * VLOOKUP($B102,'A1.3.2'!$B$27:$AY$106,40,)) + VLOOKUP($B102,'A1.3.2'!$B$27:$AY$106,39,)) * $CR$5)</f>
        <v>62.162974650249076</v>
      </c>
      <c r="CN102" s="1565">
        <f>IF(ISERROR(MATCH($B102,'A1.3.2'!$B$27:$B$106,0)),"",(VLOOKUP($B102,'Forecast occupancies'!$C$28:$CP$64,90,TRUE) * VLOOKUP($B102,'A1.3.2'!$B$27:$AY$106,49,)) * $CR$5)</f>
        <v>62.155360194137124</v>
      </c>
      <c r="CO102" s="1565">
        <f>IF(ISERROR(MATCH($B102,'A1.3.2'!$B$27:$B$106,0)),"",(VLOOKUP($B102,'Forecast occupancies'!$C$28:$CP$64,91,TRUE) * VLOOKUP($B102,'A1.3.2'!$B$27:$AY$106,50,)) * $CR$5)</f>
        <v>178.00835380063759</v>
      </c>
      <c r="CP102" s="1567">
        <f>IF(ISERROR(MATCH($B102,'A1.3.2'!$B$27:$B$106,0)),"",SUM(CM102:CO102))</f>
        <v>302.32668864502381</v>
      </c>
    </row>
    <row r="103" spans="1:94" ht="13.5" customHeight="1">
      <c r="A103" s="113"/>
      <c r="B103" s="82">
        <f t="shared" si="1"/>
        <v>2085</v>
      </c>
      <c r="C103" s="26"/>
      <c r="D103" s="1609">
        <f>IF(ISERROR(MATCH($B103,'A1.3.2'!$B$27:$B$106,0)),"",(((VLOOKUP($B103,'Forecast occupancies'!$C$28:$CP$64,2,TRUE) -1) * VLOOKUP($B103,'A1.3.2'!$B$27:$AY$106,36,) + VLOOKUP($B103,'A1.3.2'!$B$27:$AY$106,35,)) * $CR$5))</f>
        <v>77.172724632295811</v>
      </c>
      <c r="E103" s="1565">
        <f>IF(ISERROR(MATCH($B103,'A1.3.2'!$B$27:$B$106,0)),"",VLOOKUP($B103,'Forecast occupancies'!$C$28:$CP$64,3,TRUE)*VLOOKUP($B103,'A1.3.2'!$B$27:$AY$106,49,)*$CR$5)</f>
        <v>43.490759972290896</v>
      </c>
      <c r="F103" s="1565">
        <f>IF(ISERROR(MATCH($B103,'A1.3.2'!$B$27:$B$106,0)),"",VLOOKUP($B103,'Forecast occupancies'!$C$28:$CP$64,4,TRUE)*VLOOKUP($B103,'A1.3.2'!$B$27:$AY$106,50,)*$CR$5)</f>
        <v>30.005255016262932</v>
      </c>
      <c r="G103" s="1566">
        <f>IF(ISERROR(MATCH($B103,'A1.3.2'!$B$27:$B$106,0)),"",(((D103*'VoT5'!$D$28)+(E103*'VoT5'!$D$29)+(F103*'VoT5'!$D$30))/100))</f>
        <v>43.711011048214097</v>
      </c>
      <c r="H103" s="1565">
        <f>IF(ISERROR(MATCH($B103,'A1.3.2'!$B$27:$B$106,0)),"",(VLOOKUP($B103,'Forecast occupancies'!$C$28:$CP$64,6,TRUE) * VLOOKUP($B103, 'A1.3.2'!$B$27:$AY$106,37,)) * $CR$5)</f>
        <v>56.398528299610028</v>
      </c>
      <c r="I103" s="1565">
        <f>IF(ISERROR(MATCH($B103,'A1.3.2'!$B$27:$B$106,0)),"",VLOOKUP($B103,'Forecast occupancies'!$C$28:$CP$64,7,TRUE) * ('VoT5'!$J$29*VLOOKUP($B103, 'A1.3.2'!$B$27:$AY$106,49,)+'VoT5'!$J$30*VLOOKUP($B103, 'A1.3.2'!$B$27:$AY$106,50,))/('VoT5'!$J$29+'VoT5'!$J$30) * $CR$5)</f>
        <v>34.426819506483056</v>
      </c>
      <c r="J103" s="1566">
        <f>IF(ISERROR(MATCH($B103,'A1.3.2'!$B$27:$B$106,0)),"",(H103*'VoT5'!$D$31 + I103*'VoT5'!$D$32)/100)</f>
        <v>53.76192324443479</v>
      </c>
      <c r="K103" s="1566">
        <f>IF(ISERROR(MATCH($B103,'A1.3.2'!$B$27:$B$106,0)),"",(VLOOKUP($B103,'Forecast occupancies'!$C$28:$CP$64,9,TRUE)*VLOOKUP($B103,'A1.3.2'!$B$27:$AY$106,38,)) * $CR$5)</f>
        <v>55.37586980035011</v>
      </c>
      <c r="L103" s="1566">
        <f>IF(ISERROR(MATCH($B103,'A1.3.2'!$B$27:$B$106,0)),"",(VLOOKUP($B103,'Forecast occupancies'!$C$28:$CP$64,10,TRUE)*VLOOKUP($B103,'A1.3.2'!$B$27:$AY$106,38,)) * $CR$5)</f>
        <v>55.37586980035011</v>
      </c>
      <c r="M103" s="1565">
        <f>IF(ISERROR(MATCH($B103,'A1.3.2'!$B$27:$B$106,0)),"",(((VLOOKUP($B103,'Forecast occupancies'!$C$28:$CP$64,11,TRUE) -1) * VLOOKUP($B103,'A1.3.2'!$B$27:$AY$106,40,)) + VLOOKUP($B103,'A1.3.2'!$B$27:$AY$106,39,)) * $CR$5)</f>
        <v>63.101304297739055</v>
      </c>
      <c r="N103" s="1565">
        <f>IF(ISERROR(MATCH($B103,'A1.3.2'!$B$27:$B$106,0)),"",(VLOOKUP($B103,'Forecast occupancies'!$C$28:$CP$64,12,TRUE) * VLOOKUP($B103,'A1.3.2'!$B$27:$AY$106,49,)) * $CR$5)</f>
        <v>86.380965479007173</v>
      </c>
      <c r="O103" s="1565">
        <f>IF(ISERROR(MATCH($B103,'A1.3.2'!$B$27:$B$106,0)),"",(VLOOKUP($B103,'Forecast occupancies'!$C$28:$CP$64,13,TRUE) * VLOOKUP($B103,'A1.3.2'!$B$27:$AY$106,50,)) * $CR$5)</f>
        <v>171.47242877532574</v>
      </c>
      <c r="P103" s="1567">
        <f>IF(ISERROR(MATCH($B103,'A1.3.2'!$B$27:$B$106,0)),"",SUM(M103:O103))</f>
        <v>320.95469855207193</v>
      </c>
      <c r="Q103" s="1609">
        <f>IF(ISERROR(MATCH($B103,'A1.3.2'!$B$27:$B$106,0)),"",(((VLOOKUP($B103,'Forecast occupancies'!$C$28:$CP$64,15,TRUE)-1)*VLOOKUP($B103,'A1.3.2'!$B$27:$AY$106,36,)+VLOOKUP($B103,'A1.3.2'!$B$27:$AY$106,35,))*$CR$5))</f>
        <v>79.080635824417399</v>
      </c>
      <c r="R103" s="1565">
        <f>IF(ISERROR(MATCH($B103,'A1.3.2'!$B$27:$B$106,0)),"",VLOOKUP($B103,'Forecast occupancies'!$C$28:$CP$64,16,TRUE)*VLOOKUP($B103,'A1.3.2'!$B$27:$AY$106,49,)*$CR$5)</f>
        <v>44.197923784967379</v>
      </c>
      <c r="S103" s="1565">
        <f>IF(ISERROR(MATCH($B103,'A1.3.2'!$B$27:$B$106,0)),"",VLOOKUP($B103,'Forecast occupancies'!$C$28:$CP$64,17,TRUE)*VLOOKUP($B103,'A1.3.2'!$B$27:$AY$106,50,)*$CR$5)</f>
        <v>31.962684436781295</v>
      </c>
      <c r="T103" s="1566">
        <f>IF(ISERROR(MATCH($B103,'A1.3.2'!$B$27:$B$106,0)),"",(((Q103*'VoT5'!$E$28)+(R103*'VoT5'!$E$29)+(S103*'VoT5'!$E$30))/100))</f>
        <v>41.167451289172966</v>
      </c>
      <c r="U103" s="1565">
        <f>IF(ISERROR(MATCH($B103,'A1.3.2'!$B$27:$B$106,0)),"",(VLOOKUP($B103,'Forecast occupancies'!$C$28:$CP$64,19,TRUE) * VLOOKUP($B103, 'A1.3.2'!$B$27:$AY$106,37,)) * $CR$5)</f>
        <v>56.398528299610028</v>
      </c>
      <c r="V103" s="1565">
        <f>IF(ISERROR(MATCH($B103,'A1.3.2'!$B$27:$B$106,0)),"",VLOOKUP($B103,'Forecast occupancies'!$C$28:$CP$64,20,TRUE) * ('VoT5'!$J$29*VLOOKUP($B103, 'A1.3.2'!$B$27:$AY$106,49,)+'VoT5'!$J$30*VLOOKUP($B103, 'A1.3.2'!$B$27:$AY$106,50,))/('VoT5'!$J$29+'VoT5'!$J$30) * $CR$5)</f>
        <v>34.426819506483056</v>
      </c>
      <c r="W103" s="1566">
        <f>IF(ISERROR(MATCH($B103,'A1.3.2'!$B$27:$B$106,0)),"",(U103*'VoT5'!$E$31 + V103*'VoT5'!$E$32)/100)</f>
        <v>53.76192324443479</v>
      </c>
      <c r="X103" s="1566">
        <f>IF(ISERROR(MATCH($B103,'A1.3.2'!$B$27:$B$106,0)),"",(VLOOKUP($B103,'Forecast occupancies'!$C$28:$CP$64,22,TRUE)*VLOOKUP($B103,'A1.3.2'!$B$27:$AY$106,38,)) * $CR$5)</f>
        <v>55.37586980035011</v>
      </c>
      <c r="Y103" s="1566">
        <f>IF(ISERROR(MATCH($B103,'A1.3.2'!$B$27:$B$106,0)),"",(VLOOKUP($B103,'Forecast occupancies'!$C$28:$CP$64,23,TRUE)*VLOOKUP($B103,'A1.3.2'!$B$27:$AY$106,38,)) * $CR$5)</f>
        <v>55.37586980035011</v>
      </c>
      <c r="Z103" s="1565">
        <f>IF(ISERROR(MATCH($B103,'A1.3.2'!$B$27:$B$106,0)),"",(((VLOOKUP($B103,'Forecast occupancies'!$C$28:$CP$64,24,TRUE) -1) * VLOOKUP($B103,'A1.3.2'!$B$27:$AY$106,40,)) + VLOOKUP($B103,'A1.3.2'!$B$27:$AY$106,39,)) * $CR$5)</f>
        <v>64.389258032924076</v>
      </c>
      <c r="AA103" s="1565">
        <f>IF(ISERROR(MATCH($B103,'A1.3.2'!$B$27:$B$106,0)),"",(VLOOKUP($B103,'Forecast occupancies'!$C$28:$CP$64,25,TRUE) * VLOOKUP($B103,'A1.3.2'!$B$27:$AY$106,49,)) * $CR$5)</f>
        <v>30.273779627582787</v>
      </c>
      <c r="AB103" s="1565">
        <f>IF(ISERROR(MATCH($B103,'A1.3.2'!$B$27:$B$106,0)),"",(VLOOKUP($B103,'Forecast occupancies'!$C$28:$CP$64,26,TRUE) * VLOOKUP($B103,'A1.3.2'!$B$27:$AY$106,50,)) * $CR$5)</f>
        <v>196.49773181606881</v>
      </c>
      <c r="AC103" s="1567">
        <f>IF(ISERROR(MATCH($B103,'A1.3.2'!$B$27:$B$106,0)),"",SUM(Z103:AB103))</f>
        <v>291.16076947657564</v>
      </c>
      <c r="AD103" s="1609">
        <f>IF(ISERROR(MATCH($B103,'A1.3.2'!$B$27:$B$106,0)),"",(((VLOOKUP($B103,'Forecast occupancies'!$C$28:$CP$64,28,TRUE)-1)*VLOOKUP($B103,'A1.3.2'!$B$27:$AY$106,36,)+VLOOKUP($B103,'A1.3.2'!$B$27:$AY$106,35,))*$CR$5))</f>
        <v>78.286444785645585</v>
      </c>
      <c r="AE103" s="1565">
        <f>IF(ISERROR(MATCH($B103,'A1.3.2'!$B$27:$B$106,0)),"",VLOOKUP($B103,'Forecast occupancies'!$C$28:$CP$64,29,TRUE)*VLOOKUP($B103,'A1.3.2'!$B$27:$AY$106,49,)*$CR$5)</f>
        <v>43.640775129957682</v>
      </c>
      <c r="AF103" s="1565">
        <f>IF(ISERROR(MATCH($B103,'A1.3.2'!$B$27:$B$106,0)),"",VLOOKUP($B103,'Forecast occupancies'!$C$28:$CP$64,30,TRUE)*VLOOKUP($B103,'A1.3.2'!$B$27:$AY$106,50,)*$CR$5)</f>
        <v>31.421733431209187</v>
      </c>
      <c r="AG103" s="1566">
        <f>IF(ISERROR(MATCH($B103,'A1.3.2'!$B$27:$B$106,0)),"",(((AD103*'VoT5'!$F$28)+(AE103*'VoT5'!$F$29)+(AF103*'VoT5'!$F$30))/100))</f>
        <v>41.997308208680707</v>
      </c>
      <c r="AH103" s="1565">
        <f>IF(ISERROR(MATCH($B103,'A1.3.2'!$B$27:$B$106,0)),"",(VLOOKUP($B103,'Forecast occupancies'!$C$28:$CP$64,32,TRUE) * VLOOKUP($B103, 'A1.3.2'!$B$27:$AY$106,37,)) * $CR$5)</f>
        <v>56.398528299610028</v>
      </c>
      <c r="AI103" s="1565">
        <f>IF(ISERROR(MATCH($B103,'A1.3.2'!$B$27:$B$106,0)),"",VLOOKUP($B103,'Forecast occupancies'!$C$28:$CP$64,33,TRUE) * ('VoT5'!$J$29*VLOOKUP($B103, 'A1.3.2'!$B$27:$AY$106,49,)+'VoT5'!$J$30*VLOOKUP($B103, 'A1.3.2'!$B$27:$AY$106,50,))/('VoT5'!$J$29+'VoT5'!$J$30) * $CR$5)</f>
        <v>34.426819506483056</v>
      </c>
      <c r="AJ103" s="1566">
        <f>IF(ISERROR(MATCH($B103,'A1.3.2'!$B$27:$B$106,0)),"",(AH103*'VoT5'!$F$31 + AI103*'VoT5'!$F$32)/100)</f>
        <v>53.76192324443479</v>
      </c>
      <c r="AK103" s="1566">
        <f>IF(ISERROR(MATCH($B103,'A1.3.2'!$B$27:$B$106,0)),"",(VLOOKUP($B103,'Forecast occupancies'!$C$28:$CP$64,35,TRUE)*VLOOKUP($B103,'A1.3.2'!$B$27:$AY$106,38,)) * $CR$5)</f>
        <v>55.37586980035011</v>
      </c>
      <c r="AL103" s="1566">
        <f>IF(ISERROR(MATCH($B103,'A1.3.2'!$B$27:$B$106,0)),"",(VLOOKUP($B103,'Forecast occupancies'!$C$28:$CP$64,36,TRUE)*VLOOKUP($B103,'A1.3.2'!$B$27:$AY$106,38,)) * $CR$5)</f>
        <v>55.37586980035011</v>
      </c>
      <c r="AM103" s="1565">
        <f>IF(ISERROR(MATCH($B103,'A1.3.2'!$B$27:$B$106,0)),"",(((VLOOKUP($B103,'Forecast occupancies'!$C$28:$CP$64,37,TRUE) -1) * VLOOKUP($B103,'A1.3.2'!$B$27:$AY$106,40,)) + VLOOKUP($B103,'A1.3.2'!$B$27:$AY$106,39,)) * $CR$5)</f>
        <v>67.369648634882537</v>
      </c>
      <c r="AN103" s="1565">
        <f>IF(ISERROR(MATCH($B103,'A1.3.2'!$B$27:$B$106,0)),"",(VLOOKUP($B103,'Forecast occupancies'!$C$28:$CP$64,38,TRUE) * VLOOKUP($B103,'A1.3.2'!$B$27:$AY$106,49,)) * $CR$5)</f>
        <v>121.48424896456444</v>
      </c>
      <c r="AO103" s="1565">
        <f>IF(ISERROR(MATCH($B103,'A1.3.2'!$B$27:$B$106,0)),"",(VLOOKUP($B103,'Forecast occupancies'!$C$28:$CP$64,39,TRUE) * VLOOKUP($B103,'A1.3.2'!$B$27:$AY$106,50,)) * $CR$5)</f>
        <v>153.51582397155804</v>
      </c>
      <c r="AP103" s="1567">
        <f>IF(ISERROR(MATCH($B103,'A1.3.2'!$B$27:$B$106,0)),"",SUM(AM103:AO103))</f>
        <v>342.36972157100502</v>
      </c>
      <c r="AQ103" s="1609">
        <f>IF(ISERROR(MATCH($B103,'A1.3.2'!$B$27:$B$106,0)),"",(((VLOOKUP($B103,'Forecast occupancies'!$C$28:$CP$64,41,TRUE)-1)*VLOOKUP($B103,'A1.3.2'!$B$27:$AY$106,36,)+VLOOKUP($B103,'A1.3.2'!$B$27:$AY$106,35,))*$CR$5))</f>
        <v>79.767673027677461</v>
      </c>
      <c r="AR103" s="1565">
        <f>IF(ISERROR(MATCH($B103,'A1.3.2'!$B$27:$B$106,0)),"",VLOOKUP($B103,'Forecast occupancies'!$C$28:$CP$64,42,TRUE)*VLOOKUP($B103,'A1.3.2'!$B$27:$AY$106,49,)*$CR$5)</f>
        <v>44.279499436978384</v>
      </c>
      <c r="AS103" s="1565">
        <f>IF(ISERROR(MATCH($B103,'A1.3.2'!$B$27:$B$106,0)),"",VLOOKUP($B103,'Forecast occupancies'!$C$28:$CP$64,43,TRUE)*VLOOKUP($B103,'A1.3.2'!$B$27:$AY$106,50,)*$CR$5)</f>
        <v>31.309550952691733</v>
      </c>
      <c r="AT103" s="1566">
        <f>IF(ISERROR(MATCH($B103,'A1.3.2'!$B$27:$B$106,0)),"",(((AQ103*'VoT5'!$G$28)+(AR103*'VoT5'!$G$29)+(AS103*'VoT5'!$G$30))/100))</f>
        <v>42.549354419624891</v>
      </c>
      <c r="AU103" s="1565">
        <f>IF(ISERROR(MATCH($B103,'A1.3.2'!$B$27:$B$106,0)),"",(VLOOKUP($B103,'Forecast occupancies'!$C$28:$CP$64,45,TRUE) * VLOOKUP($B103, 'A1.3.2'!$B$27:$AY$106,37,)) * $CR$5)</f>
        <v>56.398528299610028</v>
      </c>
      <c r="AV103" s="1565">
        <f>IF(ISERROR(MATCH($B103,'A1.3.2'!$B$27:$B$106,0)),"",VLOOKUP($B103,'Forecast occupancies'!$C$28:$CP$64,46,TRUE) * ('VoT5'!$J$29*VLOOKUP($B103, 'A1.3.2'!$B$27:$AY$106,49,)+'VoT5'!$J$30*VLOOKUP($B103, 'A1.3.2'!$B$27:$AY$106,50,))/('VoT5'!$J$29+'VoT5'!$J$30) * $CR$5)</f>
        <v>34.426819506483056</v>
      </c>
      <c r="AW103" s="1566">
        <f>IF(ISERROR(MATCH($B103,'A1.3.2'!$B$27:$B$106,0)),"",(AU103*'VoT5'!$G$31 + AV103*'VoT5'!$G$32)/100)</f>
        <v>53.76192324443479</v>
      </c>
      <c r="AX103" s="1566">
        <f>IF(ISERROR(MATCH($B103,'A1.3.2'!$B$27:$B$106,0)),"",(VLOOKUP($B103,'Forecast occupancies'!$C$28:$CP$64,48,TRUE)*VLOOKUP($B103,'A1.3.2'!$B$27:$AY$106,38,)) * $CR$5)</f>
        <v>55.37586980035011</v>
      </c>
      <c r="AY103" s="1566">
        <f>IF(ISERROR(MATCH($B103,'A1.3.2'!$B$27:$B$106,0)),"",(VLOOKUP($B103,'Forecast occupancies'!$C$28:$CP$64,49,TRUE)*VLOOKUP($B103,'A1.3.2'!$B$27:$AY$106,38,)) * $CR$5)</f>
        <v>55.37586980035011</v>
      </c>
      <c r="AZ103" s="1565">
        <f>IF(ISERROR(MATCH($B103,'A1.3.2'!$B$27:$B$106,0)),"",(((VLOOKUP($B103,'Forecast occupancies'!$C$28:$CP$64,50,TRUE) -1) * VLOOKUP($B103,'A1.3.2'!$B$27:$AY$106,40,)) + VLOOKUP($B103,'A1.3.2'!$B$27:$AY$106,39,)) * $CR$5)</f>
        <v>67.315168608724946</v>
      </c>
      <c r="BA103" s="1565">
        <f>IF(ISERROR(MATCH($B103,'A1.3.2'!$B$27:$B$106,0)),"",(VLOOKUP($B103,'Forecast occupancies'!$C$28:$CP$64,51,TRUE) * VLOOKUP($B103,'A1.3.2'!$B$27:$AY$106,49,)) * $CR$5)</f>
        <v>166.06595072217897</v>
      </c>
      <c r="BB103" s="1565">
        <f>IF(ISERROR(MATCH($B103,'A1.3.2'!$B$27:$B$106,0)),"",(VLOOKUP($B103,'Forecast occupancies'!$C$28:$CP$64,52,TRUE) * VLOOKUP($B103,'A1.3.2'!$B$27:$AY$106,50,)) * $CR$5)</f>
        <v>133.19208772363933</v>
      </c>
      <c r="BC103" s="1567">
        <f>IF(ISERROR(MATCH($B103,'A1.3.2'!$B$27:$B$106,0)),"",SUM(AZ103:BB103))</f>
        <v>366.57320705454322</v>
      </c>
      <c r="BD103" s="1565">
        <f>IF(ISERROR(MATCH($B103,'A1.3.2'!$B$27:$B$106,0)),"",(((VLOOKUP($B103,'Forecast occupancies'!$C$28:$CP$64,54,TRUE)-1)*VLOOKUP($B103,'A1.3.2'!$B$27:$AY$106,36,)+VLOOKUP($B103,'A1.3.2'!$B$27:$AY$106,35,))*$CR$5))</f>
        <v>78.425739059029496</v>
      </c>
      <c r="BE103" s="1565">
        <f>IF(ISERROR(MATCH($B103,'A1.3.2'!$B$27:$B$106,0)),"",VLOOKUP($B103,'Forecast occupancies'!$C$28:$CP$64,55,TRUE)*VLOOKUP($B103,'A1.3.2'!$B$27:$AY$106,49,)*$CR$5)</f>
        <v>43.789154128870358</v>
      </c>
      <c r="BF103" s="1565">
        <f>IF(ISERROR(MATCH($B103,'A1.3.2'!$B$27:$B$106,0)),"",VLOOKUP($B103,'Forecast occupancies'!$C$28:$CP$64,56,TRUE)*VLOOKUP($B103,'A1.3.2'!$B$27:$AY$106,50,)*$CR$5)</f>
        <v>31.387344220542289</v>
      </c>
      <c r="BG103" s="1566">
        <f>IF(ISERROR(MATCH($B103,'A1.3.2'!$B$27:$B$106,0)),"",(((BD103*'VoT5'!$H$28)+(BE103*'VoT5'!$H$29)+(BF103*'VoT5'!$H$30))/100))</f>
        <v>42.242929861696254</v>
      </c>
      <c r="BH103" s="1565">
        <f>IF(ISERROR(MATCH($B103,'A1.3.2'!$B$27:$B$106,0)),"",(VLOOKUP($B103,'Forecast occupancies'!$C$28:$CP$64,58,TRUE) * VLOOKUP($B103, 'A1.3.2'!$B$27:$AY$106,37,)) * $CR$5)</f>
        <v>56.398528299610028</v>
      </c>
      <c r="BI103" s="1565">
        <f>IF(ISERROR(MATCH($B103,'A1.3.2'!$B$27:$B$106,0)),"",(VLOOKUP($B103,'Forecast occupancies'!$C$28:$CP$64,59,TRUE) * (VLOOKUP($B103,'A1.3.2'!$B$27:$AY$106,49,) * 'VoT5'!$J$29 + VLOOKUP($B103,'A1.3.2'!$B$27:$AY$106,50,) * 'VoT5'!$J$30) / (SUM('VoT5'!$J$29:$J$30))) * $CR$5)</f>
        <v>34.426819506483056</v>
      </c>
      <c r="BJ103" s="1566">
        <f>IF(ISERROR(MATCH($B103,'A1.3.2'!$B$27:$B$106,0)),"",(BH103*'VoT5'!$H$31 + BI103*'VoT5'!$H$32)/100)</f>
        <v>53.76192324443479</v>
      </c>
      <c r="BK103" s="1566">
        <f>IF(ISERROR(MATCH($B103,'A1.3.2'!$B$27:$B$106,0)),"",(VLOOKUP($B103,'Forecast occupancies'!$C$28:$CP$64,61,TRUE)*VLOOKUP($B103,'A1.3.2'!$B$27:$AY$106,38,)) * $CR$5)</f>
        <v>55.37586980035011</v>
      </c>
      <c r="BL103" s="1566">
        <f>IF(ISERROR(MATCH($B103,'A1.3.2'!$B$27:$B$106,0)),"",(VLOOKUP($B103,'Forecast occupancies'!$C$28:$CP$64,62,TRUE)*VLOOKUP($B103,'A1.3.2'!$B$27:$AY$106,38,)) * $CR$5)</f>
        <v>55.37586980035011</v>
      </c>
      <c r="BM103" s="1565">
        <f>IF(ISERROR(MATCH($B103,'A1.3.2'!$B$27:$B$106,0)),"",(((VLOOKUP($B103,'Forecast occupancies'!$C$28:$CP$64,63,TRUE) -1) * VLOOKUP($B103,'A1.3.2'!$B$27:$AY$106,40,)) + VLOOKUP($B103,'A1.3.2'!$B$27:$AY$106,39,)) * $CR$5)</f>
        <v>64.904697310495777</v>
      </c>
      <c r="BN103" s="1565">
        <f>IF(ISERROR(MATCH($B103,'A1.3.2'!$B$27:$B$106,0)),"",(VLOOKUP($B103,'Forecast occupancies'!$C$28:$CP$64,64,TRUE) * VLOOKUP($B103,'A1.3.2'!$B$27:$AY$106,49,)) * $CR$5)</f>
        <v>74.967733632394598</v>
      </c>
      <c r="BO103" s="1565">
        <f>IF(ISERROR(MATCH($B103,'A1.3.2'!$B$27:$B$106,0)),"",(VLOOKUP($B103,'Forecast occupancies'!$C$28:$CP$64,65,TRUE) * VLOOKUP($B103,'A1.3.2'!$B$27:$AY$106,50,)) * $CR$5)</f>
        <v>175.86447296373436</v>
      </c>
      <c r="BP103" s="1567">
        <f>IF(ISERROR(MATCH($B103,'A1.3.2'!$B$27:$B$106,0)),"",SUM(BM103:BO103))</f>
        <v>315.73690390662478</v>
      </c>
      <c r="BQ103" s="1565">
        <f>IF(ISERROR(MATCH($B103,'A1.3.2'!$B$27:$B$106,0)),"",(((VLOOKUP($B103,'Forecast occupancies'!$C$28:$CP$64,67,TRUE)-1)*VLOOKUP($B103,'A1.3.2'!$B$27:$AY$106,36,)+VLOOKUP($B103,'A1.3.2'!$B$27:$AY$106,35,))*$CR$5))</f>
        <v>89.630802097440139</v>
      </c>
      <c r="BR103" s="1565">
        <f>IF(ISERROR(MATCH($B103,'A1.3.2'!$B$27:$B$106,0)),"",VLOOKUP($B103,'Forecast occupancies'!$C$28:$CP$64,68,TRUE)*VLOOKUP($B103,'A1.3.2'!$B$27:$AY$106,49,)*$CR$5)</f>
        <v>46.361851541675406</v>
      </c>
      <c r="BS103" s="1565">
        <f>IF(ISERROR(MATCH($B103,'A1.3.2'!$B$27:$B$106,0)),"",VLOOKUP($B103,'Forecast occupancies'!$C$28:$CP$64,69,TRUE)*VLOOKUP($B103,'A1.3.2'!$B$27:$AY$106,50,)*$CR$5)</f>
        <v>37.163372188105214</v>
      </c>
      <c r="BT103" s="1566">
        <f>IF(ISERROR(MATCH($B103,'A1.3.2'!$B$27:$B$106,0)),"",(((BQ103*'VoT5'!$I$28)+(BR103*'VoT5'!$I$29)+(BS103*'VoT5'!$I$30))/100))</f>
        <v>39.711406870535029</v>
      </c>
      <c r="BU103" s="1565">
        <f>IF(ISERROR(MATCH($B103,'A1.3.2'!$B$27:$B$106,0)),"",(VLOOKUP($B103,'Forecast occupancies'!$C$28:$CP$64,71,TRUE) * VLOOKUP($B103, 'A1.3.2'!$B$27:$AY$106,37,)) * $CR$5)</f>
        <v>59.218454714590528</v>
      </c>
      <c r="BV103" s="1565">
        <f>IF(ISERROR(MATCH($B103,'A1.3.2'!$B$27:$B$106,0)),"",(VLOOKUP($B103,'Forecast occupancies'!$C$28:$CP$64,72,TRUE) * (VLOOKUP($B103,'A1.3.2'!$B$27:$AY$106,49,)*'VoT5'!$J$29 + VLOOKUP($B103,'A1.3.2'!$B$27:$AY$106,50,)*'VoT5'!$J$30) / (SUM('VoT5'!$J$29:$J$30))) * $CR$5)</f>
        <v>47.867427122027806</v>
      </c>
      <c r="BW103" s="1566">
        <f>IF(ISERROR(MATCH($B103,'A1.3.2'!$B$27:$B$106,0)),"",(BU103*'VoT5'!$I$31 + BV103*'VoT5'!$I$32)/100)</f>
        <v>57.856331403482997</v>
      </c>
      <c r="BX103" s="1566">
        <f>IF(ISERROR(MATCH($B103,'A1.3.2'!$B$27:$B$106,0)),"",(VLOOKUP($B103,'Forecast occupancies'!$C$28:$CP$64,74,TRUE)*VLOOKUP($B103,'A1.3.2'!$B$27:$AY$106,38,)) * $CR$5)</f>
        <v>55.37586980035011</v>
      </c>
      <c r="BY103" s="1566">
        <f>IF(ISERROR(MATCH($B103,'A1.3.2'!$B$27:$B$106,0)),"",(VLOOKUP($B103,'Forecast occupancies'!$C$28:$CP$64,75,TRUE)*VLOOKUP($B103,'A1.3.2'!$B$27:$AY$106,38,)) * $CR$5)</f>
        <v>55.37586980035011</v>
      </c>
      <c r="BZ103" s="1565">
        <f>IF(ISERROR(MATCH($B103,'A1.3.2'!$B$27:$B$106,0)),"",(((VLOOKUP($B103,'Forecast occupancies'!$C$28:$CP$64,76,TRUE) -1) * VLOOKUP($B103,'A1.3.2'!$B$27:$AY$106,40,)) + VLOOKUP($B103,'A1.3.2'!$B$27:$AY$106,39,)) * $CR$5)</f>
        <v>59.110933655588212</v>
      </c>
      <c r="CA103" s="1565">
        <f>IF(ISERROR(MATCH($B103,'A1.3.2'!$B$27:$B$106,0)),"",(VLOOKUP($B103,'Forecast occupancies'!$C$28:$CP$64,77,TRUE) * VLOOKUP($B103,'A1.3.2'!$B$27:$AY$106,49,)) * $CR$5)</f>
        <v>28.400670316600465</v>
      </c>
      <c r="CB103" s="1565">
        <f>IF(ISERROR(MATCH($B103,'A1.3.2'!$B$27:$B$106,0)),"",(VLOOKUP($B103,'Forecast occupancies'!$C$28:$CP$64,78,TRUE) * VLOOKUP($B103,'A1.3.2'!$B$27:$AY$106,50,)) * $CR$5)</f>
        <v>199.74481062946401</v>
      </c>
      <c r="CC103" s="1567">
        <f>IF(ISERROR(MATCH($B103,'A1.3.2'!$B$27:$B$106,0)),"",SUM(BZ103:CB103))</f>
        <v>287.25641460165269</v>
      </c>
      <c r="CD103" s="1565">
        <f>IF(ISERROR(MATCH($B103,'A1.3.2'!$B$27:$B$106,0)),"",(((VLOOKUP($B103,'Forecast occupancies'!$C$28:$CP$64,80,TRUE)-1)*VLOOKUP($B103,'A1.3.2'!$B$27:$AY$106,36,)+VLOOKUP($B103,'A1.3.2'!$B$27:$AY$106,35,))*$CR$5))</f>
        <v>79.221105778674385</v>
      </c>
      <c r="CE103" s="1565">
        <f>IF(ISERROR(MATCH($B103,'A1.3.2'!$B$27:$B$106,0)),"",VLOOKUP($B103,'Forecast occupancies'!$C$28:$CP$64,81,TRUE)*VLOOKUP($B103,'A1.3.2'!$B$27:$AY$106,49,)*$CR$5)</f>
        <v>43.997287045414723</v>
      </c>
      <c r="CF103" s="1565">
        <f>IF(ISERROR(MATCH($B103,'A1.3.2'!$B$27:$B$106,0)),"",VLOOKUP($B103,'Forecast occupancies'!$C$28:$CP$64,82,TRUE)*VLOOKUP($B103,'A1.3.2'!$B$27:$AY$106,50,)*$CR$5)</f>
        <v>33.425522105630129</v>
      </c>
      <c r="CG103" s="1566">
        <f>IF(ISERROR(MATCH($B103,'A1.3.2'!$B$27:$B$106,0)),"",(((CD103*'VoT5'!$J$28)+(CE103*'VoT5'!$J$29)+(CF103*'VoT5'!$J$30))/100))</f>
        <v>41.642717782873348</v>
      </c>
      <c r="CH103" s="1565">
        <f>IF(ISERROR(MATCH($B103,'A1.3.2'!$B$27:$B$106,0)),"",(VLOOKUP($B103,'Forecast occupancies'!$C$28:$CP$64,84,TRUE) * VLOOKUP($B103, 'A1.3.2'!$B$27:$AY$106,37,)) * $CR$5)</f>
        <v>56.398528299610028</v>
      </c>
      <c r="CI103" s="1565">
        <f>IF(ISERROR(MATCH($B103,'A1.3.2'!$B$27:$B$106,0)),"",(VLOOKUP($B103,'Forecast occupancies'!$C$28:$CP$64,85,TRUE) * (VLOOKUP($B103,'A1.3.2'!$B$27:$AY$106,49,)*'VoT5'!$J$29 + VLOOKUP($B103,'A1.3.2'!$B$27:$AY$106,50,)*'VoT5'!$J$30) / (SUM('VoT5'!$J$29:$J$30))) * $CR$5)</f>
        <v>37.492221243361691</v>
      </c>
      <c r="CJ103" s="1566">
        <f>IF(ISERROR(MATCH($B103,'A1.3.2'!$B$27:$B$106,0)),"",(CH103*'VoT5'!$J$31 + CI103*'VoT5'!$J$32)/100)</f>
        <v>54.129771452860226</v>
      </c>
      <c r="CK103" s="1566">
        <f>IF(ISERROR(MATCH($B103,'A1.3.2'!$B$27:$B$106,0)),"",(VLOOKUP($B103,'Forecast occupancies'!$C$28:$CP$64,87,TRUE)*VLOOKUP($B103,'A1.3.2'!$B$27:$AY$106,38,)) * $CR$5)</f>
        <v>55.37586980035011</v>
      </c>
      <c r="CL103" s="1566">
        <f>IF(ISERROR(MATCH($B103,'A1.3.2'!$B$27:$B$106,0)),"",(VLOOKUP($B103,'Forecast occupancies'!$C$28:$CP$64,88,TRUE)*VLOOKUP($B103,'A1.3.2'!$B$27:$AY$106,38,)) * $CR$5)</f>
        <v>55.37586980035011</v>
      </c>
      <c r="CM103" s="1565">
        <f>IF(ISERROR(MATCH($B103,'A1.3.2'!$B$27:$B$106,0)),"",(((VLOOKUP($B103,'Forecast occupancies'!$C$28:$CP$64,89,TRUE) -1) * VLOOKUP($B103,'A1.3.2'!$B$27:$AY$106,40,)) + VLOOKUP($B103,'A1.3.2'!$B$27:$AY$106,39,)) * $CR$5)</f>
        <v>63.473980097642986</v>
      </c>
      <c r="CN103" s="1565">
        <f>IF(ISERROR(MATCH($B103,'A1.3.2'!$B$27:$B$106,0)),"",(VLOOKUP($B103,'Forecast occupancies'!$C$28:$CP$64,90,TRUE) * VLOOKUP($B103,'A1.3.2'!$B$27:$AY$106,49,)) * $CR$5)</f>
        <v>63.466205054083311</v>
      </c>
      <c r="CO103" s="1565">
        <f>IF(ISERROR(MATCH($B103,'A1.3.2'!$B$27:$B$106,0)),"",(VLOOKUP($B103,'Forecast occupancies'!$C$28:$CP$64,91,TRUE) * VLOOKUP($B103,'A1.3.2'!$B$27:$AY$106,50,)) * $CR$5)</f>
        <v>181.76251651288359</v>
      </c>
      <c r="CP103" s="1567">
        <f>IF(ISERROR(MATCH($B103,'A1.3.2'!$B$27:$B$106,0)),"",SUM(CM103:CO103))</f>
        <v>308.70270166460989</v>
      </c>
    </row>
    <row r="104" spans="1:94" ht="13.5" customHeight="1">
      <c r="A104" s="113"/>
      <c r="B104" s="82">
        <f t="shared" si="1"/>
        <v>2086</v>
      </c>
      <c r="C104" s="26"/>
      <c r="D104" s="1609">
        <f>IF(ISERROR(MATCH($B104,'A1.3.2'!$B$27:$B$106,0)),"",(((VLOOKUP($B104,'Forecast occupancies'!$C$28:$CP$64,2,TRUE) -1) * VLOOKUP($B104,'A1.3.2'!$B$27:$AY$106,36,) + VLOOKUP($B104,'A1.3.2'!$B$27:$AY$106,35,)) * $CR$5))</f>
        <v>78.800457279830681</v>
      </c>
      <c r="E104" s="1565">
        <f>IF(ISERROR(MATCH($B104,'A1.3.2'!$B$27:$B$106,0)),"",VLOOKUP($B104,'Forecast occupancies'!$C$28:$CP$64,3,TRUE)*VLOOKUP($B104,'A1.3.2'!$B$27:$AY$106,49,)*$CR$5)</f>
        <v>44.408070203467773</v>
      </c>
      <c r="F104" s="1565">
        <f>IF(ISERROR(MATCH($B104,'A1.3.2'!$B$27:$B$106,0)),"",VLOOKUP($B104,'Forecast occupancies'!$C$28:$CP$64,4,TRUE)*VLOOKUP($B104,'A1.3.2'!$B$27:$AY$106,50,)*$CR$5)</f>
        <v>30.638128008894601</v>
      </c>
      <c r="G104" s="1566">
        <f>IF(ISERROR(MATCH($B104,'A1.3.2'!$B$27:$B$106,0)),"",(((D104*'VoT5'!$D$28)+(E104*'VoT5'!$D$29)+(F104*'VoT5'!$D$30))/100))</f>
        <v>44.632966830894347</v>
      </c>
      <c r="H104" s="1565">
        <f>IF(ISERROR(MATCH($B104,'A1.3.2'!$B$27:$B$106,0)),"",(VLOOKUP($B104,'Forecast occupancies'!$C$28:$CP$64,6,TRUE) * VLOOKUP($B104, 'A1.3.2'!$B$27:$AY$106,37,)) * $CR$5)</f>
        <v>57.588090106888451</v>
      </c>
      <c r="I104" s="1565">
        <f>IF(ISERROR(MATCH($B104,'A1.3.2'!$B$27:$B$106,0)),"",VLOOKUP($B104,'Forecast occupancies'!$C$28:$CP$64,7,TRUE) * ('VoT5'!$J$29*VLOOKUP($B104, 'A1.3.2'!$B$27:$AY$106,49,)+'VoT5'!$J$30*VLOOKUP($B104, 'A1.3.2'!$B$27:$AY$106,50,))/('VoT5'!$J$29+'VoT5'!$J$30) * $CR$5)</f>
        <v>35.152952454729935</v>
      </c>
      <c r="J104" s="1566">
        <f>IF(ISERROR(MATCH($B104,'A1.3.2'!$B$27:$B$106,0)),"",(H104*'VoT5'!$D$31 + I104*'VoT5'!$D$32)/100)</f>
        <v>54.895873588629428</v>
      </c>
      <c r="K104" s="1566">
        <f>IF(ISERROR(MATCH($B104,'A1.3.2'!$B$27:$B$106,0)),"",(VLOOKUP($B104,'Forecast occupancies'!$C$28:$CP$64,9,TRUE)*VLOOKUP($B104,'A1.3.2'!$B$27:$AY$106,38,)) * $CR$5)</f>
        <v>56.543861621153965</v>
      </c>
      <c r="L104" s="1566">
        <f>IF(ISERROR(MATCH($B104,'A1.3.2'!$B$27:$B$106,0)),"",(VLOOKUP($B104,'Forecast occupancies'!$C$28:$CP$64,10,TRUE)*VLOOKUP($B104,'A1.3.2'!$B$27:$AY$106,38,)) * $CR$5)</f>
        <v>56.543861621153965</v>
      </c>
      <c r="M104" s="1565">
        <f>IF(ISERROR(MATCH($B104,'A1.3.2'!$B$27:$B$106,0)),"",(((VLOOKUP($B104,'Forecast occupancies'!$C$28:$CP$64,11,TRUE) -1) * VLOOKUP($B104,'A1.3.2'!$B$27:$AY$106,40,)) + VLOOKUP($B104,'A1.3.2'!$B$27:$AY$106,39,)) * $CR$5)</f>
        <v>64.432241537506769</v>
      </c>
      <c r="N104" s="1565">
        <f>IF(ISERROR(MATCH($B104,'A1.3.2'!$B$27:$B$106,0)),"",(VLOOKUP($B104,'Forecast occupancies'!$C$28:$CP$64,12,TRUE) * VLOOKUP($B104,'A1.3.2'!$B$27:$AY$106,49,)) * $CR$5)</f>
        <v>88.202919003464189</v>
      </c>
      <c r="O104" s="1565">
        <f>IF(ISERROR(MATCH($B104,'A1.3.2'!$B$27:$B$106,0)),"",(VLOOKUP($B104,'Forecast occupancies'!$C$28:$CP$64,13,TRUE) * VLOOKUP($B104,'A1.3.2'!$B$27:$AY$106,50,)) * $CR$5)</f>
        <v>175.08913755163985</v>
      </c>
      <c r="P104" s="1567">
        <f>IF(ISERROR(MATCH($B104,'A1.3.2'!$B$27:$B$106,0)),"",SUM(M104:O104))</f>
        <v>327.72429809261081</v>
      </c>
      <c r="Q104" s="1609">
        <f>IF(ISERROR(MATCH($B104,'A1.3.2'!$B$27:$B$106,0)),"",(((VLOOKUP($B104,'Forecast occupancies'!$C$28:$CP$64,15,TRUE)-1)*VLOOKUP($B104,'A1.3.2'!$B$27:$AY$106,36,)+VLOOKUP($B104,'A1.3.2'!$B$27:$AY$106,35,))*$CR$5))</f>
        <v>80.748610271769635</v>
      </c>
      <c r="R104" s="1565">
        <f>IF(ISERROR(MATCH($B104,'A1.3.2'!$B$27:$B$106,0)),"",VLOOKUP($B104,'Forecast occupancies'!$C$28:$CP$64,16,TRUE)*VLOOKUP($B104,'A1.3.2'!$B$27:$AY$106,49,)*$CR$5)</f>
        <v>45.130149566042661</v>
      </c>
      <c r="S104" s="1565">
        <f>IF(ISERROR(MATCH($B104,'A1.3.2'!$B$27:$B$106,0)),"",VLOOKUP($B104,'Forecast occupancies'!$C$28:$CP$64,17,TRUE)*VLOOKUP($B104,'A1.3.2'!$B$27:$AY$106,50,)*$CR$5)</f>
        <v>32.636843671258177</v>
      </c>
      <c r="T104" s="1566">
        <f>IF(ISERROR(MATCH($B104,'A1.3.2'!$B$27:$B$106,0)),"",(((Q104*'VoT5'!$E$28)+(R104*'VoT5'!$E$29)+(S104*'VoT5'!$E$30))/100))</f>
        <v>42.035758126834445</v>
      </c>
      <c r="U104" s="1565">
        <f>IF(ISERROR(MATCH($B104,'A1.3.2'!$B$27:$B$106,0)),"",(VLOOKUP($B104,'Forecast occupancies'!$C$28:$CP$64,19,TRUE) * VLOOKUP($B104, 'A1.3.2'!$B$27:$AY$106,37,)) * $CR$5)</f>
        <v>57.588090106888451</v>
      </c>
      <c r="V104" s="1565">
        <f>IF(ISERROR(MATCH($B104,'A1.3.2'!$B$27:$B$106,0)),"",VLOOKUP($B104,'Forecast occupancies'!$C$28:$CP$64,20,TRUE) * ('VoT5'!$J$29*VLOOKUP($B104, 'A1.3.2'!$B$27:$AY$106,49,)+'VoT5'!$J$30*VLOOKUP($B104, 'A1.3.2'!$B$27:$AY$106,50,))/('VoT5'!$J$29+'VoT5'!$J$30) * $CR$5)</f>
        <v>35.152952454729935</v>
      </c>
      <c r="W104" s="1566">
        <f>IF(ISERROR(MATCH($B104,'A1.3.2'!$B$27:$B$106,0)),"",(U104*'VoT5'!$E$31 + V104*'VoT5'!$E$32)/100)</f>
        <v>54.895873588629428</v>
      </c>
      <c r="X104" s="1566">
        <f>IF(ISERROR(MATCH($B104,'A1.3.2'!$B$27:$B$106,0)),"",(VLOOKUP($B104,'Forecast occupancies'!$C$28:$CP$64,22,TRUE)*VLOOKUP($B104,'A1.3.2'!$B$27:$AY$106,38,)) * $CR$5)</f>
        <v>56.543861621153965</v>
      </c>
      <c r="Y104" s="1566">
        <f>IF(ISERROR(MATCH($B104,'A1.3.2'!$B$27:$B$106,0)),"",(VLOOKUP($B104,'Forecast occupancies'!$C$28:$CP$64,23,TRUE)*VLOOKUP($B104,'A1.3.2'!$B$27:$AY$106,38,)) * $CR$5)</f>
        <v>56.543861621153965</v>
      </c>
      <c r="Z104" s="1565">
        <f>IF(ISERROR(MATCH($B104,'A1.3.2'!$B$27:$B$106,0)),"",(((VLOOKUP($B104,'Forecast occupancies'!$C$28:$CP$64,24,TRUE) -1) * VLOOKUP($B104,'A1.3.2'!$B$27:$AY$106,40,)) + VLOOKUP($B104,'A1.3.2'!$B$27:$AY$106,39,)) * $CR$5)</f>
        <v>65.747360885325847</v>
      </c>
      <c r="AA104" s="1565">
        <f>IF(ISERROR(MATCH($B104,'A1.3.2'!$B$27:$B$106,0)),"",(VLOOKUP($B104,'Forecast occupancies'!$C$28:$CP$64,25,TRUE) * VLOOKUP($B104,'A1.3.2'!$B$27:$AY$106,49,)) * $CR$5)</f>
        <v>30.912316360591571</v>
      </c>
      <c r="AB104" s="1565">
        <f>IF(ISERROR(MATCH($B104,'A1.3.2'!$B$27:$B$106,0)),"",(VLOOKUP($B104,'Forecast occupancies'!$C$28:$CP$64,26,TRUE) * VLOOKUP($B104,'A1.3.2'!$B$27:$AY$106,50,)) * $CR$5)</f>
        <v>200.64227608047744</v>
      </c>
      <c r="AC104" s="1567">
        <f>IF(ISERROR(MATCH($B104,'A1.3.2'!$B$27:$B$106,0)),"",SUM(Z104:AB104))</f>
        <v>297.30195332639488</v>
      </c>
      <c r="AD104" s="1609">
        <f>IF(ISERROR(MATCH($B104,'A1.3.2'!$B$27:$B$106,0)),"",(((VLOOKUP($B104,'Forecast occupancies'!$C$28:$CP$64,28,TRUE)-1)*VLOOKUP($B104,'A1.3.2'!$B$27:$AY$106,36,)+VLOOKUP($B104,'A1.3.2'!$B$27:$AY$106,35,))*$CR$5))</f>
        <v>79.937668098599659</v>
      </c>
      <c r="AE104" s="1565">
        <f>IF(ISERROR(MATCH($B104,'A1.3.2'!$B$27:$B$106,0)),"",VLOOKUP($B104,'Forecast occupancies'!$C$28:$CP$64,29,TRUE)*VLOOKUP($B104,'A1.3.2'!$B$27:$AY$106,49,)*$CR$5)</f>
        <v>44.561249491608415</v>
      </c>
      <c r="AF104" s="1565">
        <f>IF(ISERROR(MATCH($B104,'A1.3.2'!$B$27:$B$106,0)),"",VLOOKUP($B104,'Forecast occupancies'!$C$28:$CP$64,30,TRUE)*VLOOKUP($B104,'A1.3.2'!$B$27:$AY$106,50,)*$CR$5)</f>
        <v>32.08448288824615</v>
      </c>
      <c r="AG104" s="1566">
        <f>IF(ISERROR(MATCH($B104,'A1.3.2'!$B$27:$B$106,0)),"",(((AD104*'VoT5'!$F$28)+(AE104*'VoT5'!$F$29)+(AF104*'VoT5'!$F$30))/100))</f>
        <v>42.88311844805699</v>
      </c>
      <c r="AH104" s="1565">
        <f>IF(ISERROR(MATCH($B104,'A1.3.2'!$B$27:$B$106,0)),"",(VLOOKUP($B104,'Forecast occupancies'!$C$28:$CP$64,32,TRUE) * VLOOKUP($B104, 'A1.3.2'!$B$27:$AY$106,37,)) * $CR$5)</f>
        <v>57.588090106888451</v>
      </c>
      <c r="AI104" s="1565">
        <f>IF(ISERROR(MATCH($B104,'A1.3.2'!$B$27:$B$106,0)),"",VLOOKUP($B104,'Forecast occupancies'!$C$28:$CP$64,33,TRUE) * ('VoT5'!$J$29*VLOOKUP($B104, 'A1.3.2'!$B$27:$AY$106,49,)+'VoT5'!$J$30*VLOOKUP($B104, 'A1.3.2'!$B$27:$AY$106,50,))/('VoT5'!$J$29+'VoT5'!$J$30) * $CR$5)</f>
        <v>35.152952454729935</v>
      </c>
      <c r="AJ104" s="1566">
        <f>IF(ISERROR(MATCH($B104,'A1.3.2'!$B$27:$B$106,0)),"",(AH104*'VoT5'!$F$31 + AI104*'VoT5'!$F$32)/100)</f>
        <v>54.895873588629428</v>
      </c>
      <c r="AK104" s="1566">
        <f>IF(ISERROR(MATCH($B104,'A1.3.2'!$B$27:$B$106,0)),"",(VLOOKUP($B104,'Forecast occupancies'!$C$28:$CP$64,35,TRUE)*VLOOKUP($B104,'A1.3.2'!$B$27:$AY$106,38,)) * $CR$5)</f>
        <v>56.543861621153965</v>
      </c>
      <c r="AL104" s="1566">
        <f>IF(ISERROR(MATCH($B104,'A1.3.2'!$B$27:$B$106,0)),"",(VLOOKUP($B104,'Forecast occupancies'!$C$28:$CP$64,36,TRUE)*VLOOKUP($B104,'A1.3.2'!$B$27:$AY$106,38,)) * $CR$5)</f>
        <v>56.543861621153965</v>
      </c>
      <c r="AM104" s="1565">
        <f>IF(ISERROR(MATCH($B104,'A1.3.2'!$B$27:$B$106,0)),"",(((VLOOKUP($B104,'Forecast occupancies'!$C$28:$CP$64,37,TRUE) -1) * VLOOKUP($B104,'A1.3.2'!$B$27:$AY$106,40,)) + VLOOKUP($B104,'A1.3.2'!$B$27:$AY$106,39,)) * $CR$5)</f>
        <v>68.790614099798361</v>
      </c>
      <c r="AN104" s="1565">
        <f>IF(ISERROR(MATCH($B104,'A1.3.2'!$B$27:$B$106,0)),"",(VLOOKUP($B104,'Forecast occupancies'!$C$28:$CP$64,38,TRUE) * VLOOKUP($B104,'A1.3.2'!$B$27:$AY$106,49,)) * $CR$5)</f>
        <v>124.04660346407272</v>
      </c>
      <c r="AO104" s="1565">
        <f>IF(ISERROR(MATCH($B104,'A1.3.2'!$B$27:$B$106,0)),"",(VLOOKUP($B104,'Forecast occupancies'!$C$28:$CP$64,39,TRUE) * VLOOKUP($B104,'A1.3.2'!$B$27:$AY$106,50,)) * $CR$5)</f>
        <v>156.75379075039521</v>
      </c>
      <c r="AP104" s="1567">
        <f>IF(ISERROR(MATCH($B104,'A1.3.2'!$B$27:$B$106,0)),"",SUM(AM104:AO104))</f>
        <v>349.59100831426633</v>
      </c>
      <c r="AQ104" s="1609">
        <f>IF(ISERROR(MATCH($B104,'A1.3.2'!$B$27:$B$106,0)),"",(((VLOOKUP($B104,'Forecast occupancies'!$C$28:$CP$64,41,TRUE)-1)*VLOOKUP($B104,'A1.3.2'!$B$27:$AY$106,36,)+VLOOKUP($B104,'A1.3.2'!$B$27:$AY$106,35,))*$CR$5))</f>
        <v>81.450138513037558</v>
      </c>
      <c r="AR104" s="1565">
        <f>IF(ISERROR(MATCH($B104,'A1.3.2'!$B$27:$B$106,0)),"",VLOOKUP($B104,'Forecast occupancies'!$C$28:$CP$64,42,TRUE)*VLOOKUP($B104,'A1.3.2'!$B$27:$AY$106,49,)*$CR$5)</f>
        <v>45.213445817561521</v>
      </c>
      <c r="AS104" s="1565">
        <f>IF(ISERROR(MATCH($B104,'A1.3.2'!$B$27:$B$106,0)),"",VLOOKUP($B104,'Forecast occupancies'!$C$28:$CP$64,43,TRUE)*VLOOKUP($B104,'A1.3.2'!$B$27:$AY$106,50,)*$CR$5)</f>
        <v>31.969934248839156</v>
      </c>
      <c r="AT104" s="1566">
        <f>IF(ISERROR(MATCH($B104,'A1.3.2'!$B$27:$B$106,0)),"",(((AQ104*'VoT5'!$G$28)+(AR104*'VoT5'!$G$29)+(AS104*'VoT5'!$G$30))/100))</f>
        <v>43.446808457309224</v>
      </c>
      <c r="AU104" s="1565">
        <f>IF(ISERROR(MATCH($B104,'A1.3.2'!$B$27:$B$106,0)),"",(VLOOKUP($B104,'Forecast occupancies'!$C$28:$CP$64,45,TRUE) * VLOOKUP($B104, 'A1.3.2'!$B$27:$AY$106,37,)) * $CR$5)</f>
        <v>57.588090106888451</v>
      </c>
      <c r="AV104" s="1565">
        <f>IF(ISERROR(MATCH($B104,'A1.3.2'!$B$27:$B$106,0)),"",VLOOKUP($B104,'Forecast occupancies'!$C$28:$CP$64,46,TRUE) * ('VoT5'!$J$29*VLOOKUP($B104, 'A1.3.2'!$B$27:$AY$106,49,)+'VoT5'!$J$30*VLOOKUP($B104, 'A1.3.2'!$B$27:$AY$106,50,))/('VoT5'!$J$29+'VoT5'!$J$30) * $CR$5)</f>
        <v>35.152952454729935</v>
      </c>
      <c r="AW104" s="1566">
        <f>IF(ISERROR(MATCH($B104,'A1.3.2'!$B$27:$B$106,0)),"",(AU104*'VoT5'!$G$31 + AV104*'VoT5'!$G$32)/100)</f>
        <v>54.895873588629428</v>
      </c>
      <c r="AX104" s="1566">
        <f>IF(ISERROR(MATCH($B104,'A1.3.2'!$B$27:$B$106,0)),"",(VLOOKUP($B104,'Forecast occupancies'!$C$28:$CP$64,48,TRUE)*VLOOKUP($B104,'A1.3.2'!$B$27:$AY$106,38,)) * $CR$5)</f>
        <v>56.543861621153965</v>
      </c>
      <c r="AY104" s="1566">
        <f>IF(ISERROR(MATCH($B104,'A1.3.2'!$B$27:$B$106,0)),"",(VLOOKUP($B104,'Forecast occupancies'!$C$28:$CP$64,49,TRUE)*VLOOKUP($B104,'A1.3.2'!$B$27:$AY$106,38,)) * $CR$5)</f>
        <v>56.543861621153965</v>
      </c>
      <c r="AZ104" s="1565">
        <f>IF(ISERROR(MATCH($B104,'A1.3.2'!$B$27:$B$106,0)),"",(((VLOOKUP($B104,'Forecast occupancies'!$C$28:$CP$64,50,TRUE) -1) * VLOOKUP($B104,'A1.3.2'!$B$27:$AY$106,40,)) + VLOOKUP($B104,'A1.3.2'!$B$27:$AY$106,39,)) * $CR$5)</f>
        <v>68.734984977018385</v>
      </c>
      <c r="BA104" s="1565">
        <f>IF(ISERROR(MATCH($B104,'A1.3.2'!$B$27:$B$106,0)),"",(VLOOKUP($B104,'Forecast occupancies'!$C$28:$CP$64,51,TRUE) * VLOOKUP($B104,'A1.3.2'!$B$27:$AY$106,49,)) * $CR$5)</f>
        <v>169.56862567530985</v>
      </c>
      <c r="BB104" s="1565">
        <f>IF(ISERROR(MATCH($B104,'A1.3.2'!$B$27:$B$106,0)),"",(VLOOKUP($B104,'Forecast occupancies'!$C$28:$CP$64,52,TRUE) * VLOOKUP($B104,'A1.3.2'!$B$27:$AY$106,50,)) * $CR$5)</f>
        <v>136.00138479866274</v>
      </c>
      <c r="BC104" s="1567">
        <f>IF(ISERROR(MATCH($B104,'A1.3.2'!$B$27:$B$106,0)),"",SUM(AZ104:BB104))</f>
        <v>374.30499545099099</v>
      </c>
      <c r="BD104" s="1565">
        <f>IF(ISERROR(MATCH($B104,'A1.3.2'!$B$27:$B$106,0)),"",(((VLOOKUP($B104,'Forecast occupancies'!$C$28:$CP$64,54,TRUE)-1)*VLOOKUP($B104,'A1.3.2'!$B$27:$AY$106,36,)+VLOOKUP($B104,'A1.3.2'!$B$27:$AY$106,35,))*$CR$5))</f>
        <v>80.079900376796559</v>
      </c>
      <c r="BE104" s="1565">
        <f>IF(ISERROR(MATCH($B104,'A1.3.2'!$B$27:$B$106,0)),"",VLOOKUP($B104,'Forecast occupancies'!$C$28:$CP$64,55,TRUE)*VLOOKUP($B104,'A1.3.2'!$B$27:$AY$106,49,)*$CR$5)</f>
        <v>44.712758111017052</v>
      </c>
      <c r="BF104" s="1565">
        <f>IF(ISERROR(MATCH($B104,'A1.3.2'!$B$27:$B$106,0)),"",VLOOKUP($B104,'Forecast occupancies'!$C$28:$CP$64,56,TRUE)*VLOOKUP($B104,'A1.3.2'!$B$27:$AY$106,50,)*$CR$5)</f>
        <v>32.049368337879351</v>
      </c>
      <c r="BG104" s="1566">
        <f>IF(ISERROR(MATCH($B104,'A1.3.2'!$B$27:$B$106,0)),"",(((BD104*'VoT5'!$H$28)+(BE104*'VoT5'!$H$29)+(BF104*'VoT5'!$H$30))/100))</f>
        <v>43.13392077060908</v>
      </c>
      <c r="BH104" s="1565">
        <f>IF(ISERROR(MATCH($B104,'A1.3.2'!$B$27:$B$106,0)),"",(VLOOKUP($B104,'Forecast occupancies'!$C$28:$CP$64,58,TRUE) * VLOOKUP($B104, 'A1.3.2'!$B$27:$AY$106,37,)) * $CR$5)</f>
        <v>57.588090106888451</v>
      </c>
      <c r="BI104" s="1565">
        <f>IF(ISERROR(MATCH($B104,'A1.3.2'!$B$27:$B$106,0)),"",(VLOOKUP($B104,'Forecast occupancies'!$C$28:$CP$64,59,TRUE) * (VLOOKUP($B104,'A1.3.2'!$B$27:$AY$106,49,) * 'VoT5'!$J$29 + VLOOKUP($B104,'A1.3.2'!$B$27:$AY$106,50,) * 'VoT5'!$J$30) / (SUM('VoT5'!$J$29:$J$30))) * $CR$5)</f>
        <v>35.152952454729935</v>
      </c>
      <c r="BJ104" s="1566">
        <f>IF(ISERROR(MATCH($B104,'A1.3.2'!$B$27:$B$106,0)),"",(BH104*'VoT5'!$H$31 + BI104*'VoT5'!$H$32)/100)</f>
        <v>54.895873588629428</v>
      </c>
      <c r="BK104" s="1566">
        <f>IF(ISERROR(MATCH($B104,'A1.3.2'!$B$27:$B$106,0)),"",(VLOOKUP($B104,'Forecast occupancies'!$C$28:$CP$64,61,TRUE)*VLOOKUP($B104,'A1.3.2'!$B$27:$AY$106,38,)) * $CR$5)</f>
        <v>56.543861621153965</v>
      </c>
      <c r="BL104" s="1566">
        <f>IF(ISERROR(MATCH($B104,'A1.3.2'!$B$27:$B$106,0)),"",(VLOOKUP($B104,'Forecast occupancies'!$C$28:$CP$64,62,TRUE)*VLOOKUP($B104,'A1.3.2'!$B$27:$AY$106,38,)) * $CR$5)</f>
        <v>56.543861621153965</v>
      </c>
      <c r="BM104" s="1565">
        <f>IF(ISERROR(MATCH($B104,'A1.3.2'!$B$27:$B$106,0)),"",(((VLOOKUP($B104,'Forecast occupancies'!$C$28:$CP$64,63,TRUE) -1) * VLOOKUP($B104,'A1.3.2'!$B$27:$AY$106,40,)) + VLOOKUP($B104,'A1.3.2'!$B$27:$AY$106,39,)) * $CR$5)</f>
        <v>66.273671845139205</v>
      </c>
      <c r="BN104" s="1565">
        <f>IF(ISERROR(MATCH($B104,'A1.3.2'!$B$27:$B$106,0)),"",(VLOOKUP($B104,'Forecast occupancies'!$C$28:$CP$64,64,TRUE) * VLOOKUP($B104,'A1.3.2'!$B$27:$AY$106,49,)) * $CR$5)</f>
        <v>76.548958451481525</v>
      </c>
      <c r="BO104" s="1565">
        <f>IF(ISERROR(MATCH($B104,'A1.3.2'!$B$27:$B$106,0)),"",(VLOOKUP($B104,'Forecast occupancies'!$C$28:$CP$64,65,TRUE) * VLOOKUP($B104,'A1.3.2'!$B$27:$AY$106,50,)) * $CR$5)</f>
        <v>179.57381905133883</v>
      </c>
      <c r="BP104" s="1567">
        <f>IF(ISERROR(MATCH($B104,'A1.3.2'!$B$27:$B$106,0)),"",SUM(BM104:BO104))</f>
        <v>322.39644934795956</v>
      </c>
      <c r="BQ104" s="1565">
        <f>IF(ISERROR(MATCH($B104,'A1.3.2'!$B$27:$B$106,0)),"",(((VLOOKUP($B104,'Forecast occupancies'!$C$28:$CP$64,67,TRUE)-1)*VLOOKUP($B104,'A1.3.2'!$B$27:$AY$106,36,)+VLOOKUP($B104,'A1.3.2'!$B$27:$AY$106,35,))*$CR$5))</f>
        <v>91.521301409131993</v>
      </c>
      <c r="BR104" s="1565">
        <f>IF(ISERROR(MATCH($B104,'A1.3.2'!$B$27:$B$106,0)),"",VLOOKUP($B104,'Forecast occupancies'!$C$28:$CP$64,68,TRUE)*VLOOKUP($B104,'A1.3.2'!$B$27:$AY$106,49,)*$CR$5)</f>
        <v>47.339719042325619</v>
      </c>
      <c r="BS104" s="1565">
        <f>IF(ISERROR(MATCH($B104,'A1.3.2'!$B$27:$B$106,0)),"",VLOOKUP($B104,'Forecast occupancies'!$C$28:$CP$64,69,TRUE)*VLOOKUP($B104,'A1.3.2'!$B$27:$AY$106,50,)*$CR$5)</f>
        <v>37.947224701947306</v>
      </c>
      <c r="BT104" s="1566">
        <f>IF(ISERROR(MATCH($B104,'A1.3.2'!$B$27:$B$106,0)),"",(((BQ104*'VoT5'!$I$28)+(BR104*'VoT5'!$I$29)+(BS104*'VoT5'!$I$30))/100))</f>
        <v>40.549002714801233</v>
      </c>
      <c r="BU104" s="1565">
        <f>IF(ISERROR(MATCH($B104,'A1.3.2'!$B$27:$B$106,0)),"",(VLOOKUP($B104,'Forecast occupancies'!$C$28:$CP$64,71,TRUE) * VLOOKUP($B104, 'A1.3.2'!$B$27:$AY$106,37,)) * $CR$5)</f>
        <v>60.467494612232876</v>
      </c>
      <c r="BV104" s="1565">
        <f>IF(ISERROR(MATCH($B104,'A1.3.2'!$B$27:$B$106,0)),"",(VLOOKUP($B104,'Forecast occupancies'!$C$28:$CP$64,72,TRUE) * (VLOOKUP($B104,'A1.3.2'!$B$27:$AY$106,49,)*'VoT5'!$J$29 + VLOOKUP($B104,'A1.3.2'!$B$27:$AY$106,50,)*'VoT5'!$J$30) / (SUM('VoT5'!$J$29:$J$30))) * $CR$5)</f>
        <v>48.87705033089162</v>
      </c>
      <c r="BW104" s="1566">
        <f>IF(ISERROR(MATCH($B104,'A1.3.2'!$B$27:$B$106,0)),"",(BU104*'VoT5'!$I$31 + BV104*'VoT5'!$I$32)/100)</f>
        <v>59.076641298471934</v>
      </c>
      <c r="BX104" s="1566">
        <f>IF(ISERROR(MATCH($B104,'A1.3.2'!$B$27:$B$106,0)),"",(VLOOKUP($B104,'Forecast occupancies'!$C$28:$CP$64,74,TRUE)*VLOOKUP($B104,'A1.3.2'!$B$27:$AY$106,38,)) * $CR$5)</f>
        <v>56.543861621153965</v>
      </c>
      <c r="BY104" s="1566">
        <f>IF(ISERROR(MATCH($B104,'A1.3.2'!$B$27:$B$106,0)),"",(VLOOKUP($B104,'Forecast occupancies'!$C$28:$CP$64,75,TRUE)*VLOOKUP($B104,'A1.3.2'!$B$27:$AY$106,38,)) * $CR$5)</f>
        <v>56.543861621153965</v>
      </c>
      <c r="BZ104" s="1565">
        <f>IF(ISERROR(MATCH($B104,'A1.3.2'!$B$27:$B$106,0)),"",(((VLOOKUP($B104,'Forecast occupancies'!$C$28:$CP$64,76,TRUE) -1) * VLOOKUP($B104,'A1.3.2'!$B$27:$AY$106,40,)) + VLOOKUP($B104,'A1.3.2'!$B$27:$AY$106,39,)) * $CR$5)</f>
        <v>60.357705711336038</v>
      </c>
      <c r="CA104" s="1565">
        <f>IF(ISERROR(MATCH($B104,'A1.3.2'!$B$27:$B$106,0)),"",(VLOOKUP($B104,'Forecast occupancies'!$C$28:$CP$64,77,TRUE) * VLOOKUP($B104,'A1.3.2'!$B$27:$AY$106,49,)) * $CR$5)</f>
        <v>28.999699293567012</v>
      </c>
      <c r="CB104" s="1565">
        <f>IF(ISERROR(MATCH($B104,'A1.3.2'!$B$27:$B$106,0)),"",(VLOOKUP($B104,'Forecast occupancies'!$C$28:$CP$64,78,TRUE) * VLOOKUP($B104,'A1.3.2'!$B$27:$AY$106,50,)) * $CR$5)</f>
        <v>203.95784251328564</v>
      </c>
      <c r="CC104" s="1567">
        <f>IF(ISERROR(MATCH($B104,'A1.3.2'!$B$27:$B$106,0)),"",SUM(BZ104:CB104))</f>
        <v>293.3152475181887</v>
      </c>
      <c r="CD104" s="1565">
        <f>IF(ISERROR(MATCH($B104,'A1.3.2'!$B$27:$B$106,0)),"",(((VLOOKUP($B104,'Forecast occupancies'!$C$28:$CP$64,80,TRUE)-1)*VLOOKUP($B104,'A1.3.2'!$B$27:$AY$106,36,)+VLOOKUP($B104,'A1.3.2'!$B$27:$AY$106,35,))*$CR$5))</f>
        <v>80.89204302838499</v>
      </c>
      <c r="CE104" s="1565">
        <f>IF(ISERROR(MATCH($B104,'A1.3.2'!$B$27:$B$106,0)),"",VLOOKUP($B104,'Forecast occupancies'!$C$28:$CP$64,81,TRUE)*VLOOKUP($B104,'A1.3.2'!$B$27:$AY$106,49,)*$CR$5)</f>
        <v>44.925280981977309</v>
      </c>
      <c r="CF104" s="1565">
        <f>IF(ISERROR(MATCH($B104,'A1.3.2'!$B$27:$B$106,0)),"",VLOOKUP($B104,'Forecast occupancies'!$C$28:$CP$64,82,TRUE)*VLOOKUP($B104,'A1.3.2'!$B$27:$AY$106,50,)*$CR$5)</f>
        <v>34.130535617223366</v>
      </c>
      <c r="CG104" s="1566">
        <f>IF(ISERROR(MATCH($B104,'A1.3.2'!$B$27:$B$106,0)),"",(((CD104*'VoT5'!$J$28)+(CE104*'VoT5'!$J$29)+(CF104*'VoT5'!$J$30))/100))</f>
        <v>42.521048975535393</v>
      </c>
      <c r="CH104" s="1565">
        <f>IF(ISERROR(MATCH($B104,'A1.3.2'!$B$27:$B$106,0)),"",(VLOOKUP($B104,'Forecast occupancies'!$C$28:$CP$64,84,TRUE) * VLOOKUP($B104, 'A1.3.2'!$B$27:$AY$106,37,)) * $CR$5)</f>
        <v>57.588090106888451</v>
      </c>
      <c r="CI104" s="1565">
        <f>IF(ISERROR(MATCH($B104,'A1.3.2'!$B$27:$B$106,0)),"",(VLOOKUP($B104,'Forecast occupancies'!$C$28:$CP$64,85,TRUE) * (VLOOKUP($B104,'A1.3.2'!$B$27:$AY$106,49,)*'VoT5'!$J$29 + VLOOKUP($B104,'A1.3.2'!$B$27:$AY$106,50,)*'VoT5'!$J$30) / (SUM('VoT5'!$J$29:$J$30))) * $CR$5)</f>
        <v>38.283009865082605</v>
      </c>
      <c r="CJ104" s="1566">
        <f>IF(ISERROR(MATCH($B104,'A1.3.2'!$B$27:$B$106,0)),"",(CH104*'VoT5'!$J$31 + CI104*'VoT5'!$J$32)/100)</f>
        <v>55.271480477871755</v>
      </c>
      <c r="CK104" s="1566">
        <f>IF(ISERROR(MATCH($B104,'A1.3.2'!$B$27:$B$106,0)),"",(VLOOKUP($B104,'Forecast occupancies'!$C$28:$CP$64,87,TRUE)*VLOOKUP($B104,'A1.3.2'!$B$27:$AY$106,38,)) * $CR$5)</f>
        <v>56.543861621153965</v>
      </c>
      <c r="CL104" s="1566">
        <f>IF(ISERROR(MATCH($B104,'A1.3.2'!$B$27:$B$106,0)),"",(VLOOKUP($B104,'Forecast occupancies'!$C$28:$CP$64,88,TRUE)*VLOOKUP($B104,'A1.3.2'!$B$27:$AY$106,38,)) * $CR$5)</f>
        <v>56.543861621153965</v>
      </c>
      <c r="CM104" s="1565">
        <f>IF(ISERROR(MATCH($B104,'A1.3.2'!$B$27:$B$106,0)),"",(((VLOOKUP($B104,'Forecast occupancies'!$C$28:$CP$64,89,TRUE) -1) * VLOOKUP($B104,'A1.3.2'!$B$27:$AY$106,40,)) + VLOOKUP($B104,'A1.3.2'!$B$27:$AY$106,39,)) * $CR$5)</f>
        <v>64.812777842133585</v>
      </c>
      <c r="CN104" s="1565">
        <f>IF(ISERROR(MATCH($B104,'A1.3.2'!$B$27:$B$106,0)),"",(VLOOKUP($B104,'Forecast occupancies'!$C$28:$CP$64,90,TRUE) * VLOOKUP($B104,'A1.3.2'!$B$27:$AY$106,49,)) * $CR$5)</f>
        <v>64.804838806797051</v>
      </c>
      <c r="CO104" s="1565">
        <f>IF(ISERROR(MATCH($B104,'A1.3.2'!$B$27:$B$106,0)),"",(VLOOKUP($B104,'Forecast occupancies'!$C$28:$CP$64,91,TRUE) * VLOOKUP($B104,'A1.3.2'!$B$27:$AY$106,50,)) * $CR$5)</f>
        <v>185.59626455839842</v>
      </c>
      <c r="CP104" s="1567">
        <f>IF(ISERROR(MATCH($B104,'A1.3.2'!$B$27:$B$106,0)),"",SUM(CM104:CO104))</f>
        <v>315.21388120732905</v>
      </c>
    </row>
    <row r="105" spans="1:94" ht="13.5" customHeight="1">
      <c r="A105" s="113"/>
      <c r="B105" s="82">
        <f t="shared" si="1"/>
        <v>2087</v>
      </c>
      <c r="C105" s="26"/>
      <c r="D105" s="1609">
        <f>IF(ISERROR(MATCH($B105,'A1.3.2'!$B$27:$B$106,0)),"",(((VLOOKUP($B105,'Forecast occupancies'!$C$28:$CP$64,2,TRUE) -1) * VLOOKUP($B105,'A1.3.2'!$B$27:$AY$106,36,) + VLOOKUP($B105,'A1.3.2'!$B$27:$AY$106,35,)) * $CR$5))</f>
        <v>80.462389503145118</v>
      </c>
      <c r="E105" s="1565">
        <f>IF(ISERROR(MATCH($B105,'A1.3.2'!$B$27:$B$106,0)),"",VLOOKUP($B105,'Forecast occupancies'!$C$28:$CP$64,3,TRUE)*VLOOKUP($B105,'A1.3.2'!$B$27:$AY$106,49,)*$CR$5)</f>
        <v>45.344653637041866</v>
      </c>
      <c r="F105" s="1565">
        <f>IF(ISERROR(MATCH($B105,'A1.3.2'!$B$27:$B$106,0)),"",VLOOKUP($B105,'Forecast occupancies'!$C$28:$CP$64,4,TRUE)*VLOOKUP($B105,'A1.3.2'!$B$27:$AY$106,50,)*$CR$5)</f>
        <v>31.284298018025339</v>
      </c>
      <c r="G105" s="1566">
        <f>IF(ISERROR(MATCH($B105,'A1.3.2'!$B$27:$B$106,0)),"",(((D105*'VoT5'!$D$28)+(E105*'VoT5'!$D$29)+(F105*'VoT5'!$D$30))/100))</f>
        <v>45.574293421614186</v>
      </c>
      <c r="H105" s="1565">
        <f>IF(ISERROR(MATCH($B105,'A1.3.2'!$B$27:$B$106,0)),"",(VLOOKUP($B105,'Forecast occupancies'!$C$28:$CP$64,6,TRUE) * VLOOKUP($B105, 'A1.3.2'!$B$27:$AY$106,37,)) * $CR$5)</f>
        <v>58.802645274860431</v>
      </c>
      <c r="I105" s="1565">
        <f>IF(ISERROR(MATCH($B105,'A1.3.2'!$B$27:$B$106,0)),"",VLOOKUP($B105,'Forecast occupancies'!$C$28:$CP$64,7,TRUE) * ('VoT5'!$J$29*VLOOKUP($B105, 'A1.3.2'!$B$27:$AY$106,49,)+'VoT5'!$J$30*VLOOKUP($B105, 'A1.3.2'!$B$27:$AY$106,50,))/('VoT5'!$J$29+'VoT5'!$J$30) * $CR$5)</f>
        <v>35.894341863444808</v>
      </c>
      <c r="J105" s="1566">
        <f>IF(ISERROR(MATCH($B105,'A1.3.2'!$B$27:$B$106,0)),"",(H105*'VoT5'!$D$31 + I105*'VoT5'!$D$32)/100)</f>
        <v>56.053648865490558</v>
      </c>
      <c r="K105" s="1566">
        <f>IF(ISERROR(MATCH($B105,'A1.3.2'!$B$27:$B$106,0)),"",(VLOOKUP($B105,'Forecast occupancies'!$C$28:$CP$64,9,TRUE)*VLOOKUP($B105,'A1.3.2'!$B$27:$AY$106,38,)) * $CR$5)</f>
        <v>57.736393605138801</v>
      </c>
      <c r="L105" s="1566">
        <f>IF(ISERROR(MATCH($B105,'A1.3.2'!$B$27:$B$106,0)),"",(VLOOKUP($B105,'Forecast occupancies'!$C$28:$CP$64,10,TRUE)*VLOOKUP($B105,'A1.3.2'!$B$27:$AY$106,38,)) * $CR$5)</f>
        <v>57.736393605138801</v>
      </c>
      <c r="M105" s="1565">
        <f>IF(ISERROR(MATCH($B105,'A1.3.2'!$B$27:$B$106,0)),"",(((VLOOKUP($B105,'Forecast occupancies'!$C$28:$CP$64,11,TRUE) -1) * VLOOKUP($B105,'A1.3.2'!$B$27:$AY$106,40,)) + VLOOKUP($B105,'A1.3.2'!$B$27:$AY$106,39,)) * $CR$5)</f>
        <v>65.79114251508993</v>
      </c>
      <c r="N105" s="1565">
        <f>IF(ISERROR(MATCH($B105,'A1.3.2'!$B$27:$B$106,0)),"",(VLOOKUP($B105,'Forecast occupancies'!$C$28:$CP$64,12,TRUE) * VLOOKUP($B105,'A1.3.2'!$B$27:$AY$106,49,)) * $CR$5)</f>
        <v>90.063152793246658</v>
      </c>
      <c r="O105" s="1565">
        <f>IF(ISERROR(MATCH($B105,'A1.3.2'!$B$27:$B$106,0)),"",(VLOOKUP($B105,'Forecast occupancies'!$C$28:$CP$64,13,TRUE) * VLOOKUP($B105,'A1.3.2'!$B$27:$AY$106,50,)) * $CR$5)</f>
        <v>178.78183540764434</v>
      </c>
      <c r="P105" s="1567">
        <f>IF(ISERROR(MATCH($B105,'A1.3.2'!$B$27:$B$106,0)),"",SUM(M105:O105))</f>
        <v>334.63613071598093</v>
      </c>
      <c r="Q105" s="1609">
        <f>IF(ISERROR(MATCH($B105,'A1.3.2'!$B$27:$B$106,0)),"",(((VLOOKUP($B105,'Forecast occupancies'!$C$28:$CP$64,15,TRUE)-1)*VLOOKUP($B105,'A1.3.2'!$B$27:$AY$106,36,)+VLOOKUP($B105,'A1.3.2'!$B$27:$AY$106,35,))*$CR$5))</f>
        <v>82.451629797683751</v>
      </c>
      <c r="R105" s="1565">
        <f>IF(ISERROR(MATCH($B105,'A1.3.2'!$B$27:$B$106,0)),"",VLOOKUP($B105,'Forecast occupancies'!$C$28:$CP$64,16,TRUE)*VLOOKUP($B105,'A1.3.2'!$B$27:$AY$106,49,)*$CR$5)</f>
        <v>46.081961933583372</v>
      </c>
      <c r="S105" s="1565">
        <f>IF(ISERROR(MATCH($B105,'A1.3.2'!$B$27:$B$106,0)),"",VLOOKUP($B105,'Forecast occupancies'!$C$28:$CP$64,17,TRUE)*VLOOKUP($B105,'A1.3.2'!$B$27:$AY$106,50,)*$CR$5)</f>
        <v>33.325167369329186</v>
      </c>
      <c r="T105" s="1566">
        <f>IF(ISERROR(MATCH($B105,'A1.3.2'!$B$27:$B$106,0)),"",(((Q105*'VoT5'!$E$28)+(R105*'VoT5'!$E$29)+(S105*'VoT5'!$E$30))/100))</f>
        <v>42.922308578113601</v>
      </c>
      <c r="U105" s="1565">
        <f>IF(ISERROR(MATCH($B105,'A1.3.2'!$B$27:$B$106,0)),"",(VLOOKUP($B105,'Forecast occupancies'!$C$28:$CP$64,19,TRUE) * VLOOKUP($B105, 'A1.3.2'!$B$27:$AY$106,37,)) * $CR$5)</f>
        <v>58.802645274860431</v>
      </c>
      <c r="V105" s="1565">
        <f>IF(ISERROR(MATCH($B105,'A1.3.2'!$B$27:$B$106,0)),"",VLOOKUP($B105,'Forecast occupancies'!$C$28:$CP$64,20,TRUE) * ('VoT5'!$J$29*VLOOKUP($B105, 'A1.3.2'!$B$27:$AY$106,49,)+'VoT5'!$J$30*VLOOKUP($B105, 'A1.3.2'!$B$27:$AY$106,50,))/('VoT5'!$J$29+'VoT5'!$J$30) * $CR$5)</f>
        <v>35.894341863444808</v>
      </c>
      <c r="W105" s="1566">
        <f>IF(ISERROR(MATCH($B105,'A1.3.2'!$B$27:$B$106,0)),"",(U105*'VoT5'!$E$31 + V105*'VoT5'!$E$32)/100)</f>
        <v>56.053648865490558</v>
      </c>
      <c r="X105" s="1566">
        <f>IF(ISERROR(MATCH($B105,'A1.3.2'!$B$27:$B$106,0)),"",(VLOOKUP($B105,'Forecast occupancies'!$C$28:$CP$64,22,TRUE)*VLOOKUP($B105,'A1.3.2'!$B$27:$AY$106,38,)) * $CR$5)</f>
        <v>57.736393605138801</v>
      </c>
      <c r="Y105" s="1566">
        <f>IF(ISERROR(MATCH($B105,'A1.3.2'!$B$27:$B$106,0)),"",(VLOOKUP($B105,'Forecast occupancies'!$C$28:$CP$64,23,TRUE)*VLOOKUP($B105,'A1.3.2'!$B$27:$AY$106,38,)) * $CR$5)</f>
        <v>57.736393605138801</v>
      </c>
      <c r="Z105" s="1565">
        <f>IF(ISERROR(MATCH($B105,'A1.3.2'!$B$27:$B$106,0)),"",(((VLOOKUP($B105,'Forecast occupancies'!$C$28:$CP$64,24,TRUE) -1) * VLOOKUP($B105,'A1.3.2'!$B$27:$AY$106,40,)) + VLOOKUP($B105,'A1.3.2'!$B$27:$AY$106,39,)) * $CR$5)</f>
        <v>67.133998240299334</v>
      </c>
      <c r="AA105" s="1565">
        <f>IF(ISERROR(MATCH($B105,'A1.3.2'!$B$27:$B$106,0)),"",(VLOOKUP($B105,'Forecast occupancies'!$C$28:$CP$64,25,TRUE) * VLOOKUP($B105,'A1.3.2'!$B$27:$AY$106,49,)) * $CR$5)</f>
        <v>31.564269108461051</v>
      </c>
      <c r="AB105" s="1565">
        <f>IF(ISERROR(MATCH($B105,'A1.3.2'!$B$27:$B$106,0)),"",(VLOOKUP($B105,'Forecast occupancies'!$C$28:$CP$64,26,TRUE) * VLOOKUP($B105,'A1.3.2'!$B$27:$AY$106,50,)) * $CR$5)</f>
        <v>204.87389954419871</v>
      </c>
      <c r="AC105" s="1567">
        <f>IF(ISERROR(MATCH($B105,'A1.3.2'!$B$27:$B$106,0)),"",SUM(Z105:AB105))</f>
        <v>303.5721668929591</v>
      </c>
      <c r="AD105" s="1609">
        <f>IF(ISERROR(MATCH($B105,'A1.3.2'!$B$27:$B$106,0)),"",(((VLOOKUP($B105,'Forecast occupancies'!$C$28:$CP$64,28,TRUE)-1)*VLOOKUP($B105,'A1.3.2'!$B$27:$AY$106,36,)+VLOOKUP($B105,'A1.3.2'!$B$27:$AY$106,35,))*$CR$5))</f>
        <v>81.623584539387622</v>
      </c>
      <c r="AE105" s="1565">
        <f>IF(ISERROR(MATCH($B105,'A1.3.2'!$B$27:$B$106,0)),"",VLOOKUP($B105,'Forecast occupancies'!$C$28:$CP$64,29,TRUE)*VLOOKUP($B105,'A1.3.2'!$B$27:$AY$106,49,)*$CR$5)</f>
        <v>45.501063535812108</v>
      </c>
      <c r="AF105" s="1565">
        <f>IF(ISERROR(MATCH($B105,'A1.3.2'!$B$27:$B$106,0)),"",VLOOKUP($B105,'Forecast occupancies'!$C$28:$CP$64,30,TRUE)*VLOOKUP($B105,'A1.3.2'!$B$27:$AY$106,50,)*$CR$5)</f>
        <v>32.761157083054471</v>
      </c>
      <c r="AG105" s="1566">
        <f>IF(ISERROR(MATCH($B105,'A1.3.2'!$B$27:$B$106,0)),"",(((AD105*'VoT5'!$F$28)+(AE105*'VoT5'!$F$29)+(AF105*'VoT5'!$F$30))/100))</f>
        <v>43.787540057337139</v>
      </c>
      <c r="AH105" s="1565">
        <f>IF(ISERROR(MATCH($B105,'A1.3.2'!$B$27:$B$106,0)),"",(VLOOKUP($B105,'Forecast occupancies'!$C$28:$CP$64,32,TRUE) * VLOOKUP($B105, 'A1.3.2'!$B$27:$AY$106,37,)) * $CR$5)</f>
        <v>58.802645274860431</v>
      </c>
      <c r="AI105" s="1565">
        <f>IF(ISERROR(MATCH($B105,'A1.3.2'!$B$27:$B$106,0)),"",VLOOKUP($B105,'Forecast occupancies'!$C$28:$CP$64,33,TRUE) * ('VoT5'!$J$29*VLOOKUP($B105, 'A1.3.2'!$B$27:$AY$106,49,)+'VoT5'!$J$30*VLOOKUP($B105, 'A1.3.2'!$B$27:$AY$106,50,))/('VoT5'!$J$29+'VoT5'!$J$30) * $CR$5)</f>
        <v>35.894341863444808</v>
      </c>
      <c r="AJ105" s="1566">
        <f>IF(ISERROR(MATCH($B105,'A1.3.2'!$B$27:$B$106,0)),"",(AH105*'VoT5'!$F$31 + AI105*'VoT5'!$F$32)/100)</f>
        <v>56.053648865490558</v>
      </c>
      <c r="AK105" s="1566">
        <f>IF(ISERROR(MATCH($B105,'A1.3.2'!$B$27:$B$106,0)),"",(VLOOKUP($B105,'Forecast occupancies'!$C$28:$CP$64,35,TRUE)*VLOOKUP($B105,'A1.3.2'!$B$27:$AY$106,38,)) * $CR$5)</f>
        <v>57.736393605138801</v>
      </c>
      <c r="AL105" s="1566">
        <f>IF(ISERROR(MATCH($B105,'A1.3.2'!$B$27:$B$106,0)),"",(VLOOKUP($B105,'Forecast occupancies'!$C$28:$CP$64,36,TRUE)*VLOOKUP($B105,'A1.3.2'!$B$27:$AY$106,38,)) * $CR$5)</f>
        <v>57.736393605138801</v>
      </c>
      <c r="AM105" s="1565">
        <f>IF(ISERROR(MATCH($B105,'A1.3.2'!$B$27:$B$106,0)),"",(((VLOOKUP($B105,'Forecast occupancies'!$C$28:$CP$64,37,TRUE) -1) * VLOOKUP($B105,'A1.3.2'!$B$27:$AY$106,40,)) + VLOOKUP($B105,'A1.3.2'!$B$27:$AY$106,39,)) * $CR$5)</f>
        <v>70.241434846029051</v>
      </c>
      <c r="AN105" s="1565">
        <f>IF(ISERROR(MATCH($B105,'A1.3.2'!$B$27:$B$106,0)),"",(VLOOKUP($B105,'Forecast occupancies'!$C$28:$CP$64,38,TRUE) * VLOOKUP($B105,'A1.3.2'!$B$27:$AY$106,49,)) * $CR$5)</f>
        <v>126.66279446861931</v>
      </c>
      <c r="AO105" s="1565">
        <f>IF(ISERROR(MATCH($B105,'A1.3.2'!$B$27:$B$106,0)),"",(VLOOKUP($B105,'Forecast occupancies'!$C$28:$CP$64,39,TRUE) * VLOOKUP($B105,'A1.3.2'!$B$27:$AY$106,50,)) * $CR$5)</f>
        <v>160.05978902715205</v>
      </c>
      <c r="AP105" s="1567">
        <f>IF(ISERROR(MATCH($B105,'A1.3.2'!$B$27:$B$106,0)),"",SUM(AM105:AO105))</f>
        <v>356.9640183418004</v>
      </c>
      <c r="AQ105" s="1609">
        <f>IF(ISERROR(MATCH($B105,'A1.3.2'!$B$27:$B$106,0)),"",(((VLOOKUP($B105,'Forecast occupancies'!$C$28:$CP$64,41,TRUE)-1)*VLOOKUP($B105,'A1.3.2'!$B$27:$AY$106,36,)+VLOOKUP($B105,'A1.3.2'!$B$27:$AY$106,35,))*$CR$5))</f>
        <v>83.167953541794859</v>
      </c>
      <c r="AR105" s="1565">
        <f>IF(ISERROR(MATCH($B105,'A1.3.2'!$B$27:$B$106,0)),"",VLOOKUP($B105,'Forecast occupancies'!$C$28:$CP$64,42,TRUE)*VLOOKUP($B105,'A1.3.2'!$B$27:$AY$106,49,)*$CR$5)</f>
        <v>46.167014935370688</v>
      </c>
      <c r="AS105" s="1565">
        <f>IF(ISERROR(MATCH($B105,'A1.3.2'!$B$27:$B$106,0)),"",VLOOKUP($B105,'Forecast occupancies'!$C$28:$CP$64,43,TRUE)*VLOOKUP($B105,'A1.3.2'!$B$27:$AY$106,50,)*$CR$5)</f>
        <v>32.644192568390672</v>
      </c>
      <c r="AT105" s="1566">
        <f>IF(ISERROR(MATCH($B105,'A1.3.2'!$B$27:$B$106,0)),"",(((AQ105*'VoT5'!$G$28)+(AR105*'VoT5'!$G$29)+(AS105*'VoT5'!$G$30))/100))</f>
        <v>44.363118507629878</v>
      </c>
      <c r="AU105" s="1565">
        <f>IF(ISERROR(MATCH($B105,'A1.3.2'!$B$27:$B$106,0)),"",(VLOOKUP($B105,'Forecast occupancies'!$C$28:$CP$64,45,TRUE) * VLOOKUP($B105, 'A1.3.2'!$B$27:$AY$106,37,)) * $CR$5)</f>
        <v>58.802645274860431</v>
      </c>
      <c r="AV105" s="1565">
        <f>IF(ISERROR(MATCH($B105,'A1.3.2'!$B$27:$B$106,0)),"",VLOOKUP($B105,'Forecast occupancies'!$C$28:$CP$64,46,TRUE) * ('VoT5'!$J$29*VLOOKUP($B105, 'A1.3.2'!$B$27:$AY$106,49,)+'VoT5'!$J$30*VLOOKUP($B105, 'A1.3.2'!$B$27:$AY$106,50,))/('VoT5'!$J$29+'VoT5'!$J$30) * $CR$5)</f>
        <v>35.894341863444808</v>
      </c>
      <c r="AW105" s="1566">
        <f>IF(ISERROR(MATCH($B105,'A1.3.2'!$B$27:$B$106,0)),"",(AU105*'VoT5'!$G$31 + AV105*'VoT5'!$G$32)/100)</f>
        <v>56.053648865490558</v>
      </c>
      <c r="AX105" s="1566">
        <f>IF(ISERROR(MATCH($B105,'A1.3.2'!$B$27:$B$106,0)),"",(VLOOKUP($B105,'Forecast occupancies'!$C$28:$CP$64,48,TRUE)*VLOOKUP($B105,'A1.3.2'!$B$27:$AY$106,38,)) * $CR$5)</f>
        <v>57.736393605138801</v>
      </c>
      <c r="AY105" s="1566">
        <f>IF(ISERROR(MATCH($B105,'A1.3.2'!$B$27:$B$106,0)),"",(VLOOKUP($B105,'Forecast occupancies'!$C$28:$CP$64,49,TRUE)*VLOOKUP($B105,'A1.3.2'!$B$27:$AY$106,38,)) * $CR$5)</f>
        <v>57.736393605138801</v>
      </c>
      <c r="AZ105" s="1565">
        <f>IF(ISERROR(MATCH($B105,'A1.3.2'!$B$27:$B$106,0)),"",(((VLOOKUP($B105,'Forecast occupancies'!$C$28:$CP$64,50,TRUE) -1) * VLOOKUP($B105,'A1.3.2'!$B$27:$AY$106,40,)) + VLOOKUP($B105,'A1.3.2'!$B$27:$AY$106,39,)) * $CR$5)</f>
        <v>70.184632483462224</v>
      </c>
      <c r="BA105" s="1565">
        <f>IF(ISERROR(MATCH($B105,'A1.3.2'!$B$27:$B$106,0)),"",(VLOOKUP($B105,'Forecast occupancies'!$C$28:$CP$64,51,TRUE) * VLOOKUP($B105,'A1.3.2'!$B$27:$AY$106,49,)) * $CR$5)</f>
        <v>173.14489379355427</v>
      </c>
      <c r="BB105" s="1565">
        <f>IF(ISERROR(MATCH($B105,'A1.3.2'!$B$27:$B$106,0)),"",(VLOOKUP($B105,'Forecast occupancies'!$C$28:$CP$64,52,TRUE) * VLOOKUP($B105,'A1.3.2'!$B$27:$AY$106,50,)) * $CR$5)</f>
        <v>138.86970678072484</v>
      </c>
      <c r="BC105" s="1567">
        <f>IF(ISERROR(MATCH($B105,'A1.3.2'!$B$27:$B$106,0)),"",SUM(AZ105:BB105))</f>
        <v>382.19923305774137</v>
      </c>
      <c r="BD105" s="1565">
        <f>IF(ISERROR(MATCH($B105,'A1.3.2'!$B$27:$B$106,0)),"",(((VLOOKUP($B105,'Forecast occupancies'!$C$28:$CP$64,54,TRUE)-1)*VLOOKUP($B105,'A1.3.2'!$B$27:$AY$106,36,)+VLOOKUP($B105,'A1.3.2'!$B$27:$AY$106,35,))*$CR$5))</f>
        <v>81.768816551526314</v>
      </c>
      <c r="BE105" s="1565">
        <f>IF(ISERROR(MATCH($B105,'A1.3.2'!$B$27:$B$106,0)),"",VLOOKUP($B105,'Forecast occupancies'!$C$28:$CP$64,55,TRUE)*VLOOKUP($B105,'A1.3.2'!$B$27:$AY$106,49,)*$CR$5)</f>
        <v>45.655767530798471</v>
      </c>
      <c r="BF105" s="1565">
        <f>IF(ISERROR(MATCH($B105,'A1.3.2'!$B$27:$B$106,0)),"",VLOOKUP($B105,'Forecast occupancies'!$C$28:$CP$64,56,TRUE)*VLOOKUP($B105,'A1.3.2'!$B$27:$AY$106,50,)*$CR$5)</f>
        <v>32.725301953193892</v>
      </c>
      <c r="BG105" s="1566">
        <f>IF(ISERROR(MATCH($B105,'A1.3.2'!$B$27:$B$106,0)),"",(((BD105*'VoT5'!$H$28)+(BE105*'VoT5'!$H$29)+(BF105*'VoT5'!$H$30))/100))</f>
        <v>44.043631898198129</v>
      </c>
      <c r="BH105" s="1565">
        <f>IF(ISERROR(MATCH($B105,'A1.3.2'!$B$27:$B$106,0)),"",(VLOOKUP($B105,'Forecast occupancies'!$C$28:$CP$64,58,TRUE) * VLOOKUP($B105, 'A1.3.2'!$B$27:$AY$106,37,)) * $CR$5)</f>
        <v>58.802645274860431</v>
      </c>
      <c r="BI105" s="1565">
        <f>IF(ISERROR(MATCH($B105,'A1.3.2'!$B$27:$B$106,0)),"",(VLOOKUP($B105,'Forecast occupancies'!$C$28:$CP$64,59,TRUE) * (VLOOKUP($B105,'A1.3.2'!$B$27:$AY$106,49,) * 'VoT5'!$J$29 + VLOOKUP($B105,'A1.3.2'!$B$27:$AY$106,50,) * 'VoT5'!$J$30) / (SUM('VoT5'!$J$29:$J$30))) * $CR$5)</f>
        <v>35.894341863444808</v>
      </c>
      <c r="BJ105" s="1566">
        <f>IF(ISERROR(MATCH($B105,'A1.3.2'!$B$27:$B$106,0)),"",(BH105*'VoT5'!$H$31 + BI105*'VoT5'!$H$32)/100)</f>
        <v>56.053648865490558</v>
      </c>
      <c r="BK105" s="1566">
        <f>IF(ISERROR(MATCH($B105,'A1.3.2'!$B$27:$B$106,0)),"",(VLOOKUP($B105,'Forecast occupancies'!$C$28:$CP$64,61,TRUE)*VLOOKUP($B105,'A1.3.2'!$B$27:$AY$106,38,)) * $CR$5)</f>
        <v>57.736393605138801</v>
      </c>
      <c r="BL105" s="1566">
        <f>IF(ISERROR(MATCH($B105,'A1.3.2'!$B$27:$B$106,0)),"",(VLOOKUP($B105,'Forecast occupancies'!$C$28:$CP$64,62,TRUE)*VLOOKUP($B105,'A1.3.2'!$B$27:$AY$106,38,)) * $CR$5)</f>
        <v>57.736393605138801</v>
      </c>
      <c r="BM105" s="1565">
        <f>IF(ISERROR(MATCH($B105,'A1.3.2'!$B$27:$B$106,0)),"",(((VLOOKUP($B105,'Forecast occupancies'!$C$28:$CP$64,63,TRUE) -1) * VLOOKUP($B105,'A1.3.2'!$B$27:$AY$106,40,)) + VLOOKUP($B105,'A1.3.2'!$B$27:$AY$106,39,)) * $CR$5)</f>
        <v>67.671409302495235</v>
      </c>
      <c r="BN105" s="1565">
        <f>IF(ISERROR(MATCH($B105,'A1.3.2'!$B$27:$B$106,0)),"",(VLOOKUP($B105,'Forecast occupancies'!$C$28:$CP$64,64,TRUE) * VLOOKUP($B105,'A1.3.2'!$B$27:$AY$106,49,)) * $CR$5)</f>
        <v>78.163405690790086</v>
      </c>
      <c r="BO105" s="1565">
        <f>IF(ISERROR(MATCH($B105,'A1.3.2'!$B$27:$B$106,0)),"",(VLOOKUP($B105,'Forecast occupancies'!$C$28:$CP$64,65,TRUE) * VLOOKUP($B105,'A1.3.2'!$B$27:$AY$106,50,)) * $CR$5)</f>
        <v>183.36110058049618</v>
      </c>
      <c r="BP105" s="1567">
        <f>IF(ISERROR(MATCH($B105,'A1.3.2'!$B$27:$B$106,0)),"",SUM(BM105:BO105))</f>
        <v>329.19591557378146</v>
      </c>
      <c r="BQ105" s="1565">
        <f>IF(ISERROR(MATCH($B105,'A1.3.2'!$B$27:$B$106,0)),"",(((VLOOKUP($B105,'Forecast occupancies'!$C$28:$CP$64,67,TRUE)-1)*VLOOKUP($B105,'A1.3.2'!$B$27:$AY$106,36,)+VLOOKUP($B105,'A1.3.2'!$B$27:$AY$106,35,))*$CR$5))</f>
        <v>93.451521171580509</v>
      </c>
      <c r="BR105" s="1565">
        <f>IF(ISERROR(MATCH($B105,'A1.3.2'!$B$27:$B$106,0)),"",VLOOKUP($B105,'Forecast occupancies'!$C$28:$CP$64,68,TRUE)*VLOOKUP($B105,'A1.3.2'!$B$27:$AY$106,49,)*$CR$5)</f>
        <v>48.338132087566031</v>
      </c>
      <c r="BS105" s="1565">
        <f>IF(ISERROR(MATCH($B105,'A1.3.2'!$B$27:$B$106,0)),"",VLOOKUP($B105,'Forecast occupancies'!$C$28:$CP$64,69,TRUE)*VLOOKUP($B105,'A1.3.2'!$B$27:$AY$106,50,)*$CR$5)</f>
        <v>38.747546396700493</v>
      </c>
      <c r="BT105" s="1566">
        <f>IF(ISERROR(MATCH($B105,'A1.3.2'!$B$27:$B$106,0)),"",(((BQ105*'VoT5'!$I$28)+(BR105*'VoT5'!$I$29)+(BS105*'VoT5'!$I$30))/100))</f>
        <v>41.404196917490736</v>
      </c>
      <c r="BU105" s="1565">
        <f>IF(ISERROR(MATCH($B105,'A1.3.2'!$B$27:$B$106,0)),"",(VLOOKUP($B105,'Forecast occupancies'!$C$28:$CP$64,71,TRUE) * VLOOKUP($B105, 'A1.3.2'!$B$27:$AY$106,37,)) * $CR$5)</f>
        <v>61.742777538603455</v>
      </c>
      <c r="BV105" s="1565">
        <f>IF(ISERROR(MATCH($B105,'A1.3.2'!$B$27:$B$106,0)),"",(VLOOKUP($B105,'Forecast occupancies'!$C$28:$CP$64,72,TRUE) * (VLOOKUP($B105,'A1.3.2'!$B$27:$AY$106,49,)*'VoT5'!$J$29 + VLOOKUP($B105,'A1.3.2'!$B$27:$AY$106,50,)*'VoT5'!$J$30) / (SUM('VoT5'!$J$29:$J$30))) * $CR$5)</f>
        <v>49.907886289584219</v>
      </c>
      <c r="BW105" s="1566">
        <f>IF(ISERROR(MATCH($B105,'A1.3.2'!$B$27:$B$106,0)),"",(BU105*'VoT5'!$I$31 + BV105*'VoT5'!$I$32)/100)</f>
        <v>60.322590588721148</v>
      </c>
      <c r="BX105" s="1566">
        <f>IF(ISERROR(MATCH($B105,'A1.3.2'!$B$27:$B$106,0)),"",(VLOOKUP($B105,'Forecast occupancies'!$C$28:$CP$64,74,TRUE)*VLOOKUP($B105,'A1.3.2'!$B$27:$AY$106,38,)) * $CR$5)</f>
        <v>57.736393605138801</v>
      </c>
      <c r="BY105" s="1566">
        <f>IF(ISERROR(MATCH($B105,'A1.3.2'!$B$27:$B$106,0)),"",(VLOOKUP($B105,'Forecast occupancies'!$C$28:$CP$64,75,TRUE)*VLOOKUP($B105,'A1.3.2'!$B$27:$AY$106,38,)) * $CR$5)</f>
        <v>57.736393605138801</v>
      </c>
      <c r="BZ105" s="1565">
        <f>IF(ISERROR(MATCH($B105,'A1.3.2'!$B$27:$B$106,0)),"",(((VLOOKUP($B105,'Forecast occupancies'!$C$28:$CP$64,76,TRUE) -1) * VLOOKUP($B105,'A1.3.2'!$B$27:$AY$106,40,)) + VLOOKUP($B105,'A1.3.2'!$B$27:$AY$106,39,)) * $CR$5)</f>
        <v>61.630673147182051</v>
      </c>
      <c r="CA105" s="1565">
        <f>IF(ISERROR(MATCH($B105,'A1.3.2'!$B$27:$B$106,0)),"",(VLOOKUP($B105,'Forecast occupancies'!$C$28:$CP$64,77,TRUE) * VLOOKUP($B105,'A1.3.2'!$B$27:$AY$106,49,)) * $CR$5)</f>
        <v>29.611314205283314</v>
      </c>
      <c r="CB105" s="1565">
        <f>IF(ISERROR(MATCH($B105,'A1.3.2'!$B$27:$B$106,0)),"",(VLOOKUP($B105,'Forecast occupancies'!$C$28:$CP$64,78,TRUE) * VLOOKUP($B105,'A1.3.2'!$B$27:$AY$106,50,)) * $CR$5)</f>
        <v>208.25939255971261</v>
      </c>
      <c r="CC105" s="1567">
        <f>IF(ISERROR(MATCH($B105,'A1.3.2'!$B$27:$B$106,0)),"",SUM(BZ105:CB105))</f>
        <v>299.50137991217798</v>
      </c>
      <c r="CD105" s="1565">
        <f>IF(ISERROR(MATCH($B105,'A1.3.2'!$B$27:$B$106,0)),"",(((VLOOKUP($B105,'Forecast occupancies'!$C$28:$CP$64,80,TRUE)-1)*VLOOKUP($B105,'A1.3.2'!$B$27:$AY$106,36,)+VLOOKUP($B105,'A1.3.2'!$B$27:$AY$106,35,))*$CR$5))</f>
        <v>82.598087606796597</v>
      </c>
      <c r="CE105" s="1565">
        <f>IF(ISERROR(MATCH($B105,'A1.3.2'!$B$27:$B$106,0)),"",VLOOKUP($B105,'Forecast occupancies'!$C$28:$CP$64,81,TRUE)*VLOOKUP($B105,'A1.3.2'!$B$27:$AY$106,49,)*$CR$5)</f>
        <v>45.872772591578837</v>
      </c>
      <c r="CF105" s="1565">
        <f>IF(ISERROR(MATCH($B105,'A1.3.2'!$B$27:$B$106,0)),"",VLOOKUP($B105,'Forecast occupancies'!$C$28:$CP$64,82,TRUE)*VLOOKUP($B105,'A1.3.2'!$B$27:$AY$106,50,)*$CR$5)</f>
        <v>34.850361858076454</v>
      </c>
      <c r="CG105" s="1566">
        <f>IF(ISERROR(MATCH($B105,'A1.3.2'!$B$27:$B$106,0)),"",(((CD105*'VoT5'!$J$28)+(CE105*'VoT5'!$J$29)+(CF105*'VoT5'!$J$30))/100))</f>
        <v>43.417834399135494</v>
      </c>
      <c r="CH105" s="1565">
        <f>IF(ISERROR(MATCH($B105,'A1.3.2'!$B$27:$B$106,0)),"",(VLOOKUP($B105,'Forecast occupancies'!$C$28:$CP$64,84,TRUE) * VLOOKUP($B105, 'A1.3.2'!$B$27:$AY$106,37,)) * $CR$5)</f>
        <v>58.802645274860431</v>
      </c>
      <c r="CI105" s="1565">
        <f>IF(ISERROR(MATCH($B105,'A1.3.2'!$B$27:$B$106,0)),"",(VLOOKUP($B105,'Forecast occupancies'!$C$28:$CP$64,85,TRUE) * (VLOOKUP($B105,'A1.3.2'!$B$27:$AY$106,49,)*'VoT5'!$J$29 + VLOOKUP($B105,'A1.3.2'!$B$27:$AY$106,50,)*'VoT5'!$J$30) / (SUM('VoT5'!$J$29:$J$30))) * $CR$5)</f>
        <v>39.090413399230997</v>
      </c>
      <c r="CJ105" s="1566">
        <f>IF(ISERROR(MATCH($B105,'A1.3.2'!$B$27:$B$106,0)),"",(CH105*'VoT5'!$J$31 + CI105*'VoT5'!$J$32)/100)</f>
        <v>56.437177449784905</v>
      </c>
      <c r="CK105" s="1566">
        <f>IF(ISERROR(MATCH($B105,'A1.3.2'!$B$27:$B$106,0)),"",(VLOOKUP($B105,'Forecast occupancies'!$C$28:$CP$64,87,TRUE)*VLOOKUP($B105,'A1.3.2'!$B$27:$AY$106,38,)) * $CR$5)</f>
        <v>57.736393605138801</v>
      </c>
      <c r="CL105" s="1566">
        <f>IF(ISERROR(MATCH($B105,'A1.3.2'!$B$27:$B$106,0)),"",(VLOOKUP($B105,'Forecast occupancies'!$C$28:$CP$64,88,TRUE)*VLOOKUP($B105,'A1.3.2'!$B$27:$AY$106,38,)) * $CR$5)</f>
        <v>57.736393605138801</v>
      </c>
      <c r="CM105" s="1565">
        <f>IF(ISERROR(MATCH($B105,'A1.3.2'!$B$27:$B$106,0)),"",(((VLOOKUP($B105,'Forecast occupancies'!$C$28:$CP$64,89,TRUE) -1) * VLOOKUP($B105,'A1.3.2'!$B$27:$AY$106,40,)) + VLOOKUP($B105,'A1.3.2'!$B$27:$AY$106,39,)) * $CR$5)</f>
        <v>66.17970447805213</v>
      </c>
      <c r="CN105" s="1565">
        <f>IF(ISERROR(MATCH($B105,'A1.3.2'!$B$27:$B$106,0)),"",(VLOOKUP($B105,'Forecast occupancies'!$C$28:$CP$64,90,TRUE) * VLOOKUP($B105,'A1.3.2'!$B$27:$AY$106,49,)) * $CR$5)</f>
        <v>66.171598005379522</v>
      </c>
      <c r="CO105" s="1565">
        <f>IF(ISERROR(MATCH($B105,'A1.3.2'!$B$27:$B$106,0)),"",(VLOOKUP($B105,'Forecast occupancies'!$C$28:$CP$64,91,TRUE) * VLOOKUP($B105,'A1.3.2'!$B$27:$AY$106,50,)) * $CR$5)</f>
        <v>189.51056180036815</v>
      </c>
      <c r="CP105" s="1567">
        <f>IF(ISERROR(MATCH($B105,'A1.3.2'!$B$27:$B$106,0)),"",SUM(CM105:CO105))</f>
        <v>321.86186428379983</v>
      </c>
    </row>
    <row r="106" spans="1:94" ht="13.5" customHeight="1">
      <c r="A106" s="113"/>
      <c r="B106" s="82">
        <f t="shared" si="1"/>
        <v>2088</v>
      </c>
      <c r="C106" s="26"/>
      <c r="D106" s="1609">
        <f>IF(ISERROR(MATCH($B106,'A1.3.2'!$B$27:$B$106,0)),"",(((VLOOKUP($B106,'Forecast occupancies'!$C$28:$CP$64,2,TRUE) -1) * VLOOKUP($B106,'A1.3.2'!$B$27:$AY$106,36,) + VLOOKUP($B106,'A1.3.2'!$B$27:$AY$106,35,)) * $CR$5))</f>
        <v>82.158966194150295</v>
      </c>
      <c r="E106" s="1565">
        <f>IF(ISERROR(MATCH($B106,'A1.3.2'!$B$27:$B$106,0)),"",VLOOKUP($B106,'Forecast occupancies'!$C$28:$CP$64,3,TRUE)*VLOOKUP($B106,'A1.3.2'!$B$27:$AY$106,49,)*$CR$5)</f>
        <v>46.300760992259079</v>
      </c>
      <c r="F106" s="1565">
        <f>IF(ISERROR(MATCH($B106,'A1.3.2'!$B$27:$B$106,0)),"",VLOOKUP($B106,'Forecast occupancies'!$C$28:$CP$64,4,TRUE)*VLOOKUP($B106,'A1.3.2'!$B$27:$AY$106,50,)*$CR$5)</f>
        <v>31.943938020510807</v>
      </c>
      <c r="G106" s="1566">
        <f>IF(ISERROR(MATCH($B106,'A1.3.2'!$B$27:$B$106,0)),"",(((D106*'VoT5'!$D$28)+(E106*'VoT5'!$D$29)+(F106*'VoT5'!$D$30))/100))</f>
        <v>46.535242809341717</v>
      </c>
      <c r="H106" s="1565">
        <f>IF(ISERROR(MATCH($B106,'A1.3.2'!$B$27:$B$106,0)),"",(VLOOKUP($B106,'Forecast occupancies'!$C$28:$CP$64,6,TRUE) * VLOOKUP($B106, 'A1.3.2'!$B$27:$AY$106,37,)) * $CR$5)</f>
        <v>60.042518934576634</v>
      </c>
      <c r="I106" s="1565">
        <f>IF(ISERROR(MATCH($B106,'A1.3.2'!$B$27:$B$106,0)),"",VLOOKUP($B106,'Forecast occupancies'!$C$28:$CP$64,7,TRUE) * ('VoT5'!$J$29*VLOOKUP($B106, 'A1.3.2'!$B$27:$AY$106,49,)+'VoT5'!$J$30*VLOOKUP($B106, 'A1.3.2'!$B$27:$AY$106,50,))/('VoT5'!$J$29+'VoT5'!$J$30) * $CR$5)</f>
        <v>36.651186199295815</v>
      </c>
      <c r="J106" s="1566">
        <f>IF(ISERROR(MATCH($B106,'A1.3.2'!$B$27:$B$106,0)),"",(H106*'VoT5'!$D$31 + I106*'VoT5'!$D$32)/100)</f>
        <v>57.235559006342939</v>
      </c>
      <c r="K106" s="1566">
        <f>IF(ISERROR(MATCH($B106,'A1.3.2'!$B$27:$B$106,0)),"",(VLOOKUP($B106,'Forecast occupancies'!$C$28:$CP$64,9,TRUE)*VLOOKUP($B106,'A1.3.2'!$B$27:$AY$106,38,)) * $CR$5)</f>
        <v>58.953784987846255</v>
      </c>
      <c r="L106" s="1566">
        <f>IF(ISERROR(MATCH($B106,'A1.3.2'!$B$27:$B$106,0)),"",(VLOOKUP($B106,'Forecast occupancies'!$C$28:$CP$64,10,TRUE)*VLOOKUP($B106,'A1.3.2'!$B$27:$AY$106,38,)) * $CR$5)</f>
        <v>58.953784987846255</v>
      </c>
      <c r="M106" s="1565">
        <f>IF(ISERROR(MATCH($B106,'A1.3.2'!$B$27:$B$106,0)),"",(((VLOOKUP($B106,'Forecast occupancies'!$C$28:$CP$64,11,TRUE) -1) * VLOOKUP($B106,'A1.3.2'!$B$27:$AY$106,40,)) + VLOOKUP($B106,'A1.3.2'!$B$27:$AY$106,39,)) * $CR$5)</f>
        <v>67.178371002274474</v>
      </c>
      <c r="N106" s="1565">
        <f>IF(ISERROR(MATCH($B106,'A1.3.2'!$B$27:$B$106,0)),"",(VLOOKUP($B106,'Forecast occupancies'!$C$28:$CP$64,12,TRUE) * VLOOKUP($B106,'A1.3.2'!$B$27:$AY$106,49,)) * $CR$5)</f>
        <v>91.962164824718684</v>
      </c>
      <c r="O106" s="1565">
        <f>IF(ISERROR(MATCH($B106,'A1.3.2'!$B$27:$B$106,0)),"",(VLOOKUP($B106,'Forecast occupancies'!$C$28:$CP$64,13,TRUE) * VLOOKUP($B106,'A1.3.2'!$B$27:$AY$106,50,)) * $CR$5)</f>
        <v>182.55151086223518</v>
      </c>
      <c r="P106" s="1567">
        <f>IF(ISERROR(MATCH($B106,'A1.3.2'!$B$27:$B$106,0)),"",SUM(M106:O106))</f>
        <v>341.69204668922833</v>
      </c>
      <c r="Q106" s="1609">
        <f>IF(ISERROR(MATCH($B106,'A1.3.2'!$B$27:$B$106,0)),"",(((VLOOKUP($B106,'Forecast occupancies'!$C$28:$CP$64,15,TRUE)-1)*VLOOKUP($B106,'A1.3.2'!$B$27:$AY$106,36,)+VLOOKUP($B106,'A1.3.2'!$B$27:$AY$106,35,))*$CR$5))</f>
        <v>84.19015029296024</v>
      </c>
      <c r="R106" s="1565">
        <f>IF(ISERROR(MATCH($B106,'A1.3.2'!$B$27:$B$106,0)),"",VLOOKUP($B106,'Forecast occupancies'!$C$28:$CP$64,16,TRUE)*VLOOKUP($B106,'A1.3.2'!$B$27:$AY$106,49,)*$CR$5)</f>
        <v>47.053615683553723</v>
      </c>
      <c r="S106" s="1565">
        <f>IF(ISERROR(MATCH($B106,'A1.3.2'!$B$27:$B$106,0)),"",VLOOKUP($B106,'Forecast occupancies'!$C$28:$CP$64,17,TRUE)*VLOOKUP($B106,'A1.3.2'!$B$27:$AY$106,50,)*$CR$5)</f>
        <v>34.027839792206223</v>
      </c>
      <c r="T106" s="1566">
        <f>IF(ISERROR(MATCH($B106,'A1.3.2'!$B$27:$B$106,0)),"",(((Q106*'VoT5'!$E$28)+(R106*'VoT5'!$E$29)+(S106*'VoT5'!$E$30))/100))</f>
        <v>43.827339968648083</v>
      </c>
      <c r="U106" s="1565">
        <f>IF(ISERROR(MATCH($B106,'A1.3.2'!$B$27:$B$106,0)),"",(VLOOKUP($B106,'Forecast occupancies'!$C$28:$CP$64,19,TRUE) * VLOOKUP($B106, 'A1.3.2'!$B$27:$AY$106,37,)) * $CR$5)</f>
        <v>60.042518934576634</v>
      </c>
      <c r="V106" s="1565">
        <f>IF(ISERROR(MATCH($B106,'A1.3.2'!$B$27:$B$106,0)),"",VLOOKUP($B106,'Forecast occupancies'!$C$28:$CP$64,20,TRUE) * ('VoT5'!$J$29*VLOOKUP($B106, 'A1.3.2'!$B$27:$AY$106,49,)+'VoT5'!$J$30*VLOOKUP($B106, 'A1.3.2'!$B$27:$AY$106,50,))/('VoT5'!$J$29+'VoT5'!$J$30) * $CR$5)</f>
        <v>36.651186199295815</v>
      </c>
      <c r="W106" s="1566">
        <f>IF(ISERROR(MATCH($B106,'A1.3.2'!$B$27:$B$106,0)),"",(U106*'VoT5'!$E$31 + V106*'VoT5'!$E$32)/100)</f>
        <v>57.235559006342939</v>
      </c>
      <c r="X106" s="1566">
        <f>IF(ISERROR(MATCH($B106,'A1.3.2'!$B$27:$B$106,0)),"",(VLOOKUP($B106,'Forecast occupancies'!$C$28:$CP$64,22,TRUE)*VLOOKUP($B106,'A1.3.2'!$B$27:$AY$106,38,)) * $CR$5)</f>
        <v>58.953784987846255</v>
      </c>
      <c r="Y106" s="1566">
        <f>IF(ISERROR(MATCH($B106,'A1.3.2'!$B$27:$B$106,0)),"",(VLOOKUP($B106,'Forecast occupancies'!$C$28:$CP$64,23,TRUE)*VLOOKUP($B106,'A1.3.2'!$B$27:$AY$106,38,)) * $CR$5)</f>
        <v>58.953784987846255</v>
      </c>
      <c r="Z106" s="1565">
        <f>IF(ISERROR(MATCH($B106,'A1.3.2'!$B$27:$B$106,0)),"",(((VLOOKUP($B106,'Forecast occupancies'!$C$28:$CP$64,24,TRUE) -1) * VLOOKUP($B106,'A1.3.2'!$B$27:$AY$106,40,)) + VLOOKUP($B106,'A1.3.2'!$B$27:$AY$106,39,)) * $CR$5)</f>
        <v>68.549541294536155</v>
      </c>
      <c r="AA106" s="1565">
        <f>IF(ISERROR(MATCH($B106,'A1.3.2'!$B$27:$B$106,0)),"",(VLOOKUP($B106,'Forecast occupancies'!$C$28:$CP$64,25,TRUE) * VLOOKUP($B106,'A1.3.2'!$B$27:$AY$106,49,)) * $CR$5)</f>
        <v>32.229812396060495</v>
      </c>
      <c r="AB106" s="1565">
        <f>IF(ISERROR(MATCH($B106,'A1.3.2'!$B$27:$B$106,0)),"",(VLOOKUP($B106,'Forecast occupancies'!$C$28:$CP$64,26,TRUE) * VLOOKUP($B106,'A1.3.2'!$B$27:$AY$106,50,)) * $CR$5)</f>
        <v>209.19373499413197</v>
      </c>
      <c r="AC106" s="1567">
        <f>IF(ISERROR(MATCH($B106,'A1.3.2'!$B$27:$B$106,0)),"",SUM(Z106:AB106))</f>
        <v>309.97308868472862</v>
      </c>
      <c r="AD106" s="1609">
        <f>IF(ISERROR(MATCH($B106,'A1.3.2'!$B$27:$B$106,0)),"",(((VLOOKUP($B106,'Forecast occupancies'!$C$28:$CP$64,28,TRUE)-1)*VLOOKUP($B106,'A1.3.2'!$B$27:$AY$106,36,)+VLOOKUP($B106,'A1.3.2'!$B$27:$AY$106,35,))*$CR$5))</f>
        <v>83.34464542038971</v>
      </c>
      <c r="AE106" s="1565">
        <f>IF(ISERROR(MATCH($B106,'A1.3.2'!$B$27:$B$106,0)),"",VLOOKUP($B106,'Forecast occupancies'!$C$28:$CP$64,29,TRUE)*VLOOKUP($B106,'A1.3.2'!$B$27:$AY$106,49,)*$CR$5)</f>
        <v>46.460468846634846</v>
      </c>
      <c r="AF106" s="1565">
        <f>IF(ISERROR(MATCH($B106,'A1.3.2'!$B$27:$B$106,0)),"",VLOOKUP($B106,'Forecast occupancies'!$C$28:$CP$64,30,TRUE)*VLOOKUP($B106,'A1.3.2'!$B$27:$AY$106,50,)*$CR$5)</f>
        <v>33.451937158325499</v>
      </c>
      <c r="AG106" s="1566">
        <f>IF(ISERROR(MATCH($B106,'A1.3.2'!$B$27:$B$106,0)),"",(((AD106*'VoT5'!$F$28)+(AE106*'VoT5'!$F$29)+(AF106*'VoT5'!$F$30))/100))</f>
        <v>44.710815146188807</v>
      </c>
      <c r="AH106" s="1565">
        <f>IF(ISERROR(MATCH($B106,'A1.3.2'!$B$27:$B$106,0)),"",(VLOOKUP($B106,'Forecast occupancies'!$C$28:$CP$64,32,TRUE) * VLOOKUP($B106, 'A1.3.2'!$B$27:$AY$106,37,)) * $CR$5)</f>
        <v>60.042518934576634</v>
      </c>
      <c r="AI106" s="1565">
        <f>IF(ISERROR(MATCH($B106,'A1.3.2'!$B$27:$B$106,0)),"",VLOOKUP($B106,'Forecast occupancies'!$C$28:$CP$64,33,TRUE) * ('VoT5'!$J$29*VLOOKUP($B106, 'A1.3.2'!$B$27:$AY$106,49,)+'VoT5'!$J$30*VLOOKUP($B106, 'A1.3.2'!$B$27:$AY$106,50,))/('VoT5'!$J$29+'VoT5'!$J$30) * $CR$5)</f>
        <v>36.651186199295815</v>
      </c>
      <c r="AJ106" s="1566">
        <f>IF(ISERROR(MATCH($B106,'A1.3.2'!$B$27:$B$106,0)),"",(AH106*'VoT5'!$F$31 + AI106*'VoT5'!$F$32)/100)</f>
        <v>57.235559006342939</v>
      </c>
      <c r="AK106" s="1566">
        <f>IF(ISERROR(MATCH($B106,'A1.3.2'!$B$27:$B$106,0)),"",(VLOOKUP($B106,'Forecast occupancies'!$C$28:$CP$64,35,TRUE)*VLOOKUP($B106,'A1.3.2'!$B$27:$AY$106,38,)) * $CR$5)</f>
        <v>58.953784987846255</v>
      </c>
      <c r="AL106" s="1566">
        <f>IF(ISERROR(MATCH($B106,'A1.3.2'!$B$27:$B$106,0)),"",(VLOOKUP($B106,'Forecast occupancies'!$C$28:$CP$64,36,TRUE)*VLOOKUP($B106,'A1.3.2'!$B$27:$AY$106,38,)) * $CR$5)</f>
        <v>58.953784987846255</v>
      </c>
      <c r="AM106" s="1565">
        <f>IF(ISERROR(MATCH($B106,'A1.3.2'!$B$27:$B$106,0)),"",(((VLOOKUP($B106,'Forecast occupancies'!$C$28:$CP$64,37,TRUE) -1) * VLOOKUP($B106,'A1.3.2'!$B$27:$AY$106,40,)) + VLOOKUP($B106,'A1.3.2'!$B$27:$AY$106,39,)) * $CR$5)</f>
        <v>71.722499251876371</v>
      </c>
      <c r="AN106" s="1565">
        <f>IF(ISERROR(MATCH($B106,'A1.3.2'!$B$27:$B$106,0)),"",(VLOOKUP($B106,'Forecast occupancies'!$C$28:$CP$64,38,TRUE) * VLOOKUP($B106,'A1.3.2'!$B$27:$AY$106,49,)) * $CR$5)</f>
        <v>129.33352232097374</v>
      </c>
      <c r="AO106" s="1565">
        <f>IF(ISERROR(MATCH($B106,'A1.3.2'!$B$27:$B$106,0)),"",(VLOOKUP($B106,'Forecast occupancies'!$C$28:$CP$64,39,TRUE) * VLOOKUP($B106,'A1.3.2'!$B$27:$AY$106,50,)) * $CR$5)</f>
        <v>163.43470380295619</v>
      </c>
      <c r="AP106" s="1567">
        <f>IF(ISERROR(MATCH($B106,'A1.3.2'!$B$27:$B$106,0)),"",SUM(AM106:AO106))</f>
        <v>364.49072537580628</v>
      </c>
      <c r="AQ106" s="1609">
        <f>IF(ISERROR(MATCH($B106,'A1.3.2'!$B$27:$B$106,0)),"",(((VLOOKUP($B106,'Forecast occupancies'!$C$28:$CP$64,41,TRUE)-1)*VLOOKUP($B106,'A1.3.2'!$B$27:$AY$106,36,)+VLOOKUP($B106,'A1.3.2'!$B$27:$AY$106,35,))*$CR$5))</f>
        <v>84.921577965440591</v>
      </c>
      <c r="AR106" s="1565">
        <f>IF(ISERROR(MATCH($B106,'A1.3.2'!$B$27:$B$106,0)),"",VLOOKUP($B106,'Forecast occupancies'!$C$28:$CP$64,42,TRUE)*VLOOKUP($B106,'A1.3.2'!$B$27:$AY$106,49,)*$CR$5)</f>
        <v>47.140462056644367</v>
      </c>
      <c r="AS106" s="1565">
        <f>IF(ISERROR(MATCH($B106,'A1.3.2'!$B$27:$B$106,0)),"",VLOOKUP($B106,'Forecast occupancies'!$C$28:$CP$64,43,TRUE)*VLOOKUP($B106,'A1.3.2'!$B$27:$AY$106,50,)*$CR$5)</f>
        <v>33.332506407318505</v>
      </c>
      <c r="AT106" s="1566">
        <f>IF(ISERROR(MATCH($B106,'A1.3.2'!$B$27:$B$106,0)),"",(((AQ106*'VoT5'!$G$28)+(AR106*'VoT5'!$G$29)+(AS106*'VoT5'!$G$30))/100))</f>
        <v>45.298529862737638</v>
      </c>
      <c r="AU106" s="1565">
        <f>IF(ISERROR(MATCH($B106,'A1.3.2'!$B$27:$B$106,0)),"",(VLOOKUP($B106,'Forecast occupancies'!$C$28:$CP$64,45,TRUE) * VLOOKUP($B106, 'A1.3.2'!$B$27:$AY$106,37,)) * $CR$5)</f>
        <v>60.042518934576634</v>
      </c>
      <c r="AV106" s="1565">
        <f>IF(ISERROR(MATCH($B106,'A1.3.2'!$B$27:$B$106,0)),"",VLOOKUP($B106,'Forecast occupancies'!$C$28:$CP$64,46,TRUE) * ('VoT5'!$J$29*VLOOKUP($B106, 'A1.3.2'!$B$27:$AY$106,49,)+'VoT5'!$J$30*VLOOKUP($B106, 'A1.3.2'!$B$27:$AY$106,50,))/('VoT5'!$J$29+'VoT5'!$J$30) * $CR$5)</f>
        <v>36.651186199295815</v>
      </c>
      <c r="AW106" s="1566">
        <f>IF(ISERROR(MATCH($B106,'A1.3.2'!$B$27:$B$106,0)),"",(AU106*'VoT5'!$G$31 + AV106*'VoT5'!$G$32)/100)</f>
        <v>57.235559006342939</v>
      </c>
      <c r="AX106" s="1566">
        <f>IF(ISERROR(MATCH($B106,'A1.3.2'!$B$27:$B$106,0)),"",(VLOOKUP($B106,'Forecast occupancies'!$C$28:$CP$64,48,TRUE)*VLOOKUP($B106,'A1.3.2'!$B$27:$AY$106,38,)) * $CR$5)</f>
        <v>58.953784987846255</v>
      </c>
      <c r="AY106" s="1566">
        <f>IF(ISERROR(MATCH($B106,'A1.3.2'!$B$27:$B$106,0)),"",(VLOOKUP($B106,'Forecast occupancies'!$C$28:$CP$64,49,TRUE)*VLOOKUP($B106,'A1.3.2'!$B$27:$AY$106,38,)) * $CR$5)</f>
        <v>58.953784987846255</v>
      </c>
      <c r="AZ106" s="1565">
        <f>IF(ISERROR(MATCH($B106,'A1.3.2'!$B$27:$B$106,0)),"",(((VLOOKUP($B106,'Forecast occupancies'!$C$28:$CP$64,50,TRUE) -1) * VLOOKUP($B106,'A1.3.2'!$B$27:$AY$106,40,)) + VLOOKUP($B106,'A1.3.2'!$B$27:$AY$106,39,)) * $CR$5)</f>
        <v>71.664499192287124</v>
      </c>
      <c r="BA106" s="1565">
        <f>IF(ISERROR(MATCH($B106,'A1.3.2'!$B$27:$B$106,0)),"",(VLOOKUP($B106,'Forecast occupancies'!$C$28:$CP$64,51,TRUE) * VLOOKUP($B106,'A1.3.2'!$B$27:$AY$106,49,)) * $CR$5)</f>
        <v>176.79571242808206</v>
      </c>
      <c r="BB106" s="1565">
        <f>IF(ISERROR(MATCH($B106,'A1.3.2'!$B$27:$B$106,0)),"",(VLOOKUP($B106,'Forecast occupancies'!$C$28:$CP$64,52,TRUE) * VLOOKUP($B106,'A1.3.2'!$B$27:$AY$106,50,)) * $CR$5)</f>
        <v>141.79782150694354</v>
      </c>
      <c r="BC106" s="1567">
        <f>IF(ISERROR(MATCH($B106,'A1.3.2'!$B$27:$B$106,0)),"",SUM(AZ106:BB106))</f>
        <v>390.25803312731273</v>
      </c>
      <c r="BD106" s="1565">
        <f>IF(ISERROR(MATCH($B106,'A1.3.2'!$B$27:$B$106,0)),"",(((VLOOKUP($B106,'Forecast occupancies'!$C$28:$CP$64,54,TRUE)-1)*VLOOKUP($B106,'A1.3.2'!$B$27:$AY$106,36,)+VLOOKUP($B106,'A1.3.2'!$B$27:$AY$106,35,))*$CR$5))</f>
        <v>83.492939698614506</v>
      </c>
      <c r="BE106" s="1565">
        <f>IF(ISERROR(MATCH($B106,'A1.3.2'!$B$27:$B$106,0)),"",VLOOKUP($B106,'Forecast occupancies'!$C$28:$CP$64,55,TRUE)*VLOOKUP($B106,'A1.3.2'!$B$27:$AY$106,49,)*$CR$5)</f>
        <v>46.618434827668601</v>
      </c>
      <c r="BF106" s="1565">
        <f>IF(ISERROR(MATCH($B106,'A1.3.2'!$B$27:$B$106,0)),"",VLOOKUP($B106,'Forecast occupancies'!$C$28:$CP$64,56,TRUE)*VLOOKUP($B106,'A1.3.2'!$B$27:$AY$106,50,)*$CR$5)</f>
        <v>33.415326010927409</v>
      </c>
      <c r="BG106" s="1566">
        <f>IF(ISERROR(MATCH($B106,'A1.3.2'!$B$27:$B$106,0)),"",(((BD106*'VoT5'!$H$28)+(BE106*'VoT5'!$H$29)+(BF106*'VoT5'!$H$30))/100))</f>
        <v>44.972306770111729</v>
      </c>
      <c r="BH106" s="1565">
        <f>IF(ISERROR(MATCH($B106,'A1.3.2'!$B$27:$B$106,0)),"",(VLOOKUP($B106,'Forecast occupancies'!$C$28:$CP$64,58,TRUE) * VLOOKUP($B106, 'A1.3.2'!$B$27:$AY$106,37,)) * $CR$5)</f>
        <v>60.042518934576634</v>
      </c>
      <c r="BI106" s="1565">
        <f>IF(ISERROR(MATCH($B106,'A1.3.2'!$B$27:$B$106,0)),"",(VLOOKUP($B106,'Forecast occupancies'!$C$28:$CP$64,59,TRUE) * (VLOOKUP($B106,'A1.3.2'!$B$27:$AY$106,49,) * 'VoT5'!$J$29 + VLOOKUP($B106,'A1.3.2'!$B$27:$AY$106,50,) * 'VoT5'!$J$30) / (SUM('VoT5'!$J$29:$J$30))) * $CR$5)</f>
        <v>36.651186199295815</v>
      </c>
      <c r="BJ106" s="1566">
        <f>IF(ISERROR(MATCH($B106,'A1.3.2'!$B$27:$B$106,0)),"",(BH106*'VoT5'!$H$31 + BI106*'VoT5'!$H$32)/100)</f>
        <v>57.235559006342939</v>
      </c>
      <c r="BK106" s="1566">
        <f>IF(ISERROR(MATCH($B106,'A1.3.2'!$B$27:$B$106,0)),"",(VLOOKUP($B106,'Forecast occupancies'!$C$28:$CP$64,61,TRUE)*VLOOKUP($B106,'A1.3.2'!$B$27:$AY$106,38,)) * $CR$5)</f>
        <v>58.953784987846255</v>
      </c>
      <c r="BL106" s="1566">
        <f>IF(ISERROR(MATCH($B106,'A1.3.2'!$B$27:$B$106,0)),"",(VLOOKUP($B106,'Forecast occupancies'!$C$28:$CP$64,62,TRUE)*VLOOKUP($B106,'A1.3.2'!$B$27:$AY$106,38,)) * $CR$5)</f>
        <v>58.953784987846255</v>
      </c>
      <c r="BM106" s="1565">
        <f>IF(ISERROR(MATCH($B106,'A1.3.2'!$B$27:$B$106,0)),"",(((VLOOKUP($B106,'Forecast occupancies'!$C$28:$CP$64,63,TRUE) -1) * VLOOKUP($B106,'A1.3.2'!$B$27:$AY$106,40,)) + VLOOKUP($B106,'A1.3.2'!$B$27:$AY$106,39,)) * $CR$5)</f>
        <v>69.098283850703837</v>
      </c>
      <c r="BN106" s="1565">
        <f>IF(ISERROR(MATCH($B106,'A1.3.2'!$B$27:$B$106,0)),"",(VLOOKUP($B106,'Forecast occupancies'!$C$28:$CP$64,64,TRUE) * VLOOKUP($B106,'A1.3.2'!$B$27:$AY$106,49,)) * $CR$5)</f>
        <v>79.811507530711125</v>
      </c>
      <c r="BO106" s="1565">
        <f>IF(ISERROR(MATCH($B106,'A1.3.2'!$B$27:$B$106,0)),"",(VLOOKUP($B106,'Forecast occupancies'!$C$28:$CP$64,65,TRUE) * VLOOKUP($B106,'A1.3.2'!$B$27:$AY$106,50,)) * $CR$5)</f>
        <v>187.22733138973368</v>
      </c>
      <c r="BP106" s="1567">
        <f>IF(ISERROR(MATCH($B106,'A1.3.2'!$B$27:$B$106,0)),"",SUM(BM106:BO106))</f>
        <v>336.1371227711486</v>
      </c>
      <c r="BQ106" s="1565">
        <f>IF(ISERROR(MATCH($B106,'A1.3.2'!$B$27:$B$106,0)),"",(((VLOOKUP($B106,'Forecast occupancies'!$C$28:$CP$64,67,TRUE)-1)*VLOOKUP($B106,'A1.3.2'!$B$27:$AY$106,36,)+VLOOKUP($B106,'A1.3.2'!$B$27:$AY$106,35,))*$CR$5))</f>
        <v>95.421978096085383</v>
      </c>
      <c r="BR106" s="1565">
        <f>IF(ISERROR(MATCH($B106,'A1.3.2'!$B$27:$B$106,0)),"",VLOOKUP($B106,'Forecast occupancies'!$C$28:$CP$64,68,TRUE)*VLOOKUP($B106,'A1.3.2'!$B$27:$AY$106,49,)*$CR$5)</f>
        <v>49.357357948156327</v>
      </c>
      <c r="BS106" s="1565">
        <f>IF(ISERROR(MATCH($B106,'A1.3.2'!$B$27:$B$106,0)),"",VLOOKUP($B106,'Forecast occupancies'!$C$28:$CP$64,69,TRUE)*VLOOKUP($B106,'A1.3.2'!$B$27:$AY$106,50,)*$CR$5)</f>
        <v>39.564551514945386</v>
      </c>
      <c r="BT106" s="1566">
        <f>IF(ISERROR(MATCH($B106,'A1.3.2'!$B$27:$B$106,0)),"",(((BQ106*'VoT5'!$I$28)+(BR106*'VoT5'!$I$29)+(BS106*'VoT5'!$I$30))/100))</f>
        <v>42.277218410312017</v>
      </c>
      <c r="BU106" s="1565">
        <f>IF(ISERROR(MATCH($B106,'A1.3.2'!$B$27:$B$106,0)),"",(VLOOKUP($B106,'Forecast occupancies'!$C$28:$CP$64,71,TRUE) * VLOOKUP($B106, 'A1.3.2'!$B$27:$AY$106,37,)) * $CR$5)</f>
        <v>63.044644881305466</v>
      </c>
      <c r="BV106" s="1565">
        <f>IF(ISERROR(MATCH($B106,'A1.3.2'!$B$27:$B$106,0)),"",(VLOOKUP($B106,'Forecast occupancies'!$C$28:$CP$64,72,TRUE) * (VLOOKUP($B106,'A1.3.2'!$B$27:$AY$106,49,)*'VoT5'!$J$29 + VLOOKUP($B106,'A1.3.2'!$B$27:$AY$106,50,)*'VoT5'!$J$30) / (SUM('VoT5'!$J$29:$J$30))) * $CR$5)</f>
        <v>50.960210948335963</v>
      </c>
      <c r="BW106" s="1566">
        <f>IF(ISERROR(MATCH($B106,'A1.3.2'!$B$27:$B$106,0)),"",(BU106*'VoT5'!$I$31 + BV106*'VoT5'!$I$32)/100)</f>
        <v>61.594512809349126</v>
      </c>
      <c r="BX106" s="1566">
        <f>IF(ISERROR(MATCH($B106,'A1.3.2'!$B$27:$B$106,0)),"",(VLOOKUP($B106,'Forecast occupancies'!$C$28:$CP$64,74,TRUE)*VLOOKUP($B106,'A1.3.2'!$B$27:$AY$106,38,)) * $CR$5)</f>
        <v>58.953784987846255</v>
      </c>
      <c r="BY106" s="1566">
        <f>IF(ISERROR(MATCH($B106,'A1.3.2'!$B$27:$B$106,0)),"",(VLOOKUP($B106,'Forecast occupancies'!$C$28:$CP$64,75,TRUE)*VLOOKUP($B106,'A1.3.2'!$B$27:$AY$106,38,)) * $CR$5)</f>
        <v>58.953784987846255</v>
      </c>
      <c r="BZ106" s="1565">
        <f>IF(ISERROR(MATCH($B106,'A1.3.2'!$B$27:$B$106,0)),"",(((VLOOKUP($B106,'Forecast occupancies'!$C$28:$CP$64,76,TRUE) -1) * VLOOKUP($B106,'A1.3.2'!$B$27:$AY$106,40,)) + VLOOKUP($B106,'A1.3.2'!$B$27:$AY$106,39,)) * $CR$5)</f>
        <v>62.93017673088287</v>
      </c>
      <c r="CA106" s="1565">
        <f>IF(ISERROR(MATCH($B106,'A1.3.2'!$B$27:$B$106,0)),"",(VLOOKUP($B106,'Forecast occupancies'!$C$28:$CP$64,77,TRUE) * VLOOKUP($B106,'A1.3.2'!$B$27:$AY$106,49,)) * $CR$5)</f>
        <v>30.235678778358178</v>
      </c>
      <c r="CB106" s="1565">
        <f>IF(ISERROR(MATCH($B106,'A1.3.2'!$B$27:$B$106,0)),"",(VLOOKUP($B106,'Forecast occupancies'!$C$28:$CP$64,78,TRUE) * VLOOKUP($B106,'A1.3.2'!$B$27:$AY$106,50,)) * $CR$5)</f>
        <v>212.65061227468138</v>
      </c>
      <c r="CC106" s="1567">
        <f>IF(ISERROR(MATCH($B106,'A1.3.2'!$B$27:$B$106,0)),"",SUM(BZ106:CB106))</f>
        <v>305.81646778392246</v>
      </c>
      <c r="CD106" s="1565">
        <f>IF(ISERROR(MATCH($B106,'A1.3.2'!$B$27:$B$106,0)),"",(((VLOOKUP($B106,'Forecast occupancies'!$C$28:$CP$64,80,TRUE)-1)*VLOOKUP($B106,'A1.3.2'!$B$27:$AY$106,36,)+VLOOKUP($B106,'A1.3.2'!$B$27:$AY$106,35,))*$CR$5))</f>
        <v>84.339696214502908</v>
      </c>
      <c r="CE106" s="1565">
        <f>IF(ISERROR(MATCH($B106,'A1.3.2'!$B$27:$B$106,0)),"",VLOOKUP($B106,'Forecast occupancies'!$C$28:$CP$64,81,TRUE)*VLOOKUP($B106,'A1.3.2'!$B$27:$AY$106,49,)*$CR$5)</f>
        <v>46.840015513535718</v>
      </c>
      <c r="CF106" s="1565">
        <f>IF(ISERROR(MATCH($B106,'A1.3.2'!$B$27:$B$106,0)),"",VLOOKUP($B106,'Forecast occupancies'!$C$28:$CP$64,82,TRUE)*VLOOKUP($B106,'A1.3.2'!$B$27:$AY$106,50,)*$CR$5)</f>
        <v>35.585193522492752</v>
      </c>
      <c r="CG106" s="1566">
        <f>IF(ISERROR(MATCH($B106,'A1.3.2'!$B$27:$B$106,0)),"",(((CD106*'VoT5'!$J$28)+(CE106*'VoT5'!$J$29)+(CF106*'VoT5'!$J$30))/100))</f>
        <v>44.333314119168136</v>
      </c>
      <c r="CH106" s="1565">
        <f>IF(ISERROR(MATCH($B106,'A1.3.2'!$B$27:$B$106,0)),"",(VLOOKUP($B106,'Forecast occupancies'!$C$28:$CP$64,84,TRUE) * VLOOKUP($B106, 'A1.3.2'!$B$27:$AY$106,37,)) * $CR$5)</f>
        <v>60.042518934576634</v>
      </c>
      <c r="CI106" s="1565">
        <f>IF(ISERROR(MATCH($B106,'A1.3.2'!$B$27:$B$106,0)),"",(VLOOKUP($B106,'Forecast occupancies'!$C$28:$CP$64,85,TRUE) * (VLOOKUP($B106,'A1.3.2'!$B$27:$AY$106,49,)*'VoT5'!$J$29 + VLOOKUP($B106,'A1.3.2'!$B$27:$AY$106,50,)*'VoT5'!$J$30) / (SUM('VoT5'!$J$29:$J$30))) * $CR$5)</f>
        <v>39.914647984164631</v>
      </c>
      <c r="CJ106" s="1566">
        <f>IF(ISERROR(MATCH($B106,'A1.3.2'!$B$27:$B$106,0)),"",(CH106*'VoT5'!$J$31 + CI106*'VoT5'!$J$32)/100)</f>
        <v>57.627174420527197</v>
      </c>
      <c r="CK106" s="1566">
        <f>IF(ISERROR(MATCH($B106,'A1.3.2'!$B$27:$B$106,0)),"",(VLOOKUP($B106,'Forecast occupancies'!$C$28:$CP$64,87,TRUE)*VLOOKUP($B106,'A1.3.2'!$B$27:$AY$106,38,)) * $CR$5)</f>
        <v>58.953784987846255</v>
      </c>
      <c r="CL106" s="1566">
        <f>IF(ISERROR(MATCH($B106,'A1.3.2'!$B$27:$B$106,0)),"",(VLOOKUP($B106,'Forecast occupancies'!$C$28:$CP$64,88,TRUE)*VLOOKUP($B106,'A1.3.2'!$B$27:$AY$106,38,)) * $CR$5)</f>
        <v>58.953784987846255</v>
      </c>
      <c r="CM106" s="1565">
        <f>IF(ISERROR(MATCH($B106,'A1.3.2'!$B$27:$B$106,0)),"",(((VLOOKUP($B106,'Forecast occupancies'!$C$28:$CP$64,89,TRUE) -1) * VLOOKUP($B106,'A1.3.2'!$B$27:$AY$106,40,)) + VLOOKUP($B106,'A1.3.2'!$B$27:$AY$106,39,)) * $CR$5)</f>
        <v>67.57512592561784</v>
      </c>
      <c r="CN106" s="1565">
        <f>IF(ISERROR(MATCH($B106,'A1.3.2'!$B$27:$B$106,0)),"",(VLOOKUP($B106,'Forecast occupancies'!$C$28:$CP$64,90,TRUE) * VLOOKUP($B106,'A1.3.2'!$B$27:$AY$106,49,)) * $CR$5)</f>
        <v>67.566848525227741</v>
      </c>
      <c r="CO106" s="1565">
        <f>IF(ISERROR(MATCH($B106,'A1.3.2'!$B$27:$B$106,0)),"",(VLOOKUP($B106,'Forecast occupancies'!$C$28:$CP$64,91,TRUE) * VLOOKUP($B106,'A1.3.2'!$B$27:$AY$106,50,)) * $CR$5)</f>
        <v>193.50645607886497</v>
      </c>
      <c r="CP106" s="1567">
        <f>IF(ISERROR(MATCH($B106,'A1.3.2'!$B$27:$B$106,0)),"",SUM(CM106:CO106))</f>
        <v>328.64843052971054</v>
      </c>
    </row>
    <row r="107" spans="1:94" ht="13.5" customHeight="1">
      <c r="A107" s="113"/>
      <c r="B107" s="82">
        <f t="shared" si="1"/>
        <v>2089</v>
      </c>
      <c r="C107" s="26"/>
      <c r="D107" s="1609">
        <f>IF(ISERROR(MATCH($B107,'A1.3.2'!$B$27:$B$106,0)),"",(((VLOOKUP($B107,'Forecast occupancies'!$C$28:$CP$64,2,TRUE) -1) * VLOOKUP($B107,'A1.3.2'!$B$27:$AY$106,36,) + VLOOKUP($B107,'A1.3.2'!$B$27:$AY$106,35,)) * $CR$5))</f>
        <v>83.890595633266429</v>
      </c>
      <c r="E107" s="1565">
        <f>IF(ISERROR(MATCH($B107,'A1.3.2'!$B$27:$B$106,0)),"",VLOOKUP($B107,'Forecast occupancies'!$C$28:$CP$64,3,TRUE)*VLOOKUP($B107,'A1.3.2'!$B$27:$AY$106,49,)*$CR$5)</f>
        <v>47.276622355925852</v>
      </c>
      <c r="F107" s="1565">
        <f>IF(ISERROR(MATCH($B107,'A1.3.2'!$B$27:$B$106,0)),"",VLOOKUP($B107,'Forecast occupancies'!$C$28:$CP$64,4,TRUE)*VLOOKUP($B107,'A1.3.2'!$B$27:$AY$106,50,)*$CR$5)</f>
        <v>32.617206758421922</v>
      </c>
      <c r="G107" s="1566">
        <f>IF(ISERROR(MATCH($B107,'A1.3.2'!$B$27:$B$106,0)),"",(((D107*'VoT5'!$D$28)+(E107*'VoT5'!$D$29)+(F107*'VoT5'!$D$30))/100))</f>
        <v>47.516046246116346</v>
      </c>
      <c r="H107" s="1565">
        <f>IF(ISERROR(MATCH($B107,'A1.3.2'!$B$27:$B$106,0)),"",(VLOOKUP($B107,'Forecast occupancies'!$C$28:$CP$64,6,TRUE) * VLOOKUP($B107, 'A1.3.2'!$B$27:$AY$106,37,)) * $CR$5)</f>
        <v>61.308009461077475</v>
      </c>
      <c r="I107" s="1565">
        <f>IF(ISERROR(MATCH($B107,'A1.3.2'!$B$27:$B$106,0)),"",VLOOKUP($B107,'Forecast occupancies'!$C$28:$CP$64,7,TRUE) * ('VoT5'!$J$29*VLOOKUP($B107, 'A1.3.2'!$B$27:$AY$106,49,)+'VoT5'!$J$30*VLOOKUP($B107, 'A1.3.2'!$B$27:$AY$106,50,))/('VoT5'!$J$29+'VoT5'!$J$30) * $CR$5)</f>
        <v>37.423667596533086</v>
      </c>
      <c r="J107" s="1566">
        <f>IF(ISERROR(MATCH($B107,'A1.3.2'!$B$27:$B$106,0)),"",(H107*'VoT5'!$D$31 + I107*'VoT5'!$D$32)/100)</f>
        <v>58.441888437332146</v>
      </c>
      <c r="K107" s="1566">
        <f>IF(ISERROR(MATCH($B107,'A1.3.2'!$B$27:$B$106,0)),"",(VLOOKUP($B107,'Forecast occupancies'!$C$28:$CP$64,9,TRUE)*VLOOKUP($B107,'A1.3.2'!$B$27:$AY$106,38,)) * $CR$5)</f>
        <v>60.196328733966872</v>
      </c>
      <c r="L107" s="1566">
        <f>IF(ISERROR(MATCH($B107,'A1.3.2'!$B$27:$B$106,0)),"",(VLOOKUP($B107,'Forecast occupancies'!$C$28:$CP$64,10,TRUE)*VLOOKUP($B107,'A1.3.2'!$B$27:$AY$106,38,)) * $CR$5)</f>
        <v>60.196328733966872</v>
      </c>
      <c r="M107" s="1565">
        <f>IF(ISERROR(MATCH($B107,'A1.3.2'!$B$27:$B$106,0)),"",(((VLOOKUP($B107,'Forecast occupancies'!$C$28:$CP$64,11,TRUE) -1) * VLOOKUP($B107,'A1.3.2'!$B$27:$AY$106,40,)) + VLOOKUP($B107,'A1.3.2'!$B$27:$AY$106,39,)) * $CR$5)</f>
        <v>68.594260834974051</v>
      </c>
      <c r="N107" s="1565">
        <f>IF(ISERROR(MATCH($B107,'A1.3.2'!$B$27:$B$106,0)),"",(VLOOKUP($B107,'Forecast occupancies'!$C$28:$CP$64,12,TRUE) * VLOOKUP($B107,'A1.3.2'!$B$27:$AY$106,49,)) * $CR$5)</f>
        <v>93.900412094274415</v>
      </c>
      <c r="O107" s="1565">
        <f>IF(ISERROR(MATCH($B107,'A1.3.2'!$B$27:$B$106,0)),"",(VLOOKUP($B107,'Forecast occupancies'!$C$28:$CP$64,13,TRUE) * VLOOKUP($B107,'A1.3.2'!$B$27:$AY$106,50,)) * $CR$5)</f>
        <v>186.39907108612078</v>
      </c>
      <c r="P107" s="1567">
        <f>IF(ISERROR(MATCH($B107,'A1.3.2'!$B$27:$B$106,0)),"",SUM(M107:O107))</f>
        <v>348.89374401536924</v>
      </c>
      <c r="Q107" s="1609">
        <f>IF(ISERROR(MATCH($B107,'A1.3.2'!$B$27:$B$106,0)),"",(((VLOOKUP($B107,'Forecast occupancies'!$C$28:$CP$64,15,TRUE)-1)*VLOOKUP($B107,'A1.3.2'!$B$27:$AY$106,36,)+VLOOKUP($B107,'A1.3.2'!$B$27:$AY$106,35,))*$CR$5))</f>
        <v>85.96459013177703</v>
      </c>
      <c r="R107" s="1565">
        <f>IF(ISERROR(MATCH($B107,'A1.3.2'!$B$27:$B$106,0)),"",VLOOKUP($B107,'Forecast occupancies'!$C$28:$CP$64,16,TRUE)*VLOOKUP($B107,'A1.3.2'!$B$27:$AY$106,49,)*$CR$5)</f>
        <v>48.045344643993097</v>
      </c>
      <c r="S107" s="1565">
        <f>IF(ISERROR(MATCH($B107,'A1.3.2'!$B$27:$B$106,0)),"",VLOOKUP($B107,'Forecast occupancies'!$C$28:$CP$64,17,TRUE)*VLOOKUP($B107,'A1.3.2'!$B$27:$AY$106,50,)*$CR$5)</f>
        <v>34.745030037692864</v>
      </c>
      <c r="T107" s="1566">
        <f>IF(ISERROR(MATCH($B107,'A1.3.2'!$B$27:$B$106,0)),"",(((Q107*'VoT5'!$E$28)+(R107*'VoT5'!$E$29)+(S107*'VoT5'!$E$30))/100))</f>
        <v>44.751070093836368</v>
      </c>
      <c r="U107" s="1565">
        <f>IF(ISERROR(MATCH($B107,'A1.3.2'!$B$27:$B$106,0)),"",(VLOOKUP($B107,'Forecast occupancies'!$C$28:$CP$64,19,TRUE) * VLOOKUP($B107, 'A1.3.2'!$B$27:$AY$106,37,)) * $CR$5)</f>
        <v>61.308009461077475</v>
      </c>
      <c r="V107" s="1565">
        <f>IF(ISERROR(MATCH($B107,'A1.3.2'!$B$27:$B$106,0)),"",VLOOKUP($B107,'Forecast occupancies'!$C$28:$CP$64,20,TRUE) * ('VoT5'!$J$29*VLOOKUP($B107, 'A1.3.2'!$B$27:$AY$106,49,)+'VoT5'!$J$30*VLOOKUP($B107, 'A1.3.2'!$B$27:$AY$106,50,))/('VoT5'!$J$29+'VoT5'!$J$30) * $CR$5)</f>
        <v>37.423667596533086</v>
      </c>
      <c r="W107" s="1566">
        <f>IF(ISERROR(MATCH($B107,'A1.3.2'!$B$27:$B$106,0)),"",(U107*'VoT5'!$E$31 + V107*'VoT5'!$E$32)/100)</f>
        <v>58.441888437332146</v>
      </c>
      <c r="X107" s="1566">
        <f>IF(ISERROR(MATCH($B107,'A1.3.2'!$B$27:$B$106,0)),"",(VLOOKUP($B107,'Forecast occupancies'!$C$28:$CP$64,22,TRUE)*VLOOKUP($B107,'A1.3.2'!$B$27:$AY$106,38,)) * $CR$5)</f>
        <v>60.196328733966872</v>
      </c>
      <c r="Y107" s="1566">
        <f>IF(ISERROR(MATCH($B107,'A1.3.2'!$B$27:$B$106,0)),"",(VLOOKUP($B107,'Forecast occupancies'!$C$28:$CP$64,23,TRUE)*VLOOKUP($B107,'A1.3.2'!$B$27:$AY$106,38,)) * $CR$5)</f>
        <v>60.196328733966872</v>
      </c>
      <c r="Z107" s="1565">
        <f>IF(ISERROR(MATCH($B107,'A1.3.2'!$B$27:$B$106,0)),"",(((VLOOKUP($B107,'Forecast occupancies'!$C$28:$CP$64,24,TRUE) -1) * VLOOKUP($B107,'A1.3.2'!$B$27:$AY$106,40,)) + VLOOKUP($B107,'A1.3.2'!$B$27:$AY$106,39,)) * $CR$5)</f>
        <v>69.99433069783781</v>
      </c>
      <c r="AA107" s="1565">
        <f>IF(ISERROR(MATCH($B107,'A1.3.2'!$B$27:$B$106,0)),"",(VLOOKUP($B107,'Forecast occupancies'!$C$28:$CP$64,25,TRUE) * VLOOKUP($B107,'A1.3.2'!$B$27:$AY$106,49,)) * $CR$5)</f>
        <v>32.909106386083735</v>
      </c>
      <c r="AB107" s="1565">
        <f>IF(ISERROR(MATCH($B107,'A1.3.2'!$B$27:$B$106,0)),"",(VLOOKUP($B107,'Forecast occupancies'!$C$28:$CP$64,26,TRUE) * VLOOKUP($B107,'A1.3.2'!$B$27:$AY$106,50,)) * $CR$5)</f>
        <v>213.60282199674191</v>
      </c>
      <c r="AC107" s="1567">
        <f>IF(ISERROR(MATCH($B107,'A1.3.2'!$B$27:$B$106,0)),"",SUM(Z107:AB107))</f>
        <v>316.50625908066343</v>
      </c>
      <c r="AD107" s="1609">
        <f>IF(ISERROR(MATCH($B107,'A1.3.2'!$B$27:$B$106,0)),"",(((VLOOKUP($B107,'Forecast occupancies'!$C$28:$CP$64,28,TRUE)-1)*VLOOKUP($B107,'A1.3.2'!$B$27:$AY$106,36,)+VLOOKUP($B107,'A1.3.2'!$B$27:$AY$106,35,))*$CR$5))</f>
        <v>85.10126491413547</v>
      </c>
      <c r="AE107" s="1565">
        <f>IF(ISERROR(MATCH($B107,'A1.3.2'!$B$27:$B$106,0)),"",VLOOKUP($B107,'Forecast occupancies'!$C$28:$CP$64,29,TRUE)*VLOOKUP($B107,'A1.3.2'!$B$27:$AY$106,49,)*$CR$5)</f>
        <v>47.439696304534614</v>
      </c>
      <c r="AF107" s="1565">
        <f>IF(ISERROR(MATCH($B107,'A1.3.2'!$B$27:$B$106,0)),"",VLOOKUP($B107,'Forecast occupancies'!$C$28:$CP$64,30,TRUE)*VLOOKUP($B107,'A1.3.2'!$B$27:$AY$106,50,)*$CR$5)</f>
        <v>34.156989349974715</v>
      </c>
      <c r="AG107" s="1566">
        <f>IF(ISERROR(MATCH($B107,'A1.3.2'!$B$27:$B$106,0)),"",(((AD107*'VoT5'!$F$28)+(AE107*'VoT5'!$F$29)+(AF107*'VoT5'!$F$30))/100))</f>
        <v>45.653165900348277</v>
      </c>
      <c r="AH107" s="1565">
        <f>IF(ISERROR(MATCH($B107,'A1.3.2'!$B$27:$B$106,0)),"",(VLOOKUP($B107,'Forecast occupancies'!$C$28:$CP$64,32,TRUE) * VLOOKUP($B107, 'A1.3.2'!$B$27:$AY$106,37,)) * $CR$5)</f>
        <v>61.308009461077475</v>
      </c>
      <c r="AI107" s="1565">
        <f>IF(ISERROR(MATCH($B107,'A1.3.2'!$B$27:$B$106,0)),"",VLOOKUP($B107,'Forecast occupancies'!$C$28:$CP$64,33,TRUE) * ('VoT5'!$J$29*VLOOKUP($B107, 'A1.3.2'!$B$27:$AY$106,49,)+'VoT5'!$J$30*VLOOKUP($B107, 'A1.3.2'!$B$27:$AY$106,50,))/('VoT5'!$J$29+'VoT5'!$J$30) * $CR$5)</f>
        <v>37.423667596533086</v>
      </c>
      <c r="AJ107" s="1566">
        <f>IF(ISERROR(MATCH($B107,'A1.3.2'!$B$27:$B$106,0)),"",(AH107*'VoT5'!$F$31 + AI107*'VoT5'!$F$32)/100)</f>
        <v>58.441888437332146</v>
      </c>
      <c r="AK107" s="1566">
        <f>IF(ISERROR(MATCH($B107,'A1.3.2'!$B$27:$B$106,0)),"",(VLOOKUP($B107,'Forecast occupancies'!$C$28:$CP$64,35,TRUE)*VLOOKUP($B107,'A1.3.2'!$B$27:$AY$106,38,)) * $CR$5)</f>
        <v>60.196328733966872</v>
      </c>
      <c r="AL107" s="1566">
        <f>IF(ISERROR(MATCH($B107,'A1.3.2'!$B$27:$B$106,0)),"",(VLOOKUP($B107,'Forecast occupancies'!$C$28:$CP$64,36,TRUE)*VLOOKUP($B107,'A1.3.2'!$B$27:$AY$106,38,)) * $CR$5)</f>
        <v>60.196328733966872</v>
      </c>
      <c r="AM107" s="1565">
        <f>IF(ISERROR(MATCH($B107,'A1.3.2'!$B$27:$B$106,0)),"",(((VLOOKUP($B107,'Forecast occupancies'!$C$28:$CP$64,37,TRUE) -1) * VLOOKUP($B107,'A1.3.2'!$B$27:$AY$106,40,)) + VLOOKUP($B107,'A1.3.2'!$B$27:$AY$106,39,)) * $CR$5)</f>
        <v>73.234163734825756</v>
      </c>
      <c r="AN107" s="1565">
        <f>IF(ISERROR(MATCH($B107,'A1.3.2'!$B$27:$B$106,0)),"",(VLOOKUP($B107,'Forecast occupancies'!$C$28:$CP$64,38,TRUE) * VLOOKUP($B107,'A1.3.2'!$B$27:$AY$106,49,)) * $CR$5)</f>
        <v>132.05942973059652</v>
      </c>
      <c r="AO107" s="1565">
        <f>IF(ISERROR(MATCH($B107,'A1.3.2'!$B$27:$B$106,0)),"",(VLOOKUP($B107,'Forecast occupancies'!$C$28:$CP$64,39,TRUE) * VLOOKUP($B107,'A1.3.2'!$B$27:$AY$106,50,)) * $CR$5)</f>
        <v>166.87934724953567</v>
      </c>
      <c r="AP107" s="1567">
        <f>IF(ISERROR(MATCH($B107,'A1.3.2'!$B$27:$B$106,0)),"",SUM(AM107:AO107))</f>
        <v>372.17294071495792</v>
      </c>
      <c r="AQ107" s="1609">
        <f>IF(ISERROR(MATCH($B107,'A1.3.2'!$B$27:$B$106,0)),"",(((VLOOKUP($B107,'Forecast occupancies'!$C$28:$CP$64,41,TRUE)-1)*VLOOKUP($B107,'A1.3.2'!$B$27:$AY$106,36,)+VLOOKUP($B107,'A1.3.2'!$B$27:$AY$106,35,))*$CR$5))</f>
        <v>86.711433792906234</v>
      </c>
      <c r="AR107" s="1565">
        <f>IF(ISERROR(MATCH($B107,'A1.3.2'!$B$27:$B$106,0)),"",VLOOKUP($B107,'Forecast occupancies'!$C$28:$CP$64,42,TRUE)*VLOOKUP($B107,'A1.3.2'!$B$27:$AY$106,49,)*$CR$5)</f>
        <v>48.134021440995951</v>
      </c>
      <c r="AS107" s="1565">
        <f>IF(ISERROR(MATCH($B107,'A1.3.2'!$B$27:$B$106,0)),"",VLOOKUP($B107,'Forecast occupancies'!$C$28:$CP$64,43,TRUE)*VLOOKUP($B107,'A1.3.2'!$B$27:$AY$106,50,)*$CR$5)</f>
        <v>34.035041408039454</v>
      </c>
      <c r="AT107" s="1566">
        <f>IF(ISERROR(MATCH($B107,'A1.3.2'!$B$27:$B$106,0)),"",(((AQ107*'VoT5'!$G$28)+(AR107*'VoT5'!$G$29)+(AS107*'VoT5'!$G$30))/100))</f>
        <v>46.253267628955818</v>
      </c>
      <c r="AU107" s="1565">
        <f>IF(ISERROR(MATCH($B107,'A1.3.2'!$B$27:$B$106,0)),"",(VLOOKUP($B107,'Forecast occupancies'!$C$28:$CP$64,45,TRUE) * VLOOKUP($B107, 'A1.3.2'!$B$27:$AY$106,37,)) * $CR$5)</f>
        <v>61.308009461077475</v>
      </c>
      <c r="AV107" s="1565">
        <f>IF(ISERROR(MATCH($B107,'A1.3.2'!$B$27:$B$106,0)),"",VLOOKUP($B107,'Forecast occupancies'!$C$28:$CP$64,46,TRUE) * ('VoT5'!$J$29*VLOOKUP($B107, 'A1.3.2'!$B$27:$AY$106,49,)+'VoT5'!$J$30*VLOOKUP($B107, 'A1.3.2'!$B$27:$AY$106,50,))/('VoT5'!$J$29+'VoT5'!$J$30) * $CR$5)</f>
        <v>37.423667596533086</v>
      </c>
      <c r="AW107" s="1566">
        <f>IF(ISERROR(MATCH($B107,'A1.3.2'!$B$27:$B$106,0)),"",(AU107*'VoT5'!$G$31 + AV107*'VoT5'!$G$32)/100)</f>
        <v>58.441888437332146</v>
      </c>
      <c r="AX107" s="1566">
        <f>IF(ISERROR(MATCH($B107,'A1.3.2'!$B$27:$B$106,0)),"",(VLOOKUP($B107,'Forecast occupancies'!$C$28:$CP$64,48,TRUE)*VLOOKUP($B107,'A1.3.2'!$B$27:$AY$106,38,)) * $CR$5)</f>
        <v>60.196328733966872</v>
      </c>
      <c r="AY107" s="1566">
        <f>IF(ISERROR(MATCH($B107,'A1.3.2'!$B$27:$B$106,0)),"",(VLOOKUP($B107,'Forecast occupancies'!$C$28:$CP$64,49,TRUE)*VLOOKUP($B107,'A1.3.2'!$B$27:$AY$106,38,)) * $CR$5)</f>
        <v>60.196328733966872</v>
      </c>
      <c r="AZ107" s="1565">
        <f>IF(ISERROR(MATCH($B107,'A1.3.2'!$B$27:$B$106,0)),"",(((VLOOKUP($B107,'Forecast occupancies'!$C$28:$CP$64,50,TRUE) -1) * VLOOKUP($B107,'A1.3.2'!$B$27:$AY$106,40,)) + VLOOKUP($B107,'A1.3.2'!$B$27:$AY$106,39,)) * $CR$5)</f>
        <v>73.174941232753255</v>
      </c>
      <c r="BA107" s="1565">
        <f>IF(ISERROR(MATCH($B107,'A1.3.2'!$B$27:$B$106,0)),"",(VLOOKUP($B107,'Forecast occupancies'!$C$28:$CP$64,51,TRUE) * VLOOKUP($B107,'A1.3.2'!$B$27:$AY$106,49,)) * $CR$5)</f>
        <v>180.52196014676105</v>
      </c>
      <c r="BB107" s="1565">
        <f>IF(ISERROR(MATCH($B107,'A1.3.2'!$B$27:$B$106,0)),"",(VLOOKUP($B107,'Forecast occupancies'!$C$28:$CP$64,52,TRUE) * VLOOKUP($B107,'A1.3.2'!$B$27:$AY$106,50,)) * $CR$5)</f>
        <v>144.78643362681512</v>
      </c>
      <c r="BC107" s="1567">
        <f>IF(ISERROR(MATCH($B107,'A1.3.2'!$B$27:$B$106,0)),"",SUM(AZ107:BB107))</f>
        <v>398.48333500632941</v>
      </c>
      <c r="BD107" s="1565">
        <f>IF(ISERROR(MATCH($B107,'A1.3.2'!$B$27:$B$106,0)),"",(((VLOOKUP($B107,'Forecast occupancies'!$C$28:$CP$64,54,TRUE)-1)*VLOOKUP($B107,'A1.3.2'!$B$27:$AY$106,36,)+VLOOKUP($B107,'A1.3.2'!$B$27:$AY$106,35,))*$CR$5))</f>
        <v>85.252684727523629</v>
      </c>
      <c r="BE107" s="1565">
        <f>IF(ISERROR(MATCH($B107,'A1.3.2'!$B$27:$B$106,0)),"",VLOOKUP($B107,'Forecast occupancies'!$C$28:$CP$64,55,TRUE)*VLOOKUP($B107,'A1.3.2'!$B$27:$AY$106,49,)*$CR$5)</f>
        <v>47.600991667080919</v>
      </c>
      <c r="BF107" s="1565">
        <f>IF(ISERROR(MATCH($B107,'A1.3.2'!$B$27:$B$106,0)),"",VLOOKUP($B107,'Forecast occupancies'!$C$28:$CP$64,56,TRUE)*VLOOKUP($B107,'A1.3.2'!$B$27:$AY$106,50,)*$CR$5)</f>
        <v>34.119606565060103</v>
      </c>
      <c r="BG107" s="1566">
        <f>IF(ISERROR(MATCH($B107,'A1.3.2'!$B$27:$B$106,0)),"",(((BD107*'VoT5'!$H$28)+(BE107*'VoT5'!$H$29)+(BF107*'VoT5'!$H$30))/100))</f>
        <v>45.920168871541527</v>
      </c>
      <c r="BH107" s="1565">
        <f>IF(ISERROR(MATCH($B107,'A1.3.2'!$B$27:$B$106,0)),"",(VLOOKUP($B107,'Forecast occupancies'!$C$28:$CP$64,58,TRUE) * VLOOKUP($B107, 'A1.3.2'!$B$27:$AY$106,37,)) * $CR$5)</f>
        <v>61.308009461077475</v>
      </c>
      <c r="BI107" s="1565">
        <f>IF(ISERROR(MATCH($B107,'A1.3.2'!$B$27:$B$106,0)),"",(VLOOKUP($B107,'Forecast occupancies'!$C$28:$CP$64,59,TRUE) * (VLOOKUP($B107,'A1.3.2'!$B$27:$AY$106,49,) * 'VoT5'!$J$29 + VLOOKUP($B107,'A1.3.2'!$B$27:$AY$106,50,) * 'VoT5'!$J$30) / (SUM('VoT5'!$J$29:$J$30))) * $CR$5)</f>
        <v>37.423667596533086</v>
      </c>
      <c r="BJ107" s="1566">
        <f>IF(ISERROR(MATCH($B107,'A1.3.2'!$B$27:$B$106,0)),"",(BH107*'VoT5'!$H$31 + BI107*'VoT5'!$H$32)/100)</f>
        <v>58.441888437332146</v>
      </c>
      <c r="BK107" s="1566">
        <f>IF(ISERROR(MATCH($B107,'A1.3.2'!$B$27:$B$106,0)),"",(VLOOKUP($B107,'Forecast occupancies'!$C$28:$CP$64,61,TRUE)*VLOOKUP($B107,'A1.3.2'!$B$27:$AY$106,38,)) * $CR$5)</f>
        <v>60.196328733966872</v>
      </c>
      <c r="BL107" s="1566">
        <f>IF(ISERROR(MATCH($B107,'A1.3.2'!$B$27:$B$106,0)),"",(VLOOKUP($B107,'Forecast occupancies'!$C$28:$CP$64,62,TRUE)*VLOOKUP($B107,'A1.3.2'!$B$27:$AY$106,38,)) * $CR$5)</f>
        <v>60.196328733966872</v>
      </c>
      <c r="BM107" s="1565">
        <f>IF(ISERROR(MATCH($B107,'A1.3.2'!$B$27:$B$106,0)),"",(((VLOOKUP($B107,'Forecast occupancies'!$C$28:$CP$64,63,TRUE) -1) * VLOOKUP($B107,'A1.3.2'!$B$27:$AY$106,40,)) + VLOOKUP($B107,'A1.3.2'!$B$27:$AY$106,39,)) * $CR$5)</f>
        <v>70.554638866485462</v>
      </c>
      <c r="BN107" s="1565">
        <f>IF(ISERROR(MATCH($B107,'A1.3.2'!$B$27:$B$106,0)),"",(VLOOKUP($B107,'Forecast occupancies'!$C$28:$CP$64,64,TRUE) * VLOOKUP($B107,'A1.3.2'!$B$27:$AY$106,49,)) * $CR$5)</f>
        <v>81.49366058621365</v>
      </c>
      <c r="BO107" s="1565">
        <f>IF(ISERROR(MATCH($B107,'A1.3.2'!$B$27:$B$106,0)),"",(VLOOKUP($B107,'Forecast occupancies'!$C$28:$CP$64,65,TRUE) * VLOOKUP($B107,'A1.3.2'!$B$27:$AY$106,50,)) * $CR$5)</f>
        <v>191.17344188576251</v>
      </c>
      <c r="BP107" s="1567">
        <f>IF(ISERROR(MATCH($B107,'A1.3.2'!$B$27:$B$106,0)),"",SUM(BM107:BO107))</f>
        <v>343.22174133846158</v>
      </c>
      <c r="BQ107" s="1565">
        <f>IF(ISERROR(MATCH($B107,'A1.3.2'!$B$27:$B$106,0)),"",(((VLOOKUP($B107,'Forecast occupancies'!$C$28:$CP$64,67,TRUE)-1)*VLOOKUP($B107,'A1.3.2'!$B$27:$AY$106,36,)+VLOOKUP($B107,'A1.3.2'!$B$27:$AY$106,35,))*$CR$5))</f>
        <v>97.433146372222254</v>
      </c>
      <c r="BR107" s="1565">
        <f>IF(ISERROR(MATCH($B107,'A1.3.2'!$B$27:$B$106,0)),"",VLOOKUP($B107,'Forecast occupancies'!$C$28:$CP$64,68,TRUE)*VLOOKUP($B107,'A1.3.2'!$B$27:$AY$106,49,)*$CR$5)</f>
        <v>50.397641900342983</v>
      </c>
      <c r="BS107" s="1565">
        <f>IF(ISERROR(MATCH($B107,'A1.3.2'!$B$27:$B$106,0)),"",VLOOKUP($B107,'Forecast occupancies'!$C$28:$CP$64,69,TRUE)*VLOOKUP($B107,'A1.3.2'!$B$27:$AY$106,50,)*$CR$5)</f>
        <v>40.398436668597476</v>
      </c>
      <c r="BT107" s="1566">
        <f>IF(ISERROR(MATCH($B107,'A1.3.2'!$B$27:$B$106,0)),"",(((BQ107*'VoT5'!$I$28)+(BR107*'VoT5'!$I$29)+(BS107*'VoT5'!$I$30))/100))</f>
        <v>43.168277285496004</v>
      </c>
      <c r="BU107" s="1565">
        <f>IF(ISERROR(MATCH($B107,'A1.3.2'!$B$27:$B$106,0)),"",(VLOOKUP($B107,'Forecast occupancies'!$C$28:$CP$64,71,TRUE) * VLOOKUP($B107, 'A1.3.2'!$B$27:$AY$106,37,)) * $CR$5)</f>
        <v>64.373409934131359</v>
      </c>
      <c r="BV107" s="1565">
        <f>IF(ISERROR(MATCH($B107,'A1.3.2'!$B$27:$B$106,0)),"",(VLOOKUP($B107,'Forecast occupancies'!$C$28:$CP$64,72,TRUE) * (VLOOKUP($B107,'A1.3.2'!$B$27:$AY$106,49,)*'VoT5'!$J$29 + VLOOKUP($B107,'A1.3.2'!$B$27:$AY$106,50,)*'VoT5'!$J$30) / (SUM('VoT5'!$J$29:$J$30))) * $CR$5)</f>
        <v>52.03427754860423</v>
      </c>
      <c r="BW107" s="1566">
        <f>IF(ISERROR(MATCH($B107,'A1.3.2'!$B$27:$B$106,0)),"",(BU107*'VoT5'!$I$31 + BV107*'VoT5'!$I$32)/100)</f>
        <v>62.892714047868104</v>
      </c>
      <c r="BX107" s="1566">
        <f>IF(ISERROR(MATCH($B107,'A1.3.2'!$B$27:$B$106,0)),"",(VLOOKUP($B107,'Forecast occupancies'!$C$28:$CP$64,74,TRUE)*VLOOKUP($B107,'A1.3.2'!$B$27:$AY$106,38,)) * $CR$5)</f>
        <v>60.196328733966872</v>
      </c>
      <c r="BY107" s="1566">
        <f>IF(ISERROR(MATCH($B107,'A1.3.2'!$B$27:$B$106,0)),"",(VLOOKUP($B107,'Forecast occupancies'!$C$28:$CP$64,75,TRUE)*VLOOKUP($B107,'A1.3.2'!$B$27:$AY$106,38,)) * $CR$5)</f>
        <v>60.196328733966872</v>
      </c>
      <c r="BZ107" s="1565">
        <f>IF(ISERROR(MATCH($B107,'A1.3.2'!$B$27:$B$106,0)),"",(((VLOOKUP($B107,'Forecast occupancies'!$C$28:$CP$64,76,TRUE) -1) * VLOOKUP($B107,'A1.3.2'!$B$27:$AY$106,40,)) + VLOOKUP($B107,'A1.3.2'!$B$27:$AY$106,39,)) * $CR$5)</f>
        <v>64.256529187393426</v>
      </c>
      <c r="CA107" s="1565">
        <f>IF(ISERROR(MATCH($B107,'A1.3.2'!$B$27:$B$106,0)),"",(VLOOKUP($B107,'Forecast occupancies'!$C$28:$CP$64,77,TRUE) * VLOOKUP($B107,'A1.3.2'!$B$27:$AY$106,49,)) * $CR$5)</f>
        <v>30.872943265846239</v>
      </c>
      <c r="CB107" s="1565">
        <f>IF(ISERROR(MATCH($B107,'A1.3.2'!$B$27:$B$106,0)),"",(VLOOKUP($B107,'Forecast occupancies'!$C$28:$CP$64,78,TRUE) * VLOOKUP($B107,'A1.3.2'!$B$27:$AY$106,50,)) * $CR$5)</f>
        <v>217.132558403248</v>
      </c>
      <c r="CC107" s="1567">
        <f>IF(ISERROR(MATCH($B107,'A1.3.2'!$B$27:$B$106,0)),"",SUM(BZ107:CB107))</f>
        <v>312.26203085648763</v>
      </c>
      <c r="CD107" s="1565">
        <f>IF(ISERROR(MATCH($B107,'A1.3.2'!$B$27:$B$106,0)),"",(((VLOOKUP($B107,'Forecast occupancies'!$C$28:$CP$64,80,TRUE)-1)*VLOOKUP($B107,'A1.3.2'!$B$27:$AY$106,36,)+VLOOKUP($B107,'A1.3.2'!$B$27:$AY$106,35,))*$CR$5))</f>
        <v>86.117287968834688</v>
      </c>
      <c r="CE107" s="1565">
        <f>IF(ISERROR(MATCH($B107,'A1.3.2'!$B$27:$B$106,0)),"",VLOOKUP($B107,'Forecast occupancies'!$C$28:$CP$64,81,TRUE)*VLOOKUP($B107,'A1.3.2'!$B$27:$AY$106,49,)*$CR$5)</f>
        <v>47.827242514423538</v>
      </c>
      <c r="CF107" s="1565">
        <f>IF(ISERROR(MATCH($B107,'A1.3.2'!$B$27:$B$106,0)),"",VLOOKUP($B107,'Forecast occupancies'!$C$28:$CP$64,82,TRUE)*VLOOKUP($B107,'A1.3.2'!$B$27:$AY$106,50,)*$CR$5)</f>
        <v>36.335207447382913</v>
      </c>
      <c r="CG107" s="1566">
        <f>IF(ISERROR(MATCH($B107,'A1.3.2'!$B$27:$B$106,0)),"",(((CD107*'VoT5'!$J$28)+(CE107*'VoT5'!$J$29)+(CF107*'VoT5'!$J$30))/100))</f>
        <v>45.267708445417576</v>
      </c>
      <c r="CH107" s="1565">
        <f>IF(ISERROR(MATCH($B107,'A1.3.2'!$B$27:$B$106,0)),"",(VLOOKUP($B107,'Forecast occupancies'!$C$28:$CP$64,84,TRUE) * VLOOKUP($B107, 'A1.3.2'!$B$27:$AY$106,37,)) * $CR$5)</f>
        <v>61.308009461077475</v>
      </c>
      <c r="CI107" s="1565">
        <f>IF(ISERROR(MATCH($B107,'A1.3.2'!$B$27:$B$106,0)),"",(VLOOKUP($B107,'Forecast occupancies'!$C$28:$CP$64,85,TRUE) * (VLOOKUP($B107,'A1.3.2'!$B$27:$AY$106,49,)*'VoT5'!$J$29 + VLOOKUP($B107,'A1.3.2'!$B$27:$AY$106,50,)*'VoT5'!$J$30) / (SUM('VoT5'!$J$29:$J$30))) * $CR$5)</f>
        <v>40.75591197156686</v>
      </c>
      <c r="CJ107" s="1566">
        <f>IF(ISERROR(MATCH($B107,'A1.3.2'!$B$27:$B$106,0)),"",(CH107*'VoT5'!$J$31 + CI107*'VoT5'!$J$32)/100)</f>
        <v>58.841757762336201</v>
      </c>
      <c r="CK107" s="1566">
        <f>IF(ISERROR(MATCH($B107,'A1.3.2'!$B$27:$B$106,0)),"",(VLOOKUP($B107,'Forecast occupancies'!$C$28:$CP$64,87,TRUE)*VLOOKUP($B107,'A1.3.2'!$B$27:$AY$106,38,)) * $CR$5)</f>
        <v>60.196328733966872</v>
      </c>
      <c r="CL107" s="1566">
        <f>IF(ISERROR(MATCH($B107,'A1.3.2'!$B$27:$B$106,0)),"",(VLOOKUP($B107,'Forecast occupancies'!$C$28:$CP$64,88,TRUE)*VLOOKUP($B107,'A1.3.2'!$B$27:$AY$106,38,)) * $CR$5)</f>
        <v>60.196328733966872</v>
      </c>
      <c r="CM107" s="1565">
        <f>IF(ISERROR(MATCH($B107,'A1.3.2'!$B$27:$B$106,0)),"",(((VLOOKUP($B107,'Forecast occupancies'!$C$28:$CP$64,89,TRUE) -1) * VLOOKUP($B107,'A1.3.2'!$B$27:$AY$106,40,)) + VLOOKUP($B107,'A1.3.2'!$B$27:$AY$106,39,)) * $CR$5)</f>
        <v>68.999377992376594</v>
      </c>
      <c r="CN107" s="1565">
        <f>IF(ISERROR(MATCH($B107,'A1.3.2'!$B$27:$B$106,0)),"",(VLOOKUP($B107,'Forecast occupancies'!$C$28:$CP$64,90,TRUE) * VLOOKUP($B107,'A1.3.2'!$B$27:$AY$106,49,)) * $CR$5)</f>
        <v>68.990926132753856</v>
      </c>
      <c r="CO107" s="1565">
        <f>IF(ISERROR(MATCH($B107,'A1.3.2'!$B$27:$B$106,0)),"",(VLOOKUP($B107,'Forecast occupancies'!$C$28:$CP$64,91,TRUE) * VLOOKUP($B107,'A1.3.2'!$B$27:$AY$106,50,)) * $CR$5)</f>
        <v>197.5849090040559</v>
      </c>
      <c r="CP107" s="1567">
        <f>IF(ISERROR(MATCH($B107,'A1.3.2'!$B$27:$B$106,0)),"",SUM(CM107:CO107))</f>
        <v>335.57521312918635</v>
      </c>
    </row>
    <row r="108" spans="1:94" ht="13.5" customHeight="1" thickBot="1">
      <c r="A108" s="381"/>
      <c r="B108" s="93"/>
      <c r="C108" s="13"/>
      <c r="D108" s="381"/>
      <c r="E108" s="13"/>
      <c r="F108" s="13"/>
      <c r="G108" s="1612"/>
      <c r="H108" s="13"/>
      <c r="I108" s="13"/>
      <c r="J108" s="1612"/>
      <c r="K108" s="1612"/>
      <c r="L108" s="1612"/>
      <c r="M108" s="13"/>
      <c r="N108" s="13"/>
      <c r="O108" s="13"/>
      <c r="P108" s="168"/>
      <c r="Q108" s="381"/>
      <c r="R108" s="13"/>
      <c r="S108" s="13"/>
      <c r="T108" s="13"/>
      <c r="U108" s="13"/>
      <c r="V108" s="13"/>
      <c r="W108" s="13"/>
      <c r="X108" s="13"/>
      <c r="Y108" s="13"/>
      <c r="Z108" s="13"/>
      <c r="AA108" s="13"/>
      <c r="AB108" s="13"/>
      <c r="AC108" s="168"/>
      <c r="AD108" s="381"/>
      <c r="AE108" s="13"/>
      <c r="AF108" s="13"/>
      <c r="AG108" s="1612"/>
      <c r="AH108" s="13"/>
      <c r="AI108" s="13"/>
      <c r="AJ108" s="1612"/>
      <c r="AK108" s="1612"/>
      <c r="AL108" s="1612"/>
      <c r="AM108" s="13"/>
      <c r="AN108" s="13"/>
      <c r="AO108" s="13"/>
      <c r="AP108" s="168"/>
      <c r="AQ108" s="381"/>
      <c r="AR108" s="13"/>
      <c r="AS108" s="13"/>
      <c r="AT108" s="1612"/>
      <c r="AU108" s="13"/>
      <c r="AV108" s="13"/>
      <c r="AW108" s="1612"/>
      <c r="AX108" s="1612"/>
      <c r="AY108" s="1612"/>
      <c r="AZ108" s="13"/>
      <c r="BA108" s="13"/>
      <c r="BB108" s="13"/>
      <c r="BC108" s="168"/>
      <c r="BD108" s="13"/>
      <c r="BE108" s="13"/>
      <c r="BF108" s="13"/>
      <c r="BG108" s="1612"/>
      <c r="BH108" s="13"/>
      <c r="BI108" s="13"/>
      <c r="BJ108" s="1612"/>
      <c r="BK108" s="1612"/>
      <c r="BL108" s="1612"/>
      <c r="BM108" s="13"/>
      <c r="BN108" s="13"/>
      <c r="BO108" s="13"/>
      <c r="BP108" s="168"/>
      <c r="BQ108" s="13"/>
      <c r="BR108" s="13"/>
      <c r="BS108" s="13"/>
      <c r="BT108" s="1612"/>
      <c r="BU108" s="13"/>
      <c r="BV108" s="13"/>
      <c r="BW108" s="1612"/>
      <c r="BX108" s="1612"/>
      <c r="BY108" s="1612"/>
      <c r="BZ108" s="13"/>
      <c r="CA108" s="13"/>
      <c r="CB108" s="13"/>
      <c r="CC108" s="168"/>
      <c r="CD108" s="13"/>
      <c r="CE108" s="13"/>
      <c r="CF108" s="13"/>
      <c r="CG108" s="1612"/>
      <c r="CH108" s="13"/>
      <c r="CI108" s="13"/>
      <c r="CJ108" s="1612"/>
      <c r="CK108" s="1612"/>
      <c r="CL108" s="1612"/>
      <c r="CM108" s="13"/>
      <c r="CN108" s="13"/>
      <c r="CO108" s="13"/>
      <c r="CP108" s="168"/>
    </row>
    <row r="109" spans="1:94" ht="13.5" customHeight="1" thickTop="1" thickBot="1">
      <c r="A109" s="26"/>
      <c r="B109" s="535"/>
      <c r="BP109" s="348"/>
      <c r="BQ109" s="348"/>
      <c r="BR109" s="348"/>
      <c r="BS109" s="348"/>
      <c r="BT109" s="348"/>
      <c r="BU109" s="348"/>
      <c r="BV109" s="348"/>
      <c r="BW109" s="348"/>
      <c r="BX109" s="348"/>
      <c r="BY109" s="348"/>
      <c r="BZ109" s="348"/>
      <c r="CA109" s="348"/>
      <c r="CB109" s="348"/>
      <c r="CC109" s="348"/>
      <c r="CD109" s="348"/>
      <c r="CE109" s="348"/>
      <c r="CF109" s="348"/>
      <c r="CG109" s="348"/>
    </row>
    <row r="110" spans="1:94" s="28" customFormat="1" ht="13.5" customHeight="1" thickBot="1">
      <c r="A110" s="29"/>
      <c r="B110" s="301"/>
      <c r="D110" s="2414" t="s">
        <v>1489</v>
      </c>
      <c r="Q110" s="528" t="s">
        <v>1489</v>
      </c>
      <c r="AD110" s="528" t="s">
        <v>1489</v>
      </c>
      <c r="AQ110" s="528" t="s">
        <v>1489</v>
      </c>
      <c r="BD110" s="528" t="s">
        <v>1489</v>
      </c>
      <c r="BP110" s="29"/>
      <c r="BQ110" s="528" t="s">
        <v>1489</v>
      </c>
      <c r="BR110" s="29"/>
      <c r="BS110" s="29"/>
      <c r="BT110" s="29"/>
      <c r="BU110" s="29"/>
      <c r="BV110" s="29"/>
      <c r="BW110" s="29"/>
      <c r="BX110" s="29"/>
      <c r="BY110" s="29"/>
      <c r="BZ110" s="29"/>
      <c r="CA110" s="29"/>
      <c r="CB110" s="29"/>
      <c r="CC110" s="29"/>
      <c r="CD110" s="528" t="s">
        <v>1489</v>
      </c>
      <c r="CE110" s="29"/>
      <c r="CF110" s="29"/>
      <c r="CG110" s="29"/>
    </row>
    <row r="111" spans="1:94" ht="13.5" customHeight="1">
      <c r="A111" s="26"/>
      <c r="B111" s="535"/>
      <c r="BP111" s="26"/>
      <c r="BQ111" s="26"/>
      <c r="BR111" s="26"/>
      <c r="BS111" s="26"/>
      <c r="BT111" s="26"/>
      <c r="BU111" s="26"/>
      <c r="BV111" s="26"/>
      <c r="BW111" s="26"/>
      <c r="BX111" s="26"/>
      <c r="BY111" s="26"/>
      <c r="BZ111" s="26"/>
      <c r="CA111" s="26"/>
      <c r="CB111" s="26"/>
      <c r="CC111" s="26"/>
      <c r="CD111" s="26"/>
      <c r="CE111" s="26"/>
      <c r="CF111" s="26"/>
      <c r="CG111" s="26"/>
    </row>
    <row r="112" spans="1:94" ht="13.5" customHeight="1">
      <c r="A112" s="26"/>
      <c r="B112" s="535"/>
      <c r="BP112" s="26"/>
      <c r="BQ112" s="26"/>
      <c r="BR112" s="26"/>
      <c r="BS112" s="26"/>
      <c r="BT112" s="26"/>
      <c r="BU112" s="26"/>
      <c r="BV112" s="26"/>
      <c r="BW112" s="26"/>
      <c r="BX112" s="26"/>
      <c r="BY112" s="26"/>
      <c r="BZ112" s="26"/>
      <c r="CA112" s="26"/>
      <c r="CB112" s="26"/>
      <c r="CC112" s="26"/>
      <c r="CD112" s="26"/>
      <c r="CE112" s="26"/>
      <c r="CF112" s="26"/>
      <c r="CG112" s="26"/>
    </row>
    <row r="113" spans="1:85" ht="13.5" customHeight="1">
      <c r="A113" s="26"/>
      <c r="B113" s="535"/>
      <c r="BP113" s="26"/>
      <c r="BQ113" s="26"/>
      <c r="BR113" s="26"/>
      <c r="BS113" s="26"/>
      <c r="BT113" s="26"/>
      <c r="BU113" s="26"/>
      <c r="BV113" s="26"/>
      <c r="BW113" s="26"/>
      <c r="BX113" s="26"/>
      <c r="BY113" s="26"/>
      <c r="BZ113" s="26"/>
      <c r="CA113" s="26"/>
      <c r="CB113" s="26"/>
      <c r="CC113" s="26"/>
      <c r="CD113" s="26"/>
      <c r="CE113" s="26"/>
      <c r="CF113" s="26"/>
      <c r="CG113" s="26"/>
    </row>
    <row r="114" spans="1:85" ht="13.5" customHeight="1">
      <c r="A114" s="26"/>
      <c r="B114" s="535"/>
      <c r="BP114" s="26"/>
      <c r="BQ114" s="26"/>
      <c r="BR114" s="26"/>
      <c r="BS114" s="26"/>
      <c r="BT114" s="26"/>
      <c r="BU114" s="26"/>
      <c r="BV114" s="26"/>
      <c r="BW114" s="26"/>
      <c r="BX114" s="26"/>
      <c r="BY114" s="26"/>
      <c r="BZ114" s="26"/>
      <c r="CA114" s="26"/>
      <c r="CB114" s="26"/>
      <c r="CC114" s="26"/>
      <c r="CD114" s="26"/>
      <c r="CE114" s="26"/>
      <c r="CF114" s="26"/>
      <c r="CG114" s="26"/>
    </row>
    <row r="115" spans="1:85" ht="13.5" customHeight="1">
      <c r="A115" s="26"/>
      <c r="B115" s="535"/>
      <c r="BP115" s="26"/>
      <c r="BQ115" s="26"/>
      <c r="BR115" s="26"/>
      <c r="BS115" s="26"/>
      <c r="BT115" s="26"/>
      <c r="BU115" s="26"/>
      <c r="BV115" s="26"/>
      <c r="BW115" s="26"/>
      <c r="BX115" s="26"/>
      <c r="BY115" s="26"/>
      <c r="BZ115" s="26"/>
      <c r="CA115" s="26"/>
      <c r="CB115" s="26"/>
      <c r="CC115" s="26"/>
      <c r="CD115" s="26"/>
      <c r="CE115" s="26"/>
      <c r="CF115" s="26"/>
      <c r="CG115" s="26"/>
    </row>
    <row r="116" spans="1:85" ht="13.5" customHeight="1">
      <c r="A116" s="26"/>
      <c r="B116" s="535"/>
      <c r="BP116" s="26"/>
      <c r="BQ116" s="26"/>
      <c r="BR116" s="26"/>
      <c r="BS116" s="26"/>
      <c r="BT116" s="26"/>
      <c r="BU116" s="26"/>
      <c r="BV116" s="26"/>
      <c r="BW116" s="26"/>
      <c r="BX116" s="26"/>
      <c r="BY116" s="26"/>
      <c r="BZ116" s="26"/>
      <c r="CA116" s="26"/>
      <c r="CB116" s="26"/>
      <c r="CC116" s="26"/>
      <c r="CD116" s="26"/>
      <c r="CE116" s="26"/>
      <c r="CF116" s="26"/>
      <c r="CG116" s="26"/>
    </row>
    <row r="117" spans="1:85" ht="13.5" customHeight="1">
      <c r="A117" s="26"/>
      <c r="B117" s="535"/>
      <c r="BP117" s="26"/>
      <c r="BQ117" s="26"/>
      <c r="BR117" s="26"/>
      <c r="BS117" s="26"/>
      <c r="BT117" s="26"/>
      <c r="BU117" s="26"/>
      <c r="BV117" s="26"/>
      <c r="BW117" s="26"/>
      <c r="BX117" s="26"/>
      <c r="BY117" s="26"/>
      <c r="BZ117" s="26"/>
      <c r="CA117" s="26"/>
      <c r="CB117" s="26"/>
      <c r="CC117" s="26"/>
      <c r="CD117" s="26"/>
      <c r="CE117" s="26"/>
      <c r="CF117" s="26"/>
      <c r="CG117" s="26"/>
    </row>
    <row r="118" spans="1:85" ht="13.5" customHeight="1">
      <c r="A118" s="26"/>
      <c r="B118" s="535"/>
      <c r="BP118" s="26"/>
      <c r="BQ118" s="26"/>
      <c r="BR118" s="26"/>
      <c r="BS118" s="26"/>
      <c r="BT118" s="26"/>
      <c r="BU118" s="26"/>
      <c r="BV118" s="26"/>
      <c r="BW118" s="26"/>
      <c r="BX118" s="26"/>
      <c r="BY118" s="26"/>
      <c r="BZ118" s="26"/>
      <c r="CA118" s="26"/>
      <c r="CB118" s="26"/>
      <c r="CC118" s="26"/>
      <c r="CD118" s="26"/>
      <c r="CE118" s="26"/>
      <c r="CF118" s="26"/>
      <c r="CG118" s="26"/>
    </row>
    <row r="119" spans="1:85" ht="13.5" customHeight="1">
      <c r="A119" s="26"/>
      <c r="B119" s="535"/>
      <c r="BP119" s="26"/>
      <c r="BQ119" s="26"/>
      <c r="BR119" s="26"/>
      <c r="BS119" s="26"/>
      <c r="BT119" s="26"/>
      <c r="BU119" s="26"/>
      <c r="BV119" s="26"/>
      <c r="BW119" s="26"/>
      <c r="BX119" s="26"/>
      <c r="BY119" s="26"/>
      <c r="BZ119" s="26"/>
      <c r="CA119" s="26"/>
      <c r="CB119" s="26"/>
      <c r="CC119" s="26"/>
      <c r="CD119" s="26"/>
      <c r="CE119" s="26"/>
      <c r="CF119" s="26"/>
      <c r="CG119" s="26"/>
    </row>
    <row r="120" spans="1:85" ht="13.5" customHeight="1">
      <c r="A120" s="26"/>
    </row>
    <row r="121" spans="1:85" ht="13.5" customHeight="1">
      <c r="A121" s="26"/>
    </row>
    <row r="122" spans="1:85" ht="13.5" customHeight="1">
      <c r="A122" s="26"/>
    </row>
    <row r="123" spans="1:85" ht="13.5" customHeight="1">
      <c r="A123" s="26"/>
    </row>
    <row r="124" spans="1:85" ht="13.5" customHeight="1">
      <c r="A124" s="26"/>
    </row>
    <row r="125" spans="1:85" ht="13.5" customHeight="1">
      <c r="A125" s="26"/>
    </row>
    <row r="126" spans="1:85" ht="13.5" customHeight="1">
      <c r="A126" s="26"/>
    </row>
    <row r="127" spans="1:85" ht="13.5" customHeight="1">
      <c r="A127" s="26"/>
    </row>
    <row r="128" spans="1:85" ht="13.5" customHeight="1">
      <c r="A128" s="26"/>
    </row>
    <row r="129" spans="1:1" ht="13.5" customHeight="1">
      <c r="A129" s="26"/>
    </row>
    <row r="130" spans="1:1" ht="13.5" customHeight="1">
      <c r="A130" s="26"/>
    </row>
    <row r="131" spans="1:1" ht="13.5" customHeight="1">
      <c r="A131" s="26"/>
    </row>
    <row r="132" spans="1:1" ht="13.5" customHeight="1">
      <c r="A132" s="26"/>
    </row>
    <row r="133" spans="1:1" ht="13.5" customHeight="1">
      <c r="A133" s="26"/>
    </row>
    <row r="134" spans="1:1" ht="13.5" customHeight="1">
      <c r="A134" s="26"/>
    </row>
    <row r="135" spans="1:1" ht="13.5" customHeight="1">
      <c r="A135" s="26"/>
    </row>
    <row r="136" spans="1:1" ht="13.5" customHeight="1">
      <c r="A136" s="26"/>
    </row>
    <row r="137" spans="1:1" ht="13.5" customHeight="1">
      <c r="A137" s="26"/>
    </row>
    <row r="138" spans="1:1" ht="13.5" customHeight="1">
      <c r="A138" s="26"/>
    </row>
    <row r="139" spans="1:1" ht="13.5" customHeight="1">
      <c r="A139" s="26"/>
    </row>
    <row r="140" spans="1:1" ht="13.5" customHeight="1">
      <c r="A140" s="26"/>
    </row>
    <row r="141" spans="1:1" ht="13.5" customHeight="1">
      <c r="A141" s="26"/>
    </row>
    <row r="142" spans="1:1" ht="13.5" customHeight="1">
      <c r="A142" s="26"/>
    </row>
    <row r="143" spans="1:1" ht="13.5" customHeight="1">
      <c r="A143" s="26"/>
    </row>
  </sheetData>
  <sheetProtection sheet="1" objects="1" scenarios="1"/>
  <mergeCells count="23">
    <mergeCell ref="BD1:BP1"/>
    <mergeCell ref="BQ1:CC1"/>
    <mergeCell ref="CD1:CP1"/>
    <mergeCell ref="D1:P1"/>
    <mergeCell ref="Q1:AC1"/>
    <mergeCell ref="AD1:AP1"/>
    <mergeCell ref="AQ1:BC1"/>
    <mergeCell ref="A21:B21"/>
    <mergeCell ref="A20:B20"/>
    <mergeCell ref="A19:B19"/>
    <mergeCell ref="A12:B12"/>
    <mergeCell ref="E6:S6"/>
    <mergeCell ref="A7:B7"/>
    <mergeCell ref="A8:B8"/>
    <mergeCell ref="A11:B11"/>
    <mergeCell ref="A10:B10"/>
    <mergeCell ref="AQ25:BC25"/>
    <mergeCell ref="BD25:BP25"/>
    <mergeCell ref="BQ24:CC24"/>
    <mergeCell ref="CD24:CP24"/>
    <mergeCell ref="D25:P25"/>
    <mergeCell ref="Q25:AC25"/>
    <mergeCell ref="AD25:AP25"/>
  </mergeCells>
  <phoneticPr fontId="8" type="noConversion"/>
  <dataValidations count="2">
    <dataValidation type="list" showInputMessage="1" showErrorMessage="1" sqref="E21">
      <formula1>$CR$2:$CR$3</formula1>
    </dataValidation>
    <dataValidation showInputMessage="1" showErrorMessage="1" sqref="E6:S6"/>
  </dataValidations>
  <hyperlinks>
    <hyperlink ref="B18" location="A1.3.6!AQ1" tooltip="Night" display="7pm-7am"/>
    <hyperlink ref="A19" location="A1.2.6!BQ1" display="Weekday"/>
    <hyperlink ref="A20" location="A1.2.6!CF1" display="Weekend"/>
    <hyperlink ref="A21" location="A1.2.6!CU1" display="All week"/>
    <hyperlink ref="A18" location="A1.3.6!AD1" tooltip="Evening peak" display="4-7pm"/>
    <hyperlink ref="A21:B21" location="A1.3.6!CD1" tooltip="All week average" display="All week average"/>
    <hyperlink ref="A11" r:id="rId1" display="WebTAG Unit 3.5.6"/>
    <hyperlink ref="D110" location="A1.3.6!D28" tooltip="Top of this column" display="Top"/>
    <hyperlink ref="Q110" location="A1.3.6!Q28" tooltip="Top of this column" display="Top"/>
    <hyperlink ref="AD110" location="A1.3.6!AD28" tooltip="Top of this column" display="Top"/>
    <hyperlink ref="AQ110" location="A1.3.6!AQ28" tooltip="Top of this column" display="Top"/>
    <hyperlink ref="BD110" location="A1.3.6!BD28" tooltip="Top of this column" display="Top"/>
    <hyperlink ref="BQ110" location="A1.3.6!BQ28" tooltip="Top of this column" display="Top"/>
    <hyperlink ref="CD110" location="A1.3.6!CD28" tooltip="Top of this column" display="Top"/>
    <hyperlink ref="A10" location="Contents!A1" display="Contents"/>
    <hyperlink ref="A10:B10" location="Contents!A1" tooltip="Contents page" display="Contents"/>
    <hyperlink ref="A17" location="A1.3.6!D1" tooltip="Morning peak" display="7am-10am"/>
    <hyperlink ref="B17" location="A1.3.6!Q1" tooltip="Inter-peak" display="10am-4pm"/>
    <hyperlink ref="A19:B19" location="A1.3.6!BD1" tooltip="Weekday average" display="Weekday average"/>
    <hyperlink ref="A20:B20" location="A1.3.6!BQ1" tooltip="Weekend average" display="Weekend average"/>
    <hyperlink ref="A12:B12" r:id="rId2" tooltip="Unit A1.3 User &amp; Provider Impacts" display="WebTAG Unit A 1.3"/>
  </hyperlinks>
  <pageMargins left="0.75" right="0.75" top="1" bottom="1" header="0.5" footer="0.5"/>
  <pageSetup paperSize="8" scale="39" fitToWidth="3" fitToHeight="0" orientation="landscape" r:id="rId3"/>
  <headerFooter alignWithMargins="0"/>
  <rowBreaks count="1" manualBreakCount="1">
    <brk id="108" max="95" man="1"/>
  </rowBreaks>
  <colBreaks count="2" manualBreakCount="2">
    <brk id="29" max="107" man="1"/>
    <brk id="55" max="107" man="1"/>
  </colBreaks>
  <drawing r:id="rId4"/>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8000"/>
    <pageSetUpPr fitToPage="1"/>
  </sheetPr>
  <dimension ref="A1:X121"/>
  <sheetViews>
    <sheetView showGridLines="0" zoomScale="70" zoomScaleNormal="70" workbookViewId="0">
      <pane xSplit="2" topLeftCell="C1" activePane="topRight" state="frozen"/>
      <selection pane="topRight" activeCell="F28" sqref="F28"/>
    </sheetView>
  </sheetViews>
  <sheetFormatPr defaultColWidth="12.88671875" defaultRowHeight="13.5" customHeight="1"/>
  <cols>
    <col min="1" max="15" width="12.88671875" style="38" customWidth="1"/>
    <col min="16" max="21" width="12.88671875" style="26" customWidth="1"/>
    <col min="22" max="16384" width="12.88671875" style="38"/>
  </cols>
  <sheetData>
    <row r="1" spans="1:22" ht="54.9" customHeight="1">
      <c r="A1" s="28"/>
      <c r="C1" s="28"/>
    </row>
    <row r="2" spans="1:22" s="300" customFormat="1" ht="5.0999999999999996" customHeight="1">
      <c r="P2" s="83"/>
      <c r="Q2" s="83"/>
      <c r="R2" s="83"/>
      <c r="S2" s="83"/>
      <c r="T2" s="83"/>
      <c r="U2" s="83"/>
    </row>
    <row r="3" spans="1:22" s="300" customFormat="1" ht="20.100000000000001" customHeight="1">
      <c r="A3" s="300" t="s">
        <v>2243</v>
      </c>
      <c r="B3" s="444"/>
      <c r="C3" s="444"/>
      <c r="D3" s="46"/>
      <c r="E3" s="83"/>
      <c r="F3" s="83"/>
      <c r="G3" s="445"/>
      <c r="I3" s="444"/>
      <c r="J3" s="485"/>
      <c r="K3" s="485"/>
      <c r="L3" s="485"/>
      <c r="N3" s="83"/>
      <c r="P3" s="83"/>
      <c r="Q3" s="83"/>
      <c r="R3" s="83"/>
      <c r="S3" s="83"/>
      <c r="T3" s="83"/>
      <c r="U3" s="83"/>
    </row>
    <row r="4" spans="1:22" s="26" customFormat="1" ht="20.100000000000001" customHeight="1" thickBot="1">
      <c r="A4" s="529" t="s">
        <v>49</v>
      </c>
      <c r="B4" s="447"/>
      <c r="C4" s="447"/>
      <c r="D4" s="446"/>
      <c r="E4" s="446"/>
      <c r="F4" s="446"/>
      <c r="G4" s="446"/>
      <c r="H4" s="446"/>
      <c r="I4" s="448"/>
      <c r="J4" s="447"/>
      <c r="K4" s="447"/>
      <c r="L4" s="447"/>
      <c r="M4" s="487"/>
      <c r="N4" s="446"/>
      <c r="O4" s="446"/>
      <c r="P4" s="446"/>
      <c r="Q4" s="446"/>
      <c r="R4" s="446"/>
      <c r="S4" s="446"/>
      <c r="T4" s="446"/>
    </row>
    <row r="5" spans="1:22" ht="9.9" customHeight="1" thickTop="1" thickBot="1">
      <c r="A5" s="35"/>
      <c r="B5" s="321"/>
      <c r="C5" s="72"/>
      <c r="E5" s="584"/>
      <c r="F5" s="584"/>
      <c r="G5" s="584"/>
      <c r="H5" s="584"/>
      <c r="J5" s="321"/>
      <c r="K5" s="321"/>
      <c r="L5" s="321"/>
      <c r="M5" s="32"/>
      <c r="T5" s="2161"/>
    </row>
    <row r="6" spans="1:22" ht="13.5" customHeight="1" thickTop="1">
      <c r="A6" s="169" t="s">
        <v>10</v>
      </c>
      <c r="B6" s="169"/>
      <c r="D6" s="147"/>
      <c r="E6" s="174" t="s">
        <v>255</v>
      </c>
      <c r="F6" s="3469"/>
      <c r="G6" s="3469"/>
      <c r="H6" s="3469"/>
      <c r="I6" s="3469"/>
      <c r="J6" s="3469"/>
      <c r="K6" s="3469"/>
      <c r="L6" s="3469"/>
      <c r="M6" s="328"/>
      <c r="N6" s="328"/>
      <c r="O6" s="328"/>
      <c r="P6" s="328"/>
      <c r="Q6" s="328"/>
      <c r="R6" s="328"/>
      <c r="S6" s="225"/>
      <c r="U6" s="15"/>
      <c r="V6" s="26"/>
    </row>
    <row r="7" spans="1:22" ht="13.5" customHeight="1">
      <c r="A7" s="3644" t="str">
        <f>Audit!A12</f>
        <v>May 2019 v1.12</v>
      </c>
      <c r="B7" s="3651"/>
      <c r="D7" s="147"/>
      <c r="E7" s="245" t="s">
        <v>778</v>
      </c>
      <c r="F7" s="245" t="s">
        <v>819</v>
      </c>
      <c r="G7" s="240"/>
      <c r="H7" s="3176" t="s">
        <v>2141</v>
      </c>
      <c r="I7" s="2619" t="s">
        <v>1757</v>
      </c>
      <c r="J7" s="26"/>
      <c r="K7" s="26"/>
      <c r="L7" s="26"/>
      <c r="M7" s="26"/>
      <c r="N7" s="26"/>
      <c r="O7" s="26"/>
      <c r="S7" s="147"/>
      <c r="V7" s="26"/>
    </row>
    <row r="8" spans="1:22" ht="13.5" customHeight="1">
      <c r="A8" s="3630">
        <f>Audit!C12</f>
        <v>43586</v>
      </c>
      <c r="B8" s="3631"/>
      <c r="C8" s="321"/>
      <c r="D8" s="412"/>
      <c r="E8" s="240"/>
      <c r="F8" s="245" t="s">
        <v>128</v>
      </c>
      <c r="G8" s="240"/>
      <c r="H8" s="3176" t="s">
        <v>2141</v>
      </c>
      <c r="I8" s="2619" t="s">
        <v>1758</v>
      </c>
      <c r="J8" s="26"/>
      <c r="K8" s="26"/>
      <c r="L8" s="26"/>
      <c r="M8" s="26"/>
      <c r="N8" s="26"/>
      <c r="O8" s="26"/>
      <c r="S8" s="147"/>
      <c r="V8" s="26"/>
    </row>
    <row r="9" spans="1:22" ht="13.5" customHeight="1" thickBot="1">
      <c r="A9" s="172" t="s">
        <v>14</v>
      </c>
      <c r="B9" s="173"/>
      <c r="D9" s="412"/>
      <c r="F9" s="28" t="s">
        <v>581</v>
      </c>
      <c r="H9" s="3176" t="s">
        <v>2141</v>
      </c>
      <c r="I9" s="335" t="s">
        <v>1820</v>
      </c>
      <c r="J9" s="26"/>
      <c r="K9" s="26"/>
      <c r="L9" s="26"/>
      <c r="M9" s="26"/>
      <c r="N9" s="26"/>
      <c r="O9" s="26"/>
      <c r="S9" s="147"/>
      <c r="V9" s="26"/>
    </row>
    <row r="10" spans="1:22" ht="13.5" customHeight="1" thickBot="1">
      <c r="A10" s="3570" t="s">
        <v>1306</v>
      </c>
      <c r="B10" s="3610"/>
      <c r="D10" s="412"/>
      <c r="E10" s="28" t="s">
        <v>294</v>
      </c>
      <c r="F10" s="2132"/>
      <c r="G10" s="53"/>
      <c r="H10" s="53"/>
      <c r="I10" s="26"/>
      <c r="J10" s="26"/>
      <c r="K10" s="26"/>
      <c r="L10" s="26"/>
      <c r="M10" s="26"/>
      <c r="N10" s="26"/>
      <c r="O10" s="26"/>
      <c r="S10" s="147"/>
      <c r="V10" s="26"/>
    </row>
    <row r="11" spans="1:22" ht="13.5" customHeight="1" thickBot="1">
      <c r="A11" s="3570" t="s">
        <v>2216</v>
      </c>
      <c r="B11" s="3581"/>
      <c r="D11" s="321"/>
      <c r="E11" s="2614" t="s">
        <v>1821</v>
      </c>
      <c r="F11" s="2132"/>
      <c r="G11" s="53"/>
      <c r="H11" s="53"/>
      <c r="I11" s="53"/>
      <c r="J11" s="53"/>
      <c r="K11" s="53"/>
      <c r="L11" s="53"/>
      <c r="M11" s="53"/>
      <c r="N11" s="53"/>
      <c r="O11" s="53"/>
      <c r="P11" s="53"/>
      <c r="Q11" s="53"/>
      <c r="R11" s="53"/>
      <c r="S11" s="379"/>
      <c r="U11" s="53"/>
      <c r="V11" s="26"/>
    </row>
    <row r="12" spans="1:22" ht="13.5" customHeight="1" thickBot="1">
      <c r="A12" s="3570" t="s">
        <v>2217</v>
      </c>
      <c r="B12" s="3581"/>
      <c r="D12" s="321"/>
      <c r="E12" s="2614" t="s">
        <v>2142</v>
      </c>
      <c r="F12" s="26"/>
      <c r="G12" s="53"/>
      <c r="H12" s="26"/>
      <c r="I12" s="26"/>
      <c r="J12" s="26"/>
      <c r="K12" s="26"/>
      <c r="L12" s="26"/>
      <c r="M12" s="26"/>
      <c r="N12" s="26"/>
      <c r="O12" s="26"/>
      <c r="S12" s="147"/>
      <c r="V12" s="26"/>
    </row>
    <row r="13" spans="1:22" ht="13.5" customHeight="1">
      <c r="A13" s="172" t="s">
        <v>252</v>
      </c>
      <c r="B13" s="194"/>
      <c r="C13" s="321"/>
      <c r="D13" s="321"/>
      <c r="E13" s="2614" t="s">
        <v>2143</v>
      </c>
      <c r="F13" s="26"/>
      <c r="G13" s="26"/>
      <c r="H13" s="26"/>
      <c r="I13" s="26"/>
      <c r="J13" s="26"/>
      <c r="K13" s="26"/>
      <c r="L13" s="26"/>
      <c r="M13" s="26"/>
      <c r="N13" s="26"/>
      <c r="O13" s="26"/>
      <c r="S13" s="147"/>
      <c r="V13" s="26"/>
    </row>
    <row r="14" spans="1:22" ht="13.5" customHeight="1">
      <c r="A14" s="2445" t="s">
        <v>799</v>
      </c>
      <c r="B14" s="2450">
        <f>'User Parameters'!L13</f>
        <v>2010</v>
      </c>
      <c r="C14" s="321"/>
      <c r="D14" s="321"/>
      <c r="E14" s="2528" t="s">
        <v>2078</v>
      </c>
      <c r="F14" s="237"/>
      <c r="G14" s="237"/>
      <c r="H14" s="237"/>
      <c r="I14" s="237"/>
      <c r="J14" s="237"/>
      <c r="K14" s="237"/>
      <c r="L14" s="3012"/>
      <c r="M14" s="237"/>
      <c r="N14" s="26"/>
      <c r="O14" s="26"/>
      <c r="S14" s="147"/>
      <c r="V14" s="26"/>
    </row>
    <row r="15" spans="1:22" ht="13.5" customHeight="1">
      <c r="A15" s="2441" t="s">
        <v>751</v>
      </c>
      <c r="B15" s="2450">
        <f>'User Parameters'!L16</f>
        <v>2010</v>
      </c>
      <c r="C15" s="321"/>
      <c r="D15" s="321"/>
      <c r="E15" s="2528" t="s">
        <v>1823</v>
      </c>
      <c r="F15" s="26"/>
      <c r="G15" s="26"/>
      <c r="H15" s="26"/>
      <c r="I15" s="26"/>
      <c r="J15" s="26"/>
      <c r="K15" s="26"/>
      <c r="L15" s="26"/>
      <c r="M15" s="26"/>
      <c r="N15" s="26"/>
      <c r="O15" s="26"/>
      <c r="S15" s="147"/>
      <c r="V15" s="26"/>
    </row>
    <row r="16" spans="1:22" ht="13.5" customHeight="1">
      <c r="A16" s="2440"/>
      <c r="B16" s="2440"/>
      <c r="C16" s="321"/>
      <c r="D16" s="412"/>
      <c r="E16" s="2614"/>
      <c r="F16" s="26"/>
      <c r="G16" s="26"/>
      <c r="H16" s="26"/>
      <c r="I16" s="26"/>
      <c r="J16" s="26"/>
      <c r="K16" s="26"/>
      <c r="L16" s="26"/>
      <c r="M16" s="26"/>
      <c r="N16" s="26"/>
      <c r="O16" s="26"/>
      <c r="S16" s="147"/>
      <c r="V16" s="26"/>
    </row>
    <row r="17" spans="1:24" ht="13.5" customHeight="1">
      <c r="A17" s="169" t="s">
        <v>253</v>
      </c>
      <c r="B17" s="170"/>
      <c r="C17" s="321"/>
      <c r="D17" s="321"/>
      <c r="E17" s="265" t="s">
        <v>1114</v>
      </c>
      <c r="F17" s="26"/>
      <c r="G17" s="26"/>
      <c r="H17" s="26"/>
      <c r="I17" s="26"/>
      <c r="J17" s="26"/>
      <c r="K17" s="26"/>
      <c r="L17" s="26"/>
      <c r="M17" s="26"/>
      <c r="N17" s="26"/>
      <c r="O17" s="26"/>
      <c r="S17" s="147"/>
      <c r="V17" s="26"/>
    </row>
    <row r="18" spans="1:24" ht="13.5" customHeight="1" thickBot="1">
      <c r="A18" s="3653"/>
      <c r="B18" s="3653"/>
      <c r="C18" s="321"/>
      <c r="D18" s="321"/>
      <c r="E18" s="259" t="s">
        <v>2244</v>
      </c>
      <c r="F18" s="13"/>
      <c r="G18" s="163"/>
      <c r="H18" s="163"/>
      <c r="I18" s="163"/>
      <c r="J18" s="163"/>
      <c r="K18" s="163"/>
      <c r="L18" s="163"/>
      <c r="M18" s="163"/>
      <c r="N18" s="163"/>
      <c r="O18" s="163"/>
      <c r="P18" s="163"/>
      <c r="Q18" s="163"/>
      <c r="R18" s="163"/>
      <c r="S18" s="382"/>
      <c r="V18" s="26"/>
    </row>
    <row r="19" spans="1:24" ht="13.5" customHeight="1" thickTop="1">
      <c r="A19" s="2409"/>
      <c r="B19" s="2409"/>
      <c r="C19" s="321"/>
      <c r="D19" s="72"/>
      <c r="V19" s="26"/>
    </row>
    <row r="20" spans="1:24" ht="13.5" customHeight="1">
      <c r="A20" s="2409"/>
      <c r="B20" s="2409"/>
      <c r="C20" s="321"/>
      <c r="D20" s="72"/>
      <c r="E20" s="26"/>
      <c r="U20" s="29"/>
      <c r="V20" s="26"/>
    </row>
    <row r="21" spans="1:24" ht="13.5" customHeight="1">
      <c r="A21" s="2420"/>
      <c r="B21" s="2421"/>
      <c r="C21" s="72"/>
      <c r="D21" s="32"/>
      <c r="J21" s="321"/>
      <c r="K21" s="321"/>
      <c r="L21" s="321"/>
      <c r="M21" s="32"/>
      <c r="P21" s="488"/>
    </row>
    <row r="22" spans="1:24" ht="13.5" customHeight="1" thickBot="1"/>
    <row r="23" spans="1:24" ht="13.5" customHeight="1" thickTop="1" thickBot="1">
      <c r="A23" s="122" t="s">
        <v>709</v>
      </c>
      <c r="B23" s="277"/>
      <c r="C23" s="582"/>
      <c r="D23" s="574" t="str">
        <f>CONCATENATE("Fuel and Electricity Prices and Components (",$B$14," prices)")</f>
        <v>Fuel and Electricity Prices and Components (2010 prices)</v>
      </c>
      <c r="E23" s="574"/>
      <c r="F23" s="574"/>
      <c r="G23" s="574"/>
      <c r="H23" s="574"/>
      <c r="I23" s="574"/>
      <c r="J23" s="574"/>
      <c r="K23" s="574"/>
      <c r="L23" s="574"/>
      <c r="M23" s="574"/>
      <c r="N23" s="574"/>
      <c r="O23" s="378"/>
      <c r="P23" s="459"/>
      <c r="Q23" s="459"/>
      <c r="R23" s="459"/>
      <c r="S23" s="459"/>
      <c r="T23" s="459"/>
      <c r="U23" s="459"/>
    </row>
    <row r="24" spans="1:24" ht="13.5" customHeight="1" thickTop="1" thickBot="1">
      <c r="A24" s="170"/>
      <c r="B24" s="3716" t="s">
        <v>1450</v>
      </c>
      <c r="C24" s="293"/>
      <c r="D24" s="588" t="s">
        <v>578</v>
      </c>
      <c r="E24" s="589"/>
      <c r="F24" s="589"/>
      <c r="G24" s="589"/>
      <c r="H24" s="590"/>
      <c r="I24" s="589" t="s">
        <v>284</v>
      </c>
      <c r="J24" s="589"/>
      <c r="K24" s="589"/>
      <c r="L24" s="590"/>
      <c r="M24" s="443" t="s">
        <v>285</v>
      </c>
      <c r="N24" s="443"/>
      <c r="O24" s="591"/>
      <c r="P24" s="455"/>
      <c r="Q24" s="455"/>
      <c r="R24" s="455"/>
      <c r="S24" s="455"/>
      <c r="T24" s="455"/>
      <c r="U24" s="455"/>
    </row>
    <row r="25" spans="1:24" ht="13.5" customHeight="1" thickTop="1">
      <c r="A25" s="170"/>
      <c r="B25" s="3716"/>
      <c r="C25" s="293"/>
      <c r="D25" s="394" t="s">
        <v>579</v>
      </c>
      <c r="E25" s="394" t="s">
        <v>580</v>
      </c>
      <c r="F25" s="394" t="s">
        <v>819</v>
      </c>
      <c r="G25" s="1587" t="s">
        <v>581</v>
      </c>
      <c r="H25" s="1588"/>
      <c r="I25" s="394" t="s">
        <v>579</v>
      </c>
      <c r="J25" s="394" t="s">
        <v>580</v>
      </c>
      <c r="K25" s="394" t="s">
        <v>819</v>
      </c>
      <c r="L25" s="586" t="s">
        <v>581</v>
      </c>
      <c r="M25" s="585" t="s">
        <v>579</v>
      </c>
      <c r="N25" s="587" t="s">
        <v>580</v>
      </c>
      <c r="O25" s="586" t="s">
        <v>581</v>
      </c>
      <c r="P25" s="455"/>
      <c r="Q25" s="455"/>
      <c r="R25" s="455"/>
      <c r="S25" s="455"/>
      <c r="T25" s="455"/>
      <c r="U25" s="455"/>
    </row>
    <row r="26" spans="1:24" ht="13.5" customHeight="1">
      <c r="A26" s="170"/>
      <c r="B26" s="3716"/>
      <c r="C26" s="293"/>
      <c r="D26" s="2686"/>
      <c r="E26" s="2686"/>
      <c r="F26" s="2687" t="s">
        <v>1664</v>
      </c>
      <c r="G26" s="575" t="s">
        <v>583</v>
      </c>
      <c r="H26" s="576" t="s">
        <v>584</v>
      </c>
      <c r="I26" s="2686"/>
      <c r="J26" s="2686"/>
      <c r="K26" s="2687" t="s">
        <v>1664</v>
      </c>
      <c r="L26" s="2148"/>
      <c r="M26" s="575"/>
      <c r="N26" s="577"/>
      <c r="O26" s="576" t="s">
        <v>583</v>
      </c>
      <c r="P26" s="14"/>
      <c r="Q26" s="14"/>
      <c r="R26" s="14"/>
      <c r="S26" s="14"/>
      <c r="T26" s="14"/>
      <c r="U26" s="14"/>
    </row>
    <row r="27" spans="1:24" ht="13.5" customHeight="1" thickBot="1">
      <c r="A27" s="465"/>
      <c r="B27" s="3717"/>
      <c r="C27" s="439"/>
      <c r="D27" s="578" t="s">
        <v>585</v>
      </c>
      <c r="E27" s="755" t="s">
        <v>585</v>
      </c>
      <c r="F27" s="480" t="s">
        <v>585</v>
      </c>
      <c r="G27" s="578" t="s">
        <v>586</v>
      </c>
      <c r="H27" s="579" t="s">
        <v>586</v>
      </c>
      <c r="I27" s="578" t="s">
        <v>585</v>
      </c>
      <c r="J27" s="2155" t="s">
        <v>585</v>
      </c>
      <c r="K27" s="480" t="s">
        <v>585</v>
      </c>
      <c r="L27" s="2147" t="s">
        <v>586</v>
      </c>
      <c r="M27" s="578" t="s">
        <v>587</v>
      </c>
      <c r="N27" s="580" t="s">
        <v>587</v>
      </c>
      <c r="O27" s="579" t="s">
        <v>587</v>
      </c>
      <c r="P27" s="14"/>
      <c r="Q27" s="14"/>
      <c r="R27" s="14"/>
      <c r="S27" s="14"/>
      <c r="T27" s="14"/>
      <c r="U27" s="14"/>
    </row>
    <row r="28" spans="1:24" ht="13.5" customHeight="1" thickTop="1">
      <c r="B28" s="1589">
        <f>B15</f>
        <v>2010</v>
      </c>
      <c r="C28" s="147"/>
      <c r="D28" s="51">
        <f>IF(ISERROR(VLOOKUP($B28,'VoC Fuel'!$B$28:$O$126,1,FALSE)),"",IF(VLOOKUP($B28,'VoC Fuel'!$B$28:$O$126,3,FALSE)="","",VLOOKUP($B28,'VoC Fuel'!$B$28:$O$126,3,FALSE) * (VLOOKUP($B$14,'Annual Parameters'!$B$33:$W$104,3,FALSE) / VLOOKUP('VoC Fuel'!$B$14,'Annual Parameters'!$B$33:$W$104,3,FALSE))))</f>
        <v>42.565921127851439</v>
      </c>
      <c r="E28" s="2158">
        <f>IF(ISERROR(VLOOKUP($B28,'VoC Fuel'!$B$28:$O$126,1,FALSE)),"",IF(VLOOKUP($B28,'VoC Fuel'!$B$28:$O$126,4,FALSE)="","",VLOOKUP($B28,'VoC Fuel'!$B$28:$O$126,4,FALSE) * (VLOOKUP($B$14,'Annual Parameters'!$B$33:$W$104,3,FALSE) / VLOOKUP('VoC Fuel'!$B$14,'Annual Parameters'!$B$33:$W$104,3,FALSE))))</f>
        <v>44.306704249000276</v>
      </c>
      <c r="F28" s="2162">
        <f>IF(ISERROR(VLOOKUP($B28,'VoC Fuel'!$B$28:$O$126,1,FALSE)),"",IF(VLOOKUP($B28,'VoC Fuel'!$B$28:$O$126,5,FALSE)="","",VLOOKUP($B28,'VoC Fuel'!$B$28:$O$126,5,FALSE) * (VLOOKUP($B$14,'Annual Parameters'!$B$33:$W$104,3,FALSE) / VLOOKUP('VoC Fuel'!$B$14,'Annual Parameters'!$B$33:$W$104,3,FALSE))))</f>
        <v>39.634215182648397</v>
      </c>
      <c r="G28" s="1654">
        <f>IF(ISERROR(VLOOKUP($B28,'VoC Fuel'!$B$28:$O$126,1,FALSE)),"",IF(VLOOKUP($B28,'VoC Fuel'!$B$28:$O$126,6,FALSE)="","",VLOOKUP($B28,'VoC Fuel'!$B$28:$O$126,6,FALSE) * (VLOOKUP($B$14,'Annual Parameters'!$B$33:$W$104,3,FALSE) / VLOOKUP('VoC Fuel'!$B$14,'Annual Parameters'!$B$33:$W$104,3,FALSE))))</f>
        <v>11.797816736596864</v>
      </c>
      <c r="H28" s="1590">
        <f>IF(ISERROR(VLOOKUP($B28,'VoC Fuel'!$B$28:$O$126,1,FALSE)),"",IF(VLOOKUP($B28,'VoC Fuel'!$B$28:$O$126,7,FALSE)="","",VLOOKUP($B28,'VoC Fuel'!$B$28:$O$126,7,FALSE) * (VLOOKUP($B$14,'Annual Parameters'!$B$33:$W$104,3,FALSE) / VLOOKUP('VoC Fuel'!$B$14,'Annual Parameters'!$B$33:$W$104,3,FALSE))))</f>
        <v>6.7729972159003902</v>
      </c>
      <c r="I28" s="1654">
        <f>IF(ISERROR(VLOOKUP($B28,'VoC Fuel'!$B$28:$O$126,1,FALSE)),"",IF(VLOOKUP($B28,'VoC Fuel'!$B$28:$O$126,8,FALSE)="","",VLOOKUP($B28,'VoC Fuel'!$B$28:$O$126,8,FALSE) * (VLOOKUP($B$14,'Annual Parameters'!$B$33:$W$104,3,FALSE) / VLOOKUP('VoC Fuel'!$B$14,'Annual Parameters'!$B$33:$W$104,3,FALSE))))</f>
        <v>57.190000000000012</v>
      </c>
      <c r="J28" s="1654">
        <f>IF(ISERROR(VLOOKUP($B28,'VoC Fuel'!$B$28:$O$126,1,FALSE)),"",IF(VLOOKUP($B28,'VoC Fuel'!$B$28:$O$126,9,FALSE)="","",VLOOKUP($B28,'VoC Fuel'!$B$28:$O$126,9,FALSE) * (VLOOKUP($B$14,'Annual Parameters'!$B$33:$W$104,3,FALSE) / VLOOKUP('VoC Fuel'!$B$14,'Annual Parameters'!$B$33:$W$104,3,FALSE))))</f>
        <v>57.190000000000012</v>
      </c>
      <c r="K28" s="1654">
        <f>IF(ISERROR(VLOOKUP($B28,'VoC Fuel'!$B$28:$O$126,1,FALSE)),"",IF(VLOOKUP($B28,'VoC Fuel'!$B$28:$O$126,10,FALSE)="","",VLOOKUP($B28,'VoC Fuel'!$B$28:$O$126,10,FALSE) * (VLOOKUP($B$14,'Annual Parameters'!$B$33:$W$104,3,FALSE) / VLOOKUP('VoC Fuel'!$B$14,'Annual Parameters'!$B$33:$W$104,3,FALSE))))</f>
        <v>10.990000000000002</v>
      </c>
      <c r="L28" s="1257">
        <f>IF(ISERROR(VLOOKUP($B28,'VoC Fuel'!$B$28:$O$126,1,FALSE)),"",IF(VLOOKUP($B28,'VoC Fuel'!$B$28:$O$126,11,FALSE)="","",VLOOKUP($B28,'VoC Fuel'!$B$28:$O$126,11,FALSE) * (VLOOKUP($B$14,'Annual Parameters'!$B$33:$W$104,3,FALSE) / VLOOKUP('VoC Fuel'!$B$14,'Annual Parameters'!$B$33:$W$104,3,FALSE))))</f>
        <v>0</v>
      </c>
      <c r="M28" s="1256">
        <f>IF(ISERROR(VLOOKUP($B28,'VoC Fuel'!$B$28:$O$126,1,FALSE)),"",IF(VLOOKUP(B28,'VoC Fuel'!$B$28:$O$126,12,FALSE)="","",VLOOKUP(B28,'VoC Fuel'!$B$28:$O$126,12,FALSE)))</f>
        <v>17.5</v>
      </c>
      <c r="N28" s="1256">
        <f>IF(ISERROR(VLOOKUP($B28,'VoC Fuel'!$B$28:$O$126,1,FALSE)),"",IF(VLOOKUP($B28,'VoC Fuel'!$B$28:$O$126,13,FALSE)="","",VLOOKUP($B28,'VoC Fuel'!$B$28:$O$126,13,FALSE)))</f>
        <v>17.5</v>
      </c>
      <c r="O28" s="1256">
        <f>IF(ISERROR(VLOOKUP($B28,'VoC Fuel'!$B$28:$O$126,1,FALSE)),"",IF(VLOOKUP($B28,'VoC Fuel'!$B$28:$O$126,14,FALSE)="","",VLOOKUP($B28,'VoC Fuel'!$B$28:$O$126,14,FALSE)))</f>
        <v>5</v>
      </c>
      <c r="P28" s="3561"/>
      <c r="Q28" s="3561"/>
      <c r="R28" s="3561"/>
      <c r="S28" s="3561"/>
      <c r="T28" s="3561"/>
      <c r="U28" s="3561"/>
      <c r="V28" s="3561"/>
      <c r="W28" s="3561"/>
      <c r="X28" s="3561"/>
    </row>
    <row r="29" spans="1:24" ht="13.5" customHeight="1">
      <c r="B29" s="1589">
        <f>B28+1</f>
        <v>2011</v>
      </c>
      <c r="C29" s="147"/>
      <c r="D29" s="51">
        <f>IF(ISERROR(VLOOKUP($B29,'VoC Fuel'!$B$28:$O$126,1,FALSE)),"",IF(VLOOKUP($B29,'VoC Fuel'!$B$28:$O$126,3,FALSE)="","",VLOOKUP($B29,'VoC Fuel'!$B$28:$O$126,3,FALSE) * (VLOOKUP($B$14,'Annual Parameters'!$B$33:$W$104,3,FALSE) / VLOOKUP('VoC Fuel'!$B$14,'Annual Parameters'!$B$33:$W$104,3,FALSE))))</f>
        <v>52.102154161144306</v>
      </c>
      <c r="E29" s="2158">
        <f>IF(ISERROR(VLOOKUP($B29,'VoC Fuel'!$B$28:$O$126,1,FALSE)),"",IF(VLOOKUP($B29,'VoC Fuel'!$B$28:$O$126,4,FALSE)="","",VLOOKUP($B29,'VoC Fuel'!$B$28:$O$126,4,FALSE) * (VLOOKUP($B$14,'Annual Parameters'!$B$33:$W$104,3,FALSE) / VLOOKUP('VoC Fuel'!$B$14,'Annual Parameters'!$B$33:$W$104,3,FALSE))))</f>
        <v>56.315144232512132</v>
      </c>
      <c r="F29" s="2160">
        <f>IF(ISERROR(VLOOKUP($B29,'VoC Fuel'!$B$28:$O$126,1,FALSE)),"",IF(VLOOKUP($B29,'VoC Fuel'!$B$28:$O$126,5,FALSE)="","",VLOOKUP($B29,'VoC Fuel'!$B$28:$O$126,5,FALSE) * (VLOOKUP($B$14,'Annual Parameters'!$B$33:$W$104,3,FALSE) / VLOOKUP('VoC Fuel'!$B$14,'Annual Parameters'!$B$33:$W$104,3,FALSE))))</f>
        <v>50.932989415924084</v>
      </c>
      <c r="G29" s="1654">
        <f>IF(ISERROR(VLOOKUP($B29,'VoC Fuel'!$B$28:$O$126,1,FALSE)),"",IF(VLOOKUP($B29,'VoC Fuel'!$B$28:$O$126,6,FALSE)="","",VLOOKUP($B29,'VoC Fuel'!$B$28:$O$126,6,FALSE) * (VLOOKUP($B$14,'Annual Parameters'!$B$33:$W$104,3,FALSE) / VLOOKUP('VoC Fuel'!$B$14,'Annual Parameters'!$B$33:$W$104,3,FALSE))))</f>
        <v>12.533042664322595</v>
      </c>
      <c r="H29" s="1590">
        <f>IF(ISERROR(VLOOKUP($B29,'VoC Fuel'!$B$28:$O$126,1,FALSE)),"",IF(VLOOKUP($B29,'VoC Fuel'!$B$28:$O$126,7,FALSE)="","",VLOOKUP($B29,'VoC Fuel'!$B$28:$O$126,7,FALSE) * (VLOOKUP($B$14,'Annual Parameters'!$B$33:$W$104,3,FALSE) / VLOOKUP('VoC Fuel'!$B$14,'Annual Parameters'!$B$33:$W$104,3,FALSE))))</f>
        <v>7.0386291007146227</v>
      </c>
      <c r="I29" s="1654">
        <f>IF(ISERROR(VLOOKUP($B29,'VoC Fuel'!$B$28:$O$126,1,FALSE)),"",IF(VLOOKUP($B29,'VoC Fuel'!$B$28:$O$126,8,FALSE)="","",VLOOKUP($B29,'VoC Fuel'!$B$28:$O$126,8,FALSE) * (VLOOKUP($B$14,'Annual Parameters'!$B$33:$W$104,3,FALSE) / VLOOKUP('VoC Fuel'!$B$14,'Annual Parameters'!$B$33:$W$104,3,FALSE))))</f>
        <v>57.103235039389098</v>
      </c>
      <c r="J29" s="1654">
        <f>IF(ISERROR(VLOOKUP($B29,'VoC Fuel'!$B$28:$O$126,1,FALSE)),"",IF(VLOOKUP($B29,'VoC Fuel'!$B$28:$O$126,9,FALSE)="","",VLOOKUP($B29,'VoC Fuel'!$B$28:$O$126,9,FALSE) * (VLOOKUP($B$14,'Annual Parameters'!$B$33:$W$104,3,FALSE) / VLOOKUP('VoC Fuel'!$B$14,'Annual Parameters'!$B$33:$W$104,3,FALSE))))</f>
        <v>57.103235039389098</v>
      </c>
      <c r="K29" s="1654">
        <f>IF(ISERROR(VLOOKUP($B29,'VoC Fuel'!$B$28:$O$126,1,FALSE)),"",IF(VLOOKUP($B29,'VoC Fuel'!$B$28:$O$126,10,FALSE)="","",VLOOKUP($B29,'VoC Fuel'!$B$28:$O$126,10,FALSE) * (VLOOKUP($B$14,'Annual Parameters'!$B$33:$W$104,3,FALSE) / VLOOKUP('VoC Fuel'!$B$14,'Annual Parameters'!$B$33:$W$104,3,FALSE))))</f>
        <v>10.976674261222774</v>
      </c>
      <c r="L29" s="1257">
        <f>IF(ISERROR(VLOOKUP($B29,'VoC Fuel'!$B$28:$O$126,1,FALSE)),"",IF(VLOOKUP($B29,'VoC Fuel'!$B$28:$O$126,11,FALSE)="","",VLOOKUP($B29,'VoC Fuel'!$B$28:$O$126,11,FALSE) * (VLOOKUP($B$14,'Annual Parameters'!$B$33:$W$104,3,FALSE) / VLOOKUP('VoC Fuel'!$B$14,'Annual Parameters'!$B$33:$W$104,3,FALSE))))</f>
        <v>0</v>
      </c>
      <c r="M29" s="1256">
        <f>IF(ISERROR(VLOOKUP($B29,'VoC Fuel'!$B$28:$O$126,1,FALSE)),"",IF(VLOOKUP(B29,'VoC Fuel'!$B$28:$O$126,12,FALSE)="","",VLOOKUP(B29,'VoC Fuel'!$B$28:$O$126,12,FALSE)))</f>
        <v>20</v>
      </c>
      <c r="N29" s="1256">
        <f>IF(ISERROR(VLOOKUP($B29,'VoC Fuel'!$B$28:$O$126,1,FALSE)),"",IF(VLOOKUP($B29,'VoC Fuel'!$B$28:$O$126,13,FALSE)="","",VLOOKUP($B29,'VoC Fuel'!$B$28:$O$126,13,FALSE)))</f>
        <v>20</v>
      </c>
      <c r="O29" s="1256">
        <f>IF(ISERROR(VLOOKUP($B29,'VoC Fuel'!$B$28:$O$126,1,FALSE)),"",IF(VLOOKUP($B29,'VoC Fuel'!$B$28:$O$126,14,FALSE)="","",VLOOKUP($B29,'VoC Fuel'!$B$28:$O$126,14,FALSE)))</f>
        <v>5</v>
      </c>
      <c r="P29" s="3561"/>
      <c r="Q29" s="3561"/>
      <c r="R29" s="3561"/>
      <c r="S29" s="3561"/>
      <c r="T29" s="3561"/>
      <c r="U29" s="3561"/>
      <c r="V29" s="3561"/>
      <c r="W29" s="3561"/>
      <c r="X29" s="3561"/>
    </row>
    <row r="30" spans="1:24" ht="13.5" customHeight="1">
      <c r="B30" s="1589">
        <f t="shared" ref="B30:B93" si="0">B29+1</f>
        <v>2012</v>
      </c>
      <c r="C30" s="147"/>
      <c r="D30" s="51">
        <f>IF(ISERROR(VLOOKUP($B30,'VoC Fuel'!$B$28:$O$126,1,FALSE)),"",IF(VLOOKUP($B30,'VoC Fuel'!$B$28:$O$126,3,FALSE)="","",VLOOKUP($B30,'VoC Fuel'!$B$28:$O$126,3,FALSE) * (VLOOKUP($B$14,'Annual Parameters'!$B$33:$W$104,3,FALSE) / VLOOKUP('VoC Fuel'!$B$14,'Annual Parameters'!$B$33:$W$104,3,FALSE))))</f>
        <v>53.214416486717745</v>
      </c>
      <c r="E30" s="2158">
        <f>IF(ISERROR(VLOOKUP($B30,'VoC Fuel'!$B$28:$O$126,1,FALSE)),"",IF(VLOOKUP($B30,'VoC Fuel'!$B$28:$O$126,4,FALSE)="","",VLOOKUP($B30,'VoC Fuel'!$B$28:$O$126,4,FALSE) * (VLOOKUP($B$14,'Annual Parameters'!$B$33:$W$104,3,FALSE) / VLOOKUP('VoC Fuel'!$B$14,'Annual Parameters'!$B$33:$W$104,3,FALSE))))</f>
        <v>58.197865798302509</v>
      </c>
      <c r="F30" s="2160">
        <f>IF(ISERROR(VLOOKUP($B30,'VoC Fuel'!$B$28:$O$126,1,FALSE)),"",IF(VLOOKUP($B30,'VoC Fuel'!$B$28:$O$126,5,FALSE)="","",VLOOKUP($B30,'VoC Fuel'!$B$28:$O$126,5,FALSE) * (VLOOKUP($B$14,'Annual Parameters'!$B$33:$W$104,3,FALSE) / VLOOKUP('VoC Fuel'!$B$14,'Annual Parameters'!$B$33:$W$104,3,FALSE))))</f>
        <v>52.442212113081403</v>
      </c>
      <c r="G30" s="1654">
        <f>IF(ISERROR(VLOOKUP($B30,'VoC Fuel'!$B$28:$O$126,1,FALSE)),"",IF(VLOOKUP($B30,'VoC Fuel'!$B$28:$O$126,6,FALSE)="","",VLOOKUP($B30,'VoC Fuel'!$B$28:$O$126,6,FALSE) * (VLOOKUP($B$14,'Annual Parameters'!$B$33:$W$104,3,FALSE) / VLOOKUP('VoC Fuel'!$B$14,'Annual Parameters'!$B$33:$W$104,3,FALSE))))</f>
        <v>13.025877362453688</v>
      </c>
      <c r="H30" s="1590">
        <f>IF(ISERROR(VLOOKUP($B30,'VoC Fuel'!$B$28:$O$126,1,FALSE)),"",IF(VLOOKUP($B30,'VoC Fuel'!$B$28:$O$126,7,FALSE)="","",VLOOKUP($B30,'VoC Fuel'!$B$28:$O$126,7,FALSE) * (VLOOKUP($B$14,'Annual Parameters'!$B$33:$W$104,3,FALSE) / VLOOKUP('VoC Fuel'!$B$14,'Annual Parameters'!$B$33:$W$104,3,FALSE))))</f>
        <v>7.6866530276139606</v>
      </c>
      <c r="I30" s="1654">
        <f>IF(ISERROR(VLOOKUP($B30,'VoC Fuel'!$B$28:$O$126,1,FALSE)),"",IF(VLOOKUP($B30,'VoC Fuel'!$B$28:$O$126,8,FALSE)="","",VLOOKUP($B30,'VoC Fuel'!$B$28:$O$126,8,FALSE) * (VLOOKUP($B$14,'Annual Parameters'!$B$33:$W$104,3,FALSE) / VLOOKUP('VoC Fuel'!$B$14,'Annual Parameters'!$B$33:$W$104,3,FALSE))))</f>
        <v>55.985295549039542</v>
      </c>
      <c r="J30" s="1654">
        <f>IF(ISERROR(VLOOKUP($B30,'VoC Fuel'!$B$28:$O$126,1,FALSE)),"",IF(VLOOKUP($B30,'VoC Fuel'!$B$28:$O$126,9,FALSE)="","",VLOOKUP($B30,'VoC Fuel'!$B$28:$O$126,9,FALSE) * (VLOOKUP($B$14,'Annual Parameters'!$B$33:$W$104,3,FALSE) / VLOOKUP('VoC Fuel'!$B$14,'Annual Parameters'!$B$33:$W$104,3,FALSE))))</f>
        <v>55.985295549039542</v>
      </c>
      <c r="K30" s="1654">
        <f>IF(ISERROR(VLOOKUP($B30,'VoC Fuel'!$B$28:$O$126,1,FALSE)),"",IF(VLOOKUP($B30,'VoC Fuel'!$B$28:$O$126,10,FALSE)="","",VLOOKUP($B30,'VoC Fuel'!$B$28:$O$126,10,FALSE) * (VLOOKUP($B$14,'Annual Parameters'!$B$33:$W$104,3,FALSE) / VLOOKUP('VoC Fuel'!$B$14,'Annual Parameters'!$B$33:$W$104,3,FALSE))))</f>
        <v>10.762315658607429</v>
      </c>
      <c r="L30" s="1257">
        <f>IF(ISERROR(VLOOKUP($B30,'VoC Fuel'!$B$28:$O$126,1,FALSE)),"",IF(VLOOKUP($B30,'VoC Fuel'!$B$28:$O$126,11,FALSE)="","",VLOOKUP($B30,'VoC Fuel'!$B$28:$O$126,11,FALSE) * (VLOOKUP($B$14,'Annual Parameters'!$B$33:$W$104,3,FALSE) / VLOOKUP('VoC Fuel'!$B$14,'Annual Parameters'!$B$33:$W$104,3,FALSE))))</f>
        <v>0</v>
      </c>
      <c r="M30" s="1256">
        <f>IF(ISERROR(VLOOKUP($B30,'VoC Fuel'!$B$28:$O$126,1,FALSE)),"",IF(VLOOKUP(B30,'VoC Fuel'!$B$28:$O$126,12,FALSE)="","",VLOOKUP(B30,'VoC Fuel'!$B$28:$O$126,12,FALSE)))</f>
        <v>20</v>
      </c>
      <c r="N30" s="1256">
        <f>IF(ISERROR(VLOOKUP($B30,'VoC Fuel'!$B$28:$O$126,1,FALSE)),"",IF(VLOOKUP($B30,'VoC Fuel'!$B$28:$O$126,13,FALSE)="","",VLOOKUP($B30,'VoC Fuel'!$B$28:$O$126,13,FALSE)))</f>
        <v>20</v>
      </c>
      <c r="O30" s="1256">
        <f>IF(ISERROR(VLOOKUP($B30,'VoC Fuel'!$B$28:$O$126,1,FALSE)),"",IF(VLOOKUP($B30,'VoC Fuel'!$B$28:$O$126,14,FALSE)="","",VLOOKUP($B30,'VoC Fuel'!$B$28:$O$126,14,FALSE)))</f>
        <v>5</v>
      </c>
      <c r="P30" s="14"/>
      <c r="Q30" s="14"/>
      <c r="R30" s="14"/>
      <c r="S30" s="14"/>
      <c r="T30" s="14"/>
      <c r="U30" s="14"/>
    </row>
    <row r="31" spans="1:24" ht="13.5" customHeight="1">
      <c r="B31" s="1589">
        <f t="shared" si="0"/>
        <v>2013</v>
      </c>
      <c r="C31" s="147"/>
      <c r="D31" s="51">
        <f>IF(ISERROR(VLOOKUP($B31,'VoC Fuel'!$B$28:$O$126,1,FALSE)),"",IF(VLOOKUP($B31,'VoC Fuel'!$B$28:$O$126,3,FALSE)="","",VLOOKUP($B31,'VoC Fuel'!$B$28:$O$126,3,FALSE) * (VLOOKUP($B$14,'Annual Parameters'!$B$33:$W$104,3,FALSE) / VLOOKUP('VoC Fuel'!$B$14,'Annual Parameters'!$B$33:$W$104,3,FALSE))))</f>
        <v>51.33771153430942</v>
      </c>
      <c r="E31" s="2158">
        <f>IF(ISERROR(VLOOKUP($B31,'VoC Fuel'!$B$28:$O$126,1,FALSE)),"",IF(VLOOKUP($B31,'VoC Fuel'!$B$28:$O$126,4,FALSE)="","",VLOOKUP($B31,'VoC Fuel'!$B$28:$O$126,4,FALSE) * (VLOOKUP($B$14,'Annual Parameters'!$B$33:$W$104,3,FALSE) / VLOOKUP('VoC Fuel'!$B$14,'Annual Parameters'!$B$33:$W$104,3,FALSE))))</f>
        <v>56.007418626083741</v>
      </c>
      <c r="F31" s="2160">
        <f>IF(ISERROR(VLOOKUP($B31,'VoC Fuel'!$B$28:$O$126,1,FALSE)),"",IF(VLOOKUP($B31,'VoC Fuel'!$B$28:$O$126,5,FALSE)="","",VLOOKUP($B31,'VoC Fuel'!$B$28:$O$126,5,FALSE) * (VLOOKUP($B$14,'Annual Parameters'!$B$33:$W$104,3,FALSE) / VLOOKUP('VoC Fuel'!$B$14,'Annual Parameters'!$B$33:$W$104,3,FALSE))))</f>
        <v>50.215163209066922</v>
      </c>
      <c r="G31" s="1654">
        <f>IF(ISERROR(VLOOKUP($B31,'VoC Fuel'!$B$28:$O$126,1,FALSE)),"",IF(VLOOKUP($B31,'VoC Fuel'!$B$28:$O$126,6,FALSE)="","",VLOOKUP($B31,'VoC Fuel'!$B$28:$O$126,6,FALSE) * (VLOOKUP($B$14,'Annual Parameters'!$B$33:$W$104,3,FALSE) / VLOOKUP('VoC Fuel'!$B$14,'Annual Parameters'!$B$33:$W$104,3,FALSE))))</f>
        <v>13.636396594459857</v>
      </c>
      <c r="H31" s="1590">
        <f>IF(ISERROR(VLOOKUP($B31,'VoC Fuel'!$B$28:$O$126,1,FALSE)),"",IF(VLOOKUP($B31,'VoC Fuel'!$B$28:$O$126,7,FALSE)="","",VLOOKUP($B31,'VoC Fuel'!$B$28:$O$126,7,FALSE) * (VLOOKUP($B$14,'Annual Parameters'!$B$33:$W$104,3,FALSE) / VLOOKUP('VoC Fuel'!$B$14,'Annual Parameters'!$B$33:$W$104,3,FALSE))))</f>
        <v>8.4439104890894896</v>
      </c>
      <c r="I31" s="1654">
        <f>IF(ISERROR(VLOOKUP($B31,'VoC Fuel'!$B$28:$O$126,1,FALSE)),"",IF(VLOOKUP($B31,'VoC Fuel'!$B$28:$O$126,8,FALSE)="","",VLOOKUP($B31,'VoC Fuel'!$B$28:$O$126,8,FALSE) * (VLOOKUP($B$14,'Annual Parameters'!$B$33:$W$104,3,FALSE) / VLOOKUP('VoC Fuel'!$B$14,'Annual Parameters'!$B$33:$W$104,3,FALSE))))</f>
        <v>54.96007191393349</v>
      </c>
      <c r="J31" s="1654">
        <f>IF(ISERROR(VLOOKUP($B31,'VoC Fuel'!$B$28:$O$126,1,FALSE)),"",IF(VLOOKUP($B31,'VoC Fuel'!$B$28:$O$126,9,FALSE)="","",VLOOKUP($B31,'VoC Fuel'!$B$28:$O$126,9,FALSE) * (VLOOKUP($B$14,'Annual Parameters'!$B$33:$W$104,3,FALSE) / VLOOKUP('VoC Fuel'!$B$14,'Annual Parameters'!$B$33:$W$104,3,FALSE))))</f>
        <v>54.96007191393349</v>
      </c>
      <c r="K31" s="1654">
        <f>IF(ISERROR(VLOOKUP($B31,'VoC Fuel'!$B$28:$O$126,1,FALSE)),"",IF(VLOOKUP($B31,'VoC Fuel'!$B$28:$O$126,10,FALSE)="","",VLOOKUP($B31,'VoC Fuel'!$B$28:$O$126,10,FALSE) * (VLOOKUP($B$14,'Annual Parameters'!$B$33:$W$104,3,FALSE) / VLOOKUP('VoC Fuel'!$B$14,'Annual Parameters'!$B$33:$W$104,3,FALSE))))</f>
        <v>10.565232115983072</v>
      </c>
      <c r="L31" s="1257">
        <f>IF(ISERROR(VLOOKUP($B31,'VoC Fuel'!$B$28:$O$126,1,FALSE)),"",IF(VLOOKUP($B31,'VoC Fuel'!$B$28:$O$126,11,FALSE)="","",VLOOKUP($B31,'VoC Fuel'!$B$28:$O$126,11,FALSE) * (VLOOKUP($B$14,'Annual Parameters'!$B$33:$W$104,3,FALSE) / VLOOKUP('VoC Fuel'!$B$14,'Annual Parameters'!$B$33:$W$104,3,FALSE))))</f>
        <v>0</v>
      </c>
      <c r="M31" s="1256">
        <f>IF(ISERROR(VLOOKUP($B31,'VoC Fuel'!$B$28:$O$126,1,FALSE)),"",IF(VLOOKUP(B31,'VoC Fuel'!$B$28:$O$126,12,FALSE)="","",VLOOKUP(B31,'VoC Fuel'!$B$28:$O$126,12,FALSE)))</f>
        <v>20</v>
      </c>
      <c r="N31" s="1256">
        <f>IF(ISERROR(VLOOKUP($B31,'VoC Fuel'!$B$28:$O$126,1,FALSE)),"",IF(VLOOKUP($B31,'VoC Fuel'!$B$28:$O$126,13,FALSE)="","",VLOOKUP($B31,'VoC Fuel'!$B$28:$O$126,13,FALSE)))</f>
        <v>20</v>
      </c>
      <c r="O31" s="1256">
        <f>IF(ISERROR(VLOOKUP($B31,'VoC Fuel'!$B$28:$O$126,1,FALSE)),"",IF(VLOOKUP($B31,'VoC Fuel'!$B$28:$O$126,14,FALSE)="","",VLOOKUP($B31,'VoC Fuel'!$B$28:$O$126,14,FALSE)))</f>
        <v>5</v>
      </c>
      <c r="P31" s="14"/>
      <c r="Q31" s="14"/>
      <c r="R31" s="14"/>
      <c r="S31" s="14"/>
      <c r="T31" s="14"/>
      <c r="U31" s="14"/>
    </row>
    <row r="32" spans="1:24" ht="13.5" customHeight="1">
      <c r="B32" s="1589">
        <f t="shared" si="0"/>
        <v>2014</v>
      </c>
      <c r="C32" s="147"/>
      <c r="D32" s="51">
        <f>IF(ISERROR(VLOOKUP($B32,'VoC Fuel'!$B$28:$O$126,1,FALSE)),"",IF(VLOOKUP($B32,'VoC Fuel'!$B$28:$O$126,3,FALSE)="","",VLOOKUP($B32,'VoC Fuel'!$B$28:$O$126,3,FALSE) * (VLOOKUP($B$14,'Annual Parameters'!$B$33:$W$104,3,FALSE) / VLOOKUP('VoC Fuel'!$B$14,'Annual Parameters'!$B$33:$W$104,3,FALSE))))</f>
        <v>45.304349404721584</v>
      </c>
      <c r="E32" s="2158">
        <f>IF(ISERROR(VLOOKUP($B32,'VoC Fuel'!$B$28:$O$126,1,FALSE)),"",IF(VLOOKUP($B32,'VoC Fuel'!$B$28:$O$126,4,FALSE)="","",VLOOKUP($B32,'VoC Fuel'!$B$28:$O$126,4,FALSE) * (VLOOKUP($B$14,'Annual Parameters'!$B$33:$W$104,3,FALSE) / VLOOKUP('VoC Fuel'!$B$14,'Annual Parameters'!$B$33:$W$104,3,FALSE))))</f>
        <v>49.665064441400865</v>
      </c>
      <c r="F32" s="2160">
        <f>IF(ISERROR(VLOOKUP($B32,'VoC Fuel'!$B$28:$O$126,1,FALSE)),"",IF(VLOOKUP($B32,'VoC Fuel'!$B$28:$O$126,5,FALSE)="","",VLOOKUP($B32,'VoC Fuel'!$B$28:$O$126,5,FALSE) * (VLOOKUP($B$14,'Annual Parameters'!$B$33:$W$104,3,FALSE) / VLOOKUP('VoC Fuel'!$B$14,'Annual Parameters'!$B$33:$W$104,3,FALSE))))</f>
        <v>43.842451524083934</v>
      </c>
      <c r="G32" s="1654">
        <f>IF(ISERROR(VLOOKUP($B32,'VoC Fuel'!$B$28:$O$126,1,FALSE)),"",IF(VLOOKUP($B32,'VoC Fuel'!$B$28:$O$126,6,FALSE)="","",VLOOKUP($B32,'VoC Fuel'!$B$28:$O$126,6,FALSE) * (VLOOKUP($B$14,'Annual Parameters'!$B$33:$W$104,3,FALSE) / VLOOKUP('VoC Fuel'!$B$14,'Annual Parameters'!$B$33:$W$104,3,FALSE))))</f>
        <v>13.737428594471226</v>
      </c>
      <c r="H32" s="1590">
        <f>IF(ISERROR(VLOOKUP($B32,'VoC Fuel'!$B$28:$O$126,1,FALSE)),"",IF(VLOOKUP($B32,'VoC Fuel'!$B$28:$O$126,7,FALSE)="","",VLOOKUP($B32,'VoC Fuel'!$B$28:$O$126,7,FALSE) * (VLOOKUP($B$14,'Annual Parameters'!$B$33:$W$104,3,FALSE) / VLOOKUP('VoC Fuel'!$B$14,'Annual Parameters'!$B$33:$W$104,3,FALSE))))</f>
        <v>8.5486968336866465</v>
      </c>
      <c r="I32" s="1654">
        <f>IF(ISERROR(VLOOKUP($B32,'VoC Fuel'!$B$28:$O$126,1,FALSE)),"",IF(VLOOKUP($B32,'VoC Fuel'!$B$28:$O$126,8,FALSE)="","",VLOOKUP($B32,'VoC Fuel'!$B$28:$O$126,8,FALSE) * (VLOOKUP($B$14,'Annual Parameters'!$B$33:$W$104,3,FALSE) / VLOOKUP('VoC Fuel'!$B$14,'Annual Parameters'!$B$33:$W$104,3,FALSE))))</f>
        <v>54.033427861684352</v>
      </c>
      <c r="J32" s="1654">
        <f>IF(ISERROR(VLOOKUP($B32,'VoC Fuel'!$B$28:$O$126,1,FALSE)),"",IF(VLOOKUP($B32,'VoC Fuel'!$B$28:$O$126,9,FALSE)="","",VLOOKUP($B32,'VoC Fuel'!$B$28:$O$126,9,FALSE) * (VLOOKUP($B$14,'Annual Parameters'!$B$33:$W$104,3,FALSE) / VLOOKUP('VoC Fuel'!$B$14,'Annual Parameters'!$B$33:$W$104,3,FALSE))))</f>
        <v>54.033427861684352</v>
      </c>
      <c r="K32" s="1654">
        <f>IF(ISERROR(VLOOKUP($B32,'VoC Fuel'!$B$28:$O$126,1,FALSE)),"",IF(VLOOKUP($B32,'VoC Fuel'!$B$28:$O$126,10,FALSE)="","",VLOOKUP($B32,'VoC Fuel'!$B$28:$O$126,10,FALSE) * (VLOOKUP($B$14,'Annual Parameters'!$B$33:$W$104,3,FALSE) / VLOOKUP('VoC Fuel'!$B$14,'Annual Parameters'!$B$33:$W$104,3,FALSE))))</f>
        <v>10.38709898842388</v>
      </c>
      <c r="L32" s="1257">
        <f>IF(ISERROR(VLOOKUP($B32,'VoC Fuel'!$B$28:$O$126,1,FALSE)),"",IF(VLOOKUP($B32,'VoC Fuel'!$B$28:$O$126,11,FALSE)="","",VLOOKUP($B32,'VoC Fuel'!$B$28:$O$126,11,FALSE) * (VLOOKUP($B$14,'Annual Parameters'!$B$33:$W$104,3,FALSE) / VLOOKUP('VoC Fuel'!$B$14,'Annual Parameters'!$B$33:$W$104,3,FALSE))))</f>
        <v>0</v>
      </c>
      <c r="M32" s="1256">
        <f>IF(ISERROR(VLOOKUP($B32,'VoC Fuel'!$B$28:$O$126,1,FALSE)),"",IF(VLOOKUP(B32,'VoC Fuel'!$B$28:$O$126,12,FALSE)="","",VLOOKUP(B32,'VoC Fuel'!$B$28:$O$126,12,FALSE)))</f>
        <v>20</v>
      </c>
      <c r="N32" s="1256">
        <f>IF(ISERROR(VLOOKUP($B32,'VoC Fuel'!$B$28:$O$126,1,FALSE)),"",IF(VLOOKUP($B32,'VoC Fuel'!$B$28:$O$126,13,FALSE)="","",VLOOKUP($B32,'VoC Fuel'!$B$28:$O$126,13,FALSE)))</f>
        <v>20</v>
      </c>
      <c r="O32" s="1256">
        <f>IF(ISERROR(VLOOKUP($B32,'VoC Fuel'!$B$28:$O$126,1,FALSE)),"",IF(VLOOKUP($B32,'VoC Fuel'!$B$28:$O$126,14,FALSE)="","",VLOOKUP($B32,'VoC Fuel'!$B$28:$O$126,14,FALSE)))</f>
        <v>5</v>
      </c>
      <c r="P32" s="14"/>
      <c r="Q32" s="14"/>
      <c r="R32" s="14"/>
      <c r="S32" s="14"/>
      <c r="T32" s="14"/>
      <c r="U32" s="14"/>
    </row>
    <row r="33" spans="1:21" ht="13.5" customHeight="1">
      <c r="B33" s="1589">
        <f t="shared" si="0"/>
        <v>2015</v>
      </c>
      <c r="C33" s="147"/>
      <c r="D33" s="51">
        <f>IF(ISERROR(VLOOKUP($B33,'VoC Fuel'!$B$28:$O$126,1,FALSE)),"",IF(VLOOKUP($B33,'VoC Fuel'!$B$28:$O$126,3,FALSE)="","",VLOOKUP($B33,'VoC Fuel'!$B$28:$O$126,3,FALSE) * (VLOOKUP($B$14,'Annual Parameters'!$B$33:$W$104,3,FALSE) / VLOOKUP('VoC Fuel'!$B$14,'Annual Parameters'!$B$33:$W$104,3,FALSE))))</f>
        <v>32.456792063560407</v>
      </c>
      <c r="E33" s="2158">
        <f>IF(ISERROR(VLOOKUP($B33,'VoC Fuel'!$B$28:$O$126,1,FALSE)),"",IF(VLOOKUP($B33,'VoC Fuel'!$B$28:$O$126,4,FALSE)="","",VLOOKUP($B33,'VoC Fuel'!$B$28:$O$126,4,FALSE) * (VLOOKUP($B$14,'Annual Parameters'!$B$33:$W$104,3,FALSE) / VLOOKUP('VoC Fuel'!$B$14,'Annual Parameters'!$B$33:$W$104,3,FALSE))))</f>
        <v>35.091197599034579</v>
      </c>
      <c r="F33" s="2160">
        <f>IF(ISERROR(VLOOKUP($B33,'VoC Fuel'!$B$28:$O$126,1,FALSE)),"",IF(VLOOKUP($B33,'VoC Fuel'!$B$28:$O$126,5,FALSE)="","",VLOOKUP($B33,'VoC Fuel'!$B$28:$O$126,5,FALSE) * (VLOOKUP($B$14,'Annual Parameters'!$B$33:$W$104,3,FALSE) / VLOOKUP('VoC Fuel'!$B$14,'Annual Parameters'!$B$33:$W$104,3,FALSE))))</f>
        <v>30.271517374257151</v>
      </c>
      <c r="G33" s="1654">
        <f>IF(ISERROR(VLOOKUP($B33,'VoC Fuel'!$B$28:$O$126,1,FALSE)),"",IF(VLOOKUP($B33,'VoC Fuel'!$B$28:$O$126,6,FALSE)="","",VLOOKUP($B33,'VoC Fuel'!$B$28:$O$126,6,FALSE) * (VLOOKUP($B$14,'Annual Parameters'!$B$33:$W$104,3,FALSE) / VLOOKUP('VoC Fuel'!$B$14,'Annual Parameters'!$B$33:$W$104,3,FALSE))))</f>
        <v>13.480534856248983</v>
      </c>
      <c r="H33" s="1590">
        <f>IF(ISERROR(VLOOKUP($B33,'VoC Fuel'!$B$28:$O$126,1,FALSE)),"",IF(VLOOKUP($B33,'VoC Fuel'!$B$28:$O$126,7,FALSE)="","",VLOOKUP($B33,'VoC Fuel'!$B$28:$O$126,7,FALSE) * (VLOOKUP($B$14,'Annual Parameters'!$B$33:$W$104,3,FALSE) / VLOOKUP('VoC Fuel'!$B$14,'Annual Parameters'!$B$33:$W$104,3,FALSE))))</f>
        <v>8.6552273188376798</v>
      </c>
      <c r="I33" s="1654">
        <f>IF(ISERROR(VLOOKUP($B33,'VoC Fuel'!$B$28:$O$126,1,FALSE)),"",IF(VLOOKUP($B33,'VoC Fuel'!$B$28:$O$126,8,FALSE)="","",VLOOKUP($B33,'VoC Fuel'!$B$28:$O$126,8,FALSE) * (VLOOKUP($B$14,'Annual Parameters'!$B$33:$W$104,3,FALSE) / VLOOKUP('VoC Fuel'!$B$14,'Annual Parameters'!$B$33:$W$104,3,FALSE))))</f>
        <v>53.797384686273993</v>
      </c>
      <c r="J33" s="1654">
        <f>IF(ISERROR(VLOOKUP($B33,'VoC Fuel'!$B$28:$O$126,1,FALSE)),"",IF(VLOOKUP($B33,'VoC Fuel'!$B$28:$O$126,9,FALSE)="","",VLOOKUP($B33,'VoC Fuel'!$B$28:$O$126,9,FALSE) * (VLOOKUP($B$14,'Annual Parameters'!$B$33:$W$104,3,FALSE) / VLOOKUP('VoC Fuel'!$B$14,'Annual Parameters'!$B$33:$W$104,3,FALSE))))</f>
        <v>53.797384686273993</v>
      </c>
      <c r="K33" s="1654">
        <f>IF(ISERROR(VLOOKUP($B33,'VoC Fuel'!$B$28:$O$126,1,FALSE)),"",IF(VLOOKUP($B33,'VoC Fuel'!$B$28:$O$126,10,FALSE)="","",VLOOKUP($B33,'VoC Fuel'!$B$28:$O$126,10,FALSE) * (VLOOKUP($B$14,'Annual Parameters'!$B$33:$W$104,3,FALSE) / VLOOKUP('VoC Fuel'!$B$14,'Annual Parameters'!$B$33:$W$104,3,FALSE))))</f>
        <v>10.341723302935156</v>
      </c>
      <c r="L33" s="1257">
        <f>IF(ISERROR(VLOOKUP($B33,'VoC Fuel'!$B$28:$O$126,1,FALSE)),"",IF(VLOOKUP($B33,'VoC Fuel'!$B$28:$O$126,11,FALSE)="","",VLOOKUP($B33,'VoC Fuel'!$B$28:$O$126,11,FALSE) * (VLOOKUP($B$14,'Annual Parameters'!$B$33:$W$104,3,FALSE) / VLOOKUP('VoC Fuel'!$B$14,'Annual Parameters'!$B$33:$W$104,3,FALSE))))</f>
        <v>0</v>
      </c>
      <c r="M33" s="1256">
        <f>IF(ISERROR(VLOOKUP($B33,'VoC Fuel'!$B$28:$O$126,1,FALSE)),"",IF(VLOOKUP(B33,'VoC Fuel'!$B$28:$O$126,12,FALSE)="","",VLOOKUP(B33,'VoC Fuel'!$B$28:$O$126,12,FALSE)))</f>
        <v>20</v>
      </c>
      <c r="N33" s="1256">
        <f>IF(ISERROR(VLOOKUP($B33,'VoC Fuel'!$B$28:$O$126,1,FALSE)),"",IF(VLOOKUP($B33,'VoC Fuel'!$B$28:$O$126,13,FALSE)="","",VLOOKUP($B33,'VoC Fuel'!$B$28:$O$126,13,FALSE)))</f>
        <v>20</v>
      </c>
      <c r="O33" s="1256">
        <f>IF(ISERROR(VLOOKUP($B33,'VoC Fuel'!$B$28:$O$126,1,FALSE)),"",IF(VLOOKUP($B33,'VoC Fuel'!$B$28:$O$126,14,FALSE)="","",VLOOKUP($B33,'VoC Fuel'!$B$28:$O$126,14,FALSE)))</f>
        <v>5</v>
      </c>
      <c r="P33" s="14"/>
      <c r="Q33" s="14"/>
      <c r="R33" s="14"/>
      <c r="S33" s="14"/>
      <c r="T33" s="14"/>
      <c r="U33" s="14"/>
    </row>
    <row r="34" spans="1:21" ht="13.5" customHeight="1">
      <c r="B34" s="1589">
        <f t="shared" si="0"/>
        <v>2016</v>
      </c>
      <c r="C34" s="147"/>
      <c r="D34" s="51">
        <f>IF(ISERROR(VLOOKUP($B34,'VoC Fuel'!$B$28:$O$126,1,FALSE)),"",IF(VLOOKUP($B34,'VoC Fuel'!$B$28:$O$126,3,FALSE)="","",VLOOKUP($B34,'VoC Fuel'!$B$28:$O$126,3,FALSE) * (VLOOKUP($B$14,'Annual Parameters'!$B$33:$W$104,3,FALSE) / VLOOKUP('VoC Fuel'!$B$14,'Annual Parameters'!$B$33:$W$104,3,FALSE))))</f>
        <v>30.110132814873452</v>
      </c>
      <c r="E34" s="2158">
        <f>IF(ISERROR(VLOOKUP($B34,'VoC Fuel'!$B$28:$O$126,1,FALSE)),"",IF(VLOOKUP($B34,'VoC Fuel'!$B$28:$O$126,4,FALSE)="","",VLOOKUP($B34,'VoC Fuel'!$B$28:$O$126,4,FALSE) * (VLOOKUP($B$14,'Annual Parameters'!$B$33:$W$104,3,FALSE) / VLOOKUP('VoC Fuel'!$B$14,'Annual Parameters'!$B$33:$W$104,3,FALSE))))</f>
        <v>30.767936355333262</v>
      </c>
      <c r="F34" s="2160">
        <f>IF(ISERROR(VLOOKUP($B34,'VoC Fuel'!$B$28:$O$126,1,FALSE)),"",IF(VLOOKUP($B34,'VoC Fuel'!$B$28:$O$126,5,FALSE)="","",VLOOKUP($B34,'VoC Fuel'!$B$28:$O$126,5,FALSE) * (VLOOKUP($B$14,'Annual Parameters'!$B$33:$W$104,3,FALSE) / VLOOKUP('VoC Fuel'!$B$14,'Annual Parameters'!$B$33:$W$104,3,FALSE))))</f>
        <v>26.75709524904665</v>
      </c>
      <c r="G34" s="1654">
        <f>IF(ISERROR(VLOOKUP($B34,'VoC Fuel'!$B$28:$O$126,1,FALSE)),"",IF(VLOOKUP($B34,'VoC Fuel'!$B$28:$O$126,6,FALSE)="","",VLOOKUP($B34,'VoC Fuel'!$B$28:$O$126,6,FALSE) * (VLOOKUP($B$14,'Annual Parameters'!$B$33:$W$104,3,FALSE) / VLOOKUP('VoC Fuel'!$B$14,'Annual Parameters'!$B$33:$W$104,3,FALSE))))</f>
        <v>13.26029555210377</v>
      </c>
      <c r="H34" s="1590">
        <f>IF(ISERROR(VLOOKUP($B34,'VoC Fuel'!$B$28:$O$126,1,FALSE)),"",IF(VLOOKUP($B34,'VoC Fuel'!$B$28:$O$126,7,FALSE)="","",VLOOKUP($B34,'VoC Fuel'!$B$28:$O$126,7,FALSE) * (VLOOKUP($B$14,'Annual Parameters'!$B$33:$W$104,3,FALSE) / VLOOKUP('VoC Fuel'!$B$14,'Annual Parameters'!$B$33:$W$104,3,FALSE))))</f>
        <v>8.4207303425142506</v>
      </c>
      <c r="I34" s="1654">
        <f>IF(ISERROR(VLOOKUP($B34,'VoC Fuel'!$B$28:$O$126,1,FALSE)),"",IF(VLOOKUP($B34,'VoC Fuel'!$B$28:$O$126,8,FALSE)="","",VLOOKUP($B34,'VoC Fuel'!$B$28:$O$126,8,FALSE) * (VLOOKUP($B$14,'Annual Parameters'!$B$33:$W$104,3,FALSE) / VLOOKUP('VoC Fuel'!$B$14,'Annual Parameters'!$B$33:$W$104,3,FALSE))))</f>
        <v>52.731211049877167</v>
      </c>
      <c r="J34" s="1654">
        <f>IF(ISERROR(VLOOKUP($B34,'VoC Fuel'!$B$28:$O$126,1,FALSE)),"",IF(VLOOKUP($B34,'VoC Fuel'!$B$28:$O$126,9,FALSE)="","",VLOOKUP($B34,'VoC Fuel'!$B$28:$O$126,9,FALSE) * (VLOOKUP($B$14,'Annual Parameters'!$B$33:$W$104,3,FALSE) / VLOOKUP('VoC Fuel'!$B$14,'Annual Parameters'!$B$33:$W$104,3,FALSE))))</f>
        <v>52.731211049877167</v>
      </c>
      <c r="K34" s="1654">
        <f>IF(ISERROR(VLOOKUP($B34,'VoC Fuel'!$B$28:$O$126,1,FALSE)),"",IF(VLOOKUP($B34,'VoC Fuel'!$B$28:$O$126,10,FALSE)="","",VLOOKUP($B34,'VoC Fuel'!$B$28:$O$126,10,FALSE) * (VLOOKUP($B$14,'Annual Parameters'!$B$33:$W$104,3,FALSE) / VLOOKUP('VoC Fuel'!$B$14,'Annual Parameters'!$B$33:$W$104,3,FALSE))))</f>
        <v>10.136767749708914</v>
      </c>
      <c r="L34" s="1257">
        <f>IF(ISERROR(VLOOKUP($B34,'VoC Fuel'!$B$28:$O$126,1,FALSE)),"",IF(VLOOKUP($B34,'VoC Fuel'!$B$28:$O$126,11,FALSE)="","",VLOOKUP($B34,'VoC Fuel'!$B$28:$O$126,11,FALSE) * (VLOOKUP($B$14,'Annual Parameters'!$B$33:$W$104,3,FALSE) / VLOOKUP('VoC Fuel'!$B$14,'Annual Parameters'!$B$33:$W$104,3,FALSE))))</f>
        <v>0</v>
      </c>
      <c r="M34" s="1256">
        <f>IF(ISERROR(VLOOKUP($B34,'VoC Fuel'!$B$28:$O$126,1,FALSE)),"",IF(VLOOKUP(B34,'VoC Fuel'!$B$28:$O$126,12,FALSE)="","",VLOOKUP(B34,'VoC Fuel'!$B$28:$O$126,12,FALSE)))</f>
        <v>20</v>
      </c>
      <c r="N34" s="1256">
        <f>IF(ISERROR(VLOOKUP($B34,'VoC Fuel'!$B$28:$O$126,1,FALSE)),"",IF(VLOOKUP($B34,'VoC Fuel'!$B$28:$O$126,13,FALSE)="","",VLOOKUP($B34,'VoC Fuel'!$B$28:$O$126,13,FALSE)))</f>
        <v>20</v>
      </c>
      <c r="O34" s="1256">
        <f>IF(ISERROR(VLOOKUP($B34,'VoC Fuel'!$B$28:$O$126,1,FALSE)),"",IF(VLOOKUP($B34,'VoC Fuel'!$B$28:$O$126,14,FALSE)="","",VLOOKUP($B34,'VoC Fuel'!$B$28:$O$126,14,FALSE)))</f>
        <v>5</v>
      </c>
      <c r="P34" s="14"/>
      <c r="Q34" s="14"/>
      <c r="R34" s="14"/>
      <c r="S34" s="14"/>
      <c r="T34" s="14"/>
      <c r="U34" s="14"/>
    </row>
    <row r="35" spans="1:21" ht="13.5" customHeight="1">
      <c r="B35" s="1589">
        <f t="shared" si="0"/>
        <v>2017</v>
      </c>
      <c r="C35" s="147"/>
      <c r="D35" s="51">
        <f>IF(ISERROR(VLOOKUP($B35,'VoC Fuel'!$B$28:$O$126,1,FALSE)),"",IF(VLOOKUP($B35,'VoC Fuel'!$B$28:$O$126,3,FALSE)="","",VLOOKUP($B35,'VoC Fuel'!$B$28:$O$126,3,FALSE) * (VLOOKUP($B$14,'Annual Parameters'!$B$33:$W$104,3,FALSE) / VLOOKUP('VoC Fuel'!$B$14,'Annual Parameters'!$B$33:$W$104,3,FALSE))))</f>
        <v>35.95820993645831</v>
      </c>
      <c r="E35" s="2158">
        <f>IF(ISERROR(VLOOKUP($B35,'VoC Fuel'!$B$28:$O$126,1,FALSE)),"",IF(VLOOKUP($B35,'VoC Fuel'!$B$28:$O$126,4,FALSE)="","",VLOOKUP($B35,'VoC Fuel'!$B$28:$O$126,4,FALSE) * (VLOOKUP($B$14,'Annual Parameters'!$B$33:$W$104,3,FALSE) / VLOOKUP('VoC Fuel'!$B$14,'Annual Parameters'!$B$33:$W$104,3,FALSE))))</f>
        <v>37.536174066514754</v>
      </c>
      <c r="F35" s="2160">
        <f>IF(ISERROR(VLOOKUP($B35,'VoC Fuel'!$B$28:$O$126,1,FALSE)),"",IF(VLOOKUP($B35,'VoC Fuel'!$B$28:$O$126,5,FALSE)="","",VLOOKUP($B35,'VoC Fuel'!$B$28:$O$126,5,FALSE) * (VLOOKUP($B$14,'Annual Parameters'!$B$33:$W$104,3,FALSE) / VLOOKUP('VoC Fuel'!$B$14,'Annual Parameters'!$B$33:$W$104,3,FALSE))))</f>
        <v>32.711954939584203</v>
      </c>
      <c r="G35" s="1654">
        <f>IF(ISERROR(VLOOKUP($B35,'VoC Fuel'!$B$28:$O$126,1,FALSE)),"",IF(VLOOKUP($B35,'VoC Fuel'!$B$28:$O$126,6,FALSE)="","",VLOOKUP($B35,'VoC Fuel'!$B$28:$O$126,6,FALSE) * (VLOOKUP($B$14,'Annual Parameters'!$B$33:$W$104,3,FALSE) / VLOOKUP('VoC Fuel'!$B$14,'Annual Parameters'!$B$33:$W$104,3,FALSE))))</f>
        <v>13.754478654820529</v>
      </c>
      <c r="H35" s="1590">
        <f>IF(ISERROR(VLOOKUP($B35,'VoC Fuel'!$B$28:$O$126,1,FALSE)),"",IF(VLOOKUP($B35,'VoC Fuel'!$B$28:$O$126,7,FALSE)="","",VLOOKUP($B35,'VoC Fuel'!$B$28:$O$126,7,FALSE) * (VLOOKUP($B$14,'Annual Parameters'!$B$33:$W$104,3,FALSE) / VLOOKUP('VoC Fuel'!$B$14,'Annual Parameters'!$B$33:$W$104,3,FALSE))))</f>
        <v>8.7638776809166306</v>
      </c>
      <c r="I35" s="1654">
        <f>IF(ISERROR(VLOOKUP($B35,'VoC Fuel'!$B$28:$O$126,1,FALSE)),"",IF(VLOOKUP($B35,'VoC Fuel'!$B$28:$O$126,8,FALSE)="","",VLOOKUP($B35,'VoC Fuel'!$B$28:$O$126,8,FALSE) * (VLOOKUP($B$14,'Annual Parameters'!$B$33:$W$104,3,FALSE) / VLOOKUP('VoC Fuel'!$B$14,'Annual Parameters'!$B$33:$W$104,3,FALSE))))</f>
        <v>51.588308529035558</v>
      </c>
      <c r="J35" s="1654">
        <f>IF(ISERROR(VLOOKUP($B35,'VoC Fuel'!$B$28:$O$126,1,FALSE)),"",IF(VLOOKUP($B35,'VoC Fuel'!$B$28:$O$126,9,FALSE)="","",VLOOKUP($B35,'VoC Fuel'!$B$28:$O$126,9,FALSE) * (VLOOKUP($B$14,'Annual Parameters'!$B$33:$W$104,3,FALSE) / VLOOKUP('VoC Fuel'!$B$14,'Annual Parameters'!$B$33:$W$104,3,FALSE))))</f>
        <v>51.588308529035558</v>
      </c>
      <c r="K35" s="1654">
        <f>IF(ISERROR(VLOOKUP($B35,'VoC Fuel'!$B$28:$O$126,1,FALSE)),"",IF(VLOOKUP($B35,'VoC Fuel'!$B$28:$O$126,10,FALSE)="","",VLOOKUP($B35,'VoC Fuel'!$B$28:$O$126,10,FALSE) * (VLOOKUP($B$14,'Annual Parameters'!$B$33:$W$104,3,FALSE) / VLOOKUP('VoC Fuel'!$B$14,'Annual Parameters'!$B$33:$W$104,3,FALSE))))</f>
        <v>9.9170622435454021</v>
      </c>
      <c r="L35" s="1257">
        <f>IF(ISERROR(VLOOKUP($B35,'VoC Fuel'!$B$28:$O$126,1,FALSE)),"",IF(VLOOKUP($B35,'VoC Fuel'!$B$28:$O$126,11,FALSE)="","",VLOOKUP($B35,'VoC Fuel'!$B$28:$O$126,11,FALSE) * (VLOOKUP($B$14,'Annual Parameters'!$B$33:$W$104,3,FALSE) / VLOOKUP('VoC Fuel'!$B$14,'Annual Parameters'!$B$33:$W$104,3,FALSE))))</f>
        <v>0</v>
      </c>
      <c r="M35" s="1256">
        <f>IF(ISERROR(VLOOKUP($B35,'VoC Fuel'!$B$28:$O$126,1,FALSE)),"",IF(VLOOKUP(B35,'VoC Fuel'!$B$28:$O$126,12,FALSE)="","",VLOOKUP(B35,'VoC Fuel'!$B$28:$O$126,12,FALSE)))</f>
        <v>20</v>
      </c>
      <c r="N35" s="1256">
        <f>IF(ISERROR(VLOOKUP($B35,'VoC Fuel'!$B$28:$O$126,1,FALSE)),"",IF(VLOOKUP($B35,'VoC Fuel'!$B$28:$O$126,13,FALSE)="","",VLOOKUP($B35,'VoC Fuel'!$B$28:$O$126,13,FALSE)))</f>
        <v>20</v>
      </c>
      <c r="O35" s="1256">
        <f>IF(ISERROR(VLOOKUP($B35,'VoC Fuel'!$B$28:$O$126,1,FALSE)),"",IF(VLOOKUP($B35,'VoC Fuel'!$B$28:$O$126,14,FALSE)="","",VLOOKUP($B35,'VoC Fuel'!$B$28:$O$126,14,FALSE)))</f>
        <v>5</v>
      </c>
      <c r="P35" s="14"/>
      <c r="Q35" s="14"/>
      <c r="R35" s="14"/>
      <c r="S35" s="14"/>
      <c r="T35" s="14"/>
      <c r="U35" s="14"/>
    </row>
    <row r="36" spans="1:21" ht="13.5" customHeight="1">
      <c r="B36" s="1589">
        <f t="shared" si="0"/>
        <v>2018</v>
      </c>
      <c r="C36" s="147"/>
      <c r="D36" s="51">
        <f>IF(ISERROR(VLOOKUP($B36,'VoC Fuel'!$B$28:$O$126,1,FALSE)),"",IF(VLOOKUP($B36,'VoC Fuel'!$B$28:$O$126,3,FALSE)="","",VLOOKUP($B36,'VoC Fuel'!$B$28:$O$126,3,FALSE) * (VLOOKUP($B$14,'Annual Parameters'!$B$33:$W$104,3,FALSE) / VLOOKUP('VoC Fuel'!$B$14,'Annual Parameters'!$B$33:$W$104,3,FALSE))))</f>
        <v>39.911563742139769</v>
      </c>
      <c r="E36" s="2158">
        <f>IF(ISERROR(VLOOKUP($B36,'VoC Fuel'!$B$28:$O$126,1,FALSE)),"",IF(VLOOKUP($B36,'VoC Fuel'!$B$28:$O$126,4,FALSE)="","",VLOOKUP($B36,'VoC Fuel'!$B$28:$O$126,4,FALSE) * (VLOOKUP($B$14,'Annual Parameters'!$B$33:$W$104,3,FALSE) / VLOOKUP('VoC Fuel'!$B$14,'Annual Parameters'!$B$33:$W$104,3,FALSE))))</f>
        <v>43.487379358196272</v>
      </c>
      <c r="F36" s="2160">
        <f>IF(ISERROR(VLOOKUP($B36,'VoC Fuel'!$B$28:$O$126,1,FALSE)),"",IF(VLOOKUP($B36,'VoC Fuel'!$B$28:$O$126,5,FALSE)="","",VLOOKUP($B36,'VoC Fuel'!$B$28:$O$126,5,FALSE) * (VLOOKUP($B$14,'Annual Parameters'!$B$33:$W$104,3,FALSE) / VLOOKUP('VoC Fuel'!$B$14,'Annual Parameters'!$B$33:$W$104,3,FALSE))))</f>
        <v>37.846826630036794</v>
      </c>
      <c r="G36" s="1654">
        <f>IF(ISERROR(VLOOKUP($B36,'VoC Fuel'!$B$28:$O$126,1,FALSE)),"",IF(VLOOKUP($B36,'VoC Fuel'!$B$28:$O$126,6,FALSE)="","",VLOOKUP($B36,'VoC Fuel'!$B$28:$O$126,6,FALSE) * (VLOOKUP($B$14,'Annual Parameters'!$B$33:$W$104,3,FALSE) / VLOOKUP('VoC Fuel'!$B$14,'Annual Parameters'!$B$33:$W$104,3,FALSE))))</f>
        <v>14.798216040100248</v>
      </c>
      <c r="H36" s="1590">
        <f>IF(ISERROR(VLOOKUP($B36,'VoC Fuel'!$B$28:$O$126,1,FALSE)),"",IF(VLOOKUP($B36,'VoC Fuel'!$B$28:$O$126,7,FALSE)="","",VLOOKUP($B36,'VoC Fuel'!$B$28:$O$126,7,FALSE) * (VLOOKUP($B$14,'Annual Parameters'!$B$33:$W$104,3,FALSE) / VLOOKUP('VoC Fuel'!$B$14,'Annual Parameters'!$B$33:$W$104,3,FALSE))))</f>
        <v>10.384220942828593</v>
      </c>
      <c r="I36" s="1654">
        <f>IF(ISERROR(VLOOKUP($B36,'VoC Fuel'!$B$28:$O$126,1,FALSE)),"",IF(VLOOKUP($B36,'VoC Fuel'!$B$28:$O$126,8,FALSE)="","",VLOOKUP($B36,'VoC Fuel'!$B$28:$O$126,8,FALSE) * (VLOOKUP($B$14,'Annual Parameters'!$B$33:$W$104,3,FALSE) / VLOOKUP('VoC Fuel'!$B$14,'Annual Parameters'!$B$33:$W$104,3,FALSE))))</f>
        <v>50.471844427945818</v>
      </c>
      <c r="J36" s="1654">
        <f>IF(ISERROR(VLOOKUP($B36,'VoC Fuel'!$B$28:$O$126,1,FALSE)),"",IF(VLOOKUP($B36,'VoC Fuel'!$B$28:$O$126,9,FALSE)="","",VLOOKUP($B36,'VoC Fuel'!$B$28:$O$126,9,FALSE) * (VLOOKUP($B$14,'Annual Parameters'!$B$33:$W$104,3,FALSE) / VLOOKUP('VoC Fuel'!$B$14,'Annual Parameters'!$B$33:$W$104,3,FALSE))))</f>
        <v>50.471844427945818</v>
      </c>
      <c r="K36" s="1654">
        <f>IF(ISERROR(VLOOKUP($B36,'VoC Fuel'!$B$28:$O$126,1,FALSE)),"",IF(VLOOKUP($B36,'VoC Fuel'!$B$28:$O$126,10,FALSE)="","",VLOOKUP($B36,'VoC Fuel'!$B$28:$O$126,10,FALSE) * (VLOOKUP($B$14,'Annual Parameters'!$B$33:$W$104,3,FALSE) / VLOOKUP('VoC Fuel'!$B$14,'Annual Parameters'!$B$33:$W$104,3,FALSE))))</f>
        <v>9.7024391186767271</v>
      </c>
      <c r="L36" s="1257">
        <f>IF(ISERROR(VLOOKUP($B36,'VoC Fuel'!$B$28:$O$126,1,FALSE)),"",IF(VLOOKUP($B36,'VoC Fuel'!$B$28:$O$126,11,FALSE)="","",VLOOKUP($B36,'VoC Fuel'!$B$28:$O$126,11,FALSE) * (VLOOKUP($B$14,'Annual Parameters'!$B$33:$W$104,3,FALSE) / VLOOKUP('VoC Fuel'!$B$14,'Annual Parameters'!$B$33:$W$104,3,FALSE))))</f>
        <v>0</v>
      </c>
      <c r="M36" s="1256">
        <f>IF(ISERROR(VLOOKUP($B36,'VoC Fuel'!$B$28:$O$126,1,FALSE)),"",IF(VLOOKUP(B36,'VoC Fuel'!$B$28:$O$126,12,FALSE)="","",VLOOKUP(B36,'VoC Fuel'!$B$28:$O$126,12,FALSE)))</f>
        <v>20</v>
      </c>
      <c r="N36" s="1256">
        <f>IF(ISERROR(VLOOKUP($B36,'VoC Fuel'!$B$28:$O$126,1,FALSE)),"",IF(VLOOKUP($B36,'VoC Fuel'!$B$28:$O$126,13,FALSE)="","",VLOOKUP($B36,'VoC Fuel'!$B$28:$O$126,13,FALSE)))</f>
        <v>20</v>
      </c>
      <c r="O36" s="1256">
        <f>IF(ISERROR(VLOOKUP($B36,'VoC Fuel'!$B$28:$O$126,1,FALSE)),"",IF(VLOOKUP($B36,'VoC Fuel'!$B$28:$O$126,14,FALSE)="","",VLOOKUP($B36,'VoC Fuel'!$B$28:$O$126,14,FALSE)))</f>
        <v>5</v>
      </c>
      <c r="P36" s="14"/>
      <c r="Q36" s="14"/>
      <c r="R36" s="14"/>
      <c r="S36" s="14"/>
      <c r="T36" s="14"/>
      <c r="U36" s="14"/>
    </row>
    <row r="37" spans="1:21" ht="13.5" customHeight="1">
      <c r="A37" s="26"/>
      <c r="B37" s="1589">
        <f t="shared" si="0"/>
        <v>2019</v>
      </c>
      <c r="C37" s="147"/>
      <c r="D37" s="51">
        <f>IF(ISERROR(VLOOKUP($B37,'VoC Fuel'!$B$28:$O$126,1,FALSE)),"",IF(VLOOKUP($B37,'VoC Fuel'!$B$28:$O$126,3,FALSE)="","",VLOOKUP($B37,'VoC Fuel'!$B$28:$O$126,3,FALSE) * (VLOOKUP($B$14,'Annual Parameters'!$B$33:$W$104,3,FALSE) / VLOOKUP('VoC Fuel'!$B$14,'Annual Parameters'!$B$33:$W$104,3,FALSE))))</f>
        <v>38.399072425376076</v>
      </c>
      <c r="E37" s="2158">
        <f>IF(ISERROR(VLOOKUP($B37,'VoC Fuel'!$B$28:$O$126,1,FALSE)),"",IF(VLOOKUP($B37,'VoC Fuel'!$B$28:$O$126,4,FALSE)="","",VLOOKUP($B37,'VoC Fuel'!$B$28:$O$126,4,FALSE) * (VLOOKUP($B$14,'Annual Parameters'!$B$33:$W$104,3,FALSE) / VLOOKUP('VoC Fuel'!$B$14,'Annual Parameters'!$B$33:$W$104,3,FALSE))))</f>
        <v>41.760936849419394</v>
      </c>
      <c r="F37" s="2160">
        <f>IF(ISERROR(VLOOKUP($B37,'VoC Fuel'!$B$28:$O$126,1,FALSE)),"",IF(VLOOKUP($B37,'VoC Fuel'!$B$28:$O$126,5,FALSE)="","",VLOOKUP($B37,'VoC Fuel'!$B$28:$O$126,5,FALSE) * (VLOOKUP($B$14,'Annual Parameters'!$B$33:$W$104,3,FALSE) / VLOOKUP('VoC Fuel'!$B$14,'Annual Parameters'!$B$33:$W$104,3,FALSE))))</f>
        <v>36.115128584028241</v>
      </c>
      <c r="G37" s="1654">
        <f>IF(ISERROR(VLOOKUP($B37,'VoC Fuel'!$B$28:$O$126,1,FALSE)),"",IF(VLOOKUP($B37,'VoC Fuel'!$B$28:$O$126,6,FALSE)="","",VLOOKUP($B37,'VoC Fuel'!$B$28:$O$126,6,FALSE) * (VLOOKUP($B$14,'Annual Parameters'!$B$33:$W$104,3,FALSE) / VLOOKUP('VoC Fuel'!$B$14,'Annual Parameters'!$B$33:$W$104,3,FALSE))))</f>
        <v>15.104929800721505</v>
      </c>
      <c r="H37" s="1590">
        <f>IF(ISERROR(VLOOKUP($B37,'VoC Fuel'!$B$28:$O$126,1,FALSE)),"",IF(VLOOKUP($B37,'VoC Fuel'!$B$28:$O$126,7,FALSE)="","",VLOOKUP($B37,'VoC Fuel'!$B$28:$O$126,7,FALSE) * (VLOOKUP($B$14,'Annual Parameters'!$B$33:$W$104,3,FALSE) / VLOOKUP('VoC Fuel'!$B$14,'Annual Parameters'!$B$33:$W$104,3,FALSE))))</f>
        <v>10.774472847247253</v>
      </c>
      <c r="I37" s="1654">
        <f>IF(ISERROR(VLOOKUP($B37,'VoC Fuel'!$B$28:$O$126,1,FALSE)),"",IF(VLOOKUP($B37,'VoC Fuel'!$B$28:$O$126,8,FALSE)="","",VLOOKUP($B37,'VoC Fuel'!$B$28:$O$126,8,FALSE) * (VLOOKUP($B$14,'Annual Parameters'!$B$33:$W$104,3,FALSE) / VLOOKUP('VoC Fuel'!$B$14,'Annual Parameters'!$B$33:$W$104,3,FALSE))))</f>
        <v>50.676129539198719</v>
      </c>
      <c r="J37" s="1654">
        <f>IF(ISERROR(VLOOKUP($B37,'VoC Fuel'!$B$28:$O$126,1,FALSE)),"",IF(VLOOKUP($B37,'VoC Fuel'!$B$28:$O$126,9,FALSE)="","",VLOOKUP($B37,'VoC Fuel'!$B$28:$O$126,9,FALSE) * (VLOOKUP($B$14,'Annual Parameters'!$B$33:$W$104,3,FALSE) / VLOOKUP('VoC Fuel'!$B$14,'Annual Parameters'!$B$33:$W$104,3,FALSE))))</f>
        <v>50.676129539198719</v>
      </c>
      <c r="K37" s="1654">
        <f>IF(ISERROR(VLOOKUP($B37,'VoC Fuel'!$B$28:$O$126,1,FALSE)),"",IF(VLOOKUP($B37,'VoC Fuel'!$B$28:$O$126,10,FALSE)="","",VLOOKUP($B37,'VoC Fuel'!$B$28:$O$126,10,FALSE) * (VLOOKUP($B$14,'Annual Parameters'!$B$33:$W$104,3,FALSE) / VLOOKUP('VoC Fuel'!$B$14,'Annual Parameters'!$B$33:$W$104,3,FALSE))))</f>
        <v>9.7417098027036033</v>
      </c>
      <c r="L37" s="1257">
        <f>IF(ISERROR(VLOOKUP($B37,'VoC Fuel'!$B$28:$O$126,1,FALSE)),"",IF(VLOOKUP($B37,'VoC Fuel'!$B$28:$O$126,11,FALSE)="","",VLOOKUP($B37,'VoC Fuel'!$B$28:$O$126,11,FALSE) * (VLOOKUP($B$14,'Annual Parameters'!$B$33:$W$104,3,FALSE) / VLOOKUP('VoC Fuel'!$B$14,'Annual Parameters'!$B$33:$W$104,3,FALSE))))</f>
        <v>0</v>
      </c>
      <c r="M37" s="1256">
        <f>IF(ISERROR(VLOOKUP($B37,'VoC Fuel'!$B$28:$O$126,1,FALSE)),"",IF(VLOOKUP(B37,'VoC Fuel'!$B$28:$O$126,12,FALSE)="","",VLOOKUP(B37,'VoC Fuel'!$B$28:$O$126,12,FALSE)))</f>
        <v>20</v>
      </c>
      <c r="N37" s="1256">
        <f>IF(ISERROR(VLOOKUP($B37,'VoC Fuel'!$B$28:$O$126,1,FALSE)),"",IF(VLOOKUP($B37,'VoC Fuel'!$B$28:$O$126,13,FALSE)="","",VLOOKUP($B37,'VoC Fuel'!$B$28:$O$126,13,FALSE)))</f>
        <v>20</v>
      </c>
      <c r="O37" s="1256">
        <f>IF(ISERROR(VLOOKUP($B37,'VoC Fuel'!$B$28:$O$126,1,FALSE)),"",IF(VLOOKUP($B37,'VoC Fuel'!$B$28:$O$126,14,FALSE)="","",VLOOKUP($B37,'VoC Fuel'!$B$28:$O$126,14,FALSE)))</f>
        <v>5</v>
      </c>
      <c r="S37" s="14"/>
      <c r="T37" s="14"/>
      <c r="U37" s="14"/>
    </row>
    <row r="38" spans="1:21" s="26" customFormat="1" ht="13.5" customHeight="1">
      <c r="B38" s="1589">
        <f t="shared" si="0"/>
        <v>2020</v>
      </c>
      <c r="C38" s="147"/>
      <c r="D38" s="51">
        <f>IF(ISERROR(VLOOKUP($B38,'VoC Fuel'!$B$28:$O$126,1,FALSE)),"",IF(VLOOKUP($B38,'VoC Fuel'!$B$28:$O$126,3,FALSE)="","",VLOOKUP($B38,'VoC Fuel'!$B$28:$O$126,3,FALSE) * (VLOOKUP($B$14,'Annual Parameters'!$B$33:$W$104,3,FALSE) / VLOOKUP('VoC Fuel'!$B$14,'Annual Parameters'!$B$33:$W$104,3,FALSE))))</f>
        <v>38.228499098464731</v>
      </c>
      <c r="E38" s="2158">
        <f>IF(ISERROR(VLOOKUP($B38,'VoC Fuel'!$B$28:$O$126,1,FALSE)),"",IF(VLOOKUP($B38,'VoC Fuel'!$B$28:$O$126,4,FALSE)="","",VLOOKUP($B38,'VoC Fuel'!$B$28:$O$126,4,FALSE) * (VLOOKUP($B$14,'Annual Parameters'!$B$33:$W$104,3,FALSE) / VLOOKUP('VoC Fuel'!$B$14,'Annual Parameters'!$B$33:$W$104,3,FALSE))))</f>
        <v>41.569544593432752</v>
      </c>
      <c r="F38" s="2160">
        <f>IF(ISERROR(VLOOKUP($B38,'VoC Fuel'!$B$28:$O$126,1,FALSE)),"",IF(VLOOKUP($B38,'VoC Fuel'!$B$28:$O$126,5,FALSE)="","",VLOOKUP($B38,'VoC Fuel'!$B$28:$O$126,5,FALSE) * (VLOOKUP($B$14,'Annual Parameters'!$B$33:$W$104,3,FALSE) / VLOOKUP('VoC Fuel'!$B$14,'Annual Parameters'!$B$33:$W$104,3,FALSE))))</f>
        <v>35.932384384174618</v>
      </c>
      <c r="G38" s="1654">
        <f>IF(ISERROR(VLOOKUP($B38,'VoC Fuel'!$B$28:$O$126,1,FALSE)),"",IF(VLOOKUP($B38,'VoC Fuel'!$B$28:$O$126,6,FALSE)="","",VLOOKUP($B38,'VoC Fuel'!$B$28:$O$126,6,FALSE) * (VLOOKUP($B$14,'Annual Parameters'!$B$33:$W$104,3,FALSE) / VLOOKUP('VoC Fuel'!$B$14,'Annual Parameters'!$B$33:$W$104,3,FALSE))))</f>
        <v>15.411643561342764</v>
      </c>
      <c r="H38" s="1590">
        <f>IF(ISERROR(VLOOKUP($B38,'VoC Fuel'!$B$28:$O$126,1,FALSE)),"",IF(VLOOKUP($B38,'VoC Fuel'!$B$28:$O$126,7,FALSE)="","",VLOOKUP($B38,'VoC Fuel'!$B$28:$O$126,7,FALSE) * (VLOOKUP($B$14,'Annual Parameters'!$B$33:$W$104,3,FALSE) / VLOOKUP('VoC Fuel'!$B$14,'Annual Parameters'!$B$33:$W$104,3,FALSE))))</f>
        <v>10.737968408556574</v>
      </c>
      <c r="I38" s="1654">
        <f>IF(ISERROR(VLOOKUP($B38,'VoC Fuel'!$B$28:$O$126,1,FALSE)),"",IF(VLOOKUP($B38,'VoC Fuel'!$B$28:$O$126,8,FALSE)="","",VLOOKUP($B38,'VoC Fuel'!$B$28:$O$126,8,FALSE) * (VLOOKUP($B$14,'Annual Parameters'!$B$33:$W$104,3,FALSE) / VLOOKUP('VoC Fuel'!$B$14,'Annual Parameters'!$B$33:$W$104,3,FALSE))))</f>
        <v>51.281267770185117</v>
      </c>
      <c r="J38" s="1654">
        <f>IF(ISERROR(VLOOKUP($B38,'VoC Fuel'!$B$28:$O$126,1,FALSE)),"",IF(VLOOKUP($B38,'VoC Fuel'!$B$28:$O$126,9,FALSE)="","",VLOOKUP($B38,'VoC Fuel'!$B$28:$O$126,9,FALSE) * (VLOOKUP($B$14,'Annual Parameters'!$B$33:$W$104,3,FALSE) / VLOOKUP('VoC Fuel'!$B$14,'Annual Parameters'!$B$33:$W$104,3,FALSE))))</f>
        <v>51.281267770185117</v>
      </c>
      <c r="K38" s="1654">
        <f>IF(ISERROR(VLOOKUP($B38,'VoC Fuel'!$B$28:$O$126,1,FALSE)),"",IF(VLOOKUP($B38,'VoC Fuel'!$B$28:$O$126,10,FALSE)="","",VLOOKUP($B38,'VoC Fuel'!$B$28:$O$126,10,FALSE) * (VLOOKUP($B$14,'Annual Parameters'!$B$33:$W$104,3,FALSE) / VLOOKUP('VoC Fuel'!$B$14,'Annual Parameters'!$B$33:$W$104,3,FALSE))))</f>
        <v>9.8580383599631105</v>
      </c>
      <c r="L38" s="1257">
        <f>IF(ISERROR(VLOOKUP($B38,'VoC Fuel'!$B$28:$O$126,1,FALSE)),"",IF(VLOOKUP($B38,'VoC Fuel'!$B$28:$O$126,11,FALSE)="","",VLOOKUP($B38,'VoC Fuel'!$B$28:$O$126,11,FALSE) * (VLOOKUP($B$14,'Annual Parameters'!$B$33:$W$104,3,FALSE) / VLOOKUP('VoC Fuel'!$B$14,'Annual Parameters'!$B$33:$W$104,3,FALSE))))</f>
        <v>0</v>
      </c>
      <c r="M38" s="1256">
        <f>IF(ISERROR(VLOOKUP($B38,'VoC Fuel'!$B$28:$O$126,1,FALSE)),"",IF(VLOOKUP(B38,'VoC Fuel'!$B$28:$O$126,12,FALSE)="","",VLOOKUP(B38,'VoC Fuel'!$B$28:$O$126,12,FALSE)))</f>
        <v>20</v>
      </c>
      <c r="N38" s="1256">
        <f>IF(ISERROR(VLOOKUP($B38,'VoC Fuel'!$B$28:$O$126,1,FALSE)),"",IF(VLOOKUP($B38,'VoC Fuel'!$B$28:$O$126,13,FALSE)="","",VLOOKUP($B38,'VoC Fuel'!$B$28:$O$126,13,FALSE)))</f>
        <v>20</v>
      </c>
      <c r="O38" s="1256">
        <f>IF(ISERROR(VLOOKUP($B38,'VoC Fuel'!$B$28:$O$126,1,FALSE)),"",IF(VLOOKUP($B38,'VoC Fuel'!$B$28:$O$126,14,FALSE)="","",VLOOKUP($B38,'VoC Fuel'!$B$28:$O$126,14,FALSE)))</f>
        <v>5</v>
      </c>
      <c r="Q38" s="14"/>
      <c r="R38" s="14"/>
      <c r="S38" s="14"/>
      <c r="T38" s="14"/>
      <c r="U38" s="14"/>
    </row>
    <row r="39" spans="1:21" ht="13.5" customHeight="1">
      <c r="B39" s="1589">
        <f t="shared" si="0"/>
        <v>2021</v>
      </c>
      <c r="C39" s="147"/>
      <c r="D39" s="51">
        <f>IF(ISERROR(VLOOKUP($B39,'VoC Fuel'!$B$28:$O$126,1,FALSE)),"",IF(VLOOKUP($B39,'VoC Fuel'!$B$28:$O$126,3,FALSE)="","",VLOOKUP($B39,'VoC Fuel'!$B$28:$O$126,3,FALSE) * (VLOOKUP($B$14,'Annual Parameters'!$B$33:$W$104,3,FALSE) / VLOOKUP('VoC Fuel'!$B$14,'Annual Parameters'!$B$33:$W$104,3,FALSE))))</f>
        <v>38.100600765079982</v>
      </c>
      <c r="E39" s="2158">
        <f>IF(ISERROR(VLOOKUP($B39,'VoC Fuel'!$B$28:$O$126,1,FALSE)),"",IF(VLOOKUP($B39,'VoC Fuel'!$B$28:$O$126,4,FALSE)="","",VLOOKUP($B39,'VoC Fuel'!$B$28:$O$126,4,FALSE) * (VLOOKUP($B$14,'Annual Parameters'!$B$33:$W$104,3,FALSE) / VLOOKUP('VoC Fuel'!$B$14,'Annual Parameters'!$B$33:$W$104,3,FALSE))))</f>
        <v>41.427574559994433</v>
      </c>
      <c r="F39" s="2160">
        <f>IF(ISERROR(VLOOKUP($B39,'VoC Fuel'!$B$28:$O$126,1,FALSE)),"",IF(VLOOKUP($B39,'VoC Fuel'!$B$28:$O$126,5,FALSE)="","",VLOOKUP($B39,'VoC Fuel'!$B$28:$O$126,5,FALSE) * (VLOOKUP($B$14,'Annual Parameters'!$B$33:$W$104,3,FALSE) / VLOOKUP('VoC Fuel'!$B$14,'Annual Parameters'!$B$33:$W$104,3,FALSE))))</f>
        <v>35.801194662479524</v>
      </c>
      <c r="G39" s="1654">
        <f>IF(ISERROR(VLOOKUP($B39,'VoC Fuel'!$B$28:$O$126,1,FALSE)),"",IF(VLOOKUP($B39,'VoC Fuel'!$B$28:$O$126,6,FALSE)="","",VLOOKUP($B39,'VoC Fuel'!$B$28:$O$126,6,FALSE) * (VLOOKUP($B$14,'Annual Parameters'!$B$33:$W$104,3,FALSE) / VLOOKUP('VoC Fuel'!$B$14,'Annual Parameters'!$B$33:$W$104,3,FALSE))))</f>
        <v>15.149155626229588</v>
      </c>
      <c r="H39" s="1590">
        <f>IF(ISERROR(VLOOKUP($B39,'VoC Fuel'!$B$28:$O$126,1,FALSE)),"",IF(VLOOKUP($B39,'VoC Fuel'!$B$28:$O$126,7,FALSE)="","",VLOOKUP($B39,'VoC Fuel'!$B$28:$O$126,7,FALSE) * (VLOOKUP($B$14,'Annual Parameters'!$B$33:$W$104,3,FALSE) / VLOOKUP('VoC Fuel'!$B$14,'Annual Parameters'!$B$33:$W$104,3,FALSE))))</f>
        <v>10.798438809669305</v>
      </c>
      <c r="I39" s="1654">
        <f>IF(ISERROR(VLOOKUP($B39,'VoC Fuel'!$B$28:$O$126,1,FALSE)),"",IF(VLOOKUP($B39,'VoC Fuel'!$B$28:$O$126,8,FALSE)="","",VLOOKUP($B39,'VoC Fuel'!$B$28:$O$126,8,FALSE) * (VLOOKUP($B$14,'Annual Parameters'!$B$33:$W$104,3,FALSE) / VLOOKUP('VoC Fuel'!$B$14,'Annual Parameters'!$B$33:$W$104,3,FALSE))))</f>
        <v>51.843193005431836</v>
      </c>
      <c r="J39" s="1654">
        <f>IF(ISERROR(VLOOKUP($B39,'VoC Fuel'!$B$28:$O$126,1,FALSE)),"",IF(VLOOKUP($B39,'VoC Fuel'!$B$28:$O$126,9,FALSE)="","",VLOOKUP($B39,'VoC Fuel'!$B$28:$O$126,9,FALSE) * (VLOOKUP($B$14,'Annual Parameters'!$B$33:$W$104,3,FALSE) / VLOOKUP('VoC Fuel'!$B$14,'Annual Parameters'!$B$33:$W$104,3,FALSE))))</f>
        <v>51.843193005431836</v>
      </c>
      <c r="K39" s="1654">
        <f>IF(ISERROR(VLOOKUP($B39,'VoC Fuel'!$B$28:$O$126,1,FALSE)),"",IF(VLOOKUP($B39,'VoC Fuel'!$B$28:$O$126,10,FALSE)="","",VLOOKUP($B39,'VoC Fuel'!$B$28:$O$126,10,FALSE) * (VLOOKUP($B$14,'Annual Parameters'!$B$33:$W$104,3,FALSE) / VLOOKUP('VoC Fuel'!$B$14,'Annual Parameters'!$B$33:$W$104,3,FALSE))))</f>
        <v>9.9660598805955267</v>
      </c>
      <c r="L39" s="1257">
        <f>IF(ISERROR(VLOOKUP($B39,'VoC Fuel'!$B$28:$O$126,1,FALSE)),"",IF(VLOOKUP($B39,'VoC Fuel'!$B$28:$O$126,11,FALSE)="","",VLOOKUP($B39,'VoC Fuel'!$B$28:$O$126,11,FALSE) * (VLOOKUP($B$14,'Annual Parameters'!$B$33:$W$104,3,FALSE) / VLOOKUP('VoC Fuel'!$B$14,'Annual Parameters'!$B$33:$W$104,3,FALSE))))</f>
        <v>0</v>
      </c>
      <c r="M39" s="1256">
        <f>IF(ISERROR(VLOOKUP($B39,'VoC Fuel'!$B$28:$O$126,1,FALSE)),"",IF(VLOOKUP(B39,'VoC Fuel'!$B$28:$O$126,12,FALSE)="","",VLOOKUP(B39,'VoC Fuel'!$B$28:$O$126,12,FALSE)))</f>
        <v>20</v>
      </c>
      <c r="N39" s="1256">
        <f>IF(ISERROR(VLOOKUP($B39,'VoC Fuel'!$B$28:$O$126,1,FALSE)),"",IF(VLOOKUP($B39,'VoC Fuel'!$B$28:$O$126,13,FALSE)="","",VLOOKUP($B39,'VoC Fuel'!$B$28:$O$126,13,FALSE)))</f>
        <v>20</v>
      </c>
      <c r="O39" s="1256">
        <f>IF(ISERROR(VLOOKUP($B39,'VoC Fuel'!$B$28:$O$126,1,FALSE)),"",IF(VLOOKUP($B39,'VoC Fuel'!$B$28:$O$126,14,FALSE)="","",VLOOKUP($B39,'VoC Fuel'!$B$28:$O$126,14,FALSE)))</f>
        <v>5</v>
      </c>
      <c r="P39" s="14"/>
      <c r="Q39" s="14"/>
      <c r="R39" s="14"/>
      <c r="S39" s="14"/>
      <c r="T39" s="14"/>
      <c r="U39" s="14"/>
    </row>
    <row r="40" spans="1:21" ht="13.5" customHeight="1">
      <c r="B40" s="1589">
        <f t="shared" si="0"/>
        <v>2022</v>
      </c>
      <c r="C40" s="147"/>
      <c r="D40" s="51">
        <f>IF(ISERROR(VLOOKUP($B40,'VoC Fuel'!$B$28:$O$126,1,FALSE)),"",IF(VLOOKUP($B40,'VoC Fuel'!$B$28:$O$126,3,FALSE)="","",VLOOKUP($B40,'VoC Fuel'!$B$28:$O$126,3,FALSE) * (VLOOKUP($B$14,'Annual Parameters'!$B$33:$W$104,3,FALSE) / VLOOKUP('VoC Fuel'!$B$14,'Annual Parameters'!$B$33:$W$104,3,FALSE))))</f>
        <v>38.431683488841507</v>
      </c>
      <c r="E40" s="2158">
        <f>IF(ISERROR(VLOOKUP($B40,'VoC Fuel'!$B$28:$O$126,1,FALSE)),"",IF(VLOOKUP($B40,'VoC Fuel'!$B$28:$O$126,4,FALSE)="","",VLOOKUP($B40,'VoC Fuel'!$B$28:$O$126,4,FALSE) * (VLOOKUP($B$14,'Annual Parameters'!$B$33:$W$104,3,FALSE) / VLOOKUP('VoC Fuel'!$B$14,'Annual Parameters'!$B$33:$W$104,3,FALSE))))</f>
        <v>41.810620172924615</v>
      </c>
      <c r="F40" s="2160">
        <f>IF(ISERROR(VLOOKUP($B40,'VoC Fuel'!$B$28:$O$126,1,FALSE)),"",IF(VLOOKUP($B40,'VoC Fuel'!$B$28:$O$126,5,FALSE)="","",VLOOKUP($B40,'VoC Fuel'!$B$28:$O$126,5,FALSE) * (VLOOKUP($B$14,'Annual Parameters'!$B$33:$W$104,3,FALSE) / VLOOKUP('VoC Fuel'!$B$14,'Annual Parameters'!$B$33:$W$104,3,FALSE))))</f>
        <v>36.199711486733172</v>
      </c>
      <c r="G40" s="1654">
        <f>IF(ISERROR(VLOOKUP($B40,'VoC Fuel'!$B$28:$O$126,1,FALSE)),"",IF(VLOOKUP($B40,'VoC Fuel'!$B$28:$O$126,6,FALSE)="","",VLOOKUP($B40,'VoC Fuel'!$B$28:$O$126,6,FALSE) * (VLOOKUP($B$14,'Annual Parameters'!$B$33:$W$104,3,FALSE) / VLOOKUP('VoC Fuel'!$B$14,'Annual Parameters'!$B$33:$W$104,3,FALSE))))</f>
        <v>15.130669172683351</v>
      </c>
      <c r="H40" s="1590">
        <f>IF(ISERROR(VLOOKUP($B40,'VoC Fuel'!$B$28:$O$126,1,FALSE)),"",IF(VLOOKUP($B40,'VoC Fuel'!$B$28:$O$126,7,FALSE)="","",VLOOKUP($B40,'VoC Fuel'!$B$28:$O$126,7,FALSE) * (VLOOKUP($B$14,'Annual Parameters'!$B$33:$W$104,3,FALSE) / VLOOKUP('VoC Fuel'!$B$14,'Annual Parameters'!$B$33:$W$104,3,FALSE))))</f>
        <v>10.856622549067138</v>
      </c>
      <c r="I40" s="1654">
        <f>IF(ISERROR(VLOOKUP($B40,'VoC Fuel'!$B$28:$O$126,1,FALSE)),"",IF(VLOOKUP($B40,'VoC Fuel'!$B$28:$O$126,8,FALSE)="","",VLOOKUP($B40,'VoC Fuel'!$B$28:$O$126,8,FALSE) * (VLOOKUP($B$14,'Annual Parameters'!$B$33:$W$104,3,FALSE) / VLOOKUP('VoC Fuel'!$B$14,'Annual Parameters'!$B$33:$W$104,3,FALSE))))</f>
        <v>52.383714659626982</v>
      </c>
      <c r="J40" s="1654">
        <f>IF(ISERROR(VLOOKUP($B40,'VoC Fuel'!$B$28:$O$126,1,FALSE)),"",IF(VLOOKUP($B40,'VoC Fuel'!$B$28:$O$126,9,FALSE)="","",VLOOKUP($B40,'VoC Fuel'!$B$28:$O$126,9,FALSE) * (VLOOKUP($B$14,'Annual Parameters'!$B$33:$W$104,3,FALSE) / VLOOKUP('VoC Fuel'!$B$14,'Annual Parameters'!$B$33:$W$104,3,FALSE))))</f>
        <v>52.383714659626982</v>
      </c>
      <c r="K40" s="1654">
        <f>IF(ISERROR(VLOOKUP($B40,'VoC Fuel'!$B$28:$O$126,1,FALSE)),"",IF(VLOOKUP($B40,'VoC Fuel'!$B$28:$O$126,10,FALSE)="","",VLOOKUP($B40,'VoC Fuel'!$B$28:$O$126,10,FALSE) * (VLOOKUP($B$14,'Annual Parameters'!$B$33:$W$104,3,FALSE) / VLOOKUP('VoC Fuel'!$B$14,'Annual Parameters'!$B$33:$W$104,3,FALSE))))</f>
        <v>10.069966890565048</v>
      </c>
      <c r="L40" s="1257">
        <f>IF(ISERROR(VLOOKUP($B40,'VoC Fuel'!$B$28:$O$126,1,FALSE)),"",IF(VLOOKUP($B40,'VoC Fuel'!$B$28:$O$126,11,FALSE)="","",VLOOKUP($B40,'VoC Fuel'!$B$28:$O$126,11,FALSE) * (VLOOKUP($B$14,'Annual Parameters'!$B$33:$W$104,3,FALSE) / VLOOKUP('VoC Fuel'!$B$14,'Annual Parameters'!$B$33:$W$104,3,FALSE))))</f>
        <v>0</v>
      </c>
      <c r="M40" s="1256">
        <f>IF(ISERROR(VLOOKUP($B40,'VoC Fuel'!$B$28:$O$126,1,FALSE)),"",IF(VLOOKUP(B40,'VoC Fuel'!$B$28:$O$126,12,FALSE)="","",VLOOKUP(B40,'VoC Fuel'!$B$28:$O$126,12,FALSE)))</f>
        <v>20</v>
      </c>
      <c r="N40" s="1256">
        <f>IF(ISERROR(VLOOKUP($B40,'VoC Fuel'!$B$28:$O$126,1,FALSE)),"",IF(VLOOKUP($B40,'VoC Fuel'!$B$28:$O$126,13,FALSE)="","",VLOOKUP($B40,'VoC Fuel'!$B$28:$O$126,13,FALSE)))</f>
        <v>20</v>
      </c>
      <c r="O40" s="1256">
        <f>IF(ISERROR(VLOOKUP($B40,'VoC Fuel'!$B$28:$O$126,1,FALSE)),"",IF(VLOOKUP($B40,'VoC Fuel'!$B$28:$O$126,14,FALSE)="","",VLOOKUP($B40,'VoC Fuel'!$B$28:$O$126,14,FALSE)))</f>
        <v>5</v>
      </c>
      <c r="P40" s="14"/>
      <c r="Q40" s="14"/>
      <c r="R40" s="14"/>
      <c r="S40" s="14"/>
      <c r="T40" s="14"/>
      <c r="U40" s="14"/>
    </row>
    <row r="41" spans="1:21" ht="13.5" customHeight="1">
      <c r="B41" s="1589">
        <f t="shared" si="0"/>
        <v>2023</v>
      </c>
      <c r="C41" s="147"/>
      <c r="D41" s="51">
        <f>IF(ISERROR(VLOOKUP($B41,'VoC Fuel'!$B$28:$O$126,1,FALSE)),"",IF(VLOOKUP($B41,'VoC Fuel'!$B$28:$O$126,3,FALSE)="","",VLOOKUP($B41,'VoC Fuel'!$B$28:$O$126,3,FALSE) * (VLOOKUP($B$14,'Annual Parameters'!$B$33:$W$104,3,FALSE) / VLOOKUP('VoC Fuel'!$B$14,'Annual Parameters'!$B$33:$W$104,3,FALSE))))</f>
        <v>38.936640117923424</v>
      </c>
      <c r="E41" s="2158">
        <f>IF(ISERROR(VLOOKUP($B41,'VoC Fuel'!$B$28:$O$126,1,FALSE)),"",IF(VLOOKUP($B41,'VoC Fuel'!$B$28:$O$126,4,FALSE)="","",VLOOKUP($B41,'VoC Fuel'!$B$28:$O$126,4,FALSE) * (VLOOKUP($B$14,'Annual Parameters'!$B$33:$W$104,3,FALSE) / VLOOKUP('VoC Fuel'!$B$14,'Annual Parameters'!$B$33:$W$104,3,FALSE))))</f>
        <v>42.383173468830165</v>
      </c>
      <c r="F41" s="2160">
        <f>IF(ISERROR(VLOOKUP($B41,'VoC Fuel'!$B$28:$O$126,1,FALSE)),"",IF(VLOOKUP($B41,'VoC Fuel'!$B$28:$O$126,5,FALSE)="","",VLOOKUP($B41,'VoC Fuel'!$B$28:$O$126,5,FALSE) * (VLOOKUP($B$14,'Annual Parameters'!$B$33:$W$104,3,FALSE) / VLOOKUP('VoC Fuel'!$B$14,'Annual Parameters'!$B$33:$W$104,3,FALSE))))</f>
        <v>36.763318865815599</v>
      </c>
      <c r="G41" s="1654">
        <f>IF(ISERROR(VLOOKUP($B41,'VoC Fuel'!$B$28:$O$126,1,FALSE)),"",IF(VLOOKUP($B41,'VoC Fuel'!$B$28:$O$126,6,FALSE)="","",VLOOKUP($B41,'VoC Fuel'!$B$28:$O$126,6,FALSE) * (VLOOKUP($B$14,'Annual Parameters'!$B$33:$W$104,3,FALSE) / VLOOKUP('VoC Fuel'!$B$14,'Annual Parameters'!$B$33:$W$104,3,FALSE))))</f>
        <v>15.247308460416141</v>
      </c>
      <c r="H41" s="1590">
        <f>IF(ISERROR(VLOOKUP($B41,'VoC Fuel'!$B$28:$O$126,1,FALSE)),"",IF(VLOOKUP($B41,'VoC Fuel'!$B$28:$O$126,7,FALSE)="","",VLOOKUP($B41,'VoC Fuel'!$B$28:$O$126,7,FALSE) * (VLOOKUP($B$14,'Annual Parameters'!$B$33:$W$104,3,FALSE) / VLOOKUP('VoC Fuel'!$B$14,'Annual Parameters'!$B$33:$W$104,3,FALSE))))</f>
        <v>10.946954001126064</v>
      </c>
      <c r="I41" s="1654">
        <f>IF(ISERROR(VLOOKUP($B41,'VoC Fuel'!$B$28:$O$126,1,FALSE)),"",IF(VLOOKUP($B41,'VoC Fuel'!$B$28:$O$126,8,FALSE)="","",VLOOKUP($B41,'VoC Fuel'!$B$28:$O$126,8,FALSE) * (VLOOKUP($B$14,'Annual Parameters'!$B$33:$W$104,3,FALSE) / VLOOKUP('VoC Fuel'!$B$14,'Annual Parameters'!$B$33:$W$104,3,FALSE))))</f>
        <v>52.917170144795705</v>
      </c>
      <c r="J41" s="1654">
        <f>IF(ISERROR(VLOOKUP($B41,'VoC Fuel'!$B$28:$O$126,1,FALSE)),"",IF(VLOOKUP($B41,'VoC Fuel'!$B$28:$O$126,9,FALSE)="","",VLOOKUP($B41,'VoC Fuel'!$B$28:$O$126,9,FALSE) * (VLOOKUP($B$14,'Annual Parameters'!$B$33:$W$104,3,FALSE) / VLOOKUP('VoC Fuel'!$B$14,'Annual Parameters'!$B$33:$W$104,3,FALSE))))</f>
        <v>52.917170144795705</v>
      </c>
      <c r="K41" s="1654">
        <f>IF(ISERROR(VLOOKUP($B41,'VoC Fuel'!$B$28:$O$126,1,FALSE)),"",IF(VLOOKUP($B41,'VoC Fuel'!$B$28:$O$126,10,FALSE)="","",VLOOKUP($B41,'VoC Fuel'!$B$28:$O$126,10,FALSE) * (VLOOKUP($B$14,'Annual Parameters'!$B$33:$W$104,3,FALSE) / VLOOKUP('VoC Fuel'!$B$14,'Annual Parameters'!$B$33:$W$104,3,FALSE))))</f>
        <v>10.172515537757105</v>
      </c>
      <c r="L41" s="1257">
        <f>IF(ISERROR(VLOOKUP($B41,'VoC Fuel'!$B$28:$O$126,1,FALSE)),"",IF(VLOOKUP($B41,'VoC Fuel'!$B$28:$O$126,11,FALSE)="","",VLOOKUP($B41,'VoC Fuel'!$B$28:$O$126,11,FALSE) * (VLOOKUP($B$14,'Annual Parameters'!$B$33:$W$104,3,FALSE) / VLOOKUP('VoC Fuel'!$B$14,'Annual Parameters'!$B$33:$W$104,3,FALSE))))</f>
        <v>0</v>
      </c>
      <c r="M41" s="1256">
        <f>IF(ISERROR(VLOOKUP($B41,'VoC Fuel'!$B$28:$O$126,1,FALSE)),"",IF(VLOOKUP(B41,'VoC Fuel'!$B$28:$O$126,12,FALSE)="","",VLOOKUP(B41,'VoC Fuel'!$B$28:$O$126,12,FALSE)))</f>
        <v>20</v>
      </c>
      <c r="N41" s="1256">
        <f>IF(ISERROR(VLOOKUP($B41,'VoC Fuel'!$B$28:$O$126,1,FALSE)),"",IF(VLOOKUP($B41,'VoC Fuel'!$B$28:$O$126,13,FALSE)="","",VLOOKUP($B41,'VoC Fuel'!$B$28:$O$126,13,FALSE)))</f>
        <v>20</v>
      </c>
      <c r="O41" s="1256">
        <f>IF(ISERROR(VLOOKUP($B41,'VoC Fuel'!$B$28:$O$126,1,FALSE)),"",IF(VLOOKUP($B41,'VoC Fuel'!$B$28:$O$126,14,FALSE)="","",VLOOKUP($B41,'VoC Fuel'!$B$28:$O$126,14,FALSE)))</f>
        <v>5</v>
      </c>
      <c r="P41" s="14"/>
      <c r="Q41" s="14"/>
      <c r="R41" s="14"/>
      <c r="S41" s="14"/>
      <c r="T41" s="14"/>
      <c r="U41" s="14"/>
    </row>
    <row r="42" spans="1:21" ht="13.5" customHeight="1">
      <c r="B42" s="1589">
        <f t="shared" si="0"/>
        <v>2024</v>
      </c>
      <c r="C42" s="147"/>
      <c r="D42" s="51">
        <f>IF(ISERROR(VLOOKUP($B42,'VoC Fuel'!$B$28:$O$126,1,FALSE)),"",IF(VLOOKUP($B42,'VoC Fuel'!$B$28:$O$126,3,FALSE)="","",VLOOKUP($B42,'VoC Fuel'!$B$28:$O$126,3,FALSE) * (VLOOKUP($B$14,'Annual Parameters'!$B$33:$W$104,3,FALSE) / VLOOKUP('VoC Fuel'!$B$14,'Annual Parameters'!$B$33:$W$104,3,FALSE))))</f>
        <v>39.323216893103279</v>
      </c>
      <c r="E42" s="2158">
        <f>IF(ISERROR(VLOOKUP($B42,'VoC Fuel'!$B$28:$O$126,1,FALSE)),"",IF(VLOOKUP($B42,'VoC Fuel'!$B$28:$O$126,4,FALSE)="","",VLOOKUP($B42,'VoC Fuel'!$B$28:$O$126,4,FALSE) * (VLOOKUP($B$14,'Annual Parameters'!$B$33:$W$104,3,FALSE) / VLOOKUP('VoC Fuel'!$B$14,'Annual Parameters'!$B$33:$W$104,3,FALSE))))</f>
        <v>42.826938883011444</v>
      </c>
      <c r="F42" s="2160">
        <f>IF(ISERROR(VLOOKUP($B42,'VoC Fuel'!$B$28:$O$126,1,FALSE)),"",IF(VLOOKUP($B42,'VoC Fuel'!$B$28:$O$126,5,FALSE)="","",VLOOKUP($B42,'VoC Fuel'!$B$28:$O$126,5,FALSE) * (VLOOKUP($B$14,'Annual Parameters'!$B$33:$W$104,3,FALSE) / VLOOKUP('VoC Fuel'!$B$14,'Annual Parameters'!$B$33:$W$104,3,FALSE))))</f>
        <v>37.215421461134376</v>
      </c>
      <c r="G42" s="1654">
        <f>IF(ISERROR(VLOOKUP($B42,'VoC Fuel'!$B$28:$O$126,1,FALSE)),"",IF(VLOOKUP($B42,'VoC Fuel'!$B$28:$O$126,6,FALSE)="","",VLOOKUP($B42,'VoC Fuel'!$B$28:$O$126,6,FALSE) * (VLOOKUP($B$14,'Annual Parameters'!$B$33:$W$104,3,FALSE) / VLOOKUP('VoC Fuel'!$B$14,'Annual Parameters'!$B$33:$W$104,3,FALSE))))</f>
        <v>15.300778441981725</v>
      </c>
      <c r="H42" s="1590">
        <f>IF(ISERROR(VLOOKUP($B42,'VoC Fuel'!$B$28:$O$126,1,FALSE)),"",IF(VLOOKUP($B42,'VoC Fuel'!$B$28:$O$126,7,FALSE)="","",VLOOKUP($B42,'VoC Fuel'!$B$28:$O$126,7,FALSE) * (VLOOKUP($B$14,'Annual Parameters'!$B$33:$W$104,3,FALSE) / VLOOKUP('VoC Fuel'!$B$14,'Annual Parameters'!$B$33:$W$104,3,FALSE))))</f>
        <v>11.020690482613675</v>
      </c>
      <c r="I42" s="1654">
        <f>IF(ISERROR(VLOOKUP($B42,'VoC Fuel'!$B$28:$O$126,1,FALSE)),"",IF(VLOOKUP($B42,'VoC Fuel'!$B$28:$O$126,8,FALSE)="","",VLOOKUP($B42,'VoC Fuel'!$B$28:$O$126,8,FALSE) * (VLOOKUP($B$14,'Annual Parameters'!$B$33:$W$104,3,FALSE) / VLOOKUP('VoC Fuel'!$B$14,'Annual Parameters'!$B$33:$W$104,3,FALSE))))</f>
        <v>53.334558327714625</v>
      </c>
      <c r="J42" s="1654">
        <f>IF(ISERROR(VLOOKUP($B42,'VoC Fuel'!$B$28:$O$126,1,FALSE)),"",IF(VLOOKUP($B42,'VoC Fuel'!$B$28:$O$126,9,FALSE)="","",VLOOKUP($B42,'VoC Fuel'!$B$28:$O$126,9,FALSE) * (VLOOKUP($B$14,'Annual Parameters'!$B$33:$W$104,3,FALSE) / VLOOKUP('VoC Fuel'!$B$14,'Annual Parameters'!$B$33:$W$104,3,FALSE))))</f>
        <v>53.334558327714625</v>
      </c>
      <c r="K42" s="1654">
        <f>IF(ISERROR(VLOOKUP($B42,'VoC Fuel'!$B$28:$O$126,1,FALSE)),"",IF(VLOOKUP($B42,'VoC Fuel'!$B$28:$O$126,10,FALSE)="","",VLOOKUP($B42,'VoC Fuel'!$B$28:$O$126,10,FALSE) * (VLOOKUP($B$14,'Annual Parameters'!$B$33:$W$104,3,FALSE) / VLOOKUP('VoC Fuel'!$B$14,'Annual Parameters'!$B$33:$W$104,3,FALSE))))</f>
        <v>10.252752023653855</v>
      </c>
      <c r="L42" s="1257">
        <f>IF(ISERROR(VLOOKUP($B42,'VoC Fuel'!$B$28:$O$126,1,FALSE)),"",IF(VLOOKUP($B42,'VoC Fuel'!$B$28:$O$126,11,FALSE)="","",VLOOKUP($B42,'VoC Fuel'!$B$28:$O$126,11,FALSE) * (VLOOKUP($B$14,'Annual Parameters'!$B$33:$W$104,3,FALSE) / VLOOKUP('VoC Fuel'!$B$14,'Annual Parameters'!$B$33:$W$104,3,FALSE))))</f>
        <v>0</v>
      </c>
      <c r="M42" s="1256">
        <f>IF(ISERROR(VLOOKUP($B42,'VoC Fuel'!$B$28:$O$126,1,FALSE)),"",IF(VLOOKUP(B42,'VoC Fuel'!$B$28:$O$126,12,FALSE)="","",VLOOKUP(B42,'VoC Fuel'!$B$28:$O$126,12,FALSE)))</f>
        <v>20</v>
      </c>
      <c r="N42" s="1256">
        <f>IF(ISERROR(VLOOKUP($B42,'VoC Fuel'!$B$28:$O$126,1,FALSE)),"",IF(VLOOKUP($B42,'VoC Fuel'!$B$28:$O$126,13,FALSE)="","",VLOOKUP($B42,'VoC Fuel'!$B$28:$O$126,13,FALSE)))</f>
        <v>20</v>
      </c>
      <c r="O42" s="1256">
        <f>IF(ISERROR(VLOOKUP($B42,'VoC Fuel'!$B$28:$O$126,1,FALSE)),"",IF(VLOOKUP($B42,'VoC Fuel'!$B$28:$O$126,14,FALSE)="","",VLOOKUP($B42,'VoC Fuel'!$B$28:$O$126,14,FALSE)))</f>
        <v>5</v>
      </c>
      <c r="P42" s="14"/>
      <c r="Q42" s="14"/>
      <c r="R42" s="14"/>
      <c r="S42" s="14"/>
      <c r="T42" s="14"/>
      <c r="U42" s="14"/>
    </row>
    <row r="43" spans="1:21" ht="13.5" customHeight="1">
      <c r="B43" s="1589">
        <f t="shared" si="0"/>
        <v>2025</v>
      </c>
      <c r="C43" s="147"/>
      <c r="D43" s="51">
        <f>IF(ISERROR(VLOOKUP($B43,'VoC Fuel'!$B$28:$O$126,1,FALSE)),"",IF(VLOOKUP($B43,'VoC Fuel'!$B$28:$O$126,3,FALSE)="","",VLOOKUP($B43,'VoC Fuel'!$B$28:$O$126,3,FALSE) * (VLOOKUP($B$14,'Annual Parameters'!$B$33:$W$104,3,FALSE) / VLOOKUP('VoC Fuel'!$B$14,'Annual Parameters'!$B$33:$W$104,3,FALSE))))</f>
        <v>39.709793668283112</v>
      </c>
      <c r="E43" s="2158">
        <f>IF(ISERROR(VLOOKUP($B43,'VoC Fuel'!$B$28:$O$126,1,FALSE)),"",IF(VLOOKUP($B43,'VoC Fuel'!$B$28:$O$126,4,FALSE)="","",VLOOKUP($B43,'VoC Fuel'!$B$28:$O$126,4,FALSE) * (VLOOKUP($B$14,'Annual Parameters'!$B$33:$W$104,3,FALSE) / VLOOKUP('VoC Fuel'!$B$14,'Annual Parameters'!$B$33:$W$104,3,FALSE))))</f>
        <v>43.270704297192772</v>
      </c>
      <c r="F43" s="2160">
        <f>IF(ISERROR(VLOOKUP($B43,'VoC Fuel'!$B$28:$O$126,1,FALSE)),"",IF(VLOOKUP($B43,'VoC Fuel'!$B$28:$O$126,5,FALSE)="","",VLOOKUP($B43,'VoC Fuel'!$B$28:$O$126,5,FALSE) * (VLOOKUP($B$14,'Annual Parameters'!$B$33:$W$104,3,FALSE) / VLOOKUP('VoC Fuel'!$B$14,'Annual Parameters'!$B$33:$W$104,3,FALSE))))</f>
        <v>37.667524056453146</v>
      </c>
      <c r="G43" s="1654">
        <f>IF(ISERROR(VLOOKUP($B43,'VoC Fuel'!$B$28:$O$126,1,FALSE)),"",IF(VLOOKUP($B43,'VoC Fuel'!$B$28:$O$126,6,FALSE)="","",VLOOKUP($B43,'VoC Fuel'!$B$28:$O$126,6,FALSE) * (VLOOKUP($B$14,'Annual Parameters'!$B$33:$W$104,3,FALSE) / VLOOKUP('VoC Fuel'!$B$14,'Annual Parameters'!$B$33:$W$104,3,FALSE))))</f>
        <v>15.525795414244332</v>
      </c>
      <c r="H43" s="1590">
        <f>IF(ISERROR(VLOOKUP($B43,'VoC Fuel'!$B$28:$O$126,1,FALSE)),"",IF(VLOOKUP($B43,'VoC Fuel'!$B$28:$O$126,7,FALSE)="","",VLOOKUP($B43,'VoC Fuel'!$B$28:$O$126,7,FALSE) * (VLOOKUP($B$14,'Annual Parameters'!$B$33:$W$104,3,FALSE) / VLOOKUP('VoC Fuel'!$B$14,'Annual Parameters'!$B$33:$W$104,3,FALSE))))</f>
        <v>11.205132514024696</v>
      </c>
      <c r="I43" s="1654">
        <f>IF(ISERROR(VLOOKUP($B43,'VoC Fuel'!$B$28:$O$126,1,FALSE)),"",IF(VLOOKUP($B43,'VoC Fuel'!$B$28:$O$126,8,FALSE)="","",VLOOKUP($B43,'VoC Fuel'!$B$28:$O$126,8,FALSE) * (VLOOKUP($B$14,'Annual Parameters'!$B$33:$W$104,3,FALSE) / VLOOKUP('VoC Fuel'!$B$14,'Annual Parameters'!$B$33:$W$104,3,FALSE))))</f>
        <v>53.800188911766952</v>
      </c>
      <c r="J43" s="1654">
        <f>IF(ISERROR(VLOOKUP($B43,'VoC Fuel'!$B$28:$O$126,1,FALSE)),"",IF(VLOOKUP($B43,'VoC Fuel'!$B$28:$O$126,9,FALSE)="","",VLOOKUP($B43,'VoC Fuel'!$B$28:$O$126,9,FALSE) * (VLOOKUP($B$14,'Annual Parameters'!$B$33:$W$104,3,FALSE) / VLOOKUP('VoC Fuel'!$B$14,'Annual Parameters'!$B$33:$W$104,3,FALSE))))</f>
        <v>53.800188911766952</v>
      </c>
      <c r="K43" s="1654">
        <f>IF(ISERROR(VLOOKUP($B43,'VoC Fuel'!$B$28:$O$126,1,FALSE)),"",IF(VLOOKUP($B43,'VoC Fuel'!$B$28:$O$126,10,FALSE)="","",VLOOKUP($B43,'VoC Fuel'!$B$28:$O$126,10,FALSE) * (VLOOKUP($B$14,'Annual Parameters'!$B$33:$W$104,3,FALSE) / VLOOKUP('VoC Fuel'!$B$14,'Annual Parameters'!$B$33:$W$104,3,FALSE))))</f>
        <v>10.342262372339665</v>
      </c>
      <c r="L43" s="1257">
        <f>IF(ISERROR(VLOOKUP($B43,'VoC Fuel'!$B$28:$O$126,1,FALSE)),"",IF(VLOOKUP($B43,'VoC Fuel'!$B$28:$O$126,11,FALSE)="","",VLOOKUP($B43,'VoC Fuel'!$B$28:$O$126,11,FALSE) * (VLOOKUP($B$14,'Annual Parameters'!$B$33:$W$104,3,FALSE) / VLOOKUP('VoC Fuel'!$B$14,'Annual Parameters'!$B$33:$W$104,3,FALSE))))</f>
        <v>0</v>
      </c>
      <c r="M43" s="1256">
        <f>IF(ISERROR(VLOOKUP($B43,'VoC Fuel'!$B$28:$O$126,1,FALSE)),"",IF(VLOOKUP(B43,'VoC Fuel'!$B$28:$O$126,12,FALSE)="","",VLOOKUP(B43,'VoC Fuel'!$B$28:$O$126,12,FALSE)))</f>
        <v>20</v>
      </c>
      <c r="N43" s="1256">
        <f>IF(ISERROR(VLOOKUP($B43,'VoC Fuel'!$B$28:$O$126,1,FALSE)),"",IF(VLOOKUP($B43,'VoC Fuel'!$B$28:$O$126,13,FALSE)="","",VLOOKUP($B43,'VoC Fuel'!$B$28:$O$126,13,FALSE)))</f>
        <v>20</v>
      </c>
      <c r="O43" s="1256">
        <f>IF(ISERROR(VLOOKUP($B43,'VoC Fuel'!$B$28:$O$126,1,FALSE)),"",IF(VLOOKUP($B43,'VoC Fuel'!$B$28:$O$126,14,FALSE)="","",VLOOKUP($B43,'VoC Fuel'!$B$28:$O$126,14,FALSE)))</f>
        <v>5</v>
      </c>
      <c r="P43" s="14"/>
      <c r="Q43" s="14"/>
      <c r="R43" s="14"/>
      <c r="S43" s="14"/>
      <c r="T43" s="14"/>
      <c r="U43" s="14"/>
    </row>
    <row r="44" spans="1:21" ht="13.5" customHeight="1">
      <c r="B44" s="1589">
        <f t="shared" si="0"/>
        <v>2026</v>
      </c>
      <c r="C44" s="147"/>
      <c r="D44" s="51">
        <f>IF(ISERROR(VLOOKUP($B44,'VoC Fuel'!$B$28:$O$126,1,FALSE)),"",IF(VLOOKUP($B44,'VoC Fuel'!$B$28:$O$126,3,FALSE)="","",VLOOKUP($B44,'VoC Fuel'!$B$28:$O$126,3,FALSE) * (VLOOKUP($B$14,'Annual Parameters'!$B$33:$W$104,3,FALSE) / VLOOKUP('VoC Fuel'!$B$14,'Annual Parameters'!$B$33:$W$104,3,FALSE))))</f>
        <v>40.482947218642842</v>
      </c>
      <c r="E44" s="2158">
        <f>IF(ISERROR(VLOOKUP($B44,'VoC Fuel'!$B$28:$O$126,1,FALSE)),"",IF(VLOOKUP($B44,'VoC Fuel'!$B$28:$O$126,4,FALSE)="","",VLOOKUP($B44,'VoC Fuel'!$B$28:$O$126,4,FALSE) * (VLOOKUP($B$14,'Annual Parameters'!$B$33:$W$104,3,FALSE) / VLOOKUP('VoC Fuel'!$B$14,'Annual Parameters'!$B$33:$W$104,3,FALSE))))</f>
        <v>44.158235125555336</v>
      </c>
      <c r="F44" s="2160">
        <f>IF(ISERROR(VLOOKUP($B44,'VoC Fuel'!$B$28:$O$126,1,FALSE)),"",IF(VLOOKUP($B44,'VoC Fuel'!$B$28:$O$126,5,FALSE)="","",VLOOKUP($B44,'VoC Fuel'!$B$28:$O$126,5,FALSE) * (VLOOKUP($B$14,'Annual Parameters'!$B$33:$W$104,3,FALSE) / VLOOKUP('VoC Fuel'!$B$14,'Annual Parameters'!$B$33:$W$104,3,FALSE))))</f>
        <v>38.571729247090694</v>
      </c>
      <c r="G44" s="1654">
        <f>IF(ISERROR(VLOOKUP($B44,'VoC Fuel'!$B$28:$O$126,1,FALSE)),"",IF(VLOOKUP($B44,'VoC Fuel'!$B$28:$O$126,6,FALSE)="","",VLOOKUP($B44,'VoC Fuel'!$B$28:$O$126,6,FALSE) * (VLOOKUP($B$14,'Annual Parameters'!$B$33:$W$104,3,FALSE) / VLOOKUP('VoC Fuel'!$B$14,'Annual Parameters'!$B$33:$W$104,3,FALSE))))</f>
        <v>15.644802784560108</v>
      </c>
      <c r="H44" s="1590">
        <f>IF(ISERROR(VLOOKUP($B44,'VoC Fuel'!$B$28:$O$126,1,FALSE)),"",IF(VLOOKUP($B44,'VoC Fuel'!$B$28:$O$126,7,FALSE)="","",VLOOKUP($B44,'VoC Fuel'!$B$28:$O$126,7,FALSE) * (VLOOKUP($B$14,'Annual Parameters'!$B$33:$W$104,3,FALSE) / VLOOKUP('VoC Fuel'!$B$14,'Annual Parameters'!$B$33:$W$104,3,FALSE))))</f>
        <v>11.441766668551502</v>
      </c>
      <c r="I44" s="1654">
        <f>IF(ISERROR(VLOOKUP($B44,'VoC Fuel'!$B$28:$O$126,1,FALSE)),"",IF(VLOOKUP($B44,'VoC Fuel'!$B$28:$O$126,8,FALSE)="","",VLOOKUP($B44,'VoC Fuel'!$B$28:$O$126,8,FALSE) * (VLOOKUP($B$14,'Annual Parameters'!$B$33:$W$104,3,FALSE) / VLOOKUP('VoC Fuel'!$B$14,'Annual Parameters'!$B$33:$W$104,3,FALSE))))</f>
        <v>54.26887391017565</v>
      </c>
      <c r="J44" s="1654">
        <f>IF(ISERROR(VLOOKUP($B44,'VoC Fuel'!$B$28:$O$126,1,FALSE)),"",IF(VLOOKUP($B44,'VoC Fuel'!$B$28:$O$126,9,FALSE)="","",VLOOKUP($B44,'VoC Fuel'!$B$28:$O$126,9,FALSE) * (VLOOKUP($B$14,'Annual Parameters'!$B$33:$W$104,3,FALSE) / VLOOKUP('VoC Fuel'!$B$14,'Annual Parameters'!$B$33:$W$104,3,FALSE))))</f>
        <v>54.26887391017565</v>
      </c>
      <c r="K44" s="1654">
        <f>IF(ISERROR(VLOOKUP($B44,'VoC Fuel'!$B$28:$O$126,1,FALSE)),"",IF(VLOOKUP($B44,'VoC Fuel'!$B$28:$O$126,10,FALSE)="","",VLOOKUP($B44,'VoC Fuel'!$B$28:$O$126,10,FALSE) * (VLOOKUP($B$14,'Annual Parameters'!$B$33:$W$104,3,FALSE) / VLOOKUP('VoC Fuel'!$B$14,'Annual Parameters'!$B$33:$W$104,3,FALSE))))</f>
        <v>10.432359885407365</v>
      </c>
      <c r="L44" s="1257">
        <f>IF(ISERROR(VLOOKUP($B44,'VoC Fuel'!$B$28:$O$126,1,FALSE)),"",IF(VLOOKUP($B44,'VoC Fuel'!$B$28:$O$126,11,FALSE)="","",VLOOKUP($B44,'VoC Fuel'!$B$28:$O$126,11,FALSE) * (VLOOKUP($B$14,'Annual Parameters'!$B$33:$W$104,3,FALSE) / VLOOKUP('VoC Fuel'!$B$14,'Annual Parameters'!$B$33:$W$104,3,FALSE))))</f>
        <v>0</v>
      </c>
      <c r="M44" s="1256">
        <f>IF(ISERROR(VLOOKUP($B44,'VoC Fuel'!$B$28:$O$126,1,FALSE)),"",IF(VLOOKUP(B44,'VoC Fuel'!$B$28:$O$126,12,FALSE)="","",VLOOKUP(B44,'VoC Fuel'!$B$28:$O$126,12,FALSE)))</f>
        <v>20</v>
      </c>
      <c r="N44" s="1256">
        <f>IF(ISERROR(VLOOKUP($B44,'VoC Fuel'!$B$28:$O$126,1,FALSE)),"",IF(VLOOKUP($B44,'VoC Fuel'!$B$28:$O$126,13,FALSE)="","",VLOOKUP($B44,'VoC Fuel'!$B$28:$O$126,13,FALSE)))</f>
        <v>20</v>
      </c>
      <c r="O44" s="1256">
        <f>IF(ISERROR(VLOOKUP($B44,'VoC Fuel'!$B$28:$O$126,1,FALSE)),"",IF(VLOOKUP($B44,'VoC Fuel'!$B$28:$O$126,14,FALSE)="","",VLOOKUP($B44,'VoC Fuel'!$B$28:$O$126,14,FALSE)))</f>
        <v>5</v>
      </c>
      <c r="P44" s="14"/>
      <c r="Q44" s="14"/>
      <c r="R44" s="14"/>
      <c r="S44" s="14"/>
      <c r="T44" s="14"/>
      <c r="U44" s="14"/>
    </row>
    <row r="45" spans="1:21" ht="13.5" customHeight="1">
      <c r="B45" s="1589">
        <f t="shared" si="0"/>
        <v>2027</v>
      </c>
      <c r="C45" s="147"/>
      <c r="D45" s="51">
        <f>IF(ISERROR(VLOOKUP($B45,'VoC Fuel'!$B$28:$O$126,1,FALSE)),"",IF(VLOOKUP($B45,'VoC Fuel'!$B$28:$O$126,3,FALSE)="","",VLOOKUP($B45,'VoC Fuel'!$B$28:$O$126,3,FALSE) * (VLOOKUP($B$14,'Annual Parameters'!$B$33:$W$104,3,FALSE) / VLOOKUP('VoC Fuel'!$B$14,'Annual Parameters'!$B$33:$W$104,3,FALSE))))</f>
        <v>40.86952399382271</v>
      </c>
      <c r="E45" s="2158">
        <f>IF(ISERROR(VLOOKUP($B45,'VoC Fuel'!$B$28:$O$126,1,FALSE)),"",IF(VLOOKUP($B45,'VoC Fuel'!$B$28:$O$126,4,FALSE)="","",VLOOKUP($B45,'VoC Fuel'!$B$28:$O$126,4,FALSE) * (VLOOKUP($B$14,'Annual Parameters'!$B$33:$W$104,3,FALSE) / VLOOKUP('VoC Fuel'!$B$14,'Annual Parameters'!$B$33:$W$104,3,FALSE))))</f>
        <v>44.602000539736665</v>
      </c>
      <c r="F45" s="2160">
        <f>IF(ISERROR(VLOOKUP($B45,'VoC Fuel'!$B$28:$O$126,1,FALSE)),"",IF(VLOOKUP($B45,'VoC Fuel'!$B$28:$O$126,5,FALSE)="","",VLOOKUP($B45,'VoC Fuel'!$B$28:$O$126,5,FALSE) * (VLOOKUP($B$14,'Annual Parameters'!$B$33:$W$104,3,FALSE) / VLOOKUP('VoC Fuel'!$B$14,'Annual Parameters'!$B$33:$W$104,3,FALSE))))</f>
        <v>39.023831842409486</v>
      </c>
      <c r="G45" s="1654">
        <f>IF(ISERROR(VLOOKUP($B45,'VoC Fuel'!$B$28:$O$126,1,FALSE)),"",IF(VLOOKUP($B45,'VoC Fuel'!$B$28:$O$126,6,FALSE)="","",VLOOKUP($B45,'VoC Fuel'!$B$28:$O$126,6,FALSE) * (VLOOKUP($B$14,'Annual Parameters'!$B$33:$W$104,3,FALSE) / VLOOKUP('VoC Fuel'!$B$14,'Annual Parameters'!$B$33:$W$104,3,FALSE))))</f>
        <v>15.550107822531766</v>
      </c>
      <c r="H45" s="1590">
        <f>IF(ISERROR(VLOOKUP($B45,'VoC Fuel'!$B$28:$O$126,1,FALSE)),"",IF(VLOOKUP($B45,'VoC Fuel'!$B$28:$O$126,7,FALSE)="","",VLOOKUP($B45,'VoC Fuel'!$B$28:$O$126,7,FALSE) * (VLOOKUP($B$14,'Annual Parameters'!$B$33:$W$104,3,FALSE) / VLOOKUP('VoC Fuel'!$B$14,'Annual Parameters'!$B$33:$W$104,3,FALSE))))</f>
        <v>10.988986832794442</v>
      </c>
      <c r="I45" s="1654">
        <f>IF(ISERROR(VLOOKUP($B45,'VoC Fuel'!$B$28:$O$126,1,FALSE)),"",IF(VLOOKUP($B45,'VoC Fuel'!$B$28:$O$126,8,FALSE)="","",VLOOKUP($B45,'VoC Fuel'!$B$28:$O$126,8,FALSE) * (VLOOKUP($B$14,'Annual Parameters'!$B$33:$W$104,3,FALSE) / VLOOKUP('VoC Fuel'!$B$14,'Annual Parameters'!$B$33:$W$104,3,FALSE))))</f>
        <v>54.741488208997254</v>
      </c>
      <c r="J45" s="1654">
        <f>IF(ISERROR(VLOOKUP($B45,'VoC Fuel'!$B$28:$O$126,1,FALSE)),"",IF(VLOOKUP($B45,'VoC Fuel'!$B$28:$O$126,9,FALSE)="","",VLOOKUP($B45,'VoC Fuel'!$B$28:$O$126,9,FALSE) * (VLOOKUP($B$14,'Annual Parameters'!$B$33:$W$104,3,FALSE) / VLOOKUP('VoC Fuel'!$B$14,'Annual Parameters'!$B$33:$W$104,3,FALSE))))</f>
        <v>54.741488208997254</v>
      </c>
      <c r="K45" s="1654">
        <f>IF(ISERROR(VLOOKUP($B45,'VoC Fuel'!$B$28:$O$126,1,FALSE)),"",IF(VLOOKUP($B45,'VoC Fuel'!$B$28:$O$126,10,FALSE)="","",VLOOKUP($B45,'VoC Fuel'!$B$28:$O$126,10,FALSE) * (VLOOKUP($B$14,'Annual Parameters'!$B$33:$W$104,3,FALSE) / VLOOKUP('VoC Fuel'!$B$14,'Annual Parameters'!$B$33:$W$104,3,FALSE))))</f>
        <v>10.523212746302493</v>
      </c>
      <c r="L45" s="1257">
        <f>IF(ISERROR(VLOOKUP($B45,'VoC Fuel'!$B$28:$O$126,1,FALSE)),"",IF(VLOOKUP($B45,'VoC Fuel'!$B$28:$O$126,11,FALSE)="","",VLOOKUP($B45,'VoC Fuel'!$B$28:$O$126,11,FALSE) * (VLOOKUP($B$14,'Annual Parameters'!$B$33:$W$104,3,FALSE) / VLOOKUP('VoC Fuel'!$B$14,'Annual Parameters'!$B$33:$W$104,3,FALSE))))</f>
        <v>0</v>
      </c>
      <c r="M45" s="1256">
        <f>IF(ISERROR(VLOOKUP($B45,'VoC Fuel'!$B$28:$O$126,1,FALSE)),"",IF(VLOOKUP(B45,'VoC Fuel'!$B$28:$O$126,12,FALSE)="","",VLOOKUP(B45,'VoC Fuel'!$B$28:$O$126,12,FALSE)))</f>
        <v>20</v>
      </c>
      <c r="N45" s="1256">
        <f>IF(ISERROR(VLOOKUP($B45,'VoC Fuel'!$B$28:$O$126,1,FALSE)),"",IF(VLOOKUP($B45,'VoC Fuel'!$B$28:$O$126,13,FALSE)="","",VLOOKUP($B45,'VoC Fuel'!$B$28:$O$126,13,FALSE)))</f>
        <v>20</v>
      </c>
      <c r="O45" s="1256">
        <f>IF(ISERROR(VLOOKUP($B45,'VoC Fuel'!$B$28:$O$126,1,FALSE)),"",IF(VLOOKUP($B45,'VoC Fuel'!$B$28:$O$126,14,FALSE)="","",VLOOKUP($B45,'VoC Fuel'!$B$28:$O$126,14,FALSE)))</f>
        <v>5</v>
      </c>
      <c r="P45" s="14"/>
      <c r="Q45" s="14"/>
      <c r="R45" s="14"/>
      <c r="S45" s="14"/>
      <c r="T45" s="14"/>
      <c r="U45" s="14"/>
    </row>
    <row r="46" spans="1:21" ht="13.5" customHeight="1">
      <c r="B46" s="1589">
        <f t="shared" si="0"/>
        <v>2028</v>
      </c>
      <c r="C46" s="147"/>
      <c r="D46" s="51">
        <f>IF(ISERROR(VLOOKUP($B46,'VoC Fuel'!$B$28:$O$126,1,FALSE)),"",IF(VLOOKUP($B46,'VoC Fuel'!$B$28:$O$126,3,FALSE)="","",VLOOKUP($B46,'VoC Fuel'!$B$28:$O$126,3,FALSE) * (VLOOKUP($B$14,'Annual Parameters'!$B$33:$W$104,3,FALSE) / VLOOKUP('VoC Fuel'!$B$14,'Annual Parameters'!$B$33:$W$104,3,FALSE))))</f>
        <v>41.256100769002551</v>
      </c>
      <c r="E46" s="2158">
        <f>IF(ISERROR(VLOOKUP($B46,'VoC Fuel'!$B$28:$O$126,1,FALSE)),"",IF(VLOOKUP($B46,'VoC Fuel'!$B$28:$O$126,4,FALSE)="","",VLOOKUP($B46,'VoC Fuel'!$B$28:$O$126,4,FALSE) * (VLOOKUP($B$14,'Annual Parameters'!$B$33:$W$104,3,FALSE) / VLOOKUP('VoC Fuel'!$B$14,'Annual Parameters'!$B$33:$W$104,3,FALSE))))</f>
        <v>45.045765953917972</v>
      </c>
      <c r="F46" s="2160">
        <f>IF(ISERROR(VLOOKUP($B46,'VoC Fuel'!$B$28:$O$126,1,FALSE)),"",IF(VLOOKUP($B46,'VoC Fuel'!$B$28:$O$126,5,FALSE)="","",VLOOKUP($B46,'VoC Fuel'!$B$28:$O$126,5,FALSE) * (VLOOKUP($B$14,'Annual Parameters'!$B$33:$W$104,3,FALSE) / VLOOKUP('VoC Fuel'!$B$14,'Annual Parameters'!$B$33:$W$104,3,FALSE))))</f>
        <v>39.475934437728263</v>
      </c>
      <c r="G46" s="1654">
        <f>IF(ISERROR(VLOOKUP($B46,'VoC Fuel'!$B$28:$O$126,1,FALSE)),"",IF(VLOOKUP($B46,'VoC Fuel'!$B$28:$O$126,6,FALSE)="","",VLOOKUP($B46,'VoC Fuel'!$B$28:$O$126,6,FALSE) * (VLOOKUP($B$14,'Annual Parameters'!$B$33:$W$104,3,FALSE) / VLOOKUP('VoC Fuel'!$B$14,'Annual Parameters'!$B$33:$W$104,3,FALSE))))</f>
        <v>15.23669146681706</v>
      </c>
      <c r="H46" s="1590">
        <f>IF(ISERROR(VLOOKUP($B46,'VoC Fuel'!$B$28:$O$126,1,FALSE)),"",IF(VLOOKUP($B46,'VoC Fuel'!$B$28:$O$126,7,FALSE)="","",VLOOKUP($B46,'VoC Fuel'!$B$28:$O$126,7,FALSE) * (VLOOKUP($B$14,'Annual Parameters'!$B$33:$W$104,3,FALSE) / VLOOKUP('VoC Fuel'!$B$14,'Annual Parameters'!$B$33:$W$104,3,FALSE))))</f>
        <v>10.82111973695485</v>
      </c>
      <c r="I46" s="1654">
        <f>IF(ISERROR(VLOOKUP($B46,'VoC Fuel'!$B$28:$O$126,1,FALSE)),"",IF(VLOOKUP($B46,'VoC Fuel'!$B$28:$O$126,8,FALSE)="","",VLOOKUP($B46,'VoC Fuel'!$B$28:$O$126,8,FALSE) * (VLOOKUP($B$14,'Annual Parameters'!$B$33:$W$104,3,FALSE) / VLOOKUP('VoC Fuel'!$B$14,'Annual Parameters'!$B$33:$W$104,3,FALSE))))</f>
        <v>55.218777615499192</v>
      </c>
      <c r="J46" s="1654">
        <f>IF(ISERROR(VLOOKUP($B46,'VoC Fuel'!$B$28:$O$126,1,FALSE)),"",IF(VLOOKUP($B46,'VoC Fuel'!$B$28:$O$126,9,FALSE)="","",VLOOKUP($B46,'VoC Fuel'!$B$28:$O$126,9,FALSE) * (VLOOKUP($B$14,'Annual Parameters'!$B$33:$W$104,3,FALSE) / VLOOKUP('VoC Fuel'!$B$14,'Annual Parameters'!$B$33:$W$104,3,FALSE))))</f>
        <v>55.218777615499192</v>
      </c>
      <c r="K46" s="1654">
        <f>IF(ISERROR(VLOOKUP($B46,'VoC Fuel'!$B$28:$O$126,1,FALSE)),"",IF(VLOOKUP($B46,'VoC Fuel'!$B$28:$O$126,10,FALSE)="","",VLOOKUP($B46,'VoC Fuel'!$B$28:$O$126,10,FALSE) * (VLOOKUP($B$14,'Annual Parameters'!$B$33:$W$104,3,FALSE) / VLOOKUP('VoC Fuel'!$B$14,'Annual Parameters'!$B$33:$W$104,3,FALSE))))</f>
        <v>10.614964325050234</v>
      </c>
      <c r="L46" s="1257">
        <f>IF(ISERROR(VLOOKUP($B46,'VoC Fuel'!$B$28:$O$126,1,FALSE)),"",IF(VLOOKUP($B46,'VoC Fuel'!$B$28:$O$126,11,FALSE)="","",VLOOKUP($B46,'VoC Fuel'!$B$28:$O$126,11,FALSE) * (VLOOKUP($B$14,'Annual Parameters'!$B$33:$W$104,3,FALSE) / VLOOKUP('VoC Fuel'!$B$14,'Annual Parameters'!$B$33:$W$104,3,FALSE))))</f>
        <v>0</v>
      </c>
      <c r="M46" s="1256">
        <f>IF(ISERROR(VLOOKUP($B46,'VoC Fuel'!$B$28:$O$126,1,FALSE)),"",IF(VLOOKUP(B46,'VoC Fuel'!$B$28:$O$126,12,FALSE)="","",VLOOKUP(B46,'VoC Fuel'!$B$28:$O$126,12,FALSE)))</f>
        <v>20</v>
      </c>
      <c r="N46" s="1256">
        <f>IF(ISERROR(VLOOKUP($B46,'VoC Fuel'!$B$28:$O$126,1,FALSE)),"",IF(VLOOKUP($B46,'VoC Fuel'!$B$28:$O$126,13,FALSE)="","",VLOOKUP($B46,'VoC Fuel'!$B$28:$O$126,13,FALSE)))</f>
        <v>20</v>
      </c>
      <c r="O46" s="1256">
        <f>IF(ISERROR(VLOOKUP($B46,'VoC Fuel'!$B$28:$O$126,1,FALSE)),"",IF(VLOOKUP($B46,'VoC Fuel'!$B$28:$O$126,14,FALSE)="","",VLOOKUP($B46,'VoC Fuel'!$B$28:$O$126,14,FALSE)))</f>
        <v>5</v>
      </c>
      <c r="P46" s="14"/>
      <c r="Q46" s="14"/>
      <c r="R46" s="14"/>
      <c r="S46" s="14"/>
      <c r="T46" s="14"/>
      <c r="U46" s="14"/>
    </row>
    <row r="47" spans="1:21" ht="13.5" customHeight="1">
      <c r="B47" s="1589">
        <f t="shared" si="0"/>
        <v>2029</v>
      </c>
      <c r="C47" s="147"/>
      <c r="D47" s="51">
        <f>IF(ISERROR(VLOOKUP($B47,'VoC Fuel'!$B$28:$O$126,1,FALSE)),"",IF(VLOOKUP($B47,'VoC Fuel'!$B$28:$O$126,3,FALSE)="","",VLOOKUP($B47,'VoC Fuel'!$B$28:$O$126,3,FALSE) * (VLOOKUP($B$14,'Annual Parameters'!$B$33:$W$104,3,FALSE) / VLOOKUP('VoC Fuel'!$B$14,'Annual Parameters'!$B$33:$W$104,3,FALSE))))</f>
        <v>42.029254319362281</v>
      </c>
      <c r="E47" s="2158">
        <f>IF(ISERROR(VLOOKUP($B47,'VoC Fuel'!$B$28:$O$126,1,FALSE)),"",IF(VLOOKUP($B47,'VoC Fuel'!$B$28:$O$126,4,FALSE)="","",VLOOKUP($B47,'VoC Fuel'!$B$28:$O$126,4,FALSE) * (VLOOKUP($B$14,'Annual Parameters'!$B$33:$W$104,3,FALSE) / VLOOKUP('VoC Fuel'!$B$14,'Annual Parameters'!$B$33:$W$104,3,FALSE))))</f>
        <v>45.933296782280571</v>
      </c>
      <c r="F47" s="2160">
        <f>IF(ISERROR(VLOOKUP($B47,'VoC Fuel'!$B$28:$O$126,1,FALSE)),"",IF(VLOOKUP($B47,'VoC Fuel'!$B$28:$O$126,5,FALSE)="","",VLOOKUP($B47,'VoC Fuel'!$B$28:$O$126,5,FALSE) * (VLOOKUP($B$14,'Annual Parameters'!$B$33:$W$104,3,FALSE) / VLOOKUP('VoC Fuel'!$B$14,'Annual Parameters'!$B$33:$W$104,3,FALSE))))</f>
        <v>40.380139628365825</v>
      </c>
      <c r="G47" s="1654">
        <f>IF(ISERROR(VLOOKUP($B47,'VoC Fuel'!$B$28:$O$126,1,FALSE)),"",IF(VLOOKUP($B47,'VoC Fuel'!$B$28:$O$126,6,FALSE)="","",VLOOKUP($B47,'VoC Fuel'!$B$28:$O$126,6,FALSE) * (VLOOKUP($B$14,'Annual Parameters'!$B$33:$W$104,3,FALSE) / VLOOKUP('VoC Fuel'!$B$14,'Annual Parameters'!$B$33:$W$104,3,FALSE))))</f>
        <v>15.211799302975589</v>
      </c>
      <c r="H47" s="1590">
        <f>IF(ISERROR(VLOOKUP($B47,'VoC Fuel'!$B$28:$O$126,1,FALSE)),"",IF(VLOOKUP($B47,'VoC Fuel'!$B$28:$O$126,7,FALSE)="","",VLOOKUP($B47,'VoC Fuel'!$B$28:$O$126,7,FALSE) * (VLOOKUP($B$14,'Annual Parameters'!$B$33:$W$104,3,FALSE) / VLOOKUP('VoC Fuel'!$B$14,'Annual Parameters'!$B$33:$W$104,3,FALSE))))</f>
        <v>11.089092904267284</v>
      </c>
      <c r="I47" s="1654">
        <f>IF(ISERROR(VLOOKUP($B47,'VoC Fuel'!$B$28:$O$126,1,FALSE)),"",IF(VLOOKUP($B47,'VoC Fuel'!$B$28:$O$126,8,FALSE)="","",VLOOKUP($B47,'VoC Fuel'!$B$28:$O$126,8,FALSE) * (VLOOKUP($B$14,'Annual Parameters'!$B$33:$W$104,3,FALSE) / VLOOKUP('VoC Fuel'!$B$14,'Annual Parameters'!$B$33:$W$104,3,FALSE))))</f>
        <v>55.701389330049189</v>
      </c>
      <c r="J47" s="1654">
        <f>IF(ISERROR(VLOOKUP($B47,'VoC Fuel'!$B$28:$O$126,1,FALSE)),"",IF(VLOOKUP($B47,'VoC Fuel'!$B$28:$O$126,9,FALSE)="","",VLOOKUP($B47,'VoC Fuel'!$B$28:$O$126,9,FALSE) * (VLOOKUP($B$14,'Annual Parameters'!$B$33:$W$104,3,FALSE) / VLOOKUP('VoC Fuel'!$B$14,'Annual Parameters'!$B$33:$W$104,3,FALSE))))</f>
        <v>55.701389330049189</v>
      </c>
      <c r="K47" s="1654">
        <f>IF(ISERROR(VLOOKUP($B47,'VoC Fuel'!$B$28:$O$126,1,FALSE)),"",IF(VLOOKUP($B47,'VoC Fuel'!$B$28:$O$126,10,FALSE)="","",VLOOKUP($B47,'VoC Fuel'!$B$28:$O$126,10,FALSE) * (VLOOKUP($B$14,'Annual Parameters'!$B$33:$W$104,3,FALSE) / VLOOKUP('VoC Fuel'!$B$14,'Annual Parameters'!$B$33:$W$104,3,FALSE))))</f>
        <v>10.707739036009459</v>
      </c>
      <c r="L47" s="1257">
        <f>IF(ISERROR(VLOOKUP($B47,'VoC Fuel'!$B$28:$O$126,1,FALSE)),"",IF(VLOOKUP($B47,'VoC Fuel'!$B$28:$O$126,11,FALSE)="","",VLOOKUP($B47,'VoC Fuel'!$B$28:$O$126,11,FALSE) * (VLOOKUP($B$14,'Annual Parameters'!$B$33:$W$104,3,FALSE) / VLOOKUP('VoC Fuel'!$B$14,'Annual Parameters'!$B$33:$W$104,3,FALSE))))</f>
        <v>0</v>
      </c>
      <c r="M47" s="1256">
        <f>IF(ISERROR(VLOOKUP($B47,'VoC Fuel'!$B$28:$O$126,1,FALSE)),"",IF(VLOOKUP(B47,'VoC Fuel'!$B$28:$O$126,12,FALSE)="","",VLOOKUP(B47,'VoC Fuel'!$B$28:$O$126,12,FALSE)))</f>
        <v>20</v>
      </c>
      <c r="N47" s="1256">
        <f>IF(ISERROR(VLOOKUP($B47,'VoC Fuel'!$B$28:$O$126,1,FALSE)),"",IF(VLOOKUP($B47,'VoC Fuel'!$B$28:$O$126,13,FALSE)="","",VLOOKUP($B47,'VoC Fuel'!$B$28:$O$126,13,FALSE)))</f>
        <v>20</v>
      </c>
      <c r="O47" s="1256">
        <f>IF(ISERROR(VLOOKUP($B47,'VoC Fuel'!$B$28:$O$126,1,FALSE)),"",IF(VLOOKUP($B47,'VoC Fuel'!$B$28:$O$126,14,FALSE)="","",VLOOKUP($B47,'VoC Fuel'!$B$28:$O$126,14,FALSE)))</f>
        <v>5</v>
      </c>
      <c r="P47" s="14"/>
      <c r="Q47" s="14"/>
      <c r="R47" s="14"/>
      <c r="S47" s="14"/>
      <c r="T47" s="14"/>
      <c r="U47" s="14"/>
    </row>
    <row r="48" spans="1:21" ht="13.5" customHeight="1">
      <c r="B48" s="1589">
        <f t="shared" si="0"/>
        <v>2030</v>
      </c>
      <c r="C48" s="147"/>
      <c r="D48" s="51">
        <f>IF(ISERROR(VLOOKUP($B48,'VoC Fuel'!$B$28:$O$126,1,FALSE)),"",IF(VLOOKUP($B48,'VoC Fuel'!$B$28:$O$126,3,FALSE)="","",VLOOKUP($B48,'VoC Fuel'!$B$28:$O$126,3,FALSE) * (VLOOKUP($B$14,'Annual Parameters'!$B$33:$W$104,3,FALSE) / VLOOKUP('VoC Fuel'!$B$14,'Annual Parameters'!$B$33:$W$104,3,FALSE))))</f>
        <v>42.415831094542135</v>
      </c>
      <c r="E48" s="2158">
        <f>IF(ISERROR(VLOOKUP($B48,'VoC Fuel'!$B$28:$O$126,1,FALSE)),"",IF(VLOOKUP($B48,'VoC Fuel'!$B$28:$O$126,4,FALSE)="","",VLOOKUP($B48,'VoC Fuel'!$B$28:$O$126,4,FALSE) * (VLOOKUP($B$14,'Annual Parameters'!$B$33:$W$104,3,FALSE) / VLOOKUP('VoC Fuel'!$B$14,'Annual Parameters'!$B$33:$W$104,3,FALSE))))</f>
        <v>46.37706219646185</v>
      </c>
      <c r="F48" s="2160">
        <f>IF(ISERROR(VLOOKUP($B48,'VoC Fuel'!$B$28:$O$126,1,FALSE)),"",IF(VLOOKUP($B48,'VoC Fuel'!$B$28:$O$126,5,FALSE)="","",VLOOKUP($B48,'VoC Fuel'!$B$28:$O$126,5,FALSE) * (VLOOKUP($B$14,'Annual Parameters'!$B$33:$W$104,3,FALSE) / VLOOKUP('VoC Fuel'!$B$14,'Annual Parameters'!$B$33:$W$104,3,FALSE))))</f>
        <v>40.832242223684588</v>
      </c>
      <c r="G48" s="1654">
        <f>IF(ISERROR(VLOOKUP($B48,'VoC Fuel'!$B$28:$O$126,1,FALSE)),"",IF(VLOOKUP($B48,'VoC Fuel'!$B$28:$O$126,6,FALSE)="","",VLOOKUP($B48,'VoC Fuel'!$B$28:$O$126,6,FALSE) * (VLOOKUP($B$14,'Annual Parameters'!$B$33:$W$104,3,FALSE) / VLOOKUP('VoC Fuel'!$B$14,'Annual Parameters'!$B$33:$W$104,3,FALSE))))</f>
        <v>15.487670797843426</v>
      </c>
      <c r="H48" s="1590">
        <f>IF(ISERROR(VLOOKUP($B48,'VoC Fuel'!$B$28:$O$126,1,FALSE)),"",IF(VLOOKUP($B48,'VoC Fuel'!$B$28:$O$126,7,FALSE)="","",VLOOKUP($B48,'VoC Fuel'!$B$28:$O$126,7,FALSE) * (VLOOKUP($B$14,'Annual Parameters'!$B$33:$W$104,3,FALSE) / VLOOKUP('VoC Fuel'!$B$14,'Annual Parameters'!$B$33:$W$104,3,FALSE))))</f>
        <v>11.045016676639516</v>
      </c>
      <c r="I48" s="1654">
        <f>IF(ISERROR(VLOOKUP($B48,'VoC Fuel'!$B$28:$O$126,1,FALSE)),"",IF(VLOOKUP($B48,'VoC Fuel'!$B$28:$O$126,8,FALSE)="","",VLOOKUP($B48,'VoC Fuel'!$B$28:$O$126,8,FALSE) * (VLOOKUP($B$14,'Annual Parameters'!$B$33:$W$104,3,FALSE) / VLOOKUP('VoC Fuel'!$B$14,'Annual Parameters'!$B$33:$W$104,3,FALSE))))</f>
        <v>56.189722718535066</v>
      </c>
      <c r="J48" s="1654">
        <f>IF(ISERROR(VLOOKUP($B48,'VoC Fuel'!$B$28:$O$126,1,FALSE)),"",IF(VLOOKUP($B48,'VoC Fuel'!$B$28:$O$126,9,FALSE)="","",VLOOKUP($B48,'VoC Fuel'!$B$28:$O$126,9,FALSE) * (VLOOKUP($B$14,'Annual Parameters'!$B$33:$W$104,3,FALSE) / VLOOKUP('VoC Fuel'!$B$14,'Annual Parameters'!$B$33:$W$104,3,FALSE))))</f>
        <v>56.189722718535066</v>
      </c>
      <c r="K48" s="1654">
        <f>IF(ISERROR(VLOOKUP($B48,'VoC Fuel'!$B$28:$O$126,1,FALSE)),"",IF(VLOOKUP($B48,'VoC Fuel'!$B$28:$O$126,10,FALSE)="","",VLOOKUP($B48,'VoC Fuel'!$B$28:$O$126,10,FALSE) * (VLOOKUP($B$14,'Annual Parameters'!$B$33:$W$104,3,FALSE) / VLOOKUP('VoC Fuel'!$B$14,'Annual Parameters'!$B$33:$W$104,3,FALSE))))</f>
        <v>10.801613651155836</v>
      </c>
      <c r="L48" s="1257">
        <f>IF(ISERROR(VLOOKUP($B48,'VoC Fuel'!$B$28:$O$126,1,FALSE)),"",IF(VLOOKUP($B48,'VoC Fuel'!$B$28:$O$126,11,FALSE)="","",VLOOKUP($B48,'VoC Fuel'!$B$28:$O$126,11,FALSE) * (VLOOKUP($B$14,'Annual Parameters'!$B$33:$W$104,3,FALSE) / VLOOKUP('VoC Fuel'!$B$14,'Annual Parameters'!$B$33:$W$104,3,FALSE))))</f>
        <v>0</v>
      </c>
      <c r="M48" s="1256">
        <f>IF(ISERROR(VLOOKUP($B48,'VoC Fuel'!$B$28:$O$126,1,FALSE)),"",IF(VLOOKUP(B48,'VoC Fuel'!$B$28:$O$126,12,FALSE)="","",VLOOKUP(B48,'VoC Fuel'!$B$28:$O$126,12,FALSE)))</f>
        <v>20</v>
      </c>
      <c r="N48" s="1256">
        <f>IF(ISERROR(VLOOKUP($B48,'VoC Fuel'!$B$28:$O$126,1,FALSE)),"",IF(VLOOKUP($B48,'VoC Fuel'!$B$28:$O$126,13,FALSE)="","",VLOOKUP($B48,'VoC Fuel'!$B$28:$O$126,13,FALSE)))</f>
        <v>20</v>
      </c>
      <c r="O48" s="1256">
        <f>IF(ISERROR(VLOOKUP($B48,'VoC Fuel'!$B$28:$O$126,1,FALSE)),"",IF(VLOOKUP($B48,'VoC Fuel'!$B$28:$O$126,14,FALSE)="","",VLOOKUP($B48,'VoC Fuel'!$B$28:$O$126,14,FALSE)))</f>
        <v>5</v>
      </c>
      <c r="P48" s="14"/>
      <c r="Q48" s="14"/>
      <c r="R48" s="14"/>
      <c r="S48" s="14"/>
      <c r="T48" s="14"/>
      <c r="U48" s="14"/>
    </row>
    <row r="49" spans="2:21" ht="13.5" customHeight="1">
      <c r="B49" s="1589">
        <f t="shared" si="0"/>
        <v>2031</v>
      </c>
      <c r="C49" s="147"/>
      <c r="D49" s="51">
        <f>IF(ISERROR(VLOOKUP($B49,'VoC Fuel'!$B$28:$O$126,1,FALSE)),"",IF(VLOOKUP($B49,'VoC Fuel'!$B$28:$O$126,3,FALSE)="","",VLOOKUP($B49,'VoC Fuel'!$B$28:$O$126,3,FALSE) * (VLOOKUP($B$14,'Annual Parameters'!$B$33:$W$104,3,FALSE) / VLOOKUP('VoC Fuel'!$B$14,'Annual Parameters'!$B$33:$W$104,3,FALSE))))</f>
        <v>42.415831094542135</v>
      </c>
      <c r="E49" s="2158">
        <f>IF(ISERROR(VLOOKUP($B49,'VoC Fuel'!$B$28:$O$126,1,FALSE)),"",IF(VLOOKUP($B49,'VoC Fuel'!$B$28:$O$126,4,FALSE)="","",VLOOKUP($B49,'VoC Fuel'!$B$28:$O$126,4,FALSE) * (VLOOKUP($B$14,'Annual Parameters'!$B$33:$W$104,3,FALSE) / VLOOKUP('VoC Fuel'!$B$14,'Annual Parameters'!$B$33:$W$104,3,FALSE))))</f>
        <v>46.37706219646185</v>
      </c>
      <c r="F49" s="2160">
        <f>IF(ISERROR(VLOOKUP($B49,'VoC Fuel'!$B$28:$O$126,1,FALSE)),"",IF(VLOOKUP($B49,'VoC Fuel'!$B$28:$O$126,5,FALSE)="","",VLOOKUP($B49,'VoC Fuel'!$B$28:$O$126,5,FALSE) * (VLOOKUP($B$14,'Annual Parameters'!$B$33:$W$104,3,FALSE) / VLOOKUP('VoC Fuel'!$B$14,'Annual Parameters'!$B$33:$W$104,3,FALSE))))</f>
        <v>40.832242223684588</v>
      </c>
      <c r="G49" s="1654">
        <f>IF(ISERROR(VLOOKUP($B49,'VoC Fuel'!$B$28:$O$126,1,FALSE)),"",IF(VLOOKUP($B49,'VoC Fuel'!$B$28:$O$126,6,FALSE)="","",VLOOKUP($B49,'VoC Fuel'!$B$28:$O$126,6,FALSE) * (VLOOKUP($B$14,'Annual Parameters'!$B$33:$W$104,3,FALSE) / VLOOKUP('VoC Fuel'!$B$14,'Annual Parameters'!$B$33:$W$104,3,FALSE))))</f>
        <v>15.487670797843426</v>
      </c>
      <c r="H49" s="1590">
        <f>IF(ISERROR(VLOOKUP($B49,'VoC Fuel'!$B$28:$O$126,1,FALSE)),"",IF(VLOOKUP($B49,'VoC Fuel'!$B$28:$O$126,7,FALSE)="","",VLOOKUP($B49,'VoC Fuel'!$B$28:$O$126,7,FALSE) * (VLOOKUP($B$14,'Annual Parameters'!$B$33:$W$104,3,FALSE) / VLOOKUP('VoC Fuel'!$B$14,'Annual Parameters'!$B$33:$W$104,3,FALSE))))</f>
        <v>11.045016676639516</v>
      </c>
      <c r="I49" s="1654">
        <f>IF(ISERROR(VLOOKUP($B49,'VoC Fuel'!$B$28:$O$126,1,FALSE)),"",IF(VLOOKUP($B49,'VoC Fuel'!$B$28:$O$126,8,FALSE)="","",VLOOKUP($B49,'VoC Fuel'!$B$28:$O$126,8,FALSE) * (VLOOKUP($B$14,'Annual Parameters'!$B$33:$W$104,3,FALSE) / VLOOKUP('VoC Fuel'!$B$14,'Annual Parameters'!$B$33:$W$104,3,FALSE))))</f>
        <v>56.678512612488475</v>
      </c>
      <c r="J49" s="1654">
        <f>IF(ISERROR(VLOOKUP($B49,'VoC Fuel'!$B$28:$O$126,1,FALSE)),"",IF(VLOOKUP($B49,'VoC Fuel'!$B$28:$O$126,9,FALSE)="","",VLOOKUP($B49,'VoC Fuel'!$B$28:$O$126,9,FALSE) * (VLOOKUP($B$14,'Annual Parameters'!$B$33:$W$104,3,FALSE) / VLOOKUP('VoC Fuel'!$B$14,'Annual Parameters'!$B$33:$W$104,3,FALSE))))</f>
        <v>56.678512612488475</v>
      </c>
      <c r="K49" s="1654">
        <f>IF(ISERROR(VLOOKUP($B49,'VoC Fuel'!$B$28:$O$126,1,FALSE)),"",IF(VLOOKUP($B49,'VoC Fuel'!$B$28:$O$126,10,FALSE)="","",VLOOKUP($B49,'VoC Fuel'!$B$28:$O$126,10,FALSE) * (VLOOKUP($B$14,'Annual Parameters'!$B$33:$W$104,3,FALSE) / VLOOKUP('VoC Fuel'!$B$14,'Annual Parameters'!$B$33:$W$104,3,FALSE))))</f>
        <v>10.895576022487001</v>
      </c>
      <c r="L49" s="1257">
        <f>IF(ISERROR(VLOOKUP($B49,'VoC Fuel'!$B$28:$O$126,1,FALSE)),"",IF(VLOOKUP($B49,'VoC Fuel'!$B$28:$O$126,11,FALSE)="","",VLOOKUP($B49,'VoC Fuel'!$B$28:$O$126,11,FALSE) * (VLOOKUP($B$14,'Annual Parameters'!$B$33:$W$104,3,FALSE) / VLOOKUP('VoC Fuel'!$B$14,'Annual Parameters'!$B$33:$W$104,3,FALSE))))</f>
        <v>0</v>
      </c>
      <c r="M49" s="1256">
        <f>IF(ISERROR(VLOOKUP($B49,'VoC Fuel'!$B$28:$O$126,1,FALSE)),"",IF(VLOOKUP(B49,'VoC Fuel'!$B$28:$O$126,12,FALSE)="","",VLOOKUP(B49,'VoC Fuel'!$B$28:$O$126,12,FALSE)))</f>
        <v>20</v>
      </c>
      <c r="N49" s="1256">
        <f>IF(ISERROR(VLOOKUP($B49,'VoC Fuel'!$B$28:$O$126,1,FALSE)),"",IF(VLOOKUP($B49,'VoC Fuel'!$B$28:$O$126,13,FALSE)="","",VLOOKUP($B49,'VoC Fuel'!$B$28:$O$126,13,FALSE)))</f>
        <v>20</v>
      </c>
      <c r="O49" s="1256">
        <f>IF(ISERROR(VLOOKUP($B49,'VoC Fuel'!$B$28:$O$126,1,FALSE)),"",IF(VLOOKUP($B49,'VoC Fuel'!$B$28:$O$126,14,FALSE)="","",VLOOKUP($B49,'VoC Fuel'!$B$28:$O$126,14,FALSE)))</f>
        <v>5</v>
      </c>
      <c r="P49" s="14"/>
      <c r="Q49" s="14"/>
      <c r="R49" s="14"/>
      <c r="S49" s="14"/>
      <c r="T49" s="14"/>
      <c r="U49" s="14"/>
    </row>
    <row r="50" spans="2:21" ht="13.5" customHeight="1">
      <c r="B50" s="1589">
        <f t="shared" si="0"/>
        <v>2032</v>
      </c>
      <c r="C50" s="147"/>
      <c r="D50" s="51">
        <f>IF(ISERROR(VLOOKUP($B50,'VoC Fuel'!$B$28:$O$126,1,FALSE)),"",IF(VLOOKUP($B50,'VoC Fuel'!$B$28:$O$126,3,FALSE)="","",VLOOKUP($B50,'VoC Fuel'!$B$28:$O$126,3,FALSE) * (VLOOKUP($B$14,'Annual Parameters'!$B$33:$W$104,3,FALSE) / VLOOKUP('VoC Fuel'!$B$14,'Annual Parameters'!$B$33:$W$104,3,FALSE))))</f>
        <v>42.415831094542135</v>
      </c>
      <c r="E50" s="2158">
        <f>IF(ISERROR(VLOOKUP($B50,'VoC Fuel'!$B$28:$O$126,1,FALSE)),"",IF(VLOOKUP($B50,'VoC Fuel'!$B$28:$O$126,4,FALSE)="","",VLOOKUP($B50,'VoC Fuel'!$B$28:$O$126,4,FALSE) * (VLOOKUP($B$14,'Annual Parameters'!$B$33:$W$104,3,FALSE) / VLOOKUP('VoC Fuel'!$B$14,'Annual Parameters'!$B$33:$W$104,3,FALSE))))</f>
        <v>46.37706219646185</v>
      </c>
      <c r="F50" s="2160">
        <f>IF(ISERROR(VLOOKUP($B50,'VoC Fuel'!$B$28:$O$126,1,FALSE)),"",IF(VLOOKUP($B50,'VoC Fuel'!$B$28:$O$126,5,FALSE)="","",VLOOKUP($B50,'VoC Fuel'!$B$28:$O$126,5,FALSE) * (VLOOKUP($B$14,'Annual Parameters'!$B$33:$W$104,3,FALSE) / VLOOKUP('VoC Fuel'!$B$14,'Annual Parameters'!$B$33:$W$104,3,FALSE))))</f>
        <v>40.832242223684588</v>
      </c>
      <c r="G50" s="1654">
        <f>IF(ISERROR(VLOOKUP($B50,'VoC Fuel'!$B$28:$O$126,1,FALSE)),"",IF(VLOOKUP($B50,'VoC Fuel'!$B$28:$O$126,6,FALSE)="","",VLOOKUP($B50,'VoC Fuel'!$B$28:$O$126,6,FALSE) * (VLOOKUP($B$14,'Annual Parameters'!$B$33:$W$104,3,FALSE) / VLOOKUP('VoC Fuel'!$B$14,'Annual Parameters'!$B$33:$W$104,3,FALSE))))</f>
        <v>15.487670797843426</v>
      </c>
      <c r="H50" s="1590">
        <f>IF(ISERROR(VLOOKUP($B50,'VoC Fuel'!$B$28:$O$126,1,FALSE)),"",IF(VLOOKUP($B50,'VoC Fuel'!$B$28:$O$126,7,FALSE)="","",VLOOKUP($B50,'VoC Fuel'!$B$28:$O$126,7,FALSE) * (VLOOKUP($B$14,'Annual Parameters'!$B$33:$W$104,3,FALSE) / VLOOKUP('VoC Fuel'!$B$14,'Annual Parameters'!$B$33:$W$104,3,FALSE))))</f>
        <v>11.045016676639516</v>
      </c>
      <c r="I50" s="1654">
        <f>IF(ISERROR(VLOOKUP($B50,'VoC Fuel'!$B$28:$O$126,1,FALSE)),"",IF(VLOOKUP($B50,'VoC Fuel'!$B$28:$O$126,8,FALSE)="","",VLOOKUP($B50,'VoC Fuel'!$B$28:$O$126,8,FALSE) * (VLOOKUP($B$14,'Annual Parameters'!$B$33:$W$104,3,FALSE) / VLOOKUP('VoC Fuel'!$B$14,'Annual Parameters'!$B$33:$W$104,3,FALSE))))</f>
        <v>57.16807347416384</v>
      </c>
      <c r="J50" s="1654">
        <f>IF(ISERROR(VLOOKUP($B50,'VoC Fuel'!$B$28:$O$126,1,FALSE)),"",IF(VLOOKUP($B50,'VoC Fuel'!$B$28:$O$126,9,FALSE)="","",VLOOKUP($B50,'VoC Fuel'!$B$28:$O$126,9,FALSE) * (VLOOKUP($B$14,'Annual Parameters'!$B$33:$W$104,3,FALSE) / VLOOKUP('VoC Fuel'!$B$14,'Annual Parameters'!$B$33:$W$104,3,FALSE))))</f>
        <v>57.16807347416384</v>
      </c>
      <c r="K50" s="1654">
        <f>IF(ISERROR(VLOOKUP($B50,'VoC Fuel'!$B$28:$O$126,1,FALSE)),"",IF(VLOOKUP($B50,'VoC Fuel'!$B$28:$O$126,10,FALSE)="","",VLOOKUP($B50,'VoC Fuel'!$B$28:$O$126,10,FALSE) * (VLOOKUP($B$14,'Annual Parameters'!$B$33:$W$104,3,FALSE) / VLOOKUP('VoC Fuel'!$B$14,'Annual Parameters'!$B$33:$W$104,3,FALSE))))</f>
        <v>10.989686600555395</v>
      </c>
      <c r="L50" s="1257">
        <f>IF(ISERROR(VLOOKUP($B50,'VoC Fuel'!$B$28:$O$126,1,FALSE)),"",IF(VLOOKUP($B50,'VoC Fuel'!$B$28:$O$126,11,FALSE)="","",VLOOKUP($B50,'VoC Fuel'!$B$28:$O$126,11,FALSE) * (VLOOKUP($B$14,'Annual Parameters'!$B$33:$W$104,3,FALSE) / VLOOKUP('VoC Fuel'!$B$14,'Annual Parameters'!$B$33:$W$104,3,FALSE))))</f>
        <v>0</v>
      </c>
      <c r="M50" s="1256">
        <f>IF(ISERROR(VLOOKUP($B50,'VoC Fuel'!$B$28:$O$126,1,FALSE)),"",IF(VLOOKUP(B50,'VoC Fuel'!$B$28:$O$126,12,FALSE)="","",VLOOKUP(B50,'VoC Fuel'!$B$28:$O$126,12,FALSE)))</f>
        <v>20</v>
      </c>
      <c r="N50" s="1256">
        <f>IF(ISERROR(VLOOKUP($B50,'VoC Fuel'!$B$28:$O$126,1,FALSE)),"",IF(VLOOKUP($B50,'VoC Fuel'!$B$28:$O$126,13,FALSE)="","",VLOOKUP($B50,'VoC Fuel'!$B$28:$O$126,13,FALSE)))</f>
        <v>20</v>
      </c>
      <c r="O50" s="1256">
        <f>IF(ISERROR(VLOOKUP($B50,'VoC Fuel'!$B$28:$O$126,1,FALSE)),"",IF(VLOOKUP($B50,'VoC Fuel'!$B$28:$O$126,14,FALSE)="","",VLOOKUP($B50,'VoC Fuel'!$B$28:$O$126,14,FALSE)))</f>
        <v>5</v>
      </c>
      <c r="P50" s="14"/>
      <c r="Q50" s="14"/>
      <c r="R50" s="14"/>
      <c r="S50" s="14"/>
      <c r="T50" s="14"/>
      <c r="U50" s="14"/>
    </row>
    <row r="51" spans="2:21" ht="13.5" customHeight="1">
      <c r="B51" s="1589">
        <f t="shared" si="0"/>
        <v>2033</v>
      </c>
      <c r="C51" s="147"/>
      <c r="D51" s="51">
        <f>IF(ISERROR(VLOOKUP($B51,'VoC Fuel'!$B$28:$O$126,1,FALSE)),"",IF(VLOOKUP($B51,'VoC Fuel'!$B$28:$O$126,3,FALSE)="","",VLOOKUP($B51,'VoC Fuel'!$B$28:$O$126,3,FALSE) * (VLOOKUP($B$14,'Annual Parameters'!$B$33:$W$104,3,FALSE) / VLOOKUP('VoC Fuel'!$B$14,'Annual Parameters'!$B$33:$W$104,3,FALSE))))</f>
        <v>42.415831094542135</v>
      </c>
      <c r="E51" s="2158">
        <f>IF(ISERROR(VLOOKUP($B51,'VoC Fuel'!$B$28:$O$126,1,FALSE)),"",IF(VLOOKUP($B51,'VoC Fuel'!$B$28:$O$126,4,FALSE)="","",VLOOKUP($B51,'VoC Fuel'!$B$28:$O$126,4,FALSE) * (VLOOKUP($B$14,'Annual Parameters'!$B$33:$W$104,3,FALSE) / VLOOKUP('VoC Fuel'!$B$14,'Annual Parameters'!$B$33:$W$104,3,FALSE))))</f>
        <v>46.37706219646185</v>
      </c>
      <c r="F51" s="2160">
        <f>IF(ISERROR(VLOOKUP($B51,'VoC Fuel'!$B$28:$O$126,1,FALSE)),"",IF(VLOOKUP($B51,'VoC Fuel'!$B$28:$O$126,5,FALSE)="","",VLOOKUP($B51,'VoC Fuel'!$B$28:$O$126,5,FALSE) * (VLOOKUP($B$14,'Annual Parameters'!$B$33:$W$104,3,FALSE) / VLOOKUP('VoC Fuel'!$B$14,'Annual Parameters'!$B$33:$W$104,3,FALSE))))</f>
        <v>40.832242223684588</v>
      </c>
      <c r="G51" s="1654">
        <f>IF(ISERROR(VLOOKUP($B51,'VoC Fuel'!$B$28:$O$126,1,FALSE)),"",IF(VLOOKUP($B51,'VoC Fuel'!$B$28:$O$126,6,FALSE)="","",VLOOKUP($B51,'VoC Fuel'!$B$28:$O$126,6,FALSE) * (VLOOKUP($B$14,'Annual Parameters'!$B$33:$W$104,3,FALSE) / VLOOKUP('VoC Fuel'!$B$14,'Annual Parameters'!$B$33:$W$104,3,FALSE))))</f>
        <v>15.487670797843426</v>
      </c>
      <c r="H51" s="1590">
        <f>IF(ISERROR(VLOOKUP($B51,'VoC Fuel'!$B$28:$O$126,1,FALSE)),"",IF(VLOOKUP($B51,'VoC Fuel'!$B$28:$O$126,7,FALSE)="","",VLOOKUP($B51,'VoC Fuel'!$B$28:$O$126,7,FALSE) * (VLOOKUP($B$14,'Annual Parameters'!$B$33:$W$104,3,FALSE) / VLOOKUP('VoC Fuel'!$B$14,'Annual Parameters'!$B$33:$W$104,3,FALSE))))</f>
        <v>11.045016676639516</v>
      </c>
      <c r="I51" s="1654">
        <f>IF(ISERROR(VLOOKUP($B51,'VoC Fuel'!$B$28:$O$126,1,FALSE)),"",IF(VLOOKUP($B51,'VoC Fuel'!$B$28:$O$126,8,FALSE)="","",VLOOKUP($B51,'VoC Fuel'!$B$28:$O$126,8,FALSE) * (VLOOKUP($B$14,'Annual Parameters'!$B$33:$W$104,3,FALSE) / VLOOKUP('VoC Fuel'!$B$14,'Annual Parameters'!$B$33:$W$104,3,FALSE))))</f>
        <v>57.658678992592073</v>
      </c>
      <c r="J51" s="1654">
        <f>IF(ISERROR(VLOOKUP($B51,'VoC Fuel'!$B$28:$O$126,1,FALSE)),"",IF(VLOOKUP($B51,'VoC Fuel'!$B$28:$O$126,9,FALSE)="","",VLOOKUP($B51,'VoC Fuel'!$B$28:$O$126,9,FALSE) * (VLOOKUP($B$14,'Annual Parameters'!$B$33:$W$104,3,FALSE) / VLOOKUP('VoC Fuel'!$B$14,'Annual Parameters'!$B$33:$W$104,3,FALSE))))</f>
        <v>57.658678992592073</v>
      </c>
      <c r="K51" s="1654">
        <f>IF(ISERROR(VLOOKUP($B51,'VoC Fuel'!$B$28:$O$126,1,FALSE)),"",IF(VLOOKUP($B51,'VoC Fuel'!$B$28:$O$126,10,FALSE)="","",VLOOKUP($B51,'VoC Fuel'!$B$28:$O$126,10,FALSE) * (VLOOKUP($B$14,'Annual Parameters'!$B$33:$W$104,3,FALSE) / VLOOKUP('VoC Fuel'!$B$14,'Annual Parameters'!$B$33:$W$104,3,FALSE))))</f>
        <v>11.083997997885689</v>
      </c>
      <c r="L51" s="1257">
        <f>IF(ISERROR(VLOOKUP($B51,'VoC Fuel'!$B$28:$O$126,1,FALSE)),"",IF(VLOOKUP($B51,'VoC Fuel'!$B$28:$O$126,11,FALSE)="","",VLOOKUP($B51,'VoC Fuel'!$B$28:$O$126,11,FALSE) * (VLOOKUP($B$14,'Annual Parameters'!$B$33:$W$104,3,FALSE) / VLOOKUP('VoC Fuel'!$B$14,'Annual Parameters'!$B$33:$W$104,3,FALSE))))</f>
        <v>0</v>
      </c>
      <c r="M51" s="1256">
        <f>IF(ISERROR(VLOOKUP($B51,'VoC Fuel'!$B$28:$O$126,1,FALSE)),"",IF(VLOOKUP(B51,'VoC Fuel'!$B$28:$O$126,12,FALSE)="","",VLOOKUP(B51,'VoC Fuel'!$B$28:$O$126,12,FALSE)))</f>
        <v>20</v>
      </c>
      <c r="N51" s="1256">
        <f>IF(ISERROR(VLOOKUP($B51,'VoC Fuel'!$B$28:$O$126,1,FALSE)),"",IF(VLOOKUP($B51,'VoC Fuel'!$B$28:$O$126,13,FALSE)="","",VLOOKUP($B51,'VoC Fuel'!$B$28:$O$126,13,FALSE)))</f>
        <v>20</v>
      </c>
      <c r="O51" s="1256">
        <f>IF(ISERROR(VLOOKUP($B51,'VoC Fuel'!$B$28:$O$126,1,FALSE)),"",IF(VLOOKUP($B51,'VoC Fuel'!$B$28:$O$126,14,FALSE)="","",VLOOKUP($B51,'VoC Fuel'!$B$28:$O$126,14,FALSE)))</f>
        <v>5</v>
      </c>
      <c r="P51" s="14"/>
      <c r="Q51" s="14"/>
      <c r="R51" s="14"/>
      <c r="S51" s="14"/>
      <c r="T51" s="14"/>
      <c r="U51" s="14"/>
    </row>
    <row r="52" spans="2:21" ht="13.5" customHeight="1">
      <c r="B52" s="1589">
        <f t="shared" si="0"/>
        <v>2034</v>
      </c>
      <c r="C52" s="147"/>
      <c r="D52" s="51">
        <f>IF(ISERROR(VLOOKUP($B52,'VoC Fuel'!$B$28:$O$126,1,FALSE)),"",IF(VLOOKUP($B52,'VoC Fuel'!$B$28:$O$126,3,FALSE)="","",VLOOKUP($B52,'VoC Fuel'!$B$28:$O$126,3,FALSE) * (VLOOKUP($B$14,'Annual Parameters'!$B$33:$W$104,3,FALSE) / VLOOKUP('VoC Fuel'!$B$14,'Annual Parameters'!$B$33:$W$104,3,FALSE))))</f>
        <v>42.415831094542135</v>
      </c>
      <c r="E52" s="2158">
        <f>IF(ISERROR(VLOOKUP($B52,'VoC Fuel'!$B$28:$O$126,1,FALSE)),"",IF(VLOOKUP($B52,'VoC Fuel'!$B$28:$O$126,4,FALSE)="","",VLOOKUP($B52,'VoC Fuel'!$B$28:$O$126,4,FALSE) * (VLOOKUP($B$14,'Annual Parameters'!$B$33:$W$104,3,FALSE) / VLOOKUP('VoC Fuel'!$B$14,'Annual Parameters'!$B$33:$W$104,3,FALSE))))</f>
        <v>46.37706219646185</v>
      </c>
      <c r="F52" s="2160">
        <f>IF(ISERROR(VLOOKUP($B52,'VoC Fuel'!$B$28:$O$126,1,FALSE)),"",IF(VLOOKUP($B52,'VoC Fuel'!$B$28:$O$126,5,FALSE)="","",VLOOKUP($B52,'VoC Fuel'!$B$28:$O$126,5,FALSE) * (VLOOKUP($B$14,'Annual Parameters'!$B$33:$W$104,3,FALSE) / VLOOKUP('VoC Fuel'!$B$14,'Annual Parameters'!$B$33:$W$104,3,FALSE))))</f>
        <v>40.832242223684588</v>
      </c>
      <c r="G52" s="1654">
        <f>IF(ISERROR(VLOOKUP($B52,'VoC Fuel'!$B$28:$O$126,1,FALSE)),"",IF(VLOOKUP($B52,'VoC Fuel'!$B$28:$O$126,6,FALSE)="","",VLOOKUP($B52,'VoC Fuel'!$B$28:$O$126,6,FALSE) * (VLOOKUP($B$14,'Annual Parameters'!$B$33:$W$104,3,FALSE) / VLOOKUP('VoC Fuel'!$B$14,'Annual Parameters'!$B$33:$W$104,3,FALSE))))</f>
        <v>15.487670797843426</v>
      </c>
      <c r="H52" s="1590">
        <f>IF(ISERROR(VLOOKUP($B52,'VoC Fuel'!$B$28:$O$126,1,FALSE)),"",IF(VLOOKUP($B52,'VoC Fuel'!$B$28:$O$126,7,FALSE)="","",VLOOKUP($B52,'VoC Fuel'!$B$28:$O$126,7,FALSE) * (VLOOKUP($B$14,'Annual Parameters'!$B$33:$W$104,3,FALSE) / VLOOKUP('VoC Fuel'!$B$14,'Annual Parameters'!$B$33:$W$104,3,FALSE))))</f>
        <v>11.045016676639516</v>
      </c>
      <c r="I52" s="1654">
        <f>IF(ISERROR(VLOOKUP($B52,'VoC Fuel'!$B$28:$O$126,1,FALSE)),"",IF(VLOOKUP($B52,'VoC Fuel'!$B$28:$O$126,8,FALSE)="","",VLOOKUP($B52,'VoC Fuel'!$B$28:$O$126,8,FALSE) * (VLOOKUP($B$14,'Annual Parameters'!$B$33:$W$104,3,FALSE) / VLOOKUP('VoC Fuel'!$B$14,'Annual Parameters'!$B$33:$W$104,3,FALSE))))</f>
        <v>58.150569411734189</v>
      </c>
      <c r="J52" s="1654">
        <f>IF(ISERROR(VLOOKUP($B52,'VoC Fuel'!$B$28:$O$126,1,FALSE)),"",IF(VLOOKUP($B52,'VoC Fuel'!$B$28:$O$126,9,FALSE)="","",VLOOKUP($B52,'VoC Fuel'!$B$28:$O$126,9,FALSE) * (VLOOKUP($B$14,'Annual Parameters'!$B$33:$W$104,3,FALSE) / VLOOKUP('VoC Fuel'!$B$14,'Annual Parameters'!$B$33:$W$104,3,FALSE))))</f>
        <v>58.150569411734189</v>
      </c>
      <c r="K52" s="1654">
        <f>IF(ISERROR(VLOOKUP($B52,'VoC Fuel'!$B$28:$O$126,1,FALSE)),"",IF(VLOOKUP($B52,'VoC Fuel'!$B$28:$O$126,10,FALSE)="","",VLOOKUP($B52,'VoC Fuel'!$B$28:$O$126,10,FALSE) * (VLOOKUP($B$14,'Annual Parameters'!$B$33:$W$104,3,FALSE) / VLOOKUP('VoC Fuel'!$B$14,'Annual Parameters'!$B$33:$W$104,3,FALSE))))</f>
        <v>11.178556397700065</v>
      </c>
      <c r="L52" s="1257">
        <f>IF(ISERROR(VLOOKUP($B52,'VoC Fuel'!$B$28:$O$126,1,FALSE)),"",IF(VLOOKUP($B52,'VoC Fuel'!$B$28:$O$126,11,FALSE)="","",VLOOKUP($B52,'VoC Fuel'!$B$28:$O$126,11,FALSE) * (VLOOKUP($B$14,'Annual Parameters'!$B$33:$W$104,3,FALSE) / VLOOKUP('VoC Fuel'!$B$14,'Annual Parameters'!$B$33:$W$104,3,FALSE))))</f>
        <v>0</v>
      </c>
      <c r="M52" s="1256">
        <f>IF(ISERROR(VLOOKUP($B52,'VoC Fuel'!$B$28:$O$126,1,FALSE)),"",IF(VLOOKUP(B52,'VoC Fuel'!$B$28:$O$126,12,FALSE)="","",VLOOKUP(B52,'VoC Fuel'!$B$28:$O$126,12,FALSE)))</f>
        <v>20</v>
      </c>
      <c r="N52" s="1256">
        <f>IF(ISERROR(VLOOKUP($B52,'VoC Fuel'!$B$28:$O$126,1,FALSE)),"",IF(VLOOKUP($B52,'VoC Fuel'!$B$28:$O$126,13,FALSE)="","",VLOOKUP($B52,'VoC Fuel'!$B$28:$O$126,13,FALSE)))</f>
        <v>20</v>
      </c>
      <c r="O52" s="1256">
        <f>IF(ISERROR(VLOOKUP($B52,'VoC Fuel'!$B$28:$O$126,1,FALSE)),"",IF(VLOOKUP($B52,'VoC Fuel'!$B$28:$O$126,14,FALSE)="","",VLOOKUP($B52,'VoC Fuel'!$B$28:$O$126,14,FALSE)))</f>
        <v>5</v>
      </c>
      <c r="P52" s="14"/>
      <c r="Q52" s="14"/>
      <c r="R52" s="14"/>
      <c r="S52" s="14"/>
      <c r="T52" s="14"/>
      <c r="U52" s="14"/>
    </row>
    <row r="53" spans="2:21" ht="13.5" customHeight="1">
      <c r="B53" s="1589">
        <f t="shared" si="0"/>
        <v>2035</v>
      </c>
      <c r="C53" s="147"/>
      <c r="D53" s="51">
        <f>IF(ISERROR(VLOOKUP($B53,'VoC Fuel'!$B$28:$O$126,1,FALSE)),"",IF(VLOOKUP($B53,'VoC Fuel'!$B$28:$O$126,3,FALSE)="","",VLOOKUP($B53,'VoC Fuel'!$B$28:$O$126,3,FALSE) * (VLOOKUP($B$14,'Annual Parameters'!$B$33:$W$104,3,FALSE) / VLOOKUP('VoC Fuel'!$B$14,'Annual Parameters'!$B$33:$W$104,3,FALSE))))</f>
        <v>42.415831094542135</v>
      </c>
      <c r="E53" s="2158">
        <f>IF(ISERROR(VLOOKUP($B53,'VoC Fuel'!$B$28:$O$126,1,FALSE)),"",IF(VLOOKUP($B53,'VoC Fuel'!$B$28:$O$126,4,FALSE)="","",VLOOKUP($B53,'VoC Fuel'!$B$28:$O$126,4,FALSE) * (VLOOKUP($B$14,'Annual Parameters'!$B$33:$W$104,3,FALSE) / VLOOKUP('VoC Fuel'!$B$14,'Annual Parameters'!$B$33:$W$104,3,FALSE))))</f>
        <v>46.37706219646185</v>
      </c>
      <c r="F53" s="2160">
        <f>IF(ISERROR(VLOOKUP($B53,'VoC Fuel'!$B$28:$O$126,1,FALSE)),"",IF(VLOOKUP($B53,'VoC Fuel'!$B$28:$O$126,5,FALSE)="","",VLOOKUP($B53,'VoC Fuel'!$B$28:$O$126,5,FALSE) * (VLOOKUP($B$14,'Annual Parameters'!$B$33:$W$104,3,FALSE) / VLOOKUP('VoC Fuel'!$B$14,'Annual Parameters'!$B$33:$W$104,3,FALSE))))</f>
        <v>40.832242223684588</v>
      </c>
      <c r="G53" s="1654">
        <f>IF(ISERROR(VLOOKUP($B53,'VoC Fuel'!$B$28:$O$126,1,FALSE)),"",IF(VLOOKUP($B53,'VoC Fuel'!$B$28:$O$126,6,FALSE)="","",VLOOKUP($B53,'VoC Fuel'!$B$28:$O$126,6,FALSE) * (VLOOKUP($B$14,'Annual Parameters'!$B$33:$W$104,3,FALSE) / VLOOKUP('VoC Fuel'!$B$14,'Annual Parameters'!$B$33:$W$104,3,FALSE))))</f>
        <v>15.487670797843426</v>
      </c>
      <c r="H53" s="1590">
        <f>IF(ISERROR(VLOOKUP($B53,'VoC Fuel'!$B$28:$O$126,1,FALSE)),"",IF(VLOOKUP($B53,'VoC Fuel'!$B$28:$O$126,7,FALSE)="","",VLOOKUP($B53,'VoC Fuel'!$B$28:$O$126,7,FALSE) * (VLOOKUP($B$14,'Annual Parameters'!$B$33:$W$104,3,FALSE) / VLOOKUP('VoC Fuel'!$B$14,'Annual Parameters'!$B$33:$W$104,3,FALSE))))</f>
        <v>11.045016676639516</v>
      </c>
      <c r="I53" s="1654">
        <f>IF(ISERROR(VLOOKUP($B53,'VoC Fuel'!$B$28:$O$126,1,FALSE)),"",IF(VLOOKUP($B53,'VoC Fuel'!$B$28:$O$126,8,FALSE)="","",VLOOKUP($B53,'VoC Fuel'!$B$28:$O$126,8,FALSE) * (VLOOKUP($B$14,'Annual Parameters'!$B$33:$W$104,3,FALSE) / VLOOKUP('VoC Fuel'!$B$14,'Annual Parameters'!$B$33:$W$104,3,FALSE))))</f>
        <v>58.643957294761925</v>
      </c>
      <c r="J53" s="1654">
        <f>IF(ISERROR(VLOOKUP($B53,'VoC Fuel'!$B$28:$O$126,1,FALSE)),"",IF(VLOOKUP($B53,'VoC Fuel'!$B$28:$O$126,9,FALSE)="","",VLOOKUP($B53,'VoC Fuel'!$B$28:$O$126,9,FALSE) * (VLOOKUP($B$14,'Annual Parameters'!$B$33:$W$104,3,FALSE) / VLOOKUP('VoC Fuel'!$B$14,'Annual Parameters'!$B$33:$W$104,3,FALSE))))</f>
        <v>58.643957294761925</v>
      </c>
      <c r="K53" s="1654">
        <f>IF(ISERROR(VLOOKUP($B53,'VoC Fuel'!$B$28:$O$126,1,FALSE)),"",IF(VLOOKUP($B53,'VoC Fuel'!$B$28:$O$126,10,FALSE)="","",VLOOKUP($B53,'VoC Fuel'!$B$28:$O$126,10,FALSE) * (VLOOKUP($B$14,'Annual Parameters'!$B$33:$W$104,3,FALSE) / VLOOKUP('VoC Fuel'!$B$14,'Annual Parameters'!$B$33:$W$104,3,FALSE))))</f>
        <v>11.273402662012908</v>
      </c>
      <c r="L53" s="1257">
        <f>IF(ISERROR(VLOOKUP($B53,'VoC Fuel'!$B$28:$O$126,1,FALSE)),"",IF(VLOOKUP($B53,'VoC Fuel'!$B$28:$O$126,11,FALSE)="","",VLOOKUP($B53,'VoC Fuel'!$B$28:$O$126,11,FALSE) * (VLOOKUP($B$14,'Annual Parameters'!$B$33:$W$104,3,FALSE) / VLOOKUP('VoC Fuel'!$B$14,'Annual Parameters'!$B$33:$W$104,3,FALSE))))</f>
        <v>0</v>
      </c>
      <c r="M53" s="1256">
        <f>IF(ISERROR(VLOOKUP($B53,'VoC Fuel'!$B$28:$O$126,1,FALSE)),"",IF(VLOOKUP(B53,'VoC Fuel'!$B$28:$O$126,12,FALSE)="","",VLOOKUP(B53,'VoC Fuel'!$B$28:$O$126,12,FALSE)))</f>
        <v>20</v>
      </c>
      <c r="N53" s="1256">
        <f>IF(ISERROR(VLOOKUP($B53,'VoC Fuel'!$B$28:$O$126,1,FALSE)),"",IF(VLOOKUP($B53,'VoC Fuel'!$B$28:$O$126,13,FALSE)="","",VLOOKUP($B53,'VoC Fuel'!$B$28:$O$126,13,FALSE)))</f>
        <v>20</v>
      </c>
      <c r="O53" s="1256">
        <f>IF(ISERROR(VLOOKUP($B53,'VoC Fuel'!$B$28:$O$126,1,FALSE)),"",IF(VLOOKUP($B53,'VoC Fuel'!$B$28:$O$126,14,FALSE)="","",VLOOKUP($B53,'VoC Fuel'!$B$28:$O$126,14,FALSE)))</f>
        <v>5</v>
      </c>
      <c r="P53" s="14"/>
      <c r="Q53" s="14"/>
      <c r="R53" s="14"/>
      <c r="S53" s="14"/>
      <c r="T53" s="14"/>
      <c r="U53" s="14"/>
    </row>
    <row r="54" spans="2:21" ht="13.5" customHeight="1">
      <c r="B54" s="1589">
        <f t="shared" si="0"/>
        <v>2036</v>
      </c>
      <c r="C54" s="147"/>
      <c r="D54" s="51">
        <f>IF(ISERROR(VLOOKUP($B54,'VoC Fuel'!$B$28:$O$126,1,FALSE)),"",IF(VLOOKUP($B54,'VoC Fuel'!$B$28:$O$126,3,FALSE)="","",VLOOKUP($B54,'VoC Fuel'!$B$28:$O$126,3,FALSE) * (VLOOKUP($B$14,'Annual Parameters'!$B$33:$W$104,3,FALSE) / VLOOKUP('VoC Fuel'!$B$14,'Annual Parameters'!$B$33:$W$104,3,FALSE))))</f>
        <v>42.415831094542135</v>
      </c>
      <c r="E54" s="2158">
        <f>IF(ISERROR(VLOOKUP($B54,'VoC Fuel'!$B$28:$O$126,1,FALSE)),"",IF(VLOOKUP($B54,'VoC Fuel'!$B$28:$O$126,4,FALSE)="","",VLOOKUP($B54,'VoC Fuel'!$B$28:$O$126,4,FALSE) * (VLOOKUP($B$14,'Annual Parameters'!$B$33:$W$104,3,FALSE) / VLOOKUP('VoC Fuel'!$B$14,'Annual Parameters'!$B$33:$W$104,3,FALSE))))</f>
        <v>46.37706219646185</v>
      </c>
      <c r="F54" s="2160">
        <f>IF(ISERROR(VLOOKUP($B54,'VoC Fuel'!$B$28:$O$126,1,FALSE)),"",IF(VLOOKUP($B54,'VoC Fuel'!$B$28:$O$126,5,FALSE)="","",VLOOKUP($B54,'VoC Fuel'!$B$28:$O$126,5,FALSE) * (VLOOKUP($B$14,'Annual Parameters'!$B$33:$W$104,3,FALSE) / VLOOKUP('VoC Fuel'!$B$14,'Annual Parameters'!$B$33:$W$104,3,FALSE))))</f>
        <v>40.832242223684588</v>
      </c>
      <c r="G54" s="1654">
        <f>IF(ISERROR(VLOOKUP($B54,'VoC Fuel'!$B$28:$O$126,1,FALSE)),"",IF(VLOOKUP($B54,'VoC Fuel'!$B$28:$O$126,6,FALSE)="","",VLOOKUP($B54,'VoC Fuel'!$B$28:$O$126,6,FALSE) * (VLOOKUP($B$14,'Annual Parameters'!$B$33:$W$104,3,FALSE) / VLOOKUP('VoC Fuel'!$B$14,'Annual Parameters'!$B$33:$W$104,3,FALSE))))</f>
        <v>15.487670797843426</v>
      </c>
      <c r="H54" s="1590">
        <f>IF(ISERROR(VLOOKUP($B54,'VoC Fuel'!$B$28:$O$126,1,FALSE)),"",IF(VLOOKUP($B54,'VoC Fuel'!$B$28:$O$126,7,FALSE)="","",VLOOKUP($B54,'VoC Fuel'!$B$28:$O$126,7,FALSE) * (VLOOKUP($B$14,'Annual Parameters'!$B$33:$W$104,3,FALSE) / VLOOKUP('VoC Fuel'!$B$14,'Annual Parameters'!$B$33:$W$104,3,FALSE))))</f>
        <v>11.045016676639516</v>
      </c>
      <c r="I54" s="1654">
        <f>IF(ISERROR(VLOOKUP($B54,'VoC Fuel'!$B$28:$O$126,1,FALSE)),"",IF(VLOOKUP($B54,'VoC Fuel'!$B$28:$O$126,8,FALSE)="","",VLOOKUP($B54,'VoC Fuel'!$B$28:$O$126,8,FALSE) * (VLOOKUP($B$14,'Annual Parameters'!$B$33:$W$104,3,FALSE) / VLOOKUP('VoC Fuel'!$B$14,'Annual Parameters'!$B$33:$W$104,3,FALSE))))</f>
        <v>59.139032108147838</v>
      </c>
      <c r="J54" s="1654">
        <f>IF(ISERROR(VLOOKUP($B54,'VoC Fuel'!$B$28:$O$126,1,FALSE)),"",IF(VLOOKUP($B54,'VoC Fuel'!$B$28:$O$126,9,FALSE)="","",VLOOKUP($B54,'VoC Fuel'!$B$28:$O$126,9,FALSE) * (VLOOKUP($B$14,'Annual Parameters'!$B$33:$W$104,3,FALSE) / VLOOKUP('VoC Fuel'!$B$14,'Annual Parameters'!$B$33:$W$104,3,FALSE))))</f>
        <v>59.139032108147838</v>
      </c>
      <c r="K54" s="1654">
        <f>IF(ISERROR(VLOOKUP($B54,'VoC Fuel'!$B$28:$O$126,1,FALSE)),"",IF(VLOOKUP($B54,'VoC Fuel'!$B$28:$O$126,10,FALSE)="","",VLOOKUP($B54,'VoC Fuel'!$B$28:$O$126,10,FALSE) * (VLOOKUP($B$14,'Annual Parameters'!$B$33:$W$104,3,FALSE) / VLOOKUP('VoC Fuel'!$B$14,'Annual Parameters'!$B$33:$W$104,3,FALSE))))</f>
        <v>11.36857321285189</v>
      </c>
      <c r="L54" s="1257">
        <f>IF(ISERROR(VLOOKUP($B54,'VoC Fuel'!$B$28:$O$126,1,FALSE)),"",IF(VLOOKUP($B54,'VoC Fuel'!$B$28:$O$126,11,FALSE)="","",VLOOKUP($B54,'VoC Fuel'!$B$28:$O$126,11,FALSE) * (VLOOKUP($B$14,'Annual Parameters'!$B$33:$W$104,3,FALSE) / VLOOKUP('VoC Fuel'!$B$14,'Annual Parameters'!$B$33:$W$104,3,FALSE))))</f>
        <v>0</v>
      </c>
      <c r="M54" s="1256">
        <f>IF(ISERROR(VLOOKUP($B54,'VoC Fuel'!$B$28:$O$126,1,FALSE)),"",IF(VLOOKUP(B54,'VoC Fuel'!$B$28:$O$126,12,FALSE)="","",VLOOKUP(B54,'VoC Fuel'!$B$28:$O$126,12,FALSE)))</f>
        <v>20</v>
      </c>
      <c r="N54" s="1256">
        <f>IF(ISERROR(VLOOKUP($B54,'VoC Fuel'!$B$28:$O$126,1,FALSE)),"",IF(VLOOKUP($B54,'VoC Fuel'!$B$28:$O$126,13,FALSE)="","",VLOOKUP($B54,'VoC Fuel'!$B$28:$O$126,13,FALSE)))</f>
        <v>20</v>
      </c>
      <c r="O54" s="1256">
        <f>IF(ISERROR(VLOOKUP($B54,'VoC Fuel'!$B$28:$O$126,1,FALSE)),"",IF(VLOOKUP($B54,'VoC Fuel'!$B$28:$O$126,14,FALSE)="","",VLOOKUP($B54,'VoC Fuel'!$B$28:$O$126,14,FALSE)))</f>
        <v>5</v>
      </c>
      <c r="P54" s="14"/>
      <c r="Q54" s="14"/>
      <c r="R54" s="14"/>
      <c r="S54" s="14"/>
      <c r="T54" s="14"/>
      <c r="U54" s="14"/>
    </row>
    <row r="55" spans="2:21" ht="13.5" customHeight="1">
      <c r="B55" s="1589">
        <f t="shared" si="0"/>
        <v>2037</v>
      </c>
      <c r="C55" s="147"/>
      <c r="D55" s="51">
        <f>IF(ISERROR(VLOOKUP($B55,'VoC Fuel'!$B$28:$O$126,1,FALSE)),"",IF(VLOOKUP($B55,'VoC Fuel'!$B$28:$O$126,3,FALSE)="","",VLOOKUP($B55,'VoC Fuel'!$B$28:$O$126,3,FALSE) * (VLOOKUP($B$14,'Annual Parameters'!$B$33:$W$104,3,FALSE) / VLOOKUP('VoC Fuel'!$B$14,'Annual Parameters'!$B$33:$W$104,3,FALSE))))</f>
        <v>42.415831094542135</v>
      </c>
      <c r="E55" s="2158">
        <f>IF(ISERROR(VLOOKUP($B55,'VoC Fuel'!$B$28:$O$126,1,FALSE)),"",IF(VLOOKUP($B55,'VoC Fuel'!$B$28:$O$126,4,FALSE)="","",VLOOKUP($B55,'VoC Fuel'!$B$28:$O$126,4,FALSE) * (VLOOKUP($B$14,'Annual Parameters'!$B$33:$W$104,3,FALSE) / VLOOKUP('VoC Fuel'!$B$14,'Annual Parameters'!$B$33:$W$104,3,FALSE))))</f>
        <v>46.37706219646185</v>
      </c>
      <c r="F55" s="2160">
        <f>IF(ISERROR(VLOOKUP($B55,'VoC Fuel'!$B$28:$O$126,1,FALSE)),"",IF(VLOOKUP($B55,'VoC Fuel'!$B$28:$O$126,5,FALSE)="","",VLOOKUP($B55,'VoC Fuel'!$B$28:$O$126,5,FALSE) * (VLOOKUP($B$14,'Annual Parameters'!$B$33:$W$104,3,FALSE) / VLOOKUP('VoC Fuel'!$B$14,'Annual Parameters'!$B$33:$W$104,3,FALSE))))</f>
        <v>40.832242223684588</v>
      </c>
      <c r="G55" s="1654">
        <f>IF(ISERROR(VLOOKUP($B55,'VoC Fuel'!$B$28:$O$126,1,FALSE)),"",IF(VLOOKUP($B55,'VoC Fuel'!$B$28:$O$126,6,FALSE)="","",VLOOKUP($B55,'VoC Fuel'!$B$28:$O$126,6,FALSE) * (VLOOKUP($B$14,'Annual Parameters'!$B$33:$W$104,3,FALSE) / VLOOKUP('VoC Fuel'!$B$14,'Annual Parameters'!$B$33:$W$104,3,FALSE))))</f>
        <v>15.487670797843426</v>
      </c>
      <c r="H55" s="1590">
        <f>IF(ISERROR(VLOOKUP($B55,'VoC Fuel'!$B$28:$O$126,1,FALSE)),"",IF(VLOOKUP($B55,'VoC Fuel'!$B$28:$O$126,7,FALSE)="","",VLOOKUP($B55,'VoC Fuel'!$B$28:$O$126,7,FALSE) * (VLOOKUP($B$14,'Annual Parameters'!$B$33:$W$104,3,FALSE) / VLOOKUP('VoC Fuel'!$B$14,'Annual Parameters'!$B$33:$W$104,3,FALSE))))</f>
        <v>11.045016676639516</v>
      </c>
      <c r="I55" s="1654">
        <f>IF(ISERROR(VLOOKUP($B55,'VoC Fuel'!$B$28:$O$126,1,FALSE)),"",IF(VLOOKUP($B55,'VoC Fuel'!$B$28:$O$126,8,FALSE)="","",VLOOKUP($B55,'VoC Fuel'!$B$28:$O$126,8,FALSE) * (VLOOKUP($B$14,'Annual Parameters'!$B$33:$W$104,3,FALSE) / VLOOKUP('VoC Fuel'!$B$14,'Annual Parameters'!$B$33:$W$104,3,FALSE))))</f>
        <v>59.635963903811032</v>
      </c>
      <c r="J55" s="1654">
        <f>IF(ISERROR(VLOOKUP($B55,'VoC Fuel'!$B$28:$O$126,1,FALSE)),"",IF(VLOOKUP($B55,'VoC Fuel'!$B$28:$O$126,9,FALSE)="","",VLOOKUP($B55,'VoC Fuel'!$B$28:$O$126,9,FALSE) * (VLOOKUP($B$14,'Annual Parameters'!$B$33:$W$104,3,FALSE) / VLOOKUP('VoC Fuel'!$B$14,'Annual Parameters'!$B$33:$W$104,3,FALSE))))</f>
        <v>59.635963903811032</v>
      </c>
      <c r="K55" s="1654">
        <f>IF(ISERROR(VLOOKUP($B55,'VoC Fuel'!$B$28:$O$126,1,FALSE)),"",IF(VLOOKUP($B55,'VoC Fuel'!$B$28:$O$126,10,FALSE)="","",VLOOKUP($B55,'VoC Fuel'!$B$28:$O$126,10,FALSE) * (VLOOKUP($B$14,'Annual Parameters'!$B$33:$W$104,3,FALSE) / VLOOKUP('VoC Fuel'!$B$14,'Annual Parameters'!$B$33:$W$104,3,FALSE))))</f>
        <v>11.464100740094134</v>
      </c>
      <c r="L55" s="1257">
        <f>IF(ISERROR(VLOOKUP($B55,'VoC Fuel'!$B$28:$O$126,1,FALSE)),"",IF(VLOOKUP($B55,'VoC Fuel'!$B$28:$O$126,11,FALSE)="","",VLOOKUP($B55,'VoC Fuel'!$B$28:$O$126,11,FALSE) * (VLOOKUP($B$14,'Annual Parameters'!$B$33:$W$104,3,FALSE) / VLOOKUP('VoC Fuel'!$B$14,'Annual Parameters'!$B$33:$W$104,3,FALSE))))</f>
        <v>0</v>
      </c>
      <c r="M55" s="1256">
        <f>IF(ISERROR(VLOOKUP($B55,'VoC Fuel'!$B$28:$O$126,1,FALSE)),"",IF(VLOOKUP(B55,'VoC Fuel'!$B$28:$O$126,12,FALSE)="","",VLOOKUP(B55,'VoC Fuel'!$B$28:$O$126,12,FALSE)))</f>
        <v>20</v>
      </c>
      <c r="N55" s="1256">
        <f>IF(ISERROR(VLOOKUP($B55,'VoC Fuel'!$B$28:$O$126,1,FALSE)),"",IF(VLOOKUP($B55,'VoC Fuel'!$B$28:$O$126,13,FALSE)="","",VLOOKUP($B55,'VoC Fuel'!$B$28:$O$126,13,FALSE)))</f>
        <v>20</v>
      </c>
      <c r="O55" s="1256">
        <f>IF(ISERROR(VLOOKUP($B55,'VoC Fuel'!$B$28:$O$126,1,FALSE)),"",IF(VLOOKUP($B55,'VoC Fuel'!$B$28:$O$126,14,FALSE)="","",VLOOKUP($B55,'VoC Fuel'!$B$28:$O$126,14,FALSE)))</f>
        <v>5</v>
      </c>
      <c r="P55" s="14"/>
      <c r="Q55" s="14"/>
      <c r="R55" s="14"/>
      <c r="S55" s="14"/>
      <c r="T55" s="14"/>
      <c r="U55" s="14"/>
    </row>
    <row r="56" spans="2:21" ht="13.5" customHeight="1">
      <c r="B56" s="1589">
        <f t="shared" si="0"/>
        <v>2038</v>
      </c>
      <c r="C56" s="147"/>
      <c r="D56" s="51">
        <f>IF(ISERROR(VLOOKUP($B56,'VoC Fuel'!$B$28:$O$126,1,FALSE)),"",IF(VLOOKUP($B56,'VoC Fuel'!$B$28:$O$126,3,FALSE)="","",VLOOKUP($B56,'VoC Fuel'!$B$28:$O$126,3,FALSE) * (VLOOKUP($B$14,'Annual Parameters'!$B$33:$W$104,3,FALSE) / VLOOKUP('VoC Fuel'!$B$14,'Annual Parameters'!$B$33:$W$104,3,FALSE))))</f>
        <v>42.415831094542135</v>
      </c>
      <c r="E56" s="2158">
        <f>IF(ISERROR(VLOOKUP($B56,'VoC Fuel'!$B$28:$O$126,1,FALSE)),"",IF(VLOOKUP($B56,'VoC Fuel'!$B$28:$O$126,4,FALSE)="","",VLOOKUP($B56,'VoC Fuel'!$B$28:$O$126,4,FALSE) * (VLOOKUP($B$14,'Annual Parameters'!$B$33:$W$104,3,FALSE) / VLOOKUP('VoC Fuel'!$B$14,'Annual Parameters'!$B$33:$W$104,3,FALSE))))</f>
        <v>46.37706219646185</v>
      </c>
      <c r="F56" s="2160">
        <f>IF(ISERROR(VLOOKUP($B56,'VoC Fuel'!$B$28:$O$126,1,FALSE)),"",IF(VLOOKUP($B56,'VoC Fuel'!$B$28:$O$126,5,FALSE)="","",VLOOKUP($B56,'VoC Fuel'!$B$28:$O$126,5,FALSE) * (VLOOKUP($B$14,'Annual Parameters'!$B$33:$W$104,3,FALSE) / VLOOKUP('VoC Fuel'!$B$14,'Annual Parameters'!$B$33:$W$104,3,FALSE))))</f>
        <v>40.832242223684588</v>
      </c>
      <c r="G56" s="1654">
        <f>IF(ISERROR(VLOOKUP($B56,'VoC Fuel'!$B$28:$O$126,1,FALSE)),"",IF(VLOOKUP($B56,'VoC Fuel'!$B$28:$O$126,6,FALSE)="","",VLOOKUP($B56,'VoC Fuel'!$B$28:$O$126,6,FALSE) * (VLOOKUP($B$14,'Annual Parameters'!$B$33:$W$104,3,FALSE) / VLOOKUP('VoC Fuel'!$B$14,'Annual Parameters'!$B$33:$W$104,3,FALSE))))</f>
        <v>15.487670797843426</v>
      </c>
      <c r="H56" s="1590">
        <f>IF(ISERROR(VLOOKUP($B56,'VoC Fuel'!$B$28:$O$126,1,FALSE)),"",IF(VLOOKUP($B56,'VoC Fuel'!$B$28:$O$126,7,FALSE)="","",VLOOKUP($B56,'VoC Fuel'!$B$28:$O$126,7,FALSE) * (VLOOKUP($B$14,'Annual Parameters'!$B$33:$W$104,3,FALSE) / VLOOKUP('VoC Fuel'!$B$14,'Annual Parameters'!$B$33:$W$104,3,FALSE))))</f>
        <v>11.045016676639516</v>
      </c>
      <c r="I56" s="1654">
        <f>IF(ISERROR(VLOOKUP($B56,'VoC Fuel'!$B$28:$O$126,1,FALSE)),"",IF(VLOOKUP($B56,'VoC Fuel'!$B$28:$O$126,8,FALSE)="","",VLOOKUP($B56,'VoC Fuel'!$B$28:$O$126,8,FALSE) * (VLOOKUP($B$14,'Annual Parameters'!$B$33:$W$104,3,FALSE) / VLOOKUP('VoC Fuel'!$B$14,'Annual Parameters'!$B$33:$W$104,3,FALSE))))</f>
        <v>60.134906303976898</v>
      </c>
      <c r="J56" s="1654">
        <f>IF(ISERROR(VLOOKUP($B56,'VoC Fuel'!$B$28:$O$126,1,FALSE)),"",IF(VLOOKUP($B56,'VoC Fuel'!$B$28:$O$126,9,FALSE)="","",VLOOKUP($B56,'VoC Fuel'!$B$28:$O$126,9,FALSE) * (VLOOKUP($B$14,'Annual Parameters'!$B$33:$W$104,3,FALSE) / VLOOKUP('VoC Fuel'!$B$14,'Annual Parameters'!$B$33:$W$104,3,FALSE))))</f>
        <v>60.134906303976898</v>
      </c>
      <c r="K56" s="1654">
        <f>IF(ISERROR(VLOOKUP($B56,'VoC Fuel'!$B$28:$O$126,1,FALSE)),"",IF(VLOOKUP($B56,'VoC Fuel'!$B$28:$O$126,10,FALSE)="","",VLOOKUP($B56,'VoC Fuel'!$B$28:$O$126,10,FALSE) * (VLOOKUP($B$14,'Annual Parameters'!$B$33:$W$104,3,FALSE) / VLOOKUP('VoC Fuel'!$B$14,'Annual Parameters'!$B$33:$W$104,3,FALSE))))</f>
        <v>11.560014775259752</v>
      </c>
      <c r="L56" s="1257">
        <f>IF(ISERROR(VLOOKUP($B56,'VoC Fuel'!$B$28:$O$126,1,FALSE)),"",IF(VLOOKUP($B56,'VoC Fuel'!$B$28:$O$126,11,FALSE)="","",VLOOKUP($B56,'VoC Fuel'!$B$28:$O$126,11,FALSE) * (VLOOKUP($B$14,'Annual Parameters'!$B$33:$W$104,3,FALSE) / VLOOKUP('VoC Fuel'!$B$14,'Annual Parameters'!$B$33:$W$104,3,FALSE))))</f>
        <v>0</v>
      </c>
      <c r="M56" s="1256">
        <f>IF(ISERROR(VLOOKUP($B56,'VoC Fuel'!$B$28:$O$126,1,FALSE)),"",IF(VLOOKUP(B56,'VoC Fuel'!$B$28:$O$126,12,FALSE)="","",VLOOKUP(B56,'VoC Fuel'!$B$28:$O$126,12,FALSE)))</f>
        <v>20</v>
      </c>
      <c r="N56" s="1256">
        <f>IF(ISERROR(VLOOKUP($B56,'VoC Fuel'!$B$28:$O$126,1,FALSE)),"",IF(VLOOKUP($B56,'VoC Fuel'!$B$28:$O$126,13,FALSE)="","",VLOOKUP($B56,'VoC Fuel'!$B$28:$O$126,13,FALSE)))</f>
        <v>20</v>
      </c>
      <c r="O56" s="1256">
        <f>IF(ISERROR(VLOOKUP($B56,'VoC Fuel'!$B$28:$O$126,1,FALSE)),"",IF(VLOOKUP($B56,'VoC Fuel'!$B$28:$O$126,14,FALSE)="","",VLOOKUP($B56,'VoC Fuel'!$B$28:$O$126,14,FALSE)))</f>
        <v>5</v>
      </c>
      <c r="P56" s="14"/>
      <c r="Q56" s="14"/>
      <c r="R56" s="14"/>
      <c r="S56" s="14"/>
      <c r="T56" s="14"/>
      <c r="U56" s="14"/>
    </row>
    <row r="57" spans="2:21" ht="13.5" customHeight="1">
      <c r="B57" s="1589">
        <f t="shared" si="0"/>
        <v>2039</v>
      </c>
      <c r="C57" s="147"/>
      <c r="D57" s="51">
        <f>IF(ISERROR(VLOOKUP($B57,'VoC Fuel'!$B$28:$O$126,1,FALSE)),"",IF(VLOOKUP($B57,'VoC Fuel'!$B$28:$O$126,3,FALSE)="","",VLOOKUP($B57,'VoC Fuel'!$B$28:$O$126,3,FALSE) * (VLOOKUP($B$14,'Annual Parameters'!$B$33:$W$104,3,FALSE) / VLOOKUP('VoC Fuel'!$B$14,'Annual Parameters'!$B$33:$W$104,3,FALSE))))</f>
        <v>42.415831094542135</v>
      </c>
      <c r="E57" s="2158">
        <f>IF(ISERROR(VLOOKUP($B57,'VoC Fuel'!$B$28:$O$126,1,FALSE)),"",IF(VLOOKUP($B57,'VoC Fuel'!$B$28:$O$126,4,FALSE)="","",VLOOKUP($B57,'VoC Fuel'!$B$28:$O$126,4,FALSE) * (VLOOKUP($B$14,'Annual Parameters'!$B$33:$W$104,3,FALSE) / VLOOKUP('VoC Fuel'!$B$14,'Annual Parameters'!$B$33:$W$104,3,FALSE))))</f>
        <v>46.37706219646185</v>
      </c>
      <c r="F57" s="2160">
        <f>IF(ISERROR(VLOOKUP($B57,'VoC Fuel'!$B$28:$O$126,1,FALSE)),"",IF(VLOOKUP($B57,'VoC Fuel'!$B$28:$O$126,5,FALSE)="","",VLOOKUP($B57,'VoC Fuel'!$B$28:$O$126,5,FALSE) * (VLOOKUP($B$14,'Annual Parameters'!$B$33:$W$104,3,FALSE) / VLOOKUP('VoC Fuel'!$B$14,'Annual Parameters'!$B$33:$W$104,3,FALSE))))</f>
        <v>40.832242223684588</v>
      </c>
      <c r="G57" s="1654">
        <f>IF(ISERROR(VLOOKUP($B57,'VoC Fuel'!$B$28:$O$126,1,FALSE)),"",IF(VLOOKUP($B57,'VoC Fuel'!$B$28:$O$126,6,FALSE)="","",VLOOKUP($B57,'VoC Fuel'!$B$28:$O$126,6,FALSE) * (VLOOKUP($B$14,'Annual Parameters'!$B$33:$W$104,3,FALSE) / VLOOKUP('VoC Fuel'!$B$14,'Annual Parameters'!$B$33:$W$104,3,FALSE))))</f>
        <v>15.487670797843426</v>
      </c>
      <c r="H57" s="1590">
        <f>IF(ISERROR(VLOOKUP($B57,'VoC Fuel'!$B$28:$O$126,1,FALSE)),"",IF(VLOOKUP($B57,'VoC Fuel'!$B$28:$O$126,7,FALSE)="","",VLOOKUP($B57,'VoC Fuel'!$B$28:$O$126,7,FALSE) * (VLOOKUP($B$14,'Annual Parameters'!$B$33:$W$104,3,FALSE) / VLOOKUP('VoC Fuel'!$B$14,'Annual Parameters'!$B$33:$W$104,3,FALSE))))</f>
        <v>11.045016676639516</v>
      </c>
      <c r="I57" s="1654">
        <f>IF(ISERROR(VLOOKUP($B57,'VoC Fuel'!$B$28:$O$126,1,FALSE)),"",IF(VLOOKUP($B57,'VoC Fuel'!$B$28:$O$126,8,FALSE)="","",VLOOKUP($B57,'VoC Fuel'!$B$28:$O$126,8,FALSE) * (VLOOKUP($B$14,'Annual Parameters'!$B$33:$W$104,3,FALSE) / VLOOKUP('VoC Fuel'!$B$14,'Annual Parameters'!$B$33:$W$104,3,FALSE))))</f>
        <v>60.589719869224155</v>
      </c>
      <c r="J57" s="1654">
        <f>IF(ISERROR(VLOOKUP($B57,'VoC Fuel'!$B$28:$O$126,1,FALSE)),"",IF(VLOOKUP($B57,'VoC Fuel'!$B$28:$O$126,9,FALSE)="","",VLOOKUP($B57,'VoC Fuel'!$B$28:$O$126,9,FALSE) * (VLOOKUP($B$14,'Annual Parameters'!$B$33:$W$104,3,FALSE) / VLOOKUP('VoC Fuel'!$B$14,'Annual Parameters'!$B$33:$W$104,3,FALSE))))</f>
        <v>60.589719869224155</v>
      </c>
      <c r="K57" s="1654">
        <f>IF(ISERROR(VLOOKUP($B57,'VoC Fuel'!$B$28:$O$126,1,FALSE)),"",IF(VLOOKUP($B57,'VoC Fuel'!$B$28:$O$126,10,FALSE)="","",VLOOKUP($B57,'VoC Fuel'!$B$28:$O$126,10,FALSE) * (VLOOKUP($B$14,'Annual Parameters'!$B$33:$W$104,3,FALSE) / VLOOKUP('VoC Fuel'!$B$14,'Annual Parameters'!$B$33:$W$104,3,FALSE))))</f>
        <v>11.647445717742144</v>
      </c>
      <c r="L57" s="1257">
        <f>IF(ISERROR(VLOOKUP($B57,'VoC Fuel'!$B$28:$O$126,1,FALSE)),"",IF(VLOOKUP($B57,'VoC Fuel'!$B$28:$O$126,11,FALSE)="","",VLOOKUP($B57,'VoC Fuel'!$B$28:$O$126,11,FALSE) * (VLOOKUP($B$14,'Annual Parameters'!$B$33:$W$104,3,FALSE) / VLOOKUP('VoC Fuel'!$B$14,'Annual Parameters'!$B$33:$W$104,3,FALSE))))</f>
        <v>0</v>
      </c>
      <c r="M57" s="1256">
        <f>IF(ISERROR(VLOOKUP($B57,'VoC Fuel'!$B$28:$O$126,1,FALSE)),"",IF(VLOOKUP(B57,'VoC Fuel'!$B$28:$O$126,12,FALSE)="","",VLOOKUP(B57,'VoC Fuel'!$B$28:$O$126,12,FALSE)))</f>
        <v>20</v>
      </c>
      <c r="N57" s="1256">
        <f>IF(ISERROR(VLOOKUP($B57,'VoC Fuel'!$B$28:$O$126,1,FALSE)),"",IF(VLOOKUP($B57,'VoC Fuel'!$B$28:$O$126,13,FALSE)="","",VLOOKUP($B57,'VoC Fuel'!$B$28:$O$126,13,FALSE)))</f>
        <v>20</v>
      </c>
      <c r="O57" s="1256">
        <f>IF(ISERROR(VLOOKUP($B57,'VoC Fuel'!$B$28:$O$126,1,FALSE)),"",IF(VLOOKUP($B57,'VoC Fuel'!$B$28:$O$126,14,FALSE)="","",VLOOKUP($B57,'VoC Fuel'!$B$28:$O$126,14,FALSE)))</f>
        <v>5</v>
      </c>
      <c r="P57" s="14"/>
      <c r="Q57" s="14"/>
      <c r="R57" s="14"/>
      <c r="S57" s="14"/>
      <c r="T57" s="14"/>
      <c r="U57" s="14"/>
    </row>
    <row r="58" spans="2:21" ht="13.5" customHeight="1">
      <c r="B58" s="1589">
        <f t="shared" si="0"/>
        <v>2040</v>
      </c>
      <c r="C58" s="147"/>
      <c r="D58" s="51">
        <f>IF(ISERROR(VLOOKUP($B58,'VoC Fuel'!$B$28:$O$126,1,FALSE)),"",IF(VLOOKUP($B58,'VoC Fuel'!$B$28:$O$126,3,FALSE)="","",VLOOKUP($B58,'VoC Fuel'!$B$28:$O$126,3,FALSE) * (VLOOKUP($B$14,'Annual Parameters'!$B$33:$W$104,3,FALSE) / VLOOKUP('VoC Fuel'!$B$14,'Annual Parameters'!$B$33:$W$104,3,FALSE))))</f>
        <v>42.415831094542135</v>
      </c>
      <c r="E58" s="2158">
        <f>IF(ISERROR(VLOOKUP($B58,'VoC Fuel'!$B$28:$O$126,1,FALSE)),"",IF(VLOOKUP($B58,'VoC Fuel'!$B$28:$O$126,4,FALSE)="","",VLOOKUP($B58,'VoC Fuel'!$B$28:$O$126,4,FALSE) * (VLOOKUP($B$14,'Annual Parameters'!$B$33:$W$104,3,FALSE) / VLOOKUP('VoC Fuel'!$B$14,'Annual Parameters'!$B$33:$W$104,3,FALSE))))</f>
        <v>46.37706219646185</v>
      </c>
      <c r="F58" s="2160">
        <f>IF(ISERROR(VLOOKUP($B58,'VoC Fuel'!$B$28:$O$126,1,FALSE)),"",IF(VLOOKUP($B58,'VoC Fuel'!$B$28:$O$126,5,FALSE)="","",VLOOKUP($B58,'VoC Fuel'!$B$28:$O$126,5,FALSE) * (VLOOKUP($B$14,'Annual Parameters'!$B$33:$W$104,3,FALSE) / VLOOKUP('VoC Fuel'!$B$14,'Annual Parameters'!$B$33:$W$104,3,FALSE))))</f>
        <v>40.832242223684588</v>
      </c>
      <c r="G58" s="1654">
        <f>IF(ISERROR(VLOOKUP($B58,'VoC Fuel'!$B$28:$O$126,1,FALSE)),"",IF(VLOOKUP($B58,'VoC Fuel'!$B$28:$O$126,6,FALSE)="","",VLOOKUP($B58,'VoC Fuel'!$B$28:$O$126,6,FALSE) * (VLOOKUP($B$14,'Annual Parameters'!$B$33:$W$104,3,FALSE) / VLOOKUP('VoC Fuel'!$B$14,'Annual Parameters'!$B$33:$W$104,3,FALSE))))</f>
        <v>15.487670797843426</v>
      </c>
      <c r="H58" s="1590">
        <f>IF(ISERROR(VLOOKUP($B58,'VoC Fuel'!$B$28:$O$126,1,FALSE)),"",IF(VLOOKUP($B58,'VoC Fuel'!$B$28:$O$126,7,FALSE)="","",VLOOKUP($B58,'VoC Fuel'!$B$28:$O$126,7,FALSE) * (VLOOKUP($B$14,'Annual Parameters'!$B$33:$W$104,3,FALSE) / VLOOKUP('VoC Fuel'!$B$14,'Annual Parameters'!$B$33:$W$104,3,FALSE))))</f>
        <v>11.045016676639516</v>
      </c>
      <c r="I58" s="1654">
        <f>IF(ISERROR(VLOOKUP($B58,'VoC Fuel'!$B$28:$O$126,1,FALSE)),"",IF(VLOOKUP($B58,'VoC Fuel'!$B$28:$O$126,8,FALSE)="","",VLOOKUP($B58,'VoC Fuel'!$B$28:$O$126,8,FALSE) * (VLOOKUP($B$14,'Annual Parameters'!$B$33:$W$104,3,FALSE) / VLOOKUP('VoC Fuel'!$B$14,'Annual Parameters'!$B$33:$W$104,3,FALSE))))</f>
        <v>61.004312282796562</v>
      </c>
      <c r="J58" s="1654">
        <f>IF(ISERROR(VLOOKUP($B58,'VoC Fuel'!$B$28:$O$126,1,FALSE)),"",IF(VLOOKUP($B58,'VoC Fuel'!$B$28:$O$126,9,FALSE)="","",VLOOKUP($B58,'VoC Fuel'!$B$28:$O$126,9,FALSE) * (VLOOKUP($B$14,'Annual Parameters'!$B$33:$W$104,3,FALSE) / VLOOKUP('VoC Fuel'!$B$14,'Annual Parameters'!$B$33:$W$104,3,FALSE))))</f>
        <v>61.004312282796562</v>
      </c>
      <c r="K58" s="1654">
        <f>IF(ISERROR(VLOOKUP($B58,'VoC Fuel'!$B$28:$O$126,1,FALSE)),"",IF(VLOOKUP($B58,'VoC Fuel'!$B$28:$O$126,10,FALSE)="","",VLOOKUP($B58,'VoC Fuel'!$B$28:$O$126,10,FALSE) * (VLOOKUP($B$14,'Annual Parameters'!$B$33:$W$104,3,FALSE) / VLOOKUP('VoC Fuel'!$B$14,'Annual Parameters'!$B$33:$W$104,3,FALSE))))</f>
        <v>11.72714475979903</v>
      </c>
      <c r="L58" s="1257">
        <f>IF(ISERROR(VLOOKUP($B58,'VoC Fuel'!$B$28:$O$126,1,FALSE)),"",IF(VLOOKUP($B58,'VoC Fuel'!$B$28:$O$126,11,FALSE)="","",VLOOKUP($B58,'VoC Fuel'!$B$28:$O$126,11,FALSE) * (VLOOKUP($B$14,'Annual Parameters'!$B$33:$W$104,3,FALSE) / VLOOKUP('VoC Fuel'!$B$14,'Annual Parameters'!$B$33:$W$104,3,FALSE))))</f>
        <v>0</v>
      </c>
      <c r="M58" s="1256">
        <f>IF(ISERROR(VLOOKUP($B58,'VoC Fuel'!$B$28:$O$126,1,FALSE)),"",IF(VLOOKUP(B58,'VoC Fuel'!$B$28:$O$126,12,FALSE)="","",VLOOKUP(B58,'VoC Fuel'!$B$28:$O$126,12,FALSE)))</f>
        <v>20</v>
      </c>
      <c r="N58" s="1256">
        <f>IF(ISERROR(VLOOKUP($B58,'VoC Fuel'!$B$28:$O$126,1,FALSE)),"",IF(VLOOKUP($B58,'VoC Fuel'!$B$28:$O$126,13,FALSE)="","",VLOOKUP($B58,'VoC Fuel'!$B$28:$O$126,13,FALSE)))</f>
        <v>20</v>
      </c>
      <c r="O58" s="1256">
        <f>IF(ISERROR(VLOOKUP($B58,'VoC Fuel'!$B$28:$O$126,1,FALSE)),"",IF(VLOOKUP($B58,'VoC Fuel'!$B$28:$O$126,14,FALSE)="","",VLOOKUP($B58,'VoC Fuel'!$B$28:$O$126,14,FALSE)))</f>
        <v>5</v>
      </c>
      <c r="P58" s="14"/>
      <c r="Q58" s="14"/>
      <c r="R58" s="14"/>
      <c r="S58" s="14"/>
      <c r="T58" s="14"/>
      <c r="U58" s="14"/>
    </row>
    <row r="59" spans="2:21" ht="13.5" customHeight="1">
      <c r="B59" s="1589">
        <f t="shared" si="0"/>
        <v>2041</v>
      </c>
      <c r="C59" s="147"/>
      <c r="D59" s="51">
        <f>IF(ISERROR(VLOOKUP($B59,'VoC Fuel'!$B$28:$O$126,1,FALSE)),"",IF(VLOOKUP($B59,'VoC Fuel'!$B$28:$O$126,3,FALSE)="","",VLOOKUP($B59,'VoC Fuel'!$B$28:$O$126,3,FALSE) * (VLOOKUP($B$14,'Annual Parameters'!$B$33:$W$104,3,FALSE) / VLOOKUP('VoC Fuel'!$B$14,'Annual Parameters'!$B$33:$W$104,3,FALSE))))</f>
        <v>42.415831094542135</v>
      </c>
      <c r="E59" s="2158">
        <f>IF(ISERROR(VLOOKUP($B59,'VoC Fuel'!$B$28:$O$126,1,FALSE)),"",IF(VLOOKUP($B59,'VoC Fuel'!$B$28:$O$126,4,FALSE)="","",VLOOKUP($B59,'VoC Fuel'!$B$28:$O$126,4,FALSE) * (VLOOKUP($B$14,'Annual Parameters'!$B$33:$W$104,3,FALSE) / VLOOKUP('VoC Fuel'!$B$14,'Annual Parameters'!$B$33:$W$104,3,FALSE))))</f>
        <v>46.37706219646185</v>
      </c>
      <c r="F59" s="2160">
        <f>IF(ISERROR(VLOOKUP($B59,'VoC Fuel'!$B$28:$O$126,1,FALSE)),"",IF(VLOOKUP($B59,'VoC Fuel'!$B$28:$O$126,5,FALSE)="","",VLOOKUP($B59,'VoC Fuel'!$B$28:$O$126,5,FALSE) * (VLOOKUP($B$14,'Annual Parameters'!$B$33:$W$104,3,FALSE) / VLOOKUP('VoC Fuel'!$B$14,'Annual Parameters'!$B$33:$W$104,3,FALSE))))</f>
        <v>40.832242223684588</v>
      </c>
      <c r="G59" s="1654">
        <f>IF(ISERROR(VLOOKUP($B59,'VoC Fuel'!$B$28:$O$126,1,FALSE)),"",IF(VLOOKUP($B59,'VoC Fuel'!$B$28:$O$126,6,FALSE)="","",VLOOKUP($B59,'VoC Fuel'!$B$28:$O$126,6,FALSE) * (VLOOKUP($B$14,'Annual Parameters'!$B$33:$W$104,3,FALSE) / VLOOKUP('VoC Fuel'!$B$14,'Annual Parameters'!$B$33:$W$104,3,FALSE))))</f>
        <v>15.487670797843426</v>
      </c>
      <c r="H59" s="1590">
        <f>IF(ISERROR(VLOOKUP($B59,'VoC Fuel'!$B$28:$O$126,1,FALSE)),"",IF(VLOOKUP($B59,'VoC Fuel'!$B$28:$O$126,7,FALSE)="","",VLOOKUP($B59,'VoC Fuel'!$B$28:$O$126,7,FALSE) * (VLOOKUP($B$14,'Annual Parameters'!$B$33:$W$104,3,FALSE) / VLOOKUP('VoC Fuel'!$B$14,'Annual Parameters'!$B$33:$W$104,3,FALSE))))</f>
        <v>11.045016676639516</v>
      </c>
      <c r="I59" s="1654">
        <f>IF(ISERROR(VLOOKUP($B59,'VoC Fuel'!$B$28:$O$126,1,FALSE)),"",IF(VLOOKUP($B59,'VoC Fuel'!$B$28:$O$126,8,FALSE)="","",VLOOKUP($B59,'VoC Fuel'!$B$28:$O$126,8,FALSE) * (VLOOKUP($B$14,'Annual Parameters'!$B$33:$W$104,3,FALSE) / VLOOKUP('VoC Fuel'!$B$14,'Annual Parameters'!$B$33:$W$104,3,FALSE))))</f>
        <v>61.421741594604555</v>
      </c>
      <c r="J59" s="1654">
        <f>IF(ISERROR(VLOOKUP($B59,'VoC Fuel'!$B$28:$O$126,1,FALSE)),"",IF(VLOOKUP($B59,'VoC Fuel'!$B$28:$O$126,9,FALSE)="","",VLOOKUP($B59,'VoC Fuel'!$B$28:$O$126,9,FALSE) * (VLOOKUP($B$14,'Annual Parameters'!$B$33:$W$104,3,FALSE) / VLOOKUP('VoC Fuel'!$B$14,'Annual Parameters'!$B$33:$W$104,3,FALSE))))</f>
        <v>61.421741594604555</v>
      </c>
      <c r="K59" s="1654">
        <f>IF(ISERROR(VLOOKUP($B59,'VoC Fuel'!$B$28:$O$126,1,FALSE)),"",IF(VLOOKUP($B59,'VoC Fuel'!$B$28:$O$126,10,FALSE)="","",VLOOKUP($B59,'VoC Fuel'!$B$28:$O$126,10,FALSE) * (VLOOKUP($B$14,'Annual Parameters'!$B$33:$W$104,3,FALSE) / VLOOKUP('VoC Fuel'!$B$14,'Annual Parameters'!$B$33:$W$104,3,FALSE))))</f>
        <v>11.807389152094819</v>
      </c>
      <c r="L59" s="1257">
        <f>IF(ISERROR(VLOOKUP($B59,'VoC Fuel'!$B$28:$O$126,1,FALSE)),"",IF(VLOOKUP($B59,'VoC Fuel'!$B$28:$O$126,11,FALSE)="","",VLOOKUP($B59,'VoC Fuel'!$B$28:$O$126,11,FALSE) * (VLOOKUP($B$14,'Annual Parameters'!$B$33:$W$104,3,FALSE) / VLOOKUP('VoC Fuel'!$B$14,'Annual Parameters'!$B$33:$W$104,3,FALSE))))</f>
        <v>0</v>
      </c>
      <c r="M59" s="1256">
        <f>IF(ISERROR(VLOOKUP($B59,'VoC Fuel'!$B$28:$O$126,1,FALSE)),"",IF(VLOOKUP(B59,'VoC Fuel'!$B$28:$O$126,12,FALSE)="","",VLOOKUP(B59,'VoC Fuel'!$B$28:$O$126,12,FALSE)))</f>
        <v>20</v>
      </c>
      <c r="N59" s="1256">
        <f>IF(ISERROR(VLOOKUP($B59,'VoC Fuel'!$B$28:$O$126,1,FALSE)),"",IF(VLOOKUP($B59,'VoC Fuel'!$B$28:$O$126,13,FALSE)="","",VLOOKUP($B59,'VoC Fuel'!$B$28:$O$126,13,FALSE)))</f>
        <v>20</v>
      </c>
      <c r="O59" s="1256">
        <f>IF(ISERROR(VLOOKUP($B59,'VoC Fuel'!$B$28:$O$126,1,FALSE)),"",IF(VLOOKUP($B59,'VoC Fuel'!$B$28:$O$126,14,FALSE)="","",VLOOKUP($B59,'VoC Fuel'!$B$28:$O$126,14,FALSE)))</f>
        <v>5</v>
      </c>
      <c r="P59" s="14"/>
      <c r="Q59" s="14"/>
      <c r="R59" s="14"/>
      <c r="S59" s="14"/>
      <c r="T59" s="14"/>
      <c r="U59" s="14"/>
    </row>
    <row r="60" spans="2:21" ht="13.5" customHeight="1">
      <c r="B60" s="1589">
        <f t="shared" si="0"/>
        <v>2042</v>
      </c>
      <c r="C60" s="147"/>
      <c r="D60" s="51">
        <f>IF(ISERROR(VLOOKUP($B60,'VoC Fuel'!$B$28:$O$126,1,FALSE)),"",IF(VLOOKUP($B60,'VoC Fuel'!$B$28:$O$126,3,FALSE)="","",VLOOKUP($B60,'VoC Fuel'!$B$28:$O$126,3,FALSE) * (VLOOKUP($B$14,'Annual Parameters'!$B$33:$W$104,3,FALSE) / VLOOKUP('VoC Fuel'!$B$14,'Annual Parameters'!$B$33:$W$104,3,FALSE))))</f>
        <v>42.415831094542135</v>
      </c>
      <c r="E60" s="2158">
        <f>IF(ISERROR(VLOOKUP($B60,'VoC Fuel'!$B$28:$O$126,1,FALSE)),"",IF(VLOOKUP($B60,'VoC Fuel'!$B$28:$O$126,4,FALSE)="","",VLOOKUP($B60,'VoC Fuel'!$B$28:$O$126,4,FALSE) * (VLOOKUP($B$14,'Annual Parameters'!$B$33:$W$104,3,FALSE) / VLOOKUP('VoC Fuel'!$B$14,'Annual Parameters'!$B$33:$W$104,3,FALSE))))</f>
        <v>46.37706219646185</v>
      </c>
      <c r="F60" s="2160">
        <f>IF(ISERROR(VLOOKUP($B60,'VoC Fuel'!$B$28:$O$126,1,FALSE)),"",IF(VLOOKUP($B60,'VoC Fuel'!$B$28:$O$126,5,FALSE)="","",VLOOKUP($B60,'VoC Fuel'!$B$28:$O$126,5,FALSE) * (VLOOKUP($B$14,'Annual Parameters'!$B$33:$W$104,3,FALSE) / VLOOKUP('VoC Fuel'!$B$14,'Annual Parameters'!$B$33:$W$104,3,FALSE))))</f>
        <v>40.832242223684588</v>
      </c>
      <c r="G60" s="1654">
        <f>IF(ISERROR(VLOOKUP($B60,'VoC Fuel'!$B$28:$O$126,1,FALSE)),"",IF(VLOOKUP($B60,'VoC Fuel'!$B$28:$O$126,6,FALSE)="","",VLOOKUP($B60,'VoC Fuel'!$B$28:$O$126,6,FALSE) * (VLOOKUP($B$14,'Annual Parameters'!$B$33:$W$104,3,FALSE) / VLOOKUP('VoC Fuel'!$B$14,'Annual Parameters'!$B$33:$W$104,3,FALSE))))</f>
        <v>15.487670797843426</v>
      </c>
      <c r="H60" s="1590">
        <f>IF(ISERROR(VLOOKUP($B60,'VoC Fuel'!$B$28:$O$126,1,FALSE)),"",IF(VLOOKUP($B60,'VoC Fuel'!$B$28:$O$126,7,FALSE)="","",VLOOKUP($B60,'VoC Fuel'!$B$28:$O$126,7,FALSE) * (VLOOKUP($B$14,'Annual Parameters'!$B$33:$W$104,3,FALSE) / VLOOKUP('VoC Fuel'!$B$14,'Annual Parameters'!$B$33:$W$104,3,FALSE))))</f>
        <v>11.045016676639516</v>
      </c>
      <c r="I60" s="1654">
        <f>IF(ISERROR(VLOOKUP($B60,'VoC Fuel'!$B$28:$O$126,1,FALSE)),"",IF(VLOOKUP($B60,'VoC Fuel'!$B$28:$O$126,8,FALSE)="","",VLOOKUP($B60,'VoC Fuel'!$B$28:$O$126,8,FALSE) * (VLOOKUP($B$14,'Annual Parameters'!$B$33:$W$104,3,FALSE) / VLOOKUP('VoC Fuel'!$B$14,'Annual Parameters'!$B$33:$W$104,3,FALSE))))</f>
        <v>61.842027216464032</v>
      </c>
      <c r="J60" s="1654">
        <f>IF(ISERROR(VLOOKUP($B60,'VoC Fuel'!$B$28:$O$126,1,FALSE)),"",IF(VLOOKUP($B60,'VoC Fuel'!$B$28:$O$126,9,FALSE)="","",VLOOKUP($B60,'VoC Fuel'!$B$28:$O$126,9,FALSE) * (VLOOKUP($B$14,'Annual Parameters'!$B$33:$W$104,3,FALSE) / VLOOKUP('VoC Fuel'!$B$14,'Annual Parameters'!$B$33:$W$104,3,FALSE))))</f>
        <v>61.842027216464032</v>
      </c>
      <c r="K60" s="1654">
        <f>IF(ISERROR(VLOOKUP($B60,'VoC Fuel'!$B$28:$O$126,1,FALSE)),"",IF(VLOOKUP($B60,'VoC Fuel'!$B$28:$O$126,10,FALSE)="","",VLOOKUP($B60,'VoC Fuel'!$B$28:$O$126,10,FALSE) * (VLOOKUP($B$14,'Annual Parameters'!$B$33:$W$104,3,FALSE) / VLOOKUP('VoC Fuel'!$B$14,'Annual Parameters'!$B$33:$W$104,3,FALSE))))</f>
        <v>11.88818262625383</v>
      </c>
      <c r="L60" s="1257">
        <f>IF(ISERROR(VLOOKUP($B60,'VoC Fuel'!$B$28:$O$126,1,FALSE)),"",IF(VLOOKUP($B60,'VoC Fuel'!$B$28:$O$126,11,FALSE)="","",VLOOKUP($B60,'VoC Fuel'!$B$28:$O$126,11,FALSE) * (VLOOKUP($B$14,'Annual Parameters'!$B$33:$W$104,3,FALSE) / VLOOKUP('VoC Fuel'!$B$14,'Annual Parameters'!$B$33:$W$104,3,FALSE))))</f>
        <v>0</v>
      </c>
      <c r="M60" s="1256">
        <f>IF(ISERROR(VLOOKUP($B60,'VoC Fuel'!$B$28:$O$126,1,FALSE)),"",IF(VLOOKUP(B60,'VoC Fuel'!$B$28:$O$126,12,FALSE)="","",VLOOKUP(B60,'VoC Fuel'!$B$28:$O$126,12,FALSE)))</f>
        <v>20</v>
      </c>
      <c r="N60" s="1256">
        <f>IF(ISERROR(VLOOKUP($B60,'VoC Fuel'!$B$28:$O$126,1,FALSE)),"",IF(VLOOKUP($B60,'VoC Fuel'!$B$28:$O$126,13,FALSE)="","",VLOOKUP($B60,'VoC Fuel'!$B$28:$O$126,13,FALSE)))</f>
        <v>20</v>
      </c>
      <c r="O60" s="1256">
        <f>IF(ISERROR(VLOOKUP($B60,'VoC Fuel'!$B$28:$O$126,1,FALSE)),"",IF(VLOOKUP($B60,'VoC Fuel'!$B$28:$O$126,14,FALSE)="","",VLOOKUP($B60,'VoC Fuel'!$B$28:$O$126,14,FALSE)))</f>
        <v>5</v>
      </c>
      <c r="P60" s="14"/>
      <c r="Q60" s="14"/>
      <c r="R60" s="14"/>
      <c r="S60" s="14"/>
      <c r="T60" s="14"/>
      <c r="U60" s="14"/>
    </row>
    <row r="61" spans="2:21" ht="13.5" customHeight="1">
      <c r="B61" s="1589">
        <f t="shared" si="0"/>
        <v>2043</v>
      </c>
      <c r="C61" s="147"/>
      <c r="D61" s="51">
        <f>IF(ISERROR(VLOOKUP($B61,'VoC Fuel'!$B$28:$O$126,1,FALSE)),"",IF(VLOOKUP($B61,'VoC Fuel'!$B$28:$O$126,3,FALSE)="","",VLOOKUP($B61,'VoC Fuel'!$B$28:$O$126,3,FALSE) * (VLOOKUP($B$14,'Annual Parameters'!$B$33:$W$104,3,FALSE) / VLOOKUP('VoC Fuel'!$B$14,'Annual Parameters'!$B$33:$W$104,3,FALSE))))</f>
        <v>42.415831094542135</v>
      </c>
      <c r="E61" s="2158">
        <f>IF(ISERROR(VLOOKUP($B61,'VoC Fuel'!$B$28:$O$126,1,FALSE)),"",IF(VLOOKUP($B61,'VoC Fuel'!$B$28:$O$126,4,FALSE)="","",VLOOKUP($B61,'VoC Fuel'!$B$28:$O$126,4,FALSE) * (VLOOKUP($B$14,'Annual Parameters'!$B$33:$W$104,3,FALSE) / VLOOKUP('VoC Fuel'!$B$14,'Annual Parameters'!$B$33:$W$104,3,FALSE))))</f>
        <v>46.37706219646185</v>
      </c>
      <c r="F61" s="2160">
        <f>IF(ISERROR(VLOOKUP($B61,'VoC Fuel'!$B$28:$O$126,1,FALSE)),"",IF(VLOOKUP($B61,'VoC Fuel'!$B$28:$O$126,5,FALSE)="","",VLOOKUP($B61,'VoC Fuel'!$B$28:$O$126,5,FALSE) * (VLOOKUP($B$14,'Annual Parameters'!$B$33:$W$104,3,FALSE) / VLOOKUP('VoC Fuel'!$B$14,'Annual Parameters'!$B$33:$W$104,3,FALSE))))</f>
        <v>40.832242223684588</v>
      </c>
      <c r="G61" s="1654">
        <f>IF(ISERROR(VLOOKUP($B61,'VoC Fuel'!$B$28:$O$126,1,FALSE)),"",IF(VLOOKUP($B61,'VoC Fuel'!$B$28:$O$126,6,FALSE)="","",VLOOKUP($B61,'VoC Fuel'!$B$28:$O$126,6,FALSE) * (VLOOKUP($B$14,'Annual Parameters'!$B$33:$W$104,3,FALSE) / VLOOKUP('VoC Fuel'!$B$14,'Annual Parameters'!$B$33:$W$104,3,FALSE))))</f>
        <v>15.487670797843426</v>
      </c>
      <c r="H61" s="1590">
        <f>IF(ISERROR(VLOOKUP($B61,'VoC Fuel'!$B$28:$O$126,1,FALSE)),"",IF(VLOOKUP($B61,'VoC Fuel'!$B$28:$O$126,7,FALSE)="","",VLOOKUP($B61,'VoC Fuel'!$B$28:$O$126,7,FALSE) * (VLOOKUP($B$14,'Annual Parameters'!$B$33:$W$104,3,FALSE) / VLOOKUP('VoC Fuel'!$B$14,'Annual Parameters'!$B$33:$W$104,3,FALSE))))</f>
        <v>11.045016676639516</v>
      </c>
      <c r="I61" s="1654">
        <f>IF(ISERROR(VLOOKUP($B61,'VoC Fuel'!$B$28:$O$126,1,FALSE)),"",IF(VLOOKUP($B61,'VoC Fuel'!$B$28:$O$126,8,FALSE)="","",VLOOKUP($B61,'VoC Fuel'!$B$28:$O$126,8,FALSE) * (VLOOKUP($B$14,'Annual Parameters'!$B$33:$W$104,3,FALSE) / VLOOKUP('VoC Fuel'!$B$14,'Annual Parameters'!$B$33:$W$104,3,FALSE))))</f>
        <v>62.265188693018537</v>
      </c>
      <c r="J61" s="1654">
        <f>IF(ISERROR(VLOOKUP($B61,'VoC Fuel'!$B$28:$O$126,1,FALSE)),"",IF(VLOOKUP($B61,'VoC Fuel'!$B$28:$O$126,9,FALSE)="","",VLOOKUP($B61,'VoC Fuel'!$B$28:$O$126,9,FALSE) * (VLOOKUP($B$14,'Annual Parameters'!$B$33:$W$104,3,FALSE) / VLOOKUP('VoC Fuel'!$B$14,'Annual Parameters'!$B$33:$W$104,3,FALSE))))</f>
        <v>62.265188693018537</v>
      </c>
      <c r="K61" s="1654">
        <f>IF(ISERROR(VLOOKUP($B61,'VoC Fuel'!$B$28:$O$126,1,FALSE)),"",IF(VLOOKUP($B61,'VoC Fuel'!$B$28:$O$126,10,FALSE)="","",VLOOKUP($B61,'VoC Fuel'!$B$28:$O$126,10,FALSE) * (VLOOKUP($B$14,'Annual Parameters'!$B$33:$W$104,3,FALSE) / VLOOKUP('VoC Fuel'!$B$14,'Annual Parameters'!$B$33:$W$104,3,FALSE))))</f>
        <v>11.969528939434452</v>
      </c>
      <c r="L61" s="1257">
        <f>IF(ISERROR(VLOOKUP($B61,'VoC Fuel'!$B$28:$O$126,1,FALSE)),"",IF(VLOOKUP($B61,'VoC Fuel'!$B$28:$O$126,11,FALSE)="","",VLOOKUP($B61,'VoC Fuel'!$B$28:$O$126,11,FALSE) * (VLOOKUP($B$14,'Annual Parameters'!$B$33:$W$104,3,FALSE) / VLOOKUP('VoC Fuel'!$B$14,'Annual Parameters'!$B$33:$W$104,3,FALSE))))</f>
        <v>0</v>
      </c>
      <c r="M61" s="1256">
        <f>IF(ISERROR(VLOOKUP($B61,'VoC Fuel'!$B$28:$O$126,1,FALSE)),"",IF(VLOOKUP(B61,'VoC Fuel'!$B$28:$O$126,12,FALSE)="","",VLOOKUP(B61,'VoC Fuel'!$B$28:$O$126,12,FALSE)))</f>
        <v>20</v>
      </c>
      <c r="N61" s="1256">
        <f>IF(ISERROR(VLOOKUP($B61,'VoC Fuel'!$B$28:$O$126,1,FALSE)),"",IF(VLOOKUP($B61,'VoC Fuel'!$B$28:$O$126,13,FALSE)="","",VLOOKUP($B61,'VoC Fuel'!$B$28:$O$126,13,FALSE)))</f>
        <v>20</v>
      </c>
      <c r="O61" s="1256">
        <f>IF(ISERROR(VLOOKUP($B61,'VoC Fuel'!$B$28:$O$126,1,FALSE)),"",IF(VLOOKUP($B61,'VoC Fuel'!$B$28:$O$126,14,FALSE)="","",VLOOKUP($B61,'VoC Fuel'!$B$28:$O$126,14,FALSE)))</f>
        <v>5</v>
      </c>
    </row>
    <row r="62" spans="2:21" ht="13.5" customHeight="1">
      <c r="B62" s="1589">
        <f t="shared" si="0"/>
        <v>2044</v>
      </c>
      <c r="C62" s="147"/>
      <c r="D62" s="51">
        <f>IF(ISERROR(VLOOKUP($B62,'VoC Fuel'!$B$28:$O$126,1,FALSE)),"",IF(VLOOKUP($B62,'VoC Fuel'!$B$28:$O$126,3,FALSE)="","",VLOOKUP($B62,'VoC Fuel'!$B$28:$O$126,3,FALSE) * (VLOOKUP($B$14,'Annual Parameters'!$B$33:$W$104,3,FALSE) / VLOOKUP('VoC Fuel'!$B$14,'Annual Parameters'!$B$33:$W$104,3,FALSE))))</f>
        <v>42.415831094542135</v>
      </c>
      <c r="E62" s="2158">
        <f>IF(ISERROR(VLOOKUP($B62,'VoC Fuel'!$B$28:$O$126,1,FALSE)),"",IF(VLOOKUP($B62,'VoC Fuel'!$B$28:$O$126,4,FALSE)="","",VLOOKUP($B62,'VoC Fuel'!$B$28:$O$126,4,FALSE) * (VLOOKUP($B$14,'Annual Parameters'!$B$33:$W$104,3,FALSE) / VLOOKUP('VoC Fuel'!$B$14,'Annual Parameters'!$B$33:$W$104,3,FALSE))))</f>
        <v>46.37706219646185</v>
      </c>
      <c r="F62" s="2160">
        <f>IF(ISERROR(VLOOKUP($B62,'VoC Fuel'!$B$28:$O$126,1,FALSE)),"",IF(VLOOKUP($B62,'VoC Fuel'!$B$28:$O$126,5,FALSE)="","",VLOOKUP($B62,'VoC Fuel'!$B$28:$O$126,5,FALSE) * (VLOOKUP($B$14,'Annual Parameters'!$B$33:$W$104,3,FALSE) / VLOOKUP('VoC Fuel'!$B$14,'Annual Parameters'!$B$33:$W$104,3,FALSE))))</f>
        <v>40.832242223684588</v>
      </c>
      <c r="G62" s="1654">
        <f>IF(ISERROR(VLOOKUP($B62,'VoC Fuel'!$B$28:$O$126,1,FALSE)),"",IF(VLOOKUP($B62,'VoC Fuel'!$B$28:$O$126,6,FALSE)="","",VLOOKUP($B62,'VoC Fuel'!$B$28:$O$126,6,FALSE) * (VLOOKUP($B$14,'Annual Parameters'!$B$33:$W$104,3,FALSE) / VLOOKUP('VoC Fuel'!$B$14,'Annual Parameters'!$B$33:$W$104,3,FALSE))))</f>
        <v>15.487670797843426</v>
      </c>
      <c r="H62" s="1590">
        <f>IF(ISERROR(VLOOKUP($B62,'VoC Fuel'!$B$28:$O$126,1,FALSE)),"",IF(VLOOKUP($B62,'VoC Fuel'!$B$28:$O$126,7,FALSE)="","",VLOOKUP($B62,'VoC Fuel'!$B$28:$O$126,7,FALSE) * (VLOOKUP($B$14,'Annual Parameters'!$B$33:$W$104,3,FALSE) / VLOOKUP('VoC Fuel'!$B$14,'Annual Parameters'!$B$33:$W$104,3,FALSE))))</f>
        <v>11.045016676639516</v>
      </c>
      <c r="I62" s="1654">
        <f>IF(ISERROR(VLOOKUP($B62,'VoC Fuel'!$B$28:$O$126,1,FALSE)),"",IF(VLOOKUP($B62,'VoC Fuel'!$B$28:$O$126,8,FALSE)="","",VLOOKUP($B62,'VoC Fuel'!$B$28:$O$126,8,FALSE) * (VLOOKUP($B$14,'Annual Parameters'!$B$33:$W$104,3,FALSE) / VLOOKUP('VoC Fuel'!$B$14,'Annual Parameters'!$B$33:$W$104,3,FALSE))))</f>
        <v>62.69124570264821</v>
      </c>
      <c r="J62" s="1654">
        <f>IF(ISERROR(VLOOKUP($B62,'VoC Fuel'!$B$28:$O$126,1,FALSE)),"",IF(VLOOKUP($B62,'VoC Fuel'!$B$28:$O$126,9,FALSE)="","",VLOOKUP($B62,'VoC Fuel'!$B$28:$O$126,9,FALSE) * (VLOOKUP($B$14,'Annual Parameters'!$B$33:$W$104,3,FALSE) / VLOOKUP('VoC Fuel'!$B$14,'Annual Parameters'!$B$33:$W$104,3,FALSE))))</f>
        <v>62.69124570264821</v>
      </c>
      <c r="K62" s="1654">
        <f>IF(ISERROR(VLOOKUP($B62,'VoC Fuel'!$B$28:$O$126,1,FALSE)),"",IF(VLOOKUP($B62,'VoC Fuel'!$B$28:$O$126,10,FALSE)="","",VLOOKUP($B62,'VoC Fuel'!$B$28:$O$126,10,FALSE) * (VLOOKUP($B$14,'Annual Parameters'!$B$33:$W$104,3,FALSE) / VLOOKUP('VoC Fuel'!$B$14,'Annual Parameters'!$B$33:$W$104,3,FALSE))))</f>
        <v>12.051431874503901</v>
      </c>
      <c r="L62" s="1257">
        <f>IF(ISERROR(VLOOKUP($B62,'VoC Fuel'!$B$28:$O$126,1,FALSE)),"",IF(VLOOKUP($B62,'VoC Fuel'!$B$28:$O$126,11,FALSE)="","",VLOOKUP($B62,'VoC Fuel'!$B$28:$O$126,11,FALSE) * (VLOOKUP($B$14,'Annual Parameters'!$B$33:$W$104,3,FALSE) / VLOOKUP('VoC Fuel'!$B$14,'Annual Parameters'!$B$33:$W$104,3,FALSE))))</f>
        <v>0</v>
      </c>
      <c r="M62" s="1256">
        <f>IF(ISERROR(VLOOKUP($B62,'VoC Fuel'!$B$28:$O$126,1,FALSE)),"",IF(VLOOKUP(B62,'VoC Fuel'!$B$28:$O$126,12,FALSE)="","",VLOOKUP(B62,'VoC Fuel'!$B$28:$O$126,12,FALSE)))</f>
        <v>20</v>
      </c>
      <c r="N62" s="1256">
        <f>IF(ISERROR(VLOOKUP($B62,'VoC Fuel'!$B$28:$O$126,1,FALSE)),"",IF(VLOOKUP($B62,'VoC Fuel'!$B$28:$O$126,13,FALSE)="","",VLOOKUP($B62,'VoC Fuel'!$B$28:$O$126,13,FALSE)))</f>
        <v>20</v>
      </c>
      <c r="O62" s="1256">
        <f>IF(ISERROR(VLOOKUP($B62,'VoC Fuel'!$B$28:$O$126,1,FALSE)),"",IF(VLOOKUP($B62,'VoC Fuel'!$B$28:$O$126,14,FALSE)="","",VLOOKUP($B62,'VoC Fuel'!$B$28:$O$126,14,FALSE)))</f>
        <v>5</v>
      </c>
    </row>
    <row r="63" spans="2:21" ht="13.5" customHeight="1">
      <c r="B63" s="1589">
        <f t="shared" si="0"/>
        <v>2045</v>
      </c>
      <c r="C63" s="147"/>
      <c r="D63" s="51">
        <f>IF(ISERROR(VLOOKUP($B63,'VoC Fuel'!$B$28:$O$126,1,FALSE)),"",IF(VLOOKUP($B63,'VoC Fuel'!$B$28:$O$126,3,FALSE)="","",VLOOKUP($B63,'VoC Fuel'!$B$28:$O$126,3,FALSE) * (VLOOKUP($B$14,'Annual Parameters'!$B$33:$W$104,3,FALSE) / VLOOKUP('VoC Fuel'!$B$14,'Annual Parameters'!$B$33:$W$104,3,FALSE))))</f>
        <v>42.415831094542135</v>
      </c>
      <c r="E63" s="2158">
        <f>IF(ISERROR(VLOOKUP($B63,'VoC Fuel'!$B$28:$O$126,1,FALSE)),"",IF(VLOOKUP($B63,'VoC Fuel'!$B$28:$O$126,4,FALSE)="","",VLOOKUP($B63,'VoC Fuel'!$B$28:$O$126,4,FALSE) * (VLOOKUP($B$14,'Annual Parameters'!$B$33:$W$104,3,FALSE) / VLOOKUP('VoC Fuel'!$B$14,'Annual Parameters'!$B$33:$W$104,3,FALSE))))</f>
        <v>46.37706219646185</v>
      </c>
      <c r="F63" s="2160">
        <f>IF(ISERROR(VLOOKUP($B63,'VoC Fuel'!$B$28:$O$126,1,FALSE)),"",IF(VLOOKUP($B63,'VoC Fuel'!$B$28:$O$126,5,FALSE)="","",VLOOKUP($B63,'VoC Fuel'!$B$28:$O$126,5,FALSE) * (VLOOKUP($B$14,'Annual Parameters'!$B$33:$W$104,3,FALSE) / VLOOKUP('VoC Fuel'!$B$14,'Annual Parameters'!$B$33:$W$104,3,FALSE))))</f>
        <v>40.832242223684588</v>
      </c>
      <c r="G63" s="1654">
        <f>IF(ISERROR(VLOOKUP($B63,'VoC Fuel'!$B$28:$O$126,1,FALSE)),"",IF(VLOOKUP($B63,'VoC Fuel'!$B$28:$O$126,6,FALSE)="","",VLOOKUP($B63,'VoC Fuel'!$B$28:$O$126,6,FALSE) * (VLOOKUP($B$14,'Annual Parameters'!$B$33:$W$104,3,FALSE) / VLOOKUP('VoC Fuel'!$B$14,'Annual Parameters'!$B$33:$W$104,3,FALSE))))</f>
        <v>15.487670797843426</v>
      </c>
      <c r="H63" s="1590">
        <f>IF(ISERROR(VLOOKUP($B63,'VoC Fuel'!$B$28:$O$126,1,FALSE)),"",IF(VLOOKUP($B63,'VoC Fuel'!$B$28:$O$126,7,FALSE)="","",VLOOKUP($B63,'VoC Fuel'!$B$28:$O$126,7,FALSE) * (VLOOKUP($B$14,'Annual Parameters'!$B$33:$W$104,3,FALSE) / VLOOKUP('VoC Fuel'!$B$14,'Annual Parameters'!$B$33:$W$104,3,FALSE))))</f>
        <v>11.045016676639516</v>
      </c>
      <c r="I63" s="1654">
        <f>IF(ISERROR(VLOOKUP($B63,'VoC Fuel'!$B$28:$O$126,1,FALSE)),"",IF(VLOOKUP($B63,'VoC Fuel'!$B$28:$O$126,8,FALSE)="","",VLOOKUP($B63,'VoC Fuel'!$B$28:$O$126,8,FALSE) * (VLOOKUP($B$14,'Annual Parameters'!$B$33:$W$104,3,FALSE) / VLOOKUP('VoC Fuel'!$B$14,'Annual Parameters'!$B$33:$W$104,3,FALSE))))</f>
        <v>63.120218058384793</v>
      </c>
      <c r="J63" s="1654">
        <f>IF(ISERROR(VLOOKUP($B63,'VoC Fuel'!$B$28:$O$126,1,FALSE)),"",IF(VLOOKUP($B63,'VoC Fuel'!$B$28:$O$126,9,FALSE)="","",VLOOKUP($B63,'VoC Fuel'!$B$28:$O$126,9,FALSE) * (VLOOKUP($B$14,'Annual Parameters'!$B$33:$W$104,3,FALSE) / VLOOKUP('VoC Fuel'!$B$14,'Annual Parameters'!$B$33:$W$104,3,FALSE))))</f>
        <v>63.120218058384793</v>
      </c>
      <c r="K63" s="1654">
        <f>IF(ISERROR(VLOOKUP($B63,'VoC Fuel'!$B$28:$O$126,1,FALSE)),"",IF(VLOOKUP($B63,'VoC Fuel'!$B$28:$O$126,10,FALSE)="","",VLOOKUP($B63,'VoC Fuel'!$B$28:$O$126,10,FALSE) * (VLOOKUP($B$14,'Annual Parameters'!$B$33:$W$104,3,FALSE) / VLOOKUP('VoC Fuel'!$B$14,'Annual Parameters'!$B$33:$W$104,3,FALSE))))</f>
        <v>12.133895240214095</v>
      </c>
      <c r="L63" s="1257">
        <f>IF(ISERROR(VLOOKUP($B63,'VoC Fuel'!$B$28:$O$126,1,FALSE)),"",IF(VLOOKUP($B63,'VoC Fuel'!$B$28:$O$126,11,FALSE)="","",VLOOKUP($B63,'VoC Fuel'!$B$28:$O$126,11,FALSE) * (VLOOKUP($B$14,'Annual Parameters'!$B$33:$W$104,3,FALSE) / VLOOKUP('VoC Fuel'!$B$14,'Annual Parameters'!$B$33:$W$104,3,FALSE))))</f>
        <v>0</v>
      </c>
      <c r="M63" s="1256">
        <f>IF(ISERROR(VLOOKUP($B63,'VoC Fuel'!$B$28:$O$126,1,FALSE)),"",IF(VLOOKUP(B63,'VoC Fuel'!$B$28:$O$126,12,FALSE)="","",VLOOKUP(B63,'VoC Fuel'!$B$28:$O$126,12,FALSE)))</f>
        <v>20</v>
      </c>
      <c r="N63" s="1256">
        <f>IF(ISERROR(VLOOKUP($B63,'VoC Fuel'!$B$28:$O$126,1,FALSE)),"",IF(VLOOKUP($B63,'VoC Fuel'!$B$28:$O$126,13,FALSE)="","",VLOOKUP($B63,'VoC Fuel'!$B$28:$O$126,13,FALSE)))</f>
        <v>20</v>
      </c>
      <c r="O63" s="1256">
        <f>IF(ISERROR(VLOOKUP($B63,'VoC Fuel'!$B$28:$O$126,1,FALSE)),"",IF(VLOOKUP($B63,'VoC Fuel'!$B$28:$O$126,14,FALSE)="","",VLOOKUP($B63,'VoC Fuel'!$B$28:$O$126,14,FALSE)))</f>
        <v>5</v>
      </c>
    </row>
    <row r="64" spans="2:21" ht="13.5" customHeight="1">
      <c r="B64" s="1589">
        <f t="shared" si="0"/>
        <v>2046</v>
      </c>
      <c r="C64" s="147"/>
      <c r="D64" s="51">
        <f>IF(ISERROR(VLOOKUP($B64,'VoC Fuel'!$B$28:$O$126,1,FALSE)),"",IF(VLOOKUP($B64,'VoC Fuel'!$B$28:$O$126,3,FALSE)="","",VLOOKUP($B64,'VoC Fuel'!$B$28:$O$126,3,FALSE) * (VLOOKUP($B$14,'Annual Parameters'!$B$33:$W$104,3,FALSE) / VLOOKUP('VoC Fuel'!$B$14,'Annual Parameters'!$B$33:$W$104,3,FALSE))))</f>
        <v>42.415831094542135</v>
      </c>
      <c r="E64" s="2158">
        <f>IF(ISERROR(VLOOKUP($B64,'VoC Fuel'!$B$28:$O$126,1,FALSE)),"",IF(VLOOKUP($B64,'VoC Fuel'!$B$28:$O$126,4,FALSE)="","",VLOOKUP($B64,'VoC Fuel'!$B$28:$O$126,4,FALSE) * (VLOOKUP($B$14,'Annual Parameters'!$B$33:$W$104,3,FALSE) / VLOOKUP('VoC Fuel'!$B$14,'Annual Parameters'!$B$33:$W$104,3,FALSE))))</f>
        <v>46.37706219646185</v>
      </c>
      <c r="F64" s="2160">
        <f>IF(ISERROR(VLOOKUP($B64,'VoC Fuel'!$B$28:$O$126,1,FALSE)),"",IF(VLOOKUP($B64,'VoC Fuel'!$B$28:$O$126,5,FALSE)="","",VLOOKUP($B64,'VoC Fuel'!$B$28:$O$126,5,FALSE) * (VLOOKUP($B$14,'Annual Parameters'!$B$33:$W$104,3,FALSE) / VLOOKUP('VoC Fuel'!$B$14,'Annual Parameters'!$B$33:$W$104,3,FALSE))))</f>
        <v>40.832242223684588</v>
      </c>
      <c r="G64" s="1654">
        <f>IF(ISERROR(VLOOKUP($B64,'VoC Fuel'!$B$28:$O$126,1,FALSE)),"",IF(VLOOKUP($B64,'VoC Fuel'!$B$28:$O$126,6,FALSE)="","",VLOOKUP($B64,'VoC Fuel'!$B$28:$O$126,6,FALSE) * (VLOOKUP($B$14,'Annual Parameters'!$B$33:$W$104,3,FALSE) / VLOOKUP('VoC Fuel'!$B$14,'Annual Parameters'!$B$33:$W$104,3,FALSE))))</f>
        <v>15.487670797843426</v>
      </c>
      <c r="H64" s="1590">
        <f>IF(ISERROR(VLOOKUP($B64,'VoC Fuel'!$B$28:$O$126,1,FALSE)),"",IF(VLOOKUP($B64,'VoC Fuel'!$B$28:$O$126,7,FALSE)="","",VLOOKUP($B64,'VoC Fuel'!$B$28:$O$126,7,FALSE) * (VLOOKUP($B$14,'Annual Parameters'!$B$33:$W$104,3,FALSE) / VLOOKUP('VoC Fuel'!$B$14,'Annual Parameters'!$B$33:$W$104,3,FALSE))))</f>
        <v>11.045016676639516</v>
      </c>
      <c r="I64" s="1654">
        <f>IF(ISERROR(VLOOKUP($B64,'VoC Fuel'!$B$28:$O$126,1,FALSE)),"",IF(VLOOKUP($B64,'VoC Fuel'!$B$28:$O$126,8,FALSE)="","",VLOOKUP($B64,'VoC Fuel'!$B$28:$O$126,8,FALSE) * (VLOOKUP($B$14,'Annual Parameters'!$B$33:$W$104,3,FALSE) / VLOOKUP('VoC Fuel'!$B$14,'Annual Parameters'!$B$33:$W$104,3,FALSE))))</f>
        <v>63.552125708833188</v>
      </c>
      <c r="J64" s="1654">
        <f>IF(ISERROR(VLOOKUP($B64,'VoC Fuel'!$B$28:$O$126,1,FALSE)),"",IF(VLOOKUP($B64,'VoC Fuel'!$B$28:$O$126,9,FALSE)="","",VLOOKUP($B64,'VoC Fuel'!$B$28:$O$126,9,FALSE) * (VLOOKUP($B$14,'Annual Parameters'!$B$33:$W$104,3,FALSE) / VLOOKUP('VoC Fuel'!$B$14,'Annual Parameters'!$B$33:$W$104,3,FALSE))))</f>
        <v>63.552125708833188</v>
      </c>
      <c r="K64" s="1654">
        <f>IF(ISERROR(VLOOKUP($B64,'VoC Fuel'!$B$28:$O$126,1,FALSE)),"",IF(VLOOKUP($B64,'VoC Fuel'!$B$28:$O$126,10,FALSE)="","",VLOOKUP($B64,'VoC Fuel'!$B$28:$O$126,10,FALSE) * (VLOOKUP($B$14,'Annual Parameters'!$B$33:$W$104,3,FALSE) / VLOOKUP('VoC Fuel'!$B$14,'Annual Parameters'!$B$33:$W$104,3,FALSE))))</f>
        <v>12.216922871378806</v>
      </c>
      <c r="L64" s="1257">
        <f>IF(ISERROR(VLOOKUP($B64,'VoC Fuel'!$B$28:$O$126,1,FALSE)),"",IF(VLOOKUP($B64,'VoC Fuel'!$B$28:$O$126,11,FALSE)="","",VLOOKUP($B64,'VoC Fuel'!$B$28:$O$126,11,FALSE) * (VLOOKUP($B$14,'Annual Parameters'!$B$33:$W$104,3,FALSE) / VLOOKUP('VoC Fuel'!$B$14,'Annual Parameters'!$B$33:$W$104,3,FALSE))))</f>
        <v>0</v>
      </c>
      <c r="M64" s="1256">
        <f>IF(ISERROR(VLOOKUP($B64,'VoC Fuel'!$B$28:$O$126,1,FALSE)),"",IF(VLOOKUP(B64,'VoC Fuel'!$B$28:$O$126,12,FALSE)="","",VLOOKUP(B64,'VoC Fuel'!$B$28:$O$126,12,FALSE)))</f>
        <v>20</v>
      </c>
      <c r="N64" s="1256">
        <f>IF(ISERROR(VLOOKUP($B64,'VoC Fuel'!$B$28:$O$126,1,FALSE)),"",IF(VLOOKUP($B64,'VoC Fuel'!$B$28:$O$126,13,FALSE)="","",VLOOKUP($B64,'VoC Fuel'!$B$28:$O$126,13,FALSE)))</f>
        <v>20</v>
      </c>
      <c r="O64" s="1256">
        <f>IF(ISERROR(VLOOKUP($B64,'VoC Fuel'!$B$28:$O$126,1,FALSE)),"",IF(VLOOKUP($B64,'VoC Fuel'!$B$28:$O$126,14,FALSE)="","",VLOOKUP($B64,'VoC Fuel'!$B$28:$O$126,14,FALSE)))</f>
        <v>5</v>
      </c>
    </row>
    <row r="65" spans="2:15" ht="13.5" customHeight="1">
      <c r="B65" s="1589">
        <f t="shared" si="0"/>
        <v>2047</v>
      </c>
      <c r="C65" s="147"/>
      <c r="D65" s="51">
        <f>IF(ISERROR(VLOOKUP($B65,'VoC Fuel'!$B$28:$O$126,1,FALSE)),"",IF(VLOOKUP($B65,'VoC Fuel'!$B$28:$O$126,3,FALSE)="","",VLOOKUP($B65,'VoC Fuel'!$B$28:$O$126,3,FALSE) * (VLOOKUP($B$14,'Annual Parameters'!$B$33:$W$104,3,FALSE) / VLOOKUP('VoC Fuel'!$B$14,'Annual Parameters'!$B$33:$W$104,3,FALSE))))</f>
        <v>42.415831094542135</v>
      </c>
      <c r="E65" s="2158">
        <f>IF(ISERROR(VLOOKUP($B65,'VoC Fuel'!$B$28:$O$126,1,FALSE)),"",IF(VLOOKUP($B65,'VoC Fuel'!$B$28:$O$126,4,FALSE)="","",VLOOKUP($B65,'VoC Fuel'!$B$28:$O$126,4,FALSE) * (VLOOKUP($B$14,'Annual Parameters'!$B$33:$W$104,3,FALSE) / VLOOKUP('VoC Fuel'!$B$14,'Annual Parameters'!$B$33:$W$104,3,FALSE))))</f>
        <v>46.37706219646185</v>
      </c>
      <c r="F65" s="2160">
        <f>IF(ISERROR(VLOOKUP($B65,'VoC Fuel'!$B$28:$O$126,1,FALSE)),"",IF(VLOOKUP($B65,'VoC Fuel'!$B$28:$O$126,5,FALSE)="","",VLOOKUP($B65,'VoC Fuel'!$B$28:$O$126,5,FALSE) * (VLOOKUP($B$14,'Annual Parameters'!$B$33:$W$104,3,FALSE) / VLOOKUP('VoC Fuel'!$B$14,'Annual Parameters'!$B$33:$W$104,3,FALSE))))</f>
        <v>40.832242223684588</v>
      </c>
      <c r="G65" s="1654">
        <f>IF(ISERROR(VLOOKUP($B65,'VoC Fuel'!$B$28:$O$126,1,FALSE)),"",IF(VLOOKUP($B65,'VoC Fuel'!$B$28:$O$126,6,FALSE)="","",VLOOKUP($B65,'VoC Fuel'!$B$28:$O$126,6,FALSE) * (VLOOKUP($B$14,'Annual Parameters'!$B$33:$W$104,3,FALSE) / VLOOKUP('VoC Fuel'!$B$14,'Annual Parameters'!$B$33:$W$104,3,FALSE))))</f>
        <v>15.487670797843426</v>
      </c>
      <c r="H65" s="1590">
        <f>IF(ISERROR(VLOOKUP($B65,'VoC Fuel'!$B$28:$O$126,1,FALSE)),"",IF(VLOOKUP($B65,'VoC Fuel'!$B$28:$O$126,7,FALSE)="","",VLOOKUP($B65,'VoC Fuel'!$B$28:$O$126,7,FALSE) * (VLOOKUP($B$14,'Annual Parameters'!$B$33:$W$104,3,FALSE) / VLOOKUP('VoC Fuel'!$B$14,'Annual Parameters'!$B$33:$W$104,3,FALSE))))</f>
        <v>11.045016676639516</v>
      </c>
      <c r="I65" s="1654">
        <f>IF(ISERROR(VLOOKUP($B65,'VoC Fuel'!$B$28:$O$126,1,FALSE)),"",IF(VLOOKUP($B65,'VoC Fuel'!$B$28:$O$126,8,FALSE)="","",VLOOKUP($B65,'VoC Fuel'!$B$28:$O$126,8,FALSE) * (VLOOKUP($B$14,'Annual Parameters'!$B$33:$W$104,3,FALSE) / VLOOKUP('VoC Fuel'!$B$14,'Annual Parameters'!$B$33:$W$104,3,FALSE))))</f>
        <v>63.986988739098912</v>
      </c>
      <c r="J65" s="1654">
        <f>IF(ISERROR(VLOOKUP($B65,'VoC Fuel'!$B$28:$O$126,1,FALSE)),"",IF(VLOOKUP($B65,'VoC Fuel'!$B$28:$O$126,9,FALSE)="","",VLOOKUP($B65,'VoC Fuel'!$B$28:$O$126,9,FALSE) * (VLOOKUP($B$14,'Annual Parameters'!$B$33:$W$104,3,FALSE) / VLOOKUP('VoC Fuel'!$B$14,'Annual Parameters'!$B$33:$W$104,3,FALSE))))</f>
        <v>63.986988739098912</v>
      </c>
      <c r="K65" s="1654">
        <f>IF(ISERROR(VLOOKUP($B65,'VoC Fuel'!$B$28:$O$126,1,FALSE)),"",IF(VLOOKUP($B65,'VoC Fuel'!$B$28:$O$126,10,FALSE)="","",VLOOKUP($B65,'VoC Fuel'!$B$28:$O$126,10,FALSE) * (VLOOKUP($B$14,'Annual Parameters'!$B$33:$W$104,3,FALSE) / VLOOKUP('VoC Fuel'!$B$14,'Annual Parameters'!$B$33:$W$104,3,FALSE))))</f>
        <v>12.300518629051975</v>
      </c>
      <c r="L65" s="1257">
        <f>IF(ISERROR(VLOOKUP($B65,'VoC Fuel'!$B$28:$O$126,1,FALSE)),"",IF(VLOOKUP($B65,'VoC Fuel'!$B$28:$O$126,11,FALSE)="","",VLOOKUP($B65,'VoC Fuel'!$B$28:$O$126,11,FALSE) * (VLOOKUP($B$14,'Annual Parameters'!$B$33:$W$104,3,FALSE) / VLOOKUP('VoC Fuel'!$B$14,'Annual Parameters'!$B$33:$W$104,3,FALSE))))</f>
        <v>0</v>
      </c>
      <c r="M65" s="1256">
        <f>IF(ISERROR(VLOOKUP($B65,'VoC Fuel'!$B$28:$O$126,1,FALSE)),"",IF(VLOOKUP(B65,'VoC Fuel'!$B$28:$O$126,12,FALSE)="","",VLOOKUP(B65,'VoC Fuel'!$B$28:$O$126,12,FALSE)))</f>
        <v>20</v>
      </c>
      <c r="N65" s="1256">
        <f>IF(ISERROR(VLOOKUP($B65,'VoC Fuel'!$B$28:$O$126,1,FALSE)),"",IF(VLOOKUP($B65,'VoC Fuel'!$B$28:$O$126,13,FALSE)="","",VLOOKUP($B65,'VoC Fuel'!$B$28:$O$126,13,FALSE)))</f>
        <v>20</v>
      </c>
      <c r="O65" s="1256">
        <f>IF(ISERROR(VLOOKUP($B65,'VoC Fuel'!$B$28:$O$126,1,FALSE)),"",IF(VLOOKUP($B65,'VoC Fuel'!$B$28:$O$126,14,FALSE)="","",VLOOKUP($B65,'VoC Fuel'!$B$28:$O$126,14,FALSE)))</f>
        <v>5</v>
      </c>
    </row>
    <row r="66" spans="2:15" ht="13.5" customHeight="1">
      <c r="B66" s="1589">
        <f t="shared" si="0"/>
        <v>2048</v>
      </c>
      <c r="C66" s="147"/>
      <c r="D66" s="51">
        <f>IF(ISERROR(VLOOKUP($B66,'VoC Fuel'!$B$28:$O$126,1,FALSE)),"",IF(VLOOKUP($B66,'VoC Fuel'!$B$28:$O$126,3,FALSE)="","",VLOOKUP($B66,'VoC Fuel'!$B$28:$O$126,3,FALSE) * (VLOOKUP($B$14,'Annual Parameters'!$B$33:$W$104,3,FALSE) / VLOOKUP('VoC Fuel'!$B$14,'Annual Parameters'!$B$33:$W$104,3,FALSE))))</f>
        <v>42.415831094542135</v>
      </c>
      <c r="E66" s="2158">
        <f>IF(ISERROR(VLOOKUP($B66,'VoC Fuel'!$B$28:$O$126,1,FALSE)),"",IF(VLOOKUP($B66,'VoC Fuel'!$B$28:$O$126,4,FALSE)="","",VLOOKUP($B66,'VoC Fuel'!$B$28:$O$126,4,FALSE) * (VLOOKUP($B$14,'Annual Parameters'!$B$33:$W$104,3,FALSE) / VLOOKUP('VoC Fuel'!$B$14,'Annual Parameters'!$B$33:$W$104,3,FALSE))))</f>
        <v>46.37706219646185</v>
      </c>
      <c r="F66" s="2160">
        <f>IF(ISERROR(VLOOKUP($B66,'VoC Fuel'!$B$28:$O$126,1,FALSE)),"",IF(VLOOKUP($B66,'VoC Fuel'!$B$28:$O$126,5,FALSE)="","",VLOOKUP($B66,'VoC Fuel'!$B$28:$O$126,5,FALSE) * (VLOOKUP($B$14,'Annual Parameters'!$B$33:$W$104,3,FALSE) / VLOOKUP('VoC Fuel'!$B$14,'Annual Parameters'!$B$33:$W$104,3,FALSE))))</f>
        <v>40.832242223684588</v>
      </c>
      <c r="G66" s="1654">
        <f>IF(ISERROR(VLOOKUP($B66,'VoC Fuel'!$B$28:$O$126,1,FALSE)),"",IF(VLOOKUP($B66,'VoC Fuel'!$B$28:$O$126,6,FALSE)="","",VLOOKUP($B66,'VoC Fuel'!$B$28:$O$126,6,FALSE) * (VLOOKUP($B$14,'Annual Parameters'!$B$33:$W$104,3,FALSE) / VLOOKUP('VoC Fuel'!$B$14,'Annual Parameters'!$B$33:$W$104,3,FALSE))))</f>
        <v>15.487670797843426</v>
      </c>
      <c r="H66" s="1590">
        <f>IF(ISERROR(VLOOKUP($B66,'VoC Fuel'!$B$28:$O$126,1,FALSE)),"",IF(VLOOKUP($B66,'VoC Fuel'!$B$28:$O$126,7,FALSE)="","",VLOOKUP($B66,'VoC Fuel'!$B$28:$O$126,7,FALSE) * (VLOOKUP($B$14,'Annual Parameters'!$B$33:$W$104,3,FALSE) / VLOOKUP('VoC Fuel'!$B$14,'Annual Parameters'!$B$33:$W$104,3,FALSE))))</f>
        <v>11.045016676639516</v>
      </c>
      <c r="I66" s="1654">
        <f>IF(ISERROR(VLOOKUP($B66,'VoC Fuel'!$B$28:$O$126,1,FALSE)),"",IF(VLOOKUP($B66,'VoC Fuel'!$B$28:$O$126,8,FALSE)="","",VLOOKUP($B66,'VoC Fuel'!$B$28:$O$126,8,FALSE) * (VLOOKUP($B$14,'Annual Parameters'!$B$33:$W$104,3,FALSE) / VLOOKUP('VoC Fuel'!$B$14,'Annual Parameters'!$B$33:$W$104,3,FALSE))))</f>
        <v>64.424827371722287</v>
      </c>
      <c r="J66" s="1654">
        <f>IF(ISERROR(VLOOKUP($B66,'VoC Fuel'!$B$28:$O$126,1,FALSE)),"",IF(VLOOKUP($B66,'VoC Fuel'!$B$28:$O$126,9,FALSE)="","",VLOOKUP($B66,'VoC Fuel'!$B$28:$O$126,9,FALSE) * (VLOOKUP($B$14,'Annual Parameters'!$B$33:$W$104,3,FALSE) / VLOOKUP('VoC Fuel'!$B$14,'Annual Parameters'!$B$33:$W$104,3,FALSE))))</f>
        <v>64.424827371722287</v>
      </c>
      <c r="K66" s="1654">
        <f>IF(ISERROR(VLOOKUP($B66,'VoC Fuel'!$B$28:$O$126,1,FALSE)),"",IF(VLOOKUP($B66,'VoC Fuel'!$B$28:$O$126,10,FALSE)="","",VLOOKUP($B66,'VoC Fuel'!$B$28:$O$126,10,FALSE) * (VLOOKUP($B$14,'Annual Parameters'!$B$33:$W$104,3,FALSE) / VLOOKUP('VoC Fuel'!$B$14,'Annual Parameters'!$B$33:$W$104,3,FALSE))))</f>
        <v>12.38468640070727</v>
      </c>
      <c r="L66" s="1257">
        <f>IF(ISERROR(VLOOKUP($B66,'VoC Fuel'!$B$28:$O$126,1,FALSE)),"",IF(VLOOKUP($B66,'VoC Fuel'!$B$28:$O$126,11,FALSE)="","",VLOOKUP($B66,'VoC Fuel'!$B$28:$O$126,11,FALSE) * (VLOOKUP($B$14,'Annual Parameters'!$B$33:$W$104,3,FALSE) / VLOOKUP('VoC Fuel'!$B$14,'Annual Parameters'!$B$33:$W$104,3,FALSE))))</f>
        <v>0</v>
      </c>
      <c r="M66" s="1256">
        <f>IF(ISERROR(VLOOKUP($B66,'VoC Fuel'!$B$28:$O$126,1,FALSE)),"",IF(VLOOKUP(B66,'VoC Fuel'!$B$28:$O$126,12,FALSE)="","",VLOOKUP(B66,'VoC Fuel'!$B$28:$O$126,12,FALSE)))</f>
        <v>20</v>
      </c>
      <c r="N66" s="1256">
        <f>IF(ISERROR(VLOOKUP($B66,'VoC Fuel'!$B$28:$O$126,1,FALSE)),"",IF(VLOOKUP($B66,'VoC Fuel'!$B$28:$O$126,13,FALSE)="","",VLOOKUP($B66,'VoC Fuel'!$B$28:$O$126,13,FALSE)))</f>
        <v>20</v>
      </c>
      <c r="O66" s="1256">
        <f>IF(ISERROR(VLOOKUP($B66,'VoC Fuel'!$B$28:$O$126,1,FALSE)),"",IF(VLOOKUP($B66,'VoC Fuel'!$B$28:$O$126,14,FALSE)="","",VLOOKUP($B66,'VoC Fuel'!$B$28:$O$126,14,FALSE)))</f>
        <v>5</v>
      </c>
    </row>
    <row r="67" spans="2:15" ht="13.5" customHeight="1">
      <c r="B67" s="1589">
        <f t="shared" si="0"/>
        <v>2049</v>
      </c>
      <c r="C67" s="147"/>
      <c r="D67" s="51">
        <f>IF(ISERROR(VLOOKUP($B67,'VoC Fuel'!$B$28:$O$126,1,FALSE)),"",IF(VLOOKUP($B67,'VoC Fuel'!$B$28:$O$126,3,FALSE)="","",VLOOKUP($B67,'VoC Fuel'!$B$28:$O$126,3,FALSE) * (VLOOKUP($B$14,'Annual Parameters'!$B$33:$W$104,3,FALSE) / VLOOKUP('VoC Fuel'!$B$14,'Annual Parameters'!$B$33:$W$104,3,FALSE))))</f>
        <v>42.415831094542135</v>
      </c>
      <c r="E67" s="2158">
        <f>IF(ISERROR(VLOOKUP($B67,'VoC Fuel'!$B$28:$O$126,1,FALSE)),"",IF(VLOOKUP($B67,'VoC Fuel'!$B$28:$O$126,4,FALSE)="","",VLOOKUP($B67,'VoC Fuel'!$B$28:$O$126,4,FALSE) * (VLOOKUP($B$14,'Annual Parameters'!$B$33:$W$104,3,FALSE) / VLOOKUP('VoC Fuel'!$B$14,'Annual Parameters'!$B$33:$W$104,3,FALSE))))</f>
        <v>46.37706219646185</v>
      </c>
      <c r="F67" s="2160">
        <f>IF(ISERROR(VLOOKUP($B67,'VoC Fuel'!$B$28:$O$126,1,FALSE)),"",IF(VLOOKUP($B67,'VoC Fuel'!$B$28:$O$126,5,FALSE)="","",VLOOKUP($B67,'VoC Fuel'!$B$28:$O$126,5,FALSE) * (VLOOKUP($B$14,'Annual Parameters'!$B$33:$W$104,3,FALSE) / VLOOKUP('VoC Fuel'!$B$14,'Annual Parameters'!$B$33:$W$104,3,FALSE))))</f>
        <v>40.832242223684588</v>
      </c>
      <c r="G67" s="1654">
        <f>IF(ISERROR(VLOOKUP($B67,'VoC Fuel'!$B$28:$O$126,1,FALSE)),"",IF(VLOOKUP($B67,'VoC Fuel'!$B$28:$O$126,6,FALSE)="","",VLOOKUP($B67,'VoC Fuel'!$B$28:$O$126,6,FALSE) * (VLOOKUP($B$14,'Annual Parameters'!$B$33:$W$104,3,FALSE) / VLOOKUP('VoC Fuel'!$B$14,'Annual Parameters'!$B$33:$W$104,3,FALSE))))</f>
        <v>15.487670797843426</v>
      </c>
      <c r="H67" s="1590">
        <f>IF(ISERROR(VLOOKUP($B67,'VoC Fuel'!$B$28:$O$126,1,FALSE)),"",IF(VLOOKUP($B67,'VoC Fuel'!$B$28:$O$126,7,FALSE)="","",VLOOKUP($B67,'VoC Fuel'!$B$28:$O$126,7,FALSE) * (VLOOKUP($B$14,'Annual Parameters'!$B$33:$W$104,3,FALSE) / VLOOKUP('VoC Fuel'!$B$14,'Annual Parameters'!$B$33:$W$104,3,FALSE))))</f>
        <v>11.045016676639516</v>
      </c>
      <c r="I67" s="1654">
        <f>IF(ISERROR(VLOOKUP($B67,'VoC Fuel'!$B$28:$O$126,1,FALSE)),"",IF(VLOOKUP($B67,'VoC Fuel'!$B$28:$O$126,8,FALSE)="","",VLOOKUP($B67,'VoC Fuel'!$B$28:$O$126,8,FALSE) * (VLOOKUP($B$14,'Annual Parameters'!$B$33:$W$104,3,FALSE) / VLOOKUP('VoC Fuel'!$B$14,'Annual Parameters'!$B$33:$W$104,3,FALSE))))</f>
        <v>64.865661967618735</v>
      </c>
      <c r="J67" s="1654">
        <f>IF(ISERROR(VLOOKUP($B67,'VoC Fuel'!$B$28:$O$126,1,FALSE)),"",IF(VLOOKUP($B67,'VoC Fuel'!$B$28:$O$126,9,FALSE)="","",VLOOKUP($B67,'VoC Fuel'!$B$28:$O$126,9,FALSE) * (VLOOKUP($B$14,'Annual Parameters'!$B$33:$W$104,3,FALSE) / VLOOKUP('VoC Fuel'!$B$14,'Annual Parameters'!$B$33:$W$104,3,FALSE))))</f>
        <v>64.865661967618735</v>
      </c>
      <c r="K67" s="1654">
        <f>IF(ISERROR(VLOOKUP($B67,'VoC Fuel'!$B$28:$O$126,1,FALSE)),"",IF(VLOOKUP($B67,'VoC Fuel'!$B$28:$O$126,10,FALSE)="","",VLOOKUP($B67,'VoC Fuel'!$B$28:$O$126,10,FALSE) * (VLOOKUP($B$14,'Annual Parameters'!$B$33:$W$104,3,FALSE) / VLOOKUP('VoC Fuel'!$B$14,'Annual Parameters'!$B$33:$W$104,3,FALSE))))</f>
        <v>12.469430100418858</v>
      </c>
      <c r="L67" s="1257">
        <f>IF(ISERROR(VLOOKUP($B67,'VoC Fuel'!$B$28:$O$126,1,FALSE)),"",IF(VLOOKUP($B67,'VoC Fuel'!$B$28:$O$126,11,FALSE)="","",VLOOKUP($B67,'VoC Fuel'!$B$28:$O$126,11,FALSE) * (VLOOKUP($B$14,'Annual Parameters'!$B$33:$W$104,3,FALSE) / VLOOKUP('VoC Fuel'!$B$14,'Annual Parameters'!$B$33:$W$104,3,FALSE))))</f>
        <v>0</v>
      </c>
      <c r="M67" s="1256">
        <f>IF(ISERROR(VLOOKUP($B67,'VoC Fuel'!$B$28:$O$126,1,FALSE)),"",IF(VLOOKUP(B67,'VoC Fuel'!$B$28:$O$126,12,FALSE)="","",VLOOKUP(B67,'VoC Fuel'!$B$28:$O$126,12,FALSE)))</f>
        <v>20</v>
      </c>
      <c r="N67" s="1256">
        <f>IF(ISERROR(VLOOKUP($B67,'VoC Fuel'!$B$28:$O$126,1,FALSE)),"",IF(VLOOKUP($B67,'VoC Fuel'!$B$28:$O$126,13,FALSE)="","",VLOOKUP($B67,'VoC Fuel'!$B$28:$O$126,13,FALSE)))</f>
        <v>20</v>
      </c>
      <c r="O67" s="1256">
        <f>IF(ISERROR(VLOOKUP($B67,'VoC Fuel'!$B$28:$O$126,1,FALSE)),"",IF(VLOOKUP($B67,'VoC Fuel'!$B$28:$O$126,14,FALSE)="","",VLOOKUP($B67,'VoC Fuel'!$B$28:$O$126,14,FALSE)))</f>
        <v>5</v>
      </c>
    </row>
    <row r="68" spans="2:15" ht="13.5" customHeight="1">
      <c r="B68" s="1589">
        <f t="shared" si="0"/>
        <v>2050</v>
      </c>
      <c r="C68" s="147"/>
      <c r="D68" s="51">
        <f>IF(ISERROR(VLOOKUP($B68,'VoC Fuel'!$B$28:$O$126,1,FALSE)),"",IF(VLOOKUP($B68,'VoC Fuel'!$B$28:$O$126,3,FALSE)="","",VLOOKUP($B68,'VoC Fuel'!$B$28:$O$126,3,FALSE) * (VLOOKUP($B$14,'Annual Parameters'!$B$33:$W$104,3,FALSE) / VLOOKUP('VoC Fuel'!$B$14,'Annual Parameters'!$B$33:$W$104,3,FALSE))))</f>
        <v>42.415831094542135</v>
      </c>
      <c r="E68" s="2158">
        <f>IF(ISERROR(VLOOKUP($B68,'VoC Fuel'!$B$28:$O$126,1,FALSE)),"",IF(VLOOKUP($B68,'VoC Fuel'!$B$28:$O$126,4,FALSE)="","",VLOOKUP($B68,'VoC Fuel'!$B$28:$O$126,4,FALSE) * (VLOOKUP($B$14,'Annual Parameters'!$B$33:$W$104,3,FALSE) / VLOOKUP('VoC Fuel'!$B$14,'Annual Parameters'!$B$33:$W$104,3,FALSE))))</f>
        <v>46.37706219646185</v>
      </c>
      <c r="F68" s="2160">
        <f>IF(ISERROR(VLOOKUP($B68,'VoC Fuel'!$B$28:$O$126,1,FALSE)),"",IF(VLOOKUP($B68,'VoC Fuel'!$B$28:$O$126,5,FALSE)="","",VLOOKUP($B68,'VoC Fuel'!$B$28:$O$126,5,FALSE) * (VLOOKUP($B$14,'Annual Parameters'!$B$33:$W$104,3,FALSE) / VLOOKUP('VoC Fuel'!$B$14,'Annual Parameters'!$B$33:$W$104,3,FALSE))))</f>
        <v>40.832242223684588</v>
      </c>
      <c r="G68" s="1654">
        <f>IF(ISERROR(VLOOKUP($B68,'VoC Fuel'!$B$28:$O$126,1,FALSE)),"",IF(VLOOKUP($B68,'VoC Fuel'!$B$28:$O$126,6,FALSE)="","",VLOOKUP($B68,'VoC Fuel'!$B$28:$O$126,6,FALSE) * (VLOOKUP($B$14,'Annual Parameters'!$B$33:$W$104,3,FALSE) / VLOOKUP('VoC Fuel'!$B$14,'Annual Parameters'!$B$33:$W$104,3,FALSE))))</f>
        <v>15.487670797843426</v>
      </c>
      <c r="H68" s="1590">
        <f>IF(ISERROR(VLOOKUP($B68,'VoC Fuel'!$B$28:$O$126,1,FALSE)),"",IF(VLOOKUP($B68,'VoC Fuel'!$B$28:$O$126,7,FALSE)="","",VLOOKUP($B68,'VoC Fuel'!$B$28:$O$126,7,FALSE) * (VLOOKUP($B$14,'Annual Parameters'!$B$33:$W$104,3,FALSE) / VLOOKUP('VoC Fuel'!$B$14,'Annual Parameters'!$B$33:$W$104,3,FALSE))))</f>
        <v>11.045016676639516</v>
      </c>
      <c r="I68" s="1654">
        <f>IF(ISERROR(VLOOKUP($B68,'VoC Fuel'!$B$28:$O$126,1,FALSE)),"",IF(VLOOKUP($B68,'VoC Fuel'!$B$28:$O$126,8,FALSE)="","",VLOOKUP($B68,'VoC Fuel'!$B$28:$O$126,8,FALSE) * (VLOOKUP($B$14,'Annual Parameters'!$B$33:$W$104,3,FALSE) / VLOOKUP('VoC Fuel'!$B$14,'Annual Parameters'!$B$33:$W$104,3,FALSE))))</f>
        <v>65.309513027025716</v>
      </c>
      <c r="J68" s="1654">
        <f>IF(ISERROR(VLOOKUP($B68,'VoC Fuel'!$B$28:$O$126,1,FALSE)),"",IF(VLOOKUP($B68,'VoC Fuel'!$B$28:$O$126,9,FALSE)="","",VLOOKUP($B68,'VoC Fuel'!$B$28:$O$126,9,FALSE) * (VLOOKUP($B$14,'Annual Parameters'!$B$33:$W$104,3,FALSE) / VLOOKUP('VoC Fuel'!$B$14,'Annual Parameters'!$B$33:$W$104,3,FALSE))))</f>
        <v>65.309513027025716</v>
      </c>
      <c r="K68" s="1654">
        <f>IF(ISERROR(VLOOKUP($B68,'VoC Fuel'!$B$28:$O$126,1,FALSE)),"",IF(VLOOKUP($B68,'VoC Fuel'!$B$28:$O$126,10,FALSE)="","",VLOOKUP($B68,'VoC Fuel'!$B$28:$O$126,10,FALSE) * (VLOOKUP($B$14,'Annual Parameters'!$B$33:$W$104,3,FALSE) / VLOOKUP('VoC Fuel'!$B$14,'Annual Parameters'!$B$33:$W$104,3,FALSE))))</f>
        <v>12.554753669043427</v>
      </c>
      <c r="L68" s="1257">
        <f>IF(ISERROR(VLOOKUP($B68,'VoC Fuel'!$B$28:$O$126,1,FALSE)),"",IF(VLOOKUP($B68,'VoC Fuel'!$B$28:$O$126,11,FALSE)="","",VLOOKUP($B68,'VoC Fuel'!$B$28:$O$126,11,FALSE) * (VLOOKUP($B$14,'Annual Parameters'!$B$33:$W$104,3,FALSE) / VLOOKUP('VoC Fuel'!$B$14,'Annual Parameters'!$B$33:$W$104,3,FALSE))))</f>
        <v>0</v>
      </c>
      <c r="M68" s="1256">
        <f>IF(ISERROR(VLOOKUP($B68,'VoC Fuel'!$B$28:$O$126,1,FALSE)),"",IF(VLOOKUP(B68,'VoC Fuel'!$B$28:$O$126,12,FALSE)="","",VLOOKUP(B68,'VoC Fuel'!$B$28:$O$126,12,FALSE)))</f>
        <v>20</v>
      </c>
      <c r="N68" s="1256">
        <f>IF(ISERROR(VLOOKUP($B68,'VoC Fuel'!$B$28:$O$126,1,FALSE)),"",IF(VLOOKUP($B68,'VoC Fuel'!$B$28:$O$126,13,FALSE)="","",VLOOKUP($B68,'VoC Fuel'!$B$28:$O$126,13,FALSE)))</f>
        <v>20</v>
      </c>
      <c r="O68" s="1256">
        <f>IF(ISERROR(VLOOKUP($B68,'VoC Fuel'!$B$28:$O$126,1,FALSE)),"",IF(VLOOKUP($B68,'VoC Fuel'!$B$28:$O$126,14,FALSE)="","",VLOOKUP($B68,'VoC Fuel'!$B$28:$O$126,14,FALSE)))</f>
        <v>5</v>
      </c>
    </row>
    <row r="69" spans="2:15" ht="13.5" customHeight="1">
      <c r="B69" s="1589">
        <f t="shared" si="0"/>
        <v>2051</v>
      </c>
      <c r="C69" s="147"/>
      <c r="D69" s="51">
        <f>IF(ISERROR(VLOOKUP($B69,'VoC Fuel'!$B$28:$O$126,1,FALSE)),"",IF(VLOOKUP($B69,'VoC Fuel'!$B$28:$O$126,3,FALSE)="","",VLOOKUP($B69,'VoC Fuel'!$B$28:$O$126,3,FALSE) * (VLOOKUP($B$14,'Annual Parameters'!$B$33:$W$104,3,FALSE) / VLOOKUP('VoC Fuel'!$B$14,'Annual Parameters'!$B$33:$W$104,3,FALSE))))</f>
        <v>42.415831094542135</v>
      </c>
      <c r="E69" s="2158">
        <f>IF(ISERROR(VLOOKUP($B69,'VoC Fuel'!$B$28:$O$126,1,FALSE)),"",IF(VLOOKUP($B69,'VoC Fuel'!$B$28:$O$126,4,FALSE)="","",VLOOKUP($B69,'VoC Fuel'!$B$28:$O$126,4,FALSE) * (VLOOKUP($B$14,'Annual Parameters'!$B$33:$W$104,3,FALSE) / VLOOKUP('VoC Fuel'!$B$14,'Annual Parameters'!$B$33:$W$104,3,FALSE))))</f>
        <v>46.37706219646185</v>
      </c>
      <c r="F69" s="2160">
        <f>IF(ISERROR(VLOOKUP($B69,'VoC Fuel'!$B$28:$O$126,1,FALSE)),"",IF(VLOOKUP($B69,'VoC Fuel'!$B$28:$O$126,5,FALSE)="","",VLOOKUP($B69,'VoC Fuel'!$B$28:$O$126,5,FALSE) * (VLOOKUP($B$14,'Annual Parameters'!$B$33:$W$104,3,FALSE) / VLOOKUP('VoC Fuel'!$B$14,'Annual Parameters'!$B$33:$W$104,3,FALSE))))</f>
        <v>40.832242223684588</v>
      </c>
      <c r="G69" s="1654">
        <f>IF(ISERROR(VLOOKUP($B69,'VoC Fuel'!$B$28:$O$126,1,FALSE)),"",IF(VLOOKUP($B69,'VoC Fuel'!$B$28:$O$126,6,FALSE)="","",VLOOKUP($B69,'VoC Fuel'!$B$28:$O$126,6,FALSE) * (VLOOKUP($B$14,'Annual Parameters'!$B$33:$W$104,3,FALSE) / VLOOKUP('VoC Fuel'!$B$14,'Annual Parameters'!$B$33:$W$104,3,FALSE))))</f>
        <v>15.487670797843426</v>
      </c>
      <c r="H69" s="1590">
        <f>IF(ISERROR(VLOOKUP($B69,'VoC Fuel'!$B$28:$O$126,1,FALSE)),"",IF(VLOOKUP($B69,'VoC Fuel'!$B$28:$O$126,7,FALSE)="","",VLOOKUP($B69,'VoC Fuel'!$B$28:$O$126,7,FALSE) * (VLOOKUP($B$14,'Annual Parameters'!$B$33:$W$104,3,FALSE) / VLOOKUP('VoC Fuel'!$B$14,'Annual Parameters'!$B$33:$W$104,3,FALSE))))</f>
        <v>11.045016676639516</v>
      </c>
      <c r="I69" s="1654">
        <f>IF(ISERROR(VLOOKUP($B69,'VoC Fuel'!$B$28:$O$126,1,FALSE)),"",IF(VLOOKUP($B69,'VoC Fuel'!$B$28:$O$126,8,FALSE)="","",VLOOKUP($B69,'VoC Fuel'!$B$28:$O$126,8,FALSE) * (VLOOKUP($B$14,'Annual Parameters'!$B$33:$W$104,3,FALSE) / VLOOKUP('VoC Fuel'!$B$14,'Annual Parameters'!$B$33:$W$104,3,FALSE))))</f>
        <v>65.756401190456003</v>
      </c>
      <c r="J69" s="1654">
        <f>IF(ISERROR(VLOOKUP($B69,'VoC Fuel'!$B$28:$O$126,1,FALSE)),"",IF(VLOOKUP($B69,'VoC Fuel'!$B$28:$O$126,9,FALSE)="","",VLOOKUP($B69,'VoC Fuel'!$B$28:$O$126,9,FALSE) * (VLOOKUP($B$14,'Annual Parameters'!$B$33:$W$104,3,FALSE) / VLOOKUP('VoC Fuel'!$B$14,'Annual Parameters'!$B$33:$W$104,3,FALSE))))</f>
        <v>65.756401190456003</v>
      </c>
      <c r="K69" s="1654">
        <f>IF(ISERROR(VLOOKUP($B69,'VoC Fuel'!$B$28:$O$126,1,FALSE)),"",IF(VLOOKUP($B69,'VoC Fuel'!$B$28:$O$126,10,FALSE)="","",VLOOKUP($B69,'VoC Fuel'!$B$28:$O$126,10,FALSE) * (VLOOKUP($B$14,'Annual Parameters'!$B$33:$W$104,3,FALSE) / VLOOKUP('VoC Fuel'!$B$14,'Annual Parameters'!$B$33:$W$104,3,FALSE))))</f>
        <v>12.64066107440345</v>
      </c>
      <c r="L69" s="1257">
        <f>IF(ISERROR(VLOOKUP($B69,'VoC Fuel'!$B$28:$O$126,1,FALSE)),"",IF(VLOOKUP($B69,'VoC Fuel'!$B$28:$O$126,11,FALSE)="","",VLOOKUP($B69,'VoC Fuel'!$B$28:$O$126,11,FALSE) * (VLOOKUP($B$14,'Annual Parameters'!$B$33:$W$104,3,FALSE) / VLOOKUP('VoC Fuel'!$B$14,'Annual Parameters'!$B$33:$W$104,3,FALSE))))</f>
        <v>0</v>
      </c>
      <c r="M69" s="1256">
        <f>IF(ISERROR(VLOOKUP($B69,'VoC Fuel'!$B$28:$O$126,1,FALSE)),"",IF(VLOOKUP(B69,'VoC Fuel'!$B$28:$O$126,12,FALSE)="","",VLOOKUP(B69,'VoC Fuel'!$B$28:$O$126,12,FALSE)))</f>
        <v>20</v>
      </c>
      <c r="N69" s="1256">
        <f>IF(ISERROR(VLOOKUP($B69,'VoC Fuel'!$B$28:$O$126,1,FALSE)),"",IF(VLOOKUP($B69,'VoC Fuel'!$B$28:$O$126,13,FALSE)="","",VLOOKUP($B69,'VoC Fuel'!$B$28:$O$126,13,FALSE)))</f>
        <v>20</v>
      </c>
      <c r="O69" s="1256">
        <f>IF(ISERROR(VLOOKUP($B69,'VoC Fuel'!$B$28:$O$126,1,FALSE)),"",IF(VLOOKUP($B69,'VoC Fuel'!$B$28:$O$126,14,FALSE)="","",VLOOKUP($B69,'VoC Fuel'!$B$28:$O$126,14,FALSE)))</f>
        <v>5</v>
      </c>
    </row>
    <row r="70" spans="2:15" ht="13.5" customHeight="1">
      <c r="B70" s="1589">
        <f t="shared" si="0"/>
        <v>2052</v>
      </c>
      <c r="C70" s="147"/>
      <c r="D70" s="51">
        <f>IF(ISERROR(VLOOKUP($B70,'VoC Fuel'!$B$28:$O$126,1,FALSE)),"",IF(VLOOKUP($B70,'VoC Fuel'!$B$28:$O$126,3,FALSE)="","",VLOOKUP($B70,'VoC Fuel'!$B$28:$O$126,3,FALSE) * (VLOOKUP($B$14,'Annual Parameters'!$B$33:$W$104,3,FALSE) / VLOOKUP('VoC Fuel'!$B$14,'Annual Parameters'!$B$33:$W$104,3,FALSE))))</f>
        <v>42.415831094542135</v>
      </c>
      <c r="E70" s="2158">
        <f>IF(ISERROR(VLOOKUP($B70,'VoC Fuel'!$B$28:$O$126,1,FALSE)),"",IF(VLOOKUP($B70,'VoC Fuel'!$B$28:$O$126,4,FALSE)="","",VLOOKUP($B70,'VoC Fuel'!$B$28:$O$126,4,FALSE) * (VLOOKUP($B$14,'Annual Parameters'!$B$33:$W$104,3,FALSE) / VLOOKUP('VoC Fuel'!$B$14,'Annual Parameters'!$B$33:$W$104,3,FALSE))))</f>
        <v>46.37706219646185</v>
      </c>
      <c r="F70" s="2160">
        <f>IF(ISERROR(VLOOKUP($B70,'VoC Fuel'!$B$28:$O$126,1,FALSE)),"",IF(VLOOKUP($B70,'VoC Fuel'!$B$28:$O$126,5,FALSE)="","",VLOOKUP($B70,'VoC Fuel'!$B$28:$O$126,5,FALSE) * (VLOOKUP($B$14,'Annual Parameters'!$B$33:$W$104,3,FALSE) / VLOOKUP('VoC Fuel'!$B$14,'Annual Parameters'!$B$33:$W$104,3,FALSE))))</f>
        <v>40.832242223684588</v>
      </c>
      <c r="G70" s="1654">
        <f>IF(ISERROR(VLOOKUP($B70,'VoC Fuel'!$B$28:$O$126,1,FALSE)),"",IF(VLOOKUP($B70,'VoC Fuel'!$B$28:$O$126,6,FALSE)="","",VLOOKUP($B70,'VoC Fuel'!$B$28:$O$126,6,FALSE) * (VLOOKUP($B$14,'Annual Parameters'!$B$33:$W$104,3,FALSE) / VLOOKUP('VoC Fuel'!$B$14,'Annual Parameters'!$B$33:$W$104,3,FALSE))))</f>
        <v>15.487670797843426</v>
      </c>
      <c r="H70" s="1590">
        <f>IF(ISERROR(VLOOKUP($B70,'VoC Fuel'!$B$28:$O$126,1,FALSE)),"",IF(VLOOKUP($B70,'VoC Fuel'!$B$28:$O$126,7,FALSE)="","",VLOOKUP($B70,'VoC Fuel'!$B$28:$O$126,7,FALSE) * (VLOOKUP($B$14,'Annual Parameters'!$B$33:$W$104,3,FALSE) / VLOOKUP('VoC Fuel'!$B$14,'Annual Parameters'!$B$33:$W$104,3,FALSE))))</f>
        <v>11.045016676639516</v>
      </c>
      <c r="I70" s="1654">
        <f>IF(ISERROR(VLOOKUP($B70,'VoC Fuel'!$B$28:$O$126,1,FALSE)),"",IF(VLOOKUP($B70,'VoC Fuel'!$B$28:$O$126,8,FALSE)="","",VLOOKUP($B70,'VoC Fuel'!$B$28:$O$126,8,FALSE) * (VLOOKUP($B$14,'Annual Parameters'!$B$33:$W$104,3,FALSE) / VLOOKUP('VoC Fuel'!$B$14,'Annual Parameters'!$B$33:$W$104,3,FALSE))))</f>
        <v>66.206347239657603</v>
      </c>
      <c r="J70" s="1654">
        <f>IF(ISERROR(VLOOKUP($B70,'VoC Fuel'!$B$28:$O$126,1,FALSE)),"",IF(VLOOKUP($B70,'VoC Fuel'!$B$28:$O$126,9,FALSE)="","",VLOOKUP($B70,'VoC Fuel'!$B$28:$O$126,9,FALSE) * (VLOOKUP($B$14,'Annual Parameters'!$B$33:$W$104,3,FALSE) / VLOOKUP('VoC Fuel'!$B$14,'Annual Parameters'!$B$33:$W$104,3,FALSE))))</f>
        <v>66.206347239657603</v>
      </c>
      <c r="K70" s="1654">
        <f>IF(ISERROR(VLOOKUP($B70,'VoC Fuel'!$B$28:$O$126,1,FALSE)),"",IF(VLOOKUP($B70,'VoC Fuel'!$B$28:$O$126,10,FALSE)="","",VLOOKUP($B70,'VoC Fuel'!$B$28:$O$126,10,FALSE) * (VLOOKUP($B$14,'Annual Parameters'!$B$33:$W$104,3,FALSE) / VLOOKUP('VoC Fuel'!$B$14,'Annual Parameters'!$B$33:$W$104,3,FALSE))))</f>
        <v>12.72715631147171</v>
      </c>
      <c r="L70" s="1257">
        <f>IF(ISERROR(VLOOKUP($B70,'VoC Fuel'!$B$28:$O$126,1,FALSE)),"",IF(VLOOKUP($B70,'VoC Fuel'!$B$28:$O$126,11,FALSE)="","",VLOOKUP($B70,'VoC Fuel'!$B$28:$O$126,11,FALSE) * (VLOOKUP($B$14,'Annual Parameters'!$B$33:$W$104,3,FALSE) / VLOOKUP('VoC Fuel'!$B$14,'Annual Parameters'!$B$33:$W$104,3,FALSE))))</f>
        <v>0</v>
      </c>
      <c r="M70" s="1256">
        <f>IF(ISERROR(VLOOKUP($B70,'VoC Fuel'!$B$28:$O$126,1,FALSE)),"",IF(VLOOKUP(B70,'VoC Fuel'!$B$28:$O$126,12,FALSE)="","",VLOOKUP(B70,'VoC Fuel'!$B$28:$O$126,12,FALSE)))</f>
        <v>20</v>
      </c>
      <c r="N70" s="1256">
        <f>IF(ISERROR(VLOOKUP($B70,'VoC Fuel'!$B$28:$O$126,1,FALSE)),"",IF(VLOOKUP($B70,'VoC Fuel'!$B$28:$O$126,13,FALSE)="","",VLOOKUP($B70,'VoC Fuel'!$B$28:$O$126,13,FALSE)))</f>
        <v>20</v>
      </c>
      <c r="O70" s="1256">
        <f>IF(ISERROR(VLOOKUP($B70,'VoC Fuel'!$B$28:$O$126,1,FALSE)),"",IF(VLOOKUP($B70,'VoC Fuel'!$B$28:$O$126,14,FALSE)="","",VLOOKUP($B70,'VoC Fuel'!$B$28:$O$126,14,FALSE)))</f>
        <v>5</v>
      </c>
    </row>
    <row r="71" spans="2:15" ht="13.5" customHeight="1">
      <c r="B71" s="1589">
        <f t="shared" si="0"/>
        <v>2053</v>
      </c>
      <c r="C71" s="147"/>
      <c r="D71" s="51">
        <f>IF(ISERROR(VLOOKUP($B71,'VoC Fuel'!$B$28:$O$126,1,FALSE)),"",IF(VLOOKUP($B71,'VoC Fuel'!$B$28:$O$126,3,FALSE)="","",VLOOKUP($B71,'VoC Fuel'!$B$28:$O$126,3,FALSE) * (VLOOKUP($B$14,'Annual Parameters'!$B$33:$W$104,3,FALSE) / VLOOKUP('VoC Fuel'!$B$14,'Annual Parameters'!$B$33:$W$104,3,FALSE))))</f>
        <v>42.415831094542135</v>
      </c>
      <c r="E71" s="2158">
        <f>IF(ISERROR(VLOOKUP($B71,'VoC Fuel'!$B$28:$O$126,1,FALSE)),"",IF(VLOOKUP($B71,'VoC Fuel'!$B$28:$O$126,4,FALSE)="","",VLOOKUP($B71,'VoC Fuel'!$B$28:$O$126,4,FALSE) * (VLOOKUP($B$14,'Annual Parameters'!$B$33:$W$104,3,FALSE) / VLOOKUP('VoC Fuel'!$B$14,'Annual Parameters'!$B$33:$W$104,3,FALSE))))</f>
        <v>46.37706219646185</v>
      </c>
      <c r="F71" s="2160">
        <f>IF(ISERROR(VLOOKUP($B71,'VoC Fuel'!$B$28:$O$126,1,FALSE)),"",IF(VLOOKUP($B71,'VoC Fuel'!$B$28:$O$126,5,FALSE)="","",VLOOKUP($B71,'VoC Fuel'!$B$28:$O$126,5,FALSE) * (VLOOKUP($B$14,'Annual Parameters'!$B$33:$W$104,3,FALSE) / VLOOKUP('VoC Fuel'!$B$14,'Annual Parameters'!$B$33:$W$104,3,FALSE))))</f>
        <v>40.832242223684588</v>
      </c>
      <c r="G71" s="1654">
        <f>IF(ISERROR(VLOOKUP($B71,'VoC Fuel'!$B$28:$O$126,1,FALSE)),"",IF(VLOOKUP($B71,'VoC Fuel'!$B$28:$O$126,6,FALSE)="","",VLOOKUP($B71,'VoC Fuel'!$B$28:$O$126,6,FALSE) * (VLOOKUP($B$14,'Annual Parameters'!$B$33:$W$104,3,FALSE) / VLOOKUP('VoC Fuel'!$B$14,'Annual Parameters'!$B$33:$W$104,3,FALSE))))</f>
        <v>15.487670797843426</v>
      </c>
      <c r="H71" s="1590">
        <f>IF(ISERROR(VLOOKUP($B71,'VoC Fuel'!$B$28:$O$126,1,FALSE)),"",IF(VLOOKUP($B71,'VoC Fuel'!$B$28:$O$126,7,FALSE)="","",VLOOKUP($B71,'VoC Fuel'!$B$28:$O$126,7,FALSE) * (VLOOKUP($B$14,'Annual Parameters'!$B$33:$W$104,3,FALSE) / VLOOKUP('VoC Fuel'!$B$14,'Annual Parameters'!$B$33:$W$104,3,FALSE))))</f>
        <v>11.045016676639516</v>
      </c>
      <c r="I71" s="1654">
        <f>IF(ISERROR(VLOOKUP($B71,'VoC Fuel'!$B$28:$O$126,1,FALSE)),"",IF(VLOOKUP($B71,'VoC Fuel'!$B$28:$O$126,8,FALSE)="","",VLOOKUP($B71,'VoC Fuel'!$B$28:$O$126,8,FALSE) * (VLOOKUP($B$14,'Annual Parameters'!$B$33:$W$104,3,FALSE) / VLOOKUP('VoC Fuel'!$B$14,'Annual Parameters'!$B$33:$W$104,3,FALSE))))</f>
        <v>66.659372098579993</v>
      </c>
      <c r="J71" s="1654">
        <f>IF(ISERROR(VLOOKUP($B71,'VoC Fuel'!$B$28:$O$126,1,FALSE)),"",IF(VLOOKUP($B71,'VoC Fuel'!$B$28:$O$126,9,FALSE)="","",VLOOKUP($B71,'VoC Fuel'!$B$28:$O$126,9,FALSE) * (VLOOKUP($B$14,'Annual Parameters'!$B$33:$W$104,3,FALSE) / VLOOKUP('VoC Fuel'!$B$14,'Annual Parameters'!$B$33:$W$104,3,FALSE))))</f>
        <v>66.659372098579993</v>
      </c>
      <c r="K71" s="1654">
        <f>IF(ISERROR(VLOOKUP($B71,'VoC Fuel'!$B$28:$O$126,1,FALSE)),"",IF(VLOOKUP($B71,'VoC Fuel'!$B$28:$O$126,10,FALSE)="","",VLOOKUP($B71,'VoC Fuel'!$B$28:$O$126,10,FALSE) * (VLOOKUP($B$14,'Annual Parameters'!$B$33:$W$104,3,FALSE) / VLOOKUP('VoC Fuel'!$B$14,'Annual Parameters'!$B$33:$W$104,3,FALSE))))</f>
        <v>12.814243402557052</v>
      </c>
      <c r="L71" s="1257">
        <f>IF(ISERROR(VLOOKUP($B71,'VoC Fuel'!$B$28:$O$126,1,FALSE)),"",IF(VLOOKUP($B71,'VoC Fuel'!$B$28:$O$126,11,FALSE)="","",VLOOKUP($B71,'VoC Fuel'!$B$28:$O$126,11,FALSE) * (VLOOKUP($B$14,'Annual Parameters'!$B$33:$W$104,3,FALSE) / VLOOKUP('VoC Fuel'!$B$14,'Annual Parameters'!$B$33:$W$104,3,FALSE))))</f>
        <v>0</v>
      </c>
      <c r="M71" s="1256">
        <f>IF(ISERROR(VLOOKUP($B71,'VoC Fuel'!$B$28:$O$126,1,FALSE)),"",IF(VLOOKUP(B71,'VoC Fuel'!$B$28:$O$126,12,FALSE)="","",VLOOKUP(B71,'VoC Fuel'!$B$28:$O$126,12,FALSE)))</f>
        <v>20</v>
      </c>
      <c r="N71" s="1256">
        <f>IF(ISERROR(VLOOKUP($B71,'VoC Fuel'!$B$28:$O$126,1,FALSE)),"",IF(VLOOKUP($B71,'VoC Fuel'!$B$28:$O$126,13,FALSE)="","",VLOOKUP($B71,'VoC Fuel'!$B$28:$O$126,13,FALSE)))</f>
        <v>20</v>
      </c>
      <c r="O71" s="1256">
        <f>IF(ISERROR(VLOOKUP($B71,'VoC Fuel'!$B$28:$O$126,1,FALSE)),"",IF(VLOOKUP($B71,'VoC Fuel'!$B$28:$O$126,14,FALSE)="","",VLOOKUP($B71,'VoC Fuel'!$B$28:$O$126,14,FALSE)))</f>
        <v>5</v>
      </c>
    </row>
    <row r="72" spans="2:15" ht="13.5" customHeight="1">
      <c r="B72" s="1589">
        <f t="shared" si="0"/>
        <v>2054</v>
      </c>
      <c r="C72" s="147"/>
      <c r="D72" s="51">
        <f>IF(ISERROR(VLOOKUP($B72,'VoC Fuel'!$B$28:$O$126,1,FALSE)),"",IF(VLOOKUP($B72,'VoC Fuel'!$B$28:$O$126,3,FALSE)="","",VLOOKUP($B72,'VoC Fuel'!$B$28:$O$126,3,FALSE) * (VLOOKUP($B$14,'Annual Parameters'!$B$33:$W$104,3,FALSE) / VLOOKUP('VoC Fuel'!$B$14,'Annual Parameters'!$B$33:$W$104,3,FALSE))))</f>
        <v>42.415831094542135</v>
      </c>
      <c r="E72" s="2158">
        <f>IF(ISERROR(VLOOKUP($B72,'VoC Fuel'!$B$28:$O$126,1,FALSE)),"",IF(VLOOKUP($B72,'VoC Fuel'!$B$28:$O$126,4,FALSE)="","",VLOOKUP($B72,'VoC Fuel'!$B$28:$O$126,4,FALSE) * (VLOOKUP($B$14,'Annual Parameters'!$B$33:$W$104,3,FALSE) / VLOOKUP('VoC Fuel'!$B$14,'Annual Parameters'!$B$33:$W$104,3,FALSE))))</f>
        <v>46.37706219646185</v>
      </c>
      <c r="F72" s="2160">
        <f>IF(ISERROR(VLOOKUP($B72,'VoC Fuel'!$B$28:$O$126,1,FALSE)),"",IF(VLOOKUP($B72,'VoC Fuel'!$B$28:$O$126,5,FALSE)="","",VLOOKUP($B72,'VoC Fuel'!$B$28:$O$126,5,FALSE) * (VLOOKUP($B$14,'Annual Parameters'!$B$33:$W$104,3,FALSE) / VLOOKUP('VoC Fuel'!$B$14,'Annual Parameters'!$B$33:$W$104,3,FALSE))))</f>
        <v>40.832242223684588</v>
      </c>
      <c r="G72" s="1654">
        <f>IF(ISERROR(VLOOKUP($B72,'VoC Fuel'!$B$28:$O$126,1,FALSE)),"",IF(VLOOKUP($B72,'VoC Fuel'!$B$28:$O$126,6,FALSE)="","",VLOOKUP($B72,'VoC Fuel'!$B$28:$O$126,6,FALSE) * (VLOOKUP($B$14,'Annual Parameters'!$B$33:$W$104,3,FALSE) / VLOOKUP('VoC Fuel'!$B$14,'Annual Parameters'!$B$33:$W$104,3,FALSE))))</f>
        <v>15.487670797843426</v>
      </c>
      <c r="H72" s="1590">
        <f>IF(ISERROR(VLOOKUP($B72,'VoC Fuel'!$B$28:$O$126,1,FALSE)),"",IF(VLOOKUP($B72,'VoC Fuel'!$B$28:$O$126,7,FALSE)="","",VLOOKUP($B72,'VoC Fuel'!$B$28:$O$126,7,FALSE) * (VLOOKUP($B$14,'Annual Parameters'!$B$33:$W$104,3,FALSE) / VLOOKUP('VoC Fuel'!$B$14,'Annual Parameters'!$B$33:$W$104,3,FALSE))))</f>
        <v>11.045016676639516</v>
      </c>
      <c r="I72" s="1654">
        <f>IF(ISERROR(VLOOKUP($B72,'VoC Fuel'!$B$28:$O$126,1,FALSE)),"",IF(VLOOKUP($B72,'VoC Fuel'!$B$28:$O$126,8,FALSE)="","",VLOOKUP($B72,'VoC Fuel'!$B$28:$O$126,8,FALSE) * (VLOOKUP($B$14,'Annual Parameters'!$B$33:$W$104,3,FALSE) / VLOOKUP('VoC Fuel'!$B$14,'Annual Parameters'!$B$33:$W$104,3,FALSE))))</f>
        <v>67.115496834347411</v>
      </c>
      <c r="J72" s="1654">
        <f>IF(ISERROR(VLOOKUP($B72,'VoC Fuel'!$B$28:$O$126,1,FALSE)),"",IF(VLOOKUP($B72,'VoC Fuel'!$B$28:$O$126,9,FALSE)="","",VLOOKUP($B72,'VoC Fuel'!$B$28:$O$126,9,FALSE) * (VLOOKUP($B$14,'Annual Parameters'!$B$33:$W$104,3,FALSE) / VLOOKUP('VoC Fuel'!$B$14,'Annual Parameters'!$B$33:$W$104,3,FALSE))))</f>
        <v>67.115496834347411</v>
      </c>
      <c r="K72" s="1654">
        <f>IF(ISERROR(VLOOKUP($B72,'VoC Fuel'!$B$28:$O$126,1,FALSE)),"",IF(VLOOKUP($B72,'VoC Fuel'!$B$28:$O$126,10,FALSE)="","",VLOOKUP($B72,'VoC Fuel'!$B$28:$O$126,10,FALSE) * (VLOOKUP($B$14,'Annual Parameters'!$B$33:$W$104,3,FALSE) / VLOOKUP('VoC Fuel'!$B$14,'Annual Parameters'!$B$33:$W$104,3,FALSE))))</f>
        <v>12.901926397491463</v>
      </c>
      <c r="L72" s="1257">
        <f>IF(ISERROR(VLOOKUP($B72,'VoC Fuel'!$B$28:$O$126,1,FALSE)),"",IF(VLOOKUP($B72,'VoC Fuel'!$B$28:$O$126,11,FALSE)="","",VLOOKUP($B72,'VoC Fuel'!$B$28:$O$126,11,FALSE) * (VLOOKUP($B$14,'Annual Parameters'!$B$33:$W$104,3,FALSE) / VLOOKUP('VoC Fuel'!$B$14,'Annual Parameters'!$B$33:$W$104,3,FALSE))))</f>
        <v>0</v>
      </c>
      <c r="M72" s="1256">
        <f>IF(ISERROR(VLOOKUP($B72,'VoC Fuel'!$B$28:$O$126,1,FALSE)),"",IF(VLOOKUP(B72,'VoC Fuel'!$B$28:$O$126,12,FALSE)="","",VLOOKUP(B72,'VoC Fuel'!$B$28:$O$126,12,FALSE)))</f>
        <v>20</v>
      </c>
      <c r="N72" s="1256">
        <f>IF(ISERROR(VLOOKUP($B72,'VoC Fuel'!$B$28:$O$126,1,FALSE)),"",IF(VLOOKUP($B72,'VoC Fuel'!$B$28:$O$126,13,FALSE)="","",VLOOKUP($B72,'VoC Fuel'!$B$28:$O$126,13,FALSE)))</f>
        <v>20</v>
      </c>
      <c r="O72" s="1256">
        <f>IF(ISERROR(VLOOKUP($B72,'VoC Fuel'!$B$28:$O$126,1,FALSE)),"",IF(VLOOKUP($B72,'VoC Fuel'!$B$28:$O$126,14,FALSE)="","",VLOOKUP($B72,'VoC Fuel'!$B$28:$O$126,14,FALSE)))</f>
        <v>5</v>
      </c>
    </row>
    <row r="73" spans="2:15" ht="13.5" customHeight="1">
      <c r="B73" s="1589">
        <f t="shared" si="0"/>
        <v>2055</v>
      </c>
      <c r="C73" s="147"/>
      <c r="D73" s="51">
        <f>IF(ISERROR(VLOOKUP($B73,'VoC Fuel'!$B$28:$O$126,1,FALSE)),"",IF(VLOOKUP($B73,'VoC Fuel'!$B$28:$O$126,3,FALSE)="","",VLOOKUP($B73,'VoC Fuel'!$B$28:$O$126,3,FALSE) * (VLOOKUP($B$14,'Annual Parameters'!$B$33:$W$104,3,FALSE) / VLOOKUP('VoC Fuel'!$B$14,'Annual Parameters'!$B$33:$W$104,3,FALSE))))</f>
        <v>42.415831094542135</v>
      </c>
      <c r="E73" s="2158">
        <f>IF(ISERROR(VLOOKUP($B73,'VoC Fuel'!$B$28:$O$126,1,FALSE)),"",IF(VLOOKUP($B73,'VoC Fuel'!$B$28:$O$126,4,FALSE)="","",VLOOKUP($B73,'VoC Fuel'!$B$28:$O$126,4,FALSE) * (VLOOKUP($B$14,'Annual Parameters'!$B$33:$W$104,3,FALSE) / VLOOKUP('VoC Fuel'!$B$14,'Annual Parameters'!$B$33:$W$104,3,FALSE))))</f>
        <v>46.37706219646185</v>
      </c>
      <c r="F73" s="2160">
        <f>IF(ISERROR(VLOOKUP($B73,'VoC Fuel'!$B$28:$O$126,1,FALSE)),"",IF(VLOOKUP($B73,'VoC Fuel'!$B$28:$O$126,5,FALSE)="","",VLOOKUP($B73,'VoC Fuel'!$B$28:$O$126,5,FALSE) * (VLOOKUP($B$14,'Annual Parameters'!$B$33:$W$104,3,FALSE) / VLOOKUP('VoC Fuel'!$B$14,'Annual Parameters'!$B$33:$W$104,3,FALSE))))</f>
        <v>40.832242223684588</v>
      </c>
      <c r="G73" s="1654">
        <f>IF(ISERROR(VLOOKUP($B73,'VoC Fuel'!$B$28:$O$126,1,FALSE)),"",IF(VLOOKUP($B73,'VoC Fuel'!$B$28:$O$126,6,FALSE)="","",VLOOKUP($B73,'VoC Fuel'!$B$28:$O$126,6,FALSE) * (VLOOKUP($B$14,'Annual Parameters'!$B$33:$W$104,3,FALSE) / VLOOKUP('VoC Fuel'!$B$14,'Annual Parameters'!$B$33:$W$104,3,FALSE))))</f>
        <v>15.487670797843426</v>
      </c>
      <c r="H73" s="1590">
        <f>IF(ISERROR(VLOOKUP($B73,'VoC Fuel'!$B$28:$O$126,1,FALSE)),"",IF(VLOOKUP($B73,'VoC Fuel'!$B$28:$O$126,7,FALSE)="","",VLOOKUP($B73,'VoC Fuel'!$B$28:$O$126,7,FALSE) * (VLOOKUP($B$14,'Annual Parameters'!$B$33:$W$104,3,FALSE) / VLOOKUP('VoC Fuel'!$B$14,'Annual Parameters'!$B$33:$W$104,3,FALSE))))</f>
        <v>11.045016676639516</v>
      </c>
      <c r="I73" s="1654">
        <f>IF(ISERROR(VLOOKUP($B73,'VoC Fuel'!$B$28:$O$126,1,FALSE)),"",IF(VLOOKUP($B73,'VoC Fuel'!$B$28:$O$126,8,FALSE)="","",VLOOKUP($B73,'VoC Fuel'!$B$28:$O$126,8,FALSE) * (VLOOKUP($B$14,'Annual Parameters'!$B$33:$W$104,3,FALSE) / VLOOKUP('VoC Fuel'!$B$14,'Annual Parameters'!$B$33:$W$104,3,FALSE))))</f>
        <v>67.574742658238364</v>
      </c>
      <c r="J73" s="1654">
        <f>IF(ISERROR(VLOOKUP($B73,'VoC Fuel'!$B$28:$O$126,1,FALSE)),"",IF(VLOOKUP($B73,'VoC Fuel'!$B$28:$O$126,9,FALSE)="","",VLOOKUP($B73,'VoC Fuel'!$B$28:$O$126,9,FALSE) * (VLOOKUP($B$14,'Annual Parameters'!$B$33:$W$104,3,FALSE) / VLOOKUP('VoC Fuel'!$B$14,'Annual Parameters'!$B$33:$W$104,3,FALSE))))</f>
        <v>67.574742658238364</v>
      </c>
      <c r="K73" s="1654">
        <f>IF(ISERROR(VLOOKUP($B73,'VoC Fuel'!$B$28:$O$126,1,FALSE)),"",IF(VLOOKUP($B73,'VoC Fuel'!$B$28:$O$126,10,FALSE)="","",VLOOKUP($B73,'VoC Fuel'!$B$28:$O$126,10,FALSE) * (VLOOKUP($B$14,'Annual Parameters'!$B$33:$W$104,3,FALSE) / VLOOKUP('VoC Fuel'!$B$14,'Annual Parameters'!$B$33:$W$104,3,FALSE))))</f>
        <v>12.990209373818384</v>
      </c>
      <c r="L73" s="1257">
        <f>IF(ISERROR(VLOOKUP($B73,'VoC Fuel'!$B$28:$O$126,1,FALSE)),"",IF(VLOOKUP($B73,'VoC Fuel'!$B$28:$O$126,11,FALSE)="","",VLOOKUP($B73,'VoC Fuel'!$B$28:$O$126,11,FALSE) * (VLOOKUP($B$14,'Annual Parameters'!$B$33:$W$104,3,FALSE) / VLOOKUP('VoC Fuel'!$B$14,'Annual Parameters'!$B$33:$W$104,3,FALSE))))</f>
        <v>0</v>
      </c>
      <c r="M73" s="1256">
        <f>IF(ISERROR(VLOOKUP($B73,'VoC Fuel'!$B$28:$O$126,1,FALSE)),"",IF(VLOOKUP(B73,'VoC Fuel'!$B$28:$O$126,12,FALSE)="","",VLOOKUP(B73,'VoC Fuel'!$B$28:$O$126,12,FALSE)))</f>
        <v>20</v>
      </c>
      <c r="N73" s="1256">
        <f>IF(ISERROR(VLOOKUP($B73,'VoC Fuel'!$B$28:$O$126,1,FALSE)),"",IF(VLOOKUP($B73,'VoC Fuel'!$B$28:$O$126,13,FALSE)="","",VLOOKUP($B73,'VoC Fuel'!$B$28:$O$126,13,FALSE)))</f>
        <v>20</v>
      </c>
      <c r="O73" s="1256">
        <f>IF(ISERROR(VLOOKUP($B73,'VoC Fuel'!$B$28:$O$126,1,FALSE)),"",IF(VLOOKUP($B73,'VoC Fuel'!$B$28:$O$126,14,FALSE)="","",VLOOKUP($B73,'VoC Fuel'!$B$28:$O$126,14,FALSE)))</f>
        <v>5</v>
      </c>
    </row>
    <row r="74" spans="2:15" ht="13.5" customHeight="1">
      <c r="B74" s="1589">
        <f t="shared" si="0"/>
        <v>2056</v>
      </c>
      <c r="C74" s="147"/>
      <c r="D74" s="51">
        <f>IF(ISERROR(VLOOKUP($B74,'VoC Fuel'!$B$28:$O$126,1,FALSE)),"",IF(VLOOKUP($B74,'VoC Fuel'!$B$28:$O$126,3,FALSE)="","",VLOOKUP($B74,'VoC Fuel'!$B$28:$O$126,3,FALSE) * (VLOOKUP($B$14,'Annual Parameters'!$B$33:$W$104,3,FALSE) / VLOOKUP('VoC Fuel'!$B$14,'Annual Parameters'!$B$33:$W$104,3,FALSE))))</f>
        <v>42.415831094542135</v>
      </c>
      <c r="E74" s="2158">
        <f>IF(ISERROR(VLOOKUP($B74,'VoC Fuel'!$B$28:$O$126,1,FALSE)),"",IF(VLOOKUP($B74,'VoC Fuel'!$B$28:$O$126,4,FALSE)="","",VLOOKUP($B74,'VoC Fuel'!$B$28:$O$126,4,FALSE) * (VLOOKUP($B$14,'Annual Parameters'!$B$33:$W$104,3,FALSE) / VLOOKUP('VoC Fuel'!$B$14,'Annual Parameters'!$B$33:$W$104,3,FALSE))))</f>
        <v>46.37706219646185</v>
      </c>
      <c r="F74" s="2160">
        <f>IF(ISERROR(VLOOKUP($B74,'VoC Fuel'!$B$28:$O$126,1,FALSE)),"",IF(VLOOKUP($B74,'VoC Fuel'!$B$28:$O$126,5,FALSE)="","",VLOOKUP($B74,'VoC Fuel'!$B$28:$O$126,5,FALSE) * (VLOOKUP($B$14,'Annual Parameters'!$B$33:$W$104,3,FALSE) / VLOOKUP('VoC Fuel'!$B$14,'Annual Parameters'!$B$33:$W$104,3,FALSE))))</f>
        <v>40.832242223684588</v>
      </c>
      <c r="G74" s="1654">
        <f>IF(ISERROR(VLOOKUP($B74,'VoC Fuel'!$B$28:$O$126,1,FALSE)),"",IF(VLOOKUP($B74,'VoC Fuel'!$B$28:$O$126,6,FALSE)="","",VLOOKUP($B74,'VoC Fuel'!$B$28:$O$126,6,FALSE) * (VLOOKUP($B$14,'Annual Parameters'!$B$33:$W$104,3,FALSE) / VLOOKUP('VoC Fuel'!$B$14,'Annual Parameters'!$B$33:$W$104,3,FALSE))))</f>
        <v>15.487670797843426</v>
      </c>
      <c r="H74" s="1590">
        <f>IF(ISERROR(VLOOKUP($B74,'VoC Fuel'!$B$28:$O$126,1,FALSE)),"",IF(VLOOKUP($B74,'VoC Fuel'!$B$28:$O$126,7,FALSE)="","",VLOOKUP($B74,'VoC Fuel'!$B$28:$O$126,7,FALSE) * (VLOOKUP($B$14,'Annual Parameters'!$B$33:$W$104,3,FALSE) / VLOOKUP('VoC Fuel'!$B$14,'Annual Parameters'!$B$33:$W$104,3,FALSE))))</f>
        <v>11.045016676639516</v>
      </c>
      <c r="I74" s="1654">
        <f>IF(ISERROR(VLOOKUP($B74,'VoC Fuel'!$B$28:$O$126,1,FALSE)),"",IF(VLOOKUP($B74,'VoC Fuel'!$B$28:$O$126,8,FALSE)="","",VLOOKUP($B74,'VoC Fuel'!$B$28:$O$126,8,FALSE) * (VLOOKUP($B$14,'Annual Parameters'!$B$33:$W$104,3,FALSE) / VLOOKUP('VoC Fuel'!$B$14,'Annual Parameters'!$B$33:$W$104,3,FALSE))))</f>
        <v>68.037130926672049</v>
      </c>
      <c r="J74" s="1654">
        <f>IF(ISERROR(VLOOKUP($B74,'VoC Fuel'!$B$28:$O$126,1,FALSE)),"",IF(VLOOKUP($B74,'VoC Fuel'!$B$28:$O$126,9,FALSE)="","",VLOOKUP($B74,'VoC Fuel'!$B$28:$O$126,9,FALSE) * (VLOOKUP($B$14,'Annual Parameters'!$B$33:$W$104,3,FALSE) / VLOOKUP('VoC Fuel'!$B$14,'Annual Parameters'!$B$33:$W$104,3,FALSE))))</f>
        <v>68.037130926672049</v>
      </c>
      <c r="K74" s="1654">
        <f>IF(ISERROR(VLOOKUP($B74,'VoC Fuel'!$B$28:$O$126,1,FALSE)),"",IF(VLOOKUP($B74,'VoC Fuel'!$B$28:$O$126,10,FALSE)="","",VLOOKUP($B74,'VoC Fuel'!$B$28:$O$126,10,FALSE) * (VLOOKUP($B$14,'Annual Parameters'!$B$33:$W$104,3,FALSE) / VLOOKUP('VoC Fuel'!$B$14,'Annual Parameters'!$B$33:$W$104,3,FALSE))))</f>
        <v>13.079096436982343</v>
      </c>
      <c r="L74" s="1257">
        <f>IF(ISERROR(VLOOKUP($B74,'VoC Fuel'!$B$28:$O$126,1,FALSE)),"",IF(VLOOKUP($B74,'VoC Fuel'!$B$28:$O$126,11,FALSE)="","",VLOOKUP($B74,'VoC Fuel'!$B$28:$O$126,11,FALSE) * (VLOOKUP($B$14,'Annual Parameters'!$B$33:$W$104,3,FALSE) / VLOOKUP('VoC Fuel'!$B$14,'Annual Parameters'!$B$33:$W$104,3,FALSE))))</f>
        <v>0</v>
      </c>
      <c r="M74" s="1256">
        <f>IF(ISERROR(VLOOKUP($B74,'VoC Fuel'!$B$28:$O$126,1,FALSE)),"",IF(VLOOKUP(B74,'VoC Fuel'!$B$28:$O$126,12,FALSE)="","",VLOOKUP(B74,'VoC Fuel'!$B$28:$O$126,12,FALSE)))</f>
        <v>20</v>
      </c>
      <c r="N74" s="1256">
        <f>IF(ISERROR(VLOOKUP($B74,'VoC Fuel'!$B$28:$O$126,1,FALSE)),"",IF(VLOOKUP($B74,'VoC Fuel'!$B$28:$O$126,13,FALSE)="","",VLOOKUP($B74,'VoC Fuel'!$B$28:$O$126,13,FALSE)))</f>
        <v>20</v>
      </c>
      <c r="O74" s="1256">
        <f>IF(ISERROR(VLOOKUP($B74,'VoC Fuel'!$B$28:$O$126,1,FALSE)),"",IF(VLOOKUP($B74,'VoC Fuel'!$B$28:$O$126,14,FALSE)="","",VLOOKUP($B74,'VoC Fuel'!$B$28:$O$126,14,FALSE)))</f>
        <v>5</v>
      </c>
    </row>
    <row r="75" spans="2:15" ht="13.5" customHeight="1">
      <c r="B75" s="1589">
        <f t="shared" si="0"/>
        <v>2057</v>
      </c>
      <c r="C75" s="147"/>
      <c r="D75" s="51">
        <f>IF(ISERROR(VLOOKUP($B75,'VoC Fuel'!$B$28:$O$126,1,FALSE)),"",IF(VLOOKUP($B75,'VoC Fuel'!$B$28:$O$126,3,FALSE)="","",VLOOKUP($B75,'VoC Fuel'!$B$28:$O$126,3,FALSE) * (VLOOKUP($B$14,'Annual Parameters'!$B$33:$W$104,3,FALSE) / VLOOKUP('VoC Fuel'!$B$14,'Annual Parameters'!$B$33:$W$104,3,FALSE))))</f>
        <v>42.415831094542135</v>
      </c>
      <c r="E75" s="2158">
        <f>IF(ISERROR(VLOOKUP($B75,'VoC Fuel'!$B$28:$O$126,1,FALSE)),"",IF(VLOOKUP($B75,'VoC Fuel'!$B$28:$O$126,4,FALSE)="","",VLOOKUP($B75,'VoC Fuel'!$B$28:$O$126,4,FALSE) * (VLOOKUP($B$14,'Annual Parameters'!$B$33:$W$104,3,FALSE) / VLOOKUP('VoC Fuel'!$B$14,'Annual Parameters'!$B$33:$W$104,3,FALSE))))</f>
        <v>46.37706219646185</v>
      </c>
      <c r="F75" s="2160">
        <f>IF(ISERROR(VLOOKUP($B75,'VoC Fuel'!$B$28:$O$126,1,FALSE)),"",IF(VLOOKUP($B75,'VoC Fuel'!$B$28:$O$126,5,FALSE)="","",VLOOKUP($B75,'VoC Fuel'!$B$28:$O$126,5,FALSE) * (VLOOKUP($B$14,'Annual Parameters'!$B$33:$W$104,3,FALSE) / VLOOKUP('VoC Fuel'!$B$14,'Annual Parameters'!$B$33:$W$104,3,FALSE))))</f>
        <v>40.832242223684588</v>
      </c>
      <c r="G75" s="1654">
        <f>IF(ISERROR(VLOOKUP($B75,'VoC Fuel'!$B$28:$O$126,1,FALSE)),"",IF(VLOOKUP($B75,'VoC Fuel'!$B$28:$O$126,6,FALSE)="","",VLOOKUP($B75,'VoC Fuel'!$B$28:$O$126,6,FALSE) * (VLOOKUP($B$14,'Annual Parameters'!$B$33:$W$104,3,FALSE) / VLOOKUP('VoC Fuel'!$B$14,'Annual Parameters'!$B$33:$W$104,3,FALSE))))</f>
        <v>15.487670797843426</v>
      </c>
      <c r="H75" s="1590">
        <f>IF(ISERROR(VLOOKUP($B75,'VoC Fuel'!$B$28:$O$126,1,FALSE)),"",IF(VLOOKUP($B75,'VoC Fuel'!$B$28:$O$126,7,FALSE)="","",VLOOKUP($B75,'VoC Fuel'!$B$28:$O$126,7,FALSE) * (VLOOKUP($B$14,'Annual Parameters'!$B$33:$W$104,3,FALSE) / VLOOKUP('VoC Fuel'!$B$14,'Annual Parameters'!$B$33:$W$104,3,FALSE))))</f>
        <v>11.045016676639516</v>
      </c>
      <c r="I75" s="1654">
        <f>IF(ISERROR(VLOOKUP($B75,'VoC Fuel'!$B$28:$O$126,1,FALSE)),"",IF(VLOOKUP($B75,'VoC Fuel'!$B$28:$O$126,8,FALSE)="","",VLOOKUP($B75,'VoC Fuel'!$B$28:$O$126,8,FALSE) * (VLOOKUP($B$14,'Annual Parameters'!$B$33:$W$104,3,FALSE) / VLOOKUP('VoC Fuel'!$B$14,'Annual Parameters'!$B$33:$W$104,3,FALSE))))</f>
        <v>68.50268314220159</v>
      </c>
      <c r="J75" s="1654">
        <f>IF(ISERROR(VLOOKUP($B75,'VoC Fuel'!$B$28:$O$126,1,FALSE)),"",IF(VLOOKUP($B75,'VoC Fuel'!$B$28:$O$126,9,FALSE)="","",VLOOKUP($B75,'VoC Fuel'!$B$28:$O$126,9,FALSE) * (VLOOKUP($B$14,'Annual Parameters'!$B$33:$W$104,3,FALSE) / VLOOKUP('VoC Fuel'!$B$14,'Annual Parameters'!$B$33:$W$104,3,FALSE))))</f>
        <v>68.50268314220159</v>
      </c>
      <c r="K75" s="1654">
        <f>IF(ISERROR(VLOOKUP($B75,'VoC Fuel'!$B$28:$O$126,1,FALSE)),"",IF(VLOOKUP($B75,'VoC Fuel'!$B$28:$O$126,10,FALSE)="","",VLOOKUP($B75,'VoC Fuel'!$B$28:$O$126,10,FALSE) * (VLOOKUP($B$14,'Annual Parameters'!$B$33:$W$104,3,FALSE) / VLOOKUP('VoC Fuel'!$B$14,'Annual Parameters'!$B$33:$W$104,3,FALSE))))</f>
        <v>13.168591720519858</v>
      </c>
      <c r="L75" s="1257">
        <f>IF(ISERROR(VLOOKUP($B75,'VoC Fuel'!$B$28:$O$126,1,FALSE)),"",IF(VLOOKUP($B75,'VoC Fuel'!$B$28:$O$126,11,FALSE)="","",VLOOKUP($B75,'VoC Fuel'!$B$28:$O$126,11,FALSE) * (VLOOKUP($B$14,'Annual Parameters'!$B$33:$W$104,3,FALSE) / VLOOKUP('VoC Fuel'!$B$14,'Annual Parameters'!$B$33:$W$104,3,FALSE))))</f>
        <v>0</v>
      </c>
      <c r="M75" s="1256">
        <f>IF(ISERROR(VLOOKUP($B75,'VoC Fuel'!$B$28:$O$126,1,FALSE)),"",IF(VLOOKUP(B75,'VoC Fuel'!$B$28:$O$126,12,FALSE)="","",VLOOKUP(B75,'VoC Fuel'!$B$28:$O$126,12,FALSE)))</f>
        <v>20</v>
      </c>
      <c r="N75" s="1256">
        <f>IF(ISERROR(VLOOKUP($B75,'VoC Fuel'!$B$28:$O$126,1,FALSE)),"",IF(VLOOKUP($B75,'VoC Fuel'!$B$28:$O$126,13,FALSE)="","",VLOOKUP($B75,'VoC Fuel'!$B$28:$O$126,13,FALSE)))</f>
        <v>20</v>
      </c>
      <c r="O75" s="1256">
        <f>IF(ISERROR(VLOOKUP($B75,'VoC Fuel'!$B$28:$O$126,1,FALSE)),"",IF(VLOOKUP($B75,'VoC Fuel'!$B$28:$O$126,14,FALSE)="","",VLOOKUP($B75,'VoC Fuel'!$B$28:$O$126,14,FALSE)))</f>
        <v>5</v>
      </c>
    </row>
    <row r="76" spans="2:15" ht="13.5" customHeight="1">
      <c r="B76" s="1589">
        <f t="shared" si="0"/>
        <v>2058</v>
      </c>
      <c r="C76" s="147"/>
      <c r="D76" s="51">
        <f>IF(ISERROR(VLOOKUP($B76,'VoC Fuel'!$B$28:$O$126,1,FALSE)),"",IF(VLOOKUP($B76,'VoC Fuel'!$B$28:$O$126,3,FALSE)="","",VLOOKUP($B76,'VoC Fuel'!$B$28:$O$126,3,FALSE) * (VLOOKUP($B$14,'Annual Parameters'!$B$33:$W$104,3,FALSE) / VLOOKUP('VoC Fuel'!$B$14,'Annual Parameters'!$B$33:$W$104,3,FALSE))))</f>
        <v>42.415831094542135</v>
      </c>
      <c r="E76" s="2158">
        <f>IF(ISERROR(VLOOKUP($B76,'VoC Fuel'!$B$28:$O$126,1,FALSE)),"",IF(VLOOKUP($B76,'VoC Fuel'!$B$28:$O$126,4,FALSE)="","",VLOOKUP($B76,'VoC Fuel'!$B$28:$O$126,4,FALSE) * (VLOOKUP($B$14,'Annual Parameters'!$B$33:$W$104,3,FALSE) / VLOOKUP('VoC Fuel'!$B$14,'Annual Parameters'!$B$33:$W$104,3,FALSE))))</f>
        <v>46.37706219646185</v>
      </c>
      <c r="F76" s="2160">
        <f>IF(ISERROR(VLOOKUP($B76,'VoC Fuel'!$B$28:$O$126,1,FALSE)),"",IF(VLOOKUP($B76,'VoC Fuel'!$B$28:$O$126,5,FALSE)="","",VLOOKUP($B76,'VoC Fuel'!$B$28:$O$126,5,FALSE) * (VLOOKUP($B$14,'Annual Parameters'!$B$33:$W$104,3,FALSE) / VLOOKUP('VoC Fuel'!$B$14,'Annual Parameters'!$B$33:$W$104,3,FALSE))))</f>
        <v>40.832242223684588</v>
      </c>
      <c r="G76" s="1654">
        <f>IF(ISERROR(VLOOKUP($B76,'VoC Fuel'!$B$28:$O$126,1,FALSE)),"",IF(VLOOKUP($B76,'VoC Fuel'!$B$28:$O$126,6,FALSE)="","",VLOOKUP($B76,'VoC Fuel'!$B$28:$O$126,6,FALSE) * (VLOOKUP($B$14,'Annual Parameters'!$B$33:$W$104,3,FALSE) / VLOOKUP('VoC Fuel'!$B$14,'Annual Parameters'!$B$33:$W$104,3,FALSE))))</f>
        <v>15.487670797843426</v>
      </c>
      <c r="H76" s="1590">
        <f>IF(ISERROR(VLOOKUP($B76,'VoC Fuel'!$B$28:$O$126,1,FALSE)),"",IF(VLOOKUP($B76,'VoC Fuel'!$B$28:$O$126,7,FALSE)="","",VLOOKUP($B76,'VoC Fuel'!$B$28:$O$126,7,FALSE) * (VLOOKUP($B$14,'Annual Parameters'!$B$33:$W$104,3,FALSE) / VLOOKUP('VoC Fuel'!$B$14,'Annual Parameters'!$B$33:$W$104,3,FALSE))))</f>
        <v>11.045016676639516</v>
      </c>
      <c r="I76" s="1654">
        <f>IF(ISERROR(VLOOKUP($B76,'VoC Fuel'!$B$28:$O$126,1,FALSE)),"",IF(VLOOKUP($B76,'VoC Fuel'!$B$28:$O$126,8,FALSE)="","",VLOOKUP($B76,'VoC Fuel'!$B$28:$O$126,8,FALSE) * (VLOOKUP($B$14,'Annual Parameters'!$B$33:$W$104,3,FALSE) / VLOOKUP('VoC Fuel'!$B$14,'Annual Parameters'!$B$33:$W$104,3,FALSE))))</f>
        <v>68.971420954513832</v>
      </c>
      <c r="J76" s="1654">
        <f>IF(ISERROR(VLOOKUP($B76,'VoC Fuel'!$B$28:$O$126,1,FALSE)),"",IF(VLOOKUP($B76,'VoC Fuel'!$B$28:$O$126,9,FALSE)="","",VLOOKUP($B76,'VoC Fuel'!$B$28:$O$126,9,FALSE) * (VLOOKUP($B$14,'Annual Parameters'!$B$33:$W$104,3,FALSE) / VLOOKUP('VoC Fuel'!$B$14,'Annual Parameters'!$B$33:$W$104,3,FALSE))))</f>
        <v>68.971420954513817</v>
      </c>
      <c r="K76" s="1654">
        <f>IF(ISERROR(VLOOKUP($B76,'VoC Fuel'!$B$28:$O$126,1,FALSE)),"",IF(VLOOKUP($B76,'VoC Fuel'!$B$28:$O$126,10,FALSE)="","",VLOOKUP($B76,'VoC Fuel'!$B$28:$O$126,10,FALSE) * (VLOOKUP($B$14,'Annual Parameters'!$B$33:$W$104,3,FALSE) / VLOOKUP('VoC Fuel'!$B$14,'Annual Parameters'!$B$33:$W$104,3,FALSE))))</f>
        <v>13.258699386251667</v>
      </c>
      <c r="L76" s="1257">
        <f>IF(ISERROR(VLOOKUP($B76,'VoC Fuel'!$B$28:$O$126,1,FALSE)),"",IF(VLOOKUP($B76,'VoC Fuel'!$B$28:$O$126,11,FALSE)="","",VLOOKUP($B76,'VoC Fuel'!$B$28:$O$126,11,FALSE) * (VLOOKUP($B$14,'Annual Parameters'!$B$33:$W$104,3,FALSE) / VLOOKUP('VoC Fuel'!$B$14,'Annual Parameters'!$B$33:$W$104,3,FALSE))))</f>
        <v>0</v>
      </c>
      <c r="M76" s="1256">
        <f>IF(ISERROR(VLOOKUP($B76,'VoC Fuel'!$B$28:$O$126,1,FALSE)),"",IF(VLOOKUP(B76,'VoC Fuel'!$B$28:$O$126,12,FALSE)="","",VLOOKUP(B76,'VoC Fuel'!$B$28:$O$126,12,FALSE)))</f>
        <v>20</v>
      </c>
      <c r="N76" s="1256">
        <f>IF(ISERROR(VLOOKUP($B76,'VoC Fuel'!$B$28:$O$126,1,FALSE)),"",IF(VLOOKUP($B76,'VoC Fuel'!$B$28:$O$126,13,FALSE)="","",VLOOKUP($B76,'VoC Fuel'!$B$28:$O$126,13,FALSE)))</f>
        <v>20</v>
      </c>
      <c r="O76" s="1256">
        <f>IF(ISERROR(VLOOKUP($B76,'VoC Fuel'!$B$28:$O$126,1,FALSE)),"",IF(VLOOKUP($B76,'VoC Fuel'!$B$28:$O$126,14,FALSE)="","",VLOOKUP($B76,'VoC Fuel'!$B$28:$O$126,14,FALSE)))</f>
        <v>5</v>
      </c>
    </row>
    <row r="77" spans="2:15" ht="13.5" customHeight="1">
      <c r="B77" s="1589">
        <f t="shared" si="0"/>
        <v>2059</v>
      </c>
      <c r="C77" s="147"/>
      <c r="D77" s="51">
        <f>IF(ISERROR(VLOOKUP($B77,'VoC Fuel'!$B$28:$O$126,1,FALSE)),"",IF(VLOOKUP($B77,'VoC Fuel'!$B$28:$O$126,3,FALSE)="","",VLOOKUP($B77,'VoC Fuel'!$B$28:$O$126,3,FALSE) * (VLOOKUP($B$14,'Annual Parameters'!$B$33:$W$104,3,FALSE) / VLOOKUP('VoC Fuel'!$B$14,'Annual Parameters'!$B$33:$W$104,3,FALSE))))</f>
        <v>42.415831094542135</v>
      </c>
      <c r="E77" s="2158">
        <f>IF(ISERROR(VLOOKUP($B77,'VoC Fuel'!$B$28:$O$126,1,FALSE)),"",IF(VLOOKUP($B77,'VoC Fuel'!$B$28:$O$126,4,FALSE)="","",VLOOKUP($B77,'VoC Fuel'!$B$28:$O$126,4,FALSE) * (VLOOKUP($B$14,'Annual Parameters'!$B$33:$W$104,3,FALSE) / VLOOKUP('VoC Fuel'!$B$14,'Annual Parameters'!$B$33:$W$104,3,FALSE))))</f>
        <v>46.37706219646185</v>
      </c>
      <c r="F77" s="2160">
        <f>IF(ISERROR(VLOOKUP($B77,'VoC Fuel'!$B$28:$O$126,1,FALSE)),"",IF(VLOOKUP($B77,'VoC Fuel'!$B$28:$O$126,5,FALSE)="","",VLOOKUP($B77,'VoC Fuel'!$B$28:$O$126,5,FALSE) * (VLOOKUP($B$14,'Annual Parameters'!$B$33:$W$104,3,FALSE) / VLOOKUP('VoC Fuel'!$B$14,'Annual Parameters'!$B$33:$W$104,3,FALSE))))</f>
        <v>40.832242223684588</v>
      </c>
      <c r="G77" s="1654">
        <f>IF(ISERROR(VLOOKUP($B77,'VoC Fuel'!$B$28:$O$126,1,FALSE)),"",IF(VLOOKUP($B77,'VoC Fuel'!$B$28:$O$126,6,FALSE)="","",VLOOKUP($B77,'VoC Fuel'!$B$28:$O$126,6,FALSE) * (VLOOKUP($B$14,'Annual Parameters'!$B$33:$W$104,3,FALSE) / VLOOKUP('VoC Fuel'!$B$14,'Annual Parameters'!$B$33:$W$104,3,FALSE))))</f>
        <v>15.487670797843426</v>
      </c>
      <c r="H77" s="1590">
        <f>IF(ISERROR(VLOOKUP($B77,'VoC Fuel'!$B$28:$O$126,1,FALSE)),"",IF(VLOOKUP($B77,'VoC Fuel'!$B$28:$O$126,7,FALSE)="","",VLOOKUP($B77,'VoC Fuel'!$B$28:$O$126,7,FALSE) * (VLOOKUP($B$14,'Annual Parameters'!$B$33:$W$104,3,FALSE) / VLOOKUP('VoC Fuel'!$B$14,'Annual Parameters'!$B$33:$W$104,3,FALSE))))</f>
        <v>11.045016676639516</v>
      </c>
      <c r="I77" s="1654">
        <f>IF(ISERROR(VLOOKUP($B77,'VoC Fuel'!$B$28:$O$126,1,FALSE)),"",IF(VLOOKUP($B77,'VoC Fuel'!$B$28:$O$126,8,FALSE)="","",VLOOKUP($B77,'VoC Fuel'!$B$28:$O$126,8,FALSE) * (VLOOKUP($B$14,'Annual Parameters'!$B$33:$W$104,3,FALSE) / VLOOKUP('VoC Fuel'!$B$14,'Annual Parameters'!$B$33:$W$104,3,FALSE))))</f>
        <v>69.443366161436202</v>
      </c>
      <c r="J77" s="1654">
        <f>IF(ISERROR(VLOOKUP($B77,'VoC Fuel'!$B$28:$O$126,1,FALSE)),"",IF(VLOOKUP($B77,'VoC Fuel'!$B$28:$O$126,9,FALSE)="","",VLOOKUP($B77,'VoC Fuel'!$B$28:$O$126,9,FALSE) * (VLOOKUP($B$14,'Annual Parameters'!$B$33:$W$104,3,FALSE) / VLOOKUP('VoC Fuel'!$B$14,'Annual Parameters'!$B$33:$W$104,3,FALSE))))</f>
        <v>69.443366161436202</v>
      </c>
      <c r="K77" s="1654">
        <f>IF(ISERROR(VLOOKUP($B77,'VoC Fuel'!$B$28:$O$126,1,FALSE)),"",IF(VLOOKUP($B77,'VoC Fuel'!$B$28:$O$126,10,FALSE)="","",VLOOKUP($B77,'VoC Fuel'!$B$28:$O$126,10,FALSE) * (VLOOKUP($B$14,'Annual Parameters'!$B$33:$W$104,3,FALSE) / VLOOKUP('VoC Fuel'!$B$14,'Annual Parameters'!$B$33:$W$104,3,FALSE))))</f>
        <v>13.349423624476264</v>
      </c>
      <c r="L77" s="1257">
        <f>IF(ISERROR(VLOOKUP($B77,'VoC Fuel'!$B$28:$O$126,1,FALSE)),"",IF(VLOOKUP($B77,'VoC Fuel'!$B$28:$O$126,11,FALSE)="","",VLOOKUP($B77,'VoC Fuel'!$B$28:$O$126,11,FALSE) * (VLOOKUP($B$14,'Annual Parameters'!$B$33:$W$104,3,FALSE) / VLOOKUP('VoC Fuel'!$B$14,'Annual Parameters'!$B$33:$W$104,3,FALSE))))</f>
        <v>0</v>
      </c>
      <c r="M77" s="1256">
        <f>IF(ISERROR(VLOOKUP($B77,'VoC Fuel'!$B$28:$O$126,1,FALSE)),"",IF(VLOOKUP(B77,'VoC Fuel'!$B$28:$O$126,12,FALSE)="","",VLOOKUP(B77,'VoC Fuel'!$B$28:$O$126,12,FALSE)))</f>
        <v>20</v>
      </c>
      <c r="N77" s="1256">
        <f>IF(ISERROR(VLOOKUP($B77,'VoC Fuel'!$B$28:$O$126,1,FALSE)),"",IF(VLOOKUP($B77,'VoC Fuel'!$B$28:$O$126,13,FALSE)="","",VLOOKUP($B77,'VoC Fuel'!$B$28:$O$126,13,FALSE)))</f>
        <v>20</v>
      </c>
      <c r="O77" s="1256">
        <f>IF(ISERROR(VLOOKUP($B77,'VoC Fuel'!$B$28:$O$126,1,FALSE)),"",IF(VLOOKUP($B77,'VoC Fuel'!$B$28:$O$126,14,FALSE)="","",VLOOKUP($B77,'VoC Fuel'!$B$28:$O$126,14,FALSE)))</f>
        <v>5</v>
      </c>
    </row>
    <row r="78" spans="2:15" ht="13.5" customHeight="1">
      <c r="B78" s="1589">
        <f t="shared" si="0"/>
        <v>2060</v>
      </c>
      <c r="C78" s="147"/>
      <c r="D78" s="51">
        <f>IF(ISERROR(VLOOKUP($B78,'VoC Fuel'!$B$28:$O$126,1,FALSE)),"",IF(VLOOKUP($B78,'VoC Fuel'!$B$28:$O$126,3,FALSE)="","",VLOOKUP($B78,'VoC Fuel'!$B$28:$O$126,3,FALSE) * (VLOOKUP($B$14,'Annual Parameters'!$B$33:$W$104,3,FALSE) / VLOOKUP('VoC Fuel'!$B$14,'Annual Parameters'!$B$33:$W$104,3,FALSE))))</f>
        <v>42.415831094542135</v>
      </c>
      <c r="E78" s="2158">
        <f>IF(ISERROR(VLOOKUP($B78,'VoC Fuel'!$B$28:$O$126,1,FALSE)),"",IF(VLOOKUP($B78,'VoC Fuel'!$B$28:$O$126,4,FALSE)="","",VLOOKUP($B78,'VoC Fuel'!$B$28:$O$126,4,FALSE) * (VLOOKUP($B$14,'Annual Parameters'!$B$33:$W$104,3,FALSE) / VLOOKUP('VoC Fuel'!$B$14,'Annual Parameters'!$B$33:$W$104,3,FALSE))))</f>
        <v>46.37706219646185</v>
      </c>
      <c r="F78" s="2160">
        <f>IF(ISERROR(VLOOKUP($B78,'VoC Fuel'!$B$28:$O$126,1,FALSE)),"",IF(VLOOKUP($B78,'VoC Fuel'!$B$28:$O$126,5,FALSE)="","",VLOOKUP($B78,'VoC Fuel'!$B$28:$O$126,5,FALSE) * (VLOOKUP($B$14,'Annual Parameters'!$B$33:$W$104,3,FALSE) / VLOOKUP('VoC Fuel'!$B$14,'Annual Parameters'!$B$33:$W$104,3,FALSE))))</f>
        <v>40.832242223684588</v>
      </c>
      <c r="G78" s="1654">
        <f>IF(ISERROR(VLOOKUP($B78,'VoC Fuel'!$B$28:$O$126,1,FALSE)),"",IF(VLOOKUP($B78,'VoC Fuel'!$B$28:$O$126,6,FALSE)="","",VLOOKUP($B78,'VoC Fuel'!$B$28:$O$126,6,FALSE) * (VLOOKUP($B$14,'Annual Parameters'!$B$33:$W$104,3,FALSE) / VLOOKUP('VoC Fuel'!$B$14,'Annual Parameters'!$B$33:$W$104,3,FALSE))))</f>
        <v>15.487670797843426</v>
      </c>
      <c r="H78" s="1590">
        <f>IF(ISERROR(VLOOKUP($B78,'VoC Fuel'!$B$28:$O$126,1,FALSE)),"",IF(VLOOKUP($B78,'VoC Fuel'!$B$28:$O$126,7,FALSE)="","",VLOOKUP($B78,'VoC Fuel'!$B$28:$O$126,7,FALSE) * (VLOOKUP($B$14,'Annual Parameters'!$B$33:$W$104,3,FALSE) / VLOOKUP('VoC Fuel'!$B$14,'Annual Parameters'!$B$33:$W$104,3,FALSE))))</f>
        <v>11.045016676639516</v>
      </c>
      <c r="I78" s="1654">
        <f>IF(ISERROR(VLOOKUP($B78,'VoC Fuel'!$B$28:$O$126,1,FALSE)),"",IF(VLOOKUP($B78,'VoC Fuel'!$B$28:$O$126,8,FALSE)="","",VLOOKUP($B78,'VoC Fuel'!$B$28:$O$126,8,FALSE) * (VLOOKUP($B$14,'Annual Parameters'!$B$33:$W$104,3,FALSE) / VLOOKUP('VoC Fuel'!$B$14,'Annual Parameters'!$B$33:$W$104,3,FALSE))))</f>
        <v>69.918540709950406</v>
      </c>
      <c r="J78" s="1654">
        <f>IF(ISERROR(VLOOKUP($B78,'VoC Fuel'!$B$28:$O$126,1,FALSE)),"",IF(VLOOKUP($B78,'VoC Fuel'!$B$28:$O$126,9,FALSE)="","",VLOOKUP($B78,'VoC Fuel'!$B$28:$O$126,9,FALSE) * (VLOOKUP($B$14,'Annual Parameters'!$B$33:$W$104,3,FALSE) / VLOOKUP('VoC Fuel'!$B$14,'Annual Parameters'!$B$33:$W$104,3,FALSE))))</f>
        <v>69.918540709950406</v>
      </c>
      <c r="K78" s="1654">
        <f>IF(ISERROR(VLOOKUP($B78,'VoC Fuel'!$B$28:$O$126,1,FALSE)),"",IF(VLOOKUP($B78,'VoC Fuel'!$B$28:$O$126,10,FALSE)="","",VLOOKUP($B78,'VoC Fuel'!$B$28:$O$126,10,FALSE) * (VLOOKUP($B$14,'Annual Parameters'!$B$33:$W$104,3,FALSE) / VLOOKUP('VoC Fuel'!$B$14,'Annual Parameters'!$B$33:$W$104,3,FALSE))))</f>
        <v>13.44076865416476</v>
      </c>
      <c r="L78" s="1257">
        <f>IF(ISERROR(VLOOKUP($B78,'VoC Fuel'!$B$28:$O$126,1,FALSE)),"",IF(VLOOKUP($B78,'VoC Fuel'!$B$28:$O$126,11,FALSE)="","",VLOOKUP($B78,'VoC Fuel'!$B$28:$O$126,11,FALSE) * (VLOOKUP($B$14,'Annual Parameters'!$B$33:$W$104,3,FALSE) / VLOOKUP('VoC Fuel'!$B$14,'Annual Parameters'!$B$33:$W$104,3,FALSE))))</f>
        <v>0</v>
      </c>
      <c r="M78" s="1256">
        <f>IF(ISERROR(VLOOKUP($B78,'VoC Fuel'!$B$28:$O$126,1,FALSE)),"",IF(VLOOKUP(B78,'VoC Fuel'!$B$28:$O$126,12,FALSE)="","",VLOOKUP(B78,'VoC Fuel'!$B$28:$O$126,12,FALSE)))</f>
        <v>20</v>
      </c>
      <c r="N78" s="1256">
        <f>IF(ISERROR(VLOOKUP($B78,'VoC Fuel'!$B$28:$O$126,1,FALSE)),"",IF(VLOOKUP($B78,'VoC Fuel'!$B$28:$O$126,13,FALSE)="","",VLOOKUP($B78,'VoC Fuel'!$B$28:$O$126,13,FALSE)))</f>
        <v>20</v>
      </c>
      <c r="O78" s="1256">
        <f>IF(ISERROR(VLOOKUP($B78,'VoC Fuel'!$B$28:$O$126,1,FALSE)),"",IF(VLOOKUP($B78,'VoC Fuel'!$B$28:$O$126,14,FALSE)="","",VLOOKUP($B78,'VoC Fuel'!$B$28:$O$126,14,FALSE)))</f>
        <v>5</v>
      </c>
    </row>
    <row r="79" spans="2:15" ht="13.5" customHeight="1">
      <c r="B79" s="1589">
        <f t="shared" si="0"/>
        <v>2061</v>
      </c>
      <c r="C79" s="147"/>
      <c r="D79" s="51">
        <f>IF(ISERROR(VLOOKUP($B79,'VoC Fuel'!$B$28:$O$126,1,FALSE)),"",IF(VLOOKUP($B79,'VoC Fuel'!$B$28:$O$126,3,FALSE)="","",VLOOKUP($B79,'VoC Fuel'!$B$28:$O$126,3,FALSE) * (VLOOKUP($B$14,'Annual Parameters'!$B$33:$W$104,3,FALSE) / VLOOKUP('VoC Fuel'!$B$14,'Annual Parameters'!$B$33:$W$104,3,FALSE))))</f>
        <v>42.415831094542135</v>
      </c>
      <c r="E79" s="2158">
        <f>IF(ISERROR(VLOOKUP($B79,'VoC Fuel'!$B$28:$O$126,1,FALSE)),"",IF(VLOOKUP($B79,'VoC Fuel'!$B$28:$O$126,4,FALSE)="","",VLOOKUP($B79,'VoC Fuel'!$B$28:$O$126,4,FALSE) * (VLOOKUP($B$14,'Annual Parameters'!$B$33:$W$104,3,FALSE) / VLOOKUP('VoC Fuel'!$B$14,'Annual Parameters'!$B$33:$W$104,3,FALSE))))</f>
        <v>46.37706219646185</v>
      </c>
      <c r="F79" s="2160">
        <f>IF(ISERROR(VLOOKUP($B79,'VoC Fuel'!$B$28:$O$126,1,FALSE)),"",IF(VLOOKUP($B79,'VoC Fuel'!$B$28:$O$126,5,FALSE)="","",VLOOKUP($B79,'VoC Fuel'!$B$28:$O$126,5,FALSE) * (VLOOKUP($B$14,'Annual Parameters'!$B$33:$W$104,3,FALSE) / VLOOKUP('VoC Fuel'!$B$14,'Annual Parameters'!$B$33:$W$104,3,FALSE))))</f>
        <v>40.832242223684588</v>
      </c>
      <c r="G79" s="1654">
        <f>IF(ISERROR(VLOOKUP($B79,'VoC Fuel'!$B$28:$O$126,1,FALSE)),"",IF(VLOOKUP($B79,'VoC Fuel'!$B$28:$O$126,6,FALSE)="","",VLOOKUP($B79,'VoC Fuel'!$B$28:$O$126,6,FALSE) * (VLOOKUP($B$14,'Annual Parameters'!$B$33:$W$104,3,FALSE) / VLOOKUP('VoC Fuel'!$B$14,'Annual Parameters'!$B$33:$W$104,3,FALSE))))</f>
        <v>15.487670797843426</v>
      </c>
      <c r="H79" s="1590">
        <f>IF(ISERROR(VLOOKUP($B79,'VoC Fuel'!$B$28:$O$126,1,FALSE)),"",IF(VLOOKUP($B79,'VoC Fuel'!$B$28:$O$126,7,FALSE)="","",VLOOKUP($B79,'VoC Fuel'!$B$28:$O$126,7,FALSE) * (VLOOKUP($B$14,'Annual Parameters'!$B$33:$W$104,3,FALSE) / VLOOKUP('VoC Fuel'!$B$14,'Annual Parameters'!$B$33:$W$104,3,FALSE))))</f>
        <v>11.045016676639516</v>
      </c>
      <c r="I79" s="1654">
        <f>IF(ISERROR(VLOOKUP($B79,'VoC Fuel'!$B$28:$O$126,1,FALSE)),"",IF(VLOOKUP($B79,'VoC Fuel'!$B$28:$O$126,8,FALSE)="","",VLOOKUP($B79,'VoC Fuel'!$B$28:$O$126,8,FALSE) * (VLOOKUP($B$14,'Annual Parameters'!$B$33:$W$104,3,FALSE) / VLOOKUP('VoC Fuel'!$B$14,'Annual Parameters'!$B$33:$W$104,3,FALSE))))</f>
        <v>70.39696669721306</v>
      </c>
      <c r="J79" s="1654">
        <f>IF(ISERROR(VLOOKUP($B79,'VoC Fuel'!$B$28:$O$126,1,FALSE)),"",IF(VLOOKUP($B79,'VoC Fuel'!$B$28:$O$126,9,FALSE)="","",VLOOKUP($B79,'VoC Fuel'!$B$28:$O$126,9,FALSE) * (VLOOKUP($B$14,'Annual Parameters'!$B$33:$W$104,3,FALSE) / VLOOKUP('VoC Fuel'!$B$14,'Annual Parameters'!$B$33:$W$104,3,FALSE))))</f>
        <v>70.39696669721306</v>
      </c>
      <c r="K79" s="1654">
        <f>IF(ISERROR(VLOOKUP($B79,'VoC Fuel'!$B$28:$O$126,1,FALSE)),"",IF(VLOOKUP($B79,'VoC Fuel'!$B$28:$O$126,10,FALSE)="","",VLOOKUP($B79,'VoC Fuel'!$B$28:$O$126,10,FALSE) * (VLOOKUP($B$14,'Annual Parameters'!$B$33:$W$104,3,FALSE) / VLOOKUP('VoC Fuel'!$B$14,'Annual Parameters'!$B$33:$W$104,3,FALSE))))</f>
        <v>13.532738723157092</v>
      </c>
      <c r="L79" s="1257">
        <f>IF(ISERROR(VLOOKUP($B79,'VoC Fuel'!$B$28:$O$126,1,FALSE)),"",IF(VLOOKUP($B79,'VoC Fuel'!$B$28:$O$126,11,FALSE)="","",VLOOKUP($B79,'VoC Fuel'!$B$28:$O$126,11,FALSE) * (VLOOKUP($B$14,'Annual Parameters'!$B$33:$W$104,3,FALSE) / VLOOKUP('VoC Fuel'!$B$14,'Annual Parameters'!$B$33:$W$104,3,FALSE))))</f>
        <v>0</v>
      </c>
      <c r="M79" s="1256">
        <f>IF(ISERROR(VLOOKUP($B79,'VoC Fuel'!$B$28:$O$126,1,FALSE)),"",IF(VLOOKUP(B79,'VoC Fuel'!$B$28:$O$126,12,FALSE)="","",VLOOKUP(B79,'VoC Fuel'!$B$28:$O$126,12,FALSE)))</f>
        <v>20</v>
      </c>
      <c r="N79" s="1256">
        <f>IF(ISERROR(VLOOKUP($B79,'VoC Fuel'!$B$28:$O$126,1,FALSE)),"",IF(VLOOKUP($B79,'VoC Fuel'!$B$28:$O$126,13,FALSE)="","",VLOOKUP($B79,'VoC Fuel'!$B$28:$O$126,13,FALSE)))</f>
        <v>20</v>
      </c>
      <c r="O79" s="1256">
        <f>IF(ISERROR(VLOOKUP($B79,'VoC Fuel'!$B$28:$O$126,1,FALSE)),"",IF(VLOOKUP($B79,'VoC Fuel'!$B$28:$O$126,14,FALSE)="","",VLOOKUP($B79,'VoC Fuel'!$B$28:$O$126,14,FALSE)))</f>
        <v>5</v>
      </c>
    </row>
    <row r="80" spans="2:15" ht="13.5" customHeight="1">
      <c r="B80" s="1589">
        <f t="shared" si="0"/>
        <v>2062</v>
      </c>
      <c r="C80" s="147"/>
      <c r="D80" s="51">
        <f>IF(ISERROR(VLOOKUP($B80,'VoC Fuel'!$B$28:$O$126,1,FALSE)),"",IF(VLOOKUP($B80,'VoC Fuel'!$B$28:$O$126,3,FALSE)="","",VLOOKUP($B80,'VoC Fuel'!$B$28:$O$126,3,FALSE) * (VLOOKUP($B$14,'Annual Parameters'!$B$33:$W$104,3,FALSE) / VLOOKUP('VoC Fuel'!$B$14,'Annual Parameters'!$B$33:$W$104,3,FALSE))))</f>
        <v>42.415831094542135</v>
      </c>
      <c r="E80" s="2158">
        <f>IF(ISERROR(VLOOKUP($B80,'VoC Fuel'!$B$28:$O$126,1,FALSE)),"",IF(VLOOKUP($B80,'VoC Fuel'!$B$28:$O$126,4,FALSE)="","",VLOOKUP($B80,'VoC Fuel'!$B$28:$O$126,4,FALSE) * (VLOOKUP($B$14,'Annual Parameters'!$B$33:$W$104,3,FALSE) / VLOOKUP('VoC Fuel'!$B$14,'Annual Parameters'!$B$33:$W$104,3,FALSE))))</f>
        <v>46.37706219646185</v>
      </c>
      <c r="F80" s="2160">
        <f>IF(ISERROR(VLOOKUP($B80,'VoC Fuel'!$B$28:$O$126,1,FALSE)),"",IF(VLOOKUP($B80,'VoC Fuel'!$B$28:$O$126,5,FALSE)="","",VLOOKUP($B80,'VoC Fuel'!$B$28:$O$126,5,FALSE) * (VLOOKUP($B$14,'Annual Parameters'!$B$33:$W$104,3,FALSE) / VLOOKUP('VoC Fuel'!$B$14,'Annual Parameters'!$B$33:$W$104,3,FALSE))))</f>
        <v>40.832242223684588</v>
      </c>
      <c r="G80" s="1654">
        <f>IF(ISERROR(VLOOKUP($B80,'VoC Fuel'!$B$28:$O$126,1,FALSE)),"",IF(VLOOKUP($B80,'VoC Fuel'!$B$28:$O$126,6,FALSE)="","",VLOOKUP($B80,'VoC Fuel'!$B$28:$O$126,6,FALSE) * (VLOOKUP($B$14,'Annual Parameters'!$B$33:$W$104,3,FALSE) / VLOOKUP('VoC Fuel'!$B$14,'Annual Parameters'!$B$33:$W$104,3,FALSE))))</f>
        <v>15.487670797843426</v>
      </c>
      <c r="H80" s="1590">
        <f>IF(ISERROR(VLOOKUP($B80,'VoC Fuel'!$B$28:$O$126,1,FALSE)),"",IF(VLOOKUP($B80,'VoC Fuel'!$B$28:$O$126,7,FALSE)="","",VLOOKUP($B80,'VoC Fuel'!$B$28:$O$126,7,FALSE) * (VLOOKUP($B$14,'Annual Parameters'!$B$33:$W$104,3,FALSE) / VLOOKUP('VoC Fuel'!$B$14,'Annual Parameters'!$B$33:$W$104,3,FALSE))))</f>
        <v>11.045016676639516</v>
      </c>
      <c r="I80" s="1654">
        <f>IF(ISERROR(VLOOKUP($B80,'VoC Fuel'!$B$28:$O$126,1,FALSE)),"",IF(VLOOKUP($B80,'VoC Fuel'!$B$28:$O$126,8,FALSE)="","",VLOOKUP($B80,'VoC Fuel'!$B$28:$O$126,8,FALSE) * (VLOOKUP($B$14,'Annual Parameters'!$B$33:$W$104,3,FALSE) / VLOOKUP('VoC Fuel'!$B$14,'Annual Parameters'!$B$33:$W$104,3,FALSE))))</f>
        <v>70.878666371583051</v>
      </c>
      <c r="J80" s="1654">
        <f>IF(ISERROR(VLOOKUP($B80,'VoC Fuel'!$B$28:$O$126,1,FALSE)),"",IF(VLOOKUP($B80,'VoC Fuel'!$B$28:$O$126,9,FALSE)="","",VLOOKUP($B80,'VoC Fuel'!$B$28:$O$126,9,FALSE) * (VLOOKUP($B$14,'Annual Parameters'!$B$33:$W$104,3,FALSE) / VLOOKUP('VoC Fuel'!$B$14,'Annual Parameters'!$B$33:$W$104,3,FALSE))))</f>
        <v>70.878666371583051</v>
      </c>
      <c r="K80" s="1654">
        <f>IF(ISERROR(VLOOKUP($B80,'VoC Fuel'!$B$28:$O$126,1,FALSE)),"",IF(VLOOKUP($B80,'VoC Fuel'!$B$28:$O$126,10,FALSE)="","",VLOOKUP($B80,'VoC Fuel'!$B$28:$O$126,10,FALSE) * (VLOOKUP($B$14,'Annual Parameters'!$B$33:$W$104,3,FALSE) / VLOOKUP('VoC Fuel'!$B$14,'Annual Parameters'!$B$33:$W$104,3,FALSE))))</f>
        <v>13.625338108359536</v>
      </c>
      <c r="L80" s="1257">
        <f>IF(ISERROR(VLOOKUP($B80,'VoC Fuel'!$B$28:$O$126,1,FALSE)),"",IF(VLOOKUP($B80,'VoC Fuel'!$B$28:$O$126,11,FALSE)="","",VLOOKUP($B80,'VoC Fuel'!$B$28:$O$126,11,FALSE) * (VLOOKUP($B$14,'Annual Parameters'!$B$33:$W$104,3,FALSE) / VLOOKUP('VoC Fuel'!$B$14,'Annual Parameters'!$B$33:$W$104,3,FALSE))))</f>
        <v>0</v>
      </c>
      <c r="M80" s="1256">
        <f>IF(ISERROR(VLOOKUP($B80,'VoC Fuel'!$B$28:$O$126,1,FALSE)),"",IF(VLOOKUP(B80,'VoC Fuel'!$B$28:$O$126,12,FALSE)="","",VLOOKUP(B80,'VoC Fuel'!$B$28:$O$126,12,FALSE)))</f>
        <v>20</v>
      </c>
      <c r="N80" s="1256">
        <f>IF(ISERROR(VLOOKUP($B80,'VoC Fuel'!$B$28:$O$126,1,FALSE)),"",IF(VLOOKUP($B80,'VoC Fuel'!$B$28:$O$126,13,FALSE)="","",VLOOKUP($B80,'VoC Fuel'!$B$28:$O$126,13,FALSE)))</f>
        <v>20</v>
      </c>
      <c r="O80" s="1256">
        <f>IF(ISERROR(VLOOKUP($B80,'VoC Fuel'!$B$28:$O$126,1,FALSE)),"",IF(VLOOKUP($B80,'VoC Fuel'!$B$28:$O$126,14,FALSE)="","",VLOOKUP($B80,'VoC Fuel'!$B$28:$O$126,14,FALSE)))</f>
        <v>5</v>
      </c>
    </row>
    <row r="81" spans="2:15" ht="13.5" customHeight="1">
      <c r="B81" s="1589">
        <f t="shared" si="0"/>
        <v>2063</v>
      </c>
      <c r="C81" s="147"/>
      <c r="D81" s="51">
        <f>IF(ISERROR(VLOOKUP($B81,'VoC Fuel'!$B$28:$O$126,1,FALSE)),"",IF(VLOOKUP($B81,'VoC Fuel'!$B$28:$O$126,3,FALSE)="","",VLOOKUP($B81,'VoC Fuel'!$B$28:$O$126,3,FALSE) * (VLOOKUP($B$14,'Annual Parameters'!$B$33:$W$104,3,FALSE) / VLOOKUP('VoC Fuel'!$B$14,'Annual Parameters'!$B$33:$W$104,3,FALSE))))</f>
        <v>42.415831094542135</v>
      </c>
      <c r="E81" s="2158">
        <f>IF(ISERROR(VLOOKUP($B81,'VoC Fuel'!$B$28:$O$126,1,FALSE)),"",IF(VLOOKUP($B81,'VoC Fuel'!$B$28:$O$126,4,FALSE)="","",VLOOKUP($B81,'VoC Fuel'!$B$28:$O$126,4,FALSE) * (VLOOKUP($B$14,'Annual Parameters'!$B$33:$W$104,3,FALSE) / VLOOKUP('VoC Fuel'!$B$14,'Annual Parameters'!$B$33:$W$104,3,FALSE))))</f>
        <v>46.37706219646185</v>
      </c>
      <c r="F81" s="2160">
        <f>IF(ISERROR(VLOOKUP($B81,'VoC Fuel'!$B$28:$O$126,1,FALSE)),"",IF(VLOOKUP($B81,'VoC Fuel'!$B$28:$O$126,5,FALSE)="","",VLOOKUP($B81,'VoC Fuel'!$B$28:$O$126,5,FALSE) * (VLOOKUP($B$14,'Annual Parameters'!$B$33:$W$104,3,FALSE) / VLOOKUP('VoC Fuel'!$B$14,'Annual Parameters'!$B$33:$W$104,3,FALSE))))</f>
        <v>40.832242223684588</v>
      </c>
      <c r="G81" s="1654">
        <f>IF(ISERROR(VLOOKUP($B81,'VoC Fuel'!$B$28:$O$126,1,FALSE)),"",IF(VLOOKUP($B81,'VoC Fuel'!$B$28:$O$126,6,FALSE)="","",VLOOKUP($B81,'VoC Fuel'!$B$28:$O$126,6,FALSE) * (VLOOKUP($B$14,'Annual Parameters'!$B$33:$W$104,3,FALSE) / VLOOKUP('VoC Fuel'!$B$14,'Annual Parameters'!$B$33:$W$104,3,FALSE))))</f>
        <v>15.487670797843426</v>
      </c>
      <c r="H81" s="1590">
        <f>IF(ISERROR(VLOOKUP($B81,'VoC Fuel'!$B$28:$O$126,1,FALSE)),"",IF(VLOOKUP($B81,'VoC Fuel'!$B$28:$O$126,7,FALSE)="","",VLOOKUP($B81,'VoC Fuel'!$B$28:$O$126,7,FALSE) * (VLOOKUP($B$14,'Annual Parameters'!$B$33:$W$104,3,FALSE) / VLOOKUP('VoC Fuel'!$B$14,'Annual Parameters'!$B$33:$W$104,3,FALSE))))</f>
        <v>11.045016676639516</v>
      </c>
      <c r="I81" s="1654">
        <f>IF(ISERROR(VLOOKUP($B81,'VoC Fuel'!$B$28:$O$126,1,FALSE)),"",IF(VLOOKUP($B81,'VoC Fuel'!$B$28:$O$126,8,FALSE)="","",VLOOKUP($B81,'VoC Fuel'!$B$28:$O$126,8,FALSE) * (VLOOKUP($B$14,'Annual Parameters'!$B$33:$W$104,3,FALSE) / VLOOKUP('VoC Fuel'!$B$14,'Annual Parameters'!$B$33:$W$104,3,FALSE))))</f>
        <v>71.363662133656433</v>
      </c>
      <c r="J81" s="1654">
        <f>IF(ISERROR(VLOOKUP($B81,'VoC Fuel'!$B$28:$O$126,1,FALSE)),"",IF(VLOOKUP($B81,'VoC Fuel'!$B$28:$O$126,9,FALSE)="","",VLOOKUP($B81,'VoC Fuel'!$B$28:$O$126,9,FALSE) * (VLOOKUP($B$14,'Annual Parameters'!$B$33:$W$104,3,FALSE) / VLOOKUP('VoC Fuel'!$B$14,'Annual Parameters'!$B$33:$W$104,3,FALSE))))</f>
        <v>71.363662133656433</v>
      </c>
      <c r="K81" s="1654">
        <f>IF(ISERROR(VLOOKUP($B81,'VoC Fuel'!$B$28:$O$126,1,FALSE)),"",IF(VLOOKUP($B81,'VoC Fuel'!$B$28:$O$126,10,FALSE)="","",VLOOKUP($B81,'VoC Fuel'!$B$28:$O$126,10,FALSE) * (VLOOKUP($B$14,'Annual Parameters'!$B$33:$W$104,3,FALSE) / VLOOKUP('VoC Fuel'!$B$14,'Annual Parameters'!$B$33:$W$104,3,FALSE))))</f>
        <v>13.718571115943618</v>
      </c>
      <c r="L81" s="1257">
        <f>IF(ISERROR(VLOOKUP($B81,'VoC Fuel'!$B$28:$O$126,1,FALSE)),"",IF(VLOOKUP($B81,'VoC Fuel'!$B$28:$O$126,11,FALSE)="","",VLOOKUP($B81,'VoC Fuel'!$B$28:$O$126,11,FALSE) * (VLOOKUP($B$14,'Annual Parameters'!$B$33:$W$104,3,FALSE) / VLOOKUP('VoC Fuel'!$B$14,'Annual Parameters'!$B$33:$W$104,3,FALSE))))</f>
        <v>0</v>
      </c>
      <c r="M81" s="1256">
        <f>IF(ISERROR(VLOOKUP($B81,'VoC Fuel'!$B$28:$O$126,1,FALSE)),"",IF(VLOOKUP(B81,'VoC Fuel'!$B$28:$O$126,12,FALSE)="","",VLOOKUP(B81,'VoC Fuel'!$B$28:$O$126,12,FALSE)))</f>
        <v>20</v>
      </c>
      <c r="N81" s="1256">
        <f>IF(ISERROR(VLOOKUP($B81,'VoC Fuel'!$B$28:$O$126,1,FALSE)),"",IF(VLOOKUP($B81,'VoC Fuel'!$B$28:$O$126,13,FALSE)="","",VLOOKUP($B81,'VoC Fuel'!$B$28:$O$126,13,FALSE)))</f>
        <v>20</v>
      </c>
      <c r="O81" s="1256">
        <f>IF(ISERROR(VLOOKUP($B81,'VoC Fuel'!$B$28:$O$126,1,FALSE)),"",IF(VLOOKUP($B81,'VoC Fuel'!$B$28:$O$126,14,FALSE)="","",VLOOKUP($B81,'VoC Fuel'!$B$28:$O$126,14,FALSE)))</f>
        <v>5</v>
      </c>
    </row>
    <row r="82" spans="2:15" ht="13.5" customHeight="1">
      <c r="B82" s="1589">
        <f t="shared" si="0"/>
        <v>2064</v>
      </c>
      <c r="C82" s="147"/>
      <c r="D82" s="51">
        <f>IF(ISERROR(VLOOKUP($B82,'VoC Fuel'!$B$28:$O$126,1,FALSE)),"",IF(VLOOKUP($B82,'VoC Fuel'!$B$28:$O$126,3,FALSE)="","",VLOOKUP($B82,'VoC Fuel'!$B$28:$O$126,3,FALSE) * (VLOOKUP($B$14,'Annual Parameters'!$B$33:$W$104,3,FALSE) / VLOOKUP('VoC Fuel'!$B$14,'Annual Parameters'!$B$33:$W$104,3,FALSE))))</f>
        <v>42.415831094542135</v>
      </c>
      <c r="E82" s="2158">
        <f>IF(ISERROR(VLOOKUP($B82,'VoC Fuel'!$B$28:$O$126,1,FALSE)),"",IF(VLOOKUP($B82,'VoC Fuel'!$B$28:$O$126,4,FALSE)="","",VLOOKUP($B82,'VoC Fuel'!$B$28:$O$126,4,FALSE) * (VLOOKUP($B$14,'Annual Parameters'!$B$33:$W$104,3,FALSE) / VLOOKUP('VoC Fuel'!$B$14,'Annual Parameters'!$B$33:$W$104,3,FALSE))))</f>
        <v>46.37706219646185</v>
      </c>
      <c r="F82" s="2160">
        <f>IF(ISERROR(VLOOKUP($B82,'VoC Fuel'!$B$28:$O$126,1,FALSE)),"",IF(VLOOKUP($B82,'VoC Fuel'!$B$28:$O$126,5,FALSE)="","",VLOOKUP($B82,'VoC Fuel'!$B$28:$O$126,5,FALSE) * (VLOOKUP($B$14,'Annual Parameters'!$B$33:$W$104,3,FALSE) / VLOOKUP('VoC Fuel'!$B$14,'Annual Parameters'!$B$33:$W$104,3,FALSE))))</f>
        <v>40.832242223684588</v>
      </c>
      <c r="G82" s="1654">
        <f>IF(ISERROR(VLOOKUP($B82,'VoC Fuel'!$B$28:$O$126,1,FALSE)),"",IF(VLOOKUP($B82,'VoC Fuel'!$B$28:$O$126,6,FALSE)="","",VLOOKUP($B82,'VoC Fuel'!$B$28:$O$126,6,FALSE) * (VLOOKUP($B$14,'Annual Parameters'!$B$33:$W$104,3,FALSE) / VLOOKUP('VoC Fuel'!$B$14,'Annual Parameters'!$B$33:$W$104,3,FALSE))))</f>
        <v>15.487670797843426</v>
      </c>
      <c r="H82" s="1590">
        <f>IF(ISERROR(VLOOKUP($B82,'VoC Fuel'!$B$28:$O$126,1,FALSE)),"",IF(VLOOKUP($B82,'VoC Fuel'!$B$28:$O$126,7,FALSE)="","",VLOOKUP($B82,'VoC Fuel'!$B$28:$O$126,7,FALSE) * (VLOOKUP($B$14,'Annual Parameters'!$B$33:$W$104,3,FALSE) / VLOOKUP('VoC Fuel'!$B$14,'Annual Parameters'!$B$33:$W$104,3,FALSE))))</f>
        <v>11.045016676639516</v>
      </c>
      <c r="I82" s="1654">
        <f>IF(ISERROR(VLOOKUP($B82,'VoC Fuel'!$B$28:$O$126,1,FALSE)),"",IF(VLOOKUP($B82,'VoC Fuel'!$B$28:$O$126,8,FALSE)="","",VLOOKUP($B82,'VoC Fuel'!$B$28:$O$126,8,FALSE) * (VLOOKUP($B$14,'Annual Parameters'!$B$33:$W$104,3,FALSE) / VLOOKUP('VoC Fuel'!$B$14,'Annual Parameters'!$B$33:$W$104,3,FALSE))))</f>
        <v>71.851976537308076</v>
      </c>
      <c r="J82" s="1654">
        <f>IF(ISERROR(VLOOKUP($B82,'VoC Fuel'!$B$28:$O$126,1,FALSE)),"",IF(VLOOKUP($B82,'VoC Fuel'!$B$28:$O$126,9,FALSE)="","",VLOOKUP($B82,'VoC Fuel'!$B$28:$O$126,9,FALSE) * (VLOOKUP($B$14,'Annual Parameters'!$B$33:$W$104,3,FALSE) / VLOOKUP('VoC Fuel'!$B$14,'Annual Parameters'!$B$33:$W$104,3,FALSE))))</f>
        <v>71.851976537308076</v>
      </c>
      <c r="K82" s="1654">
        <f>IF(ISERROR(VLOOKUP($B82,'VoC Fuel'!$B$28:$O$126,1,FALSE)),"",IF(VLOOKUP($B82,'VoC Fuel'!$B$28:$O$126,10,FALSE)="","",VLOOKUP($B82,'VoC Fuel'!$B$28:$O$126,10,FALSE) * (VLOOKUP($B$14,'Annual Parameters'!$B$33:$W$104,3,FALSE) / VLOOKUP('VoC Fuel'!$B$14,'Annual Parameters'!$B$33:$W$104,3,FALSE))))</f>
        <v>13.812442081546367</v>
      </c>
      <c r="L82" s="1257">
        <f>IF(ISERROR(VLOOKUP($B82,'VoC Fuel'!$B$28:$O$126,1,FALSE)),"",IF(VLOOKUP($B82,'VoC Fuel'!$B$28:$O$126,11,FALSE)="","",VLOOKUP($B82,'VoC Fuel'!$B$28:$O$126,11,FALSE) * (VLOOKUP($B$14,'Annual Parameters'!$B$33:$W$104,3,FALSE) / VLOOKUP('VoC Fuel'!$B$14,'Annual Parameters'!$B$33:$W$104,3,FALSE))))</f>
        <v>0</v>
      </c>
      <c r="M82" s="1256">
        <f>IF(ISERROR(VLOOKUP($B82,'VoC Fuel'!$B$28:$O$126,1,FALSE)),"",IF(VLOOKUP(B82,'VoC Fuel'!$B$28:$O$126,12,FALSE)="","",VLOOKUP(B82,'VoC Fuel'!$B$28:$O$126,12,FALSE)))</f>
        <v>20</v>
      </c>
      <c r="N82" s="1256">
        <f>IF(ISERROR(VLOOKUP($B82,'VoC Fuel'!$B$28:$O$126,1,FALSE)),"",IF(VLOOKUP($B82,'VoC Fuel'!$B$28:$O$126,13,FALSE)="","",VLOOKUP($B82,'VoC Fuel'!$B$28:$O$126,13,FALSE)))</f>
        <v>20</v>
      </c>
      <c r="O82" s="1256">
        <f>IF(ISERROR(VLOOKUP($B82,'VoC Fuel'!$B$28:$O$126,1,FALSE)),"",IF(VLOOKUP($B82,'VoC Fuel'!$B$28:$O$126,14,FALSE)="","",VLOOKUP($B82,'VoC Fuel'!$B$28:$O$126,14,FALSE)))</f>
        <v>5</v>
      </c>
    </row>
    <row r="83" spans="2:15" ht="13.5" customHeight="1">
      <c r="B83" s="1589">
        <f t="shared" si="0"/>
        <v>2065</v>
      </c>
      <c r="C83" s="147"/>
      <c r="D83" s="51">
        <f>IF(ISERROR(VLOOKUP($B83,'VoC Fuel'!$B$28:$O$126,1,FALSE)),"",IF(VLOOKUP($B83,'VoC Fuel'!$B$28:$O$126,3,FALSE)="","",VLOOKUP($B83,'VoC Fuel'!$B$28:$O$126,3,FALSE) * (VLOOKUP($B$14,'Annual Parameters'!$B$33:$W$104,3,FALSE) / VLOOKUP('VoC Fuel'!$B$14,'Annual Parameters'!$B$33:$W$104,3,FALSE))))</f>
        <v>42.415831094542135</v>
      </c>
      <c r="E83" s="2158">
        <f>IF(ISERROR(VLOOKUP($B83,'VoC Fuel'!$B$28:$O$126,1,FALSE)),"",IF(VLOOKUP($B83,'VoC Fuel'!$B$28:$O$126,4,FALSE)="","",VLOOKUP($B83,'VoC Fuel'!$B$28:$O$126,4,FALSE) * (VLOOKUP($B$14,'Annual Parameters'!$B$33:$W$104,3,FALSE) / VLOOKUP('VoC Fuel'!$B$14,'Annual Parameters'!$B$33:$W$104,3,FALSE))))</f>
        <v>46.37706219646185</v>
      </c>
      <c r="F83" s="2160">
        <f>IF(ISERROR(VLOOKUP($B83,'VoC Fuel'!$B$28:$O$126,1,FALSE)),"",IF(VLOOKUP($B83,'VoC Fuel'!$B$28:$O$126,5,FALSE)="","",VLOOKUP($B83,'VoC Fuel'!$B$28:$O$126,5,FALSE) * (VLOOKUP($B$14,'Annual Parameters'!$B$33:$W$104,3,FALSE) / VLOOKUP('VoC Fuel'!$B$14,'Annual Parameters'!$B$33:$W$104,3,FALSE))))</f>
        <v>40.832242223684588</v>
      </c>
      <c r="G83" s="1654">
        <f>IF(ISERROR(VLOOKUP($B83,'VoC Fuel'!$B$28:$O$126,1,FALSE)),"",IF(VLOOKUP($B83,'VoC Fuel'!$B$28:$O$126,6,FALSE)="","",VLOOKUP($B83,'VoC Fuel'!$B$28:$O$126,6,FALSE) * (VLOOKUP($B$14,'Annual Parameters'!$B$33:$W$104,3,FALSE) / VLOOKUP('VoC Fuel'!$B$14,'Annual Parameters'!$B$33:$W$104,3,FALSE))))</f>
        <v>15.487670797843426</v>
      </c>
      <c r="H83" s="1590">
        <f>IF(ISERROR(VLOOKUP($B83,'VoC Fuel'!$B$28:$O$126,1,FALSE)),"",IF(VLOOKUP($B83,'VoC Fuel'!$B$28:$O$126,7,FALSE)="","",VLOOKUP($B83,'VoC Fuel'!$B$28:$O$126,7,FALSE) * (VLOOKUP($B$14,'Annual Parameters'!$B$33:$W$104,3,FALSE) / VLOOKUP('VoC Fuel'!$B$14,'Annual Parameters'!$B$33:$W$104,3,FALSE))))</f>
        <v>11.045016676639516</v>
      </c>
      <c r="I83" s="1654">
        <f>IF(ISERROR(VLOOKUP($B83,'VoC Fuel'!$B$28:$O$126,1,FALSE)),"",IF(VLOOKUP($B83,'VoC Fuel'!$B$28:$O$126,8,FALSE)="","",VLOOKUP($B83,'VoC Fuel'!$B$28:$O$126,8,FALSE) * (VLOOKUP($B$14,'Annual Parameters'!$B$33:$W$104,3,FALSE) / VLOOKUP('VoC Fuel'!$B$14,'Annual Parameters'!$B$33:$W$104,3,FALSE))))</f>
        <v>72.343632290740288</v>
      </c>
      <c r="J83" s="1654">
        <f>IF(ISERROR(VLOOKUP($B83,'VoC Fuel'!$B$28:$O$126,1,FALSE)),"",IF(VLOOKUP($B83,'VoC Fuel'!$B$28:$O$126,9,FALSE)="","",VLOOKUP($B83,'VoC Fuel'!$B$28:$O$126,9,FALSE) * (VLOOKUP($B$14,'Annual Parameters'!$B$33:$W$104,3,FALSE) / VLOOKUP('VoC Fuel'!$B$14,'Annual Parameters'!$B$33:$W$104,3,FALSE))))</f>
        <v>72.343632290740288</v>
      </c>
      <c r="K83" s="1654">
        <f>IF(ISERROR(VLOOKUP($B83,'VoC Fuel'!$B$28:$O$126,1,FALSE)),"",IF(VLOOKUP($B83,'VoC Fuel'!$B$28:$O$126,10,FALSE)="","",VLOOKUP($B83,'VoC Fuel'!$B$28:$O$126,10,FALSE) * (VLOOKUP($B$14,'Annual Parameters'!$B$33:$W$104,3,FALSE) / VLOOKUP('VoC Fuel'!$B$14,'Annual Parameters'!$B$33:$W$104,3,FALSE))))</f>
        <v>13.906955370471906</v>
      </c>
      <c r="L83" s="1257">
        <f>IF(ISERROR(VLOOKUP($B83,'VoC Fuel'!$B$28:$O$126,1,FALSE)),"",IF(VLOOKUP($B83,'VoC Fuel'!$B$28:$O$126,11,FALSE)="","",VLOOKUP($B83,'VoC Fuel'!$B$28:$O$126,11,FALSE) * (VLOOKUP($B$14,'Annual Parameters'!$B$33:$W$104,3,FALSE) / VLOOKUP('VoC Fuel'!$B$14,'Annual Parameters'!$B$33:$W$104,3,FALSE))))</f>
        <v>0</v>
      </c>
      <c r="M83" s="1256">
        <f>IF(ISERROR(VLOOKUP($B83,'VoC Fuel'!$B$28:$O$126,1,FALSE)),"",IF(VLOOKUP(B83,'VoC Fuel'!$B$28:$O$126,12,FALSE)="","",VLOOKUP(B83,'VoC Fuel'!$B$28:$O$126,12,FALSE)))</f>
        <v>20</v>
      </c>
      <c r="N83" s="1256">
        <f>IF(ISERROR(VLOOKUP($B83,'VoC Fuel'!$B$28:$O$126,1,FALSE)),"",IF(VLOOKUP($B83,'VoC Fuel'!$B$28:$O$126,13,FALSE)="","",VLOOKUP($B83,'VoC Fuel'!$B$28:$O$126,13,FALSE)))</f>
        <v>20</v>
      </c>
      <c r="O83" s="1256">
        <f>IF(ISERROR(VLOOKUP($B83,'VoC Fuel'!$B$28:$O$126,1,FALSE)),"",IF(VLOOKUP($B83,'VoC Fuel'!$B$28:$O$126,14,FALSE)="","",VLOOKUP($B83,'VoC Fuel'!$B$28:$O$126,14,FALSE)))</f>
        <v>5</v>
      </c>
    </row>
    <row r="84" spans="2:15" ht="13.5" customHeight="1">
      <c r="B84" s="1589">
        <f t="shared" si="0"/>
        <v>2066</v>
      </c>
      <c r="C84" s="147"/>
      <c r="D84" s="51">
        <f>IF(ISERROR(VLOOKUP($B84,'VoC Fuel'!$B$28:$O$126,1,FALSE)),"",IF(VLOOKUP($B84,'VoC Fuel'!$B$28:$O$126,3,FALSE)="","",VLOOKUP($B84,'VoC Fuel'!$B$28:$O$126,3,FALSE) * (VLOOKUP($B$14,'Annual Parameters'!$B$33:$W$104,3,FALSE) / VLOOKUP('VoC Fuel'!$B$14,'Annual Parameters'!$B$33:$W$104,3,FALSE))))</f>
        <v>42.415831094542135</v>
      </c>
      <c r="E84" s="2158">
        <f>IF(ISERROR(VLOOKUP($B84,'VoC Fuel'!$B$28:$O$126,1,FALSE)),"",IF(VLOOKUP($B84,'VoC Fuel'!$B$28:$O$126,4,FALSE)="","",VLOOKUP($B84,'VoC Fuel'!$B$28:$O$126,4,FALSE) * (VLOOKUP($B$14,'Annual Parameters'!$B$33:$W$104,3,FALSE) / VLOOKUP('VoC Fuel'!$B$14,'Annual Parameters'!$B$33:$W$104,3,FALSE))))</f>
        <v>46.37706219646185</v>
      </c>
      <c r="F84" s="2160">
        <f>IF(ISERROR(VLOOKUP($B84,'VoC Fuel'!$B$28:$O$126,1,FALSE)),"",IF(VLOOKUP($B84,'VoC Fuel'!$B$28:$O$126,5,FALSE)="","",VLOOKUP($B84,'VoC Fuel'!$B$28:$O$126,5,FALSE) * (VLOOKUP($B$14,'Annual Parameters'!$B$33:$W$104,3,FALSE) / VLOOKUP('VoC Fuel'!$B$14,'Annual Parameters'!$B$33:$W$104,3,FALSE))))</f>
        <v>40.832242223684588</v>
      </c>
      <c r="G84" s="1654">
        <f>IF(ISERROR(VLOOKUP($B84,'VoC Fuel'!$B$28:$O$126,1,FALSE)),"",IF(VLOOKUP($B84,'VoC Fuel'!$B$28:$O$126,6,FALSE)="","",VLOOKUP($B84,'VoC Fuel'!$B$28:$O$126,6,FALSE) * (VLOOKUP($B$14,'Annual Parameters'!$B$33:$W$104,3,FALSE) / VLOOKUP('VoC Fuel'!$B$14,'Annual Parameters'!$B$33:$W$104,3,FALSE))))</f>
        <v>15.487670797843426</v>
      </c>
      <c r="H84" s="1590">
        <f>IF(ISERROR(VLOOKUP($B84,'VoC Fuel'!$B$28:$O$126,1,FALSE)),"",IF(VLOOKUP($B84,'VoC Fuel'!$B$28:$O$126,7,FALSE)="","",VLOOKUP($B84,'VoC Fuel'!$B$28:$O$126,7,FALSE) * (VLOOKUP($B$14,'Annual Parameters'!$B$33:$W$104,3,FALSE) / VLOOKUP('VoC Fuel'!$B$14,'Annual Parameters'!$B$33:$W$104,3,FALSE))))</f>
        <v>11.045016676639516</v>
      </c>
      <c r="I84" s="1654">
        <f>IF(ISERROR(VLOOKUP($B84,'VoC Fuel'!$B$28:$O$126,1,FALSE)),"",IF(VLOOKUP($B84,'VoC Fuel'!$B$28:$O$126,8,FALSE)="","",VLOOKUP($B84,'VoC Fuel'!$B$28:$O$126,8,FALSE) * (VLOOKUP($B$14,'Annual Parameters'!$B$33:$W$104,3,FALSE) / VLOOKUP('VoC Fuel'!$B$14,'Annual Parameters'!$B$33:$W$104,3,FALSE))))</f>
        <v>72.83865225753911</v>
      </c>
      <c r="J84" s="1654">
        <f>IF(ISERROR(VLOOKUP($B84,'VoC Fuel'!$B$28:$O$126,1,FALSE)),"",IF(VLOOKUP($B84,'VoC Fuel'!$B$28:$O$126,9,FALSE)="","",VLOOKUP($B84,'VoC Fuel'!$B$28:$O$126,9,FALSE) * (VLOOKUP($B$14,'Annual Parameters'!$B$33:$W$104,3,FALSE) / VLOOKUP('VoC Fuel'!$B$14,'Annual Parameters'!$B$33:$W$104,3,FALSE))))</f>
        <v>72.83865225753911</v>
      </c>
      <c r="K84" s="1654">
        <f>IF(ISERROR(VLOOKUP($B84,'VoC Fuel'!$B$28:$O$126,1,FALSE)),"",IF(VLOOKUP($B84,'VoC Fuel'!$B$28:$O$126,10,FALSE)="","",VLOOKUP($B84,'VoC Fuel'!$B$28:$O$126,10,FALSE) * (VLOOKUP($B$14,'Annual Parameters'!$B$33:$W$104,3,FALSE) / VLOOKUP('VoC Fuel'!$B$14,'Annual Parameters'!$B$33:$W$104,3,FALSE))))</f>
        <v>14.002115377894489</v>
      </c>
      <c r="L84" s="1257">
        <f>IF(ISERROR(VLOOKUP($B84,'VoC Fuel'!$B$28:$O$126,1,FALSE)),"",IF(VLOOKUP($B84,'VoC Fuel'!$B$28:$O$126,11,FALSE)="","",VLOOKUP($B84,'VoC Fuel'!$B$28:$O$126,11,FALSE) * (VLOOKUP($B$14,'Annual Parameters'!$B$33:$W$104,3,FALSE) / VLOOKUP('VoC Fuel'!$B$14,'Annual Parameters'!$B$33:$W$104,3,FALSE))))</f>
        <v>0</v>
      </c>
      <c r="M84" s="1256">
        <f>IF(ISERROR(VLOOKUP($B84,'VoC Fuel'!$B$28:$O$126,1,FALSE)),"",IF(VLOOKUP(B84,'VoC Fuel'!$B$28:$O$126,12,FALSE)="","",VLOOKUP(B84,'VoC Fuel'!$B$28:$O$126,12,FALSE)))</f>
        <v>20</v>
      </c>
      <c r="N84" s="1256">
        <f>IF(ISERROR(VLOOKUP($B84,'VoC Fuel'!$B$28:$O$126,1,FALSE)),"",IF(VLOOKUP($B84,'VoC Fuel'!$B$28:$O$126,13,FALSE)="","",VLOOKUP($B84,'VoC Fuel'!$B$28:$O$126,13,FALSE)))</f>
        <v>20</v>
      </c>
      <c r="O84" s="1256">
        <f>IF(ISERROR(VLOOKUP($B84,'VoC Fuel'!$B$28:$O$126,1,FALSE)),"",IF(VLOOKUP($B84,'VoC Fuel'!$B$28:$O$126,14,FALSE)="","",VLOOKUP($B84,'VoC Fuel'!$B$28:$O$126,14,FALSE)))</f>
        <v>5</v>
      </c>
    </row>
    <row r="85" spans="2:15" ht="13.5" customHeight="1">
      <c r="B85" s="1589">
        <f t="shared" si="0"/>
        <v>2067</v>
      </c>
      <c r="C85" s="147"/>
      <c r="D85" s="51">
        <f>IF(ISERROR(VLOOKUP($B85,'VoC Fuel'!$B$28:$O$126,1,FALSE)),"",IF(VLOOKUP($B85,'VoC Fuel'!$B$28:$O$126,3,FALSE)="","",VLOOKUP($B85,'VoC Fuel'!$B$28:$O$126,3,FALSE) * (VLOOKUP($B$14,'Annual Parameters'!$B$33:$W$104,3,FALSE) / VLOOKUP('VoC Fuel'!$B$14,'Annual Parameters'!$B$33:$W$104,3,FALSE))))</f>
        <v>42.415831094542135</v>
      </c>
      <c r="E85" s="2158">
        <f>IF(ISERROR(VLOOKUP($B85,'VoC Fuel'!$B$28:$O$126,1,FALSE)),"",IF(VLOOKUP($B85,'VoC Fuel'!$B$28:$O$126,4,FALSE)="","",VLOOKUP($B85,'VoC Fuel'!$B$28:$O$126,4,FALSE) * (VLOOKUP($B$14,'Annual Parameters'!$B$33:$W$104,3,FALSE) / VLOOKUP('VoC Fuel'!$B$14,'Annual Parameters'!$B$33:$W$104,3,FALSE))))</f>
        <v>46.37706219646185</v>
      </c>
      <c r="F85" s="2160">
        <f>IF(ISERROR(VLOOKUP($B85,'VoC Fuel'!$B$28:$O$126,1,FALSE)),"",IF(VLOOKUP($B85,'VoC Fuel'!$B$28:$O$126,5,FALSE)="","",VLOOKUP($B85,'VoC Fuel'!$B$28:$O$126,5,FALSE) * (VLOOKUP($B$14,'Annual Parameters'!$B$33:$W$104,3,FALSE) / VLOOKUP('VoC Fuel'!$B$14,'Annual Parameters'!$B$33:$W$104,3,FALSE))))</f>
        <v>40.832242223684588</v>
      </c>
      <c r="G85" s="1654">
        <f>IF(ISERROR(VLOOKUP($B85,'VoC Fuel'!$B$28:$O$126,1,FALSE)),"",IF(VLOOKUP($B85,'VoC Fuel'!$B$28:$O$126,6,FALSE)="","",VLOOKUP($B85,'VoC Fuel'!$B$28:$O$126,6,FALSE) * (VLOOKUP($B$14,'Annual Parameters'!$B$33:$W$104,3,FALSE) / VLOOKUP('VoC Fuel'!$B$14,'Annual Parameters'!$B$33:$W$104,3,FALSE))))</f>
        <v>15.487670797843426</v>
      </c>
      <c r="H85" s="1590">
        <f>IF(ISERROR(VLOOKUP($B85,'VoC Fuel'!$B$28:$O$126,1,FALSE)),"",IF(VLOOKUP($B85,'VoC Fuel'!$B$28:$O$126,7,FALSE)="","",VLOOKUP($B85,'VoC Fuel'!$B$28:$O$126,7,FALSE) * (VLOOKUP($B$14,'Annual Parameters'!$B$33:$W$104,3,FALSE) / VLOOKUP('VoC Fuel'!$B$14,'Annual Parameters'!$B$33:$W$104,3,FALSE))))</f>
        <v>11.045016676639516</v>
      </c>
      <c r="I85" s="1654">
        <f>IF(ISERROR(VLOOKUP($B85,'VoC Fuel'!$B$28:$O$126,1,FALSE)),"",IF(VLOOKUP($B85,'VoC Fuel'!$B$28:$O$126,8,FALSE)="","",VLOOKUP($B85,'VoC Fuel'!$B$28:$O$126,8,FALSE) * (VLOOKUP($B$14,'Annual Parameters'!$B$33:$W$104,3,FALSE) / VLOOKUP('VoC Fuel'!$B$14,'Annual Parameters'!$B$33:$W$104,3,FALSE))))</f>
        <v>73.337059457737311</v>
      </c>
      <c r="J85" s="1654">
        <f>IF(ISERROR(VLOOKUP($B85,'VoC Fuel'!$B$28:$O$126,1,FALSE)),"",IF(VLOOKUP($B85,'VoC Fuel'!$B$28:$O$126,9,FALSE)="","",VLOOKUP($B85,'VoC Fuel'!$B$28:$O$126,9,FALSE) * (VLOOKUP($B$14,'Annual Parameters'!$B$33:$W$104,3,FALSE) / VLOOKUP('VoC Fuel'!$B$14,'Annual Parameters'!$B$33:$W$104,3,FALSE))))</f>
        <v>73.337059457737311</v>
      </c>
      <c r="K85" s="1654">
        <f>IF(ISERROR(VLOOKUP($B85,'VoC Fuel'!$B$28:$O$126,1,FALSE)),"",IF(VLOOKUP($B85,'VoC Fuel'!$B$28:$O$126,10,FALSE)="","",VLOOKUP($B85,'VoC Fuel'!$B$28:$O$126,10,FALSE) * (VLOOKUP($B$14,'Annual Parameters'!$B$33:$W$104,3,FALSE) / VLOOKUP('VoC Fuel'!$B$14,'Annual Parameters'!$B$33:$W$104,3,FALSE))))</f>
        <v>14.097926529062878</v>
      </c>
      <c r="L85" s="1257">
        <f>IF(ISERROR(VLOOKUP($B85,'VoC Fuel'!$B$28:$O$126,1,FALSE)),"",IF(VLOOKUP($B85,'VoC Fuel'!$B$28:$O$126,11,FALSE)="","",VLOOKUP($B85,'VoC Fuel'!$B$28:$O$126,11,FALSE) * (VLOOKUP($B$14,'Annual Parameters'!$B$33:$W$104,3,FALSE) / VLOOKUP('VoC Fuel'!$B$14,'Annual Parameters'!$B$33:$W$104,3,FALSE))))</f>
        <v>0</v>
      </c>
      <c r="M85" s="1256">
        <f>IF(ISERROR(VLOOKUP($B85,'VoC Fuel'!$B$28:$O$126,1,FALSE)),"",IF(VLOOKUP(B85,'VoC Fuel'!$B$28:$O$126,12,FALSE)="","",VLOOKUP(B85,'VoC Fuel'!$B$28:$O$126,12,FALSE)))</f>
        <v>20</v>
      </c>
      <c r="N85" s="1256">
        <f>IF(ISERROR(VLOOKUP($B85,'VoC Fuel'!$B$28:$O$126,1,FALSE)),"",IF(VLOOKUP($B85,'VoC Fuel'!$B$28:$O$126,13,FALSE)="","",VLOOKUP($B85,'VoC Fuel'!$B$28:$O$126,13,FALSE)))</f>
        <v>20</v>
      </c>
      <c r="O85" s="1256">
        <f>IF(ISERROR(VLOOKUP($B85,'VoC Fuel'!$B$28:$O$126,1,FALSE)),"",IF(VLOOKUP($B85,'VoC Fuel'!$B$28:$O$126,14,FALSE)="","",VLOOKUP($B85,'VoC Fuel'!$B$28:$O$126,14,FALSE)))</f>
        <v>5</v>
      </c>
    </row>
    <row r="86" spans="2:15" ht="13.5" customHeight="1">
      <c r="B86" s="1589">
        <f t="shared" si="0"/>
        <v>2068</v>
      </c>
      <c r="C86" s="147"/>
      <c r="D86" s="51">
        <f>IF(ISERROR(VLOOKUP($B86,'VoC Fuel'!$B$28:$O$126,1,FALSE)),"",IF(VLOOKUP($B86,'VoC Fuel'!$B$28:$O$126,3,FALSE)="","",VLOOKUP($B86,'VoC Fuel'!$B$28:$O$126,3,FALSE) * (VLOOKUP($B$14,'Annual Parameters'!$B$33:$W$104,3,FALSE) / VLOOKUP('VoC Fuel'!$B$14,'Annual Parameters'!$B$33:$W$104,3,FALSE))))</f>
        <v>42.415831094542135</v>
      </c>
      <c r="E86" s="2158">
        <f>IF(ISERROR(VLOOKUP($B86,'VoC Fuel'!$B$28:$O$126,1,FALSE)),"",IF(VLOOKUP($B86,'VoC Fuel'!$B$28:$O$126,4,FALSE)="","",VLOOKUP($B86,'VoC Fuel'!$B$28:$O$126,4,FALSE) * (VLOOKUP($B$14,'Annual Parameters'!$B$33:$W$104,3,FALSE) / VLOOKUP('VoC Fuel'!$B$14,'Annual Parameters'!$B$33:$W$104,3,FALSE))))</f>
        <v>46.37706219646185</v>
      </c>
      <c r="F86" s="2160">
        <f>IF(ISERROR(VLOOKUP($B86,'VoC Fuel'!$B$28:$O$126,1,FALSE)),"",IF(VLOOKUP($B86,'VoC Fuel'!$B$28:$O$126,5,FALSE)="","",VLOOKUP($B86,'VoC Fuel'!$B$28:$O$126,5,FALSE) * (VLOOKUP($B$14,'Annual Parameters'!$B$33:$W$104,3,FALSE) / VLOOKUP('VoC Fuel'!$B$14,'Annual Parameters'!$B$33:$W$104,3,FALSE))))</f>
        <v>40.832242223684588</v>
      </c>
      <c r="G86" s="1654">
        <f>IF(ISERROR(VLOOKUP($B86,'VoC Fuel'!$B$28:$O$126,1,FALSE)),"",IF(VLOOKUP($B86,'VoC Fuel'!$B$28:$O$126,6,FALSE)="","",VLOOKUP($B86,'VoC Fuel'!$B$28:$O$126,6,FALSE) * (VLOOKUP($B$14,'Annual Parameters'!$B$33:$W$104,3,FALSE) / VLOOKUP('VoC Fuel'!$B$14,'Annual Parameters'!$B$33:$W$104,3,FALSE))))</f>
        <v>15.487670797843426</v>
      </c>
      <c r="H86" s="1590">
        <f>IF(ISERROR(VLOOKUP($B86,'VoC Fuel'!$B$28:$O$126,1,FALSE)),"",IF(VLOOKUP($B86,'VoC Fuel'!$B$28:$O$126,7,FALSE)="","",VLOOKUP($B86,'VoC Fuel'!$B$28:$O$126,7,FALSE) * (VLOOKUP($B$14,'Annual Parameters'!$B$33:$W$104,3,FALSE) / VLOOKUP('VoC Fuel'!$B$14,'Annual Parameters'!$B$33:$W$104,3,FALSE))))</f>
        <v>11.045016676639516</v>
      </c>
      <c r="I86" s="1654">
        <f>IF(ISERROR(VLOOKUP($B86,'VoC Fuel'!$B$28:$O$126,1,FALSE)),"",IF(VLOOKUP($B86,'VoC Fuel'!$B$28:$O$126,8,FALSE)="","",VLOOKUP($B86,'VoC Fuel'!$B$28:$O$126,8,FALSE) * (VLOOKUP($B$14,'Annual Parameters'!$B$33:$W$104,3,FALSE) / VLOOKUP('VoC Fuel'!$B$14,'Annual Parameters'!$B$33:$W$104,3,FALSE))))</f>
        <v>73.838877068885083</v>
      </c>
      <c r="J86" s="1654">
        <f>IF(ISERROR(VLOOKUP($B86,'VoC Fuel'!$B$28:$O$126,1,FALSE)),"",IF(VLOOKUP($B86,'VoC Fuel'!$B$28:$O$126,9,FALSE)="","",VLOOKUP($B86,'VoC Fuel'!$B$28:$O$126,9,FALSE) * (VLOOKUP($B$14,'Annual Parameters'!$B$33:$W$104,3,FALSE) / VLOOKUP('VoC Fuel'!$B$14,'Annual Parameters'!$B$33:$W$104,3,FALSE))))</f>
        <v>73.838877068885083</v>
      </c>
      <c r="K86" s="1654">
        <f>IF(ISERROR(VLOOKUP($B86,'VoC Fuel'!$B$28:$O$126,1,FALSE)),"",IF(VLOOKUP($B86,'VoC Fuel'!$B$28:$O$126,10,FALSE)="","",VLOOKUP($B86,'VoC Fuel'!$B$28:$O$126,10,FALSE) * (VLOOKUP($B$14,'Annual Parameters'!$B$33:$W$104,3,FALSE) / VLOOKUP('VoC Fuel'!$B$14,'Annual Parameters'!$B$33:$W$104,3,FALSE))))</f>
        <v>14.194393279506125</v>
      </c>
      <c r="L86" s="1257">
        <f>IF(ISERROR(VLOOKUP($B86,'VoC Fuel'!$B$28:$O$126,1,FALSE)),"",IF(VLOOKUP($B86,'VoC Fuel'!$B$28:$O$126,11,FALSE)="","",VLOOKUP($B86,'VoC Fuel'!$B$28:$O$126,11,FALSE) * (VLOOKUP($B$14,'Annual Parameters'!$B$33:$W$104,3,FALSE) / VLOOKUP('VoC Fuel'!$B$14,'Annual Parameters'!$B$33:$W$104,3,FALSE))))</f>
        <v>0</v>
      </c>
      <c r="M86" s="1256">
        <f>IF(ISERROR(VLOOKUP($B86,'VoC Fuel'!$B$28:$O$126,1,FALSE)),"",IF(VLOOKUP(B86,'VoC Fuel'!$B$28:$O$126,12,FALSE)="","",VLOOKUP(B86,'VoC Fuel'!$B$28:$O$126,12,FALSE)))</f>
        <v>20</v>
      </c>
      <c r="N86" s="1256">
        <f>IF(ISERROR(VLOOKUP($B86,'VoC Fuel'!$B$28:$O$126,1,FALSE)),"",IF(VLOOKUP($B86,'VoC Fuel'!$B$28:$O$126,13,FALSE)="","",VLOOKUP($B86,'VoC Fuel'!$B$28:$O$126,13,FALSE)))</f>
        <v>20</v>
      </c>
      <c r="O86" s="1256">
        <f>IF(ISERROR(VLOOKUP($B86,'VoC Fuel'!$B$28:$O$126,1,FALSE)),"",IF(VLOOKUP($B86,'VoC Fuel'!$B$28:$O$126,14,FALSE)="","",VLOOKUP($B86,'VoC Fuel'!$B$28:$O$126,14,FALSE)))</f>
        <v>5</v>
      </c>
    </row>
    <row r="87" spans="2:15" ht="13.5" customHeight="1">
      <c r="B87" s="1589">
        <f t="shared" si="0"/>
        <v>2069</v>
      </c>
      <c r="C87" s="147"/>
      <c r="D87" s="51">
        <f>IF(ISERROR(VLOOKUP($B87,'VoC Fuel'!$B$28:$O$126,1,FALSE)),"",IF(VLOOKUP($B87,'VoC Fuel'!$B$28:$O$126,3,FALSE)="","",VLOOKUP($B87,'VoC Fuel'!$B$28:$O$126,3,FALSE) * (VLOOKUP($B$14,'Annual Parameters'!$B$33:$W$104,3,FALSE) / VLOOKUP('VoC Fuel'!$B$14,'Annual Parameters'!$B$33:$W$104,3,FALSE))))</f>
        <v>42.415831094542135</v>
      </c>
      <c r="E87" s="2158">
        <f>IF(ISERROR(VLOOKUP($B87,'VoC Fuel'!$B$28:$O$126,1,FALSE)),"",IF(VLOOKUP($B87,'VoC Fuel'!$B$28:$O$126,4,FALSE)="","",VLOOKUP($B87,'VoC Fuel'!$B$28:$O$126,4,FALSE) * (VLOOKUP($B$14,'Annual Parameters'!$B$33:$W$104,3,FALSE) / VLOOKUP('VoC Fuel'!$B$14,'Annual Parameters'!$B$33:$W$104,3,FALSE))))</f>
        <v>46.37706219646185</v>
      </c>
      <c r="F87" s="2160">
        <f>IF(ISERROR(VLOOKUP($B87,'VoC Fuel'!$B$28:$O$126,1,FALSE)),"",IF(VLOOKUP($B87,'VoC Fuel'!$B$28:$O$126,5,FALSE)="","",VLOOKUP($B87,'VoC Fuel'!$B$28:$O$126,5,FALSE) * (VLOOKUP($B$14,'Annual Parameters'!$B$33:$W$104,3,FALSE) / VLOOKUP('VoC Fuel'!$B$14,'Annual Parameters'!$B$33:$W$104,3,FALSE))))</f>
        <v>40.832242223684588</v>
      </c>
      <c r="G87" s="1654">
        <f>IF(ISERROR(VLOOKUP($B87,'VoC Fuel'!$B$28:$O$126,1,FALSE)),"",IF(VLOOKUP($B87,'VoC Fuel'!$B$28:$O$126,6,FALSE)="","",VLOOKUP($B87,'VoC Fuel'!$B$28:$O$126,6,FALSE) * (VLOOKUP($B$14,'Annual Parameters'!$B$33:$W$104,3,FALSE) / VLOOKUP('VoC Fuel'!$B$14,'Annual Parameters'!$B$33:$W$104,3,FALSE))))</f>
        <v>15.487670797843426</v>
      </c>
      <c r="H87" s="1590">
        <f>IF(ISERROR(VLOOKUP($B87,'VoC Fuel'!$B$28:$O$126,1,FALSE)),"",IF(VLOOKUP($B87,'VoC Fuel'!$B$28:$O$126,7,FALSE)="","",VLOOKUP($B87,'VoC Fuel'!$B$28:$O$126,7,FALSE) * (VLOOKUP($B$14,'Annual Parameters'!$B$33:$W$104,3,FALSE) / VLOOKUP('VoC Fuel'!$B$14,'Annual Parameters'!$B$33:$W$104,3,FALSE))))</f>
        <v>11.045016676639516</v>
      </c>
      <c r="I87" s="1654">
        <f>IF(ISERROR(VLOOKUP($B87,'VoC Fuel'!$B$28:$O$126,1,FALSE)),"",IF(VLOOKUP($B87,'VoC Fuel'!$B$28:$O$126,8,FALSE)="","",VLOOKUP($B87,'VoC Fuel'!$B$28:$O$126,8,FALSE) * (VLOOKUP($B$14,'Annual Parameters'!$B$33:$W$104,3,FALSE) / VLOOKUP('VoC Fuel'!$B$14,'Annual Parameters'!$B$33:$W$104,3,FALSE))))</f>
        <v>74.344128427127714</v>
      </c>
      <c r="J87" s="1654">
        <f>IF(ISERROR(VLOOKUP($B87,'VoC Fuel'!$B$28:$O$126,1,FALSE)),"",IF(VLOOKUP($B87,'VoC Fuel'!$B$28:$O$126,9,FALSE)="","",VLOOKUP($B87,'VoC Fuel'!$B$28:$O$126,9,FALSE) * (VLOOKUP($B$14,'Annual Parameters'!$B$33:$W$104,3,FALSE) / VLOOKUP('VoC Fuel'!$B$14,'Annual Parameters'!$B$33:$W$104,3,FALSE))))</f>
        <v>74.344128427127714</v>
      </c>
      <c r="K87" s="1654">
        <f>IF(ISERROR(VLOOKUP($B87,'VoC Fuel'!$B$28:$O$126,1,FALSE)),"",IF(VLOOKUP($B87,'VoC Fuel'!$B$28:$O$126,10,FALSE)="","",VLOOKUP($B87,'VoC Fuel'!$B$28:$O$126,10,FALSE) * (VLOOKUP($B$14,'Annual Parameters'!$B$33:$W$104,3,FALSE) / VLOOKUP('VoC Fuel'!$B$14,'Annual Parameters'!$B$33:$W$104,3,FALSE))))</f>
        <v>14.291520115240772</v>
      </c>
      <c r="L87" s="1257">
        <f>IF(ISERROR(VLOOKUP($B87,'VoC Fuel'!$B$28:$O$126,1,FALSE)),"",IF(VLOOKUP($B87,'VoC Fuel'!$B$28:$O$126,11,FALSE)="","",VLOOKUP($B87,'VoC Fuel'!$B$28:$O$126,11,FALSE) * (VLOOKUP($B$14,'Annual Parameters'!$B$33:$W$104,3,FALSE) / VLOOKUP('VoC Fuel'!$B$14,'Annual Parameters'!$B$33:$W$104,3,FALSE))))</f>
        <v>0</v>
      </c>
      <c r="M87" s="1256">
        <f>IF(ISERROR(VLOOKUP($B87,'VoC Fuel'!$B$28:$O$126,1,FALSE)),"",IF(VLOOKUP(B87,'VoC Fuel'!$B$28:$O$126,12,FALSE)="","",VLOOKUP(B87,'VoC Fuel'!$B$28:$O$126,12,FALSE)))</f>
        <v>20</v>
      </c>
      <c r="N87" s="1256">
        <f>IF(ISERROR(VLOOKUP($B87,'VoC Fuel'!$B$28:$O$126,1,FALSE)),"",IF(VLOOKUP($B87,'VoC Fuel'!$B$28:$O$126,13,FALSE)="","",VLOOKUP($B87,'VoC Fuel'!$B$28:$O$126,13,FALSE)))</f>
        <v>20</v>
      </c>
      <c r="O87" s="1256">
        <f>IF(ISERROR(VLOOKUP($B87,'VoC Fuel'!$B$28:$O$126,1,FALSE)),"",IF(VLOOKUP($B87,'VoC Fuel'!$B$28:$O$126,14,FALSE)="","",VLOOKUP($B87,'VoC Fuel'!$B$28:$O$126,14,FALSE)))</f>
        <v>5</v>
      </c>
    </row>
    <row r="88" spans="2:15" ht="13.5" customHeight="1">
      <c r="B88" s="1589">
        <f t="shared" si="0"/>
        <v>2070</v>
      </c>
      <c r="C88" s="147"/>
      <c r="D88" s="51">
        <f>IF(ISERROR(VLOOKUP($B88,'VoC Fuel'!$B$28:$O$126,1,FALSE)),"",IF(VLOOKUP($B88,'VoC Fuel'!$B$28:$O$126,3,FALSE)="","",VLOOKUP($B88,'VoC Fuel'!$B$28:$O$126,3,FALSE) * (VLOOKUP($B$14,'Annual Parameters'!$B$33:$W$104,3,FALSE) / VLOOKUP('VoC Fuel'!$B$14,'Annual Parameters'!$B$33:$W$104,3,FALSE))))</f>
        <v>42.415831094542135</v>
      </c>
      <c r="E88" s="2158">
        <f>IF(ISERROR(VLOOKUP($B88,'VoC Fuel'!$B$28:$O$126,1,FALSE)),"",IF(VLOOKUP($B88,'VoC Fuel'!$B$28:$O$126,4,FALSE)="","",VLOOKUP($B88,'VoC Fuel'!$B$28:$O$126,4,FALSE) * (VLOOKUP($B$14,'Annual Parameters'!$B$33:$W$104,3,FALSE) / VLOOKUP('VoC Fuel'!$B$14,'Annual Parameters'!$B$33:$W$104,3,FALSE))))</f>
        <v>46.37706219646185</v>
      </c>
      <c r="F88" s="2160">
        <f>IF(ISERROR(VLOOKUP($B88,'VoC Fuel'!$B$28:$O$126,1,FALSE)),"",IF(VLOOKUP($B88,'VoC Fuel'!$B$28:$O$126,5,FALSE)="","",VLOOKUP($B88,'VoC Fuel'!$B$28:$O$126,5,FALSE) * (VLOOKUP($B$14,'Annual Parameters'!$B$33:$W$104,3,FALSE) / VLOOKUP('VoC Fuel'!$B$14,'Annual Parameters'!$B$33:$W$104,3,FALSE))))</f>
        <v>40.832242223684588</v>
      </c>
      <c r="G88" s="1654">
        <f>IF(ISERROR(VLOOKUP($B88,'VoC Fuel'!$B$28:$O$126,1,FALSE)),"",IF(VLOOKUP($B88,'VoC Fuel'!$B$28:$O$126,6,FALSE)="","",VLOOKUP($B88,'VoC Fuel'!$B$28:$O$126,6,FALSE) * (VLOOKUP($B$14,'Annual Parameters'!$B$33:$W$104,3,FALSE) / VLOOKUP('VoC Fuel'!$B$14,'Annual Parameters'!$B$33:$W$104,3,FALSE))))</f>
        <v>15.487670797843426</v>
      </c>
      <c r="H88" s="1590">
        <f>IF(ISERROR(VLOOKUP($B88,'VoC Fuel'!$B$28:$O$126,1,FALSE)),"",IF(VLOOKUP($B88,'VoC Fuel'!$B$28:$O$126,7,FALSE)="","",VLOOKUP($B88,'VoC Fuel'!$B$28:$O$126,7,FALSE) * (VLOOKUP($B$14,'Annual Parameters'!$B$33:$W$104,3,FALSE) / VLOOKUP('VoC Fuel'!$B$14,'Annual Parameters'!$B$33:$W$104,3,FALSE))))</f>
        <v>11.045016676639516</v>
      </c>
      <c r="I88" s="1654">
        <f>IF(ISERROR(VLOOKUP($B88,'VoC Fuel'!$B$28:$O$126,1,FALSE)),"",IF(VLOOKUP($B88,'VoC Fuel'!$B$28:$O$126,8,FALSE)="","",VLOOKUP($B88,'VoC Fuel'!$B$28:$O$126,8,FALSE) * (VLOOKUP($B$14,'Annual Parameters'!$B$33:$W$104,3,FALSE) / VLOOKUP('VoC Fuel'!$B$14,'Annual Parameters'!$B$33:$W$104,3,FALSE))))</f>
        <v>74.852837028290864</v>
      </c>
      <c r="J88" s="1654">
        <f>IF(ISERROR(VLOOKUP($B88,'VoC Fuel'!$B$28:$O$126,1,FALSE)),"",IF(VLOOKUP($B88,'VoC Fuel'!$B$28:$O$126,9,FALSE)="","",VLOOKUP($B88,'VoC Fuel'!$B$28:$O$126,9,FALSE) * (VLOOKUP($B$14,'Annual Parameters'!$B$33:$W$104,3,FALSE) / VLOOKUP('VoC Fuel'!$B$14,'Annual Parameters'!$B$33:$W$104,3,FALSE))))</f>
        <v>74.852837028290864</v>
      </c>
      <c r="K88" s="1654">
        <f>IF(ISERROR(VLOOKUP($B88,'VoC Fuel'!$B$28:$O$126,1,FALSE)),"",IF(VLOOKUP($B88,'VoC Fuel'!$B$28:$O$126,10,FALSE)="","",VLOOKUP($B88,'VoC Fuel'!$B$28:$O$126,10,FALSE) * (VLOOKUP($B$14,'Annual Parameters'!$B$33:$W$104,3,FALSE) / VLOOKUP('VoC Fuel'!$B$14,'Annual Parameters'!$B$33:$W$104,3,FALSE))))</f>
        <v>14.389311552979473</v>
      </c>
      <c r="L88" s="1257">
        <f>IF(ISERROR(VLOOKUP($B88,'VoC Fuel'!$B$28:$O$126,1,FALSE)),"",IF(VLOOKUP($B88,'VoC Fuel'!$B$28:$O$126,11,FALSE)="","",VLOOKUP($B88,'VoC Fuel'!$B$28:$O$126,11,FALSE) * (VLOOKUP($B$14,'Annual Parameters'!$B$33:$W$104,3,FALSE) / VLOOKUP('VoC Fuel'!$B$14,'Annual Parameters'!$B$33:$W$104,3,FALSE))))</f>
        <v>0</v>
      </c>
      <c r="M88" s="1256">
        <f>IF(ISERROR(VLOOKUP($B88,'VoC Fuel'!$B$28:$O$126,1,FALSE)),"",IF(VLOOKUP(B88,'VoC Fuel'!$B$28:$O$126,12,FALSE)="","",VLOOKUP(B88,'VoC Fuel'!$B$28:$O$126,12,FALSE)))</f>
        <v>20</v>
      </c>
      <c r="N88" s="1256">
        <f>IF(ISERROR(VLOOKUP($B88,'VoC Fuel'!$B$28:$O$126,1,FALSE)),"",IF(VLOOKUP($B88,'VoC Fuel'!$B$28:$O$126,13,FALSE)="","",VLOOKUP($B88,'VoC Fuel'!$B$28:$O$126,13,FALSE)))</f>
        <v>20</v>
      </c>
      <c r="O88" s="1256">
        <f>IF(ISERROR(VLOOKUP($B88,'VoC Fuel'!$B$28:$O$126,1,FALSE)),"",IF(VLOOKUP($B88,'VoC Fuel'!$B$28:$O$126,14,FALSE)="","",VLOOKUP($B88,'VoC Fuel'!$B$28:$O$126,14,FALSE)))</f>
        <v>5</v>
      </c>
    </row>
    <row r="89" spans="2:15" ht="13.5" customHeight="1">
      <c r="B89" s="1589">
        <f t="shared" si="0"/>
        <v>2071</v>
      </c>
      <c r="C89" s="147"/>
      <c r="D89" s="51">
        <f>IF(ISERROR(VLOOKUP($B89,'VoC Fuel'!$B$28:$O$126,1,FALSE)),"",IF(VLOOKUP($B89,'VoC Fuel'!$B$28:$O$126,3,FALSE)="","",VLOOKUP($B89,'VoC Fuel'!$B$28:$O$126,3,FALSE) * (VLOOKUP($B$14,'Annual Parameters'!$B$33:$W$104,3,FALSE) / VLOOKUP('VoC Fuel'!$B$14,'Annual Parameters'!$B$33:$W$104,3,FALSE))))</f>
        <v>42.415831094542135</v>
      </c>
      <c r="E89" s="2158">
        <f>IF(ISERROR(VLOOKUP($B89,'VoC Fuel'!$B$28:$O$126,1,FALSE)),"",IF(VLOOKUP($B89,'VoC Fuel'!$B$28:$O$126,4,FALSE)="","",VLOOKUP($B89,'VoC Fuel'!$B$28:$O$126,4,FALSE) * (VLOOKUP($B$14,'Annual Parameters'!$B$33:$W$104,3,FALSE) / VLOOKUP('VoC Fuel'!$B$14,'Annual Parameters'!$B$33:$W$104,3,FALSE))))</f>
        <v>46.37706219646185</v>
      </c>
      <c r="F89" s="2160">
        <f>IF(ISERROR(VLOOKUP($B89,'VoC Fuel'!$B$28:$O$126,1,FALSE)),"",IF(VLOOKUP($B89,'VoC Fuel'!$B$28:$O$126,5,FALSE)="","",VLOOKUP($B89,'VoC Fuel'!$B$28:$O$126,5,FALSE) * (VLOOKUP($B$14,'Annual Parameters'!$B$33:$W$104,3,FALSE) / VLOOKUP('VoC Fuel'!$B$14,'Annual Parameters'!$B$33:$W$104,3,FALSE))))</f>
        <v>40.832242223684588</v>
      </c>
      <c r="G89" s="1654">
        <f>IF(ISERROR(VLOOKUP($B89,'VoC Fuel'!$B$28:$O$126,1,FALSE)),"",IF(VLOOKUP($B89,'VoC Fuel'!$B$28:$O$126,6,FALSE)="","",VLOOKUP($B89,'VoC Fuel'!$B$28:$O$126,6,FALSE) * (VLOOKUP($B$14,'Annual Parameters'!$B$33:$W$104,3,FALSE) / VLOOKUP('VoC Fuel'!$B$14,'Annual Parameters'!$B$33:$W$104,3,FALSE))))</f>
        <v>15.487670797843426</v>
      </c>
      <c r="H89" s="1590">
        <f>IF(ISERROR(VLOOKUP($B89,'VoC Fuel'!$B$28:$O$126,1,FALSE)),"",IF(VLOOKUP($B89,'VoC Fuel'!$B$28:$O$126,7,FALSE)="","",VLOOKUP($B89,'VoC Fuel'!$B$28:$O$126,7,FALSE) * (VLOOKUP($B$14,'Annual Parameters'!$B$33:$W$104,3,FALSE) / VLOOKUP('VoC Fuel'!$B$14,'Annual Parameters'!$B$33:$W$104,3,FALSE))))</f>
        <v>11.045016676639516</v>
      </c>
      <c r="I89" s="1654">
        <f>IF(ISERROR(VLOOKUP($B89,'VoC Fuel'!$B$28:$O$126,1,FALSE)),"",IF(VLOOKUP($B89,'VoC Fuel'!$B$28:$O$126,8,FALSE)="","",VLOOKUP($B89,'VoC Fuel'!$B$28:$O$126,8,FALSE) * (VLOOKUP($B$14,'Annual Parameters'!$B$33:$W$104,3,FALSE) / VLOOKUP('VoC Fuel'!$B$14,'Annual Parameters'!$B$33:$W$104,3,FALSE))))</f>
        <v>75.365026528973232</v>
      </c>
      <c r="J89" s="1654">
        <f>IF(ISERROR(VLOOKUP($B89,'VoC Fuel'!$B$28:$O$126,1,FALSE)),"",IF(VLOOKUP($B89,'VoC Fuel'!$B$28:$O$126,9,FALSE)="","",VLOOKUP($B89,'VoC Fuel'!$B$28:$O$126,9,FALSE) * (VLOOKUP($B$14,'Annual Parameters'!$B$33:$W$104,3,FALSE) / VLOOKUP('VoC Fuel'!$B$14,'Annual Parameters'!$B$33:$W$104,3,FALSE))))</f>
        <v>75.365026528973232</v>
      </c>
      <c r="K89" s="1654">
        <f>IF(ISERROR(VLOOKUP($B89,'VoC Fuel'!$B$28:$O$126,1,FALSE)),"",IF(VLOOKUP($B89,'VoC Fuel'!$B$28:$O$126,10,FALSE)="","",VLOOKUP($B89,'VoC Fuel'!$B$28:$O$126,10,FALSE) * (VLOOKUP($B$14,'Annual Parameters'!$B$33:$W$104,3,FALSE) / VLOOKUP('VoC Fuel'!$B$14,'Annual Parameters'!$B$33:$W$104,3,FALSE))))</f>
        <v>14.48777214034102</v>
      </c>
      <c r="L89" s="1257">
        <f>IF(ISERROR(VLOOKUP($B89,'VoC Fuel'!$B$28:$O$126,1,FALSE)),"",IF(VLOOKUP($B89,'VoC Fuel'!$B$28:$O$126,11,FALSE)="","",VLOOKUP($B89,'VoC Fuel'!$B$28:$O$126,11,FALSE) * (VLOOKUP($B$14,'Annual Parameters'!$B$33:$W$104,3,FALSE) / VLOOKUP('VoC Fuel'!$B$14,'Annual Parameters'!$B$33:$W$104,3,FALSE))))</f>
        <v>0</v>
      </c>
      <c r="M89" s="1256">
        <f>IF(ISERROR(VLOOKUP($B89,'VoC Fuel'!$B$28:$O$126,1,FALSE)),"",IF(VLOOKUP(B89,'VoC Fuel'!$B$28:$O$126,12,FALSE)="","",VLOOKUP(B89,'VoC Fuel'!$B$28:$O$126,12,FALSE)))</f>
        <v>20</v>
      </c>
      <c r="N89" s="1256">
        <f>IF(ISERROR(VLOOKUP($B89,'VoC Fuel'!$B$28:$O$126,1,FALSE)),"",IF(VLOOKUP($B89,'VoC Fuel'!$B$28:$O$126,13,FALSE)="","",VLOOKUP($B89,'VoC Fuel'!$B$28:$O$126,13,FALSE)))</f>
        <v>20</v>
      </c>
      <c r="O89" s="1256">
        <f>IF(ISERROR(VLOOKUP($B89,'VoC Fuel'!$B$28:$O$126,1,FALSE)),"",IF(VLOOKUP($B89,'VoC Fuel'!$B$28:$O$126,14,FALSE)="","",VLOOKUP($B89,'VoC Fuel'!$B$28:$O$126,14,FALSE)))</f>
        <v>5</v>
      </c>
    </row>
    <row r="90" spans="2:15" ht="13.5" customHeight="1">
      <c r="B90" s="1589">
        <f t="shared" si="0"/>
        <v>2072</v>
      </c>
      <c r="C90" s="147"/>
      <c r="D90" s="51">
        <f>IF(ISERROR(VLOOKUP($B90,'VoC Fuel'!$B$28:$O$126,1,FALSE)),"",IF(VLOOKUP($B90,'VoC Fuel'!$B$28:$O$126,3,FALSE)="","",VLOOKUP($B90,'VoC Fuel'!$B$28:$O$126,3,FALSE) * (VLOOKUP($B$14,'Annual Parameters'!$B$33:$W$104,3,FALSE) / VLOOKUP('VoC Fuel'!$B$14,'Annual Parameters'!$B$33:$W$104,3,FALSE))))</f>
        <v>42.415831094542135</v>
      </c>
      <c r="E90" s="2158">
        <f>IF(ISERROR(VLOOKUP($B90,'VoC Fuel'!$B$28:$O$126,1,FALSE)),"",IF(VLOOKUP($B90,'VoC Fuel'!$B$28:$O$126,4,FALSE)="","",VLOOKUP($B90,'VoC Fuel'!$B$28:$O$126,4,FALSE) * (VLOOKUP($B$14,'Annual Parameters'!$B$33:$W$104,3,FALSE) / VLOOKUP('VoC Fuel'!$B$14,'Annual Parameters'!$B$33:$W$104,3,FALSE))))</f>
        <v>46.37706219646185</v>
      </c>
      <c r="F90" s="2160">
        <f>IF(ISERROR(VLOOKUP($B90,'VoC Fuel'!$B$28:$O$126,1,FALSE)),"",IF(VLOOKUP($B90,'VoC Fuel'!$B$28:$O$126,5,FALSE)="","",VLOOKUP($B90,'VoC Fuel'!$B$28:$O$126,5,FALSE) * (VLOOKUP($B$14,'Annual Parameters'!$B$33:$W$104,3,FALSE) / VLOOKUP('VoC Fuel'!$B$14,'Annual Parameters'!$B$33:$W$104,3,FALSE))))</f>
        <v>40.832242223684588</v>
      </c>
      <c r="G90" s="1654">
        <f>IF(ISERROR(VLOOKUP($B90,'VoC Fuel'!$B$28:$O$126,1,FALSE)),"",IF(VLOOKUP($B90,'VoC Fuel'!$B$28:$O$126,6,FALSE)="","",VLOOKUP($B90,'VoC Fuel'!$B$28:$O$126,6,FALSE) * (VLOOKUP($B$14,'Annual Parameters'!$B$33:$W$104,3,FALSE) / VLOOKUP('VoC Fuel'!$B$14,'Annual Parameters'!$B$33:$W$104,3,FALSE))))</f>
        <v>15.487670797843426</v>
      </c>
      <c r="H90" s="1590">
        <f>IF(ISERROR(VLOOKUP($B90,'VoC Fuel'!$B$28:$O$126,1,FALSE)),"",IF(VLOOKUP($B90,'VoC Fuel'!$B$28:$O$126,7,FALSE)="","",VLOOKUP($B90,'VoC Fuel'!$B$28:$O$126,7,FALSE) * (VLOOKUP($B$14,'Annual Parameters'!$B$33:$W$104,3,FALSE) / VLOOKUP('VoC Fuel'!$B$14,'Annual Parameters'!$B$33:$W$104,3,FALSE))))</f>
        <v>11.045016676639516</v>
      </c>
      <c r="I90" s="1654">
        <f>IF(ISERROR(VLOOKUP($B90,'VoC Fuel'!$B$28:$O$126,1,FALSE)),"",IF(VLOOKUP($B90,'VoC Fuel'!$B$28:$O$126,8,FALSE)="","",VLOOKUP($B90,'VoC Fuel'!$B$28:$O$126,8,FALSE) * (VLOOKUP($B$14,'Annual Parameters'!$B$33:$W$104,3,FALSE) / VLOOKUP('VoC Fuel'!$B$14,'Annual Parameters'!$B$33:$W$104,3,FALSE))))</f>
        <v>75.880720747646592</v>
      </c>
      <c r="J90" s="1654">
        <f>IF(ISERROR(VLOOKUP($B90,'VoC Fuel'!$B$28:$O$126,1,FALSE)),"",IF(VLOOKUP($B90,'VoC Fuel'!$B$28:$O$126,9,FALSE)="","",VLOOKUP($B90,'VoC Fuel'!$B$28:$O$126,9,FALSE) * (VLOOKUP($B$14,'Annual Parameters'!$B$33:$W$104,3,FALSE) / VLOOKUP('VoC Fuel'!$B$14,'Annual Parameters'!$B$33:$W$104,3,FALSE))))</f>
        <v>75.880720747646592</v>
      </c>
      <c r="K90" s="1654">
        <f>IF(ISERROR(VLOOKUP($B90,'VoC Fuel'!$B$28:$O$126,1,FALSE)),"",IF(VLOOKUP($B90,'VoC Fuel'!$B$28:$O$126,10,FALSE)="","",VLOOKUP($B90,'VoC Fuel'!$B$28:$O$126,10,FALSE) * (VLOOKUP($B$14,'Annual Parameters'!$B$33:$W$104,3,FALSE) / VLOOKUP('VoC Fuel'!$B$14,'Annual Parameters'!$B$33:$W$104,3,FALSE))))</f>
        <v>14.586906456061829</v>
      </c>
      <c r="L90" s="1257">
        <f>IF(ISERROR(VLOOKUP($B90,'VoC Fuel'!$B$28:$O$126,1,FALSE)),"",IF(VLOOKUP($B90,'VoC Fuel'!$B$28:$O$126,11,FALSE)="","",VLOOKUP($B90,'VoC Fuel'!$B$28:$O$126,11,FALSE) * (VLOOKUP($B$14,'Annual Parameters'!$B$33:$W$104,3,FALSE) / VLOOKUP('VoC Fuel'!$B$14,'Annual Parameters'!$B$33:$W$104,3,FALSE))))</f>
        <v>0</v>
      </c>
      <c r="M90" s="1256">
        <f>IF(ISERROR(VLOOKUP($B90,'VoC Fuel'!$B$28:$O$126,1,FALSE)),"",IF(VLOOKUP(B90,'VoC Fuel'!$B$28:$O$126,12,FALSE)="","",VLOOKUP(B90,'VoC Fuel'!$B$28:$O$126,12,FALSE)))</f>
        <v>20</v>
      </c>
      <c r="N90" s="1256">
        <f>IF(ISERROR(VLOOKUP($B90,'VoC Fuel'!$B$28:$O$126,1,FALSE)),"",IF(VLOOKUP($B90,'VoC Fuel'!$B$28:$O$126,13,FALSE)="","",VLOOKUP($B90,'VoC Fuel'!$B$28:$O$126,13,FALSE)))</f>
        <v>20</v>
      </c>
      <c r="O90" s="1256">
        <f>IF(ISERROR(VLOOKUP($B90,'VoC Fuel'!$B$28:$O$126,1,FALSE)),"",IF(VLOOKUP($B90,'VoC Fuel'!$B$28:$O$126,14,FALSE)="","",VLOOKUP($B90,'VoC Fuel'!$B$28:$O$126,14,FALSE)))</f>
        <v>5</v>
      </c>
    </row>
    <row r="91" spans="2:15" ht="13.5" customHeight="1">
      <c r="B91" s="1589">
        <f t="shared" si="0"/>
        <v>2073</v>
      </c>
      <c r="C91" s="147"/>
      <c r="D91" s="51">
        <f>IF(ISERROR(VLOOKUP($B91,'VoC Fuel'!$B$28:$O$126,1,FALSE)),"",IF(VLOOKUP($B91,'VoC Fuel'!$B$28:$O$126,3,FALSE)="","",VLOOKUP($B91,'VoC Fuel'!$B$28:$O$126,3,FALSE) * (VLOOKUP($B$14,'Annual Parameters'!$B$33:$W$104,3,FALSE) / VLOOKUP('VoC Fuel'!$B$14,'Annual Parameters'!$B$33:$W$104,3,FALSE))))</f>
        <v>42.415831094542135</v>
      </c>
      <c r="E91" s="2158">
        <f>IF(ISERROR(VLOOKUP($B91,'VoC Fuel'!$B$28:$O$126,1,FALSE)),"",IF(VLOOKUP($B91,'VoC Fuel'!$B$28:$O$126,4,FALSE)="","",VLOOKUP($B91,'VoC Fuel'!$B$28:$O$126,4,FALSE) * (VLOOKUP($B$14,'Annual Parameters'!$B$33:$W$104,3,FALSE) / VLOOKUP('VoC Fuel'!$B$14,'Annual Parameters'!$B$33:$W$104,3,FALSE))))</f>
        <v>46.37706219646185</v>
      </c>
      <c r="F91" s="2160">
        <f>IF(ISERROR(VLOOKUP($B91,'VoC Fuel'!$B$28:$O$126,1,FALSE)),"",IF(VLOOKUP($B91,'VoC Fuel'!$B$28:$O$126,5,FALSE)="","",VLOOKUP($B91,'VoC Fuel'!$B$28:$O$126,5,FALSE) * (VLOOKUP($B$14,'Annual Parameters'!$B$33:$W$104,3,FALSE) / VLOOKUP('VoC Fuel'!$B$14,'Annual Parameters'!$B$33:$W$104,3,FALSE))))</f>
        <v>40.832242223684588</v>
      </c>
      <c r="G91" s="1654">
        <f>IF(ISERROR(VLOOKUP($B91,'VoC Fuel'!$B$28:$O$126,1,FALSE)),"",IF(VLOOKUP($B91,'VoC Fuel'!$B$28:$O$126,6,FALSE)="","",VLOOKUP($B91,'VoC Fuel'!$B$28:$O$126,6,FALSE) * (VLOOKUP($B$14,'Annual Parameters'!$B$33:$W$104,3,FALSE) / VLOOKUP('VoC Fuel'!$B$14,'Annual Parameters'!$B$33:$W$104,3,FALSE))))</f>
        <v>15.487670797843426</v>
      </c>
      <c r="H91" s="1590">
        <f>IF(ISERROR(VLOOKUP($B91,'VoC Fuel'!$B$28:$O$126,1,FALSE)),"",IF(VLOOKUP($B91,'VoC Fuel'!$B$28:$O$126,7,FALSE)="","",VLOOKUP($B91,'VoC Fuel'!$B$28:$O$126,7,FALSE) * (VLOOKUP($B$14,'Annual Parameters'!$B$33:$W$104,3,FALSE) / VLOOKUP('VoC Fuel'!$B$14,'Annual Parameters'!$B$33:$W$104,3,FALSE))))</f>
        <v>11.045016676639516</v>
      </c>
      <c r="I91" s="1654">
        <f>IF(ISERROR(VLOOKUP($B91,'VoC Fuel'!$B$28:$O$126,1,FALSE)),"",IF(VLOOKUP($B91,'VoC Fuel'!$B$28:$O$126,8,FALSE)="","",VLOOKUP($B91,'VoC Fuel'!$B$28:$O$126,8,FALSE) * (VLOOKUP($B$14,'Annual Parameters'!$B$33:$W$104,3,FALSE) / VLOOKUP('VoC Fuel'!$B$14,'Annual Parameters'!$B$33:$W$104,3,FALSE))))</f>
        <v>76.399943665763431</v>
      </c>
      <c r="J91" s="1654">
        <f>IF(ISERROR(VLOOKUP($B91,'VoC Fuel'!$B$28:$O$126,1,FALSE)),"",IF(VLOOKUP($B91,'VoC Fuel'!$B$28:$O$126,9,FALSE)="","",VLOOKUP($B91,'VoC Fuel'!$B$28:$O$126,9,FALSE) * (VLOOKUP($B$14,'Annual Parameters'!$B$33:$W$104,3,FALSE) / VLOOKUP('VoC Fuel'!$B$14,'Annual Parameters'!$B$33:$W$104,3,FALSE))))</f>
        <v>76.399943665763431</v>
      </c>
      <c r="K91" s="1654">
        <f>IF(ISERROR(VLOOKUP($B91,'VoC Fuel'!$B$28:$O$126,1,FALSE)),"",IF(VLOOKUP($B91,'VoC Fuel'!$B$28:$O$126,10,FALSE)="","",VLOOKUP($B91,'VoC Fuel'!$B$28:$O$126,10,FALSE) * (VLOOKUP($B$14,'Annual Parameters'!$B$33:$W$104,3,FALSE) / VLOOKUP('VoC Fuel'!$B$14,'Annual Parameters'!$B$33:$W$104,3,FALSE))))</f>
        <v>14.68671911020888</v>
      </c>
      <c r="L91" s="1257">
        <f>IF(ISERROR(VLOOKUP($B91,'VoC Fuel'!$B$28:$O$126,1,FALSE)),"",IF(VLOOKUP($B91,'VoC Fuel'!$B$28:$O$126,11,FALSE)="","",VLOOKUP($B91,'VoC Fuel'!$B$28:$O$126,11,FALSE) * (VLOOKUP($B$14,'Annual Parameters'!$B$33:$W$104,3,FALSE) / VLOOKUP('VoC Fuel'!$B$14,'Annual Parameters'!$B$33:$W$104,3,FALSE))))</f>
        <v>0</v>
      </c>
      <c r="M91" s="1256">
        <f>IF(ISERROR(VLOOKUP($B91,'VoC Fuel'!$B$28:$O$126,1,FALSE)),"",IF(VLOOKUP(B91,'VoC Fuel'!$B$28:$O$126,12,FALSE)="","",VLOOKUP(B91,'VoC Fuel'!$B$28:$O$126,12,FALSE)))</f>
        <v>20</v>
      </c>
      <c r="N91" s="1256">
        <f>IF(ISERROR(VLOOKUP($B91,'VoC Fuel'!$B$28:$O$126,1,FALSE)),"",IF(VLOOKUP($B91,'VoC Fuel'!$B$28:$O$126,13,FALSE)="","",VLOOKUP($B91,'VoC Fuel'!$B$28:$O$126,13,FALSE)))</f>
        <v>20</v>
      </c>
      <c r="O91" s="1256">
        <f>IF(ISERROR(VLOOKUP($B91,'VoC Fuel'!$B$28:$O$126,1,FALSE)),"",IF(VLOOKUP($B91,'VoC Fuel'!$B$28:$O$126,14,FALSE)="","",VLOOKUP($B91,'VoC Fuel'!$B$28:$O$126,14,FALSE)))</f>
        <v>5</v>
      </c>
    </row>
    <row r="92" spans="2:15" ht="13.5" customHeight="1">
      <c r="B92" s="1589">
        <f t="shared" si="0"/>
        <v>2074</v>
      </c>
      <c r="C92" s="147"/>
      <c r="D92" s="51">
        <f>IF(ISERROR(VLOOKUP($B92,'VoC Fuel'!$B$28:$O$126,1,FALSE)),"",IF(VLOOKUP($B92,'VoC Fuel'!$B$28:$O$126,3,FALSE)="","",VLOOKUP($B92,'VoC Fuel'!$B$28:$O$126,3,FALSE) * (VLOOKUP($B$14,'Annual Parameters'!$B$33:$W$104,3,FALSE) / VLOOKUP('VoC Fuel'!$B$14,'Annual Parameters'!$B$33:$W$104,3,FALSE))))</f>
        <v>42.415831094542135</v>
      </c>
      <c r="E92" s="2158">
        <f>IF(ISERROR(VLOOKUP($B92,'VoC Fuel'!$B$28:$O$126,1,FALSE)),"",IF(VLOOKUP($B92,'VoC Fuel'!$B$28:$O$126,4,FALSE)="","",VLOOKUP($B92,'VoC Fuel'!$B$28:$O$126,4,FALSE) * (VLOOKUP($B$14,'Annual Parameters'!$B$33:$W$104,3,FALSE) / VLOOKUP('VoC Fuel'!$B$14,'Annual Parameters'!$B$33:$W$104,3,FALSE))))</f>
        <v>46.37706219646185</v>
      </c>
      <c r="F92" s="2160">
        <f>IF(ISERROR(VLOOKUP($B92,'VoC Fuel'!$B$28:$O$126,1,FALSE)),"",IF(VLOOKUP($B92,'VoC Fuel'!$B$28:$O$126,5,FALSE)="","",VLOOKUP($B92,'VoC Fuel'!$B$28:$O$126,5,FALSE) * (VLOOKUP($B$14,'Annual Parameters'!$B$33:$W$104,3,FALSE) / VLOOKUP('VoC Fuel'!$B$14,'Annual Parameters'!$B$33:$W$104,3,FALSE))))</f>
        <v>40.832242223684588</v>
      </c>
      <c r="G92" s="1654">
        <f>IF(ISERROR(VLOOKUP($B92,'VoC Fuel'!$B$28:$O$126,1,FALSE)),"",IF(VLOOKUP($B92,'VoC Fuel'!$B$28:$O$126,6,FALSE)="","",VLOOKUP($B92,'VoC Fuel'!$B$28:$O$126,6,FALSE) * (VLOOKUP($B$14,'Annual Parameters'!$B$33:$W$104,3,FALSE) / VLOOKUP('VoC Fuel'!$B$14,'Annual Parameters'!$B$33:$W$104,3,FALSE))))</f>
        <v>15.487670797843426</v>
      </c>
      <c r="H92" s="1590">
        <f>IF(ISERROR(VLOOKUP($B92,'VoC Fuel'!$B$28:$O$126,1,FALSE)),"",IF(VLOOKUP($B92,'VoC Fuel'!$B$28:$O$126,7,FALSE)="","",VLOOKUP($B92,'VoC Fuel'!$B$28:$O$126,7,FALSE) * (VLOOKUP($B$14,'Annual Parameters'!$B$33:$W$104,3,FALSE) / VLOOKUP('VoC Fuel'!$B$14,'Annual Parameters'!$B$33:$W$104,3,FALSE))))</f>
        <v>11.045016676639516</v>
      </c>
      <c r="I92" s="1654">
        <f>IF(ISERROR(VLOOKUP($B92,'VoC Fuel'!$B$28:$O$126,1,FALSE)),"",IF(VLOOKUP($B92,'VoC Fuel'!$B$28:$O$126,8,FALSE)="","",VLOOKUP($B92,'VoC Fuel'!$B$28:$O$126,8,FALSE) * (VLOOKUP($B$14,'Annual Parameters'!$B$33:$W$104,3,FALSE) / VLOOKUP('VoC Fuel'!$B$14,'Annual Parameters'!$B$33:$W$104,3,FALSE))))</f>
        <v>76.922719428872256</v>
      </c>
      <c r="J92" s="1654">
        <f>IF(ISERROR(VLOOKUP($B92,'VoC Fuel'!$B$28:$O$126,1,FALSE)),"",IF(VLOOKUP($B92,'VoC Fuel'!$B$28:$O$126,9,FALSE)="","",VLOOKUP($B92,'VoC Fuel'!$B$28:$O$126,9,FALSE) * (VLOOKUP($B$14,'Annual Parameters'!$B$33:$W$104,3,FALSE) / VLOOKUP('VoC Fuel'!$B$14,'Annual Parameters'!$B$33:$W$104,3,FALSE))))</f>
        <v>76.922719428872256</v>
      </c>
      <c r="K92" s="1654">
        <f>IF(ISERROR(VLOOKUP($B92,'VoC Fuel'!$B$28:$O$126,1,FALSE)),"",IF(VLOOKUP($B92,'VoC Fuel'!$B$28:$O$126,10,FALSE)="","",VLOOKUP($B92,'VoC Fuel'!$B$28:$O$126,10,FALSE) * (VLOOKUP($B$14,'Annual Parameters'!$B$33:$W$104,3,FALSE) / VLOOKUP('VoC Fuel'!$B$14,'Annual Parameters'!$B$33:$W$104,3,FALSE))))</f>
        <v>14.787214744394083</v>
      </c>
      <c r="L92" s="1257">
        <f>IF(ISERROR(VLOOKUP($B92,'VoC Fuel'!$B$28:$O$126,1,FALSE)),"",IF(VLOOKUP($B92,'VoC Fuel'!$B$28:$O$126,11,FALSE)="","",VLOOKUP($B92,'VoC Fuel'!$B$28:$O$126,11,FALSE) * (VLOOKUP($B$14,'Annual Parameters'!$B$33:$W$104,3,FALSE) / VLOOKUP('VoC Fuel'!$B$14,'Annual Parameters'!$B$33:$W$104,3,FALSE))))</f>
        <v>0</v>
      </c>
      <c r="M92" s="1256">
        <f>IF(ISERROR(VLOOKUP($B92,'VoC Fuel'!$B$28:$O$126,1,FALSE)),"",IF(VLOOKUP(B92,'VoC Fuel'!$B$28:$O$126,12,FALSE)="","",VLOOKUP(B92,'VoC Fuel'!$B$28:$O$126,12,FALSE)))</f>
        <v>20</v>
      </c>
      <c r="N92" s="1256">
        <f>IF(ISERROR(VLOOKUP($B92,'VoC Fuel'!$B$28:$O$126,1,FALSE)),"",IF(VLOOKUP($B92,'VoC Fuel'!$B$28:$O$126,13,FALSE)="","",VLOOKUP($B92,'VoC Fuel'!$B$28:$O$126,13,FALSE)))</f>
        <v>20</v>
      </c>
      <c r="O92" s="1256">
        <f>IF(ISERROR(VLOOKUP($B92,'VoC Fuel'!$B$28:$O$126,1,FALSE)),"",IF(VLOOKUP($B92,'VoC Fuel'!$B$28:$O$126,14,FALSE)="","",VLOOKUP($B92,'VoC Fuel'!$B$28:$O$126,14,FALSE)))</f>
        <v>5</v>
      </c>
    </row>
    <row r="93" spans="2:15" ht="13.5" customHeight="1">
      <c r="B93" s="1589">
        <f t="shared" si="0"/>
        <v>2075</v>
      </c>
      <c r="C93" s="147"/>
      <c r="D93" s="51">
        <f>IF(ISERROR(VLOOKUP($B93,'VoC Fuel'!$B$28:$O$126,1,FALSE)),"",IF(VLOOKUP($B93,'VoC Fuel'!$B$28:$O$126,3,FALSE)="","",VLOOKUP($B93,'VoC Fuel'!$B$28:$O$126,3,FALSE) * (VLOOKUP($B$14,'Annual Parameters'!$B$33:$W$104,3,FALSE) / VLOOKUP('VoC Fuel'!$B$14,'Annual Parameters'!$B$33:$W$104,3,FALSE))))</f>
        <v>42.415831094542135</v>
      </c>
      <c r="E93" s="2158">
        <f>IF(ISERROR(VLOOKUP($B93,'VoC Fuel'!$B$28:$O$126,1,FALSE)),"",IF(VLOOKUP($B93,'VoC Fuel'!$B$28:$O$126,4,FALSE)="","",VLOOKUP($B93,'VoC Fuel'!$B$28:$O$126,4,FALSE) * (VLOOKUP($B$14,'Annual Parameters'!$B$33:$W$104,3,FALSE) / VLOOKUP('VoC Fuel'!$B$14,'Annual Parameters'!$B$33:$W$104,3,FALSE))))</f>
        <v>46.37706219646185</v>
      </c>
      <c r="F93" s="2160">
        <f>IF(ISERROR(VLOOKUP($B93,'VoC Fuel'!$B$28:$O$126,1,FALSE)),"",IF(VLOOKUP($B93,'VoC Fuel'!$B$28:$O$126,5,FALSE)="","",VLOOKUP($B93,'VoC Fuel'!$B$28:$O$126,5,FALSE) * (VLOOKUP($B$14,'Annual Parameters'!$B$33:$W$104,3,FALSE) / VLOOKUP('VoC Fuel'!$B$14,'Annual Parameters'!$B$33:$W$104,3,FALSE))))</f>
        <v>40.832242223684588</v>
      </c>
      <c r="G93" s="1654">
        <f>IF(ISERROR(VLOOKUP($B93,'VoC Fuel'!$B$28:$O$126,1,FALSE)),"",IF(VLOOKUP($B93,'VoC Fuel'!$B$28:$O$126,6,FALSE)="","",VLOOKUP($B93,'VoC Fuel'!$B$28:$O$126,6,FALSE) * (VLOOKUP($B$14,'Annual Parameters'!$B$33:$W$104,3,FALSE) / VLOOKUP('VoC Fuel'!$B$14,'Annual Parameters'!$B$33:$W$104,3,FALSE))))</f>
        <v>15.487670797843426</v>
      </c>
      <c r="H93" s="1590">
        <f>IF(ISERROR(VLOOKUP($B93,'VoC Fuel'!$B$28:$O$126,1,FALSE)),"",IF(VLOOKUP($B93,'VoC Fuel'!$B$28:$O$126,7,FALSE)="","",VLOOKUP($B93,'VoC Fuel'!$B$28:$O$126,7,FALSE) * (VLOOKUP($B$14,'Annual Parameters'!$B$33:$W$104,3,FALSE) / VLOOKUP('VoC Fuel'!$B$14,'Annual Parameters'!$B$33:$W$104,3,FALSE))))</f>
        <v>11.045016676639516</v>
      </c>
      <c r="I93" s="1654">
        <f>IF(ISERROR(VLOOKUP($B93,'VoC Fuel'!$B$28:$O$126,1,FALSE)),"",IF(VLOOKUP($B93,'VoC Fuel'!$B$28:$O$126,8,FALSE)="","",VLOOKUP($B93,'VoC Fuel'!$B$28:$O$126,8,FALSE) * (VLOOKUP($B$14,'Annual Parameters'!$B$33:$W$104,3,FALSE) / VLOOKUP('VoC Fuel'!$B$14,'Annual Parameters'!$B$33:$W$104,3,FALSE))))</f>
        <v>77.449072347740412</v>
      </c>
      <c r="J93" s="1654">
        <f>IF(ISERROR(VLOOKUP($B93,'VoC Fuel'!$B$28:$O$126,1,FALSE)),"",IF(VLOOKUP($B93,'VoC Fuel'!$B$28:$O$126,9,FALSE)="","",VLOOKUP($B93,'VoC Fuel'!$B$28:$O$126,9,FALSE) * (VLOOKUP($B$14,'Annual Parameters'!$B$33:$W$104,3,FALSE) / VLOOKUP('VoC Fuel'!$B$14,'Annual Parameters'!$B$33:$W$104,3,FALSE))))</f>
        <v>77.449072347740412</v>
      </c>
      <c r="K93" s="1654">
        <f>IF(ISERROR(VLOOKUP($B93,'VoC Fuel'!$B$28:$O$126,1,FALSE)),"",IF(VLOOKUP($B93,'VoC Fuel'!$B$28:$O$126,10,FALSE)="","",VLOOKUP($B93,'VoC Fuel'!$B$28:$O$126,10,FALSE) * (VLOOKUP($B$14,'Annual Parameters'!$B$33:$W$104,3,FALSE) / VLOOKUP('VoC Fuel'!$B$14,'Annual Parameters'!$B$33:$W$104,3,FALSE))))</f>
        <v>14.888398031990134</v>
      </c>
      <c r="L93" s="1257">
        <f>IF(ISERROR(VLOOKUP($B93,'VoC Fuel'!$B$28:$O$126,1,FALSE)),"",IF(VLOOKUP($B93,'VoC Fuel'!$B$28:$O$126,11,FALSE)="","",VLOOKUP($B93,'VoC Fuel'!$B$28:$O$126,11,FALSE) * (VLOOKUP($B$14,'Annual Parameters'!$B$33:$W$104,3,FALSE) / VLOOKUP('VoC Fuel'!$B$14,'Annual Parameters'!$B$33:$W$104,3,FALSE))))</f>
        <v>0</v>
      </c>
      <c r="M93" s="1256">
        <f>IF(ISERROR(VLOOKUP($B93,'VoC Fuel'!$B$28:$O$126,1,FALSE)),"",IF(VLOOKUP(B93,'VoC Fuel'!$B$28:$O$126,12,FALSE)="","",VLOOKUP(B93,'VoC Fuel'!$B$28:$O$126,12,FALSE)))</f>
        <v>20</v>
      </c>
      <c r="N93" s="1256">
        <f>IF(ISERROR(VLOOKUP($B93,'VoC Fuel'!$B$28:$O$126,1,FALSE)),"",IF(VLOOKUP($B93,'VoC Fuel'!$B$28:$O$126,13,FALSE)="","",VLOOKUP($B93,'VoC Fuel'!$B$28:$O$126,13,FALSE)))</f>
        <v>20</v>
      </c>
      <c r="O93" s="1256">
        <f>IF(ISERROR(VLOOKUP($B93,'VoC Fuel'!$B$28:$O$126,1,FALSE)),"",IF(VLOOKUP($B93,'VoC Fuel'!$B$28:$O$126,14,FALSE)="","",VLOOKUP($B93,'VoC Fuel'!$B$28:$O$126,14,FALSE)))</f>
        <v>5</v>
      </c>
    </row>
    <row r="94" spans="2:15" ht="13.5" customHeight="1">
      <c r="B94" s="1589">
        <f t="shared" ref="B94:B107" si="1">B93+1</f>
        <v>2076</v>
      </c>
      <c r="C94" s="147"/>
      <c r="D94" s="51">
        <f>IF(ISERROR(VLOOKUP($B94,'VoC Fuel'!$B$28:$O$126,1,FALSE)),"",IF(VLOOKUP($B94,'VoC Fuel'!$B$28:$O$126,3,FALSE)="","",VLOOKUP($B94,'VoC Fuel'!$B$28:$O$126,3,FALSE) * (VLOOKUP($B$14,'Annual Parameters'!$B$33:$W$104,3,FALSE) / VLOOKUP('VoC Fuel'!$B$14,'Annual Parameters'!$B$33:$W$104,3,FALSE))))</f>
        <v>42.415831094542135</v>
      </c>
      <c r="E94" s="2158">
        <f>IF(ISERROR(VLOOKUP($B94,'VoC Fuel'!$B$28:$O$126,1,FALSE)),"",IF(VLOOKUP($B94,'VoC Fuel'!$B$28:$O$126,4,FALSE)="","",VLOOKUP($B94,'VoC Fuel'!$B$28:$O$126,4,FALSE) * (VLOOKUP($B$14,'Annual Parameters'!$B$33:$W$104,3,FALSE) / VLOOKUP('VoC Fuel'!$B$14,'Annual Parameters'!$B$33:$W$104,3,FALSE))))</f>
        <v>46.37706219646185</v>
      </c>
      <c r="F94" s="2160">
        <f>IF(ISERROR(VLOOKUP($B94,'VoC Fuel'!$B$28:$O$126,1,FALSE)),"",IF(VLOOKUP($B94,'VoC Fuel'!$B$28:$O$126,5,FALSE)="","",VLOOKUP($B94,'VoC Fuel'!$B$28:$O$126,5,FALSE) * (VLOOKUP($B$14,'Annual Parameters'!$B$33:$W$104,3,FALSE) / VLOOKUP('VoC Fuel'!$B$14,'Annual Parameters'!$B$33:$W$104,3,FALSE))))</f>
        <v>40.832242223684588</v>
      </c>
      <c r="G94" s="1654">
        <f>IF(ISERROR(VLOOKUP($B94,'VoC Fuel'!$B$28:$O$126,1,FALSE)),"",IF(VLOOKUP($B94,'VoC Fuel'!$B$28:$O$126,6,FALSE)="","",VLOOKUP($B94,'VoC Fuel'!$B$28:$O$126,6,FALSE) * (VLOOKUP($B$14,'Annual Parameters'!$B$33:$W$104,3,FALSE) / VLOOKUP('VoC Fuel'!$B$14,'Annual Parameters'!$B$33:$W$104,3,FALSE))))</f>
        <v>15.487670797843426</v>
      </c>
      <c r="H94" s="1590">
        <f>IF(ISERROR(VLOOKUP($B94,'VoC Fuel'!$B$28:$O$126,1,FALSE)),"",IF(VLOOKUP($B94,'VoC Fuel'!$B$28:$O$126,7,FALSE)="","",VLOOKUP($B94,'VoC Fuel'!$B$28:$O$126,7,FALSE) * (VLOOKUP($B$14,'Annual Parameters'!$B$33:$W$104,3,FALSE) / VLOOKUP('VoC Fuel'!$B$14,'Annual Parameters'!$B$33:$W$104,3,FALSE))))</f>
        <v>11.045016676639516</v>
      </c>
      <c r="I94" s="1654">
        <f>IF(ISERROR(VLOOKUP($B94,'VoC Fuel'!$B$28:$O$126,1,FALSE)),"",IF(VLOOKUP($B94,'VoC Fuel'!$B$28:$O$126,8,FALSE)="","",VLOOKUP($B94,'VoC Fuel'!$B$28:$O$126,8,FALSE) * (VLOOKUP($B$14,'Annual Parameters'!$B$33:$W$104,3,FALSE) / VLOOKUP('VoC Fuel'!$B$14,'Annual Parameters'!$B$33:$W$104,3,FALSE))))</f>
        <v>77.979026899484495</v>
      </c>
      <c r="J94" s="1654">
        <f>IF(ISERROR(VLOOKUP($B94,'VoC Fuel'!$B$28:$O$126,1,FALSE)),"",IF(VLOOKUP($B94,'VoC Fuel'!$B$28:$O$126,9,FALSE)="","",VLOOKUP($B94,'VoC Fuel'!$B$28:$O$126,9,FALSE) * (VLOOKUP($B$14,'Annual Parameters'!$B$33:$W$104,3,FALSE) / VLOOKUP('VoC Fuel'!$B$14,'Annual Parameters'!$B$33:$W$104,3,FALSE))))</f>
        <v>77.979026899484495</v>
      </c>
      <c r="K94" s="1654">
        <f>IF(ISERROR(VLOOKUP($B94,'VoC Fuel'!$B$28:$O$126,1,FALSE)),"",IF(VLOOKUP($B94,'VoC Fuel'!$B$28:$O$126,10,FALSE)="","",VLOOKUP($B94,'VoC Fuel'!$B$28:$O$126,10,FALSE) * (VLOOKUP($B$14,'Annual Parameters'!$B$33:$W$104,3,FALSE) / VLOOKUP('VoC Fuel'!$B$14,'Annual Parameters'!$B$33:$W$104,3,FALSE))))</f>
        <v>14.99027367834784</v>
      </c>
      <c r="L94" s="1257">
        <f>IF(ISERROR(VLOOKUP($B94,'VoC Fuel'!$B$28:$O$126,1,FALSE)),"",IF(VLOOKUP($B94,'VoC Fuel'!$B$28:$O$126,11,FALSE)="","",VLOOKUP($B94,'VoC Fuel'!$B$28:$O$126,11,FALSE) * (VLOOKUP($B$14,'Annual Parameters'!$B$33:$W$104,3,FALSE) / VLOOKUP('VoC Fuel'!$B$14,'Annual Parameters'!$B$33:$W$104,3,FALSE))))</f>
        <v>0</v>
      </c>
      <c r="M94" s="1256">
        <f>IF(ISERROR(VLOOKUP($B94,'VoC Fuel'!$B$28:$O$126,1,FALSE)),"",IF(VLOOKUP(B94,'VoC Fuel'!$B$28:$O$126,12,FALSE)="","",VLOOKUP(B94,'VoC Fuel'!$B$28:$O$126,12,FALSE)))</f>
        <v>20</v>
      </c>
      <c r="N94" s="1256">
        <f>IF(ISERROR(VLOOKUP($B94,'VoC Fuel'!$B$28:$O$126,1,FALSE)),"",IF(VLOOKUP($B94,'VoC Fuel'!$B$28:$O$126,13,FALSE)="","",VLOOKUP($B94,'VoC Fuel'!$B$28:$O$126,13,FALSE)))</f>
        <v>20</v>
      </c>
      <c r="O94" s="1256">
        <f>IF(ISERROR(VLOOKUP($B94,'VoC Fuel'!$B$28:$O$126,1,FALSE)),"",IF(VLOOKUP($B94,'VoC Fuel'!$B$28:$O$126,14,FALSE)="","",VLOOKUP($B94,'VoC Fuel'!$B$28:$O$126,14,FALSE)))</f>
        <v>5</v>
      </c>
    </row>
    <row r="95" spans="2:15" ht="13.5" customHeight="1">
      <c r="B95" s="1589">
        <f t="shared" si="1"/>
        <v>2077</v>
      </c>
      <c r="C95" s="147"/>
      <c r="D95" s="51">
        <f>IF(ISERROR(VLOOKUP($B95,'VoC Fuel'!$B$28:$O$126,1,FALSE)),"",IF(VLOOKUP($B95,'VoC Fuel'!$B$28:$O$126,3,FALSE)="","",VLOOKUP($B95,'VoC Fuel'!$B$28:$O$126,3,FALSE) * (VLOOKUP($B$14,'Annual Parameters'!$B$33:$W$104,3,FALSE) / VLOOKUP('VoC Fuel'!$B$14,'Annual Parameters'!$B$33:$W$104,3,FALSE))))</f>
        <v>42.415831094542135</v>
      </c>
      <c r="E95" s="2158">
        <f>IF(ISERROR(VLOOKUP($B95,'VoC Fuel'!$B$28:$O$126,1,FALSE)),"",IF(VLOOKUP($B95,'VoC Fuel'!$B$28:$O$126,4,FALSE)="","",VLOOKUP($B95,'VoC Fuel'!$B$28:$O$126,4,FALSE) * (VLOOKUP($B$14,'Annual Parameters'!$B$33:$W$104,3,FALSE) / VLOOKUP('VoC Fuel'!$B$14,'Annual Parameters'!$B$33:$W$104,3,FALSE))))</f>
        <v>46.37706219646185</v>
      </c>
      <c r="F95" s="2160">
        <f>IF(ISERROR(VLOOKUP($B95,'VoC Fuel'!$B$28:$O$126,1,FALSE)),"",IF(VLOOKUP($B95,'VoC Fuel'!$B$28:$O$126,5,FALSE)="","",VLOOKUP($B95,'VoC Fuel'!$B$28:$O$126,5,FALSE) * (VLOOKUP($B$14,'Annual Parameters'!$B$33:$W$104,3,FALSE) / VLOOKUP('VoC Fuel'!$B$14,'Annual Parameters'!$B$33:$W$104,3,FALSE))))</f>
        <v>40.832242223684588</v>
      </c>
      <c r="G95" s="1654">
        <f>IF(ISERROR(VLOOKUP($B95,'VoC Fuel'!$B$28:$O$126,1,FALSE)),"",IF(VLOOKUP($B95,'VoC Fuel'!$B$28:$O$126,6,FALSE)="","",VLOOKUP($B95,'VoC Fuel'!$B$28:$O$126,6,FALSE) * (VLOOKUP($B$14,'Annual Parameters'!$B$33:$W$104,3,FALSE) / VLOOKUP('VoC Fuel'!$B$14,'Annual Parameters'!$B$33:$W$104,3,FALSE))))</f>
        <v>15.487670797843426</v>
      </c>
      <c r="H95" s="1590">
        <f>IF(ISERROR(VLOOKUP($B95,'VoC Fuel'!$B$28:$O$126,1,FALSE)),"",IF(VLOOKUP($B95,'VoC Fuel'!$B$28:$O$126,7,FALSE)="","",VLOOKUP($B95,'VoC Fuel'!$B$28:$O$126,7,FALSE) * (VLOOKUP($B$14,'Annual Parameters'!$B$33:$W$104,3,FALSE) / VLOOKUP('VoC Fuel'!$B$14,'Annual Parameters'!$B$33:$W$104,3,FALSE))))</f>
        <v>11.045016676639516</v>
      </c>
      <c r="I95" s="1654">
        <f>IF(ISERROR(VLOOKUP($B95,'VoC Fuel'!$B$28:$O$126,1,FALSE)),"",IF(VLOOKUP($B95,'VoC Fuel'!$B$28:$O$126,8,FALSE)="","",VLOOKUP($B95,'VoC Fuel'!$B$28:$O$126,8,FALSE) * (VLOOKUP($B$14,'Annual Parameters'!$B$33:$W$104,3,FALSE) / VLOOKUP('VoC Fuel'!$B$14,'Annual Parameters'!$B$33:$W$104,3,FALSE))))</f>
        <v>78.512607728708716</v>
      </c>
      <c r="J95" s="1654">
        <f>IF(ISERROR(VLOOKUP($B95,'VoC Fuel'!$B$28:$O$126,1,FALSE)),"",IF(VLOOKUP($B95,'VoC Fuel'!$B$28:$O$126,9,FALSE)="","",VLOOKUP($B95,'VoC Fuel'!$B$28:$O$126,9,FALSE) * (VLOOKUP($B$14,'Annual Parameters'!$B$33:$W$104,3,FALSE) / VLOOKUP('VoC Fuel'!$B$14,'Annual Parameters'!$B$33:$W$104,3,FALSE))))</f>
        <v>78.512607728708716</v>
      </c>
      <c r="K95" s="1654">
        <f>IF(ISERROR(VLOOKUP($B95,'VoC Fuel'!$B$28:$O$126,1,FALSE)),"",IF(VLOOKUP($B95,'VoC Fuel'!$B$28:$O$126,10,FALSE)="","",VLOOKUP($B95,'VoC Fuel'!$B$28:$O$126,10,FALSE) * (VLOOKUP($B$14,'Annual Parameters'!$B$33:$W$104,3,FALSE) / VLOOKUP('VoC Fuel'!$B$14,'Annual Parameters'!$B$33:$W$104,3,FALSE))))</f>
        <v>15.092846421014933</v>
      </c>
      <c r="L95" s="1257">
        <f>IF(ISERROR(VLOOKUP($B95,'VoC Fuel'!$B$28:$O$126,1,FALSE)),"",IF(VLOOKUP($B95,'VoC Fuel'!$B$28:$O$126,11,FALSE)="","",VLOOKUP($B95,'VoC Fuel'!$B$28:$O$126,11,FALSE) * (VLOOKUP($B$14,'Annual Parameters'!$B$33:$W$104,3,FALSE) / VLOOKUP('VoC Fuel'!$B$14,'Annual Parameters'!$B$33:$W$104,3,FALSE))))</f>
        <v>0</v>
      </c>
      <c r="M95" s="1256">
        <f>IF(ISERROR(VLOOKUP($B95,'VoC Fuel'!$B$28:$O$126,1,FALSE)),"",IF(VLOOKUP(B95,'VoC Fuel'!$B$28:$O$126,12,FALSE)="","",VLOOKUP(B95,'VoC Fuel'!$B$28:$O$126,12,FALSE)))</f>
        <v>20</v>
      </c>
      <c r="N95" s="1256">
        <f>IF(ISERROR(VLOOKUP($B95,'VoC Fuel'!$B$28:$O$126,1,FALSE)),"",IF(VLOOKUP($B95,'VoC Fuel'!$B$28:$O$126,13,FALSE)="","",VLOOKUP($B95,'VoC Fuel'!$B$28:$O$126,13,FALSE)))</f>
        <v>20</v>
      </c>
      <c r="O95" s="1256">
        <f>IF(ISERROR(VLOOKUP($B95,'VoC Fuel'!$B$28:$O$126,1,FALSE)),"",IF(VLOOKUP($B95,'VoC Fuel'!$B$28:$O$126,14,FALSE)="","",VLOOKUP($B95,'VoC Fuel'!$B$28:$O$126,14,FALSE)))</f>
        <v>5</v>
      </c>
    </row>
    <row r="96" spans="2:15" ht="13.5" customHeight="1">
      <c r="B96" s="1589">
        <f t="shared" si="1"/>
        <v>2078</v>
      </c>
      <c r="C96" s="147"/>
      <c r="D96" s="51">
        <f>IF(ISERROR(VLOOKUP($B96,'VoC Fuel'!$B$28:$O$126,1,FALSE)),"",IF(VLOOKUP($B96,'VoC Fuel'!$B$28:$O$126,3,FALSE)="","",VLOOKUP($B96,'VoC Fuel'!$B$28:$O$126,3,FALSE) * (VLOOKUP($B$14,'Annual Parameters'!$B$33:$W$104,3,FALSE) / VLOOKUP('VoC Fuel'!$B$14,'Annual Parameters'!$B$33:$W$104,3,FALSE))))</f>
        <v>42.415831094542135</v>
      </c>
      <c r="E96" s="2158">
        <f>IF(ISERROR(VLOOKUP($B96,'VoC Fuel'!$B$28:$O$126,1,FALSE)),"",IF(VLOOKUP($B96,'VoC Fuel'!$B$28:$O$126,4,FALSE)="","",VLOOKUP($B96,'VoC Fuel'!$B$28:$O$126,4,FALSE) * (VLOOKUP($B$14,'Annual Parameters'!$B$33:$W$104,3,FALSE) / VLOOKUP('VoC Fuel'!$B$14,'Annual Parameters'!$B$33:$W$104,3,FALSE))))</f>
        <v>46.37706219646185</v>
      </c>
      <c r="F96" s="2160">
        <f>IF(ISERROR(VLOOKUP($B96,'VoC Fuel'!$B$28:$O$126,1,FALSE)),"",IF(VLOOKUP($B96,'VoC Fuel'!$B$28:$O$126,5,FALSE)="","",VLOOKUP($B96,'VoC Fuel'!$B$28:$O$126,5,FALSE) * (VLOOKUP($B$14,'Annual Parameters'!$B$33:$W$104,3,FALSE) / VLOOKUP('VoC Fuel'!$B$14,'Annual Parameters'!$B$33:$W$104,3,FALSE))))</f>
        <v>40.832242223684588</v>
      </c>
      <c r="G96" s="1654">
        <f>IF(ISERROR(VLOOKUP($B96,'VoC Fuel'!$B$28:$O$126,1,FALSE)),"",IF(VLOOKUP($B96,'VoC Fuel'!$B$28:$O$126,6,FALSE)="","",VLOOKUP($B96,'VoC Fuel'!$B$28:$O$126,6,FALSE) * (VLOOKUP($B$14,'Annual Parameters'!$B$33:$W$104,3,FALSE) / VLOOKUP('VoC Fuel'!$B$14,'Annual Parameters'!$B$33:$W$104,3,FALSE))))</f>
        <v>15.487670797843426</v>
      </c>
      <c r="H96" s="1590">
        <f>IF(ISERROR(VLOOKUP($B96,'VoC Fuel'!$B$28:$O$126,1,FALSE)),"",IF(VLOOKUP($B96,'VoC Fuel'!$B$28:$O$126,7,FALSE)="","",VLOOKUP($B96,'VoC Fuel'!$B$28:$O$126,7,FALSE) * (VLOOKUP($B$14,'Annual Parameters'!$B$33:$W$104,3,FALSE) / VLOOKUP('VoC Fuel'!$B$14,'Annual Parameters'!$B$33:$W$104,3,FALSE))))</f>
        <v>11.045016676639516</v>
      </c>
      <c r="I96" s="1654">
        <f>IF(ISERROR(VLOOKUP($B96,'VoC Fuel'!$B$28:$O$126,1,FALSE)),"",IF(VLOOKUP($B96,'VoC Fuel'!$B$28:$O$126,8,FALSE)="","",VLOOKUP($B96,'VoC Fuel'!$B$28:$O$126,8,FALSE) * (VLOOKUP($B$14,'Annual Parameters'!$B$33:$W$104,3,FALSE) / VLOOKUP('VoC Fuel'!$B$14,'Annual Parameters'!$B$33:$W$104,3,FALSE))))</f>
        <v>79.049839648651044</v>
      </c>
      <c r="J96" s="1654">
        <f>IF(ISERROR(VLOOKUP($B96,'VoC Fuel'!$B$28:$O$126,1,FALSE)),"",IF(VLOOKUP($B96,'VoC Fuel'!$B$28:$O$126,9,FALSE)="","",VLOOKUP($B96,'VoC Fuel'!$B$28:$O$126,9,FALSE) * (VLOOKUP($B$14,'Annual Parameters'!$B$33:$W$104,3,FALSE) / VLOOKUP('VoC Fuel'!$B$14,'Annual Parameters'!$B$33:$W$104,3,FALSE))))</f>
        <v>79.04983964865103</v>
      </c>
      <c r="K96" s="1654">
        <f>IF(ISERROR(VLOOKUP($B96,'VoC Fuel'!$B$28:$O$126,1,FALSE)),"",IF(VLOOKUP($B96,'VoC Fuel'!$B$28:$O$126,10,FALSE)="","",VLOOKUP($B96,'VoC Fuel'!$B$28:$O$126,10,FALSE) * (VLOOKUP($B$14,'Annual Parameters'!$B$33:$W$104,3,FALSE) / VLOOKUP('VoC Fuel'!$B$14,'Annual Parameters'!$B$33:$W$104,3,FALSE))))</f>
        <v>15.196121029956389</v>
      </c>
      <c r="L96" s="1257">
        <f>IF(ISERROR(VLOOKUP($B96,'VoC Fuel'!$B$28:$O$126,1,FALSE)),"",IF(VLOOKUP($B96,'VoC Fuel'!$B$28:$O$126,11,FALSE)="","",VLOOKUP($B96,'VoC Fuel'!$B$28:$O$126,11,FALSE) * (VLOOKUP($B$14,'Annual Parameters'!$B$33:$W$104,3,FALSE) / VLOOKUP('VoC Fuel'!$B$14,'Annual Parameters'!$B$33:$W$104,3,FALSE))))</f>
        <v>0</v>
      </c>
      <c r="M96" s="1256">
        <f>IF(ISERROR(VLOOKUP($B96,'VoC Fuel'!$B$28:$O$126,1,FALSE)),"",IF(VLOOKUP(B96,'VoC Fuel'!$B$28:$O$126,12,FALSE)="","",VLOOKUP(B96,'VoC Fuel'!$B$28:$O$126,12,FALSE)))</f>
        <v>20</v>
      </c>
      <c r="N96" s="1256">
        <f>IF(ISERROR(VLOOKUP($B96,'VoC Fuel'!$B$28:$O$126,1,FALSE)),"",IF(VLOOKUP($B96,'VoC Fuel'!$B$28:$O$126,13,FALSE)="","",VLOOKUP($B96,'VoC Fuel'!$B$28:$O$126,13,FALSE)))</f>
        <v>20</v>
      </c>
      <c r="O96" s="1256">
        <f>IF(ISERROR(VLOOKUP($B96,'VoC Fuel'!$B$28:$O$126,1,FALSE)),"",IF(VLOOKUP($B96,'VoC Fuel'!$B$28:$O$126,14,FALSE)="","",VLOOKUP($B96,'VoC Fuel'!$B$28:$O$126,14,FALSE)))</f>
        <v>5</v>
      </c>
    </row>
    <row r="97" spans="2:15" ht="13.5" customHeight="1">
      <c r="B97" s="1589">
        <f t="shared" si="1"/>
        <v>2079</v>
      </c>
      <c r="C97" s="147"/>
      <c r="D97" s="51">
        <f>IF(ISERROR(VLOOKUP($B97,'VoC Fuel'!$B$28:$O$126,1,FALSE)),"",IF(VLOOKUP($B97,'VoC Fuel'!$B$28:$O$126,3,FALSE)="","",VLOOKUP($B97,'VoC Fuel'!$B$28:$O$126,3,FALSE) * (VLOOKUP($B$14,'Annual Parameters'!$B$33:$W$104,3,FALSE) / VLOOKUP('VoC Fuel'!$B$14,'Annual Parameters'!$B$33:$W$104,3,FALSE))))</f>
        <v>42.415831094542135</v>
      </c>
      <c r="E97" s="2158">
        <f>IF(ISERROR(VLOOKUP($B97,'VoC Fuel'!$B$28:$O$126,1,FALSE)),"",IF(VLOOKUP($B97,'VoC Fuel'!$B$28:$O$126,4,FALSE)="","",VLOOKUP($B97,'VoC Fuel'!$B$28:$O$126,4,FALSE) * (VLOOKUP($B$14,'Annual Parameters'!$B$33:$W$104,3,FALSE) / VLOOKUP('VoC Fuel'!$B$14,'Annual Parameters'!$B$33:$W$104,3,FALSE))))</f>
        <v>46.37706219646185</v>
      </c>
      <c r="F97" s="2160">
        <f>IF(ISERROR(VLOOKUP($B97,'VoC Fuel'!$B$28:$O$126,1,FALSE)),"",IF(VLOOKUP($B97,'VoC Fuel'!$B$28:$O$126,5,FALSE)="","",VLOOKUP($B97,'VoC Fuel'!$B$28:$O$126,5,FALSE) * (VLOOKUP($B$14,'Annual Parameters'!$B$33:$W$104,3,FALSE) / VLOOKUP('VoC Fuel'!$B$14,'Annual Parameters'!$B$33:$W$104,3,FALSE))))</f>
        <v>40.832242223684588</v>
      </c>
      <c r="G97" s="1654">
        <f>IF(ISERROR(VLOOKUP($B97,'VoC Fuel'!$B$28:$O$126,1,FALSE)),"",IF(VLOOKUP($B97,'VoC Fuel'!$B$28:$O$126,6,FALSE)="","",VLOOKUP($B97,'VoC Fuel'!$B$28:$O$126,6,FALSE) * (VLOOKUP($B$14,'Annual Parameters'!$B$33:$W$104,3,FALSE) / VLOOKUP('VoC Fuel'!$B$14,'Annual Parameters'!$B$33:$W$104,3,FALSE))))</f>
        <v>15.487670797843426</v>
      </c>
      <c r="H97" s="1590">
        <f>IF(ISERROR(VLOOKUP($B97,'VoC Fuel'!$B$28:$O$126,1,FALSE)),"",IF(VLOOKUP($B97,'VoC Fuel'!$B$28:$O$126,7,FALSE)="","",VLOOKUP($B97,'VoC Fuel'!$B$28:$O$126,7,FALSE) * (VLOOKUP($B$14,'Annual Parameters'!$B$33:$W$104,3,FALSE) / VLOOKUP('VoC Fuel'!$B$14,'Annual Parameters'!$B$33:$W$104,3,FALSE))))</f>
        <v>11.045016676639516</v>
      </c>
      <c r="I97" s="1654">
        <f>IF(ISERROR(VLOOKUP($B97,'VoC Fuel'!$B$28:$O$126,1,FALSE)),"",IF(VLOOKUP($B97,'VoC Fuel'!$B$28:$O$126,8,FALSE)="","",VLOOKUP($B97,'VoC Fuel'!$B$28:$O$126,8,FALSE) * (VLOOKUP($B$14,'Annual Parameters'!$B$33:$W$104,3,FALSE) / VLOOKUP('VoC Fuel'!$B$14,'Annual Parameters'!$B$33:$W$104,3,FALSE))))</f>
        <v>79.590747642336808</v>
      </c>
      <c r="J97" s="1654">
        <f>IF(ISERROR(VLOOKUP($B97,'VoC Fuel'!$B$28:$O$126,1,FALSE)),"",IF(VLOOKUP($B97,'VoC Fuel'!$B$28:$O$126,9,FALSE)="","",VLOOKUP($B97,'VoC Fuel'!$B$28:$O$126,9,FALSE) * (VLOOKUP($B$14,'Annual Parameters'!$B$33:$W$104,3,FALSE) / VLOOKUP('VoC Fuel'!$B$14,'Annual Parameters'!$B$33:$W$104,3,FALSE))))</f>
        <v>79.590747642336808</v>
      </c>
      <c r="K97" s="1654">
        <f>IF(ISERROR(VLOOKUP($B97,'VoC Fuel'!$B$28:$O$126,1,FALSE)),"",IF(VLOOKUP($B97,'VoC Fuel'!$B$28:$O$126,10,FALSE)="","",VLOOKUP($B97,'VoC Fuel'!$B$28:$O$126,10,FALSE) * (VLOOKUP($B$14,'Annual Parameters'!$B$33:$W$104,3,FALSE) / VLOOKUP('VoC Fuel'!$B$14,'Annual Parameters'!$B$33:$W$104,3,FALSE))))</f>
        <v>15.300102307776223</v>
      </c>
      <c r="L97" s="1257">
        <f>IF(ISERROR(VLOOKUP($B97,'VoC Fuel'!$B$28:$O$126,1,FALSE)),"",IF(VLOOKUP($B97,'VoC Fuel'!$B$28:$O$126,11,FALSE)="","",VLOOKUP($B97,'VoC Fuel'!$B$28:$O$126,11,FALSE) * (VLOOKUP($B$14,'Annual Parameters'!$B$33:$W$104,3,FALSE) / VLOOKUP('VoC Fuel'!$B$14,'Annual Parameters'!$B$33:$W$104,3,FALSE))))</f>
        <v>0</v>
      </c>
      <c r="M97" s="1256">
        <f>IF(ISERROR(VLOOKUP($B97,'VoC Fuel'!$B$28:$O$126,1,FALSE)),"",IF(VLOOKUP(B97,'VoC Fuel'!$B$28:$O$126,12,FALSE)="","",VLOOKUP(B97,'VoC Fuel'!$B$28:$O$126,12,FALSE)))</f>
        <v>20</v>
      </c>
      <c r="N97" s="1256">
        <f>IF(ISERROR(VLOOKUP($B97,'VoC Fuel'!$B$28:$O$126,1,FALSE)),"",IF(VLOOKUP($B97,'VoC Fuel'!$B$28:$O$126,13,FALSE)="","",VLOOKUP($B97,'VoC Fuel'!$B$28:$O$126,13,FALSE)))</f>
        <v>20</v>
      </c>
      <c r="O97" s="1256">
        <f>IF(ISERROR(VLOOKUP($B97,'VoC Fuel'!$B$28:$O$126,1,FALSE)),"",IF(VLOOKUP($B97,'VoC Fuel'!$B$28:$O$126,14,FALSE)="","",VLOOKUP($B97,'VoC Fuel'!$B$28:$O$126,14,FALSE)))</f>
        <v>5</v>
      </c>
    </row>
    <row r="98" spans="2:15" ht="13.5" customHeight="1">
      <c r="B98" s="1589">
        <f t="shared" si="1"/>
        <v>2080</v>
      </c>
      <c r="C98" s="147"/>
      <c r="D98" s="51">
        <f>IF(ISERROR(VLOOKUP($B98,'VoC Fuel'!$B$28:$O$126,1,FALSE)),"",IF(VLOOKUP($B98,'VoC Fuel'!$B$28:$O$126,3,FALSE)="","",VLOOKUP($B98,'VoC Fuel'!$B$28:$O$126,3,FALSE) * (VLOOKUP($B$14,'Annual Parameters'!$B$33:$W$104,3,FALSE) / VLOOKUP('VoC Fuel'!$B$14,'Annual Parameters'!$B$33:$W$104,3,FALSE))))</f>
        <v>42.415831094542135</v>
      </c>
      <c r="E98" s="2158">
        <f>IF(ISERROR(VLOOKUP($B98,'VoC Fuel'!$B$28:$O$126,1,FALSE)),"",IF(VLOOKUP($B98,'VoC Fuel'!$B$28:$O$126,4,FALSE)="","",VLOOKUP($B98,'VoC Fuel'!$B$28:$O$126,4,FALSE) * (VLOOKUP($B$14,'Annual Parameters'!$B$33:$W$104,3,FALSE) / VLOOKUP('VoC Fuel'!$B$14,'Annual Parameters'!$B$33:$W$104,3,FALSE))))</f>
        <v>46.37706219646185</v>
      </c>
      <c r="F98" s="2160">
        <f>IF(ISERROR(VLOOKUP($B98,'VoC Fuel'!$B$28:$O$126,1,FALSE)),"",IF(VLOOKUP($B98,'VoC Fuel'!$B$28:$O$126,5,FALSE)="","",VLOOKUP($B98,'VoC Fuel'!$B$28:$O$126,5,FALSE) * (VLOOKUP($B$14,'Annual Parameters'!$B$33:$W$104,3,FALSE) / VLOOKUP('VoC Fuel'!$B$14,'Annual Parameters'!$B$33:$W$104,3,FALSE))))</f>
        <v>40.832242223684588</v>
      </c>
      <c r="G98" s="1654">
        <f>IF(ISERROR(VLOOKUP($B98,'VoC Fuel'!$B$28:$O$126,1,FALSE)),"",IF(VLOOKUP($B98,'VoC Fuel'!$B$28:$O$126,6,FALSE)="","",VLOOKUP($B98,'VoC Fuel'!$B$28:$O$126,6,FALSE) * (VLOOKUP($B$14,'Annual Parameters'!$B$33:$W$104,3,FALSE) / VLOOKUP('VoC Fuel'!$B$14,'Annual Parameters'!$B$33:$W$104,3,FALSE))))</f>
        <v>15.487670797843426</v>
      </c>
      <c r="H98" s="1590">
        <f>IF(ISERROR(VLOOKUP($B98,'VoC Fuel'!$B$28:$O$126,1,FALSE)),"",IF(VLOOKUP($B98,'VoC Fuel'!$B$28:$O$126,7,FALSE)="","",VLOOKUP($B98,'VoC Fuel'!$B$28:$O$126,7,FALSE) * (VLOOKUP($B$14,'Annual Parameters'!$B$33:$W$104,3,FALSE) / VLOOKUP('VoC Fuel'!$B$14,'Annual Parameters'!$B$33:$W$104,3,FALSE))))</f>
        <v>11.045016676639516</v>
      </c>
      <c r="I98" s="1654">
        <f>IF(ISERROR(VLOOKUP($B98,'VoC Fuel'!$B$28:$O$126,1,FALSE)),"",IF(VLOOKUP($B98,'VoC Fuel'!$B$28:$O$126,8,FALSE)="","",VLOOKUP($B98,'VoC Fuel'!$B$28:$O$126,8,FALSE) * (VLOOKUP($B$14,'Annual Parameters'!$B$33:$W$104,3,FALSE) / VLOOKUP('VoC Fuel'!$B$14,'Annual Parameters'!$B$33:$W$104,3,FALSE))))</f>
        <v>80.135356863740881</v>
      </c>
      <c r="J98" s="1654">
        <f>IF(ISERROR(VLOOKUP($B98,'VoC Fuel'!$B$28:$O$126,1,FALSE)),"",IF(VLOOKUP($B98,'VoC Fuel'!$B$28:$O$126,9,FALSE)="","",VLOOKUP($B98,'VoC Fuel'!$B$28:$O$126,9,FALSE) * (VLOOKUP($B$14,'Annual Parameters'!$B$33:$W$104,3,FALSE) / VLOOKUP('VoC Fuel'!$B$14,'Annual Parameters'!$B$33:$W$104,3,FALSE))))</f>
        <v>80.135356863740881</v>
      </c>
      <c r="K98" s="1654">
        <f>IF(ISERROR(VLOOKUP($B98,'VoC Fuel'!$B$28:$O$126,1,FALSE)),"",IF(VLOOKUP($B98,'VoC Fuel'!$B$28:$O$126,10,FALSE)="","",VLOOKUP($B98,'VoC Fuel'!$B$28:$O$126,10,FALSE) * (VLOOKUP($B$14,'Annual Parameters'!$B$33:$W$104,3,FALSE) / VLOOKUP('VoC Fuel'!$B$14,'Annual Parameters'!$B$33:$W$104,3,FALSE))))</f>
        <v>15.404795089940876</v>
      </c>
      <c r="L98" s="1257">
        <f>IF(ISERROR(VLOOKUP($B98,'VoC Fuel'!$B$28:$O$126,1,FALSE)),"",IF(VLOOKUP($B98,'VoC Fuel'!$B$28:$O$126,11,FALSE)="","",VLOOKUP($B98,'VoC Fuel'!$B$28:$O$126,11,FALSE) * (VLOOKUP($B$14,'Annual Parameters'!$B$33:$W$104,3,FALSE) / VLOOKUP('VoC Fuel'!$B$14,'Annual Parameters'!$B$33:$W$104,3,FALSE))))</f>
        <v>0</v>
      </c>
      <c r="M98" s="1256">
        <f>IF(ISERROR(VLOOKUP($B98,'VoC Fuel'!$B$28:$O$126,1,FALSE)),"",IF(VLOOKUP(B98,'VoC Fuel'!$B$28:$O$126,12,FALSE)="","",VLOOKUP(B98,'VoC Fuel'!$B$28:$O$126,12,FALSE)))</f>
        <v>20</v>
      </c>
      <c r="N98" s="1256">
        <f>IF(ISERROR(VLOOKUP($B98,'VoC Fuel'!$B$28:$O$126,1,FALSE)),"",IF(VLOOKUP($B98,'VoC Fuel'!$B$28:$O$126,13,FALSE)="","",VLOOKUP($B98,'VoC Fuel'!$B$28:$O$126,13,FALSE)))</f>
        <v>20</v>
      </c>
      <c r="O98" s="1256">
        <f>IF(ISERROR(VLOOKUP($B98,'VoC Fuel'!$B$28:$O$126,1,FALSE)),"",IF(VLOOKUP($B98,'VoC Fuel'!$B$28:$O$126,14,FALSE)="","",VLOOKUP($B98,'VoC Fuel'!$B$28:$O$126,14,FALSE)))</f>
        <v>5</v>
      </c>
    </row>
    <row r="99" spans="2:15" ht="13.5" customHeight="1">
      <c r="B99" s="1589">
        <f t="shared" si="1"/>
        <v>2081</v>
      </c>
      <c r="C99" s="147"/>
      <c r="D99" s="51">
        <f>IF(ISERROR(VLOOKUP($B99,'VoC Fuel'!$B$28:$O$126,1,FALSE)),"",IF(VLOOKUP($B99,'VoC Fuel'!$B$28:$O$126,3,FALSE)="","",VLOOKUP($B99,'VoC Fuel'!$B$28:$O$126,3,FALSE) * (VLOOKUP($B$14,'Annual Parameters'!$B$33:$W$104,3,FALSE) / VLOOKUP('VoC Fuel'!$B$14,'Annual Parameters'!$B$33:$W$104,3,FALSE))))</f>
        <v>42.415831094542135</v>
      </c>
      <c r="E99" s="2158">
        <f>IF(ISERROR(VLOOKUP($B99,'VoC Fuel'!$B$28:$O$126,1,FALSE)),"",IF(VLOOKUP($B99,'VoC Fuel'!$B$28:$O$126,4,FALSE)="","",VLOOKUP($B99,'VoC Fuel'!$B$28:$O$126,4,FALSE) * (VLOOKUP($B$14,'Annual Parameters'!$B$33:$W$104,3,FALSE) / VLOOKUP('VoC Fuel'!$B$14,'Annual Parameters'!$B$33:$W$104,3,FALSE))))</f>
        <v>46.37706219646185</v>
      </c>
      <c r="F99" s="2160">
        <f>IF(ISERROR(VLOOKUP($B99,'VoC Fuel'!$B$28:$O$126,1,FALSE)),"",IF(VLOOKUP($B99,'VoC Fuel'!$B$28:$O$126,5,FALSE)="","",VLOOKUP($B99,'VoC Fuel'!$B$28:$O$126,5,FALSE) * (VLOOKUP($B$14,'Annual Parameters'!$B$33:$W$104,3,FALSE) / VLOOKUP('VoC Fuel'!$B$14,'Annual Parameters'!$B$33:$W$104,3,FALSE))))</f>
        <v>40.832242223684588</v>
      </c>
      <c r="G99" s="1654">
        <f>IF(ISERROR(VLOOKUP($B99,'VoC Fuel'!$B$28:$O$126,1,FALSE)),"",IF(VLOOKUP($B99,'VoC Fuel'!$B$28:$O$126,6,FALSE)="","",VLOOKUP($B99,'VoC Fuel'!$B$28:$O$126,6,FALSE) * (VLOOKUP($B$14,'Annual Parameters'!$B$33:$W$104,3,FALSE) / VLOOKUP('VoC Fuel'!$B$14,'Annual Parameters'!$B$33:$W$104,3,FALSE))))</f>
        <v>15.487670797843426</v>
      </c>
      <c r="H99" s="1590">
        <f>IF(ISERROR(VLOOKUP($B99,'VoC Fuel'!$B$28:$O$126,1,FALSE)),"",IF(VLOOKUP($B99,'VoC Fuel'!$B$28:$O$126,7,FALSE)="","",VLOOKUP($B99,'VoC Fuel'!$B$28:$O$126,7,FALSE) * (VLOOKUP($B$14,'Annual Parameters'!$B$33:$W$104,3,FALSE) / VLOOKUP('VoC Fuel'!$B$14,'Annual Parameters'!$B$33:$W$104,3,FALSE))))</f>
        <v>11.045016676639516</v>
      </c>
      <c r="I99" s="1654">
        <f>IF(ISERROR(VLOOKUP($B99,'VoC Fuel'!$B$28:$O$126,1,FALSE)),"",IF(VLOOKUP($B99,'VoC Fuel'!$B$28:$O$126,8,FALSE)="","",VLOOKUP($B99,'VoC Fuel'!$B$28:$O$126,8,FALSE) * (VLOOKUP($B$14,'Annual Parameters'!$B$33:$W$104,3,FALSE) / VLOOKUP('VoC Fuel'!$B$14,'Annual Parameters'!$B$33:$W$104,3,FALSE))))</f>
        <v>80.683692638957112</v>
      </c>
      <c r="J99" s="1654">
        <f>IF(ISERROR(VLOOKUP($B99,'VoC Fuel'!$B$28:$O$126,1,FALSE)),"",IF(VLOOKUP($B99,'VoC Fuel'!$B$28:$O$126,9,FALSE)="","",VLOOKUP($B99,'VoC Fuel'!$B$28:$O$126,9,FALSE) * (VLOOKUP($B$14,'Annual Parameters'!$B$33:$W$104,3,FALSE) / VLOOKUP('VoC Fuel'!$B$14,'Annual Parameters'!$B$33:$W$104,3,FALSE))))</f>
        <v>80.683692638957112</v>
      </c>
      <c r="K99" s="1654">
        <f>IF(ISERROR(VLOOKUP($B99,'VoC Fuel'!$B$28:$O$126,1,FALSE)),"",IF(VLOOKUP($B99,'VoC Fuel'!$B$28:$O$126,10,FALSE)="","",VLOOKUP($B99,'VoC Fuel'!$B$28:$O$126,10,FALSE) * (VLOOKUP($B$14,'Annual Parameters'!$B$33:$W$104,3,FALSE) / VLOOKUP('VoC Fuel'!$B$14,'Annual Parameters'!$B$33:$W$104,3,FALSE))))</f>
        <v>15.510204245004013</v>
      </c>
      <c r="L99" s="1257">
        <f>IF(ISERROR(VLOOKUP($B99,'VoC Fuel'!$B$28:$O$126,1,FALSE)),"",IF(VLOOKUP($B99,'VoC Fuel'!$B$28:$O$126,11,FALSE)="","",VLOOKUP($B99,'VoC Fuel'!$B$28:$O$126,11,FALSE) * (VLOOKUP($B$14,'Annual Parameters'!$B$33:$W$104,3,FALSE) / VLOOKUP('VoC Fuel'!$B$14,'Annual Parameters'!$B$33:$W$104,3,FALSE))))</f>
        <v>0</v>
      </c>
      <c r="M99" s="1256">
        <f>IF(ISERROR(VLOOKUP($B99,'VoC Fuel'!$B$28:$O$126,1,FALSE)),"",IF(VLOOKUP(B99,'VoC Fuel'!$B$28:$O$126,12,FALSE)="","",VLOOKUP(B99,'VoC Fuel'!$B$28:$O$126,12,FALSE)))</f>
        <v>20</v>
      </c>
      <c r="N99" s="1256">
        <f>IF(ISERROR(VLOOKUP($B99,'VoC Fuel'!$B$28:$O$126,1,FALSE)),"",IF(VLOOKUP($B99,'VoC Fuel'!$B$28:$O$126,13,FALSE)="","",VLOOKUP($B99,'VoC Fuel'!$B$28:$O$126,13,FALSE)))</f>
        <v>20</v>
      </c>
      <c r="O99" s="1256">
        <f>IF(ISERROR(VLOOKUP($B99,'VoC Fuel'!$B$28:$O$126,1,FALSE)),"",IF(VLOOKUP($B99,'VoC Fuel'!$B$28:$O$126,14,FALSE)="","",VLOOKUP($B99,'VoC Fuel'!$B$28:$O$126,14,FALSE)))</f>
        <v>5</v>
      </c>
    </row>
    <row r="100" spans="2:15" ht="13.5" customHeight="1">
      <c r="B100" s="1589">
        <f t="shared" si="1"/>
        <v>2082</v>
      </c>
      <c r="C100" s="147"/>
      <c r="D100" s="51">
        <f>IF(ISERROR(VLOOKUP($B100,'VoC Fuel'!$B$28:$O$126,1,FALSE)),"",IF(VLOOKUP($B100,'VoC Fuel'!$B$28:$O$126,3,FALSE)="","",VLOOKUP($B100,'VoC Fuel'!$B$28:$O$126,3,FALSE) * (VLOOKUP($B$14,'Annual Parameters'!$B$33:$W$104,3,FALSE) / VLOOKUP('VoC Fuel'!$B$14,'Annual Parameters'!$B$33:$W$104,3,FALSE))))</f>
        <v>42.415831094542135</v>
      </c>
      <c r="E100" s="2158">
        <f>IF(ISERROR(VLOOKUP($B100,'VoC Fuel'!$B$28:$O$126,1,FALSE)),"",IF(VLOOKUP($B100,'VoC Fuel'!$B$28:$O$126,4,FALSE)="","",VLOOKUP($B100,'VoC Fuel'!$B$28:$O$126,4,FALSE) * (VLOOKUP($B$14,'Annual Parameters'!$B$33:$W$104,3,FALSE) / VLOOKUP('VoC Fuel'!$B$14,'Annual Parameters'!$B$33:$W$104,3,FALSE))))</f>
        <v>46.37706219646185</v>
      </c>
      <c r="F100" s="2160">
        <f>IF(ISERROR(VLOOKUP($B100,'VoC Fuel'!$B$28:$O$126,1,FALSE)),"",IF(VLOOKUP($B100,'VoC Fuel'!$B$28:$O$126,5,FALSE)="","",VLOOKUP($B100,'VoC Fuel'!$B$28:$O$126,5,FALSE) * (VLOOKUP($B$14,'Annual Parameters'!$B$33:$W$104,3,FALSE) / VLOOKUP('VoC Fuel'!$B$14,'Annual Parameters'!$B$33:$W$104,3,FALSE))))</f>
        <v>40.832242223684588</v>
      </c>
      <c r="G100" s="1654">
        <f>IF(ISERROR(VLOOKUP($B100,'VoC Fuel'!$B$28:$O$126,1,FALSE)),"",IF(VLOOKUP($B100,'VoC Fuel'!$B$28:$O$126,6,FALSE)="","",VLOOKUP($B100,'VoC Fuel'!$B$28:$O$126,6,FALSE) * (VLOOKUP($B$14,'Annual Parameters'!$B$33:$W$104,3,FALSE) / VLOOKUP('VoC Fuel'!$B$14,'Annual Parameters'!$B$33:$W$104,3,FALSE))))</f>
        <v>15.487670797843426</v>
      </c>
      <c r="H100" s="1590">
        <f>IF(ISERROR(VLOOKUP($B100,'VoC Fuel'!$B$28:$O$126,1,FALSE)),"",IF(VLOOKUP($B100,'VoC Fuel'!$B$28:$O$126,7,FALSE)="","",VLOOKUP($B100,'VoC Fuel'!$B$28:$O$126,7,FALSE) * (VLOOKUP($B$14,'Annual Parameters'!$B$33:$W$104,3,FALSE) / VLOOKUP('VoC Fuel'!$B$14,'Annual Parameters'!$B$33:$W$104,3,FALSE))))</f>
        <v>11.045016676639516</v>
      </c>
      <c r="I100" s="1654">
        <f>IF(ISERROR(VLOOKUP($B100,'VoC Fuel'!$B$28:$O$126,1,FALSE)),"",IF(VLOOKUP($B100,'VoC Fuel'!$B$28:$O$126,8,FALSE)="","",VLOOKUP($B100,'VoC Fuel'!$B$28:$O$126,8,FALSE) * (VLOOKUP($B$14,'Annual Parameters'!$B$33:$W$104,3,FALSE) / VLOOKUP('VoC Fuel'!$B$14,'Annual Parameters'!$B$33:$W$104,3,FALSE))))</f>
        <v>81.235780467376173</v>
      </c>
      <c r="J100" s="1654">
        <f>IF(ISERROR(VLOOKUP($B100,'VoC Fuel'!$B$28:$O$126,1,FALSE)),"",IF(VLOOKUP($B100,'VoC Fuel'!$B$28:$O$126,9,FALSE)="","",VLOOKUP($B100,'VoC Fuel'!$B$28:$O$126,9,FALSE) * (VLOOKUP($B$14,'Annual Parameters'!$B$33:$W$104,3,FALSE) / VLOOKUP('VoC Fuel'!$B$14,'Annual Parameters'!$B$33:$W$104,3,FALSE))))</f>
        <v>81.235780467376173</v>
      </c>
      <c r="K100" s="1654">
        <f>IF(ISERROR(VLOOKUP($B100,'VoC Fuel'!$B$28:$O$126,1,FALSE)),"",IF(VLOOKUP($B100,'VoC Fuel'!$B$28:$O$126,10,FALSE)="","",VLOOKUP($B100,'VoC Fuel'!$B$28:$O$126,10,FALSE) * (VLOOKUP($B$14,'Annual Parameters'!$B$33:$W$104,3,FALSE) / VLOOKUP('VoC Fuel'!$B$14,'Annual Parameters'!$B$33:$W$104,3,FALSE))))</f>
        <v>15.616334674832972</v>
      </c>
      <c r="L100" s="1257">
        <f>IF(ISERROR(VLOOKUP($B100,'VoC Fuel'!$B$28:$O$126,1,FALSE)),"",IF(VLOOKUP($B100,'VoC Fuel'!$B$28:$O$126,11,FALSE)="","",VLOOKUP($B100,'VoC Fuel'!$B$28:$O$126,11,FALSE) * (VLOOKUP($B$14,'Annual Parameters'!$B$33:$W$104,3,FALSE) / VLOOKUP('VoC Fuel'!$B$14,'Annual Parameters'!$B$33:$W$104,3,FALSE))))</f>
        <v>0</v>
      </c>
      <c r="M100" s="1256">
        <f>IF(ISERROR(VLOOKUP($B100,'VoC Fuel'!$B$28:$O$126,1,FALSE)),"",IF(VLOOKUP(B100,'VoC Fuel'!$B$28:$O$126,12,FALSE)="","",VLOOKUP(B100,'VoC Fuel'!$B$28:$O$126,12,FALSE)))</f>
        <v>20</v>
      </c>
      <c r="N100" s="1256">
        <f>IF(ISERROR(VLOOKUP($B100,'VoC Fuel'!$B$28:$O$126,1,FALSE)),"",IF(VLOOKUP($B100,'VoC Fuel'!$B$28:$O$126,13,FALSE)="","",VLOOKUP($B100,'VoC Fuel'!$B$28:$O$126,13,FALSE)))</f>
        <v>20</v>
      </c>
      <c r="O100" s="1256">
        <f>IF(ISERROR(VLOOKUP($B100,'VoC Fuel'!$B$28:$O$126,1,FALSE)),"",IF(VLOOKUP($B100,'VoC Fuel'!$B$28:$O$126,14,FALSE)="","",VLOOKUP($B100,'VoC Fuel'!$B$28:$O$126,14,FALSE)))</f>
        <v>5</v>
      </c>
    </row>
    <row r="101" spans="2:15" ht="13.5" customHeight="1">
      <c r="B101" s="1589">
        <f t="shared" si="1"/>
        <v>2083</v>
      </c>
      <c r="C101" s="147"/>
      <c r="D101" s="51">
        <f>IF(ISERROR(VLOOKUP($B101,'VoC Fuel'!$B$28:$O$126,1,FALSE)),"",IF(VLOOKUP($B101,'VoC Fuel'!$B$28:$O$126,3,FALSE)="","",VLOOKUP($B101,'VoC Fuel'!$B$28:$O$126,3,FALSE) * (VLOOKUP($B$14,'Annual Parameters'!$B$33:$W$104,3,FALSE) / VLOOKUP('VoC Fuel'!$B$14,'Annual Parameters'!$B$33:$W$104,3,FALSE))))</f>
        <v>42.415831094542135</v>
      </c>
      <c r="E101" s="2158">
        <f>IF(ISERROR(VLOOKUP($B101,'VoC Fuel'!$B$28:$O$126,1,FALSE)),"",IF(VLOOKUP($B101,'VoC Fuel'!$B$28:$O$126,4,FALSE)="","",VLOOKUP($B101,'VoC Fuel'!$B$28:$O$126,4,FALSE) * (VLOOKUP($B$14,'Annual Parameters'!$B$33:$W$104,3,FALSE) / VLOOKUP('VoC Fuel'!$B$14,'Annual Parameters'!$B$33:$W$104,3,FALSE))))</f>
        <v>46.37706219646185</v>
      </c>
      <c r="F101" s="2160">
        <f>IF(ISERROR(VLOOKUP($B101,'VoC Fuel'!$B$28:$O$126,1,FALSE)),"",IF(VLOOKUP($B101,'VoC Fuel'!$B$28:$O$126,5,FALSE)="","",VLOOKUP($B101,'VoC Fuel'!$B$28:$O$126,5,FALSE) * (VLOOKUP($B$14,'Annual Parameters'!$B$33:$W$104,3,FALSE) / VLOOKUP('VoC Fuel'!$B$14,'Annual Parameters'!$B$33:$W$104,3,FALSE))))</f>
        <v>40.832242223684588</v>
      </c>
      <c r="G101" s="1654">
        <f>IF(ISERROR(VLOOKUP($B101,'VoC Fuel'!$B$28:$O$126,1,FALSE)),"",IF(VLOOKUP($B101,'VoC Fuel'!$B$28:$O$126,6,FALSE)="","",VLOOKUP($B101,'VoC Fuel'!$B$28:$O$126,6,FALSE) * (VLOOKUP($B$14,'Annual Parameters'!$B$33:$W$104,3,FALSE) / VLOOKUP('VoC Fuel'!$B$14,'Annual Parameters'!$B$33:$W$104,3,FALSE))))</f>
        <v>15.487670797843426</v>
      </c>
      <c r="H101" s="1590">
        <f>IF(ISERROR(VLOOKUP($B101,'VoC Fuel'!$B$28:$O$126,1,FALSE)),"",IF(VLOOKUP($B101,'VoC Fuel'!$B$28:$O$126,7,FALSE)="","",VLOOKUP($B101,'VoC Fuel'!$B$28:$O$126,7,FALSE) * (VLOOKUP($B$14,'Annual Parameters'!$B$33:$W$104,3,FALSE) / VLOOKUP('VoC Fuel'!$B$14,'Annual Parameters'!$B$33:$W$104,3,FALSE))))</f>
        <v>11.045016676639516</v>
      </c>
      <c r="I101" s="1654">
        <f>IF(ISERROR(VLOOKUP($B101,'VoC Fuel'!$B$28:$O$126,1,FALSE)),"",IF(VLOOKUP($B101,'VoC Fuel'!$B$28:$O$126,8,FALSE)="","",VLOOKUP($B101,'VoC Fuel'!$B$28:$O$126,8,FALSE) * (VLOOKUP($B$14,'Annual Parameters'!$B$33:$W$104,3,FALSE) / VLOOKUP('VoC Fuel'!$B$14,'Annual Parameters'!$B$33:$W$104,3,FALSE))))</f>
        <v>81.791646022871461</v>
      </c>
      <c r="J101" s="1654">
        <f>IF(ISERROR(VLOOKUP($B101,'VoC Fuel'!$B$28:$O$126,1,FALSE)),"",IF(VLOOKUP($B101,'VoC Fuel'!$B$28:$O$126,9,FALSE)="","",VLOOKUP($B101,'VoC Fuel'!$B$28:$O$126,9,FALSE) * (VLOOKUP($B$14,'Annual Parameters'!$B$33:$W$104,3,FALSE) / VLOOKUP('VoC Fuel'!$B$14,'Annual Parameters'!$B$33:$W$104,3,FALSE))))</f>
        <v>81.791646022871461</v>
      </c>
      <c r="K101" s="1654">
        <f>IF(ISERROR(VLOOKUP($B101,'VoC Fuel'!$B$28:$O$126,1,FALSE)),"",IF(VLOOKUP($B101,'VoC Fuel'!$B$28:$O$126,10,FALSE)="","",VLOOKUP($B101,'VoC Fuel'!$B$28:$O$126,10,FALSE) * (VLOOKUP($B$14,'Annual Parameters'!$B$33:$W$104,3,FALSE) / VLOOKUP('VoC Fuel'!$B$14,'Annual Parameters'!$B$33:$W$104,3,FALSE))))</f>
        <v>15.723191314836727</v>
      </c>
      <c r="L101" s="1257">
        <f>IF(ISERROR(VLOOKUP($B101,'VoC Fuel'!$B$28:$O$126,1,FALSE)),"",IF(VLOOKUP($B101,'VoC Fuel'!$B$28:$O$126,11,FALSE)="","",VLOOKUP($B101,'VoC Fuel'!$B$28:$O$126,11,FALSE) * (VLOOKUP($B$14,'Annual Parameters'!$B$33:$W$104,3,FALSE) / VLOOKUP('VoC Fuel'!$B$14,'Annual Parameters'!$B$33:$W$104,3,FALSE))))</f>
        <v>0</v>
      </c>
      <c r="M101" s="1256">
        <f>IF(ISERROR(VLOOKUP($B101,'VoC Fuel'!$B$28:$O$126,1,FALSE)),"",IF(VLOOKUP(B101,'VoC Fuel'!$B$28:$O$126,12,FALSE)="","",VLOOKUP(B101,'VoC Fuel'!$B$28:$O$126,12,FALSE)))</f>
        <v>20</v>
      </c>
      <c r="N101" s="1256">
        <f>IF(ISERROR(VLOOKUP($B101,'VoC Fuel'!$B$28:$O$126,1,FALSE)),"",IF(VLOOKUP($B101,'VoC Fuel'!$B$28:$O$126,13,FALSE)="","",VLOOKUP($B101,'VoC Fuel'!$B$28:$O$126,13,FALSE)))</f>
        <v>20</v>
      </c>
      <c r="O101" s="1256">
        <f>IF(ISERROR(VLOOKUP($B101,'VoC Fuel'!$B$28:$O$126,1,FALSE)),"",IF(VLOOKUP($B101,'VoC Fuel'!$B$28:$O$126,14,FALSE)="","",VLOOKUP($B101,'VoC Fuel'!$B$28:$O$126,14,FALSE)))</f>
        <v>5</v>
      </c>
    </row>
    <row r="102" spans="2:15" ht="13.5" customHeight="1">
      <c r="B102" s="1589">
        <f t="shared" si="1"/>
        <v>2084</v>
      </c>
      <c r="C102" s="147"/>
      <c r="D102" s="51">
        <f>IF(ISERROR(VLOOKUP($B102,'VoC Fuel'!$B$28:$O$126,1,FALSE)),"",IF(VLOOKUP($B102,'VoC Fuel'!$B$28:$O$126,3,FALSE)="","",VLOOKUP($B102,'VoC Fuel'!$B$28:$O$126,3,FALSE) * (VLOOKUP($B$14,'Annual Parameters'!$B$33:$W$104,3,FALSE) / VLOOKUP('VoC Fuel'!$B$14,'Annual Parameters'!$B$33:$W$104,3,FALSE))))</f>
        <v>42.415831094542135</v>
      </c>
      <c r="E102" s="2158">
        <f>IF(ISERROR(VLOOKUP($B102,'VoC Fuel'!$B$28:$O$126,1,FALSE)),"",IF(VLOOKUP($B102,'VoC Fuel'!$B$28:$O$126,4,FALSE)="","",VLOOKUP($B102,'VoC Fuel'!$B$28:$O$126,4,FALSE) * (VLOOKUP($B$14,'Annual Parameters'!$B$33:$W$104,3,FALSE) / VLOOKUP('VoC Fuel'!$B$14,'Annual Parameters'!$B$33:$W$104,3,FALSE))))</f>
        <v>46.37706219646185</v>
      </c>
      <c r="F102" s="2160">
        <f>IF(ISERROR(VLOOKUP($B102,'VoC Fuel'!$B$28:$O$126,1,FALSE)),"",IF(VLOOKUP($B102,'VoC Fuel'!$B$28:$O$126,5,FALSE)="","",VLOOKUP($B102,'VoC Fuel'!$B$28:$O$126,5,FALSE) * (VLOOKUP($B$14,'Annual Parameters'!$B$33:$W$104,3,FALSE) / VLOOKUP('VoC Fuel'!$B$14,'Annual Parameters'!$B$33:$W$104,3,FALSE))))</f>
        <v>40.832242223684588</v>
      </c>
      <c r="G102" s="1654">
        <f>IF(ISERROR(VLOOKUP($B102,'VoC Fuel'!$B$28:$O$126,1,FALSE)),"",IF(VLOOKUP($B102,'VoC Fuel'!$B$28:$O$126,6,FALSE)="","",VLOOKUP($B102,'VoC Fuel'!$B$28:$O$126,6,FALSE) * (VLOOKUP($B$14,'Annual Parameters'!$B$33:$W$104,3,FALSE) / VLOOKUP('VoC Fuel'!$B$14,'Annual Parameters'!$B$33:$W$104,3,FALSE))))</f>
        <v>15.487670797843426</v>
      </c>
      <c r="H102" s="1590">
        <f>IF(ISERROR(VLOOKUP($B102,'VoC Fuel'!$B$28:$O$126,1,FALSE)),"",IF(VLOOKUP($B102,'VoC Fuel'!$B$28:$O$126,7,FALSE)="","",VLOOKUP($B102,'VoC Fuel'!$B$28:$O$126,7,FALSE) * (VLOOKUP($B$14,'Annual Parameters'!$B$33:$W$104,3,FALSE) / VLOOKUP('VoC Fuel'!$B$14,'Annual Parameters'!$B$33:$W$104,3,FALSE))))</f>
        <v>11.045016676639516</v>
      </c>
      <c r="I102" s="1654">
        <f>IF(ISERROR(VLOOKUP($B102,'VoC Fuel'!$B$28:$O$126,1,FALSE)),"",IF(VLOOKUP($B102,'VoC Fuel'!$B$28:$O$126,8,FALSE)="","",VLOOKUP($B102,'VoC Fuel'!$B$28:$O$126,8,FALSE) * (VLOOKUP($B$14,'Annual Parameters'!$B$33:$W$104,3,FALSE) / VLOOKUP('VoC Fuel'!$B$14,'Annual Parameters'!$B$33:$W$104,3,FALSE))))</f>
        <v>82.351315154992761</v>
      </c>
      <c r="J102" s="1654">
        <f>IF(ISERROR(VLOOKUP($B102,'VoC Fuel'!$B$28:$O$126,1,FALSE)),"",IF(VLOOKUP($B102,'VoC Fuel'!$B$28:$O$126,9,FALSE)="","",VLOOKUP($B102,'VoC Fuel'!$B$28:$O$126,9,FALSE) * (VLOOKUP($B$14,'Annual Parameters'!$B$33:$W$104,3,FALSE) / VLOOKUP('VoC Fuel'!$B$14,'Annual Parameters'!$B$33:$W$104,3,FALSE))))</f>
        <v>82.351315154992761</v>
      </c>
      <c r="K102" s="1654">
        <f>IF(ISERROR(VLOOKUP($B102,'VoC Fuel'!$B$28:$O$126,1,FALSE)),"",IF(VLOOKUP($B102,'VoC Fuel'!$B$28:$O$126,10,FALSE)="","",VLOOKUP($B102,'VoC Fuel'!$B$28:$O$126,10,FALSE) * (VLOOKUP($B$14,'Annual Parameters'!$B$33:$W$104,3,FALSE) / VLOOKUP('VoC Fuel'!$B$14,'Annual Parameters'!$B$33:$W$104,3,FALSE))))</f>
        <v>15.830779134195335</v>
      </c>
      <c r="L102" s="1257">
        <f>IF(ISERROR(VLOOKUP($B102,'VoC Fuel'!$B$28:$O$126,1,FALSE)),"",IF(VLOOKUP($B102,'VoC Fuel'!$B$28:$O$126,11,FALSE)="","",VLOOKUP($B102,'VoC Fuel'!$B$28:$O$126,11,FALSE) * (VLOOKUP($B$14,'Annual Parameters'!$B$33:$W$104,3,FALSE) / VLOOKUP('VoC Fuel'!$B$14,'Annual Parameters'!$B$33:$W$104,3,FALSE))))</f>
        <v>0</v>
      </c>
      <c r="M102" s="1256">
        <f>IF(ISERROR(VLOOKUP($B102,'VoC Fuel'!$B$28:$O$126,1,FALSE)),"",IF(VLOOKUP(B102,'VoC Fuel'!$B$28:$O$126,12,FALSE)="","",VLOOKUP(B102,'VoC Fuel'!$B$28:$O$126,12,FALSE)))</f>
        <v>20</v>
      </c>
      <c r="N102" s="1256">
        <f>IF(ISERROR(VLOOKUP($B102,'VoC Fuel'!$B$28:$O$126,1,FALSE)),"",IF(VLOOKUP($B102,'VoC Fuel'!$B$28:$O$126,13,FALSE)="","",VLOOKUP($B102,'VoC Fuel'!$B$28:$O$126,13,FALSE)))</f>
        <v>20</v>
      </c>
      <c r="O102" s="1256">
        <f>IF(ISERROR(VLOOKUP($B102,'VoC Fuel'!$B$28:$O$126,1,FALSE)),"",IF(VLOOKUP($B102,'VoC Fuel'!$B$28:$O$126,14,FALSE)="","",VLOOKUP($B102,'VoC Fuel'!$B$28:$O$126,14,FALSE)))</f>
        <v>5</v>
      </c>
    </row>
    <row r="103" spans="2:15" ht="13.5" customHeight="1">
      <c r="B103" s="1589">
        <f t="shared" si="1"/>
        <v>2085</v>
      </c>
      <c r="C103" s="147"/>
      <c r="D103" s="51">
        <f>IF(ISERROR(VLOOKUP($B103,'VoC Fuel'!$B$28:$O$126,1,FALSE)),"",IF(VLOOKUP($B103,'VoC Fuel'!$B$28:$O$126,3,FALSE)="","",VLOOKUP($B103,'VoC Fuel'!$B$28:$O$126,3,FALSE) * (VLOOKUP($B$14,'Annual Parameters'!$B$33:$W$104,3,FALSE) / VLOOKUP('VoC Fuel'!$B$14,'Annual Parameters'!$B$33:$W$104,3,FALSE))))</f>
        <v>42.415831094542135</v>
      </c>
      <c r="E103" s="2158">
        <f>IF(ISERROR(VLOOKUP($B103,'VoC Fuel'!$B$28:$O$126,1,FALSE)),"",IF(VLOOKUP($B103,'VoC Fuel'!$B$28:$O$126,4,FALSE)="","",VLOOKUP($B103,'VoC Fuel'!$B$28:$O$126,4,FALSE) * (VLOOKUP($B$14,'Annual Parameters'!$B$33:$W$104,3,FALSE) / VLOOKUP('VoC Fuel'!$B$14,'Annual Parameters'!$B$33:$W$104,3,FALSE))))</f>
        <v>46.37706219646185</v>
      </c>
      <c r="F103" s="2160">
        <f>IF(ISERROR(VLOOKUP($B103,'VoC Fuel'!$B$28:$O$126,1,FALSE)),"",IF(VLOOKUP($B103,'VoC Fuel'!$B$28:$O$126,5,FALSE)="","",VLOOKUP($B103,'VoC Fuel'!$B$28:$O$126,5,FALSE) * (VLOOKUP($B$14,'Annual Parameters'!$B$33:$W$104,3,FALSE) / VLOOKUP('VoC Fuel'!$B$14,'Annual Parameters'!$B$33:$W$104,3,FALSE))))</f>
        <v>40.832242223684588</v>
      </c>
      <c r="G103" s="1654">
        <f>IF(ISERROR(VLOOKUP($B103,'VoC Fuel'!$B$28:$O$126,1,FALSE)),"",IF(VLOOKUP($B103,'VoC Fuel'!$B$28:$O$126,6,FALSE)="","",VLOOKUP($B103,'VoC Fuel'!$B$28:$O$126,6,FALSE) * (VLOOKUP($B$14,'Annual Parameters'!$B$33:$W$104,3,FALSE) / VLOOKUP('VoC Fuel'!$B$14,'Annual Parameters'!$B$33:$W$104,3,FALSE))))</f>
        <v>15.487670797843426</v>
      </c>
      <c r="H103" s="1590">
        <f>IF(ISERROR(VLOOKUP($B103,'VoC Fuel'!$B$28:$O$126,1,FALSE)),"",IF(VLOOKUP($B103,'VoC Fuel'!$B$28:$O$126,7,FALSE)="","",VLOOKUP($B103,'VoC Fuel'!$B$28:$O$126,7,FALSE) * (VLOOKUP($B$14,'Annual Parameters'!$B$33:$W$104,3,FALSE) / VLOOKUP('VoC Fuel'!$B$14,'Annual Parameters'!$B$33:$W$104,3,FALSE))))</f>
        <v>11.045016676639516</v>
      </c>
      <c r="I103" s="1654">
        <f>IF(ISERROR(VLOOKUP($B103,'VoC Fuel'!$B$28:$O$126,1,FALSE)),"",IF(VLOOKUP($B103,'VoC Fuel'!$B$28:$O$126,8,FALSE)="","",VLOOKUP($B103,'VoC Fuel'!$B$28:$O$126,8,FALSE) * (VLOOKUP($B$14,'Annual Parameters'!$B$33:$W$104,3,FALSE) / VLOOKUP('VoC Fuel'!$B$14,'Annual Parameters'!$B$33:$W$104,3,FALSE))))</f>
        <v>82.914813890168702</v>
      </c>
      <c r="J103" s="1654">
        <f>IF(ISERROR(VLOOKUP($B103,'VoC Fuel'!$B$28:$O$126,1,FALSE)),"",IF(VLOOKUP($B103,'VoC Fuel'!$B$28:$O$126,9,FALSE)="","",VLOOKUP($B103,'VoC Fuel'!$B$28:$O$126,9,FALSE) * (VLOOKUP($B$14,'Annual Parameters'!$B$33:$W$104,3,FALSE) / VLOOKUP('VoC Fuel'!$B$14,'Annual Parameters'!$B$33:$W$104,3,FALSE))))</f>
        <v>82.914813890168702</v>
      </c>
      <c r="K103" s="1654">
        <f>IF(ISERROR(VLOOKUP($B103,'VoC Fuel'!$B$28:$O$126,1,FALSE)),"",IF(VLOOKUP($B103,'VoC Fuel'!$B$28:$O$126,10,FALSE)="","",VLOOKUP($B103,'VoC Fuel'!$B$28:$O$126,10,FALSE) * (VLOOKUP($B$14,'Annual Parameters'!$B$33:$W$104,3,FALSE) / VLOOKUP('VoC Fuel'!$B$14,'Annual Parameters'!$B$33:$W$104,3,FALSE))))</f>
        <v>15.939103136091104</v>
      </c>
      <c r="L103" s="1257">
        <f>IF(ISERROR(VLOOKUP($B103,'VoC Fuel'!$B$28:$O$126,1,FALSE)),"",IF(VLOOKUP($B103,'VoC Fuel'!$B$28:$O$126,11,FALSE)="","",VLOOKUP($B103,'VoC Fuel'!$B$28:$O$126,11,FALSE) * (VLOOKUP($B$14,'Annual Parameters'!$B$33:$W$104,3,FALSE) / VLOOKUP('VoC Fuel'!$B$14,'Annual Parameters'!$B$33:$W$104,3,FALSE))))</f>
        <v>0</v>
      </c>
      <c r="M103" s="1256">
        <f>IF(ISERROR(VLOOKUP($B103,'VoC Fuel'!$B$28:$O$126,1,FALSE)),"",IF(VLOOKUP(B103,'VoC Fuel'!$B$28:$O$126,12,FALSE)="","",VLOOKUP(B103,'VoC Fuel'!$B$28:$O$126,12,FALSE)))</f>
        <v>20</v>
      </c>
      <c r="N103" s="1256">
        <f>IF(ISERROR(VLOOKUP($B103,'VoC Fuel'!$B$28:$O$126,1,FALSE)),"",IF(VLOOKUP($B103,'VoC Fuel'!$B$28:$O$126,13,FALSE)="","",VLOOKUP($B103,'VoC Fuel'!$B$28:$O$126,13,FALSE)))</f>
        <v>20</v>
      </c>
      <c r="O103" s="1256">
        <f>IF(ISERROR(VLOOKUP($B103,'VoC Fuel'!$B$28:$O$126,1,FALSE)),"",IF(VLOOKUP($B103,'VoC Fuel'!$B$28:$O$126,14,FALSE)="","",VLOOKUP($B103,'VoC Fuel'!$B$28:$O$126,14,FALSE)))</f>
        <v>5</v>
      </c>
    </row>
    <row r="104" spans="2:15" ht="13.5" customHeight="1">
      <c r="B104" s="1589">
        <f t="shared" si="1"/>
        <v>2086</v>
      </c>
      <c r="C104" s="147"/>
      <c r="D104" s="51">
        <f>IF(ISERROR(VLOOKUP($B104,'VoC Fuel'!$B$28:$O$126,1,FALSE)),"",IF(VLOOKUP($B104,'VoC Fuel'!$B$28:$O$126,3,FALSE)="","",VLOOKUP($B104,'VoC Fuel'!$B$28:$O$126,3,FALSE) * (VLOOKUP($B$14,'Annual Parameters'!$B$33:$W$104,3,FALSE) / VLOOKUP('VoC Fuel'!$B$14,'Annual Parameters'!$B$33:$W$104,3,FALSE))))</f>
        <v>42.415831094542135</v>
      </c>
      <c r="E104" s="2158">
        <f>IF(ISERROR(VLOOKUP($B104,'VoC Fuel'!$B$28:$O$126,1,FALSE)),"",IF(VLOOKUP($B104,'VoC Fuel'!$B$28:$O$126,4,FALSE)="","",VLOOKUP($B104,'VoC Fuel'!$B$28:$O$126,4,FALSE) * (VLOOKUP($B$14,'Annual Parameters'!$B$33:$W$104,3,FALSE) / VLOOKUP('VoC Fuel'!$B$14,'Annual Parameters'!$B$33:$W$104,3,FALSE))))</f>
        <v>46.37706219646185</v>
      </c>
      <c r="F104" s="2160">
        <f>IF(ISERROR(VLOOKUP($B104,'VoC Fuel'!$B$28:$O$126,1,FALSE)),"",IF(VLOOKUP($B104,'VoC Fuel'!$B$28:$O$126,5,FALSE)="","",VLOOKUP($B104,'VoC Fuel'!$B$28:$O$126,5,FALSE) * (VLOOKUP($B$14,'Annual Parameters'!$B$33:$W$104,3,FALSE) / VLOOKUP('VoC Fuel'!$B$14,'Annual Parameters'!$B$33:$W$104,3,FALSE))))</f>
        <v>40.832242223684588</v>
      </c>
      <c r="G104" s="1654">
        <f>IF(ISERROR(VLOOKUP($B104,'VoC Fuel'!$B$28:$O$126,1,FALSE)),"",IF(VLOOKUP($B104,'VoC Fuel'!$B$28:$O$126,6,FALSE)="","",VLOOKUP($B104,'VoC Fuel'!$B$28:$O$126,6,FALSE) * (VLOOKUP($B$14,'Annual Parameters'!$B$33:$W$104,3,FALSE) / VLOOKUP('VoC Fuel'!$B$14,'Annual Parameters'!$B$33:$W$104,3,FALSE))))</f>
        <v>15.487670797843426</v>
      </c>
      <c r="H104" s="1590">
        <f>IF(ISERROR(VLOOKUP($B104,'VoC Fuel'!$B$28:$O$126,1,FALSE)),"",IF(VLOOKUP($B104,'VoC Fuel'!$B$28:$O$126,7,FALSE)="","",VLOOKUP($B104,'VoC Fuel'!$B$28:$O$126,7,FALSE) * (VLOOKUP($B$14,'Annual Parameters'!$B$33:$W$104,3,FALSE) / VLOOKUP('VoC Fuel'!$B$14,'Annual Parameters'!$B$33:$W$104,3,FALSE))))</f>
        <v>11.045016676639516</v>
      </c>
      <c r="I104" s="1654">
        <f>IF(ISERROR(VLOOKUP($B104,'VoC Fuel'!$B$28:$O$126,1,FALSE)),"",IF(VLOOKUP($B104,'VoC Fuel'!$B$28:$O$126,8,FALSE)="","",VLOOKUP($B104,'VoC Fuel'!$B$28:$O$126,8,FALSE) * (VLOOKUP($B$14,'Annual Parameters'!$B$33:$W$104,3,FALSE) / VLOOKUP('VoC Fuel'!$B$14,'Annual Parameters'!$B$33:$W$104,3,FALSE))))</f>
        <v>83.482168432916637</v>
      </c>
      <c r="J104" s="1654">
        <f>IF(ISERROR(VLOOKUP($B104,'VoC Fuel'!$B$28:$O$126,1,FALSE)),"",IF(VLOOKUP($B104,'VoC Fuel'!$B$28:$O$126,9,FALSE)="","",VLOOKUP($B104,'VoC Fuel'!$B$28:$O$126,9,FALSE) * (VLOOKUP($B$14,'Annual Parameters'!$B$33:$W$104,3,FALSE) / VLOOKUP('VoC Fuel'!$B$14,'Annual Parameters'!$B$33:$W$104,3,FALSE))))</f>
        <v>83.482168432916637</v>
      </c>
      <c r="K104" s="1654">
        <f>IF(ISERROR(VLOOKUP($B104,'VoC Fuel'!$B$28:$O$126,1,FALSE)),"",IF(VLOOKUP($B104,'VoC Fuel'!$B$28:$O$126,10,FALSE)="","",VLOOKUP($B104,'VoC Fuel'!$B$28:$O$126,10,FALSE) * (VLOOKUP($B$14,'Annual Parameters'!$B$33:$W$104,3,FALSE) / VLOOKUP('VoC Fuel'!$B$14,'Annual Parameters'!$B$33:$W$104,3,FALSE))))</f>
        <v>16.048168357941186</v>
      </c>
      <c r="L104" s="1257">
        <f>IF(ISERROR(VLOOKUP($B104,'VoC Fuel'!$B$28:$O$126,1,FALSE)),"",IF(VLOOKUP($B104,'VoC Fuel'!$B$28:$O$126,11,FALSE)="","",VLOOKUP($B104,'VoC Fuel'!$B$28:$O$126,11,FALSE) * (VLOOKUP($B$14,'Annual Parameters'!$B$33:$W$104,3,FALSE) / VLOOKUP('VoC Fuel'!$B$14,'Annual Parameters'!$B$33:$W$104,3,FALSE))))</f>
        <v>0</v>
      </c>
      <c r="M104" s="1256">
        <f>IF(ISERROR(VLOOKUP($B104,'VoC Fuel'!$B$28:$O$126,1,FALSE)),"",IF(VLOOKUP(B104,'VoC Fuel'!$B$28:$O$126,12,FALSE)="","",VLOOKUP(B104,'VoC Fuel'!$B$28:$O$126,12,FALSE)))</f>
        <v>20</v>
      </c>
      <c r="N104" s="1256">
        <f>IF(ISERROR(VLOOKUP($B104,'VoC Fuel'!$B$28:$O$126,1,FALSE)),"",IF(VLOOKUP($B104,'VoC Fuel'!$B$28:$O$126,13,FALSE)="","",VLOOKUP($B104,'VoC Fuel'!$B$28:$O$126,13,FALSE)))</f>
        <v>20</v>
      </c>
      <c r="O104" s="1256">
        <f>IF(ISERROR(VLOOKUP($B104,'VoC Fuel'!$B$28:$O$126,1,FALSE)),"",IF(VLOOKUP($B104,'VoC Fuel'!$B$28:$O$126,14,FALSE)="","",VLOOKUP($B104,'VoC Fuel'!$B$28:$O$126,14,FALSE)))</f>
        <v>5</v>
      </c>
    </row>
    <row r="105" spans="2:15" ht="13.5" customHeight="1">
      <c r="B105" s="1589">
        <f t="shared" si="1"/>
        <v>2087</v>
      </c>
      <c r="C105" s="147"/>
      <c r="D105" s="51">
        <f>IF(ISERROR(VLOOKUP($B105,'VoC Fuel'!$B$28:$O$126,1,FALSE)),"",IF(VLOOKUP($B105,'VoC Fuel'!$B$28:$O$126,3,FALSE)="","",VLOOKUP($B105,'VoC Fuel'!$B$28:$O$126,3,FALSE) * (VLOOKUP($B$14,'Annual Parameters'!$B$33:$W$104,3,FALSE) / VLOOKUP('VoC Fuel'!$B$14,'Annual Parameters'!$B$33:$W$104,3,FALSE))))</f>
        <v>42.415831094542135</v>
      </c>
      <c r="E105" s="2158">
        <f>IF(ISERROR(VLOOKUP($B105,'VoC Fuel'!$B$28:$O$126,1,FALSE)),"",IF(VLOOKUP($B105,'VoC Fuel'!$B$28:$O$126,4,FALSE)="","",VLOOKUP($B105,'VoC Fuel'!$B$28:$O$126,4,FALSE) * (VLOOKUP($B$14,'Annual Parameters'!$B$33:$W$104,3,FALSE) / VLOOKUP('VoC Fuel'!$B$14,'Annual Parameters'!$B$33:$W$104,3,FALSE))))</f>
        <v>46.37706219646185</v>
      </c>
      <c r="F105" s="2160">
        <f>IF(ISERROR(VLOOKUP($B105,'VoC Fuel'!$B$28:$O$126,1,FALSE)),"",IF(VLOOKUP($B105,'VoC Fuel'!$B$28:$O$126,5,FALSE)="","",VLOOKUP($B105,'VoC Fuel'!$B$28:$O$126,5,FALSE) * (VLOOKUP($B$14,'Annual Parameters'!$B$33:$W$104,3,FALSE) / VLOOKUP('VoC Fuel'!$B$14,'Annual Parameters'!$B$33:$W$104,3,FALSE))))</f>
        <v>40.832242223684588</v>
      </c>
      <c r="G105" s="1654">
        <f>IF(ISERROR(VLOOKUP($B105,'VoC Fuel'!$B$28:$O$126,1,FALSE)),"",IF(VLOOKUP($B105,'VoC Fuel'!$B$28:$O$126,6,FALSE)="","",VLOOKUP($B105,'VoC Fuel'!$B$28:$O$126,6,FALSE) * (VLOOKUP($B$14,'Annual Parameters'!$B$33:$W$104,3,FALSE) / VLOOKUP('VoC Fuel'!$B$14,'Annual Parameters'!$B$33:$W$104,3,FALSE))))</f>
        <v>15.487670797843426</v>
      </c>
      <c r="H105" s="1590">
        <f>IF(ISERROR(VLOOKUP($B105,'VoC Fuel'!$B$28:$O$126,1,FALSE)),"",IF(VLOOKUP($B105,'VoC Fuel'!$B$28:$O$126,7,FALSE)="","",VLOOKUP($B105,'VoC Fuel'!$B$28:$O$126,7,FALSE) * (VLOOKUP($B$14,'Annual Parameters'!$B$33:$W$104,3,FALSE) / VLOOKUP('VoC Fuel'!$B$14,'Annual Parameters'!$B$33:$W$104,3,FALSE))))</f>
        <v>11.045016676639516</v>
      </c>
      <c r="I105" s="1654">
        <f>IF(ISERROR(VLOOKUP($B105,'VoC Fuel'!$B$28:$O$126,1,FALSE)),"",IF(VLOOKUP($B105,'VoC Fuel'!$B$28:$O$126,8,FALSE)="","",VLOOKUP($B105,'VoC Fuel'!$B$28:$O$126,8,FALSE) * (VLOOKUP($B$14,'Annual Parameters'!$B$33:$W$104,3,FALSE) / VLOOKUP('VoC Fuel'!$B$14,'Annual Parameters'!$B$33:$W$104,3,FALSE))))</f>
        <v>84.05340516706174</v>
      </c>
      <c r="J105" s="1654">
        <f>IF(ISERROR(VLOOKUP($B105,'VoC Fuel'!$B$28:$O$126,1,FALSE)),"",IF(VLOOKUP($B105,'VoC Fuel'!$B$28:$O$126,9,FALSE)="","",VLOOKUP($B105,'VoC Fuel'!$B$28:$O$126,9,FALSE) * (VLOOKUP($B$14,'Annual Parameters'!$B$33:$W$104,3,FALSE) / VLOOKUP('VoC Fuel'!$B$14,'Annual Parameters'!$B$33:$W$104,3,FALSE))))</f>
        <v>84.05340516706174</v>
      </c>
      <c r="K105" s="1654">
        <f>IF(ISERROR(VLOOKUP($B105,'VoC Fuel'!$B$28:$O$126,1,FALSE)),"",IF(VLOOKUP($B105,'VoC Fuel'!$B$28:$O$126,10,FALSE)="","",VLOOKUP($B105,'VoC Fuel'!$B$28:$O$126,10,FALSE) * (VLOOKUP($B$14,'Annual Parameters'!$B$33:$W$104,3,FALSE) / VLOOKUP('VoC Fuel'!$B$14,'Annual Parameters'!$B$33:$W$104,3,FALSE))))</f>
        <v>16.157979871631891</v>
      </c>
      <c r="L105" s="1257">
        <f>IF(ISERROR(VLOOKUP($B105,'VoC Fuel'!$B$28:$O$126,1,FALSE)),"",IF(VLOOKUP($B105,'VoC Fuel'!$B$28:$O$126,11,FALSE)="","",VLOOKUP($B105,'VoC Fuel'!$B$28:$O$126,11,FALSE) * (VLOOKUP($B$14,'Annual Parameters'!$B$33:$W$104,3,FALSE) / VLOOKUP('VoC Fuel'!$B$14,'Annual Parameters'!$B$33:$W$104,3,FALSE))))</f>
        <v>0</v>
      </c>
      <c r="M105" s="1256">
        <f>IF(ISERROR(VLOOKUP($B105,'VoC Fuel'!$B$28:$O$126,1,FALSE)),"",IF(VLOOKUP(B105,'VoC Fuel'!$B$28:$O$126,12,FALSE)="","",VLOOKUP(B105,'VoC Fuel'!$B$28:$O$126,12,FALSE)))</f>
        <v>20</v>
      </c>
      <c r="N105" s="1256">
        <f>IF(ISERROR(VLOOKUP($B105,'VoC Fuel'!$B$28:$O$126,1,FALSE)),"",IF(VLOOKUP($B105,'VoC Fuel'!$B$28:$O$126,13,FALSE)="","",VLOOKUP($B105,'VoC Fuel'!$B$28:$O$126,13,FALSE)))</f>
        <v>20</v>
      </c>
      <c r="O105" s="1256">
        <f>IF(ISERROR(VLOOKUP($B105,'VoC Fuel'!$B$28:$O$126,1,FALSE)),"",IF(VLOOKUP($B105,'VoC Fuel'!$B$28:$O$126,14,FALSE)="","",VLOOKUP($B105,'VoC Fuel'!$B$28:$O$126,14,FALSE)))</f>
        <v>5</v>
      </c>
    </row>
    <row r="106" spans="2:15" ht="13.5" customHeight="1">
      <c r="B106" s="1589">
        <f t="shared" si="1"/>
        <v>2088</v>
      </c>
      <c r="C106" s="147"/>
      <c r="D106" s="51">
        <f>IF(ISERROR(VLOOKUP($B106,'VoC Fuel'!$B$28:$O$126,1,FALSE)),"",IF(VLOOKUP($B106,'VoC Fuel'!$B$28:$O$126,3,FALSE)="","",VLOOKUP($B106,'VoC Fuel'!$B$28:$O$126,3,FALSE) * (VLOOKUP($B$14,'Annual Parameters'!$B$33:$W$104,3,FALSE) / VLOOKUP('VoC Fuel'!$B$14,'Annual Parameters'!$B$33:$W$104,3,FALSE))))</f>
        <v>42.415831094542135</v>
      </c>
      <c r="E106" s="2158">
        <f>IF(ISERROR(VLOOKUP($B106,'VoC Fuel'!$B$28:$O$126,1,FALSE)),"",IF(VLOOKUP($B106,'VoC Fuel'!$B$28:$O$126,4,FALSE)="","",VLOOKUP($B106,'VoC Fuel'!$B$28:$O$126,4,FALSE) * (VLOOKUP($B$14,'Annual Parameters'!$B$33:$W$104,3,FALSE) / VLOOKUP('VoC Fuel'!$B$14,'Annual Parameters'!$B$33:$W$104,3,FALSE))))</f>
        <v>46.37706219646185</v>
      </c>
      <c r="F106" s="2160">
        <f>IF(ISERROR(VLOOKUP($B106,'VoC Fuel'!$B$28:$O$126,1,FALSE)),"",IF(VLOOKUP($B106,'VoC Fuel'!$B$28:$O$126,5,FALSE)="","",VLOOKUP($B106,'VoC Fuel'!$B$28:$O$126,5,FALSE) * (VLOOKUP($B$14,'Annual Parameters'!$B$33:$W$104,3,FALSE) / VLOOKUP('VoC Fuel'!$B$14,'Annual Parameters'!$B$33:$W$104,3,FALSE))))</f>
        <v>40.832242223684588</v>
      </c>
      <c r="G106" s="1654">
        <f>IF(ISERROR(VLOOKUP($B106,'VoC Fuel'!$B$28:$O$126,1,FALSE)),"",IF(VLOOKUP($B106,'VoC Fuel'!$B$28:$O$126,6,FALSE)="","",VLOOKUP($B106,'VoC Fuel'!$B$28:$O$126,6,FALSE) * (VLOOKUP($B$14,'Annual Parameters'!$B$33:$W$104,3,FALSE) / VLOOKUP('VoC Fuel'!$B$14,'Annual Parameters'!$B$33:$W$104,3,FALSE))))</f>
        <v>15.487670797843426</v>
      </c>
      <c r="H106" s="1590">
        <f>IF(ISERROR(VLOOKUP($B106,'VoC Fuel'!$B$28:$O$126,1,FALSE)),"",IF(VLOOKUP($B106,'VoC Fuel'!$B$28:$O$126,7,FALSE)="","",VLOOKUP($B106,'VoC Fuel'!$B$28:$O$126,7,FALSE) * (VLOOKUP($B$14,'Annual Parameters'!$B$33:$W$104,3,FALSE) / VLOOKUP('VoC Fuel'!$B$14,'Annual Parameters'!$B$33:$W$104,3,FALSE))))</f>
        <v>11.045016676639516</v>
      </c>
      <c r="I106" s="1654">
        <f>IF(ISERROR(VLOOKUP($B106,'VoC Fuel'!$B$28:$O$126,1,FALSE)),"",IF(VLOOKUP($B106,'VoC Fuel'!$B$28:$O$126,8,FALSE)="","",VLOOKUP($B106,'VoC Fuel'!$B$28:$O$126,8,FALSE) * (VLOOKUP($B$14,'Annual Parameters'!$B$33:$W$104,3,FALSE) / VLOOKUP('VoC Fuel'!$B$14,'Annual Parameters'!$B$33:$W$104,3,FALSE))))</f>
        <v>84.628550656963426</v>
      </c>
      <c r="J106" s="1654">
        <f>IF(ISERROR(VLOOKUP($B106,'VoC Fuel'!$B$28:$O$126,1,FALSE)),"",IF(VLOOKUP($B106,'VoC Fuel'!$B$28:$O$126,9,FALSE)="","",VLOOKUP($B106,'VoC Fuel'!$B$28:$O$126,9,FALSE) * (VLOOKUP($B$14,'Annual Parameters'!$B$33:$W$104,3,FALSE) / VLOOKUP('VoC Fuel'!$B$14,'Annual Parameters'!$B$33:$W$104,3,FALSE))))</f>
        <v>84.628550656963426</v>
      </c>
      <c r="K106" s="1654">
        <f>IF(ISERROR(VLOOKUP($B106,'VoC Fuel'!$B$28:$O$126,1,FALSE)),"",IF(VLOOKUP($B106,'VoC Fuel'!$B$28:$O$126,10,FALSE)="","",VLOOKUP($B106,'VoC Fuel'!$B$28:$O$126,10,FALSE) * (VLOOKUP($B$14,'Annual Parameters'!$B$33:$W$104,3,FALSE) / VLOOKUP('VoC Fuel'!$B$14,'Annual Parameters'!$B$33:$W$104,3,FALSE))))</f>
        <v>16.268542783754494</v>
      </c>
      <c r="L106" s="1257">
        <f>IF(ISERROR(VLOOKUP($B106,'VoC Fuel'!$B$28:$O$126,1,FALSE)),"",IF(VLOOKUP($B106,'VoC Fuel'!$B$28:$O$126,11,FALSE)="","",VLOOKUP($B106,'VoC Fuel'!$B$28:$O$126,11,FALSE) * (VLOOKUP($B$14,'Annual Parameters'!$B$33:$W$104,3,FALSE) / VLOOKUP('VoC Fuel'!$B$14,'Annual Parameters'!$B$33:$W$104,3,FALSE))))</f>
        <v>0</v>
      </c>
      <c r="M106" s="1256">
        <f>IF(ISERROR(VLOOKUP($B106,'VoC Fuel'!$B$28:$O$126,1,FALSE)),"",IF(VLOOKUP(B106,'VoC Fuel'!$B$28:$O$126,12,FALSE)="","",VLOOKUP(B106,'VoC Fuel'!$B$28:$O$126,12,FALSE)))</f>
        <v>20</v>
      </c>
      <c r="N106" s="1256">
        <f>IF(ISERROR(VLOOKUP($B106,'VoC Fuel'!$B$28:$O$126,1,FALSE)),"",IF(VLOOKUP($B106,'VoC Fuel'!$B$28:$O$126,13,FALSE)="","",VLOOKUP($B106,'VoC Fuel'!$B$28:$O$126,13,FALSE)))</f>
        <v>20</v>
      </c>
      <c r="O106" s="1256">
        <f>IF(ISERROR(VLOOKUP($B106,'VoC Fuel'!$B$28:$O$126,1,FALSE)),"",IF(VLOOKUP($B106,'VoC Fuel'!$B$28:$O$126,14,FALSE)="","",VLOOKUP($B106,'VoC Fuel'!$B$28:$O$126,14,FALSE)))</f>
        <v>5</v>
      </c>
    </row>
    <row r="107" spans="2:15" ht="13.5" customHeight="1">
      <c r="B107" s="1589">
        <f t="shared" si="1"/>
        <v>2089</v>
      </c>
      <c r="C107" s="147"/>
      <c r="D107" s="51">
        <f>IF(ISERROR(VLOOKUP($B107,'VoC Fuel'!$B$28:$O$126,1,FALSE)),"",IF(VLOOKUP($B107,'VoC Fuel'!$B$28:$O$126,3,FALSE)="","",VLOOKUP($B107,'VoC Fuel'!$B$28:$O$126,3,FALSE) * (VLOOKUP($B$14,'Annual Parameters'!$B$33:$W$104,3,FALSE) / VLOOKUP('VoC Fuel'!$B$14,'Annual Parameters'!$B$33:$W$104,3,FALSE))))</f>
        <v>42.415831094542135</v>
      </c>
      <c r="E107" s="2158">
        <f>IF(ISERROR(VLOOKUP($B107,'VoC Fuel'!$B$28:$O$126,1,FALSE)),"",IF(VLOOKUP($B107,'VoC Fuel'!$B$28:$O$126,4,FALSE)="","",VLOOKUP($B107,'VoC Fuel'!$B$28:$O$126,4,FALSE) * (VLOOKUP($B$14,'Annual Parameters'!$B$33:$W$104,3,FALSE) / VLOOKUP('VoC Fuel'!$B$14,'Annual Parameters'!$B$33:$W$104,3,FALSE))))</f>
        <v>46.37706219646185</v>
      </c>
      <c r="F107" s="2160">
        <f>IF(ISERROR(VLOOKUP($B107,'VoC Fuel'!$B$28:$O$126,1,FALSE)),"",IF(VLOOKUP($B107,'VoC Fuel'!$B$28:$O$126,5,FALSE)="","",VLOOKUP($B107,'VoC Fuel'!$B$28:$O$126,5,FALSE) * (VLOOKUP($B$14,'Annual Parameters'!$B$33:$W$104,3,FALSE) / VLOOKUP('VoC Fuel'!$B$14,'Annual Parameters'!$B$33:$W$104,3,FALSE))))</f>
        <v>40.832242223684588</v>
      </c>
      <c r="G107" s="1654">
        <f>IF(ISERROR(VLOOKUP($B107,'VoC Fuel'!$B$28:$O$126,1,FALSE)),"",IF(VLOOKUP($B107,'VoC Fuel'!$B$28:$O$126,6,FALSE)="","",VLOOKUP($B107,'VoC Fuel'!$B$28:$O$126,6,FALSE) * (VLOOKUP($B$14,'Annual Parameters'!$B$33:$W$104,3,FALSE) / VLOOKUP('VoC Fuel'!$B$14,'Annual Parameters'!$B$33:$W$104,3,FALSE))))</f>
        <v>15.487670797843426</v>
      </c>
      <c r="H107" s="1590">
        <f>IF(ISERROR(VLOOKUP($B107,'VoC Fuel'!$B$28:$O$126,1,FALSE)),"",IF(VLOOKUP($B107,'VoC Fuel'!$B$28:$O$126,7,FALSE)="","",VLOOKUP($B107,'VoC Fuel'!$B$28:$O$126,7,FALSE) * (VLOOKUP($B$14,'Annual Parameters'!$B$33:$W$104,3,FALSE) / VLOOKUP('VoC Fuel'!$B$14,'Annual Parameters'!$B$33:$W$104,3,FALSE))))</f>
        <v>11.045016676639516</v>
      </c>
      <c r="I107" s="1654">
        <f>IF(ISERROR(VLOOKUP($B107,'VoC Fuel'!$B$28:$O$126,1,FALSE)),"",IF(VLOOKUP($B107,'VoC Fuel'!$B$28:$O$126,8,FALSE)="","",VLOOKUP($B107,'VoC Fuel'!$B$28:$O$126,8,FALSE) * (VLOOKUP($B$14,'Annual Parameters'!$B$33:$W$104,3,FALSE) / VLOOKUP('VoC Fuel'!$B$14,'Annual Parameters'!$B$33:$W$104,3,FALSE))))</f>
        <v>85.207631648751104</v>
      </c>
      <c r="J107" s="1654">
        <f>IF(ISERROR(VLOOKUP($B107,'VoC Fuel'!$B$28:$O$126,1,FALSE)),"",IF(VLOOKUP($B107,'VoC Fuel'!$B$28:$O$126,9,FALSE)="","",VLOOKUP($B107,'VoC Fuel'!$B$28:$O$126,9,FALSE) * (VLOOKUP($B$14,'Annual Parameters'!$B$33:$W$104,3,FALSE) / VLOOKUP('VoC Fuel'!$B$14,'Annual Parameters'!$B$33:$W$104,3,FALSE))))</f>
        <v>85.207631648751104</v>
      </c>
      <c r="K107" s="1654">
        <f>IF(ISERROR(VLOOKUP($B107,'VoC Fuel'!$B$28:$O$126,1,FALSE)),"",IF(VLOOKUP($B107,'VoC Fuel'!$B$28:$O$126,10,FALSE)="","",VLOOKUP($B107,'VoC Fuel'!$B$28:$O$126,10,FALSE) * (VLOOKUP($B$14,'Annual Parameters'!$B$33:$W$104,3,FALSE) / VLOOKUP('VoC Fuel'!$B$14,'Annual Parameters'!$B$33:$W$104,3,FALSE))))</f>
        <v>16.379862235842751</v>
      </c>
      <c r="L107" s="1257">
        <f>IF(ISERROR(VLOOKUP($B107,'VoC Fuel'!$B$28:$O$126,1,FALSE)),"",IF(VLOOKUP($B107,'VoC Fuel'!$B$28:$O$126,11,FALSE)="","",VLOOKUP($B107,'VoC Fuel'!$B$28:$O$126,11,FALSE) * (VLOOKUP($B$14,'Annual Parameters'!$B$33:$W$104,3,FALSE) / VLOOKUP('VoC Fuel'!$B$14,'Annual Parameters'!$B$33:$W$104,3,FALSE))))</f>
        <v>0</v>
      </c>
      <c r="M107" s="1256">
        <f>IF(ISERROR(VLOOKUP($B107,'VoC Fuel'!$B$28:$O$126,1,FALSE)),"",IF(VLOOKUP(B107,'VoC Fuel'!$B$28:$O$126,12,FALSE)="","",VLOOKUP(B107,'VoC Fuel'!$B$28:$O$126,12,FALSE)))</f>
        <v>20</v>
      </c>
      <c r="N107" s="1256">
        <f>IF(ISERROR(VLOOKUP($B107,'VoC Fuel'!$B$28:$O$126,1,FALSE)),"",IF(VLOOKUP($B107,'VoC Fuel'!$B$28:$O$126,13,FALSE)="","",VLOOKUP($B107,'VoC Fuel'!$B$28:$O$126,13,FALSE)))</f>
        <v>20</v>
      </c>
      <c r="O107" s="1256">
        <f>IF(ISERROR(VLOOKUP($B107,'VoC Fuel'!$B$28:$O$126,1,FALSE)),"",IF(VLOOKUP($B107,'VoC Fuel'!$B$28:$O$126,14,FALSE)="","",VLOOKUP($B107,'VoC Fuel'!$B$28:$O$126,14,FALSE)))</f>
        <v>5</v>
      </c>
    </row>
    <row r="108" spans="2:15" ht="13.5" customHeight="1">
      <c r="B108" s="1589">
        <f t="shared" ref="B108:B117" si="2">B107+1</f>
        <v>2090</v>
      </c>
      <c r="C108" s="147"/>
      <c r="D108" s="51">
        <f>IF(ISERROR(VLOOKUP($B108,'VoC Fuel'!$B$28:$O$126,1,FALSE)),"",IF(VLOOKUP($B108,'VoC Fuel'!$B$28:$O$126,3,FALSE)="","",VLOOKUP($B108,'VoC Fuel'!$B$28:$O$126,3,FALSE) * (VLOOKUP($B$14,'Annual Parameters'!$B$33:$W$104,3,FALSE) / VLOOKUP('VoC Fuel'!$B$14,'Annual Parameters'!$B$33:$W$104,3,FALSE))))</f>
        <v>42.415831094542135</v>
      </c>
      <c r="E108" s="2158">
        <f>IF(ISERROR(VLOOKUP($B108,'VoC Fuel'!$B$28:$O$126,1,FALSE)),"",IF(VLOOKUP($B108,'VoC Fuel'!$B$28:$O$126,4,FALSE)="","",VLOOKUP($B108,'VoC Fuel'!$B$28:$O$126,4,FALSE) * (VLOOKUP($B$14,'Annual Parameters'!$B$33:$W$104,3,FALSE) / VLOOKUP('VoC Fuel'!$B$14,'Annual Parameters'!$B$33:$W$104,3,FALSE))))</f>
        <v>46.37706219646185</v>
      </c>
      <c r="F108" s="2160">
        <f>IF(ISERROR(VLOOKUP($B108,'VoC Fuel'!$B$28:$O$126,1,FALSE)),"",IF(VLOOKUP($B108,'VoC Fuel'!$B$28:$O$126,5,FALSE)="","",VLOOKUP($B108,'VoC Fuel'!$B$28:$O$126,5,FALSE) * (VLOOKUP($B$14,'Annual Parameters'!$B$33:$W$104,3,FALSE) / VLOOKUP('VoC Fuel'!$B$14,'Annual Parameters'!$B$33:$W$104,3,FALSE))))</f>
        <v>40.832242223684588</v>
      </c>
      <c r="G108" s="1654">
        <f>IF(ISERROR(VLOOKUP($B108,'VoC Fuel'!$B$28:$O$126,1,FALSE)),"",IF(VLOOKUP($B108,'VoC Fuel'!$B$28:$O$126,6,FALSE)="","",VLOOKUP($B108,'VoC Fuel'!$B$28:$O$126,6,FALSE) * (VLOOKUP($B$14,'Annual Parameters'!$B$33:$W$104,3,FALSE) / VLOOKUP('VoC Fuel'!$B$14,'Annual Parameters'!$B$33:$W$104,3,FALSE))))</f>
        <v>15.487670797843426</v>
      </c>
      <c r="H108" s="1590">
        <f>IF(ISERROR(VLOOKUP($B108,'VoC Fuel'!$B$28:$O$126,1,FALSE)),"",IF(VLOOKUP($B108,'VoC Fuel'!$B$28:$O$126,7,FALSE)="","",VLOOKUP($B108,'VoC Fuel'!$B$28:$O$126,7,FALSE) * (VLOOKUP($B$14,'Annual Parameters'!$B$33:$W$104,3,FALSE) / VLOOKUP('VoC Fuel'!$B$14,'Annual Parameters'!$B$33:$W$104,3,FALSE))))</f>
        <v>11.045016676639516</v>
      </c>
      <c r="I108" s="1654">
        <f>IF(ISERROR(VLOOKUP($B108,'VoC Fuel'!$B$28:$O$126,1,FALSE)),"",IF(VLOOKUP($B108,'VoC Fuel'!$B$28:$O$126,8,FALSE)="","",VLOOKUP($B108,'VoC Fuel'!$B$28:$O$126,8,FALSE) * (VLOOKUP($B$14,'Annual Parameters'!$B$33:$W$104,3,FALSE) / VLOOKUP('VoC Fuel'!$B$14,'Annual Parameters'!$B$33:$W$104,3,FALSE))))</f>
        <v>85.790675071567563</v>
      </c>
      <c r="J108" s="1654">
        <f>IF(ISERROR(VLOOKUP($B108,'VoC Fuel'!$B$28:$O$126,1,FALSE)),"",IF(VLOOKUP($B108,'VoC Fuel'!$B$28:$O$126,9,FALSE)="","",VLOOKUP($B108,'VoC Fuel'!$B$28:$O$126,9,FALSE) * (VLOOKUP($B$14,'Annual Parameters'!$B$33:$W$104,3,FALSE) / VLOOKUP('VoC Fuel'!$B$14,'Annual Parameters'!$B$33:$W$104,3,FALSE))))</f>
        <v>85.790675071567563</v>
      </c>
      <c r="K108" s="1654">
        <f>IF(ISERROR(VLOOKUP($B108,'VoC Fuel'!$B$28:$O$126,1,FALSE)),"",IF(VLOOKUP($B108,'VoC Fuel'!$B$28:$O$126,10,FALSE)="","",VLOOKUP($B108,'VoC Fuel'!$B$28:$O$126,10,FALSE) * (VLOOKUP($B$14,'Annual Parameters'!$B$33:$W$104,3,FALSE) / VLOOKUP('VoC Fuel'!$B$14,'Annual Parameters'!$B$33:$W$104,3,FALSE))))</f>
        <v>16.491943404611959</v>
      </c>
      <c r="L108" s="1257">
        <f>IF(ISERROR(VLOOKUP($B108,'VoC Fuel'!$B$28:$O$126,1,FALSE)),"",IF(VLOOKUP($B108,'VoC Fuel'!$B$28:$O$126,11,FALSE)="","",VLOOKUP($B108,'VoC Fuel'!$B$28:$O$126,11,FALSE) * (VLOOKUP($B$14,'Annual Parameters'!$B$33:$W$104,3,FALSE) / VLOOKUP('VoC Fuel'!$B$14,'Annual Parameters'!$B$33:$W$104,3,FALSE))))</f>
        <v>0</v>
      </c>
      <c r="M108" s="1256">
        <f>IF(ISERROR(VLOOKUP($B108,'VoC Fuel'!$B$28:$O$126,1,FALSE)),"",IF(VLOOKUP(B108,'VoC Fuel'!$B$28:$O$126,12,FALSE)="","",VLOOKUP(B108,'VoC Fuel'!$B$28:$O$126,12,FALSE)))</f>
        <v>20</v>
      </c>
      <c r="N108" s="1256">
        <f>IF(ISERROR(VLOOKUP($B108,'VoC Fuel'!$B$28:$O$126,1,FALSE)),"",IF(VLOOKUP($B108,'VoC Fuel'!$B$28:$O$126,13,FALSE)="","",VLOOKUP($B108,'VoC Fuel'!$B$28:$O$126,13,FALSE)))</f>
        <v>20</v>
      </c>
      <c r="O108" s="1256">
        <f>IF(ISERROR(VLOOKUP($B108,'VoC Fuel'!$B$28:$O$126,1,FALSE)),"",IF(VLOOKUP($B108,'VoC Fuel'!$B$28:$O$126,14,FALSE)="","",VLOOKUP($B108,'VoC Fuel'!$B$28:$O$126,14,FALSE)))</f>
        <v>5</v>
      </c>
    </row>
    <row r="109" spans="2:15" ht="13.5" customHeight="1">
      <c r="B109" s="1589">
        <f t="shared" si="2"/>
        <v>2091</v>
      </c>
      <c r="C109" s="147"/>
      <c r="D109" s="51">
        <f>IF(ISERROR(VLOOKUP($B109,'VoC Fuel'!$B$28:$O$126,1,FALSE)),"",IF(VLOOKUP($B109,'VoC Fuel'!$B$28:$O$126,3,FALSE)="","",VLOOKUP($B109,'VoC Fuel'!$B$28:$O$126,3,FALSE) * (VLOOKUP($B$14,'Annual Parameters'!$B$33:$W$104,3,FALSE) / VLOOKUP('VoC Fuel'!$B$14,'Annual Parameters'!$B$33:$W$104,3,FALSE))))</f>
        <v>42.415831094542135</v>
      </c>
      <c r="E109" s="2158">
        <f>IF(ISERROR(VLOOKUP($B109,'VoC Fuel'!$B$28:$O$126,1,FALSE)),"",IF(VLOOKUP($B109,'VoC Fuel'!$B$28:$O$126,4,FALSE)="","",VLOOKUP($B109,'VoC Fuel'!$B$28:$O$126,4,FALSE) * (VLOOKUP($B$14,'Annual Parameters'!$B$33:$W$104,3,FALSE) / VLOOKUP('VoC Fuel'!$B$14,'Annual Parameters'!$B$33:$W$104,3,FALSE))))</f>
        <v>46.37706219646185</v>
      </c>
      <c r="F109" s="2160">
        <f>IF(ISERROR(VLOOKUP($B109,'VoC Fuel'!$B$28:$O$126,1,FALSE)),"",IF(VLOOKUP($B109,'VoC Fuel'!$B$28:$O$126,5,FALSE)="","",VLOOKUP($B109,'VoC Fuel'!$B$28:$O$126,5,FALSE) * (VLOOKUP($B$14,'Annual Parameters'!$B$33:$W$104,3,FALSE) / VLOOKUP('VoC Fuel'!$B$14,'Annual Parameters'!$B$33:$W$104,3,FALSE))))</f>
        <v>40.832242223684588</v>
      </c>
      <c r="G109" s="1654">
        <f>IF(ISERROR(VLOOKUP($B109,'VoC Fuel'!$B$28:$O$126,1,FALSE)),"",IF(VLOOKUP($B109,'VoC Fuel'!$B$28:$O$126,6,FALSE)="","",VLOOKUP($B109,'VoC Fuel'!$B$28:$O$126,6,FALSE) * (VLOOKUP($B$14,'Annual Parameters'!$B$33:$W$104,3,FALSE) / VLOOKUP('VoC Fuel'!$B$14,'Annual Parameters'!$B$33:$W$104,3,FALSE))))</f>
        <v>15.487670797843426</v>
      </c>
      <c r="H109" s="1590">
        <f>IF(ISERROR(VLOOKUP($B109,'VoC Fuel'!$B$28:$O$126,1,FALSE)),"",IF(VLOOKUP($B109,'VoC Fuel'!$B$28:$O$126,7,FALSE)="","",VLOOKUP($B109,'VoC Fuel'!$B$28:$O$126,7,FALSE) * (VLOOKUP($B$14,'Annual Parameters'!$B$33:$W$104,3,FALSE) / VLOOKUP('VoC Fuel'!$B$14,'Annual Parameters'!$B$33:$W$104,3,FALSE))))</f>
        <v>11.045016676639516</v>
      </c>
      <c r="I109" s="1654">
        <f>IF(ISERROR(VLOOKUP($B109,'VoC Fuel'!$B$28:$O$126,1,FALSE)),"",IF(VLOOKUP($B109,'VoC Fuel'!$B$28:$O$126,8,FALSE)="","",VLOOKUP($B109,'VoC Fuel'!$B$28:$O$126,8,FALSE) * (VLOOKUP($B$14,'Annual Parameters'!$B$33:$W$104,3,FALSE) / VLOOKUP('VoC Fuel'!$B$14,'Annual Parameters'!$B$33:$W$104,3,FALSE))))</f>
        <v>86.377708038821694</v>
      </c>
      <c r="J109" s="1654">
        <f>IF(ISERROR(VLOOKUP($B109,'VoC Fuel'!$B$28:$O$126,1,FALSE)),"",IF(VLOOKUP($B109,'VoC Fuel'!$B$28:$O$126,9,FALSE)="","",VLOOKUP($B109,'VoC Fuel'!$B$28:$O$126,9,FALSE) * (VLOOKUP($B$14,'Annual Parameters'!$B$33:$W$104,3,FALSE) / VLOOKUP('VoC Fuel'!$B$14,'Annual Parameters'!$B$33:$W$104,3,FALSE))))</f>
        <v>86.377708038821694</v>
      </c>
      <c r="K109" s="1654">
        <f>IF(ISERROR(VLOOKUP($B109,'VoC Fuel'!$B$28:$O$126,1,FALSE)),"",IF(VLOOKUP($B109,'VoC Fuel'!$B$28:$O$126,10,FALSE)="","",VLOOKUP($B109,'VoC Fuel'!$B$28:$O$126,10,FALSE) * (VLOOKUP($B$14,'Annual Parameters'!$B$33:$W$104,3,FALSE) / VLOOKUP('VoC Fuel'!$B$14,'Annual Parameters'!$B$33:$W$104,3,FALSE))))</f>
        <v>16.604791502199728</v>
      </c>
      <c r="L109" s="1257">
        <f>IF(ISERROR(VLOOKUP($B109,'VoC Fuel'!$B$28:$O$126,1,FALSE)),"",IF(VLOOKUP($B109,'VoC Fuel'!$B$28:$O$126,11,FALSE)="","",VLOOKUP($B109,'VoC Fuel'!$B$28:$O$126,11,FALSE) * (VLOOKUP($B$14,'Annual Parameters'!$B$33:$W$104,3,FALSE) / VLOOKUP('VoC Fuel'!$B$14,'Annual Parameters'!$B$33:$W$104,3,FALSE))))</f>
        <v>0</v>
      </c>
      <c r="M109" s="1256">
        <f>IF(ISERROR(VLOOKUP($B109,'VoC Fuel'!$B$28:$O$126,1,FALSE)),"",IF(VLOOKUP(B109,'VoC Fuel'!$B$28:$O$126,12,FALSE)="","",VLOOKUP(B109,'VoC Fuel'!$B$28:$O$126,12,FALSE)))</f>
        <v>20</v>
      </c>
      <c r="N109" s="1256">
        <f>IF(ISERROR(VLOOKUP($B109,'VoC Fuel'!$B$28:$O$126,1,FALSE)),"",IF(VLOOKUP($B109,'VoC Fuel'!$B$28:$O$126,13,FALSE)="","",VLOOKUP($B109,'VoC Fuel'!$B$28:$O$126,13,FALSE)))</f>
        <v>20</v>
      </c>
      <c r="O109" s="1256">
        <f>IF(ISERROR(VLOOKUP($B109,'VoC Fuel'!$B$28:$O$126,1,FALSE)),"",IF(VLOOKUP($B109,'VoC Fuel'!$B$28:$O$126,14,FALSE)="","",VLOOKUP($B109,'VoC Fuel'!$B$28:$O$126,14,FALSE)))</f>
        <v>5</v>
      </c>
    </row>
    <row r="110" spans="2:15" ht="13.5" customHeight="1">
      <c r="B110" s="1589">
        <f t="shared" si="2"/>
        <v>2092</v>
      </c>
      <c r="C110" s="147"/>
      <c r="D110" s="51">
        <f>IF(ISERROR(VLOOKUP($B110,'VoC Fuel'!$B$28:$O$126,1,FALSE)),"",IF(VLOOKUP($B110,'VoC Fuel'!$B$28:$O$126,3,FALSE)="","",VLOOKUP($B110,'VoC Fuel'!$B$28:$O$126,3,FALSE) * (VLOOKUP($B$14,'Annual Parameters'!$B$33:$W$104,3,FALSE) / VLOOKUP('VoC Fuel'!$B$14,'Annual Parameters'!$B$33:$W$104,3,FALSE))))</f>
        <v>42.415831094542135</v>
      </c>
      <c r="E110" s="2158">
        <f>IF(ISERROR(VLOOKUP($B110,'VoC Fuel'!$B$28:$O$126,1,FALSE)),"",IF(VLOOKUP($B110,'VoC Fuel'!$B$28:$O$126,4,FALSE)="","",VLOOKUP($B110,'VoC Fuel'!$B$28:$O$126,4,FALSE) * (VLOOKUP($B$14,'Annual Parameters'!$B$33:$W$104,3,FALSE) / VLOOKUP('VoC Fuel'!$B$14,'Annual Parameters'!$B$33:$W$104,3,FALSE))))</f>
        <v>46.37706219646185</v>
      </c>
      <c r="F110" s="2160">
        <f>IF(ISERROR(VLOOKUP($B110,'VoC Fuel'!$B$28:$O$126,1,FALSE)),"",IF(VLOOKUP($B110,'VoC Fuel'!$B$28:$O$126,5,FALSE)="","",VLOOKUP($B110,'VoC Fuel'!$B$28:$O$126,5,FALSE) * (VLOOKUP($B$14,'Annual Parameters'!$B$33:$W$104,3,FALSE) / VLOOKUP('VoC Fuel'!$B$14,'Annual Parameters'!$B$33:$W$104,3,FALSE))))</f>
        <v>40.832242223684588</v>
      </c>
      <c r="G110" s="1654">
        <f>IF(ISERROR(VLOOKUP($B110,'VoC Fuel'!$B$28:$O$126,1,FALSE)),"",IF(VLOOKUP($B110,'VoC Fuel'!$B$28:$O$126,6,FALSE)="","",VLOOKUP($B110,'VoC Fuel'!$B$28:$O$126,6,FALSE) * (VLOOKUP($B$14,'Annual Parameters'!$B$33:$W$104,3,FALSE) / VLOOKUP('VoC Fuel'!$B$14,'Annual Parameters'!$B$33:$W$104,3,FALSE))))</f>
        <v>15.487670797843426</v>
      </c>
      <c r="H110" s="1590">
        <f>IF(ISERROR(VLOOKUP($B110,'VoC Fuel'!$B$28:$O$126,1,FALSE)),"",IF(VLOOKUP($B110,'VoC Fuel'!$B$28:$O$126,7,FALSE)="","",VLOOKUP($B110,'VoC Fuel'!$B$28:$O$126,7,FALSE) * (VLOOKUP($B$14,'Annual Parameters'!$B$33:$W$104,3,FALSE) / VLOOKUP('VoC Fuel'!$B$14,'Annual Parameters'!$B$33:$W$104,3,FALSE))))</f>
        <v>11.045016676639516</v>
      </c>
      <c r="I110" s="1654">
        <f>IF(ISERROR(VLOOKUP($B110,'VoC Fuel'!$B$28:$O$126,1,FALSE)),"",IF(VLOOKUP($B110,'VoC Fuel'!$B$28:$O$126,8,FALSE)="","",VLOOKUP($B110,'VoC Fuel'!$B$28:$O$126,8,FALSE) * (VLOOKUP($B$14,'Annual Parameters'!$B$33:$W$104,3,FALSE) / VLOOKUP('VoC Fuel'!$B$14,'Annual Parameters'!$B$33:$W$104,3,FALSE))))</f>
        <v>86.968757849449048</v>
      </c>
      <c r="J110" s="1654">
        <f>IF(ISERROR(VLOOKUP($B110,'VoC Fuel'!$B$28:$O$126,1,FALSE)),"",IF(VLOOKUP($B110,'VoC Fuel'!$B$28:$O$126,9,FALSE)="","",VLOOKUP($B110,'VoC Fuel'!$B$28:$O$126,9,FALSE) * (VLOOKUP($B$14,'Annual Parameters'!$B$33:$W$104,3,FALSE) / VLOOKUP('VoC Fuel'!$B$14,'Annual Parameters'!$B$33:$W$104,3,FALSE))))</f>
        <v>86.968757849449048</v>
      </c>
      <c r="K110" s="1654">
        <f>IF(ISERROR(VLOOKUP($B110,'VoC Fuel'!$B$28:$O$126,1,FALSE)),"",IF(VLOOKUP($B110,'VoC Fuel'!$B$28:$O$126,10,FALSE)="","",VLOOKUP($B110,'VoC Fuel'!$B$28:$O$126,10,FALSE) * (VLOOKUP($B$14,'Annual Parameters'!$B$33:$W$104,3,FALSE) / VLOOKUP('VoC Fuel'!$B$14,'Annual Parameters'!$B$33:$W$104,3,FALSE))))</f>
        <v>16.718411776408331</v>
      </c>
      <c r="L110" s="1257">
        <f>IF(ISERROR(VLOOKUP($B110,'VoC Fuel'!$B$28:$O$126,1,FALSE)),"",IF(VLOOKUP($B110,'VoC Fuel'!$B$28:$O$126,11,FALSE)="","",VLOOKUP($B110,'VoC Fuel'!$B$28:$O$126,11,FALSE) * (VLOOKUP($B$14,'Annual Parameters'!$B$33:$W$104,3,FALSE) / VLOOKUP('VoC Fuel'!$B$14,'Annual Parameters'!$B$33:$W$104,3,FALSE))))</f>
        <v>0</v>
      </c>
      <c r="M110" s="1256">
        <f>IF(ISERROR(VLOOKUP($B110,'VoC Fuel'!$B$28:$O$126,1,FALSE)),"",IF(VLOOKUP(B110,'VoC Fuel'!$B$28:$O$126,12,FALSE)="","",VLOOKUP(B110,'VoC Fuel'!$B$28:$O$126,12,FALSE)))</f>
        <v>20</v>
      </c>
      <c r="N110" s="1256">
        <f>IF(ISERROR(VLOOKUP($B110,'VoC Fuel'!$B$28:$O$126,1,FALSE)),"",IF(VLOOKUP($B110,'VoC Fuel'!$B$28:$O$126,13,FALSE)="","",VLOOKUP($B110,'VoC Fuel'!$B$28:$O$126,13,FALSE)))</f>
        <v>20</v>
      </c>
      <c r="O110" s="1256">
        <f>IF(ISERROR(VLOOKUP($B110,'VoC Fuel'!$B$28:$O$126,1,FALSE)),"",IF(VLOOKUP($B110,'VoC Fuel'!$B$28:$O$126,14,FALSE)="","",VLOOKUP($B110,'VoC Fuel'!$B$28:$O$126,14,FALSE)))</f>
        <v>5</v>
      </c>
    </row>
    <row r="111" spans="2:15" ht="13.5" customHeight="1">
      <c r="B111" s="1589">
        <f t="shared" si="2"/>
        <v>2093</v>
      </c>
      <c r="C111" s="147"/>
      <c r="D111" s="51">
        <f>IF(ISERROR(VLOOKUP($B111,'VoC Fuel'!$B$28:$O$126,1,FALSE)),"",IF(VLOOKUP($B111,'VoC Fuel'!$B$28:$O$126,3,FALSE)="","",VLOOKUP($B111,'VoC Fuel'!$B$28:$O$126,3,FALSE) * (VLOOKUP($B$14,'Annual Parameters'!$B$33:$W$104,3,FALSE) / VLOOKUP('VoC Fuel'!$B$14,'Annual Parameters'!$B$33:$W$104,3,FALSE))))</f>
        <v>42.415831094542135</v>
      </c>
      <c r="E111" s="2158">
        <f>IF(ISERROR(VLOOKUP($B111,'VoC Fuel'!$B$28:$O$126,1,FALSE)),"",IF(VLOOKUP($B111,'VoC Fuel'!$B$28:$O$126,4,FALSE)="","",VLOOKUP($B111,'VoC Fuel'!$B$28:$O$126,4,FALSE) * (VLOOKUP($B$14,'Annual Parameters'!$B$33:$W$104,3,FALSE) / VLOOKUP('VoC Fuel'!$B$14,'Annual Parameters'!$B$33:$W$104,3,FALSE))))</f>
        <v>46.37706219646185</v>
      </c>
      <c r="F111" s="2160">
        <f>IF(ISERROR(VLOOKUP($B111,'VoC Fuel'!$B$28:$O$126,1,FALSE)),"",IF(VLOOKUP($B111,'VoC Fuel'!$B$28:$O$126,5,FALSE)="","",VLOOKUP($B111,'VoC Fuel'!$B$28:$O$126,5,FALSE) * (VLOOKUP($B$14,'Annual Parameters'!$B$33:$W$104,3,FALSE) / VLOOKUP('VoC Fuel'!$B$14,'Annual Parameters'!$B$33:$W$104,3,FALSE))))</f>
        <v>40.832242223684588</v>
      </c>
      <c r="G111" s="1654">
        <f>IF(ISERROR(VLOOKUP($B111,'VoC Fuel'!$B$28:$O$126,1,FALSE)),"",IF(VLOOKUP($B111,'VoC Fuel'!$B$28:$O$126,6,FALSE)="","",VLOOKUP($B111,'VoC Fuel'!$B$28:$O$126,6,FALSE) * (VLOOKUP($B$14,'Annual Parameters'!$B$33:$W$104,3,FALSE) / VLOOKUP('VoC Fuel'!$B$14,'Annual Parameters'!$B$33:$W$104,3,FALSE))))</f>
        <v>15.487670797843426</v>
      </c>
      <c r="H111" s="1590">
        <f>IF(ISERROR(VLOOKUP($B111,'VoC Fuel'!$B$28:$O$126,1,FALSE)),"",IF(VLOOKUP($B111,'VoC Fuel'!$B$28:$O$126,7,FALSE)="","",VLOOKUP($B111,'VoC Fuel'!$B$28:$O$126,7,FALSE) * (VLOOKUP($B$14,'Annual Parameters'!$B$33:$W$104,3,FALSE) / VLOOKUP('VoC Fuel'!$B$14,'Annual Parameters'!$B$33:$W$104,3,FALSE))))</f>
        <v>11.045016676639516</v>
      </c>
      <c r="I111" s="1654">
        <f>IF(ISERROR(VLOOKUP($B111,'VoC Fuel'!$B$28:$O$126,1,FALSE)),"",IF(VLOOKUP($B111,'VoC Fuel'!$B$28:$O$126,8,FALSE)="","",VLOOKUP($B111,'VoC Fuel'!$B$28:$O$126,8,FALSE) * (VLOOKUP($B$14,'Annual Parameters'!$B$33:$W$104,3,FALSE) / VLOOKUP('VoC Fuel'!$B$14,'Annual Parameters'!$B$33:$W$104,3,FALSE))))</f>
        <v>87.563851989181387</v>
      </c>
      <c r="J111" s="1654">
        <f>IF(ISERROR(VLOOKUP($B111,'VoC Fuel'!$B$28:$O$126,1,FALSE)),"",IF(VLOOKUP($B111,'VoC Fuel'!$B$28:$O$126,9,FALSE)="","",VLOOKUP($B111,'VoC Fuel'!$B$28:$O$126,9,FALSE) * (VLOOKUP($B$14,'Annual Parameters'!$B$33:$W$104,3,FALSE) / VLOOKUP('VoC Fuel'!$B$14,'Annual Parameters'!$B$33:$W$104,3,FALSE))))</f>
        <v>87.563851989181387</v>
      </c>
      <c r="K111" s="1654">
        <f>IF(ISERROR(VLOOKUP($B111,'VoC Fuel'!$B$28:$O$126,1,FALSE)),"",IF(VLOOKUP($B111,'VoC Fuel'!$B$28:$O$126,10,FALSE)="","",VLOOKUP($B111,'VoC Fuel'!$B$28:$O$126,10,FALSE) * (VLOOKUP($B$14,'Annual Parameters'!$B$33:$W$104,3,FALSE) / VLOOKUP('VoC Fuel'!$B$14,'Annual Parameters'!$B$33:$W$104,3,FALSE))))</f>
        <v>16.832809510948763</v>
      </c>
      <c r="L111" s="1257">
        <f>IF(ISERROR(VLOOKUP($B111,'VoC Fuel'!$B$28:$O$126,1,FALSE)),"",IF(VLOOKUP($B111,'VoC Fuel'!$B$28:$O$126,11,FALSE)="","",VLOOKUP($B111,'VoC Fuel'!$B$28:$O$126,11,FALSE) * (VLOOKUP($B$14,'Annual Parameters'!$B$33:$W$104,3,FALSE) / VLOOKUP('VoC Fuel'!$B$14,'Annual Parameters'!$B$33:$W$104,3,FALSE))))</f>
        <v>0</v>
      </c>
      <c r="M111" s="1256">
        <f>IF(ISERROR(VLOOKUP($B111,'VoC Fuel'!$B$28:$O$126,1,FALSE)),"",IF(VLOOKUP(B111,'VoC Fuel'!$B$28:$O$126,12,FALSE)="","",VLOOKUP(B111,'VoC Fuel'!$B$28:$O$126,12,FALSE)))</f>
        <v>20</v>
      </c>
      <c r="N111" s="1256">
        <f>IF(ISERROR(VLOOKUP($B111,'VoC Fuel'!$B$28:$O$126,1,FALSE)),"",IF(VLOOKUP($B111,'VoC Fuel'!$B$28:$O$126,13,FALSE)="","",VLOOKUP($B111,'VoC Fuel'!$B$28:$O$126,13,FALSE)))</f>
        <v>20</v>
      </c>
      <c r="O111" s="1256">
        <f>IF(ISERROR(VLOOKUP($B111,'VoC Fuel'!$B$28:$O$126,1,FALSE)),"",IF(VLOOKUP($B111,'VoC Fuel'!$B$28:$O$126,14,FALSE)="","",VLOOKUP($B111,'VoC Fuel'!$B$28:$O$126,14,FALSE)))</f>
        <v>5</v>
      </c>
    </row>
    <row r="112" spans="2:15" ht="13.5" customHeight="1">
      <c r="B112" s="1589">
        <f t="shared" si="2"/>
        <v>2094</v>
      </c>
      <c r="C112" s="147"/>
      <c r="D112" s="51">
        <f>IF(ISERROR(VLOOKUP($B112,'VoC Fuel'!$B$28:$O$126,1,FALSE)),"",IF(VLOOKUP($B112,'VoC Fuel'!$B$28:$O$126,3,FALSE)="","",VLOOKUP($B112,'VoC Fuel'!$B$28:$O$126,3,FALSE) * (VLOOKUP($B$14,'Annual Parameters'!$B$33:$W$104,3,FALSE) / VLOOKUP('VoC Fuel'!$B$14,'Annual Parameters'!$B$33:$W$104,3,FALSE))))</f>
        <v>42.415831094542135</v>
      </c>
      <c r="E112" s="2158">
        <f>IF(ISERROR(VLOOKUP($B112,'VoC Fuel'!$B$28:$O$126,1,FALSE)),"",IF(VLOOKUP($B112,'VoC Fuel'!$B$28:$O$126,4,FALSE)="","",VLOOKUP($B112,'VoC Fuel'!$B$28:$O$126,4,FALSE) * (VLOOKUP($B$14,'Annual Parameters'!$B$33:$W$104,3,FALSE) / VLOOKUP('VoC Fuel'!$B$14,'Annual Parameters'!$B$33:$W$104,3,FALSE))))</f>
        <v>46.37706219646185</v>
      </c>
      <c r="F112" s="2160">
        <f>IF(ISERROR(VLOOKUP($B112,'VoC Fuel'!$B$28:$O$126,1,FALSE)),"",IF(VLOOKUP($B112,'VoC Fuel'!$B$28:$O$126,5,FALSE)="","",VLOOKUP($B112,'VoC Fuel'!$B$28:$O$126,5,FALSE) * (VLOOKUP($B$14,'Annual Parameters'!$B$33:$W$104,3,FALSE) / VLOOKUP('VoC Fuel'!$B$14,'Annual Parameters'!$B$33:$W$104,3,FALSE))))</f>
        <v>40.832242223684588</v>
      </c>
      <c r="G112" s="1654">
        <f>IF(ISERROR(VLOOKUP($B112,'VoC Fuel'!$B$28:$O$126,1,FALSE)),"",IF(VLOOKUP($B112,'VoC Fuel'!$B$28:$O$126,6,FALSE)="","",VLOOKUP($B112,'VoC Fuel'!$B$28:$O$126,6,FALSE) * (VLOOKUP($B$14,'Annual Parameters'!$B$33:$W$104,3,FALSE) / VLOOKUP('VoC Fuel'!$B$14,'Annual Parameters'!$B$33:$W$104,3,FALSE))))</f>
        <v>15.487670797843426</v>
      </c>
      <c r="H112" s="1590">
        <f>IF(ISERROR(VLOOKUP($B112,'VoC Fuel'!$B$28:$O$126,1,FALSE)),"",IF(VLOOKUP($B112,'VoC Fuel'!$B$28:$O$126,7,FALSE)="","",VLOOKUP($B112,'VoC Fuel'!$B$28:$O$126,7,FALSE) * (VLOOKUP($B$14,'Annual Parameters'!$B$33:$W$104,3,FALSE) / VLOOKUP('VoC Fuel'!$B$14,'Annual Parameters'!$B$33:$W$104,3,FALSE))))</f>
        <v>11.045016676639516</v>
      </c>
      <c r="I112" s="1654">
        <f>IF(ISERROR(VLOOKUP($B112,'VoC Fuel'!$B$28:$O$126,1,FALSE)),"",IF(VLOOKUP($B112,'VoC Fuel'!$B$28:$O$126,8,FALSE)="","",VLOOKUP($B112,'VoC Fuel'!$B$28:$O$126,8,FALSE) * (VLOOKUP($B$14,'Annual Parameters'!$B$33:$W$104,3,FALSE) / VLOOKUP('VoC Fuel'!$B$14,'Annual Parameters'!$B$33:$W$104,3,FALSE))))</f>
        <v>88.163018131824813</v>
      </c>
      <c r="J112" s="1654">
        <f>IF(ISERROR(VLOOKUP($B112,'VoC Fuel'!$B$28:$O$126,1,FALSE)),"",IF(VLOOKUP($B112,'VoC Fuel'!$B$28:$O$126,9,FALSE)="","",VLOOKUP($B112,'VoC Fuel'!$B$28:$O$126,9,FALSE) * (VLOOKUP($B$14,'Annual Parameters'!$B$33:$W$104,3,FALSE) / VLOOKUP('VoC Fuel'!$B$14,'Annual Parameters'!$B$33:$W$104,3,FALSE))))</f>
        <v>88.163018131824813</v>
      </c>
      <c r="K112" s="1654">
        <f>IF(ISERROR(VLOOKUP($B112,'VoC Fuel'!$B$28:$O$126,1,FALSE)),"",IF(VLOOKUP($B112,'VoC Fuel'!$B$28:$O$126,10,FALSE)="","",VLOOKUP($B112,'VoC Fuel'!$B$28:$O$126,10,FALSE) * (VLOOKUP($B$14,'Annual Parameters'!$B$33:$W$104,3,FALSE) / VLOOKUP('VoC Fuel'!$B$14,'Annual Parameters'!$B$33:$W$104,3,FALSE))))</f>
        <v>16.947990025686433</v>
      </c>
      <c r="L112" s="1257">
        <f>IF(ISERROR(VLOOKUP($B112,'VoC Fuel'!$B$28:$O$126,1,FALSE)),"",IF(VLOOKUP($B112,'VoC Fuel'!$B$28:$O$126,11,FALSE)="","",VLOOKUP($B112,'VoC Fuel'!$B$28:$O$126,11,FALSE) * (VLOOKUP($B$14,'Annual Parameters'!$B$33:$W$104,3,FALSE) / VLOOKUP('VoC Fuel'!$B$14,'Annual Parameters'!$B$33:$W$104,3,FALSE))))</f>
        <v>0</v>
      </c>
      <c r="M112" s="1256">
        <f>IF(ISERROR(VLOOKUP($B112,'VoC Fuel'!$B$28:$O$126,1,FALSE)),"",IF(VLOOKUP(B112,'VoC Fuel'!$B$28:$O$126,12,FALSE)="","",VLOOKUP(B112,'VoC Fuel'!$B$28:$O$126,12,FALSE)))</f>
        <v>20</v>
      </c>
      <c r="N112" s="1256">
        <f>IF(ISERROR(VLOOKUP($B112,'VoC Fuel'!$B$28:$O$126,1,FALSE)),"",IF(VLOOKUP($B112,'VoC Fuel'!$B$28:$O$126,13,FALSE)="","",VLOOKUP($B112,'VoC Fuel'!$B$28:$O$126,13,FALSE)))</f>
        <v>20</v>
      </c>
      <c r="O112" s="1256">
        <f>IF(ISERROR(VLOOKUP($B112,'VoC Fuel'!$B$28:$O$126,1,FALSE)),"",IF(VLOOKUP($B112,'VoC Fuel'!$B$28:$O$126,14,FALSE)="","",VLOOKUP($B112,'VoC Fuel'!$B$28:$O$126,14,FALSE)))</f>
        <v>5</v>
      </c>
    </row>
    <row r="113" spans="1:15" ht="13.5" customHeight="1">
      <c r="B113" s="1589">
        <f t="shared" si="2"/>
        <v>2095</v>
      </c>
      <c r="C113" s="147"/>
      <c r="D113" s="51">
        <f>IF(ISERROR(VLOOKUP($B113,'VoC Fuel'!$B$28:$O$126,1,FALSE)),"",IF(VLOOKUP($B113,'VoC Fuel'!$B$28:$O$126,3,FALSE)="","",VLOOKUP($B113,'VoC Fuel'!$B$28:$O$126,3,FALSE) * (VLOOKUP($B$14,'Annual Parameters'!$B$33:$W$104,3,FALSE) / VLOOKUP('VoC Fuel'!$B$14,'Annual Parameters'!$B$33:$W$104,3,FALSE))))</f>
        <v>42.415831094542135</v>
      </c>
      <c r="E113" s="2158">
        <f>IF(ISERROR(VLOOKUP($B113,'VoC Fuel'!$B$28:$O$126,1,FALSE)),"",IF(VLOOKUP($B113,'VoC Fuel'!$B$28:$O$126,4,FALSE)="","",VLOOKUP($B113,'VoC Fuel'!$B$28:$O$126,4,FALSE) * (VLOOKUP($B$14,'Annual Parameters'!$B$33:$W$104,3,FALSE) / VLOOKUP('VoC Fuel'!$B$14,'Annual Parameters'!$B$33:$W$104,3,FALSE))))</f>
        <v>46.37706219646185</v>
      </c>
      <c r="F113" s="2160">
        <f>IF(ISERROR(VLOOKUP($B113,'VoC Fuel'!$B$28:$O$126,1,FALSE)),"",IF(VLOOKUP($B113,'VoC Fuel'!$B$28:$O$126,5,FALSE)="","",VLOOKUP($B113,'VoC Fuel'!$B$28:$O$126,5,FALSE) * (VLOOKUP($B$14,'Annual Parameters'!$B$33:$W$104,3,FALSE) / VLOOKUP('VoC Fuel'!$B$14,'Annual Parameters'!$B$33:$W$104,3,FALSE))))</f>
        <v>40.832242223684588</v>
      </c>
      <c r="G113" s="1654">
        <f>IF(ISERROR(VLOOKUP($B113,'VoC Fuel'!$B$28:$O$126,1,FALSE)),"",IF(VLOOKUP($B113,'VoC Fuel'!$B$28:$O$126,6,FALSE)="","",VLOOKUP($B113,'VoC Fuel'!$B$28:$O$126,6,FALSE) * (VLOOKUP($B$14,'Annual Parameters'!$B$33:$W$104,3,FALSE) / VLOOKUP('VoC Fuel'!$B$14,'Annual Parameters'!$B$33:$W$104,3,FALSE))))</f>
        <v>15.487670797843426</v>
      </c>
      <c r="H113" s="1590">
        <f>IF(ISERROR(VLOOKUP($B113,'VoC Fuel'!$B$28:$O$126,1,FALSE)),"",IF(VLOOKUP($B113,'VoC Fuel'!$B$28:$O$126,7,FALSE)="","",VLOOKUP($B113,'VoC Fuel'!$B$28:$O$126,7,FALSE) * (VLOOKUP($B$14,'Annual Parameters'!$B$33:$W$104,3,FALSE) / VLOOKUP('VoC Fuel'!$B$14,'Annual Parameters'!$B$33:$W$104,3,FALSE))))</f>
        <v>11.045016676639516</v>
      </c>
      <c r="I113" s="1654">
        <f>IF(ISERROR(VLOOKUP($B113,'VoC Fuel'!$B$28:$O$126,1,FALSE)),"",IF(VLOOKUP($B113,'VoC Fuel'!$B$28:$O$126,8,FALSE)="","",VLOOKUP($B113,'VoC Fuel'!$B$28:$O$126,8,FALSE) * (VLOOKUP($B$14,'Annual Parameters'!$B$33:$W$104,3,FALSE) / VLOOKUP('VoC Fuel'!$B$14,'Annual Parameters'!$B$33:$W$104,3,FALSE))))</f>
        <v>88.766284140547</v>
      </c>
      <c r="J113" s="1654">
        <f>IF(ISERROR(VLOOKUP($B113,'VoC Fuel'!$B$28:$O$126,1,FALSE)),"",IF(VLOOKUP($B113,'VoC Fuel'!$B$28:$O$126,9,FALSE)="","",VLOOKUP($B113,'VoC Fuel'!$B$28:$O$126,9,FALSE) * (VLOOKUP($B$14,'Annual Parameters'!$B$33:$W$104,3,FALSE) / VLOOKUP('VoC Fuel'!$B$14,'Annual Parameters'!$B$33:$W$104,3,FALSE))))</f>
        <v>88.766284140547</v>
      </c>
      <c r="K113" s="1654">
        <f>IF(ISERROR(VLOOKUP($B113,'VoC Fuel'!$B$28:$O$126,1,FALSE)),"",IF(VLOOKUP($B113,'VoC Fuel'!$B$28:$O$126,10,FALSE)="","",VLOOKUP($B113,'VoC Fuel'!$B$28:$O$126,10,FALSE) * (VLOOKUP($B$14,'Annual Parameters'!$B$33:$W$104,3,FALSE) / VLOOKUP('VoC Fuel'!$B$14,'Annual Parameters'!$B$33:$W$104,3,FALSE))))</f>
        <v>17.063958676888596</v>
      </c>
      <c r="L113" s="1257">
        <f>IF(ISERROR(VLOOKUP($B113,'VoC Fuel'!$B$28:$O$126,1,FALSE)),"",IF(VLOOKUP($B113,'VoC Fuel'!$B$28:$O$126,11,FALSE)="","",VLOOKUP($B113,'VoC Fuel'!$B$28:$O$126,11,FALSE) * (VLOOKUP($B$14,'Annual Parameters'!$B$33:$W$104,3,FALSE) / VLOOKUP('VoC Fuel'!$B$14,'Annual Parameters'!$B$33:$W$104,3,FALSE))))</f>
        <v>0</v>
      </c>
      <c r="M113" s="1256">
        <f>IF(ISERROR(VLOOKUP($B113,'VoC Fuel'!$B$28:$O$126,1,FALSE)),"",IF(VLOOKUP(B113,'VoC Fuel'!$B$28:$O$126,12,FALSE)="","",VLOOKUP(B113,'VoC Fuel'!$B$28:$O$126,12,FALSE)))</f>
        <v>20</v>
      </c>
      <c r="N113" s="1256">
        <f>IF(ISERROR(VLOOKUP($B113,'VoC Fuel'!$B$28:$O$126,1,FALSE)),"",IF(VLOOKUP($B113,'VoC Fuel'!$B$28:$O$126,13,FALSE)="","",VLOOKUP($B113,'VoC Fuel'!$B$28:$O$126,13,FALSE)))</f>
        <v>20</v>
      </c>
      <c r="O113" s="1256">
        <f>IF(ISERROR(VLOOKUP($B113,'VoC Fuel'!$B$28:$O$126,1,FALSE)),"",IF(VLOOKUP($B113,'VoC Fuel'!$B$28:$O$126,14,FALSE)="","",VLOOKUP($B113,'VoC Fuel'!$B$28:$O$126,14,FALSE)))</f>
        <v>5</v>
      </c>
    </row>
    <row r="114" spans="1:15" ht="13.5" customHeight="1">
      <c r="B114" s="1589">
        <f t="shared" si="2"/>
        <v>2096</v>
      </c>
      <c r="C114" s="147"/>
      <c r="D114" s="51">
        <f>IF(ISERROR(VLOOKUP($B114,'VoC Fuel'!$B$28:$O$126,1,FALSE)),"",IF(VLOOKUP($B114,'VoC Fuel'!$B$28:$O$126,3,FALSE)="","",VLOOKUP($B114,'VoC Fuel'!$B$28:$O$126,3,FALSE) * (VLOOKUP($B$14,'Annual Parameters'!$B$33:$W$104,3,FALSE) / VLOOKUP('VoC Fuel'!$B$14,'Annual Parameters'!$B$33:$W$104,3,FALSE))))</f>
        <v>42.415831094542135</v>
      </c>
      <c r="E114" s="2158">
        <f>IF(ISERROR(VLOOKUP($B114,'VoC Fuel'!$B$28:$O$126,1,FALSE)),"",IF(VLOOKUP($B114,'VoC Fuel'!$B$28:$O$126,4,FALSE)="","",VLOOKUP($B114,'VoC Fuel'!$B$28:$O$126,4,FALSE) * (VLOOKUP($B$14,'Annual Parameters'!$B$33:$W$104,3,FALSE) / VLOOKUP('VoC Fuel'!$B$14,'Annual Parameters'!$B$33:$W$104,3,FALSE))))</f>
        <v>46.37706219646185</v>
      </c>
      <c r="F114" s="2160">
        <f>IF(ISERROR(VLOOKUP($B114,'VoC Fuel'!$B$28:$O$126,1,FALSE)),"",IF(VLOOKUP($B114,'VoC Fuel'!$B$28:$O$126,5,FALSE)="","",VLOOKUP($B114,'VoC Fuel'!$B$28:$O$126,5,FALSE) * (VLOOKUP($B$14,'Annual Parameters'!$B$33:$W$104,3,FALSE) / VLOOKUP('VoC Fuel'!$B$14,'Annual Parameters'!$B$33:$W$104,3,FALSE))))</f>
        <v>40.832242223684588</v>
      </c>
      <c r="G114" s="1654">
        <f>IF(ISERROR(VLOOKUP($B114,'VoC Fuel'!$B$28:$O$126,1,FALSE)),"",IF(VLOOKUP($B114,'VoC Fuel'!$B$28:$O$126,6,FALSE)="","",VLOOKUP($B114,'VoC Fuel'!$B$28:$O$126,6,FALSE) * (VLOOKUP($B$14,'Annual Parameters'!$B$33:$W$104,3,FALSE) / VLOOKUP('VoC Fuel'!$B$14,'Annual Parameters'!$B$33:$W$104,3,FALSE))))</f>
        <v>15.487670797843426</v>
      </c>
      <c r="H114" s="1590">
        <f>IF(ISERROR(VLOOKUP($B114,'VoC Fuel'!$B$28:$O$126,1,FALSE)),"",IF(VLOOKUP($B114,'VoC Fuel'!$B$28:$O$126,7,FALSE)="","",VLOOKUP($B114,'VoC Fuel'!$B$28:$O$126,7,FALSE) * (VLOOKUP($B$14,'Annual Parameters'!$B$33:$W$104,3,FALSE) / VLOOKUP('VoC Fuel'!$B$14,'Annual Parameters'!$B$33:$W$104,3,FALSE))))</f>
        <v>11.045016676639516</v>
      </c>
      <c r="I114" s="1654">
        <f>IF(ISERROR(VLOOKUP($B114,'VoC Fuel'!$B$28:$O$126,1,FALSE)),"",IF(VLOOKUP($B114,'VoC Fuel'!$B$28:$O$126,8,FALSE)="","",VLOOKUP($B114,'VoC Fuel'!$B$28:$O$126,8,FALSE) * (VLOOKUP($B$14,'Annual Parameters'!$B$33:$W$104,3,FALSE) / VLOOKUP('VoC Fuel'!$B$14,'Annual Parameters'!$B$33:$W$104,3,FALSE))))</f>
        <v>89.373678069172428</v>
      </c>
      <c r="J114" s="1654">
        <f>IF(ISERROR(VLOOKUP($B114,'VoC Fuel'!$B$28:$O$126,1,FALSE)),"",IF(VLOOKUP($B114,'VoC Fuel'!$B$28:$O$126,9,FALSE)="","",VLOOKUP($B114,'VoC Fuel'!$B$28:$O$126,9,FALSE) * (VLOOKUP($B$14,'Annual Parameters'!$B$33:$W$104,3,FALSE) / VLOOKUP('VoC Fuel'!$B$14,'Annual Parameters'!$B$33:$W$104,3,FALSE))))</f>
        <v>89.373678069172428</v>
      </c>
      <c r="K114" s="1654">
        <f>IF(ISERROR(VLOOKUP($B114,'VoC Fuel'!$B$28:$O$126,1,FALSE)),"",IF(VLOOKUP($B114,'VoC Fuel'!$B$28:$O$126,10,FALSE)="","",VLOOKUP($B114,'VoC Fuel'!$B$28:$O$126,10,FALSE) * (VLOOKUP($B$14,'Annual Parameters'!$B$33:$W$104,3,FALSE) / VLOOKUP('VoC Fuel'!$B$14,'Annual Parameters'!$B$33:$W$104,3,FALSE))))</f>
        <v>17.180720857473357</v>
      </c>
      <c r="L114" s="1257">
        <f>IF(ISERROR(VLOOKUP($B114,'VoC Fuel'!$B$28:$O$126,1,FALSE)),"",IF(VLOOKUP($B114,'VoC Fuel'!$B$28:$O$126,11,FALSE)="","",VLOOKUP($B114,'VoC Fuel'!$B$28:$O$126,11,FALSE) * (VLOOKUP($B$14,'Annual Parameters'!$B$33:$W$104,3,FALSE) / VLOOKUP('VoC Fuel'!$B$14,'Annual Parameters'!$B$33:$W$104,3,FALSE))))</f>
        <v>0</v>
      </c>
      <c r="M114" s="1256">
        <f>IF(ISERROR(VLOOKUP($B114,'VoC Fuel'!$B$28:$O$126,1,FALSE)),"",IF(VLOOKUP(B114,'VoC Fuel'!$B$28:$O$126,12,FALSE)="","",VLOOKUP(B114,'VoC Fuel'!$B$28:$O$126,12,FALSE)))</f>
        <v>20</v>
      </c>
      <c r="N114" s="1256">
        <f>IF(ISERROR(VLOOKUP($B114,'VoC Fuel'!$B$28:$O$126,1,FALSE)),"",IF(VLOOKUP($B114,'VoC Fuel'!$B$28:$O$126,13,FALSE)="","",VLOOKUP($B114,'VoC Fuel'!$B$28:$O$126,13,FALSE)))</f>
        <v>20</v>
      </c>
      <c r="O114" s="1256">
        <f>IF(ISERROR(VLOOKUP($B114,'VoC Fuel'!$B$28:$O$126,1,FALSE)),"",IF(VLOOKUP($B114,'VoC Fuel'!$B$28:$O$126,14,FALSE)="","",VLOOKUP($B114,'VoC Fuel'!$B$28:$O$126,14,FALSE)))</f>
        <v>5</v>
      </c>
    </row>
    <row r="115" spans="1:15" ht="13.5" customHeight="1">
      <c r="B115" s="1589">
        <f t="shared" si="2"/>
        <v>2097</v>
      </c>
      <c r="C115" s="147"/>
      <c r="D115" s="51">
        <f>IF(ISERROR(VLOOKUP($B115,'VoC Fuel'!$B$28:$O$126,1,FALSE)),"",IF(VLOOKUP($B115,'VoC Fuel'!$B$28:$O$126,3,FALSE)="","",VLOOKUP($B115,'VoC Fuel'!$B$28:$O$126,3,FALSE) * (VLOOKUP($B$14,'Annual Parameters'!$B$33:$W$104,3,FALSE) / VLOOKUP('VoC Fuel'!$B$14,'Annual Parameters'!$B$33:$W$104,3,FALSE))))</f>
        <v>42.415831094542135</v>
      </c>
      <c r="E115" s="2158">
        <f>IF(ISERROR(VLOOKUP($B115,'VoC Fuel'!$B$28:$O$126,1,FALSE)),"",IF(VLOOKUP($B115,'VoC Fuel'!$B$28:$O$126,4,FALSE)="","",VLOOKUP($B115,'VoC Fuel'!$B$28:$O$126,4,FALSE) * (VLOOKUP($B$14,'Annual Parameters'!$B$33:$W$104,3,FALSE) / VLOOKUP('VoC Fuel'!$B$14,'Annual Parameters'!$B$33:$W$104,3,FALSE))))</f>
        <v>46.37706219646185</v>
      </c>
      <c r="F115" s="2160">
        <f>IF(ISERROR(VLOOKUP($B115,'VoC Fuel'!$B$28:$O$126,1,FALSE)),"",IF(VLOOKUP($B115,'VoC Fuel'!$B$28:$O$126,5,FALSE)="","",VLOOKUP($B115,'VoC Fuel'!$B$28:$O$126,5,FALSE) * (VLOOKUP($B$14,'Annual Parameters'!$B$33:$W$104,3,FALSE) / VLOOKUP('VoC Fuel'!$B$14,'Annual Parameters'!$B$33:$W$104,3,FALSE))))</f>
        <v>40.832242223684588</v>
      </c>
      <c r="G115" s="1654">
        <f>IF(ISERROR(VLOOKUP($B115,'VoC Fuel'!$B$28:$O$126,1,FALSE)),"",IF(VLOOKUP($B115,'VoC Fuel'!$B$28:$O$126,6,FALSE)="","",VLOOKUP($B115,'VoC Fuel'!$B$28:$O$126,6,FALSE) * (VLOOKUP($B$14,'Annual Parameters'!$B$33:$W$104,3,FALSE) / VLOOKUP('VoC Fuel'!$B$14,'Annual Parameters'!$B$33:$W$104,3,FALSE))))</f>
        <v>15.487670797843426</v>
      </c>
      <c r="H115" s="1590">
        <f>IF(ISERROR(VLOOKUP($B115,'VoC Fuel'!$B$28:$O$126,1,FALSE)),"",IF(VLOOKUP($B115,'VoC Fuel'!$B$28:$O$126,7,FALSE)="","",VLOOKUP($B115,'VoC Fuel'!$B$28:$O$126,7,FALSE) * (VLOOKUP($B$14,'Annual Parameters'!$B$33:$W$104,3,FALSE) / VLOOKUP('VoC Fuel'!$B$14,'Annual Parameters'!$B$33:$W$104,3,FALSE))))</f>
        <v>11.045016676639516</v>
      </c>
      <c r="I115" s="1654">
        <f>IF(ISERROR(VLOOKUP($B115,'VoC Fuel'!$B$28:$O$126,1,FALSE)),"",IF(VLOOKUP($B115,'VoC Fuel'!$B$28:$O$126,8,FALSE)="","",VLOOKUP($B115,'VoC Fuel'!$B$28:$O$126,8,FALSE) * (VLOOKUP($B$14,'Annual Parameters'!$B$33:$W$104,3,FALSE) / VLOOKUP('VoC Fuel'!$B$14,'Annual Parameters'!$B$33:$W$104,3,FALSE))))</f>
        <v>89.985228163487406</v>
      </c>
      <c r="J115" s="1654">
        <f>IF(ISERROR(VLOOKUP($B115,'VoC Fuel'!$B$28:$O$126,1,FALSE)),"",IF(VLOOKUP($B115,'VoC Fuel'!$B$28:$O$126,9,FALSE)="","",VLOOKUP($B115,'VoC Fuel'!$B$28:$O$126,9,FALSE) * (VLOOKUP($B$14,'Annual Parameters'!$B$33:$W$104,3,FALSE) / VLOOKUP('VoC Fuel'!$B$14,'Annual Parameters'!$B$33:$W$104,3,FALSE))))</f>
        <v>89.985228163487406</v>
      </c>
      <c r="K115" s="1654">
        <f>IF(ISERROR(VLOOKUP($B115,'VoC Fuel'!$B$28:$O$126,1,FALSE)),"",IF(VLOOKUP($B115,'VoC Fuel'!$B$28:$O$126,10,FALSE)="","",VLOOKUP($B115,'VoC Fuel'!$B$28:$O$126,10,FALSE) * (VLOOKUP($B$14,'Annual Parameters'!$B$33:$W$104,3,FALSE) / VLOOKUP('VoC Fuel'!$B$14,'Annual Parameters'!$B$33:$W$104,3,FALSE))))</f>
        <v>17.298281997260574</v>
      </c>
      <c r="L115" s="1257">
        <f>IF(ISERROR(VLOOKUP($B115,'VoC Fuel'!$B$28:$O$126,1,FALSE)),"",IF(VLOOKUP($B115,'VoC Fuel'!$B$28:$O$126,11,FALSE)="","",VLOOKUP($B115,'VoC Fuel'!$B$28:$O$126,11,FALSE) * (VLOOKUP($B$14,'Annual Parameters'!$B$33:$W$104,3,FALSE) / VLOOKUP('VoC Fuel'!$B$14,'Annual Parameters'!$B$33:$W$104,3,FALSE))))</f>
        <v>0</v>
      </c>
      <c r="M115" s="1256">
        <f>IF(ISERROR(VLOOKUP($B115,'VoC Fuel'!$B$28:$O$126,1,FALSE)),"",IF(VLOOKUP(B115,'VoC Fuel'!$B$28:$O$126,12,FALSE)="","",VLOOKUP(B115,'VoC Fuel'!$B$28:$O$126,12,FALSE)))</f>
        <v>20</v>
      </c>
      <c r="N115" s="1256">
        <f>IF(ISERROR(VLOOKUP($B115,'VoC Fuel'!$B$28:$O$126,1,FALSE)),"",IF(VLOOKUP($B115,'VoC Fuel'!$B$28:$O$126,13,FALSE)="","",VLOOKUP($B115,'VoC Fuel'!$B$28:$O$126,13,FALSE)))</f>
        <v>20</v>
      </c>
      <c r="O115" s="1256">
        <f>IF(ISERROR(VLOOKUP($B115,'VoC Fuel'!$B$28:$O$126,1,FALSE)),"",IF(VLOOKUP($B115,'VoC Fuel'!$B$28:$O$126,14,FALSE)="","",VLOOKUP($B115,'VoC Fuel'!$B$28:$O$126,14,FALSE)))</f>
        <v>5</v>
      </c>
    </row>
    <row r="116" spans="1:15" ht="13.5" customHeight="1">
      <c r="B116" s="1589">
        <f t="shared" si="2"/>
        <v>2098</v>
      </c>
      <c r="C116" s="147"/>
      <c r="D116" s="51">
        <f>IF(ISERROR(VLOOKUP($B116,'VoC Fuel'!$B$28:$O$126,1,FALSE)),"",IF(VLOOKUP($B116,'VoC Fuel'!$B$28:$O$126,3,FALSE)="","",VLOOKUP($B116,'VoC Fuel'!$B$28:$O$126,3,FALSE) * (VLOOKUP($B$14,'Annual Parameters'!$B$33:$W$104,3,FALSE) / VLOOKUP('VoC Fuel'!$B$14,'Annual Parameters'!$B$33:$W$104,3,FALSE))))</f>
        <v>42.415831094542135</v>
      </c>
      <c r="E116" s="2158">
        <f>IF(ISERROR(VLOOKUP($B116,'VoC Fuel'!$B$28:$O$126,1,FALSE)),"",IF(VLOOKUP($B116,'VoC Fuel'!$B$28:$O$126,4,FALSE)="","",VLOOKUP($B116,'VoC Fuel'!$B$28:$O$126,4,FALSE) * (VLOOKUP($B$14,'Annual Parameters'!$B$33:$W$104,3,FALSE) / VLOOKUP('VoC Fuel'!$B$14,'Annual Parameters'!$B$33:$W$104,3,FALSE))))</f>
        <v>46.37706219646185</v>
      </c>
      <c r="F116" s="2160">
        <f>IF(ISERROR(VLOOKUP($B116,'VoC Fuel'!$B$28:$O$126,1,FALSE)),"",IF(VLOOKUP($B116,'VoC Fuel'!$B$28:$O$126,5,FALSE)="","",VLOOKUP($B116,'VoC Fuel'!$B$28:$O$126,5,FALSE) * (VLOOKUP($B$14,'Annual Parameters'!$B$33:$W$104,3,FALSE) / VLOOKUP('VoC Fuel'!$B$14,'Annual Parameters'!$B$33:$W$104,3,FALSE))))</f>
        <v>40.832242223684588</v>
      </c>
      <c r="G116" s="1654">
        <f>IF(ISERROR(VLOOKUP($B116,'VoC Fuel'!$B$28:$O$126,1,FALSE)),"",IF(VLOOKUP($B116,'VoC Fuel'!$B$28:$O$126,6,FALSE)="","",VLOOKUP($B116,'VoC Fuel'!$B$28:$O$126,6,FALSE) * (VLOOKUP($B$14,'Annual Parameters'!$B$33:$W$104,3,FALSE) / VLOOKUP('VoC Fuel'!$B$14,'Annual Parameters'!$B$33:$W$104,3,FALSE))))</f>
        <v>15.487670797843426</v>
      </c>
      <c r="H116" s="1590">
        <f>IF(ISERROR(VLOOKUP($B116,'VoC Fuel'!$B$28:$O$126,1,FALSE)),"",IF(VLOOKUP($B116,'VoC Fuel'!$B$28:$O$126,7,FALSE)="","",VLOOKUP($B116,'VoC Fuel'!$B$28:$O$126,7,FALSE) * (VLOOKUP($B$14,'Annual Parameters'!$B$33:$W$104,3,FALSE) / VLOOKUP('VoC Fuel'!$B$14,'Annual Parameters'!$B$33:$W$104,3,FALSE))))</f>
        <v>11.045016676639516</v>
      </c>
      <c r="I116" s="1654">
        <f>IF(ISERROR(VLOOKUP($B116,'VoC Fuel'!$B$28:$O$126,1,FALSE)),"",IF(VLOOKUP($B116,'VoC Fuel'!$B$28:$O$126,8,FALSE)="","",VLOOKUP($B116,'VoC Fuel'!$B$28:$O$126,8,FALSE) * (VLOOKUP($B$14,'Annual Parameters'!$B$33:$W$104,3,FALSE) / VLOOKUP('VoC Fuel'!$B$14,'Annual Parameters'!$B$33:$W$104,3,FALSE))))</f>
        <v>90.600962862553317</v>
      </c>
      <c r="J116" s="1654">
        <f>IF(ISERROR(VLOOKUP($B116,'VoC Fuel'!$B$28:$O$126,1,FALSE)),"",IF(VLOOKUP($B116,'VoC Fuel'!$B$28:$O$126,9,FALSE)="","",VLOOKUP($B116,'VoC Fuel'!$B$28:$O$126,9,FALSE) * (VLOOKUP($B$14,'Annual Parameters'!$B$33:$W$104,3,FALSE) / VLOOKUP('VoC Fuel'!$B$14,'Annual Parameters'!$B$33:$W$104,3,FALSE))))</f>
        <v>90.600962862553317</v>
      </c>
      <c r="K116" s="1654">
        <f>IF(ISERROR(VLOOKUP($B116,'VoC Fuel'!$B$28:$O$126,1,FALSE)),"",IF(VLOOKUP($B116,'VoC Fuel'!$B$28:$O$126,10,FALSE)="","",VLOOKUP($B116,'VoC Fuel'!$B$28:$O$126,10,FALSE) * (VLOOKUP($B$14,'Annual Parameters'!$B$33:$W$104,3,FALSE) / VLOOKUP('VoC Fuel'!$B$14,'Annual Parameters'!$B$33:$W$104,3,FALSE))))</f>
        <v>17.416647563224238</v>
      </c>
      <c r="L116" s="1257">
        <f>IF(ISERROR(VLOOKUP($B116,'VoC Fuel'!$B$28:$O$126,1,FALSE)),"",IF(VLOOKUP($B116,'VoC Fuel'!$B$28:$O$126,11,FALSE)="","",VLOOKUP($B116,'VoC Fuel'!$B$28:$O$126,11,FALSE) * (VLOOKUP($B$14,'Annual Parameters'!$B$33:$W$104,3,FALSE) / VLOOKUP('VoC Fuel'!$B$14,'Annual Parameters'!$B$33:$W$104,3,FALSE))))</f>
        <v>0</v>
      </c>
      <c r="M116" s="1256">
        <f>IF(ISERROR(VLOOKUP($B116,'VoC Fuel'!$B$28:$O$126,1,FALSE)),"",IF(VLOOKUP(B116,'VoC Fuel'!$B$28:$O$126,12,FALSE)="","",VLOOKUP(B116,'VoC Fuel'!$B$28:$O$126,12,FALSE)))</f>
        <v>20</v>
      </c>
      <c r="N116" s="1256">
        <f>IF(ISERROR(VLOOKUP($B116,'VoC Fuel'!$B$28:$O$126,1,FALSE)),"",IF(VLOOKUP($B116,'VoC Fuel'!$B$28:$O$126,13,FALSE)="","",VLOOKUP($B116,'VoC Fuel'!$B$28:$O$126,13,FALSE)))</f>
        <v>20</v>
      </c>
      <c r="O116" s="1256">
        <f>IF(ISERROR(VLOOKUP($B116,'VoC Fuel'!$B$28:$O$126,1,FALSE)),"",IF(VLOOKUP($B116,'VoC Fuel'!$B$28:$O$126,14,FALSE)="","",VLOOKUP($B116,'VoC Fuel'!$B$28:$O$126,14,FALSE)))</f>
        <v>5</v>
      </c>
    </row>
    <row r="117" spans="1:15" ht="13.5" customHeight="1">
      <c r="B117" s="1589">
        <f t="shared" si="2"/>
        <v>2099</v>
      </c>
      <c r="C117" s="147"/>
      <c r="D117" s="51">
        <f>IF(ISERROR(VLOOKUP($B117,'VoC Fuel'!$B$28:$O$126,1,FALSE)),"",IF(VLOOKUP($B117,'VoC Fuel'!$B$28:$O$126,3,FALSE)="","",VLOOKUP($B117,'VoC Fuel'!$B$28:$O$126,3,FALSE) * (VLOOKUP($B$14,'Annual Parameters'!$B$33:$W$104,3,FALSE) / VLOOKUP('VoC Fuel'!$B$14,'Annual Parameters'!$B$33:$W$104,3,FALSE))))</f>
        <v>42.415831094542135</v>
      </c>
      <c r="E117" s="2158">
        <f>IF(ISERROR(VLOOKUP($B117,'VoC Fuel'!$B$28:$O$126,1,FALSE)),"",IF(VLOOKUP($B117,'VoC Fuel'!$B$28:$O$126,4,FALSE)="","",VLOOKUP($B117,'VoC Fuel'!$B$28:$O$126,4,FALSE) * (VLOOKUP($B$14,'Annual Parameters'!$B$33:$W$104,3,FALSE) / VLOOKUP('VoC Fuel'!$B$14,'Annual Parameters'!$B$33:$W$104,3,FALSE))))</f>
        <v>46.37706219646185</v>
      </c>
      <c r="F117" s="2160">
        <f>IF(ISERROR(VLOOKUP($B117,'VoC Fuel'!$B$28:$O$126,1,FALSE)),"",IF(VLOOKUP($B117,'VoC Fuel'!$B$28:$O$126,5,FALSE)="","",VLOOKUP($B117,'VoC Fuel'!$B$28:$O$126,5,FALSE) * (VLOOKUP($B$14,'Annual Parameters'!$B$33:$W$104,3,FALSE) / VLOOKUP('VoC Fuel'!$B$14,'Annual Parameters'!$B$33:$W$104,3,FALSE))))</f>
        <v>40.832242223684588</v>
      </c>
      <c r="G117" s="1654">
        <f>IF(ISERROR(VLOOKUP($B117,'VoC Fuel'!$B$28:$O$126,1,FALSE)),"",IF(VLOOKUP($B117,'VoC Fuel'!$B$28:$O$126,6,FALSE)="","",VLOOKUP($B117,'VoC Fuel'!$B$28:$O$126,6,FALSE) * (VLOOKUP($B$14,'Annual Parameters'!$B$33:$W$104,3,FALSE) / VLOOKUP('VoC Fuel'!$B$14,'Annual Parameters'!$B$33:$W$104,3,FALSE))))</f>
        <v>15.487670797843426</v>
      </c>
      <c r="H117" s="1590">
        <f>IF(ISERROR(VLOOKUP($B117,'VoC Fuel'!$B$28:$O$126,1,FALSE)),"",IF(VLOOKUP($B117,'VoC Fuel'!$B$28:$O$126,7,FALSE)="","",VLOOKUP($B117,'VoC Fuel'!$B$28:$O$126,7,FALSE) * (VLOOKUP($B$14,'Annual Parameters'!$B$33:$W$104,3,FALSE) / VLOOKUP('VoC Fuel'!$B$14,'Annual Parameters'!$B$33:$W$104,3,FALSE))))</f>
        <v>11.045016676639516</v>
      </c>
      <c r="I117" s="1654">
        <f>IF(ISERROR(VLOOKUP($B117,'VoC Fuel'!$B$28:$O$126,1,FALSE)),"",IF(VLOOKUP($B117,'VoC Fuel'!$B$28:$O$126,8,FALSE)="","",VLOOKUP($B117,'VoC Fuel'!$B$28:$O$126,8,FALSE) * (VLOOKUP($B$14,'Annual Parameters'!$B$33:$W$104,3,FALSE) / VLOOKUP('VoC Fuel'!$B$14,'Annual Parameters'!$B$33:$W$104,3,FALSE))))</f>
        <v>91.220910800029273</v>
      </c>
      <c r="J117" s="1654">
        <f>IF(ISERROR(VLOOKUP($B117,'VoC Fuel'!$B$28:$O$126,1,FALSE)),"",IF(VLOOKUP($B117,'VoC Fuel'!$B$28:$O$126,9,FALSE)="","",VLOOKUP($B117,'VoC Fuel'!$B$28:$O$126,9,FALSE) * (VLOOKUP($B$14,'Annual Parameters'!$B$33:$W$104,3,FALSE) / VLOOKUP('VoC Fuel'!$B$14,'Annual Parameters'!$B$33:$W$104,3,FALSE))))</f>
        <v>91.220910800029273</v>
      </c>
      <c r="K117" s="1654">
        <f>IF(ISERROR(VLOOKUP($B117,'VoC Fuel'!$B$28:$O$126,1,FALSE)),"",IF(VLOOKUP($B117,'VoC Fuel'!$B$28:$O$126,10,FALSE)="","",VLOOKUP($B117,'VoC Fuel'!$B$28:$O$126,10,FALSE) * (VLOOKUP($B$14,'Annual Parameters'!$B$33:$W$104,3,FALSE) / VLOOKUP('VoC Fuel'!$B$14,'Annual Parameters'!$B$33:$W$104,3,FALSE))))</f>
        <v>17.535823059746789</v>
      </c>
      <c r="L117" s="1257">
        <f>IF(ISERROR(VLOOKUP($B117,'VoC Fuel'!$B$28:$O$126,1,FALSE)),"",IF(VLOOKUP($B117,'VoC Fuel'!$B$28:$O$126,11,FALSE)="","",VLOOKUP($B117,'VoC Fuel'!$B$28:$O$126,11,FALSE) * (VLOOKUP($B$14,'Annual Parameters'!$B$33:$W$104,3,FALSE) / VLOOKUP('VoC Fuel'!$B$14,'Annual Parameters'!$B$33:$W$104,3,FALSE))))</f>
        <v>0</v>
      </c>
      <c r="M117" s="1256">
        <f>IF(ISERROR(VLOOKUP($B117,'VoC Fuel'!$B$28:$O$126,1,FALSE)),"",IF(VLOOKUP(B117,'VoC Fuel'!$B$28:$O$126,12,FALSE)="","",VLOOKUP(B117,'VoC Fuel'!$B$28:$O$126,12,FALSE)))</f>
        <v>20</v>
      </c>
      <c r="N117" s="1256">
        <f>IF(ISERROR(VLOOKUP($B117,'VoC Fuel'!$B$28:$O$126,1,FALSE)),"",IF(VLOOKUP($B117,'VoC Fuel'!$B$28:$O$126,13,FALSE)="","",VLOOKUP($B117,'VoC Fuel'!$B$28:$O$126,13,FALSE)))</f>
        <v>20</v>
      </c>
      <c r="O117" s="1256">
        <f>IF(ISERROR(VLOOKUP($B117,'VoC Fuel'!$B$28:$O$126,1,FALSE)),"",IF(VLOOKUP($B117,'VoC Fuel'!$B$28:$O$126,14,FALSE)="","",VLOOKUP($B117,'VoC Fuel'!$B$28:$O$126,14,FALSE)))</f>
        <v>5</v>
      </c>
    </row>
    <row r="118" spans="1:15" ht="13.5" customHeight="1">
      <c r="B118" s="1589">
        <f>B117+1</f>
        <v>2100</v>
      </c>
      <c r="C118" s="147"/>
      <c r="D118" s="51">
        <f>IF(ISERROR(VLOOKUP($B118,'VoC Fuel'!$B$28:$O$126,1,FALSE)),"",IF(VLOOKUP($B118,'VoC Fuel'!$B$28:$O$126,3,FALSE)="","",VLOOKUP($B118,'VoC Fuel'!$B$28:$O$126,3,FALSE) * (VLOOKUP($B$14,'Annual Parameters'!$B$33:$W$104,3,FALSE) / VLOOKUP('VoC Fuel'!$B$14,'Annual Parameters'!$B$33:$W$104,3,FALSE))))</f>
        <v>42.415831094542135</v>
      </c>
      <c r="E118" s="2158">
        <f>IF(ISERROR(VLOOKUP($B118,'VoC Fuel'!$B$28:$O$126,1,FALSE)),"",IF(VLOOKUP($B118,'VoC Fuel'!$B$28:$O$126,4,FALSE)="","",VLOOKUP($B118,'VoC Fuel'!$B$28:$O$126,4,FALSE) * (VLOOKUP($B$14,'Annual Parameters'!$B$33:$W$104,3,FALSE) / VLOOKUP('VoC Fuel'!$B$14,'Annual Parameters'!$B$33:$W$104,3,FALSE))))</f>
        <v>46.37706219646185</v>
      </c>
      <c r="F118" s="2160">
        <f>IF(ISERROR(VLOOKUP($B118,'VoC Fuel'!$B$28:$O$126,1,FALSE)),"",IF(VLOOKUP($B118,'VoC Fuel'!$B$28:$O$126,5,FALSE)="","",VLOOKUP($B118,'VoC Fuel'!$B$28:$O$126,5,FALSE) * (VLOOKUP($B$14,'Annual Parameters'!$B$33:$W$104,3,FALSE) / VLOOKUP('VoC Fuel'!$B$14,'Annual Parameters'!$B$33:$W$104,3,FALSE))))</f>
        <v>40.832242223684588</v>
      </c>
      <c r="G118" s="1654">
        <f>IF(ISERROR(VLOOKUP($B118,'VoC Fuel'!$B$28:$O$126,1,FALSE)),"",IF(VLOOKUP($B118,'VoC Fuel'!$B$28:$O$126,6,FALSE)="","",VLOOKUP($B118,'VoC Fuel'!$B$28:$O$126,6,FALSE) * (VLOOKUP($B$14,'Annual Parameters'!$B$33:$W$104,3,FALSE) / VLOOKUP('VoC Fuel'!$B$14,'Annual Parameters'!$B$33:$W$104,3,FALSE))))</f>
        <v>15.487670797843426</v>
      </c>
      <c r="H118" s="1590">
        <f>IF(ISERROR(VLOOKUP($B118,'VoC Fuel'!$B$28:$O$126,1,FALSE)),"",IF(VLOOKUP($B118,'VoC Fuel'!$B$28:$O$126,7,FALSE)="","",VLOOKUP($B118,'VoC Fuel'!$B$28:$O$126,7,FALSE) * (VLOOKUP($B$14,'Annual Parameters'!$B$33:$W$104,3,FALSE) / VLOOKUP('VoC Fuel'!$B$14,'Annual Parameters'!$B$33:$W$104,3,FALSE))))</f>
        <v>11.045016676639516</v>
      </c>
      <c r="I118" s="1654">
        <f>IF(ISERROR(VLOOKUP($B118,'VoC Fuel'!$B$28:$O$126,1,FALSE)),"",IF(VLOOKUP($B118,'VoC Fuel'!$B$28:$O$126,8,FALSE)="","",VLOOKUP($B118,'VoC Fuel'!$B$28:$O$126,8,FALSE) * (VLOOKUP($B$14,'Annual Parameters'!$B$33:$W$104,3,FALSE) / VLOOKUP('VoC Fuel'!$B$14,'Annual Parameters'!$B$33:$W$104,3,FALSE))))</f>
        <v>91.845100805503577</v>
      </c>
      <c r="J118" s="1654">
        <f>IF(ISERROR(VLOOKUP($B118,'VoC Fuel'!$B$28:$O$126,1,FALSE)),"",IF(VLOOKUP($B118,'VoC Fuel'!$B$28:$O$126,9,FALSE)="","",VLOOKUP($B118,'VoC Fuel'!$B$28:$O$126,9,FALSE) * (VLOOKUP($B$14,'Annual Parameters'!$B$33:$W$104,3,FALSE) / VLOOKUP('VoC Fuel'!$B$14,'Annual Parameters'!$B$33:$W$104,3,FALSE))))</f>
        <v>91.845100805503577</v>
      </c>
      <c r="K118" s="1654">
        <f>IF(ISERROR(VLOOKUP($B118,'VoC Fuel'!$B$28:$O$126,1,FALSE)),"",IF(VLOOKUP($B118,'VoC Fuel'!$B$28:$O$126,10,FALSE)="","",VLOOKUP($B118,'VoC Fuel'!$B$28:$O$126,10,FALSE) * (VLOOKUP($B$14,'Annual Parameters'!$B$33:$W$104,3,FALSE) / VLOOKUP('VoC Fuel'!$B$14,'Annual Parameters'!$B$33:$W$104,3,FALSE))))</f>
        <v>17.655814028875071</v>
      </c>
      <c r="L118" s="1257">
        <f>IF(ISERROR(VLOOKUP($B118,'VoC Fuel'!$B$28:$O$126,1,FALSE)),"",IF(VLOOKUP($B118,'VoC Fuel'!$B$28:$O$126,11,FALSE)="","",VLOOKUP($B118,'VoC Fuel'!$B$28:$O$126,11,FALSE) * (VLOOKUP($B$14,'Annual Parameters'!$B$33:$W$104,3,FALSE) / VLOOKUP('VoC Fuel'!$B$14,'Annual Parameters'!$B$33:$W$104,3,FALSE))))</f>
        <v>0</v>
      </c>
      <c r="M118" s="1256">
        <f>IF(ISERROR(VLOOKUP($B118,'VoC Fuel'!$B$28:$O$126,1,FALSE)),"",IF(VLOOKUP(B118,'VoC Fuel'!$B$28:$O$126,12,FALSE)="","",VLOOKUP(B118,'VoC Fuel'!$B$28:$O$126,12,FALSE)))</f>
        <v>20</v>
      </c>
      <c r="N118" s="1256">
        <f>IF(ISERROR(VLOOKUP($B118,'VoC Fuel'!$B$28:$O$126,1,FALSE)),"",IF(VLOOKUP($B118,'VoC Fuel'!$B$28:$O$126,13,FALSE)="","",VLOOKUP($B118,'VoC Fuel'!$B$28:$O$126,13,FALSE)))</f>
        <v>20</v>
      </c>
      <c r="O118" s="1256">
        <f>IF(ISERROR(VLOOKUP($B118,'VoC Fuel'!$B$28:$O$126,1,FALSE)),"",IF(VLOOKUP($B118,'VoC Fuel'!$B$28:$O$126,14,FALSE)="","",VLOOKUP($B118,'VoC Fuel'!$B$28:$O$126,14,FALSE)))</f>
        <v>5</v>
      </c>
    </row>
    <row r="119" spans="1:15" ht="13.5" customHeight="1" thickBot="1">
      <c r="A119" s="13"/>
      <c r="B119" s="492"/>
      <c r="C119" s="168"/>
      <c r="D119" s="949"/>
      <c r="E119" s="942"/>
      <c r="F119" s="950"/>
      <c r="G119" s="2159"/>
      <c r="H119" s="1591"/>
      <c r="I119" s="1165"/>
      <c r="J119" s="950"/>
      <c r="K119" s="950"/>
      <c r="L119" s="943"/>
      <c r="M119" s="942"/>
      <c r="N119" s="950"/>
      <c r="O119" s="943"/>
    </row>
    <row r="120" spans="1:15" ht="13.5" customHeight="1" thickTop="1" thickBot="1">
      <c r="B120" s="26"/>
      <c r="C120" s="26"/>
      <c r="D120" s="26"/>
      <c r="E120" s="26"/>
      <c r="F120" s="26"/>
      <c r="G120" s="26"/>
      <c r="H120" s="26"/>
      <c r="I120" s="26"/>
      <c r="J120" s="26"/>
      <c r="K120" s="26"/>
      <c r="L120" s="26"/>
      <c r="M120" s="26"/>
      <c r="N120" s="26"/>
    </row>
    <row r="121" spans="1:15" ht="13.5" customHeight="1" thickBot="1">
      <c r="B121" s="31"/>
      <c r="D121" s="2414" t="s">
        <v>1489</v>
      </c>
    </row>
  </sheetData>
  <sheetProtection sheet="1" objects="1" scenarios="1"/>
  <mergeCells count="7">
    <mergeCell ref="B24:B27"/>
    <mergeCell ref="A7:B7"/>
    <mergeCell ref="A8:B8"/>
    <mergeCell ref="A10:B10"/>
    <mergeCell ref="A12:B12"/>
    <mergeCell ref="A18:B18"/>
    <mergeCell ref="A11:B11"/>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D121" location="A1.3.7!D28" tooltip="Top of this page" display="Top"/>
    <hyperlink ref="H7" r:id="rId3" display="BEIS, 2018"/>
    <hyperlink ref="H8" r:id="rId4" display="BEIS, 2018"/>
    <hyperlink ref="H9" r:id="rId5"/>
  </hyperlinks>
  <pageMargins left="0.75" right="0.75" top="1" bottom="1" header="0.5" footer="0.5"/>
  <pageSetup paperSize="9" scale="51" fitToHeight="0" orientation="landscape" r:id="rId6"/>
  <headerFooter alignWithMargins="0"/>
  <colBreaks count="1" manualBreakCount="1">
    <brk id="15" max="1048575" man="1"/>
  </colBreaks>
  <drawing r:id="rId7"/>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indexed="10"/>
  </sheetPr>
  <dimension ref="A1:V128"/>
  <sheetViews>
    <sheetView showGridLines="0" topLeftCell="A8" zoomScale="70" zoomScaleNormal="70" workbookViewId="0">
      <selection activeCell="E23" sqref="E23:F23"/>
    </sheetView>
  </sheetViews>
  <sheetFormatPr defaultColWidth="12.88671875" defaultRowHeight="13.5" customHeight="1"/>
  <cols>
    <col min="1" max="1" width="22.109375" style="317" customWidth="1"/>
    <col min="2" max="6" width="12.88671875" style="317"/>
    <col min="7" max="7" width="14.6640625" style="317" customWidth="1"/>
    <col min="8" max="10" width="12.88671875" style="317"/>
    <col min="11" max="11" width="14.6640625" style="317" customWidth="1"/>
    <col min="12" max="16384" width="12.88671875" style="317"/>
  </cols>
  <sheetData>
    <row r="1" spans="1:22" ht="54.9" customHeight="1"/>
    <row r="2" spans="1:22" s="319" customFormat="1" ht="5.0999999999999996" customHeight="1"/>
    <row r="3" spans="1:22" s="319" customFormat="1" ht="20.100000000000001" customHeight="1">
      <c r="A3" s="300" t="s">
        <v>2243</v>
      </c>
    </row>
    <row r="4" spans="1:22" s="322" customFormat="1" ht="20.100000000000001" customHeight="1" thickBot="1">
      <c r="A4" s="529" t="s">
        <v>283</v>
      </c>
      <c r="B4" s="320"/>
      <c r="C4" s="320"/>
      <c r="D4" s="320"/>
      <c r="E4" s="320"/>
      <c r="F4" s="320"/>
      <c r="G4" s="320"/>
      <c r="H4" s="320"/>
      <c r="I4" s="320"/>
      <c r="J4" s="320"/>
      <c r="K4" s="320"/>
      <c r="L4" s="320"/>
      <c r="M4" s="320"/>
      <c r="N4" s="320"/>
      <c r="O4" s="320"/>
      <c r="P4" s="320"/>
      <c r="Q4" s="320"/>
      <c r="R4" s="320"/>
      <c r="S4" s="320"/>
    </row>
    <row r="5" spans="1:22" ht="9.9" customHeight="1" thickTop="1" thickBot="1">
      <c r="T5" s="322"/>
    </row>
    <row r="6" spans="1:22" s="38" customFormat="1" ht="13.5" customHeight="1" thickTop="1">
      <c r="A6" s="169" t="s">
        <v>10</v>
      </c>
      <c r="B6" s="169"/>
      <c r="E6" s="174" t="s">
        <v>255</v>
      </c>
      <c r="F6" s="667"/>
      <c r="G6" s="328"/>
      <c r="H6" s="328"/>
      <c r="I6" s="328"/>
      <c r="J6" s="328"/>
      <c r="K6" s="328"/>
      <c r="L6" s="328"/>
      <c r="M6" s="328"/>
      <c r="N6" s="328"/>
      <c r="O6" s="328"/>
      <c r="P6" s="328"/>
      <c r="Q6" s="328"/>
      <c r="R6" s="328"/>
      <c r="S6" s="225"/>
      <c r="T6" s="97"/>
      <c r="U6" s="97"/>
      <c r="V6" s="26"/>
    </row>
    <row r="7" spans="1:22" s="38" customFormat="1" ht="13.5" customHeight="1">
      <c r="A7" s="3644" t="str">
        <f>Audit!A12</f>
        <v>May 2019 v1.12</v>
      </c>
      <c r="B7" s="3651"/>
      <c r="D7" s="147"/>
      <c r="E7" s="245" t="s">
        <v>778</v>
      </c>
      <c r="F7" s="245" t="s">
        <v>819</v>
      </c>
      <c r="G7" s="240"/>
      <c r="H7" s="3176" t="s">
        <v>2141</v>
      </c>
      <c r="I7" s="2619" t="s">
        <v>1757</v>
      </c>
      <c r="J7" s="26"/>
      <c r="K7" s="26"/>
      <c r="L7" s="26"/>
      <c r="M7" s="26"/>
      <c r="N7" s="26"/>
      <c r="O7" s="26"/>
      <c r="P7" s="26"/>
      <c r="Q7" s="26"/>
      <c r="R7" s="26"/>
      <c r="S7" s="147"/>
      <c r="T7" s="26"/>
      <c r="U7" s="26"/>
      <c r="V7" s="26"/>
    </row>
    <row r="8" spans="1:22" s="38" customFormat="1" ht="13.5" customHeight="1">
      <c r="A8" s="3646">
        <f>Audit!C12</f>
        <v>43586</v>
      </c>
      <c r="B8" s="3651"/>
      <c r="C8" s="321"/>
      <c r="D8" s="412"/>
      <c r="E8" s="240"/>
      <c r="F8" s="245" t="s">
        <v>128</v>
      </c>
      <c r="G8" s="240"/>
      <c r="H8" s="3176" t="s">
        <v>2141</v>
      </c>
      <c r="I8" s="2619" t="s">
        <v>1758</v>
      </c>
      <c r="J8" s="26"/>
      <c r="K8" s="26"/>
      <c r="L8" s="26"/>
      <c r="M8" s="26"/>
      <c r="N8" s="26"/>
      <c r="O8" s="26"/>
      <c r="P8" s="26"/>
      <c r="Q8" s="26"/>
      <c r="R8" s="26"/>
      <c r="S8" s="147"/>
      <c r="T8" s="26"/>
      <c r="U8" s="26"/>
      <c r="V8" s="26"/>
    </row>
    <row r="9" spans="1:22" s="38" customFormat="1" ht="13.5" customHeight="1" thickBot="1">
      <c r="A9" s="172" t="s">
        <v>14</v>
      </c>
      <c r="B9" s="173"/>
      <c r="D9" s="412"/>
      <c r="F9" s="28" t="s">
        <v>581</v>
      </c>
      <c r="H9" s="3176" t="s">
        <v>2141</v>
      </c>
      <c r="I9" s="335" t="s">
        <v>1820</v>
      </c>
      <c r="J9" s="26"/>
      <c r="K9" s="26"/>
      <c r="L9" s="26"/>
      <c r="M9" s="26"/>
      <c r="N9" s="26"/>
      <c r="O9" s="26"/>
      <c r="P9" s="26"/>
      <c r="Q9" s="26"/>
      <c r="R9" s="26"/>
      <c r="S9" s="147"/>
      <c r="T9" s="26"/>
      <c r="U9" s="26"/>
      <c r="V9" s="26"/>
    </row>
    <row r="10" spans="1:22" s="38" customFormat="1" ht="13.5" customHeight="1" thickBot="1">
      <c r="A10" s="3611" t="s">
        <v>1306</v>
      </c>
      <c r="B10" s="3612"/>
      <c r="D10" s="412"/>
      <c r="E10" s="28" t="s">
        <v>294</v>
      </c>
      <c r="F10" s="2132"/>
      <c r="G10" s="53"/>
      <c r="H10" s="53"/>
      <c r="I10" s="26"/>
      <c r="J10" s="26"/>
      <c r="K10" s="26"/>
      <c r="L10" s="26"/>
      <c r="M10" s="26"/>
      <c r="N10" s="26"/>
      <c r="O10" s="26"/>
      <c r="P10" s="26"/>
      <c r="Q10" s="26"/>
      <c r="R10" s="26"/>
      <c r="S10" s="147"/>
      <c r="T10" s="26"/>
      <c r="U10" s="26"/>
      <c r="V10" s="26"/>
    </row>
    <row r="11" spans="1:22" s="38" customFormat="1" ht="13.5" customHeight="1" thickBot="1">
      <c r="A11" s="3611" t="s">
        <v>2216</v>
      </c>
      <c r="B11" s="3639"/>
      <c r="D11" s="412"/>
      <c r="E11" s="2614" t="s">
        <v>1821</v>
      </c>
      <c r="F11" s="2132"/>
      <c r="G11" s="53"/>
      <c r="H11" s="53"/>
      <c r="I11" s="53"/>
      <c r="J11" s="53"/>
      <c r="K11" s="53"/>
      <c r="L11" s="53"/>
      <c r="M11" s="53"/>
      <c r="N11" s="53"/>
      <c r="O11" s="53"/>
      <c r="P11" s="53"/>
      <c r="Q11" s="53"/>
      <c r="R11" s="53"/>
      <c r="S11" s="379"/>
      <c r="T11" s="53"/>
      <c r="U11" s="53"/>
      <c r="V11" s="26"/>
    </row>
    <row r="12" spans="1:22" s="38" customFormat="1" ht="13.5" customHeight="1" thickBot="1">
      <c r="A12" s="3611" t="s">
        <v>2217</v>
      </c>
      <c r="B12" s="3639"/>
      <c r="D12" s="412"/>
      <c r="E12" s="2614" t="s">
        <v>2142</v>
      </c>
      <c r="F12" s="26"/>
      <c r="G12" s="53"/>
      <c r="H12" s="26"/>
      <c r="I12" s="26"/>
      <c r="J12" s="26"/>
      <c r="K12" s="26"/>
      <c r="L12" s="26"/>
      <c r="M12" s="26"/>
      <c r="N12" s="26"/>
      <c r="O12" s="26"/>
      <c r="P12" s="26"/>
      <c r="Q12" s="26"/>
      <c r="R12" s="26"/>
      <c r="S12" s="147"/>
      <c r="T12" s="26"/>
      <c r="U12" s="26"/>
      <c r="V12" s="26"/>
    </row>
    <row r="13" spans="1:22" s="38" customFormat="1" ht="13.5" customHeight="1">
      <c r="A13" s="172" t="s">
        <v>252</v>
      </c>
      <c r="B13" s="194"/>
      <c r="C13" s="321"/>
      <c r="D13" s="321"/>
      <c r="E13" s="2614" t="s">
        <v>2143</v>
      </c>
      <c r="F13" s="26"/>
      <c r="G13" s="26"/>
      <c r="H13" s="26"/>
      <c r="I13" s="26"/>
      <c r="J13" s="26"/>
      <c r="K13" s="26"/>
      <c r="L13" s="26"/>
      <c r="M13" s="26"/>
      <c r="N13" s="26"/>
      <c r="O13" s="26"/>
      <c r="P13" s="26"/>
      <c r="Q13" s="26"/>
      <c r="R13" s="26"/>
      <c r="S13" s="147"/>
      <c r="T13" s="26"/>
      <c r="U13" s="26"/>
      <c r="V13" s="26"/>
    </row>
    <row r="14" spans="1:22" s="38" customFormat="1" ht="13.5" customHeight="1">
      <c r="A14" s="59" t="s">
        <v>1822</v>
      </c>
      <c r="B14" s="1221">
        <v>2010</v>
      </c>
      <c r="C14" s="321"/>
      <c r="D14" s="321"/>
      <c r="E14" s="2528" t="s">
        <v>2078</v>
      </c>
      <c r="F14" s="237"/>
      <c r="G14" s="237"/>
      <c r="H14" s="237"/>
      <c r="I14" s="237"/>
      <c r="J14" s="237"/>
      <c r="K14" s="237"/>
      <c r="L14" s="3012"/>
      <c r="M14" s="237"/>
      <c r="N14" s="26"/>
      <c r="O14" s="26"/>
      <c r="P14" s="26"/>
      <c r="Q14" s="26"/>
      <c r="R14" s="26"/>
      <c r="S14" s="147"/>
      <c r="T14" s="26"/>
      <c r="U14" s="26"/>
      <c r="V14" s="26"/>
    </row>
    <row r="15" spans="1:22" s="38" customFormat="1" ht="13.5" customHeight="1">
      <c r="A15" s="2619" t="s">
        <v>1484</v>
      </c>
      <c r="B15" s="1221">
        <v>2010</v>
      </c>
      <c r="C15" s="1293"/>
      <c r="D15" s="321"/>
      <c r="E15" s="2528" t="s">
        <v>1823</v>
      </c>
      <c r="F15" s="26"/>
      <c r="G15" s="26"/>
      <c r="H15" s="26"/>
      <c r="I15" s="26"/>
      <c r="J15" s="26"/>
      <c r="K15" s="26"/>
      <c r="L15" s="26"/>
      <c r="M15" s="26"/>
      <c r="N15" s="26"/>
      <c r="O15" s="26"/>
      <c r="P15" s="26"/>
      <c r="Q15" s="26"/>
      <c r="R15" s="26"/>
      <c r="S15" s="147"/>
      <c r="T15" s="26"/>
      <c r="U15" s="26"/>
      <c r="V15" s="26"/>
    </row>
    <row r="16" spans="1:22" s="38" customFormat="1" ht="13.5" customHeight="1">
      <c r="A16" s="2619" t="s">
        <v>2504</v>
      </c>
      <c r="B16" s="1221">
        <v>2018</v>
      </c>
      <c r="C16" s="321"/>
      <c r="D16" s="321"/>
      <c r="E16" s="2614"/>
      <c r="F16" s="26"/>
      <c r="G16" s="26"/>
      <c r="H16" s="26"/>
      <c r="I16" s="26"/>
      <c r="J16" s="26"/>
      <c r="K16" s="26"/>
      <c r="L16" s="26"/>
      <c r="M16" s="26"/>
      <c r="N16" s="26"/>
      <c r="O16" s="26"/>
      <c r="P16" s="26"/>
      <c r="Q16" s="26"/>
      <c r="R16" s="26"/>
      <c r="S16" s="147"/>
      <c r="T16" s="26"/>
      <c r="U16" s="26"/>
      <c r="V16" s="26"/>
    </row>
    <row r="17" spans="1:22" s="38" customFormat="1" ht="13.5" customHeight="1">
      <c r="B17" s="2267"/>
      <c r="C17"/>
      <c r="D17"/>
      <c r="E17" s="265" t="s">
        <v>1114</v>
      </c>
      <c r="F17" s="26"/>
      <c r="G17" s="26"/>
      <c r="H17" s="26"/>
      <c r="I17" s="26"/>
      <c r="J17" s="26"/>
      <c r="K17" s="26"/>
      <c r="L17" s="26"/>
      <c r="M17" s="26"/>
      <c r="N17" s="26"/>
      <c r="O17" s="26"/>
      <c r="P17" s="26"/>
      <c r="Q17" s="26"/>
      <c r="R17" s="26"/>
      <c r="S17" s="147"/>
      <c r="T17" s="26"/>
      <c r="U17" s="26"/>
      <c r="V17" s="26"/>
    </row>
    <row r="18" spans="1:22" s="38" customFormat="1" ht="13.5" customHeight="1" thickBot="1">
      <c r="A18" s="169" t="s">
        <v>253</v>
      </c>
      <c r="B18" s="170"/>
      <c r="C18"/>
      <c r="D18"/>
      <c r="E18" s="259" t="s">
        <v>2244</v>
      </c>
      <c r="F18" s="13"/>
      <c r="G18" s="163"/>
      <c r="H18" s="163"/>
      <c r="I18" s="163"/>
      <c r="J18" s="163"/>
      <c r="K18" s="163"/>
      <c r="L18" s="163"/>
      <c r="M18" s="163"/>
      <c r="N18" s="163"/>
      <c r="O18" s="163"/>
      <c r="P18" s="163"/>
      <c r="Q18" s="163"/>
      <c r="R18" s="163"/>
      <c r="S18" s="382"/>
      <c r="T18" s="26"/>
      <c r="U18" s="26"/>
      <c r="V18" s="26"/>
    </row>
    <row r="19" spans="1:22" s="38" customFormat="1" ht="13.5" customHeight="1" thickTop="1">
      <c r="C19" s="321"/>
      <c r="D19" s="321"/>
      <c r="F19" s="26"/>
      <c r="G19" s="26"/>
      <c r="H19" s="26"/>
      <c r="I19" s="26"/>
      <c r="J19" s="26"/>
      <c r="K19" s="26"/>
      <c r="L19" s="26"/>
      <c r="M19" s="26"/>
      <c r="N19" s="26"/>
      <c r="O19" s="26"/>
      <c r="P19" s="26"/>
      <c r="Q19" s="26"/>
      <c r="R19" s="26"/>
      <c r="S19" s="348"/>
      <c r="T19" s="26"/>
      <c r="U19" s="26"/>
      <c r="V19" s="26"/>
    </row>
    <row r="20" spans="1:22" s="38" customFormat="1" ht="13.5" customHeight="1">
      <c r="C20" s="321"/>
      <c r="D20" s="321"/>
      <c r="T20" s="29"/>
      <c r="U20" s="29"/>
      <c r="V20" s="26"/>
    </row>
    <row r="21" spans="1:22" ht="13.5" customHeight="1">
      <c r="A21" s="3615"/>
      <c r="B21" s="3718"/>
      <c r="U21" s="322"/>
    </row>
    <row r="22" spans="1:22" ht="13.5" customHeight="1" thickBot="1"/>
    <row r="23" spans="1:22" ht="13.5" customHeight="1" thickTop="1" thickBot="1">
      <c r="A23" s="122" t="s">
        <v>709</v>
      </c>
      <c r="B23" s="277"/>
      <c r="C23" s="582"/>
      <c r="D23" s="574" t="str">
        <f>CONCATENATE("Fuel and Electricity Prices and Components (",$B$14," prices)")</f>
        <v>Fuel and Electricity Prices and Components (2010 prices)</v>
      </c>
      <c r="E23" s="574"/>
      <c r="F23" s="574"/>
      <c r="G23" s="574"/>
      <c r="H23" s="574"/>
      <c r="I23" s="574"/>
      <c r="J23" s="574"/>
      <c r="K23" s="574"/>
      <c r="L23" s="574"/>
      <c r="M23" s="574"/>
      <c r="N23" s="574"/>
      <c r="O23" s="378"/>
    </row>
    <row r="24" spans="1:22" ht="13.5" customHeight="1" thickTop="1" thickBot="1">
      <c r="A24" s="170"/>
      <c r="B24" s="3716" t="s">
        <v>1450</v>
      </c>
      <c r="C24" s="293"/>
      <c r="D24" s="588" t="s">
        <v>578</v>
      </c>
      <c r="E24" s="589"/>
      <c r="F24" s="589"/>
      <c r="G24" s="589"/>
      <c r="H24" s="590"/>
      <c r="I24" s="589" t="s">
        <v>284</v>
      </c>
      <c r="J24" s="589"/>
      <c r="K24" s="589"/>
      <c r="L24" s="590"/>
      <c r="M24" s="443" t="s">
        <v>285</v>
      </c>
      <c r="N24" s="443"/>
      <c r="O24" s="591"/>
    </row>
    <row r="25" spans="1:22" ht="13.8" thickTop="1">
      <c r="A25" s="170"/>
      <c r="B25" s="3716"/>
      <c r="C25" s="293"/>
      <c r="D25" s="585" t="s">
        <v>579</v>
      </c>
      <c r="E25" s="2143" t="s">
        <v>580</v>
      </c>
      <c r="F25" s="2150" t="s">
        <v>819</v>
      </c>
      <c r="G25" s="1587" t="s">
        <v>581</v>
      </c>
      <c r="H25" s="1588"/>
      <c r="I25" s="585" t="s">
        <v>579</v>
      </c>
      <c r="J25" s="2156" t="s">
        <v>580</v>
      </c>
      <c r="K25" s="2149" t="s">
        <v>819</v>
      </c>
      <c r="L25" s="586" t="s">
        <v>581</v>
      </c>
      <c r="M25" s="585" t="s">
        <v>579</v>
      </c>
      <c r="N25" s="587" t="s">
        <v>580</v>
      </c>
      <c r="O25" s="586" t="s">
        <v>581</v>
      </c>
    </row>
    <row r="26" spans="1:22" ht="13.5" customHeight="1">
      <c r="A26" s="170"/>
      <c r="B26" s="3716"/>
      <c r="C26" s="293"/>
      <c r="D26" s="170"/>
      <c r="E26" s="173"/>
      <c r="F26" s="2151"/>
      <c r="G26" s="575" t="s">
        <v>583</v>
      </c>
      <c r="H26" s="576" t="s">
        <v>584</v>
      </c>
      <c r="I26" s="2154"/>
      <c r="J26" s="2157"/>
      <c r="K26" s="3013"/>
      <c r="L26" s="2148"/>
      <c r="M26" s="575"/>
      <c r="N26" s="577"/>
      <c r="O26" s="576" t="s">
        <v>583</v>
      </c>
    </row>
    <row r="27" spans="1:22" ht="13.5" customHeight="1" thickBot="1">
      <c r="A27" s="465"/>
      <c r="B27" s="3717"/>
      <c r="C27" s="439"/>
      <c r="D27" s="578" t="s">
        <v>585</v>
      </c>
      <c r="E27" s="755" t="s">
        <v>585</v>
      </c>
      <c r="F27" s="480" t="s">
        <v>585</v>
      </c>
      <c r="G27" s="578" t="s">
        <v>586</v>
      </c>
      <c r="H27" s="579" t="s">
        <v>586</v>
      </c>
      <c r="I27" s="578" t="s">
        <v>585</v>
      </c>
      <c r="J27" s="2155" t="s">
        <v>585</v>
      </c>
      <c r="K27" s="480" t="s">
        <v>585</v>
      </c>
      <c r="L27" s="2147" t="s">
        <v>586</v>
      </c>
      <c r="M27" s="578" t="s">
        <v>587</v>
      </c>
      <c r="N27" s="580" t="s">
        <v>587</v>
      </c>
      <c r="O27" s="579" t="s">
        <v>587</v>
      </c>
    </row>
    <row r="28" spans="1:22" ht="13.5" customHeight="1" thickTop="1">
      <c r="A28" s="38"/>
      <c r="B28" s="14">
        <v>2002</v>
      </c>
      <c r="C28" s="147"/>
      <c r="D28" s="933">
        <v>17.767925768396793</v>
      </c>
      <c r="E28" s="2144">
        <v>18.562027390853622</v>
      </c>
      <c r="F28" s="2152">
        <v>16.388918103491399</v>
      </c>
      <c r="G28" s="944"/>
      <c r="H28" s="945"/>
      <c r="I28" s="946">
        <v>57.593947744491409</v>
      </c>
      <c r="J28" s="946">
        <v>58.841869595035611</v>
      </c>
      <c r="K28" s="2152">
        <v>3.7725328109885599</v>
      </c>
      <c r="L28" s="383"/>
      <c r="M28" s="947">
        <v>17.5</v>
      </c>
      <c r="N28" s="947">
        <v>17.5</v>
      </c>
      <c r="O28" s="383"/>
    </row>
    <row r="29" spans="1:22" ht="13.5" customHeight="1">
      <c r="A29" s="38"/>
      <c r="B29" s="14">
        <v>2003</v>
      </c>
      <c r="C29" s="147"/>
      <c r="D29" s="933">
        <v>20.685527636133482</v>
      </c>
      <c r="E29" s="2144">
        <v>21.096233647409679</v>
      </c>
      <c r="F29" s="2152">
        <v>17.855657651949741</v>
      </c>
      <c r="G29" s="944"/>
      <c r="H29" s="945"/>
      <c r="I29" s="946">
        <v>55.720031561234478</v>
      </c>
      <c r="J29" s="946">
        <v>56.953595409324471</v>
      </c>
      <c r="K29" s="2152">
        <v>4.6460904707234629</v>
      </c>
      <c r="L29" s="383"/>
      <c r="M29" s="947">
        <v>17.5</v>
      </c>
      <c r="N29" s="947">
        <v>17.5</v>
      </c>
      <c r="O29" s="383"/>
    </row>
    <row r="30" spans="1:22" ht="13.5" customHeight="1">
      <c r="A30" s="38"/>
      <c r="B30" s="14">
        <v>2004</v>
      </c>
      <c r="C30" s="147"/>
      <c r="D30" s="933">
        <v>24.402739545625153</v>
      </c>
      <c r="E30" s="2144">
        <v>25.972754801692847</v>
      </c>
      <c r="F30" s="2152">
        <v>19.800687634021351</v>
      </c>
      <c r="G30" s="944"/>
      <c r="H30" s="945"/>
      <c r="I30" s="946">
        <v>54.252475651603234</v>
      </c>
      <c r="J30" s="946">
        <v>54.098501415607316</v>
      </c>
      <c r="K30" s="2152">
        <v>4.9427576311075043</v>
      </c>
      <c r="L30" s="383"/>
      <c r="M30" s="947">
        <v>17.5</v>
      </c>
      <c r="N30" s="947">
        <v>17.5</v>
      </c>
      <c r="O30" s="383"/>
    </row>
    <row r="31" spans="1:22" ht="13.5" customHeight="1">
      <c r="A31" s="38"/>
      <c r="B31" s="14">
        <v>2005</v>
      </c>
      <c r="C31" s="147"/>
      <c r="D31" s="933">
        <v>30.083566167820003</v>
      </c>
      <c r="E31" s="2144">
        <v>33.857566557948388</v>
      </c>
      <c r="F31" s="2152">
        <v>24.995757703324323</v>
      </c>
      <c r="G31" s="944"/>
      <c r="H31" s="945"/>
      <c r="I31" s="946">
        <v>52.934286722813333</v>
      </c>
      <c r="J31" s="946">
        <v>52.756032300507059</v>
      </c>
      <c r="K31" s="2152">
        <v>5.9607222624033618</v>
      </c>
      <c r="L31" s="383"/>
      <c r="M31" s="947">
        <v>17.5</v>
      </c>
      <c r="N31" s="947">
        <v>17.5</v>
      </c>
      <c r="O31" s="383"/>
    </row>
    <row r="32" spans="1:22" ht="13.5" customHeight="1">
      <c r="A32" s="38"/>
      <c r="B32" s="14">
        <v>2006</v>
      </c>
      <c r="C32" s="147"/>
      <c r="D32" s="933">
        <v>33.312025152242136</v>
      </c>
      <c r="E32" s="2144">
        <v>36.804699583461662</v>
      </c>
      <c r="F32" s="2152">
        <v>29.337888138527543</v>
      </c>
      <c r="G32" s="944"/>
      <c r="H32" s="945"/>
      <c r="I32" s="946">
        <v>51.508913315147339</v>
      </c>
      <c r="J32" s="946">
        <v>51.362593545476336</v>
      </c>
      <c r="K32" s="2152">
        <v>7.1206716764520346</v>
      </c>
      <c r="L32" s="383"/>
      <c r="M32" s="947">
        <v>17.5</v>
      </c>
      <c r="N32" s="947">
        <v>17.5</v>
      </c>
      <c r="O32" s="383"/>
    </row>
    <row r="33" spans="1:15" ht="13.5" customHeight="1">
      <c r="A33" s="38"/>
      <c r="B33" s="14">
        <v>2007</v>
      </c>
      <c r="C33" s="147"/>
      <c r="D33" s="933">
        <v>33.338932073673455</v>
      </c>
      <c r="E33" s="2144">
        <v>35.627288177296364</v>
      </c>
      <c r="F33" s="2152">
        <v>27.567890189721979</v>
      </c>
      <c r="G33" s="944"/>
      <c r="H33" s="945"/>
      <c r="I33" s="946">
        <v>52.037462472253431</v>
      </c>
      <c r="J33" s="946">
        <v>51.837348698653507</v>
      </c>
      <c r="K33" s="2152">
        <v>8.6908472024968724</v>
      </c>
      <c r="L33" s="383"/>
      <c r="M33" s="947">
        <v>17.5</v>
      </c>
      <c r="N33" s="947">
        <v>17.5</v>
      </c>
      <c r="O33" s="383"/>
    </row>
    <row r="34" spans="1:15" ht="13.5" customHeight="1">
      <c r="A34" s="38"/>
      <c r="B34" s="14">
        <v>2008</v>
      </c>
      <c r="C34" s="147"/>
      <c r="D34" s="933">
        <v>42.59041255454737</v>
      </c>
      <c r="E34" s="2144">
        <v>51.411616281053718</v>
      </c>
      <c r="F34" s="2152">
        <v>42.19499969710516</v>
      </c>
      <c r="G34" s="944"/>
      <c r="H34" s="945"/>
      <c r="I34" s="946">
        <v>51.940974629469316</v>
      </c>
      <c r="J34" s="946">
        <v>51.940974629469316</v>
      </c>
      <c r="K34" s="2152">
        <v>10.028854849840927</v>
      </c>
      <c r="L34" s="383"/>
      <c r="M34" s="947">
        <v>17.291666666666664</v>
      </c>
      <c r="N34" s="947">
        <v>17.291666666666664</v>
      </c>
      <c r="O34" s="383"/>
    </row>
    <row r="35" spans="1:15" ht="13.5" customHeight="1">
      <c r="A35" s="38"/>
      <c r="B35" s="14">
        <v>2009</v>
      </c>
      <c r="C35" s="147"/>
      <c r="D35" s="933">
        <v>33.235090346222322</v>
      </c>
      <c r="E35" s="2144">
        <v>37.035442859923833</v>
      </c>
      <c r="F35" s="2152">
        <v>31.378355295523633</v>
      </c>
      <c r="G35" s="944"/>
      <c r="H35" s="945"/>
      <c r="I35" s="946">
        <v>54.72151943342412</v>
      </c>
      <c r="J35" s="946">
        <v>54.72151943342412</v>
      </c>
      <c r="K35" s="2152">
        <v>10.619237281354851</v>
      </c>
      <c r="L35" s="383"/>
      <c r="M35" s="947">
        <v>15</v>
      </c>
      <c r="N35" s="947">
        <v>15</v>
      </c>
      <c r="O35" s="415"/>
    </row>
    <row r="36" spans="1:15" ht="13.5" customHeight="1">
      <c r="A36" s="38"/>
      <c r="B36" s="14">
        <v>2010</v>
      </c>
      <c r="C36" s="147"/>
      <c r="D36" s="933">
        <v>42.565921127851439</v>
      </c>
      <c r="E36" s="2144">
        <v>44.306704249000276</v>
      </c>
      <c r="F36" s="2152">
        <v>39.634215182648397</v>
      </c>
      <c r="G36" s="1654">
        <f>VLOOKUP($B36,Electricity,10,FALSE) * VLOOKUP($B$14,Parameters,3,FALSE) / VLOOKUP(Electricity!$B$14,Parameters,3,FALSE)</f>
        <v>11.797816736596864</v>
      </c>
      <c r="H36" s="1590">
        <f>VLOOKUP($B36,Electricity,11,FALSE) * VLOOKUP($B$14,Parameters,3,FALSE) / VLOOKUP(Electricity!$B$14,Parameters,3,FALSE)</f>
        <v>6.7729972159003902</v>
      </c>
      <c r="I36" s="946">
        <v>57.190000000000012</v>
      </c>
      <c r="J36" s="946">
        <v>57.190000000000012</v>
      </c>
      <c r="K36" s="2152">
        <v>10.990000000000002</v>
      </c>
      <c r="L36" s="383">
        <v>0</v>
      </c>
      <c r="M36" s="947">
        <v>17.5</v>
      </c>
      <c r="N36" s="947">
        <v>17.5</v>
      </c>
      <c r="O36" s="431">
        <v>5</v>
      </c>
    </row>
    <row r="37" spans="1:15" ht="13.5" customHeight="1">
      <c r="A37" s="26"/>
      <c r="B37" s="14">
        <v>2011</v>
      </c>
      <c r="C37" s="147"/>
      <c r="D37" s="933">
        <v>52.102154161144306</v>
      </c>
      <c r="E37" s="2144">
        <v>56.315144232512132</v>
      </c>
      <c r="F37" s="2152">
        <v>50.932989415924084</v>
      </c>
      <c r="G37" s="1654">
        <f>VLOOKUP($B37,Electricity,10,FALSE) * VLOOKUP($B$14,Parameters,3,FALSE) / VLOOKUP(Electricity!$B$14,Parameters,3,FALSE)</f>
        <v>12.533042664322595</v>
      </c>
      <c r="H37" s="1590">
        <f>VLOOKUP($B37,Electricity,11,FALSE) * VLOOKUP($B$14,Parameters,3,FALSE) / VLOOKUP(Electricity!$B$14,Parameters,3,FALSE)</f>
        <v>7.0386291007146227</v>
      </c>
      <c r="I37" s="946">
        <v>57.103235039389098</v>
      </c>
      <c r="J37" s="946">
        <v>57.103235039389098</v>
      </c>
      <c r="K37" s="2152">
        <v>10.976674261222774</v>
      </c>
      <c r="L37" s="383">
        <v>0</v>
      </c>
      <c r="M37" s="947">
        <v>20</v>
      </c>
      <c r="N37" s="947">
        <v>20</v>
      </c>
      <c r="O37" s="431">
        <v>5</v>
      </c>
    </row>
    <row r="38" spans="1:15" ht="13.5" customHeight="1">
      <c r="A38" s="38"/>
      <c r="B38" s="14">
        <v>2012</v>
      </c>
      <c r="C38" s="147"/>
      <c r="D38" s="2624">
        <v>53.214416486717745</v>
      </c>
      <c r="E38" s="2625">
        <v>58.197865798302509</v>
      </c>
      <c r="F38" s="2626">
        <v>52.442212113081403</v>
      </c>
      <c r="G38" s="1654">
        <f>VLOOKUP($B38,Electricity,10,FALSE) * VLOOKUP($B$14,Parameters,3,FALSE) / VLOOKUP(Electricity!$B$14,Parameters,3,FALSE)</f>
        <v>13.025877362453688</v>
      </c>
      <c r="H38" s="1590">
        <f>VLOOKUP($B38,Electricity,11,FALSE) * VLOOKUP($B$14,Parameters,3,FALSE) / VLOOKUP(Electricity!$B$14,Parameters,3,FALSE)</f>
        <v>7.6866530276139606</v>
      </c>
      <c r="I38" s="2627">
        <v>55.985295549039542</v>
      </c>
      <c r="J38" s="2627">
        <v>55.985295549039542</v>
      </c>
      <c r="K38" s="2626">
        <v>10.762315658607429</v>
      </c>
      <c r="L38" s="2628">
        <v>0</v>
      </c>
      <c r="M38" s="2993">
        <v>20</v>
      </c>
      <c r="N38" s="2993">
        <v>20</v>
      </c>
      <c r="O38" s="2999">
        <v>5</v>
      </c>
    </row>
    <row r="39" spans="1:15" ht="13.5" customHeight="1">
      <c r="A39" s="38"/>
      <c r="B39" s="14">
        <v>2013</v>
      </c>
      <c r="C39" s="147"/>
      <c r="D39" s="2624">
        <v>51.33771153430942</v>
      </c>
      <c r="E39" s="2625">
        <v>56.007418626083741</v>
      </c>
      <c r="F39" s="2626">
        <v>50.215163209066922</v>
      </c>
      <c r="G39" s="1654">
        <f>VLOOKUP($B39,Electricity,10,FALSE) * VLOOKUP($B$14,Parameters,3,FALSE) / VLOOKUP(Electricity!$B$14,Parameters,3,FALSE)</f>
        <v>13.636396594459857</v>
      </c>
      <c r="H39" s="1590">
        <f>VLOOKUP($B39,Electricity,11,FALSE) * VLOOKUP($B$14,Parameters,3,FALSE) / VLOOKUP(Electricity!$B$14,Parameters,3,FALSE)</f>
        <v>8.4439104890894896</v>
      </c>
      <c r="I39" s="2627">
        <v>54.96007191393349</v>
      </c>
      <c r="J39" s="2627">
        <v>54.96007191393349</v>
      </c>
      <c r="K39" s="2626">
        <v>10.565232115983072</v>
      </c>
      <c r="L39" s="2628">
        <v>0</v>
      </c>
      <c r="M39" s="2993">
        <v>20</v>
      </c>
      <c r="N39" s="2993">
        <v>20</v>
      </c>
      <c r="O39" s="2999">
        <v>5</v>
      </c>
    </row>
    <row r="40" spans="1:15" ht="13.5" customHeight="1">
      <c r="A40" s="38"/>
      <c r="B40" s="14">
        <v>2014</v>
      </c>
      <c r="C40" s="147"/>
      <c r="D40" s="2624">
        <v>45.304349404721584</v>
      </c>
      <c r="E40" s="2625">
        <v>49.665064441400865</v>
      </c>
      <c r="F40" s="2626">
        <v>43.842451524083934</v>
      </c>
      <c r="G40" s="1654">
        <f>VLOOKUP($B40,Electricity,10,FALSE) * VLOOKUP($B$14,Parameters,3,FALSE) / VLOOKUP(Electricity!$B$14,Parameters,3,FALSE)</f>
        <v>13.737428594471226</v>
      </c>
      <c r="H40" s="1590">
        <f>VLOOKUP($B40,Electricity,11,FALSE) * VLOOKUP($B$14,Parameters,3,FALSE) / VLOOKUP(Electricity!$B$14,Parameters,3,FALSE)</f>
        <v>8.5486968336866465</v>
      </c>
      <c r="I40" s="2627">
        <v>54.033427861684352</v>
      </c>
      <c r="J40" s="2627">
        <v>54.033427861684352</v>
      </c>
      <c r="K40" s="2626">
        <v>10.38709898842388</v>
      </c>
      <c r="L40" s="2628">
        <v>0</v>
      </c>
      <c r="M40" s="2993">
        <v>20</v>
      </c>
      <c r="N40" s="2993">
        <v>20</v>
      </c>
      <c r="O40" s="2999">
        <v>5</v>
      </c>
    </row>
    <row r="41" spans="1:15" ht="13.5" customHeight="1">
      <c r="A41" s="38"/>
      <c r="B41" s="14">
        <v>2015</v>
      </c>
      <c r="C41" s="147"/>
      <c r="D41" s="2624">
        <v>32.456792063560407</v>
      </c>
      <c r="E41" s="2625">
        <v>35.091197599034579</v>
      </c>
      <c r="F41" s="2626">
        <v>30.271517374257151</v>
      </c>
      <c r="G41" s="1654">
        <f>VLOOKUP($B41,Electricity,10,FALSE) * VLOOKUP($B$14,Parameters,3,FALSE) / VLOOKUP(Electricity!$B$14,Parameters,3,FALSE)</f>
        <v>13.480534856248983</v>
      </c>
      <c r="H41" s="1590">
        <f>VLOOKUP($B41,Electricity,11,FALSE) * VLOOKUP($B$14,Parameters,3,FALSE) / VLOOKUP(Electricity!$B$14,Parameters,3,FALSE)</f>
        <v>8.6552273188376798</v>
      </c>
      <c r="I41" s="2627">
        <v>53.797384686273993</v>
      </c>
      <c r="J41" s="2627">
        <v>53.797384686273993</v>
      </c>
      <c r="K41" s="2626">
        <v>10.341723302935156</v>
      </c>
      <c r="L41" s="2628">
        <v>0</v>
      </c>
      <c r="M41" s="2993">
        <v>20</v>
      </c>
      <c r="N41" s="2993">
        <v>20</v>
      </c>
      <c r="O41" s="2999">
        <v>5</v>
      </c>
    </row>
    <row r="42" spans="1:15" ht="13.5" customHeight="1" thickBot="1">
      <c r="A42" s="336"/>
      <c r="B42" s="581">
        <v>2016</v>
      </c>
      <c r="C42" s="583"/>
      <c r="D42" s="3003">
        <v>30.110132814873452</v>
      </c>
      <c r="E42" s="3004">
        <v>30.767936355333262</v>
      </c>
      <c r="F42" s="3005">
        <v>26.75709524904665</v>
      </c>
      <c r="G42" s="1654">
        <f>VLOOKUP($B42,Electricity,10,FALSE) * VLOOKUP($B$14,Parameters,3,FALSE) / VLOOKUP(Electricity!$B$14,Parameters,3,FALSE)</f>
        <v>13.26029555210377</v>
      </c>
      <c r="H42" s="1590">
        <f>VLOOKUP($B42,Electricity,11,FALSE) * VLOOKUP($B$14,Parameters,3,FALSE) / VLOOKUP(Electricity!$B$14,Parameters,3,FALSE)</f>
        <v>8.4207303425142506</v>
      </c>
      <c r="I42" s="3006">
        <v>52.731211049877167</v>
      </c>
      <c r="J42" s="3006">
        <v>52.731211049877167</v>
      </c>
      <c r="K42" s="3005">
        <v>10.136767749708914</v>
      </c>
      <c r="L42" s="3007">
        <v>0</v>
      </c>
      <c r="M42" s="3008">
        <v>20</v>
      </c>
      <c r="N42" s="3008">
        <v>20</v>
      </c>
      <c r="O42" s="3009">
        <v>5</v>
      </c>
    </row>
    <row r="43" spans="1:15" ht="13.5" customHeight="1">
      <c r="A43" s="38"/>
      <c r="B43" s="14">
        <v>2017</v>
      </c>
      <c r="C43" s="147"/>
      <c r="D43" s="2135">
        <v>35.95820993645831</v>
      </c>
      <c r="E43" s="2145">
        <v>37.536174066514754</v>
      </c>
      <c r="F43" s="2153">
        <v>32.711954939584203</v>
      </c>
      <c r="G43" s="1654">
        <f>VLOOKUP($B43,Electricity,10,FALSE) * VLOOKUP($B$14,Parameters,3,FALSE) / VLOOKUP(Electricity!$B$14,Parameters,3,FALSE)</f>
        <v>13.754478654820529</v>
      </c>
      <c r="H43" s="1590">
        <f>VLOOKUP($B43,Electricity,11,FALSE) * VLOOKUP($B$14,Parameters,3,FALSE) / VLOOKUP(Electricity!$B$14,Parameters,3,FALSE)</f>
        <v>8.7638776809166306</v>
      </c>
      <c r="I43" s="2136">
        <v>51.588308529035558</v>
      </c>
      <c r="J43" s="2136">
        <v>51.588308529035558</v>
      </c>
      <c r="K43" s="2153">
        <v>9.9170622435454021</v>
      </c>
      <c r="L43" s="2137">
        <v>0</v>
      </c>
      <c r="M43" s="2994">
        <v>20</v>
      </c>
      <c r="N43" s="2994">
        <v>20</v>
      </c>
      <c r="O43" s="3000">
        <v>5</v>
      </c>
    </row>
    <row r="44" spans="1:15" ht="13.5" customHeight="1">
      <c r="A44" s="38"/>
      <c r="B44" s="14">
        <v>2018</v>
      </c>
      <c r="C44" s="147"/>
      <c r="D44" s="2135">
        <v>39.911563742139769</v>
      </c>
      <c r="E44" s="2145">
        <v>43.487379358196272</v>
      </c>
      <c r="F44" s="2153">
        <v>37.846826630036794</v>
      </c>
      <c r="G44" s="1654">
        <f>VLOOKUP($B44,Electricity,10,FALSE) * VLOOKUP($B$14,Parameters,3,FALSE) / VLOOKUP(Electricity!$B$14,Parameters,3,FALSE)</f>
        <v>14.798216040100248</v>
      </c>
      <c r="H44" s="1590">
        <f>VLOOKUP($B44,Electricity,11,FALSE) * VLOOKUP($B$14,Parameters,3,FALSE) / VLOOKUP(Electricity!$B$14,Parameters,3,FALSE)</f>
        <v>10.384220942828593</v>
      </c>
      <c r="I44" s="2136">
        <v>50.471844427945818</v>
      </c>
      <c r="J44" s="2136">
        <v>50.471844427945818</v>
      </c>
      <c r="K44" s="2153">
        <v>9.7024391186767271</v>
      </c>
      <c r="L44" s="2137">
        <v>0</v>
      </c>
      <c r="M44" s="2994">
        <v>20</v>
      </c>
      <c r="N44" s="2994">
        <v>20</v>
      </c>
      <c r="O44" s="3000">
        <v>5</v>
      </c>
    </row>
    <row r="45" spans="1:15" ht="13.5" customHeight="1">
      <c r="A45" s="38"/>
      <c r="B45" s="14">
        <v>2019</v>
      </c>
      <c r="C45" s="147"/>
      <c r="D45" s="2135">
        <v>38.399072425376076</v>
      </c>
      <c r="E45" s="2145">
        <v>41.760936849419394</v>
      </c>
      <c r="F45" s="2153">
        <v>36.115128584028241</v>
      </c>
      <c r="G45" s="1654">
        <f>VLOOKUP($B45,Electricity,10,FALSE) * VLOOKUP($B$14,Parameters,3,FALSE) / VLOOKUP(Electricity!$B$14,Parameters,3,FALSE)</f>
        <v>15.104929800721505</v>
      </c>
      <c r="H45" s="1590">
        <f>VLOOKUP($B45,Electricity,11,FALSE) * VLOOKUP($B$14,Parameters,3,FALSE) / VLOOKUP(Electricity!$B$14,Parameters,3,FALSE)</f>
        <v>10.774472847247253</v>
      </c>
      <c r="I45" s="2136">
        <v>50.676129539198719</v>
      </c>
      <c r="J45" s="2136">
        <v>50.676129539198719</v>
      </c>
      <c r="K45" s="2153">
        <v>9.7417098027036033</v>
      </c>
      <c r="L45" s="2137">
        <v>0</v>
      </c>
      <c r="M45" s="2994">
        <v>20</v>
      </c>
      <c r="N45" s="2994">
        <v>20</v>
      </c>
      <c r="O45" s="3000">
        <v>5</v>
      </c>
    </row>
    <row r="46" spans="1:15" ht="13.5" customHeight="1">
      <c r="A46" s="38"/>
      <c r="B46" s="14">
        <v>2020</v>
      </c>
      <c r="C46" s="147"/>
      <c r="D46" s="2135">
        <v>38.228499098464731</v>
      </c>
      <c r="E46" s="2145">
        <v>41.569544593432752</v>
      </c>
      <c r="F46" s="2153">
        <v>35.932384384174618</v>
      </c>
      <c r="G46" s="1654">
        <f>VLOOKUP($B46,Electricity,10,FALSE) * VLOOKUP($B$14,Parameters,3,FALSE) / VLOOKUP(Electricity!$B$14,Parameters,3,FALSE)</f>
        <v>15.411643561342764</v>
      </c>
      <c r="H46" s="1590">
        <f>VLOOKUP($B46,Electricity,11,FALSE) * VLOOKUP($B$14,Parameters,3,FALSE) / VLOOKUP(Electricity!$B$14,Parameters,3,FALSE)</f>
        <v>10.737968408556574</v>
      </c>
      <c r="I46" s="2136">
        <v>51.281267770185117</v>
      </c>
      <c r="J46" s="2136">
        <v>51.281267770185117</v>
      </c>
      <c r="K46" s="2153">
        <v>9.8580383599631105</v>
      </c>
      <c r="L46" s="2137">
        <v>0</v>
      </c>
      <c r="M46" s="2994">
        <v>20</v>
      </c>
      <c r="N46" s="2994">
        <v>20</v>
      </c>
      <c r="O46" s="3000">
        <v>5</v>
      </c>
    </row>
    <row r="47" spans="1:15" ht="13.5" customHeight="1">
      <c r="A47" s="38"/>
      <c r="B47" s="14">
        <v>2021</v>
      </c>
      <c r="C47" s="147"/>
      <c r="D47" s="2135">
        <v>38.100600765079982</v>
      </c>
      <c r="E47" s="2145">
        <v>41.427574559994433</v>
      </c>
      <c r="F47" s="2153">
        <v>35.801194662479524</v>
      </c>
      <c r="G47" s="1654">
        <f>VLOOKUP($B47,Electricity,10,FALSE) * VLOOKUP($B$14,Parameters,3,FALSE) / VLOOKUP(Electricity!$B$14,Parameters,3,FALSE)</f>
        <v>15.149155626229588</v>
      </c>
      <c r="H47" s="1590">
        <f>VLOOKUP($B47,Electricity,11,FALSE) * VLOOKUP($B$14,Parameters,3,FALSE) / VLOOKUP(Electricity!$B$14,Parameters,3,FALSE)</f>
        <v>10.798438809669305</v>
      </c>
      <c r="I47" s="2136">
        <v>51.843193005431836</v>
      </c>
      <c r="J47" s="2136">
        <v>51.843193005431836</v>
      </c>
      <c r="K47" s="2153">
        <v>9.9660598805955267</v>
      </c>
      <c r="L47" s="2137">
        <v>0</v>
      </c>
      <c r="M47" s="2994">
        <v>20</v>
      </c>
      <c r="N47" s="2994">
        <v>20</v>
      </c>
      <c r="O47" s="3000">
        <v>5</v>
      </c>
    </row>
    <row r="48" spans="1:15" ht="13.5" customHeight="1">
      <c r="A48" s="38"/>
      <c r="B48" s="14">
        <v>2022</v>
      </c>
      <c r="C48" s="147"/>
      <c r="D48" s="2135">
        <v>38.431683488841507</v>
      </c>
      <c r="E48" s="2145">
        <v>41.810620172924615</v>
      </c>
      <c r="F48" s="2153">
        <v>36.199711486733172</v>
      </c>
      <c r="G48" s="1654">
        <f>VLOOKUP($B48,Electricity,10,FALSE) * VLOOKUP($B$14,Parameters,3,FALSE) / VLOOKUP(Electricity!$B$14,Parameters,3,FALSE)</f>
        <v>15.130669172683351</v>
      </c>
      <c r="H48" s="1590">
        <f>VLOOKUP($B48,Electricity,11,FALSE) * VLOOKUP($B$14,Parameters,3,FALSE) / VLOOKUP(Electricity!$B$14,Parameters,3,FALSE)</f>
        <v>10.856622549067138</v>
      </c>
      <c r="I48" s="2136">
        <v>52.383714659626982</v>
      </c>
      <c r="J48" s="2136">
        <v>52.383714659626982</v>
      </c>
      <c r="K48" s="2153">
        <v>10.069966890565048</v>
      </c>
      <c r="L48" s="2137">
        <v>0</v>
      </c>
      <c r="M48" s="2994">
        <v>20</v>
      </c>
      <c r="N48" s="2994">
        <v>20</v>
      </c>
      <c r="O48" s="3000">
        <v>5</v>
      </c>
    </row>
    <row r="49" spans="1:15" ht="13.5" customHeight="1">
      <c r="A49" s="38"/>
      <c r="B49" s="14">
        <v>2023</v>
      </c>
      <c r="C49" s="147"/>
      <c r="D49" s="2135">
        <v>38.936640117923424</v>
      </c>
      <c r="E49" s="2145">
        <v>42.383173468830165</v>
      </c>
      <c r="F49" s="2153">
        <v>36.763318865815599</v>
      </c>
      <c r="G49" s="1654">
        <f>VLOOKUP($B49,Electricity,10,FALSE) * VLOOKUP($B$14,Parameters,3,FALSE) / VLOOKUP(Electricity!$B$14,Parameters,3,FALSE)</f>
        <v>15.247308460416141</v>
      </c>
      <c r="H49" s="1590">
        <f>VLOOKUP($B49,Electricity,11,FALSE) * VLOOKUP($B$14,Parameters,3,FALSE) / VLOOKUP(Electricity!$B$14,Parameters,3,FALSE)</f>
        <v>10.946954001126064</v>
      </c>
      <c r="I49" s="2136">
        <v>52.917170144795705</v>
      </c>
      <c r="J49" s="2136">
        <v>52.917170144795705</v>
      </c>
      <c r="K49" s="2153">
        <v>10.172515537757105</v>
      </c>
      <c r="L49" s="2137">
        <v>0</v>
      </c>
      <c r="M49" s="2994">
        <v>20</v>
      </c>
      <c r="N49" s="2994">
        <v>20</v>
      </c>
      <c r="O49" s="3000">
        <v>5</v>
      </c>
    </row>
    <row r="50" spans="1:15" ht="13.5" customHeight="1">
      <c r="A50" s="38"/>
      <c r="B50" s="14">
        <v>2024</v>
      </c>
      <c r="C50" s="147"/>
      <c r="D50" s="2135">
        <v>39.323216893103279</v>
      </c>
      <c r="E50" s="2145">
        <v>42.826938883011444</v>
      </c>
      <c r="F50" s="2153">
        <v>37.215421461134376</v>
      </c>
      <c r="G50" s="1654">
        <f>VLOOKUP($B50,Electricity,10,FALSE) * VLOOKUP($B$14,Parameters,3,FALSE) / VLOOKUP(Electricity!$B$14,Parameters,3,FALSE)</f>
        <v>15.300778441981725</v>
      </c>
      <c r="H50" s="1590">
        <f>VLOOKUP($B50,Electricity,11,FALSE) * VLOOKUP($B$14,Parameters,3,FALSE) / VLOOKUP(Electricity!$B$14,Parameters,3,FALSE)</f>
        <v>11.020690482613675</v>
      </c>
      <c r="I50" s="2136">
        <v>53.334558327714625</v>
      </c>
      <c r="J50" s="2136">
        <v>53.334558327714625</v>
      </c>
      <c r="K50" s="2153">
        <v>10.252752023653855</v>
      </c>
      <c r="L50" s="2137">
        <v>0</v>
      </c>
      <c r="M50" s="2994">
        <v>20</v>
      </c>
      <c r="N50" s="2994">
        <v>20</v>
      </c>
      <c r="O50" s="3000">
        <v>5</v>
      </c>
    </row>
    <row r="51" spans="1:15" ht="13.5" customHeight="1">
      <c r="A51" s="38"/>
      <c r="B51" s="14">
        <v>2025</v>
      </c>
      <c r="C51" s="147"/>
      <c r="D51" s="2135">
        <v>39.709793668283112</v>
      </c>
      <c r="E51" s="2145">
        <v>43.270704297192772</v>
      </c>
      <c r="F51" s="2153">
        <v>37.667524056453146</v>
      </c>
      <c r="G51" s="1654">
        <f>VLOOKUP($B51,Electricity,10,FALSE) * VLOOKUP($B$14,Parameters,3,FALSE) / VLOOKUP(Electricity!$B$14,Parameters,3,FALSE)</f>
        <v>15.525795414244332</v>
      </c>
      <c r="H51" s="1590">
        <f>VLOOKUP($B51,Electricity,11,FALSE) * VLOOKUP($B$14,Parameters,3,FALSE) / VLOOKUP(Electricity!$B$14,Parameters,3,FALSE)</f>
        <v>11.205132514024696</v>
      </c>
      <c r="I51" s="2136">
        <v>53.800188911766952</v>
      </c>
      <c r="J51" s="2136">
        <v>53.800188911766952</v>
      </c>
      <c r="K51" s="2153">
        <v>10.342262372339665</v>
      </c>
      <c r="L51" s="2137">
        <v>0</v>
      </c>
      <c r="M51" s="2994">
        <v>20</v>
      </c>
      <c r="N51" s="2994">
        <v>20</v>
      </c>
      <c r="O51" s="3000">
        <v>5</v>
      </c>
    </row>
    <row r="52" spans="1:15" ht="13.5" customHeight="1">
      <c r="A52" s="38"/>
      <c r="B52" s="14">
        <v>2026</v>
      </c>
      <c r="C52" s="147"/>
      <c r="D52" s="2135">
        <v>40.482947218642842</v>
      </c>
      <c r="E52" s="2145">
        <v>44.158235125555336</v>
      </c>
      <c r="F52" s="2153">
        <v>38.571729247090694</v>
      </c>
      <c r="G52" s="1654">
        <f>VLOOKUP($B52,Electricity,10,FALSE) * VLOOKUP($B$14,Parameters,3,FALSE) / VLOOKUP(Electricity!$B$14,Parameters,3,FALSE)</f>
        <v>15.644802784560108</v>
      </c>
      <c r="H52" s="1590">
        <f>VLOOKUP($B52,Electricity,11,FALSE) * VLOOKUP($B$14,Parameters,3,FALSE) / VLOOKUP(Electricity!$B$14,Parameters,3,FALSE)</f>
        <v>11.441766668551502</v>
      </c>
      <c r="I52" s="2136">
        <v>54.26887391017565</v>
      </c>
      <c r="J52" s="2136">
        <v>54.26887391017565</v>
      </c>
      <c r="K52" s="2153">
        <v>10.432359885407365</v>
      </c>
      <c r="L52" s="2137">
        <v>0</v>
      </c>
      <c r="M52" s="2994">
        <v>20</v>
      </c>
      <c r="N52" s="2994">
        <v>20</v>
      </c>
      <c r="O52" s="3000">
        <v>5</v>
      </c>
    </row>
    <row r="53" spans="1:15" ht="13.5" customHeight="1">
      <c r="A53" s="38"/>
      <c r="B53" s="14">
        <v>2027</v>
      </c>
      <c r="C53" s="147"/>
      <c r="D53" s="2135">
        <v>40.86952399382271</v>
      </c>
      <c r="E53" s="2145">
        <v>44.602000539736665</v>
      </c>
      <c r="F53" s="2153">
        <v>39.023831842409486</v>
      </c>
      <c r="G53" s="1654">
        <f>VLOOKUP($B53,Electricity,10,FALSE) * VLOOKUP($B$14,Parameters,3,FALSE) / VLOOKUP(Electricity!$B$14,Parameters,3,FALSE)</f>
        <v>15.550107822531766</v>
      </c>
      <c r="H53" s="1590">
        <f>VLOOKUP($B53,Electricity,11,FALSE) * VLOOKUP($B$14,Parameters,3,FALSE) / VLOOKUP(Electricity!$B$14,Parameters,3,FALSE)</f>
        <v>10.988986832794442</v>
      </c>
      <c r="I53" s="2136">
        <v>54.741488208997254</v>
      </c>
      <c r="J53" s="2136">
        <v>54.741488208997254</v>
      </c>
      <c r="K53" s="2153">
        <v>10.523212746302493</v>
      </c>
      <c r="L53" s="2137">
        <v>0</v>
      </c>
      <c r="M53" s="2994">
        <v>20</v>
      </c>
      <c r="N53" s="2994">
        <v>20</v>
      </c>
      <c r="O53" s="3000">
        <v>5</v>
      </c>
    </row>
    <row r="54" spans="1:15" ht="13.5" customHeight="1">
      <c r="A54" s="38"/>
      <c r="B54" s="14">
        <v>2028</v>
      </c>
      <c r="C54" s="147"/>
      <c r="D54" s="2135">
        <v>41.256100769002551</v>
      </c>
      <c r="E54" s="2145">
        <v>45.045765953917972</v>
      </c>
      <c r="F54" s="2153">
        <v>39.475934437728263</v>
      </c>
      <c r="G54" s="1654">
        <f>VLOOKUP($B54,Electricity,10,FALSE) * VLOOKUP($B$14,Parameters,3,FALSE) / VLOOKUP(Electricity!$B$14,Parameters,3,FALSE)</f>
        <v>15.23669146681706</v>
      </c>
      <c r="H54" s="1590">
        <f>VLOOKUP($B54,Electricity,11,FALSE) * VLOOKUP($B$14,Parameters,3,FALSE) / VLOOKUP(Electricity!$B$14,Parameters,3,FALSE)</f>
        <v>10.82111973695485</v>
      </c>
      <c r="I54" s="2136">
        <v>55.218777615499192</v>
      </c>
      <c r="J54" s="2136">
        <v>55.218777615499192</v>
      </c>
      <c r="K54" s="2153">
        <v>10.614964325050234</v>
      </c>
      <c r="L54" s="2137">
        <v>0</v>
      </c>
      <c r="M54" s="2994">
        <v>20</v>
      </c>
      <c r="N54" s="2994">
        <v>20</v>
      </c>
      <c r="O54" s="3000">
        <v>5</v>
      </c>
    </row>
    <row r="55" spans="1:15" ht="13.5" customHeight="1" thickBot="1">
      <c r="A55" s="38"/>
      <c r="B55" s="14">
        <v>2029</v>
      </c>
      <c r="C55" s="147"/>
      <c r="D55" s="2135">
        <v>42.029254319362281</v>
      </c>
      <c r="E55" s="2145">
        <v>45.933296782280571</v>
      </c>
      <c r="F55" s="2153">
        <v>40.380139628365825</v>
      </c>
      <c r="G55" s="1654">
        <f>VLOOKUP($B55,Electricity,10,FALSE) * VLOOKUP($B$14,Parameters,3,FALSE) / VLOOKUP(Electricity!$B$14,Parameters,3,FALSE)</f>
        <v>15.211799302975589</v>
      </c>
      <c r="H55" s="1590">
        <f>VLOOKUP($B55,Electricity,11,FALSE) * VLOOKUP($B$14,Parameters,3,FALSE) / VLOOKUP(Electricity!$B$14,Parameters,3,FALSE)</f>
        <v>11.089092904267284</v>
      </c>
      <c r="I55" s="2136">
        <v>55.701389330049189</v>
      </c>
      <c r="J55" s="2136">
        <v>55.701389330049189</v>
      </c>
      <c r="K55" s="2153">
        <v>10.707739036009459</v>
      </c>
      <c r="L55" s="2137">
        <v>0</v>
      </c>
      <c r="M55" s="2994">
        <v>20</v>
      </c>
      <c r="N55" s="2994">
        <v>20</v>
      </c>
      <c r="O55" s="3000">
        <v>5</v>
      </c>
    </row>
    <row r="56" spans="1:15" ht="13.5" customHeight="1">
      <c r="A56" s="38"/>
      <c r="B56" s="14">
        <v>2030</v>
      </c>
      <c r="C56" s="147"/>
      <c r="D56" s="3010">
        <v>42.415831094542135</v>
      </c>
      <c r="E56" s="3011">
        <v>46.37706219646185</v>
      </c>
      <c r="F56" s="3011">
        <v>40.832242223684588</v>
      </c>
      <c r="G56" s="1654">
        <f>VLOOKUP($B56,Electricity,10,FALSE) * VLOOKUP($B$14,Parameters,3,FALSE) / VLOOKUP(Electricity!$B$14,Parameters,3,FALSE)</f>
        <v>15.487670797843426</v>
      </c>
      <c r="H56" s="1590">
        <f>VLOOKUP($B56,Electricity,11,FALSE) * VLOOKUP($B$14,Parameters,3,FALSE) / VLOOKUP(Electricity!$B$14,Parameters,3,FALSE)</f>
        <v>11.045016676639516</v>
      </c>
      <c r="I56" s="2990">
        <v>56.189722718535066</v>
      </c>
      <c r="J56" s="2136">
        <v>56.189722718535066</v>
      </c>
      <c r="K56" s="2153">
        <v>10.801613651155836</v>
      </c>
      <c r="L56" s="2137">
        <v>0</v>
      </c>
      <c r="M56" s="2994">
        <v>20</v>
      </c>
      <c r="N56" s="2994">
        <v>20</v>
      </c>
      <c r="O56" s="3000">
        <v>5</v>
      </c>
    </row>
    <row r="57" spans="1:15" ht="13.5" customHeight="1">
      <c r="A57" s="38"/>
      <c r="B57" s="14">
        <v>2031</v>
      </c>
      <c r="C57" s="147"/>
      <c r="D57" s="2138">
        <v>42.415831094542135</v>
      </c>
      <c r="E57" s="2146">
        <v>46.37706219646185</v>
      </c>
      <c r="F57" s="2139">
        <v>40.832242223684588</v>
      </c>
      <c r="G57" s="1654">
        <f>VLOOKUP($B57,Electricity,10,FALSE) * VLOOKUP($B$14,Parameters,3,FALSE) / VLOOKUP(Electricity!$B$14,Parameters,3,FALSE)</f>
        <v>15.487670797843426</v>
      </c>
      <c r="H57" s="1590">
        <f>VLOOKUP($B57,Electricity,11,FALSE) * VLOOKUP($B$14,Parameters,3,FALSE) / VLOOKUP(Electricity!$B$14,Parameters,3,FALSE)</f>
        <v>11.045016676639516</v>
      </c>
      <c r="I57" s="2138">
        <v>56.678512612488475</v>
      </c>
      <c r="J57" s="2139">
        <v>56.678512612488475</v>
      </c>
      <c r="K57" s="2139">
        <v>10.895576022487001</v>
      </c>
      <c r="L57" s="2140">
        <v>0</v>
      </c>
      <c r="M57" s="2995">
        <v>20</v>
      </c>
      <c r="N57" s="2996">
        <v>20</v>
      </c>
      <c r="O57" s="3001">
        <v>5</v>
      </c>
    </row>
    <row r="58" spans="1:15" ht="13.5" customHeight="1">
      <c r="A58" s="38"/>
      <c r="B58" s="14">
        <v>2032</v>
      </c>
      <c r="C58" s="147"/>
      <c r="D58" s="2138">
        <v>42.415831094542135</v>
      </c>
      <c r="E58" s="2146">
        <v>46.37706219646185</v>
      </c>
      <c r="F58" s="2139">
        <v>40.832242223684588</v>
      </c>
      <c r="G58" s="1654">
        <f>VLOOKUP($B58,Electricity,10,FALSE) * VLOOKUP($B$14,Parameters,3,FALSE) / VLOOKUP(Electricity!$B$14,Parameters,3,FALSE)</f>
        <v>15.487670797843426</v>
      </c>
      <c r="H58" s="1590">
        <f>VLOOKUP($B58,Electricity,11,FALSE) * VLOOKUP($B$14,Parameters,3,FALSE) / VLOOKUP(Electricity!$B$14,Parameters,3,FALSE)</f>
        <v>11.045016676639516</v>
      </c>
      <c r="I58" s="2138">
        <v>57.16807347416384</v>
      </c>
      <c r="J58" s="2139">
        <v>57.16807347416384</v>
      </c>
      <c r="K58" s="2139">
        <v>10.989686600555395</v>
      </c>
      <c r="L58" s="2140">
        <v>0</v>
      </c>
      <c r="M58" s="2995">
        <v>20</v>
      </c>
      <c r="N58" s="2996">
        <v>20</v>
      </c>
      <c r="O58" s="3001">
        <v>5</v>
      </c>
    </row>
    <row r="59" spans="1:15" ht="13.5" customHeight="1">
      <c r="A59" s="38"/>
      <c r="B59" s="14">
        <v>2033</v>
      </c>
      <c r="C59" s="147"/>
      <c r="D59" s="2138">
        <v>42.415831094542135</v>
      </c>
      <c r="E59" s="2146">
        <v>46.37706219646185</v>
      </c>
      <c r="F59" s="2139">
        <v>40.832242223684588</v>
      </c>
      <c r="G59" s="1654">
        <f>VLOOKUP($B59,Electricity,10,FALSE) * VLOOKUP($B$14,Parameters,3,FALSE) / VLOOKUP(Electricity!$B$14,Parameters,3,FALSE)</f>
        <v>15.487670797843426</v>
      </c>
      <c r="H59" s="1590">
        <f>VLOOKUP($B59,Electricity,11,FALSE) * VLOOKUP($B$14,Parameters,3,FALSE) / VLOOKUP(Electricity!$B$14,Parameters,3,FALSE)</f>
        <v>11.045016676639516</v>
      </c>
      <c r="I59" s="2138">
        <v>57.658678992592073</v>
      </c>
      <c r="J59" s="2139">
        <v>57.658678992592073</v>
      </c>
      <c r="K59" s="2139">
        <v>11.083997997885689</v>
      </c>
      <c r="L59" s="2140">
        <v>0</v>
      </c>
      <c r="M59" s="2995">
        <v>20</v>
      </c>
      <c r="N59" s="2996">
        <v>20</v>
      </c>
      <c r="O59" s="3001">
        <v>5</v>
      </c>
    </row>
    <row r="60" spans="1:15" ht="13.5" customHeight="1">
      <c r="A60" s="38"/>
      <c r="B60" s="14">
        <v>2034</v>
      </c>
      <c r="C60" s="147"/>
      <c r="D60" s="2138">
        <v>42.415831094542135</v>
      </c>
      <c r="E60" s="2146">
        <v>46.37706219646185</v>
      </c>
      <c r="F60" s="2139">
        <v>40.832242223684588</v>
      </c>
      <c r="G60" s="1654">
        <f>VLOOKUP($B60,Electricity,10,FALSE) * VLOOKUP($B$14,Parameters,3,FALSE) / VLOOKUP(Electricity!$B$14,Parameters,3,FALSE)</f>
        <v>15.487670797843426</v>
      </c>
      <c r="H60" s="1590">
        <f>VLOOKUP($B60,Electricity,11,FALSE) * VLOOKUP($B$14,Parameters,3,FALSE) / VLOOKUP(Electricity!$B$14,Parameters,3,FALSE)</f>
        <v>11.045016676639516</v>
      </c>
      <c r="I60" s="2138">
        <v>58.150569411734189</v>
      </c>
      <c r="J60" s="2139">
        <v>58.150569411734189</v>
      </c>
      <c r="K60" s="2139">
        <v>11.178556397700065</v>
      </c>
      <c r="L60" s="2140">
        <v>0</v>
      </c>
      <c r="M60" s="2995">
        <v>20</v>
      </c>
      <c r="N60" s="2996">
        <v>20</v>
      </c>
      <c r="O60" s="3001">
        <v>5</v>
      </c>
    </row>
    <row r="61" spans="1:15" ht="13.5" customHeight="1">
      <c r="A61" s="38"/>
      <c r="B61" s="14">
        <v>2035</v>
      </c>
      <c r="C61" s="147"/>
      <c r="D61" s="2138">
        <v>42.415831094542135</v>
      </c>
      <c r="E61" s="2146">
        <v>46.37706219646185</v>
      </c>
      <c r="F61" s="2139">
        <v>40.832242223684588</v>
      </c>
      <c r="G61" s="1654">
        <f>VLOOKUP($B61,Electricity,10,FALSE) * VLOOKUP($B$14,Parameters,3,FALSE) / VLOOKUP(Electricity!$B$14,Parameters,3,FALSE)</f>
        <v>15.487670797843426</v>
      </c>
      <c r="H61" s="1590">
        <f>VLOOKUP($B61,Electricity,11,FALSE) * VLOOKUP($B$14,Parameters,3,FALSE) / VLOOKUP(Electricity!$B$14,Parameters,3,FALSE)</f>
        <v>11.045016676639516</v>
      </c>
      <c r="I61" s="2138">
        <v>58.643957294761925</v>
      </c>
      <c r="J61" s="2139">
        <v>58.643957294761925</v>
      </c>
      <c r="K61" s="2139">
        <v>11.273402662012908</v>
      </c>
      <c r="L61" s="2140">
        <v>0</v>
      </c>
      <c r="M61" s="2995">
        <v>20</v>
      </c>
      <c r="N61" s="2996">
        <v>20</v>
      </c>
      <c r="O61" s="3001">
        <v>5</v>
      </c>
    </row>
    <row r="62" spans="1:15" ht="13.5" customHeight="1">
      <c r="A62" s="38"/>
      <c r="B62" s="14">
        <v>2036</v>
      </c>
      <c r="C62" s="147"/>
      <c r="D62" s="2138">
        <v>42.415831094542135</v>
      </c>
      <c r="E62" s="2146">
        <v>46.37706219646185</v>
      </c>
      <c r="F62" s="2139">
        <v>40.832242223684588</v>
      </c>
      <c r="G62" s="1654">
        <f>VLOOKUP($B62,Electricity,10,FALSE) * VLOOKUP($B$14,Parameters,3,FALSE) / VLOOKUP(Electricity!$B$14,Parameters,3,FALSE)</f>
        <v>15.487670797843426</v>
      </c>
      <c r="H62" s="1590">
        <f>VLOOKUP($B62,Electricity,11,FALSE) * VLOOKUP($B$14,Parameters,3,FALSE) / VLOOKUP(Electricity!$B$14,Parameters,3,FALSE)</f>
        <v>11.045016676639516</v>
      </c>
      <c r="I62" s="2138">
        <v>59.139032108147838</v>
      </c>
      <c r="J62" s="2139">
        <v>59.139032108147838</v>
      </c>
      <c r="K62" s="2139">
        <v>11.36857321285189</v>
      </c>
      <c r="L62" s="2140">
        <v>0</v>
      </c>
      <c r="M62" s="2995">
        <v>20</v>
      </c>
      <c r="N62" s="2996">
        <v>20</v>
      </c>
      <c r="O62" s="3001">
        <v>5</v>
      </c>
    </row>
    <row r="63" spans="1:15" ht="13.5" customHeight="1">
      <c r="A63" s="38"/>
      <c r="B63" s="14">
        <v>2037</v>
      </c>
      <c r="C63" s="147"/>
      <c r="D63" s="2138">
        <v>42.415831094542135</v>
      </c>
      <c r="E63" s="2146">
        <v>46.37706219646185</v>
      </c>
      <c r="F63" s="2139">
        <v>40.832242223684588</v>
      </c>
      <c r="G63" s="1654">
        <f>VLOOKUP($B63,Electricity,10,FALSE) * VLOOKUP($B$14,Parameters,3,FALSE) / VLOOKUP(Electricity!$B$14,Parameters,3,FALSE)</f>
        <v>15.487670797843426</v>
      </c>
      <c r="H63" s="1590">
        <f>VLOOKUP($B63,Electricity,11,FALSE) * VLOOKUP($B$14,Parameters,3,FALSE) / VLOOKUP(Electricity!$B$14,Parameters,3,FALSE)</f>
        <v>11.045016676639516</v>
      </c>
      <c r="I63" s="2138">
        <v>59.635963903811032</v>
      </c>
      <c r="J63" s="2139">
        <v>59.635963903811032</v>
      </c>
      <c r="K63" s="2139">
        <v>11.464100740094134</v>
      </c>
      <c r="L63" s="2140">
        <v>0</v>
      </c>
      <c r="M63" s="2995">
        <v>20</v>
      </c>
      <c r="N63" s="2996">
        <v>20</v>
      </c>
      <c r="O63" s="3001">
        <v>5</v>
      </c>
    </row>
    <row r="64" spans="1:15" ht="13.5" customHeight="1">
      <c r="A64" s="38"/>
      <c r="B64" s="14">
        <v>2038</v>
      </c>
      <c r="C64" s="147"/>
      <c r="D64" s="2138">
        <v>42.415831094542135</v>
      </c>
      <c r="E64" s="2146">
        <v>46.37706219646185</v>
      </c>
      <c r="F64" s="2139">
        <v>40.832242223684588</v>
      </c>
      <c r="G64" s="1654">
        <f>VLOOKUP($B64,Electricity,10,FALSE) * VLOOKUP($B$14,Parameters,3,FALSE) / VLOOKUP(Electricity!$B$14,Parameters,3,FALSE)</f>
        <v>15.487670797843426</v>
      </c>
      <c r="H64" s="1590">
        <f>VLOOKUP($B64,Electricity,11,FALSE) * VLOOKUP($B$14,Parameters,3,FALSE) / VLOOKUP(Electricity!$B$14,Parameters,3,FALSE)</f>
        <v>11.045016676639516</v>
      </c>
      <c r="I64" s="2138">
        <v>60.134906303976898</v>
      </c>
      <c r="J64" s="2139">
        <v>60.134906303976898</v>
      </c>
      <c r="K64" s="2139">
        <v>11.560014775259752</v>
      </c>
      <c r="L64" s="2140">
        <v>0</v>
      </c>
      <c r="M64" s="2995">
        <v>20</v>
      </c>
      <c r="N64" s="2996">
        <v>20</v>
      </c>
      <c r="O64" s="3001">
        <v>5</v>
      </c>
    </row>
    <row r="65" spans="1:15" ht="13.5" customHeight="1">
      <c r="A65" s="38"/>
      <c r="B65" s="14">
        <v>2039</v>
      </c>
      <c r="C65" s="147"/>
      <c r="D65" s="2138">
        <v>42.415831094542135</v>
      </c>
      <c r="E65" s="2146">
        <v>46.37706219646185</v>
      </c>
      <c r="F65" s="2139">
        <v>40.832242223684588</v>
      </c>
      <c r="G65" s="1654">
        <f>VLOOKUP($B65,Electricity,10,FALSE) * VLOOKUP($B$14,Parameters,3,FALSE) / VLOOKUP(Electricity!$B$14,Parameters,3,FALSE)</f>
        <v>15.487670797843426</v>
      </c>
      <c r="H65" s="1590">
        <f>VLOOKUP($B65,Electricity,11,FALSE) * VLOOKUP($B$14,Parameters,3,FALSE) / VLOOKUP(Electricity!$B$14,Parameters,3,FALSE)</f>
        <v>11.045016676639516</v>
      </c>
      <c r="I65" s="2138">
        <v>60.589719869224155</v>
      </c>
      <c r="J65" s="2139">
        <v>60.589719869224155</v>
      </c>
      <c r="K65" s="2139">
        <v>11.647445717742144</v>
      </c>
      <c r="L65" s="2140">
        <v>0</v>
      </c>
      <c r="M65" s="2995">
        <v>20</v>
      </c>
      <c r="N65" s="2996">
        <v>20</v>
      </c>
      <c r="O65" s="3001">
        <v>5</v>
      </c>
    </row>
    <row r="66" spans="1:15" ht="13.5" customHeight="1">
      <c r="A66" s="38"/>
      <c r="B66" s="14">
        <v>2040</v>
      </c>
      <c r="C66" s="147"/>
      <c r="D66" s="2138">
        <v>42.415831094542135</v>
      </c>
      <c r="E66" s="2146">
        <v>46.37706219646185</v>
      </c>
      <c r="F66" s="2139">
        <v>40.832242223684588</v>
      </c>
      <c r="G66" s="1654">
        <f>VLOOKUP($B66,Electricity,10,FALSE) * VLOOKUP($B$14,Parameters,3,FALSE) / VLOOKUP(Electricity!$B$14,Parameters,3,FALSE)</f>
        <v>15.487670797843426</v>
      </c>
      <c r="H66" s="1590">
        <f>VLOOKUP($B66,Electricity,11,FALSE) * VLOOKUP($B$14,Parameters,3,FALSE) / VLOOKUP(Electricity!$B$14,Parameters,3,FALSE)</f>
        <v>11.045016676639516</v>
      </c>
      <c r="I66" s="2138">
        <v>61.004312282796562</v>
      </c>
      <c r="J66" s="2139">
        <v>61.004312282796562</v>
      </c>
      <c r="K66" s="2139">
        <v>11.72714475979903</v>
      </c>
      <c r="L66" s="2140">
        <v>0</v>
      </c>
      <c r="M66" s="2995">
        <v>20</v>
      </c>
      <c r="N66" s="2996">
        <v>20</v>
      </c>
      <c r="O66" s="3001">
        <v>5</v>
      </c>
    </row>
    <row r="67" spans="1:15" ht="13.5" customHeight="1">
      <c r="A67" s="38"/>
      <c r="B67" s="14">
        <v>2041</v>
      </c>
      <c r="C67" s="147"/>
      <c r="D67" s="2138">
        <v>42.415831094542135</v>
      </c>
      <c r="E67" s="2146">
        <v>46.37706219646185</v>
      </c>
      <c r="F67" s="2139">
        <v>40.832242223684588</v>
      </c>
      <c r="G67" s="1654">
        <f>VLOOKUP($B67,Electricity,10,FALSE) * VLOOKUP($B$14,Parameters,3,FALSE) / VLOOKUP(Electricity!$B$14,Parameters,3,FALSE)</f>
        <v>15.487670797843426</v>
      </c>
      <c r="H67" s="1590">
        <f>VLOOKUP($B67,Electricity,11,FALSE) * VLOOKUP($B$14,Parameters,3,FALSE) / VLOOKUP(Electricity!$B$14,Parameters,3,FALSE)</f>
        <v>11.045016676639516</v>
      </c>
      <c r="I67" s="2138">
        <v>61.421741594604555</v>
      </c>
      <c r="J67" s="2139">
        <v>61.421741594604555</v>
      </c>
      <c r="K67" s="2139">
        <v>11.807389152094819</v>
      </c>
      <c r="L67" s="2140">
        <v>0</v>
      </c>
      <c r="M67" s="2995">
        <v>20</v>
      </c>
      <c r="N67" s="2996">
        <v>20</v>
      </c>
      <c r="O67" s="3001">
        <v>5</v>
      </c>
    </row>
    <row r="68" spans="1:15" ht="13.5" customHeight="1">
      <c r="A68" s="38"/>
      <c r="B68" s="14">
        <v>2042</v>
      </c>
      <c r="C68" s="147"/>
      <c r="D68" s="2138">
        <v>42.415831094542135</v>
      </c>
      <c r="E68" s="2146">
        <v>46.37706219646185</v>
      </c>
      <c r="F68" s="2139">
        <v>40.832242223684588</v>
      </c>
      <c r="G68" s="1654">
        <f>VLOOKUP($B68,Electricity,10,FALSE) * VLOOKUP($B$14,Parameters,3,FALSE) / VLOOKUP(Electricity!$B$14,Parameters,3,FALSE)</f>
        <v>15.487670797843426</v>
      </c>
      <c r="H68" s="1590">
        <f>VLOOKUP($B68,Electricity,11,FALSE) * VLOOKUP($B$14,Parameters,3,FALSE) / VLOOKUP(Electricity!$B$14,Parameters,3,FALSE)</f>
        <v>11.045016676639516</v>
      </c>
      <c r="I68" s="2138">
        <v>61.842027216464032</v>
      </c>
      <c r="J68" s="2139">
        <v>61.842027216464032</v>
      </c>
      <c r="K68" s="2139">
        <v>11.88818262625383</v>
      </c>
      <c r="L68" s="2140">
        <v>0</v>
      </c>
      <c r="M68" s="2995">
        <v>20</v>
      </c>
      <c r="N68" s="2996">
        <v>20</v>
      </c>
      <c r="O68" s="3001">
        <v>5</v>
      </c>
    </row>
    <row r="69" spans="1:15" ht="13.5" customHeight="1">
      <c r="A69" s="38"/>
      <c r="B69" s="14">
        <v>2043</v>
      </c>
      <c r="C69" s="147"/>
      <c r="D69" s="2138">
        <v>42.415831094542135</v>
      </c>
      <c r="E69" s="2146">
        <v>46.37706219646185</v>
      </c>
      <c r="F69" s="2139">
        <v>40.832242223684588</v>
      </c>
      <c r="G69" s="1654">
        <f>VLOOKUP($B69,Electricity,10,FALSE) * VLOOKUP($B$14,Parameters,3,FALSE) / VLOOKUP(Electricity!$B$14,Parameters,3,FALSE)</f>
        <v>15.487670797843426</v>
      </c>
      <c r="H69" s="1590">
        <f>VLOOKUP($B69,Electricity,11,FALSE) * VLOOKUP($B$14,Parameters,3,FALSE) / VLOOKUP(Electricity!$B$14,Parameters,3,FALSE)</f>
        <v>11.045016676639516</v>
      </c>
      <c r="I69" s="2138">
        <v>62.265188693018537</v>
      </c>
      <c r="J69" s="2139">
        <v>62.265188693018537</v>
      </c>
      <c r="K69" s="2139">
        <v>11.969528939434452</v>
      </c>
      <c r="L69" s="2140">
        <v>0</v>
      </c>
      <c r="M69" s="2995">
        <v>20</v>
      </c>
      <c r="N69" s="2996">
        <v>20</v>
      </c>
      <c r="O69" s="3001">
        <v>5</v>
      </c>
    </row>
    <row r="70" spans="1:15" ht="13.5" customHeight="1">
      <c r="A70" s="38"/>
      <c r="B70" s="14">
        <v>2044</v>
      </c>
      <c r="C70" s="147"/>
      <c r="D70" s="2138">
        <v>42.415831094542135</v>
      </c>
      <c r="E70" s="2146">
        <v>46.37706219646185</v>
      </c>
      <c r="F70" s="2139">
        <v>40.832242223684588</v>
      </c>
      <c r="G70" s="1654">
        <f>VLOOKUP($B70,Electricity,10,FALSE) * VLOOKUP($B$14,Parameters,3,FALSE) / VLOOKUP(Electricity!$B$14,Parameters,3,FALSE)</f>
        <v>15.487670797843426</v>
      </c>
      <c r="H70" s="1590">
        <f>VLOOKUP($B70,Electricity,11,FALSE) * VLOOKUP($B$14,Parameters,3,FALSE) / VLOOKUP(Electricity!$B$14,Parameters,3,FALSE)</f>
        <v>11.045016676639516</v>
      </c>
      <c r="I70" s="2138">
        <v>62.69124570264821</v>
      </c>
      <c r="J70" s="2139">
        <v>62.69124570264821</v>
      </c>
      <c r="K70" s="2139">
        <v>12.051431874503901</v>
      </c>
      <c r="L70" s="2140">
        <v>0</v>
      </c>
      <c r="M70" s="2995">
        <v>20</v>
      </c>
      <c r="N70" s="2996">
        <v>20</v>
      </c>
      <c r="O70" s="3001">
        <v>5</v>
      </c>
    </row>
    <row r="71" spans="1:15" ht="13.5" customHeight="1">
      <c r="A71" s="38"/>
      <c r="B71" s="14">
        <v>2045</v>
      </c>
      <c r="C71" s="147"/>
      <c r="D71" s="2138">
        <v>42.415831094542135</v>
      </c>
      <c r="E71" s="2146">
        <v>46.37706219646185</v>
      </c>
      <c r="F71" s="2139">
        <v>40.832242223684588</v>
      </c>
      <c r="G71" s="1654">
        <f>VLOOKUP($B71,Electricity,10,FALSE) * VLOOKUP($B$14,Parameters,3,FALSE) / VLOOKUP(Electricity!$B$14,Parameters,3,FALSE)</f>
        <v>15.487670797843426</v>
      </c>
      <c r="H71" s="1590">
        <f>VLOOKUP($B71,Electricity,11,FALSE) * VLOOKUP($B$14,Parameters,3,FALSE) / VLOOKUP(Electricity!$B$14,Parameters,3,FALSE)</f>
        <v>11.045016676639516</v>
      </c>
      <c r="I71" s="2138">
        <v>63.120218058384793</v>
      </c>
      <c r="J71" s="2139">
        <v>63.120218058384793</v>
      </c>
      <c r="K71" s="2139">
        <v>12.133895240214095</v>
      </c>
      <c r="L71" s="2140">
        <v>0</v>
      </c>
      <c r="M71" s="2995">
        <v>20</v>
      </c>
      <c r="N71" s="2996">
        <v>20</v>
      </c>
      <c r="O71" s="3001">
        <v>5</v>
      </c>
    </row>
    <row r="72" spans="1:15" ht="13.5" customHeight="1">
      <c r="A72" s="38"/>
      <c r="B72" s="14">
        <v>2046</v>
      </c>
      <c r="C72" s="147"/>
      <c r="D72" s="2138">
        <v>42.415831094542135</v>
      </c>
      <c r="E72" s="2146">
        <v>46.37706219646185</v>
      </c>
      <c r="F72" s="2139">
        <v>40.832242223684588</v>
      </c>
      <c r="G72" s="1654">
        <f>VLOOKUP($B72,Electricity,10,FALSE) * VLOOKUP($B$14,Parameters,3,FALSE) / VLOOKUP(Electricity!$B$14,Parameters,3,FALSE)</f>
        <v>15.487670797843426</v>
      </c>
      <c r="H72" s="1590">
        <f>VLOOKUP($B72,Electricity,11,FALSE) * VLOOKUP($B$14,Parameters,3,FALSE) / VLOOKUP(Electricity!$B$14,Parameters,3,FALSE)</f>
        <v>11.045016676639516</v>
      </c>
      <c r="I72" s="2138">
        <v>63.552125708833188</v>
      </c>
      <c r="J72" s="2139">
        <v>63.552125708833188</v>
      </c>
      <c r="K72" s="2139">
        <v>12.216922871378806</v>
      </c>
      <c r="L72" s="2140">
        <v>0</v>
      </c>
      <c r="M72" s="2995">
        <v>20</v>
      </c>
      <c r="N72" s="2996">
        <v>20</v>
      </c>
      <c r="O72" s="3001">
        <v>5</v>
      </c>
    </row>
    <row r="73" spans="1:15" ht="13.5" customHeight="1">
      <c r="A73" s="38"/>
      <c r="B73" s="14">
        <v>2047</v>
      </c>
      <c r="C73" s="147"/>
      <c r="D73" s="2138">
        <v>42.415831094542135</v>
      </c>
      <c r="E73" s="2146">
        <v>46.37706219646185</v>
      </c>
      <c r="F73" s="2139">
        <v>40.832242223684588</v>
      </c>
      <c r="G73" s="1654">
        <f>VLOOKUP($B73,Electricity,10,FALSE) * VLOOKUP($B$14,Parameters,3,FALSE) / VLOOKUP(Electricity!$B$14,Parameters,3,FALSE)</f>
        <v>15.487670797843426</v>
      </c>
      <c r="H73" s="1590">
        <f>VLOOKUP($B73,Electricity,11,FALSE) * VLOOKUP($B$14,Parameters,3,FALSE) / VLOOKUP(Electricity!$B$14,Parameters,3,FALSE)</f>
        <v>11.045016676639516</v>
      </c>
      <c r="I73" s="2138">
        <v>63.986988739098912</v>
      </c>
      <c r="J73" s="2139">
        <v>63.986988739098912</v>
      </c>
      <c r="K73" s="2139">
        <v>12.300518629051975</v>
      </c>
      <c r="L73" s="2140">
        <v>0</v>
      </c>
      <c r="M73" s="2995">
        <v>20</v>
      </c>
      <c r="N73" s="2996">
        <v>20</v>
      </c>
      <c r="O73" s="3001">
        <v>5</v>
      </c>
    </row>
    <row r="74" spans="1:15" ht="13.5" customHeight="1">
      <c r="A74" s="38"/>
      <c r="B74" s="14">
        <v>2048</v>
      </c>
      <c r="C74" s="147"/>
      <c r="D74" s="2138">
        <v>42.415831094542135</v>
      </c>
      <c r="E74" s="2146">
        <v>46.37706219646185</v>
      </c>
      <c r="F74" s="2139">
        <v>40.832242223684588</v>
      </c>
      <c r="G74" s="1654">
        <f>VLOOKUP($B74,Electricity,10,FALSE) * VLOOKUP($B$14,Parameters,3,FALSE) / VLOOKUP(Electricity!$B$14,Parameters,3,FALSE)</f>
        <v>15.487670797843426</v>
      </c>
      <c r="H74" s="1590">
        <f>VLOOKUP($B74,Electricity,11,FALSE) * VLOOKUP($B$14,Parameters,3,FALSE) / VLOOKUP(Electricity!$B$14,Parameters,3,FALSE)</f>
        <v>11.045016676639516</v>
      </c>
      <c r="I74" s="2138">
        <v>64.424827371722287</v>
      </c>
      <c r="J74" s="2139">
        <v>64.424827371722287</v>
      </c>
      <c r="K74" s="2139">
        <v>12.38468640070727</v>
      </c>
      <c r="L74" s="2140">
        <v>0</v>
      </c>
      <c r="M74" s="2995">
        <v>20</v>
      </c>
      <c r="N74" s="2996">
        <v>20</v>
      </c>
      <c r="O74" s="3001">
        <v>5</v>
      </c>
    </row>
    <row r="75" spans="1:15" ht="13.5" customHeight="1">
      <c r="A75" s="38"/>
      <c r="B75" s="14">
        <v>2049</v>
      </c>
      <c r="C75" s="147"/>
      <c r="D75" s="2138">
        <v>42.415831094542135</v>
      </c>
      <c r="E75" s="2146">
        <v>46.37706219646185</v>
      </c>
      <c r="F75" s="2139">
        <v>40.832242223684588</v>
      </c>
      <c r="G75" s="1654">
        <f>VLOOKUP($B75,Electricity,10,FALSE) * VLOOKUP($B$14,Parameters,3,FALSE) / VLOOKUP(Electricity!$B$14,Parameters,3,FALSE)</f>
        <v>15.487670797843426</v>
      </c>
      <c r="H75" s="1590">
        <f>VLOOKUP($B75,Electricity,11,FALSE) * VLOOKUP($B$14,Parameters,3,FALSE) / VLOOKUP(Electricity!$B$14,Parameters,3,FALSE)</f>
        <v>11.045016676639516</v>
      </c>
      <c r="I75" s="2138">
        <v>64.865661967618735</v>
      </c>
      <c r="J75" s="2139">
        <v>64.865661967618735</v>
      </c>
      <c r="K75" s="2139">
        <v>12.469430100418858</v>
      </c>
      <c r="L75" s="2140">
        <v>0</v>
      </c>
      <c r="M75" s="2995">
        <v>20</v>
      </c>
      <c r="N75" s="2996">
        <v>20</v>
      </c>
      <c r="O75" s="3001">
        <v>5</v>
      </c>
    </row>
    <row r="76" spans="1:15" ht="13.5" customHeight="1">
      <c r="A76" s="38"/>
      <c r="B76" s="14">
        <v>2050</v>
      </c>
      <c r="C76" s="147"/>
      <c r="D76" s="2138">
        <v>42.415831094542135</v>
      </c>
      <c r="E76" s="2146">
        <v>46.37706219646185</v>
      </c>
      <c r="F76" s="2139">
        <v>40.832242223684588</v>
      </c>
      <c r="G76" s="1654">
        <f>VLOOKUP($B76,Electricity,10,FALSE) * VLOOKUP($B$14,Parameters,3,FALSE) / VLOOKUP(Electricity!$B$14,Parameters,3,FALSE)</f>
        <v>15.487670797843426</v>
      </c>
      <c r="H76" s="1590">
        <f>VLOOKUP($B76,Electricity,11,FALSE) * VLOOKUP($B$14,Parameters,3,FALSE) / VLOOKUP(Electricity!$B$14,Parameters,3,FALSE)</f>
        <v>11.045016676639516</v>
      </c>
      <c r="I76" s="2138">
        <v>65.309513027025716</v>
      </c>
      <c r="J76" s="2139">
        <v>65.309513027025716</v>
      </c>
      <c r="K76" s="2139">
        <v>12.554753669043427</v>
      </c>
      <c r="L76" s="2140">
        <v>0</v>
      </c>
      <c r="M76" s="2995">
        <v>20</v>
      </c>
      <c r="N76" s="2996">
        <v>20</v>
      </c>
      <c r="O76" s="3001">
        <v>5</v>
      </c>
    </row>
    <row r="77" spans="1:15" ht="13.5" customHeight="1">
      <c r="A77" s="38"/>
      <c r="B77" s="14">
        <v>2051</v>
      </c>
      <c r="C77" s="147"/>
      <c r="D77" s="2138">
        <v>42.415831094542135</v>
      </c>
      <c r="E77" s="2146">
        <v>46.37706219646185</v>
      </c>
      <c r="F77" s="2139">
        <v>40.832242223684588</v>
      </c>
      <c r="G77" s="1654">
        <f>VLOOKUP($B77,Electricity,10,FALSE) * VLOOKUP($B$14,Parameters,3,FALSE) / VLOOKUP(Electricity!$B$14,Parameters,3,FALSE)</f>
        <v>15.487670797843426</v>
      </c>
      <c r="H77" s="1590">
        <f>VLOOKUP($B77,Electricity,11,FALSE) * VLOOKUP($B$14,Parameters,3,FALSE) / VLOOKUP(Electricity!$B$14,Parameters,3,FALSE)</f>
        <v>11.045016676639516</v>
      </c>
      <c r="I77" s="2138">
        <v>65.756401190456003</v>
      </c>
      <c r="J77" s="2139">
        <v>65.756401190456003</v>
      </c>
      <c r="K77" s="2139">
        <v>12.64066107440345</v>
      </c>
      <c r="L77" s="2140">
        <v>0</v>
      </c>
      <c r="M77" s="2995">
        <v>20</v>
      </c>
      <c r="N77" s="2996">
        <v>20</v>
      </c>
      <c r="O77" s="3001">
        <v>5</v>
      </c>
    </row>
    <row r="78" spans="1:15" ht="13.5" customHeight="1">
      <c r="A78" s="38"/>
      <c r="B78" s="14">
        <v>2052</v>
      </c>
      <c r="C78" s="147"/>
      <c r="D78" s="2138">
        <v>42.415831094542135</v>
      </c>
      <c r="E78" s="2146">
        <v>46.37706219646185</v>
      </c>
      <c r="F78" s="2139">
        <v>40.832242223684588</v>
      </c>
      <c r="G78" s="1654">
        <f>VLOOKUP($B78,Electricity,10,FALSE) * VLOOKUP($B$14,Parameters,3,FALSE) / VLOOKUP(Electricity!$B$14,Parameters,3,FALSE)</f>
        <v>15.487670797843426</v>
      </c>
      <c r="H78" s="1590">
        <f>VLOOKUP($B78,Electricity,11,FALSE) * VLOOKUP($B$14,Parameters,3,FALSE) / VLOOKUP(Electricity!$B$14,Parameters,3,FALSE)</f>
        <v>11.045016676639516</v>
      </c>
      <c r="I78" s="2138">
        <v>66.206347239657603</v>
      </c>
      <c r="J78" s="2139">
        <v>66.206347239657603</v>
      </c>
      <c r="K78" s="2139">
        <v>12.72715631147171</v>
      </c>
      <c r="L78" s="2140">
        <v>0</v>
      </c>
      <c r="M78" s="2995">
        <v>20</v>
      </c>
      <c r="N78" s="2996">
        <v>20</v>
      </c>
      <c r="O78" s="3001">
        <v>5</v>
      </c>
    </row>
    <row r="79" spans="1:15" ht="13.5" customHeight="1">
      <c r="A79" s="38"/>
      <c r="B79" s="14">
        <v>2053</v>
      </c>
      <c r="C79" s="147"/>
      <c r="D79" s="2138">
        <v>42.415831094542135</v>
      </c>
      <c r="E79" s="2146">
        <v>46.37706219646185</v>
      </c>
      <c r="F79" s="2139">
        <v>40.832242223684588</v>
      </c>
      <c r="G79" s="1654">
        <f>VLOOKUP($B79,Electricity,10,FALSE) * VLOOKUP($B$14,Parameters,3,FALSE) / VLOOKUP(Electricity!$B$14,Parameters,3,FALSE)</f>
        <v>15.487670797843426</v>
      </c>
      <c r="H79" s="1590">
        <f>VLOOKUP($B79,Electricity,11,FALSE) * VLOOKUP($B$14,Parameters,3,FALSE) / VLOOKUP(Electricity!$B$14,Parameters,3,FALSE)</f>
        <v>11.045016676639516</v>
      </c>
      <c r="I79" s="2138">
        <v>66.659372098579993</v>
      </c>
      <c r="J79" s="2139">
        <v>66.659372098579993</v>
      </c>
      <c r="K79" s="2139">
        <v>12.814243402557052</v>
      </c>
      <c r="L79" s="2140">
        <v>0</v>
      </c>
      <c r="M79" s="2995">
        <v>20</v>
      </c>
      <c r="N79" s="2996">
        <v>20</v>
      </c>
      <c r="O79" s="3001">
        <v>5</v>
      </c>
    </row>
    <row r="80" spans="1:15" ht="13.5" customHeight="1">
      <c r="A80" s="38"/>
      <c r="B80" s="14">
        <v>2054</v>
      </c>
      <c r="C80" s="147"/>
      <c r="D80" s="2138">
        <v>42.415831094542135</v>
      </c>
      <c r="E80" s="2146">
        <v>46.37706219646185</v>
      </c>
      <c r="F80" s="2139">
        <v>40.832242223684588</v>
      </c>
      <c r="G80" s="1654">
        <f>VLOOKUP($B80,Electricity,10,FALSE) * VLOOKUP($B$14,Parameters,3,FALSE) / VLOOKUP(Electricity!$B$14,Parameters,3,FALSE)</f>
        <v>15.487670797843426</v>
      </c>
      <c r="H80" s="1590">
        <f>VLOOKUP($B80,Electricity,11,FALSE) * VLOOKUP($B$14,Parameters,3,FALSE) / VLOOKUP(Electricity!$B$14,Parameters,3,FALSE)</f>
        <v>11.045016676639516</v>
      </c>
      <c r="I80" s="2138">
        <v>67.115496834347411</v>
      </c>
      <c r="J80" s="2139">
        <v>67.115496834347411</v>
      </c>
      <c r="K80" s="2139">
        <v>12.901926397491463</v>
      </c>
      <c r="L80" s="2140">
        <v>0</v>
      </c>
      <c r="M80" s="2995">
        <v>20</v>
      </c>
      <c r="N80" s="2996">
        <v>20</v>
      </c>
      <c r="O80" s="3001">
        <v>5</v>
      </c>
    </row>
    <row r="81" spans="1:15" ht="13.5" customHeight="1">
      <c r="A81" s="38"/>
      <c r="B81" s="14">
        <v>2055</v>
      </c>
      <c r="C81" s="147"/>
      <c r="D81" s="2138">
        <v>42.415831094542135</v>
      </c>
      <c r="E81" s="2146">
        <v>46.37706219646185</v>
      </c>
      <c r="F81" s="2139">
        <v>40.832242223684588</v>
      </c>
      <c r="G81" s="1654">
        <f>VLOOKUP($B81,Electricity,10,FALSE) * VLOOKUP($B$14,Parameters,3,FALSE) / VLOOKUP(Electricity!$B$14,Parameters,3,FALSE)</f>
        <v>15.487670797843426</v>
      </c>
      <c r="H81" s="1590">
        <f>VLOOKUP($B81,Electricity,11,FALSE) * VLOOKUP($B$14,Parameters,3,FALSE) / VLOOKUP(Electricity!$B$14,Parameters,3,FALSE)</f>
        <v>11.045016676639516</v>
      </c>
      <c r="I81" s="2138">
        <v>67.574742658238364</v>
      </c>
      <c r="J81" s="2139">
        <v>67.574742658238364</v>
      </c>
      <c r="K81" s="2139">
        <v>12.990209373818384</v>
      </c>
      <c r="L81" s="2140">
        <v>0</v>
      </c>
      <c r="M81" s="2995">
        <v>20</v>
      </c>
      <c r="N81" s="2996">
        <v>20</v>
      </c>
      <c r="O81" s="3001">
        <v>5</v>
      </c>
    </row>
    <row r="82" spans="1:15" ht="13.5" customHeight="1">
      <c r="A82" s="38"/>
      <c r="B82" s="14">
        <v>2056</v>
      </c>
      <c r="C82" s="147"/>
      <c r="D82" s="2138">
        <v>42.415831094542135</v>
      </c>
      <c r="E82" s="2146">
        <v>46.37706219646185</v>
      </c>
      <c r="F82" s="2139">
        <v>40.832242223684588</v>
      </c>
      <c r="G82" s="1654">
        <f>VLOOKUP($B82,Electricity,10,FALSE) * VLOOKUP($B$14,Parameters,3,FALSE) / VLOOKUP(Electricity!$B$14,Parameters,3,FALSE)</f>
        <v>15.487670797843426</v>
      </c>
      <c r="H82" s="1590">
        <f>VLOOKUP($B82,Electricity,11,FALSE) * VLOOKUP($B$14,Parameters,3,FALSE) / VLOOKUP(Electricity!$B$14,Parameters,3,FALSE)</f>
        <v>11.045016676639516</v>
      </c>
      <c r="I82" s="2138">
        <v>68.037130926672049</v>
      </c>
      <c r="J82" s="2139">
        <v>68.037130926672049</v>
      </c>
      <c r="K82" s="2139">
        <v>13.079096436982343</v>
      </c>
      <c r="L82" s="2140">
        <v>0</v>
      </c>
      <c r="M82" s="2995">
        <v>20</v>
      </c>
      <c r="N82" s="2996">
        <v>20</v>
      </c>
      <c r="O82" s="3001">
        <v>5</v>
      </c>
    </row>
    <row r="83" spans="1:15" ht="13.5" customHeight="1">
      <c r="A83" s="38"/>
      <c r="B83" s="14">
        <v>2057</v>
      </c>
      <c r="C83" s="147"/>
      <c r="D83" s="2138">
        <v>42.415831094542135</v>
      </c>
      <c r="E83" s="2146">
        <v>46.37706219646185</v>
      </c>
      <c r="F83" s="2139">
        <v>40.832242223684588</v>
      </c>
      <c r="G83" s="1654">
        <f>VLOOKUP($B83,Electricity,10,FALSE) * VLOOKUP($B$14,Parameters,3,FALSE) / VLOOKUP(Electricity!$B$14,Parameters,3,FALSE)</f>
        <v>15.487670797843426</v>
      </c>
      <c r="H83" s="1590">
        <f>VLOOKUP($B83,Electricity,11,FALSE) * VLOOKUP($B$14,Parameters,3,FALSE) / VLOOKUP(Electricity!$B$14,Parameters,3,FALSE)</f>
        <v>11.045016676639516</v>
      </c>
      <c r="I83" s="2138">
        <v>68.50268314220159</v>
      </c>
      <c r="J83" s="2139">
        <v>68.50268314220159</v>
      </c>
      <c r="K83" s="2139">
        <v>13.168591720519858</v>
      </c>
      <c r="L83" s="2140">
        <v>0</v>
      </c>
      <c r="M83" s="2995">
        <v>20</v>
      </c>
      <c r="N83" s="2996">
        <v>20</v>
      </c>
      <c r="O83" s="3001">
        <v>5</v>
      </c>
    </row>
    <row r="84" spans="1:15" ht="13.5" customHeight="1">
      <c r="A84" s="38"/>
      <c r="B84" s="14">
        <v>2058</v>
      </c>
      <c r="C84" s="147"/>
      <c r="D84" s="2138">
        <v>42.415831094542135</v>
      </c>
      <c r="E84" s="2146">
        <v>46.37706219646185</v>
      </c>
      <c r="F84" s="2139">
        <v>40.832242223684588</v>
      </c>
      <c r="G84" s="1654">
        <f>VLOOKUP($B84,Electricity,10,FALSE) * VLOOKUP($B$14,Parameters,3,FALSE) / VLOOKUP(Electricity!$B$14,Parameters,3,FALSE)</f>
        <v>15.487670797843426</v>
      </c>
      <c r="H84" s="1590">
        <f>VLOOKUP($B84,Electricity,11,FALSE) * VLOOKUP($B$14,Parameters,3,FALSE) / VLOOKUP(Electricity!$B$14,Parameters,3,FALSE)</f>
        <v>11.045016676639516</v>
      </c>
      <c r="I84" s="2138">
        <v>68.971420954513832</v>
      </c>
      <c r="J84" s="2139">
        <v>68.971420954513817</v>
      </c>
      <c r="K84" s="2139">
        <v>13.258699386251667</v>
      </c>
      <c r="L84" s="2140">
        <v>0</v>
      </c>
      <c r="M84" s="2995">
        <v>20</v>
      </c>
      <c r="N84" s="2996">
        <v>20</v>
      </c>
      <c r="O84" s="3001">
        <v>5</v>
      </c>
    </row>
    <row r="85" spans="1:15" ht="13.5" customHeight="1">
      <c r="A85" s="38"/>
      <c r="B85" s="14">
        <v>2059</v>
      </c>
      <c r="C85" s="147"/>
      <c r="D85" s="2138">
        <v>42.415831094542135</v>
      </c>
      <c r="E85" s="2146">
        <v>46.37706219646185</v>
      </c>
      <c r="F85" s="2139">
        <v>40.832242223684588</v>
      </c>
      <c r="G85" s="1654">
        <f>VLOOKUP($B85,Electricity,10,FALSE) * VLOOKUP($B$14,Parameters,3,FALSE) / VLOOKUP(Electricity!$B$14,Parameters,3,FALSE)</f>
        <v>15.487670797843426</v>
      </c>
      <c r="H85" s="1590">
        <f>VLOOKUP($B85,Electricity,11,FALSE) * VLOOKUP($B$14,Parameters,3,FALSE) / VLOOKUP(Electricity!$B$14,Parameters,3,FALSE)</f>
        <v>11.045016676639516</v>
      </c>
      <c r="I85" s="2138">
        <v>69.443366161436202</v>
      </c>
      <c r="J85" s="2139">
        <v>69.443366161436202</v>
      </c>
      <c r="K85" s="2139">
        <v>13.349423624476264</v>
      </c>
      <c r="L85" s="2140">
        <v>0</v>
      </c>
      <c r="M85" s="2995">
        <v>20</v>
      </c>
      <c r="N85" s="2996">
        <v>20</v>
      </c>
      <c r="O85" s="3001">
        <v>5</v>
      </c>
    </row>
    <row r="86" spans="1:15" ht="13.5" customHeight="1">
      <c r="A86" s="38"/>
      <c r="B86" s="14">
        <v>2060</v>
      </c>
      <c r="C86" s="147"/>
      <c r="D86" s="2138">
        <v>42.415831094542135</v>
      </c>
      <c r="E86" s="2146">
        <v>46.37706219646185</v>
      </c>
      <c r="F86" s="2139">
        <v>40.832242223684588</v>
      </c>
      <c r="G86" s="1654">
        <f>VLOOKUP($B86,Electricity,10,FALSE) * VLOOKUP($B$14,Parameters,3,FALSE) / VLOOKUP(Electricity!$B$14,Parameters,3,FALSE)</f>
        <v>15.487670797843426</v>
      </c>
      <c r="H86" s="1590">
        <f>VLOOKUP($B86,Electricity,11,FALSE) * VLOOKUP($B$14,Parameters,3,FALSE) / VLOOKUP(Electricity!$B$14,Parameters,3,FALSE)</f>
        <v>11.045016676639516</v>
      </c>
      <c r="I86" s="2138">
        <v>69.918540709950406</v>
      </c>
      <c r="J86" s="2139">
        <v>69.918540709950406</v>
      </c>
      <c r="K86" s="2139">
        <v>13.44076865416476</v>
      </c>
      <c r="L86" s="2140">
        <v>0</v>
      </c>
      <c r="M86" s="2995">
        <v>20</v>
      </c>
      <c r="N86" s="2996">
        <v>20</v>
      </c>
      <c r="O86" s="3001">
        <v>5</v>
      </c>
    </row>
    <row r="87" spans="1:15" ht="13.5" customHeight="1">
      <c r="A87" s="38"/>
      <c r="B87" s="14">
        <v>2061</v>
      </c>
      <c r="C87" s="147"/>
      <c r="D87" s="2138">
        <v>42.415831094542135</v>
      </c>
      <c r="E87" s="2146">
        <v>46.37706219646185</v>
      </c>
      <c r="F87" s="2139">
        <v>40.832242223684588</v>
      </c>
      <c r="G87" s="1654">
        <f>VLOOKUP($B87,Electricity,10,FALSE) * VLOOKUP($B$14,Parameters,3,FALSE) / VLOOKUP(Electricity!$B$14,Parameters,3,FALSE)</f>
        <v>15.487670797843426</v>
      </c>
      <c r="H87" s="1590">
        <f>VLOOKUP($B87,Electricity,11,FALSE) * VLOOKUP($B$14,Parameters,3,FALSE) / VLOOKUP(Electricity!$B$14,Parameters,3,FALSE)</f>
        <v>11.045016676639516</v>
      </c>
      <c r="I87" s="2138">
        <v>70.39696669721306</v>
      </c>
      <c r="J87" s="2139">
        <v>70.39696669721306</v>
      </c>
      <c r="K87" s="2139">
        <v>13.532738723157092</v>
      </c>
      <c r="L87" s="2140">
        <v>0</v>
      </c>
      <c r="M87" s="2995">
        <v>20</v>
      </c>
      <c r="N87" s="2996">
        <v>20</v>
      </c>
      <c r="O87" s="3001">
        <v>5</v>
      </c>
    </row>
    <row r="88" spans="1:15" ht="13.5" customHeight="1">
      <c r="A88" s="38"/>
      <c r="B88" s="14">
        <v>2062</v>
      </c>
      <c r="C88" s="147"/>
      <c r="D88" s="2138">
        <v>42.415831094542135</v>
      </c>
      <c r="E88" s="2146">
        <v>46.37706219646185</v>
      </c>
      <c r="F88" s="2139">
        <v>40.832242223684588</v>
      </c>
      <c r="G88" s="1654">
        <f>VLOOKUP($B88,Electricity,10,FALSE) * VLOOKUP($B$14,Parameters,3,FALSE) / VLOOKUP(Electricity!$B$14,Parameters,3,FALSE)</f>
        <v>15.487670797843426</v>
      </c>
      <c r="H88" s="1590">
        <f>VLOOKUP($B88,Electricity,11,FALSE) * VLOOKUP($B$14,Parameters,3,FALSE) / VLOOKUP(Electricity!$B$14,Parameters,3,FALSE)</f>
        <v>11.045016676639516</v>
      </c>
      <c r="I88" s="2138">
        <v>70.878666371583051</v>
      </c>
      <c r="J88" s="2139">
        <v>70.878666371583051</v>
      </c>
      <c r="K88" s="2139">
        <v>13.625338108359536</v>
      </c>
      <c r="L88" s="2140">
        <v>0</v>
      </c>
      <c r="M88" s="2995">
        <v>20</v>
      </c>
      <c r="N88" s="2996">
        <v>20</v>
      </c>
      <c r="O88" s="3001">
        <v>5</v>
      </c>
    </row>
    <row r="89" spans="1:15" ht="13.5" customHeight="1">
      <c r="A89" s="38"/>
      <c r="B89" s="14">
        <v>2063</v>
      </c>
      <c r="C89" s="147"/>
      <c r="D89" s="2138">
        <v>42.415831094542135</v>
      </c>
      <c r="E89" s="2146">
        <v>46.37706219646185</v>
      </c>
      <c r="F89" s="2139">
        <v>40.832242223684588</v>
      </c>
      <c r="G89" s="1654">
        <f>VLOOKUP($B89,Electricity,10,FALSE) * VLOOKUP($B$14,Parameters,3,FALSE) / VLOOKUP(Electricity!$B$14,Parameters,3,FALSE)</f>
        <v>15.487670797843426</v>
      </c>
      <c r="H89" s="1590">
        <f>VLOOKUP($B89,Electricity,11,FALSE) * VLOOKUP($B$14,Parameters,3,FALSE) / VLOOKUP(Electricity!$B$14,Parameters,3,FALSE)</f>
        <v>11.045016676639516</v>
      </c>
      <c r="I89" s="2138">
        <v>71.363662133656433</v>
      </c>
      <c r="J89" s="2139">
        <v>71.363662133656433</v>
      </c>
      <c r="K89" s="2139">
        <v>13.718571115943618</v>
      </c>
      <c r="L89" s="2140">
        <v>0</v>
      </c>
      <c r="M89" s="2995">
        <v>20</v>
      </c>
      <c r="N89" s="2996">
        <v>20</v>
      </c>
      <c r="O89" s="3001">
        <v>5</v>
      </c>
    </row>
    <row r="90" spans="1:15" ht="13.5" customHeight="1">
      <c r="A90" s="38"/>
      <c r="B90" s="14">
        <v>2064</v>
      </c>
      <c r="C90" s="147"/>
      <c r="D90" s="2138">
        <v>42.415831094542135</v>
      </c>
      <c r="E90" s="2146">
        <v>46.37706219646185</v>
      </c>
      <c r="F90" s="2139">
        <v>40.832242223684588</v>
      </c>
      <c r="G90" s="1654">
        <f>VLOOKUP($B90,Electricity,10,FALSE) * VLOOKUP($B$14,Parameters,3,FALSE) / VLOOKUP(Electricity!$B$14,Parameters,3,FALSE)</f>
        <v>15.487670797843426</v>
      </c>
      <c r="H90" s="1590">
        <f>VLOOKUP($B90,Electricity,11,FALSE) * VLOOKUP($B$14,Parameters,3,FALSE) / VLOOKUP(Electricity!$B$14,Parameters,3,FALSE)</f>
        <v>11.045016676639516</v>
      </c>
      <c r="I90" s="2138">
        <v>71.851976537308076</v>
      </c>
      <c r="J90" s="2139">
        <v>71.851976537308076</v>
      </c>
      <c r="K90" s="2139">
        <v>13.812442081546367</v>
      </c>
      <c r="L90" s="2140">
        <v>0</v>
      </c>
      <c r="M90" s="2995">
        <v>20</v>
      </c>
      <c r="N90" s="2996">
        <v>20</v>
      </c>
      <c r="O90" s="3001">
        <v>5</v>
      </c>
    </row>
    <row r="91" spans="1:15" ht="13.5" customHeight="1">
      <c r="A91" s="38"/>
      <c r="B91" s="14">
        <v>2065</v>
      </c>
      <c r="C91" s="147"/>
      <c r="D91" s="2138">
        <v>42.415831094542135</v>
      </c>
      <c r="E91" s="2146">
        <v>46.37706219646185</v>
      </c>
      <c r="F91" s="2139">
        <v>40.832242223684588</v>
      </c>
      <c r="G91" s="1654">
        <f>VLOOKUP($B91,Electricity,10,FALSE) * VLOOKUP($B$14,Parameters,3,FALSE) / VLOOKUP(Electricity!$B$14,Parameters,3,FALSE)</f>
        <v>15.487670797843426</v>
      </c>
      <c r="H91" s="1590">
        <f>VLOOKUP($B91,Electricity,11,FALSE) * VLOOKUP($B$14,Parameters,3,FALSE) / VLOOKUP(Electricity!$B$14,Parameters,3,FALSE)</f>
        <v>11.045016676639516</v>
      </c>
      <c r="I91" s="2138">
        <v>72.343632290740288</v>
      </c>
      <c r="J91" s="2139">
        <v>72.343632290740288</v>
      </c>
      <c r="K91" s="2139">
        <v>13.906955370471906</v>
      </c>
      <c r="L91" s="2140">
        <v>0</v>
      </c>
      <c r="M91" s="2995">
        <v>20</v>
      </c>
      <c r="N91" s="2996">
        <v>20</v>
      </c>
      <c r="O91" s="3001">
        <v>5</v>
      </c>
    </row>
    <row r="92" spans="1:15" ht="13.5" customHeight="1">
      <c r="A92" s="38"/>
      <c r="B92" s="14">
        <v>2066</v>
      </c>
      <c r="C92" s="147"/>
      <c r="D92" s="2138">
        <v>42.415831094542135</v>
      </c>
      <c r="E92" s="2146">
        <v>46.37706219646185</v>
      </c>
      <c r="F92" s="2139">
        <v>40.832242223684588</v>
      </c>
      <c r="G92" s="1654">
        <f>VLOOKUP($B92,Electricity,10,FALSE) * VLOOKUP($B$14,Parameters,3,FALSE) / VLOOKUP(Electricity!$B$14,Parameters,3,FALSE)</f>
        <v>15.487670797843426</v>
      </c>
      <c r="H92" s="1590">
        <f>VLOOKUP($B92,Electricity,11,FALSE) * VLOOKUP($B$14,Parameters,3,FALSE) / VLOOKUP(Electricity!$B$14,Parameters,3,FALSE)</f>
        <v>11.045016676639516</v>
      </c>
      <c r="I92" s="2138">
        <v>72.83865225753911</v>
      </c>
      <c r="J92" s="2139">
        <v>72.83865225753911</v>
      </c>
      <c r="K92" s="2139">
        <v>14.002115377894489</v>
      </c>
      <c r="L92" s="2140">
        <v>0</v>
      </c>
      <c r="M92" s="2995">
        <v>20</v>
      </c>
      <c r="N92" s="2996">
        <v>20</v>
      </c>
      <c r="O92" s="3001">
        <v>5</v>
      </c>
    </row>
    <row r="93" spans="1:15" ht="13.5" customHeight="1">
      <c r="A93" s="38"/>
      <c r="B93" s="14">
        <v>2067</v>
      </c>
      <c r="C93" s="147"/>
      <c r="D93" s="2138">
        <v>42.415831094542135</v>
      </c>
      <c r="E93" s="2146">
        <v>46.37706219646185</v>
      </c>
      <c r="F93" s="2139">
        <v>40.832242223684588</v>
      </c>
      <c r="G93" s="1654">
        <f>VLOOKUP($B93,Electricity,10,FALSE) * VLOOKUP($B$14,Parameters,3,FALSE) / VLOOKUP(Electricity!$B$14,Parameters,3,FALSE)</f>
        <v>15.487670797843426</v>
      </c>
      <c r="H93" s="1590">
        <f>VLOOKUP($B93,Electricity,11,FALSE) * VLOOKUP($B$14,Parameters,3,FALSE) / VLOOKUP(Electricity!$B$14,Parameters,3,FALSE)</f>
        <v>11.045016676639516</v>
      </c>
      <c r="I93" s="2138">
        <v>73.337059457737311</v>
      </c>
      <c r="J93" s="2139">
        <v>73.337059457737311</v>
      </c>
      <c r="K93" s="2139">
        <v>14.097926529062878</v>
      </c>
      <c r="L93" s="2140">
        <v>0</v>
      </c>
      <c r="M93" s="2995">
        <v>20</v>
      </c>
      <c r="N93" s="2996">
        <v>20</v>
      </c>
      <c r="O93" s="3001">
        <v>5</v>
      </c>
    </row>
    <row r="94" spans="1:15" ht="13.5" customHeight="1">
      <c r="A94" s="38"/>
      <c r="B94" s="14">
        <v>2068</v>
      </c>
      <c r="C94" s="147"/>
      <c r="D94" s="2138">
        <v>42.415831094542135</v>
      </c>
      <c r="E94" s="2146">
        <v>46.37706219646185</v>
      </c>
      <c r="F94" s="2139">
        <v>40.832242223684588</v>
      </c>
      <c r="G94" s="1654">
        <f>VLOOKUP($B94,Electricity,10,FALSE) * VLOOKUP($B$14,Parameters,3,FALSE) / VLOOKUP(Electricity!$B$14,Parameters,3,FALSE)</f>
        <v>15.487670797843426</v>
      </c>
      <c r="H94" s="1590">
        <f>VLOOKUP($B94,Electricity,11,FALSE) * VLOOKUP($B$14,Parameters,3,FALSE) / VLOOKUP(Electricity!$B$14,Parameters,3,FALSE)</f>
        <v>11.045016676639516</v>
      </c>
      <c r="I94" s="2138">
        <v>73.838877068885083</v>
      </c>
      <c r="J94" s="2139">
        <v>73.838877068885083</v>
      </c>
      <c r="K94" s="2139">
        <v>14.194393279506125</v>
      </c>
      <c r="L94" s="2140">
        <v>0</v>
      </c>
      <c r="M94" s="2995">
        <v>20</v>
      </c>
      <c r="N94" s="2996">
        <v>20</v>
      </c>
      <c r="O94" s="3001">
        <v>5</v>
      </c>
    </row>
    <row r="95" spans="1:15" ht="13.5" customHeight="1">
      <c r="A95" s="38"/>
      <c r="B95" s="14">
        <v>2069</v>
      </c>
      <c r="C95" s="147"/>
      <c r="D95" s="2138">
        <v>42.415831094542135</v>
      </c>
      <c r="E95" s="2146">
        <v>46.37706219646185</v>
      </c>
      <c r="F95" s="2139">
        <v>40.832242223684588</v>
      </c>
      <c r="G95" s="1654">
        <f>VLOOKUP($B95,Electricity,10,FALSE) * VLOOKUP($B$14,Parameters,3,FALSE) / VLOOKUP(Electricity!$B$14,Parameters,3,FALSE)</f>
        <v>15.487670797843426</v>
      </c>
      <c r="H95" s="1590">
        <f>VLOOKUP($B95,Electricity,11,FALSE) * VLOOKUP($B$14,Parameters,3,FALSE) / VLOOKUP(Electricity!$B$14,Parameters,3,FALSE)</f>
        <v>11.045016676639516</v>
      </c>
      <c r="I95" s="2138">
        <v>74.344128427127714</v>
      </c>
      <c r="J95" s="2139">
        <v>74.344128427127714</v>
      </c>
      <c r="K95" s="2139">
        <v>14.291520115240772</v>
      </c>
      <c r="L95" s="2140">
        <v>0</v>
      </c>
      <c r="M95" s="2995">
        <v>20</v>
      </c>
      <c r="N95" s="2996">
        <v>20</v>
      </c>
      <c r="O95" s="3001">
        <v>5</v>
      </c>
    </row>
    <row r="96" spans="1:15" ht="13.5" customHeight="1">
      <c r="A96" s="38"/>
      <c r="B96" s="14">
        <v>2070</v>
      </c>
      <c r="C96" s="147"/>
      <c r="D96" s="2138">
        <v>42.415831094542135</v>
      </c>
      <c r="E96" s="2146">
        <v>46.37706219646185</v>
      </c>
      <c r="F96" s="2139">
        <v>40.832242223684588</v>
      </c>
      <c r="G96" s="1654">
        <f>VLOOKUP($B96,Electricity,10,FALSE) * VLOOKUP($B$14,Parameters,3,FALSE) / VLOOKUP(Electricity!$B$14,Parameters,3,FALSE)</f>
        <v>15.487670797843426</v>
      </c>
      <c r="H96" s="1590">
        <f>VLOOKUP($B96,Electricity,11,FALSE) * VLOOKUP($B$14,Parameters,3,FALSE) / VLOOKUP(Electricity!$B$14,Parameters,3,FALSE)</f>
        <v>11.045016676639516</v>
      </c>
      <c r="I96" s="2138">
        <v>74.852837028290864</v>
      </c>
      <c r="J96" s="2139">
        <v>74.852837028290864</v>
      </c>
      <c r="K96" s="2139">
        <v>14.389311552979473</v>
      </c>
      <c r="L96" s="2140">
        <v>0</v>
      </c>
      <c r="M96" s="2995">
        <v>20</v>
      </c>
      <c r="N96" s="2996">
        <v>20</v>
      </c>
      <c r="O96" s="3001">
        <v>5</v>
      </c>
    </row>
    <row r="97" spans="1:15" ht="13.5" customHeight="1">
      <c r="A97" s="38"/>
      <c r="B97" s="14">
        <v>2071</v>
      </c>
      <c r="C97" s="147"/>
      <c r="D97" s="2138">
        <v>42.415831094542135</v>
      </c>
      <c r="E97" s="2146">
        <v>46.37706219646185</v>
      </c>
      <c r="F97" s="2139">
        <v>40.832242223684588</v>
      </c>
      <c r="G97" s="1654">
        <f>VLOOKUP($B97,Electricity,10,FALSE) * VLOOKUP($B$14,Parameters,3,FALSE) / VLOOKUP(Electricity!$B$14,Parameters,3,FALSE)</f>
        <v>15.487670797843426</v>
      </c>
      <c r="H97" s="1590">
        <f>VLOOKUP($B97,Electricity,11,FALSE) * VLOOKUP($B$14,Parameters,3,FALSE) / VLOOKUP(Electricity!$B$14,Parameters,3,FALSE)</f>
        <v>11.045016676639516</v>
      </c>
      <c r="I97" s="2138">
        <v>75.365026528973232</v>
      </c>
      <c r="J97" s="2139">
        <v>75.365026528973232</v>
      </c>
      <c r="K97" s="2139">
        <v>14.48777214034102</v>
      </c>
      <c r="L97" s="2140">
        <v>0</v>
      </c>
      <c r="M97" s="2995">
        <v>20</v>
      </c>
      <c r="N97" s="2996">
        <v>20</v>
      </c>
      <c r="O97" s="3001">
        <v>5</v>
      </c>
    </row>
    <row r="98" spans="1:15" ht="13.5" customHeight="1">
      <c r="A98" s="38"/>
      <c r="B98" s="14">
        <v>2072</v>
      </c>
      <c r="C98" s="147"/>
      <c r="D98" s="2138">
        <v>42.415831094542135</v>
      </c>
      <c r="E98" s="2146">
        <v>46.37706219646185</v>
      </c>
      <c r="F98" s="2139">
        <v>40.832242223684588</v>
      </c>
      <c r="G98" s="1654">
        <f>VLOOKUP($B98,Electricity,10,FALSE) * VLOOKUP($B$14,Parameters,3,FALSE) / VLOOKUP(Electricity!$B$14,Parameters,3,FALSE)</f>
        <v>15.487670797843426</v>
      </c>
      <c r="H98" s="1590">
        <f>VLOOKUP($B98,Electricity,11,FALSE) * VLOOKUP($B$14,Parameters,3,FALSE) / VLOOKUP(Electricity!$B$14,Parameters,3,FALSE)</f>
        <v>11.045016676639516</v>
      </c>
      <c r="I98" s="2138">
        <v>75.880720747646592</v>
      </c>
      <c r="J98" s="2139">
        <v>75.880720747646592</v>
      </c>
      <c r="K98" s="2139">
        <v>14.586906456061829</v>
      </c>
      <c r="L98" s="2140">
        <v>0</v>
      </c>
      <c r="M98" s="2995">
        <v>20</v>
      </c>
      <c r="N98" s="2996">
        <v>20</v>
      </c>
      <c r="O98" s="3001">
        <v>5</v>
      </c>
    </row>
    <row r="99" spans="1:15" ht="13.5" customHeight="1">
      <c r="A99" s="38"/>
      <c r="B99" s="14">
        <v>2073</v>
      </c>
      <c r="C99" s="147"/>
      <c r="D99" s="2138">
        <v>42.415831094542135</v>
      </c>
      <c r="E99" s="2146">
        <v>46.37706219646185</v>
      </c>
      <c r="F99" s="2139">
        <v>40.832242223684588</v>
      </c>
      <c r="G99" s="1654">
        <f>VLOOKUP($B99,Electricity,10,FALSE) * VLOOKUP($B$14,Parameters,3,FALSE) / VLOOKUP(Electricity!$B$14,Parameters,3,FALSE)</f>
        <v>15.487670797843426</v>
      </c>
      <c r="H99" s="1590">
        <f>VLOOKUP($B99,Electricity,11,FALSE) * VLOOKUP($B$14,Parameters,3,FALSE) / VLOOKUP(Electricity!$B$14,Parameters,3,FALSE)</f>
        <v>11.045016676639516</v>
      </c>
      <c r="I99" s="2138">
        <v>76.399943665763431</v>
      </c>
      <c r="J99" s="2139">
        <v>76.399943665763431</v>
      </c>
      <c r="K99" s="2139">
        <v>14.68671911020888</v>
      </c>
      <c r="L99" s="2140">
        <v>0</v>
      </c>
      <c r="M99" s="2995">
        <v>20</v>
      </c>
      <c r="N99" s="2996">
        <v>20</v>
      </c>
      <c r="O99" s="3001">
        <v>5</v>
      </c>
    </row>
    <row r="100" spans="1:15" ht="13.5" customHeight="1">
      <c r="A100" s="38"/>
      <c r="B100" s="14">
        <v>2074</v>
      </c>
      <c r="C100" s="147"/>
      <c r="D100" s="2138">
        <v>42.415831094542135</v>
      </c>
      <c r="E100" s="2146">
        <v>46.37706219646185</v>
      </c>
      <c r="F100" s="2139">
        <v>40.832242223684588</v>
      </c>
      <c r="G100" s="1654">
        <f>VLOOKUP($B100,Electricity,10,FALSE) * VLOOKUP($B$14,Parameters,3,FALSE) / VLOOKUP(Electricity!$B$14,Parameters,3,FALSE)</f>
        <v>15.487670797843426</v>
      </c>
      <c r="H100" s="1590">
        <f>VLOOKUP($B100,Electricity,11,FALSE) * VLOOKUP($B$14,Parameters,3,FALSE) / VLOOKUP(Electricity!$B$14,Parameters,3,FALSE)</f>
        <v>11.045016676639516</v>
      </c>
      <c r="I100" s="2138">
        <v>76.922719428872256</v>
      </c>
      <c r="J100" s="2139">
        <v>76.922719428872256</v>
      </c>
      <c r="K100" s="2139">
        <v>14.787214744394083</v>
      </c>
      <c r="L100" s="2140">
        <v>0</v>
      </c>
      <c r="M100" s="2995">
        <v>20</v>
      </c>
      <c r="N100" s="2996">
        <v>20</v>
      </c>
      <c r="O100" s="3001">
        <v>5</v>
      </c>
    </row>
    <row r="101" spans="1:15" ht="13.5" customHeight="1">
      <c r="A101" s="38"/>
      <c r="B101" s="14">
        <v>2075</v>
      </c>
      <c r="C101" s="147"/>
      <c r="D101" s="2138">
        <v>42.415831094542135</v>
      </c>
      <c r="E101" s="2146">
        <v>46.37706219646185</v>
      </c>
      <c r="F101" s="2139">
        <v>40.832242223684588</v>
      </c>
      <c r="G101" s="1654">
        <f>VLOOKUP($B101,Electricity,10,FALSE) * VLOOKUP($B$14,Parameters,3,FALSE) / VLOOKUP(Electricity!$B$14,Parameters,3,FALSE)</f>
        <v>15.487670797843426</v>
      </c>
      <c r="H101" s="1590">
        <f>VLOOKUP($B101,Electricity,11,FALSE) * VLOOKUP($B$14,Parameters,3,FALSE) / VLOOKUP(Electricity!$B$14,Parameters,3,FALSE)</f>
        <v>11.045016676639516</v>
      </c>
      <c r="I101" s="2138">
        <v>77.449072347740412</v>
      </c>
      <c r="J101" s="2139">
        <v>77.449072347740412</v>
      </c>
      <c r="K101" s="2139">
        <v>14.888398031990134</v>
      </c>
      <c r="L101" s="2140">
        <v>0</v>
      </c>
      <c r="M101" s="2995">
        <v>20</v>
      </c>
      <c r="N101" s="2996">
        <v>20</v>
      </c>
      <c r="O101" s="3001">
        <v>5</v>
      </c>
    </row>
    <row r="102" spans="1:15" ht="13.5" customHeight="1">
      <c r="A102" s="38"/>
      <c r="B102" s="14">
        <v>2076</v>
      </c>
      <c r="C102" s="147"/>
      <c r="D102" s="2138">
        <v>42.415831094542135</v>
      </c>
      <c r="E102" s="2146">
        <v>46.37706219646185</v>
      </c>
      <c r="F102" s="2139">
        <v>40.832242223684588</v>
      </c>
      <c r="G102" s="1654">
        <f>VLOOKUP($B102,Electricity,10,FALSE) * VLOOKUP($B$14,Parameters,3,FALSE) / VLOOKUP(Electricity!$B$14,Parameters,3,FALSE)</f>
        <v>15.487670797843426</v>
      </c>
      <c r="H102" s="1590">
        <f>VLOOKUP($B102,Electricity,11,FALSE) * VLOOKUP($B$14,Parameters,3,FALSE) / VLOOKUP(Electricity!$B$14,Parameters,3,FALSE)</f>
        <v>11.045016676639516</v>
      </c>
      <c r="I102" s="2138">
        <v>77.979026899484495</v>
      </c>
      <c r="J102" s="2139">
        <v>77.979026899484495</v>
      </c>
      <c r="K102" s="2139">
        <v>14.99027367834784</v>
      </c>
      <c r="L102" s="2140">
        <v>0</v>
      </c>
      <c r="M102" s="2995">
        <v>20</v>
      </c>
      <c r="N102" s="2996">
        <v>20</v>
      </c>
      <c r="O102" s="3001">
        <v>5</v>
      </c>
    </row>
    <row r="103" spans="1:15" ht="13.5" customHeight="1">
      <c r="A103" s="38"/>
      <c r="B103" s="14">
        <v>2077</v>
      </c>
      <c r="C103" s="147"/>
      <c r="D103" s="2138">
        <v>42.415831094542135</v>
      </c>
      <c r="E103" s="2146">
        <v>46.37706219646185</v>
      </c>
      <c r="F103" s="2139">
        <v>40.832242223684588</v>
      </c>
      <c r="G103" s="1654">
        <f>VLOOKUP($B103,Electricity,10,FALSE) * VLOOKUP($B$14,Parameters,3,FALSE) / VLOOKUP(Electricity!$B$14,Parameters,3,FALSE)</f>
        <v>15.487670797843426</v>
      </c>
      <c r="H103" s="1590">
        <f>VLOOKUP($B103,Electricity,11,FALSE) * VLOOKUP($B$14,Parameters,3,FALSE) / VLOOKUP(Electricity!$B$14,Parameters,3,FALSE)</f>
        <v>11.045016676639516</v>
      </c>
      <c r="I103" s="2138">
        <v>78.512607728708716</v>
      </c>
      <c r="J103" s="2139">
        <v>78.512607728708716</v>
      </c>
      <c r="K103" s="2139">
        <v>15.092846421014933</v>
      </c>
      <c r="L103" s="2140">
        <v>0</v>
      </c>
      <c r="M103" s="2995">
        <v>20</v>
      </c>
      <c r="N103" s="2996">
        <v>20</v>
      </c>
      <c r="O103" s="3001">
        <v>5</v>
      </c>
    </row>
    <row r="104" spans="1:15" ht="13.5" customHeight="1">
      <c r="A104" s="38"/>
      <c r="B104" s="14">
        <v>2078</v>
      </c>
      <c r="C104" s="147"/>
      <c r="D104" s="2138">
        <v>42.415831094542135</v>
      </c>
      <c r="E104" s="2146">
        <v>46.37706219646185</v>
      </c>
      <c r="F104" s="2139">
        <v>40.832242223684588</v>
      </c>
      <c r="G104" s="1654">
        <f>VLOOKUP($B104,Electricity,10,FALSE) * VLOOKUP($B$14,Parameters,3,FALSE) / VLOOKUP(Electricity!$B$14,Parameters,3,FALSE)</f>
        <v>15.487670797843426</v>
      </c>
      <c r="H104" s="1590">
        <f>VLOOKUP($B104,Electricity,11,FALSE) * VLOOKUP($B$14,Parameters,3,FALSE) / VLOOKUP(Electricity!$B$14,Parameters,3,FALSE)</f>
        <v>11.045016676639516</v>
      </c>
      <c r="I104" s="2138">
        <v>79.049839648651044</v>
      </c>
      <c r="J104" s="2139">
        <v>79.04983964865103</v>
      </c>
      <c r="K104" s="2139">
        <v>15.196121029956389</v>
      </c>
      <c r="L104" s="2140">
        <v>0</v>
      </c>
      <c r="M104" s="2995">
        <v>20</v>
      </c>
      <c r="N104" s="2996">
        <v>20</v>
      </c>
      <c r="O104" s="3001">
        <v>5</v>
      </c>
    </row>
    <row r="105" spans="1:15" ht="13.5" customHeight="1">
      <c r="A105" s="38"/>
      <c r="B105" s="14">
        <v>2079</v>
      </c>
      <c r="C105" s="147"/>
      <c r="D105" s="2138">
        <v>42.415831094542135</v>
      </c>
      <c r="E105" s="2146">
        <v>46.37706219646185</v>
      </c>
      <c r="F105" s="2139">
        <v>40.832242223684588</v>
      </c>
      <c r="G105" s="1654">
        <f>VLOOKUP($B105,Electricity,10,FALSE) * VLOOKUP($B$14,Parameters,3,FALSE) / VLOOKUP(Electricity!$B$14,Parameters,3,FALSE)</f>
        <v>15.487670797843426</v>
      </c>
      <c r="H105" s="1590">
        <f>VLOOKUP($B105,Electricity,11,FALSE) * VLOOKUP($B$14,Parameters,3,FALSE) / VLOOKUP(Electricity!$B$14,Parameters,3,FALSE)</f>
        <v>11.045016676639516</v>
      </c>
      <c r="I105" s="2138">
        <v>79.590747642336808</v>
      </c>
      <c r="J105" s="2139">
        <v>79.590747642336808</v>
      </c>
      <c r="K105" s="2139">
        <v>15.300102307776223</v>
      </c>
      <c r="L105" s="2140">
        <v>0</v>
      </c>
      <c r="M105" s="2995">
        <v>20</v>
      </c>
      <c r="N105" s="2996">
        <v>20</v>
      </c>
      <c r="O105" s="3001">
        <v>5</v>
      </c>
    </row>
    <row r="106" spans="1:15" ht="13.5" customHeight="1">
      <c r="A106" s="38"/>
      <c r="B106" s="14">
        <v>2080</v>
      </c>
      <c r="C106" s="147"/>
      <c r="D106" s="2138">
        <v>42.415831094542135</v>
      </c>
      <c r="E106" s="2146">
        <v>46.37706219646185</v>
      </c>
      <c r="F106" s="2139">
        <v>40.832242223684588</v>
      </c>
      <c r="G106" s="1654">
        <f>VLOOKUP($B106,Electricity,10,FALSE) * VLOOKUP($B$14,Parameters,3,FALSE) / VLOOKUP(Electricity!$B$14,Parameters,3,FALSE)</f>
        <v>15.487670797843426</v>
      </c>
      <c r="H106" s="1590">
        <f>VLOOKUP($B106,Electricity,11,FALSE) * VLOOKUP($B$14,Parameters,3,FALSE) / VLOOKUP(Electricity!$B$14,Parameters,3,FALSE)</f>
        <v>11.045016676639516</v>
      </c>
      <c r="I106" s="2138">
        <v>80.135356863740881</v>
      </c>
      <c r="J106" s="2139">
        <v>80.135356863740881</v>
      </c>
      <c r="K106" s="2139">
        <v>15.404795089940876</v>
      </c>
      <c r="L106" s="2140">
        <v>0</v>
      </c>
      <c r="M106" s="2995">
        <v>20</v>
      </c>
      <c r="N106" s="2996">
        <v>20</v>
      </c>
      <c r="O106" s="3001">
        <v>5</v>
      </c>
    </row>
    <row r="107" spans="1:15" ht="13.5" customHeight="1">
      <c r="A107" s="38"/>
      <c r="B107" s="14">
        <v>2081</v>
      </c>
      <c r="C107" s="147"/>
      <c r="D107" s="2138">
        <v>42.415831094542135</v>
      </c>
      <c r="E107" s="2146">
        <v>46.37706219646185</v>
      </c>
      <c r="F107" s="2139">
        <v>40.832242223684588</v>
      </c>
      <c r="G107" s="1654">
        <f>VLOOKUP($B107,Electricity,10,FALSE) * VLOOKUP($B$14,Parameters,3,FALSE) / VLOOKUP(Electricity!$B$14,Parameters,3,FALSE)</f>
        <v>15.487670797843426</v>
      </c>
      <c r="H107" s="1590">
        <f>VLOOKUP($B107,Electricity,11,FALSE) * VLOOKUP($B$14,Parameters,3,FALSE) / VLOOKUP(Electricity!$B$14,Parameters,3,FALSE)</f>
        <v>11.045016676639516</v>
      </c>
      <c r="I107" s="2138">
        <v>80.683692638957112</v>
      </c>
      <c r="J107" s="2139">
        <v>80.683692638957112</v>
      </c>
      <c r="K107" s="2139">
        <v>15.510204245004013</v>
      </c>
      <c r="L107" s="2140">
        <v>0</v>
      </c>
      <c r="M107" s="2995">
        <v>20</v>
      </c>
      <c r="N107" s="2996">
        <v>20</v>
      </c>
      <c r="O107" s="3001">
        <v>5</v>
      </c>
    </row>
    <row r="108" spans="1:15" ht="13.5" customHeight="1">
      <c r="A108" s="38"/>
      <c r="B108" s="14">
        <v>2082</v>
      </c>
      <c r="C108" s="147"/>
      <c r="D108" s="2138">
        <v>42.415831094542135</v>
      </c>
      <c r="E108" s="2146">
        <v>46.37706219646185</v>
      </c>
      <c r="F108" s="2139">
        <v>40.832242223684588</v>
      </c>
      <c r="G108" s="1654">
        <f>VLOOKUP($B108,Electricity,10,FALSE) * VLOOKUP($B$14,Parameters,3,FALSE) / VLOOKUP(Electricity!$B$14,Parameters,3,FALSE)</f>
        <v>15.487670797843426</v>
      </c>
      <c r="H108" s="1590">
        <f>VLOOKUP($B108,Electricity,11,FALSE) * VLOOKUP($B$14,Parameters,3,FALSE) / VLOOKUP(Electricity!$B$14,Parameters,3,FALSE)</f>
        <v>11.045016676639516</v>
      </c>
      <c r="I108" s="2138">
        <v>81.235780467376173</v>
      </c>
      <c r="J108" s="2139">
        <v>81.235780467376173</v>
      </c>
      <c r="K108" s="2139">
        <v>15.616334674832972</v>
      </c>
      <c r="L108" s="2140">
        <v>0</v>
      </c>
      <c r="M108" s="2995">
        <v>20</v>
      </c>
      <c r="N108" s="2996">
        <v>20</v>
      </c>
      <c r="O108" s="3001">
        <v>5</v>
      </c>
    </row>
    <row r="109" spans="1:15" ht="13.5" customHeight="1">
      <c r="A109" s="38"/>
      <c r="B109" s="14">
        <v>2083</v>
      </c>
      <c r="C109" s="147"/>
      <c r="D109" s="2138">
        <v>42.415831094542135</v>
      </c>
      <c r="E109" s="2146">
        <v>46.37706219646185</v>
      </c>
      <c r="F109" s="2139">
        <v>40.832242223684588</v>
      </c>
      <c r="G109" s="1654">
        <f>VLOOKUP($B109,Electricity,10,FALSE) * VLOOKUP($B$14,Parameters,3,FALSE) / VLOOKUP(Electricity!$B$14,Parameters,3,FALSE)</f>
        <v>15.487670797843426</v>
      </c>
      <c r="H109" s="1590">
        <f>VLOOKUP($B109,Electricity,11,FALSE) * VLOOKUP($B$14,Parameters,3,FALSE) / VLOOKUP(Electricity!$B$14,Parameters,3,FALSE)</f>
        <v>11.045016676639516</v>
      </c>
      <c r="I109" s="2138">
        <v>81.791646022871461</v>
      </c>
      <c r="J109" s="2139">
        <v>81.791646022871461</v>
      </c>
      <c r="K109" s="2139">
        <v>15.723191314836727</v>
      </c>
      <c r="L109" s="2140">
        <v>0</v>
      </c>
      <c r="M109" s="2995">
        <v>20</v>
      </c>
      <c r="N109" s="2996">
        <v>20</v>
      </c>
      <c r="O109" s="3001">
        <v>5</v>
      </c>
    </row>
    <row r="110" spans="1:15" ht="13.5" customHeight="1">
      <c r="A110" s="38"/>
      <c r="B110" s="14">
        <v>2084</v>
      </c>
      <c r="C110" s="147"/>
      <c r="D110" s="2138">
        <v>42.415831094542135</v>
      </c>
      <c r="E110" s="2146">
        <v>46.37706219646185</v>
      </c>
      <c r="F110" s="2139">
        <v>40.832242223684588</v>
      </c>
      <c r="G110" s="1654">
        <f>VLOOKUP($B110,Electricity,10,FALSE) * VLOOKUP($B$14,Parameters,3,FALSE) / VLOOKUP(Electricity!$B$14,Parameters,3,FALSE)</f>
        <v>15.487670797843426</v>
      </c>
      <c r="H110" s="1590">
        <f>VLOOKUP($B110,Electricity,11,FALSE) * VLOOKUP($B$14,Parameters,3,FALSE) / VLOOKUP(Electricity!$B$14,Parameters,3,FALSE)</f>
        <v>11.045016676639516</v>
      </c>
      <c r="I110" s="2138">
        <v>82.351315154992761</v>
      </c>
      <c r="J110" s="2139">
        <v>82.351315154992761</v>
      </c>
      <c r="K110" s="2139">
        <v>15.830779134195335</v>
      </c>
      <c r="L110" s="2140">
        <v>0</v>
      </c>
      <c r="M110" s="2995">
        <v>20</v>
      </c>
      <c r="N110" s="2996">
        <v>20</v>
      </c>
      <c r="O110" s="3001">
        <v>5</v>
      </c>
    </row>
    <row r="111" spans="1:15" ht="13.5" customHeight="1">
      <c r="A111" s="38"/>
      <c r="B111" s="14">
        <v>2085</v>
      </c>
      <c r="C111" s="147"/>
      <c r="D111" s="2138">
        <v>42.415831094542135</v>
      </c>
      <c r="E111" s="2146">
        <v>46.37706219646185</v>
      </c>
      <c r="F111" s="2139">
        <v>40.832242223684588</v>
      </c>
      <c r="G111" s="1654">
        <f>VLOOKUP($B111,Electricity,10,FALSE) * VLOOKUP($B$14,Parameters,3,FALSE) / VLOOKUP(Electricity!$B$14,Parameters,3,FALSE)</f>
        <v>15.487670797843426</v>
      </c>
      <c r="H111" s="1590">
        <f>VLOOKUP($B111,Electricity,11,FALSE) * VLOOKUP($B$14,Parameters,3,FALSE) / VLOOKUP(Electricity!$B$14,Parameters,3,FALSE)</f>
        <v>11.045016676639516</v>
      </c>
      <c r="I111" s="2138">
        <v>82.914813890168702</v>
      </c>
      <c r="J111" s="2139">
        <v>82.914813890168702</v>
      </c>
      <c r="K111" s="2139">
        <v>15.939103136091104</v>
      </c>
      <c r="L111" s="2140">
        <v>0</v>
      </c>
      <c r="M111" s="2995">
        <v>20</v>
      </c>
      <c r="N111" s="2996">
        <v>20</v>
      </c>
      <c r="O111" s="3001">
        <v>5</v>
      </c>
    </row>
    <row r="112" spans="1:15" ht="13.5" customHeight="1">
      <c r="A112" s="38"/>
      <c r="B112" s="14">
        <v>2086</v>
      </c>
      <c r="C112" s="147"/>
      <c r="D112" s="2138">
        <v>42.415831094542135</v>
      </c>
      <c r="E112" s="2146">
        <v>46.37706219646185</v>
      </c>
      <c r="F112" s="2139">
        <v>40.832242223684588</v>
      </c>
      <c r="G112" s="1654">
        <f>VLOOKUP($B112,Electricity,10,FALSE) * VLOOKUP($B$14,Parameters,3,FALSE) / VLOOKUP(Electricity!$B$14,Parameters,3,FALSE)</f>
        <v>15.487670797843426</v>
      </c>
      <c r="H112" s="1590">
        <f>VLOOKUP($B112,Electricity,11,FALSE) * VLOOKUP($B$14,Parameters,3,FALSE) / VLOOKUP(Electricity!$B$14,Parameters,3,FALSE)</f>
        <v>11.045016676639516</v>
      </c>
      <c r="I112" s="2138">
        <v>83.482168432916637</v>
      </c>
      <c r="J112" s="2139">
        <v>83.482168432916637</v>
      </c>
      <c r="K112" s="2139">
        <v>16.048168357941186</v>
      </c>
      <c r="L112" s="2140">
        <v>0</v>
      </c>
      <c r="M112" s="2995">
        <v>20</v>
      </c>
      <c r="N112" s="2996">
        <v>20</v>
      </c>
      <c r="O112" s="3001">
        <v>5</v>
      </c>
    </row>
    <row r="113" spans="1:15" ht="13.5" customHeight="1">
      <c r="A113" s="38"/>
      <c r="B113" s="14">
        <v>2087</v>
      </c>
      <c r="C113" s="147"/>
      <c r="D113" s="2138">
        <v>42.415831094542135</v>
      </c>
      <c r="E113" s="2146">
        <v>46.37706219646185</v>
      </c>
      <c r="F113" s="2139">
        <v>40.832242223684588</v>
      </c>
      <c r="G113" s="1654">
        <f>VLOOKUP($B113,Electricity,10,FALSE) * VLOOKUP($B$14,Parameters,3,FALSE) / VLOOKUP(Electricity!$B$14,Parameters,3,FALSE)</f>
        <v>15.487670797843426</v>
      </c>
      <c r="H113" s="1590">
        <f>VLOOKUP($B113,Electricity,11,FALSE) * VLOOKUP($B$14,Parameters,3,FALSE) / VLOOKUP(Electricity!$B$14,Parameters,3,FALSE)</f>
        <v>11.045016676639516</v>
      </c>
      <c r="I113" s="2138">
        <v>84.05340516706174</v>
      </c>
      <c r="J113" s="2139">
        <v>84.05340516706174</v>
      </c>
      <c r="K113" s="2139">
        <v>16.157979871631891</v>
      </c>
      <c r="L113" s="2140">
        <v>0</v>
      </c>
      <c r="M113" s="2995">
        <v>20</v>
      </c>
      <c r="N113" s="2996">
        <v>20</v>
      </c>
      <c r="O113" s="3001">
        <v>5</v>
      </c>
    </row>
    <row r="114" spans="1:15" ht="13.5" customHeight="1">
      <c r="A114" s="38"/>
      <c r="B114" s="14">
        <v>2088</v>
      </c>
      <c r="C114" s="147"/>
      <c r="D114" s="2138">
        <v>42.415831094542135</v>
      </c>
      <c r="E114" s="2146">
        <v>46.37706219646185</v>
      </c>
      <c r="F114" s="2139">
        <v>40.832242223684588</v>
      </c>
      <c r="G114" s="1654">
        <f>VLOOKUP($B114,Electricity,10,FALSE) * VLOOKUP($B$14,Parameters,3,FALSE) / VLOOKUP(Electricity!$B$14,Parameters,3,FALSE)</f>
        <v>15.487670797843426</v>
      </c>
      <c r="H114" s="1590">
        <f>VLOOKUP($B114,Electricity,11,FALSE) * VLOOKUP($B$14,Parameters,3,FALSE) / VLOOKUP(Electricity!$B$14,Parameters,3,FALSE)</f>
        <v>11.045016676639516</v>
      </c>
      <c r="I114" s="2138">
        <v>84.628550656963426</v>
      </c>
      <c r="J114" s="2139">
        <v>84.628550656963426</v>
      </c>
      <c r="K114" s="2139">
        <v>16.268542783754494</v>
      </c>
      <c r="L114" s="2140">
        <v>0</v>
      </c>
      <c r="M114" s="2995">
        <v>20</v>
      </c>
      <c r="N114" s="2996">
        <v>20</v>
      </c>
      <c r="O114" s="3001">
        <v>5</v>
      </c>
    </row>
    <row r="115" spans="1:15" ht="13.5" customHeight="1">
      <c r="A115" s="38"/>
      <c r="B115" s="14">
        <v>2089</v>
      </c>
      <c r="C115" s="147"/>
      <c r="D115" s="2138">
        <v>42.415831094542135</v>
      </c>
      <c r="E115" s="2146">
        <v>46.37706219646185</v>
      </c>
      <c r="F115" s="2139">
        <v>40.832242223684588</v>
      </c>
      <c r="G115" s="1654">
        <f>VLOOKUP($B115,Electricity,10,FALSE) * VLOOKUP($B$14,Parameters,3,FALSE) / VLOOKUP(Electricity!$B$14,Parameters,3,FALSE)</f>
        <v>15.487670797843426</v>
      </c>
      <c r="H115" s="1590">
        <f>VLOOKUP($B115,Electricity,11,FALSE) * VLOOKUP($B$14,Parameters,3,FALSE) / VLOOKUP(Electricity!$B$14,Parameters,3,FALSE)</f>
        <v>11.045016676639516</v>
      </c>
      <c r="I115" s="2138">
        <v>85.207631648751104</v>
      </c>
      <c r="J115" s="2139">
        <v>85.207631648751104</v>
      </c>
      <c r="K115" s="2139">
        <v>16.379862235842751</v>
      </c>
      <c r="L115" s="2140">
        <v>0</v>
      </c>
      <c r="M115" s="2995">
        <v>20</v>
      </c>
      <c r="N115" s="2996">
        <v>20</v>
      </c>
      <c r="O115" s="3001">
        <v>5</v>
      </c>
    </row>
    <row r="116" spans="1:15" ht="13.5" customHeight="1">
      <c r="A116" s="38"/>
      <c r="B116" s="14">
        <v>2090</v>
      </c>
      <c r="C116" s="147"/>
      <c r="D116" s="2138">
        <v>42.415831094542135</v>
      </c>
      <c r="E116" s="2146">
        <v>46.37706219646185</v>
      </c>
      <c r="F116" s="2139">
        <v>40.832242223684588</v>
      </c>
      <c r="G116" s="1654">
        <f>VLOOKUP($B116,Electricity,10,FALSE) * VLOOKUP($B$14,Parameters,3,FALSE) / VLOOKUP(Electricity!$B$14,Parameters,3,FALSE)</f>
        <v>15.487670797843426</v>
      </c>
      <c r="H116" s="1590">
        <f>VLOOKUP($B116,Electricity,11,FALSE) * VLOOKUP($B$14,Parameters,3,FALSE) / VLOOKUP(Electricity!$B$14,Parameters,3,FALSE)</f>
        <v>11.045016676639516</v>
      </c>
      <c r="I116" s="2138">
        <v>85.790675071567563</v>
      </c>
      <c r="J116" s="2139">
        <v>85.790675071567563</v>
      </c>
      <c r="K116" s="2139">
        <v>16.491943404611959</v>
      </c>
      <c r="L116" s="2140">
        <v>0</v>
      </c>
      <c r="M116" s="2995">
        <v>20</v>
      </c>
      <c r="N116" s="2996">
        <v>20</v>
      </c>
      <c r="O116" s="3001">
        <v>5</v>
      </c>
    </row>
    <row r="117" spans="1:15" ht="13.5" customHeight="1">
      <c r="A117" s="38"/>
      <c r="B117" s="14">
        <v>2091</v>
      </c>
      <c r="C117" s="147"/>
      <c r="D117" s="2138">
        <v>42.415831094542135</v>
      </c>
      <c r="E117" s="2146">
        <v>46.37706219646185</v>
      </c>
      <c r="F117" s="2139">
        <v>40.832242223684588</v>
      </c>
      <c r="G117" s="1654">
        <f>VLOOKUP($B117,Electricity,10,FALSE) * VLOOKUP($B$14,Parameters,3,FALSE) / VLOOKUP(Electricity!$B$14,Parameters,3,FALSE)</f>
        <v>15.487670797843426</v>
      </c>
      <c r="H117" s="1590">
        <f>VLOOKUP($B117,Electricity,11,FALSE) * VLOOKUP($B$14,Parameters,3,FALSE) / VLOOKUP(Electricity!$B$14,Parameters,3,FALSE)</f>
        <v>11.045016676639516</v>
      </c>
      <c r="I117" s="2138">
        <v>86.377708038821694</v>
      </c>
      <c r="J117" s="2139">
        <v>86.377708038821694</v>
      </c>
      <c r="K117" s="2139">
        <v>16.604791502199728</v>
      </c>
      <c r="L117" s="2140">
        <v>0</v>
      </c>
      <c r="M117" s="2995">
        <v>20</v>
      </c>
      <c r="N117" s="2996">
        <v>20</v>
      </c>
      <c r="O117" s="3001">
        <v>5</v>
      </c>
    </row>
    <row r="118" spans="1:15" ht="13.5" customHeight="1">
      <c r="A118" s="38"/>
      <c r="B118" s="14">
        <v>2092</v>
      </c>
      <c r="C118" s="147"/>
      <c r="D118" s="2138">
        <v>42.415831094542135</v>
      </c>
      <c r="E118" s="2146">
        <v>46.37706219646185</v>
      </c>
      <c r="F118" s="2139">
        <v>40.832242223684588</v>
      </c>
      <c r="G118" s="1654">
        <f>VLOOKUP($B118,Electricity,10,FALSE) * VLOOKUP($B$14,Parameters,3,FALSE) / VLOOKUP(Electricity!$B$14,Parameters,3,FALSE)</f>
        <v>15.487670797843426</v>
      </c>
      <c r="H118" s="1590">
        <f>VLOOKUP($B118,Electricity,11,FALSE) * VLOOKUP($B$14,Parameters,3,FALSE) / VLOOKUP(Electricity!$B$14,Parameters,3,FALSE)</f>
        <v>11.045016676639516</v>
      </c>
      <c r="I118" s="2138">
        <v>86.968757849449048</v>
      </c>
      <c r="J118" s="2139">
        <v>86.968757849449048</v>
      </c>
      <c r="K118" s="2139">
        <v>16.718411776408331</v>
      </c>
      <c r="L118" s="2140">
        <v>0</v>
      </c>
      <c r="M118" s="2995">
        <v>20</v>
      </c>
      <c r="N118" s="2996">
        <v>20</v>
      </c>
      <c r="O118" s="3001">
        <v>5</v>
      </c>
    </row>
    <row r="119" spans="1:15" ht="13.5" customHeight="1">
      <c r="A119" s="38"/>
      <c r="B119" s="14">
        <v>2093</v>
      </c>
      <c r="C119" s="147"/>
      <c r="D119" s="2138">
        <v>42.415831094542135</v>
      </c>
      <c r="E119" s="2146">
        <v>46.37706219646185</v>
      </c>
      <c r="F119" s="2139">
        <v>40.832242223684588</v>
      </c>
      <c r="G119" s="1654">
        <f>VLOOKUP($B119,Electricity,10,FALSE) * VLOOKUP($B$14,Parameters,3,FALSE) / VLOOKUP(Electricity!$B$14,Parameters,3,FALSE)</f>
        <v>15.487670797843426</v>
      </c>
      <c r="H119" s="1590">
        <f>VLOOKUP($B119,Electricity,11,FALSE) * VLOOKUP($B$14,Parameters,3,FALSE) / VLOOKUP(Electricity!$B$14,Parameters,3,FALSE)</f>
        <v>11.045016676639516</v>
      </c>
      <c r="I119" s="2138">
        <v>87.563851989181387</v>
      </c>
      <c r="J119" s="2139">
        <v>87.563851989181387</v>
      </c>
      <c r="K119" s="2139">
        <v>16.832809510948763</v>
      </c>
      <c r="L119" s="2140">
        <v>0</v>
      </c>
      <c r="M119" s="2995">
        <v>20</v>
      </c>
      <c r="N119" s="2996">
        <v>20</v>
      </c>
      <c r="O119" s="3001">
        <v>5</v>
      </c>
    </row>
    <row r="120" spans="1:15" ht="13.5" customHeight="1">
      <c r="A120" s="38"/>
      <c r="B120" s="14">
        <v>2094</v>
      </c>
      <c r="C120" s="147"/>
      <c r="D120" s="2138">
        <v>42.415831094542135</v>
      </c>
      <c r="E120" s="2146">
        <v>46.37706219646185</v>
      </c>
      <c r="F120" s="2139">
        <v>40.832242223684588</v>
      </c>
      <c r="G120" s="1654">
        <f>VLOOKUP($B120,Electricity,10,FALSE) * VLOOKUP($B$14,Parameters,3,FALSE) / VLOOKUP(Electricity!$B$14,Parameters,3,FALSE)</f>
        <v>15.487670797843426</v>
      </c>
      <c r="H120" s="1590">
        <f>VLOOKUP($B120,Electricity,11,FALSE) * VLOOKUP($B$14,Parameters,3,FALSE) / VLOOKUP(Electricity!$B$14,Parameters,3,FALSE)</f>
        <v>11.045016676639516</v>
      </c>
      <c r="I120" s="2138">
        <v>88.163018131824813</v>
      </c>
      <c r="J120" s="2139">
        <v>88.163018131824813</v>
      </c>
      <c r="K120" s="2139">
        <v>16.947990025686433</v>
      </c>
      <c r="L120" s="2140">
        <v>0</v>
      </c>
      <c r="M120" s="2995">
        <v>20</v>
      </c>
      <c r="N120" s="2996">
        <v>20</v>
      </c>
      <c r="O120" s="3001">
        <v>5</v>
      </c>
    </row>
    <row r="121" spans="1:15" ht="13.5" customHeight="1">
      <c r="A121" s="38"/>
      <c r="B121" s="14">
        <v>2095</v>
      </c>
      <c r="C121" s="147"/>
      <c r="D121" s="2138">
        <v>42.415831094542135</v>
      </c>
      <c r="E121" s="2146">
        <v>46.37706219646185</v>
      </c>
      <c r="F121" s="2139">
        <v>40.832242223684588</v>
      </c>
      <c r="G121" s="1654">
        <f>VLOOKUP($B121,Electricity,10,FALSE) * VLOOKUP($B$14,Parameters,3,FALSE) / VLOOKUP(Electricity!$B$14,Parameters,3,FALSE)</f>
        <v>15.487670797843426</v>
      </c>
      <c r="H121" s="1590">
        <f>VLOOKUP($B121,Electricity,11,FALSE) * VLOOKUP($B$14,Parameters,3,FALSE) / VLOOKUP(Electricity!$B$14,Parameters,3,FALSE)</f>
        <v>11.045016676639516</v>
      </c>
      <c r="I121" s="2138">
        <v>88.766284140547</v>
      </c>
      <c r="J121" s="2139">
        <v>88.766284140547</v>
      </c>
      <c r="K121" s="2139">
        <v>17.063958676888596</v>
      </c>
      <c r="L121" s="2140">
        <v>0</v>
      </c>
      <c r="M121" s="2995">
        <v>20</v>
      </c>
      <c r="N121" s="2996">
        <v>20</v>
      </c>
      <c r="O121" s="3001">
        <v>5</v>
      </c>
    </row>
    <row r="122" spans="1:15" ht="13.5" customHeight="1">
      <c r="A122" s="38"/>
      <c r="B122" s="14">
        <v>2096</v>
      </c>
      <c r="C122" s="147"/>
      <c r="D122" s="2138">
        <v>42.415831094542135</v>
      </c>
      <c r="E122" s="2146">
        <v>46.37706219646185</v>
      </c>
      <c r="F122" s="2139">
        <v>40.832242223684588</v>
      </c>
      <c r="G122" s="1654">
        <f>VLOOKUP($B122,Electricity,10,FALSE) * VLOOKUP($B$14,Parameters,3,FALSE) / VLOOKUP(Electricity!$B$14,Parameters,3,FALSE)</f>
        <v>15.487670797843426</v>
      </c>
      <c r="H122" s="1590">
        <f>VLOOKUP($B122,Electricity,11,FALSE) * VLOOKUP($B$14,Parameters,3,FALSE) / VLOOKUP(Electricity!$B$14,Parameters,3,FALSE)</f>
        <v>11.045016676639516</v>
      </c>
      <c r="I122" s="2138">
        <v>89.373678069172428</v>
      </c>
      <c r="J122" s="2139">
        <v>89.373678069172428</v>
      </c>
      <c r="K122" s="2139">
        <v>17.180720857473357</v>
      </c>
      <c r="L122" s="2140">
        <v>0</v>
      </c>
      <c r="M122" s="2995">
        <v>20</v>
      </c>
      <c r="N122" s="2996">
        <v>20</v>
      </c>
      <c r="O122" s="3001">
        <v>5</v>
      </c>
    </row>
    <row r="123" spans="1:15" ht="13.5" customHeight="1">
      <c r="A123" s="38"/>
      <c r="B123" s="14">
        <v>2097</v>
      </c>
      <c r="C123" s="147"/>
      <c r="D123" s="2138">
        <v>42.415831094542135</v>
      </c>
      <c r="E123" s="2146">
        <v>46.37706219646185</v>
      </c>
      <c r="F123" s="2139">
        <v>40.832242223684588</v>
      </c>
      <c r="G123" s="1654">
        <f>VLOOKUP($B123,Electricity,10,FALSE) * VLOOKUP($B$14,Parameters,3,FALSE) / VLOOKUP(Electricity!$B$14,Parameters,3,FALSE)</f>
        <v>15.487670797843426</v>
      </c>
      <c r="H123" s="1590">
        <f>VLOOKUP($B123,Electricity,11,FALSE) * VLOOKUP($B$14,Parameters,3,FALSE) / VLOOKUP(Electricity!$B$14,Parameters,3,FALSE)</f>
        <v>11.045016676639516</v>
      </c>
      <c r="I123" s="2138">
        <v>89.985228163487406</v>
      </c>
      <c r="J123" s="2139">
        <v>89.985228163487406</v>
      </c>
      <c r="K123" s="2139">
        <v>17.298281997260574</v>
      </c>
      <c r="L123" s="2140">
        <v>0</v>
      </c>
      <c r="M123" s="2995">
        <v>20</v>
      </c>
      <c r="N123" s="2996">
        <v>20</v>
      </c>
      <c r="O123" s="3001">
        <v>5</v>
      </c>
    </row>
    <row r="124" spans="1:15" ht="13.5" customHeight="1">
      <c r="A124" s="38"/>
      <c r="B124" s="14">
        <v>2098</v>
      </c>
      <c r="C124" s="147"/>
      <c r="D124" s="2138">
        <v>42.415831094542135</v>
      </c>
      <c r="E124" s="2146">
        <v>46.37706219646185</v>
      </c>
      <c r="F124" s="2139">
        <v>40.832242223684588</v>
      </c>
      <c r="G124" s="1654">
        <f>VLOOKUP($B124,Electricity,10,FALSE) * VLOOKUP($B$14,Parameters,3,FALSE) / VLOOKUP(Electricity!$B$14,Parameters,3,FALSE)</f>
        <v>15.487670797843426</v>
      </c>
      <c r="H124" s="1590">
        <f>VLOOKUP($B124,Electricity,11,FALSE) * VLOOKUP($B$14,Parameters,3,FALSE) / VLOOKUP(Electricity!$B$14,Parameters,3,FALSE)</f>
        <v>11.045016676639516</v>
      </c>
      <c r="I124" s="2138">
        <v>90.600962862553317</v>
      </c>
      <c r="J124" s="2139">
        <v>90.600962862553317</v>
      </c>
      <c r="K124" s="2139">
        <v>17.416647563224238</v>
      </c>
      <c r="L124" s="2140">
        <v>0</v>
      </c>
      <c r="M124" s="2995">
        <v>20</v>
      </c>
      <c r="N124" s="2996">
        <v>20</v>
      </c>
      <c r="O124" s="3001">
        <v>5</v>
      </c>
    </row>
    <row r="125" spans="1:15" ht="13.5" customHeight="1">
      <c r="A125" s="38"/>
      <c r="B125" s="14">
        <v>2099</v>
      </c>
      <c r="C125" s="147"/>
      <c r="D125" s="2138">
        <v>42.415831094542135</v>
      </c>
      <c r="E125" s="2146">
        <v>46.37706219646185</v>
      </c>
      <c r="F125" s="2139">
        <v>40.832242223684588</v>
      </c>
      <c r="G125" s="1654">
        <f>VLOOKUP($B125,Electricity,10,FALSE) * VLOOKUP($B$14,Parameters,3,FALSE) / VLOOKUP(Electricity!$B$14,Parameters,3,FALSE)</f>
        <v>15.487670797843426</v>
      </c>
      <c r="H125" s="1590">
        <f>VLOOKUP($B125,Electricity,11,FALSE) * VLOOKUP($B$14,Parameters,3,FALSE) / VLOOKUP(Electricity!$B$14,Parameters,3,FALSE)</f>
        <v>11.045016676639516</v>
      </c>
      <c r="I125" s="2138">
        <v>91.220910800029273</v>
      </c>
      <c r="J125" s="2139">
        <v>91.220910800029273</v>
      </c>
      <c r="K125" s="2139">
        <v>17.535823059746789</v>
      </c>
      <c r="L125" s="2140">
        <v>0</v>
      </c>
      <c r="M125" s="2995">
        <v>20</v>
      </c>
      <c r="N125" s="2996">
        <v>20</v>
      </c>
      <c r="O125" s="3001">
        <v>5</v>
      </c>
    </row>
    <row r="126" spans="1:15" ht="13.5" customHeight="1" thickBot="1">
      <c r="A126" s="13"/>
      <c r="B126" s="492">
        <v>2100</v>
      </c>
      <c r="C126" s="168"/>
      <c r="D126" s="2991">
        <v>42.415831094542135</v>
      </c>
      <c r="E126" s="2992">
        <v>46.37706219646185</v>
      </c>
      <c r="F126" s="2141">
        <v>40.832242223684588</v>
      </c>
      <c r="G126" s="1654">
        <f>VLOOKUP($B126,Electricity,10,FALSE) * VLOOKUP($B$14,Parameters,3,FALSE) / VLOOKUP(Electricity!$B$14,Parameters,3,FALSE)</f>
        <v>15.487670797843426</v>
      </c>
      <c r="H126" s="1590">
        <f>VLOOKUP($B126,Electricity,11,FALSE) * VLOOKUP($B$14,Parameters,3,FALSE) / VLOOKUP(Electricity!$B$14,Parameters,3,FALSE)</f>
        <v>11.045016676639516</v>
      </c>
      <c r="I126" s="2991">
        <v>91.845100805503577</v>
      </c>
      <c r="J126" s="2141">
        <v>91.845100805503577</v>
      </c>
      <c r="K126" s="2141">
        <v>17.655814028875071</v>
      </c>
      <c r="L126" s="2142">
        <v>0</v>
      </c>
      <c r="M126" s="2997">
        <v>20</v>
      </c>
      <c r="N126" s="2998">
        <v>20</v>
      </c>
      <c r="O126" s="3002">
        <v>5</v>
      </c>
    </row>
    <row r="127" spans="1:15" ht="13.5" customHeight="1" thickTop="1" thickBot="1"/>
    <row r="128" spans="1:15" ht="13.5" customHeight="1" thickBot="1">
      <c r="D128" s="528" t="s">
        <v>1489</v>
      </c>
    </row>
  </sheetData>
  <sheetProtection sheet="1" objects="1" scenarios="1"/>
  <mergeCells count="7">
    <mergeCell ref="B24:B27"/>
    <mergeCell ref="A12:B12"/>
    <mergeCell ref="A7:B7"/>
    <mergeCell ref="A8:B8"/>
    <mergeCell ref="A10:B10"/>
    <mergeCell ref="A11:B11"/>
    <mergeCell ref="A21:B21"/>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H7" r:id="rId3" display="BEIS, 2018"/>
    <hyperlink ref="H8" r:id="rId4" display="BEIS, 2018"/>
    <hyperlink ref="D128" location="'VoC Fuel'!D28" tooltip="Top of this page" display="Top"/>
    <hyperlink ref="H9" r:id="rId5"/>
  </hyperlinks>
  <pageMargins left="0.75" right="0.75" top="1" bottom="1" header="0.5" footer="0.5"/>
  <pageSetup paperSize="9" orientation="portrait" r:id="rId6"/>
  <headerFooter alignWithMargins="0"/>
  <drawing r:id="rId7"/>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indexed="10"/>
  </sheetPr>
  <dimension ref="A1:AM188"/>
  <sheetViews>
    <sheetView showGridLines="0" zoomScale="70" zoomScaleNormal="70" workbookViewId="0">
      <selection activeCell="E23" sqref="E23:F23"/>
    </sheetView>
  </sheetViews>
  <sheetFormatPr defaultColWidth="12.88671875" defaultRowHeight="13.2"/>
  <cols>
    <col min="1" max="16384" width="12.88671875" style="33"/>
  </cols>
  <sheetData>
    <row r="1" spans="1:39" ht="54.9" customHeight="1">
      <c r="A1" s="3569"/>
      <c r="B1" s="3569"/>
      <c r="C1" s="112"/>
    </row>
    <row r="2" spans="1:39" ht="5.0999999999999996" customHeight="1">
      <c r="C2" s="111"/>
    </row>
    <row r="3" spans="1:39" s="20" customFormat="1" ht="20.100000000000001" customHeight="1">
      <c r="A3" s="300" t="s">
        <v>2217</v>
      </c>
      <c r="B3" s="83"/>
      <c r="C3" s="83"/>
      <c r="D3" s="83"/>
      <c r="E3" s="83"/>
      <c r="F3" s="83"/>
      <c r="G3" s="83"/>
      <c r="H3" s="83"/>
      <c r="I3" s="83"/>
      <c r="J3" s="83"/>
      <c r="K3" s="83"/>
      <c r="L3" s="83"/>
      <c r="M3" s="83"/>
      <c r="N3" s="83"/>
      <c r="O3" s="83"/>
      <c r="P3" s="83"/>
      <c r="Q3" s="83"/>
      <c r="R3" s="83"/>
      <c r="S3" s="83"/>
      <c r="T3" s="83"/>
      <c r="X3" s="83"/>
      <c r="Y3" s="83"/>
      <c r="Z3" s="83"/>
      <c r="AA3" s="83"/>
      <c r="AB3" s="46"/>
      <c r="AC3" s="83"/>
      <c r="AM3" s="150"/>
    </row>
    <row r="4" spans="1:39" s="20" customFormat="1" ht="20.100000000000001" customHeight="1" thickBot="1">
      <c r="A4" s="529" t="s">
        <v>1471</v>
      </c>
      <c r="B4" s="109"/>
      <c r="C4" s="109"/>
      <c r="D4" s="109"/>
      <c r="E4" s="109"/>
      <c r="F4" s="109"/>
      <c r="G4" s="109"/>
      <c r="H4" s="109"/>
      <c r="I4" s="109"/>
      <c r="J4" s="109"/>
      <c r="K4" s="109"/>
      <c r="L4" s="109"/>
      <c r="M4" s="109"/>
      <c r="N4" s="109"/>
      <c r="O4" s="109"/>
      <c r="P4" s="109"/>
      <c r="Q4" s="109"/>
      <c r="R4" s="109"/>
      <c r="S4" s="109"/>
      <c r="T4" s="83"/>
      <c r="U4" s="2287"/>
      <c r="V4" s="2287"/>
      <c r="W4" s="2287"/>
      <c r="X4" s="83"/>
      <c r="Y4" s="83"/>
      <c r="Z4" s="83"/>
      <c r="AA4" s="83"/>
      <c r="AB4" s="46"/>
      <c r="AC4" s="83"/>
      <c r="AM4" s="150"/>
    </row>
    <row r="5" spans="1:39" s="38" customFormat="1" ht="9.9" customHeight="1" thickTop="1" thickBot="1">
      <c r="B5" s="85"/>
      <c r="C5" s="85"/>
      <c r="D5" s="86"/>
      <c r="E5" s="85"/>
      <c r="F5" s="85"/>
      <c r="G5" s="86"/>
      <c r="H5" s="86"/>
      <c r="I5" s="86"/>
      <c r="J5" s="86"/>
      <c r="K5" s="86"/>
      <c r="L5" s="86"/>
      <c r="M5" s="86"/>
      <c r="N5" s="86"/>
      <c r="O5" s="2264"/>
      <c r="P5" s="2264"/>
      <c r="Q5" s="2264"/>
      <c r="R5" s="2264"/>
      <c r="S5" s="2288"/>
      <c r="T5" s="97"/>
      <c r="U5" s="26"/>
      <c r="V5" s="26"/>
      <c r="W5" s="26"/>
      <c r="X5" s="26"/>
      <c r="Y5" s="26"/>
      <c r="Z5" s="26"/>
      <c r="AA5" s="26"/>
      <c r="AB5" s="31"/>
      <c r="AC5" s="26"/>
      <c r="AM5" s="87"/>
    </row>
    <row r="6" spans="1:39" s="38" customFormat="1" ht="13.5" customHeight="1" thickTop="1" thickBot="1">
      <c r="A6" s="169" t="s">
        <v>10</v>
      </c>
      <c r="B6" s="169"/>
      <c r="E6" s="122" t="s">
        <v>255</v>
      </c>
      <c r="F6" s="175"/>
      <c r="G6" s="175"/>
      <c r="H6" s="175"/>
      <c r="I6" s="175"/>
      <c r="J6" s="175"/>
      <c r="K6" s="175"/>
      <c r="L6" s="175"/>
      <c r="M6" s="175"/>
      <c r="N6" s="175"/>
      <c r="O6" s="175"/>
      <c r="P6" s="175"/>
      <c r="Q6" s="175"/>
      <c r="R6" s="175"/>
      <c r="S6" s="176"/>
      <c r="T6" s="15"/>
      <c r="U6" s="26"/>
      <c r="V6" s="26"/>
      <c r="W6" s="26"/>
      <c r="X6" s="26"/>
      <c r="Y6" s="26"/>
      <c r="Z6" s="26"/>
      <c r="AA6" s="26"/>
      <c r="AB6" s="31"/>
      <c r="AC6" s="26"/>
      <c r="AM6" s="87"/>
    </row>
    <row r="7" spans="1:39" s="38" customFormat="1" ht="13.5" customHeight="1" thickTop="1">
      <c r="A7" s="3644" t="str">
        <f>Audit!A12</f>
        <v>May 2019 v1.12</v>
      </c>
      <c r="B7" s="3645"/>
      <c r="E7" s="1687" t="s">
        <v>11</v>
      </c>
      <c r="F7" s="3175" t="s">
        <v>2141</v>
      </c>
      <c r="G7" s="2783" t="s">
        <v>1820</v>
      </c>
      <c r="H7" s="159"/>
      <c r="I7" s="159"/>
      <c r="J7" s="348"/>
      <c r="K7" s="159"/>
      <c r="L7" s="159"/>
      <c r="M7" s="159"/>
      <c r="N7" s="159"/>
      <c r="O7" s="348"/>
      <c r="P7" s="348"/>
      <c r="Q7" s="348"/>
      <c r="R7" s="348"/>
      <c r="S7" s="380"/>
      <c r="T7" s="26"/>
      <c r="U7" s="26"/>
      <c r="V7" s="26"/>
      <c r="W7" s="26"/>
      <c r="X7" s="26"/>
      <c r="Y7" s="26"/>
      <c r="Z7" s="26"/>
      <c r="AA7" s="26"/>
      <c r="AB7" s="31"/>
      <c r="AC7" s="26"/>
      <c r="AM7" s="87"/>
    </row>
    <row r="8" spans="1:39" s="38" customFormat="1" ht="13.5" customHeight="1">
      <c r="A8" s="3646">
        <f>Audit!C12</f>
        <v>43586</v>
      </c>
      <c r="B8" s="3645"/>
      <c r="E8" s="90"/>
      <c r="F8" s="2371"/>
      <c r="G8" s="27"/>
      <c r="H8" s="27"/>
      <c r="I8" s="27"/>
      <c r="J8" s="27"/>
      <c r="K8" s="27"/>
      <c r="L8" s="27"/>
      <c r="M8" s="27"/>
      <c r="N8" s="2557"/>
      <c r="O8" s="26"/>
      <c r="P8" s="26"/>
      <c r="Q8" s="26"/>
      <c r="R8" s="26"/>
      <c r="S8" s="147"/>
      <c r="T8" s="26"/>
      <c r="U8" s="26"/>
      <c r="V8" s="26"/>
      <c r="W8" s="26"/>
      <c r="X8" s="26"/>
      <c r="Y8" s="26"/>
      <c r="Z8" s="26"/>
      <c r="AA8" s="26"/>
      <c r="AB8" s="31"/>
      <c r="AC8" s="26"/>
      <c r="AM8" s="87"/>
    </row>
    <row r="9" spans="1:39" s="38" customFormat="1" ht="13.5" customHeight="1" thickBot="1">
      <c r="A9" s="3642" t="s">
        <v>1149</v>
      </c>
      <c r="B9" s="3643"/>
      <c r="E9" s="180" t="s">
        <v>294</v>
      </c>
      <c r="F9" s="335"/>
      <c r="G9" s="26"/>
      <c r="H9" s="26"/>
      <c r="I9" s="26"/>
      <c r="J9" s="26"/>
      <c r="K9" s="26"/>
      <c r="L9" s="26"/>
      <c r="M9" s="27"/>
      <c r="N9" s="2557"/>
      <c r="O9" s="26"/>
      <c r="P9" s="26"/>
      <c r="Q9" s="26"/>
      <c r="R9" s="26"/>
      <c r="S9" s="147"/>
      <c r="T9" s="26"/>
      <c r="U9" s="26"/>
      <c r="V9" s="26"/>
      <c r="W9" s="26"/>
      <c r="X9" s="26"/>
      <c r="Y9" s="26"/>
      <c r="Z9" s="26"/>
      <c r="AA9" s="26"/>
      <c r="AB9" s="31"/>
      <c r="AC9" s="26"/>
      <c r="AM9" s="87"/>
    </row>
    <row r="10" spans="1:39" s="38" customFormat="1" ht="13.5" customHeight="1" thickBot="1">
      <c r="A10" s="3611" t="s">
        <v>1306</v>
      </c>
      <c r="B10" s="3612"/>
      <c r="E10" s="2528" t="s">
        <v>1957</v>
      </c>
      <c r="F10" s="335"/>
      <c r="G10" s="26"/>
      <c r="H10" s="26"/>
      <c r="I10" s="26"/>
      <c r="J10" s="26"/>
      <c r="K10" s="26"/>
      <c r="L10" s="26"/>
      <c r="M10" s="26"/>
      <c r="N10" s="26"/>
      <c r="O10" s="26"/>
      <c r="P10" s="26"/>
      <c r="Q10" s="26"/>
      <c r="R10" s="26"/>
      <c r="S10" s="147"/>
      <c r="T10" s="26"/>
      <c r="U10" s="26"/>
      <c r="V10" s="26"/>
      <c r="W10" s="26"/>
      <c r="X10" s="26"/>
      <c r="Y10" s="26"/>
      <c r="Z10" s="26"/>
      <c r="AA10" s="26"/>
      <c r="AB10" s="31"/>
      <c r="AC10" s="26"/>
      <c r="AM10" s="87"/>
    </row>
    <row r="11" spans="1:39" s="38" customFormat="1" ht="13.5" customHeight="1" thickBot="1">
      <c r="A11" s="3611" t="s">
        <v>2216</v>
      </c>
      <c r="B11" s="3639"/>
      <c r="E11" s="2528" t="s">
        <v>1958</v>
      </c>
      <c r="F11" s="26"/>
      <c r="G11" s="26"/>
      <c r="H11" s="26"/>
      <c r="I11" s="26"/>
      <c r="J11" s="26"/>
      <c r="K11" s="26"/>
      <c r="L11" s="26"/>
      <c r="M11" s="68"/>
      <c r="N11" s="68"/>
      <c r="O11" s="53"/>
      <c r="P11" s="53"/>
      <c r="Q11" s="53"/>
      <c r="R11" s="53"/>
      <c r="S11" s="379"/>
      <c r="T11" s="53"/>
      <c r="U11" s="26"/>
      <c r="V11" s="26"/>
      <c r="W11" s="26"/>
      <c r="X11" s="26"/>
      <c r="Y11" s="26"/>
      <c r="Z11" s="26"/>
      <c r="AA11" s="26"/>
      <c r="AB11" s="31"/>
      <c r="AC11" s="26"/>
      <c r="AM11" s="87"/>
    </row>
    <row r="12" spans="1:39" s="38" customFormat="1" ht="13.5" customHeight="1" thickBot="1">
      <c r="A12" s="3611" t="s">
        <v>2217</v>
      </c>
      <c r="B12" s="3639"/>
      <c r="E12" s="2528" t="s">
        <v>1959</v>
      </c>
      <c r="F12" s="26"/>
      <c r="G12" s="26"/>
      <c r="H12" s="26"/>
      <c r="I12" s="26"/>
      <c r="J12" s="26"/>
      <c r="K12" s="26"/>
      <c r="L12" s="26"/>
      <c r="M12" s="68"/>
      <c r="N12" s="68"/>
      <c r="O12" s="53"/>
      <c r="P12" s="53"/>
      <c r="Q12" s="53"/>
      <c r="R12" s="53"/>
      <c r="S12" s="379"/>
      <c r="T12" s="53"/>
      <c r="U12" s="26"/>
      <c r="V12" s="26"/>
      <c r="W12" s="26"/>
      <c r="X12" s="26"/>
      <c r="Y12" s="26"/>
      <c r="Z12" s="26"/>
      <c r="AA12" s="26"/>
      <c r="AB12" s="31"/>
      <c r="AC12" s="26"/>
      <c r="AM12" s="87"/>
    </row>
    <row r="13" spans="1:39" s="38" customFormat="1" ht="13.5" customHeight="1">
      <c r="A13" s="172" t="s">
        <v>252</v>
      </c>
      <c r="B13" s="194"/>
      <c r="E13" s="2528" t="s">
        <v>1960</v>
      </c>
      <c r="F13" s="27"/>
      <c r="G13" s="27"/>
      <c r="H13" s="26"/>
      <c r="I13" s="26"/>
      <c r="J13" s="26"/>
      <c r="K13" s="26"/>
      <c r="L13" s="26"/>
      <c r="M13" s="26"/>
      <c r="N13" s="27"/>
      <c r="O13" s="26"/>
      <c r="P13" s="26"/>
      <c r="Q13" s="26"/>
      <c r="R13" s="26"/>
      <c r="S13" s="147"/>
      <c r="T13" s="26"/>
      <c r="U13" s="26"/>
      <c r="V13" s="26"/>
      <c r="W13" s="26"/>
      <c r="X13" s="26"/>
      <c r="Y13" s="26"/>
      <c r="Z13" s="26"/>
      <c r="AA13" s="26"/>
      <c r="AB13" s="31"/>
      <c r="AC13" s="26"/>
      <c r="AM13" s="87"/>
    </row>
    <row r="14" spans="1:39" ht="13.5" customHeight="1">
      <c r="A14" s="2619" t="s">
        <v>1822</v>
      </c>
      <c r="B14" s="1221">
        <v>2018</v>
      </c>
      <c r="C14" s="82"/>
      <c r="E14" s="1229"/>
      <c r="F14" s="27"/>
      <c r="G14" s="27"/>
      <c r="H14" s="27"/>
      <c r="I14" s="27"/>
      <c r="J14" s="27"/>
      <c r="K14" s="27"/>
      <c r="L14" s="27"/>
      <c r="M14" s="27"/>
      <c r="N14" s="27"/>
      <c r="O14" s="26"/>
      <c r="P14" s="26"/>
      <c r="Q14" s="26"/>
      <c r="R14" s="26"/>
      <c r="S14" s="147"/>
      <c r="T14" s="26"/>
      <c r="U14" s="26"/>
      <c r="V14" s="26"/>
      <c r="W14" s="26"/>
      <c r="X14" s="72"/>
      <c r="Y14" s="72"/>
      <c r="Z14" s="72"/>
      <c r="AA14" s="96"/>
      <c r="AB14" s="31"/>
      <c r="AC14" s="26"/>
    </row>
    <row r="15" spans="1:39" ht="13.5" customHeight="1">
      <c r="B15" s="2284"/>
      <c r="C15" s="7"/>
      <c r="E15" s="90" t="s">
        <v>1477</v>
      </c>
      <c r="F15" s="27"/>
      <c r="G15" s="27"/>
      <c r="H15" s="27"/>
      <c r="I15" s="27"/>
      <c r="J15" s="27"/>
      <c r="K15" s="27"/>
      <c r="L15" s="27"/>
      <c r="M15" s="27"/>
      <c r="N15" s="27"/>
      <c r="O15" s="26"/>
      <c r="P15" s="26"/>
      <c r="Q15" s="26"/>
      <c r="R15" s="26"/>
      <c r="S15" s="147"/>
      <c r="T15" s="26"/>
      <c r="U15" s="26"/>
      <c r="V15" s="32"/>
      <c r="W15" s="26"/>
      <c r="X15" s="56"/>
      <c r="Y15" s="72"/>
      <c r="Z15" s="72"/>
      <c r="AA15" s="96"/>
      <c r="AB15" s="31"/>
      <c r="AC15" s="26"/>
    </row>
    <row r="16" spans="1:39" ht="13.5" customHeight="1">
      <c r="A16" s="26"/>
      <c r="B16" s="26"/>
      <c r="C16" s="7"/>
      <c r="E16" s="161" t="s">
        <v>1470</v>
      </c>
      <c r="F16" s="27"/>
      <c r="G16" s="27"/>
      <c r="H16" s="27"/>
      <c r="I16" s="27"/>
      <c r="J16" s="27"/>
      <c r="K16" s="27"/>
      <c r="L16" s="27"/>
      <c r="M16" s="26"/>
      <c r="N16" s="26"/>
      <c r="O16" s="26"/>
      <c r="P16" s="26"/>
      <c r="Q16" s="26"/>
      <c r="R16" s="26"/>
      <c r="S16" s="147"/>
      <c r="T16" s="26"/>
      <c r="U16" s="26"/>
      <c r="V16" s="32"/>
      <c r="W16" s="26"/>
      <c r="X16" s="26"/>
      <c r="Y16" s="26"/>
      <c r="Z16" s="26"/>
      <c r="AA16" s="26"/>
      <c r="AB16" s="26"/>
      <c r="AC16" s="26"/>
    </row>
    <row r="17" spans="1:38" ht="13.5" customHeight="1" thickBot="1">
      <c r="A17" s="26"/>
      <c r="B17" s="2267"/>
      <c r="C17" s="82"/>
      <c r="E17" s="162" t="s">
        <v>2221</v>
      </c>
      <c r="F17" s="37"/>
      <c r="G17" s="37"/>
      <c r="H17" s="37"/>
      <c r="I17" s="37"/>
      <c r="J17" s="37"/>
      <c r="K17" s="37"/>
      <c r="L17" s="37"/>
      <c r="M17" s="37"/>
      <c r="N17" s="37"/>
      <c r="O17" s="13"/>
      <c r="P17" s="13"/>
      <c r="Q17" s="13"/>
      <c r="R17" s="13"/>
      <c r="S17" s="168"/>
      <c r="T17" s="26"/>
      <c r="U17" s="26"/>
      <c r="V17" s="32"/>
      <c r="W17" s="26"/>
      <c r="X17" s="26"/>
    </row>
    <row r="18" spans="1:38" ht="13.5" customHeight="1" thickTop="1" thickBot="1">
      <c r="B18" s="27"/>
      <c r="C18" s="27"/>
      <c r="D18" s="69"/>
      <c r="E18" s="37"/>
      <c r="F18" s="37"/>
      <c r="G18" s="37"/>
      <c r="H18" s="37"/>
      <c r="I18" s="37"/>
      <c r="J18" s="37"/>
      <c r="K18" s="37"/>
      <c r="L18" s="37"/>
      <c r="M18" s="37"/>
      <c r="N18" s="27"/>
      <c r="O18" s="27"/>
      <c r="P18" s="27"/>
      <c r="Q18" s="27"/>
      <c r="R18" s="27"/>
      <c r="S18" s="27"/>
      <c r="T18" s="27"/>
    </row>
    <row r="19" spans="1:38" ht="13.5" customHeight="1" thickTop="1" thickBot="1">
      <c r="A19" s="122" t="s">
        <v>1469</v>
      </c>
      <c r="B19" s="277"/>
      <c r="C19" s="582"/>
      <c r="D19" s="574" t="str">
        <f>CONCATENATE("Road and rail electricity prices &amp; components, ", B14," prices")</f>
        <v>Road and rail electricity prices &amp; components, 2018 prices</v>
      </c>
      <c r="E19" s="574"/>
      <c r="F19" s="574"/>
      <c r="G19" s="574"/>
      <c r="H19" s="574"/>
      <c r="I19" s="574"/>
      <c r="J19" s="574"/>
      <c r="K19" s="574"/>
      <c r="L19" s="574"/>
      <c r="M19" s="378"/>
      <c r="N19" s="27"/>
      <c r="O19" s="322"/>
      <c r="P19" s="322"/>
      <c r="Q19" s="322"/>
      <c r="R19" s="322"/>
      <c r="S19" s="322"/>
      <c r="T19" s="322"/>
    </row>
    <row r="20" spans="1:38" ht="13.5" customHeight="1" thickTop="1" thickBot="1">
      <c r="A20" s="170"/>
      <c r="B20" s="3716" t="s">
        <v>1450</v>
      </c>
      <c r="C20" s="293"/>
      <c r="D20" s="508"/>
      <c r="E20" s="589"/>
      <c r="F20" s="631" t="s">
        <v>578</v>
      </c>
      <c r="G20" s="590"/>
      <c r="H20" s="590"/>
      <c r="I20" s="590"/>
      <c r="J20" s="590"/>
      <c r="K20" s="590"/>
      <c r="L20" s="590"/>
      <c r="M20" s="2262" t="s">
        <v>1472</v>
      </c>
      <c r="O20" s="322"/>
      <c r="P20" s="322"/>
      <c r="Q20" s="322"/>
      <c r="R20" s="322"/>
      <c r="S20" s="322"/>
      <c r="T20" s="322"/>
    </row>
    <row r="21" spans="1:38" s="27" customFormat="1" ht="13.5" customHeight="1" thickTop="1">
      <c r="A21" s="170"/>
      <c r="B21" s="3716"/>
      <c r="C21" s="293"/>
      <c r="D21" s="1587" t="str">
        <f>"BEIS "&amp;"("&amp;B14&amp;" prices)"</f>
        <v>BEIS (2018 prices)</v>
      </c>
      <c r="E21" s="1588"/>
      <c r="F21" s="281" t="s">
        <v>1473</v>
      </c>
      <c r="G21" s="2261"/>
      <c r="H21" s="2273" t="s">
        <v>656</v>
      </c>
      <c r="I21" s="2282" t="s">
        <v>1476</v>
      </c>
      <c r="J21" s="2283"/>
      <c r="K21" s="1587" t="s">
        <v>581</v>
      </c>
      <c r="L21" s="1588"/>
      <c r="M21" s="2263" t="s">
        <v>582</v>
      </c>
      <c r="O21" s="322"/>
      <c r="P21" s="322"/>
      <c r="Q21" s="322"/>
      <c r="R21" s="322"/>
      <c r="S21" s="322"/>
      <c r="T21" s="322"/>
      <c r="V21" s="3663"/>
      <c r="W21" s="3663"/>
      <c r="X21" s="3663"/>
      <c r="Y21" s="3663"/>
      <c r="Z21" s="3663"/>
      <c r="AA21" s="3663"/>
      <c r="AB21" s="3663"/>
      <c r="AC21" s="3663"/>
      <c r="AD21" s="3663"/>
      <c r="AE21" s="3663"/>
      <c r="AF21" s="3663"/>
      <c r="AG21" s="3663"/>
      <c r="AH21" s="3663"/>
      <c r="AI21" s="3663"/>
      <c r="AJ21" s="3663"/>
      <c r="AK21" s="3663"/>
      <c r="AL21" s="3663"/>
    </row>
    <row r="22" spans="1:38" s="27" customFormat="1" ht="13.5" customHeight="1">
      <c r="A22" s="170"/>
      <c r="B22" s="3716"/>
      <c r="C22" s="293"/>
      <c r="D22" s="575" t="s">
        <v>583</v>
      </c>
      <c r="E22" s="576" t="s">
        <v>584</v>
      </c>
      <c r="F22" s="575" t="s">
        <v>583</v>
      </c>
      <c r="G22" s="576" t="s">
        <v>584</v>
      </c>
      <c r="H22" s="576" t="s">
        <v>1475</v>
      </c>
      <c r="I22" s="575" t="s">
        <v>583</v>
      </c>
      <c r="J22" s="576" t="s">
        <v>584</v>
      </c>
      <c r="K22" s="575" t="s">
        <v>583</v>
      </c>
      <c r="L22" s="576" t="s">
        <v>584</v>
      </c>
      <c r="M22" s="576" t="s">
        <v>583</v>
      </c>
      <c r="O22" s="322"/>
      <c r="P22" s="322"/>
      <c r="Q22" s="322"/>
      <c r="R22" s="322"/>
      <c r="S22" s="322"/>
      <c r="T22" s="322"/>
      <c r="V22" s="68"/>
      <c r="W22" s="68"/>
      <c r="X22" s="68"/>
      <c r="Y22" s="68"/>
      <c r="Z22" s="68"/>
      <c r="AA22" s="68"/>
      <c r="AB22" s="68"/>
      <c r="AC22" s="68"/>
      <c r="AD22" s="68"/>
      <c r="AE22" s="68"/>
      <c r="AF22" s="68"/>
      <c r="AG22" s="68"/>
      <c r="AH22" s="68"/>
      <c r="AI22" s="68"/>
      <c r="AJ22" s="68"/>
      <c r="AK22" s="68"/>
      <c r="AL22" s="68"/>
    </row>
    <row r="23" spans="1:38" ht="13.5" customHeight="1" thickBot="1">
      <c r="A23" s="465"/>
      <c r="B23" s="3717"/>
      <c r="C23" s="439"/>
      <c r="D23" s="578" t="s">
        <v>586</v>
      </c>
      <c r="E23" s="579" t="s">
        <v>586</v>
      </c>
      <c r="F23" s="2272" t="s">
        <v>87</v>
      </c>
      <c r="G23" s="2271" t="s">
        <v>87</v>
      </c>
      <c r="H23" s="579" t="s">
        <v>1474</v>
      </c>
      <c r="I23" s="578" t="s">
        <v>586</v>
      </c>
      <c r="J23" s="579" t="s">
        <v>586</v>
      </c>
      <c r="K23" s="2286" t="s">
        <v>586</v>
      </c>
      <c r="L23" s="2285" t="s">
        <v>586</v>
      </c>
      <c r="M23" s="579" t="s">
        <v>587</v>
      </c>
      <c r="O23" s="322"/>
      <c r="P23" s="322"/>
      <c r="Q23" s="322"/>
      <c r="R23" s="322"/>
      <c r="S23" s="322"/>
      <c r="T23" s="322"/>
    </row>
    <row r="24" spans="1:38" ht="13.5" customHeight="1" thickTop="1">
      <c r="A24" s="90"/>
      <c r="B24" s="14">
        <v>2010</v>
      </c>
      <c r="C24" s="82"/>
      <c r="D24" s="932">
        <v>14.182584562767785</v>
      </c>
      <c r="E24" s="933">
        <v>7.7543488323825676</v>
      </c>
      <c r="F24" s="2274">
        <f>VLOOKUP($B24,'CO2'!$B$27:$H$67,6,FALSE)</f>
        <v>0.38937841888483038</v>
      </c>
      <c r="G24" s="2259">
        <f>VLOOKUP($B24,'CO2'!$B$27:$H$67,7,FALSE)</f>
        <v>0.36250442113580411</v>
      </c>
      <c r="H24" s="2280">
        <f>VLOOKUP($B24,GHG!$B$27:$E$119,4,FALSE)</f>
        <v>14</v>
      </c>
      <c r="I24" s="73">
        <f>F24*H24/10</f>
        <v>0.54512978643876253</v>
      </c>
      <c r="J24" s="2253">
        <f>G24*H24/10</f>
        <v>0.50750618959012583</v>
      </c>
      <c r="K24" s="2252">
        <f>D24/(1+M24/100)</f>
        <v>13.507223393112175</v>
      </c>
      <c r="L24" s="2254">
        <f>E24</f>
        <v>7.7543488323825676</v>
      </c>
      <c r="M24" s="74">
        <f>VLOOKUP($B24,'VoC Fuel'!$B$28:$O$126,14,FALSE)</f>
        <v>5</v>
      </c>
      <c r="O24" s="73"/>
      <c r="P24" s="73"/>
      <c r="Q24" s="73"/>
      <c r="R24" s="73"/>
      <c r="S24" s="65"/>
      <c r="T24" s="65"/>
    </row>
    <row r="25" spans="1:38" ht="13.5" customHeight="1">
      <c r="A25" s="90"/>
      <c r="B25" s="14">
        <v>2011</v>
      </c>
      <c r="C25" s="82"/>
      <c r="D25" s="932">
        <v>15.066426389227402</v>
      </c>
      <c r="E25" s="933">
        <v>8.0584685935744353</v>
      </c>
      <c r="F25" s="2275">
        <f>VLOOKUP($B25,'CO2'!$B$27:$H$67,6,FALSE)</f>
        <v>0.38377758893819225</v>
      </c>
      <c r="G25" s="2248">
        <f>VLOOKUP($B25,'CO2'!$B$27:$H$67,7,FALSE)</f>
        <v>0.35568372953447902</v>
      </c>
      <c r="H25" s="2281">
        <f>VLOOKUP($B25,GHG!$B$27:$E$119,4,FALSE)</f>
        <v>13</v>
      </c>
      <c r="I25" s="73">
        <f t="shared" ref="I25:I88" si="0">F25*H25/10</f>
        <v>0.49891086561964998</v>
      </c>
      <c r="J25" s="73">
        <f t="shared" ref="J25:J88" si="1">G25*H25/10</f>
        <v>0.46238884839482275</v>
      </c>
      <c r="K25" s="117">
        <f t="shared" ref="K25:K88" si="2">D25/(1+M25/100)</f>
        <v>14.348977513549906</v>
      </c>
      <c r="L25" s="74">
        <f t="shared" ref="L25:L88" si="3">E25</f>
        <v>8.0584685935744353</v>
      </c>
      <c r="M25" s="74">
        <f>VLOOKUP($B25,'VoC Fuel'!$B$28:$O$126,14,FALSE)</f>
        <v>5</v>
      </c>
      <c r="O25" s="73"/>
      <c r="P25" s="73"/>
      <c r="Q25" s="73"/>
      <c r="R25" s="73"/>
      <c r="S25" s="65"/>
      <c r="T25" s="65"/>
    </row>
    <row r="26" spans="1:38" ht="13.5" customHeight="1">
      <c r="A26" s="90"/>
      <c r="B26" s="14">
        <v>2012</v>
      </c>
      <c r="C26" s="82"/>
      <c r="D26" s="932">
        <v>15.658880903292564</v>
      </c>
      <c r="E26" s="933">
        <v>8.800385860144555</v>
      </c>
      <c r="F26" s="2275">
        <f>VLOOKUP($B26,'CO2'!$B$27:$H$67,6,FALSE)</f>
        <v>0.37657132794163034</v>
      </c>
      <c r="G26" s="2248">
        <f>VLOOKUP($B26,'CO2'!$B$27:$H$67,7,FALSE)</f>
        <v>0.34847589599259055</v>
      </c>
      <c r="H26" s="2281">
        <f>VLOOKUP($B26,GHG!$B$27:$E$119,4,FALSE)</f>
        <v>7</v>
      </c>
      <c r="I26" s="73">
        <f t="shared" si="0"/>
        <v>0.26359992955914124</v>
      </c>
      <c r="J26" s="73">
        <f t="shared" si="1"/>
        <v>0.24393312719481339</v>
      </c>
      <c r="K26" s="117">
        <f>D26/(1+M26/100)</f>
        <v>14.91321990789768</v>
      </c>
      <c r="L26" s="74">
        <f>E26</f>
        <v>8.800385860144555</v>
      </c>
      <c r="M26" s="74">
        <f>VLOOKUP($B26,'VoC Fuel'!$B$28:$O$126,14,FALSE)</f>
        <v>5</v>
      </c>
      <c r="O26" s="73"/>
      <c r="P26" s="73"/>
      <c r="Q26" s="73"/>
      <c r="R26" s="73"/>
      <c r="S26" s="65"/>
      <c r="T26" s="65"/>
      <c r="V26" s="26"/>
    </row>
    <row r="27" spans="1:38" ht="13.5" customHeight="1">
      <c r="A27" s="90"/>
      <c r="B27" s="14">
        <v>2013</v>
      </c>
      <c r="C27" s="82"/>
      <c r="D27" s="932">
        <v>16.392808275487127</v>
      </c>
      <c r="E27" s="933">
        <v>9.6673637024534926</v>
      </c>
      <c r="F27" s="2275">
        <f>VLOOKUP($B27,'CO2'!$B$27:$H$67,6,FALSE)</f>
        <v>0.36739163602512309</v>
      </c>
      <c r="G27" s="2248">
        <f>VLOOKUP($B27,'CO2'!$B$27:$H$67,7,FALSE)</f>
        <v>0.34085894636280811</v>
      </c>
      <c r="H27" s="2281">
        <f>VLOOKUP($B27,GHG!$B$27:$E$119,4,FALSE)</f>
        <v>4</v>
      </c>
      <c r="I27" s="73">
        <f t="shared" si="0"/>
        <v>0.14695665441004924</v>
      </c>
      <c r="J27" s="73">
        <f t="shared" si="1"/>
        <v>0.13634357854512325</v>
      </c>
      <c r="K27" s="117">
        <f t="shared" si="2"/>
        <v>15.612198357606786</v>
      </c>
      <c r="L27" s="74">
        <f t="shared" si="3"/>
        <v>9.6673637024534926</v>
      </c>
      <c r="M27" s="74">
        <f>VLOOKUP($B27,'VoC Fuel'!$B$28:$O$126,14,FALSE)</f>
        <v>5</v>
      </c>
      <c r="O27" s="73"/>
      <c r="P27" s="73"/>
      <c r="Q27" s="73"/>
      <c r="R27" s="73"/>
      <c r="S27" s="65"/>
      <c r="T27" s="65"/>
      <c r="V27" s="26"/>
    </row>
    <row r="28" spans="1:38" ht="13.5" customHeight="1">
      <c r="A28" s="90"/>
      <c r="B28" s="14">
        <v>2014</v>
      </c>
      <c r="C28" s="82"/>
      <c r="D28" s="932">
        <v>16.51426251703861</v>
      </c>
      <c r="E28" s="933">
        <v>9.7873327269451966</v>
      </c>
      <c r="F28" s="2275">
        <f>VLOOKUP($B28,'CO2'!$B$27:$H$67,6,FALSE)</f>
        <v>0.36044300365091569</v>
      </c>
      <c r="G28" s="2248">
        <f>VLOOKUP($B28,'CO2'!$B$27:$H$67,7,FALSE)</f>
        <v>0.33280965924685701</v>
      </c>
      <c r="H28" s="2281">
        <f>VLOOKUP($B28,GHG!$B$27:$E$119,4,FALSE)</f>
        <v>5</v>
      </c>
      <c r="I28" s="73">
        <f t="shared" si="0"/>
        <v>0.18022150182545785</v>
      </c>
      <c r="J28" s="73">
        <f t="shared" si="1"/>
        <v>0.16640482962342851</v>
      </c>
      <c r="K28" s="117">
        <f t="shared" si="2"/>
        <v>15.727869063846294</v>
      </c>
      <c r="L28" s="74">
        <f t="shared" si="3"/>
        <v>9.7873327269451966</v>
      </c>
      <c r="M28" s="74">
        <f>VLOOKUP($B28,'VoC Fuel'!$B$28:$O$126,14,FALSE)</f>
        <v>5</v>
      </c>
      <c r="O28" s="73"/>
      <c r="P28" s="73"/>
      <c r="Q28" s="73"/>
      <c r="R28" s="73"/>
      <c r="S28" s="65"/>
      <c r="T28" s="65"/>
    </row>
    <row r="29" spans="1:38" ht="13.5" customHeight="1">
      <c r="A29" s="90"/>
      <c r="B29" s="14">
        <v>2015</v>
      </c>
      <c r="C29" s="82"/>
      <c r="D29" s="932">
        <v>16.205441211594817</v>
      </c>
      <c r="E29" s="933">
        <v>9.9092986036186375</v>
      </c>
      <c r="F29" s="2275">
        <f>VLOOKUP($B29,'CO2'!$B$27:$H$67,6,FALSE)</f>
        <v>0.35022013638393001</v>
      </c>
      <c r="G29" s="2248">
        <f>VLOOKUP($B29,'CO2'!$B$27:$H$67,7,FALSE)</f>
        <v>0.32430349520164908</v>
      </c>
      <c r="H29" s="2281">
        <f>VLOOKUP($B29,GHG!$B$27:$E$119,4,FALSE)</f>
        <v>6</v>
      </c>
      <c r="I29" s="73">
        <f t="shared" si="0"/>
        <v>0.21013208183035798</v>
      </c>
      <c r="J29" s="73">
        <f t="shared" si="1"/>
        <v>0.19458209712098945</v>
      </c>
      <c r="K29" s="117">
        <f t="shared" si="2"/>
        <v>15.433753534852206</v>
      </c>
      <c r="L29" s="74">
        <f t="shared" si="3"/>
        <v>9.9092986036186375</v>
      </c>
      <c r="M29" s="74">
        <f>VLOOKUP($B29,'VoC Fuel'!$B$28:$O$126,14,FALSE)</f>
        <v>5</v>
      </c>
      <c r="O29" s="73"/>
      <c r="P29" s="73"/>
      <c r="Q29" s="73"/>
      <c r="R29" s="73"/>
      <c r="S29" s="65"/>
      <c r="T29" s="65"/>
    </row>
    <row r="30" spans="1:38" ht="13.5" customHeight="1">
      <c r="A30" s="90"/>
      <c r="B30" s="14">
        <v>2016</v>
      </c>
      <c r="C30" s="82"/>
      <c r="D30" s="932">
        <v>15.94068353440567</v>
      </c>
      <c r="E30" s="933">
        <v>9.6408249432010606</v>
      </c>
      <c r="F30" s="2275">
        <f>VLOOKUP($B30,'CO2'!$B$27:$H$67,6,FALSE)</f>
        <v>0.33960660597723208</v>
      </c>
      <c r="G30" s="2248">
        <f>VLOOKUP($B30,'CO2'!$B$27:$H$67,7,FALSE)</f>
        <v>0.31531452192715809</v>
      </c>
      <c r="H30" s="2281">
        <f>VLOOKUP($B30,GHG!$B$27:$E$119,4,FALSE)</f>
        <v>5</v>
      </c>
      <c r="I30" s="73">
        <f t="shared" si="0"/>
        <v>0.16980330298861604</v>
      </c>
      <c r="J30" s="73">
        <f t="shared" si="1"/>
        <v>0.15765726096357904</v>
      </c>
      <c r="K30" s="117">
        <f>D30/(1+M30/100)</f>
        <v>15.181603366100637</v>
      </c>
      <c r="L30" s="74">
        <f t="shared" si="3"/>
        <v>9.6408249432010606</v>
      </c>
      <c r="M30" s="74">
        <f>VLOOKUP($B30,'VoC Fuel'!$B$28:$O$126,14,FALSE)</f>
        <v>5</v>
      </c>
      <c r="O30" s="73"/>
      <c r="P30" s="73"/>
      <c r="Q30" s="73"/>
      <c r="R30" s="73"/>
      <c r="S30" s="65"/>
      <c r="T30" s="65"/>
    </row>
    <row r="31" spans="1:38" ht="13.5" customHeight="1">
      <c r="A31" s="90"/>
      <c r="B31" s="14">
        <v>2017</v>
      </c>
      <c r="C31" s="82"/>
      <c r="D31" s="932">
        <v>16.534759014662122</v>
      </c>
      <c r="E31" s="933">
        <v>10.033691509959565</v>
      </c>
      <c r="F31" s="2275">
        <f>VLOOKUP($B31,'CO2'!$B$27:$H$67,6,FALSE)</f>
        <v>0.329934063912868</v>
      </c>
      <c r="G31" s="2248">
        <f>VLOOKUP($B31,'CO2'!$B$27:$H$67,7,FALSE)</f>
        <v>0.30581533520796539</v>
      </c>
      <c r="H31" s="2281">
        <f>VLOOKUP($B31,GHG!$B$27:$E$119,4,FALSE)</f>
        <v>5</v>
      </c>
      <c r="I31" s="73">
        <f t="shared" si="0"/>
        <v>0.164967031956434</v>
      </c>
      <c r="J31" s="73">
        <f t="shared" si="1"/>
        <v>0.15290766760398269</v>
      </c>
      <c r="K31" s="117">
        <f t="shared" si="2"/>
        <v>15.747389537773449</v>
      </c>
      <c r="L31" s="74">
        <f>E31</f>
        <v>10.033691509959565</v>
      </c>
      <c r="M31" s="74">
        <f>VLOOKUP($B31,'VoC Fuel'!$B$28:$O$126,14,FALSE)</f>
        <v>5</v>
      </c>
      <c r="O31" s="73"/>
      <c r="P31" s="73"/>
      <c r="Q31" s="73"/>
      <c r="R31" s="73"/>
      <c r="S31" s="65"/>
      <c r="T31" s="65"/>
    </row>
    <row r="32" spans="1:38" ht="13.5" customHeight="1">
      <c r="A32" s="90"/>
      <c r="B32" s="14">
        <v>2018</v>
      </c>
      <c r="C32" s="82"/>
      <c r="D32" s="932">
        <v>17.789473684210527</v>
      </c>
      <c r="E32" s="933">
        <v>11.88880918985007</v>
      </c>
      <c r="F32" s="2275">
        <f>VLOOKUP($B32,'CO2'!$B$27:$H$67,6,FALSE)</f>
        <v>0.31910400905329878</v>
      </c>
      <c r="G32" s="2248">
        <f>VLOOKUP($B32,'CO2'!$B$27:$H$67,7,FALSE)</f>
        <v>0.29577697536745345</v>
      </c>
      <c r="H32" s="2281">
        <f>VLOOKUP($B32,GHG!$B$27:$E$119,4,FALSE)</f>
        <v>13</v>
      </c>
      <c r="I32" s="73">
        <f t="shared" si="0"/>
        <v>0.41483521176928839</v>
      </c>
      <c r="J32" s="73">
        <f t="shared" si="1"/>
        <v>0.3845100679776895</v>
      </c>
      <c r="K32" s="117">
        <f t="shared" si="2"/>
        <v>16.942355889724311</v>
      </c>
      <c r="L32" s="74">
        <f t="shared" si="3"/>
        <v>11.88880918985007</v>
      </c>
      <c r="M32" s="74">
        <f>VLOOKUP($B32,'VoC Fuel'!$B$28:$O$126,14,FALSE)</f>
        <v>5</v>
      </c>
      <c r="O32" s="73"/>
      <c r="P32" s="73"/>
      <c r="Q32" s="73"/>
      <c r="R32" s="73"/>
      <c r="S32" s="65"/>
      <c r="T32" s="65"/>
    </row>
    <row r="33" spans="1:20" ht="13.5" customHeight="1">
      <c r="A33" s="90"/>
      <c r="B33" s="14">
        <v>2019</v>
      </c>
      <c r="C33" s="82"/>
      <c r="D33" s="932">
        <v>18.158185450437731</v>
      </c>
      <c r="E33" s="933">
        <v>12.3356053869989</v>
      </c>
      <c r="F33" s="2275">
        <f>VLOOKUP($B33,'CO2'!$B$27:$H$67,6,FALSE)</f>
        <v>0.30765924109719711</v>
      </c>
      <c r="G33" s="2248">
        <f>VLOOKUP($B33,'CO2'!$B$27:$H$67,7,FALSE)</f>
        <v>0.28516883897994511</v>
      </c>
      <c r="H33" s="2281">
        <f>VLOOKUP($B33,GHG!$B$27:$E$119,4,FALSE)</f>
        <v>13</v>
      </c>
      <c r="I33" s="73">
        <f t="shared" si="0"/>
        <v>0.39995701342635626</v>
      </c>
      <c r="J33" s="73">
        <f t="shared" si="1"/>
        <v>0.37071949067392862</v>
      </c>
      <c r="K33" s="117">
        <f t="shared" si="2"/>
        <v>17.293509952797837</v>
      </c>
      <c r="L33" s="74">
        <f t="shared" si="3"/>
        <v>12.3356053869989</v>
      </c>
      <c r="M33" s="74">
        <f>VLOOKUP($B33,'VoC Fuel'!$B$28:$O$126,14,FALSE)</f>
        <v>5</v>
      </c>
      <c r="O33" s="73"/>
      <c r="P33" s="73"/>
      <c r="Q33" s="73"/>
      <c r="R33" s="73"/>
      <c r="S33" s="65"/>
      <c r="T33" s="65"/>
    </row>
    <row r="34" spans="1:20" ht="13.5" customHeight="1">
      <c r="A34" s="90"/>
      <c r="B34" s="14">
        <v>2020</v>
      </c>
      <c r="C34" s="82"/>
      <c r="D34" s="932">
        <v>18.526897216664935</v>
      </c>
      <c r="E34" s="933">
        <v>12.293811755241112</v>
      </c>
      <c r="F34" s="2275">
        <f>VLOOKUP($B34,'CO2'!$B$27:$H$67,6,FALSE)</f>
        <v>0.29556486897559364</v>
      </c>
      <c r="G34" s="2248">
        <f>VLOOKUP($B34,'CO2'!$B$27:$H$67,7,FALSE)</f>
        <v>0.27395858557163133</v>
      </c>
      <c r="H34" s="2281">
        <f>VLOOKUP($B34,GHG!$B$27:$E$119,4,FALSE)</f>
        <v>14</v>
      </c>
      <c r="I34" s="73">
        <f t="shared" si="0"/>
        <v>0.41379081656583117</v>
      </c>
      <c r="J34" s="73">
        <f t="shared" si="1"/>
        <v>0.38354201980028385</v>
      </c>
      <c r="K34" s="117">
        <f>D34/(1+M34/100)</f>
        <v>17.644664015871367</v>
      </c>
      <c r="L34" s="74">
        <f t="shared" si="3"/>
        <v>12.293811755241112</v>
      </c>
      <c r="M34" s="74">
        <f>VLOOKUP($B34,'VoC Fuel'!$B$28:$O$126,14,FALSE)</f>
        <v>5</v>
      </c>
      <c r="O34" s="73"/>
      <c r="P34" s="73"/>
      <c r="Q34" s="73"/>
      <c r="R34" s="73"/>
      <c r="S34" s="65"/>
      <c r="T34" s="65"/>
    </row>
    <row r="35" spans="1:20" ht="13.5" customHeight="1">
      <c r="A35" s="90"/>
      <c r="B35" s="14">
        <v>2021</v>
      </c>
      <c r="C35" s="82"/>
      <c r="D35" s="932">
        <v>18.21135092368846</v>
      </c>
      <c r="E35" s="933">
        <v>12.363043820354237</v>
      </c>
      <c r="F35" s="2275">
        <f>VLOOKUP($B35,'CO2'!$B$27:$H$67,6,FALSE)</f>
        <v>0.28278402120507734</v>
      </c>
      <c r="G35" s="2248">
        <f>VLOOKUP($B35,'CO2'!$B$27:$H$67,7,FALSE)</f>
        <v>0.26211203902585051</v>
      </c>
      <c r="H35" s="2281">
        <f>VLOOKUP($B35,GHG!$B$27:$E$119,4,FALSE)</f>
        <v>21</v>
      </c>
      <c r="I35" s="73">
        <f t="shared" si="0"/>
        <v>0.59384644453066238</v>
      </c>
      <c r="J35" s="73">
        <f t="shared" si="1"/>
        <v>0.55043528195428615</v>
      </c>
      <c r="K35" s="117">
        <f t="shared" si="2"/>
        <v>17.344143736846153</v>
      </c>
      <c r="L35" s="74">
        <f t="shared" si="3"/>
        <v>12.363043820354237</v>
      </c>
      <c r="M35" s="74">
        <f>VLOOKUP($B35,'VoC Fuel'!$B$28:$O$126,14,FALSE)</f>
        <v>5</v>
      </c>
      <c r="O35" s="73"/>
      <c r="P35" s="73"/>
      <c r="Q35" s="73"/>
      <c r="R35" s="73"/>
      <c r="S35" s="65"/>
      <c r="T35" s="65"/>
    </row>
    <row r="36" spans="1:20" ht="13.5" customHeight="1">
      <c r="A36" s="90"/>
      <c r="B36" s="14">
        <v>2022</v>
      </c>
      <c r="C36" s="82"/>
      <c r="D36" s="932">
        <v>18.189127685564085</v>
      </c>
      <c r="E36" s="933">
        <v>12.42965790526838</v>
      </c>
      <c r="F36" s="2275">
        <f>VLOOKUP($B36,'CO2'!$B$27:$H$67,6,FALSE)</f>
        <v>0.2692777334796212</v>
      </c>
      <c r="G36" s="2248">
        <f>VLOOKUP($B36,'CO2'!$B$27:$H$67,7,FALSE)</f>
        <v>0.24959308339213818</v>
      </c>
      <c r="H36" s="2281">
        <f>VLOOKUP($B36,GHG!$B$27:$E$119,4,FALSE)</f>
        <v>27</v>
      </c>
      <c r="I36" s="73">
        <f t="shared" si="0"/>
        <v>0.7270498803949772</v>
      </c>
      <c r="J36" s="73">
        <f t="shared" si="1"/>
        <v>0.6739013251587731</v>
      </c>
      <c r="K36" s="117">
        <f t="shared" si="2"/>
        <v>17.32297874815627</v>
      </c>
      <c r="L36" s="74">
        <f t="shared" si="3"/>
        <v>12.42965790526838</v>
      </c>
      <c r="M36" s="74">
        <f>VLOOKUP($B36,'VoC Fuel'!$B$28:$O$126,14,FALSE)</f>
        <v>5</v>
      </c>
      <c r="O36" s="73"/>
      <c r="P36" s="73"/>
      <c r="Q36" s="73"/>
      <c r="R36" s="73"/>
      <c r="S36" s="65"/>
      <c r="T36" s="65"/>
    </row>
    <row r="37" spans="1:20" ht="13.5" customHeight="1">
      <c r="A37" s="90"/>
      <c r="B37" s="14">
        <v>2023</v>
      </c>
      <c r="C37" s="82"/>
      <c r="D37" s="932">
        <v>18.329344015292261</v>
      </c>
      <c r="E37" s="933">
        <v>12.533077642125221</v>
      </c>
      <c r="F37" s="2275">
        <f>VLOOKUP($B37,'CO2'!$B$27:$H$67,6,FALSE)</f>
        <v>0.25500482988212858</v>
      </c>
      <c r="G37" s="2248">
        <f>VLOOKUP($B37,'CO2'!$B$27:$H$67,7,FALSE)</f>
        <v>0.23636355278140711</v>
      </c>
      <c r="H37" s="2281">
        <f>VLOOKUP($B37,GHG!$B$27:$E$119,4,FALSE)</f>
        <v>34</v>
      </c>
      <c r="I37" s="73">
        <f t="shared" si="0"/>
        <v>0.8670164215992372</v>
      </c>
      <c r="J37" s="73">
        <f t="shared" si="1"/>
        <v>0.80363607945678406</v>
      </c>
      <c r="K37" s="117">
        <f t="shared" si="2"/>
        <v>17.456518109802154</v>
      </c>
      <c r="L37" s="74">
        <f t="shared" si="3"/>
        <v>12.533077642125221</v>
      </c>
      <c r="M37" s="74">
        <f>VLOOKUP($B37,'VoC Fuel'!$B$28:$O$126,14,FALSE)</f>
        <v>5</v>
      </c>
      <c r="O37" s="73"/>
      <c r="P37" s="73"/>
      <c r="Q37" s="73"/>
      <c r="R37" s="73"/>
      <c r="S37" s="65"/>
      <c r="T37" s="65"/>
    </row>
    <row r="38" spans="1:20" ht="13.5" customHeight="1">
      <c r="A38" s="90"/>
      <c r="B38" s="14">
        <v>2024</v>
      </c>
      <c r="C38" s="82"/>
      <c r="D38" s="932">
        <v>18.39362222473174</v>
      </c>
      <c r="E38" s="933">
        <v>12.617497933600486</v>
      </c>
      <c r="F38" s="2275">
        <f>VLOOKUP($B38,'CO2'!$B$27:$H$67,6,FALSE)</f>
        <v>0.23992179735355579</v>
      </c>
      <c r="G38" s="2248">
        <f>VLOOKUP($B38,'CO2'!$B$27:$H$67,7,FALSE)</f>
        <v>0.22238311501158572</v>
      </c>
      <c r="H38" s="2281">
        <f>VLOOKUP($B38,GHG!$B$27:$E$119,4,FALSE)</f>
        <v>41</v>
      </c>
      <c r="I38" s="73">
        <f t="shared" si="0"/>
        <v>0.98367936914957865</v>
      </c>
      <c r="J38" s="73">
        <f t="shared" si="1"/>
        <v>0.91177077154750152</v>
      </c>
      <c r="K38" s="117">
        <f t="shared" si="2"/>
        <v>17.517735452125464</v>
      </c>
      <c r="L38" s="74">
        <f t="shared" si="3"/>
        <v>12.617497933600486</v>
      </c>
      <c r="M38" s="74">
        <f>VLOOKUP($B38,'VoC Fuel'!$B$28:$O$126,14,FALSE)</f>
        <v>5</v>
      </c>
      <c r="O38" s="73"/>
      <c r="P38" s="73"/>
      <c r="Q38" s="73"/>
      <c r="R38" s="73"/>
      <c r="S38" s="65"/>
      <c r="T38" s="65"/>
    </row>
    <row r="39" spans="1:20" ht="13.5" customHeight="1">
      <c r="A39" s="90"/>
      <c r="B39" s="14">
        <v>2025</v>
      </c>
      <c r="C39" s="82"/>
      <c r="D39" s="932">
        <v>18.664123310519322</v>
      </c>
      <c r="E39" s="933">
        <v>12.828664099084312</v>
      </c>
      <c r="F39" s="2275">
        <f>VLOOKUP($B39,'CO2'!$B$27:$H$67,6,FALSE)</f>
        <v>0.22398265303691164</v>
      </c>
      <c r="G39" s="2248">
        <f>VLOOKUP($B39,'CO2'!$B$27:$H$67,7,FALSE)</f>
        <v>0.20760914864899169</v>
      </c>
      <c r="H39" s="2281">
        <f>VLOOKUP($B39,GHG!$B$27:$E$119,4,FALSE)</f>
        <v>47</v>
      </c>
      <c r="I39" s="73">
        <f t="shared" si="0"/>
        <v>1.0527184692734848</v>
      </c>
      <c r="J39" s="73">
        <f t="shared" si="1"/>
        <v>0.97576299865026095</v>
      </c>
      <c r="K39" s="117">
        <f t="shared" si="2"/>
        <v>17.775355533827927</v>
      </c>
      <c r="L39" s="74">
        <f t="shared" si="3"/>
        <v>12.828664099084312</v>
      </c>
      <c r="M39" s="74">
        <f>VLOOKUP($B39,'VoC Fuel'!$B$28:$O$126,14,FALSE)</f>
        <v>5</v>
      </c>
      <c r="O39" s="73"/>
      <c r="P39" s="73"/>
      <c r="Q39" s="73"/>
      <c r="R39" s="73"/>
      <c r="S39" s="65"/>
      <c r="T39" s="65"/>
    </row>
    <row r="40" spans="1:20" ht="13.5" customHeight="1">
      <c r="A40" s="90"/>
      <c r="B40" s="14">
        <v>2026</v>
      </c>
      <c r="C40" s="82"/>
      <c r="D40" s="932">
        <v>18.807186398443079</v>
      </c>
      <c r="E40" s="933">
        <v>13.099584597257415</v>
      </c>
      <c r="F40" s="2275">
        <f>VLOOKUP($B40,'CO2'!$B$27:$H$67,6,FALSE)</f>
        <v>0.20713880409171231</v>
      </c>
      <c r="G40" s="2248">
        <f>VLOOKUP($B40,'CO2'!$B$27:$H$67,7,FALSE)</f>
        <v>0.19199661307058344</v>
      </c>
      <c r="H40" s="2281">
        <f>VLOOKUP($B40,GHG!$B$27:$E$119,4,FALSE)</f>
        <v>54</v>
      </c>
      <c r="I40" s="73">
        <f t="shared" si="0"/>
        <v>1.1185495420952465</v>
      </c>
      <c r="J40" s="73">
        <f t="shared" si="1"/>
        <v>1.0367817105811505</v>
      </c>
      <c r="K40" s="117">
        <f t="shared" si="2"/>
        <v>17.911606093755314</v>
      </c>
      <c r="L40" s="74">
        <f t="shared" si="3"/>
        <v>13.099584597257415</v>
      </c>
      <c r="M40" s="74">
        <f>VLOOKUP($B40,'VoC Fuel'!$B$28:$O$126,14,FALSE)</f>
        <v>5</v>
      </c>
      <c r="O40" s="73"/>
      <c r="P40" s="73"/>
      <c r="Q40" s="73"/>
      <c r="R40" s="73"/>
      <c r="S40" s="65"/>
      <c r="T40" s="65"/>
    </row>
    <row r="41" spans="1:20" ht="13.5" customHeight="1">
      <c r="A41" s="90"/>
      <c r="B41" s="14">
        <v>2027</v>
      </c>
      <c r="C41" s="82"/>
      <c r="D41" s="932">
        <v>18.693350140716767</v>
      </c>
      <c r="E41" s="933">
        <v>12.581200685554835</v>
      </c>
      <c r="F41" s="2275">
        <f>VLOOKUP($B41,'CO2'!$B$27:$H$67,6,FALSE)</f>
        <v>0.18933889955151495</v>
      </c>
      <c r="G41" s="2248">
        <f>VLOOKUP($B41,'CO2'!$B$27:$H$67,7,FALSE)</f>
        <v>0.17549791115095442</v>
      </c>
      <c r="H41" s="2281">
        <f>VLOOKUP($B41,GHG!$B$27:$E$119,4,FALSE)</f>
        <v>61</v>
      </c>
      <c r="I41" s="73">
        <f t="shared" si="0"/>
        <v>1.1549672872642414</v>
      </c>
      <c r="J41" s="73">
        <f t="shared" si="1"/>
        <v>1.0705372580208219</v>
      </c>
      <c r="K41" s="117">
        <f t="shared" si="2"/>
        <v>17.803190610206443</v>
      </c>
      <c r="L41" s="74">
        <f t="shared" si="3"/>
        <v>12.581200685554835</v>
      </c>
      <c r="M41" s="74">
        <f>VLOOKUP($B41,'VoC Fuel'!$B$28:$O$126,14,FALSE)</f>
        <v>5</v>
      </c>
      <c r="O41" s="73"/>
      <c r="P41" s="73"/>
      <c r="Q41" s="73"/>
      <c r="R41" s="73"/>
      <c r="S41" s="65"/>
      <c r="T41" s="65"/>
    </row>
    <row r="42" spans="1:20" ht="13.5" customHeight="1">
      <c r="A42" s="90"/>
      <c r="B42" s="14">
        <v>2028</v>
      </c>
      <c r="C42" s="82"/>
      <c r="D42" s="932">
        <v>18.316580941167352</v>
      </c>
      <c r="E42" s="933">
        <v>12.389011027545926</v>
      </c>
      <c r="F42" s="2275">
        <f>VLOOKUP($B42,'CO2'!$B$27:$H$67,6,FALSE)</f>
        <v>0.17052867377289696</v>
      </c>
      <c r="G42" s="2248">
        <f>VLOOKUP($B42,'CO2'!$B$27:$H$67,7,FALSE)</f>
        <v>0.15806274415545216</v>
      </c>
      <c r="H42" s="2281">
        <f>VLOOKUP($B42,GHG!$B$27:$E$119,4,FALSE)</f>
        <v>67</v>
      </c>
      <c r="I42" s="73">
        <f t="shared" si="0"/>
        <v>1.1425421142784096</v>
      </c>
      <c r="J42" s="73">
        <f t="shared" si="1"/>
        <v>1.0590203858415295</v>
      </c>
      <c r="K42" s="117">
        <f t="shared" si="2"/>
        <v>17.444362801111762</v>
      </c>
      <c r="L42" s="74">
        <f t="shared" si="3"/>
        <v>12.389011027545926</v>
      </c>
      <c r="M42" s="74">
        <f>VLOOKUP($B42,'VoC Fuel'!$B$28:$O$126,14,FALSE)</f>
        <v>5</v>
      </c>
      <c r="O42" s="73"/>
      <c r="P42" s="73"/>
      <c r="Q42" s="73"/>
      <c r="R42" s="73"/>
      <c r="S42" s="65"/>
      <c r="T42" s="65"/>
    </row>
    <row r="43" spans="1:20" ht="13.5" customHeight="1">
      <c r="A43" s="90"/>
      <c r="B43" s="14">
        <v>2029</v>
      </c>
      <c r="C43" s="82"/>
      <c r="D43" s="932">
        <v>18.286657165733814</v>
      </c>
      <c r="E43" s="933">
        <v>12.695811303822548</v>
      </c>
      <c r="F43" s="2275">
        <f>VLOOKUP($B43,'CO2'!$B$27:$H$67,6,FALSE)</f>
        <v>0.1506507809986099</v>
      </c>
      <c r="G43" s="2248">
        <f>VLOOKUP($B43,'CO2'!$B$27:$H$67,7,FALSE)</f>
        <v>0.1396379583970408</v>
      </c>
      <c r="H43" s="2281">
        <f>VLOOKUP($B43,GHG!$B$27:$E$119,4,FALSE)</f>
        <v>74</v>
      </c>
      <c r="I43" s="73">
        <f t="shared" si="0"/>
        <v>1.1148157793897133</v>
      </c>
      <c r="J43" s="73">
        <f t="shared" si="1"/>
        <v>1.0333208921381019</v>
      </c>
      <c r="K43" s="117">
        <f t="shared" si="2"/>
        <v>17.415863967365535</v>
      </c>
      <c r="L43" s="74">
        <f t="shared" si="3"/>
        <v>12.695811303822548</v>
      </c>
      <c r="M43" s="74">
        <f>VLOOKUP($B43,'VoC Fuel'!$B$28:$O$126,14,FALSE)</f>
        <v>5</v>
      </c>
      <c r="O43" s="73"/>
      <c r="P43" s="73"/>
      <c r="Q43" s="73"/>
      <c r="R43" s="73"/>
      <c r="S43" s="65"/>
      <c r="T43" s="65"/>
    </row>
    <row r="44" spans="1:20" ht="13.5" customHeight="1">
      <c r="A44" s="1957"/>
      <c r="B44" s="2265">
        <v>2030</v>
      </c>
      <c r="C44" s="670"/>
      <c r="D44" s="934">
        <v>18.618292322625468</v>
      </c>
      <c r="E44" s="935">
        <v>12.645348793157575</v>
      </c>
      <c r="F44" s="2275">
        <f>VLOOKUP($B44,'CO2'!$B$27:$H$67,6,FALSE)</f>
        <v>0.12964462053055192</v>
      </c>
      <c r="G44" s="2248">
        <f>VLOOKUP($B44,'CO2'!$B$27:$H$67,7,FALSE)</f>
        <v>0.12016738318942002</v>
      </c>
      <c r="H44" s="2281">
        <f>VLOOKUP($B44,GHG!$B$27:$E$119,4,FALSE)</f>
        <v>81</v>
      </c>
      <c r="I44" s="73">
        <f t="shared" si="0"/>
        <v>1.0501214262974705</v>
      </c>
      <c r="J44" s="73">
        <f t="shared" si="1"/>
        <v>0.9733558038343022</v>
      </c>
      <c r="K44" s="2266">
        <f t="shared" si="2"/>
        <v>17.731706973929015</v>
      </c>
      <c r="L44" s="1962">
        <f t="shared" si="3"/>
        <v>12.645348793157575</v>
      </c>
      <c r="M44" s="74">
        <f>VLOOKUP($B44,'VoC Fuel'!$B$28:$O$126,14,FALSE)</f>
        <v>5</v>
      </c>
      <c r="O44" s="73"/>
      <c r="P44" s="73"/>
      <c r="Q44" s="73"/>
      <c r="R44" s="73"/>
      <c r="S44" s="65"/>
      <c r="T44" s="65"/>
    </row>
    <row r="45" spans="1:20" ht="13.5" customHeight="1">
      <c r="A45" s="90"/>
      <c r="B45" s="14">
        <v>2031</v>
      </c>
      <c r="C45" s="82"/>
      <c r="D45" s="932">
        <v>18.618292322625468</v>
      </c>
      <c r="E45" s="933">
        <v>12.645348793157575</v>
      </c>
      <c r="F45" s="2275">
        <f>VLOOKUP($B45,'CO2'!$B$27:$H$67,6,FALSE)</f>
        <v>0.11551638230192907</v>
      </c>
      <c r="G45" s="2248">
        <f>VLOOKUP($B45,'CO2'!$B$27:$H$67,7,FALSE)</f>
        <v>0.10707194266853667</v>
      </c>
      <c r="H45" s="2281">
        <f>VLOOKUP($B45,GHG!$B$27:$E$119,4,FALSE)</f>
        <v>88</v>
      </c>
      <c r="I45" s="73">
        <f t="shared" si="0"/>
        <v>1.0165441642569757</v>
      </c>
      <c r="J45" s="73">
        <f t="shared" si="1"/>
        <v>0.94223309548312284</v>
      </c>
      <c r="K45" s="117">
        <f t="shared" si="2"/>
        <v>17.731706973929015</v>
      </c>
      <c r="L45" s="74">
        <f t="shared" si="3"/>
        <v>12.645348793157575</v>
      </c>
      <c r="M45" s="74">
        <f>VLOOKUP($B45,'VoC Fuel'!$B$28:$O$126,14,FALSE)</f>
        <v>5</v>
      </c>
      <c r="O45" s="73"/>
      <c r="P45" s="73"/>
      <c r="Q45" s="73"/>
      <c r="R45" s="73"/>
      <c r="S45" s="65"/>
      <c r="T45" s="65"/>
    </row>
    <row r="46" spans="1:20" ht="13.5" customHeight="1">
      <c r="A46" s="90"/>
      <c r="B46" s="14">
        <v>2032</v>
      </c>
      <c r="C46" s="82"/>
      <c r="D46" s="932">
        <v>18.618292322625468</v>
      </c>
      <c r="E46" s="933">
        <v>12.645348793157575</v>
      </c>
      <c r="F46" s="2275">
        <f>VLOOKUP($B46,'CO2'!$B$27:$H$67,6,FALSE)</f>
        <v>0.10292779234122398</v>
      </c>
      <c r="G46" s="2248">
        <f>VLOOKUP($B46,'CO2'!$B$27:$H$67,7,FALSE)</f>
        <v>9.540359956697278E-2</v>
      </c>
      <c r="H46" s="2281">
        <f>VLOOKUP($B46,GHG!$B$27:$E$119,4,FALSE)</f>
        <v>96</v>
      </c>
      <c r="I46" s="73">
        <f t="shared" si="0"/>
        <v>0.98810680647575033</v>
      </c>
      <c r="J46" s="73">
        <f t="shared" si="1"/>
        <v>0.91587455584293875</v>
      </c>
      <c r="K46" s="117">
        <f t="shared" si="2"/>
        <v>17.731706973929015</v>
      </c>
      <c r="L46" s="74">
        <f t="shared" si="3"/>
        <v>12.645348793157575</v>
      </c>
      <c r="M46" s="74">
        <f>VLOOKUP($B46,'VoC Fuel'!$B$28:$O$126,14,FALSE)</f>
        <v>5</v>
      </c>
      <c r="O46" s="73"/>
      <c r="P46" s="73"/>
      <c r="Q46" s="73"/>
      <c r="R46" s="73"/>
      <c r="S46" s="65"/>
      <c r="T46" s="65"/>
    </row>
    <row r="47" spans="1:20" ht="13.5" customHeight="1">
      <c r="A47" s="90"/>
      <c r="B47" s="14">
        <v>2033</v>
      </c>
      <c r="C47" s="82"/>
      <c r="D47" s="932">
        <v>18.618292322625468</v>
      </c>
      <c r="E47" s="933">
        <v>12.645348793157575</v>
      </c>
      <c r="F47" s="2275">
        <f>VLOOKUP($B47,'CO2'!$B$27:$H$67,6,FALSE)</f>
        <v>9.1711064916730936E-2</v>
      </c>
      <c r="G47" s="2248">
        <f>VLOOKUP($B47,'CO2'!$B$27:$H$67,7,FALSE)</f>
        <v>8.500683356901384E-2</v>
      </c>
      <c r="H47" s="2281">
        <f>VLOOKUP($B47,GHG!$B$27:$E$119,4,FALSE)</f>
        <v>103</v>
      </c>
      <c r="I47" s="73">
        <f t="shared" si="0"/>
        <v>0.94462396864232867</v>
      </c>
      <c r="J47" s="73">
        <f t="shared" si="1"/>
        <v>0.87557038576084256</v>
      </c>
      <c r="K47" s="117">
        <f t="shared" si="2"/>
        <v>17.731706973929015</v>
      </c>
      <c r="L47" s="74">
        <f t="shared" si="3"/>
        <v>12.645348793157575</v>
      </c>
      <c r="M47" s="74">
        <f>VLOOKUP($B47,'VoC Fuel'!$B$28:$O$126,14,FALSE)</f>
        <v>5</v>
      </c>
      <c r="O47" s="73"/>
      <c r="P47" s="73"/>
      <c r="Q47" s="73"/>
      <c r="R47" s="73"/>
      <c r="S47" s="65"/>
      <c r="T47" s="65"/>
    </row>
    <row r="48" spans="1:20" ht="13.5" customHeight="1">
      <c r="A48" s="90"/>
      <c r="B48" s="14">
        <v>2034</v>
      </c>
      <c r="C48" s="82"/>
      <c r="D48" s="932">
        <v>18.618292322625468</v>
      </c>
      <c r="E48" s="933">
        <v>12.645348793157575</v>
      </c>
      <c r="F48" s="2275">
        <f>VLOOKUP($B48,'CO2'!$B$27:$H$67,6,FALSE)</f>
        <v>8.1716699026023409E-2</v>
      </c>
      <c r="G48" s="2248">
        <f>VLOOKUP($B48,'CO2'!$B$27:$H$67,7,FALSE)</f>
        <v>7.5743072444109341E-2</v>
      </c>
      <c r="H48" s="2281">
        <f>VLOOKUP($B48,GHG!$B$27:$E$119,4,FALSE)</f>
        <v>111</v>
      </c>
      <c r="I48" s="73">
        <f t="shared" si="0"/>
        <v>0.90705535918885993</v>
      </c>
      <c r="J48" s="73">
        <f t="shared" si="1"/>
        <v>0.84074810412961365</v>
      </c>
      <c r="K48" s="117">
        <f t="shared" si="2"/>
        <v>17.731706973929015</v>
      </c>
      <c r="L48" s="74">
        <f t="shared" si="3"/>
        <v>12.645348793157575</v>
      </c>
      <c r="M48" s="74">
        <f>VLOOKUP($B48,'VoC Fuel'!$B$28:$O$126,14,FALSE)</f>
        <v>5</v>
      </c>
      <c r="O48" s="73"/>
      <c r="P48" s="73"/>
      <c r="Q48" s="73"/>
      <c r="R48" s="73"/>
      <c r="S48" s="65"/>
      <c r="T48" s="65"/>
    </row>
    <row r="49" spans="1:20" ht="13.5" customHeight="1">
      <c r="A49" s="90"/>
      <c r="B49" s="14">
        <v>2035</v>
      </c>
      <c r="C49" s="82"/>
      <c r="D49" s="932">
        <v>18.618292322625468</v>
      </c>
      <c r="E49" s="933">
        <v>12.645348793157575</v>
      </c>
      <c r="F49" s="2275">
        <f>VLOOKUP($B49,'CO2'!$B$27:$H$67,6,FALSE)</f>
        <v>7.2811485787158153E-2</v>
      </c>
      <c r="G49" s="2248">
        <f>VLOOKUP($B49,'CO2'!$B$27:$H$67,7,FALSE)</f>
        <v>6.7488845101093334E-2</v>
      </c>
      <c r="H49" s="2281">
        <f>VLOOKUP($B49,GHG!$B$27:$E$119,4,FALSE)</f>
        <v>118</v>
      </c>
      <c r="I49" s="73">
        <f t="shared" si="0"/>
        <v>0.85917553228846621</v>
      </c>
      <c r="J49" s="73">
        <f t="shared" si="1"/>
        <v>0.79636837219290135</v>
      </c>
      <c r="K49" s="117">
        <f t="shared" si="2"/>
        <v>17.731706973929015</v>
      </c>
      <c r="L49" s="74">
        <f t="shared" si="3"/>
        <v>12.645348793157575</v>
      </c>
      <c r="M49" s="74">
        <f>VLOOKUP($B49,'VoC Fuel'!$B$28:$O$126,14,FALSE)</f>
        <v>5</v>
      </c>
      <c r="O49" s="73"/>
      <c r="P49" s="73"/>
      <c r="Q49" s="73"/>
      <c r="R49" s="73"/>
      <c r="S49" s="65"/>
      <c r="T49" s="65"/>
    </row>
    <row r="50" spans="1:20" ht="13.5" customHeight="1">
      <c r="A50" s="90"/>
      <c r="B50" s="14">
        <v>2036</v>
      </c>
      <c r="C50" s="82"/>
      <c r="D50" s="932">
        <v>18.618292322625468</v>
      </c>
      <c r="E50" s="933">
        <v>12.645348793157575</v>
      </c>
      <c r="F50" s="2275">
        <f>VLOOKUP($B50,'CO2'!$B$27:$H$67,6,FALSE)</f>
        <v>6.4876732977738383E-2</v>
      </c>
      <c r="G50" s="2248">
        <f>VLOOKUP($B50,'CO2'!$B$27:$H$67,7,FALSE)</f>
        <v>6.0134135916394285E-2</v>
      </c>
      <c r="H50" s="2281">
        <f>VLOOKUP($B50,GHG!$B$27:$E$119,4,FALSE)</f>
        <v>126</v>
      </c>
      <c r="I50" s="73">
        <f t="shared" si="0"/>
        <v>0.8174468355195037</v>
      </c>
      <c r="J50" s="73">
        <f t="shared" si="1"/>
        <v>0.75769011254656804</v>
      </c>
      <c r="K50" s="117">
        <f t="shared" si="2"/>
        <v>17.731706973929015</v>
      </c>
      <c r="L50" s="74">
        <f t="shared" si="3"/>
        <v>12.645348793157575</v>
      </c>
      <c r="M50" s="74">
        <f>VLOOKUP($B50,'VoC Fuel'!$B$28:$O$126,14,FALSE)</f>
        <v>5</v>
      </c>
      <c r="O50" s="73"/>
      <c r="P50" s="73"/>
      <c r="Q50" s="73"/>
      <c r="R50" s="73"/>
      <c r="S50" s="65"/>
      <c r="T50" s="65"/>
    </row>
    <row r="51" spans="1:20" ht="13.5" customHeight="1">
      <c r="A51" s="90"/>
      <c r="B51" s="14">
        <v>2037</v>
      </c>
      <c r="C51" s="82"/>
      <c r="D51" s="932">
        <v>18.618292322625468</v>
      </c>
      <c r="E51" s="933">
        <v>12.645348793157575</v>
      </c>
      <c r="F51" s="2275">
        <f>VLOOKUP($B51,'CO2'!$B$27:$H$67,6,FALSE)</f>
        <v>5.7806683057786343E-2</v>
      </c>
      <c r="G51" s="2248">
        <f>VLOOKUP($B51,'CO2'!$B$27:$H$67,7,FALSE)</f>
        <v>5.3580918402066406E-2</v>
      </c>
      <c r="H51" s="2281">
        <f>VLOOKUP($B51,GHG!$B$27:$E$119,4,FALSE)</f>
        <v>133</v>
      </c>
      <c r="I51" s="73">
        <f t="shared" si="0"/>
        <v>0.76882888466855837</v>
      </c>
      <c r="J51" s="73">
        <f t="shared" si="1"/>
        <v>0.71262621474748322</v>
      </c>
      <c r="K51" s="117">
        <f>D51/(1+M51/100)</f>
        <v>17.731706973929015</v>
      </c>
      <c r="L51" s="74">
        <f>E51</f>
        <v>12.645348793157575</v>
      </c>
      <c r="M51" s="74">
        <f>VLOOKUP($B51,'VoC Fuel'!$B$28:$O$126,14,FALSE)</f>
        <v>5</v>
      </c>
      <c r="O51" s="73"/>
      <c r="P51" s="73"/>
      <c r="Q51" s="73"/>
      <c r="R51" s="73"/>
      <c r="S51" s="65"/>
      <c r="T51" s="65"/>
    </row>
    <row r="52" spans="1:20" ht="13.5" customHeight="1">
      <c r="A52" s="90"/>
      <c r="B52" s="14">
        <v>2038</v>
      </c>
      <c r="C52" s="82"/>
      <c r="D52" s="932">
        <v>18.618292322625468</v>
      </c>
      <c r="E52" s="933">
        <v>12.645348793157575</v>
      </c>
      <c r="F52" s="2275">
        <f>VLOOKUP($B52,'CO2'!$B$27:$H$67,6,FALSE)</f>
        <v>5.1507103591205715E-2</v>
      </c>
      <c r="G52" s="2248">
        <f>VLOOKUP($B52,'CO2'!$B$27:$H$67,7,FALSE)</f>
        <v>4.7741848669786993E-2</v>
      </c>
      <c r="H52" s="2281">
        <f>VLOOKUP($B52,GHG!$B$27:$E$119,4,FALSE)</f>
        <v>141</v>
      </c>
      <c r="I52" s="73">
        <f t="shared" si="0"/>
        <v>0.72625016063600056</v>
      </c>
      <c r="J52" s="73">
        <f t="shared" si="1"/>
        <v>0.6731600662439966</v>
      </c>
      <c r="K52" s="117">
        <f>D52/(1+M52/100)</f>
        <v>17.731706973929015</v>
      </c>
      <c r="L52" s="74">
        <f t="shared" si="3"/>
        <v>12.645348793157575</v>
      </c>
      <c r="M52" s="74">
        <f>VLOOKUP($B52,'VoC Fuel'!$B$28:$O$126,14,FALSE)</f>
        <v>5</v>
      </c>
      <c r="O52" s="73"/>
      <c r="P52" s="73"/>
      <c r="Q52" s="73"/>
      <c r="R52" s="73"/>
      <c r="S52" s="65"/>
      <c r="T52" s="65"/>
    </row>
    <row r="53" spans="1:20" ht="13.5" customHeight="1">
      <c r="A53" s="90"/>
      <c r="B53" s="14">
        <v>2039</v>
      </c>
      <c r="C53" s="82"/>
      <c r="D53" s="932">
        <v>18.618292322625468</v>
      </c>
      <c r="E53" s="933">
        <v>12.645348793157575</v>
      </c>
      <c r="F53" s="2275">
        <f>VLOOKUP($B53,'CO2'!$B$27:$H$67,6,FALSE)</f>
        <v>4.5894031278410297E-2</v>
      </c>
      <c r="G53" s="2248">
        <f>VLOOKUP($B53,'CO2'!$B$27:$H$67,7,FALSE)</f>
        <v>4.253910127678847E-2</v>
      </c>
      <c r="H53" s="2281">
        <f>VLOOKUP($B53,GHG!$B$27:$E$119,4,FALSE)</f>
        <v>148</v>
      </c>
      <c r="I53" s="73">
        <f t="shared" si="0"/>
        <v>0.67923166292047232</v>
      </c>
      <c r="J53" s="73">
        <f t="shared" si="1"/>
        <v>0.62957869889646934</v>
      </c>
      <c r="K53" s="117">
        <f t="shared" si="2"/>
        <v>17.731706973929015</v>
      </c>
      <c r="L53" s="74">
        <f t="shared" si="3"/>
        <v>12.645348793157575</v>
      </c>
      <c r="M53" s="74">
        <f>VLOOKUP($B53,'VoC Fuel'!$B$28:$O$126,14,FALSE)</f>
        <v>5</v>
      </c>
      <c r="O53" s="73"/>
      <c r="P53" s="73"/>
      <c r="Q53" s="73"/>
      <c r="R53" s="73"/>
      <c r="S53" s="65"/>
      <c r="T53" s="65"/>
    </row>
    <row r="54" spans="1:20" ht="13.5" customHeight="1">
      <c r="A54" s="90"/>
      <c r="B54" s="14">
        <v>2040</v>
      </c>
      <c r="C54" s="82"/>
      <c r="D54" s="932">
        <v>18.618292322625468</v>
      </c>
      <c r="E54" s="933">
        <v>12.645348793157575</v>
      </c>
      <c r="F54" s="2275">
        <f>VLOOKUP($B54,'CO2'!$B$27:$H$67,6,FALSE)</f>
        <v>4.0892652860086767E-2</v>
      </c>
      <c r="G54" s="2248">
        <f>VLOOKUP($B54,'CO2'!$B$27:$H$67,7,FALSE)</f>
        <v>3.7903331937417017E-2</v>
      </c>
      <c r="H54" s="2281">
        <f>VLOOKUP($B54,GHG!$B$27:$E$119,4,FALSE)</f>
        <v>156</v>
      </c>
      <c r="I54" s="73">
        <f t="shared" si="0"/>
        <v>0.6379253846173536</v>
      </c>
      <c r="J54" s="73">
        <f t="shared" si="1"/>
        <v>0.59129197822370538</v>
      </c>
      <c r="K54" s="117">
        <f t="shared" si="2"/>
        <v>17.731706973929015</v>
      </c>
      <c r="L54" s="74">
        <f t="shared" si="3"/>
        <v>12.645348793157575</v>
      </c>
      <c r="M54" s="74">
        <f>VLOOKUP($B54,'VoC Fuel'!$B$28:$O$126,14,FALSE)</f>
        <v>5</v>
      </c>
      <c r="O54" s="73"/>
      <c r="P54" s="73"/>
      <c r="Q54" s="73"/>
      <c r="R54" s="73"/>
      <c r="S54" s="65"/>
      <c r="T54" s="65"/>
    </row>
    <row r="55" spans="1:20" ht="13.5" customHeight="1">
      <c r="A55" s="90"/>
      <c r="B55" s="14">
        <v>2041</v>
      </c>
      <c r="C55" s="82"/>
      <c r="D55" s="932">
        <v>18.618292322625468</v>
      </c>
      <c r="E55" s="933">
        <v>12.645348793157575</v>
      </c>
      <c r="F55" s="2275">
        <f>VLOOKUP($B55,'CO2'!$B$27:$H$67,6,FALSE)</f>
        <v>3.9563233790948664E-2</v>
      </c>
      <c r="G55" s="2248">
        <f>VLOOKUP($B55,'CO2'!$B$27:$H$67,7,FALSE)</f>
        <v>3.667109561286553E-2</v>
      </c>
      <c r="H55" s="2281">
        <f>VLOOKUP($B55,GHG!$B$27:$E$119,4,FALSE)</f>
        <v>163</v>
      </c>
      <c r="I55" s="73">
        <f t="shared" si="0"/>
        <v>0.64488071079246323</v>
      </c>
      <c r="J55" s="73">
        <f t="shared" si="1"/>
        <v>0.59773885848970809</v>
      </c>
      <c r="K55" s="117">
        <f t="shared" si="2"/>
        <v>17.731706973929015</v>
      </c>
      <c r="L55" s="74">
        <f t="shared" si="3"/>
        <v>12.645348793157575</v>
      </c>
      <c r="M55" s="74">
        <f>VLOOKUP($B55,'VoC Fuel'!$B$28:$O$126,14,FALSE)</f>
        <v>5</v>
      </c>
      <c r="O55" s="73"/>
      <c r="P55" s="73"/>
      <c r="Q55" s="73"/>
      <c r="R55" s="73"/>
      <c r="S55" s="65"/>
      <c r="T55" s="65"/>
    </row>
    <row r="56" spans="1:20" ht="13.5" customHeight="1">
      <c r="A56" s="90"/>
      <c r="B56" s="14">
        <v>2042</v>
      </c>
      <c r="C56" s="82"/>
      <c r="D56" s="932">
        <v>18.618292322625468</v>
      </c>
      <c r="E56" s="933">
        <v>12.645348793157575</v>
      </c>
      <c r="F56" s="2275">
        <f>VLOOKUP($B56,'CO2'!$B$27:$H$67,6,FALSE)</f>
        <v>3.8233814721810568E-2</v>
      </c>
      <c r="G56" s="2248">
        <f>VLOOKUP($B56,'CO2'!$B$27:$H$67,7,FALSE)</f>
        <v>3.5438859288314035E-2</v>
      </c>
      <c r="H56" s="2281">
        <f>VLOOKUP($B56,GHG!$B$27:$E$119,4,FALSE)</f>
        <v>171</v>
      </c>
      <c r="I56" s="73">
        <f t="shared" si="0"/>
        <v>0.6537982317429607</v>
      </c>
      <c r="J56" s="73">
        <f t="shared" si="1"/>
        <v>0.60600449383016997</v>
      </c>
      <c r="K56" s="117">
        <f t="shared" si="2"/>
        <v>17.731706973929015</v>
      </c>
      <c r="L56" s="74">
        <f t="shared" si="3"/>
        <v>12.645348793157575</v>
      </c>
      <c r="M56" s="74">
        <f>VLOOKUP($B56,'VoC Fuel'!$B$28:$O$126,14,FALSE)</f>
        <v>5</v>
      </c>
      <c r="O56" s="73"/>
      <c r="P56" s="73"/>
      <c r="Q56" s="73"/>
      <c r="R56" s="73"/>
      <c r="S56" s="65"/>
      <c r="T56" s="65"/>
    </row>
    <row r="57" spans="1:20" ht="13.5" customHeight="1">
      <c r="A57" s="90"/>
      <c r="B57" s="14">
        <v>2043</v>
      </c>
      <c r="C57" s="82"/>
      <c r="D57" s="932">
        <v>18.618292322625468</v>
      </c>
      <c r="E57" s="933">
        <v>12.645348793157575</v>
      </c>
      <c r="F57" s="2275">
        <f>VLOOKUP($B57,'CO2'!$B$27:$H$67,6,FALSE)</f>
        <v>3.6904395652672464E-2</v>
      </c>
      <c r="G57" s="2248">
        <f>VLOOKUP($B57,'CO2'!$B$27:$H$67,7,FALSE)</f>
        <v>3.4206622963762541E-2</v>
      </c>
      <c r="H57" s="2281">
        <f>VLOOKUP($B57,GHG!$B$27:$E$119,4,FALSE)</f>
        <v>178</v>
      </c>
      <c r="I57" s="73">
        <f t="shared" si="0"/>
        <v>0.65689824261756979</v>
      </c>
      <c r="J57" s="73">
        <f t="shared" si="1"/>
        <v>0.60887788875497317</v>
      </c>
      <c r="K57" s="117">
        <f t="shared" si="2"/>
        <v>17.731706973929015</v>
      </c>
      <c r="L57" s="74">
        <f t="shared" si="3"/>
        <v>12.645348793157575</v>
      </c>
      <c r="M57" s="74">
        <f>VLOOKUP($B57,'VoC Fuel'!$B$28:$O$126,14,FALSE)</f>
        <v>5</v>
      </c>
      <c r="O57" s="73"/>
      <c r="P57" s="73"/>
      <c r="Q57" s="73"/>
      <c r="R57" s="73"/>
      <c r="S57" s="65"/>
      <c r="T57" s="65"/>
    </row>
    <row r="58" spans="1:20" ht="13.5" customHeight="1">
      <c r="A58" s="90"/>
      <c r="B58" s="14">
        <v>2044</v>
      </c>
      <c r="C58" s="82"/>
      <c r="D58" s="932">
        <v>18.618292322625468</v>
      </c>
      <c r="E58" s="933">
        <v>12.645348793157575</v>
      </c>
      <c r="F58" s="2275">
        <f>VLOOKUP($B58,'CO2'!$B$27:$H$67,6,FALSE)</f>
        <v>3.5574976583534361E-2</v>
      </c>
      <c r="G58" s="2248">
        <f>VLOOKUP($B58,'CO2'!$B$27:$H$67,7,FALSE)</f>
        <v>3.2974386639211054E-2</v>
      </c>
      <c r="H58" s="2281">
        <f>VLOOKUP($B58,GHG!$B$27:$E$119,4,FALSE)</f>
        <v>186</v>
      </c>
      <c r="I58" s="73">
        <f t="shared" si="0"/>
        <v>0.66169456445373909</v>
      </c>
      <c r="J58" s="73">
        <f t="shared" si="1"/>
        <v>0.61332359148932558</v>
      </c>
      <c r="K58" s="117">
        <f t="shared" si="2"/>
        <v>17.731706973929015</v>
      </c>
      <c r="L58" s="74">
        <f t="shared" si="3"/>
        <v>12.645348793157575</v>
      </c>
      <c r="M58" s="74">
        <f>VLOOKUP($B58,'VoC Fuel'!$B$28:$O$126,14,FALSE)</f>
        <v>5</v>
      </c>
      <c r="O58" s="73"/>
      <c r="P58" s="73"/>
      <c r="Q58" s="73"/>
      <c r="R58" s="73"/>
      <c r="S58" s="65"/>
      <c r="T58" s="65"/>
    </row>
    <row r="59" spans="1:20" ht="13.5" customHeight="1">
      <c r="A59" s="90"/>
      <c r="B59" s="14">
        <v>2045</v>
      </c>
      <c r="C59" s="82"/>
      <c r="D59" s="932">
        <v>18.618292322625468</v>
      </c>
      <c r="E59" s="933">
        <v>12.645348793157575</v>
      </c>
      <c r="F59" s="2275">
        <f>VLOOKUP($B59,'CO2'!$B$27:$H$67,6,FALSE)</f>
        <v>3.4245557514396265E-2</v>
      </c>
      <c r="G59" s="2248">
        <f>VLOOKUP($B59,'CO2'!$B$27:$H$67,7,FALSE)</f>
        <v>3.1742150314659559E-2</v>
      </c>
      <c r="H59" s="2281">
        <f>VLOOKUP($B59,GHG!$B$27:$E$119,4,FALSE)</f>
        <v>193</v>
      </c>
      <c r="I59" s="73">
        <f t="shared" si="0"/>
        <v>0.66093926002784786</v>
      </c>
      <c r="J59" s="73">
        <f t="shared" si="1"/>
        <v>0.61262350107292951</v>
      </c>
      <c r="K59" s="117">
        <f t="shared" si="2"/>
        <v>17.731706973929015</v>
      </c>
      <c r="L59" s="74">
        <f t="shared" si="3"/>
        <v>12.645348793157575</v>
      </c>
      <c r="M59" s="74">
        <f>VLOOKUP($B59,'VoC Fuel'!$B$28:$O$126,14,FALSE)</f>
        <v>5</v>
      </c>
      <c r="O59" s="73"/>
      <c r="P59" s="73"/>
      <c r="Q59" s="73"/>
      <c r="R59" s="73"/>
      <c r="S59" s="65"/>
      <c r="T59" s="65"/>
    </row>
    <row r="60" spans="1:20" ht="13.5" customHeight="1">
      <c r="A60" s="90"/>
      <c r="B60" s="14">
        <v>2046</v>
      </c>
      <c r="C60" s="82"/>
      <c r="D60" s="932">
        <v>18.618292322625468</v>
      </c>
      <c r="E60" s="933">
        <v>12.645348793157575</v>
      </c>
      <c r="F60" s="2275">
        <f>VLOOKUP($B60,'CO2'!$B$27:$H$67,6,FALSE)</f>
        <v>3.2916138445258161E-2</v>
      </c>
      <c r="G60" s="2248">
        <f>VLOOKUP($B60,'CO2'!$B$27:$H$67,7,FALSE)</f>
        <v>3.0509913990108065E-2</v>
      </c>
      <c r="H60" s="2281">
        <f>VLOOKUP($B60,GHG!$B$27:$E$119,4,FALSE)</f>
        <v>201</v>
      </c>
      <c r="I60" s="73">
        <f t="shared" si="0"/>
        <v>0.66161438274968909</v>
      </c>
      <c r="J60" s="73">
        <f t="shared" si="1"/>
        <v>0.61324927120117212</v>
      </c>
      <c r="K60" s="117">
        <f t="shared" si="2"/>
        <v>17.731706973929015</v>
      </c>
      <c r="L60" s="74">
        <f t="shared" si="3"/>
        <v>12.645348793157575</v>
      </c>
      <c r="M60" s="74">
        <f>VLOOKUP($B60,'VoC Fuel'!$B$28:$O$126,14,FALSE)</f>
        <v>5</v>
      </c>
      <c r="O60" s="73"/>
      <c r="P60" s="73"/>
      <c r="Q60" s="73"/>
      <c r="R60" s="73"/>
      <c r="S60" s="65"/>
      <c r="T60" s="65"/>
    </row>
    <row r="61" spans="1:20" ht="13.5" customHeight="1">
      <c r="A61" s="90"/>
      <c r="B61" s="14">
        <v>2047</v>
      </c>
      <c r="C61" s="82"/>
      <c r="D61" s="932">
        <v>18.618292322625468</v>
      </c>
      <c r="E61" s="933">
        <v>12.645348793157575</v>
      </c>
      <c r="F61" s="2275">
        <f>VLOOKUP($B61,'CO2'!$B$27:$H$67,6,FALSE)</f>
        <v>3.1586719376120058E-2</v>
      </c>
      <c r="G61" s="2248">
        <f>VLOOKUP($B61,'CO2'!$B$27:$H$67,7,FALSE)</f>
        <v>2.9277677665556574E-2</v>
      </c>
      <c r="H61" s="2281">
        <f>VLOOKUP($B61,GHG!$B$27:$E$119,4,FALSE)</f>
        <v>208</v>
      </c>
      <c r="I61" s="73">
        <f t="shared" si="0"/>
        <v>0.65700376302329722</v>
      </c>
      <c r="J61" s="73">
        <f t="shared" si="1"/>
        <v>0.60897569544357677</v>
      </c>
      <c r="K61" s="117">
        <f t="shared" si="2"/>
        <v>17.731706973929015</v>
      </c>
      <c r="L61" s="74">
        <f t="shared" si="3"/>
        <v>12.645348793157575</v>
      </c>
      <c r="M61" s="74">
        <f>VLOOKUP($B61,'VoC Fuel'!$B$28:$O$126,14,FALSE)</f>
        <v>5</v>
      </c>
      <c r="O61" s="73"/>
      <c r="P61" s="73"/>
      <c r="Q61" s="73"/>
      <c r="R61" s="73"/>
      <c r="S61" s="65"/>
      <c r="T61" s="65"/>
    </row>
    <row r="62" spans="1:20" ht="13.5" customHeight="1">
      <c r="A62" s="90"/>
      <c r="B62" s="14">
        <v>2048</v>
      </c>
      <c r="C62" s="82"/>
      <c r="D62" s="932">
        <v>18.618292322625468</v>
      </c>
      <c r="E62" s="933">
        <v>12.645348793157575</v>
      </c>
      <c r="F62" s="2275">
        <f>VLOOKUP($B62,'CO2'!$B$27:$H$67,6,FALSE)</f>
        <v>3.0257300306981962E-2</v>
      </c>
      <c r="G62" s="2248">
        <f>VLOOKUP($B62,'CO2'!$B$27:$H$67,7,FALSE)</f>
        <v>2.8045441341005083E-2</v>
      </c>
      <c r="H62" s="2281">
        <f>VLOOKUP($B62,GHG!$B$27:$E$119,4,FALSE)</f>
        <v>216</v>
      </c>
      <c r="I62" s="73">
        <f t="shared" si="0"/>
        <v>0.65355768663081037</v>
      </c>
      <c r="J62" s="73">
        <f t="shared" si="1"/>
        <v>0.6057815329657098</v>
      </c>
      <c r="K62" s="117">
        <f t="shared" si="2"/>
        <v>17.731706973929015</v>
      </c>
      <c r="L62" s="74">
        <f t="shared" si="3"/>
        <v>12.645348793157575</v>
      </c>
      <c r="M62" s="74">
        <f>VLOOKUP($B62,'VoC Fuel'!$B$28:$O$126,14,FALSE)</f>
        <v>5</v>
      </c>
      <c r="O62" s="73"/>
      <c r="P62" s="73"/>
      <c r="Q62" s="73"/>
      <c r="R62" s="73"/>
      <c r="S62" s="65"/>
      <c r="T62" s="65"/>
    </row>
    <row r="63" spans="1:20" ht="13.5" customHeight="1">
      <c r="A63" s="1957"/>
      <c r="B63" s="2265">
        <v>2049</v>
      </c>
      <c r="C63" s="670"/>
      <c r="D63" s="932">
        <v>18.618292322625468</v>
      </c>
      <c r="E63" s="933">
        <v>12.645348793157575</v>
      </c>
      <c r="F63" s="2276">
        <f>VLOOKUP($B63,'CO2'!$B$27:$H$67,6,FALSE)</f>
        <v>2.8927881237843858E-2</v>
      </c>
      <c r="G63" s="2277">
        <f>VLOOKUP($B63,'CO2'!$B$27:$H$67,7,FALSE)</f>
        <v>2.6813205016453588E-2</v>
      </c>
      <c r="H63" s="2281">
        <f>VLOOKUP($B63,GHG!$B$27:$E$119,4,FALSE)</f>
        <v>223</v>
      </c>
      <c r="I63" s="73">
        <f t="shared" si="0"/>
        <v>0.64509175160391807</v>
      </c>
      <c r="J63" s="73">
        <f t="shared" si="1"/>
        <v>0.59793447186691506</v>
      </c>
      <c r="K63" s="117">
        <f t="shared" si="2"/>
        <v>17.731706973929015</v>
      </c>
      <c r="L63" s="74">
        <f t="shared" si="3"/>
        <v>12.645348793157575</v>
      </c>
      <c r="M63" s="74">
        <f>VLOOKUP($B63,'VoC Fuel'!$B$28:$O$126,14,FALSE)</f>
        <v>5</v>
      </c>
      <c r="O63" s="73"/>
      <c r="P63" s="73"/>
      <c r="Q63" s="73"/>
      <c r="R63" s="73"/>
      <c r="S63" s="65"/>
      <c r="T63" s="65"/>
    </row>
    <row r="64" spans="1:20" ht="13.5" customHeight="1">
      <c r="A64" s="90"/>
      <c r="B64" s="14">
        <v>2050</v>
      </c>
      <c r="C64" s="82"/>
      <c r="D64" s="932">
        <v>18.618292322625468</v>
      </c>
      <c r="E64" s="933">
        <v>12.645348793157575</v>
      </c>
      <c r="F64" s="2275">
        <f>VLOOKUP($B64,'CO2'!$B$27:$H$67,6,FALSE)</f>
        <v>2.7598462168705772E-2</v>
      </c>
      <c r="G64" s="2248">
        <f>VLOOKUP($B64,'CO2'!$B$27:$H$67,7,FALSE)</f>
        <v>2.5580968691902111E-2</v>
      </c>
      <c r="H64" s="2281">
        <f>VLOOKUP($B64,GHG!$B$27:$E$119,4,FALSE)</f>
        <v>231</v>
      </c>
      <c r="I64" s="73">
        <f t="shared" si="0"/>
        <v>0.63752447609710328</v>
      </c>
      <c r="J64" s="73">
        <f t="shared" si="1"/>
        <v>0.59092037678293874</v>
      </c>
      <c r="K64" s="117">
        <f t="shared" si="2"/>
        <v>17.731706973929015</v>
      </c>
      <c r="L64" s="74">
        <f t="shared" si="3"/>
        <v>12.645348793157575</v>
      </c>
      <c r="M64" s="74">
        <f>VLOOKUP($B64,'VoC Fuel'!$B$28:$O$126,14,FALSE)</f>
        <v>5</v>
      </c>
      <c r="O64" s="73"/>
      <c r="P64" s="73"/>
      <c r="Q64" s="73"/>
      <c r="R64" s="73"/>
      <c r="S64" s="65"/>
      <c r="T64" s="65"/>
    </row>
    <row r="65" spans="1:20" ht="13.5" customHeight="1">
      <c r="A65" s="90"/>
      <c r="B65" s="14">
        <v>2051</v>
      </c>
      <c r="C65" s="82"/>
      <c r="D65" s="932">
        <v>18.618292322625468</v>
      </c>
      <c r="E65" s="933">
        <v>12.645348793157575</v>
      </c>
      <c r="F65" s="2275">
        <f>F$64</f>
        <v>2.7598462168705772E-2</v>
      </c>
      <c r="G65" s="2248">
        <f>G$64</f>
        <v>2.5580968691902111E-2</v>
      </c>
      <c r="H65" s="2281">
        <f>VLOOKUP($B65,GHG!$B$27:$E$119,4,FALSE)</f>
        <v>239</v>
      </c>
      <c r="I65" s="73">
        <f t="shared" si="0"/>
        <v>0.65960324583206797</v>
      </c>
      <c r="J65" s="73">
        <f t="shared" si="1"/>
        <v>0.61138515173646046</v>
      </c>
      <c r="K65" s="117">
        <f t="shared" si="2"/>
        <v>17.731706973929015</v>
      </c>
      <c r="L65" s="74">
        <f t="shared" si="3"/>
        <v>12.645348793157575</v>
      </c>
      <c r="M65" s="74">
        <f>VLOOKUP($B65,'VoC Fuel'!$B$28:$O$126,14,FALSE)</f>
        <v>5</v>
      </c>
      <c r="O65" s="73"/>
      <c r="P65" s="73"/>
      <c r="Q65" s="73"/>
      <c r="R65" s="73"/>
      <c r="S65" s="65"/>
      <c r="T65" s="65"/>
    </row>
    <row r="66" spans="1:20" ht="13.5" customHeight="1">
      <c r="A66" s="90"/>
      <c r="B66" s="14">
        <v>2052</v>
      </c>
      <c r="C66" s="82"/>
      <c r="D66" s="932">
        <v>18.618292322625468</v>
      </c>
      <c r="E66" s="933">
        <v>12.645348793157575</v>
      </c>
      <c r="F66" s="2275">
        <f t="shared" ref="F66:G97" si="4">F$64</f>
        <v>2.7598462168705772E-2</v>
      </c>
      <c r="G66" s="2248">
        <f t="shared" si="4"/>
        <v>2.5580968691902111E-2</v>
      </c>
      <c r="H66" s="2281">
        <f>VLOOKUP($B66,GHG!$B$27:$E$119,4,FALSE)</f>
        <v>247</v>
      </c>
      <c r="I66" s="73">
        <f t="shared" si="0"/>
        <v>0.68168201556703256</v>
      </c>
      <c r="J66" s="73">
        <f t="shared" si="1"/>
        <v>0.63184992668998219</v>
      </c>
      <c r="K66" s="117">
        <f t="shared" si="2"/>
        <v>17.731706973929015</v>
      </c>
      <c r="L66" s="74">
        <f t="shared" si="3"/>
        <v>12.645348793157575</v>
      </c>
      <c r="M66" s="74">
        <f>VLOOKUP($B66,'VoC Fuel'!$B$28:$O$126,14,FALSE)</f>
        <v>5</v>
      </c>
      <c r="O66" s="73"/>
      <c r="P66" s="73"/>
      <c r="Q66" s="73"/>
      <c r="R66" s="73"/>
      <c r="S66" s="65"/>
      <c r="T66" s="65"/>
    </row>
    <row r="67" spans="1:20" ht="13.5" customHeight="1">
      <c r="A67" s="90"/>
      <c r="B67" s="14">
        <v>2053</v>
      </c>
      <c r="C67" s="82"/>
      <c r="D67" s="932">
        <v>18.618292322625468</v>
      </c>
      <c r="E67" s="933">
        <v>12.645348793157575</v>
      </c>
      <c r="F67" s="2275">
        <f t="shared" si="4"/>
        <v>2.7598462168705772E-2</v>
      </c>
      <c r="G67" s="2248">
        <f t="shared" si="4"/>
        <v>2.5580968691902111E-2</v>
      </c>
      <c r="H67" s="2281">
        <f>VLOOKUP($B67,GHG!$B$27:$E$119,4,FALSE)</f>
        <v>255</v>
      </c>
      <c r="I67" s="73">
        <f t="shared" si="0"/>
        <v>0.70376078530199715</v>
      </c>
      <c r="J67" s="73">
        <f t="shared" si="1"/>
        <v>0.6523147016435038</v>
      </c>
      <c r="K67" s="117">
        <f t="shared" si="2"/>
        <v>17.731706973929015</v>
      </c>
      <c r="L67" s="74">
        <f t="shared" si="3"/>
        <v>12.645348793157575</v>
      </c>
      <c r="M67" s="74">
        <f>VLOOKUP($B67,'VoC Fuel'!$B$28:$O$126,14,FALSE)</f>
        <v>5</v>
      </c>
      <c r="O67" s="73"/>
      <c r="P67" s="73"/>
      <c r="Q67" s="73"/>
      <c r="R67" s="73"/>
      <c r="S67" s="65"/>
      <c r="T67" s="65"/>
    </row>
    <row r="68" spans="1:20" ht="13.5" customHeight="1">
      <c r="A68" s="90"/>
      <c r="B68" s="14">
        <v>2054</v>
      </c>
      <c r="C68" s="82"/>
      <c r="D68" s="932">
        <v>18.618292322625468</v>
      </c>
      <c r="E68" s="933">
        <v>12.645348793157575</v>
      </c>
      <c r="F68" s="2275">
        <f t="shared" si="4"/>
        <v>2.7598462168705772E-2</v>
      </c>
      <c r="G68" s="2248">
        <f t="shared" si="4"/>
        <v>2.5580968691902111E-2</v>
      </c>
      <c r="H68" s="2281">
        <f>VLOOKUP($B68,GHG!$B$27:$E$119,4,FALSE)</f>
        <v>263</v>
      </c>
      <c r="I68" s="73">
        <f t="shared" si="0"/>
        <v>0.72583955503696185</v>
      </c>
      <c r="J68" s="73">
        <f t="shared" si="1"/>
        <v>0.67277947659702553</v>
      </c>
      <c r="K68" s="117">
        <f t="shared" si="2"/>
        <v>17.731706973929015</v>
      </c>
      <c r="L68" s="74">
        <f t="shared" si="3"/>
        <v>12.645348793157575</v>
      </c>
      <c r="M68" s="74">
        <f>VLOOKUP($B68,'VoC Fuel'!$B$28:$O$126,14,FALSE)</f>
        <v>5</v>
      </c>
      <c r="O68" s="73"/>
      <c r="P68" s="73"/>
      <c r="Q68" s="73"/>
      <c r="R68" s="73"/>
      <c r="S68" s="65"/>
      <c r="T68" s="65"/>
    </row>
    <row r="69" spans="1:20" ht="13.5" customHeight="1">
      <c r="A69" s="90"/>
      <c r="B69" s="14">
        <v>2055</v>
      </c>
      <c r="C69" s="82"/>
      <c r="D69" s="932">
        <v>18.618292322625468</v>
      </c>
      <c r="E69" s="933">
        <v>12.645348793157575</v>
      </c>
      <c r="F69" s="2275">
        <f t="shared" si="4"/>
        <v>2.7598462168705772E-2</v>
      </c>
      <c r="G69" s="2248">
        <f t="shared" si="4"/>
        <v>2.5580968691902111E-2</v>
      </c>
      <c r="H69" s="2281">
        <f>VLOOKUP($B69,GHG!$B$27:$E$119,4,FALSE)</f>
        <v>271</v>
      </c>
      <c r="I69" s="73">
        <f t="shared" si="0"/>
        <v>0.74791832477192643</v>
      </c>
      <c r="J69" s="73">
        <f t="shared" si="1"/>
        <v>0.69324425155054725</v>
      </c>
      <c r="K69" s="117">
        <f t="shared" si="2"/>
        <v>17.731706973929015</v>
      </c>
      <c r="L69" s="74">
        <f t="shared" si="3"/>
        <v>12.645348793157575</v>
      </c>
      <c r="M69" s="74">
        <f>VLOOKUP($B69,'VoC Fuel'!$B$28:$O$126,14,FALSE)</f>
        <v>5</v>
      </c>
      <c r="O69" s="73"/>
      <c r="P69" s="73"/>
      <c r="Q69" s="73"/>
      <c r="R69" s="73"/>
      <c r="S69" s="65"/>
      <c r="T69" s="65"/>
    </row>
    <row r="70" spans="1:20" ht="13.5" customHeight="1">
      <c r="A70" s="90"/>
      <c r="B70" s="14">
        <v>2056</v>
      </c>
      <c r="C70" s="82"/>
      <c r="D70" s="932">
        <v>18.618292322625468</v>
      </c>
      <c r="E70" s="933">
        <v>12.645348793157575</v>
      </c>
      <c r="F70" s="2275">
        <f t="shared" si="4"/>
        <v>2.7598462168705772E-2</v>
      </c>
      <c r="G70" s="2248">
        <f t="shared" si="4"/>
        <v>2.5580968691902111E-2</v>
      </c>
      <c r="H70" s="2281">
        <f>VLOOKUP($B70,GHG!$B$27:$E$119,4,FALSE)</f>
        <v>278</v>
      </c>
      <c r="I70" s="73">
        <f t="shared" si="0"/>
        <v>0.76723724829002049</v>
      </c>
      <c r="J70" s="73">
        <f t="shared" si="1"/>
        <v>0.71115092963487869</v>
      </c>
      <c r="K70" s="117">
        <f t="shared" si="2"/>
        <v>17.731706973929015</v>
      </c>
      <c r="L70" s="74">
        <f t="shared" si="3"/>
        <v>12.645348793157575</v>
      </c>
      <c r="M70" s="74">
        <f>VLOOKUP($B70,'VoC Fuel'!$B$28:$O$126,14,FALSE)</f>
        <v>5</v>
      </c>
      <c r="O70" s="73"/>
      <c r="P70" s="73"/>
      <c r="Q70" s="73"/>
      <c r="R70" s="73"/>
      <c r="S70" s="65"/>
      <c r="T70" s="65"/>
    </row>
    <row r="71" spans="1:20" ht="13.5" customHeight="1">
      <c r="A71" s="90"/>
      <c r="B71" s="14">
        <v>2057</v>
      </c>
      <c r="C71" s="82"/>
      <c r="D71" s="932">
        <v>18.618292322625468</v>
      </c>
      <c r="E71" s="933">
        <v>12.645348793157575</v>
      </c>
      <c r="F71" s="2275">
        <f t="shared" si="4"/>
        <v>2.7598462168705772E-2</v>
      </c>
      <c r="G71" s="2248">
        <f t="shared" si="4"/>
        <v>2.5580968691902111E-2</v>
      </c>
      <c r="H71" s="2281">
        <f>VLOOKUP($B71,GHG!$B$27:$E$119,4,FALSE)</f>
        <v>286</v>
      </c>
      <c r="I71" s="73">
        <f t="shared" si="0"/>
        <v>0.78931601802498508</v>
      </c>
      <c r="J71" s="73">
        <f t="shared" si="1"/>
        <v>0.73161570458840042</v>
      </c>
      <c r="K71" s="117">
        <f t="shared" si="2"/>
        <v>17.731706973929015</v>
      </c>
      <c r="L71" s="74">
        <f t="shared" si="3"/>
        <v>12.645348793157575</v>
      </c>
      <c r="M71" s="74">
        <f>VLOOKUP($B71,'VoC Fuel'!$B$28:$O$126,14,FALSE)</f>
        <v>5</v>
      </c>
      <c r="O71" s="73"/>
      <c r="P71" s="73"/>
      <c r="Q71" s="73"/>
      <c r="R71" s="73"/>
      <c r="S71" s="65"/>
      <c r="T71" s="65"/>
    </row>
    <row r="72" spans="1:20" ht="13.5" customHeight="1">
      <c r="A72" s="90"/>
      <c r="B72" s="14">
        <v>2058</v>
      </c>
      <c r="C72" s="82"/>
      <c r="D72" s="932">
        <v>18.618292322625468</v>
      </c>
      <c r="E72" s="933">
        <v>12.645348793157575</v>
      </c>
      <c r="F72" s="2275">
        <f t="shared" si="4"/>
        <v>2.7598462168705772E-2</v>
      </c>
      <c r="G72" s="2248">
        <f t="shared" si="4"/>
        <v>2.5580968691902111E-2</v>
      </c>
      <c r="H72" s="2281">
        <f>VLOOKUP($B72,GHG!$B$27:$E$119,4,FALSE)</f>
        <v>293</v>
      </c>
      <c r="I72" s="73">
        <f t="shared" si="0"/>
        <v>0.80863494154307902</v>
      </c>
      <c r="J72" s="73">
        <f t="shared" si="1"/>
        <v>0.74952238267273186</v>
      </c>
      <c r="K72" s="117">
        <f t="shared" si="2"/>
        <v>17.731706973929015</v>
      </c>
      <c r="L72" s="74">
        <f t="shared" si="3"/>
        <v>12.645348793157575</v>
      </c>
      <c r="M72" s="74">
        <f>VLOOKUP($B72,'VoC Fuel'!$B$28:$O$126,14,FALSE)</f>
        <v>5</v>
      </c>
      <c r="O72" s="73"/>
      <c r="P72" s="73"/>
      <c r="Q72" s="73"/>
      <c r="R72" s="73"/>
      <c r="S72" s="65"/>
      <c r="T72" s="65"/>
    </row>
    <row r="73" spans="1:20" ht="13.5" customHeight="1">
      <c r="A73" s="90"/>
      <c r="B73" s="14">
        <v>2059</v>
      </c>
      <c r="C73" s="82"/>
      <c r="D73" s="932">
        <v>18.618292322625468</v>
      </c>
      <c r="E73" s="933">
        <v>12.645348793157575</v>
      </c>
      <c r="F73" s="2275">
        <f t="shared" si="4"/>
        <v>2.7598462168705772E-2</v>
      </c>
      <c r="G73" s="2248">
        <f t="shared" si="4"/>
        <v>2.5580968691902111E-2</v>
      </c>
      <c r="H73" s="2281">
        <f>VLOOKUP($B73,GHG!$B$27:$E$119,4,FALSE)</f>
        <v>300</v>
      </c>
      <c r="I73" s="73">
        <f t="shared" si="0"/>
        <v>0.82795386506117319</v>
      </c>
      <c r="J73" s="73">
        <f t="shared" si="1"/>
        <v>0.7674290607570633</v>
      </c>
      <c r="K73" s="117">
        <f t="shared" si="2"/>
        <v>17.731706973929015</v>
      </c>
      <c r="L73" s="74">
        <f t="shared" si="3"/>
        <v>12.645348793157575</v>
      </c>
      <c r="M73" s="74">
        <f>VLOOKUP($B73,'VoC Fuel'!$B$28:$O$126,14,FALSE)</f>
        <v>5</v>
      </c>
      <c r="O73" s="73"/>
      <c r="P73" s="73"/>
      <c r="Q73" s="73"/>
      <c r="R73" s="73"/>
      <c r="S73" s="65"/>
      <c r="T73" s="65"/>
    </row>
    <row r="74" spans="1:20" ht="13.5" customHeight="1">
      <c r="A74" s="90"/>
      <c r="B74" s="14">
        <v>2060</v>
      </c>
      <c r="C74" s="82"/>
      <c r="D74" s="932">
        <v>18.618292322625468</v>
      </c>
      <c r="E74" s="933">
        <v>12.645348793157575</v>
      </c>
      <c r="F74" s="2275">
        <f t="shared" si="4"/>
        <v>2.7598462168705772E-2</v>
      </c>
      <c r="G74" s="2248">
        <f t="shared" si="4"/>
        <v>2.5580968691902111E-2</v>
      </c>
      <c r="H74" s="2281">
        <f>VLOOKUP($B74,GHG!$B$27:$E$119,4,FALSE)</f>
        <v>307</v>
      </c>
      <c r="I74" s="73">
        <f t="shared" si="0"/>
        <v>0.84727278857926724</v>
      </c>
      <c r="J74" s="73">
        <f t="shared" si="1"/>
        <v>0.78533573884139485</v>
      </c>
      <c r="K74" s="117">
        <f t="shared" si="2"/>
        <v>17.731706973929015</v>
      </c>
      <c r="L74" s="74">
        <f t="shared" si="3"/>
        <v>12.645348793157575</v>
      </c>
      <c r="M74" s="74">
        <f>VLOOKUP($B74,'VoC Fuel'!$B$28:$O$126,14,FALSE)</f>
        <v>5</v>
      </c>
      <c r="O74" s="73"/>
      <c r="P74" s="73"/>
      <c r="Q74" s="73"/>
      <c r="R74" s="73"/>
      <c r="S74" s="65"/>
      <c r="T74" s="65"/>
    </row>
    <row r="75" spans="1:20" ht="13.5" customHeight="1">
      <c r="A75" s="90"/>
      <c r="B75" s="14">
        <v>2061</v>
      </c>
      <c r="C75" s="82"/>
      <c r="D75" s="932">
        <v>18.618292322625468</v>
      </c>
      <c r="E75" s="933">
        <v>12.645348793157575</v>
      </c>
      <c r="F75" s="2275">
        <f t="shared" si="4"/>
        <v>2.7598462168705772E-2</v>
      </c>
      <c r="G75" s="2248">
        <f t="shared" si="4"/>
        <v>2.5580968691902111E-2</v>
      </c>
      <c r="H75" s="2281">
        <f>VLOOKUP($B75,GHG!$B$27:$E$119,4,FALSE)</f>
        <v>313</v>
      </c>
      <c r="I75" s="73">
        <f t="shared" si="0"/>
        <v>0.86383186588049077</v>
      </c>
      <c r="J75" s="73">
        <f t="shared" si="1"/>
        <v>0.80068432005653611</v>
      </c>
      <c r="K75" s="117">
        <f t="shared" si="2"/>
        <v>17.731706973929015</v>
      </c>
      <c r="L75" s="74">
        <f t="shared" si="3"/>
        <v>12.645348793157575</v>
      </c>
      <c r="M75" s="74">
        <f>VLOOKUP($B75,'VoC Fuel'!$B$28:$O$126,14,FALSE)</f>
        <v>5</v>
      </c>
      <c r="O75" s="73"/>
      <c r="P75" s="73"/>
      <c r="Q75" s="73"/>
      <c r="R75" s="73"/>
      <c r="S75" s="65"/>
      <c r="T75" s="65"/>
    </row>
    <row r="76" spans="1:20" ht="13.5" customHeight="1">
      <c r="A76" s="90"/>
      <c r="B76" s="14">
        <v>2062</v>
      </c>
      <c r="C76" s="82"/>
      <c r="D76" s="932">
        <v>18.618292322625468</v>
      </c>
      <c r="E76" s="933">
        <v>12.645348793157575</v>
      </c>
      <c r="F76" s="2275">
        <f t="shared" si="4"/>
        <v>2.7598462168705772E-2</v>
      </c>
      <c r="G76" s="2248">
        <f t="shared" si="4"/>
        <v>2.5580968691902111E-2</v>
      </c>
      <c r="H76" s="2281">
        <f>VLOOKUP($B76,GHG!$B$27:$E$119,4,FALSE)</f>
        <v>318</v>
      </c>
      <c r="I76" s="73">
        <f t="shared" si="0"/>
        <v>0.87763109696484354</v>
      </c>
      <c r="J76" s="73">
        <f t="shared" si="1"/>
        <v>0.81347480440248709</v>
      </c>
      <c r="K76" s="117">
        <f t="shared" si="2"/>
        <v>17.731706973929015</v>
      </c>
      <c r="L76" s="74">
        <f t="shared" si="3"/>
        <v>12.645348793157575</v>
      </c>
      <c r="M76" s="74">
        <f>VLOOKUP($B76,'VoC Fuel'!$B$28:$O$126,14,FALSE)</f>
        <v>5</v>
      </c>
      <c r="O76" s="73"/>
      <c r="P76" s="73"/>
      <c r="Q76" s="73"/>
      <c r="R76" s="73"/>
      <c r="S76" s="65"/>
      <c r="T76" s="65"/>
    </row>
    <row r="77" spans="1:20" ht="13.5" customHeight="1">
      <c r="A77" s="90"/>
      <c r="B77" s="14">
        <v>2063</v>
      </c>
      <c r="C77" s="82"/>
      <c r="D77" s="932">
        <v>18.618292322625468</v>
      </c>
      <c r="E77" s="933">
        <v>12.645348793157575</v>
      </c>
      <c r="F77" s="2275">
        <f t="shared" si="4"/>
        <v>2.7598462168705772E-2</v>
      </c>
      <c r="G77" s="2248">
        <f t="shared" si="4"/>
        <v>2.5580968691902111E-2</v>
      </c>
      <c r="H77" s="2281">
        <f>VLOOKUP($B77,GHG!$B$27:$E$119,4,FALSE)</f>
        <v>323</v>
      </c>
      <c r="I77" s="73">
        <f t="shared" si="0"/>
        <v>0.89143032804919642</v>
      </c>
      <c r="J77" s="73">
        <f t="shared" si="1"/>
        <v>0.82626528874843819</v>
      </c>
      <c r="K77" s="117">
        <f t="shared" si="2"/>
        <v>17.731706973929015</v>
      </c>
      <c r="L77" s="74">
        <f t="shared" si="3"/>
        <v>12.645348793157575</v>
      </c>
      <c r="M77" s="74">
        <f>VLOOKUP($B77,'VoC Fuel'!$B$28:$O$126,14,FALSE)</f>
        <v>5</v>
      </c>
      <c r="O77" s="73"/>
      <c r="P77" s="73"/>
      <c r="Q77" s="73"/>
      <c r="R77" s="73"/>
      <c r="S77" s="65"/>
      <c r="T77" s="65"/>
    </row>
    <row r="78" spans="1:20" ht="13.5" customHeight="1">
      <c r="A78" s="90"/>
      <c r="B78" s="14">
        <v>2064</v>
      </c>
      <c r="C78" s="82"/>
      <c r="D78" s="932">
        <v>18.618292322625468</v>
      </c>
      <c r="E78" s="933">
        <v>12.645348793157575</v>
      </c>
      <c r="F78" s="2275">
        <f t="shared" si="4"/>
        <v>2.7598462168705772E-2</v>
      </c>
      <c r="G78" s="2248">
        <f t="shared" si="4"/>
        <v>2.5580968691902111E-2</v>
      </c>
      <c r="H78" s="2281">
        <f>VLOOKUP($B78,GHG!$B$27:$E$119,4,FALSE)</f>
        <v>328</v>
      </c>
      <c r="I78" s="73">
        <f t="shared" si="0"/>
        <v>0.9052295591335493</v>
      </c>
      <c r="J78" s="73">
        <f t="shared" si="1"/>
        <v>0.83905577309438928</v>
      </c>
      <c r="K78" s="117">
        <f t="shared" si="2"/>
        <v>17.731706973929015</v>
      </c>
      <c r="L78" s="74">
        <f t="shared" si="3"/>
        <v>12.645348793157575</v>
      </c>
      <c r="M78" s="74">
        <f>VLOOKUP($B78,'VoC Fuel'!$B$28:$O$126,14,FALSE)</f>
        <v>5</v>
      </c>
      <c r="O78" s="73"/>
      <c r="P78" s="73"/>
      <c r="Q78" s="73"/>
      <c r="R78" s="73"/>
      <c r="S78" s="65"/>
      <c r="T78" s="65"/>
    </row>
    <row r="79" spans="1:20" ht="13.5" customHeight="1">
      <c r="A79" s="90"/>
      <c r="B79" s="14">
        <v>2065</v>
      </c>
      <c r="C79" s="82"/>
      <c r="D79" s="932">
        <v>18.618292322625468</v>
      </c>
      <c r="E79" s="933">
        <v>12.645348793157575</v>
      </c>
      <c r="F79" s="2275">
        <f t="shared" si="4"/>
        <v>2.7598462168705772E-2</v>
      </c>
      <c r="G79" s="2248">
        <f t="shared" si="4"/>
        <v>2.5580968691902111E-2</v>
      </c>
      <c r="H79" s="2281">
        <f>VLOOKUP($B79,GHG!$B$27:$E$119,4,FALSE)</f>
        <v>332</v>
      </c>
      <c r="I79" s="73">
        <f t="shared" si="0"/>
        <v>0.91626894400103165</v>
      </c>
      <c r="J79" s="73">
        <f t="shared" si="1"/>
        <v>0.84928816057115009</v>
      </c>
      <c r="K79" s="117">
        <f t="shared" si="2"/>
        <v>17.731706973929015</v>
      </c>
      <c r="L79" s="74">
        <f t="shared" si="3"/>
        <v>12.645348793157575</v>
      </c>
      <c r="M79" s="74">
        <f>VLOOKUP($B79,'VoC Fuel'!$B$28:$O$126,14,FALSE)</f>
        <v>5</v>
      </c>
      <c r="O79" s="73"/>
      <c r="P79" s="73"/>
      <c r="Q79" s="73"/>
      <c r="R79" s="73"/>
      <c r="S79" s="65"/>
      <c r="T79" s="65"/>
    </row>
    <row r="80" spans="1:20" ht="13.5" customHeight="1">
      <c r="A80" s="90"/>
      <c r="B80" s="14">
        <v>2066</v>
      </c>
      <c r="C80" s="82"/>
      <c r="D80" s="932">
        <v>18.618292322625468</v>
      </c>
      <c r="E80" s="933">
        <v>12.645348793157575</v>
      </c>
      <c r="F80" s="2275">
        <f t="shared" si="4"/>
        <v>2.7598462168705772E-2</v>
      </c>
      <c r="G80" s="2248">
        <f t="shared" si="4"/>
        <v>2.5580968691902111E-2</v>
      </c>
      <c r="H80" s="2281">
        <f>VLOOKUP($B80,GHG!$B$27:$E$119,4,FALSE)</f>
        <v>336</v>
      </c>
      <c r="I80" s="73">
        <f t="shared" si="0"/>
        <v>0.927308328868514</v>
      </c>
      <c r="J80" s="73">
        <f t="shared" si="1"/>
        <v>0.85952054804791089</v>
      </c>
      <c r="K80" s="117">
        <f t="shared" si="2"/>
        <v>17.731706973929015</v>
      </c>
      <c r="L80" s="74">
        <f t="shared" si="3"/>
        <v>12.645348793157575</v>
      </c>
      <c r="M80" s="74">
        <f>VLOOKUP($B80,'VoC Fuel'!$B$28:$O$126,14,FALSE)</f>
        <v>5</v>
      </c>
      <c r="O80" s="73"/>
      <c r="P80" s="73"/>
      <c r="Q80" s="73"/>
      <c r="R80" s="73"/>
      <c r="S80" s="65"/>
      <c r="T80" s="65"/>
    </row>
    <row r="81" spans="1:20" ht="13.5" customHeight="1">
      <c r="A81" s="90"/>
      <c r="B81" s="14">
        <v>2067</v>
      </c>
      <c r="C81" s="82"/>
      <c r="D81" s="932">
        <v>18.618292322625468</v>
      </c>
      <c r="E81" s="933">
        <v>12.645348793157575</v>
      </c>
      <c r="F81" s="2275">
        <f t="shared" si="4"/>
        <v>2.7598462168705772E-2</v>
      </c>
      <c r="G81" s="2248">
        <f t="shared" si="4"/>
        <v>2.5580968691902111E-2</v>
      </c>
      <c r="H81" s="2281">
        <f>VLOOKUP($B81,GHG!$B$27:$E$119,4,FALSE)</f>
        <v>340</v>
      </c>
      <c r="I81" s="73">
        <f t="shared" si="0"/>
        <v>0.93834771373599624</v>
      </c>
      <c r="J81" s="73">
        <f t="shared" si="1"/>
        <v>0.86975293552467181</v>
      </c>
      <c r="K81" s="117">
        <f t="shared" si="2"/>
        <v>17.731706973929015</v>
      </c>
      <c r="L81" s="74">
        <f t="shared" si="3"/>
        <v>12.645348793157575</v>
      </c>
      <c r="M81" s="74">
        <f>VLOOKUP($B81,'VoC Fuel'!$B$28:$O$126,14,FALSE)</f>
        <v>5</v>
      </c>
      <c r="O81" s="73"/>
      <c r="P81" s="73"/>
      <c r="Q81" s="73"/>
      <c r="R81" s="73"/>
      <c r="S81" s="65"/>
      <c r="T81" s="65"/>
    </row>
    <row r="82" spans="1:20" ht="13.5" customHeight="1">
      <c r="A82" s="90"/>
      <c r="B82" s="14">
        <v>2068</v>
      </c>
      <c r="C82" s="82"/>
      <c r="D82" s="932">
        <v>18.618292322625468</v>
      </c>
      <c r="E82" s="933">
        <v>12.645348793157575</v>
      </c>
      <c r="F82" s="2275">
        <f t="shared" si="4"/>
        <v>2.7598462168705772E-2</v>
      </c>
      <c r="G82" s="2248">
        <f t="shared" si="4"/>
        <v>2.5580968691902111E-2</v>
      </c>
      <c r="H82" s="2281">
        <f>VLOOKUP($B82,GHG!$B$27:$E$119,4,FALSE)</f>
        <v>343</v>
      </c>
      <c r="I82" s="73">
        <f t="shared" si="0"/>
        <v>0.94662725238660794</v>
      </c>
      <c r="J82" s="73">
        <f t="shared" si="1"/>
        <v>0.87742722613224244</v>
      </c>
      <c r="K82" s="117">
        <f t="shared" si="2"/>
        <v>17.731706973929015</v>
      </c>
      <c r="L82" s="74">
        <f t="shared" si="3"/>
        <v>12.645348793157575</v>
      </c>
      <c r="M82" s="74">
        <f>VLOOKUP($B82,'VoC Fuel'!$B$28:$O$126,14,FALSE)</f>
        <v>5</v>
      </c>
      <c r="O82" s="73"/>
      <c r="P82" s="73"/>
      <c r="Q82" s="73"/>
      <c r="R82" s="73"/>
      <c r="S82" s="65"/>
      <c r="T82" s="65"/>
    </row>
    <row r="83" spans="1:20" ht="13.5" customHeight="1">
      <c r="A83" s="90"/>
      <c r="B83" s="14">
        <v>2069</v>
      </c>
      <c r="C83" s="82"/>
      <c r="D83" s="932">
        <v>18.618292322625468</v>
      </c>
      <c r="E83" s="933">
        <v>12.645348793157575</v>
      </c>
      <c r="F83" s="2275">
        <f t="shared" si="4"/>
        <v>2.7598462168705772E-2</v>
      </c>
      <c r="G83" s="2248">
        <f t="shared" si="4"/>
        <v>2.5580968691902111E-2</v>
      </c>
      <c r="H83" s="2281">
        <f>VLOOKUP($B83,GHG!$B$27:$E$119,4,FALSE)</f>
        <v>345</v>
      </c>
      <c r="I83" s="73">
        <f t="shared" si="0"/>
        <v>0.95214694482034923</v>
      </c>
      <c r="J83" s="73">
        <f t="shared" si="1"/>
        <v>0.88254341987062279</v>
      </c>
      <c r="K83" s="117">
        <f t="shared" si="2"/>
        <v>17.731706973929015</v>
      </c>
      <c r="L83" s="74">
        <f t="shared" si="3"/>
        <v>12.645348793157575</v>
      </c>
      <c r="M83" s="74">
        <f>VLOOKUP($B83,'VoC Fuel'!$B$28:$O$126,14,FALSE)</f>
        <v>5</v>
      </c>
      <c r="O83" s="73"/>
      <c r="P83" s="73"/>
      <c r="Q83" s="73"/>
      <c r="R83" s="73"/>
      <c r="S83" s="65"/>
      <c r="T83" s="65"/>
    </row>
    <row r="84" spans="1:20" ht="13.5" customHeight="1">
      <c r="A84" s="90"/>
      <c r="B84" s="14">
        <v>2070</v>
      </c>
      <c r="C84" s="82"/>
      <c r="D84" s="932">
        <v>18.618292322625468</v>
      </c>
      <c r="E84" s="933">
        <v>12.645348793157575</v>
      </c>
      <c r="F84" s="2275">
        <f t="shared" si="4"/>
        <v>2.7598462168705772E-2</v>
      </c>
      <c r="G84" s="2248">
        <f t="shared" si="4"/>
        <v>2.5580968691902111E-2</v>
      </c>
      <c r="H84" s="2281">
        <f>VLOOKUP($B84,GHG!$B$27:$E$119,4,FALSE)</f>
        <v>348</v>
      </c>
      <c r="I84" s="73">
        <f t="shared" si="0"/>
        <v>0.96042648347096082</v>
      </c>
      <c r="J84" s="73">
        <f t="shared" si="1"/>
        <v>0.89021771047819342</v>
      </c>
      <c r="K84" s="117">
        <f t="shared" si="2"/>
        <v>17.731706973929015</v>
      </c>
      <c r="L84" s="74">
        <f t="shared" si="3"/>
        <v>12.645348793157575</v>
      </c>
      <c r="M84" s="74">
        <f>VLOOKUP($B84,'VoC Fuel'!$B$28:$O$126,14,FALSE)</f>
        <v>5</v>
      </c>
      <c r="O84" s="73"/>
      <c r="P84" s="73"/>
      <c r="Q84" s="73"/>
      <c r="R84" s="73"/>
      <c r="S84" s="65"/>
      <c r="T84" s="65"/>
    </row>
    <row r="85" spans="1:20" ht="13.5" customHeight="1">
      <c r="A85" s="90"/>
      <c r="B85" s="14">
        <v>2071</v>
      </c>
      <c r="C85" s="82"/>
      <c r="D85" s="932">
        <v>18.618292322625468</v>
      </c>
      <c r="E85" s="933">
        <v>12.645348793157575</v>
      </c>
      <c r="F85" s="2275">
        <f t="shared" si="4"/>
        <v>2.7598462168705772E-2</v>
      </c>
      <c r="G85" s="2248">
        <f t="shared" si="4"/>
        <v>2.5580968691902111E-2</v>
      </c>
      <c r="H85" s="2281">
        <f>VLOOKUP($B85,GHG!$B$27:$E$119,4,FALSE)</f>
        <v>350</v>
      </c>
      <c r="I85" s="73">
        <f t="shared" si="0"/>
        <v>0.96594617590470211</v>
      </c>
      <c r="J85" s="73">
        <f t="shared" si="1"/>
        <v>0.89533390421657388</v>
      </c>
      <c r="K85" s="117">
        <f t="shared" si="2"/>
        <v>17.731706973929015</v>
      </c>
      <c r="L85" s="74">
        <f t="shared" si="3"/>
        <v>12.645348793157575</v>
      </c>
      <c r="M85" s="74">
        <f>VLOOKUP($B85,'VoC Fuel'!$B$28:$O$126,14,FALSE)</f>
        <v>5</v>
      </c>
      <c r="O85" s="73"/>
      <c r="P85" s="73"/>
      <c r="Q85" s="73"/>
      <c r="R85" s="73"/>
      <c r="S85" s="65"/>
      <c r="T85" s="65"/>
    </row>
    <row r="86" spans="1:20" ht="13.5" customHeight="1">
      <c r="A86" s="90"/>
      <c r="B86" s="14">
        <v>2072</v>
      </c>
      <c r="C86" s="82"/>
      <c r="D86" s="932">
        <v>18.618292322625468</v>
      </c>
      <c r="E86" s="933">
        <v>12.645348793157575</v>
      </c>
      <c r="F86" s="2275">
        <f t="shared" si="4"/>
        <v>2.7598462168705772E-2</v>
      </c>
      <c r="G86" s="2248">
        <f t="shared" si="4"/>
        <v>2.5580968691902111E-2</v>
      </c>
      <c r="H86" s="2281">
        <f>VLOOKUP($B86,GHG!$B$27:$E$119,4,FALSE)</f>
        <v>352</v>
      </c>
      <c r="I86" s="73">
        <f t="shared" si="0"/>
        <v>0.97146586833844317</v>
      </c>
      <c r="J86" s="73">
        <f t="shared" si="1"/>
        <v>0.90045009795495434</v>
      </c>
      <c r="K86" s="117">
        <f t="shared" si="2"/>
        <v>17.731706973929015</v>
      </c>
      <c r="L86" s="74">
        <f t="shared" si="3"/>
        <v>12.645348793157575</v>
      </c>
      <c r="M86" s="74">
        <f>VLOOKUP($B86,'VoC Fuel'!$B$28:$O$126,14,FALSE)</f>
        <v>5</v>
      </c>
      <c r="O86" s="73"/>
      <c r="P86" s="73"/>
      <c r="Q86" s="73"/>
      <c r="R86" s="73"/>
      <c r="S86" s="65"/>
      <c r="T86" s="65"/>
    </row>
    <row r="87" spans="1:20" ht="13.5" customHeight="1">
      <c r="A87" s="90"/>
      <c r="B87" s="14">
        <v>2073</v>
      </c>
      <c r="C87" s="82"/>
      <c r="D87" s="932">
        <v>18.618292322625468</v>
      </c>
      <c r="E87" s="933">
        <v>12.645348793157575</v>
      </c>
      <c r="F87" s="2275">
        <f t="shared" si="4"/>
        <v>2.7598462168705772E-2</v>
      </c>
      <c r="G87" s="2248">
        <f t="shared" si="4"/>
        <v>2.5580968691902111E-2</v>
      </c>
      <c r="H87" s="2281">
        <f>VLOOKUP($B87,GHG!$B$27:$E$119,4,FALSE)</f>
        <v>353</v>
      </c>
      <c r="I87" s="73">
        <f t="shared" si="0"/>
        <v>0.97422571455531382</v>
      </c>
      <c r="J87" s="73">
        <f t="shared" si="1"/>
        <v>0.90300819482414452</v>
      </c>
      <c r="K87" s="117">
        <f t="shared" si="2"/>
        <v>17.731706973929015</v>
      </c>
      <c r="L87" s="74">
        <f t="shared" si="3"/>
        <v>12.645348793157575</v>
      </c>
      <c r="M87" s="74">
        <f>VLOOKUP($B87,'VoC Fuel'!$B$28:$O$126,14,FALSE)</f>
        <v>5</v>
      </c>
      <c r="O87" s="73"/>
      <c r="P87" s="73"/>
      <c r="Q87" s="73"/>
      <c r="R87" s="73"/>
      <c r="S87" s="65"/>
      <c r="T87" s="65"/>
    </row>
    <row r="88" spans="1:20" ht="13.5" customHeight="1">
      <c r="A88" s="90"/>
      <c r="B88" s="14">
        <v>2074</v>
      </c>
      <c r="C88" s="82"/>
      <c r="D88" s="932">
        <v>18.618292322625468</v>
      </c>
      <c r="E88" s="933">
        <v>12.645348793157575</v>
      </c>
      <c r="F88" s="2275">
        <f t="shared" si="4"/>
        <v>2.7598462168705772E-2</v>
      </c>
      <c r="G88" s="2248">
        <f t="shared" si="4"/>
        <v>2.5580968691902111E-2</v>
      </c>
      <c r="H88" s="2281">
        <f>VLOOKUP($B88,GHG!$B$27:$E$119,4,FALSE)</f>
        <v>354</v>
      </c>
      <c r="I88" s="73">
        <f t="shared" si="0"/>
        <v>0.97698556077218446</v>
      </c>
      <c r="J88" s="73">
        <f t="shared" si="1"/>
        <v>0.90556629169333469</v>
      </c>
      <c r="K88" s="117">
        <f t="shared" si="2"/>
        <v>17.731706973929015</v>
      </c>
      <c r="L88" s="74">
        <f t="shared" si="3"/>
        <v>12.645348793157575</v>
      </c>
      <c r="M88" s="74">
        <f>VLOOKUP($B88,'VoC Fuel'!$B$28:$O$126,14,FALSE)</f>
        <v>5</v>
      </c>
      <c r="O88" s="73"/>
      <c r="P88" s="73"/>
      <c r="Q88" s="73"/>
      <c r="R88" s="73"/>
      <c r="S88" s="65"/>
      <c r="T88" s="65"/>
    </row>
    <row r="89" spans="1:20" ht="13.5" customHeight="1">
      <c r="A89" s="90"/>
      <c r="B89" s="14">
        <v>2075</v>
      </c>
      <c r="C89" s="82"/>
      <c r="D89" s="932">
        <v>18.618292322625468</v>
      </c>
      <c r="E89" s="933">
        <v>12.645348793157575</v>
      </c>
      <c r="F89" s="2275">
        <f t="shared" si="4"/>
        <v>2.7598462168705772E-2</v>
      </c>
      <c r="G89" s="2248">
        <f t="shared" si="4"/>
        <v>2.5580968691902111E-2</v>
      </c>
      <c r="H89" s="2281">
        <f>VLOOKUP($B89,GHG!$B$27:$E$119,4,FALSE)</f>
        <v>355</v>
      </c>
      <c r="I89" s="73">
        <f t="shared" ref="I89:I114" si="5">F89*H89/10</f>
        <v>0.97974540698905488</v>
      </c>
      <c r="J89" s="73">
        <f t="shared" ref="J89:J114" si="6">G89*H89/10</f>
        <v>0.90812438856252498</v>
      </c>
      <c r="K89" s="117">
        <f t="shared" ref="K89:K114" si="7">D89/(1+M89/100)</f>
        <v>17.731706973929015</v>
      </c>
      <c r="L89" s="74">
        <f t="shared" ref="L89:L114" si="8">E89</f>
        <v>12.645348793157575</v>
      </c>
      <c r="M89" s="74">
        <f>VLOOKUP($B89,'VoC Fuel'!$B$28:$O$126,14,FALSE)</f>
        <v>5</v>
      </c>
      <c r="O89" s="73"/>
      <c r="P89" s="73"/>
      <c r="Q89" s="73"/>
      <c r="R89" s="73"/>
      <c r="S89" s="65"/>
      <c r="T89" s="65"/>
    </row>
    <row r="90" spans="1:20" ht="13.5" customHeight="1">
      <c r="A90" s="90"/>
      <c r="B90" s="14">
        <v>2076</v>
      </c>
      <c r="C90" s="82"/>
      <c r="D90" s="932">
        <v>18.618292322625468</v>
      </c>
      <c r="E90" s="933">
        <v>12.645348793157575</v>
      </c>
      <c r="F90" s="2275">
        <f t="shared" si="4"/>
        <v>2.7598462168705772E-2</v>
      </c>
      <c r="G90" s="2248">
        <f t="shared" si="4"/>
        <v>2.5580968691902111E-2</v>
      </c>
      <c r="H90" s="2281">
        <f>VLOOKUP($B90,GHG!$B$27:$E$119,4,FALSE)</f>
        <v>355</v>
      </c>
      <c r="I90" s="73">
        <f t="shared" si="5"/>
        <v>0.97974540698905488</v>
      </c>
      <c r="J90" s="73">
        <f t="shared" si="6"/>
        <v>0.90812438856252498</v>
      </c>
      <c r="K90" s="117">
        <f t="shared" si="7"/>
        <v>17.731706973929015</v>
      </c>
      <c r="L90" s="74">
        <f t="shared" si="8"/>
        <v>12.645348793157575</v>
      </c>
      <c r="M90" s="74">
        <f>VLOOKUP($B90,'VoC Fuel'!$B$28:$O$126,14,FALSE)</f>
        <v>5</v>
      </c>
      <c r="O90" s="73"/>
      <c r="P90" s="73"/>
      <c r="Q90" s="73"/>
      <c r="R90" s="73"/>
      <c r="S90" s="65"/>
      <c r="T90" s="65"/>
    </row>
    <row r="91" spans="1:20" ht="13.5" customHeight="1">
      <c r="A91" s="90"/>
      <c r="B91" s="14">
        <v>2077</v>
      </c>
      <c r="C91" s="82"/>
      <c r="D91" s="932">
        <v>18.618292322625468</v>
      </c>
      <c r="E91" s="933">
        <v>12.645348793157575</v>
      </c>
      <c r="F91" s="2275">
        <f t="shared" si="4"/>
        <v>2.7598462168705772E-2</v>
      </c>
      <c r="G91" s="2248">
        <f t="shared" si="4"/>
        <v>2.5580968691902111E-2</v>
      </c>
      <c r="H91" s="2281">
        <f>VLOOKUP($B91,GHG!$B$27:$E$119,4,FALSE)</f>
        <v>355</v>
      </c>
      <c r="I91" s="73">
        <f t="shared" si="5"/>
        <v>0.97974540698905488</v>
      </c>
      <c r="J91" s="73">
        <f t="shared" si="6"/>
        <v>0.90812438856252498</v>
      </c>
      <c r="K91" s="117">
        <f t="shared" si="7"/>
        <v>17.731706973929015</v>
      </c>
      <c r="L91" s="74">
        <f t="shared" si="8"/>
        <v>12.645348793157575</v>
      </c>
      <c r="M91" s="74">
        <f>VLOOKUP($B91,'VoC Fuel'!$B$28:$O$126,14,FALSE)</f>
        <v>5</v>
      </c>
      <c r="O91" s="73"/>
      <c r="P91" s="73"/>
      <c r="Q91" s="73"/>
      <c r="R91" s="73"/>
      <c r="S91" s="65"/>
      <c r="T91" s="65"/>
    </row>
    <row r="92" spans="1:20" ht="13.5" customHeight="1">
      <c r="A92" s="90"/>
      <c r="B92" s="14">
        <v>2078</v>
      </c>
      <c r="C92" s="82"/>
      <c r="D92" s="932">
        <v>18.618292322625468</v>
      </c>
      <c r="E92" s="933">
        <v>12.645348793157575</v>
      </c>
      <c r="F92" s="2275">
        <f t="shared" si="4"/>
        <v>2.7598462168705772E-2</v>
      </c>
      <c r="G92" s="2248">
        <f t="shared" si="4"/>
        <v>2.5580968691902111E-2</v>
      </c>
      <c r="H92" s="2281">
        <f>VLOOKUP($B92,GHG!$B$27:$E$119,4,FALSE)</f>
        <v>355</v>
      </c>
      <c r="I92" s="73">
        <f t="shared" si="5"/>
        <v>0.97974540698905488</v>
      </c>
      <c r="J92" s="73">
        <f t="shared" si="6"/>
        <v>0.90812438856252498</v>
      </c>
      <c r="K92" s="117">
        <f t="shared" si="7"/>
        <v>17.731706973929015</v>
      </c>
      <c r="L92" s="74">
        <f t="shared" si="8"/>
        <v>12.645348793157575</v>
      </c>
      <c r="M92" s="74">
        <f>VLOOKUP($B92,'VoC Fuel'!$B$28:$O$126,14,FALSE)</f>
        <v>5</v>
      </c>
      <c r="O92" s="73"/>
      <c r="P92" s="73"/>
      <c r="Q92" s="73"/>
      <c r="R92" s="73"/>
      <c r="S92" s="65"/>
      <c r="T92" s="65"/>
    </row>
    <row r="93" spans="1:20" ht="13.5" customHeight="1">
      <c r="A93" s="90"/>
      <c r="B93" s="14">
        <v>2079</v>
      </c>
      <c r="C93" s="82"/>
      <c r="D93" s="932">
        <v>18.618292322625468</v>
      </c>
      <c r="E93" s="933">
        <v>12.645348793157575</v>
      </c>
      <c r="F93" s="2275">
        <f t="shared" si="4"/>
        <v>2.7598462168705772E-2</v>
      </c>
      <c r="G93" s="2248">
        <f t="shared" si="4"/>
        <v>2.5580968691902111E-2</v>
      </c>
      <c r="H93" s="2281">
        <f>VLOOKUP($B93,GHG!$B$27:$E$119,4,FALSE)</f>
        <v>354</v>
      </c>
      <c r="I93" s="73">
        <f t="shared" si="5"/>
        <v>0.97698556077218446</v>
      </c>
      <c r="J93" s="73">
        <f t="shared" si="6"/>
        <v>0.90556629169333469</v>
      </c>
      <c r="K93" s="117">
        <f t="shared" si="7"/>
        <v>17.731706973929015</v>
      </c>
      <c r="L93" s="74">
        <f t="shared" si="8"/>
        <v>12.645348793157575</v>
      </c>
      <c r="M93" s="74">
        <f>VLOOKUP($B93,'VoC Fuel'!$B$28:$O$126,14,FALSE)</f>
        <v>5</v>
      </c>
      <c r="O93" s="73"/>
      <c r="P93" s="73"/>
      <c r="Q93" s="73"/>
      <c r="R93" s="73"/>
      <c r="S93" s="65"/>
      <c r="T93" s="65"/>
    </row>
    <row r="94" spans="1:20" ht="13.5" customHeight="1">
      <c r="A94" s="90"/>
      <c r="B94" s="14">
        <v>2080</v>
      </c>
      <c r="C94" s="82"/>
      <c r="D94" s="932">
        <v>18.618292322625468</v>
      </c>
      <c r="E94" s="933">
        <v>12.645348793157575</v>
      </c>
      <c r="F94" s="2275">
        <f t="shared" si="4"/>
        <v>2.7598462168705772E-2</v>
      </c>
      <c r="G94" s="2248">
        <f t="shared" si="4"/>
        <v>2.5580968691902111E-2</v>
      </c>
      <c r="H94" s="2281">
        <f>VLOOKUP($B94,GHG!$B$27:$E$119,4,FALSE)</f>
        <v>353</v>
      </c>
      <c r="I94" s="73">
        <f t="shared" si="5"/>
        <v>0.97422571455531382</v>
      </c>
      <c r="J94" s="73">
        <f t="shared" si="6"/>
        <v>0.90300819482414452</v>
      </c>
      <c r="K94" s="117">
        <f t="shared" si="7"/>
        <v>17.731706973929015</v>
      </c>
      <c r="L94" s="74">
        <f t="shared" si="8"/>
        <v>12.645348793157575</v>
      </c>
      <c r="M94" s="74">
        <f>VLOOKUP($B94,'VoC Fuel'!$B$28:$O$126,14,FALSE)</f>
        <v>5</v>
      </c>
      <c r="O94" s="73"/>
      <c r="P94" s="73"/>
      <c r="Q94" s="73"/>
      <c r="R94" s="73"/>
      <c r="S94" s="65"/>
      <c r="T94" s="65"/>
    </row>
    <row r="95" spans="1:20" ht="13.5" customHeight="1">
      <c r="A95" s="90"/>
      <c r="B95" s="14">
        <v>2081</v>
      </c>
      <c r="C95" s="82"/>
      <c r="D95" s="932">
        <v>18.618292322625468</v>
      </c>
      <c r="E95" s="933">
        <v>12.645348793157575</v>
      </c>
      <c r="F95" s="2275">
        <f t="shared" si="4"/>
        <v>2.7598462168705772E-2</v>
      </c>
      <c r="G95" s="2248">
        <f t="shared" si="4"/>
        <v>2.5580968691902111E-2</v>
      </c>
      <c r="H95" s="2281">
        <f>VLOOKUP($B95,GHG!$B$27:$E$119,4,FALSE)</f>
        <v>353</v>
      </c>
      <c r="I95" s="73">
        <f t="shared" si="5"/>
        <v>0.97422571455531382</v>
      </c>
      <c r="J95" s="73">
        <f t="shared" si="6"/>
        <v>0.90300819482414452</v>
      </c>
      <c r="K95" s="117">
        <f t="shared" si="7"/>
        <v>17.731706973929015</v>
      </c>
      <c r="L95" s="74">
        <f t="shared" si="8"/>
        <v>12.645348793157575</v>
      </c>
      <c r="M95" s="74">
        <f>VLOOKUP($B95,'VoC Fuel'!$B$28:$O$126,14,FALSE)</f>
        <v>5</v>
      </c>
      <c r="O95" s="73"/>
      <c r="P95" s="73"/>
      <c r="Q95" s="73"/>
      <c r="R95" s="73"/>
      <c r="S95" s="65"/>
      <c r="T95" s="65"/>
    </row>
    <row r="96" spans="1:20" ht="13.5" customHeight="1">
      <c r="A96" s="90"/>
      <c r="B96" s="14">
        <v>2082</v>
      </c>
      <c r="C96" s="82"/>
      <c r="D96" s="932">
        <v>18.618292322625468</v>
      </c>
      <c r="E96" s="933">
        <v>12.645348793157575</v>
      </c>
      <c r="F96" s="2275">
        <f t="shared" si="4"/>
        <v>2.7598462168705772E-2</v>
      </c>
      <c r="G96" s="2248">
        <f t="shared" si="4"/>
        <v>2.5580968691902111E-2</v>
      </c>
      <c r="H96" s="2281">
        <f>VLOOKUP($B96,GHG!$B$27:$E$119,4,FALSE)</f>
        <v>352</v>
      </c>
      <c r="I96" s="73">
        <f t="shared" si="5"/>
        <v>0.97146586833844317</v>
      </c>
      <c r="J96" s="73">
        <f t="shared" si="6"/>
        <v>0.90045009795495434</v>
      </c>
      <c r="K96" s="117">
        <f t="shared" si="7"/>
        <v>17.731706973929015</v>
      </c>
      <c r="L96" s="74">
        <f t="shared" si="8"/>
        <v>12.645348793157575</v>
      </c>
      <c r="M96" s="74">
        <f>VLOOKUP($B96,'VoC Fuel'!$B$28:$O$126,14,FALSE)</f>
        <v>5</v>
      </c>
      <c r="O96" s="73"/>
      <c r="P96" s="73"/>
      <c r="Q96" s="73"/>
      <c r="R96" s="73"/>
      <c r="S96" s="65"/>
      <c r="T96" s="65"/>
    </row>
    <row r="97" spans="1:20" ht="13.5" customHeight="1">
      <c r="A97" s="90"/>
      <c r="B97" s="14">
        <v>2083</v>
      </c>
      <c r="C97" s="82"/>
      <c r="D97" s="932">
        <v>18.618292322625468</v>
      </c>
      <c r="E97" s="933">
        <v>12.645348793157575</v>
      </c>
      <c r="F97" s="2275">
        <f t="shared" si="4"/>
        <v>2.7598462168705772E-2</v>
      </c>
      <c r="G97" s="2248">
        <f t="shared" si="4"/>
        <v>2.5580968691902111E-2</v>
      </c>
      <c r="H97" s="2281">
        <f>VLOOKUP($B97,GHG!$B$27:$E$119,4,FALSE)</f>
        <v>351</v>
      </c>
      <c r="I97" s="73">
        <f t="shared" si="5"/>
        <v>0.96870602212157253</v>
      </c>
      <c r="J97" s="73">
        <f t="shared" si="6"/>
        <v>0.89789200108576406</v>
      </c>
      <c r="K97" s="117">
        <f t="shared" si="7"/>
        <v>17.731706973929015</v>
      </c>
      <c r="L97" s="74">
        <f t="shared" si="8"/>
        <v>12.645348793157575</v>
      </c>
      <c r="M97" s="74">
        <f>VLOOKUP($B97,'VoC Fuel'!$B$28:$O$126,14,FALSE)</f>
        <v>5</v>
      </c>
      <c r="O97" s="73"/>
      <c r="P97" s="73"/>
      <c r="Q97" s="73"/>
      <c r="R97" s="73"/>
      <c r="S97" s="65"/>
      <c r="T97" s="65"/>
    </row>
    <row r="98" spans="1:20" ht="13.5" customHeight="1">
      <c r="A98" s="90"/>
      <c r="B98" s="14">
        <v>2084</v>
      </c>
      <c r="C98" s="82"/>
      <c r="D98" s="932">
        <v>18.618292322625468</v>
      </c>
      <c r="E98" s="933">
        <v>12.645348793157575</v>
      </c>
      <c r="F98" s="2275">
        <f t="shared" ref="F98:G114" si="9">F$64</f>
        <v>2.7598462168705772E-2</v>
      </c>
      <c r="G98" s="2248">
        <f t="shared" si="9"/>
        <v>2.5580968691902111E-2</v>
      </c>
      <c r="H98" s="2281">
        <f>VLOOKUP($B98,GHG!$B$27:$E$119,4,FALSE)</f>
        <v>350</v>
      </c>
      <c r="I98" s="73">
        <f t="shared" si="5"/>
        <v>0.96594617590470211</v>
      </c>
      <c r="J98" s="73">
        <f t="shared" si="6"/>
        <v>0.89533390421657388</v>
      </c>
      <c r="K98" s="117">
        <f t="shared" si="7"/>
        <v>17.731706973929015</v>
      </c>
      <c r="L98" s="74">
        <f t="shared" si="8"/>
        <v>12.645348793157575</v>
      </c>
      <c r="M98" s="74">
        <f>VLOOKUP($B98,'VoC Fuel'!$B$28:$O$126,14,FALSE)</f>
        <v>5</v>
      </c>
      <c r="O98" s="73"/>
      <c r="P98" s="73"/>
      <c r="Q98" s="73"/>
      <c r="R98" s="73"/>
      <c r="S98" s="65"/>
      <c r="T98" s="65"/>
    </row>
    <row r="99" spans="1:20" ht="13.5" customHeight="1">
      <c r="A99" s="90"/>
      <c r="B99" s="14">
        <v>2085</v>
      </c>
      <c r="C99" s="82"/>
      <c r="D99" s="932">
        <v>18.618292322625468</v>
      </c>
      <c r="E99" s="933">
        <v>12.645348793157575</v>
      </c>
      <c r="F99" s="2275">
        <f t="shared" si="9"/>
        <v>2.7598462168705772E-2</v>
      </c>
      <c r="G99" s="2248">
        <f t="shared" si="9"/>
        <v>2.5580968691902111E-2</v>
      </c>
      <c r="H99" s="2281">
        <f>VLOOKUP($B99,GHG!$B$27:$E$119,4,FALSE)</f>
        <v>349</v>
      </c>
      <c r="I99" s="73">
        <f t="shared" si="5"/>
        <v>0.96318632968783147</v>
      </c>
      <c r="J99" s="73">
        <f t="shared" si="6"/>
        <v>0.89277580734738371</v>
      </c>
      <c r="K99" s="117">
        <f t="shared" si="7"/>
        <v>17.731706973929015</v>
      </c>
      <c r="L99" s="74">
        <f t="shared" si="8"/>
        <v>12.645348793157575</v>
      </c>
      <c r="M99" s="74">
        <f>VLOOKUP($B99,'VoC Fuel'!$B$28:$O$126,14,FALSE)</f>
        <v>5</v>
      </c>
      <c r="O99" s="73"/>
      <c r="P99" s="73"/>
      <c r="Q99" s="73"/>
      <c r="R99" s="73"/>
      <c r="S99" s="65"/>
      <c r="T99" s="65"/>
    </row>
    <row r="100" spans="1:20" ht="13.5" customHeight="1">
      <c r="A100" s="90"/>
      <c r="B100" s="14">
        <v>2086</v>
      </c>
      <c r="C100" s="82"/>
      <c r="D100" s="932">
        <v>18.618292322625468</v>
      </c>
      <c r="E100" s="933">
        <v>12.645348793157575</v>
      </c>
      <c r="F100" s="2275">
        <f t="shared" si="9"/>
        <v>2.7598462168705772E-2</v>
      </c>
      <c r="G100" s="2248">
        <f t="shared" si="9"/>
        <v>2.5580968691902111E-2</v>
      </c>
      <c r="H100" s="2281">
        <f>VLOOKUP($B100,GHG!$B$27:$E$119,4,FALSE)</f>
        <v>347</v>
      </c>
      <c r="I100" s="73">
        <f t="shared" si="5"/>
        <v>0.95766663725409029</v>
      </c>
      <c r="J100" s="73">
        <f t="shared" si="6"/>
        <v>0.88765961360900325</v>
      </c>
      <c r="K100" s="117">
        <f t="shared" si="7"/>
        <v>17.731706973929015</v>
      </c>
      <c r="L100" s="74">
        <f t="shared" si="8"/>
        <v>12.645348793157575</v>
      </c>
      <c r="M100" s="74">
        <f>VLOOKUP($B100,'VoC Fuel'!$B$28:$O$126,14,FALSE)</f>
        <v>5</v>
      </c>
      <c r="O100" s="73"/>
      <c r="P100" s="73"/>
      <c r="Q100" s="73"/>
      <c r="R100" s="73"/>
      <c r="S100" s="65"/>
      <c r="T100" s="65"/>
    </row>
    <row r="101" spans="1:20" ht="13.5" customHeight="1">
      <c r="A101" s="90"/>
      <c r="B101" s="14">
        <v>2087</v>
      </c>
      <c r="C101" s="82"/>
      <c r="D101" s="932">
        <v>18.618292322625468</v>
      </c>
      <c r="E101" s="933">
        <v>12.645348793157575</v>
      </c>
      <c r="F101" s="2275">
        <f t="shared" si="9"/>
        <v>2.7598462168705772E-2</v>
      </c>
      <c r="G101" s="2248">
        <f t="shared" si="9"/>
        <v>2.5580968691902111E-2</v>
      </c>
      <c r="H101" s="2281">
        <f>VLOOKUP($B101,GHG!$B$27:$E$119,4,FALSE)</f>
        <v>345</v>
      </c>
      <c r="I101" s="73">
        <f t="shared" si="5"/>
        <v>0.95214694482034923</v>
      </c>
      <c r="J101" s="73">
        <f t="shared" si="6"/>
        <v>0.88254341987062279</v>
      </c>
      <c r="K101" s="117">
        <f t="shared" si="7"/>
        <v>17.731706973929015</v>
      </c>
      <c r="L101" s="74">
        <f t="shared" si="8"/>
        <v>12.645348793157575</v>
      </c>
      <c r="M101" s="74">
        <f>VLOOKUP($B101,'VoC Fuel'!$B$28:$O$126,14,FALSE)</f>
        <v>5</v>
      </c>
      <c r="O101" s="73"/>
      <c r="P101" s="73"/>
      <c r="Q101" s="73"/>
      <c r="R101" s="73"/>
      <c r="S101" s="65"/>
      <c r="T101" s="65"/>
    </row>
    <row r="102" spans="1:20" ht="13.5" customHeight="1">
      <c r="A102" s="90"/>
      <c r="B102" s="14">
        <v>2088</v>
      </c>
      <c r="C102" s="82"/>
      <c r="D102" s="932">
        <v>18.618292322625468</v>
      </c>
      <c r="E102" s="933">
        <v>12.645348793157575</v>
      </c>
      <c r="F102" s="2275">
        <f t="shared" si="9"/>
        <v>2.7598462168705772E-2</v>
      </c>
      <c r="G102" s="2248">
        <f t="shared" si="9"/>
        <v>2.5580968691902111E-2</v>
      </c>
      <c r="H102" s="2281">
        <f>VLOOKUP($B102,GHG!$B$27:$E$119,4,FALSE)</f>
        <v>343</v>
      </c>
      <c r="I102" s="73">
        <f t="shared" si="5"/>
        <v>0.94662725238660794</v>
      </c>
      <c r="J102" s="73">
        <f t="shared" si="6"/>
        <v>0.87742722613224244</v>
      </c>
      <c r="K102" s="117">
        <f t="shared" si="7"/>
        <v>17.731706973929015</v>
      </c>
      <c r="L102" s="74">
        <f t="shared" si="8"/>
        <v>12.645348793157575</v>
      </c>
      <c r="M102" s="74">
        <f>VLOOKUP($B102,'VoC Fuel'!$B$28:$O$126,14,FALSE)</f>
        <v>5</v>
      </c>
      <c r="O102" s="73"/>
      <c r="P102" s="73"/>
      <c r="Q102" s="73"/>
      <c r="R102" s="73"/>
      <c r="S102" s="65"/>
      <c r="T102" s="65"/>
    </row>
    <row r="103" spans="1:20" ht="13.5" customHeight="1">
      <c r="A103" s="90"/>
      <c r="B103" s="14">
        <v>2089</v>
      </c>
      <c r="C103" s="82"/>
      <c r="D103" s="932">
        <v>18.618292322625468</v>
      </c>
      <c r="E103" s="933">
        <v>12.645348793157575</v>
      </c>
      <c r="F103" s="2275">
        <f t="shared" si="9"/>
        <v>2.7598462168705772E-2</v>
      </c>
      <c r="G103" s="2248">
        <f t="shared" si="9"/>
        <v>2.5580968691902111E-2</v>
      </c>
      <c r="H103" s="2281">
        <f>VLOOKUP($B103,GHG!$B$27:$E$119,4,FALSE)</f>
        <v>340</v>
      </c>
      <c r="I103" s="73">
        <f t="shared" si="5"/>
        <v>0.93834771373599624</v>
      </c>
      <c r="J103" s="73">
        <f t="shared" si="6"/>
        <v>0.86975293552467181</v>
      </c>
      <c r="K103" s="117">
        <f t="shared" si="7"/>
        <v>17.731706973929015</v>
      </c>
      <c r="L103" s="74">
        <f t="shared" si="8"/>
        <v>12.645348793157575</v>
      </c>
      <c r="M103" s="74">
        <f>VLOOKUP($B103,'VoC Fuel'!$B$28:$O$126,14,FALSE)</f>
        <v>5</v>
      </c>
      <c r="O103" s="73"/>
      <c r="P103" s="73"/>
      <c r="Q103" s="73"/>
      <c r="R103" s="73"/>
      <c r="S103" s="65"/>
      <c r="T103" s="65"/>
    </row>
    <row r="104" spans="1:20" ht="13.5" customHeight="1">
      <c r="A104" s="90"/>
      <c r="B104" s="14">
        <v>2090</v>
      </c>
      <c r="C104" s="82"/>
      <c r="D104" s="932">
        <v>18.618292322625468</v>
      </c>
      <c r="E104" s="933">
        <v>12.645348793157575</v>
      </c>
      <c r="F104" s="2275">
        <f t="shared" si="9"/>
        <v>2.7598462168705772E-2</v>
      </c>
      <c r="G104" s="2248">
        <f t="shared" si="9"/>
        <v>2.5580968691902111E-2</v>
      </c>
      <c r="H104" s="2281">
        <f>VLOOKUP($B104,GHG!$B$27:$E$119,4,FALSE)</f>
        <v>338</v>
      </c>
      <c r="I104" s="73">
        <f t="shared" si="5"/>
        <v>0.93282802130225506</v>
      </c>
      <c r="J104" s="73">
        <f t="shared" si="6"/>
        <v>0.86463674178629135</v>
      </c>
      <c r="K104" s="117">
        <f t="shared" si="7"/>
        <v>17.731706973929015</v>
      </c>
      <c r="L104" s="74">
        <f t="shared" si="8"/>
        <v>12.645348793157575</v>
      </c>
      <c r="M104" s="74">
        <f>VLOOKUP($B104,'VoC Fuel'!$B$28:$O$126,14,FALSE)</f>
        <v>5</v>
      </c>
      <c r="O104" s="73"/>
      <c r="P104" s="73"/>
      <c r="Q104" s="73"/>
      <c r="R104" s="73"/>
      <c r="S104" s="65"/>
      <c r="T104" s="65"/>
    </row>
    <row r="105" spans="1:20" ht="13.5" customHeight="1">
      <c r="A105" s="90"/>
      <c r="B105" s="14">
        <v>2091</v>
      </c>
      <c r="C105" s="82"/>
      <c r="D105" s="932">
        <v>18.618292322625468</v>
      </c>
      <c r="E105" s="933">
        <v>12.645348793157575</v>
      </c>
      <c r="F105" s="2275">
        <f t="shared" si="9"/>
        <v>2.7598462168705772E-2</v>
      </c>
      <c r="G105" s="2248">
        <f t="shared" si="9"/>
        <v>2.5580968691902111E-2</v>
      </c>
      <c r="H105" s="2281">
        <f>VLOOKUP($B105,GHG!$B$27:$E$119,4,FALSE)</f>
        <v>335</v>
      </c>
      <c r="I105" s="73">
        <f t="shared" si="5"/>
        <v>0.92454848265164336</v>
      </c>
      <c r="J105" s="73">
        <f t="shared" si="6"/>
        <v>0.85696245117872072</v>
      </c>
      <c r="K105" s="117">
        <f t="shared" si="7"/>
        <v>17.731706973929015</v>
      </c>
      <c r="L105" s="74">
        <f t="shared" si="8"/>
        <v>12.645348793157575</v>
      </c>
      <c r="M105" s="74">
        <f>VLOOKUP($B105,'VoC Fuel'!$B$28:$O$126,14,FALSE)</f>
        <v>5</v>
      </c>
      <c r="O105" s="73"/>
      <c r="P105" s="73"/>
      <c r="Q105" s="73"/>
      <c r="R105" s="73"/>
      <c r="S105" s="65"/>
      <c r="T105" s="65"/>
    </row>
    <row r="106" spans="1:20" ht="13.5" customHeight="1">
      <c r="A106" s="90"/>
      <c r="B106" s="14">
        <v>2092</v>
      </c>
      <c r="C106" s="82"/>
      <c r="D106" s="932">
        <v>18.618292322625468</v>
      </c>
      <c r="E106" s="933">
        <v>12.645348793157575</v>
      </c>
      <c r="F106" s="2275">
        <f t="shared" si="9"/>
        <v>2.7598462168705772E-2</v>
      </c>
      <c r="G106" s="2248">
        <f t="shared" si="9"/>
        <v>2.5580968691902111E-2</v>
      </c>
      <c r="H106" s="2281">
        <f>VLOOKUP($B106,GHG!$B$27:$E$119,4,FALSE)</f>
        <v>333</v>
      </c>
      <c r="I106" s="73">
        <f t="shared" si="5"/>
        <v>0.91902879021790229</v>
      </c>
      <c r="J106" s="73">
        <f t="shared" si="6"/>
        <v>0.85184625744034026</v>
      </c>
      <c r="K106" s="117">
        <f t="shared" si="7"/>
        <v>17.731706973929015</v>
      </c>
      <c r="L106" s="74">
        <f t="shared" si="8"/>
        <v>12.645348793157575</v>
      </c>
      <c r="M106" s="74">
        <f>VLOOKUP($B106,'VoC Fuel'!$B$28:$O$126,14,FALSE)</f>
        <v>5</v>
      </c>
      <c r="O106" s="73"/>
      <c r="P106" s="73"/>
      <c r="Q106" s="73"/>
      <c r="R106" s="73"/>
      <c r="S106" s="65"/>
      <c r="T106" s="65"/>
    </row>
    <row r="107" spans="1:20" ht="13.5" customHeight="1">
      <c r="A107" s="90"/>
      <c r="B107" s="14">
        <v>2093</v>
      </c>
      <c r="C107" s="82"/>
      <c r="D107" s="932">
        <v>18.618292322625468</v>
      </c>
      <c r="E107" s="933">
        <v>12.645348793157575</v>
      </c>
      <c r="F107" s="2275">
        <f t="shared" si="9"/>
        <v>2.7598462168705772E-2</v>
      </c>
      <c r="G107" s="2248">
        <f t="shared" si="9"/>
        <v>2.5580968691902111E-2</v>
      </c>
      <c r="H107" s="2281">
        <f>VLOOKUP($B107,GHG!$B$27:$E$119,4,FALSE)</f>
        <v>331</v>
      </c>
      <c r="I107" s="73">
        <f t="shared" si="5"/>
        <v>0.91350909778416101</v>
      </c>
      <c r="J107" s="73">
        <f t="shared" si="6"/>
        <v>0.84673006370195991</v>
      </c>
      <c r="K107" s="117">
        <f>D107/(1+M107/100)</f>
        <v>17.731706973929015</v>
      </c>
      <c r="L107" s="74">
        <f t="shared" si="8"/>
        <v>12.645348793157575</v>
      </c>
      <c r="M107" s="74">
        <f>VLOOKUP($B107,'VoC Fuel'!$B$28:$O$126,14,FALSE)</f>
        <v>5</v>
      </c>
      <c r="O107" s="73"/>
      <c r="P107" s="73"/>
      <c r="Q107" s="73"/>
      <c r="R107" s="73"/>
      <c r="S107" s="65"/>
      <c r="T107" s="65"/>
    </row>
    <row r="108" spans="1:20" ht="13.5" customHeight="1">
      <c r="A108" s="90"/>
      <c r="B108" s="14">
        <v>2094</v>
      </c>
      <c r="C108" s="82"/>
      <c r="D108" s="932">
        <v>18.618292322625468</v>
      </c>
      <c r="E108" s="933">
        <v>12.645348793157575</v>
      </c>
      <c r="F108" s="2275">
        <f t="shared" si="9"/>
        <v>2.7598462168705772E-2</v>
      </c>
      <c r="G108" s="2248">
        <f t="shared" si="9"/>
        <v>2.5580968691902111E-2</v>
      </c>
      <c r="H108" s="2281">
        <f>VLOOKUP($B108,GHG!$B$27:$E$119,4,FALSE)</f>
        <v>328</v>
      </c>
      <c r="I108" s="73">
        <f t="shared" si="5"/>
        <v>0.9052295591335493</v>
      </c>
      <c r="J108" s="73">
        <f t="shared" si="6"/>
        <v>0.83905577309438928</v>
      </c>
      <c r="K108" s="117">
        <f t="shared" si="7"/>
        <v>17.731706973929015</v>
      </c>
      <c r="L108" s="74">
        <f t="shared" si="8"/>
        <v>12.645348793157575</v>
      </c>
      <c r="M108" s="74">
        <f>VLOOKUP($B108,'VoC Fuel'!$B$28:$O$126,14,FALSE)</f>
        <v>5</v>
      </c>
      <c r="O108" s="73"/>
      <c r="P108" s="73"/>
      <c r="Q108" s="73"/>
      <c r="R108" s="73"/>
      <c r="S108" s="65"/>
      <c r="T108" s="65"/>
    </row>
    <row r="109" spans="1:20" ht="13.5" customHeight="1">
      <c r="A109" s="90"/>
      <c r="B109" s="14">
        <v>2095</v>
      </c>
      <c r="C109" s="82"/>
      <c r="D109" s="932">
        <v>18.618292322625468</v>
      </c>
      <c r="E109" s="933">
        <v>12.645348793157575</v>
      </c>
      <c r="F109" s="2275">
        <f t="shared" si="9"/>
        <v>2.7598462168705772E-2</v>
      </c>
      <c r="G109" s="2248">
        <f t="shared" si="9"/>
        <v>2.5580968691902111E-2</v>
      </c>
      <c r="H109" s="2281">
        <f>VLOOKUP($B109,GHG!$B$27:$E$119,4,FALSE)</f>
        <v>325</v>
      </c>
      <c r="I109" s="73">
        <f t="shared" si="5"/>
        <v>0.8969500204829377</v>
      </c>
      <c r="J109" s="73">
        <f t="shared" si="6"/>
        <v>0.83138148248681865</v>
      </c>
      <c r="K109" s="117">
        <f t="shared" si="7"/>
        <v>17.731706973929015</v>
      </c>
      <c r="L109" s="74">
        <f t="shared" si="8"/>
        <v>12.645348793157575</v>
      </c>
      <c r="M109" s="74">
        <f>VLOOKUP($B109,'VoC Fuel'!$B$28:$O$126,14,FALSE)</f>
        <v>5</v>
      </c>
      <c r="O109" s="73"/>
      <c r="P109" s="73"/>
      <c r="Q109" s="73"/>
      <c r="R109" s="73"/>
      <c r="S109" s="65"/>
      <c r="T109" s="65"/>
    </row>
    <row r="110" spans="1:20" ht="13.5" customHeight="1">
      <c r="A110" s="90"/>
      <c r="B110" s="14">
        <v>2096</v>
      </c>
      <c r="C110" s="82"/>
      <c r="D110" s="932">
        <v>18.618292322625468</v>
      </c>
      <c r="E110" s="933">
        <v>12.645348793157575</v>
      </c>
      <c r="F110" s="2275">
        <f t="shared" si="9"/>
        <v>2.7598462168705772E-2</v>
      </c>
      <c r="G110" s="2248">
        <f t="shared" si="9"/>
        <v>2.5580968691902111E-2</v>
      </c>
      <c r="H110" s="2281">
        <f>VLOOKUP($B110,GHG!$B$27:$E$119,4,FALSE)</f>
        <v>322</v>
      </c>
      <c r="I110" s="73">
        <f t="shared" si="5"/>
        <v>0.88867048183232578</v>
      </c>
      <c r="J110" s="73">
        <f t="shared" si="6"/>
        <v>0.82370719187924801</v>
      </c>
      <c r="K110" s="117">
        <f t="shared" si="7"/>
        <v>17.731706973929015</v>
      </c>
      <c r="L110" s="74">
        <f t="shared" si="8"/>
        <v>12.645348793157575</v>
      </c>
      <c r="M110" s="74">
        <f>VLOOKUP($B110,'VoC Fuel'!$B$28:$O$126,14,FALSE)</f>
        <v>5</v>
      </c>
      <c r="O110" s="73"/>
      <c r="P110" s="73"/>
      <c r="Q110" s="73"/>
      <c r="R110" s="73"/>
      <c r="S110" s="65"/>
      <c r="T110" s="65"/>
    </row>
    <row r="111" spans="1:20" ht="13.5" customHeight="1">
      <c r="A111" s="90"/>
      <c r="B111" s="14">
        <v>2097</v>
      </c>
      <c r="C111" s="82"/>
      <c r="D111" s="932">
        <v>18.618292322625468</v>
      </c>
      <c r="E111" s="933">
        <v>12.645348793157575</v>
      </c>
      <c r="F111" s="2275">
        <f t="shared" si="9"/>
        <v>2.7598462168705772E-2</v>
      </c>
      <c r="G111" s="2248">
        <f t="shared" si="9"/>
        <v>2.5580968691902111E-2</v>
      </c>
      <c r="H111" s="2281">
        <f>VLOOKUP($B111,GHG!$B$27:$E$119,4,FALSE)</f>
        <v>319</v>
      </c>
      <c r="I111" s="73">
        <f t="shared" si="5"/>
        <v>0.88039094318171407</v>
      </c>
      <c r="J111" s="73">
        <f t="shared" si="6"/>
        <v>0.81603290127167738</v>
      </c>
      <c r="K111" s="117">
        <f t="shared" si="7"/>
        <v>17.731706973929015</v>
      </c>
      <c r="L111" s="74">
        <f t="shared" si="8"/>
        <v>12.645348793157575</v>
      </c>
      <c r="M111" s="74">
        <f>VLOOKUP($B111,'VoC Fuel'!$B$28:$O$126,14,FALSE)</f>
        <v>5</v>
      </c>
      <c r="O111" s="73"/>
      <c r="P111" s="73"/>
      <c r="Q111" s="73"/>
      <c r="R111" s="73"/>
      <c r="S111" s="65"/>
      <c r="T111" s="65"/>
    </row>
    <row r="112" spans="1:20" ht="13.5" customHeight="1">
      <c r="A112" s="90"/>
      <c r="B112" s="14">
        <v>2098</v>
      </c>
      <c r="C112" s="82"/>
      <c r="D112" s="932">
        <v>18.618292322625468</v>
      </c>
      <c r="E112" s="933">
        <v>12.645348793157575</v>
      </c>
      <c r="F112" s="2275">
        <f t="shared" si="9"/>
        <v>2.7598462168705772E-2</v>
      </c>
      <c r="G112" s="2248">
        <f t="shared" si="9"/>
        <v>2.5580968691902111E-2</v>
      </c>
      <c r="H112" s="2281">
        <f>VLOOKUP($B112,GHG!$B$27:$E$119,4,FALSE)</f>
        <v>316</v>
      </c>
      <c r="I112" s="73">
        <f t="shared" si="5"/>
        <v>0.87211140453110247</v>
      </c>
      <c r="J112" s="73">
        <f t="shared" si="6"/>
        <v>0.80835861066410675</v>
      </c>
      <c r="K112" s="117">
        <f t="shared" si="7"/>
        <v>17.731706973929015</v>
      </c>
      <c r="L112" s="74">
        <f t="shared" si="8"/>
        <v>12.645348793157575</v>
      </c>
      <c r="M112" s="74">
        <f>VLOOKUP($B112,'VoC Fuel'!$B$28:$O$126,14,FALSE)</f>
        <v>5</v>
      </c>
      <c r="O112" s="73"/>
      <c r="P112" s="73"/>
      <c r="Q112" s="73"/>
      <c r="R112" s="73"/>
      <c r="S112" s="65"/>
      <c r="T112" s="65"/>
    </row>
    <row r="113" spans="1:20" ht="13.5" customHeight="1">
      <c r="A113" s="90"/>
      <c r="B113" s="14">
        <v>2099</v>
      </c>
      <c r="C113" s="82"/>
      <c r="D113" s="932">
        <v>18.618292322625468</v>
      </c>
      <c r="E113" s="933">
        <v>12.645348793157575</v>
      </c>
      <c r="F113" s="2275">
        <f t="shared" si="9"/>
        <v>2.7598462168705772E-2</v>
      </c>
      <c r="G113" s="2248">
        <f t="shared" si="9"/>
        <v>2.5580968691902111E-2</v>
      </c>
      <c r="H113" s="2281">
        <f>VLOOKUP($B113,GHG!$B$27:$E$119,4,FALSE)</f>
        <v>313</v>
      </c>
      <c r="I113" s="73">
        <f t="shared" si="5"/>
        <v>0.86383186588049077</v>
      </c>
      <c r="J113" s="73">
        <f t="shared" si="6"/>
        <v>0.80068432005653611</v>
      </c>
      <c r="K113" s="117">
        <f t="shared" si="7"/>
        <v>17.731706973929015</v>
      </c>
      <c r="L113" s="74">
        <f t="shared" si="8"/>
        <v>12.645348793157575</v>
      </c>
      <c r="M113" s="74">
        <f>VLOOKUP($B113,'VoC Fuel'!$B$28:$O$126,14,FALSE)</f>
        <v>5</v>
      </c>
      <c r="O113" s="73"/>
      <c r="P113" s="73"/>
      <c r="Q113" s="73"/>
      <c r="R113" s="73"/>
      <c r="S113" s="65"/>
      <c r="T113" s="65"/>
    </row>
    <row r="114" spans="1:20" ht="13.5" customHeight="1" thickBot="1">
      <c r="A114" s="92"/>
      <c r="B114" s="492">
        <v>2100</v>
      </c>
      <c r="C114" s="1385"/>
      <c r="D114" s="2270">
        <v>18.618292322625468</v>
      </c>
      <c r="E114" s="2270">
        <v>12.645348793157575</v>
      </c>
      <c r="F114" s="2278">
        <f t="shared" si="9"/>
        <v>2.7598462168705772E-2</v>
      </c>
      <c r="G114" s="2249">
        <f t="shared" si="9"/>
        <v>2.5580968691902111E-2</v>
      </c>
      <c r="H114" s="2279">
        <f>VLOOKUP($B114,GHG!$B$27:$E$119,4,FALSE)</f>
        <v>309</v>
      </c>
      <c r="I114" s="98">
        <f t="shared" si="5"/>
        <v>0.85279248101300842</v>
      </c>
      <c r="J114" s="78">
        <f t="shared" si="6"/>
        <v>0.7904519325797752</v>
      </c>
      <c r="K114" s="98">
        <f t="shared" si="7"/>
        <v>17.731706973929015</v>
      </c>
      <c r="L114" s="79">
        <f t="shared" si="8"/>
        <v>12.645348793157575</v>
      </c>
      <c r="M114" s="79">
        <f>VLOOKUP($B114,'VoC Fuel'!$B$28:$O$126,14,FALSE)</f>
        <v>5</v>
      </c>
      <c r="O114" s="73"/>
    </row>
    <row r="115" spans="1:20" ht="13.5" customHeight="1" thickTop="1" thickBot="1">
      <c r="A115" s="27"/>
      <c r="B115" s="14"/>
      <c r="C115" s="27"/>
      <c r="D115" s="27"/>
      <c r="E115" s="27"/>
      <c r="F115" s="27"/>
      <c r="G115" s="27"/>
      <c r="H115" s="27"/>
      <c r="I115" s="27"/>
      <c r="J115" s="27"/>
      <c r="K115" s="27"/>
      <c r="L115" s="27"/>
      <c r="M115" s="27"/>
      <c r="N115" s="27"/>
    </row>
    <row r="116" spans="1:20" ht="13.5" customHeight="1" thickBot="1">
      <c r="D116" s="528" t="s">
        <v>1489</v>
      </c>
    </row>
    <row r="117" spans="1:20" ht="13.5" customHeight="1"/>
    <row r="118" spans="1:20" ht="13.5" customHeight="1"/>
    <row r="119" spans="1:20" ht="13.5" customHeight="1"/>
    <row r="120" spans="1:20" ht="13.5" customHeight="1"/>
    <row r="121" spans="1:20" ht="13.5" customHeight="1"/>
    <row r="122" spans="1:20" ht="13.5" customHeight="1"/>
    <row r="123" spans="1:20" ht="13.5" customHeight="1"/>
    <row r="124" spans="1:20" ht="13.5" customHeight="1"/>
    <row r="125" spans="1:20" ht="13.5" customHeight="1"/>
    <row r="126" spans="1:20" ht="13.5" customHeight="1"/>
    <row r="127" spans="1:20" ht="13.5" customHeight="1"/>
    <row r="128" spans="1:20"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sheetData>
  <sheetProtection sheet="1" objects="1" scenarios="1"/>
  <mergeCells count="9">
    <mergeCell ref="A11:B11"/>
    <mergeCell ref="V21:AL21"/>
    <mergeCell ref="A12:B12"/>
    <mergeCell ref="B20:B23"/>
    <mergeCell ref="A1:B1"/>
    <mergeCell ref="A7:B7"/>
    <mergeCell ref="A8:B8"/>
    <mergeCell ref="A9:B9"/>
    <mergeCell ref="A10:B10"/>
  </mergeCells>
  <phoneticPr fontId="8" type="noConversion"/>
  <hyperlinks>
    <hyperlink ref="D116" location="Electricity!D28" tooltip="Top of this page" display="Top"/>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F7" r:id="rId3"/>
  </hyperlinks>
  <pageMargins left="0.75" right="0.75" top="1" bottom="1" header="0.5" footer="0.5"/>
  <pageSetup paperSize="9" orientation="portrait" r:id="rId4"/>
  <headerFooter alignWithMargins="0"/>
  <drawing r:id="rId5"/>
  <legacyDrawing r:id="rId6"/>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8000"/>
    <pageSetUpPr fitToPage="1"/>
  </sheetPr>
  <dimension ref="A1:S85"/>
  <sheetViews>
    <sheetView showGridLines="0" topLeftCell="A10" zoomScale="85" zoomScaleNormal="85" workbookViewId="0">
      <selection activeCell="O44" sqref="O44"/>
    </sheetView>
  </sheetViews>
  <sheetFormatPr defaultColWidth="12.88671875" defaultRowHeight="13.5" customHeight="1"/>
  <cols>
    <col min="1" max="1" width="12.88671875" style="38"/>
    <col min="2" max="2" width="12.88671875" style="38" customWidth="1"/>
    <col min="3" max="6" width="12.88671875" style="38"/>
    <col min="7" max="7" width="13.6640625" style="38" customWidth="1"/>
    <col min="8" max="16384" width="12.88671875" style="38"/>
  </cols>
  <sheetData>
    <row r="1" spans="1:19" ht="54.9" customHeight="1">
      <c r="A1" s="28"/>
      <c r="C1" s="28"/>
      <c r="D1" s="26"/>
      <c r="E1" s="28"/>
      <c r="H1" s="28"/>
      <c r="I1" s="26"/>
      <c r="J1" s="26"/>
    </row>
    <row r="2" spans="1:19" s="300" customFormat="1" ht="5.0999999999999996" customHeight="1">
      <c r="D2" s="83"/>
      <c r="F2" s="83"/>
      <c r="I2" s="83"/>
      <c r="J2" s="83"/>
    </row>
    <row r="3" spans="1:19" s="300" customFormat="1" ht="20.100000000000001" customHeight="1">
      <c r="A3" s="300" t="s">
        <v>2245</v>
      </c>
      <c r="B3" s="485"/>
      <c r="C3" s="444"/>
      <c r="D3" s="46"/>
      <c r="E3" s="83"/>
      <c r="F3" s="445"/>
      <c r="J3" s="83"/>
    </row>
    <row r="4" spans="1:19" s="26" customFormat="1" ht="20.100000000000001" customHeight="1" thickBot="1">
      <c r="A4" s="529" t="s">
        <v>962</v>
      </c>
      <c r="B4" s="447"/>
      <c r="C4" s="447"/>
      <c r="D4" s="487"/>
      <c r="E4" s="446"/>
      <c r="F4" s="446"/>
      <c r="G4" s="450"/>
      <c r="H4" s="450"/>
      <c r="I4" s="446"/>
      <c r="J4" s="446"/>
      <c r="K4" s="446"/>
      <c r="L4" s="446"/>
      <c r="M4" s="446"/>
      <c r="N4" s="446"/>
      <c r="O4" s="446"/>
      <c r="P4" s="446"/>
      <c r="Q4" s="446"/>
      <c r="R4" s="446"/>
      <c r="S4" s="446"/>
    </row>
    <row r="5" spans="1:19" ht="9.9" customHeight="1" thickTop="1" thickBot="1">
      <c r="C5" s="72"/>
      <c r="E5" s="47"/>
      <c r="G5" s="28"/>
      <c r="H5" s="28"/>
      <c r="J5" s="26"/>
    </row>
    <row r="6" spans="1:19" ht="13.5" customHeight="1" thickTop="1">
      <c r="A6" s="169" t="s">
        <v>10</v>
      </c>
      <c r="B6" s="169"/>
      <c r="E6" s="3626" t="s">
        <v>255</v>
      </c>
      <c r="F6" s="3649"/>
      <c r="G6" s="3649"/>
      <c r="H6" s="3649"/>
      <c r="I6" s="3649"/>
      <c r="J6" s="3649"/>
      <c r="K6" s="3649"/>
      <c r="L6" s="3649"/>
      <c r="M6" s="3649"/>
      <c r="N6" s="3649"/>
      <c r="O6" s="3649"/>
      <c r="P6" s="3649"/>
      <c r="Q6" s="3649"/>
      <c r="R6" s="3649"/>
      <c r="S6" s="3650"/>
    </row>
    <row r="7" spans="1:19" ht="13.5" customHeight="1">
      <c r="A7" s="3644" t="str">
        <f>Audit!A12</f>
        <v>May 2019 v1.12</v>
      </c>
      <c r="B7" s="3651"/>
      <c r="D7" s="147"/>
      <c r="E7" s="38" t="s">
        <v>1226</v>
      </c>
      <c r="F7" s="29"/>
      <c r="G7" s="26"/>
      <c r="H7" s="26"/>
      <c r="I7" s="38" t="s">
        <v>1227</v>
      </c>
      <c r="J7" s="26"/>
      <c r="K7" s="26"/>
      <c r="L7" s="26"/>
      <c r="M7" s="26"/>
      <c r="N7" s="26"/>
      <c r="O7" s="26"/>
      <c r="P7" s="26"/>
      <c r="Q7" s="26"/>
      <c r="R7" s="26"/>
      <c r="S7" s="147"/>
    </row>
    <row r="8" spans="1:19" ht="13.5" customHeight="1">
      <c r="A8" s="3630">
        <f>Audit!C12</f>
        <v>43586</v>
      </c>
      <c r="B8" s="3631"/>
      <c r="C8" s="321"/>
      <c r="D8" s="412"/>
      <c r="E8" s="38" t="s">
        <v>1228</v>
      </c>
      <c r="F8" s="315"/>
      <c r="G8" s="26"/>
      <c r="H8" s="26"/>
      <c r="I8" s="26"/>
      <c r="J8" s="26"/>
      <c r="K8" s="26"/>
      <c r="L8" s="26"/>
      <c r="M8" s="26"/>
      <c r="N8" s="26"/>
      <c r="O8" s="26"/>
      <c r="P8" s="26"/>
      <c r="Q8" s="26"/>
      <c r="R8" s="26"/>
      <c r="S8" s="147"/>
    </row>
    <row r="9" spans="1:19" ht="13.5" customHeight="1" thickBot="1">
      <c r="A9" s="172" t="s">
        <v>14</v>
      </c>
      <c r="B9" s="173"/>
      <c r="D9" s="412"/>
      <c r="E9" s="26" t="s">
        <v>1229</v>
      </c>
      <c r="F9" s="26"/>
      <c r="G9" s="26"/>
      <c r="H9" s="26"/>
      <c r="I9" s="26"/>
      <c r="J9" s="26"/>
      <c r="K9" s="26"/>
      <c r="L9" s="26"/>
      <c r="M9" s="26"/>
      <c r="N9" s="26"/>
      <c r="O9" s="26"/>
      <c r="P9" s="26"/>
      <c r="Q9" s="26"/>
      <c r="R9" s="26"/>
      <c r="S9" s="147"/>
    </row>
    <row r="10" spans="1:19" ht="13.5" customHeight="1" thickBot="1">
      <c r="A10" s="3570" t="s">
        <v>1306</v>
      </c>
      <c r="B10" s="3610"/>
      <c r="D10" s="412"/>
      <c r="E10" s="38" t="s">
        <v>1230</v>
      </c>
      <c r="F10" s="26"/>
      <c r="G10" s="26"/>
      <c r="H10" s="26"/>
      <c r="I10" s="26"/>
      <c r="J10" s="26"/>
      <c r="K10" s="26"/>
      <c r="L10" s="26"/>
      <c r="M10" s="26"/>
      <c r="N10" s="26"/>
      <c r="O10" s="26"/>
      <c r="P10" s="26"/>
      <c r="Q10" s="26"/>
      <c r="R10" s="26"/>
      <c r="S10" s="147"/>
    </row>
    <row r="11" spans="1:19" ht="13.5" customHeight="1" thickBot="1">
      <c r="A11" s="3570" t="s">
        <v>2216</v>
      </c>
      <c r="B11" s="3581"/>
      <c r="D11" s="412"/>
      <c r="E11" s="38" t="s">
        <v>1231</v>
      </c>
      <c r="F11" s="53"/>
      <c r="G11" s="53"/>
      <c r="H11" s="53"/>
      <c r="I11" s="53"/>
      <c r="J11" s="53"/>
      <c r="K11" s="53"/>
      <c r="L11" s="53"/>
      <c r="M11" s="53"/>
      <c r="N11" s="53"/>
      <c r="O11" s="53"/>
      <c r="P11" s="53"/>
      <c r="Q11" s="53"/>
      <c r="R11" s="53"/>
      <c r="S11" s="379"/>
    </row>
    <row r="12" spans="1:19" ht="13.5" customHeight="1" thickBot="1">
      <c r="A12" s="3570" t="s">
        <v>2217</v>
      </c>
      <c r="B12" s="3581"/>
      <c r="D12" s="412"/>
      <c r="E12" s="61" t="s">
        <v>1697</v>
      </c>
      <c r="F12" s="26"/>
      <c r="G12" s="26"/>
      <c r="H12" s="26"/>
      <c r="I12" s="26"/>
      <c r="J12" s="26"/>
      <c r="K12" s="26"/>
      <c r="L12" s="26"/>
      <c r="M12" s="26"/>
      <c r="N12" s="26"/>
      <c r="O12" s="26"/>
      <c r="P12" s="26"/>
      <c r="Q12" s="26"/>
      <c r="R12" s="26"/>
      <c r="S12" s="147"/>
    </row>
    <row r="13" spans="1:19" ht="13.5" customHeight="1">
      <c r="A13" s="172" t="s">
        <v>252</v>
      </c>
      <c r="B13" s="194"/>
      <c r="C13" s="321"/>
      <c r="D13" s="412"/>
      <c r="E13" s="38" t="s">
        <v>143</v>
      </c>
      <c r="F13" s="26"/>
      <c r="G13" s="26"/>
      <c r="H13" s="26"/>
      <c r="I13" s="26"/>
      <c r="J13" s="26"/>
      <c r="K13" s="26"/>
      <c r="L13" s="26"/>
      <c r="M13" s="26"/>
      <c r="N13" s="26"/>
      <c r="O13" s="26"/>
      <c r="P13" s="26"/>
      <c r="Q13" s="26"/>
      <c r="R13" s="26"/>
      <c r="S13" s="147"/>
    </row>
    <row r="14" spans="1:19" ht="13.5" customHeight="1">
      <c r="A14" s="2440"/>
      <c r="B14" s="2440"/>
      <c r="D14" s="412"/>
      <c r="E14" s="38" t="s">
        <v>1498</v>
      </c>
      <c r="F14" s="26"/>
      <c r="G14" s="26"/>
      <c r="H14" s="26"/>
      <c r="I14" s="26"/>
      <c r="J14" s="26"/>
      <c r="K14" s="26"/>
      <c r="L14" s="26"/>
      <c r="M14" s="26"/>
      <c r="N14" s="26"/>
      <c r="O14" s="26"/>
      <c r="P14" s="26"/>
      <c r="Q14" s="26"/>
      <c r="R14" s="26"/>
      <c r="S14" s="147"/>
    </row>
    <row r="15" spans="1:19" ht="13.5" customHeight="1">
      <c r="A15" s="2470" t="s">
        <v>2502</v>
      </c>
      <c r="B15" s="31"/>
      <c r="C15" s="221">
        <f>'User Parameters'!L13</f>
        <v>2010</v>
      </c>
      <c r="D15" s="412"/>
      <c r="E15" s="38" t="s">
        <v>1499</v>
      </c>
      <c r="F15" s="26"/>
      <c r="G15" s="26"/>
      <c r="H15" s="26"/>
      <c r="I15" s="26"/>
      <c r="J15" s="26"/>
      <c r="K15" s="26"/>
      <c r="L15" s="26"/>
      <c r="M15" s="26"/>
      <c r="N15" s="26"/>
      <c r="O15" s="26"/>
      <c r="P15" s="26"/>
      <c r="Q15" s="26"/>
      <c r="R15" s="26"/>
      <c r="S15" s="147"/>
    </row>
    <row r="16" spans="1:19" ht="13.5" customHeight="1">
      <c r="A16" s="2470" t="s">
        <v>2503</v>
      </c>
      <c r="B16" s="31"/>
      <c r="C16" s="221">
        <f>'User Parameters'!L13</f>
        <v>2010</v>
      </c>
      <c r="D16" s="412"/>
      <c r="E16" s="113" t="s">
        <v>1497</v>
      </c>
      <c r="F16" s="26"/>
      <c r="G16" s="26"/>
      <c r="H16" s="26"/>
      <c r="I16" s="26"/>
      <c r="J16" s="26"/>
      <c r="K16" s="26"/>
      <c r="L16" s="26"/>
      <c r="M16" s="26"/>
      <c r="N16" s="26"/>
      <c r="O16" s="26"/>
      <c r="P16" s="26"/>
      <c r="Q16" s="26"/>
      <c r="R16" s="26"/>
      <c r="S16" s="147"/>
    </row>
    <row r="17" spans="1:19" ht="13.5" customHeight="1">
      <c r="A17" s="169" t="s">
        <v>253</v>
      </c>
      <c r="B17" s="170"/>
      <c r="C17" s="321"/>
      <c r="D17" s="412"/>
      <c r="E17" s="3235" t="s">
        <v>1451</v>
      </c>
      <c r="F17" s="2685" t="s">
        <v>2451</v>
      </c>
      <c r="G17" s="26"/>
      <c r="H17" s="26"/>
      <c r="I17" s="26"/>
      <c r="J17" s="26"/>
      <c r="K17" s="26"/>
      <c r="L17" s="26"/>
      <c r="M17" s="26"/>
      <c r="N17" s="26"/>
      <c r="O17" s="26"/>
      <c r="P17" s="26"/>
      <c r="Q17" s="26"/>
      <c r="R17" s="26"/>
      <c r="S17" s="147"/>
    </row>
    <row r="18" spans="1:19" ht="13.5" customHeight="1">
      <c r="A18" s="2435"/>
      <c r="B18" s="2422"/>
      <c r="C18" s="321"/>
      <c r="D18" s="412"/>
      <c r="E18" s="2619"/>
      <c r="F18" s="26"/>
      <c r="G18" s="26"/>
      <c r="H18" s="26"/>
      <c r="I18" s="26"/>
      <c r="J18" s="26"/>
      <c r="K18" s="26"/>
      <c r="L18" s="26"/>
      <c r="M18" s="26"/>
      <c r="N18" s="2784"/>
      <c r="O18" s="335"/>
      <c r="P18" s="26"/>
      <c r="Q18" s="26"/>
      <c r="R18" s="26"/>
      <c r="S18" s="147"/>
    </row>
    <row r="19" spans="1:19" ht="13.5" customHeight="1">
      <c r="A19" s="2422"/>
      <c r="B19" s="2422"/>
      <c r="D19" s="412"/>
      <c r="E19" s="113" t="s">
        <v>68</v>
      </c>
      <c r="F19" s="26"/>
      <c r="G19" s="26"/>
      <c r="H19" s="26"/>
      <c r="I19" s="26"/>
      <c r="J19" s="26"/>
      <c r="K19" s="26"/>
      <c r="L19" s="26"/>
      <c r="M19" s="26"/>
      <c r="N19" s="26"/>
      <c r="O19" s="26"/>
      <c r="P19" s="26"/>
      <c r="Q19" s="26"/>
      <c r="R19" s="26"/>
      <c r="S19" s="147"/>
    </row>
    <row r="20" spans="1:19" ht="13.5" customHeight="1" thickBot="1">
      <c r="A20" s="2422"/>
      <c r="B20" s="2422"/>
      <c r="D20" s="412"/>
      <c r="E20" s="381" t="s">
        <v>2246</v>
      </c>
      <c r="F20" s="163"/>
      <c r="G20" s="163"/>
      <c r="H20" s="163"/>
      <c r="I20" s="163"/>
      <c r="J20" s="163"/>
      <c r="K20" s="163"/>
      <c r="L20" s="163"/>
      <c r="M20" s="163"/>
      <c r="N20" s="163"/>
      <c r="O20" s="163"/>
      <c r="P20" s="163"/>
      <c r="Q20" s="163"/>
      <c r="R20" s="163"/>
      <c r="S20" s="382"/>
    </row>
    <row r="21" spans="1:19" ht="13.5" customHeight="1" thickTop="1">
      <c r="A21" s="2434"/>
      <c r="B21" s="2422"/>
      <c r="C21" s="72"/>
      <c r="D21" s="32"/>
      <c r="E21" s="47"/>
      <c r="G21" s="28"/>
      <c r="H21" s="28"/>
      <c r="I21" s="592"/>
      <c r="J21" s="26"/>
    </row>
    <row r="22" spans="1:19" ht="13.5" customHeight="1" thickBot="1">
      <c r="B22" s="13"/>
      <c r="C22" s="13"/>
    </row>
    <row r="23" spans="1:19" ht="13.5" customHeight="1" thickTop="1">
      <c r="A23" s="174" t="s">
        <v>710</v>
      </c>
      <c r="B23" s="328"/>
      <c r="C23" s="328"/>
      <c r="D23" s="224" t="s">
        <v>1223</v>
      </c>
      <c r="E23" s="224"/>
      <c r="F23" s="224"/>
      <c r="G23" s="462"/>
    </row>
    <row r="24" spans="1:19" ht="13.5" customHeight="1" thickBot="1">
      <c r="A24" s="836"/>
      <c r="B24" s="751"/>
      <c r="C24" s="751"/>
      <c r="D24" s="227" t="str">
        <f>"(litres per km, " &amp; C15 &amp; ")"</f>
        <v>(litres per km, 2010)</v>
      </c>
      <c r="E24" s="227"/>
      <c r="F24" s="227"/>
      <c r="G24" s="523"/>
    </row>
    <row r="25" spans="1:19" ht="13.5" customHeight="1" thickTop="1" thickBot="1">
      <c r="A25" s="464"/>
      <c r="B25" s="233"/>
      <c r="C25" s="233"/>
      <c r="D25" s="443" t="s">
        <v>1399</v>
      </c>
      <c r="E25" s="443"/>
      <c r="F25" s="443"/>
      <c r="G25" s="591"/>
    </row>
    <row r="26" spans="1:19" ht="13.5" customHeight="1" thickTop="1" thickBot="1">
      <c r="A26" s="1573" t="s">
        <v>568</v>
      </c>
      <c r="B26" s="173"/>
      <c r="C26" s="293"/>
      <c r="D26" s="414" t="s">
        <v>569</v>
      </c>
      <c r="E26" s="414" t="s">
        <v>570</v>
      </c>
      <c r="F26" s="414" t="s">
        <v>571</v>
      </c>
      <c r="G26" s="414" t="s">
        <v>572</v>
      </c>
    </row>
    <row r="27" spans="1:19" ht="13.5" customHeight="1" thickTop="1">
      <c r="A27" s="1574" t="s">
        <v>573</v>
      </c>
      <c r="B27" s="348"/>
      <c r="C27" s="380"/>
      <c r="D27" s="2476">
        <f>'Fuel consumption'!D27</f>
        <v>0.451946800001013</v>
      </c>
      <c r="E27" s="2476">
        <f>'Fuel consumption'!E27</f>
        <v>9.6046025987773495E-2</v>
      </c>
      <c r="F27" s="2476">
        <f>'Fuel consumption'!F27</f>
        <v>-1.0940781356088101E-3</v>
      </c>
      <c r="G27" s="2638">
        <f>'Fuel consumption'!G27</f>
        <v>7.2459914611266602E-6</v>
      </c>
    </row>
    <row r="28" spans="1:19" ht="13.5" customHeight="1">
      <c r="A28" s="435" t="s">
        <v>574</v>
      </c>
      <c r="B28" s="26"/>
      <c r="C28" s="147"/>
      <c r="D28" s="2477">
        <f>'Fuel consumption'!D28</f>
        <v>0.481912969078371</v>
      </c>
      <c r="E28" s="2477">
        <f>'Fuel consumption'!E28</f>
        <v>6.9094402071662606E-2</v>
      </c>
      <c r="F28" s="2477">
        <f>'Fuel consumption'!F28</f>
        <v>-6.64707396294468E-4</v>
      </c>
      <c r="G28" s="2639">
        <f>'Fuel consumption'!G28</f>
        <v>5.2379276316681102E-6</v>
      </c>
    </row>
    <row r="29" spans="1:19" ht="13.5" customHeight="1">
      <c r="A29" s="435" t="s">
        <v>576</v>
      </c>
      <c r="B29" s="26"/>
      <c r="C29" s="147"/>
      <c r="D29" s="2477">
        <f>'Fuel consumption'!D29</f>
        <v>0.34434762803626101</v>
      </c>
      <c r="E29" s="2477">
        <f>'Fuel consumption'!E29</f>
        <v>0.193090216753531</v>
      </c>
      <c r="F29" s="2477">
        <f>'Fuel consumption'!F29</f>
        <v>-3.03088260475259E-3</v>
      </c>
      <c r="G29" s="2639">
        <f>'Fuel consumption'!G29</f>
        <v>1.9573553132670797E-5</v>
      </c>
    </row>
    <row r="30" spans="1:19" ht="13.5" customHeight="1">
      <c r="A30" s="435" t="s">
        <v>577</v>
      </c>
      <c r="B30" s="26"/>
      <c r="C30" s="147"/>
      <c r="D30" s="2477">
        <f>'Fuel consumption'!D30</f>
        <v>0.46348489975169005</v>
      </c>
      <c r="E30" s="2477">
        <f>'Fuel consumption'!E30</f>
        <v>0.11327759835403001</v>
      </c>
      <c r="F30" s="2477">
        <f>'Fuel consumption'!F30</f>
        <v>-1.6342352318338901E-3</v>
      </c>
      <c r="G30" s="2639">
        <f>'Fuel consumption'!G30</f>
        <v>1.38354924538238E-5</v>
      </c>
    </row>
    <row r="31" spans="1:19" ht="13.5" customHeight="1">
      <c r="A31" s="435" t="s">
        <v>1443</v>
      </c>
      <c r="B31" s="26"/>
      <c r="C31" s="147"/>
      <c r="D31" s="2477">
        <f>'Fuel consumption'!D31</f>
        <v>2.6962848686626804</v>
      </c>
      <c r="E31" s="2477">
        <f>'Fuel consumption'!E31</f>
        <v>0.143057339771858</v>
      </c>
      <c r="F31" s="2477">
        <f>'Fuel consumption'!F31</f>
        <v>-1.0340193601785499E-3</v>
      </c>
      <c r="G31" s="2639">
        <f>'Fuel consumption'!G31</f>
        <v>1.1293150500864199E-5</v>
      </c>
    </row>
    <row r="32" spans="1:19" ht="13.5" customHeight="1">
      <c r="A32" s="435" t="s">
        <v>1444</v>
      </c>
      <c r="B32" s="26"/>
      <c r="C32" s="147"/>
      <c r="D32" s="2477">
        <f>'Fuel consumption'!D32</f>
        <v>5.6655970981789903</v>
      </c>
      <c r="E32" s="2477">
        <f>'Fuel consumption'!E32</f>
        <v>0.29422449618924201</v>
      </c>
      <c r="F32" s="2477">
        <f>'Fuel consumption'!F32</f>
        <v>-1.9493920679616401E-3</v>
      </c>
      <c r="G32" s="2639">
        <f>'Fuel consumption'!G32</f>
        <v>1.1619187345164999E-5</v>
      </c>
    </row>
    <row r="33" spans="1:16" ht="13.5" customHeight="1" thickBot="1">
      <c r="A33" s="456" t="s">
        <v>1434</v>
      </c>
      <c r="B33" s="13"/>
      <c r="C33" s="168"/>
      <c r="D33" s="2478">
        <f>'Fuel consumption'!D33</f>
        <v>3.3601870156891001</v>
      </c>
      <c r="E33" s="2478">
        <f>'Fuel consumption'!E33</f>
        <v>0.29524938703213599</v>
      </c>
      <c r="F33" s="2478">
        <f>'Fuel consumption'!F33</f>
        <v>-3.20909768342738E-3</v>
      </c>
      <c r="G33" s="2640">
        <f>'Fuel consumption'!G33</f>
        <v>2.3540043227716499E-5</v>
      </c>
    </row>
    <row r="34" spans="1:16" ht="13.5" customHeight="1" thickTop="1">
      <c r="A34" s="174"/>
      <c r="B34" s="328"/>
      <c r="C34" s="328"/>
      <c r="D34" s="224" t="s">
        <v>1222</v>
      </c>
      <c r="E34" s="224"/>
      <c r="F34" s="680"/>
      <c r="G34" s="1577"/>
    </row>
    <row r="35" spans="1:16" ht="13.5" customHeight="1" thickBot="1">
      <c r="A35" s="836"/>
      <c r="B35" s="751"/>
      <c r="C35" s="751"/>
      <c r="D35" s="227" t="str">
        <f>"(kWh per km, " &amp; C16 &amp; ")"</f>
        <v>(kWh per km, 2010)</v>
      </c>
      <c r="E35" s="1575"/>
      <c r="F35" s="1575"/>
      <c r="G35" s="1576"/>
    </row>
    <row r="36" spans="1:16" ht="13.5" customHeight="1" thickTop="1">
      <c r="A36" s="435" t="s">
        <v>575</v>
      </c>
      <c r="C36" s="147"/>
      <c r="D36" s="1571"/>
      <c r="E36" s="2479">
        <f>'Fuel consumption'!E36</f>
        <v>0.15077083357405516</v>
      </c>
      <c r="F36" s="1572"/>
      <c r="G36" s="1304"/>
    </row>
    <row r="37" spans="1:16" ht="13.5" customHeight="1">
      <c r="A37" s="113" t="s">
        <v>880</v>
      </c>
      <c r="C37" s="147"/>
      <c r="D37" s="940"/>
      <c r="E37" s="3127">
        <f>'Fuel consumption'!E37</f>
        <v>0.33636067438799133</v>
      </c>
      <c r="F37" s="424"/>
      <c r="G37" s="941"/>
      <c r="K37" s="26"/>
      <c r="L37" s="26"/>
    </row>
    <row r="38" spans="1:16" ht="13.5" customHeight="1">
      <c r="A38" s="113" t="s">
        <v>492</v>
      </c>
      <c r="C38" s="147"/>
      <c r="D38" s="940"/>
      <c r="E38" s="424"/>
      <c r="F38" s="424"/>
      <c r="G38" s="941"/>
      <c r="N38" s="427"/>
    </row>
    <row r="39" spans="1:16" ht="13.5" customHeight="1">
      <c r="A39" s="113" t="s">
        <v>495</v>
      </c>
      <c r="C39" s="147"/>
      <c r="D39" s="940"/>
      <c r="E39" s="424"/>
      <c r="F39" s="424"/>
      <c r="G39" s="941"/>
    </row>
    <row r="40" spans="1:16" ht="13.5" customHeight="1" thickBot="1">
      <c r="A40" s="381" t="s">
        <v>493</v>
      </c>
      <c r="B40" s="13"/>
      <c r="C40" s="168"/>
      <c r="D40" s="1165"/>
      <c r="E40" s="942"/>
      <c r="F40" s="942"/>
      <c r="G40" s="943"/>
      <c r="H40" s="593"/>
      <c r="I40" s="593"/>
      <c r="J40" s="593"/>
      <c r="K40" s="593"/>
      <c r="L40" s="593"/>
      <c r="M40" s="593"/>
      <c r="N40" s="593"/>
      <c r="O40" s="593"/>
      <c r="P40" s="593"/>
    </row>
    <row r="41" spans="1:16" ht="13.5" customHeight="1" thickTop="1">
      <c r="O41" s="427"/>
    </row>
    <row r="42" spans="1:16" ht="13.5" customHeight="1">
      <c r="D42" s="26"/>
      <c r="E42" s="26"/>
      <c r="F42" s="26"/>
    </row>
    <row r="43" spans="1:16" ht="13.5" customHeight="1">
      <c r="B43" s="455"/>
      <c r="D43" s="455"/>
      <c r="E43" s="455"/>
      <c r="F43" s="455"/>
    </row>
    <row r="44" spans="1:16" ht="13.5" customHeight="1">
      <c r="B44" s="459"/>
      <c r="D44" s="459"/>
      <c r="E44" s="459"/>
      <c r="F44" s="459"/>
    </row>
    <row r="45" spans="1:16" ht="13.5" customHeight="1">
      <c r="B45" s="594"/>
      <c r="C45" s="14"/>
      <c r="D45" s="14"/>
      <c r="E45" s="595"/>
      <c r="F45" s="595"/>
    </row>
    <row r="46" spans="1:16" ht="13.5" customHeight="1">
      <c r="B46" s="594"/>
      <c r="C46" s="14"/>
      <c r="D46" s="14"/>
      <c r="E46" s="14"/>
      <c r="F46" s="14"/>
    </row>
    <row r="47" spans="1:16" ht="13.5" customHeight="1">
      <c r="B47" s="594"/>
      <c r="C47" s="14"/>
      <c r="D47" s="14"/>
      <c r="E47" s="14"/>
      <c r="F47" s="14"/>
    </row>
    <row r="48" spans="1:16" ht="13.5" customHeight="1">
      <c r="B48" s="594"/>
      <c r="C48" s="14"/>
      <c r="D48" s="14"/>
      <c r="E48" s="14"/>
      <c r="F48" s="14"/>
    </row>
    <row r="49" spans="2:6" ht="13.5" customHeight="1">
      <c r="B49" s="594"/>
      <c r="C49" s="14"/>
      <c r="D49" s="14"/>
      <c r="E49" s="14"/>
      <c r="F49" s="14"/>
    </row>
    <row r="50" spans="2:6" ht="13.5" customHeight="1">
      <c r="B50" s="594"/>
      <c r="C50" s="14"/>
      <c r="D50" s="14"/>
      <c r="E50" s="14"/>
      <c r="F50" s="14"/>
    </row>
    <row r="51" spans="2:6" ht="13.5" customHeight="1">
      <c r="B51" s="594"/>
      <c r="C51" s="14"/>
      <c r="D51" s="14"/>
      <c r="E51" s="14"/>
      <c r="F51" s="14"/>
    </row>
    <row r="52" spans="2:6" ht="13.5" customHeight="1">
      <c r="B52" s="594"/>
      <c r="C52" s="14"/>
      <c r="D52" s="14"/>
      <c r="E52" s="14"/>
      <c r="F52" s="14"/>
    </row>
    <row r="53" spans="2:6" ht="13.5" customHeight="1">
      <c r="B53" s="594"/>
      <c r="C53" s="14"/>
      <c r="D53" s="14"/>
      <c r="E53" s="595"/>
      <c r="F53" s="595"/>
    </row>
    <row r="54" spans="2:6" ht="13.5" customHeight="1">
      <c r="B54" s="596"/>
      <c r="C54" s="596"/>
      <c r="D54" s="596"/>
      <c r="E54" s="596"/>
      <c r="F54" s="596"/>
    </row>
    <row r="55" spans="2:6" ht="13.5" customHeight="1">
      <c r="B55" s="594"/>
      <c r="C55" s="14"/>
      <c r="D55" s="14"/>
      <c r="E55" s="595"/>
      <c r="F55" s="595"/>
    </row>
    <row r="56" spans="2:6" ht="13.5" customHeight="1">
      <c r="B56" s="594"/>
      <c r="C56" s="14"/>
      <c r="D56" s="14"/>
      <c r="E56" s="14"/>
      <c r="F56" s="14"/>
    </row>
    <row r="57" spans="2:6" ht="13.5" customHeight="1">
      <c r="B57" s="594"/>
      <c r="C57" s="14"/>
      <c r="D57" s="14"/>
      <c r="E57" s="14"/>
      <c r="F57" s="14"/>
    </row>
    <row r="58" spans="2:6" ht="13.5" customHeight="1">
      <c r="B58" s="594"/>
      <c r="C58" s="14"/>
      <c r="D58" s="14"/>
      <c r="E58" s="14"/>
      <c r="F58" s="14"/>
    </row>
    <row r="59" spans="2:6" ht="13.5" customHeight="1">
      <c r="B59" s="594"/>
      <c r="C59" s="14"/>
      <c r="D59" s="14"/>
      <c r="E59" s="14"/>
      <c r="F59" s="14"/>
    </row>
    <row r="60" spans="2:6" ht="13.5" customHeight="1">
      <c r="B60" s="594"/>
      <c r="C60" s="14"/>
      <c r="D60" s="14"/>
      <c r="E60" s="14"/>
      <c r="F60" s="14"/>
    </row>
    <row r="61" spans="2:6" ht="13.5" customHeight="1">
      <c r="B61" s="56"/>
      <c r="C61" s="26"/>
      <c r="D61" s="26"/>
      <c r="E61" s="26"/>
      <c r="F61" s="26"/>
    </row>
    <row r="62" spans="2:6" ht="13.5" customHeight="1">
      <c r="B62" s="596"/>
      <c r="C62" s="596"/>
      <c r="D62" s="596"/>
      <c r="E62" s="596"/>
      <c r="F62" s="596"/>
    </row>
    <row r="63" spans="2:6" ht="13.5" customHeight="1">
      <c r="B63" s="596"/>
      <c r="C63" s="596"/>
      <c r="D63" s="596"/>
      <c r="E63" s="596"/>
      <c r="F63" s="596"/>
    </row>
    <row r="64" spans="2:6" ht="13.5" customHeight="1">
      <c r="B64" s="2"/>
      <c r="C64" s="26"/>
      <c r="D64" s="26"/>
      <c r="E64" s="26"/>
      <c r="F64" s="26"/>
    </row>
    <row r="65" spans="2:6" ht="13.5" customHeight="1">
      <c r="B65" s="2"/>
      <c r="C65" s="2"/>
      <c r="D65" s="2"/>
      <c r="E65" s="2"/>
      <c r="F65" s="2"/>
    </row>
    <row r="66" spans="2:6" ht="13.5" customHeight="1">
      <c r="B66" s="596"/>
      <c r="C66" s="596"/>
      <c r="D66" s="596"/>
      <c r="E66" s="596"/>
      <c r="F66" s="596"/>
    </row>
    <row r="67" spans="2:6" ht="13.5" customHeight="1">
      <c r="B67" s="594"/>
      <c r="C67" s="14"/>
      <c r="D67" s="14"/>
      <c r="E67" s="595"/>
      <c r="F67" s="595"/>
    </row>
    <row r="68" spans="2:6" ht="13.5" customHeight="1">
      <c r="B68" s="594"/>
      <c r="C68" s="14"/>
      <c r="D68" s="14"/>
      <c r="E68" s="14"/>
      <c r="F68" s="14"/>
    </row>
    <row r="69" spans="2:6" ht="13.5" customHeight="1">
      <c r="B69" s="594"/>
      <c r="C69" s="14"/>
      <c r="D69" s="14"/>
      <c r="E69" s="14"/>
      <c r="F69" s="14"/>
    </row>
    <row r="70" spans="2:6" ht="13.5" customHeight="1">
      <c r="B70" s="594"/>
      <c r="C70" s="14"/>
      <c r="D70" s="14"/>
      <c r="E70" s="14"/>
      <c r="F70" s="14"/>
    </row>
    <row r="71" spans="2:6" ht="13.5" customHeight="1">
      <c r="B71" s="594"/>
      <c r="C71" s="14"/>
      <c r="D71" s="14"/>
      <c r="E71" s="14"/>
      <c r="F71" s="14"/>
    </row>
    <row r="72" spans="2:6" ht="13.5" customHeight="1">
      <c r="B72" s="594"/>
      <c r="C72" s="14"/>
      <c r="D72" s="14"/>
      <c r="E72" s="14"/>
      <c r="F72" s="14"/>
    </row>
    <row r="73" spans="2:6" ht="13.5" customHeight="1">
      <c r="B73" s="594"/>
      <c r="C73" s="14"/>
      <c r="D73" s="14"/>
      <c r="E73" s="14"/>
      <c r="F73" s="14"/>
    </row>
    <row r="74" spans="2:6" ht="13.5" customHeight="1">
      <c r="B74" s="594"/>
      <c r="C74" s="14"/>
      <c r="D74" s="14"/>
      <c r="E74" s="14"/>
      <c r="F74" s="14"/>
    </row>
    <row r="75" spans="2:6" ht="13.5" customHeight="1">
      <c r="B75" s="594"/>
      <c r="C75" s="14"/>
      <c r="D75" s="14"/>
      <c r="E75" s="14"/>
      <c r="F75" s="14"/>
    </row>
    <row r="76" spans="2:6" ht="13.5" customHeight="1">
      <c r="B76" s="594"/>
      <c r="C76" s="14"/>
      <c r="D76" s="14"/>
      <c r="E76" s="595"/>
      <c r="F76" s="595"/>
    </row>
    <row r="77" spans="2:6" ht="13.5" customHeight="1">
      <c r="B77" s="596"/>
      <c r="C77" s="596"/>
      <c r="D77" s="596"/>
      <c r="E77" s="596"/>
      <c r="F77" s="596"/>
    </row>
    <row r="78" spans="2:6" ht="13.5" customHeight="1">
      <c r="B78" s="594"/>
      <c r="C78" s="14"/>
      <c r="D78" s="14"/>
      <c r="E78" s="595"/>
      <c r="F78" s="595"/>
    </row>
    <row r="79" spans="2:6" ht="13.5" customHeight="1">
      <c r="B79" s="594"/>
      <c r="C79" s="14"/>
      <c r="D79" s="14"/>
      <c r="E79" s="14"/>
      <c r="F79" s="14"/>
    </row>
    <row r="80" spans="2:6" ht="13.5" customHeight="1">
      <c r="B80" s="594"/>
      <c r="C80" s="14"/>
      <c r="D80" s="14"/>
      <c r="E80" s="14"/>
      <c r="F80" s="14"/>
    </row>
    <row r="81" spans="2:6" ht="13.5" customHeight="1">
      <c r="B81" s="594"/>
      <c r="C81" s="14"/>
      <c r="D81" s="14"/>
      <c r="E81" s="14"/>
      <c r="F81" s="14"/>
    </row>
    <row r="82" spans="2:6" ht="13.5" customHeight="1">
      <c r="B82" s="594"/>
      <c r="C82" s="14"/>
      <c r="D82" s="14"/>
      <c r="E82" s="14"/>
      <c r="F82" s="14"/>
    </row>
    <row r="83" spans="2:6" ht="13.5" customHeight="1">
      <c r="B83" s="594"/>
      <c r="C83" s="14"/>
      <c r="D83" s="14"/>
      <c r="E83" s="14"/>
      <c r="F83" s="14"/>
    </row>
    <row r="84" spans="2:6" ht="13.5" customHeight="1">
      <c r="B84" s="594"/>
      <c r="C84" s="14"/>
      <c r="D84" s="14"/>
      <c r="E84" s="14"/>
      <c r="F84" s="14"/>
    </row>
    <row r="85" spans="2:6" ht="13.5" customHeight="1">
      <c r="B85" s="26"/>
      <c r="C85" s="26"/>
      <c r="D85" s="26"/>
      <c r="E85" s="26"/>
      <c r="F85" s="26"/>
    </row>
  </sheetData>
  <sheetProtection sheet="1" objects="1" scenarios="1"/>
  <mergeCells count="6">
    <mergeCell ref="A12:B12"/>
    <mergeCell ref="A11:B11"/>
    <mergeCell ref="E6:S6"/>
    <mergeCell ref="A7:B7"/>
    <mergeCell ref="A8:B8"/>
    <mergeCell ref="A10:B10"/>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F17" r:id="rId3"/>
  </hyperlinks>
  <pageMargins left="0.75" right="0.75" top="1" bottom="1" header="0.5" footer="0.5"/>
  <pageSetup paperSize="9" scale="54" fitToHeight="0" orientation="landscape" r:id="rId4"/>
  <headerFooter alignWithMargins="0"/>
  <colBreaks count="1" manualBreakCount="1">
    <brk id="7" max="1048575" man="1"/>
  </colBreaks>
  <drawing r:id="rId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10"/>
  </sheetPr>
  <dimension ref="A1:AF123"/>
  <sheetViews>
    <sheetView showGridLines="0" zoomScale="70" zoomScaleNormal="70" workbookViewId="0">
      <selection activeCell="E23" sqref="E23:F23"/>
    </sheetView>
  </sheetViews>
  <sheetFormatPr defaultColWidth="12.88671875" defaultRowHeight="13.5" customHeight="1"/>
  <cols>
    <col min="1" max="1" width="16.33203125" style="38" customWidth="1"/>
    <col min="2" max="7" width="12.88671875" style="38"/>
    <col min="8" max="8" width="14.44140625" style="38" customWidth="1"/>
    <col min="9" max="11" width="12.88671875" style="38"/>
    <col min="12" max="12" width="16.33203125" style="38" customWidth="1"/>
    <col min="13" max="13" width="12.88671875" style="38"/>
    <col min="14" max="14" width="19.109375" style="38" customWidth="1"/>
    <col min="15" max="15" width="12.88671875" style="38"/>
    <col min="16" max="16" width="14.6640625" style="38" customWidth="1"/>
    <col min="17" max="22" width="12.88671875" style="38"/>
    <col min="23" max="23" width="14.33203125" style="38" customWidth="1"/>
    <col min="24" max="24" width="16.109375" style="38" customWidth="1"/>
    <col min="25" max="26" width="12.88671875" style="38"/>
    <col min="27" max="27" width="15.88671875" style="38" customWidth="1"/>
    <col min="28" max="16384" width="12.88671875" style="38"/>
  </cols>
  <sheetData>
    <row r="1" spans="1:19" ht="54.9" customHeight="1">
      <c r="A1" s="28"/>
      <c r="C1" s="28"/>
      <c r="D1" s="26"/>
      <c r="E1" s="28"/>
      <c r="H1" s="28"/>
      <c r="I1" s="26"/>
      <c r="J1" s="26"/>
    </row>
    <row r="2" spans="1:19" s="300" customFormat="1" ht="5.0999999999999996" customHeight="1">
      <c r="D2" s="83"/>
      <c r="F2" s="83"/>
      <c r="I2" s="83"/>
      <c r="J2" s="83"/>
    </row>
    <row r="3" spans="1:19" s="300" customFormat="1" ht="20.100000000000001" customHeight="1">
      <c r="A3" s="300" t="s">
        <v>2217</v>
      </c>
      <c r="B3" s="485"/>
      <c r="C3" s="444"/>
      <c r="D3" s="46"/>
      <c r="E3" s="83"/>
      <c r="F3" s="445"/>
      <c r="J3" s="83"/>
    </row>
    <row r="4" spans="1:19" s="26" customFormat="1" ht="20.100000000000001" customHeight="1" thickBot="1">
      <c r="A4" s="529" t="s">
        <v>1225</v>
      </c>
      <c r="B4" s="447"/>
      <c r="C4" s="447"/>
      <c r="D4" s="487"/>
      <c r="E4" s="446"/>
      <c r="F4" s="446"/>
      <c r="G4" s="450"/>
      <c r="H4" s="450"/>
      <c r="I4" s="446"/>
      <c r="J4" s="446"/>
      <c r="K4" s="446"/>
      <c r="L4" s="446"/>
      <c r="M4" s="446"/>
      <c r="N4" s="446"/>
      <c r="O4" s="446"/>
      <c r="P4" s="446"/>
      <c r="Q4" s="446"/>
      <c r="R4" s="446"/>
      <c r="S4" s="446"/>
    </row>
    <row r="5" spans="1:19" ht="9.9" customHeight="1" thickTop="1" thickBot="1">
      <c r="C5" s="72"/>
      <c r="E5" s="47"/>
      <c r="G5" s="28"/>
      <c r="H5" s="28"/>
      <c r="J5" s="26"/>
    </row>
    <row r="6" spans="1:19" ht="13.5" customHeight="1" thickTop="1">
      <c r="A6" s="169" t="s">
        <v>10</v>
      </c>
      <c r="B6" s="169"/>
      <c r="E6" s="3626" t="s">
        <v>255</v>
      </c>
      <c r="F6" s="3649"/>
      <c r="G6" s="3649"/>
      <c r="H6" s="3649"/>
      <c r="I6" s="3649"/>
      <c r="J6" s="3649"/>
      <c r="K6" s="3649"/>
      <c r="L6" s="3649"/>
      <c r="M6" s="3649"/>
      <c r="N6" s="3649"/>
      <c r="O6" s="3649"/>
      <c r="P6" s="3649"/>
      <c r="Q6" s="3649"/>
      <c r="R6" s="3649"/>
      <c r="S6" s="3650"/>
    </row>
    <row r="7" spans="1:19" ht="13.5" customHeight="1">
      <c r="A7" s="3644" t="str">
        <f>Audit!A12</f>
        <v>May 2019 v1.12</v>
      </c>
      <c r="B7" s="3651"/>
      <c r="D7" s="147"/>
      <c r="E7" s="38" t="s">
        <v>1226</v>
      </c>
      <c r="F7" s="29"/>
      <c r="G7" s="26"/>
      <c r="H7" s="26"/>
      <c r="I7" s="38" t="s">
        <v>1227</v>
      </c>
      <c r="J7" s="26"/>
      <c r="K7" s="26"/>
      <c r="L7" s="26"/>
      <c r="M7" s="26"/>
      <c r="N7" s="26"/>
      <c r="O7" s="26"/>
      <c r="P7" s="26"/>
      <c r="Q7" s="26"/>
      <c r="R7" s="26"/>
      <c r="S7" s="147"/>
    </row>
    <row r="8" spans="1:19" ht="13.5" customHeight="1">
      <c r="A8" s="3646">
        <f>Audit!C12</f>
        <v>43586</v>
      </c>
      <c r="B8" s="3651"/>
      <c r="C8" s="321"/>
      <c r="D8" s="412"/>
      <c r="E8" s="38" t="s">
        <v>1228</v>
      </c>
      <c r="F8" s="315"/>
      <c r="G8" s="26"/>
      <c r="H8" s="26"/>
      <c r="I8" s="26"/>
      <c r="J8" s="26"/>
      <c r="K8" s="26"/>
      <c r="L8" s="26"/>
      <c r="M8" s="26"/>
      <c r="N8" s="26"/>
      <c r="O8" s="26"/>
      <c r="P8" s="26"/>
      <c r="Q8" s="26"/>
      <c r="R8" s="26"/>
      <c r="S8" s="147"/>
    </row>
    <row r="9" spans="1:19" ht="13.5" customHeight="1" thickBot="1">
      <c r="A9" s="172" t="s">
        <v>14</v>
      </c>
      <c r="B9" s="173"/>
      <c r="D9" s="412"/>
      <c r="E9" s="26" t="s">
        <v>1229</v>
      </c>
      <c r="F9" s="26"/>
      <c r="G9" s="26"/>
      <c r="H9" s="26"/>
      <c r="I9" s="26"/>
      <c r="J9" s="26"/>
      <c r="K9" s="26"/>
      <c r="L9" s="26"/>
      <c r="M9" s="26"/>
      <c r="N9" s="26"/>
      <c r="O9" s="26"/>
      <c r="P9" s="26"/>
      <c r="Q9" s="26"/>
      <c r="R9" s="26"/>
      <c r="S9" s="147"/>
    </row>
    <row r="10" spans="1:19" ht="13.5" customHeight="1" thickBot="1">
      <c r="A10" s="3611" t="s">
        <v>1306</v>
      </c>
      <c r="B10" s="3612"/>
      <c r="D10" s="412"/>
      <c r="E10" s="38" t="s">
        <v>1230</v>
      </c>
      <c r="F10" s="26"/>
      <c r="G10" s="26"/>
      <c r="H10" s="26"/>
      <c r="I10" s="26"/>
      <c r="J10" s="26"/>
      <c r="K10" s="26"/>
      <c r="L10" s="26"/>
      <c r="M10" s="26"/>
      <c r="N10" s="26"/>
      <c r="O10" s="26"/>
      <c r="P10" s="26"/>
      <c r="Q10" s="26"/>
      <c r="R10" s="26"/>
      <c r="S10" s="147"/>
    </row>
    <row r="11" spans="1:19" ht="13.5" customHeight="1" thickBot="1">
      <c r="A11" s="3611" t="s">
        <v>2216</v>
      </c>
      <c r="B11" s="3639"/>
      <c r="D11" s="412"/>
      <c r="E11" s="38" t="s">
        <v>1231</v>
      </c>
      <c r="F11" s="53"/>
      <c r="G11" s="53"/>
      <c r="H11" s="53"/>
      <c r="I11" s="53"/>
      <c r="J11" s="53"/>
      <c r="K11" s="53"/>
      <c r="L11" s="53"/>
      <c r="M11" s="53"/>
      <c r="N11" s="53"/>
      <c r="O11" s="53"/>
      <c r="P11" s="53"/>
      <c r="Q11" s="53"/>
      <c r="R11" s="53"/>
      <c r="S11" s="379"/>
    </row>
    <row r="12" spans="1:19" ht="13.5" customHeight="1" thickBot="1">
      <c r="A12" s="3611" t="s">
        <v>2217</v>
      </c>
      <c r="B12" s="3639"/>
      <c r="D12" s="412"/>
      <c r="E12" s="61" t="s">
        <v>1697</v>
      </c>
      <c r="F12" s="26"/>
      <c r="G12" s="26"/>
      <c r="H12" s="26"/>
      <c r="I12" s="26"/>
      <c r="J12" s="26"/>
      <c r="K12" s="26"/>
      <c r="L12" s="26"/>
      <c r="M12" s="26"/>
      <c r="N12" s="26"/>
      <c r="O12" s="26"/>
      <c r="P12" s="26"/>
      <c r="Q12" s="26"/>
      <c r="R12" s="26"/>
      <c r="S12" s="147"/>
    </row>
    <row r="13" spans="1:19" ht="13.5" customHeight="1">
      <c r="A13" s="172" t="s">
        <v>252</v>
      </c>
      <c r="B13" s="194"/>
      <c r="C13" s="321"/>
      <c r="D13" s="412"/>
      <c r="E13" s="38" t="s">
        <v>143</v>
      </c>
      <c r="F13" s="26"/>
      <c r="G13" s="26"/>
      <c r="H13" s="26"/>
      <c r="I13" s="26"/>
      <c r="J13" s="26"/>
      <c r="K13" s="26"/>
      <c r="L13" s="26"/>
      <c r="M13" s="26"/>
      <c r="N13" s="26"/>
      <c r="O13" s="26"/>
      <c r="P13" s="26"/>
      <c r="Q13" s="26"/>
      <c r="R13" s="26"/>
      <c r="S13" s="147"/>
    </row>
    <row r="14" spans="1:19" ht="13.5" customHeight="1">
      <c r="D14" s="412"/>
      <c r="E14" s="2619" t="s">
        <v>1939</v>
      </c>
      <c r="F14" s="26"/>
      <c r="G14" s="26"/>
      <c r="H14" s="26"/>
      <c r="I14" s="26"/>
      <c r="J14" s="26"/>
      <c r="K14" s="26"/>
      <c r="L14" s="26"/>
      <c r="M14" s="26"/>
      <c r="N14" s="26"/>
      <c r="O14" s="26"/>
      <c r="P14" s="26"/>
      <c r="Q14" s="26"/>
      <c r="R14" s="26"/>
      <c r="S14" s="147"/>
    </row>
    <row r="15" spans="1:19" ht="13.5" customHeight="1">
      <c r="A15" s="43" t="s">
        <v>1484</v>
      </c>
      <c r="B15" s="31"/>
      <c r="C15" s="1221">
        <v>2015</v>
      </c>
      <c r="D15" s="412"/>
      <c r="E15" s="2619" t="s">
        <v>1938</v>
      </c>
      <c r="F15" s="26"/>
      <c r="G15" s="26"/>
      <c r="H15" s="26"/>
      <c r="I15" s="26"/>
      <c r="J15" s="26"/>
      <c r="K15" s="26"/>
      <c r="L15" s="26"/>
      <c r="M15" s="26"/>
      <c r="N15" s="26"/>
      <c r="O15" s="26"/>
      <c r="P15" s="26"/>
      <c r="Q15" s="26"/>
      <c r="R15" s="26"/>
      <c r="S15" s="147"/>
    </row>
    <row r="16" spans="1:19" ht="13.5" customHeight="1">
      <c r="A16" s="43" t="s">
        <v>1142</v>
      </c>
      <c r="B16" s="31"/>
      <c r="C16" s="1221">
        <v>2010</v>
      </c>
      <c r="D16" s="412"/>
      <c r="E16" s="2528" t="s">
        <v>1937</v>
      </c>
      <c r="F16" s="26"/>
      <c r="G16" s="26"/>
      <c r="H16" s="26"/>
      <c r="I16" s="26"/>
      <c r="J16" s="26"/>
      <c r="K16" s="26"/>
      <c r="L16" s="26"/>
      <c r="M16" s="26"/>
      <c r="N16" s="26"/>
      <c r="O16" s="26"/>
      <c r="P16" s="26"/>
      <c r="Q16" s="26"/>
      <c r="R16" s="26"/>
      <c r="S16" s="147"/>
    </row>
    <row r="17" spans="1:32" ht="13.5" customHeight="1">
      <c r="A17" s="169" t="s">
        <v>253</v>
      </c>
      <c r="B17" s="170"/>
      <c r="C17" s="321"/>
      <c r="D17" s="412"/>
      <c r="E17" s="180" t="s">
        <v>2492</v>
      </c>
      <c r="F17" s="26"/>
      <c r="G17" s="26"/>
      <c r="H17" s="26"/>
      <c r="I17" s="26"/>
      <c r="J17" s="26"/>
      <c r="K17" s="26"/>
      <c r="L17" s="26"/>
      <c r="M17" s="26"/>
      <c r="N17" s="26"/>
      <c r="O17" s="26"/>
      <c r="P17" s="26"/>
      <c r="Q17" s="26"/>
      <c r="R17" s="26"/>
      <c r="S17" s="147"/>
      <c r="W17" s="3342"/>
      <c r="AB17" s="3342"/>
      <c r="AC17" s="3342"/>
      <c r="AD17" s="3342"/>
      <c r="AE17" s="3342"/>
      <c r="AF17" s="3342"/>
    </row>
    <row r="18" spans="1:32" ht="13.5" customHeight="1">
      <c r="A18" s="28"/>
      <c r="C18" s="321"/>
      <c r="D18" s="412"/>
      <c r="E18" s="2619"/>
      <c r="F18" s="26"/>
      <c r="G18" s="26"/>
      <c r="H18" s="26"/>
      <c r="I18" s="26"/>
      <c r="J18" s="26"/>
      <c r="K18" s="26"/>
      <c r="L18" s="26"/>
      <c r="M18" s="26"/>
      <c r="N18" s="26"/>
      <c r="O18" s="26"/>
      <c r="P18" s="26"/>
      <c r="Q18" s="26"/>
      <c r="R18" s="26"/>
      <c r="S18" s="147"/>
      <c r="W18" s="3342"/>
      <c r="AB18" s="3342"/>
      <c r="AC18" s="3342"/>
      <c r="AD18" s="3342"/>
      <c r="AE18" s="3342"/>
      <c r="AF18" s="3342"/>
    </row>
    <row r="19" spans="1:32" ht="13.5" customHeight="1">
      <c r="A19" s="3615"/>
      <c r="B19" s="3615"/>
      <c r="D19" s="412"/>
      <c r="E19" s="113" t="s">
        <v>68</v>
      </c>
      <c r="F19" s="26"/>
      <c r="G19" s="26"/>
      <c r="H19" s="26"/>
      <c r="I19" s="26"/>
      <c r="J19" s="26"/>
      <c r="K19" s="26"/>
      <c r="L19" s="26"/>
      <c r="M19" s="26"/>
      <c r="N19" s="26"/>
      <c r="O19" s="26"/>
      <c r="P19" s="26"/>
      <c r="Q19" s="26"/>
      <c r="R19" s="26"/>
      <c r="S19" s="147"/>
      <c r="W19" s="3342"/>
      <c r="AB19" s="3342"/>
      <c r="AC19" s="3342"/>
      <c r="AD19" s="3342"/>
      <c r="AE19" s="3342"/>
      <c r="AF19" s="3342"/>
    </row>
    <row r="20" spans="1:32" ht="13.5" customHeight="1" thickBot="1">
      <c r="D20" s="412"/>
      <c r="E20" s="381" t="s">
        <v>2246</v>
      </c>
      <c r="F20" s="163"/>
      <c r="G20" s="163"/>
      <c r="H20" s="163"/>
      <c r="I20" s="163"/>
      <c r="J20" s="163"/>
      <c r="K20" s="163"/>
      <c r="L20" s="163"/>
      <c r="M20" s="163"/>
      <c r="N20" s="163"/>
      <c r="O20" s="163"/>
      <c r="P20" s="163"/>
      <c r="Q20" s="163"/>
      <c r="R20" s="163"/>
      <c r="S20" s="382"/>
      <c r="W20" s="3342"/>
      <c r="AB20" s="3342"/>
      <c r="AC20" s="3342"/>
      <c r="AD20" s="3342"/>
      <c r="AE20" s="3342"/>
      <c r="AF20" s="3342"/>
    </row>
    <row r="21" spans="1:32" ht="13.5" customHeight="1" thickTop="1">
      <c r="C21" s="72"/>
      <c r="D21" s="32"/>
      <c r="E21" s="47"/>
      <c r="G21" s="28"/>
      <c r="H21" s="28"/>
      <c r="I21" s="592"/>
      <c r="J21" s="26"/>
      <c r="W21" s="3342"/>
      <c r="AB21" s="3342"/>
      <c r="AC21" s="3342"/>
      <c r="AD21" s="3342"/>
      <c r="AE21" s="3342"/>
      <c r="AF21" s="3342"/>
    </row>
    <row r="22" spans="1:32" ht="13.5" customHeight="1" thickBot="1">
      <c r="B22" s="13"/>
      <c r="C22" s="13"/>
      <c r="W22" s="3342"/>
      <c r="AB22" s="3342"/>
      <c r="AC22" s="3342"/>
      <c r="AD22" s="3342"/>
      <c r="AE22" s="3342"/>
      <c r="AF22" s="3342"/>
    </row>
    <row r="23" spans="1:32" ht="13.5" customHeight="1" thickTop="1">
      <c r="A23" s="174" t="s">
        <v>2430</v>
      </c>
      <c r="B23" s="328"/>
      <c r="C23" s="328"/>
      <c r="D23" s="680" t="s">
        <v>1223</v>
      </c>
      <c r="E23" s="224"/>
      <c r="F23" s="224"/>
      <c r="G23" s="462"/>
      <c r="H23" s="462"/>
      <c r="I23" s="462"/>
      <c r="W23" s="3342"/>
      <c r="AB23" s="3342"/>
      <c r="AC23" s="3342"/>
      <c r="AD23" s="3342"/>
      <c r="AE23" s="3342"/>
      <c r="AF23" s="3342"/>
    </row>
    <row r="24" spans="1:32" ht="13.5" customHeight="1" thickBot="1">
      <c r="A24" s="836"/>
      <c r="B24" s="751"/>
      <c r="C24" s="751"/>
      <c r="D24" s="526" t="str">
        <f>"(litres per km, " &amp; C15 &amp; ")"</f>
        <v>(litres per km, 2015)</v>
      </c>
      <c r="E24" s="227"/>
      <c r="F24" s="227"/>
      <c r="G24" s="523"/>
      <c r="H24" s="523"/>
      <c r="I24" s="523"/>
      <c r="K24" s="2619"/>
      <c r="W24" s="3342"/>
      <c r="AB24" s="3342"/>
      <c r="AC24" s="3342"/>
      <c r="AD24" s="3342"/>
      <c r="AE24" s="3342"/>
      <c r="AF24" s="3342"/>
    </row>
    <row r="25" spans="1:32" ht="13.5" customHeight="1" thickTop="1" thickBot="1">
      <c r="A25" s="464"/>
      <c r="B25" s="233"/>
      <c r="C25" s="233"/>
      <c r="D25" s="631" t="s">
        <v>1399</v>
      </c>
      <c r="E25" s="443"/>
      <c r="F25" s="443"/>
      <c r="G25" s="591"/>
      <c r="H25" s="414" t="s">
        <v>2399</v>
      </c>
      <c r="I25" s="414" t="s">
        <v>2398</v>
      </c>
      <c r="Q25" s="3342"/>
      <c r="W25" s="3342"/>
      <c r="AB25" s="3342"/>
      <c r="AC25" s="3342"/>
      <c r="AD25" s="3342"/>
      <c r="AE25" s="3342"/>
      <c r="AF25" s="3342"/>
    </row>
    <row r="26" spans="1:32" ht="13.5" customHeight="1" thickTop="1" thickBot="1">
      <c r="A26" s="3723" t="s">
        <v>568</v>
      </c>
      <c r="B26" s="3724"/>
      <c r="C26" s="3725"/>
      <c r="D26" s="414" t="s">
        <v>569</v>
      </c>
      <c r="E26" s="414" t="s">
        <v>570</v>
      </c>
      <c r="F26" s="414" t="s">
        <v>571</v>
      </c>
      <c r="G26" s="414" t="s">
        <v>572</v>
      </c>
      <c r="H26" s="3719" t="s">
        <v>1698</v>
      </c>
      <c r="I26" s="3703"/>
      <c r="Q26" s="3342"/>
      <c r="W26" s="3342"/>
      <c r="AB26" s="3342"/>
      <c r="AC26" s="3342"/>
      <c r="AD26" s="3342"/>
      <c r="AE26" s="3342"/>
      <c r="AF26" s="3342"/>
    </row>
    <row r="27" spans="1:32" ht="13.5" customHeight="1" thickTop="1">
      <c r="A27" s="1574" t="s">
        <v>573</v>
      </c>
      <c r="B27" s="348"/>
      <c r="C27" s="380"/>
      <c r="D27" s="2895">
        <v>0.451946800001013</v>
      </c>
      <c r="E27" s="2895">
        <v>9.6046025987773495E-2</v>
      </c>
      <c r="F27" s="2895">
        <v>-1.0940781356088101E-3</v>
      </c>
      <c r="G27" s="2895">
        <v>7.2459914611266602E-6</v>
      </c>
      <c r="H27" s="1303">
        <v>10</v>
      </c>
      <c r="I27" s="1303">
        <v>130</v>
      </c>
      <c r="Q27" s="3342"/>
      <c r="W27" s="3342"/>
      <c r="AB27" s="3342"/>
      <c r="AC27" s="3342"/>
      <c r="AD27" s="3342"/>
      <c r="AE27" s="3342"/>
      <c r="AF27" s="3342"/>
    </row>
    <row r="28" spans="1:32" ht="13.5" customHeight="1">
      <c r="A28" s="435" t="s">
        <v>574</v>
      </c>
      <c r="B28" s="26"/>
      <c r="C28" s="147"/>
      <c r="D28" s="2896">
        <v>0.481912969078371</v>
      </c>
      <c r="E28" s="2896">
        <v>6.9094402071662606E-2</v>
      </c>
      <c r="F28" s="2896">
        <v>-6.64707396294468E-4</v>
      </c>
      <c r="G28" s="2896">
        <v>5.2379276316681102E-6</v>
      </c>
      <c r="H28" s="402">
        <v>10</v>
      </c>
      <c r="I28" s="402">
        <v>130</v>
      </c>
      <c r="P28" s="3342"/>
      <c r="Q28" s="3342"/>
      <c r="R28" s="3342"/>
      <c r="W28" s="3342"/>
      <c r="AB28" s="3342"/>
      <c r="AC28" s="3342"/>
      <c r="AD28" s="3342"/>
      <c r="AE28" s="3342"/>
      <c r="AF28" s="3342"/>
    </row>
    <row r="29" spans="1:32" ht="13.5" customHeight="1">
      <c r="A29" s="435" t="s">
        <v>576</v>
      </c>
      <c r="B29" s="26"/>
      <c r="C29" s="147"/>
      <c r="D29" s="2896">
        <v>0.34434762803626101</v>
      </c>
      <c r="E29" s="2896">
        <v>0.193090216753531</v>
      </c>
      <c r="F29" s="2896">
        <v>-3.03088260475259E-3</v>
      </c>
      <c r="G29" s="2896">
        <v>1.9573553132670797E-5</v>
      </c>
      <c r="H29" s="402">
        <v>10</v>
      </c>
      <c r="I29" s="402">
        <v>120</v>
      </c>
      <c r="T29" s="3342"/>
      <c r="U29" s="3342"/>
      <c r="V29" s="3342"/>
      <c r="W29" s="3342"/>
      <c r="AB29" s="3342"/>
      <c r="AC29" s="3342"/>
      <c r="AD29" s="3342"/>
      <c r="AE29" s="3342"/>
      <c r="AF29" s="3342"/>
    </row>
    <row r="30" spans="1:32" ht="13.5" customHeight="1">
      <c r="A30" s="435" t="s">
        <v>577</v>
      </c>
      <c r="B30" s="26"/>
      <c r="C30" s="147"/>
      <c r="D30" s="2896">
        <v>0.46348489975169005</v>
      </c>
      <c r="E30" s="2896">
        <v>0.11327759835403001</v>
      </c>
      <c r="F30" s="2896">
        <v>-1.6342352318338901E-3</v>
      </c>
      <c r="G30" s="2896">
        <v>1.38354924538238E-5</v>
      </c>
      <c r="H30" s="402">
        <v>10</v>
      </c>
      <c r="I30" s="402">
        <v>110</v>
      </c>
      <c r="T30" s="3342"/>
      <c r="U30" s="3342"/>
      <c r="V30" s="3342"/>
      <c r="W30" s="3342"/>
      <c r="AB30" s="3342"/>
      <c r="AC30" s="3342"/>
      <c r="AD30" s="3342"/>
      <c r="AE30" s="3342"/>
      <c r="AF30" s="3342"/>
    </row>
    <row r="31" spans="1:32" ht="13.5" customHeight="1">
      <c r="A31" s="435" t="s">
        <v>1443</v>
      </c>
      <c r="B31" s="26"/>
      <c r="C31" s="147"/>
      <c r="D31" s="2896">
        <v>2.6962848686626804</v>
      </c>
      <c r="E31" s="2896">
        <v>0.143057339771858</v>
      </c>
      <c r="F31" s="2896">
        <v>-1.0340193601785499E-3</v>
      </c>
      <c r="G31" s="2896">
        <v>1.1293150500864199E-5</v>
      </c>
      <c r="H31" s="1648">
        <v>12</v>
      </c>
      <c r="I31" s="1648">
        <v>85</v>
      </c>
      <c r="W31" s="3342"/>
      <c r="AB31" s="3342"/>
      <c r="AC31" s="3342"/>
      <c r="AD31" s="3342"/>
      <c r="AE31" s="3342"/>
      <c r="AF31" s="3342"/>
    </row>
    <row r="32" spans="1:32" ht="13.5" customHeight="1">
      <c r="A32" s="435" t="s">
        <v>1444</v>
      </c>
      <c r="B32" s="26"/>
      <c r="C32" s="147"/>
      <c r="D32" s="2896">
        <v>5.6655970981789903</v>
      </c>
      <c r="E32" s="2896">
        <v>0.29422449618924201</v>
      </c>
      <c r="F32" s="2896">
        <v>-1.9493920679616401E-3</v>
      </c>
      <c r="G32" s="2896">
        <v>1.1619187345164999E-5</v>
      </c>
      <c r="H32" s="402">
        <v>12</v>
      </c>
      <c r="I32" s="402">
        <v>85</v>
      </c>
      <c r="W32" s="3342"/>
      <c r="AB32" s="3342"/>
      <c r="AC32" s="3342"/>
      <c r="AD32" s="3342"/>
      <c r="AE32" s="3342"/>
      <c r="AF32" s="3342"/>
    </row>
    <row r="33" spans="1:32" ht="13.5" customHeight="1" thickBot="1">
      <c r="A33" s="456" t="s">
        <v>1434</v>
      </c>
      <c r="B33" s="13"/>
      <c r="C33" s="168"/>
      <c r="D33" s="2897">
        <v>3.3601870156891001</v>
      </c>
      <c r="E33" s="2897">
        <v>0.29524938703213599</v>
      </c>
      <c r="F33" s="2897">
        <v>-3.20909768342738E-3</v>
      </c>
      <c r="G33" s="2897">
        <v>2.3540043227716499E-5</v>
      </c>
      <c r="H33" s="403">
        <v>12</v>
      </c>
      <c r="I33" s="403">
        <v>85</v>
      </c>
      <c r="W33" s="3342"/>
      <c r="AB33" s="3342"/>
      <c r="AC33" s="3342"/>
      <c r="AD33" s="3342"/>
      <c r="AE33" s="3342"/>
      <c r="AF33" s="3342"/>
    </row>
    <row r="34" spans="1:32" ht="13.5" customHeight="1" thickTop="1">
      <c r="A34" s="174"/>
      <c r="B34" s="328"/>
      <c r="C34" s="328"/>
      <c r="D34" s="680" t="s">
        <v>1222</v>
      </c>
      <c r="E34" s="224"/>
      <c r="F34" s="224"/>
      <c r="G34" s="462"/>
      <c r="H34" s="462"/>
      <c r="I34" s="462"/>
      <c r="W34" s="3342"/>
      <c r="X34" s="3342"/>
      <c r="Y34" s="3342"/>
      <c r="Z34" s="3342"/>
      <c r="AA34" s="3342"/>
      <c r="AB34" s="3342"/>
      <c r="AC34" s="3342"/>
      <c r="AD34" s="3342"/>
      <c r="AE34" s="3342"/>
      <c r="AF34" s="3342"/>
    </row>
    <row r="35" spans="1:32" ht="13.5" customHeight="1" thickBot="1">
      <c r="A35" s="570"/>
      <c r="B35" s="1021"/>
      <c r="C35" s="1021"/>
      <c r="D35" s="526" t="str">
        <f>"(kWh per km, " &amp; C16 &amp; ")"</f>
        <v>(kWh per km, 2010)</v>
      </c>
      <c r="E35" s="227"/>
      <c r="F35" s="227"/>
      <c r="G35" s="523"/>
      <c r="H35" s="523"/>
      <c r="I35" s="523"/>
      <c r="W35" s="3342"/>
      <c r="X35" s="3342"/>
      <c r="Y35" s="3342"/>
      <c r="Z35" s="3342"/>
      <c r="AA35" s="3342"/>
      <c r="AB35" s="3342"/>
      <c r="AC35" s="3342"/>
      <c r="AD35" s="3342"/>
      <c r="AE35" s="3342"/>
      <c r="AF35" s="3342"/>
    </row>
    <row r="36" spans="1:32" ht="13.5" customHeight="1" thickTop="1">
      <c r="A36" s="1574" t="s">
        <v>575</v>
      </c>
      <c r="B36" s="348"/>
      <c r="C36" s="380"/>
      <c r="D36" s="1571"/>
      <c r="E36" s="1572">
        <v>0.15077083357405516</v>
      </c>
      <c r="F36" s="1572"/>
      <c r="G36" s="1304"/>
      <c r="I36" s="409">
        <v>120</v>
      </c>
      <c r="W36" s="3342"/>
      <c r="X36" s="3342"/>
      <c r="Y36" s="3342"/>
      <c r="Z36" s="3342"/>
      <c r="AA36" s="3342"/>
      <c r="AB36" s="3342"/>
      <c r="AC36" s="3342"/>
      <c r="AD36" s="3342"/>
      <c r="AE36" s="3342"/>
      <c r="AF36" s="3342"/>
    </row>
    <row r="37" spans="1:32" ht="13.5" customHeight="1">
      <c r="A37" s="113" t="s">
        <v>880</v>
      </c>
      <c r="C37" s="147"/>
      <c r="D37" s="940"/>
      <c r="E37" s="939">
        <v>0.33636067438799133</v>
      </c>
      <c r="F37" s="424"/>
      <c r="G37" s="941"/>
      <c r="H37" s="402"/>
      <c r="I37" s="402">
        <v>120</v>
      </c>
      <c r="K37" s="26"/>
      <c r="W37" s="3342"/>
      <c r="X37" s="3342"/>
      <c r="Y37" s="3342"/>
      <c r="Z37" s="3342"/>
      <c r="AA37" s="3342"/>
      <c r="AB37" s="3342"/>
      <c r="AC37" s="3342"/>
      <c r="AD37" s="3342"/>
      <c r="AE37" s="3342"/>
      <c r="AF37" s="3342"/>
    </row>
    <row r="38" spans="1:32" ht="13.5" customHeight="1">
      <c r="A38" s="113" t="s">
        <v>492</v>
      </c>
      <c r="C38" s="147"/>
      <c r="D38" s="940"/>
      <c r="E38" s="424"/>
      <c r="F38" s="424"/>
      <c r="G38" s="941"/>
      <c r="H38" s="402"/>
      <c r="I38" s="402"/>
      <c r="W38" s="3342"/>
      <c r="X38" s="3342"/>
      <c r="Y38" s="3342"/>
      <c r="Z38" s="3342"/>
      <c r="AA38" s="3342"/>
      <c r="AB38" s="3342"/>
      <c r="AC38" s="3342"/>
      <c r="AD38" s="3342"/>
      <c r="AE38" s="3342"/>
      <c r="AF38" s="3342"/>
    </row>
    <row r="39" spans="1:32" ht="13.5" customHeight="1">
      <c r="A39" s="113" t="s">
        <v>495</v>
      </c>
      <c r="C39" s="147"/>
      <c r="D39" s="940"/>
      <c r="E39" s="424"/>
      <c r="F39" s="424"/>
      <c r="G39" s="941"/>
      <c r="H39" s="402"/>
      <c r="I39" s="402"/>
      <c r="O39" s="3342"/>
      <c r="W39" s="3342"/>
      <c r="X39" s="3342"/>
      <c r="Y39" s="3342"/>
      <c r="Z39" s="3342"/>
      <c r="AA39" s="3342"/>
      <c r="AB39" s="3342"/>
      <c r="AC39" s="3342"/>
      <c r="AD39" s="3342"/>
      <c r="AE39" s="3342"/>
      <c r="AF39" s="3342"/>
    </row>
    <row r="40" spans="1:32" ht="13.5" customHeight="1" thickBot="1">
      <c r="A40" s="381" t="s">
        <v>493</v>
      </c>
      <c r="B40" s="13"/>
      <c r="C40" s="168"/>
      <c r="D40" s="1165"/>
      <c r="E40" s="942"/>
      <c r="F40" s="942"/>
      <c r="G40" s="943"/>
      <c r="H40" s="942"/>
      <c r="I40" s="403"/>
      <c r="J40" s="593"/>
      <c r="K40" s="593"/>
      <c r="L40" s="593"/>
      <c r="M40" s="3342"/>
      <c r="N40" s="3342"/>
      <c r="O40" s="3342"/>
      <c r="P40" s="3342"/>
      <c r="W40" s="3342"/>
      <c r="X40" s="3342"/>
      <c r="Y40" s="3342"/>
      <c r="Z40" s="3342"/>
      <c r="AA40" s="3342"/>
      <c r="AB40" s="3342"/>
      <c r="AC40" s="3342"/>
      <c r="AD40" s="3342"/>
      <c r="AE40" s="3342"/>
      <c r="AF40" s="3342"/>
    </row>
    <row r="41" spans="1:32" ht="13.5" customHeight="1" thickTop="1">
      <c r="M41" s="3342"/>
      <c r="N41" s="3342"/>
      <c r="O41" s="3342"/>
      <c r="P41" s="3342"/>
      <c r="W41" s="3342"/>
      <c r="X41" s="3342"/>
      <c r="Y41" s="3342"/>
      <c r="Z41" s="3342"/>
      <c r="AA41" s="3342"/>
      <c r="AB41" s="3342"/>
      <c r="AC41" s="3342"/>
      <c r="AD41" s="3342"/>
      <c r="AE41" s="3342"/>
      <c r="AF41" s="3342"/>
    </row>
    <row r="42" spans="1:32" ht="13.5" customHeight="1">
      <c r="AA42" s="3342"/>
      <c r="AB42" s="3342"/>
      <c r="AC42" s="3342"/>
      <c r="AD42" s="3342"/>
      <c r="AE42" s="3342"/>
      <c r="AF42" s="3342"/>
    </row>
    <row r="43" spans="1:32" ht="13.5" customHeight="1" thickBot="1">
      <c r="AA43" s="3342"/>
      <c r="AB43" s="3342"/>
      <c r="AC43" s="3342"/>
      <c r="AD43" s="3342"/>
      <c r="AE43" s="3342"/>
      <c r="AF43" s="3342"/>
    </row>
    <row r="44" spans="1:32" ht="13.5" customHeight="1" thickTop="1">
      <c r="A44" s="3467" t="s">
        <v>2431</v>
      </c>
      <c r="B44" s="680" t="s">
        <v>2414</v>
      </c>
      <c r="C44" s="224"/>
      <c r="D44" s="224"/>
      <c r="E44" s="462"/>
      <c r="F44" s="462"/>
      <c r="G44" s="462"/>
      <c r="H44" s="680"/>
      <c r="I44" s="224"/>
      <c r="J44" s="462"/>
      <c r="K44" s="2619"/>
      <c r="L44" s="3467" t="s">
        <v>2432</v>
      </c>
      <c r="M44" s="680" t="s">
        <v>2401</v>
      </c>
      <c r="N44" s="224"/>
      <c r="O44" s="224"/>
      <c r="P44" s="462"/>
      <c r="Q44" s="462"/>
      <c r="R44" s="462"/>
      <c r="S44" s="680"/>
      <c r="T44" s="224"/>
      <c r="U44" s="462"/>
      <c r="V44" s="2619"/>
      <c r="W44" s="3434" t="s">
        <v>2433</v>
      </c>
      <c r="X44" s="680" t="s">
        <v>2434</v>
      </c>
      <c r="Y44" s="462"/>
      <c r="Z44" s="2619"/>
      <c r="AA44" s="2619"/>
      <c r="AB44" s="2619"/>
      <c r="AC44" s="3342"/>
      <c r="AD44" s="3342"/>
      <c r="AE44" s="3342"/>
      <c r="AF44" s="3342"/>
    </row>
    <row r="45" spans="1:32" ht="13.5" customHeight="1" thickBot="1">
      <c r="A45" s="836"/>
      <c r="B45" s="526" t="s">
        <v>2400</v>
      </c>
      <c r="C45" s="227"/>
      <c r="D45" s="227"/>
      <c r="E45" s="523"/>
      <c r="F45" s="523"/>
      <c r="G45" s="523"/>
      <c r="H45" s="526"/>
      <c r="I45" s="227"/>
      <c r="J45" s="523"/>
      <c r="K45" s="2619"/>
      <c r="L45" s="836"/>
      <c r="M45" s="526" t="s">
        <v>2400</v>
      </c>
      <c r="N45" s="227"/>
      <c r="O45" s="227"/>
      <c r="P45" s="523"/>
      <c r="Q45" s="523"/>
      <c r="R45" s="523"/>
      <c r="S45" s="526"/>
      <c r="T45" s="227"/>
      <c r="U45" s="523"/>
      <c r="V45" s="2619"/>
      <c r="W45" s="836"/>
      <c r="X45" s="526" t="s">
        <v>2435</v>
      </c>
      <c r="Y45" s="523"/>
      <c r="Z45" s="2619"/>
      <c r="AA45" s="2619"/>
      <c r="AB45" s="2619"/>
      <c r="AC45" s="3342"/>
      <c r="AD45" s="3342"/>
      <c r="AE45" s="3342"/>
      <c r="AF45" s="3342"/>
    </row>
    <row r="46" spans="1:32" ht="13.5" customHeight="1" thickTop="1" thickBot="1">
      <c r="A46" s="2811"/>
      <c r="B46" s="3720" t="s">
        <v>1399</v>
      </c>
      <c r="C46" s="3721"/>
      <c r="D46" s="3721"/>
      <c r="E46" s="3721"/>
      <c r="F46" s="3721"/>
      <c r="G46" s="3721"/>
      <c r="H46" s="3722"/>
      <c r="I46" s="414" t="s">
        <v>2399</v>
      </c>
      <c r="J46" s="414" t="s">
        <v>2398</v>
      </c>
      <c r="K46" s="2619"/>
      <c r="L46" s="2811"/>
      <c r="M46" s="3720" t="s">
        <v>1399</v>
      </c>
      <c r="N46" s="3721"/>
      <c r="O46" s="3721"/>
      <c r="P46" s="3721"/>
      <c r="Q46" s="3721"/>
      <c r="R46" s="3721"/>
      <c r="S46" s="3722"/>
      <c r="T46" s="414" t="s">
        <v>2399</v>
      </c>
      <c r="U46" s="414" t="s">
        <v>2398</v>
      </c>
      <c r="V46" s="2619"/>
      <c r="W46" s="414"/>
      <c r="X46" s="414" t="s">
        <v>2409</v>
      </c>
      <c r="Y46" s="414" t="s">
        <v>2177</v>
      </c>
      <c r="Z46" s="2619"/>
      <c r="AA46" s="2619"/>
      <c r="AB46" s="2619"/>
      <c r="AC46" s="3342"/>
      <c r="AD46" s="3342"/>
      <c r="AE46" s="3342"/>
      <c r="AF46" s="3342"/>
    </row>
    <row r="47" spans="1:32" ht="13.5" customHeight="1" thickTop="1" thickBot="1">
      <c r="A47" s="3430" t="s">
        <v>568</v>
      </c>
      <c r="B47" s="414" t="s">
        <v>569</v>
      </c>
      <c r="C47" s="414" t="s">
        <v>570</v>
      </c>
      <c r="D47" s="414" t="s">
        <v>571</v>
      </c>
      <c r="E47" s="414" t="s">
        <v>572</v>
      </c>
      <c r="F47" s="414" t="s">
        <v>2395</v>
      </c>
      <c r="G47" s="414" t="s">
        <v>2396</v>
      </c>
      <c r="H47" s="414" t="s">
        <v>2397</v>
      </c>
      <c r="I47" s="3719" t="s">
        <v>1698</v>
      </c>
      <c r="J47" s="3703"/>
      <c r="K47" s="2619"/>
      <c r="L47" s="3430" t="s">
        <v>568</v>
      </c>
      <c r="M47" s="414" t="s">
        <v>569</v>
      </c>
      <c r="N47" s="414" t="s">
        <v>570</v>
      </c>
      <c r="O47" s="414" t="s">
        <v>571</v>
      </c>
      <c r="P47" s="414" t="s">
        <v>572</v>
      </c>
      <c r="Q47" s="414" t="s">
        <v>2395</v>
      </c>
      <c r="R47" s="414" t="s">
        <v>2396</v>
      </c>
      <c r="S47" s="414" t="s">
        <v>2397</v>
      </c>
      <c r="T47" s="3719" t="s">
        <v>1698</v>
      </c>
      <c r="U47" s="3703"/>
      <c r="V47" s="2619"/>
      <c r="W47" s="3425" t="s">
        <v>2410</v>
      </c>
      <c r="X47" s="3431">
        <v>8.1000000000000003E-2</v>
      </c>
      <c r="Y47" s="3431" t="s">
        <v>2021</v>
      </c>
      <c r="Z47" s="2619"/>
      <c r="AA47" s="2619"/>
      <c r="AB47" s="2619"/>
      <c r="AC47" s="3342"/>
      <c r="AE47" s="3342"/>
      <c r="AF47" s="3342"/>
    </row>
    <row r="48" spans="1:32" ht="13.5" customHeight="1" thickTop="1">
      <c r="A48" s="3425">
        <v>2015</v>
      </c>
      <c r="B48" s="3427">
        <v>3.49805498812457E-3</v>
      </c>
      <c r="C48" s="3427">
        <v>7.7743483527653405E-4</v>
      </c>
      <c r="D48" s="3427">
        <v>9.6145978207217605E-6</v>
      </c>
      <c r="E48" s="3427">
        <v>-4.3993369304548699E-7</v>
      </c>
      <c r="F48" s="3427">
        <v>9.0084105620552902E-9</v>
      </c>
      <c r="G48" s="3427">
        <v>-9.0160326700270902E-11</v>
      </c>
      <c r="H48" s="3427">
        <v>3.5120510311104898E-13</v>
      </c>
      <c r="I48" s="402">
        <v>10</v>
      </c>
      <c r="J48" s="402">
        <v>130</v>
      </c>
      <c r="K48" s="2619"/>
      <c r="L48" s="3425">
        <v>2015</v>
      </c>
      <c r="M48" s="3427">
        <v>-2.75192545432511E-2</v>
      </c>
      <c r="N48" s="3427">
        <v>0.13346473099619099</v>
      </c>
      <c r="O48" s="3427">
        <v>-1.2219517890502199E-3</v>
      </c>
      <c r="P48" s="3427">
        <v>-1.0649575670486801E-5</v>
      </c>
      <c r="Q48" s="3427">
        <v>4.7477759586424998E-7</v>
      </c>
      <c r="R48" s="3427">
        <v>-4.3698612588158098E-9</v>
      </c>
      <c r="S48" s="3427">
        <v>1.40096506941682E-11</v>
      </c>
      <c r="T48" s="402">
        <v>10</v>
      </c>
      <c r="U48" s="402">
        <v>130</v>
      </c>
      <c r="V48" s="2619"/>
      <c r="W48" s="3425" t="s">
        <v>2411</v>
      </c>
      <c r="X48" s="3431">
        <v>0.36599999999999999</v>
      </c>
      <c r="Y48" s="3431">
        <v>3.4000000000000002E-2</v>
      </c>
      <c r="Z48" s="2619"/>
      <c r="AA48" s="2619"/>
      <c r="AB48" s="2619"/>
    </row>
    <row r="49" spans="1:30" ht="13.5" customHeight="1">
      <c r="A49" s="3425">
        <v>2020</v>
      </c>
      <c r="B49" s="3428">
        <v>2.3790698801005902E-3</v>
      </c>
      <c r="C49" s="3428">
        <v>6.2231577319743004E-4</v>
      </c>
      <c r="D49" s="3428">
        <v>5.75808913362796E-6</v>
      </c>
      <c r="E49" s="3428">
        <v>-3.3866354067131402E-7</v>
      </c>
      <c r="F49" s="3428">
        <v>6.5654696056210996E-9</v>
      </c>
      <c r="G49" s="3428">
        <v>-6.2935358467106902E-11</v>
      </c>
      <c r="H49" s="3428">
        <v>2.4829119098315999E-13</v>
      </c>
      <c r="I49" s="1648">
        <v>10</v>
      </c>
      <c r="J49" s="1648">
        <v>130</v>
      </c>
      <c r="K49" s="2619"/>
      <c r="L49" s="3425">
        <v>2020</v>
      </c>
      <c r="M49" s="3428">
        <v>1.44526759397721E-2</v>
      </c>
      <c r="N49" s="3428">
        <v>9.3061728383802597E-2</v>
      </c>
      <c r="O49" s="3428">
        <v>-1.2240426881247001E-3</v>
      </c>
      <c r="P49" s="3428">
        <v>1.02637242111328E-5</v>
      </c>
      <c r="Q49" s="3428">
        <v>2.5307388473950399E-9</v>
      </c>
      <c r="R49" s="3428">
        <v>-4.06549342407426E-10</v>
      </c>
      <c r="S49" s="3428">
        <v>1.7108796727140099E-12</v>
      </c>
      <c r="T49" s="1648">
        <v>10</v>
      </c>
      <c r="U49" s="1648">
        <v>130</v>
      </c>
      <c r="V49" s="2619"/>
      <c r="W49" s="3425" t="s">
        <v>2412</v>
      </c>
      <c r="X49" s="3431">
        <v>0.124</v>
      </c>
      <c r="Y49" s="3431" t="s">
        <v>2021</v>
      </c>
      <c r="Z49" s="2619"/>
      <c r="AA49" s="2619"/>
      <c r="AB49" s="2619"/>
    </row>
    <row r="50" spans="1:30" ht="13.5" customHeight="1" thickBot="1">
      <c r="A50" s="3425">
        <v>2025</v>
      </c>
      <c r="B50" s="3428">
        <v>1.8728664150767199E-3</v>
      </c>
      <c r="C50" s="3428">
        <v>7.3068519555765103E-4</v>
      </c>
      <c r="D50" s="3428">
        <v>4.2050087783048597E-6</v>
      </c>
      <c r="E50" s="3428">
        <v>-3.1676940761949302E-7</v>
      </c>
      <c r="F50" s="3428">
        <v>5.8454637119260503E-9</v>
      </c>
      <c r="G50" s="3428">
        <v>-5.343760679746E-11</v>
      </c>
      <c r="H50" s="3428">
        <v>2.1158310445189501E-13</v>
      </c>
      <c r="I50" s="402">
        <v>10</v>
      </c>
      <c r="J50" s="402">
        <v>130</v>
      </c>
      <c r="K50" s="2619"/>
      <c r="L50" s="3425">
        <v>2025</v>
      </c>
      <c r="M50" s="3428">
        <v>1.9012890653919999E-2</v>
      </c>
      <c r="N50" s="3428">
        <v>8.7126949883114799E-2</v>
      </c>
      <c r="O50" s="3428">
        <v>-1.27847465795829E-3</v>
      </c>
      <c r="P50" s="3428">
        <v>1.71941537345734E-5</v>
      </c>
      <c r="Q50" s="3428">
        <v>-1.28595456579676E-7</v>
      </c>
      <c r="R50" s="3428">
        <v>5.9454120412796199E-10</v>
      </c>
      <c r="S50" s="3428">
        <v>-1.1625952850603201E-12</v>
      </c>
      <c r="T50" s="402">
        <v>10</v>
      </c>
      <c r="U50" s="402">
        <v>130</v>
      </c>
      <c r="V50" s="2619"/>
      <c r="W50" s="3426" t="s">
        <v>2413</v>
      </c>
      <c r="X50" s="3432">
        <v>0.65400000000000003</v>
      </c>
      <c r="Y50" s="3432">
        <v>3.6999999999999998E-2</v>
      </c>
      <c r="Z50" s="2619"/>
      <c r="AA50" s="2619"/>
      <c r="AB50" s="2619"/>
    </row>
    <row r="51" spans="1:30" ht="13.5" customHeight="1" thickTop="1" thickBot="1">
      <c r="A51" s="3425">
        <v>2030</v>
      </c>
      <c r="B51" s="3428">
        <v>1.4671757340891001E-3</v>
      </c>
      <c r="C51" s="3428">
        <v>7.8165580826272695E-4</v>
      </c>
      <c r="D51" s="3428">
        <v>3.1582269819569901E-6</v>
      </c>
      <c r="E51" s="3428">
        <v>-2.8940909906115701E-7</v>
      </c>
      <c r="F51" s="3428">
        <v>5.1598265542293502E-9</v>
      </c>
      <c r="G51" s="3428">
        <v>-4.5431820247312801E-11</v>
      </c>
      <c r="H51" s="3428">
        <v>1.79832643402635E-13</v>
      </c>
      <c r="I51" s="402">
        <v>10</v>
      </c>
      <c r="J51" s="402">
        <v>130</v>
      </c>
      <c r="K51" s="2619"/>
      <c r="L51" s="3425">
        <v>2030</v>
      </c>
      <c r="M51" s="3428">
        <v>1.6552343465818398E-2</v>
      </c>
      <c r="N51" s="3428">
        <v>8.8048273363696805E-2</v>
      </c>
      <c r="O51" s="3428">
        <v>-1.30898364917632E-3</v>
      </c>
      <c r="P51" s="3428">
        <v>1.8108594971755901E-5</v>
      </c>
      <c r="Q51" s="3428">
        <v>-1.4274768369976501E-7</v>
      </c>
      <c r="R51" s="3428">
        <v>6.9286529328185202E-10</v>
      </c>
      <c r="S51" s="3428">
        <v>-1.42287115090939E-12</v>
      </c>
      <c r="T51" s="402">
        <v>10</v>
      </c>
      <c r="U51" s="402">
        <v>130</v>
      </c>
      <c r="V51" s="2619"/>
      <c r="W51" s="2619"/>
      <c r="X51" s="2619"/>
      <c r="Y51" s="2619"/>
      <c r="Z51" s="2619"/>
      <c r="AA51" s="2619"/>
      <c r="AB51" s="2619"/>
    </row>
    <row r="52" spans="1:30" ht="13.5" customHeight="1" thickTop="1" thickBot="1">
      <c r="A52" s="3426">
        <v>2035</v>
      </c>
      <c r="B52" s="3429">
        <v>1.38804479700541E-3</v>
      </c>
      <c r="C52" s="3429">
        <v>7.9045137187353301E-4</v>
      </c>
      <c r="D52" s="3429">
        <v>2.9805442836197502E-6</v>
      </c>
      <c r="E52" s="3429">
        <v>-2.8469451137292901E-7</v>
      </c>
      <c r="F52" s="3429">
        <v>5.0400158439934702E-9</v>
      </c>
      <c r="G52" s="3429">
        <v>-4.4003831415734499E-11</v>
      </c>
      <c r="H52" s="3429">
        <v>1.74032326077764E-13</v>
      </c>
      <c r="I52" s="403">
        <v>10</v>
      </c>
      <c r="J52" s="403">
        <v>130</v>
      </c>
      <c r="K52" s="2619"/>
      <c r="L52" s="3426">
        <v>2035</v>
      </c>
      <c r="M52" s="3429">
        <v>1.5820274429745901E-2</v>
      </c>
      <c r="N52" s="3429">
        <v>8.8398260635171796E-2</v>
      </c>
      <c r="O52" s="3429">
        <v>-1.3165124658178001E-3</v>
      </c>
      <c r="P52" s="3429">
        <v>1.8198597221632399E-5</v>
      </c>
      <c r="Q52" s="3429">
        <v>-1.43564091781183E-7</v>
      </c>
      <c r="R52" s="3429">
        <v>6.9713353246075195E-10</v>
      </c>
      <c r="S52" s="3429">
        <v>-1.4322756087486199E-12</v>
      </c>
      <c r="T52" s="403">
        <v>10</v>
      </c>
      <c r="U52" s="403">
        <v>130</v>
      </c>
      <c r="V52" s="2619"/>
      <c r="W52" s="3434" t="s">
        <v>2437</v>
      </c>
      <c r="X52" s="680" t="s">
        <v>2439</v>
      </c>
      <c r="Y52" s="462"/>
      <c r="Z52" s="1577"/>
      <c r="AA52" s="2619"/>
      <c r="AB52" s="2619"/>
    </row>
    <row r="53" spans="1:30" ht="13.5" customHeight="1" thickTop="1" thickBot="1">
      <c r="A53" s="2619"/>
      <c r="B53" s="594"/>
      <c r="C53" s="14"/>
      <c r="D53" s="14"/>
      <c r="E53" s="14"/>
      <c r="F53" s="14"/>
      <c r="G53" s="2619"/>
      <c r="H53" s="2619"/>
      <c r="I53" s="2619"/>
      <c r="J53" s="2619"/>
      <c r="K53" s="2619"/>
      <c r="L53" s="2619"/>
      <c r="M53" s="594"/>
      <c r="N53" s="14"/>
      <c r="O53" s="14"/>
      <c r="P53" s="14"/>
      <c r="Q53" s="14"/>
      <c r="R53" s="2619"/>
      <c r="S53" s="2619"/>
      <c r="T53" s="2619"/>
      <c r="U53" s="2619"/>
      <c r="V53" s="2619"/>
      <c r="W53" s="836"/>
      <c r="X53" s="526" t="s">
        <v>2436</v>
      </c>
      <c r="Y53" s="523"/>
      <c r="Z53" s="3433"/>
      <c r="AA53" s="2619"/>
      <c r="AB53" s="2619"/>
      <c r="AC53" s="3342"/>
      <c r="AD53" s="3342"/>
    </row>
    <row r="54" spans="1:30" ht="13.5" customHeight="1" thickTop="1" thickBot="1">
      <c r="A54" s="3467" t="s">
        <v>2431</v>
      </c>
      <c r="B54" s="680" t="s">
        <v>2415</v>
      </c>
      <c r="C54" s="224"/>
      <c r="D54" s="224"/>
      <c r="E54" s="462"/>
      <c r="F54" s="462"/>
      <c r="G54" s="462"/>
      <c r="H54" s="680"/>
      <c r="I54" s="224"/>
      <c r="J54" s="462"/>
      <c r="K54" s="2619"/>
      <c r="L54" s="3467" t="s">
        <v>2432</v>
      </c>
      <c r="M54" s="680" t="s">
        <v>2402</v>
      </c>
      <c r="N54" s="224"/>
      <c r="O54" s="224"/>
      <c r="P54" s="462"/>
      <c r="Q54" s="462"/>
      <c r="R54" s="462"/>
      <c r="S54" s="680"/>
      <c r="T54" s="224"/>
      <c r="U54" s="462"/>
      <c r="V54" s="2619"/>
      <c r="W54" s="414"/>
      <c r="X54" s="414" t="s">
        <v>2426</v>
      </c>
      <c r="Y54" s="414" t="s">
        <v>2427</v>
      </c>
      <c r="Z54" s="414" t="s">
        <v>2428</v>
      </c>
      <c r="AA54" s="2619"/>
      <c r="AB54" s="2619"/>
      <c r="AD54" s="3342"/>
    </row>
    <row r="55" spans="1:30" ht="13.5" customHeight="1" thickTop="1" thickBot="1">
      <c r="A55" s="836"/>
      <c r="B55" s="526" t="s">
        <v>2400</v>
      </c>
      <c r="C55" s="227"/>
      <c r="D55" s="227"/>
      <c r="E55" s="523"/>
      <c r="F55" s="523"/>
      <c r="G55" s="523"/>
      <c r="H55" s="526"/>
      <c r="I55" s="227"/>
      <c r="J55" s="523"/>
      <c r="K55" s="2619"/>
      <c r="L55" s="836"/>
      <c r="M55" s="526" t="s">
        <v>2400</v>
      </c>
      <c r="N55" s="227"/>
      <c r="O55" s="227"/>
      <c r="P55" s="523"/>
      <c r="Q55" s="523"/>
      <c r="R55" s="523"/>
      <c r="S55" s="526"/>
      <c r="T55" s="227"/>
      <c r="U55" s="523"/>
      <c r="V55" s="2619"/>
      <c r="W55" s="3438" t="s">
        <v>879</v>
      </c>
      <c r="X55" s="3435">
        <v>7.4999999999999997E-3</v>
      </c>
      <c r="Y55" s="3435">
        <v>7.3000000000000001E-3</v>
      </c>
      <c r="Z55" s="3435">
        <v>7.0000000000000001E-3</v>
      </c>
      <c r="AA55" s="2619"/>
      <c r="AB55" s="2619"/>
      <c r="AC55" s="3342"/>
      <c r="AD55" s="3342"/>
    </row>
    <row r="56" spans="1:30" ht="13.5" customHeight="1" thickTop="1" thickBot="1">
      <c r="A56" s="2811"/>
      <c r="B56" s="3720" t="s">
        <v>1399</v>
      </c>
      <c r="C56" s="3721"/>
      <c r="D56" s="3721"/>
      <c r="E56" s="3721"/>
      <c r="F56" s="3721"/>
      <c r="G56" s="3721"/>
      <c r="H56" s="3722"/>
      <c r="I56" s="414" t="s">
        <v>2399</v>
      </c>
      <c r="J56" s="414" t="s">
        <v>2398</v>
      </c>
      <c r="K56" s="2619"/>
      <c r="L56" s="2811"/>
      <c r="M56" s="3720" t="s">
        <v>1399</v>
      </c>
      <c r="N56" s="3721"/>
      <c r="O56" s="3721"/>
      <c r="P56" s="3721"/>
      <c r="Q56" s="3721"/>
      <c r="R56" s="3721"/>
      <c r="S56" s="3722"/>
      <c r="T56" s="414" t="s">
        <v>2399</v>
      </c>
      <c r="U56" s="414" t="s">
        <v>2398</v>
      </c>
      <c r="V56" s="2619"/>
      <c r="W56" s="3439" t="s">
        <v>878</v>
      </c>
      <c r="X56" s="3436">
        <v>7.4999999999999997E-3</v>
      </c>
      <c r="Y56" s="3436">
        <v>1.14E-2</v>
      </c>
      <c r="Z56" s="3436">
        <v>1.0500000000000001E-2</v>
      </c>
      <c r="AA56" s="2619"/>
      <c r="AB56" s="2619"/>
      <c r="AC56" s="3342"/>
      <c r="AD56" s="3342"/>
    </row>
    <row r="57" spans="1:30" ht="13.5" customHeight="1" thickTop="1" thickBot="1">
      <c r="A57" s="3430" t="s">
        <v>568</v>
      </c>
      <c r="B57" s="414" t="s">
        <v>569</v>
      </c>
      <c r="C57" s="414" t="s">
        <v>570</v>
      </c>
      <c r="D57" s="414" t="s">
        <v>571</v>
      </c>
      <c r="E57" s="414" t="s">
        <v>572</v>
      </c>
      <c r="F57" s="414" t="s">
        <v>2395</v>
      </c>
      <c r="G57" s="414" t="s">
        <v>2396</v>
      </c>
      <c r="H57" s="414" t="s">
        <v>2397</v>
      </c>
      <c r="I57" s="3719" t="s">
        <v>1698</v>
      </c>
      <c r="J57" s="3703"/>
      <c r="K57" s="2619"/>
      <c r="L57" s="3430" t="s">
        <v>568</v>
      </c>
      <c r="M57" s="414" t="s">
        <v>569</v>
      </c>
      <c r="N57" s="414" t="s">
        <v>570</v>
      </c>
      <c r="O57" s="414" t="s">
        <v>571</v>
      </c>
      <c r="P57" s="414" t="s">
        <v>572</v>
      </c>
      <c r="Q57" s="414" t="s">
        <v>2395</v>
      </c>
      <c r="R57" s="414" t="s">
        <v>2396</v>
      </c>
      <c r="S57" s="414" t="s">
        <v>2397</v>
      </c>
      <c r="T57" s="3719" t="s">
        <v>1698</v>
      </c>
      <c r="U57" s="3703"/>
      <c r="V57" s="2619"/>
      <c r="W57" s="3439" t="s">
        <v>2429</v>
      </c>
      <c r="X57" s="3436">
        <v>3.7999999999999999E-2</v>
      </c>
      <c r="Y57" s="3436">
        <v>2.6600000000000002E-2</v>
      </c>
      <c r="Z57" s="3436">
        <v>2.18E-2</v>
      </c>
      <c r="AA57" s="2619"/>
      <c r="AB57" s="2619"/>
      <c r="AC57" s="3342"/>
      <c r="AD57" s="3342"/>
    </row>
    <row r="58" spans="1:30" ht="13.5" customHeight="1" thickTop="1">
      <c r="A58" s="3425">
        <v>2015</v>
      </c>
      <c r="B58" s="3427">
        <v>1.20401533182911E-2</v>
      </c>
      <c r="C58" s="3427">
        <v>1.6028620530593202E-2</v>
      </c>
      <c r="D58" s="3427">
        <v>-2.36830444553702E-4</v>
      </c>
      <c r="E58" s="3427">
        <v>2.2260610500099701E-6</v>
      </c>
      <c r="F58" s="3427">
        <v>-7.84992142890768E-9</v>
      </c>
      <c r="G58" s="3427">
        <v>4.1967499044362603E-11</v>
      </c>
      <c r="H58" s="3427">
        <v>-9.0995460023675395E-14</v>
      </c>
      <c r="I58" s="402">
        <v>10</v>
      </c>
      <c r="J58" s="402">
        <v>130</v>
      </c>
      <c r="K58" s="2619"/>
      <c r="L58" s="3425">
        <v>2015</v>
      </c>
      <c r="M58" s="3427">
        <v>1.84399251721172</v>
      </c>
      <c r="N58" s="3427">
        <v>0.93317395754800103</v>
      </c>
      <c r="O58" s="3427">
        <v>-1.4067924869423E-2</v>
      </c>
      <c r="P58" s="3427">
        <v>9.5366909612947499E-5</v>
      </c>
      <c r="Q58" s="3427">
        <v>4.8822875968462896E-7</v>
      </c>
      <c r="R58" s="3427">
        <v>-8.1438351309097199E-9</v>
      </c>
      <c r="S58" s="3427">
        <v>3.94983009047297E-11</v>
      </c>
      <c r="T58" s="402">
        <v>10</v>
      </c>
      <c r="U58" s="402">
        <v>120</v>
      </c>
      <c r="V58" s="2619"/>
      <c r="W58" s="3439" t="s">
        <v>2424</v>
      </c>
      <c r="X58" s="3436">
        <v>3.7999999999999999E-2</v>
      </c>
      <c r="Y58" s="3436">
        <v>1.9399999999999997E-2</v>
      </c>
      <c r="Z58" s="3436">
        <v>4.1399999999999999E-2</v>
      </c>
      <c r="AA58" s="2619"/>
      <c r="AB58" s="2619"/>
      <c r="AC58" s="3342"/>
      <c r="AD58" s="3342"/>
    </row>
    <row r="59" spans="1:30" ht="13.5" customHeight="1" thickBot="1">
      <c r="A59" s="3425">
        <v>2020</v>
      </c>
      <c r="B59" s="3428">
        <v>1.52400479012134E-2</v>
      </c>
      <c r="C59" s="3428">
        <v>6.6268929846418096E-3</v>
      </c>
      <c r="D59" s="3428">
        <v>-1.19539042976408E-4</v>
      </c>
      <c r="E59" s="3428">
        <v>1.61873010423777E-6</v>
      </c>
      <c r="F59" s="3428">
        <v>-1.32113925215569E-8</v>
      </c>
      <c r="G59" s="3428">
        <v>7.2165393739307902E-11</v>
      </c>
      <c r="H59" s="3428">
        <v>-1.5869453373059699E-13</v>
      </c>
      <c r="I59" s="1648">
        <v>10</v>
      </c>
      <c r="J59" s="1648">
        <v>130</v>
      </c>
      <c r="K59" s="2619"/>
      <c r="L59" s="3425">
        <v>2020</v>
      </c>
      <c r="M59" s="3428">
        <v>1.4491746539730399</v>
      </c>
      <c r="N59" s="3428">
        <v>0.72381515139210995</v>
      </c>
      <c r="O59" s="3428">
        <v>-1.06833269435757E-2</v>
      </c>
      <c r="P59" s="3428">
        <v>7.4704794855321504E-5</v>
      </c>
      <c r="Q59" s="3428">
        <v>2.4433353190272601E-7</v>
      </c>
      <c r="R59" s="3428">
        <v>-4.94166379337865E-9</v>
      </c>
      <c r="S59" s="3428">
        <v>2.6079943180382299E-11</v>
      </c>
      <c r="T59" s="1648">
        <v>10</v>
      </c>
      <c r="U59" s="1648">
        <v>120</v>
      </c>
      <c r="V59" s="2619"/>
      <c r="W59" s="3440" t="s">
        <v>2425</v>
      </c>
      <c r="X59" s="3437">
        <v>3.0000000000000001E-3</v>
      </c>
      <c r="Y59" s="3437">
        <v>3.3E-3</v>
      </c>
      <c r="Z59" s="3437">
        <v>4.2000000000000006E-3</v>
      </c>
      <c r="AA59" s="2619"/>
      <c r="AB59" s="2619"/>
      <c r="AC59" s="3342"/>
      <c r="AD59" s="3342"/>
    </row>
    <row r="60" spans="1:30" ht="13.5" customHeight="1" thickTop="1" thickBot="1">
      <c r="A60" s="3425">
        <v>2025</v>
      </c>
      <c r="B60" s="3428">
        <v>1.6126308493135001E-2</v>
      </c>
      <c r="C60" s="3428">
        <v>3.6033553510513099E-3</v>
      </c>
      <c r="D60" s="3428">
        <v>-8.8156237833218398E-5</v>
      </c>
      <c r="E60" s="3428">
        <v>1.54086292056819E-6</v>
      </c>
      <c r="F60" s="3428">
        <v>-1.5599286843222899E-8</v>
      </c>
      <c r="G60" s="3428">
        <v>8.5779522008085298E-11</v>
      </c>
      <c r="H60" s="3428">
        <v>-1.8944165073180901E-13</v>
      </c>
      <c r="I60" s="402">
        <v>10</v>
      </c>
      <c r="J60" s="402">
        <v>130</v>
      </c>
      <c r="K60" s="2619"/>
      <c r="L60" s="3425">
        <v>2025</v>
      </c>
      <c r="M60" s="3428">
        <v>1.0591029725007199</v>
      </c>
      <c r="N60" s="3428">
        <v>0.480767927487806</v>
      </c>
      <c r="O60" s="3428">
        <v>-6.91525860129106E-3</v>
      </c>
      <c r="P60" s="3428">
        <v>4.8602738442031298E-5</v>
      </c>
      <c r="Q60" s="3428">
        <v>1.5591740111948001E-7</v>
      </c>
      <c r="R60" s="3428">
        <v>-3.3918490539109399E-9</v>
      </c>
      <c r="S60" s="3428">
        <v>1.8333991802655101E-11</v>
      </c>
      <c r="T60" s="402">
        <v>10</v>
      </c>
      <c r="U60" s="402">
        <v>120</v>
      </c>
      <c r="V60" s="2619"/>
      <c r="W60" s="2619"/>
      <c r="X60" s="2619"/>
      <c r="Y60" s="2619"/>
      <c r="Z60" s="2619"/>
      <c r="AA60" s="2619"/>
      <c r="AB60" s="2619"/>
      <c r="AC60" s="3342"/>
      <c r="AD60" s="3342"/>
    </row>
    <row r="61" spans="1:30" ht="13.5" customHeight="1" thickTop="1">
      <c r="A61" s="3425">
        <v>2030</v>
      </c>
      <c r="B61" s="3428">
        <v>1.5942672543860101E-2</v>
      </c>
      <c r="C61" s="3428">
        <v>3.1525779477261798E-3</v>
      </c>
      <c r="D61" s="3428">
        <v>-8.4904739184514798E-5</v>
      </c>
      <c r="E61" s="3428">
        <v>1.56129477333241E-6</v>
      </c>
      <c r="F61" s="3428">
        <v>-1.62883991389615E-8</v>
      </c>
      <c r="G61" s="3428">
        <v>8.9842765909926394E-11</v>
      </c>
      <c r="H61" s="3428">
        <v>-1.9880113708537099E-13</v>
      </c>
      <c r="I61" s="402">
        <v>10</v>
      </c>
      <c r="J61" s="402">
        <v>130</v>
      </c>
      <c r="K61" s="2619"/>
      <c r="L61" s="3425">
        <v>2030</v>
      </c>
      <c r="M61" s="3428">
        <v>0.81580304726866104</v>
      </c>
      <c r="N61" s="3428">
        <v>0.32607532033347802</v>
      </c>
      <c r="O61" s="3428">
        <v>-4.0777447536817103E-3</v>
      </c>
      <c r="P61" s="3428">
        <v>1.0556885028687599E-5</v>
      </c>
      <c r="Q61" s="3428">
        <v>4.7716587354933998E-7</v>
      </c>
      <c r="R61" s="3428">
        <v>-5.2010212363734401E-9</v>
      </c>
      <c r="S61" s="3428">
        <v>2.1157462364374901E-11</v>
      </c>
      <c r="T61" s="402">
        <v>10</v>
      </c>
      <c r="U61" s="402">
        <v>130</v>
      </c>
      <c r="V61" s="2619"/>
      <c r="W61" s="3434" t="s">
        <v>2438</v>
      </c>
      <c r="X61" s="680" t="s">
        <v>2440</v>
      </c>
      <c r="Y61" s="462"/>
      <c r="Z61" s="1577"/>
      <c r="AA61" s="2619"/>
      <c r="AB61" s="2619"/>
      <c r="AC61" s="3342"/>
      <c r="AD61" s="3342"/>
    </row>
    <row r="62" spans="1:30" ht="13.5" customHeight="1" thickBot="1">
      <c r="A62" s="3426">
        <v>2035</v>
      </c>
      <c r="B62" s="3429">
        <v>1.5883788622696401E-2</v>
      </c>
      <c r="C62" s="3429">
        <v>3.1337391760548599E-3</v>
      </c>
      <c r="D62" s="3429">
        <v>-8.4959604373122496E-5</v>
      </c>
      <c r="E62" s="3429">
        <v>1.56668755269889E-6</v>
      </c>
      <c r="F62" s="3429">
        <v>-1.63704740382274E-8</v>
      </c>
      <c r="G62" s="3429">
        <v>9.0337897286424499E-11</v>
      </c>
      <c r="H62" s="3429">
        <v>-1.99956315949425E-13</v>
      </c>
      <c r="I62" s="403">
        <v>10</v>
      </c>
      <c r="J62" s="403">
        <v>130</v>
      </c>
      <c r="K62" s="2619"/>
      <c r="L62" s="3426">
        <v>2035</v>
      </c>
      <c r="M62" s="3429">
        <v>0.70450742531042698</v>
      </c>
      <c r="N62" s="3429">
        <v>0.28124179751612899</v>
      </c>
      <c r="O62" s="3429">
        <v>-3.5150983408091599E-3</v>
      </c>
      <c r="P62" s="3429">
        <v>9.0701749925101501E-6</v>
      </c>
      <c r="Q62" s="3429">
        <v>4.1206526390114001E-7</v>
      </c>
      <c r="R62" s="3429">
        <v>-4.4914534580188097E-9</v>
      </c>
      <c r="S62" s="3429">
        <v>1.8271020849747301E-11</v>
      </c>
      <c r="T62" s="403">
        <v>10</v>
      </c>
      <c r="U62" s="403">
        <v>130</v>
      </c>
      <c r="V62" s="2619"/>
      <c r="W62" s="836"/>
      <c r="X62" s="526" t="s">
        <v>2436</v>
      </c>
      <c r="Y62" s="523"/>
      <c r="Z62" s="3433"/>
      <c r="AA62" s="2619"/>
      <c r="AB62" s="2619"/>
      <c r="AC62" s="3342"/>
      <c r="AD62" s="3342"/>
    </row>
    <row r="63" spans="1:30" ht="13.5" customHeight="1" thickTop="1" thickBot="1">
      <c r="A63" s="2619"/>
      <c r="B63" s="596"/>
      <c r="C63" s="596"/>
      <c r="D63" s="596"/>
      <c r="E63" s="596"/>
      <c r="F63" s="596"/>
      <c r="G63" s="2619"/>
      <c r="H63" s="2619"/>
      <c r="I63" s="2619"/>
      <c r="J63" s="2619"/>
      <c r="K63" s="2619"/>
      <c r="L63" s="2619"/>
      <c r="M63" s="596"/>
      <c r="N63" s="596"/>
      <c r="O63" s="596"/>
      <c r="P63" s="596"/>
      <c r="Q63" s="596"/>
      <c r="R63" s="2619"/>
      <c r="S63" s="2619"/>
      <c r="T63" s="2619"/>
      <c r="U63" s="2619"/>
      <c r="V63" s="2619"/>
      <c r="W63" s="414"/>
      <c r="X63" s="414" t="s">
        <v>2426</v>
      </c>
      <c r="Y63" s="414" t="s">
        <v>2427</v>
      </c>
      <c r="Z63" s="414" t="s">
        <v>2428</v>
      </c>
      <c r="AA63" s="2619"/>
      <c r="AB63" s="2619"/>
      <c r="AC63" s="3342"/>
      <c r="AD63" s="3342"/>
    </row>
    <row r="64" spans="1:30" ht="13.5" customHeight="1" thickTop="1">
      <c r="A64" s="3467" t="s">
        <v>2431</v>
      </c>
      <c r="B64" s="680" t="s">
        <v>2416</v>
      </c>
      <c r="C64" s="224"/>
      <c r="D64" s="224"/>
      <c r="E64" s="462"/>
      <c r="F64" s="462"/>
      <c r="G64" s="462"/>
      <c r="H64" s="680"/>
      <c r="I64" s="224"/>
      <c r="J64" s="462"/>
      <c r="K64" s="2619"/>
      <c r="L64" s="3467" t="s">
        <v>2432</v>
      </c>
      <c r="M64" s="680" t="s">
        <v>2403</v>
      </c>
      <c r="N64" s="224"/>
      <c r="O64" s="224"/>
      <c r="P64" s="462"/>
      <c r="Q64" s="462"/>
      <c r="R64" s="462"/>
      <c r="S64" s="680"/>
      <c r="T64" s="224"/>
      <c r="U64" s="462"/>
      <c r="V64" s="2619"/>
      <c r="W64" s="3438" t="s">
        <v>879</v>
      </c>
      <c r="X64" s="3435" t="s">
        <v>788</v>
      </c>
      <c r="Y64" s="3435">
        <v>8.7399999999999995E-3</v>
      </c>
      <c r="Z64" s="3435">
        <v>1.1679999999999999E-2</v>
      </c>
      <c r="AA64" s="2619"/>
      <c r="AB64" s="2619"/>
      <c r="AC64" s="3342"/>
      <c r="AD64" s="3342"/>
    </row>
    <row r="65" spans="1:30" ht="13.5" customHeight="1" thickBot="1">
      <c r="A65" s="836"/>
      <c r="B65" s="526" t="s">
        <v>2400</v>
      </c>
      <c r="C65" s="227"/>
      <c r="D65" s="227"/>
      <c r="E65" s="523"/>
      <c r="F65" s="523"/>
      <c r="G65" s="523"/>
      <c r="H65" s="526"/>
      <c r="I65" s="227"/>
      <c r="J65" s="523"/>
      <c r="K65" s="2619"/>
      <c r="L65" s="836"/>
      <c r="M65" s="526" t="s">
        <v>2400</v>
      </c>
      <c r="N65" s="227"/>
      <c r="O65" s="227"/>
      <c r="P65" s="523"/>
      <c r="Q65" s="523"/>
      <c r="R65" s="523"/>
      <c r="S65" s="526"/>
      <c r="T65" s="227"/>
      <c r="U65" s="523"/>
      <c r="V65" s="2619"/>
      <c r="W65" s="3439"/>
      <c r="X65" s="3436" t="s">
        <v>789</v>
      </c>
      <c r="Y65" s="3436">
        <v>6.7999999999999996E-3</v>
      </c>
      <c r="Z65" s="3436">
        <v>5.5300000000000002E-3</v>
      </c>
      <c r="AA65" s="2619"/>
      <c r="AB65" s="2619"/>
      <c r="AC65" s="3342"/>
      <c r="AD65" s="3342"/>
    </row>
    <row r="66" spans="1:30" ht="13.5" customHeight="1" thickTop="1" thickBot="1">
      <c r="A66" s="2811"/>
      <c r="B66" s="3720" t="s">
        <v>1399</v>
      </c>
      <c r="C66" s="3721"/>
      <c r="D66" s="3721"/>
      <c r="E66" s="3721"/>
      <c r="F66" s="3721"/>
      <c r="G66" s="3721"/>
      <c r="H66" s="3722"/>
      <c r="I66" s="414" t="s">
        <v>2399</v>
      </c>
      <c r="J66" s="414" t="s">
        <v>2398</v>
      </c>
      <c r="K66" s="2619"/>
      <c r="L66" s="2811"/>
      <c r="M66" s="3720" t="s">
        <v>1399</v>
      </c>
      <c r="N66" s="3721"/>
      <c r="O66" s="3721"/>
      <c r="P66" s="3721"/>
      <c r="Q66" s="3721"/>
      <c r="R66" s="3721"/>
      <c r="S66" s="3722"/>
      <c r="T66" s="414" t="s">
        <v>2399</v>
      </c>
      <c r="U66" s="414" t="s">
        <v>2398</v>
      </c>
      <c r="V66" s="2619"/>
      <c r="W66" s="3441"/>
      <c r="X66" s="3442" t="s">
        <v>787</v>
      </c>
      <c r="Y66" s="3442">
        <v>5.79E-3</v>
      </c>
      <c r="Z66" s="3442">
        <v>1.3600000000000001E-3</v>
      </c>
      <c r="AA66" s="2619"/>
      <c r="AB66" s="2619"/>
      <c r="AC66" s="3342"/>
      <c r="AD66" s="3342"/>
    </row>
    <row r="67" spans="1:30" ht="13.5" customHeight="1" thickTop="1" thickBot="1">
      <c r="A67" s="3430" t="s">
        <v>568</v>
      </c>
      <c r="B67" s="414" t="s">
        <v>569</v>
      </c>
      <c r="C67" s="414" t="s">
        <v>570</v>
      </c>
      <c r="D67" s="414" t="s">
        <v>571</v>
      </c>
      <c r="E67" s="414" t="s">
        <v>572</v>
      </c>
      <c r="F67" s="414" t="s">
        <v>2395</v>
      </c>
      <c r="G67" s="414" t="s">
        <v>2396</v>
      </c>
      <c r="H67" s="414" t="s">
        <v>2397</v>
      </c>
      <c r="I67" s="3719" t="s">
        <v>1698</v>
      </c>
      <c r="J67" s="3703"/>
      <c r="K67" s="2619"/>
      <c r="L67" s="3430" t="s">
        <v>568</v>
      </c>
      <c r="M67" s="414" t="s">
        <v>569</v>
      </c>
      <c r="N67" s="414" t="s">
        <v>570</v>
      </c>
      <c r="O67" s="414" t="s">
        <v>571</v>
      </c>
      <c r="P67" s="414" t="s">
        <v>572</v>
      </c>
      <c r="Q67" s="414" t="s">
        <v>2395</v>
      </c>
      <c r="R67" s="414" t="s">
        <v>2396</v>
      </c>
      <c r="S67" s="414" t="s">
        <v>2397</v>
      </c>
      <c r="T67" s="3719" t="s">
        <v>1698</v>
      </c>
      <c r="U67" s="3703"/>
      <c r="V67" s="2619"/>
      <c r="W67" s="3443" t="s">
        <v>878</v>
      </c>
      <c r="X67" s="3444" t="s">
        <v>788</v>
      </c>
      <c r="Y67" s="3444">
        <v>1.3800000000000002E-2</v>
      </c>
      <c r="Z67" s="3444">
        <v>1.822E-2</v>
      </c>
      <c r="AA67" s="2619"/>
      <c r="AB67" s="2619"/>
      <c r="AC67" s="3342"/>
      <c r="AD67" s="3342"/>
    </row>
    <row r="68" spans="1:30" ht="13.5" customHeight="1" thickTop="1">
      <c r="A68" s="3425">
        <v>2015</v>
      </c>
      <c r="B68" s="3427">
        <v>9.4189993365766209E-4</v>
      </c>
      <c r="C68" s="3427">
        <v>8.5959911109214368E-4</v>
      </c>
      <c r="D68" s="3427">
        <v>9.9130416899048901E-7</v>
      </c>
      <c r="E68" s="3427">
        <v>7.3742616324653406E-8</v>
      </c>
      <c r="F68" s="3427">
        <v>-3.7298684956102492E-10</v>
      </c>
      <c r="G68" s="3427">
        <v>1.1855287685271241E-12</v>
      </c>
      <c r="H68" s="3427">
        <v>1.2142679229669951E-14</v>
      </c>
      <c r="I68" s="402">
        <v>10</v>
      </c>
      <c r="J68" s="402">
        <v>110</v>
      </c>
      <c r="K68" s="2619"/>
      <c r="L68" s="3425">
        <v>2015</v>
      </c>
      <c r="M68" s="3427">
        <v>-2.25372106533843E-2</v>
      </c>
      <c r="N68" s="3427">
        <v>0.36422653811984201</v>
      </c>
      <c r="O68" s="3427">
        <v>1.0220267083806099E-3</v>
      </c>
      <c r="P68" s="3427">
        <v>-2.11068194147954E-5</v>
      </c>
      <c r="Q68" s="3427">
        <v>5.81550691857675E-7</v>
      </c>
      <c r="R68" s="3427">
        <v>-3.92721578625576E-9</v>
      </c>
      <c r="S68" s="3427">
        <v>8.7764258332600107E-12</v>
      </c>
      <c r="T68" s="402">
        <v>10</v>
      </c>
      <c r="U68" s="402">
        <v>110</v>
      </c>
      <c r="V68" s="2619"/>
      <c r="W68" s="3439"/>
      <c r="X68" s="3436" t="s">
        <v>789</v>
      </c>
      <c r="Y68" s="3436">
        <v>1.074E-2</v>
      </c>
      <c r="Z68" s="3436">
        <v>8.6199999999999992E-3</v>
      </c>
      <c r="AA68" s="2619"/>
      <c r="AB68" s="2619"/>
      <c r="AC68" s="3342"/>
      <c r="AD68" s="3342"/>
    </row>
    <row r="69" spans="1:30" ht="13.5" customHeight="1">
      <c r="A69" s="3425">
        <v>2020</v>
      </c>
      <c r="B69" s="3428">
        <v>1.5137006268005962E-3</v>
      </c>
      <c r="C69" s="3428">
        <v>2.2099552347353539E-4</v>
      </c>
      <c r="D69" s="3428">
        <v>1.5931572212915496E-6</v>
      </c>
      <c r="E69" s="3428">
        <v>1.1850728290978198E-7</v>
      </c>
      <c r="F69" s="3428">
        <v>-5.9937582239824593E-10</v>
      </c>
      <c r="G69" s="3428">
        <v>1.9049151677214423E-12</v>
      </c>
      <c r="H69" s="3428">
        <v>1.9515038717185201E-14</v>
      </c>
      <c r="I69" s="1648">
        <v>10</v>
      </c>
      <c r="J69" s="1648">
        <v>110</v>
      </c>
      <c r="K69" s="2619"/>
      <c r="L69" s="3425">
        <v>2020</v>
      </c>
      <c r="M69" s="3428">
        <v>1.0474042452067499E-2</v>
      </c>
      <c r="N69" s="3428">
        <v>7.5580709646399596E-2</v>
      </c>
      <c r="O69" s="3428">
        <v>-5.9269763403277495E-4</v>
      </c>
      <c r="P69" s="3428">
        <v>5.0227882132011101E-6</v>
      </c>
      <c r="Q69" s="3428">
        <v>2.1830008252268299E-8</v>
      </c>
      <c r="R69" s="3428">
        <v>-2.4078611356139598E-10</v>
      </c>
      <c r="S69" s="3428">
        <v>4.1442646732999298E-13</v>
      </c>
      <c r="T69" s="1648">
        <v>10</v>
      </c>
      <c r="U69" s="1648">
        <v>110</v>
      </c>
      <c r="V69" s="2619"/>
      <c r="W69" s="3441"/>
      <c r="X69" s="3442" t="s">
        <v>787</v>
      </c>
      <c r="Y69" s="3442">
        <v>9.1500000000000001E-3</v>
      </c>
      <c r="Z69" s="3442">
        <v>2.1199999999999999E-3</v>
      </c>
      <c r="AA69" s="2619"/>
      <c r="AB69" s="2619"/>
      <c r="AC69" s="3342"/>
      <c r="AD69" s="3342"/>
    </row>
    <row r="70" spans="1:30" ht="13.5" customHeight="1">
      <c r="A70" s="3425">
        <v>2025</v>
      </c>
      <c r="B70" s="3428">
        <v>1.7986760974741749E-3</v>
      </c>
      <c r="C70" s="3428">
        <v>1.5349611326773965E-4</v>
      </c>
      <c r="D70" s="3428">
        <v>1.8928699050138965E-6</v>
      </c>
      <c r="E70" s="3428">
        <v>1.408269999502659E-7</v>
      </c>
      <c r="F70" s="3428">
        <v>-7.1233781308055844E-10</v>
      </c>
      <c r="G70" s="3428">
        <v>2.2643991193344407E-12</v>
      </c>
      <c r="H70" s="3428">
        <v>2.3186928908511233E-14</v>
      </c>
      <c r="I70" s="402">
        <v>10</v>
      </c>
      <c r="J70" s="402">
        <v>110</v>
      </c>
      <c r="K70" s="2619"/>
      <c r="L70" s="3425">
        <v>2025</v>
      </c>
      <c r="M70" s="3428">
        <v>1.97478291776924E-2</v>
      </c>
      <c r="N70" s="3428">
        <v>5.5569735907557399E-2</v>
      </c>
      <c r="O70" s="3428">
        <v>-5.81925804991337E-4</v>
      </c>
      <c r="P70" s="3428">
        <v>1.25530812681109E-5</v>
      </c>
      <c r="Q70" s="3428">
        <v>-1.3039508739919299E-7</v>
      </c>
      <c r="R70" s="3428">
        <v>7.5936162724740004E-10</v>
      </c>
      <c r="S70" s="3428">
        <v>-1.8575822600383601E-12</v>
      </c>
      <c r="T70" s="402">
        <v>10</v>
      </c>
      <c r="U70" s="402">
        <v>110</v>
      </c>
      <c r="V70" s="2619"/>
      <c r="W70" s="3443" t="s">
        <v>2422</v>
      </c>
      <c r="X70" s="3444" t="s">
        <v>788</v>
      </c>
      <c r="Y70" s="3444">
        <v>2.0739999999999998E-2</v>
      </c>
      <c r="Z70" s="3444">
        <v>5.0999999999999997E-2</v>
      </c>
      <c r="AA70" s="2619"/>
      <c r="AB70" s="2619"/>
      <c r="AC70" s="3342"/>
      <c r="AD70" s="3342"/>
    </row>
    <row r="71" spans="1:30" ht="13.5" customHeight="1">
      <c r="A71" s="3425">
        <v>2030</v>
      </c>
      <c r="B71" s="3428">
        <v>1.8150547743835202E-3</v>
      </c>
      <c r="C71" s="3428">
        <v>1.504493484374211E-4</v>
      </c>
      <c r="D71" s="3428">
        <v>1.9102007244154007E-6</v>
      </c>
      <c r="E71" s="3428">
        <v>1.4210552692116455E-7</v>
      </c>
      <c r="F71" s="3428">
        <v>-7.1877348965670146E-10</v>
      </c>
      <c r="G71" s="3428">
        <v>2.2846678801557406E-12</v>
      </c>
      <c r="H71" s="3428">
        <v>2.33988922106482E-14</v>
      </c>
      <c r="I71" s="402">
        <v>10</v>
      </c>
      <c r="J71" s="402">
        <v>110</v>
      </c>
      <c r="K71" s="2619"/>
      <c r="L71" s="3425">
        <v>2030</v>
      </c>
      <c r="M71" s="3428">
        <v>2.0200396434956799E-2</v>
      </c>
      <c r="N71" s="3428">
        <v>5.6036433271641199E-2</v>
      </c>
      <c r="O71" s="3428">
        <v>-5.7001176628078203E-4</v>
      </c>
      <c r="P71" s="3428">
        <v>1.29070139268899E-5</v>
      </c>
      <c r="Q71" s="3428">
        <v>-1.37424176220673E-7</v>
      </c>
      <c r="R71" s="3428">
        <v>8.0534301911432598E-10</v>
      </c>
      <c r="S71" s="3428">
        <v>-1.9623108999636102E-12</v>
      </c>
      <c r="T71" s="402">
        <v>10</v>
      </c>
      <c r="U71" s="402">
        <v>110</v>
      </c>
      <c r="V71" s="2619"/>
      <c r="W71" s="3439"/>
      <c r="X71" s="3436" t="s">
        <v>789</v>
      </c>
      <c r="Y71" s="3436">
        <v>1.7389999999999999E-2</v>
      </c>
      <c r="Z71" s="3436">
        <v>2.7140000000000001E-2</v>
      </c>
      <c r="AA71" s="2619"/>
      <c r="AB71" s="2619"/>
      <c r="AC71" s="3342"/>
    </row>
    <row r="72" spans="1:30" ht="13.5" customHeight="1" thickBot="1">
      <c r="A72" s="3426">
        <v>2035</v>
      </c>
      <c r="B72" s="3429">
        <v>1.8148237128387458E-3</v>
      </c>
      <c r="C72" s="3429">
        <v>1.5076405086068256E-4</v>
      </c>
      <c r="D72" s="3429">
        <v>1.9096952696823772E-6</v>
      </c>
      <c r="E72" s="3429">
        <v>1.4209822812428473E-7</v>
      </c>
      <c r="F72" s="3429">
        <v>-7.1883574192981135E-10</v>
      </c>
      <c r="G72" s="3429">
        <v>2.2855303417079922E-12</v>
      </c>
      <c r="H72" s="3429">
        <v>2.3392831664706682E-14</v>
      </c>
      <c r="I72" s="403">
        <v>10</v>
      </c>
      <c r="J72" s="403">
        <v>110</v>
      </c>
      <c r="K72" s="2619"/>
      <c r="L72" s="3426">
        <v>2035</v>
      </c>
      <c r="M72" s="3429">
        <v>2.0203425503713401E-2</v>
      </c>
      <c r="N72" s="3429">
        <v>5.66576249238607E-2</v>
      </c>
      <c r="O72" s="3429">
        <v>-5.6384924547686404E-4</v>
      </c>
      <c r="P72" s="3429">
        <v>1.2910331622894599E-5</v>
      </c>
      <c r="Q72" s="3429">
        <v>-1.3752521450543501E-7</v>
      </c>
      <c r="R72" s="3429">
        <v>8.0603211442732401E-10</v>
      </c>
      <c r="S72" s="3429">
        <v>-1.9638443386958002E-12</v>
      </c>
      <c r="T72" s="403">
        <v>10</v>
      </c>
      <c r="U72" s="403">
        <v>110</v>
      </c>
      <c r="V72" s="2619"/>
      <c r="W72" s="3441"/>
      <c r="X72" s="3442" t="s">
        <v>787</v>
      </c>
      <c r="Y72" s="3442">
        <v>1.3980000000000001E-2</v>
      </c>
      <c r="Z72" s="3442">
        <v>8.4399999999999996E-3</v>
      </c>
      <c r="AA72" s="2619"/>
      <c r="AB72" s="2619"/>
    </row>
    <row r="73" spans="1:30" ht="13.5" customHeight="1" thickTop="1" thickBot="1">
      <c r="A73" s="2619"/>
      <c r="B73" s="594"/>
      <c r="C73" s="14"/>
      <c r="D73" s="14"/>
      <c r="E73" s="14"/>
      <c r="F73" s="14"/>
      <c r="G73" s="2619"/>
      <c r="H73" s="2619"/>
      <c r="I73" s="2619"/>
      <c r="J73" s="2619"/>
      <c r="K73" s="2619"/>
      <c r="L73" s="2619"/>
      <c r="M73" s="594"/>
      <c r="N73" s="14"/>
      <c r="O73" s="14"/>
      <c r="P73" s="14"/>
      <c r="Q73" s="14"/>
      <c r="R73" s="2619"/>
      <c r="S73" s="2619"/>
      <c r="T73" s="2619"/>
      <c r="U73" s="2619"/>
      <c r="V73" s="2619"/>
      <c r="W73" s="3443" t="s">
        <v>2423</v>
      </c>
      <c r="X73" s="3444" t="s">
        <v>788</v>
      </c>
      <c r="Y73" s="3444">
        <v>4.7070000000000001E-2</v>
      </c>
      <c r="Z73" s="3444">
        <v>5.0999999999999997E-2</v>
      </c>
      <c r="AA73" s="2619"/>
      <c r="AB73" s="2619"/>
      <c r="AC73" s="3342"/>
    </row>
    <row r="74" spans="1:30" ht="13.5" customHeight="1" thickTop="1">
      <c r="A74" s="3467" t="s">
        <v>2431</v>
      </c>
      <c r="B74" s="680" t="s">
        <v>2417</v>
      </c>
      <c r="C74" s="224"/>
      <c r="D74" s="224"/>
      <c r="E74" s="462"/>
      <c r="F74" s="462"/>
      <c r="G74" s="462"/>
      <c r="H74" s="680"/>
      <c r="I74" s="224"/>
      <c r="J74" s="462"/>
      <c r="K74" s="2619"/>
      <c r="L74" s="3467" t="s">
        <v>2432</v>
      </c>
      <c r="M74" s="680" t="s">
        <v>2404</v>
      </c>
      <c r="N74" s="224"/>
      <c r="O74" s="224"/>
      <c r="P74" s="462"/>
      <c r="Q74" s="462"/>
      <c r="R74" s="462"/>
      <c r="S74" s="680"/>
      <c r="T74" s="224"/>
      <c r="U74" s="462"/>
      <c r="V74" s="2619"/>
      <c r="W74" s="3439"/>
      <c r="X74" s="3436" t="s">
        <v>789</v>
      </c>
      <c r="Y74" s="3436">
        <v>3.8240000000000003E-2</v>
      </c>
      <c r="Z74" s="3436">
        <v>2.7140000000000001E-2</v>
      </c>
      <c r="AA74" s="2619"/>
      <c r="AB74" s="2619"/>
      <c r="AC74" s="3342"/>
    </row>
    <row r="75" spans="1:30" ht="13.5" customHeight="1" thickBot="1">
      <c r="A75" s="836"/>
      <c r="B75" s="526" t="s">
        <v>2400</v>
      </c>
      <c r="C75" s="227"/>
      <c r="D75" s="227"/>
      <c r="E75" s="523"/>
      <c r="F75" s="523"/>
      <c r="G75" s="523"/>
      <c r="H75" s="526"/>
      <c r="I75" s="227"/>
      <c r="J75" s="523"/>
      <c r="K75" s="2619"/>
      <c r="L75" s="836"/>
      <c r="M75" s="526" t="s">
        <v>2400</v>
      </c>
      <c r="N75" s="227"/>
      <c r="O75" s="227"/>
      <c r="P75" s="523"/>
      <c r="Q75" s="523"/>
      <c r="R75" s="523"/>
      <c r="S75" s="526"/>
      <c r="T75" s="227"/>
      <c r="U75" s="523"/>
      <c r="V75" s="2619"/>
      <c r="W75" s="3441"/>
      <c r="X75" s="3442" t="s">
        <v>787</v>
      </c>
      <c r="Y75" s="3442">
        <v>3.1489999999999997E-2</v>
      </c>
      <c r="Z75" s="3442">
        <v>8.4399999999999996E-3</v>
      </c>
      <c r="AA75" s="2619"/>
      <c r="AB75" s="2619"/>
      <c r="AC75" s="3342"/>
    </row>
    <row r="76" spans="1:30" ht="13.5" customHeight="1" thickTop="1" thickBot="1">
      <c r="A76" s="2811"/>
      <c r="B76" s="3720" t="s">
        <v>1399</v>
      </c>
      <c r="C76" s="3721"/>
      <c r="D76" s="3721"/>
      <c r="E76" s="3721"/>
      <c r="F76" s="3721"/>
      <c r="G76" s="3721"/>
      <c r="H76" s="3722"/>
      <c r="I76" s="414" t="s">
        <v>2399</v>
      </c>
      <c r="J76" s="414" t="s">
        <v>2398</v>
      </c>
      <c r="K76" s="2619"/>
      <c r="L76" s="2811"/>
      <c r="M76" s="3720" t="s">
        <v>1399</v>
      </c>
      <c r="N76" s="3721"/>
      <c r="O76" s="3721"/>
      <c r="P76" s="3721"/>
      <c r="Q76" s="3721"/>
      <c r="R76" s="3721"/>
      <c r="S76" s="3722"/>
      <c r="T76" s="414" t="s">
        <v>2399</v>
      </c>
      <c r="U76" s="414" t="s">
        <v>2398</v>
      </c>
      <c r="V76" s="2619"/>
      <c r="W76" s="3443" t="s">
        <v>2424</v>
      </c>
      <c r="X76" s="3444" t="s">
        <v>788</v>
      </c>
      <c r="Y76" s="3444">
        <v>2.1180000000000001E-2</v>
      </c>
      <c r="Z76" s="3444">
        <v>5.3600000000000002E-2</v>
      </c>
      <c r="AA76" s="2619"/>
      <c r="AB76" s="2619"/>
    </row>
    <row r="77" spans="1:30" ht="13.5" customHeight="1" thickTop="1" thickBot="1">
      <c r="A77" s="3430" t="s">
        <v>568</v>
      </c>
      <c r="B77" s="414" t="s">
        <v>569</v>
      </c>
      <c r="C77" s="414" t="s">
        <v>570</v>
      </c>
      <c r="D77" s="414" t="s">
        <v>571</v>
      </c>
      <c r="E77" s="414" t="s">
        <v>572</v>
      </c>
      <c r="F77" s="414" t="s">
        <v>2395</v>
      </c>
      <c r="G77" s="414" t="s">
        <v>2396</v>
      </c>
      <c r="H77" s="414" t="s">
        <v>2397</v>
      </c>
      <c r="I77" s="3719" t="s">
        <v>1698</v>
      </c>
      <c r="J77" s="3703"/>
      <c r="K77" s="2619"/>
      <c r="L77" s="3430" t="s">
        <v>568</v>
      </c>
      <c r="M77" s="414" t="s">
        <v>569</v>
      </c>
      <c r="N77" s="414" t="s">
        <v>570</v>
      </c>
      <c r="O77" s="414" t="s">
        <v>571</v>
      </c>
      <c r="P77" s="414" t="s">
        <v>572</v>
      </c>
      <c r="Q77" s="414" t="s">
        <v>2395</v>
      </c>
      <c r="R77" s="414" t="s">
        <v>2396</v>
      </c>
      <c r="S77" s="414" t="s">
        <v>2397</v>
      </c>
      <c r="T77" s="3719" t="s">
        <v>1698</v>
      </c>
      <c r="U77" s="3703"/>
      <c r="V77" s="2619"/>
      <c r="W77" s="3439"/>
      <c r="X77" s="3436" t="s">
        <v>789</v>
      </c>
      <c r="Y77" s="3436">
        <v>1.7389999999999999E-2</v>
      </c>
      <c r="Z77" s="3436">
        <v>2.7140000000000001E-2</v>
      </c>
      <c r="AA77" s="2619"/>
      <c r="AB77" s="2619"/>
    </row>
    <row r="78" spans="1:30" ht="13.5" customHeight="1" thickTop="1">
      <c r="A78" s="3425">
        <v>2015</v>
      </c>
      <c r="B78" s="3427">
        <v>1.0556602822435399E-2</v>
      </c>
      <c r="C78" s="3427">
        <v>3.7440176825494498E-2</v>
      </c>
      <c r="D78" s="3427">
        <v>-9.4179488848670102E-4</v>
      </c>
      <c r="E78" s="3427">
        <v>8.7650722304144596E-6</v>
      </c>
      <c r="F78" s="3427">
        <v>-1.9470886139344701E-9</v>
      </c>
      <c r="G78" s="3427">
        <v>1.3673129411237699E-11</v>
      </c>
      <c r="H78" s="3427">
        <v>-3.8633035890303998E-14</v>
      </c>
      <c r="I78" s="402">
        <v>10</v>
      </c>
      <c r="J78" s="402">
        <v>100</v>
      </c>
      <c r="K78" s="2619"/>
      <c r="L78" s="3425">
        <v>2015</v>
      </c>
      <c r="M78" s="3427">
        <v>2.8119939389788402</v>
      </c>
      <c r="N78" s="3427">
        <v>1.3151655929880099</v>
      </c>
      <c r="O78" s="3427">
        <v>-1.7597269870939999E-2</v>
      </c>
      <c r="P78" s="3427">
        <v>2.7430975975348E-4</v>
      </c>
      <c r="Q78" s="3427">
        <v>-2.8910049989019902E-6</v>
      </c>
      <c r="R78" s="3427">
        <v>1.9808343323170301E-8</v>
      </c>
      <c r="S78" s="3427">
        <v>-1.1101639372624099E-11</v>
      </c>
      <c r="T78" s="402">
        <v>10</v>
      </c>
      <c r="U78" s="402">
        <v>110</v>
      </c>
      <c r="V78" s="2619"/>
      <c r="W78" s="3441"/>
      <c r="X78" s="3442" t="s">
        <v>787</v>
      </c>
      <c r="Y78" s="3442">
        <v>1.3980000000000001E-2</v>
      </c>
      <c r="Z78" s="3442">
        <v>8.4399999999999996E-3</v>
      </c>
      <c r="AA78" s="2619"/>
      <c r="AB78" s="2619"/>
    </row>
    <row r="79" spans="1:30" ht="13.5" customHeight="1">
      <c r="A79" s="3425">
        <v>2020</v>
      </c>
      <c r="B79" s="3428">
        <v>1.69648004920697E-2</v>
      </c>
      <c r="C79" s="3428">
        <v>8.9019523064830502E-3</v>
      </c>
      <c r="D79" s="3428">
        <v>-2.1726115006170401E-4</v>
      </c>
      <c r="E79" s="3428">
        <v>2.1450616907086E-6</v>
      </c>
      <c r="F79" s="3428">
        <v>-3.1301786315849698E-9</v>
      </c>
      <c r="G79" s="3428">
        <v>2.1983123140938801E-11</v>
      </c>
      <c r="H79" s="3428">
        <v>-6.2118089080053997E-14</v>
      </c>
      <c r="I79" s="1648">
        <v>10</v>
      </c>
      <c r="J79" s="1648">
        <v>100</v>
      </c>
      <c r="K79" s="2619"/>
      <c r="L79" s="3425">
        <v>2020</v>
      </c>
      <c r="M79" s="3428">
        <v>3.09559908933368</v>
      </c>
      <c r="N79" s="3428">
        <v>0.84236507621643997</v>
      </c>
      <c r="O79" s="3428">
        <v>-9.8700818859907107E-3</v>
      </c>
      <c r="P79" s="3428">
        <v>2.29481046976887E-4</v>
      </c>
      <c r="Q79" s="3428">
        <v>-3.17146296444991E-6</v>
      </c>
      <c r="R79" s="3428">
        <v>2.1706352911451499E-8</v>
      </c>
      <c r="S79" s="3428">
        <v>-1.20391686147365E-11</v>
      </c>
      <c r="T79" s="1648">
        <v>10</v>
      </c>
      <c r="U79" s="1648">
        <v>110</v>
      </c>
      <c r="V79" s="2619"/>
      <c r="W79" s="3439" t="s">
        <v>2425</v>
      </c>
      <c r="X79" s="3436" t="s">
        <v>788</v>
      </c>
      <c r="Y79" s="3436">
        <v>3.7599999999999999E-3</v>
      </c>
      <c r="Z79" s="3436">
        <v>5.8399999999999997E-3</v>
      </c>
      <c r="AA79" s="2619"/>
      <c r="AB79" s="2619"/>
    </row>
    <row r="80" spans="1:30" ht="13.5" customHeight="1">
      <c r="A80" s="3425">
        <v>2025</v>
      </c>
      <c r="B80" s="3428">
        <v>1.8779240224688399E-2</v>
      </c>
      <c r="C80" s="3428">
        <v>2.5081192201483801E-3</v>
      </c>
      <c r="D80" s="3428">
        <v>-5.4758282187506197E-5</v>
      </c>
      <c r="E80" s="3428">
        <v>6.6345984206684498E-7</v>
      </c>
      <c r="F80" s="3428">
        <v>-3.4646214211041799E-9</v>
      </c>
      <c r="G80" s="3428">
        <v>2.43310232012264E-11</v>
      </c>
      <c r="H80" s="3428">
        <v>-6.8749997617110302E-14</v>
      </c>
      <c r="I80" s="402">
        <v>10</v>
      </c>
      <c r="J80" s="402">
        <v>100</v>
      </c>
      <c r="K80" s="2619"/>
      <c r="L80" s="3425">
        <v>2025</v>
      </c>
      <c r="M80" s="3428">
        <v>1.9819766425744001</v>
      </c>
      <c r="N80" s="3428">
        <v>0.46100519095941001</v>
      </c>
      <c r="O80" s="3428">
        <v>-5.0923964780456897E-3</v>
      </c>
      <c r="P80" s="3428">
        <v>1.3745385522114599E-4</v>
      </c>
      <c r="Q80" s="3428">
        <v>-2.0266566828768E-6</v>
      </c>
      <c r="R80" s="3428">
        <v>1.38626798688466E-8</v>
      </c>
      <c r="S80" s="3428">
        <v>-7.6444596585350302E-12</v>
      </c>
      <c r="T80" s="402">
        <v>10</v>
      </c>
      <c r="U80" s="402">
        <v>110</v>
      </c>
      <c r="V80" s="2619"/>
      <c r="W80" s="3439"/>
      <c r="X80" s="3436" t="s">
        <v>789</v>
      </c>
      <c r="Y80" s="3436">
        <v>2.9199999999999999E-3</v>
      </c>
      <c r="Z80" s="3436">
        <v>2.7599999999999999E-3</v>
      </c>
      <c r="AA80" s="2619"/>
      <c r="AB80" s="2619"/>
    </row>
    <row r="81" spans="1:28" ht="13.5" customHeight="1" thickBot="1">
      <c r="A81" s="3425">
        <v>2030</v>
      </c>
      <c r="B81" s="3428">
        <v>1.9078762232157299E-2</v>
      </c>
      <c r="C81" s="3428">
        <v>1.5368622509586299E-3</v>
      </c>
      <c r="D81" s="3428">
        <v>-3.0062182224896899E-5</v>
      </c>
      <c r="E81" s="3428">
        <v>4.3849607730769401E-7</v>
      </c>
      <c r="F81" s="3428">
        <v>-3.5198172518803601E-9</v>
      </c>
      <c r="G81" s="3428">
        <v>2.4718641434880701E-11</v>
      </c>
      <c r="H81" s="3428">
        <v>-6.9845385927651898E-14</v>
      </c>
      <c r="I81" s="402">
        <v>10</v>
      </c>
      <c r="J81" s="402">
        <v>100</v>
      </c>
      <c r="K81" s="2619"/>
      <c r="L81" s="3425">
        <v>2030</v>
      </c>
      <c r="M81" s="3428">
        <v>1.39369773549466</v>
      </c>
      <c r="N81" s="3428">
        <v>0.31011265160057699</v>
      </c>
      <c r="O81" s="3428">
        <v>-3.3630326715502301E-3</v>
      </c>
      <c r="P81" s="3428">
        <v>9.4853057377267198E-5</v>
      </c>
      <c r="Q81" s="3428">
        <v>-1.42177439495767E-6</v>
      </c>
      <c r="R81" s="3428">
        <v>9.71805986360567E-9</v>
      </c>
      <c r="S81" s="3428">
        <v>-5.3207148131403802E-12</v>
      </c>
      <c r="T81" s="402">
        <v>10</v>
      </c>
      <c r="U81" s="402">
        <v>110</v>
      </c>
      <c r="V81" s="2619"/>
      <c r="W81" s="3440"/>
      <c r="X81" s="3437" t="s">
        <v>787</v>
      </c>
      <c r="Y81" s="3437">
        <v>2.49E-3</v>
      </c>
      <c r="Z81" s="3437">
        <v>6.8000000000000005E-4</v>
      </c>
      <c r="AA81" s="2619"/>
      <c r="AB81" s="2619"/>
    </row>
    <row r="82" spans="1:28" ht="13.5" customHeight="1" thickTop="1" thickBot="1">
      <c r="A82" s="3426">
        <v>2035</v>
      </c>
      <c r="B82" s="3429">
        <v>1.9103152100139801E-2</v>
      </c>
      <c r="C82" s="3429">
        <v>1.4613954640341901E-3</v>
      </c>
      <c r="D82" s="3429">
        <v>-2.81429904144331E-5</v>
      </c>
      <c r="E82" s="3429">
        <v>4.2103015808734302E-7</v>
      </c>
      <c r="F82" s="3429">
        <v>-3.5244451665043698E-9</v>
      </c>
      <c r="G82" s="3429">
        <v>2.4750885144831101E-11</v>
      </c>
      <c r="H82" s="3429">
        <v>-6.9935373239481494E-14</v>
      </c>
      <c r="I82" s="403">
        <v>10</v>
      </c>
      <c r="J82" s="403">
        <v>100</v>
      </c>
      <c r="K82" s="2619"/>
      <c r="L82" s="3426">
        <v>2035</v>
      </c>
      <c r="M82" s="3429">
        <v>1.1999626195909601</v>
      </c>
      <c r="N82" s="3429">
        <v>0.26577619735396402</v>
      </c>
      <c r="O82" s="3429">
        <v>-2.8771839752405799E-3</v>
      </c>
      <c r="P82" s="3429">
        <v>8.1480023147577495E-5</v>
      </c>
      <c r="Q82" s="3429">
        <v>-1.2230680503200001E-6</v>
      </c>
      <c r="R82" s="3429">
        <v>8.3576058532566799E-9</v>
      </c>
      <c r="S82" s="3429">
        <v>-4.5635287449605004E-12</v>
      </c>
      <c r="T82" s="403">
        <v>10</v>
      </c>
      <c r="U82" s="403">
        <v>110</v>
      </c>
      <c r="V82" s="2619"/>
      <c r="W82" s="2619"/>
      <c r="X82" s="2619"/>
      <c r="Y82" s="2619"/>
      <c r="Z82" s="2619"/>
      <c r="AA82" s="2619"/>
      <c r="AB82" s="2619"/>
    </row>
    <row r="83" spans="1:28" ht="13.5" customHeight="1" thickTop="1" thickBot="1">
      <c r="A83" s="2619"/>
      <c r="B83" s="594"/>
      <c r="C83" s="14"/>
      <c r="D83" s="14"/>
      <c r="E83" s="14"/>
      <c r="F83" s="14"/>
      <c r="G83" s="2619"/>
      <c r="H83" s="2619"/>
      <c r="I83" s="2619"/>
      <c r="J83" s="2619"/>
      <c r="K83" s="2619"/>
      <c r="L83" s="2619"/>
      <c r="M83" s="594"/>
      <c r="N83" s="14"/>
      <c r="O83" s="14"/>
      <c r="P83" s="14"/>
      <c r="Q83" s="14"/>
      <c r="R83" s="2619"/>
      <c r="S83" s="2619"/>
      <c r="T83" s="2619"/>
      <c r="U83" s="2619"/>
      <c r="V83" s="2619"/>
      <c r="W83" s="2619"/>
      <c r="X83" s="2619"/>
      <c r="Y83" s="2619"/>
      <c r="Z83" s="2619"/>
      <c r="AA83" s="2619"/>
      <c r="AB83" s="2619"/>
    </row>
    <row r="84" spans="1:28" ht="13.5" customHeight="1" thickTop="1">
      <c r="A84" s="3467" t="s">
        <v>2431</v>
      </c>
      <c r="B84" s="680" t="s">
        <v>2418</v>
      </c>
      <c r="C84" s="224"/>
      <c r="D84" s="224"/>
      <c r="E84" s="462"/>
      <c r="F84" s="462"/>
      <c r="G84" s="462"/>
      <c r="H84" s="680"/>
      <c r="I84" s="224"/>
      <c r="J84" s="462"/>
      <c r="K84" s="2619"/>
      <c r="L84" s="3467" t="s">
        <v>2432</v>
      </c>
      <c r="M84" s="680" t="s">
        <v>2405</v>
      </c>
      <c r="N84" s="224"/>
      <c r="O84" s="224"/>
      <c r="P84" s="462"/>
      <c r="Q84" s="462"/>
      <c r="R84" s="462"/>
      <c r="S84" s="680"/>
      <c r="T84" s="224"/>
      <c r="U84" s="462"/>
      <c r="V84" s="2619"/>
      <c r="W84" s="2619"/>
      <c r="X84" s="2619"/>
      <c r="Y84" s="2619"/>
      <c r="Z84" s="2619"/>
      <c r="AA84" s="2619"/>
      <c r="AB84" s="2619"/>
    </row>
    <row r="85" spans="1:28" ht="13.5" customHeight="1" thickBot="1">
      <c r="A85" s="836"/>
      <c r="B85" s="526" t="s">
        <v>2400</v>
      </c>
      <c r="C85" s="227"/>
      <c r="D85" s="227"/>
      <c r="E85" s="523"/>
      <c r="F85" s="523"/>
      <c r="G85" s="523"/>
      <c r="H85" s="526"/>
      <c r="I85" s="227"/>
      <c r="J85" s="523"/>
      <c r="K85" s="2619"/>
      <c r="L85" s="836"/>
      <c r="M85" s="526" t="s">
        <v>2400</v>
      </c>
      <c r="N85" s="227"/>
      <c r="O85" s="227"/>
      <c r="P85" s="523"/>
      <c r="Q85" s="523"/>
      <c r="R85" s="523"/>
      <c r="S85" s="526"/>
      <c r="T85" s="227"/>
      <c r="U85" s="523"/>
      <c r="V85" s="2619"/>
      <c r="W85" s="2619"/>
      <c r="X85" s="2619"/>
      <c r="Y85" s="2619"/>
      <c r="Z85" s="2619"/>
      <c r="AA85" s="2619"/>
      <c r="AB85" s="2619"/>
    </row>
    <row r="86" spans="1:28" ht="13.5" customHeight="1" thickTop="1" thickBot="1">
      <c r="A86" s="2811"/>
      <c r="B86" s="3720" t="s">
        <v>1399</v>
      </c>
      <c r="C86" s="3721"/>
      <c r="D86" s="3721"/>
      <c r="E86" s="3721"/>
      <c r="F86" s="3721"/>
      <c r="G86" s="3721"/>
      <c r="H86" s="3722"/>
      <c r="I86" s="414" t="s">
        <v>2399</v>
      </c>
      <c r="J86" s="414" t="s">
        <v>2398</v>
      </c>
      <c r="K86" s="2619"/>
      <c r="L86" s="2811"/>
      <c r="M86" s="3720" t="s">
        <v>1399</v>
      </c>
      <c r="N86" s="3721"/>
      <c r="O86" s="3721"/>
      <c r="P86" s="3721"/>
      <c r="Q86" s="3721"/>
      <c r="R86" s="3721"/>
      <c r="S86" s="3722"/>
      <c r="T86" s="414" t="s">
        <v>2399</v>
      </c>
      <c r="U86" s="414" t="s">
        <v>2398</v>
      </c>
      <c r="V86" s="2619"/>
      <c r="W86" s="2619"/>
      <c r="X86" s="2619"/>
      <c r="Y86" s="2619"/>
      <c r="Z86" s="2619"/>
      <c r="AA86" s="2619"/>
      <c r="AB86" s="2619"/>
    </row>
    <row r="87" spans="1:28" ht="13.5" customHeight="1" thickTop="1" thickBot="1">
      <c r="A87" s="3430" t="s">
        <v>568</v>
      </c>
      <c r="B87" s="414" t="s">
        <v>569</v>
      </c>
      <c r="C87" s="414" t="s">
        <v>570</v>
      </c>
      <c r="D87" s="414" t="s">
        <v>571</v>
      </c>
      <c r="E87" s="414" t="s">
        <v>572</v>
      </c>
      <c r="F87" s="414" t="s">
        <v>2395</v>
      </c>
      <c r="G87" s="414" t="s">
        <v>2396</v>
      </c>
      <c r="H87" s="414" t="s">
        <v>2397</v>
      </c>
      <c r="I87" s="3719" t="s">
        <v>1698</v>
      </c>
      <c r="J87" s="3703"/>
      <c r="K87" s="2619"/>
      <c r="L87" s="3430" t="s">
        <v>568</v>
      </c>
      <c r="M87" s="414" t="s">
        <v>569</v>
      </c>
      <c r="N87" s="414" t="s">
        <v>570</v>
      </c>
      <c r="O87" s="414" t="s">
        <v>571</v>
      </c>
      <c r="P87" s="414" t="s">
        <v>572</v>
      </c>
      <c r="Q87" s="414" t="s">
        <v>2395</v>
      </c>
      <c r="R87" s="414" t="s">
        <v>2396</v>
      </c>
      <c r="S87" s="414" t="s">
        <v>2397</v>
      </c>
      <c r="T87" s="3719" t="s">
        <v>1698</v>
      </c>
      <c r="U87" s="3703"/>
      <c r="V87" s="2619"/>
      <c r="W87" s="2619"/>
      <c r="X87" s="2619"/>
      <c r="Y87" s="2619"/>
      <c r="Z87" s="2619"/>
      <c r="AA87" s="2619"/>
      <c r="AB87" s="2619"/>
    </row>
    <row r="88" spans="1:28" ht="13.5" customHeight="1" thickTop="1">
      <c r="A88" s="3425">
        <v>2015</v>
      </c>
      <c r="B88" s="3427">
        <v>0.67047013801516198</v>
      </c>
      <c r="C88" s="3427">
        <v>4.9728221578952299E-2</v>
      </c>
      <c r="D88" s="3427">
        <v>-1.3762266144488301E-3</v>
      </c>
      <c r="E88" s="3427">
        <v>2.8357947160648699E-5</v>
      </c>
      <c r="F88" s="3427">
        <v>-3.1861755059841801E-7</v>
      </c>
      <c r="G88" s="3427">
        <v>1.8750253498675101E-9</v>
      </c>
      <c r="H88" s="3427">
        <v>-4.1197672118892599E-12</v>
      </c>
      <c r="I88" s="402">
        <v>12</v>
      </c>
      <c r="J88" s="402">
        <v>85</v>
      </c>
      <c r="K88" s="2619"/>
      <c r="L88" s="3425">
        <v>2015</v>
      </c>
      <c r="M88" s="3427">
        <v>47.941023002482197</v>
      </c>
      <c r="N88" s="3427">
        <v>5.1495818065860099</v>
      </c>
      <c r="O88" s="3427">
        <v>-0.19094519923935199</v>
      </c>
      <c r="P88" s="3427">
        <v>4.4786613159551302E-3</v>
      </c>
      <c r="Q88" s="3427">
        <v>-5.9932076244515701E-5</v>
      </c>
      <c r="R88" s="3427">
        <v>4.2129698951587798E-7</v>
      </c>
      <c r="S88" s="3427">
        <v>-1.1823253186005701E-9</v>
      </c>
      <c r="T88" s="402">
        <v>12</v>
      </c>
      <c r="U88" s="402">
        <v>85</v>
      </c>
      <c r="V88" s="2619"/>
      <c r="W88" s="2619"/>
      <c r="X88" s="2619"/>
      <c r="Y88" s="2619"/>
      <c r="Z88" s="2619"/>
      <c r="AA88" s="2619"/>
      <c r="AB88" s="2619"/>
    </row>
    <row r="89" spans="1:28" ht="13.5" customHeight="1">
      <c r="A89" s="3425">
        <v>2020</v>
      </c>
      <c r="B89" s="3428">
        <v>0.236917200907766</v>
      </c>
      <c r="C89" s="3428">
        <v>1.4721327188368299E-2</v>
      </c>
      <c r="D89" s="3428">
        <v>-3.7116237557264598E-4</v>
      </c>
      <c r="E89" s="3428">
        <v>7.2710656314107501E-6</v>
      </c>
      <c r="F89" s="3428">
        <v>-7.1488889344123394E-8</v>
      </c>
      <c r="G89" s="3428">
        <v>2.75703426018024E-10</v>
      </c>
      <c r="H89" s="3428">
        <v>1.3269386465058399E-13</v>
      </c>
      <c r="I89" s="1648">
        <v>12</v>
      </c>
      <c r="J89" s="1648">
        <v>85</v>
      </c>
      <c r="K89" s="2619"/>
      <c r="L89" s="3425">
        <v>2020</v>
      </c>
      <c r="M89" s="3428">
        <v>29.128012791212001</v>
      </c>
      <c r="N89" s="3428">
        <v>1.3679850504829301</v>
      </c>
      <c r="O89" s="3428">
        <v>-4.6021765798273898E-2</v>
      </c>
      <c r="P89" s="3428">
        <v>8.4656871257053699E-4</v>
      </c>
      <c r="Q89" s="3428">
        <v>-8.6624027783451998E-6</v>
      </c>
      <c r="R89" s="3428">
        <v>4.2102056005029397E-8</v>
      </c>
      <c r="S89" s="3428">
        <v>-5.4896381331378897E-11</v>
      </c>
      <c r="T89" s="1648">
        <v>12</v>
      </c>
      <c r="U89" s="1648">
        <v>85</v>
      </c>
      <c r="V89" s="2619"/>
      <c r="W89" s="2619"/>
      <c r="X89" s="2619"/>
      <c r="Y89" s="2619"/>
      <c r="Z89" s="2619"/>
      <c r="AA89" s="2619"/>
      <c r="AB89" s="2619"/>
    </row>
    <row r="90" spans="1:28" ht="13.5" customHeight="1">
      <c r="A90" s="3425">
        <v>2025</v>
      </c>
      <c r="B90" s="3428">
        <v>0.112226010081854</v>
      </c>
      <c r="C90" s="3428">
        <v>3.78787865172231E-3</v>
      </c>
      <c r="D90" s="3428">
        <v>-5.2932989219744802E-5</v>
      </c>
      <c r="E90" s="3428">
        <v>1.19997221690825E-7</v>
      </c>
      <c r="F90" s="3428">
        <v>1.8462753086337902E-8</v>
      </c>
      <c r="G90" s="3428">
        <v>-3.2076570780317801E-10</v>
      </c>
      <c r="H90" s="3428">
        <v>1.6836674939310201E-12</v>
      </c>
      <c r="I90" s="402">
        <v>12</v>
      </c>
      <c r="J90" s="402">
        <v>85</v>
      </c>
      <c r="K90" s="2619"/>
      <c r="L90" s="3425">
        <v>2025</v>
      </c>
      <c r="M90" s="3428">
        <v>20.6428291722059</v>
      </c>
      <c r="N90" s="3428">
        <v>-0.21706169743916401</v>
      </c>
      <c r="O90" s="3428">
        <v>1.7417647665712601E-2</v>
      </c>
      <c r="P90" s="3428">
        <v>-6.7818029396438898E-4</v>
      </c>
      <c r="Q90" s="3428">
        <v>1.23592733770007E-5</v>
      </c>
      <c r="R90" s="3428">
        <v>-1.09863353045458E-7</v>
      </c>
      <c r="S90" s="3428">
        <v>3.8416788858154499E-10</v>
      </c>
      <c r="T90" s="402">
        <v>12</v>
      </c>
      <c r="U90" s="402">
        <v>85</v>
      </c>
      <c r="V90" s="2619"/>
      <c r="W90" s="2619"/>
      <c r="X90" s="2619"/>
      <c r="Y90" s="2619"/>
      <c r="Z90" s="2619"/>
      <c r="AA90" s="2619"/>
      <c r="AB90" s="2619"/>
    </row>
    <row r="91" spans="1:28" ht="13.5" customHeight="1">
      <c r="A91" s="3425">
        <v>2030</v>
      </c>
      <c r="B91" s="3428">
        <v>9.3088116449123098E-2</v>
      </c>
      <c r="C91" s="3428">
        <v>1.78548225522794E-3</v>
      </c>
      <c r="D91" s="3428">
        <v>7.3362153960482797E-6</v>
      </c>
      <c r="E91" s="3428">
        <v>-1.30751687958465E-6</v>
      </c>
      <c r="F91" s="3428">
        <v>3.7280312237590499E-8</v>
      </c>
      <c r="G91" s="3428">
        <v>-4.4802389492438902E-10</v>
      </c>
      <c r="H91" s="3428">
        <v>2.0137995236545999E-12</v>
      </c>
      <c r="I91" s="402">
        <v>12</v>
      </c>
      <c r="J91" s="402">
        <v>85</v>
      </c>
      <c r="K91" s="2619"/>
      <c r="L91" s="3425">
        <v>2030</v>
      </c>
      <c r="M91" s="3428">
        <v>18.847288194125799</v>
      </c>
      <c r="N91" s="3428">
        <v>-0.55598204559600894</v>
      </c>
      <c r="O91" s="3428">
        <v>3.1295074024888E-2</v>
      </c>
      <c r="P91" s="3428">
        <v>-1.0057020629787099E-3</v>
      </c>
      <c r="Q91" s="3428">
        <v>1.68263278392388E-5</v>
      </c>
      <c r="R91" s="3428">
        <v>-1.41798624947753E-7</v>
      </c>
      <c r="S91" s="3428">
        <v>4.7511033258734201E-10</v>
      </c>
      <c r="T91" s="402">
        <v>12</v>
      </c>
      <c r="U91" s="402">
        <v>85</v>
      </c>
      <c r="V91" s="2619"/>
      <c r="W91" s="2619"/>
      <c r="X91" s="2619"/>
      <c r="Y91" s="2619"/>
      <c r="Z91" s="2619"/>
      <c r="AA91" s="2619"/>
      <c r="AB91" s="2619"/>
    </row>
    <row r="92" spans="1:28" ht="13.5" customHeight="1" thickBot="1">
      <c r="A92" s="3426">
        <v>2035</v>
      </c>
      <c r="B92" s="3429">
        <v>9.1205886696773E-2</v>
      </c>
      <c r="C92" s="3429">
        <v>1.5442139563337199E-3</v>
      </c>
      <c r="D92" s="3429">
        <v>1.4534298546436199E-5</v>
      </c>
      <c r="E92" s="3429">
        <v>-1.4779643435993201E-6</v>
      </c>
      <c r="F92" s="3429">
        <v>3.9493227223997801E-8</v>
      </c>
      <c r="G92" s="3429">
        <v>-4.6230345245662701E-10</v>
      </c>
      <c r="H92" s="3429">
        <v>2.0473654541012598E-12</v>
      </c>
      <c r="I92" s="403">
        <v>12</v>
      </c>
      <c r="J92" s="403">
        <v>85</v>
      </c>
      <c r="K92" s="2619"/>
      <c r="L92" s="3426">
        <v>2035</v>
      </c>
      <c r="M92" s="3429">
        <v>18.568488653071</v>
      </c>
      <c r="N92" s="3429">
        <v>-0.60139735728979304</v>
      </c>
      <c r="O92" s="3429">
        <v>3.3186981648559898E-2</v>
      </c>
      <c r="P92" s="3429">
        <v>-1.0483419653954001E-3</v>
      </c>
      <c r="Q92" s="3429">
        <v>1.7391135734667301E-5</v>
      </c>
      <c r="R92" s="3429">
        <v>-1.4572297016674199E-7</v>
      </c>
      <c r="S92" s="3429">
        <v>4.8586937119383399E-10</v>
      </c>
      <c r="T92" s="403">
        <v>12</v>
      </c>
      <c r="U92" s="403">
        <v>85</v>
      </c>
      <c r="V92" s="2619"/>
      <c r="W92" s="2619"/>
      <c r="X92" s="2619"/>
      <c r="Y92" s="2619"/>
      <c r="Z92" s="2619"/>
      <c r="AA92" s="2619"/>
      <c r="AB92" s="2619"/>
    </row>
    <row r="93" spans="1:28" ht="13.5" customHeight="1" thickTop="1" thickBot="1">
      <c r="A93" s="2619"/>
      <c r="B93" s="2619"/>
      <c r="C93" s="2619"/>
      <c r="D93" s="2619"/>
      <c r="E93" s="2619"/>
      <c r="F93" s="2619"/>
      <c r="G93" s="2619"/>
      <c r="H93" s="2619"/>
      <c r="I93" s="2619"/>
      <c r="J93" s="2619"/>
      <c r="K93" s="2619"/>
      <c r="L93" s="2619"/>
      <c r="M93" s="2619"/>
      <c r="N93" s="2619"/>
      <c r="O93" s="2619"/>
      <c r="P93" s="2619"/>
      <c r="Q93" s="2619"/>
      <c r="R93" s="2619"/>
      <c r="S93" s="2619"/>
      <c r="T93" s="2619"/>
      <c r="U93" s="2619"/>
      <c r="V93" s="2619"/>
      <c r="W93" s="2619"/>
      <c r="X93" s="2619"/>
      <c r="Y93" s="2619"/>
      <c r="Z93" s="2619"/>
      <c r="AA93" s="2619"/>
      <c r="AB93" s="2619"/>
    </row>
    <row r="94" spans="1:28" ht="13.5" customHeight="1" thickTop="1">
      <c r="A94" s="3467" t="s">
        <v>2431</v>
      </c>
      <c r="B94" s="680" t="s">
        <v>2419</v>
      </c>
      <c r="C94" s="224"/>
      <c r="D94" s="224"/>
      <c r="E94" s="462"/>
      <c r="F94" s="462"/>
      <c r="G94" s="462"/>
      <c r="H94" s="680"/>
      <c r="I94" s="224"/>
      <c r="J94" s="462"/>
      <c r="K94" s="2619"/>
      <c r="L94" s="3467" t="s">
        <v>2432</v>
      </c>
      <c r="M94" s="680" t="s">
        <v>2406</v>
      </c>
      <c r="N94" s="224"/>
      <c r="O94" s="224"/>
      <c r="P94" s="462"/>
      <c r="Q94" s="462"/>
      <c r="R94" s="462"/>
      <c r="S94" s="680"/>
      <c r="T94" s="224"/>
      <c r="U94" s="462"/>
      <c r="V94" s="2619"/>
      <c r="W94" s="2619"/>
      <c r="X94" s="2619"/>
      <c r="Y94" s="2619"/>
      <c r="Z94" s="2619"/>
      <c r="AA94" s="2619"/>
      <c r="AB94" s="2619"/>
    </row>
    <row r="95" spans="1:28" ht="13.5" customHeight="1" thickBot="1">
      <c r="A95" s="836"/>
      <c r="B95" s="526" t="s">
        <v>2400</v>
      </c>
      <c r="C95" s="227"/>
      <c r="D95" s="227"/>
      <c r="E95" s="523"/>
      <c r="F95" s="523"/>
      <c r="G95" s="523"/>
      <c r="H95" s="526"/>
      <c r="I95" s="227"/>
      <c r="J95" s="523"/>
      <c r="K95" s="2619"/>
      <c r="L95" s="836"/>
      <c r="M95" s="526" t="s">
        <v>2400</v>
      </c>
      <c r="N95" s="227"/>
      <c r="O95" s="227"/>
      <c r="P95" s="523"/>
      <c r="Q95" s="523"/>
      <c r="R95" s="523"/>
      <c r="S95" s="526"/>
      <c r="T95" s="227"/>
      <c r="U95" s="523"/>
      <c r="V95" s="2619"/>
      <c r="W95" s="2619"/>
      <c r="X95" s="2619"/>
      <c r="Y95" s="2619"/>
      <c r="Z95" s="2619"/>
      <c r="AA95" s="2619"/>
      <c r="AB95" s="2619"/>
    </row>
    <row r="96" spans="1:28" ht="13.5" customHeight="1" thickTop="1" thickBot="1">
      <c r="A96" s="2811"/>
      <c r="B96" s="3720" t="s">
        <v>1399</v>
      </c>
      <c r="C96" s="3721"/>
      <c r="D96" s="3721"/>
      <c r="E96" s="3721"/>
      <c r="F96" s="3721"/>
      <c r="G96" s="3721"/>
      <c r="H96" s="3722"/>
      <c r="I96" s="414" t="s">
        <v>2399</v>
      </c>
      <c r="J96" s="414" t="s">
        <v>2398</v>
      </c>
      <c r="K96" s="2619"/>
      <c r="L96" s="2811"/>
      <c r="M96" s="3720" t="s">
        <v>1399</v>
      </c>
      <c r="N96" s="3721"/>
      <c r="O96" s="3721"/>
      <c r="P96" s="3721"/>
      <c r="Q96" s="3721"/>
      <c r="R96" s="3721"/>
      <c r="S96" s="3722"/>
      <c r="T96" s="414" t="s">
        <v>2399</v>
      </c>
      <c r="U96" s="414" t="s">
        <v>2398</v>
      </c>
      <c r="V96" s="2619"/>
      <c r="W96" s="2619"/>
      <c r="X96" s="2619"/>
      <c r="Y96" s="2619"/>
      <c r="Z96" s="2619"/>
      <c r="AA96" s="2619"/>
      <c r="AB96" s="2619"/>
    </row>
    <row r="97" spans="1:28" ht="13.5" customHeight="1" thickTop="1" thickBot="1">
      <c r="A97" s="3430" t="s">
        <v>568</v>
      </c>
      <c r="B97" s="414" t="s">
        <v>569</v>
      </c>
      <c r="C97" s="414" t="s">
        <v>570</v>
      </c>
      <c r="D97" s="414" t="s">
        <v>571</v>
      </c>
      <c r="E97" s="414" t="s">
        <v>572</v>
      </c>
      <c r="F97" s="414" t="s">
        <v>2395</v>
      </c>
      <c r="G97" s="414" t="s">
        <v>2396</v>
      </c>
      <c r="H97" s="414" t="s">
        <v>2397</v>
      </c>
      <c r="I97" s="3719" t="s">
        <v>1698</v>
      </c>
      <c r="J97" s="3703"/>
      <c r="K97" s="2619"/>
      <c r="L97" s="3430" t="s">
        <v>568</v>
      </c>
      <c r="M97" s="414" t="s">
        <v>569</v>
      </c>
      <c r="N97" s="414" t="s">
        <v>570</v>
      </c>
      <c r="O97" s="414" t="s">
        <v>571</v>
      </c>
      <c r="P97" s="414" t="s">
        <v>572</v>
      </c>
      <c r="Q97" s="414" t="s">
        <v>2395</v>
      </c>
      <c r="R97" s="414" t="s">
        <v>2396</v>
      </c>
      <c r="S97" s="414" t="s">
        <v>2397</v>
      </c>
      <c r="T97" s="3719" t="s">
        <v>1698</v>
      </c>
      <c r="U97" s="3703"/>
      <c r="V97" s="2619"/>
      <c r="W97" s="2619"/>
      <c r="X97" s="2619"/>
      <c r="Y97" s="2619"/>
      <c r="Z97" s="2619"/>
      <c r="AA97" s="2619"/>
      <c r="AB97" s="2619"/>
    </row>
    <row r="98" spans="1:28" ht="13.5" customHeight="1" thickTop="1">
      <c r="A98" s="3425">
        <v>2015</v>
      </c>
      <c r="B98" s="3427">
        <v>0.58461097557013697</v>
      </c>
      <c r="C98" s="3427">
        <v>4.8182705908836998E-2</v>
      </c>
      <c r="D98" s="3427">
        <v>-1.7616560425435101E-3</v>
      </c>
      <c r="E98" s="3427">
        <v>4.5831226644344299E-5</v>
      </c>
      <c r="F98" s="3427">
        <v>-6.6643291999774496E-7</v>
      </c>
      <c r="G98" s="3427">
        <v>5.1075184245899898E-9</v>
      </c>
      <c r="H98" s="3427">
        <v>-1.5961921245458499E-11</v>
      </c>
      <c r="I98" s="402">
        <v>12</v>
      </c>
      <c r="J98" s="402">
        <v>85</v>
      </c>
      <c r="K98" s="2619"/>
      <c r="L98" s="3425">
        <v>2015</v>
      </c>
      <c r="M98" s="3427">
        <v>62.463863456717199</v>
      </c>
      <c r="N98" s="3427">
        <v>5.34493059574572</v>
      </c>
      <c r="O98" s="3427">
        <v>-0.24989926815757901</v>
      </c>
      <c r="P98" s="3427">
        <v>6.4369727083717103E-3</v>
      </c>
      <c r="Q98" s="3427">
        <v>-9.3929556123506405E-5</v>
      </c>
      <c r="R98" s="3427">
        <v>7.2070143067082896E-7</v>
      </c>
      <c r="S98" s="3427">
        <v>-2.2539403820852398E-9</v>
      </c>
      <c r="T98" s="402">
        <v>12</v>
      </c>
      <c r="U98" s="402">
        <v>85</v>
      </c>
      <c r="V98" s="2619"/>
      <c r="W98" s="2619"/>
      <c r="X98" s="2619"/>
      <c r="Y98" s="2619"/>
      <c r="Z98" s="2619"/>
      <c r="AA98" s="2619"/>
      <c r="AB98" s="2619"/>
    </row>
    <row r="99" spans="1:28" ht="13.5" customHeight="1">
      <c r="A99" s="3425">
        <v>2020</v>
      </c>
      <c r="B99" s="3428">
        <v>0.231963860676342</v>
      </c>
      <c r="C99" s="3428">
        <v>8.9451170831346492E-3</v>
      </c>
      <c r="D99" s="3428">
        <v>-2.6669549219006801E-4</v>
      </c>
      <c r="E99" s="3428">
        <v>7.0644250757917404E-6</v>
      </c>
      <c r="F99" s="3428">
        <v>-1.04437336670447E-7</v>
      </c>
      <c r="G99" s="3428">
        <v>8.0751133576446997E-10</v>
      </c>
      <c r="H99" s="3428">
        <v>-2.52863023403987E-12</v>
      </c>
      <c r="I99" s="1648">
        <v>12</v>
      </c>
      <c r="J99" s="1648">
        <v>85</v>
      </c>
      <c r="K99" s="2619"/>
      <c r="L99" s="3425">
        <v>2020</v>
      </c>
      <c r="M99" s="3428">
        <v>25.711475824287898</v>
      </c>
      <c r="N99" s="3428">
        <v>0.87604923484248098</v>
      </c>
      <c r="O99" s="3428">
        <v>-3.79848548272671E-2</v>
      </c>
      <c r="P99" s="3428">
        <v>8.1264592518513605E-4</v>
      </c>
      <c r="Q99" s="3428">
        <v>-1.00802551374483E-5</v>
      </c>
      <c r="R99" s="3428">
        <v>6.7046239090546204E-8</v>
      </c>
      <c r="S99" s="3428">
        <v>-1.8475080434898601E-10</v>
      </c>
      <c r="T99" s="1648">
        <v>12</v>
      </c>
      <c r="U99" s="1648">
        <v>85</v>
      </c>
      <c r="V99" s="2619"/>
      <c r="W99" s="2619"/>
      <c r="X99" s="2619"/>
      <c r="Y99" s="2619"/>
      <c r="Z99" s="2619"/>
      <c r="AA99" s="2619"/>
      <c r="AB99" s="2619"/>
    </row>
    <row r="100" spans="1:28" ht="13.5" customHeight="1">
      <c r="A100" s="3425">
        <v>2025</v>
      </c>
      <c r="B100" s="3428">
        <v>0.161274395506946</v>
      </c>
      <c r="C100" s="3428">
        <v>1.0447788778271299E-3</v>
      </c>
      <c r="D100" s="3428">
        <v>4.8046730715207899E-5</v>
      </c>
      <c r="E100" s="3428">
        <v>-1.4994365843113999E-6</v>
      </c>
      <c r="F100" s="3428">
        <v>2.49349019739461E-8</v>
      </c>
      <c r="G100" s="3428">
        <v>-2.1182001187218801E-10</v>
      </c>
      <c r="H100" s="3428">
        <v>7.2654120660052197E-13</v>
      </c>
      <c r="I100" s="402">
        <v>12</v>
      </c>
      <c r="J100" s="402">
        <v>85</v>
      </c>
      <c r="K100" s="2619"/>
      <c r="L100" s="3425">
        <v>2025</v>
      </c>
      <c r="M100" s="3428">
        <v>16.1064435519081</v>
      </c>
      <c r="N100" s="3428">
        <v>-3.93569409974244E-2</v>
      </c>
      <c r="O100" s="3428">
        <v>7.8380516926859697E-3</v>
      </c>
      <c r="P100" s="3428">
        <v>-4.04567983561011E-4</v>
      </c>
      <c r="Q100" s="3428">
        <v>8.0982761281921594E-6</v>
      </c>
      <c r="R100" s="3428">
        <v>-7.4970188346258806E-8</v>
      </c>
      <c r="S100" s="3428">
        <v>2.65800698143701E-10</v>
      </c>
      <c r="T100" s="402">
        <v>12</v>
      </c>
      <c r="U100" s="402">
        <v>85</v>
      </c>
      <c r="V100" s="2619"/>
      <c r="W100" s="2619"/>
      <c r="X100" s="2619"/>
      <c r="Y100" s="2619"/>
      <c r="Z100" s="2619"/>
      <c r="AA100" s="2619"/>
      <c r="AB100" s="2619"/>
    </row>
    <row r="101" spans="1:28" ht="13.5" customHeight="1">
      <c r="A101" s="3425">
        <v>2030</v>
      </c>
      <c r="B101" s="3428">
        <v>0.15534356352342099</v>
      </c>
      <c r="C101" s="3428">
        <v>3.26775551302526E-4</v>
      </c>
      <c r="D101" s="3428">
        <v>7.7044831973357194E-5</v>
      </c>
      <c r="E101" s="3428">
        <v>-2.2933905019992698E-6</v>
      </c>
      <c r="F101" s="3428">
        <v>3.6983571312060802E-8</v>
      </c>
      <c r="G101" s="3428">
        <v>-3.06953841754612E-10</v>
      </c>
      <c r="H101" s="3428">
        <v>1.0306721260752E-12</v>
      </c>
      <c r="I101" s="402">
        <v>12</v>
      </c>
      <c r="J101" s="402">
        <v>85</v>
      </c>
      <c r="K101" s="2619"/>
      <c r="L101" s="3425">
        <v>2030</v>
      </c>
      <c r="M101" s="3428">
        <v>15.2069497052823</v>
      </c>
      <c r="N101" s="3428">
        <v>-0.12444222991008699</v>
      </c>
      <c r="O101" s="3428">
        <v>1.21637304212544E-2</v>
      </c>
      <c r="P101" s="3428">
        <v>-5.1972963937912096E-4</v>
      </c>
      <c r="Q101" s="3428">
        <v>9.8198214143559507E-6</v>
      </c>
      <c r="R101" s="3428">
        <v>-8.84255835779337E-8</v>
      </c>
      <c r="S101" s="3428">
        <v>3.0849813590612299E-10</v>
      </c>
      <c r="T101" s="402">
        <v>12</v>
      </c>
      <c r="U101" s="402">
        <v>85</v>
      </c>
      <c r="V101" s="2619"/>
      <c r="W101" s="2619"/>
      <c r="X101" s="2619"/>
      <c r="Y101" s="2619"/>
      <c r="Z101" s="2619"/>
      <c r="AA101" s="2619"/>
      <c r="AB101" s="2619"/>
    </row>
    <row r="102" spans="1:28" ht="13.5" customHeight="1" thickBot="1">
      <c r="A102" s="3426">
        <v>2035</v>
      </c>
      <c r="B102" s="3429">
        <v>0.15489377321129599</v>
      </c>
      <c r="C102" s="3429">
        <v>2.71258046933745E-4</v>
      </c>
      <c r="D102" s="3429">
        <v>7.9325201552926994E-5</v>
      </c>
      <c r="E102" s="3429">
        <v>-2.3564970759505E-6</v>
      </c>
      <c r="F102" s="3429">
        <v>3.79479866324473E-8</v>
      </c>
      <c r="G102" s="3429">
        <v>-3.14600768240566E-10</v>
      </c>
      <c r="H102" s="3429">
        <v>1.0551908719173999E-12</v>
      </c>
      <c r="I102" s="403">
        <v>12</v>
      </c>
      <c r="J102" s="403">
        <v>85</v>
      </c>
      <c r="K102" s="2619"/>
      <c r="L102" s="3426">
        <v>2035</v>
      </c>
      <c r="M102" s="3429">
        <v>15.1280025012408</v>
      </c>
      <c r="N102" s="3429">
        <v>-0.130659771759812</v>
      </c>
      <c r="O102" s="3429">
        <v>1.2492438972067799E-2</v>
      </c>
      <c r="P102" s="3429">
        <v>-5.2847479608665896E-4</v>
      </c>
      <c r="Q102" s="3429">
        <v>9.9506870033995504E-6</v>
      </c>
      <c r="R102" s="3429">
        <v>-8.9450148956884006E-8</v>
      </c>
      <c r="S102" s="3429">
        <v>3.1175543733336598E-10</v>
      </c>
      <c r="T102" s="403">
        <v>12</v>
      </c>
      <c r="U102" s="403">
        <v>85</v>
      </c>
      <c r="V102" s="2619"/>
      <c r="W102" s="2619"/>
      <c r="X102" s="2619"/>
      <c r="Y102" s="2619"/>
      <c r="Z102" s="2619"/>
      <c r="AA102" s="2619"/>
      <c r="AB102" s="2619"/>
    </row>
    <row r="103" spans="1:28" ht="13.5" customHeight="1" thickTop="1" thickBot="1">
      <c r="A103" s="2619"/>
      <c r="B103" s="2619"/>
      <c r="C103" s="2619"/>
      <c r="D103" s="2619"/>
      <c r="E103" s="2619"/>
      <c r="F103" s="2619"/>
      <c r="G103" s="2619"/>
      <c r="H103" s="2619"/>
      <c r="I103" s="2619"/>
      <c r="J103" s="2619"/>
      <c r="K103" s="2619"/>
      <c r="L103" s="2619"/>
      <c r="M103" s="2619"/>
      <c r="N103" s="2619"/>
      <c r="O103" s="2619"/>
      <c r="P103" s="2619"/>
      <c r="Q103" s="2619"/>
      <c r="R103" s="2619"/>
      <c r="S103" s="2619"/>
      <c r="T103" s="2619"/>
      <c r="U103" s="2619"/>
      <c r="V103" s="2619"/>
      <c r="W103" s="2619"/>
      <c r="X103" s="2619"/>
      <c r="Y103" s="2619"/>
      <c r="Z103" s="2619"/>
      <c r="AA103" s="2619"/>
      <c r="AB103" s="2619"/>
    </row>
    <row r="104" spans="1:28" ht="13.5" customHeight="1" thickTop="1">
      <c r="A104" s="3467" t="s">
        <v>2431</v>
      </c>
      <c r="B104" s="680" t="s">
        <v>2420</v>
      </c>
      <c r="C104" s="224"/>
      <c r="D104" s="224"/>
      <c r="E104" s="462"/>
      <c r="F104" s="462"/>
      <c r="G104" s="462"/>
      <c r="H104" s="680"/>
      <c r="I104" s="224"/>
      <c r="J104" s="462"/>
      <c r="K104" s="2619"/>
      <c r="L104" s="3467" t="s">
        <v>2432</v>
      </c>
      <c r="M104" s="680" t="s">
        <v>2407</v>
      </c>
      <c r="N104" s="224"/>
      <c r="O104" s="224"/>
      <c r="P104" s="462"/>
      <c r="Q104" s="462"/>
      <c r="R104" s="462"/>
      <c r="S104" s="680"/>
      <c r="T104" s="224"/>
      <c r="U104" s="462"/>
      <c r="V104" s="2619"/>
      <c r="W104" s="2619"/>
      <c r="X104" s="2619"/>
      <c r="Y104" s="2619"/>
      <c r="Z104" s="2619"/>
      <c r="AA104" s="2619"/>
      <c r="AB104" s="2619"/>
    </row>
    <row r="105" spans="1:28" ht="13.5" customHeight="1" thickBot="1">
      <c r="A105" s="836"/>
      <c r="B105" s="526" t="s">
        <v>2400</v>
      </c>
      <c r="C105" s="227"/>
      <c r="D105" s="227"/>
      <c r="E105" s="523"/>
      <c r="F105" s="523"/>
      <c r="G105" s="523"/>
      <c r="H105" s="526"/>
      <c r="I105" s="227"/>
      <c r="J105" s="523"/>
      <c r="K105" s="2619"/>
      <c r="L105" s="836"/>
      <c r="M105" s="526" t="s">
        <v>2400</v>
      </c>
      <c r="N105" s="227"/>
      <c r="O105" s="227"/>
      <c r="P105" s="523"/>
      <c r="Q105" s="523"/>
      <c r="R105" s="523"/>
      <c r="S105" s="526"/>
      <c r="T105" s="227"/>
      <c r="U105" s="523"/>
      <c r="V105" s="2619"/>
      <c r="W105" s="2619"/>
      <c r="X105" s="2619"/>
      <c r="Y105" s="2619"/>
      <c r="Z105" s="2619"/>
      <c r="AA105" s="2619"/>
      <c r="AB105" s="2619"/>
    </row>
    <row r="106" spans="1:28" ht="13.5" customHeight="1" thickTop="1" thickBot="1">
      <c r="A106" s="2811"/>
      <c r="B106" s="3720" t="s">
        <v>1399</v>
      </c>
      <c r="C106" s="3721"/>
      <c r="D106" s="3721"/>
      <c r="E106" s="3721"/>
      <c r="F106" s="3721"/>
      <c r="G106" s="3721"/>
      <c r="H106" s="3722"/>
      <c r="I106" s="414" t="s">
        <v>2399</v>
      </c>
      <c r="J106" s="414" t="s">
        <v>2398</v>
      </c>
      <c r="K106" s="2619"/>
      <c r="L106" s="2811"/>
      <c r="M106" s="3720" t="s">
        <v>1399</v>
      </c>
      <c r="N106" s="3721"/>
      <c r="O106" s="3721"/>
      <c r="P106" s="3721"/>
      <c r="Q106" s="3721"/>
      <c r="R106" s="3721"/>
      <c r="S106" s="3722"/>
      <c r="T106" s="414" t="s">
        <v>2399</v>
      </c>
      <c r="U106" s="414" t="s">
        <v>2398</v>
      </c>
      <c r="V106" s="2619"/>
      <c r="W106" s="2619"/>
      <c r="X106" s="2619"/>
      <c r="Y106" s="2619"/>
      <c r="Z106" s="2619"/>
      <c r="AA106" s="2619"/>
      <c r="AB106" s="2619"/>
    </row>
    <row r="107" spans="1:28" ht="13.5" customHeight="1" thickTop="1" thickBot="1">
      <c r="A107" s="3430" t="s">
        <v>568</v>
      </c>
      <c r="B107" s="414" t="s">
        <v>569</v>
      </c>
      <c r="C107" s="414" t="s">
        <v>570</v>
      </c>
      <c r="D107" s="414" t="s">
        <v>571</v>
      </c>
      <c r="E107" s="414" t="s">
        <v>572</v>
      </c>
      <c r="F107" s="414" t="s">
        <v>2395</v>
      </c>
      <c r="G107" s="414" t="s">
        <v>2396</v>
      </c>
      <c r="H107" s="414" t="s">
        <v>2397</v>
      </c>
      <c r="I107" s="3719" t="s">
        <v>1698</v>
      </c>
      <c r="J107" s="3703"/>
      <c r="K107" s="2619"/>
      <c r="L107" s="3430" t="s">
        <v>568</v>
      </c>
      <c r="M107" s="414" t="s">
        <v>569</v>
      </c>
      <c r="N107" s="414" t="s">
        <v>570</v>
      </c>
      <c r="O107" s="414" t="s">
        <v>571</v>
      </c>
      <c r="P107" s="414" t="s">
        <v>572</v>
      </c>
      <c r="Q107" s="414" t="s">
        <v>2395</v>
      </c>
      <c r="R107" s="414" t="s">
        <v>2396</v>
      </c>
      <c r="S107" s="414" t="s">
        <v>2397</v>
      </c>
      <c r="T107" s="3719" t="s">
        <v>1698</v>
      </c>
      <c r="U107" s="3703"/>
      <c r="V107" s="2619"/>
      <c r="W107" s="2619"/>
      <c r="X107" s="2619"/>
      <c r="Y107" s="2619"/>
      <c r="Z107" s="2619"/>
      <c r="AA107" s="2619"/>
      <c r="AB107" s="2619"/>
    </row>
    <row r="108" spans="1:28" ht="13.5" customHeight="1" thickTop="1">
      <c r="A108" s="3425">
        <v>2015</v>
      </c>
      <c r="B108" s="3427">
        <v>0.60094458350049595</v>
      </c>
      <c r="C108" s="3427">
        <v>5.4579382514412002E-2</v>
      </c>
      <c r="D108" s="3427">
        <v>-1.41639355147847E-3</v>
      </c>
      <c r="E108" s="3427">
        <v>2.9473576487890899E-5</v>
      </c>
      <c r="F108" s="3427">
        <v>-3.42188684724227E-7</v>
      </c>
      <c r="G108" s="3427">
        <v>2.0261097953612601E-9</v>
      </c>
      <c r="H108" s="3427">
        <v>-3.0915289920545199E-12</v>
      </c>
      <c r="I108" s="402">
        <v>11</v>
      </c>
      <c r="J108" s="402">
        <v>85</v>
      </c>
      <c r="K108" s="2619"/>
      <c r="L108" s="3425">
        <v>2015</v>
      </c>
      <c r="M108" s="3427">
        <v>79.9068227775428</v>
      </c>
      <c r="N108" s="3427">
        <v>3.0224482484906701</v>
      </c>
      <c r="O108" s="3427">
        <v>-5.1647871808995903E-2</v>
      </c>
      <c r="P108" s="3427">
        <v>1.57537078151049E-6</v>
      </c>
      <c r="Q108" s="3427">
        <v>1.3689532395405199E-5</v>
      </c>
      <c r="R108" s="3427">
        <v>-1.8419573779508599E-7</v>
      </c>
      <c r="S108" s="3427">
        <v>8.4152892242677104E-10</v>
      </c>
      <c r="T108" s="402">
        <v>11</v>
      </c>
      <c r="U108" s="402">
        <v>85</v>
      </c>
      <c r="V108" s="2619"/>
      <c r="W108" s="2619"/>
      <c r="X108" s="2619"/>
      <c r="Y108" s="2619"/>
      <c r="Z108" s="2619"/>
      <c r="AA108" s="2619"/>
      <c r="AB108" s="2619"/>
    </row>
    <row r="109" spans="1:28" ht="13.5" customHeight="1">
      <c r="A109" s="3425">
        <v>2020</v>
      </c>
      <c r="B109" s="3428">
        <v>0.30155168916403402</v>
      </c>
      <c r="C109" s="3428">
        <v>1.9625417969241301E-2</v>
      </c>
      <c r="D109" s="3428">
        <v>-2.24941644851702E-4</v>
      </c>
      <c r="E109" s="3428">
        <v>-2.08566098813076E-6</v>
      </c>
      <c r="F109" s="3428">
        <v>1.23339653187919E-7</v>
      </c>
      <c r="G109" s="3428">
        <v>-1.4965664648669201E-9</v>
      </c>
      <c r="H109" s="3428">
        <v>6.81933526030841E-12</v>
      </c>
      <c r="I109" s="1648">
        <v>11</v>
      </c>
      <c r="J109" s="1648">
        <v>85</v>
      </c>
      <c r="K109" s="2619"/>
      <c r="L109" s="3425">
        <v>2020</v>
      </c>
      <c r="M109" s="3428">
        <v>41.456329112061198</v>
      </c>
      <c r="N109" s="3428">
        <v>1.2598684242364</v>
      </c>
      <c r="O109" s="3428">
        <v>-2.4943552753575698E-3</v>
      </c>
      <c r="P109" s="3428">
        <v>-1.07744716600172E-3</v>
      </c>
      <c r="Q109" s="3428">
        <v>2.8412561231614501E-5</v>
      </c>
      <c r="R109" s="3428">
        <v>-2.9415058262745301E-7</v>
      </c>
      <c r="S109" s="3428">
        <v>1.1518250966293699E-9</v>
      </c>
      <c r="T109" s="1648">
        <v>11</v>
      </c>
      <c r="U109" s="1648">
        <v>85</v>
      </c>
      <c r="V109" s="2619"/>
      <c r="W109" s="2619"/>
      <c r="X109" s="2619"/>
      <c r="Y109" s="2619"/>
      <c r="Z109" s="2619"/>
      <c r="AA109" s="2619"/>
      <c r="AB109" s="2619"/>
    </row>
    <row r="110" spans="1:28" ht="13.5" customHeight="1">
      <c r="A110" s="3425">
        <v>2025</v>
      </c>
      <c r="B110" s="3428">
        <v>0.14644033933474601</v>
      </c>
      <c r="C110" s="3428">
        <v>7.8007643353165805E-4</v>
      </c>
      <c r="D110" s="3428">
        <v>3.9746178221507201E-4</v>
      </c>
      <c r="E110" s="3428">
        <v>-1.8171612344624699E-5</v>
      </c>
      <c r="F110" s="3428">
        <v>3.55977185499638E-7</v>
      </c>
      <c r="G110" s="3428">
        <v>-3.1966642100114998E-9</v>
      </c>
      <c r="H110" s="3428">
        <v>1.11012817863936E-11</v>
      </c>
      <c r="I110" s="402">
        <v>11</v>
      </c>
      <c r="J110" s="402">
        <v>85</v>
      </c>
      <c r="K110" s="2619"/>
      <c r="L110" s="3425">
        <v>2025</v>
      </c>
      <c r="M110" s="3428">
        <v>20.410017210816498</v>
      </c>
      <c r="N110" s="3428">
        <v>-0.38551750739703899</v>
      </c>
      <c r="O110" s="3428">
        <v>6.1200278348650002E-2</v>
      </c>
      <c r="P110" s="3428">
        <v>-2.6000810488518702E-3</v>
      </c>
      <c r="Q110" s="3428">
        <v>4.9757148561265603E-5</v>
      </c>
      <c r="R110" s="3428">
        <v>-4.5440090656361302E-7</v>
      </c>
      <c r="S110" s="3428">
        <v>1.6174937113027399E-9</v>
      </c>
      <c r="T110" s="402">
        <v>11</v>
      </c>
      <c r="U110" s="402">
        <v>85</v>
      </c>
      <c r="V110" s="2619"/>
      <c r="W110" s="2619"/>
      <c r="X110" s="2619"/>
      <c r="Y110" s="2619"/>
      <c r="Z110" s="2619"/>
      <c r="AA110" s="2619"/>
      <c r="AB110" s="2619"/>
    </row>
    <row r="111" spans="1:28" ht="13.5" customHeight="1">
      <c r="A111" s="3425">
        <v>2030</v>
      </c>
      <c r="B111" s="3428">
        <v>0.113726970748177</v>
      </c>
      <c r="C111" s="3428">
        <v>-4.1583736869901002E-3</v>
      </c>
      <c r="D111" s="3428">
        <v>5.6510659402485904E-4</v>
      </c>
      <c r="E111" s="3428">
        <v>-2.24588079332774E-5</v>
      </c>
      <c r="F111" s="3428">
        <v>4.1779388833533802E-7</v>
      </c>
      <c r="G111" s="3428">
        <v>-3.64556740560305E-9</v>
      </c>
      <c r="H111" s="3428">
        <v>1.22092209535952E-11</v>
      </c>
      <c r="I111" s="402">
        <v>11</v>
      </c>
      <c r="J111" s="402">
        <v>85</v>
      </c>
      <c r="K111" s="2619"/>
      <c r="L111" s="3425">
        <v>2030</v>
      </c>
      <c r="M111" s="3428">
        <v>15.316314613114599</v>
      </c>
      <c r="N111" s="3428">
        <v>-0.88850175467844095</v>
      </c>
      <c r="O111" s="3428">
        <v>8.15531405073429E-2</v>
      </c>
      <c r="P111" s="3428">
        <v>-3.0934997001926998E-3</v>
      </c>
      <c r="Q111" s="3428">
        <v>5.6734178701867902E-5</v>
      </c>
      <c r="R111" s="3428">
        <v>-5.0708634868423195E-7</v>
      </c>
      <c r="S111" s="3428">
        <v>1.7724307762700501E-9</v>
      </c>
      <c r="T111" s="402">
        <v>11</v>
      </c>
      <c r="U111" s="402">
        <v>85</v>
      </c>
      <c r="V111" s="2619"/>
      <c r="W111" s="2619"/>
      <c r="X111" s="2619"/>
      <c r="Y111" s="2619"/>
      <c r="Z111" s="2619"/>
      <c r="AA111" s="2619"/>
      <c r="AB111" s="2619"/>
    </row>
    <row r="112" spans="1:28" ht="13.5" customHeight="1" thickBot="1">
      <c r="A112" s="3426">
        <v>2035</v>
      </c>
      <c r="B112" s="3429">
        <v>0.108150922582561</v>
      </c>
      <c r="C112" s="3429">
        <v>-5.1222599951725898E-3</v>
      </c>
      <c r="D112" s="3429">
        <v>5.9530409095373798E-4</v>
      </c>
      <c r="E112" s="3429">
        <v>-2.3163489142032202E-5</v>
      </c>
      <c r="F112" s="3429">
        <v>4.2719924929020899E-7</v>
      </c>
      <c r="G112" s="3429">
        <v>-3.7046652721397198E-9</v>
      </c>
      <c r="H112" s="3429">
        <v>1.2278662439416501E-11</v>
      </c>
      <c r="I112" s="403">
        <v>11</v>
      </c>
      <c r="J112" s="403">
        <v>85</v>
      </c>
      <c r="K112" s="2619"/>
      <c r="L112" s="3426">
        <v>2035</v>
      </c>
      <c r="M112" s="3429">
        <v>14.317528241203</v>
      </c>
      <c r="N112" s="3429">
        <v>-1.0596781314528101</v>
      </c>
      <c r="O112" s="3429">
        <v>8.9663291053369898E-2</v>
      </c>
      <c r="P112" s="3429">
        <v>-3.2934173737364002E-3</v>
      </c>
      <c r="Q112" s="3429">
        <v>5.9555928333997302E-5</v>
      </c>
      <c r="R112" s="3429">
        <v>-5.2825582502428501E-7</v>
      </c>
      <c r="S112" s="3429">
        <v>1.83437318052156E-9</v>
      </c>
      <c r="T112" s="403">
        <v>11</v>
      </c>
      <c r="U112" s="403">
        <v>85</v>
      </c>
      <c r="V112" s="2619"/>
      <c r="W112" s="2619"/>
      <c r="X112" s="2619"/>
      <c r="Y112" s="2619"/>
      <c r="Z112" s="2619"/>
      <c r="AA112" s="2619"/>
      <c r="AB112" s="2619"/>
    </row>
    <row r="113" spans="1:28" ht="13.5" customHeight="1" thickTop="1" thickBot="1">
      <c r="A113" s="2619"/>
      <c r="B113" s="2619"/>
      <c r="C113" s="2619"/>
      <c r="D113" s="2619"/>
      <c r="E113" s="2619"/>
      <c r="F113" s="2619"/>
      <c r="G113" s="2619"/>
      <c r="H113" s="2619"/>
      <c r="I113" s="2619"/>
      <c r="J113" s="2619"/>
      <c r="K113" s="2619"/>
      <c r="L113" s="2619"/>
      <c r="M113" s="2619"/>
      <c r="N113" s="2619"/>
      <c r="O113" s="2619"/>
      <c r="P113" s="2619"/>
      <c r="Q113" s="2619"/>
      <c r="R113" s="2619"/>
      <c r="S113" s="2619"/>
      <c r="T113" s="2619"/>
      <c r="U113" s="2619"/>
      <c r="V113" s="2619"/>
      <c r="W113" s="2619"/>
      <c r="X113" s="2619"/>
      <c r="Y113" s="2619"/>
      <c r="Z113" s="2619"/>
      <c r="AA113" s="2619"/>
      <c r="AB113" s="2619"/>
    </row>
    <row r="114" spans="1:28" ht="13.5" customHeight="1" thickTop="1">
      <c r="A114" s="3467" t="s">
        <v>2431</v>
      </c>
      <c r="B114" s="680" t="s">
        <v>2421</v>
      </c>
      <c r="C114" s="224"/>
      <c r="D114" s="224"/>
      <c r="E114" s="462"/>
      <c r="F114" s="462"/>
      <c r="G114" s="462"/>
      <c r="H114" s="680"/>
      <c r="I114" s="224"/>
      <c r="J114" s="462"/>
      <c r="K114" s="2619"/>
      <c r="L114" s="3467" t="s">
        <v>2432</v>
      </c>
      <c r="M114" s="680" t="s">
        <v>2408</v>
      </c>
      <c r="N114" s="224"/>
      <c r="O114" s="224"/>
      <c r="P114" s="462"/>
      <c r="Q114" s="462"/>
      <c r="R114" s="462"/>
      <c r="S114" s="680"/>
      <c r="T114" s="224"/>
      <c r="U114" s="462"/>
      <c r="V114" s="2619"/>
      <c r="W114" s="2619"/>
      <c r="X114" s="2619"/>
      <c r="Y114" s="2619"/>
      <c r="Z114" s="2619"/>
      <c r="AA114" s="2619"/>
      <c r="AB114" s="2619"/>
    </row>
    <row r="115" spans="1:28" ht="13.5" customHeight="1" thickBot="1">
      <c r="A115" s="836"/>
      <c r="B115" s="526" t="s">
        <v>2400</v>
      </c>
      <c r="C115" s="227"/>
      <c r="D115" s="227"/>
      <c r="E115" s="523"/>
      <c r="F115" s="523"/>
      <c r="G115" s="523"/>
      <c r="H115" s="526"/>
      <c r="I115" s="227"/>
      <c r="J115" s="523"/>
      <c r="K115" s="2619"/>
      <c r="L115" s="836"/>
      <c r="M115" s="526" t="s">
        <v>2400</v>
      </c>
      <c r="N115" s="227"/>
      <c r="O115" s="227"/>
      <c r="P115" s="523"/>
      <c r="Q115" s="523"/>
      <c r="R115" s="523"/>
      <c r="S115" s="526"/>
      <c r="T115" s="227"/>
      <c r="U115" s="523"/>
      <c r="V115" s="2619"/>
      <c r="W115" s="2619"/>
      <c r="X115" s="2619"/>
      <c r="Y115" s="2619"/>
      <c r="Z115" s="2619"/>
      <c r="AA115" s="2619"/>
      <c r="AB115" s="2619"/>
    </row>
    <row r="116" spans="1:28" ht="13.5" customHeight="1" thickTop="1" thickBot="1">
      <c r="A116" s="2811"/>
      <c r="B116" s="3720" t="s">
        <v>1399</v>
      </c>
      <c r="C116" s="3721"/>
      <c r="D116" s="3721"/>
      <c r="E116" s="3721"/>
      <c r="F116" s="3721"/>
      <c r="G116" s="3721"/>
      <c r="H116" s="3722"/>
      <c r="I116" s="414" t="s">
        <v>2399</v>
      </c>
      <c r="J116" s="414" t="s">
        <v>2398</v>
      </c>
      <c r="K116" s="2619"/>
      <c r="L116" s="2811"/>
      <c r="M116" s="3720" t="s">
        <v>1399</v>
      </c>
      <c r="N116" s="3721"/>
      <c r="O116" s="3721"/>
      <c r="P116" s="3721"/>
      <c r="Q116" s="3721"/>
      <c r="R116" s="3721"/>
      <c r="S116" s="3722"/>
      <c r="T116" s="414" t="s">
        <v>2399</v>
      </c>
      <c r="U116" s="414" t="s">
        <v>2398</v>
      </c>
      <c r="V116" s="2619"/>
      <c r="W116" s="2619"/>
      <c r="X116" s="2619"/>
      <c r="Y116" s="2619"/>
      <c r="Z116" s="2619"/>
      <c r="AA116" s="2619"/>
      <c r="AB116" s="2619"/>
    </row>
    <row r="117" spans="1:28" ht="13.5" customHeight="1" thickTop="1" thickBot="1">
      <c r="A117" s="3430" t="s">
        <v>568</v>
      </c>
      <c r="B117" s="414" t="s">
        <v>569</v>
      </c>
      <c r="C117" s="414" t="s">
        <v>570</v>
      </c>
      <c r="D117" s="414" t="s">
        <v>571</v>
      </c>
      <c r="E117" s="414" t="s">
        <v>572</v>
      </c>
      <c r="F117" s="414" t="s">
        <v>2395</v>
      </c>
      <c r="G117" s="414" t="s">
        <v>2396</v>
      </c>
      <c r="H117" s="414" t="s">
        <v>2397</v>
      </c>
      <c r="I117" s="3719" t="s">
        <v>1698</v>
      </c>
      <c r="J117" s="3703"/>
      <c r="K117" s="2619"/>
      <c r="L117" s="3430" t="s">
        <v>568</v>
      </c>
      <c r="M117" s="414" t="s">
        <v>569</v>
      </c>
      <c r="N117" s="414" t="s">
        <v>570</v>
      </c>
      <c r="O117" s="414" t="s">
        <v>571</v>
      </c>
      <c r="P117" s="414" t="s">
        <v>572</v>
      </c>
      <c r="Q117" s="414" t="s">
        <v>2395</v>
      </c>
      <c r="R117" s="414" t="s">
        <v>2396</v>
      </c>
      <c r="S117" s="414" t="s">
        <v>2397</v>
      </c>
      <c r="T117" s="3719" t="s">
        <v>1698</v>
      </c>
      <c r="U117" s="3703"/>
      <c r="V117" s="2619"/>
      <c r="W117" s="2619"/>
      <c r="X117" s="2619"/>
      <c r="Y117" s="2619"/>
      <c r="Z117" s="2619"/>
      <c r="AA117" s="2619"/>
      <c r="AB117" s="2619"/>
    </row>
    <row r="118" spans="1:28" ht="13.5" customHeight="1" thickTop="1">
      <c r="A118" s="3425">
        <v>2015</v>
      </c>
      <c r="B118" s="3427">
        <v>1.46796091979208</v>
      </c>
      <c r="C118" s="3427">
        <v>7.7171483132391999E-2</v>
      </c>
      <c r="D118" s="3427">
        <v>-2.42975178004394E-3</v>
      </c>
      <c r="E118" s="3427">
        <v>5.3907759695477001E-5</v>
      </c>
      <c r="F118" s="3427">
        <v>-6.8260598767805797E-7</v>
      </c>
      <c r="G118" s="3427">
        <v>4.5621672993155504E-9</v>
      </c>
      <c r="H118" s="3427">
        <v>-1.24033757424761E-11</v>
      </c>
      <c r="I118" s="402">
        <v>12</v>
      </c>
      <c r="J118" s="402">
        <v>100</v>
      </c>
      <c r="K118" s="2619"/>
      <c r="L118" s="3425">
        <v>2015</v>
      </c>
      <c r="M118" s="3427">
        <v>162.20489743898301</v>
      </c>
      <c r="N118" s="3427">
        <v>2.48889880861624</v>
      </c>
      <c r="O118" s="3427">
        <v>-6.5935489338911704E-2</v>
      </c>
      <c r="P118" s="3427">
        <v>1.0433045889807499E-3</v>
      </c>
      <c r="Q118" s="3427">
        <v>-8.6083812593899404E-6</v>
      </c>
      <c r="R118" s="3427">
        <v>3.5221405911920199E-8</v>
      </c>
      <c r="S118" s="3427">
        <v>-5.0621189793602402E-11</v>
      </c>
      <c r="T118" s="402">
        <v>12</v>
      </c>
      <c r="U118" s="402">
        <v>100</v>
      </c>
      <c r="V118" s="2619"/>
      <c r="W118" s="2619"/>
      <c r="X118" s="2619"/>
      <c r="Y118" s="2619"/>
      <c r="Z118" s="2619"/>
      <c r="AA118" s="2619"/>
      <c r="AB118" s="2619"/>
    </row>
    <row r="119" spans="1:28" ht="13.5" customHeight="1">
      <c r="A119" s="3425">
        <v>2020</v>
      </c>
      <c r="B119" s="3428">
        <v>0.69550076307111597</v>
      </c>
      <c r="C119" s="3428">
        <v>3.04208371907582E-2</v>
      </c>
      <c r="D119" s="3428">
        <v>-8.9007216700501897E-4</v>
      </c>
      <c r="E119" s="3428">
        <v>1.9577268900989599E-5</v>
      </c>
      <c r="F119" s="3428">
        <v>-2.4684502191604698E-7</v>
      </c>
      <c r="G119" s="3428">
        <v>1.6461519863429501E-9</v>
      </c>
      <c r="H119" s="3428">
        <v>-4.4697689861543004E-12</v>
      </c>
      <c r="I119" s="1648">
        <v>12</v>
      </c>
      <c r="J119" s="1648">
        <v>100</v>
      </c>
      <c r="K119" s="2619"/>
      <c r="L119" s="3425">
        <v>2020</v>
      </c>
      <c r="M119" s="3428">
        <v>95.5178058043129</v>
      </c>
      <c r="N119" s="3428">
        <v>-0.30804420781703801</v>
      </c>
      <c r="O119" s="3428">
        <v>6.4759665815028303E-2</v>
      </c>
      <c r="P119" s="3428">
        <v>-2.4711537383283601E-3</v>
      </c>
      <c r="Q119" s="3428">
        <v>4.0943497358818901E-5</v>
      </c>
      <c r="R119" s="3428">
        <v>-3.1999577287802199E-7</v>
      </c>
      <c r="S119" s="3428">
        <v>9.6448884945709892E-10</v>
      </c>
      <c r="T119" s="1648">
        <v>12</v>
      </c>
      <c r="U119" s="1648">
        <v>100</v>
      </c>
      <c r="V119" s="2619"/>
      <c r="W119" s="2619"/>
      <c r="X119" s="2619"/>
      <c r="Y119" s="2619"/>
      <c r="Z119" s="2619"/>
      <c r="AA119" s="2619"/>
      <c r="AB119" s="2619"/>
    </row>
    <row r="120" spans="1:28" ht="13.5" customHeight="1">
      <c r="A120" s="3425">
        <v>2025</v>
      </c>
      <c r="B120" s="3428">
        <v>0.29437600983245299</v>
      </c>
      <c r="C120" s="3428">
        <v>7.4141057523034702E-3</v>
      </c>
      <c r="D120" s="3428">
        <v>-1.8914877754749499E-4</v>
      </c>
      <c r="E120" s="3428">
        <v>4.1593098485654202E-6</v>
      </c>
      <c r="F120" s="3428">
        <v>-5.2496074767264499E-8</v>
      </c>
      <c r="G120" s="3428">
        <v>3.5058355218096698E-10</v>
      </c>
      <c r="H120" s="3428">
        <v>-9.5282512864118797E-13</v>
      </c>
      <c r="I120" s="402">
        <v>12</v>
      </c>
      <c r="J120" s="402">
        <v>100</v>
      </c>
      <c r="K120" s="2619"/>
      <c r="L120" s="3425">
        <v>2025</v>
      </c>
      <c r="M120" s="3428">
        <v>52.575870667337398</v>
      </c>
      <c r="N120" s="3428">
        <v>-2.2807555908468702</v>
      </c>
      <c r="O120" s="3428">
        <v>0.158927884204732</v>
      </c>
      <c r="P120" s="3428">
        <v>-4.9042387849938598E-3</v>
      </c>
      <c r="Q120" s="3428">
        <v>7.47501006603473E-5</v>
      </c>
      <c r="R120" s="3428">
        <v>-5.6042322336065099E-7</v>
      </c>
      <c r="S120" s="3428">
        <v>1.6483030343225101E-9</v>
      </c>
      <c r="T120" s="402">
        <v>12</v>
      </c>
      <c r="U120" s="402">
        <v>100</v>
      </c>
      <c r="V120" s="2619"/>
      <c r="W120" s="2619"/>
      <c r="X120" s="2619"/>
      <c r="Y120" s="2619"/>
      <c r="Z120" s="2619"/>
      <c r="AA120" s="2619"/>
      <c r="AB120" s="2619"/>
    </row>
    <row r="121" spans="1:28" ht="13.5" customHeight="1">
      <c r="A121" s="3425">
        <v>2030</v>
      </c>
      <c r="B121" s="3428">
        <v>0.20400627784092601</v>
      </c>
      <c r="C121" s="3428">
        <v>2.02819630606946E-3</v>
      </c>
      <c r="D121" s="3428">
        <v>-2.5518292509842999E-5</v>
      </c>
      <c r="E121" s="3428">
        <v>5.5504670499039697E-7</v>
      </c>
      <c r="F121" s="3428">
        <v>-7.0237597263152698E-9</v>
      </c>
      <c r="G121" s="3428">
        <v>4.7110100373904402E-11</v>
      </c>
      <c r="H121" s="3428">
        <v>-1.2871411384262901E-13</v>
      </c>
      <c r="I121" s="402">
        <v>12</v>
      </c>
      <c r="J121" s="402">
        <v>100</v>
      </c>
      <c r="K121" s="2619"/>
      <c r="L121" s="3425">
        <v>2030</v>
      </c>
      <c r="M121" s="3428">
        <v>41.502342702303302</v>
      </c>
      <c r="N121" s="3428">
        <v>-2.8678773401479098</v>
      </c>
      <c r="O121" s="3428">
        <v>0.18722114788522101</v>
      </c>
      <c r="P121" s="3428">
        <v>-5.6302444021129796E-3</v>
      </c>
      <c r="Q121" s="3428">
        <v>8.4793169091761697E-5</v>
      </c>
      <c r="R121" s="3428">
        <v>-6.31590424986925E-7</v>
      </c>
      <c r="S121" s="3428">
        <v>1.85019704252046E-9</v>
      </c>
      <c r="T121" s="402">
        <v>12</v>
      </c>
      <c r="U121" s="402">
        <v>100</v>
      </c>
      <c r="V121" s="2619"/>
      <c r="W121" s="2619"/>
      <c r="X121" s="2619"/>
      <c r="Y121" s="2619"/>
      <c r="Z121" s="2619"/>
      <c r="AA121" s="2619"/>
      <c r="AB121" s="2619"/>
    </row>
    <row r="122" spans="1:28" ht="13.5" customHeight="1" thickBot="1">
      <c r="A122" s="3426">
        <v>2035</v>
      </c>
      <c r="B122" s="3429">
        <v>0.18776530235129901</v>
      </c>
      <c r="C122" s="3429">
        <v>1.2396353300238999E-3</v>
      </c>
      <c r="D122" s="3429">
        <v>-7.9174415729414003E-6</v>
      </c>
      <c r="E122" s="3429">
        <v>1.96718983210665E-7</v>
      </c>
      <c r="F122" s="3429">
        <v>-2.6744177203670301E-9</v>
      </c>
      <c r="G122" s="3429">
        <v>1.8704648461793098E-11</v>
      </c>
      <c r="H122" s="3429">
        <v>-5.2530662129358502E-14</v>
      </c>
      <c r="I122" s="403">
        <v>12</v>
      </c>
      <c r="J122" s="403">
        <v>100</v>
      </c>
      <c r="K122" s="2619"/>
      <c r="L122" s="3426">
        <v>2035</v>
      </c>
      <c r="M122" s="3429">
        <v>38.603321020780498</v>
      </c>
      <c r="N122" s="3429">
        <v>-3.0261768417207602</v>
      </c>
      <c r="O122" s="3429">
        <v>0.19516090085416801</v>
      </c>
      <c r="P122" s="3429">
        <v>-5.8254033694248204E-3</v>
      </c>
      <c r="Q122" s="3429">
        <v>8.7451445453683001E-5</v>
      </c>
      <c r="R122" s="3429">
        <v>-6.5027550790850904E-7</v>
      </c>
      <c r="S122" s="3429">
        <v>1.9029562163542101E-9</v>
      </c>
      <c r="T122" s="403">
        <v>12</v>
      </c>
      <c r="U122" s="403">
        <v>100</v>
      </c>
      <c r="V122" s="2619"/>
      <c r="W122" s="2619"/>
      <c r="X122" s="2619"/>
      <c r="Y122" s="2619"/>
      <c r="Z122" s="2619"/>
      <c r="AA122" s="2619"/>
      <c r="AB122" s="2619"/>
    </row>
    <row r="123" spans="1:28" ht="13.5" customHeight="1" thickTop="1">
      <c r="A123" s="2619"/>
      <c r="B123" s="2619"/>
      <c r="C123" s="2619"/>
      <c r="D123" s="2619"/>
      <c r="E123" s="2619"/>
      <c r="F123" s="2619"/>
      <c r="G123" s="2619"/>
      <c r="H123" s="2619"/>
      <c r="I123" s="2619"/>
      <c r="J123" s="2619"/>
      <c r="K123" s="2619"/>
      <c r="L123" s="2619"/>
      <c r="M123" s="2619"/>
      <c r="N123" s="2619"/>
      <c r="O123" s="2619"/>
      <c r="P123" s="2619"/>
      <c r="Q123" s="2619"/>
      <c r="R123" s="2619"/>
      <c r="S123" s="2619"/>
      <c r="T123" s="2619"/>
      <c r="U123" s="2619"/>
      <c r="V123" s="2619"/>
      <c r="W123" s="2619"/>
      <c r="X123" s="2619"/>
      <c r="Y123" s="2619"/>
      <c r="Z123" s="2619"/>
      <c r="AA123" s="2619"/>
      <c r="AB123" s="2619"/>
    </row>
  </sheetData>
  <sheetProtection sheet="1" objects="1" scenarios="1"/>
  <mergeCells count="41">
    <mergeCell ref="E6:S6"/>
    <mergeCell ref="A7:B7"/>
    <mergeCell ref="A8:B8"/>
    <mergeCell ref="A10:B10"/>
    <mergeCell ref="H26:I26"/>
    <mergeCell ref="A26:C26"/>
    <mergeCell ref="A19:B19"/>
    <mergeCell ref="A12:B12"/>
    <mergeCell ref="A11:B11"/>
    <mergeCell ref="B46:H46"/>
    <mergeCell ref="M46:S46"/>
    <mergeCell ref="I47:J47"/>
    <mergeCell ref="T47:U47"/>
    <mergeCell ref="B56:H56"/>
    <mergeCell ref="M56:S56"/>
    <mergeCell ref="I57:J57"/>
    <mergeCell ref="T57:U57"/>
    <mergeCell ref="B66:H66"/>
    <mergeCell ref="M66:S66"/>
    <mergeCell ref="I67:J67"/>
    <mergeCell ref="T67:U67"/>
    <mergeCell ref="B76:H76"/>
    <mergeCell ref="M76:S76"/>
    <mergeCell ref="I77:J77"/>
    <mergeCell ref="T77:U77"/>
    <mergeCell ref="B86:H86"/>
    <mergeCell ref="M86:S86"/>
    <mergeCell ref="I87:J87"/>
    <mergeCell ref="T87:U87"/>
    <mergeCell ref="B96:H96"/>
    <mergeCell ref="M96:S96"/>
    <mergeCell ref="I97:J97"/>
    <mergeCell ref="T97:U97"/>
    <mergeCell ref="I117:J117"/>
    <mergeCell ref="T117:U117"/>
    <mergeCell ref="B106:H106"/>
    <mergeCell ref="M106:S106"/>
    <mergeCell ref="I107:J107"/>
    <mergeCell ref="T107:U107"/>
    <mergeCell ref="B116:H116"/>
    <mergeCell ref="M116:S116"/>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rintOptions headings="1"/>
  <pageMargins left="0.75" right="0.75" top="1" bottom="1" header="0.5" footer="0.5"/>
  <pageSetup paperSize="9" orientation="portrait" r:id="rId3"/>
  <headerFooter alignWithMargins="0"/>
  <colBreaks count="1" manualBreakCount="1">
    <brk id="7" max="1048575" man="1"/>
  </colBreaks>
  <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7"/>
    <pageSetUpPr fitToPage="1"/>
  </sheetPr>
  <dimension ref="A1:Z73"/>
  <sheetViews>
    <sheetView showGridLines="0" topLeftCell="A39" zoomScale="70" zoomScaleNormal="70" workbookViewId="0">
      <pane xSplit="2" topLeftCell="C1" activePane="topRight" state="frozen"/>
      <selection activeCell="A13" sqref="A13"/>
      <selection pane="topRight" activeCell="D26" sqref="D26:F72"/>
    </sheetView>
  </sheetViews>
  <sheetFormatPr defaultColWidth="12.88671875" defaultRowHeight="13.5" customHeight="1"/>
  <cols>
    <col min="1" max="16384" width="12.88671875" style="38"/>
  </cols>
  <sheetData>
    <row r="1" spans="1:20" ht="54.9" customHeight="1">
      <c r="A1" s="28"/>
      <c r="B1" s="28"/>
    </row>
    <row r="2" spans="1:20" s="300" customFormat="1" ht="5.0999999999999996" customHeight="1"/>
    <row r="3" spans="1:20" s="300" customFormat="1" ht="20.100000000000001" customHeight="1">
      <c r="A3" s="300" t="s">
        <v>2247</v>
      </c>
      <c r="D3" s="46"/>
      <c r="E3" s="83"/>
      <c r="F3" s="445"/>
      <c r="P3" s="426"/>
    </row>
    <row r="4" spans="1:20" s="26" customFormat="1" ht="20.100000000000001" customHeight="1" thickBot="1">
      <c r="A4" s="109" t="s">
        <v>849</v>
      </c>
      <c r="B4" s="450"/>
      <c r="C4" s="446"/>
      <c r="D4" s="446"/>
      <c r="E4" s="446"/>
      <c r="F4" s="450"/>
      <c r="G4" s="446"/>
      <c r="H4" s="446"/>
      <c r="I4" s="446"/>
      <c r="J4" s="446"/>
      <c r="K4" s="446"/>
      <c r="L4" s="446"/>
      <c r="M4" s="446"/>
      <c r="N4" s="446"/>
      <c r="O4" s="446"/>
      <c r="P4" s="446"/>
      <c r="Q4" s="446"/>
      <c r="R4" s="446"/>
      <c r="S4" s="446"/>
      <c r="T4" s="446"/>
    </row>
    <row r="5" spans="1:20" s="26" customFormat="1" ht="9.9" customHeight="1" thickTop="1" thickBot="1">
      <c r="A5" s="29"/>
      <c r="B5" s="29"/>
      <c r="F5" s="29"/>
    </row>
    <row r="6" spans="1:20" ht="13.5" customHeight="1" thickTop="1">
      <c r="A6" s="169" t="s">
        <v>10</v>
      </c>
      <c r="B6" s="169"/>
      <c r="E6" s="3626" t="s">
        <v>255</v>
      </c>
      <c r="F6" s="3649"/>
      <c r="G6" s="3649"/>
      <c r="H6" s="3649"/>
      <c r="I6" s="3649"/>
      <c r="J6" s="3649"/>
      <c r="K6" s="3649"/>
      <c r="L6" s="3649"/>
      <c r="M6" s="3649"/>
      <c r="N6" s="3649"/>
      <c r="O6" s="3649"/>
      <c r="P6" s="3649"/>
      <c r="Q6" s="3649"/>
      <c r="R6" s="3649"/>
      <c r="S6" s="3649"/>
      <c r="T6" s="3650"/>
    </row>
    <row r="7" spans="1:20" ht="13.5" customHeight="1">
      <c r="A7" s="3644" t="str">
        <f>Audit!A12</f>
        <v>May 2019 v1.12</v>
      </c>
      <c r="B7" s="3651"/>
      <c r="D7" s="147"/>
      <c r="E7" s="28" t="s">
        <v>1451</v>
      </c>
      <c r="F7" s="335" t="s">
        <v>1766</v>
      </c>
      <c r="G7" s="26"/>
      <c r="J7" s="53"/>
      <c r="K7" s="26"/>
      <c r="L7" s="26"/>
      <c r="M7" s="26"/>
      <c r="N7" s="26"/>
      <c r="O7" s="26"/>
      <c r="P7" s="26"/>
      <c r="Q7" s="26"/>
      <c r="R7" s="26"/>
      <c r="S7" s="26"/>
      <c r="T7" s="147"/>
    </row>
    <row r="8" spans="1:20" ht="13.5" customHeight="1">
      <c r="A8" s="3630">
        <f>Audit!C12</f>
        <v>43586</v>
      </c>
      <c r="B8" s="3631"/>
      <c r="C8" s="321"/>
      <c r="D8" s="412"/>
      <c r="E8" s="113"/>
      <c r="F8" s="315"/>
      <c r="G8" s="26"/>
      <c r="H8" s="26"/>
      <c r="I8" s="26"/>
      <c r="J8" s="26"/>
      <c r="K8" s="26"/>
      <c r="L8" s="26"/>
      <c r="M8" s="26"/>
      <c r="N8" s="26"/>
      <c r="O8" s="26"/>
      <c r="P8" s="26"/>
      <c r="Q8" s="26"/>
      <c r="R8" s="26"/>
      <c r="S8" s="26"/>
      <c r="T8" s="147"/>
    </row>
    <row r="9" spans="1:20" ht="13.5" customHeight="1" thickBot="1">
      <c r="A9" s="172" t="s">
        <v>14</v>
      </c>
      <c r="B9" s="173"/>
      <c r="D9" s="412"/>
      <c r="E9" s="180" t="s">
        <v>294</v>
      </c>
      <c r="F9" s="2619" t="s">
        <v>1975</v>
      </c>
      <c r="R9" s="53"/>
      <c r="S9" s="147"/>
      <c r="T9" s="147"/>
    </row>
    <row r="10" spans="1:20" ht="13.5" customHeight="1" thickBot="1">
      <c r="A10" s="3570" t="s">
        <v>1306</v>
      </c>
      <c r="B10" s="3610"/>
      <c r="D10" s="412"/>
      <c r="E10" s="113"/>
      <c r="F10" s="335" t="s">
        <v>1976</v>
      </c>
      <c r="G10" s="53"/>
      <c r="H10" s="53"/>
      <c r="I10" s="53"/>
      <c r="J10" s="53"/>
      <c r="K10" s="53"/>
      <c r="L10" s="53"/>
      <c r="M10" s="53"/>
      <c r="N10" s="53"/>
      <c r="O10" s="53"/>
      <c r="P10" s="2685" t="s">
        <v>1896</v>
      </c>
      <c r="Q10" s="53"/>
      <c r="R10" s="26"/>
      <c r="S10" s="147"/>
      <c r="T10" s="147"/>
    </row>
    <row r="11" spans="1:20" ht="13.5" customHeight="1" thickBot="1">
      <c r="A11" s="3570" t="s">
        <v>2216</v>
      </c>
      <c r="B11" s="3581"/>
      <c r="D11" s="412"/>
      <c r="E11" s="114"/>
      <c r="F11" s="335" t="s">
        <v>1911</v>
      </c>
      <c r="G11" s="26"/>
      <c r="H11" s="573"/>
      <c r="I11" s="573"/>
      <c r="J11" s="26"/>
      <c r="K11" s="26"/>
      <c r="L11" s="26"/>
      <c r="M11" s="26"/>
      <c r="N11" s="26"/>
      <c r="O11" s="26"/>
      <c r="P11" s="26"/>
      <c r="Q11" s="26"/>
      <c r="R11" s="26"/>
      <c r="S11" s="379"/>
      <c r="T11" s="379"/>
    </row>
    <row r="12" spans="1:20" ht="13.5" customHeight="1" thickBot="1">
      <c r="A12" s="3570" t="s">
        <v>2217</v>
      </c>
      <c r="B12" s="3581"/>
      <c r="D12" s="412"/>
      <c r="E12" s="113"/>
      <c r="F12" s="335" t="s">
        <v>1897</v>
      </c>
      <c r="G12" s="26"/>
      <c r="H12" s="641"/>
      <c r="I12" s="641"/>
      <c r="J12" s="26"/>
      <c r="K12" s="26"/>
      <c r="L12" s="26"/>
      <c r="M12" s="26"/>
      <c r="N12" s="26"/>
      <c r="O12" s="26"/>
      <c r="P12" s="26"/>
      <c r="Q12" s="26"/>
      <c r="R12" s="26"/>
      <c r="S12" s="147"/>
      <c r="T12" s="147"/>
    </row>
    <row r="13" spans="1:20" ht="13.5" customHeight="1">
      <c r="A13" s="172" t="s">
        <v>252</v>
      </c>
      <c r="B13" s="194"/>
      <c r="C13" s="321"/>
      <c r="D13" s="412"/>
      <c r="E13" s="113"/>
      <c r="F13" s="2619" t="s">
        <v>2452</v>
      </c>
      <c r="K13" s="26"/>
      <c r="L13" s="26"/>
      <c r="M13" s="26"/>
      <c r="N13" s="26"/>
      <c r="O13" s="26"/>
      <c r="P13" s="26"/>
      <c r="Q13" s="26"/>
      <c r="R13" s="26"/>
      <c r="S13" s="147"/>
      <c r="T13" s="147"/>
    </row>
    <row r="14" spans="1:20" ht="13.5" customHeight="1">
      <c r="A14" s="2441"/>
      <c r="B14" s="2442"/>
      <c r="C14" s="321"/>
      <c r="D14" s="412"/>
      <c r="E14" s="113"/>
      <c r="F14" s="335" t="s">
        <v>1912</v>
      </c>
      <c r="K14" s="26"/>
      <c r="L14" s="26"/>
      <c r="M14" s="26"/>
      <c r="N14" s="26"/>
      <c r="O14" s="26"/>
      <c r="P14" s="26"/>
      <c r="Q14" s="26"/>
      <c r="R14" s="26"/>
      <c r="S14" s="147"/>
      <c r="T14" s="147"/>
    </row>
    <row r="15" spans="1:20" ht="13.5" customHeight="1">
      <c r="A15" s="2445"/>
      <c r="B15" s="2446"/>
      <c r="C15" s="321"/>
      <c r="D15" s="412"/>
      <c r="E15" s="207"/>
      <c r="F15" s="3106" t="s">
        <v>2453</v>
      </c>
      <c r="G15" s="641"/>
      <c r="H15" s="641"/>
      <c r="I15" s="641"/>
      <c r="J15" s="26"/>
      <c r="K15" s="26"/>
      <c r="L15" s="26"/>
      <c r="M15" s="26"/>
      <c r="N15" s="26"/>
      <c r="O15" s="26"/>
      <c r="P15" s="26"/>
      <c r="Q15" s="2685" t="s">
        <v>1907</v>
      </c>
      <c r="S15" s="147"/>
      <c r="T15" s="147"/>
    </row>
    <row r="16" spans="1:20" ht="13.5" customHeight="1">
      <c r="A16" s="2440" t="s">
        <v>370</v>
      </c>
      <c r="B16" s="2451">
        <f>'VoC Mileage %'!B16</f>
        <v>2010</v>
      </c>
      <c r="C16" s="321"/>
      <c r="D16" s="412"/>
      <c r="E16" s="113"/>
      <c r="F16" s="3106"/>
      <c r="K16" s="26"/>
      <c r="L16" s="26"/>
      <c r="M16" s="26"/>
      <c r="N16" s="26"/>
      <c r="O16" s="26"/>
      <c r="P16" s="26"/>
      <c r="Q16" s="26"/>
      <c r="R16" s="26"/>
      <c r="S16" s="147"/>
      <c r="T16" s="147"/>
    </row>
    <row r="17" spans="1:26" ht="13.5" customHeight="1">
      <c r="A17" s="169" t="s">
        <v>253</v>
      </c>
      <c r="B17" s="170"/>
      <c r="C17" s="321"/>
      <c r="D17" s="412"/>
      <c r="E17" s="113"/>
      <c r="S17" s="147"/>
      <c r="T17" s="147"/>
    </row>
    <row r="18" spans="1:26" ht="13.5" customHeight="1">
      <c r="A18" s="3726"/>
      <c r="B18" s="3726"/>
      <c r="C18" s="321"/>
      <c r="D18" s="412"/>
      <c r="S18" s="147"/>
      <c r="T18" s="147"/>
    </row>
    <row r="19" spans="1:26" ht="13.5" customHeight="1">
      <c r="A19" s="3653"/>
      <c r="B19" s="3653"/>
      <c r="C19" s="321"/>
      <c r="D19" s="412"/>
      <c r="E19" s="641" t="s">
        <v>2360</v>
      </c>
      <c r="F19" s="641"/>
      <c r="G19" s="641"/>
      <c r="H19" s="641"/>
      <c r="I19" s="641"/>
      <c r="J19" s="26"/>
      <c r="K19" s="26"/>
      <c r="L19" s="26"/>
      <c r="M19" s="26"/>
      <c r="N19" s="26"/>
      <c r="O19" s="26"/>
      <c r="P19" s="26"/>
      <c r="Q19" s="26"/>
      <c r="R19" s="26"/>
      <c r="S19" s="26"/>
      <c r="T19" s="147"/>
    </row>
    <row r="20" spans="1:26" ht="13.5" customHeight="1" thickBot="1">
      <c r="A20" s="3653"/>
      <c r="B20" s="3653"/>
      <c r="C20" s="321"/>
      <c r="D20" s="412"/>
      <c r="E20" s="381" t="s">
        <v>2248</v>
      </c>
      <c r="F20" s="163"/>
      <c r="G20" s="163"/>
      <c r="H20" s="163"/>
      <c r="I20" s="163"/>
      <c r="J20" s="163"/>
      <c r="K20" s="163"/>
      <c r="L20" s="163"/>
      <c r="M20" s="163"/>
      <c r="N20" s="163"/>
      <c r="O20" s="163"/>
      <c r="P20" s="163"/>
      <c r="Q20" s="163"/>
      <c r="R20" s="163"/>
      <c r="S20" s="163"/>
      <c r="T20" s="382"/>
    </row>
    <row r="21" spans="1:26" s="26" customFormat="1" ht="13.5" customHeight="1" thickTop="1">
      <c r="A21" s="2434"/>
      <c r="B21" s="2425"/>
      <c r="F21" s="29"/>
    </row>
    <row r="22" spans="1:26" ht="13.5" customHeight="1" thickBot="1">
      <c r="A22" s="488"/>
      <c r="B22" s="26"/>
      <c r="C22" s="26"/>
      <c r="D22" s="26"/>
      <c r="F22" s="31"/>
      <c r="G22" s="35"/>
      <c r="H22" s="35"/>
      <c r="I22" s="35"/>
      <c r="J22" s="35"/>
      <c r="K22" s="72"/>
      <c r="L22" s="72"/>
      <c r="M22" s="72"/>
      <c r="N22" s="72"/>
      <c r="O22" s="72"/>
    </row>
    <row r="23" spans="1:26" ht="13.5" customHeight="1" thickTop="1" thickBot="1">
      <c r="A23" s="122" t="s">
        <v>712</v>
      </c>
      <c r="B23" s="362"/>
      <c r="C23" s="378"/>
      <c r="D23" s="574" t="s">
        <v>848</v>
      </c>
      <c r="E23" s="362"/>
      <c r="F23" s="362"/>
      <c r="G23" s="378"/>
      <c r="H23" s="378"/>
      <c r="I23" s="656"/>
      <c r="J23" s="468"/>
      <c r="K23" s="362"/>
      <c r="L23" s="362"/>
      <c r="M23" s="362"/>
      <c r="N23" s="362"/>
      <c r="O23" s="378"/>
    </row>
    <row r="24" spans="1:26" ht="13.5" customHeight="1" thickTop="1" thickBot="1">
      <c r="A24" s="99"/>
      <c r="B24" s="100"/>
      <c r="C24" s="438"/>
      <c r="D24" s="232" t="s">
        <v>879</v>
      </c>
      <c r="E24" s="39"/>
      <c r="F24" s="40"/>
      <c r="G24" s="232" t="s">
        <v>1431</v>
      </c>
      <c r="H24" s="40"/>
      <c r="I24" s="40"/>
      <c r="J24" s="657" t="s">
        <v>1443</v>
      </c>
      <c r="K24" s="232"/>
      <c r="L24" s="657" t="s">
        <v>1444</v>
      </c>
      <c r="M24" s="657"/>
      <c r="N24" s="632" t="s">
        <v>1434</v>
      </c>
      <c r="O24" s="472"/>
    </row>
    <row r="25" spans="1:26" ht="13.5" customHeight="1" thickTop="1" thickBot="1">
      <c r="A25" s="464"/>
      <c r="B25" s="659" t="s">
        <v>1450</v>
      </c>
      <c r="C25" s="439"/>
      <c r="D25" s="660" t="s">
        <v>579</v>
      </c>
      <c r="E25" s="661" t="s">
        <v>580</v>
      </c>
      <c r="F25" s="393" t="s">
        <v>582</v>
      </c>
      <c r="G25" s="660" t="s">
        <v>579</v>
      </c>
      <c r="H25" s="661" t="s">
        <v>580</v>
      </c>
      <c r="I25" s="662" t="s">
        <v>582</v>
      </c>
      <c r="J25" s="663" t="s">
        <v>580</v>
      </c>
      <c r="K25" s="143" t="s">
        <v>582</v>
      </c>
      <c r="L25" s="705" t="s">
        <v>580</v>
      </c>
      <c r="M25" s="1307" t="s">
        <v>582</v>
      </c>
      <c r="N25" s="663" t="s">
        <v>580</v>
      </c>
      <c r="O25" s="393" t="s">
        <v>582</v>
      </c>
    </row>
    <row r="26" spans="1:26" ht="13.5" customHeight="1" thickTop="1" thickBot="1">
      <c r="A26" s="664"/>
      <c r="B26" s="665">
        <v>2004</v>
      </c>
      <c r="C26" s="666"/>
      <c r="D26" s="655">
        <f>'VoC Mileage %'!D30</f>
        <v>0.73096546129768614</v>
      </c>
      <c r="E26" s="655">
        <f>'VoC Mileage %'!E30</f>
        <v>0.26903453870231386</v>
      </c>
      <c r="F26" s="1656">
        <f>'VoC Mileage %'!F30</f>
        <v>0</v>
      </c>
      <c r="G26" s="1657">
        <f>'VoC Mileage %'!G30</f>
        <v>8.4988666082737419E-2</v>
      </c>
      <c r="H26" s="1658">
        <f>'VoC Mileage %'!H30</f>
        <v>0.91501133391726241</v>
      </c>
      <c r="I26" s="643">
        <f>'VoC Mileage %'!I30</f>
        <v>0</v>
      </c>
      <c r="J26" s="1657">
        <f>'VoC Mileage %'!J30</f>
        <v>1</v>
      </c>
      <c r="K26" s="643">
        <f>'VoC Mileage %'!K30</f>
        <v>0</v>
      </c>
      <c r="L26" s="1657">
        <f>'VoC Mileage %'!L30</f>
        <v>1</v>
      </c>
      <c r="M26" s="643">
        <f>'VoC Mileage %'!M30</f>
        <v>0</v>
      </c>
      <c r="N26" s="1657">
        <f>'VoC Mileage %'!N30</f>
        <v>1</v>
      </c>
      <c r="O26" s="643">
        <f>'VoC Mileage %'!O30</f>
        <v>0</v>
      </c>
      <c r="U26" s="26"/>
      <c r="V26" s="26"/>
    </row>
    <row r="27" spans="1:26" ht="13.5" customHeight="1">
      <c r="A27" s="113"/>
      <c r="B27" s="82">
        <v>2005</v>
      </c>
      <c r="C27" s="147"/>
      <c r="D27" s="644">
        <f>'VoC Mileage %'!D31</f>
        <v>0.70694498130668793</v>
      </c>
      <c r="E27" s="644">
        <f>'VoC Mileage %'!E31</f>
        <v>0.29305501869331202</v>
      </c>
      <c r="F27" s="1305">
        <f>'VoC Mileage %'!F31</f>
        <v>0</v>
      </c>
      <c r="G27" s="645">
        <f>'VoC Mileage %'!G31</f>
        <v>7.0801953624932676E-2</v>
      </c>
      <c r="H27" s="644">
        <f>'VoC Mileage %'!H31</f>
        <v>0.92919804637506731</v>
      </c>
      <c r="I27" s="647">
        <f>'VoC Mileage %'!I31</f>
        <v>0</v>
      </c>
      <c r="J27" s="645">
        <f>'VoC Mileage %'!J31</f>
        <v>1</v>
      </c>
      <c r="K27" s="647">
        <f>'VoC Mileage %'!K31</f>
        <v>0</v>
      </c>
      <c r="L27" s="645">
        <f>'VoC Mileage %'!L31</f>
        <v>1</v>
      </c>
      <c r="M27" s="647">
        <f>'VoC Mileage %'!M31</f>
        <v>0</v>
      </c>
      <c r="N27" s="645">
        <f>'VoC Mileage %'!N31</f>
        <v>1</v>
      </c>
      <c r="O27" s="647">
        <f>'VoC Mileage %'!O31</f>
        <v>0</v>
      </c>
      <c r="U27" s="646"/>
      <c r="V27" s="646"/>
      <c r="W27" s="646"/>
      <c r="X27" s="646"/>
      <c r="Y27" s="646"/>
      <c r="Z27" s="646"/>
    </row>
    <row r="28" spans="1:26" ht="13.5" customHeight="1">
      <c r="A28" s="113"/>
      <c r="B28" s="82">
        <v>2006</v>
      </c>
      <c r="C28" s="147"/>
      <c r="D28" s="644">
        <f>'VoC Mileage %'!D32</f>
        <v>0.68453761226370635</v>
      </c>
      <c r="E28" s="644">
        <f>'VoC Mileage %'!E32</f>
        <v>0.31546238773629365</v>
      </c>
      <c r="F28" s="1305">
        <f>'VoC Mileage %'!F32</f>
        <v>0</v>
      </c>
      <c r="G28" s="645">
        <f>'VoC Mileage %'!G32</f>
        <v>5.8576783757745242E-2</v>
      </c>
      <c r="H28" s="644">
        <f>'VoC Mileage %'!H32</f>
        <v>0.94142321624225478</v>
      </c>
      <c r="I28" s="647">
        <f>'VoC Mileage %'!I32</f>
        <v>0</v>
      </c>
      <c r="J28" s="645">
        <f>'VoC Mileage %'!J32</f>
        <v>1</v>
      </c>
      <c r="K28" s="647">
        <f>'VoC Mileage %'!K32</f>
        <v>0</v>
      </c>
      <c r="L28" s="645">
        <f>'VoC Mileage %'!L32</f>
        <v>1</v>
      </c>
      <c r="M28" s="647">
        <f>'VoC Mileage %'!M32</f>
        <v>0</v>
      </c>
      <c r="N28" s="645">
        <f>'VoC Mileage %'!N32</f>
        <v>1</v>
      </c>
      <c r="O28" s="647">
        <f>'VoC Mileage %'!O32</f>
        <v>0</v>
      </c>
      <c r="U28" s="646"/>
      <c r="V28" s="646"/>
      <c r="W28" s="646"/>
      <c r="X28" s="646"/>
      <c r="Y28" s="646"/>
      <c r="Z28" s="646"/>
    </row>
    <row r="29" spans="1:26" ht="13.5" customHeight="1">
      <c r="A29" s="113"/>
      <c r="B29" s="82">
        <v>2007</v>
      </c>
      <c r="C29" s="147"/>
      <c r="D29" s="644">
        <f>'VoC Mileage %'!D33</f>
        <v>0.66167389847504865</v>
      </c>
      <c r="E29" s="644">
        <f>'VoC Mileage %'!E33</f>
        <v>0.33832610152495135</v>
      </c>
      <c r="F29" s="1305">
        <f>'VoC Mileage %'!F33</f>
        <v>0</v>
      </c>
      <c r="G29" s="645">
        <f>'VoC Mileage %'!G33</f>
        <v>4.9875016158847395E-2</v>
      </c>
      <c r="H29" s="644">
        <f>'VoC Mileage %'!H33</f>
        <v>0.95012498384115274</v>
      </c>
      <c r="I29" s="647">
        <f>'VoC Mileage %'!I33</f>
        <v>0</v>
      </c>
      <c r="J29" s="645">
        <f>'VoC Mileage %'!J33</f>
        <v>1</v>
      </c>
      <c r="K29" s="647">
        <f>'VoC Mileage %'!K33</f>
        <v>0</v>
      </c>
      <c r="L29" s="645">
        <f>'VoC Mileage %'!L33</f>
        <v>1</v>
      </c>
      <c r="M29" s="647">
        <f>'VoC Mileage %'!M33</f>
        <v>0</v>
      </c>
      <c r="N29" s="645">
        <f>'VoC Mileage %'!N33</f>
        <v>1</v>
      </c>
      <c r="O29" s="647">
        <f>'VoC Mileage %'!O33</f>
        <v>0</v>
      </c>
      <c r="U29" s="641"/>
      <c r="V29" s="641"/>
    </row>
    <row r="30" spans="1:26" ht="13.5" customHeight="1">
      <c r="A30" s="113"/>
      <c r="B30" s="82">
        <v>2008</v>
      </c>
      <c r="C30" s="147"/>
      <c r="D30" s="644">
        <f>'VoC Mileage %'!D34</f>
        <v>0.6446253425002415</v>
      </c>
      <c r="E30" s="644">
        <f>'VoC Mileage %'!E34</f>
        <v>0.3553746574997585</v>
      </c>
      <c r="F30" s="1305">
        <f>'VoC Mileage %'!F34</f>
        <v>0</v>
      </c>
      <c r="G30" s="645">
        <f>'VoC Mileage %'!G34</f>
        <v>4.4103164716038319E-2</v>
      </c>
      <c r="H30" s="644">
        <f>'VoC Mileage %'!H34</f>
        <v>0.95589683528396174</v>
      </c>
      <c r="I30" s="647">
        <f>'VoC Mileage %'!I34</f>
        <v>0</v>
      </c>
      <c r="J30" s="645">
        <f>'VoC Mileage %'!J34</f>
        <v>1</v>
      </c>
      <c r="K30" s="647">
        <f>'VoC Mileage %'!K34</f>
        <v>0</v>
      </c>
      <c r="L30" s="645">
        <f>'VoC Mileage %'!L34</f>
        <v>1</v>
      </c>
      <c r="M30" s="647">
        <f>'VoC Mileage %'!M34</f>
        <v>0</v>
      </c>
      <c r="N30" s="645">
        <f>'VoC Mileage %'!N34</f>
        <v>1</v>
      </c>
      <c r="O30" s="647">
        <f>'VoC Mileage %'!O34</f>
        <v>0</v>
      </c>
      <c r="U30" s="641"/>
      <c r="V30" s="641"/>
    </row>
    <row r="31" spans="1:26" ht="13.5" customHeight="1">
      <c r="A31" s="113"/>
      <c r="B31" s="82">
        <v>2009</v>
      </c>
      <c r="C31" s="147"/>
      <c r="D31" s="644">
        <f>'VoC Mileage %'!D35</f>
        <v>0.62316896920058529</v>
      </c>
      <c r="E31" s="644">
        <f>'VoC Mileage %'!E35</f>
        <v>0.37683103079941471</v>
      </c>
      <c r="F31" s="1305">
        <f>'VoC Mileage %'!F35</f>
        <v>0</v>
      </c>
      <c r="G31" s="645">
        <f>'VoC Mileage %'!G35</f>
        <v>4.066322943728562E-2</v>
      </c>
      <c r="H31" s="644">
        <f>'VoC Mileage %'!H35</f>
        <v>0.95933677056271438</v>
      </c>
      <c r="I31" s="647">
        <f>'VoC Mileage %'!I35</f>
        <v>0</v>
      </c>
      <c r="J31" s="645">
        <f>'VoC Mileage %'!J35</f>
        <v>1</v>
      </c>
      <c r="K31" s="647">
        <f>'VoC Mileage %'!K35</f>
        <v>0</v>
      </c>
      <c r="L31" s="645">
        <f>'VoC Mileage %'!L35</f>
        <v>1</v>
      </c>
      <c r="M31" s="647">
        <f>'VoC Mileage %'!M35</f>
        <v>0</v>
      </c>
      <c r="N31" s="645">
        <f>'VoC Mileage %'!N35</f>
        <v>1</v>
      </c>
      <c r="O31" s="647">
        <f>'VoC Mileage %'!O35</f>
        <v>0</v>
      </c>
      <c r="U31" s="641"/>
      <c r="V31" s="641"/>
    </row>
    <row r="32" spans="1:26" ht="13.5" customHeight="1">
      <c r="A32" s="113"/>
      <c r="B32" s="82">
        <v>2010</v>
      </c>
      <c r="C32" s="147"/>
      <c r="D32" s="644">
        <f>'VoC Mileage %'!D36</f>
        <v>0.59996870780342015</v>
      </c>
      <c r="E32" s="644">
        <f>'VoC Mileage %'!E36</f>
        <v>0.4000312921965799</v>
      </c>
      <c r="F32" s="1305">
        <f>'VoC Mileage %'!F36</f>
        <v>0</v>
      </c>
      <c r="G32" s="645">
        <f>'VoC Mileage %'!G36</f>
        <v>3.6786274718767845E-2</v>
      </c>
      <c r="H32" s="644">
        <f>'VoC Mileage %'!H36</f>
        <v>0.96321372528123206</v>
      </c>
      <c r="I32" s="647">
        <f>'VoC Mileage %'!I36</f>
        <v>0</v>
      </c>
      <c r="J32" s="645">
        <f>'VoC Mileage %'!J36</f>
        <v>1</v>
      </c>
      <c r="K32" s="647">
        <f>'VoC Mileage %'!K36</f>
        <v>0</v>
      </c>
      <c r="L32" s="645">
        <f>'VoC Mileage %'!L36</f>
        <v>1</v>
      </c>
      <c r="M32" s="647">
        <f>'VoC Mileage %'!M36</f>
        <v>0</v>
      </c>
      <c r="N32" s="645">
        <f>'VoC Mileage %'!N36</f>
        <v>1</v>
      </c>
      <c r="O32" s="647">
        <f>'VoC Mileage %'!O36</f>
        <v>0</v>
      </c>
      <c r="U32" s="641"/>
      <c r="V32" s="641"/>
    </row>
    <row r="33" spans="1:22" ht="13.5" customHeight="1">
      <c r="A33" s="113"/>
      <c r="B33" s="82">
        <v>2011</v>
      </c>
      <c r="C33" s="147"/>
      <c r="D33" s="644">
        <f>'VoC Mileage %'!D37</f>
        <v>0.57744725287049692</v>
      </c>
      <c r="E33" s="644">
        <f>'VoC Mileage %'!E37</f>
        <v>0.42250341055916901</v>
      </c>
      <c r="F33" s="1305">
        <f>'VoC Mileage %'!F37</f>
        <v>4.9336570334137397E-5</v>
      </c>
      <c r="G33" s="645">
        <f>'VoC Mileage %'!G37</f>
        <v>3.2704074641087225E-2</v>
      </c>
      <c r="H33" s="644">
        <f>'VoC Mileage %'!H37</f>
        <v>0.96729592535891273</v>
      </c>
      <c r="I33" s="647">
        <f>'VoC Mileage %'!I37</f>
        <v>0</v>
      </c>
      <c r="J33" s="645">
        <f>'VoC Mileage %'!J37</f>
        <v>1</v>
      </c>
      <c r="K33" s="647">
        <f>'VoC Mileage %'!K37</f>
        <v>0</v>
      </c>
      <c r="L33" s="645">
        <f>'VoC Mileage %'!L37</f>
        <v>1</v>
      </c>
      <c r="M33" s="647">
        <f>'VoC Mileage %'!M37</f>
        <v>0</v>
      </c>
      <c r="N33" s="645">
        <f>'VoC Mileage %'!N37</f>
        <v>1</v>
      </c>
      <c r="O33" s="647">
        <f>'VoC Mileage %'!O37</f>
        <v>0</v>
      </c>
      <c r="U33" s="641"/>
      <c r="V33" s="641"/>
    </row>
    <row r="34" spans="1:22" ht="13.5" customHeight="1">
      <c r="A34" s="113"/>
      <c r="B34" s="82">
        <v>2012</v>
      </c>
      <c r="C34" s="147"/>
      <c r="D34" s="644">
        <f>'VoC Mileage %'!D38</f>
        <v>0.55570098816237845</v>
      </c>
      <c r="E34" s="644">
        <f>'VoC Mileage %'!E38</f>
        <v>0.44416253097371039</v>
      </c>
      <c r="F34" s="1305">
        <f>'VoC Mileage %'!F38</f>
        <v>1.3648086391110991E-4</v>
      </c>
      <c r="G34" s="645">
        <f>'VoC Mileage %'!G38</f>
        <v>2.9626783836866386E-2</v>
      </c>
      <c r="H34" s="644">
        <f>'VoC Mileage %'!H38</f>
        <v>0.97037321616313366</v>
      </c>
      <c r="I34" s="647">
        <f>'VoC Mileage %'!I38</f>
        <v>2.3946656956506899E-4</v>
      </c>
      <c r="J34" s="645">
        <f>'VoC Mileage %'!J38</f>
        <v>1</v>
      </c>
      <c r="K34" s="647">
        <f>'VoC Mileage %'!K38</f>
        <v>0</v>
      </c>
      <c r="L34" s="645">
        <f>'VoC Mileage %'!L38</f>
        <v>1</v>
      </c>
      <c r="M34" s="647">
        <f>'VoC Mileage %'!M38</f>
        <v>0</v>
      </c>
      <c r="N34" s="645">
        <f>'VoC Mileage %'!N38</f>
        <v>1</v>
      </c>
      <c r="O34" s="647">
        <f>'VoC Mileage %'!O38</f>
        <v>0</v>
      </c>
      <c r="P34" s="642"/>
      <c r="Q34" s="641"/>
      <c r="R34" s="641"/>
      <c r="S34" s="641"/>
      <c r="T34" s="641"/>
      <c r="U34" s="641"/>
      <c r="V34" s="641"/>
    </row>
    <row r="35" spans="1:22" ht="13.5" customHeight="1">
      <c r="A35" s="113"/>
      <c r="B35" s="82">
        <v>2013</v>
      </c>
      <c r="C35" s="147"/>
      <c r="D35" s="644">
        <f>'VoC Mileage %'!D39</f>
        <v>0.53363948347565759</v>
      </c>
      <c r="E35" s="644">
        <f>'VoC Mileage %'!E39</f>
        <v>0.46610890095884061</v>
      </c>
      <c r="F35" s="1305">
        <f>'VoC Mileage %'!F39</f>
        <v>2.5161556550174359E-4</v>
      </c>
      <c r="G35" s="645">
        <f>'VoC Mileage %'!G39</f>
        <v>2.5987750242353214E-2</v>
      </c>
      <c r="H35" s="644">
        <f>'VoC Mileage %'!H39</f>
        <v>0.97366924268155919</v>
      </c>
      <c r="I35" s="647">
        <f>'VoC Mileage %'!I39</f>
        <v>3.4300707608761347E-4</v>
      </c>
      <c r="J35" s="645">
        <f>'VoC Mileage %'!J39</f>
        <v>1</v>
      </c>
      <c r="K35" s="647">
        <f>'VoC Mileage %'!K39</f>
        <v>0</v>
      </c>
      <c r="L35" s="645">
        <f>'VoC Mileage %'!L39</f>
        <v>1</v>
      </c>
      <c r="M35" s="647">
        <f>'VoC Mileage %'!M39</f>
        <v>0</v>
      </c>
      <c r="N35" s="645">
        <f>'VoC Mileage %'!N39</f>
        <v>1</v>
      </c>
      <c r="O35" s="647">
        <f>'VoC Mileage %'!O39</f>
        <v>0</v>
      </c>
      <c r="P35" s="642"/>
      <c r="Q35" s="641"/>
      <c r="R35" s="641"/>
      <c r="S35" s="641"/>
      <c r="T35" s="641"/>
      <c r="U35" s="641"/>
      <c r="V35" s="641"/>
    </row>
    <row r="36" spans="1:22" ht="13.5" customHeight="1">
      <c r="A36" s="113"/>
      <c r="B36" s="82">
        <v>2014</v>
      </c>
      <c r="C36" s="147"/>
      <c r="D36" s="644">
        <f>'VoC Mileage %'!D40</f>
        <v>0.51402287811195646</v>
      </c>
      <c r="E36" s="644">
        <f>'VoC Mileage %'!E40</f>
        <v>0.4852950903151601</v>
      </c>
      <c r="F36" s="1305">
        <f>'VoC Mileage %'!F40</f>
        <v>6.8203157288345459E-4</v>
      </c>
      <c r="G36" s="645">
        <f>'VoC Mileage %'!G40</f>
        <v>2.3422655919244268E-2</v>
      </c>
      <c r="H36" s="644">
        <f>'VoC Mileage %'!H40</f>
        <v>0.97589890921149092</v>
      </c>
      <c r="I36" s="647">
        <f>'VoC Mileage %'!I40</f>
        <v>6.7843486926486441E-4</v>
      </c>
      <c r="J36" s="645">
        <f>'VoC Mileage %'!J40</f>
        <v>1</v>
      </c>
      <c r="K36" s="647">
        <f>'VoC Mileage %'!K40</f>
        <v>0</v>
      </c>
      <c r="L36" s="645">
        <f>'VoC Mileage %'!L40</f>
        <v>1</v>
      </c>
      <c r="M36" s="647">
        <f>'VoC Mileage %'!M40</f>
        <v>0</v>
      </c>
      <c r="N36" s="645">
        <f>'VoC Mileage %'!N40</f>
        <v>1</v>
      </c>
      <c r="O36" s="647">
        <f>'VoC Mileage %'!O40</f>
        <v>0</v>
      </c>
      <c r="P36" s="642"/>
      <c r="Q36" s="641"/>
      <c r="R36" s="641"/>
      <c r="S36" s="641"/>
      <c r="T36" s="641"/>
      <c r="U36" s="641"/>
      <c r="V36" s="641"/>
    </row>
    <row r="37" spans="1:22" ht="13.5" customHeight="1">
      <c r="A37" s="113"/>
      <c r="B37" s="82">
        <v>2015</v>
      </c>
      <c r="C37" s="147"/>
      <c r="D37" s="644">
        <f>'VoC Mileage %'!D41</f>
        <v>0.49721481105540766</v>
      </c>
      <c r="E37" s="644">
        <f>'VoC Mileage %'!E41</f>
        <v>0.50133227244196654</v>
      </c>
      <c r="F37" s="1305">
        <f>'VoC Mileage %'!F41</f>
        <v>1.4529165026258249E-3</v>
      </c>
      <c r="G37" s="645">
        <f>'VoC Mileage %'!G41</f>
        <v>2.1594467465044932E-2</v>
      </c>
      <c r="H37" s="644">
        <f>'VoC Mileage %'!H41</f>
        <v>0.97738263705018646</v>
      </c>
      <c r="I37" s="647">
        <f>'VoC Mileage %'!I41</f>
        <v>1.0228954847687022E-3</v>
      </c>
      <c r="J37" s="645">
        <f>'VoC Mileage %'!J41</f>
        <v>1</v>
      </c>
      <c r="K37" s="647">
        <f>'VoC Mileage %'!K41</f>
        <v>0</v>
      </c>
      <c r="L37" s="645">
        <f>'VoC Mileage %'!L41</f>
        <v>1</v>
      </c>
      <c r="M37" s="647">
        <f>'VoC Mileage %'!M41</f>
        <v>0</v>
      </c>
      <c r="N37" s="645">
        <f>'VoC Mileage %'!N41</f>
        <v>1</v>
      </c>
      <c r="O37" s="647">
        <f>'VoC Mileage %'!O41</f>
        <v>0</v>
      </c>
      <c r="P37" s="642"/>
      <c r="Q37" s="641"/>
      <c r="R37" s="641"/>
      <c r="S37" s="641"/>
      <c r="T37" s="641"/>
      <c r="U37" s="641"/>
      <c r="V37" s="641"/>
    </row>
    <row r="38" spans="1:22" ht="13.5" customHeight="1">
      <c r="A38" s="113"/>
      <c r="B38" s="82">
        <v>2016</v>
      </c>
      <c r="C38" s="147"/>
      <c r="D38" s="644">
        <f>'VoC Mileage %'!D42</f>
        <v>0.47926411865683594</v>
      </c>
      <c r="E38" s="644">
        <f>'VoC Mileage %'!E42</f>
        <v>0.51853125080258944</v>
      </c>
      <c r="F38" s="1305">
        <f>'VoC Mileage %'!F42</f>
        <v>2.2046305405746228E-3</v>
      </c>
      <c r="G38" s="645">
        <f>'VoC Mileage %'!G42</f>
        <v>1.9108036244729808E-2</v>
      </c>
      <c r="H38" s="644">
        <f>'VoC Mileage %'!H42</f>
        <v>0.97919562987811237</v>
      </c>
      <c r="I38" s="647">
        <f>'VoC Mileage %'!I42</f>
        <v>1.6963338771578912E-3</v>
      </c>
      <c r="J38" s="645">
        <f>'VoC Mileage %'!J42</f>
        <v>1</v>
      </c>
      <c r="K38" s="647">
        <f>'VoC Mileage %'!K42</f>
        <v>0</v>
      </c>
      <c r="L38" s="645">
        <f>'VoC Mileage %'!L42</f>
        <v>1</v>
      </c>
      <c r="M38" s="647">
        <f>'VoC Mileage %'!M42</f>
        <v>0</v>
      </c>
      <c r="N38" s="645">
        <f>'VoC Mileage %'!N42</f>
        <v>1</v>
      </c>
      <c r="O38" s="647">
        <f>'VoC Mileage %'!O42</f>
        <v>0</v>
      </c>
      <c r="P38" s="642"/>
      <c r="Q38" s="641"/>
      <c r="R38" s="641"/>
      <c r="S38" s="641"/>
      <c r="T38" s="641"/>
      <c r="U38" s="641"/>
      <c r="V38" s="641"/>
    </row>
    <row r="39" spans="1:22" ht="13.5" customHeight="1">
      <c r="A39" s="113"/>
      <c r="B39" s="82">
        <v>2017</v>
      </c>
      <c r="C39" s="147"/>
      <c r="D39" s="644">
        <f>'VoC Mileage %'!D43</f>
        <v>0.46509229543232039</v>
      </c>
      <c r="E39" s="644">
        <f>'VoC Mileage %'!E43</f>
        <v>0.53146164011853869</v>
      </c>
      <c r="F39" s="1305">
        <f>'VoC Mileage %'!F43</f>
        <v>3.4460644491408994E-3</v>
      </c>
      <c r="G39" s="645">
        <f>'VoC Mileage %'!G43</f>
        <v>1.7149091512505991E-2</v>
      </c>
      <c r="H39" s="644">
        <f>'VoC Mileage %'!H43</f>
        <v>0.98018562810929089</v>
      </c>
      <c r="I39" s="647">
        <f>'VoC Mileage %'!I43</f>
        <v>2.6652803782029975E-3</v>
      </c>
      <c r="J39" s="645">
        <f>'VoC Mileage %'!J43</f>
        <v>1</v>
      </c>
      <c r="K39" s="647">
        <f>'VoC Mileage %'!K43</f>
        <v>0</v>
      </c>
      <c r="L39" s="645">
        <f>'VoC Mileage %'!L43</f>
        <v>1</v>
      </c>
      <c r="M39" s="647">
        <f>'VoC Mileage %'!M43</f>
        <v>0</v>
      </c>
      <c r="N39" s="645">
        <f>'VoC Mileage %'!N43</f>
        <v>1</v>
      </c>
      <c r="O39" s="647">
        <f>'VoC Mileage %'!O43</f>
        <v>0</v>
      </c>
      <c r="P39" s="642"/>
      <c r="Q39" s="641"/>
      <c r="R39" s="641"/>
      <c r="S39" s="641"/>
      <c r="T39" s="641"/>
      <c r="U39" s="641"/>
      <c r="V39" s="641"/>
    </row>
    <row r="40" spans="1:22" ht="13.5" customHeight="1">
      <c r="A40" s="113"/>
      <c r="B40" s="82">
        <v>2018</v>
      </c>
      <c r="C40" s="147"/>
      <c r="D40" s="644">
        <f>'VoC Mileage %'!D44</f>
        <v>0.48097976813788373</v>
      </c>
      <c r="E40" s="644">
        <f>'VoC Mileage %'!E44</f>
        <v>0.51203704939777628</v>
      </c>
      <c r="F40" s="1305">
        <f>'VoC Mileage %'!F44</f>
        <v>6.9831824643400023E-3</v>
      </c>
      <c r="G40" s="645">
        <f>'VoC Mileage %'!G44</f>
        <v>1.5555726914266033E-2</v>
      </c>
      <c r="H40" s="644">
        <f>'VoC Mileage %'!H44</f>
        <v>0.98212320118532326</v>
      </c>
      <c r="I40" s="647">
        <f>'VoC Mileage %'!I44</f>
        <v>2.3210719004105973E-3</v>
      </c>
      <c r="J40" s="645">
        <f>'VoC Mileage %'!J44</f>
        <v>1</v>
      </c>
      <c r="K40" s="647">
        <f>'VoC Mileage %'!K44</f>
        <v>0</v>
      </c>
      <c r="L40" s="645">
        <f>'VoC Mileage %'!L44</f>
        <v>1</v>
      </c>
      <c r="M40" s="647">
        <f>'VoC Mileage %'!M44</f>
        <v>0</v>
      </c>
      <c r="N40" s="645">
        <f>'VoC Mileage %'!N44</f>
        <v>1</v>
      </c>
      <c r="O40" s="647">
        <f>'VoC Mileage %'!O44</f>
        <v>0</v>
      </c>
      <c r="P40" s="642"/>
      <c r="Q40" s="641"/>
      <c r="R40" s="641"/>
      <c r="S40" s="641"/>
      <c r="T40" s="641"/>
      <c r="U40" s="641"/>
      <c r="V40" s="641"/>
    </row>
    <row r="41" spans="1:22" ht="13.5" customHeight="1">
      <c r="A41" s="113"/>
      <c r="B41" s="82">
        <v>2019</v>
      </c>
      <c r="C41" s="147"/>
      <c r="D41" s="644">
        <f>'VoC Mileage %'!D45</f>
        <v>0.48343746344030947</v>
      </c>
      <c r="E41" s="644">
        <f>'VoC Mileage %'!E45</f>
        <v>0.5072141194664348</v>
      </c>
      <c r="F41" s="1305">
        <f>'VoC Mileage %'!F45</f>
        <v>9.3484170932556579E-3</v>
      </c>
      <c r="G41" s="645">
        <f>'VoC Mileage %'!G45</f>
        <v>1.4319017536158012E-2</v>
      </c>
      <c r="H41" s="644">
        <f>'VoC Mileage %'!H45</f>
        <v>0.98347996514780422</v>
      </c>
      <c r="I41" s="647">
        <f>'VoC Mileage %'!I45</f>
        <v>2.201017316037827E-3</v>
      </c>
      <c r="J41" s="645">
        <f>'VoC Mileage %'!J45</f>
        <v>1</v>
      </c>
      <c r="K41" s="647">
        <f>'VoC Mileage %'!K45</f>
        <v>0</v>
      </c>
      <c r="L41" s="645">
        <f>'VoC Mileage %'!L45</f>
        <v>1</v>
      </c>
      <c r="M41" s="647">
        <f>'VoC Mileage %'!M45</f>
        <v>0</v>
      </c>
      <c r="N41" s="645">
        <f>'VoC Mileage %'!N45</f>
        <v>1</v>
      </c>
      <c r="O41" s="647">
        <f>'VoC Mileage %'!O45</f>
        <v>0</v>
      </c>
      <c r="P41" s="642"/>
      <c r="Q41" s="641"/>
      <c r="R41" s="641"/>
      <c r="S41" s="641"/>
      <c r="T41" s="641"/>
      <c r="U41" s="641"/>
      <c r="V41" s="641"/>
    </row>
    <row r="42" spans="1:22" ht="13.5" customHeight="1">
      <c r="A42" s="113"/>
      <c r="B42" s="82">
        <v>2020</v>
      </c>
      <c r="C42" s="147"/>
      <c r="D42" s="644">
        <f>'VoC Mileage %'!D46</f>
        <v>0.48693312479193873</v>
      </c>
      <c r="E42" s="644">
        <f>'VoC Mileage %'!E46</f>
        <v>0.50113542703078306</v>
      </c>
      <c r="F42" s="1305">
        <f>'VoC Mileage %'!F46</f>
        <v>1.1931448177278299E-2</v>
      </c>
      <c r="G42" s="645">
        <f>'VoC Mileage %'!G46</f>
        <v>1.3385109223233967E-2</v>
      </c>
      <c r="H42" s="644">
        <f>'VoC Mileage %'!H46</f>
        <v>0.98431732997622856</v>
      </c>
      <c r="I42" s="647">
        <f>'VoC Mileage %'!I46</f>
        <v>2.2975608005374919E-3</v>
      </c>
      <c r="J42" s="645">
        <f>'VoC Mileage %'!J46</f>
        <v>1</v>
      </c>
      <c r="K42" s="647">
        <f>'VoC Mileage %'!K46</f>
        <v>0</v>
      </c>
      <c r="L42" s="645">
        <f>'VoC Mileage %'!L46</f>
        <v>1</v>
      </c>
      <c r="M42" s="647">
        <f>'VoC Mileage %'!M46</f>
        <v>0</v>
      </c>
      <c r="N42" s="645">
        <f>'VoC Mileage %'!N46</f>
        <v>1</v>
      </c>
      <c r="O42" s="647">
        <f>'VoC Mileage %'!O46</f>
        <v>0</v>
      </c>
      <c r="P42" s="648"/>
      <c r="Q42" s="641"/>
      <c r="R42" s="649"/>
      <c r="S42" s="649"/>
      <c r="T42" s="649"/>
      <c r="U42" s="641"/>
      <c r="V42" s="641"/>
    </row>
    <row r="43" spans="1:22" ht="13.5" customHeight="1">
      <c r="A43" s="113"/>
      <c r="B43" s="82">
        <v>2021</v>
      </c>
      <c r="C43" s="147"/>
      <c r="D43" s="644">
        <f>'VoC Mileage %'!D47</f>
        <v>0.48969706423683668</v>
      </c>
      <c r="E43" s="644">
        <f>'VoC Mileage %'!E47</f>
        <v>0.49321351227543986</v>
      </c>
      <c r="F43" s="1305">
        <f>'VoC Mileage %'!F47</f>
        <v>1.7089423487723444E-2</v>
      </c>
      <c r="G43" s="645">
        <f>'VoC Mileage %'!G47</f>
        <v>1.2677449470963479E-2</v>
      </c>
      <c r="H43" s="644">
        <f>'VoC Mileage %'!H47</f>
        <v>0.98455412867241476</v>
      </c>
      <c r="I43" s="647">
        <f>'VoC Mileage %'!I47</f>
        <v>2.7684218566219041E-3</v>
      </c>
      <c r="J43" s="645">
        <f>'VoC Mileage %'!J47</f>
        <v>1</v>
      </c>
      <c r="K43" s="647">
        <f>'VoC Mileage %'!K47</f>
        <v>0</v>
      </c>
      <c r="L43" s="645">
        <f>'VoC Mileage %'!L47</f>
        <v>1</v>
      </c>
      <c r="M43" s="647">
        <f>'VoC Mileage %'!M47</f>
        <v>0</v>
      </c>
      <c r="N43" s="645">
        <f>'VoC Mileage %'!N47</f>
        <v>1</v>
      </c>
      <c r="O43" s="647">
        <f>'VoC Mileage %'!O47</f>
        <v>0</v>
      </c>
      <c r="P43" s="642"/>
      <c r="Q43" s="641"/>
      <c r="R43" s="649"/>
      <c r="S43" s="649"/>
      <c r="T43" s="649"/>
      <c r="U43" s="641"/>
      <c r="V43" s="641"/>
    </row>
    <row r="44" spans="1:22" ht="13.5" customHeight="1">
      <c r="A44" s="113"/>
      <c r="B44" s="82">
        <v>2022</v>
      </c>
      <c r="C44" s="147"/>
      <c r="D44" s="644">
        <f>'VoC Mileage %'!D48</f>
        <v>0.49253317460263502</v>
      </c>
      <c r="E44" s="644">
        <f>'VoC Mileage %'!E48</f>
        <v>0.48399829848158232</v>
      </c>
      <c r="F44" s="1305">
        <f>'VoC Mileage %'!F48</f>
        <v>2.3468526915782717E-2</v>
      </c>
      <c r="G44" s="645">
        <f>'VoC Mileage %'!G48</f>
        <v>1.2167230997415891E-2</v>
      </c>
      <c r="H44" s="644">
        <f>'VoC Mileage %'!H48</f>
        <v>0.98371721336548579</v>
      </c>
      <c r="I44" s="647">
        <f>'VoC Mileage %'!I48</f>
        <v>4.1155556370981563E-3</v>
      </c>
      <c r="J44" s="645">
        <f>'VoC Mileage %'!J48</f>
        <v>1</v>
      </c>
      <c r="K44" s="647">
        <f>'VoC Mileage %'!K48</f>
        <v>0</v>
      </c>
      <c r="L44" s="645">
        <f>'VoC Mileage %'!L48</f>
        <v>1</v>
      </c>
      <c r="M44" s="647">
        <f>'VoC Mileage %'!M48</f>
        <v>0</v>
      </c>
      <c r="N44" s="645">
        <f>'VoC Mileage %'!N48</f>
        <v>1</v>
      </c>
      <c r="O44" s="647">
        <f>'VoC Mileage %'!O48</f>
        <v>0</v>
      </c>
      <c r="P44" s="642"/>
      <c r="Q44" s="641"/>
      <c r="R44" s="641"/>
      <c r="S44" s="641"/>
      <c r="T44" s="641"/>
      <c r="U44" s="641"/>
      <c r="V44" s="641"/>
    </row>
    <row r="45" spans="1:22" ht="13.5" customHeight="1">
      <c r="A45" s="113"/>
      <c r="B45" s="82">
        <v>2023</v>
      </c>
      <c r="C45" s="147"/>
      <c r="D45" s="644">
        <f>'VoC Mileage %'!D49</f>
        <v>0.49533138049391573</v>
      </c>
      <c r="E45" s="644">
        <f>'VoC Mileage %'!E49</f>
        <v>0.47333288627388231</v>
      </c>
      <c r="F45" s="1305">
        <f>'VoC Mileage %'!F49</f>
        <v>3.1335733232201811E-2</v>
      </c>
      <c r="G45" s="645">
        <f>'VoC Mileage %'!G49</f>
        <v>1.1691616843630093E-2</v>
      </c>
      <c r="H45" s="644">
        <f>'VoC Mileage %'!H49</f>
        <v>0.98180455515526277</v>
      </c>
      <c r="I45" s="647">
        <f>'VoC Mileage %'!I49</f>
        <v>6.5038280011073153E-3</v>
      </c>
      <c r="J45" s="645">
        <f>'VoC Mileage %'!J49</f>
        <v>1</v>
      </c>
      <c r="K45" s="647">
        <f>'VoC Mileage %'!K49</f>
        <v>0</v>
      </c>
      <c r="L45" s="645">
        <f>'VoC Mileage %'!L49</f>
        <v>1</v>
      </c>
      <c r="M45" s="647">
        <f>'VoC Mileage %'!M49</f>
        <v>0</v>
      </c>
      <c r="N45" s="645">
        <f>'VoC Mileage %'!N49</f>
        <v>1</v>
      </c>
      <c r="O45" s="647">
        <f>'VoC Mileage %'!O49</f>
        <v>0</v>
      </c>
      <c r="P45" s="642"/>
      <c r="Q45" s="641"/>
      <c r="R45" s="641"/>
      <c r="S45" s="641"/>
      <c r="T45" s="641"/>
      <c r="U45" s="641"/>
      <c r="V45" s="641"/>
    </row>
    <row r="46" spans="1:22" ht="13.5" customHeight="1">
      <c r="A46" s="113"/>
      <c r="B46" s="82">
        <v>2024</v>
      </c>
      <c r="C46" s="147"/>
      <c r="D46" s="644">
        <f>'VoC Mileage %'!D50</f>
        <v>0.49796319635355407</v>
      </c>
      <c r="E46" s="644">
        <f>'VoC Mileage %'!E50</f>
        <v>0.46125524828884246</v>
      </c>
      <c r="F46" s="1305">
        <f>'VoC Mileage %'!F50</f>
        <v>4.0781555357603506E-2</v>
      </c>
      <c r="G46" s="645">
        <f>'VoC Mileage %'!G50</f>
        <v>1.1331921790605064E-2</v>
      </c>
      <c r="H46" s="644">
        <f>'VoC Mileage %'!H50</f>
        <v>0.97811633547475085</v>
      </c>
      <c r="I46" s="647">
        <f>'VoC Mileage %'!I50</f>
        <v>1.0551742734644135E-2</v>
      </c>
      <c r="J46" s="645">
        <f>'VoC Mileage %'!J50</f>
        <v>1</v>
      </c>
      <c r="K46" s="647">
        <f>'VoC Mileage %'!K50</f>
        <v>0</v>
      </c>
      <c r="L46" s="645">
        <f>'VoC Mileage %'!L50</f>
        <v>1</v>
      </c>
      <c r="M46" s="647">
        <f>'VoC Mileage %'!M50</f>
        <v>0</v>
      </c>
      <c r="N46" s="645">
        <f>'VoC Mileage %'!N50</f>
        <v>1</v>
      </c>
      <c r="O46" s="647">
        <f>'VoC Mileage %'!O50</f>
        <v>0</v>
      </c>
      <c r="P46" s="642"/>
      <c r="Q46" s="641"/>
      <c r="R46" s="641"/>
      <c r="S46" s="641"/>
      <c r="T46" s="641"/>
      <c r="U46" s="641"/>
      <c r="V46" s="641"/>
    </row>
    <row r="47" spans="1:22" ht="13.5" customHeight="1">
      <c r="A47" s="113"/>
      <c r="B47" s="82">
        <v>2025</v>
      </c>
      <c r="C47" s="147"/>
      <c r="D47" s="644">
        <f>'VoC Mileage %'!D51</f>
        <v>0.49972708207517902</v>
      </c>
      <c r="E47" s="644">
        <f>'VoC Mileage %'!E51</f>
        <v>0.44743901650925766</v>
      </c>
      <c r="F47" s="1305">
        <f>'VoC Mileage %'!F51</f>
        <v>5.2833901415563378E-2</v>
      </c>
      <c r="G47" s="645">
        <f>'VoC Mileage %'!G51</f>
        <v>1.0940352764042538E-2</v>
      </c>
      <c r="H47" s="644">
        <f>'VoC Mileage %'!H51</f>
        <v>0.97160513218336098</v>
      </c>
      <c r="I47" s="647">
        <f>'VoC Mileage %'!I51</f>
        <v>1.7454515052596643E-2</v>
      </c>
      <c r="J47" s="645">
        <f>'VoC Mileage %'!J51</f>
        <v>1</v>
      </c>
      <c r="K47" s="647">
        <f>'VoC Mileage %'!K51</f>
        <v>0</v>
      </c>
      <c r="L47" s="645">
        <f>'VoC Mileage %'!L51</f>
        <v>1</v>
      </c>
      <c r="M47" s="647">
        <f>'VoC Mileage %'!M51</f>
        <v>0</v>
      </c>
      <c r="N47" s="645">
        <f>'VoC Mileage %'!N51</f>
        <v>1</v>
      </c>
      <c r="O47" s="647">
        <f>'VoC Mileage %'!O51</f>
        <v>0</v>
      </c>
      <c r="P47" s="642"/>
      <c r="Q47" s="641"/>
      <c r="R47" s="641"/>
      <c r="S47" s="641"/>
      <c r="T47" s="641"/>
      <c r="U47" s="641"/>
      <c r="V47" s="641"/>
    </row>
    <row r="48" spans="1:22" ht="13.5" customHeight="1">
      <c r="A48" s="113"/>
      <c r="B48" s="82">
        <v>2026</v>
      </c>
      <c r="C48" s="147"/>
      <c r="D48" s="644">
        <f>'VoC Mileage %'!D52</f>
        <v>0.50003615078409192</v>
      </c>
      <c r="E48" s="644">
        <f>'VoC Mileage %'!E52</f>
        <v>0.43233645185565878</v>
      </c>
      <c r="F48" s="1305">
        <f>'VoC Mileage %'!F52</f>
        <v>6.7627397360249406E-2</v>
      </c>
      <c r="G48" s="645">
        <f>'VoC Mileage %'!G52</f>
        <v>1.0563487295180177E-2</v>
      </c>
      <c r="H48" s="644">
        <f>'VoC Mileage %'!H52</f>
        <v>0.9653966936884194</v>
      </c>
      <c r="I48" s="647">
        <f>'VoC Mileage %'!I52</f>
        <v>2.4039819016400343E-2</v>
      </c>
      <c r="J48" s="645">
        <f>'VoC Mileage %'!J52</f>
        <v>1</v>
      </c>
      <c r="K48" s="647">
        <f>'VoC Mileage %'!K52</f>
        <v>0</v>
      </c>
      <c r="L48" s="645">
        <f>'VoC Mileage %'!L52</f>
        <v>1</v>
      </c>
      <c r="M48" s="647">
        <f>'VoC Mileage %'!M52</f>
        <v>0</v>
      </c>
      <c r="N48" s="645">
        <f>'VoC Mileage %'!N52</f>
        <v>1</v>
      </c>
      <c r="O48" s="647">
        <f>'VoC Mileage %'!O52</f>
        <v>0</v>
      </c>
      <c r="P48" s="642"/>
      <c r="Q48" s="641"/>
      <c r="R48" s="641"/>
      <c r="S48" s="641"/>
      <c r="T48" s="641"/>
      <c r="U48" s="641"/>
      <c r="V48" s="641"/>
    </row>
    <row r="49" spans="1:23" ht="13.5" customHeight="1">
      <c r="A49" s="113"/>
      <c r="B49" s="82">
        <v>2027</v>
      </c>
      <c r="C49" s="147"/>
      <c r="D49" s="644">
        <f>'VoC Mileage %'!D53</f>
        <v>0.49887340710663064</v>
      </c>
      <c r="E49" s="644">
        <f>'VoC Mileage %'!E53</f>
        <v>0.41644307501854788</v>
      </c>
      <c r="F49" s="1305">
        <f>'VoC Mileage %'!F53</f>
        <v>8.468351787482141E-2</v>
      </c>
      <c r="G49" s="645">
        <f>'VoC Mileage %'!G53</f>
        <v>8.4435433038914064E-3</v>
      </c>
      <c r="H49" s="644">
        <f>'VoC Mileage %'!H53</f>
        <v>0.96006850951797129</v>
      </c>
      <c r="I49" s="647">
        <f>'VoC Mileage %'!I53</f>
        <v>3.1487947178137327E-2</v>
      </c>
      <c r="J49" s="645">
        <f>'VoC Mileage %'!J53</f>
        <v>1</v>
      </c>
      <c r="K49" s="647">
        <f>'VoC Mileage %'!K53</f>
        <v>0</v>
      </c>
      <c r="L49" s="645">
        <f>'VoC Mileage %'!L53</f>
        <v>1</v>
      </c>
      <c r="M49" s="647">
        <f>'VoC Mileage %'!M53</f>
        <v>0</v>
      </c>
      <c r="N49" s="645">
        <f>'VoC Mileage %'!N53</f>
        <v>1</v>
      </c>
      <c r="O49" s="647">
        <f>'VoC Mileage %'!O53</f>
        <v>0</v>
      </c>
      <c r="P49" s="642"/>
      <c r="Q49" s="641"/>
      <c r="R49" s="641"/>
      <c r="S49" s="641"/>
      <c r="T49" s="641"/>
      <c r="U49" s="641"/>
      <c r="V49" s="641"/>
    </row>
    <row r="50" spans="1:23" ht="13.5" customHeight="1">
      <c r="A50" s="113"/>
      <c r="B50" s="82">
        <v>2028</v>
      </c>
      <c r="C50" s="147"/>
      <c r="D50" s="644">
        <f>'VoC Mileage %'!D54</f>
        <v>0.4967429696906358</v>
      </c>
      <c r="E50" s="644">
        <f>'VoC Mileage %'!E54</f>
        <v>0.40047373942250236</v>
      </c>
      <c r="F50" s="1305">
        <f>'VoC Mileage %'!F54</f>
        <v>0.10278329088686181</v>
      </c>
      <c r="G50" s="645">
        <f>'VoC Mileage %'!G54</f>
        <v>8.3674124225933677E-3</v>
      </c>
      <c r="H50" s="644">
        <f>'VoC Mileage %'!H54</f>
        <v>0.95221940689494078</v>
      </c>
      <c r="I50" s="647">
        <f>'VoC Mileage %'!I54</f>
        <v>3.9413180682465798E-2</v>
      </c>
      <c r="J50" s="645">
        <f>'VoC Mileage %'!J54</f>
        <v>1</v>
      </c>
      <c r="K50" s="647">
        <f>'VoC Mileage %'!K54</f>
        <v>0</v>
      </c>
      <c r="L50" s="645">
        <f>'VoC Mileage %'!L54</f>
        <v>1</v>
      </c>
      <c r="M50" s="647">
        <f>'VoC Mileage %'!M54</f>
        <v>0</v>
      </c>
      <c r="N50" s="645">
        <f>'VoC Mileage %'!N54</f>
        <v>1</v>
      </c>
      <c r="O50" s="647">
        <f>'VoC Mileage %'!O54</f>
        <v>0</v>
      </c>
      <c r="P50" s="642"/>
      <c r="Q50" s="641"/>
      <c r="R50" s="641"/>
      <c r="S50" s="641"/>
      <c r="T50" s="641"/>
      <c r="U50" s="641"/>
      <c r="V50" s="641"/>
    </row>
    <row r="51" spans="1:23" ht="13.5" customHeight="1">
      <c r="A51" s="113"/>
      <c r="B51" s="82">
        <v>2029</v>
      </c>
      <c r="C51" s="147"/>
      <c r="D51" s="644">
        <f>'VoC Mileage %'!D55</f>
        <v>0.49330466938387318</v>
      </c>
      <c r="E51" s="644">
        <f>'VoC Mileage %'!E55</f>
        <v>0.38476132242533539</v>
      </c>
      <c r="F51" s="1305">
        <f>'VoC Mileage %'!F55</f>
        <v>0.12193400819079145</v>
      </c>
      <c r="G51" s="645">
        <f>'VoC Mileage %'!G55</f>
        <v>8.279231830281163E-3</v>
      </c>
      <c r="H51" s="644">
        <f>'VoC Mileage %'!H55</f>
        <v>0.94333576852754519</v>
      </c>
      <c r="I51" s="647">
        <f>'VoC Mileage %'!I55</f>
        <v>4.8384999642173611E-2</v>
      </c>
      <c r="J51" s="645">
        <f>'VoC Mileage %'!J55</f>
        <v>1</v>
      </c>
      <c r="K51" s="647">
        <f>'VoC Mileage %'!K55</f>
        <v>0</v>
      </c>
      <c r="L51" s="645">
        <f>'VoC Mileage %'!L55</f>
        <v>1</v>
      </c>
      <c r="M51" s="647">
        <f>'VoC Mileage %'!M55</f>
        <v>0</v>
      </c>
      <c r="N51" s="645">
        <f>'VoC Mileage %'!N55</f>
        <v>1</v>
      </c>
      <c r="O51" s="647">
        <f>'VoC Mileage %'!O55</f>
        <v>0</v>
      </c>
      <c r="P51" s="642"/>
      <c r="Q51" s="641"/>
      <c r="R51" s="641"/>
      <c r="S51" s="641"/>
      <c r="T51" s="641"/>
      <c r="U51" s="641"/>
      <c r="V51" s="641"/>
    </row>
    <row r="52" spans="1:23" ht="13.5" customHeight="1">
      <c r="A52" s="113"/>
      <c r="B52" s="82">
        <v>2030</v>
      </c>
      <c r="C52" s="147"/>
      <c r="D52" s="644">
        <f>'VoC Mileage %'!D56</f>
        <v>0.48797750999942691</v>
      </c>
      <c r="E52" s="644">
        <f>'VoC Mileage %'!E56</f>
        <v>0.36907735648300882</v>
      </c>
      <c r="F52" s="1305">
        <f>'VoC Mileage %'!F56</f>
        <v>0.14294513351756422</v>
      </c>
      <c r="G52" s="645">
        <f>'VoC Mileage %'!G56</f>
        <v>8.167099472900478E-3</v>
      </c>
      <c r="H52" s="644">
        <f>'VoC Mileage %'!H56</f>
        <v>0.93321827610460983</v>
      </c>
      <c r="I52" s="647">
        <f>'VoC Mileage %'!I56</f>
        <v>5.8614624422489575E-2</v>
      </c>
      <c r="J52" s="645">
        <f>'VoC Mileage %'!J56</f>
        <v>1</v>
      </c>
      <c r="K52" s="647">
        <f>'VoC Mileage %'!K56</f>
        <v>0</v>
      </c>
      <c r="L52" s="645">
        <f>'VoC Mileage %'!L56</f>
        <v>1</v>
      </c>
      <c r="M52" s="647">
        <f>'VoC Mileage %'!M56</f>
        <v>0</v>
      </c>
      <c r="N52" s="645">
        <f>'VoC Mileage %'!N56</f>
        <v>1</v>
      </c>
      <c r="O52" s="647">
        <f>'VoC Mileage %'!O56</f>
        <v>0</v>
      </c>
      <c r="P52" s="641"/>
      <c r="Q52" s="641"/>
      <c r="R52" s="641"/>
      <c r="S52" s="641"/>
      <c r="T52" s="641"/>
      <c r="U52" s="641"/>
      <c r="V52" s="641"/>
    </row>
    <row r="53" spans="1:23" ht="13.5" customHeight="1">
      <c r="A53" s="113"/>
      <c r="B53" s="82">
        <v>2031</v>
      </c>
      <c r="C53" s="147"/>
      <c r="D53" s="644">
        <f>'VoC Mileage %'!D57</f>
        <v>0.4816980330081731</v>
      </c>
      <c r="E53" s="644">
        <f>'VoC Mileage %'!E57</f>
        <v>0.35467526944315475</v>
      </c>
      <c r="F53" s="1305">
        <f>'VoC Mileage %'!F57</f>
        <v>0.16362669754867226</v>
      </c>
      <c r="G53" s="645">
        <f>'VoC Mileage %'!G57</f>
        <v>8.0530588753909785E-3</v>
      </c>
      <c r="H53" s="644">
        <f>'VoC Mileage %'!H57</f>
        <v>0.92334702446724903</v>
      </c>
      <c r="I53" s="647">
        <f>'VoC Mileage %'!I57</f>
        <v>6.8599916657359927E-2</v>
      </c>
      <c r="J53" s="645">
        <f>'VoC Mileage %'!J57</f>
        <v>1</v>
      </c>
      <c r="K53" s="647">
        <f>'VoC Mileage %'!K57</f>
        <v>0</v>
      </c>
      <c r="L53" s="645">
        <f>'VoC Mileage %'!L57</f>
        <v>1</v>
      </c>
      <c r="M53" s="647">
        <f>'VoC Mileage %'!M57</f>
        <v>0</v>
      </c>
      <c r="N53" s="645">
        <f>'VoC Mileage %'!N57</f>
        <v>1</v>
      </c>
      <c r="O53" s="647">
        <f>'VoC Mileage %'!O57</f>
        <v>0</v>
      </c>
      <c r="U53" s="650"/>
      <c r="V53" s="650"/>
      <c r="W53" s="573"/>
    </row>
    <row r="54" spans="1:23" ht="13.5" customHeight="1">
      <c r="A54" s="113"/>
      <c r="B54" s="82">
        <v>2032</v>
      </c>
      <c r="C54" s="147"/>
      <c r="D54" s="644">
        <f>'VoC Mileage %'!D58</f>
        <v>0.47449829047505143</v>
      </c>
      <c r="E54" s="644">
        <f>'VoC Mileage %'!E58</f>
        <v>0.34156803015441239</v>
      </c>
      <c r="F54" s="1305">
        <f>'VoC Mileage %'!F58</f>
        <v>0.1839336793705362</v>
      </c>
      <c r="G54" s="645">
        <f>'VoC Mileage %'!G58</f>
        <v>7.9357301873778131E-3</v>
      </c>
      <c r="H54" s="644">
        <f>'VoC Mileage %'!H58</f>
        <v>0.91339254387952484</v>
      </c>
      <c r="I54" s="647">
        <f>'VoC Mileage %'!I58</f>
        <v>7.8671725933097209E-2</v>
      </c>
      <c r="J54" s="645">
        <f>'VoC Mileage %'!J58</f>
        <v>1</v>
      </c>
      <c r="K54" s="647">
        <f>'VoC Mileage %'!K58</f>
        <v>0</v>
      </c>
      <c r="L54" s="645">
        <f>'VoC Mileage %'!L58</f>
        <v>1</v>
      </c>
      <c r="M54" s="647">
        <f>'VoC Mileage %'!M58</f>
        <v>0</v>
      </c>
      <c r="N54" s="645">
        <f>'VoC Mileage %'!N58</f>
        <v>1</v>
      </c>
      <c r="O54" s="647">
        <f>'VoC Mileage %'!O58</f>
        <v>0</v>
      </c>
      <c r="U54" s="641"/>
      <c r="V54" s="641"/>
    </row>
    <row r="55" spans="1:23" ht="13.5" customHeight="1">
      <c r="A55" s="113"/>
      <c r="B55" s="82">
        <v>2033</v>
      </c>
      <c r="C55" s="147"/>
      <c r="D55" s="644">
        <f>'VoC Mileage %'!D59</f>
        <v>0.46650986775426367</v>
      </c>
      <c r="E55" s="644">
        <f>'VoC Mileage %'!E59</f>
        <v>0.32967495039338462</v>
      </c>
      <c r="F55" s="1305">
        <f>'VoC Mileage %'!F59</f>
        <v>0.20381518185235159</v>
      </c>
      <c r="G55" s="645">
        <f>'VoC Mileage %'!G59</f>
        <v>7.8160742822889467E-3</v>
      </c>
      <c r="H55" s="644">
        <f>'VoC Mileage %'!H59</f>
        <v>0.90341310763865312</v>
      </c>
      <c r="I55" s="647">
        <f>'VoC Mileage %'!I59</f>
        <v>8.8770818079058011E-2</v>
      </c>
      <c r="J55" s="645">
        <f>'VoC Mileage %'!J59</f>
        <v>1</v>
      </c>
      <c r="K55" s="647">
        <f>'VoC Mileage %'!K59</f>
        <v>0</v>
      </c>
      <c r="L55" s="645">
        <f>'VoC Mileage %'!L59</f>
        <v>1</v>
      </c>
      <c r="M55" s="647">
        <f>'VoC Mileage %'!M59</f>
        <v>0</v>
      </c>
      <c r="N55" s="645">
        <f>'VoC Mileage %'!N59</f>
        <v>1</v>
      </c>
      <c r="O55" s="647">
        <f>'VoC Mileage %'!O59</f>
        <v>0</v>
      </c>
      <c r="P55" s="641"/>
      <c r="Q55" s="641"/>
      <c r="R55" s="641"/>
      <c r="S55" s="641"/>
      <c r="T55" s="641"/>
      <c r="U55" s="641"/>
      <c r="V55" s="641"/>
    </row>
    <row r="56" spans="1:23" ht="13.5" customHeight="1">
      <c r="A56" s="113"/>
      <c r="B56" s="82">
        <v>2034</v>
      </c>
      <c r="C56" s="147"/>
      <c r="D56" s="644">
        <f>'VoC Mileage %'!D60</f>
        <v>0.45792372676017823</v>
      </c>
      <c r="E56" s="644">
        <f>'VoC Mileage %'!E60</f>
        <v>0.3186445399649705</v>
      </c>
      <c r="F56" s="1305">
        <f>'VoC Mileage %'!F60</f>
        <v>0.22343173327485119</v>
      </c>
      <c r="G56" s="645">
        <f>'VoC Mileage %'!G60</f>
        <v>7.6968812884720761E-3</v>
      </c>
      <c r="H56" s="644">
        <f>'VoC Mileage %'!H60</f>
        <v>0.89320038112169975</v>
      </c>
      <c r="I56" s="647">
        <f>'VoC Mileage %'!I60</f>
        <v>9.9102737589827947E-2</v>
      </c>
      <c r="J56" s="645">
        <f>'VoC Mileage %'!J60</f>
        <v>1</v>
      </c>
      <c r="K56" s="647">
        <f>'VoC Mileage %'!K60</f>
        <v>0</v>
      </c>
      <c r="L56" s="645">
        <f>'VoC Mileage %'!L60</f>
        <v>1</v>
      </c>
      <c r="M56" s="647">
        <f>'VoC Mileage %'!M60</f>
        <v>0</v>
      </c>
      <c r="N56" s="645">
        <f>'VoC Mileage %'!N60</f>
        <v>1</v>
      </c>
      <c r="O56" s="647">
        <f>'VoC Mileage %'!O60</f>
        <v>0</v>
      </c>
      <c r="P56" s="641"/>
      <c r="Q56" s="641"/>
      <c r="R56" s="641"/>
      <c r="S56" s="641"/>
      <c r="T56" s="641"/>
      <c r="U56" s="641"/>
      <c r="V56" s="641"/>
    </row>
    <row r="57" spans="1:23" ht="13.5" customHeight="1">
      <c r="A57" s="113"/>
      <c r="B57" s="82">
        <v>2035</v>
      </c>
      <c r="C57" s="147"/>
      <c r="D57" s="644">
        <f>'VoC Mileage %'!D61</f>
        <v>0.44899280760845878</v>
      </c>
      <c r="E57" s="644">
        <f>'VoC Mileage %'!E61</f>
        <v>0.30857174712024082</v>
      </c>
      <c r="F57" s="1305">
        <f>'VoC Mileage %'!F61</f>
        <v>0.24243544527130034</v>
      </c>
      <c r="G57" s="645">
        <f>'VoC Mileage %'!G61</f>
        <v>7.5813673465207135E-3</v>
      </c>
      <c r="H57" s="644">
        <f>'VoC Mileage %'!H61</f>
        <v>0.88299738387871451</v>
      </c>
      <c r="I57" s="647">
        <f>'VoC Mileage %'!I61</f>
        <v>0.10942124877476486</v>
      </c>
      <c r="J57" s="645">
        <f>'VoC Mileage %'!J61</f>
        <v>1</v>
      </c>
      <c r="K57" s="647">
        <f>'VoC Mileage %'!K61</f>
        <v>0</v>
      </c>
      <c r="L57" s="645">
        <f>'VoC Mileage %'!L61</f>
        <v>1</v>
      </c>
      <c r="M57" s="647">
        <f>'VoC Mileage %'!M61</f>
        <v>0</v>
      </c>
      <c r="N57" s="645">
        <f>'VoC Mileage %'!N61</f>
        <v>1</v>
      </c>
      <c r="O57" s="647">
        <f>'VoC Mileage %'!O61</f>
        <v>0</v>
      </c>
      <c r="P57" s="641"/>
      <c r="Q57" s="641"/>
      <c r="R57" s="641"/>
      <c r="S57" s="641"/>
      <c r="T57" s="641"/>
      <c r="U57" s="641"/>
      <c r="V57" s="641"/>
    </row>
    <row r="58" spans="1:23" ht="13.5" customHeight="1">
      <c r="A58" s="113"/>
      <c r="B58" s="82">
        <f>1+B57</f>
        <v>2036</v>
      </c>
      <c r="C58" s="147"/>
      <c r="D58" s="644">
        <f>'VoC Mileage %'!D62</f>
        <v>0.43990080406986071</v>
      </c>
      <c r="E58" s="644">
        <f>'VoC Mileage %'!E62</f>
        <v>0.29929341669468074</v>
      </c>
      <c r="F58" s="1305">
        <f>'VoC Mileage %'!F62</f>
        <v>0.26080577923545861</v>
      </c>
      <c r="G58" s="645">
        <f>'VoC Mileage %'!G62</f>
        <v>7.4679362389327795E-3</v>
      </c>
      <c r="H58" s="644">
        <f>'VoC Mileage %'!H62</f>
        <v>0.87323909499783392</v>
      </c>
      <c r="I58" s="647">
        <f>'VoC Mileage %'!I62</f>
        <v>0.1192929687632333</v>
      </c>
      <c r="J58" s="645">
        <f>'VoC Mileage %'!J62</f>
        <v>1</v>
      </c>
      <c r="K58" s="647">
        <f>'VoC Mileage %'!K62</f>
        <v>0</v>
      </c>
      <c r="L58" s="645">
        <f>'VoC Mileage %'!L62</f>
        <v>1</v>
      </c>
      <c r="M58" s="647">
        <f>'VoC Mileage %'!M62</f>
        <v>0</v>
      </c>
      <c r="N58" s="645">
        <f>'VoC Mileage %'!N62</f>
        <v>1</v>
      </c>
      <c r="O58" s="647">
        <f>'VoC Mileage %'!O62</f>
        <v>0</v>
      </c>
    </row>
    <row r="59" spans="1:23" ht="13.5" customHeight="1">
      <c r="A59" s="113"/>
      <c r="B59" s="82">
        <f t="shared" ref="B59:B72" si="0">1+B58</f>
        <v>2037</v>
      </c>
      <c r="C59" s="147"/>
      <c r="D59" s="644">
        <f>'VoC Mileage %'!D63</f>
        <v>0.43056713578605027</v>
      </c>
      <c r="E59" s="644">
        <f>'VoC Mileage %'!E63</f>
        <v>0.29069532730378789</v>
      </c>
      <c r="F59" s="1305">
        <f>'VoC Mileage %'!F63</f>
        <v>0.27873753691016184</v>
      </c>
      <c r="G59" s="645">
        <f>'VoC Mileage %'!G63</f>
        <v>7.3568988269759805E-3</v>
      </c>
      <c r="H59" s="644">
        <f>'VoC Mileage %'!H63</f>
        <v>0.86360790113200736</v>
      </c>
      <c r="I59" s="647">
        <f>'VoC Mileage %'!I63</f>
        <v>0.12903520004101665</v>
      </c>
      <c r="J59" s="645">
        <f>'VoC Mileage %'!J63</f>
        <v>1</v>
      </c>
      <c r="K59" s="647">
        <f>'VoC Mileage %'!K63</f>
        <v>0</v>
      </c>
      <c r="L59" s="645">
        <f>'VoC Mileage %'!L63</f>
        <v>1</v>
      </c>
      <c r="M59" s="647">
        <f>'VoC Mileage %'!M63</f>
        <v>0</v>
      </c>
      <c r="N59" s="645">
        <f>'VoC Mileage %'!N63</f>
        <v>1</v>
      </c>
      <c r="O59" s="647">
        <f>'VoC Mileage %'!O63</f>
        <v>0</v>
      </c>
    </row>
    <row r="60" spans="1:23" ht="13.5" customHeight="1">
      <c r="A60" s="113"/>
      <c r="B60" s="82">
        <f t="shared" si="0"/>
        <v>2038</v>
      </c>
      <c r="C60" s="147"/>
      <c r="D60" s="644">
        <f>'VoC Mileage %'!D64</f>
        <v>0.42127889654082867</v>
      </c>
      <c r="E60" s="644">
        <f>'VoC Mileage %'!E64</f>
        <v>0.28282772326670452</v>
      </c>
      <c r="F60" s="1305">
        <f>'VoC Mileage %'!F64</f>
        <v>0.29589338019246691</v>
      </c>
      <c r="G60" s="645">
        <f>'VoC Mileage %'!G64</f>
        <v>7.2489392213255918E-3</v>
      </c>
      <c r="H60" s="644">
        <f>'VoC Mileage %'!H64</f>
        <v>0.85418264470064764</v>
      </c>
      <c r="I60" s="647">
        <f>'VoC Mileage %'!I64</f>
        <v>0.13856841607802692</v>
      </c>
      <c r="J60" s="645">
        <f>'VoC Mileage %'!J64</f>
        <v>1</v>
      </c>
      <c r="K60" s="647">
        <f>'VoC Mileage %'!K64</f>
        <v>0</v>
      </c>
      <c r="L60" s="645">
        <f>'VoC Mileage %'!L64</f>
        <v>1</v>
      </c>
      <c r="M60" s="647">
        <f>'VoC Mileage %'!M64</f>
        <v>0</v>
      </c>
      <c r="N60" s="645">
        <f>'VoC Mileage %'!N64</f>
        <v>1</v>
      </c>
      <c r="O60" s="647">
        <f>'VoC Mileage %'!O64</f>
        <v>0</v>
      </c>
    </row>
    <row r="61" spans="1:23" ht="13.5" customHeight="1">
      <c r="A61" s="113"/>
      <c r="B61" s="82">
        <f t="shared" si="0"/>
        <v>2039</v>
      </c>
      <c r="C61" s="147"/>
      <c r="D61" s="644">
        <f>'VoC Mileage %'!D65</f>
        <v>0.41227514533268816</v>
      </c>
      <c r="E61" s="644">
        <f>'VoC Mileage %'!E65</f>
        <v>0.275486517066312</v>
      </c>
      <c r="F61" s="1305">
        <f>'VoC Mileage %'!F65</f>
        <v>0.31223833760099995</v>
      </c>
      <c r="G61" s="645">
        <f>'VoC Mileage %'!G65</f>
        <v>7.1453552927500776E-3</v>
      </c>
      <c r="H61" s="644">
        <f>'VoC Mileage %'!H65</f>
        <v>0.84497438268660108</v>
      </c>
      <c r="I61" s="647">
        <f>'VoC Mileage %'!I65</f>
        <v>0.14788026202064902</v>
      </c>
      <c r="J61" s="645">
        <f>'VoC Mileage %'!J65</f>
        <v>1</v>
      </c>
      <c r="K61" s="647">
        <f>'VoC Mileage %'!K65</f>
        <v>0</v>
      </c>
      <c r="L61" s="645">
        <f>'VoC Mileage %'!L65</f>
        <v>1</v>
      </c>
      <c r="M61" s="647">
        <f>'VoC Mileage %'!M65</f>
        <v>0</v>
      </c>
      <c r="N61" s="645">
        <f>'VoC Mileage %'!N65</f>
        <v>1</v>
      </c>
      <c r="O61" s="647">
        <f>'VoC Mileage %'!O65</f>
        <v>0</v>
      </c>
    </row>
    <row r="62" spans="1:23" ht="13.5" customHeight="1">
      <c r="A62" s="113"/>
      <c r="B62" s="82">
        <f t="shared" si="0"/>
        <v>2040</v>
      </c>
      <c r="C62" s="147"/>
      <c r="D62" s="644">
        <f>'VoC Mileage %'!D66</f>
        <v>0.40351495149274025</v>
      </c>
      <c r="E62" s="644">
        <f>'VoC Mileage %'!E66</f>
        <v>0.26853954368687544</v>
      </c>
      <c r="F62" s="1305">
        <f>'VoC Mileage %'!F66</f>
        <v>0.32794550482038431</v>
      </c>
      <c r="G62" s="645">
        <f>'VoC Mileage %'!G66</f>
        <v>7.0476895956185504E-3</v>
      </c>
      <c r="H62" s="644">
        <f>'VoC Mileage %'!H66</f>
        <v>0.83604447572922491</v>
      </c>
      <c r="I62" s="647">
        <f>'VoC Mileage %'!I66</f>
        <v>0.15690783467515654</v>
      </c>
      <c r="J62" s="645">
        <f>'VoC Mileage %'!J66</f>
        <v>1</v>
      </c>
      <c r="K62" s="647">
        <f>'VoC Mileage %'!K66</f>
        <v>0</v>
      </c>
      <c r="L62" s="645">
        <f>'VoC Mileage %'!L66</f>
        <v>1</v>
      </c>
      <c r="M62" s="647">
        <f>'VoC Mileage %'!M66</f>
        <v>0</v>
      </c>
      <c r="N62" s="645">
        <f>'VoC Mileage %'!N66</f>
        <v>1</v>
      </c>
      <c r="O62" s="647">
        <f>'VoC Mileage %'!O66</f>
        <v>0</v>
      </c>
    </row>
    <row r="63" spans="1:23" ht="13.5" customHeight="1">
      <c r="A63" s="113"/>
      <c r="B63" s="82">
        <f t="shared" si="0"/>
        <v>2041</v>
      </c>
      <c r="C63" s="147"/>
      <c r="D63" s="644">
        <f>'VoC Mileage %'!D67</f>
        <v>0.39432990115997196</v>
      </c>
      <c r="E63" s="644">
        <f>'VoC Mileage %'!E67</f>
        <v>0.26146264988284945</v>
      </c>
      <c r="F63" s="1305">
        <f>'VoC Mileage %'!F67</f>
        <v>0.34420744895717864</v>
      </c>
      <c r="G63" s="645">
        <f>'VoC Mileage %'!G67</f>
        <v>6.9485363084110172E-3</v>
      </c>
      <c r="H63" s="644">
        <f>'VoC Mileage %'!H67</f>
        <v>0.82693866037979269</v>
      </c>
      <c r="I63" s="647">
        <f>'VoC Mileage %'!I67</f>
        <v>0.1661128033117964</v>
      </c>
      <c r="J63" s="645">
        <f>'VoC Mileage %'!J67</f>
        <v>1</v>
      </c>
      <c r="K63" s="647">
        <f>'VoC Mileage %'!K67</f>
        <v>0</v>
      </c>
      <c r="L63" s="645">
        <f>'VoC Mileage %'!L67</f>
        <v>1</v>
      </c>
      <c r="M63" s="647">
        <f>'VoC Mileage %'!M67</f>
        <v>0</v>
      </c>
      <c r="N63" s="645">
        <f>'VoC Mileage %'!N67</f>
        <v>1</v>
      </c>
      <c r="O63" s="647">
        <f>'VoC Mileage %'!O67</f>
        <v>0</v>
      </c>
    </row>
    <row r="64" spans="1:23" ht="13.5" customHeight="1">
      <c r="A64" s="113"/>
      <c r="B64" s="82">
        <f t="shared" si="0"/>
        <v>2042</v>
      </c>
      <c r="C64" s="147"/>
      <c r="D64" s="644">
        <f>'VoC Mileage %'!D68</f>
        <v>0.38557777807449889</v>
      </c>
      <c r="E64" s="644">
        <f>'VoC Mileage %'!E68</f>
        <v>0.25485829756625661</v>
      </c>
      <c r="F64" s="1305">
        <f>'VoC Mileage %'!F68</f>
        <v>0.35956392435924445</v>
      </c>
      <c r="G64" s="645">
        <f>'VoC Mileage %'!G68</f>
        <v>6.8477672834560974E-3</v>
      </c>
      <c r="H64" s="644">
        <f>'VoC Mileage %'!H68</f>
        <v>0.81763000526223251</v>
      </c>
      <c r="I64" s="647">
        <f>'VoC Mileage %'!I68</f>
        <v>0.17552222745431145</v>
      </c>
      <c r="J64" s="645">
        <f>'VoC Mileage %'!J68</f>
        <v>1</v>
      </c>
      <c r="K64" s="647">
        <f>'VoC Mileage %'!K68</f>
        <v>0</v>
      </c>
      <c r="L64" s="645">
        <f>'VoC Mileage %'!L68</f>
        <v>1</v>
      </c>
      <c r="M64" s="647">
        <f>'VoC Mileage %'!M68</f>
        <v>0</v>
      </c>
      <c r="N64" s="645">
        <f>'VoC Mileage %'!N68</f>
        <v>1</v>
      </c>
      <c r="O64" s="647">
        <f>'VoC Mileage %'!O68</f>
        <v>0</v>
      </c>
    </row>
    <row r="65" spans="1:15" ht="13.5" customHeight="1">
      <c r="A65" s="113"/>
      <c r="B65" s="82">
        <f t="shared" si="0"/>
        <v>2043</v>
      </c>
      <c r="C65" s="147"/>
      <c r="D65" s="644">
        <f>'VoC Mileage %'!D69</f>
        <v>0.37721641511369847</v>
      </c>
      <c r="E65" s="644">
        <f>'VoC Mileage %'!E69</f>
        <v>0.24868546543106471</v>
      </c>
      <c r="F65" s="1305">
        <f>'VoC Mileage %'!F69</f>
        <v>0.37409811945523697</v>
      </c>
      <c r="G65" s="645">
        <f>'VoC Mileage %'!G69</f>
        <v>6.7472068863792143E-3</v>
      </c>
      <c r="H65" s="644">
        <f>'VoC Mileage %'!H69</f>
        <v>0.80828634651263731</v>
      </c>
      <c r="I65" s="647">
        <f>'VoC Mileage %'!I69</f>
        <v>0.18496644660098349</v>
      </c>
      <c r="J65" s="645">
        <f>'VoC Mileage %'!J69</f>
        <v>1</v>
      </c>
      <c r="K65" s="647">
        <f>'VoC Mileage %'!K69</f>
        <v>0</v>
      </c>
      <c r="L65" s="645">
        <f>'VoC Mileage %'!L69</f>
        <v>1</v>
      </c>
      <c r="M65" s="647">
        <f>'VoC Mileage %'!M69</f>
        <v>0</v>
      </c>
      <c r="N65" s="645">
        <f>'VoC Mileage %'!N69</f>
        <v>1</v>
      </c>
      <c r="O65" s="647">
        <f>'VoC Mileage %'!O69</f>
        <v>0</v>
      </c>
    </row>
    <row r="66" spans="1:15" ht="13.5" customHeight="1">
      <c r="A66" s="113"/>
      <c r="B66" s="82">
        <f t="shared" si="0"/>
        <v>2044</v>
      </c>
      <c r="C66" s="147"/>
      <c r="D66" s="644">
        <f>'VoC Mileage %'!D70</f>
        <v>0.36901758308024768</v>
      </c>
      <c r="E66" s="644">
        <f>'VoC Mileage %'!E70</f>
        <v>0.24277389226242768</v>
      </c>
      <c r="F66" s="1305">
        <f>'VoC Mileage %'!F70</f>
        <v>0.38820852465732464</v>
      </c>
      <c r="G66" s="645">
        <f>'VoC Mileage %'!G70</f>
        <v>6.6479986469474813E-3</v>
      </c>
      <c r="H66" s="644">
        <f>'VoC Mileage %'!H70</f>
        <v>0.79893215247336347</v>
      </c>
      <c r="I66" s="647">
        <f>'VoC Mileage %'!I70</f>
        <v>0.19441984887968899</v>
      </c>
      <c r="J66" s="645">
        <f>'VoC Mileage %'!J70</f>
        <v>1</v>
      </c>
      <c r="K66" s="647">
        <f>'VoC Mileage %'!K70</f>
        <v>0</v>
      </c>
      <c r="L66" s="645">
        <f>'VoC Mileage %'!L70</f>
        <v>1</v>
      </c>
      <c r="M66" s="647">
        <f>'VoC Mileage %'!M70</f>
        <v>0</v>
      </c>
      <c r="N66" s="645">
        <f>'VoC Mileage %'!N70</f>
        <v>1</v>
      </c>
      <c r="O66" s="647">
        <f>'VoC Mileage %'!O70</f>
        <v>0</v>
      </c>
    </row>
    <row r="67" spans="1:15" ht="13.5" customHeight="1">
      <c r="A67" s="113"/>
      <c r="B67" s="82">
        <f t="shared" si="0"/>
        <v>2045</v>
      </c>
      <c r="C67" s="147"/>
      <c r="D67" s="644">
        <f>'VoC Mileage %'!D71</f>
        <v>0.36135885818438346</v>
      </c>
      <c r="E67" s="644">
        <f>'VoC Mileage %'!E71</f>
        <v>0.23743088332750559</v>
      </c>
      <c r="F67" s="1305">
        <f>'VoC Mileage %'!F71</f>
        <v>0.40121025848811093</v>
      </c>
      <c r="G67" s="645">
        <f>'VoC Mileage %'!G71</f>
        <v>6.5502488365779508E-3</v>
      </c>
      <c r="H67" s="644">
        <f>'VoC Mileage %'!H71</f>
        <v>0.78957680146839515</v>
      </c>
      <c r="I67" s="647">
        <f>'VoC Mileage %'!I71</f>
        <v>0.20387294969502698</v>
      </c>
      <c r="J67" s="645">
        <f>'VoC Mileage %'!J71</f>
        <v>1</v>
      </c>
      <c r="K67" s="647">
        <f>'VoC Mileage %'!K71</f>
        <v>0</v>
      </c>
      <c r="L67" s="645">
        <f>'VoC Mileage %'!L71</f>
        <v>1</v>
      </c>
      <c r="M67" s="647">
        <f>'VoC Mileage %'!M71</f>
        <v>0</v>
      </c>
      <c r="N67" s="645">
        <f>'VoC Mileage %'!N71</f>
        <v>1</v>
      </c>
      <c r="O67" s="647">
        <f>'VoC Mileage %'!O71</f>
        <v>0</v>
      </c>
    </row>
    <row r="68" spans="1:15" ht="13.5" customHeight="1">
      <c r="A68" s="113"/>
      <c r="B68" s="82">
        <f t="shared" si="0"/>
        <v>2046</v>
      </c>
      <c r="C68" s="147"/>
      <c r="D68" s="644">
        <f>'VoC Mileage %'!D72</f>
        <v>0.35400838259016887</v>
      </c>
      <c r="E68" s="644">
        <f>'VoC Mileage %'!E72</f>
        <v>0.23236083911652969</v>
      </c>
      <c r="F68" s="1305">
        <f>'VoC Mileage %'!F72</f>
        <v>0.41363077829330158</v>
      </c>
      <c r="G68" s="645">
        <f>'VoC Mileage %'!G72</f>
        <v>6.4528605171747157E-3</v>
      </c>
      <c r="H68" s="644">
        <f>'VoC Mileage %'!H72</f>
        <v>0.78022280985199122</v>
      </c>
      <c r="I68" s="647">
        <f>'VoC Mileage %'!I72</f>
        <v>0.21332432963083392</v>
      </c>
      <c r="J68" s="645">
        <f>'VoC Mileage %'!J72</f>
        <v>1</v>
      </c>
      <c r="K68" s="647">
        <f>'VoC Mileage %'!K72</f>
        <v>0</v>
      </c>
      <c r="L68" s="645">
        <f>'VoC Mileage %'!L72</f>
        <v>1</v>
      </c>
      <c r="M68" s="647">
        <f>'VoC Mileage %'!M72</f>
        <v>0</v>
      </c>
      <c r="N68" s="645">
        <f>'VoC Mileage %'!N72</f>
        <v>1</v>
      </c>
      <c r="O68" s="647">
        <f>'VoC Mileage %'!O72</f>
        <v>0</v>
      </c>
    </row>
    <row r="69" spans="1:15" ht="13.5" customHeight="1">
      <c r="A69" s="113"/>
      <c r="B69" s="82">
        <f t="shared" si="0"/>
        <v>2047</v>
      </c>
      <c r="C69" s="147"/>
      <c r="D69" s="644">
        <f>'VoC Mileage %'!D73</f>
        <v>0.34678169642598944</v>
      </c>
      <c r="E69" s="644">
        <f>'VoC Mileage %'!E73</f>
        <v>0.22744542898295331</v>
      </c>
      <c r="F69" s="1305">
        <f>'VoC Mileage %'!F73</f>
        <v>0.42577287459105717</v>
      </c>
      <c r="G69" s="645">
        <f>'VoC Mileage %'!G73</f>
        <v>6.3558495781344884E-3</v>
      </c>
      <c r="H69" s="644">
        <f>'VoC Mileage %'!H73</f>
        <v>0.77087296900648461</v>
      </c>
      <c r="I69" s="647">
        <f>'VoC Mileage %'!I73</f>
        <v>0.22277118141538085</v>
      </c>
      <c r="J69" s="645">
        <f>'VoC Mileage %'!J73</f>
        <v>1</v>
      </c>
      <c r="K69" s="647">
        <f>'VoC Mileage %'!K73</f>
        <v>0</v>
      </c>
      <c r="L69" s="645">
        <f>'VoC Mileage %'!L73</f>
        <v>1</v>
      </c>
      <c r="M69" s="647">
        <f>'VoC Mileage %'!M73</f>
        <v>0</v>
      </c>
      <c r="N69" s="645">
        <f>'VoC Mileage %'!N73</f>
        <v>1</v>
      </c>
      <c r="O69" s="647">
        <f>'VoC Mileage %'!O73</f>
        <v>0</v>
      </c>
    </row>
    <row r="70" spans="1:15" ht="13.5" customHeight="1">
      <c r="A70" s="113"/>
      <c r="B70" s="82">
        <f t="shared" si="0"/>
        <v>2048</v>
      </c>
      <c r="C70" s="147"/>
      <c r="D70" s="644">
        <f>'VoC Mileage %'!D74</f>
        <v>0.33963585033438143</v>
      </c>
      <c r="E70" s="644">
        <f>'VoC Mileage %'!E74</f>
        <v>0.22263278734656272</v>
      </c>
      <c r="F70" s="1305">
        <f>'VoC Mileage %'!F74</f>
        <v>0.43773136231905579</v>
      </c>
      <c r="G70" s="645">
        <f>'VoC Mileage %'!G74</f>
        <v>6.2609866360668611E-3</v>
      </c>
      <c r="H70" s="644">
        <f>'VoC Mileage %'!H74</f>
        <v>0.7616847392550723</v>
      </c>
      <c r="I70" s="647">
        <f>'VoC Mileage %'!I74</f>
        <v>0.23205427410886084</v>
      </c>
      <c r="J70" s="645">
        <f>'VoC Mileage %'!J74</f>
        <v>1</v>
      </c>
      <c r="K70" s="647">
        <f>'VoC Mileage %'!K74</f>
        <v>0</v>
      </c>
      <c r="L70" s="645">
        <f>'VoC Mileage %'!L74</f>
        <v>1</v>
      </c>
      <c r="M70" s="647">
        <f>'VoC Mileage %'!M74</f>
        <v>0</v>
      </c>
      <c r="N70" s="645">
        <f>'VoC Mileage %'!N74</f>
        <v>1</v>
      </c>
      <c r="O70" s="647">
        <f>'VoC Mileage %'!O74</f>
        <v>0</v>
      </c>
    </row>
    <row r="71" spans="1:15" ht="13.5" customHeight="1">
      <c r="A71" s="113"/>
      <c r="B71" s="82">
        <f t="shared" si="0"/>
        <v>2049</v>
      </c>
      <c r="C71" s="147"/>
      <c r="D71" s="644">
        <f>'VoC Mileage %'!D75</f>
        <v>0.33279654244894563</v>
      </c>
      <c r="E71" s="644">
        <f>'VoC Mileage %'!E75</f>
        <v>0.21807598061650554</v>
      </c>
      <c r="F71" s="1305">
        <f>'VoC Mileage %'!F75</f>
        <v>0.44912747693454891</v>
      </c>
      <c r="G71" s="645">
        <f>'VoC Mileage %'!G75</f>
        <v>6.1672832504168443E-3</v>
      </c>
      <c r="H71" s="644">
        <f>'VoC Mileage %'!H75</f>
        <v>0.75260575814044417</v>
      </c>
      <c r="I71" s="647">
        <f>'VoC Mileage %'!I75</f>
        <v>0.24122695860913895</v>
      </c>
      <c r="J71" s="645">
        <f>'VoC Mileage %'!J75</f>
        <v>1</v>
      </c>
      <c r="K71" s="647">
        <f>'VoC Mileage %'!K75</f>
        <v>0</v>
      </c>
      <c r="L71" s="645">
        <f>'VoC Mileage %'!L75</f>
        <v>1</v>
      </c>
      <c r="M71" s="647">
        <f>'VoC Mileage %'!M75</f>
        <v>0</v>
      </c>
      <c r="N71" s="645">
        <f>'VoC Mileage %'!N75</f>
        <v>1</v>
      </c>
      <c r="O71" s="647">
        <f>'VoC Mileage %'!O75</f>
        <v>0</v>
      </c>
    </row>
    <row r="72" spans="1:15" ht="13.5" customHeight="1" thickBot="1">
      <c r="A72" s="381"/>
      <c r="B72" s="93">
        <f t="shared" si="0"/>
        <v>2050</v>
      </c>
      <c r="C72" s="168"/>
      <c r="D72" s="651">
        <f>'VoC Mileage %'!D76</f>
        <v>0.32613086684001974</v>
      </c>
      <c r="E72" s="651">
        <f>'VoC Mileage %'!E76</f>
        <v>0.213637365371944</v>
      </c>
      <c r="F72" s="1306">
        <f>'VoC Mileage %'!F76</f>
        <v>0.46023176778803621</v>
      </c>
      <c r="G72" s="652">
        <f>'VoC Mileage %'!G76</f>
        <v>6.0738678877635495E-3</v>
      </c>
      <c r="H72" s="651">
        <f>'VoC Mileage %'!H76</f>
        <v>0.74366794784180978</v>
      </c>
      <c r="I72" s="653">
        <f>'VoC Mileage %'!I76</f>
        <v>0.25025818427042673</v>
      </c>
      <c r="J72" s="652">
        <f>'VoC Mileage %'!J76</f>
        <v>1</v>
      </c>
      <c r="K72" s="653">
        <f>'VoC Mileage %'!K76</f>
        <v>0</v>
      </c>
      <c r="L72" s="652">
        <f>'VoC Mileage %'!L76</f>
        <v>1</v>
      </c>
      <c r="M72" s="653">
        <f>'VoC Mileage %'!M76</f>
        <v>0</v>
      </c>
      <c r="N72" s="652">
        <f>'VoC Mileage %'!N76</f>
        <v>1</v>
      </c>
      <c r="O72" s="653">
        <f>'VoC Mileage %'!O76</f>
        <v>0</v>
      </c>
    </row>
    <row r="73" spans="1:15" ht="13.5" customHeight="1" thickTop="1"/>
  </sheetData>
  <sheetProtection sheet="1" objects="1" scenarios="1"/>
  <mergeCells count="9">
    <mergeCell ref="A20:B20"/>
    <mergeCell ref="E6:T6"/>
    <mergeCell ref="A7:B7"/>
    <mergeCell ref="A8:B8"/>
    <mergeCell ref="A10:B10"/>
    <mergeCell ref="A11:B11"/>
    <mergeCell ref="A12:B12"/>
    <mergeCell ref="A18:B18"/>
    <mergeCell ref="A19:B19"/>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P10" r:id="rId3"/>
    <hyperlink ref="Q15" r:id="rId4"/>
  </hyperlinks>
  <pageMargins left="0.75" right="0.75" top="1" bottom="1" header="0.5" footer="0.5"/>
  <pageSetup paperSize="9" scale="51" fitToHeight="0" orientation="landscape" r:id="rId5"/>
  <headerFooter alignWithMargins="0"/>
  <drawing r:id="rId6"/>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10"/>
  </sheetPr>
  <dimension ref="A1:S128"/>
  <sheetViews>
    <sheetView showGridLines="0" zoomScale="70" zoomScaleNormal="70" workbookViewId="0">
      <pane xSplit="3" ySplit="25" topLeftCell="D73"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599"/>
  </cols>
  <sheetData>
    <row r="1" spans="1:19" s="38" customFormat="1" ht="54.9" customHeight="1">
      <c r="A1" s="28"/>
      <c r="B1" s="28"/>
      <c r="C1" s="26"/>
      <c r="D1" s="28"/>
      <c r="E1" s="26"/>
    </row>
    <row r="2" spans="1:19" s="300" customFormat="1" ht="5.0999999999999996" customHeight="1">
      <c r="D2" s="83"/>
    </row>
    <row r="3" spans="1:19" s="300" customFormat="1" ht="20.100000000000001" customHeight="1">
      <c r="A3" s="426" t="s">
        <v>2247</v>
      </c>
      <c r="B3" s="485"/>
      <c r="D3" s="46"/>
      <c r="F3" s="445"/>
    </row>
    <row r="4" spans="1:19" s="26" customFormat="1" ht="20.100000000000001" customHeight="1" thickBot="1">
      <c r="A4" s="109" t="s">
        <v>849</v>
      </c>
      <c r="B4" s="447"/>
      <c r="C4" s="447"/>
      <c r="D4" s="487"/>
      <c r="E4" s="446"/>
      <c r="F4" s="446"/>
      <c r="G4" s="446"/>
      <c r="H4" s="446"/>
      <c r="I4" s="446"/>
      <c r="J4" s="446"/>
      <c r="K4" s="446"/>
      <c r="L4" s="446"/>
      <c r="M4" s="446"/>
      <c r="N4" s="446"/>
      <c r="O4" s="446"/>
      <c r="P4" s="446"/>
      <c r="Q4" s="446"/>
      <c r="R4" s="446"/>
      <c r="S4" s="446"/>
    </row>
    <row r="5" spans="1:19" s="38" customFormat="1" ht="9.9" customHeight="1" thickTop="1" thickBot="1">
      <c r="B5" s="321"/>
      <c r="F5" s="427"/>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D7" s="147"/>
      <c r="E7" s="28" t="s">
        <v>1451</v>
      </c>
      <c r="F7" s="335" t="s">
        <v>1766</v>
      </c>
      <c r="G7" s="3420"/>
      <c r="H7" s="26"/>
      <c r="I7" s="26"/>
      <c r="J7" s="26"/>
      <c r="K7" s="26"/>
      <c r="L7" s="26"/>
      <c r="M7" s="26"/>
      <c r="N7" s="26"/>
      <c r="O7" s="26"/>
      <c r="P7" s="26"/>
      <c r="Q7" s="26"/>
      <c r="R7" s="26"/>
      <c r="S7" s="147"/>
    </row>
    <row r="8" spans="1:19" s="38" customFormat="1" ht="13.5" customHeight="1">
      <c r="A8" s="3646">
        <f>Audit!C12</f>
        <v>43586</v>
      </c>
      <c r="B8" s="3651"/>
      <c r="C8" s="321"/>
      <c r="D8" s="321"/>
      <c r="E8" s="113"/>
      <c r="F8" s="315"/>
      <c r="G8" s="3420"/>
      <c r="H8" s="26"/>
      <c r="I8" s="26"/>
      <c r="J8" s="26"/>
      <c r="K8" s="26"/>
      <c r="L8" s="26"/>
      <c r="M8" s="26"/>
      <c r="N8" s="26"/>
      <c r="O8" s="26"/>
      <c r="P8" s="26"/>
      <c r="Q8" s="26"/>
      <c r="R8" s="26"/>
      <c r="S8" s="147"/>
    </row>
    <row r="9" spans="1:19" s="38" customFormat="1" ht="13.5" customHeight="1" thickBot="1">
      <c r="A9" s="172" t="s">
        <v>14</v>
      </c>
      <c r="B9" s="173"/>
      <c r="D9" s="321"/>
      <c r="E9" s="180" t="s">
        <v>294</v>
      </c>
      <c r="F9" s="2619" t="s">
        <v>1975</v>
      </c>
      <c r="G9" s="3419"/>
      <c r="R9" s="53"/>
      <c r="S9" s="147"/>
    </row>
    <row r="10" spans="1:19" s="38" customFormat="1" ht="13.5" customHeight="1" thickBot="1">
      <c r="A10" s="3611" t="s">
        <v>1306</v>
      </c>
      <c r="B10" s="3612"/>
      <c r="D10" s="321"/>
      <c r="E10" s="113"/>
      <c r="F10" s="335" t="s">
        <v>1976</v>
      </c>
      <c r="G10" s="3424"/>
      <c r="H10" s="53"/>
      <c r="I10" s="53"/>
      <c r="J10" s="53"/>
      <c r="K10" s="53"/>
      <c r="L10" s="53"/>
      <c r="M10" s="53"/>
      <c r="N10" s="53"/>
      <c r="O10" s="53"/>
      <c r="P10" s="2685" t="s">
        <v>1896</v>
      </c>
      <c r="Q10" s="53"/>
      <c r="R10" s="26"/>
      <c r="S10" s="147"/>
    </row>
    <row r="11" spans="1:19" s="38" customFormat="1" ht="13.5" customHeight="1" thickBot="1">
      <c r="A11" s="3611" t="s">
        <v>2216</v>
      </c>
      <c r="B11" s="3639"/>
      <c r="D11" s="321"/>
      <c r="E11" s="3423"/>
      <c r="F11" s="335" t="s">
        <v>1911</v>
      </c>
      <c r="G11" s="3420"/>
      <c r="H11" s="573"/>
      <c r="I11" s="573"/>
      <c r="J11" s="26"/>
      <c r="K11" s="26"/>
      <c r="L11" s="26"/>
      <c r="M11" s="26"/>
      <c r="N11" s="26"/>
      <c r="O11" s="26"/>
      <c r="P11" s="26"/>
      <c r="Q11" s="26"/>
      <c r="R11" s="26"/>
      <c r="S11" s="379"/>
    </row>
    <row r="12" spans="1:19" s="38" customFormat="1" ht="13.5" customHeight="1" thickBot="1">
      <c r="A12" s="3611" t="s">
        <v>2217</v>
      </c>
      <c r="B12" s="3639"/>
      <c r="D12" s="321"/>
      <c r="E12" s="113"/>
      <c r="F12" s="335" t="s">
        <v>1897</v>
      </c>
      <c r="G12" s="3420"/>
      <c r="H12" s="641"/>
      <c r="I12" s="641"/>
      <c r="J12" s="26"/>
      <c r="K12" s="26"/>
      <c r="L12" s="26"/>
      <c r="M12" s="26"/>
      <c r="N12" s="26"/>
      <c r="O12" s="26"/>
      <c r="P12" s="26"/>
      <c r="Q12" s="26"/>
      <c r="R12" s="26"/>
      <c r="S12" s="147"/>
    </row>
    <row r="13" spans="1:19" s="38" customFormat="1" ht="13.5" customHeight="1">
      <c r="A13" s="172" t="s">
        <v>252</v>
      </c>
      <c r="B13" s="194"/>
      <c r="C13" s="321"/>
      <c r="D13" s="321"/>
      <c r="E13" s="113"/>
      <c r="F13" s="2619" t="s">
        <v>2452</v>
      </c>
      <c r="G13" s="3419"/>
      <c r="K13" s="26"/>
      <c r="L13" s="26"/>
      <c r="M13" s="26"/>
      <c r="N13" s="26"/>
      <c r="O13" s="26"/>
      <c r="P13" s="26"/>
      <c r="Q13" s="26"/>
      <c r="R13" s="26"/>
      <c r="S13" s="147"/>
    </row>
    <row r="14" spans="1:19" s="38" customFormat="1" ht="13.5" customHeight="1">
      <c r="A14" s="26"/>
      <c r="B14" s="316"/>
      <c r="C14" s="321"/>
      <c r="D14" s="321"/>
      <c r="E14" s="113"/>
      <c r="F14" s="335" t="s">
        <v>1912</v>
      </c>
      <c r="G14" s="3419"/>
      <c r="K14" s="26"/>
      <c r="L14" s="26"/>
      <c r="M14" s="26"/>
      <c r="N14" s="26"/>
      <c r="O14" s="26"/>
      <c r="P14" s="26"/>
      <c r="Q14" s="26"/>
      <c r="R14" s="26"/>
      <c r="S14" s="147"/>
    </row>
    <row r="15" spans="1:19" s="38" customFormat="1" ht="13.5" customHeight="1">
      <c r="A15" s="56"/>
      <c r="B15" s="32"/>
      <c r="C15" s="321"/>
      <c r="D15" s="321"/>
      <c r="E15" s="207"/>
      <c r="F15" s="3106" t="s">
        <v>2453</v>
      </c>
      <c r="G15" s="641"/>
      <c r="K15" s="26"/>
      <c r="L15" s="26"/>
      <c r="M15" s="26"/>
      <c r="N15" s="26"/>
      <c r="O15" s="26"/>
      <c r="P15" s="26"/>
      <c r="Q15" s="26"/>
      <c r="R15" s="26"/>
      <c r="S15" s="147"/>
    </row>
    <row r="16" spans="1:19" s="38" customFormat="1" ht="13.5" customHeight="1">
      <c r="A16" s="56" t="s">
        <v>1468</v>
      </c>
      <c r="B16" s="1221">
        <v>2010</v>
      </c>
      <c r="C16" s="321"/>
      <c r="D16" s="321"/>
      <c r="E16" s="113"/>
      <c r="F16" s="3106"/>
      <c r="G16" s="3419"/>
      <c r="K16" s="26"/>
      <c r="L16" s="26"/>
      <c r="M16" s="26"/>
      <c r="N16" s="26"/>
      <c r="O16" s="26"/>
      <c r="P16" s="26"/>
      <c r="Q16" s="26"/>
      <c r="R16" s="26"/>
      <c r="S16" s="147"/>
    </row>
    <row r="17" spans="1:19" s="38" customFormat="1" ht="13.5" customHeight="1">
      <c r="A17" s="169" t="s">
        <v>253</v>
      </c>
      <c r="B17" s="170"/>
      <c r="C17" s="321"/>
      <c r="D17" s="321"/>
      <c r="E17" s="113"/>
      <c r="F17" s="3419"/>
      <c r="G17" s="3419"/>
      <c r="H17" s="641"/>
      <c r="I17" s="641"/>
      <c r="J17" s="26"/>
      <c r="K17" s="26"/>
      <c r="L17" s="26"/>
      <c r="M17" s="26"/>
      <c r="N17" s="26"/>
      <c r="O17" s="26"/>
      <c r="P17" s="26"/>
      <c r="Q17" s="2685" t="s">
        <v>1907</v>
      </c>
      <c r="S17" s="147"/>
    </row>
    <row r="18" spans="1:19" s="38" customFormat="1" ht="13.5" customHeight="1">
      <c r="A18" s="3615"/>
      <c r="B18" s="3615"/>
      <c r="C18" s="321"/>
      <c r="D18" s="412"/>
      <c r="E18" s="3419"/>
      <c r="F18" s="3419"/>
      <c r="G18" s="3419"/>
      <c r="S18" s="147"/>
    </row>
    <row r="19" spans="1:19" s="38" customFormat="1" ht="13.5" customHeight="1">
      <c r="A19" s="3615"/>
      <c r="B19" s="3615"/>
      <c r="C19" s="321"/>
      <c r="D19" s="412"/>
      <c r="E19" s="641" t="s">
        <v>2360</v>
      </c>
      <c r="F19" s="641"/>
      <c r="G19" s="641"/>
      <c r="H19" s="26"/>
      <c r="I19" s="26"/>
      <c r="J19" s="26"/>
      <c r="K19" s="26"/>
      <c r="L19" s="26"/>
      <c r="M19" s="26"/>
      <c r="N19" s="26"/>
      <c r="O19" s="26"/>
      <c r="P19" s="26"/>
      <c r="Q19" s="26"/>
      <c r="R19" s="26"/>
      <c r="S19" s="147"/>
    </row>
    <row r="20" spans="1:19" s="38" customFormat="1" ht="13.5" customHeight="1" thickBot="1">
      <c r="A20" s="3615"/>
      <c r="B20" s="3615"/>
      <c r="C20" s="321"/>
      <c r="D20" s="412"/>
      <c r="E20" s="381" t="s">
        <v>2248</v>
      </c>
      <c r="F20" s="163"/>
      <c r="G20" s="163"/>
      <c r="H20" s="163"/>
      <c r="I20" s="163"/>
      <c r="J20" s="163"/>
      <c r="K20" s="163"/>
      <c r="L20" s="163"/>
      <c r="M20" s="163"/>
      <c r="N20" s="163"/>
      <c r="O20" s="163"/>
      <c r="P20" s="163"/>
      <c r="Q20" s="163"/>
      <c r="R20" s="163"/>
      <c r="S20" s="382"/>
    </row>
    <row r="21" spans="1:19" s="38" customFormat="1" ht="13.5" customHeight="1" thickTop="1">
      <c r="A21" s="35"/>
      <c r="B21" s="321"/>
      <c r="C21" s="321"/>
      <c r="D21" s="32"/>
      <c r="F21" s="427"/>
    </row>
    <row r="22" spans="1:19" s="38" customFormat="1" ht="13.5" customHeight="1" thickBot="1">
      <c r="F22" s="26"/>
    </row>
    <row r="23" spans="1:19" s="38" customFormat="1" ht="13.5" customHeight="1" thickTop="1" thickBot="1">
      <c r="A23" s="122" t="s">
        <v>850</v>
      </c>
      <c r="B23" s="362"/>
      <c r="C23" s="362"/>
      <c r="D23" s="362"/>
      <c r="E23" s="362"/>
      <c r="F23" s="362"/>
      <c r="G23" s="362"/>
      <c r="H23" s="362"/>
      <c r="I23" s="1394"/>
      <c r="J23" s="1394"/>
      <c r="K23" s="1394"/>
      <c r="L23" s="1394"/>
      <c r="M23" s="1394"/>
      <c r="N23" s="1394"/>
      <c r="O23" s="294"/>
    </row>
    <row r="24" spans="1:19" s="38" customFormat="1" ht="13.5" customHeight="1" thickTop="1" thickBot="1">
      <c r="A24" s="99"/>
      <c r="B24" s="100"/>
      <c r="C24" s="438"/>
      <c r="D24" s="1015" t="s">
        <v>1439</v>
      </c>
      <c r="E24" s="632"/>
      <c r="F24" s="633"/>
      <c r="G24" s="1015" t="s">
        <v>1431</v>
      </c>
      <c r="H24" s="633"/>
      <c r="I24" s="1615"/>
      <c r="J24" s="657" t="s">
        <v>1443</v>
      </c>
      <c r="K24" s="232"/>
      <c r="L24" s="657" t="s">
        <v>1444</v>
      </c>
      <c r="M24" s="657"/>
      <c r="N24" s="232" t="s">
        <v>1434</v>
      </c>
      <c r="O24" s="699"/>
    </row>
    <row r="25" spans="1:19" s="38" customFormat="1" ht="13.5" customHeight="1" thickTop="1" thickBot="1">
      <c r="A25" s="508"/>
      <c r="B25" s="143" t="s">
        <v>1450</v>
      </c>
      <c r="C25" s="479"/>
      <c r="D25" s="1030" t="s">
        <v>1466</v>
      </c>
      <c r="E25" s="1031" t="s">
        <v>981</v>
      </c>
      <c r="F25" s="662" t="s">
        <v>982</v>
      </c>
      <c r="G25" s="701" t="s">
        <v>1466</v>
      </c>
      <c r="H25" s="1032" t="s">
        <v>981</v>
      </c>
      <c r="I25" s="1032" t="s">
        <v>582</v>
      </c>
      <c r="J25" s="663" t="s">
        <v>580</v>
      </c>
      <c r="K25" s="143" t="s">
        <v>582</v>
      </c>
      <c r="L25" s="705" t="s">
        <v>580</v>
      </c>
      <c r="M25" s="1307" t="s">
        <v>582</v>
      </c>
      <c r="N25" s="663" t="s">
        <v>580</v>
      </c>
      <c r="O25" s="393" t="s">
        <v>582</v>
      </c>
    </row>
    <row r="26" spans="1:19" ht="13.5" customHeight="1" thickTop="1">
      <c r="A26" s="623"/>
      <c r="B26" s="714">
        <v>2000</v>
      </c>
      <c r="C26" s="624"/>
      <c r="D26" s="3346">
        <v>0.80956595581728641</v>
      </c>
      <c r="E26" s="3347">
        <v>0.19043404418271356</v>
      </c>
      <c r="F26" s="3348">
        <v>0</v>
      </c>
      <c r="G26" s="3349">
        <v>0.19279775608481015</v>
      </c>
      <c r="H26" s="3349">
        <v>0.8072022439151898</v>
      </c>
      <c r="I26" s="3349">
        <v>0</v>
      </c>
      <c r="J26" s="3350">
        <v>1</v>
      </c>
      <c r="K26" s="3351">
        <v>0</v>
      </c>
      <c r="L26" s="3350">
        <v>1</v>
      </c>
      <c r="M26" s="3351">
        <v>0</v>
      </c>
      <c r="N26" s="3350">
        <v>1</v>
      </c>
      <c r="O26" s="3351">
        <v>0</v>
      </c>
    </row>
    <row r="27" spans="1:19" ht="13.5" customHeight="1">
      <c r="A27" s="623"/>
      <c r="B27" s="714">
        <v>2001</v>
      </c>
      <c r="C27" s="624"/>
      <c r="D27" s="3352">
        <v>0.79958240113537926</v>
      </c>
      <c r="E27" s="3347">
        <v>0.20041759886462071</v>
      </c>
      <c r="F27" s="3348">
        <v>0</v>
      </c>
      <c r="G27" s="3347">
        <v>0.15726929738775336</v>
      </c>
      <c r="H27" s="3347">
        <v>0.8427307026122467</v>
      </c>
      <c r="I27" s="3347">
        <v>0</v>
      </c>
      <c r="J27" s="3353">
        <v>1</v>
      </c>
      <c r="K27" s="3354">
        <v>0</v>
      </c>
      <c r="L27" s="3353">
        <v>1</v>
      </c>
      <c r="M27" s="3354">
        <v>0</v>
      </c>
      <c r="N27" s="3353">
        <v>1</v>
      </c>
      <c r="O27" s="3354">
        <v>0</v>
      </c>
    </row>
    <row r="28" spans="1:19" ht="13.5" customHeight="1">
      <c r="A28" s="623"/>
      <c r="B28" s="714">
        <v>2002</v>
      </c>
      <c r="C28" s="624"/>
      <c r="D28" s="3352">
        <v>0.77936709295877593</v>
      </c>
      <c r="E28" s="3347">
        <v>0.22063290704122404</v>
      </c>
      <c r="F28" s="3348">
        <v>0</v>
      </c>
      <c r="G28" s="3347">
        <v>0.12822605598884657</v>
      </c>
      <c r="H28" s="3347">
        <v>0.87177394401115338</v>
      </c>
      <c r="I28" s="3347">
        <v>0</v>
      </c>
      <c r="J28" s="3353">
        <v>1</v>
      </c>
      <c r="K28" s="3354">
        <v>0</v>
      </c>
      <c r="L28" s="3353">
        <v>1</v>
      </c>
      <c r="M28" s="3354">
        <v>0</v>
      </c>
      <c r="N28" s="3353">
        <v>1</v>
      </c>
      <c r="O28" s="3354">
        <v>0</v>
      </c>
    </row>
    <row r="29" spans="1:19" ht="13.5" customHeight="1">
      <c r="A29" s="623"/>
      <c r="B29" s="714">
        <v>2003</v>
      </c>
      <c r="C29" s="624"/>
      <c r="D29" s="3352">
        <v>0.75637405268190239</v>
      </c>
      <c r="E29" s="3347">
        <v>0.24362594731809761</v>
      </c>
      <c r="F29" s="3348">
        <v>0</v>
      </c>
      <c r="G29" s="3347">
        <v>0.10377296015186986</v>
      </c>
      <c r="H29" s="3347">
        <v>0.89622703984813012</v>
      </c>
      <c r="I29" s="3347">
        <v>0</v>
      </c>
      <c r="J29" s="3355">
        <v>1</v>
      </c>
      <c r="K29" s="3356">
        <v>0</v>
      </c>
      <c r="L29" s="3355">
        <v>1</v>
      </c>
      <c r="M29" s="3356">
        <v>0</v>
      </c>
      <c r="N29" s="3355">
        <v>1</v>
      </c>
      <c r="O29" s="3356">
        <v>0</v>
      </c>
    </row>
    <row r="30" spans="1:19" ht="13.5" customHeight="1">
      <c r="A30" s="1027"/>
      <c r="B30" s="1026">
        <v>2004</v>
      </c>
      <c r="C30" s="1028"/>
      <c r="D30" s="3357">
        <v>0.73096546129768614</v>
      </c>
      <c r="E30" s="3358">
        <v>0.26903453870231386</v>
      </c>
      <c r="F30" s="3359">
        <v>0</v>
      </c>
      <c r="G30" s="3358">
        <v>8.4988666082737419E-2</v>
      </c>
      <c r="H30" s="3358">
        <v>0.91501133391726241</v>
      </c>
      <c r="I30" s="3358">
        <v>0</v>
      </c>
      <c r="J30" s="3360">
        <v>1</v>
      </c>
      <c r="K30" s="3361">
        <v>0</v>
      </c>
      <c r="L30" s="3360">
        <v>1</v>
      </c>
      <c r="M30" s="3361">
        <v>0</v>
      </c>
      <c r="N30" s="3360">
        <v>1</v>
      </c>
      <c r="O30" s="3361">
        <v>0</v>
      </c>
    </row>
    <row r="31" spans="1:19" ht="13.5" customHeight="1">
      <c r="A31" s="623"/>
      <c r="B31" s="714">
        <v>2005</v>
      </c>
      <c r="C31" s="624"/>
      <c r="D31" s="3362">
        <v>0.70694498130668793</v>
      </c>
      <c r="E31" s="3363">
        <v>0.29305501869331202</v>
      </c>
      <c r="F31" s="3364">
        <v>0</v>
      </c>
      <c r="G31" s="3362">
        <v>7.0801953624932676E-2</v>
      </c>
      <c r="H31" s="3363">
        <v>0.92919804637506731</v>
      </c>
      <c r="I31" s="3364">
        <v>0</v>
      </c>
      <c r="J31" s="3362">
        <f t="shared" ref="J31:O35" si="0">J$30+(J$36-J$30)*($B31-$B$30)/($B$36-$B$30)</f>
        <v>1</v>
      </c>
      <c r="K31" s="3364">
        <f t="shared" si="0"/>
        <v>0</v>
      </c>
      <c r="L31" s="3362">
        <f t="shared" si="0"/>
        <v>1</v>
      </c>
      <c r="M31" s="3364">
        <f t="shared" si="0"/>
        <v>0</v>
      </c>
      <c r="N31" s="3362">
        <f t="shared" si="0"/>
        <v>1</v>
      </c>
      <c r="O31" s="3364">
        <f t="shared" si="0"/>
        <v>0</v>
      </c>
    </row>
    <row r="32" spans="1:19" ht="13.5" customHeight="1">
      <c r="A32" s="623"/>
      <c r="B32" s="714">
        <v>2006</v>
      </c>
      <c r="C32" s="624"/>
      <c r="D32" s="3352">
        <v>0.68453761226370635</v>
      </c>
      <c r="E32" s="3347">
        <v>0.31546238773629365</v>
      </c>
      <c r="F32" s="3348">
        <v>0</v>
      </c>
      <c r="G32" s="3352">
        <v>5.8576783757745242E-2</v>
      </c>
      <c r="H32" s="3347">
        <v>0.94142321624225478</v>
      </c>
      <c r="I32" s="3348">
        <v>0</v>
      </c>
      <c r="J32" s="3352">
        <f t="shared" si="0"/>
        <v>1</v>
      </c>
      <c r="K32" s="3348">
        <f t="shared" si="0"/>
        <v>0</v>
      </c>
      <c r="L32" s="3352">
        <f t="shared" si="0"/>
        <v>1</v>
      </c>
      <c r="M32" s="3348">
        <f t="shared" si="0"/>
        <v>0</v>
      </c>
      <c r="N32" s="3352">
        <f t="shared" si="0"/>
        <v>1</v>
      </c>
      <c r="O32" s="3348">
        <f t="shared" si="0"/>
        <v>0</v>
      </c>
    </row>
    <row r="33" spans="1:15" ht="13.5" customHeight="1">
      <c r="A33" s="623"/>
      <c r="B33" s="714">
        <v>2007</v>
      </c>
      <c r="C33" s="624"/>
      <c r="D33" s="3352">
        <v>0.66167389847504865</v>
      </c>
      <c r="E33" s="3347">
        <v>0.33832610152495135</v>
      </c>
      <c r="F33" s="3348">
        <v>0</v>
      </c>
      <c r="G33" s="3352">
        <v>4.9875016158847395E-2</v>
      </c>
      <c r="H33" s="3347">
        <v>0.95012498384115274</v>
      </c>
      <c r="I33" s="3348">
        <v>0</v>
      </c>
      <c r="J33" s="3352">
        <f t="shared" si="0"/>
        <v>1</v>
      </c>
      <c r="K33" s="3348">
        <f t="shared" si="0"/>
        <v>0</v>
      </c>
      <c r="L33" s="3352">
        <f t="shared" si="0"/>
        <v>1</v>
      </c>
      <c r="M33" s="3348">
        <f t="shared" si="0"/>
        <v>0</v>
      </c>
      <c r="N33" s="3352">
        <f t="shared" si="0"/>
        <v>1</v>
      </c>
      <c r="O33" s="3348">
        <f t="shared" si="0"/>
        <v>0</v>
      </c>
    </row>
    <row r="34" spans="1:15" ht="13.5" customHeight="1">
      <c r="A34" s="623"/>
      <c r="B34" s="714">
        <v>2008</v>
      </c>
      <c r="C34" s="624"/>
      <c r="D34" s="3352">
        <v>0.6446253425002415</v>
      </c>
      <c r="E34" s="3347">
        <v>0.3553746574997585</v>
      </c>
      <c r="F34" s="3348">
        <v>0</v>
      </c>
      <c r="G34" s="3352">
        <v>4.4103164716038319E-2</v>
      </c>
      <c r="H34" s="3347">
        <v>0.95589683528396174</v>
      </c>
      <c r="I34" s="3348">
        <v>0</v>
      </c>
      <c r="J34" s="3352">
        <f t="shared" si="0"/>
        <v>1</v>
      </c>
      <c r="K34" s="3348">
        <f t="shared" si="0"/>
        <v>0</v>
      </c>
      <c r="L34" s="3352">
        <f t="shared" si="0"/>
        <v>1</v>
      </c>
      <c r="M34" s="3348">
        <f t="shared" si="0"/>
        <v>0</v>
      </c>
      <c r="N34" s="3352">
        <f t="shared" si="0"/>
        <v>1</v>
      </c>
      <c r="O34" s="3348">
        <f t="shared" si="0"/>
        <v>0</v>
      </c>
    </row>
    <row r="35" spans="1:15" ht="13.5" customHeight="1" thickBot="1">
      <c r="A35" s="869"/>
      <c r="B35" s="1025">
        <v>2009</v>
      </c>
      <c r="C35" s="804"/>
      <c r="D35" s="3365">
        <v>0.62316896920058529</v>
      </c>
      <c r="E35" s="3366">
        <v>0.37683103079941471</v>
      </c>
      <c r="F35" s="3367">
        <v>0</v>
      </c>
      <c r="G35" s="3365">
        <v>4.066322943728562E-2</v>
      </c>
      <c r="H35" s="3366">
        <v>0.95933677056271438</v>
      </c>
      <c r="I35" s="3367">
        <v>0</v>
      </c>
      <c r="J35" s="3368">
        <f t="shared" si="0"/>
        <v>1</v>
      </c>
      <c r="K35" s="3369">
        <f t="shared" si="0"/>
        <v>0</v>
      </c>
      <c r="L35" s="3368">
        <f t="shared" si="0"/>
        <v>1</v>
      </c>
      <c r="M35" s="3369">
        <f t="shared" si="0"/>
        <v>0</v>
      </c>
      <c r="N35" s="3368">
        <f t="shared" si="0"/>
        <v>1</v>
      </c>
      <c r="O35" s="3369">
        <f t="shared" si="0"/>
        <v>0</v>
      </c>
    </row>
    <row r="36" spans="1:15" ht="13.5" customHeight="1" thickBot="1">
      <c r="A36" s="1029"/>
      <c r="B36" s="1024">
        <v>2010</v>
      </c>
      <c r="C36" s="832"/>
      <c r="D36" s="3370">
        <v>0.59996870780342015</v>
      </c>
      <c r="E36" s="3371">
        <v>0.4000312921965799</v>
      </c>
      <c r="F36" s="3372">
        <v>0</v>
      </c>
      <c r="G36" s="3371">
        <v>3.6786274718767845E-2</v>
      </c>
      <c r="H36" s="3371">
        <v>0.96321372528123206</v>
      </c>
      <c r="I36" s="3372">
        <v>0</v>
      </c>
      <c r="J36" s="3373">
        <v>1</v>
      </c>
      <c r="K36" s="3374">
        <v>0</v>
      </c>
      <c r="L36" s="3373">
        <v>1</v>
      </c>
      <c r="M36" s="3374">
        <v>0</v>
      </c>
      <c r="N36" s="3373">
        <v>1</v>
      </c>
      <c r="O36" s="3374">
        <v>0</v>
      </c>
    </row>
    <row r="37" spans="1:15" ht="13.5" customHeight="1">
      <c r="A37" s="623"/>
      <c r="B37" s="714">
        <v>2011</v>
      </c>
      <c r="C37" s="624"/>
      <c r="D37" s="3375">
        <v>0.57744725287049692</v>
      </c>
      <c r="E37" s="3376">
        <v>0.42250341055916901</v>
      </c>
      <c r="F37" s="3377">
        <v>4.9336570334137397E-5</v>
      </c>
      <c r="G37" s="3375">
        <v>3.2704074641087225E-2</v>
      </c>
      <c r="H37" s="3376">
        <v>0.96729592535891273</v>
      </c>
      <c r="I37" s="3377">
        <v>0</v>
      </c>
      <c r="J37" s="3375">
        <f>J$36+(J$41-J$36)*($B37-$B$36)/($B$41-$B$36)</f>
        <v>1</v>
      </c>
      <c r="K37" s="3376">
        <f t="shared" ref="J37:O40" si="1">K$36+(K$41-K$36)*($B37-$B$36)/($B$41-$B$36)</f>
        <v>0</v>
      </c>
      <c r="L37" s="3375">
        <f>L$36+(L$41-L$36)*($B37-$B$36)/($B$41-$B$36)</f>
        <v>1</v>
      </c>
      <c r="M37" s="3376">
        <f t="shared" si="1"/>
        <v>0</v>
      </c>
      <c r="N37" s="3375">
        <f>N$36+(N$41-N$36)*($B37-$B$36)/($B$41-$B$36)</f>
        <v>1</v>
      </c>
      <c r="O37" s="3378">
        <f t="shared" si="1"/>
        <v>0</v>
      </c>
    </row>
    <row r="38" spans="1:15" ht="13.5" customHeight="1">
      <c r="A38" s="623"/>
      <c r="B38" s="714">
        <v>2012</v>
      </c>
      <c r="C38" s="624"/>
      <c r="D38" s="3352">
        <v>0.55570098816237845</v>
      </c>
      <c r="E38" s="3347">
        <v>0.44416253097371039</v>
      </c>
      <c r="F38" s="3348">
        <v>1.3648086391110991E-4</v>
      </c>
      <c r="G38" s="3352">
        <v>2.9626783836866386E-2</v>
      </c>
      <c r="H38" s="3347">
        <v>0.97037321616313366</v>
      </c>
      <c r="I38" s="3348">
        <v>2.3946656956506899E-4</v>
      </c>
      <c r="J38" s="3352">
        <f t="shared" si="1"/>
        <v>1</v>
      </c>
      <c r="K38" s="3347">
        <f t="shared" si="1"/>
        <v>0</v>
      </c>
      <c r="L38" s="3352">
        <f t="shared" si="1"/>
        <v>1</v>
      </c>
      <c r="M38" s="3347">
        <f t="shared" si="1"/>
        <v>0</v>
      </c>
      <c r="N38" s="3352">
        <f t="shared" si="1"/>
        <v>1</v>
      </c>
      <c r="O38" s="3379">
        <f t="shared" si="1"/>
        <v>0</v>
      </c>
    </row>
    <row r="39" spans="1:15" ht="13.5" customHeight="1">
      <c r="A39" s="623"/>
      <c r="B39" s="714">
        <v>2013</v>
      </c>
      <c r="C39" s="624"/>
      <c r="D39" s="3352">
        <v>0.53363948347565759</v>
      </c>
      <c r="E39" s="3347">
        <v>0.46610890095884061</v>
      </c>
      <c r="F39" s="3348">
        <v>2.5161556550174359E-4</v>
      </c>
      <c r="G39" s="3352">
        <v>2.5987750242353214E-2</v>
      </c>
      <c r="H39" s="3347">
        <v>0.97366924268155919</v>
      </c>
      <c r="I39" s="3348">
        <v>3.4300707608761347E-4</v>
      </c>
      <c r="J39" s="3352">
        <f t="shared" si="1"/>
        <v>1</v>
      </c>
      <c r="K39" s="3347">
        <f t="shared" si="1"/>
        <v>0</v>
      </c>
      <c r="L39" s="3352">
        <f t="shared" si="1"/>
        <v>1</v>
      </c>
      <c r="M39" s="3347">
        <f t="shared" si="1"/>
        <v>0</v>
      </c>
      <c r="N39" s="3352">
        <f t="shared" si="1"/>
        <v>1</v>
      </c>
      <c r="O39" s="3379">
        <f t="shared" si="1"/>
        <v>0</v>
      </c>
    </row>
    <row r="40" spans="1:15" ht="13.5" customHeight="1">
      <c r="A40" s="623"/>
      <c r="B40" s="714">
        <v>2014</v>
      </c>
      <c r="C40" s="624"/>
      <c r="D40" s="3365">
        <v>0.51402287811195646</v>
      </c>
      <c r="E40" s="3366">
        <v>0.4852950903151601</v>
      </c>
      <c r="F40" s="3367">
        <v>6.8203157288345459E-4</v>
      </c>
      <c r="G40" s="3365">
        <v>2.3422655919244268E-2</v>
      </c>
      <c r="H40" s="3366">
        <v>0.97589890921149092</v>
      </c>
      <c r="I40" s="3367">
        <v>6.7843486926486441E-4</v>
      </c>
      <c r="J40" s="3365">
        <f t="shared" si="1"/>
        <v>1</v>
      </c>
      <c r="K40" s="3366">
        <f t="shared" si="1"/>
        <v>0</v>
      </c>
      <c r="L40" s="3365">
        <f t="shared" si="1"/>
        <v>1</v>
      </c>
      <c r="M40" s="3366">
        <f t="shared" si="1"/>
        <v>0</v>
      </c>
      <c r="N40" s="3365">
        <f t="shared" si="1"/>
        <v>1</v>
      </c>
      <c r="O40" s="3380">
        <f t="shared" si="1"/>
        <v>0</v>
      </c>
    </row>
    <row r="41" spans="1:15" ht="13.5" customHeight="1">
      <c r="A41" s="1027"/>
      <c r="B41" s="1026">
        <v>2015</v>
      </c>
      <c r="C41" s="1028"/>
      <c r="D41" s="3357">
        <v>0.49721481105540766</v>
      </c>
      <c r="E41" s="3358">
        <v>0.50133227244196654</v>
      </c>
      <c r="F41" s="3359">
        <v>1.4529165026258249E-3</v>
      </c>
      <c r="G41" s="3358">
        <v>2.1594467465044932E-2</v>
      </c>
      <c r="H41" s="3358">
        <v>0.97738263705018646</v>
      </c>
      <c r="I41" s="3358">
        <v>1.0228954847687022E-3</v>
      </c>
      <c r="J41" s="3360">
        <v>1</v>
      </c>
      <c r="K41" s="3361">
        <v>0</v>
      </c>
      <c r="L41" s="3360">
        <v>1</v>
      </c>
      <c r="M41" s="3361">
        <v>0</v>
      </c>
      <c r="N41" s="3360">
        <v>1</v>
      </c>
      <c r="O41" s="3381">
        <v>0</v>
      </c>
    </row>
    <row r="42" spans="1:15" ht="13.5" customHeight="1">
      <c r="A42" s="623"/>
      <c r="B42" s="714">
        <v>2016</v>
      </c>
      <c r="C42" s="624"/>
      <c r="D42" s="3362">
        <v>0.47926411865683594</v>
      </c>
      <c r="E42" s="3363">
        <v>0.51853125080258944</v>
      </c>
      <c r="F42" s="3364">
        <v>2.2046305405746228E-3</v>
      </c>
      <c r="G42" s="3362">
        <v>1.9108036244729808E-2</v>
      </c>
      <c r="H42" s="3363">
        <v>0.97919562987811237</v>
      </c>
      <c r="I42" s="3364">
        <v>1.6963338771578912E-3</v>
      </c>
      <c r="J42" s="3362">
        <f>J$41+(J$46-J$41)*($B42-$B$41)/($B$46-$B$41)</f>
        <v>1</v>
      </c>
      <c r="K42" s="3363">
        <f t="shared" ref="J42:O45" si="2">K$41+(K$46-K$41)*($B42-$B$41)/($B$46-$B$41)</f>
        <v>0</v>
      </c>
      <c r="L42" s="3362">
        <f>L$41+(L$46-L$41)*($B42-$B$41)/($B$46-$B$41)</f>
        <v>1</v>
      </c>
      <c r="M42" s="3363">
        <f t="shared" si="2"/>
        <v>0</v>
      </c>
      <c r="N42" s="3362">
        <f>N$41+(N$46-N$41)*($B42-$B$41)/($B$46-$B$41)</f>
        <v>1</v>
      </c>
      <c r="O42" s="3382">
        <f t="shared" si="2"/>
        <v>0</v>
      </c>
    </row>
    <row r="43" spans="1:15" ht="13.5" customHeight="1">
      <c r="A43" s="623"/>
      <c r="B43" s="714">
        <v>2017</v>
      </c>
      <c r="C43" s="624"/>
      <c r="D43" s="3352">
        <v>0.46509229543232039</v>
      </c>
      <c r="E43" s="3347">
        <v>0.53146164011853869</v>
      </c>
      <c r="F43" s="3348">
        <v>3.4460644491408994E-3</v>
      </c>
      <c r="G43" s="3352">
        <v>1.7149091512505991E-2</v>
      </c>
      <c r="H43" s="3347">
        <v>0.98018562810929089</v>
      </c>
      <c r="I43" s="3348">
        <v>2.6652803782029975E-3</v>
      </c>
      <c r="J43" s="3352">
        <f t="shared" si="2"/>
        <v>1</v>
      </c>
      <c r="K43" s="3347">
        <f t="shared" si="2"/>
        <v>0</v>
      </c>
      <c r="L43" s="3352">
        <f t="shared" si="2"/>
        <v>1</v>
      </c>
      <c r="M43" s="3347">
        <f t="shared" si="2"/>
        <v>0</v>
      </c>
      <c r="N43" s="3352">
        <f t="shared" si="2"/>
        <v>1</v>
      </c>
      <c r="O43" s="3379">
        <f t="shared" si="2"/>
        <v>0</v>
      </c>
    </row>
    <row r="44" spans="1:15" ht="13.5" customHeight="1">
      <c r="A44" s="623"/>
      <c r="B44" s="714">
        <v>2018</v>
      </c>
      <c r="C44" s="624"/>
      <c r="D44" s="3383">
        <v>0.48097976813788373</v>
      </c>
      <c r="E44" s="3384">
        <v>0.51203704939777628</v>
      </c>
      <c r="F44" s="3385">
        <v>6.9831824643400023E-3</v>
      </c>
      <c r="G44" s="3352">
        <v>1.5555726914266033E-2</v>
      </c>
      <c r="H44" s="3347">
        <v>0.98212320118532326</v>
      </c>
      <c r="I44" s="3348">
        <v>2.3210719004105973E-3</v>
      </c>
      <c r="J44" s="3352">
        <f t="shared" si="2"/>
        <v>1</v>
      </c>
      <c r="K44" s="3347">
        <f t="shared" si="2"/>
        <v>0</v>
      </c>
      <c r="L44" s="3352">
        <f t="shared" si="2"/>
        <v>1</v>
      </c>
      <c r="M44" s="3347">
        <f t="shared" si="2"/>
        <v>0</v>
      </c>
      <c r="N44" s="3352">
        <f t="shared" si="2"/>
        <v>1</v>
      </c>
      <c r="O44" s="3379">
        <f t="shared" si="2"/>
        <v>0</v>
      </c>
    </row>
    <row r="45" spans="1:15" ht="13.5" customHeight="1">
      <c r="A45" s="623"/>
      <c r="B45" s="714">
        <v>2019</v>
      </c>
      <c r="C45" s="624"/>
      <c r="D45" s="3386">
        <v>0.48343746344030947</v>
      </c>
      <c r="E45" s="3387">
        <v>0.5072141194664348</v>
      </c>
      <c r="F45" s="3388">
        <v>9.3484170932556579E-3</v>
      </c>
      <c r="G45" s="3386">
        <v>1.4319017536158012E-2</v>
      </c>
      <c r="H45" s="3387">
        <v>0.98347996514780422</v>
      </c>
      <c r="I45" s="3388">
        <v>2.201017316037827E-3</v>
      </c>
      <c r="J45" s="3386">
        <f t="shared" si="2"/>
        <v>1</v>
      </c>
      <c r="K45" s="3387">
        <f t="shared" si="2"/>
        <v>0</v>
      </c>
      <c r="L45" s="3386">
        <f t="shared" si="2"/>
        <v>1</v>
      </c>
      <c r="M45" s="3387">
        <f t="shared" si="2"/>
        <v>0</v>
      </c>
      <c r="N45" s="3386">
        <f t="shared" si="2"/>
        <v>1</v>
      </c>
      <c r="O45" s="3389">
        <f t="shared" si="2"/>
        <v>0</v>
      </c>
    </row>
    <row r="46" spans="1:15" ht="13.5" customHeight="1">
      <c r="A46" s="1027"/>
      <c r="B46" s="1026">
        <v>2020</v>
      </c>
      <c r="C46" s="1028"/>
      <c r="D46" s="3390">
        <v>0.48693312479193873</v>
      </c>
      <c r="E46" s="3391">
        <v>0.50113542703078306</v>
      </c>
      <c r="F46" s="3392">
        <v>1.1931448177278299E-2</v>
      </c>
      <c r="G46" s="3391">
        <v>1.3385109223233967E-2</v>
      </c>
      <c r="H46" s="3391">
        <v>0.98431732997622856</v>
      </c>
      <c r="I46" s="3391">
        <v>2.2975608005374919E-3</v>
      </c>
      <c r="J46" s="3393">
        <v>1</v>
      </c>
      <c r="K46" s="3394">
        <v>0</v>
      </c>
      <c r="L46" s="3393">
        <v>1</v>
      </c>
      <c r="M46" s="3394">
        <v>0</v>
      </c>
      <c r="N46" s="3393">
        <v>1</v>
      </c>
      <c r="O46" s="3395">
        <v>0</v>
      </c>
    </row>
    <row r="47" spans="1:15" ht="13.5" customHeight="1">
      <c r="A47" s="623"/>
      <c r="B47" s="714">
        <v>2021</v>
      </c>
      <c r="C47" s="624"/>
      <c r="D47" s="3396">
        <v>0.48969706423683668</v>
      </c>
      <c r="E47" s="3397">
        <v>0.49321351227543986</v>
      </c>
      <c r="F47" s="3398">
        <v>1.7089423487723444E-2</v>
      </c>
      <c r="G47" s="3396">
        <v>1.2677449470963479E-2</v>
      </c>
      <c r="H47" s="3397">
        <v>0.98455412867241476</v>
      </c>
      <c r="I47" s="3398">
        <v>2.7684218566219041E-3</v>
      </c>
      <c r="J47" s="3396">
        <f>J$46+(J$51-J$46)*($B47-$B$46)/($B$51-$B$46)</f>
        <v>1</v>
      </c>
      <c r="K47" s="3397">
        <f t="shared" ref="J47:O50" si="3">K$46+(K$51-K$46)*($B47-$B$46)/($B$51-$B$46)</f>
        <v>0</v>
      </c>
      <c r="L47" s="3396">
        <f>L$46+(L$51-L$46)*($B47-$B$46)/($B$51-$B$46)</f>
        <v>1</v>
      </c>
      <c r="M47" s="3397">
        <f t="shared" si="3"/>
        <v>0</v>
      </c>
      <c r="N47" s="3396">
        <f>N$46+(N$51-N$46)*($B47-$B$46)/($B$51-$B$46)</f>
        <v>1</v>
      </c>
      <c r="O47" s="3398">
        <f t="shared" si="3"/>
        <v>0</v>
      </c>
    </row>
    <row r="48" spans="1:15" ht="13.5" customHeight="1">
      <c r="A48" s="623"/>
      <c r="B48" s="714">
        <v>2022</v>
      </c>
      <c r="C48" s="624"/>
      <c r="D48" s="3383">
        <v>0.49253317460263502</v>
      </c>
      <c r="E48" s="3384">
        <v>0.48399829848158232</v>
      </c>
      <c r="F48" s="3385">
        <v>2.3468526915782717E-2</v>
      </c>
      <c r="G48" s="3383">
        <v>1.2167230997415891E-2</v>
      </c>
      <c r="H48" s="3384">
        <v>0.98371721336548579</v>
      </c>
      <c r="I48" s="3385">
        <v>4.1155556370981563E-3</v>
      </c>
      <c r="J48" s="3383">
        <f t="shared" si="3"/>
        <v>1</v>
      </c>
      <c r="K48" s="3384">
        <f t="shared" si="3"/>
        <v>0</v>
      </c>
      <c r="L48" s="3383">
        <f t="shared" si="3"/>
        <v>1</v>
      </c>
      <c r="M48" s="3384">
        <f t="shared" si="3"/>
        <v>0</v>
      </c>
      <c r="N48" s="3383">
        <f t="shared" si="3"/>
        <v>1</v>
      </c>
      <c r="O48" s="3385">
        <f t="shared" si="3"/>
        <v>0</v>
      </c>
    </row>
    <row r="49" spans="1:15" ht="13.5" customHeight="1">
      <c r="A49" s="623"/>
      <c r="B49" s="714">
        <v>2023</v>
      </c>
      <c r="C49" s="624"/>
      <c r="D49" s="3383">
        <v>0.49533138049391573</v>
      </c>
      <c r="E49" s="3384">
        <v>0.47333288627388231</v>
      </c>
      <c r="F49" s="3385">
        <v>3.1335733232201811E-2</v>
      </c>
      <c r="G49" s="3383">
        <v>1.1691616843630093E-2</v>
      </c>
      <c r="H49" s="3384">
        <v>0.98180455515526277</v>
      </c>
      <c r="I49" s="3385">
        <v>6.5038280011073153E-3</v>
      </c>
      <c r="J49" s="3383">
        <f t="shared" si="3"/>
        <v>1</v>
      </c>
      <c r="K49" s="3384">
        <f t="shared" si="3"/>
        <v>0</v>
      </c>
      <c r="L49" s="3383">
        <f t="shared" si="3"/>
        <v>1</v>
      </c>
      <c r="M49" s="3384">
        <f t="shared" si="3"/>
        <v>0</v>
      </c>
      <c r="N49" s="3383">
        <f t="shared" si="3"/>
        <v>1</v>
      </c>
      <c r="O49" s="3385">
        <f t="shared" si="3"/>
        <v>0</v>
      </c>
    </row>
    <row r="50" spans="1:15" ht="13.5" customHeight="1">
      <c r="A50" s="623"/>
      <c r="B50" s="714">
        <v>2024</v>
      </c>
      <c r="C50" s="624"/>
      <c r="D50" s="3386">
        <v>0.49796319635355407</v>
      </c>
      <c r="E50" s="3387">
        <v>0.46125524828884246</v>
      </c>
      <c r="F50" s="3388">
        <v>4.0781555357603506E-2</v>
      </c>
      <c r="G50" s="3386">
        <v>1.1331921790605064E-2</v>
      </c>
      <c r="H50" s="3387">
        <v>0.97811633547475085</v>
      </c>
      <c r="I50" s="3388">
        <v>1.0551742734644135E-2</v>
      </c>
      <c r="J50" s="3386">
        <f t="shared" si="3"/>
        <v>1</v>
      </c>
      <c r="K50" s="3387">
        <f t="shared" si="3"/>
        <v>0</v>
      </c>
      <c r="L50" s="3386">
        <f t="shared" si="3"/>
        <v>1</v>
      </c>
      <c r="M50" s="3387">
        <f t="shared" si="3"/>
        <v>0</v>
      </c>
      <c r="N50" s="3386">
        <f t="shared" si="3"/>
        <v>1</v>
      </c>
      <c r="O50" s="3388">
        <f t="shared" si="3"/>
        <v>0</v>
      </c>
    </row>
    <row r="51" spans="1:15" ht="13.5" customHeight="1">
      <c r="A51" s="1027"/>
      <c r="B51" s="1026">
        <v>2025</v>
      </c>
      <c r="C51" s="1028"/>
      <c r="D51" s="3390">
        <v>0.49972708207517902</v>
      </c>
      <c r="E51" s="3391">
        <v>0.44743901650925766</v>
      </c>
      <c r="F51" s="3392">
        <v>5.2833901415563378E-2</v>
      </c>
      <c r="G51" s="3391">
        <v>1.0940352764042538E-2</v>
      </c>
      <c r="H51" s="3391">
        <v>0.97160513218336098</v>
      </c>
      <c r="I51" s="3391">
        <v>1.7454515052596643E-2</v>
      </c>
      <c r="J51" s="3393">
        <v>1</v>
      </c>
      <c r="K51" s="3394">
        <v>0</v>
      </c>
      <c r="L51" s="3393">
        <v>1</v>
      </c>
      <c r="M51" s="3394">
        <v>0</v>
      </c>
      <c r="N51" s="3393">
        <v>1</v>
      </c>
      <c r="O51" s="3394">
        <v>0</v>
      </c>
    </row>
    <row r="52" spans="1:15" ht="13.5" customHeight="1">
      <c r="A52" s="623"/>
      <c r="B52" s="714">
        <v>2026</v>
      </c>
      <c r="C52" s="624"/>
      <c r="D52" s="3396">
        <v>0.50003615078409192</v>
      </c>
      <c r="E52" s="3397">
        <v>0.43233645185565878</v>
      </c>
      <c r="F52" s="3398">
        <v>6.7627397360249406E-2</v>
      </c>
      <c r="G52" s="3396">
        <v>1.0563487295180177E-2</v>
      </c>
      <c r="H52" s="3397">
        <v>0.9653966936884194</v>
      </c>
      <c r="I52" s="3398">
        <v>2.4039819016400343E-2</v>
      </c>
      <c r="J52" s="3396">
        <f>J$51+(J$56-J$51)*($B52-$B$51)/($B$56-$B$51)</f>
        <v>1</v>
      </c>
      <c r="K52" s="3397">
        <f t="shared" ref="J52:O55" si="4">K$51+(K$56-K$51)*($B52-$B$51)/($B$56-$B$51)</f>
        <v>0</v>
      </c>
      <c r="L52" s="3396">
        <f>L$51+(L$56-L$51)*($B52-$B$51)/($B$56-$B$51)</f>
        <v>1</v>
      </c>
      <c r="M52" s="3397">
        <f t="shared" si="4"/>
        <v>0</v>
      </c>
      <c r="N52" s="3396">
        <f>N$51+(N$56-N$51)*($B52-$B$51)/($B$56-$B$51)</f>
        <v>1</v>
      </c>
      <c r="O52" s="3398">
        <f t="shared" si="4"/>
        <v>0</v>
      </c>
    </row>
    <row r="53" spans="1:15" ht="13.5" customHeight="1">
      <c r="A53" s="623"/>
      <c r="B53" s="714">
        <v>2027</v>
      </c>
      <c r="C53" s="624"/>
      <c r="D53" s="3383">
        <v>0.49887340710663064</v>
      </c>
      <c r="E53" s="3384">
        <v>0.41644307501854788</v>
      </c>
      <c r="F53" s="3385">
        <v>8.468351787482141E-2</v>
      </c>
      <c r="G53" s="3383">
        <v>8.4435433038914064E-3</v>
      </c>
      <c r="H53" s="3384">
        <v>0.96006850951797129</v>
      </c>
      <c r="I53" s="3385">
        <v>3.1487947178137327E-2</v>
      </c>
      <c r="J53" s="3383">
        <f t="shared" si="4"/>
        <v>1</v>
      </c>
      <c r="K53" s="3384">
        <f t="shared" si="4"/>
        <v>0</v>
      </c>
      <c r="L53" s="3383">
        <f t="shared" si="4"/>
        <v>1</v>
      </c>
      <c r="M53" s="3384">
        <f t="shared" si="4"/>
        <v>0</v>
      </c>
      <c r="N53" s="3383">
        <f t="shared" si="4"/>
        <v>1</v>
      </c>
      <c r="O53" s="3385">
        <f t="shared" si="4"/>
        <v>0</v>
      </c>
    </row>
    <row r="54" spans="1:15" ht="13.5" customHeight="1">
      <c r="A54" s="623"/>
      <c r="B54" s="714">
        <v>2028</v>
      </c>
      <c r="C54" s="624"/>
      <c r="D54" s="3383">
        <v>0.4967429696906358</v>
      </c>
      <c r="E54" s="3384">
        <v>0.40047373942250236</v>
      </c>
      <c r="F54" s="3385">
        <v>0.10278329088686181</v>
      </c>
      <c r="G54" s="3383">
        <v>8.3674124225933677E-3</v>
      </c>
      <c r="H54" s="3384">
        <v>0.95221940689494078</v>
      </c>
      <c r="I54" s="3385">
        <v>3.9413180682465798E-2</v>
      </c>
      <c r="J54" s="3383">
        <f t="shared" si="4"/>
        <v>1</v>
      </c>
      <c r="K54" s="3384">
        <f t="shared" si="4"/>
        <v>0</v>
      </c>
      <c r="L54" s="3383">
        <f t="shared" si="4"/>
        <v>1</v>
      </c>
      <c r="M54" s="3384">
        <f t="shared" si="4"/>
        <v>0</v>
      </c>
      <c r="N54" s="3383">
        <f t="shared" si="4"/>
        <v>1</v>
      </c>
      <c r="O54" s="3385">
        <f t="shared" si="4"/>
        <v>0</v>
      </c>
    </row>
    <row r="55" spans="1:15" ht="13.5" customHeight="1">
      <c r="A55" s="869"/>
      <c r="B55" s="1025">
        <v>2029</v>
      </c>
      <c r="C55" s="804"/>
      <c r="D55" s="3386">
        <v>0.49330466938387318</v>
      </c>
      <c r="E55" s="3387">
        <v>0.38476132242533539</v>
      </c>
      <c r="F55" s="3388">
        <v>0.12193400819079145</v>
      </c>
      <c r="G55" s="3386">
        <v>8.279231830281163E-3</v>
      </c>
      <c r="H55" s="3387">
        <v>0.94333576852754519</v>
      </c>
      <c r="I55" s="3388">
        <v>4.8384999642173611E-2</v>
      </c>
      <c r="J55" s="3386">
        <f t="shared" si="4"/>
        <v>1</v>
      </c>
      <c r="K55" s="3387">
        <f t="shared" si="4"/>
        <v>0</v>
      </c>
      <c r="L55" s="3386">
        <f t="shared" si="4"/>
        <v>1</v>
      </c>
      <c r="M55" s="3387">
        <f t="shared" si="4"/>
        <v>0</v>
      </c>
      <c r="N55" s="3386">
        <f t="shared" si="4"/>
        <v>1</v>
      </c>
      <c r="O55" s="3388">
        <f t="shared" si="4"/>
        <v>0</v>
      </c>
    </row>
    <row r="56" spans="1:15" ht="13.5" customHeight="1" thickBot="1">
      <c r="A56" s="619"/>
      <c r="B56" s="798">
        <v>2030</v>
      </c>
      <c r="C56" s="620"/>
      <c r="D56" s="3399">
        <v>0.48797750999942691</v>
      </c>
      <c r="E56" s="3400">
        <v>0.36907735648300882</v>
      </c>
      <c r="F56" s="3401">
        <v>0.14294513351756422</v>
      </c>
      <c r="G56" s="3400">
        <v>8.167099472900478E-3</v>
      </c>
      <c r="H56" s="3400">
        <v>0.93321827610460983</v>
      </c>
      <c r="I56" s="3402">
        <v>5.8614624422489575E-2</v>
      </c>
      <c r="J56" s="3403">
        <v>1</v>
      </c>
      <c r="K56" s="3404">
        <v>0</v>
      </c>
      <c r="L56" s="3403">
        <v>1</v>
      </c>
      <c r="M56" s="3404">
        <v>0</v>
      </c>
      <c r="N56" s="3403">
        <v>1</v>
      </c>
      <c r="O56" s="3404">
        <v>0</v>
      </c>
    </row>
    <row r="57" spans="1:15" ht="13.5" customHeight="1" thickTop="1">
      <c r="A57" s="621"/>
      <c r="B57" s="1632">
        <v>2031</v>
      </c>
      <c r="C57" s="622"/>
      <c r="D57" s="3405">
        <v>0.4816980330081731</v>
      </c>
      <c r="E57" s="3406">
        <v>0.35467526944315475</v>
      </c>
      <c r="F57" s="3407">
        <v>0.16362669754867226</v>
      </c>
      <c r="G57" s="3405">
        <v>8.0530588753909785E-3</v>
      </c>
      <c r="H57" s="3406">
        <v>0.92334702446724903</v>
      </c>
      <c r="I57" s="3407">
        <v>6.8599916657359927E-2</v>
      </c>
      <c r="J57" s="3405">
        <f t="shared" ref="J57:O57" si="5">J56</f>
        <v>1</v>
      </c>
      <c r="K57" s="3407">
        <f t="shared" si="5"/>
        <v>0</v>
      </c>
      <c r="L57" s="3405">
        <f t="shared" si="5"/>
        <v>1</v>
      </c>
      <c r="M57" s="3407">
        <f t="shared" si="5"/>
        <v>0</v>
      </c>
      <c r="N57" s="3405">
        <f t="shared" si="5"/>
        <v>1</v>
      </c>
      <c r="O57" s="3407">
        <f t="shared" si="5"/>
        <v>0</v>
      </c>
    </row>
    <row r="58" spans="1:15" ht="13.5" customHeight="1">
      <c r="A58" s="623"/>
      <c r="B58" s="714">
        <v>2032</v>
      </c>
      <c r="C58" s="624"/>
      <c r="D58" s="3408">
        <v>0.47449829047505143</v>
      </c>
      <c r="E58" s="3409">
        <v>0.34156803015441239</v>
      </c>
      <c r="F58" s="3410">
        <v>0.1839336793705362</v>
      </c>
      <c r="G58" s="3408">
        <v>7.9357301873778131E-3</v>
      </c>
      <c r="H58" s="3409">
        <v>0.91339254387952484</v>
      </c>
      <c r="I58" s="3410">
        <v>7.8671725933097209E-2</v>
      </c>
      <c r="J58" s="3408">
        <f t="shared" ref="J58:O63" si="6">J57</f>
        <v>1</v>
      </c>
      <c r="K58" s="3410">
        <f t="shared" si="6"/>
        <v>0</v>
      </c>
      <c r="L58" s="3408">
        <f t="shared" si="6"/>
        <v>1</v>
      </c>
      <c r="M58" s="3410">
        <f t="shared" si="6"/>
        <v>0</v>
      </c>
      <c r="N58" s="3408">
        <f t="shared" si="6"/>
        <v>1</v>
      </c>
      <c r="O58" s="3410">
        <f t="shared" si="6"/>
        <v>0</v>
      </c>
    </row>
    <row r="59" spans="1:15" ht="13.5" customHeight="1">
      <c r="A59" s="623"/>
      <c r="B59" s="714">
        <v>2033</v>
      </c>
      <c r="C59" s="624"/>
      <c r="D59" s="3408">
        <v>0.46650986775426367</v>
      </c>
      <c r="E59" s="3409">
        <v>0.32967495039338462</v>
      </c>
      <c r="F59" s="3410">
        <v>0.20381518185235159</v>
      </c>
      <c r="G59" s="3408">
        <v>7.8160742822889467E-3</v>
      </c>
      <c r="H59" s="3409">
        <v>0.90341310763865312</v>
      </c>
      <c r="I59" s="3410">
        <v>8.8770818079058011E-2</v>
      </c>
      <c r="J59" s="3408">
        <f t="shared" si="6"/>
        <v>1</v>
      </c>
      <c r="K59" s="3410">
        <f t="shared" si="6"/>
        <v>0</v>
      </c>
      <c r="L59" s="3408">
        <f t="shared" si="6"/>
        <v>1</v>
      </c>
      <c r="M59" s="3410">
        <f t="shared" si="6"/>
        <v>0</v>
      </c>
      <c r="N59" s="3408">
        <f t="shared" si="6"/>
        <v>1</v>
      </c>
      <c r="O59" s="3410">
        <f t="shared" si="6"/>
        <v>0</v>
      </c>
    </row>
    <row r="60" spans="1:15" ht="13.5" customHeight="1">
      <c r="A60" s="623"/>
      <c r="B60" s="714">
        <v>2034</v>
      </c>
      <c r="C60" s="624"/>
      <c r="D60" s="3408">
        <v>0.45792372676017823</v>
      </c>
      <c r="E60" s="3409">
        <v>0.3186445399649705</v>
      </c>
      <c r="F60" s="3410">
        <v>0.22343173327485119</v>
      </c>
      <c r="G60" s="3408">
        <v>7.6968812884720761E-3</v>
      </c>
      <c r="H60" s="3409">
        <v>0.89320038112169975</v>
      </c>
      <c r="I60" s="3410">
        <v>9.9102737589827947E-2</v>
      </c>
      <c r="J60" s="3408">
        <f t="shared" si="6"/>
        <v>1</v>
      </c>
      <c r="K60" s="3410">
        <f t="shared" si="6"/>
        <v>0</v>
      </c>
      <c r="L60" s="3408">
        <f t="shared" si="6"/>
        <v>1</v>
      </c>
      <c r="M60" s="3410">
        <f t="shared" si="6"/>
        <v>0</v>
      </c>
      <c r="N60" s="3408">
        <f t="shared" si="6"/>
        <v>1</v>
      </c>
      <c r="O60" s="3410">
        <f t="shared" si="6"/>
        <v>0</v>
      </c>
    </row>
    <row r="61" spans="1:15" ht="13.5" customHeight="1">
      <c r="A61" s="623"/>
      <c r="B61" s="714">
        <v>2035</v>
      </c>
      <c r="C61" s="624"/>
      <c r="D61" s="3408">
        <v>0.44899280760845878</v>
      </c>
      <c r="E61" s="3409">
        <v>0.30857174712024082</v>
      </c>
      <c r="F61" s="3410">
        <v>0.24243544527130034</v>
      </c>
      <c r="G61" s="3408">
        <v>7.5813673465207135E-3</v>
      </c>
      <c r="H61" s="3409">
        <v>0.88299738387871451</v>
      </c>
      <c r="I61" s="3410">
        <v>0.10942124877476486</v>
      </c>
      <c r="J61" s="3408">
        <f t="shared" si="6"/>
        <v>1</v>
      </c>
      <c r="K61" s="3410">
        <f t="shared" si="6"/>
        <v>0</v>
      </c>
      <c r="L61" s="3408">
        <f t="shared" si="6"/>
        <v>1</v>
      </c>
      <c r="M61" s="3410">
        <f t="shared" si="6"/>
        <v>0</v>
      </c>
      <c r="N61" s="3408">
        <f t="shared" si="6"/>
        <v>1</v>
      </c>
      <c r="O61" s="3410">
        <f t="shared" si="6"/>
        <v>0</v>
      </c>
    </row>
    <row r="62" spans="1:15" ht="13.5" customHeight="1">
      <c r="A62" s="623"/>
      <c r="B62" s="714">
        <v>2036</v>
      </c>
      <c r="C62" s="624"/>
      <c r="D62" s="3408">
        <v>0.43990080406986071</v>
      </c>
      <c r="E62" s="3409">
        <v>0.29929341669468074</v>
      </c>
      <c r="F62" s="3410">
        <v>0.26080577923545861</v>
      </c>
      <c r="G62" s="3408">
        <v>7.4679362389327795E-3</v>
      </c>
      <c r="H62" s="3409">
        <v>0.87323909499783392</v>
      </c>
      <c r="I62" s="3410">
        <v>0.1192929687632333</v>
      </c>
      <c r="J62" s="3408">
        <f t="shared" si="6"/>
        <v>1</v>
      </c>
      <c r="K62" s="3410">
        <f t="shared" si="6"/>
        <v>0</v>
      </c>
      <c r="L62" s="3408">
        <f t="shared" si="6"/>
        <v>1</v>
      </c>
      <c r="M62" s="3410">
        <f t="shared" si="6"/>
        <v>0</v>
      </c>
      <c r="N62" s="3408">
        <f t="shared" si="6"/>
        <v>1</v>
      </c>
      <c r="O62" s="3410">
        <f t="shared" si="6"/>
        <v>0</v>
      </c>
    </row>
    <row r="63" spans="1:15" ht="13.5" customHeight="1">
      <c r="A63" s="623"/>
      <c r="B63" s="714">
        <v>2037</v>
      </c>
      <c r="C63" s="624"/>
      <c r="D63" s="3408">
        <v>0.43056713578605027</v>
      </c>
      <c r="E63" s="3409">
        <v>0.29069532730378789</v>
      </c>
      <c r="F63" s="3410">
        <v>0.27873753691016184</v>
      </c>
      <c r="G63" s="3408">
        <v>7.3568988269759805E-3</v>
      </c>
      <c r="H63" s="3409">
        <v>0.86360790113200736</v>
      </c>
      <c r="I63" s="3410">
        <v>0.12903520004101665</v>
      </c>
      <c r="J63" s="3408">
        <f t="shared" si="6"/>
        <v>1</v>
      </c>
      <c r="K63" s="3410">
        <f t="shared" si="6"/>
        <v>0</v>
      </c>
      <c r="L63" s="3408">
        <f t="shared" si="6"/>
        <v>1</v>
      </c>
      <c r="M63" s="3410">
        <f t="shared" si="6"/>
        <v>0</v>
      </c>
      <c r="N63" s="3408">
        <f t="shared" si="6"/>
        <v>1</v>
      </c>
      <c r="O63" s="3410">
        <f t="shared" si="6"/>
        <v>0</v>
      </c>
    </row>
    <row r="64" spans="1:15" ht="13.5" customHeight="1">
      <c r="A64" s="623"/>
      <c r="B64" s="714">
        <v>2038</v>
      </c>
      <c r="C64" s="624"/>
      <c r="D64" s="3408">
        <v>0.42127889654082867</v>
      </c>
      <c r="E64" s="3409">
        <v>0.28282772326670452</v>
      </c>
      <c r="F64" s="3410">
        <v>0.29589338019246691</v>
      </c>
      <c r="G64" s="3408">
        <v>7.2489392213255918E-3</v>
      </c>
      <c r="H64" s="3409">
        <v>0.85418264470064764</v>
      </c>
      <c r="I64" s="3410">
        <v>0.13856841607802692</v>
      </c>
      <c r="J64" s="3408">
        <f t="shared" ref="J64:J126" si="7">J63</f>
        <v>1</v>
      </c>
      <c r="K64" s="3410">
        <f t="shared" ref="K64:K126" si="8">K63</f>
        <v>0</v>
      </c>
      <c r="L64" s="3408">
        <f t="shared" ref="L64:L126" si="9">L63</f>
        <v>1</v>
      </c>
      <c r="M64" s="3410">
        <f t="shared" ref="M64:M126" si="10">M63</f>
        <v>0</v>
      </c>
      <c r="N64" s="3408">
        <f t="shared" ref="N64:N126" si="11">N63</f>
        <v>1</v>
      </c>
      <c r="O64" s="3410">
        <f t="shared" ref="O64:O126" si="12">O63</f>
        <v>0</v>
      </c>
    </row>
    <row r="65" spans="1:15" ht="13.5" customHeight="1">
      <c r="A65" s="623"/>
      <c r="B65" s="714">
        <v>2039</v>
      </c>
      <c r="C65" s="624"/>
      <c r="D65" s="3408">
        <v>0.41227514533268816</v>
      </c>
      <c r="E65" s="3409">
        <v>0.275486517066312</v>
      </c>
      <c r="F65" s="3410">
        <v>0.31223833760099995</v>
      </c>
      <c r="G65" s="3408">
        <v>7.1453552927500776E-3</v>
      </c>
      <c r="H65" s="3409">
        <v>0.84497438268660108</v>
      </c>
      <c r="I65" s="3410">
        <v>0.14788026202064902</v>
      </c>
      <c r="J65" s="3408">
        <f t="shared" si="7"/>
        <v>1</v>
      </c>
      <c r="K65" s="3410">
        <f t="shared" si="8"/>
        <v>0</v>
      </c>
      <c r="L65" s="3408">
        <f t="shared" si="9"/>
        <v>1</v>
      </c>
      <c r="M65" s="3410">
        <f t="shared" si="10"/>
        <v>0</v>
      </c>
      <c r="N65" s="3408">
        <f t="shared" si="11"/>
        <v>1</v>
      </c>
      <c r="O65" s="3410">
        <f t="shared" si="12"/>
        <v>0</v>
      </c>
    </row>
    <row r="66" spans="1:15" ht="13.5" customHeight="1">
      <c r="A66" s="623"/>
      <c r="B66" s="714">
        <v>2040</v>
      </c>
      <c r="C66" s="624"/>
      <c r="D66" s="3408">
        <v>0.40351495149274025</v>
      </c>
      <c r="E66" s="3409">
        <v>0.26853954368687544</v>
      </c>
      <c r="F66" s="3410">
        <v>0.32794550482038431</v>
      </c>
      <c r="G66" s="3408">
        <v>7.0476895956185504E-3</v>
      </c>
      <c r="H66" s="3409">
        <v>0.83604447572922491</v>
      </c>
      <c r="I66" s="3410">
        <v>0.15690783467515654</v>
      </c>
      <c r="J66" s="3408">
        <f t="shared" si="7"/>
        <v>1</v>
      </c>
      <c r="K66" s="3410">
        <f t="shared" si="8"/>
        <v>0</v>
      </c>
      <c r="L66" s="3408">
        <f t="shared" si="9"/>
        <v>1</v>
      </c>
      <c r="M66" s="3410">
        <f t="shared" si="10"/>
        <v>0</v>
      </c>
      <c r="N66" s="3408">
        <f t="shared" si="11"/>
        <v>1</v>
      </c>
      <c r="O66" s="3410">
        <f t="shared" si="12"/>
        <v>0</v>
      </c>
    </row>
    <row r="67" spans="1:15" ht="13.5" customHeight="1">
      <c r="A67" s="623"/>
      <c r="B67" s="714">
        <v>2041</v>
      </c>
      <c r="C67" s="624"/>
      <c r="D67" s="3408">
        <v>0.39432990115997196</v>
      </c>
      <c r="E67" s="3409">
        <v>0.26146264988284945</v>
      </c>
      <c r="F67" s="3410">
        <v>0.34420744895717864</v>
      </c>
      <c r="G67" s="3408">
        <v>6.9485363084110172E-3</v>
      </c>
      <c r="H67" s="3409">
        <v>0.82693866037979269</v>
      </c>
      <c r="I67" s="3410">
        <v>0.1661128033117964</v>
      </c>
      <c r="J67" s="3408">
        <f t="shared" si="7"/>
        <v>1</v>
      </c>
      <c r="K67" s="3410">
        <f t="shared" si="8"/>
        <v>0</v>
      </c>
      <c r="L67" s="3408">
        <f t="shared" si="9"/>
        <v>1</v>
      </c>
      <c r="M67" s="3410">
        <f t="shared" si="10"/>
        <v>0</v>
      </c>
      <c r="N67" s="3408">
        <f t="shared" si="11"/>
        <v>1</v>
      </c>
      <c r="O67" s="3410">
        <f t="shared" si="12"/>
        <v>0</v>
      </c>
    </row>
    <row r="68" spans="1:15" ht="13.5" customHeight="1">
      <c r="A68" s="623"/>
      <c r="B68" s="714">
        <v>2042</v>
      </c>
      <c r="C68" s="624"/>
      <c r="D68" s="3408">
        <v>0.38557777807449889</v>
      </c>
      <c r="E68" s="3409">
        <v>0.25485829756625661</v>
      </c>
      <c r="F68" s="3410">
        <v>0.35956392435924445</v>
      </c>
      <c r="G68" s="3408">
        <v>6.8477672834560974E-3</v>
      </c>
      <c r="H68" s="3409">
        <v>0.81763000526223251</v>
      </c>
      <c r="I68" s="3410">
        <v>0.17552222745431145</v>
      </c>
      <c r="J68" s="3408">
        <f t="shared" si="7"/>
        <v>1</v>
      </c>
      <c r="K68" s="3410">
        <f t="shared" si="8"/>
        <v>0</v>
      </c>
      <c r="L68" s="3408">
        <f t="shared" si="9"/>
        <v>1</v>
      </c>
      <c r="M68" s="3410">
        <f t="shared" si="10"/>
        <v>0</v>
      </c>
      <c r="N68" s="3408">
        <f t="shared" si="11"/>
        <v>1</v>
      </c>
      <c r="O68" s="3410">
        <f t="shared" si="12"/>
        <v>0</v>
      </c>
    </row>
    <row r="69" spans="1:15" ht="13.5" customHeight="1">
      <c r="A69" s="623"/>
      <c r="B69" s="714">
        <v>2043</v>
      </c>
      <c r="C69" s="624"/>
      <c r="D69" s="3408">
        <v>0.37721641511369847</v>
      </c>
      <c r="E69" s="3409">
        <v>0.24868546543106471</v>
      </c>
      <c r="F69" s="3410">
        <v>0.37409811945523697</v>
      </c>
      <c r="G69" s="3408">
        <v>6.7472068863792143E-3</v>
      </c>
      <c r="H69" s="3409">
        <v>0.80828634651263731</v>
      </c>
      <c r="I69" s="3410">
        <v>0.18496644660098349</v>
      </c>
      <c r="J69" s="3408">
        <f t="shared" si="7"/>
        <v>1</v>
      </c>
      <c r="K69" s="3410">
        <f t="shared" si="8"/>
        <v>0</v>
      </c>
      <c r="L69" s="3408">
        <f t="shared" si="9"/>
        <v>1</v>
      </c>
      <c r="M69" s="3410">
        <f t="shared" si="10"/>
        <v>0</v>
      </c>
      <c r="N69" s="3408">
        <f t="shared" si="11"/>
        <v>1</v>
      </c>
      <c r="O69" s="3410">
        <f t="shared" si="12"/>
        <v>0</v>
      </c>
    </row>
    <row r="70" spans="1:15" ht="13.5" customHeight="1">
      <c r="A70" s="623"/>
      <c r="B70" s="714">
        <v>2044</v>
      </c>
      <c r="C70" s="624"/>
      <c r="D70" s="3408">
        <v>0.36901758308024768</v>
      </c>
      <c r="E70" s="3409">
        <v>0.24277389226242768</v>
      </c>
      <c r="F70" s="3410">
        <v>0.38820852465732464</v>
      </c>
      <c r="G70" s="3408">
        <v>6.6479986469474813E-3</v>
      </c>
      <c r="H70" s="3409">
        <v>0.79893215247336347</v>
      </c>
      <c r="I70" s="3410">
        <v>0.19441984887968899</v>
      </c>
      <c r="J70" s="3408">
        <f t="shared" si="7"/>
        <v>1</v>
      </c>
      <c r="K70" s="3410">
        <f t="shared" si="8"/>
        <v>0</v>
      </c>
      <c r="L70" s="3408">
        <f t="shared" si="9"/>
        <v>1</v>
      </c>
      <c r="M70" s="3410">
        <f t="shared" si="10"/>
        <v>0</v>
      </c>
      <c r="N70" s="3408">
        <f t="shared" si="11"/>
        <v>1</v>
      </c>
      <c r="O70" s="3410">
        <f t="shared" si="12"/>
        <v>0</v>
      </c>
    </row>
    <row r="71" spans="1:15" ht="13.5" customHeight="1">
      <c r="A71" s="623"/>
      <c r="B71" s="714">
        <v>2045</v>
      </c>
      <c r="C71" s="624"/>
      <c r="D71" s="3408">
        <v>0.36135885818438346</v>
      </c>
      <c r="E71" s="3409">
        <v>0.23743088332750559</v>
      </c>
      <c r="F71" s="3410">
        <v>0.40121025848811093</v>
      </c>
      <c r="G71" s="3408">
        <v>6.5502488365779508E-3</v>
      </c>
      <c r="H71" s="3409">
        <v>0.78957680146839515</v>
      </c>
      <c r="I71" s="3410">
        <v>0.20387294969502698</v>
      </c>
      <c r="J71" s="3408">
        <f t="shared" si="7"/>
        <v>1</v>
      </c>
      <c r="K71" s="3410">
        <f t="shared" si="8"/>
        <v>0</v>
      </c>
      <c r="L71" s="3408">
        <f t="shared" si="9"/>
        <v>1</v>
      </c>
      <c r="M71" s="3410">
        <f t="shared" si="10"/>
        <v>0</v>
      </c>
      <c r="N71" s="3408">
        <f t="shared" si="11"/>
        <v>1</v>
      </c>
      <c r="O71" s="3410">
        <f t="shared" si="12"/>
        <v>0</v>
      </c>
    </row>
    <row r="72" spans="1:15" ht="13.5" customHeight="1">
      <c r="A72" s="623"/>
      <c r="B72" s="714">
        <v>2046</v>
      </c>
      <c r="C72" s="624"/>
      <c r="D72" s="3408">
        <v>0.35400838259016887</v>
      </c>
      <c r="E72" s="3409">
        <v>0.23236083911652969</v>
      </c>
      <c r="F72" s="3410">
        <v>0.41363077829330158</v>
      </c>
      <c r="G72" s="3408">
        <v>6.4528605171747157E-3</v>
      </c>
      <c r="H72" s="3409">
        <v>0.78022280985199122</v>
      </c>
      <c r="I72" s="3410">
        <v>0.21332432963083392</v>
      </c>
      <c r="J72" s="3408">
        <f t="shared" si="7"/>
        <v>1</v>
      </c>
      <c r="K72" s="3410">
        <f t="shared" si="8"/>
        <v>0</v>
      </c>
      <c r="L72" s="3408">
        <f t="shared" si="9"/>
        <v>1</v>
      </c>
      <c r="M72" s="3410">
        <f t="shared" si="10"/>
        <v>0</v>
      </c>
      <c r="N72" s="3408">
        <f t="shared" si="11"/>
        <v>1</v>
      </c>
      <c r="O72" s="3410">
        <f t="shared" si="12"/>
        <v>0</v>
      </c>
    </row>
    <row r="73" spans="1:15" ht="13.5" customHeight="1">
      <c r="A73" s="623"/>
      <c r="B73" s="714">
        <v>2047</v>
      </c>
      <c r="C73" s="624"/>
      <c r="D73" s="3408">
        <v>0.34678169642598944</v>
      </c>
      <c r="E73" s="3409">
        <v>0.22744542898295331</v>
      </c>
      <c r="F73" s="3410">
        <v>0.42577287459105717</v>
      </c>
      <c r="G73" s="3408">
        <v>6.3558495781344884E-3</v>
      </c>
      <c r="H73" s="3409">
        <v>0.77087296900648461</v>
      </c>
      <c r="I73" s="3410">
        <v>0.22277118141538085</v>
      </c>
      <c r="J73" s="3408">
        <f t="shared" si="7"/>
        <v>1</v>
      </c>
      <c r="K73" s="3410">
        <f t="shared" si="8"/>
        <v>0</v>
      </c>
      <c r="L73" s="3408">
        <f t="shared" si="9"/>
        <v>1</v>
      </c>
      <c r="M73" s="3410">
        <f t="shared" si="10"/>
        <v>0</v>
      </c>
      <c r="N73" s="3408">
        <f t="shared" si="11"/>
        <v>1</v>
      </c>
      <c r="O73" s="3410">
        <f t="shared" si="12"/>
        <v>0</v>
      </c>
    </row>
    <row r="74" spans="1:15" ht="13.5" customHeight="1">
      <c r="A74" s="623"/>
      <c r="B74" s="714">
        <v>2048</v>
      </c>
      <c r="C74" s="624"/>
      <c r="D74" s="3408">
        <v>0.33963585033438143</v>
      </c>
      <c r="E74" s="3409">
        <v>0.22263278734656272</v>
      </c>
      <c r="F74" s="3410">
        <v>0.43773136231905579</v>
      </c>
      <c r="G74" s="3408">
        <v>6.2609866360668611E-3</v>
      </c>
      <c r="H74" s="3409">
        <v>0.7616847392550723</v>
      </c>
      <c r="I74" s="3410">
        <v>0.23205427410886084</v>
      </c>
      <c r="J74" s="3408">
        <f t="shared" si="7"/>
        <v>1</v>
      </c>
      <c r="K74" s="3410">
        <f t="shared" si="8"/>
        <v>0</v>
      </c>
      <c r="L74" s="3408">
        <f t="shared" si="9"/>
        <v>1</v>
      </c>
      <c r="M74" s="3410">
        <f t="shared" si="10"/>
        <v>0</v>
      </c>
      <c r="N74" s="3408">
        <f t="shared" si="11"/>
        <v>1</v>
      </c>
      <c r="O74" s="3410">
        <f t="shared" si="12"/>
        <v>0</v>
      </c>
    </row>
    <row r="75" spans="1:15" ht="13.5" customHeight="1">
      <c r="A75" s="623"/>
      <c r="B75" s="714">
        <v>2049</v>
      </c>
      <c r="C75" s="624"/>
      <c r="D75" s="3408">
        <v>0.33279654244894563</v>
      </c>
      <c r="E75" s="3409">
        <v>0.21807598061650554</v>
      </c>
      <c r="F75" s="3410">
        <v>0.44912747693454891</v>
      </c>
      <c r="G75" s="3408">
        <v>6.1672832504168443E-3</v>
      </c>
      <c r="H75" s="3409">
        <v>0.75260575814044417</v>
      </c>
      <c r="I75" s="3410">
        <v>0.24122695860913895</v>
      </c>
      <c r="J75" s="3408">
        <f t="shared" si="7"/>
        <v>1</v>
      </c>
      <c r="K75" s="3410">
        <f t="shared" si="8"/>
        <v>0</v>
      </c>
      <c r="L75" s="3408">
        <f t="shared" si="9"/>
        <v>1</v>
      </c>
      <c r="M75" s="3410">
        <f t="shared" si="10"/>
        <v>0</v>
      </c>
      <c r="N75" s="3408">
        <f t="shared" si="11"/>
        <v>1</v>
      </c>
      <c r="O75" s="3410">
        <f t="shared" si="12"/>
        <v>0</v>
      </c>
    </row>
    <row r="76" spans="1:15" ht="13.5" customHeight="1">
      <c r="A76" s="623"/>
      <c r="B76" s="714">
        <v>2050</v>
      </c>
      <c r="C76" s="624"/>
      <c r="D76" s="3408">
        <v>0.32613086684001974</v>
      </c>
      <c r="E76" s="3409">
        <v>0.213637365371944</v>
      </c>
      <c r="F76" s="3410">
        <v>0.46023176778803621</v>
      </c>
      <c r="G76" s="3408">
        <v>6.0738678877635495E-3</v>
      </c>
      <c r="H76" s="3409">
        <v>0.74366794784180978</v>
      </c>
      <c r="I76" s="3410">
        <v>0.25025818427042673</v>
      </c>
      <c r="J76" s="3408">
        <f t="shared" si="7"/>
        <v>1</v>
      </c>
      <c r="K76" s="3410">
        <f t="shared" si="8"/>
        <v>0</v>
      </c>
      <c r="L76" s="3408">
        <f t="shared" si="9"/>
        <v>1</v>
      </c>
      <c r="M76" s="3410">
        <f t="shared" si="10"/>
        <v>0</v>
      </c>
      <c r="N76" s="3408">
        <f t="shared" si="11"/>
        <v>1</v>
      </c>
      <c r="O76" s="3410">
        <f t="shared" si="12"/>
        <v>0</v>
      </c>
    </row>
    <row r="77" spans="1:15" ht="13.5" customHeight="1">
      <c r="A77" s="623"/>
      <c r="B77" s="714">
        <v>2051</v>
      </c>
      <c r="C77" s="624"/>
      <c r="D77" s="3411">
        <f>D76</f>
        <v>0.32613086684001974</v>
      </c>
      <c r="E77" s="3412">
        <f>E76</f>
        <v>0.213637365371944</v>
      </c>
      <c r="F77" s="3413">
        <f>F76</f>
        <v>0.46023176778803621</v>
      </c>
      <c r="G77" s="3411">
        <f t="shared" ref="G77:G126" si="13">G76</f>
        <v>6.0738678877635495E-3</v>
      </c>
      <c r="H77" s="3412">
        <f t="shared" ref="H77:H126" si="14">H76</f>
        <v>0.74366794784180978</v>
      </c>
      <c r="I77" s="3413">
        <f t="shared" ref="I77:I126" si="15">I76</f>
        <v>0.25025818427042673</v>
      </c>
      <c r="J77" s="3411">
        <f t="shared" si="7"/>
        <v>1</v>
      </c>
      <c r="K77" s="3413">
        <f t="shared" si="8"/>
        <v>0</v>
      </c>
      <c r="L77" s="3411">
        <f t="shared" si="9"/>
        <v>1</v>
      </c>
      <c r="M77" s="3413">
        <f t="shared" si="10"/>
        <v>0</v>
      </c>
      <c r="N77" s="3411">
        <f t="shared" si="11"/>
        <v>1</v>
      </c>
      <c r="O77" s="3413">
        <f t="shared" si="12"/>
        <v>0</v>
      </c>
    </row>
    <row r="78" spans="1:15" ht="13.5" customHeight="1">
      <c r="A78" s="623"/>
      <c r="B78" s="714">
        <v>2052</v>
      </c>
      <c r="C78" s="624"/>
      <c r="D78" s="3411">
        <f t="shared" ref="D78:D126" si="16">D77</f>
        <v>0.32613086684001974</v>
      </c>
      <c r="E78" s="3412">
        <f t="shared" ref="E78:E126" si="17">E77</f>
        <v>0.213637365371944</v>
      </c>
      <c r="F78" s="3413">
        <f t="shared" ref="F78:F126" si="18">F77</f>
        <v>0.46023176778803621</v>
      </c>
      <c r="G78" s="3411">
        <f t="shared" si="13"/>
        <v>6.0738678877635495E-3</v>
      </c>
      <c r="H78" s="3412">
        <f t="shared" si="14"/>
        <v>0.74366794784180978</v>
      </c>
      <c r="I78" s="3413">
        <f t="shared" si="15"/>
        <v>0.25025818427042673</v>
      </c>
      <c r="J78" s="3411">
        <f t="shared" si="7"/>
        <v>1</v>
      </c>
      <c r="K78" s="3413">
        <f t="shared" si="8"/>
        <v>0</v>
      </c>
      <c r="L78" s="3411">
        <f t="shared" si="9"/>
        <v>1</v>
      </c>
      <c r="M78" s="3413">
        <f t="shared" si="10"/>
        <v>0</v>
      </c>
      <c r="N78" s="3411">
        <f t="shared" si="11"/>
        <v>1</v>
      </c>
      <c r="O78" s="3413">
        <f t="shared" si="12"/>
        <v>0</v>
      </c>
    </row>
    <row r="79" spans="1:15" ht="13.5" customHeight="1">
      <c r="A79" s="623"/>
      <c r="B79" s="714">
        <v>2053</v>
      </c>
      <c r="C79" s="624"/>
      <c r="D79" s="3411">
        <f t="shared" si="16"/>
        <v>0.32613086684001974</v>
      </c>
      <c r="E79" s="3412">
        <f t="shared" si="17"/>
        <v>0.213637365371944</v>
      </c>
      <c r="F79" s="3413">
        <f t="shared" si="18"/>
        <v>0.46023176778803621</v>
      </c>
      <c r="G79" s="3411">
        <f t="shared" si="13"/>
        <v>6.0738678877635495E-3</v>
      </c>
      <c r="H79" s="3412">
        <f t="shared" si="14"/>
        <v>0.74366794784180978</v>
      </c>
      <c r="I79" s="3413">
        <f t="shared" si="15"/>
        <v>0.25025818427042673</v>
      </c>
      <c r="J79" s="3411">
        <f t="shared" si="7"/>
        <v>1</v>
      </c>
      <c r="K79" s="3413">
        <f t="shared" si="8"/>
        <v>0</v>
      </c>
      <c r="L79" s="3411">
        <f t="shared" si="9"/>
        <v>1</v>
      </c>
      <c r="M79" s="3413">
        <f t="shared" si="10"/>
        <v>0</v>
      </c>
      <c r="N79" s="3411">
        <f t="shared" si="11"/>
        <v>1</v>
      </c>
      <c r="O79" s="3413">
        <f t="shared" si="12"/>
        <v>0</v>
      </c>
    </row>
    <row r="80" spans="1:15" ht="13.5" customHeight="1">
      <c r="A80" s="623"/>
      <c r="B80" s="714">
        <v>2054</v>
      </c>
      <c r="C80" s="624"/>
      <c r="D80" s="3411">
        <f t="shared" si="16"/>
        <v>0.32613086684001974</v>
      </c>
      <c r="E80" s="3412">
        <f t="shared" si="17"/>
        <v>0.213637365371944</v>
      </c>
      <c r="F80" s="3413">
        <f t="shared" si="18"/>
        <v>0.46023176778803621</v>
      </c>
      <c r="G80" s="3411">
        <f t="shared" si="13"/>
        <v>6.0738678877635495E-3</v>
      </c>
      <c r="H80" s="3412">
        <f t="shared" si="14"/>
        <v>0.74366794784180978</v>
      </c>
      <c r="I80" s="3413">
        <f t="shared" si="15"/>
        <v>0.25025818427042673</v>
      </c>
      <c r="J80" s="3411">
        <f t="shared" si="7"/>
        <v>1</v>
      </c>
      <c r="K80" s="3413">
        <f t="shared" si="8"/>
        <v>0</v>
      </c>
      <c r="L80" s="3411">
        <f t="shared" si="9"/>
        <v>1</v>
      </c>
      <c r="M80" s="3413">
        <f t="shared" si="10"/>
        <v>0</v>
      </c>
      <c r="N80" s="3411">
        <f t="shared" si="11"/>
        <v>1</v>
      </c>
      <c r="O80" s="3413">
        <f t="shared" si="12"/>
        <v>0</v>
      </c>
    </row>
    <row r="81" spans="1:15" ht="13.5" customHeight="1">
      <c r="A81" s="623"/>
      <c r="B81" s="714">
        <v>2055</v>
      </c>
      <c r="C81" s="624"/>
      <c r="D81" s="3411">
        <f t="shared" si="16"/>
        <v>0.32613086684001974</v>
      </c>
      <c r="E81" s="3412">
        <f t="shared" si="17"/>
        <v>0.213637365371944</v>
      </c>
      <c r="F81" s="3413">
        <f t="shared" si="18"/>
        <v>0.46023176778803621</v>
      </c>
      <c r="G81" s="3411">
        <f t="shared" si="13"/>
        <v>6.0738678877635495E-3</v>
      </c>
      <c r="H81" s="3412">
        <f t="shared" si="14"/>
        <v>0.74366794784180978</v>
      </c>
      <c r="I81" s="3413">
        <f t="shared" si="15"/>
        <v>0.25025818427042673</v>
      </c>
      <c r="J81" s="3411">
        <f t="shared" si="7"/>
        <v>1</v>
      </c>
      <c r="K81" s="3413">
        <f t="shared" si="8"/>
        <v>0</v>
      </c>
      <c r="L81" s="3411">
        <f t="shared" si="9"/>
        <v>1</v>
      </c>
      <c r="M81" s="3413">
        <f t="shared" si="10"/>
        <v>0</v>
      </c>
      <c r="N81" s="3411">
        <f t="shared" si="11"/>
        <v>1</v>
      </c>
      <c r="O81" s="3413">
        <f t="shared" si="12"/>
        <v>0</v>
      </c>
    </row>
    <row r="82" spans="1:15" ht="13.5" customHeight="1">
      <c r="A82" s="623"/>
      <c r="B82" s="714">
        <v>2056</v>
      </c>
      <c r="C82" s="624"/>
      <c r="D82" s="3411">
        <f t="shared" si="16"/>
        <v>0.32613086684001974</v>
      </c>
      <c r="E82" s="3412">
        <f t="shared" si="17"/>
        <v>0.213637365371944</v>
      </c>
      <c r="F82" s="3413">
        <f t="shared" si="18"/>
        <v>0.46023176778803621</v>
      </c>
      <c r="G82" s="3411">
        <f t="shared" si="13"/>
        <v>6.0738678877635495E-3</v>
      </c>
      <c r="H82" s="3412">
        <f t="shared" si="14"/>
        <v>0.74366794784180978</v>
      </c>
      <c r="I82" s="3413">
        <f t="shared" si="15"/>
        <v>0.25025818427042673</v>
      </c>
      <c r="J82" s="3411">
        <f t="shared" si="7"/>
        <v>1</v>
      </c>
      <c r="K82" s="3413">
        <f t="shared" si="8"/>
        <v>0</v>
      </c>
      <c r="L82" s="3411">
        <f t="shared" si="9"/>
        <v>1</v>
      </c>
      <c r="M82" s="3413">
        <f t="shared" si="10"/>
        <v>0</v>
      </c>
      <c r="N82" s="3411">
        <f t="shared" si="11"/>
        <v>1</v>
      </c>
      <c r="O82" s="3413">
        <f t="shared" si="12"/>
        <v>0</v>
      </c>
    </row>
    <row r="83" spans="1:15" ht="13.5" customHeight="1">
      <c r="A83" s="623"/>
      <c r="B83" s="714">
        <v>2057</v>
      </c>
      <c r="C83" s="624"/>
      <c r="D83" s="3411">
        <f t="shared" si="16"/>
        <v>0.32613086684001974</v>
      </c>
      <c r="E83" s="3412">
        <f t="shared" si="17"/>
        <v>0.213637365371944</v>
      </c>
      <c r="F83" s="3413">
        <f t="shared" si="18"/>
        <v>0.46023176778803621</v>
      </c>
      <c r="G83" s="3411">
        <f t="shared" si="13"/>
        <v>6.0738678877635495E-3</v>
      </c>
      <c r="H83" s="3412">
        <f t="shared" si="14"/>
        <v>0.74366794784180978</v>
      </c>
      <c r="I83" s="3413">
        <f t="shared" si="15"/>
        <v>0.25025818427042673</v>
      </c>
      <c r="J83" s="3411">
        <f t="shared" si="7"/>
        <v>1</v>
      </c>
      <c r="K83" s="3413">
        <f t="shared" si="8"/>
        <v>0</v>
      </c>
      <c r="L83" s="3411">
        <f t="shared" si="9"/>
        <v>1</v>
      </c>
      <c r="M83" s="3413">
        <f t="shared" si="10"/>
        <v>0</v>
      </c>
      <c r="N83" s="3411">
        <f t="shared" si="11"/>
        <v>1</v>
      </c>
      <c r="O83" s="3413">
        <f t="shared" si="12"/>
        <v>0</v>
      </c>
    </row>
    <row r="84" spans="1:15" ht="13.5" customHeight="1">
      <c r="A84" s="623"/>
      <c r="B84" s="714">
        <v>2058</v>
      </c>
      <c r="C84" s="624"/>
      <c r="D84" s="3411">
        <f t="shared" si="16"/>
        <v>0.32613086684001974</v>
      </c>
      <c r="E84" s="3412">
        <f t="shared" si="17"/>
        <v>0.213637365371944</v>
      </c>
      <c r="F84" s="3413">
        <f t="shared" si="18"/>
        <v>0.46023176778803621</v>
      </c>
      <c r="G84" s="3411">
        <f t="shared" si="13"/>
        <v>6.0738678877635495E-3</v>
      </c>
      <c r="H84" s="3412">
        <f t="shared" si="14"/>
        <v>0.74366794784180978</v>
      </c>
      <c r="I84" s="3413">
        <f t="shared" si="15"/>
        <v>0.25025818427042673</v>
      </c>
      <c r="J84" s="3411">
        <f t="shared" si="7"/>
        <v>1</v>
      </c>
      <c r="K84" s="3413">
        <f t="shared" si="8"/>
        <v>0</v>
      </c>
      <c r="L84" s="3411">
        <f t="shared" si="9"/>
        <v>1</v>
      </c>
      <c r="M84" s="3413">
        <f t="shared" si="10"/>
        <v>0</v>
      </c>
      <c r="N84" s="3411">
        <f t="shared" si="11"/>
        <v>1</v>
      </c>
      <c r="O84" s="3413">
        <f t="shared" si="12"/>
        <v>0</v>
      </c>
    </row>
    <row r="85" spans="1:15" ht="13.5" customHeight="1">
      <c r="A85" s="623"/>
      <c r="B85" s="714">
        <v>2059</v>
      </c>
      <c r="C85" s="624"/>
      <c r="D85" s="3411">
        <f t="shared" si="16"/>
        <v>0.32613086684001974</v>
      </c>
      <c r="E85" s="3412">
        <f t="shared" si="17"/>
        <v>0.213637365371944</v>
      </c>
      <c r="F85" s="3413">
        <f t="shared" si="18"/>
        <v>0.46023176778803621</v>
      </c>
      <c r="G85" s="3411">
        <f t="shared" si="13"/>
        <v>6.0738678877635495E-3</v>
      </c>
      <c r="H85" s="3412">
        <f t="shared" si="14"/>
        <v>0.74366794784180978</v>
      </c>
      <c r="I85" s="3413">
        <f t="shared" si="15"/>
        <v>0.25025818427042673</v>
      </c>
      <c r="J85" s="3411">
        <f t="shared" si="7"/>
        <v>1</v>
      </c>
      <c r="K85" s="3413">
        <f t="shared" si="8"/>
        <v>0</v>
      </c>
      <c r="L85" s="3411">
        <f t="shared" si="9"/>
        <v>1</v>
      </c>
      <c r="M85" s="3413">
        <f t="shared" si="10"/>
        <v>0</v>
      </c>
      <c r="N85" s="3411">
        <f t="shared" si="11"/>
        <v>1</v>
      </c>
      <c r="O85" s="3413">
        <f t="shared" si="12"/>
        <v>0</v>
      </c>
    </row>
    <row r="86" spans="1:15" ht="13.5" customHeight="1">
      <c r="A86" s="623"/>
      <c r="B86" s="714">
        <v>2060</v>
      </c>
      <c r="C86" s="624"/>
      <c r="D86" s="3411">
        <f t="shared" si="16"/>
        <v>0.32613086684001974</v>
      </c>
      <c r="E86" s="3412">
        <f t="shared" si="17"/>
        <v>0.213637365371944</v>
      </c>
      <c r="F86" s="3413">
        <f t="shared" si="18"/>
        <v>0.46023176778803621</v>
      </c>
      <c r="G86" s="3411">
        <f t="shared" si="13"/>
        <v>6.0738678877635495E-3</v>
      </c>
      <c r="H86" s="3412">
        <f t="shared" si="14"/>
        <v>0.74366794784180978</v>
      </c>
      <c r="I86" s="3413">
        <f t="shared" si="15"/>
        <v>0.25025818427042673</v>
      </c>
      <c r="J86" s="3411">
        <f t="shared" si="7"/>
        <v>1</v>
      </c>
      <c r="K86" s="3413">
        <f t="shared" si="8"/>
        <v>0</v>
      </c>
      <c r="L86" s="3411">
        <f t="shared" si="9"/>
        <v>1</v>
      </c>
      <c r="M86" s="3413">
        <f t="shared" si="10"/>
        <v>0</v>
      </c>
      <c r="N86" s="3411">
        <f t="shared" si="11"/>
        <v>1</v>
      </c>
      <c r="O86" s="3413">
        <f t="shared" si="12"/>
        <v>0</v>
      </c>
    </row>
    <row r="87" spans="1:15" ht="13.5" customHeight="1">
      <c r="A87" s="623"/>
      <c r="B87" s="714">
        <v>2061</v>
      </c>
      <c r="C87" s="624"/>
      <c r="D87" s="3411">
        <f t="shared" si="16"/>
        <v>0.32613086684001974</v>
      </c>
      <c r="E87" s="3412">
        <f t="shared" si="17"/>
        <v>0.213637365371944</v>
      </c>
      <c r="F87" s="3413">
        <f t="shared" si="18"/>
        <v>0.46023176778803621</v>
      </c>
      <c r="G87" s="3411">
        <f t="shared" si="13"/>
        <v>6.0738678877635495E-3</v>
      </c>
      <c r="H87" s="3412">
        <f t="shared" si="14"/>
        <v>0.74366794784180978</v>
      </c>
      <c r="I87" s="3413">
        <f t="shared" si="15"/>
        <v>0.25025818427042673</v>
      </c>
      <c r="J87" s="3411">
        <f t="shared" si="7"/>
        <v>1</v>
      </c>
      <c r="K87" s="3413">
        <f t="shared" si="8"/>
        <v>0</v>
      </c>
      <c r="L87" s="3411">
        <f t="shared" si="9"/>
        <v>1</v>
      </c>
      <c r="M87" s="3413">
        <f t="shared" si="10"/>
        <v>0</v>
      </c>
      <c r="N87" s="3411">
        <f t="shared" si="11"/>
        <v>1</v>
      </c>
      <c r="O87" s="3413">
        <f t="shared" si="12"/>
        <v>0</v>
      </c>
    </row>
    <row r="88" spans="1:15" ht="13.5" customHeight="1">
      <c r="A88" s="623"/>
      <c r="B88" s="714">
        <v>2062</v>
      </c>
      <c r="C88" s="624"/>
      <c r="D88" s="3411">
        <f t="shared" si="16"/>
        <v>0.32613086684001974</v>
      </c>
      <c r="E88" s="3412">
        <f t="shared" si="17"/>
        <v>0.213637365371944</v>
      </c>
      <c r="F88" s="3413">
        <f t="shared" si="18"/>
        <v>0.46023176778803621</v>
      </c>
      <c r="G88" s="3411">
        <f t="shared" si="13"/>
        <v>6.0738678877635495E-3</v>
      </c>
      <c r="H88" s="3412">
        <f t="shared" si="14"/>
        <v>0.74366794784180978</v>
      </c>
      <c r="I88" s="3413">
        <f t="shared" si="15"/>
        <v>0.25025818427042673</v>
      </c>
      <c r="J88" s="3411">
        <f t="shared" si="7"/>
        <v>1</v>
      </c>
      <c r="K88" s="3413">
        <f t="shared" si="8"/>
        <v>0</v>
      </c>
      <c r="L88" s="3411">
        <f t="shared" si="9"/>
        <v>1</v>
      </c>
      <c r="M88" s="3413">
        <f t="shared" si="10"/>
        <v>0</v>
      </c>
      <c r="N88" s="3411">
        <f t="shared" si="11"/>
        <v>1</v>
      </c>
      <c r="O88" s="3413">
        <f t="shared" si="12"/>
        <v>0</v>
      </c>
    </row>
    <row r="89" spans="1:15" ht="13.5" customHeight="1">
      <c r="A89" s="623"/>
      <c r="B89" s="714">
        <v>2063</v>
      </c>
      <c r="C89" s="624"/>
      <c r="D89" s="3411">
        <f t="shared" si="16"/>
        <v>0.32613086684001974</v>
      </c>
      <c r="E89" s="3412">
        <f t="shared" si="17"/>
        <v>0.213637365371944</v>
      </c>
      <c r="F89" s="3413">
        <f t="shared" si="18"/>
        <v>0.46023176778803621</v>
      </c>
      <c r="G89" s="3411">
        <f t="shared" si="13"/>
        <v>6.0738678877635495E-3</v>
      </c>
      <c r="H89" s="3412">
        <f t="shared" si="14"/>
        <v>0.74366794784180978</v>
      </c>
      <c r="I89" s="3413">
        <f t="shared" si="15"/>
        <v>0.25025818427042673</v>
      </c>
      <c r="J89" s="3411">
        <f t="shared" si="7"/>
        <v>1</v>
      </c>
      <c r="K89" s="3413">
        <f t="shared" si="8"/>
        <v>0</v>
      </c>
      <c r="L89" s="3411">
        <f t="shared" si="9"/>
        <v>1</v>
      </c>
      <c r="M89" s="3413">
        <f t="shared" si="10"/>
        <v>0</v>
      </c>
      <c r="N89" s="3411">
        <f t="shared" si="11"/>
        <v>1</v>
      </c>
      <c r="O89" s="3413">
        <f t="shared" si="12"/>
        <v>0</v>
      </c>
    </row>
    <row r="90" spans="1:15" ht="13.5" customHeight="1">
      <c r="A90" s="623"/>
      <c r="B90" s="714">
        <v>2064</v>
      </c>
      <c r="C90" s="624"/>
      <c r="D90" s="3411">
        <f t="shared" si="16"/>
        <v>0.32613086684001974</v>
      </c>
      <c r="E90" s="3412">
        <f t="shared" si="17"/>
        <v>0.213637365371944</v>
      </c>
      <c r="F90" s="3413">
        <f t="shared" si="18"/>
        <v>0.46023176778803621</v>
      </c>
      <c r="G90" s="3411">
        <f t="shared" si="13"/>
        <v>6.0738678877635495E-3</v>
      </c>
      <c r="H90" s="3412">
        <f t="shared" si="14"/>
        <v>0.74366794784180978</v>
      </c>
      <c r="I90" s="3413">
        <f t="shared" si="15"/>
        <v>0.25025818427042673</v>
      </c>
      <c r="J90" s="3411">
        <f t="shared" si="7"/>
        <v>1</v>
      </c>
      <c r="K90" s="3413">
        <f t="shared" si="8"/>
        <v>0</v>
      </c>
      <c r="L90" s="3411">
        <f t="shared" si="9"/>
        <v>1</v>
      </c>
      <c r="M90" s="3413">
        <f t="shared" si="10"/>
        <v>0</v>
      </c>
      <c r="N90" s="3411">
        <f t="shared" si="11"/>
        <v>1</v>
      </c>
      <c r="O90" s="3413">
        <f t="shared" si="12"/>
        <v>0</v>
      </c>
    </row>
    <row r="91" spans="1:15" ht="13.5" customHeight="1">
      <c r="A91" s="623"/>
      <c r="B91" s="714">
        <v>2065</v>
      </c>
      <c r="C91" s="624"/>
      <c r="D91" s="3411">
        <f t="shared" si="16"/>
        <v>0.32613086684001974</v>
      </c>
      <c r="E91" s="3412">
        <f t="shared" si="17"/>
        <v>0.213637365371944</v>
      </c>
      <c r="F91" s="3413">
        <f t="shared" si="18"/>
        <v>0.46023176778803621</v>
      </c>
      <c r="G91" s="3411">
        <f t="shared" si="13"/>
        <v>6.0738678877635495E-3</v>
      </c>
      <c r="H91" s="3412">
        <f t="shared" si="14"/>
        <v>0.74366794784180978</v>
      </c>
      <c r="I91" s="3413">
        <f t="shared" si="15"/>
        <v>0.25025818427042673</v>
      </c>
      <c r="J91" s="3411">
        <f t="shared" si="7"/>
        <v>1</v>
      </c>
      <c r="K91" s="3413">
        <f t="shared" si="8"/>
        <v>0</v>
      </c>
      <c r="L91" s="3411">
        <f t="shared" si="9"/>
        <v>1</v>
      </c>
      <c r="M91" s="3413">
        <f t="shared" si="10"/>
        <v>0</v>
      </c>
      <c r="N91" s="3411">
        <f t="shared" si="11"/>
        <v>1</v>
      </c>
      <c r="O91" s="3413">
        <f t="shared" si="12"/>
        <v>0</v>
      </c>
    </row>
    <row r="92" spans="1:15" ht="13.5" customHeight="1">
      <c r="A92" s="623"/>
      <c r="B92" s="714">
        <v>2066</v>
      </c>
      <c r="C92" s="624"/>
      <c r="D92" s="3411">
        <f t="shared" si="16"/>
        <v>0.32613086684001974</v>
      </c>
      <c r="E92" s="3412">
        <f t="shared" si="17"/>
        <v>0.213637365371944</v>
      </c>
      <c r="F92" s="3413">
        <f t="shared" si="18"/>
        <v>0.46023176778803621</v>
      </c>
      <c r="G92" s="3411">
        <f t="shared" si="13"/>
        <v>6.0738678877635495E-3</v>
      </c>
      <c r="H92" s="3412">
        <f t="shared" si="14"/>
        <v>0.74366794784180978</v>
      </c>
      <c r="I92" s="3413">
        <f t="shared" si="15"/>
        <v>0.25025818427042673</v>
      </c>
      <c r="J92" s="3411">
        <f t="shared" si="7"/>
        <v>1</v>
      </c>
      <c r="K92" s="3413">
        <f t="shared" si="8"/>
        <v>0</v>
      </c>
      <c r="L92" s="3411">
        <f t="shared" si="9"/>
        <v>1</v>
      </c>
      <c r="M92" s="3413">
        <f t="shared" si="10"/>
        <v>0</v>
      </c>
      <c r="N92" s="3411">
        <f t="shared" si="11"/>
        <v>1</v>
      </c>
      <c r="O92" s="3413">
        <f t="shared" si="12"/>
        <v>0</v>
      </c>
    </row>
    <row r="93" spans="1:15" ht="13.5" customHeight="1">
      <c r="A93" s="623"/>
      <c r="B93" s="714">
        <v>2067</v>
      </c>
      <c r="C93" s="624"/>
      <c r="D93" s="3411">
        <f t="shared" si="16"/>
        <v>0.32613086684001974</v>
      </c>
      <c r="E93" s="3412">
        <f t="shared" si="17"/>
        <v>0.213637365371944</v>
      </c>
      <c r="F93" s="3413">
        <f t="shared" si="18"/>
        <v>0.46023176778803621</v>
      </c>
      <c r="G93" s="3411">
        <f t="shared" si="13"/>
        <v>6.0738678877635495E-3</v>
      </c>
      <c r="H93" s="3412">
        <f t="shared" si="14"/>
        <v>0.74366794784180978</v>
      </c>
      <c r="I93" s="3413">
        <f t="shared" si="15"/>
        <v>0.25025818427042673</v>
      </c>
      <c r="J93" s="3411">
        <f t="shared" si="7"/>
        <v>1</v>
      </c>
      <c r="K93" s="3413">
        <f t="shared" si="8"/>
        <v>0</v>
      </c>
      <c r="L93" s="3411">
        <f t="shared" si="9"/>
        <v>1</v>
      </c>
      <c r="M93" s="3413">
        <f t="shared" si="10"/>
        <v>0</v>
      </c>
      <c r="N93" s="3411">
        <f t="shared" si="11"/>
        <v>1</v>
      </c>
      <c r="O93" s="3413">
        <f t="shared" si="12"/>
        <v>0</v>
      </c>
    </row>
    <row r="94" spans="1:15" ht="13.5" customHeight="1">
      <c r="A94" s="623"/>
      <c r="B94" s="714">
        <v>2068</v>
      </c>
      <c r="C94" s="624"/>
      <c r="D94" s="3411">
        <f t="shared" si="16"/>
        <v>0.32613086684001974</v>
      </c>
      <c r="E94" s="3412">
        <f t="shared" si="17"/>
        <v>0.213637365371944</v>
      </c>
      <c r="F94" s="3413">
        <f t="shared" si="18"/>
        <v>0.46023176778803621</v>
      </c>
      <c r="G94" s="3411">
        <f t="shared" si="13"/>
        <v>6.0738678877635495E-3</v>
      </c>
      <c r="H94" s="3412">
        <f t="shared" si="14"/>
        <v>0.74366794784180978</v>
      </c>
      <c r="I94" s="3413">
        <f t="shared" si="15"/>
        <v>0.25025818427042673</v>
      </c>
      <c r="J94" s="3411">
        <f t="shared" si="7"/>
        <v>1</v>
      </c>
      <c r="K94" s="3413">
        <f t="shared" si="8"/>
        <v>0</v>
      </c>
      <c r="L94" s="3411">
        <f t="shared" si="9"/>
        <v>1</v>
      </c>
      <c r="M94" s="3413">
        <f t="shared" si="10"/>
        <v>0</v>
      </c>
      <c r="N94" s="3411">
        <f t="shared" si="11"/>
        <v>1</v>
      </c>
      <c r="O94" s="3413">
        <f t="shared" si="12"/>
        <v>0</v>
      </c>
    </row>
    <row r="95" spans="1:15" ht="13.5" customHeight="1">
      <c r="A95" s="623"/>
      <c r="B95" s="714">
        <v>2069</v>
      </c>
      <c r="C95" s="624"/>
      <c r="D95" s="3411">
        <f t="shared" si="16"/>
        <v>0.32613086684001974</v>
      </c>
      <c r="E95" s="3412">
        <f t="shared" si="17"/>
        <v>0.213637365371944</v>
      </c>
      <c r="F95" s="3413">
        <f t="shared" si="18"/>
        <v>0.46023176778803621</v>
      </c>
      <c r="G95" s="3411">
        <f t="shared" si="13"/>
        <v>6.0738678877635495E-3</v>
      </c>
      <c r="H95" s="3412">
        <f t="shared" si="14"/>
        <v>0.74366794784180978</v>
      </c>
      <c r="I95" s="3413">
        <f t="shared" si="15"/>
        <v>0.25025818427042673</v>
      </c>
      <c r="J95" s="3411">
        <f t="shared" si="7"/>
        <v>1</v>
      </c>
      <c r="K95" s="3413">
        <f t="shared" si="8"/>
        <v>0</v>
      </c>
      <c r="L95" s="3411">
        <f t="shared" si="9"/>
        <v>1</v>
      </c>
      <c r="M95" s="3413">
        <f t="shared" si="10"/>
        <v>0</v>
      </c>
      <c r="N95" s="3411">
        <f t="shared" si="11"/>
        <v>1</v>
      </c>
      <c r="O95" s="3413">
        <f t="shared" si="12"/>
        <v>0</v>
      </c>
    </row>
    <row r="96" spans="1:15" ht="13.5" customHeight="1">
      <c r="A96" s="623"/>
      <c r="B96" s="714">
        <v>2070</v>
      </c>
      <c r="C96" s="624"/>
      <c r="D96" s="3411">
        <f t="shared" si="16"/>
        <v>0.32613086684001974</v>
      </c>
      <c r="E96" s="3412">
        <f t="shared" si="17"/>
        <v>0.213637365371944</v>
      </c>
      <c r="F96" s="3413">
        <f t="shared" si="18"/>
        <v>0.46023176778803621</v>
      </c>
      <c r="G96" s="3411">
        <f t="shared" si="13"/>
        <v>6.0738678877635495E-3</v>
      </c>
      <c r="H96" s="3412">
        <f t="shared" si="14"/>
        <v>0.74366794784180978</v>
      </c>
      <c r="I96" s="3413">
        <f t="shared" si="15"/>
        <v>0.25025818427042673</v>
      </c>
      <c r="J96" s="3411">
        <f t="shared" si="7"/>
        <v>1</v>
      </c>
      <c r="K96" s="3413">
        <f t="shared" si="8"/>
        <v>0</v>
      </c>
      <c r="L96" s="3411">
        <f t="shared" si="9"/>
        <v>1</v>
      </c>
      <c r="M96" s="3413">
        <f t="shared" si="10"/>
        <v>0</v>
      </c>
      <c r="N96" s="3411">
        <f t="shared" si="11"/>
        <v>1</v>
      </c>
      <c r="O96" s="3413">
        <f t="shared" si="12"/>
        <v>0</v>
      </c>
    </row>
    <row r="97" spans="1:15" ht="13.5" customHeight="1">
      <c r="A97" s="623"/>
      <c r="B97" s="714">
        <v>2071</v>
      </c>
      <c r="C97" s="624"/>
      <c r="D97" s="3411">
        <f t="shared" si="16"/>
        <v>0.32613086684001974</v>
      </c>
      <c r="E97" s="3412">
        <f t="shared" si="17"/>
        <v>0.213637365371944</v>
      </c>
      <c r="F97" s="3413">
        <f t="shared" si="18"/>
        <v>0.46023176778803621</v>
      </c>
      <c r="G97" s="3411">
        <f t="shared" si="13"/>
        <v>6.0738678877635495E-3</v>
      </c>
      <c r="H97" s="3412">
        <f t="shared" si="14"/>
        <v>0.74366794784180978</v>
      </c>
      <c r="I97" s="3413">
        <f t="shared" si="15"/>
        <v>0.25025818427042673</v>
      </c>
      <c r="J97" s="3411">
        <f t="shared" si="7"/>
        <v>1</v>
      </c>
      <c r="K97" s="3413">
        <f t="shared" si="8"/>
        <v>0</v>
      </c>
      <c r="L97" s="3411">
        <f t="shared" si="9"/>
        <v>1</v>
      </c>
      <c r="M97" s="3413">
        <f t="shared" si="10"/>
        <v>0</v>
      </c>
      <c r="N97" s="3411">
        <f t="shared" si="11"/>
        <v>1</v>
      </c>
      <c r="O97" s="3413">
        <f t="shared" si="12"/>
        <v>0</v>
      </c>
    </row>
    <row r="98" spans="1:15" ht="13.5" customHeight="1">
      <c r="A98" s="623"/>
      <c r="B98" s="714">
        <v>2072</v>
      </c>
      <c r="C98" s="624"/>
      <c r="D98" s="3411">
        <f t="shared" si="16"/>
        <v>0.32613086684001974</v>
      </c>
      <c r="E98" s="3412">
        <f t="shared" si="17"/>
        <v>0.213637365371944</v>
      </c>
      <c r="F98" s="3413">
        <f t="shared" si="18"/>
        <v>0.46023176778803621</v>
      </c>
      <c r="G98" s="3411">
        <f t="shared" si="13"/>
        <v>6.0738678877635495E-3</v>
      </c>
      <c r="H98" s="3412">
        <f t="shared" si="14"/>
        <v>0.74366794784180978</v>
      </c>
      <c r="I98" s="3413">
        <f t="shared" si="15"/>
        <v>0.25025818427042673</v>
      </c>
      <c r="J98" s="3411">
        <f t="shared" si="7"/>
        <v>1</v>
      </c>
      <c r="K98" s="3413">
        <f t="shared" si="8"/>
        <v>0</v>
      </c>
      <c r="L98" s="3411">
        <f t="shared" si="9"/>
        <v>1</v>
      </c>
      <c r="M98" s="3413">
        <f t="shared" si="10"/>
        <v>0</v>
      </c>
      <c r="N98" s="3411">
        <f t="shared" si="11"/>
        <v>1</v>
      </c>
      <c r="O98" s="3413">
        <f t="shared" si="12"/>
        <v>0</v>
      </c>
    </row>
    <row r="99" spans="1:15" ht="13.5" customHeight="1">
      <c r="A99" s="623"/>
      <c r="B99" s="714">
        <v>2073</v>
      </c>
      <c r="C99" s="624"/>
      <c r="D99" s="3411">
        <f t="shared" si="16"/>
        <v>0.32613086684001974</v>
      </c>
      <c r="E99" s="3412">
        <f t="shared" si="17"/>
        <v>0.213637365371944</v>
      </c>
      <c r="F99" s="3413">
        <f t="shared" si="18"/>
        <v>0.46023176778803621</v>
      </c>
      <c r="G99" s="3411">
        <f t="shared" si="13"/>
        <v>6.0738678877635495E-3</v>
      </c>
      <c r="H99" s="3412">
        <f t="shared" si="14"/>
        <v>0.74366794784180978</v>
      </c>
      <c r="I99" s="3413">
        <f t="shared" si="15"/>
        <v>0.25025818427042673</v>
      </c>
      <c r="J99" s="3411">
        <f t="shared" si="7"/>
        <v>1</v>
      </c>
      <c r="K99" s="3413">
        <f t="shared" si="8"/>
        <v>0</v>
      </c>
      <c r="L99" s="3411">
        <f t="shared" si="9"/>
        <v>1</v>
      </c>
      <c r="M99" s="3413">
        <f t="shared" si="10"/>
        <v>0</v>
      </c>
      <c r="N99" s="3411">
        <f t="shared" si="11"/>
        <v>1</v>
      </c>
      <c r="O99" s="3413">
        <f t="shared" si="12"/>
        <v>0</v>
      </c>
    </row>
    <row r="100" spans="1:15" ht="13.5" customHeight="1">
      <c r="A100" s="623"/>
      <c r="B100" s="714">
        <v>2074</v>
      </c>
      <c r="C100" s="624"/>
      <c r="D100" s="3411">
        <f t="shared" si="16"/>
        <v>0.32613086684001974</v>
      </c>
      <c r="E100" s="3412">
        <f t="shared" si="17"/>
        <v>0.213637365371944</v>
      </c>
      <c r="F100" s="3413">
        <f t="shared" si="18"/>
        <v>0.46023176778803621</v>
      </c>
      <c r="G100" s="3411">
        <f t="shared" si="13"/>
        <v>6.0738678877635495E-3</v>
      </c>
      <c r="H100" s="3412">
        <f t="shared" si="14"/>
        <v>0.74366794784180978</v>
      </c>
      <c r="I100" s="3413">
        <f t="shared" si="15"/>
        <v>0.25025818427042673</v>
      </c>
      <c r="J100" s="3411">
        <f t="shared" si="7"/>
        <v>1</v>
      </c>
      <c r="K100" s="3413">
        <f t="shared" si="8"/>
        <v>0</v>
      </c>
      <c r="L100" s="3411">
        <f t="shared" si="9"/>
        <v>1</v>
      </c>
      <c r="M100" s="3413">
        <f t="shared" si="10"/>
        <v>0</v>
      </c>
      <c r="N100" s="3411">
        <f t="shared" si="11"/>
        <v>1</v>
      </c>
      <c r="O100" s="3413">
        <f t="shared" si="12"/>
        <v>0</v>
      </c>
    </row>
    <row r="101" spans="1:15" ht="13.5" customHeight="1">
      <c r="A101" s="623"/>
      <c r="B101" s="714">
        <v>2075</v>
      </c>
      <c r="C101" s="624"/>
      <c r="D101" s="3411">
        <f t="shared" si="16"/>
        <v>0.32613086684001974</v>
      </c>
      <c r="E101" s="3412">
        <f t="shared" si="17"/>
        <v>0.213637365371944</v>
      </c>
      <c r="F101" s="3413">
        <f t="shared" si="18"/>
        <v>0.46023176778803621</v>
      </c>
      <c r="G101" s="3411">
        <f t="shared" si="13"/>
        <v>6.0738678877635495E-3</v>
      </c>
      <c r="H101" s="3412">
        <f t="shared" si="14"/>
        <v>0.74366794784180978</v>
      </c>
      <c r="I101" s="3413">
        <f t="shared" si="15"/>
        <v>0.25025818427042673</v>
      </c>
      <c r="J101" s="3411">
        <f t="shared" si="7"/>
        <v>1</v>
      </c>
      <c r="K101" s="3413">
        <f t="shared" si="8"/>
        <v>0</v>
      </c>
      <c r="L101" s="3411">
        <f t="shared" si="9"/>
        <v>1</v>
      </c>
      <c r="M101" s="3413">
        <f t="shared" si="10"/>
        <v>0</v>
      </c>
      <c r="N101" s="3411">
        <f t="shared" si="11"/>
        <v>1</v>
      </c>
      <c r="O101" s="3413">
        <f t="shared" si="12"/>
        <v>0</v>
      </c>
    </row>
    <row r="102" spans="1:15" ht="13.5" customHeight="1">
      <c r="A102" s="623"/>
      <c r="B102" s="714">
        <v>2076</v>
      </c>
      <c r="C102" s="624"/>
      <c r="D102" s="3411">
        <f t="shared" si="16"/>
        <v>0.32613086684001974</v>
      </c>
      <c r="E102" s="3412">
        <f t="shared" si="17"/>
        <v>0.213637365371944</v>
      </c>
      <c r="F102" s="3413">
        <f t="shared" si="18"/>
        <v>0.46023176778803621</v>
      </c>
      <c r="G102" s="3411">
        <f t="shared" si="13"/>
        <v>6.0738678877635495E-3</v>
      </c>
      <c r="H102" s="3412">
        <f t="shared" si="14"/>
        <v>0.74366794784180978</v>
      </c>
      <c r="I102" s="3413">
        <f t="shared" si="15"/>
        <v>0.25025818427042673</v>
      </c>
      <c r="J102" s="3411">
        <f t="shared" si="7"/>
        <v>1</v>
      </c>
      <c r="K102" s="3413">
        <f t="shared" si="8"/>
        <v>0</v>
      </c>
      <c r="L102" s="3411">
        <f t="shared" si="9"/>
        <v>1</v>
      </c>
      <c r="M102" s="3413">
        <f t="shared" si="10"/>
        <v>0</v>
      </c>
      <c r="N102" s="3411">
        <f t="shared" si="11"/>
        <v>1</v>
      </c>
      <c r="O102" s="3413">
        <f t="shared" si="12"/>
        <v>0</v>
      </c>
    </row>
    <row r="103" spans="1:15" ht="13.5" customHeight="1">
      <c r="A103" s="623"/>
      <c r="B103" s="714">
        <v>2077</v>
      </c>
      <c r="C103" s="624"/>
      <c r="D103" s="3411">
        <f t="shared" si="16"/>
        <v>0.32613086684001974</v>
      </c>
      <c r="E103" s="3412">
        <f t="shared" si="17"/>
        <v>0.213637365371944</v>
      </c>
      <c r="F103" s="3413">
        <f t="shared" si="18"/>
        <v>0.46023176778803621</v>
      </c>
      <c r="G103" s="3411">
        <f t="shared" si="13"/>
        <v>6.0738678877635495E-3</v>
      </c>
      <c r="H103" s="3412">
        <f t="shared" si="14"/>
        <v>0.74366794784180978</v>
      </c>
      <c r="I103" s="3413">
        <f t="shared" si="15"/>
        <v>0.25025818427042673</v>
      </c>
      <c r="J103" s="3411">
        <f t="shared" si="7"/>
        <v>1</v>
      </c>
      <c r="K103" s="3413">
        <f t="shared" si="8"/>
        <v>0</v>
      </c>
      <c r="L103" s="3411">
        <f t="shared" si="9"/>
        <v>1</v>
      </c>
      <c r="M103" s="3413">
        <f t="shared" si="10"/>
        <v>0</v>
      </c>
      <c r="N103" s="3411">
        <f t="shared" si="11"/>
        <v>1</v>
      </c>
      <c r="O103" s="3413">
        <f t="shared" si="12"/>
        <v>0</v>
      </c>
    </row>
    <row r="104" spans="1:15" ht="13.5" customHeight="1">
      <c r="A104" s="623"/>
      <c r="B104" s="714">
        <v>2078</v>
      </c>
      <c r="C104" s="624"/>
      <c r="D104" s="3411">
        <f t="shared" si="16"/>
        <v>0.32613086684001974</v>
      </c>
      <c r="E104" s="3412">
        <f t="shared" si="17"/>
        <v>0.213637365371944</v>
      </c>
      <c r="F104" s="3413">
        <f t="shared" si="18"/>
        <v>0.46023176778803621</v>
      </c>
      <c r="G104" s="3411">
        <f t="shared" si="13"/>
        <v>6.0738678877635495E-3</v>
      </c>
      <c r="H104" s="3412">
        <f t="shared" si="14"/>
        <v>0.74366794784180978</v>
      </c>
      <c r="I104" s="3413">
        <f t="shared" si="15"/>
        <v>0.25025818427042673</v>
      </c>
      <c r="J104" s="3411">
        <f t="shared" si="7"/>
        <v>1</v>
      </c>
      <c r="K104" s="3413">
        <f t="shared" si="8"/>
        <v>0</v>
      </c>
      <c r="L104" s="3411">
        <f t="shared" si="9"/>
        <v>1</v>
      </c>
      <c r="M104" s="3413">
        <f t="shared" si="10"/>
        <v>0</v>
      </c>
      <c r="N104" s="3411">
        <f t="shared" si="11"/>
        <v>1</v>
      </c>
      <c r="O104" s="3413">
        <f t="shared" si="12"/>
        <v>0</v>
      </c>
    </row>
    <row r="105" spans="1:15" ht="13.5" customHeight="1">
      <c r="A105" s="623"/>
      <c r="B105" s="714">
        <v>2079</v>
      </c>
      <c r="C105" s="624"/>
      <c r="D105" s="3411">
        <f t="shared" si="16"/>
        <v>0.32613086684001974</v>
      </c>
      <c r="E105" s="3412">
        <f t="shared" si="17"/>
        <v>0.213637365371944</v>
      </c>
      <c r="F105" s="3413">
        <f t="shared" si="18"/>
        <v>0.46023176778803621</v>
      </c>
      <c r="G105" s="3411">
        <f t="shared" si="13"/>
        <v>6.0738678877635495E-3</v>
      </c>
      <c r="H105" s="3412">
        <f t="shared" si="14"/>
        <v>0.74366794784180978</v>
      </c>
      <c r="I105" s="3413">
        <f t="shared" si="15"/>
        <v>0.25025818427042673</v>
      </c>
      <c r="J105" s="3411">
        <f t="shared" si="7"/>
        <v>1</v>
      </c>
      <c r="K105" s="3413">
        <f t="shared" si="8"/>
        <v>0</v>
      </c>
      <c r="L105" s="3411">
        <f t="shared" si="9"/>
        <v>1</v>
      </c>
      <c r="M105" s="3413">
        <f t="shared" si="10"/>
        <v>0</v>
      </c>
      <c r="N105" s="3411">
        <f t="shared" si="11"/>
        <v>1</v>
      </c>
      <c r="O105" s="3413">
        <f t="shared" si="12"/>
        <v>0</v>
      </c>
    </row>
    <row r="106" spans="1:15" ht="13.5" customHeight="1">
      <c r="A106" s="623"/>
      <c r="B106" s="714">
        <v>2080</v>
      </c>
      <c r="C106" s="624"/>
      <c r="D106" s="3411">
        <f t="shared" si="16"/>
        <v>0.32613086684001974</v>
      </c>
      <c r="E106" s="3412">
        <f t="shared" si="17"/>
        <v>0.213637365371944</v>
      </c>
      <c r="F106" s="3413">
        <f t="shared" si="18"/>
        <v>0.46023176778803621</v>
      </c>
      <c r="G106" s="3411">
        <f t="shared" si="13"/>
        <v>6.0738678877635495E-3</v>
      </c>
      <c r="H106" s="3412">
        <f t="shared" si="14"/>
        <v>0.74366794784180978</v>
      </c>
      <c r="I106" s="3413">
        <f t="shared" si="15"/>
        <v>0.25025818427042673</v>
      </c>
      <c r="J106" s="3411">
        <f t="shared" si="7"/>
        <v>1</v>
      </c>
      <c r="K106" s="3413">
        <f t="shared" si="8"/>
        <v>0</v>
      </c>
      <c r="L106" s="3411">
        <f t="shared" si="9"/>
        <v>1</v>
      </c>
      <c r="M106" s="3413">
        <f t="shared" si="10"/>
        <v>0</v>
      </c>
      <c r="N106" s="3411">
        <f t="shared" si="11"/>
        <v>1</v>
      </c>
      <c r="O106" s="3413">
        <f t="shared" si="12"/>
        <v>0</v>
      </c>
    </row>
    <row r="107" spans="1:15" ht="13.5" customHeight="1">
      <c r="A107" s="623"/>
      <c r="B107" s="714">
        <v>2081</v>
      </c>
      <c r="C107" s="624"/>
      <c r="D107" s="3411">
        <f t="shared" si="16"/>
        <v>0.32613086684001974</v>
      </c>
      <c r="E107" s="3412">
        <f t="shared" si="17"/>
        <v>0.213637365371944</v>
      </c>
      <c r="F107" s="3413">
        <f t="shared" si="18"/>
        <v>0.46023176778803621</v>
      </c>
      <c r="G107" s="3411">
        <f t="shared" si="13"/>
        <v>6.0738678877635495E-3</v>
      </c>
      <c r="H107" s="3412">
        <f t="shared" si="14"/>
        <v>0.74366794784180978</v>
      </c>
      <c r="I107" s="3413">
        <f t="shared" si="15"/>
        <v>0.25025818427042673</v>
      </c>
      <c r="J107" s="3411">
        <f t="shared" si="7"/>
        <v>1</v>
      </c>
      <c r="K107" s="3413">
        <f t="shared" si="8"/>
        <v>0</v>
      </c>
      <c r="L107" s="3411">
        <f t="shared" si="9"/>
        <v>1</v>
      </c>
      <c r="M107" s="3413">
        <f t="shared" si="10"/>
        <v>0</v>
      </c>
      <c r="N107" s="3411">
        <f t="shared" si="11"/>
        <v>1</v>
      </c>
      <c r="O107" s="3413">
        <f t="shared" si="12"/>
        <v>0</v>
      </c>
    </row>
    <row r="108" spans="1:15" ht="13.5" customHeight="1">
      <c r="A108" s="623"/>
      <c r="B108" s="714">
        <v>2082</v>
      </c>
      <c r="C108" s="624"/>
      <c r="D108" s="3411">
        <f t="shared" si="16"/>
        <v>0.32613086684001974</v>
      </c>
      <c r="E108" s="3412">
        <f t="shared" si="17"/>
        <v>0.213637365371944</v>
      </c>
      <c r="F108" s="3413">
        <f t="shared" si="18"/>
        <v>0.46023176778803621</v>
      </c>
      <c r="G108" s="3411">
        <f t="shared" si="13"/>
        <v>6.0738678877635495E-3</v>
      </c>
      <c r="H108" s="3412">
        <f t="shared" si="14"/>
        <v>0.74366794784180978</v>
      </c>
      <c r="I108" s="3413">
        <f t="shared" si="15"/>
        <v>0.25025818427042673</v>
      </c>
      <c r="J108" s="3411">
        <f t="shared" si="7"/>
        <v>1</v>
      </c>
      <c r="K108" s="3413">
        <f t="shared" si="8"/>
        <v>0</v>
      </c>
      <c r="L108" s="3411">
        <f t="shared" si="9"/>
        <v>1</v>
      </c>
      <c r="M108" s="3413">
        <f t="shared" si="10"/>
        <v>0</v>
      </c>
      <c r="N108" s="3411">
        <f t="shared" si="11"/>
        <v>1</v>
      </c>
      <c r="O108" s="3413">
        <f t="shared" si="12"/>
        <v>0</v>
      </c>
    </row>
    <row r="109" spans="1:15" ht="13.5" customHeight="1">
      <c r="A109" s="623"/>
      <c r="B109" s="714">
        <v>2083</v>
      </c>
      <c r="C109" s="624"/>
      <c r="D109" s="3411">
        <f t="shared" si="16"/>
        <v>0.32613086684001974</v>
      </c>
      <c r="E109" s="3412">
        <f t="shared" si="17"/>
        <v>0.213637365371944</v>
      </c>
      <c r="F109" s="3413">
        <f t="shared" si="18"/>
        <v>0.46023176778803621</v>
      </c>
      <c r="G109" s="3411">
        <f t="shared" si="13"/>
        <v>6.0738678877635495E-3</v>
      </c>
      <c r="H109" s="3412">
        <f t="shared" si="14"/>
        <v>0.74366794784180978</v>
      </c>
      <c r="I109" s="3413">
        <f t="shared" si="15"/>
        <v>0.25025818427042673</v>
      </c>
      <c r="J109" s="3411">
        <f t="shared" si="7"/>
        <v>1</v>
      </c>
      <c r="K109" s="3413">
        <f t="shared" si="8"/>
        <v>0</v>
      </c>
      <c r="L109" s="3411">
        <f t="shared" si="9"/>
        <v>1</v>
      </c>
      <c r="M109" s="3413">
        <f t="shared" si="10"/>
        <v>0</v>
      </c>
      <c r="N109" s="3411">
        <f t="shared" si="11"/>
        <v>1</v>
      </c>
      <c r="O109" s="3413">
        <f t="shared" si="12"/>
        <v>0</v>
      </c>
    </row>
    <row r="110" spans="1:15" ht="13.5" customHeight="1">
      <c r="A110" s="623"/>
      <c r="B110" s="714">
        <v>2084</v>
      </c>
      <c r="C110" s="624"/>
      <c r="D110" s="3411">
        <f t="shared" si="16"/>
        <v>0.32613086684001974</v>
      </c>
      <c r="E110" s="3412">
        <f t="shared" si="17"/>
        <v>0.213637365371944</v>
      </c>
      <c r="F110" s="3413">
        <f t="shared" si="18"/>
        <v>0.46023176778803621</v>
      </c>
      <c r="G110" s="3411">
        <f t="shared" si="13"/>
        <v>6.0738678877635495E-3</v>
      </c>
      <c r="H110" s="3412">
        <f t="shared" si="14"/>
        <v>0.74366794784180978</v>
      </c>
      <c r="I110" s="3413">
        <f t="shared" si="15"/>
        <v>0.25025818427042673</v>
      </c>
      <c r="J110" s="3411">
        <f t="shared" si="7"/>
        <v>1</v>
      </c>
      <c r="K110" s="3413">
        <f t="shared" si="8"/>
        <v>0</v>
      </c>
      <c r="L110" s="3411">
        <f t="shared" si="9"/>
        <v>1</v>
      </c>
      <c r="M110" s="3413">
        <f t="shared" si="10"/>
        <v>0</v>
      </c>
      <c r="N110" s="3411">
        <f t="shared" si="11"/>
        <v>1</v>
      </c>
      <c r="O110" s="3413">
        <f t="shared" si="12"/>
        <v>0</v>
      </c>
    </row>
    <row r="111" spans="1:15" ht="13.5" customHeight="1">
      <c r="A111" s="623"/>
      <c r="B111" s="714">
        <v>2085</v>
      </c>
      <c r="C111" s="624"/>
      <c r="D111" s="3411">
        <f t="shared" si="16"/>
        <v>0.32613086684001974</v>
      </c>
      <c r="E111" s="3412">
        <f t="shared" si="17"/>
        <v>0.213637365371944</v>
      </c>
      <c r="F111" s="3413">
        <f t="shared" si="18"/>
        <v>0.46023176778803621</v>
      </c>
      <c r="G111" s="3411">
        <f t="shared" si="13"/>
        <v>6.0738678877635495E-3</v>
      </c>
      <c r="H111" s="3412">
        <f t="shared" si="14"/>
        <v>0.74366794784180978</v>
      </c>
      <c r="I111" s="3413">
        <f t="shared" si="15"/>
        <v>0.25025818427042673</v>
      </c>
      <c r="J111" s="3411">
        <f t="shared" si="7"/>
        <v>1</v>
      </c>
      <c r="K111" s="3413">
        <f t="shared" si="8"/>
        <v>0</v>
      </c>
      <c r="L111" s="3411">
        <f t="shared" si="9"/>
        <v>1</v>
      </c>
      <c r="M111" s="3413">
        <f t="shared" si="10"/>
        <v>0</v>
      </c>
      <c r="N111" s="3411">
        <f t="shared" si="11"/>
        <v>1</v>
      </c>
      <c r="O111" s="3413">
        <f t="shared" si="12"/>
        <v>0</v>
      </c>
    </row>
    <row r="112" spans="1:15" ht="13.5" customHeight="1">
      <c r="A112" s="623"/>
      <c r="B112" s="714">
        <v>2086</v>
      </c>
      <c r="C112" s="624"/>
      <c r="D112" s="3411">
        <f t="shared" si="16"/>
        <v>0.32613086684001974</v>
      </c>
      <c r="E112" s="3412">
        <f t="shared" si="17"/>
        <v>0.213637365371944</v>
      </c>
      <c r="F112" s="3413">
        <f t="shared" si="18"/>
        <v>0.46023176778803621</v>
      </c>
      <c r="G112" s="3411">
        <f t="shared" si="13"/>
        <v>6.0738678877635495E-3</v>
      </c>
      <c r="H112" s="3412">
        <f t="shared" si="14"/>
        <v>0.74366794784180978</v>
      </c>
      <c r="I112" s="3413">
        <f t="shared" si="15"/>
        <v>0.25025818427042673</v>
      </c>
      <c r="J112" s="3411">
        <f t="shared" si="7"/>
        <v>1</v>
      </c>
      <c r="K112" s="3413">
        <f t="shared" si="8"/>
        <v>0</v>
      </c>
      <c r="L112" s="3411">
        <f t="shared" si="9"/>
        <v>1</v>
      </c>
      <c r="M112" s="3413">
        <f t="shared" si="10"/>
        <v>0</v>
      </c>
      <c r="N112" s="3411">
        <f t="shared" si="11"/>
        <v>1</v>
      </c>
      <c r="O112" s="3413">
        <f t="shared" si="12"/>
        <v>0</v>
      </c>
    </row>
    <row r="113" spans="1:15" ht="13.5" customHeight="1">
      <c r="A113" s="623"/>
      <c r="B113" s="714">
        <v>2087</v>
      </c>
      <c r="C113" s="624"/>
      <c r="D113" s="3411">
        <f t="shared" si="16"/>
        <v>0.32613086684001974</v>
      </c>
      <c r="E113" s="3412">
        <f t="shared" si="17"/>
        <v>0.213637365371944</v>
      </c>
      <c r="F113" s="3413">
        <f t="shared" si="18"/>
        <v>0.46023176778803621</v>
      </c>
      <c r="G113" s="3411">
        <f t="shared" si="13"/>
        <v>6.0738678877635495E-3</v>
      </c>
      <c r="H113" s="3412">
        <f t="shared" si="14"/>
        <v>0.74366794784180978</v>
      </c>
      <c r="I113" s="3413">
        <f t="shared" si="15"/>
        <v>0.25025818427042673</v>
      </c>
      <c r="J113" s="3411">
        <f t="shared" si="7"/>
        <v>1</v>
      </c>
      <c r="K113" s="3413">
        <f t="shared" si="8"/>
        <v>0</v>
      </c>
      <c r="L113" s="3411">
        <f t="shared" si="9"/>
        <v>1</v>
      </c>
      <c r="M113" s="3413">
        <f t="shared" si="10"/>
        <v>0</v>
      </c>
      <c r="N113" s="3411">
        <f t="shared" si="11"/>
        <v>1</v>
      </c>
      <c r="O113" s="3413">
        <f t="shared" si="12"/>
        <v>0</v>
      </c>
    </row>
    <row r="114" spans="1:15" ht="13.5" customHeight="1">
      <c r="A114" s="623"/>
      <c r="B114" s="714">
        <v>2088</v>
      </c>
      <c r="C114" s="624"/>
      <c r="D114" s="3411">
        <f t="shared" si="16"/>
        <v>0.32613086684001974</v>
      </c>
      <c r="E114" s="3412">
        <f t="shared" si="17"/>
        <v>0.213637365371944</v>
      </c>
      <c r="F114" s="3413">
        <f t="shared" si="18"/>
        <v>0.46023176778803621</v>
      </c>
      <c r="G114" s="3411">
        <f t="shared" si="13"/>
        <v>6.0738678877635495E-3</v>
      </c>
      <c r="H114" s="3412">
        <f t="shared" si="14"/>
        <v>0.74366794784180978</v>
      </c>
      <c r="I114" s="3413">
        <f t="shared" si="15"/>
        <v>0.25025818427042673</v>
      </c>
      <c r="J114" s="3411">
        <f t="shared" si="7"/>
        <v>1</v>
      </c>
      <c r="K114" s="3413">
        <f t="shared" si="8"/>
        <v>0</v>
      </c>
      <c r="L114" s="3411">
        <f t="shared" si="9"/>
        <v>1</v>
      </c>
      <c r="M114" s="3413">
        <f t="shared" si="10"/>
        <v>0</v>
      </c>
      <c r="N114" s="3411">
        <f t="shared" si="11"/>
        <v>1</v>
      </c>
      <c r="O114" s="3413">
        <f t="shared" si="12"/>
        <v>0</v>
      </c>
    </row>
    <row r="115" spans="1:15" ht="13.5" customHeight="1">
      <c r="A115" s="623"/>
      <c r="B115" s="714">
        <v>2089</v>
      </c>
      <c r="C115" s="624"/>
      <c r="D115" s="3411">
        <f t="shared" si="16"/>
        <v>0.32613086684001974</v>
      </c>
      <c r="E115" s="3412">
        <f t="shared" si="17"/>
        <v>0.213637365371944</v>
      </c>
      <c r="F115" s="3413">
        <f t="shared" si="18"/>
        <v>0.46023176778803621</v>
      </c>
      <c r="G115" s="3411">
        <f t="shared" si="13"/>
        <v>6.0738678877635495E-3</v>
      </c>
      <c r="H115" s="3412">
        <f t="shared" si="14"/>
        <v>0.74366794784180978</v>
      </c>
      <c r="I115" s="3413">
        <f t="shared" si="15"/>
        <v>0.25025818427042673</v>
      </c>
      <c r="J115" s="3411">
        <f t="shared" si="7"/>
        <v>1</v>
      </c>
      <c r="K115" s="3413">
        <f t="shared" si="8"/>
        <v>0</v>
      </c>
      <c r="L115" s="3411">
        <f t="shared" si="9"/>
        <v>1</v>
      </c>
      <c r="M115" s="3413">
        <f t="shared" si="10"/>
        <v>0</v>
      </c>
      <c r="N115" s="3411">
        <f t="shared" si="11"/>
        <v>1</v>
      </c>
      <c r="O115" s="3413">
        <f t="shared" si="12"/>
        <v>0</v>
      </c>
    </row>
    <row r="116" spans="1:15" ht="13.5" customHeight="1">
      <c r="A116" s="623"/>
      <c r="B116" s="714">
        <v>2090</v>
      </c>
      <c r="C116" s="624"/>
      <c r="D116" s="3411">
        <f t="shared" si="16"/>
        <v>0.32613086684001974</v>
      </c>
      <c r="E116" s="3412">
        <f t="shared" si="17"/>
        <v>0.213637365371944</v>
      </c>
      <c r="F116" s="3413">
        <f t="shared" si="18"/>
        <v>0.46023176778803621</v>
      </c>
      <c r="G116" s="3411">
        <f t="shared" si="13"/>
        <v>6.0738678877635495E-3</v>
      </c>
      <c r="H116" s="3412">
        <f t="shared" si="14"/>
        <v>0.74366794784180978</v>
      </c>
      <c r="I116" s="3413">
        <f t="shared" si="15"/>
        <v>0.25025818427042673</v>
      </c>
      <c r="J116" s="3411">
        <f t="shared" si="7"/>
        <v>1</v>
      </c>
      <c r="K116" s="3413">
        <f t="shared" si="8"/>
        <v>0</v>
      </c>
      <c r="L116" s="3411">
        <f t="shared" si="9"/>
        <v>1</v>
      </c>
      <c r="M116" s="3413">
        <f t="shared" si="10"/>
        <v>0</v>
      </c>
      <c r="N116" s="3411">
        <f t="shared" si="11"/>
        <v>1</v>
      </c>
      <c r="O116" s="3413">
        <f t="shared" si="12"/>
        <v>0</v>
      </c>
    </row>
    <row r="117" spans="1:15" ht="13.5" customHeight="1">
      <c r="A117" s="623"/>
      <c r="B117" s="714">
        <v>2091</v>
      </c>
      <c r="C117" s="624"/>
      <c r="D117" s="3411">
        <f t="shared" si="16"/>
        <v>0.32613086684001974</v>
      </c>
      <c r="E117" s="3412">
        <f t="shared" si="17"/>
        <v>0.213637365371944</v>
      </c>
      <c r="F117" s="3413">
        <f t="shared" si="18"/>
        <v>0.46023176778803621</v>
      </c>
      <c r="G117" s="3411">
        <f t="shared" si="13"/>
        <v>6.0738678877635495E-3</v>
      </c>
      <c r="H117" s="3412">
        <f t="shared" si="14"/>
        <v>0.74366794784180978</v>
      </c>
      <c r="I117" s="3413">
        <f t="shared" si="15"/>
        <v>0.25025818427042673</v>
      </c>
      <c r="J117" s="3411">
        <f t="shared" si="7"/>
        <v>1</v>
      </c>
      <c r="K117" s="3413">
        <f t="shared" si="8"/>
        <v>0</v>
      </c>
      <c r="L117" s="3411">
        <f t="shared" si="9"/>
        <v>1</v>
      </c>
      <c r="M117" s="3413">
        <f t="shared" si="10"/>
        <v>0</v>
      </c>
      <c r="N117" s="3411">
        <f t="shared" si="11"/>
        <v>1</v>
      </c>
      <c r="O117" s="3413">
        <f t="shared" si="12"/>
        <v>0</v>
      </c>
    </row>
    <row r="118" spans="1:15" ht="13.5" customHeight="1">
      <c r="A118" s="623"/>
      <c r="B118" s="714">
        <v>2092</v>
      </c>
      <c r="C118" s="624"/>
      <c r="D118" s="3411">
        <f t="shared" si="16"/>
        <v>0.32613086684001974</v>
      </c>
      <c r="E118" s="3412">
        <f t="shared" si="17"/>
        <v>0.213637365371944</v>
      </c>
      <c r="F118" s="3413">
        <f t="shared" si="18"/>
        <v>0.46023176778803621</v>
      </c>
      <c r="G118" s="3411">
        <f t="shared" si="13"/>
        <v>6.0738678877635495E-3</v>
      </c>
      <c r="H118" s="3412">
        <f t="shared" si="14"/>
        <v>0.74366794784180978</v>
      </c>
      <c r="I118" s="3413">
        <f t="shared" si="15"/>
        <v>0.25025818427042673</v>
      </c>
      <c r="J118" s="3411">
        <f t="shared" si="7"/>
        <v>1</v>
      </c>
      <c r="K118" s="3413">
        <f t="shared" si="8"/>
        <v>0</v>
      </c>
      <c r="L118" s="3411">
        <f t="shared" si="9"/>
        <v>1</v>
      </c>
      <c r="M118" s="3413">
        <f t="shared" si="10"/>
        <v>0</v>
      </c>
      <c r="N118" s="3411">
        <f t="shared" si="11"/>
        <v>1</v>
      </c>
      <c r="O118" s="3413">
        <f t="shared" si="12"/>
        <v>0</v>
      </c>
    </row>
    <row r="119" spans="1:15" ht="13.5" customHeight="1">
      <c r="A119" s="623"/>
      <c r="B119" s="714">
        <v>2093</v>
      </c>
      <c r="C119" s="624"/>
      <c r="D119" s="3411">
        <f t="shared" si="16"/>
        <v>0.32613086684001974</v>
      </c>
      <c r="E119" s="3412">
        <f t="shared" si="17"/>
        <v>0.213637365371944</v>
      </c>
      <c r="F119" s="3413">
        <f t="shared" si="18"/>
        <v>0.46023176778803621</v>
      </c>
      <c r="G119" s="3411">
        <f t="shared" si="13"/>
        <v>6.0738678877635495E-3</v>
      </c>
      <c r="H119" s="3412">
        <f t="shared" si="14"/>
        <v>0.74366794784180978</v>
      </c>
      <c r="I119" s="3413">
        <f t="shared" si="15"/>
        <v>0.25025818427042673</v>
      </c>
      <c r="J119" s="3411">
        <f t="shared" si="7"/>
        <v>1</v>
      </c>
      <c r="K119" s="3413">
        <f t="shared" si="8"/>
        <v>0</v>
      </c>
      <c r="L119" s="3411">
        <f t="shared" si="9"/>
        <v>1</v>
      </c>
      <c r="M119" s="3413">
        <f t="shared" si="10"/>
        <v>0</v>
      </c>
      <c r="N119" s="3411">
        <f t="shared" si="11"/>
        <v>1</v>
      </c>
      <c r="O119" s="3413">
        <f t="shared" si="12"/>
        <v>0</v>
      </c>
    </row>
    <row r="120" spans="1:15" ht="13.5" customHeight="1">
      <c r="A120" s="623"/>
      <c r="B120" s="714">
        <v>2094</v>
      </c>
      <c r="C120" s="624"/>
      <c r="D120" s="3411">
        <f t="shared" si="16"/>
        <v>0.32613086684001974</v>
      </c>
      <c r="E120" s="3412">
        <f t="shared" si="17"/>
        <v>0.213637365371944</v>
      </c>
      <c r="F120" s="3413">
        <f t="shared" si="18"/>
        <v>0.46023176778803621</v>
      </c>
      <c r="G120" s="3411">
        <f t="shared" si="13"/>
        <v>6.0738678877635495E-3</v>
      </c>
      <c r="H120" s="3412">
        <f t="shared" si="14"/>
        <v>0.74366794784180978</v>
      </c>
      <c r="I120" s="3413">
        <f t="shared" si="15"/>
        <v>0.25025818427042673</v>
      </c>
      <c r="J120" s="3411">
        <f t="shared" si="7"/>
        <v>1</v>
      </c>
      <c r="K120" s="3413">
        <f t="shared" si="8"/>
        <v>0</v>
      </c>
      <c r="L120" s="3411">
        <f t="shared" si="9"/>
        <v>1</v>
      </c>
      <c r="M120" s="3413">
        <f t="shared" si="10"/>
        <v>0</v>
      </c>
      <c r="N120" s="3411">
        <f t="shared" si="11"/>
        <v>1</v>
      </c>
      <c r="O120" s="3413">
        <f t="shared" si="12"/>
        <v>0</v>
      </c>
    </row>
    <row r="121" spans="1:15" ht="13.5" customHeight="1">
      <c r="A121" s="623"/>
      <c r="B121" s="714">
        <v>2095</v>
      </c>
      <c r="C121" s="624"/>
      <c r="D121" s="3411">
        <f t="shared" si="16"/>
        <v>0.32613086684001974</v>
      </c>
      <c r="E121" s="3412">
        <f t="shared" si="17"/>
        <v>0.213637365371944</v>
      </c>
      <c r="F121" s="3413">
        <f t="shared" si="18"/>
        <v>0.46023176778803621</v>
      </c>
      <c r="G121" s="3411">
        <f t="shared" si="13"/>
        <v>6.0738678877635495E-3</v>
      </c>
      <c r="H121" s="3412">
        <f t="shared" si="14"/>
        <v>0.74366794784180978</v>
      </c>
      <c r="I121" s="3413">
        <f t="shared" si="15"/>
        <v>0.25025818427042673</v>
      </c>
      <c r="J121" s="3411">
        <f t="shared" si="7"/>
        <v>1</v>
      </c>
      <c r="K121" s="3413">
        <f t="shared" si="8"/>
        <v>0</v>
      </c>
      <c r="L121" s="3411">
        <f t="shared" si="9"/>
        <v>1</v>
      </c>
      <c r="M121" s="3413">
        <f t="shared" si="10"/>
        <v>0</v>
      </c>
      <c r="N121" s="3411">
        <f t="shared" si="11"/>
        <v>1</v>
      </c>
      <c r="O121" s="3413">
        <f t="shared" si="12"/>
        <v>0</v>
      </c>
    </row>
    <row r="122" spans="1:15" ht="13.5" customHeight="1">
      <c r="A122" s="623"/>
      <c r="B122" s="714">
        <v>2096</v>
      </c>
      <c r="C122" s="624"/>
      <c r="D122" s="3411">
        <f t="shared" si="16"/>
        <v>0.32613086684001974</v>
      </c>
      <c r="E122" s="3412">
        <f t="shared" si="17"/>
        <v>0.213637365371944</v>
      </c>
      <c r="F122" s="3413">
        <f t="shared" si="18"/>
        <v>0.46023176778803621</v>
      </c>
      <c r="G122" s="3411">
        <f t="shared" si="13"/>
        <v>6.0738678877635495E-3</v>
      </c>
      <c r="H122" s="3412">
        <f t="shared" si="14"/>
        <v>0.74366794784180978</v>
      </c>
      <c r="I122" s="3413">
        <f t="shared" si="15"/>
        <v>0.25025818427042673</v>
      </c>
      <c r="J122" s="3411">
        <f t="shared" si="7"/>
        <v>1</v>
      </c>
      <c r="K122" s="3413">
        <f t="shared" si="8"/>
        <v>0</v>
      </c>
      <c r="L122" s="3411">
        <f t="shared" si="9"/>
        <v>1</v>
      </c>
      <c r="M122" s="3413">
        <f t="shared" si="10"/>
        <v>0</v>
      </c>
      <c r="N122" s="3411">
        <f t="shared" si="11"/>
        <v>1</v>
      </c>
      <c r="O122" s="3413">
        <f t="shared" si="12"/>
        <v>0</v>
      </c>
    </row>
    <row r="123" spans="1:15" ht="13.5" customHeight="1">
      <c r="A123" s="623"/>
      <c r="B123" s="714">
        <v>2097</v>
      </c>
      <c r="C123" s="624"/>
      <c r="D123" s="3411">
        <f t="shared" si="16"/>
        <v>0.32613086684001974</v>
      </c>
      <c r="E123" s="3412">
        <f t="shared" si="17"/>
        <v>0.213637365371944</v>
      </c>
      <c r="F123" s="3413">
        <f t="shared" si="18"/>
        <v>0.46023176778803621</v>
      </c>
      <c r="G123" s="3411">
        <f t="shared" si="13"/>
        <v>6.0738678877635495E-3</v>
      </c>
      <c r="H123" s="3412">
        <f t="shared" si="14"/>
        <v>0.74366794784180978</v>
      </c>
      <c r="I123" s="3413">
        <f t="shared" si="15"/>
        <v>0.25025818427042673</v>
      </c>
      <c r="J123" s="3411">
        <f t="shared" si="7"/>
        <v>1</v>
      </c>
      <c r="K123" s="3413">
        <f t="shared" si="8"/>
        <v>0</v>
      </c>
      <c r="L123" s="3411">
        <f t="shared" si="9"/>
        <v>1</v>
      </c>
      <c r="M123" s="3413">
        <f t="shared" si="10"/>
        <v>0</v>
      </c>
      <c r="N123" s="3411">
        <f t="shared" si="11"/>
        <v>1</v>
      </c>
      <c r="O123" s="3413">
        <f t="shared" si="12"/>
        <v>0</v>
      </c>
    </row>
    <row r="124" spans="1:15" ht="13.5" customHeight="1">
      <c r="A124" s="623"/>
      <c r="B124" s="714">
        <v>2098</v>
      </c>
      <c r="C124" s="624"/>
      <c r="D124" s="3411">
        <f t="shared" si="16"/>
        <v>0.32613086684001974</v>
      </c>
      <c r="E124" s="3412">
        <f t="shared" si="17"/>
        <v>0.213637365371944</v>
      </c>
      <c r="F124" s="3413">
        <f t="shared" si="18"/>
        <v>0.46023176778803621</v>
      </c>
      <c r="G124" s="3411">
        <f t="shared" si="13"/>
        <v>6.0738678877635495E-3</v>
      </c>
      <c r="H124" s="3412">
        <f t="shared" si="14"/>
        <v>0.74366794784180978</v>
      </c>
      <c r="I124" s="3413">
        <f t="shared" si="15"/>
        <v>0.25025818427042673</v>
      </c>
      <c r="J124" s="3411">
        <f t="shared" si="7"/>
        <v>1</v>
      </c>
      <c r="K124" s="3413">
        <f t="shared" si="8"/>
        <v>0</v>
      </c>
      <c r="L124" s="3411">
        <f t="shared" si="9"/>
        <v>1</v>
      </c>
      <c r="M124" s="3413">
        <f t="shared" si="10"/>
        <v>0</v>
      </c>
      <c r="N124" s="3411">
        <f t="shared" si="11"/>
        <v>1</v>
      </c>
      <c r="O124" s="3413">
        <f t="shared" si="12"/>
        <v>0</v>
      </c>
    </row>
    <row r="125" spans="1:15" ht="13.5" customHeight="1">
      <c r="A125" s="623"/>
      <c r="B125" s="714">
        <v>2099</v>
      </c>
      <c r="C125" s="624"/>
      <c r="D125" s="3411">
        <f t="shared" si="16"/>
        <v>0.32613086684001974</v>
      </c>
      <c r="E125" s="3412">
        <f t="shared" si="17"/>
        <v>0.213637365371944</v>
      </c>
      <c r="F125" s="3413">
        <f t="shared" si="18"/>
        <v>0.46023176778803621</v>
      </c>
      <c r="G125" s="3411">
        <f t="shared" si="13"/>
        <v>6.0738678877635495E-3</v>
      </c>
      <c r="H125" s="3412">
        <f t="shared" si="14"/>
        <v>0.74366794784180978</v>
      </c>
      <c r="I125" s="3413">
        <f t="shared" si="15"/>
        <v>0.25025818427042673</v>
      </c>
      <c r="J125" s="3411">
        <f t="shared" si="7"/>
        <v>1</v>
      </c>
      <c r="K125" s="3413">
        <f t="shared" si="8"/>
        <v>0</v>
      </c>
      <c r="L125" s="3411">
        <f t="shared" si="9"/>
        <v>1</v>
      </c>
      <c r="M125" s="3413">
        <f t="shared" si="10"/>
        <v>0</v>
      </c>
      <c r="N125" s="3411">
        <f t="shared" si="11"/>
        <v>1</v>
      </c>
      <c r="O125" s="3413">
        <f t="shared" si="12"/>
        <v>0</v>
      </c>
    </row>
    <row r="126" spans="1:15" ht="13.5" customHeight="1" thickBot="1">
      <c r="A126" s="619"/>
      <c r="B126" s="798">
        <v>2100</v>
      </c>
      <c r="C126" s="620"/>
      <c r="D126" s="3414">
        <f t="shared" si="16"/>
        <v>0.32613086684001974</v>
      </c>
      <c r="E126" s="3415">
        <f t="shared" si="17"/>
        <v>0.213637365371944</v>
      </c>
      <c r="F126" s="3416">
        <f t="shared" si="18"/>
        <v>0.46023176778803621</v>
      </c>
      <c r="G126" s="3414">
        <f t="shared" si="13"/>
        <v>6.0738678877635495E-3</v>
      </c>
      <c r="H126" s="3415">
        <f t="shared" si="14"/>
        <v>0.74366794784180978</v>
      </c>
      <c r="I126" s="3416">
        <f t="shared" si="15"/>
        <v>0.25025818427042673</v>
      </c>
      <c r="J126" s="3414">
        <f t="shared" si="7"/>
        <v>1</v>
      </c>
      <c r="K126" s="3416">
        <f t="shared" si="8"/>
        <v>0</v>
      </c>
      <c r="L126" s="3414">
        <f t="shared" si="9"/>
        <v>1</v>
      </c>
      <c r="M126" s="3416">
        <f t="shared" si="10"/>
        <v>0</v>
      </c>
      <c r="N126" s="3414">
        <f t="shared" si="11"/>
        <v>1</v>
      </c>
      <c r="O126" s="3416">
        <f t="shared" si="12"/>
        <v>0</v>
      </c>
    </row>
    <row r="127" spans="1:15" ht="13.5" customHeight="1" thickTop="1" thickBot="1"/>
    <row r="128" spans="1:15" ht="13.5" customHeight="1" thickBot="1">
      <c r="D128" s="528" t="s">
        <v>1489</v>
      </c>
    </row>
  </sheetData>
  <sheetProtection sheet="1" objects="1" scenarios="1"/>
  <mergeCells count="9">
    <mergeCell ref="A18:B18"/>
    <mergeCell ref="A19:B19"/>
    <mergeCell ref="A20:B20"/>
    <mergeCell ref="A11:B11"/>
    <mergeCell ref="E6:S6"/>
    <mergeCell ref="A7:B7"/>
    <mergeCell ref="A8:B8"/>
    <mergeCell ref="A10:B10"/>
    <mergeCell ref="A12:B12"/>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D128" location="'VoC Mileage %'!D26" tooltip="Top of this page" display="Top"/>
    <hyperlink ref="A12:B12" r:id="rId2" tooltip="Unit A1.3 User &amp; Provider Impacts" display="WebTAG Unit A 1.3"/>
    <hyperlink ref="P10" r:id="rId3"/>
    <hyperlink ref="Q17" r:id="rId4"/>
  </hyperlinks>
  <pageMargins left="0.75" right="0.75" top="1" bottom="1" header="0.5" footer="0.5"/>
  <pageSetup paperSize="9" orientation="portrait" r:id="rId5"/>
  <headerFooter alignWithMargins="0"/>
  <drawing r:id="rId6"/>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8000"/>
    <pageSetUpPr fitToPage="1"/>
  </sheetPr>
  <dimension ref="A1:AP122"/>
  <sheetViews>
    <sheetView showGridLines="0" topLeftCell="B21" zoomScale="90" zoomScaleNormal="90" workbookViewId="0">
      <selection activeCell="S47" sqref="S47"/>
    </sheetView>
  </sheetViews>
  <sheetFormatPr defaultColWidth="12.88671875" defaultRowHeight="13.5" customHeight="1"/>
  <cols>
    <col min="1" max="1" width="12.88671875" style="38" customWidth="1"/>
    <col min="2" max="14" width="12.88671875" style="26" customWidth="1"/>
    <col min="15" max="31" width="12.88671875" style="38" customWidth="1"/>
    <col min="32" max="38" width="12.88671875" style="26" customWidth="1"/>
    <col min="39" max="16384" width="12.88671875" style="38"/>
  </cols>
  <sheetData>
    <row r="1" spans="1:38" ht="54.9" customHeight="1">
      <c r="A1" s="28"/>
      <c r="B1" s="38"/>
      <c r="C1" s="28"/>
      <c r="D1" s="3715"/>
      <c r="E1" s="3689"/>
      <c r="F1" s="3689"/>
      <c r="G1" s="3689"/>
      <c r="H1" s="3689"/>
      <c r="I1" s="3689"/>
      <c r="J1" s="3689"/>
      <c r="K1" s="3689"/>
      <c r="L1" s="3689"/>
      <c r="M1" s="3689"/>
      <c r="N1" s="3689"/>
      <c r="O1" s="3689"/>
      <c r="Q1" s="3688"/>
      <c r="R1" s="3688"/>
      <c r="S1" s="3688"/>
      <c r="T1" s="3688"/>
      <c r="U1" s="3688"/>
      <c r="V1" s="3688"/>
      <c r="W1" s="3688"/>
      <c r="X1" s="3688"/>
      <c r="Y1" s="3688"/>
      <c r="Z1" s="3688"/>
      <c r="AA1" s="3688"/>
      <c r="AB1" s="3688"/>
      <c r="AC1" s="3688"/>
    </row>
    <row r="2" spans="1:38" s="300" customFormat="1" ht="5.0999999999999996" customHeight="1">
      <c r="D2" s="83"/>
      <c r="F2" s="83"/>
      <c r="H2" s="83"/>
      <c r="I2" s="83"/>
      <c r="J2" s="83"/>
      <c r="K2" s="83"/>
      <c r="L2" s="83"/>
      <c r="M2" s="83"/>
      <c r="N2" s="83"/>
      <c r="AF2" s="83"/>
      <c r="AG2" s="83"/>
      <c r="AH2" s="83"/>
      <c r="AI2" s="83"/>
      <c r="AJ2" s="83"/>
      <c r="AK2" s="83"/>
      <c r="AL2" s="83"/>
    </row>
    <row r="3" spans="1:38" s="300" customFormat="1" ht="20.100000000000001" customHeight="1">
      <c r="A3" s="300" t="s">
        <v>2249</v>
      </c>
      <c r="C3" s="83"/>
      <c r="D3" s="46"/>
      <c r="E3" s="83"/>
      <c r="F3" s="445"/>
      <c r="H3" s="83"/>
      <c r="I3" s="83"/>
      <c r="J3" s="83"/>
      <c r="K3" s="83"/>
      <c r="L3" s="83"/>
      <c r="M3" s="83"/>
      <c r="N3" s="83"/>
      <c r="AF3" s="83"/>
      <c r="AG3" s="83"/>
      <c r="AH3" s="83"/>
      <c r="AI3" s="83"/>
      <c r="AJ3" s="83"/>
      <c r="AK3" s="83"/>
      <c r="AL3" s="83"/>
    </row>
    <row r="4" spans="1:38" s="26" customFormat="1" ht="20.100000000000001" customHeight="1" thickBot="1">
      <c r="A4" s="109" t="s">
        <v>699</v>
      </c>
      <c r="B4" s="450"/>
      <c r="C4" s="450"/>
      <c r="D4" s="446"/>
      <c r="E4" s="450"/>
      <c r="F4" s="446"/>
      <c r="G4" s="450"/>
      <c r="H4" s="446"/>
      <c r="I4" s="446"/>
      <c r="J4" s="446"/>
      <c r="K4" s="446"/>
      <c r="L4" s="446"/>
      <c r="M4" s="446"/>
      <c r="N4" s="446"/>
      <c r="O4" s="446"/>
      <c r="P4" s="446"/>
      <c r="Q4" s="446"/>
      <c r="R4" s="446"/>
      <c r="S4" s="446"/>
      <c r="T4" s="446"/>
      <c r="U4" s="446"/>
      <c r="V4" s="446"/>
      <c r="W4" s="446"/>
      <c r="X4" s="446"/>
      <c r="Y4" s="446"/>
      <c r="Z4" s="446"/>
      <c r="AA4" s="446"/>
      <c r="AB4" s="446"/>
      <c r="AC4" s="446"/>
    </row>
    <row r="5" spans="1:38" ht="9.9" customHeight="1" thickTop="1" thickBot="1">
      <c r="B5" s="321"/>
      <c r="E5" s="163"/>
      <c r="F5" s="165"/>
      <c r="G5" s="28"/>
    </row>
    <row r="6" spans="1:38" ht="13.5" customHeight="1" thickTop="1">
      <c r="A6" s="169" t="s">
        <v>10</v>
      </c>
      <c r="B6" s="169"/>
      <c r="C6" s="38"/>
      <c r="D6" s="147"/>
      <c r="E6" s="3727" t="s">
        <v>255</v>
      </c>
      <c r="F6" s="3728"/>
      <c r="G6" s="3627"/>
      <c r="H6" s="3627"/>
      <c r="I6" s="3627"/>
      <c r="J6" s="3627"/>
      <c r="K6" s="3627"/>
      <c r="L6" s="3627"/>
      <c r="M6" s="3627"/>
      <c r="N6" s="3627"/>
      <c r="O6" s="3627"/>
      <c r="P6" s="3627"/>
      <c r="Q6" s="3627"/>
      <c r="R6" s="3627"/>
      <c r="S6" s="3729"/>
      <c r="AF6" s="38"/>
      <c r="AG6" s="38"/>
      <c r="AH6" s="38"/>
      <c r="AI6" s="38"/>
      <c r="AJ6" s="38"/>
      <c r="AK6" s="38"/>
      <c r="AL6" s="38"/>
    </row>
    <row r="7" spans="1:38" ht="13.5" customHeight="1">
      <c r="A7" s="3644" t="str">
        <f>Audit!A12</f>
        <v>May 2019 v1.12</v>
      </c>
      <c r="B7" s="3651"/>
      <c r="C7" s="38"/>
      <c r="D7" s="147"/>
      <c r="E7" s="3124" t="s">
        <v>1977</v>
      </c>
      <c r="F7" s="29"/>
      <c r="O7" s="26"/>
      <c r="P7" s="26"/>
      <c r="Q7" s="26"/>
      <c r="R7" s="26"/>
      <c r="S7" s="147"/>
      <c r="AF7" s="38"/>
      <c r="AG7" s="38"/>
      <c r="AH7" s="38"/>
      <c r="AI7" s="38"/>
      <c r="AJ7" s="38"/>
      <c r="AK7" s="38"/>
      <c r="AL7" s="38"/>
    </row>
    <row r="8" spans="1:38" ht="13.5" customHeight="1">
      <c r="A8" s="3630">
        <f>Audit!C12</f>
        <v>43586</v>
      </c>
      <c r="B8" s="3631"/>
      <c r="C8" s="321"/>
      <c r="D8" s="412"/>
      <c r="E8" s="3124" t="s">
        <v>1923</v>
      </c>
      <c r="F8" s="315"/>
      <c r="O8" s="26"/>
      <c r="P8" s="26"/>
      <c r="Q8" s="26"/>
      <c r="R8" s="26"/>
      <c r="S8" s="147"/>
      <c r="AF8" s="38"/>
      <c r="AG8" s="38"/>
      <c r="AH8" s="38"/>
      <c r="AI8" s="38"/>
      <c r="AJ8" s="38"/>
      <c r="AK8" s="38"/>
      <c r="AL8" s="38"/>
    </row>
    <row r="9" spans="1:38" ht="13.5" customHeight="1" thickBot="1">
      <c r="A9" s="172" t="s">
        <v>14</v>
      </c>
      <c r="B9" s="173"/>
      <c r="D9" s="412"/>
      <c r="E9" s="3125" t="s">
        <v>1924</v>
      </c>
      <c r="O9" s="26"/>
      <c r="P9" s="26"/>
      <c r="Q9" s="26"/>
      <c r="R9" s="26"/>
      <c r="S9" s="147"/>
      <c r="AF9" s="38"/>
      <c r="AG9" s="38"/>
      <c r="AH9" s="38"/>
      <c r="AI9" s="38"/>
      <c r="AJ9" s="38"/>
      <c r="AK9" s="38"/>
      <c r="AL9" s="38"/>
    </row>
    <row r="10" spans="1:38" ht="13.5" customHeight="1" thickBot="1">
      <c r="A10" s="3570" t="s">
        <v>1306</v>
      </c>
      <c r="B10" s="3610"/>
      <c r="D10" s="412"/>
      <c r="E10" s="3125" t="s">
        <v>1925</v>
      </c>
      <c r="O10" s="26"/>
      <c r="P10" s="26"/>
      <c r="Q10" s="26"/>
      <c r="R10" s="26"/>
      <c r="S10" s="147"/>
      <c r="AF10" s="38"/>
      <c r="AG10" s="38"/>
      <c r="AH10" s="38"/>
      <c r="AI10" s="38"/>
      <c r="AJ10" s="38"/>
      <c r="AK10" s="38"/>
      <c r="AL10" s="38"/>
    </row>
    <row r="11" spans="1:38" ht="13.5" customHeight="1" thickBot="1">
      <c r="A11" s="3570" t="s">
        <v>2216</v>
      </c>
      <c r="B11" s="3581"/>
      <c r="D11" s="412"/>
      <c r="E11" s="3125" t="s">
        <v>1927</v>
      </c>
      <c r="F11" s="53"/>
      <c r="G11" s="53"/>
      <c r="H11" s="53"/>
      <c r="I11" s="53"/>
      <c r="J11" s="53"/>
      <c r="K11" s="53"/>
      <c r="L11" s="53"/>
      <c r="M11" s="53"/>
      <c r="N11" s="53"/>
      <c r="O11" s="53"/>
      <c r="P11" s="53"/>
      <c r="Q11" s="53"/>
      <c r="R11" s="53"/>
      <c r="S11" s="379"/>
      <c r="AF11" s="38"/>
      <c r="AG11" s="38"/>
      <c r="AH11" s="38"/>
      <c r="AI11" s="38"/>
      <c r="AJ11" s="38"/>
      <c r="AK11" s="38"/>
      <c r="AL11" s="38"/>
    </row>
    <row r="12" spans="1:38" ht="13.5" customHeight="1" thickBot="1">
      <c r="A12" s="3570" t="s">
        <v>2217</v>
      </c>
      <c r="B12" s="3581"/>
      <c r="D12" s="412"/>
      <c r="E12" s="3125" t="s">
        <v>1926</v>
      </c>
      <c r="O12" s="26"/>
      <c r="P12" s="26"/>
      <c r="Q12" s="26"/>
      <c r="R12" s="26"/>
      <c r="S12" s="147"/>
      <c r="AF12" s="38"/>
      <c r="AG12" s="38"/>
      <c r="AH12" s="38"/>
      <c r="AI12" s="38"/>
      <c r="AJ12" s="38"/>
      <c r="AK12" s="38"/>
      <c r="AL12" s="38"/>
    </row>
    <row r="13" spans="1:38" ht="13.5" customHeight="1">
      <c r="A13" s="172" t="s">
        <v>252</v>
      </c>
      <c r="B13" s="194"/>
      <c r="C13" s="321"/>
      <c r="D13" s="412"/>
      <c r="E13" s="3125" t="s">
        <v>1928</v>
      </c>
      <c r="O13" s="26"/>
      <c r="P13" s="26"/>
      <c r="Q13" s="26"/>
      <c r="R13" s="26"/>
      <c r="S13" s="147"/>
      <c r="AF13" s="38"/>
      <c r="AG13" s="38"/>
      <c r="AH13" s="38"/>
      <c r="AI13" s="38"/>
      <c r="AJ13" s="38"/>
      <c r="AK13" s="38"/>
      <c r="AL13" s="38"/>
    </row>
    <row r="14" spans="1:38" ht="13.5" customHeight="1">
      <c r="A14" s="2445" t="s">
        <v>1143</v>
      </c>
      <c r="B14" s="2441"/>
      <c r="C14" s="195">
        <f>'Fuel consumption'!C15</f>
        <v>2015</v>
      </c>
      <c r="D14" s="412"/>
      <c r="E14" s="3125" t="s">
        <v>1929</v>
      </c>
      <c r="O14" s="26"/>
      <c r="P14" s="26"/>
      <c r="Q14" s="26"/>
      <c r="R14" s="26"/>
      <c r="S14" s="147"/>
      <c r="AF14" s="38"/>
      <c r="AG14" s="38"/>
      <c r="AH14" s="38"/>
      <c r="AI14" s="38"/>
      <c r="AJ14" s="38"/>
      <c r="AK14" s="38"/>
      <c r="AL14" s="38"/>
    </row>
    <row r="15" spans="1:38" ht="13.5" customHeight="1">
      <c r="A15" s="2445" t="s">
        <v>1144</v>
      </c>
      <c r="B15" s="2446"/>
      <c r="C15" s="195">
        <f>'Fuel consumption'!C16</f>
        <v>2010</v>
      </c>
      <c r="D15" s="412"/>
      <c r="E15" s="3124" t="s">
        <v>1930</v>
      </c>
      <c r="O15" s="26"/>
      <c r="P15" s="26"/>
      <c r="Q15" s="26"/>
      <c r="R15" s="26"/>
      <c r="S15" s="147"/>
      <c r="AF15" s="38"/>
      <c r="AG15" s="38"/>
      <c r="AH15" s="38"/>
      <c r="AI15" s="38"/>
      <c r="AJ15" s="38"/>
      <c r="AK15" s="38"/>
      <c r="AL15" s="38"/>
    </row>
    <row r="16" spans="1:38" ht="13.5" customHeight="1">
      <c r="A16" s="2440"/>
      <c r="B16" s="2441"/>
      <c r="C16" s="321"/>
      <c r="D16" s="412"/>
      <c r="E16" s="3124" t="s">
        <v>1931</v>
      </c>
      <c r="O16" s="26"/>
      <c r="P16" s="26"/>
      <c r="Q16" s="26"/>
      <c r="R16" s="26"/>
      <c r="S16" s="147"/>
      <c r="AF16" s="38"/>
      <c r="AG16" s="38"/>
      <c r="AH16" s="38"/>
      <c r="AI16" s="38"/>
      <c r="AJ16" s="38"/>
      <c r="AK16" s="38"/>
      <c r="AL16" s="38"/>
    </row>
    <row r="17" spans="1:42" ht="13.5" customHeight="1" thickBot="1">
      <c r="A17" s="169" t="s">
        <v>253</v>
      </c>
      <c r="B17" s="170"/>
      <c r="C17" s="321"/>
      <c r="D17" s="412"/>
      <c r="E17" s="3124" t="s">
        <v>1932</v>
      </c>
      <c r="O17" s="26"/>
      <c r="P17" s="26"/>
      <c r="Q17" s="26"/>
      <c r="R17" s="26"/>
      <c r="S17" s="147"/>
      <c r="AF17" s="38"/>
      <c r="AG17" s="38"/>
      <c r="AH17" s="38"/>
      <c r="AI17" s="38"/>
      <c r="AJ17" s="38"/>
      <c r="AK17" s="38"/>
      <c r="AL17" s="38"/>
    </row>
    <row r="18" spans="1:42" ht="13.5" customHeight="1" thickBot="1">
      <c r="A18" s="3570" t="s">
        <v>700</v>
      </c>
      <c r="B18" s="3581"/>
      <c r="C18" s="321"/>
      <c r="D18" s="412"/>
      <c r="O18" s="26"/>
      <c r="P18" s="26"/>
      <c r="Q18" s="26"/>
      <c r="R18" s="26"/>
      <c r="S18" s="147"/>
      <c r="AF18" s="38"/>
      <c r="AG18" s="38"/>
      <c r="AH18" s="38"/>
      <c r="AI18" s="38"/>
      <c r="AJ18" s="38"/>
      <c r="AK18" s="38"/>
      <c r="AL18" s="38"/>
    </row>
    <row r="19" spans="1:42" ht="13.5" customHeight="1" thickBot="1">
      <c r="A19" s="3570" t="s">
        <v>824</v>
      </c>
      <c r="B19" s="3581"/>
      <c r="C19" s="321"/>
      <c r="D19" s="412"/>
      <c r="E19" s="26" t="s">
        <v>1299</v>
      </c>
      <c r="O19" s="26"/>
      <c r="P19" s="26"/>
      <c r="Q19" s="26"/>
      <c r="R19" s="26"/>
      <c r="S19" s="147"/>
      <c r="AF19" s="38"/>
      <c r="AG19" s="38"/>
      <c r="AH19" s="38"/>
      <c r="AI19" s="38"/>
      <c r="AJ19" s="38"/>
      <c r="AK19" s="38"/>
      <c r="AL19" s="38"/>
    </row>
    <row r="20" spans="1:42" ht="13.5" customHeight="1" thickBot="1">
      <c r="A20" s="2422"/>
      <c r="B20" s="2433"/>
      <c r="C20" s="321"/>
      <c r="D20" s="412"/>
      <c r="E20" s="381" t="s">
        <v>2250</v>
      </c>
      <c r="F20" s="163"/>
      <c r="G20" s="163"/>
      <c r="H20" s="163"/>
      <c r="I20" s="163"/>
      <c r="J20" s="163"/>
      <c r="K20" s="163"/>
      <c r="L20" s="163"/>
      <c r="M20" s="163"/>
      <c r="N20" s="163"/>
      <c r="O20" s="163"/>
      <c r="P20" s="163"/>
      <c r="Q20" s="163"/>
      <c r="R20" s="163"/>
      <c r="S20" s="382"/>
      <c r="AF20" s="38"/>
      <c r="AG20" s="38"/>
      <c r="AH20" s="38"/>
      <c r="AI20" s="38"/>
      <c r="AJ20" s="38"/>
      <c r="AK20" s="38"/>
      <c r="AL20" s="38"/>
    </row>
    <row r="21" spans="1:42" ht="13.5" customHeight="1" thickTop="1">
      <c r="A21" s="2420"/>
      <c r="B21" s="2421"/>
      <c r="C21" s="72"/>
      <c r="D21" s="32"/>
      <c r="E21" s="28"/>
      <c r="F21" s="31"/>
      <c r="G21" s="28"/>
    </row>
    <row r="22" spans="1:42" ht="13.5" customHeight="1">
      <c r="C22" s="321"/>
      <c r="D22" s="72"/>
      <c r="E22" s="72"/>
      <c r="F22" s="72"/>
      <c r="G22" s="72"/>
      <c r="H22" s="31"/>
      <c r="I22" s="31"/>
      <c r="O22" s="592"/>
    </row>
    <row r="23" spans="1:42" ht="13.5" customHeight="1" thickBot="1">
      <c r="A23" s="13"/>
      <c r="B23" s="492"/>
      <c r="D23" s="65"/>
      <c r="E23" s="65"/>
      <c r="F23" s="65"/>
      <c r="G23" s="65"/>
      <c r="H23" s="65"/>
      <c r="I23" s="65"/>
      <c r="J23" s="65"/>
      <c r="K23" s="65"/>
      <c r="L23" s="65"/>
      <c r="M23" s="65"/>
      <c r="N23" s="492"/>
      <c r="P23" s="26"/>
      <c r="Q23" s="26"/>
      <c r="R23" s="26"/>
      <c r="S23" s="26"/>
      <c r="T23" s="26"/>
      <c r="U23" s="26"/>
    </row>
    <row r="24" spans="1:42" ht="13.5" customHeight="1" thickTop="1" thickBot="1">
      <c r="A24" s="122" t="s">
        <v>713</v>
      </c>
      <c r="B24" s="678"/>
      <c r="C24" s="404" t="s">
        <v>2493</v>
      </c>
      <c r="D24" s="404"/>
      <c r="E24" s="404"/>
      <c r="F24" s="404"/>
      <c r="G24" s="404"/>
      <c r="H24" s="404"/>
      <c r="I24" s="404"/>
      <c r="J24" s="404"/>
      <c r="K24" s="404"/>
      <c r="L24" s="404"/>
      <c r="M24" s="404"/>
      <c r="N24" s="404"/>
      <c r="O24" s="678"/>
      <c r="P24" s="404"/>
      <c r="Q24" s="679"/>
      <c r="R24" s="26"/>
      <c r="S24" s="174" t="s">
        <v>2494</v>
      </c>
      <c r="T24" s="224"/>
      <c r="U24" s="224"/>
      <c r="V24" s="224"/>
      <c r="W24" s="224"/>
      <c r="X24" s="224"/>
      <c r="Y24" s="224"/>
      <c r="Z24" s="224"/>
      <c r="AA24" s="224"/>
      <c r="AB24" s="224"/>
      <c r="AC24" s="224"/>
      <c r="AD24" s="224"/>
      <c r="AE24" s="404"/>
      <c r="AF24" s="224"/>
      <c r="AG24" s="462"/>
      <c r="AH24" s="38"/>
      <c r="AI24" s="38"/>
      <c r="AM24" s="26"/>
      <c r="AN24" s="26"/>
      <c r="AO24" s="26"/>
      <c r="AP24" s="26"/>
    </row>
    <row r="25" spans="1:42" ht="13.5" customHeight="1" thickTop="1" thickBot="1">
      <c r="A25" s="104"/>
      <c r="B25" s="681"/>
      <c r="C25" s="438"/>
      <c r="D25" s="631" t="s">
        <v>702</v>
      </c>
      <c r="E25" s="443"/>
      <c r="F25" s="443"/>
      <c r="G25" s="443"/>
      <c r="H25" s="443"/>
      <c r="I25" s="443"/>
      <c r="J25" s="443"/>
      <c r="K25" s="443"/>
      <c r="L25" s="443"/>
      <c r="M25" s="443"/>
      <c r="N25" s="443"/>
      <c r="O25" s="2683"/>
      <c r="P25" s="443"/>
      <c r="Q25" s="682"/>
      <c r="R25" s="26"/>
      <c r="S25" s="686"/>
      <c r="T25" s="687" t="str">
        <f>CONCATENATE("Cumulative change in Vehicle Efficiency (factor from ",$C$14," for fuel, ",$C$15," for electricity)")</f>
        <v>Cumulative change in Vehicle Efficiency (factor from 2015 for fuel, 2010 for electricity)</v>
      </c>
      <c r="U25" s="233"/>
      <c r="V25" s="233"/>
      <c r="W25" s="233"/>
      <c r="X25" s="233"/>
      <c r="Y25" s="233"/>
      <c r="Z25" s="233"/>
      <c r="AA25" s="233"/>
      <c r="AB25" s="233"/>
      <c r="AC25" s="233"/>
      <c r="AD25" s="233"/>
      <c r="AE25" s="233"/>
      <c r="AF25" s="233"/>
      <c r="AG25" s="479"/>
      <c r="AH25" s="38"/>
      <c r="AI25" s="38"/>
      <c r="AM25" s="26"/>
      <c r="AN25" s="26"/>
      <c r="AO25" s="26"/>
      <c r="AP25" s="26"/>
    </row>
    <row r="26" spans="1:42" ht="13.5" customHeight="1" thickTop="1" thickBot="1">
      <c r="A26" s="464"/>
      <c r="B26" s="683"/>
      <c r="C26" s="439"/>
      <c r="D26" s="631" t="s">
        <v>1439</v>
      </c>
      <c r="E26" s="443"/>
      <c r="F26" s="591"/>
      <c r="G26" s="443" t="s">
        <v>1431</v>
      </c>
      <c r="H26" s="443"/>
      <c r="I26" s="591"/>
      <c r="J26" s="232" t="s">
        <v>1443</v>
      </c>
      <c r="K26" s="40"/>
      <c r="L26" s="232" t="s">
        <v>1444</v>
      </c>
      <c r="M26" s="40"/>
      <c r="N26" s="443" t="s">
        <v>1434</v>
      </c>
      <c r="O26" s="684"/>
      <c r="P26" s="443" t="s">
        <v>584</v>
      </c>
      <c r="Q26" s="684"/>
      <c r="R26" s="26"/>
      <c r="S26" s="686"/>
      <c r="T26" s="631" t="s">
        <v>1439</v>
      </c>
      <c r="U26" s="443"/>
      <c r="V26" s="591"/>
      <c r="W26" s="443" t="s">
        <v>1431</v>
      </c>
      <c r="X26" s="443"/>
      <c r="Y26" s="591"/>
      <c r="Z26" s="443" t="s">
        <v>1443</v>
      </c>
      <c r="AA26" s="591"/>
      <c r="AB26" s="588" t="s">
        <v>1444</v>
      </c>
      <c r="AC26" s="590"/>
      <c r="AD26" s="443" t="s">
        <v>1434</v>
      </c>
      <c r="AE26" s="684"/>
      <c r="AF26" s="443" t="s">
        <v>584</v>
      </c>
      <c r="AG26" s="684"/>
      <c r="AH26" s="38"/>
      <c r="AI26" s="38"/>
      <c r="AM26" s="26"/>
      <c r="AN26" s="26"/>
      <c r="AO26" s="26"/>
      <c r="AP26" s="26"/>
    </row>
    <row r="27" spans="1:42" ht="13.5" customHeight="1" thickTop="1" thickBot="1">
      <c r="A27" s="508"/>
      <c r="B27" s="408" t="s">
        <v>494</v>
      </c>
      <c r="C27" s="414" t="s">
        <v>384</v>
      </c>
      <c r="D27" s="572" t="s">
        <v>579</v>
      </c>
      <c r="E27" s="501" t="s">
        <v>580</v>
      </c>
      <c r="F27" s="387" t="s">
        <v>582</v>
      </c>
      <c r="G27" s="500" t="s">
        <v>579</v>
      </c>
      <c r="H27" s="685" t="s">
        <v>580</v>
      </c>
      <c r="I27" s="502" t="s">
        <v>582</v>
      </c>
      <c r="J27" s="848" t="s">
        <v>580</v>
      </c>
      <c r="K27" s="571" t="s">
        <v>561</v>
      </c>
      <c r="L27" s="848" t="s">
        <v>580</v>
      </c>
      <c r="M27" s="571" t="s">
        <v>582</v>
      </c>
      <c r="N27" s="386" t="s">
        <v>580</v>
      </c>
      <c r="O27" s="502" t="s">
        <v>582</v>
      </c>
      <c r="P27" s="386" t="s">
        <v>580</v>
      </c>
      <c r="Q27" s="502" t="s">
        <v>582</v>
      </c>
      <c r="R27" s="26"/>
      <c r="S27" s="658" t="s">
        <v>384</v>
      </c>
      <c r="T27" s="572" t="s">
        <v>579</v>
      </c>
      <c r="U27" s="501" t="s">
        <v>580</v>
      </c>
      <c r="V27" s="387" t="s">
        <v>582</v>
      </c>
      <c r="W27" s="500" t="s">
        <v>579</v>
      </c>
      <c r="X27" s="685" t="s">
        <v>580</v>
      </c>
      <c r="Y27" s="502" t="s">
        <v>582</v>
      </c>
      <c r="Z27" s="500" t="s">
        <v>580</v>
      </c>
      <c r="AA27" s="387" t="s">
        <v>561</v>
      </c>
      <c r="AB27" s="1621" t="s">
        <v>580</v>
      </c>
      <c r="AC27" s="502" t="s">
        <v>561</v>
      </c>
      <c r="AD27" s="386" t="s">
        <v>580</v>
      </c>
      <c r="AE27" s="502" t="s">
        <v>582</v>
      </c>
      <c r="AF27" s="386" t="s">
        <v>580</v>
      </c>
      <c r="AG27" s="502" t="s">
        <v>582</v>
      </c>
      <c r="AH27" s="38"/>
      <c r="AI27" s="38"/>
      <c r="AM27" s="26"/>
      <c r="AN27" s="26"/>
      <c r="AO27" s="26"/>
      <c r="AP27" s="26"/>
    </row>
    <row r="28" spans="1:42" ht="13.5" customHeight="1" thickTop="1">
      <c r="A28" s="113"/>
      <c r="B28" s="452" t="str">
        <f>CONCATENATE(C28-1," to")</f>
        <v>2006 to</v>
      </c>
      <c r="C28" s="42">
        <f>$C$14-8</f>
        <v>2007</v>
      </c>
      <c r="D28" s="1618">
        <f>IF(VLOOKUP($B28,'VoC Efficiency'!$B$27:$Q$70,COLUMN()-1,FALSE)="","",VLOOKUP($B28,'VoC Efficiency'!$B$27:$Q$70,COLUMN()-1,FALSE))</f>
        <v>-0.37020436058038397</v>
      </c>
      <c r="E28" s="1618">
        <f>IF(VLOOKUP($B28,'VoC Efficiency'!$B$27:$Q$70,COLUMN()-1,FALSE)="","",VLOOKUP($B28,'VoC Efficiency'!$B$27:$Q$70,COLUMN()-1,FALSE))</f>
        <v>-0.12916814913488395</v>
      </c>
      <c r="F28" s="3475">
        <f>IF(VLOOKUP($B28,'VoC Efficiency'!$B$27:$Q$70,COLUMN()-1,FALSE)="","",VLOOKUP($B28,'VoC Efficiency'!$B$27:$Q$70,COLUMN()-1,FALSE))</f>
        <v>0</v>
      </c>
      <c r="G28" s="1618">
        <f>IF(VLOOKUP($B28,'VoC Efficiency'!$B$27:$Q$70,COLUMN()-1,FALSE)="","",VLOOKUP($B28,'VoC Efficiency'!$B$27:$Q$70,COLUMN()-1,FALSE))</f>
        <v>-0.51853258921671364</v>
      </c>
      <c r="H28" s="1618">
        <f>IF(VLOOKUP($B28,'VoC Efficiency'!$B$27:$Q$70,COLUMN()-1,FALSE)="","",VLOOKUP($B28,'VoC Efficiency'!$B$27:$Q$70,COLUMN()-1,FALSE))</f>
        <v>-0.24309223156765425</v>
      </c>
      <c r="I28" s="3475">
        <f>IF(VLOOKUP($B28,'VoC Efficiency'!$B$27:$Q$70,COLUMN()-1,FALSE)="","",VLOOKUP($B28,'VoC Efficiency'!$B$27:$Q$70,COLUMN()-1,FALSE))</f>
        <v>0</v>
      </c>
      <c r="J28" s="3088">
        <f>IF(VLOOKUP($B28,'VoC Efficiency'!$B$27:$Q$70,COLUMN()-1,FALSE)="","",VLOOKUP($B28,'VoC Efficiency'!$B$27:$Q$70,COLUMN()-1,FALSE))</f>
        <v>-1.23</v>
      </c>
      <c r="K28" s="3087">
        <f>IF(VLOOKUP($B28,'VoC Efficiency'!$B$27:$Q$70,COLUMN()-1,FALSE)="","",VLOOKUP($B28,'VoC Efficiency'!$B$27:$Q$70,COLUMN()-1,FALSE))</f>
        <v>0</v>
      </c>
      <c r="L28" s="3088">
        <f>IF(VLOOKUP($B28,'VoC Efficiency'!$B$27:$Q$70,COLUMN()-1,FALSE)="","",VLOOKUP($B28,'VoC Efficiency'!$B$27:$Q$70,COLUMN()-1,FALSE))</f>
        <v>-1.23</v>
      </c>
      <c r="M28" s="3087">
        <f>IF(VLOOKUP($B28,'VoC Efficiency'!$B$27:$Q$70,COLUMN()-1,FALSE)="","",VLOOKUP($B28,'VoC Efficiency'!$B$27:$Q$70,COLUMN()-1,FALSE))</f>
        <v>0</v>
      </c>
      <c r="N28" s="1618">
        <f>IF(VLOOKUP($B28,'VoC Efficiency'!$B$27:$Q$70,COLUMN()-1,FALSE)="","",VLOOKUP($B28,'VoC Efficiency'!$B$27:$Q$70,COLUMN()-1,FALSE))</f>
        <v>0</v>
      </c>
      <c r="O28" s="3475">
        <f>IF(VLOOKUP($B28,'VoC Efficiency'!$B$27:$Q$70,COLUMN()-1,FALSE)="","",VLOOKUP($B28,'VoC Efficiency'!$B$27:$Q$70,COLUMN()-1,FALSE))</f>
        <v>0</v>
      </c>
      <c r="P28" s="1618">
        <f>IF(VLOOKUP($B28,'VoC Efficiency'!$B$27:$Q$70,COLUMN()-1,FALSE)="","",VLOOKUP($B28,'VoC Efficiency'!$B$27:$Q$70,COLUMN()-1,FALSE))</f>
        <v>0</v>
      </c>
      <c r="Q28" s="3475">
        <f>IF(VLOOKUP($B28,'VoC Efficiency'!$B$27:$Q$70,COLUMN()-1,FALSE)="","",VLOOKUP($B28,'VoC Efficiency'!$B$27:$Q$70,COLUMN()-1,FALSE))</f>
        <v>0</v>
      </c>
      <c r="R28" s="26"/>
      <c r="S28" s="3476">
        <f t="shared" ref="S28:S71" si="0">C28</f>
        <v>2007</v>
      </c>
      <c r="T28" s="1618">
        <f>IF($S28&lt;$C$14,T29/(1+D29/100),IF($S28=$C$14,1,T27*(1+D28/100)))</f>
        <v>1.0662022276714038</v>
      </c>
      <c r="U28" s="1618">
        <f>IF($S28&lt;$C$14,U29/(1+E29/100),IF($S28=$C$14,1,U27*(1+E28/100)))</f>
        <v>1.0803707273841536</v>
      </c>
      <c r="V28" s="3475">
        <f>IF($S28&lt;$C$15,V29/(1+F29/100),IF($S28=$C$15,1,V27*(1+F28/100)))</f>
        <v>1</v>
      </c>
      <c r="W28" s="1618">
        <f>IF($S28&lt;$C$14,W29/(1+G29/100),IF($S28=$C$14,1,W27*(1+G28/100)))</f>
        <v>0.99028302998919582</v>
      </c>
      <c r="X28" s="1618">
        <f t="shared" ref="X28:Y36" si="1">IF($S28&lt;$C$14,X29/(1+H29/100),IF($S28=$C$14,1,X27*(1+H28/100)))</f>
        <v>1.0184715702671374</v>
      </c>
      <c r="Y28" s="1618">
        <f t="shared" si="1"/>
        <v>1.0062183127519075</v>
      </c>
      <c r="Z28" s="3088">
        <f>IF($S28&lt;$C$14,Z29/(1+J29/100),IF($S28=$C$14,1,Z27*(1+J28/100)))</f>
        <v>1.0378266980106197</v>
      </c>
      <c r="AA28" s="3087">
        <f>IF($S28&lt;$C$15,AA29/(1+K29/100),IF($S28=$C$15,1,AA27*(1+K28/100)))</f>
        <v>1</v>
      </c>
      <c r="AB28" s="3088">
        <f>IF($S28&lt;$C$14,AB29/(1+L29/100),IF($S28=$C$14,1,AB27*(1+L28/100)))</f>
        <v>1.0378266980106197</v>
      </c>
      <c r="AC28" s="3087">
        <f>IF($S28&lt;$C$15,AC29/(1+M29/100),IF($S28=$C$15,1,AC27*(1+M28/100)))</f>
        <v>1</v>
      </c>
      <c r="AD28" s="1618">
        <f>IF($S28&lt;$C$14,AD29/(1+N29/100),IF($S28=$C$14,1,AD27*(1+N28/100)))</f>
        <v>1</v>
      </c>
      <c r="AE28" s="3475">
        <f>IF($S28&lt;$C$15,AE29/(1+O29/100),IF($S28=$C$15,1,AE27*(1+O28/100)))</f>
        <v>1</v>
      </c>
      <c r="AF28" s="1618">
        <f>IF($S28&lt;$C$14,AF29/(1+P29/100),IF($S28=$C$14,1,AF27*(1+P28/100)))</f>
        <v>0.99746453753783859</v>
      </c>
      <c r="AG28" s="3475">
        <f>IF($S28&lt;$C$15,AG29/(1+Q29/100),IF($S28=$C$15,1,AG27*(1+Q28/100)))</f>
        <v>1</v>
      </c>
      <c r="AH28" s="38"/>
      <c r="AI28" s="38"/>
      <c r="AM28" s="26"/>
      <c r="AN28" s="26"/>
      <c r="AO28" s="26"/>
      <c r="AP28" s="26"/>
    </row>
    <row r="29" spans="1:42" ht="13.5" customHeight="1">
      <c r="A29" s="113"/>
      <c r="B29" s="452" t="str">
        <f t="shared" ref="B29:B58" si="2">CONCATENATE(C29-1," to")</f>
        <v>2007 to</v>
      </c>
      <c r="C29" s="42">
        <f>C28+1</f>
        <v>2008</v>
      </c>
      <c r="D29" s="1618">
        <f>IF(VLOOKUP($B29,'VoC Efficiency'!$B$27:$Q$70,COLUMN()-1,FALSE)="","",VLOOKUP($B29,'VoC Efficiency'!$B$27:$Q$70,COLUMN()-1,FALSE))</f>
        <v>-0.43620497989776963</v>
      </c>
      <c r="E29" s="1618">
        <f>IF(VLOOKUP($B29,'VoC Efficiency'!$B$27:$Q$70,COLUMN()-1,FALSE)="","",VLOOKUP($B29,'VoC Efficiency'!$B$27:$Q$70,COLUMN()-1,FALSE))</f>
        <v>-0.54757578107206273</v>
      </c>
      <c r="F29" s="3087">
        <f>IF(VLOOKUP($B29,'VoC Efficiency'!$B$27:$Q$70,COLUMN()-1,FALSE)="","",VLOOKUP($B29,'VoC Efficiency'!$B$27:$Q$70,COLUMN()-1,FALSE))</f>
        <v>0</v>
      </c>
      <c r="G29" s="1618">
        <f>IF(VLOOKUP($B29,'VoC Efficiency'!$B$27:$Q$70,COLUMN()-1,FALSE)="","",VLOOKUP($B29,'VoC Efficiency'!$B$27:$Q$70,COLUMN()-1,FALSE))</f>
        <v>-0.43852358415570336</v>
      </c>
      <c r="H29" s="1618">
        <f>IF(VLOOKUP($B29,'VoC Efficiency'!$B$27:$Q$70,COLUMN()-1,FALSE)="","",VLOOKUP($B29,'VoC Efficiency'!$B$27:$Q$70,COLUMN()-1,FALSE))</f>
        <v>-8.4536721659955738E-2</v>
      </c>
      <c r="I29" s="3087">
        <f>IF(VLOOKUP($B29,'VoC Efficiency'!$B$27:$Q$70,COLUMN()-1,FALSE)="","",VLOOKUP($B29,'VoC Efficiency'!$B$27:$Q$70,COLUMN()-1,FALSE))</f>
        <v>0</v>
      </c>
      <c r="J29" s="3088">
        <f>IF(VLOOKUP($B29,'VoC Efficiency'!$B$27:$Q$70,COLUMN()-1,FALSE)="","",VLOOKUP($B29,'VoC Efficiency'!$B$27:$Q$70,COLUMN()-1,FALSE))</f>
        <v>-1.23</v>
      </c>
      <c r="K29" s="3087">
        <f>IF(VLOOKUP($B29,'VoC Efficiency'!$B$27:$Q$70,COLUMN()-1,FALSE)="","",VLOOKUP($B29,'VoC Efficiency'!$B$27:$Q$70,COLUMN()-1,FALSE))</f>
        <v>0</v>
      </c>
      <c r="L29" s="3088">
        <f>IF(VLOOKUP($B29,'VoC Efficiency'!$B$27:$Q$70,COLUMN()-1,FALSE)="","",VLOOKUP($B29,'VoC Efficiency'!$B$27:$Q$70,COLUMN()-1,FALSE))</f>
        <v>-1.23</v>
      </c>
      <c r="M29" s="3087">
        <f>IF(VLOOKUP($B29,'VoC Efficiency'!$B$27:$Q$70,COLUMN()-1,FALSE)="","",VLOOKUP($B29,'VoC Efficiency'!$B$27:$Q$70,COLUMN()-1,FALSE))</f>
        <v>0</v>
      </c>
      <c r="N29" s="1618">
        <f>IF(VLOOKUP($B29,'VoC Efficiency'!$B$27:$Q$70,COLUMN()-1,FALSE)="","",VLOOKUP($B29,'VoC Efficiency'!$B$27:$Q$70,COLUMN()-1,FALSE))</f>
        <v>0</v>
      </c>
      <c r="O29" s="3087">
        <f>IF(VLOOKUP($B29,'VoC Efficiency'!$B$27:$Q$70,COLUMN()-1,FALSE)="","",VLOOKUP($B29,'VoC Efficiency'!$B$27:$Q$70,COLUMN()-1,FALSE))</f>
        <v>0</v>
      </c>
      <c r="P29" s="1618">
        <f>IF(VLOOKUP($B29,'VoC Efficiency'!$B$27:$Q$70,COLUMN()-1,FALSE)="","",VLOOKUP($B29,'VoC Efficiency'!$B$27:$Q$70,COLUMN()-1,FALSE))</f>
        <v>0</v>
      </c>
      <c r="Q29" s="3087">
        <f>IF(VLOOKUP($B29,'VoC Efficiency'!$B$27:$Q$70,COLUMN()-1,FALSE)="","",VLOOKUP($B29,'VoC Efficiency'!$B$27:$Q$70,COLUMN()-1,FALSE))</f>
        <v>0</v>
      </c>
      <c r="R29" s="26"/>
      <c r="S29" s="673">
        <f t="shared" si="0"/>
        <v>2008</v>
      </c>
      <c r="T29" s="1618">
        <f t="shared" ref="T29:U69" si="3">IF($S29&lt;$C$14,T30/(1+D30/100),IF($S29=$C$14,1,T28*(1+D29/100)))</f>
        <v>1.0615514004585203</v>
      </c>
      <c r="U29" s="1618">
        <f t="shared" si="3"/>
        <v>1.074454878935206</v>
      </c>
      <c r="V29" s="3087">
        <f t="shared" ref="V29:V71" si="4">IF($S29&lt;$C$15,V30/(1+F30/100),IF($S29=$C$15,1,V28*(1+F29/100)))</f>
        <v>1</v>
      </c>
      <c r="W29" s="1618">
        <f t="shared" ref="W29:W36" si="5">IF($S29&lt;$C$14,W30/(1+G30/100),IF($S29=$C$14,1,W28*(1+G29/100)))</f>
        <v>0.98594040535280147</v>
      </c>
      <c r="X29" s="1618">
        <f t="shared" si="1"/>
        <v>1.017610587790595</v>
      </c>
      <c r="Y29" s="1618">
        <f t="shared" si="1"/>
        <v>1.0062183127519075</v>
      </c>
      <c r="Z29" s="3088">
        <f t="shared" ref="Z29:Z71" si="6">IF($S29&lt;$C$14,Z30/(1+J30/100),IF($S29=$C$14,1,Z28*(1+J29/100)))</f>
        <v>1.0250614296250891</v>
      </c>
      <c r="AA29" s="3087">
        <f t="shared" ref="AA29:AA71" si="7">IF($S29&lt;$C$15,AA30/(1+K30/100),IF($S29=$C$15,1,AA28*(1+K29/100)))</f>
        <v>1</v>
      </c>
      <c r="AB29" s="3088">
        <f>IF($S29&lt;$C$14,AB30/(1+L30/100),IF($S29=$C$14,1,AB28*(1+L29/100)))</f>
        <v>1.0250614296250891</v>
      </c>
      <c r="AC29" s="3087">
        <f t="shared" ref="AC29:AC71" si="8">IF($S29&lt;$C$15,AC30/(1+M30/100),IF($S29=$C$15,1,AC28*(1+M29/100)))</f>
        <v>1</v>
      </c>
      <c r="AD29" s="1618">
        <f t="shared" ref="AD29:AD71" si="9">IF($S29&lt;$C$14,AD30/(1+N30/100),IF($S29=$C$14,1,AD28*(1+N29/100)))</f>
        <v>1</v>
      </c>
      <c r="AE29" s="3087">
        <f t="shared" ref="AE29:AE71" si="10">IF($S29&lt;$C$15,AE30/(1+O30/100),IF($S29=$C$15,1,AE28*(1+O29/100)))</f>
        <v>1</v>
      </c>
      <c r="AF29" s="1618">
        <f t="shared" ref="AF29:AF71" si="11">IF($S29&lt;$C$14,AF30/(1+P30/100),IF($S29=$C$14,1,AF28*(1+P29/100)))</f>
        <v>0.99746453753783859</v>
      </c>
      <c r="AG29" s="3087">
        <f t="shared" ref="AG29:AG71" si="12">IF($S29&lt;$C$15,AG30/(1+Q30/100),IF($S29=$C$15,1,AG28*(1+Q29/100)))</f>
        <v>1</v>
      </c>
      <c r="AH29" s="38"/>
      <c r="AI29" s="3477"/>
      <c r="AM29" s="26"/>
      <c r="AN29" s="26"/>
      <c r="AO29" s="26"/>
      <c r="AP29" s="26"/>
    </row>
    <row r="30" spans="1:42" ht="13.5" customHeight="1">
      <c r="A30" s="113"/>
      <c r="B30" s="452" t="str">
        <f t="shared" si="2"/>
        <v>2008 to</v>
      </c>
      <c r="C30" s="42">
        <f>C29+1</f>
        <v>2009</v>
      </c>
      <c r="D30" s="1618">
        <f>IF(VLOOKUP($B30,'VoC Efficiency'!$B$27:$Q$70,COLUMN()-1,FALSE)="","",VLOOKUP($B30,'VoC Efficiency'!$B$27:$Q$70,COLUMN()-1,FALSE))</f>
        <v>-0.58929962907879885</v>
      </c>
      <c r="E30" s="1618">
        <f>IF(VLOOKUP($B30,'VoC Efficiency'!$B$27:$Q$70,COLUMN()-1,FALSE)="","",VLOOKUP($B30,'VoC Efficiency'!$B$27:$Q$70,COLUMN()-1,FALSE))</f>
        <v>-0.56711821586102884</v>
      </c>
      <c r="F30" s="3087">
        <f>IF(VLOOKUP($B30,'VoC Efficiency'!$B$27:$Q$70,COLUMN()-1,FALSE)="","",VLOOKUP($B30,'VoC Efficiency'!$B$27:$Q$70,COLUMN()-1,FALSE))</f>
        <v>0</v>
      </c>
      <c r="G30" s="1618">
        <f>IF(VLOOKUP($B30,'VoC Efficiency'!$B$27:$Q$70,COLUMN()-1,FALSE)="","",VLOOKUP($B30,'VoC Efficiency'!$B$27:$Q$70,COLUMN()-1,FALSE))</f>
        <v>-0.10293005140062927</v>
      </c>
      <c r="H30" s="1618">
        <f>IF(VLOOKUP($B30,'VoC Efficiency'!$B$27:$Q$70,COLUMN()-1,FALSE)="","",VLOOKUP($B30,'VoC Efficiency'!$B$27:$Q$70,COLUMN()-1,FALSE))</f>
        <v>-0.12500823801113725</v>
      </c>
      <c r="I30" s="3087">
        <f>IF(VLOOKUP($B30,'VoC Efficiency'!$B$27:$Q$70,COLUMN()-1,FALSE)="","",VLOOKUP($B30,'VoC Efficiency'!$B$27:$Q$70,COLUMN()-1,FALSE))</f>
        <v>0</v>
      </c>
      <c r="J30" s="3088">
        <f>IF(VLOOKUP($B30,'VoC Efficiency'!$B$27:$Q$70,COLUMN()-1,FALSE)="","",VLOOKUP($B30,'VoC Efficiency'!$B$27:$Q$70,COLUMN()-1,FALSE))</f>
        <v>-1.23</v>
      </c>
      <c r="K30" s="3087">
        <f>IF(VLOOKUP($B30,'VoC Efficiency'!$B$27:$Q$70,COLUMN()-1,FALSE)="","",VLOOKUP($B30,'VoC Efficiency'!$B$27:$Q$70,COLUMN()-1,FALSE))</f>
        <v>0</v>
      </c>
      <c r="L30" s="3088">
        <f>IF(VLOOKUP($B30,'VoC Efficiency'!$B$27:$Q$70,COLUMN()-1,FALSE)="","",VLOOKUP($B30,'VoC Efficiency'!$B$27:$Q$70,COLUMN()-1,FALSE))</f>
        <v>-1.23</v>
      </c>
      <c r="M30" s="3087">
        <f>IF(VLOOKUP($B30,'VoC Efficiency'!$B$27:$Q$70,COLUMN()-1,FALSE)="","",VLOOKUP($B30,'VoC Efficiency'!$B$27:$Q$70,COLUMN()-1,FALSE))</f>
        <v>0</v>
      </c>
      <c r="N30" s="1618">
        <f>IF(VLOOKUP($B30,'VoC Efficiency'!$B$27:$Q$70,COLUMN()-1,FALSE)="","",VLOOKUP($B30,'VoC Efficiency'!$B$27:$Q$70,COLUMN()-1,FALSE))</f>
        <v>0</v>
      </c>
      <c r="O30" s="3087">
        <f>IF(VLOOKUP($B30,'VoC Efficiency'!$B$27:$Q$70,COLUMN()-1,FALSE)="","",VLOOKUP($B30,'VoC Efficiency'!$B$27:$Q$70,COLUMN()-1,FALSE))</f>
        <v>0</v>
      </c>
      <c r="P30" s="1618">
        <f>IF(VLOOKUP($B30,'VoC Efficiency'!$B$27:$Q$70,COLUMN()-1,FALSE)="","",VLOOKUP($B30,'VoC Efficiency'!$B$27:$Q$70,COLUMN()-1,FALSE))</f>
        <v>0</v>
      </c>
      <c r="Q30" s="3087">
        <f>IF(VLOOKUP($B30,'VoC Efficiency'!$B$27:$Q$70,COLUMN()-1,FALSE)="","",VLOOKUP($B30,'VoC Efficiency'!$B$27:$Q$70,COLUMN()-1,FALSE))</f>
        <v>0</v>
      </c>
      <c r="R30" s="694"/>
      <c r="S30" s="673">
        <f t="shared" si="0"/>
        <v>2009</v>
      </c>
      <c r="T30" s="1618">
        <f t="shared" si="3"/>
        <v>1.0552956819931374</v>
      </c>
      <c r="U30" s="1618">
        <f t="shared" si="3"/>
        <v>1.0683614495955569</v>
      </c>
      <c r="V30" s="3087">
        <f t="shared" si="4"/>
        <v>1</v>
      </c>
      <c r="W30" s="1618">
        <f t="shared" si="5"/>
        <v>0.98492557638679223</v>
      </c>
      <c r="X30" s="1618">
        <f t="shared" si="1"/>
        <v>1.0163384907249833</v>
      </c>
      <c r="Y30" s="1618">
        <f t="shared" si="1"/>
        <v>1.0062183127519075</v>
      </c>
      <c r="Z30" s="3088">
        <f>IF($S30&lt;$C$14,Z31/(1+J31/100),IF($S30=$C$14,1,Z29*(1+J30/100)))</f>
        <v>1.0124531740407006</v>
      </c>
      <c r="AA30" s="3087">
        <f>IF($S30&lt;$C$15,AA31/(1+K31/100),IF($S30=$C$15,1,AA29*(1+K30/100)))</f>
        <v>1</v>
      </c>
      <c r="AB30" s="3088">
        <f t="shared" ref="AB30:AB71" si="13">IF($S30&lt;$C$14,AB31/(1+L31/100),IF($S30=$C$14,1,AB29*(1+L30/100)))</f>
        <v>1.0124531740407006</v>
      </c>
      <c r="AC30" s="3087">
        <f t="shared" si="8"/>
        <v>1</v>
      </c>
      <c r="AD30" s="1618">
        <f t="shared" si="9"/>
        <v>1</v>
      </c>
      <c r="AE30" s="3087">
        <f t="shared" si="10"/>
        <v>1</v>
      </c>
      <c r="AF30" s="1618">
        <f t="shared" si="11"/>
        <v>0.99746453753783859</v>
      </c>
      <c r="AG30" s="3087">
        <f t="shared" si="12"/>
        <v>1</v>
      </c>
      <c r="AH30" s="3470"/>
      <c r="AI30" s="3477"/>
      <c r="AM30" s="26"/>
      <c r="AN30" s="26"/>
      <c r="AO30" s="26"/>
      <c r="AP30" s="26"/>
    </row>
    <row r="31" spans="1:42" ht="13.5" customHeight="1">
      <c r="A31" s="113"/>
      <c r="B31" s="452" t="str">
        <f t="shared" si="2"/>
        <v>2009 to</v>
      </c>
      <c r="C31" s="42">
        <f>C30+1</f>
        <v>2010</v>
      </c>
      <c r="D31" s="1618">
        <f>IF(VLOOKUP($B31,'VoC Efficiency'!$B$27:$Q$70,COLUMN()-1,FALSE)="","",VLOOKUP($B31,'VoC Efficiency'!$B$27:$Q$70,COLUMN()-1,FALSE))</f>
        <v>-0.19243065607926768</v>
      </c>
      <c r="E31" s="1618">
        <f>IF(VLOOKUP($B31,'VoC Efficiency'!$B$27:$Q$70,COLUMN()-1,FALSE)="","",VLOOKUP($B31,'VoC Efficiency'!$B$27:$Q$70,COLUMN()-1,FALSE))</f>
        <v>-0.75751954336348293</v>
      </c>
      <c r="F31" s="3087">
        <f>IF(VLOOKUP($B31,'VoC Efficiency'!$B$27:$Q$70,COLUMN()-1,FALSE)="","",VLOOKUP($B31,'VoC Efficiency'!$B$27:$Q$70,COLUMN()-1,FALSE))</f>
        <v>0</v>
      </c>
      <c r="G31" s="1618">
        <f>IF(VLOOKUP($B31,'VoC Efficiency'!$B$27:$Q$70,COLUMN()-1,FALSE)="","",VLOOKUP($B31,'VoC Efficiency'!$B$27:$Q$70,COLUMN()-1,FALSE))</f>
        <v>0.52026156456477235</v>
      </c>
      <c r="H31" s="1618">
        <f>IF(VLOOKUP($B31,'VoC Efficiency'!$B$27:$Q$70,COLUMN()-1,FALSE)="","",VLOOKUP($B31,'VoC Efficiency'!$B$27:$Q$70,COLUMN()-1,FALSE))</f>
        <v>-0.39290687819439896</v>
      </c>
      <c r="I31" s="3087">
        <f>IF(VLOOKUP($B31,'VoC Efficiency'!$B$27:$Q$70,COLUMN()-1,FALSE)="","",VLOOKUP($B31,'VoC Efficiency'!$B$27:$Q$70,COLUMN()-1,FALSE))</f>
        <v>0</v>
      </c>
      <c r="J31" s="3088">
        <f>IF(VLOOKUP($B31,'VoC Efficiency'!$B$27:$Q$70,COLUMN()-1,FALSE)="","",VLOOKUP($B31,'VoC Efficiency'!$B$27:$Q$70,COLUMN()-1,FALSE))</f>
        <v>-1.23</v>
      </c>
      <c r="K31" s="3087">
        <f>IF(VLOOKUP($B31,'VoC Efficiency'!$B$27:$Q$70,COLUMN()-1,FALSE)="","",VLOOKUP($B31,'VoC Efficiency'!$B$27:$Q$70,COLUMN()-1,FALSE))</f>
        <v>0</v>
      </c>
      <c r="L31" s="3088">
        <f>IF(VLOOKUP($B31,'VoC Efficiency'!$B$27:$Q$70,COLUMN()-1,FALSE)="","",VLOOKUP($B31,'VoC Efficiency'!$B$27:$Q$70,COLUMN()-1,FALSE))</f>
        <v>-1.23</v>
      </c>
      <c r="M31" s="3087">
        <f>IF(VLOOKUP($B31,'VoC Efficiency'!$B$27:$Q$70,COLUMN()-1,FALSE)="","",VLOOKUP($B31,'VoC Efficiency'!$B$27:$Q$70,COLUMN()-1,FALSE))</f>
        <v>0</v>
      </c>
      <c r="N31" s="1618">
        <f>IF(VLOOKUP($B31,'VoC Efficiency'!$B$27:$Q$70,COLUMN()-1,FALSE)="","",VLOOKUP($B31,'VoC Efficiency'!$B$27:$Q$70,COLUMN()-1,FALSE))</f>
        <v>0</v>
      </c>
      <c r="O31" s="3087">
        <f>IF(VLOOKUP($B31,'VoC Efficiency'!$B$27:$Q$70,COLUMN()-1,FALSE)="","",VLOOKUP($B31,'VoC Efficiency'!$B$27:$Q$70,COLUMN()-1,FALSE))</f>
        <v>0</v>
      </c>
      <c r="P31" s="1618">
        <f>IF(VLOOKUP($B31,'VoC Efficiency'!$B$27:$Q$70,COLUMN()-1,FALSE)="","",VLOOKUP($B31,'VoC Efficiency'!$B$27:$Q$70,COLUMN()-1,FALSE))</f>
        <v>0</v>
      </c>
      <c r="Q31" s="3087">
        <f>IF(VLOOKUP($B31,'VoC Efficiency'!$B$27:$Q$70,COLUMN()-1,FALSE)="","",VLOOKUP($B31,'VoC Efficiency'!$B$27:$Q$70,COLUMN()-1,FALSE))</f>
        <v>0</v>
      </c>
      <c r="R31" s="694"/>
      <c r="S31" s="673">
        <f t="shared" si="0"/>
        <v>2010</v>
      </c>
      <c r="T31" s="1618">
        <f t="shared" si="3"/>
        <v>1.0532649695887017</v>
      </c>
      <c r="U31" s="1618">
        <f t="shared" si="3"/>
        <v>1.0602684028211091</v>
      </c>
      <c r="V31" s="3087">
        <f t="shared" si="4"/>
        <v>1</v>
      </c>
      <c r="W31" s="1618">
        <f t="shared" si="5"/>
        <v>0.99004976560030078</v>
      </c>
      <c r="X31" s="1618">
        <f t="shared" si="1"/>
        <v>1.0123452268891877</v>
      </c>
      <c r="Y31" s="1618">
        <f t="shared" si="1"/>
        <v>1.0062183127519075</v>
      </c>
      <c r="Z31" s="3088">
        <f t="shared" si="6"/>
        <v>1</v>
      </c>
      <c r="AA31" s="3087">
        <f>IF($S31&lt;$C$15,AA32/(1+K32/100),IF($S31=$C$15,1,AA30*(1+K31/100)))</f>
        <v>1</v>
      </c>
      <c r="AB31" s="3088">
        <f t="shared" si="13"/>
        <v>1</v>
      </c>
      <c r="AC31" s="3087">
        <f t="shared" si="8"/>
        <v>1</v>
      </c>
      <c r="AD31" s="1618">
        <f t="shared" si="9"/>
        <v>1</v>
      </c>
      <c r="AE31" s="3087">
        <f t="shared" si="10"/>
        <v>1</v>
      </c>
      <c r="AF31" s="1618">
        <f t="shared" si="11"/>
        <v>0.99746453753783859</v>
      </c>
      <c r="AG31" s="3087">
        <f t="shared" si="12"/>
        <v>1</v>
      </c>
      <c r="AH31" s="3470"/>
      <c r="AI31" s="3477"/>
      <c r="AM31" s="26"/>
      <c r="AN31" s="26"/>
      <c r="AO31" s="26"/>
      <c r="AP31" s="26"/>
    </row>
    <row r="32" spans="1:42" ht="13.5" customHeight="1">
      <c r="A32" s="113"/>
      <c r="B32" s="452" t="str">
        <f t="shared" si="2"/>
        <v>2010 to</v>
      </c>
      <c r="C32" s="42">
        <f>C31+1</f>
        <v>2011</v>
      </c>
      <c r="D32" s="1618">
        <f>IF(VLOOKUP($B32,'VoC Efficiency'!$B$27:$Q$70,COLUMN()-1,FALSE)="","",VLOOKUP($B32,'VoC Efficiency'!$B$27:$Q$70,COLUMN()-1,FALSE))</f>
        <v>-0.47145816679151631</v>
      </c>
      <c r="E32" s="1618">
        <f>IF(VLOOKUP($B32,'VoC Efficiency'!$B$27:$Q$70,COLUMN()-1,FALSE)="","",VLOOKUP($B32,'VoC Efficiency'!$B$27:$Q$70,COLUMN()-1,FALSE))</f>
        <v>-0.87566709688881028</v>
      </c>
      <c r="F32" s="3087">
        <f>IF(VLOOKUP($B32,'VoC Efficiency'!$B$27:$Q$70,COLUMN()-1,FALSE)="","",VLOOKUP($B32,'VoC Efficiency'!$B$27:$Q$70,COLUMN()-1,FALSE))</f>
        <v>0</v>
      </c>
      <c r="G32" s="1618">
        <f>IF(VLOOKUP($B32,'VoC Efficiency'!$B$27:$Q$70,COLUMN()-1,FALSE)="","",VLOOKUP($B32,'VoC Efficiency'!$B$27:$Q$70,COLUMN()-1,FALSE))</f>
        <v>0.35157850797205015</v>
      </c>
      <c r="H32" s="1618">
        <f>IF(VLOOKUP($B32,'VoC Efficiency'!$B$27:$Q$70,COLUMN()-1,FALSE)="","",VLOOKUP($B32,'VoC Efficiency'!$B$27:$Q$70,COLUMN()-1,FALSE))</f>
        <v>-0.15615359537842766</v>
      </c>
      <c r="I32" s="3087">
        <f>IF(VLOOKUP($B32,'VoC Efficiency'!$B$27:$Q$70,COLUMN()-1,FALSE)="","",VLOOKUP($B32,'VoC Efficiency'!$B$27:$Q$70,COLUMN()-1,FALSE))</f>
        <v>0</v>
      </c>
      <c r="J32" s="3088">
        <f>IF(VLOOKUP($B32,'VoC Efficiency'!$B$27:$Q$70,COLUMN()-1,FALSE)="","",VLOOKUP($B32,'VoC Efficiency'!$B$27:$Q$70,COLUMN()-1,FALSE))</f>
        <v>0</v>
      </c>
      <c r="K32" s="3087">
        <f>IF(VLOOKUP($B32,'VoC Efficiency'!$B$27:$Q$70,COLUMN()-1,FALSE)="","",VLOOKUP($B32,'VoC Efficiency'!$B$27:$Q$70,COLUMN()-1,FALSE))</f>
        <v>0</v>
      </c>
      <c r="L32" s="3088">
        <f>IF(VLOOKUP($B32,'VoC Efficiency'!$B$27:$Q$70,COLUMN()-1,FALSE)="","",VLOOKUP($B32,'VoC Efficiency'!$B$27:$Q$70,COLUMN()-1,FALSE))</f>
        <v>0</v>
      </c>
      <c r="M32" s="3087">
        <f>IF(VLOOKUP($B32,'VoC Efficiency'!$B$27:$Q$70,COLUMN()-1,FALSE)="","",VLOOKUP($B32,'VoC Efficiency'!$B$27:$Q$70,COLUMN()-1,FALSE))</f>
        <v>0</v>
      </c>
      <c r="N32" s="1618">
        <f>IF(VLOOKUP($B32,'VoC Efficiency'!$B$27:$Q$70,COLUMN()-1,FALSE)="","",VLOOKUP($B32,'VoC Efficiency'!$B$27:$Q$70,COLUMN()-1,FALSE))</f>
        <v>0</v>
      </c>
      <c r="O32" s="3087">
        <f>IF(VLOOKUP($B32,'VoC Efficiency'!$B$27:$Q$70,COLUMN()-1,FALSE)="","",VLOOKUP($B32,'VoC Efficiency'!$B$27:$Q$70,COLUMN()-1,FALSE))</f>
        <v>0</v>
      </c>
      <c r="P32" s="1618">
        <f>IF(VLOOKUP($B32,'VoC Efficiency'!$B$27:$Q$70,COLUMN()-1,FALSE)="","",VLOOKUP($B32,'VoC Efficiency'!$B$27:$Q$70,COLUMN()-1,FALSE))</f>
        <v>0</v>
      </c>
      <c r="Q32" s="3087">
        <f>IF(VLOOKUP($B32,'VoC Efficiency'!$B$27:$Q$70,COLUMN()-1,FALSE)="","",VLOOKUP($B32,'VoC Efficiency'!$B$27:$Q$70,COLUMN()-1,FALSE))</f>
        <v>0</v>
      </c>
      <c r="R32" s="694"/>
      <c r="S32" s="673">
        <f t="shared" si="0"/>
        <v>2011</v>
      </c>
      <c r="T32" s="1618">
        <f t="shared" si="3"/>
        <v>1.0482992658716217</v>
      </c>
      <c r="U32" s="1618">
        <f t="shared" si="3"/>
        <v>1.0509839812788961</v>
      </c>
      <c r="V32" s="3087">
        <f t="shared" si="4"/>
        <v>1</v>
      </c>
      <c r="W32" s="1618">
        <f t="shared" si="5"/>
        <v>0.99353056779437909</v>
      </c>
      <c r="X32" s="1618">
        <f t="shared" si="1"/>
        <v>1.0107644134197584</v>
      </c>
      <c r="Y32" s="1618">
        <f t="shared" si="1"/>
        <v>1.0062183127519075</v>
      </c>
      <c r="Z32" s="3088">
        <f t="shared" si="6"/>
        <v>1</v>
      </c>
      <c r="AA32" s="3087">
        <f>IF($S32&lt;$C$15,AA33/(1+K33/100),IF($S32=$C$15,1,AA31*(1+K32/100)))</f>
        <v>1</v>
      </c>
      <c r="AB32" s="3088">
        <f t="shared" si="13"/>
        <v>1</v>
      </c>
      <c r="AC32" s="3087">
        <f t="shared" si="8"/>
        <v>1</v>
      </c>
      <c r="AD32" s="1618">
        <f t="shared" si="9"/>
        <v>1</v>
      </c>
      <c r="AE32" s="3087">
        <f t="shared" si="10"/>
        <v>1</v>
      </c>
      <c r="AF32" s="1618">
        <f t="shared" si="11"/>
        <v>0.99746453753783859</v>
      </c>
      <c r="AG32" s="3087">
        <f t="shared" si="12"/>
        <v>1</v>
      </c>
      <c r="AH32" s="3470"/>
      <c r="AI32" s="3477"/>
      <c r="AM32" s="26"/>
      <c r="AN32" s="26"/>
      <c r="AO32" s="26"/>
      <c r="AP32" s="26"/>
    </row>
    <row r="33" spans="1:42" ht="13.5" customHeight="1">
      <c r="A33" s="113"/>
      <c r="B33" s="3179" t="str">
        <f t="shared" si="2"/>
        <v>2011 to</v>
      </c>
      <c r="C33" s="42">
        <f>C32+1</f>
        <v>2012</v>
      </c>
      <c r="D33" s="1618">
        <f>IF(VLOOKUP($B33,'VoC Efficiency'!$B$27:$Q$70,COLUMN()-1,FALSE)="","",VLOOKUP($B33,'VoC Efficiency'!$B$27:$Q$70,COLUMN()-1,FALSE))</f>
        <v>-0.73436446744769013</v>
      </c>
      <c r="E33" s="1618">
        <f>IF(VLOOKUP($B33,'VoC Efficiency'!$B$27:$Q$70,COLUMN()-1,FALSE)="","",VLOOKUP($B33,'VoC Efficiency'!$B$27:$Q$70,COLUMN()-1,FALSE))</f>
        <v>-1.0417882085066443</v>
      </c>
      <c r="F33" s="3087">
        <f>IF(VLOOKUP($B33,'VoC Efficiency'!$B$27:$Q$70,COLUMN()-1,FALSE)="","",VLOOKUP($B33,'VoC Efficiency'!$B$27:$Q$70,COLUMN()-1,FALSE))</f>
        <v>0.16634158684771805</v>
      </c>
      <c r="G33" s="1618">
        <f>IF(VLOOKUP($B33,'VoC Efficiency'!$B$27:$Q$70,COLUMN()-1,FALSE)="","",VLOOKUP($B33,'VoC Efficiency'!$B$27:$Q$70,COLUMN()-1,FALSE))</f>
        <v>0.24388612867640713</v>
      </c>
      <c r="H33" s="1618">
        <f>IF(VLOOKUP($B33,'VoC Efficiency'!$B$27:$Q$70,COLUMN()-1,FALSE)="","",VLOOKUP($B33,'VoC Efficiency'!$B$27:$Q$70,COLUMN()-1,FALSE))</f>
        <v>-0.31964280974375869</v>
      </c>
      <c r="I33" s="3087">
        <f>IF(VLOOKUP($B33,'VoC Efficiency'!$B$27:$Q$70,COLUMN()-1,FALSE)="","",VLOOKUP($B33,'VoC Efficiency'!$B$27:$Q$70,COLUMN()-1,FALSE))</f>
        <v>0</v>
      </c>
      <c r="J33" s="3088">
        <f>IF(VLOOKUP($B33,'VoC Efficiency'!$B$27:$Q$70,COLUMN()-1,FALSE)="","",VLOOKUP($B33,'VoC Efficiency'!$B$27:$Q$70,COLUMN()-1,FALSE))</f>
        <v>0</v>
      </c>
      <c r="K33" s="3087">
        <f>IF(VLOOKUP($B33,'VoC Efficiency'!$B$27:$Q$70,COLUMN()-1,FALSE)="","",VLOOKUP($B33,'VoC Efficiency'!$B$27:$Q$70,COLUMN()-1,FALSE))</f>
        <v>0</v>
      </c>
      <c r="L33" s="3088">
        <f>IF(VLOOKUP($B33,'VoC Efficiency'!$B$27:$Q$70,COLUMN()-1,FALSE)="","",VLOOKUP($B33,'VoC Efficiency'!$B$27:$Q$70,COLUMN()-1,FALSE))</f>
        <v>0</v>
      </c>
      <c r="M33" s="3087">
        <f>IF(VLOOKUP($B33,'VoC Efficiency'!$B$27:$Q$70,COLUMN()-1,FALSE)="","",VLOOKUP($B33,'VoC Efficiency'!$B$27:$Q$70,COLUMN()-1,FALSE))</f>
        <v>0</v>
      </c>
      <c r="N33" s="1618">
        <f>IF(VLOOKUP($B33,'VoC Efficiency'!$B$27:$Q$70,COLUMN()-1,FALSE)="","",VLOOKUP($B33,'VoC Efficiency'!$B$27:$Q$70,COLUMN()-1,FALSE))</f>
        <v>0</v>
      </c>
      <c r="O33" s="3087">
        <f>IF(VLOOKUP($B33,'VoC Efficiency'!$B$27:$Q$70,COLUMN()-1,FALSE)="","",VLOOKUP($B33,'VoC Efficiency'!$B$27:$Q$70,COLUMN()-1,FALSE))</f>
        <v>0</v>
      </c>
      <c r="P33" s="1618">
        <f>IF(VLOOKUP($B33,'VoC Efficiency'!$B$27:$Q$70,COLUMN()-1,FALSE)="","",VLOOKUP($B33,'VoC Efficiency'!$B$27:$Q$70,COLUMN()-1,FALSE))</f>
        <v>0</v>
      </c>
      <c r="Q33" s="3087">
        <f>IF(VLOOKUP($B33,'VoC Efficiency'!$B$27:$Q$70,COLUMN()-1,FALSE)="","",VLOOKUP($B33,'VoC Efficiency'!$B$27:$Q$70,COLUMN()-1,FALSE))</f>
        <v>0</v>
      </c>
      <c r="R33" s="694"/>
      <c r="S33" s="673">
        <f t="shared" si="0"/>
        <v>2012</v>
      </c>
      <c r="T33" s="1618">
        <f t="shared" si="3"/>
        <v>1.0406009285505455</v>
      </c>
      <c r="U33" s="1618">
        <f t="shared" si="3"/>
        <v>1.0400349540886389</v>
      </c>
      <c r="V33" s="3087">
        <f t="shared" si="4"/>
        <v>1.0016634158684772</v>
      </c>
      <c r="W33" s="1618">
        <f t="shared" si="5"/>
        <v>0.99595365103338951</v>
      </c>
      <c r="X33" s="1618">
        <f t="shared" si="1"/>
        <v>1.0075335776488135</v>
      </c>
      <c r="Y33" s="1618">
        <f t="shared" si="1"/>
        <v>1.0062183127519075</v>
      </c>
      <c r="Z33" s="3088">
        <f t="shared" si="6"/>
        <v>1</v>
      </c>
      <c r="AA33" s="3087">
        <f t="shared" si="7"/>
        <v>1</v>
      </c>
      <c r="AB33" s="3088">
        <f t="shared" si="13"/>
        <v>1</v>
      </c>
      <c r="AC33" s="3087">
        <f t="shared" si="8"/>
        <v>1</v>
      </c>
      <c r="AD33" s="1618">
        <f t="shared" si="9"/>
        <v>1</v>
      </c>
      <c r="AE33" s="3087">
        <f t="shared" si="10"/>
        <v>1</v>
      </c>
      <c r="AF33" s="1618">
        <f t="shared" ref="AF33:AF38" si="14">IF($S33&lt;$C$14,AF34/(1+P34/100),IF($S33=$C$14,1,AF32*(1+P33/100)))</f>
        <v>0.99746453753783859</v>
      </c>
      <c r="AG33" s="3087">
        <f t="shared" si="12"/>
        <v>1</v>
      </c>
      <c r="AH33" s="3470"/>
      <c r="AI33" s="3477"/>
      <c r="AM33" s="26"/>
      <c r="AN33" s="26"/>
      <c r="AO33" s="26"/>
      <c r="AP33" s="26"/>
    </row>
    <row r="34" spans="1:42" ht="13.5" customHeight="1">
      <c r="A34" s="113"/>
      <c r="B34" s="452" t="str">
        <f t="shared" si="2"/>
        <v>2012 to</v>
      </c>
      <c r="C34" s="42">
        <f t="shared" ref="C34:C71" si="15">C33+1</f>
        <v>2013</v>
      </c>
      <c r="D34" s="1618">
        <f>IF(VLOOKUP($B34,'VoC Efficiency'!$B$27:$Q$70,COLUMN()-1,FALSE)="","",VLOOKUP($B34,'VoC Efficiency'!$B$27:$Q$70,COLUMN()-1,FALSE))</f>
        <v>-1.000909240914738</v>
      </c>
      <c r="E34" s="1618">
        <f>IF(VLOOKUP($B34,'VoC Efficiency'!$B$27:$Q$70,COLUMN()-1,FALSE)="","",VLOOKUP($B34,'VoC Efficiency'!$B$27:$Q$70,COLUMN()-1,FALSE))</f>
        <v>-1.1900078064284836</v>
      </c>
      <c r="F34" s="3087">
        <f>IF(VLOOKUP($B34,'VoC Efficiency'!$B$27:$Q$70,COLUMN()-1,FALSE)="","",VLOOKUP($B34,'VoC Efficiency'!$B$27:$Q$70,COLUMN()-1,FALSE))</f>
        <v>-0.34809244392437488</v>
      </c>
      <c r="G34" s="1618">
        <f>IF(VLOOKUP($B34,'VoC Efficiency'!$B$27:$Q$70,COLUMN()-1,FALSE)="","",VLOOKUP($B34,'VoC Efficiency'!$B$27:$Q$70,COLUMN()-1,FALSE))</f>
        <v>0.10871554781868298</v>
      </c>
      <c r="H34" s="1618">
        <f>IF(VLOOKUP($B34,'VoC Efficiency'!$B$27:$Q$70,COLUMN()-1,FALSE)="","",VLOOKUP($B34,'VoC Efficiency'!$B$27:$Q$70,COLUMN()-1,FALSE))</f>
        <v>-9.8612073912585085E-2</v>
      </c>
      <c r="I34" s="3087">
        <f>IF(VLOOKUP($B34,'VoC Efficiency'!$B$27:$Q$70,COLUMN()-1,FALSE)="","",VLOOKUP($B34,'VoC Efficiency'!$B$27:$Q$70,COLUMN()-1,FALSE))</f>
        <v>-0.20529908842514821</v>
      </c>
      <c r="J34" s="3088">
        <f>IF(VLOOKUP($B34,'VoC Efficiency'!$B$27:$Q$70,COLUMN()-1,FALSE)="","",VLOOKUP($B34,'VoC Efficiency'!$B$27:$Q$70,COLUMN()-1,FALSE))</f>
        <v>0</v>
      </c>
      <c r="K34" s="3087">
        <f>IF(VLOOKUP($B34,'VoC Efficiency'!$B$27:$Q$70,COLUMN()-1,FALSE)="","",VLOOKUP($B34,'VoC Efficiency'!$B$27:$Q$70,COLUMN()-1,FALSE))</f>
        <v>0</v>
      </c>
      <c r="L34" s="3088">
        <f>IF(VLOOKUP($B34,'VoC Efficiency'!$B$27:$Q$70,COLUMN()-1,FALSE)="","",VLOOKUP($B34,'VoC Efficiency'!$B$27:$Q$70,COLUMN()-1,FALSE))</f>
        <v>0</v>
      </c>
      <c r="M34" s="3087">
        <f>IF(VLOOKUP($B34,'VoC Efficiency'!$B$27:$Q$70,COLUMN()-1,FALSE)="","",VLOOKUP($B34,'VoC Efficiency'!$B$27:$Q$70,COLUMN()-1,FALSE))</f>
        <v>0</v>
      </c>
      <c r="N34" s="1618">
        <f>IF(VLOOKUP($B34,'VoC Efficiency'!$B$27:$Q$70,COLUMN()-1,FALSE)="","",VLOOKUP($B34,'VoC Efficiency'!$B$27:$Q$70,COLUMN()-1,FALSE))</f>
        <v>0</v>
      </c>
      <c r="O34" s="3087">
        <f>IF(VLOOKUP($B34,'VoC Efficiency'!$B$27:$Q$70,COLUMN()-1,FALSE)="","",VLOOKUP($B34,'VoC Efficiency'!$B$27:$Q$70,COLUMN()-1,FALSE))</f>
        <v>0</v>
      </c>
      <c r="P34" s="1618">
        <f>IF(VLOOKUP($B34,'VoC Efficiency'!$B$27:$Q$70,COLUMN()-1,FALSE)="","",VLOOKUP($B34,'VoC Efficiency'!$B$27:$Q$70,COLUMN()-1,FALSE))</f>
        <v>0.26958496261508813</v>
      </c>
      <c r="Q34" s="3087">
        <f>IF(VLOOKUP($B34,'VoC Efficiency'!$B$27:$Q$70,COLUMN()-1,FALSE)="","",VLOOKUP($B34,'VoC Efficiency'!$B$27:$Q$70,COLUMN()-1,FALSE))</f>
        <v>0</v>
      </c>
      <c r="R34" s="694"/>
      <c r="S34" s="673">
        <f t="shared" si="0"/>
        <v>2013</v>
      </c>
      <c r="T34" s="1618">
        <f t="shared" si="3"/>
        <v>1.0301854576956386</v>
      </c>
      <c r="U34" s="1618">
        <f t="shared" si="3"/>
        <v>1.0276584569453993</v>
      </c>
      <c r="V34" s="3087">
        <f t="shared" si="4"/>
        <v>0.99817670120428426</v>
      </c>
      <c r="W34" s="1618">
        <f t="shared" si="5"/>
        <v>0.99703640750113065</v>
      </c>
      <c r="X34" s="1618">
        <f t="shared" si="1"/>
        <v>1.0065400278925283</v>
      </c>
      <c r="Y34" s="1618">
        <f t="shared" si="1"/>
        <v>1.0041525557282609</v>
      </c>
      <c r="Z34" s="3088">
        <f t="shared" si="6"/>
        <v>1</v>
      </c>
      <c r="AA34" s="3087">
        <f t="shared" si="7"/>
        <v>1</v>
      </c>
      <c r="AB34" s="3088">
        <f t="shared" si="13"/>
        <v>1</v>
      </c>
      <c r="AC34" s="3087">
        <f t="shared" si="8"/>
        <v>1</v>
      </c>
      <c r="AD34" s="1618">
        <f t="shared" si="9"/>
        <v>1</v>
      </c>
      <c r="AE34" s="3087">
        <f t="shared" si="10"/>
        <v>1</v>
      </c>
      <c r="AF34" s="1618">
        <f t="shared" si="14"/>
        <v>1.0001535519384588</v>
      </c>
      <c r="AG34" s="3087">
        <f t="shared" si="12"/>
        <v>1</v>
      </c>
      <c r="AH34" s="3470"/>
      <c r="AI34" s="3477"/>
      <c r="AM34" s="26"/>
      <c r="AN34" s="26"/>
      <c r="AO34" s="26"/>
      <c r="AP34" s="26"/>
    </row>
    <row r="35" spans="1:42" ht="13.5" customHeight="1">
      <c r="A35" s="113"/>
      <c r="B35" s="452" t="str">
        <f t="shared" si="2"/>
        <v>2013 to</v>
      </c>
      <c r="C35" s="42">
        <f t="shared" si="15"/>
        <v>2014</v>
      </c>
      <c r="D35" s="1618">
        <f>IF(VLOOKUP($B35,'VoC Efficiency'!$B$27:$Q$70,COLUMN()-1,FALSE)="","",VLOOKUP($B35,'VoC Efficiency'!$B$27:$Q$70,COLUMN()-1,FALSE))</f>
        <v>-1.3826683023581587</v>
      </c>
      <c r="E35" s="1618">
        <f>IF(VLOOKUP($B35,'VoC Efficiency'!$B$27:$Q$70,COLUMN()-1,FALSE)="","",VLOOKUP($B35,'VoC Efficiency'!$B$27:$Q$70,COLUMN()-1,FALSE))</f>
        <v>-1.1836946956556571</v>
      </c>
      <c r="F35" s="3087">
        <f>IF(VLOOKUP($B35,'VoC Efficiency'!$B$27:$Q$70,COLUMN()-1,FALSE)="","",VLOOKUP($B35,'VoC Efficiency'!$B$27:$Q$70,COLUMN()-1,FALSE))</f>
        <v>0.52967843036064721</v>
      </c>
      <c r="G35" s="1618">
        <f>IF(VLOOKUP($B35,'VoC Efficiency'!$B$27:$Q$70,COLUMN()-1,FALSE)="","",VLOOKUP($B35,'VoC Efficiency'!$B$27:$Q$70,COLUMN()-1,FALSE))</f>
        <v>0.15435916016612872</v>
      </c>
      <c r="H35" s="1618">
        <f>IF(VLOOKUP($B35,'VoC Efficiency'!$B$27:$Q$70,COLUMN()-1,FALSE)="","",VLOOKUP($B35,'VoC Efficiency'!$B$27:$Q$70,COLUMN()-1,FALSE))</f>
        <v>-0.25896498469996088</v>
      </c>
      <c r="I35" s="3087">
        <f>IF(VLOOKUP($B35,'VoC Efficiency'!$B$27:$Q$70,COLUMN()-1,FALSE)="","",VLOOKUP($B35,'VoC Efficiency'!$B$27:$Q$70,COLUMN()-1,FALSE))</f>
        <v>-0.20657836899473647</v>
      </c>
      <c r="J35" s="3088">
        <f>IF(VLOOKUP($B35,'VoC Efficiency'!$B$27:$Q$70,COLUMN()-1,FALSE)="","",VLOOKUP($B35,'VoC Efficiency'!$B$27:$Q$70,COLUMN()-1,FALSE))</f>
        <v>0</v>
      </c>
      <c r="K35" s="3087">
        <f>IF(VLOOKUP($B35,'VoC Efficiency'!$B$27:$Q$70,COLUMN()-1,FALSE)="","",VLOOKUP($B35,'VoC Efficiency'!$B$27:$Q$70,COLUMN()-1,FALSE))</f>
        <v>0</v>
      </c>
      <c r="L35" s="3088">
        <f>IF(VLOOKUP($B35,'VoC Efficiency'!$B$27:$Q$70,COLUMN()-1,FALSE)="","",VLOOKUP($B35,'VoC Efficiency'!$B$27:$Q$70,COLUMN()-1,FALSE))</f>
        <v>0</v>
      </c>
      <c r="M35" s="3087">
        <f>IF(VLOOKUP($B35,'VoC Efficiency'!$B$27:$Q$70,COLUMN()-1,FALSE)="","",VLOOKUP($B35,'VoC Efficiency'!$B$27:$Q$70,COLUMN()-1,FALSE))</f>
        <v>0</v>
      </c>
      <c r="N35" s="1618">
        <f>IF(VLOOKUP($B35,'VoC Efficiency'!$B$27:$Q$70,COLUMN()-1,FALSE)="","",VLOOKUP($B35,'VoC Efficiency'!$B$27:$Q$70,COLUMN()-1,FALSE))</f>
        <v>0</v>
      </c>
      <c r="O35" s="3087">
        <f>IF(VLOOKUP($B35,'VoC Efficiency'!$B$27:$Q$70,COLUMN()-1,FALSE)="","",VLOOKUP($B35,'VoC Efficiency'!$B$27:$Q$70,COLUMN()-1,FALSE))</f>
        <v>0</v>
      </c>
      <c r="P35" s="1618">
        <f>IF(VLOOKUP($B35,'VoC Efficiency'!$B$27:$Q$70,COLUMN()-1,FALSE)="","",VLOOKUP($B35,'VoC Efficiency'!$B$27:$Q$70,COLUMN()-1,FALSE))</f>
        <v>-1.4944789888904353E-2</v>
      </c>
      <c r="Q35" s="3087">
        <f>IF(VLOOKUP($B35,'VoC Efficiency'!$B$27:$Q$70,COLUMN()-1,FALSE)="","",VLOOKUP($B35,'VoC Efficiency'!$B$27:$Q$70,COLUMN()-1,FALSE))</f>
        <v>0</v>
      </c>
      <c r="R35" s="694"/>
      <c r="S35" s="673">
        <f t="shared" si="0"/>
        <v>2014</v>
      </c>
      <c r="T35" s="1618">
        <f t="shared" si="3"/>
        <v>1.0159414099165778</v>
      </c>
      <c r="U35" s="1618">
        <f t="shared" si="3"/>
        <v>1.0154941183010797</v>
      </c>
      <c r="V35" s="3087">
        <f t="shared" si="4"/>
        <v>1.0034638278874488</v>
      </c>
      <c r="W35" s="1618">
        <f t="shared" si="5"/>
        <v>0.99857542452629988</v>
      </c>
      <c r="X35" s="1618">
        <f t="shared" si="1"/>
        <v>1.0039334416632975</v>
      </c>
      <c r="Y35" s="1618">
        <f t="shared" si="1"/>
        <v>1.0020781937564185</v>
      </c>
      <c r="Z35" s="3088">
        <f t="shared" si="6"/>
        <v>1</v>
      </c>
      <c r="AA35" s="3087">
        <f t="shared" si="7"/>
        <v>1</v>
      </c>
      <c r="AB35" s="3088">
        <f t="shared" si="13"/>
        <v>1</v>
      </c>
      <c r="AC35" s="3087">
        <f t="shared" si="8"/>
        <v>1</v>
      </c>
      <c r="AD35" s="1618">
        <f t="shared" si="9"/>
        <v>1</v>
      </c>
      <c r="AE35" s="3087">
        <f t="shared" si="10"/>
        <v>1</v>
      </c>
      <c r="AF35" s="1618">
        <f t="shared" si="14"/>
        <v>1.0000040810915551</v>
      </c>
      <c r="AG35" s="3087">
        <f t="shared" si="12"/>
        <v>1</v>
      </c>
      <c r="AH35" s="3470"/>
      <c r="AI35" s="3477"/>
      <c r="AM35" s="26"/>
      <c r="AN35" s="26"/>
      <c r="AO35" s="26"/>
      <c r="AP35" s="26"/>
    </row>
    <row r="36" spans="1:42" ht="13.5" customHeight="1">
      <c r="A36" s="113"/>
      <c r="B36" s="452" t="str">
        <f t="shared" si="2"/>
        <v>2014 to</v>
      </c>
      <c r="C36" s="42">
        <f t="shared" si="15"/>
        <v>2015</v>
      </c>
      <c r="D36" s="3090">
        <f>IF(VLOOKUP($B36,'VoC Efficiency'!$B$27:$Q$70,COLUMN()-1,FALSE)="","",VLOOKUP($B36,'VoC Efficiency'!$B$27:$Q$70,COLUMN()-1,FALSE))</f>
        <v>-1.5691268965881355</v>
      </c>
      <c r="E36" s="1619">
        <f>IF(VLOOKUP($B36,'VoC Efficiency'!$B$27:$Q$70,COLUMN()-1,FALSE)="","",VLOOKUP($B36,'VoC Efficiency'!$B$27:$Q$70,COLUMN()-1,FALSE))</f>
        <v>-1.5257713483364466</v>
      </c>
      <c r="F36" s="3089">
        <f>IF(VLOOKUP($B36,'VoC Efficiency'!$B$27:$Q$70,COLUMN()-1,FALSE)="","",VLOOKUP($B36,'VoC Efficiency'!$B$27:$Q$70,COLUMN()-1,FALSE))</f>
        <v>0.78528395519048555</v>
      </c>
      <c r="G36" s="1619">
        <f>IF(VLOOKUP($B36,'VoC Efficiency'!$B$27:$Q$70,COLUMN()-1,FALSE)="","",VLOOKUP($B36,'VoC Efficiency'!$B$27:$Q$70,COLUMN()-1,FALSE))</f>
        <v>0.14266077841600389</v>
      </c>
      <c r="H36" s="1619">
        <f>IF(VLOOKUP($B36,'VoC Efficiency'!$B$27:$Q$70,COLUMN()-1,FALSE)="","",VLOOKUP($B36,'VoC Efficiency'!$B$27:$Q$70,COLUMN()-1,FALSE))</f>
        <v>-0.39180303196002519</v>
      </c>
      <c r="I36" s="3089">
        <f>IF(VLOOKUP($B36,'VoC Efficiency'!$B$27:$Q$70,COLUMN()-1,FALSE)="","",VLOOKUP($B36,'VoC Efficiency'!$B$27:$Q$70,COLUMN()-1,FALSE))</f>
        <v>-0.20738838240039748</v>
      </c>
      <c r="J36" s="3090">
        <f>IF(VLOOKUP($B36,'VoC Efficiency'!$B$27:$Q$70,COLUMN()-1,FALSE)="","",VLOOKUP($B36,'VoC Efficiency'!$B$27:$Q$70,COLUMN()-1,FALSE))</f>
        <v>0</v>
      </c>
      <c r="K36" s="3089">
        <f>IF(VLOOKUP($B36,'VoC Efficiency'!$B$27:$Q$70,COLUMN()-1,FALSE)="","",VLOOKUP($B36,'VoC Efficiency'!$B$27:$Q$70,COLUMN()-1,FALSE))</f>
        <v>0</v>
      </c>
      <c r="L36" s="3090">
        <f>IF(VLOOKUP($B36,'VoC Efficiency'!$B$27:$Q$70,COLUMN()-1,FALSE)="","",VLOOKUP($B36,'VoC Efficiency'!$B$27:$Q$70,COLUMN()-1,FALSE))</f>
        <v>0</v>
      </c>
      <c r="M36" s="3089">
        <f>IF(VLOOKUP($B36,'VoC Efficiency'!$B$27:$Q$70,COLUMN()-1,FALSE)="","",VLOOKUP($B36,'VoC Efficiency'!$B$27:$Q$70,COLUMN()-1,FALSE))</f>
        <v>0</v>
      </c>
      <c r="N36" s="1619">
        <f>IF(VLOOKUP($B36,'VoC Efficiency'!$B$27:$Q$70,COLUMN()-1,FALSE)="","",VLOOKUP($B36,'VoC Efficiency'!$B$27:$Q$70,COLUMN()-1,FALSE))</f>
        <v>0</v>
      </c>
      <c r="O36" s="3089">
        <f>IF(VLOOKUP($B36,'VoC Efficiency'!$B$27:$Q$70,COLUMN()-1,FALSE)="","",VLOOKUP($B36,'VoC Efficiency'!$B$27:$Q$70,COLUMN()-1,FALSE))</f>
        <v>0</v>
      </c>
      <c r="P36" s="1619">
        <f>IF(VLOOKUP($B36,'VoC Efficiency'!$B$27:$Q$70,COLUMN()-1,FALSE)="","",VLOOKUP($B36,'VoC Efficiency'!$B$27:$Q$70,COLUMN()-1,FALSE))</f>
        <v>-4.0810748997976987E-4</v>
      </c>
      <c r="Q36" s="3089">
        <f>IF(VLOOKUP($B36,'VoC Efficiency'!$B$27:$Q$70,COLUMN()-1,FALSE)="","",VLOOKUP($B36,'VoC Efficiency'!$B$27:$Q$70,COLUMN()-1,FALSE))</f>
        <v>0</v>
      </c>
      <c r="R36" s="694"/>
      <c r="S36" s="673">
        <f t="shared" si="0"/>
        <v>2015</v>
      </c>
      <c r="T36" s="3090">
        <f>IF($S36&lt;$C$14,T37/(1+D37/100),IF($S36=$C$14,1,T35*(1+D36/100)))</f>
        <v>1</v>
      </c>
      <c r="U36" s="1619">
        <f>IF($S36&lt;$C$14,U37/(1+E37/100),IF($S36=$C$14,1,U35*(1+E36/100)))</f>
        <v>1</v>
      </c>
      <c r="V36" s="3089">
        <f t="shared" si="4"/>
        <v>1.0113438683239893</v>
      </c>
      <c r="W36" s="3090">
        <f t="shared" si="5"/>
        <v>1</v>
      </c>
      <c r="X36" s="1619">
        <f t="shared" si="1"/>
        <v>1</v>
      </c>
      <c r="Y36" s="3089">
        <f t="shared" si="1"/>
        <v>1</v>
      </c>
      <c r="Z36" s="3090">
        <f t="shared" si="6"/>
        <v>1</v>
      </c>
      <c r="AA36" s="3089">
        <f t="shared" si="7"/>
        <v>1</v>
      </c>
      <c r="AB36" s="3090">
        <f t="shared" si="13"/>
        <v>1</v>
      </c>
      <c r="AC36" s="3089">
        <f t="shared" si="8"/>
        <v>1</v>
      </c>
      <c r="AD36" s="1619">
        <f t="shared" si="9"/>
        <v>1</v>
      </c>
      <c r="AE36" s="3089">
        <f t="shared" si="10"/>
        <v>1</v>
      </c>
      <c r="AF36" s="1619">
        <f t="shared" si="14"/>
        <v>1</v>
      </c>
      <c r="AG36" s="3089">
        <f t="shared" si="12"/>
        <v>1</v>
      </c>
      <c r="AH36" s="3470"/>
      <c r="AI36" s="3477"/>
      <c r="AM36" s="26"/>
      <c r="AN36" s="26"/>
      <c r="AO36" s="26"/>
      <c r="AP36" s="26"/>
    </row>
    <row r="37" spans="1:42" ht="13.5" customHeight="1">
      <c r="A37" s="113"/>
      <c r="B37" s="452" t="str">
        <f t="shared" si="2"/>
        <v>2015 to</v>
      </c>
      <c r="C37" s="42">
        <f t="shared" si="15"/>
        <v>2016</v>
      </c>
      <c r="D37" s="672">
        <f>IF(VLOOKUP($B37,'VoC Efficiency'!$B$27:$Q$70,COLUMN()-1,FALSE)="","",VLOOKUP($B37,'VoC Efficiency'!$B$27:$Q$70,COLUMN()-1,FALSE))</f>
        <v>-2.0045645074085794</v>
      </c>
      <c r="E37" s="65">
        <f>IF(VLOOKUP($B37,'VoC Efficiency'!$B$27:$Q$70,COLUMN()-1,FALSE)="","",VLOOKUP($B37,'VoC Efficiency'!$B$27:$Q$70,COLUMN()-1,FALSE))</f>
        <v>-1.6282463998237962</v>
      </c>
      <c r="F37" s="76">
        <f>IF(VLOOKUP($B37,'VoC Efficiency'!$B$27:$Q$70,COLUMN()-1,FALSE)="","",VLOOKUP($B37,'VoC Efficiency'!$B$27:$Q$70,COLUMN()-1,FALSE))</f>
        <v>-7.3088908834628707E-2</v>
      </c>
      <c r="G37" s="65">
        <f>IF(VLOOKUP($B37,'VoC Efficiency'!$B$27:$Q$70,COLUMN()-1,FALSE)="","",VLOOKUP($B37,'VoC Efficiency'!$B$27:$Q$70,COLUMN()-1,FALSE))</f>
        <v>-0.8163031815755839</v>
      </c>
      <c r="H37" s="65">
        <f>IF(VLOOKUP($B37,'VoC Efficiency'!$B$27:$Q$70,COLUMN()-1,FALSE)="","",VLOOKUP($B37,'VoC Efficiency'!$B$27:$Q$70,COLUMN()-1,FALSE))</f>
        <v>-0.26127500215238353</v>
      </c>
      <c r="I37" s="65">
        <f>IF(VLOOKUP($B37,'VoC Efficiency'!$B$27:$Q$70,COLUMN()-1,FALSE)="","",VLOOKUP($B37,'VoC Efficiency'!$B$27:$Q$70,COLUMN()-1,FALSE))</f>
        <v>-0.20779236211638796</v>
      </c>
      <c r="J37" s="672">
        <f>IF(VLOOKUP($B37,'VoC Efficiency'!$B$27:$Q$70,COLUMN()-1,FALSE)="","",VLOOKUP($B37,'VoC Efficiency'!$B$27:$Q$70,COLUMN()-1,FALSE))</f>
        <v>0</v>
      </c>
      <c r="K37" s="76">
        <f>IF(VLOOKUP($B37,'VoC Efficiency'!$B$27:$Q$70,COLUMN()-1,FALSE)="","",VLOOKUP($B37,'VoC Efficiency'!$B$27:$Q$70,COLUMN()-1,FALSE))</f>
        <v>0</v>
      </c>
      <c r="L37" s="672">
        <f>IF(VLOOKUP($B37,'VoC Efficiency'!$B$27:$Q$70,COLUMN()-1,FALSE)="","",VLOOKUP($B37,'VoC Efficiency'!$B$27:$Q$70,COLUMN()-1,FALSE))</f>
        <v>0</v>
      </c>
      <c r="M37" s="76">
        <f>IF(VLOOKUP($B37,'VoC Efficiency'!$B$27:$Q$70,COLUMN()-1,FALSE)="","",VLOOKUP($B37,'VoC Efficiency'!$B$27:$Q$70,COLUMN()-1,FALSE))</f>
        <v>0</v>
      </c>
      <c r="N37" s="65">
        <f>IF(VLOOKUP($B37,'VoC Efficiency'!$B$27:$Q$70,COLUMN()-1,FALSE)="","",VLOOKUP($B37,'VoC Efficiency'!$B$27:$Q$70,COLUMN()-1,FALSE))</f>
        <v>0</v>
      </c>
      <c r="O37" s="76">
        <f>IF(VLOOKUP($B37,'VoC Efficiency'!$B$27:$Q$70,COLUMN()-1,FALSE)="","",VLOOKUP($B37,'VoC Efficiency'!$B$27:$Q$70,COLUMN()-1,FALSE))</f>
        <v>0</v>
      </c>
      <c r="P37" s="65">
        <f>IF(VLOOKUP($B37,'VoC Efficiency'!$B$27:$Q$70,COLUMN()-1,FALSE)="","",VLOOKUP($B37,'VoC Efficiency'!$B$27:$Q$70,COLUMN()-1,FALSE))</f>
        <v>-3.4373670665388545E-4</v>
      </c>
      <c r="Q37" s="76">
        <f>IF(VLOOKUP($B37,'VoC Efficiency'!$B$27:$Q$70,COLUMN()-1,FALSE)="","",VLOOKUP($B37,'VoC Efficiency'!$B$27:$Q$70,COLUMN()-1,FALSE))</f>
        <v>0</v>
      </c>
      <c r="R37" s="694"/>
      <c r="S37" s="673">
        <f t="shared" si="0"/>
        <v>2016</v>
      </c>
      <c r="T37" s="672">
        <f t="shared" si="3"/>
        <v>0.97995435492591421</v>
      </c>
      <c r="U37" s="65">
        <f t="shared" si="3"/>
        <v>0.98371753600176204</v>
      </c>
      <c r="V37" s="76">
        <f t="shared" si="4"/>
        <v>1.0106046881260653</v>
      </c>
      <c r="W37" s="672">
        <f t="shared" ref="W37:W71" si="16">IF($S37&lt;$C$14,W38/(1+G38/100),IF($S37=$C$14,1,W36*(1+G37/100)))</f>
        <v>0.99183696818424416</v>
      </c>
      <c r="X37" s="65">
        <f t="shared" ref="X37:X71" si="17">IF($S37&lt;$C$14,X38/(1+H38/100),IF($S37=$C$14,1,X36*(1+H37/100)))</f>
        <v>0.99738724997847616</v>
      </c>
      <c r="Y37" s="76">
        <f t="shared" ref="Y37:Y71" si="18">IF($S37&lt;$C$14,Y38/(1+I38/100),IF($S37=$C$14,1,Y36*(1+I37/100)))</f>
        <v>0.99792207637883612</v>
      </c>
      <c r="Z37" s="672">
        <f t="shared" si="6"/>
        <v>1</v>
      </c>
      <c r="AA37" s="76">
        <f t="shared" si="7"/>
        <v>1</v>
      </c>
      <c r="AB37" s="672">
        <f t="shared" si="13"/>
        <v>1</v>
      </c>
      <c r="AC37" s="76">
        <f t="shared" si="8"/>
        <v>1</v>
      </c>
      <c r="AD37" s="65">
        <f t="shared" si="9"/>
        <v>1</v>
      </c>
      <c r="AE37" s="76">
        <f t="shared" si="10"/>
        <v>1</v>
      </c>
      <c r="AF37" s="65">
        <f t="shared" si="14"/>
        <v>0.99999656263293346</v>
      </c>
      <c r="AG37" s="76">
        <f t="shared" si="12"/>
        <v>1</v>
      </c>
      <c r="AH37" s="82"/>
      <c r="AI37" s="82"/>
      <c r="AM37" s="26"/>
      <c r="AN37" s="26"/>
      <c r="AO37" s="26"/>
      <c r="AP37" s="26"/>
    </row>
    <row r="38" spans="1:42" ht="13.5" customHeight="1">
      <c r="A38" s="113"/>
      <c r="B38" s="452" t="str">
        <f t="shared" si="2"/>
        <v>2016 to</v>
      </c>
      <c r="C38" s="42">
        <f t="shared" si="15"/>
        <v>2017</v>
      </c>
      <c r="D38" s="672">
        <f>IF(VLOOKUP($B38,'VoC Efficiency'!$B$27:$Q$70,COLUMN()-1,FALSE)="","",VLOOKUP($B38,'VoC Efficiency'!$B$27:$Q$70,COLUMN()-1,FALSE))</f>
        <v>-2.0588850508476586</v>
      </c>
      <c r="E38" s="65">
        <f>IF(VLOOKUP($B38,'VoC Efficiency'!$B$27:$Q$70,COLUMN()-1,FALSE)="","",VLOOKUP($B38,'VoC Efficiency'!$B$27:$Q$70,COLUMN()-1,FALSE))</f>
        <v>-1.6577074988474272</v>
      </c>
      <c r="F38" s="76">
        <f>IF(VLOOKUP($B38,'VoC Efficiency'!$B$27:$Q$70,COLUMN()-1,FALSE)="","",VLOOKUP($B38,'VoC Efficiency'!$B$27:$Q$70,COLUMN()-1,FALSE))</f>
        <v>-0.75548777413030344</v>
      </c>
      <c r="G38" s="65">
        <f>IF(VLOOKUP($B38,'VoC Efficiency'!$B$27:$Q$70,COLUMN()-1,FALSE)="","",VLOOKUP($B38,'VoC Efficiency'!$B$27:$Q$70,COLUMN()-1,FALSE))</f>
        <v>-1.1718853332916224</v>
      </c>
      <c r="H38" s="65">
        <f>IF(VLOOKUP($B38,'VoC Efficiency'!$B$27:$Q$70,COLUMN()-1,FALSE)="","",VLOOKUP($B38,'VoC Efficiency'!$B$27:$Q$70,COLUMN()-1,FALSE))</f>
        <v>-0.18677431430151881</v>
      </c>
      <c r="I38" s="65">
        <f>IF(VLOOKUP($B38,'VoC Efficiency'!$B$27:$Q$70,COLUMN()-1,FALSE)="","",VLOOKUP($B38,'VoC Efficiency'!$B$27:$Q$70,COLUMN()-1,FALSE))</f>
        <v>-0.20784480386009108</v>
      </c>
      <c r="J38" s="672">
        <f>IF(VLOOKUP($B38,'VoC Efficiency'!$B$27:$Q$70,COLUMN()-1,FALSE)="","",VLOOKUP($B38,'VoC Efficiency'!$B$27:$Q$70,COLUMN()-1,FALSE))</f>
        <v>0</v>
      </c>
      <c r="K38" s="76">
        <f>IF(VLOOKUP($B38,'VoC Efficiency'!$B$27:$Q$70,COLUMN()-1,FALSE)="","",VLOOKUP($B38,'VoC Efficiency'!$B$27:$Q$70,COLUMN()-1,FALSE))</f>
        <v>0</v>
      </c>
      <c r="L38" s="672">
        <f>IF(VLOOKUP($B38,'VoC Efficiency'!$B$27:$Q$70,COLUMN()-1,FALSE)="","",VLOOKUP($B38,'VoC Efficiency'!$B$27:$Q$70,COLUMN()-1,FALSE))</f>
        <v>0</v>
      </c>
      <c r="M38" s="76">
        <f>IF(VLOOKUP($B38,'VoC Efficiency'!$B$27:$Q$70,COLUMN()-1,FALSE)="","",VLOOKUP($B38,'VoC Efficiency'!$B$27:$Q$70,COLUMN()-1,FALSE))</f>
        <v>0</v>
      </c>
      <c r="N38" s="65">
        <f>IF(VLOOKUP($B38,'VoC Efficiency'!$B$27:$Q$70,COLUMN()-1,FALSE)="","",VLOOKUP($B38,'VoC Efficiency'!$B$27:$Q$70,COLUMN()-1,FALSE))</f>
        <v>0</v>
      </c>
      <c r="O38" s="76">
        <f>IF(VLOOKUP($B38,'VoC Efficiency'!$B$27:$Q$70,COLUMN()-1,FALSE)="","",VLOOKUP($B38,'VoC Efficiency'!$B$27:$Q$70,COLUMN()-1,FALSE))</f>
        <v>0</v>
      </c>
      <c r="P38" s="65">
        <f>IF(VLOOKUP($B38,'VoC Efficiency'!$B$27:$Q$70,COLUMN()-1,FALSE)="","",VLOOKUP($B38,'VoC Efficiency'!$B$27:$Q$70,COLUMN()-1,FALSE))</f>
        <v>0.17107241308582655</v>
      </c>
      <c r="Q38" s="76">
        <f>IF(VLOOKUP($B38,'VoC Efficiency'!$B$27:$Q$70,COLUMN()-1,FALSE)="","",VLOOKUP($B38,'VoC Efficiency'!$B$27:$Q$70,COLUMN()-1,FALSE))</f>
        <v>0</v>
      </c>
      <c r="R38" s="694"/>
      <c r="S38" s="673">
        <f t="shared" si="0"/>
        <v>2017</v>
      </c>
      <c r="T38" s="672">
        <f t="shared" si="3"/>
        <v>0.9597782212072139</v>
      </c>
      <c r="U38" s="65">
        <f t="shared" si="3"/>
        <v>0.96741037663998364</v>
      </c>
      <c r="V38" s="76">
        <f t="shared" si="4"/>
        <v>1.0029696932624852</v>
      </c>
      <c r="W38" s="672">
        <f t="shared" si="16"/>
        <v>0.98021377622392869</v>
      </c>
      <c r="X38" s="65">
        <f t="shared" si="17"/>
        <v>0.9955243867813981</v>
      </c>
      <c r="Y38" s="76">
        <f t="shared" si="18"/>
        <v>0.99584794719650993</v>
      </c>
      <c r="Z38" s="672">
        <f t="shared" si="6"/>
        <v>1</v>
      </c>
      <c r="AA38" s="76">
        <f t="shared" si="7"/>
        <v>1</v>
      </c>
      <c r="AB38" s="672">
        <f t="shared" si="13"/>
        <v>1</v>
      </c>
      <c r="AC38" s="76">
        <f t="shared" si="8"/>
        <v>1</v>
      </c>
      <c r="AD38" s="65">
        <f t="shared" si="9"/>
        <v>1</v>
      </c>
      <c r="AE38" s="76">
        <f t="shared" si="10"/>
        <v>1</v>
      </c>
      <c r="AF38" s="65">
        <f t="shared" si="14"/>
        <v>1.0017072808834049</v>
      </c>
      <c r="AG38" s="76">
        <f t="shared" si="12"/>
        <v>1</v>
      </c>
      <c r="AH38" s="82"/>
      <c r="AI38" s="82"/>
      <c r="AM38" s="26"/>
      <c r="AN38" s="26"/>
      <c r="AO38" s="26"/>
      <c r="AP38" s="26"/>
    </row>
    <row r="39" spans="1:42" ht="13.5" customHeight="1">
      <c r="A39" s="113"/>
      <c r="B39" s="452" t="str">
        <f t="shared" si="2"/>
        <v>2017 to</v>
      </c>
      <c r="C39" s="42">
        <f t="shared" si="15"/>
        <v>2018</v>
      </c>
      <c r="D39" s="672">
        <f>IF(VLOOKUP($B39,'VoC Efficiency'!$B$27:$Q$70,COLUMN()-1,FALSE)="","",VLOOKUP($B39,'VoC Efficiency'!$B$27:$Q$70,COLUMN()-1,FALSE))</f>
        <v>-1.9908372052485857</v>
      </c>
      <c r="E39" s="65">
        <f>IF(VLOOKUP($B39,'VoC Efficiency'!$B$27:$Q$70,COLUMN()-1,FALSE)="","",VLOOKUP($B39,'VoC Efficiency'!$B$27:$Q$70,COLUMN()-1,FALSE))</f>
        <v>-1.6448389614783676</v>
      </c>
      <c r="F39" s="76">
        <f>IF(VLOOKUP($B39,'VoC Efficiency'!$B$27:$Q$70,COLUMN()-1,FALSE)="","",VLOOKUP($B39,'VoC Efficiency'!$B$27:$Q$70,COLUMN()-1,FALSE))</f>
        <v>-0.88240723097765539</v>
      </c>
      <c r="G39" s="65">
        <f>IF(VLOOKUP($B39,'VoC Efficiency'!$B$27:$Q$70,COLUMN()-1,FALSE)="","",VLOOKUP($B39,'VoC Efficiency'!$B$27:$Q$70,COLUMN()-1,FALSE))</f>
        <v>-1.6610116309031531</v>
      </c>
      <c r="H39" s="65">
        <f>IF(VLOOKUP($B39,'VoC Efficiency'!$B$27:$Q$70,COLUMN()-1,FALSE)="","",VLOOKUP($B39,'VoC Efficiency'!$B$27:$Q$70,COLUMN()-1,FALSE))</f>
        <v>-5.9195959228153239E-2</v>
      </c>
      <c r="I39" s="65">
        <f>IF(VLOOKUP($B39,'VoC Efficiency'!$B$27:$Q$70,COLUMN()-1,FALSE)="","",VLOOKUP($B39,'VoC Efficiency'!$B$27:$Q$70,COLUMN()-1,FALSE))</f>
        <v>-0.2075928075652822</v>
      </c>
      <c r="J39" s="672">
        <f>IF(VLOOKUP($B39,'VoC Efficiency'!$B$27:$Q$70,COLUMN()-1,FALSE)="","",VLOOKUP($B39,'VoC Efficiency'!$B$27:$Q$70,COLUMN()-1,FALSE))</f>
        <v>0</v>
      </c>
      <c r="K39" s="76">
        <f>IF(VLOOKUP($B39,'VoC Efficiency'!$B$27:$Q$70,COLUMN()-1,FALSE)="","",VLOOKUP($B39,'VoC Efficiency'!$B$27:$Q$70,COLUMN()-1,FALSE))</f>
        <v>0</v>
      </c>
      <c r="L39" s="672">
        <f>IF(VLOOKUP($B39,'VoC Efficiency'!$B$27:$Q$70,COLUMN()-1,FALSE)="","",VLOOKUP($B39,'VoC Efficiency'!$B$27:$Q$70,COLUMN()-1,FALSE))</f>
        <v>0</v>
      </c>
      <c r="M39" s="76">
        <f>IF(VLOOKUP($B39,'VoC Efficiency'!$B$27:$Q$70,COLUMN()-1,FALSE)="","",VLOOKUP($B39,'VoC Efficiency'!$B$27:$Q$70,COLUMN()-1,FALSE))</f>
        <v>0</v>
      </c>
      <c r="N39" s="65">
        <f>IF(VLOOKUP($B39,'VoC Efficiency'!$B$27:$Q$70,COLUMN()-1,FALSE)="","",VLOOKUP($B39,'VoC Efficiency'!$B$27:$Q$70,COLUMN()-1,FALSE))</f>
        <v>0</v>
      </c>
      <c r="O39" s="76">
        <f>IF(VLOOKUP($B39,'VoC Efficiency'!$B$27:$Q$70,COLUMN()-1,FALSE)="","",VLOOKUP($B39,'VoC Efficiency'!$B$27:$Q$70,COLUMN()-1,FALSE))</f>
        <v>0</v>
      </c>
      <c r="P39" s="65">
        <f>IF(VLOOKUP($B39,'VoC Efficiency'!$B$27:$Q$70,COLUMN()-1,FALSE)="","",VLOOKUP($B39,'VoC Efficiency'!$B$27:$Q$70,COLUMN()-1,FALSE))</f>
        <v>0.17165724416301487</v>
      </c>
      <c r="Q39" s="76">
        <f>IF(VLOOKUP($B39,'VoC Efficiency'!$B$27:$Q$70,COLUMN()-1,FALSE)="","",VLOOKUP($B39,'VoC Efficiency'!$B$27:$Q$70,COLUMN()-1,FALSE))</f>
        <v>0</v>
      </c>
      <c r="R39" s="694"/>
      <c r="S39" s="673">
        <f t="shared" si="0"/>
        <v>2018</v>
      </c>
      <c r="T39" s="672">
        <f t="shared" si="3"/>
        <v>0.94067059929154762</v>
      </c>
      <c r="U39" s="65">
        <f t="shared" si="3"/>
        <v>0.95149803384762455</v>
      </c>
      <c r="V39" s="76">
        <f t="shared" si="4"/>
        <v>0.99411941616462263</v>
      </c>
      <c r="W39" s="672">
        <f t="shared" si="16"/>
        <v>0.96393231139313418</v>
      </c>
      <c r="X39" s="65">
        <f t="shared" si="17"/>
        <v>0.99493507657129265</v>
      </c>
      <c r="Y39" s="76">
        <f t="shared" si="18"/>
        <v>0.99378063848384346</v>
      </c>
      <c r="Z39" s="672">
        <f t="shared" si="6"/>
        <v>1</v>
      </c>
      <c r="AA39" s="76">
        <f t="shared" si="7"/>
        <v>1</v>
      </c>
      <c r="AB39" s="672">
        <f t="shared" si="13"/>
        <v>1</v>
      </c>
      <c r="AC39" s="76">
        <f t="shared" si="8"/>
        <v>1</v>
      </c>
      <c r="AD39" s="65">
        <f t="shared" si="9"/>
        <v>1</v>
      </c>
      <c r="AE39" s="76">
        <f t="shared" si="10"/>
        <v>1</v>
      </c>
      <c r="AF39" s="65">
        <f t="shared" si="11"/>
        <v>1.0034267839963495</v>
      </c>
      <c r="AG39" s="76">
        <f t="shared" si="12"/>
        <v>1</v>
      </c>
      <c r="AH39" s="82"/>
      <c r="AI39" s="82"/>
      <c r="AM39" s="26"/>
      <c r="AN39" s="26"/>
      <c r="AO39" s="26"/>
      <c r="AP39" s="26"/>
    </row>
    <row r="40" spans="1:42" ht="13.5" customHeight="1">
      <c r="A40" s="113"/>
      <c r="B40" s="452" t="str">
        <f t="shared" si="2"/>
        <v>2018 to</v>
      </c>
      <c r="C40" s="42">
        <f t="shared" si="15"/>
        <v>2019</v>
      </c>
      <c r="D40" s="672">
        <f>IF(VLOOKUP($B40,'VoC Efficiency'!$B$27:$Q$70,COLUMN()-1,FALSE)="","",VLOOKUP($B40,'VoC Efficiency'!$B$27:$Q$70,COLUMN()-1,FALSE))</f>
        <v>-2.5891738707635947</v>
      </c>
      <c r="E40" s="65">
        <f>IF(VLOOKUP($B40,'VoC Efficiency'!$B$27:$Q$70,COLUMN()-1,FALSE)="","",VLOOKUP($B40,'VoC Efficiency'!$B$27:$Q$70,COLUMN()-1,FALSE))</f>
        <v>-2.0954393529713622</v>
      </c>
      <c r="F40" s="76">
        <f>IF(VLOOKUP($B40,'VoC Efficiency'!$B$27:$Q$70,COLUMN()-1,FALSE)="","",VLOOKUP($B40,'VoC Efficiency'!$B$27:$Q$70,COLUMN()-1,FALSE))</f>
        <v>-0.4777150368688976</v>
      </c>
      <c r="G40" s="65">
        <f>IF(VLOOKUP($B40,'VoC Efficiency'!$B$27:$Q$70,COLUMN()-1,FALSE)="","",VLOOKUP($B40,'VoC Efficiency'!$B$27:$Q$70,COLUMN()-1,FALSE))</f>
        <v>-1.8036293194845898</v>
      </c>
      <c r="H40" s="65">
        <f>IF(VLOOKUP($B40,'VoC Efficiency'!$B$27:$Q$70,COLUMN()-1,FALSE)="","",VLOOKUP($B40,'VoC Efficiency'!$B$27:$Q$70,COLUMN()-1,FALSE))</f>
        <v>-0.64221312063101887</v>
      </c>
      <c r="I40" s="65">
        <f>IF(VLOOKUP($B40,'VoC Efficiency'!$B$27:$Q$70,COLUMN()-1,FALSE)="","",VLOOKUP($B40,'VoC Efficiency'!$B$27:$Q$70,COLUMN()-1,FALSE))</f>
        <v>-0.20707718893775429</v>
      </c>
      <c r="J40" s="672">
        <f>IF(VLOOKUP($B40,'VoC Efficiency'!$B$27:$Q$70,COLUMN()-1,FALSE)="","",VLOOKUP($B40,'VoC Efficiency'!$B$27:$Q$70,COLUMN()-1,FALSE))</f>
        <v>0</v>
      </c>
      <c r="K40" s="76">
        <f>IF(VLOOKUP($B40,'VoC Efficiency'!$B$27:$Q$70,COLUMN()-1,FALSE)="","",VLOOKUP($B40,'VoC Efficiency'!$B$27:$Q$70,COLUMN()-1,FALSE))</f>
        <v>0</v>
      </c>
      <c r="L40" s="672">
        <f>IF(VLOOKUP($B40,'VoC Efficiency'!$B$27:$Q$70,COLUMN()-1,FALSE)="","",VLOOKUP($B40,'VoC Efficiency'!$B$27:$Q$70,COLUMN()-1,FALSE))</f>
        <v>0</v>
      </c>
      <c r="M40" s="76">
        <f>IF(VLOOKUP($B40,'VoC Efficiency'!$B$27:$Q$70,COLUMN()-1,FALSE)="","",VLOOKUP($B40,'VoC Efficiency'!$B$27:$Q$70,COLUMN()-1,FALSE))</f>
        <v>0</v>
      </c>
      <c r="N40" s="65">
        <f>IF(VLOOKUP($B40,'VoC Efficiency'!$B$27:$Q$70,COLUMN()-1,FALSE)="","",VLOOKUP($B40,'VoC Efficiency'!$B$27:$Q$70,COLUMN()-1,FALSE))</f>
        <v>0</v>
      </c>
      <c r="O40" s="76">
        <f>IF(VLOOKUP($B40,'VoC Efficiency'!$B$27:$Q$70,COLUMN()-1,FALSE)="","",VLOOKUP($B40,'VoC Efficiency'!$B$27:$Q$70,COLUMN()-1,FALSE))</f>
        <v>0</v>
      </c>
      <c r="P40" s="65">
        <f>IF(VLOOKUP($B40,'VoC Efficiency'!$B$27:$Q$70,COLUMN()-1,FALSE)="","",VLOOKUP($B40,'VoC Efficiency'!$B$27:$Q$70,COLUMN()-1,FALSE))</f>
        <v>0.17224507934539002</v>
      </c>
      <c r="Q40" s="76">
        <f>IF(VLOOKUP($B40,'VoC Efficiency'!$B$27:$Q$70,COLUMN()-1,FALSE)="","",VLOOKUP($B40,'VoC Efficiency'!$B$27:$Q$70,COLUMN()-1,FALSE))</f>
        <v>0</v>
      </c>
      <c r="R40" s="694"/>
      <c r="S40" s="673">
        <f t="shared" si="0"/>
        <v>2019</v>
      </c>
      <c r="T40" s="672">
        <f t="shared" si="3"/>
        <v>0.91631500192473558</v>
      </c>
      <c r="U40" s="65">
        <f t="shared" si="3"/>
        <v>0.93155996960363263</v>
      </c>
      <c r="V40" s="76">
        <f t="shared" si="4"/>
        <v>0.98937035822917097</v>
      </c>
      <c r="W40" s="672">
        <f t="shared" si="16"/>
        <v>0.94654654560486207</v>
      </c>
      <c r="X40" s="65">
        <f t="shared" si="17"/>
        <v>0.98854547296779149</v>
      </c>
      <c r="Y40" s="76">
        <f t="shared" si="18"/>
        <v>0.9917227454734634</v>
      </c>
      <c r="Z40" s="672">
        <f t="shared" si="6"/>
        <v>1</v>
      </c>
      <c r="AA40" s="76">
        <f t="shared" si="7"/>
        <v>1</v>
      </c>
      <c r="AB40" s="672">
        <f t="shared" si="13"/>
        <v>1</v>
      </c>
      <c r="AC40" s="76">
        <f t="shared" si="8"/>
        <v>1</v>
      </c>
      <c r="AD40" s="65">
        <f t="shared" si="9"/>
        <v>1</v>
      </c>
      <c r="AE40" s="76">
        <f t="shared" si="10"/>
        <v>1</v>
      </c>
      <c r="AF40" s="65">
        <f t="shared" si="11"/>
        <v>1.005155137256617</v>
      </c>
      <c r="AG40" s="76">
        <f t="shared" si="12"/>
        <v>1</v>
      </c>
      <c r="AH40" s="82"/>
      <c r="AI40" s="82"/>
      <c r="AM40" s="26"/>
      <c r="AN40" s="26"/>
      <c r="AO40" s="26"/>
      <c r="AP40" s="26"/>
    </row>
    <row r="41" spans="1:42" ht="13.5" customHeight="1">
      <c r="A41" s="113"/>
      <c r="B41" s="452" t="str">
        <f t="shared" si="2"/>
        <v>2019 to</v>
      </c>
      <c r="C41" s="42">
        <f t="shared" si="15"/>
        <v>2020</v>
      </c>
      <c r="D41" s="672">
        <f>IF(VLOOKUP($B41,'VoC Efficiency'!$B$27:$Q$70,COLUMN()-1,FALSE)="","",VLOOKUP($B41,'VoC Efficiency'!$B$27:$Q$70,COLUMN()-1,FALSE))</f>
        <v>-2.3399995685064456</v>
      </c>
      <c r="E41" s="65">
        <f>IF(VLOOKUP($B41,'VoC Efficiency'!$B$27:$Q$70,COLUMN()-1,FALSE)="","",VLOOKUP($B41,'VoC Efficiency'!$B$27:$Q$70,COLUMN()-1,FALSE))</f>
        <v>-1.5643896170756677</v>
      </c>
      <c r="F41" s="76">
        <f>IF(VLOOKUP($B41,'VoC Efficiency'!$B$27:$Q$70,COLUMN()-1,FALSE)="","",VLOOKUP($B41,'VoC Efficiency'!$B$27:$Q$70,COLUMN()-1,FALSE))</f>
        <v>-0.29872874060962173</v>
      </c>
      <c r="G41" s="65">
        <f>IF(VLOOKUP($B41,'VoC Efficiency'!$B$27:$Q$70,COLUMN()-1,FALSE)="","",VLOOKUP($B41,'VoC Efficiency'!$B$27:$Q$70,COLUMN()-1,FALSE))</f>
        <v>-2.7925227266164421</v>
      </c>
      <c r="H41" s="65">
        <f>IF(VLOOKUP($B41,'VoC Efficiency'!$B$27:$Q$70,COLUMN()-1,FALSE)="","",VLOOKUP($B41,'VoC Efficiency'!$B$27:$Q$70,COLUMN()-1,FALSE))</f>
        <v>-2.1135519456651264</v>
      </c>
      <c r="I41" s="65">
        <f>IF(VLOOKUP($B41,'VoC Efficiency'!$B$27:$Q$70,COLUMN()-1,FALSE)="","",VLOOKUP($B41,'VoC Efficiency'!$B$27:$Q$70,COLUMN()-1,FALSE))</f>
        <v>-0.20633340444186077</v>
      </c>
      <c r="J41" s="672">
        <f>IF(VLOOKUP($B41,'VoC Efficiency'!$B$27:$Q$70,COLUMN()-1,FALSE)="","",VLOOKUP($B41,'VoC Efficiency'!$B$27:$Q$70,COLUMN()-1,FALSE))</f>
        <v>0</v>
      </c>
      <c r="K41" s="76">
        <f>IF(VLOOKUP($B41,'VoC Efficiency'!$B$27:$Q$70,COLUMN()-1,FALSE)="","",VLOOKUP($B41,'VoC Efficiency'!$B$27:$Q$70,COLUMN()-1,FALSE))</f>
        <v>0</v>
      </c>
      <c r="L41" s="672">
        <f>IF(VLOOKUP($B41,'VoC Efficiency'!$B$27:$Q$70,COLUMN()-1,FALSE)="","",VLOOKUP($B41,'VoC Efficiency'!$B$27:$Q$70,COLUMN()-1,FALSE))</f>
        <v>0</v>
      </c>
      <c r="M41" s="76">
        <f>IF(VLOOKUP($B41,'VoC Efficiency'!$B$27:$Q$70,COLUMN()-1,FALSE)="","",VLOOKUP($B41,'VoC Efficiency'!$B$27:$Q$70,COLUMN()-1,FALSE))</f>
        <v>0</v>
      </c>
      <c r="N41" s="65">
        <f>IF(VLOOKUP($B41,'VoC Efficiency'!$B$27:$Q$70,COLUMN()-1,FALSE)="","",VLOOKUP($B41,'VoC Efficiency'!$B$27:$Q$70,COLUMN()-1,FALSE))</f>
        <v>0</v>
      </c>
      <c r="O41" s="76">
        <f>IF(VLOOKUP($B41,'VoC Efficiency'!$B$27:$Q$70,COLUMN()-1,FALSE)="","",VLOOKUP($B41,'VoC Efficiency'!$B$27:$Q$70,COLUMN()-1,FALSE))</f>
        <v>0</v>
      </c>
      <c r="P41" s="65">
        <f>IF(VLOOKUP($B41,'VoC Efficiency'!$B$27:$Q$70,COLUMN()-1,FALSE)="","",VLOOKUP($B41,'VoC Efficiency'!$B$27:$Q$70,COLUMN()-1,FALSE))</f>
        <v>0.17283593924322105</v>
      </c>
      <c r="Q41" s="76">
        <f>IF(VLOOKUP($B41,'VoC Efficiency'!$B$27:$Q$70,COLUMN()-1,FALSE)="","",VLOOKUP($B41,'VoC Efficiency'!$B$27:$Q$70,COLUMN()-1,FALSE))</f>
        <v>0</v>
      </c>
      <c r="R41" s="694"/>
      <c r="S41" s="673">
        <f t="shared" si="0"/>
        <v>2020</v>
      </c>
      <c r="T41" s="672">
        <f t="shared" si="3"/>
        <v>0.89487323483353698</v>
      </c>
      <c r="U41" s="65">
        <f t="shared" si="3"/>
        <v>0.91698674216232012</v>
      </c>
      <c r="V41" s="76">
        <f t="shared" si="4"/>
        <v>0.98641482461806806</v>
      </c>
      <c r="W41" s="672">
        <f t="shared" si="16"/>
        <v>0.92011401820084338</v>
      </c>
      <c r="X41" s="65">
        <f t="shared" si="17"/>
        <v>0.9676520508900962</v>
      </c>
      <c r="Y41" s="76">
        <f t="shared" si="18"/>
        <v>0.98967649017010373</v>
      </c>
      <c r="Z41" s="672">
        <f t="shared" si="6"/>
        <v>1</v>
      </c>
      <c r="AA41" s="76">
        <f t="shared" si="7"/>
        <v>1</v>
      </c>
      <c r="AB41" s="672">
        <f t="shared" si="13"/>
        <v>1</v>
      </c>
      <c r="AC41" s="76">
        <f t="shared" si="8"/>
        <v>1</v>
      </c>
      <c r="AD41" s="65">
        <f t="shared" si="9"/>
        <v>1</v>
      </c>
      <c r="AE41" s="76">
        <f t="shared" si="10"/>
        <v>1</v>
      </c>
      <c r="AF41" s="65">
        <f t="shared" si="11"/>
        <v>1.006892406578946</v>
      </c>
      <c r="AG41" s="76">
        <f t="shared" si="12"/>
        <v>1</v>
      </c>
      <c r="AH41" s="82"/>
      <c r="AI41" s="82"/>
      <c r="AM41" s="26"/>
      <c r="AN41" s="26"/>
      <c r="AO41" s="26"/>
      <c r="AP41" s="26"/>
    </row>
    <row r="42" spans="1:42" ht="13.5" customHeight="1">
      <c r="A42" s="113"/>
      <c r="B42" s="452" t="str">
        <f t="shared" si="2"/>
        <v>2020 to</v>
      </c>
      <c r="C42" s="42">
        <f t="shared" si="15"/>
        <v>2021</v>
      </c>
      <c r="D42" s="672">
        <f>IF(VLOOKUP($B42,'VoC Efficiency'!$B$27:$Q$70,COLUMN()-1,FALSE)="","",VLOOKUP($B42,'VoC Efficiency'!$B$27:$Q$70,COLUMN()-1,FALSE))</f>
        <v>-2.5889326683352087</v>
      </c>
      <c r="E42" s="65">
        <f>IF(VLOOKUP($B42,'VoC Efficiency'!$B$27:$Q$70,COLUMN()-1,FALSE)="","",VLOOKUP($B42,'VoC Efficiency'!$B$27:$Q$70,COLUMN()-1,FALSE))</f>
        <v>-1.5447091402668645</v>
      </c>
      <c r="F42" s="76">
        <f>IF(VLOOKUP($B42,'VoC Efficiency'!$B$27:$Q$70,COLUMN()-1,FALSE)="","",VLOOKUP($B42,'VoC Efficiency'!$B$27:$Q$70,COLUMN()-1,FALSE))</f>
        <v>-0.35824637169626916</v>
      </c>
      <c r="G42" s="65">
        <f>IF(VLOOKUP($B42,'VoC Efficiency'!$B$27:$Q$70,COLUMN()-1,FALSE)="","",VLOOKUP($B42,'VoC Efficiency'!$B$27:$Q$70,COLUMN()-1,FALSE))</f>
        <v>-2.7110507850548915</v>
      </c>
      <c r="H42" s="65">
        <f>IF(VLOOKUP($B42,'VoC Efficiency'!$B$27:$Q$70,COLUMN()-1,FALSE)="","",VLOOKUP($B42,'VoC Efficiency'!$B$27:$Q$70,COLUMN()-1,FALSE))</f>
        <v>-1.7631815862361844</v>
      </c>
      <c r="I42" s="65">
        <f>IF(VLOOKUP($B42,'VoC Efficiency'!$B$27:$Q$70,COLUMN()-1,FALSE)="","",VLOOKUP($B42,'VoC Efficiency'!$B$27:$Q$70,COLUMN()-1,FALSE))</f>
        <v>-3.0527313426235492</v>
      </c>
      <c r="J42" s="672">
        <f>IF(VLOOKUP($B42,'VoC Efficiency'!$B$27:$Q$70,COLUMN()-1,FALSE)="","",VLOOKUP($B42,'VoC Efficiency'!$B$27:$Q$70,COLUMN()-1,FALSE))</f>
        <v>0</v>
      </c>
      <c r="K42" s="76">
        <f>IF(VLOOKUP($B42,'VoC Efficiency'!$B$27:$Q$70,COLUMN()-1,FALSE)="","",VLOOKUP($B42,'VoC Efficiency'!$B$27:$Q$70,COLUMN()-1,FALSE))</f>
        <v>0</v>
      </c>
      <c r="L42" s="672">
        <f>IF(VLOOKUP($B42,'VoC Efficiency'!$B$27:$Q$70,COLUMN()-1,FALSE)="","",VLOOKUP($B42,'VoC Efficiency'!$B$27:$Q$70,COLUMN()-1,FALSE))</f>
        <v>0</v>
      </c>
      <c r="M42" s="76">
        <f>IF(VLOOKUP($B42,'VoC Efficiency'!$B$27:$Q$70,COLUMN()-1,FALSE)="","",VLOOKUP($B42,'VoC Efficiency'!$B$27:$Q$70,COLUMN()-1,FALSE))</f>
        <v>0</v>
      </c>
      <c r="N42" s="65">
        <f>IF(VLOOKUP($B42,'VoC Efficiency'!$B$27:$Q$70,COLUMN()-1,FALSE)="","",VLOOKUP($B42,'VoC Efficiency'!$B$27:$Q$70,COLUMN()-1,FALSE))</f>
        <v>0</v>
      </c>
      <c r="O42" s="76">
        <f>IF(VLOOKUP($B42,'VoC Efficiency'!$B$27:$Q$70,COLUMN()-1,FALSE)="","",VLOOKUP($B42,'VoC Efficiency'!$B$27:$Q$70,COLUMN()-1,FALSE))</f>
        <v>0</v>
      </c>
      <c r="P42" s="65">
        <f>IF(VLOOKUP($B42,'VoC Efficiency'!$B$27:$Q$70,COLUMN()-1,FALSE)="","",VLOOKUP($B42,'VoC Efficiency'!$B$27:$Q$70,COLUMN()-1,FALSE))</f>
        <v>0</v>
      </c>
      <c r="Q42" s="76">
        <f>IF(VLOOKUP($B42,'VoC Efficiency'!$B$27:$Q$70,COLUMN()-1,FALSE)="","",VLOOKUP($B42,'VoC Efficiency'!$B$27:$Q$70,COLUMN()-1,FALSE))</f>
        <v>0</v>
      </c>
      <c r="R42" s="694"/>
      <c r="S42" s="673">
        <f t="shared" si="0"/>
        <v>2021</v>
      </c>
      <c r="T42" s="672">
        <f t="shared" si="3"/>
        <v>0.87170556931674348</v>
      </c>
      <c r="U42" s="65">
        <f t="shared" si="3"/>
        <v>0.90282196414110338</v>
      </c>
      <c r="V42" s="76">
        <f t="shared" si="4"/>
        <v>0.98288102929899968</v>
      </c>
      <c r="W42" s="672">
        <f t="shared" si="16"/>
        <v>0.89516925988700935</v>
      </c>
      <c r="X42" s="65">
        <f t="shared" si="17"/>
        <v>0.95059058810996522</v>
      </c>
      <c r="Y42" s="76">
        <f t="shared" si="18"/>
        <v>0.95946432576410434</v>
      </c>
      <c r="Z42" s="672">
        <f t="shared" si="6"/>
        <v>1</v>
      </c>
      <c r="AA42" s="76">
        <f t="shared" si="7"/>
        <v>1</v>
      </c>
      <c r="AB42" s="672">
        <f t="shared" si="13"/>
        <v>1</v>
      </c>
      <c r="AC42" s="76">
        <f t="shared" si="8"/>
        <v>1</v>
      </c>
      <c r="AD42" s="65">
        <f t="shared" si="9"/>
        <v>1</v>
      </c>
      <c r="AE42" s="76">
        <f t="shared" si="10"/>
        <v>1</v>
      </c>
      <c r="AF42" s="65">
        <f t="shared" si="11"/>
        <v>1.006892406578946</v>
      </c>
      <c r="AG42" s="76">
        <f t="shared" si="12"/>
        <v>1</v>
      </c>
      <c r="AH42" s="82"/>
      <c r="AI42" s="82"/>
      <c r="AM42" s="26"/>
      <c r="AN42" s="26"/>
      <c r="AO42" s="26"/>
      <c r="AP42" s="26"/>
    </row>
    <row r="43" spans="1:42" ht="13.5" customHeight="1">
      <c r="A43" s="113"/>
      <c r="B43" s="452" t="str">
        <f t="shared" si="2"/>
        <v>2021 to</v>
      </c>
      <c r="C43" s="42">
        <f t="shared" si="15"/>
        <v>2022</v>
      </c>
      <c r="D43" s="672">
        <f>IF(VLOOKUP($B43,'VoC Efficiency'!$B$27:$Q$70,COLUMN()-1,FALSE)="","",VLOOKUP($B43,'VoC Efficiency'!$B$27:$Q$70,COLUMN()-1,FALSE))</f>
        <v>-2.663634912659596</v>
      </c>
      <c r="E43" s="65">
        <f>IF(VLOOKUP($B43,'VoC Efficiency'!$B$27:$Q$70,COLUMN()-1,FALSE)="","",VLOOKUP($B43,'VoC Efficiency'!$B$27:$Q$70,COLUMN()-1,FALSE))</f>
        <v>-1.6452867911494695</v>
      </c>
      <c r="F43" s="76">
        <f>IF(VLOOKUP($B43,'VoC Efficiency'!$B$27:$Q$70,COLUMN()-1,FALSE)="","",VLOOKUP($B43,'VoC Efficiency'!$B$27:$Q$70,COLUMN()-1,FALSE))</f>
        <v>-0.58177430738114433</v>
      </c>
      <c r="G43" s="65">
        <f>IF(VLOOKUP($B43,'VoC Efficiency'!$B$27:$Q$70,COLUMN()-1,FALSE)="","",VLOOKUP($B43,'VoC Efficiency'!$B$27:$Q$70,COLUMN()-1,FALSE))</f>
        <v>-2.4183313867738532</v>
      </c>
      <c r="H43" s="65">
        <f>IF(VLOOKUP($B43,'VoC Efficiency'!$B$27:$Q$70,COLUMN()-1,FALSE)="","",VLOOKUP($B43,'VoC Efficiency'!$B$27:$Q$70,COLUMN()-1,FALSE))</f>
        <v>-1.4905435374336973</v>
      </c>
      <c r="I43" s="65">
        <f>IF(VLOOKUP($B43,'VoC Efficiency'!$B$27:$Q$70,COLUMN()-1,FALSE)="","",VLOOKUP($B43,'VoC Efficiency'!$B$27:$Q$70,COLUMN()-1,FALSE))</f>
        <v>-2.8081862002079516</v>
      </c>
      <c r="J43" s="672">
        <f>IF(VLOOKUP($B43,'VoC Efficiency'!$B$27:$Q$70,COLUMN()-1,FALSE)="","",VLOOKUP($B43,'VoC Efficiency'!$B$27:$Q$70,COLUMN()-1,FALSE))</f>
        <v>0</v>
      </c>
      <c r="K43" s="76">
        <f>IF(VLOOKUP($B43,'VoC Efficiency'!$B$27:$Q$70,COLUMN()-1,FALSE)="","",VLOOKUP($B43,'VoC Efficiency'!$B$27:$Q$70,COLUMN()-1,FALSE))</f>
        <v>0</v>
      </c>
      <c r="L43" s="672">
        <f>IF(VLOOKUP($B43,'VoC Efficiency'!$B$27:$Q$70,COLUMN()-1,FALSE)="","",VLOOKUP($B43,'VoC Efficiency'!$B$27:$Q$70,COLUMN()-1,FALSE))</f>
        <v>0</v>
      </c>
      <c r="M43" s="76">
        <f>IF(VLOOKUP($B43,'VoC Efficiency'!$B$27:$Q$70,COLUMN()-1,FALSE)="","",VLOOKUP($B43,'VoC Efficiency'!$B$27:$Q$70,COLUMN()-1,FALSE))</f>
        <v>0</v>
      </c>
      <c r="N43" s="65">
        <f>IF(VLOOKUP($B43,'VoC Efficiency'!$B$27:$Q$70,COLUMN()-1,FALSE)="","",VLOOKUP($B43,'VoC Efficiency'!$B$27:$Q$70,COLUMN()-1,FALSE))</f>
        <v>0</v>
      </c>
      <c r="O43" s="76">
        <f>IF(VLOOKUP($B43,'VoC Efficiency'!$B$27:$Q$70,COLUMN()-1,FALSE)="","",VLOOKUP($B43,'VoC Efficiency'!$B$27:$Q$70,COLUMN()-1,FALSE))</f>
        <v>0</v>
      </c>
      <c r="P43" s="65">
        <f>IF(VLOOKUP($B43,'VoC Efficiency'!$B$27:$Q$70,COLUMN()-1,FALSE)="","",VLOOKUP($B43,'VoC Efficiency'!$B$27:$Q$70,COLUMN()-1,FALSE))</f>
        <v>0</v>
      </c>
      <c r="Q43" s="76">
        <f>IF(VLOOKUP($B43,'VoC Efficiency'!$B$27:$Q$70,COLUMN()-1,FALSE)="","",VLOOKUP($B43,'VoC Efficiency'!$B$27:$Q$70,COLUMN()-1,FALSE))</f>
        <v>0</v>
      </c>
      <c r="R43" s="694"/>
      <c r="S43" s="673">
        <f t="shared" si="0"/>
        <v>2022</v>
      </c>
      <c r="T43" s="672">
        <f t="shared" si="3"/>
        <v>0.84848651543682463</v>
      </c>
      <c r="U43" s="65">
        <f t="shared" si="3"/>
        <v>0.88796795361749359</v>
      </c>
      <c r="V43" s="76">
        <f t="shared" si="4"/>
        <v>0.97716287999841478</v>
      </c>
      <c r="W43" s="672">
        <f t="shared" si="16"/>
        <v>0.87352110071041056</v>
      </c>
      <c r="X43" s="65">
        <f t="shared" si="17"/>
        <v>0.93642162153143915</v>
      </c>
      <c r="Y43" s="76">
        <f t="shared" si="18"/>
        <v>0.93252078097207847</v>
      </c>
      <c r="Z43" s="672">
        <f t="shared" si="6"/>
        <v>1</v>
      </c>
      <c r="AA43" s="76">
        <f t="shared" si="7"/>
        <v>1</v>
      </c>
      <c r="AB43" s="672">
        <f t="shared" si="13"/>
        <v>1</v>
      </c>
      <c r="AC43" s="76">
        <f t="shared" si="8"/>
        <v>1</v>
      </c>
      <c r="AD43" s="65">
        <f t="shared" si="9"/>
        <v>1</v>
      </c>
      <c r="AE43" s="76">
        <f t="shared" si="10"/>
        <v>1</v>
      </c>
      <c r="AF43" s="65">
        <f t="shared" si="11"/>
        <v>1.006892406578946</v>
      </c>
      <c r="AG43" s="76">
        <f t="shared" si="12"/>
        <v>1</v>
      </c>
      <c r="AH43" s="82"/>
      <c r="AI43" s="82"/>
      <c r="AM43" s="26"/>
      <c r="AN43" s="26"/>
      <c r="AO43" s="26"/>
      <c r="AP43" s="26"/>
    </row>
    <row r="44" spans="1:42" ht="13.5" customHeight="1">
      <c r="A44" s="113"/>
      <c r="B44" s="452" t="str">
        <f t="shared" si="2"/>
        <v>2022 to</v>
      </c>
      <c r="C44" s="42">
        <f t="shared" si="15"/>
        <v>2023</v>
      </c>
      <c r="D44" s="672">
        <f>IF(VLOOKUP($B44,'VoC Efficiency'!$B$27:$Q$70,COLUMN()-1,FALSE)="","",VLOOKUP($B44,'VoC Efficiency'!$B$27:$Q$70,COLUMN()-1,FALSE))</f>
        <v>-2.2742121664911852</v>
      </c>
      <c r="E44" s="65">
        <f>IF(VLOOKUP($B44,'VoC Efficiency'!$B$27:$Q$70,COLUMN()-1,FALSE)="","",VLOOKUP($B44,'VoC Efficiency'!$B$27:$Q$70,COLUMN()-1,FALSE))</f>
        <v>-1.3014991429884826</v>
      </c>
      <c r="F44" s="76">
        <f>IF(VLOOKUP($B44,'VoC Efficiency'!$B$27:$Q$70,COLUMN()-1,FALSE)="","",VLOOKUP($B44,'VoC Efficiency'!$B$27:$Q$70,COLUMN()-1,FALSE))</f>
        <v>-0.67829539206801792</v>
      </c>
      <c r="G44" s="65">
        <f>IF(VLOOKUP($B44,'VoC Efficiency'!$B$27:$Q$70,COLUMN()-1,FALSE)="","",VLOOKUP($B44,'VoC Efficiency'!$B$27:$Q$70,COLUMN()-1,FALSE))</f>
        <v>-2.3527164156815772</v>
      </c>
      <c r="H44" s="65">
        <f>IF(VLOOKUP($B44,'VoC Efficiency'!$B$27:$Q$70,COLUMN()-1,FALSE)="","",VLOOKUP($B44,'VoC Efficiency'!$B$27:$Q$70,COLUMN()-1,FALSE))</f>
        <v>-1.2809588789186921</v>
      </c>
      <c r="I44" s="65">
        <f>IF(VLOOKUP($B44,'VoC Efficiency'!$B$27:$Q$70,COLUMN()-1,FALSE)="","",VLOOKUP($B44,'VoC Efficiency'!$B$27:$Q$70,COLUMN()-1,FALSE))</f>
        <v>-2.5946030342021031</v>
      </c>
      <c r="J44" s="672">
        <f>IF(VLOOKUP($B44,'VoC Efficiency'!$B$27:$Q$70,COLUMN()-1,FALSE)="","",VLOOKUP($B44,'VoC Efficiency'!$B$27:$Q$70,COLUMN()-1,FALSE))</f>
        <v>0</v>
      </c>
      <c r="K44" s="76">
        <f>IF(VLOOKUP($B44,'VoC Efficiency'!$B$27:$Q$70,COLUMN()-1,FALSE)="","",VLOOKUP($B44,'VoC Efficiency'!$B$27:$Q$70,COLUMN()-1,FALSE))</f>
        <v>0</v>
      </c>
      <c r="L44" s="672">
        <f>IF(VLOOKUP($B44,'VoC Efficiency'!$B$27:$Q$70,COLUMN()-1,FALSE)="","",VLOOKUP($B44,'VoC Efficiency'!$B$27:$Q$70,COLUMN()-1,FALSE))</f>
        <v>0</v>
      </c>
      <c r="M44" s="76">
        <f>IF(VLOOKUP($B44,'VoC Efficiency'!$B$27:$Q$70,COLUMN()-1,FALSE)="","",VLOOKUP($B44,'VoC Efficiency'!$B$27:$Q$70,COLUMN()-1,FALSE))</f>
        <v>0</v>
      </c>
      <c r="N44" s="65">
        <f>IF(VLOOKUP($B44,'VoC Efficiency'!$B$27:$Q$70,COLUMN()-1,FALSE)="","",VLOOKUP($B44,'VoC Efficiency'!$B$27:$Q$70,COLUMN()-1,FALSE))</f>
        <v>0</v>
      </c>
      <c r="O44" s="76">
        <f>IF(VLOOKUP($B44,'VoC Efficiency'!$B$27:$Q$70,COLUMN()-1,FALSE)="","",VLOOKUP($B44,'VoC Efficiency'!$B$27:$Q$70,COLUMN()-1,FALSE))</f>
        <v>0</v>
      </c>
      <c r="P44" s="65">
        <f>IF(VLOOKUP($B44,'VoC Efficiency'!$B$27:$Q$70,COLUMN()-1,FALSE)="","",VLOOKUP($B44,'VoC Efficiency'!$B$27:$Q$70,COLUMN()-1,FALSE))</f>
        <v>0</v>
      </c>
      <c r="Q44" s="76">
        <f>IF(VLOOKUP($B44,'VoC Efficiency'!$B$27:$Q$70,COLUMN()-1,FALSE)="","",VLOOKUP($B44,'VoC Efficiency'!$B$27:$Q$70,COLUMN()-1,FALSE))</f>
        <v>0</v>
      </c>
      <c r="R44" s="694"/>
      <c r="S44" s="673">
        <f t="shared" si="0"/>
        <v>2023</v>
      </c>
      <c r="T44" s="672">
        <f t="shared" si="3"/>
        <v>0.8291901318717233</v>
      </c>
      <c r="U44" s="65">
        <f t="shared" si="3"/>
        <v>0.87641105831114952</v>
      </c>
      <c r="V44" s="76">
        <f t="shared" si="4"/>
        <v>0.97053482921038636</v>
      </c>
      <c r="W44" s="672">
        <f t="shared" si="16"/>
        <v>0.85296962637955431</v>
      </c>
      <c r="X44" s="65">
        <f t="shared" si="17"/>
        <v>0.92442644562631782</v>
      </c>
      <c r="Y44" s="76">
        <f t="shared" si="18"/>
        <v>0.90832556849441182</v>
      </c>
      <c r="Z44" s="672">
        <f>IF($S44&lt;$C$14,Z45/(1+J45/100),IF($S44=$C$14,1,Z43*(1+J44/100)))</f>
        <v>1</v>
      </c>
      <c r="AA44" s="76">
        <f t="shared" si="7"/>
        <v>1</v>
      </c>
      <c r="AB44" s="672">
        <f t="shared" si="13"/>
        <v>1</v>
      </c>
      <c r="AC44" s="76">
        <f t="shared" si="8"/>
        <v>1</v>
      </c>
      <c r="AD44" s="65">
        <f t="shared" si="9"/>
        <v>1</v>
      </c>
      <c r="AE44" s="76">
        <f t="shared" si="10"/>
        <v>1</v>
      </c>
      <c r="AF44" s="65">
        <f t="shared" si="11"/>
        <v>1.006892406578946</v>
      </c>
      <c r="AG44" s="76">
        <f t="shared" si="12"/>
        <v>1</v>
      </c>
      <c r="AH44" s="82"/>
      <c r="AI44" s="82"/>
      <c r="AM44" s="26"/>
      <c r="AN44" s="26"/>
      <c r="AO44" s="26"/>
      <c r="AP44" s="26"/>
    </row>
    <row r="45" spans="1:42" ht="13.5" customHeight="1">
      <c r="A45" s="113"/>
      <c r="B45" s="452" t="str">
        <f t="shared" si="2"/>
        <v>2023 to</v>
      </c>
      <c r="C45" s="42">
        <f t="shared" si="15"/>
        <v>2024</v>
      </c>
      <c r="D45" s="672">
        <f>IF(VLOOKUP($B45,'VoC Efficiency'!$B$27:$Q$70,COLUMN()-1,FALSE)="","",VLOOKUP($B45,'VoC Efficiency'!$B$27:$Q$70,COLUMN()-1,FALSE))</f>
        <v>-2.1333659044843856</v>
      </c>
      <c r="E45" s="65">
        <f>IF(VLOOKUP($B45,'VoC Efficiency'!$B$27:$Q$70,COLUMN()-1,FALSE)="","",VLOOKUP($B45,'VoC Efficiency'!$B$27:$Q$70,COLUMN()-1,FALSE))</f>
        <v>-1.2369656668731577</v>
      </c>
      <c r="F45" s="76">
        <f>IF(VLOOKUP($B45,'VoC Efficiency'!$B$27:$Q$70,COLUMN()-1,FALSE)="","",VLOOKUP($B45,'VoC Efficiency'!$B$27:$Q$70,COLUMN()-1,FALSE))</f>
        <v>-0.76617185561355106</v>
      </c>
      <c r="G45" s="65">
        <f>IF(VLOOKUP($B45,'VoC Efficiency'!$B$27:$Q$70,COLUMN()-1,FALSE)="","",VLOOKUP($B45,'VoC Efficiency'!$B$27:$Q$70,COLUMN()-1,FALSE))</f>
        <v>-2.0670388753873836</v>
      </c>
      <c r="H45" s="65">
        <f>IF(VLOOKUP($B45,'VoC Efficiency'!$B$27:$Q$70,COLUMN()-1,FALSE)="","",VLOOKUP($B45,'VoC Efficiency'!$B$27:$Q$70,COLUMN()-1,FALSE))</f>
        <v>-1.1228206334393476</v>
      </c>
      <c r="I45" s="65">
        <f>IF(VLOOKUP($B45,'VoC Efficiency'!$B$27:$Q$70,COLUMN()-1,FALSE)="","",VLOOKUP($B45,'VoC Efficiency'!$B$27:$Q$70,COLUMN()-1,FALSE))</f>
        <v>-2.4065407293423213</v>
      </c>
      <c r="J45" s="672">
        <f>IF(VLOOKUP($B45,'VoC Efficiency'!$B$27:$Q$70,COLUMN()-1,FALSE)="","",VLOOKUP($B45,'VoC Efficiency'!$B$27:$Q$70,COLUMN()-1,FALSE))</f>
        <v>0</v>
      </c>
      <c r="K45" s="76">
        <f>IF(VLOOKUP($B45,'VoC Efficiency'!$B$27:$Q$70,COLUMN()-1,FALSE)="","",VLOOKUP($B45,'VoC Efficiency'!$B$27:$Q$70,COLUMN()-1,FALSE))</f>
        <v>0</v>
      </c>
      <c r="L45" s="672">
        <f>IF(VLOOKUP($B45,'VoC Efficiency'!$B$27:$Q$70,COLUMN()-1,FALSE)="","",VLOOKUP($B45,'VoC Efficiency'!$B$27:$Q$70,COLUMN()-1,FALSE))</f>
        <v>0</v>
      </c>
      <c r="M45" s="76">
        <f>IF(VLOOKUP($B45,'VoC Efficiency'!$B$27:$Q$70,COLUMN()-1,FALSE)="","",VLOOKUP($B45,'VoC Efficiency'!$B$27:$Q$70,COLUMN()-1,FALSE))</f>
        <v>0</v>
      </c>
      <c r="N45" s="65">
        <f>IF(VLOOKUP($B45,'VoC Efficiency'!$B$27:$Q$70,COLUMN()-1,FALSE)="","",VLOOKUP($B45,'VoC Efficiency'!$B$27:$Q$70,COLUMN()-1,FALSE))</f>
        <v>0</v>
      </c>
      <c r="O45" s="76">
        <f>IF(VLOOKUP($B45,'VoC Efficiency'!$B$27:$Q$70,COLUMN()-1,FALSE)="","",VLOOKUP($B45,'VoC Efficiency'!$B$27:$Q$70,COLUMN()-1,FALSE))</f>
        <v>0</v>
      </c>
      <c r="P45" s="65">
        <f>IF(VLOOKUP($B45,'VoC Efficiency'!$B$27:$Q$70,COLUMN()-1,FALSE)="","",VLOOKUP($B45,'VoC Efficiency'!$B$27:$Q$70,COLUMN()-1,FALSE))</f>
        <v>0</v>
      </c>
      <c r="Q45" s="76">
        <f>IF(VLOOKUP($B45,'VoC Efficiency'!$B$27:$Q$70,COLUMN()-1,FALSE)="","",VLOOKUP($B45,'VoC Efficiency'!$B$27:$Q$70,COLUMN()-1,FALSE))</f>
        <v>0</v>
      </c>
      <c r="R45" s="694"/>
      <c r="S45" s="673">
        <f t="shared" si="0"/>
        <v>2024</v>
      </c>
      <c r="T45" s="672">
        <f t="shared" si="3"/>
        <v>0.81150047231502287</v>
      </c>
      <c r="U45" s="65">
        <f t="shared" si="3"/>
        <v>0.86557015441916085</v>
      </c>
      <c r="V45" s="76">
        <f t="shared" si="4"/>
        <v>0.96309886450004933</v>
      </c>
      <c r="W45" s="672">
        <f t="shared" si="16"/>
        <v>0.83533841260704245</v>
      </c>
      <c r="X45" s="65">
        <f t="shared" si="17"/>
        <v>0.91404679475385553</v>
      </c>
      <c r="Y45" s="76">
        <f t="shared" si="18"/>
        <v>0.88646634373356359</v>
      </c>
      <c r="Z45" s="672">
        <f t="shared" si="6"/>
        <v>1</v>
      </c>
      <c r="AA45" s="76">
        <f t="shared" si="7"/>
        <v>1</v>
      </c>
      <c r="AB45" s="672">
        <f t="shared" si="13"/>
        <v>1</v>
      </c>
      <c r="AC45" s="76">
        <f t="shared" si="8"/>
        <v>1</v>
      </c>
      <c r="AD45" s="65">
        <f t="shared" si="9"/>
        <v>1</v>
      </c>
      <c r="AE45" s="76">
        <f t="shared" si="10"/>
        <v>1</v>
      </c>
      <c r="AF45" s="65">
        <f t="shared" si="11"/>
        <v>1.006892406578946</v>
      </c>
      <c r="AG45" s="76">
        <f t="shared" si="12"/>
        <v>1</v>
      </c>
      <c r="AH45" s="82"/>
      <c r="AI45" s="82"/>
      <c r="AM45" s="26"/>
      <c r="AN45" s="26"/>
      <c r="AO45" s="26"/>
      <c r="AP45" s="26"/>
    </row>
    <row r="46" spans="1:42" ht="13.5" customHeight="1">
      <c r="A46" s="113"/>
      <c r="B46" s="452" t="str">
        <f t="shared" si="2"/>
        <v>2024 to</v>
      </c>
      <c r="C46" s="42">
        <f t="shared" si="15"/>
        <v>2025</v>
      </c>
      <c r="D46" s="672">
        <f>IF(VLOOKUP($B46,'VoC Efficiency'!$B$27:$Q$70,COLUMN()-1,FALSE)="","",VLOOKUP($B46,'VoC Efficiency'!$B$27:$Q$70,COLUMN()-1,FALSE))</f>
        <v>-2.2805112468715083</v>
      </c>
      <c r="E46" s="65">
        <f>IF(VLOOKUP($B46,'VoC Efficiency'!$B$27:$Q$70,COLUMN()-1,FALSE)="","",VLOOKUP($B46,'VoC Efficiency'!$B$27:$Q$70,COLUMN()-1,FALSE))</f>
        <v>-1.4805009963581472</v>
      </c>
      <c r="F46" s="76">
        <f>IF(VLOOKUP($B46,'VoC Efficiency'!$B$27:$Q$70,COLUMN()-1,FALSE)="","",VLOOKUP($B46,'VoC Efficiency'!$B$27:$Q$70,COLUMN()-1,FALSE))</f>
        <v>-0.85495873863552507</v>
      </c>
      <c r="G46" s="65">
        <f>IF(VLOOKUP($B46,'VoC Efficiency'!$B$27:$Q$70,COLUMN()-1,FALSE)="","",VLOOKUP($B46,'VoC Efficiency'!$B$27:$Q$70,COLUMN()-1,FALSE))</f>
        <v>-2.0613622706771029</v>
      </c>
      <c r="H46" s="65">
        <f>IF(VLOOKUP($B46,'VoC Efficiency'!$B$27:$Q$70,COLUMN()-1,FALSE)="","",VLOOKUP($B46,'VoC Efficiency'!$B$27:$Q$70,COLUMN()-1,FALSE))</f>
        <v>-0.98775402460034023</v>
      </c>
      <c r="I46" s="65">
        <f>IF(VLOOKUP($B46,'VoC Efficiency'!$B$27:$Q$70,COLUMN()-1,FALSE)="","",VLOOKUP($B46,'VoC Efficiency'!$B$27:$Q$70,COLUMN()-1,FALSE))</f>
        <v>-2.239779998223812</v>
      </c>
      <c r="J46" s="672">
        <f>IF(VLOOKUP($B46,'VoC Efficiency'!$B$27:$Q$70,COLUMN()-1,FALSE)="","",VLOOKUP($B46,'VoC Efficiency'!$B$27:$Q$70,COLUMN()-1,FALSE))</f>
        <v>0</v>
      </c>
      <c r="K46" s="76">
        <f>IF(VLOOKUP($B46,'VoC Efficiency'!$B$27:$Q$70,COLUMN()-1,FALSE)="","",VLOOKUP($B46,'VoC Efficiency'!$B$27:$Q$70,COLUMN()-1,FALSE))</f>
        <v>0</v>
      </c>
      <c r="L46" s="672">
        <f>IF(VLOOKUP($B46,'VoC Efficiency'!$B$27:$Q$70,COLUMN()-1,FALSE)="","",VLOOKUP($B46,'VoC Efficiency'!$B$27:$Q$70,COLUMN()-1,FALSE))</f>
        <v>0</v>
      </c>
      <c r="M46" s="76">
        <f>IF(VLOOKUP($B46,'VoC Efficiency'!$B$27:$Q$70,COLUMN()-1,FALSE)="","",VLOOKUP($B46,'VoC Efficiency'!$B$27:$Q$70,COLUMN()-1,FALSE))</f>
        <v>0</v>
      </c>
      <c r="N46" s="65">
        <f>IF(VLOOKUP($B46,'VoC Efficiency'!$B$27:$Q$70,COLUMN()-1,FALSE)="","",VLOOKUP($B46,'VoC Efficiency'!$B$27:$Q$70,COLUMN()-1,FALSE))</f>
        <v>0</v>
      </c>
      <c r="O46" s="76">
        <f>IF(VLOOKUP($B46,'VoC Efficiency'!$B$27:$Q$70,COLUMN()-1,FALSE)="","",VLOOKUP($B46,'VoC Efficiency'!$B$27:$Q$70,COLUMN()-1,FALSE))</f>
        <v>0</v>
      </c>
      <c r="P46" s="65">
        <f>IF(VLOOKUP($B46,'VoC Efficiency'!$B$27:$Q$70,COLUMN()-1,FALSE)="","",VLOOKUP($B46,'VoC Efficiency'!$B$27:$Q$70,COLUMN()-1,FALSE))</f>
        <v>0</v>
      </c>
      <c r="Q46" s="76">
        <f>IF(VLOOKUP($B46,'VoC Efficiency'!$B$27:$Q$70,COLUMN()-1,FALSE)="","",VLOOKUP($B46,'VoC Efficiency'!$B$27:$Q$70,COLUMN()-1,FALSE))</f>
        <v>0</v>
      </c>
      <c r="R46" s="694"/>
      <c r="S46" s="673">
        <f t="shared" si="0"/>
        <v>2025</v>
      </c>
      <c r="T46" s="672">
        <f t="shared" si="3"/>
        <v>0.79299411277546339</v>
      </c>
      <c r="U46" s="65">
        <f t="shared" si="3"/>
        <v>0.85275537965880643</v>
      </c>
      <c r="V46" s="76">
        <f t="shared" si="4"/>
        <v>0.9548647665963067</v>
      </c>
      <c r="W46" s="672">
        <f t="shared" si="16"/>
        <v>0.81811906173708782</v>
      </c>
      <c r="X46" s="65">
        <f t="shared" si="17"/>
        <v>0.90501826075194391</v>
      </c>
      <c r="Y46" s="76">
        <f t="shared" si="18"/>
        <v>0.86661144787563327</v>
      </c>
      <c r="Z46" s="672">
        <f t="shared" si="6"/>
        <v>1</v>
      </c>
      <c r="AA46" s="76">
        <f t="shared" si="7"/>
        <v>1</v>
      </c>
      <c r="AB46" s="672">
        <f t="shared" si="13"/>
        <v>1</v>
      </c>
      <c r="AC46" s="76">
        <f t="shared" si="8"/>
        <v>1</v>
      </c>
      <c r="AD46" s="65">
        <f t="shared" si="9"/>
        <v>1</v>
      </c>
      <c r="AE46" s="76">
        <f t="shared" si="10"/>
        <v>1</v>
      </c>
      <c r="AF46" s="65">
        <f t="shared" si="11"/>
        <v>1.006892406578946</v>
      </c>
      <c r="AG46" s="76">
        <f t="shared" si="12"/>
        <v>1</v>
      </c>
      <c r="AH46" s="82"/>
      <c r="AI46" s="82"/>
      <c r="AM46" s="26"/>
      <c r="AN46" s="26"/>
      <c r="AO46" s="26"/>
      <c r="AP46" s="26"/>
    </row>
    <row r="47" spans="1:42" ht="13.5" customHeight="1">
      <c r="A47" s="113"/>
      <c r="B47" s="452" t="str">
        <f t="shared" si="2"/>
        <v>2025 to</v>
      </c>
      <c r="C47" s="42">
        <f t="shared" si="15"/>
        <v>2026</v>
      </c>
      <c r="D47" s="672">
        <f>IF(VLOOKUP($B47,'VoC Efficiency'!$B$27:$Q$70,COLUMN()-1,FALSE)="","",VLOOKUP($B47,'VoC Efficiency'!$B$27:$Q$70,COLUMN()-1,FALSE))</f>
        <v>-1.670349561219342</v>
      </c>
      <c r="E47" s="65">
        <f>IF(VLOOKUP($B47,'VoC Efficiency'!$B$27:$Q$70,COLUMN()-1,FALSE)="","",VLOOKUP($B47,'VoC Efficiency'!$B$27:$Q$70,COLUMN()-1,FALSE))</f>
        <v>-0.97639940306687434</v>
      </c>
      <c r="F47" s="76">
        <f>IF(VLOOKUP($B47,'VoC Efficiency'!$B$27:$Q$70,COLUMN()-1,FALSE)="","",VLOOKUP($B47,'VoC Efficiency'!$B$27:$Q$70,COLUMN()-1,FALSE))</f>
        <v>-1.0309995833192809</v>
      </c>
      <c r="G47" s="65">
        <f>IF(VLOOKUP($B47,'VoC Efficiency'!$B$27:$Q$70,COLUMN()-1,FALSE)="","",VLOOKUP($B47,'VoC Efficiency'!$B$27:$Q$70,COLUMN()-1,FALSE))</f>
        <v>-2.0989806142296064</v>
      </c>
      <c r="H47" s="65">
        <f>IF(VLOOKUP($B47,'VoC Efficiency'!$B$27:$Q$70,COLUMN()-1,FALSE)="","",VLOOKUP($B47,'VoC Efficiency'!$B$27:$Q$70,COLUMN()-1,FALSE))</f>
        <v>-0.89863530384065582</v>
      </c>
      <c r="I47" s="65">
        <f>IF(VLOOKUP($B47,'VoC Efficiency'!$B$27:$Q$70,COLUMN()-1,FALSE)="","",VLOOKUP($B47,'VoC Efficiency'!$B$27:$Q$70,COLUMN()-1,FALSE))</f>
        <v>-2.2204460492503131E-14</v>
      </c>
      <c r="J47" s="672">
        <f>IF(VLOOKUP($B47,'VoC Efficiency'!$B$27:$Q$70,COLUMN()-1,FALSE)="","",VLOOKUP($B47,'VoC Efficiency'!$B$27:$Q$70,COLUMN()-1,FALSE))</f>
        <v>0</v>
      </c>
      <c r="K47" s="76">
        <f>IF(VLOOKUP($B47,'VoC Efficiency'!$B$27:$Q$70,COLUMN()-1,FALSE)="","",VLOOKUP($B47,'VoC Efficiency'!$B$27:$Q$70,COLUMN()-1,FALSE))</f>
        <v>0</v>
      </c>
      <c r="L47" s="672">
        <f>IF(VLOOKUP($B47,'VoC Efficiency'!$B$27:$Q$70,COLUMN()-1,FALSE)="","",VLOOKUP($B47,'VoC Efficiency'!$B$27:$Q$70,COLUMN()-1,FALSE))</f>
        <v>0</v>
      </c>
      <c r="M47" s="76">
        <f>IF(VLOOKUP($B47,'VoC Efficiency'!$B$27:$Q$70,COLUMN()-1,FALSE)="","",VLOOKUP($B47,'VoC Efficiency'!$B$27:$Q$70,COLUMN()-1,FALSE))</f>
        <v>0</v>
      </c>
      <c r="N47" s="65">
        <f>IF(VLOOKUP($B47,'VoC Efficiency'!$B$27:$Q$70,COLUMN()-1,FALSE)="","",VLOOKUP($B47,'VoC Efficiency'!$B$27:$Q$70,COLUMN()-1,FALSE))</f>
        <v>0</v>
      </c>
      <c r="O47" s="76">
        <f>IF(VLOOKUP($B47,'VoC Efficiency'!$B$27:$Q$70,COLUMN()-1,FALSE)="","",VLOOKUP($B47,'VoC Efficiency'!$B$27:$Q$70,COLUMN()-1,FALSE))</f>
        <v>0</v>
      </c>
      <c r="P47" s="65">
        <f>IF(VLOOKUP($B47,'VoC Efficiency'!$B$27:$Q$70,COLUMN()-1,FALSE)="","",VLOOKUP($B47,'VoC Efficiency'!$B$27:$Q$70,COLUMN()-1,FALSE))</f>
        <v>0</v>
      </c>
      <c r="Q47" s="76">
        <f>IF(VLOOKUP($B47,'VoC Efficiency'!$B$27:$Q$70,COLUMN()-1,FALSE)="","",VLOOKUP($B47,'VoC Efficiency'!$B$27:$Q$70,COLUMN()-1,FALSE))</f>
        <v>0</v>
      </c>
      <c r="R47" s="26"/>
      <c r="S47" s="673">
        <f t="shared" si="0"/>
        <v>2026</v>
      </c>
      <c r="T47" s="672">
        <f t="shared" si="3"/>
        <v>0.77974833909222319</v>
      </c>
      <c r="U47" s="65">
        <f t="shared" si="3"/>
        <v>0.84442908122219718</v>
      </c>
      <c r="V47" s="76">
        <f t="shared" si="4"/>
        <v>0.94502011483143611</v>
      </c>
      <c r="W47" s="672">
        <f t="shared" si="16"/>
        <v>0.80094690122990919</v>
      </c>
      <c r="X47" s="65">
        <f t="shared" si="17"/>
        <v>0.89688544715462226</v>
      </c>
      <c r="Y47" s="76">
        <f t="shared" si="18"/>
        <v>0.86661144787563305</v>
      </c>
      <c r="Z47" s="672">
        <f t="shared" si="6"/>
        <v>1</v>
      </c>
      <c r="AA47" s="76">
        <f t="shared" si="7"/>
        <v>1</v>
      </c>
      <c r="AB47" s="672">
        <f t="shared" si="13"/>
        <v>1</v>
      </c>
      <c r="AC47" s="76">
        <f t="shared" si="8"/>
        <v>1</v>
      </c>
      <c r="AD47" s="65">
        <f t="shared" si="9"/>
        <v>1</v>
      </c>
      <c r="AE47" s="76">
        <f t="shared" si="10"/>
        <v>1</v>
      </c>
      <c r="AF47" s="65">
        <f t="shared" si="11"/>
        <v>1.006892406578946</v>
      </c>
      <c r="AG47" s="76">
        <f t="shared" si="12"/>
        <v>1</v>
      </c>
      <c r="AH47" s="82"/>
      <c r="AI47" s="82"/>
      <c r="AM47" s="26"/>
      <c r="AN47" s="26"/>
      <c r="AO47" s="26"/>
      <c r="AP47" s="26"/>
    </row>
    <row r="48" spans="1:42" ht="13.5" customHeight="1">
      <c r="A48" s="113"/>
      <c r="B48" s="452" t="str">
        <f t="shared" si="2"/>
        <v>2026 to</v>
      </c>
      <c r="C48" s="42">
        <f t="shared" si="15"/>
        <v>2027</v>
      </c>
      <c r="D48" s="672">
        <f>IF(VLOOKUP($B48,'VoC Efficiency'!$B$27:$Q$70,COLUMN()-1,FALSE)="","",VLOOKUP($B48,'VoC Efficiency'!$B$27:$Q$70,COLUMN()-1,FALSE))</f>
        <v>-1.4321867553281686</v>
      </c>
      <c r="E48" s="65">
        <f>IF(VLOOKUP($B48,'VoC Efficiency'!$B$27:$Q$70,COLUMN()-1,FALSE)="","",VLOOKUP($B48,'VoC Efficiency'!$B$27:$Q$70,COLUMN()-1,FALSE))</f>
        <v>-0.83014237467112784</v>
      </c>
      <c r="F48" s="76">
        <f>IF(VLOOKUP($B48,'VoC Efficiency'!$B$27:$Q$70,COLUMN()-1,FALSE)="","",VLOOKUP($B48,'VoC Efficiency'!$B$27:$Q$70,COLUMN()-1,FALSE))</f>
        <v>-1.1525723617466954</v>
      </c>
      <c r="G48" s="65">
        <f>IF(VLOOKUP($B48,'VoC Efficiency'!$B$27:$Q$70,COLUMN()-1,FALSE)="","",VLOOKUP($B48,'VoC Efficiency'!$B$27:$Q$70,COLUMN()-1,FALSE))</f>
        <v>-9.7968781174736073</v>
      </c>
      <c r="H48" s="65">
        <f>IF(VLOOKUP($B48,'VoC Efficiency'!$B$27:$Q$70,COLUMN()-1,FALSE)="","",VLOOKUP($B48,'VoC Efficiency'!$B$27:$Q$70,COLUMN()-1,FALSE))</f>
        <v>-0.82593942332339632</v>
      </c>
      <c r="I48" s="65">
        <f>IF(VLOOKUP($B48,'VoC Efficiency'!$B$27:$Q$70,COLUMN()-1,FALSE)="","",VLOOKUP($B48,'VoC Efficiency'!$B$27:$Q$70,COLUMN()-1,FALSE))</f>
        <v>-1.1102230246251565E-14</v>
      </c>
      <c r="J48" s="672">
        <f>IF(VLOOKUP($B48,'VoC Efficiency'!$B$27:$Q$70,COLUMN()-1,FALSE)="","",VLOOKUP($B48,'VoC Efficiency'!$B$27:$Q$70,COLUMN()-1,FALSE))</f>
        <v>0</v>
      </c>
      <c r="K48" s="76">
        <f>IF(VLOOKUP($B48,'VoC Efficiency'!$B$27:$Q$70,COLUMN()-1,FALSE)="","",VLOOKUP($B48,'VoC Efficiency'!$B$27:$Q$70,COLUMN()-1,FALSE))</f>
        <v>0</v>
      </c>
      <c r="L48" s="672">
        <f>IF(VLOOKUP($B48,'VoC Efficiency'!$B$27:$Q$70,COLUMN()-1,FALSE)="","",VLOOKUP($B48,'VoC Efficiency'!$B$27:$Q$70,COLUMN()-1,FALSE))</f>
        <v>0</v>
      </c>
      <c r="M48" s="76">
        <f>IF(VLOOKUP($B48,'VoC Efficiency'!$B$27:$Q$70,COLUMN()-1,FALSE)="","",VLOOKUP($B48,'VoC Efficiency'!$B$27:$Q$70,COLUMN()-1,FALSE))</f>
        <v>0</v>
      </c>
      <c r="N48" s="65">
        <f>IF(VLOOKUP($B48,'VoC Efficiency'!$B$27:$Q$70,COLUMN()-1,FALSE)="","",VLOOKUP($B48,'VoC Efficiency'!$B$27:$Q$70,COLUMN()-1,FALSE))</f>
        <v>0</v>
      </c>
      <c r="O48" s="76">
        <f>IF(VLOOKUP($B48,'VoC Efficiency'!$B$27:$Q$70,COLUMN()-1,FALSE)="","",VLOOKUP($B48,'VoC Efficiency'!$B$27:$Q$70,COLUMN()-1,FALSE))</f>
        <v>0</v>
      </c>
      <c r="P48" s="65">
        <f>IF(VLOOKUP($B48,'VoC Efficiency'!$B$27:$Q$70,COLUMN()-1,FALSE)="","",VLOOKUP($B48,'VoC Efficiency'!$B$27:$Q$70,COLUMN()-1,FALSE))</f>
        <v>0</v>
      </c>
      <c r="Q48" s="76">
        <f>IF(VLOOKUP($B48,'VoC Efficiency'!$B$27:$Q$70,COLUMN()-1,FALSE)="","",VLOOKUP($B48,'VoC Efficiency'!$B$27:$Q$70,COLUMN()-1,FALSE))</f>
        <v>0</v>
      </c>
      <c r="R48" s="26"/>
      <c r="S48" s="673">
        <f t="shared" si="0"/>
        <v>2027</v>
      </c>
      <c r="T48" s="672">
        <f t="shared" si="3"/>
        <v>0.76858088665485302</v>
      </c>
      <c r="U48" s="65">
        <f t="shared" si="3"/>
        <v>0.8374191175949256</v>
      </c>
      <c r="V48" s="76">
        <f t="shared" si="4"/>
        <v>0.93412807417494215</v>
      </c>
      <c r="W48" s="672">
        <f t="shared" si="16"/>
        <v>0.72247910953073324</v>
      </c>
      <c r="X48" s="65">
        <f t="shared" si="17"/>
        <v>0.88947771666452191</v>
      </c>
      <c r="Y48" s="76">
        <f t="shared" si="18"/>
        <v>0.86661144787563293</v>
      </c>
      <c r="Z48" s="672">
        <f t="shared" si="6"/>
        <v>1</v>
      </c>
      <c r="AA48" s="76">
        <f t="shared" si="7"/>
        <v>1</v>
      </c>
      <c r="AB48" s="672">
        <f t="shared" si="13"/>
        <v>1</v>
      </c>
      <c r="AC48" s="76">
        <f t="shared" si="8"/>
        <v>1</v>
      </c>
      <c r="AD48" s="65">
        <f t="shared" si="9"/>
        <v>1</v>
      </c>
      <c r="AE48" s="76">
        <f t="shared" si="10"/>
        <v>1</v>
      </c>
      <c r="AF48" s="65">
        <f t="shared" si="11"/>
        <v>1.006892406578946</v>
      </c>
      <c r="AG48" s="76">
        <f t="shared" si="12"/>
        <v>1</v>
      </c>
      <c r="AH48" s="82"/>
      <c r="AI48" s="82"/>
      <c r="AM48" s="26"/>
      <c r="AN48" s="26"/>
      <c r="AO48" s="26"/>
      <c r="AP48" s="26"/>
    </row>
    <row r="49" spans="1:42" ht="13.5" customHeight="1">
      <c r="A49" s="113"/>
      <c r="B49" s="452" t="str">
        <f t="shared" si="2"/>
        <v>2027 to</v>
      </c>
      <c r="C49" s="42">
        <f t="shared" si="15"/>
        <v>2028</v>
      </c>
      <c r="D49" s="672">
        <f>IF(VLOOKUP($B49,'VoC Efficiency'!$B$27:$Q$70,COLUMN()-1,FALSE)="","",VLOOKUP($B49,'VoC Efficiency'!$B$27:$Q$70,COLUMN()-1,FALSE))</f>
        <v>-1.5840484870910498</v>
      </c>
      <c r="E49" s="65">
        <f>IF(VLOOKUP($B49,'VoC Efficiency'!$B$27:$Q$70,COLUMN()-1,FALSE)="","",VLOOKUP($B49,'VoC Efficiency'!$B$27:$Q$70,COLUMN()-1,FALSE))</f>
        <v>-1.0648458188434184</v>
      </c>
      <c r="F49" s="76">
        <f>IF(VLOOKUP($B49,'VoC Efficiency'!$B$27:$Q$70,COLUMN()-1,FALSE)="","",VLOOKUP($B49,'VoC Efficiency'!$B$27:$Q$70,COLUMN()-1,FALSE))</f>
        <v>-1.2836295731888048</v>
      </c>
      <c r="G49" s="65">
        <f>IF(VLOOKUP($B49,'VoC Efficiency'!$B$27:$Q$70,COLUMN()-1,FALSE)="","",VLOOKUP($B49,'VoC Efficiency'!$B$27:$Q$70,COLUMN()-1,FALSE))</f>
        <v>-1.264403704202155</v>
      </c>
      <c r="H49" s="65">
        <f>IF(VLOOKUP($B49,'VoC Efficiency'!$B$27:$Q$70,COLUMN()-1,FALSE)="","",VLOOKUP($B49,'VoC Efficiency'!$B$27:$Q$70,COLUMN()-1,FALSE))</f>
        <v>-0.72465314763112687</v>
      </c>
      <c r="I49" s="65">
        <f>IF(VLOOKUP($B49,'VoC Efficiency'!$B$27:$Q$70,COLUMN()-1,FALSE)="","",VLOOKUP($B49,'VoC Efficiency'!$B$27:$Q$70,COLUMN()-1,FALSE))</f>
        <v>0</v>
      </c>
      <c r="J49" s="672">
        <f>IF(VLOOKUP($B49,'VoC Efficiency'!$B$27:$Q$70,COLUMN()-1,FALSE)="","",VLOOKUP($B49,'VoC Efficiency'!$B$27:$Q$70,COLUMN()-1,FALSE))</f>
        <v>0</v>
      </c>
      <c r="K49" s="76">
        <f>IF(VLOOKUP($B49,'VoC Efficiency'!$B$27:$Q$70,COLUMN()-1,FALSE)="","",VLOOKUP($B49,'VoC Efficiency'!$B$27:$Q$70,COLUMN()-1,FALSE))</f>
        <v>0</v>
      </c>
      <c r="L49" s="672">
        <f>IF(VLOOKUP($B49,'VoC Efficiency'!$B$27:$Q$70,COLUMN()-1,FALSE)="","",VLOOKUP($B49,'VoC Efficiency'!$B$27:$Q$70,COLUMN()-1,FALSE))</f>
        <v>0</v>
      </c>
      <c r="M49" s="76">
        <f>IF(VLOOKUP($B49,'VoC Efficiency'!$B$27:$Q$70,COLUMN()-1,FALSE)="","",VLOOKUP($B49,'VoC Efficiency'!$B$27:$Q$70,COLUMN()-1,FALSE))</f>
        <v>0</v>
      </c>
      <c r="N49" s="65">
        <f>IF(VLOOKUP($B49,'VoC Efficiency'!$B$27:$Q$70,COLUMN()-1,FALSE)="","",VLOOKUP($B49,'VoC Efficiency'!$B$27:$Q$70,COLUMN()-1,FALSE))</f>
        <v>0</v>
      </c>
      <c r="O49" s="76">
        <f>IF(VLOOKUP($B49,'VoC Efficiency'!$B$27:$Q$70,COLUMN()-1,FALSE)="","",VLOOKUP($B49,'VoC Efficiency'!$B$27:$Q$70,COLUMN()-1,FALSE))</f>
        <v>0</v>
      </c>
      <c r="P49" s="65">
        <f>IF(VLOOKUP($B49,'VoC Efficiency'!$B$27:$Q$70,COLUMN()-1,FALSE)="","",VLOOKUP($B49,'VoC Efficiency'!$B$27:$Q$70,COLUMN()-1,FALSE))</f>
        <v>0</v>
      </c>
      <c r="Q49" s="76">
        <f>IF(VLOOKUP($B49,'VoC Efficiency'!$B$27:$Q$70,COLUMN()-1,FALSE)="","",VLOOKUP($B49,'VoC Efficiency'!$B$27:$Q$70,COLUMN()-1,FALSE))</f>
        <v>0</v>
      </c>
      <c r="R49" s="26"/>
      <c r="S49" s="673">
        <f t="shared" si="0"/>
        <v>2028</v>
      </c>
      <c r="T49" s="672">
        <f t="shared" si="3"/>
        <v>0.7564061927477258</v>
      </c>
      <c r="U49" s="65">
        <f t="shared" si="3"/>
        <v>0.82850189513502059</v>
      </c>
      <c r="V49" s="76">
        <f t="shared" si="4"/>
        <v>0.9221373299633735</v>
      </c>
      <c r="W49" s="672">
        <f t="shared" si="16"/>
        <v>0.71334405690773994</v>
      </c>
      <c r="X49" s="65">
        <f t="shared" si="17"/>
        <v>0.88303208839323499</v>
      </c>
      <c r="Y49" s="76">
        <f t="shared" si="18"/>
        <v>0.86661144787563293</v>
      </c>
      <c r="Z49" s="672">
        <f t="shared" si="6"/>
        <v>1</v>
      </c>
      <c r="AA49" s="76">
        <f t="shared" si="7"/>
        <v>1</v>
      </c>
      <c r="AB49" s="672">
        <f t="shared" si="13"/>
        <v>1</v>
      </c>
      <c r="AC49" s="76">
        <f t="shared" si="8"/>
        <v>1</v>
      </c>
      <c r="AD49" s="65">
        <f t="shared" si="9"/>
        <v>1</v>
      </c>
      <c r="AE49" s="76">
        <f t="shared" si="10"/>
        <v>1</v>
      </c>
      <c r="AF49" s="65">
        <f t="shared" si="11"/>
        <v>1.006892406578946</v>
      </c>
      <c r="AG49" s="76">
        <f t="shared" si="12"/>
        <v>1</v>
      </c>
      <c r="AH49" s="82"/>
      <c r="AI49" s="82"/>
      <c r="AM49" s="26"/>
      <c r="AN49" s="26"/>
      <c r="AO49" s="26"/>
      <c r="AP49" s="26"/>
    </row>
    <row r="50" spans="1:42" ht="13.5" customHeight="1">
      <c r="A50" s="113"/>
      <c r="B50" s="452" t="str">
        <f t="shared" si="2"/>
        <v>2028 to</v>
      </c>
      <c r="C50" s="42">
        <f t="shared" si="15"/>
        <v>2029</v>
      </c>
      <c r="D50" s="672">
        <f>IF(VLOOKUP($B50,'VoC Efficiency'!$B$27:$Q$70,COLUMN()-1,FALSE)="","",VLOOKUP($B50,'VoC Efficiency'!$B$27:$Q$70,COLUMN()-1,FALSE))</f>
        <v>-1.0134641196753336</v>
      </c>
      <c r="E50" s="65">
        <f>IF(VLOOKUP($B50,'VoC Efficiency'!$B$27:$Q$70,COLUMN()-1,FALSE)="","",VLOOKUP($B50,'VoC Efficiency'!$B$27:$Q$70,COLUMN()-1,FALSE))</f>
        <v>-0.56780111308164516</v>
      </c>
      <c r="F50" s="76">
        <f>IF(VLOOKUP($B50,'VoC Efficiency'!$B$27:$Q$70,COLUMN()-1,FALSE)="","",VLOOKUP($B50,'VoC Efficiency'!$B$27:$Q$70,COLUMN()-1,FALSE))</f>
        <v>-1.3884006294453521</v>
      </c>
      <c r="G50" s="65">
        <f>IF(VLOOKUP($B50,'VoC Efficiency'!$B$27:$Q$70,COLUMN()-1,FALSE)="","",VLOOKUP($B50,'VoC Efficiency'!$B$27:$Q$70,COLUMN()-1,FALSE))</f>
        <v>-1.0758923792981268</v>
      </c>
      <c r="H50" s="65">
        <f>IF(VLOOKUP($B50,'VoC Efficiency'!$B$27:$Q$70,COLUMN()-1,FALSE)="","",VLOOKUP($B50,'VoC Efficiency'!$B$27:$Q$70,COLUMN()-1,FALSE))</f>
        <v>-0.62876900634436517</v>
      </c>
      <c r="I50" s="65">
        <f>IF(VLOOKUP($B50,'VoC Efficiency'!$B$27:$Q$70,COLUMN()-1,FALSE)="","",VLOOKUP($B50,'VoC Efficiency'!$B$27:$Q$70,COLUMN()-1,FALSE))</f>
        <v>0</v>
      </c>
      <c r="J50" s="672">
        <f>IF(VLOOKUP($B50,'VoC Efficiency'!$B$27:$Q$70,COLUMN()-1,FALSE)="","",VLOOKUP($B50,'VoC Efficiency'!$B$27:$Q$70,COLUMN()-1,FALSE))</f>
        <v>0</v>
      </c>
      <c r="K50" s="76">
        <f>IF(VLOOKUP($B50,'VoC Efficiency'!$B$27:$Q$70,COLUMN()-1,FALSE)="","",VLOOKUP($B50,'VoC Efficiency'!$B$27:$Q$70,COLUMN()-1,FALSE))</f>
        <v>0</v>
      </c>
      <c r="L50" s="672">
        <f>IF(VLOOKUP($B50,'VoC Efficiency'!$B$27:$Q$70,COLUMN()-1,FALSE)="","",VLOOKUP($B50,'VoC Efficiency'!$B$27:$Q$70,COLUMN()-1,FALSE))</f>
        <v>0</v>
      </c>
      <c r="M50" s="76">
        <f>IF(VLOOKUP($B50,'VoC Efficiency'!$B$27:$Q$70,COLUMN()-1,FALSE)="","",VLOOKUP($B50,'VoC Efficiency'!$B$27:$Q$70,COLUMN()-1,FALSE))</f>
        <v>0</v>
      </c>
      <c r="N50" s="65">
        <f>IF(VLOOKUP($B50,'VoC Efficiency'!$B$27:$Q$70,COLUMN()-1,FALSE)="","",VLOOKUP($B50,'VoC Efficiency'!$B$27:$Q$70,COLUMN()-1,FALSE))</f>
        <v>0</v>
      </c>
      <c r="O50" s="76">
        <f>IF(VLOOKUP($B50,'VoC Efficiency'!$B$27:$Q$70,COLUMN()-1,FALSE)="","",VLOOKUP($B50,'VoC Efficiency'!$B$27:$Q$70,COLUMN()-1,FALSE))</f>
        <v>0</v>
      </c>
      <c r="P50" s="65">
        <f>IF(VLOOKUP($B50,'VoC Efficiency'!$B$27:$Q$70,COLUMN()-1,FALSE)="","",VLOOKUP($B50,'VoC Efficiency'!$B$27:$Q$70,COLUMN()-1,FALSE))</f>
        <v>0</v>
      </c>
      <c r="Q50" s="76">
        <f>IF(VLOOKUP($B50,'VoC Efficiency'!$B$27:$Q$70,COLUMN()-1,FALSE)="","",VLOOKUP($B50,'VoC Efficiency'!$B$27:$Q$70,COLUMN()-1,FALSE))</f>
        <v>0</v>
      </c>
      <c r="R50" s="26"/>
      <c r="S50" s="673">
        <f t="shared" si="0"/>
        <v>2029</v>
      </c>
      <c r="T50" s="672">
        <f t="shared" si="3"/>
        <v>0.74874028738522536</v>
      </c>
      <c r="U50" s="65">
        <f t="shared" si="3"/>
        <v>0.82379765215254142</v>
      </c>
      <c r="V50" s="76">
        <f t="shared" si="4"/>
        <v>0.9093343694698115</v>
      </c>
      <c r="W50" s="672">
        <f t="shared" si="16"/>
        <v>0.70566924256129349</v>
      </c>
      <c r="X50" s="65">
        <f t="shared" si="17"/>
        <v>0.87747985630534298</v>
      </c>
      <c r="Y50" s="76">
        <f t="shared" si="18"/>
        <v>0.86661144787563293</v>
      </c>
      <c r="Z50" s="672">
        <f t="shared" si="6"/>
        <v>1</v>
      </c>
      <c r="AA50" s="76">
        <f t="shared" si="7"/>
        <v>1</v>
      </c>
      <c r="AB50" s="672">
        <f t="shared" si="13"/>
        <v>1</v>
      </c>
      <c r="AC50" s="76">
        <f t="shared" si="8"/>
        <v>1</v>
      </c>
      <c r="AD50" s="65">
        <f t="shared" si="9"/>
        <v>1</v>
      </c>
      <c r="AE50" s="76">
        <f t="shared" si="10"/>
        <v>1</v>
      </c>
      <c r="AF50" s="65">
        <f t="shared" si="11"/>
        <v>1.006892406578946</v>
      </c>
      <c r="AG50" s="76">
        <f t="shared" si="12"/>
        <v>1</v>
      </c>
      <c r="AH50" s="82"/>
      <c r="AI50" s="82"/>
      <c r="AM50" s="26"/>
      <c r="AN50" s="26"/>
      <c r="AO50" s="26"/>
      <c r="AP50" s="26"/>
    </row>
    <row r="51" spans="1:42" ht="13.5" customHeight="1">
      <c r="A51" s="113"/>
      <c r="B51" s="452" t="str">
        <f t="shared" si="2"/>
        <v>2029 to</v>
      </c>
      <c r="C51" s="42">
        <f t="shared" si="15"/>
        <v>2030</v>
      </c>
      <c r="D51" s="672">
        <f>IF(VLOOKUP($B51,'VoC Efficiency'!$B$27:$Q$70,COLUMN()-1,FALSE)="","",VLOOKUP($B51,'VoC Efficiency'!$B$27:$Q$70,COLUMN()-1,FALSE))</f>
        <v>-0.82952171970305244</v>
      </c>
      <c r="E51" s="65">
        <f>IF(VLOOKUP($B51,'VoC Efficiency'!$B$27:$Q$70,COLUMN()-1,FALSE)="","",VLOOKUP($B51,'VoC Efficiency'!$B$27:$Q$70,COLUMN()-1,FALSE))</f>
        <v>-0.45835139864049967</v>
      </c>
      <c r="F51" s="76">
        <f>IF(VLOOKUP($B51,'VoC Efficiency'!$B$27:$Q$70,COLUMN()-1,FALSE)="","",VLOOKUP($B51,'VoC Efficiency'!$B$27:$Q$70,COLUMN()-1,FALSE))</f>
        <v>-1.4804489586765723</v>
      </c>
      <c r="G51" s="65">
        <f>IF(VLOOKUP($B51,'VoC Efficiency'!$B$27:$Q$70,COLUMN()-1,FALSE)="","",VLOOKUP($B51,'VoC Efficiency'!$B$27:$Q$70,COLUMN()-1,FALSE))</f>
        <v>-0.93207837641238189</v>
      </c>
      <c r="H51" s="65">
        <f>IF(VLOOKUP($B51,'VoC Efficiency'!$B$27:$Q$70,COLUMN()-1,FALSE)="","",VLOOKUP($B51,'VoC Efficiency'!$B$27:$Q$70,COLUMN()-1,FALSE))</f>
        <v>-0.52449718090176178</v>
      </c>
      <c r="I51" s="65">
        <f>IF(VLOOKUP($B51,'VoC Efficiency'!$B$27:$Q$70,COLUMN()-1,FALSE)="","",VLOOKUP($B51,'VoC Efficiency'!$B$27:$Q$70,COLUMN()-1,FALSE))</f>
        <v>6.6613381477509392E-14</v>
      </c>
      <c r="J51" s="672">
        <f>IF(VLOOKUP($B51,'VoC Efficiency'!$B$27:$Q$70,COLUMN()-1,FALSE)="","",VLOOKUP($B51,'VoC Efficiency'!$B$27:$Q$70,COLUMN()-1,FALSE))</f>
        <v>0</v>
      </c>
      <c r="K51" s="76">
        <f>IF(VLOOKUP($B51,'VoC Efficiency'!$B$27:$Q$70,COLUMN()-1,FALSE)="","",VLOOKUP($B51,'VoC Efficiency'!$B$27:$Q$70,COLUMN()-1,FALSE))</f>
        <v>0</v>
      </c>
      <c r="L51" s="672">
        <f>IF(VLOOKUP($B51,'VoC Efficiency'!$B$27:$Q$70,COLUMN()-1,FALSE)="","",VLOOKUP($B51,'VoC Efficiency'!$B$27:$Q$70,COLUMN()-1,FALSE))</f>
        <v>0</v>
      </c>
      <c r="M51" s="76">
        <f>IF(VLOOKUP($B51,'VoC Efficiency'!$B$27:$Q$70,COLUMN()-1,FALSE)="","",VLOOKUP($B51,'VoC Efficiency'!$B$27:$Q$70,COLUMN()-1,FALSE))</f>
        <v>0</v>
      </c>
      <c r="N51" s="65">
        <f>IF(VLOOKUP($B51,'VoC Efficiency'!$B$27:$Q$70,COLUMN()-1,FALSE)="","",VLOOKUP($B51,'VoC Efficiency'!$B$27:$Q$70,COLUMN()-1,FALSE))</f>
        <v>0</v>
      </c>
      <c r="O51" s="76">
        <f>IF(VLOOKUP($B51,'VoC Efficiency'!$B$27:$Q$70,COLUMN()-1,FALSE)="","",VLOOKUP($B51,'VoC Efficiency'!$B$27:$Q$70,COLUMN()-1,FALSE))</f>
        <v>0</v>
      </c>
      <c r="P51" s="65">
        <f>IF(VLOOKUP($B51,'VoC Efficiency'!$B$27:$Q$70,COLUMN()-1,FALSE)="","",VLOOKUP($B51,'VoC Efficiency'!$B$27:$Q$70,COLUMN()-1,FALSE))</f>
        <v>0</v>
      </c>
      <c r="Q51" s="76">
        <f>IF(VLOOKUP($B51,'VoC Efficiency'!$B$27:$Q$70,COLUMN()-1,FALSE)="","",VLOOKUP($B51,'VoC Efficiency'!$B$27:$Q$70,COLUMN()-1,FALSE))</f>
        <v>0</v>
      </c>
      <c r="R51" s="26"/>
      <c r="S51" s="673">
        <f t="shared" si="0"/>
        <v>2030</v>
      </c>
      <c r="T51" s="672">
        <f t="shared" si="3"/>
        <v>0.74252932407719785</v>
      </c>
      <c r="U51" s="65">
        <f t="shared" si="3"/>
        <v>0.82002176409193261</v>
      </c>
      <c r="V51" s="76">
        <f t="shared" si="4"/>
        <v>0.89587213826610745</v>
      </c>
      <c r="W51" s="672">
        <f t="shared" si="16"/>
        <v>0.69909185214238667</v>
      </c>
      <c r="X51" s="65">
        <f t="shared" si="17"/>
        <v>0.87287749919604063</v>
      </c>
      <c r="Y51" s="76">
        <f t="shared" si="18"/>
        <v>0.86661144787563349</v>
      </c>
      <c r="Z51" s="672">
        <f t="shared" si="6"/>
        <v>1</v>
      </c>
      <c r="AA51" s="76">
        <f t="shared" si="7"/>
        <v>1</v>
      </c>
      <c r="AB51" s="672">
        <f t="shared" si="13"/>
        <v>1</v>
      </c>
      <c r="AC51" s="76">
        <f t="shared" si="8"/>
        <v>1</v>
      </c>
      <c r="AD51" s="65">
        <f t="shared" si="9"/>
        <v>1</v>
      </c>
      <c r="AE51" s="76">
        <f t="shared" si="10"/>
        <v>1</v>
      </c>
      <c r="AF51" s="65">
        <f t="shared" si="11"/>
        <v>1.006892406578946</v>
      </c>
      <c r="AG51" s="76">
        <f t="shared" si="12"/>
        <v>1</v>
      </c>
      <c r="AH51" s="82"/>
      <c r="AI51" s="82"/>
      <c r="AM51" s="26"/>
      <c r="AN51" s="26"/>
      <c r="AO51" s="26"/>
      <c r="AP51" s="26"/>
    </row>
    <row r="52" spans="1:42" ht="13.5" customHeight="1">
      <c r="A52" s="113"/>
      <c r="B52" s="452" t="str">
        <f t="shared" si="2"/>
        <v>2030 to</v>
      </c>
      <c r="C52" s="42">
        <f t="shared" si="15"/>
        <v>2031</v>
      </c>
      <c r="D52" s="672">
        <f>IF(VLOOKUP($B52,'VoC Efficiency'!$B$27:$Q$70,COLUMN()-1,FALSE)="","",VLOOKUP($B52,'VoC Efficiency'!$B$27:$Q$70,COLUMN()-1,FALSE))</f>
        <v>-1.0533114731414162</v>
      </c>
      <c r="E52" s="65">
        <f>IF(VLOOKUP($B52,'VoC Efficiency'!$B$27:$Q$70,COLUMN()-1,FALSE)="","",VLOOKUP($B52,'VoC Efficiency'!$B$27:$Q$70,COLUMN()-1,FALSE))</f>
        <v>-0.75002073673925418</v>
      </c>
      <c r="F52" s="76">
        <f>IF(VLOOKUP($B52,'VoC Efficiency'!$B$27:$Q$70,COLUMN()-1,FALSE)="","",VLOOKUP($B52,'VoC Efficiency'!$B$27:$Q$70,COLUMN()-1,FALSE))</f>
        <v>-1.2674001081158348</v>
      </c>
      <c r="G52" s="65">
        <f>IF(VLOOKUP($B52,'VoC Efficiency'!$B$27:$Q$70,COLUMN()-1,FALSE)="","",VLOOKUP($B52,'VoC Efficiency'!$B$27:$Q$70,COLUMN()-1,FALSE))</f>
        <v>-0.7658142089069675</v>
      </c>
      <c r="H52" s="65">
        <f>IF(VLOOKUP($B52,'VoC Efficiency'!$B$27:$Q$70,COLUMN()-1,FALSE)="","",VLOOKUP($B52,'VoC Efficiency'!$B$27:$Q$70,COLUMN()-1,FALSE))</f>
        <v>-0.41687609337137665</v>
      </c>
      <c r="I52" s="65">
        <f>IF(VLOOKUP($B52,'VoC Efficiency'!$B$27:$Q$70,COLUMN()-1,FALSE)="","",VLOOKUP($B52,'VoC Efficiency'!$B$27:$Q$70,COLUMN()-1,FALSE))</f>
        <v>-6.6613381477509392E-14</v>
      </c>
      <c r="J52" s="672">
        <f>IF(VLOOKUP($B52,'VoC Efficiency'!$B$27:$Q$70,COLUMN()-1,FALSE)="","",VLOOKUP($B52,'VoC Efficiency'!$B$27:$Q$70,COLUMN()-1,FALSE))</f>
        <v>0</v>
      </c>
      <c r="K52" s="76">
        <f>IF(VLOOKUP($B52,'VoC Efficiency'!$B$27:$Q$70,COLUMN()-1,FALSE)="","",VLOOKUP($B52,'VoC Efficiency'!$B$27:$Q$70,COLUMN()-1,FALSE))</f>
        <v>0</v>
      </c>
      <c r="L52" s="672">
        <f>IF(VLOOKUP($B52,'VoC Efficiency'!$B$27:$Q$70,COLUMN()-1,FALSE)="","",VLOOKUP($B52,'VoC Efficiency'!$B$27:$Q$70,COLUMN()-1,FALSE))</f>
        <v>0</v>
      </c>
      <c r="M52" s="76">
        <f>IF(VLOOKUP($B52,'VoC Efficiency'!$B$27:$Q$70,COLUMN()-1,FALSE)="","",VLOOKUP($B52,'VoC Efficiency'!$B$27:$Q$70,COLUMN()-1,FALSE))</f>
        <v>0</v>
      </c>
      <c r="N52" s="65">
        <f>IF(VLOOKUP($B52,'VoC Efficiency'!$B$27:$Q$70,COLUMN()-1,FALSE)="","",VLOOKUP($B52,'VoC Efficiency'!$B$27:$Q$70,COLUMN()-1,FALSE))</f>
        <v>0</v>
      </c>
      <c r="O52" s="76">
        <f>IF(VLOOKUP($B52,'VoC Efficiency'!$B$27:$Q$70,COLUMN()-1,FALSE)="","",VLOOKUP($B52,'VoC Efficiency'!$B$27:$Q$70,COLUMN()-1,FALSE))</f>
        <v>0</v>
      </c>
      <c r="P52" s="65">
        <f>IF(VLOOKUP($B52,'VoC Efficiency'!$B$27:$Q$70,COLUMN()-1,FALSE)="","",VLOOKUP($B52,'VoC Efficiency'!$B$27:$Q$70,COLUMN()-1,FALSE))</f>
        <v>0</v>
      </c>
      <c r="Q52" s="76">
        <f>IF(VLOOKUP($B52,'VoC Efficiency'!$B$27:$Q$70,COLUMN()-1,FALSE)="","",VLOOKUP($B52,'VoC Efficiency'!$B$27:$Q$70,COLUMN()-1,FALSE))</f>
        <v>0</v>
      </c>
      <c r="R52" s="26"/>
      <c r="S52" s="673">
        <f t="shared" si="0"/>
        <v>2031</v>
      </c>
      <c r="T52" s="672">
        <f t="shared" si="3"/>
        <v>0.7347081775152533</v>
      </c>
      <c r="U52" s="65">
        <f t="shared" si="3"/>
        <v>0.81387143081546809</v>
      </c>
      <c r="V52" s="76">
        <f t="shared" si="4"/>
        <v>0.88451785381714321</v>
      </c>
      <c r="W52" s="672">
        <f t="shared" si="16"/>
        <v>0.69373810740536934</v>
      </c>
      <c r="X52" s="65">
        <f t="shared" si="17"/>
        <v>0.86923868157747441</v>
      </c>
      <c r="Y52" s="76">
        <f t="shared" si="18"/>
        <v>0.86661144787563293</v>
      </c>
      <c r="Z52" s="672">
        <f t="shared" si="6"/>
        <v>1</v>
      </c>
      <c r="AA52" s="76">
        <f t="shared" si="7"/>
        <v>1</v>
      </c>
      <c r="AB52" s="672">
        <f t="shared" si="13"/>
        <v>1</v>
      </c>
      <c r="AC52" s="76">
        <f t="shared" si="8"/>
        <v>1</v>
      </c>
      <c r="AD52" s="65">
        <f t="shared" si="9"/>
        <v>1</v>
      </c>
      <c r="AE52" s="76">
        <f t="shared" si="10"/>
        <v>1</v>
      </c>
      <c r="AF52" s="65">
        <f t="shared" si="11"/>
        <v>1.006892406578946</v>
      </c>
      <c r="AG52" s="76">
        <f t="shared" si="12"/>
        <v>1</v>
      </c>
      <c r="AH52" s="82"/>
      <c r="AI52" s="82"/>
      <c r="AM52" s="26"/>
      <c r="AN52" s="26"/>
      <c r="AO52" s="26"/>
      <c r="AP52" s="26"/>
    </row>
    <row r="53" spans="1:42" ht="13.5" customHeight="1">
      <c r="A53" s="113"/>
      <c r="B53" s="452" t="str">
        <f t="shared" si="2"/>
        <v>2031 to</v>
      </c>
      <c r="C53" s="42">
        <f t="shared" si="15"/>
        <v>2032</v>
      </c>
      <c r="D53" s="672">
        <f>IF(VLOOKUP($B53,'VoC Efficiency'!$B$27:$Q$70,COLUMN()-1,FALSE)="","",VLOOKUP($B53,'VoC Efficiency'!$B$27:$Q$70,COLUMN()-1,FALSE))</f>
        <v>-0.50668201739637597</v>
      </c>
      <c r="E53" s="65">
        <f>IF(VLOOKUP($B53,'VoC Efficiency'!$B$27:$Q$70,COLUMN()-1,FALSE)="","",VLOOKUP($B53,'VoC Efficiency'!$B$27:$Q$70,COLUMN()-1,FALSE))</f>
        <v>-0.26894550948415308</v>
      </c>
      <c r="F53" s="76">
        <f>IF(VLOOKUP($B53,'VoC Efficiency'!$B$27:$Q$70,COLUMN()-1,FALSE)="","",VLOOKUP($B53,'VoC Efficiency'!$B$27:$Q$70,COLUMN()-1,FALSE))</f>
        <v>-1.0943133531885918</v>
      </c>
      <c r="G53" s="65">
        <f>IF(VLOOKUP($B53,'VoC Efficiency'!$B$27:$Q$70,COLUMN()-1,FALSE)="","",VLOOKUP($B53,'VoC Efficiency'!$B$27:$Q$70,COLUMN()-1,FALSE))</f>
        <v>-0.61607843563800113</v>
      </c>
      <c r="H53" s="65">
        <f>IF(VLOOKUP($B53,'VoC Efficiency'!$B$27:$Q$70,COLUMN()-1,FALSE)="","",VLOOKUP($B53,'VoC Efficiency'!$B$27:$Q$70,COLUMN()-1,FALSE))</f>
        <v>-0.31312457308402264</v>
      </c>
      <c r="I53" s="65">
        <f>IF(VLOOKUP($B53,'VoC Efficiency'!$B$27:$Q$70,COLUMN()-1,FALSE)="","",VLOOKUP($B53,'VoC Efficiency'!$B$27:$Q$70,COLUMN()-1,FALSE))</f>
        <v>2.2204460492503131E-14</v>
      </c>
      <c r="J53" s="672">
        <f>IF(VLOOKUP($B53,'VoC Efficiency'!$B$27:$Q$70,COLUMN()-1,FALSE)="","",VLOOKUP($B53,'VoC Efficiency'!$B$27:$Q$70,COLUMN()-1,FALSE))</f>
        <v>0</v>
      </c>
      <c r="K53" s="76">
        <f>IF(VLOOKUP($B53,'VoC Efficiency'!$B$27:$Q$70,COLUMN()-1,FALSE)="","",VLOOKUP($B53,'VoC Efficiency'!$B$27:$Q$70,COLUMN()-1,FALSE))</f>
        <v>0</v>
      </c>
      <c r="L53" s="672">
        <f>IF(VLOOKUP($B53,'VoC Efficiency'!$B$27:$Q$70,COLUMN()-1,FALSE)="","",VLOOKUP($B53,'VoC Efficiency'!$B$27:$Q$70,COLUMN()-1,FALSE))</f>
        <v>0</v>
      </c>
      <c r="M53" s="76">
        <f>IF(VLOOKUP($B53,'VoC Efficiency'!$B$27:$Q$70,COLUMN()-1,FALSE)="","",VLOOKUP($B53,'VoC Efficiency'!$B$27:$Q$70,COLUMN()-1,FALSE))</f>
        <v>0</v>
      </c>
      <c r="N53" s="65">
        <f>IF(VLOOKUP($B53,'VoC Efficiency'!$B$27:$Q$70,COLUMN()-1,FALSE)="","",VLOOKUP($B53,'VoC Efficiency'!$B$27:$Q$70,COLUMN()-1,FALSE))</f>
        <v>0</v>
      </c>
      <c r="O53" s="76">
        <f>IF(VLOOKUP($B53,'VoC Efficiency'!$B$27:$Q$70,COLUMN()-1,FALSE)="","",VLOOKUP($B53,'VoC Efficiency'!$B$27:$Q$70,COLUMN()-1,FALSE))</f>
        <v>0</v>
      </c>
      <c r="P53" s="65">
        <f>IF(VLOOKUP($B53,'VoC Efficiency'!$B$27:$Q$70,COLUMN()-1,FALSE)="","",VLOOKUP($B53,'VoC Efficiency'!$B$27:$Q$70,COLUMN()-1,FALSE))</f>
        <v>0</v>
      </c>
      <c r="Q53" s="76">
        <f>IF(VLOOKUP($B53,'VoC Efficiency'!$B$27:$Q$70,COLUMN()-1,FALSE)="","",VLOOKUP($B53,'VoC Efficiency'!$B$27:$Q$70,COLUMN()-1,FALSE))</f>
        <v>0</v>
      </c>
      <c r="R53" s="26"/>
      <c r="S53" s="673">
        <f t="shared" si="0"/>
        <v>2032</v>
      </c>
      <c r="T53" s="672">
        <f t="shared" si="3"/>
        <v>0.73098554329944287</v>
      </c>
      <c r="U53" s="65">
        <f t="shared" si="3"/>
        <v>0.8116825601493155</v>
      </c>
      <c r="V53" s="76">
        <f t="shared" si="4"/>
        <v>0.87483845683148509</v>
      </c>
      <c r="W53" s="672">
        <f t="shared" si="16"/>
        <v>0.68946413652584171</v>
      </c>
      <c r="X53" s="65">
        <f t="shared" si="17"/>
        <v>0.86651688166670371</v>
      </c>
      <c r="Y53" s="76">
        <f t="shared" si="18"/>
        <v>0.86661144787563316</v>
      </c>
      <c r="Z53" s="672">
        <f t="shared" si="6"/>
        <v>1</v>
      </c>
      <c r="AA53" s="76">
        <f t="shared" si="7"/>
        <v>1</v>
      </c>
      <c r="AB53" s="672">
        <f t="shared" si="13"/>
        <v>1</v>
      </c>
      <c r="AC53" s="76">
        <f t="shared" si="8"/>
        <v>1</v>
      </c>
      <c r="AD53" s="65">
        <f t="shared" si="9"/>
        <v>1</v>
      </c>
      <c r="AE53" s="76">
        <f t="shared" si="10"/>
        <v>1</v>
      </c>
      <c r="AF53" s="65">
        <f t="shared" si="11"/>
        <v>1.006892406578946</v>
      </c>
      <c r="AG53" s="76">
        <f t="shared" si="12"/>
        <v>1</v>
      </c>
      <c r="AH53" s="82"/>
      <c r="AI53" s="82"/>
      <c r="AM53" s="26"/>
      <c r="AN53" s="26"/>
      <c r="AO53" s="26"/>
      <c r="AP53" s="26"/>
    </row>
    <row r="54" spans="1:42" ht="13.5" customHeight="1">
      <c r="A54" s="113"/>
      <c r="B54" s="452" t="str">
        <f t="shared" si="2"/>
        <v>2032 to</v>
      </c>
      <c r="C54" s="42">
        <f t="shared" si="15"/>
        <v>2033</v>
      </c>
      <c r="D54" s="672">
        <f>IF(VLOOKUP($B54,'VoC Efficiency'!$B$27:$Q$70,COLUMN()-1,FALSE)="","",VLOOKUP($B54,'VoC Efficiency'!$B$27:$Q$70,COLUMN()-1,FALSE))</f>
        <v>-0.35924500675242887</v>
      </c>
      <c r="E54" s="65">
        <f>IF(VLOOKUP($B54,'VoC Efficiency'!$B$27:$Q$70,COLUMN()-1,FALSE)="","",VLOOKUP($B54,'VoC Efficiency'!$B$27:$Q$70,COLUMN()-1,FALSE))</f>
        <v>-0.16464258658154263</v>
      </c>
      <c r="F54" s="76">
        <f>IF(VLOOKUP($B54,'VoC Efficiency'!$B$27:$Q$70,COLUMN()-1,FALSE)="","",VLOOKUP($B54,'VoC Efficiency'!$B$27:$Q$70,COLUMN()-1,FALSE))</f>
        <v>-0.97200527796142966</v>
      </c>
      <c r="G54" s="65">
        <f>IF(VLOOKUP($B54,'VoC Efficiency'!$B$27:$Q$70,COLUMN()-1,FALSE)="","",VLOOKUP($B54,'VoC Efficiency'!$B$27:$Q$70,COLUMN()-1,FALSE))</f>
        <v>-0.49031754250000725</v>
      </c>
      <c r="H54" s="65">
        <f>IF(VLOOKUP($B54,'VoC Efficiency'!$B$27:$Q$70,COLUMN()-1,FALSE)="","",VLOOKUP($B54,'VoC Efficiency'!$B$27:$Q$70,COLUMN()-1,FALSE))</f>
        <v>-0.24220318188643564</v>
      </c>
      <c r="I54" s="65">
        <f>IF(VLOOKUP($B54,'VoC Efficiency'!$B$27:$Q$70,COLUMN()-1,FALSE)="","",VLOOKUP($B54,'VoC Efficiency'!$B$27:$Q$70,COLUMN()-1,FALSE))</f>
        <v>-2.2204460492503131E-14</v>
      </c>
      <c r="J54" s="672">
        <f>IF(VLOOKUP($B54,'VoC Efficiency'!$B$27:$Q$70,COLUMN()-1,FALSE)="","",VLOOKUP($B54,'VoC Efficiency'!$B$27:$Q$70,COLUMN()-1,FALSE))</f>
        <v>0</v>
      </c>
      <c r="K54" s="76">
        <f>IF(VLOOKUP($B54,'VoC Efficiency'!$B$27:$Q$70,COLUMN()-1,FALSE)="","",VLOOKUP($B54,'VoC Efficiency'!$B$27:$Q$70,COLUMN()-1,FALSE))</f>
        <v>0</v>
      </c>
      <c r="L54" s="672">
        <f>IF(VLOOKUP($B54,'VoC Efficiency'!$B$27:$Q$70,COLUMN()-1,FALSE)="","",VLOOKUP($B54,'VoC Efficiency'!$B$27:$Q$70,COLUMN()-1,FALSE))</f>
        <v>0</v>
      </c>
      <c r="M54" s="76">
        <f>IF(VLOOKUP($B54,'VoC Efficiency'!$B$27:$Q$70,COLUMN()-1,FALSE)="","",VLOOKUP($B54,'VoC Efficiency'!$B$27:$Q$70,COLUMN()-1,FALSE))</f>
        <v>0</v>
      </c>
      <c r="N54" s="65">
        <f>IF(VLOOKUP($B54,'VoC Efficiency'!$B$27:$Q$70,COLUMN()-1,FALSE)="","",VLOOKUP($B54,'VoC Efficiency'!$B$27:$Q$70,COLUMN()-1,FALSE))</f>
        <v>0</v>
      </c>
      <c r="O54" s="76">
        <f>IF(VLOOKUP($B54,'VoC Efficiency'!$B$27:$Q$70,COLUMN()-1,FALSE)="","",VLOOKUP($B54,'VoC Efficiency'!$B$27:$Q$70,COLUMN()-1,FALSE))</f>
        <v>0</v>
      </c>
      <c r="P54" s="65">
        <f>IF(VLOOKUP($B54,'VoC Efficiency'!$B$27:$Q$70,COLUMN()-1,FALSE)="","",VLOOKUP($B54,'VoC Efficiency'!$B$27:$Q$70,COLUMN()-1,FALSE))</f>
        <v>0</v>
      </c>
      <c r="Q54" s="76">
        <f>IF(VLOOKUP($B54,'VoC Efficiency'!$B$27:$Q$70,COLUMN()-1,FALSE)="","",VLOOKUP($B54,'VoC Efficiency'!$B$27:$Q$70,COLUMN()-1,FALSE))</f>
        <v>0</v>
      </c>
      <c r="R54" s="26"/>
      <c r="S54" s="673">
        <f t="shared" si="0"/>
        <v>2033</v>
      </c>
      <c r="T54" s="672">
        <f t="shared" si="3"/>
        <v>0.72835951423505751</v>
      </c>
      <c r="U54" s="65">
        <f t="shared" si="3"/>
        <v>0.81034618498745437</v>
      </c>
      <c r="V54" s="76">
        <f t="shared" si="4"/>
        <v>0.86633498085744676</v>
      </c>
      <c r="W54" s="672">
        <f t="shared" si="16"/>
        <v>0.68608357291520927</v>
      </c>
      <c r="X54" s="65">
        <f t="shared" si="17"/>
        <v>0.86441815020772383</v>
      </c>
      <c r="Y54" s="76">
        <f t="shared" si="18"/>
        <v>0.86661144787563293</v>
      </c>
      <c r="Z54" s="672">
        <f t="shared" si="6"/>
        <v>1</v>
      </c>
      <c r="AA54" s="76">
        <f t="shared" si="7"/>
        <v>1</v>
      </c>
      <c r="AB54" s="672">
        <f t="shared" si="13"/>
        <v>1</v>
      </c>
      <c r="AC54" s="76">
        <f t="shared" si="8"/>
        <v>1</v>
      </c>
      <c r="AD54" s="65">
        <f t="shared" si="9"/>
        <v>1</v>
      </c>
      <c r="AE54" s="76">
        <f t="shared" si="10"/>
        <v>1</v>
      </c>
      <c r="AF54" s="65">
        <f t="shared" si="11"/>
        <v>1.006892406578946</v>
      </c>
      <c r="AG54" s="76">
        <f t="shared" si="12"/>
        <v>1</v>
      </c>
      <c r="AH54" s="82"/>
      <c r="AI54" s="82"/>
      <c r="AM54" s="26"/>
      <c r="AN54" s="26"/>
      <c r="AO54" s="26"/>
      <c r="AP54" s="26"/>
    </row>
    <row r="55" spans="1:42" ht="13.5" customHeight="1">
      <c r="A55" s="113"/>
      <c r="B55" s="452" t="str">
        <f t="shared" si="2"/>
        <v>2033 to</v>
      </c>
      <c r="C55" s="42">
        <f t="shared" si="15"/>
        <v>2034</v>
      </c>
      <c r="D55" s="672">
        <f>IF(VLOOKUP($B55,'VoC Efficiency'!$B$27:$Q$70,COLUMN()-1,FALSE)="","",VLOOKUP($B55,'VoC Efficiency'!$B$27:$Q$70,COLUMN()-1,FALSE))</f>
        <v>-0.62828064127777861</v>
      </c>
      <c r="E55" s="65">
        <f>IF(VLOOKUP($B55,'VoC Efficiency'!$B$27:$Q$70,COLUMN()-1,FALSE)="","",VLOOKUP($B55,'VoC Efficiency'!$B$27:$Q$70,COLUMN()-1,FALSE))</f>
        <v>-0.48670964337023115</v>
      </c>
      <c r="F55" s="76">
        <f>IF(VLOOKUP($B55,'VoC Efficiency'!$B$27:$Q$70,COLUMN()-1,FALSE)="","",VLOOKUP($B55,'VoC Efficiency'!$B$27:$Q$70,COLUMN()-1,FALSE))</f>
        <v>-0.87396618620165789</v>
      </c>
      <c r="G55" s="65">
        <f>IF(VLOOKUP($B55,'VoC Efficiency'!$B$27:$Q$70,COLUMN()-1,FALSE)="","",VLOOKUP($B55,'VoC Efficiency'!$B$27:$Q$70,COLUMN()-1,FALSE))</f>
        <v>-0.36555137566434137</v>
      </c>
      <c r="H55" s="65">
        <f>IF(VLOOKUP($B55,'VoC Efficiency'!$B$27:$Q$70,COLUMN()-1,FALSE)="","",VLOOKUP($B55,'VoC Efficiency'!$B$27:$Q$70,COLUMN()-1,FALSE))</f>
        <v>-0.17215897568251259</v>
      </c>
      <c r="I55" s="65">
        <f>IF(VLOOKUP($B55,'VoC Efficiency'!$B$27:$Q$70,COLUMN()-1,FALSE)="","",VLOOKUP($B55,'VoC Efficiency'!$B$27:$Q$70,COLUMN()-1,FALSE))</f>
        <v>0</v>
      </c>
      <c r="J55" s="672">
        <f>IF(VLOOKUP($B55,'VoC Efficiency'!$B$27:$Q$70,COLUMN()-1,FALSE)="","",VLOOKUP($B55,'VoC Efficiency'!$B$27:$Q$70,COLUMN()-1,FALSE))</f>
        <v>0</v>
      </c>
      <c r="K55" s="76">
        <f>IF(VLOOKUP($B55,'VoC Efficiency'!$B$27:$Q$70,COLUMN()-1,FALSE)="","",VLOOKUP($B55,'VoC Efficiency'!$B$27:$Q$70,COLUMN()-1,FALSE))</f>
        <v>0</v>
      </c>
      <c r="L55" s="672">
        <f>IF(VLOOKUP($B55,'VoC Efficiency'!$B$27:$Q$70,COLUMN()-1,FALSE)="","",VLOOKUP($B55,'VoC Efficiency'!$B$27:$Q$70,COLUMN()-1,FALSE))</f>
        <v>0</v>
      </c>
      <c r="M55" s="76">
        <f>IF(VLOOKUP($B55,'VoC Efficiency'!$B$27:$Q$70,COLUMN()-1,FALSE)="","",VLOOKUP($B55,'VoC Efficiency'!$B$27:$Q$70,COLUMN()-1,FALSE))</f>
        <v>0</v>
      </c>
      <c r="N55" s="65">
        <f>IF(VLOOKUP($B55,'VoC Efficiency'!$B$27:$Q$70,COLUMN()-1,FALSE)="","",VLOOKUP($B55,'VoC Efficiency'!$B$27:$Q$70,COLUMN()-1,FALSE))</f>
        <v>0</v>
      </c>
      <c r="O55" s="76">
        <f>IF(VLOOKUP($B55,'VoC Efficiency'!$B$27:$Q$70,COLUMN()-1,FALSE)="","",VLOOKUP($B55,'VoC Efficiency'!$B$27:$Q$70,COLUMN()-1,FALSE))</f>
        <v>0</v>
      </c>
      <c r="P55" s="65">
        <f>IF(VLOOKUP($B55,'VoC Efficiency'!$B$27:$Q$70,COLUMN()-1,FALSE)="","",VLOOKUP($B55,'VoC Efficiency'!$B$27:$Q$70,COLUMN()-1,FALSE))</f>
        <v>0</v>
      </c>
      <c r="Q55" s="76">
        <f>IF(VLOOKUP($B55,'VoC Efficiency'!$B$27:$Q$70,COLUMN()-1,FALSE)="","",VLOOKUP($B55,'VoC Efficiency'!$B$27:$Q$70,COLUMN()-1,FALSE))</f>
        <v>0</v>
      </c>
      <c r="R55" s="26"/>
      <c r="S55" s="673">
        <f t="shared" si="0"/>
        <v>2034</v>
      </c>
      <c r="T55" s="672">
        <f t="shared" si="3"/>
        <v>0.72378337240821378</v>
      </c>
      <c r="U55" s="65">
        <f t="shared" si="3"/>
        <v>0.80640215196043763</v>
      </c>
      <c r="V55" s="76">
        <f t="shared" si="4"/>
        <v>0.8587635060655161</v>
      </c>
      <c r="W55" s="672">
        <f t="shared" si="16"/>
        <v>0.68357558497621063</v>
      </c>
      <c r="X55" s="65">
        <f t="shared" si="17"/>
        <v>0.8629299767747125</v>
      </c>
      <c r="Y55" s="76">
        <f t="shared" si="18"/>
        <v>0.86661144787563293</v>
      </c>
      <c r="Z55" s="672">
        <f t="shared" si="6"/>
        <v>1</v>
      </c>
      <c r="AA55" s="76">
        <f t="shared" si="7"/>
        <v>1</v>
      </c>
      <c r="AB55" s="672">
        <f t="shared" si="13"/>
        <v>1</v>
      </c>
      <c r="AC55" s="76">
        <f t="shared" si="8"/>
        <v>1</v>
      </c>
      <c r="AD55" s="65">
        <f t="shared" si="9"/>
        <v>1</v>
      </c>
      <c r="AE55" s="76">
        <f t="shared" si="10"/>
        <v>1</v>
      </c>
      <c r="AF55" s="65">
        <f t="shared" si="11"/>
        <v>1.006892406578946</v>
      </c>
      <c r="AG55" s="76">
        <f t="shared" si="12"/>
        <v>1</v>
      </c>
      <c r="AH55" s="82"/>
      <c r="AI55" s="82"/>
      <c r="AM55" s="26"/>
      <c r="AN55" s="26"/>
      <c r="AO55" s="26"/>
      <c r="AP55" s="26"/>
    </row>
    <row r="56" spans="1:42" ht="13.5" customHeight="1">
      <c r="A56" s="113"/>
      <c r="B56" s="452" t="str">
        <f t="shared" si="2"/>
        <v>2034 to</v>
      </c>
      <c r="C56" s="42">
        <f t="shared" si="15"/>
        <v>2035</v>
      </c>
      <c r="D56" s="672">
        <f>IF(VLOOKUP($B56,'VoC Efficiency'!$B$27:$Q$70,COLUMN()-1,FALSE)="","",VLOOKUP($B56,'VoC Efficiency'!$B$27:$Q$70,COLUMN()-1,FALSE))</f>
        <v>-0.11994797346527308</v>
      </c>
      <c r="E56" s="65">
        <f>IF(VLOOKUP($B56,'VoC Efficiency'!$B$27:$Q$70,COLUMN()-1,FALSE)="","",VLOOKUP($B56,'VoC Efficiency'!$B$27:$Q$70,COLUMN()-1,FALSE))</f>
        <v>-1.9332054736764803E-2</v>
      </c>
      <c r="F56" s="76">
        <f>IF(VLOOKUP($B56,'VoC Efficiency'!$B$27:$Q$70,COLUMN()-1,FALSE)="","",VLOOKUP($B56,'VoC Efficiency'!$B$27:$Q$70,COLUMN()-1,FALSE))</f>
        <v>-0.77815421688948172</v>
      </c>
      <c r="G56" s="65">
        <f>IF(VLOOKUP($B56,'VoC Efficiency'!$B$27:$Q$70,COLUMN()-1,FALSE)="","",VLOOKUP($B56,'VoC Efficiency'!$B$27:$Q$70,COLUMN()-1,FALSE))</f>
        <v>-0.2554420017750747</v>
      </c>
      <c r="H56" s="65">
        <f>IF(VLOOKUP($B56,'VoC Efficiency'!$B$27:$Q$70,COLUMN()-1,FALSE)="","",VLOOKUP($B56,'VoC Efficiency'!$B$27:$Q$70,COLUMN()-1,FALSE))</f>
        <v>-0.12151763607698429</v>
      </c>
      <c r="I56" s="65">
        <f>IF(VLOOKUP($B56,'VoC Efficiency'!$B$27:$Q$70,COLUMN()-1,FALSE)="","",VLOOKUP($B56,'VoC Efficiency'!$B$27:$Q$70,COLUMN()-1,FALSE))</f>
        <v>0</v>
      </c>
      <c r="J56" s="672">
        <f>IF(VLOOKUP($B56,'VoC Efficiency'!$B$27:$Q$70,COLUMN()-1,FALSE)="","",VLOOKUP($B56,'VoC Efficiency'!$B$27:$Q$70,COLUMN()-1,FALSE))</f>
        <v>0</v>
      </c>
      <c r="K56" s="76">
        <f>IF(VLOOKUP($B56,'VoC Efficiency'!$B$27:$Q$70,COLUMN()-1,FALSE)="","",VLOOKUP($B56,'VoC Efficiency'!$B$27:$Q$70,COLUMN()-1,FALSE))</f>
        <v>0</v>
      </c>
      <c r="L56" s="672">
        <f>IF(VLOOKUP($B56,'VoC Efficiency'!$B$27:$Q$70,COLUMN()-1,FALSE)="","",VLOOKUP($B56,'VoC Efficiency'!$B$27:$Q$70,COLUMN()-1,FALSE))</f>
        <v>0</v>
      </c>
      <c r="M56" s="76">
        <f>IF(VLOOKUP($B56,'VoC Efficiency'!$B$27:$Q$70,COLUMN()-1,FALSE)="","",VLOOKUP($B56,'VoC Efficiency'!$B$27:$Q$70,COLUMN()-1,FALSE))</f>
        <v>0</v>
      </c>
      <c r="N56" s="65">
        <f>IF(VLOOKUP($B56,'VoC Efficiency'!$B$27:$Q$70,COLUMN()-1,FALSE)="","",VLOOKUP($B56,'VoC Efficiency'!$B$27:$Q$70,COLUMN()-1,FALSE))</f>
        <v>0</v>
      </c>
      <c r="O56" s="76">
        <f>IF(VLOOKUP($B56,'VoC Efficiency'!$B$27:$Q$70,COLUMN()-1,FALSE)="","",VLOOKUP($B56,'VoC Efficiency'!$B$27:$Q$70,COLUMN()-1,FALSE))</f>
        <v>0</v>
      </c>
      <c r="P56" s="65">
        <f>IF(VLOOKUP($B56,'VoC Efficiency'!$B$27:$Q$70,COLUMN()-1,FALSE)="","",VLOOKUP($B56,'VoC Efficiency'!$B$27:$Q$70,COLUMN()-1,FALSE))</f>
        <v>0</v>
      </c>
      <c r="Q56" s="76">
        <f>IF(VLOOKUP($B56,'VoC Efficiency'!$B$27:$Q$70,COLUMN()-1,FALSE)="","",VLOOKUP($B56,'VoC Efficiency'!$B$27:$Q$70,COLUMN()-1,FALSE))</f>
        <v>0</v>
      </c>
      <c r="R56" s="26"/>
      <c r="S56" s="673">
        <f t="shared" si="0"/>
        <v>2035</v>
      </c>
      <c r="T56" s="672">
        <f t="shared" si="3"/>
        <v>0.72291520892073147</v>
      </c>
      <c r="U56" s="65">
        <f t="shared" si="3"/>
        <v>0.80624625785502224</v>
      </c>
      <c r="V56" s="76">
        <f t="shared" si="4"/>
        <v>0.85208100162995937</v>
      </c>
      <c r="W56" s="672">
        <f t="shared" si="16"/>
        <v>0.68182944581830174</v>
      </c>
      <c r="X56" s="65">
        <f t="shared" si="17"/>
        <v>0.86188136466593623</v>
      </c>
      <c r="Y56" s="76">
        <f t="shared" si="18"/>
        <v>0.86661144787563293</v>
      </c>
      <c r="Z56" s="672">
        <f t="shared" si="6"/>
        <v>1</v>
      </c>
      <c r="AA56" s="76">
        <f t="shared" si="7"/>
        <v>1</v>
      </c>
      <c r="AB56" s="672">
        <f t="shared" si="13"/>
        <v>1</v>
      </c>
      <c r="AC56" s="76">
        <f t="shared" si="8"/>
        <v>1</v>
      </c>
      <c r="AD56" s="65">
        <f t="shared" si="9"/>
        <v>1</v>
      </c>
      <c r="AE56" s="76">
        <f t="shared" si="10"/>
        <v>1</v>
      </c>
      <c r="AF56" s="65">
        <f t="shared" si="11"/>
        <v>1.006892406578946</v>
      </c>
      <c r="AG56" s="76">
        <f t="shared" si="12"/>
        <v>1</v>
      </c>
      <c r="AH56" s="82"/>
      <c r="AI56" s="82"/>
      <c r="AM56" s="26"/>
      <c r="AN56" s="26"/>
      <c r="AO56" s="26"/>
      <c r="AP56" s="26"/>
    </row>
    <row r="57" spans="1:42" ht="13.5" customHeight="1">
      <c r="A57" s="113"/>
      <c r="B57" s="452" t="str">
        <f t="shared" si="2"/>
        <v>2035 to</v>
      </c>
      <c r="C57" s="42">
        <f t="shared" si="15"/>
        <v>2036</v>
      </c>
      <c r="D57" s="672">
        <f>IF(VLOOKUP($B57,'VoC Efficiency'!$B$27:$Q$70,COLUMN()-1,FALSE)="","",VLOOKUP($B57,'VoC Efficiency'!$B$27:$Q$70,COLUMN()-1,FALSE))</f>
        <v>-4.2749400195074561E-2</v>
      </c>
      <c r="E57" s="65">
        <f>IF(VLOOKUP($B57,'VoC Efficiency'!$B$27:$Q$70,COLUMN()-1,FALSE)="","",VLOOKUP($B57,'VoC Efficiency'!$B$27:$Q$70,COLUMN()-1,FALSE))</f>
        <v>2.7261698992342431E-2</v>
      </c>
      <c r="F57" s="76">
        <f>IF(VLOOKUP($B57,'VoC Efficiency'!$B$27:$Q$70,COLUMN()-1,FALSE)="","",VLOOKUP($B57,'VoC Efficiency'!$B$27:$Q$70,COLUMN()-1,FALSE))</f>
        <v>-0.69144465317865222</v>
      </c>
      <c r="G57" s="65">
        <f>IF(VLOOKUP($B57,'VoC Efficiency'!$B$27:$Q$70,COLUMN()-1,FALSE)="","",VLOOKUP($B57,'VoC Efficiency'!$B$27:$Q$70,COLUMN()-1,FALSE))</f>
        <v>-0.19711049166510897</v>
      </c>
      <c r="H57" s="65">
        <f>IF(VLOOKUP($B57,'VoC Efficiency'!$B$27:$Q$70,COLUMN()-1,FALSE)="","",VLOOKUP($B57,'VoC Efficiency'!$B$27:$Q$70,COLUMN()-1,FALSE))</f>
        <v>-8.7181836649119493E-2</v>
      </c>
      <c r="I57" s="65">
        <f>IF(VLOOKUP($B57,'VoC Efficiency'!$B$27:$Q$70,COLUMN()-1,FALSE)="","",VLOOKUP($B57,'VoC Efficiency'!$B$27:$Q$70,COLUMN()-1,FALSE))</f>
        <v>2.2204460492503131E-14</v>
      </c>
      <c r="J57" s="672">
        <f>IF(VLOOKUP($B57,'VoC Efficiency'!$B$27:$Q$70,COLUMN()-1,FALSE)="","",VLOOKUP($B57,'VoC Efficiency'!$B$27:$Q$70,COLUMN()-1,FALSE))</f>
        <v>0</v>
      </c>
      <c r="K57" s="76">
        <f>IF(VLOOKUP($B57,'VoC Efficiency'!$B$27:$Q$70,COLUMN()-1,FALSE)="","",VLOOKUP($B57,'VoC Efficiency'!$B$27:$Q$70,COLUMN()-1,FALSE))</f>
        <v>0</v>
      </c>
      <c r="L57" s="672">
        <f>IF(VLOOKUP($B57,'VoC Efficiency'!$B$27:$Q$70,COLUMN()-1,FALSE)="","",VLOOKUP($B57,'VoC Efficiency'!$B$27:$Q$70,COLUMN()-1,FALSE))</f>
        <v>0</v>
      </c>
      <c r="M57" s="76">
        <f>IF(VLOOKUP($B57,'VoC Efficiency'!$B$27:$Q$70,COLUMN()-1,FALSE)="","",VLOOKUP($B57,'VoC Efficiency'!$B$27:$Q$70,COLUMN()-1,FALSE))</f>
        <v>0</v>
      </c>
      <c r="N57" s="65">
        <f>IF(VLOOKUP($B57,'VoC Efficiency'!$B$27:$Q$70,COLUMN()-1,FALSE)="","",VLOOKUP($B57,'VoC Efficiency'!$B$27:$Q$70,COLUMN()-1,FALSE))</f>
        <v>0</v>
      </c>
      <c r="O57" s="76">
        <f>IF(VLOOKUP($B57,'VoC Efficiency'!$B$27:$Q$70,COLUMN()-1,FALSE)="","",VLOOKUP($B57,'VoC Efficiency'!$B$27:$Q$70,COLUMN()-1,FALSE))</f>
        <v>0</v>
      </c>
      <c r="P57" s="65">
        <f>IF(VLOOKUP($B57,'VoC Efficiency'!$B$27:$Q$70,COLUMN()-1,FALSE)="","",VLOOKUP($B57,'VoC Efficiency'!$B$27:$Q$70,COLUMN()-1,FALSE))</f>
        <v>0</v>
      </c>
      <c r="Q57" s="76">
        <f>IF(VLOOKUP($B57,'VoC Efficiency'!$B$27:$Q$70,COLUMN()-1,FALSE)="","",VLOOKUP($B57,'VoC Efficiency'!$B$27:$Q$70,COLUMN()-1,FALSE))</f>
        <v>0</v>
      </c>
      <c r="R57" s="26"/>
      <c r="S57" s="673">
        <f t="shared" si="0"/>
        <v>2036</v>
      </c>
      <c r="T57" s="672">
        <f t="shared" si="3"/>
        <v>0.72260616700499891</v>
      </c>
      <c r="U57" s="65">
        <f t="shared" si="3"/>
        <v>0.80646605428297569</v>
      </c>
      <c r="V57" s="76">
        <f t="shared" si="4"/>
        <v>0.84618933310343791</v>
      </c>
      <c r="W57" s="672">
        <f t="shared" si="16"/>
        <v>0.68048548844533174</v>
      </c>
      <c r="X57" s="65">
        <f t="shared" si="17"/>
        <v>0.86112996066248393</v>
      </c>
      <c r="Y57" s="76">
        <f t="shared" si="18"/>
        <v>0.86661144787563316</v>
      </c>
      <c r="Z57" s="672">
        <f t="shared" si="6"/>
        <v>1</v>
      </c>
      <c r="AA57" s="76">
        <f t="shared" si="7"/>
        <v>1</v>
      </c>
      <c r="AB57" s="672">
        <f t="shared" si="13"/>
        <v>1</v>
      </c>
      <c r="AC57" s="76">
        <f t="shared" si="8"/>
        <v>1</v>
      </c>
      <c r="AD57" s="65">
        <f t="shared" si="9"/>
        <v>1</v>
      </c>
      <c r="AE57" s="76">
        <f t="shared" si="10"/>
        <v>1</v>
      </c>
      <c r="AF57" s="65">
        <f t="shared" si="11"/>
        <v>1.006892406578946</v>
      </c>
      <c r="AG57" s="76">
        <f t="shared" si="12"/>
        <v>1</v>
      </c>
      <c r="AH57" s="82"/>
      <c r="AI57" s="82"/>
      <c r="AM57" s="26"/>
      <c r="AN57" s="26"/>
      <c r="AO57" s="26"/>
      <c r="AP57" s="26"/>
    </row>
    <row r="58" spans="1:42" ht="13.5" customHeight="1">
      <c r="A58" s="113"/>
      <c r="B58" s="452" t="str">
        <f t="shared" si="2"/>
        <v>2036 to</v>
      </c>
      <c r="C58" s="42">
        <f t="shared" si="15"/>
        <v>2037</v>
      </c>
      <c r="D58" s="672">
        <f>IF(VLOOKUP($B58,'VoC Efficiency'!$B$27:$Q$70,COLUMN()-1,FALSE)="","",VLOOKUP($B58,'VoC Efficiency'!$B$27:$Q$70,COLUMN()-1,FALSE))</f>
        <v>-0.39948343957185717</v>
      </c>
      <c r="E58" s="65">
        <f>IF(VLOOKUP($B58,'VoC Efficiency'!$B$27:$Q$70,COLUMN()-1,FALSE)="","",VLOOKUP($B58,'VoC Efficiency'!$B$27:$Q$70,COLUMN()-1,FALSE))</f>
        <v>-0.35157307046421726</v>
      </c>
      <c r="F58" s="76">
        <f>IF(VLOOKUP($B58,'VoC Efficiency'!$B$27:$Q$70,COLUMN()-1,FALSE)="","",VLOOKUP($B58,'VoC Efficiency'!$B$27:$Q$70,COLUMN()-1,FALSE))</f>
        <v>-0.6157415293268742</v>
      </c>
      <c r="G58" s="65">
        <f>IF(VLOOKUP($B58,'VoC Efficiency'!$B$27:$Q$70,COLUMN()-1,FALSE)="","",VLOOKUP($B58,'VoC Efficiency'!$B$27:$Q$70,COLUMN()-1,FALSE))</f>
        <v>-0.14619177020636087</v>
      </c>
      <c r="H58" s="65">
        <f>IF(VLOOKUP($B58,'VoC Efficiency'!$B$27:$Q$70,COLUMN()-1,FALSE)="","",VLOOKUP($B58,'VoC Efficiency'!$B$27:$Q$70,COLUMN()-1,FALSE))</f>
        <v>-6.5100540898421766E-2</v>
      </c>
      <c r="I58" s="65">
        <f>IF(VLOOKUP($B58,'VoC Efficiency'!$B$27:$Q$70,COLUMN()-1,FALSE)="","",VLOOKUP($B58,'VoC Efficiency'!$B$27:$Q$70,COLUMN()-1,FALSE))</f>
        <v>2.2204460492503131E-14</v>
      </c>
      <c r="J58" s="672">
        <f>IF(VLOOKUP($B58,'VoC Efficiency'!$B$27:$Q$70,COLUMN()-1,FALSE)="","",VLOOKUP($B58,'VoC Efficiency'!$B$27:$Q$70,COLUMN()-1,FALSE))</f>
        <v>0</v>
      </c>
      <c r="K58" s="76">
        <f>IF(VLOOKUP($B58,'VoC Efficiency'!$B$27:$Q$70,COLUMN()-1,FALSE)="","",VLOOKUP($B58,'VoC Efficiency'!$B$27:$Q$70,COLUMN()-1,FALSE))</f>
        <v>0</v>
      </c>
      <c r="L58" s="672">
        <f>IF(VLOOKUP($B58,'VoC Efficiency'!$B$27:$Q$70,COLUMN()-1,FALSE)="","",VLOOKUP($B58,'VoC Efficiency'!$B$27:$Q$70,COLUMN()-1,FALSE))</f>
        <v>0</v>
      </c>
      <c r="M58" s="76">
        <f>IF(VLOOKUP($B58,'VoC Efficiency'!$B$27:$Q$70,COLUMN()-1,FALSE)="","",VLOOKUP($B58,'VoC Efficiency'!$B$27:$Q$70,COLUMN()-1,FALSE))</f>
        <v>0</v>
      </c>
      <c r="N58" s="65">
        <f>IF(VLOOKUP($B58,'VoC Efficiency'!$B$27:$Q$70,COLUMN()-1,FALSE)="","",VLOOKUP($B58,'VoC Efficiency'!$B$27:$Q$70,COLUMN()-1,FALSE))</f>
        <v>0</v>
      </c>
      <c r="O58" s="76">
        <f>IF(VLOOKUP($B58,'VoC Efficiency'!$B$27:$Q$70,COLUMN()-1,FALSE)="","",VLOOKUP($B58,'VoC Efficiency'!$B$27:$Q$70,COLUMN()-1,FALSE))</f>
        <v>0</v>
      </c>
      <c r="P58" s="65">
        <f>IF(VLOOKUP($B58,'VoC Efficiency'!$B$27:$Q$70,COLUMN()-1,FALSE)="","",VLOOKUP($B58,'VoC Efficiency'!$B$27:$Q$70,COLUMN()-1,FALSE))</f>
        <v>0</v>
      </c>
      <c r="Q58" s="76">
        <f>IF(VLOOKUP($B58,'VoC Efficiency'!$B$27:$Q$70,COLUMN()-1,FALSE)="","",VLOOKUP($B58,'VoC Efficiency'!$B$27:$Q$70,COLUMN()-1,FALSE))</f>
        <v>0</v>
      </c>
      <c r="R58" s="26"/>
      <c r="S58" s="673">
        <f t="shared" si="0"/>
        <v>2037</v>
      </c>
      <c r="T58" s="672">
        <f t="shared" si="3"/>
        <v>0.71971947503448896</v>
      </c>
      <c r="U58" s="65">
        <f t="shared" si="3"/>
        <v>0.80363073681368136</v>
      </c>
      <c r="V58" s="76">
        <f t="shared" si="4"/>
        <v>0.84097899396278597</v>
      </c>
      <c r="W58" s="672">
        <f t="shared" si="16"/>
        <v>0.67949067466377611</v>
      </c>
      <c r="X58" s="65">
        <f t="shared" si="17"/>
        <v>0.86056936040025434</v>
      </c>
      <c r="Y58" s="76">
        <f t="shared" si="18"/>
        <v>0.86661144787563338</v>
      </c>
      <c r="Z58" s="672">
        <f t="shared" si="6"/>
        <v>1</v>
      </c>
      <c r="AA58" s="76">
        <f t="shared" si="7"/>
        <v>1</v>
      </c>
      <c r="AB58" s="672">
        <f t="shared" si="13"/>
        <v>1</v>
      </c>
      <c r="AC58" s="76">
        <f t="shared" si="8"/>
        <v>1</v>
      </c>
      <c r="AD58" s="65">
        <f t="shared" si="9"/>
        <v>1</v>
      </c>
      <c r="AE58" s="76">
        <f t="shared" si="10"/>
        <v>1</v>
      </c>
      <c r="AF58" s="65">
        <f t="shared" si="11"/>
        <v>1.006892406578946</v>
      </c>
      <c r="AG58" s="76">
        <f t="shared" si="12"/>
        <v>1</v>
      </c>
      <c r="AH58" s="82"/>
      <c r="AI58" s="82"/>
      <c r="AM58" s="26"/>
      <c r="AN58" s="26"/>
      <c r="AO58" s="26"/>
      <c r="AP58" s="26"/>
    </row>
    <row r="59" spans="1:42" ht="13.5" customHeight="1">
      <c r="A59" s="113"/>
      <c r="B59" s="452" t="str">
        <f t="shared" ref="B59:B71" si="19">CONCATENATE(C59-1," to")</f>
        <v>2037 to</v>
      </c>
      <c r="C59" s="42">
        <f t="shared" si="15"/>
        <v>2038</v>
      </c>
      <c r="D59" s="672">
        <f>IF(VLOOKUP($B59,'VoC Efficiency'!$B$27:$Q$70,COLUMN()-1,FALSE)="","",VLOOKUP($B59,'VoC Efficiency'!$B$27:$Q$70,COLUMN()-1,FALSE))</f>
        <v>5.9143526979443806E-2</v>
      </c>
      <c r="E59" s="65">
        <f>IF(VLOOKUP($B59,'VoC Efficiency'!$B$27:$Q$70,COLUMN()-1,FALSE)="","",VLOOKUP($B59,'VoC Efficiency'!$B$27:$Q$70,COLUMN()-1,FALSE))</f>
        <v>9.2469894855362611E-2</v>
      </c>
      <c r="F59" s="76">
        <f>IF(VLOOKUP($B59,'VoC Efficiency'!$B$27:$Q$70,COLUMN()-1,FALSE)="","",VLOOKUP($B59,'VoC Efficiency'!$B$27:$Q$70,COLUMN()-1,FALSE))</f>
        <v>-0.5388124121299076</v>
      </c>
      <c r="G59" s="65">
        <f>IF(VLOOKUP($B59,'VoC Efficiency'!$B$27:$Q$70,COLUMN()-1,FALSE)="","",VLOOKUP($B59,'VoC Efficiency'!$B$27:$Q$70,COLUMN()-1,FALSE))</f>
        <v>-0.11119630900450206</v>
      </c>
      <c r="H59" s="65">
        <f>IF(VLOOKUP($B59,'VoC Efficiency'!$B$27:$Q$70,COLUMN()-1,FALSE)="","",VLOOKUP($B59,'VoC Efficiency'!$B$27:$Q$70,COLUMN()-1,FALSE))</f>
        <v>-5.0183064626496687E-2</v>
      </c>
      <c r="I59" s="65">
        <f>IF(VLOOKUP($B59,'VoC Efficiency'!$B$27:$Q$70,COLUMN()-1,FALSE)="","",VLOOKUP($B59,'VoC Efficiency'!$B$27:$Q$70,COLUMN()-1,FALSE))</f>
        <v>-1.1102230246251565E-14</v>
      </c>
      <c r="J59" s="672">
        <f>IF(VLOOKUP($B59,'VoC Efficiency'!$B$27:$Q$70,COLUMN()-1,FALSE)="","",VLOOKUP($B59,'VoC Efficiency'!$B$27:$Q$70,COLUMN()-1,FALSE))</f>
        <v>0</v>
      </c>
      <c r="K59" s="76">
        <f>IF(VLOOKUP($B59,'VoC Efficiency'!$B$27:$Q$70,COLUMN()-1,FALSE)="","",VLOOKUP($B59,'VoC Efficiency'!$B$27:$Q$70,COLUMN()-1,FALSE))</f>
        <v>0</v>
      </c>
      <c r="L59" s="672">
        <f>IF(VLOOKUP($B59,'VoC Efficiency'!$B$27:$Q$70,COLUMN()-1,FALSE)="","",VLOOKUP($B59,'VoC Efficiency'!$B$27:$Q$70,COLUMN()-1,FALSE))</f>
        <v>0</v>
      </c>
      <c r="M59" s="76">
        <f>IF(VLOOKUP($B59,'VoC Efficiency'!$B$27:$Q$70,COLUMN()-1,FALSE)="","",VLOOKUP($B59,'VoC Efficiency'!$B$27:$Q$70,COLUMN()-1,FALSE))</f>
        <v>0</v>
      </c>
      <c r="N59" s="65">
        <f>IF(VLOOKUP($B59,'VoC Efficiency'!$B$27:$Q$70,COLUMN()-1,FALSE)="","",VLOOKUP($B59,'VoC Efficiency'!$B$27:$Q$70,COLUMN()-1,FALSE))</f>
        <v>0</v>
      </c>
      <c r="O59" s="76">
        <f>IF(VLOOKUP($B59,'VoC Efficiency'!$B$27:$Q$70,COLUMN()-1,FALSE)="","",VLOOKUP($B59,'VoC Efficiency'!$B$27:$Q$70,COLUMN()-1,FALSE))</f>
        <v>0</v>
      </c>
      <c r="P59" s="65">
        <f>IF(VLOOKUP($B59,'VoC Efficiency'!$B$27:$Q$70,COLUMN()-1,FALSE)="","",VLOOKUP($B59,'VoC Efficiency'!$B$27:$Q$70,COLUMN()-1,FALSE))</f>
        <v>0</v>
      </c>
      <c r="Q59" s="76">
        <f>IF(VLOOKUP($B59,'VoC Efficiency'!$B$27:$Q$70,COLUMN()-1,FALSE)="","",VLOOKUP($B59,'VoC Efficiency'!$B$27:$Q$70,COLUMN()-1,FALSE))</f>
        <v>0</v>
      </c>
      <c r="R59" s="26"/>
      <c r="S59" s="673">
        <f t="shared" si="0"/>
        <v>2038</v>
      </c>
      <c r="T59" s="672">
        <f t="shared" si="3"/>
        <v>0.72014514251638229</v>
      </c>
      <c r="U59" s="65">
        <f t="shared" si="3"/>
        <v>0.80437385331103839</v>
      </c>
      <c r="V59" s="76">
        <f t="shared" si="4"/>
        <v>0.83644769475990921</v>
      </c>
      <c r="W59" s="672">
        <f t="shared" si="16"/>
        <v>0.67873510611352017</v>
      </c>
      <c r="X59" s="65">
        <f t="shared" si="17"/>
        <v>0.8601375003219689</v>
      </c>
      <c r="Y59" s="76">
        <f t="shared" si="18"/>
        <v>0.86661144787563327</v>
      </c>
      <c r="Z59" s="672">
        <f t="shared" si="6"/>
        <v>1</v>
      </c>
      <c r="AA59" s="76">
        <f t="shared" si="7"/>
        <v>1</v>
      </c>
      <c r="AB59" s="672">
        <f t="shared" si="13"/>
        <v>1</v>
      </c>
      <c r="AC59" s="76">
        <f t="shared" si="8"/>
        <v>1</v>
      </c>
      <c r="AD59" s="65">
        <f t="shared" si="9"/>
        <v>1</v>
      </c>
      <c r="AE59" s="76">
        <f t="shared" si="10"/>
        <v>1</v>
      </c>
      <c r="AF59" s="65">
        <f t="shared" si="11"/>
        <v>1.006892406578946</v>
      </c>
      <c r="AG59" s="76">
        <f t="shared" si="12"/>
        <v>1</v>
      </c>
      <c r="AH59" s="82"/>
      <c r="AI59" s="82"/>
      <c r="AM59" s="26"/>
      <c r="AN59" s="26"/>
      <c r="AO59" s="26"/>
      <c r="AP59" s="26"/>
    </row>
    <row r="60" spans="1:42" ht="13.5" customHeight="1">
      <c r="A60" s="113"/>
      <c r="B60" s="452" t="str">
        <f t="shared" si="19"/>
        <v>2038 to</v>
      </c>
      <c r="C60" s="42">
        <f t="shared" si="15"/>
        <v>2039</v>
      </c>
      <c r="D60" s="672">
        <f>IF(VLOOKUP($B60,'VoC Efficiency'!$B$27:$Q$70,COLUMN()-1,FALSE)="","",VLOOKUP($B60,'VoC Efficiency'!$B$27:$Q$70,COLUMN()-1,FALSE))</f>
        <v>8.5753076194849953E-2</v>
      </c>
      <c r="E60" s="65">
        <f>IF(VLOOKUP($B60,'VoC Efficiency'!$B$27:$Q$70,COLUMN()-1,FALSE)="","",VLOOKUP($B60,'VoC Efficiency'!$B$27:$Q$70,COLUMN()-1,FALSE))</f>
        <v>0.10857839431175353</v>
      </c>
      <c r="F60" s="76">
        <f>IF(VLOOKUP($B60,'VoC Efficiency'!$B$27:$Q$70,COLUMN()-1,FALSE)="","",VLOOKUP($B60,'VoC Efficiency'!$B$27:$Q$70,COLUMN()-1,FALSE))</f>
        <v>-0.46233112477966909</v>
      </c>
      <c r="G60" s="65">
        <f>IF(VLOOKUP($B60,'VoC Efficiency'!$B$27:$Q$70,COLUMN()-1,FALSE)="","",VLOOKUP($B60,'VoC Efficiency'!$B$27:$Q$70,COLUMN()-1,FALSE))</f>
        <v>-8.0569171454025756E-2</v>
      </c>
      <c r="H60" s="65">
        <f>IF(VLOOKUP($B60,'VoC Efficiency'!$B$27:$Q$70,COLUMN()-1,FALSE)="","",VLOOKUP($B60,'VoC Efficiency'!$B$27:$Q$70,COLUMN()-1,FALSE))</f>
        <v>-3.9321071617404169E-2</v>
      </c>
      <c r="I60" s="65">
        <f>IF(VLOOKUP($B60,'VoC Efficiency'!$B$27:$Q$70,COLUMN()-1,FALSE)="","",VLOOKUP($B60,'VoC Efficiency'!$B$27:$Q$70,COLUMN()-1,FALSE))</f>
        <v>-2.2204460492503131E-14</v>
      </c>
      <c r="J60" s="672">
        <f>IF(VLOOKUP($B60,'VoC Efficiency'!$B$27:$Q$70,COLUMN()-1,FALSE)="","",VLOOKUP($B60,'VoC Efficiency'!$B$27:$Q$70,COLUMN()-1,FALSE))</f>
        <v>0</v>
      </c>
      <c r="K60" s="76">
        <f>IF(VLOOKUP($B60,'VoC Efficiency'!$B$27:$Q$70,COLUMN()-1,FALSE)="","",VLOOKUP($B60,'VoC Efficiency'!$B$27:$Q$70,COLUMN()-1,FALSE))</f>
        <v>0</v>
      </c>
      <c r="L60" s="672">
        <f>IF(VLOOKUP($B60,'VoC Efficiency'!$B$27:$Q$70,COLUMN()-1,FALSE)="","",VLOOKUP($B60,'VoC Efficiency'!$B$27:$Q$70,COLUMN()-1,FALSE))</f>
        <v>0</v>
      </c>
      <c r="M60" s="76">
        <f>IF(VLOOKUP($B60,'VoC Efficiency'!$B$27:$Q$70,COLUMN()-1,FALSE)="","",VLOOKUP($B60,'VoC Efficiency'!$B$27:$Q$70,COLUMN()-1,FALSE))</f>
        <v>0</v>
      </c>
      <c r="N60" s="65">
        <f>IF(VLOOKUP($B60,'VoC Efficiency'!$B$27:$Q$70,COLUMN()-1,FALSE)="","",VLOOKUP($B60,'VoC Efficiency'!$B$27:$Q$70,COLUMN()-1,FALSE))</f>
        <v>0</v>
      </c>
      <c r="O60" s="76">
        <f>IF(VLOOKUP($B60,'VoC Efficiency'!$B$27:$Q$70,COLUMN()-1,FALSE)="","",VLOOKUP($B60,'VoC Efficiency'!$B$27:$Q$70,COLUMN()-1,FALSE))</f>
        <v>0</v>
      </c>
      <c r="P60" s="65">
        <f>IF(VLOOKUP($B60,'VoC Efficiency'!$B$27:$Q$70,COLUMN()-1,FALSE)="","",VLOOKUP($B60,'VoC Efficiency'!$B$27:$Q$70,COLUMN()-1,FALSE))</f>
        <v>0</v>
      </c>
      <c r="Q60" s="76">
        <f>IF(VLOOKUP($B60,'VoC Efficiency'!$B$27:$Q$70,COLUMN()-1,FALSE)="","",VLOOKUP($B60,'VoC Efficiency'!$B$27:$Q$70,COLUMN()-1,FALSE))</f>
        <v>0</v>
      </c>
      <c r="R60" s="26"/>
      <c r="S60" s="673">
        <f t="shared" si="0"/>
        <v>2039</v>
      </c>
      <c r="T60" s="672">
        <f t="shared" si="3"/>
        <v>0.72076268912915786</v>
      </c>
      <c r="U60" s="65">
        <f t="shared" si="3"/>
        <v>0.80524722952522709</v>
      </c>
      <c r="V60" s="76">
        <f t="shared" si="4"/>
        <v>0.83258053672453214</v>
      </c>
      <c r="W60" s="672">
        <f t="shared" si="16"/>
        <v>0.67818825486215695</v>
      </c>
      <c r="X60" s="65">
        <f t="shared" si="17"/>
        <v>0.85979928503945913</v>
      </c>
      <c r="Y60" s="76">
        <f t="shared" si="18"/>
        <v>0.86661144787563305</v>
      </c>
      <c r="Z60" s="672">
        <f t="shared" si="6"/>
        <v>1</v>
      </c>
      <c r="AA60" s="76">
        <f t="shared" si="7"/>
        <v>1</v>
      </c>
      <c r="AB60" s="672">
        <f t="shared" si="13"/>
        <v>1</v>
      </c>
      <c r="AC60" s="76">
        <f t="shared" si="8"/>
        <v>1</v>
      </c>
      <c r="AD60" s="65">
        <f t="shared" si="9"/>
        <v>1</v>
      </c>
      <c r="AE60" s="76">
        <f t="shared" si="10"/>
        <v>1</v>
      </c>
      <c r="AF60" s="65">
        <f t="shared" si="11"/>
        <v>1.006892406578946</v>
      </c>
      <c r="AG60" s="76">
        <f t="shared" si="12"/>
        <v>1</v>
      </c>
      <c r="AH60" s="82"/>
      <c r="AI60" s="82"/>
      <c r="AM60" s="26"/>
      <c r="AN60" s="26"/>
      <c r="AO60" s="26"/>
      <c r="AP60" s="26"/>
    </row>
    <row r="61" spans="1:42" ht="13.5" customHeight="1">
      <c r="A61" s="113"/>
      <c r="B61" s="452" t="str">
        <f t="shared" si="19"/>
        <v>2039 to</v>
      </c>
      <c r="C61" s="42">
        <f t="shared" si="15"/>
        <v>2040</v>
      </c>
      <c r="D61" s="672">
        <f>IF(VLOOKUP($B61,'VoC Efficiency'!$B$27:$Q$70,COLUMN()-1,FALSE)="","",VLOOKUP($B61,'VoC Efficiency'!$B$27:$Q$70,COLUMN()-1,FALSE))</f>
        <v>-0.32553169903402068</v>
      </c>
      <c r="E61" s="65">
        <f>IF(VLOOKUP($B61,'VoC Efficiency'!$B$27:$Q$70,COLUMN()-1,FALSE)="","",VLOOKUP($B61,'VoC Efficiency'!$B$27:$Q$70,COLUMN()-1,FALSE))</f>
        <v>-0.30972858167529482</v>
      </c>
      <c r="F61" s="76">
        <f>IF(VLOOKUP($B61,'VoC Efficiency'!$B$27:$Q$70,COLUMN()-1,FALSE)="","",VLOOKUP($B61,'VoC Efficiency'!$B$27:$Q$70,COLUMN()-1,FALSE))</f>
        <v>-0.39455190003225837</v>
      </c>
      <c r="G61" s="65">
        <f>IF(VLOOKUP($B61,'VoC Efficiency'!$B$27:$Q$70,COLUMN()-1,FALSE)="","",VLOOKUP($B61,'VoC Efficiency'!$B$27:$Q$70,COLUMN()-1,FALSE))</f>
        <v>-5.0054485082973166E-2</v>
      </c>
      <c r="H61" s="65">
        <f>IF(VLOOKUP($B61,'VoC Efficiency'!$B$27:$Q$70,COLUMN()-1,FALSE)="","",VLOOKUP($B61,'VoC Efficiency'!$B$27:$Q$70,COLUMN()-1,FALSE))</f>
        <v>-3.205230561955652E-2</v>
      </c>
      <c r="I61" s="65">
        <f>IF(VLOOKUP($B61,'VoC Efficiency'!$B$27:$Q$70,COLUMN()-1,FALSE)="","",VLOOKUP($B61,'VoC Efficiency'!$B$27:$Q$70,COLUMN()-1,FALSE))</f>
        <v>-1.1102230246251565E-14</v>
      </c>
      <c r="J61" s="672">
        <f>IF(VLOOKUP($B61,'VoC Efficiency'!$B$27:$Q$70,COLUMN()-1,FALSE)="","",VLOOKUP($B61,'VoC Efficiency'!$B$27:$Q$70,COLUMN()-1,FALSE))</f>
        <v>0</v>
      </c>
      <c r="K61" s="76">
        <f>IF(VLOOKUP($B61,'VoC Efficiency'!$B$27:$Q$70,COLUMN()-1,FALSE)="","",VLOOKUP($B61,'VoC Efficiency'!$B$27:$Q$70,COLUMN()-1,FALSE))</f>
        <v>0</v>
      </c>
      <c r="L61" s="672">
        <f>IF(VLOOKUP($B61,'VoC Efficiency'!$B$27:$Q$70,COLUMN()-1,FALSE)="","",VLOOKUP($B61,'VoC Efficiency'!$B$27:$Q$70,COLUMN()-1,FALSE))</f>
        <v>0</v>
      </c>
      <c r="M61" s="76">
        <f>IF(VLOOKUP($B61,'VoC Efficiency'!$B$27:$Q$70,COLUMN()-1,FALSE)="","",VLOOKUP($B61,'VoC Efficiency'!$B$27:$Q$70,COLUMN()-1,FALSE))</f>
        <v>0</v>
      </c>
      <c r="N61" s="65">
        <f>IF(VLOOKUP($B61,'VoC Efficiency'!$B$27:$Q$70,COLUMN()-1,FALSE)="","",VLOOKUP($B61,'VoC Efficiency'!$B$27:$Q$70,COLUMN()-1,FALSE))</f>
        <v>0</v>
      </c>
      <c r="O61" s="76">
        <f>IF(VLOOKUP($B61,'VoC Efficiency'!$B$27:$Q$70,COLUMN()-1,FALSE)="","",VLOOKUP($B61,'VoC Efficiency'!$B$27:$Q$70,COLUMN()-1,FALSE))</f>
        <v>0</v>
      </c>
      <c r="P61" s="65">
        <f>IF(VLOOKUP($B61,'VoC Efficiency'!$B$27:$Q$70,COLUMN()-1,FALSE)="","",VLOOKUP($B61,'VoC Efficiency'!$B$27:$Q$70,COLUMN()-1,FALSE))</f>
        <v>0</v>
      </c>
      <c r="Q61" s="76">
        <f>IF(VLOOKUP($B61,'VoC Efficiency'!$B$27:$Q$70,COLUMN()-1,FALSE)="","",VLOOKUP($B61,'VoC Efficiency'!$B$27:$Q$70,COLUMN()-1,FALSE))</f>
        <v>0</v>
      </c>
      <c r="R61" s="26"/>
      <c r="S61" s="673">
        <f t="shared" si="0"/>
        <v>2040</v>
      </c>
      <c r="T61" s="672">
        <f t="shared" si="3"/>
        <v>0.71841637810123238</v>
      </c>
      <c r="U61" s="65">
        <f t="shared" si="3"/>
        <v>0.80275314870223902</v>
      </c>
      <c r="V61" s="76">
        <f t="shared" si="4"/>
        <v>0.82929557439758672</v>
      </c>
      <c r="W61" s="672">
        <f t="shared" si="16"/>
        <v>0.67784879122329245</v>
      </c>
      <c r="X61" s="65">
        <f t="shared" si="17"/>
        <v>0.85952369954490349</v>
      </c>
      <c r="Y61" s="76">
        <f t="shared" si="18"/>
        <v>0.86661144787563293</v>
      </c>
      <c r="Z61" s="672">
        <f t="shared" si="6"/>
        <v>1</v>
      </c>
      <c r="AA61" s="76">
        <f t="shared" si="7"/>
        <v>1</v>
      </c>
      <c r="AB61" s="672">
        <f t="shared" si="13"/>
        <v>1</v>
      </c>
      <c r="AC61" s="76">
        <f t="shared" si="8"/>
        <v>1</v>
      </c>
      <c r="AD61" s="65">
        <f t="shared" si="9"/>
        <v>1</v>
      </c>
      <c r="AE61" s="76">
        <f t="shared" si="10"/>
        <v>1</v>
      </c>
      <c r="AF61" s="65">
        <f t="shared" si="11"/>
        <v>1.006892406578946</v>
      </c>
      <c r="AG61" s="76">
        <f t="shared" si="12"/>
        <v>1</v>
      </c>
      <c r="AH61" s="82"/>
      <c r="AI61" s="82"/>
      <c r="AM61" s="26"/>
      <c r="AN61" s="26"/>
      <c r="AO61" s="26"/>
      <c r="AP61" s="26"/>
    </row>
    <row r="62" spans="1:42" ht="13.5" customHeight="1">
      <c r="A62" s="113"/>
      <c r="B62" s="452" t="str">
        <f t="shared" si="19"/>
        <v>2040 to</v>
      </c>
      <c r="C62" s="42">
        <f t="shared" si="15"/>
        <v>2041</v>
      </c>
      <c r="D62" s="672">
        <f>IF(VLOOKUP($B62,'VoC Efficiency'!$B$27:$Q$70,COLUMN()-1,FALSE)="","",VLOOKUP($B62,'VoC Efficiency'!$B$27:$Q$70,COLUMN()-1,FALSE))</f>
        <v>0.12072310867514702</v>
      </c>
      <c r="E62" s="65">
        <f>IF(VLOOKUP($B62,'VoC Efficiency'!$B$27:$Q$70,COLUMN()-1,FALSE)="","",VLOOKUP($B62,'VoC Efficiency'!$B$27:$Q$70,COLUMN()-1,FALSE))</f>
        <v>0.13131596511866128</v>
      </c>
      <c r="F62" s="76">
        <f>IF(VLOOKUP($B62,'VoC Efficiency'!$B$27:$Q$70,COLUMN()-1,FALSE)="","",VLOOKUP($B62,'VoC Efficiency'!$B$27:$Q$70,COLUMN()-1,FALSE))</f>
        <v>-0.3334677738216274</v>
      </c>
      <c r="G62" s="65">
        <f>IF(VLOOKUP($B62,'VoC Efficiency'!$B$27:$Q$70,COLUMN()-1,FALSE)="","",VLOOKUP($B62,'VoC Efficiency'!$B$27:$Q$70,COLUMN()-1,FALSE))</f>
        <v>-3.998047832102225E-2</v>
      </c>
      <c r="H62" s="65">
        <f>IF(VLOOKUP($B62,'VoC Efficiency'!$B$27:$Q$70,COLUMN()-1,FALSE)="","",VLOOKUP($B62,'VoC Efficiency'!$B$27:$Q$70,COLUMN()-1,FALSE))</f>
        <v>-2.672130456800037E-2</v>
      </c>
      <c r="I62" s="65">
        <f>IF(VLOOKUP($B62,'VoC Efficiency'!$B$27:$Q$70,COLUMN()-1,FALSE)="","",VLOOKUP($B62,'VoC Efficiency'!$B$27:$Q$70,COLUMN()-1,FALSE))</f>
        <v>4.4408920985006262E-14</v>
      </c>
      <c r="J62" s="672">
        <f>IF(VLOOKUP($B62,'VoC Efficiency'!$B$27:$Q$70,COLUMN()-1,FALSE)="","",VLOOKUP($B62,'VoC Efficiency'!$B$27:$Q$70,COLUMN()-1,FALSE))</f>
        <v>0</v>
      </c>
      <c r="K62" s="76">
        <f>IF(VLOOKUP($B62,'VoC Efficiency'!$B$27:$Q$70,COLUMN()-1,FALSE)="","",VLOOKUP($B62,'VoC Efficiency'!$B$27:$Q$70,COLUMN()-1,FALSE))</f>
        <v>0</v>
      </c>
      <c r="L62" s="672">
        <f>IF(VLOOKUP($B62,'VoC Efficiency'!$B$27:$Q$70,COLUMN()-1,FALSE)="","",VLOOKUP($B62,'VoC Efficiency'!$B$27:$Q$70,COLUMN()-1,FALSE))</f>
        <v>0</v>
      </c>
      <c r="M62" s="76">
        <f>IF(VLOOKUP($B62,'VoC Efficiency'!$B$27:$Q$70,COLUMN()-1,FALSE)="","",VLOOKUP($B62,'VoC Efficiency'!$B$27:$Q$70,COLUMN()-1,FALSE))</f>
        <v>0</v>
      </c>
      <c r="N62" s="65">
        <f>IF(VLOOKUP($B62,'VoC Efficiency'!$B$27:$Q$70,COLUMN()-1,FALSE)="","",VLOOKUP($B62,'VoC Efficiency'!$B$27:$Q$70,COLUMN()-1,FALSE))</f>
        <v>0</v>
      </c>
      <c r="O62" s="76">
        <f>IF(VLOOKUP($B62,'VoC Efficiency'!$B$27:$Q$70,COLUMN()-1,FALSE)="","",VLOOKUP($B62,'VoC Efficiency'!$B$27:$Q$70,COLUMN()-1,FALSE))</f>
        <v>0</v>
      </c>
      <c r="P62" s="65">
        <f>IF(VLOOKUP($B62,'VoC Efficiency'!$B$27:$Q$70,COLUMN()-1,FALSE)="","",VLOOKUP($B62,'VoC Efficiency'!$B$27:$Q$70,COLUMN()-1,FALSE))</f>
        <v>0</v>
      </c>
      <c r="Q62" s="76">
        <f>IF(VLOOKUP($B62,'VoC Efficiency'!$B$27:$Q$70,COLUMN()-1,FALSE)="","",VLOOKUP($B62,'VoC Efficiency'!$B$27:$Q$70,COLUMN()-1,FALSE))</f>
        <v>0</v>
      </c>
      <c r="R62" s="26"/>
      <c r="S62" s="673">
        <f t="shared" si="0"/>
        <v>2041</v>
      </c>
      <c r="T62" s="672">
        <f t="shared" si="3"/>
        <v>0.7192836726861076</v>
      </c>
      <c r="U62" s="65">
        <f t="shared" si="3"/>
        <v>0.80380729174697785</v>
      </c>
      <c r="V62" s="76">
        <f t="shared" si="4"/>
        <v>0.82653014090724186</v>
      </c>
      <c r="W62" s="672">
        <f t="shared" si="16"/>
        <v>0.67757778403426816</v>
      </c>
      <c r="X62" s="65">
        <f t="shared" si="17"/>
        <v>0.85929402359931395</v>
      </c>
      <c r="Y62" s="76">
        <f t="shared" si="18"/>
        <v>0.86661144787563327</v>
      </c>
      <c r="Z62" s="672">
        <f t="shared" si="6"/>
        <v>1</v>
      </c>
      <c r="AA62" s="76">
        <f t="shared" si="7"/>
        <v>1</v>
      </c>
      <c r="AB62" s="672">
        <f t="shared" si="13"/>
        <v>1</v>
      </c>
      <c r="AC62" s="76">
        <f t="shared" si="8"/>
        <v>1</v>
      </c>
      <c r="AD62" s="65">
        <f t="shared" si="9"/>
        <v>1</v>
      </c>
      <c r="AE62" s="76">
        <f t="shared" si="10"/>
        <v>1</v>
      </c>
      <c r="AF62" s="65">
        <f t="shared" si="11"/>
        <v>1.006892406578946</v>
      </c>
      <c r="AG62" s="76">
        <f t="shared" si="12"/>
        <v>1</v>
      </c>
      <c r="AH62" s="82"/>
      <c r="AI62" s="82"/>
      <c r="AM62" s="26"/>
      <c r="AN62" s="26"/>
      <c r="AO62" s="26"/>
      <c r="AP62" s="26"/>
    </row>
    <row r="63" spans="1:42" ht="13.5" customHeight="1">
      <c r="A63" s="113"/>
      <c r="B63" s="452" t="str">
        <f t="shared" si="19"/>
        <v>2041 to</v>
      </c>
      <c r="C63" s="42">
        <f t="shared" si="15"/>
        <v>2042</v>
      </c>
      <c r="D63" s="672">
        <f>IF(VLOOKUP($B63,'VoC Efficiency'!$B$27:$Q$70,COLUMN()-1,FALSE)="","",VLOOKUP($B63,'VoC Efficiency'!$B$27:$Q$70,COLUMN()-1,FALSE))</f>
        <v>0.1274842503105944</v>
      </c>
      <c r="E63" s="65">
        <f>IF(VLOOKUP($B63,'VoC Efficiency'!$B$27:$Q$70,COLUMN()-1,FALSE)="","",VLOOKUP($B63,'VoC Efficiency'!$B$27:$Q$70,COLUMN()-1,FALSE))</f>
        <v>0.13485335523750752</v>
      </c>
      <c r="F63" s="76">
        <f>IF(VLOOKUP($B63,'VoC Efficiency'!$B$27:$Q$70,COLUMN()-1,FALSE)="","",VLOOKUP($B63,'VoC Efficiency'!$B$27:$Q$70,COLUMN()-1,FALSE))</f>
        <v>-0.26612901834660585</v>
      </c>
      <c r="G63" s="65">
        <f>IF(VLOOKUP($B63,'VoC Efficiency'!$B$27:$Q$70,COLUMN()-1,FALSE)="","",VLOOKUP($B63,'VoC Efficiency'!$B$27:$Q$70,COLUMN()-1,FALSE))</f>
        <v>-3.197429756656156E-2</v>
      </c>
      <c r="H63" s="65">
        <f>IF(VLOOKUP($B63,'VoC Efficiency'!$B$27:$Q$70,COLUMN()-1,FALSE)="","",VLOOKUP($B63,'VoC Efficiency'!$B$27:$Q$70,COLUMN()-1,FALSE))</f>
        <v>-2.1396221768699153E-2</v>
      </c>
      <c r="I63" s="65">
        <f>IF(VLOOKUP($B63,'VoC Efficiency'!$B$27:$Q$70,COLUMN()-1,FALSE)="","",VLOOKUP($B63,'VoC Efficiency'!$B$27:$Q$70,COLUMN()-1,FALSE))</f>
        <v>-2.2204460492503131E-14</v>
      </c>
      <c r="J63" s="672">
        <f>IF(VLOOKUP($B63,'VoC Efficiency'!$B$27:$Q$70,COLUMN()-1,FALSE)="","",VLOOKUP($B63,'VoC Efficiency'!$B$27:$Q$70,COLUMN()-1,FALSE))</f>
        <v>0</v>
      </c>
      <c r="K63" s="76">
        <f>IF(VLOOKUP($B63,'VoC Efficiency'!$B$27:$Q$70,COLUMN()-1,FALSE)="","",VLOOKUP($B63,'VoC Efficiency'!$B$27:$Q$70,COLUMN()-1,FALSE))</f>
        <v>0</v>
      </c>
      <c r="L63" s="672">
        <f>IF(VLOOKUP($B63,'VoC Efficiency'!$B$27:$Q$70,COLUMN()-1,FALSE)="","",VLOOKUP($B63,'VoC Efficiency'!$B$27:$Q$70,COLUMN()-1,FALSE))</f>
        <v>0</v>
      </c>
      <c r="M63" s="76">
        <f>IF(VLOOKUP($B63,'VoC Efficiency'!$B$27:$Q$70,COLUMN()-1,FALSE)="","",VLOOKUP($B63,'VoC Efficiency'!$B$27:$Q$70,COLUMN()-1,FALSE))</f>
        <v>0</v>
      </c>
      <c r="N63" s="65">
        <f>IF(VLOOKUP($B63,'VoC Efficiency'!$B$27:$Q$70,COLUMN()-1,FALSE)="","",VLOOKUP($B63,'VoC Efficiency'!$B$27:$Q$70,COLUMN()-1,FALSE))</f>
        <v>0</v>
      </c>
      <c r="O63" s="76">
        <f>IF(VLOOKUP($B63,'VoC Efficiency'!$B$27:$Q$70,COLUMN()-1,FALSE)="","",VLOOKUP($B63,'VoC Efficiency'!$B$27:$Q$70,COLUMN()-1,FALSE))</f>
        <v>0</v>
      </c>
      <c r="P63" s="65">
        <f>IF(VLOOKUP($B63,'VoC Efficiency'!$B$27:$Q$70,COLUMN()-1,FALSE)="","",VLOOKUP($B63,'VoC Efficiency'!$B$27:$Q$70,COLUMN()-1,FALSE))</f>
        <v>0</v>
      </c>
      <c r="Q63" s="76">
        <f>IF(VLOOKUP($B63,'VoC Efficiency'!$B$27:$Q$70,COLUMN()-1,FALSE)="","",VLOOKUP($B63,'VoC Efficiency'!$B$27:$Q$70,COLUMN()-1,FALSE))</f>
        <v>0</v>
      </c>
      <c r="R63" s="26"/>
      <c r="S63" s="673">
        <f t="shared" si="0"/>
        <v>2042</v>
      </c>
      <c r="T63" s="672">
        <f t="shared" si="3"/>
        <v>0.72020064608383805</v>
      </c>
      <c r="U63" s="65">
        <f t="shared" si="3"/>
        <v>0.80489125284954244</v>
      </c>
      <c r="V63" s="76">
        <f t="shared" si="4"/>
        <v>0.82433050435690658</v>
      </c>
      <c r="W63" s="672">
        <f t="shared" si="16"/>
        <v>0.67736113329735614</v>
      </c>
      <c r="X63" s="65">
        <f t="shared" si="17"/>
        <v>0.85911016714437949</v>
      </c>
      <c r="Y63" s="76">
        <f t="shared" si="18"/>
        <v>0.86661144787563305</v>
      </c>
      <c r="Z63" s="672">
        <f t="shared" si="6"/>
        <v>1</v>
      </c>
      <c r="AA63" s="76">
        <f t="shared" si="7"/>
        <v>1</v>
      </c>
      <c r="AB63" s="672">
        <f t="shared" si="13"/>
        <v>1</v>
      </c>
      <c r="AC63" s="76">
        <f t="shared" si="8"/>
        <v>1</v>
      </c>
      <c r="AD63" s="65">
        <f t="shared" si="9"/>
        <v>1</v>
      </c>
      <c r="AE63" s="76">
        <f t="shared" si="10"/>
        <v>1</v>
      </c>
      <c r="AF63" s="65">
        <f t="shared" si="11"/>
        <v>1.006892406578946</v>
      </c>
      <c r="AG63" s="76">
        <f t="shared" si="12"/>
        <v>1</v>
      </c>
      <c r="AH63" s="82"/>
      <c r="AI63" s="82"/>
      <c r="AM63" s="26"/>
      <c r="AN63" s="26"/>
      <c r="AO63" s="26"/>
      <c r="AP63" s="26"/>
    </row>
    <row r="64" spans="1:42" ht="13.5" customHeight="1">
      <c r="A64" s="113"/>
      <c r="B64" s="452" t="str">
        <f t="shared" si="19"/>
        <v>2042 to</v>
      </c>
      <c r="C64" s="42">
        <f t="shared" si="15"/>
        <v>2043</v>
      </c>
      <c r="D64" s="672">
        <f>IF(VLOOKUP($B64,'VoC Efficiency'!$B$27:$Q$70,COLUMN()-1,FALSE)="","",VLOOKUP($B64,'VoC Efficiency'!$B$27:$Q$70,COLUMN()-1,FALSE))</f>
        <v>-0.31329096674885815</v>
      </c>
      <c r="E64" s="65">
        <f>IF(VLOOKUP($B64,'VoC Efficiency'!$B$27:$Q$70,COLUMN()-1,FALSE)="","",VLOOKUP($B64,'VoC Efficiency'!$B$27:$Q$70,COLUMN()-1,FALSE))</f>
        <v>-0.30740594517546516</v>
      </c>
      <c r="F64" s="76">
        <f>IF(VLOOKUP($B64,'VoC Efficiency'!$B$27:$Q$70,COLUMN()-1,FALSE)="","",VLOOKUP($B64,'VoC Efficiency'!$B$27:$Q$70,COLUMN()-1,FALSE))</f>
        <v>-0.21502589263697747</v>
      </c>
      <c r="G64" s="65">
        <f>IF(VLOOKUP($B64,'VoC Efficiency'!$B$27:$Q$70,COLUMN()-1,FALSE)="","",VLOOKUP($B64,'VoC Efficiency'!$B$27:$Q$70,COLUMN()-1,FALSE))</f>
        <v>-2.400583603179296E-2</v>
      </c>
      <c r="H64" s="65">
        <f>IF(VLOOKUP($B64,'VoC Efficiency'!$B$27:$Q$70,COLUMN()-1,FALSE)="","",VLOOKUP($B64,'VoC Efficiency'!$B$27:$Q$70,COLUMN()-1,FALSE))</f>
        <v>-1.6515562482988244E-2</v>
      </c>
      <c r="I64" s="65">
        <f>IF(VLOOKUP($B64,'VoC Efficiency'!$B$27:$Q$70,COLUMN()-1,FALSE)="","",VLOOKUP($B64,'VoC Efficiency'!$B$27:$Q$70,COLUMN()-1,FALSE))</f>
        <v>2.2204460492503131E-14</v>
      </c>
      <c r="J64" s="672">
        <f>IF(VLOOKUP($B64,'VoC Efficiency'!$B$27:$Q$70,COLUMN()-1,FALSE)="","",VLOOKUP($B64,'VoC Efficiency'!$B$27:$Q$70,COLUMN()-1,FALSE))</f>
        <v>0</v>
      </c>
      <c r="K64" s="76">
        <f>IF(VLOOKUP($B64,'VoC Efficiency'!$B$27:$Q$70,COLUMN()-1,FALSE)="","",VLOOKUP($B64,'VoC Efficiency'!$B$27:$Q$70,COLUMN()-1,FALSE))</f>
        <v>0</v>
      </c>
      <c r="L64" s="672">
        <f>IF(VLOOKUP($B64,'VoC Efficiency'!$B$27:$Q$70,COLUMN()-1,FALSE)="","",VLOOKUP($B64,'VoC Efficiency'!$B$27:$Q$70,COLUMN()-1,FALSE))</f>
        <v>0</v>
      </c>
      <c r="M64" s="76">
        <f>IF(VLOOKUP($B64,'VoC Efficiency'!$B$27:$Q$70,COLUMN()-1,FALSE)="","",VLOOKUP($B64,'VoC Efficiency'!$B$27:$Q$70,COLUMN()-1,FALSE))</f>
        <v>0</v>
      </c>
      <c r="N64" s="65">
        <f>IF(VLOOKUP($B64,'VoC Efficiency'!$B$27:$Q$70,COLUMN()-1,FALSE)="","",VLOOKUP($B64,'VoC Efficiency'!$B$27:$Q$70,COLUMN()-1,FALSE))</f>
        <v>0</v>
      </c>
      <c r="O64" s="76">
        <f>IF(VLOOKUP($B64,'VoC Efficiency'!$B$27:$Q$70,COLUMN()-1,FALSE)="","",VLOOKUP($B64,'VoC Efficiency'!$B$27:$Q$70,COLUMN()-1,FALSE))</f>
        <v>0</v>
      </c>
      <c r="P64" s="65">
        <f>IF(VLOOKUP($B64,'VoC Efficiency'!$B$27:$Q$70,COLUMN()-1,FALSE)="","",VLOOKUP($B64,'VoC Efficiency'!$B$27:$Q$70,COLUMN()-1,FALSE))</f>
        <v>0</v>
      </c>
      <c r="Q64" s="76">
        <f>IF(VLOOKUP($B64,'VoC Efficiency'!$B$27:$Q$70,COLUMN()-1,FALSE)="","",VLOOKUP($B64,'VoC Efficiency'!$B$27:$Q$70,COLUMN()-1,FALSE))</f>
        <v>0</v>
      </c>
      <c r="R64" s="26"/>
      <c r="S64" s="673">
        <f t="shared" si="0"/>
        <v>2043</v>
      </c>
      <c r="T64" s="672">
        <f t="shared" si="3"/>
        <v>0.71794432251719043</v>
      </c>
      <c r="U64" s="65">
        <f t="shared" si="3"/>
        <v>0.80241696928608564</v>
      </c>
      <c r="V64" s="76">
        <f t="shared" si="4"/>
        <v>0.8225579803316343</v>
      </c>
      <c r="W64" s="672">
        <f t="shared" si="16"/>
        <v>0.67719852709435369</v>
      </c>
      <c r="X64" s="65">
        <f t="shared" si="17"/>
        <v>0.85896828026792704</v>
      </c>
      <c r="Y64" s="76">
        <f t="shared" si="18"/>
        <v>0.86661144787563327</v>
      </c>
      <c r="Z64" s="672">
        <f t="shared" si="6"/>
        <v>1</v>
      </c>
      <c r="AA64" s="76">
        <f t="shared" si="7"/>
        <v>1</v>
      </c>
      <c r="AB64" s="672">
        <f t="shared" si="13"/>
        <v>1</v>
      </c>
      <c r="AC64" s="76">
        <f t="shared" si="8"/>
        <v>1</v>
      </c>
      <c r="AD64" s="65">
        <f t="shared" si="9"/>
        <v>1</v>
      </c>
      <c r="AE64" s="76">
        <f t="shared" si="10"/>
        <v>1</v>
      </c>
      <c r="AF64" s="65">
        <f t="shared" si="11"/>
        <v>1.006892406578946</v>
      </c>
      <c r="AG64" s="76">
        <f t="shared" si="12"/>
        <v>1</v>
      </c>
      <c r="AH64" s="82"/>
      <c r="AI64" s="82"/>
      <c r="AM64" s="26"/>
      <c r="AN64" s="26"/>
      <c r="AO64" s="26"/>
      <c r="AP64" s="26"/>
    </row>
    <row r="65" spans="1:42" ht="13.5" customHeight="1">
      <c r="A65" s="113"/>
      <c r="B65" s="452" t="str">
        <f t="shared" si="19"/>
        <v>2043 to</v>
      </c>
      <c r="C65" s="42">
        <f t="shared" si="15"/>
        <v>2044</v>
      </c>
      <c r="D65" s="672">
        <f>IF(VLOOKUP($B65,'VoC Efficiency'!$B$27:$Q$70,COLUMN()-1,FALSE)="","",VLOOKUP($B65,'VoC Efficiency'!$B$27:$Q$70,COLUMN()-1,FALSE))</f>
        <v>0.13837014550774906</v>
      </c>
      <c r="E65" s="65">
        <f>IF(VLOOKUP($B65,'VoC Efficiency'!$B$27:$Q$70,COLUMN()-1,FALSE)="","",VLOOKUP($B65,'VoC Efficiency'!$B$27:$Q$70,COLUMN()-1,FALSE))</f>
        <v>0.14375609553829438</v>
      </c>
      <c r="F65" s="76">
        <f>IF(VLOOKUP($B65,'VoC Efficiency'!$B$27:$Q$70,COLUMN()-1,FALSE)="","",VLOOKUP($B65,'VoC Efficiency'!$B$27:$Q$70,COLUMN()-1,FALSE))</f>
        <v>-0.17781880339455824</v>
      </c>
      <c r="G65" s="65">
        <f>IF(VLOOKUP($B65,'VoC Efficiency'!$B$27:$Q$70,COLUMN()-1,FALSE)="","",VLOOKUP($B65,'VoC Efficiency'!$B$27:$Q$70,COLUMN()-1,FALSE))</f>
        <v>-2.1345847693154951E-2</v>
      </c>
      <c r="H65" s="65">
        <f>IF(VLOOKUP($B65,'VoC Efficiency'!$B$27:$Q$70,COLUMN()-1,FALSE)="","",VLOOKUP($B65,'VoC Efficiency'!$B$27:$Q$70,COLUMN()-1,FALSE))</f>
        <v>-1.4207417860812033E-2</v>
      </c>
      <c r="I65" s="65">
        <f>IF(VLOOKUP($B65,'VoC Efficiency'!$B$27:$Q$70,COLUMN()-1,FALSE)="","",VLOOKUP($B65,'VoC Efficiency'!$B$27:$Q$70,COLUMN()-1,FALSE))</f>
        <v>4.4408920985006262E-14</v>
      </c>
      <c r="J65" s="672">
        <f>IF(VLOOKUP($B65,'VoC Efficiency'!$B$27:$Q$70,COLUMN()-1,FALSE)="","",VLOOKUP($B65,'VoC Efficiency'!$B$27:$Q$70,COLUMN()-1,FALSE))</f>
        <v>0</v>
      </c>
      <c r="K65" s="76">
        <f>IF(VLOOKUP($B65,'VoC Efficiency'!$B$27:$Q$70,COLUMN()-1,FALSE)="","",VLOOKUP($B65,'VoC Efficiency'!$B$27:$Q$70,COLUMN()-1,FALSE))</f>
        <v>0</v>
      </c>
      <c r="L65" s="672">
        <f>IF(VLOOKUP($B65,'VoC Efficiency'!$B$27:$Q$70,COLUMN()-1,FALSE)="","",VLOOKUP($B65,'VoC Efficiency'!$B$27:$Q$70,COLUMN()-1,FALSE))</f>
        <v>0</v>
      </c>
      <c r="M65" s="76">
        <f>IF(VLOOKUP($B65,'VoC Efficiency'!$B$27:$Q$70,COLUMN()-1,FALSE)="","",VLOOKUP($B65,'VoC Efficiency'!$B$27:$Q$70,COLUMN()-1,FALSE))</f>
        <v>0</v>
      </c>
      <c r="N65" s="65">
        <f>IF(VLOOKUP($B65,'VoC Efficiency'!$B$27:$Q$70,COLUMN()-1,FALSE)="","",VLOOKUP($B65,'VoC Efficiency'!$B$27:$Q$70,COLUMN()-1,FALSE))</f>
        <v>0</v>
      </c>
      <c r="O65" s="76">
        <f>IF(VLOOKUP($B65,'VoC Efficiency'!$B$27:$Q$70,COLUMN()-1,FALSE)="","",VLOOKUP($B65,'VoC Efficiency'!$B$27:$Q$70,COLUMN()-1,FALSE))</f>
        <v>0</v>
      </c>
      <c r="P65" s="65">
        <f>IF(VLOOKUP($B65,'VoC Efficiency'!$B$27:$Q$70,COLUMN()-1,FALSE)="","",VLOOKUP($B65,'VoC Efficiency'!$B$27:$Q$70,COLUMN()-1,FALSE))</f>
        <v>0</v>
      </c>
      <c r="Q65" s="76">
        <f>IF(VLOOKUP($B65,'VoC Efficiency'!$B$27:$Q$70,COLUMN()-1,FALSE)="","",VLOOKUP($B65,'VoC Efficiency'!$B$27:$Q$70,COLUMN()-1,FALSE))</f>
        <v>0</v>
      </c>
      <c r="R65" s="26"/>
      <c r="S65" s="673">
        <f t="shared" si="0"/>
        <v>2044</v>
      </c>
      <c r="T65" s="672">
        <f t="shared" si="3"/>
        <v>0.71893774312092207</v>
      </c>
      <c r="U65" s="65">
        <f t="shared" si="3"/>
        <v>0.80357049259106805</v>
      </c>
      <c r="V65" s="76">
        <f t="shared" si="4"/>
        <v>0.82109531757378218</v>
      </c>
      <c r="W65" s="672">
        <f t="shared" si="16"/>
        <v>0.67705397332817985</v>
      </c>
      <c r="X65" s="65">
        <f t="shared" si="17"/>
        <v>0.85884624305505752</v>
      </c>
      <c r="Y65" s="76">
        <f t="shared" si="18"/>
        <v>0.8666114478756336</v>
      </c>
      <c r="Z65" s="672">
        <f t="shared" si="6"/>
        <v>1</v>
      </c>
      <c r="AA65" s="76">
        <f t="shared" si="7"/>
        <v>1</v>
      </c>
      <c r="AB65" s="672">
        <f t="shared" si="13"/>
        <v>1</v>
      </c>
      <c r="AC65" s="76">
        <f t="shared" si="8"/>
        <v>1</v>
      </c>
      <c r="AD65" s="65">
        <f t="shared" si="9"/>
        <v>1</v>
      </c>
      <c r="AE65" s="76">
        <f t="shared" si="10"/>
        <v>1</v>
      </c>
      <c r="AF65" s="65">
        <f t="shared" si="11"/>
        <v>1.006892406578946</v>
      </c>
      <c r="AG65" s="76">
        <f t="shared" si="12"/>
        <v>1</v>
      </c>
      <c r="AH65" s="82"/>
      <c r="AI65" s="82"/>
      <c r="AM65" s="26"/>
      <c r="AN65" s="26"/>
      <c r="AO65" s="26"/>
      <c r="AP65" s="26"/>
    </row>
    <row r="66" spans="1:42" ht="13.5" customHeight="1">
      <c r="A66" s="113"/>
      <c r="B66" s="452" t="str">
        <f t="shared" si="19"/>
        <v>2044 to</v>
      </c>
      <c r="C66" s="42">
        <f t="shared" si="15"/>
        <v>2045</v>
      </c>
      <c r="D66" s="672">
        <f>IF(VLOOKUP($B66,'VoC Efficiency'!$B$27:$Q$70,COLUMN()-1,FALSE)="","",VLOOKUP($B66,'VoC Efficiency'!$B$27:$Q$70,COLUMN()-1,FALSE))</f>
        <v>0.13862699317319649</v>
      </c>
      <c r="E66" s="65">
        <f>IF(VLOOKUP($B66,'VoC Efficiency'!$B$27:$Q$70,COLUMN()-1,FALSE)="","",VLOOKUP($B66,'VoC Efficiency'!$B$27:$Q$70,COLUMN()-1,FALSE))</f>
        <v>0.1440429959916667</v>
      </c>
      <c r="F66" s="76">
        <f>IF(VLOOKUP($B66,'VoC Efficiency'!$B$27:$Q$70,COLUMN()-1,FALSE)="","",VLOOKUP($B66,'VoC Efficiency'!$B$27:$Q$70,COLUMN()-1,FALSE))</f>
        <v>-0.15046506950644467</v>
      </c>
      <c r="G66" s="65">
        <f>IF(VLOOKUP($B66,'VoC Efficiency'!$B$27:$Q$70,COLUMN()-1,FALSE)="","",VLOOKUP($B66,'VoC Efficiency'!$B$27:$Q$70,COLUMN()-1,FALSE))</f>
        <v>-1.4448537092159874E-2</v>
      </c>
      <c r="H66" s="65">
        <f>IF(VLOOKUP($B66,'VoC Efficiency'!$B$27:$Q$70,COLUMN()-1,FALSE)="","",VLOOKUP($B66,'VoC Efficiency'!$B$27:$Q$70,COLUMN()-1,FALSE))</f>
        <v>-1.3235668218347652E-2</v>
      </c>
      <c r="I66" s="65">
        <f>IF(VLOOKUP($B66,'VoC Efficiency'!$B$27:$Q$70,COLUMN()-1,FALSE)="","",VLOOKUP($B66,'VoC Efficiency'!$B$27:$Q$70,COLUMN()-1,FALSE))</f>
        <v>0</v>
      </c>
      <c r="J66" s="672">
        <f>IF(VLOOKUP($B66,'VoC Efficiency'!$B$27:$Q$70,COLUMN()-1,FALSE)="","",VLOOKUP($B66,'VoC Efficiency'!$B$27:$Q$70,COLUMN()-1,FALSE))</f>
        <v>0</v>
      </c>
      <c r="K66" s="76">
        <f>IF(VLOOKUP($B66,'VoC Efficiency'!$B$27:$Q$70,COLUMN()-1,FALSE)="","",VLOOKUP($B66,'VoC Efficiency'!$B$27:$Q$70,COLUMN()-1,FALSE))</f>
        <v>0</v>
      </c>
      <c r="L66" s="672">
        <f>IF(VLOOKUP($B66,'VoC Efficiency'!$B$27:$Q$70,COLUMN()-1,FALSE)="","",VLOOKUP($B66,'VoC Efficiency'!$B$27:$Q$70,COLUMN()-1,FALSE))</f>
        <v>0</v>
      </c>
      <c r="M66" s="76">
        <f>IF(VLOOKUP($B66,'VoC Efficiency'!$B$27:$Q$70,COLUMN()-1,FALSE)="","",VLOOKUP($B66,'VoC Efficiency'!$B$27:$Q$70,COLUMN()-1,FALSE))</f>
        <v>0</v>
      </c>
      <c r="N66" s="65">
        <f>IF(VLOOKUP($B66,'VoC Efficiency'!$B$27:$Q$70,COLUMN()-1,FALSE)="","",VLOOKUP($B66,'VoC Efficiency'!$B$27:$Q$70,COLUMN()-1,FALSE))</f>
        <v>0</v>
      </c>
      <c r="O66" s="76">
        <f>IF(VLOOKUP($B66,'VoC Efficiency'!$B$27:$Q$70,COLUMN()-1,FALSE)="","",VLOOKUP($B66,'VoC Efficiency'!$B$27:$Q$70,COLUMN()-1,FALSE))</f>
        <v>0</v>
      </c>
      <c r="P66" s="65">
        <f>IF(VLOOKUP($B66,'VoC Efficiency'!$B$27:$Q$70,COLUMN()-1,FALSE)="","",VLOOKUP($B66,'VoC Efficiency'!$B$27:$Q$70,COLUMN()-1,FALSE))</f>
        <v>0</v>
      </c>
      <c r="Q66" s="76">
        <f>IF(VLOOKUP($B66,'VoC Efficiency'!$B$27:$Q$70,COLUMN()-1,FALSE)="","",VLOOKUP($B66,'VoC Efficiency'!$B$27:$Q$70,COLUMN()-1,FALSE))</f>
        <v>0</v>
      </c>
      <c r="R66" s="26"/>
      <c r="S66" s="673">
        <f t="shared" si="0"/>
        <v>2045</v>
      </c>
      <c r="T66" s="672">
        <f t="shared" si="3"/>
        <v>0.71993438489699779</v>
      </c>
      <c r="U66" s="65">
        <f t="shared" si="3"/>
        <v>0.80472797960350118</v>
      </c>
      <c r="V66" s="76">
        <f t="shared" si="4"/>
        <v>0.81985985593348065</v>
      </c>
      <c r="W66" s="672">
        <f t="shared" si="16"/>
        <v>0.67695614893370959</v>
      </c>
      <c r="X66" s="65">
        <f t="shared" si="17"/>
        <v>0.85873256901582096</v>
      </c>
      <c r="Y66" s="76">
        <f t="shared" si="18"/>
        <v>0.8666114478756336</v>
      </c>
      <c r="Z66" s="672">
        <f t="shared" si="6"/>
        <v>1</v>
      </c>
      <c r="AA66" s="76">
        <f t="shared" si="7"/>
        <v>1</v>
      </c>
      <c r="AB66" s="672">
        <f t="shared" si="13"/>
        <v>1</v>
      </c>
      <c r="AC66" s="76">
        <f t="shared" si="8"/>
        <v>1</v>
      </c>
      <c r="AD66" s="65">
        <f t="shared" si="9"/>
        <v>1</v>
      </c>
      <c r="AE66" s="76">
        <f t="shared" si="10"/>
        <v>1</v>
      </c>
      <c r="AF66" s="65">
        <f t="shared" si="11"/>
        <v>1.006892406578946</v>
      </c>
      <c r="AG66" s="76">
        <f t="shared" si="12"/>
        <v>1</v>
      </c>
      <c r="AH66" s="82"/>
      <c r="AI66" s="82"/>
      <c r="AM66" s="26"/>
      <c r="AN66" s="26"/>
      <c r="AO66" s="26"/>
      <c r="AP66" s="26"/>
    </row>
    <row r="67" spans="1:42" ht="13.5" customHeight="1">
      <c r="A67" s="113"/>
      <c r="B67" s="452" t="str">
        <f t="shared" si="19"/>
        <v>2045 to</v>
      </c>
      <c r="C67" s="42">
        <f t="shared" si="15"/>
        <v>2046</v>
      </c>
      <c r="D67" s="672">
        <f>IF(VLOOKUP($B67,'VoC Efficiency'!$B$27:$Q$70,COLUMN()-1,FALSE)="","",VLOOKUP($B67,'VoC Efficiency'!$B$27:$Q$70,COLUMN()-1,FALSE))</f>
        <v>-0.31271757262970601</v>
      </c>
      <c r="E67" s="65">
        <f>IF(VLOOKUP($B67,'VoC Efficiency'!$B$27:$Q$70,COLUMN()-1,FALSE)="","",VLOOKUP($B67,'VoC Efficiency'!$B$27:$Q$70,COLUMN()-1,FALSE))</f>
        <v>-0.30714229146318051</v>
      </c>
      <c r="F67" s="76">
        <f>IF(VLOOKUP($B67,'VoC Efficiency'!$B$27:$Q$70,COLUMN()-1,FALSE)="","",VLOOKUP($B67,'VoC Efficiency'!$B$27:$Q$70,COLUMN()-1,FALSE))</f>
        <v>-0.12893001519012071</v>
      </c>
      <c r="G67" s="65">
        <f>IF(VLOOKUP($B67,'VoC Efficiency'!$B$27:$Q$70,COLUMN()-1,FALSE)="","",VLOOKUP($B67,'VoC Efficiency'!$B$27:$Q$70,COLUMN()-1,FALSE))</f>
        <v>-1.3225503798075522E-2</v>
      </c>
      <c r="H67" s="65">
        <f>IF(VLOOKUP($B67,'VoC Efficiency'!$B$27:$Q$70,COLUMN()-1,FALSE)="","",VLOOKUP($B67,'VoC Efficiency'!$B$27:$Q$70,COLUMN()-1,FALSE))</f>
        <v>-1.0533531151479814E-2</v>
      </c>
      <c r="I67" s="65">
        <f>IF(VLOOKUP($B67,'VoC Efficiency'!$B$27:$Q$70,COLUMN()-1,FALSE)="","",VLOOKUP($B67,'VoC Efficiency'!$B$27:$Q$70,COLUMN()-1,FALSE))</f>
        <v>-7.7715611723760958E-14</v>
      </c>
      <c r="J67" s="672">
        <f>IF(VLOOKUP($B67,'VoC Efficiency'!$B$27:$Q$70,COLUMN()-1,FALSE)="","",VLOOKUP($B67,'VoC Efficiency'!$B$27:$Q$70,COLUMN()-1,FALSE))</f>
        <v>0</v>
      </c>
      <c r="K67" s="76">
        <f>IF(VLOOKUP($B67,'VoC Efficiency'!$B$27:$Q$70,COLUMN()-1,FALSE)="","",VLOOKUP($B67,'VoC Efficiency'!$B$27:$Q$70,COLUMN()-1,FALSE))</f>
        <v>0</v>
      </c>
      <c r="L67" s="672">
        <f>IF(VLOOKUP($B67,'VoC Efficiency'!$B$27:$Q$70,COLUMN()-1,FALSE)="","",VLOOKUP($B67,'VoC Efficiency'!$B$27:$Q$70,COLUMN()-1,FALSE))</f>
        <v>0</v>
      </c>
      <c r="M67" s="76">
        <f>IF(VLOOKUP($B67,'VoC Efficiency'!$B$27:$Q$70,COLUMN()-1,FALSE)="","",VLOOKUP($B67,'VoC Efficiency'!$B$27:$Q$70,COLUMN()-1,FALSE))</f>
        <v>0</v>
      </c>
      <c r="N67" s="65">
        <f>IF(VLOOKUP($B67,'VoC Efficiency'!$B$27:$Q$70,COLUMN()-1,FALSE)="","",VLOOKUP($B67,'VoC Efficiency'!$B$27:$Q$70,COLUMN()-1,FALSE))</f>
        <v>0</v>
      </c>
      <c r="O67" s="76">
        <f>IF(VLOOKUP($B67,'VoC Efficiency'!$B$27:$Q$70,COLUMN()-1,FALSE)="","",VLOOKUP($B67,'VoC Efficiency'!$B$27:$Q$70,COLUMN()-1,FALSE))</f>
        <v>0</v>
      </c>
      <c r="P67" s="65">
        <f>IF(VLOOKUP($B67,'VoC Efficiency'!$B$27:$Q$70,COLUMN()-1,FALSE)="","",VLOOKUP($B67,'VoC Efficiency'!$B$27:$Q$70,COLUMN()-1,FALSE))</f>
        <v>0</v>
      </c>
      <c r="Q67" s="76">
        <f>IF(VLOOKUP($B67,'VoC Efficiency'!$B$27:$Q$70,COLUMN()-1,FALSE)="","",VLOOKUP($B67,'VoC Efficiency'!$B$27:$Q$70,COLUMN()-1,FALSE))</f>
        <v>0</v>
      </c>
      <c r="R67" s="26"/>
      <c r="S67" s="673">
        <f t="shared" si="0"/>
        <v>2046</v>
      </c>
      <c r="T67" s="672">
        <f t="shared" si="3"/>
        <v>0.71768302356402125</v>
      </c>
      <c r="U67" s="65">
        <f t="shared" si="3"/>
        <v>0.80225631964690158</v>
      </c>
      <c r="V67" s="76">
        <f t="shared" si="4"/>
        <v>0.81880281049668791</v>
      </c>
      <c r="W67" s="672">
        <f t="shared" si="16"/>
        <v>0.67686661807252102</v>
      </c>
      <c r="X67" s="65">
        <f t="shared" si="17"/>
        <v>0.85864211415315572</v>
      </c>
      <c r="Y67" s="76">
        <f t="shared" si="18"/>
        <v>0.86661144787563293</v>
      </c>
      <c r="Z67" s="672">
        <f t="shared" si="6"/>
        <v>1</v>
      </c>
      <c r="AA67" s="76">
        <f t="shared" si="7"/>
        <v>1</v>
      </c>
      <c r="AB67" s="672">
        <f t="shared" si="13"/>
        <v>1</v>
      </c>
      <c r="AC67" s="76">
        <f t="shared" si="8"/>
        <v>1</v>
      </c>
      <c r="AD67" s="65">
        <f t="shared" si="9"/>
        <v>1</v>
      </c>
      <c r="AE67" s="76">
        <f t="shared" si="10"/>
        <v>1</v>
      </c>
      <c r="AF67" s="65">
        <f t="shared" si="11"/>
        <v>1.006892406578946</v>
      </c>
      <c r="AG67" s="76">
        <f t="shared" si="12"/>
        <v>1</v>
      </c>
      <c r="AH67" s="82"/>
      <c r="AI67" s="82"/>
      <c r="AM67" s="26"/>
      <c r="AN67" s="26"/>
      <c r="AO67" s="26"/>
      <c r="AP67" s="26"/>
    </row>
    <row r="68" spans="1:42" ht="13.5" customHeight="1">
      <c r="A68" s="113"/>
      <c r="B68" s="452" t="str">
        <f t="shared" si="19"/>
        <v>2046 to</v>
      </c>
      <c r="C68" s="42">
        <f t="shared" si="15"/>
        <v>2047</v>
      </c>
      <c r="D68" s="672">
        <f>IF(VLOOKUP($B68,'VoC Efficiency'!$B$27:$Q$70,COLUMN()-1,FALSE)="","",VLOOKUP($B68,'VoC Efficiency'!$B$27:$Q$70,COLUMN()-1,FALSE))</f>
        <v>0.1417081039205792</v>
      </c>
      <c r="E68" s="65">
        <f>IF(VLOOKUP($B68,'VoC Efficiency'!$B$27:$Q$70,COLUMN()-1,FALSE)="","",VLOOKUP($B68,'VoC Efficiency'!$B$27:$Q$70,COLUMN()-1,FALSE))</f>
        <v>0.14769433579171487</v>
      </c>
      <c r="F68" s="76">
        <f>IF(VLOOKUP($B68,'VoC Efficiency'!$B$27:$Q$70,COLUMN()-1,FALSE)="","",VLOOKUP($B68,'VoC Efficiency'!$B$27:$Q$70,COLUMN()-1,FALSE))</f>
        <v>-0.11222775105318439</v>
      </c>
      <c r="G68" s="65">
        <f>IF(VLOOKUP($B68,'VoC Efficiency'!$B$27:$Q$70,COLUMN()-1,FALSE)="","",VLOOKUP($B68,'VoC Efficiency'!$B$27:$Q$70,COLUMN()-1,FALSE))</f>
        <v>-1.1889760837413554E-2</v>
      </c>
      <c r="H68" s="65">
        <f>IF(VLOOKUP($B68,'VoC Efficiency'!$B$27:$Q$70,COLUMN()-1,FALSE)="","",VLOOKUP($B68,'VoC Efficiency'!$B$27:$Q$70,COLUMN()-1,FALSE))</f>
        <v>-1.0127059324460674E-2</v>
      </c>
      <c r="I68" s="65">
        <f>IF(VLOOKUP($B68,'VoC Efficiency'!$B$27:$Q$70,COLUMN()-1,FALSE)="","",VLOOKUP($B68,'VoC Efficiency'!$B$27:$Q$70,COLUMN()-1,FALSE))</f>
        <v>2.2204460492503131E-14</v>
      </c>
      <c r="J68" s="672">
        <f>IF(VLOOKUP($B68,'VoC Efficiency'!$B$27:$Q$70,COLUMN()-1,FALSE)="","",VLOOKUP($B68,'VoC Efficiency'!$B$27:$Q$70,COLUMN()-1,FALSE))</f>
        <v>0</v>
      </c>
      <c r="K68" s="76">
        <f>IF(VLOOKUP($B68,'VoC Efficiency'!$B$27:$Q$70,COLUMN()-1,FALSE)="","",VLOOKUP($B68,'VoC Efficiency'!$B$27:$Q$70,COLUMN()-1,FALSE))</f>
        <v>0</v>
      </c>
      <c r="L68" s="672">
        <f>IF(VLOOKUP($B68,'VoC Efficiency'!$B$27:$Q$70,COLUMN()-1,FALSE)="","",VLOOKUP($B68,'VoC Efficiency'!$B$27:$Q$70,COLUMN()-1,FALSE))</f>
        <v>0</v>
      </c>
      <c r="M68" s="76">
        <f>IF(VLOOKUP($B68,'VoC Efficiency'!$B$27:$Q$70,COLUMN()-1,FALSE)="","",VLOOKUP($B68,'VoC Efficiency'!$B$27:$Q$70,COLUMN()-1,FALSE))</f>
        <v>0</v>
      </c>
      <c r="N68" s="65">
        <f>IF(VLOOKUP($B68,'VoC Efficiency'!$B$27:$Q$70,COLUMN()-1,FALSE)="","",VLOOKUP($B68,'VoC Efficiency'!$B$27:$Q$70,COLUMN()-1,FALSE))</f>
        <v>0</v>
      </c>
      <c r="O68" s="76">
        <f>IF(VLOOKUP($B68,'VoC Efficiency'!$B$27:$Q$70,COLUMN()-1,FALSE)="","",VLOOKUP($B68,'VoC Efficiency'!$B$27:$Q$70,COLUMN()-1,FALSE))</f>
        <v>0</v>
      </c>
      <c r="P68" s="65">
        <f>IF(VLOOKUP($B68,'VoC Efficiency'!$B$27:$Q$70,COLUMN()-1,FALSE)="","",VLOOKUP($B68,'VoC Efficiency'!$B$27:$Q$70,COLUMN()-1,FALSE))</f>
        <v>0</v>
      </c>
      <c r="Q68" s="76">
        <f>IF(VLOOKUP($B68,'VoC Efficiency'!$B$27:$Q$70,COLUMN()-1,FALSE)="","",VLOOKUP($B68,'VoC Efficiency'!$B$27:$Q$70,COLUMN()-1,FALSE))</f>
        <v>0</v>
      </c>
      <c r="R68" s="26"/>
      <c r="S68" s="673">
        <f t="shared" si="0"/>
        <v>2047</v>
      </c>
      <c r="T68" s="672">
        <f t="shared" si="3"/>
        <v>0.71870003856887366</v>
      </c>
      <c r="U68" s="65">
        <f t="shared" si="3"/>
        <v>0.80344120678955111</v>
      </c>
      <c r="V68" s="76">
        <f t="shared" si="4"/>
        <v>0.81788388651690724</v>
      </c>
      <c r="W68" s="672">
        <f t="shared" si="16"/>
        <v>0.67678614025044392</v>
      </c>
      <c r="X68" s="65">
        <f t="shared" si="17"/>
        <v>0.85855515895687062</v>
      </c>
      <c r="Y68" s="76">
        <f t="shared" si="18"/>
        <v>0.86661144787563316</v>
      </c>
      <c r="Z68" s="672">
        <f t="shared" si="6"/>
        <v>1</v>
      </c>
      <c r="AA68" s="76">
        <f t="shared" si="7"/>
        <v>1</v>
      </c>
      <c r="AB68" s="672">
        <f t="shared" si="13"/>
        <v>1</v>
      </c>
      <c r="AC68" s="76">
        <f t="shared" si="8"/>
        <v>1</v>
      </c>
      <c r="AD68" s="65">
        <f t="shared" si="9"/>
        <v>1</v>
      </c>
      <c r="AE68" s="76">
        <f t="shared" si="10"/>
        <v>1</v>
      </c>
      <c r="AF68" s="65">
        <f t="shared" si="11"/>
        <v>1.006892406578946</v>
      </c>
      <c r="AG68" s="76">
        <f t="shared" si="12"/>
        <v>1</v>
      </c>
      <c r="AH68" s="82"/>
      <c r="AI68" s="82"/>
      <c r="AM68" s="26"/>
      <c r="AN68" s="26"/>
      <c r="AO68" s="26"/>
      <c r="AP68" s="26"/>
    </row>
    <row r="69" spans="1:42" ht="13.5" customHeight="1">
      <c r="A69" s="113"/>
      <c r="B69" s="452" t="str">
        <f t="shared" si="19"/>
        <v>2047 to</v>
      </c>
      <c r="C69" s="42">
        <f t="shared" si="15"/>
        <v>2048</v>
      </c>
      <c r="D69" s="672">
        <f>IF(VLOOKUP($B69,'VoC Efficiency'!$B$27:$Q$70,COLUMN()-1,FALSE)="","",VLOOKUP($B69,'VoC Efficiency'!$B$27:$Q$70,COLUMN()-1,FALSE))</f>
        <v>0.14033321468120974</v>
      </c>
      <c r="E69" s="65">
        <f>IF(VLOOKUP($B69,'VoC Efficiency'!$B$27:$Q$70,COLUMN()-1,FALSE)="","",VLOOKUP($B69,'VoC Efficiency'!$B$27:$Q$70,COLUMN()-1,FALSE))</f>
        <v>0.1465166478250568</v>
      </c>
      <c r="F69" s="76">
        <f>IF(VLOOKUP($B69,'VoC Efficiency'!$B$27:$Q$70,COLUMN()-1,FALSE)="","",VLOOKUP($B69,'VoC Efficiency'!$B$27:$Q$70,COLUMN()-1,FALSE))</f>
        <v>-9.8552786066363751E-2</v>
      </c>
      <c r="G69" s="65">
        <f>IF(VLOOKUP($B69,'VoC Efficiency'!$B$27:$Q$70,COLUMN()-1,FALSE)="","",VLOOKUP($B69,'VoC Efficiency'!$B$27:$Q$70,COLUMN()-1,FALSE))</f>
        <v>-1.4283140320803245E-2</v>
      </c>
      <c r="H69" s="65">
        <f>IF(VLOOKUP($B69,'VoC Efficiency'!$B$27:$Q$70,COLUMN()-1,FALSE)="","",VLOOKUP($B69,'VoC Efficiency'!$B$27:$Q$70,COLUMN()-1,FALSE))</f>
        <v>-1.0257997493079429E-2</v>
      </c>
      <c r="I69" s="65">
        <f>IF(VLOOKUP($B69,'VoC Efficiency'!$B$27:$Q$70,COLUMN()-1,FALSE)="","",VLOOKUP($B69,'VoC Efficiency'!$B$27:$Q$70,COLUMN()-1,FALSE))</f>
        <v>6.6613381477509392E-14</v>
      </c>
      <c r="J69" s="672">
        <f>IF(VLOOKUP($B69,'VoC Efficiency'!$B$27:$Q$70,COLUMN()-1,FALSE)="","",VLOOKUP($B69,'VoC Efficiency'!$B$27:$Q$70,COLUMN()-1,FALSE))</f>
        <v>0</v>
      </c>
      <c r="K69" s="76">
        <f>IF(VLOOKUP($B69,'VoC Efficiency'!$B$27:$Q$70,COLUMN()-1,FALSE)="","",VLOOKUP($B69,'VoC Efficiency'!$B$27:$Q$70,COLUMN()-1,FALSE))</f>
        <v>0</v>
      </c>
      <c r="L69" s="672">
        <f>IF(VLOOKUP($B69,'VoC Efficiency'!$B$27:$Q$70,COLUMN()-1,FALSE)="","",VLOOKUP($B69,'VoC Efficiency'!$B$27:$Q$70,COLUMN()-1,FALSE))</f>
        <v>0</v>
      </c>
      <c r="M69" s="76">
        <f>IF(VLOOKUP($B69,'VoC Efficiency'!$B$27:$Q$70,COLUMN()-1,FALSE)="","",VLOOKUP($B69,'VoC Efficiency'!$B$27:$Q$70,COLUMN()-1,FALSE))</f>
        <v>0</v>
      </c>
      <c r="N69" s="65">
        <f>IF(VLOOKUP($B69,'VoC Efficiency'!$B$27:$Q$70,COLUMN()-1,FALSE)="","",VLOOKUP($B69,'VoC Efficiency'!$B$27:$Q$70,COLUMN()-1,FALSE))</f>
        <v>0</v>
      </c>
      <c r="O69" s="76">
        <f>IF(VLOOKUP($B69,'VoC Efficiency'!$B$27:$Q$70,COLUMN()-1,FALSE)="","",VLOOKUP($B69,'VoC Efficiency'!$B$27:$Q$70,COLUMN()-1,FALSE))</f>
        <v>0</v>
      </c>
      <c r="P69" s="65">
        <f>IF(VLOOKUP($B69,'VoC Efficiency'!$B$27:$Q$70,COLUMN()-1,FALSE)="","",VLOOKUP($B69,'VoC Efficiency'!$B$27:$Q$70,COLUMN()-1,FALSE))</f>
        <v>0</v>
      </c>
      <c r="Q69" s="76">
        <f>IF(VLOOKUP($B69,'VoC Efficiency'!$B$27:$Q$70,COLUMN()-1,FALSE)="","",VLOOKUP($B69,'VoC Efficiency'!$B$27:$Q$70,COLUMN()-1,FALSE))</f>
        <v>0</v>
      </c>
      <c r="R69" s="26"/>
      <c r="S69" s="673">
        <f t="shared" si="0"/>
        <v>2048</v>
      </c>
      <c r="T69" s="672">
        <f t="shared" si="3"/>
        <v>0.7197086134369125</v>
      </c>
      <c r="U69" s="65">
        <f t="shared" si="3"/>
        <v>0.80461838191298429</v>
      </c>
      <c r="V69" s="76">
        <f t="shared" si="4"/>
        <v>0.81707783915995702</v>
      </c>
      <c r="W69" s="672">
        <f t="shared" si="16"/>
        <v>0.67668947393636025</v>
      </c>
      <c r="X69" s="65">
        <f t="shared" si="17"/>
        <v>0.85846708839018815</v>
      </c>
      <c r="Y69" s="76">
        <f t="shared" si="18"/>
        <v>0.86661144787563371</v>
      </c>
      <c r="Z69" s="672">
        <f t="shared" si="6"/>
        <v>1</v>
      </c>
      <c r="AA69" s="76">
        <f t="shared" si="7"/>
        <v>1</v>
      </c>
      <c r="AB69" s="672">
        <f t="shared" si="13"/>
        <v>1</v>
      </c>
      <c r="AC69" s="76">
        <f t="shared" si="8"/>
        <v>1</v>
      </c>
      <c r="AD69" s="65">
        <f t="shared" si="9"/>
        <v>1</v>
      </c>
      <c r="AE69" s="76">
        <f t="shared" si="10"/>
        <v>1</v>
      </c>
      <c r="AF69" s="65">
        <f t="shared" si="11"/>
        <v>1.006892406578946</v>
      </c>
      <c r="AG69" s="76">
        <f t="shared" si="12"/>
        <v>1</v>
      </c>
      <c r="AH69" s="82"/>
      <c r="AI69" s="82"/>
      <c r="AM69" s="26"/>
      <c r="AN69" s="26"/>
      <c r="AO69" s="26"/>
      <c r="AP69" s="26"/>
    </row>
    <row r="70" spans="1:42" ht="13.5" customHeight="1">
      <c r="A70" s="113"/>
      <c r="B70" s="452" t="str">
        <f t="shared" si="19"/>
        <v>2048 to</v>
      </c>
      <c r="C70" s="42">
        <f t="shared" si="15"/>
        <v>2049</v>
      </c>
      <c r="D70" s="672">
        <f>IF(VLOOKUP($B70,'VoC Efficiency'!$B$27:$Q$70,COLUMN()-1,FALSE)="","",VLOOKUP($B70,'VoC Efficiency'!$B$27:$Q$70,COLUMN()-1,FALSE))</f>
        <v>-0.31312213743796002</v>
      </c>
      <c r="E70" s="65">
        <f>IF(VLOOKUP($B70,'VoC Efficiency'!$B$27:$Q$70,COLUMN()-1,FALSE)="","",VLOOKUP($B70,'VoC Efficiency'!$B$27:$Q$70,COLUMN()-1,FALSE))</f>
        <v>-0.30676363206616486</v>
      </c>
      <c r="F70" s="76">
        <f>IF(VLOOKUP($B70,'VoC Efficiency'!$B$27:$Q$70,COLUMN()-1,FALSE)="","",VLOOKUP($B70,'VoC Efficiency'!$B$27:$Q$70,COLUMN()-1,FALSE))</f>
        <v>-8.7728034006373523E-2</v>
      </c>
      <c r="G70" s="65">
        <f>IF(VLOOKUP($B70,'VoC Efficiency'!$B$27:$Q$70,COLUMN()-1,FALSE)="","",VLOOKUP($B70,'VoC Efficiency'!$B$27:$Q$70,COLUMN()-1,FALSE))</f>
        <v>-1.5364251785665584E-2</v>
      </c>
      <c r="H70" s="65">
        <f>IF(VLOOKUP($B70,'VoC Efficiency'!$B$27:$Q$70,COLUMN()-1,FALSE)="","",VLOOKUP($B70,'VoC Efficiency'!$B$27:$Q$70,COLUMN()-1,FALSE))</f>
        <v>-9.7452059867109142E-3</v>
      </c>
      <c r="I70" s="65">
        <f>IF(VLOOKUP($B70,'VoC Efficiency'!$B$27:$Q$70,COLUMN()-1,FALSE)="","",VLOOKUP($B70,'VoC Efficiency'!$B$27:$Q$70,COLUMN()-1,FALSE))</f>
        <v>-6.6613381477509392E-14</v>
      </c>
      <c r="J70" s="672">
        <f>IF(VLOOKUP($B70,'VoC Efficiency'!$B$27:$Q$70,COLUMN()-1,FALSE)="","",VLOOKUP($B70,'VoC Efficiency'!$B$27:$Q$70,COLUMN()-1,FALSE))</f>
        <v>0</v>
      </c>
      <c r="K70" s="76">
        <f>IF(VLOOKUP($B70,'VoC Efficiency'!$B$27:$Q$70,COLUMN()-1,FALSE)="","",VLOOKUP($B70,'VoC Efficiency'!$B$27:$Q$70,COLUMN()-1,FALSE))</f>
        <v>0</v>
      </c>
      <c r="L70" s="672">
        <f>IF(VLOOKUP($B70,'VoC Efficiency'!$B$27:$Q$70,COLUMN()-1,FALSE)="","",VLOOKUP($B70,'VoC Efficiency'!$B$27:$Q$70,COLUMN()-1,FALSE))</f>
        <v>0</v>
      </c>
      <c r="M70" s="76">
        <f>IF(VLOOKUP($B70,'VoC Efficiency'!$B$27:$Q$70,COLUMN()-1,FALSE)="","",VLOOKUP($B70,'VoC Efficiency'!$B$27:$Q$70,COLUMN()-1,FALSE))</f>
        <v>0</v>
      </c>
      <c r="N70" s="65">
        <f>IF(VLOOKUP($B70,'VoC Efficiency'!$B$27:$Q$70,COLUMN()-1,FALSE)="","",VLOOKUP($B70,'VoC Efficiency'!$B$27:$Q$70,COLUMN()-1,FALSE))</f>
        <v>0</v>
      </c>
      <c r="O70" s="76">
        <f>IF(VLOOKUP($B70,'VoC Efficiency'!$B$27:$Q$70,COLUMN()-1,FALSE)="","",VLOOKUP($B70,'VoC Efficiency'!$B$27:$Q$70,COLUMN()-1,FALSE))</f>
        <v>0</v>
      </c>
      <c r="P70" s="65">
        <f>IF(VLOOKUP($B70,'VoC Efficiency'!$B$27:$Q$70,COLUMN()-1,FALSE)="","",VLOOKUP($B70,'VoC Efficiency'!$B$27:$Q$70,COLUMN()-1,FALSE))</f>
        <v>0</v>
      </c>
      <c r="Q70" s="76">
        <f>IF(VLOOKUP($B70,'VoC Efficiency'!$B$27:$Q$70,COLUMN()-1,FALSE)="","",VLOOKUP($B70,'VoC Efficiency'!$B$27:$Q$70,COLUMN()-1,FALSE))</f>
        <v>0</v>
      </c>
      <c r="R70" s="26"/>
      <c r="S70" s="673">
        <f t="shared" si="0"/>
        <v>2049</v>
      </c>
      <c r="T70" s="672">
        <f>IF($S70&lt;$C$14,T71/(1+D71/100),IF($S70=$C$14,1,T69*(1+D70/100)))</f>
        <v>0.71745504644319369</v>
      </c>
      <c r="U70" s="65">
        <f>IF($S70&lt;$C$14,U71/(1+E71/100),IF($S70=$C$14,1,U69*(1+E70/100)))</f>
        <v>0.80215010534035602</v>
      </c>
      <c r="V70" s="76">
        <f t="shared" si="4"/>
        <v>0.81636103283536021</v>
      </c>
      <c r="W70" s="672">
        <f t="shared" si="16"/>
        <v>0.67658550566177755</v>
      </c>
      <c r="X70" s="65">
        <f t="shared" si="17"/>
        <v>0.85838342900409637</v>
      </c>
      <c r="Y70" s="76">
        <f t="shared" si="18"/>
        <v>0.86661144787563316</v>
      </c>
      <c r="Z70" s="672">
        <f t="shared" si="6"/>
        <v>1</v>
      </c>
      <c r="AA70" s="76">
        <f t="shared" si="7"/>
        <v>1</v>
      </c>
      <c r="AB70" s="672">
        <f t="shared" si="13"/>
        <v>1</v>
      </c>
      <c r="AC70" s="76">
        <f t="shared" si="8"/>
        <v>1</v>
      </c>
      <c r="AD70" s="65">
        <f t="shared" si="9"/>
        <v>1</v>
      </c>
      <c r="AE70" s="76">
        <f t="shared" si="10"/>
        <v>1</v>
      </c>
      <c r="AF70" s="65">
        <f t="shared" si="11"/>
        <v>1.006892406578946</v>
      </c>
      <c r="AG70" s="76">
        <f t="shared" si="12"/>
        <v>1</v>
      </c>
      <c r="AH70" s="82"/>
      <c r="AI70" s="82"/>
      <c r="AM70" s="26"/>
      <c r="AN70" s="26"/>
      <c r="AO70" s="26"/>
      <c r="AP70" s="26"/>
    </row>
    <row r="71" spans="1:42" ht="13.5" customHeight="1" thickBot="1">
      <c r="A71" s="381"/>
      <c r="B71" s="453" t="str">
        <f t="shared" si="19"/>
        <v>2049 to</v>
      </c>
      <c r="C71" s="94">
        <f t="shared" si="15"/>
        <v>2050</v>
      </c>
      <c r="D71" s="2552">
        <f>IF(VLOOKUP($B71,'VoC Efficiency'!$B$27:$Q$70,COLUMN()-1,FALSE)="","",VLOOKUP($B71,'VoC Efficiency'!$B$27:$Q$70,COLUMN()-1,FALSE))</f>
        <v>0.14179190982530621</v>
      </c>
      <c r="E71" s="1616">
        <f>IF(VLOOKUP($B71,'VoC Efficiency'!$B$27:$Q$70,COLUMN()-1,FALSE)="","",VLOOKUP($B71,'VoC Efficiency'!$B$27:$Q$70,COLUMN()-1,FALSE))</f>
        <v>-0.30395178469057038</v>
      </c>
      <c r="F71" s="77">
        <f>IF(VLOOKUP($B71,'VoC Efficiency'!$B$27:$Q$70,COLUMN()-1,FALSE)="","",VLOOKUP($B71,'VoC Efficiency'!$B$27:$Q$70,COLUMN()-1,FALSE))</f>
        <v>-7.8652514256005723E-2</v>
      </c>
      <c r="G71" s="1616">
        <f>IF(VLOOKUP($B71,'VoC Efficiency'!$B$27:$Q$70,COLUMN()-1,FALSE)="","",VLOOKUP($B71,'VoC Efficiency'!$B$27:$Q$70,COLUMN()-1,FALSE))</f>
        <v>-1.9442429833116393E-2</v>
      </c>
      <c r="H71" s="1616">
        <f>IF(VLOOKUP($B71,'VoC Efficiency'!$B$27:$Q$70,COLUMN()-1,FALSE)="","",VLOOKUP($B71,'VoC Efficiency'!$B$27:$Q$70,COLUMN()-1,FALSE))</f>
        <v>-9.0986954070282344E-3</v>
      </c>
      <c r="I71" s="1616">
        <f>IF(VLOOKUP($B71,'VoC Efficiency'!$B$27:$Q$70,COLUMN()-1,FALSE)="","",VLOOKUP($B71,'VoC Efficiency'!$B$27:$Q$70,COLUMN()-1,FALSE))</f>
        <v>0</v>
      </c>
      <c r="J71" s="2552">
        <f>IF(VLOOKUP($B71,'VoC Efficiency'!$B$27:$Q$70,COLUMN()-1,FALSE)="","",VLOOKUP($B71,'VoC Efficiency'!$B$27:$Q$70,COLUMN()-1,FALSE))</f>
        <v>0</v>
      </c>
      <c r="K71" s="77">
        <f>IF(VLOOKUP($B71,'VoC Efficiency'!$B$27:$Q$70,COLUMN()-1,FALSE)="","",VLOOKUP($B71,'VoC Efficiency'!$B$27:$Q$70,COLUMN()-1,FALSE))</f>
        <v>0</v>
      </c>
      <c r="L71" s="2552">
        <f>IF(VLOOKUP($B71,'VoC Efficiency'!$B$27:$Q$70,COLUMN()-1,FALSE)="","",VLOOKUP($B71,'VoC Efficiency'!$B$27:$Q$70,COLUMN()-1,FALSE))</f>
        <v>0</v>
      </c>
      <c r="M71" s="77">
        <f>IF(VLOOKUP($B71,'VoC Efficiency'!$B$27:$Q$70,COLUMN()-1,FALSE)="","",VLOOKUP($B71,'VoC Efficiency'!$B$27:$Q$70,COLUMN()-1,FALSE))</f>
        <v>0</v>
      </c>
      <c r="N71" s="1616">
        <f>IF(VLOOKUP($B71,'VoC Efficiency'!$B$27:$Q$70,COLUMN()-1,FALSE)="","",VLOOKUP($B71,'VoC Efficiency'!$B$27:$Q$70,COLUMN()-1,FALSE))</f>
        <v>0</v>
      </c>
      <c r="O71" s="77">
        <f>IF(VLOOKUP($B71,'VoC Efficiency'!$B$27:$Q$70,COLUMN()-1,FALSE)="","",VLOOKUP($B71,'VoC Efficiency'!$B$27:$Q$70,COLUMN()-1,FALSE))</f>
        <v>0</v>
      </c>
      <c r="P71" s="1616">
        <f>IF(VLOOKUP($B71,'VoC Efficiency'!$B$27:$Q$70,COLUMN()-1,FALSE)="","",VLOOKUP($B71,'VoC Efficiency'!$B$27:$Q$70,COLUMN()-1,FALSE))</f>
        <v>0</v>
      </c>
      <c r="Q71" s="77">
        <f>IF(VLOOKUP($B71,'VoC Efficiency'!$B$27:$Q$70,COLUMN()-1,FALSE)="","",VLOOKUP($B71,'VoC Efficiency'!$B$27:$Q$70,COLUMN()-1,FALSE))</f>
        <v>0</v>
      </c>
      <c r="R71" s="13"/>
      <c r="S71" s="3178">
        <f t="shared" si="0"/>
        <v>2050</v>
      </c>
      <c r="T71" s="2552">
        <f>IF($S71&lt;$C$14,T72/(1+D72/100),IF($S71=$C$14,1,T70*(1+D71/100)))</f>
        <v>0.71847233965568358</v>
      </c>
      <c r="U71" s="1616">
        <f>IF($S71&lt;$C$14,U72/(1+E72/100),IF($S71=$C$14,1,U70*(1+E71/100)))</f>
        <v>0.79971195577927667</v>
      </c>
      <c r="V71" s="77">
        <f t="shared" si="4"/>
        <v>0.81571894435762893</v>
      </c>
      <c r="W71" s="2552">
        <f t="shared" si="16"/>
        <v>0.67645396099957822</v>
      </c>
      <c r="X71" s="1616">
        <f t="shared" si="17"/>
        <v>0.85830532731046683</v>
      </c>
      <c r="Y71" s="77">
        <f t="shared" si="18"/>
        <v>0.86661144787563316</v>
      </c>
      <c r="Z71" s="2552">
        <f t="shared" si="6"/>
        <v>1</v>
      </c>
      <c r="AA71" s="77">
        <f t="shared" si="7"/>
        <v>1</v>
      </c>
      <c r="AB71" s="2552">
        <f t="shared" si="13"/>
        <v>1</v>
      </c>
      <c r="AC71" s="77">
        <f t="shared" si="8"/>
        <v>1</v>
      </c>
      <c r="AD71" s="1616">
        <f t="shared" si="9"/>
        <v>1</v>
      </c>
      <c r="AE71" s="77">
        <f t="shared" si="10"/>
        <v>1</v>
      </c>
      <c r="AF71" s="1616">
        <f t="shared" si="11"/>
        <v>1.006892406578946</v>
      </c>
      <c r="AG71" s="77">
        <f t="shared" si="12"/>
        <v>1</v>
      </c>
      <c r="AH71" s="82"/>
      <c r="AI71" s="82"/>
      <c r="AM71" s="26"/>
      <c r="AN71" s="26"/>
      <c r="AO71" s="26"/>
      <c r="AP71" s="26"/>
    </row>
    <row r="72" spans="1:42" ht="13.5" customHeight="1" thickTop="1">
      <c r="A72" s="26"/>
      <c r="B72" s="14"/>
      <c r="C72" s="82"/>
      <c r="D72" s="51"/>
      <c r="E72" s="51"/>
      <c r="F72" s="51"/>
      <c r="G72" s="51"/>
      <c r="H72" s="51"/>
      <c r="I72" s="65"/>
      <c r="J72" s="51"/>
      <c r="K72" s="65"/>
      <c r="L72" s="51"/>
      <c r="M72" s="65"/>
      <c r="N72" s="51"/>
      <c r="O72" s="51"/>
      <c r="P72" s="51"/>
      <c r="Q72" s="51"/>
      <c r="R72" s="26"/>
      <c r="S72" s="82"/>
      <c r="T72" s="674"/>
      <c r="U72" s="674"/>
      <c r="V72" s="674"/>
      <c r="W72" s="674"/>
      <c r="X72" s="674"/>
      <c r="Y72" s="674"/>
      <c r="Z72" s="674"/>
      <c r="AA72" s="674"/>
      <c r="AB72" s="674"/>
      <c r="AC72" s="674"/>
      <c r="AD72" s="674"/>
      <c r="AE72" s="674"/>
      <c r="AF72" s="674"/>
      <c r="AG72" s="674"/>
      <c r="AH72" s="82"/>
      <c r="AI72" s="82"/>
      <c r="AM72" s="26"/>
      <c r="AN72" s="26"/>
      <c r="AO72" s="26"/>
      <c r="AP72" s="26"/>
    </row>
    <row r="73" spans="1:42" ht="13.5" customHeight="1">
      <c r="A73" s="26"/>
      <c r="B73" s="14"/>
      <c r="C73" s="82"/>
      <c r="D73" s="51"/>
      <c r="E73" s="51"/>
      <c r="F73" s="51"/>
      <c r="G73" s="51"/>
      <c r="H73" s="51"/>
      <c r="I73" s="65"/>
      <c r="J73" s="51"/>
      <c r="K73" s="65"/>
      <c r="L73" s="51"/>
      <c r="M73" s="65"/>
      <c r="N73" s="51"/>
      <c r="O73" s="51"/>
      <c r="P73" s="51"/>
      <c r="Q73" s="51"/>
      <c r="R73" s="26"/>
      <c r="S73" s="82"/>
      <c r="T73" s="674"/>
      <c r="U73" s="674"/>
      <c r="V73" s="674"/>
      <c r="W73" s="674"/>
      <c r="X73" s="674"/>
      <c r="Y73" s="674"/>
      <c r="Z73" s="674"/>
      <c r="AA73" s="674"/>
      <c r="AB73" s="674"/>
      <c r="AC73" s="674"/>
      <c r="AD73" s="674"/>
      <c r="AE73" s="674"/>
      <c r="AF73" s="674"/>
      <c r="AG73" s="674"/>
      <c r="AH73" s="82"/>
      <c r="AI73" s="82"/>
      <c r="AM73" s="26"/>
      <c r="AN73" s="26"/>
      <c r="AO73" s="26"/>
      <c r="AP73" s="26"/>
    </row>
    <row r="74" spans="1:42" ht="13.5" customHeight="1">
      <c r="A74" s="26"/>
      <c r="B74" s="14"/>
      <c r="C74" s="82"/>
      <c r="D74" s="51"/>
      <c r="E74" s="51"/>
      <c r="F74" s="51"/>
      <c r="G74" s="51"/>
      <c r="H74" s="51"/>
      <c r="I74" s="65"/>
      <c r="J74" s="51"/>
      <c r="K74" s="65"/>
      <c r="L74" s="51"/>
      <c r="M74" s="65"/>
      <c r="N74" s="51"/>
      <c r="O74" s="51"/>
      <c r="P74" s="51"/>
      <c r="Q74" s="51"/>
      <c r="R74" s="26"/>
      <c r="S74" s="82"/>
      <c r="T74" s="674"/>
      <c r="U74" s="674"/>
      <c r="V74" s="674"/>
      <c r="W74" s="674"/>
      <c r="X74" s="674"/>
      <c r="Y74" s="674"/>
      <c r="Z74" s="674"/>
      <c r="AA74" s="674"/>
      <c r="AB74" s="674"/>
      <c r="AC74" s="674"/>
      <c r="AD74" s="674"/>
      <c r="AE74" s="674"/>
      <c r="AF74" s="674"/>
      <c r="AG74" s="674"/>
      <c r="AH74" s="82"/>
      <c r="AI74" s="82"/>
      <c r="AM74" s="26"/>
      <c r="AN74" s="26"/>
      <c r="AO74" s="26"/>
      <c r="AP74" s="26"/>
    </row>
    <row r="75" spans="1:42" ht="13.8" thickBot="1">
      <c r="C75" s="82"/>
      <c r="D75" s="14"/>
      <c r="E75" s="14"/>
      <c r="F75" s="14"/>
      <c r="G75" s="14"/>
      <c r="H75" s="14"/>
      <c r="I75" s="14"/>
      <c r="J75" s="14"/>
      <c r="K75" s="14"/>
      <c r="O75" s="26"/>
      <c r="P75" s="26"/>
      <c r="Q75" s="26"/>
      <c r="R75" s="26"/>
      <c r="S75" s="26"/>
      <c r="T75" s="26"/>
      <c r="U75" s="26"/>
      <c r="V75" s="26"/>
      <c r="W75" s="26"/>
      <c r="AF75" s="38"/>
      <c r="AG75" s="38"/>
      <c r="AM75" s="26"/>
      <c r="AN75" s="26"/>
    </row>
    <row r="76" spans="1:42" ht="13.5" customHeight="1" thickBot="1">
      <c r="C76" s="31"/>
      <c r="D76" s="2414" t="s">
        <v>1489</v>
      </c>
      <c r="E76" s="14"/>
      <c r="F76" s="14"/>
      <c r="G76" s="14"/>
      <c r="H76" s="14"/>
      <c r="I76" s="14"/>
      <c r="J76" s="14"/>
      <c r="K76" s="14"/>
      <c r="O76" s="26"/>
      <c r="P76" s="26"/>
      <c r="Q76" s="26"/>
      <c r="R76" s="26"/>
      <c r="S76" s="26"/>
      <c r="T76" s="528" t="s">
        <v>1489</v>
      </c>
      <c r="U76" s="26"/>
      <c r="V76" s="26"/>
      <c r="W76" s="26"/>
      <c r="AF76" s="38"/>
      <c r="AG76" s="38"/>
      <c r="AM76" s="26"/>
      <c r="AN76" s="26"/>
    </row>
    <row r="77" spans="1:42" ht="13.5" customHeight="1">
      <c r="D77" s="14"/>
      <c r="E77" s="14"/>
      <c r="F77" s="14"/>
      <c r="G77" s="14"/>
      <c r="H77" s="14"/>
      <c r="I77" s="14"/>
      <c r="J77" s="14"/>
      <c r="K77" s="14"/>
      <c r="O77" s="26"/>
      <c r="P77" s="26"/>
      <c r="Q77" s="26"/>
      <c r="R77" s="26"/>
      <c r="S77" s="26"/>
      <c r="T77" s="26"/>
      <c r="U77" s="26"/>
    </row>
    <row r="78" spans="1:42" ht="13.5" customHeight="1">
      <c r="D78" s="14"/>
      <c r="E78" s="14"/>
      <c r="F78" s="14"/>
      <c r="G78" s="14"/>
      <c r="H78" s="14"/>
      <c r="I78" s="14"/>
      <c r="J78" s="14"/>
      <c r="K78" s="14"/>
      <c r="O78" s="26"/>
      <c r="P78" s="26"/>
      <c r="Q78" s="26"/>
      <c r="R78" s="26"/>
      <c r="S78" s="26"/>
      <c r="T78" s="26"/>
      <c r="U78" s="26"/>
    </row>
    <row r="79" spans="1:42" ht="13.5" customHeight="1">
      <c r="D79" s="14"/>
      <c r="E79" s="14"/>
      <c r="F79" s="14"/>
      <c r="G79" s="14"/>
      <c r="H79" s="14"/>
      <c r="I79" s="14"/>
      <c r="J79" s="14"/>
      <c r="K79" s="14"/>
      <c r="O79" s="26"/>
      <c r="P79" s="26"/>
      <c r="Q79" s="26"/>
      <c r="R79" s="26"/>
      <c r="S79" s="26"/>
      <c r="T79" s="26"/>
      <c r="U79" s="26"/>
    </row>
    <row r="80" spans="1:42" ht="13.5" customHeight="1">
      <c r="D80" s="14"/>
      <c r="E80" s="14"/>
      <c r="F80" s="14"/>
      <c r="G80" s="14"/>
      <c r="H80" s="14"/>
      <c r="I80" s="14"/>
      <c r="J80" s="14"/>
      <c r="K80" s="14"/>
      <c r="O80" s="26"/>
      <c r="P80" s="26"/>
      <c r="Q80" s="26"/>
      <c r="R80" s="26"/>
      <c r="S80" s="26"/>
      <c r="T80" s="26"/>
      <c r="U80" s="26"/>
    </row>
    <row r="81" spans="4:21" ht="13.5" customHeight="1">
      <c r="D81" s="14"/>
      <c r="E81" s="14"/>
      <c r="F81" s="14"/>
      <c r="G81" s="14"/>
      <c r="H81" s="14"/>
      <c r="I81" s="14"/>
      <c r="J81" s="14"/>
      <c r="K81" s="14"/>
      <c r="O81" s="26"/>
      <c r="P81" s="26"/>
      <c r="Q81" s="26"/>
      <c r="R81" s="26"/>
      <c r="S81" s="26"/>
      <c r="T81" s="26"/>
      <c r="U81" s="26"/>
    </row>
    <row r="82" spans="4:21" ht="13.5" customHeight="1">
      <c r="D82" s="14"/>
      <c r="E82" s="14"/>
      <c r="F82" s="14"/>
      <c r="G82" s="14"/>
      <c r="H82" s="14"/>
      <c r="I82" s="14"/>
      <c r="J82" s="14"/>
      <c r="K82" s="14"/>
      <c r="O82" s="26"/>
      <c r="P82" s="26"/>
      <c r="Q82" s="26"/>
      <c r="R82" s="26"/>
      <c r="S82" s="26"/>
      <c r="T82" s="26"/>
      <c r="U82" s="26"/>
    </row>
    <row r="83" spans="4:21" ht="13.5" customHeight="1">
      <c r="D83" s="14"/>
      <c r="E83" s="14"/>
      <c r="F83" s="14"/>
      <c r="G83" s="14"/>
      <c r="H83" s="14"/>
      <c r="I83" s="14"/>
      <c r="J83" s="14"/>
      <c r="K83" s="14"/>
      <c r="O83" s="26"/>
      <c r="P83" s="26"/>
      <c r="Q83" s="26"/>
      <c r="R83" s="26"/>
      <c r="S83" s="26"/>
      <c r="T83" s="26"/>
      <c r="U83" s="26"/>
    </row>
    <row r="84" spans="4:21" ht="13.5" customHeight="1">
      <c r="D84" s="14"/>
      <c r="E84" s="14"/>
      <c r="F84" s="14"/>
      <c r="G84" s="14"/>
      <c r="H84" s="14"/>
      <c r="I84" s="14"/>
      <c r="J84" s="14"/>
      <c r="K84" s="14"/>
      <c r="O84" s="26"/>
      <c r="P84" s="26"/>
      <c r="Q84" s="26"/>
      <c r="R84" s="26"/>
      <c r="S84" s="26"/>
      <c r="T84" s="26"/>
      <c r="U84" s="26"/>
    </row>
    <row r="85" spans="4:21" ht="13.5" customHeight="1">
      <c r="D85" s="14"/>
      <c r="E85" s="14"/>
      <c r="F85" s="14"/>
      <c r="G85" s="14"/>
      <c r="H85" s="14"/>
      <c r="I85" s="14"/>
      <c r="J85" s="14"/>
      <c r="K85" s="14"/>
      <c r="O85" s="26"/>
      <c r="P85" s="26"/>
      <c r="Q85" s="26"/>
      <c r="R85" s="26"/>
      <c r="S85" s="26"/>
      <c r="T85" s="26"/>
      <c r="U85" s="26"/>
    </row>
    <row r="86" spans="4:21" ht="13.5" customHeight="1">
      <c r="D86" s="14"/>
      <c r="E86" s="14"/>
      <c r="F86" s="14"/>
      <c r="G86" s="14"/>
      <c r="H86" s="14"/>
      <c r="I86" s="14"/>
      <c r="J86" s="14"/>
      <c r="K86" s="14"/>
      <c r="O86" s="26"/>
      <c r="P86" s="26"/>
      <c r="Q86" s="26"/>
      <c r="R86" s="26"/>
      <c r="S86" s="26"/>
      <c r="T86" s="26"/>
      <c r="U86" s="26"/>
    </row>
    <row r="87" spans="4:21" ht="13.5" customHeight="1">
      <c r="D87" s="14"/>
      <c r="E87" s="14"/>
      <c r="F87" s="14"/>
      <c r="G87" s="14"/>
      <c r="H87" s="14"/>
      <c r="I87" s="14"/>
      <c r="J87" s="14"/>
      <c r="K87" s="14"/>
      <c r="O87" s="26"/>
      <c r="P87" s="26"/>
      <c r="Q87" s="26"/>
      <c r="R87" s="26"/>
      <c r="S87" s="26"/>
      <c r="T87" s="26"/>
      <c r="U87" s="26"/>
    </row>
    <row r="88" spans="4:21" ht="13.5" customHeight="1">
      <c r="D88" s="14"/>
      <c r="E88" s="14"/>
      <c r="F88" s="14"/>
      <c r="G88" s="14"/>
      <c r="H88" s="14"/>
      <c r="I88" s="14"/>
      <c r="J88" s="14"/>
      <c r="K88" s="14"/>
      <c r="O88" s="26"/>
      <c r="P88" s="26"/>
      <c r="Q88" s="26"/>
      <c r="R88" s="26"/>
      <c r="S88" s="26"/>
      <c r="T88" s="26"/>
      <c r="U88" s="26"/>
    </row>
    <row r="89" spans="4:21" ht="13.5" customHeight="1">
      <c r="D89" s="14"/>
      <c r="E89" s="14"/>
      <c r="F89" s="14"/>
      <c r="G89" s="14"/>
      <c r="H89" s="14"/>
      <c r="I89" s="14"/>
      <c r="J89" s="14"/>
      <c r="K89" s="14"/>
      <c r="O89" s="26"/>
      <c r="P89" s="26"/>
      <c r="Q89" s="26"/>
      <c r="R89" s="26"/>
      <c r="S89" s="26"/>
      <c r="T89" s="26"/>
      <c r="U89" s="26"/>
    </row>
    <row r="90" spans="4:21" ht="13.5" customHeight="1">
      <c r="D90" s="14"/>
      <c r="E90" s="14"/>
      <c r="F90" s="14"/>
      <c r="G90" s="14"/>
      <c r="H90" s="14"/>
      <c r="I90" s="14"/>
      <c r="J90" s="14"/>
      <c r="K90" s="14"/>
      <c r="O90" s="26"/>
      <c r="P90" s="26"/>
      <c r="Q90" s="26"/>
      <c r="R90" s="26"/>
      <c r="S90" s="26"/>
      <c r="T90" s="26"/>
      <c r="U90" s="26"/>
    </row>
    <row r="91" spans="4:21" ht="13.5" customHeight="1">
      <c r="D91" s="14"/>
      <c r="E91" s="14"/>
      <c r="F91" s="14"/>
      <c r="G91" s="14"/>
      <c r="H91" s="14"/>
      <c r="I91" s="14"/>
      <c r="J91" s="14"/>
      <c r="K91" s="14"/>
      <c r="O91" s="26"/>
      <c r="P91" s="26"/>
      <c r="Q91" s="26"/>
      <c r="R91" s="26"/>
      <c r="S91" s="26"/>
      <c r="T91" s="26"/>
      <c r="U91" s="26"/>
    </row>
    <row r="92" spans="4:21" ht="13.5" customHeight="1">
      <c r="D92" s="14"/>
      <c r="E92" s="14"/>
      <c r="F92" s="14"/>
      <c r="G92" s="14"/>
      <c r="H92" s="14"/>
      <c r="I92" s="14"/>
      <c r="J92" s="14"/>
      <c r="K92" s="14"/>
      <c r="O92" s="26"/>
      <c r="P92" s="26"/>
      <c r="Q92" s="26"/>
      <c r="R92" s="26"/>
      <c r="S92" s="26"/>
      <c r="T92" s="26"/>
      <c r="U92" s="26"/>
    </row>
    <row r="93" spans="4:21" ht="13.5" customHeight="1">
      <c r="D93" s="14"/>
      <c r="E93" s="14"/>
      <c r="F93" s="14"/>
      <c r="G93" s="14"/>
      <c r="H93" s="14"/>
      <c r="I93" s="14"/>
      <c r="J93" s="14"/>
      <c r="K93" s="14"/>
      <c r="O93" s="26"/>
      <c r="P93" s="26"/>
      <c r="Q93" s="26"/>
      <c r="R93" s="26"/>
      <c r="S93" s="26"/>
      <c r="T93" s="26"/>
      <c r="U93" s="26"/>
    </row>
    <row r="94" spans="4:21" ht="13.5" customHeight="1">
      <c r="D94" s="14"/>
      <c r="E94" s="14"/>
      <c r="F94" s="14"/>
      <c r="G94" s="14"/>
      <c r="H94" s="14"/>
      <c r="I94" s="14"/>
      <c r="J94" s="14"/>
      <c r="K94" s="14"/>
      <c r="O94" s="26"/>
      <c r="P94" s="26"/>
      <c r="Q94" s="26"/>
      <c r="R94" s="26"/>
      <c r="S94" s="26"/>
      <c r="T94" s="26"/>
      <c r="U94" s="26"/>
    </row>
    <row r="95" spans="4:21" ht="13.5" customHeight="1">
      <c r="D95" s="14"/>
      <c r="E95" s="14"/>
      <c r="F95" s="14"/>
      <c r="G95" s="14"/>
      <c r="H95" s="14"/>
      <c r="I95" s="14"/>
      <c r="J95" s="14"/>
      <c r="K95" s="14"/>
      <c r="O95" s="26"/>
      <c r="P95" s="26"/>
      <c r="Q95" s="26"/>
      <c r="R95" s="26"/>
      <c r="S95" s="26"/>
      <c r="T95" s="26"/>
      <c r="U95" s="26"/>
    </row>
    <row r="96" spans="4:21" ht="13.5" customHeight="1">
      <c r="D96" s="14"/>
      <c r="E96" s="14"/>
      <c r="F96" s="14"/>
      <c r="G96" s="14"/>
      <c r="H96" s="14"/>
      <c r="I96" s="14"/>
      <c r="J96" s="14"/>
      <c r="K96" s="14"/>
      <c r="O96" s="26"/>
      <c r="P96" s="26"/>
      <c r="Q96" s="26"/>
      <c r="R96" s="26"/>
      <c r="S96" s="26"/>
      <c r="T96" s="26"/>
      <c r="U96" s="26"/>
    </row>
    <row r="97" spans="4:21" ht="13.5" customHeight="1">
      <c r="D97" s="14"/>
      <c r="E97" s="14"/>
      <c r="F97" s="14"/>
      <c r="G97" s="14"/>
      <c r="H97" s="14"/>
      <c r="I97" s="14"/>
      <c r="J97" s="14"/>
      <c r="K97" s="14"/>
      <c r="O97" s="26"/>
      <c r="P97" s="26"/>
      <c r="Q97" s="26"/>
      <c r="R97" s="26"/>
      <c r="S97" s="26"/>
      <c r="T97" s="26"/>
      <c r="U97" s="26"/>
    </row>
    <row r="98" spans="4:21" ht="13.5" customHeight="1">
      <c r="D98" s="14"/>
      <c r="E98" s="14"/>
      <c r="F98" s="14"/>
      <c r="G98" s="14"/>
      <c r="H98" s="14"/>
      <c r="I98" s="14"/>
      <c r="J98" s="14"/>
      <c r="K98" s="14"/>
      <c r="O98" s="26"/>
      <c r="P98" s="26"/>
      <c r="Q98" s="26"/>
      <c r="R98" s="26"/>
      <c r="S98" s="26"/>
      <c r="T98" s="26"/>
      <c r="U98" s="26"/>
    </row>
    <row r="99" spans="4:21" ht="13.5" customHeight="1">
      <c r="O99" s="26"/>
      <c r="P99" s="26"/>
      <c r="Q99" s="26"/>
      <c r="R99" s="26"/>
      <c r="S99" s="26"/>
      <c r="T99" s="26"/>
      <c r="U99" s="26"/>
    </row>
    <row r="100" spans="4:21" ht="13.5" customHeight="1">
      <c r="O100" s="26"/>
      <c r="P100" s="26"/>
      <c r="Q100" s="26"/>
      <c r="R100" s="26"/>
      <c r="S100" s="26"/>
      <c r="T100" s="26"/>
      <c r="U100" s="26"/>
    </row>
    <row r="101" spans="4:21" ht="13.5" customHeight="1">
      <c r="O101" s="26"/>
      <c r="P101" s="26"/>
      <c r="Q101" s="26"/>
      <c r="R101" s="26"/>
      <c r="S101" s="26"/>
      <c r="T101" s="26"/>
      <c r="U101" s="26"/>
    </row>
    <row r="102" spans="4:21" ht="13.5" customHeight="1">
      <c r="O102" s="26"/>
      <c r="P102" s="26"/>
      <c r="Q102" s="26"/>
      <c r="R102" s="26"/>
      <c r="S102" s="26"/>
      <c r="T102" s="26"/>
      <c r="U102" s="26"/>
    </row>
    <row r="103" spans="4:21" ht="13.5" customHeight="1">
      <c r="O103" s="26"/>
      <c r="P103" s="26"/>
      <c r="Q103" s="26"/>
      <c r="R103" s="26"/>
      <c r="S103" s="26"/>
      <c r="T103" s="26"/>
      <c r="U103" s="26"/>
    </row>
    <row r="104" spans="4:21" ht="13.5" customHeight="1">
      <c r="O104" s="26"/>
      <c r="P104" s="26"/>
      <c r="Q104" s="26"/>
      <c r="R104" s="26"/>
      <c r="S104" s="26"/>
      <c r="T104" s="26"/>
      <c r="U104" s="26"/>
    </row>
    <row r="105" spans="4:21" ht="13.5" customHeight="1">
      <c r="O105" s="26"/>
      <c r="P105" s="26"/>
      <c r="Q105" s="26"/>
      <c r="R105" s="26"/>
      <c r="S105" s="26"/>
      <c r="T105" s="26"/>
      <c r="U105" s="26"/>
    </row>
    <row r="106" spans="4:21" ht="13.5" customHeight="1">
      <c r="O106" s="26"/>
      <c r="P106" s="26"/>
      <c r="Q106" s="26"/>
      <c r="R106" s="26"/>
      <c r="S106" s="26"/>
      <c r="T106" s="26"/>
      <c r="U106" s="26"/>
    </row>
    <row r="107" spans="4:21" ht="13.5" customHeight="1">
      <c r="O107" s="26"/>
      <c r="P107" s="26"/>
      <c r="Q107" s="26"/>
      <c r="R107" s="26"/>
      <c r="S107" s="26"/>
      <c r="T107" s="26"/>
      <c r="U107" s="26"/>
    </row>
    <row r="108" spans="4:21" ht="13.5" customHeight="1">
      <c r="O108" s="26"/>
      <c r="P108" s="26"/>
      <c r="Q108" s="26"/>
      <c r="R108" s="26"/>
      <c r="S108" s="26"/>
      <c r="T108" s="26"/>
      <c r="U108" s="26"/>
    </row>
    <row r="109" spans="4:21" ht="13.5" customHeight="1">
      <c r="O109" s="26"/>
      <c r="P109" s="26"/>
      <c r="Q109" s="26"/>
      <c r="R109" s="26"/>
      <c r="S109" s="26"/>
      <c r="T109" s="26"/>
      <c r="U109" s="26"/>
    </row>
    <row r="110" spans="4:21" ht="13.5" customHeight="1">
      <c r="O110" s="26"/>
      <c r="P110" s="26"/>
      <c r="Q110" s="26"/>
      <c r="R110" s="26"/>
      <c r="S110" s="26"/>
      <c r="T110" s="26"/>
      <c r="U110" s="26"/>
    </row>
    <row r="111" spans="4:21" ht="13.5" customHeight="1">
      <c r="O111" s="26"/>
      <c r="P111" s="26"/>
      <c r="Q111" s="26"/>
      <c r="R111" s="26"/>
      <c r="S111" s="26"/>
      <c r="T111" s="26"/>
      <c r="U111" s="26"/>
    </row>
    <row r="112" spans="4:21" ht="13.5" customHeight="1">
      <c r="O112" s="26"/>
      <c r="P112" s="26"/>
      <c r="Q112" s="26"/>
      <c r="R112" s="26"/>
      <c r="S112" s="26"/>
      <c r="T112" s="26"/>
      <c r="U112" s="26"/>
    </row>
    <row r="113" spans="15:21" ht="13.5" customHeight="1">
      <c r="O113" s="26"/>
      <c r="P113" s="26"/>
      <c r="Q113" s="26"/>
      <c r="R113" s="26"/>
      <c r="S113" s="26"/>
      <c r="T113" s="26"/>
      <c r="U113" s="26"/>
    </row>
    <row r="114" spans="15:21" ht="13.5" customHeight="1">
      <c r="O114" s="26"/>
      <c r="P114" s="26"/>
      <c r="Q114" s="26"/>
      <c r="R114" s="26"/>
      <c r="S114" s="26"/>
      <c r="T114" s="26"/>
      <c r="U114" s="26"/>
    </row>
    <row r="115" spans="15:21" ht="13.5" customHeight="1">
      <c r="O115" s="26"/>
      <c r="P115" s="26"/>
      <c r="Q115" s="26"/>
      <c r="R115" s="26"/>
      <c r="S115" s="26"/>
      <c r="T115" s="26"/>
      <c r="U115" s="26"/>
    </row>
    <row r="116" spans="15:21" ht="13.5" customHeight="1">
      <c r="O116" s="26"/>
      <c r="P116" s="26"/>
      <c r="Q116" s="26"/>
      <c r="R116" s="26"/>
      <c r="S116" s="26"/>
      <c r="T116" s="26"/>
      <c r="U116" s="26"/>
    </row>
    <row r="117" spans="15:21" ht="13.5" customHeight="1">
      <c r="O117" s="26"/>
      <c r="P117" s="26"/>
      <c r="Q117" s="26"/>
      <c r="R117" s="26"/>
      <c r="S117" s="26"/>
      <c r="T117" s="26"/>
      <c r="U117" s="26"/>
    </row>
    <row r="118" spans="15:21" ht="13.5" customHeight="1">
      <c r="O118" s="26"/>
      <c r="P118" s="26"/>
      <c r="Q118" s="26"/>
      <c r="R118" s="26"/>
      <c r="S118" s="26"/>
      <c r="T118" s="26"/>
      <c r="U118" s="26"/>
    </row>
    <row r="119" spans="15:21" ht="13.5" customHeight="1">
      <c r="O119" s="26"/>
      <c r="P119" s="26"/>
      <c r="Q119" s="26"/>
      <c r="R119" s="26"/>
      <c r="S119" s="26"/>
      <c r="T119" s="26"/>
      <c r="U119" s="26"/>
    </row>
    <row r="120" spans="15:21" ht="13.5" customHeight="1">
      <c r="O120" s="26"/>
      <c r="P120" s="26"/>
      <c r="Q120" s="26"/>
      <c r="R120" s="26"/>
      <c r="S120" s="26"/>
      <c r="T120" s="26"/>
      <c r="U120" s="26"/>
    </row>
    <row r="121" spans="15:21" ht="13.5" customHeight="1">
      <c r="O121" s="26"/>
      <c r="P121" s="26"/>
      <c r="Q121" s="26"/>
      <c r="R121" s="26"/>
      <c r="S121" s="26"/>
      <c r="T121" s="26"/>
      <c r="U121" s="26"/>
    </row>
    <row r="122" spans="15:21" ht="13.5" customHeight="1">
      <c r="O122" s="26"/>
      <c r="P122" s="26"/>
      <c r="Q122" s="26"/>
      <c r="R122" s="26"/>
      <c r="S122" s="26"/>
      <c r="T122" s="26"/>
      <c r="U122" s="26"/>
    </row>
  </sheetData>
  <sheetProtection sheet="1" objects="1" scenarios="1"/>
  <mergeCells count="10">
    <mergeCell ref="D1:O1"/>
    <mergeCell ref="Q1:AC1"/>
    <mergeCell ref="A19:B19"/>
    <mergeCell ref="E6:S6"/>
    <mergeCell ref="A7:B7"/>
    <mergeCell ref="A8:B8"/>
    <mergeCell ref="A10:B10"/>
    <mergeCell ref="A11:B11"/>
    <mergeCell ref="A12:B12"/>
    <mergeCell ref="A18:B18"/>
  </mergeCells>
  <phoneticPr fontId="8" type="noConversion"/>
  <hyperlinks>
    <hyperlink ref="D76" location="A1.3.10!D28" tooltip="Top of this page" display="Top"/>
    <hyperlink ref="T76" location="A1.3.10!AC28" tooltip="Top of this table" display="Top"/>
    <hyperlink ref="A18" location="A1.2.2!BP1" display="Notes"/>
    <hyperlink ref="A18:B18" location="A1.3.10!D1" tooltip="Yearly fuel efficiency  improvements" display="Per annum"/>
    <hyperlink ref="A19" location="A1.2.2!BP1" display="Notes"/>
    <hyperlink ref="A19:B19" location="A1.3.10!Q1" tooltip="Cumulative efficiency improvements" display="Cumulative"/>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8" scale="46" fitToHeight="0" orientation="landscape" r:id="rId3"/>
  <headerFooter alignWithMargins="0"/>
  <colBreaks count="1" manualBreakCount="1">
    <brk id="14" max="1048575" man="1"/>
  </colBreaks>
  <drawing r:id="rId4"/>
  <legacyDrawing r:id="rId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indexed="10"/>
  </sheetPr>
  <dimension ref="A1:AL118"/>
  <sheetViews>
    <sheetView showGridLines="0" topLeftCell="A7" zoomScale="85" zoomScaleNormal="85" workbookViewId="0">
      <selection activeCell="E23" sqref="E23:F23"/>
    </sheetView>
  </sheetViews>
  <sheetFormatPr defaultColWidth="12.88671875" defaultRowHeight="13.5" customHeight="1"/>
  <cols>
    <col min="1" max="1" width="12.88671875" style="38" customWidth="1"/>
    <col min="2" max="14" width="12.88671875" style="26" customWidth="1"/>
    <col min="15" max="31" width="12.88671875" style="38" customWidth="1"/>
    <col min="32" max="38" width="12.88671875" style="26" customWidth="1"/>
    <col min="39" max="16384" width="12.88671875" style="38"/>
  </cols>
  <sheetData>
    <row r="1" spans="1:38" ht="54.9" customHeight="1">
      <c r="A1" s="28"/>
      <c r="B1" s="38"/>
      <c r="C1" s="28"/>
      <c r="E1" s="28"/>
    </row>
    <row r="2" spans="1:38" s="300" customFormat="1" ht="5.0999999999999996" customHeight="1">
      <c r="D2" s="83"/>
      <c r="F2" s="83"/>
      <c r="H2" s="83"/>
      <c r="I2" s="83"/>
      <c r="J2" s="83"/>
      <c r="K2" s="83"/>
      <c r="L2" s="83"/>
      <c r="M2" s="83"/>
      <c r="N2" s="83"/>
      <c r="AF2" s="83"/>
      <c r="AG2" s="83"/>
      <c r="AH2" s="83"/>
      <c r="AI2" s="83"/>
      <c r="AJ2" s="83"/>
      <c r="AK2" s="83"/>
      <c r="AL2" s="83"/>
    </row>
    <row r="3" spans="1:38" s="300" customFormat="1" ht="20.100000000000001" customHeight="1">
      <c r="A3" s="300" t="s">
        <v>2249</v>
      </c>
      <c r="C3" s="83"/>
      <c r="D3" s="46"/>
      <c r="E3" s="83"/>
      <c r="F3" s="445"/>
      <c r="H3" s="83"/>
      <c r="I3" s="83"/>
      <c r="J3" s="83"/>
      <c r="K3" s="83"/>
      <c r="L3" s="83"/>
      <c r="M3" s="83"/>
      <c r="N3" s="83"/>
      <c r="AF3" s="83"/>
      <c r="AG3" s="83"/>
      <c r="AH3" s="83"/>
      <c r="AI3" s="83"/>
      <c r="AJ3" s="83"/>
      <c r="AK3" s="83"/>
      <c r="AL3" s="83"/>
    </row>
    <row r="4" spans="1:38" s="26" customFormat="1" ht="20.100000000000001" customHeight="1" thickBot="1">
      <c r="A4" s="109" t="s">
        <v>699</v>
      </c>
      <c r="B4" s="450"/>
      <c r="C4" s="450"/>
      <c r="D4" s="446"/>
      <c r="E4" s="450"/>
      <c r="F4" s="446"/>
      <c r="G4" s="450"/>
      <c r="H4" s="446"/>
      <c r="I4" s="446"/>
      <c r="J4" s="446"/>
      <c r="K4" s="446"/>
      <c r="L4" s="446"/>
      <c r="M4" s="446"/>
      <c r="N4" s="446"/>
      <c r="O4" s="446"/>
      <c r="P4" s="446"/>
      <c r="Q4" s="446"/>
      <c r="R4" s="446"/>
      <c r="S4" s="446"/>
      <c r="T4" s="446"/>
      <c r="U4" s="446"/>
      <c r="V4" s="446"/>
      <c r="W4" s="446"/>
      <c r="X4" s="446"/>
      <c r="Y4" s="446"/>
      <c r="Z4" s="446"/>
      <c r="AA4" s="446"/>
      <c r="AB4" s="446"/>
      <c r="AC4" s="446"/>
    </row>
    <row r="5" spans="1:38" ht="9.9" customHeight="1" thickTop="1" thickBot="1">
      <c r="B5" s="321"/>
      <c r="E5" s="163"/>
      <c r="F5" s="165"/>
      <c r="G5" s="28"/>
    </row>
    <row r="6" spans="1:38" ht="13.5" customHeight="1" thickTop="1">
      <c r="A6" s="169" t="s">
        <v>10</v>
      </c>
      <c r="B6" s="169"/>
      <c r="C6" s="38"/>
      <c r="D6" s="147"/>
      <c r="E6" s="3727" t="s">
        <v>255</v>
      </c>
      <c r="F6" s="3728"/>
      <c r="G6" s="3627"/>
      <c r="H6" s="3627"/>
      <c r="I6" s="3627"/>
      <c r="J6" s="3627"/>
      <c r="K6" s="3627"/>
      <c r="L6" s="3627"/>
      <c r="M6" s="3627"/>
      <c r="N6" s="3627"/>
      <c r="O6" s="3627"/>
      <c r="P6" s="3627"/>
      <c r="Q6" s="3627"/>
      <c r="R6" s="3627"/>
      <c r="S6" s="3729"/>
      <c r="AF6" s="38"/>
      <c r="AG6" s="38"/>
      <c r="AH6" s="38"/>
      <c r="AI6" s="38"/>
      <c r="AJ6" s="38"/>
      <c r="AK6" s="38"/>
      <c r="AL6" s="38"/>
    </row>
    <row r="7" spans="1:38" ht="13.5" customHeight="1">
      <c r="A7" s="3644" t="str">
        <f>Audit!A12</f>
        <v>May 2019 v1.12</v>
      </c>
      <c r="B7" s="3651"/>
      <c r="C7" s="38"/>
      <c r="D7" s="147"/>
      <c r="E7" s="3124" t="s">
        <v>1977</v>
      </c>
      <c r="F7" s="29"/>
      <c r="O7" s="26"/>
      <c r="P7" s="26"/>
      <c r="Q7" s="26"/>
      <c r="R7" s="26"/>
      <c r="S7" s="147"/>
      <c r="AF7" s="38"/>
      <c r="AG7" s="38"/>
      <c r="AH7" s="38"/>
      <c r="AI7" s="38"/>
      <c r="AJ7" s="38"/>
      <c r="AK7" s="38"/>
      <c r="AL7" s="38"/>
    </row>
    <row r="8" spans="1:38" ht="13.5" customHeight="1">
      <c r="A8" s="3646">
        <f>Audit!C12</f>
        <v>43586</v>
      </c>
      <c r="B8" s="3651"/>
      <c r="C8" s="321"/>
      <c r="D8" s="412"/>
      <c r="E8" s="3124" t="s">
        <v>1923</v>
      </c>
      <c r="F8" s="315"/>
      <c r="O8" s="26"/>
      <c r="P8" s="26"/>
      <c r="Q8" s="26"/>
      <c r="R8" s="26"/>
      <c r="S8" s="147"/>
      <c r="AF8" s="38"/>
      <c r="AG8" s="38"/>
      <c r="AH8" s="38"/>
      <c r="AI8" s="38"/>
      <c r="AJ8" s="38"/>
      <c r="AK8" s="38"/>
      <c r="AL8" s="38"/>
    </row>
    <row r="9" spans="1:38" ht="13.5" customHeight="1" thickBot="1">
      <c r="A9" s="172" t="s">
        <v>14</v>
      </c>
      <c r="B9" s="173"/>
      <c r="D9" s="412"/>
      <c r="E9" s="3125" t="s">
        <v>1924</v>
      </c>
      <c r="O9" s="26"/>
      <c r="P9" s="26"/>
      <c r="Q9" s="26"/>
      <c r="R9" s="26"/>
      <c r="S9" s="147"/>
      <c r="AF9" s="38"/>
      <c r="AG9" s="38"/>
      <c r="AH9" s="38"/>
      <c r="AI9" s="38"/>
      <c r="AJ9" s="38"/>
      <c r="AK9" s="38"/>
      <c r="AL9" s="38"/>
    </row>
    <row r="10" spans="1:38" ht="13.5" customHeight="1" thickBot="1">
      <c r="A10" s="3611" t="s">
        <v>1306</v>
      </c>
      <c r="B10" s="3612"/>
      <c r="D10" s="412"/>
      <c r="E10" s="3125" t="s">
        <v>1925</v>
      </c>
      <c r="O10" s="26"/>
      <c r="P10" s="26"/>
      <c r="Q10" s="26"/>
      <c r="R10" s="26"/>
      <c r="S10" s="147"/>
      <c r="AF10" s="38"/>
      <c r="AG10" s="38"/>
      <c r="AH10" s="38"/>
      <c r="AI10" s="38"/>
      <c r="AJ10" s="38"/>
      <c r="AK10" s="38"/>
      <c r="AL10" s="38"/>
    </row>
    <row r="11" spans="1:38" ht="13.5" customHeight="1" thickBot="1">
      <c r="A11" s="3611" t="s">
        <v>2216</v>
      </c>
      <c r="B11" s="3639"/>
      <c r="D11" s="412"/>
      <c r="E11" s="3125" t="s">
        <v>1927</v>
      </c>
      <c r="F11" s="53"/>
      <c r="G11" s="53"/>
      <c r="H11" s="53"/>
      <c r="I11" s="53"/>
      <c r="J11" s="53"/>
      <c r="K11" s="53"/>
      <c r="L11" s="53"/>
      <c r="M11" s="53"/>
      <c r="N11" s="53"/>
      <c r="O11" s="53"/>
      <c r="P11" s="53"/>
      <c r="Q11" s="53"/>
      <c r="R11" s="53"/>
      <c r="S11" s="379"/>
      <c r="AF11" s="38"/>
      <c r="AG11" s="38"/>
      <c r="AH11" s="38"/>
      <c r="AI11" s="38"/>
      <c r="AJ11" s="38"/>
      <c r="AK11" s="38"/>
      <c r="AL11" s="38"/>
    </row>
    <row r="12" spans="1:38" ht="13.5" customHeight="1" thickBot="1">
      <c r="A12" s="3611" t="s">
        <v>2217</v>
      </c>
      <c r="B12" s="3639"/>
      <c r="D12" s="412"/>
      <c r="E12" s="3125" t="s">
        <v>1926</v>
      </c>
      <c r="O12" s="26"/>
      <c r="P12" s="26"/>
      <c r="Q12" s="26"/>
      <c r="R12" s="26"/>
      <c r="S12" s="147"/>
      <c r="AF12" s="38"/>
      <c r="AG12" s="38"/>
      <c r="AH12" s="38"/>
      <c r="AI12" s="38"/>
      <c r="AJ12" s="38"/>
      <c r="AK12" s="38"/>
      <c r="AL12" s="38"/>
    </row>
    <row r="13" spans="1:38" ht="13.5" customHeight="1">
      <c r="A13" s="172" t="s">
        <v>252</v>
      </c>
      <c r="B13" s="194"/>
      <c r="C13" s="321"/>
      <c r="D13" s="412"/>
      <c r="E13" s="3125" t="s">
        <v>1928</v>
      </c>
      <c r="O13" s="26"/>
      <c r="P13" s="26"/>
      <c r="Q13" s="26"/>
      <c r="R13" s="26"/>
      <c r="S13" s="147"/>
      <c r="AF13" s="38"/>
      <c r="AG13" s="38"/>
      <c r="AH13" s="38"/>
      <c r="AI13" s="38"/>
      <c r="AJ13" s="38"/>
      <c r="AK13" s="38"/>
      <c r="AL13" s="38"/>
    </row>
    <row r="14" spans="1:38" ht="13.5" customHeight="1">
      <c r="C14" s="321"/>
      <c r="D14" s="412"/>
      <c r="E14" s="3125" t="s">
        <v>1929</v>
      </c>
      <c r="O14" s="26"/>
      <c r="P14" s="26"/>
      <c r="Q14" s="26"/>
      <c r="R14" s="26"/>
      <c r="S14" s="147"/>
      <c r="AF14" s="38"/>
      <c r="AG14" s="38"/>
      <c r="AH14" s="38"/>
      <c r="AI14" s="38"/>
      <c r="AJ14" s="38"/>
      <c r="AK14" s="38"/>
      <c r="AL14" s="38"/>
    </row>
    <row r="15" spans="1:38" ht="13.5" customHeight="1">
      <c r="A15" s="56"/>
      <c r="B15" s="32"/>
      <c r="C15" s="321"/>
      <c r="D15" s="412"/>
      <c r="E15" s="3124" t="s">
        <v>1930</v>
      </c>
      <c r="O15" s="26"/>
      <c r="P15" s="26"/>
      <c r="Q15" s="26"/>
      <c r="R15" s="26"/>
      <c r="S15" s="147"/>
      <c r="AF15" s="38"/>
      <c r="AG15" s="38"/>
      <c r="AH15" s="38"/>
      <c r="AI15" s="38"/>
      <c r="AJ15" s="38"/>
      <c r="AK15" s="38"/>
      <c r="AL15" s="38"/>
    </row>
    <row r="16" spans="1:38" ht="13.5" customHeight="1">
      <c r="A16" s="56"/>
      <c r="B16" s="32"/>
      <c r="C16" s="321"/>
      <c r="D16" s="412"/>
      <c r="E16" s="3124" t="s">
        <v>1931</v>
      </c>
      <c r="O16" s="26"/>
      <c r="P16" s="26"/>
      <c r="Q16" s="26"/>
      <c r="R16" s="26"/>
      <c r="S16" s="147"/>
      <c r="AF16" s="38"/>
      <c r="AG16" s="38"/>
      <c r="AH16" s="38"/>
      <c r="AI16" s="38"/>
      <c r="AJ16" s="38"/>
      <c r="AK16" s="38"/>
      <c r="AL16" s="38"/>
    </row>
    <row r="17" spans="1:38" ht="13.5" customHeight="1">
      <c r="A17" s="169" t="s">
        <v>253</v>
      </c>
      <c r="B17" s="170"/>
      <c r="C17" s="321"/>
      <c r="D17" s="412"/>
      <c r="E17" s="3124" t="s">
        <v>1932</v>
      </c>
      <c r="O17" s="26"/>
      <c r="P17" s="26"/>
      <c r="Q17" s="26"/>
      <c r="R17" s="26"/>
      <c r="S17" s="147"/>
      <c r="AF17" s="38"/>
      <c r="AG17" s="38"/>
      <c r="AH17" s="38"/>
      <c r="AI17" s="38"/>
      <c r="AJ17" s="38"/>
      <c r="AK17" s="38"/>
      <c r="AL17" s="38"/>
    </row>
    <row r="18" spans="1:38" ht="13.5" customHeight="1">
      <c r="A18" s="3615"/>
      <c r="B18" s="3615"/>
      <c r="C18" s="321"/>
      <c r="D18" s="412"/>
      <c r="O18" s="26"/>
      <c r="P18" s="26"/>
      <c r="Q18" s="26"/>
      <c r="R18" s="26"/>
      <c r="S18" s="147"/>
      <c r="AF18" s="38"/>
      <c r="AG18" s="38"/>
      <c r="AH18" s="38"/>
      <c r="AI18" s="38"/>
      <c r="AJ18" s="38"/>
      <c r="AK18" s="38"/>
      <c r="AL18" s="38"/>
    </row>
    <row r="19" spans="1:38" ht="13.5" customHeight="1">
      <c r="A19" s="31"/>
      <c r="B19" s="31"/>
      <c r="C19" s="321"/>
      <c r="D19" s="412"/>
      <c r="E19" s="26" t="s">
        <v>1299</v>
      </c>
      <c r="O19" s="26"/>
      <c r="P19" s="26"/>
      <c r="Q19" s="26"/>
      <c r="R19" s="26"/>
      <c r="S19" s="147"/>
      <c r="AF19" s="38"/>
      <c r="AG19" s="38"/>
      <c r="AH19" s="38"/>
      <c r="AI19" s="38"/>
      <c r="AJ19" s="38"/>
      <c r="AK19" s="38"/>
      <c r="AL19" s="38"/>
    </row>
    <row r="20" spans="1:38" ht="13.5" customHeight="1" thickBot="1">
      <c r="A20" s="31"/>
      <c r="B20" s="31"/>
      <c r="C20" s="321"/>
      <c r="D20" s="412"/>
      <c r="E20" s="381" t="s">
        <v>2250</v>
      </c>
      <c r="F20" s="163"/>
      <c r="G20" s="163"/>
      <c r="H20" s="163"/>
      <c r="I20" s="163"/>
      <c r="J20" s="163"/>
      <c r="K20" s="163"/>
      <c r="L20" s="163"/>
      <c r="M20" s="163"/>
      <c r="N20" s="163"/>
      <c r="O20" s="163"/>
      <c r="P20" s="163"/>
      <c r="Q20" s="163"/>
      <c r="R20" s="163"/>
      <c r="S20" s="382"/>
      <c r="AF20" s="38"/>
      <c r="AG20" s="38"/>
      <c r="AH20" s="38"/>
      <c r="AI20" s="38"/>
      <c r="AJ20" s="38"/>
      <c r="AK20" s="38"/>
      <c r="AL20" s="38"/>
    </row>
    <row r="21" spans="1:38" ht="13.5" customHeight="1" thickTop="1">
      <c r="A21" s="35"/>
      <c r="B21" s="321"/>
      <c r="C21" s="72"/>
      <c r="D21" s="32"/>
      <c r="E21" s="28"/>
      <c r="F21" s="31"/>
      <c r="G21" s="28"/>
    </row>
    <row r="22" spans="1:38" ht="13.5" customHeight="1" thickBot="1">
      <c r="A22" s="13"/>
      <c r="B22" s="492"/>
      <c r="D22" s="65"/>
      <c r="E22" s="65"/>
      <c r="F22" s="65"/>
      <c r="G22" s="65"/>
      <c r="H22" s="65"/>
      <c r="I22" s="65"/>
      <c r="J22" s="65"/>
      <c r="K22" s="65"/>
      <c r="L22" s="65"/>
      <c r="M22" s="65"/>
      <c r="N22" s="492"/>
      <c r="Q22" s="26"/>
      <c r="R22" s="26"/>
      <c r="S22" s="26"/>
      <c r="T22" s="26"/>
      <c r="U22" s="26"/>
      <c r="V22" s="26"/>
      <c r="W22" s="26"/>
      <c r="AF22" s="38"/>
      <c r="AG22" s="38"/>
      <c r="AH22" s="38"/>
      <c r="AI22" s="38"/>
      <c r="AJ22" s="38"/>
      <c r="AK22" s="38"/>
      <c r="AL22" s="38"/>
    </row>
    <row r="23" spans="1:38" ht="13.5" customHeight="1" thickTop="1" thickBot="1">
      <c r="A23" s="468"/>
      <c r="B23" s="678"/>
      <c r="C23" s="404" t="s">
        <v>701</v>
      </c>
      <c r="D23" s="404"/>
      <c r="E23" s="404"/>
      <c r="F23" s="404"/>
      <c r="G23" s="404"/>
      <c r="H23" s="404"/>
      <c r="I23" s="404"/>
      <c r="J23" s="404"/>
      <c r="K23" s="404"/>
      <c r="L23" s="404"/>
      <c r="M23" s="404"/>
      <c r="N23" s="404"/>
      <c r="O23" s="678"/>
      <c r="P23" s="404"/>
      <c r="Q23" s="679"/>
      <c r="S23" s="26"/>
      <c r="T23" s="26"/>
      <c r="U23" s="26"/>
      <c r="V23" s="26"/>
      <c r="W23" s="26"/>
      <c r="X23" s="26"/>
      <c r="Y23" s="26"/>
      <c r="AF23" s="38"/>
      <c r="AG23" s="38"/>
      <c r="AH23" s="38"/>
      <c r="AI23" s="38"/>
      <c r="AJ23" s="38"/>
      <c r="AK23" s="38"/>
      <c r="AL23" s="38"/>
    </row>
    <row r="24" spans="1:38" ht="13.5" customHeight="1" thickTop="1" thickBot="1">
      <c r="A24" s="104"/>
      <c r="B24" s="681"/>
      <c r="C24" s="438"/>
      <c r="D24" s="631" t="s">
        <v>702</v>
      </c>
      <c r="E24" s="443"/>
      <c r="F24" s="443"/>
      <c r="G24" s="443"/>
      <c r="H24" s="443"/>
      <c r="I24" s="443"/>
      <c r="J24" s="443"/>
      <c r="K24" s="443"/>
      <c r="L24" s="443"/>
      <c r="M24" s="443"/>
      <c r="N24" s="443"/>
      <c r="O24" s="2683"/>
      <c r="P24" s="443"/>
      <c r="Q24" s="682"/>
      <c r="S24" s="26"/>
      <c r="T24" s="26"/>
      <c r="U24" s="26"/>
      <c r="V24" s="26"/>
      <c r="W24" s="26"/>
      <c r="X24" s="26"/>
      <c r="Y24" s="26"/>
      <c r="AF24" s="38"/>
      <c r="AG24" s="38"/>
      <c r="AH24" s="38"/>
      <c r="AI24" s="38"/>
      <c r="AJ24" s="38"/>
      <c r="AK24" s="38"/>
      <c r="AL24" s="38"/>
    </row>
    <row r="25" spans="1:38" ht="13.5" customHeight="1" thickTop="1" thickBot="1">
      <c r="A25" s="464"/>
      <c r="B25" s="683"/>
      <c r="C25" s="439"/>
      <c r="D25" s="631" t="s">
        <v>1439</v>
      </c>
      <c r="E25" s="443"/>
      <c r="F25" s="591"/>
      <c r="G25" s="443" t="s">
        <v>1431</v>
      </c>
      <c r="H25" s="443"/>
      <c r="I25" s="591"/>
      <c r="J25" s="631" t="s">
        <v>1443</v>
      </c>
      <c r="K25" s="591"/>
      <c r="L25" s="631" t="s">
        <v>1444</v>
      </c>
      <c r="M25" s="591"/>
      <c r="N25" s="443" t="s">
        <v>1434</v>
      </c>
      <c r="O25" s="684"/>
      <c r="P25" s="443" t="s">
        <v>584</v>
      </c>
      <c r="Q25" s="684"/>
      <c r="S25" s="26"/>
      <c r="T25" s="26"/>
      <c r="U25" s="26"/>
      <c r="V25" s="26"/>
      <c r="W25" s="26"/>
      <c r="X25" s="26"/>
      <c r="Y25" s="26"/>
      <c r="AF25" s="38"/>
      <c r="AG25" s="38"/>
      <c r="AH25" s="38"/>
      <c r="AI25" s="38"/>
      <c r="AJ25" s="38"/>
      <c r="AK25" s="38"/>
      <c r="AL25" s="38"/>
    </row>
    <row r="26" spans="1:38" ht="13.5" customHeight="1" thickTop="1" thickBot="1">
      <c r="A26" s="508"/>
      <c r="B26" s="408" t="s">
        <v>494</v>
      </c>
      <c r="C26" s="414" t="s">
        <v>384</v>
      </c>
      <c r="D26" s="572" t="s">
        <v>579</v>
      </c>
      <c r="E26" s="501" t="s">
        <v>580</v>
      </c>
      <c r="F26" s="387" t="s">
        <v>582</v>
      </c>
      <c r="G26" s="500" t="s">
        <v>579</v>
      </c>
      <c r="H26" s="685" t="s">
        <v>580</v>
      </c>
      <c r="I26" s="502" t="s">
        <v>582</v>
      </c>
      <c r="J26" s="1621" t="s">
        <v>580</v>
      </c>
      <c r="K26" s="387" t="s">
        <v>561</v>
      </c>
      <c r="L26" s="1621" t="s">
        <v>580</v>
      </c>
      <c r="M26" s="387" t="s">
        <v>561</v>
      </c>
      <c r="N26" s="386" t="s">
        <v>580</v>
      </c>
      <c r="O26" s="502" t="s">
        <v>582</v>
      </c>
      <c r="P26" s="386" t="s">
        <v>819</v>
      </c>
      <c r="Q26" s="502" t="s">
        <v>582</v>
      </c>
      <c r="S26" s="26"/>
      <c r="T26" s="26"/>
      <c r="U26" s="26"/>
      <c r="V26" s="26"/>
      <c r="W26" s="26"/>
      <c r="X26" s="26"/>
      <c r="Y26" s="26"/>
      <c r="AF26" s="38"/>
      <c r="AG26" s="38"/>
      <c r="AH26" s="38"/>
      <c r="AI26" s="38"/>
      <c r="AJ26" s="38"/>
      <c r="AK26" s="38"/>
      <c r="AL26" s="38"/>
    </row>
    <row r="27" spans="1:38" ht="13.5" customHeight="1" thickTop="1">
      <c r="A27" s="113"/>
      <c r="B27" s="452" t="str">
        <f>CONCATENATE(C27-1," to")</f>
        <v>2006 to</v>
      </c>
      <c r="C27" s="425">
        <v>2007</v>
      </c>
      <c r="D27" s="948">
        <v>-0.37020436058038397</v>
      </c>
      <c r="E27" s="948">
        <v>-0.12916814913488395</v>
      </c>
      <c r="F27" s="2946">
        <v>0</v>
      </c>
      <c r="G27" s="948">
        <v>-0.51853258921671364</v>
      </c>
      <c r="H27" s="948">
        <v>-0.24309223156765425</v>
      </c>
      <c r="I27" s="2946">
        <v>0</v>
      </c>
      <c r="J27" s="2947">
        <v>-1.23</v>
      </c>
      <c r="K27" s="2948">
        <v>0</v>
      </c>
      <c r="L27" s="1622">
        <v>-1.23</v>
      </c>
      <c r="M27" s="2948">
        <v>0</v>
      </c>
      <c r="N27" s="948">
        <v>0</v>
      </c>
      <c r="O27" s="2946">
        <v>0</v>
      </c>
      <c r="P27" s="948">
        <v>0</v>
      </c>
      <c r="Q27" s="2946">
        <v>0</v>
      </c>
      <c r="S27" s="26"/>
      <c r="T27" s="26"/>
      <c r="U27" s="26"/>
      <c r="V27" s="26"/>
      <c r="W27" s="26"/>
      <c r="X27" s="26"/>
      <c r="Y27" s="26"/>
      <c r="AF27" s="38"/>
      <c r="AG27" s="38"/>
      <c r="AH27" s="38"/>
      <c r="AI27" s="38"/>
      <c r="AJ27" s="38"/>
      <c r="AK27" s="38"/>
      <c r="AL27" s="38"/>
    </row>
    <row r="28" spans="1:38" ht="13.5" customHeight="1">
      <c r="A28" s="113"/>
      <c r="B28" s="452" t="str">
        <f t="shared" ref="B28:B55" si="0">CONCATENATE(C28-1," to")</f>
        <v>2007 to</v>
      </c>
      <c r="C28" s="42">
        <f>C27+1</f>
        <v>2008</v>
      </c>
      <c r="D28" s="948">
        <v>-0.43620497989776963</v>
      </c>
      <c r="E28" s="948">
        <v>-0.54757578107206273</v>
      </c>
      <c r="F28" s="2948">
        <v>0</v>
      </c>
      <c r="G28" s="948">
        <v>-0.43852358415570336</v>
      </c>
      <c r="H28" s="948">
        <v>-8.4536721659955738E-2</v>
      </c>
      <c r="I28" s="2948">
        <v>0</v>
      </c>
      <c r="J28" s="2947">
        <v>-1.23</v>
      </c>
      <c r="K28" s="2948">
        <v>0</v>
      </c>
      <c r="L28" s="1622">
        <v>-1.23</v>
      </c>
      <c r="M28" s="2948">
        <v>0</v>
      </c>
      <c r="N28" s="948">
        <v>0</v>
      </c>
      <c r="O28" s="2948">
        <v>0</v>
      </c>
      <c r="P28" s="948">
        <v>0</v>
      </c>
      <c r="Q28" s="2948">
        <v>0</v>
      </c>
      <c r="R28" s="26"/>
      <c r="S28" s="26"/>
      <c r="T28" s="26"/>
      <c r="U28" s="26"/>
      <c r="V28" s="26"/>
      <c r="W28" s="26"/>
      <c r="X28" s="26"/>
      <c r="Y28" s="26"/>
      <c r="AF28" s="38"/>
      <c r="AG28" s="38"/>
      <c r="AH28" s="38"/>
      <c r="AI28" s="38"/>
      <c r="AJ28" s="38"/>
      <c r="AK28" s="38"/>
      <c r="AL28" s="38"/>
    </row>
    <row r="29" spans="1:38" ht="13.5" customHeight="1">
      <c r="A29" s="113"/>
      <c r="B29" s="452" t="str">
        <f t="shared" si="0"/>
        <v>2008 to</v>
      </c>
      <c r="C29" s="42">
        <f t="shared" ref="C29:C54" si="1">C28+1</f>
        <v>2009</v>
      </c>
      <c r="D29" s="1620">
        <v>-0.58929962907879885</v>
      </c>
      <c r="E29" s="1620">
        <v>-0.56711821586102884</v>
      </c>
      <c r="F29" s="2949">
        <v>0</v>
      </c>
      <c r="G29" s="1620">
        <v>-0.10293005140062927</v>
      </c>
      <c r="H29" s="1620">
        <v>-0.12500823801113725</v>
      </c>
      <c r="I29" s="2949">
        <v>0</v>
      </c>
      <c r="J29" s="2950">
        <v>-1.23</v>
      </c>
      <c r="K29" s="2949">
        <v>0</v>
      </c>
      <c r="L29" s="1623">
        <v>-1.23</v>
      </c>
      <c r="M29" s="2949">
        <v>0</v>
      </c>
      <c r="N29" s="1620">
        <v>0</v>
      </c>
      <c r="O29" s="2949">
        <v>0</v>
      </c>
      <c r="P29" s="1620">
        <v>0</v>
      </c>
      <c r="Q29" s="2949">
        <v>0</v>
      </c>
      <c r="R29" s="26"/>
      <c r="S29" s="26"/>
      <c r="T29" s="26"/>
      <c r="U29" s="26"/>
      <c r="V29" s="26"/>
      <c r="W29" s="26"/>
      <c r="X29" s="26"/>
      <c r="Y29" s="26"/>
      <c r="AF29" s="38"/>
      <c r="AG29" s="38"/>
      <c r="AH29" s="38"/>
      <c r="AI29" s="38"/>
      <c r="AJ29" s="38"/>
      <c r="AK29" s="38"/>
      <c r="AL29" s="38"/>
    </row>
    <row r="30" spans="1:38" ht="13.5" customHeight="1" thickBot="1">
      <c r="A30" s="113"/>
      <c r="B30" s="452" t="str">
        <f t="shared" si="0"/>
        <v>2009 to</v>
      </c>
      <c r="C30" s="42">
        <f t="shared" si="1"/>
        <v>2010</v>
      </c>
      <c r="D30" s="928">
        <v>-0.19243065607926768</v>
      </c>
      <c r="E30" s="928">
        <v>-0.75751954336348293</v>
      </c>
      <c r="F30" s="929">
        <v>0</v>
      </c>
      <c r="G30" s="928">
        <v>0.52026156456477235</v>
      </c>
      <c r="H30" s="928">
        <v>-0.39290687819439896</v>
      </c>
      <c r="I30" s="929">
        <v>0</v>
      </c>
      <c r="J30" s="2951">
        <v>-1.23</v>
      </c>
      <c r="K30" s="929">
        <v>0</v>
      </c>
      <c r="L30" s="1624">
        <v>-1.23</v>
      </c>
      <c r="M30" s="929">
        <v>0</v>
      </c>
      <c r="N30" s="928">
        <v>0</v>
      </c>
      <c r="O30" s="929">
        <v>0</v>
      </c>
      <c r="P30" s="928">
        <v>0</v>
      </c>
      <c r="Q30" s="929">
        <v>0</v>
      </c>
      <c r="R30" s="82"/>
      <c r="S30" s="26"/>
      <c r="T30" s="26"/>
      <c r="U30" s="26"/>
      <c r="V30" s="26"/>
      <c r="W30" s="26"/>
      <c r="X30" s="26"/>
      <c r="Y30" s="26"/>
      <c r="AF30" s="38"/>
      <c r="AG30" s="38"/>
      <c r="AH30" s="38"/>
      <c r="AI30" s="38"/>
      <c r="AJ30" s="38"/>
      <c r="AK30" s="38"/>
      <c r="AL30" s="38"/>
    </row>
    <row r="31" spans="1:38" ht="13.5" customHeight="1">
      <c r="A31" s="113"/>
      <c r="B31" s="452" t="str">
        <f t="shared" si="0"/>
        <v>2010 to</v>
      </c>
      <c r="C31" s="42">
        <f t="shared" si="1"/>
        <v>2011</v>
      </c>
      <c r="D31" s="930">
        <v>-0.47145816679151631</v>
      </c>
      <c r="E31" s="931">
        <v>-0.87566709688881028</v>
      </c>
      <c r="F31" s="432">
        <v>0</v>
      </c>
      <c r="G31" s="931">
        <v>0.35157850797205015</v>
      </c>
      <c r="H31" s="931">
        <v>-0.15615359537842766</v>
      </c>
      <c r="I31" s="931">
        <v>0</v>
      </c>
      <c r="J31" s="930">
        <v>0</v>
      </c>
      <c r="K31" s="432">
        <v>0</v>
      </c>
      <c r="L31" s="930">
        <v>0</v>
      </c>
      <c r="M31" s="432">
        <v>0</v>
      </c>
      <c r="N31" s="931">
        <v>0</v>
      </c>
      <c r="O31" s="432">
        <v>0</v>
      </c>
      <c r="P31" s="931">
        <v>0</v>
      </c>
      <c r="Q31" s="432">
        <v>0</v>
      </c>
      <c r="R31" s="82"/>
      <c r="S31" s="26"/>
      <c r="T31" s="26"/>
      <c r="U31" s="26"/>
      <c r="V31" s="26"/>
      <c r="W31" s="26"/>
      <c r="X31" s="26"/>
      <c r="Y31" s="26"/>
      <c r="AF31" s="38"/>
      <c r="AG31" s="38"/>
      <c r="AH31" s="38"/>
      <c r="AI31" s="38"/>
      <c r="AJ31" s="38"/>
      <c r="AK31" s="38"/>
      <c r="AL31" s="38"/>
    </row>
    <row r="32" spans="1:38" ht="13.5" customHeight="1">
      <c r="A32" s="113"/>
      <c r="B32" s="452" t="str">
        <f t="shared" si="0"/>
        <v>2011 to</v>
      </c>
      <c r="C32" s="42">
        <f t="shared" si="1"/>
        <v>2012</v>
      </c>
      <c r="D32" s="930">
        <v>-0.73436446744769013</v>
      </c>
      <c r="E32" s="931">
        <v>-1.0417882085066443</v>
      </c>
      <c r="F32" s="432">
        <v>0.16634158684771805</v>
      </c>
      <c r="G32" s="931">
        <v>0.24388612867640713</v>
      </c>
      <c r="H32" s="931">
        <v>-0.31964280974375869</v>
      </c>
      <c r="I32" s="931">
        <v>0</v>
      </c>
      <c r="J32" s="930">
        <v>0</v>
      </c>
      <c r="K32" s="432">
        <v>0</v>
      </c>
      <c r="L32" s="930">
        <v>0</v>
      </c>
      <c r="M32" s="432">
        <v>0</v>
      </c>
      <c r="N32" s="931">
        <v>0</v>
      </c>
      <c r="O32" s="432">
        <v>0</v>
      </c>
      <c r="P32" s="931">
        <v>0</v>
      </c>
      <c r="Q32" s="432">
        <v>0</v>
      </c>
      <c r="R32" s="82"/>
      <c r="S32" s="26"/>
      <c r="T32" s="26"/>
      <c r="U32" s="26"/>
      <c r="V32" s="26"/>
      <c r="W32" s="26"/>
      <c r="X32" s="26"/>
      <c r="Y32" s="26"/>
      <c r="AF32" s="38"/>
      <c r="AG32" s="38"/>
      <c r="AH32" s="38"/>
      <c r="AI32" s="38"/>
      <c r="AJ32" s="38"/>
      <c r="AK32" s="38"/>
      <c r="AL32" s="38"/>
    </row>
    <row r="33" spans="1:38" ht="13.5" customHeight="1">
      <c r="A33" s="113"/>
      <c r="B33" s="452" t="str">
        <f t="shared" si="0"/>
        <v>2012 to</v>
      </c>
      <c r="C33" s="42">
        <f t="shared" si="1"/>
        <v>2013</v>
      </c>
      <c r="D33" s="930">
        <v>-1.000909240914738</v>
      </c>
      <c r="E33" s="931">
        <v>-1.1900078064284836</v>
      </c>
      <c r="F33" s="432">
        <v>-0.34809244392437488</v>
      </c>
      <c r="G33" s="931">
        <v>0.10871554781868298</v>
      </c>
      <c r="H33" s="931">
        <v>-9.8612073912585085E-2</v>
      </c>
      <c r="I33" s="931">
        <v>-0.20529908842514821</v>
      </c>
      <c r="J33" s="930">
        <v>0</v>
      </c>
      <c r="K33" s="432">
        <v>0</v>
      </c>
      <c r="L33" s="930">
        <v>0</v>
      </c>
      <c r="M33" s="432">
        <v>0</v>
      </c>
      <c r="N33" s="931">
        <v>0</v>
      </c>
      <c r="O33" s="432">
        <v>0</v>
      </c>
      <c r="P33" s="931">
        <v>0.26958496261508813</v>
      </c>
      <c r="Q33" s="432">
        <v>0</v>
      </c>
      <c r="R33" s="82"/>
      <c r="S33" s="26"/>
      <c r="T33" s="26"/>
      <c r="U33" s="26"/>
      <c r="V33" s="26"/>
      <c r="W33" s="26"/>
      <c r="X33" s="26"/>
      <c r="Y33" s="26"/>
      <c r="AF33" s="38"/>
      <c r="AG33" s="38"/>
      <c r="AH33" s="38"/>
      <c r="AI33" s="38"/>
      <c r="AJ33" s="38"/>
      <c r="AK33" s="38"/>
      <c r="AL33" s="38"/>
    </row>
    <row r="34" spans="1:38" ht="13.5" customHeight="1">
      <c r="A34" s="113"/>
      <c r="B34" s="452" t="str">
        <f t="shared" si="0"/>
        <v>2013 to</v>
      </c>
      <c r="C34" s="42">
        <f t="shared" si="1"/>
        <v>2014</v>
      </c>
      <c r="D34" s="930">
        <v>-1.3826683023581587</v>
      </c>
      <c r="E34" s="931">
        <v>-1.1836946956556571</v>
      </c>
      <c r="F34" s="432">
        <v>0.52967843036064721</v>
      </c>
      <c r="G34" s="931">
        <v>0.15435916016612872</v>
      </c>
      <c r="H34" s="931">
        <v>-0.25896498469996088</v>
      </c>
      <c r="I34" s="931">
        <v>-0.20657836899473647</v>
      </c>
      <c r="J34" s="930">
        <v>0</v>
      </c>
      <c r="K34" s="432">
        <v>0</v>
      </c>
      <c r="L34" s="930">
        <v>0</v>
      </c>
      <c r="M34" s="432">
        <v>0</v>
      </c>
      <c r="N34" s="931">
        <v>0</v>
      </c>
      <c r="O34" s="432">
        <v>0</v>
      </c>
      <c r="P34" s="931">
        <v>-1.4944789888904353E-2</v>
      </c>
      <c r="Q34" s="432">
        <v>0</v>
      </c>
      <c r="R34" s="82"/>
      <c r="S34" s="26"/>
      <c r="T34" s="26"/>
      <c r="U34" s="26"/>
      <c r="V34" s="26"/>
      <c r="W34" s="26"/>
      <c r="X34" s="26"/>
      <c r="Y34" s="26"/>
      <c r="AF34" s="38"/>
      <c r="AG34" s="38"/>
      <c r="AH34" s="38"/>
      <c r="AI34" s="38"/>
      <c r="AJ34" s="38"/>
      <c r="AK34" s="38"/>
      <c r="AL34" s="38"/>
    </row>
    <row r="35" spans="1:38" ht="13.5" customHeight="1">
      <c r="A35" s="113"/>
      <c r="B35" s="452" t="str">
        <f t="shared" si="0"/>
        <v>2014 to</v>
      </c>
      <c r="C35" s="42">
        <f t="shared" si="1"/>
        <v>2015</v>
      </c>
      <c r="D35" s="930">
        <v>-1.5691268965881355</v>
      </c>
      <c r="E35" s="931">
        <v>-1.5257713483364466</v>
      </c>
      <c r="F35" s="432">
        <v>0.78528395519048555</v>
      </c>
      <c r="G35" s="931">
        <v>0.14266077841600389</v>
      </c>
      <c r="H35" s="931">
        <v>-0.39180303196002519</v>
      </c>
      <c r="I35" s="931">
        <v>-0.20738838240039748</v>
      </c>
      <c r="J35" s="930">
        <v>0</v>
      </c>
      <c r="K35" s="432">
        <v>0</v>
      </c>
      <c r="L35" s="930">
        <v>0</v>
      </c>
      <c r="M35" s="432">
        <v>0</v>
      </c>
      <c r="N35" s="931">
        <v>0</v>
      </c>
      <c r="O35" s="432">
        <v>0</v>
      </c>
      <c r="P35" s="931">
        <v>-4.0810748997976987E-4</v>
      </c>
      <c r="Q35" s="432">
        <v>0</v>
      </c>
      <c r="R35" s="82"/>
      <c r="S35" s="26"/>
      <c r="T35" s="26"/>
      <c r="U35" s="26"/>
      <c r="V35" s="26"/>
      <c r="W35" s="26"/>
      <c r="X35" s="26"/>
      <c r="Y35" s="26"/>
      <c r="AF35" s="38"/>
      <c r="AG35" s="38"/>
      <c r="AH35" s="38"/>
      <c r="AI35" s="38"/>
      <c r="AJ35" s="38"/>
      <c r="AK35" s="38"/>
      <c r="AL35" s="38"/>
    </row>
    <row r="36" spans="1:38" ht="13.5" customHeight="1">
      <c r="A36" s="113"/>
      <c r="B36" s="452" t="str">
        <f t="shared" si="0"/>
        <v>2015 to</v>
      </c>
      <c r="C36" s="42">
        <f t="shared" si="1"/>
        <v>2016</v>
      </c>
      <c r="D36" s="930">
        <v>-2.0045645074085794</v>
      </c>
      <c r="E36" s="931">
        <v>-1.6282463998237962</v>
      </c>
      <c r="F36" s="432">
        <v>-7.3088908834628707E-2</v>
      </c>
      <c r="G36" s="931">
        <v>-0.8163031815755839</v>
      </c>
      <c r="H36" s="931">
        <v>-0.26127500215238353</v>
      </c>
      <c r="I36" s="931">
        <v>-0.20779236211638796</v>
      </c>
      <c r="J36" s="930">
        <v>0</v>
      </c>
      <c r="K36" s="432">
        <v>0</v>
      </c>
      <c r="L36" s="930">
        <v>0</v>
      </c>
      <c r="M36" s="432">
        <v>0</v>
      </c>
      <c r="N36" s="931">
        <v>0</v>
      </c>
      <c r="O36" s="432">
        <v>0</v>
      </c>
      <c r="P36" s="931">
        <v>-3.4373670665388545E-4</v>
      </c>
      <c r="Q36" s="432">
        <v>0</v>
      </c>
      <c r="R36" s="82"/>
      <c r="S36" s="26"/>
      <c r="T36" s="26"/>
      <c r="U36" s="26"/>
      <c r="V36" s="26"/>
      <c r="W36" s="26"/>
      <c r="X36" s="26"/>
      <c r="Y36" s="26"/>
      <c r="AF36" s="38"/>
      <c r="AG36" s="38"/>
      <c r="AH36" s="38"/>
      <c r="AI36" s="38"/>
      <c r="AJ36" s="38"/>
      <c r="AK36" s="38"/>
      <c r="AL36" s="38"/>
    </row>
    <row r="37" spans="1:38" ht="13.5" customHeight="1">
      <c r="A37" s="113"/>
      <c r="B37" s="452" t="str">
        <f t="shared" si="0"/>
        <v>2016 to</v>
      </c>
      <c r="C37" s="42">
        <f t="shared" si="1"/>
        <v>2017</v>
      </c>
      <c r="D37" s="930">
        <v>-2.0588850508476586</v>
      </c>
      <c r="E37" s="931">
        <v>-1.6577074988474272</v>
      </c>
      <c r="F37" s="432">
        <v>-0.75548777413030344</v>
      </c>
      <c r="G37" s="931">
        <v>-1.1718853332916224</v>
      </c>
      <c r="H37" s="931">
        <v>-0.18677431430151881</v>
      </c>
      <c r="I37" s="931">
        <v>-0.20784480386009108</v>
      </c>
      <c r="J37" s="930">
        <v>0</v>
      </c>
      <c r="K37" s="432">
        <v>0</v>
      </c>
      <c r="L37" s="930">
        <v>0</v>
      </c>
      <c r="M37" s="432">
        <v>0</v>
      </c>
      <c r="N37" s="931">
        <v>0</v>
      </c>
      <c r="O37" s="432">
        <v>0</v>
      </c>
      <c r="P37" s="931">
        <v>0.17107241308582655</v>
      </c>
      <c r="Q37" s="432">
        <v>0</v>
      </c>
      <c r="R37" s="82"/>
      <c r="S37" s="26"/>
      <c r="T37" s="26"/>
      <c r="U37" s="26"/>
      <c r="V37" s="26"/>
      <c r="W37" s="26"/>
      <c r="X37" s="26"/>
      <c r="Y37" s="26"/>
      <c r="AF37" s="38"/>
      <c r="AG37" s="38"/>
      <c r="AH37" s="38"/>
      <c r="AI37" s="38"/>
      <c r="AJ37" s="38"/>
      <c r="AK37" s="38"/>
      <c r="AL37" s="38"/>
    </row>
    <row r="38" spans="1:38" ht="13.5" customHeight="1">
      <c r="A38" s="113"/>
      <c r="B38" s="452" t="str">
        <f t="shared" si="0"/>
        <v>2017 to</v>
      </c>
      <c r="C38" s="42">
        <f t="shared" si="1"/>
        <v>2018</v>
      </c>
      <c r="D38" s="930">
        <v>-1.9908372052485857</v>
      </c>
      <c r="E38" s="931">
        <v>-1.6448389614783676</v>
      </c>
      <c r="F38" s="432">
        <v>-0.88240723097765539</v>
      </c>
      <c r="G38" s="931">
        <v>-1.6610116309031531</v>
      </c>
      <c r="H38" s="931">
        <v>-5.9195959228153239E-2</v>
      </c>
      <c r="I38" s="931">
        <v>-0.2075928075652822</v>
      </c>
      <c r="J38" s="930">
        <v>0</v>
      </c>
      <c r="K38" s="432">
        <v>0</v>
      </c>
      <c r="L38" s="930">
        <v>0</v>
      </c>
      <c r="M38" s="432">
        <v>0</v>
      </c>
      <c r="N38" s="931">
        <v>0</v>
      </c>
      <c r="O38" s="432">
        <v>0</v>
      </c>
      <c r="P38" s="931">
        <v>0.17165724416301487</v>
      </c>
      <c r="Q38" s="432">
        <v>0</v>
      </c>
      <c r="R38" s="82"/>
      <c r="S38" s="26"/>
      <c r="T38" s="26"/>
      <c r="U38" s="26"/>
      <c r="V38" s="26"/>
      <c r="W38" s="26"/>
      <c r="X38" s="26"/>
      <c r="Y38" s="26"/>
      <c r="AF38" s="38"/>
      <c r="AG38" s="38"/>
      <c r="AH38" s="38"/>
      <c r="AI38" s="38"/>
      <c r="AJ38" s="38"/>
      <c r="AK38" s="38"/>
      <c r="AL38" s="38"/>
    </row>
    <row r="39" spans="1:38" ht="13.5" customHeight="1">
      <c r="A39" s="113"/>
      <c r="B39" s="452" t="str">
        <f t="shared" si="0"/>
        <v>2018 to</v>
      </c>
      <c r="C39" s="42">
        <f t="shared" si="1"/>
        <v>2019</v>
      </c>
      <c r="D39" s="930">
        <v>-2.5891738707635947</v>
      </c>
      <c r="E39" s="931">
        <v>-2.0954393529713622</v>
      </c>
      <c r="F39" s="432">
        <v>-0.4777150368688976</v>
      </c>
      <c r="G39" s="931">
        <v>-1.8036293194845898</v>
      </c>
      <c r="H39" s="931">
        <v>-0.64221312063101887</v>
      </c>
      <c r="I39" s="931">
        <v>-0.20707718893775429</v>
      </c>
      <c r="J39" s="930">
        <v>0</v>
      </c>
      <c r="K39" s="432">
        <v>0</v>
      </c>
      <c r="L39" s="930">
        <v>0</v>
      </c>
      <c r="M39" s="432">
        <v>0</v>
      </c>
      <c r="N39" s="931">
        <v>0</v>
      </c>
      <c r="O39" s="432">
        <v>0</v>
      </c>
      <c r="P39" s="931">
        <v>0.17224507934539002</v>
      </c>
      <c r="Q39" s="432">
        <v>0</v>
      </c>
      <c r="R39" s="82"/>
      <c r="S39" s="26"/>
      <c r="T39" s="26"/>
      <c r="U39" s="26"/>
      <c r="V39" s="26"/>
      <c r="W39" s="26"/>
      <c r="X39" s="26"/>
      <c r="Y39" s="26"/>
      <c r="AF39" s="38"/>
      <c r="AG39" s="38"/>
      <c r="AH39" s="38"/>
      <c r="AI39" s="38"/>
      <c r="AJ39" s="38"/>
      <c r="AK39" s="38"/>
      <c r="AL39" s="38"/>
    </row>
    <row r="40" spans="1:38" ht="13.5" customHeight="1">
      <c r="A40" s="113"/>
      <c r="B40" s="452" t="str">
        <f t="shared" si="0"/>
        <v>2019 to</v>
      </c>
      <c r="C40" s="42">
        <f t="shared" si="1"/>
        <v>2020</v>
      </c>
      <c r="D40" s="930">
        <v>-2.3399995685064456</v>
      </c>
      <c r="E40" s="931">
        <v>-1.5643896170756677</v>
      </c>
      <c r="F40" s="432">
        <v>-0.29872874060962173</v>
      </c>
      <c r="G40" s="931">
        <v>-2.7925227266164421</v>
      </c>
      <c r="H40" s="931">
        <v>-2.1135519456651264</v>
      </c>
      <c r="I40" s="931">
        <v>-0.20633340444186077</v>
      </c>
      <c r="J40" s="930">
        <v>0</v>
      </c>
      <c r="K40" s="432">
        <v>0</v>
      </c>
      <c r="L40" s="930">
        <v>0</v>
      </c>
      <c r="M40" s="432">
        <v>0</v>
      </c>
      <c r="N40" s="931">
        <v>0</v>
      </c>
      <c r="O40" s="432">
        <v>0</v>
      </c>
      <c r="P40" s="931">
        <v>0.17283593924322105</v>
      </c>
      <c r="Q40" s="432">
        <v>0</v>
      </c>
      <c r="R40" s="82"/>
      <c r="S40" s="26"/>
      <c r="T40" s="26"/>
      <c r="U40" s="26"/>
      <c r="V40" s="26"/>
      <c r="W40" s="26"/>
      <c r="X40" s="26"/>
      <c r="Y40" s="26"/>
      <c r="AF40" s="38"/>
      <c r="AG40" s="38"/>
      <c r="AH40" s="38"/>
      <c r="AI40" s="38"/>
      <c r="AJ40" s="38"/>
      <c r="AK40" s="38"/>
      <c r="AL40" s="38"/>
    </row>
    <row r="41" spans="1:38" ht="13.5" customHeight="1">
      <c r="A41" s="113"/>
      <c r="B41" s="452" t="str">
        <f t="shared" si="0"/>
        <v>2020 to</v>
      </c>
      <c r="C41" s="42">
        <f t="shared" si="1"/>
        <v>2021</v>
      </c>
      <c r="D41" s="930">
        <v>-2.5889326683352087</v>
      </c>
      <c r="E41" s="931">
        <v>-1.5447091402668645</v>
      </c>
      <c r="F41" s="432">
        <v>-0.35824637169626916</v>
      </c>
      <c r="G41" s="931">
        <v>-2.7110507850548915</v>
      </c>
      <c r="H41" s="931">
        <v>-1.7631815862361844</v>
      </c>
      <c r="I41" s="931">
        <v>-3.0527313426235492</v>
      </c>
      <c r="J41" s="930">
        <v>0</v>
      </c>
      <c r="K41" s="432">
        <v>0</v>
      </c>
      <c r="L41" s="930">
        <v>0</v>
      </c>
      <c r="M41" s="432">
        <v>0</v>
      </c>
      <c r="N41" s="931">
        <v>0</v>
      </c>
      <c r="O41" s="432">
        <v>0</v>
      </c>
      <c r="P41" s="931">
        <v>0</v>
      </c>
      <c r="Q41" s="432">
        <v>0</v>
      </c>
      <c r="R41" s="82"/>
      <c r="S41" s="26"/>
      <c r="T41" s="26"/>
      <c r="U41" s="26"/>
      <c r="V41" s="26"/>
      <c r="W41" s="26"/>
      <c r="X41" s="26"/>
      <c r="Y41" s="26"/>
      <c r="AF41" s="38"/>
      <c r="AG41" s="38"/>
      <c r="AH41" s="38"/>
      <c r="AI41" s="38"/>
      <c r="AJ41" s="38"/>
      <c r="AK41" s="38"/>
      <c r="AL41" s="38"/>
    </row>
    <row r="42" spans="1:38" ht="13.5" customHeight="1">
      <c r="A42" s="113"/>
      <c r="B42" s="452" t="str">
        <f t="shared" si="0"/>
        <v>2021 to</v>
      </c>
      <c r="C42" s="42">
        <f t="shared" si="1"/>
        <v>2022</v>
      </c>
      <c r="D42" s="930">
        <v>-2.663634912659596</v>
      </c>
      <c r="E42" s="931">
        <v>-1.6452867911494695</v>
      </c>
      <c r="F42" s="432">
        <v>-0.58177430738114433</v>
      </c>
      <c r="G42" s="931">
        <v>-2.4183313867738532</v>
      </c>
      <c r="H42" s="931">
        <v>-1.4905435374336973</v>
      </c>
      <c r="I42" s="931">
        <v>-2.8081862002079516</v>
      </c>
      <c r="J42" s="930">
        <v>0</v>
      </c>
      <c r="K42" s="432">
        <v>0</v>
      </c>
      <c r="L42" s="930">
        <v>0</v>
      </c>
      <c r="M42" s="432">
        <v>0</v>
      </c>
      <c r="N42" s="931">
        <v>0</v>
      </c>
      <c r="O42" s="432">
        <v>0</v>
      </c>
      <c r="P42" s="931">
        <v>0</v>
      </c>
      <c r="Q42" s="432">
        <v>0</v>
      </c>
      <c r="R42" s="82"/>
      <c r="S42" s="26"/>
      <c r="T42" s="26"/>
      <c r="U42" s="26"/>
      <c r="V42" s="26"/>
      <c r="W42" s="26"/>
      <c r="X42" s="26"/>
      <c r="Y42" s="26"/>
      <c r="AF42" s="38"/>
      <c r="AG42" s="38"/>
      <c r="AH42" s="38"/>
      <c r="AI42" s="38"/>
      <c r="AJ42" s="38"/>
      <c r="AK42" s="38"/>
      <c r="AL42" s="38"/>
    </row>
    <row r="43" spans="1:38" ht="13.5" customHeight="1">
      <c r="A43" s="113"/>
      <c r="B43" s="452" t="str">
        <f t="shared" si="0"/>
        <v>2022 to</v>
      </c>
      <c r="C43" s="42">
        <f t="shared" si="1"/>
        <v>2023</v>
      </c>
      <c r="D43" s="930">
        <v>-2.2742121664911852</v>
      </c>
      <c r="E43" s="931">
        <v>-1.3014991429884826</v>
      </c>
      <c r="F43" s="432">
        <v>-0.67829539206801792</v>
      </c>
      <c r="G43" s="931">
        <v>-2.3527164156815772</v>
      </c>
      <c r="H43" s="931">
        <v>-1.2809588789186921</v>
      </c>
      <c r="I43" s="931">
        <v>-2.5946030342021031</v>
      </c>
      <c r="J43" s="930">
        <v>0</v>
      </c>
      <c r="K43" s="432">
        <v>0</v>
      </c>
      <c r="L43" s="930">
        <v>0</v>
      </c>
      <c r="M43" s="432">
        <v>0</v>
      </c>
      <c r="N43" s="931">
        <v>0</v>
      </c>
      <c r="O43" s="432">
        <v>0</v>
      </c>
      <c r="P43" s="931">
        <v>0</v>
      </c>
      <c r="Q43" s="432">
        <v>0</v>
      </c>
      <c r="R43" s="82"/>
      <c r="S43" s="26"/>
      <c r="T43" s="26"/>
      <c r="U43" s="26"/>
      <c r="V43" s="26"/>
      <c r="W43" s="26"/>
      <c r="X43" s="26"/>
      <c r="Y43" s="26"/>
      <c r="AF43" s="38"/>
      <c r="AG43" s="38"/>
      <c r="AH43" s="38"/>
      <c r="AI43" s="38"/>
      <c r="AJ43" s="38"/>
      <c r="AK43" s="38"/>
      <c r="AL43" s="38"/>
    </row>
    <row r="44" spans="1:38" ht="13.5" customHeight="1">
      <c r="A44" s="113"/>
      <c r="B44" s="452" t="str">
        <f t="shared" si="0"/>
        <v>2023 to</v>
      </c>
      <c r="C44" s="42">
        <f t="shared" si="1"/>
        <v>2024</v>
      </c>
      <c r="D44" s="930">
        <v>-2.1333659044843856</v>
      </c>
      <c r="E44" s="931">
        <v>-1.2369656668731577</v>
      </c>
      <c r="F44" s="432">
        <v>-0.76617185561355106</v>
      </c>
      <c r="G44" s="931">
        <v>-2.0670388753873836</v>
      </c>
      <c r="H44" s="931">
        <v>-1.1228206334393476</v>
      </c>
      <c r="I44" s="931">
        <v>-2.4065407293423213</v>
      </c>
      <c r="J44" s="930">
        <v>0</v>
      </c>
      <c r="K44" s="432">
        <v>0</v>
      </c>
      <c r="L44" s="930">
        <v>0</v>
      </c>
      <c r="M44" s="432">
        <v>0</v>
      </c>
      <c r="N44" s="931">
        <v>0</v>
      </c>
      <c r="O44" s="432">
        <v>0</v>
      </c>
      <c r="P44" s="931">
        <v>0</v>
      </c>
      <c r="Q44" s="432">
        <v>0</v>
      </c>
      <c r="R44" s="82"/>
      <c r="S44" s="26"/>
      <c r="T44" s="26"/>
      <c r="U44" s="26"/>
      <c r="V44" s="26"/>
      <c r="W44" s="26"/>
      <c r="X44" s="26"/>
      <c r="Y44" s="26"/>
      <c r="AF44" s="38"/>
      <c r="AG44" s="38"/>
      <c r="AH44" s="38"/>
      <c r="AI44" s="38"/>
      <c r="AJ44" s="38"/>
      <c r="AK44" s="38"/>
      <c r="AL44" s="38"/>
    </row>
    <row r="45" spans="1:38" ht="13.5" customHeight="1">
      <c r="A45" s="113"/>
      <c r="B45" s="452" t="str">
        <f t="shared" si="0"/>
        <v>2024 to</v>
      </c>
      <c r="C45" s="42">
        <f t="shared" si="1"/>
        <v>2025</v>
      </c>
      <c r="D45" s="930">
        <v>-2.2805112468715083</v>
      </c>
      <c r="E45" s="931">
        <v>-1.4805009963581472</v>
      </c>
      <c r="F45" s="432">
        <v>-0.85495873863552507</v>
      </c>
      <c r="G45" s="931">
        <v>-2.0613622706771029</v>
      </c>
      <c r="H45" s="931">
        <v>-0.98775402460034023</v>
      </c>
      <c r="I45" s="931">
        <v>-2.239779998223812</v>
      </c>
      <c r="J45" s="930">
        <v>0</v>
      </c>
      <c r="K45" s="432">
        <v>0</v>
      </c>
      <c r="L45" s="930">
        <v>0</v>
      </c>
      <c r="M45" s="432">
        <v>0</v>
      </c>
      <c r="N45" s="931">
        <v>0</v>
      </c>
      <c r="O45" s="432">
        <v>0</v>
      </c>
      <c r="P45" s="931">
        <v>0</v>
      </c>
      <c r="Q45" s="432">
        <v>0</v>
      </c>
      <c r="R45" s="82"/>
      <c r="S45" s="26"/>
      <c r="T45" s="26"/>
      <c r="U45" s="26"/>
      <c r="V45" s="26"/>
      <c r="W45" s="26"/>
      <c r="X45" s="26"/>
      <c r="Y45" s="26"/>
      <c r="AF45" s="38"/>
      <c r="AG45" s="38"/>
      <c r="AH45" s="38"/>
      <c r="AI45" s="38"/>
      <c r="AJ45" s="38"/>
      <c r="AK45" s="38"/>
      <c r="AL45" s="38"/>
    </row>
    <row r="46" spans="1:38" ht="13.5" customHeight="1">
      <c r="A46" s="113"/>
      <c r="B46" s="452" t="str">
        <f t="shared" si="0"/>
        <v>2025 to</v>
      </c>
      <c r="C46" s="42">
        <f t="shared" si="1"/>
        <v>2026</v>
      </c>
      <c r="D46" s="930">
        <v>-1.670349561219342</v>
      </c>
      <c r="E46" s="931">
        <v>-0.97639940306687434</v>
      </c>
      <c r="F46" s="432">
        <v>-1.0309995833192809</v>
      </c>
      <c r="G46" s="931">
        <v>-2.0989806142296064</v>
      </c>
      <c r="H46" s="931">
        <v>-0.89863530384065582</v>
      </c>
      <c r="I46" s="931">
        <v>-2.2204460492503131E-14</v>
      </c>
      <c r="J46" s="930">
        <v>0</v>
      </c>
      <c r="K46" s="432">
        <v>0</v>
      </c>
      <c r="L46" s="930">
        <v>0</v>
      </c>
      <c r="M46" s="432">
        <v>0</v>
      </c>
      <c r="N46" s="931">
        <v>0</v>
      </c>
      <c r="O46" s="432">
        <v>0</v>
      </c>
      <c r="P46" s="931">
        <v>0</v>
      </c>
      <c r="Q46" s="432">
        <v>0</v>
      </c>
      <c r="R46" s="82"/>
      <c r="S46" s="26"/>
      <c r="T46" s="26"/>
      <c r="U46" s="26"/>
      <c r="V46" s="26"/>
      <c r="W46" s="26"/>
      <c r="X46" s="26"/>
      <c r="Y46" s="26"/>
      <c r="AF46" s="38"/>
      <c r="AG46" s="38"/>
      <c r="AH46" s="38"/>
      <c r="AI46" s="38"/>
      <c r="AJ46" s="38"/>
      <c r="AK46" s="38"/>
      <c r="AL46" s="38"/>
    </row>
    <row r="47" spans="1:38" ht="13.5" customHeight="1">
      <c r="A47" s="113"/>
      <c r="B47" s="452" t="str">
        <f t="shared" si="0"/>
        <v>2026 to</v>
      </c>
      <c r="C47" s="42">
        <f t="shared" si="1"/>
        <v>2027</v>
      </c>
      <c r="D47" s="930">
        <v>-1.4321867553281686</v>
      </c>
      <c r="E47" s="931">
        <v>-0.83014237467112784</v>
      </c>
      <c r="F47" s="432">
        <v>-1.1525723617466954</v>
      </c>
      <c r="G47" s="931">
        <v>-9.7968781174736073</v>
      </c>
      <c r="H47" s="931">
        <v>-0.82593942332339632</v>
      </c>
      <c r="I47" s="931">
        <v>-1.1102230246251565E-14</v>
      </c>
      <c r="J47" s="930">
        <v>0</v>
      </c>
      <c r="K47" s="432">
        <v>0</v>
      </c>
      <c r="L47" s="930">
        <v>0</v>
      </c>
      <c r="M47" s="432">
        <v>0</v>
      </c>
      <c r="N47" s="931">
        <v>0</v>
      </c>
      <c r="O47" s="432">
        <v>0</v>
      </c>
      <c r="P47" s="931">
        <v>0</v>
      </c>
      <c r="Q47" s="432">
        <v>0</v>
      </c>
      <c r="R47" s="82"/>
      <c r="S47" s="26"/>
      <c r="T47" s="26"/>
      <c r="U47" s="26"/>
      <c r="V47" s="26"/>
      <c r="W47" s="26"/>
      <c r="X47" s="26"/>
      <c r="Y47" s="26"/>
      <c r="AF47" s="38"/>
      <c r="AG47" s="38"/>
      <c r="AH47" s="38"/>
      <c r="AI47" s="38"/>
      <c r="AJ47" s="38"/>
      <c r="AK47" s="38"/>
      <c r="AL47" s="38"/>
    </row>
    <row r="48" spans="1:38" ht="13.5" customHeight="1">
      <c r="A48" s="113"/>
      <c r="B48" s="452" t="str">
        <f t="shared" si="0"/>
        <v>2027 to</v>
      </c>
      <c r="C48" s="42">
        <f t="shared" si="1"/>
        <v>2028</v>
      </c>
      <c r="D48" s="930">
        <v>-1.5840484870910498</v>
      </c>
      <c r="E48" s="931">
        <v>-1.0648458188434184</v>
      </c>
      <c r="F48" s="432">
        <v>-1.2836295731888048</v>
      </c>
      <c r="G48" s="931">
        <v>-1.264403704202155</v>
      </c>
      <c r="H48" s="931">
        <v>-0.72465314763112687</v>
      </c>
      <c r="I48" s="931">
        <v>0</v>
      </c>
      <c r="J48" s="930">
        <v>0</v>
      </c>
      <c r="K48" s="432">
        <v>0</v>
      </c>
      <c r="L48" s="930">
        <v>0</v>
      </c>
      <c r="M48" s="432">
        <v>0</v>
      </c>
      <c r="N48" s="931">
        <v>0</v>
      </c>
      <c r="O48" s="432">
        <v>0</v>
      </c>
      <c r="P48" s="931">
        <v>0</v>
      </c>
      <c r="Q48" s="432">
        <v>0</v>
      </c>
      <c r="R48" s="82"/>
      <c r="S48" s="26"/>
      <c r="T48" s="26"/>
      <c r="U48" s="26"/>
      <c r="V48" s="26"/>
      <c r="W48" s="26"/>
      <c r="X48" s="26"/>
      <c r="Y48" s="26"/>
      <c r="AF48" s="38"/>
      <c r="AG48" s="38"/>
      <c r="AH48" s="38"/>
      <c r="AI48" s="38"/>
      <c r="AJ48" s="38"/>
      <c r="AK48" s="38"/>
      <c r="AL48" s="38"/>
    </row>
    <row r="49" spans="1:38" ht="13.5" customHeight="1">
      <c r="A49" s="113"/>
      <c r="B49" s="452" t="str">
        <f t="shared" si="0"/>
        <v>2028 to</v>
      </c>
      <c r="C49" s="42">
        <f t="shared" si="1"/>
        <v>2029</v>
      </c>
      <c r="D49" s="930">
        <v>-1.0134641196753336</v>
      </c>
      <c r="E49" s="931">
        <v>-0.56780111308164516</v>
      </c>
      <c r="F49" s="432">
        <v>-1.3884006294453521</v>
      </c>
      <c r="G49" s="931">
        <v>-1.0758923792981268</v>
      </c>
      <c r="H49" s="931">
        <v>-0.62876900634436517</v>
      </c>
      <c r="I49" s="931">
        <v>0</v>
      </c>
      <c r="J49" s="930">
        <v>0</v>
      </c>
      <c r="K49" s="432">
        <v>0</v>
      </c>
      <c r="L49" s="930">
        <v>0</v>
      </c>
      <c r="M49" s="432">
        <v>0</v>
      </c>
      <c r="N49" s="931">
        <v>0</v>
      </c>
      <c r="O49" s="432">
        <v>0</v>
      </c>
      <c r="P49" s="931">
        <v>0</v>
      </c>
      <c r="Q49" s="432">
        <v>0</v>
      </c>
      <c r="R49" s="82"/>
      <c r="S49" s="26"/>
      <c r="T49" s="26"/>
      <c r="U49" s="26"/>
      <c r="V49" s="26"/>
      <c r="W49" s="26"/>
      <c r="X49" s="26"/>
      <c r="Y49" s="26"/>
      <c r="AF49" s="38"/>
      <c r="AG49" s="38"/>
      <c r="AH49" s="38"/>
      <c r="AI49" s="38"/>
      <c r="AJ49" s="38"/>
      <c r="AK49" s="38"/>
      <c r="AL49" s="38"/>
    </row>
    <row r="50" spans="1:38" ht="13.5" customHeight="1">
      <c r="A50" s="113"/>
      <c r="B50" s="452" t="str">
        <f t="shared" si="0"/>
        <v>2029 to</v>
      </c>
      <c r="C50" s="42">
        <f t="shared" si="1"/>
        <v>2030</v>
      </c>
      <c r="D50" s="930">
        <v>-0.82952171970305244</v>
      </c>
      <c r="E50" s="931">
        <v>-0.45835139864049967</v>
      </c>
      <c r="F50" s="432">
        <v>-1.4804489586765723</v>
      </c>
      <c r="G50" s="931">
        <v>-0.93207837641238189</v>
      </c>
      <c r="H50" s="931">
        <v>-0.52449718090176178</v>
      </c>
      <c r="I50" s="931">
        <v>6.6613381477509392E-14</v>
      </c>
      <c r="J50" s="930">
        <v>0</v>
      </c>
      <c r="K50" s="432">
        <v>0</v>
      </c>
      <c r="L50" s="930">
        <v>0</v>
      </c>
      <c r="M50" s="432">
        <v>0</v>
      </c>
      <c r="N50" s="931">
        <v>0</v>
      </c>
      <c r="O50" s="432">
        <v>0</v>
      </c>
      <c r="P50" s="931">
        <v>0</v>
      </c>
      <c r="Q50" s="432">
        <v>0</v>
      </c>
      <c r="R50" s="82"/>
      <c r="S50" s="26"/>
      <c r="T50" s="26"/>
      <c r="U50" s="26"/>
      <c r="V50" s="26"/>
      <c r="W50" s="26"/>
      <c r="X50" s="26"/>
      <c r="Y50" s="26"/>
      <c r="AF50" s="38"/>
      <c r="AG50" s="38"/>
      <c r="AH50" s="38"/>
      <c r="AI50" s="38"/>
      <c r="AJ50" s="38"/>
      <c r="AK50" s="38"/>
      <c r="AL50" s="38"/>
    </row>
    <row r="51" spans="1:38" ht="13.5" customHeight="1">
      <c r="A51" s="113"/>
      <c r="B51" s="452" t="str">
        <f t="shared" si="0"/>
        <v>2030 to</v>
      </c>
      <c r="C51" s="42">
        <f t="shared" si="1"/>
        <v>2031</v>
      </c>
      <c r="D51" s="930">
        <v>-1.0533114731414162</v>
      </c>
      <c r="E51" s="931">
        <v>-0.75002073673925418</v>
      </c>
      <c r="F51" s="432">
        <v>-1.2674001081158348</v>
      </c>
      <c r="G51" s="931">
        <v>-0.7658142089069675</v>
      </c>
      <c r="H51" s="931">
        <v>-0.41687609337137665</v>
      </c>
      <c r="I51" s="931">
        <v>-6.6613381477509392E-14</v>
      </c>
      <c r="J51" s="930">
        <v>0</v>
      </c>
      <c r="K51" s="432">
        <v>0</v>
      </c>
      <c r="L51" s="930">
        <v>0</v>
      </c>
      <c r="M51" s="432">
        <v>0</v>
      </c>
      <c r="N51" s="931">
        <v>0</v>
      </c>
      <c r="O51" s="432">
        <v>0</v>
      </c>
      <c r="P51" s="931">
        <v>0</v>
      </c>
      <c r="Q51" s="432">
        <v>0</v>
      </c>
      <c r="R51" s="82"/>
      <c r="S51" s="26"/>
      <c r="T51" s="26"/>
      <c r="U51" s="26"/>
      <c r="V51" s="26"/>
      <c r="W51" s="26"/>
      <c r="X51" s="26"/>
      <c r="Y51" s="26"/>
      <c r="AF51" s="38"/>
      <c r="AG51" s="38"/>
      <c r="AH51" s="38"/>
      <c r="AI51" s="38"/>
      <c r="AJ51" s="38"/>
      <c r="AK51" s="38"/>
      <c r="AL51" s="38"/>
    </row>
    <row r="52" spans="1:38" ht="13.5" customHeight="1">
      <c r="A52" s="113"/>
      <c r="B52" s="452" t="str">
        <f t="shared" si="0"/>
        <v>2031 to</v>
      </c>
      <c r="C52" s="42">
        <f t="shared" si="1"/>
        <v>2032</v>
      </c>
      <c r="D52" s="930">
        <v>-0.50668201739637597</v>
      </c>
      <c r="E52" s="931">
        <v>-0.26894550948415308</v>
      </c>
      <c r="F52" s="432">
        <v>-1.0943133531885918</v>
      </c>
      <c r="G52" s="931">
        <v>-0.61607843563800113</v>
      </c>
      <c r="H52" s="931">
        <v>-0.31312457308402264</v>
      </c>
      <c r="I52" s="931">
        <v>2.2204460492503131E-14</v>
      </c>
      <c r="J52" s="930">
        <v>0</v>
      </c>
      <c r="K52" s="432">
        <v>0</v>
      </c>
      <c r="L52" s="930">
        <v>0</v>
      </c>
      <c r="M52" s="432">
        <v>0</v>
      </c>
      <c r="N52" s="931">
        <v>0</v>
      </c>
      <c r="O52" s="432">
        <v>0</v>
      </c>
      <c r="P52" s="931">
        <v>0</v>
      </c>
      <c r="Q52" s="432">
        <v>0</v>
      </c>
      <c r="R52" s="82"/>
      <c r="S52" s="26"/>
      <c r="T52" s="26"/>
      <c r="U52" s="26"/>
      <c r="V52" s="26"/>
      <c r="W52" s="26"/>
      <c r="X52" s="26"/>
      <c r="Y52" s="26"/>
      <c r="AF52" s="38"/>
      <c r="AG52" s="38"/>
      <c r="AH52" s="38"/>
      <c r="AI52" s="38"/>
      <c r="AJ52" s="38"/>
      <c r="AK52" s="38"/>
      <c r="AL52" s="38"/>
    </row>
    <row r="53" spans="1:38" ht="13.5" customHeight="1">
      <c r="A53" s="113"/>
      <c r="B53" s="452" t="str">
        <f t="shared" si="0"/>
        <v>2032 to</v>
      </c>
      <c r="C53" s="42">
        <f t="shared" si="1"/>
        <v>2033</v>
      </c>
      <c r="D53" s="930">
        <v>-0.35924500675242887</v>
      </c>
      <c r="E53" s="931">
        <v>-0.16464258658154263</v>
      </c>
      <c r="F53" s="432">
        <v>-0.97200527796142966</v>
      </c>
      <c r="G53" s="931">
        <v>-0.49031754250000725</v>
      </c>
      <c r="H53" s="931">
        <v>-0.24220318188643564</v>
      </c>
      <c r="I53" s="931">
        <v>-2.2204460492503131E-14</v>
      </c>
      <c r="J53" s="930">
        <v>0</v>
      </c>
      <c r="K53" s="432">
        <v>0</v>
      </c>
      <c r="L53" s="930">
        <v>0</v>
      </c>
      <c r="M53" s="432">
        <v>0</v>
      </c>
      <c r="N53" s="931">
        <v>0</v>
      </c>
      <c r="O53" s="432">
        <v>0</v>
      </c>
      <c r="P53" s="931">
        <v>0</v>
      </c>
      <c r="Q53" s="432">
        <v>0</v>
      </c>
      <c r="R53" s="82"/>
      <c r="S53" s="26"/>
      <c r="T53" s="26"/>
      <c r="U53" s="26"/>
      <c r="V53" s="26"/>
      <c r="W53" s="26"/>
      <c r="X53" s="26"/>
      <c r="Y53" s="26"/>
      <c r="AF53" s="38"/>
      <c r="AG53" s="38"/>
      <c r="AH53" s="38"/>
      <c r="AI53" s="38"/>
      <c r="AJ53" s="38"/>
      <c r="AK53" s="38"/>
      <c r="AL53" s="38"/>
    </row>
    <row r="54" spans="1:38" ht="13.5" customHeight="1">
      <c r="A54" s="113"/>
      <c r="B54" s="452" t="str">
        <f t="shared" si="0"/>
        <v>2033 to</v>
      </c>
      <c r="C54" s="42">
        <f t="shared" si="1"/>
        <v>2034</v>
      </c>
      <c r="D54" s="930">
        <v>-0.62828064127777861</v>
      </c>
      <c r="E54" s="931">
        <v>-0.48670964337023115</v>
      </c>
      <c r="F54" s="432">
        <v>-0.87396618620165789</v>
      </c>
      <c r="G54" s="931">
        <v>-0.36555137566434137</v>
      </c>
      <c r="H54" s="931">
        <v>-0.17215897568251259</v>
      </c>
      <c r="I54" s="931">
        <v>0</v>
      </c>
      <c r="J54" s="930">
        <v>0</v>
      </c>
      <c r="K54" s="432">
        <v>0</v>
      </c>
      <c r="L54" s="930">
        <v>0</v>
      </c>
      <c r="M54" s="432">
        <v>0</v>
      </c>
      <c r="N54" s="931">
        <v>0</v>
      </c>
      <c r="O54" s="432">
        <v>0</v>
      </c>
      <c r="P54" s="931">
        <v>0</v>
      </c>
      <c r="Q54" s="432">
        <v>0</v>
      </c>
      <c r="R54" s="82"/>
      <c r="S54" s="26"/>
      <c r="T54" s="26"/>
      <c r="U54" s="26"/>
      <c r="V54" s="26"/>
      <c r="W54" s="26"/>
      <c r="X54" s="26"/>
      <c r="Y54" s="26"/>
      <c r="AF54" s="38"/>
      <c r="AG54" s="38"/>
      <c r="AH54" s="38"/>
      <c r="AI54" s="38"/>
      <c r="AJ54" s="38"/>
      <c r="AK54" s="38"/>
      <c r="AL54" s="38"/>
    </row>
    <row r="55" spans="1:38" ht="13.5" customHeight="1">
      <c r="A55" s="113"/>
      <c r="B55" s="452" t="str">
        <f t="shared" si="0"/>
        <v>2034 to</v>
      </c>
      <c r="C55" s="42">
        <f>C54+1</f>
        <v>2035</v>
      </c>
      <c r="D55" s="930">
        <v>-0.11994797346527308</v>
      </c>
      <c r="E55" s="931">
        <v>-1.9332054736764803E-2</v>
      </c>
      <c r="F55" s="432">
        <v>-0.77815421688948172</v>
      </c>
      <c r="G55" s="931">
        <v>-0.2554420017750747</v>
      </c>
      <c r="H55" s="931">
        <v>-0.12151763607698429</v>
      </c>
      <c r="I55" s="931">
        <v>0</v>
      </c>
      <c r="J55" s="930">
        <v>0</v>
      </c>
      <c r="K55" s="432">
        <v>0</v>
      </c>
      <c r="L55" s="930">
        <v>0</v>
      </c>
      <c r="M55" s="432">
        <v>0</v>
      </c>
      <c r="N55" s="931">
        <v>0</v>
      </c>
      <c r="O55" s="432">
        <v>0</v>
      </c>
      <c r="P55" s="931">
        <v>0</v>
      </c>
      <c r="Q55" s="432">
        <v>0</v>
      </c>
      <c r="R55" s="82"/>
      <c r="S55" s="26"/>
      <c r="T55" s="26"/>
      <c r="U55" s="26"/>
      <c r="V55" s="26"/>
      <c r="W55" s="26"/>
      <c r="X55" s="26"/>
      <c r="Y55" s="26"/>
      <c r="AF55" s="38"/>
      <c r="AG55" s="38"/>
      <c r="AH55" s="38"/>
      <c r="AI55" s="38"/>
      <c r="AJ55" s="38"/>
      <c r="AK55" s="38"/>
      <c r="AL55" s="38"/>
    </row>
    <row r="56" spans="1:38" ht="13.5" customHeight="1">
      <c r="A56" s="113"/>
      <c r="B56" s="452" t="str">
        <f t="shared" ref="B56:B70" si="2">CONCATENATE(C56-1," to")</f>
        <v>2035 to</v>
      </c>
      <c r="C56" s="42">
        <f t="shared" ref="C56:C70" si="3">C55+1</f>
        <v>2036</v>
      </c>
      <c r="D56" s="930">
        <v>-4.2749400195074561E-2</v>
      </c>
      <c r="E56" s="931">
        <v>2.7261698992342431E-2</v>
      </c>
      <c r="F56" s="432">
        <v>-0.69144465317865222</v>
      </c>
      <c r="G56" s="931">
        <v>-0.19711049166510897</v>
      </c>
      <c r="H56" s="931">
        <v>-8.7181836649119493E-2</v>
      </c>
      <c r="I56" s="931">
        <v>2.2204460492503131E-14</v>
      </c>
      <c r="J56" s="930">
        <v>0</v>
      </c>
      <c r="K56" s="432">
        <v>0</v>
      </c>
      <c r="L56" s="930">
        <v>0</v>
      </c>
      <c r="M56" s="432">
        <v>0</v>
      </c>
      <c r="N56" s="931">
        <v>0</v>
      </c>
      <c r="O56" s="432">
        <v>0</v>
      </c>
      <c r="P56" s="931">
        <v>0</v>
      </c>
      <c r="Q56" s="432">
        <v>0</v>
      </c>
      <c r="R56" s="82"/>
      <c r="S56" s="26"/>
      <c r="T56" s="26"/>
      <c r="U56" s="26"/>
      <c r="V56" s="26"/>
      <c r="W56" s="26"/>
      <c r="X56" s="26"/>
      <c r="Y56" s="26"/>
      <c r="AF56" s="38"/>
      <c r="AG56" s="38"/>
      <c r="AH56" s="38"/>
      <c r="AI56" s="38"/>
      <c r="AJ56" s="38"/>
      <c r="AK56" s="38"/>
      <c r="AL56" s="38"/>
    </row>
    <row r="57" spans="1:38" ht="13.5" customHeight="1">
      <c r="A57" s="113"/>
      <c r="B57" s="452" t="str">
        <f t="shared" si="2"/>
        <v>2036 to</v>
      </c>
      <c r="C57" s="42">
        <f t="shared" si="3"/>
        <v>2037</v>
      </c>
      <c r="D57" s="930">
        <v>-0.39948343957185717</v>
      </c>
      <c r="E57" s="931">
        <v>-0.35157307046421726</v>
      </c>
      <c r="F57" s="432">
        <v>-0.6157415293268742</v>
      </c>
      <c r="G57" s="931">
        <v>-0.14619177020636087</v>
      </c>
      <c r="H57" s="931">
        <v>-6.5100540898421766E-2</v>
      </c>
      <c r="I57" s="931">
        <v>2.2204460492503131E-14</v>
      </c>
      <c r="J57" s="930">
        <v>0</v>
      </c>
      <c r="K57" s="432">
        <v>0</v>
      </c>
      <c r="L57" s="930">
        <v>0</v>
      </c>
      <c r="M57" s="432">
        <v>0</v>
      </c>
      <c r="N57" s="931">
        <v>0</v>
      </c>
      <c r="O57" s="432">
        <v>0</v>
      </c>
      <c r="P57" s="931">
        <v>0</v>
      </c>
      <c r="Q57" s="432">
        <v>0</v>
      </c>
      <c r="R57" s="82"/>
      <c r="S57" s="26"/>
      <c r="T57" s="26"/>
      <c r="U57" s="26"/>
      <c r="V57" s="26"/>
      <c r="W57" s="26"/>
      <c r="X57" s="26"/>
      <c r="Y57" s="26"/>
      <c r="AF57" s="38"/>
      <c r="AG57" s="38"/>
      <c r="AH57" s="38"/>
      <c r="AI57" s="38"/>
      <c r="AJ57" s="38"/>
      <c r="AK57" s="38"/>
      <c r="AL57" s="38"/>
    </row>
    <row r="58" spans="1:38" ht="13.5" customHeight="1">
      <c r="A58" s="113"/>
      <c r="B58" s="452" t="str">
        <f t="shared" si="2"/>
        <v>2037 to</v>
      </c>
      <c r="C58" s="42">
        <f t="shared" si="3"/>
        <v>2038</v>
      </c>
      <c r="D58" s="930">
        <v>5.9143526979443806E-2</v>
      </c>
      <c r="E58" s="931">
        <v>9.2469894855362611E-2</v>
      </c>
      <c r="F58" s="432">
        <v>-0.5388124121299076</v>
      </c>
      <c r="G58" s="931">
        <v>-0.11119630900450206</v>
      </c>
      <c r="H58" s="931">
        <v>-5.0183064626496687E-2</v>
      </c>
      <c r="I58" s="931">
        <v>-1.1102230246251565E-14</v>
      </c>
      <c r="J58" s="930">
        <v>0</v>
      </c>
      <c r="K58" s="432">
        <v>0</v>
      </c>
      <c r="L58" s="930">
        <v>0</v>
      </c>
      <c r="M58" s="432">
        <v>0</v>
      </c>
      <c r="N58" s="931">
        <v>0</v>
      </c>
      <c r="O58" s="432">
        <v>0</v>
      </c>
      <c r="P58" s="931">
        <v>0</v>
      </c>
      <c r="Q58" s="432">
        <v>0</v>
      </c>
      <c r="R58" s="82"/>
      <c r="S58" s="26"/>
      <c r="T58" s="26"/>
      <c r="U58" s="26"/>
      <c r="V58" s="26"/>
      <c r="W58" s="26"/>
      <c r="X58" s="26"/>
      <c r="Y58" s="26"/>
      <c r="AF58" s="38"/>
      <c r="AG58" s="38"/>
      <c r="AH58" s="38"/>
      <c r="AI58" s="38"/>
      <c r="AJ58" s="38"/>
      <c r="AK58" s="38"/>
      <c r="AL58" s="38"/>
    </row>
    <row r="59" spans="1:38" ht="13.5" customHeight="1">
      <c r="A59" s="113"/>
      <c r="B59" s="452" t="str">
        <f t="shared" si="2"/>
        <v>2038 to</v>
      </c>
      <c r="C59" s="42">
        <f t="shared" si="3"/>
        <v>2039</v>
      </c>
      <c r="D59" s="930">
        <v>8.5753076194849953E-2</v>
      </c>
      <c r="E59" s="931">
        <v>0.10857839431175353</v>
      </c>
      <c r="F59" s="432">
        <v>-0.46233112477966909</v>
      </c>
      <c r="G59" s="931">
        <v>-8.0569171454025756E-2</v>
      </c>
      <c r="H59" s="931">
        <v>-3.9321071617404169E-2</v>
      </c>
      <c r="I59" s="931">
        <v>-2.2204460492503131E-14</v>
      </c>
      <c r="J59" s="930">
        <v>0</v>
      </c>
      <c r="K59" s="432">
        <v>0</v>
      </c>
      <c r="L59" s="930">
        <v>0</v>
      </c>
      <c r="M59" s="432">
        <v>0</v>
      </c>
      <c r="N59" s="931">
        <v>0</v>
      </c>
      <c r="O59" s="432">
        <v>0</v>
      </c>
      <c r="P59" s="931">
        <v>0</v>
      </c>
      <c r="Q59" s="432">
        <v>0</v>
      </c>
      <c r="R59" s="82"/>
      <c r="S59" s="26"/>
      <c r="T59" s="26"/>
      <c r="U59" s="26"/>
      <c r="V59" s="26"/>
      <c r="W59" s="26"/>
      <c r="X59" s="26"/>
      <c r="Y59" s="26"/>
      <c r="AF59" s="38"/>
      <c r="AG59" s="38"/>
      <c r="AH59" s="38"/>
      <c r="AI59" s="38"/>
      <c r="AJ59" s="38"/>
      <c r="AK59" s="38"/>
      <c r="AL59" s="38"/>
    </row>
    <row r="60" spans="1:38" ht="13.5" customHeight="1">
      <c r="A60" s="113"/>
      <c r="B60" s="452" t="str">
        <f t="shared" si="2"/>
        <v>2039 to</v>
      </c>
      <c r="C60" s="42">
        <f t="shared" si="3"/>
        <v>2040</v>
      </c>
      <c r="D60" s="930">
        <v>-0.32553169903402068</v>
      </c>
      <c r="E60" s="931">
        <v>-0.30972858167529482</v>
      </c>
      <c r="F60" s="432">
        <v>-0.39455190003225837</v>
      </c>
      <c r="G60" s="931">
        <v>-5.0054485082973166E-2</v>
      </c>
      <c r="H60" s="931">
        <v>-3.205230561955652E-2</v>
      </c>
      <c r="I60" s="931">
        <v>-1.1102230246251565E-14</v>
      </c>
      <c r="J60" s="930">
        <v>0</v>
      </c>
      <c r="K60" s="432">
        <v>0</v>
      </c>
      <c r="L60" s="930">
        <v>0</v>
      </c>
      <c r="M60" s="432">
        <v>0</v>
      </c>
      <c r="N60" s="931">
        <v>0</v>
      </c>
      <c r="O60" s="432">
        <v>0</v>
      </c>
      <c r="P60" s="931">
        <v>0</v>
      </c>
      <c r="Q60" s="432">
        <v>0</v>
      </c>
      <c r="R60" s="82"/>
      <c r="S60" s="26"/>
      <c r="T60" s="26"/>
      <c r="U60" s="26"/>
      <c r="V60" s="26"/>
      <c r="W60" s="26"/>
      <c r="X60" s="26"/>
      <c r="Y60" s="26"/>
      <c r="AF60" s="38"/>
      <c r="AG60" s="38"/>
      <c r="AH60" s="38"/>
      <c r="AI60" s="38"/>
      <c r="AJ60" s="38"/>
      <c r="AK60" s="38"/>
      <c r="AL60" s="38"/>
    </row>
    <row r="61" spans="1:38" ht="13.5" customHeight="1">
      <c r="A61" s="113"/>
      <c r="B61" s="452" t="str">
        <f t="shared" si="2"/>
        <v>2040 to</v>
      </c>
      <c r="C61" s="42">
        <f t="shared" si="3"/>
        <v>2041</v>
      </c>
      <c r="D61" s="930">
        <v>0.12072310867514702</v>
      </c>
      <c r="E61" s="931">
        <v>0.13131596511866128</v>
      </c>
      <c r="F61" s="432">
        <v>-0.3334677738216274</v>
      </c>
      <c r="G61" s="931">
        <v>-3.998047832102225E-2</v>
      </c>
      <c r="H61" s="931">
        <v>-2.672130456800037E-2</v>
      </c>
      <c r="I61" s="931">
        <v>4.4408920985006262E-14</v>
      </c>
      <c r="J61" s="930">
        <v>0</v>
      </c>
      <c r="K61" s="432">
        <v>0</v>
      </c>
      <c r="L61" s="930">
        <v>0</v>
      </c>
      <c r="M61" s="432">
        <v>0</v>
      </c>
      <c r="N61" s="931">
        <v>0</v>
      </c>
      <c r="O61" s="432">
        <v>0</v>
      </c>
      <c r="P61" s="931">
        <v>0</v>
      </c>
      <c r="Q61" s="432">
        <v>0</v>
      </c>
      <c r="R61" s="82"/>
      <c r="S61" s="26"/>
      <c r="T61" s="26"/>
      <c r="U61" s="26"/>
      <c r="V61" s="26"/>
      <c r="W61" s="26"/>
      <c r="X61" s="26"/>
      <c r="Y61" s="26"/>
      <c r="AF61" s="38"/>
      <c r="AG61" s="38"/>
      <c r="AH61" s="38"/>
      <c r="AI61" s="38"/>
      <c r="AJ61" s="38"/>
      <c r="AK61" s="38"/>
      <c r="AL61" s="38"/>
    </row>
    <row r="62" spans="1:38" ht="13.5" customHeight="1">
      <c r="A62" s="113"/>
      <c r="B62" s="452" t="str">
        <f t="shared" si="2"/>
        <v>2041 to</v>
      </c>
      <c r="C62" s="42">
        <f t="shared" si="3"/>
        <v>2042</v>
      </c>
      <c r="D62" s="930">
        <v>0.1274842503105944</v>
      </c>
      <c r="E62" s="931">
        <v>0.13485335523750752</v>
      </c>
      <c r="F62" s="432">
        <v>-0.26612901834660585</v>
      </c>
      <c r="G62" s="931">
        <v>-3.197429756656156E-2</v>
      </c>
      <c r="H62" s="931">
        <v>-2.1396221768699153E-2</v>
      </c>
      <c r="I62" s="931">
        <v>-2.2204460492503131E-14</v>
      </c>
      <c r="J62" s="930">
        <v>0</v>
      </c>
      <c r="K62" s="432">
        <v>0</v>
      </c>
      <c r="L62" s="930">
        <v>0</v>
      </c>
      <c r="M62" s="432">
        <v>0</v>
      </c>
      <c r="N62" s="931">
        <v>0</v>
      </c>
      <c r="O62" s="432">
        <v>0</v>
      </c>
      <c r="P62" s="931">
        <v>0</v>
      </c>
      <c r="Q62" s="432">
        <v>0</v>
      </c>
      <c r="R62" s="82"/>
      <c r="S62" s="26"/>
      <c r="T62" s="26"/>
      <c r="U62" s="26"/>
      <c r="V62" s="26"/>
      <c r="W62" s="26"/>
      <c r="X62" s="26"/>
      <c r="Y62" s="26"/>
      <c r="AF62" s="38"/>
      <c r="AG62" s="38"/>
      <c r="AH62" s="38"/>
      <c r="AI62" s="38"/>
      <c r="AJ62" s="38"/>
      <c r="AK62" s="38"/>
      <c r="AL62" s="38"/>
    </row>
    <row r="63" spans="1:38" ht="13.5" customHeight="1">
      <c r="A63" s="113"/>
      <c r="B63" s="452" t="str">
        <f t="shared" si="2"/>
        <v>2042 to</v>
      </c>
      <c r="C63" s="42">
        <f t="shared" si="3"/>
        <v>2043</v>
      </c>
      <c r="D63" s="930">
        <v>-0.31329096674885815</v>
      </c>
      <c r="E63" s="931">
        <v>-0.30740594517546516</v>
      </c>
      <c r="F63" s="432">
        <v>-0.21502589263697747</v>
      </c>
      <c r="G63" s="931">
        <v>-2.400583603179296E-2</v>
      </c>
      <c r="H63" s="931">
        <v>-1.6515562482988244E-2</v>
      </c>
      <c r="I63" s="931">
        <v>2.2204460492503131E-14</v>
      </c>
      <c r="J63" s="930">
        <v>0</v>
      </c>
      <c r="K63" s="432">
        <v>0</v>
      </c>
      <c r="L63" s="930">
        <v>0</v>
      </c>
      <c r="M63" s="432">
        <v>0</v>
      </c>
      <c r="N63" s="931">
        <v>0</v>
      </c>
      <c r="O63" s="432">
        <v>0</v>
      </c>
      <c r="P63" s="931">
        <v>0</v>
      </c>
      <c r="Q63" s="432">
        <v>0</v>
      </c>
      <c r="R63" s="82"/>
      <c r="S63" s="26"/>
      <c r="T63" s="26"/>
      <c r="U63" s="26"/>
      <c r="V63" s="26"/>
      <c r="W63" s="26"/>
      <c r="X63" s="26"/>
      <c r="Y63" s="26"/>
      <c r="AF63" s="38"/>
      <c r="AG63" s="38"/>
      <c r="AH63" s="38"/>
      <c r="AI63" s="38"/>
      <c r="AJ63" s="38"/>
      <c r="AK63" s="38"/>
      <c r="AL63" s="38"/>
    </row>
    <row r="64" spans="1:38" ht="13.5" customHeight="1">
      <c r="A64" s="113"/>
      <c r="B64" s="452" t="str">
        <f t="shared" si="2"/>
        <v>2043 to</v>
      </c>
      <c r="C64" s="42">
        <f t="shared" si="3"/>
        <v>2044</v>
      </c>
      <c r="D64" s="930">
        <v>0.13837014550774906</v>
      </c>
      <c r="E64" s="931">
        <v>0.14375609553829438</v>
      </c>
      <c r="F64" s="432">
        <v>-0.17781880339455824</v>
      </c>
      <c r="G64" s="931">
        <v>-2.1345847693154951E-2</v>
      </c>
      <c r="H64" s="931">
        <v>-1.4207417860812033E-2</v>
      </c>
      <c r="I64" s="931">
        <v>4.4408920985006262E-14</v>
      </c>
      <c r="J64" s="930">
        <v>0</v>
      </c>
      <c r="K64" s="432">
        <v>0</v>
      </c>
      <c r="L64" s="930">
        <v>0</v>
      </c>
      <c r="M64" s="432">
        <v>0</v>
      </c>
      <c r="N64" s="931">
        <v>0</v>
      </c>
      <c r="O64" s="432">
        <v>0</v>
      </c>
      <c r="P64" s="931">
        <v>0</v>
      </c>
      <c r="Q64" s="432">
        <v>0</v>
      </c>
      <c r="R64" s="82"/>
      <c r="S64" s="26"/>
      <c r="T64" s="26"/>
      <c r="U64" s="26"/>
      <c r="V64" s="26"/>
      <c r="W64" s="26"/>
      <c r="X64" s="26"/>
      <c r="Y64" s="26"/>
      <c r="AF64" s="38"/>
      <c r="AG64" s="38"/>
      <c r="AH64" s="38"/>
      <c r="AI64" s="38"/>
      <c r="AJ64" s="38"/>
      <c r="AK64" s="38"/>
      <c r="AL64" s="38"/>
    </row>
    <row r="65" spans="1:38" ht="13.5" customHeight="1">
      <c r="A65" s="113"/>
      <c r="B65" s="452" t="str">
        <f t="shared" si="2"/>
        <v>2044 to</v>
      </c>
      <c r="C65" s="42">
        <f t="shared" si="3"/>
        <v>2045</v>
      </c>
      <c r="D65" s="930">
        <v>0.13862699317319649</v>
      </c>
      <c r="E65" s="931">
        <v>0.1440429959916667</v>
      </c>
      <c r="F65" s="432">
        <v>-0.15046506950644467</v>
      </c>
      <c r="G65" s="931">
        <v>-1.4448537092159874E-2</v>
      </c>
      <c r="H65" s="931">
        <v>-1.3235668218347652E-2</v>
      </c>
      <c r="I65" s="931">
        <v>0</v>
      </c>
      <c r="J65" s="930">
        <v>0</v>
      </c>
      <c r="K65" s="432">
        <v>0</v>
      </c>
      <c r="L65" s="930">
        <v>0</v>
      </c>
      <c r="M65" s="432">
        <v>0</v>
      </c>
      <c r="N65" s="931">
        <v>0</v>
      </c>
      <c r="O65" s="432">
        <v>0</v>
      </c>
      <c r="P65" s="931">
        <v>0</v>
      </c>
      <c r="Q65" s="432">
        <v>0</v>
      </c>
      <c r="R65" s="82"/>
      <c r="S65" s="26"/>
      <c r="T65" s="26"/>
      <c r="U65" s="26"/>
      <c r="V65" s="26"/>
      <c r="W65" s="26"/>
      <c r="X65" s="26"/>
      <c r="Y65" s="26"/>
      <c r="AF65" s="38"/>
      <c r="AG65" s="38"/>
      <c r="AH65" s="38"/>
      <c r="AI65" s="38"/>
      <c r="AJ65" s="38"/>
      <c r="AK65" s="38"/>
      <c r="AL65" s="38"/>
    </row>
    <row r="66" spans="1:38" ht="13.5" customHeight="1">
      <c r="A66" s="113"/>
      <c r="B66" s="452" t="str">
        <f t="shared" si="2"/>
        <v>2045 to</v>
      </c>
      <c r="C66" s="42">
        <f t="shared" si="3"/>
        <v>2046</v>
      </c>
      <c r="D66" s="930">
        <v>-0.31271757262970601</v>
      </c>
      <c r="E66" s="931">
        <v>-0.30714229146318051</v>
      </c>
      <c r="F66" s="432">
        <v>-0.12893001519012071</v>
      </c>
      <c r="G66" s="931">
        <v>-1.3225503798075522E-2</v>
      </c>
      <c r="H66" s="931">
        <v>-1.0533531151479814E-2</v>
      </c>
      <c r="I66" s="931">
        <v>-7.7715611723760958E-14</v>
      </c>
      <c r="J66" s="930">
        <v>0</v>
      </c>
      <c r="K66" s="432">
        <v>0</v>
      </c>
      <c r="L66" s="930">
        <v>0</v>
      </c>
      <c r="M66" s="432">
        <v>0</v>
      </c>
      <c r="N66" s="931">
        <v>0</v>
      </c>
      <c r="O66" s="432">
        <v>0</v>
      </c>
      <c r="P66" s="931">
        <v>0</v>
      </c>
      <c r="Q66" s="432">
        <v>0</v>
      </c>
      <c r="R66" s="82"/>
      <c r="S66" s="26"/>
      <c r="T66" s="26"/>
      <c r="U66" s="26"/>
      <c r="V66" s="26"/>
      <c r="W66" s="26"/>
      <c r="X66" s="26"/>
      <c r="Y66" s="26"/>
      <c r="AF66" s="38"/>
      <c r="AG66" s="38"/>
      <c r="AH66" s="38"/>
      <c r="AI66" s="38"/>
      <c r="AJ66" s="38"/>
      <c r="AK66" s="38"/>
      <c r="AL66" s="38"/>
    </row>
    <row r="67" spans="1:38" ht="13.5" customHeight="1">
      <c r="A67" s="113"/>
      <c r="B67" s="452" t="str">
        <f t="shared" si="2"/>
        <v>2046 to</v>
      </c>
      <c r="C67" s="42">
        <f t="shared" si="3"/>
        <v>2047</v>
      </c>
      <c r="D67" s="930">
        <v>0.1417081039205792</v>
      </c>
      <c r="E67" s="931">
        <v>0.14769433579171487</v>
      </c>
      <c r="F67" s="432">
        <v>-0.11222775105318439</v>
      </c>
      <c r="G67" s="931">
        <v>-1.1889760837413554E-2</v>
      </c>
      <c r="H67" s="931">
        <v>-1.0127059324460674E-2</v>
      </c>
      <c r="I67" s="931">
        <v>2.2204460492503131E-14</v>
      </c>
      <c r="J67" s="930">
        <v>0</v>
      </c>
      <c r="K67" s="432">
        <v>0</v>
      </c>
      <c r="L67" s="930">
        <v>0</v>
      </c>
      <c r="M67" s="432">
        <v>0</v>
      </c>
      <c r="N67" s="931">
        <v>0</v>
      </c>
      <c r="O67" s="432">
        <v>0</v>
      </c>
      <c r="P67" s="931">
        <v>0</v>
      </c>
      <c r="Q67" s="432">
        <v>0</v>
      </c>
      <c r="R67" s="82"/>
      <c r="S67" s="26"/>
      <c r="T67" s="26"/>
      <c r="U67" s="26"/>
      <c r="V67" s="26"/>
      <c r="W67" s="26"/>
      <c r="X67" s="26"/>
      <c r="Y67" s="26"/>
      <c r="AF67" s="38"/>
      <c r="AG67" s="38"/>
      <c r="AH67" s="38"/>
      <c r="AI67" s="38"/>
      <c r="AJ67" s="38"/>
      <c r="AK67" s="38"/>
      <c r="AL67" s="38"/>
    </row>
    <row r="68" spans="1:38" ht="13.5" customHeight="1">
      <c r="A68" s="113"/>
      <c r="B68" s="452" t="str">
        <f t="shared" si="2"/>
        <v>2047 to</v>
      </c>
      <c r="C68" s="42">
        <f t="shared" si="3"/>
        <v>2048</v>
      </c>
      <c r="D68" s="930">
        <v>0.14033321468120974</v>
      </c>
      <c r="E68" s="931">
        <v>0.1465166478250568</v>
      </c>
      <c r="F68" s="432">
        <v>-9.8552786066363751E-2</v>
      </c>
      <c r="G68" s="931">
        <v>-1.4283140320803245E-2</v>
      </c>
      <c r="H68" s="931">
        <v>-1.0257997493079429E-2</v>
      </c>
      <c r="I68" s="931">
        <v>6.6613381477509392E-14</v>
      </c>
      <c r="J68" s="930">
        <v>0</v>
      </c>
      <c r="K68" s="432">
        <v>0</v>
      </c>
      <c r="L68" s="930">
        <v>0</v>
      </c>
      <c r="M68" s="432">
        <v>0</v>
      </c>
      <c r="N68" s="931">
        <v>0</v>
      </c>
      <c r="O68" s="432">
        <v>0</v>
      </c>
      <c r="P68" s="931">
        <v>0</v>
      </c>
      <c r="Q68" s="432">
        <v>0</v>
      </c>
      <c r="R68" s="82"/>
      <c r="S68" s="26"/>
      <c r="T68" s="26"/>
      <c r="U68" s="26"/>
      <c r="V68" s="26"/>
      <c r="W68" s="26"/>
      <c r="X68" s="26"/>
      <c r="Y68" s="26"/>
      <c r="AF68" s="38"/>
      <c r="AG68" s="38"/>
      <c r="AH68" s="38"/>
      <c r="AI68" s="38"/>
      <c r="AJ68" s="38"/>
      <c r="AK68" s="38"/>
      <c r="AL68" s="38"/>
    </row>
    <row r="69" spans="1:38" ht="13.5" customHeight="1">
      <c r="A69" s="113"/>
      <c r="B69" s="452" t="str">
        <f t="shared" si="2"/>
        <v>2048 to</v>
      </c>
      <c r="C69" s="42">
        <f t="shared" si="3"/>
        <v>2049</v>
      </c>
      <c r="D69" s="930">
        <v>-0.31312213743796002</v>
      </c>
      <c r="E69" s="931">
        <v>-0.30676363206616486</v>
      </c>
      <c r="F69" s="432">
        <v>-8.7728034006373523E-2</v>
      </c>
      <c r="G69" s="931">
        <v>-1.5364251785665584E-2</v>
      </c>
      <c r="H69" s="931">
        <v>-9.7452059867109142E-3</v>
      </c>
      <c r="I69" s="931">
        <v>-6.6613381477509392E-14</v>
      </c>
      <c r="J69" s="930">
        <v>0</v>
      </c>
      <c r="K69" s="432">
        <v>0</v>
      </c>
      <c r="L69" s="930">
        <v>0</v>
      </c>
      <c r="M69" s="432">
        <v>0</v>
      </c>
      <c r="N69" s="931">
        <v>0</v>
      </c>
      <c r="O69" s="432">
        <v>0</v>
      </c>
      <c r="P69" s="931">
        <v>0</v>
      </c>
      <c r="Q69" s="432">
        <v>0</v>
      </c>
      <c r="R69" s="82"/>
      <c r="S69" s="26"/>
      <c r="T69" s="26"/>
      <c r="U69" s="26"/>
      <c r="V69" s="26"/>
      <c r="W69" s="26"/>
      <c r="X69" s="26"/>
      <c r="Y69" s="26"/>
      <c r="AF69" s="38"/>
      <c r="AG69" s="38"/>
      <c r="AH69" s="38"/>
      <c r="AI69" s="38"/>
      <c r="AJ69" s="38"/>
      <c r="AK69" s="38"/>
      <c r="AL69" s="38"/>
    </row>
    <row r="70" spans="1:38" ht="13.5" customHeight="1" thickBot="1">
      <c r="A70" s="381"/>
      <c r="B70" s="453" t="str">
        <f t="shared" si="2"/>
        <v>2049 to</v>
      </c>
      <c r="C70" s="94">
        <f t="shared" si="3"/>
        <v>2050</v>
      </c>
      <c r="D70" s="3177">
        <v>0.14179190982530621</v>
      </c>
      <c r="E70" s="936">
        <v>-0.30395178469057038</v>
      </c>
      <c r="F70" s="1384">
        <v>-7.8652514256005723E-2</v>
      </c>
      <c r="G70" s="936">
        <v>-1.9442429833116393E-2</v>
      </c>
      <c r="H70" s="936">
        <v>-9.0986954070282344E-3</v>
      </c>
      <c r="I70" s="936">
        <v>0</v>
      </c>
      <c r="J70" s="3177">
        <v>0</v>
      </c>
      <c r="K70" s="1384">
        <v>0</v>
      </c>
      <c r="L70" s="3177">
        <v>0</v>
      </c>
      <c r="M70" s="1384">
        <v>0</v>
      </c>
      <c r="N70" s="936">
        <v>0</v>
      </c>
      <c r="O70" s="1384">
        <v>0</v>
      </c>
      <c r="P70" s="936">
        <v>0</v>
      </c>
      <c r="Q70" s="1384">
        <v>0</v>
      </c>
      <c r="R70" s="82"/>
      <c r="S70" s="26"/>
      <c r="T70" s="26"/>
      <c r="U70" s="26"/>
      <c r="V70" s="26"/>
      <c r="W70" s="26"/>
      <c r="X70" s="26"/>
      <c r="Y70" s="26"/>
      <c r="AF70" s="38"/>
      <c r="AG70" s="38"/>
      <c r="AH70" s="38"/>
      <c r="AI70" s="38"/>
      <c r="AJ70" s="38"/>
      <c r="AK70" s="38"/>
      <c r="AL70" s="38"/>
    </row>
    <row r="71" spans="1:38" ht="13.5" customHeight="1" thickTop="1" thickBot="1">
      <c r="C71" s="82"/>
      <c r="D71" s="14"/>
      <c r="E71" s="14"/>
      <c r="F71" s="14"/>
      <c r="G71" s="14"/>
      <c r="H71" s="14"/>
      <c r="I71" s="14"/>
      <c r="J71" s="14"/>
      <c r="K71" s="14"/>
      <c r="O71" s="26"/>
      <c r="Q71" s="26"/>
      <c r="R71" s="26"/>
      <c r="S71" s="26"/>
      <c r="T71" s="26"/>
      <c r="U71" s="26"/>
      <c r="V71" s="26"/>
      <c r="W71" s="26"/>
      <c r="AF71" s="38"/>
      <c r="AG71" s="38"/>
      <c r="AH71" s="38"/>
      <c r="AI71" s="38"/>
      <c r="AJ71" s="38"/>
      <c r="AK71" s="38"/>
      <c r="AL71" s="38"/>
    </row>
    <row r="72" spans="1:38" ht="13.5" customHeight="1" thickBot="1">
      <c r="C72" s="31"/>
      <c r="D72" s="528" t="s">
        <v>1489</v>
      </c>
      <c r="E72" s="14"/>
      <c r="F72" s="14"/>
      <c r="G72" s="14"/>
      <c r="H72" s="14"/>
      <c r="I72" s="14"/>
      <c r="J72" s="14"/>
      <c r="K72" s="14"/>
      <c r="O72" s="26"/>
      <c r="Q72" s="26"/>
      <c r="R72" s="26"/>
      <c r="S72" s="26"/>
      <c r="T72" s="26"/>
      <c r="U72" s="26"/>
      <c r="V72" s="26"/>
      <c r="W72" s="26"/>
      <c r="AF72" s="38"/>
      <c r="AG72" s="38"/>
      <c r="AH72" s="38"/>
      <c r="AI72" s="38"/>
      <c r="AJ72" s="38"/>
      <c r="AK72" s="38"/>
      <c r="AL72" s="38"/>
    </row>
    <row r="73" spans="1:38" ht="13.5" customHeight="1">
      <c r="D73" s="14"/>
      <c r="E73" s="14"/>
      <c r="F73" s="14"/>
      <c r="G73" s="14"/>
      <c r="H73" s="14"/>
      <c r="I73" s="14"/>
      <c r="J73" s="14"/>
      <c r="K73" s="14"/>
      <c r="O73" s="26"/>
      <c r="P73" s="26"/>
      <c r="Q73" s="26"/>
      <c r="S73" s="26"/>
      <c r="T73" s="26"/>
      <c r="U73" s="26"/>
    </row>
    <row r="74" spans="1:38" ht="13.5" customHeight="1">
      <c r="D74" s="14"/>
      <c r="E74" s="14"/>
      <c r="F74" s="14"/>
      <c r="G74" s="14"/>
      <c r="H74" s="14"/>
      <c r="I74" s="14"/>
      <c r="J74" s="14"/>
      <c r="K74" s="14"/>
      <c r="O74" s="26"/>
      <c r="P74" s="26"/>
      <c r="Q74" s="26"/>
      <c r="R74" s="26"/>
      <c r="S74" s="26"/>
      <c r="T74" s="26"/>
      <c r="U74" s="26"/>
    </row>
    <row r="75" spans="1:38" ht="13.5" customHeight="1">
      <c r="D75" s="14"/>
      <c r="E75" s="14"/>
      <c r="F75" s="14"/>
      <c r="G75" s="14"/>
      <c r="H75" s="14"/>
      <c r="I75" s="14"/>
      <c r="J75" s="14"/>
      <c r="K75" s="14"/>
      <c r="O75" s="26"/>
      <c r="P75" s="26"/>
      <c r="Q75" s="26"/>
      <c r="R75" s="26"/>
      <c r="S75" s="26"/>
      <c r="T75" s="26"/>
      <c r="U75" s="26"/>
    </row>
    <row r="76" spans="1:38" ht="13.5" customHeight="1">
      <c r="D76" s="14"/>
      <c r="E76" s="14"/>
      <c r="F76" s="14"/>
      <c r="G76" s="14"/>
      <c r="H76" s="14"/>
      <c r="I76" s="14"/>
      <c r="J76" s="14"/>
      <c r="K76" s="14"/>
      <c r="O76" s="26"/>
      <c r="P76" s="26"/>
      <c r="Q76" s="26"/>
      <c r="R76" s="26"/>
      <c r="S76" s="26"/>
      <c r="T76" s="26"/>
      <c r="U76" s="26"/>
    </row>
    <row r="77" spans="1:38" ht="13.5" customHeight="1">
      <c r="D77" s="14"/>
      <c r="E77" s="14"/>
      <c r="F77" s="14"/>
      <c r="G77" s="14"/>
      <c r="H77" s="14"/>
      <c r="I77" s="14"/>
      <c r="J77" s="14"/>
      <c r="K77" s="14"/>
      <c r="O77" s="26"/>
      <c r="P77" s="26"/>
      <c r="Q77" s="26"/>
      <c r="R77" s="26"/>
      <c r="S77" s="26"/>
      <c r="T77" s="26"/>
      <c r="U77" s="26"/>
    </row>
    <row r="78" spans="1:38" ht="13.5" customHeight="1">
      <c r="D78" s="14"/>
      <c r="E78" s="14"/>
      <c r="F78" s="14"/>
      <c r="G78" s="14"/>
      <c r="H78" s="14"/>
      <c r="I78" s="14"/>
      <c r="J78" s="14"/>
      <c r="K78" s="14"/>
      <c r="O78" s="26"/>
      <c r="P78" s="26"/>
      <c r="Q78" s="26"/>
      <c r="R78" s="26"/>
      <c r="S78" s="26"/>
      <c r="T78" s="26"/>
      <c r="U78" s="26"/>
    </row>
    <row r="79" spans="1:38" ht="13.5" customHeight="1">
      <c r="D79" s="14"/>
      <c r="E79" s="14"/>
      <c r="F79" s="14"/>
      <c r="G79" s="14"/>
      <c r="H79" s="14"/>
      <c r="I79" s="14"/>
      <c r="J79" s="14"/>
      <c r="K79" s="14"/>
      <c r="O79" s="26"/>
      <c r="P79" s="26"/>
      <c r="Q79" s="26"/>
      <c r="R79" s="26"/>
      <c r="S79" s="26"/>
      <c r="T79" s="26"/>
      <c r="U79" s="26"/>
    </row>
    <row r="80" spans="1:38" ht="13.5" customHeight="1">
      <c r="D80" s="14"/>
      <c r="E80" s="14"/>
      <c r="F80" s="14"/>
      <c r="G80" s="14"/>
      <c r="H80" s="14"/>
      <c r="I80" s="14"/>
      <c r="J80" s="14"/>
      <c r="K80" s="14"/>
      <c r="O80" s="26"/>
      <c r="P80" s="26"/>
      <c r="Q80" s="26"/>
      <c r="R80" s="26"/>
      <c r="S80" s="26"/>
      <c r="T80" s="26"/>
      <c r="U80" s="26"/>
    </row>
    <row r="81" spans="4:21" ht="13.5" customHeight="1">
      <c r="D81" s="14"/>
      <c r="E81" s="14"/>
      <c r="F81" s="14"/>
      <c r="G81" s="14"/>
      <c r="H81" s="14"/>
      <c r="I81" s="14"/>
      <c r="J81" s="14"/>
      <c r="K81" s="14"/>
      <c r="O81" s="26"/>
      <c r="P81" s="26"/>
      <c r="Q81" s="26"/>
      <c r="R81" s="26"/>
      <c r="S81" s="26"/>
      <c r="T81" s="26"/>
      <c r="U81" s="26"/>
    </row>
    <row r="82" spans="4:21" ht="13.5" customHeight="1">
      <c r="D82" s="14"/>
      <c r="E82" s="14"/>
      <c r="F82" s="14"/>
      <c r="G82" s="14"/>
      <c r="H82" s="14"/>
      <c r="I82" s="14"/>
      <c r="J82" s="14"/>
      <c r="K82" s="14"/>
      <c r="O82" s="26"/>
      <c r="P82" s="26"/>
      <c r="Q82" s="26"/>
      <c r="R82" s="26"/>
      <c r="S82" s="26"/>
      <c r="T82" s="26"/>
      <c r="U82" s="26"/>
    </row>
    <row r="83" spans="4:21" ht="13.5" customHeight="1">
      <c r="D83" s="14"/>
      <c r="E83" s="14"/>
      <c r="F83" s="14"/>
      <c r="G83" s="14"/>
      <c r="H83" s="14"/>
      <c r="I83" s="14"/>
      <c r="J83" s="14"/>
      <c r="K83" s="14"/>
      <c r="O83" s="26"/>
      <c r="P83" s="26"/>
      <c r="Q83" s="26"/>
      <c r="R83" s="26"/>
      <c r="S83" s="26"/>
      <c r="T83" s="26"/>
      <c r="U83" s="26"/>
    </row>
    <row r="84" spans="4:21" ht="13.5" customHeight="1">
      <c r="D84" s="14"/>
      <c r="E84" s="14"/>
      <c r="F84" s="14"/>
      <c r="G84" s="14"/>
      <c r="H84" s="14"/>
      <c r="I84" s="14"/>
      <c r="J84" s="14"/>
      <c r="K84" s="14"/>
      <c r="O84" s="26"/>
      <c r="P84" s="26"/>
      <c r="Q84" s="26"/>
      <c r="R84" s="26"/>
      <c r="S84" s="26"/>
      <c r="T84" s="26"/>
      <c r="U84" s="26"/>
    </row>
    <row r="85" spans="4:21" ht="13.5" customHeight="1">
      <c r="D85" s="14"/>
      <c r="E85" s="14"/>
      <c r="F85" s="14"/>
      <c r="G85" s="14"/>
      <c r="H85" s="14"/>
      <c r="I85" s="14"/>
      <c r="J85" s="14"/>
      <c r="K85" s="14"/>
      <c r="O85" s="26"/>
      <c r="P85" s="26"/>
      <c r="Q85" s="26"/>
      <c r="R85" s="26"/>
      <c r="S85" s="26"/>
      <c r="T85" s="26"/>
      <c r="U85" s="26"/>
    </row>
    <row r="86" spans="4:21" ht="13.5" customHeight="1">
      <c r="D86" s="14"/>
      <c r="E86" s="14"/>
      <c r="F86" s="14"/>
      <c r="G86" s="14"/>
      <c r="H86" s="14"/>
      <c r="I86" s="14"/>
      <c r="J86" s="14"/>
      <c r="K86" s="14"/>
      <c r="O86" s="26"/>
      <c r="P86" s="26"/>
      <c r="Q86" s="26"/>
      <c r="R86" s="26"/>
      <c r="S86" s="26"/>
      <c r="T86" s="26"/>
      <c r="U86" s="26"/>
    </row>
    <row r="87" spans="4:21" ht="13.5" customHeight="1">
      <c r="D87" s="14"/>
      <c r="E87" s="14"/>
      <c r="F87" s="14"/>
      <c r="G87" s="14"/>
      <c r="H87" s="14"/>
      <c r="I87" s="14"/>
      <c r="J87" s="14"/>
      <c r="K87" s="14"/>
      <c r="O87" s="26"/>
      <c r="P87" s="26"/>
      <c r="Q87" s="26"/>
      <c r="R87" s="26"/>
      <c r="S87" s="26"/>
      <c r="T87" s="26"/>
      <c r="U87" s="26"/>
    </row>
    <row r="88" spans="4:21" ht="13.5" customHeight="1">
      <c r="D88" s="14"/>
      <c r="E88" s="14"/>
      <c r="F88" s="14"/>
      <c r="G88" s="14"/>
      <c r="H88" s="14"/>
      <c r="I88" s="14"/>
      <c r="J88" s="14"/>
      <c r="K88" s="14"/>
      <c r="O88" s="26"/>
      <c r="P88" s="26"/>
      <c r="Q88" s="26"/>
      <c r="R88" s="26"/>
      <c r="S88" s="26"/>
      <c r="T88" s="26"/>
      <c r="U88" s="26"/>
    </row>
    <row r="89" spans="4:21" ht="13.5" customHeight="1">
      <c r="D89" s="14"/>
      <c r="E89" s="14"/>
      <c r="F89" s="14"/>
      <c r="G89" s="14"/>
      <c r="H89" s="14"/>
      <c r="I89" s="14"/>
      <c r="J89" s="14"/>
      <c r="K89" s="14"/>
      <c r="O89" s="26"/>
      <c r="P89" s="26"/>
      <c r="Q89" s="26"/>
      <c r="R89" s="26"/>
      <c r="S89" s="26"/>
      <c r="T89" s="26"/>
      <c r="U89" s="26"/>
    </row>
    <row r="90" spans="4:21" ht="13.5" customHeight="1">
      <c r="D90" s="14"/>
      <c r="E90" s="14"/>
      <c r="F90" s="14"/>
      <c r="G90" s="14"/>
      <c r="H90" s="14"/>
      <c r="I90" s="14"/>
      <c r="J90" s="14"/>
      <c r="K90" s="14"/>
      <c r="O90" s="26"/>
      <c r="P90" s="26"/>
      <c r="Q90" s="26"/>
      <c r="R90" s="26"/>
      <c r="S90" s="26"/>
      <c r="T90" s="26"/>
      <c r="U90" s="26"/>
    </row>
    <row r="91" spans="4:21" ht="13.5" customHeight="1">
      <c r="D91" s="14"/>
      <c r="E91" s="14"/>
      <c r="F91" s="14"/>
      <c r="G91" s="14"/>
      <c r="H91" s="14"/>
      <c r="I91" s="14"/>
      <c r="J91" s="14"/>
      <c r="K91" s="14"/>
      <c r="O91" s="26"/>
      <c r="P91" s="26"/>
      <c r="Q91" s="26"/>
      <c r="R91" s="26"/>
      <c r="S91" s="26"/>
      <c r="T91" s="26"/>
      <c r="U91" s="26"/>
    </row>
    <row r="92" spans="4:21" ht="13.5" customHeight="1">
      <c r="D92" s="14"/>
      <c r="E92" s="14"/>
      <c r="F92" s="14"/>
      <c r="G92" s="14"/>
      <c r="H92" s="14"/>
      <c r="I92" s="14"/>
      <c r="J92" s="14"/>
      <c r="K92" s="14"/>
      <c r="O92" s="26"/>
      <c r="P92" s="26"/>
      <c r="Q92" s="26"/>
      <c r="R92" s="26"/>
      <c r="S92" s="26"/>
      <c r="T92" s="26"/>
      <c r="U92" s="26"/>
    </row>
    <row r="93" spans="4:21" ht="13.5" customHeight="1">
      <c r="D93" s="14"/>
      <c r="E93" s="14"/>
      <c r="F93" s="14"/>
      <c r="G93" s="14"/>
      <c r="H93" s="14"/>
      <c r="I93" s="14"/>
      <c r="J93" s="14"/>
      <c r="K93" s="14"/>
      <c r="O93" s="26"/>
      <c r="P93" s="26"/>
      <c r="Q93" s="26"/>
      <c r="R93" s="26"/>
      <c r="S93" s="26"/>
      <c r="T93" s="26"/>
      <c r="U93" s="26"/>
    </row>
    <row r="94" spans="4:21" ht="13.5" customHeight="1">
      <c r="D94" s="14"/>
      <c r="E94" s="14"/>
      <c r="F94" s="14"/>
      <c r="G94" s="14"/>
      <c r="H94" s="14"/>
      <c r="I94" s="14"/>
      <c r="J94" s="14"/>
      <c r="K94" s="14"/>
      <c r="O94" s="26"/>
      <c r="P94" s="26"/>
      <c r="Q94" s="26"/>
      <c r="R94" s="26"/>
      <c r="S94" s="26"/>
      <c r="T94" s="26"/>
      <c r="U94" s="26"/>
    </row>
    <row r="95" spans="4:21" ht="13.5" customHeight="1">
      <c r="O95" s="26"/>
      <c r="P95" s="26"/>
      <c r="Q95" s="26"/>
      <c r="R95" s="26"/>
      <c r="S95" s="26"/>
      <c r="T95" s="26"/>
      <c r="U95" s="26"/>
    </row>
    <row r="96" spans="4:21" ht="13.5" customHeight="1">
      <c r="O96" s="26"/>
      <c r="P96" s="26"/>
      <c r="Q96" s="26"/>
      <c r="R96" s="26"/>
      <c r="S96" s="26"/>
      <c r="T96" s="26"/>
      <c r="U96" s="26"/>
    </row>
    <row r="97" spans="15:21" ht="13.5" customHeight="1">
      <c r="O97" s="26"/>
      <c r="P97" s="26"/>
      <c r="Q97" s="26"/>
      <c r="R97" s="26"/>
      <c r="S97" s="26"/>
      <c r="T97" s="26"/>
      <c r="U97" s="26"/>
    </row>
    <row r="98" spans="15:21" ht="13.5" customHeight="1">
      <c r="O98" s="26"/>
      <c r="P98" s="26"/>
      <c r="Q98" s="26"/>
      <c r="R98" s="26"/>
      <c r="S98" s="26"/>
      <c r="T98" s="26"/>
      <c r="U98" s="26"/>
    </row>
    <row r="99" spans="15:21" ht="13.5" customHeight="1">
      <c r="O99" s="26"/>
      <c r="P99" s="26"/>
      <c r="Q99" s="26"/>
      <c r="R99" s="26"/>
      <c r="S99" s="26"/>
      <c r="T99" s="26"/>
      <c r="U99" s="26"/>
    </row>
    <row r="100" spans="15:21" ht="13.5" customHeight="1">
      <c r="O100" s="26"/>
      <c r="P100" s="26"/>
      <c r="Q100" s="26"/>
      <c r="R100" s="26"/>
      <c r="S100" s="26"/>
      <c r="T100" s="26"/>
      <c r="U100" s="26"/>
    </row>
    <row r="101" spans="15:21" ht="13.5" customHeight="1">
      <c r="O101" s="26"/>
      <c r="P101" s="26"/>
      <c r="Q101" s="26"/>
      <c r="R101" s="26"/>
      <c r="S101" s="26"/>
      <c r="T101" s="26"/>
      <c r="U101" s="26"/>
    </row>
    <row r="102" spans="15:21" ht="13.5" customHeight="1">
      <c r="O102" s="26"/>
      <c r="P102" s="26"/>
      <c r="Q102" s="26"/>
      <c r="R102" s="26"/>
      <c r="S102" s="26"/>
      <c r="T102" s="26"/>
      <c r="U102" s="26"/>
    </row>
    <row r="103" spans="15:21" ht="13.5" customHeight="1">
      <c r="O103" s="26"/>
      <c r="P103" s="26"/>
      <c r="Q103" s="26"/>
      <c r="R103" s="26"/>
      <c r="S103" s="26"/>
      <c r="T103" s="26"/>
      <c r="U103" s="26"/>
    </row>
    <row r="104" spans="15:21" ht="13.5" customHeight="1">
      <c r="O104" s="26"/>
      <c r="P104" s="26"/>
      <c r="Q104" s="26"/>
      <c r="R104" s="26"/>
      <c r="S104" s="26"/>
      <c r="T104" s="26"/>
      <c r="U104" s="26"/>
    </row>
    <row r="105" spans="15:21" ht="13.5" customHeight="1">
      <c r="O105" s="26"/>
      <c r="P105" s="26"/>
      <c r="Q105" s="26"/>
      <c r="R105" s="26"/>
      <c r="S105" s="26"/>
      <c r="T105" s="26"/>
      <c r="U105" s="26"/>
    </row>
    <row r="106" spans="15:21" ht="13.5" customHeight="1">
      <c r="O106" s="26"/>
      <c r="P106" s="26"/>
      <c r="Q106" s="26"/>
      <c r="R106" s="26"/>
      <c r="S106" s="26"/>
      <c r="T106" s="26"/>
      <c r="U106" s="26"/>
    </row>
    <row r="107" spans="15:21" ht="13.5" customHeight="1">
      <c r="O107" s="26"/>
      <c r="P107" s="26"/>
      <c r="Q107" s="26"/>
      <c r="R107" s="26"/>
      <c r="S107" s="26"/>
      <c r="T107" s="26"/>
      <c r="U107" s="26"/>
    </row>
    <row r="108" spans="15:21" ht="13.5" customHeight="1">
      <c r="O108" s="26"/>
      <c r="P108" s="26"/>
      <c r="Q108" s="26"/>
      <c r="R108" s="26"/>
      <c r="S108" s="26"/>
      <c r="T108" s="26"/>
      <c r="U108" s="26"/>
    </row>
    <row r="109" spans="15:21" ht="13.5" customHeight="1">
      <c r="O109" s="26"/>
      <c r="P109" s="26"/>
      <c r="Q109" s="26"/>
      <c r="R109" s="26"/>
      <c r="S109" s="26"/>
      <c r="T109" s="26"/>
      <c r="U109" s="26"/>
    </row>
    <row r="110" spans="15:21" ht="13.5" customHeight="1">
      <c r="O110" s="26"/>
      <c r="P110" s="26"/>
      <c r="Q110" s="26"/>
      <c r="R110" s="26"/>
      <c r="S110" s="26"/>
      <c r="T110" s="26"/>
      <c r="U110" s="26"/>
    </row>
    <row r="111" spans="15:21" ht="13.5" customHeight="1">
      <c r="O111" s="26"/>
      <c r="P111" s="26"/>
      <c r="Q111" s="26"/>
      <c r="R111" s="26"/>
      <c r="S111" s="26"/>
      <c r="T111" s="26"/>
      <c r="U111" s="26"/>
    </row>
    <row r="112" spans="15:21" ht="13.5" customHeight="1">
      <c r="O112" s="26"/>
      <c r="P112" s="26"/>
      <c r="Q112" s="26"/>
      <c r="R112" s="26"/>
      <c r="S112" s="26"/>
      <c r="T112" s="26"/>
      <c r="U112" s="26"/>
    </row>
    <row r="113" spans="15:21" ht="13.5" customHeight="1">
      <c r="O113" s="26"/>
      <c r="P113" s="26"/>
      <c r="Q113" s="26"/>
      <c r="R113" s="26"/>
      <c r="S113" s="26"/>
      <c r="T113" s="26"/>
      <c r="U113" s="26"/>
    </row>
    <row r="114" spans="15:21" ht="13.5" customHeight="1">
      <c r="O114" s="26"/>
      <c r="P114" s="26"/>
      <c r="Q114" s="26"/>
      <c r="R114" s="26"/>
      <c r="S114" s="26"/>
      <c r="T114" s="26"/>
      <c r="U114" s="26"/>
    </row>
    <row r="115" spans="15:21" ht="13.5" customHeight="1">
      <c r="O115" s="26"/>
      <c r="P115" s="26"/>
      <c r="Q115" s="26"/>
      <c r="R115" s="26"/>
      <c r="S115" s="26"/>
      <c r="T115" s="26"/>
      <c r="U115" s="26"/>
    </row>
    <row r="116" spans="15:21" ht="13.5" customHeight="1">
      <c r="O116" s="26"/>
      <c r="P116" s="26"/>
      <c r="Q116" s="26"/>
      <c r="R116" s="26"/>
      <c r="S116" s="26"/>
      <c r="T116" s="26"/>
      <c r="U116" s="26"/>
    </row>
    <row r="117" spans="15:21" ht="13.5" customHeight="1">
      <c r="O117" s="26"/>
      <c r="P117" s="26"/>
      <c r="Q117" s="26"/>
      <c r="R117" s="26"/>
      <c r="S117" s="26"/>
      <c r="T117" s="26"/>
      <c r="U117" s="26"/>
    </row>
    <row r="118" spans="15:21" ht="13.5" customHeight="1">
      <c r="O118" s="26"/>
      <c r="P118" s="26"/>
      <c r="Q118" s="26"/>
      <c r="R118" s="26"/>
      <c r="S118" s="26"/>
      <c r="T118" s="26"/>
      <c r="U118" s="26"/>
    </row>
  </sheetData>
  <sheetProtection sheet="1" objects="1" scenarios="1"/>
  <mergeCells count="7">
    <mergeCell ref="A12:B12"/>
    <mergeCell ref="A18:B18"/>
    <mergeCell ref="A11:B11"/>
    <mergeCell ref="E6:S6"/>
    <mergeCell ref="A7:B7"/>
    <mergeCell ref="A8:B8"/>
    <mergeCell ref="A10:B10"/>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D72" location="'VoC Efficiency'!D27" tooltip="Top of this page" display="Top"/>
  </hyperlinks>
  <printOptions headings="1"/>
  <pageMargins left="0.75" right="0.75" top="1" bottom="1" header="0.5" footer="0.5"/>
  <pageSetup paperSize="9" scale="87" orientation="portrait" r:id="rId3"/>
  <headerFooter alignWithMargins="0"/>
  <colBreaks count="1" manualBreakCount="1">
    <brk id="14" max="1048575" man="1"/>
  </colBreaks>
  <drawing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7"/>
    <pageSetUpPr fitToPage="1"/>
  </sheetPr>
  <dimension ref="A1:AM108"/>
  <sheetViews>
    <sheetView showGridLines="0" topLeftCell="A7" zoomScale="70" zoomScaleNormal="70" workbookViewId="0">
      <selection activeCell="D26" sqref="D26"/>
    </sheetView>
  </sheetViews>
  <sheetFormatPr defaultColWidth="12.88671875" defaultRowHeight="13.5" customHeight="1"/>
  <cols>
    <col min="1" max="4" width="12.88671875" style="599" customWidth="1"/>
    <col min="5" max="6" width="12.88671875" style="598" customWidth="1"/>
    <col min="7" max="9" width="12.88671875" style="599" customWidth="1"/>
    <col min="10" max="10" width="12.88671875" style="598" customWidth="1"/>
    <col min="11" max="11" width="14" style="599" customWidth="1"/>
    <col min="12" max="16" width="12.88671875" style="599" customWidth="1"/>
    <col min="17" max="18" width="12.88671875" style="598" customWidth="1"/>
    <col min="19" max="16384" width="12.88671875" style="599"/>
  </cols>
  <sheetData>
    <row r="1" spans="1:39" ht="54.9" customHeight="1">
      <c r="A1" s="28"/>
      <c r="B1" s="38"/>
      <c r="C1" s="28"/>
      <c r="D1" s="3715"/>
      <c r="E1" s="3735"/>
      <c r="F1" s="3735"/>
      <c r="G1" s="3735"/>
      <c r="H1" s="3735"/>
      <c r="I1" s="3735"/>
      <c r="J1" s="3735"/>
      <c r="K1" s="3735"/>
      <c r="L1" s="3735"/>
      <c r="M1" s="3735"/>
      <c r="N1" s="3735"/>
      <c r="O1" s="3735"/>
      <c r="P1" s="3736"/>
      <c r="Q1" s="3735"/>
      <c r="R1" s="3735"/>
      <c r="S1" s="3735"/>
      <c r="T1" s="3735"/>
      <c r="U1" s="3735"/>
      <c r="V1" s="3735"/>
      <c r="W1" s="3735"/>
      <c r="X1" s="3130"/>
      <c r="Y1" s="3130"/>
      <c r="Z1" s="3130"/>
      <c r="AA1" s="3130"/>
      <c r="AB1" s="3736"/>
      <c r="AC1" s="3735"/>
      <c r="AD1" s="3735"/>
      <c r="AE1" s="3735"/>
      <c r="AF1" s="3735"/>
      <c r="AG1" s="3735"/>
      <c r="AH1" s="3735"/>
      <c r="AI1" s="3735"/>
      <c r="AJ1" s="3736"/>
      <c r="AK1" s="3736"/>
      <c r="AL1" s="3736"/>
      <c r="AM1" s="3736"/>
    </row>
    <row r="2" spans="1:39" s="319" customFormat="1" ht="5.0999999999999996" customHeight="1">
      <c r="A2" s="300"/>
      <c r="B2" s="300"/>
      <c r="C2" s="300"/>
      <c r="D2" s="83"/>
      <c r="E2" s="600"/>
      <c r="F2" s="445"/>
      <c r="G2" s="300"/>
      <c r="H2" s="300"/>
      <c r="I2" s="83"/>
      <c r="J2" s="601"/>
      <c r="Q2" s="601"/>
      <c r="R2" s="601"/>
      <c r="T2" s="318"/>
      <c r="AB2" s="3735"/>
      <c r="AC2" s="3735"/>
      <c r="AD2" s="3735"/>
      <c r="AE2" s="3735"/>
      <c r="AF2" s="3735"/>
      <c r="AG2" s="3735"/>
      <c r="AH2" s="3735"/>
      <c r="AI2" s="3735"/>
    </row>
    <row r="3" spans="1:39" s="319" customFormat="1" ht="20.100000000000001" customHeight="1">
      <c r="A3" s="300" t="s">
        <v>2251</v>
      </c>
      <c r="B3" s="485"/>
      <c r="C3" s="485"/>
      <c r="D3" s="46"/>
      <c r="E3" s="445"/>
      <c r="F3" s="445"/>
      <c r="G3" s="300"/>
      <c r="H3" s="300"/>
      <c r="J3" s="618"/>
      <c r="K3" s="608"/>
      <c r="L3" s="608"/>
      <c r="Q3" s="601"/>
      <c r="R3" s="601"/>
      <c r="T3" s="639"/>
      <c r="AL3" s="639"/>
    </row>
    <row r="4" spans="1:39" s="609" customFormat="1" ht="20.100000000000001" customHeight="1" thickBot="1">
      <c r="A4" s="529" t="s">
        <v>133</v>
      </c>
      <c r="B4" s="447"/>
      <c r="C4" s="447"/>
      <c r="D4" s="487"/>
      <c r="E4" s="602"/>
      <c r="F4" s="602"/>
      <c r="G4" s="450"/>
      <c r="H4" s="450"/>
      <c r="I4" s="604"/>
      <c r="J4" s="603"/>
      <c r="K4" s="604"/>
      <c r="L4" s="604"/>
      <c r="M4" s="604"/>
      <c r="N4" s="604"/>
      <c r="O4" s="604"/>
      <c r="P4" s="604"/>
      <c r="Q4" s="603"/>
      <c r="R4" s="603"/>
      <c r="S4" s="604"/>
      <c r="T4" s="605"/>
      <c r="U4" s="604"/>
      <c r="V4" s="604"/>
      <c r="W4" s="604"/>
      <c r="X4" s="604"/>
      <c r="Y4" s="604"/>
      <c r="Z4" s="604"/>
      <c r="AA4" s="604"/>
      <c r="AB4" s="604"/>
      <c r="AC4" s="604"/>
      <c r="AD4" s="604"/>
      <c r="AE4" s="604"/>
      <c r="AF4" s="604"/>
      <c r="AG4" s="604"/>
      <c r="AH4" s="604"/>
      <c r="AI4" s="604"/>
      <c r="AJ4" s="604"/>
      <c r="AK4" s="604"/>
      <c r="AL4" s="605"/>
      <c r="AM4" s="604"/>
    </row>
    <row r="5" spans="1:39" ht="9.9" customHeight="1" thickTop="1" thickBot="1">
      <c r="E5" s="606"/>
      <c r="F5" s="32"/>
      <c r="G5" s="28"/>
      <c r="H5" s="28"/>
      <c r="T5" s="607"/>
    </row>
    <row r="6" spans="1:3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39" s="38" customFormat="1" ht="13.5" customHeight="1">
      <c r="A7" s="3644" t="str">
        <f>Audit!A12</f>
        <v>May 2019 v1.12</v>
      </c>
      <c r="B7" s="3651"/>
      <c r="D7" s="147"/>
      <c r="E7" s="1580" t="s">
        <v>132</v>
      </c>
      <c r="F7" s="29"/>
      <c r="G7" s="26"/>
      <c r="H7" s="26"/>
      <c r="I7" s="26"/>
      <c r="J7" s="26"/>
      <c r="K7" s="26"/>
      <c r="L7" s="26"/>
      <c r="M7" s="26"/>
      <c r="N7" s="26"/>
      <c r="O7" s="26"/>
      <c r="P7" s="26"/>
      <c r="Q7" s="26"/>
      <c r="R7" s="26"/>
      <c r="S7" s="147"/>
    </row>
    <row r="8" spans="1:39" s="38" customFormat="1" ht="13.5" customHeight="1">
      <c r="A8" s="3630">
        <f>Audit!C12</f>
        <v>43586</v>
      </c>
      <c r="B8" s="3631"/>
      <c r="C8" s="321"/>
      <c r="D8" s="412"/>
      <c r="E8" s="38" t="str">
        <f>'Fuel consumption'!E7</f>
        <v>Fuel consumption is estimated using a function of the form:</v>
      </c>
      <c r="F8" s="315"/>
      <c r="G8" s="26"/>
      <c r="H8" s="26"/>
      <c r="I8" s="38" t="str">
        <f>'Fuel consumption'!I7</f>
        <v>L = a/v + b + c.v + d.v2</v>
      </c>
      <c r="J8" s="26"/>
      <c r="K8" s="26"/>
      <c r="L8" s="26"/>
      <c r="M8" s="26"/>
      <c r="N8" s="26"/>
      <c r="O8" s="26"/>
      <c r="P8" s="26"/>
      <c r="Q8" s="26"/>
      <c r="R8" s="26"/>
      <c r="S8" s="147"/>
    </row>
    <row r="9" spans="1:39" s="38" customFormat="1" ht="13.5" customHeight="1" thickBot="1">
      <c r="A9" s="172" t="s">
        <v>14</v>
      </c>
      <c r="B9" s="173"/>
      <c r="D9" s="412"/>
      <c r="E9" s="38" t="str">
        <f>'Fuel consumption'!E8</f>
        <v>Where:</v>
      </c>
      <c r="F9" s="26"/>
      <c r="G9" s="26"/>
      <c r="H9" s="26"/>
      <c r="I9" s="26"/>
      <c r="J9" s="26"/>
      <c r="K9" s="26"/>
      <c r="L9" s="26"/>
      <c r="M9" s="26"/>
      <c r="N9" s="26"/>
      <c r="O9" s="26"/>
      <c r="P9" s="26"/>
      <c r="Q9" s="26"/>
      <c r="R9" s="26"/>
      <c r="S9" s="147"/>
    </row>
    <row r="10" spans="1:39" s="38" customFormat="1" ht="13.5" customHeight="1" thickBot="1">
      <c r="A10" s="3570" t="s">
        <v>1306</v>
      </c>
      <c r="B10" s="3610"/>
      <c r="D10" s="412"/>
      <c r="E10" s="38" t="str">
        <f>'Fuel consumption'!E9</f>
        <v>L = consumption, expressed in litres per kilometre;</v>
      </c>
      <c r="F10" s="26"/>
      <c r="G10" s="26"/>
      <c r="H10" s="26"/>
      <c r="I10" s="26"/>
      <c r="J10" s="26"/>
      <c r="K10" s="26"/>
      <c r="L10" s="26"/>
      <c r="M10" s="26"/>
      <c r="N10" s="26"/>
      <c r="O10" s="26"/>
      <c r="P10" s="26"/>
      <c r="Q10" s="26"/>
      <c r="R10" s="26"/>
      <c r="S10" s="147"/>
    </row>
    <row r="11" spans="1:39" s="38" customFormat="1" ht="13.5" customHeight="1" thickBot="1">
      <c r="A11" s="3570" t="s">
        <v>2216</v>
      </c>
      <c r="B11" s="3581"/>
      <c r="D11" s="412"/>
      <c r="E11" s="38" t="str">
        <f>'Fuel consumption'!E10</f>
        <v>v = average speed in kilometres per hour; and</v>
      </c>
      <c r="F11" s="53"/>
      <c r="G11" s="53"/>
      <c r="H11" s="53"/>
      <c r="I11" s="53"/>
      <c r="J11" s="53"/>
      <c r="K11" s="53"/>
      <c r="L11" s="53"/>
      <c r="M11" s="53"/>
      <c r="N11" s="53"/>
      <c r="O11" s="53"/>
      <c r="P11" s="53"/>
      <c r="Q11" s="53"/>
      <c r="R11" s="53"/>
      <c r="S11" s="379"/>
    </row>
    <row r="12" spans="1:39" s="38" customFormat="1" ht="13.5" customHeight="1" thickBot="1">
      <c r="A12" s="3570" t="s">
        <v>2217</v>
      </c>
      <c r="B12" s="3581"/>
      <c r="D12" s="412"/>
      <c r="E12" s="38" t="str">
        <f>'Fuel consumption'!E11</f>
        <v>a, b, c, d are parameters defined for each vehicle category.</v>
      </c>
      <c r="F12" s="26"/>
      <c r="G12" s="26"/>
      <c r="H12" s="26"/>
      <c r="I12" s="26"/>
      <c r="J12" s="26"/>
      <c r="K12" s="26"/>
      <c r="L12" s="26"/>
      <c r="M12" s="26"/>
      <c r="N12" s="26"/>
      <c r="O12" s="26"/>
      <c r="P12" s="26"/>
      <c r="Q12" s="26"/>
      <c r="R12" s="26"/>
      <c r="S12" s="147"/>
    </row>
    <row r="13" spans="1:39" s="38" customFormat="1" ht="13.5" customHeight="1">
      <c r="A13" s="172" t="s">
        <v>252</v>
      </c>
      <c r="B13" s="194"/>
      <c r="C13" s="321"/>
      <c r="D13" s="412"/>
      <c r="F13" s="26"/>
      <c r="G13" s="26"/>
      <c r="H13" s="26"/>
      <c r="I13" s="26"/>
      <c r="J13" s="26"/>
      <c r="K13" s="26"/>
      <c r="L13" s="26"/>
      <c r="M13" s="26"/>
      <c r="N13" s="26"/>
      <c r="O13" s="26"/>
      <c r="P13" s="26"/>
      <c r="Q13" s="26"/>
      <c r="R13" s="26"/>
      <c r="S13" s="147"/>
    </row>
    <row r="14" spans="1:39" s="38" customFormat="1" ht="13.5" customHeight="1">
      <c r="A14" s="2441"/>
      <c r="B14" s="2442"/>
      <c r="C14" s="321"/>
      <c r="D14" s="321"/>
      <c r="E14" s="623" t="s">
        <v>1166</v>
      </c>
      <c r="F14" s="26"/>
      <c r="G14" s="26"/>
      <c r="H14" s="26"/>
      <c r="I14" s="26"/>
      <c r="J14" s="26"/>
      <c r="K14" s="26"/>
      <c r="L14" s="26"/>
      <c r="M14" s="26"/>
      <c r="N14" s="26"/>
      <c r="O14" s="26"/>
      <c r="P14" s="26"/>
      <c r="Q14" s="26"/>
      <c r="R14" s="26"/>
      <c r="S14" s="147"/>
    </row>
    <row r="15" spans="1:39" s="38" customFormat="1" ht="13.5" customHeight="1">
      <c r="A15" s="2441" t="s">
        <v>751</v>
      </c>
      <c r="B15" s="2450">
        <f>'User Parameters'!L16</f>
        <v>2010</v>
      </c>
      <c r="D15" s="321"/>
      <c r="E15" s="113"/>
      <c r="F15" s="26"/>
      <c r="G15" s="26"/>
      <c r="H15" s="26"/>
      <c r="I15" s="26"/>
      <c r="J15" s="26"/>
      <c r="K15" s="26"/>
      <c r="L15" s="26"/>
      <c r="M15" s="26"/>
      <c r="N15" s="26"/>
      <c r="O15" s="26"/>
      <c r="P15" s="26"/>
      <c r="Q15" s="26"/>
      <c r="R15" s="26"/>
      <c r="S15" s="147"/>
    </row>
    <row r="16" spans="1:39" s="38" customFormat="1" ht="13.5" customHeight="1">
      <c r="A16" s="2445"/>
      <c r="B16" s="2446"/>
      <c r="D16" s="321"/>
      <c r="E16" s="113"/>
      <c r="F16" s="26"/>
      <c r="G16" s="26"/>
      <c r="H16" s="26"/>
      <c r="I16" s="26"/>
      <c r="J16" s="26"/>
      <c r="K16" s="26"/>
      <c r="L16" s="26"/>
      <c r="M16" s="26"/>
      <c r="N16" s="26"/>
      <c r="O16" s="26"/>
      <c r="P16" s="26"/>
      <c r="Q16" s="26"/>
      <c r="R16" s="26"/>
      <c r="S16" s="147"/>
    </row>
    <row r="17" spans="1:39" s="38" customFormat="1" ht="13.5" customHeight="1" thickBot="1">
      <c r="A17" s="169" t="s">
        <v>253</v>
      </c>
      <c r="B17" s="170"/>
      <c r="C17" s="321"/>
      <c r="D17" s="321"/>
      <c r="E17" s="207"/>
      <c r="F17" s="26"/>
      <c r="G17" s="26"/>
      <c r="H17" s="26"/>
      <c r="I17" s="26"/>
      <c r="J17" s="26"/>
      <c r="K17" s="26"/>
      <c r="L17" s="26"/>
      <c r="M17" s="26"/>
      <c r="N17" s="26"/>
      <c r="O17" s="26"/>
      <c r="P17" s="26"/>
      <c r="Q17" s="26"/>
      <c r="R17" s="26"/>
      <c r="S17" s="147"/>
    </row>
    <row r="18" spans="1:39" s="38" customFormat="1" ht="13.5" customHeight="1" thickBot="1">
      <c r="A18" s="2414" t="s">
        <v>879</v>
      </c>
      <c r="B18" s="2431" t="s">
        <v>878</v>
      </c>
      <c r="C18" s="321"/>
      <c r="D18" s="321"/>
      <c r="E18" s="113" t="s">
        <v>513</v>
      </c>
      <c r="F18" s="26"/>
      <c r="G18" s="26"/>
      <c r="H18" s="26"/>
      <c r="I18" s="26"/>
      <c r="J18" s="26"/>
      <c r="K18" s="26"/>
      <c r="L18" s="26"/>
      <c r="M18" s="26"/>
      <c r="N18" s="26"/>
      <c r="O18" s="26"/>
      <c r="P18" s="26"/>
      <c r="Q18" s="26"/>
      <c r="R18" s="26"/>
      <c r="S18" s="147"/>
    </row>
    <row r="19" spans="1:39" s="38" customFormat="1" ht="13.5" customHeight="1" thickBot="1">
      <c r="A19" s="2431" t="s">
        <v>1400</v>
      </c>
      <c r="B19" s="2431" t="s">
        <v>562</v>
      </c>
      <c r="C19" s="321"/>
      <c r="D19" s="412"/>
      <c r="E19" s="113" t="s">
        <v>2361</v>
      </c>
      <c r="F19" s="26"/>
      <c r="G19" s="26"/>
      <c r="H19" s="26"/>
      <c r="I19" s="26"/>
      <c r="J19" s="26"/>
      <c r="K19" s="26"/>
      <c r="L19" s="26"/>
      <c r="M19" s="26"/>
      <c r="N19" s="26"/>
      <c r="O19" s="26"/>
      <c r="P19" s="26"/>
      <c r="Q19" s="26"/>
      <c r="R19" s="26"/>
      <c r="S19" s="147"/>
    </row>
    <row r="20" spans="1:39" s="38" customFormat="1" ht="13.5" customHeight="1" thickBot="1">
      <c r="A20" s="2422"/>
      <c r="B20" s="2409"/>
      <c r="C20" s="321"/>
      <c r="D20" s="412"/>
      <c r="E20" s="1579" t="s">
        <v>2246</v>
      </c>
      <c r="F20" s="163"/>
      <c r="G20" s="163"/>
      <c r="H20" s="163"/>
      <c r="I20" s="163"/>
      <c r="J20" s="163"/>
      <c r="K20" s="163"/>
      <c r="L20" s="163"/>
      <c r="M20" s="163"/>
      <c r="N20" s="163"/>
      <c r="O20" s="163"/>
      <c r="P20" s="163"/>
      <c r="Q20" s="163"/>
      <c r="R20" s="163"/>
      <c r="S20" s="382"/>
    </row>
    <row r="21" spans="1:39" ht="13.8" thickTop="1">
      <c r="A21" s="2432"/>
      <c r="B21" s="2422"/>
      <c r="C21" s="72"/>
      <c r="D21" s="32"/>
      <c r="E21" s="488"/>
      <c r="F21" s="32"/>
      <c r="G21" s="28"/>
      <c r="H21" s="28"/>
      <c r="I21" s="592"/>
      <c r="M21" s="607"/>
      <c r="T21" s="607"/>
    </row>
    <row r="22" spans="1:39" s="3146" customFormat="1" ht="13.5" customHeight="1" thickBot="1">
      <c r="B22" s="3147">
        <v>1</v>
      </c>
      <c r="C22" s="3147">
        <f>1+B22</f>
        <v>2</v>
      </c>
      <c r="D22" s="3147">
        <f t="shared" ref="D22:AM22" si="0">1+C22</f>
        <v>3</v>
      </c>
      <c r="E22" s="3147">
        <f t="shared" si="0"/>
        <v>4</v>
      </c>
      <c r="F22" s="3147">
        <f t="shared" si="0"/>
        <v>5</v>
      </c>
      <c r="G22" s="3147">
        <f t="shared" si="0"/>
        <v>6</v>
      </c>
      <c r="H22" s="3147">
        <f t="shared" si="0"/>
        <v>7</v>
      </c>
      <c r="I22" s="3147">
        <f t="shared" si="0"/>
        <v>8</v>
      </c>
      <c r="J22" s="3147">
        <f t="shared" si="0"/>
        <v>9</v>
      </c>
      <c r="K22" s="3147">
        <f t="shared" si="0"/>
        <v>10</v>
      </c>
      <c r="L22" s="3147">
        <f t="shared" si="0"/>
        <v>11</v>
      </c>
      <c r="M22" s="3147">
        <f t="shared" si="0"/>
        <v>12</v>
      </c>
      <c r="N22" s="3147">
        <f t="shared" si="0"/>
        <v>13</v>
      </c>
      <c r="O22" s="3147">
        <f t="shared" si="0"/>
        <v>14</v>
      </c>
      <c r="P22" s="3147">
        <f t="shared" si="0"/>
        <v>15</v>
      </c>
      <c r="Q22" s="3147">
        <f t="shared" si="0"/>
        <v>16</v>
      </c>
      <c r="R22" s="3147">
        <f t="shared" si="0"/>
        <v>17</v>
      </c>
      <c r="S22" s="3147">
        <f t="shared" si="0"/>
        <v>18</v>
      </c>
      <c r="T22" s="3147">
        <f t="shared" si="0"/>
        <v>19</v>
      </c>
      <c r="U22" s="3147">
        <f t="shared" si="0"/>
        <v>20</v>
      </c>
      <c r="V22" s="3147">
        <f t="shared" si="0"/>
        <v>21</v>
      </c>
      <c r="W22" s="3147">
        <f t="shared" si="0"/>
        <v>22</v>
      </c>
      <c r="X22" s="3147">
        <f t="shared" si="0"/>
        <v>23</v>
      </c>
      <c r="Y22" s="3147">
        <f t="shared" si="0"/>
        <v>24</v>
      </c>
      <c r="Z22" s="3147">
        <f t="shared" si="0"/>
        <v>25</v>
      </c>
      <c r="AA22" s="3147">
        <f t="shared" si="0"/>
        <v>26</v>
      </c>
      <c r="AB22" s="3147">
        <f t="shared" si="0"/>
        <v>27</v>
      </c>
      <c r="AC22" s="3147">
        <f t="shared" si="0"/>
        <v>28</v>
      </c>
      <c r="AD22" s="3147">
        <f t="shared" si="0"/>
        <v>29</v>
      </c>
      <c r="AE22" s="3147">
        <f t="shared" si="0"/>
        <v>30</v>
      </c>
      <c r="AF22" s="3147">
        <f t="shared" si="0"/>
        <v>31</v>
      </c>
      <c r="AG22" s="3147">
        <f t="shared" si="0"/>
        <v>32</v>
      </c>
      <c r="AH22" s="3147">
        <f t="shared" si="0"/>
        <v>33</v>
      </c>
      <c r="AI22" s="3147">
        <f t="shared" si="0"/>
        <v>34</v>
      </c>
      <c r="AJ22" s="3147">
        <f t="shared" si="0"/>
        <v>35</v>
      </c>
      <c r="AK22" s="3147">
        <f t="shared" si="0"/>
        <v>36</v>
      </c>
      <c r="AL22" s="3147">
        <f t="shared" si="0"/>
        <v>37</v>
      </c>
      <c r="AM22" s="3147">
        <f t="shared" si="0"/>
        <v>38</v>
      </c>
    </row>
    <row r="23" spans="1:39" ht="13.5" customHeight="1" thickTop="1" thickBot="1">
      <c r="A23" s="625" t="s">
        <v>711</v>
      </c>
      <c r="B23" s="626"/>
      <c r="C23" s="823"/>
      <c r="D23" s="574" t="str">
        <f>CONCATENATE("Forecast fuel / energy consumption parameter values (",B15," - ",B105,")")</f>
        <v>Forecast fuel / energy consumption parameter values (2010 - 2089)</v>
      </c>
      <c r="E23" s="626"/>
      <c r="F23" s="626"/>
      <c r="G23" s="626"/>
      <c r="H23" s="626"/>
      <c r="I23" s="626"/>
      <c r="J23" s="626"/>
      <c r="K23" s="626"/>
      <c r="L23" s="626"/>
      <c r="M23" s="626"/>
      <c r="N23" s="626"/>
      <c r="O23" s="626"/>
      <c r="P23" s="626"/>
      <c r="Q23" s="626"/>
      <c r="R23" s="626"/>
      <c r="S23" s="626"/>
      <c r="T23" s="626"/>
      <c r="U23" s="626"/>
      <c r="V23" s="626"/>
      <c r="W23" s="626"/>
      <c r="X23" s="626"/>
      <c r="Y23" s="626"/>
      <c r="Z23" s="626"/>
      <c r="AA23" s="626"/>
      <c r="AB23" s="626"/>
      <c r="AC23" s="626"/>
      <c r="AD23" s="626"/>
      <c r="AE23" s="626"/>
      <c r="AF23" s="626"/>
      <c r="AG23" s="626"/>
      <c r="AH23" s="626"/>
      <c r="AI23" s="626"/>
      <c r="AJ23" s="626"/>
      <c r="AK23" s="626"/>
      <c r="AL23" s="626"/>
      <c r="AM23" s="1581"/>
    </row>
    <row r="24" spans="1:39" s="608" customFormat="1" ht="13.5" customHeight="1" thickTop="1" thickBot="1">
      <c r="A24" s="628"/>
      <c r="B24" s="629" t="s">
        <v>568</v>
      </c>
      <c r="C24" s="1096"/>
      <c r="D24" s="631" t="s">
        <v>573</v>
      </c>
      <c r="E24" s="443"/>
      <c r="F24" s="443"/>
      <c r="G24" s="591"/>
      <c r="H24" s="631" t="s">
        <v>574</v>
      </c>
      <c r="I24" s="39"/>
      <c r="J24" s="39"/>
      <c r="K24" s="40"/>
      <c r="L24" s="631" t="s">
        <v>409</v>
      </c>
      <c r="M24" s="39"/>
      <c r="N24" s="39"/>
      <c r="O24" s="40"/>
      <c r="P24" s="631" t="s">
        <v>576</v>
      </c>
      <c r="Q24" s="39"/>
      <c r="R24" s="39"/>
      <c r="S24" s="40"/>
      <c r="T24" s="3730" t="s">
        <v>577</v>
      </c>
      <c r="U24" s="3731"/>
      <c r="V24" s="3731"/>
      <c r="W24" s="3732"/>
      <c r="X24" s="3647" t="s">
        <v>880</v>
      </c>
      <c r="Y24" s="3733"/>
      <c r="Z24" s="3733"/>
      <c r="AA24" s="3734"/>
      <c r="AB24" s="631" t="s">
        <v>336</v>
      </c>
      <c r="AC24" s="39"/>
      <c r="AD24" s="39"/>
      <c r="AE24" s="40"/>
      <c r="AF24" s="631" t="s">
        <v>337</v>
      </c>
      <c r="AG24" s="39"/>
      <c r="AH24" s="39"/>
      <c r="AI24" s="40"/>
      <c r="AJ24" s="631" t="s">
        <v>338</v>
      </c>
      <c r="AK24" s="39"/>
      <c r="AL24" s="39"/>
      <c r="AM24" s="40"/>
    </row>
    <row r="25" spans="1:39" ht="13.5" customHeight="1" thickTop="1" thickBot="1">
      <c r="A25" s="634"/>
      <c r="B25" s="635" t="s">
        <v>1450</v>
      </c>
      <c r="C25" s="828"/>
      <c r="D25" s="2297" t="s">
        <v>569</v>
      </c>
      <c r="E25" s="637" t="s">
        <v>570</v>
      </c>
      <c r="F25" s="637" t="s">
        <v>571</v>
      </c>
      <c r="G25" s="638" t="s">
        <v>572</v>
      </c>
      <c r="H25" s="2297" t="s">
        <v>569</v>
      </c>
      <c r="I25" s="637" t="s">
        <v>570</v>
      </c>
      <c r="J25" s="637" t="s">
        <v>571</v>
      </c>
      <c r="K25" s="638" t="s">
        <v>572</v>
      </c>
      <c r="L25" s="2297" t="s">
        <v>569</v>
      </c>
      <c r="M25" s="637" t="s">
        <v>570</v>
      </c>
      <c r="N25" s="637" t="s">
        <v>571</v>
      </c>
      <c r="O25" s="638" t="s">
        <v>572</v>
      </c>
      <c r="P25" s="2297" t="s">
        <v>569</v>
      </c>
      <c r="Q25" s="637" t="s">
        <v>570</v>
      </c>
      <c r="R25" s="637" t="s">
        <v>571</v>
      </c>
      <c r="S25" s="638" t="s">
        <v>572</v>
      </c>
      <c r="T25" s="2297" t="s">
        <v>569</v>
      </c>
      <c r="U25" s="637" t="s">
        <v>570</v>
      </c>
      <c r="V25" s="637" t="s">
        <v>571</v>
      </c>
      <c r="W25" s="638" t="s">
        <v>572</v>
      </c>
      <c r="X25" s="2297" t="s">
        <v>569</v>
      </c>
      <c r="Y25" s="637" t="s">
        <v>570</v>
      </c>
      <c r="Z25" s="637" t="s">
        <v>571</v>
      </c>
      <c r="AA25" s="638" t="s">
        <v>572</v>
      </c>
      <c r="AB25" s="2297" t="s">
        <v>569</v>
      </c>
      <c r="AC25" s="637" t="s">
        <v>570</v>
      </c>
      <c r="AD25" s="637" t="s">
        <v>571</v>
      </c>
      <c r="AE25" s="638" t="s">
        <v>572</v>
      </c>
      <c r="AF25" s="2297" t="s">
        <v>569</v>
      </c>
      <c r="AG25" s="637" t="s">
        <v>570</v>
      </c>
      <c r="AH25" s="637" t="s">
        <v>571</v>
      </c>
      <c r="AI25" s="638" t="s">
        <v>572</v>
      </c>
      <c r="AJ25" s="2297" t="s">
        <v>569</v>
      </c>
      <c r="AK25" s="637" t="s">
        <v>570</v>
      </c>
      <c r="AL25" s="637" t="s">
        <v>571</v>
      </c>
      <c r="AM25" s="638" t="s">
        <v>572</v>
      </c>
    </row>
    <row r="26" spans="1:39" ht="13.5" customHeight="1" thickTop="1">
      <c r="A26" s="621"/>
      <c r="B26" s="2295">
        <f>B15</f>
        <v>2010</v>
      </c>
      <c r="C26" s="801"/>
      <c r="D26" s="2480">
        <f>IF($B26&lt;'A1.3.10'!$S$28,"",IF($B26&gt;'A1.3.10'!$S$58,D25,IF(OR(VLOOKUP($B26,'A1.3.10'!$S$28:$AE$58,2,)="",'Fuel consumption'!D$27=""),"",'Fuel consumption'!D$27 * VLOOKUP($B26,'A1.3.10'!$S$28:$AE$58,2,))))</f>
        <v>0.47601973255877805</v>
      </c>
      <c r="E26" s="2481">
        <f>IF($B26&lt;'A1.3.10'!$S$28,"",IF($B26&gt;'A1.3.10'!$S$58,E25,IF(OR(VLOOKUP($B26,'A1.3.10'!$S$28:$AE$58,2,)="",'Fuel consumption'!E$27=""),"",'Fuel consumption'!E$27 * VLOOKUP($B26,'A1.3.10'!$S$28:$AE$58,2,))))</f>
        <v>0.10116191464112791</v>
      </c>
      <c r="F26" s="2481">
        <f>IF($B26&lt;'A1.3.10'!$S$28,"",IF($B26&gt;'A1.3.10'!$S$58,F25,IF(OR(VLOOKUP($B26,'A1.3.10'!$S$28:$AE$58,2,)="",'Fuel consumption'!F$27=""),"",'Fuel consumption'!F$27 * VLOOKUP($B26,'A1.3.10'!$S$28:$AE$58,2,))))</f>
        <v>-1.1523541742296769E-3</v>
      </c>
      <c r="G26" s="2641">
        <f>IF($B26&lt;'A1.3.10'!$S$28,"",IF($B26&gt;'A1.3.10'!$S$58,G25,IF(OR(VLOOKUP($B26,'A1.3.10'!$S$28:$AE$58,2,)="",'Fuel consumption'!G$27=""),"",'Fuel consumption'!G$27 * VLOOKUP($B26,'A1.3.10'!$S$28:$AE$58,2,))))</f>
        <v>7.6319489759435642E-6</v>
      </c>
      <c r="H26" s="2482">
        <f>IF($B26&lt;'A1.3.10'!$S$28,"",IF($B26&gt;'A1.3.10'!$S$58,H25,IF(OR(VLOOKUP($B26,'A1.3.10'!$S$28:$AE$58,3,)="",'Fuel consumption'!D$28=""),"",'Fuel consumption'!D$28  * VLOOKUP($B26,'A1.3.10'!$S$28:$AE$58,3,))))</f>
        <v>0.51095709402350298</v>
      </c>
      <c r="I26" s="2483">
        <f>IF($B26&lt;'A1.3.10'!$S$28,"",IF($B26&gt;'A1.3.10'!$S$58,I25,IF(OR(VLOOKUP($B26,'A1.3.10'!$S$28:$AE$58,3,)="",'Fuel consumption'!E$28=""),"",'Fuel consumption'!E$28  * VLOOKUP($B26,'A1.3.10'!$S$28:$AE$58,3,))))</f>
        <v>7.3258611328401238E-2</v>
      </c>
      <c r="J26" s="2483">
        <f>IF($B26&lt;'A1.3.10'!$S$28,"",IF($B26&gt;'A1.3.10'!$S$58,J25,IF(OR(VLOOKUP($B26,'A1.3.10'!$S$28:$AE$58,3,)="",'Fuel consumption'!F$28=""),"",'Fuel consumption'!F$28  * VLOOKUP($B26,'A1.3.10'!$S$28:$AE$58,3,))))</f>
        <v>-7.0476824941251358E-4</v>
      </c>
      <c r="K26" s="2641">
        <f>IF($B26&lt;'A1.3.10'!$S$28,"",IF($B26&gt;'A1.3.10'!$S$58,K25,IF(OR(VLOOKUP($B26,'A1.3.10'!$S$28:$AE$58,3,)="",'Fuel consumption'!G$28=""),"",'Fuel consumption'!G$28  * VLOOKUP($B26,'A1.3.10'!$S$28:$AE$58,3,))))</f>
        <v>5.5536091641213022E-6</v>
      </c>
      <c r="L26" s="2482" t="str">
        <f>IF($B26&lt;'A1.3.10'!$S$28,"",IF($B26&gt;'A1.3.10'!$S$58,L25,IF(OR(VLOOKUP($B26,'A1.3.10'!$S$28:$AE$58,4,)="", 'Fuel consumption'!D$36=""),"",'Fuel consumption'!D$36 * VLOOKUP($B26,'A1.3.10'!$S$28:$AE$58,4,))))</f>
        <v/>
      </c>
      <c r="M26" s="2483">
        <f>IF($B26&lt;'A1.3.10'!$S$28,"",IF($B26&gt;'A1.3.10'!$S$58,M25,IF(OR(VLOOKUP($B26,'A1.3.10'!$S$28:$AE$58,4,)="", 'Fuel consumption'!E$36=""),"",'Fuel consumption'!E$36 * VLOOKUP($B26,'A1.3.10'!$S$28:$AE$58,4,))))</f>
        <v>0.15077083357405516</v>
      </c>
      <c r="N26" s="2318" t="str">
        <f>IF($B26&lt;'A1.3.10'!$S$28,"",IF($B26&gt;'A1.3.10'!$S$58,N25,IF(OR(VLOOKUP($B26,'A1.3.10'!$S$28:$AE$58,4,)="", 'Fuel consumption'!F$36=""),"",'Fuel consumption'!F$36 * VLOOKUP($B26,'A1.3.10'!$S$28:$AE$58,4,))))</f>
        <v/>
      </c>
      <c r="O26" s="2319" t="str">
        <f>IF($B26&lt;'A1.3.10'!$S$28,"",IF($B26&gt;'A1.3.10'!$S$58,O25,IF(OR(VLOOKUP($B26,'A1.3.10'!$S$28:$AE$58,4,)="", 'Fuel consumption'!G$36=""),"",'Fuel consumption'!G$36 * VLOOKUP($B26,'A1.3.10'!$S$28:$AE$58,4,))))</f>
        <v/>
      </c>
      <c r="P26" s="2315">
        <f>IF($B26&lt;'A1.3.10'!$S$28,"",IF($B26&gt;'A1.3.10'!$S$58,P25,IF(OR(VLOOKUP($B26,'A1.3.10'!$S$28:$AE$58,5,)="",'Fuel consumption'!D$29=""),"",'Fuel consumption'!D$29 * VLOOKUP($B26,'A1.3.10'!$S$28:$AE$58,5,))))</f>
        <v>0.34092128842231978</v>
      </c>
      <c r="Q26" s="2316">
        <f>IF($B26&lt;'A1.3.10'!$S$28,"",IF($B26&gt;'A1.3.10'!$S$58,Q25,IF(OR(VLOOKUP($B26,'A1.3.10'!$S$28:$AE$58,5,)="",'Fuel consumption'!E$29=""),"",'Fuel consumption'!E$29 * VLOOKUP($B26,'A1.3.10'!$S$28:$AE$58,5,))))</f>
        <v>0.19116892383654463</v>
      </c>
      <c r="R26" s="2316">
        <f>IF($B26&lt;'A1.3.10'!$S$28,"",IF($B26&gt;'A1.3.10'!$S$58,R25,IF(OR(VLOOKUP($B26,'A1.3.10'!$S$28:$AE$58,5,)="",'Fuel consumption'!F$29=""),"",'Fuel consumption'!F$29 * VLOOKUP($B26,'A1.3.10'!$S$28:$AE$58,5,))))</f>
        <v>-3.0007246123973309E-3</v>
      </c>
      <c r="S26" s="2641">
        <f>IF($B26&lt;'A1.3.10'!$S$28,"",IF($B26&gt;'A1.3.10'!$S$58,S25,IF(OR(VLOOKUP($B26,'A1.3.10'!$S$28:$AE$58,5,)="",'Fuel consumption'!G$29=""),"",'Fuel consumption'!G$29 * VLOOKUP($B26,'A1.3.10'!$S$28:$AE$58,5,))))</f>
        <v>1.9378791690965755E-5</v>
      </c>
      <c r="T26" s="2315">
        <f>IF($B26&lt;'A1.3.10'!$S$28,"",IF($B26&gt;'A1.3.10'!$S$58,T25,IF(OR(VLOOKUP($B26,'A1.3.10'!$S$28:$AE$58,6,)="",'Fuel consumption'!D$30=""),"",'Fuel consumption'!D$30 * VLOOKUP($B26,'A1.3.10'!$S$28:$AE$58,6,))))</f>
        <v>0.46920672599883706</v>
      </c>
      <c r="U26" s="2316">
        <f>IF($B26&lt;'A1.3.10'!$S$28,"",IF($B26&gt;'A1.3.10'!$S$58,U25,IF(OR(VLOOKUP($B26,'A1.3.10'!$S$28:$AE$58,6,)="",'Fuel consumption'!E$30=""),"",'Fuel consumption'!E$30 * VLOOKUP($B26,'A1.3.10'!$S$28:$AE$58,6,))))</f>
        <v>0.11467603600717279</v>
      </c>
      <c r="V26" s="2316">
        <f>IF($B26&lt;'A1.3.10'!$S$28,"",IF($B26&gt;'A1.3.10'!$S$58,V25,IF(OR(VLOOKUP($B26,'A1.3.10'!$S$28:$AE$58,6,)="",'Fuel consumption'!F$30=""),"",'Fuel consumption'!F$30 * VLOOKUP($B26,'A1.3.10'!$S$28:$AE$58,6,))))</f>
        <v>-1.6544102365611839E-3</v>
      </c>
      <c r="W26" s="2641">
        <f>IF($B26&lt;'A1.3.10'!$S$28,"",IF($B26&gt;'A1.3.10'!$S$58,W25,IF(OR(VLOOKUP($B26,'A1.3.10'!$S$28:$AE$58,6,)="",'Fuel consumption'!G$30=""),"",'Fuel consumption'!G$30 * VLOOKUP($B26,'A1.3.10'!$S$28:$AE$58,6,))))</f>
        <v>1.40062947472899E-5</v>
      </c>
      <c r="X26" s="3143"/>
      <c r="Y26" s="2483">
        <f>IF($B26&lt;'A1.3.10'!$S$28,"",IF($B26&gt;'A1.3.10'!$S$58,Y25,IF(OR(VLOOKUP($B26,'A1.3.10'!$S$28:$AE$58,7,)="", 'Fuel consumption'!E$37=""),"",'Fuel consumption'!E$37 * VLOOKUP($B26,'A1.3.10'!$S$28:$AE$58,7,))))</f>
        <v>0.33845227025877839</v>
      </c>
      <c r="Z26" s="2641"/>
      <c r="AA26" s="2641"/>
      <c r="AB26" s="2315">
        <f>IF($B26&lt;'A1.3.10'!$S$28,"",IF($B26&gt;'A1.3.10'!$S$58,AB25,IF(OR(VLOOKUP($B26,'A1.3.10'!$S$28:$AE$58,8,)="",'Fuel consumption'!D$31=""),"",'Fuel consumption'!D$31 * VLOOKUP($B26,'A1.3.10'!$S$28:$AE$58,8,))))</f>
        <v>2.6962848686626804</v>
      </c>
      <c r="AC26" s="2316">
        <f>IF($B26&lt;'A1.3.10'!$S$28,"",IF($B26&gt;'A1.3.10'!$S$58,AC25,IF(OR(VLOOKUP($B26,'A1.3.10'!$S$28:$AE$58,8,)="",'Fuel consumption'!E$31=""),"",'Fuel consumption'!E$31 * VLOOKUP($B26,'A1.3.10'!$S$28:$AE$58,8,))))</f>
        <v>0.143057339771858</v>
      </c>
      <c r="AD26" s="2316">
        <f>IF($B26&lt;'A1.3.10'!$S$28,"",IF($B26&gt;'A1.3.10'!$S$58,AD25,IF(OR(VLOOKUP($B26,'A1.3.10'!$S$28:$AE$58,8,)="",'Fuel consumption'!F$31=""),"",'Fuel consumption'!F$31 * VLOOKUP($B26,'A1.3.10'!$S$28:$AE$58,8,))))</f>
        <v>-1.0340193601785499E-3</v>
      </c>
      <c r="AE26" s="2641">
        <f>IF($B26&lt;'A1.3.10'!$S$28,"",IF($B26&gt;'A1.3.10'!$S$58,AE25,IF(OR(VLOOKUP($B26,'A1.3.10'!$S$28:$AE$58,8,)="",'Fuel consumption'!G$31=""),"",'Fuel consumption'!G$31 * VLOOKUP($B26,'A1.3.10'!$S$28:$AE$58,8,))))</f>
        <v>1.1293150500864199E-5</v>
      </c>
      <c r="AF26" s="2315">
        <f>IF($B26&lt;'A1.3.10'!$S$28,"",IF($B26&gt;'A1.3.10'!$S$58,AF25,IF(OR(VLOOKUP($B26,'A1.3.10'!$S$28:$AE$58,10,)="",'Fuel consumption'!D$32=""),"",'Fuel consumption'!D$32 * VLOOKUP($B26,'A1.3.10'!$S$28:$AE$58,10,))))</f>
        <v>5.6655970981789903</v>
      </c>
      <c r="AG26" s="2316">
        <f>IF($B26&lt;'A1.3.10'!$S$28,"",IF($B26&gt;'A1.3.10'!$S$58,AG25,IF(OR(VLOOKUP($B26,'A1.3.10'!$S$28:$AE$58,10,)="",'Fuel consumption'!E$32=""),"",'Fuel consumption'!E$32 * VLOOKUP($B26,'A1.3.10'!$S$28:$AE$58,10,))))</f>
        <v>0.29422449618924201</v>
      </c>
      <c r="AH26" s="2316">
        <f>IF($B26&lt;'A1.3.10'!$S$28,"",IF($B26&gt;'A1.3.10'!$S$58,AH25,IF(OR(VLOOKUP($B26,'A1.3.10'!$S$28:$AE$58,10,)="",'Fuel consumption'!F$32=""),"",'Fuel consumption'!F$32 * VLOOKUP($B26,'A1.3.10'!$S$28:$AE$58,10,))))</f>
        <v>-1.9493920679616401E-3</v>
      </c>
      <c r="AI26" s="2317">
        <f>IF($B26&lt;'A1.3.10'!$S$28,"",IF($B26&gt;'A1.3.10'!$S$58,AI25,IF(OR(VLOOKUP($B26,'A1.3.10'!$S$28:$AE$58,10,)="",'Fuel consumption'!G$32=""),"",'Fuel consumption'!G$32 * VLOOKUP($B26,'A1.3.10'!$S$28:$AE$58,10,))))</f>
        <v>1.1619187345164999E-5</v>
      </c>
      <c r="AJ26" s="2315">
        <f>IF($B26&lt;'A1.3.10'!$S$28,"",IF($B26&gt;'A1.3.10'!$S$58,AJ25,IF(OR(VLOOKUP($B26,'A1.3.10'!$S$28:$AE$58,12,)="",'Fuel consumption'!D$33=""),"",'Fuel consumption'!D$33 * VLOOKUP($B26,'A1.3.10'!$S$28:$AE$58,12,))))</f>
        <v>3.3601870156891001</v>
      </c>
      <c r="AK26" s="2316">
        <f>IF($B26&lt;'A1.3.10'!$S$28,"",IF($B26&gt;'A1.3.10'!$S$58,AK25,IF(OR(VLOOKUP($B26,'A1.3.10'!$S$28:$AE$58,12,)="",'Fuel consumption'!E$33=""),"",'Fuel consumption'!E$33 * VLOOKUP($B26,'A1.3.10'!$S$28:$AE$58,12,))))</f>
        <v>0.29524938703213599</v>
      </c>
      <c r="AL26" s="2316">
        <f>IF($B26&lt;'A1.3.10'!$S$28,"",IF($B26&gt;'A1.3.10'!$S$58,AL25,IF(OR(VLOOKUP($B26,'A1.3.10'!$S$28:$AE$58,12,)="",'Fuel consumption'!F$33=""),"",'Fuel consumption'!F$33 * VLOOKUP($B26,'A1.3.10'!$S$28:$AE$58,12,))))</f>
        <v>-3.20909768342738E-3</v>
      </c>
      <c r="AM26" s="2317">
        <f>IF($B26&lt;'A1.3.10'!$S$28,"",IF($B26&gt;'A1.3.10'!$S$58,AM25,IF(OR(VLOOKUP($B26,'A1.3.10'!$S$28:$AE$58,12,)="",'Fuel consumption'!G$33=""),"",'Fuel consumption'!G$33 * VLOOKUP($B26,'A1.3.10'!$S$28:$AE$58,12,))))</f>
        <v>2.3540043227716499E-5</v>
      </c>
    </row>
    <row r="27" spans="1:39" ht="13.5" customHeight="1">
      <c r="A27" s="623"/>
      <c r="B27" s="2296">
        <f>B26+1</f>
        <v>2011</v>
      </c>
      <c r="C27" s="609"/>
      <c r="D27" s="2484">
        <f>IF($B27&lt;'A1.3.10'!$S$28,"",IF($B27&gt;'A1.3.10'!$S$58,D26,IF(OR(VLOOKUP($B27,'A1.3.10'!$S$28:$AE$58,2,)="",'Fuel consumption'!D$27=""),"",'Fuel consumption'!D$27 * VLOOKUP($B27,'A1.3.10'!$S$28:$AE$58,2,))))</f>
        <v>0.47377549865409058</v>
      </c>
      <c r="E27" s="2485">
        <f>IF($B27&lt;'A1.3.10'!$S$28,"",IF($B27&gt;'A1.3.10'!$S$58,E26,IF(OR(VLOOKUP($B27,'A1.3.10'!$S$28:$AE$58,2,)="",'Fuel consumption'!E$27=""),"",'Fuel consumption'!E$27 * VLOOKUP($B27,'A1.3.10'!$S$28:$AE$58,2,))))</f>
        <v>0.10068497853286966</v>
      </c>
      <c r="F27" s="2485">
        <f>IF($B27&lt;'A1.3.10'!$S$28,"",IF($B27&gt;'A1.3.10'!$S$58,F26,IF(OR(VLOOKUP($B27,'A1.3.10'!$S$28:$AE$58,2,)="",'Fuel consumption'!F$27=""),"",'Fuel consumption'!F$27 * VLOOKUP($B27,'A1.3.10'!$S$28:$AE$58,2,))))</f>
        <v>-1.1469213063649082E-3</v>
      </c>
      <c r="G27" s="2642">
        <f>IF($B27&lt;'A1.3.10'!$S$28,"",IF($B27&gt;'A1.3.10'!$S$58,G26,IF(OR(VLOOKUP($B27,'A1.3.10'!$S$28:$AE$58,2,)="",'Fuel consumption'!G$27=""),"",'Fuel consumption'!G$27 * VLOOKUP($B27,'A1.3.10'!$S$28:$AE$58,2,))))</f>
        <v>7.5959675292111171E-6</v>
      </c>
      <c r="H27" s="2486">
        <f>IF($B27&lt;'A1.3.10'!$S$28,"",IF($B27&gt;'A1.3.10'!$S$58,H26,IF(OR(VLOOKUP($B27,'A1.3.10'!$S$28:$AE$58,3,)="",'Fuel consumption'!D$28=""),"",'Fuel consumption'!D$28  * VLOOKUP($B27,'A1.3.10'!$S$28:$AE$58,3,))))</f>
        <v>0.50648281087191993</v>
      </c>
      <c r="I27" s="2487">
        <f>IF($B27&lt;'A1.3.10'!$S$28,"",IF($B27&gt;'A1.3.10'!$S$58,I26,IF(OR(VLOOKUP($B27,'A1.3.10'!$S$28:$AE$58,3,)="",'Fuel consumption'!E$28=""),"",'Fuel consumption'!E$28  * VLOOKUP($B27,'A1.3.10'!$S$28:$AE$58,3,))))</f>
        <v>7.2617109773360777E-2</v>
      </c>
      <c r="J27" s="2487">
        <f>IF($B27&lt;'A1.3.10'!$S$28,"",IF($B27&gt;'A1.3.10'!$S$58,J26,IF(OR(VLOOKUP($B27,'A1.3.10'!$S$28:$AE$58,3,)="",'Fuel consumption'!F$28=""),"",'Fuel consumption'!F$28  * VLOOKUP($B27,'A1.3.10'!$S$28:$AE$58,3,))))</f>
        <v>-6.9859682574308893E-4</v>
      </c>
      <c r="K27" s="2642">
        <f>IF($B27&lt;'A1.3.10'!$S$28,"",IF($B27&gt;'A1.3.10'!$S$58,K26,IF(OR(VLOOKUP($B27,'A1.3.10'!$S$28:$AE$58,3,)="",'Fuel consumption'!G$28=""),"",'Fuel consumption'!G$28  * VLOOKUP($B27,'A1.3.10'!$S$28:$AE$58,3,))))</f>
        <v>5.5049780359812901E-6</v>
      </c>
      <c r="L27" s="2486" t="str">
        <f>IF($B27&lt;'A1.3.10'!$S$28,"",IF($B27&gt;'A1.3.10'!$S$58,L26,IF(OR(VLOOKUP($B27,'A1.3.10'!$S$28:$AE$58,4,)="", 'Fuel consumption'!D$36=""),"",'Fuel consumption'!D$36 * VLOOKUP($B27,'A1.3.10'!$S$28:$AE$58,4,))))</f>
        <v/>
      </c>
      <c r="M27" s="2487">
        <f>IF($B27&lt;'A1.3.10'!$S$28,"",IF($B27&gt;'A1.3.10'!$S$58,M26,IF(OR(VLOOKUP($B27,'A1.3.10'!$S$28:$AE$58,4,)="", 'Fuel consumption'!E$36=""),"",'Fuel consumption'!E$36 * VLOOKUP($B27,'A1.3.10'!$S$28:$AE$58,4,))))</f>
        <v>0.15077083357405516</v>
      </c>
      <c r="N27" s="614" t="str">
        <f>IF($B27&lt;'A1.3.10'!$S$28,"",IF($B27&gt;'A1.3.10'!$S$58,N26,IF(OR(VLOOKUP($B27,'A1.3.10'!$S$28:$AE$58,4,)="", 'Fuel consumption'!F$36=""),"",'Fuel consumption'!F$36 * VLOOKUP($B27,'A1.3.10'!$S$28:$AE$58,4,))))</f>
        <v/>
      </c>
      <c r="O27" s="612" t="str">
        <f>IF($B27&lt;'A1.3.10'!$S$28,"",IF($B27&gt;'A1.3.10'!$S$58,O26,IF(OR(VLOOKUP($B27,'A1.3.10'!$S$28:$AE$58,4,)="", 'Fuel consumption'!G$36=""),"",'Fuel consumption'!G$36 * VLOOKUP($B27,'A1.3.10'!$S$28:$AE$58,4,))))</f>
        <v/>
      </c>
      <c r="P27" s="610">
        <f>IF($B27&lt;'A1.3.10'!$S$28,"",IF($B27&gt;'A1.3.10'!$S$58,P26,IF(OR(VLOOKUP($B27,'A1.3.10'!$S$28:$AE$58,5,)="",'Fuel consumption'!D$29=""),"",'Fuel consumption'!D$29 * VLOOKUP($B27,'A1.3.10'!$S$28:$AE$58,5,))))</f>
        <v>0.34211989440151408</v>
      </c>
      <c r="Q27" s="611">
        <f>IF($B27&lt;'A1.3.10'!$S$28,"",IF($B27&gt;'A1.3.10'!$S$58,Q26,IF(OR(VLOOKUP($B27,'A1.3.10'!$S$28:$AE$58,5,)="",'Fuel consumption'!E$29=""),"",'Fuel consumption'!E$29 * VLOOKUP($B27,'A1.3.10'!$S$28:$AE$58,5,))))</f>
        <v>0.19184103268667538</v>
      </c>
      <c r="R27" s="611">
        <f>IF($B27&lt;'A1.3.10'!$S$28,"",IF($B27&gt;'A1.3.10'!$S$58,R26,IF(OR(VLOOKUP($B27,'A1.3.10'!$S$28:$AE$58,5,)="",'Fuel consumption'!F$29=""),"",'Fuel consumption'!F$29 * VLOOKUP($B27,'A1.3.10'!$S$28:$AE$58,5,))))</f>
        <v>-3.0112745152179473E-3</v>
      </c>
      <c r="S27" s="2642">
        <f>IF($B27&lt;'A1.3.10'!$S$28,"",IF($B27&gt;'A1.3.10'!$S$58,S26,IF(OR(VLOOKUP($B27,'A1.3.10'!$S$28:$AE$58,5,)="",'Fuel consumption'!G$29=""),"",'Fuel consumption'!G$29 * VLOOKUP($B27,'A1.3.10'!$S$28:$AE$58,5,))))</f>
        <v>1.9446923357655865E-5</v>
      </c>
      <c r="T27" s="610">
        <f>IF($B27&lt;'A1.3.10'!$S$28,"",IF($B27&gt;'A1.3.10'!$S$58,T26,IF(OR(VLOOKUP($B27,'A1.3.10'!$S$28:$AE$58,6,)="",'Fuel consumption'!D$30=""),"",'Fuel consumption'!D$30 * VLOOKUP($B27,'A1.3.10'!$S$28:$AE$58,6,))))</f>
        <v>0.46847404282643251</v>
      </c>
      <c r="U27" s="611">
        <f>IF($B27&lt;'A1.3.10'!$S$28,"",IF($B27&gt;'A1.3.10'!$S$58,U26,IF(OR(VLOOKUP($B27,'A1.3.10'!$S$28:$AE$58,6,)="",'Fuel consumption'!E$30=""),"",'Fuel consumption'!E$30 * VLOOKUP($B27,'A1.3.10'!$S$28:$AE$58,6,))))</f>
        <v>0.11449696525391014</v>
      </c>
      <c r="V27" s="611">
        <f>IF($B27&lt;'A1.3.10'!$S$28,"",IF($B27&gt;'A1.3.10'!$S$58,V26,IF(OR(VLOOKUP($B27,'A1.3.10'!$S$28:$AE$58,6,)="",'Fuel consumption'!F$30=""),"",'Fuel consumption'!F$30 * VLOOKUP($B27,'A1.3.10'!$S$28:$AE$58,6,))))</f>
        <v>-1.6518268154944848E-3</v>
      </c>
      <c r="W27" s="2642">
        <f>IF($B27&lt;'A1.3.10'!$S$28,"",IF($B27&gt;'A1.3.10'!$S$58,W26,IF(OR(VLOOKUP($B27,'A1.3.10'!$S$28:$AE$58,6,)="",'Fuel consumption'!G$30=""),"",'Fuel consumption'!G$30 * VLOOKUP($B27,'A1.3.10'!$S$28:$AE$58,6,))))</f>
        <v>1.3984423414462707E-5</v>
      </c>
      <c r="X27" s="3144"/>
      <c r="Y27" s="2487">
        <f>IF($B27&lt;'A1.3.10'!$S$28,"",IF($B27&gt;'A1.3.10'!$S$58,Y26,IF(OR(VLOOKUP($B27,'A1.3.10'!$S$28:$AE$58,7,)="", 'Fuel consumption'!E$37=""),"",'Fuel consumption'!E$37 * VLOOKUP($B27,'A1.3.10'!$S$28:$AE$58,7,))))</f>
        <v>0.33845227025877839</v>
      </c>
      <c r="Z27" s="2642"/>
      <c r="AA27" s="2642"/>
      <c r="AB27" s="610">
        <f>IF($B27&lt;'A1.3.10'!$S$28,"",IF($B27&gt;'A1.3.10'!$S$58,AB26,IF(OR(VLOOKUP($B27,'A1.3.10'!$S$28:$AE$58,8,)="",'Fuel consumption'!D$31=""),"",'Fuel consumption'!D$31 * VLOOKUP($B27,'A1.3.10'!$S$28:$AE$58,8,))))</f>
        <v>2.6962848686626804</v>
      </c>
      <c r="AC27" s="611">
        <f>IF($B27&lt;'A1.3.10'!$S$28,"",IF($B27&gt;'A1.3.10'!$S$58,AC26,IF(OR(VLOOKUP($B27,'A1.3.10'!$S$28:$AE$58,8,)="",'Fuel consumption'!E$31=""),"",'Fuel consumption'!E$31 * VLOOKUP($B27,'A1.3.10'!$S$28:$AE$58,8,))))</f>
        <v>0.143057339771858</v>
      </c>
      <c r="AD27" s="611">
        <f>IF($B27&lt;'A1.3.10'!$S$28,"",IF($B27&gt;'A1.3.10'!$S$58,AD26,IF(OR(VLOOKUP($B27,'A1.3.10'!$S$28:$AE$58,8,)="",'Fuel consumption'!F$31=""),"",'Fuel consumption'!F$31 * VLOOKUP($B27,'A1.3.10'!$S$28:$AE$58,8,))))</f>
        <v>-1.0340193601785499E-3</v>
      </c>
      <c r="AE27" s="2642">
        <f>IF($B27&lt;'A1.3.10'!$S$28,"",IF($B27&gt;'A1.3.10'!$S$58,AE26,IF(OR(VLOOKUP($B27,'A1.3.10'!$S$28:$AE$58,8,)="",'Fuel consumption'!G$31=""),"",'Fuel consumption'!G$31 * VLOOKUP($B27,'A1.3.10'!$S$28:$AE$58,8,))))</f>
        <v>1.1293150500864199E-5</v>
      </c>
      <c r="AF27" s="610">
        <f>IF($B27&lt;'A1.3.10'!$S$28,"",IF($B27&gt;'A1.3.10'!$S$58,AF26,IF(OR(VLOOKUP($B27,'A1.3.10'!$S$28:$AE$58,10,)="",'Fuel consumption'!D$32=""),"",'Fuel consumption'!D$32 * VLOOKUP($B27,'A1.3.10'!$S$28:$AE$58,10,))))</f>
        <v>5.6655970981789903</v>
      </c>
      <c r="AG27" s="611">
        <f>IF($B27&lt;'A1.3.10'!$S$28,"",IF($B27&gt;'A1.3.10'!$S$58,AG26,IF(OR(VLOOKUP($B27,'A1.3.10'!$S$28:$AE$58,10,)="",'Fuel consumption'!E$32=""),"",'Fuel consumption'!E$32 * VLOOKUP($B27,'A1.3.10'!$S$28:$AE$58,10,))))</f>
        <v>0.29422449618924201</v>
      </c>
      <c r="AH27" s="611">
        <f>IF($B27&lt;'A1.3.10'!$S$28,"",IF($B27&gt;'A1.3.10'!$S$58,AH26,IF(OR(VLOOKUP($B27,'A1.3.10'!$S$28:$AE$58,10,)="",'Fuel consumption'!F$32=""),"",'Fuel consumption'!F$32 * VLOOKUP($B27,'A1.3.10'!$S$28:$AE$58,10,))))</f>
        <v>-1.9493920679616401E-3</v>
      </c>
      <c r="AI27" s="1578">
        <f>IF($B27&lt;'A1.3.10'!$S$28,"",IF($B27&gt;'A1.3.10'!$S$58,AI26,IF(OR(VLOOKUP($B27,'A1.3.10'!$S$28:$AE$58,10,)="",'Fuel consumption'!G$32=""),"",'Fuel consumption'!G$32 * VLOOKUP($B27,'A1.3.10'!$S$28:$AE$58,10,))))</f>
        <v>1.1619187345164999E-5</v>
      </c>
      <c r="AJ27" s="610">
        <f>IF($B27&lt;'A1.3.10'!$S$28,"",IF($B27&gt;'A1.3.10'!$S$58,AJ26,IF(OR(VLOOKUP($B27,'A1.3.10'!$S$28:$AE$58,12,)="",'Fuel consumption'!D$33=""),"",'Fuel consumption'!D$33 * VLOOKUP($B27,'A1.3.10'!$S$28:$AE$58,12,))))</f>
        <v>3.3601870156891001</v>
      </c>
      <c r="AK27" s="611">
        <f>IF($B27&lt;'A1.3.10'!$S$28,"",IF($B27&gt;'A1.3.10'!$S$58,AK26,IF(OR(VLOOKUP($B27,'A1.3.10'!$S$28:$AE$58,12,)="",'Fuel consumption'!E$33=""),"",'Fuel consumption'!E$33 * VLOOKUP($B27,'A1.3.10'!$S$28:$AE$58,12,))))</f>
        <v>0.29524938703213599</v>
      </c>
      <c r="AL27" s="611">
        <f>IF($B27&lt;'A1.3.10'!$S$28,"",IF($B27&gt;'A1.3.10'!$S$58,AL26,IF(OR(VLOOKUP($B27,'A1.3.10'!$S$28:$AE$58,12,)="",'Fuel consumption'!F$33=""),"",'Fuel consumption'!F$33 * VLOOKUP($B27,'A1.3.10'!$S$28:$AE$58,12,))))</f>
        <v>-3.20909768342738E-3</v>
      </c>
      <c r="AM27" s="1578">
        <f>IF($B27&lt;'A1.3.10'!$S$28,"",IF($B27&gt;'A1.3.10'!$S$58,AM26,IF(OR(VLOOKUP($B27,'A1.3.10'!$S$28:$AE$58,12,)="",'Fuel consumption'!G$33=""),"",'Fuel consumption'!G$33 * VLOOKUP($B27,'A1.3.10'!$S$28:$AE$58,12,))))</f>
        <v>2.3540043227716499E-5</v>
      </c>
    </row>
    <row r="28" spans="1:39" ht="13.5" customHeight="1">
      <c r="A28" s="623"/>
      <c r="B28" s="614">
        <f t="shared" ref="B28:B51" si="1">B27+1</f>
        <v>2012</v>
      </c>
      <c r="C28" s="609"/>
      <c r="D28" s="2484">
        <f>IF($B28&lt;'A1.3.10'!$S$28,"",IF($B28&gt;'A1.3.10'!$S$58,D27,IF(OR(VLOOKUP($B28,'A1.3.10'!$S$28:$AE$58,2,)="",'Fuel consumption'!D$27=""),"",'Fuel consumption'!D$27 * VLOOKUP($B28,'A1.3.10'!$S$28:$AE$58,2,))))</f>
        <v>0.47029625973650185</v>
      </c>
      <c r="E28" s="2485">
        <f>IF($B28&lt;'A1.3.10'!$S$28,"",IF($B28&gt;'A1.3.10'!$S$58,E27,IF(OR(VLOOKUP($B28,'A1.3.10'!$S$28:$AE$58,2,)="",'Fuel consumption'!E$27=""),"",'Fuel consumption'!E$27 * VLOOKUP($B28,'A1.3.10'!$S$28:$AE$58,2,))))</f>
        <v>9.9945583826466927E-2</v>
      </c>
      <c r="F28" s="2485">
        <f>IF($B28&lt;'A1.3.10'!$S$28,"",IF($B28&gt;'A1.3.10'!$S$58,F27,IF(OR(VLOOKUP($B28,'A1.3.10'!$S$28:$AE$58,2,)="",'Fuel consumption'!F$27=""),"",'Fuel consumption'!F$27 * VLOOKUP($B28,'A1.3.10'!$S$28:$AE$58,2,))))</f>
        <v>-1.1384987238213773E-3</v>
      </c>
      <c r="G28" s="2642">
        <f>IF($B28&lt;'A1.3.10'!$S$28,"",IF($B28&gt;'A1.3.10'!$S$58,G27,IF(OR(VLOOKUP($B28,'A1.3.10'!$S$28:$AE$58,2,)="",'Fuel consumption'!G$27=""),"",'Fuel consumption'!G$27 * VLOOKUP($B28,'A1.3.10'!$S$28:$AE$58,2,))))</f>
        <v>7.5401854427177272E-6</v>
      </c>
      <c r="H28" s="2486">
        <f>IF($B28&lt;'A1.3.10'!$S$28,"",IF($B28&gt;'A1.3.10'!$S$58,H27,IF(OR(VLOOKUP($B28,'A1.3.10'!$S$28:$AE$58,3,)="",'Fuel consumption'!D$28=""),"",'Fuel consumption'!D$28  * VLOOKUP($B28,'A1.3.10'!$S$28:$AE$58,3,))))</f>
        <v>0.50120633267014325</v>
      </c>
      <c r="I28" s="2487">
        <f>IF($B28&lt;'A1.3.10'!$S$28,"",IF($B28&gt;'A1.3.10'!$S$58,I27,IF(OR(VLOOKUP($B28,'A1.3.10'!$S$28:$AE$58,3,)="",'Fuel consumption'!E$28=""),"",'Fuel consumption'!E$28  * VLOOKUP($B28,'A1.3.10'!$S$28:$AE$58,3,))))</f>
        <v>7.186059328638357E-2</v>
      </c>
      <c r="J28" s="2487">
        <f>IF($B28&lt;'A1.3.10'!$S$28,"",IF($B28&gt;'A1.3.10'!$S$58,J27,IF(OR(VLOOKUP($B28,'A1.3.10'!$S$28:$AE$58,3,)="",'Fuel consumption'!F$28=""),"",'Fuel consumption'!F$28  * VLOOKUP($B28,'A1.3.10'!$S$28:$AE$58,3,))))</f>
        <v>-6.913189263874957E-4</v>
      </c>
      <c r="K28" s="2642">
        <f>IF($B28&lt;'A1.3.10'!$S$28,"",IF($B28&gt;'A1.3.10'!$S$58,K27,IF(OR(VLOOKUP($B28,'A1.3.10'!$S$28:$AE$58,3,)="",'Fuel consumption'!G$28=""),"",'Fuel consumption'!G$28  * VLOOKUP($B28,'A1.3.10'!$S$28:$AE$58,3,))))</f>
        <v>5.4476278239215557E-6</v>
      </c>
      <c r="L28" s="2486" t="str">
        <f>IF($B28&lt;'A1.3.10'!$S$28,"",IF($B28&gt;'A1.3.10'!$S$58,L27,IF(OR(VLOOKUP($B28,'A1.3.10'!$S$28:$AE$58,4,)="", 'Fuel consumption'!D$36=""),"",'Fuel consumption'!D$36 * VLOOKUP($B28,'A1.3.10'!$S$28:$AE$58,4,))))</f>
        <v/>
      </c>
      <c r="M28" s="2487">
        <f>IF($B28&lt;'A1.3.10'!$S$28,"",IF($B28&gt;'A1.3.10'!$S$58,M27,IF(OR(VLOOKUP($B28,'A1.3.10'!$S$28:$AE$58,4,)="", 'Fuel consumption'!E$36=""),"",'Fuel consumption'!E$36 * VLOOKUP($B28,'A1.3.10'!$S$28:$AE$58,4,))))</f>
        <v>0.15102162817112577</v>
      </c>
      <c r="N28" s="614" t="str">
        <f>IF($B28&lt;'A1.3.10'!$S$28,"",IF($B28&gt;'A1.3.10'!$S$58,N27,IF(OR(VLOOKUP($B28,'A1.3.10'!$S$28:$AE$58,4,)="", 'Fuel consumption'!F$36=""),"",'Fuel consumption'!F$36 * VLOOKUP($B28,'A1.3.10'!$S$28:$AE$58,4,))))</f>
        <v/>
      </c>
      <c r="O28" s="612" t="str">
        <f>IF($B28&lt;'A1.3.10'!$S$28,"",IF($B28&gt;'A1.3.10'!$S$58,O27,IF(OR(VLOOKUP($B28,'A1.3.10'!$S$28:$AE$58,4,)="", 'Fuel consumption'!G$36=""),"",'Fuel consumption'!G$36 * VLOOKUP($B28,'A1.3.10'!$S$28:$AE$58,4,))))</f>
        <v/>
      </c>
      <c r="P28" s="610">
        <f>IF($B28&lt;'A1.3.10'!$S$28,"",IF($B28&gt;'A1.3.10'!$S$58,P27,IF(OR(VLOOKUP($B28,'A1.3.10'!$S$28:$AE$58,5,)="",'Fuel consumption'!D$29=""),"",'Fuel consumption'!D$29 * VLOOKUP($B28,'A1.3.10'!$S$28:$AE$58,5,))))</f>
        <v>0.34295427736740169</v>
      </c>
      <c r="Q28" s="611">
        <f>IF($B28&lt;'A1.3.10'!$S$28,"",IF($B28&gt;'A1.3.10'!$S$58,Q27,IF(OR(VLOOKUP($B28,'A1.3.10'!$S$28:$AE$58,5,)="",'Fuel consumption'!E$29=""),"",'Fuel consumption'!E$29 * VLOOKUP($B28,'A1.3.10'!$S$28:$AE$58,5,))))</f>
        <v>0.19230890635450776</v>
      </c>
      <c r="R28" s="611">
        <f>IF($B28&lt;'A1.3.10'!$S$28,"",IF($B28&gt;'A1.3.10'!$S$58,R27,IF(OR(VLOOKUP($B28,'A1.3.10'!$S$28:$AE$58,5,)="",'Fuel consumption'!F$29=""),"",'Fuel consumption'!F$29 * VLOOKUP($B28,'A1.3.10'!$S$28:$AE$58,5,))))</f>
        <v>-3.0186185960569315E-3</v>
      </c>
      <c r="S28" s="2642">
        <f>IF($B28&lt;'A1.3.10'!$S$28,"",IF($B28&gt;'A1.3.10'!$S$58,S27,IF(OR(VLOOKUP($B28,'A1.3.10'!$S$28:$AE$58,5,)="",'Fuel consumption'!G$29=""),"",'Fuel consumption'!G$29 * VLOOKUP($B28,'A1.3.10'!$S$28:$AE$58,5,))))</f>
        <v>1.949435170617952E-5</v>
      </c>
      <c r="T28" s="610">
        <f>IF($B28&lt;'A1.3.10'!$S$28,"",IF($B28&gt;'A1.3.10'!$S$58,T27,IF(OR(VLOOKUP($B28,'A1.3.10'!$S$28:$AE$58,6,)="",'Fuel consumption'!D$30=""),"",'Fuel consumption'!D$30 * VLOOKUP($B28,'A1.3.10'!$S$28:$AE$58,6,))))</f>
        <v>0.46697659923302193</v>
      </c>
      <c r="U28" s="611">
        <f>IF($B28&lt;'A1.3.10'!$S$28,"",IF($B28&gt;'A1.3.10'!$S$58,U27,IF(OR(VLOOKUP($B28,'A1.3.10'!$S$28:$AE$58,6,)="",'Fuel consumption'!E$30=""),"",'Fuel consumption'!E$30 * VLOOKUP($B28,'A1.3.10'!$S$28:$AE$58,6,))))</f>
        <v>0.11413098393710119</v>
      </c>
      <c r="V28" s="611">
        <f>IF($B28&lt;'A1.3.10'!$S$28,"",IF($B28&gt;'A1.3.10'!$S$58,V27,IF(OR(VLOOKUP($B28,'A1.3.10'!$S$28:$AE$58,6,)="",'Fuel consumption'!F$30=""),"",'Fuel consumption'!F$30 * VLOOKUP($B28,'A1.3.10'!$S$28:$AE$58,6,))))</f>
        <v>-1.6465468698493373E-3</v>
      </c>
      <c r="W28" s="2642">
        <f>IF($B28&lt;'A1.3.10'!$S$28,"",IF($B28&gt;'A1.3.10'!$S$58,W27,IF(OR(VLOOKUP($B28,'A1.3.10'!$S$28:$AE$58,6,)="",'Fuel consumption'!G$30=""),"",'Fuel consumption'!G$30 * VLOOKUP($B28,'A1.3.10'!$S$28:$AE$58,6,))))</f>
        <v>1.3939723210534255E-5</v>
      </c>
      <c r="X28" s="3144"/>
      <c r="Y28" s="2487">
        <f>IF($B28&lt;'A1.3.10'!$S$28,"",IF($B28&gt;'A1.3.10'!$S$58,Y27,IF(OR(VLOOKUP($B28,'A1.3.10'!$S$28:$AE$58,7,)="", 'Fuel consumption'!E$37=""),"",'Fuel consumption'!E$37 * VLOOKUP($B28,'A1.3.10'!$S$28:$AE$58,7,))))</f>
        <v>0.33845227025877839</v>
      </c>
      <c r="Z28" s="2642"/>
      <c r="AA28" s="2642"/>
      <c r="AB28" s="610">
        <f>IF($B28&lt;'A1.3.10'!$S$28,"",IF($B28&gt;'A1.3.10'!$S$58,AB27,IF(OR(VLOOKUP($B28,'A1.3.10'!$S$28:$AE$58,8,)="",'Fuel consumption'!D$31=""),"",'Fuel consumption'!D$31 * VLOOKUP($B28,'A1.3.10'!$S$28:$AE$58,8,))))</f>
        <v>2.6962848686626804</v>
      </c>
      <c r="AC28" s="611">
        <f>IF($B28&lt;'A1.3.10'!$S$28,"",IF($B28&gt;'A1.3.10'!$S$58,AC27,IF(OR(VLOOKUP($B28,'A1.3.10'!$S$28:$AE$58,8,)="",'Fuel consumption'!E$31=""),"",'Fuel consumption'!E$31 * VLOOKUP($B28,'A1.3.10'!$S$28:$AE$58,8,))))</f>
        <v>0.143057339771858</v>
      </c>
      <c r="AD28" s="611">
        <f>IF($B28&lt;'A1.3.10'!$S$28,"",IF($B28&gt;'A1.3.10'!$S$58,AD27,IF(OR(VLOOKUP($B28,'A1.3.10'!$S$28:$AE$58,8,)="",'Fuel consumption'!F$31=""),"",'Fuel consumption'!F$31 * VLOOKUP($B28,'A1.3.10'!$S$28:$AE$58,8,))))</f>
        <v>-1.0340193601785499E-3</v>
      </c>
      <c r="AE28" s="2642">
        <f>IF($B28&lt;'A1.3.10'!$S$28,"",IF($B28&gt;'A1.3.10'!$S$58,AE27,IF(OR(VLOOKUP($B28,'A1.3.10'!$S$28:$AE$58,8,)="",'Fuel consumption'!G$31=""),"",'Fuel consumption'!G$31 * VLOOKUP($B28,'A1.3.10'!$S$28:$AE$58,8,))))</f>
        <v>1.1293150500864199E-5</v>
      </c>
      <c r="AF28" s="610">
        <f>IF($B28&lt;'A1.3.10'!$S$28,"",IF($B28&gt;'A1.3.10'!$S$58,AF27,IF(OR(VLOOKUP($B28,'A1.3.10'!$S$28:$AE$58,10,)="",'Fuel consumption'!D$32=""),"",'Fuel consumption'!D$32 * VLOOKUP($B28,'A1.3.10'!$S$28:$AE$58,10,))))</f>
        <v>5.6655970981789903</v>
      </c>
      <c r="AG28" s="611">
        <f>IF($B28&lt;'A1.3.10'!$S$28,"",IF($B28&gt;'A1.3.10'!$S$58,AG27,IF(OR(VLOOKUP($B28,'A1.3.10'!$S$28:$AE$58,10,)="",'Fuel consumption'!E$32=""),"",'Fuel consumption'!E$32 * VLOOKUP($B28,'A1.3.10'!$S$28:$AE$58,10,))))</f>
        <v>0.29422449618924201</v>
      </c>
      <c r="AH28" s="611">
        <f>IF($B28&lt;'A1.3.10'!$S$28,"",IF($B28&gt;'A1.3.10'!$S$58,AH27,IF(OR(VLOOKUP($B28,'A1.3.10'!$S$28:$AE$58,10,)="",'Fuel consumption'!F$32=""),"",'Fuel consumption'!F$32 * VLOOKUP($B28,'A1.3.10'!$S$28:$AE$58,10,))))</f>
        <v>-1.9493920679616401E-3</v>
      </c>
      <c r="AI28" s="1578">
        <f>IF($B28&lt;'A1.3.10'!$S$28,"",IF($B28&gt;'A1.3.10'!$S$58,AI27,IF(OR(VLOOKUP($B28,'A1.3.10'!$S$28:$AE$58,10,)="",'Fuel consumption'!G$32=""),"",'Fuel consumption'!G$32 * VLOOKUP($B28,'A1.3.10'!$S$28:$AE$58,10,))))</f>
        <v>1.1619187345164999E-5</v>
      </c>
      <c r="AJ28" s="610">
        <f>IF($B28&lt;'A1.3.10'!$S$28,"",IF($B28&gt;'A1.3.10'!$S$58,AJ27,IF(OR(VLOOKUP($B28,'A1.3.10'!$S$28:$AE$58,12,)="",'Fuel consumption'!D$33=""),"",'Fuel consumption'!D$33 * VLOOKUP($B28,'A1.3.10'!$S$28:$AE$58,12,))))</f>
        <v>3.3601870156891001</v>
      </c>
      <c r="AK28" s="611">
        <f>IF($B28&lt;'A1.3.10'!$S$28,"",IF($B28&gt;'A1.3.10'!$S$58,AK27,IF(OR(VLOOKUP($B28,'A1.3.10'!$S$28:$AE$58,12,)="",'Fuel consumption'!E$33=""),"",'Fuel consumption'!E$33 * VLOOKUP($B28,'A1.3.10'!$S$28:$AE$58,12,))))</f>
        <v>0.29524938703213599</v>
      </c>
      <c r="AL28" s="611">
        <f>IF($B28&lt;'A1.3.10'!$S$28,"",IF($B28&gt;'A1.3.10'!$S$58,AL27,IF(OR(VLOOKUP($B28,'A1.3.10'!$S$28:$AE$58,12,)="",'Fuel consumption'!F$33=""),"",'Fuel consumption'!F$33 * VLOOKUP($B28,'A1.3.10'!$S$28:$AE$58,12,))))</f>
        <v>-3.20909768342738E-3</v>
      </c>
      <c r="AM28" s="1578">
        <f>IF($B28&lt;'A1.3.10'!$S$28,"",IF($B28&gt;'A1.3.10'!$S$58,AM27,IF(OR(VLOOKUP($B28,'A1.3.10'!$S$28:$AE$58,12,)="",'Fuel consumption'!G$33=""),"",'Fuel consumption'!G$33 * VLOOKUP($B28,'A1.3.10'!$S$28:$AE$58,12,))))</f>
        <v>2.3540043227716499E-5</v>
      </c>
    </row>
    <row r="29" spans="1:39" ht="13.5" customHeight="1">
      <c r="A29" s="623"/>
      <c r="B29" s="614">
        <f>B28+1</f>
        <v>2013</v>
      </c>
      <c r="C29" s="609"/>
      <c r="D29" s="2484">
        <f>IF($B29&lt;'A1.3.10'!$S$28,"",IF($B29&gt;'A1.3.10'!$S$58,D28,IF(OR(VLOOKUP($B29,'A1.3.10'!$S$28:$AE$58,2,)="",'Fuel consumption'!D$27=""),"",'Fuel consumption'!D$27 * VLOOKUP($B29,'A1.3.10'!$S$28:$AE$58,2,))))</f>
        <v>0.46558902101312283</v>
      </c>
      <c r="E29" s="2485">
        <f>IF($B29&lt;'A1.3.10'!$S$28,"",IF($B29&gt;'A1.3.10'!$S$58,E28,IF(OR(VLOOKUP($B29,'A1.3.10'!$S$28:$AE$58,2,)="",'Fuel consumption'!E$27=""),"",'Fuel consumption'!E$27 * VLOOKUP($B29,'A1.3.10'!$S$28:$AE$58,2,))))</f>
        <v>9.8945219242061636E-2</v>
      </c>
      <c r="F29" s="2485">
        <f>IF($B29&lt;'A1.3.10'!$S$28,"",IF($B29&gt;'A1.3.10'!$S$58,F28,IF(OR(VLOOKUP($B29,'A1.3.10'!$S$28:$AE$58,2,)="",'Fuel consumption'!F$27=""),"",'Fuel consumption'!F$27 * VLOOKUP($B29,'A1.3.10'!$S$28:$AE$58,2,))))</f>
        <v>-1.127103384886953E-3</v>
      </c>
      <c r="G29" s="2642">
        <f>IF($B29&lt;'A1.3.10'!$S$28,"",IF($B29&gt;'A1.3.10'!$S$58,G28,IF(OR(VLOOKUP($B29,'A1.3.10'!$S$28:$AE$58,2,)="",'Fuel consumption'!G$27=""),"",'Fuel consumption'!G$27 * VLOOKUP($B29,'A1.3.10'!$S$28:$AE$58,2,))))</f>
        <v>7.464715029839458E-6</v>
      </c>
      <c r="H29" s="2486">
        <f>IF($B29&lt;'A1.3.10'!$S$28,"",IF($B29&gt;'A1.3.10'!$S$58,H28,IF(OR(VLOOKUP($B29,'A1.3.10'!$S$28:$AE$58,3,)="",'Fuel consumption'!D$28=""),"",'Fuel consumption'!D$28  * VLOOKUP($B29,'A1.3.10'!$S$28:$AE$58,3,))))</f>
        <v>0.49524193818505463</v>
      </c>
      <c r="I29" s="2487">
        <f>IF($B29&lt;'A1.3.10'!$S$28,"",IF($B29&gt;'A1.3.10'!$S$58,I28,IF(OR(VLOOKUP($B29,'A1.3.10'!$S$28:$AE$58,3,)="",'Fuel consumption'!E$28=""),"",'Fuel consumption'!E$28  * VLOOKUP($B29,'A1.3.10'!$S$28:$AE$58,3,))))</f>
        <v>7.1005446616529785E-2</v>
      </c>
      <c r="J29" s="2487">
        <f>IF($B29&lt;'A1.3.10'!$S$28,"",IF($B29&gt;'A1.3.10'!$S$58,J28,IF(OR(VLOOKUP($B29,'A1.3.10'!$S$28:$AE$58,3,)="",'Fuel consumption'!F$28=""),"",'Fuel consumption'!F$28  * VLOOKUP($B29,'A1.3.10'!$S$28:$AE$58,3,))))</f>
        <v>-6.8309217719616697E-4</v>
      </c>
      <c r="K29" s="2642">
        <f>IF($B29&lt;'A1.3.10'!$S$28,"",IF($B29&gt;'A1.3.10'!$S$58,K28,IF(OR(VLOOKUP($B29,'A1.3.10'!$S$28:$AE$58,3,)="",'Fuel consumption'!G$28=""),"",'Fuel consumption'!G$28  * VLOOKUP($B29,'A1.3.10'!$S$28:$AE$58,3,))))</f>
        <v>5.3828006275517194E-6</v>
      </c>
      <c r="L29" s="2486" t="str">
        <f>IF($B29&lt;'A1.3.10'!$S$28,"",IF($B29&gt;'A1.3.10'!$S$58,L28,IF(OR(VLOOKUP($B29,'A1.3.10'!$S$28:$AE$58,4,)="", 'Fuel consumption'!D$36=""),"",'Fuel consumption'!D$36 * VLOOKUP($B29,'A1.3.10'!$S$28:$AE$58,4,))))</f>
        <v/>
      </c>
      <c r="M29" s="2487">
        <f>IF($B29&lt;'A1.3.10'!$S$28,"",IF($B29&gt;'A1.3.10'!$S$58,M28,IF(OR(VLOOKUP($B29,'A1.3.10'!$S$28:$AE$58,4,)="", 'Fuel consumption'!E$36=""),"",'Fuel consumption'!E$36 * VLOOKUP($B29,'A1.3.10'!$S$28:$AE$58,4,))))</f>
        <v>0.15049593329477051</v>
      </c>
      <c r="N29" s="614" t="str">
        <f>IF($B29&lt;'A1.3.10'!$S$28,"",IF($B29&gt;'A1.3.10'!$S$58,N28,IF(OR(VLOOKUP($B29,'A1.3.10'!$S$28:$AE$58,4,)="", 'Fuel consumption'!F$36=""),"",'Fuel consumption'!F$36 * VLOOKUP($B29,'A1.3.10'!$S$28:$AE$58,4,))))</f>
        <v/>
      </c>
      <c r="O29" s="612" t="str">
        <f>IF($B29&lt;'A1.3.10'!$S$28,"",IF($B29&gt;'A1.3.10'!$S$58,O28,IF(OR(VLOOKUP($B29,'A1.3.10'!$S$28:$AE$58,4,)="", 'Fuel consumption'!G$36=""),"",'Fuel consumption'!G$36 * VLOOKUP($B29,'A1.3.10'!$S$28:$AE$58,4,))))</f>
        <v/>
      </c>
      <c r="P29" s="610">
        <f>IF($B29&lt;'A1.3.10'!$S$28,"",IF($B29&gt;'A1.3.10'!$S$58,P28,IF(OR(VLOOKUP($B29,'A1.3.10'!$S$28:$AE$58,5,)="",'Fuel consumption'!D$29=""),"",'Fuel consumption'!D$29 * VLOOKUP($B29,'A1.3.10'!$S$28:$AE$58,5,))))</f>
        <v>0.34332712198880927</v>
      </c>
      <c r="Q29" s="611">
        <f>IF($B29&lt;'A1.3.10'!$S$28,"",IF($B29&gt;'A1.3.10'!$S$58,Q28,IF(OR(VLOOKUP($B29,'A1.3.10'!$S$28:$AE$58,5,)="",'Fuel consumption'!E$29=""),"",'Fuel consumption'!E$29 * VLOOKUP($B29,'A1.3.10'!$S$28:$AE$58,5,))))</f>
        <v>0.19251797603555518</v>
      </c>
      <c r="R29" s="611">
        <f>IF($B29&lt;'A1.3.10'!$S$28,"",IF($B29&gt;'A1.3.10'!$S$58,R28,IF(OR(VLOOKUP($B29,'A1.3.10'!$S$28:$AE$58,5,)="",'Fuel consumption'!F$29=""),"",'Fuel consumption'!F$29 * VLOOKUP($B29,'A1.3.10'!$S$28:$AE$58,5,))))</f>
        <v>-3.0219003038001917E-3</v>
      </c>
      <c r="S29" s="2642">
        <f>IF($B29&lt;'A1.3.10'!$S$28,"",IF($B29&gt;'A1.3.10'!$S$58,S28,IF(OR(VLOOKUP($B29,'A1.3.10'!$S$28:$AE$58,5,)="",'Fuel consumption'!G$29=""),"",'Fuel consumption'!G$29 * VLOOKUP($B29,'A1.3.10'!$S$28:$AE$58,5,))))</f>
        <v>1.9515545097430594E-5</v>
      </c>
      <c r="T29" s="610">
        <f>IF($B29&lt;'A1.3.10'!$S$28,"",IF($B29&gt;'A1.3.10'!$S$58,T28,IF(OR(VLOOKUP($B29,'A1.3.10'!$S$28:$AE$58,6,)="",'Fuel consumption'!D$30=""),"",'Fuel consumption'!D$30 * VLOOKUP($B29,'A1.3.10'!$S$28:$AE$58,6,))))</f>
        <v>0.46651610392383175</v>
      </c>
      <c r="U29" s="611">
        <f>IF($B29&lt;'A1.3.10'!$S$28,"",IF($B29&gt;'A1.3.10'!$S$58,U28,IF(OR(VLOOKUP($B29,'A1.3.10'!$S$28:$AE$58,6,)="",'Fuel consumption'!E$30=""),"",'Fuel consumption'!E$30 * VLOOKUP($B29,'A1.3.10'!$S$28:$AE$58,6,))))</f>
        <v>0.11401843700686398</v>
      </c>
      <c r="V29" s="611">
        <f>IF($B29&lt;'A1.3.10'!$S$28,"",IF($B29&gt;'A1.3.10'!$S$58,V28,IF(OR(VLOOKUP($B29,'A1.3.10'!$S$28:$AE$58,6,)="",'Fuel consumption'!F$30=""),"",'Fuel consumption'!F$30 * VLOOKUP($B29,'A1.3.10'!$S$28:$AE$58,6,))))</f>
        <v>-1.6449231758330362E-3</v>
      </c>
      <c r="W29" s="2642">
        <f>IF($B29&lt;'A1.3.10'!$S$28,"",IF($B29&gt;'A1.3.10'!$S$58,W28,IF(OR(VLOOKUP($B29,'A1.3.10'!$S$28:$AE$58,6,)="",'Fuel consumption'!G$30=""),"",'Fuel consumption'!G$30 * VLOOKUP($B29,'A1.3.10'!$S$28:$AE$58,6,))))</f>
        <v>1.3925976960378672E-5</v>
      </c>
      <c r="X29" s="3144"/>
      <c r="Y29" s="2487">
        <f>IF($B29&lt;'A1.3.10'!$S$28,"",IF($B29&gt;'A1.3.10'!$S$58,Y28,IF(OR(VLOOKUP($B29,'A1.3.10'!$S$28:$AE$58,7,)="", 'Fuel consumption'!E$37=""),"",'Fuel consumption'!E$37 * VLOOKUP($B29,'A1.3.10'!$S$28:$AE$58,7,))))</f>
        <v>0.33775743083318288</v>
      </c>
      <c r="Z29" s="2642"/>
      <c r="AA29" s="2642"/>
      <c r="AB29" s="610">
        <f>IF($B29&lt;'A1.3.10'!$S$28,"",IF($B29&gt;'A1.3.10'!$S$58,AB28,IF(OR(VLOOKUP($B29,'A1.3.10'!$S$28:$AE$58,8,)="",'Fuel consumption'!D$31=""),"",'Fuel consumption'!D$31 * VLOOKUP($B29,'A1.3.10'!$S$28:$AE$58,8,))))</f>
        <v>2.6962848686626804</v>
      </c>
      <c r="AC29" s="611">
        <f>IF($B29&lt;'A1.3.10'!$S$28,"",IF($B29&gt;'A1.3.10'!$S$58,AC28,IF(OR(VLOOKUP($B29,'A1.3.10'!$S$28:$AE$58,8,)="",'Fuel consumption'!E$31=""),"",'Fuel consumption'!E$31 * VLOOKUP($B29,'A1.3.10'!$S$28:$AE$58,8,))))</f>
        <v>0.143057339771858</v>
      </c>
      <c r="AD29" s="611">
        <f>IF($B29&lt;'A1.3.10'!$S$28,"",IF($B29&gt;'A1.3.10'!$S$58,AD28,IF(OR(VLOOKUP($B29,'A1.3.10'!$S$28:$AE$58,8,)="",'Fuel consumption'!F$31=""),"",'Fuel consumption'!F$31 * VLOOKUP($B29,'A1.3.10'!$S$28:$AE$58,8,))))</f>
        <v>-1.0340193601785499E-3</v>
      </c>
      <c r="AE29" s="2642">
        <f>IF($B29&lt;'A1.3.10'!$S$28,"",IF($B29&gt;'A1.3.10'!$S$58,AE28,IF(OR(VLOOKUP($B29,'A1.3.10'!$S$28:$AE$58,8,)="",'Fuel consumption'!G$31=""),"",'Fuel consumption'!G$31 * VLOOKUP($B29,'A1.3.10'!$S$28:$AE$58,8,))))</f>
        <v>1.1293150500864199E-5</v>
      </c>
      <c r="AF29" s="610">
        <f>IF($B29&lt;'A1.3.10'!$S$28,"",IF($B29&gt;'A1.3.10'!$S$58,AF28,IF(OR(VLOOKUP($B29,'A1.3.10'!$S$28:$AE$58,10,)="",'Fuel consumption'!D$32=""),"",'Fuel consumption'!D$32 * VLOOKUP($B29,'A1.3.10'!$S$28:$AE$58,10,))))</f>
        <v>5.6655970981789903</v>
      </c>
      <c r="AG29" s="611">
        <f>IF($B29&lt;'A1.3.10'!$S$28,"",IF($B29&gt;'A1.3.10'!$S$58,AG28,IF(OR(VLOOKUP($B29,'A1.3.10'!$S$28:$AE$58,10,)="",'Fuel consumption'!E$32=""),"",'Fuel consumption'!E$32 * VLOOKUP($B29,'A1.3.10'!$S$28:$AE$58,10,))))</f>
        <v>0.29422449618924201</v>
      </c>
      <c r="AH29" s="611">
        <f>IF($B29&lt;'A1.3.10'!$S$28,"",IF($B29&gt;'A1.3.10'!$S$58,AH28,IF(OR(VLOOKUP($B29,'A1.3.10'!$S$28:$AE$58,10,)="",'Fuel consumption'!F$32=""),"",'Fuel consumption'!F$32 * VLOOKUP($B29,'A1.3.10'!$S$28:$AE$58,10,))))</f>
        <v>-1.9493920679616401E-3</v>
      </c>
      <c r="AI29" s="1578">
        <f>IF($B29&lt;'A1.3.10'!$S$28,"",IF($B29&gt;'A1.3.10'!$S$58,AI28,IF(OR(VLOOKUP($B29,'A1.3.10'!$S$28:$AE$58,10,)="",'Fuel consumption'!G$32=""),"",'Fuel consumption'!G$32 * VLOOKUP($B29,'A1.3.10'!$S$28:$AE$58,10,))))</f>
        <v>1.1619187345164999E-5</v>
      </c>
      <c r="AJ29" s="610">
        <f>IF($B29&lt;'A1.3.10'!$S$28,"",IF($B29&gt;'A1.3.10'!$S$58,AJ28,IF(OR(VLOOKUP($B29,'A1.3.10'!$S$28:$AE$58,12,)="",'Fuel consumption'!D$33=""),"",'Fuel consumption'!D$33 * VLOOKUP($B29,'A1.3.10'!$S$28:$AE$58,12,))))</f>
        <v>3.3601870156891001</v>
      </c>
      <c r="AK29" s="611">
        <f>IF($B29&lt;'A1.3.10'!$S$28,"",IF($B29&gt;'A1.3.10'!$S$58,AK28,IF(OR(VLOOKUP($B29,'A1.3.10'!$S$28:$AE$58,12,)="",'Fuel consumption'!E$33=""),"",'Fuel consumption'!E$33 * VLOOKUP($B29,'A1.3.10'!$S$28:$AE$58,12,))))</f>
        <v>0.29524938703213599</v>
      </c>
      <c r="AL29" s="611">
        <f>IF($B29&lt;'A1.3.10'!$S$28,"",IF($B29&gt;'A1.3.10'!$S$58,AL28,IF(OR(VLOOKUP($B29,'A1.3.10'!$S$28:$AE$58,12,)="",'Fuel consumption'!F$33=""),"",'Fuel consumption'!F$33 * VLOOKUP($B29,'A1.3.10'!$S$28:$AE$58,12,))))</f>
        <v>-3.20909768342738E-3</v>
      </c>
      <c r="AM29" s="1578">
        <f>IF($B29&lt;'A1.3.10'!$S$28,"",IF($B29&gt;'A1.3.10'!$S$58,AM28,IF(OR(VLOOKUP($B29,'A1.3.10'!$S$28:$AE$58,12,)="",'Fuel consumption'!G$33=""),"",'Fuel consumption'!G$33 * VLOOKUP($B29,'A1.3.10'!$S$28:$AE$58,12,))))</f>
        <v>2.3540043227716499E-5</v>
      </c>
    </row>
    <row r="30" spans="1:39" ht="13.5" customHeight="1">
      <c r="A30" s="623"/>
      <c r="B30" s="614">
        <f t="shared" si="1"/>
        <v>2014</v>
      </c>
      <c r="C30" s="609"/>
      <c r="D30" s="2484">
        <f>IF($B30&lt;'A1.3.10'!$S$28,"",IF($B30&gt;'A1.3.10'!$S$58,D29,IF(OR(VLOOKUP($B30,'A1.3.10'!$S$28:$AE$58,2,)="",'Fuel consumption'!D$27=""),"",'Fuel consumption'!D$27 * VLOOKUP($B30,'A1.3.10'!$S$28:$AE$58,2,))))</f>
        <v>0.45915146920031474</v>
      </c>
      <c r="E30" s="2485">
        <f>IF($B30&lt;'A1.3.10'!$S$28,"",IF($B30&gt;'A1.3.10'!$S$58,E29,IF(OR(VLOOKUP($B30,'A1.3.10'!$S$28:$AE$58,2,)="",'Fuel consumption'!E$27=""),"",'Fuel consumption'!E$27 * VLOOKUP($B30,'A1.3.10'!$S$28:$AE$58,2,))))</f>
        <v>9.7577135058902878E-2</v>
      </c>
      <c r="F30" s="2485">
        <f>IF($B30&lt;'A1.3.10'!$S$28,"",IF($B30&gt;'A1.3.10'!$S$58,F29,IF(OR(VLOOKUP($B30,'A1.3.10'!$S$28:$AE$58,2,)="",'Fuel consumption'!F$27=""),"",'Fuel consumption'!F$27 * VLOOKUP($B30,'A1.3.10'!$S$28:$AE$58,2,))))</f>
        <v>-1.1115192836493152E-3</v>
      </c>
      <c r="G30" s="2642">
        <f>IF($B30&lt;'A1.3.10'!$S$28,"",IF($B30&gt;'A1.3.10'!$S$58,G29,IF(OR(VLOOKUP($B30,'A1.3.10'!$S$28:$AE$58,2,)="",'Fuel consumption'!G$27=""),"",'Fuel consumption'!G$27 * VLOOKUP($B30,'A1.3.10'!$S$28:$AE$58,2,))))</f>
        <v>7.3615027812605028E-6</v>
      </c>
      <c r="H30" s="2486">
        <f>IF($B30&lt;'A1.3.10'!$S$28,"",IF($B30&gt;'A1.3.10'!$S$58,H29,IF(OR(VLOOKUP($B30,'A1.3.10'!$S$28:$AE$58,3,)="",'Fuel consumption'!D$28=""),"",'Fuel consumption'!D$28  * VLOOKUP($B30,'A1.3.10'!$S$28:$AE$58,3,))))</f>
        <v>0.48937978563209583</v>
      </c>
      <c r="I30" s="2487">
        <f>IF($B30&lt;'A1.3.10'!$S$28,"",IF($B30&gt;'A1.3.10'!$S$58,I29,IF(OR(VLOOKUP($B30,'A1.3.10'!$S$28:$AE$58,3,)="",'Fuel consumption'!E$28=""),"",'Fuel consumption'!E$28  * VLOOKUP($B30,'A1.3.10'!$S$28:$AE$58,3,))))</f>
        <v>7.016495891130331E-2</v>
      </c>
      <c r="J30" s="2487">
        <f>IF($B30&lt;'A1.3.10'!$S$28,"",IF($B30&gt;'A1.3.10'!$S$58,J29,IF(OR(VLOOKUP($B30,'A1.3.10'!$S$28:$AE$58,3,)="",'Fuel consumption'!F$28=""),"",'Fuel consumption'!F$28  * VLOOKUP($B30,'A1.3.10'!$S$28:$AE$58,3,))))</f>
        <v>-6.7500645132825712E-4</v>
      </c>
      <c r="K30" s="2642">
        <f>IF($B30&lt;'A1.3.10'!$S$28,"",IF($B30&gt;'A1.3.10'!$S$58,K29,IF(OR(VLOOKUP($B30,'A1.3.10'!$S$28:$AE$58,3,)="",'Fuel consumption'!G$28=""),"",'Fuel consumption'!G$28  * VLOOKUP($B30,'A1.3.10'!$S$28:$AE$58,3,))))</f>
        <v>5.3190847020456706E-6</v>
      </c>
      <c r="L30" s="2486" t="str">
        <f>IF($B30&lt;'A1.3.10'!$S$28,"",IF($B30&gt;'A1.3.10'!$S$58,L29,IF(OR(VLOOKUP($B30,'A1.3.10'!$S$28:$AE$58,4,)="", 'Fuel consumption'!D$36=""),"",'Fuel consumption'!D$36 * VLOOKUP($B30,'A1.3.10'!$S$28:$AE$58,4,))))</f>
        <v/>
      </c>
      <c r="M30" s="2487">
        <f>IF($B30&lt;'A1.3.10'!$S$28,"",IF($B30&gt;'A1.3.10'!$S$58,M29,IF(OR(VLOOKUP($B30,'A1.3.10'!$S$28:$AE$58,4,)="", 'Fuel consumption'!E$36=""),"",'Fuel consumption'!E$36 * VLOOKUP($B30,'A1.3.10'!$S$28:$AE$58,4,))))</f>
        <v>0.15129307779200288</v>
      </c>
      <c r="N30" s="614" t="str">
        <f>IF($B30&lt;'A1.3.10'!$S$28,"",IF($B30&gt;'A1.3.10'!$S$58,N29,IF(OR(VLOOKUP($B30,'A1.3.10'!$S$28:$AE$58,4,)="", 'Fuel consumption'!F$36=""),"",'Fuel consumption'!F$36 * VLOOKUP($B30,'A1.3.10'!$S$28:$AE$58,4,))))</f>
        <v/>
      </c>
      <c r="O30" s="612" t="str">
        <f>IF($B30&lt;'A1.3.10'!$S$28,"",IF($B30&gt;'A1.3.10'!$S$58,O29,IF(OR(VLOOKUP($B30,'A1.3.10'!$S$28:$AE$58,4,)="", 'Fuel consumption'!G$36=""),"",'Fuel consumption'!G$36 * VLOOKUP($B30,'A1.3.10'!$S$28:$AE$58,4,))))</f>
        <v/>
      </c>
      <c r="P30" s="610">
        <f>IF($B30&lt;'A1.3.10'!$S$28,"",IF($B30&gt;'A1.3.10'!$S$58,P29,IF(OR(VLOOKUP($B30,'A1.3.10'!$S$28:$AE$58,5,)="",'Fuel consumption'!D$29=""),"",'Fuel consumption'!D$29 * VLOOKUP($B30,'A1.3.10'!$S$28:$AE$58,5,))))</f>
        <v>0.34385707885093375</v>
      </c>
      <c r="Q30" s="611">
        <f>IF($B30&lt;'A1.3.10'!$S$28,"",IF($B30&gt;'A1.3.10'!$S$58,Q29,IF(OR(VLOOKUP($B30,'A1.3.10'!$S$28:$AE$58,5,)="",'Fuel consumption'!E$29=""),"",'Fuel consumption'!E$29 * VLOOKUP($B30,'A1.3.10'!$S$28:$AE$58,5,))))</f>
        <v>0.19281514516653248</v>
      </c>
      <c r="R30" s="611">
        <f>IF($B30&lt;'A1.3.10'!$S$28,"",IF($B30&gt;'A1.3.10'!$S$58,R29,IF(OR(VLOOKUP($B30,'A1.3.10'!$S$28:$AE$58,5,)="",'Fuel consumption'!F$29=""),"",'Fuel consumption'!F$29 * VLOOKUP($B30,'A1.3.10'!$S$28:$AE$58,5,))))</f>
        <v>-3.0265648837301952E-3</v>
      </c>
      <c r="S30" s="2642">
        <f>IF($B30&lt;'A1.3.10'!$S$28,"",IF($B30&gt;'A1.3.10'!$S$58,S29,IF(OR(VLOOKUP($B30,'A1.3.10'!$S$28:$AE$58,5,)="",'Fuel consumption'!G$29=""),"",'Fuel consumption'!G$29 * VLOOKUP($B30,'A1.3.10'!$S$28:$AE$58,5,))))</f>
        <v>1.9545669128944829E-5</v>
      </c>
      <c r="T30" s="610">
        <f>IF($B30&lt;'A1.3.10'!$S$28,"",IF($B30&gt;'A1.3.10'!$S$58,T29,IF(OR(VLOOKUP($B30,'A1.3.10'!$S$28:$AE$58,6,)="",'Fuel consumption'!D$30=""),"",'Fuel consumption'!D$30 * VLOOKUP($B30,'A1.3.10'!$S$28:$AE$58,6,))))</f>
        <v>0.46530799056668259</v>
      </c>
      <c r="U30" s="611">
        <f>IF($B30&lt;'A1.3.10'!$S$28,"",IF($B30&gt;'A1.3.10'!$S$58,U29,IF(OR(VLOOKUP($B30,'A1.3.10'!$S$28:$AE$58,6,)="",'Fuel consumption'!E$30=""),"",'Fuel consumption'!E$30 * VLOOKUP($B30,'A1.3.10'!$S$28:$AE$58,6,))))</f>
        <v>0.11372316917891402</v>
      </c>
      <c r="V30" s="611">
        <f>IF($B30&lt;'A1.3.10'!$S$28,"",IF($B30&gt;'A1.3.10'!$S$58,V29,IF(OR(VLOOKUP($B30,'A1.3.10'!$S$28:$AE$58,6,)="",'Fuel consumption'!F$30=""),"",'Fuel consumption'!F$30 * VLOOKUP($B30,'A1.3.10'!$S$28:$AE$58,6,))))</f>
        <v>-1.6406634007824141E-3</v>
      </c>
      <c r="W30" s="2642">
        <f>IF($B30&lt;'A1.3.10'!$S$28,"",IF($B30&gt;'A1.3.10'!$S$58,W29,IF(OR(VLOOKUP($B30,'A1.3.10'!$S$28:$AE$58,6,)="",'Fuel consumption'!G$30=""),"",'Fuel consumption'!G$30 * VLOOKUP($B30,'A1.3.10'!$S$28:$AE$58,6,))))</f>
        <v>1.3889913556273909E-5</v>
      </c>
      <c r="X30" s="3144"/>
      <c r="Y30" s="2487">
        <f>IF($B30&lt;'A1.3.10'!$S$28,"",IF($B30&gt;'A1.3.10'!$S$58,Y29,IF(OR(VLOOKUP($B30,'A1.3.10'!$S$28:$AE$58,7,)="", 'Fuel consumption'!E$37=""),"",'Fuel consumption'!E$37 * VLOOKUP($B30,'A1.3.10'!$S$28:$AE$58,7,))))</f>
        <v>0.33705969704140915</v>
      </c>
      <c r="Z30" s="2642"/>
      <c r="AA30" s="2642"/>
      <c r="AB30" s="610">
        <f>IF($B30&lt;'A1.3.10'!$S$28,"",IF($B30&gt;'A1.3.10'!$S$58,AB29,IF(OR(VLOOKUP($B30,'A1.3.10'!$S$28:$AE$58,8,)="",'Fuel consumption'!D$31=""),"",'Fuel consumption'!D$31 * VLOOKUP($B30,'A1.3.10'!$S$28:$AE$58,8,))))</f>
        <v>2.6962848686626804</v>
      </c>
      <c r="AC30" s="611">
        <f>IF($B30&lt;'A1.3.10'!$S$28,"",IF($B30&gt;'A1.3.10'!$S$58,AC29,IF(OR(VLOOKUP($B30,'A1.3.10'!$S$28:$AE$58,8,)="",'Fuel consumption'!E$31=""),"",'Fuel consumption'!E$31 * VLOOKUP($B30,'A1.3.10'!$S$28:$AE$58,8,))))</f>
        <v>0.143057339771858</v>
      </c>
      <c r="AD30" s="611">
        <f>IF($B30&lt;'A1.3.10'!$S$28,"",IF($B30&gt;'A1.3.10'!$S$58,AD29,IF(OR(VLOOKUP($B30,'A1.3.10'!$S$28:$AE$58,8,)="",'Fuel consumption'!F$31=""),"",'Fuel consumption'!F$31 * VLOOKUP($B30,'A1.3.10'!$S$28:$AE$58,8,))))</f>
        <v>-1.0340193601785499E-3</v>
      </c>
      <c r="AE30" s="2642">
        <f>IF($B30&lt;'A1.3.10'!$S$28,"",IF($B30&gt;'A1.3.10'!$S$58,AE29,IF(OR(VLOOKUP($B30,'A1.3.10'!$S$28:$AE$58,8,)="",'Fuel consumption'!G$31=""),"",'Fuel consumption'!G$31 * VLOOKUP($B30,'A1.3.10'!$S$28:$AE$58,8,))))</f>
        <v>1.1293150500864199E-5</v>
      </c>
      <c r="AF30" s="610">
        <f>IF($B30&lt;'A1.3.10'!$S$28,"",IF($B30&gt;'A1.3.10'!$S$58,AF29,IF(OR(VLOOKUP($B30,'A1.3.10'!$S$28:$AE$58,10,)="",'Fuel consumption'!D$32=""),"",'Fuel consumption'!D$32 * VLOOKUP($B30,'A1.3.10'!$S$28:$AE$58,10,))))</f>
        <v>5.6655970981789903</v>
      </c>
      <c r="AG30" s="611">
        <f>IF($B30&lt;'A1.3.10'!$S$28,"",IF($B30&gt;'A1.3.10'!$S$58,AG29,IF(OR(VLOOKUP($B30,'A1.3.10'!$S$28:$AE$58,10,)="",'Fuel consumption'!E$32=""),"",'Fuel consumption'!E$32 * VLOOKUP($B30,'A1.3.10'!$S$28:$AE$58,10,))))</f>
        <v>0.29422449618924201</v>
      </c>
      <c r="AH30" s="611">
        <f>IF($B30&lt;'A1.3.10'!$S$28,"",IF($B30&gt;'A1.3.10'!$S$58,AH29,IF(OR(VLOOKUP($B30,'A1.3.10'!$S$28:$AE$58,10,)="",'Fuel consumption'!F$32=""),"",'Fuel consumption'!F$32 * VLOOKUP($B30,'A1.3.10'!$S$28:$AE$58,10,))))</f>
        <v>-1.9493920679616401E-3</v>
      </c>
      <c r="AI30" s="1578">
        <f>IF($B30&lt;'A1.3.10'!$S$28,"",IF($B30&gt;'A1.3.10'!$S$58,AI29,IF(OR(VLOOKUP($B30,'A1.3.10'!$S$28:$AE$58,10,)="",'Fuel consumption'!G$32=""),"",'Fuel consumption'!G$32 * VLOOKUP($B30,'A1.3.10'!$S$28:$AE$58,10,))))</f>
        <v>1.1619187345164999E-5</v>
      </c>
      <c r="AJ30" s="610">
        <f>IF($B30&lt;'A1.3.10'!$S$28,"",IF($B30&gt;'A1.3.10'!$S$58,AJ29,IF(OR(VLOOKUP($B30,'A1.3.10'!$S$28:$AE$58,12,)="",'Fuel consumption'!D$33=""),"",'Fuel consumption'!D$33 * VLOOKUP($B30,'A1.3.10'!$S$28:$AE$58,12,))))</f>
        <v>3.3601870156891001</v>
      </c>
      <c r="AK30" s="611">
        <f>IF($B30&lt;'A1.3.10'!$S$28,"",IF($B30&gt;'A1.3.10'!$S$58,AK29,IF(OR(VLOOKUP($B30,'A1.3.10'!$S$28:$AE$58,12,)="",'Fuel consumption'!E$33=""),"",'Fuel consumption'!E$33 * VLOOKUP($B30,'A1.3.10'!$S$28:$AE$58,12,))))</f>
        <v>0.29524938703213599</v>
      </c>
      <c r="AL30" s="611">
        <f>IF($B30&lt;'A1.3.10'!$S$28,"",IF($B30&gt;'A1.3.10'!$S$58,AL29,IF(OR(VLOOKUP($B30,'A1.3.10'!$S$28:$AE$58,12,)="",'Fuel consumption'!F$33=""),"",'Fuel consumption'!F$33 * VLOOKUP($B30,'A1.3.10'!$S$28:$AE$58,12,))))</f>
        <v>-3.20909768342738E-3</v>
      </c>
      <c r="AM30" s="1578">
        <f>IF($B30&lt;'A1.3.10'!$S$28,"",IF($B30&gt;'A1.3.10'!$S$58,AM29,IF(OR(VLOOKUP($B30,'A1.3.10'!$S$28:$AE$58,12,)="",'Fuel consumption'!G$33=""),"",'Fuel consumption'!G$33 * VLOOKUP($B30,'A1.3.10'!$S$28:$AE$58,12,))))</f>
        <v>2.3540043227716499E-5</v>
      </c>
    </row>
    <row r="31" spans="1:39" ht="13.5" customHeight="1">
      <c r="A31" s="623"/>
      <c r="B31" s="614">
        <f t="shared" si="1"/>
        <v>2015</v>
      </c>
      <c r="C31" s="609"/>
      <c r="D31" s="2484">
        <f>IF($B31&lt;'A1.3.10'!$S$28,"",IF($B31&gt;'A1.3.10'!$S$58,D30,IF(OR(VLOOKUP($B31,'A1.3.10'!$S$28:$AE$58,2,)="",'Fuel consumption'!D$27=""),"",'Fuel consumption'!D$27 * VLOOKUP($B31,'A1.3.10'!$S$28:$AE$58,2,))))</f>
        <v>0.451946800001013</v>
      </c>
      <c r="E31" s="2485">
        <f>IF($B31&lt;'A1.3.10'!$S$28,"",IF($B31&gt;'A1.3.10'!$S$58,E30,IF(OR(VLOOKUP($B31,'A1.3.10'!$S$28:$AE$58,2,)="",'Fuel consumption'!E$27=""),"",'Fuel consumption'!E$27 * VLOOKUP($B31,'A1.3.10'!$S$28:$AE$58,2,))))</f>
        <v>9.6046025987773495E-2</v>
      </c>
      <c r="F31" s="2485">
        <f>IF($B31&lt;'A1.3.10'!$S$28,"",IF($B31&gt;'A1.3.10'!$S$58,F30,IF(OR(VLOOKUP($B31,'A1.3.10'!$S$28:$AE$58,2,)="",'Fuel consumption'!F$27=""),"",'Fuel consumption'!F$27 * VLOOKUP($B31,'A1.3.10'!$S$28:$AE$58,2,))))</f>
        <v>-1.0940781356088101E-3</v>
      </c>
      <c r="G31" s="2642">
        <f>IF($B31&lt;'A1.3.10'!$S$28,"",IF($B31&gt;'A1.3.10'!$S$58,G30,IF(OR(VLOOKUP($B31,'A1.3.10'!$S$28:$AE$58,2,)="",'Fuel consumption'!G$27=""),"",'Fuel consumption'!G$27 * VLOOKUP($B31,'A1.3.10'!$S$28:$AE$58,2,))))</f>
        <v>7.2459914611266602E-6</v>
      </c>
      <c r="H31" s="2486">
        <f>IF($B31&lt;'A1.3.10'!$S$28,"",IF($B31&gt;'A1.3.10'!$S$58,H30,IF(OR(VLOOKUP($B31,'A1.3.10'!$S$28:$AE$58,3,)="",'Fuel consumption'!D$28=""),"",'Fuel consumption'!D$28  * VLOOKUP($B31,'A1.3.10'!$S$28:$AE$58,3,))))</f>
        <v>0.481912969078371</v>
      </c>
      <c r="I31" s="2487">
        <f>IF($B31&lt;'A1.3.10'!$S$28,"",IF($B31&gt;'A1.3.10'!$S$58,I30,IF(OR(VLOOKUP($B31,'A1.3.10'!$S$28:$AE$58,3,)="",'Fuel consumption'!E$28=""),"",'Fuel consumption'!E$28  * VLOOKUP($B31,'A1.3.10'!$S$28:$AE$58,3,))))</f>
        <v>6.9094402071662606E-2</v>
      </c>
      <c r="J31" s="2487">
        <f>IF($B31&lt;'A1.3.10'!$S$28,"",IF($B31&gt;'A1.3.10'!$S$58,J30,IF(OR(VLOOKUP($B31,'A1.3.10'!$S$28:$AE$58,3,)="",'Fuel consumption'!F$28=""),"",'Fuel consumption'!F$28  * VLOOKUP($B31,'A1.3.10'!$S$28:$AE$58,3,))))</f>
        <v>-6.64707396294468E-4</v>
      </c>
      <c r="K31" s="2642">
        <f>IF($B31&lt;'A1.3.10'!$S$28,"",IF($B31&gt;'A1.3.10'!$S$58,K30,IF(OR(VLOOKUP($B31,'A1.3.10'!$S$28:$AE$58,3,)="",'Fuel consumption'!G$28=""),"",'Fuel consumption'!G$28  * VLOOKUP($B31,'A1.3.10'!$S$28:$AE$58,3,))))</f>
        <v>5.2379276316681102E-6</v>
      </c>
      <c r="L31" s="2486" t="str">
        <f>IF($B31&lt;'A1.3.10'!$S$28,"",IF($B31&gt;'A1.3.10'!$S$58,L30,IF(OR(VLOOKUP($B31,'A1.3.10'!$S$28:$AE$58,4,)="", 'Fuel consumption'!D$36=""),"",'Fuel consumption'!D$36 * VLOOKUP($B31,'A1.3.10'!$S$28:$AE$58,4,))))</f>
        <v/>
      </c>
      <c r="M31" s="2487">
        <f>IF($B31&lt;'A1.3.10'!$S$28,"",IF($B31&gt;'A1.3.10'!$S$58,M30,IF(OR(VLOOKUP($B31,'A1.3.10'!$S$28:$AE$58,4,)="", 'Fuel consumption'!E$36=""),"",'Fuel consumption'!E$36 * VLOOKUP($B31,'A1.3.10'!$S$28:$AE$58,4,))))</f>
        <v>0.15248115805721735</v>
      </c>
      <c r="N31" s="614" t="str">
        <f>IF($B31&lt;'A1.3.10'!$S$28,"",IF($B31&gt;'A1.3.10'!$S$58,N30,IF(OR(VLOOKUP($B31,'A1.3.10'!$S$28:$AE$58,4,)="", 'Fuel consumption'!F$36=""),"",'Fuel consumption'!F$36 * VLOOKUP($B31,'A1.3.10'!$S$28:$AE$58,4,))))</f>
        <v/>
      </c>
      <c r="O31" s="612" t="str">
        <f>IF($B31&lt;'A1.3.10'!$S$28,"",IF($B31&gt;'A1.3.10'!$S$58,O30,IF(OR(VLOOKUP($B31,'A1.3.10'!$S$28:$AE$58,4,)="", 'Fuel consumption'!G$36=""),"",'Fuel consumption'!G$36 * VLOOKUP($B31,'A1.3.10'!$S$28:$AE$58,4,))))</f>
        <v/>
      </c>
      <c r="P31" s="610">
        <f>IF($B31&lt;'A1.3.10'!$S$28,"",IF($B31&gt;'A1.3.10'!$S$58,P30,IF(OR(VLOOKUP($B31,'A1.3.10'!$S$28:$AE$58,5,)="",'Fuel consumption'!D$29=""),"",'Fuel consumption'!D$29 * VLOOKUP($B31,'A1.3.10'!$S$28:$AE$58,5,))))</f>
        <v>0.34434762803626101</v>
      </c>
      <c r="Q31" s="611">
        <f>IF($B31&lt;'A1.3.10'!$S$28,"",IF($B31&gt;'A1.3.10'!$S$58,Q30,IF(OR(VLOOKUP($B31,'A1.3.10'!$S$28:$AE$58,5,)="",'Fuel consumption'!E$29=""),"",'Fuel consumption'!E$29 * VLOOKUP($B31,'A1.3.10'!$S$28:$AE$58,5,))))</f>
        <v>0.193090216753531</v>
      </c>
      <c r="R31" s="611">
        <f>IF($B31&lt;'A1.3.10'!$S$28,"",IF($B31&gt;'A1.3.10'!$S$58,R30,IF(OR(VLOOKUP($B31,'A1.3.10'!$S$28:$AE$58,5,)="",'Fuel consumption'!F$29=""),"",'Fuel consumption'!F$29 * VLOOKUP($B31,'A1.3.10'!$S$28:$AE$58,5,))))</f>
        <v>-3.03088260475259E-3</v>
      </c>
      <c r="S31" s="2642">
        <f>IF($B31&lt;'A1.3.10'!$S$28,"",IF($B31&gt;'A1.3.10'!$S$58,S30,IF(OR(VLOOKUP($B31,'A1.3.10'!$S$28:$AE$58,5,)="",'Fuel consumption'!G$29=""),"",'Fuel consumption'!G$29 * VLOOKUP($B31,'A1.3.10'!$S$28:$AE$58,5,))))</f>
        <v>1.9573553132670797E-5</v>
      </c>
      <c r="T31" s="610">
        <f>IF($B31&lt;'A1.3.10'!$S$28,"",IF($B31&gt;'A1.3.10'!$S$58,T30,IF(OR(VLOOKUP($B31,'A1.3.10'!$S$28:$AE$58,6,)="",'Fuel consumption'!D$30=""),"",'Fuel consumption'!D$30 * VLOOKUP($B31,'A1.3.10'!$S$28:$AE$58,6,))))</f>
        <v>0.46348489975169005</v>
      </c>
      <c r="U31" s="611">
        <f>IF($B31&lt;'A1.3.10'!$S$28,"",IF($B31&gt;'A1.3.10'!$S$58,U30,IF(OR(VLOOKUP($B31,'A1.3.10'!$S$28:$AE$58,6,)="",'Fuel consumption'!E$30=""),"",'Fuel consumption'!E$30 * VLOOKUP($B31,'A1.3.10'!$S$28:$AE$58,6,))))</f>
        <v>0.11327759835403001</v>
      </c>
      <c r="V31" s="611">
        <f>IF($B31&lt;'A1.3.10'!$S$28,"",IF($B31&gt;'A1.3.10'!$S$58,V30,IF(OR(VLOOKUP($B31,'A1.3.10'!$S$28:$AE$58,6,)="",'Fuel consumption'!F$30=""),"",'Fuel consumption'!F$30 * VLOOKUP($B31,'A1.3.10'!$S$28:$AE$58,6,))))</f>
        <v>-1.6342352318338901E-3</v>
      </c>
      <c r="W31" s="2642">
        <f>IF($B31&lt;'A1.3.10'!$S$28,"",IF($B31&gt;'A1.3.10'!$S$58,W30,IF(OR(VLOOKUP($B31,'A1.3.10'!$S$28:$AE$58,6,)="",'Fuel consumption'!G$30=""),"",'Fuel consumption'!G$30 * VLOOKUP($B31,'A1.3.10'!$S$28:$AE$58,6,))))</f>
        <v>1.38354924538238E-5</v>
      </c>
      <c r="X31" s="3144"/>
      <c r="Y31" s="2487">
        <f>IF($B31&lt;'A1.3.10'!$S$28,"",IF($B31&gt;'A1.3.10'!$S$58,Y30,IF(OR(VLOOKUP($B31,'A1.3.10'!$S$28:$AE$58,7,)="", 'Fuel consumption'!E$37=""),"",'Fuel consumption'!E$37 * VLOOKUP($B31,'A1.3.10'!$S$28:$AE$58,7,))))</f>
        <v>0.33636067438799133</v>
      </c>
      <c r="Z31" s="2642"/>
      <c r="AA31" s="2642"/>
      <c r="AB31" s="610">
        <f>IF($B31&lt;'A1.3.10'!$S$28,"",IF($B31&gt;'A1.3.10'!$S$58,AB30,IF(OR(VLOOKUP($B31,'A1.3.10'!$S$28:$AE$58,8,)="",'Fuel consumption'!D$31=""),"",'Fuel consumption'!D$31 * VLOOKUP($B31,'A1.3.10'!$S$28:$AE$58,8,))))</f>
        <v>2.6962848686626804</v>
      </c>
      <c r="AC31" s="611">
        <f>IF($B31&lt;'A1.3.10'!$S$28,"",IF($B31&gt;'A1.3.10'!$S$58,AC30,IF(OR(VLOOKUP($B31,'A1.3.10'!$S$28:$AE$58,8,)="",'Fuel consumption'!E$31=""),"",'Fuel consumption'!E$31 * VLOOKUP($B31,'A1.3.10'!$S$28:$AE$58,8,))))</f>
        <v>0.143057339771858</v>
      </c>
      <c r="AD31" s="611">
        <f>IF($B31&lt;'A1.3.10'!$S$28,"",IF($B31&gt;'A1.3.10'!$S$58,AD30,IF(OR(VLOOKUP($B31,'A1.3.10'!$S$28:$AE$58,8,)="",'Fuel consumption'!F$31=""),"",'Fuel consumption'!F$31 * VLOOKUP($B31,'A1.3.10'!$S$28:$AE$58,8,))))</f>
        <v>-1.0340193601785499E-3</v>
      </c>
      <c r="AE31" s="2642">
        <f>IF($B31&lt;'A1.3.10'!$S$28,"",IF($B31&gt;'A1.3.10'!$S$58,AE30,IF(OR(VLOOKUP($B31,'A1.3.10'!$S$28:$AE$58,8,)="",'Fuel consumption'!G$31=""),"",'Fuel consumption'!G$31 * VLOOKUP($B31,'A1.3.10'!$S$28:$AE$58,8,))))</f>
        <v>1.1293150500864199E-5</v>
      </c>
      <c r="AF31" s="610">
        <f>IF($B31&lt;'A1.3.10'!$S$28,"",IF($B31&gt;'A1.3.10'!$S$58,AF30,IF(OR(VLOOKUP($B31,'A1.3.10'!$S$28:$AE$58,10,)="",'Fuel consumption'!D$32=""),"",'Fuel consumption'!D$32 * VLOOKUP($B31,'A1.3.10'!$S$28:$AE$58,10,))))</f>
        <v>5.6655970981789903</v>
      </c>
      <c r="AG31" s="611">
        <f>IF($B31&lt;'A1.3.10'!$S$28,"",IF($B31&gt;'A1.3.10'!$S$58,AG30,IF(OR(VLOOKUP($B31,'A1.3.10'!$S$28:$AE$58,10,)="",'Fuel consumption'!E$32=""),"",'Fuel consumption'!E$32 * VLOOKUP($B31,'A1.3.10'!$S$28:$AE$58,10,))))</f>
        <v>0.29422449618924201</v>
      </c>
      <c r="AH31" s="611">
        <f>IF($B31&lt;'A1.3.10'!$S$28,"",IF($B31&gt;'A1.3.10'!$S$58,AH30,IF(OR(VLOOKUP($B31,'A1.3.10'!$S$28:$AE$58,10,)="",'Fuel consumption'!F$32=""),"",'Fuel consumption'!F$32 * VLOOKUP($B31,'A1.3.10'!$S$28:$AE$58,10,))))</f>
        <v>-1.9493920679616401E-3</v>
      </c>
      <c r="AI31" s="1578">
        <f>IF($B31&lt;'A1.3.10'!$S$28,"",IF($B31&gt;'A1.3.10'!$S$58,AI30,IF(OR(VLOOKUP($B31,'A1.3.10'!$S$28:$AE$58,10,)="",'Fuel consumption'!G$32=""),"",'Fuel consumption'!G$32 * VLOOKUP($B31,'A1.3.10'!$S$28:$AE$58,10,))))</f>
        <v>1.1619187345164999E-5</v>
      </c>
      <c r="AJ31" s="610">
        <f>IF($B31&lt;'A1.3.10'!$S$28,"",IF($B31&gt;'A1.3.10'!$S$58,AJ30,IF(OR(VLOOKUP($B31,'A1.3.10'!$S$28:$AE$58,12,)="",'Fuel consumption'!D$33=""),"",'Fuel consumption'!D$33 * VLOOKUP($B31,'A1.3.10'!$S$28:$AE$58,12,))))</f>
        <v>3.3601870156891001</v>
      </c>
      <c r="AK31" s="611">
        <f>IF($B31&lt;'A1.3.10'!$S$28,"",IF($B31&gt;'A1.3.10'!$S$58,AK30,IF(OR(VLOOKUP($B31,'A1.3.10'!$S$28:$AE$58,12,)="",'Fuel consumption'!E$33=""),"",'Fuel consumption'!E$33 * VLOOKUP($B31,'A1.3.10'!$S$28:$AE$58,12,))))</f>
        <v>0.29524938703213599</v>
      </c>
      <c r="AL31" s="611">
        <f>IF($B31&lt;'A1.3.10'!$S$28,"",IF($B31&gt;'A1.3.10'!$S$58,AL30,IF(OR(VLOOKUP($B31,'A1.3.10'!$S$28:$AE$58,12,)="",'Fuel consumption'!F$33=""),"",'Fuel consumption'!F$33 * VLOOKUP($B31,'A1.3.10'!$S$28:$AE$58,12,))))</f>
        <v>-3.20909768342738E-3</v>
      </c>
      <c r="AM31" s="1578">
        <f>IF($B31&lt;'A1.3.10'!$S$28,"",IF($B31&gt;'A1.3.10'!$S$58,AM30,IF(OR(VLOOKUP($B31,'A1.3.10'!$S$28:$AE$58,12,)="",'Fuel consumption'!G$33=""),"",'Fuel consumption'!G$33 * VLOOKUP($B31,'A1.3.10'!$S$28:$AE$58,12,))))</f>
        <v>2.3540043227716499E-5</v>
      </c>
    </row>
    <row r="32" spans="1:39" ht="13.5" customHeight="1">
      <c r="A32" s="623"/>
      <c r="B32" s="614">
        <f t="shared" si="1"/>
        <v>2016</v>
      </c>
      <c r="C32" s="609"/>
      <c r="D32" s="2484">
        <f>IF($B32&lt;'A1.3.10'!$S$28,"",IF($B32&gt;'A1.3.10'!$S$58,D31,IF(OR(VLOOKUP($B32,'A1.3.10'!$S$28:$AE$58,2,)="",'Fuel consumption'!D$27=""),"",'Fuel consumption'!D$27 * VLOOKUP($B32,'A1.3.10'!$S$28:$AE$58,2,))))</f>
        <v>0.44288723485582387</v>
      </c>
      <c r="E32" s="2485">
        <f>IF($B32&lt;'A1.3.10'!$S$28,"",IF($B32&gt;'A1.3.10'!$S$58,E31,IF(OR(VLOOKUP($B32,'A1.3.10'!$S$28:$AE$58,2,)="",'Fuel consumption'!E$27=""),"",'Fuel consumption'!E$27 * VLOOKUP($B32,'A1.3.10'!$S$28:$AE$58,2,))))</f>
        <v>9.4120721440046171E-2</v>
      </c>
      <c r="F32" s="2485">
        <f>IF($B32&lt;'A1.3.10'!$S$28,"",IF($B32&gt;'A1.3.10'!$S$58,F31,IF(OR(VLOOKUP($B32,'A1.3.10'!$S$28:$AE$58,2,)="",'Fuel consumption'!F$27=""),"",'Fuel consumption'!F$27 * VLOOKUP($B32,'A1.3.10'!$S$28:$AE$58,2,))))</f>
        <v>-1.0721466336190784E-3</v>
      </c>
      <c r="G32" s="2642">
        <f>IF($B32&lt;'A1.3.10'!$S$28,"",IF($B32&gt;'A1.3.10'!$S$58,G31,IF(OR(VLOOKUP($B32,'A1.3.10'!$S$28:$AE$58,2,)="",'Fuel consumption'!G$27=""),"",'Fuel consumption'!G$27 * VLOOKUP($B32,'A1.3.10'!$S$28:$AE$58,2,))))</f>
        <v>7.1007408880870586E-6</v>
      </c>
      <c r="H32" s="2486">
        <f>IF($B32&lt;'A1.3.10'!$S$28,"",IF($B32&gt;'A1.3.10'!$S$58,H31,IF(OR(VLOOKUP($B32,'A1.3.10'!$S$28:$AE$58,3,)="",'Fuel consumption'!D$28=""),"",'Fuel consumption'!D$28  * VLOOKUP($B32,'A1.3.10'!$S$28:$AE$58,3,))))</f>
        <v>0.47406623850906848</v>
      </c>
      <c r="I32" s="2487">
        <f>IF($B32&lt;'A1.3.10'!$S$28,"",IF($B32&gt;'A1.3.10'!$S$58,I31,IF(OR(VLOOKUP($B32,'A1.3.10'!$S$28:$AE$58,3,)="",'Fuel consumption'!E$28=""),"",'Fuel consumption'!E$28  * VLOOKUP($B32,'A1.3.10'!$S$28:$AE$58,3,))))</f>
        <v>6.7969374957450979E-2</v>
      </c>
      <c r="J32" s="2487">
        <f>IF($B32&lt;'A1.3.10'!$S$28,"",IF($B32&gt;'A1.3.10'!$S$58,J31,IF(OR(VLOOKUP($B32,'A1.3.10'!$S$28:$AE$58,3,)="",'Fuel consumption'!F$28=""),"",'Fuel consumption'!F$28  * VLOOKUP($B32,'A1.3.10'!$S$28:$AE$58,3,))))</f>
        <v>-6.5388432204494082E-4</v>
      </c>
      <c r="K32" s="2642">
        <f>IF($B32&lt;'A1.3.10'!$S$28,"",IF($B32&gt;'A1.3.10'!$S$58,K31,IF(OR(VLOOKUP($B32,'A1.3.10'!$S$28:$AE$58,3,)="",'Fuel consumption'!G$28=""),"",'Fuel consumption'!G$28  * VLOOKUP($B32,'A1.3.10'!$S$28:$AE$58,3,))))</f>
        <v>5.152641263580098E-6</v>
      </c>
      <c r="L32" s="2486" t="str">
        <f>IF($B32&lt;'A1.3.10'!$S$28,"",IF($B32&gt;'A1.3.10'!$S$58,L31,IF(OR(VLOOKUP($B32,'A1.3.10'!$S$28:$AE$58,4,)="", 'Fuel consumption'!D$36=""),"",'Fuel consumption'!D$36 * VLOOKUP($B32,'A1.3.10'!$S$28:$AE$58,4,))))</f>
        <v/>
      </c>
      <c r="M32" s="2487">
        <f>IF($B32&lt;'A1.3.10'!$S$28,"",IF($B32&gt;'A1.3.10'!$S$58,M31,IF(OR(VLOOKUP($B32,'A1.3.10'!$S$28:$AE$58,4,)="", 'Fuel consumption'!E$36=""),"",'Fuel consumption'!E$36 * VLOOKUP($B32,'A1.3.10'!$S$28:$AE$58,4,))))</f>
        <v>0.15236971124261492</v>
      </c>
      <c r="N32" s="614" t="str">
        <f>IF($B32&lt;'A1.3.10'!$S$28,"",IF($B32&gt;'A1.3.10'!$S$58,N31,IF(OR(VLOOKUP($B32,'A1.3.10'!$S$28:$AE$58,4,)="", 'Fuel consumption'!F$36=""),"",'Fuel consumption'!F$36 * VLOOKUP($B32,'A1.3.10'!$S$28:$AE$58,4,))))</f>
        <v/>
      </c>
      <c r="O32" s="612" t="str">
        <f>IF($B32&lt;'A1.3.10'!$S$28,"",IF($B32&gt;'A1.3.10'!$S$58,O31,IF(OR(VLOOKUP($B32,'A1.3.10'!$S$28:$AE$58,4,)="", 'Fuel consumption'!G$36=""),"",'Fuel consumption'!G$36 * VLOOKUP($B32,'A1.3.10'!$S$28:$AE$58,4,))))</f>
        <v/>
      </c>
      <c r="P32" s="610">
        <f>IF($B32&lt;'A1.3.10'!$S$28,"",IF($B32&gt;'A1.3.10'!$S$58,P31,IF(OR(VLOOKUP($B32,'A1.3.10'!$S$28:$AE$58,5,)="",'Fuel consumption'!D$29=""),"",'Fuel consumption'!D$29 * VLOOKUP($B32,'A1.3.10'!$S$28:$AE$58,5,))))</f>
        <v>0.34153670739292097</v>
      </c>
      <c r="Q32" s="611">
        <f>IF($B32&lt;'A1.3.10'!$S$28,"",IF($B32&gt;'A1.3.10'!$S$58,Q31,IF(OR(VLOOKUP($B32,'A1.3.10'!$S$28:$AE$58,5,)="",'Fuel consumption'!E$29=""),"",'Fuel consumption'!E$29 * VLOOKUP($B32,'A1.3.10'!$S$28:$AE$58,5,))))</f>
        <v>0.19151401517086072</v>
      </c>
      <c r="R32" s="611">
        <f>IF($B32&lt;'A1.3.10'!$S$28,"",IF($B32&gt;'A1.3.10'!$S$58,R31,IF(OR(VLOOKUP($B32,'A1.3.10'!$S$28:$AE$58,5,)="",'Fuel consumption'!F$29=""),"",'Fuel consumption'!F$29 * VLOOKUP($B32,'A1.3.10'!$S$28:$AE$58,5,))))</f>
        <v>-3.0061414136201736E-3</v>
      </c>
      <c r="S32" s="2642">
        <f>IF($B32&lt;'A1.3.10'!$S$28,"",IF($B32&gt;'A1.3.10'!$S$58,S31,IF(OR(VLOOKUP($B32,'A1.3.10'!$S$28:$AE$58,5,)="",'Fuel consumption'!G$29=""),"",'Fuel consumption'!G$29 * VLOOKUP($B32,'A1.3.10'!$S$28:$AE$58,5,))))</f>
        <v>1.9413773595701419E-5</v>
      </c>
      <c r="T32" s="610">
        <f>IF($B32&lt;'A1.3.10'!$S$28,"",IF($B32&gt;'A1.3.10'!$S$58,T31,IF(OR(VLOOKUP($B32,'A1.3.10'!$S$28:$AE$58,6,)="",'Fuel consumption'!D$30=""),"",'Fuel consumption'!D$30 * VLOOKUP($B32,'A1.3.10'!$S$28:$AE$58,6,))))</f>
        <v>0.46227392956988783</v>
      </c>
      <c r="U32" s="611">
        <f>IF($B32&lt;'A1.3.10'!$S$28,"",IF($B32&gt;'A1.3.10'!$S$58,U31,IF(OR(VLOOKUP($B32,'A1.3.10'!$S$28:$AE$58,6,)="",'Fuel consumption'!E$30=""),"",'Fuel consumption'!E$30 * VLOOKUP($B32,'A1.3.10'!$S$28:$AE$58,6,))))</f>
        <v>0.11298163230649234</v>
      </c>
      <c r="V32" s="611">
        <f>IF($B32&lt;'A1.3.10'!$S$28,"",IF($B32&gt;'A1.3.10'!$S$58,V31,IF(OR(VLOOKUP($B32,'A1.3.10'!$S$28:$AE$58,6,)="",'Fuel consumption'!F$30=""),"",'Fuel consumption'!F$30 * VLOOKUP($B32,'A1.3.10'!$S$28:$AE$58,6,))))</f>
        <v>-1.6299653836967412E-3</v>
      </c>
      <c r="W32" s="2642">
        <f>IF($B32&lt;'A1.3.10'!$S$28,"",IF($B32&gt;'A1.3.10'!$S$58,W31,IF(OR(VLOOKUP($B32,'A1.3.10'!$S$28:$AE$58,6,)="",'Fuel consumption'!G$30=""),"",'Fuel consumption'!G$30 * VLOOKUP($B32,'A1.3.10'!$S$28:$AE$58,6,))))</f>
        <v>1.379934377061728E-5</v>
      </c>
      <c r="X32" s="3144"/>
      <c r="Y32" s="2487">
        <f>IF($B32&lt;'A1.3.10'!$S$28,"",IF($B32&gt;'A1.3.10'!$S$58,Y31,IF(OR(VLOOKUP($B32,'A1.3.10'!$S$28:$AE$58,7,)="", 'Fuel consumption'!E$37=""),"",'Fuel consumption'!E$37 * VLOOKUP($B32,'A1.3.10'!$S$28:$AE$58,7,))))</f>
        <v>0.33566174259744991</v>
      </c>
      <c r="Z32" s="2642"/>
      <c r="AA32" s="2642"/>
      <c r="AB32" s="610">
        <f>IF($B32&lt;'A1.3.10'!$S$28,"",IF($B32&gt;'A1.3.10'!$S$58,AB31,IF(OR(VLOOKUP($B32,'A1.3.10'!$S$28:$AE$58,8,)="",'Fuel consumption'!D$31=""),"",'Fuel consumption'!D$31 * VLOOKUP($B32,'A1.3.10'!$S$28:$AE$58,8,))))</f>
        <v>2.6962848686626804</v>
      </c>
      <c r="AC32" s="611">
        <f>IF($B32&lt;'A1.3.10'!$S$28,"",IF($B32&gt;'A1.3.10'!$S$58,AC31,IF(OR(VLOOKUP($B32,'A1.3.10'!$S$28:$AE$58,8,)="",'Fuel consumption'!E$31=""),"",'Fuel consumption'!E$31 * VLOOKUP($B32,'A1.3.10'!$S$28:$AE$58,8,))))</f>
        <v>0.143057339771858</v>
      </c>
      <c r="AD32" s="611">
        <f>IF($B32&lt;'A1.3.10'!$S$28,"",IF($B32&gt;'A1.3.10'!$S$58,AD31,IF(OR(VLOOKUP($B32,'A1.3.10'!$S$28:$AE$58,8,)="",'Fuel consumption'!F$31=""),"",'Fuel consumption'!F$31 * VLOOKUP($B32,'A1.3.10'!$S$28:$AE$58,8,))))</f>
        <v>-1.0340193601785499E-3</v>
      </c>
      <c r="AE32" s="2642">
        <f>IF($B32&lt;'A1.3.10'!$S$28,"",IF($B32&gt;'A1.3.10'!$S$58,AE31,IF(OR(VLOOKUP($B32,'A1.3.10'!$S$28:$AE$58,8,)="",'Fuel consumption'!G$31=""),"",'Fuel consumption'!G$31 * VLOOKUP($B32,'A1.3.10'!$S$28:$AE$58,8,))))</f>
        <v>1.1293150500864199E-5</v>
      </c>
      <c r="AF32" s="610">
        <f>IF($B32&lt;'A1.3.10'!$S$28,"",IF($B32&gt;'A1.3.10'!$S$58,AF31,IF(OR(VLOOKUP($B32,'A1.3.10'!$S$28:$AE$58,10,)="",'Fuel consumption'!D$32=""),"",'Fuel consumption'!D$32 * VLOOKUP($B32,'A1.3.10'!$S$28:$AE$58,10,))))</f>
        <v>5.6655970981789903</v>
      </c>
      <c r="AG32" s="611">
        <f>IF($B32&lt;'A1.3.10'!$S$28,"",IF($B32&gt;'A1.3.10'!$S$58,AG31,IF(OR(VLOOKUP($B32,'A1.3.10'!$S$28:$AE$58,10,)="",'Fuel consumption'!E$32=""),"",'Fuel consumption'!E$32 * VLOOKUP($B32,'A1.3.10'!$S$28:$AE$58,10,))))</f>
        <v>0.29422449618924201</v>
      </c>
      <c r="AH32" s="611">
        <f>IF($B32&lt;'A1.3.10'!$S$28,"",IF($B32&gt;'A1.3.10'!$S$58,AH31,IF(OR(VLOOKUP($B32,'A1.3.10'!$S$28:$AE$58,10,)="",'Fuel consumption'!F$32=""),"",'Fuel consumption'!F$32 * VLOOKUP($B32,'A1.3.10'!$S$28:$AE$58,10,))))</f>
        <v>-1.9493920679616401E-3</v>
      </c>
      <c r="AI32" s="1578">
        <f>IF($B32&lt;'A1.3.10'!$S$28,"",IF($B32&gt;'A1.3.10'!$S$58,AI31,IF(OR(VLOOKUP($B32,'A1.3.10'!$S$28:$AE$58,10,)="",'Fuel consumption'!G$32=""),"",'Fuel consumption'!G$32 * VLOOKUP($B32,'A1.3.10'!$S$28:$AE$58,10,))))</f>
        <v>1.1619187345164999E-5</v>
      </c>
      <c r="AJ32" s="610">
        <f>IF($B32&lt;'A1.3.10'!$S$28,"",IF($B32&gt;'A1.3.10'!$S$58,AJ31,IF(OR(VLOOKUP($B32,'A1.3.10'!$S$28:$AE$58,12,)="",'Fuel consumption'!D$33=""),"",'Fuel consumption'!D$33 * VLOOKUP($B32,'A1.3.10'!$S$28:$AE$58,12,))))</f>
        <v>3.3601870156891001</v>
      </c>
      <c r="AK32" s="611">
        <f>IF($B32&lt;'A1.3.10'!$S$28,"",IF($B32&gt;'A1.3.10'!$S$58,AK31,IF(OR(VLOOKUP($B32,'A1.3.10'!$S$28:$AE$58,12,)="",'Fuel consumption'!E$33=""),"",'Fuel consumption'!E$33 * VLOOKUP($B32,'A1.3.10'!$S$28:$AE$58,12,))))</f>
        <v>0.29524938703213599</v>
      </c>
      <c r="AL32" s="611">
        <f>IF($B32&lt;'A1.3.10'!$S$28,"",IF($B32&gt;'A1.3.10'!$S$58,AL31,IF(OR(VLOOKUP($B32,'A1.3.10'!$S$28:$AE$58,12,)="",'Fuel consumption'!F$33=""),"",'Fuel consumption'!F$33 * VLOOKUP($B32,'A1.3.10'!$S$28:$AE$58,12,))))</f>
        <v>-3.20909768342738E-3</v>
      </c>
      <c r="AM32" s="1578">
        <f>IF($B32&lt;'A1.3.10'!$S$28,"",IF($B32&gt;'A1.3.10'!$S$58,AM31,IF(OR(VLOOKUP($B32,'A1.3.10'!$S$28:$AE$58,12,)="",'Fuel consumption'!G$33=""),"",'Fuel consumption'!G$33 * VLOOKUP($B32,'A1.3.10'!$S$28:$AE$58,12,))))</f>
        <v>2.3540043227716499E-5</v>
      </c>
    </row>
    <row r="33" spans="1:39" ht="13.5" customHeight="1">
      <c r="A33" s="623"/>
      <c r="B33" s="614">
        <f t="shared" si="1"/>
        <v>2017</v>
      </c>
      <c r="C33" s="609"/>
      <c r="D33" s="2484">
        <f>IF($B33&lt;'A1.3.10'!$S$28,"",IF($B33&gt;'A1.3.10'!$S$58,D32,IF(OR(VLOOKUP($B33,'A1.3.10'!$S$28:$AE$58,2,)="",'Fuel consumption'!D$27=""),"",'Fuel consumption'!D$27 * VLOOKUP($B33,'A1.3.10'!$S$28:$AE$58,2,))))</f>
        <v>0.43376869578526472</v>
      </c>
      <c r="E33" s="2485">
        <f>IF($B33&lt;'A1.3.10'!$S$28,"",IF($B33&gt;'A1.3.10'!$S$58,E32,IF(OR(VLOOKUP($B33,'A1.3.10'!$S$28:$AE$58,2,)="",'Fuel consumption'!E$27=""),"",'Fuel consumption'!E$27 * VLOOKUP($B33,'A1.3.10'!$S$28:$AE$58,2,))))</f>
        <v>9.2182883976567084E-2</v>
      </c>
      <c r="F33" s="2485">
        <f>IF($B33&lt;'A1.3.10'!$S$28,"",IF($B33&gt;'A1.3.10'!$S$58,F32,IF(OR(VLOOKUP($B33,'A1.3.10'!$S$28:$AE$58,2,)="",'Fuel consumption'!F$27=""),"",'Fuel consumption'!F$27 * VLOOKUP($B33,'A1.3.10'!$S$28:$AE$58,2,))))</f>
        <v>-1.0500723668563287E-3</v>
      </c>
      <c r="G33" s="2642">
        <f>IF($B33&lt;'A1.3.10'!$S$28,"",IF($B33&gt;'A1.3.10'!$S$58,G32,IF(OR(VLOOKUP($B33,'A1.3.10'!$S$28:$AE$58,2,)="",'Fuel consumption'!G$27=""),"",'Fuel consumption'!G$27 * VLOOKUP($B33,'A1.3.10'!$S$28:$AE$58,2,))))</f>
        <v>6.9545447954428068E-6</v>
      </c>
      <c r="H33" s="2486">
        <f>IF($B33&lt;'A1.3.10'!$S$28,"",IF($B33&gt;'A1.3.10'!$S$58,H32,IF(OR(VLOOKUP($B33,'A1.3.10'!$S$28:$AE$58,3,)="",'Fuel consumption'!D$28=""),"",'Fuel consumption'!D$28  * VLOOKUP($B33,'A1.3.10'!$S$28:$AE$58,3,))))</f>
        <v>0.4662076069237997</v>
      </c>
      <c r="I33" s="2487">
        <f>IF($B33&lt;'A1.3.10'!$S$28,"",IF($B33&gt;'A1.3.10'!$S$58,I32,IF(OR(VLOOKUP($B33,'A1.3.10'!$S$28:$AE$58,3,)="",'Fuel consumption'!E$28=""),"",'Fuel consumption'!E$28  * VLOOKUP($B33,'A1.3.10'!$S$28:$AE$58,3,))))</f>
        <v>6.6842641531861591E-2</v>
      </c>
      <c r="J33" s="2487">
        <f>IF($B33&lt;'A1.3.10'!$S$28,"",IF($B33&gt;'A1.3.10'!$S$58,J32,IF(OR(VLOOKUP($B33,'A1.3.10'!$S$28:$AE$58,3,)="",'Fuel consumption'!F$28=""),"",'Fuel consumption'!F$28  * VLOOKUP($B33,'A1.3.10'!$S$28:$AE$58,3,))))</f>
        <v>-6.4304483260461411E-4</v>
      </c>
      <c r="K33" s="2642">
        <f>IF($B33&lt;'A1.3.10'!$S$28,"",IF($B33&gt;'A1.3.10'!$S$58,K32,IF(OR(VLOOKUP($B33,'A1.3.10'!$S$28:$AE$58,3,)="",'Fuel consumption'!G$28=""),"",'Fuel consumption'!G$28  * VLOOKUP($B33,'A1.3.10'!$S$28:$AE$58,3,))))</f>
        <v>5.0672255429650239E-6</v>
      </c>
      <c r="L33" s="2486" t="str">
        <f>IF($B33&lt;'A1.3.10'!$S$28,"",IF($B33&gt;'A1.3.10'!$S$58,L32,IF(OR(VLOOKUP($B33,'A1.3.10'!$S$28:$AE$58,4,)="", 'Fuel consumption'!D$36=""),"",'Fuel consumption'!D$36 * VLOOKUP($B33,'A1.3.10'!$S$28:$AE$58,4,))))</f>
        <v/>
      </c>
      <c r="M33" s="2487">
        <f>IF($B33&lt;'A1.3.10'!$S$28,"",IF($B33&gt;'A1.3.10'!$S$58,M32,IF(OR(VLOOKUP($B33,'A1.3.10'!$S$28:$AE$58,4,)="", 'Fuel consumption'!E$36=""),"",'Fuel consumption'!E$36 * VLOOKUP($B33,'A1.3.10'!$S$28:$AE$58,4,))))</f>
        <v>0.15121857670269931</v>
      </c>
      <c r="N33" s="614" t="str">
        <f>IF($B33&lt;'A1.3.10'!$S$28,"",IF($B33&gt;'A1.3.10'!$S$58,N32,IF(OR(VLOOKUP($B33,'A1.3.10'!$S$28:$AE$58,4,)="", 'Fuel consumption'!F$36=""),"",'Fuel consumption'!F$36 * VLOOKUP($B33,'A1.3.10'!$S$28:$AE$58,4,))))</f>
        <v/>
      </c>
      <c r="O33" s="612" t="str">
        <f>IF($B33&lt;'A1.3.10'!$S$28,"",IF($B33&gt;'A1.3.10'!$S$58,O32,IF(OR(VLOOKUP($B33,'A1.3.10'!$S$28:$AE$58,4,)="", 'Fuel consumption'!G$36=""),"",'Fuel consumption'!G$36 * VLOOKUP($B33,'A1.3.10'!$S$28:$AE$58,4,))))</f>
        <v/>
      </c>
      <c r="P33" s="610">
        <f>IF($B33&lt;'A1.3.10'!$S$28,"",IF($B33&gt;'A1.3.10'!$S$58,P32,IF(OR(VLOOKUP($B33,'A1.3.10'!$S$28:$AE$58,5,)="",'Fuel consumption'!D$29=""),"",'Fuel consumption'!D$29 * VLOOKUP($B33,'A1.3.10'!$S$28:$AE$58,5,))))</f>
        <v>0.3375342888111762</v>
      </c>
      <c r="Q33" s="611">
        <f>IF($B33&lt;'A1.3.10'!$S$28,"",IF($B33&gt;'A1.3.10'!$S$58,Q32,IF(OR(VLOOKUP($B33,'A1.3.10'!$S$28:$AE$58,5,)="",'Fuel consumption'!E$29=""),"",'Fuel consumption'!E$29 * VLOOKUP($B33,'A1.3.10'!$S$28:$AE$58,5,))))</f>
        <v>0.18926969051587553</v>
      </c>
      <c r="R33" s="611">
        <f>IF($B33&lt;'A1.3.10'!$S$28,"",IF($B33&gt;'A1.3.10'!$S$58,R32,IF(OR(VLOOKUP($B33,'A1.3.10'!$S$28:$AE$58,5,)="",'Fuel consumption'!F$29=""),"",'Fuel consumption'!F$29 * VLOOKUP($B33,'A1.3.10'!$S$28:$AE$58,5,))))</f>
        <v>-2.9709128832959533E-3</v>
      </c>
      <c r="S33" s="2642">
        <f>IF($B33&lt;'A1.3.10'!$S$28,"",IF($B33&gt;'A1.3.10'!$S$58,S32,IF(OR(VLOOKUP($B33,'A1.3.10'!$S$28:$AE$58,5,)="",'Fuel consumption'!G$29=""),"",'Fuel consumption'!G$29 * VLOOKUP($B33,'A1.3.10'!$S$28:$AE$58,5,))))</f>
        <v>1.9186266430294953E-5</v>
      </c>
      <c r="T33" s="610">
        <f>IF($B33&lt;'A1.3.10'!$S$28,"",IF($B33&gt;'A1.3.10'!$S$58,T32,IF(OR(VLOOKUP($B33,'A1.3.10'!$S$28:$AE$58,6,)="",'Fuel consumption'!D$30=""),"",'Fuel consumption'!D$30 * VLOOKUP($B33,'A1.3.10'!$S$28:$AE$58,6,))))</f>
        <v>0.46141052060773902</v>
      </c>
      <c r="U33" s="611">
        <f>IF($B33&lt;'A1.3.10'!$S$28,"",IF($B33&gt;'A1.3.10'!$S$58,U32,IF(OR(VLOOKUP($B33,'A1.3.10'!$S$28:$AE$58,6,)="",'Fuel consumption'!E$30=""),"",'Fuel consumption'!E$30 * VLOOKUP($B33,'A1.3.10'!$S$28:$AE$58,6,))))</f>
        <v>0.11277061163746523</v>
      </c>
      <c r="V33" s="611">
        <f>IF($B33&lt;'A1.3.10'!$S$28,"",IF($B33&gt;'A1.3.10'!$S$58,V32,IF(OR(VLOOKUP($B33,'A1.3.10'!$S$28:$AE$58,6,)="",'Fuel consumption'!F$30=""),"",'Fuel consumption'!F$30 * VLOOKUP($B33,'A1.3.10'!$S$28:$AE$58,6,))))</f>
        <v>-1.6269210270279894E-3</v>
      </c>
      <c r="W33" s="2642">
        <f>IF($B33&lt;'A1.3.10'!$S$28,"",IF($B33&gt;'A1.3.10'!$S$58,W32,IF(OR(VLOOKUP($B33,'A1.3.10'!$S$28:$AE$58,6,)="",'Fuel consumption'!G$30=""),"",'Fuel consumption'!G$30 * VLOOKUP($B33,'A1.3.10'!$S$28:$AE$58,6,))))</f>
        <v>1.3773570140911599E-5</v>
      </c>
      <c r="X33" s="3144"/>
      <c r="Y33" s="2487">
        <f>IF($B33&lt;'A1.3.10'!$S$28,"",IF($B33&gt;'A1.3.10'!$S$58,Y32,IF(OR(VLOOKUP($B33,'A1.3.10'!$S$28:$AE$58,7,)="", 'Fuel consumption'!E$37=""),"",'Fuel consumption'!E$37 * VLOOKUP($B33,'A1.3.10'!$S$28:$AE$58,7,))))</f>
        <v>0.33496408710691489</v>
      </c>
      <c r="Z33" s="2642"/>
      <c r="AA33" s="2642"/>
      <c r="AB33" s="610">
        <f>IF($B33&lt;'A1.3.10'!$S$28,"",IF($B33&gt;'A1.3.10'!$S$58,AB32,IF(OR(VLOOKUP($B33,'A1.3.10'!$S$28:$AE$58,8,)="",'Fuel consumption'!D$31=""),"",'Fuel consumption'!D$31 * VLOOKUP($B33,'A1.3.10'!$S$28:$AE$58,8,))))</f>
        <v>2.6962848686626804</v>
      </c>
      <c r="AC33" s="611">
        <f>IF($B33&lt;'A1.3.10'!$S$28,"",IF($B33&gt;'A1.3.10'!$S$58,AC32,IF(OR(VLOOKUP($B33,'A1.3.10'!$S$28:$AE$58,8,)="",'Fuel consumption'!E$31=""),"",'Fuel consumption'!E$31 * VLOOKUP($B33,'A1.3.10'!$S$28:$AE$58,8,))))</f>
        <v>0.143057339771858</v>
      </c>
      <c r="AD33" s="611">
        <f>IF($B33&lt;'A1.3.10'!$S$28,"",IF($B33&gt;'A1.3.10'!$S$58,AD32,IF(OR(VLOOKUP($B33,'A1.3.10'!$S$28:$AE$58,8,)="",'Fuel consumption'!F$31=""),"",'Fuel consumption'!F$31 * VLOOKUP($B33,'A1.3.10'!$S$28:$AE$58,8,))))</f>
        <v>-1.0340193601785499E-3</v>
      </c>
      <c r="AE33" s="2642">
        <f>IF($B33&lt;'A1.3.10'!$S$28,"",IF($B33&gt;'A1.3.10'!$S$58,AE32,IF(OR(VLOOKUP($B33,'A1.3.10'!$S$28:$AE$58,8,)="",'Fuel consumption'!G$31=""),"",'Fuel consumption'!G$31 * VLOOKUP($B33,'A1.3.10'!$S$28:$AE$58,8,))))</f>
        <v>1.1293150500864199E-5</v>
      </c>
      <c r="AF33" s="610">
        <f>IF($B33&lt;'A1.3.10'!$S$28,"",IF($B33&gt;'A1.3.10'!$S$58,AF32,IF(OR(VLOOKUP($B33,'A1.3.10'!$S$28:$AE$58,10,)="",'Fuel consumption'!D$32=""),"",'Fuel consumption'!D$32 * VLOOKUP($B33,'A1.3.10'!$S$28:$AE$58,10,))))</f>
        <v>5.6655970981789903</v>
      </c>
      <c r="AG33" s="611">
        <f>IF($B33&lt;'A1.3.10'!$S$28,"",IF($B33&gt;'A1.3.10'!$S$58,AG32,IF(OR(VLOOKUP($B33,'A1.3.10'!$S$28:$AE$58,10,)="",'Fuel consumption'!E$32=""),"",'Fuel consumption'!E$32 * VLOOKUP($B33,'A1.3.10'!$S$28:$AE$58,10,))))</f>
        <v>0.29422449618924201</v>
      </c>
      <c r="AH33" s="611">
        <f>IF($B33&lt;'A1.3.10'!$S$28,"",IF($B33&gt;'A1.3.10'!$S$58,AH32,IF(OR(VLOOKUP($B33,'A1.3.10'!$S$28:$AE$58,10,)="",'Fuel consumption'!F$32=""),"",'Fuel consumption'!F$32 * VLOOKUP($B33,'A1.3.10'!$S$28:$AE$58,10,))))</f>
        <v>-1.9493920679616401E-3</v>
      </c>
      <c r="AI33" s="1578">
        <f>IF($B33&lt;'A1.3.10'!$S$28,"",IF($B33&gt;'A1.3.10'!$S$58,AI32,IF(OR(VLOOKUP($B33,'A1.3.10'!$S$28:$AE$58,10,)="",'Fuel consumption'!G$32=""),"",'Fuel consumption'!G$32 * VLOOKUP($B33,'A1.3.10'!$S$28:$AE$58,10,))))</f>
        <v>1.1619187345164999E-5</v>
      </c>
      <c r="AJ33" s="610">
        <f>IF($B33&lt;'A1.3.10'!$S$28,"",IF($B33&gt;'A1.3.10'!$S$58,AJ32,IF(OR(VLOOKUP($B33,'A1.3.10'!$S$28:$AE$58,12,)="",'Fuel consumption'!D$33=""),"",'Fuel consumption'!D$33 * VLOOKUP($B33,'A1.3.10'!$S$28:$AE$58,12,))))</f>
        <v>3.3601870156891001</v>
      </c>
      <c r="AK33" s="611">
        <f>IF($B33&lt;'A1.3.10'!$S$28,"",IF($B33&gt;'A1.3.10'!$S$58,AK32,IF(OR(VLOOKUP($B33,'A1.3.10'!$S$28:$AE$58,12,)="",'Fuel consumption'!E$33=""),"",'Fuel consumption'!E$33 * VLOOKUP($B33,'A1.3.10'!$S$28:$AE$58,12,))))</f>
        <v>0.29524938703213599</v>
      </c>
      <c r="AL33" s="611">
        <f>IF($B33&lt;'A1.3.10'!$S$28,"",IF($B33&gt;'A1.3.10'!$S$58,AL32,IF(OR(VLOOKUP($B33,'A1.3.10'!$S$28:$AE$58,12,)="",'Fuel consumption'!F$33=""),"",'Fuel consumption'!F$33 * VLOOKUP($B33,'A1.3.10'!$S$28:$AE$58,12,))))</f>
        <v>-3.20909768342738E-3</v>
      </c>
      <c r="AM33" s="1578">
        <f>IF($B33&lt;'A1.3.10'!$S$28,"",IF($B33&gt;'A1.3.10'!$S$58,AM32,IF(OR(VLOOKUP($B33,'A1.3.10'!$S$28:$AE$58,12,)="",'Fuel consumption'!G$33=""),"",'Fuel consumption'!G$33 * VLOOKUP($B33,'A1.3.10'!$S$28:$AE$58,12,))))</f>
        <v>2.3540043227716499E-5</v>
      </c>
    </row>
    <row r="34" spans="1:39" ht="13.5" customHeight="1">
      <c r="A34" s="623"/>
      <c r="B34" s="614">
        <f t="shared" si="1"/>
        <v>2018</v>
      </c>
      <c r="C34" s="609"/>
      <c r="D34" s="2484">
        <f>IF($B34&lt;'A1.3.10'!$S$28,"",IF($B34&gt;'A1.3.10'!$S$58,D33,IF(OR(VLOOKUP($B34,'A1.3.10'!$S$28:$AE$58,2,)="",'Fuel consumption'!D$27=""),"",'Fuel consumption'!D$27 * VLOOKUP($B34,'A1.3.10'!$S$28:$AE$58,2,))))</f>
        <v>0.42513306720485011</v>
      </c>
      <c r="E34" s="2485">
        <f>IF($B34&lt;'A1.3.10'!$S$28,"",IF($B34&gt;'A1.3.10'!$S$58,E33,IF(OR(VLOOKUP($B34,'A1.3.10'!$S$28:$AE$58,2,)="",'Fuel consumption'!E$27=""),"",'Fuel consumption'!E$27 * VLOOKUP($B34,'A1.3.10'!$S$28:$AE$58,2,))))</f>
        <v>9.0347672825490444E-2</v>
      </c>
      <c r="F34" s="2485">
        <f>IF($B34&lt;'A1.3.10'!$S$28,"",IF($B34&gt;'A1.3.10'!$S$58,F33,IF(OR(VLOOKUP($B34,'A1.3.10'!$S$28:$AE$58,2,)="",'Fuel consumption'!F$27=""),"",'Fuel consumption'!F$27 * VLOOKUP($B34,'A1.3.10'!$S$28:$AE$58,2,))))</f>
        <v>-1.0291671354949186E-3</v>
      </c>
      <c r="G34" s="2642">
        <f>IF($B34&lt;'A1.3.10'!$S$28,"",IF($B34&gt;'A1.3.10'!$S$58,G33,IF(OR(VLOOKUP($B34,'A1.3.10'!$S$28:$AE$58,2,)="",'Fuel consumption'!G$27=""),"",'Fuel consumption'!G$27 * VLOOKUP($B34,'A1.3.10'!$S$28:$AE$58,2,))))</f>
        <v>6.8160911301994522E-6</v>
      </c>
      <c r="H34" s="2486">
        <f>IF($B34&lt;'A1.3.10'!$S$28,"",IF($B34&gt;'A1.3.10'!$S$58,H33,IF(OR(VLOOKUP($B34,'A1.3.10'!$S$28:$AE$58,3,)="",'Fuel consumption'!D$28=""),"",'Fuel consumption'!D$28  * VLOOKUP($B34,'A1.3.10'!$S$28:$AE$58,3,))))</f>
        <v>0.45853924256374107</v>
      </c>
      <c r="I34" s="2487">
        <f>IF($B34&lt;'A1.3.10'!$S$28,"",IF($B34&gt;'A1.3.10'!$S$58,I33,IF(OR(VLOOKUP($B34,'A1.3.10'!$S$28:$AE$58,3,)="",'Fuel consumption'!E$28=""),"",'Fuel consumption'!E$28  * VLOOKUP($B34,'A1.3.10'!$S$28:$AE$58,3,))))</f>
        <v>6.5743187721064203E-2</v>
      </c>
      <c r="J34" s="2487">
        <f>IF($B34&lt;'A1.3.10'!$S$28,"",IF($B34&gt;'A1.3.10'!$S$58,J33,IF(OR(VLOOKUP($B34,'A1.3.10'!$S$28:$AE$58,3,)="",'Fuel consumption'!F$28=""),"",'Fuel consumption'!F$28  * VLOOKUP($B34,'A1.3.10'!$S$28:$AE$58,3,))))</f>
        <v>-6.3246778065816013E-4</v>
      </c>
      <c r="K34" s="2642">
        <f>IF($B34&lt;'A1.3.10'!$S$28,"",IF($B34&gt;'A1.3.10'!$S$58,K33,IF(OR(VLOOKUP($B34,'A1.3.10'!$S$28:$AE$58,3,)="",'Fuel consumption'!G$28=""),"",'Fuel consumption'!G$28  * VLOOKUP($B34,'A1.3.10'!$S$28:$AE$58,3,))))</f>
        <v>4.9838778429683515E-6</v>
      </c>
      <c r="L34" s="2486" t="str">
        <f>IF($B34&lt;'A1.3.10'!$S$28,"",IF($B34&gt;'A1.3.10'!$S$58,L33,IF(OR(VLOOKUP($B34,'A1.3.10'!$S$28:$AE$58,4,)="", 'Fuel consumption'!D$36=""),"",'Fuel consumption'!D$36 * VLOOKUP($B34,'A1.3.10'!$S$28:$AE$58,4,))))</f>
        <v/>
      </c>
      <c r="M34" s="2487">
        <f>IF($B34&lt;'A1.3.10'!$S$28,"",IF($B34&gt;'A1.3.10'!$S$58,M33,IF(OR(VLOOKUP($B34,'A1.3.10'!$S$28:$AE$58,4,)="", 'Fuel consumption'!E$36=""),"",'Fuel consumption'!E$36 * VLOOKUP($B34,'A1.3.10'!$S$28:$AE$58,4,))))</f>
        <v>0.14988421304729319</v>
      </c>
      <c r="N34" s="614" t="str">
        <f>IF($B34&lt;'A1.3.10'!$S$28,"",IF($B34&gt;'A1.3.10'!$S$58,N33,IF(OR(VLOOKUP($B34,'A1.3.10'!$S$28:$AE$58,4,)="", 'Fuel consumption'!F$36=""),"",'Fuel consumption'!F$36 * VLOOKUP($B34,'A1.3.10'!$S$28:$AE$58,4,))))</f>
        <v/>
      </c>
      <c r="O34" s="612" t="str">
        <f>IF($B34&lt;'A1.3.10'!$S$28,"",IF($B34&gt;'A1.3.10'!$S$58,O33,IF(OR(VLOOKUP($B34,'A1.3.10'!$S$28:$AE$58,4,)="", 'Fuel consumption'!G$36=""),"",'Fuel consumption'!G$36 * VLOOKUP($B34,'A1.3.10'!$S$28:$AE$58,4,))))</f>
        <v/>
      </c>
      <c r="P34" s="610">
        <f>IF($B34&lt;'A1.3.10'!$S$28,"",IF($B34&gt;'A1.3.10'!$S$58,P33,IF(OR(VLOOKUP($B34,'A1.3.10'!$S$28:$AE$58,5,)="",'Fuel consumption'!D$29=""),"",'Fuel consumption'!D$29 * VLOOKUP($B34,'A1.3.10'!$S$28:$AE$58,5,))))</f>
        <v>0.33192780501573627</v>
      </c>
      <c r="Q34" s="611">
        <f>IF($B34&lt;'A1.3.10'!$S$28,"",IF($B34&gt;'A1.3.10'!$S$58,Q33,IF(OR(VLOOKUP($B34,'A1.3.10'!$S$28:$AE$58,5,)="",'Fuel consumption'!E$29=""),"",'Fuel consumption'!E$29 * VLOOKUP($B34,'A1.3.10'!$S$28:$AE$58,5,))))</f>
        <v>0.18612589894263243</v>
      </c>
      <c r="R34" s="611">
        <f>IF($B34&lt;'A1.3.10'!$S$28,"",IF($B34&gt;'A1.3.10'!$S$58,R33,IF(OR(VLOOKUP($B34,'A1.3.10'!$S$28:$AE$58,5,)="",'Fuel consumption'!F$29=""),"",'Fuel consumption'!F$29 * VLOOKUP($B34,'A1.3.10'!$S$28:$AE$58,5,))))</f>
        <v>-2.9215656747604074E-3</v>
      </c>
      <c r="S34" s="2642">
        <f>IF($B34&lt;'A1.3.10'!$S$28,"",IF($B34&gt;'A1.3.10'!$S$58,S33,IF(OR(VLOOKUP($B34,'A1.3.10'!$S$28:$AE$58,5,)="",'Fuel consumption'!G$29=""),"",'Fuel consumption'!G$29 * VLOOKUP($B34,'A1.3.10'!$S$28:$AE$58,5,))))</f>
        <v>1.8867580313351684E-5</v>
      </c>
      <c r="T34" s="610">
        <f>IF($B34&lt;'A1.3.10'!$S$28,"",IF($B34&gt;'A1.3.10'!$S$58,T33,IF(OR(VLOOKUP($B34,'A1.3.10'!$S$28:$AE$58,6,)="",'Fuel consumption'!D$30=""),"",'Fuel consumption'!D$30 * VLOOKUP($B34,'A1.3.10'!$S$28:$AE$58,6,))))</f>
        <v>0.46113738422408562</v>
      </c>
      <c r="U34" s="611">
        <f>IF($B34&lt;'A1.3.10'!$S$28,"",IF($B34&gt;'A1.3.10'!$S$58,U33,IF(OR(VLOOKUP($B34,'A1.3.10'!$S$28:$AE$58,6,)="",'Fuel consumption'!E$30=""),"",'Fuel consumption'!E$30 * VLOOKUP($B34,'A1.3.10'!$S$28:$AE$58,6,))))</f>
        <v>0.11270385599217898</v>
      </c>
      <c r="V34" s="611">
        <f>IF($B34&lt;'A1.3.10'!$S$28,"",IF($B34&gt;'A1.3.10'!$S$58,V33,IF(OR(VLOOKUP($B34,'A1.3.10'!$S$28:$AE$58,6,)="",'Fuel consumption'!F$30=""),"",'Fuel consumption'!F$30 * VLOOKUP($B34,'A1.3.10'!$S$28:$AE$58,6,))))</f>
        <v>-1.6259579555201558E-3</v>
      </c>
      <c r="W34" s="2642">
        <f>IF($B34&lt;'A1.3.10'!$S$28,"",IF($B34&gt;'A1.3.10'!$S$58,W33,IF(OR(VLOOKUP($B34,'A1.3.10'!$S$28:$AE$58,6,)="",'Fuel consumption'!G$30=""),"",'Fuel consumption'!G$30 * VLOOKUP($B34,'A1.3.10'!$S$28:$AE$58,6,))))</f>
        <v>1.3765416743946724E-5</v>
      </c>
      <c r="X34" s="3144"/>
      <c r="Y34" s="2487">
        <f>IF($B34&lt;'A1.3.10'!$S$28,"",IF($B34&gt;'A1.3.10'!$S$58,Y33,IF(OR(VLOOKUP($B34,'A1.3.10'!$S$28:$AE$58,7,)="", 'Fuel consumption'!E$37=""),"",'Fuel consumption'!E$37 * VLOOKUP($B34,'A1.3.10'!$S$28:$AE$58,7,))))</f>
        <v>0.33426872575415417</v>
      </c>
      <c r="Z34" s="2642"/>
      <c r="AA34" s="2642"/>
      <c r="AB34" s="610">
        <f>IF($B34&lt;'A1.3.10'!$S$28,"",IF($B34&gt;'A1.3.10'!$S$58,AB33,IF(OR(VLOOKUP($B34,'A1.3.10'!$S$28:$AE$58,8,)="",'Fuel consumption'!D$31=""),"",'Fuel consumption'!D$31 * VLOOKUP($B34,'A1.3.10'!$S$28:$AE$58,8,))))</f>
        <v>2.6962848686626804</v>
      </c>
      <c r="AC34" s="611">
        <f>IF($B34&lt;'A1.3.10'!$S$28,"",IF($B34&gt;'A1.3.10'!$S$58,AC33,IF(OR(VLOOKUP($B34,'A1.3.10'!$S$28:$AE$58,8,)="",'Fuel consumption'!E$31=""),"",'Fuel consumption'!E$31 * VLOOKUP($B34,'A1.3.10'!$S$28:$AE$58,8,))))</f>
        <v>0.143057339771858</v>
      </c>
      <c r="AD34" s="611">
        <f>IF($B34&lt;'A1.3.10'!$S$28,"",IF($B34&gt;'A1.3.10'!$S$58,AD33,IF(OR(VLOOKUP($B34,'A1.3.10'!$S$28:$AE$58,8,)="",'Fuel consumption'!F$31=""),"",'Fuel consumption'!F$31 * VLOOKUP($B34,'A1.3.10'!$S$28:$AE$58,8,))))</f>
        <v>-1.0340193601785499E-3</v>
      </c>
      <c r="AE34" s="2642">
        <f>IF($B34&lt;'A1.3.10'!$S$28,"",IF($B34&gt;'A1.3.10'!$S$58,AE33,IF(OR(VLOOKUP($B34,'A1.3.10'!$S$28:$AE$58,8,)="",'Fuel consumption'!G$31=""),"",'Fuel consumption'!G$31 * VLOOKUP($B34,'A1.3.10'!$S$28:$AE$58,8,))))</f>
        <v>1.1293150500864199E-5</v>
      </c>
      <c r="AF34" s="610">
        <f>IF($B34&lt;'A1.3.10'!$S$28,"",IF($B34&gt;'A1.3.10'!$S$58,AF33,IF(OR(VLOOKUP($B34,'A1.3.10'!$S$28:$AE$58,10,)="",'Fuel consumption'!D$32=""),"",'Fuel consumption'!D$32 * VLOOKUP($B34,'A1.3.10'!$S$28:$AE$58,10,))))</f>
        <v>5.6655970981789903</v>
      </c>
      <c r="AG34" s="611">
        <f>IF($B34&lt;'A1.3.10'!$S$28,"",IF($B34&gt;'A1.3.10'!$S$58,AG33,IF(OR(VLOOKUP($B34,'A1.3.10'!$S$28:$AE$58,10,)="",'Fuel consumption'!E$32=""),"",'Fuel consumption'!E$32 * VLOOKUP($B34,'A1.3.10'!$S$28:$AE$58,10,))))</f>
        <v>0.29422449618924201</v>
      </c>
      <c r="AH34" s="611">
        <f>IF($B34&lt;'A1.3.10'!$S$28,"",IF($B34&gt;'A1.3.10'!$S$58,AH33,IF(OR(VLOOKUP($B34,'A1.3.10'!$S$28:$AE$58,10,)="",'Fuel consumption'!F$32=""),"",'Fuel consumption'!F$32 * VLOOKUP($B34,'A1.3.10'!$S$28:$AE$58,10,))))</f>
        <v>-1.9493920679616401E-3</v>
      </c>
      <c r="AI34" s="1578">
        <f>IF($B34&lt;'A1.3.10'!$S$28,"",IF($B34&gt;'A1.3.10'!$S$58,AI33,IF(OR(VLOOKUP($B34,'A1.3.10'!$S$28:$AE$58,10,)="",'Fuel consumption'!G$32=""),"",'Fuel consumption'!G$32 * VLOOKUP($B34,'A1.3.10'!$S$28:$AE$58,10,))))</f>
        <v>1.1619187345164999E-5</v>
      </c>
      <c r="AJ34" s="610">
        <f>IF($B34&lt;'A1.3.10'!$S$28,"",IF($B34&gt;'A1.3.10'!$S$58,AJ33,IF(OR(VLOOKUP($B34,'A1.3.10'!$S$28:$AE$58,12,)="",'Fuel consumption'!D$33=""),"",'Fuel consumption'!D$33 * VLOOKUP($B34,'A1.3.10'!$S$28:$AE$58,12,))))</f>
        <v>3.3601870156891001</v>
      </c>
      <c r="AK34" s="611">
        <f>IF($B34&lt;'A1.3.10'!$S$28,"",IF($B34&gt;'A1.3.10'!$S$58,AK33,IF(OR(VLOOKUP($B34,'A1.3.10'!$S$28:$AE$58,12,)="",'Fuel consumption'!E$33=""),"",'Fuel consumption'!E$33 * VLOOKUP($B34,'A1.3.10'!$S$28:$AE$58,12,))))</f>
        <v>0.29524938703213599</v>
      </c>
      <c r="AL34" s="611">
        <f>IF($B34&lt;'A1.3.10'!$S$28,"",IF($B34&gt;'A1.3.10'!$S$58,AL33,IF(OR(VLOOKUP($B34,'A1.3.10'!$S$28:$AE$58,12,)="",'Fuel consumption'!F$33=""),"",'Fuel consumption'!F$33 * VLOOKUP($B34,'A1.3.10'!$S$28:$AE$58,12,))))</f>
        <v>-3.20909768342738E-3</v>
      </c>
      <c r="AM34" s="1578">
        <f>IF($B34&lt;'A1.3.10'!$S$28,"",IF($B34&gt;'A1.3.10'!$S$58,AM33,IF(OR(VLOOKUP($B34,'A1.3.10'!$S$28:$AE$58,12,)="",'Fuel consumption'!G$33=""),"",'Fuel consumption'!G$33 * VLOOKUP($B34,'A1.3.10'!$S$28:$AE$58,12,))))</f>
        <v>2.3540043227716499E-5</v>
      </c>
    </row>
    <row r="35" spans="1:39" ht="13.5" customHeight="1">
      <c r="A35" s="623"/>
      <c r="B35" s="614">
        <f t="shared" si="1"/>
        <v>2019</v>
      </c>
      <c r="C35" s="609"/>
      <c r="D35" s="2484">
        <f>IF($B35&lt;'A1.3.10'!$S$28,"",IF($B35&gt;'A1.3.10'!$S$58,D34,IF(OR(VLOOKUP($B35,'A1.3.10'!$S$28:$AE$58,2,)="",'Fuel consumption'!D$27=""),"",'Fuel consumption'!D$27 * VLOOKUP($B35,'A1.3.10'!$S$28:$AE$58,2,))))</f>
        <v>0.4141256329128063</v>
      </c>
      <c r="E35" s="2485">
        <f>IF($B35&lt;'A1.3.10'!$S$28,"",IF($B35&gt;'A1.3.10'!$S$58,E34,IF(OR(VLOOKUP($B35,'A1.3.10'!$S$28:$AE$58,2,)="",'Fuel consumption'!E$27=""),"",'Fuel consumption'!E$27 * VLOOKUP($B35,'A1.3.10'!$S$28:$AE$58,2,))))</f>
        <v>8.8008414487849879E-2</v>
      </c>
      <c r="F35" s="2485">
        <f>IF($B35&lt;'A1.3.10'!$S$28,"",IF($B35&gt;'A1.3.10'!$S$58,F34,IF(OR(VLOOKUP($B35,'A1.3.10'!$S$28:$AE$58,2,)="",'Fuel consumption'!F$27=""),"",'Fuel consumption'!F$27 * VLOOKUP($B35,'A1.3.10'!$S$28:$AE$58,2,))))</f>
        <v>-1.002520208936198E-3</v>
      </c>
      <c r="G35" s="2642">
        <f>IF($B35&lt;'A1.3.10'!$S$28,"",IF($B35&gt;'A1.3.10'!$S$58,G34,IF(OR(VLOOKUP($B35,'A1.3.10'!$S$28:$AE$58,2,)="",'Fuel consumption'!G$27=""),"",'Fuel consumption'!G$27 * VLOOKUP($B35,'A1.3.10'!$S$28:$AE$58,2,))))</f>
        <v>6.6396106796488935E-6</v>
      </c>
      <c r="H35" s="2486">
        <f>IF($B35&lt;'A1.3.10'!$S$28,"",IF($B35&gt;'A1.3.10'!$S$58,H34,IF(OR(VLOOKUP($B35,'A1.3.10'!$S$28:$AE$58,3,)="",'Fuel consumption'!D$28=""),"",'Fuel consumption'!D$28  * VLOOKUP($B35,'A1.3.10'!$S$28:$AE$58,3,))))</f>
        <v>0.44893083082624363</v>
      </c>
      <c r="I35" s="2487">
        <f>IF($B35&lt;'A1.3.10'!$S$28,"",IF($B35&gt;'A1.3.10'!$S$58,I34,IF(OR(VLOOKUP($B35,'A1.3.10'!$S$28:$AE$58,3,)="",'Fuel consumption'!E$28=""),"",'Fuel consumption'!E$28  * VLOOKUP($B35,'A1.3.10'!$S$28:$AE$58,3,))))</f>
        <v>6.4365579093659184E-2</v>
      </c>
      <c r="J35" s="2487">
        <f>IF($B35&lt;'A1.3.10'!$S$28,"",IF($B35&gt;'A1.3.10'!$S$58,J34,IF(OR(VLOOKUP($B35,'A1.3.10'!$S$28:$AE$58,3,)="",'Fuel consumption'!F$28=""),"",'Fuel consumption'!F$28  * VLOOKUP($B35,'A1.3.10'!$S$28:$AE$58,3,))))</f>
        <v>-6.1921480188738439E-4</v>
      </c>
      <c r="K35" s="2642">
        <f>IF($B35&lt;'A1.3.10'!$S$28,"",IF($B35&gt;'A1.3.10'!$S$58,K34,IF(OR(VLOOKUP($B35,'A1.3.10'!$S$28:$AE$58,3,)="",'Fuel consumption'!G$28=""),"",'Fuel consumption'!G$28  * VLOOKUP($B35,'A1.3.10'!$S$28:$AE$58,3,))))</f>
        <v>4.8794437053427721E-6</v>
      </c>
      <c r="L35" s="2486" t="str">
        <f>IF($B35&lt;'A1.3.10'!$S$28,"",IF($B35&gt;'A1.3.10'!$S$58,L34,IF(OR(VLOOKUP($B35,'A1.3.10'!$S$28:$AE$58,4,)="", 'Fuel consumption'!D$36=""),"",'Fuel consumption'!D$36 * VLOOKUP($B35,'A1.3.10'!$S$28:$AE$58,4,))))</f>
        <v/>
      </c>
      <c r="M35" s="2487">
        <f>IF($B35&lt;'A1.3.10'!$S$28,"",IF($B35&gt;'A1.3.10'!$S$58,M34,IF(OR(VLOOKUP($B35,'A1.3.10'!$S$28:$AE$58,4,)="", 'Fuel consumption'!E$36=""),"",'Fuel consumption'!E$36 * VLOOKUP($B35,'A1.3.10'!$S$28:$AE$58,4,))))</f>
        <v>0.14916819362367367</v>
      </c>
      <c r="N35" s="614" t="str">
        <f>IF($B35&lt;'A1.3.10'!$S$28,"",IF($B35&gt;'A1.3.10'!$S$58,N34,IF(OR(VLOOKUP($B35,'A1.3.10'!$S$28:$AE$58,4,)="", 'Fuel consumption'!F$36=""),"",'Fuel consumption'!F$36 * VLOOKUP($B35,'A1.3.10'!$S$28:$AE$58,4,))))</f>
        <v/>
      </c>
      <c r="O35" s="612" t="str">
        <f>IF($B35&lt;'A1.3.10'!$S$28,"",IF($B35&gt;'A1.3.10'!$S$58,O34,IF(OR(VLOOKUP($B35,'A1.3.10'!$S$28:$AE$58,4,)="", 'Fuel consumption'!G$36=""),"",'Fuel consumption'!G$36 * VLOOKUP($B35,'A1.3.10'!$S$28:$AE$58,4,))))</f>
        <v/>
      </c>
      <c r="P35" s="610">
        <f>IF($B35&lt;'A1.3.10'!$S$28,"",IF($B35&gt;'A1.3.10'!$S$58,P34,IF(OR(VLOOKUP($B35,'A1.3.10'!$S$28:$AE$58,5,)="",'Fuel consumption'!D$29=""),"",'Fuel consumption'!D$29 * VLOOKUP($B35,'A1.3.10'!$S$28:$AE$58,5,))))</f>
        <v>0.32594105780495081</v>
      </c>
      <c r="Q35" s="611">
        <f>IF($B35&lt;'A1.3.10'!$S$28,"",IF($B35&gt;'A1.3.10'!$S$58,Q34,IF(OR(VLOOKUP($B35,'A1.3.10'!$S$28:$AE$58,5,)="",'Fuel consumption'!E$29=""),"",'Fuel consumption'!E$29 * VLOOKUP($B35,'A1.3.10'!$S$28:$AE$58,5,))))</f>
        <v>0.18276887765814884</v>
      </c>
      <c r="R35" s="611">
        <f>IF($B35&lt;'A1.3.10'!$S$28,"",IF($B35&gt;'A1.3.10'!$S$58,R34,IF(OR(VLOOKUP($B35,'A1.3.10'!$S$28:$AE$58,5,)="",'Fuel consumption'!F$29=""),"",'Fuel consumption'!F$29 * VLOOKUP($B35,'A1.3.10'!$S$28:$AE$58,5,))))</f>
        <v>-2.8688714596624303E-3</v>
      </c>
      <c r="S35" s="2642">
        <f>IF($B35&lt;'A1.3.10'!$S$28,"",IF($B35&gt;'A1.3.10'!$S$58,S34,IF(OR(VLOOKUP($B35,'A1.3.10'!$S$28:$AE$58,5,)="",'Fuel consumption'!G$29=""),"",'Fuel consumption'!G$29 * VLOOKUP($B35,'A1.3.10'!$S$28:$AE$58,5,))))</f>
        <v>1.8527279102942771E-5</v>
      </c>
      <c r="T35" s="610">
        <f>IF($B35&lt;'A1.3.10'!$S$28,"",IF($B35&gt;'A1.3.10'!$S$58,T34,IF(OR(VLOOKUP($B35,'A1.3.10'!$S$28:$AE$58,6,)="",'Fuel consumption'!D$30=""),"",'Fuel consumption'!D$30 * VLOOKUP($B35,'A1.3.10'!$S$28:$AE$58,6,))))</f>
        <v>0.45817589943846387</v>
      </c>
      <c r="U35" s="611">
        <f>IF($B35&lt;'A1.3.10'!$S$28,"",IF($B35&gt;'A1.3.10'!$S$58,U34,IF(OR(VLOOKUP($B35,'A1.3.10'!$S$28:$AE$58,6,)="",'Fuel consumption'!E$30=""),"",'Fuel consumption'!E$30 * VLOOKUP($B35,'A1.3.10'!$S$28:$AE$58,6,))))</f>
        <v>0.11198005704154011</v>
      </c>
      <c r="V35" s="611">
        <f>IF($B35&lt;'A1.3.10'!$S$28,"",IF($B35&gt;'A1.3.10'!$S$58,V34,IF(OR(VLOOKUP($B35,'A1.3.10'!$S$28:$AE$58,6,)="",'Fuel consumption'!F$30=""),"",'Fuel consumption'!F$30 * VLOOKUP($B35,'A1.3.10'!$S$28:$AE$58,6,))))</f>
        <v>-1.6155158401938614E-3</v>
      </c>
      <c r="W35" s="2642">
        <f>IF($B35&lt;'A1.3.10'!$S$28,"",IF($B35&gt;'A1.3.10'!$S$58,W34,IF(OR(VLOOKUP($B35,'A1.3.10'!$S$28:$AE$58,6,)="",'Fuel consumption'!G$30=""),"",'Fuel consumption'!G$30 * VLOOKUP($B35,'A1.3.10'!$S$28:$AE$58,6,))))</f>
        <v>1.3677013431507559E-5</v>
      </c>
      <c r="X35" s="3144"/>
      <c r="Y35" s="2487">
        <f>IF($B35&lt;'A1.3.10'!$S$28,"",IF($B35&gt;'A1.3.10'!$S$58,Y34,IF(OR(VLOOKUP($B35,'A1.3.10'!$S$28:$AE$58,7,)="", 'Fuel consumption'!E$37=""),"",'Fuel consumption'!E$37 * VLOOKUP($B35,'A1.3.10'!$S$28:$AE$58,7,))))</f>
        <v>0.33357653147336441</v>
      </c>
      <c r="Z35" s="2642"/>
      <c r="AA35" s="2642"/>
      <c r="AB35" s="610">
        <f>IF($B35&lt;'A1.3.10'!$S$28,"",IF($B35&gt;'A1.3.10'!$S$58,AB34,IF(OR(VLOOKUP($B35,'A1.3.10'!$S$28:$AE$58,8,)="",'Fuel consumption'!D$31=""),"",'Fuel consumption'!D$31 * VLOOKUP($B35,'A1.3.10'!$S$28:$AE$58,8,))))</f>
        <v>2.6962848686626804</v>
      </c>
      <c r="AC35" s="611">
        <f>IF($B35&lt;'A1.3.10'!$S$28,"",IF($B35&gt;'A1.3.10'!$S$58,AC34,IF(OR(VLOOKUP($B35,'A1.3.10'!$S$28:$AE$58,8,)="",'Fuel consumption'!E$31=""),"",'Fuel consumption'!E$31 * VLOOKUP($B35,'A1.3.10'!$S$28:$AE$58,8,))))</f>
        <v>0.143057339771858</v>
      </c>
      <c r="AD35" s="611">
        <f>IF($B35&lt;'A1.3.10'!$S$28,"",IF($B35&gt;'A1.3.10'!$S$58,AD34,IF(OR(VLOOKUP($B35,'A1.3.10'!$S$28:$AE$58,8,)="",'Fuel consumption'!F$31=""),"",'Fuel consumption'!F$31 * VLOOKUP($B35,'A1.3.10'!$S$28:$AE$58,8,))))</f>
        <v>-1.0340193601785499E-3</v>
      </c>
      <c r="AE35" s="2642">
        <f>IF($B35&lt;'A1.3.10'!$S$28,"",IF($B35&gt;'A1.3.10'!$S$58,AE34,IF(OR(VLOOKUP($B35,'A1.3.10'!$S$28:$AE$58,8,)="",'Fuel consumption'!G$31=""),"",'Fuel consumption'!G$31 * VLOOKUP($B35,'A1.3.10'!$S$28:$AE$58,8,))))</f>
        <v>1.1293150500864199E-5</v>
      </c>
      <c r="AF35" s="610">
        <f>IF($B35&lt;'A1.3.10'!$S$28,"",IF($B35&gt;'A1.3.10'!$S$58,AF34,IF(OR(VLOOKUP($B35,'A1.3.10'!$S$28:$AE$58,10,)="",'Fuel consumption'!D$32=""),"",'Fuel consumption'!D$32 * VLOOKUP($B35,'A1.3.10'!$S$28:$AE$58,10,))))</f>
        <v>5.6655970981789903</v>
      </c>
      <c r="AG35" s="611">
        <f>IF($B35&lt;'A1.3.10'!$S$28,"",IF($B35&gt;'A1.3.10'!$S$58,AG34,IF(OR(VLOOKUP($B35,'A1.3.10'!$S$28:$AE$58,10,)="",'Fuel consumption'!E$32=""),"",'Fuel consumption'!E$32 * VLOOKUP($B35,'A1.3.10'!$S$28:$AE$58,10,))))</f>
        <v>0.29422449618924201</v>
      </c>
      <c r="AH35" s="611">
        <f>IF($B35&lt;'A1.3.10'!$S$28,"",IF($B35&gt;'A1.3.10'!$S$58,AH34,IF(OR(VLOOKUP($B35,'A1.3.10'!$S$28:$AE$58,10,)="",'Fuel consumption'!F$32=""),"",'Fuel consumption'!F$32 * VLOOKUP($B35,'A1.3.10'!$S$28:$AE$58,10,))))</f>
        <v>-1.9493920679616401E-3</v>
      </c>
      <c r="AI35" s="1578">
        <f>IF($B35&lt;'A1.3.10'!$S$28,"",IF($B35&gt;'A1.3.10'!$S$58,AI34,IF(OR(VLOOKUP($B35,'A1.3.10'!$S$28:$AE$58,10,)="",'Fuel consumption'!G$32=""),"",'Fuel consumption'!G$32 * VLOOKUP($B35,'A1.3.10'!$S$28:$AE$58,10,))))</f>
        <v>1.1619187345164999E-5</v>
      </c>
      <c r="AJ35" s="610">
        <f>IF($B35&lt;'A1.3.10'!$S$28,"",IF($B35&gt;'A1.3.10'!$S$58,AJ34,IF(OR(VLOOKUP($B35,'A1.3.10'!$S$28:$AE$58,12,)="",'Fuel consumption'!D$33=""),"",'Fuel consumption'!D$33 * VLOOKUP($B35,'A1.3.10'!$S$28:$AE$58,12,))))</f>
        <v>3.3601870156891001</v>
      </c>
      <c r="AK35" s="611">
        <f>IF($B35&lt;'A1.3.10'!$S$28,"",IF($B35&gt;'A1.3.10'!$S$58,AK34,IF(OR(VLOOKUP($B35,'A1.3.10'!$S$28:$AE$58,12,)="",'Fuel consumption'!E$33=""),"",'Fuel consumption'!E$33 * VLOOKUP($B35,'A1.3.10'!$S$28:$AE$58,12,))))</f>
        <v>0.29524938703213599</v>
      </c>
      <c r="AL35" s="611">
        <f>IF($B35&lt;'A1.3.10'!$S$28,"",IF($B35&gt;'A1.3.10'!$S$58,AL34,IF(OR(VLOOKUP($B35,'A1.3.10'!$S$28:$AE$58,12,)="",'Fuel consumption'!F$33=""),"",'Fuel consumption'!F$33 * VLOOKUP($B35,'A1.3.10'!$S$28:$AE$58,12,))))</f>
        <v>-3.20909768342738E-3</v>
      </c>
      <c r="AM35" s="1578">
        <f>IF($B35&lt;'A1.3.10'!$S$28,"",IF($B35&gt;'A1.3.10'!$S$58,AM34,IF(OR(VLOOKUP($B35,'A1.3.10'!$S$28:$AE$58,12,)="",'Fuel consumption'!G$33=""),"",'Fuel consumption'!G$33 * VLOOKUP($B35,'A1.3.10'!$S$28:$AE$58,12,))))</f>
        <v>2.3540043227716499E-5</v>
      </c>
    </row>
    <row r="36" spans="1:39" ht="13.5" customHeight="1">
      <c r="A36" s="623"/>
      <c r="B36" s="614">
        <f t="shared" si="1"/>
        <v>2020</v>
      </c>
      <c r="C36" s="609"/>
      <c r="D36" s="2484">
        <f>IF($B36&lt;'A1.3.10'!$S$28,"",IF($B36&gt;'A1.3.10'!$S$58,D35,IF(OR(VLOOKUP($B36,'A1.3.10'!$S$28:$AE$58,2,)="",'Fuel consumption'!D$27=""),"",'Fuel consumption'!D$27 * VLOOKUP($B36,'A1.3.10'!$S$28:$AE$58,2,))))</f>
        <v>0.40443509488957208</v>
      </c>
      <c r="E36" s="2485">
        <f>IF($B36&lt;'A1.3.10'!$S$28,"",IF($B36&gt;'A1.3.10'!$S$58,E35,IF(OR(VLOOKUP($B36,'A1.3.10'!$S$28:$AE$58,2,)="",'Fuel consumption'!E$27=""),"",'Fuel consumption'!E$27 * VLOOKUP($B36,'A1.3.10'!$S$28:$AE$58,2,))))</f>
        <v>8.5949017968584826E-2</v>
      </c>
      <c r="F36" s="2485">
        <f>IF($B36&lt;'A1.3.10'!$S$28,"",IF($B36&gt;'A1.3.10'!$S$58,F35,IF(OR(VLOOKUP($B36,'A1.3.10'!$S$28:$AE$58,2,)="",'Fuel consumption'!F$27=""),"",'Fuel consumption'!F$27 * VLOOKUP($B36,'A1.3.10'!$S$28:$AE$58,2,))))</f>
        <v>-9.7906124037290109E-4</v>
      </c>
      <c r="G36" s="2642">
        <f>IF($B36&lt;'A1.3.10'!$S$28,"",IF($B36&gt;'A1.3.10'!$S$58,G35,IF(OR(VLOOKUP($B36,'A1.3.10'!$S$28:$AE$58,2,)="",'Fuel consumption'!G$27=""),"",'Fuel consumption'!G$27 * VLOOKUP($B36,'A1.3.10'!$S$28:$AE$58,2,))))</f>
        <v>6.4842438183946013E-6</v>
      </c>
      <c r="H36" s="2486">
        <f>IF($B36&lt;'A1.3.10'!$S$28,"",IF($B36&gt;'A1.3.10'!$S$58,H35,IF(OR(VLOOKUP($B36,'A1.3.10'!$S$28:$AE$58,3,)="",'Fuel consumption'!D$28=""),"",'Fuel consumption'!D$28  * VLOOKUP($B36,'A1.3.10'!$S$28:$AE$58,3,))))</f>
        <v>0.44190780352094633</v>
      </c>
      <c r="I36" s="2487">
        <f>IF($B36&lt;'A1.3.10'!$S$28,"",IF($B36&gt;'A1.3.10'!$S$58,I35,IF(OR(VLOOKUP($B36,'A1.3.10'!$S$28:$AE$58,3,)="",'Fuel consumption'!E$28=""),"",'Fuel consumption'!E$28  * VLOOKUP($B36,'A1.3.10'!$S$28:$AE$58,3,))))</f>
        <v>6.335865065734736E-2</v>
      </c>
      <c r="J36" s="2487">
        <f>IF($B36&lt;'A1.3.10'!$S$28,"",IF($B36&gt;'A1.3.10'!$S$58,J35,IF(OR(VLOOKUP($B36,'A1.3.10'!$S$28:$AE$58,3,)="",'Fuel consumption'!F$28=""),"",'Fuel consumption'!F$28  * VLOOKUP($B36,'A1.3.10'!$S$28:$AE$58,3,))))</f>
        <v>-6.0952786981926252E-4</v>
      </c>
      <c r="K36" s="2642">
        <f>IF($B36&lt;'A1.3.10'!$S$28,"",IF($B36&gt;'A1.3.10'!$S$58,K35,IF(OR(VLOOKUP($B36,'A1.3.10'!$S$28:$AE$58,3,)="",'Fuel consumption'!G$28=""),"",'Fuel consumption'!G$28  * VLOOKUP($B36,'A1.3.10'!$S$28:$AE$58,3,))))</f>
        <v>4.8031101946453376E-6</v>
      </c>
      <c r="L36" s="2486" t="str">
        <f>IF($B36&lt;'A1.3.10'!$S$28,"",IF($B36&gt;'A1.3.10'!$S$58,L35,IF(OR(VLOOKUP($B36,'A1.3.10'!$S$28:$AE$58,4,)="", 'Fuel consumption'!D$36=""),"",'Fuel consumption'!D$36 * VLOOKUP($B36,'A1.3.10'!$S$28:$AE$58,4,))))</f>
        <v/>
      </c>
      <c r="M36" s="2487">
        <f>IF($B36&lt;'A1.3.10'!$S$28,"",IF($B36&gt;'A1.3.10'!$S$58,M35,IF(OR(VLOOKUP($B36,'A1.3.10'!$S$28:$AE$58,4,)="", 'Fuel consumption'!E$36=""),"",'Fuel consumption'!E$36 * VLOOKUP($B36,'A1.3.10'!$S$28:$AE$58,4,))))</f>
        <v>0.14872258535747154</v>
      </c>
      <c r="N36" s="614" t="str">
        <f>IF($B36&lt;'A1.3.10'!$S$28,"",IF($B36&gt;'A1.3.10'!$S$58,N35,IF(OR(VLOOKUP($B36,'A1.3.10'!$S$28:$AE$58,4,)="", 'Fuel consumption'!F$36=""),"",'Fuel consumption'!F$36 * VLOOKUP($B36,'A1.3.10'!$S$28:$AE$58,4,))))</f>
        <v/>
      </c>
      <c r="O36" s="612" t="str">
        <f>IF($B36&lt;'A1.3.10'!$S$28,"",IF($B36&gt;'A1.3.10'!$S$58,O35,IF(OR(VLOOKUP($B36,'A1.3.10'!$S$28:$AE$58,4,)="", 'Fuel consumption'!G$36=""),"",'Fuel consumption'!G$36 * VLOOKUP($B36,'A1.3.10'!$S$28:$AE$58,4,))))</f>
        <v/>
      </c>
      <c r="P36" s="610">
        <f>IF($B36&lt;'A1.3.10'!$S$28,"",IF($B36&gt;'A1.3.10'!$S$58,P35,IF(OR(VLOOKUP($B36,'A1.3.10'!$S$28:$AE$58,5,)="",'Fuel consumption'!D$29=""),"",'Fuel consumption'!D$29 * VLOOKUP($B36,'A1.3.10'!$S$28:$AE$58,5,))))</f>
        <v>0.3168390796903735</v>
      </c>
      <c r="Q36" s="611">
        <f>IF($B36&lt;'A1.3.10'!$S$28,"",IF($B36&gt;'A1.3.10'!$S$58,Q35,IF(OR(VLOOKUP($B36,'A1.3.10'!$S$28:$AE$58,5,)="",'Fuel consumption'!E$29=""),"",'Fuel consumption'!E$29 * VLOOKUP($B36,'A1.3.10'!$S$28:$AE$58,5,))))</f>
        <v>0.17766501521236322</v>
      </c>
      <c r="R36" s="611">
        <f>IF($B36&lt;'A1.3.10'!$S$28,"",IF($B36&gt;'A1.3.10'!$S$58,R35,IF(OR(VLOOKUP($B36,'A1.3.10'!$S$28:$AE$58,5,)="",'Fuel consumption'!F$29=""),"",'Fuel consumption'!F$29 * VLOOKUP($B36,'A1.3.10'!$S$28:$AE$58,5,))))</f>
        <v>-2.7887575721539442E-3</v>
      </c>
      <c r="S36" s="2642">
        <f>IF($B36&lt;'A1.3.10'!$S$28,"",IF($B36&gt;'A1.3.10'!$S$58,S35,IF(OR(VLOOKUP($B36,'A1.3.10'!$S$28:$AE$58,5,)="",'Fuel consumption'!G$29=""),"",'Fuel consumption'!G$29 * VLOOKUP($B36,'A1.3.10'!$S$28:$AE$58,5,))))</f>
        <v>1.8009900623369434E-5</v>
      </c>
      <c r="T36" s="610">
        <f>IF($B36&lt;'A1.3.10'!$S$28,"",IF($B36&gt;'A1.3.10'!$S$58,T35,IF(OR(VLOOKUP($B36,'A1.3.10'!$S$28:$AE$58,6,)="",'Fuel consumption'!D$30=""),"",'Fuel consumption'!D$30 * VLOOKUP($B36,'A1.3.10'!$S$28:$AE$58,6,))))</f>
        <v>0.44849211380131354</v>
      </c>
      <c r="U36" s="611">
        <f>IF($B36&lt;'A1.3.10'!$S$28,"",IF($B36&gt;'A1.3.10'!$S$58,U35,IF(OR(VLOOKUP($B36,'A1.3.10'!$S$28:$AE$58,6,)="",'Fuel consumption'!E$30=""),"",'Fuel consumption'!E$30 * VLOOKUP($B36,'A1.3.10'!$S$28:$AE$58,6,))))</f>
        <v>0.10961330036718173</v>
      </c>
      <c r="V36" s="611">
        <f>IF($B36&lt;'A1.3.10'!$S$28,"",IF($B36&gt;'A1.3.10'!$S$58,V35,IF(OR(VLOOKUP($B36,'A1.3.10'!$S$28:$AE$58,6,)="",'Fuel consumption'!F$30=""),"",'Fuel consumption'!F$30 * VLOOKUP($B36,'A1.3.10'!$S$28:$AE$58,6,))))</f>
        <v>-1.5813710737209157E-3</v>
      </c>
      <c r="W36" s="2642">
        <f>IF($B36&lt;'A1.3.10'!$S$28,"",IF($B36&gt;'A1.3.10'!$S$58,W35,IF(OR(VLOOKUP($B36,'A1.3.10'!$S$28:$AE$58,6,)="",'Fuel consumption'!G$30=""),"",'Fuel consumption'!G$30 * VLOOKUP($B36,'A1.3.10'!$S$28:$AE$58,6,))))</f>
        <v>1.338794264801705E-5</v>
      </c>
      <c r="X36" s="3144"/>
      <c r="Y36" s="2487">
        <f>IF($B36&lt;'A1.3.10'!$S$28,"",IF($B36&gt;'A1.3.10'!$S$58,Y35,IF(OR(VLOOKUP($B36,'A1.3.10'!$S$28:$AE$58,7,)="", 'Fuel consumption'!E$37=""),"",'Fuel consumption'!E$37 * VLOOKUP($B36,'A1.3.10'!$S$28:$AE$58,7,))))</f>
        <v>0.33288825165955638</v>
      </c>
      <c r="Z36" s="2642"/>
      <c r="AA36" s="2642"/>
      <c r="AB36" s="610">
        <f>IF($B36&lt;'A1.3.10'!$S$28,"",IF($B36&gt;'A1.3.10'!$S$58,AB35,IF(OR(VLOOKUP($B36,'A1.3.10'!$S$28:$AE$58,8,)="",'Fuel consumption'!D$31=""),"",'Fuel consumption'!D$31 * VLOOKUP($B36,'A1.3.10'!$S$28:$AE$58,8,))))</f>
        <v>2.6962848686626804</v>
      </c>
      <c r="AC36" s="611">
        <f>IF($B36&lt;'A1.3.10'!$S$28,"",IF($B36&gt;'A1.3.10'!$S$58,AC35,IF(OR(VLOOKUP($B36,'A1.3.10'!$S$28:$AE$58,8,)="",'Fuel consumption'!E$31=""),"",'Fuel consumption'!E$31 * VLOOKUP($B36,'A1.3.10'!$S$28:$AE$58,8,))))</f>
        <v>0.143057339771858</v>
      </c>
      <c r="AD36" s="611">
        <f>IF($B36&lt;'A1.3.10'!$S$28,"",IF($B36&gt;'A1.3.10'!$S$58,AD35,IF(OR(VLOOKUP($B36,'A1.3.10'!$S$28:$AE$58,8,)="",'Fuel consumption'!F$31=""),"",'Fuel consumption'!F$31 * VLOOKUP($B36,'A1.3.10'!$S$28:$AE$58,8,))))</f>
        <v>-1.0340193601785499E-3</v>
      </c>
      <c r="AE36" s="2642">
        <f>IF($B36&lt;'A1.3.10'!$S$28,"",IF($B36&gt;'A1.3.10'!$S$58,AE35,IF(OR(VLOOKUP($B36,'A1.3.10'!$S$28:$AE$58,8,)="",'Fuel consumption'!G$31=""),"",'Fuel consumption'!G$31 * VLOOKUP($B36,'A1.3.10'!$S$28:$AE$58,8,))))</f>
        <v>1.1293150500864199E-5</v>
      </c>
      <c r="AF36" s="610">
        <f>IF($B36&lt;'A1.3.10'!$S$28,"",IF($B36&gt;'A1.3.10'!$S$58,AF35,IF(OR(VLOOKUP($B36,'A1.3.10'!$S$28:$AE$58,10,)="",'Fuel consumption'!D$32=""),"",'Fuel consumption'!D$32 * VLOOKUP($B36,'A1.3.10'!$S$28:$AE$58,10,))))</f>
        <v>5.6655970981789903</v>
      </c>
      <c r="AG36" s="611">
        <f>IF($B36&lt;'A1.3.10'!$S$28,"",IF($B36&gt;'A1.3.10'!$S$58,AG35,IF(OR(VLOOKUP($B36,'A1.3.10'!$S$28:$AE$58,10,)="",'Fuel consumption'!E$32=""),"",'Fuel consumption'!E$32 * VLOOKUP($B36,'A1.3.10'!$S$28:$AE$58,10,))))</f>
        <v>0.29422449618924201</v>
      </c>
      <c r="AH36" s="611">
        <f>IF($B36&lt;'A1.3.10'!$S$28,"",IF($B36&gt;'A1.3.10'!$S$58,AH35,IF(OR(VLOOKUP($B36,'A1.3.10'!$S$28:$AE$58,10,)="",'Fuel consumption'!F$32=""),"",'Fuel consumption'!F$32 * VLOOKUP($B36,'A1.3.10'!$S$28:$AE$58,10,))))</f>
        <v>-1.9493920679616401E-3</v>
      </c>
      <c r="AI36" s="1578">
        <f>IF($B36&lt;'A1.3.10'!$S$28,"",IF($B36&gt;'A1.3.10'!$S$58,AI35,IF(OR(VLOOKUP($B36,'A1.3.10'!$S$28:$AE$58,10,)="",'Fuel consumption'!G$32=""),"",'Fuel consumption'!G$32 * VLOOKUP($B36,'A1.3.10'!$S$28:$AE$58,10,))))</f>
        <v>1.1619187345164999E-5</v>
      </c>
      <c r="AJ36" s="610">
        <f>IF($B36&lt;'A1.3.10'!$S$28,"",IF($B36&gt;'A1.3.10'!$S$58,AJ35,IF(OR(VLOOKUP($B36,'A1.3.10'!$S$28:$AE$58,12,)="",'Fuel consumption'!D$33=""),"",'Fuel consumption'!D$33 * VLOOKUP($B36,'A1.3.10'!$S$28:$AE$58,12,))))</f>
        <v>3.3601870156891001</v>
      </c>
      <c r="AK36" s="611">
        <f>IF($B36&lt;'A1.3.10'!$S$28,"",IF($B36&gt;'A1.3.10'!$S$58,AK35,IF(OR(VLOOKUP($B36,'A1.3.10'!$S$28:$AE$58,12,)="",'Fuel consumption'!E$33=""),"",'Fuel consumption'!E$33 * VLOOKUP($B36,'A1.3.10'!$S$28:$AE$58,12,))))</f>
        <v>0.29524938703213599</v>
      </c>
      <c r="AL36" s="611">
        <f>IF($B36&lt;'A1.3.10'!$S$28,"",IF($B36&gt;'A1.3.10'!$S$58,AL35,IF(OR(VLOOKUP($B36,'A1.3.10'!$S$28:$AE$58,12,)="",'Fuel consumption'!F$33=""),"",'Fuel consumption'!F$33 * VLOOKUP($B36,'A1.3.10'!$S$28:$AE$58,12,))))</f>
        <v>-3.20909768342738E-3</v>
      </c>
      <c r="AM36" s="1578">
        <f>IF($B36&lt;'A1.3.10'!$S$28,"",IF($B36&gt;'A1.3.10'!$S$58,AM35,IF(OR(VLOOKUP($B36,'A1.3.10'!$S$28:$AE$58,12,)="",'Fuel consumption'!G$33=""),"",'Fuel consumption'!G$33 * VLOOKUP($B36,'A1.3.10'!$S$28:$AE$58,12,))))</f>
        <v>2.3540043227716499E-5</v>
      </c>
    </row>
    <row r="37" spans="1:39" ht="13.5" customHeight="1">
      <c r="A37" s="623"/>
      <c r="B37" s="614">
        <f t="shared" si="1"/>
        <v>2021</v>
      </c>
      <c r="C37" s="609"/>
      <c r="D37" s="2484">
        <f>IF($B37&lt;'A1.3.10'!$S$28,"",IF($B37&gt;'A1.3.10'!$S$58,D36,IF(OR(VLOOKUP($B37,'A1.3.10'!$S$28:$AE$58,2,)="",'Fuel consumption'!D$27=""),"",'Fuel consumption'!D$27 * VLOOKUP($B37,'A1.3.10'!$S$28:$AE$58,2,))))</f>
        <v>0.39396454259576347</v>
      </c>
      <c r="E37" s="2485">
        <f>IF($B37&lt;'A1.3.10'!$S$28,"",IF($B37&gt;'A1.3.10'!$S$58,E36,IF(OR(VLOOKUP($B37,'A1.3.10'!$S$28:$AE$58,2,)="",'Fuel consumption'!E$27=""),"",'Fuel consumption'!E$27 * VLOOKUP($B37,'A1.3.10'!$S$28:$AE$58,2,))))</f>
        <v>8.3723855764282831E-2</v>
      </c>
      <c r="F37" s="2485">
        <f>IF($B37&lt;'A1.3.10'!$S$28,"",IF($B37&gt;'A1.3.10'!$S$58,F36,IF(OR(VLOOKUP($B37,'A1.3.10'!$S$28:$AE$58,2,)="",'Fuel consumption'!F$27=""),"",'Fuel consumption'!F$27 * VLOOKUP($B37,'A1.3.10'!$S$28:$AE$58,2,))))</f>
        <v>-9.5371400407787902E-4</v>
      </c>
      <c r="G37" s="2642">
        <f>IF($B37&lt;'A1.3.10'!$S$28,"",IF($B37&gt;'A1.3.10'!$S$58,G36,IF(OR(VLOOKUP($B37,'A1.3.10'!$S$28:$AE$58,2,)="",'Fuel consumption'!G$27=""),"",'Fuel consumption'!G$27 * VLOOKUP($B37,'A1.3.10'!$S$28:$AE$58,2,))))</f>
        <v>6.3163711118856773E-6</v>
      </c>
      <c r="H37" s="2486">
        <f>IF($B37&lt;'A1.3.10'!$S$28,"",IF($B37&gt;'A1.3.10'!$S$58,H36,IF(OR(VLOOKUP($B37,'A1.3.10'!$S$28:$AE$58,3,)="",'Fuel consumption'!D$28=""),"",'Fuel consumption'!D$28  * VLOOKUP($B37,'A1.3.10'!$S$28:$AE$58,3,))))</f>
        <v>0.43508161328840572</v>
      </c>
      <c r="I37" s="2487">
        <f>IF($B37&lt;'A1.3.10'!$S$28,"",IF($B37&gt;'A1.3.10'!$S$58,I36,IF(OR(VLOOKUP($B37,'A1.3.10'!$S$28:$AE$58,3,)="",'Fuel consumption'!E$28=""),"",'Fuel consumption'!E$28  * VLOOKUP($B37,'A1.3.10'!$S$28:$AE$58,3,))))</f>
        <v>6.2379943789493554E-2</v>
      </c>
      <c r="J37" s="2487">
        <f>IF($B37&lt;'A1.3.10'!$S$28,"",IF($B37&gt;'A1.3.10'!$S$58,J36,IF(OR(VLOOKUP($B37,'A1.3.10'!$S$28:$AE$58,3,)="",'Fuel consumption'!F$28=""),"",'Fuel consumption'!F$28  * VLOOKUP($B37,'A1.3.10'!$S$28:$AE$58,3,))))</f>
        <v>-6.0011243710169043E-4</v>
      </c>
      <c r="K37" s="2642">
        <f>IF($B37&lt;'A1.3.10'!$S$28,"",IF($B37&gt;'A1.3.10'!$S$58,K36,IF(OR(VLOOKUP($B37,'A1.3.10'!$S$28:$AE$58,3,)="",'Fuel consumption'!G$28=""),"",'Fuel consumption'!G$28  * VLOOKUP($B37,'A1.3.10'!$S$28:$AE$58,3,))))</f>
        <v>4.7289161124515615E-6</v>
      </c>
      <c r="L37" s="2486" t="str">
        <f>IF($B37&lt;'A1.3.10'!$S$28,"",IF($B37&gt;'A1.3.10'!$S$58,L36,IF(OR(VLOOKUP($B37,'A1.3.10'!$S$28:$AE$58,4,)="", 'Fuel consumption'!D$36=""),"",'Fuel consumption'!D$36 * VLOOKUP($B37,'A1.3.10'!$S$28:$AE$58,4,))))</f>
        <v/>
      </c>
      <c r="M37" s="2487">
        <f>IF($B37&lt;'A1.3.10'!$S$28,"",IF($B37&gt;'A1.3.10'!$S$58,M36,IF(OR(VLOOKUP($B37,'A1.3.10'!$S$28:$AE$58,4,)="", 'Fuel consumption'!E$36=""),"",'Fuel consumption'!E$36 * VLOOKUP($B37,'A1.3.10'!$S$28:$AE$58,4,))))</f>
        <v>0.14818979209153552</v>
      </c>
      <c r="N37" s="614" t="str">
        <f>IF($B37&lt;'A1.3.10'!$S$28,"",IF($B37&gt;'A1.3.10'!$S$58,N36,IF(OR(VLOOKUP($B37,'A1.3.10'!$S$28:$AE$58,4,)="", 'Fuel consumption'!F$36=""),"",'Fuel consumption'!F$36 * VLOOKUP($B37,'A1.3.10'!$S$28:$AE$58,4,))))</f>
        <v/>
      </c>
      <c r="O37" s="612" t="str">
        <f>IF($B37&lt;'A1.3.10'!$S$28,"",IF($B37&gt;'A1.3.10'!$S$58,O36,IF(OR(VLOOKUP($B37,'A1.3.10'!$S$28:$AE$58,4,)="", 'Fuel consumption'!G$36=""),"",'Fuel consumption'!G$36 * VLOOKUP($B37,'A1.3.10'!$S$28:$AE$58,4,))))</f>
        <v/>
      </c>
      <c r="P37" s="610">
        <f>IF($B37&lt;'A1.3.10'!$S$28,"",IF($B37&gt;'A1.3.10'!$S$58,P36,IF(OR(VLOOKUP($B37,'A1.3.10'!$S$28:$AE$58,5,)="",'Fuel consumption'!D$29=""),"",'Fuel consumption'!D$29 * VLOOKUP($B37,'A1.3.10'!$S$28:$AE$58,5,))))</f>
        <v>0.30824941133306694</v>
      </c>
      <c r="Q37" s="611">
        <f>IF($B37&lt;'A1.3.10'!$S$28,"",IF($B37&gt;'A1.3.10'!$S$58,Q36,IF(OR(VLOOKUP($B37,'A1.3.10'!$S$28:$AE$58,5,)="",'Fuel consumption'!E$29=""),"",'Fuel consumption'!E$29 * VLOOKUP($B37,'A1.3.10'!$S$28:$AE$58,5,))))</f>
        <v>0.17284842642268056</v>
      </c>
      <c r="R37" s="611">
        <f>IF($B37&lt;'A1.3.10'!$S$28,"",IF($B37&gt;'A1.3.10'!$S$58,R36,IF(OR(VLOOKUP($B37,'A1.3.10'!$S$28:$AE$58,5,)="",'Fuel consumption'!F$29=""),"",'Fuel consumption'!F$29 * VLOOKUP($B37,'A1.3.10'!$S$28:$AE$58,5,))))</f>
        <v>-2.7131529381007871E-3</v>
      </c>
      <c r="S37" s="2642">
        <f>IF($B37&lt;'A1.3.10'!$S$28,"",IF($B37&gt;'A1.3.10'!$S$58,S36,IF(OR(VLOOKUP($B37,'A1.3.10'!$S$28:$AE$58,5,)="",'Fuel consumption'!G$29=""),"",'Fuel consumption'!G$29 * VLOOKUP($B37,'A1.3.10'!$S$28:$AE$58,5,))))</f>
        <v>1.752164307113197E-5</v>
      </c>
      <c r="T37" s="610">
        <f>IF($B37&lt;'A1.3.10'!$S$28,"",IF($B37&gt;'A1.3.10'!$S$58,T36,IF(OR(VLOOKUP($B37,'A1.3.10'!$S$28:$AE$58,6,)="",'Fuel consumption'!D$30=""),"",'Fuel consumption'!D$30 * VLOOKUP($B37,'A1.3.10'!$S$28:$AE$58,6,))))</f>
        <v>0.4405843834350473</v>
      </c>
      <c r="U37" s="611">
        <f>IF($B37&lt;'A1.3.10'!$S$28,"",IF($B37&gt;'A1.3.10'!$S$58,U36,IF(OR(VLOOKUP($B37,'A1.3.10'!$S$28:$AE$58,6,)="",'Fuel consumption'!E$30=""),"",'Fuel consumption'!E$30 * VLOOKUP($B37,'A1.3.10'!$S$28:$AE$58,6,))))</f>
        <v>0.10768061883904181</v>
      </c>
      <c r="V37" s="611">
        <f>IF($B37&lt;'A1.3.10'!$S$28,"",IF($B37&gt;'A1.3.10'!$S$58,V36,IF(OR(VLOOKUP($B37,'A1.3.10'!$S$28:$AE$58,6,)="",'Fuel consumption'!F$30=""),"",'Fuel consumption'!F$30 * VLOOKUP($B37,'A1.3.10'!$S$28:$AE$58,6,))))</f>
        <v>-1.553488630139003E-3</v>
      </c>
      <c r="W37" s="2642">
        <f>IF($B37&lt;'A1.3.10'!$S$28,"",IF($B37&gt;'A1.3.10'!$S$58,W36,IF(OR(VLOOKUP($B37,'A1.3.10'!$S$28:$AE$58,6,)="",'Fuel consumption'!G$30=""),"",'Fuel consumption'!G$30 * VLOOKUP($B37,'A1.3.10'!$S$28:$AE$58,6,))))</f>
        <v>1.3151888908471351E-5</v>
      </c>
      <c r="X37" s="3144"/>
      <c r="Y37" s="2487">
        <f>IF($B37&lt;'A1.3.10'!$S$28,"",IF($B37&gt;'A1.3.10'!$S$58,Y36,IF(OR(VLOOKUP($B37,'A1.3.10'!$S$28:$AE$58,7,)="", 'Fuel consumption'!E$37=""),"",'Fuel consumption'!E$37 * VLOOKUP($B37,'A1.3.10'!$S$28:$AE$58,7,))))</f>
        <v>0.32272606766523354</v>
      </c>
      <c r="Z37" s="2642"/>
      <c r="AA37" s="2642"/>
      <c r="AB37" s="610">
        <f>IF($B37&lt;'A1.3.10'!$S$28,"",IF($B37&gt;'A1.3.10'!$S$58,AB36,IF(OR(VLOOKUP($B37,'A1.3.10'!$S$28:$AE$58,8,)="",'Fuel consumption'!D$31=""),"",'Fuel consumption'!D$31 * VLOOKUP($B37,'A1.3.10'!$S$28:$AE$58,8,))))</f>
        <v>2.6962848686626804</v>
      </c>
      <c r="AC37" s="611">
        <f>IF($B37&lt;'A1.3.10'!$S$28,"",IF($B37&gt;'A1.3.10'!$S$58,AC36,IF(OR(VLOOKUP($B37,'A1.3.10'!$S$28:$AE$58,8,)="",'Fuel consumption'!E$31=""),"",'Fuel consumption'!E$31 * VLOOKUP($B37,'A1.3.10'!$S$28:$AE$58,8,))))</f>
        <v>0.143057339771858</v>
      </c>
      <c r="AD37" s="611">
        <f>IF($B37&lt;'A1.3.10'!$S$28,"",IF($B37&gt;'A1.3.10'!$S$58,AD36,IF(OR(VLOOKUP($B37,'A1.3.10'!$S$28:$AE$58,8,)="",'Fuel consumption'!F$31=""),"",'Fuel consumption'!F$31 * VLOOKUP($B37,'A1.3.10'!$S$28:$AE$58,8,))))</f>
        <v>-1.0340193601785499E-3</v>
      </c>
      <c r="AE37" s="2642">
        <f>IF($B37&lt;'A1.3.10'!$S$28,"",IF($B37&gt;'A1.3.10'!$S$58,AE36,IF(OR(VLOOKUP($B37,'A1.3.10'!$S$28:$AE$58,8,)="",'Fuel consumption'!G$31=""),"",'Fuel consumption'!G$31 * VLOOKUP($B37,'A1.3.10'!$S$28:$AE$58,8,))))</f>
        <v>1.1293150500864199E-5</v>
      </c>
      <c r="AF37" s="610">
        <f>IF($B37&lt;'A1.3.10'!$S$28,"",IF($B37&gt;'A1.3.10'!$S$58,AF36,IF(OR(VLOOKUP($B37,'A1.3.10'!$S$28:$AE$58,10,)="",'Fuel consumption'!D$32=""),"",'Fuel consumption'!D$32 * VLOOKUP($B37,'A1.3.10'!$S$28:$AE$58,10,))))</f>
        <v>5.6655970981789903</v>
      </c>
      <c r="AG37" s="611">
        <f>IF($B37&lt;'A1.3.10'!$S$28,"",IF($B37&gt;'A1.3.10'!$S$58,AG36,IF(OR(VLOOKUP($B37,'A1.3.10'!$S$28:$AE$58,10,)="",'Fuel consumption'!E$32=""),"",'Fuel consumption'!E$32 * VLOOKUP($B37,'A1.3.10'!$S$28:$AE$58,10,))))</f>
        <v>0.29422449618924201</v>
      </c>
      <c r="AH37" s="611">
        <f>IF($B37&lt;'A1.3.10'!$S$28,"",IF($B37&gt;'A1.3.10'!$S$58,AH36,IF(OR(VLOOKUP($B37,'A1.3.10'!$S$28:$AE$58,10,)="",'Fuel consumption'!F$32=""),"",'Fuel consumption'!F$32 * VLOOKUP($B37,'A1.3.10'!$S$28:$AE$58,10,))))</f>
        <v>-1.9493920679616401E-3</v>
      </c>
      <c r="AI37" s="1578">
        <f>IF($B37&lt;'A1.3.10'!$S$28,"",IF($B37&gt;'A1.3.10'!$S$58,AI36,IF(OR(VLOOKUP($B37,'A1.3.10'!$S$28:$AE$58,10,)="",'Fuel consumption'!G$32=""),"",'Fuel consumption'!G$32 * VLOOKUP($B37,'A1.3.10'!$S$28:$AE$58,10,))))</f>
        <v>1.1619187345164999E-5</v>
      </c>
      <c r="AJ37" s="610">
        <f>IF($B37&lt;'A1.3.10'!$S$28,"",IF($B37&gt;'A1.3.10'!$S$58,AJ36,IF(OR(VLOOKUP($B37,'A1.3.10'!$S$28:$AE$58,12,)="",'Fuel consumption'!D$33=""),"",'Fuel consumption'!D$33 * VLOOKUP($B37,'A1.3.10'!$S$28:$AE$58,12,))))</f>
        <v>3.3601870156891001</v>
      </c>
      <c r="AK37" s="611">
        <f>IF($B37&lt;'A1.3.10'!$S$28,"",IF($B37&gt;'A1.3.10'!$S$58,AK36,IF(OR(VLOOKUP($B37,'A1.3.10'!$S$28:$AE$58,12,)="",'Fuel consumption'!E$33=""),"",'Fuel consumption'!E$33 * VLOOKUP($B37,'A1.3.10'!$S$28:$AE$58,12,))))</f>
        <v>0.29524938703213599</v>
      </c>
      <c r="AL37" s="611">
        <f>IF($B37&lt;'A1.3.10'!$S$28,"",IF($B37&gt;'A1.3.10'!$S$58,AL36,IF(OR(VLOOKUP($B37,'A1.3.10'!$S$28:$AE$58,12,)="",'Fuel consumption'!F$33=""),"",'Fuel consumption'!F$33 * VLOOKUP($B37,'A1.3.10'!$S$28:$AE$58,12,))))</f>
        <v>-3.20909768342738E-3</v>
      </c>
      <c r="AM37" s="1578">
        <f>IF($B37&lt;'A1.3.10'!$S$28,"",IF($B37&gt;'A1.3.10'!$S$58,AM36,IF(OR(VLOOKUP($B37,'A1.3.10'!$S$28:$AE$58,12,)="",'Fuel consumption'!G$33=""),"",'Fuel consumption'!G$33 * VLOOKUP($B37,'A1.3.10'!$S$28:$AE$58,12,))))</f>
        <v>2.3540043227716499E-5</v>
      </c>
    </row>
    <row r="38" spans="1:39" ht="13.5" customHeight="1">
      <c r="A38" s="623"/>
      <c r="B38" s="614">
        <f t="shared" si="1"/>
        <v>2022</v>
      </c>
      <c r="C38" s="609"/>
      <c r="D38" s="2484">
        <f>IF($B38&lt;'A1.3.10'!$S$28,"",IF($B38&gt;'A1.3.10'!$S$58,D37,IF(OR(VLOOKUP($B38,'A1.3.10'!$S$28:$AE$58,2,)="",'Fuel consumption'!D$27=""),"",'Fuel consumption'!D$27 * VLOOKUP($B38,'A1.3.10'!$S$28:$AE$58,2,))))</f>
        <v>0.38347076549568304</v>
      </c>
      <c r="E38" s="2485">
        <f>IF($B38&lt;'A1.3.10'!$S$28,"",IF($B38&gt;'A1.3.10'!$S$58,E37,IF(OR(VLOOKUP($B38,'A1.3.10'!$S$28:$AE$58,2,)="",'Fuel consumption'!E$27=""),"",'Fuel consumption'!E$27 * VLOOKUP($B38,'A1.3.10'!$S$28:$AE$58,2,))))</f>
        <v>8.1493757911920636E-2</v>
      </c>
      <c r="F38" s="2485">
        <f>IF($B38&lt;'A1.3.10'!$S$28,"",IF($B38&gt;'A1.3.10'!$S$58,F37,IF(OR(VLOOKUP($B38,'A1.3.10'!$S$28:$AE$58,2,)="",'Fuel consumption'!F$27=""),"",'Fuel consumption'!F$27 * VLOOKUP($B38,'A1.3.10'!$S$28:$AE$58,2,))))</f>
        <v>-9.2831054489833696E-4</v>
      </c>
      <c r="G38" s="2642">
        <f>IF($B38&lt;'A1.3.10'!$S$28,"",IF($B38&gt;'A1.3.10'!$S$58,G37,IF(OR(VLOOKUP($B38,'A1.3.10'!$S$28:$AE$58,2,)="",'Fuel consumption'!G$27=""),"",'Fuel consumption'!G$27 * VLOOKUP($B38,'A1.3.10'!$S$28:$AE$58,2,))))</f>
        <v>6.1481260457363452E-6</v>
      </c>
      <c r="H38" s="2486">
        <f>IF($B38&lt;'A1.3.10'!$S$28,"",IF($B38&gt;'A1.3.10'!$S$58,H37,IF(OR(VLOOKUP($B38,'A1.3.10'!$S$28:$AE$58,3,)="",'Fuel consumption'!D$28=""),"",'Fuel consumption'!D$28  * VLOOKUP($B38,'A1.3.10'!$S$28:$AE$58,3,))))</f>
        <v>0.42792327297425159</v>
      </c>
      <c r="I38" s="2487">
        <f>IF($B38&lt;'A1.3.10'!$S$28,"",IF($B38&gt;'A1.3.10'!$S$58,I37,IF(OR(VLOOKUP($B38,'A1.3.10'!$S$28:$AE$58,3,)="",'Fuel consumption'!E$28=""),"",'Fuel consumption'!E$28  * VLOOKUP($B38,'A1.3.10'!$S$28:$AE$58,3,))))</f>
        <v>6.1353614813998557E-2</v>
      </c>
      <c r="J38" s="2487">
        <f>IF($B38&lt;'A1.3.10'!$S$28,"",IF($B38&gt;'A1.3.10'!$S$58,J37,IF(OR(VLOOKUP($B38,'A1.3.10'!$S$28:$AE$58,3,)="",'Fuel consumption'!F$28=""),"",'Fuel consumption'!F$28  * VLOOKUP($B38,'A1.3.10'!$S$28:$AE$58,3,))))</f>
        <v>-5.9023886644201111E-4</v>
      </c>
      <c r="K38" s="2642">
        <f>IF($B38&lt;'A1.3.10'!$S$28,"",IF($B38&gt;'A1.3.10'!$S$58,K37,IF(OR(VLOOKUP($B38,'A1.3.10'!$S$28:$AE$58,3,)="",'Fuel consumption'!G$28=""),"",'Fuel consumption'!G$28  * VLOOKUP($B38,'A1.3.10'!$S$28:$AE$58,3,))))</f>
        <v>4.6511118802888562E-6</v>
      </c>
      <c r="L38" s="2486" t="str">
        <f>IF($B38&lt;'A1.3.10'!$S$28,"",IF($B38&gt;'A1.3.10'!$S$58,L37,IF(OR(VLOOKUP($B38,'A1.3.10'!$S$28:$AE$58,4,)="", 'Fuel consumption'!D$36=""),"",'Fuel consumption'!D$36 * VLOOKUP($B38,'A1.3.10'!$S$28:$AE$58,4,))))</f>
        <v/>
      </c>
      <c r="M38" s="2487">
        <f>IF($B38&lt;'A1.3.10'!$S$28,"",IF($B38&gt;'A1.3.10'!$S$58,M37,IF(OR(VLOOKUP($B38,'A1.3.10'!$S$28:$AE$58,4,)="", 'Fuel consumption'!E$36=""),"",'Fuel consumption'!E$36 * VLOOKUP($B38,'A1.3.10'!$S$28:$AE$58,4,))))</f>
        <v>0.14732766195498542</v>
      </c>
      <c r="N38" s="614" t="str">
        <f>IF($B38&lt;'A1.3.10'!$S$28,"",IF($B38&gt;'A1.3.10'!$S$58,N37,IF(OR(VLOOKUP($B38,'A1.3.10'!$S$28:$AE$58,4,)="", 'Fuel consumption'!F$36=""),"",'Fuel consumption'!F$36 * VLOOKUP($B38,'A1.3.10'!$S$28:$AE$58,4,))))</f>
        <v/>
      </c>
      <c r="O38" s="612" t="str">
        <f>IF($B38&lt;'A1.3.10'!$S$28,"",IF($B38&gt;'A1.3.10'!$S$58,O37,IF(OR(VLOOKUP($B38,'A1.3.10'!$S$28:$AE$58,4,)="", 'Fuel consumption'!G$36=""),"",'Fuel consumption'!G$36 * VLOOKUP($B38,'A1.3.10'!$S$28:$AE$58,4,))))</f>
        <v/>
      </c>
      <c r="P38" s="610">
        <f>IF($B38&lt;'A1.3.10'!$S$28,"",IF($B38&gt;'A1.3.10'!$S$58,P37,IF(OR(VLOOKUP($B38,'A1.3.10'!$S$28:$AE$58,5,)="",'Fuel consumption'!D$29=""),"",'Fuel consumption'!D$29 * VLOOKUP($B38,'A1.3.10'!$S$28:$AE$58,5,))))</f>
        <v>0.30079491906925376</v>
      </c>
      <c r="Q38" s="611">
        <f>IF($B38&lt;'A1.3.10'!$S$28,"",IF($B38&gt;'A1.3.10'!$S$58,Q37,IF(OR(VLOOKUP($B38,'A1.3.10'!$S$28:$AE$58,5,)="",'Fuel consumption'!E$29=""),"",'Fuel consumption'!E$29 * VLOOKUP($B38,'A1.3.10'!$S$28:$AE$58,5,))))</f>
        <v>0.16866837867495615</v>
      </c>
      <c r="R38" s="611">
        <f>IF($B38&lt;'A1.3.10'!$S$28,"",IF($B38&gt;'A1.3.10'!$S$58,R37,IF(OR(VLOOKUP($B38,'A1.3.10'!$S$28:$AE$58,5,)="",'Fuel consumption'!F$29=""),"",'Fuel consumption'!F$29 * VLOOKUP($B38,'A1.3.10'!$S$28:$AE$58,5,))))</f>
        <v>-2.6475399090275186E-3</v>
      </c>
      <c r="S38" s="2642">
        <f>IF($B38&lt;'A1.3.10'!$S$28,"",IF($B38&gt;'A1.3.10'!$S$58,S37,IF(OR(VLOOKUP($B38,'A1.3.10'!$S$28:$AE$58,5,)="",'Fuel consumption'!G$29=""),"",'Fuel consumption'!G$29 * VLOOKUP($B38,'A1.3.10'!$S$28:$AE$58,5,))))</f>
        <v>1.70979116772643E-5</v>
      </c>
      <c r="T38" s="610">
        <f>IF($B38&lt;'A1.3.10'!$S$28,"",IF($B38&gt;'A1.3.10'!$S$58,T37,IF(OR(VLOOKUP($B38,'A1.3.10'!$S$28:$AE$58,6,)="",'Fuel consumption'!D$30=""),"",'Fuel consumption'!D$30 * VLOOKUP($B38,'A1.3.10'!$S$28:$AE$58,6,))))</f>
        <v>0.43401728138081413</v>
      </c>
      <c r="U38" s="611">
        <f>IF($B38&lt;'A1.3.10'!$S$28,"",IF($B38&gt;'A1.3.10'!$S$58,U37,IF(OR(VLOOKUP($B38,'A1.3.10'!$S$28:$AE$58,6,)="",'Fuel consumption'!E$30=""),"",'Fuel consumption'!E$30 * VLOOKUP($B38,'A1.3.10'!$S$28:$AE$58,6,))))</f>
        <v>0.10607559233386786</v>
      </c>
      <c r="V38" s="611">
        <f>IF($B38&lt;'A1.3.10'!$S$28,"",IF($B38&gt;'A1.3.10'!$S$58,V37,IF(OR(VLOOKUP($B38,'A1.3.10'!$S$28:$AE$58,6,)="",'Fuel consumption'!F$30=""),"",'Fuel consumption'!F$30 * VLOOKUP($B38,'A1.3.10'!$S$28:$AE$58,6,))))</f>
        <v>-1.5303332057576987E-3</v>
      </c>
      <c r="W38" s="2642">
        <f>IF($B38&lt;'A1.3.10'!$S$28,"",IF($B38&gt;'A1.3.10'!$S$58,W37,IF(OR(VLOOKUP($B38,'A1.3.10'!$S$28:$AE$58,6,)="",'Fuel consumption'!G$30=""),"",'Fuel consumption'!G$30 * VLOOKUP($B38,'A1.3.10'!$S$28:$AE$58,6,))))</f>
        <v>1.2955854278295673E-5</v>
      </c>
      <c r="X38" s="3144"/>
      <c r="Y38" s="2487">
        <f>IF($B38&lt;'A1.3.10'!$S$28,"",IF($B38&gt;'A1.3.10'!$S$58,Y37,IF(OR(VLOOKUP($B38,'A1.3.10'!$S$28:$AE$58,7,)="", 'Fuel consumption'!E$37=""),"",'Fuel consumption'!E$37 * VLOOKUP($B38,'A1.3.10'!$S$28:$AE$58,7,))))</f>
        <v>0.31366331876858466</v>
      </c>
      <c r="Z38" s="2642"/>
      <c r="AA38" s="2642"/>
      <c r="AB38" s="610">
        <f>IF($B38&lt;'A1.3.10'!$S$28,"",IF($B38&gt;'A1.3.10'!$S$58,AB37,IF(OR(VLOOKUP($B38,'A1.3.10'!$S$28:$AE$58,8,)="",'Fuel consumption'!D$31=""),"",'Fuel consumption'!D$31 * VLOOKUP($B38,'A1.3.10'!$S$28:$AE$58,8,))))</f>
        <v>2.6962848686626804</v>
      </c>
      <c r="AC38" s="611">
        <f>IF($B38&lt;'A1.3.10'!$S$28,"",IF($B38&gt;'A1.3.10'!$S$58,AC37,IF(OR(VLOOKUP($B38,'A1.3.10'!$S$28:$AE$58,8,)="",'Fuel consumption'!E$31=""),"",'Fuel consumption'!E$31 * VLOOKUP($B38,'A1.3.10'!$S$28:$AE$58,8,))))</f>
        <v>0.143057339771858</v>
      </c>
      <c r="AD38" s="611">
        <f>IF($B38&lt;'A1.3.10'!$S$28,"",IF($B38&gt;'A1.3.10'!$S$58,AD37,IF(OR(VLOOKUP($B38,'A1.3.10'!$S$28:$AE$58,8,)="",'Fuel consumption'!F$31=""),"",'Fuel consumption'!F$31 * VLOOKUP($B38,'A1.3.10'!$S$28:$AE$58,8,))))</f>
        <v>-1.0340193601785499E-3</v>
      </c>
      <c r="AE38" s="2642">
        <f>IF($B38&lt;'A1.3.10'!$S$28,"",IF($B38&gt;'A1.3.10'!$S$58,AE37,IF(OR(VLOOKUP($B38,'A1.3.10'!$S$28:$AE$58,8,)="",'Fuel consumption'!G$31=""),"",'Fuel consumption'!G$31 * VLOOKUP($B38,'A1.3.10'!$S$28:$AE$58,8,))))</f>
        <v>1.1293150500864199E-5</v>
      </c>
      <c r="AF38" s="610">
        <f>IF($B38&lt;'A1.3.10'!$S$28,"",IF($B38&gt;'A1.3.10'!$S$58,AF37,IF(OR(VLOOKUP($B38,'A1.3.10'!$S$28:$AE$58,10,)="",'Fuel consumption'!D$32=""),"",'Fuel consumption'!D$32 * VLOOKUP($B38,'A1.3.10'!$S$28:$AE$58,10,))))</f>
        <v>5.6655970981789903</v>
      </c>
      <c r="AG38" s="611">
        <f>IF($B38&lt;'A1.3.10'!$S$28,"",IF($B38&gt;'A1.3.10'!$S$58,AG37,IF(OR(VLOOKUP($B38,'A1.3.10'!$S$28:$AE$58,10,)="",'Fuel consumption'!E$32=""),"",'Fuel consumption'!E$32 * VLOOKUP($B38,'A1.3.10'!$S$28:$AE$58,10,))))</f>
        <v>0.29422449618924201</v>
      </c>
      <c r="AH38" s="611">
        <f>IF($B38&lt;'A1.3.10'!$S$28,"",IF($B38&gt;'A1.3.10'!$S$58,AH37,IF(OR(VLOOKUP($B38,'A1.3.10'!$S$28:$AE$58,10,)="",'Fuel consumption'!F$32=""),"",'Fuel consumption'!F$32 * VLOOKUP($B38,'A1.3.10'!$S$28:$AE$58,10,))))</f>
        <v>-1.9493920679616401E-3</v>
      </c>
      <c r="AI38" s="1578">
        <f>IF($B38&lt;'A1.3.10'!$S$28,"",IF($B38&gt;'A1.3.10'!$S$58,AI37,IF(OR(VLOOKUP($B38,'A1.3.10'!$S$28:$AE$58,10,)="",'Fuel consumption'!G$32=""),"",'Fuel consumption'!G$32 * VLOOKUP($B38,'A1.3.10'!$S$28:$AE$58,10,))))</f>
        <v>1.1619187345164999E-5</v>
      </c>
      <c r="AJ38" s="610">
        <f>IF($B38&lt;'A1.3.10'!$S$28,"",IF($B38&gt;'A1.3.10'!$S$58,AJ37,IF(OR(VLOOKUP($B38,'A1.3.10'!$S$28:$AE$58,12,)="",'Fuel consumption'!D$33=""),"",'Fuel consumption'!D$33 * VLOOKUP($B38,'A1.3.10'!$S$28:$AE$58,12,))))</f>
        <v>3.3601870156891001</v>
      </c>
      <c r="AK38" s="611">
        <f>IF($B38&lt;'A1.3.10'!$S$28,"",IF($B38&gt;'A1.3.10'!$S$58,AK37,IF(OR(VLOOKUP($B38,'A1.3.10'!$S$28:$AE$58,12,)="",'Fuel consumption'!E$33=""),"",'Fuel consumption'!E$33 * VLOOKUP($B38,'A1.3.10'!$S$28:$AE$58,12,))))</f>
        <v>0.29524938703213599</v>
      </c>
      <c r="AL38" s="611">
        <f>IF($B38&lt;'A1.3.10'!$S$28,"",IF($B38&gt;'A1.3.10'!$S$58,AL37,IF(OR(VLOOKUP($B38,'A1.3.10'!$S$28:$AE$58,12,)="",'Fuel consumption'!F$33=""),"",'Fuel consumption'!F$33 * VLOOKUP($B38,'A1.3.10'!$S$28:$AE$58,12,))))</f>
        <v>-3.20909768342738E-3</v>
      </c>
      <c r="AM38" s="1578">
        <f>IF($B38&lt;'A1.3.10'!$S$28,"",IF($B38&gt;'A1.3.10'!$S$58,AM37,IF(OR(VLOOKUP($B38,'A1.3.10'!$S$28:$AE$58,12,)="",'Fuel consumption'!G$33=""),"",'Fuel consumption'!G$33 * VLOOKUP($B38,'A1.3.10'!$S$28:$AE$58,12,))))</f>
        <v>2.3540043227716499E-5</v>
      </c>
    </row>
    <row r="39" spans="1:39" ht="13.5" customHeight="1">
      <c r="A39" s="623"/>
      <c r="B39" s="614">
        <f t="shared" si="1"/>
        <v>2023</v>
      </c>
      <c r="C39" s="609"/>
      <c r="D39" s="2484">
        <f>IF($B39&lt;'A1.3.10'!$S$28,"",IF($B39&gt;'A1.3.10'!$S$58,D38,IF(OR(VLOOKUP($B39,'A1.3.10'!$S$28:$AE$58,2,)="",'Fuel consumption'!D$27=""),"",'Fuel consumption'!D$27 * VLOOKUP($B39,'A1.3.10'!$S$28:$AE$58,2,))))</f>
        <v>0.37474982669184331</v>
      </c>
      <c r="E39" s="2485">
        <f>IF($B39&lt;'A1.3.10'!$S$28,"",IF($B39&gt;'A1.3.10'!$S$58,E38,IF(OR(VLOOKUP($B39,'A1.3.10'!$S$28:$AE$58,2,)="",'Fuel consumption'!E$27=""),"",'Fuel consumption'!E$27 * VLOOKUP($B39,'A1.3.10'!$S$28:$AE$58,2,))))</f>
        <v>7.964041695455687E-2</v>
      </c>
      <c r="F39" s="2485">
        <f>IF($B39&lt;'A1.3.10'!$S$28,"",IF($B39&gt;'A1.3.10'!$S$58,F38,IF(OR(VLOOKUP($B39,'A1.3.10'!$S$28:$AE$58,2,)="",'Fuel consumption'!F$27=""),"",'Fuel consumption'!F$27 * VLOOKUP($B39,'A1.3.10'!$S$28:$AE$58,2,))))</f>
        <v>-9.0719879354343833E-4</v>
      </c>
      <c r="G39" s="2642">
        <f>IF($B39&lt;'A1.3.10'!$S$28,"",IF($B39&gt;'A1.3.10'!$S$58,G38,IF(OR(VLOOKUP($B39,'A1.3.10'!$S$28:$AE$58,2,)="",'Fuel consumption'!G$27=""),"",'Fuel consumption'!G$27 * VLOOKUP($B39,'A1.3.10'!$S$28:$AE$58,2,))))</f>
        <v>6.0083046151929965E-6</v>
      </c>
      <c r="H39" s="2486">
        <f>IF($B39&lt;'A1.3.10'!$S$28,"",IF($B39&gt;'A1.3.10'!$S$58,H38,IF(OR(VLOOKUP($B39,'A1.3.10'!$S$28:$AE$58,3,)="",'Fuel consumption'!D$28=""),"",'Fuel consumption'!D$28  * VLOOKUP($B39,'A1.3.10'!$S$28:$AE$58,3,))))</f>
        <v>0.42235385524384339</v>
      </c>
      <c r="I39" s="2487">
        <f>IF($B39&lt;'A1.3.10'!$S$28,"",IF($B39&gt;'A1.3.10'!$S$58,I38,IF(OR(VLOOKUP($B39,'A1.3.10'!$S$28:$AE$58,3,)="",'Fuel consumption'!E$28=""),"",'Fuel consumption'!E$28  * VLOOKUP($B39,'A1.3.10'!$S$28:$AE$58,3,))))</f>
        <v>6.0555098043001902E-2</v>
      </c>
      <c r="J39" s="2487">
        <f>IF($B39&lt;'A1.3.10'!$S$28,"",IF($B39&gt;'A1.3.10'!$S$58,J38,IF(OR(VLOOKUP($B39,'A1.3.10'!$S$28:$AE$58,3,)="",'Fuel consumption'!F$28=""),"",'Fuel consumption'!F$28  * VLOOKUP($B39,'A1.3.10'!$S$28:$AE$58,3,))))</f>
        <v>-5.8255691265368334E-4</v>
      </c>
      <c r="K39" s="2642">
        <f>IF($B39&lt;'A1.3.10'!$S$28,"",IF($B39&gt;'A1.3.10'!$S$58,K38,IF(OR(VLOOKUP($B39,'A1.3.10'!$S$28:$AE$58,3,)="",'Fuel consumption'!G$28=""),"",'Fuel consumption'!G$28  * VLOOKUP($B39,'A1.3.10'!$S$28:$AE$58,3,))))</f>
        <v>4.5905776990274611E-6</v>
      </c>
      <c r="L39" s="2486" t="str">
        <f>IF($B39&lt;'A1.3.10'!$S$28,"",IF($B39&gt;'A1.3.10'!$S$58,L38,IF(OR(VLOOKUP($B39,'A1.3.10'!$S$28:$AE$58,4,)="", 'Fuel consumption'!D$36=""),"",'Fuel consumption'!D$36 * VLOOKUP($B39,'A1.3.10'!$S$28:$AE$58,4,))))</f>
        <v/>
      </c>
      <c r="M39" s="2487">
        <f>IF($B39&lt;'A1.3.10'!$S$28,"",IF($B39&gt;'A1.3.10'!$S$58,M38,IF(OR(VLOOKUP($B39,'A1.3.10'!$S$28:$AE$58,4,)="", 'Fuel consumption'!E$36=""),"",'Fuel consumption'!E$36 * VLOOKUP($B39,'A1.3.10'!$S$28:$AE$58,4,))))</f>
        <v>0.14632834521270321</v>
      </c>
      <c r="N39" s="614" t="str">
        <f>IF($B39&lt;'A1.3.10'!$S$28,"",IF($B39&gt;'A1.3.10'!$S$58,N38,IF(OR(VLOOKUP($B39,'A1.3.10'!$S$28:$AE$58,4,)="", 'Fuel consumption'!F$36=""),"",'Fuel consumption'!F$36 * VLOOKUP($B39,'A1.3.10'!$S$28:$AE$58,4,))))</f>
        <v/>
      </c>
      <c r="O39" s="612" t="str">
        <f>IF($B39&lt;'A1.3.10'!$S$28,"",IF($B39&gt;'A1.3.10'!$S$58,O38,IF(OR(VLOOKUP($B39,'A1.3.10'!$S$28:$AE$58,4,)="", 'Fuel consumption'!G$36=""),"",'Fuel consumption'!G$36 * VLOOKUP($B39,'A1.3.10'!$S$28:$AE$58,4,))))</f>
        <v/>
      </c>
      <c r="P39" s="610">
        <f>IF($B39&lt;'A1.3.10'!$S$28,"",IF($B39&gt;'A1.3.10'!$S$58,P38,IF(OR(VLOOKUP($B39,'A1.3.10'!$S$28:$AE$58,5,)="",'Fuel consumption'!D$29=""),"",'Fuel consumption'!D$29 * VLOOKUP($B39,'A1.3.10'!$S$28:$AE$58,5,))))</f>
        <v>0.29371806763077529</v>
      </c>
      <c r="Q39" s="611">
        <f>IF($B39&lt;'A1.3.10'!$S$28,"",IF($B39&gt;'A1.3.10'!$S$58,Q38,IF(OR(VLOOKUP($B39,'A1.3.10'!$S$28:$AE$58,5,)="",'Fuel consumption'!E$29=""),"",'Fuel consumption'!E$29 * VLOOKUP($B39,'A1.3.10'!$S$28:$AE$58,5,))))</f>
        <v>0.1647000900418065</v>
      </c>
      <c r="R39" s="611">
        <f>IF($B39&lt;'A1.3.10'!$S$28,"",IF($B39&gt;'A1.3.10'!$S$58,R38,IF(OR(VLOOKUP($B39,'A1.3.10'!$S$28:$AE$58,5,)="",'Fuel consumption'!F$29=""),"",'Fuel consumption'!F$29 * VLOOKUP($B39,'A1.3.10'!$S$28:$AE$58,5,))))</f>
        <v>-2.5852508029761069E-3</v>
      </c>
      <c r="S39" s="2642">
        <f>IF($B39&lt;'A1.3.10'!$S$28,"",IF($B39&gt;'A1.3.10'!$S$58,S38,IF(OR(VLOOKUP($B39,'A1.3.10'!$S$28:$AE$58,5,)="",'Fuel consumption'!G$29=""),"",'Fuel consumption'!G$29 * VLOOKUP($B39,'A1.3.10'!$S$28:$AE$58,5,))))</f>
        <v>1.6695646302494563E-5</v>
      </c>
      <c r="T39" s="610">
        <f>IF($B39&lt;'A1.3.10'!$S$28,"",IF($B39&gt;'A1.3.10'!$S$58,T38,IF(OR(VLOOKUP($B39,'A1.3.10'!$S$28:$AE$58,6,)="",'Fuel consumption'!D$30=""),"",'Fuel consumption'!D$30 * VLOOKUP($B39,'A1.3.10'!$S$28:$AE$58,6,))))</f>
        <v>0.42845769847892506</v>
      </c>
      <c r="U39" s="611">
        <f>IF($B39&lt;'A1.3.10'!$S$28,"",IF($B39&gt;'A1.3.10'!$S$58,U38,IF(OR(VLOOKUP($B39,'A1.3.10'!$S$28:$AE$58,6,)="",'Fuel consumption'!E$30=""),"",'Fuel consumption'!E$30 * VLOOKUP($B39,'A1.3.10'!$S$28:$AE$58,6,))))</f>
        <v>0.10471680761550159</v>
      </c>
      <c r="V39" s="611">
        <f>IF($B39&lt;'A1.3.10'!$S$28,"",IF($B39&gt;'A1.3.10'!$S$58,V38,IF(OR(VLOOKUP($B39,'A1.3.10'!$S$28:$AE$58,6,)="",'Fuel consumption'!F$30=""),"",'Fuel consumption'!F$30 * VLOOKUP($B39,'A1.3.10'!$S$28:$AE$58,6,))))</f>
        <v>-1.5107302666815046E-3</v>
      </c>
      <c r="W39" s="2642">
        <f>IF($B39&lt;'A1.3.10'!$S$28,"",IF($B39&gt;'A1.3.10'!$S$58,W38,IF(OR(VLOOKUP($B39,'A1.3.10'!$S$28:$AE$58,6,)="",'Fuel consumption'!G$30=""),"",'Fuel consumption'!G$30 * VLOOKUP($B39,'A1.3.10'!$S$28:$AE$58,6,))))</f>
        <v>1.2789895112578077E-5</v>
      </c>
      <c r="X39" s="3144"/>
      <c r="Y39" s="2487">
        <f>IF($B39&lt;'A1.3.10'!$S$28,"",IF($B39&gt;'A1.3.10'!$S$58,Y38,IF(OR(VLOOKUP($B39,'A1.3.10'!$S$28:$AE$58,7,)="", 'Fuel consumption'!E$37=""),"",'Fuel consumption'!E$37 * VLOOKUP($B39,'A1.3.10'!$S$28:$AE$58,7,))))</f>
        <v>0.30552500078263595</v>
      </c>
      <c r="Z39" s="2642"/>
      <c r="AA39" s="2642"/>
      <c r="AB39" s="610">
        <f>IF($B39&lt;'A1.3.10'!$S$28,"",IF($B39&gt;'A1.3.10'!$S$58,AB38,IF(OR(VLOOKUP($B39,'A1.3.10'!$S$28:$AE$58,8,)="",'Fuel consumption'!D$31=""),"",'Fuel consumption'!D$31 * VLOOKUP($B39,'A1.3.10'!$S$28:$AE$58,8,))))</f>
        <v>2.6962848686626804</v>
      </c>
      <c r="AC39" s="611">
        <f>IF($B39&lt;'A1.3.10'!$S$28,"",IF($B39&gt;'A1.3.10'!$S$58,AC38,IF(OR(VLOOKUP($B39,'A1.3.10'!$S$28:$AE$58,8,)="",'Fuel consumption'!E$31=""),"",'Fuel consumption'!E$31 * VLOOKUP($B39,'A1.3.10'!$S$28:$AE$58,8,))))</f>
        <v>0.143057339771858</v>
      </c>
      <c r="AD39" s="611">
        <f>IF($B39&lt;'A1.3.10'!$S$28,"",IF($B39&gt;'A1.3.10'!$S$58,AD38,IF(OR(VLOOKUP($B39,'A1.3.10'!$S$28:$AE$58,8,)="",'Fuel consumption'!F$31=""),"",'Fuel consumption'!F$31 * VLOOKUP($B39,'A1.3.10'!$S$28:$AE$58,8,))))</f>
        <v>-1.0340193601785499E-3</v>
      </c>
      <c r="AE39" s="2642">
        <f>IF($B39&lt;'A1.3.10'!$S$28,"",IF($B39&gt;'A1.3.10'!$S$58,AE38,IF(OR(VLOOKUP($B39,'A1.3.10'!$S$28:$AE$58,8,)="",'Fuel consumption'!G$31=""),"",'Fuel consumption'!G$31 * VLOOKUP($B39,'A1.3.10'!$S$28:$AE$58,8,))))</f>
        <v>1.1293150500864199E-5</v>
      </c>
      <c r="AF39" s="610">
        <f>IF($B39&lt;'A1.3.10'!$S$28,"",IF($B39&gt;'A1.3.10'!$S$58,AF38,IF(OR(VLOOKUP($B39,'A1.3.10'!$S$28:$AE$58,10,)="",'Fuel consumption'!D$32=""),"",'Fuel consumption'!D$32 * VLOOKUP($B39,'A1.3.10'!$S$28:$AE$58,10,))))</f>
        <v>5.6655970981789903</v>
      </c>
      <c r="AG39" s="611">
        <f>IF($B39&lt;'A1.3.10'!$S$28,"",IF($B39&gt;'A1.3.10'!$S$58,AG38,IF(OR(VLOOKUP($B39,'A1.3.10'!$S$28:$AE$58,10,)="",'Fuel consumption'!E$32=""),"",'Fuel consumption'!E$32 * VLOOKUP($B39,'A1.3.10'!$S$28:$AE$58,10,))))</f>
        <v>0.29422449618924201</v>
      </c>
      <c r="AH39" s="611">
        <f>IF($B39&lt;'A1.3.10'!$S$28,"",IF($B39&gt;'A1.3.10'!$S$58,AH38,IF(OR(VLOOKUP($B39,'A1.3.10'!$S$28:$AE$58,10,)="",'Fuel consumption'!F$32=""),"",'Fuel consumption'!F$32 * VLOOKUP($B39,'A1.3.10'!$S$28:$AE$58,10,))))</f>
        <v>-1.9493920679616401E-3</v>
      </c>
      <c r="AI39" s="1578">
        <f>IF($B39&lt;'A1.3.10'!$S$28,"",IF($B39&gt;'A1.3.10'!$S$58,AI38,IF(OR(VLOOKUP($B39,'A1.3.10'!$S$28:$AE$58,10,)="",'Fuel consumption'!G$32=""),"",'Fuel consumption'!G$32 * VLOOKUP($B39,'A1.3.10'!$S$28:$AE$58,10,))))</f>
        <v>1.1619187345164999E-5</v>
      </c>
      <c r="AJ39" s="610">
        <f>IF($B39&lt;'A1.3.10'!$S$28,"",IF($B39&gt;'A1.3.10'!$S$58,AJ38,IF(OR(VLOOKUP($B39,'A1.3.10'!$S$28:$AE$58,12,)="",'Fuel consumption'!D$33=""),"",'Fuel consumption'!D$33 * VLOOKUP($B39,'A1.3.10'!$S$28:$AE$58,12,))))</f>
        <v>3.3601870156891001</v>
      </c>
      <c r="AK39" s="611">
        <f>IF($B39&lt;'A1.3.10'!$S$28,"",IF($B39&gt;'A1.3.10'!$S$58,AK38,IF(OR(VLOOKUP($B39,'A1.3.10'!$S$28:$AE$58,12,)="",'Fuel consumption'!E$33=""),"",'Fuel consumption'!E$33 * VLOOKUP($B39,'A1.3.10'!$S$28:$AE$58,12,))))</f>
        <v>0.29524938703213599</v>
      </c>
      <c r="AL39" s="611">
        <f>IF($B39&lt;'A1.3.10'!$S$28,"",IF($B39&gt;'A1.3.10'!$S$58,AL38,IF(OR(VLOOKUP($B39,'A1.3.10'!$S$28:$AE$58,12,)="",'Fuel consumption'!F$33=""),"",'Fuel consumption'!F$33 * VLOOKUP($B39,'A1.3.10'!$S$28:$AE$58,12,))))</f>
        <v>-3.20909768342738E-3</v>
      </c>
      <c r="AM39" s="1578">
        <f>IF($B39&lt;'A1.3.10'!$S$28,"",IF($B39&gt;'A1.3.10'!$S$58,AM38,IF(OR(VLOOKUP($B39,'A1.3.10'!$S$28:$AE$58,12,)="",'Fuel consumption'!G$33=""),"",'Fuel consumption'!G$33 * VLOOKUP($B39,'A1.3.10'!$S$28:$AE$58,12,))))</f>
        <v>2.3540043227716499E-5</v>
      </c>
    </row>
    <row r="40" spans="1:39" ht="13.5" customHeight="1">
      <c r="A40" s="623"/>
      <c r="B40" s="614">
        <f t="shared" si="1"/>
        <v>2024</v>
      </c>
      <c r="C40" s="609"/>
      <c r="D40" s="2484">
        <f>IF($B40&lt;'A1.3.10'!$S$28,"",IF($B40&gt;'A1.3.10'!$S$58,D39,IF(OR(VLOOKUP($B40,'A1.3.10'!$S$28:$AE$58,2,)="",'Fuel consumption'!D$27=""),"",'Fuel consumption'!D$27 * VLOOKUP($B40,'A1.3.10'!$S$28:$AE$58,2,))))</f>
        <v>0.36675504166208522</v>
      </c>
      <c r="E40" s="2485">
        <f>IF($B40&lt;'A1.3.10'!$S$28,"",IF($B40&gt;'A1.3.10'!$S$58,E39,IF(OR(VLOOKUP($B40,'A1.3.10'!$S$28:$AE$58,2,)="",'Fuel consumption'!E$27=""),"",'Fuel consumption'!E$27 * VLOOKUP($B40,'A1.3.10'!$S$28:$AE$58,2,))))</f>
        <v>7.7941395453059156E-2</v>
      </c>
      <c r="F40" s="2485">
        <f>IF($B40&lt;'A1.3.10'!$S$28,"",IF($B40&gt;'A1.3.10'!$S$58,F39,IF(OR(VLOOKUP($B40,'A1.3.10'!$S$28:$AE$58,2,)="",'Fuel consumption'!F$27=""),"",'Fuel consumption'!F$27 * VLOOKUP($B40,'A1.3.10'!$S$28:$AE$58,2,))))</f>
        <v>-8.8784492379608904E-4</v>
      </c>
      <c r="G40" s="2642">
        <f>IF($B40&lt;'A1.3.10'!$S$28,"",IF($B40&gt;'A1.3.10'!$S$58,G39,IF(OR(VLOOKUP($B40,'A1.3.10'!$S$28:$AE$58,2,)="",'Fuel consumption'!G$27=""),"",'Fuel consumption'!G$27 * VLOOKUP($B40,'A1.3.10'!$S$28:$AE$58,2,))))</f>
        <v>5.8801254930949074E-6</v>
      </c>
      <c r="H40" s="2486">
        <f>IF($B40&lt;'A1.3.10'!$S$28,"",IF($B40&gt;'A1.3.10'!$S$58,H39,IF(OR(VLOOKUP($B40,'A1.3.10'!$S$28:$AE$58,3,)="",'Fuel consumption'!D$28=""),"",'Fuel consumption'!D$28  * VLOOKUP($B40,'A1.3.10'!$S$28:$AE$58,3,))))</f>
        <v>0.4171294830617619</v>
      </c>
      <c r="I40" s="2487">
        <f>IF($B40&lt;'A1.3.10'!$S$28,"",IF($B40&gt;'A1.3.10'!$S$58,I39,IF(OR(VLOOKUP($B40,'A1.3.10'!$S$28:$AE$58,3,)="",'Fuel consumption'!E$28=""),"",'Fuel consumption'!E$28  * VLOOKUP($B40,'A1.3.10'!$S$28:$AE$58,3,))))</f>
        <v>5.980605227066859E-2</v>
      </c>
      <c r="J40" s="2487">
        <f>IF($B40&lt;'A1.3.10'!$S$28,"",IF($B40&gt;'A1.3.10'!$S$58,J39,IF(OR(VLOOKUP($B40,'A1.3.10'!$S$28:$AE$58,3,)="",'Fuel consumption'!F$28=""),"",'Fuel consumption'!F$28  * VLOOKUP($B40,'A1.3.10'!$S$28:$AE$58,3,))))</f>
        <v>-5.7535088365416099E-4</v>
      </c>
      <c r="K40" s="2642">
        <f>IF($B40&lt;'A1.3.10'!$S$28,"",IF($B40&gt;'A1.3.10'!$S$58,K39,IF(OR(VLOOKUP($B40,'A1.3.10'!$S$28:$AE$58,3,)="",'Fuel consumption'!G$28=""),"",'Fuel consumption'!G$28  * VLOOKUP($B40,'A1.3.10'!$S$28:$AE$58,3,))))</f>
        <v>4.5337938289793553E-6</v>
      </c>
      <c r="L40" s="2486" t="str">
        <f>IF($B40&lt;'A1.3.10'!$S$28,"",IF($B40&gt;'A1.3.10'!$S$58,L39,IF(OR(VLOOKUP($B40,'A1.3.10'!$S$28:$AE$58,4,)="", 'Fuel consumption'!D$36=""),"",'Fuel consumption'!D$36 * VLOOKUP($B40,'A1.3.10'!$S$28:$AE$58,4,))))</f>
        <v/>
      </c>
      <c r="M40" s="2487">
        <f>IF($B40&lt;'A1.3.10'!$S$28,"",IF($B40&gt;'A1.3.10'!$S$58,M39,IF(OR(VLOOKUP($B40,'A1.3.10'!$S$28:$AE$58,4,)="", 'Fuel consumption'!E$36=""),"",'Fuel consumption'!E$36 * VLOOKUP($B40,'A1.3.10'!$S$28:$AE$58,4,))))</f>
        <v>0.14520721861489844</v>
      </c>
      <c r="N40" s="614" t="str">
        <f>IF($B40&lt;'A1.3.10'!$S$28,"",IF($B40&gt;'A1.3.10'!$S$58,N39,IF(OR(VLOOKUP($B40,'A1.3.10'!$S$28:$AE$58,4,)="", 'Fuel consumption'!F$36=""),"",'Fuel consumption'!F$36 * VLOOKUP($B40,'A1.3.10'!$S$28:$AE$58,4,))))</f>
        <v/>
      </c>
      <c r="O40" s="612" t="str">
        <f>IF($B40&lt;'A1.3.10'!$S$28,"",IF($B40&gt;'A1.3.10'!$S$58,O39,IF(OR(VLOOKUP($B40,'A1.3.10'!$S$28:$AE$58,4,)="", 'Fuel consumption'!G$36=""),"",'Fuel consumption'!G$36 * VLOOKUP($B40,'A1.3.10'!$S$28:$AE$58,4,))))</f>
        <v/>
      </c>
      <c r="P40" s="610">
        <f>IF($B40&lt;'A1.3.10'!$S$28,"",IF($B40&gt;'A1.3.10'!$S$58,P39,IF(OR(VLOOKUP($B40,'A1.3.10'!$S$28:$AE$58,5,)="",'Fuel consumption'!D$29=""),"",'Fuel consumption'!D$29 * VLOOKUP($B40,'A1.3.10'!$S$28:$AE$58,5,))))</f>
        <v>0.28764680098881057</v>
      </c>
      <c r="Q40" s="611">
        <f>IF($B40&lt;'A1.3.10'!$S$28,"",IF($B40&gt;'A1.3.10'!$S$58,Q39,IF(OR(VLOOKUP($B40,'A1.3.10'!$S$28:$AE$58,5,)="",'Fuel consumption'!E$29=""),"",'Fuel consumption'!E$29 * VLOOKUP($B40,'A1.3.10'!$S$28:$AE$58,5,))))</f>
        <v>0.16129567515284435</v>
      </c>
      <c r="R40" s="611">
        <f>IF($B40&lt;'A1.3.10'!$S$28,"",IF($B40&gt;'A1.3.10'!$S$58,R39,IF(OR(VLOOKUP($B40,'A1.3.10'!$S$28:$AE$58,5,)="",'Fuel consumption'!F$29=""),"",'Fuel consumption'!F$29 * VLOOKUP($B40,'A1.3.10'!$S$28:$AE$58,5,))))</f>
        <v>-2.5318126638523264E-3</v>
      </c>
      <c r="S40" s="2642">
        <f>IF($B40&lt;'A1.3.10'!$S$28,"",IF($B40&gt;'A1.3.10'!$S$58,S39,IF(OR(VLOOKUP($B40,'A1.3.10'!$S$28:$AE$58,5,)="",'Fuel consumption'!G$29=""),"",'Fuel consumption'!G$29 * VLOOKUP($B40,'A1.3.10'!$S$28:$AE$58,5,))))</f>
        <v>1.6350540802924826E-5</v>
      </c>
      <c r="T40" s="610">
        <f>IF($B40&lt;'A1.3.10'!$S$28,"",IF($B40&gt;'A1.3.10'!$S$58,T39,IF(OR(VLOOKUP($B40,'A1.3.10'!$S$28:$AE$58,6,)="",'Fuel consumption'!D$30=""),"",'Fuel consumption'!D$30 * VLOOKUP($B40,'A1.3.10'!$S$28:$AE$58,6,))))</f>
        <v>0.42364688703484432</v>
      </c>
      <c r="U40" s="611">
        <f>IF($B40&lt;'A1.3.10'!$S$28,"",IF($B40&gt;'A1.3.10'!$S$58,U39,IF(OR(VLOOKUP($B40,'A1.3.10'!$S$28:$AE$58,6,)="",'Fuel consumption'!E$30=""),"",'Fuel consumption'!E$30 * VLOOKUP($B40,'A1.3.10'!$S$28:$AE$58,6,))))</f>
        <v>0.10354102569291575</v>
      </c>
      <c r="V40" s="611">
        <f>IF($B40&lt;'A1.3.10'!$S$28,"",IF($B40&gt;'A1.3.10'!$S$58,V39,IF(OR(VLOOKUP($B40,'A1.3.10'!$S$28:$AE$58,6,)="",'Fuel consumption'!F$30=""),"",'Fuel consumption'!F$30 * VLOOKUP($B40,'A1.3.10'!$S$28:$AE$58,6,))))</f>
        <v>-1.4937674755315913E-3</v>
      </c>
      <c r="W40" s="2642">
        <f>IF($B40&lt;'A1.3.10'!$S$28,"",IF($B40&gt;'A1.3.10'!$S$58,W39,IF(OR(VLOOKUP($B40,'A1.3.10'!$S$28:$AE$58,6,)="",'Fuel consumption'!G$30=""),"",'Fuel consumption'!G$30 * VLOOKUP($B40,'A1.3.10'!$S$28:$AE$58,6,))))</f>
        <v>1.2646287531258799E-5</v>
      </c>
      <c r="X40" s="3144"/>
      <c r="Y40" s="2487">
        <f>IF($B40&lt;'A1.3.10'!$S$28,"",IF($B40&gt;'A1.3.10'!$S$58,Y39,IF(OR(VLOOKUP($B40,'A1.3.10'!$S$28:$AE$58,7,)="", 'Fuel consumption'!E$37=""),"",'Fuel consumption'!E$37 * VLOOKUP($B40,'A1.3.10'!$S$28:$AE$58,7,))))</f>
        <v>0.29817241720047838</v>
      </c>
      <c r="Z40" s="2642"/>
      <c r="AA40" s="2642"/>
      <c r="AB40" s="610">
        <f>IF($B40&lt;'A1.3.10'!$S$28,"",IF($B40&gt;'A1.3.10'!$S$58,AB39,IF(OR(VLOOKUP($B40,'A1.3.10'!$S$28:$AE$58,8,)="",'Fuel consumption'!D$31=""),"",'Fuel consumption'!D$31 * VLOOKUP($B40,'A1.3.10'!$S$28:$AE$58,8,))))</f>
        <v>2.6962848686626804</v>
      </c>
      <c r="AC40" s="611">
        <f>IF($B40&lt;'A1.3.10'!$S$28,"",IF($B40&gt;'A1.3.10'!$S$58,AC39,IF(OR(VLOOKUP($B40,'A1.3.10'!$S$28:$AE$58,8,)="",'Fuel consumption'!E$31=""),"",'Fuel consumption'!E$31 * VLOOKUP($B40,'A1.3.10'!$S$28:$AE$58,8,))))</f>
        <v>0.143057339771858</v>
      </c>
      <c r="AD40" s="611">
        <f>IF($B40&lt;'A1.3.10'!$S$28,"",IF($B40&gt;'A1.3.10'!$S$58,AD39,IF(OR(VLOOKUP($B40,'A1.3.10'!$S$28:$AE$58,8,)="",'Fuel consumption'!F$31=""),"",'Fuel consumption'!F$31 * VLOOKUP($B40,'A1.3.10'!$S$28:$AE$58,8,))))</f>
        <v>-1.0340193601785499E-3</v>
      </c>
      <c r="AE40" s="2642">
        <f>IF($B40&lt;'A1.3.10'!$S$28,"",IF($B40&gt;'A1.3.10'!$S$58,AE39,IF(OR(VLOOKUP($B40,'A1.3.10'!$S$28:$AE$58,8,)="",'Fuel consumption'!G$31=""),"",'Fuel consumption'!G$31 * VLOOKUP($B40,'A1.3.10'!$S$28:$AE$58,8,))))</f>
        <v>1.1293150500864199E-5</v>
      </c>
      <c r="AF40" s="610">
        <f>IF($B40&lt;'A1.3.10'!$S$28,"",IF($B40&gt;'A1.3.10'!$S$58,AF39,IF(OR(VLOOKUP($B40,'A1.3.10'!$S$28:$AE$58,10,)="",'Fuel consumption'!D$32=""),"",'Fuel consumption'!D$32 * VLOOKUP($B40,'A1.3.10'!$S$28:$AE$58,10,))))</f>
        <v>5.6655970981789903</v>
      </c>
      <c r="AG40" s="611">
        <f>IF($B40&lt;'A1.3.10'!$S$28,"",IF($B40&gt;'A1.3.10'!$S$58,AG39,IF(OR(VLOOKUP($B40,'A1.3.10'!$S$28:$AE$58,10,)="",'Fuel consumption'!E$32=""),"",'Fuel consumption'!E$32 * VLOOKUP($B40,'A1.3.10'!$S$28:$AE$58,10,))))</f>
        <v>0.29422449618924201</v>
      </c>
      <c r="AH40" s="611">
        <f>IF($B40&lt;'A1.3.10'!$S$28,"",IF($B40&gt;'A1.3.10'!$S$58,AH39,IF(OR(VLOOKUP($B40,'A1.3.10'!$S$28:$AE$58,10,)="",'Fuel consumption'!F$32=""),"",'Fuel consumption'!F$32 * VLOOKUP($B40,'A1.3.10'!$S$28:$AE$58,10,))))</f>
        <v>-1.9493920679616401E-3</v>
      </c>
      <c r="AI40" s="1578">
        <f>IF($B40&lt;'A1.3.10'!$S$28,"",IF($B40&gt;'A1.3.10'!$S$58,AI39,IF(OR(VLOOKUP($B40,'A1.3.10'!$S$28:$AE$58,10,)="",'Fuel consumption'!G$32=""),"",'Fuel consumption'!G$32 * VLOOKUP($B40,'A1.3.10'!$S$28:$AE$58,10,))))</f>
        <v>1.1619187345164999E-5</v>
      </c>
      <c r="AJ40" s="610">
        <f>IF($B40&lt;'A1.3.10'!$S$28,"",IF($B40&gt;'A1.3.10'!$S$58,AJ39,IF(OR(VLOOKUP($B40,'A1.3.10'!$S$28:$AE$58,12,)="",'Fuel consumption'!D$33=""),"",'Fuel consumption'!D$33 * VLOOKUP($B40,'A1.3.10'!$S$28:$AE$58,12,))))</f>
        <v>3.3601870156891001</v>
      </c>
      <c r="AK40" s="611">
        <f>IF($B40&lt;'A1.3.10'!$S$28,"",IF($B40&gt;'A1.3.10'!$S$58,AK39,IF(OR(VLOOKUP($B40,'A1.3.10'!$S$28:$AE$58,12,)="",'Fuel consumption'!E$33=""),"",'Fuel consumption'!E$33 * VLOOKUP($B40,'A1.3.10'!$S$28:$AE$58,12,))))</f>
        <v>0.29524938703213599</v>
      </c>
      <c r="AL40" s="611">
        <f>IF($B40&lt;'A1.3.10'!$S$28,"",IF($B40&gt;'A1.3.10'!$S$58,AL39,IF(OR(VLOOKUP($B40,'A1.3.10'!$S$28:$AE$58,12,)="",'Fuel consumption'!F$33=""),"",'Fuel consumption'!F$33 * VLOOKUP($B40,'A1.3.10'!$S$28:$AE$58,12,))))</f>
        <v>-3.20909768342738E-3</v>
      </c>
      <c r="AM40" s="1578">
        <f>IF($B40&lt;'A1.3.10'!$S$28,"",IF($B40&gt;'A1.3.10'!$S$58,AM39,IF(OR(VLOOKUP($B40,'A1.3.10'!$S$28:$AE$58,12,)="",'Fuel consumption'!G$33=""),"",'Fuel consumption'!G$33 * VLOOKUP($B40,'A1.3.10'!$S$28:$AE$58,12,))))</f>
        <v>2.3540043227716499E-5</v>
      </c>
    </row>
    <row r="41" spans="1:39" ht="13.5" customHeight="1">
      <c r="A41" s="623"/>
      <c r="B41" s="614">
        <f t="shared" si="1"/>
        <v>2025</v>
      </c>
      <c r="C41" s="609"/>
      <c r="D41" s="2484">
        <f>IF($B41&lt;'A1.3.10'!$S$28,"",IF($B41&gt;'A1.3.10'!$S$58,D40,IF(OR(VLOOKUP($B41,'A1.3.10'!$S$28:$AE$58,2,)="",'Fuel consumption'!D$27=""),"",'Fuel consumption'!D$27 * VLOOKUP($B41,'A1.3.10'!$S$28:$AE$58,2,))))</f>
        <v>0.3583911516885131</v>
      </c>
      <c r="E41" s="2485">
        <f>IF($B41&lt;'A1.3.10'!$S$28,"",IF($B41&gt;'A1.3.10'!$S$58,E40,IF(OR(VLOOKUP($B41,'A1.3.10'!$S$28:$AE$58,2,)="",'Fuel consumption'!E$27=""),"",'Fuel consumption'!E$27 * VLOOKUP($B41,'A1.3.10'!$S$28:$AE$58,2,))))</f>
        <v>7.6163933163783545E-2</v>
      </c>
      <c r="F41" s="2485">
        <f>IF($B41&lt;'A1.3.10'!$S$28,"",IF($B41&gt;'A1.3.10'!$S$58,F40,IF(OR(VLOOKUP($B41,'A1.3.10'!$S$28:$AE$58,2,)="",'Fuel consumption'!F$27=""),"",'Fuel consumption'!F$27 * VLOOKUP($B41,'A1.3.10'!$S$28:$AE$58,2,))))</f>
        <v>-8.6759752045414149E-4</v>
      </c>
      <c r="G41" s="2642">
        <f>IF($B41&lt;'A1.3.10'!$S$28,"",IF($B41&gt;'A1.3.10'!$S$58,G40,IF(OR(VLOOKUP($B41,'A1.3.10'!$S$28:$AE$58,2,)="",'Fuel consumption'!G$27=""),"",'Fuel consumption'!G$27 * VLOOKUP($B41,'A1.3.10'!$S$28:$AE$58,2,))))</f>
        <v>5.7460285698947195E-6</v>
      </c>
      <c r="H41" s="2486">
        <f>IF($B41&lt;'A1.3.10'!$S$28,"",IF($B41&gt;'A1.3.10'!$S$58,H40,IF(OR(VLOOKUP($B41,'A1.3.10'!$S$28:$AE$58,3,)="",'Fuel consumption'!D$28=""),"",'Fuel consumption'!D$28  * VLOOKUP($B41,'A1.3.10'!$S$28:$AE$58,3,))))</f>
        <v>0.41095387690892893</v>
      </c>
      <c r="I41" s="2487">
        <f>IF($B41&lt;'A1.3.10'!$S$28,"",IF($B41&gt;'A1.3.10'!$S$58,I40,IF(OR(VLOOKUP($B41,'A1.3.10'!$S$28:$AE$58,3,)="",'Fuel consumption'!E$28=""),"",'Fuel consumption'!E$28  * VLOOKUP($B41,'A1.3.10'!$S$28:$AE$58,3,))))</f>
        <v>5.8920623070918866E-2</v>
      </c>
      <c r="J41" s="2487">
        <f>IF($B41&lt;'A1.3.10'!$S$28,"",IF($B41&gt;'A1.3.10'!$S$58,J40,IF(OR(VLOOKUP($B41,'A1.3.10'!$S$28:$AE$58,3,)="",'Fuel consumption'!F$28=""),"",'Fuel consumption'!F$28  * VLOOKUP($B41,'A1.3.10'!$S$28:$AE$58,3,))))</f>
        <v>-5.668328080891058E-4</v>
      </c>
      <c r="K41" s="2642">
        <f>IF($B41&lt;'A1.3.10'!$S$28,"",IF($B41&gt;'A1.3.10'!$S$58,K40,IF(OR(VLOOKUP($B41,'A1.3.10'!$S$28:$AE$58,3,)="",'Fuel consumption'!G$28=""),"",'Fuel consumption'!G$28  * VLOOKUP($B41,'A1.3.10'!$S$28:$AE$58,3,))))</f>
        <v>4.4666709661684925E-6</v>
      </c>
      <c r="L41" s="2486" t="str">
        <f>IF($B41&lt;'A1.3.10'!$S$28,"",IF($B41&gt;'A1.3.10'!$S$58,L40,IF(OR(VLOOKUP($B41,'A1.3.10'!$S$28:$AE$58,4,)="", 'Fuel consumption'!D$36=""),"",'Fuel consumption'!D$36 * VLOOKUP($B41,'A1.3.10'!$S$28:$AE$58,4,))))</f>
        <v/>
      </c>
      <c r="M41" s="2487">
        <f>IF($B41&lt;'A1.3.10'!$S$28,"",IF($B41&gt;'A1.3.10'!$S$58,M40,IF(OR(VLOOKUP($B41,'A1.3.10'!$S$28:$AE$58,4,)="", 'Fuel consumption'!E$36=""),"",'Fuel consumption'!E$36 * VLOOKUP($B41,'A1.3.10'!$S$28:$AE$58,4,))))</f>
        <v>0.14396575681022078</v>
      </c>
      <c r="N41" s="614" t="str">
        <f>IF($B41&lt;'A1.3.10'!$S$28,"",IF($B41&gt;'A1.3.10'!$S$58,N40,IF(OR(VLOOKUP($B41,'A1.3.10'!$S$28:$AE$58,4,)="", 'Fuel consumption'!F$36=""),"",'Fuel consumption'!F$36 * VLOOKUP($B41,'A1.3.10'!$S$28:$AE$58,4,))))</f>
        <v/>
      </c>
      <c r="O41" s="612" t="str">
        <f>IF($B41&lt;'A1.3.10'!$S$28,"",IF($B41&gt;'A1.3.10'!$S$58,O40,IF(OR(VLOOKUP($B41,'A1.3.10'!$S$28:$AE$58,4,)="", 'Fuel consumption'!G$36=""),"",'Fuel consumption'!G$36 * VLOOKUP($B41,'A1.3.10'!$S$28:$AE$58,4,))))</f>
        <v/>
      </c>
      <c r="P41" s="610">
        <f>IF($B41&lt;'A1.3.10'!$S$28,"",IF($B41&gt;'A1.3.10'!$S$58,P40,IF(OR(VLOOKUP($B41,'A1.3.10'!$S$28:$AE$58,5,)="",'Fuel consumption'!D$29=""),"",'Fuel consumption'!D$29 * VLOOKUP($B41,'A1.3.10'!$S$28:$AE$58,5,))))</f>
        <v>0.28171735836041756</v>
      </c>
      <c r="Q41" s="611">
        <f>IF($B41&lt;'A1.3.10'!$S$28,"",IF($B41&gt;'A1.3.10'!$S$58,Q40,IF(OR(VLOOKUP($B41,'A1.3.10'!$S$28:$AE$58,5,)="",'Fuel consumption'!E$29=""),"",'Fuel consumption'!E$29 * VLOOKUP($B41,'A1.3.10'!$S$28:$AE$58,5,))))</f>
        <v>0.15797078696100969</v>
      </c>
      <c r="R41" s="611">
        <f>IF($B41&lt;'A1.3.10'!$S$28,"",IF($B41&gt;'A1.3.10'!$S$58,R40,IF(OR(VLOOKUP($B41,'A1.3.10'!$S$28:$AE$58,5,)="",'Fuel consumption'!F$29=""),"",'Fuel consumption'!F$29 * VLOOKUP($B41,'A1.3.10'!$S$28:$AE$58,5,))))</f>
        <v>-2.4796228328354498E-3</v>
      </c>
      <c r="S41" s="2642">
        <f>IF($B41&lt;'A1.3.10'!$S$28,"",IF($B41&gt;'A1.3.10'!$S$58,S40,IF(OR(VLOOKUP($B41,'A1.3.10'!$S$28:$AE$58,5,)="",'Fuel consumption'!G$29=""),"",'Fuel consumption'!G$29 * VLOOKUP($B41,'A1.3.10'!$S$28:$AE$58,5,))))</f>
        <v>1.6013496923761668E-5</v>
      </c>
      <c r="T41" s="610">
        <f>IF($B41&lt;'A1.3.10'!$S$28,"",IF($B41&gt;'A1.3.10'!$S$58,T40,IF(OR(VLOOKUP($B41,'A1.3.10'!$S$28:$AE$58,6,)="",'Fuel consumption'!D$30=""),"",'Fuel consumption'!D$30 * VLOOKUP($B41,'A1.3.10'!$S$28:$AE$58,6,))))</f>
        <v>0.4194622978580636</v>
      </c>
      <c r="U41" s="611">
        <f>IF($B41&lt;'A1.3.10'!$S$28,"",IF($B41&gt;'A1.3.10'!$S$58,U40,IF(OR(VLOOKUP($B41,'A1.3.10'!$S$28:$AE$58,6,)="",'Fuel consumption'!E$30=""),"",'Fuel consumption'!E$30 * VLOOKUP($B41,'A1.3.10'!$S$28:$AE$58,6,))))</f>
        <v>0.10251829504452151</v>
      </c>
      <c r="V41" s="611">
        <f>IF($B41&lt;'A1.3.10'!$S$28,"",IF($B41&gt;'A1.3.10'!$S$58,V40,IF(OR(VLOOKUP($B41,'A1.3.10'!$S$28:$AE$58,6,)="",'Fuel consumption'!F$30=""),"",'Fuel consumption'!F$30 * VLOOKUP($B41,'A1.3.10'!$S$28:$AE$58,6,))))</f>
        <v>-1.4790127271738572E-3</v>
      </c>
      <c r="W41" s="2642">
        <f>IF($B41&lt;'A1.3.10'!$S$28,"",IF($B41&gt;'A1.3.10'!$S$58,W40,IF(OR(VLOOKUP($B41,'A1.3.10'!$S$28:$AE$58,6,)="",'Fuel consumption'!G$30=""),"",'Fuel consumption'!G$30 * VLOOKUP($B41,'A1.3.10'!$S$28:$AE$58,6,))))</f>
        <v>1.2521373317206261E-5</v>
      </c>
      <c r="X41" s="3144"/>
      <c r="Y41" s="2487">
        <f>IF($B41&lt;'A1.3.10'!$S$28,"",IF($B41&gt;'A1.3.10'!$S$58,Y40,IF(OR(VLOOKUP($B41,'A1.3.10'!$S$28:$AE$58,7,)="", 'Fuel consumption'!E$37=""),"",'Fuel consumption'!E$37 * VLOOKUP($B41,'A1.3.10'!$S$28:$AE$58,7,))))</f>
        <v>0.2914940110398016</v>
      </c>
      <c r="Z41" s="2642"/>
      <c r="AA41" s="2642"/>
      <c r="AB41" s="610">
        <f>IF($B41&lt;'A1.3.10'!$S$28,"",IF($B41&gt;'A1.3.10'!$S$58,AB40,IF(OR(VLOOKUP($B41,'A1.3.10'!$S$28:$AE$58,8,)="",'Fuel consumption'!D$31=""),"",'Fuel consumption'!D$31 * VLOOKUP($B41,'A1.3.10'!$S$28:$AE$58,8,))))</f>
        <v>2.6962848686626804</v>
      </c>
      <c r="AC41" s="611">
        <f>IF($B41&lt;'A1.3.10'!$S$28,"",IF($B41&gt;'A1.3.10'!$S$58,AC40,IF(OR(VLOOKUP($B41,'A1.3.10'!$S$28:$AE$58,8,)="",'Fuel consumption'!E$31=""),"",'Fuel consumption'!E$31 * VLOOKUP($B41,'A1.3.10'!$S$28:$AE$58,8,))))</f>
        <v>0.143057339771858</v>
      </c>
      <c r="AD41" s="611">
        <f>IF($B41&lt;'A1.3.10'!$S$28,"",IF($B41&gt;'A1.3.10'!$S$58,AD40,IF(OR(VLOOKUP($B41,'A1.3.10'!$S$28:$AE$58,8,)="",'Fuel consumption'!F$31=""),"",'Fuel consumption'!F$31 * VLOOKUP($B41,'A1.3.10'!$S$28:$AE$58,8,))))</f>
        <v>-1.0340193601785499E-3</v>
      </c>
      <c r="AE41" s="2642">
        <f>IF($B41&lt;'A1.3.10'!$S$28,"",IF($B41&gt;'A1.3.10'!$S$58,AE40,IF(OR(VLOOKUP($B41,'A1.3.10'!$S$28:$AE$58,8,)="",'Fuel consumption'!G$31=""),"",'Fuel consumption'!G$31 * VLOOKUP($B41,'A1.3.10'!$S$28:$AE$58,8,))))</f>
        <v>1.1293150500864199E-5</v>
      </c>
      <c r="AF41" s="610">
        <f>IF($B41&lt;'A1.3.10'!$S$28,"",IF($B41&gt;'A1.3.10'!$S$58,AF40,IF(OR(VLOOKUP($B41,'A1.3.10'!$S$28:$AE$58,10,)="",'Fuel consumption'!D$32=""),"",'Fuel consumption'!D$32 * VLOOKUP($B41,'A1.3.10'!$S$28:$AE$58,10,))))</f>
        <v>5.6655970981789903</v>
      </c>
      <c r="AG41" s="611">
        <f>IF($B41&lt;'A1.3.10'!$S$28,"",IF($B41&gt;'A1.3.10'!$S$58,AG40,IF(OR(VLOOKUP($B41,'A1.3.10'!$S$28:$AE$58,10,)="",'Fuel consumption'!E$32=""),"",'Fuel consumption'!E$32 * VLOOKUP($B41,'A1.3.10'!$S$28:$AE$58,10,))))</f>
        <v>0.29422449618924201</v>
      </c>
      <c r="AH41" s="611">
        <f>IF($B41&lt;'A1.3.10'!$S$28,"",IF($B41&gt;'A1.3.10'!$S$58,AH40,IF(OR(VLOOKUP($B41,'A1.3.10'!$S$28:$AE$58,10,)="",'Fuel consumption'!F$32=""),"",'Fuel consumption'!F$32 * VLOOKUP($B41,'A1.3.10'!$S$28:$AE$58,10,))))</f>
        <v>-1.9493920679616401E-3</v>
      </c>
      <c r="AI41" s="1578">
        <f>IF($B41&lt;'A1.3.10'!$S$28,"",IF($B41&gt;'A1.3.10'!$S$58,AI40,IF(OR(VLOOKUP($B41,'A1.3.10'!$S$28:$AE$58,10,)="",'Fuel consumption'!G$32=""),"",'Fuel consumption'!G$32 * VLOOKUP($B41,'A1.3.10'!$S$28:$AE$58,10,))))</f>
        <v>1.1619187345164999E-5</v>
      </c>
      <c r="AJ41" s="610">
        <f>IF($B41&lt;'A1.3.10'!$S$28,"",IF($B41&gt;'A1.3.10'!$S$58,AJ40,IF(OR(VLOOKUP($B41,'A1.3.10'!$S$28:$AE$58,12,)="",'Fuel consumption'!D$33=""),"",'Fuel consumption'!D$33 * VLOOKUP($B41,'A1.3.10'!$S$28:$AE$58,12,))))</f>
        <v>3.3601870156891001</v>
      </c>
      <c r="AK41" s="611">
        <f>IF($B41&lt;'A1.3.10'!$S$28,"",IF($B41&gt;'A1.3.10'!$S$58,AK40,IF(OR(VLOOKUP($B41,'A1.3.10'!$S$28:$AE$58,12,)="",'Fuel consumption'!E$33=""),"",'Fuel consumption'!E$33 * VLOOKUP($B41,'A1.3.10'!$S$28:$AE$58,12,))))</f>
        <v>0.29524938703213599</v>
      </c>
      <c r="AL41" s="611">
        <f>IF($B41&lt;'A1.3.10'!$S$28,"",IF($B41&gt;'A1.3.10'!$S$58,AL40,IF(OR(VLOOKUP($B41,'A1.3.10'!$S$28:$AE$58,12,)="",'Fuel consumption'!F$33=""),"",'Fuel consumption'!F$33 * VLOOKUP($B41,'A1.3.10'!$S$28:$AE$58,12,))))</f>
        <v>-3.20909768342738E-3</v>
      </c>
      <c r="AM41" s="1578">
        <f>IF($B41&lt;'A1.3.10'!$S$28,"",IF($B41&gt;'A1.3.10'!$S$58,AM40,IF(OR(VLOOKUP($B41,'A1.3.10'!$S$28:$AE$58,12,)="",'Fuel consumption'!G$33=""),"",'Fuel consumption'!G$33 * VLOOKUP($B41,'A1.3.10'!$S$28:$AE$58,12,))))</f>
        <v>2.3540043227716499E-5</v>
      </c>
    </row>
    <row r="42" spans="1:39" ht="13.5" customHeight="1">
      <c r="A42" s="623"/>
      <c r="B42" s="614">
        <f t="shared" si="1"/>
        <v>2026</v>
      </c>
      <c r="C42" s="609"/>
      <c r="D42" s="2484">
        <f>IF($B42&lt;'A1.3.10'!$S$28,"",IF($B42&gt;'A1.3.10'!$S$58,D41,IF(OR(VLOOKUP($B42,'A1.3.10'!$S$28:$AE$58,2,)="",'Fuel consumption'!D$27=""),"",'Fuel consumption'!D$27 * VLOOKUP($B42,'A1.3.10'!$S$28:$AE$58,2,))))</f>
        <v>0.35240476665883508</v>
      </c>
      <c r="E42" s="2485">
        <f>IF($B42&lt;'A1.3.10'!$S$28,"",IF($B42&gt;'A1.3.10'!$S$58,E41,IF(OR(VLOOKUP($B42,'A1.3.10'!$S$28:$AE$58,2,)="",'Fuel consumption'!E$27=""),"",'Fuel consumption'!E$27 * VLOOKUP($B42,'A1.3.10'!$S$28:$AE$58,2,))))</f>
        <v>7.4891729240374891E-2</v>
      </c>
      <c r="F42" s="2485">
        <f>IF($B42&lt;'A1.3.10'!$S$28,"",IF($B42&gt;'A1.3.10'!$S$58,F41,IF(OR(VLOOKUP($B42,'A1.3.10'!$S$28:$AE$58,2,)="",'Fuel consumption'!F$27=""),"",'Fuel consumption'!F$27 * VLOOKUP($B42,'A1.3.10'!$S$28:$AE$58,2,))))</f>
        <v>-8.5310560907808576E-4</v>
      </c>
      <c r="G42" s="2642">
        <f>IF($B42&lt;'A1.3.10'!$S$28,"",IF($B42&gt;'A1.3.10'!$S$58,G41,IF(OR(VLOOKUP($B42,'A1.3.10'!$S$28:$AE$58,2,)="",'Fuel consumption'!G$27=""),"",'Fuel consumption'!G$27 * VLOOKUP($B42,'A1.3.10'!$S$28:$AE$58,2,))))</f>
        <v>5.6500498068899451E-6</v>
      </c>
      <c r="H42" s="2486">
        <f>IF($B42&lt;'A1.3.10'!$S$28,"",IF($B42&gt;'A1.3.10'!$S$58,H41,IF(OR(VLOOKUP($B42,'A1.3.10'!$S$28:$AE$58,3,)="",'Fuel consumption'!D$28=""),"",'Fuel consumption'!D$28  * VLOOKUP($B42,'A1.3.10'!$S$28:$AE$58,3,))))</f>
        <v>0.40694132570790992</v>
      </c>
      <c r="I42" s="2487">
        <f>IF($B42&lt;'A1.3.10'!$S$28,"",IF($B42&gt;'A1.3.10'!$S$58,I41,IF(OR(VLOOKUP($B42,'A1.3.10'!$S$28:$AE$58,3,)="",'Fuel consumption'!E$28=""),"",'Fuel consumption'!E$28  * VLOOKUP($B42,'A1.3.10'!$S$28:$AE$58,3,))))</f>
        <v>5.834532245897113E-2</v>
      </c>
      <c r="J42" s="2487">
        <f>IF($B42&lt;'A1.3.10'!$S$28,"",IF($B42&gt;'A1.3.10'!$S$58,J41,IF(OR(VLOOKUP($B42,'A1.3.10'!$S$28:$AE$58,3,)="",'Fuel consumption'!F$28=""),"",'Fuel consumption'!F$28  * VLOOKUP($B42,'A1.3.10'!$S$28:$AE$58,3,))))</f>
        <v>-5.6129825593453648E-4</v>
      </c>
      <c r="K42" s="2642">
        <f>IF($B42&lt;'A1.3.10'!$S$28,"",IF($B42&gt;'A1.3.10'!$S$58,K41,IF(OR(VLOOKUP($B42,'A1.3.10'!$S$28:$AE$58,3,)="",'Fuel consumption'!G$28=""),"",'Fuel consumption'!G$28  * VLOOKUP($B42,'A1.3.10'!$S$28:$AE$58,3,))))</f>
        <v>4.4230584175178618E-6</v>
      </c>
      <c r="L42" s="2486" t="str">
        <f>IF($B42&lt;'A1.3.10'!$S$28,"",IF($B42&gt;'A1.3.10'!$S$58,L41,IF(OR(VLOOKUP($B42,'A1.3.10'!$S$28:$AE$58,4,)="", 'Fuel consumption'!D$36=""),"",'Fuel consumption'!D$36 * VLOOKUP($B42,'A1.3.10'!$S$28:$AE$58,4,))))</f>
        <v/>
      </c>
      <c r="M42" s="2487">
        <f>IF($B42&lt;'A1.3.10'!$S$28,"",IF($B42&gt;'A1.3.10'!$S$58,M41,IF(OR(VLOOKUP($B42,'A1.3.10'!$S$28:$AE$58,4,)="", 'Fuel consumption'!E$36=""),"",'Fuel consumption'!E$36 * VLOOKUP($B42,'A1.3.10'!$S$28:$AE$58,4,))))</f>
        <v>0.14248147045738493</v>
      </c>
      <c r="N42" s="614" t="str">
        <f>IF($B42&lt;'A1.3.10'!$S$28,"",IF($B42&gt;'A1.3.10'!$S$58,N41,IF(OR(VLOOKUP($B42,'A1.3.10'!$S$28:$AE$58,4,)="", 'Fuel consumption'!F$36=""),"",'Fuel consumption'!F$36 * VLOOKUP($B42,'A1.3.10'!$S$28:$AE$58,4,))))</f>
        <v/>
      </c>
      <c r="O42" s="612" t="str">
        <f>IF($B42&lt;'A1.3.10'!$S$28,"",IF($B42&gt;'A1.3.10'!$S$58,O41,IF(OR(VLOOKUP($B42,'A1.3.10'!$S$28:$AE$58,4,)="", 'Fuel consumption'!G$36=""),"",'Fuel consumption'!G$36 * VLOOKUP($B42,'A1.3.10'!$S$28:$AE$58,4,))))</f>
        <v/>
      </c>
      <c r="P42" s="610">
        <f>IF($B42&lt;'A1.3.10'!$S$28,"",IF($B42&gt;'A1.3.10'!$S$58,P41,IF(OR(VLOOKUP($B42,'A1.3.10'!$S$28:$AE$58,5,)="",'Fuel consumption'!D$29=""),"",'Fuel consumption'!D$29 * VLOOKUP($B42,'A1.3.10'!$S$28:$AE$58,5,))))</f>
        <v>0.27580416562151266</v>
      </c>
      <c r="Q42" s="611">
        <f>IF($B42&lt;'A1.3.10'!$S$28,"",IF($B42&gt;'A1.3.10'!$S$58,Q41,IF(OR(VLOOKUP($B42,'A1.3.10'!$S$28:$AE$58,5,)="",'Fuel consumption'!E$29=""),"",'Fuel consumption'!E$29 * VLOOKUP($B42,'A1.3.10'!$S$28:$AE$58,5,))))</f>
        <v>0.15465501076655214</v>
      </c>
      <c r="R42" s="611">
        <f>IF($B42&lt;'A1.3.10'!$S$28,"",IF($B42&gt;'A1.3.10'!$S$58,R41,IF(OR(VLOOKUP($B42,'A1.3.10'!$S$28:$AE$58,5,)="",'Fuel consumption'!F$29=""),"",'Fuel consumption'!F$29 * VLOOKUP($B42,'A1.3.10'!$S$28:$AE$58,5,))))</f>
        <v>-2.4275760302682227E-3</v>
      </c>
      <c r="S42" s="2642">
        <f>IF($B42&lt;'A1.3.10'!$S$28,"",IF($B42&gt;'A1.3.10'!$S$58,S41,IF(OR(VLOOKUP($B42,'A1.3.10'!$S$28:$AE$58,5,)="",'Fuel consumption'!G$29=""),"",'Fuel consumption'!G$29 * VLOOKUP($B42,'A1.3.10'!$S$28:$AE$58,5,))))</f>
        <v>1.5677376727671657E-5</v>
      </c>
      <c r="T42" s="610">
        <f>IF($B42&lt;'A1.3.10'!$S$28,"",IF($B42&gt;'A1.3.10'!$S$58,T41,IF(OR(VLOOKUP($B42,'A1.3.10'!$S$28:$AE$58,6,)="",'Fuel consumption'!D$30=""),"",'Fuel consumption'!D$30 * VLOOKUP($B42,'A1.3.10'!$S$28:$AE$58,6,))))</f>
        <v>0.41569286156320978</v>
      </c>
      <c r="U42" s="611">
        <f>IF($B42&lt;'A1.3.10'!$S$28,"",IF($B42&gt;'A1.3.10'!$S$58,U41,IF(OR(VLOOKUP($B42,'A1.3.10'!$S$28:$AE$58,6,)="",'Fuel consumption'!E$30=""),"",'Fuel consumption'!E$30 * VLOOKUP($B42,'A1.3.10'!$S$28:$AE$58,6,))))</f>
        <v>0.10159702945235591</v>
      </c>
      <c r="V42" s="611">
        <f>IF($B42&lt;'A1.3.10'!$S$28,"",IF($B42&gt;'A1.3.10'!$S$58,V41,IF(OR(VLOOKUP($B42,'A1.3.10'!$S$28:$AE$58,6,)="",'Fuel consumption'!F$30=""),"",'Fuel consumption'!F$30 * VLOOKUP($B42,'A1.3.10'!$S$28:$AE$58,6,))))</f>
        <v>-1.4657217966591763E-3</v>
      </c>
      <c r="W42" s="2642">
        <f>IF($B42&lt;'A1.3.10'!$S$28,"",IF($B42&gt;'A1.3.10'!$S$58,W41,IF(OR(VLOOKUP($B42,'A1.3.10'!$S$28:$AE$58,6,)="",'Fuel consumption'!G$30=""),"",'Fuel consumption'!G$30 * VLOOKUP($B42,'A1.3.10'!$S$28:$AE$58,6,))))</f>
        <v>1.2408851836052161E-5</v>
      </c>
      <c r="X42" s="3144"/>
      <c r="Y42" s="2487">
        <f>IF($B42&lt;'A1.3.10'!$S$28,"",IF($B42&gt;'A1.3.10'!$S$58,Y41,IF(OR(VLOOKUP($B42,'A1.3.10'!$S$28:$AE$58,7,)="", 'Fuel consumption'!E$37=""),"",'Fuel consumption'!E$37 * VLOOKUP($B42,'A1.3.10'!$S$28:$AE$58,7,))))</f>
        <v>0.29149401103980155</v>
      </c>
      <c r="Z42" s="2642"/>
      <c r="AA42" s="2642"/>
      <c r="AB42" s="610">
        <f>IF($B42&lt;'A1.3.10'!$S$28,"",IF($B42&gt;'A1.3.10'!$S$58,AB41,IF(OR(VLOOKUP($B42,'A1.3.10'!$S$28:$AE$58,8,)="",'Fuel consumption'!D$31=""),"",'Fuel consumption'!D$31 * VLOOKUP($B42,'A1.3.10'!$S$28:$AE$58,8,))))</f>
        <v>2.6962848686626804</v>
      </c>
      <c r="AC42" s="611">
        <f>IF($B42&lt;'A1.3.10'!$S$28,"",IF($B42&gt;'A1.3.10'!$S$58,AC41,IF(OR(VLOOKUP($B42,'A1.3.10'!$S$28:$AE$58,8,)="",'Fuel consumption'!E$31=""),"",'Fuel consumption'!E$31 * VLOOKUP($B42,'A1.3.10'!$S$28:$AE$58,8,))))</f>
        <v>0.143057339771858</v>
      </c>
      <c r="AD42" s="611">
        <f>IF($B42&lt;'A1.3.10'!$S$28,"",IF($B42&gt;'A1.3.10'!$S$58,AD41,IF(OR(VLOOKUP($B42,'A1.3.10'!$S$28:$AE$58,8,)="",'Fuel consumption'!F$31=""),"",'Fuel consumption'!F$31 * VLOOKUP($B42,'A1.3.10'!$S$28:$AE$58,8,))))</f>
        <v>-1.0340193601785499E-3</v>
      </c>
      <c r="AE42" s="2642">
        <f>IF($B42&lt;'A1.3.10'!$S$28,"",IF($B42&gt;'A1.3.10'!$S$58,AE41,IF(OR(VLOOKUP($B42,'A1.3.10'!$S$28:$AE$58,8,)="",'Fuel consumption'!G$31=""),"",'Fuel consumption'!G$31 * VLOOKUP($B42,'A1.3.10'!$S$28:$AE$58,8,))))</f>
        <v>1.1293150500864199E-5</v>
      </c>
      <c r="AF42" s="610">
        <f>IF($B42&lt;'A1.3.10'!$S$28,"",IF($B42&gt;'A1.3.10'!$S$58,AF41,IF(OR(VLOOKUP($B42,'A1.3.10'!$S$28:$AE$58,10,)="",'Fuel consumption'!D$32=""),"",'Fuel consumption'!D$32 * VLOOKUP($B42,'A1.3.10'!$S$28:$AE$58,10,))))</f>
        <v>5.6655970981789903</v>
      </c>
      <c r="AG42" s="611">
        <f>IF($B42&lt;'A1.3.10'!$S$28,"",IF($B42&gt;'A1.3.10'!$S$58,AG41,IF(OR(VLOOKUP($B42,'A1.3.10'!$S$28:$AE$58,10,)="",'Fuel consumption'!E$32=""),"",'Fuel consumption'!E$32 * VLOOKUP($B42,'A1.3.10'!$S$28:$AE$58,10,))))</f>
        <v>0.29422449618924201</v>
      </c>
      <c r="AH42" s="611">
        <f>IF($B42&lt;'A1.3.10'!$S$28,"",IF($B42&gt;'A1.3.10'!$S$58,AH41,IF(OR(VLOOKUP($B42,'A1.3.10'!$S$28:$AE$58,10,)="",'Fuel consumption'!F$32=""),"",'Fuel consumption'!F$32 * VLOOKUP($B42,'A1.3.10'!$S$28:$AE$58,10,))))</f>
        <v>-1.9493920679616401E-3</v>
      </c>
      <c r="AI42" s="1578">
        <f>IF($B42&lt;'A1.3.10'!$S$28,"",IF($B42&gt;'A1.3.10'!$S$58,AI41,IF(OR(VLOOKUP($B42,'A1.3.10'!$S$28:$AE$58,10,)="",'Fuel consumption'!G$32=""),"",'Fuel consumption'!G$32 * VLOOKUP($B42,'A1.3.10'!$S$28:$AE$58,10,))))</f>
        <v>1.1619187345164999E-5</v>
      </c>
      <c r="AJ42" s="610">
        <f>IF($B42&lt;'A1.3.10'!$S$28,"",IF($B42&gt;'A1.3.10'!$S$58,AJ41,IF(OR(VLOOKUP($B42,'A1.3.10'!$S$28:$AE$58,12,)="",'Fuel consumption'!D$33=""),"",'Fuel consumption'!D$33 * VLOOKUP($B42,'A1.3.10'!$S$28:$AE$58,12,))))</f>
        <v>3.3601870156891001</v>
      </c>
      <c r="AK42" s="611">
        <f>IF($B42&lt;'A1.3.10'!$S$28,"",IF($B42&gt;'A1.3.10'!$S$58,AK41,IF(OR(VLOOKUP($B42,'A1.3.10'!$S$28:$AE$58,12,)="",'Fuel consumption'!E$33=""),"",'Fuel consumption'!E$33 * VLOOKUP($B42,'A1.3.10'!$S$28:$AE$58,12,))))</f>
        <v>0.29524938703213599</v>
      </c>
      <c r="AL42" s="611">
        <f>IF($B42&lt;'A1.3.10'!$S$28,"",IF($B42&gt;'A1.3.10'!$S$58,AL41,IF(OR(VLOOKUP($B42,'A1.3.10'!$S$28:$AE$58,12,)="",'Fuel consumption'!F$33=""),"",'Fuel consumption'!F$33 * VLOOKUP($B42,'A1.3.10'!$S$28:$AE$58,12,))))</f>
        <v>-3.20909768342738E-3</v>
      </c>
      <c r="AM42" s="1578">
        <f>IF($B42&lt;'A1.3.10'!$S$28,"",IF($B42&gt;'A1.3.10'!$S$58,AM41,IF(OR(VLOOKUP($B42,'A1.3.10'!$S$28:$AE$58,12,)="",'Fuel consumption'!G$33=""),"",'Fuel consumption'!G$33 * VLOOKUP($B42,'A1.3.10'!$S$28:$AE$58,12,))))</f>
        <v>2.3540043227716499E-5</v>
      </c>
    </row>
    <row r="43" spans="1:39" ht="13.5" customHeight="1">
      <c r="A43" s="623"/>
      <c r="B43" s="614">
        <f t="shared" si="1"/>
        <v>2027</v>
      </c>
      <c r="C43" s="609"/>
      <c r="D43" s="2484">
        <f>IF($B43&lt;'A1.3.10'!$S$28,"",IF($B43&gt;'A1.3.10'!$S$58,D42,IF(OR(VLOOKUP($B43,'A1.3.10'!$S$28:$AE$58,2,)="",'Fuel consumption'!D$27=""),"",'Fuel consumption'!D$27 * VLOOKUP($B43,'A1.3.10'!$S$28:$AE$58,2,))))</f>
        <v>0.3473576722656021</v>
      </c>
      <c r="E43" s="2485">
        <f>IF($B43&lt;'A1.3.10'!$S$28,"",IF($B43&gt;'A1.3.10'!$S$58,E42,IF(OR(VLOOKUP($B43,'A1.3.10'!$S$28:$AE$58,2,)="",'Fuel consumption'!E$27=""),"",'Fuel consumption'!E$27 * VLOOKUP($B43,'A1.3.10'!$S$28:$AE$58,2,))))</f>
        <v>7.3819139813358012E-2</v>
      </c>
      <c r="F43" s="2485">
        <f>IF($B43&lt;'A1.3.10'!$S$28,"",IF($B43&gt;'A1.3.10'!$S$58,F42,IF(OR(VLOOKUP($B43,'A1.3.10'!$S$28:$AE$58,2,)="",'Fuel consumption'!F$27=""),"",'Fuel consumption'!F$27 * VLOOKUP($B43,'A1.3.10'!$S$28:$AE$58,2,))))</f>
        <v>-8.408875435359077E-4</v>
      </c>
      <c r="G43" s="2642">
        <f>IF($B43&lt;'A1.3.10'!$S$28,"",IF($B43&gt;'A1.3.10'!$S$58,G42,IF(OR(VLOOKUP($B43,'A1.3.10'!$S$28:$AE$58,2,)="",'Fuel consumption'!G$27=""),"",'Fuel consumption'!G$27 * VLOOKUP($B43,'A1.3.10'!$S$28:$AE$58,2,))))</f>
        <v>5.5691305418862221E-6</v>
      </c>
      <c r="H43" s="2486">
        <f>IF($B43&lt;'A1.3.10'!$S$28,"",IF($B43&gt;'A1.3.10'!$S$58,H42,IF(OR(VLOOKUP($B43,'A1.3.10'!$S$28:$AE$58,3,)="",'Fuel consumption'!D$28=""),"",'Fuel consumption'!D$28  * VLOOKUP($B43,'A1.3.10'!$S$28:$AE$58,3,))))</f>
        <v>0.40356313332316013</v>
      </c>
      <c r="I43" s="2487">
        <f>IF($B43&lt;'A1.3.10'!$S$28,"",IF($B43&gt;'A1.3.10'!$S$58,I42,IF(OR(VLOOKUP($B43,'A1.3.10'!$S$28:$AE$58,3,)="",'Fuel consumption'!E$28=""),"",'Fuel consumption'!E$28  * VLOOKUP($B43,'A1.3.10'!$S$28:$AE$58,3,))))</f>
        <v>5.7860973213600696E-2</v>
      </c>
      <c r="J43" s="2487">
        <f>IF($B43&lt;'A1.3.10'!$S$28,"",IF($B43&gt;'A1.3.10'!$S$58,J42,IF(OR(VLOOKUP($B43,'A1.3.10'!$S$28:$AE$58,3,)="",'Fuel consumption'!F$28=""),"",'Fuel consumption'!F$28  * VLOOKUP($B43,'A1.3.10'!$S$28:$AE$58,3,))))</f>
        <v>-5.5663868126373394E-4</v>
      </c>
      <c r="K43" s="2642">
        <f>IF($B43&lt;'A1.3.10'!$S$28,"",IF($B43&gt;'A1.3.10'!$S$58,K42,IF(OR(VLOOKUP($B43,'A1.3.10'!$S$28:$AE$58,3,)="",'Fuel consumption'!G$28=""),"",'Fuel consumption'!G$28  * VLOOKUP($B43,'A1.3.10'!$S$28:$AE$58,3,))))</f>
        <v>4.3863407353375874E-6</v>
      </c>
      <c r="L43" s="2486" t="str">
        <f>IF($B43&lt;'A1.3.10'!$S$28,"",IF($B43&gt;'A1.3.10'!$S$58,L42,IF(OR(VLOOKUP($B43,'A1.3.10'!$S$28:$AE$58,4,)="", 'Fuel consumption'!D$36=""),"",'Fuel consumption'!D$36 * VLOOKUP($B43,'A1.3.10'!$S$28:$AE$58,4,))))</f>
        <v/>
      </c>
      <c r="M43" s="2487">
        <f>IF($B43&lt;'A1.3.10'!$S$28,"",IF($B43&gt;'A1.3.10'!$S$58,M42,IF(OR(VLOOKUP($B43,'A1.3.10'!$S$28:$AE$58,4,)="", 'Fuel consumption'!E$36=""),"",'Fuel consumption'!E$36 * VLOOKUP($B43,'A1.3.10'!$S$28:$AE$58,4,))))</f>
        <v>0.14083926840828284</v>
      </c>
      <c r="N43" s="614" t="str">
        <f>IF($B43&lt;'A1.3.10'!$S$28,"",IF($B43&gt;'A1.3.10'!$S$58,N42,IF(OR(VLOOKUP($B43,'A1.3.10'!$S$28:$AE$58,4,)="", 'Fuel consumption'!F$36=""),"",'Fuel consumption'!F$36 * VLOOKUP($B43,'A1.3.10'!$S$28:$AE$58,4,))))</f>
        <v/>
      </c>
      <c r="O43" s="612" t="str">
        <f>IF($B43&lt;'A1.3.10'!$S$28,"",IF($B43&gt;'A1.3.10'!$S$58,O42,IF(OR(VLOOKUP($B43,'A1.3.10'!$S$28:$AE$58,4,)="", 'Fuel consumption'!G$36=""),"",'Fuel consumption'!G$36 * VLOOKUP($B43,'A1.3.10'!$S$28:$AE$58,4,))))</f>
        <v/>
      </c>
      <c r="P43" s="610">
        <f>IF($B43&lt;'A1.3.10'!$S$28,"",IF($B43&gt;'A1.3.10'!$S$58,P42,IF(OR(VLOOKUP($B43,'A1.3.10'!$S$28:$AE$58,5,)="",'Fuel consumption'!D$29=""),"",'Fuel consumption'!D$29 * VLOOKUP($B43,'A1.3.10'!$S$28:$AE$58,5,))))</f>
        <v>0.24878396767265801</v>
      </c>
      <c r="Q43" s="611">
        <f>IF($B43&lt;'A1.3.10'!$S$28,"",IF($B43&gt;'A1.3.10'!$S$58,Q42,IF(OR(VLOOKUP($B43,'A1.3.10'!$S$28:$AE$58,5,)="",'Fuel consumption'!E$29=""),"",'Fuel consumption'!E$29 * VLOOKUP($B43,'A1.3.10'!$S$28:$AE$58,5,))))</f>
        <v>0.13950364785918734</v>
      </c>
      <c r="R43" s="611">
        <f>IF($B43&lt;'A1.3.10'!$S$28,"",IF($B43&gt;'A1.3.10'!$S$58,R42,IF(OR(VLOOKUP($B43,'A1.3.10'!$S$28:$AE$58,5,)="",'Fuel consumption'!F$29=""),"",'Fuel consumption'!F$29 * VLOOKUP($B43,'A1.3.10'!$S$28:$AE$58,5,))))</f>
        <v>-2.1897493653738405E-3</v>
      </c>
      <c r="S43" s="2642">
        <f>IF($B43&lt;'A1.3.10'!$S$28,"",IF($B43&gt;'A1.3.10'!$S$58,S42,IF(OR(VLOOKUP($B43,'A1.3.10'!$S$28:$AE$58,5,)="",'Fuel consumption'!G$29=""),"",'Fuel consumption'!G$29 * VLOOKUP($B43,'A1.3.10'!$S$28:$AE$58,5,))))</f>
        <v>1.4141483237644492E-5</v>
      </c>
      <c r="T43" s="610">
        <f>IF($B43&lt;'A1.3.10'!$S$28,"",IF($B43&gt;'A1.3.10'!$S$58,T42,IF(OR(VLOOKUP($B43,'A1.3.10'!$S$28:$AE$58,6,)="",'Fuel consumption'!D$30=""),"",'Fuel consumption'!D$30 * VLOOKUP($B43,'A1.3.10'!$S$28:$AE$58,6,))))</f>
        <v>0.41225949033961812</v>
      </c>
      <c r="U43" s="611">
        <f>IF($B43&lt;'A1.3.10'!$S$28,"",IF($B43&gt;'A1.3.10'!$S$58,U42,IF(OR(VLOOKUP($B43,'A1.3.10'!$S$28:$AE$58,6,)="",'Fuel consumption'!E$30=""),"",'Fuel consumption'!E$30 * VLOOKUP($B43,'A1.3.10'!$S$28:$AE$58,6,))))</f>
        <v>0.10075789953318341</v>
      </c>
      <c r="V43" s="611">
        <f>IF($B43&lt;'A1.3.10'!$S$28,"",IF($B43&gt;'A1.3.10'!$S$58,V42,IF(OR(VLOOKUP($B43,'A1.3.10'!$S$28:$AE$58,6,)="",'Fuel consumption'!F$30=""),"",'Fuel consumption'!F$30 * VLOOKUP($B43,'A1.3.10'!$S$28:$AE$58,6,))))</f>
        <v>-1.4536158225043243E-3</v>
      </c>
      <c r="W43" s="2642">
        <f>IF($B43&lt;'A1.3.10'!$S$28,"",IF($B43&gt;'A1.3.10'!$S$58,W42,IF(OR(VLOOKUP($B43,'A1.3.10'!$S$28:$AE$58,6,)="",'Fuel consumption'!G$30=""),"",'Fuel consumption'!G$30 * VLOOKUP($B43,'A1.3.10'!$S$28:$AE$58,6,))))</f>
        <v>1.2306362236756418E-5</v>
      </c>
      <c r="X43" s="3144"/>
      <c r="Y43" s="2487">
        <f>IF($B43&lt;'A1.3.10'!$S$28,"",IF($B43&gt;'A1.3.10'!$S$58,Y42,IF(OR(VLOOKUP($B43,'A1.3.10'!$S$28:$AE$58,7,)="", 'Fuel consumption'!E$37=""),"",'Fuel consumption'!E$37 * VLOOKUP($B43,'A1.3.10'!$S$28:$AE$58,7,))))</f>
        <v>0.29149401103980149</v>
      </c>
      <c r="Z43" s="2642"/>
      <c r="AA43" s="2642"/>
      <c r="AB43" s="610">
        <f>IF($B43&lt;'A1.3.10'!$S$28,"",IF($B43&gt;'A1.3.10'!$S$58,AB42,IF(OR(VLOOKUP($B43,'A1.3.10'!$S$28:$AE$58,8,)="",'Fuel consumption'!D$31=""),"",'Fuel consumption'!D$31 * VLOOKUP($B43,'A1.3.10'!$S$28:$AE$58,8,))))</f>
        <v>2.6962848686626804</v>
      </c>
      <c r="AC43" s="611">
        <f>IF($B43&lt;'A1.3.10'!$S$28,"",IF($B43&gt;'A1.3.10'!$S$58,AC42,IF(OR(VLOOKUP($B43,'A1.3.10'!$S$28:$AE$58,8,)="",'Fuel consumption'!E$31=""),"",'Fuel consumption'!E$31 * VLOOKUP($B43,'A1.3.10'!$S$28:$AE$58,8,))))</f>
        <v>0.143057339771858</v>
      </c>
      <c r="AD43" s="611">
        <f>IF($B43&lt;'A1.3.10'!$S$28,"",IF($B43&gt;'A1.3.10'!$S$58,AD42,IF(OR(VLOOKUP($B43,'A1.3.10'!$S$28:$AE$58,8,)="",'Fuel consumption'!F$31=""),"",'Fuel consumption'!F$31 * VLOOKUP($B43,'A1.3.10'!$S$28:$AE$58,8,))))</f>
        <v>-1.0340193601785499E-3</v>
      </c>
      <c r="AE43" s="2642">
        <f>IF($B43&lt;'A1.3.10'!$S$28,"",IF($B43&gt;'A1.3.10'!$S$58,AE42,IF(OR(VLOOKUP($B43,'A1.3.10'!$S$28:$AE$58,8,)="",'Fuel consumption'!G$31=""),"",'Fuel consumption'!G$31 * VLOOKUP($B43,'A1.3.10'!$S$28:$AE$58,8,))))</f>
        <v>1.1293150500864199E-5</v>
      </c>
      <c r="AF43" s="610">
        <f>IF($B43&lt;'A1.3.10'!$S$28,"",IF($B43&gt;'A1.3.10'!$S$58,AF42,IF(OR(VLOOKUP($B43,'A1.3.10'!$S$28:$AE$58,10,)="",'Fuel consumption'!D$32=""),"",'Fuel consumption'!D$32 * VLOOKUP($B43,'A1.3.10'!$S$28:$AE$58,10,))))</f>
        <v>5.6655970981789903</v>
      </c>
      <c r="AG43" s="611">
        <f>IF($B43&lt;'A1.3.10'!$S$28,"",IF($B43&gt;'A1.3.10'!$S$58,AG42,IF(OR(VLOOKUP($B43,'A1.3.10'!$S$28:$AE$58,10,)="",'Fuel consumption'!E$32=""),"",'Fuel consumption'!E$32 * VLOOKUP($B43,'A1.3.10'!$S$28:$AE$58,10,))))</f>
        <v>0.29422449618924201</v>
      </c>
      <c r="AH43" s="611">
        <f>IF($B43&lt;'A1.3.10'!$S$28,"",IF($B43&gt;'A1.3.10'!$S$58,AH42,IF(OR(VLOOKUP($B43,'A1.3.10'!$S$28:$AE$58,10,)="",'Fuel consumption'!F$32=""),"",'Fuel consumption'!F$32 * VLOOKUP($B43,'A1.3.10'!$S$28:$AE$58,10,))))</f>
        <v>-1.9493920679616401E-3</v>
      </c>
      <c r="AI43" s="1578">
        <f>IF($B43&lt;'A1.3.10'!$S$28,"",IF($B43&gt;'A1.3.10'!$S$58,AI42,IF(OR(VLOOKUP($B43,'A1.3.10'!$S$28:$AE$58,10,)="",'Fuel consumption'!G$32=""),"",'Fuel consumption'!G$32 * VLOOKUP($B43,'A1.3.10'!$S$28:$AE$58,10,))))</f>
        <v>1.1619187345164999E-5</v>
      </c>
      <c r="AJ43" s="610">
        <f>IF($B43&lt;'A1.3.10'!$S$28,"",IF($B43&gt;'A1.3.10'!$S$58,AJ42,IF(OR(VLOOKUP($B43,'A1.3.10'!$S$28:$AE$58,12,)="",'Fuel consumption'!D$33=""),"",'Fuel consumption'!D$33 * VLOOKUP($B43,'A1.3.10'!$S$28:$AE$58,12,))))</f>
        <v>3.3601870156891001</v>
      </c>
      <c r="AK43" s="611">
        <f>IF($B43&lt;'A1.3.10'!$S$28,"",IF($B43&gt;'A1.3.10'!$S$58,AK42,IF(OR(VLOOKUP($B43,'A1.3.10'!$S$28:$AE$58,12,)="",'Fuel consumption'!E$33=""),"",'Fuel consumption'!E$33 * VLOOKUP($B43,'A1.3.10'!$S$28:$AE$58,12,))))</f>
        <v>0.29524938703213599</v>
      </c>
      <c r="AL43" s="611">
        <f>IF($B43&lt;'A1.3.10'!$S$28,"",IF($B43&gt;'A1.3.10'!$S$58,AL42,IF(OR(VLOOKUP($B43,'A1.3.10'!$S$28:$AE$58,12,)="",'Fuel consumption'!F$33=""),"",'Fuel consumption'!F$33 * VLOOKUP($B43,'A1.3.10'!$S$28:$AE$58,12,))))</f>
        <v>-3.20909768342738E-3</v>
      </c>
      <c r="AM43" s="1578">
        <f>IF($B43&lt;'A1.3.10'!$S$28,"",IF($B43&gt;'A1.3.10'!$S$58,AM42,IF(OR(VLOOKUP($B43,'A1.3.10'!$S$28:$AE$58,12,)="",'Fuel consumption'!G$33=""),"",'Fuel consumption'!G$33 * VLOOKUP($B43,'A1.3.10'!$S$28:$AE$58,12,))))</f>
        <v>2.3540043227716499E-5</v>
      </c>
    </row>
    <row r="44" spans="1:39" ht="13.5" customHeight="1">
      <c r="A44" s="623"/>
      <c r="B44" s="614">
        <f t="shared" si="1"/>
        <v>2028</v>
      </c>
      <c r="C44" s="609"/>
      <c r="D44" s="2484">
        <f>IF($B44&lt;'A1.3.10'!$S$28,"",IF($B44&gt;'A1.3.10'!$S$58,D43,IF(OR(VLOOKUP($B44,'A1.3.10'!$S$28:$AE$58,2,)="",'Fuel consumption'!D$27=""),"",'Fuel consumption'!D$27 * VLOOKUP($B44,'A1.3.10'!$S$28:$AE$58,2,))))</f>
        <v>0.34185535831328412</v>
      </c>
      <c r="E44" s="2485">
        <f>IF($B44&lt;'A1.3.10'!$S$28,"",IF($B44&gt;'A1.3.10'!$S$58,E43,IF(OR(VLOOKUP($B44,'A1.3.10'!$S$28:$AE$58,2,)="",'Fuel consumption'!E$27=""),"",'Fuel consumption'!E$27 * VLOOKUP($B44,'A1.3.10'!$S$28:$AE$58,2,))))</f>
        <v>7.2649808845960881E-2</v>
      </c>
      <c r="F44" s="2485">
        <f>IF($B44&lt;'A1.3.10'!$S$28,"",IF($B44&gt;'A1.3.10'!$S$58,F43,IF(OR(VLOOKUP($B44,'A1.3.10'!$S$28:$AE$58,2,)="",'Fuel consumption'!F$27=""),"",'Fuel consumption'!F$27 * VLOOKUP($B44,'A1.3.10'!$S$28:$AE$58,2,))))</f>
        <v>-8.275674771243901E-4</v>
      </c>
      <c r="G44" s="2642">
        <f>IF($B44&lt;'A1.3.10'!$S$28,"",IF($B44&gt;'A1.3.10'!$S$58,G43,IF(OR(VLOOKUP($B44,'A1.3.10'!$S$28:$AE$58,2,)="",'Fuel consumption'!G$27=""),"",'Fuel consumption'!G$27 * VLOOKUP($B44,'A1.3.10'!$S$28:$AE$58,2,))))</f>
        <v>5.4809128137933481E-6</v>
      </c>
      <c r="H44" s="2486">
        <f>IF($B44&lt;'A1.3.10'!$S$28,"",IF($B44&gt;'A1.3.10'!$S$58,H43,IF(OR(VLOOKUP($B44,'A1.3.10'!$S$28:$AE$58,3,)="",'Fuel consumption'!D$28=""),"",'Fuel consumption'!D$28  * VLOOKUP($B44,'A1.3.10'!$S$28:$AE$58,3,))))</f>
        <v>0.39926580817157498</v>
      </c>
      <c r="I44" s="2487">
        <f>IF($B44&lt;'A1.3.10'!$S$28,"",IF($B44&gt;'A1.3.10'!$S$58,I43,IF(OR(VLOOKUP($B44,'A1.3.10'!$S$28:$AE$58,3,)="",'Fuel consumption'!E$28=""),"",'Fuel consumption'!E$28  * VLOOKUP($B44,'A1.3.10'!$S$28:$AE$58,3,))))</f>
        <v>5.7244843059593563E-2</v>
      </c>
      <c r="J44" s="2487">
        <f>IF($B44&lt;'A1.3.10'!$S$28,"",IF($B44&gt;'A1.3.10'!$S$58,J43,IF(OR(VLOOKUP($B44,'A1.3.10'!$S$28:$AE$58,3,)="",'Fuel consumption'!F$28=""),"",'Fuel consumption'!F$28  * VLOOKUP($B44,'A1.3.10'!$S$28:$AE$58,3,))))</f>
        <v>-5.5071133754023194E-4</v>
      </c>
      <c r="K44" s="2642">
        <f>IF($B44&lt;'A1.3.10'!$S$28,"",IF($B44&gt;'A1.3.10'!$S$58,K43,IF(OR(VLOOKUP($B44,'A1.3.10'!$S$28:$AE$58,3,)="",'Fuel consumption'!G$28=""),"",'Fuel consumption'!G$28  * VLOOKUP($B44,'A1.3.10'!$S$28:$AE$58,3,))))</f>
        <v>4.3396329694171192E-6</v>
      </c>
      <c r="L44" s="2486" t="str">
        <f>IF($B44&lt;'A1.3.10'!$S$28,"",IF($B44&gt;'A1.3.10'!$S$58,L43,IF(OR(VLOOKUP($B44,'A1.3.10'!$S$28:$AE$58,4,)="", 'Fuel consumption'!D$36=""),"",'Fuel consumption'!D$36 * VLOOKUP($B44,'A1.3.10'!$S$28:$AE$58,4,))))</f>
        <v/>
      </c>
      <c r="M44" s="2487">
        <f>IF($B44&lt;'A1.3.10'!$S$28,"",IF($B44&gt;'A1.3.10'!$S$58,M43,IF(OR(VLOOKUP($B44,'A1.3.10'!$S$28:$AE$58,4,)="", 'Fuel consumption'!E$36=""),"",'Fuel consumption'!E$36 * VLOOKUP($B44,'A1.3.10'!$S$28:$AE$58,4,))))</f>
        <v>0.13903141390833137</v>
      </c>
      <c r="N44" s="614" t="str">
        <f>IF($B44&lt;'A1.3.10'!$S$28,"",IF($B44&gt;'A1.3.10'!$S$58,N43,IF(OR(VLOOKUP($B44,'A1.3.10'!$S$28:$AE$58,4,)="", 'Fuel consumption'!F$36=""),"",'Fuel consumption'!F$36 * VLOOKUP($B44,'A1.3.10'!$S$28:$AE$58,4,))))</f>
        <v/>
      </c>
      <c r="O44" s="612" t="str">
        <f>IF($B44&lt;'A1.3.10'!$S$28,"",IF($B44&gt;'A1.3.10'!$S$58,O43,IF(OR(VLOOKUP($B44,'A1.3.10'!$S$28:$AE$58,4,)="", 'Fuel consumption'!G$36=""),"",'Fuel consumption'!G$36 * VLOOKUP($B44,'A1.3.10'!$S$28:$AE$58,4,))))</f>
        <v/>
      </c>
      <c r="P44" s="610">
        <f>IF($B44&lt;'A1.3.10'!$S$28,"",IF($B44&gt;'A1.3.10'!$S$58,P43,IF(OR(VLOOKUP($B44,'A1.3.10'!$S$28:$AE$58,5,)="",'Fuel consumption'!D$29=""),"",'Fuel consumption'!D$29 * VLOOKUP($B44,'A1.3.10'!$S$28:$AE$58,5,))))</f>
        <v>0.24563833396994383</v>
      </c>
      <c r="Q44" s="611">
        <f>IF($B44&lt;'A1.3.10'!$S$28,"",IF($B44&gt;'A1.3.10'!$S$58,Q43,IF(OR(VLOOKUP($B44,'A1.3.10'!$S$28:$AE$58,5,)="",'Fuel consumption'!E$29=""),"",'Fuel consumption'!E$29 * VLOOKUP($B44,'A1.3.10'!$S$28:$AE$58,5,))))</f>
        <v>0.13773975856815865</v>
      </c>
      <c r="R44" s="611">
        <f>IF($B44&lt;'A1.3.10'!$S$28,"",IF($B44&gt;'A1.3.10'!$S$58,R43,IF(OR(VLOOKUP($B44,'A1.3.10'!$S$28:$AE$58,5,)="",'Fuel consumption'!F$29=""),"",'Fuel consumption'!F$29 * VLOOKUP($B44,'A1.3.10'!$S$28:$AE$58,5,))))</f>
        <v>-2.1620620932853107E-3</v>
      </c>
      <c r="S44" s="2642">
        <f>IF($B44&lt;'A1.3.10'!$S$28,"",IF($B44&gt;'A1.3.10'!$S$58,S43,IF(OR(VLOOKUP($B44,'A1.3.10'!$S$28:$AE$58,5,)="",'Fuel consumption'!G$29=""),"",'Fuel consumption'!G$29 * VLOOKUP($B44,'A1.3.10'!$S$28:$AE$58,5,))))</f>
        <v>1.3962677799758588E-5</v>
      </c>
      <c r="T44" s="610">
        <f>IF($B44&lt;'A1.3.10'!$S$28,"",IF($B44&gt;'A1.3.10'!$S$58,T43,IF(OR(VLOOKUP($B44,'A1.3.10'!$S$28:$AE$58,6,)="",'Fuel consumption'!D$30=""),"",'Fuel consumption'!D$30 * VLOOKUP($B44,'A1.3.10'!$S$28:$AE$58,6,))))</f>
        <v>0.40927203896646402</v>
      </c>
      <c r="U44" s="611">
        <f>IF($B44&lt;'A1.3.10'!$S$28,"",IF($B44&gt;'A1.3.10'!$S$58,U43,IF(OR(VLOOKUP($B44,'A1.3.10'!$S$28:$AE$58,6,)="",'Fuel consumption'!E$30=""),"",'Fuel consumption'!E$30 * VLOOKUP($B44,'A1.3.10'!$S$28:$AE$58,6,))))</f>
        <v>0.10002775424272919</v>
      </c>
      <c r="V44" s="611">
        <f>IF($B44&lt;'A1.3.10'!$S$28,"",IF($B44&gt;'A1.3.10'!$S$58,V43,IF(OR(VLOOKUP($B44,'A1.3.10'!$S$28:$AE$58,6,)="",'Fuel consumption'!F$30=""),"",'Fuel consumption'!F$30 * VLOOKUP($B44,'A1.3.10'!$S$28:$AE$58,6,))))</f>
        <v>-1.4430821496920826E-3</v>
      </c>
      <c r="W44" s="2642">
        <f>IF($B44&lt;'A1.3.10'!$S$28,"",IF($B44&gt;'A1.3.10'!$S$58,W43,IF(OR(VLOOKUP($B44,'A1.3.10'!$S$28:$AE$58,6,)="",'Fuel consumption'!G$30=""),"",'Fuel consumption'!G$30 * VLOOKUP($B44,'A1.3.10'!$S$28:$AE$58,6,))))</f>
        <v>1.2217183795448874E-5</v>
      </c>
      <c r="X44" s="3144"/>
      <c r="Y44" s="2487">
        <f>IF($B44&lt;'A1.3.10'!$S$28,"",IF($B44&gt;'A1.3.10'!$S$58,Y43,IF(OR(VLOOKUP($B44,'A1.3.10'!$S$28:$AE$58,7,)="", 'Fuel consumption'!E$37=""),"",'Fuel consumption'!E$37 * VLOOKUP($B44,'A1.3.10'!$S$28:$AE$58,7,))))</f>
        <v>0.29149401103980149</v>
      </c>
      <c r="Z44" s="2642"/>
      <c r="AA44" s="2642"/>
      <c r="AB44" s="610">
        <f>IF($B44&lt;'A1.3.10'!$S$28,"",IF($B44&gt;'A1.3.10'!$S$58,AB43,IF(OR(VLOOKUP($B44,'A1.3.10'!$S$28:$AE$58,8,)="",'Fuel consumption'!D$31=""),"",'Fuel consumption'!D$31 * VLOOKUP($B44,'A1.3.10'!$S$28:$AE$58,8,))))</f>
        <v>2.6962848686626804</v>
      </c>
      <c r="AC44" s="611">
        <f>IF($B44&lt;'A1.3.10'!$S$28,"",IF($B44&gt;'A1.3.10'!$S$58,AC43,IF(OR(VLOOKUP($B44,'A1.3.10'!$S$28:$AE$58,8,)="",'Fuel consumption'!E$31=""),"",'Fuel consumption'!E$31 * VLOOKUP($B44,'A1.3.10'!$S$28:$AE$58,8,))))</f>
        <v>0.143057339771858</v>
      </c>
      <c r="AD44" s="611">
        <f>IF($B44&lt;'A1.3.10'!$S$28,"",IF($B44&gt;'A1.3.10'!$S$58,AD43,IF(OR(VLOOKUP($B44,'A1.3.10'!$S$28:$AE$58,8,)="",'Fuel consumption'!F$31=""),"",'Fuel consumption'!F$31 * VLOOKUP($B44,'A1.3.10'!$S$28:$AE$58,8,))))</f>
        <v>-1.0340193601785499E-3</v>
      </c>
      <c r="AE44" s="2642">
        <f>IF($B44&lt;'A1.3.10'!$S$28,"",IF($B44&gt;'A1.3.10'!$S$58,AE43,IF(OR(VLOOKUP($B44,'A1.3.10'!$S$28:$AE$58,8,)="",'Fuel consumption'!G$31=""),"",'Fuel consumption'!G$31 * VLOOKUP($B44,'A1.3.10'!$S$28:$AE$58,8,))))</f>
        <v>1.1293150500864199E-5</v>
      </c>
      <c r="AF44" s="610">
        <f>IF($B44&lt;'A1.3.10'!$S$28,"",IF($B44&gt;'A1.3.10'!$S$58,AF43,IF(OR(VLOOKUP($B44,'A1.3.10'!$S$28:$AE$58,10,)="",'Fuel consumption'!D$32=""),"",'Fuel consumption'!D$32 * VLOOKUP($B44,'A1.3.10'!$S$28:$AE$58,10,))))</f>
        <v>5.6655970981789903</v>
      </c>
      <c r="AG44" s="611">
        <f>IF($B44&lt;'A1.3.10'!$S$28,"",IF($B44&gt;'A1.3.10'!$S$58,AG43,IF(OR(VLOOKUP($B44,'A1.3.10'!$S$28:$AE$58,10,)="",'Fuel consumption'!E$32=""),"",'Fuel consumption'!E$32 * VLOOKUP($B44,'A1.3.10'!$S$28:$AE$58,10,))))</f>
        <v>0.29422449618924201</v>
      </c>
      <c r="AH44" s="611">
        <f>IF($B44&lt;'A1.3.10'!$S$28,"",IF($B44&gt;'A1.3.10'!$S$58,AH43,IF(OR(VLOOKUP($B44,'A1.3.10'!$S$28:$AE$58,10,)="",'Fuel consumption'!F$32=""),"",'Fuel consumption'!F$32 * VLOOKUP($B44,'A1.3.10'!$S$28:$AE$58,10,))))</f>
        <v>-1.9493920679616401E-3</v>
      </c>
      <c r="AI44" s="1578">
        <f>IF($B44&lt;'A1.3.10'!$S$28,"",IF($B44&gt;'A1.3.10'!$S$58,AI43,IF(OR(VLOOKUP($B44,'A1.3.10'!$S$28:$AE$58,10,)="",'Fuel consumption'!G$32=""),"",'Fuel consumption'!G$32 * VLOOKUP($B44,'A1.3.10'!$S$28:$AE$58,10,))))</f>
        <v>1.1619187345164999E-5</v>
      </c>
      <c r="AJ44" s="610">
        <f>IF($B44&lt;'A1.3.10'!$S$28,"",IF($B44&gt;'A1.3.10'!$S$58,AJ43,IF(OR(VLOOKUP($B44,'A1.3.10'!$S$28:$AE$58,12,)="",'Fuel consumption'!D$33=""),"",'Fuel consumption'!D$33 * VLOOKUP($B44,'A1.3.10'!$S$28:$AE$58,12,))))</f>
        <v>3.3601870156891001</v>
      </c>
      <c r="AK44" s="611">
        <f>IF($B44&lt;'A1.3.10'!$S$28,"",IF($B44&gt;'A1.3.10'!$S$58,AK43,IF(OR(VLOOKUP($B44,'A1.3.10'!$S$28:$AE$58,12,)="",'Fuel consumption'!E$33=""),"",'Fuel consumption'!E$33 * VLOOKUP($B44,'A1.3.10'!$S$28:$AE$58,12,))))</f>
        <v>0.29524938703213599</v>
      </c>
      <c r="AL44" s="611">
        <f>IF($B44&lt;'A1.3.10'!$S$28,"",IF($B44&gt;'A1.3.10'!$S$58,AL43,IF(OR(VLOOKUP($B44,'A1.3.10'!$S$28:$AE$58,12,)="",'Fuel consumption'!F$33=""),"",'Fuel consumption'!F$33 * VLOOKUP($B44,'A1.3.10'!$S$28:$AE$58,12,))))</f>
        <v>-3.20909768342738E-3</v>
      </c>
      <c r="AM44" s="1578">
        <f>IF($B44&lt;'A1.3.10'!$S$28,"",IF($B44&gt;'A1.3.10'!$S$58,AM43,IF(OR(VLOOKUP($B44,'A1.3.10'!$S$28:$AE$58,12,)="",'Fuel consumption'!G$33=""),"",'Fuel consumption'!G$33 * VLOOKUP($B44,'A1.3.10'!$S$28:$AE$58,12,))))</f>
        <v>2.3540043227716499E-5</v>
      </c>
    </row>
    <row r="45" spans="1:39" ht="13.5" customHeight="1">
      <c r="A45" s="623"/>
      <c r="B45" s="614">
        <f t="shared" si="1"/>
        <v>2029</v>
      </c>
      <c r="C45" s="609"/>
      <c r="D45" s="2484">
        <f>IF($B45&lt;'A1.3.10'!$S$28,"",IF($B45&gt;'A1.3.10'!$S$58,D44,IF(OR(VLOOKUP($B45,'A1.3.10'!$S$28:$AE$58,2,)="",'Fuel consumption'!D$27=""),"",'Fuel consumption'!D$27 * VLOOKUP($B45,'A1.3.10'!$S$28:$AE$58,2,))))</f>
        <v>0.33839077691559144</v>
      </c>
      <c r="E45" s="2485">
        <f>IF($B45&lt;'A1.3.10'!$S$28,"",IF($B45&gt;'A1.3.10'!$S$58,E44,IF(OR(VLOOKUP($B45,'A1.3.10'!$S$28:$AE$58,2,)="",'Fuel consumption'!E$27=""),"",'Fuel consumption'!E$27 * VLOOKUP($B45,'A1.3.10'!$S$28:$AE$58,2,))))</f>
        <v>7.1913529100294346E-2</v>
      </c>
      <c r="F45" s="2485">
        <f>IF($B45&lt;'A1.3.10'!$S$28,"",IF($B45&gt;'A1.3.10'!$S$58,F44,IF(OR(VLOOKUP($B45,'A1.3.10'!$S$28:$AE$58,2,)="",'Fuel consumption'!F$27=""),"",'Fuel consumption'!F$27 * VLOOKUP($B45,'A1.3.10'!$S$28:$AE$58,2,))))</f>
        <v>-8.1918037767763198E-4</v>
      </c>
      <c r="G45" s="2642">
        <f>IF($B45&lt;'A1.3.10'!$S$28,"",IF($B45&gt;'A1.3.10'!$S$58,G44,IF(OR(VLOOKUP($B45,'A1.3.10'!$S$28:$AE$58,2,)="",'Fuel consumption'!G$27=""),"",'Fuel consumption'!G$27 * VLOOKUP($B45,'A1.3.10'!$S$28:$AE$58,2,))))</f>
        <v>5.4253657289948647E-6</v>
      </c>
      <c r="H45" s="2486">
        <f>IF($B45&lt;'A1.3.10'!$S$28,"",IF($B45&gt;'A1.3.10'!$S$58,H44,IF(OR(VLOOKUP($B45,'A1.3.10'!$S$28:$AE$58,3,)="",'Fuel consumption'!D$28=""),"",'Fuel consumption'!D$28  * VLOOKUP($B45,'A1.3.10'!$S$28:$AE$58,3,))))</f>
        <v>0.39699877246862231</v>
      </c>
      <c r="I45" s="2487">
        <f>IF($B45&lt;'A1.3.10'!$S$28,"",IF($B45&gt;'A1.3.10'!$S$58,I44,IF(OR(VLOOKUP($B45,'A1.3.10'!$S$28:$AE$58,3,)="",'Fuel consumption'!E$28=""),"",'Fuel consumption'!E$28  * VLOOKUP($B45,'A1.3.10'!$S$28:$AE$58,3,))))</f>
        <v>5.6919806203519351E-2</v>
      </c>
      <c r="J45" s="2487">
        <f>IF($B45&lt;'A1.3.10'!$S$28,"",IF($B45&gt;'A1.3.10'!$S$58,J44,IF(OR(VLOOKUP($B45,'A1.3.10'!$S$28:$AE$58,3,)="",'Fuel consumption'!F$28=""),"",'Fuel consumption'!F$28  * VLOOKUP($B45,'A1.3.10'!$S$28:$AE$58,3,))))</f>
        <v>-5.4758439243581165E-4</v>
      </c>
      <c r="K45" s="2642">
        <f>IF($B45&lt;'A1.3.10'!$S$28,"",IF($B45&gt;'A1.3.10'!$S$58,K44,IF(OR(VLOOKUP($B45,'A1.3.10'!$S$28:$AE$58,3,)="",'Fuel consumption'!G$28=""),"",'Fuel consumption'!G$28  * VLOOKUP($B45,'A1.3.10'!$S$28:$AE$58,3,))))</f>
        <v>4.314992485113111E-6</v>
      </c>
      <c r="L45" s="2486" t="str">
        <f>IF($B45&lt;'A1.3.10'!$S$28,"",IF($B45&gt;'A1.3.10'!$S$58,L44,IF(OR(VLOOKUP($B45,'A1.3.10'!$S$28:$AE$58,4,)="", 'Fuel consumption'!D$36=""),"",'Fuel consumption'!D$36 * VLOOKUP($B45,'A1.3.10'!$S$28:$AE$58,4,))))</f>
        <v/>
      </c>
      <c r="M45" s="2487">
        <f>IF($B45&lt;'A1.3.10'!$S$28,"",IF($B45&gt;'A1.3.10'!$S$58,M44,IF(OR(VLOOKUP($B45,'A1.3.10'!$S$28:$AE$58,4,)="", 'Fuel consumption'!E$36=""),"",'Fuel consumption'!E$36 * VLOOKUP($B45,'A1.3.10'!$S$28:$AE$58,4,))))</f>
        <v>0.13710110088250133</v>
      </c>
      <c r="N45" s="614" t="str">
        <f>IF($B45&lt;'A1.3.10'!$S$28,"",IF($B45&gt;'A1.3.10'!$S$58,N44,IF(OR(VLOOKUP($B45,'A1.3.10'!$S$28:$AE$58,4,)="", 'Fuel consumption'!F$36=""),"",'Fuel consumption'!F$36 * VLOOKUP($B45,'A1.3.10'!$S$28:$AE$58,4,))))</f>
        <v/>
      </c>
      <c r="O45" s="612" t="str">
        <f>IF($B45&lt;'A1.3.10'!$S$28,"",IF($B45&gt;'A1.3.10'!$S$58,O44,IF(OR(VLOOKUP($B45,'A1.3.10'!$S$28:$AE$58,4,)="", 'Fuel consumption'!G$36=""),"",'Fuel consumption'!G$36 * VLOOKUP($B45,'A1.3.10'!$S$28:$AE$58,4,))))</f>
        <v/>
      </c>
      <c r="P45" s="610">
        <f>IF($B45&lt;'A1.3.10'!$S$28,"",IF($B45&gt;'A1.3.10'!$S$58,P44,IF(OR(VLOOKUP($B45,'A1.3.10'!$S$28:$AE$58,5,)="",'Fuel consumption'!D$29=""),"",'Fuel consumption'!D$29 * VLOOKUP($B45,'A1.3.10'!$S$28:$AE$58,5,))))</f>
        <v>0.24299552985412634</v>
      </c>
      <c r="Q45" s="611">
        <f>IF($B45&lt;'A1.3.10'!$S$28,"",IF($B45&gt;'A1.3.10'!$S$58,Q44,IF(OR(VLOOKUP($B45,'A1.3.10'!$S$28:$AE$58,5,)="",'Fuel consumption'!E$29=""),"",'Fuel consumption'!E$29 * VLOOKUP($B45,'A1.3.10'!$S$28:$AE$58,5,))))</f>
        <v>0.1362578270024602</v>
      </c>
      <c r="R45" s="611">
        <f>IF($B45&lt;'A1.3.10'!$S$28,"",IF($B45&gt;'A1.3.10'!$S$58,R44,IF(OR(VLOOKUP($B45,'A1.3.10'!$S$28:$AE$58,5,)="",'Fuel consumption'!F$29=""),"",'Fuel consumption'!F$29 * VLOOKUP($B45,'A1.3.10'!$S$28:$AE$58,5,))))</f>
        <v>-2.1388006319879604E-3</v>
      </c>
      <c r="S45" s="2642">
        <f>IF($B45&lt;'A1.3.10'!$S$28,"",IF($B45&gt;'A1.3.10'!$S$58,S44,IF(OR(VLOOKUP($B45,'A1.3.10'!$S$28:$AE$58,5,)="",'Fuel consumption'!G$29=""),"",'Fuel consumption'!G$29 * VLOOKUP($B45,'A1.3.10'!$S$28:$AE$58,5,))))</f>
        <v>1.3812454413365036E-5</v>
      </c>
      <c r="T45" s="610">
        <f>IF($B45&lt;'A1.3.10'!$S$28,"",IF($B45&gt;'A1.3.10'!$S$58,T44,IF(OR(VLOOKUP($B45,'A1.3.10'!$S$28:$AE$58,6,)="",'Fuel consumption'!D$30=""),"",'Fuel consumption'!D$30 * VLOOKUP($B45,'A1.3.10'!$S$28:$AE$58,6,))))</f>
        <v>0.40669866323380927</v>
      </c>
      <c r="U45" s="611">
        <f>IF($B45&lt;'A1.3.10'!$S$28,"",IF($B45&gt;'A1.3.10'!$S$58,U44,IF(OR(VLOOKUP($B45,'A1.3.10'!$S$28:$AE$58,6,)="",'Fuel consumption'!E$30=""),"",'Fuel consumption'!E$30 * VLOOKUP($B45,'A1.3.10'!$S$28:$AE$58,6,))))</f>
        <v>9.9398810726308601E-2</v>
      </c>
      <c r="V45" s="611">
        <f>IF($B45&lt;'A1.3.10'!$S$28,"",IF($B45&gt;'A1.3.10'!$S$58,V44,IF(OR(VLOOKUP($B45,'A1.3.10'!$S$28:$AE$58,6,)="",'Fuel consumption'!F$30=""),"",'Fuel consumption'!F$30 * VLOOKUP($B45,'A1.3.10'!$S$28:$AE$58,6,))))</f>
        <v>-1.4340084963987308E-3</v>
      </c>
      <c r="W45" s="2642">
        <f>IF($B45&lt;'A1.3.10'!$S$28,"",IF($B45&gt;'A1.3.10'!$S$58,W44,IF(OR(VLOOKUP($B45,'A1.3.10'!$S$28:$AE$58,6,)="",'Fuel consumption'!G$30=""),"",'Fuel consumption'!G$30 * VLOOKUP($B45,'A1.3.10'!$S$28:$AE$58,6,))))</f>
        <v>1.2140365930294965E-5</v>
      </c>
      <c r="X45" s="3144"/>
      <c r="Y45" s="2487">
        <f>IF($B45&lt;'A1.3.10'!$S$28,"",IF($B45&gt;'A1.3.10'!$S$58,Y44,IF(OR(VLOOKUP($B45,'A1.3.10'!$S$28:$AE$58,7,)="", 'Fuel consumption'!E$37=""),"",'Fuel consumption'!E$37 * VLOOKUP($B45,'A1.3.10'!$S$28:$AE$58,7,))))</f>
        <v>0.29149401103980149</v>
      </c>
      <c r="Z45" s="2642"/>
      <c r="AA45" s="2642"/>
      <c r="AB45" s="610">
        <f>IF($B45&lt;'A1.3.10'!$S$28,"",IF($B45&gt;'A1.3.10'!$S$58,AB44,IF(OR(VLOOKUP($B45,'A1.3.10'!$S$28:$AE$58,8,)="",'Fuel consumption'!D$31=""),"",'Fuel consumption'!D$31 * VLOOKUP($B45,'A1.3.10'!$S$28:$AE$58,8,))))</f>
        <v>2.6962848686626804</v>
      </c>
      <c r="AC45" s="611">
        <f>IF($B45&lt;'A1.3.10'!$S$28,"",IF($B45&gt;'A1.3.10'!$S$58,AC44,IF(OR(VLOOKUP($B45,'A1.3.10'!$S$28:$AE$58,8,)="",'Fuel consumption'!E$31=""),"",'Fuel consumption'!E$31 * VLOOKUP($B45,'A1.3.10'!$S$28:$AE$58,8,))))</f>
        <v>0.143057339771858</v>
      </c>
      <c r="AD45" s="611">
        <f>IF($B45&lt;'A1.3.10'!$S$28,"",IF($B45&gt;'A1.3.10'!$S$58,AD44,IF(OR(VLOOKUP($B45,'A1.3.10'!$S$28:$AE$58,8,)="",'Fuel consumption'!F$31=""),"",'Fuel consumption'!F$31 * VLOOKUP($B45,'A1.3.10'!$S$28:$AE$58,8,))))</f>
        <v>-1.0340193601785499E-3</v>
      </c>
      <c r="AE45" s="2642">
        <f>IF($B45&lt;'A1.3.10'!$S$28,"",IF($B45&gt;'A1.3.10'!$S$58,AE44,IF(OR(VLOOKUP($B45,'A1.3.10'!$S$28:$AE$58,8,)="",'Fuel consumption'!G$31=""),"",'Fuel consumption'!G$31 * VLOOKUP($B45,'A1.3.10'!$S$28:$AE$58,8,))))</f>
        <v>1.1293150500864199E-5</v>
      </c>
      <c r="AF45" s="610">
        <f>IF($B45&lt;'A1.3.10'!$S$28,"",IF($B45&gt;'A1.3.10'!$S$58,AF44,IF(OR(VLOOKUP($B45,'A1.3.10'!$S$28:$AE$58,10,)="",'Fuel consumption'!D$32=""),"",'Fuel consumption'!D$32 * VLOOKUP($B45,'A1.3.10'!$S$28:$AE$58,10,))))</f>
        <v>5.6655970981789903</v>
      </c>
      <c r="AG45" s="611">
        <f>IF($B45&lt;'A1.3.10'!$S$28,"",IF($B45&gt;'A1.3.10'!$S$58,AG44,IF(OR(VLOOKUP($B45,'A1.3.10'!$S$28:$AE$58,10,)="",'Fuel consumption'!E$32=""),"",'Fuel consumption'!E$32 * VLOOKUP($B45,'A1.3.10'!$S$28:$AE$58,10,))))</f>
        <v>0.29422449618924201</v>
      </c>
      <c r="AH45" s="611">
        <f>IF($B45&lt;'A1.3.10'!$S$28,"",IF($B45&gt;'A1.3.10'!$S$58,AH44,IF(OR(VLOOKUP($B45,'A1.3.10'!$S$28:$AE$58,10,)="",'Fuel consumption'!F$32=""),"",'Fuel consumption'!F$32 * VLOOKUP($B45,'A1.3.10'!$S$28:$AE$58,10,))))</f>
        <v>-1.9493920679616401E-3</v>
      </c>
      <c r="AI45" s="1578">
        <f>IF($B45&lt;'A1.3.10'!$S$28,"",IF($B45&gt;'A1.3.10'!$S$58,AI44,IF(OR(VLOOKUP($B45,'A1.3.10'!$S$28:$AE$58,10,)="",'Fuel consumption'!G$32=""),"",'Fuel consumption'!G$32 * VLOOKUP($B45,'A1.3.10'!$S$28:$AE$58,10,))))</f>
        <v>1.1619187345164999E-5</v>
      </c>
      <c r="AJ45" s="610">
        <f>IF($B45&lt;'A1.3.10'!$S$28,"",IF($B45&gt;'A1.3.10'!$S$58,AJ44,IF(OR(VLOOKUP($B45,'A1.3.10'!$S$28:$AE$58,12,)="",'Fuel consumption'!D$33=""),"",'Fuel consumption'!D$33 * VLOOKUP($B45,'A1.3.10'!$S$28:$AE$58,12,))))</f>
        <v>3.3601870156891001</v>
      </c>
      <c r="AK45" s="611">
        <f>IF($B45&lt;'A1.3.10'!$S$28,"",IF($B45&gt;'A1.3.10'!$S$58,AK44,IF(OR(VLOOKUP($B45,'A1.3.10'!$S$28:$AE$58,12,)="",'Fuel consumption'!E$33=""),"",'Fuel consumption'!E$33 * VLOOKUP($B45,'A1.3.10'!$S$28:$AE$58,12,))))</f>
        <v>0.29524938703213599</v>
      </c>
      <c r="AL45" s="611">
        <f>IF($B45&lt;'A1.3.10'!$S$28,"",IF($B45&gt;'A1.3.10'!$S$58,AL44,IF(OR(VLOOKUP($B45,'A1.3.10'!$S$28:$AE$58,12,)="",'Fuel consumption'!F$33=""),"",'Fuel consumption'!F$33 * VLOOKUP($B45,'A1.3.10'!$S$28:$AE$58,12,))))</f>
        <v>-3.20909768342738E-3</v>
      </c>
      <c r="AM45" s="1578">
        <f>IF($B45&lt;'A1.3.10'!$S$28,"",IF($B45&gt;'A1.3.10'!$S$58,AM44,IF(OR(VLOOKUP($B45,'A1.3.10'!$S$28:$AE$58,12,)="",'Fuel consumption'!G$33=""),"",'Fuel consumption'!G$33 * VLOOKUP($B45,'A1.3.10'!$S$28:$AE$58,12,))))</f>
        <v>2.3540043227716499E-5</v>
      </c>
    </row>
    <row r="46" spans="1:39" ht="13.5" customHeight="1">
      <c r="A46" s="623"/>
      <c r="B46" s="614">
        <f t="shared" si="1"/>
        <v>2030</v>
      </c>
      <c r="C46" s="609"/>
      <c r="D46" s="2484">
        <f>IF($B46&lt;'A1.3.10'!$S$28,"",IF($B46&gt;'A1.3.10'!$S$58,D45,IF(OR(VLOOKUP($B46,'A1.3.10'!$S$28:$AE$58,2,)="",'Fuel consumption'!D$27=""),"",'Fuel consumption'!D$27 * VLOOKUP($B46,'A1.3.10'!$S$28:$AE$58,2,))))</f>
        <v>0.33558375192360473</v>
      </c>
      <c r="E46" s="2485">
        <f>IF($B46&lt;'A1.3.10'!$S$28,"",IF($B46&gt;'A1.3.10'!$S$58,E45,IF(OR(VLOOKUP($B46,'A1.3.10'!$S$28:$AE$58,2,)="",'Fuel consumption'!E$27=""),"",'Fuel consumption'!E$27 * VLOOKUP($B46,'A1.3.10'!$S$28:$AE$58,2,))))</f>
        <v>7.131699075700243E-2</v>
      </c>
      <c r="F46" s="2485">
        <f>IF($B46&lt;'A1.3.10'!$S$28,"",IF($B46&gt;'A1.3.10'!$S$58,F45,IF(OR(VLOOKUP($B46,'A1.3.10'!$S$28:$AE$58,2,)="",'Fuel consumption'!F$27=""),"",'Fuel consumption'!F$27 * VLOOKUP($B46,'A1.3.10'!$S$28:$AE$58,2,))))</f>
        <v>-8.1238509852125051E-4</v>
      </c>
      <c r="G46" s="2642">
        <f>IF($B46&lt;'A1.3.10'!$S$28,"",IF($B46&gt;'A1.3.10'!$S$58,G45,IF(OR(VLOOKUP($B46,'A1.3.10'!$S$28:$AE$58,2,)="",'Fuel consumption'!G$27=""),"",'Fuel consumption'!G$27 * VLOOKUP($B46,'A1.3.10'!$S$28:$AE$58,2,))))</f>
        <v>5.3803611418995258E-6</v>
      </c>
      <c r="H46" s="2486">
        <f>IF($B46&lt;'A1.3.10'!$S$28,"",IF($B46&gt;'A1.3.10'!$S$58,H45,IF(OR(VLOOKUP($B46,'A1.3.10'!$S$28:$AE$58,3,)="",'Fuel consumption'!D$28=""),"",'Fuel consumption'!D$28  * VLOOKUP($B46,'A1.3.10'!$S$28:$AE$58,3,))))</f>
        <v>0.39517912304242675</v>
      </c>
      <c r="I46" s="2487">
        <f>IF($B46&lt;'A1.3.10'!$S$28,"",IF($B46&gt;'A1.3.10'!$S$58,I45,IF(OR(VLOOKUP($B46,'A1.3.10'!$S$28:$AE$58,3,)="",'Fuel consumption'!E$28=""),"",'Fuel consumption'!E$28  * VLOOKUP($B46,'A1.3.10'!$S$28:$AE$58,3,))))</f>
        <v>5.6658913475682054E-2</v>
      </c>
      <c r="J46" s="2487">
        <f>IF($B46&lt;'A1.3.10'!$S$28,"",IF($B46&gt;'A1.3.10'!$S$58,J45,IF(OR(VLOOKUP($B46,'A1.3.10'!$S$28:$AE$58,3,)="",'Fuel consumption'!F$28=""),"",'Fuel consumption'!F$28  * VLOOKUP($B46,'A1.3.10'!$S$28:$AE$58,3,))))</f>
        <v>-5.4507453171434496E-4</v>
      </c>
      <c r="K46" s="2642">
        <f>IF($B46&lt;'A1.3.10'!$S$28,"",IF($B46&gt;'A1.3.10'!$S$58,K45,IF(OR(VLOOKUP($B46,'A1.3.10'!$S$28:$AE$58,3,)="",'Fuel consumption'!G$28=""),"",'Fuel consumption'!G$28  * VLOOKUP($B46,'A1.3.10'!$S$28:$AE$58,3,))))</f>
        <v>4.2952146567063626E-6</v>
      </c>
      <c r="L46" s="2486" t="str">
        <f>IF($B46&lt;'A1.3.10'!$S$28,"",IF($B46&gt;'A1.3.10'!$S$58,L45,IF(OR(VLOOKUP($B46,'A1.3.10'!$S$28:$AE$58,4,)="", 'Fuel consumption'!D$36=""),"",'Fuel consumption'!D$36 * VLOOKUP($B46,'A1.3.10'!$S$28:$AE$58,4,))))</f>
        <v/>
      </c>
      <c r="M46" s="2487">
        <f>IF($B46&lt;'A1.3.10'!$S$28,"",IF($B46&gt;'A1.3.10'!$S$58,M45,IF(OR(VLOOKUP($B46,'A1.3.10'!$S$28:$AE$58,4,)="", 'Fuel consumption'!E$36=""),"",'Fuel consumption'!E$36 * VLOOKUP($B46,'A1.3.10'!$S$28:$AE$58,4,))))</f>
        <v>0.13507138906215221</v>
      </c>
      <c r="N46" s="614" t="str">
        <f>IF($B46&lt;'A1.3.10'!$S$28,"",IF($B46&gt;'A1.3.10'!$S$58,N45,IF(OR(VLOOKUP($B46,'A1.3.10'!$S$28:$AE$58,4,)="", 'Fuel consumption'!F$36=""),"",'Fuel consumption'!F$36 * VLOOKUP($B46,'A1.3.10'!$S$28:$AE$58,4,))))</f>
        <v/>
      </c>
      <c r="O46" s="612" t="str">
        <f>IF($B46&lt;'A1.3.10'!$S$28,"",IF($B46&gt;'A1.3.10'!$S$58,O45,IF(OR(VLOOKUP($B46,'A1.3.10'!$S$28:$AE$58,4,)="", 'Fuel consumption'!G$36=""),"",'Fuel consumption'!G$36 * VLOOKUP($B46,'A1.3.10'!$S$28:$AE$58,4,))))</f>
        <v/>
      </c>
      <c r="P46" s="610">
        <f>IF($B46&lt;'A1.3.10'!$S$28,"",IF($B46&gt;'A1.3.10'!$S$58,P45,IF(OR(VLOOKUP($B46,'A1.3.10'!$S$28:$AE$58,5,)="",'Fuel consumption'!D$29=""),"",'Fuel consumption'!D$29 * VLOOKUP($B46,'A1.3.10'!$S$28:$AE$58,5,))))</f>
        <v>0.24073062106470736</v>
      </c>
      <c r="Q46" s="611">
        <f>IF($B46&lt;'A1.3.10'!$S$28,"",IF($B46&gt;'A1.3.10'!$S$58,Q45,IF(OR(VLOOKUP($B46,'A1.3.10'!$S$28:$AE$58,5,)="",'Fuel consumption'!E$29=""),"",'Fuel consumption'!E$29 * VLOOKUP($B46,'A1.3.10'!$S$28:$AE$58,5,))))</f>
        <v>0.13498779726080087</v>
      </c>
      <c r="R46" s="611">
        <f>IF($B46&lt;'A1.3.10'!$S$28,"",IF($B46&gt;'A1.3.10'!$S$58,R45,IF(OR(VLOOKUP($B46,'A1.3.10'!$S$28:$AE$58,5,)="",'Fuel consumption'!F$29=""),"",'Fuel consumption'!F$29 * VLOOKUP($B46,'A1.3.10'!$S$28:$AE$58,5,))))</f>
        <v>-2.1188653337826293E-3</v>
      </c>
      <c r="S46" s="2642">
        <f>IF($B46&lt;'A1.3.10'!$S$28,"",IF($B46&gt;'A1.3.10'!$S$58,S45,IF(OR(VLOOKUP($B46,'A1.3.10'!$S$28:$AE$58,5,)="",'Fuel consumption'!G$29=""),"",'Fuel consumption'!G$29 * VLOOKUP($B46,'A1.3.10'!$S$28:$AE$58,5,))))</f>
        <v>1.3683711512526242E-5</v>
      </c>
      <c r="T46" s="610">
        <f>IF($B46&lt;'A1.3.10'!$S$28,"",IF($B46&gt;'A1.3.10'!$S$58,T45,IF(OR(VLOOKUP($B46,'A1.3.10'!$S$28:$AE$58,6,)="",'Fuel consumption'!D$30=""),"",'Fuel consumption'!D$30 * VLOOKUP($B46,'A1.3.10'!$S$28:$AE$58,6,))))</f>
        <v>0.40456554021038282</v>
      </c>
      <c r="U46" s="611">
        <f>IF($B46&lt;'A1.3.10'!$S$28,"",IF($B46&gt;'A1.3.10'!$S$58,U45,IF(OR(VLOOKUP($B46,'A1.3.10'!$S$28:$AE$58,6,)="",'Fuel consumption'!E$30=""),"",'Fuel consumption'!E$30 * VLOOKUP($B46,'A1.3.10'!$S$28:$AE$58,6,))))</f>
        <v>9.887746676619924E-2</v>
      </c>
      <c r="V46" s="611">
        <f>IF($B46&lt;'A1.3.10'!$S$28,"",IF($B46&gt;'A1.3.10'!$S$58,V45,IF(OR(VLOOKUP($B46,'A1.3.10'!$S$28:$AE$58,6,)="",'Fuel consumption'!F$30=""),"",'Fuel consumption'!F$30 * VLOOKUP($B46,'A1.3.10'!$S$28:$AE$58,6,))))</f>
        <v>-1.4264871622612276E-3</v>
      </c>
      <c r="W46" s="2642">
        <f>IF($B46&lt;'A1.3.10'!$S$28,"",IF($B46&gt;'A1.3.10'!$S$58,W45,IF(OR(VLOOKUP($B46,'A1.3.10'!$S$28:$AE$58,6,)="",'Fuel consumption'!G$30=""),"",'Fuel consumption'!G$30 * VLOOKUP($B46,'A1.3.10'!$S$28:$AE$58,6,))))</f>
        <v>1.2076690053239411E-5</v>
      </c>
      <c r="X46" s="3144"/>
      <c r="Y46" s="2487">
        <f>IF($B46&lt;'A1.3.10'!$S$28,"",IF($B46&gt;'A1.3.10'!$S$58,Y45,IF(OR(VLOOKUP($B46,'A1.3.10'!$S$28:$AE$58,7,)="", 'Fuel consumption'!E$37=""),"",'Fuel consumption'!E$37 * VLOOKUP($B46,'A1.3.10'!$S$28:$AE$58,7,))))</f>
        <v>0.29149401103980166</v>
      </c>
      <c r="Z46" s="2642"/>
      <c r="AA46" s="2642"/>
      <c r="AB46" s="610">
        <f>IF($B46&lt;'A1.3.10'!$S$28,"",IF($B46&gt;'A1.3.10'!$S$58,AB45,IF(OR(VLOOKUP($B46,'A1.3.10'!$S$28:$AE$58,8,)="",'Fuel consumption'!D$31=""),"",'Fuel consumption'!D$31 * VLOOKUP($B46,'A1.3.10'!$S$28:$AE$58,8,))))</f>
        <v>2.6962848686626804</v>
      </c>
      <c r="AC46" s="611">
        <f>IF($B46&lt;'A1.3.10'!$S$28,"",IF($B46&gt;'A1.3.10'!$S$58,AC45,IF(OR(VLOOKUP($B46,'A1.3.10'!$S$28:$AE$58,8,)="",'Fuel consumption'!E$31=""),"",'Fuel consumption'!E$31 * VLOOKUP($B46,'A1.3.10'!$S$28:$AE$58,8,))))</f>
        <v>0.143057339771858</v>
      </c>
      <c r="AD46" s="611">
        <f>IF($B46&lt;'A1.3.10'!$S$28,"",IF($B46&gt;'A1.3.10'!$S$58,AD45,IF(OR(VLOOKUP($B46,'A1.3.10'!$S$28:$AE$58,8,)="",'Fuel consumption'!F$31=""),"",'Fuel consumption'!F$31 * VLOOKUP($B46,'A1.3.10'!$S$28:$AE$58,8,))))</f>
        <v>-1.0340193601785499E-3</v>
      </c>
      <c r="AE46" s="2642">
        <f>IF($B46&lt;'A1.3.10'!$S$28,"",IF($B46&gt;'A1.3.10'!$S$58,AE45,IF(OR(VLOOKUP($B46,'A1.3.10'!$S$28:$AE$58,8,)="",'Fuel consumption'!G$31=""),"",'Fuel consumption'!G$31 * VLOOKUP($B46,'A1.3.10'!$S$28:$AE$58,8,))))</f>
        <v>1.1293150500864199E-5</v>
      </c>
      <c r="AF46" s="610">
        <f>IF($B46&lt;'A1.3.10'!$S$28,"",IF($B46&gt;'A1.3.10'!$S$58,AF45,IF(OR(VLOOKUP($B46,'A1.3.10'!$S$28:$AE$58,10,)="",'Fuel consumption'!D$32=""),"",'Fuel consumption'!D$32 * VLOOKUP($B46,'A1.3.10'!$S$28:$AE$58,10,))))</f>
        <v>5.6655970981789903</v>
      </c>
      <c r="AG46" s="611">
        <f>IF($B46&lt;'A1.3.10'!$S$28,"",IF($B46&gt;'A1.3.10'!$S$58,AG45,IF(OR(VLOOKUP($B46,'A1.3.10'!$S$28:$AE$58,10,)="",'Fuel consumption'!E$32=""),"",'Fuel consumption'!E$32 * VLOOKUP($B46,'A1.3.10'!$S$28:$AE$58,10,))))</f>
        <v>0.29422449618924201</v>
      </c>
      <c r="AH46" s="611">
        <f>IF($B46&lt;'A1.3.10'!$S$28,"",IF($B46&gt;'A1.3.10'!$S$58,AH45,IF(OR(VLOOKUP($B46,'A1.3.10'!$S$28:$AE$58,10,)="",'Fuel consumption'!F$32=""),"",'Fuel consumption'!F$32 * VLOOKUP($B46,'A1.3.10'!$S$28:$AE$58,10,))))</f>
        <v>-1.9493920679616401E-3</v>
      </c>
      <c r="AI46" s="1578">
        <f>IF($B46&lt;'A1.3.10'!$S$28,"",IF($B46&gt;'A1.3.10'!$S$58,AI45,IF(OR(VLOOKUP($B46,'A1.3.10'!$S$28:$AE$58,10,)="",'Fuel consumption'!G$32=""),"",'Fuel consumption'!G$32 * VLOOKUP($B46,'A1.3.10'!$S$28:$AE$58,10,))))</f>
        <v>1.1619187345164999E-5</v>
      </c>
      <c r="AJ46" s="610">
        <f>IF($B46&lt;'A1.3.10'!$S$28,"",IF($B46&gt;'A1.3.10'!$S$58,AJ45,IF(OR(VLOOKUP($B46,'A1.3.10'!$S$28:$AE$58,12,)="",'Fuel consumption'!D$33=""),"",'Fuel consumption'!D$33 * VLOOKUP($B46,'A1.3.10'!$S$28:$AE$58,12,))))</f>
        <v>3.3601870156891001</v>
      </c>
      <c r="AK46" s="611">
        <f>IF($B46&lt;'A1.3.10'!$S$28,"",IF($B46&gt;'A1.3.10'!$S$58,AK45,IF(OR(VLOOKUP($B46,'A1.3.10'!$S$28:$AE$58,12,)="",'Fuel consumption'!E$33=""),"",'Fuel consumption'!E$33 * VLOOKUP($B46,'A1.3.10'!$S$28:$AE$58,12,))))</f>
        <v>0.29524938703213599</v>
      </c>
      <c r="AL46" s="611">
        <f>IF($B46&lt;'A1.3.10'!$S$28,"",IF($B46&gt;'A1.3.10'!$S$58,AL45,IF(OR(VLOOKUP($B46,'A1.3.10'!$S$28:$AE$58,12,)="",'Fuel consumption'!F$33=""),"",'Fuel consumption'!F$33 * VLOOKUP($B46,'A1.3.10'!$S$28:$AE$58,12,))))</f>
        <v>-3.20909768342738E-3</v>
      </c>
      <c r="AM46" s="1578">
        <f>IF($B46&lt;'A1.3.10'!$S$28,"",IF($B46&gt;'A1.3.10'!$S$58,AM45,IF(OR(VLOOKUP($B46,'A1.3.10'!$S$28:$AE$58,12,)="",'Fuel consumption'!G$33=""),"",'Fuel consumption'!G$33 * VLOOKUP($B46,'A1.3.10'!$S$28:$AE$58,12,))))</f>
        <v>2.3540043227716499E-5</v>
      </c>
    </row>
    <row r="47" spans="1:39" ht="13.5" customHeight="1">
      <c r="A47" s="623"/>
      <c r="B47" s="614">
        <f t="shared" si="1"/>
        <v>2031</v>
      </c>
      <c r="C47" s="609"/>
      <c r="D47" s="2484">
        <f>IF($B47&lt;'A1.3.10'!$S$28,"",IF($B47&gt;'A1.3.10'!$S$58,D46,IF(OR(VLOOKUP($B47,'A1.3.10'!$S$28:$AE$58,2,)="",'Fuel consumption'!D$27=""),"",'Fuel consumption'!D$27 * VLOOKUP($B47,'A1.3.10'!$S$28:$AE$58,2,))))</f>
        <v>0.33204900976259494</v>
      </c>
      <c r="E47" s="2485">
        <f>IF($B47&lt;'A1.3.10'!$S$28,"",IF($B47&gt;'A1.3.10'!$S$58,E46,IF(OR(VLOOKUP($B47,'A1.3.10'!$S$28:$AE$58,2,)="",'Fuel consumption'!E$27=""),"",'Fuel consumption'!E$27 * VLOOKUP($B47,'A1.3.10'!$S$28:$AE$58,2,))))</f>
        <v>7.0565800711059723E-2</v>
      </c>
      <c r="F47" s="2485">
        <f>IF($B47&lt;'A1.3.10'!$S$28,"",IF($B47&gt;'A1.3.10'!$S$58,F46,IF(OR(VLOOKUP($B47,'A1.3.10'!$S$28:$AE$58,2,)="",'Fuel consumption'!F$27=""),"",'Fuel consumption'!F$27 * VLOOKUP($B47,'A1.3.10'!$S$28:$AE$58,2,))))</f>
        <v>-8.0382815307243497E-4</v>
      </c>
      <c r="G47" s="2642">
        <f>IF($B47&lt;'A1.3.10'!$S$28,"",IF($B47&gt;'A1.3.10'!$S$58,G46,IF(OR(VLOOKUP($B47,'A1.3.10'!$S$28:$AE$58,2,)="",'Fuel consumption'!G$27=""),"",'Fuel consumption'!G$27 * VLOOKUP($B47,'A1.3.10'!$S$28:$AE$58,2,))))</f>
        <v>5.3236891806954561E-6</v>
      </c>
      <c r="H47" s="2486">
        <f>IF($B47&lt;'A1.3.10'!$S$28,"",IF($B47&gt;'A1.3.10'!$S$58,H46,IF(OR(VLOOKUP($B47,'A1.3.10'!$S$28:$AE$58,3,)="",'Fuel consumption'!D$28=""),"",'Fuel consumption'!D$28  * VLOOKUP($B47,'A1.3.10'!$S$28:$AE$58,3,))))</f>
        <v>0.39221519767234425</v>
      </c>
      <c r="I47" s="2487">
        <f>IF($B47&lt;'A1.3.10'!$S$28,"",IF($B47&gt;'A1.3.10'!$S$58,I46,IF(OR(VLOOKUP($B47,'A1.3.10'!$S$28:$AE$58,3,)="",'Fuel consumption'!E$28=""),"",'Fuel consumption'!E$28  * VLOOKUP($B47,'A1.3.10'!$S$28:$AE$58,3,))))</f>
        <v>5.6233959875403285E-2</v>
      </c>
      <c r="J47" s="2487">
        <f>IF($B47&lt;'A1.3.10'!$S$28,"",IF($B47&gt;'A1.3.10'!$S$58,J46,IF(OR(VLOOKUP($B47,'A1.3.10'!$S$28:$AE$58,3,)="",'Fuel consumption'!F$28=""),"",'Fuel consumption'!F$28  * VLOOKUP($B47,'A1.3.10'!$S$28:$AE$58,3,))))</f>
        <v>-5.4098635969580301E-4</v>
      </c>
      <c r="K47" s="2642">
        <f>IF($B47&lt;'A1.3.10'!$S$28,"",IF($B47&gt;'A1.3.10'!$S$58,K46,IF(OR(VLOOKUP($B47,'A1.3.10'!$S$28:$AE$58,3,)="",'Fuel consumption'!G$28=""),"",'Fuel consumption'!G$28  * VLOOKUP($B47,'A1.3.10'!$S$28:$AE$58,3,))))</f>
        <v>4.2629996560936006E-6</v>
      </c>
      <c r="L47" s="2486" t="str">
        <f>IF($B47&lt;'A1.3.10'!$S$28,"",IF($B47&gt;'A1.3.10'!$S$58,L46,IF(OR(VLOOKUP($B47,'A1.3.10'!$S$28:$AE$58,4,)="", 'Fuel consumption'!D$36=""),"",'Fuel consumption'!D$36 * VLOOKUP($B47,'A1.3.10'!$S$28:$AE$58,4,))))</f>
        <v/>
      </c>
      <c r="M47" s="2487">
        <f>IF($B47&lt;'A1.3.10'!$S$28,"",IF($B47&gt;'A1.3.10'!$S$58,M46,IF(OR(VLOOKUP($B47,'A1.3.10'!$S$28:$AE$58,4,)="", 'Fuel consumption'!E$36=""),"",'Fuel consumption'!E$36 * VLOOKUP($B47,'A1.3.10'!$S$28:$AE$58,4,))))</f>
        <v>0.13335949413114495</v>
      </c>
      <c r="N47" s="614" t="str">
        <f>IF($B47&lt;'A1.3.10'!$S$28,"",IF($B47&gt;'A1.3.10'!$S$58,N46,IF(OR(VLOOKUP($B47,'A1.3.10'!$S$28:$AE$58,4,)="", 'Fuel consumption'!F$36=""),"",'Fuel consumption'!F$36 * VLOOKUP($B47,'A1.3.10'!$S$28:$AE$58,4,))))</f>
        <v/>
      </c>
      <c r="O47" s="612" t="str">
        <f>IF($B47&lt;'A1.3.10'!$S$28,"",IF($B47&gt;'A1.3.10'!$S$58,O46,IF(OR(VLOOKUP($B47,'A1.3.10'!$S$28:$AE$58,4,)="", 'Fuel consumption'!G$36=""),"",'Fuel consumption'!G$36 * VLOOKUP($B47,'A1.3.10'!$S$28:$AE$58,4,))))</f>
        <v/>
      </c>
      <c r="P47" s="610">
        <f>IF($B47&lt;'A1.3.10'!$S$28,"",IF($B47&gt;'A1.3.10'!$S$58,P46,IF(OR(VLOOKUP($B47,'A1.3.10'!$S$28:$AE$58,5,)="",'Fuel consumption'!D$29=""),"",'Fuel consumption'!D$29 * VLOOKUP($B47,'A1.3.10'!$S$28:$AE$58,5,))))</f>
        <v>0.23888707176340382</v>
      </c>
      <c r="Q47" s="611">
        <f>IF($B47&lt;'A1.3.10'!$S$28,"",IF($B47&gt;'A1.3.10'!$S$58,Q46,IF(OR(VLOOKUP($B47,'A1.3.10'!$S$28:$AE$58,5,)="",'Fuel consumption'!E$29=""),"",'Fuel consumption'!E$29 * VLOOKUP($B47,'A1.3.10'!$S$28:$AE$58,5,))))</f>
        <v>0.13395404152908713</v>
      </c>
      <c r="R47" s="611">
        <f>IF($B47&lt;'A1.3.10'!$S$28,"",IF($B47&gt;'A1.3.10'!$S$58,R46,IF(OR(VLOOKUP($B47,'A1.3.10'!$S$28:$AE$58,5,)="",'Fuel consumption'!F$29=""),"",'Fuel consumption'!F$29 * VLOOKUP($B47,'A1.3.10'!$S$28:$AE$58,5,))))</f>
        <v>-2.1026387619889177E-3</v>
      </c>
      <c r="S47" s="2642">
        <f>IF($B47&lt;'A1.3.10'!$S$28,"",IF($B47&gt;'A1.3.10'!$S$58,S46,IF(OR(VLOOKUP($B47,'A1.3.10'!$S$28:$AE$58,5,)="",'Fuel consumption'!G$29=""),"",'Fuel consumption'!G$29 * VLOOKUP($B47,'A1.3.10'!$S$28:$AE$58,5,))))</f>
        <v>1.3578919705457477E-5</v>
      </c>
      <c r="T47" s="610">
        <f>IF($B47&lt;'A1.3.10'!$S$28,"",IF($B47&gt;'A1.3.10'!$S$58,T46,IF(OR(VLOOKUP($B47,'A1.3.10'!$S$28:$AE$58,6,)="",'Fuel consumption'!D$30=""),"",'Fuel consumption'!D$30 * VLOOKUP($B47,'A1.3.10'!$S$28:$AE$58,6,))))</f>
        <v>0.40287900319122694</v>
      </c>
      <c r="U47" s="611">
        <f>IF($B47&lt;'A1.3.10'!$S$28,"",IF($B47&gt;'A1.3.10'!$S$58,U46,IF(OR(VLOOKUP($B47,'A1.3.10'!$S$28:$AE$58,6,)="",'Fuel consumption'!E$30=""),"",'Fuel consumption'!E$30 * VLOOKUP($B47,'A1.3.10'!$S$28:$AE$58,6,))))</f>
        <v>9.8465270245519723E-2</v>
      </c>
      <c r="V47" s="611">
        <f>IF($B47&lt;'A1.3.10'!$S$28,"",IF($B47&gt;'A1.3.10'!$S$58,V46,IF(OR(VLOOKUP($B47,'A1.3.10'!$S$28:$AE$58,6,)="",'Fuel consumption'!F$30=""),"",'Fuel consumption'!F$30 * VLOOKUP($B47,'A1.3.10'!$S$28:$AE$58,6,))))</f>
        <v>-1.4205404783067489E-3</v>
      </c>
      <c r="W47" s="2642">
        <f>IF($B47&lt;'A1.3.10'!$S$28,"",IF($B47&gt;'A1.3.10'!$S$58,W46,IF(OR(VLOOKUP($B47,'A1.3.10'!$S$28:$AE$58,6,)="",'Fuel consumption'!G$30=""),"",'Fuel consumption'!G$30 * VLOOKUP($B47,'A1.3.10'!$S$28:$AE$58,6,))))</f>
        <v>1.2026345219536896E-5</v>
      </c>
      <c r="X47" s="3144"/>
      <c r="Y47" s="2487">
        <f>IF($B47&lt;'A1.3.10'!$S$28,"",IF($B47&gt;'A1.3.10'!$S$58,Y46,IF(OR(VLOOKUP($B47,'A1.3.10'!$S$28:$AE$58,7,)="", 'Fuel consumption'!E$37=""),"",'Fuel consumption'!E$37 * VLOOKUP($B47,'A1.3.10'!$S$28:$AE$58,7,))))</f>
        <v>0.29149401103980149</v>
      </c>
      <c r="Z47" s="2642"/>
      <c r="AA47" s="2642"/>
      <c r="AB47" s="610">
        <f>IF($B47&lt;'A1.3.10'!$S$28,"",IF($B47&gt;'A1.3.10'!$S$58,AB46,IF(OR(VLOOKUP($B47,'A1.3.10'!$S$28:$AE$58,8,)="",'Fuel consumption'!D$31=""),"",'Fuel consumption'!D$31 * VLOOKUP($B47,'A1.3.10'!$S$28:$AE$58,8,))))</f>
        <v>2.6962848686626804</v>
      </c>
      <c r="AC47" s="611">
        <f>IF($B47&lt;'A1.3.10'!$S$28,"",IF($B47&gt;'A1.3.10'!$S$58,AC46,IF(OR(VLOOKUP($B47,'A1.3.10'!$S$28:$AE$58,8,)="",'Fuel consumption'!E$31=""),"",'Fuel consumption'!E$31 * VLOOKUP($B47,'A1.3.10'!$S$28:$AE$58,8,))))</f>
        <v>0.143057339771858</v>
      </c>
      <c r="AD47" s="611">
        <f>IF($B47&lt;'A1.3.10'!$S$28,"",IF($B47&gt;'A1.3.10'!$S$58,AD46,IF(OR(VLOOKUP($B47,'A1.3.10'!$S$28:$AE$58,8,)="",'Fuel consumption'!F$31=""),"",'Fuel consumption'!F$31 * VLOOKUP($B47,'A1.3.10'!$S$28:$AE$58,8,))))</f>
        <v>-1.0340193601785499E-3</v>
      </c>
      <c r="AE47" s="2642">
        <f>IF($B47&lt;'A1.3.10'!$S$28,"",IF($B47&gt;'A1.3.10'!$S$58,AE46,IF(OR(VLOOKUP($B47,'A1.3.10'!$S$28:$AE$58,8,)="",'Fuel consumption'!G$31=""),"",'Fuel consumption'!G$31 * VLOOKUP($B47,'A1.3.10'!$S$28:$AE$58,8,))))</f>
        <v>1.1293150500864199E-5</v>
      </c>
      <c r="AF47" s="610">
        <f>IF($B47&lt;'A1.3.10'!$S$28,"",IF($B47&gt;'A1.3.10'!$S$58,AF46,IF(OR(VLOOKUP($B47,'A1.3.10'!$S$28:$AE$58,10,)="",'Fuel consumption'!D$32=""),"",'Fuel consumption'!D$32 * VLOOKUP($B47,'A1.3.10'!$S$28:$AE$58,10,))))</f>
        <v>5.6655970981789903</v>
      </c>
      <c r="AG47" s="611">
        <f>IF($B47&lt;'A1.3.10'!$S$28,"",IF($B47&gt;'A1.3.10'!$S$58,AG46,IF(OR(VLOOKUP($B47,'A1.3.10'!$S$28:$AE$58,10,)="",'Fuel consumption'!E$32=""),"",'Fuel consumption'!E$32 * VLOOKUP($B47,'A1.3.10'!$S$28:$AE$58,10,))))</f>
        <v>0.29422449618924201</v>
      </c>
      <c r="AH47" s="611">
        <f>IF($B47&lt;'A1.3.10'!$S$28,"",IF($B47&gt;'A1.3.10'!$S$58,AH46,IF(OR(VLOOKUP($B47,'A1.3.10'!$S$28:$AE$58,10,)="",'Fuel consumption'!F$32=""),"",'Fuel consumption'!F$32 * VLOOKUP($B47,'A1.3.10'!$S$28:$AE$58,10,))))</f>
        <v>-1.9493920679616401E-3</v>
      </c>
      <c r="AI47" s="1578">
        <f>IF($B47&lt;'A1.3.10'!$S$28,"",IF($B47&gt;'A1.3.10'!$S$58,AI46,IF(OR(VLOOKUP($B47,'A1.3.10'!$S$28:$AE$58,10,)="",'Fuel consumption'!G$32=""),"",'Fuel consumption'!G$32 * VLOOKUP($B47,'A1.3.10'!$S$28:$AE$58,10,))))</f>
        <v>1.1619187345164999E-5</v>
      </c>
      <c r="AJ47" s="610">
        <f>IF($B47&lt;'A1.3.10'!$S$28,"",IF($B47&gt;'A1.3.10'!$S$58,AJ46,IF(OR(VLOOKUP($B47,'A1.3.10'!$S$28:$AE$58,12,)="",'Fuel consumption'!D$33=""),"",'Fuel consumption'!D$33 * VLOOKUP($B47,'A1.3.10'!$S$28:$AE$58,12,))))</f>
        <v>3.3601870156891001</v>
      </c>
      <c r="AK47" s="611">
        <f>IF($B47&lt;'A1.3.10'!$S$28,"",IF($B47&gt;'A1.3.10'!$S$58,AK46,IF(OR(VLOOKUP($B47,'A1.3.10'!$S$28:$AE$58,12,)="",'Fuel consumption'!E$33=""),"",'Fuel consumption'!E$33 * VLOOKUP($B47,'A1.3.10'!$S$28:$AE$58,12,))))</f>
        <v>0.29524938703213599</v>
      </c>
      <c r="AL47" s="611">
        <f>IF($B47&lt;'A1.3.10'!$S$28,"",IF($B47&gt;'A1.3.10'!$S$58,AL46,IF(OR(VLOOKUP($B47,'A1.3.10'!$S$28:$AE$58,12,)="",'Fuel consumption'!F$33=""),"",'Fuel consumption'!F$33 * VLOOKUP($B47,'A1.3.10'!$S$28:$AE$58,12,))))</f>
        <v>-3.20909768342738E-3</v>
      </c>
      <c r="AM47" s="1578">
        <f>IF($B47&lt;'A1.3.10'!$S$28,"",IF($B47&gt;'A1.3.10'!$S$58,AM46,IF(OR(VLOOKUP($B47,'A1.3.10'!$S$28:$AE$58,12,)="",'Fuel consumption'!G$33=""),"",'Fuel consumption'!G$33 * VLOOKUP($B47,'A1.3.10'!$S$28:$AE$58,12,))))</f>
        <v>2.3540043227716499E-5</v>
      </c>
    </row>
    <row r="48" spans="1:39" ht="13.5" customHeight="1">
      <c r="A48" s="623"/>
      <c r="B48" s="614">
        <f t="shared" si="1"/>
        <v>2032</v>
      </c>
      <c r="C48" s="609"/>
      <c r="D48" s="2484">
        <f>IF($B48&lt;'A1.3.10'!$S$28,"",IF($B48&gt;'A1.3.10'!$S$58,D47,IF(OR(VLOOKUP($B48,'A1.3.10'!$S$28:$AE$58,2,)="",'Fuel consumption'!D$27=""),"",'Fuel consumption'!D$27 * VLOOKUP($B48,'A1.3.10'!$S$28:$AE$58,2,))))</f>
        <v>0.33036657714118511</v>
      </c>
      <c r="E48" s="2485">
        <f>IF($B48&lt;'A1.3.10'!$S$28,"",IF($B48&gt;'A1.3.10'!$S$58,E47,IF(OR(VLOOKUP($B48,'A1.3.10'!$S$28:$AE$58,2,)="",'Fuel consumption'!E$27=""),"",'Fuel consumption'!E$27 * VLOOKUP($B48,'A1.3.10'!$S$28:$AE$58,2,))))</f>
        <v>7.0208256488425019E-2</v>
      </c>
      <c r="F48" s="2485">
        <f>IF($B48&lt;'A1.3.10'!$S$28,"",IF($B48&gt;'A1.3.10'!$S$58,F47,IF(OR(VLOOKUP($B48,'A1.3.10'!$S$28:$AE$58,2,)="",'Fuel consumption'!F$27=""),"",'Fuel consumption'!F$27 * VLOOKUP($B48,'A1.3.10'!$S$28:$AE$58,2,))))</f>
        <v>-7.997553003700476E-4</v>
      </c>
      <c r="G48" s="2642">
        <f>IF($B48&lt;'A1.3.10'!$S$28,"",IF($B48&gt;'A1.3.10'!$S$58,G47,IF(OR(VLOOKUP($B48,'A1.3.10'!$S$28:$AE$58,2,)="",'Fuel consumption'!G$27=""),"",'Fuel consumption'!G$27 * VLOOKUP($B48,'A1.3.10'!$S$28:$AE$58,2,))))</f>
        <v>5.2967150049547953E-6</v>
      </c>
      <c r="H48" s="2486">
        <f>IF($B48&lt;'A1.3.10'!$S$28,"",IF($B48&gt;'A1.3.10'!$S$58,H47,IF(OR(VLOOKUP($B48,'A1.3.10'!$S$28:$AE$58,3,)="",'Fuel consumption'!D$28=""),"",'Fuel consumption'!D$28  * VLOOKUP($B48,'A1.3.10'!$S$28:$AE$58,3,))))</f>
        <v>0.39116035251069009</v>
      </c>
      <c r="I48" s="2487">
        <f>IF($B48&lt;'A1.3.10'!$S$28,"",IF($B48&gt;'A1.3.10'!$S$58,I47,IF(OR(VLOOKUP($B48,'A1.3.10'!$S$28:$AE$58,3,)="",'Fuel consumption'!E$28=""),"",'Fuel consumption'!E$28  * VLOOKUP($B48,'A1.3.10'!$S$28:$AE$58,3,))))</f>
        <v>5.6082721165513272E-2</v>
      </c>
      <c r="J48" s="2487">
        <f>IF($B48&lt;'A1.3.10'!$S$28,"",IF($B48&gt;'A1.3.10'!$S$58,J47,IF(OR(VLOOKUP($B48,'A1.3.10'!$S$28:$AE$58,3,)="",'Fuel consumption'!F$28=""),"",'Fuel consumption'!F$28  * VLOOKUP($B48,'A1.3.10'!$S$28:$AE$58,3,))))</f>
        <v>-5.3953140117447937E-4</v>
      </c>
      <c r="K48" s="2642">
        <f>IF($B48&lt;'A1.3.10'!$S$28,"",IF($B48&gt;'A1.3.10'!$S$58,K47,IF(OR(VLOOKUP($B48,'A1.3.10'!$S$28:$AE$58,3,)="",'Fuel consumption'!G$28=""),"",'Fuel consumption'!G$28  * VLOOKUP($B48,'A1.3.10'!$S$28:$AE$58,3,))))</f>
        <v>4.2515345099492127E-6</v>
      </c>
      <c r="L48" s="2486" t="str">
        <f>IF($B48&lt;'A1.3.10'!$S$28,"",IF($B48&gt;'A1.3.10'!$S$58,L47,IF(OR(VLOOKUP($B48,'A1.3.10'!$S$28:$AE$58,4,)="", 'Fuel consumption'!D$36=""),"",'Fuel consumption'!D$36 * VLOOKUP($B48,'A1.3.10'!$S$28:$AE$58,4,))))</f>
        <v/>
      </c>
      <c r="M48" s="2487">
        <f>IF($B48&lt;'A1.3.10'!$S$28,"",IF($B48&gt;'A1.3.10'!$S$58,M47,IF(OR(VLOOKUP($B48,'A1.3.10'!$S$28:$AE$58,4,)="", 'Fuel consumption'!E$36=""),"",'Fuel consumption'!E$36 * VLOOKUP($B48,'A1.3.10'!$S$28:$AE$58,4,))))</f>
        <v>0.13190012337912307</v>
      </c>
      <c r="N48" s="614" t="str">
        <f>IF($B48&lt;'A1.3.10'!$S$28,"",IF($B48&gt;'A1.3.10'!$S$58,N47,IF(OR(VLOOKUP($B48,'A1.3.10'!$S$28:$AE$58,4,)="", 'Fuel consumption'!F$36=""),"",'Fuel consumption'!F$36 * VLOOKUP($B48,'A1.3.10'!$S$28:$AE$58,4,))))</f>
        <v/>
      </c>
      <c r="O48" s="612" t="str">
        <f>IF($B48&lt;'A1.3.10'!$S$28,"",IF($B48&gt;'A1.3.10'!$S$58,O47,IF(OR(VLOOKUP($B48,'A1.3.10'!$S$28:$AE$58,4,)="", 'Fuel consumption'!G$36=""),"",'Fuel consumption'!G$36 * VLOOKUP($B48,'A1.3.10'!$S$28:$AE$58,4,))))</f>
        <v/>
      </c>
      <c r="P48" s="610">
        <f>IF($B48&lt;'A1.3.10'!$S$28,"",IF($B48&gt;'A1.3.10'!$S$58,P47,IF(OR(VLOOKUP($B48,'A1.3.10'!$S$28:$AE$58,5,)="",'Fuel consumption'!D$29=""),"",'Fuel consumption'!D$29 * VLOOKUP($B48,'A1.3.10'!$S$28:$AE$58,5,))))</f>
        <v>0.23741534002874243</v>
      </c>
      <c r="Q48" s="611">
        <f>IF($B48&lt;'A1.3.10'!$S$28,"",IF($B48&gt;'A1.3.10'!$S$58,Q47,IF(OR(VLOOKUP($B48,'A1.3.10'!$S$28:$AE$58,5,)="",'Fuel consumption'!E$29=""),"",'Fuel consumption'!E$29 * VLOOKUP($B48,'A1.3.10'!$S$28:$AE$58,5,))))</f>
        <v>0.13312877956556085</v>
      </c>
      <c r="R48" s="611">
        <f>IF($B48&lt;'A1.3.10'!$S$28,"",IF($B48&gt;'A1.3.10'!$S$58,R47,IF(OR(VLOOKUP($B48,'A1.3.10'!$S$28:$AE$58,5,)="",'Fuel consumption'!F$29=""),"",'Fuel consumption'!F$29 * VLOOKUP($B48,'A1.3.10'!$S$28:$AE$58,5,))))</f>
        <v>-2.0896848579969383E-3</v>
      </c>
      <c r="S48" s="2642">
        <f>IF($B48&lt;'A1.3.10'!$S$28,"",IF($B48&gt;'A1.3.10'!$S$58,S47,IF(OR(VLOOKUP($B48,'A1.3.10'!$S$28:$AE$58,5,)="",'Fuel consumption'!G$29=""),"",'Fuel consumption'!G$29 * VLOOKUP($B48,'A1.3.10'!$S$28:$AE$58,5,))))</f>
        <v>1.3495262909359555E-5</v>
      </c>
      <c r="T48" s="610">
        <f>IF($B48&lt;'A1.3.10'!$S$28,"",IF($B48&gt;'A1.3.10'!$S$58,T47,IF(OR(VLOOKUP($B48,'A1.3.10'!$S$28:$AE$58,6,)="",'Fuel consumption'!D$30=""),"",'Fuel consumption'!D$30 * VLOOKUP($B48,'A1.3.10'!$S$28:$AE$58,6,))))</f>
        <v>0.40161749003243924</v>
      </c>
      <c r="U48" s="611">
        <f>IF($B48&lt;'A1.3.10'!$S$28,"",IF($B48&gt;'A1.3.10'!$S$58,U47,IF(OR(VLOOKUP($B48,'A1.3.10'!$S$28:$AE$58,6,)="",'Fuel consumption'!E$30=""),"",'Fuel consumption'!E$30 * VLOOKUP($B48,'A1.3.10'!$S$28:$AE$58,6,))))</f>
        <v>9.8156951288427413E-2</v>
      </c>
      <c r="V48" s="611">
        <f>IF($B48&lt;'A1.3.10'!$S$28,"",IF($B48&gt;'A1.3.10'!$S$58,V47,IF(OR(VLOOKUP($B48,'A1.3.10'!$S$28:$AE$58,6,)="",'Fuel consumption'!F$30=""),"",'Fuel consumption'!F$30 * VLOOKUP($B48,'A1.3.10'!$S$28:$AE$58,6,))))</f>
        <v>-1.4160924169985651E-3</v>
      </c>
      <c r="W48" s="2642">
        <f>IF($B48&lt;'A1.3.10'!$S$28,"",IF($B48&gt;'A1.3.10'!$S$58,W47,IF(OR(VLOOKUP($B48,'A1.3.10'!$S$28:$AE$58,6,)="",'Fuel consumption'!G$30=""),"",'Fuel consumption'!G$30 * VLOOKUP($B48,'A1.3.10'!$S$28:$AE$58,6,))))</f>
        <v>1.198868777741061E-5</v>
      </c>
      <c r="X48" s="3144"/>
      <c r="Y48" s="2487">
        <f>IF($B48&lt;'A1.3.10'!$S$28,"",IF($B48&gt;'A1.3.10'!$S$58,Y47,IF(OR(VLOOKUP($B48,'A1.3.10'!$S$28:$AE$58,7,)="", 'Fuel consumption'!E$37=""),"",'Fuel consumption'!E$37 * VLOOKUP($B48,'A1.3.10'!$S$28:$AE$58,7,))))</f>
        <v>0.29149401103980155</v>
      </c>
      <c r="Z48" s="2642"/>
      <c r="AA48" s="2642"/>
      <c r="AB48" s="610">
        <f>IF($B48&lt;'A1.3.10'!$S$28,"",IF($B48&gt;'A1.3.10'!$S$58,AB47,IF(OR(VLOOKUP($B48,'A1.3.10'!$S$28:$AE$58,8,)="",'Fuel consumption'!D$31=""),"",'Fuel consumption'!D$31 * VLOOKUP($B48,'A1.3.10'!$S$28:$AE$58,8,))))</f>
        <v>2.6962848686626804</v>
      </c>
      <c r="AC48" s="611">
        <f>IF($B48&lt;'A1.3.10'!$S$28,"",IF($B48&gt;'A1.3.10'!$S$58,AC47,IF(OR(VLOOKUP($B48,'A1.3.10'!$S$28:$AE$58,8,)="",'Fuel consumption'!E$31=""),"",'Fuel consumption'!E$31 * VLOOKUP($B48,'A1.3.10'!$S$28:$AE$58,8,))))</f>
        <v>0.143057339771858</v>
      </c>
      <c r="AD48" s="611">
        <f>IF($B48&lt;'A1.3.10'!$S$28,"",IF($B48&gt;'A1.3.10'!$S$58,AD47,IF(OR(VLOOKUP($B48,'A1.3.10'!$S$28:$AE$58,8,)="",'Fuel consumption'!F$31=""),"",'Fuel consumption'!F$31 * VLOOKUP($B48,'A1.3.10'!$S$28:$AE$58,8,))))</f>
        <v>-1.0340193601785499E-3</v>
      </c>
      <c r="AE48" s="2642">
        <f>IF($B48&lt;'A1.3.10'!$S$28,"",IF($B48&gt;'A1.3.10'!$S$58,AE47,IF(OR(VLOOKUP($B48,'A1.3.10'!$S$28:$AE$58,8,)="",'Fuel consumption'!G$31=""),"",'Fuel consumption'!G$31 * VLOOKUP($B48,'A1.3.10'!$S$28:$AE$58,8,))))</f>
        <v>1.1293150500864199E-5</v>
      </c>
      <c r="AF48" s="610">
        <f>IF($B48&lt;'A1.3.10'!$S$28,"",IF($B48&gt;'A1.3.10'!$S$58,AF47,IF(OR(VLOOKUP($B48,'A1.3.10'!$S$28:$AE$58,10,)="",'Fuel consumption'!D$32=""),"",'Fuel consumption'!D$32 * VLOOKUP($B48,'A1.3.10'!$S$28:$AE$58,10,))))</f>
        <v>5.6655970981789903</v>
      </c>
      <c r="AG48" s="611">
        <f>IF($B48&lt;'A1.3.10'!$S$28,"",IF($B48&gt;'A1.3.10'!$S$58,AG47,IF(OR(VLOOKUP($B48,'A1.3.10'!$S$28:$AE$58,10,)="",'Fuel consumption'!E$32=""),"",'Fuel consumption'!E$32 * VLOOKUP($B48,'A1.3.10'!$S$28:$AE$58,10,))))</f>
        <v>0.29422449618924201</v>
      </c>
      <c r="AH48" s="611">
        <f>IF($B48&lt;'A1.3.10'!$S$28,"",IF($B48&gt;'A1.3.10'!$S$58,AH47,IF(OR(VLOOKUP($B48,'A1.3.10'!$S$28:$AE$58,10,)="",'Fuel consumption'!F$32=""),"",'Fuel consumption'!F$32 * VLOOKUP($B48,'A1.3.10'!$S$28:$AE$58,10,))))</f>
        <v>-1.9493920679616401E-3</v>
      </c>
      <c r="AI48" s="1578">
        <f>IF($B48&lt;'A1.3.10'!$S$28,"",IF($B48&gt;'A1.3.10'!$S$58,AI47,IF(OR(VLOOKUP($B48,'A1.3.10'!$S$28:$AE$58,10,)="",'Fuel consumption'!G$32=""),"",'Fuel consumption'!G$32 * VLOOKUP($B48,'A1.3.10'!$S$28:$AE$58,10,))))</f>
        <v>1.1619187345164999E-5</v>
      </c>
      <c r="AJ48" s="610">
        <f>IF($B48&lt;'A1.3.10'!$S$28,"",IF($B48&gt;'A1.3.10'!$S$58,AJ47,IF(OR(VLOOKUP($B48,'A1.3.10'!$S$28:$AE$58,12,)="",'Fuel consumption'!D$33=""),"",'Fuel consumption'!D$33 * VLOOKUP($B48,'A1.3.10'!$S$28:$AE$58,12,))))</f>
        <v>3.3601870156891001</v>
      </c>
      <c r="AK48" s="611">
        <f>IF($B48&lt;'A1.3.10'!$S$28,"",IF($B48&gt;'A1.3.10'!$S$58,AK47,IF(OR(VLOOKUP($B48,'A1.3.10'!$S$28:$AE$58,12,)="",'Fuel consumption'!E$33=""),"",'Fuel consumption'!E$33 * VLOOKUP($B48,'A1.3.10'!$S$28:$AE$58,12,))))</f>
        <v>0.29524938703213599</v>
      </c>
      <c r="AL48" s="611">
        <f>IF($B48&lt;'A1.3.10'!$S$28,"",IF($B48&gt;'A1.3.10'!$S$58,AL47,IF(OR(VLOOKUP($B48,'A1.3.10'!$S$28:$AE$58,12,)="",'Fuel consumption'!F$33=""),"",'Fuel consumption'!F$33 * VLOOKUP($B48,'A1.3.10'!$S$28:$AE$58,12,))))</f>
        <v>-3.20909768342738E-3</v>
      </c>
      <c r="AM48" s="1578">
        <f>IF($B48&lt;'A1.3.10'!$S$28,"",IF($B48&gt;'A1.3.10'!$S$58,AM47,IF(OR(VLOOKUP($B48,'A1.3.10'!$S$28:$AE$58,12,)="",'Fuel consumption'!G$33=""),"",'Fuel consumption'!G$33 * VLOOKUP($B48,'A1.3.10'!$S$28:$AE$58,12,))))</f>
        <v>2.3540043227716499E-5</v>
      </c>
    </row>
    <row r="49" spans="1:39" ht="13.5" customHeight="1">
      <c r="A49" s="623"/>
      <c r="B49" s="614">
        <f t="shared" si="1"/>
        <v>2033</v>
      </c>
      <c r="C49" s="609"/>
      <c r="D49" s="2484">
        <f>IF($B49&lt;'A1.3.10'!$S$28,"",IF($B49&gt;'A1.3.10'!$S$58,D48,IF(OR(VLOOKUP($B49,'A1.3.10'!$S$28:$AE$58,2,)="",'Fuel consumption'!D$27=""),"",'Fuel consumption'!D$27 * VLOOKUP($B49,'A1.3.10'!$S$28:$AE$58,2,))))</f>
        <v>0.32917975170882652</v>
      </c>
      <c r="E49" s="2485">
        <f>IF($B49&lt;'A1.3.10'!$S$28,"",IF($B49&gt;'A1.3.10'!$S$58,E48,IF(OR(VLOOKUP($B49,'A1.3.10'!$S$28:$AE$58,2,)="",'Fuel consumption'!E$27=""),"",'Fuel consumption'!E$27 * VLOOKUP($B49,'A1.3.10'!$S$28:$AE$58,2,))))</f>
        <v>6.995603683266241E-2</v>
      </c>
      <c r="F49" s="2485">
        <f>IF($B49&lt;'A1.3.10'!$S$28,"",IF($B49&gt;'A1.3.10'!$S$58,F48,IF(OR(VLOOKUP($B49,'A1.3.10'!$S$28:$AE$58,2,)="",'Fuel consumption'!F$27=""),"",'Fuel consumption'!F$27 * VLOOKUP($B49,'A1.3.10'!$S$28:$AE$58,2,))))</f>
        <v>-7.9688221938723023E-4</v>
      </c>
      <c r="G49" s="2642">
        <f>IF($B49&lt;'A1.3.10'!$S$28,"",IF($B49&gt;'A1.3.10'!$S$58,G48,IF(OR(VLOOKUP($B49,'A1.3.10'!$S$28:$AE$58,2,)="",'Fuel consumption'!G$27=""),"",'Fuel consumption'!G$27 * VLOOKUP($B49,'A1.3.10'!$S$28:$AE$58,2,))))</f>
        <v>5.2776868207775885E-6</v>
      </c>
      <c r="H49" s="2486">
        <f>IF($B49&lt;'A1.3.10'!$S$28,"",IF($B49&gt;'A1.3.10'!$S$58,H48,IF(OR(VLOOKUP($B49,'A1.3.10'!$S$28:$AE$58,3,)="",'Fuel consumption'!D$28=""),"",'Fuel consumption'!D$28  * VLOOKUP($B49,'A1.3.10'!$S$28:$AE$58,3,))))</f>
        <v>0.390516335988635</v>
      </c>
      <c r="I49" s="2487">
        <f>IF($B49&lt;'A1.3.10'!$S$28,"",IF($B49&gt;'A1.3.10'!$S$58,I48,IF(OR(VLOOKUP($B49,'A1.3.10'!$S$28:$AE$58,3,)="",'Fuel consumption'!E$28=""),"",'Fuel consumption'!E$28  * VLOOKUP($B49,'A1.3.10'!$S$28:$AE$58,3,))))</f>
        <v>5.5990385122761055E-2</v>
      </c>
      <c r="J49" s="2487">
        <f>IF($B49&lt;'A1.3.10'!$S$28,"",IF($B49&gt;'A1.3.10'!$S$58,J48,IF(OR(VLOOKUP($B49,'A1.3.10'!$S$28:$AE$58,3,)="",'Fuel consumption'!F$28=""),"",'Fuel consumption'!F$28  * VLOOKUP($B49,'A1.3.10'!$S$28:$AE$58,3,))))</f>
        <v>-5.3864310272016614E-4</v>
      </c>
      <c r="K49" s="2642">
        <f>IF($B49&lt;'A1.3.10'!$S$28,"",IF($B49&gt;'A1.3.10'!$S$58,K48,IF(OR(VLOOKUP($B49,'A1.3.10'!$S$28:$AE$58,3,)="",'Fuel consumption'!G$28=""),"",'Fuel consumption'!G$28  * VLOOKUP($B49,'A1.3.10'!$S$28:$AE$58,3,))))</f>
        <v>4.2445346735626252E-6</v>
      </c>
      <c r="L49" s="2486" t="str">
        <f>IF($B49&lt;'A1.3.10'!$S$28,"",IF($B49&gt;'A1.3.10'!$S$58,L48,IF(OR(VLOOKUP($B49,'A1.3.10'!$S$28:$AE$58,4,)="", 'Fuel consumption'!D$36=""),"",'Fuel consumption'!D$36 * VLOOKUP($B49,'A1.3.10'!$S$28:$AE$58,4,))))</f>
        <v/>
      </c>
      <c r="M49" s="2487">
        <f>IF($B49&lt;'A1.3.10'!$S$28,"",IF($B49&gt;'A1.3.10'!$S$58,M48,IF(OR(VLOOKUP($B49,'A1.3.10'!$S$28:$AE$58,4,)="", 'Fuel consumption'!E$36=""),"",'Fuel consumption'!E$36 * VLOOKUP($B49,'A1.3.10'!$S$28:$AE$58,4,))))</f>
        <v>0.13061804721824036</v>
      </c>
      <c r="N49" s="614" t="str">
        <f>IF($B49&lt;'A1.3.10'!$S$28,"",IF($B49&gt;'A1.3.10'!$S$58,N48,IF(OR(VLOOKUP($B49,'A1.3.10'!$S$28:$AE$58,4,)="", 'Fuel consumption'!F$36=""),"",'Fuel consumption'!F$36 * VLOOKUP($B49,'A1.3.10'!$S$28:$AE$58,4,))))</f>
        <v/>
      </c>
      <c r="O49" s="612" t="str">
        <f>IF($B49&lt;'A1.3.10'!$S$28,"",IF($B49&gt;'A1.3.10'!$S$58,O48,IF(OR(VLOOKUP($B49,'A1.3.10'!$S$28:$AE$58,4,)="", 'Fuel consumption'!G$36=""),"",'Fuel consumption'!G$36 * VLOOKUP($B49,'A1.3.10'!$S$28:$AE$58,4,))))</f>
        <v/>
      </c>
      <c r="P49" s="610">
        <f>IF($B49&lt;'A1.3.10'!$S$28,"",IF($B49&gt;'A1.3.10'!$S$58,P48,IF(OR(VLOOKUP($B49,'A1.3.10'!$S$28:$AE$58,5,)="",'Fuel consumption'!D$29=""),"",'Fuel consumption'!D$29 * VLOOKUP($B49,'A1.3.10'!$S$28:$AE$58,5,))))</f>
        <v>0.23625125096799543</v>
      </c>
      <c r="Q49" s="611">
        <f>IF($B49&lt;'A1.3.10'!$S$28,"",IF($B49&gt;'A1.3.10'!$S$58,Q48,IF(OR(VLOOKUP($B49,'A1.3.10'!$S$28:$AE$58,5,)="",'Fuel consumption'!E$29=""),"",'Fuel consumption'!E$29 * VLOOKUP($B49,'A1.3.10'!$S$28:$AE$58,5,))))</f>
        <v>0.13247602580523474</v>
      </c>
      <c r="R49" s="611">
        <f>IF($B49&lt;'A1.3.10'!$S$28,"",IF($B49&gt;'A1.3.10'!$S$58,R48,IF(OR(VLOOKUP($B49,'A1.3.10'!$S$28:$AE$58,5,)="",'Fuel consumption'!F$29=""),"",'Fuel consumption'!F$29 * VLOOKUP($B49,'A1.3.10'!$S$28:$AE$58,5,))))</f>
        <v>-2.0794387665552128E-3</v>
      </c>
      <c r="S49" s="2642">
        <f>IF($B49&lt;'A1.3.10'!$S$28,"",IF($B49&gt;'A1.3.10'!$S$58,S48,IF(OR(VLOOKUP($B49,'A1.3.10'!$S$28:$AE$58,5,)="",'Fuel consumption'!G$29=""),"",'Fuel consumption'!G$29 * VLOOKUP($B49,'A1.3.10'!$S$28:$AE$58,5,))))</f>
        <v>1.3429093267908468E-5</v>
      </c>
      <c r="T49" s="610">
        <f>IF($B49&lt;'A1.3.10'!$S$28,"",IF($B49&gt;'A1.3.10'!$S$58,T48,IF(OR(VLOOKUP($B49,'A1.3.10'!$S$28:$AE$58,6,)="",'Fuel consumption'!D$30=""),"",'Fuel consumption'!D$30 * VLOOKUP($B49,'A1.3.10'!$S$28:$AE$58,6,))))</f>
        <v>0.40064475969256824</v>
      </c>
      <c r="U49" s="611">
        <f>IF($B49&lt;'A1.3.10'!$S$28,"",IF($B49&gt;'A1.3.10'!$S$58,U48,IF(OR(VLOOKUP($B49,'A1.3.10'!$S$28:$AE$58,6,)="",'Fuel consumption'!E$30=""),"",'Fuel consumption'!E$30 * VLOOKUP($B49,'A1.3.10'!$S$28:$AE$58,6,))))</f>
        <v>9.7919212029164121E-2</v>
      </c>
      <c r="V49" s="611">
        <f>IF($B49&lt;'A1.3.10'!$S$28,"",IF($B49&gt;'A1.3.10'!$S$58,V48,IF(OR(VLOOKUP($B49,'A1.3.10'!$S$28:$AE$58,6,)="",'Fuel consumption'!F$30=""),"",'Fuel consumption'!F$30 * VLOOKUP($B49,'A1.3.10'!$S$28:$AE$58,6,))))</f>
        <v>-1.412662596106142E-3</v>
      </c>
      <c r="W49" s="2642">
        <f>IF($B49&lt;'A1.3.10'!$S$28,"",IF($B49&gt;'A1.3.10'!$S$58,W48,IF(OR(VLOOKUP($B49,'A1.3.10'!$S$28:$AE$58,6,)="",'Fuel consumption'!G$30=""),"",'Fuel consumption'!G$30 * VLOOKUP($B49,'A1.3.10'!$S$28:$AE$58,6,))))</f>
        <v>1.1959650794147291E-5</v>
      </c>
      <c r="X49" s="3144"/>
      <c r="Y49" s="2487">
        <f>IF($B49&lt;'A1.3.10'!$S$28,"",IF($B49&gt;'A1.3.10'!$S$58,Y48,IF(OR(VLOOKUP($B49,'A1.3.10'!$S$28:$AE$58,7,)="", 'Fuel consumption'!E$37=""),"",'Fuel consumption'!E$37 * VLOOKUP($B49,'A1.3.10'!$S$28:$AE$58,7,))))</f>
        <v>0.29149401103980149</v>
      </c>
      <c r="Z49" s="2642"/>
      <c r="AA49" s="2642"/>
      <c r="AB49" s="610">
        <f>IF($B49&lt;'A1.3.10'!$S$28,"",IF($B49&gt;'A1.3.10'!$S$58,AB48,IF(OR(VLOOKUP($B49,'A1.3.10'!$S$28:$AE$58,8,)="",'Fuel consumption'!D$31=""),"",'Fuel consumption'!D$31 * VLOOKUP($B49,'A1.3.10'!$S$28:$AE$58,8,))))</f>
        <v>2.6962848686626804</v>
      </c>
      <c r="AC49" s="611">
        <f>IF($B49&lt;'A1.3.10'!$S$28,"",IF($B49&gt;'A1.3.10'!$S$58,AC48,IF(OR(VLOOKUP($B49,'A1.3.10'!$S$28:$AE$58,8,)="",'Fuel consumption'!E$31=""),"",'Fuel consumption'!E$31 * VLOOKUP($B49,'A1.3.10'!$S$28:$AE$58,8,))))</f>
        <v>0.143057339771858</v>
      </c>
      <c r="AD49" s="611">
        <f>IF($B49&lt;'A1.3.10'!$S$28,"",IF($B49&gt;'A1.3.10'!$S$58,AD48,IF(OR(VLOOKUP($B49,'A1.3.10'!$S$28:$AE$58,8,)="",'Fuel consumption'!F$31=""),"",'Fuel consumption'!F$31 * VLOOKUP($B49,'A1.3.10'!$S$28:$AE$58,8,))))</f>
        <v>-1.0340193601785499E-3</v>
      </c>
      <c r="AE49" s="2642">
        <f>IF($B49&lt;'A1.3.10'!$S$28,"",IF($B49&gt;'A1.3.10'!$S$58,AE48,IF(OR(VLOOKUP($B49,'A1.3.10'!$S$28:$AE$58,8,)="",'Fuel consumption'!G$31=""),"",'Fuel consumption'!G$31 * VLOOKUP($B49,'A1.3.10'!$S$28:$AE$58,8,))))</f>
        <v>1.1293150500864199E-5</v>
      </c>
      <c r="AF49" s="610">
        <f>IF($B49&lt;'A1.3.10'!$S$28,"",IF($B49&gt;'A1.3.10'!$S$58,AF48,IF(OR(VLOOKUP($B49,'A1.3.10'!$S$28:$AE$58,10,)="",'Fuel consumption'!D$32=""),"",'Fuel consumption'!D$32 * VLOOKUP($B49,'A1.3.10'!$S$28:$AE$58,10,))))</f>
        <v>5.6655970981789903</v>
      </c>
      <c r="AG49" s="611">
        <f>IF($B49&lt;'A1.3.10'!$S$28,"",IF($B49&gt;'A1.3.10'!$S$58,AG48,IF(OR(VLOOKUP($B49,'A1.3.10'!$S$28:$AE$58,10,)="",'Fuel consumption'!E$32=""),"",'Fuel consumption'!E$32 * VLOOKUP($B49,'A1.3.10'!$S$28:$AE$58,10,))))</f>
        <v>0.29422449618924201</v>
      </c>
      <c r="AH49" s="611">
        <f>IF($B49&lt;'A1.3.10'!$S$28,"",IF($B49&gt;'A1.3.10'!$S$58,AH48,IF(OR(VLOOKUP($B49,'A1.3.10'!$S$28:$AE$58,10,)="",'Fuel consumption'!F$32=""),"",'Fuel consumption'!F$32 * VLOOKUP($B49,'A1.3.10'!$S$28:$AE$58,10,))))</f>
        <v>-1.9493920679616401E-3</v>
      </c>
      <c r="AI49" s="1578">
        <f>IF($B49&lt;'A1.3.10'!$S$28,"",IF($B49&gt;'A1.3.10'!$S$58,AI48,IF(OR(VLOOKUP($B49,'A1.3.10'!$S$28:$AE$58,10,)="",'Fuel consumption'!G$32=""),"",'Fuel consumption'!G$32 * VLOOKUP($B49,'A1.3.10'!$S$28:$AE$58,10,))))</f>
        <v>1.1619187345164999E-5</v>
      </c>
      <c r="AJ49" s="610">
        <f>IF($B49&lt;'A1.3.10'!$S$28,"",IF($B49&gt;'A1.3.10'!$S$58,AJ48,IF(OR(VLOOKUP($B49,'A1.3.10'!$S$28:$AE$58,12,)="",'Fuel consumption'!D$33=""),"",'Fuel consumption'!D$33 * VLOOKUP($B49,'A1.3.10'!$S$28:$AE$58,12,))))</f>
        <v>3.3601870156891001</v>
      </c>
      <c r="AK49" s="611">
        <f>IF($B49&lt;'A1.3.10'!$S$28,"",IF($B49&gt;'A1.3.10'!$S$58,AK48,IF(OR(VLOOKUP($B49,'A1.3.10'!$S$28:$AE$58,12,)="",'Fuel consumption'!E$33=""),"",'Fuel consumption'!E$33 * VLOOKUP($B49,'A1.3.10'!$S$28:$AE$58,12,))))</f>
        <v>0.29524938703213599</v>
      </c>
      <c r="AL49" s="611">
        <f>IF($B49&lt;'A1.3.10'!$S$28,"",IF($B49&gt;'A1.3.10'!$S$58,AL48,IF(OR(VLOOKUP($B49,'A1.3.10'!$S$28:$AE$58,12,)="",'Fuel consumption'!F$33=""),"",'Fuel consumption'!F$33 * VLOOKUP($B49,'A1.3.10'!$S$28:$AE$58,12,))))</f>
        <v>-3.20909768342738E-3</v>
      </c>
      <c r="AM49" s="1578">
        <f>IF($B49&lt;'A1.3.10'!$S$28,"",IF($B49&gt;'A1.3.10'!$S$58,AM48,IF(OR(VLOOKUP($B49,'A1.3.10'!$S$28:$AE$58,12,)="",'Fuel consumption'!G$33=""),"",'Fuel consumption'!G$33 * VLOOKUP($B49,'A1.3.10'!$S$28:$AE$58,12,))))</f>
        <v>2.3540043227716499E-5</v>
      </c>
    </row>
    <row r="50" spans="1:39" ht="13.5" customHeight="1">
      <c r="A50" s="623"/>
      <c r="B50" s="614">
        <f t="shared" si="1"/>
        <v>2034</v>
      </c>
      <c r="C50" s="609"/>
      <c r="D50" s="2484">
        <f>IF($B50&lt;'A1.3.10'!$S$28,"",IF($B50&gt;'A1.3.10'!$S$58,D49,IF(OR(VLOOKUP($B50,'A1.3.10'!$S$28:$AE$58,2,)="",'Fuel consumption'!D$27=""),"",'Fuel consumption'!D$27 * VLOOKUP($B50,'A1.3.10'!$S$28:$AE$58,2,))))</f>
        <v>0.3271115790538337</v>
      </c>
      <c r="E50" s="2485">
        <f>IF($B50&lt;'A1.3.10'!$S$28,"",IF($B50&gt;'A1.3.10'!$S$58,E49,IF(OR(VLOOKUP($B50,'A1.3.10'!$S$28:$AE$58,2,)="",'Fuel consumption'!E$27=""),"",'Fuel consumption'!E$27 * VLOOKUP($B50,'A1.3.10'!$S$28:$AE$58,2,))))</f>
        <v>6.9516516595837644E-2</v>
      </c>
      <c r="F50" s="2485">
        <f>IF($B50&lt;'A1.3.10'!$S$28,"",IF($B50&gt;'A1.3.10'!$S$58,F49,IF(OR(VLOOKUP($B50,'A1.3.10'!$S$28:$AE$58,2,)="",'Fuel consumption'!F$27=""),"",'Fuel consumption'!F$27 * VLOOKUP($B50,'A1.3.10'!$S$28:$AE$58,2,))))</f>
        <v>-7.9187556266903554E-4</v>
      </c>
      <c r="G50" s="2642">
        <f>IF($B50&lt;'A1.3.10'!$S$28,"",IF($B50&gt;'A1.3.10'!$S$58,G49,IF(OR(VLOOKUP($B50,'A1.3.10'!$S$28:$AE$58,2,)="",'Fuel consumption'!G$27=""),"",'Fuel consumption'!G$27 * VLOOKUP($B50,'A1.3.10'!$S$28:$AE$58,2,))))</f>
        <v>5.2445281361753747E-6</v>
      </c>
      <c r="H50" s="2486">
        <f>IF($B50&lt;'A1.3.10'!$S$28,"",IF($B50&gt;'A1.3.10'!$S$58,H49,IF(OR(VLOOKUP($B50,'A1.3.10'!$S$28:$AE$58,3,)="",'Fuel consumption'!D$28=""),"",'Fuel consumption'!D$28  * VLOOKUP($B50,'A1.3.10'!$S$28:$AE$58,3,))))</f>
        <v>0.38861565532244219</v>
      </c>
      <c r="I50" s="2487">
        <f>IF($B50&lt;'A1.3.10'!$S$28,"",IF($B50&gt;'A1.3.10'!$S$58,I49,IF(OR(VLOOKUP($B50,'A1.3.10'!$S$28:$AE$58,3,)="",'Fuel consumption'!E$28=""),"",'Fuel consumption'!E$28  * VLOOKUP($B50,'A1.3.10'!$S$28:$AE$58,3,))))</f>
        <v>5.5717874519008448E-2</v>
      </c>
      <c r="J50" s="2487">
        <f>IF($B50&lt;'A1.3.10'!$S$28,"",IF($B50&gt;'A1.3.10'!$S$58,J49,IF(OR(VLOOKUP($B50,'A1.3.10'!$S$28:$AE$58,3,)="",'Fuel consumption'!F$28=""),"",'Fuel consumption'!F$28  * VLOOKUP($B50,'A1.3.10'!$S$28:$AE$58,3,))))</f>
        <v>-5.3602147479587842E-4</v>
      </c>
      <c r="K50" s="2642">
        <f>IF($B50&lt;'A1.3.10'!$S$28,"",IF($B50&gt;'A1.3.10'!$S$58,K49,IF(OR(VLOOKUP($B50,'A1.3.10'!$S$28:$AE$58,3,)="",'Fuel consumption'!G$28=""),"",'Fuel consumption'!G$28  * VLOOKUP($B50,'A1.3.10'!$S$28:$AE$58,3,))))</f>
        <v>4.2238761139902022E-6</v>
      </c>
      <c r="L50" s="2486" t="str">
        <f>IF($B50&lt;'A1.3.10'!$S$28,"",IF($B50&gt;'A1.3.10'!$S$58,L49,IF(OR(VLOOKUP($B50,'A1.3.10'!$S$28:$AE$58,4,)="", 'Fuel consumption'!D$36=""),"",'Fuel consumption'!D$36 * VLOOKUP($B50,'A1.3.10'!$S$28:$AE$58,4,))))</f>
        <v/>
      </c>
      <c r="M50" s="2487">
        <f>IF($B50&lt;'A1.3.10'!$S$28,"",IF($B50&gt;'A1.3.10'!$S$58,M49,IF(OR(VLOOKUP($B50,'A1.3.10'!$S$28:$AE$58,4,)="", 'Fuel consumption'!E$36=""),"",'Fuel consumption'!E$36 * VLOOKUP($B50,'A1.3.10'!$S$28:$AE$58,4,))))</f>
        <v>0.12947648965247605</v>
      </c>
      <c r="N50" s="614" t="str">
        <f>IF($B50&lt;'A1.3.10'!$S$28,"",IF($B50&gt;'A1.3.10'!$S$58,N49,IF(OR(VLOOKUP($B50,'A1.3.10'!$S$28:$AE$58,4,)="", 'Fuel consumption'!F$36=""),"",'Fuel consumption'!F$36 * VLOOKUP($B50,'A1.3.10'!$S$28:$AE$58,4,))))</f>
        <v/>
      </c>
      <c r="O50" s="612" t="str">
        <f>IF($B50&lt;'A1.3.10'!$S$28,"",IF($B50&gt;'A1.3.10'!$S$58,O49,IF(OR(VLOOKUP($B50,'A1.3.10'!$S$28:$AE$58,4,)="", 'Fuel consumption'!G$36=""),"",'Fuel consumption'!G$36 * VLOOKUP($B50,'A1.3.10'!$S$28:$AE$58,4,))))</f>
        <v/>
      </c>
      <c r="P50" s="610">
        <f>IF($B50&lt;'A1.3.10'!$S$28,"",IF($B50&gt;'A1.3.10'!$S$58,P49,IF(OR(VLOOKUP($B50,'A1.3.10'!$S$28:$AE$58,5,)="",'Fuel consumption'!D$29=""),"",'Fuel consumption'!D$29 * VLOOKUP($B50,'A1.3.10'!$S$28:$AE$58,5,))))</f>
        <v>0.23538763127005771</v>
      </c>
      <c r="Q50" s="611">
        <f>IF($B50&lt;'A1.3.10'!$S$28,"",IF($B50&gt;'A1.3.10'!$S$58,Q49,IF(OR(VLOOKUP($B50,'A1.3.10'!$S$28:$AE$58,5,)="",'Fuel consumption'!E$29=""),"",'Fuel consumption'!E$29 * VLOOKUP($B50,'A1.3.10'!$S$28:$AE$58,5,))))</f>
        <v>0.13199175787047826</v>
      </c>
      <c r="R50" s="611">
        <f>IF($B50&lt;'A1.3.10'!$S$28,"",IF($B50&gt;'A1.3.10'!$S$58,R49,IF(OR(VLOOKUP($B50,'A1.3.10'!$S$28:$AE$58,5,)="",'Fuel consumption'!F$29=""),"",'Fuel consumption'!F$29 * VLOOKUP($B50,'A1.3.10'!$S$28:$AE$58,5,))))</f>
        <v>-2.0718373495379728E-3</v>
      </c>
      <c r="S50" s="2642">
        <f>IF($B50&lt;'A1.3.10'!$S$28,"",IF($B50&gt;'A1.3.10'!$S$58,S49,IF(OR(VLOOKUP($B50,'A1.3.10'!$S$28:$AE$58,5,)="",'Fuel consumption'!G$29=""),"",'Fuel consumption'!G$29 * VLOOKUP($B50,'A1.3.10'!$S$28:$AE$58,5,))))</f>
        <v>1.3380003032728381E-5</v>
      </c>
      <c r="T50" s="610">
        <f>IF($B50&lt;'A1.3.10'!$S$28,"",IF($B50&gt;'A1.3.10'!$S$58,T49,IF(OR(VLOOKUP($B50,'A1.3.10'!$S$28:$AE$58,6,)="",'Fuel consumption'!D$30=""),"",'Fuel consumption'!D$30 * VLOOKUP($B50,'A1.3.10'!$S$28:$AE$58,6,))))</f>
        <v>0.39995501377815584</v>
      </c>
      <c r="U50" s="611">
        <f>IF($B50&lt;'A1.3.10'!$S$28,"",IF($B50&gt;'A1.3.10'!$S$58,U49,IF(OR(VLOOKUP($B50,'A1.3.10'!$S$28:$AE$58,6,)="",'Fuel consumption'!E$30=""),"",'Fuel consumption'!E$30 * VLOOKUP($B50,'A1.3.10'!$S$28:$AE$58,6,))))</f>
        <v>9.7750635316738319E-2</v>
      </c>
      <c r="V50" s="611">
        <f>IF($B50&lt;'A1.3.10'!$S$28,"",IF($B50&gt;'A1.3.10'!$S$58,V49,IF(OR(VLOOKUP($B50,'A1.3.10'!$S$28:$AE$58,6,)="",'Fuel consumption'!F$30=""),"",'Fuel consumption'!F$30 * VLOOKUP($B50,'A1.3.10'!$S$28:$AE$58,6,))))</f>
        <v>-1.4102305706508358E-3</v>
      </c>
      <c r="W50" s="2642">
        <f>IF($B50&lt;'A1.3.10'!$S$28,"",IF($B50&gt;'A1.3.10'!$S$58,W49,IF(OR(VLOOKUP($B50,'A1.3.10'!$S$28:$AE$58,6,)="",'Fuel consumption'!G$30=""),"",'Fuel consumption'!G$30 * VLOOKUP($B50,'A1.3.10'!$S$28:$AE$58,6,))))</f>
        <v>1.1939061181844883E-5</v>
      </c>
      <c r="X50" s="3144"/>
      <c r="Y50" s="2487">
        <f>IF($B50&lt;'A1.3.10'!$S$28,"",IF($B50&gt;'A1.3.10'!$S$58,Y49,IF(OR(VLOOKUP($B50,'A1.3.10'!$S$28:$AE$58,7,)="", 'Fuel consumption'!E$37=""),"",'Fuel consumption'!E$37 * VLOOKUP($B50,'A1.3.10'!$S$28:$AE$58,7,))))</f>
        <v>0.29149401103980149</v>
      </c>
      <c r="Z50" s="2642"/>
      <c r="AA50" s="2642"/>
      <c r="AB50" s="610">
        <f>IF($B50&lt;'A1.3.10'!$S$28,"",IF($B50&gt;'A1.3.10'!$S$58,AB49,IF(OR(VLOOKUP($B50,'A1.3.10'!$S$28:$AE$58,8,)="",'Fuel consumption'!D$31=""),"",'Fuel consumption'!D$31 * VLOOKUP($B50,'A1.3.10'!$S$28:$AE$58,8,))))</f>
        <v>2.6962848686626804</v>
      </c>
      <c r="AC50" s="611">
        <f>IF($B50&lt;'A1.3.10'!$S$28,"",IF($B50&gt;'A1.3.10'!$S$58,AC49,IF(OR(VLOOKUP($B50,'A1.3.10'!$S$28:$AE$58,8,)="",'Fuel consumption'!E$31=""),"",'Fuel consumption'!E$31 * VLOOKUP($B50,'A1.3.10'!$S$28:$AE$58,8,))))</f>
        <v>0.143057339771858</v>
      </c>
      <c r="AD50" s="611">
        <f>IF($B50&lt;'A1.3.10'!$S$28,"",IF($B50&gt;'A1.3.10'!$S$58,AD49,IF(OR(VLOOKUP($B50,'A1.3.10'!$S$28:$AE$58,8,)="",'Fuel consumption'!F$31=""),"",'Fuel consumption'!F$31 * VLOOKUP($B50,'A1.3.10'!$S$28:$AE$58,8,))))</f>
        <v>-1.0340193601785499E-3</v>
      </c>
      <c r="AE50" s="2642">
        <f>IF($B50&lt;'A1.3.10'!$S$28,"",IF($B50&gt;'A1.3.10'!$S$58,AE49,IF(OR(VLOOKUP($B50,'A1.3.10'!$S$28:$AE$58,8,)="",'Fuel consumption'!G$31=""),"",'Fuel consumption'!G$31 * VLOOKUP($B50,'A1.3.10'!$S$28:$AE$58,8,))))</f>
        <v>1.1293150500864199E-5</v>
      </c>
      <c r="AF50" s="610">
        <f>IF($B50&lt;'A1.3.10'!$S$28,"",IF($B50&gt;'A1.3.10'!$S$58,AF49,IF(OR(VLOOKUP($B50,'A1.3.10'!$S$28:$AE$58,10,)="",'Fuel consumption'!D$32=""),"",'Fuel consumption'!D$32 * VLOOKUP($B50,'A1.3.10'!$S$28:$AE$58,10,))))</f>
        <v>5.6655970981789903</v>
      </c>
      <c r="AG50" s="611">
        <f>IF($B50&lt;'A1.3.10'!$S$28,"",IF($B50&gt;'A1.3.10'!$S$58,AG49,IF(OR(VLOOKUP($B50,'A1.3.10'!$S$28:$AE$58,10,)="",'Fuel consumption'!E$32=""),"",'Fuel consumption'!E$32 * VLOOKUP($B50,'A1.3.10'!$S$28:$AE$58,10,))))</f>
        <v>0.29422449618924201</v>
      </c>
      <c r="AH50" s="611">
        <f>IF($B50&lt;'A1.3.10'!$S$28,"",IF($B50&gt;'A1.3.10'!$S$58,AH49,IF(OR(VLOOKUP($B50,'A1.3.10'!$S$28:$AE$58,10,)="",'Fuel consumption'!F$32=""),"",'Fuel consumption'!F$32 * VLOOKUP($B50,'A1.3.10'!$S$28:$AE$58,10,))))</f>
        <v>-1.9493920679616401E-3</v>
      </c>
      <c r="AI50" s="1578">
        <f>IF($B50&lt;'A1.3.10'!$S$28,"",IF($B50&gt;'A1.3.10'!$S$58,AI49,IF(OR(VLOOKUP($B50,'A1.3.10'!$S$28:$AE$58,10,)="",'Fuel consumption'!G$32=""),"",'Fuel consumption'!G$32 * VLOOKUP($B50,'A1.3.10'!$S$28:$AE$58,10,))))</f>
        <v>1.1619187345164999E-5</v>
      </c>
      <c r="AJ50" s="610">
        <f>IF($B50&lt;'A1.3.10'!$S$28,"",IF($B50&gt;'A1.3.10'!$S$58,AJ49,IF(OR(VLOOKUP($B50,'A1.3.10'!$S$28:$AE$58,12,)="",'Fuel consumption'!D$33=""),"",'Fuel consumption'!D$33 * VLOOKUP($B50,'A1.3.10'!$S$28:$AE$58,12,))))</f>
        <v>3.3601870156891001</v>
      </c>
      <c r="AK50" s="611">
        <f>IF($B50&lt;'A1.3.10'!$S$28,"",IF($B50&gt;'A1.3.10'!$S$58,AK49,IF(OR(VLOOKUP($B50,'A1.3.10'!$S$28:$AE$58,12,)="",'Fuel consumption'!E$33=""),"",'Fuel consumption'!E$33 * VLOOKUP($B50,'A1.3.10'!$S$28:$AE$58,12,))))</f>
        <v>0.29524938703213599</v>
      </c>
      <c r="AL50" s="611">
        <f>IF($B50&lt;'A1.3.10'!$S$28,"",IF($B50&gt;'A1.3.10'!$S$58,AL49,IF(OR(VLOOKUP($B50,'A1.3.10'!$S$28:$AE$58,12,)="",'Fuel consumption'!F$33=""),"",'Fuel consumption'!F$33 * VLOOKUP($B50,'A1.3.10'!$S$28:$AE$58,12,))))</f>
        <v>-3.20909768342738E-3</v>
      </c>
      <c r="AM50" s="1578">
        <f>IF($B50&lt;'A1.3.10'!$S$28,"",IF($B50&gt;'A1.3.10'!$S$58,AM49,IF(OR(VLOOKUP($B50,'A1.3.10'!$S$28:$AE$58,12,)="",'Fuel consumption'!G$33=""),"",'Fuel consumption'!G$33 * VLOOKUP($B50,'A1.3.10'!$S$28:$AE$58,12,))))</f>
        <v>2.3540043227716499E-5</v>
      </c>
    </row>
    <row r="51" spans="1:39" ht="13.5" customHeight="1">
      <c r="A51" s="623"/>
      <c r="B51" s="614">
        <f t="shared" si="1"/>
        <v>2035</v>
      </c>
      <c r="C51" s="609"/>
      <c r="D51" s="2484">
        <f>IF($B51&lt;'A1.3.10'!$S$28,"",IF($B51&gt;'A1.3.10'!$S$58,D50,IF(OR(VLOOKUP($B51,'A1.3.10'!$S$28:$AE$58,2,)="",'Fuel consumption'!D$27=""),"",'Fuel consumption'!D$27 * VLOOKUP($B51,'A1.3.10'!$S$28:$AE$58,2,))))</f>
        <v>0.32671921534378834</v>
      </c>
      <c r="E51" s="2485">
        <f>IF($B51&lt;'A1.3.10'!$S$28,"",IF($B51&gt;'A1.3.10'!$S$58,E50,IF(OR(VLOOKUP($B51,'A1.3.10'!$S$28:$AE$58,2,)="",'Fuel consumption'!E$27=""),"",'Fuel consumption'!E$27 * VLOOKUP($B51,'A1.3.10'!$S$28:$AE$58,2,))))</f>
        <v>6.9433132942957276E-2</v>
      </c>
      <c r="F51" s="2485">
        <f>IF($B51&lt;'A1.3.10'!$S$28,"",IF($B51&gt;'A1.3.10'!$S$58,F50,IF(OR(VLOOKUP($B51,'A1.3.10'!$S$28:$AE$58,2,)="",'Fuel consumption'!F$27=""),"",'Fuel consumption'!F$27 * VLOOKUP($B51,'A1.3.10'!$S$28:$AE$58,2,))))</f>
        <v>-7.9092572397924726E-4</v>
      </c>
      <c r="G51" s="2642">
        <f>IF($B51&lt;'A1.3.10'!$S$28,"",IF($B51&gt;'A1.3.10'!$S$58,G50,IF(OR(VLOOKUP($B51,'A1.3.10'!$S$28:$AE$58,2,)="",'Fuel consumption'!G$27=""),"",'Fuel consumption'!G$27 * VLOOKUP($B51,'A1.3.10'!$S$28:$AE$58,2,))))</f>
        <v>5.2382374309582159E-6</v>
      </c>
      <c r="H51" s="2486">
        <f>IF($B51&lt;'A1.3.10'!$S$28,"",IF($B51&gt;'A1.3.10'!$S$58,H50,IF(OR(VLOOKUP($B51,'A1.3.10'!$S$28:$AE$58,3,)="",'Fuel consumption'!D$28=""),"",'Fuel consumption'!D$28  * VLOOKUP($B51,'A1.3.10'!$S$28:$AE$58,3,))))</f>
        <v>0.38854052793123967</v>
      </c>
      <c r="I51" s="2487">
        <f>IF($B51&lt;'A1.3.10'!$S$28,"",IF($B51&gt;'A1.3.10'!$S$58,I50,IF(OR(VLOOKUP($B51,'A1.3.10'!$S$28:$AE$58,3,)="",'Fuel consumption'!E$28=""),"",'Fuel consumption'!E$28  * VLOOKUP($B51,'A1.3.10'!$S$28:$AE$58,3,))))</f>
        <v>5.5707103109008275E-2</v>
      </c>
      <c r="J51" s="2487">
        <f>IF($B51&lt;'A1.3.10'!$S$28,"",IF($B51&gt;'A1.3.10'!$S$58,J50,IF(OR(VLOOKUP($B51,'A1.3.10'!$S$28:$AE$58,3,)="",'Fuel consumption'!F$28=""),"",'Fuel consumption'!F$28  * VLOOKUP($B51,'A1.3.10'!$S$28:$AE$58,3,))))</f>
        <v>-5.3591785083097014E-4</v>
      </c>
      <c r="K51" s="2642">
        <f>IF($B51&lt;'A1.3.10'!$S$28,"",IF($B51&gt;'A1.3.10'!$S$58,K50,IF(OR(VLOOKUP($B51,'A1.3.10'!$S$28:$AE$58,3,)="",'Fuel consumption'!G$28=""),"",'Fuel consumption'!G$28  * VLOOKUP($B51,'A1.3.10'!$S$28:$AE$58,3,))))</f>
        <v>4.223059551947833E-6</v>
      </c>
      <c r="L51" s="2486" t="str">
        <f>IF($B51&lt;'A1.3.10'!$S$28,"",IF($B51&gt;'A1.3.10'!$S$58,L50,IF(OR(VLOOKUP($B51,'A1.3.10'!$S$28:$AE$58,4,)="", 'Fuel consumption'!D$36=""),"",'Fuel consumption'!D$36 * VLOOKUP($B51,'A1.3.10'!$S$28:$AE$58,4,))))</f>
        <v/>
      </c>
      <c r="M51" s="2487">
        <f>IF($B51&lt;'A1.3.10'!$S$28,"",IF($B51&gt;'A1.3.10'!$S$58,M50,IF(OR(VLOOKUP($B51,'A1.3.10'!$S$28:$AE$58,4,)="", 'Fuel consumption'!E$36=""),"",'Fuel consumption'!E$36 * VLOOKUP($B51,'A1.3.10'!$S$28:$AE$58,4,))))</f>
        <v>0.12846896288836482</v>
      </c>
      <c r="N51" s="614" t="str">
        <f>IF($B51&lt;'A1.3.10'!$S$28,"",IF($B51&gt;'A1.3.10'!$S$58,N50,IF(OR(VLOOKUP($B51,'A1.3.10'!$S$28:$AE$58,4,)="", 'Fuel consumption'!F$36=""),"",'Fuel consumption'!F$36 * VLOOKUP($B51,'A1.3.10'!$S$28:$AE$58,4,))))</f>
        <v/>
      </c>
      <c r="O51" s="612" t="str">
        <f>IF($B51&lt;'A1.3.10'!$S$28,"",IF($B51&gt;'A1.3.10'!$S$58,O50,IF(OR(VLOOKUP($B51,'A1.3.10'!$S$28:$AE$58,4,)="", 'Fuel consumption'!G$36=""),"",'Fuel consumption'!G$36 * VLOOKUP($B51,'A1.3.10'!$S$28:$AE$58,4,))))</f>
        <v/>
      </c>
      <c r="P51" s="610">
        <f>IF($B51&lt;'A1.3.10'!$S$28,"",IF($B51&gt;'A1.3.10'!$S$58,P50,IF(OR(VLOOKUP($B51,'A1.3.10'!$S$28:$AE$58,5,)="",'Fuel consumption'!D$29=""),"",'Fuel consumption'!D$29 * VLOOKUP($B51,'A1.3.10'!$S$28:$AE$58,5,))))</f>
        <v>0.23478635239281054</v>
      </c>
      <c r="Q51" s="611">
        <f>IF($B51&lt;'A1.3.10'!$S$28,"",IF($B51&gt;'A1.3.10'!$S$58,Q50,IF(OR(VLOOKUP($B51,'A1.3.10'!$S$28:$AE$58,5,)="",'Fuel consumption'!E$29=""),"",'Fuel consumption'!E$29 * VLOOKUP($B51,'A1.3.10'!$S$28:$AE$58,5,))))</f>
        <v>0.13165459548199579</v>
      </c>
      <c r="R51" s="611">
        <f>IF($B51&lt;'A1.3.10'!$S$28,"",IF($B51&gt;'A1.3.10'!$S$58,R50,IF(OR(VLOOKUP($B51,'A1.3.10'!$S$28:$AE$58,5,)="",'Fuel consumption'!F$29=""),"",'Fuel consumption'!F$29 * VLOOKUP($B51,'A1.3.10'!$S$28:$AE$58,5,))))</f>
        <v>-2.0665450067387891E-3</v>
      </c>
      <c r="S51" s="2642">
        <f>IF($B51&lt;'A1.3.10'!$S$28,"",IF($B51&gt;'A1.3.10'!$S$58,S50,IF(OR(VLOOKUP($B51,'A1.3.10'!$S$28:$AE$58,5,)="",'Fuel consumption'!G$29=""),"",'Fuel consumption'!G$29 * VLOOKUP($B51,'A1.3.10'!$S$28:$AE$58,5,))))</f>
        <v>1.3345824885144013E-5</v>
      </c>
      <c r="T51" s="610">
        <f>IF($B51&lt;'A1.3.10'!$S$28,"",IF($B51&gt;'A1.3.10'!$S$58,T50,IF(OR(VLOOKUP($B51,'A1.3.10'!$S$28:$AE$58,6,)="",'Fuel consumption'!D$30=""),"",'Fuel consumption'!D$30 * VLOOKUP($B51,'A1.3.10'!$S$28:$AE$58,6,))))</f>
        <v>0.39946899790004126</v>
      </c>
      <c r="U51" s="611">
        <f>IF($B51&lt;'A1.3.10'!$S$28,"",IF($B51&gt;'A1.3.10'!$S$58,U50,IF(OR(VLOOKUP($B51,'A1.3.10'!$S$28:$AE$58,6,)="",'Fuel consumption'!E$30=""),"",'Fuel consumption'!E$30 * VLOOKUP($B51,'A1.3.10'!$S$28:$AE$58,6,))))</f>
        <v>9.7631851055451191E-2</v>
      </c>
      <c r="V51" s="611">
        <f>IF($B51&lt;'A1.3.10'!$S$28,"",IF($B51&gt;'A1.3.10'!$S$58,V50,IF(OR(VLOOKUP($B51,'A1.3.10'!$S$28:$AE$58,6,)="",'Fuel consumption'!F$30=""),"",'Fuel consumption'!F$30 * VLOOKUP($B51,'A1.3.10'!$S$28:$AE$58,6,))))</f>
        <v>-1.4085168917981458E-3</v>
      </c>
      <c r="W51" s="2642">
        <f>IF($B51&lt;'A1.3.10'!$S$28,"",IF($B51&gt;'A1.3.10'!$S$58,W50,IF(OR(VLOOKUP($B51,'A1.3.10'!$S$28:$AE$58,6,)="",'Fuel consumption'!G$30=""),"",'Fuel consumption'!G$30 * VLOOKUP($B51,'A1.3.10'!$S$28:$AE$58,6,))))</f>
        <v>1.1924553116926919E-5</v>
      </c>
      <c r="X51" s="3144"/>
      <c r="Y51" s="2487">
        <f>IF($B51&lt;'A1.3.10'!$S$28,"",IF($B51&gt;'A1.3.10'!$S$58,Y50,IF(OR(VLOOKUP($B51,'A1.3.10'!$S$28:$AE$58,7,)="", 'Fuel consumption'!E$37=""),"",'Fuel consumption'!E$37 * VLOOKUP($B51,'A1.3.10'!$S$28:$AE$58,7,))))</f>
        <v>0.29149401103980149</v>
      </c>
      <c r="Z51" s="2642"/>
      <c r="AA51" s="2642"/>
      <c r="AB51" s="610">
        <f>IF($B51&lt;'A1.3.10'!$S$28,"",IF($B51&gt;'A1.3.10'!$S$58,AB50,IF(OR(VLOOKUP($B51,'A1.3.10'!$S$28:$AE$58,8,)="",'Fuel consumption'!D$31=""),"",'Fuel consumption'!D$31 * VLOOKUP($B51,'A1.3.10'!$S$28:$AE$58,8,))))</f>
        <v>2.6962848686626804</v>
      </c>
      <c r="AC51" s="611">
        <f>IF($B51&lt;'A1.3.10'!$S$28,"",IF($B51&gt;'A1.3.10'!$S$58,AC50,IF(OR(VLOOKUP($B51,'A1.3.10'!$S$28:$AE$58,8,)="",'Fuel consumption'!E$31=""),"",'Fuel consumption'!E$31 * VLOOKUP($B51,'A1.3.10'!$S$28:$AE$58,8,))))</f>
        <v>0.143057339771858</v>
      </c>
      <c r="AD51" s="611">
        <f>IF($B51&lt;'A1.3.10'!$S$28,"",IF($B51&gt;'A1.3.10'!$S$58,AD50,IF(OR(VLOOKUP($B51,'A1.3.10'!$S$28:$AE$58,8,)="",'Fuel consumption'!F$31=""),"",'Fuel consumption'!F$31 * VLOOKUP($B51,'A1.3.10'!$S$28:$AE$58,8,))))</f>
        <v>-1.0340193601785499E-3</v>
      </c>
      <c r="AE51" s="2642">
        <f>IF($B51&lt;'A1.3.10'!$S$28,"",IF($B51&gt;'A1.3.10'!$S$58,AE50,IF(OR(VLOOKUP($B51,'A1.3.10'!$S$28:$AE$58,8,)="",'Fuel consumption'!G$31=""),"",'Fuel consumption'!G$31 * VLOOKUP($B51,'A1.3.10'!$S$28:$AE$58,8,))))</f>
        <v>1.1293150500864199E-5</v>
      </c>
      <c r="AF51" s="610">
        <f>IF($B51&lt;'A1.3.10'!$S$28,"",IF($B51&gt;'A1.3.10'!$S$58,AF50,IF(OR(VLOOKUP($B51,'A1.3.10'!$S$28:$AE$58,10,)="",'Fuel consumption'!D$32=""),"",'Fuel consumption'!D$32 * VLOOKUP($B51,'A1.3.10'!$S$28:$AE$58,10,))))</f>
        <v>5.6655970981789903</v>
      </c>
      <c r="AG51" s="611">
        <f>IF($B51&lt;'A1.3.10'!$S$28,"",IF($B51&gt;'A1.3.10'!$S$58,AG50,IF(OR(VLOOKUP($B51,'A1.3.10'!$S$28:$AE$58,10,)="",'Fuel consumption'!E$32=""),"",'Fuel consumption'!E$32 * VLOOKUP($B51,'A1.3.10'!$S$28:$AE$58,10,))))</f>
        <v>0.29422449618924201</v>
      </c>
      <c r="AH51" s="611">
        <f>IF($B51&lt;'A1.3.10'!$S$28,"",IF($B51&gt;'A1.3.10'!$S$58,AH50,IF(OR(VLOOKUP($B51,'A1.3.10'!$S$28:$AE$58,10,)="",'Fuel consumption'!F$32=""),"",'Fuel consumption'!F$32 * VLOOKUP($B51,'A1.3.10'!$S$28:$AE$58,10,))))</f>
        <v>-1.9493920679616401E-3</v>
      </c>
      <c r="AI51" s="1578">
        <f>IF($B51&lt;'A1.3.10'!$S$28,"",IF($B51&gt;'A1.3.10'!$S$58,AI50,IF(OR(VLOOKUP($B51,'A1.3.10'!$S$28:$AE$58,10,)="",'Fuel consumption'!G$32=""),"",'Fuel consumption'!G$32 * VLOOKUP($B51,'A1.3.10'!$S$28:$AE$58,10,))))</f>
        <v>1.1619187345164999E-5</v>
      </c>
      <c r="AJ51" s="610">
        <f>IF($B51&lt;'A1.3.10'!$S$28,"",IF($B51&gt;'A1.3.10'!$S$58,AJ50,IF(OR(VLOOKUP($B51,'A1.3.10'!$S$28:$AE$58,12,)="",'Fuel consumption'!D$33=""),"",'Fuel consumption'!D$33 * VLOOKUP($B51,'A1.3.10'!$S$28:$AE$58,12,))))</f>
        <v>3.3601870156891001</v>
      </c>
      <c r="AK51" s="611">
        <f>IF($B51&lt;'A1.3.10'!$S$28,"",IF($B51&gt;'A1.3.10'!$S$58,AK50,IF(OR(VLOOKUP($B51,'A1.3.10'!$S$28:$AE$58,12,)="",'Fuel consumption'!E$33=""),"",'Fuel consumption'!E$33 * VLOOKUP($B51,'A1.3.10'!$S$28:$AE$58,12,))))</f>
        <v>0.29524938703213599</v>
      </c>
      <c r="AL51" s="611">
        <f>IF($B51&lt;'A1.3.10'!$S$28,"",IF($B51&gt;'A1.3.10'!$S$58,AL50,IF(OR(VLOOKUP($B51,'A1.3.10'!$S$28:$AE$58,12,)="",'Fuel consumption'!F$33=""),"",'Fuel consumption'!F$33 * VLOOKUP($B51,'A1.3.10'!$S$28:$AE$58,12,))))</f>
        <v>-3.20909768342738E-3</v>
      </c>
      <c r="AM51" s="1578">
        <f>IF($B51&lt;'A1.3.10'!$S$28,"",IF($B51&gt;'A1.3.10'!$S$58,AM50,IF(OR(VLOOKUP($B51,'A1.3.10'!$S$28:$AE$58,12,)="",'Fuel consumption'!G$33=""),"",'Fuel consumption'!G$33 * VLOOKUP($B51,'A1.3.10'!$S$28:$AE$58,12,))))</f>
        <v>2.3540043227716499E-5</v>
      </c>
    </row>
    <row r="52" spans="1:39" ht="13.5" customHeight="1">
      <c r="A52" s="623"/>
      <c r="B52" s="614">
        <f t="shared" ref="B52:B58" si="2">B51+1</f>
        <v>2036</v>
      </c>
      <c r="C52" s="609"/>
      <c r="D52" s="2484">
        <f>IF($B52&lt;'A1.3.10'!$S$28,"",IF($B52&gt;'A1.3.10'!$S$58,D51,IF(OR(VLOOKUP($B52,'A1.3.10'!$S$28:$AE$58,2,)="",'Fuel consumption'!D$27=""),"",'Fuel consumption'!D$27 * VLOOKUP($B52,'A1.3.10'!$S$28:$AE$58,2,))))</f>
        <v>0.32657954483890683</v>
      </c>
      <c r="E52" s="2485">
        <f>IF($B52&lt;'A1.3.10'!$S$28,"",IF($B52&gt;'A1.3.10'!$S$58,E51,IF(OR(VLOOKUP($B52,'A1.3.10'!$S$28:$AE$58,2,)="",'Fuel consumption'!E$27=""),"",'Fuel consumption'!E$27 * VLOOKUP($B52,'A1.3.10'!$S$28:$AE$58,2,))))</f>
        <v>6.9403450695087521E-2</v>
      </c>
      <c r="F52" s="2485">
        <f>IF($B52&lt;'A1.3.10'!$S$28,"",IF($B52&gt;'A1.3.10'!$S$58,F51,IF(OR(VLOOKUP($B52,'A1.3.10'!$S$28:$AE$58,2,)="",'Fuel consumption'!F$27=""),"",'Fuel consumption'!F$27 * VLOOKUP($B52,'A1.3.10'!$S$28:$AE$58,2,))))</f>
        <v>-7.9058760797625759E-4</v>
      </c>
      <c r="G52" s="2642">
        <f>IF($B52&lt;'A1.3.10'!$S$28,"",IF($B52&gt;'A1.3.10'!$S$58,G51,IF(OR(VLOOKUP($B52,'A1.3.10'!$S$28:$AE$58,2,)="",'Fuel consumption'!G$27=""),"",'Fuel consumption'!G$27 * VLOOKUP($B52,'A1.3.10'!$S$28:$AE$58,2,))))</f>
        <v>5.2359981158756876E-6</v>
      </c>
      <c r="H52" s="2486">
        <f>IF($B52&lt;'A1.3.10'!$S$28,"",IF($B52&gt;'A1.3.10'!$S$58,H51,IF(OR(VLOOKUP($B52,'A1.3.10'!$S$28:$AE$58,3,)="",'Fuel consumption'!D$28=""),"",'Fuel consumption'!D$28  * VLOOKUP($B52,'A1.3.10'!$S$28:$AE$58,3,))))</f>
        <v>0.38864645068042752</v>
      </c>
      <c r="I52" s="2487">
        <f>IF($B52&lt;'A1.3.10'!$S$28,"",IF($B52&gt;'A1.3.10'!$S$58,I51,IF(OR(VLOOKUP($B52,'A1.3.10'!$S$28:$AE$58,3,)="",'Fuel consumption'!E$28=""),"",'Fuel consumption'!E$28  * VLOOKUP($B52,'A1.3.10'!$S$28:$AE$58,3,))))</f>
        <v>5.5722289811775204E-2</v>
      </c>
      <c r="J52" s="2487">
        <f>IF($B52&lt;'A1.3.10'!$S$28,"",IF($B52&gt;'A1.3.10'!$S$58,J51,IF(OR(VLOOKUP($B52,'A1.3.10'!$S$28:$AE$58,3,)="",'Fuel consumption'!F$28=""),"",'Fuel consumption'!F$28  * VLOOKUP($B52,'A1.3.10'!$S$28:$AE$58,3,))))</f>
        <v>-5.3606395114230991E-4</v>
      </c>
      <c r="K52" s="2642">
        <f>IF($B52&lt;'A1.3.10'!$S$28,"",IF($B52&gt;'A1.3.10'!$S$58,K51,IF(OR(VLOOKUP($B52,'A1.3.10'!$S$28:$AE$58,3,)="",'Fuel consumption'!G$28=""),"",'Fuel consumption'!G$28  * VLOOKUP($B52,'A1.3.10'!$S$28:$AE$58,3,))))</f>
        <v>4.2242108297311524E-6</v>
      </c>
      <c r="L52" s="2486" t="str">
        <f>IF($B52&lt;'A1.3.10'!$S$28,"",IF($B52&gt;'A1.3.10'!$S$58,L51,IF(OR(VLOOKUP($B52,'A1.3.10'!$S$28:$AE$58,4,)="", 'Fuel consumption'!D$36=""),"",'Fuel consumption'!D$36 * VLOOKUP($B52,'A1.3.10'!$S$28:$AE$58,4,))))</f>
        <v/>
      </c>
      <c r="M52" s="2487">
        <f>IF($B52&lt;'A1.3.10'!$S$28,"",IF($B52&gt;'A1.3.10'!$S$58,M51,IF(OR(VLOOKUP($B52,'A1.3.10'!$S$28:$AE$58,4,)="", 'Fuel consumption'!E$36=""),"",'Fuel consumption'!E$36 * VLOOKUP($B52,'A1.3.10'!$S$28:$AE$58,4,))))</f>
        <v>0.12758067111347915</v>
      </c>
      <c r="N52" s="614" t="str">
        <f>IF($B52&lt;'A1.3.10'!$S$28,"",IF($B52&gt;'A1.3.10'!$S$58,N51,IF(OR(VLOOKUP($B52,'A1.3.10'!$S$28:$AE$58,4,)="", 'Fuel consumption'!F$36=""),"",'Fuel consumption'!F$36 * VLOOKUP($B52,'A1.3.10'!$S$28:$AE$58,4,))))</f>
        <v/>
      </c>
      <c r="O52" s="612" t="str">
        <f>IF($B52&lt;'A1.3.10'!$S$28,"",IF($B52&gt;'A1.3.10'!$S$58,O51,IF(OR(VLOOKUP($B52,'A1.3.10'!$S$28:$AE$58,4,)="", 'Fuel consumption'!G$36=""),"",'Fuel consumption'!G$36 * VLOOKUP($B52,'A1.3.10'!$S$28:$AE$58,4,))))</f>
        <v/>
      </c>
      <c r="P52" s="610">
        <f>IF($B52&lt;'A1.3.10'!$S$28,"",IF($B52&gt;'A1.3.10'!$S$58,P51,IF(OR(VLOOKUP($B52,'A1.3.10'!$S$28:$AE$58,5,)="",'Fuel consumption'!D$29=""),"",'Fuel consumption'!D$29 * VLOOKUP($B52,'A1.3.10'!$S$28:$AE$58,5,))))</f>
        <v>0.23432356385924649</v>
      </c>
      <c r="Q52" s="611">
        <f>IF($B52&lt;'A1.3.10'!$S$28,"",IF($B52&gt;'A1.3.10'!$S$58,Q51,IF(OR(VLOOKUP($B52,'A1.3.10'!$S$28:$AE$58,5,)="",'Fuel consumption'!E$29=""),"",'Fuel consumption'!E$29 * VLOOKUP($B52,'A1.3.10'!$S$28:$AE$58,5,))))</f>
        <v>0.13139509046154152</v>
      </c>
      <c r="R52" s="611">
        <f>IF($B52&lt;'A1.3.10'!$S$28,"",IF($B52&gt;'A1.3.10'!$S$58,R51,IF(OR(VLOOKUP($B52,'A1.3.10'!$S$28:$AE$58,5,)="",'Fuel consumption'!F$29=""),"",'Fuel consumption'!F$29 * VLOOKUP($B52,'A1.3.10'!$S$28:$AE$58,5,))))</f>
        <v>-2.0624716297155256E-3</v>
      </c>
      <c r="S52" s="2642">
        <f>IF($B52&lt;'A1.3.10'!$S$28,"",IF($B52&gt;'A1.3.10'!$S$58,S51,IF(OR(VLOOKUP($B52,'A1.3.10'!$S$28:$AE$58,5,)="",'Fuel consumption'!G$29=""),"",'Fuel consumption'!G$29 * VLOOKUP($B52,'A1.3.10'!$S$28:$AE$58,5,))))</f>
        <v>1.3319518864096141E-5</v>
      </c>
      <c r="T52" s="610">
        <f>IF($B52&lt;'A1.3.10'!$S$28,"",IF($B52&gt;'A1.3.10'!$S$58,T51,IF(OR(VLOOKUP($B52,'A1.3.10'!$S$28:$AE$58,6,)="",'Fuel consumption'!D$30=""),"",'Fuel consumption'!D$30 * VLOOKUP($B52,'A1.3.10'!$S$28:$AE$58,6,))))</f>
        <v>0.39912073349082816</v>
      </c>
      <c r="U52" s="611">
        <f>IF($B52&lt;'A1.3.10'!$S$28,"",IF($B52&gt;'A1.3.10'!$S$58,U51,IF(OR(VLOOKUP($B52,'A1.3.10'!$S$28:$AE$58,6,)="",'Fuel consumption'!E$30=""),"",'Fuel consumption'!E$30 * VLOOKUP($B52,'A1.3.10'!$S$28:$AE$58,6,))))</f>
        <v>9.754673381454651E-2</v>
      </c>
      <c r="V52" s="611">
        <f>IF($B52&lt;'A1.3.10'!$S$28,"",IF($B52&gt;'A1.3.10'!$S$58,V51,IF(OR(VLOOKUP($B52,'A1.3.10'!$S$28:$AE$58,6,)="",'Fuel consumption'!F$30=""),"",'Fuel consumption'!F$30 * VLOOKUP($B52,'A1.3.10'!$S$28:$AE$58,6,))))</f>
        <v>-1.4072889209023631E-3</v>
      </c>
      <c r="W52" s="2642">
        <f>IF($B52&lt;'A1.3.10'!$S$28,"",IF($B52&gt;'A1.3.10'!$S$58,W51,IF(OR(VLOOKUP($B52,'A1.3.10'!$S$28:$AE$58,6,)="",'Fuel consumption'!G$30=""),"",'Fuel consumption'!G$30 * VLOOKUP($B52,'A1.3.10'!$S$28:$AE$58,6,))))</f>
        <v>1.1914157072507382E-5</v>
      </c>
      <c r="X52" s="3144"/>
      <c r="Y52" s="2487">
        <f>IF($B52&lt;'A1.3.10'!$S$28,"",IF($B52&gt;'A1.3.10'!$S$58,Y51,IF(OR(VLOOKUP($B52,'A1.3.10'!$S$28:$AE$58,7,)="", 'Fuel consumption'!E$37=""),"",'Fuel consumption'!E$37 * VLOOKUP($B52,'A1.3.10'!$S$28:$AE$58,7,))))</f>
        <v>0.29149401103980155</v>
      </c>
      <c r="Z52" s="2642"/>
      <c r="AA52" s="2642"/>
      <c r="AB52" s="610">
        <f>IF($B52&lt;'A1.3.10'!$S$28,"",IF($B52&gt;'A1.3.10'!$S$58,AB51,IF(OR(VLOOKUP($B52,'A1.3.10'!$S$28:$AE$58,8,)="",'Fuel consumption'!D$31=""),"",'Fuel consumption'!D$31 * VLOOKUP($B52,'A1.3.10'!$S$28:$AE$58,8,))))</f>
        <v>2.6962848686626804</v>
      </c>
      <c r="AC52" s="611">
        <f>IF($B52&lt;'A1.3.10'!$S$28,"",IF($B52&gt;'A1.3.10'!$S$58,AC51,IF(OR(VLOOKUP($B52,'A1.3.10'!$S$28:$AE$58,8,)="",'Fuel consumption'!E$31=""),"",'Fuel consumption'!E$31 * VLOOKUP($B52,'A1.3.10'!$S$28:$AE$58,8,))))</f>
        <v>0.143057339771858</v>
      </c>
      <c r="AD52" s="611">
        <f>IF($B52&lt;'A1.3.10'!$S$28,"",IF($B52&gt;'A1.3.10'!$S$58,AD51,IF(OR(VLOOKUP($B52,'A1.3.10'!$S$28:$AE$58,8,)="",'Fuel consumption'!F$31=""),"",'Fuel consumption'!F$31 * VLOOKUP($B52,'A1.3.10'!$S$28:$AE$58,8,))))</f>
        <v>-1.0340193601785499E-3</v>
      </c>
      <c r="AE52" s="2642">
        <f>IF($B52&lt;'A1.3.10'!$S$28,"",IF($B52&gt;'A1.3.10'!$S$58,AE51,IF(OR(VLOOKUP($B52,'A1.3.10'!$S$28:$AE$58,8,)="",'Fuel consumption'!G$31=""),"",'Fuel consumption'!G$31 * VLOOKUP($B52,'A1.3.10'!$S$28:$AE$58,8,))))</f>
        <v>1.1293150500864199E-5</v>
      </c>
      <c r="AF52" s="610">
        <f>IF($B52&lt;'A1.3.10'!$S$28,"",IF($B52&gt;'A1.3.10'!$S$58,AF51,IF(OR(VLOOKUP($B52,'A1.3.10'!$S$28:$AE$58,10,)="",'Fuel consumption'!D$32=""),"",'Fuel consumption'!D$32 * VLOOKUP($B52,'A1.3.10'!$S$28:$AE$58,10,))))</f>
        <v>5.6655970981789903</v>
      </c>
      <c r="AG52" s="611">
        <f>IF($B52&lt;'A1.3.10'!$S$28,"",IF($B52&gt;'A1.3.10'!$S$58,AG51,IF(OR(VLOOKUP($B52,'A1.3.10'!$S$28:$AE$58,10,)="",'Fuel consumption'!E$32=""),"",'Fuel consumption'!E$32 * VLOOKUP($B52,'A1.3.10'!$S$28:$AE$58,10,))))</f>
        <v>0.29422449618924201</v>
      </c>
      <c r="AH52" s="611">
        <f>IF($B52&lt;'A1.3.10'!$S$28,"",IF($B52&gt;'A1.3.10'!$S$58,AH51,IF(OR(VLOOKUP($B52,'A1.3.10'!$S$28:$AE$58,10,)="",'Fuel consumption'!F$32=""),"",'Fuel consumption'!F$32 * VLOOKUP($B52,'A1.3.10'!$S$28:$AE$58,10,))))</f>
        <v>-1.9493920679616401E-3</v>
      </c>
      <c r="AI52" s="1578">
        <f>IF($B52&lt;'A1.3.10'!$S$28,"",IF($B52&gt;'A1.3.10'!$S$58,AI51,IF(OR(VLOOKUP($B52,'A1.3.10'!$S$28:$AE$58,10,)="",'Fuel consumption'!G$32=""),"",'Fuel consumption'!G$32 * VLOOKUP($B52,'A1.3.10'!$S$28:$AE$58,10,))))</f>
        <v>1.1619187345164999E-5</v>
      </c>
      <c r="AJ52" s="610">
        <f>IF($B52&lt;'A1.3.10'!$S$28,"",IF($B52&gt;'A1.3.10'!$S$58,AJ51,IF(OR(VLOOKUP($B52,'A1.3.10'!$S$28:$AE$58,12,)="",'Fuel consumption'!D$33=""),"",'Fuel consumption'!D$33 * VLOOKUP($B52,'A1.3.10'!$S$28:$AE$58,12,))))</f>
        <v>3.3601870156891001</v>
      </c>
      <c r="AK52" s="611">
        <f>IF($B52&lt;'A1.3.10'!$S$28,"",IF($B52&gt;'A1.3.10'!$S$58,AK51,IF(OR(VLOOKUP($B52,'A1.3.10'!$S$28:$AE$58,12,)="",'Fuel consumption'!E$33=""),"",'Fuel consumption'!E$33 * VLOOKUP($B52,'A1.3.10'!$S$28:$AE$58,12,))))</f>
        <v>0.29524938703213599</v>
      </c>
      <c r="AL52" s="611">
        <f>IF($B52&lt;'A1.3.10'!$S$28,"",IF($B52&gt;'A1.3.10'!$S$58,AL51,IF(OR(VLOOKUP($B52,'A1.3.10'!$S$28:$AE$58,12,)="",'Fuel consumption'!F$33=""),"",'Fuel consumption'!F$33 * VLOOKUP($B52,'A1.3.10'!$S$28:$AE$58,12,))))</f>
        <v>-3.20909768342738E-3</v>
      </c>
      <c r="AM52" s="1578">
        <f>IF($B52&lt;'A1.3.10'!$S$28,"",IF($B52&gt;'A1.3.10'!$S$58,AM51,IF(OR(VLOOKUP($B52,'A1.3.10'!$S$28:$AE$58,12,)="",'Fuel consumption'!G$33=""),"",'Fuel consumption'!G$33 * VLOOKUP($B52,'A1.3.10'!$S$28:$AE$58,12,))))</f>
        <v>2.3540043227716499E-5</v>
      </c>
    </row>
    <row r="53" spans="1:39" ht="13.5" customHeight="1">
      <c r="A53" s="623"/>
      <c r="B53" s="614">
        <f t="shared" si="2"/>
        <v>2037</v>
      </c>
      <c r="C53" s="609"/>
      <c r="D53" s="2484">
        <f>IF($B53&lt;'A1.3.10'!$S$28,"",IF($B53&gt;'A1.3.10'!$S$58,D52,IF(OR(VLOOKUP($B53,'A1.3.10'!$S$28:$AE$58,2,)="",'Fuel consumption'!D$27=""),"",'Fuel consumption'!D$27 * VLOOKUP($B53,'A1.3.10'!$S$28:$AE$58,2,))))</f>
        <v>0.32527491364024624</v>
      </c>
      <c r="E53" s="2485">
        <f>IF($B53&lt;'A1.3.10'!$S$28,"",IF($B53&gt;'A1.3.10'!$S$58,E52,IF(OR(VLOOKUP($B53,'A1.3.10'!$S$28:$AE$58,2,)="",'Fuel consumption'!E$27=""),"",'Fuel consumption'!E$27 * VLOOKUP($B53,'A1.3.10'!$S$28:$AE$58,2,))))</f>
        <v>6.9126195403069218E-2</v>
      </c>
      <c r="F53" s="2485">
        <f>IF($B53&lt;'A1.3.10'!$S$28,"",IF($B53&gt;'A1.3.10'!$S$58,F52,IF(OR(VLOOKUP($B53,'A1.3.10'!$S$28:$AE$58,2,)="",'Fuel consumption'!F$27=""),"",'Fuel consumption'!F$27 * VLOOKUP($B53,'A1.3.10'!$S$28:$AE$58,2,))))</f>
        <v>-7.8742934140708519E-4</v>
      </c>
      <c r="G53" s="2642">
        <f>IF($B53&lt;'A1.3.10'!$S$28,"",IF($B53&gt;'A1.3.10'!$S$58,G52,IF(OR(VLOOKUP($B53,'A1.3.10'!$S$28:$AE$58,2,)="",'Fuel consumption'!G$27=""),"",'Fuel consumption'!G$27 * VLOOKUP($B53,'A1.3.10'!$S$28:$AE$58,2,))))</f>
        <v>5.2150811705064693E-6</v>
      </c>
      <c r="H53" s="2486">
        <f>IF($B53&lt;'A1.3.10'!$S$28,"",IF($B53&gt;'A1.3.10'!$S$58,H52,IF(OR(VLOOKUP($B53,'A1.3.10'!$S$28:$AE$58,3,)="",'Fuel consumption'!D$28=""),"",'Fuel consumption'!D$28  * VLOOKUP($B53,'A1.3.10'!$S$28:$AE$58,3,))))</f>
        <v>0.38728007442052015</v>
      </c>
      <c r="I53" s="2487">
        <f>IF($B53&lt;'A1.3.10'!$S$28,"",IF($B53&gt;'A1.3.10'!$S$58,I52,IF(OR(VLOOKUP($B53,'A1.3.10'!$S$28:$AE$58,3,)="",'Fuel consumption'!E$28=""),"",'Fuel consumption'!E$28  * VLOOKUP($B53,'A1.3.10'!$S$28:$AE$58,3,))))</f>
        <v>5.5526385246550972E-2</v>
      </c>
      <c r="J53" s="2487">
        <f>IF($B53&lt;'A1.3.10'!$S$28,"",IF($B53&gt;'A1.3.10'!$S$58,J52,IF(OR(VLOOKUP($B53,'A1.3.10'!$S$28:$AE$58,3,)="",'Fuel consumption'!F$28=""),"",'Fuel consumption'!F$28  * VLOOKUP($B53,'A1.3.10'!$S$28:$AE$58,3,))))</f>
        <v>-5.3417929464962704E-4</v>
      </c>
      <c r="K53" s="2642">
        <f>IF($B53&lt;'A1.3.10'!$S$28,"",IF($B53&gt;'A1.3.10'!$S$58,K52,IF(OR(VLOOKUP($B53,'A1.3.10'!$S$28:$AE$58,3,)="",'Fuel consumption'!G$28=""),"",'Fuel consumption'!G$28  * VLOOKUP($B53,'A1.3.10'!$S$28:$AE$58,3,))))</f>
        <v>4.2093596420141842E-6</v>
      </c>
      <c r="L53" s="2486" t="str">
        <f>IF($B53&lt;'A1.3.10'!$S$28,"",IF($B53&gt;'A1.3.10'!$S$58,L52,IF(OR(VLOOKUP($B53,'A1.3.10'!$S$28:$AE$58,4,)="", 'Fuel consumption'!D$36=""),"",'Fuel consumption'!D$36 * VLOOKUP($B53,'A1.3.10'!$S$28:$AE$58,4,))))</f>
        <v/>
      </c>
      <c r="M53" s="2487">
        <f>IF($B53&lt;'A1.3.10'!$S$28,"",IF($B53&gt;'A1.3.10'!$S$58,M52,IF(OR(VLOOKUP($B53,'A1.3.10'!$S$28:$AE$58,4,)="", 'Fuel consumption'!E$36=""),"",'Fuel consumption'!E$36 * VLOOKUP($B53,'A1.3.10'!$S$28:$AE$58,4,))))</f>
        <v>0.12679510393803953</v>
      </c>
      <c r="N53" s="614" t="str">
        <f>IF($B53&lt;'A1.3.10'!$S$28,"",IF($B53&gt;'A1.3.10'!$S$58,N52,IF(OR(VLOOKUP($B53,'A1.3.10'!$S$28:$AE$58,4,)="", 'Fuel consumption'!F$36=""),"",'Fuel consumption'!F$36 * VLOOKUP($B53,'A1.3.10'!$S$28:$AE$58,4,))))</f>
        <v/>
      </c>
      <c r="O53" s="612" t="str">
        <f>IF($B53&lt;'A1.3.10'!$S$28,"",IF($B53&gt;'A1.3.10'!$S$58,O52,IF(OR(VLOOKUP($B53,'A1.3.10'!$S$28:$AE$58,4,)="", 'Fuel consumption'!G$36=""),"",'Fuel consumption'!G$36 * VLOOKUP($B53,'A1.3.10'!$S$28:$AE$58,4,))))</f>
        <v/>
      </c>
      <c r="P53" s="610">
        <f>IF($B53&lt;'A1.3.10'!$S$28,"",IF($B53&gt;'A1.3.10'!$S$58,P52,IF(OR(VLOOKUP($B53,'A1.3.10'!$S$28:$AE$58,5,)="",'Fuel consumption'!D$29=""),"",'Fuel consumption'!D$29 * VLOOKUP($B53,'A1.3.10'!$S$28:$AE$58,5,))))</f>
        <v>0.23398100209323003</v>
      </c>
      <c r="Q53" s="611">
        <f>IF($B53&lt;'A1.3.10'!$S$28,"",IF($B53&gt;'A1.3.10'!$S$58,Q52,IF(OR(VLOOKUP($B53,'A1.3.10'!$S$28:$AE$58,5,)="",'Fuel consumption'!E$29=""),"",'Fuel consumption'!E$29 * VLOOKUP($B53,'A1.3.10'!$S$28:$AE$58,5,))))</f>
        <v>0.13120300165283155</v>
      </c>
      <c r="R53" s="611">
        <f>IF($B53&lt;'A1.3.10'!$S$28,"",IF($B53&gt;'A1.3.10'!$S$58,R52,IF(OR(VLOOKUP($B53,'A1.3.10'!$S$28:$AE$58,5,)="",'Fuel consumption'!F$29=""),"",'Fuel consumption'!F$29 * VLOOKUP($B53,'A1.3.10'!$S$28:$AE$58,5,))))</f>
        <v>-2.0594564659300405E-3</v>
      </c>
      <c r="S53" s="2642">
        <f>IF($B53&lt;'A1.3.10'!$S$28,"",IF($B53&gt;'A1.3.10'!$S$58,S52,IF(OR(VLOOKUP($B53,'A1.3.10'!$S$28:$AE$58,5,)="",'Fuel consumption'!G$29=""),"",'Fuel consumption'!G$29 * VLOOKUP($B53,'A1.3.10'!$S$28:$AE$58,5,))))</f>
        <v>1.3300046823685748E-5</v>
      </c>
      <c r="T53" s="610">
        <f>IF($B53&lt;'A1.3.10'!$S$28,"",IF($B53&gt;'A1.3.10'!$S$58,T52,IF(OR(VLOOKUP($B53,'A1.3.10'!$S$28:$AE$58,6,)="",'Fuel consumption'!D$30=""),"",'Fuel consumption'!D$30 * VLOOKUP($B53,'A1.3.10'!$S$28:$AE$58,6,))))</f>
        <v>0.3988609037344879</v>
      </c>
      <c r="U53" s="611">
        <f>IF($B53&lt;'A1.3.10'!$S$28,"",IF($B53&gt;'A1.3.10'!$S$58,U52,IF(OR(VLOOKUP($B53,'A1.3.10'!$S$28:$AE$58,6,)="",'Fuel consumption'!E$30=""),"",'Fuel consumption'!E$30 * VLOOKUP($B53,'A1.3.10'!$S$28:$AE$58,6,))))</f>
        <v>9.7483230363204512E-2</v>
      </c>
      <c r="V53" s="611">
        <f>IF($B53&lt;'A1.3.10'!$S$28,"",IF($B53&gt;'A1.3.10'!$S$58,V52,IF(OR(VLOOKUP($B53,'A1.3.10'!$S$28:$AE$58,6,)="",'Fuel consumption'!F$30=""),"",'Fuel consumption'!F$30 * VLOOKUP($B53,'A1.3.10'!$S$28:$AE$58,6,))))</f>
        <v>-1.4063727682028522E-3</v>
      </c>
      <c r="W53" s="2642">
        <f>IF($B53&lt;'A1.3.10'!$S$28,"",IF($B53&gt;'A1.3.10'!$S$58,W52,IF(OR(VLOOKUP($B53,'A1.3.10'!$S$28:$AE$58,6,)="",'Fuel consumption'!G$30=""),"",'Fuel consumption'!G$30 * VLOOKUP($B53,'A1.3.10'!$S$28:$AE$58,6,))))</f>
        <v>1.1906400891809692E-5</v>
      </c>
      <c r="X53" s="3144"/>
      <c r="Y53" s="2487">
        <f>IF($B53&lt;'A1.3.10'!$S$28,"",IF($B53&gt;'A1.3.10'!$S$58,Y52,IF(OR(VLOOKUP($B53,'A1.3.10'!$S$28:$AE$58,7,)="", 'Fuel consumption'!E$37=""),"",'Fuel consumption'!E$37 * VLOOKUP($B53,'A1.3.10'!$S$28:$AE$58,7,))))</f>
        <v>0.29149401103980166</v>
      </c>
      <c r="Z53" s="2642"/>
      <c r="AA53" s="2642"/>
      <c r="AB53" s="610">
        <f>IF($B53&lt;'A1.3.10'!$S$28,"",IF($B53&gt;'A1.3.10'!$S$58,AB52,IF(OR(VLOOKUP($B53,'A1.3.10'!$S$28:$AE$58,8,)="",'Fuel consumption'!D$31=""),"",'Fuel consumption'!D$31 * VLOOKUP($B53,'A1.3.10'!$S$28:$AE$58,8,))))</f>
        <v>2.6962848686626804</v>
      </c>
      <c r="AC53" s="611">
        <f>IF($B53&lt;'A1.3.10'!$S$28,"",IF($B53&gt;'A1.3.10'!$S$58,AC52,IF(OR(VLOOKUP($B53,'A1.3.10'!$S$28:$AE$58,8,)="",'Fuel consumption'!E$31=""),"",'Fuel consumption'!E$31 * VLOOKUP($B53,'A1.3.10'!$S$28:$AE$58,8,))))</f>
        <v>0.143057339771858</v>
      </c>
      <c r="AD53" s="611">
        <f>IF($B53&lt;'A1.3.10'!$S$28,"",IF($B53&gt;'A1.3.10'!$S$58,AD52,IF(OR(VLOOKUP($B53,'A1.3.10'!$S$28:$AE$58,8,)="",'Fuel consumption'!F$31=""),"",'Fuel consumption'!F$31 * VLOOKUP($B53,'A1.3.10'!$S$28:$AE$58,8,))))</f>
        <v>-1.0340193601785499E-3</v>
      </c>
      <c r="AE53" s="2642">
        <f>IF($B53&lt;'A1.3.10'!$S$28,"",IF($B53&gt;'A1.3.10'!$S$58,AE52,IF(OR(VLOOKUP($B53,'A1.3.10'!$S$28:$AE$58,8,)="",'Fuel consumption'!G$31=""),"",'Fuel consumption'!G$31 * VLOOKUP($B53,'A1.3.10'!$S$28:$AE$58,8,))))</f>
        <v>1.1293150500864199E-5</v>
      </c>
      <c r="AF53" s="610">
        <f>IF($B53&lt;'A1.3.10'!$S$28,"",IF($B53&gt;'A1.3.10'!$S$58,AF52,IF(OR(VLOOKUP($B53,'A1.3.10'!$S$28:$AE$58,10,)="",'Fuel consumption'!D$32=""),"",'Fuel consumption'!D$32 * VLOOKUP($B53,'A1.3.10'!$S$28:$AE$58,10,))))</f>
        <v>5.6655970981789903</v>
      </c>
      <c r="AG53" s="611">
        <f>IF($B53&lt;'A1.3.10'!$S$28,"",IF($B53&gt;'A1.3.10'!$S$58,AG52,IF(OR(VLOOKUP($B53,'A1.3.10'!$S$28:$AE$58,10,)="",'Fuel consumption'!E$32=""),"",'Fuel consumption'!E$32 * VLOOKUP($B53,'A1.3.10'!$S$28:$AE$58,10,))))</f>
        <v>0.29422449618924201</v>
      </c>
      <c r="AH53" s="611">
        <f>IF($B53&lt;'A1.3.10'!$S$28,"",IF($B53&gt;'A1.3.10'!$S$58,AH52,IF(OR(VLOOKUP($B53,'A1.3.10'!$S$28:$AE$58,10,)="",'Fuel consumption'!F$32=""),"",'Fuel consumption'!F$32 * VLOOKUP($B53,'A1.3.10'!$S$28:$AE$58,10,))))</f>
        <v>-1.9493920679616401E-3</v>
      </c>
      <c r="AI53" s="1578">
        <f>IF($B53&lt;'A1.3.10'!$S$28,"",IF($B53&gt;'A1.3.10'!$S$58,AI52,IF(OR(VLOOKUP($B53,'A1.3.10'!$S$28:$AE$58,10,)="",'Fuel consumption'!G$32=""),"",'Fuel consumption'!G$32 * VLOOKUP($B53,'A1.3.10'!$S$28:$AE$58,10,))))</f>
        <v>1.1619187345164999E-5</v>
      </c>
      <c r="AJ53" s="610">
        <f>IF($B53&lt;'A1.3.10'!$S$28,"",IF($B53&gt;'A1.3.10'!$S$58,AJ52,IF(OR(VLOOKUP($B53,'A1.3.10'!$S$28:$AE$58,12,)="",'Fuel consumption'!D$33=""),"",'Fuel consumption'!D$33 * VLOOKUP($B53,'A1.3.10'!$S$28:$AE$58,12,))))</f>
        <v>3.3601870156891001</v>
      </c>
      <c r="AK53" s="611">
        <f>IF($B53&lt;'A1.3.10'!$S$28,"",IF($B53&gt;'A1.3.10'!$S$58,AK52,IF(OR(VLOOKUP($B53,'A1.3.10'!$S$28:$AE$58,12,)="",'Fuel consumption'!E$33=""),"",'Fuel consumption'!E$33 * VLOOKUP($B53,'A1.3.10'!$S$28:$AE$58,12,))))</f>
        <v>0.29524938703213599</v>
      </c>
      <c r="AL53" s="611">
        <f>IF($B53&lt;'A1.3.10'!$S$28,"",IF($B53&gt;'A1.3.10'!$S$58,AL52,IF(OR(VLOOKUP($B53,'A1.3.10'!$S$28:$AE$58,12,)="",'Fuel consumption'!F$33=""),"",'Fuel consumption'!F$33 * VLOOKUP($B53,'A1.3.10'!$S$28:$AE$58,12,))))</f>
        <v>-3.20909768342738E-3</v>
      </c>
      <c r="AM53" s="1578">
        <f>IF($B53&lt;'A1.3.10'!$S$28,"",IF($B53&gt;'A1.3.10'!$S$58,AM52,IF(OR(VLOOKUP($B53,'A1.3.10'!$S$28:$AE$58,12,)="",'Fuel consumption'!G$33=""),"",'Fuel consumption'!G$33 * VLOOKUP($B53,'A1.3.10'!$S$28:$AE$58,12,))))</f>
        <v>2.3540043227716499E-5</v>
      </c>
    </row>
    <row r="54" spans="1:39" ht="13.5" customHeight="1">
      <c r="A54" s="623"/>
      <c r="B54" s="614">
        <f t="shared" si="2"/>
        <v>2038</v>
      </c>
      <c r="C54" s="609"/>
      <c r="D54" s="2484">
        <f>IF($B54&lt;'A1.3.10'!$S$28,"",IF($B54&gt;'A1.3.10'!$S$58,D53,IF(OR(VLOOKUP($B54,'A1.3.10'!$S$28:$AE$58,2,)="",'Fuel consumption'!D$27=""),"",'Fuel consumption'!D$27 * VLOOKUP($B54,'A1.3.10'!$S$28:$AE$58,2,))))</f>
        <v>0.32527491364024624</v>
      </c>
      <c r="E54" s="2485">
        <f>IF($B54&lt;'A1.3.10'!$S$28,"",IF($B54&gt;'A1.3.10'!$S$58,E53,IF(OR(VLOOKUP($B54,'A1.3.10'!$S$28:$AE$58,2,)="",'Fuel consumption'!E$27=""),"",'Fuel consumption'!E$27 * VLOOKUP($B54,'A1.3.10'!$S$28:$AE$58,2,))))</f>
        <v>6.9126195403069218E-2</v>
      </c>
      <c r="F54" s="2485">
        <f>IF($B54&lt;'A1.3.10'!$S$28,"",IF($B54&gt;'A1.3.10'!$S$58,F53,IF(OR(VLOOKUP($B54,'A1.3.10'!$S$28:$AE$58,2,)="",'Fuel consumption'!F$27=""),"",'Fuel consumption'!F$27 * VLOOKUP($B54,'A1.3.10'!$S$28:$AE$58,2,))))</f>
        <v>-7.8742934140708519E-4</v>
      </c>
      <c r="G54" s="2642">
        <f>IF($B54&lt;'A1.3.10'!$S$28,"",IF($B54&gt;'A1.3.10'!$S$58,G53,IF(OR(VLOOKUP($B54,'A1.3.10'!$S$28:$AE$58,2,)="",'Fuel consumption'!G$27=""),"",'Fuel consumption'!G$27 * VLOOKUP($B54,'A1.3.10'!$S$28:$AE$58,2,))))</f>
        <v>5.2150811705064693E-6</v>
      </c>
      <c r="H54" s="2486">
        <f>IF($B54&lt;'A1.3.10'!$S$28,"",IF($B54&gt;'A1.3.10'!$S$58,H53,IF(OR(VLOOKUP($B54,'A1.3.10'!$S$28:$AE$58,3,)="",'Fuel consumption'!D$28=""),"",'Fuel consumption'!D$28  * VLOOKUP($B54,'A1.3.10'!$S$28:$AE$58,3,))))</f>
        <v>0.38728007442052015</v>
      </c>
      <c r="I54" s="2487">
        <f>IF($B54&lt;'A1.3.10'!$S$28,"",IF($B54&gt;'A1.3.10'!$S$58,I53,IF(OR(VLOOKUP($B54,'A1.3.10'!$S$28:$AE$58,3,)="",'Fuel consumption'!E$28=""),"",'Fuel consumption'!E$28  * VLOOKUP($B54,'A1.3.10'!$S$28:$AE$58,3,))))</f>
        <v>5.5526385246550972E-2</v>
      </c>
      <c r="J54" s="2487">
        <f>IF($B54&lt;'A1.3.10'!$S$28,"",IF($B54&gt;'A1.3.10'!$S$58,J53,IF(OR(VLOOKUP($B54,'A1.3.10'!$S$28:$AE$58,3,)="",'Fuel consumption'!F$28=""),"",'Fuel consumption'!F$28  * VLOOKUP($B54,'A1.3.10'!$S$28:$AE$58,3,))))</f>
        <v>-5.3417929464962704E-4</v>
      </c>
      <c r="K54" s="2642">
        <f>IF($B54&lt;'A1.3.10'!$S$28,"",IF($B54&gt;'A1.3.10'!$S$58,K53,IF(OR(VLOOKUP($B54,'A1.3.10'!$S$28:$AE$58,3,)="",'Fuel consumption'!G$28=""),"",'Fuel consumption'!G$28  * VLOOKUP($B54,'A1.3.10'!$S$28:$AE$58,3,))))</f>
        <v>4.2093596420141842E-6</v>
      </c>
      <c r="L54" s="2486" t="str">
        <f>IF($B54&lt;'A1.3.10'!$S$28,"",IF($B54&gt;'A1.3.10'!$S$58,L53,IF(OR(VLOOKUP($B54,'A1.3.10'!$S$28:$AE$58,4,)="", 'Fuel consumption'!D$36=""),"",'Fuel consumption'!D$36 * VLOOKUP($B54,'A1.3.10'!$S$28:$AE$58,4,))))</f>
        <v/>
      </c>
      <c r="M54" s="2487">
        <f>IF($B54&lt;'A1.3.10'!$S$28,"",IF($B54&gt;'A1.3.10'!$S$58,M53,IF(OR(VLOOKUP($B54,'A1.3.10'!$S$28:$AE$58,4,)="", 'Fuel consumption'!E$36=""),"",'Fuel consumption'!E$36 * VLOOKUP($B54,'A1.3.10'!$S$28:$AE$58,4,))))</f>
        <v>0.12679510393803953</v>
      </c>
      <c r="N54" s="614" t="str">
        <f>IF($B54&lt;'A1.3.10'!$S$28,"",IF($B54&gt;'A1.3.10'!$S$58,N53,IF(OR(VLOOKUP($B54,'A1.3.10'!$S$28:$AE$58,4,)="", 'Fuel consumption'!F$36=""),"",'Fuel consumption'!F$36 * VLOOKUP($B54,'A1.3.10'!$S$28:$AE$58,4,))))</f>
        <v/>
      </c>
      <c r="O54" s="612" t="str">
        <f>IF($B54&lt;'A1.3.10'!$S$28,"",IF($B54&gt;'A1.3.10'!$S$58,O53,IF(OR(VLOOKUP($B54,'A1.3.10'!$S$28:$AE$58,4,)="", 'Fuel consumption'!G$36=""),"",'Fuel consumption'!G$36 * VLOOKUP($B54,'A1.3.10'!$S$28:$AE$58,4,))))</f>
        <v/>
      </c>
      <c r="P54" s="610">
        <f>IF($B54&lt;'A1.3.10'!$S$28,"",IF($B54&gt;'A1.3.10'!$S$58,P53,IF(OR(VLOOKUP($B54,'A1.3.10'!$S$28:$AE$58,5,)="",'Fuel consumption'!D$29=""),"",'Fuel consumption'!D$29 * VLOOKUP($B54,'A1.3.10'!$S$28:$AE$58,5,))))</f>
        <v>0.23398100209323003</v>
      </c>
      <c r="Q54" s="611">
        <f>IF($B54&lt;'A1.3.10'!$S$28,"",IF($B54&gt;'A1.3.10'!$S$58,Q53,IF(OR(VLOOKUP($B54,'A1.3.10'!$S$28:$AE$58,5,)="",'Fuel consumption'!E$29=""),"",'Fuel consumption'!E$29 * VLOOKUP($B54,'A1.3.10'!$S$28:$AE$58,5,))))</f>
        <v>0.13120300165283155</v>
      </c>
      <c r="R54" s="611">
        <f>IF($B54&lt;'A1.3.10'!$S$28,"",IF($B54&gt;'A1.3.10'!$S$58,R53,IF(OR(VLOOKUP($B54,'A1.3.10'!$S$28:$AE$58,5,)="",'Fuel consumption'!F$29=""),"",'Fuel consumption'!F$29 * VLOOKUP($B54,'A1.3.10'!$S$28:$AE$58,5,))))</f>
        <v>-2.0594564659300405E-3</v>
      </c>
      <c r="S54" s="2642">
        <f>IF($B54&lt;'A1.3.10'!$S$28,"",IF($B54&gt;'A1.3.10'!$S$58,S53,IF(OR(VLOOKUP($B54,'A1.3.10'!$S$28:$AE$58,5,)="",'Fuel consumption'!G$29=""),"",'Fuel consumption'!G$29 * VLOOKUP($B54,'A1.3.10'!$S$28:$AE$58,5,))))</f>
        <v>1.3300046823685748E-5</v>
      </c>
      <c r="T54" s="610">
        <f>IF($B54&lt;'A1.3.10'!$S$28,"",IF($B54&gt;'A1.3.10'!$S$58,T53,IF(OR(VLOOKUP($B54,'A1.3.10'!$S$28:$AE$58,6,)="",'Fuel consumption'!D$30=""),"",'Fuel consumption'!D$30 * VLOOKUP($B54,'A1.3.10'!$S$28:$AE$58,6,))))</f>
        <v>0.3988609037344879</v>
      </c>
      <c r="U54" s="611">
        <f>IF($B54&lt;'A1.3.10'!$S$28,"",IF($B54&gt;'A1.3.10'!$S$58,U53,IF(OR(VLOOKUP($B54,'A1.3.10'!$S$28:$AE$58,6,)="",'Fuel consumption'!E$30=""),"",'Fuel consumption'!E$30 * VLOOKUP($B54,'A1.3.10'!$S$28:$AE$58,6,))))</f>
        <v>9.7483230363204512E-2</v>
      </c>
      <c r="V54" s="611">
        <f>IF($B54&lt;'A1.3.10'!$S$28,"",IF($B54&gt;'A1.3.10'!$S$58,V53,IF(OR(VLOOKUP($B54,'A1.3.10'!$S$28:$AE$58,6,)="",'Fuel consumption'!F$30=""),"",'Fuel consumption'!F$30 * VLOOKUP($B54,'A1.3.10'!$S$28:$AE$58,6,))))</f>
        <v>-1.4063727682028522E-3</v>
      </c>
      <c r="W54" s="2642">
        <f>IF($B54&lt;'A1.3.10'!$S$28,"",IF($B54&gt;'A1.3.10'!$S$58,W53,IF(OR(VLOOKUP($B54,'A1.3.10'!$S$28:$AE$58,6,)="",'Fuel consumption'!G$30=""),"",'Fuel consumption'!G$30 * VLOOKUP($B54,'A1.3.10'!$S$28:$AE$58,6,))))</f>
        <v>1.1906400891809692E-5</v>
      </c>
      <c r="X54" s="3144"/>
      <c r="Y54" s="2487">
        <f>IF($B54&lt;'A1.3.10'!$S$28,"",IF($B54&gt;'A1.3.10'!$S$58,Y53,IF(OR(VLOOKUP($B54,'A1.3.10'!$S$28:$AE$58,7,)="", 'Fuel consumption'!E$37=""),"",'Fuel consumption'!E$37 * VLOOKUP($B54,'A1.3.10'!$S$28:$AE$58,7,))))</f>
        <v>0.29149401103980166</v>
      </c>
      <c r="Z54" s="2642"/>
      <c r="AA54" s="2642"/>
      <c r="AB54" s="610">
        <f>IF($B54&lt;'A1.3.10'!$S$28,"",IF($B54&gt;'A1.3.10'!$S$58,AB53,IF(OR(VLOOKUP($B54,'A1.3.10'!$S$28:$AE$58,8,)="",'Fuel consumption'!D$31=""),"",'Fuel consumption'!D$31 * VLOOKUP($B54,'A1.3.10'!$S$28:$AE$58,8,))))</f>
        <v>2.6962848686626804</v>
      </c>
      <c r="AC54" s="611">
        <f>IF($B54&lt;'A1.3.10'!$S$28,"",IF($B54&gt;'A1.3.10'!$S$58,AC53,IF(OR(VLOOKUP($B54,'A1.3.10'!$S$28:$AE$58,8,)="",'Fuel consumption'!E$31=""),"",'Fuel consumption'!E$31 * VLOOKUP($B54,'A1.3.10'!$S$28:$AE$58,8,))))</f>
        <v>0.143057339771858</v>
      </c>
      <c r="AD54" s="611">
        <f>IF($B54&lt;'A1.3.10'!$S$28,"",IF($B54&gt;'A1.3.10'!$S$58,AD53,IF(OR(VLOOKUP($B54,'A1.3.10'!$S$28:$AE$58,8,)="",'Fuel consumption'!F$31=""),"",'Fuel consumption'!F$31 * VLOOKUP($B54,'A1.3.10'!$S$28:$AE$58,8,))))</f>
        <v>-1.0340193601785499E-3</v>
      </c>
      <c r="AE54" s="2642">
        <f>IF($B54&lt;'A1.3.10'!$S$28,"",IF($B54&gt;'A1.3.10'!$S$58,AE53,IF(OR(VLOOKUP($B54,'A1.3.10'!$S$28:$AE$58,8,)="",'Fuel consumption'!G$31=""),"",'Fuel consumption'!G$31 * VLOOKUP($B54,'A1.3.10'!$S$28:$AE$58,8,))))</f>
        <v>1.1293150500864199E-5</v>
      </c>
      <c r="AF54" s="610">
        <f>IF($B54&lt;'A1.3.10'!$S$28,"",IF($B54&gt;'A1.3.10'!$S$58,AF53,IF(OR(VLOOKUP($B54,'A1.3.10'!$S$28:$AE$58,10,)="",'Fuel consumption'!D$32=""),"",'Fuel consumption'!D$32 * VLOOKUP($B54,'A1.3.10'!$S$28:$AE$58,10,))))</f>
        <v>5.6655970981789903</v>
      </c>
      <c r="AG54" s="611">
        <f>IF($B54&lt;'A1.3.10'!$S$28,"",IF($B54&gt;'A1.3.10'!$S$58,AG53,IF(OR(VLOOKUP($B54,'A1.3.10'!$S$28:$AE$58,10,)="",'Fuel consumption'!E$32=""),"",'Fuel consumption'!E$32 * VLOOKUP($B54,'A1.3.10'!$S$28:$AE$58,10,))))</f>
        <v>0.29422449618924201</v>
      </c>
      <c r="AH54" s="611">
        <f>IF($B54&lt;'A1.3.10'!$S$28,"",IF($B54&gt;'A1.3.10'!$S$58,AH53,IF(OR(VLOOKUP($B54,'A1.3.10'!$S$28:$AE$58,10,)="",'Fuel consumption'!F$32=""),"",'Fuel consumption'!F$32 * VLOOKUP($B54,'A1.3.10'!$S$28:$AE$58,10,))))</f>
        <v>-1.9493920679616401E-3</v>
      </c>
      <c r="AI54" s="1578">
        <f>IF($B54&lt;'A1.3.10'!$S$28,"",IF($B54&gt;'A1.3.10'!$S$58,AI53,IF(OR(VLOOKUP($B54,'A1.3.10'!$S$28:$AE$58,10,)="",'Fuel consumption'!G$32=""),"",'Fuel consumption'!G$32 * VLOOKUP($B54,'A1.3.10'!$S$28:$AE$58,10,))))</f>
        <v>1.1619187345164999E-5</v>
      </c>
      <c r="AJ54" s="610">
        <f>IF($B54&lt;'A1.3.10'!$S$28,"",IF($B54&gt;'A1.3.10'!$S$58,AJ53,IF(OR(VLOOKUP($B54,'A1.3.10'!$S$28:$AE$58,12,)="",'Fuel consumption'!D$33=""),"",'Fuel consumption'!D$33 * VLOOKUP($B54,'A1.3.10'!$S$28:$AE$58,12,))))</f>
        <v>3.3601870156891001</v>
      </c>
      <c r="AK54" s="611">
        <f>IF($B54&lt;'A1.3.10'!$S$28,"",IF($B54&gt;'A1.3.10'!$S$58,AK53,IF(OR(VLOOKUP($B54,'A1.3.10'!$S$28:$AE$58,12,)="",'Fuel consumption'!E$33=""),"",'Fuel consumption'!E$33 * VLOOKUP($B54,'A1.3.10'!$S$28:$AE$58,12,))))</f>
        <v>0.29524938703213599</v>
      </c>
      <c r="AL54" s="611">
        <f>IF($B54&lt;'A1.3.10'!$S$28,"",IF($B54&gt;'A1.3.10'!$S$58,AL53,IF(OR(VLOOKUP($B54,'A1.3.10'!$S$28:$AE$58,12,)="",'Fuel consumption'!F$33=""),"",'Fuel consumption'!F$33 * VLOOKUP($B54,'A1.3.10'!$S$28:$AE$58,12,))))</f>
        <v>-3.20909768342738E-3</v>
      </c>
      <c r="AM54" s="1578">
        <f>IF($B54&lt;'A1.3.10'!$S$28,"",IF($B54&gt;'A1.3.10'!$S$58,AM53,IF(OR(VLOOKUP($B54,'A1.3.10'!$S$28:$AE$58,12,)="",'Fuel consumption'!G$33=""),"",'Fuel consumption'!G$33 * VLOOKUP($B54,'A1.3.10'!$S$28:$AE$58,12,))))</f>
        <v>2.3540043227716499E-5</v>
      </c>
    </row>
    <row r="55" spans="1:39" ht="13.5" customHeight="1">
      <c r="A55" s="623"/>
      <c r="B55" s="614">
        <f t="shared" si="2"/>
        <v>2039</v>
      </c>
      <c r="C55" s="609"/>
      <c r="D55" s="2484">
        <f>IF($B55&lt;'A1.3.10'!$S$28,"",IF($B55&gt;'A1.3.10'!$S$58,D54,IF(OR(VLOOKUP($B55,'A1.3.10'!$S$28:$AE$58,2,)="",'Fuel consumption'!D$27=""),"",'Fuel consumption'!D$27 * VLOOKUP($B55,'A1.3.10'!$S$28:$AE$58,2,))))</f>
        <v>0.32527491364024624</v>
      </c>
      <c r="E55" s="2485">
        <f>IF($B55&lt;'A1.3.10'!$S$28,"",IF($B55&gt;'A1.3.10'!$S$58,E54,IF(OR(VLOOKUP($B55,'A1.3.10'!$S$28:$AE$58,2,)="",'Fuel consumption'!E$27=""),"",'Fuel consumption'!E$27 * VLOOKUP($B55,'A1.3.10'!$S$28:$AE$58,2,))))</f>
        <v>6.9126195403069218E-2</v>
      </c>
      <c r="F55" s="2485">
        <f>IF($B55&lt;'A1.3.10'!$S$28,"",IF($B55&gt;'A1.3.10'!$S$58,F54,IF(OR(VLOOKUP($B55,'A1.3.10'!$S$28:$AE$58,2,)="",'Fuel consumption'!F$27=""),"",'Fuel consumption'!F$27 * VLOOKUP($B55,'A1.3.10'!$S$28:$AE$58,2,))))</f>
        <v>-7.8742934140708519E-4</v>
      </c>
      <c r="G55" s="2642">
        <f>IF($B55&lt;'A1.3.10'!$S$28,"",IF($B55&gt;'A1.3.10'!$S$58,G54,IF(OR(VLOOKUP($B55,'A1.3.10'!$S$28:$AE$58,2,)="",'Fuel consumption'!G$27=""),"",'Fuel consumption'!G$27 * VLOOKUP($B55,'A1.3.10'!$S$28:$AE$58,2,))))</f>
        <v>5.2150811705064693E-6</v>
      </c>
      <c r="H55" s="2486">
        <f>IF($B55&lt;'A1.3.10'!$S$28,"",IF($B55&gt;'A1.3.10'!$S$58,H54,IF(OR(VLOOKUP($B55,'A1.3.10'!$S$28:$AE$58,3,)="",'Fuel consumption'!D$28=""),"",'Fuel consumption'!D$28  * VLOOKUP($B55,'A1.3.10'!$S$28:$AE$58,3,))))</f>
        <v>0.38728007442052015</v>
      </c>
      <c r="I55" s="2487">
        <f>IF($B55&lt;'A1.3.10'!$S$28,"",IF($B55&gt;'A1.3.10'!$S$58,I54,IF(OR(VLOOKUP($B55,'A1.3.10'!$S$28:$AE$58,3,)="",'Fuel consumption'!E$28=""),"",'Fuel consumption'!E$28  * VLOOKUP($B55,'A1.3.10'!$S$28:$AE$58,3,))))</f>
        <v>5.5526385246550972E-2</v>
      </c>
      <c r="J55" s="2487">
        <f>IF($B55&lt;'A1.3.10'!$S$28,"",IF($B55&gt;'A1.3.10'!$S$58,J54,IF(OR(VLOOKUP($B55,'A1.3.10'!$S$28:$AE$58,3,)="",'Fuel consumption'!F$28=""),"",'Fuel consumption'!F$28  * VLOOKUP($B55,'A1.3.10'!$S$28:$AE$58,3,))))</f>
        <v>-5.3417929464962704E-4</v>
      </c>
      <c r="K55" s="2642">
        <f>IF($B55&lt;'A1.3.10'!$S$28,"",IF($B55&gt;'A1.3.10'!$S$58,K54,IF(OR(VLOOKUP($B55,'A1.3.10'!$S$28:$AE$58,3,)="",'Fuel consumption'!G$28=""),"",'Fuel consumption'!G$28  * VLOOKUP($B55,'A1.3.10'!$S$28:$AE$58,3,))))</f>
        <v>4.2093596420141842E-6</v>
      </c>
      <c r="L55" s="2486" t="str">
        <f>IF($B55&lt;'A1.3.10'!$S$28,"",IF($B55&gt;'A1.3.10'!$S$58,L54,IF(OR(VLOOKUP($B55,'A1.3.10'!$S$28:$AE$58,4,)="", 'Fuel consumption'!D$36=""),"",'Fuel consumption'!D$36 * VLOOKUP($B55,'A1.3.10'!$S$28:$AE$58,4,))))</f>
        <v/>
      </c>
      <c r="M55" s="2487">
        <f>IF($B55&lt;'A1.3.10'!$S$28,"",IF($B55&gt;'A1.3.10'!$S$58,M54,IF(OR(VLOOKUP($B55,'A1.3.10'!$S$28:$AE$58,4,)="", 'Fuel consumption'!E$36=""),"",'Fuel consumption'!E$36 * VLOOKUP($B55,'A1.3.10'!$S$28:$AE$58,4,))))</f>
        <v>0.12679510393803953</v>
      </c>
      <c r="N55" s="614" t="str">
        <f>IF($B55&lt;'A1.3.10'!$S$28,"",IF($B55&gt;'A1.3.10'!$S$58,N54,IF(OR(VLOOKUP($B55,'A1.3.10'!$S$28:$AE$58,4,)="", 'Fuel consumption'!F$36=""),"",'Fuel consumption'!F$36 * VLOOKUP($B55,'A1.3.10'!$S$28:$AE$58,4,))))</f>
        <v/>
      </c>
      <c r="O55" s="612" t="str">
        <f>IF($B55&lt;'A1.3.10'!$S$28,"",IF($B55&gt;'A1.3.10'!$S$58,O54,IF(OR(VLOOKUP($B55,'A1.3.10'!$S$28:$AE$58,4,)="", 'Fuel consumption'!G$36=""),"",'Fuel consumption'!G$36 * VLOOKUP($B55,'A1.3.10'!$S$28:$AE$58,4,))))</f>
        <v/>
      </c>
      <c r="P55" s="610">
        <f>IF($B55&lt;'A1.3.10'!$S$28,"",IF($B55&gt;'A1.3.10'!$S$58,P54,IF(OR(VLOOKUP($B55,'A1.3.10'!$S$28:$AE$58,5,)="",'Fuel consumption'!D$29=""),"",'Fuel consumption'!D$29 * VLOOKUP($B55,'A1.3.10'!$S$28:$AE$58,5,))))</f>
        <v>0.23398100209323003</v>
      </c>
      <c r="Q55" s="611">
        <f>IF($B55&lt;'A1.3.10'!$S$28,"",IF($B55&gt;'A1.3.10'!$S$58,Q54,IF(OR(VLOOKUP($B55,'A1.3.10'!$S$28:$AE$58,5,)="",'Fuel consumption'!E$29=""),"",'Fuel consumption'!E$29 * VLOOKUP($B55,'A1.3.10'!$S$28:$AE$58,5,))))</f>
        <v>0.13120300165283155</v>
      </c>
      <c r="R55" s="611">
        <f>IF($B55&lt;'A1.3.10'!$S$28,"",IF($B55&gt;'A1.3.10'!$S$58,R54,IF(OR(VLOOKUP($B55,'A1.3.10'!$S$28:$AE$58,5,)="",'Fuel consumption'!F$29=""),"",'Fuel consumption'!F$29 * VLOOKUP($B55,'A1.3.10'!$S$28:$AE$58,5,))))</f>
        <v>-2.0594564659300405E-3</v>
      </c>
      <c r="S55" s="2642">
        <f>IF($B55&lt;'A1.3.10'!$S$28,"",IF($B55&gt;'A1.3.10'!$S$58,S54,IF(OR(VLOOKUP($B55,'A1.3.10'!$S$28:$AE$58,5,)="",'Fuel consumption'!G$29=""),"",'Fuel consumption'!G$29 * VLOOKUP($B55,'A1.3.10'!$S$28:$AE$58,5,))))</f>
        <v>1.3300046823685748E-5</v>
      </c>
      <c r="T55" s="610">
        <f>IF($B55&lt;'A1.3.10'!$S$28,"",IF($B55&gt;'A1.3.10'!$S$58,T54,IF(OR(VLOOKUP($B55,'A1.3.10'!$S$28:$AE$58,6,)="",'Fuel consumption'!D$30=""),"",'Fuel consumption'!D$30 * VLOOKUP($B55,'A1.3.10'!$S$28:$AE$58,6,))))</f>
        <v>0.3988609037344879</v>
      </c>
      <c r="U55" s="611">
        <f>IF($B55&lt;'A1.3.10'!$S$28,"",IF($B55&gt;'A1.3.10'!$S$58,U54,IF(OR(VLOOKUP($B55,'A1.3.10'!$S$28:$AE$58,6,)="",'Fuel consumption'!E$30=""),"",'Fuel consumption'!E$30 * VLOOKUP($B55,'A1.3.10'!$S$28:$AE$58,6,))))</f>
        <v>9.7483230363204512E-2</v>
      </c>
      <c r="V55" s="611">
        <f>IF($B55&lt;'A1.3.10'!$S$28,"",IF($B55&gt;'A1.3.10'!$S$58,V54,IF(OR(VLOOKUP($B55,'A1.3.10'!$S$28:$AE$58,6,)="",'Fuel consumption'!F$30=""),"",'Fuel consumption'!F$30 * VLOOKUP($B55,'A1.3.10'!$S$28:$AE$58,6,))))</f>
        <v>-1.4063727682028522E-3</v>
      </c>
      <c r="W55" s="2642">
        <f>IF($B55&lt;'A1.3.10'!$S$28,"",IF($B55&gt;'A1.3.10'!$S$58,W54,IF(OR(VLOOKUP($B55,'A1.3.10'!$S$28:$AE$58,6,)="",'Fuel consumption'!G$30=""),"",'Fuel consumption'!G$30 * VLOOKUP($B55,'A1.3.10'!$S$28:$AE$58,6,))))</f>
        <v>1.1906400891809692E-5</v>
      </c>
      <c r="X55" s="3144"/>
      <c r="Y55" s="2487">
        <f>IF($B55&lt;'A1.3.10'!$S$28,"",IF($B55&gt;'A1.3.10'!$S$58,Y54,IF(OR(VLOOKUP($B55,'A1.3.10'!$S$28:$AE$58,7,)="", 'Fuel consumption'!E$37=""),"",'Fuel consumption'!E$37 * VLOOKUP($B55,'A1.3.10'!$S$28:$AE$58,7,))))</f>
        <v>0.29149401103980166</v>
      </c>
      <c r="Z55" s="2642"/>
      <c r="AA55" s="2642"/>
      <c r="AB55" s="610">
        <f>IF($B55&lt;'A1.3.10'!$S$28,"",IF($B55&gt;'A1.3.10'!$S$58,AB54,IF(OR(VLOOKUP($B55,'A1.3.10'!$S$28:$AE$58,8,)="",'Fuel consumption'!D$31=""),"",'Fuel consumption'!D$31 * VLOOKUP($B55,'A1.3.10'!$S$28:$AE$58,8,))))</f>
        <v>2.6962848686626804</v>
      </c>
      <c r="AC55" s="611">
        <f>IF($B55&lt;'A1.3.10'!$S$28,"",IF($B55&gt;'A1.3.10'!$S$58,AC54,IF(OR(VLOOKUP($B55,'A1.3.10'!$S$28:$AE$58,8,)="",'Fuel consumption'!E$31=""),"",'Fuel consumption'!E$31 * VLOOKUP($B55,'A1.3.10'!$S$28:$AE$58,8,))))</f>
        <v>0.143057339771858</v>
      </c>
      <c r="AD55" s="611">
        <f>IF($B55&lt;'A1.3.10'!$S$28,"",IF($B55&gt;'A1.3.10'!$S$58,AD54,IF(OR(VLOOKUP($B55,'A1.3.10'!$S$28:$AE$58,8,)="",'Fuel consumption'!F$31=""),"",'Fuel consumption'!F$31 * VLOOKUP($B55,'A1.3.10'!$S$28:$AE$58,8,))))</f>
        <v>-1.0340193601785499E-3</v>
      </c>
      <c r="AE55" s="2642">
        <f>IF($B55&lt;'A1.3.10'!$S$28,"",IF($B55&gt;'A1.3.10'!$S$58,AE54,IF(OR(VLOOKUP($B55,'A1.3.10'!$S$28:$AE$58,8,)="",'Fuel consumption'!G$31=""),"",'Fuel consumption'!G$31 * VLOOKUP($B55,'A1.3.10'!$S$28:$AE$58,8,))))</f>
        <v>1.1293150500864199E-5</v>
      </c>
      <c r="AF55" s="610">
        <f>IF($B55&lt;'A1.3.10'!$S$28,"",IF($B55&gt;'A1.3.10'!$S$58,AF54,IF(OR(VLOOKUP($B55,'A1.3.10'!$S$28:$AE$58,10,)="",'Fuel consumption'!D$32=""),"",'Fuel consumption'!D$32 * VLOOKUP($B55,'A1.3.10'!$S$28:$AE$58,10,))))</f>
        <v>5.6655970981789903</v>
      </c>
      <c r="AG55" s="611">
        <f>IF($B55&lt;'A1.3.10'!$S$28,"",IF($B55&gt;'A1.3.10'!$S$58,AG54,IF(OR(VLOOKUP($B55,'A1.3.10'!$S$28:$AE$58,10,)="",'Fuel consumption'!E$32=""),"",'Fuel consumption'!E$32 * VLOOKUP($B55,'A1.3.10'!$S$28:$AE$58,10,))))</f>
        <v>0.29422449618924201</v>
      </c>
      <c r="AH55" s="611">
        <f>IF($B55&lt;'A1.3.10'!$S$28,"",IF($B55&gt;'A1.3.10'!$S$58,AH54,IF(OR(VLOOKUP($B55,'A1.3.10'!$S$28:$AE$58,10,)="",'Fuel consumption'!F$32=""),"",'Fuel consumption'!F$32 * VLOOKUP($B55,'A1.3.10'!$S$28:$AE$58,10,))))</f>
        <v>-1.9493920679616401E-3</v>
      </c>
      <c r="AI55" s="1578">
        <f>IF($B55&lt;'A1.3.10'!$S$28,"",IF($B55&gt;'A1.3.10'!$S$58,AI54,IF(OR(VLOOKUP($B55,'A1.3.10'!$S$28:$AE$58,10,)="",'Fuel consumption'!G$32=""),"",'Fuel consumption'!G$32 * VLOOKUP($B55,'A1.3.10'!$S$28:$AE$58,10,))))</f>
        <v>1.1619187345164999E-5</v>
      </c>
      <c r="AJ55" s="610">
        <f>IF($B55&lt;'A1.3.10'!$S$28,"",IF($B55&gt;'A1.3.10'!$S$58,AJ54,IF(OR(VLOOKUP($B55,'A1.3.10'!$S$28:$AE$58,12,)="",'Fuel consumption'!D$33=""),"",'Fuel consumption'!D$33 * VLOOKUP($B55,'A1.3.10'!$S$28:$AE$58,12,))))</f>
        <v>3.3601870156891001</v>
      </c>
      <c r="AK55" s="611">
        <f>IF($B55&lt;'A1.3.10'!$S$28,"",IF($B55&gt;'A1.3.10'!$S$58,AK54,IF(OR(VLOOKUP($B55,'A1.3.10'!$S$28:$AE$58,12,)="",'Fuel consumption'!E$33=""),"",'Fuel consumption'!E$33 * VLOOKUP($B55,'A1.3.10'!$S$28:$AE$58,12,))))</f>
        <v>0.29524938703213599</v>
      </c>
      <c r="AL55" s="611">
        <f>IF($B55&lt;'A1.3.10'!$S$28,"",IF($B55&gt;'A1.3.10'!$S$58,AL54,IF(OR(VLOOKUP($B55,'A1.3.10'!$S$28:$AE$58,12,)="",'Fuel consumption'!F$33=""),"",'Fuel consumption'!F$33 * VLOOKUP($B55,'A1.3.10'!$S$28:$AE$58,12,))))</f>
        <v>-3.20909768342738E-3</v>
      </c>
      <c r="AM55" s="1578">
        <f>IF($B55&lt;'A1.3.10'!$S$28,"",IF($B55&gt;'A1.3.10'!$S$58,AM54,IF(OR(VLOOKUP($B55,'A1.3.10'!$S$28:$AE$58,12,)="",'Fuel consumption'!G$33=""),"",'Fuel consumption'!G$33 * VLOOKUP($B55,'A1.3.10'!$S$28:$AE$58,12,))))</f>
        <v>2.3540043227716499E-5</v>
      </c>
    </row>
    <row r="56" spans="1:39" ht="13.5" customHeight="1">
      <c r="A56" s="623"/>
      <c r="B56" s="614">
        <f t="shared" si="2"/>
        <v>2040</v>
      </c>
      <c r="C56" s="609"/>
      <c r="D56" s="2484">
        <f>IF($B56&lt;'A1.3.10'!$S$28,"",IF($B56&gt;'A1.3.10'!$S$58,D55,IF(OR(VLOOKUP($B56,'A1.3.10'!$S$28:$AE$58,2,)="",'Fuel consumption'!D$27=""),"",'Fuel consumption'!D$27 * VLOOKUP($B56,'A1.3.10'!$S$28:$AE$58,2,))))</f>
        <v>0.32527491364024624</v>
      </c>
      <c r="E56" s="2485">
        <f>IF($B56&lt;'A1.3.10'!$S$28,"",IF($B56&gt;'A1.3.10'!$S$58,E55,IF(OR(VLOOKUP($B56,'A1.3.10'!$S$28:$AE$58,2,)="",'Fuel consumption'!E$27=""),"",'Fuel consumption'!E$27 * VLOOKUP($B56,'A1.3.10'!$S$28:$AE$58,2,))))</f>
        <v>6.9126195403069218E-2</v>
      </c>
      <c r="F56" s="2485">
        <f>IF($B56&lt;'A1.3.10'!$S$28,"",IF($B56&gt;'A1.3.10'!$S$58,F55,IF(OR(VLOOKUP($B56,'A1.3.10'!$S$28:$AE$58,2,)="",'Fuel consumption'!F$27=""),"",'Fuel consumption'!F$27 * VLOOKUP($B56,'A1.3.10'!$S$28:$AE$58,2,))))</f>
        <v>-7.8742934140708519E-4</v>
      </c>
      <c r="G56" s="2642">
        <f>IF($B56&lt;'A1.3.10'!$S$28,"",IF($B56&gt;'A1.3.10'!$S$58,G55,IF(OR(VLOOKUP($B56,'A1.3.10'!$S$28:$AE$58,2,)="",'Fuel consumption'!G$27=""),"",'Fuel consumption'!G$27 * VLOOKUP($B56,'A1.3.10'!$S$28:$AE$58,2,))))</f>
        <v>5.2150811705064693E-6</v>
      </c>
      <c r="H56" s="2486">
        <f>IF($B56&lt;'A1.3.10'!$S$28,"",IF($B56&gt;'A1.3.10'!$S$58,H55,IF(OR(VLOOKUP($B56,'A1.3.10'!$S$28:$AE$58,3,)="",'Fuel consumption'!D$28=""),"",'Fuel consumption'!D$28  * VLOOKUP($B56,'A1.3.10'!$S$28:$AE$58,3,))))</f>
        <v>0.38728007442052015</v>
      </c>
      <c r="I56" s="2487">
        <f>IF($B56&lt;'A1.3.10'!$S$28,"",IF($B56&gt;'A1.3.10'!$S$58,I55,IF(OR(VLOOKUP($B56,'A1.3.10'!$S$28:$AE$58,3,)="",'Fuel consumption'!E$28=""),"",'Fuel consumption'!E$28  * VLOOKUP($B56,'A1.3.10'!$S$28:$AE$58,3,))))</f>
        <v>5.5526385246550972E-2</v>
      </c>
      <c r="J56" s="2487">
        <f>IF($B56&lt;'A1.3.10'!$S$28,"",IF($B56&gt;'A1.3.10'!$S$58,J55,IF(OR(VLOOKUP($B56,'A1.3.10'!$S$28:$AE$58,3,)="",'Fuel consumption'!F$28=""),"",'Fuel consumption'!F$28  * VLOOKUP($B56,'A1.3.10'!$S$28:$AE$58,3,))))</f>
        <v>-5.3417929464962704E-4</v>
      </c>
      <c r="K56" s="2642">
        <f>IF($B56&lt;'A1.3.10'!$S$28,"",IF($B56&gt;'A1.3.10'!$S$58,K55,IF(OR(VLOOKUP($B56,'A1.3.10'!$S$28:$AE$58,3,)="",'Fuel consumption'!G$28=""),"",'Fuel consumption'!G$28  * VLOOKUP($B56,'A1.3.10'!$S$28:$AE$58,3,))))</f>
        <v>4.2093596420141842E-6</v>
      </c>
      <c r="L56" s="2486" t="str">
        <f>IF($B56&lt;'A1.3.10'!$S$28,"",IF($B56&gt;'A1.3.10'!$S$58,L55,IF(OR(VLOOKUP($B56,'A1.3.10'!$S$28:$AE$58,4,)="", 'Fuel consumption'!D$36=""),"",'Fuel consumption'!D$36 * VLOOKUP($B56,'A1.3.10'!$S$28:$AE$58,4,))))</f>
        <v/>
      </c>
      <c r="M56" s="2487">
        <f>IF($B56&lt;'A1.3.10'!$S$28,"",IF($B56&gt;'A1.3.10'!$S$58,M55,IF(OR(VLOOKUP($B56,'A1.3.10'!$S$28:$AE$58,4,)="", 'Fuel consumption'!E$36=""),"",'Fuel consumption'!E$36 * VLOOKUP($B56,'A1.3.10'!$S$28:$AE$58,4,))))</f>
        <v>0.12679510393803953</v>
      </c>
      <c r="N56" s="614" t="str">
        <f>IF($B56&lt;'A1.3.10'!$S$28,"",IF($B56&gt;'A1.3.10'!$S$58,N55,IF(OR(VLOOKUP($B56,'A1.3.10'!$S$28:$AE$58,4,)="", 'Fuel consumption'!F$36=""),"",'Fuel consumption'!F$36 * VLOOKUP($B56,'A1.3.10'!$S$28:$AE$58,4,))))</f>
        <v/>
      </c>
      <c r="O56" s="612" t="str">
        <f>IF($B56&lt;'A1.3.10'!$S$28,"",IF($B56&gt;'A1.3.10'!$S$58,O55,IF(OR(VLOOKUP($B56,'A1.3.10'!$S$28:$AE$58,4,)="", 'Fuel consumption'!G$36=""),"",'Fuel consumption'!G$36 * VLOOKUP($B56,'A1.3.10'!$S$28:$AE$58,4,))))</f>
        <v/>
      </c>
      <c r="P56" s="610">
        <f>IF($B56&lt;'A1.3.10'!$S$28,"",IF($B56&gt;'A1.3.10'!$S$58,P55,IF(OR(VLOOKUP($B56,'A1.3.10'!$S$28:$AE$58,5,)="",'Fuel consumption'!D$29=""),"",'Fuel consumption'!D$29 * VLOOKUP($B56,'A1.3.10'!$S$28:$AE$58,5,))))</f>
        <v>0.23398100209323003</v>
      </c>
      <c r="Q56" s="611">
        <f>IF($B56&lt;'A1.3.10'!$S$28,"",IF($B56&gt;'A1.3.10'!$S$58,Q55,IF(OR(VLOOKUP($B56,'A1.3.10'!$S$28:$AE$58,5,)="",'Fuel consumption'!E$29=""),"",'Fuel consumption'!E$29 * VLOOKUP($B56,'A1.3.10'!$S$28:$AE$58,5,))))</f>
        <v>0.13120300165283155</v>
      </c>
      <c r="R56" s="611">
        <f>IF($B56&lt;'A1.3.10'!$S$28,"",IF($B56&gt;'A1.3.10'!$S$58,R55,IF(OR(VLOOKUP($B56,'A1.3.10'!$S$28:$AE$58,5,)="",'Fuel consumption'!F$29=""),"",'Fuel consumption'!F$29 * VLOOKUP($B56,'A1.3.10'!$S$28:$AE$58,5,))))</f>
        <v>-2.0594564659300405E-3</v>
      </c>
      <c r="S56" s="2642">
        <f>IF($B56&lt;'A1.3.10'!$S$28,"",IF($B56&gt;'A1.3.10'!$S$58,S55,IF(OR(VLOOKUP($B56,'A1.3.10'!$S$28:$AE$58,5,)="",'Fuel consumption'!G$29=""),"",'Fuel consumption'!G$29 * VLOOKUP($B56,'A1.3.10'!$S$28:$AE$58,5,))))</f>
        <v>1.3300046823685748E-5</v>
      </c>
      <c r="T56" s="610">
        <f>IF($B56&lt;'A1.3.10'!$S$28,"",IF($B56&gt;'A1.3.10'!$S$58,T55,IF(OR(VLOOKUP($B56,'A1.3.10'!$S$28:$AE$58,6,)="",'Fuel consumption'!D$30=""),"",'Fuel consumption'!D$30 * VLOOKUP($B56,'A1.3.10'!$S$28:$AE$58,6,))))</f>
        <v>0.3988609037344879</v>
      </c>
      <c r="U56" s="611">
        <f>IF($B56&lt;'A1.3.10'!$S$28,"",IF($B56&gt;'A1.3.10'!$S$58,U55,IF(OR(VLOOKUP($B56,'A1.3.10'!$S$28:$AE$58,6,)="",'Fuel consumption'!E$30=""),"",'Fuel consumption'!E$30 * VLOOKUP($B56,'A1.3.10'!$S$28:$AE$58,6,))))</f>
        <v>9.7483230363204512E-2</v>
      </c>
      <c r="V56" s="611">
        <f>IF($B56&lt;'A1.3.10'!$S$28,"",IF($B56&gt;'A1.3.10'!$S$58,V55,IF(OR(VLOOKUP($B56,'A1.3.10'!$S$28:$AE$58,6,)="",'Fuel consumption'!F$30=""),"",'Fuel consumption'!F$30 * VLOOKUP($B56,'A1.3.10'!$S$28:$AE$58,6,))))</f>
        <v>-1.4063727682028522E-3</v>
      </c>
      <c r="W56" s="2642">
        <f>IF($B56&lt;'A1.3.10'!$S$28,"",IF($B56&gt;'A1.3.10'!$S$58,W55,IF(OR(VLOOKUP($B56,'A1.3.10'!$S$28:$AE$58,6,)="",'Fuel consumption'!G$30=""),"",'Fuel consumption'!G$30 * VLOOKUP($B56,'A1.3.10'!$S$28:$AE$58,6,))))</f>
        <v>1.1906400891809692E-5</v>
      </c>
      <c r="X56" s="3144"/>
      <c r="Y56" s="2487">
        <f>IF($B56&lt;'A1.3.10'!$S$28,"",IF($B56&gt;'A1.3.10'!$S$58,Y55,IF(OR(VLOOKUP($B56,'A1.3.10'!$S$28:$AE$58,7,)="", 'Fuel consumption'!E$37=""),"",'Fuel consumption'!E$37 * VLOOKUP($B56,'A1.3.10'!$S$28:$AE$58,7,))))</f>
        <v>0.29149401103980166</v>
      </c>
      <c r="Z56" s="2642"/>
      <c r="AA56" s="2642"/>
      <c r="AB56" s="610">
        <f>IF($B56&lt;'A1.3.10'!$S$28,"",IF($B56&gt;'A1.3.10'!$S$58,AB55,IF(OR(VLOOKUP($B56,'A1.3.10'!$S$28:$AE$58,8,)="",'Fuel consumption'!D$31=""),"",'Fuel consumption'!D$31 * VLOOKUP($B56,'A1.3.10'!$S$28:$AE$58,8,))))</f>
        <v>2.6962848686626804</v>
      </c>
      <c r="AC56" s="611">
        <f>IF($B56&lt;'A1.3.10'!$S$28,"",IF($B56&gt;'A1.3.10'!$S$58,AC55,IF(OR(VLOOKUP($B56,'A1.3.10'!$S$28:$AE$58,8,)="",'Fuel consumption'!E$31=""),"",'Fuel consumption'!E$31 * VLOOKUP($B56,'A1.3.10'!$S$28:$AE$58,8,))))</f>
        <v>0.143057339771858</v>
      </c>
      <c r="AD56" s="611">
        <f>IF($B56&lt;'A1.3.10'!$S$28,"",IF($B56&gt;'A1.3.10'!$S$58,AD55,IF(OR(VLOOKUP($B56,'A1.3.10'!$S$28:$AE$58,8,)="",'Fuel consumption'!F$31=""),"",'Fuel consumption'!F$31 * VLOOKUP($B56,'A1.3.10'!$S$28:$AE$58,8,))))</f>
        <v>-1.0340193601785499E-3</v>
      </c>
      <c r="AE56" s="2642">
        <f>IF($B56&lt;'A1.3.10'!$S$28,"",IF($B56&gt;'A1.3.10'!$S$58,AE55,IF(OR(VLOOKUP($B56,'A1.3.10'!$S$28:$AE$58,8,)="",'Fuel consumption'!G$31=""),"",'Fuel consumption'!G$31 * VLOOKUP($B56,'A1.3.10'!$S$28:$AE$58,8,))))</f>
        <v>1.1293150500864199E-5</v>
      </c>
      <c r="AF56" s="610">
        <f>IF($B56&lt;'A1.3.10'!$S$28,"",IF($B56&gt;'A1.3.10'!$S$58,AF55,IF(OR(VLOOKUP($B56,'A1.3.10'!$S$28:$AE$58,10,)="",'Fuel consumption'!D$32=""),"",'Fuel consumption'!D$32 * VLOOKUP($B56,'A1.3.10'!$S$28:$AE$58,10,))))</f>
        <v>5.6655970981789903</v>
      </c>
      <c r="AG56" s="611">
        <f>IF($B56&lt;'A1.3.10'!$S$28,"",IF($B56&gt;'A1.3.10'!$S$58,AG55,IF(OR(VLOOKUP($B56,'A1.3.10'!$S$28:$AE$58,10,)="",'Fuel consumption'!E$32=""),"",'Fuel consumption'!E$32 * VLOOKUP($B56,'A1.3.10'!$S$28:$AE$58,10,))))</f>
        <v>0.29422449618924201</v>
      </c>
      <c r="AH56" s="611">
        <f>IF($B56&lt;'A1.3.10'!$S$28,"",IF($B56&gt;'A1.3.10'!$S$58,AH55,IF(OR(VLOOKUP($B56,'A1.3.10'!$S$28:$AE$58,10,)="",'Fuel consumption'!F$32=""),"",'Fuel consumption'!F$32 * VLOOKUP($B56,'A1.3.10'!$S$28:$AE$58,10,))))</f>
        <v>-1.9493920679616401E-3</v>
      </c>
      <c r="AI56" s="1578">
        <f>IF($B56&lt;'A1.3.10'!$S$28,"",IF($B56&gt;'A1.3.10'!$S$58,AI55,IF(OR(VLOOKUP($B56,'A1.3.10'!$S$28:$AE$58,10,)="",'Fuel consumption'!G$32=""),"",'Fuel consumption'!G$32 * VLOOKUP($B56,'A1.3.10'!$S$28:$AE$58,10,))))</f>
        <v>1.1619187345164999E-5</v>
      </c>
      <c r="AJ56" s="610">
        <f>IF($B56&lt;'A1.3.10'!$S$28,"",IF($B56&gt;'A1.3.10'!$S$58,AJ55,IF(OR(VLOOKUP($B56,'A1.3.10'!$S$28:$AE$58,12,)="",'Fuel consumption'!D$33=""),"",'Fuel consumption'!D$33 * VLOOKUP($B56,'A1.3.10'!$S$28:$AE$58,12,))))</f>
        <v>3.3601870156891001</v>
      </c>
      <c r="AK56" s="611">
        <f>IF($B56&lt;'A1.3.10'!$S$28,"",IF($B56&gt;'A1.3.10'!$S$58,AK55,IF(OR(VLOOKUP($B56,'A1.3.10'!$S$28:$AE$58,12,)="",'Fuel consumption'!E$33=""),"",'Fuel consumption'!E$33 * VLOOKUP($B56,'A1.3.10'!$S$28:$AE$58,12,))))</f>
        <v>0.29524938703213599</v>
      </c>
      <c r="AL56" s="611">
        <f>IF($B56&lt;'A1.3.10'!$S$28,"",IF($B56&gt;'A1.3.10'!$S$58,AL55,IF(OR(VLOOKUP($B56,'A1.3.10'!$S$28:$AE$58,12,)="",'Fuel consumption'!F$33=""),"",'Fuel consumption'!F$33 * VLOOKUP($B56,'A1.3.10'!$S$28:$AE$58,12,))))</f>
        <v>-3.20909768342738E-3</v>
      </c>
      <c r="AM56" s="1578">
        <f>IF($B56&lt;'A1.3.10'!$S$28,"",IF($B56&gt;'A1.3.10'!$S$58,AM55,IF(OR(VLOOKUP($B56,'A1.3.10'!$S$28:$AE$58,12,)="",'Fuel consumption'!G$33=""),"",'Fuel consumption'!G$33 * VLOOKUP($B56,'A1.3.10'!$S$28:$AE$58,12,))))</f>
        <v>2.3540043227716499E-5</v>
      </c>
    </row>
    <row r="57" spans="1:39" ht="13.5" customHeight="1">
      <c r="A57" s="623"/>
      <c r="B57" s="614">
        <f t="shared" si="2"/>
        <v>2041</v>
      </c>
      <c r="C57" s="609"/>
      <c r="D57" s="2484">
        <f>IF($B57&lt;'A1.3.10'!$S$28,"",IF($B57&gt;'A1.3.10'!$S$58,D56,IF(OR(VLOOKUP($B57,'A1.3.10'!$S$28:$AE$58,2,)="",'Fuel consumption'!D$27=""),"",'Fuel consumption'!D$27 * VLOOKUP($B57,'A1.3.10'!$S$28:$AE$58,2,))))</f>
        <v>0.32527491364024624</v>
      </c>
      <c r="E57" s="2485">
        <f>IF($B57&lt;'A1.3.10'!$S$28,"",IF($B57&gt;'A1.3.10'!$S$58,E56,IF(OR(VLOOKUP($B57,'A1.3.10'!$S$28:$AE$58,2,)="",'Fuel consumption'!E$27=""),"",'Fuel consumption'!E$27 * VLOOKUP($B57,'A1.3.10'!$S$28:$AE$58,2,))))</f>
        <v>6.9126195403069218E-2</v>
      </c>
      <c r="F57" s="2485">
        <f>IF($B57&lt;'A1.3.10'!$S$28,"",IF($B57&gt;'A1.3.10'!$S$58,F56,IF(OR(VLOOKUP($B57,'A1.3.10'!$S$28:$AE$58,2,)="",'Fuel consumption'!F$27=""),"",'Fuel consumption'!F$27 * VLOOKUP($B57,'A1.3.10'!$S$28:$AE$58,2,))))</f>
        <v>-7.8742934140708519E-4</v>
      </c>
      <c r="G57" s="2642">
        <f>IF($B57&lt;'A1.3.10'!$S$28,"",IF($B57&gt;'A1.3.10'!$S$58,G56,IF(OR(VLOOKUP($B57,'A1.3.10'!$S$28:$AE$58,2,)="",'Fuel consumption'!G$27=""),"",'Fuel consumption'!G$27 * VLOOKUP($B57,'A1.3.10'!$S$28:$AE$58,2,))))</f>
        <v>5.2150811705064693E-6</v>
      </c>
      <c r="H57" s="2486">
        <f>IF($B57&lt;'A1.3.10'!$S$28,"",IF($B57&gt;'A1.3.10'!$S$58,H56,IF(OR(VLOOKUP($B57,'A1.3.10'!$S$28:$AE$58,3,)="",'Fuel consumption'!D$28=""),"",'Fuel consumption'!D$28  * VLOOKUP($B57,'A1.3.10'!$S$28:$AE$58,3,))))</f>
        <v>0.38728007442052015</v>
      </c>
      <c r="I57" s="2487">
        <f>IF($B57&lt;'A1.3.10'!$S$28,"",IF($B57&gt;'A1.3.10'!$S$58,I56,IF(OR(VLOOKUP($B57,'A1.3.10'!$S$28:$AE$58,3,)="",'Fuel consumption'!E$28=""),"",'Fuel consumption'!E$28  * VLOOKUP($B57,'A1.3.10'!$S$28:$AE$58,3,))))</f>
        <v>5.5526385246550972E-2</v>
      </c>
      <c r="J57" s="2487">
        <f>IF($B57&lt;'A1.3.10'!$S$28,"",IF($B57&gt;'A1.3.10'!$S$58,J56,IF(OR(VLOOKUP($B57,'A1.3.10'!$S$28:$AE$58,3,)="",'Fuel consumption'!F$28=""),"",'Fuel consumption'!F$28  * VLOOKUP($B57,'A1.3.10'!$S$28:$AE$58,3,))))</f>
        <v>-5.3417929464962704E-4</v>
      </c>
      <c r="K57" s="2642">
        <f>IF($B57&lt;'A1.3.10'!$S$28,"",IF($B57&gt;'A1.3.10'!$S$58,K56,IF(OR(VLOOKUP($B57,'A1.3.10'!$S$28:$AE$58,3,)="",'Fuel consumption'!G$28=""),"",'Fuel consumption'!G$28  * VLOOKUP($B57,'A1.3.10'!$S$28:$AE$58,3,))))</f>
        <v>4.2093596420141842E-6</v>
      </c>
      <c r="L57" s="2486" t="str">
        <f>IF($B57&lt;'A1.3.10'!$S$28,"",IF($B57&gt;'A1.3.10'!$S$58,L56,IF(OR(VLOOKUP($B57,'A1.3.10'!$S$28:$AE$58,4,)="", 'Fuel consumption'!D$36=""),"",'Fuel consumption'!D$36 * VLOOKUP($B57,'A1.3.10'!$S$28:$AE$58,4,))))</f>
        <v/>
      </c>
      <c r="M57" s="2487">
        <f>IF($B57&lt;'A1.3.10'!$S$28,"",IF($B57&gt;'A1.3.10'!$S$58,M56,IF(OR(VLOOKUP($B57,'A1.3.10'!$S$28:$AE$58,4,)="", 'Fuel consumption'!E$36=""),"",'Fuel consumption'!E$36 * VLOOKUP($B57,'A1.3.10'!$S$28:$AE$58,4,))))</f>
        <v>0.12679510393803953</v>
      </c>
      <c r="N57" s="614" t="str">
        <f>IF($B57&lt;'A1.3.10'!$S$28,"",IF($B57&gt;'A1.3.10'!$S$58,N56,IF(OR(VLOOKUP($B57,'A1.3.10'!$S$28:$AE$58,4,)="", 'Fuel consumption'!F$36=""),"",'Fuel consumption'!F$36 * VLOOKUP($B57,'A1.3.10'!$S$28:$AE$58,4,))))</f>
        <v/>
      </c>
      <c r="O57" s="612" t="str">
        <f>IF($B57&lt;'A1.3.10'!$S$28,"",IF($B57&gt;'A1.3.10'!$S$58,O56,IF(OR(VLOOKUP($B57,'A1.3.10'!$S$28:$AE$58,4,)="", 'Fuel consumption'!G$36=""),"",'Fuel consumption'!G$36 * VLOOKUP($B57,'A1.3.10'!$S$28:$AE$58,4,))))</f>
        <v/>
      </c>
      <c r="P57" s="610">
        <f>IF($B57&lt;'A1.3.10'!$S$28,"",IF($B57&gt;'A1.3.10'!$S$58,P56,IF(OR(VLOOKUP($B57,'A1.3.10'!$S$28:$AE$58,5,)="",'Fuel consumption'!D$29=""),"",'Fuel consumption'!D$29 * VLOOKUP($B57,'A1.3.10'!$S$28:$AE$58,5,))))</f>
        <v>0.23398100209323003</v>
      </c>
      <c r="Q57" s="611">
        <f>IF($B57&lt;'A1.3.10'!$S$28,"",IF($B57&gt;'A1.3.10'!$S$58,Q56,IF(OR(VLOOKUP($B57,'A1.3.10'!$S$28:$AE$58,5,)="",'Fuel consumption'!E$29=""),"",'Fuel consumption'!E$29 * VLOOKUP($B57,'A1.3.10'!$S$28:$AE$58,5,))))</f>
        <v>0.13120300165283155</v>
      </c>
      <c r="R57" s="611">
        <f>IF($B57&lt;'A1.3.10'!$S$28,"",IF($B57&gt;'A1.3.10'!$S$58,R56,IF(OR(VLOOKUP($B57,'A1.3.10'!$S$28:$AE$58,5,)="",'Fuel consumption'!F$29=""),"",'Fuel consumption'!F$29 * VLOOKUP($B57,'A1.3.10'!$S$28:$AE$58,5,))))</f>
        <v>-2.0594564659300405E-3</v>
      </c>
      <c r="S57" s="2642">
        <f>IF($B57&lt;'A1.3.10'!$S$28,"",IF($B57&gt;'A1.3.10'!$S$58,S56,IF(OR(VLOOKUP($B57,'A1.3.10'!$S$28:$AE$58,5,)="",'Fuel consumption'!G$29=""),"",'Fuel consumption'!G$29 * VLOOKUP($B57,'A1.3.10'!$S$28:$AE$58,5,))))</f>
        <v>1.3300046823685748E-5</v>
      </c>
      <c r="T57" s="610">
        <f>IF($B57&lt;'A1.3.10'!$S$28,"",IF($B57&gt;'A1.3.10'!$S$58,T56,IF(OR(VLOOKUP($B57,'A1.3.10'!$S$28:$AE$58,6,)="",'Fuel consumption'!D$30=""),"",'Fuel consumption'!D$30 * VLOOKUP($B57,'A1.3.10'!$S$28:$AE$58,6,))))</f>
        <v>0.3988609037344879</v>
      </c>
      <c r="U57" s="611">
        <f>IF($B57&lt;'A1.3.10'!$S$28,"",IF($B57&gt;'A1.3.10'!$S$58,U56,IF(OR(VLOOKUP($B57,'A1.3.10'!$S$28:$AE$58,6,)="",'Fuel consumption'!E$30=""),"",'Fuel consumption'!E$30 * VLOOKUP($B57,'A1.3.10'!$S$28:$AE$58,6,))))</f>
        <v>9.7483230363204512E-2</v>
      </c>
      <c r="V57" s="611">
        <f>IF($B57&lt;'A1.3.10'!$S$28,"",IF($B57&gt;'A1.3.10'!$S$58,V56,IF(OR(VLOOKUP($B57,'A1.3.10'!$S$28:$AE$58,6,)="",'Fuel consumption'!F$30=""),"",'Fuel consumption'!F$30 * VLOOKUP($B57,'A1.3.10'!$S$28:$AE$58,6,))))</f>
        <v>-1.4063727682028522E-3</v>
      </c>
      <c r="W57" s="2642">
        <f>IF($B57&lt;'A1.3.10'!$S$28,"",IF($B57&gt;'A1.3.10'!$S$58,W56,IF(OR(VLOOKUP($B57,'A1.3.10'!$S$28:$AE$58,6,)="",'Fuel consumption'!G$30=""),"",'Fuel consumption'!G$30 * VLOOKUP($B57,'A1.3.10'!$S$28:$AE$58,6,))))</f>
        <v>1.1906400891809692E-5</v>
      </c>
      <c r="X57" s="3144"/>
      <c r="Y57" s="2487">
        <f>IF($B57&lt;'A1.3.10'!$S$28,"",IF($B57&gt;'A1.3.10'!$S$58,Y56,IF(OR(VLOOKUP($B57,'A1.3.10'!$S$28:$AE$58,7,)="", 'Fuel consumption'!E$37=""),"",'Fuel consumption'!E$37 * VLOOKUP($B57,'A1.3.10'!$S$28:$AE$58,7,))))</f>
        <v>0.29149401103980166</v>
      </c>
      <c r="Z57" s="2642"/>
      <c r="AA57" s="2642"/>
      <c r="AB57" s="610">
        <f>IF($B57&lt;'A1.3.10'!$S$28,"",IF($B57&gt;'A1.3.10'!$S$58,AB56,IF(OR(VLOOKUP($B57,'A1.3.10'!$S$28:$AE$58,8,)="",'Fuel consumption'!D$31=""),"",'Fuel consumption'!D$31 * VLOOKUP($B57,'A1.3.10'!$S$28:$AE$58,8,))))</f>
        <v>2.6962848686626804</v>
      </c>
      <c r="AC57" s="611">
        <f>IF($B57&lt;'A1.3.10'!$S$28,"",IF($B57&gt;'A1.3.10'!$S$58,AC56,IF(OR(VLOOKUP($B57,'A1.3.10'!$S$28:$AE$58,8,)="",'Fuel consumption'!E$31=""),"",'Fuel consumption'!E$31 * VLOOKUP($B57,'A1.3.10'!$S$28:$AE$58,8,))))</f>
        <v>0.143057339771858</v>
      </c>
      <c r="AD57" s="611">
        <f>IF($B57&lt;'A1.3.10'!$S$28,"",IF($B57&gt;'A1.3.10'!$S$58,AD56,IF(OR(VLOOKUP($B57,'A1.3.10'!$S$28:$AE$58,8,)="",'Fuel consumption'!F$31=""),"",'Fuel consumption'!F$31 * VLOOKUP($B57,'A1.3.10'!$S$28:$AE$58,8,))))</f>
        <v>-1.0340193601785499E-3</v>
      </c>
      <c r="AE57" s="2642">
        <f>IF($B57&lt;'A1.3.10'!$S$28,"",IF($B57&gt;'A1.3.10'!$S$58,AE56,IF(OR(VLOOKUP($B57,'A1.3.10'!$S$28:$AE$58,8,)="",'Fuel consumption'!G$31=""),"",'Fuel consumption'!G$31 * VLOOKUP($B57,'A1.3.10'!$S$28:$AE$58,8,))))</f>
        <v>1.1293150500864199E-5</v>
      </c>
      <c r="AF57" s="610">
        <f>IF($B57&lt;'A1.3.10'!$S$28,"",IF($B57&gt;'A1.3.10'!$S$58,AF56,IF(OR(VLOOKUP($B57,'A1.3.10'!$S$28:$AE$58,10,)="",'Fuel consumption'!D$32=""),"",'Fuel consumption'!D$32 * VLOOKUP($B57,'A1.3.10'!$S$28:$AE$58,10,))))</f>
        <v>5.6655970981789903</v>
      </c>
      <c r="AG57" s="611">
        <f>IF($B57&lt;'A1.3.10'!$S$28,"",IF($B57&gt;'A1.3.10'!$S$58,AG56,IF(OR(VLOOKUP($B57,'A1.3.10'!$S$28:$AE$58,10,)="",'Fuel consumption'!E$32=""),"",'Fuel consumption'!E$32 * VLOOKUP($B57,'A1.3.10'!$S$28:$AE$58,10,))))</f>
        <v>0.29422449618924201</v>
      </c>
      <c r="AH57" s="611">
        <f>IF($B57&lt;'A1.3.10'!$S$28,"",IF($B57&gt;'A1.3.10'!$S$58,AH56,IF(OR(VLOOKUP($B57,'A1.3.10'!$S$28:$AE$58,10,)="",'Fuel consumption'!F$32=""),"",'Fuel consumption'!F$32 * VLOOKUP($B57,'A1.3.10'!$S$28:$AE$58,10,))))</f>
        <v>-1.9493920679616401E-3</v>
      </c>
      <c r="AI57" s="1578">
        <f>IF($B57&lt;'A1.3.10'!$S$28,"",IF($B57&gt;'A1.3.10'!$S$58,AI56,IF(OR(VLOOKUP($B57,'A1.3.10'!$S$28:$AE$58,10,)="",'Fuel consumption'!G$32=""),"",'Fuel consumption'!G$32 * VLOOKUP($B57,'A1.3.10'!$S$28:$AE$58,10,))))</f>
        <v>1.1619187345164999E-5</v>
      </c>
      <c r="AJ57" s="610">
        <f>IF($B57&lt;'A1.3.10'!$S$28,"",IF($B57&gt;'A1.3.10'!$S$58,AJ56,IF(OR(VLOOKUP($B57,'A1.3.10'!$S$28:$AE$58,12,)="",'Fuel consumption'!D$33=""),"",'Fuel consumption'!D$33 * VLOOKUP($B57,'A1.3.10'!$S$28:$AE$58,12,))))</f>
        <v>3.3601870156891001</v>
      </c>
      <c r="AK57" s="611">
        <f>IF($B57&lt;'A1.3.10'!$S$28,"",IF($B57&gt;'A1.3.10'!$S$58,AK56,IF(OR(VLOOKUP($B57,'A1.3.10'!$S$28:$AE$58,12,)="",'Fuel consumption'!E$33=""),"",'Fuel consumption'!E$33 * VLOOKUP($B57,'A1.3.10'!$S$28:$AE$58,12,))))</f>
        <v>0.29524938703213599</v>
      </c>
      <c r="AL57" s="611">
        <f>IF($B57&lt;'A1.3.10'!$S$28,"",IF($B57&gt;'A1.3.10'!$S$58,AL56,IF(OR(VLOOKUP($B57,'A1.3.10'!$S$28:$AE$58,12,)="",'Fuel consumption'!F$33=""),"",'Fuel consumption'!F$33 * VLOOKUP($B57,'A1.3.10'!$S$28:$AE$58,12,))))</f>
        <v>-3.20909768342738E-3</v>
      </c>
      <c r="AM57" s="1578">
        <f>IF($B57&lt;'A1.3.10'!$S$28,"",IF($B57&gt;'A1.3.10'!$S$58,AM56,IF(OR(VLOOKUP($B57,'A1.3.10'!$S$28:$AE$58,12,)="",'Fuel consumption'!G$33=""),"",'Fuel consumption'!G$33 * VLOOKUP($B57,'A1.3.10'!$S$28:$AE$58,12,))))</f>
        <v>2.3540043227716499E-5</v>
      </c>
    </row>
    <row r="58" spans="1:39" ht="13.5" customHeight="1">
      <c r="A58" s="623"/>
      <c r="B58" s="614">
        <f t="shared" si="2"/>
        <v>2042</v>
      </c>
      <c r="C58" s="609"/>
      <c r="D58" s="2484">
        <f>IF($B58&lt;'A1.3.10'!$S$28,"",IF($B58&gt;'A1.3.10'!$S$58,D57,IF(OR(VLOOKUP($B58,'A1.3.10'!$S$28:$AE$58,2,)="",'Fuel consumption'!D$27=""),"",'Fuel consumption'!D$27 * VLOOKUP($B58,'A1.3.10'!$S$28:$AE$58,2,))))</f>
        <v>0.32527491364024624</v>
      </c>
      <c r="E58" s="2485">
        <f>IF($B58&lt;'A1.3.10'!$S$28,"",IF($B58&gt;'A1.3.10'!$S$58,E57,IF(OR(VLOOKUP($B58,'A1.3.10'!$S$28:$AE$58,2,)="",'Fuel consumption'!E$27=""),"",'Fuel consumption'!E$27 * VLOOKUP($B58,'A1.3.10'!$S$28:$AE$58,2,))))</f>
        <v>6.9126195403069218E-2</v>
      </c>
      <c r="F58" s="2485">
        <f>IF($B58&lt;'A1.3.10'!$S$28,"",IF($B58&gt;'A1.3.10'!$S$58,F57,IF(OR(VLOOKUP($B58,'A1.3.10'!$S$28:$AE$58,2,)="",'Fuel consumption'!F$27=""),"",'Fuel consumption'!F$27 * VLOOKUP($B58,'A1.3.10'!$S$28:$AE$58,2,))))</f>
        <v>-7.8742934140708519E-4</v>
      </c>
      <c r="G58" s="2642">
        <f>IF($B58&lt;'A1.3.10'!$S$28,"",IF($B58&gt;'A1.3.10'!$S$58,G57,IF(OR(VLOOKUP($B58,'A1.3.10'!$S$28:$AE$58,2,)="",'Fuel consumption'!G$27=""),"",'Fuel consumption'!G$27 * VLOOKUP($B58,'A1.3.10'!$S$28:$AE$58,2,))))</f>
        <v>5.2150811705064693E-6</v>
      </c>
      <c r="H58" s="2486">
        <f>IF($B58&lt;'A1.3.10'!$S$28,"",IF($B58&gt;'A1.3.10'!$S$58,H57,IF(OR(VLOOKUP($B58,'A1.3.10'!$S$28:$AE$58,3,)="",'Fuel consumption'!D$28=""),"",'Fuel consumption'!D$28  * VLOOKUP($B58,'A1.3.10'!$S$28:$AE$58,3,))))</f>
        <v>0.38728007442052015</v>
      </c>
      <c r="I58" s="2487">
        <f>IF($B58&lt;'A1.3.10'!$S$28,"",IF($B58&gt;'A1.3.10'!$S$58,I57,IF(OR(VLOOKUP($B58,'A1.3.10'!$S$28:$AE$58,3,)="",'Fuel consumption'!E$28=""),"",'Fuel consumption'!E$28  * VLOOKUP($B58,'A1.3.10'!$S$28:$AE$58,3,))))</f>
        <v>5.5526385246550972E-2</v>
      </c>
      <c r="J58" s="2487">
        <f>IF($B58&lt;'A1.3.10'!$S$28,"",IF($B58&gt;'A1.3.10'!$S$58,J57,IF(OR(VLOOKUP($B58,'A1.3.10'!$S$28:$AE$58,3,)="",'Fuel consumption'!F$28=""),"",'Fuel consumption'!F$28  * VLOOKUP($B58,'A1.3.10'!$S$28:$AE$58,3,))))</f>
        <v>-5.3417929464962704E-4</v>
      </c>
      <c r="K58" s="2642">
        <f>IF($B58&lt;'A1.3.10'!$S$28,"",IF($B58&gt;'A1.3.10'!$S$58,K57,IF(OR(VLOOKUP($B58,'A1.3.10'!$S$28:$AE$58,3,)="",'Fuel consumption'!G$28=""),"",'Fuel consumption'!G$28  * VLOOKUP($B58,'A1.3.10'!$S$28:$AE$58,3,))))</f>
        <v>4.2093596420141842E-6</v>
      </c>
      <c r="L58" s="2486" t="str">
        <f>IF($B58&lt;'A1.3.10'!$S$28,"",IF($B58&gt;'A1.3.10'!$S$58,L57,IF(OR(VLOOKUP($B58,'A1.3.10'!$S$28:$AE$58,4,)="", 'Fuel consumption'!D$36=""),"",'Fuel consumption'!D$36 * VLOOKUP($B58,'A1.3.10'!$S$28:$AE$58,4,))))</f>
        <v/>
      </c>
      <c r="M58" s="2487">
        <f>IF($B58&lt;'A1.3.10'!$S$28,"",IF($B58&gt;'A1.3.10'!$S$58,M57,IF(OR(VLOOKUP($B58,'A1.3.10'!$S$28:$AE$58,4,)="", 'Fuel consumption'!E$36=""),"",'Fuel consumption'!E$36 * VLOOKUP($B58,'A1.3.10'!$S$28:$AE$58,4,))))</f>
        <v>0.12679510393803953</v>
      </c>
      <c r="N58" s="614" t="str">
        <f>IF($B58&lt;'A1.3.10'!$S$28,"",IF($B58&gt;'A1.3.10'!$S$58,N57,IF(OR(VLOOKUP($B58,'A1.3.10'!$S$28:$AE$58,4,)="", 'Fuel consumption'!F$36=""),"",'Fuel consumption'!F$36 * VLOOKUP($B58,'A1.3.10'!$S$28:$AE$58,4,))))</f>
        <v/>
      </c>
      <c r="O58" s="612" t="str">
        <f>IF($B58&lt;'A1.3.10'!$S$28,"",IF($B58&gt;'A1.3.10'!$S$58,O57,IF(OR(VLOOKUP($B58,'A1.3.10'!$S$28:$AE$58,4,)="", 'Fuel consumption'!G$36=""),"",'Fuel consumption'!G$36 * VLOOKUP($B58,'A1.3.10'!$S$28:$AE$58,4,))))</f>
        <v/>
      </c>
      <c r="P58" s="610">
        <f>IF($B58&lt;'A1.3.10'!$S$28,"",IF($B58&gt;'A1.3.10'!$S$58,P57,IF(OR(VLOOKUP($B58,'A1.3.10'!$S$28:$AE$58,5,)="",'Fuel consumption'!D$29=""),"",'Fuel consumption'!D$29 * VLOOKUP($B58,'A1.3.10'!$S$28:$AE$58,5,))))</f>
        <v>0.23398100209323003</v>
      </c>
      <c r="Q58" s="611">
        <f>IF($B58&lt;'A1.3.10'!$S$28,"",IF($B58&gt;'A1.3.10'!$S$58,Q57,IF(OR(VLOOKUP($B58,'A1.3.10'!$S$28:$AE$58,5,)="",'Fuel consumption'!E$29=""),"",'Fuel consumption'!E$29 * VLOOKUP($B58,'A1.3.10'!$S$28:$AE$58,5,))))</f>
        <v>0.13120300165283155</v>
      </c>
      <c r="R58" s="611">
        <f>IF($B58&lt;'A1.3.10'!$S$28,"",IF($B58&gt;'A1.3.10'!$S$58,R57,IF(OR(VLOOKUP($B58,'A1.3.10'!$S$28:$AE$58,5,)="",'Fuel consumption'!F$29=""),"",'Fuel consumption'!F$29 * VLOOKUP($B58,'A1.3.10'!$S$28:$AE$58,5,))))</f>
        <v>-2.0594564659300405E-3</v>
      </c>
      <c r="S58" s="2642">
        <f>IF($B58&lt;'A1.3.10'!$S$28,"",IF($B58&gt;'A1.3.10'!$S$58,S57,IF(OR(VLOOKUP($B58,'A1.3.10'!$S$28:$AE$58,5,)="",'Fuel consumption'!G$29=""),"",'Fuel consumption'!G$29 * VLOOKUP($B58,'A1.3.10'!$S$28:$AE$58,5,))))</f>
        <v>1.3300046823685748E-5</v>
      </c>
      <c r="T58" s="610">
        <f>IF($B58&lt;'A1.3.10'!$S$28,"",IF($B58&gt;'A1.3.10'!$S$58,T57,IF(OR(VLOOKUP($B58,'A1.3.10'!$S$28:$AE$58,6,)="",'Fuel consumption'!D$30=""),"",'Fuel consumption'!D$30 * VLOOKUP($B58,'A1.3.10'!$S$28:$AE$58,6,))))</f>
        <v>0.3988609037344879</v>
      </c>
      <c r="U58" s="611">
        <f>IF($B58&lt;'A1.3.10'!$S$28,"",IF($B58&gt;'A1.3.10'!$S$58,U57,IF(OR(VLOOKUP($B58,'A1.3.10'!$S$28:$AE$58,6,)="",'Fuel consumption'!E$30=""),"",'Fuel consumption'!E$30 * VLOOKUP($B58,'A1.3.10'!$S$28:$AE$58,6,))))</f>
        <v>9.7483230363204512E-2</v>
      </c>
      <c r="V58" s="611">
        <f>IF($B58&lt;'A1.3.10'!$S$28,"",IF($B58&gt;'A1.3.10'!$S$58,V57,IF(OR(VLOOKUP($B58,'A1.3.10'!$S$28:$AE$58,6,)="",'Fuel consumption'!F$30=""),"",'Fuel consumption'!F$30 * VLOOKUP($B58,'A1.3.10'!$S$28:$AE$58,6,))))</f>
        <v>-1.4063727682028522E-3</v>
      </c>
      <c r="W58" s="2642">
        <f>IF($B58&lt;'A1.3.10'!$S$28,"",IF($B58&gt;'A1.3.10'!$S$58,W57,IF(OR(VLOOKUP($B58,'A1.3.10'!$S$28:$AE$58,6,)="",'Fuel consumption'!G$30=""),"",'Fuel consumption'!G$30 * VLOOKUP($B58,'A1.3.10'!$S$28:$AE$58,6,))))</f>
        <v>1.1906400891809692E-5</v>
      </c>
      <c r="X58" s="3144"/>
      <c r="Y58" s="2487">
        <f>IF($B58&lt;'A1.3.10'!$S$28,"",IF($B58&gt;'A1.3.10'!$S$58,Y57,IF(OR(VLOOKUP($B58,'A1.3.10'!$S$28:$AE$58,7,)="", 'Fuel consumption'!E$37=""),"",'Fuel consumption'!E$37 * VLOOKUP($B58,'A1.3.10'!$S$28:$AE$58,7,))))</f>
        <v>0.29149401103980166</v>
      </c>
      <c r="Z58" s="2642"/>
      <c r="AA58" s="2642"/>
      <c r="AB58" s="610">
        <f>IF($B58&lt;'A1.3.10'!$S$28,"",IF($B58&gt;'A1.3.10'!$S$58,AB57,IF(OR(VLOOKUP($B58,'A1.3.10'!$S$28:$AE$58,8,)="",'Fuel consumption'!D$31=""),"",'Fuel consumption'!D$31 * VLOOKUP($B58,'A1.3.10'!$S$28:$AE$58,8,))))</f>
        <v>2.6962848686626804</v>
      </c>
      <c r="AC58" s="611">
        <f>IF($B58&lt;'A1.3.10'!$S$28,"",IF($B58&gt;'A1.3.10'!$S$58,AC57,IF(OR(VLOOKUP($B58,'A1.3.10'!$S$28:$AE$58,8,)="",'Fuel consumption'!E$31=""),"",'Fuel consumption'!E$31 * VLOOKUP($B58,'A1.3.10'!$S$28:$AE$58,8,))))</f>
        <v>0.143057339771858</v>
      </c>
      <c r="AD58" s="611">
        <f>IF($B58&lt;'A1.3.10'!$S$28,"",IF($B58&gt;'A1.3.10'!$S$58,AD57,IF(OR(VLOOKUP($B58,'A1.3.10'!$S$28:$AE$58,8,)="",'Fuel consumption'!F$31=""),"",'Fuel consumption'!F$31 * VLOOKUP($B58,'A1.3.10'!$S$28:$AE$58,8,))))</f>
        <v>-1.0340193601785499E-3</v>
      </c>
      <c r="AE58" s="2642">
        <f>IF($B58&lt;'A1.3.10'!$S$28,"",IF($B58&gt;'A1.3.10'!$S$58,AE57,IF(OR(VLOOKUP($B58,'A1.3.10'!$S$28:$AE$58,8,)="",'Fuel consumption'!G$31=""),"",'Fuel consumption'!G$31 * VLOOKUP($B58,'A1.3.10'!$S$28:$AE$58,8,))))</f>
        <v>1.1293150500864199E-5</v>
      </c>
      <c r="AF58" s="610">
        <f>IF($B58&lt;'A1.3.10'!$S$28,"",IF($B58&gt;'A1.3.10'!$S$58,AF57,IF(OR(VLOOKUP($B58,'A1.3.10'!$S$28:$AE$58,10,)="",'Fuel consumption'!D$32=""),"",'Fuel consumption'!D$32 * VLOOKUP($B58,'A1.3.10'!$S$28:$AE$58,10,))))</f>
        <v>5.6655970981789903</v>
      </c>
      <c r="AG58" s="611">
        <f>IF($B58&lt;'A1.3.10'!$S$28,"",IF($B58&gt;'A1.3.10'!$S$58,AG57,IF(OR(VLOOKUP($B58,'A1.3.10'!$S$28:$AE$58,10,)="",'Fuel consumption'!E$32=""),"",'Fuel consumption'!E$32 * VLOOKUP($B58,'A1.3.10'!$S$28:$AE$58,10,))))</f>
        <v>0.29422449618924201</v>
      </c>
      <c r="AH58" s="611">
        <f>IF($B58&lt;'A1.3.10'!$S$28,"",IF($B58&gt;'A1.3.10'!$S$58,AH57,IF(OR(VLOOKUP($B58,'A1.3.10'!$S$28:$AE$58,10,)="",'Fuel consumption'!F$32=""),"",'Fuel consumption'!F$32 * VLOOKUP($B58,'A1.3.10'!$S$28:$AE$58,10,))))</f>
        <v>-1.9493920679616401E-3</v>
      </c>
      <c r="AI58" s="1578">
        <f>IF($B58&lt;'A1.3.10'!$S$28,"",IF($B58&gt;'A1.3.10'!$S$58,AI57,IF(OR(VLOOKUP($B58,'A1.3.10'!$S$28:$AE$58,10,)="",'Fuel consumption'!G$32=""),"",'Fuel consumption'!G$32 * VLOOKUP($B58,'A1.3.10'!$S$28:$AE$58,10,))))</f>
        <v>1.1619187345164999E-5</v>
      </c>
      <c r="AJ58" s="610">
        <f>IF($B58&lt;'A1.3.10'!$S$28,"",IF($B58&gt;'A1.3.10'!$S$58,AJ57,IF(OR(VLOOKUP($B58,'A1.3.10'!$S$28:$AE$58,12,)="",'Fuel consumption'!D$33=""),"",'Fuel consumption'!D$33 * VLOOKUP($B58,'A1.3.10'!$S$28:$AE$58,12,))))</f>
        <v>3.3601870156891001</v>
      </c>
      <c r="AK58" s="611">
        <f>IF($B58&lt;'A1.3.10'!$S$28,"",IF($B58&gt;'A1.3.10'!$S$58,AK57,IF(OR(VLOOKUP($B58,'A1.3.10'!$S$28:$AE$58,12,)="",'Fuel consumption'!E$33=""),"",'Fuel consumption'!E$33 * VLOOKUP($B58,'A1.3.10'!$S$28:$AE$58,12,))))</f>
        <v>0.29524938703213599</v>
      </c>
      <c r="AL58" s="611">
        <f>IF($B58&lt;'A1.3.10'!$S$28,"",IF($B58&gt;'A1.3.10'!$S$58,AL57,IF(OR(VLOOKUP($B58,'A1.3.10'!$S$28:$AE$58,12,)="",'Fuel consumption'!F$33=""),"",'Fuel consumption'!F$33 * VLOOKUP($B58,'A1.3.10'!$S$28:$AE$58,12,))))</f>
        <v>-3.20909768342738E-3</v>
      </c>
      <c r="AM58" s="1578">
        <f>IF($B58&lt;'A1.3.10'!$S$28,"",IF($B58&gt;'A1.3.10'!$S$58,AM57,IF(OR(VLOOKUP($B58,'A1.3.10'!$S$28:$AE$58,12,)="",'Fuel consumption'!G$33=""),"",'Fuel consumption'!G$33 * VLOOKUP($B58,'A1.3.10'!$S$28:$AE$58,12,))))</f>
        <v>2.3540043227716499E-5</v>
      </c>
    </row>
    <row r="59" spans="1:39" ht="13.5" customHeight="1">
      <c r="A59" s="623"/>
      <c r="B59" s="614">
        <f t="shared" ref="B59:B85" si="3">B58+1</f>
        <v>2043</v>
      </c>
      <c r="C59" s="609"/>
      <c r="D59" s="2484">
        <f>IF($B59&lt;'A1.3.10'!$S$28,"",IF($B59&gt;'A1.3.10'!$S$58,D58,IF(OR(VLOOKUP($B59,'A1.3.10'!$S$28:$AE$58,2,)="",'Fuel consumption'!D$27=""),"",'Fuel consumption'!D$27 * VLOOKUP($B59,'A1.3.10'!$S$28:$AE$58,2,))))</f>
        <v>0.32527491364024624</v>
      </c>
      <c r="E59" s="2485">
        <f>IF($B59&lt;'A1.3.10'!$S$28,"",IF($B59&gt;'A1.3.10'!$S$58,E58,IF(OR(VLOOKUP($B59,'A1.3.10'!$S$28:$AE$58,2,)="",'Fuel consumption'!E$27=""),"",'Fuel consumption'!E$27 * VLOOKUP($B59,'A1.3.10'!$S$28:$AE$58,2,))))</f>
        <v>6.9126195403069218E-2</v>
      </c>
      <c r="F59" s="2485">
        <f>IF($B59&lt;'A1.3.10'!$S$28,"",IF($B59&gt;'A1.3.10'!$S$58,F58,IF(OR(VLOOKUP($B59,'A1.3.10'!$S$28:$AE$58,2,)="",'Fuel consumption'!F$27=""),"",'Fuel consumption'!F$27 * VLOOKUP($B59,'A1.3.10'!$S$28:$AE$58,2,))))</f>
        <v>-7.8742934140708519E-4</v>
      </c>
      <c r="G59" s="2642">
        <f>IF($B59&lt;'A1.3.10'!$S$28,"",IF($B59&gt;'A1.3.10'!$S$58,G58,IF(OR(VLOOKUP($B59,'A1.3.10'!$S$28:$AE$58,2,)="",'Fuel consumption'!G$27=""),"",'Fuel consumption'!G$27 * VLOOKUP($B59,'A1.3.10'!$S$28:$AE$58,2,))))</f>
        <v>5.2150811705064693E-6</v>
      </c>
      <c r="H59" s="2486">
        <f>IF($B59&lt;'A1.3.10'!$S$28,"",IF($B59&gt;'A1.3.10'!$S$58,H58,IF(OR(VLOOKUP($B59,'A1.3.10'!$S$28:$AE$58,3,)="",'Fuel consumption'!D$28=""),"",'Fuel consumption'!D$28  * VLOOKUP($B59,'A1.3.10'!$S$28:$AE$58,3,))))</f>
        <v>0.38728007442052015</v>
      </c>
      <c r="I59" s="2487">
        <f>IF($B59&lt;'A1.3.10'!$S$28,"",IF($B59&gt;'A1.3.10'!$S$58,I58,IF(OR(VLOOKUP($B59,'A1.3.10'!$S$28:$AE$58,3,)="",'Fuel consumption'!E$28=""),"",'Fuel consumption'!E$28  * VLOOKUP($B59,'A1.3.10'!$S$28:$AE$58,3,))))</f>
        <v>5.5526385246550972E-2</v>
      </c>
      <c r="J59" s="2487">
        <f>IF($B59&lt;'A1.3.10'!$S$28,"",IF($B59&gt;'A1.3.10'!$S$58,J58,IF(OR(VLOOKUP($B59,'A1.3.10'!$S$28:$AE$58,3,)="",'Fuel consumption'!F$28=""),"",'Fuel consumption'!F$28  * VLOOKUP($B59,'A1.3.10'!$S$28:$AE$58,3,))))</f>
        <v>-5.3417929464962704E-4</v>
      </c>
      <c r="K59" s="2642">
        <f>IF($B59&lt;'A1.3.10'!$S$28,"",IF($B59&gt;'A1.3.10'!$S$58,K58,IF(OR(VLOOKUP($B59,'A1.3.10'!$S$28:$AE$58,3,)="",'Fuel consumption'!G$28=""),"",'Fuel consumption'!G$28  * VLOOKUP($B59,'A1.3.10'!$S$28:$AE$58,3,))))</f>
        <v>4.2093596420141842E-6</v>
      </c>
      <c r="L59" s="2486" t="str">
        <f>IF($B59&lt;'A1.3.10'!$S$28,"",IF($B59&gt;'A1.3.10'!$S$58,L58,IF(OR(VLOOKUP($B59,'A1.3.10'!$S$28:$AE$58,4,)="", 'Fuel consumption'!D$36=""),"",'Fuel consumption'!D$36 * VLOOKUP($B59,'A1.3.10'!$S$28:$AE$58,4,))))</f>
        <v/>
      </c>
      <c r="M59" s="2487">
        <f>IF($B59&lt;'A1.3.10'!$S$28,"",IF($B59&gt;'A1.3.10'!$S$58,M58,IF(OR(VLOOKUP($B59,'A1.3.10'!$S$28:$AE$58,4,)="", 'Fuel consumption'!E$36=""),"",'Fuel consumption'!E$36 * VLOOKUP($B59,'A1.3.10'!$S$28:$AE$58,4,))))</f>
        <v>0.12679510393803953</v>
      </c>
      <c r="N59" s="614" t="str">
        <f>IF($B59&lt;'A1.3.10'!$S$28,"",IF($B59&gt;'A1.3.10'!$S$58,N58,IF(OR(VLOOKUP($B59,'A1.3.10'!$S$28:$AE$58,4,)="", 'Fuel consumption'!F$36=""),"",'Fuel consumption'!F$36 * VLOOKUP($B59,'A1.3.10'!$S$28:$AE$58,4,))))</f>
        <v/>
      </c>
      <c r="O59" s="612" t="str">
        <f>IF($B59&lt;'A1.3.10'!$S$28,"",IF($B59&gt;'A1.3.10'!$S$58,O58,IF(OR(VLOOKUP($B59,'A1.3.10'!$S$28:$AE$58,4,)="", 'Fuel consumption'!G$36=""),"",'Fuel consumption'!G$36 * VLOOKUP($B59,'A1.3.10'!$S$28:$AE$58,4,))))</f>
        <v/>
      </c>
      <c r="P59" s="610">
        <f>IF($B59&lt;'A1.3.10'!$S$28,"",IF($B59&gt;'A1.3.10'!$S$58,P58,IF(OR(VLOOKUP($B59,'A1.3.10'!$S$28:$AE$58,5,)="",'Fuel consumption'!D$29=""),"",'Fuel consumption'!D$29 * VLOOKUP($B59,'A1.3.10'!$S$28:$AE$58,5,))))</f>
        <v>0.23398100209323003</v>
      </c>
      <c r="Q59" s="611">
        <f>IF($B59&lt;'A1.3.10'!$S$28,"",IF($B59&gt;'A1.3.10'!$S$58,Q58,IF(OR(VLOOKUP($B59,'A1.3.10'!$S$28:$AE$58,5,)="",'Fuel consumption'!E$29=""),"",'Fuel consumption'!E$29 * VLOOKUP($B59,'A1.3.10'!$S$28:$AE$58,5,))))</f>
        <v>0.13120300165283155</v>
      </c>
      <c r="R59" s="611">
        <f>IF($B59&lt;'A1.3.10'!$S$28,"",IF($B59&gt;'A1.3.10'!$S$58,R58,IF(OR(VLOOKUP($B59,'A1.3.10'!$S$28:$AE$58,5,)="",'Fuel consumption'!F$29=""),"",'Fuel consumption'!F$29 * VLOOKUP($B59,'A1.3.10'!$S$28:$AE$58,5,))))</f>
        <v>-2.0594564659300405E-3</v>
      </c>
      <c r="S59" s="2642">
        <f>IF($B59&lt;'A1.3.10'!$S$28,"",IF($B59&gt;'A1.3.10'!$S$58,S58,IF(OR(VLOOKUP($B59,'A1.3.10'!$S$28:$AE$58,5,)="",'Fuel consumption'!G$29=""),"",'Fuel consumption'!G$29 * VLOOKUP($B59,'A1.3.10'!$S$28:$AE$58,5,))))</f>
        <v>1.3300046823685748E-5</v>
      </c>
      <c r="T59" s="610">
        <f>IF($B59&lt;'A1.3.10'!$S$28,"",IF($B59&gt;'A1.3.10'!$S$58,T58,IF(OR(VLOOKUP($B59,'A1.3.10'!$S$28:$AE$58,6,)="",'Fuel consumption'!D$30=""),"",'Fuel consumption'!D$30 * VLOOKUP($B59,'A1.3.10'!$S$28:$AE$58,6,))))</f>
        <v>0.3988609037344879</v>
      </c>
      <c r="U59" s="611">
        <f>IF($B59&lt;'A1.3.10'!$S$28,"",IF($B59&gt;'A1.3.10'!$S$58,U58,IF(OR(VLOOKUP($B59,'A1.3.10'!$S$28:$AE$58,6,)="",'Fuel consumption'!E$30=""),"",'Fuel consumption'!E$30 * VLOOKUP($B59,'A1.3.10'!$S$28:$AE$58,6,))))</f>
        <v>9.7483230363204512E-2</v>
      </c>
      <c r="V59" s="611">
        <f>IF($B59&lt;'A1.3.10'!$S$28,"",IF($B59&gt;'A1.3.10'!$S$58,V58,IF(OR(VLOOKUP($B59,'A1.3.10'!$S$28:$AE$58,6,)="",'Fuel consumption'!F$30=""),"",'Fuel consumption'!F$30 * VLOOKUP($B59,'A1.3.10'!$S$28:$AE$58,6,))))</f>
        <v>-1.4063727682028522E-3</v>
      </c>
      <c r="W59" s="2642">
        <f>IF($B59&lt;'A1.3.10'!$S$28,"",IF($B59&gt;'A1.3.10'!$S$58,W58,IF(OR(VLOOKUP($B59,'A1.3.10'!$S$28:$AE$58,6,)="",'Fuel consumption'!G$30=""),"",'Fuel consumption'!G$30 * VLOOKUP($B59,'A1.3.10'!$S$28:$AE$58,6,))))</f>
        <v>1.1906400891809692E-5</v>
      </c>
      <c r="X59" s="3144"/>
      <c r="Y59" s="2487">
        <f>IF($B59&lt;'A1.3.10'!$S$28,"",IF($B59&gt;'A1.3.10'!$S$58,Y58,IF(OR(VLOOKUP($B59,'A1.3.10'!$S$28:$AE$58,7,)="", 'Fuel consumption'!E$37=""),"",'Fuel consumption'!E$37 * VLOOKUP($B59,'A1.3.10'!$S$28:$AE$58,7,))))</f>
        <v>0.29149401103980166</v>
      </c>
      <c r="Z59" s="2642"/>
      <c r="AA59" s="2642"/>
      <c r="AB59" s="610">
        <f>IF($B59&lt;'A1.3.10'!$S$28,"",IF($B59&gt;'A1.3.10'!$S$58,AB58,IF(OR(VLOOKUP($B59,'A1.3.10'!$S$28:$AE$58,8,)="",'Fuel consumption'!D$31=""),"",'Fuel consumption'!D$31 * VLOOKUP($B59,'A1.3.10'!$S$28:$AE$58,8,))))</f>
        <v>2.6962848686626804</v>
      </c>
      <c r="AC59" s="611">
        <f>IF($B59&lt;'A1.3.10'!$S$28,"",IF($B59&gt;'A1.3.10'!$S$58,AC58,IF(OR(VLOOKUP($B59,'A1.3.10'!$S$28:$AE$58,8,)="",'Fuel consumption'!E$31=""),"",'Fuel consumption'!E$31 * VLOOKUP($B59,'A1.3.10'!$S$28:$AE$58,8,))))</f>
        <v>0.143057339771858</v>
      </c>
      <c r="AD59" s="611">
        <f>IF($B59&lt;'A1.3.10'!$S$28,"",IF($B59&gt;'A1.3.10'!$S$58,AD58,IF(OR(VLOOKUP($B59,'A1.3.10'!$S$28:$AE$58,8,)="",'Fuel consumption'!F$31=""),"",'Fuel consumption'!F$31 * VLOOKUP($B59,'A1.3.10'!$S$28:$AE$58,8,))))</f>
        <v>-1.0340193601785499E-3</v>
      </c>
      <c r="AE59" s="2642">
        <f>IF($B59&lt;'A1.3.10'!$S$28,"",IF($B59&gt;'A1.3.10'!$S$58,AE58,IF(OR(VLOOKUP($B59,'A1.3.10'!$S$28:$AE$58,8,)="",'Fuel consumption'!G$31=""),"",'Fuel consumption'!G$31 * VLOOKUP($B59,'A1.3.10'!$S$28:$AE$58,8,))))</f>
        <v>1.1293150500864199E-5</v>
      </c>
      <c r="AF59" s="610">
        <f>IF($B59&lt;'A1.3.10'!$S$28,"",IF($B59&gt;'A1.3.10'!$S$58,AF58,IF(OR(VLOOKUP($B59,'A1.3.10'!$S$28:$AE$58,10,)="",'Fuel consumption'!D$32=""),"",'Fuel consumption'!D$32 * VLOOKUP($B59,'A1.3.10'!$S$28:$AE$58,10,))))</f>
        <v>5.6655970981789903</v>
      </c>
      <c r="AG59" s="611">
        <f>IF($B59&lt;'A1.3.10'!$S$28,"",IF($B59&gt;'A1.3.10'!$S$58,AG58,IF(OR(VLOOKUP($B59,'A1.3.10'!$S$28:$AE$58,10,)="",'Fuel consumption'!E$32=""),"",'Fuel consumption'!E$32 * VLOOKUP($B59,'A1.3.10'!$S$28:$AE$58,10,))))</f>
        <v>0.29422449618924201</v>
      </c>
      <c r="AH59" s="611">
        <f>IF($B59&lt;'A1.3.10'!$S$28,"",IF($B59&gt;'A1.3.10'!$S$58,AH58,IF(OR(VLOOKUP($B59,'A1.3.10'!$S$28:$AE$58,10,)="",'Fuel consumption'!F$32=""),"",'Fuel consumption'!F$32 * VLOOKUP($B59,'A1.3.10'!$S$28:$AE$58,10,))))</f>
        <v>-1.9493920679616401E-3</v>
      </c>
      <c r="AI59" s="1578">
        <f>IF($B59&lt;'A1.3.10'!$S$28,"",IF($B59&gt;'A1.3.10'!$S$58,AI58,IF(OR(VLOOKUP($B59,'A1.3.10'!$S$28:$AE$58,10,)="",'Fuel consumption'!G$32=""),"",'Fuel consumption'!G$32 * VLOOKUP($B59,'A1.3.10'!$S$28:$AE$58,10,))))</f>
        <v>1.1619187345164999E-5</v>
      </c>
      <c r="AJ59" s="610">
        <f>IF($B59&lt;'A1.3.10'!$S$28,"",IF($B59&gt;'A1.3.10'!$S$58,AJ58,IF(OR(VLOOKUP($B59,'A1.3.10'!$S$28:$AE$58,12,)="",'Fuel consumption'!D$33=""),"",'Fuel consumption'!D$33 * VLOOKUP($B59,'A1.3.10'!$S$28:$AE$58,12,))))</f>
        <v>3.3601870156891001</v>
      </c>
      <c r="AK59" s="611">
        <f>IF($B59&lt;'A1.3.10'!$S$28,"",IF($B59&gt;'A1.3.10'!$S$58,AK58,IF(OR(VLOOKUP($B59,'A1.3.10'!$S$28:$AE$58,12,)="",'Fuel consumption'!E$33=""),"",'Fuel consumption'!E$33 * VLOOKUP($B59,'A1.3.10'!$S$28:$AE$58,12,))))</f>
        <v>0.29524938703213599</v>
      </c>
      <c r="AL59" s="611">
        <f>IF($B59&lt;'A1.3.10'!$S$28,"",IF($B59&gt;'A1.3.10'!$S$58,AL58,IF(OR(VLOOKUP($B59,'A1.3.10'!$S$28:$AE$58,12,)="",'Fuel consumption'!F$33=""),"",'Fuel consumption'!F$33 * VLOOKUP($B59,'A1.3.10'!$S$28:$AE$58,12,))))</f>
        <v>-3.20909768342738E-3</v>
      </c>
      <c r="AM59" s="1578">
        <f>IF($B59&lt;'A1.3.10'!$S$28,"",IF($B59&gt;'A1.3.10'!$S$58,AM58,IF(OR(VLOOKUP($B59,'A1.3.10'!$S$28:$AE$58,12,)="",'Fuel consumption'!G$33=""),"",'Fuel consumption'!G$33 * VLOOKUP($B59,'A1.3.10'!$S$28:$AE$58,12,))))</f>
        <v>2.3540043227716499E-5</v>
      </c>
    </row>
    <row r="60" spans="1:39" ht="13.5" customHeight="1">
      <c r="A60" s="623"/>
      <c r="B60" s="614">
        <f t="shared" si="3"/>
        <v>2044</v>
      </c>
      <c r="C60" s="609"/>
      <c r="D60" s="2484">
        <f>IF($B60&lt;'A1.3.10'!$S$28,"",IF($B60&gt;'A1.3.10'!$S$58,D59,IF(OR(VLOOKUP($B60,'A1.3.10'!$S$28:$AE$58,2,)="",'Fuel consumption'!D$27=""),"",'Fuel consumption'!D$27 * VLOOKUP($B60,'A1.3.10'!$S$28:$AE$58,2,))))</f>
        <v>0.32527491364024624</v>
      </c>
      <c r="E60" s="2485">
        <f>IF($B60&lt;'A1.3.10'!$S$28,"",IF($B60&gt;'A1.3.10'!$S$58,E59,IF(OR(VLOOKUP($B60,'A1.3.10'!$S$28:$AE$58,2,)="",'Fuel consumption'!E$27=""),"",'Fuel consumption'!E$27 * VLOOKUP($B60,'A1.3.10'!$S$28:$AE$58,2,))))</f>
        <v>6.9126195403069218E-2</v>
      </c>
      <c r="F60" s="2485">
        <f>IF($B60&lt;'A1.3.10'!$S$28,"",IF($B60&gt;'A1.3.10'!$S$58,F59,IF(OR(VLOOKUP($B60,'A1.3.10'!$S$28:$AE$58,2,)="",'Fuel consumption'!F$27=""),"",'Fuel consumption'!F$27 * VLOOKUP($B60,'A1.3.10'!$S$28:$AE$58,2,))))</f>
        <v>-7.8742934140708519E-4</v>
      </c>
      <c r="G60" s="2642">
        <f>IF($B60&lt;'A1.3.10'!$S$28,"",IF($B60&gt;'A1.3.10'!$S$58,G59,IF(OR(VLOOKUP($B60,'A1.3.10'!$S$28:$AE$58,2,)="",'Fuel consumption'!G$27=""),"",'Fuel consumption'!G$27 * VLOOKUP($B60,'A1.3.10'!$S$28:$AE$58,2,))))</f>
        <v>5.2150811705064693E-6</v>
      </c>
      <c r="H60" s="2486">
        <f>IF($B60&lt;'A1.3.10'!$S$28,"",IF($B60&gt;'A1.3.10'!$S$58,H59,IF(OR(VLOOKUP($B60,'A1.3.10'!$S$28:$AE$58,3,)="",'Fuel consumption'!D$28=""),"",'Fuel consumption'!D$28  * VLOOKUP($B60,'A1.3.10'!$S$28:$AE$58,3,))))</f>
        <v>0.38728007442052015</v>
      </c>
      <c r="I60" s="2487">
        <f>IF($B60&lt;'A1.3.10'!$S$28,"",IF($B60&gt;'A1.3.10'!$S$58,I59,IF(OR(VLOOKUP($B60,'A1.3.10'!$S$28:$AE$58,3,)="",'Fuel consumption'!E$28=""),"",'Fuel consumption'!E$28  * VLOOKUP($B60,'A1.3.10'!$S$28:$AE$58,3,))))</f>
        <v>5.5526385246550972E-2</v>
      </c>
      <c r="J60" s="2487">
        <f>IF($B60&lt;'A1.3.10'!$S$28,"",IF($B60&gt;'A1.3.10'!$S$58,J59,IF(OR(VLOOKUP($B60,'A1.3.10'!$S$28:$AE$58,3,)="",'Fuel consumption'!F$28=""),"",'Fuel consumption'!F$28  * VLOOKUP($B60,'A1.3.10'!$S$28:$AE$58,3,))))</f>
        <v>-5.3417929464962704E-4</v>
      </c>
      <c r="K60" s="2642">
        <f>IF($B60&lt;'A1.3.10'!$S$28,"",IF($B60&gt;'A1.3.10'!$S$58,K59,IF(OR(VLOOKUP($B60,'A1.3.10'!$S$28:$AE$58,3,)="",'Fuel consumption'!G$28=""),"",'Fuel consumption'!G$28  * VLOOKUP($B60,'A1.3.10'!$S$28:$AE$58,3,))))</f>
        <v>4.2093596420141842E-6</v>
      </c>
      <c r="L60" s="2486" t="str">
        <f>IF($B60&lt;'A1.3.10'!$S$28,"",IF($B60&gt;'A1.3.10'!$S$58,L59,IF(OR(VLOOKUP($B60,'A1.3.10'!$S$28:$AE$58,4,)="", 'Fuel consumption'!D$36=""),"",'Fuel consumption'!D$36 * VLOOKUP($B60,'A1.3.10'!$S$28:$AE$58,4,))))</f>
        <v/>
      </c>
      <c r="M60" s="2487">
        <f>IF($B60&lt;'A1.3.10'!$S$28,"",IF($B60&gt;'A1.3.10'!$S$58,M59,IF(OR(VLOOKUP($B60,'A1.3.10'!$S$28:$AE$58,4,)="", 'Fuel consumption'!E$36=""),"",'Fuel consumption'!E$36 * VLOOKUP($B60,'A1.3.10'!$S$28:$AE$58,4,))))</f>
        <v>0.12679510393803953</v>
      </c>
      <c r="N60" s="614" t="str">
        <f>IF($B60&lt;'A1.3.10'!$S$28,"",IF($B60&gt;'A1.3.10'!$S$58,N59,IF(OR(VLOOKUP($B60,'A1.3.10'!$S$28:$AE$58,4,)="", 'Fuel consumption'!F$36=""),"",'Fuel consumption'!F$36 * VLOOKUP($B60,'A1.3.10'!$S$28:$AE$58,4,))))</f>
        <v/>
      </c>
      <c r="O60" s="612" t="str">
        <f>IF($B60&lt;'A1.3.10'!$S$28,"",IF($B60&gt;'A1.3.10'!$S$58,O59,IF(OR(VLOOKUP($B60,'A1.3.10'!$S$28:$AE$58,4,)="", 'Fuel consumption'!G$36=""),"",'Fuel consumption'!G$36 * VLOOKUP($B60,'A1.3.10'!$S$28:$AE$58,4,))))</f>
        <v/>
      </c>
      <c r="P60" s="610">
        <f>IF($B60&lt;'A1.3.10'!$S$28,"",IF($B60&gt;'A1.3.10'!$S$58,P59,IF(OR(VLOOKUP($B60,'A1.3.10'!$S$28:$AE$58,5,)="",'Fuel consumption'!D$29=""),"",'Fuel consumption'!D$29 * VLOOKUP($B60,'A1.3.10'!$S$28:$AE$58,5,))))</f>
        <v>0.23398100209323003</v>
      </c>
      <c r="Q60" s="611">
        <f>IF($B60&lt;'A1.3.10'!$S$28,"",IF($B60&gt;'A1.3.10'!$S$58,Q59,IF(OR(VLOOKUP($B60,'A1.3.10'!$S$28:$AE$58,5,)="",'Fuel consumption'!E$29=""),"",'Fuel consumption'!E$29 * VLOOKUP($B60,'A1.3.10'!$S$28:$AE$58,5,))))</f>
        <v>0.13120300165283155</v>
      </c>
      <c r="R60" s="611">
        <f>IF($B60&lt;'A1.3.10'!$S$28,"",IF($B60&gt;'A1.3.10'!$S$58,R59,IF(OR(VLOOKUP($B60,'A1.3.10'!$S$28:$AE$58,5,)="",'Fuel consumption'!F$29=""),"",'Fuel consumption'!F$29 * VLOOKUP($B60,'A1.3.10'!$S$28:$AE$58,5,))))</f>
        <v>-2.0594564659300405E-3</v>
      </c>
      <c r="S60" s="2642">
        <f>IF($B60&lt;'A1.3.10'!$S$28,"",IF($B60&gt;'A1.3.10'!$S$58,S59,IF(OR(VLOOKUP($B60,'A1.3.10'!$S$28:$AE$58,5,)="",'Fuel consumption'!G$29=""),"",'Fuel consumption'!G$29 * VLOOKUP($B60,'A1.3.10'!$S$28:$AE$58,5,))))</f>
        <v>1.3300046823685748E-5</v>
      </c>
      <c r="T60" s="610">
        <f>IF($B60&lt;'A1.3.10'!$S$28,"",IF($B60&gt;'A1.3.10'!$S$58,T59,IF(OR(VLOOKUP($B60,'A1.3.10'!$S$28:$AE$58,6,)="",'Fuel consumption'!D$30=""),"",'Fuel consumption'!D$30 * VLOOKUP($B60,'A1.3.10'!$S$28:$AE$58,6,))))</f>
        <v>0.3988609037344879</v>
      </c>
      <c r="U60" s="611">
        <f>IF($B60&lt;'A1.3.10'!$S$28,"",IF($B60&gt;'A1.3.10'!$S$58,U59,IF(OR(VLOOKUP($B60,'A1.3.10'!$S$28:$AE$58,6,)="",'Fuel consumption'!E$30=""),"",'Fuel consumption'!E$30 * VLOOKUP($B60,'A1.3.10'!$S$28:$AE$58,6,))))</f>
        <v>9.7483230363204512E-2</v>
      </c>
      <c r="V60" s="611">
        <f>IF($B60&lt;'A1.3.10'!$S$28,"",IF($B60&gt;'A1.3.10'!$S$58,V59,IF(OR(VLOOKUP($B60,'A1.3.10'!$S$28:$AE$58,6,)="",'Fuel consumption'!F$30=""),"",'Fuel consumption'!F$30 * VLOOKUP($B60,'A1.3.10'!$S$28:$AE$58,6,))))</f>
        <v>-1.4063727682028522E-3</v>
      </c>
      <c r="W60" s="2642">
        <f>IF($B60&lt;'A1.3.10'!$S$28,"",IF($B60&gt;'A1.3.10'!$S$58,W59,IF(OR(VLOOKUP($B60,'A1.3.10'!$S$28:$AE$58,6,)="",'Fuel consumption'!G$30=""),"",'Fuel consumption'!G$30 * VLOOKUP($B60,'A1.3.10'!$S$28:$AE$58,6,))))</f>
        <v>1.1906400891809692E-5</v>
      </c>
      <c r="X60" s="3144"/>
      <c r="Y60" s="2487">
        <f>IF($B60&lt;'A1.3.10'!$S$28,"",IF($B60&gt;'A1.3.10'!$S$58,Y59,IF(OR(VLOOKUP($B60,'A1.3.10'!$S$28:$AE$58,7,)="", 'Fuel consumption'!E$37=""),"",'Fuel consumption'!E$37 * VLOOKUP($B60,'A1.3.10'!$S$28:$AE$58,7,))))</f>
        <v>0.29149401103980166</v>
      </c>
      <c r="Z60" s="2642"/>
      <c r="AA60" s="2642"/>
      <c r="AB60" s="610">
        <f>IF($B60&lt;'A1.3.10'!$S$28,"",IF($B60&gt;'A1.3.10'!$S$58,AB59,IF(OR(VLOOKUP($B60,'A1.3.10'!$S$28:$AE$58,8,)="",'Fuel consumption'!D$31=""),"",'Fuel consumption'!D$31 * VLOOKUP($B60,'A1.3.10'!$S$28:$AE$58,8,))))</f>
        <v>2.6962848686626804</v>
      </c>
      <c r="AC60" s="611">
        <f>IF($B60&lt;'A1.3.10'!$S$28,"",IF($B60&gt;'A1.3.10'!$S$58,AC59,IF(OR(VLOOKUP($B60,'A1.3.10'!$S$28:$AE$58,8,)="",'Fuel consumption'!E$31=""),"",'Fuel consumption'!E$31 * VLOOKUP($B60,'A1.3.10'!$S$28:$AE$58,8,))))</f>
        <v>0.143057339771858</v>
      </c>
      <c r="AD60" s="611">
        <f>IF($B60&lt;'A1.3.10'!$S$28,"",IF($B60&gt;'A1.3.10'!$S$58,AD59,IF(OR(VLOOKUP($B60,'A1.3.10'!$S$28:$AE$58,8,)="",'Fuel consumption'!F$31=""),"",'Fuel consumption'!F$31 * VLOOKUP($B60,'A1.3.10'!$S$28:$AE$58,8,))))</f>
        <v>-1.0340193601785499E-3</v>
      </c>
      <c r="AE60" s="2642">
        <f>IF($B60&lt;'A1.3.10'!$S$28,"",IF($B60&gt;'A1.3.10'!$S$58,AE59,IF(OR(VLOOKUP($B60,'A1.3.10'!$S$28:$AE$58,8,)="",'Fuel consumption'!G$31=""),"",'Fuel consumption'!G$31 * VLOOKUP($B60,'A1.3.10'!$S$28:$AE$58,8,))))</f>
        <v>1.1293150500864199E-5</v>
      </c>
      <c r="AF60" s="610">
        <f>IF($B60&lt;'A1.3.10'!$S$28,"",IF($B60&gt;'A1.3.10'!$S$58,AF59,IF(OR(VLOOKUP($B60,'A1.3.10'!$S$28:$AE$58,10,)="",'Fuel consumption'!D$32=""),"",'Fuel consumption'!D$32 * VLOOKUP($B60,'A1.3.10'!$S$28:$AE$58,10,))))</f>
        <v>5.6655970981789903</v>
      </c>
      <c r="AG60" s="611">
        <f>IF($B60&lt;'A1.3.10'!$S$28,"",IF($B60&gt;'A1.3.10'!$S$58,AG59,IF(OR(VLOOKUP($B60,'A1.3.10'!$S$28:$AE$58,10,)="",'Fuel consumption'!E$32=""),"",'Fuel consumption'!E$32 * VLOOKUP($B60,'A1.3.10'!$S$28:$AE$58,10,))))</f>
        <v>0.29422449618924201</v>
      </c>
      <c r="AH60" s="611">
        <f>IF($B60&lt;'A1.3.10'!$S$28,"",IF($B60&gt;'A1.3.10'!$S$58,AH59,IF(OR(VLOOKUP($B60,'A1.3.10'!$S$28:$AE$58,10,)="",'Fuel consumption'!F$32=""),"",'Fuel consumption'!F$32 * VLOOKUP($B60,'A1.3.10'!$S$28:$AE$58,10,))))</f>
        <v>-1.9493920679616401E-3</v>
      </c>
      <c r="AI60" s="1578">
        <f>IF($B60&lt;'A1.3.10'!$S$28,"",IF($B60&gt;'A1.3.10'!$S$58,AI59,IF(OR(VLOOKUP($B60,'A1.3.10'!$S$28:$AE$58,10,)="",'Fuel consumption'!G$32=""),"",'Fuel consumption'!G$32 * VLOOKUP($B60,'A1.3.10'!$S$28:$AE$58,10,))))</f>
        <v>1.1619187345164999E-5</v>
      </c>
      <c r="AJ60" s="610">
        <f>IF($B60&lt;'A1.3.10'!$S$28,"",IF($B60&gt;'A1.3.10'!$S$58,AJ59,IF(OR(VLOOKUP($B60,'A1.3.10'!$S$28:$AE$58,12,)="",'Fuel consumption'!D$33=""),"",'Fuel consumption'!D$33 * VLOOKUP($B60,'A1.3.10'!$S$28:$AE$58,12,))))</f>
        <v>3.3601870156891001</v>
      </c>
      <c r="AK60" s="611">
        <f>IF($B60&lt;'A1.3.10'!$S$28,"",IF($B60&gt;'A1.3.10'!$S$58,AK59,IF(OR(VLOOKUP($B60,'A1.3.10'!$S$28:$AE$58,12,)="",'Fuel consumption'!E$33=""),"",'Fuel consumption'!E$33 * VLOOKUP($B60,'A1.3.10'!$S$28:$AE$58,12,))))</f>
        <v>0.29524938703213599</v>
      </c>
      <c r="AL60" s="611">
        <f>IF($B60&lt;'A1.3.10'!$S$28,"",IF($B60&gt;'A1.3.10'!$S$58,AL59,IF(OR(VLOOKUP($B60,'A1.3.10'!$S$28:$AE$58,12,)="",'Fuel consumption'!F$33=""),"",'Fuel consumption'!F$33 * VLOOKUP($B60,'A1.3.10'!$S$28:$AE$58,12,))))</f>
        <v>-3.20909768342738E-3</v>
      </c>
      <c r="AM60" s="1578">
        <f>IF($B60&lt;'A1.3.10'!$S$28,"",IF($B60&gt;'A1.3.10'!$S$58,AM59,IF(OR(VLOOKUP($B60,'A1.3.10'!$S$28:$AE$58,12,)="",'Fuel consumption'!G$33=""),"",'Fuel consumption'!G$33 * VLOOKUP($B60,'A1.3.10'!$S$28:$AE$58,12,))))</f>
        <v>2.3540043227716499E-5</v>
      </c>
    </row>
    <row r="61" spans="1:39" ht="13.5" customHeight="1">
      <c r="A61" s="623"/>
      <c r="B61" s="614">
        <f t="shared" si="3"/>
        <v>2045</v>
      </c>
      <c r="C61" s="609"/>
      <c r="D61" s="2484">
        <f>IF($B61&lt;'A1.3.10'!$S$28,"",IF($B61&gt;'A1.3.10'!$S$58,D60,IF(OR(VLOOKUP($B61,'A1.3.10'!$S$28:$AE$58,2,)="",'Fuel consumption'!D$27=""),"",'Fuel consumption'!D$27 * VLOOKUP($B61,'A1.3.10'!$S$28:$AE$58,2,))))</f>
        <v>0.32527491364024624</v>
      </c>
      <c r="E61" s="2485">
        <f>IF($B61&lt;'A1.3.10'!$S$28,"",IF($B61&gt;'A1.3.10'!$S$58,E60,IF(OR(VLOOKUP($B61,'A1.3.10'!$S$28:$AE$58,2,)="",'Fuel consumption'!E$27=""),"",'Fuel consumption'!E$27 * VLOOKUP($B61,'A1.3.10'!$S$28:$AE$58,2,))))</f>
        <v>6.9126195403069218E-2</v>
      </c>
      <c r="F61" s="2485">
        <f>IF($B61&lt;'A1.3.10'!$S$28,"",IF($B61&gt;'A1.3.10'!$S$58,F60,IF(OR(VLOOKUP($B61,'A1.3.10'!$S$28:$AE$58,2,)="",'Fuel consumption'!F$27=""),"",'Fuel consumption'!F$27 * VLOOKUP($B61,'A1.3.10'!$S$28:$AE$58,2,))))</f>
        <v>-7.8742934140708519E-4</v>
      </c>
      <c r="G61" s="2642">
        <f>IF($B61&lt;'A1.3.10'!$S$28,"",IF($B61&gt;'A1.3.10'!$S$58,G60,IF(OR(VLOOKUP($B61,'A1.3.10'!$S$28:$AE$58,2,)="",'Fuel consumption'!G$27=""),"",'Fuel consumption'!G$27 * VLOOKUP($B61,'A1.3.10'!$S$28:$AE$58,2,))))</f>
        <v>5.2150811705064693E-6</v>
      </c>
      <c r="H61" s="2486">
        <f>IF($B61&lt;'A1.3.10'!$S$28,"",IF($B61&gt;'A1.3.10'!$S$58,H60,IF(OR(VLOOKUP($B61,'A1.3.10'!$S$28:$AE$58,3,)="",'Fuel consumption'!D$28=""),"",'Fuel consumption'!D$28  * VLOOKUP($B61,'A1.3.10'!$S$28:$AE$58,3,))))</f>
        <v>0.38728007442052015</v>
      </c>
      <c r="I61" s="2487">
        <f>IF($B61&lt;'A1.3.10'!$S$28,"",IF($B61&gt;'A1.3.10'!$S$58,I60,IF(OR(VLOOKUP($B61,'A1.3.10'!$S$28:$AE$58,3,)="",'Fuel consumption'!E$28=""),"",'Fuel consumption'!E$28  * VLOOKUP($B61,'A1.3.10'!$S$28:$AE$58,3,))))</f>
        <v>5.5526385246550972E-2</v>
      </c>
      <c r="J61" s="2487">
        <f>IF($B61&lt;'A1.3.10'!$S$28,"",IF($B61&gt;'A1.3.10'!$S$58,J60,IF(OR(VLOOKUP($B61,'A1.3.10'!$S$28:$AE$58,3,)="",'Fuel consumption'!F$28=""),"",'Fuel consumption'!F$28  * VLOOKUP($B61,'A1.3.10'!$S$28:$AE$58,3,))))</f>
        <v>-5.3417929464962704E-4</v>
      </c>
      <c r="K61" s="2642">
        <f>IF($B61&lt;'A1.3.10'!$S$28,"",IF($B61&gt;'A1.3.10'!$S$58,K60,IF(OR(VLOOKUP($B61,'A1.3.10'!$S$28:$AE$58,3,)="",'Fuel consumption'!G$28=""),"",'Fuel consumption'!G$28  * VLOOKUP($B61,'A1.3.10'!$S$28:$AE$58,3,))))</f>
        <v>4.2093596420141842E-6</v>
      </c>
      <c r="L61" s="2486" t="str">
        <f>IF($B61&lt;'A1.3.10'!$S$28,"",IF($B61&gt;'A1.3.10'!$S$58,L60,IF(OR(VLOOKUP($B61,'A1.3.10'!$S$28:$AE$58,4,)="", 'Fuel consumption'!D$36=""),"",'Fuel consumption'!D$36 * VLOOKUP($B61,'A1.3.10'!$S$28:$AE$58,4,))))</f>
        <v/>
      </c>
      <c r="M61" s="2487">
        <f>IF($B61&lt;'A1.3.10'!$S$28,"",IF($B61&gt;'A1.3.10'!$S$58,M60,IF(OR(VLOOKUP($B61,'A1.3.10'!$S$28:$AE$58,4,)="", 'Fuel consumption'!E$36=""),"",'Fuel consumption'!E$36 * VLOOKUP($B61,'A1.3.10'!$S$28:$AE$58,4,))))</f>
        <v>0.12679510393803953</v>
      </c>
      <c r="N61" s="614" t="str">
        <f>IF($B61&lt;'A1.3.10'!$S$28,"",IF($B61&gt;'A1.3.10'!$S$58,N60,IF(OR(VLOOKUP($B61,'A1.3.10'!$S$28:$AE$58,4,)="", 'Fuel consumption'!F$36=""),"",'Fuel consumption'!F$36 * VLOOKUP($B61,'A1.3.10'!$S$28:$AE$58,4,))))</f>
        <v/>
      </c>
      <c r="O61" s="612" t="str">
        <f>IF($B61&lt;'A1.3.10'!$S$28,"",IF($B61&gt;'A1.3.10'!$S$58,O60,IF(OR(VLOOKUP($B61,'A1.3.10'!$S$28:$AE$58,4,)="", 'Fuel consumption'!G$36=""),"",'Fuel consumption'!G$36 * VLOOKUP($B61,'A1.3.10'!$S$28:$AE$58,4,))))</f>
        <v/>
      </c>
      <c r="P61" s="610">
        <f>IF($B61&lt;'A1.3.10'!$S$28,"",IF($B61&gt;'A1.3.10'!$S$58,P60,IF(OR(VLOOKUP($B61,'A1.3.10'!$S$28:$AE$58,5,)="",'Fuel consumption'!D$29=""),"",'Fuel consumption'!D$29 * VLOOKUP($B61,'A1.3.10'!$S$28:$AE$58,5,))))</f>
        <v>0.23398100209323003</v>
      </c>
      <c r="Q61" s="611">
        <f>IF($B61&lt;'A1.3.10'!$S$28,"",IF($B61&gt;'A1.3.10'!$S$58,Q60,IF(OR(VLOOKUP($B61,'A1.3.10'!$S$28:$AE$58,5,)="",'Fuel consumption'!E$29=""),"",'Fuel consumption'!E$29 * VLOOKUP($B61,'A1.3.10'!$S$28:$AE$58,5,))))</f>
        <v>0.13120300165283155</v>
      </c>
      <c r="R61" s="611">
        <f>IF($B61&lt;'A1.3.10'!$S$28,"",IF($B61&gt;'A1.3.10'!$S$58,R60,IF(OR(VLOOKUP($B61,'A1.3.10'!$S$28:$AE$58,5,)="",'Fuel consumption'!F$29=""),"",'Fuel consumption'!F$29 * VLOOKUP($B61,'A1.3.10'!$S$28:$AE$58,5,))))</f>
        <v>-2.0594564659300405E-3</v>
      </c>
      <c r="S61" s="2642">
        <f>IF($B61&lt;'A1.3.10'!$S$28,"",IF($B61&gt;'A1.3.10'!$S$58,S60,IF(OR(VLOOKUP($B61,'A1.3.10'!$S$28:$AE$58,5,)="",'Fuel consumption'!G$29=""),"",'Fuel consumption'!G$29 * VLOOKUP($B61,'A1.3.10'!$S$28:$AE$58,5,))))</f>
        <v>1.3300046823685748E-5</v>
      </c>
      <c r="T61" s="610">
        <f>IF($B61&lt;'A1.3.10'!$S$28,"",IF($B61&gt;'A1.3.10'!$S$58,T60,IF(OR(VLOOKUP($B61,'A1.3.10'!$S$28:$AE$58,6,)="",'Fuel consumption'!D$30=""),"",'Fuel consumption'!D$30 * VLOOKUP($B61,'A1.3.10'!$S$28:$AE$58,6,))))</f>
        <v>0.3988609037344879</v>
      </c>
      <c r="U61" s="611">
        <f>IF($B61&lt;'A1.3.10'!$S$28,"",IF($B61&gt;'A1.3.10'!$S$58,U60,IF(OR(VLOOKUP($B61,'A1.3.10'!$S$28:$AE$58,6,)="",'Fuel consumption'!E$30=""),"",'Fuel consumption'!E$30 * VLOOKUP($B61,'A1.3.10'!$S$28:$AE$58,6,))))</f>
        <v>9.7483230363204512E-2</v>
      </c>
      <c r="V61" s="611">
        <f>IF($B61&lt;'A1.3.10'!$S$28,"",IF($B61&gt;'A1.3.10'!$S$58,V60,IF(OR(VLOOKUP($B61,'A1.3.10'!$S$28:$AE$58,6,)="",'Fuel consumption'!F$30=""),"",'Fuel consumption'!F$30 * VLOOKUP($B61,'A1.3.10'!$S$28:$AE$58,6,))))</f>
        <v>-1.4063727682028522E-3</v>
      </c>
      <c r="W61" s="2642">
        <f>IF($B61&lt;'A1.3.10'!$S$28,"",IF($B61&gt;'A1.3.10'!$S$58,W60,IF(OR(VLOOKUP($B61,'A1.3.10'!$S$28:$AE$58,6,)="",'Fuel consumption'!G$30=""),"",'Fuel consumption'!G$30 * VLOOKUP($B61,'A1.3.10'!$S$28:$AE$58,6,))))</f>
        <v>1.1906400891809692E-5</v>
      </c>
      <c r="X61" s="3144"/>
      <c r="Y61" s="2487">
        <f>IF($B61&lt;'A1.3.10'!$S$28,"",IF($B61&gt;'A1.3.10'!$S$58,Y60,IF(OR(VLOOKUP($B61,'A1.3.10'!$S$28:$AE$58,7,)="", 'Fuel consumption'!E$37=""),"",'Fuel consumption'!E$37 * VLOOKUP($B61,'A1.3.10'!$S$28:$AE$58,7,))))</f>
        <v>0.29149401103980166</v>
      </c>
      <c r="Z61" s="2642"/>
      <c r="AA61" s="2642"/>
      <c r="AB61" s="610">
        <f>IF($B61&lt;'A1.3.10'!$S$28,"",IF($B61&gt;'A1.3.10'!$S$58,AB60,IF(OR(VLOOKUP($B61,'A1.3.10'!$S$28:$AE$58,8,)="",'Fuel consumption'!D$31=""),"",'Fuel consumption'!D$31 * VLOOKUP($B61,'A1.3.10'!$S$28:$AE$58,8,))))</f>
        <v>2.6962848686626804</v>
      </c>
      <c r="AC61" s="611">
        <f>IF($B61&lt;'A1.3.10'!$S$28,"",IF($B61&gt;'A1.3.10'!$S$58,AC60,IF(OR(VLOOKUP($B61,'A1.3.10'!$S$28:$AE$58,8,)="",'Fuel consumption'!E$31=""),"",'Fuel consumption'!E$31 * VLOOKUP($B61,'A1.3.10'!$S$28:$AE$58,8,))))</f>
        <v>0.143057339771858</v>
      </c>
      <c r="AD61" s="611">
        <f>IF($B61&lt;'A1.3.10'!$S$28,"",IF($B61&gt;'A1.3.10'!$S$58,AD60,IF(OR(VLOOKUP($B61,'A1.3.10'!$S$28:$AE$58,8,)="",'Fuel consumption'!F$31=""),"",'Fuel consumption'!F$31 * VLOOKUP($B61,'A1.3.10'!$S$28:$AE$58,8,))))</f>
        <v>-1.0340193601785499E-3</v>
      </c>
      <c r="AE61" s="2642">
        <f>IF($B61&lt;'A1.3.10'!$S$28,"",IF($B61&gt;'A1.3.10'!$S$58,AE60,IF(OR(VLOOKUP($B61,'A1.3.10'!$S$28:$AE$58,8,)="",'Fuel consumption'!G$31=""),"",'Fuel consumption'!G$31 * VLOOKUP($B61,'A1.3.10'!$S$28:$AE$58,8,))))</f>
        <v>1.1293150500864199E-5</v>
      </c>
      <c r="AF61" s="610">
        <f>IF($B61&lt;'A1.3.10'!$S$28,"",IF($B61&gt;'A1.3.10'!$S$58,AF60,IF(OR(VLOOKUP($B61,'A1.3.10'!$S$28:$AE$58,10,)="",'Fuel consumption'!D$32=""),"",'Fuel consumption'!D$32 * VLOOKUP($B61,'A1.3.10'!$S$28:$AE$58,10,))))</f>
        <v>5.6655970981789903</v>
      </c>
      <c r="AG61" s="611">
        <f>IF($B61&lt;'A1.3.10'!$S$28,"",IF($B61&gt;'A1.3.10'!$S$58,AG60,IF(OR(VLOOKUP($B61,'A1.3.10'!$S$28:$AE$58,10,)="",'Fuel consumption'!E$32=""),"",'Fuel consumption'!E$32 * VLOOKUP($B61,'A1.3.10'!$S$28:$AE$58,10,))))</f>
        <v>0.29422449618924201</v>
      </c>
      <c r="AH61" s="611">
        <f>IF($B61&lt;'A1.3.10'!$S$28,"",IF($B61&gt;'A1.3.10'!$S$58,AH60,IF(OR(VLOOKUP($B61,'A1.3.10'!$S$28:$AE$58,10,)="",'Fuel consumption'!F$32=""),"",'Fuel consumption'!F$32 * VLOOKUP($B61,'A1.3.10'!$S$28:$AE$58,10,))))</f>
        <v>-1.9493920679616401E-3</v>
      </c>
      <c r="AI61" s="1578">
        <f>IF($B61&lt;'A1.3.10'!$S$28,"",IF($B61&gt;'A1.3.10'!$S$58,AI60,IF(OR(VLOOKUP($B61,'A1.3.10'!$S$28:$AE$58,10,)="",'Fuel consumption'!G$32=""),"",'Fuel consumption'!G$32 * VLOOKUP($B61,'A1.3.10'!$S$28:$AE$58,10,))))</f>
        <v>1.1619187345164999E-5</v>
      </c>
      <c r="AJ61" s="610">
        <f>IF($B61&lt;'A1.3.10'!$S$28,"",IF($B61&gt;'A1.3.10'!$S$58,AJ60,IF(OR(VLOOKUP($B61,'A1.3.10'!$S$28:$AE$58,12,)="",'Fuel consumption'!D$33=""),"",'Fuel consumption'!D$33 * VLOOKUP($B61,'A1.3.10'!$S$28:$AE$58,12,))))</f>
        <v>3.3601870156891001</v>
      </c>
      <c r="AK61" s="611">
        <f>IF($B61&lt;'A1.3.10'!$S$28,"",IF($B61&gt;'A1.3.10'!$S$58,AK60,IF(OR(VLOOKUP($B61,'A1.3.10'!$S$28:$AE$58,12,)="",'Fuel consumption'!E$33=""),"",'Fuel consumption'!E$33 * VLOOKUP($B61,'A1.3.10'!$S$28:$AE$58,12,))))</f>
        <v>0.29524938703213599</v>
      </c>
      <c r="AL61" s="611">
        <f>IF($B61&lt;'A1.3.10'!$S$28,"",IF($B61&gt;'A1.3.10'!$S$58,AL60,IF(OR(VLOOKUP($B61,'A1.3.10'!$S$28:$AE$58,12,)="",'Fuel consumption'!F$33=""),"",'Fuel consumption'!F$33 * VLOOKUP($B61,'A1.3.10'!$S$28:$AE$58,12,))))</f>
        <v>-3.20909768342738E-3</v>
      </c>
      <c r="AM61" s="1578">
        <f>IF($B61&lt;'A1.3.10'!$S$28,"",IF($B61&gt;'A1.3.10'!$S$58,AM60,IF(OR(VLOOKUP($B61,'A1.3.10'!$S$28:$AE$58,12,)="",'Fuel consumption'!G$33=""),"",'Fuel consumption'!G$33 * VLOOKUP($B61,'A1.3.10'!$S$28:$AE$58,12,))))</f>
        <v>2.3540043227716499E-5</v>
      </c>
    </row>
    <row r="62" spans="1:39" ht="13.5" customHeight="1">
      <c r="A62" s="623"/>
      <c r="B62" s="614">
        <f t="shared" si="3"/>
        <v>2046</v>
      </c>
      <c r="C62" s="609"/>
      <c r="D62" s="2484">
        <f>IF($B62&lt;'A1.3.10'!$S$28,"",IF($B62&gt;'A1.3.10'!$S$58,D61,IF(OR(VLOOKUP($B62,'A1.3.10'!$S$28:$AE$58,2,)="",'Fuel consumption'!D$27=""),"",'Fuel consumption'!D$27 * VLOOKUP($B62,'A1.3.10'!$S$28:$AE$58,2,))))</f>
        <v>0.32527491364024624</v>
      </c>
      <c r="E62" s="2485">
        <f>IF($B62&lt;'A1.3.10'!$S$28,"",IF($B62&gt;'A1.3.10'!$S$58,E61,IF(OR(VLOOKUP($B62,'A1.3.10'!$S$28:$AE$58,2,)="",'Fuel consumption'!E$27=""),"",'Fuel consumption'!E$27 * VLOOKUP($B62,'A1.3.10'!$S$28:$AE$58,2,))))</f>
        <v>6.9126195403069218E-2</v>
      </c>
      <c r="F62" s="2485">
        <f>IF($B62&lt;'A1.3.10'!$S$28,"",IF($B62&gt;'A1.3.10'!$S$58,F61,IF(OR(VLOOKUP($B62,'A1.3.10'!$S$28:$AE$58,2,)="",'Fuel consumption'!F$27=""),"",'Fuel consumption'!F$27 * VLOOKUP($B62,'A1.3.10'!$S$28:$AE$58,2,))))</f>
        <v>-7.8742934140708519E-4</v>
      </c>
      <c r="G62" s="2642">
        <f>IF($B62&lt;'A1.3.10'!$S$28,"",IF($B62&gt;'A1.3.10'!$S$58,G61,IF(OR(VLOOKUP($B62,'A1.3.10'!$S$28:$AE$58,2,)="",'Fuel consumption'!G$27=""),"",'Fuel consumption'!G$27 * VLOOKUP($B62,'A1.3.10'!$S$28:$AE$58,2,))))</f>
        <v>5.2150811705064693E-6</v>
      </c>
      <c r="H62" s="2486">
        <f>IF($B62&lt;'A1.3.10'!$S$28,"",IF($B62&gt;'A1.3.10'!$S$58,H61,IF(OR(VLOOKUP($B62,'A1.3.10'!$S$28:$AE$58,3,)="",'Fuel consumption'!D$28=""),"",'Fuel consumption'!D$28  * VLOOKUP($B62,'A1.3.10'!$S$28:$AE$58,3,))))</f>
        <v>0.38728007442052015</v>
      </c>
      <c r="I62" s="2487">
        <f>IF($B62&lt;'A1.3.10'!$S$28,"",IF($B62&gt;'A1.3.10'!$S$58,I61,IF(OR(VLOOKUP($B62,'A1.3.10'!$S$28:$AE$58,3,)="",'Fuel consumption'!E$28=""),"",'Fuel consumption'!E$28  * VLOOKUP($B62,'A1.3.10'!$S$28:$AE$58,3,))))</f>
        <v>5.5526385246550972E-2</v>
      </c>
      <c r="J62" s="2487">
        <f>IF($B62&lt;'A1.3.10'!$S$28,"",IF($B62&gt;'A1.3.10'!$S$58,J61,IF(OR(VLOOKUP($B62,'A1.3.10'!$S$28:$AE$58,3,)="",'Fuel consumption'!F$28=""),"",'Fuel consumption'!F$28  * VLOOKUP($B62,'A1.3.10'!$S$28:$AE$58,3,))))</f>
        <v>-5.3417929464962704E-4</v>
      </c>
      <c r="K62" s="2642">
        <f>IF($B62&lt;'A1.3.10'!$S$28,"",IF($B62&gt;'A1.3.10'!$S$58,K61,IF(OR(VLOOKUP($B62,'A1.3.10'!$S$28:$AE$58,3,)="",'Fuel consumption'!G$28=""),"",'Fuel consumption'!G$28  * VLOOKUP($B62,'A1.3.10'!$S$28:$AE$58,3,))))</f>
        <v>4.2093596420141842E-6</v>
      </c>
      <c r="L62" s="2486" t="str">
        <f>IF($B62&lt;'A1.3.10'!$S$28,"",IF($B62&gt;'A1.3.10'!$S$58,L61,IF(OR(VLOOKUP($B62,'A1.3.10'!$S$28:$AE$58,4,)="", 'Fuel consumption'!D$36=""),"",'Fuel consumption'!D$36 * VLOOKUP($B62,'A1.3.10'!$S$28:$AE$58,4,))))</f>
        <v/>
      </c>
      <c r="M62" s="2487">
        <f>IF($B62&lt;'A1.3.10'!$S$28,"",IF($B62&gt;'A1.3.10'!$S$58,M61,IF(OR(VLOOKUP($B62,'A1.3.10'!$S$28:$AE$58,4,)="", 'Fuel consumption'!E$36=""),"",'Fuel consumption'!E$36 * VLOOKUP($B62,'A1.3.10'!$S$28:$AE$58,4,))))</f>
        <v>0.12679510393803953</v>
      </c>
      <c r="N62" s="614" t="str">
        <f>IF($B62&lt;'A1.3.10'!$S$28,"",IF($B62&gt;'A1.3.10'!$S$58,N61,IF(OR(VLOOKUP($B62,'A1.3.10'!$S$28:$AE$58,4,)="", 'Fuel consumption'!F$36=""),"",'Fuel consumption'!F$36 * VLOOKUP($B62,'A1.3.10'!$S$28:$AE$58,4,))))</f>
        <v/>
      </c>
      <c r="O62" s="612" t="str">
        <f>IF($B62&lt;'A1.3.10'!$S$28,"",IF($B62&gt;'A1.3.10'!$S$58,O61,IF(OR(VLOOKUP($B62,'A1.3.10'!$S$28:$AE$58,4,)="", 'Fuel consumption'!G$36=""),"",'Fuel consumption'!G$36 * VLOOKUP($B62,'A1.3.10'!$S$28:$AE$58,4,))))</f>
        <v/>
      </c>
      <c r="P62" s="610">
        <f>IF($B62&lt;'A1.3.10'!$S$28,"",IF($B62&gt;'A1.3.10'!$S$58,P61,IF(OR(VLOOKUP($B62,'A1.3.10'!$S$28:$AE$58,5,)="",'Fuel consumption'!D$29=""),"",'Fuel consumption'!D$29 * VLOOKUP($B62,'A1.3.10'!$S$28:$AE$58,5,))))</f>
        <v>0.23398100209323003</v>
      </c>
      <c r="Q62" s="611">
        <f>IF($B62&lt;'A1.3.10'!$S$28,"",IF($B62&gt;'A1.3.10'!$S$58,Q61,IF(OR(VLOOKUP($B62,'A1.3.10'!$S$28:$AE$58,5,)="",'Fuel consumption'!E$29=""),"",'Fuel consumption'!E$29 * VLOOKUP($B62,'A1.3.10'!$S$28:$AE$58,5,))))</f>
        <v>0.13120300165283155</v>
      </c>
      <c r="R62" s="611">
        <f>IF($B62&lt;'A1.3.10'!$S$28,"",IF($B62&gt;'A1.3.10'!$S$58,R61,IF(OR(VLOOKUP($B62,'A1.3.10'!$S$28:$AE$58,5,)="",'Fuel consumption'!F$29=""),"",'Fuel consumption'!F$29 * VLOOKUP($B62,'A1.3.10'!$S$28:$AE$58,5,))))</f>
        <v>-2.0594564659300405E-3</v>
      </c>
      <c r="S62" s="2642">
        <f>IF($B62&lt;'A1.3.10'!$S$28,"",IF($B62&gt;'A1.3.10'!$S$58,S61,IF(OR(VLOOKUP($B62,'A1.3.10'!$S$28:$AE$58,5,)="",'Fuel consumption'!G$29=""),"",'Fuel consumption'!G$29 * VLOOKUP($B62,'A1.3.10'!$S$28:$AE$58,5,))))</f>
        <v>1.3300046823685748E-5</v>
      </c>
      <c r="T62" s="610">
        <f>IF($B62&lt;'A1.3.10'!$S$28,"",IF($B62&gt;'A1.3.10'!$S$58,T61,IF(OR(VLOOKUP($B62,'A1.3.10'!$S$28:$AE$58,6,)="",'Fuel consumption'!D$30=""),"",'Fuel consumption'!D$30 * VLOOKUP($B62,'A1.3.10'!$S$28:$AE$58,6,))))</f>
        <v>0.3988609037344879</v>
      </c>
      <c r="U62" s="611">
        <f>IF($B62&lt;'A1.3.10'!$S$28,"",IF($B62&gt;'A1.3.10'!$S$58,U61,IF(OR(VLOOKUP($B62,'A1.3.10'!$S$28:$AE$58,6,)="",'Fuel consumption'!E$30=""),"",'Fuel consumption'!E$30 * VLOOKUP($B62,'A1.3.10'!$S$28:$AE$58,6,))))</f>
        <v>9.7483230363204512E-2</v>
      </c>
      <c r="V62" s="611">
        <f>IF($B62&lt;'A1.3.10'!$S$28,"",IF($B62&gt;'A1.3.10'!$S$58,V61,IF(OR(VLOOKUP($B62,'A1.3.10'!$S$28:$AE$58,6,)="",'Fuel consumption'!F$30=""),"",'Fuel consumption'!F$30 * VLOOKUP($B62,'A1.3.10'!$S$28:$AE$58,6,))))</f>
        <v>-1.4063727682028522E-3</v>
      </c>
      <c r="W62" s="2642">
        <f>IF($B62&lt;'A1.3.10'!$S$28,"",IF($B62&gt;'A1.3.10'!$S$58,W61,IF(OR(VLOOKUP($B62,'A1.3.10'!$S$28:$AE$58,6,)="",'Fuel consumption'!G$30=""),"",'Fuel consumption'!G$30 * VLOOKUP($B62,'A1.3.10'!$S$28:$AE$58,6,))))</f>
        <v>1.1906400891809692E-5</v>
      </c>
      <c r="X62" s="3144"/>
      <c r="Y62" s="2487">
        <f>IF($B62&lt;'A1.3.10'!$S$28,"",IF($B62&gt;'A1.3.10'!$S$58,Y61,IF(OR(VLOOKUP($B62,'A1.3.10'!$S$28:$AE$58,7,)="", 'Fuel consumption'!E$37=""),"",'Fuel consumption'!E$37 * VLOOKUP($B62,'A1.3.10'!$S$28:$AE$58,7,))))</f>
        <v>0.29149401103980166</v>
      </c>
      <c r="Z62" s="2642"/>
      <c r="AA62" s="2642"/>
      <c r="AB62" s="610">
        <f>IF($B62&lt;'A1.3.10'!$S$28,"",IF($B62&gt;'A1.3.10'!$S$58,AB61,IF(OR(VLOOKUP($B62,'A1.3.10'!$S$28:$AE$58,8,)="",'Fuel consumption'!D$31=""),"",'Fuel consumption'!D$31 * VLOOKUP($B62,'A1.3.10'!$S$28:$AE$58,8,))))</f>
        <v>2.6962848686626804</v>
      </c>
      <c r="AC62" s="611">
        <f>IF($B62&lt;'A1.3.10'!$S$28,"",IF($B62&gt;'A1.3.10'!$S$58,AC61,IF(OR(VLOOKUP($B62,'A1.3.10'!$S$28:$AE$58,8,)="",'Fuel consumption'!E$31=""),"",'Fuel consumption'!E$31 * VLOOKUP($B62,'A1.3.10'!$S$28:$AE$58,8,))))</f>
        <v>0.143057339771858</v>
      </c>
      <c r="AD62" s="611">
        <f>IF($B62&lt;'A1.3.10'!$S$28,"",IF($B62&gt;'A1.3.10'!$S$58,AD61,IF(OR(VLOOKUP($B62,'A1.3.10'!$S$28:$AE$58,8,)="",'Fuel consumption'!F$31=""),"",'Fuel consumption'!F$31 * VLOOKUP($B62,'A1.3.10'!$S$28:$AE$58,8,))))</f>
        <v>-1.0340193601785499E-3</v>
      </c>
      <c r="AE62" s="2642">
        <f>IF($B62&lt;'A1.3.10'!$S$28,"",IF($B62&gt;'A1.3.10'!$S$58,AE61,IF(OR(VLOOKUP($B62,'A1.3.10'!$S$28:$AE$58,8,)="",'Fuel consumption'!G$31=""),"",'Fuel consumption'!G$31 * VLOOKUP($B62,'A1.3.10'!$S$28:$AE$58,8,))))</f>
        <v>1.1293150500864199E-5</v>
      </c>
      <c r="AF62" s="610">
        <f>IF($B62&lt;'A1.3.10'!$S$28,"",IF($B62&gt;'A1.3.10'!$S$58,AF61,IF(OR(VLOOKUP($B62,'A1.3.10'!$S$28:$AE$58,10,)="",'Fuel consumption'!D$32=""),"",'Fuel consumption'!D$32 * VLOOKUP($B62,'A1.3.10'!$S$28:$AE$58,10,))))</f>
        <v>5.6655970981789903</v>
      </c>
      <c r="AG62" s="611">
        <f>IF($B62&lt;'A1.3.10'!$S$28,"",IF($B62&gt;'A1.3.10'!$S$58,AG61,IF(OR(VLOOKUP($B62,'A1.3.10'!$S$28:$AE$58,10,)="",'Fuel consumption'!E$32=""),"",'Fuel consumption'!E$32 * VLOOKUP($B62,'A1.3.10'!$S$28:$AE$58,10,))))</f>
        <v>0.29422449618924201</v>
      </c>
      <c r="AH62" s="611">
        <f>IF($B62&lt;'A1.3.10'!$S$28,"",IF($B62&gt;'A1.3.10'!$S$58,AH61,IF(OR(VLOOKUP($B62,'A1.3.10'!$S$28:$AE$58,10,)="",'Fuel consumption'!F$32=""),"",'Fuel consumption'!F$32 * VLOOKUP($B62,'A1.3.10'!$S$28:$AE$58,10,))))</f>
        <v>-1.9493920679616401E-3</v>
      </c>
      <c r="AI62" s="1578">
        <f>IF($B62&lt;'A1.3.10'!$S$28,"",IF($B62&gt;'A1.3.10'!$S$58,AI61,IF(OR(VLOOKUP($B62,'A1.3.10'!$S$28:$AE$58,10,)="",'Fuel consumption'!G$32=""),"",'Fuel consumption'!G$32 * VLOOKUP($B62,'A1.3.10'!$S$28:$AE$58,10,))))</f>
        <v>1.1619187345164999E-5</v>
      </c>
      <c r="AJ62" s="610">
        <f>IF($B62&lt;'A1.3.10'!$S$28,"",IF($B62&gt;'A1.3.10'!$S$58,AJ61,IF(OR(VLOOKUP($B62,'A1.3.10'!$S$28:$AE$58,12,)="",'Fuel consumption'!D$33=""),"",'Fuel consumption'!D$33 * VLOOKUP($B62,'A1.3.10'!$S$28:$AE$58,12,))))</f>
        <v>3.3601870156891001</v>
      </c>
      <c r="AK62" s="611">
        <f>IF($B62&lt;'A1.3.10'!$S$28,"",IF($B62&gt;'A1.3.10'!$S$58,AK61,IF(OR(VLOOKUP($B62,'A1.3.10'!$S$28:$AE$58,12,)="",'Fuel consumption'!E$33=""),"",'Fuel consumption'!E$33 * VLOOKUP($B62,'A1.3.10'!$S$28:$AE$58,12,))))</f>
        <v>0.29524938703213599</v>
      </c>
      <c r="AL62" s="611">
        <f>IF($B62&lt;'A1.3.10'!$S$28,"",IF($B62&gt;'A1.3.10'!$S$58,AL61,IF(OR(VLOOKUP($B62,'A1.3.10'!$S$28:$AE$58,12,)="",'Fuel consumption'!F$33=""),"",'Fuel consumption'!F$33 * VLOOKUP($B62,'A1.3.10'!$S$28:$AE$58,12,))))</f>
        <v>-3.20909768342738E-3</v>
      </c>
      <c r="AM62" s="1578">
        <f>IF($B62&lt;'A1.3.10'!$S$28,"",IF($B62&gt;'A1.3.10'!$S$58,AM61,IF(OR(VLOOKUP($B62,'A1.3.10'!$S$28:$AE$58,12,)="",'Fuel consumption'!G$33=""),"",'Fuel consumption'!G$33 * VLOOKUP($B62,'A1.3.10'!$S$28:$AE$58,12,))))</f>
        <v>2.3540043227716499E-5</v>
      </c>
    </row>
    <row r="63" spans="1:39" ht="13.5" customHeight="1">
      <c r="A63" s="623"/>
      <c r="B63" s="614">
        <f t="shared" si="3"/>
        <v>2047</v>
      </c>
      <c r="C63" s="609"/>
      <c r="D63" s="2484">
        <f>IF($B63&lt;'A1.3.10'!$S$28,"",IF($B63&gt;'A1.3.10'!$S$58,D62,IF(OR(VLOOKUP($B63,'A1.3.10'!$S$28:$AE$58,2,)="",'Fuel consumption'!D$27=""),"",'Fuel consumption'!D$27 * VLOOKUP($B63,'A1.3.10'!$S$28:$AE$58,2,))))</f>
        <v>0.32527491364024624</v>
      </c>
      <c r="E63" s="2485">
        <f>IF($B63&lt;'A1.3.10'!$S$28,"",IF($B63&gt;'A1.3.10'!$S$58,E62,IF(OR(VLOOKUP($B63,'A1.3.10'!$S$28:$AE$58,2,)="",'Fuel consumption'!E$27=""),"",'Fuel consumption'!E$27 * VLOOKUP($B63,'A1.3.10'!$S$28:$AE$58,2,))))</f>
        <v>6.9126195403069218E-2</v>
      </c>
      <c r="F63" s="2485">
        <f>IF($B63&lt;'A1.3.10'!$S$28,"",IF($B63&gt;'A1.3.10'!$S$58,F62,IF(OR(VLOOKUP($B63,'A1.3.10'!$S$28:$AE$58,2,)="",'Fuel consumption'!F$27=""),"",'Fuel consumption'!F$27 * VLOOKUP($B63,'A1.3.10'!$S$28:$AE$58,2,))))</f>
        <v>-7.8742934140708519E-4</v>
      </c>
      <c r="G63" s="2642">
        <f>IF($B63&lt;'A1.3.10'!$S$28,"",IF($B63&gt;'A1.3.10'!$S$58,G62,IF(OR(VLOOKUP($B63,'A1.3.10'!$S$28:$AE$58,2,)="",'Fuel consumption'!G$27=""),"",'Fuel consumption'!G$27 * VLOOKUP($B63,'A1.3.10'!$S$28:$AE$58,2,))))</f>
        <v>5.2150811705064693E-6</v>
      </c>
      <c r="H63" s="2486">
        <f>IF($B63&lt;'A1.3.10'!$S$28,"",IF($B63&gt;'A1.3.10'!$S$58,H62,IF(OR(VLOOKUP($B63,'A1.3.10'!$S$28:$AE$58,3,)="",'Fuel consumption'!D$28=""),"",'Fuel consumption'!D$28  * VLOOKUP($B63,'A1.3.10'!$S$28:$AE$58,3,))))</f>
        <v>0.38728007442052015</v>
      </c>
      <c r="I63" s="2487">
        <f>IF($B63&lt;'A1.3.10'!$S$28,"",IF($B63&gt;'A1.3.10'!$S$58,I62,IF(OR(VLOOKUP($B63,'A1.3.10'!$S$28:$AE$58,3,)="",'Fuel consumption'!E$28=""),"",'Fuel consumption'!E$28  * VLOOKUP($B63,'A1.3.10'!$S$28:$AE$58,3,))))</f>
        <v>5.5526385246550972E-2</v>
      </c>
      <c r="J63" s="2487">
        <f>IF($B63&lt;'A1.3.10'!$S$28,"",IF($B63&gt;'A1.3.10'!$S$58,J62,IF(OR(VLOOKUP($B63,'A1.3.10'!$S$28:$AE$58,3,)="",'Fuel consumption'!F$28=""),"",'Fuel consumption'!F$28  * VLOOKUP($B63,'A1.3.10'!$S$28:$AE$58,3,))))</f>
        <v>-5.3417929464962704E-4</v>
      </c>
      <c r="K63" s="2642">
        <f>IF($B63&lt;'A1.3.10'!$S$28,"",IF($B63&gt;'A1.3.10'!$S$58,K62,IF(OR(VLOOKUP($B63,'A1.3.10'!$S$28:$AE$58,3,)="",'Fuel consumption'!G$28=""),"",'Fuel consumption'!G$28  * VLOOKUP($B63,'A1.3.10'!$S$28:$AE$58,3,))))</f>
        <v>4.2093596420141842E-6</v>
      </c>
      <c r="L63" s="2486" t="str">
        <f>IF($B63&lt;'A1.3.10'!$S$28,"",IF($B63&gt;'A1.3.10'!$S$58,L62,IF(OR(VLOOKUP($B63,'A1.3.10'!$S$28:$AE$58,4,)="", 'Fuel consumption'!D$36=""),"",'Fuel consumption'!D$36 * VLOOKUP($B63,'A1.3.10'!$S$28:$AE$58,4,))))</f>
        <v/>
      </c>
      <c r="M63" s="2487">
        <f>IF($B63&lt;'A1.3.10'!$S$28,"",IF($B63&gt;'A1.3.10'!$S$58,M62,IF(OR(VLOOKUP($B63,'A1.3.10'!$S$28:$AE$58,4,)="", 'Fuel consumption'!E$36=""),"",'Fuel consumption'!E$36 * VLOOKUP($B63,'A1.3.10'!$S$28:$AE$58,4,))))</f>
        <v>0.12679510393803953</v>
      </c>
      <c r="N63" s="614" t="str">
        <f>IF($B63&lt;'A1.3.10'!$S$28,"",IF($B63&gt;'A1.3.10'!$S$58,N62,IF(OR(VLOOKUP($B63,'A1.3.10'!$S$28:$AE$58,4,)="", 'Fuel consumption'!F$36=""),"",'Fuel consumption'!F$36 * VLOOKUP($B63,'A1.3.10'!$S$28:$AE$58,4,))))</f>
        <v/>
      </c>
      <c r="O63" s="612" t="str">
        <f>IF($B63&lt;'A1.3.10'!$S$28,"",IF($B63&gt;'A1.3.10'!$S$58,O62,IF(OR(VLOOKUP($B63,'A1.3.10'!$S$28:$AE$58,4,)="", 'Fuel consumption'!G$36=""),"",'Fuel consumption'!G$36 * VLOOKUP($B63,'A1.3.10'!$S$28:$AE$58,4,))))</f>
        <v/>
      </c>
      <c r="P63" s="610">
        <f>IF($B63&lt;'A1.3.10'!$S$28,"",IF($B63&gt;'A1.3.10'!$S$58,P62,IF(OR(VLOOKUP($B63,'A1.3.10'!$S$28:$AE$58,5,)="",'Fuel consumption'!D$29=""),"",'Fuel consumption'!D$29 * VLOOKUP($B63,'A1.3.10'!$S$28:$AE$58,5,))))</f>
        <v>0.23398100209323003</v>
      </c>
      <c r="Q63" s="611">
        <f>IF($B63&lt;'A1.3.10'!$S$28,"",IF($B63&gt;'A1.3.10'!$S$58,Q62,IF(OR(VLOOKUP($B63,'A1.3.10'!$S$28:$AE$58,5,)="",'Fuel consumption'!E$29=""),"",'Fuel consumption'!E$29 * VLOOKUP($B63,'A1.3.10'!$S$28:$AE$58,5,))))</f>
        <v>0.13120300165283155</v>
      </c>
      <c r="R63" s="611">
        <f>IF($B63&lt;'A1.3.10'!$S$28,"",IF($B63&gt;'A1.3.10'!$S$58,R62,IF(OR(VLOOKUP($B63,'A1.3.10'!$S$28:$AE$58,5,)="",'Fuel consumption'!F$29=""),"",'Fuel consumption'!F$29 * VLOOKUP($B63,'A1.3.10'!$S$28:$AE$58,5,))))</f>
        <v>-2.0594564659300405E-3</v>
      </c>
      <c r="S63" s="2642">
        <f>IF($B63&lt;'A1.3.10'!$S$28,"",IF($B63&gt;'A1.3.10'!$S$58,S62,IF(OR(VLOOKUP($B63,'A1.3.10'!$S$28:$AE$58,5,)="",'Fuel consumption'!G$29=""),"",'Fuel consumption'!G$29 * VLOOKUP($B63,'A1.3.10'!$S$28:$AE$58,5,))))</f>
        <v>1.3300046823685748E-5</v>
      </c>
      <c r="T63" s="610">
        <f>IF($B63&lt;'A1.3.10'!$S$28,"",IF($B63&gt;'A1.3.10'!$S$58,T62,IF(OR(VLOOKUP($B63,'A1.3.10'!$S$28:$AE$58,6,)="",'Fuel consumption'!D$30=""),"",'Fuel consumption'!D$30 * VLOOKUP($B63,'A1.3.10'!$S$28:$AE$58,6,))))</f>
        <v>0.3988609037344879</v>
      </c>
      <c r="U63" s="611">
        <f>IF($B63&lt;'A1.3.10'!$S$28,"",IF($B63&gt;'A1.3.10'!$S$58,U62,IF(OR(VLOOKUP($B63,'A1.3.10'!$S$28:$AE$58,6,)="",'Fuel consumption'!E$30=""),"",'Fuel consumption'!E$30 * VLOOKUP($B63,'A1.3.10'!$S$28:$AE$58,6,))))</f>
        <v>9.7483230363204512E-2</v>
      </c>
      <c r="V63" s="611">
        <f>IF($B63&lt;'A1.3.10'!$S$28,"",IF($B63&gt;'A1.3.10'!$S$58,V62,IF(OR(VLOOKUP($B63,'A1.3.10'!$S$28:$AE$58,6,)="",'Fuel consumption'!F$30=""),"",'Fuel consumption'!F$30 * VLOOKUP($B63,'A1.3.10'!$S$28:$AE$58,6,))))</f>
        <v>-1.4063727682028522E-3</v>
      </c>
      <c r="W63" s="2642">
        <f>IF($B63&lt;'A1.3.10'!$S$28,"",IF($B63&gt;'A1.3.10'!$S$58,W62,IF(OR(VLOOKUP($B63,'A1.3.10'!$S$28:$AE$58,6,)="",'Fuel consumption'!G$30=""),"",'Fuel consumption'!G$30 * VLOOKUP($B63,'A1.3.10'!$S$28:$AE$58,6,))))</f>
        <v>1.1906400891809692E-5</v>
      </c>
      <c r="X63" s="3144"/>
      <c r="Y63" s="2487">
        <f>IF($B63&lt;'A1.3.10'!$S$28,"",IF($B63&gt;'A1.3.10'!$S$58,Y62,IF(OR(VLOOKUP($B63,'A1.3.10'!$S$28:$AE$58,7,)="", 'Fuel consumption'!E$37=""),"",'Fuel consumption'!E$37 * VLOOKUP($B63,'A1.3.10'!$S$28:$AE$58,7,))))</f>
        <v>0.29149401103980166</v>
      </c>
      <c r="Z63" s="2642"/>
      <c r="AA63" s="2642"/>
      <c r="AB63" s="610">
        <f>IF($B63&lt;'A1.3.10'!$S$28,"",IF($B63&gt;'A1.3.10'!$S$58,AB62,IF(OR(VLOOKUP($B63,'A1.3.10'!$S$28:$AE$58,8,)="",'Fuel consumption'!D$31=""),"",'Fuel consumption'!D$31 * VLOOKUP($B63,'A1.3.10'!$S$28:$AE$58,8,))))</f>
        <v>2.6962848686626804</v>
      </c>
      <c r="AC63" s="611">
        <f>IF($B63&lt;'A1.3.10'!$S$28,"",IF($B63&gt;'A1.3.10'!$S$58,AC62,IF(OR(VLOOKUP($B63,'A1.3.10'!$S$28:$AE$58,8,)="",'Fuel consumption'!E$31=""),"",'Fuel consumption'!E$31 * VLOOKUP($B63,'A1.3.10'!$S$28:$AE$58,8,))))</f>
        <v>0.143057339771858</v>
      </c>
      <c r="AD63" s="611">
        <f>IF($B63&lt;'A1.3.10'!$S$28,"",IF($B63&gt;'A1.3.10'!$S$58,AD62,IF(OR(VLOOKUP($B63,'A1.3.10'!$S$28:$AE$58,8,)="",'Fuel consumption'!F$31=""),"",'Fuel consumption'!F$31 * VLOOKUP($B63,'A1.3.10'!$S$28:$AE$58,8,))))</f>
        <v>-1.0340193601785499E-3</v>
      </c>
      <c r="AE63" s="2642">
        <f>IF($B63&lt;'A1.3.10'!$S$28,"",IF($B63&gt;'A1.3.10'!$S$58,AE62,IF(OR(VLOOKUP($B63,'A1.3.10'!$S$28:$AE$58,8,)="",'Fuel consumption'!G$31=""),"",'Fuel consumption'!G$31 * VLOOKUP($B63,'A1.3.10'!$S$28:$AE$58,8,))))</f>
        <v>1.1293150500864199E-5</v>
      </c>
      <c r="AF63" s="610">
        <f>IF($B63&lt;'A1.3.10'!$S$28,"",IF($B63&gt;'A1.3.10'!$S$58,AF62,IF(OR(VLOOKUP($B63,'A1.3.10'!$S$28:$AE$58,10,)="",'Fuel consumption'!D$32=""),"",'Fuel consumption'!D$32 * VLOOKUP($B63,'A1.3.10'!$S$28:$AE$58,10,))))</f>
        <v>5.6655970981789903</v>
      </c>
      <c r="AG63" s="611">
        <f>IF($B63&lt;'A1.3.10'!$S$28,"",IF($B63&gt;'A1.3.10'!$S$58,AG62,IF(OR(VLOOKUP($B63,'A1.3.10'!$S$28:$AE$58,10,)="",'Fuel consumption'!E$32=""),"",'Fuel consumption'!E$32 * VLOOKUP($B63,'A1.3.10'!$S$28:$AE$58,10,))))</f>
        <v>0.29422449618924201</v>
      </c>
      <c r="AH63" s="611">
        <f>IF($B63&lt;'A1.3.10'!$S$28,"",IF($B63&gt;'A1.3.10'!$S$58,AH62,IF(OR(VLOOKUP($B63,'A1.3.10'!$S$28:$AE$58,10,)="",'Fuel consumption'!F$32=""),"",'Fuel consumption'!F$32 * VLOOKUP($B63,'A1.3.10'!$S$28:$AE$58,10,))))</f>
        <v>-1.9493920679616401E-3</v>
      </c>
      <c r="AI63" s="1578">
        <f>IF($B63&lt;'A1.3.10'!$S$28,"",IF($B63&gt;'A1.3.10'!$S$58,AI62,IF(OR(VLOOKUP($B63,'A1.3.10'!$S$28:$AE$58,10,)="",'Fuel consumption'!G$32=""),"",'Fuel consumption'!G$32 * VLOOKUP($B63,'A1.3.10'!$S$28:$AE$58,10,))))</f>
        <v>1.1619187345164999E-5</v>
      </c>
      <c r="AJ63" s="610">
        <f>IF($B63&lt;'A1.3.10'!$S$28,"",IF($B63&gt;'A1.3.10'!$S$58,AJ62,IF(OR(VLOOKUP($B63,'A1.3.10'!$S$28:$AE$58,12,)="",'Fuel consumption'!D$33=""),"",'Fuel consumption'!D$33 * VLOOKUP($B63,'A1.3.10'!$S$28:$AE$58,12,))))</f>
        <v>3.3601870156891001</v>
      </c>
      <c r="AK63" s="611">
        <f>IF($B63&lt;'A1.3.10'!$S$28,"",IF($B63&gt;'A1.3.10'!$S$58,AK62,IF(OR(VLOOKUP($B63,'A1.3.10'!$S$28:$AE$58,12,)="",'Fuel consumption'!E$33=""),"",'Fuel consumption'!E$33 * VLOOKUP($B63,'A1.3.10'!$S$28:$AE$58,12,))))</f>
        <v>0.29524938703213599</v>
      </c>
      <c r="AL63" s="611">
        <f>IF($B63&lt;'A1.3.10'!$S$28,"",IF($B63&gt;'A1.3.10'!$S$58,AL62,IF(OR(VLOOKUP($B63,'A1.3.10'!$S$28:$AE$58,12,)="",'Fuel consumption'!F$33=""),"",'Fuel consumption'!F$33 * VLOOKUP($B63,'A1.3.10'!$S$28:$AE$58,12,))))</f>
        <v>-3.20909768342738E-3</v>
      </c>
      <c r="AM63" s="1578">
        <f>IF($B63&lt;'A1.3.10'!$S$28,"",IF($B63&gt;'A1.3.10'!$S$58,AM62,IF(OR(VLOOKUP($B63,'A1.3.10'!$S$28:$AE$58,12,)="",'Fuel consumption'!G$33=""),"",'Fuel consumption'!G$33 * VLOOKUP($B63,'A1.3.10'!$S$28:$AE$58,12,))))</f>
        <v>2.3540043227716499E-5</v>
      </c>
    </row>
    <row r="64" spans="1:39" ht="13.5" customHeight="1">
      <c r="A64" s="623"/>
      <c r="B64" s="614">
        <f t="shared" si="3"/>
        <v>2048</v>
      </c>
      <c r="C64" s="609"/>
      <c r="D64" s="2484">
        <f>IF($B64&lt;'A1.3.10'!$S$28,"",IF($B64&gt;'A1.3.10'!$S$58,D63,IF(OR(VLOOKUP($B64,'A1.3.10'!$S$28:$AE$58,2,)="",'Fuel consumption'!D$27=""),"",'Fuel consumption'!D$27 * VLOOKUP($B64,'A1.3.10'!$S$28:$AE$58,2,))))</f>
        <v>0.32527491364024624</v>
      </c>
      <c r="E64" s="2485">
        <f>IF($B64&lt;'A1.3.10'!$S$28,"",IF($B64&gt;'A1.3.10'!$S$58,E63,IF(OR(VLOOKUP($B64,'A1.3.10'!$S$28:$AE$58,2,)="",'Fuel consumption'!E$27=""),"",'Fuel consumption'!E$27 * VLOOKUP($B64,'A1.3.10'!$S$28:$AE$58,2,))))</f>
        <v>6.9126195403069218E-2</v>
      </c>
      <c r="F64" s="2485">
        <f>IF($B64&lt;'A1.3.10'!$S$28,"",IF($B64&gt;'A1.3.10'!$S$58,F63,IF(OR(VLOOKUP($B64,'A1.3.10'!$S$28:$AE$58,2,)="",'Fuel consumption'!F$27=""),"",'Fuel consumption'!F$27 * VLOOKUP($B64,'A1.3.10'!$S$28:$AE$58,2,))))</f>
        <v>-7.8742934140708519E-4</v>
      </c>
      <c r="G64" s="2642">
        <f>IF($B64&lt;'A1.3.10'!$S$28,"",IF($B64&gt;'A1.3.10'!$S$58,G63,IF(OR(VLOOKUP($B64,'A1.3.10'!$S$28:$AE$58,2,)="",'Fuel consumption'!G$27=""),"",'Fuel consumption'!G$27 * VLOOKUP($B64,'A1.3.10'!$S$28:$AE$58,2,))))</f>
        <v>5.2150811705064693E-6</v>
      </c>
      <c r="H64" s="2486">
        <f>IF($B64&lt;'A1.3.10'!$S$28,"",IF($B64&gt;'A1.3.10'!$S$58,H63,IF(OR(VLOOKUP($B64,'A1.3.10'!$S$28:$AE$58,3,)="",'Fuel consumption'!D$28=""),"",'Fuel consumption'!D$28  * VLOOKUP($B64,'A1.3.10'!$S$28:$AE$58,3,))))</f>
        <v>0.38728007442052015</v>
      </c>
      <c r="I64" s="2487">
        <f>IF($B64&lt;'A1.3.10'!$S$28,"",IF($B64&gt;'A1.3.10'!$S$58,I63,IF(OR(VLOOKUP($B64,'A1.3.10'!$S$28:$AE$58,3,)="",'Fuel consumption'!E$28=""),"",'Fuel consumption'!E$28  * VLOOKUP($B64,'A1.3.10'!$S$28:$AE$58,3,))))</f>
        <v>5.5526385246550972E-2</v>
      </c>
      <c r="J64" s="2487">
        <f>IF($B64&lt;'A1.3.10'!$S$28,"",IF($B64&gt;'A1.3.10'!$S$58,J63,IF(OR(VLOOKUP($B64,'A1.3.10'!$S$28:$AE$58,3,)="",'Fuel consumption'!F$28=""),"",'Fuel consumption'!F$28  * VLOOKUP($B64,'A1.3.10'!$S$28:$AE$58,3,))))</f>
        <v>-5.3417929464962704E-4</v>
      </c>
      <c r="K64" s="2642">
        <f>IF($B64&lt;'A1.3.10'!$S$28,"",IF($B64&gt;'A1.3.10'!$S$58,K63,IF(OR(VLOOKUP($B64,'A1.3.10'!$S$28:$AE$58,3,)="",'Fuel consumption'!G$28=""),"",'Fuel consumption'!G$28  * VLOOKUP($B64,'A1.3.10'!$S$28:$AE$58,3,))))</f>
        <v>4.2093596420141842E-6</v>
      </c>
      <c r="L64" s="2486" t="str">
        <f>IF($B64&lt;'A1.3.10'!$S$28,"",IF($B64&gt;'A1.3.10'!$S$58,L63,IF(OR(VLOOKUP($B64,'A1.3.10'!$S$28:$AE$58,4,)="", 'Fuel consumption'!D$36=""),"",'Fuel consumption'!D$36 * VLOOKUP($B64,'A1.3.10'!$S$28:$AE$58,4,))))</f>
        <v/>
      </c>
      <c r="M64" s="2487">
        <f>IF($B64&lt;'A1.3.10'!$S$28,"",IF($B64&gt;'A1.3.10'!$S$58,M63,IF(OR(VLOOKUP($B64,'A1.3.10'!$S$28:$AE$58,4,)="", 'Fuel consumption'!E$36=""),"",'Fuel consumption'!E$36 * VLOOKUP($B64,'A1.3.10'!$S$28:$AE$58,4,))))</f>
        <v>0.12679510393803953</v>
      </c>
      <c r="N64" s="614" t="str">
        <f>IF($B64&lt;'A1.3.10'!$S$28,"",IF($B64&gt;'A1.3.10'!$S$58,N63,IF(OR(VLOOKUP($B64,'A1.3.10'!$S$28:$AE$58,4,)="", 'Fuel consumption'!F$36=""),"",'Fuel consumption'!F$36 * VLOOKUP($B64,'A1.3.10'!$S$28:$AE$58,4,))))</f>
        <v/>
      </c>
      <c r="O64" s="612" t="str">
        <f>IF($B64&lt;'A1.3.10'!$S$28,"",IF($B64&gt;'A1.3.10'!$S$58,O63,IF(OR(VLOOKUP($B64,'A1.3.10'!$S$28:$AE$58,4,)="", 'Fuel consumption'!G$36=""),"",'Fuel consumption'!G$36 * VLOOKUP($B64,'A1.3.10'!$S$28:$AE$58,4,))))</f>
        <v/>
      </c>
      <c r="P64" s="610">
        <f>IF($B64&lt;'A1.3.10'!$S$28,"",IF($B64&gt;'A1.3.10'!$S$58,P63,IF(OR(VLOOKUP($B64,'A1.3.10'!$S$28:$AE$58,5,)="",'Fuel consumption'!D$29=""),"",'Fuel consumption'!D$29 * VLOOKUP($B64,'A1.3.10'!$S$28:$AE$58,5,))))</f>
        <v>0.23398100209323003</v>
      </c>
      <c r="Q64" s="611">
        <f>IF($B64&lt;'A1.3.10'!$S$28,"",IF($B64&gt;'A1.3.10'!$S$58,Q63,IF(OR(VLOOKUP($B64,'A1.3.10'!$S$28:$AE$58,5,)="",'Fuel consumption'!E$29=""),"",'Fuel consumption'!E$29 * VLOOKUP($B64,'A1.3.10'!$S$28:$AE$58,5,))))</f>
        <v>0.13120300165283155</v>
      </c>
      <c r="R64" s="611">
        <f>IF($B64&lt;'A1.3.10'!$S$28,"",IF($B64&gt;'A1.3.10'!$S$58,R63,IF(OR(VLOOKUP($B64,'A1.3.10'!$S$28:$AE$58,5,)="",'Fuel consumption'!F$29=""),"",'Fuel consumption'!F$29 * VLOOKUP($B64,'A1.3.10'!$S$28:$AE$58,5,))))</f>
        <v>-2.0594564659300405E-3</v>
      </c>
      <c r="S64" s="2642">
        <f>IF($B64&lt;'A1.3.10'!$S$28,"",IF($B64&gt;'A1.3.10'!$S$58,S63,IF(OR(VLOOKUP($B64,'A1.3.10'!$S$28:$AE$58,5,)="",'Fuel consumption'!G$29=""),"",'Fuel consumption'!G$29 * VLOOKUP($B64,'A1.3.10'!$S$28:$AE$58,5,))))</f>
        <v>1.3300046823685748E-5</v>
      </c>
      <c r="T64" s="610">
        <f>IF($B64&lt;'A1.3.10'!$S$28,"",IF($B64&gt;'A1.3.10'!$S$58,T63,IF(OR(VLOOKUP($B64,'A1.3.10'!$S$28:$AE$58,6,)="",'Fuel consumption'!D$30=""),"",'Fuel consumption'!D$30 * VLOOKUP($B64,'A1.3.10'!$S$28:$AE$58,6,))))</f>
        <v>0.3988609037344879</v>
      </c>
      <c r="U64" s="611">
        <f>IF($B64&lt;'A1.3.10'!$S$28,"",IF($B64&gt;'A1.3.10'!$S$58,U63,IF(OR(VLOOKUP($B64,'A1.3.10'!$S$28:$AE$58,6,)="",'Fuel consumption'!E$30=""),"",'Fuel consumption'!E$30 * VLOOKUP($B64,'A1.3.10'!$S$28:$AE$58,6,))))</f>
        <v>9.7483230363204512E-2</v>
      </c>
      <c r="V64" s="611">
        <f>IF($B64&lt;'A1.3.10'!$S$28,"",IF($B64&gt;'A1.3.10'!$S$58,V63,IF(OR(VLOOKUP($B64,'A1.3.10'!$S$28:$AE$58,6,)="",'Fuel consumption'!F$30=""),"",'Fuel consumption'!F$30 * VLOOKUP($B64,'A1.3.10'!$S$28:$AE$58,6,))))</f>
        <v>-1.4063727682028522E-3</v>
      </c>
      <c r="W64" s="2642">
        <f>IF($B64&lt;'A1.3.10'!$S$28,"",IF($B64&gt;'A1.3.10'!$S$58,W63,IF(OR(VLOOKUP($B64,'A1.3.10'!$S$28:$AE$58,6,)="",'Fuel consumption'!G$30=""),"",'Fuel consumption'!G$30 * VLOOKUP($B64,'A1.3.10'!$S$28:$AE$58,6,))))</f>
        <v>1.1906400891809692E-5</v>
      </c>
      <c r="X64" s="3144"/>
      <c r="Y64" s="2487">
        <f>IF($B64&lt;'A1.3.10'!$S$28,"",IF($B64&gt;'A1.3.10'!$S$58,Y63,IF(OR(VLOOKUP($B64,'A1.3.10'!$S$28:$AE$58,7,)="", 'Fuel consumption'!E$37=""),"",'Fuel consumption'!E$37 * VLOOKUP($B64,'A1.3.10'!$S$28:$AE$58,7,))))</f>
        <v>0.29149401103980166</v>
      </c>
      <c r="Z64" s="2642"/>
      <c r="AA64" s="2642"/>
      <c r="AB64" s="610">
        <f>IF($B64&lt;'A1.3.10'!$S$28,"",IF($B64&gt;'A1.3.10'!$S$58,AB63,IF(OR(VLOOKUP($B64,'A1.3.10'!$S$28:$AE$58,8,)="",'Fuel consumption'!D$31=""),"",'Fuel consumption'!D$31 * VLOOKUP($B64,'A1.3.10'!$S$28:$AE$58,8,))))</f>
        <v>2.6962848686626804</v>
      </c>
      <c r="AC64" s="611">
        <f>IF($B64&lt;'A1.3.10'!$S$28,"",IF($B64&gt;'A1.3.10'!$S$58,AC63,IF(OR(VLOOKUP($B64,'A1.3.10'!$S$28:$AE$58,8,)="",'Fuel consumption'!E$31=""),"",'Fuel consumption'!E$31 * VLOOKUP($B64,'A1.3.10'!$S$28:$AE$58,8,))))</f>
        <v>0.143057339771858</v>
      </c>
      <c r="AD64" s="611">
        <f>IF($B64&lt;'A1.3.10'!$S$28,"",IF($B64&gt;'A1.3.10'!$S$58,AD63,IF(OR(VLOOKUP($B64,'A1.3.10'!$S$28:$AE$58,8,)="",'Fuel consumption'!F$31=""),"",'Fuel consumption'!F$31 * VLOOKUP($B64,'A1.3.10'!$S$28:$AE$58,8,))))</f>
        <v>-1.0340193601785499E-3</v>
      </c>
      <c r="AE64" s="2642">
        <f>IF($B64&lt;'A1.3.10'!$S$28,"",IF($B64&gt;'A1.3.10'!$S$58,AE63,IF(OR(VLOOKUP($B64,'A1.3.10'!$S$28:$AE$58,8,)="",'Fuel consumption'!G$31=""),"",'Fuel consumption'!G$31 * VLOOKUP($B64,'A1.3.10'!$S$28:$AE$58,8,))))</f>
        <v>1.1293150500864199E-5</v>
      </c>
      <c r="AF64" s="610">
        <f>IF($B64&lt;'A1.3.10'!$S$28,"",IF($B64&gt;'A1.3.10'!$S$58,AF63,IF(OR(VLOOKUP($B64,'A1.3.10'!$S$28:$AE$58,10,)="",'Fuel consumption'!D$32=""),"",'Fuel consumption'!D$32 * VLOOKUP($B64,'A1.3.10'!$S$28:$AE$58,10,))))</f>
        <v>5.6655970981789903</v>
      </c>
      <c r="AG64" s="611">
        <f>IF($B64&lt;'A1.3.10'!$S$28,"",IF($B64&gt;'A1.3.10'!$S$58,AG63,IF(OR(VLOOKUP($B64,'A1.3.10'!$S$28:$AE$58,10,)="",'Fuel consumption'!E$32=""),"",'Fuel consumption'!E$32 * VLOOKUP($B64,'A1.3.10'!$S$28:$AE$58,10,))))</f>
        <v>0.29422449618924201</v>
      </c>
      <c r="AH64" s="611">
        <f>IF($B64&lt;'A1.3.10'!$S$28,"",IF($B64&gt;'A1.3.10'!$S$58,AH63,IF(OR(VLOOKUP($B64,'A1.3.10'!$S$28:$AE$58,10,)="",'Fuel consumption'!F$32=""),"",'Fuel consumption'!F$32 * VLOOKUP($B64,'A1.3.10'!$S$28:$AE$58,10,))))</f>
        <v>-1.9493920679616401E-3</v>
      </c>
      <c r="AI64" s="1578">
        <f>IF($B64&lt;'A1.3.10'!$S$28,"",IF($B64&gt;'A1.3.10'!$S$58,AI63,IF(OR(VLOOKUP($B64,'A1.3.10'!$S$28:$AE$58,10,)="",'Fuel consumption'!G$32=""),"",'Fuel consumption'!G$32 * VLOOKUP($B64,'A1.3.10'!$S$28:$AE$58,10,))))</f>
        <v>1.1619187345164999E-5</v>
      </c>
      <c r="AJ64" s="610">
        <f>IF($B64&lt;'A1.3.10'!$S$28,"",IF($B64&gt;'A1.3.10'!$S$58,AJ63,IF(OR(VLOOKUP($B64,'A1.3.10'!$S$28:$AE$58,12,)="",'Fuel consumption'!D$33=""),"",'Fuel consumption'!D$33 * VLOOKUP($B64,'A1.3.10'!$S$28:$AE$58,12,))))</f>
        <v>3.3601870156891001</v>
      </c>
      <c r="AK64" s="611">
        <f>IF($B64&lt;'A1.3.10'!$S$28,"",IF($B64&gt;'A1.3.10'!$S$58,AK63,IF(OR(VLOOKUP($B64,'A1.3.10'!$S$28:$AE$58,12,)="",'Fuel consumption'!E$33=""),"",'Fuel consumption'!E$33 * VLOOKUP($B64,'A1.3.10'!$S$28:$AE$58,12,))))</f>
        <v>0.29524938703213599</v>
      </c>
      <c r="AL64" s="611">
        <f>IF($B64&lt;'A1.3.10'!$S$28,"",IF($B64&gt;'A1.3.10'!$S$58,AL63,IF(OR(VLOOKUP($B64,'A1.3.10'!$S$28:$AE$58,12,)="",'Fuel consumption'!F$33=""),"",'Fuel consumption'!F$33 * VLOOKUP($B64,'A1.3.10'!$S$28:$AE$58,12,))))</f>
        <v>-3.20909768342738E-3</v>
      </c>
      <c r="AM64" s="1578">
        <f>IF($B64&lt;'A1.3.10'!$S$28,"",IF($B64&gt;'A1.3.10'!$S$58,AM63,IF(OR(VLOOKUP($B64,'A1.3.10'!$S$28:$AE$58,12,)="",'Fuel consumption'!G$33=""),"",'Fuel consumption'!G$33 * VLOOKUP($B64,'A1.3.10'!$S$28:$AE$58,12,))))</f>
        <v>2.3540043227716499E-5</v>
      </c>
    </row>
    <row r="65" spans="1:39" ht="13.5" customHeight="1">
      <c r="A65" s="623"/>
      <c r="B65" s="614">
        <f t="shared" si="3"/>
        <v>2049</v>
      </c>
      <c r="C65" s="609"/>
      <c r="D65" s="2484">
        <f>IF($B65&lt;'A1.3.10'!$S$28,"",IF($B65&gt;'A1.3.10'!$S$58,D64,IF(OR(VLOOKUP($B65,'A1.3.10'!$S$28:$AE$58,2,)="",'Fuel consumption'!D$27=""),"",'Fuel consumption'!D$27 * VLOOKUP($B65,'A1.3.10'!$S$28:$AE$58,2,))))</f>
        <v>0.32527491364024624</v>
      </c>
      <c r="E65" s="2485">
        <f>IF($B65&lt;'A1.3.10'!$S$28,"",IF($B65&gt;'A1.3.10'!$S$58,E64,IF(OR(VLOOKUP($B65,'A1.3.10'!$S$28:$AE$58,2,)="",'Fuel consumption'!E$27=""),"",'Fuel consumption'!E$27 * VLOOKUP($B65,'A1.3.10'!$S$28:$AE$58,2,))))</f>
        <v>6.9126195403069218E-2</v>
      </c>
      <c r="F65" s="2485">
        <f>IF($B65&lt;'A1.3.10'!$S$28,"",IF($B65&gt;'A1.3.10'!$S$58,F64,IF(OR(VLOOKUP($B65,'A1.3.10'!$S$28:$AE$58,2,)="",'Fuel consumption'!F$27=""),"",'Fuel consumption'!F$27 * VLOOKUP($B65,'A1.3.10'!$S$28:$AE$58,2,))))</f>
        <v>-7.8742934140708519E-4</v>
      </c>
      <c r="G65" s="2642">
        <f>IF($B65&lt;'A1.3.10'!$S$28,"",IF($B65&gt;'A1.3.10'!$S$58,G64,IF(OR(VLOOKUP($B65,'A1.3.10'!$S$28:$AE$58,2,)="",'Fuel consumption'!G$27=""),"",'Fuel consumption'!G$27 * VLOOKUP($B65,'A1.3.10'!$S$28:$AE$58,2,))))</f>
        <v>5.2150811705064693E-6</v>
      </c>
      <c r="H65" s="2486">
        <f>IF($B65&lt;'A1.3.10'!$S$28,"",IF($B65&gt;'A1.3.10'!$S$58,H64,IF(OR(VLOOKUP($B65,'A1.3.10'!$S$28:$AE$58,3,)="",'Fuel consumption'!D$28=""),"",'Fuel consumption'!D$28  * VLOOKUP($B65,'A1.3.10'!$S$28:$AE$58,3,))))</f>
        <v>0.38728007442052015</v>
      </c>
      <c r="I65" s="2487">
        <f>IF($B65&lt;'A1.3.10'!$S$28,"",IF($B65&gt;'A1.3.10'!$S$58,I64,IF(OR(VLOOKUP($B65,'A1.3.10'!$S$28:$AE$58,3,)="",'Fuel consumption'!E$28=""),"",'Fuel consumption'!E$28  * VLOOKUP($B65,'A1.3.10'!$S$28:$AE$58,3,))))</f>
        <v>5.5526385246550972E-2</v>
      </c>
      <c r="J65" s="2487">
        <f>IF($B65&lt;'A1.3.10'!$S$28,"",IF($B65&gt;'A1.3.10'!$S$58,J64,IF(OR(VLOOKUP($B65,'A1.3.10'!$S$28:$AE$58,3,)="",'Fuel consumption'!F$28=""),"",'Fuel consumption'!F$28  * VLOOKUP($B65,'A1.3.10'!$S$28:$AE$58,3,))))</f>
        <v>-5.3417929464962704E-4</v>
      </c>
      <c r="K65" s="2642">
        <f>IF($B65&lt;'A1.3.10'!$S$28,"",IF($B65&gt;'A1.3.10'!$S$58,K64,IF(OR(VLOOKUP($B65,'A1.3.10'!$S$28:$AE$58,3,)="",'Fuel consumption'!G$28=""),"",'Fuel consumption'!G$28  * VLOOKUP($B65,'A1.3.10'!$S$28:$AE$58,3,))))</f>
        <v>4.2093596420141842E-6</v>
      </c>
      <c r="L65" s="2486" t="str">
        <f>IF($B65&lt;'A1.3.10'!$S$28,"",IF($B65&gt;'A1.3.10'!$S$58,L64,IF(OR(VLOOKUP($B65,'A1.3.10'!$S$28:$AE$58,4,)="", 'Fuel consumption'!D$36=""),"",'Fuel consumption'!D$36 * VLOOKUP($B65,'A1.3.10'!$S$28:$AE$58,4,))))</f>
        <v/>
      </c>
      <c r="M65" s="2487">
        <f>IF($B65&lt;'A1.3.10'!$S$28,"",IF($B65&gt;'A1.3.10'!$S$58,M64,IF(OR(VLOOKUP($B65,'A1.3.10'!$S$28:$AE$58,4,)="", 'Fuel consumption'!E$36=""),"",'Fuel consumption'!E$36 * VLOOKUP($B65,'A1.3.10'!$S$28:$AE$58,4,))))</f>
        <v>0.12679510393803953</v>
      </c>
      <c r="N65" s="614" t="str">
        <f>IF($B65&lt;'A1.3.10'!$S$28,"",IF($B65&gt;'A1.3.10'!$S$58,N64,IF(OR(VLOOKUP($B65,'A1.3.10'!$S$28:$AE$58,4,)="", 'Fuel consumption'!F$36=""),"",'Fuel consumption'!F$36 * VLOOKUP($B65,'A1.3.10'!$S$28:$AE$58,4,))))</f>
        <v/>
      </c>
      <c r="O65" s="612" t="str">
        <f>IF($B65&lt;'A1.3.10'!$S$28,"",IF($B65&gt;'A1.3.10'!$S$58,O64,IF(OR(VLOOKUP($B65,'A1.3.10'!$S$28:$AE$58,4,)="", 'Fuel consumption'!G$36=""),"",'Fuel consumption'!G$36 * VLOOKUP($B65,'A1.3.10'!$S$28:$AE$58,4,))))</f>
        <v/>
      </c>
      <c r="P65" s="610">
        <f>IF($B65&lt;'A1.3.10'!$S$28,"",IF($B65&gt;'A1.3.10'!$S$58,P64,IF(OR(VLOOKUP($B65,'A1.3.10'!$S$28:$AE$58,5,)="",'Fuel consumption'!D$29=""),"",'Fuel consumption'!D$29 * VLOOKUP($B65,'A1.3.10'!$S$28:$AE$58,5,))))</f>
        <v>0.23398100209323003</v>
      </c>
      <c r="Q65" s="611">
        <f>IF($B65&lt;'A1.3.10'!$S$28,"",IF($B65&gt;'A1.3.10'!$S$58,Q64,IF(OR(VLOOKUP($B65,'A1.3.10'!$S$28:$AE$58,5,)="",'Fuel consumption'!E$29=""),"",'Fuel consumption'!E$29 * VLOOKUP($B65,'A1.3.10'!$S$28:$AE$58,5,))))</f>
        <v>0.13120300165283155</v>
      </c>
      <c r="R65" s="611">
        <f>IF($B65&lt;'A1.3.10'!$S$28,"",IF($B65&gt;'A1.3.10'!$S$58,R64,IF(OR(VLOOKUP($B65,'A1.3.10'!$S$28:$AE$58,5,)="",'Fuel consumption'!F$29=""),"",'Fuel consumption'!F$29 * VLOOKUP($B65,'A1.3.10'!$S$28:$AE$58,5,))))</f>
        <v>-2.0594564659300405E-3</v>
      </c>
      <c r="S65" s="2642">
        <f>IF($B65&lt;'A1.3.10'!$S$28,"",IF($B65&gt;'A1.3.10'!$S$58,S64,IF(OR(VLOOKUP($B65,'A1.3.10'!$S$28:$AE$58,5,)="",'Fuel consumption'!G$29=""),"",'Fuel consumption'!G$29 * VLOOKUP($B65,'A1.3.10'!$S$28:$AE$58,5,))))</f>
        <v>1.3300046823685748E-5</v>
      </c>
      <c r="T65" s="610">
        <f>IF($B65&lt;'A1.3.10'!$S$28,"",IF($B65&gt;'A1.3.10'!$S$58,T64,IF(OR(VLOOKUP($B65,'A1.3.10'!$S$28:$AE$58,6,)="",'Fuel consumption'!D$30=""),"",'Fuel consumption'!D$30 * VLOOKUP($B65,'A1.3.10'!$S$28:$AE$58,6,))))</f>
        <v>0.3988609037344879</v>
      </c>
      <c r="U65" s="611">
        <f>IF($B65&lt;'A1.3.10'!$S$28,"",IF($B65&gt;'A1.3.10'!$S$58,U64,IF(OR(VLOOKUP($B65,'A1.3.10'!$S$28:$AE$58,6,)="",'Fuel consumption'!E$30=""),"",'Fuel consumption'!E$30 * VLOOKUP($B65,'A1.3.10'!$S$28:$AE$58,6,))))</f>
        <v>9.7483230363204512E-2</v>
      </c>
      <c r="V65" s="611">
        <f>IF($B65&lt;'A1.3.10'!$S$28,"",IF($B65&gt;'A1.3.10'!$S$58,V64,IF(OR(VLOOKUP($B65,'A1.3.10'!$S$28:$AE$58,6,)="",'Fuel consumption'!F$30=""),"",'Fuel consumption'!F$30 * VLOOKUP($B65,'A1.3.10'!$S$28:$AE$58,6,))))</f>
        <v>-1.4063727682028522E-3</v>
      </c>
      <c r="W65" s="2642">
        <f>IF($B65&lt;'A1.3.10'!$S$28,"",IF($B65&gt;'A1.3.10'!$S$58,W64,IF(OR(VLOOKUP($B65,'A1.3.10'!$S$28:$AE$58,6,)="",'Fuel consumption'!G$30=""),"",'Fuel consumption'!G$30 * VLOOKUP($B65,'A1.3.10'!$S$28:$AE$58,6,))))</f>
        <v>1.1906400891809692E-5</v>
      </c>
      <c r="X65" s="3144"/>
      <c r="Y65" s="2487">
        <f>IF($B65&lt;'A1.3.10'!$S$28,"",IF($B65&gt;'A1.3.10'!$S$58,Y64,IF(OR(VLOOKUP($B65,'A1.3.10'!$S$28:$AE$58,7,)="", 'Fuel consumption'!E$37=""),"",'Fuel consumption'!E$37 * VLOOKUP($B65,'A1.3.10'!$S$28:$AE$58,7,))))</f>
        <v>0.29149401103980166</v>
      </c>
      <c r="Z65" s="2642"/>
      <c r="AA65" s="2642"/>
      <c r="AB65" s="610">
        <f>IF($B65&lt;'A1.3.10'!$S$28,"",IF($B65&gt;'A1.3.10'!$S$58,AB64,IF(OR(VLOOKUP($B65,'A1.3.10'!$S$28:$AE$58,8,)="",'Fuel consumption'!D$31=""),"",'Fuel consumption'!D$31 * VLOOKUP($B65,'A1.3.10'!$S$28:$AE$58,8,))))</f>
        <v>2.6962848686626804</v>
      </c>
      <c r="AC65" s="611">
        <f>IF($B65&lt;'A1.3.10'!$S$28,"",IF($B65&gt;'A1.3.10'!$S$58,AC64,IF(OR(VLOOKUP($B65,'A1.3.10'!$S$28:$AE$58,8,)="",'Fuel consumption'!E$31=""),"",'Fuel consumption'!E$31 * VLOOKUP($B65,'A1.3.10'!$S$28:$AE$58,8,))))</f>
        <v>0.143057339771858</v>
      </c>
      <c r="AD65" s="611">
        <f>IF($B65&lt;'A1.3.10'!$S$28,"",IF($B65&gt;'A1.3.10'!$S$58,AD64,IF(OR(VLOOKUP($B65,'A1.3.10'!$S$28:$AE$58,8,)="",'Fuel consumption'!F$31=""),"",'Fuel consumption'!F$31 * VLOOKUP($B65,'A1.3.10'!$S$28:$AE$58,8,))))</f>
        <v>-1.0340193601785499E-3</v>
      </c>
      <c r="AE65" s="2642">
        <f>IF($B65&lt;'A1.3.10'!$S$28,"",IF($B65&gt;'A1.3.10'!$S$58,AE64,IF(OR(VLOOKUP($B65,'A1.3.10'!$S$28:$AE$58,8,)="",'Fuel consumption'!G$31=""),"",'Fuel consumption'!G$31 * VLOOKUP($B65,'A1.3.10'!$S$28:$AE$58,8,))))</f>
        <v>1.1293150500864199E-5</v>
      </c>
      <c r="AF65" s="610">
        <f>IF($B65&lt;'A1.3.10'!$S$28,"",IF($B65&gt;'A1.3.10'!$S$58,AF64,IF(OR(VLOOKUP($B65,'A1.3.10'!$S$28:$AE$58,10,)="",'Fuel consumption'!D$32=""),"",'Fuel consumption'!D$32 * VLOOKUP($B65,'A1.3.10'!$S$28:$AE$58,10,))))</f>
        <v>5.6655970981789903</v>
      </c>
      <c r="AG65" s="611">
        <f>IF($B65&lt;'A1.3.10'!$S$28,"",IF($B65&gt;'A1.3.10'!$S$58,AG64,IF(OR(VLOOKUP($B65,'A1.3.10'!$S$28:$AE$58,10,)="",'Fuel consumption'!E$32=""),"",'Fuel consumption'!E$32 * VLOOKUP($B65,'A1.3.10'!$S$28:$AE$58,10,))))</f>
        <v>0.29422449618924201</v>
      </c>
      <c r="AH65" s="611">
        <f>IF($B65&lt;'A1.3.10'!$S$28,"",IF($B65&gt;'A1.3.10'!$S$58,AH64,IF(OR(VLOOKUP($B65,'A1.3.10'!$S$28:$AE$58,10,)="",'Fuel consumption'!F$32=""),"",'Fuel consumption'!F$32 * VLOOKUP($B65,'A1.3.10'!$S$28:$AE$58,10,))))</f>
        <v>-1.9493920679616401E-3</v>
      </c>
      <c r="AI65" s="1578">
        <f>IF($B65&lt;'A1.3.10'!$S$28,"",IF($B65&gt;'A1.3.10'!$S$58,AI64,IF(OR(VLOOKUP($B65,'A1.3.10'!$S$28:$AE$58,10,)="",'Fuel consumption'!G$32=""),"",'Fuel consumption'!G$32 * VLOOKUP($B65,'A1.3.10'!$S$28:$AE$58,10,))))</f>
        <v>1.1619187345164999E-5</v>
      </c>
      <c r="AJ65" s="610">
        <f>IF($B65&lt;'A1.3.10'!$S$28,"",IF($B65&gt;'A1.3.10'!$S$58,AJ64,IF(OR(VLOOKUP($B65,'A1.3.10'!$S$28:$AE$58,12,)="",'Fuel consumption'!D$33=""),"",'Fuel consumption'!D$33 * VLOOKUP($B65,'A1.3.10'!$S$28:$AE$58,12,))))</f>
        <v>3.3601870156891001</v>
      </c>
      <c r="AK65" s="611">
        <f>IF($B65&lt;'A1.3.10'!$S$28,"",IF($B65&gt;'A1.3.10'!$S$58,AK64,IF(OR(VLOOKUP($B65,'A1.3.10'!$S$28:$AE$58,12,)="",'Fuel consumption'!E$33=""),"",'Fuel consumption'!E$33 * VLOOKUP($B65,'A1.3.10'!$S$28:$AE$58,12,))))</f>
        <v>0.29524938703213599</v>
      </c>
      <c r="AL65" s="611">
        <f>IF($B65&lt;'A1.3.10'!$S$28,"",IF($B65&gt;'A1.3.10'!$S$58,AL64,IF(OR(VLOOKUP($B65,'A1.3.10'!$S$28:$AE$58,12,)="",'Fuel consumption'!F$33=""),"",'Fuel consumption'!F$33 * VLOOKUP($B65,'A1.3.10'!$S$28:$AE$58,12,))))</f>
        <v>-3.20909768342738E-3</v>
      </c>
      <c r="AM65" s="1578">
        <f>IF($B65&lt;'A1.3.10'!$S$28,"",IF($B65&gt;'A1.3.10'!$S$58,AM64,IF(OR(VLOOKUP($B65,'A1.3.10'!$S$28:$AE$58,12,)="",'Fuel consumption'!G$33=""),"",'Fuel consumption'!G$33 * VLOOKUP($B65,'A1.3.10'!$S$28:$AE$58,12,))))</f>
        <v>2.3540043227716499E-5</v>
      </c>
    </row>
    <row r="66" spans="1:39" ht="13.5" customHeight="1">
      <c r="A66" s="623"/>
      <c r="B66" s="614">
        <f t="shared" si="3"/>
        <v>2050</v>
      </c>
      <c r="C66" s="609"/>
      <c r="D66" s="2484">
        <f>IF($B66&lt;'A1.3.10'!$S$28,"",IF($B66&gt;'A1.3.10'!$S$58,D65,IF(OR(VLOOKUP($B66,'A1.3.10'!$S$28:$AE$58,2,)="",'Fuel consumption'!D$27=""),"",'Fuel consumption'!D$27 * VLOOKUP($B66,'A1.3.10'!$S$28:$AE$58,2,))))</f>
        <v>0.32527491364024624</v>
      </c>
      <c r="E66" s="2485">
        <f>IF($B66&lt;'A1.3.10'!$S$28,"",IF($B66&gt;'A1.3.10'!$S$58,E65,IF(OR(VLOOKUP($B66,'A1.3.10'!$S$28:$AE$58,2,)="",'Fuel consumption'!E$27=""),"",'Fuel consumption'!E$27 * VLOOKUP($B66,'A1.3.10'!$S$28:$AE$58,2,))))</f>
        <v>6.9126195403069218E-2</v>
      </c>
      <c r="F66" s="2485">
        <f>IF($B66&lt;'A1.3.10'!$S$28,"",IF($B66&gt;'A1.3.10'!$S$58,F65,IF(OR(VLOOKUP($B66,'A1.3.10'!$S$28:$AE$58,2,)="",'Fuel consumption'!F$27=""),"",'Fuel consumption'!F$27 * VLOOKUP($B66,'A1.3.10'!$S$28:$AE$58,2,))))</f>
        <v>-7.8742934140708519E-4</v>
      </c>
      <c r="G66" s="2642">
        <f>IF($B66&lt;'A1.3.10'!$S$28,"",IF($B66&gt;'A1.3.10'!$S$58,G65,IF(OR(VLOOKUP($B66,'A1.3.10'!$S$28:$AE$58,2,)="",'Fuel consumption'!G$27=""),"",'Fuel consumption'!G$27 * VLOOKUP($B66,'A1.3.10'!$S$28:$AE$58,2,))))</f>
        <v>5.2150811705064693E-6</v>
      </c>
      <c r="H66" s="2486">
        <f>IF($B66&lt;'A1.3.10'!$S$28,"",IF($B66&gt;'A1.3.10'!$S$58,H65,IF(OR(VLOOKUP($B66,'A1.3.10'!$S$28:$AE$58,3,)="",'Fuel consumption'!D$28=""),"",'Fuel consumption'!D$28  * VLOOKUP($B66,'A1.3.10'!$S$28:$AE$58,3,))))</f>
        <v>0.38728007442052015</v>
      </c>
      <c r="I66" s="2487">
        <f>IF($B66&lt;'A1.3.10'!$S$28,"",IF($B66&gt;'A1.3.10'!$S$58,I65,IF(OR(VLOOKUP($B66,'A1.3.10'!$S$28:$AE$58,3,)="",'Fuel consumption'!E$28=""),"",'Fuel consumption'!E$28  * VLOOKUP($B66,'A1.3.10'!$S$28:$AE$58,3,))))</f>
        <v>5.5526385246550972E-2</v>
      </c>
      <c r="J66" s="2487">
        <f>IF($B66&lt;'A1.3.10'!$S$28,"",IF($B66&gt;'A1.3.10'!$S$58,J65,IF(OR(VLOOKUP($B66,'A1.3.10'!$S$28:$AE$58,3,)="",'Fuel consumption'!F$28=""),"",'Fuel consumption'!F$28  * VLOOKUP($B66,'A1.3.10'!$S$28:$AE$58,3,))))</f>
        <v>-5.3417929464962704E-4</v>
      </c>
      <c r="K66" s="2642">
        <f>IF($B66&lt;'A1.3.10'!$S$28,"",IF($B66&gt;'A1.3.10'!$S$58,K65,IF(OR(VLOOKUP($B66,'A1.3.10'!$S$28:$AE$58,3,)="",'Fuel consumption'!G$28=""),"",'Fuel consumption'!G$28  * VLOOKUP($B66,'A1.3.10'!$S$28:$AE$58,3,))))</f>
        <v>4.2093596420141842E-6</v>
      </c>
      <c r="L66" s="2486" t="str">
        <f>IF($B66&lt;'A1.3.10'!$S$28,"",IF($B66&gt;'A1.3.10'!$S$58,L65,IF(OR(VLOOKUP($B66,'A1.3.10'!$S$28:$AE$58,4,)="", 'Fuel consumption'!D$36=""),"",'Fuel consumption'!D$36 * VLOOKUP($B66,'A1.3.10'!$S$28:$AE$58,4,))))</f>
        <v/>
      </c>
      <c r="M66" s="2487">
        <f>IF($B66&lt;'A1.3.10'!$S$28,"",IF($B66&gt;'A1.3.10'!$S$58,M65,IF(OR(VLOOKUP($B66,'A1.3.10'!$S$28:$AE$58,4,)="", 'Fuel consumption'!E$36=""),"",'Fuel consumption'!E$36 * VLOOKUP($B66,'A1.3.10'!$S$28:$AE$58,4,))))</f>
        <v>0.12679510393803953</v>
      </c>
      <c r="N66" s="614" t="str">
        <f>IF($B66&lt;'A1.3.10'!$S$28,"",IF($B66&gt;'A1.3.10'!$S$58,N65,IF(OR(VLOOKUP($B66,'A1.3.10'!$S$28:$AE$58,4,)="", 'Fuel consumption'!F$36=""),"",'Fuel consumption'!F$36 * VLOOKUP($B66,'A1.3.10'!$S$28:$AE$58,4,))))</f>
        <v/>
      </c>
      <c r="O66" s="612" t="str">
        <f>IF($B66&lt;'A1.3.10'!$S$28,"",IF($B66&gt;'A1.3.10'!$S$58,O65,IF(OR(VLOOKUP($B66,'A1.3.10'!$S$28:$AE$58,4,)="", 'Fuel consumption'!G$36=""),"",'Fuel consumption'!G$36 * VLOOKUP($B66,'A1.3.10'!$S$28:$AE$58,4,))))</f>
        <v/>
      </c>
      <c r="P66" s="610">
        <f>IF($B66&lt;'A1.3.10'!$S$28,"",IF($B66&gt;'A1.3.10'!$S$58,P65,IF(OR(VLOOKUP($B66,'A1.3.10'!$S$28:$AE$58,5,)="",'Fuel consumption'!D$29=""),"",'Fuel consumption'!D$29 * VLOOKUP($B66,'A1.3.10'!$S$28:$AE$58,5,))))</f>
        <v>0.23398100209323003</v>
      </c>
      <c r="Q66" s="611">
        <f>IF($B66&lt;'A1.3.10'!$S$28,"",IF($B66&gt;'A1.3.10'!$S$58,Q65,IF(OR(VLOOKUP($B66,'A1.3.10'!$S$28:$AE$58,5,)="",'Fuel consumption'!E$29=""),"",'Fuel consumption'!E$29 * VLOOKUP($B66,'A1.3.10'!$S$28:$AE$58,5,))))</f>
        <v>0.13120300165283155</v>
      </c>
      <c r="R66" s="611">
        <f>IF($B66&lt;'A1.3.10'!$S$28,"",IF($B66&gt;'A1.3.10'!$S$58,R65,IF(OR(VLOOKUP($B66,'A1.3.10'!$S$28:$AE$58,5,)="",'Fuel consumption'!F$29=""),"",'Fuel consumption'!F$29 * VLOOKUP($B66,'A1.3.10'!$S$28:$AE$58,5,))))</f>
        <v>-2.0594564659300405E-3</v>
      </c>
      <c r="S66" s="2642">
        <f>IF($B66&lt;'A1.3.10'!$S$28,"",IF($B66&gt;'A1.3.10'!$S$58,S65,IF(OR(VLOOKUP($B66,'A1.3.10'!$S$28:$AE$58,5,)="",'Fuel consumption'!G$29=""),"",'Fuel consumption'!G$29 * VLOOKUP($B66,'A1.3.10'!$S$28:$AE$58,5,))))</f>
        <v>1.3300046823685748E-5</v>
      </c>
      <c r="T66" s="610">
        <f>IF($B66&lt;'A1.3.10'!$S$28,"",IF($B66&gt;'A1.3.10'!$S$58,T65,IF(OR(VLOOKUP($B66,'A1.3.10'!$S$28:$AE$58,6,)="",'Fuel consumption'!D$30=""),"",'Fuel consumption'!D$30 * VLOOKUP($B66,'A1.3.10'!$S$28:$AE$58,6,))))</f>
        <v>0.3988609037344879</v>
      </c>
      <c r="U66" s="611">
        <f>IF($B66&lt;'A1.3.10'!$S$28,"",IF($B66&gt;'A1.3.10'!$S$58,U65,IF(OR(VLOOKUP($B66,'A1.3.10'!$S$28:$AE$58,6,)="",'Fuel consumption'!E$30=""),"",'Fuel consumption'!E$30 * VLOOKUP($B66,'A1.3.10'!$S$28:$AE$58,6,))))</f>
        <v>9.7483230363204512E-2</v>
      </c>
      <c r="V66" s="611">
        <f>IF($B66&lt;'A1.3.10'!$S$28,"",IF($B66&gt;'A1.3.10'!$S$58,V65,IF(OR(VLOOKUP($B66,'A1.3.10'!$S$28:$AE$58,6,)="",'Fuel consumption'!F$30=""),"",'Fuel consumption'!F$30 * VLOOKUP($B66,'A1.3.10'!$S$28:$AE$58,6,))))</f>
        <v>-1.4063727682028522E-3</v>
      </c>
      <c r="W66" s="2642">
        <f>IF($B66&lt;'A1.3.10'!$S$28,"",IF($B66&gt;'A1.3.10'!$S$58,W65,IF(OR(VLOOKUP($B66,'A1.3.10'!$S$28:$AE$58,6,)="",'Fuel consumption'!G$30=""),"",'Fuel consumption'!G$30 * VLOOKUP($B66,'A1.3.10'!$S$28:$AE$58,6,))))</f>
        <v>1.1906400891809692E-5</v>
      </c>
      <c r="X66" s="3144"/>
      <c r="Y66" s="2487">
        <f>IF($B66&lt;'A1.3.10'!$S$28,"",IF($B66&gt;'A1.3.10'!$S$58,Y65,IF(OR(VLOOKUP($B66,'A1.3.10'!$S$28:$AE$58,7,)="", 'Fuel consumption'!E$37=""),"",'Fuel consumption'!E$37 * VLOOKUP($B66,'A1.3.10'!$S$28:$AE$58,7,))))</f>
        <v>0.29149401103980166</v>
      </c>
      <c r="Z66" s="2642"/>
      <c r="AA66" s="2642"/>
      <c r="AB66" s="610">
        <f>IF($B66&lt;'A1.3.10'!$S$28,"",IF($B66&gt;'A1.3.10'!$S$58,AB65,IF(OR(VLOOKUP($B66,'A1.3.10'!$S$28:$AE$58,8,)="",'Fuel consumption'!D$31=""),"",'Fuel consumption'!D$31 * VLOOKUP($B66,'A1.3.10'!$S$28:$AE$58,8,))))</f>
        <v>2.6962848686626804</v>
      </c>
      <c r="AC66" s="611">
        <f>IF($B66&lt;'A1.3.10'!$S$28,"",IF($B66&gt;'A1.3.10'!$S$58,AC65,IF(OR(VLOOKUP($B66,'A1.3.10'!$S$28:$AE$58,8,)="",'Fuel consumption'!E$31=""),"",'Fuel consumption'!E$31 * VLOOKUP($B66,'A1.3.10'!$S$28:$AE$58,8,))))</f>
        <v>0.143057339771858</v>
      </c>
      <c r="AD66" s="611">
        <f>IF($B66&lt;'A1.3.10'!$S$28,"",IF($B66&gt;'A1.3.10'!$S$58,AD65,IF(OR(VLOOKUP($B66,'A1.3.10'!$S$28:$AE$58,8,)="",'Fuel consumption'!F$31=""),"",'Fuel consumption'!F$31 * VLOOKUP($B66,'A1.3.10'!$S$28:$AE$58,8,))))</f>
        <v>-1.0340193601785499E-3</v>
      </c>
      <c r="AE66" s="2642">
        <f>IF($B66&lt;'A1.3.10'!$S$28,"",IF($B66&gt;'A1.3.10'!$S$58,AE65,IF(OR(VLOOKUP($B66,'A1.3.10'!$S$28:$AE$58,8,)="",'Fuel consumption'!G$31=""),"",'Fuel consumption'!G$31 * VLOOKUP($B66,'A1.3.10'!$S$28:$AE$58,8,))))</f>
        <v>1.1293150500864199E-5</v>
      </c>
      <c r="AF66" s="610">
        <f>IF($B66&lt;'A1.3.10'!$S$28,"",IF($B66&gt;'A1.3.10'!$S$58,AF65,IF(OR(VLOOKUP($B66,'A1.3.10'!$S$28:$AE$58,10,)="",'Fuel consumption'!D$32=""),"",'Fuel consumption'!D$32 * VLOOKUP($B66,'A1.3.10'!$S$28:$AE$58,10,))))</f>
        <v>5.6655970981789903</v>
      </c>
      <c r="AG66" s="611">
        <f>IF($B66&lt;'A1.3.10'!$S$28,"",IF($B66&gt;'A1.3.10'!$S$58,AG65,IF(OR(VLOOKUP($B66,'A1.3.10'!$S$28:$AE$58,10,)="",'Fuel consumption'!E$32=""),"",'Fuel consumption'!E$32 * VLOOKUP($B66,'A1.3.10'!$S$28:$AE$58,10,))))</f>
        <v>0.29422449618924201</v>
      </c>
      <c r="AH66" s="611">
        <f>IF($B66&lt;'A1.3.10'!$S$28,"",IF($B66&gt;'A1.3.10'!$S$58,AH65,IF(OR(VLOOKUP($B66,'A1.3.10'!$S$28:$AE$58,10,)="",'Fuel consumption'!F$32=""),"",'Fuel consumption'!F$32 * VLOOKUP($B66,'A1.3.10'!$S$28:$AE$58,10,))))</f>
        <v>-1.9493920679616401E-3</v>
      </c>
      <c r="AI66" s="1578">
        <f>IF($B66&lt;'A1.3.10'!$S$28,"",IF($B66&gt;'A1.3.10'!$S$58,AI65,IF(OR(VLOOKUP($B66,'A1.3.10'!$S$28:$AE$58,10,)="",'Fuel consumption'!G$32=""),"",'Fuel consumption'!G$32 * VLOOKUP($B66,'A1.3.10'!$S$28:$AE$58,10,))))</f>
        <v>1.1619187345164999E-5</v>
      </c>
      <c r="AJ66" s="610">
        <f>IF($B66&lt;'A1.3.10'!$S$28,"",IF($B66&gt;'A1.3.10'!$S$58,AJ65,IF(OR(VLOOKUP($B66,'A1.3.10'!$S$28:$AE$58,12,)="",'Fuel consumption'!D$33=""),"",'Fuel consumption'!D$33 * VLOOKUP($B66,'A1.3.10'!$S$28:$AE$58,12,))))</f>
        <v>3.3601870156891001</v>
      </c>
      <c r="AK66" s="611">
        <f>IF($B66&lt;'A1.3.10'!$S$28,"",IF($B66&gt;'A1.3.10'!$S$58,AK65,IF(OR(VLOOKUP($B66,'A1.3.10'!$S$28:$AE$58,12,)="",'Fuel consumption'!E$33=""),"",'Fuel consumption'!E$33 * VLOOKUP($B66,'A1.3.10'!$S$28:$AE$58,12,))))</f>
        <v>0.29524938703213599</v>
      </c>
      <c r="AL66" s="611">
        <f>IF($B66&lt;'A1.3.10'!$S$28,"",IF($B66&gt;'A1.3.10'!$S$58,AL65,IF(OR(VLOOKUP($B66,'A1.3.10'!$S$28:$AE$58,12,)="",'Fuel consumption'!F$33=""),"",'Fuel consumption'!F$33 * VLOOKUP($B66,'A1.3.10'!$S$28:$AE$58,12,))))</f>
        <v>-3.20909768342738E-3</v>
      </c>
      <c r="AM66" s="1578">
        <f>IF($B66&lt;'A1.3.10'!$S$28,"",IF($B66&gt;'A1.3.10'!$S$58,AM65,IF(OR(VLOOKUP($B66,'A1.3.10'!$S$28:$AE$58,12,)="",'Fuel consumption'!G$33=""),"",'Fuel consumption'!G$33 * VLOOKUP($B66,'A1.3.10'!$S$28:$AE$58,12,))))</f>
        <v>2.3540043227716499E-5</v>
      </c>
    </row>
    <row r="67" spans="1:39" ht="13.5" customHeight="1">
      <c r="A67" s="623"/>
      <c r="B67" s="614">
        <f t="shared" si="3"/>
        <v>2051</v>
      </c>
      <c r="C67" s="609"/>
      <c r="D67" s="2484">
        <f>IF($B67&lt;'A1.3.10'!$S$28,"",IF($B67&gt;'A1.3.10'!$S$58,D66,IF(OR(VLOOKUP($B67,'A1.3.10'!$S$28:$AE$58,2,)="",'Fuel consumption'!D$27=""),"",'Fuel consumption'!D$27 * VLOOKUP($B67,'A1.3.10'!$S$28:$AE$58,2,))))</f>
        <v>0.32527491364024624</v>
      </c>
      <c r="E67" s="2485">
        <f>IF($B67&lt;'A1.3.10'!$S$28,"",IF($B67&gt;'A1.3.10'!$S$58,E66,IF(OR(VLOOKUP($B67,'A1.3.10'!$S$28:$AE$58,2,)="",'Fuel consumption'!E$27=""),"",'Fuel consumption'!E$27 * VLOOKUP($B67,'A1.3.10'!$S$28:$AE$58,2,))))</f>
        <v>6.9126195403069218E-2</v>
      </c>
      <c r="F67" s="2485">
        <f>IF($B67&lt;'A1.3.10'!$S$28,"",IF($B67&gt;'A1.3.10'!$S$58,F66,IF(OR(VLOOKUP($B67,'A1.3.10'!$S$28:$AE$58,2,)="",'Fuel consumption'!F$27=""),"",'Fuel consumption'!F$27 * VLOOKUP($B67,'A1.3.10'!$S$28:$AE$58,2,))))</f>
        <v>-7.8742934140708519E-4</v>
      </c>
      <c r="G67" s="2642">
        <f>IF($B67&lt;'A1.3.10'!$S$28,"",IF($B67&gt;'A1.3.10'!$S$58,G66,IF(OR(VLOOKUP($B67,'A1.3.10'!$S$28:$AE$58,2,)="",'Fuel consumption'!G$27=""),"",'Fuel consumption'!G$27 * VLOOKUP($B67,'A1.3.10'!$S$28:$AE$58,2,))))</f>
        <v>5.2150811705064693E-6</v>
      </c>
      <c r="H67" s="2486">
        <f>IF($B67&lt;'A1.3.10'!$S$28,"",IF($B67&gt;'A1.3.10'!$S$58,H66,IF(OR(VLOOKUP($B67,'A1.3.10'!$S$28:$AE$58,3,)="",'Fuel consumption'!D$28=""),"",'Fuel consumption'!D$28  * VLOOKUP($B67,'A1.3.10'!$S$28:$AE$58,3,))))</f>
        <v>0.38728007442052015</v>
      </c>
      <c r="I67" s="2487">
        <f>IF($B67&lt;'A1.3.10'!$S$28,"",IF($B67&gt;'A1.3.10'!$S$58,I66,IF(OR(VLOOKUP($B67,'A1.3.10'!$S$28:$AE$58,3,)="",'Fuel consumption'!E$28=""),"",'Fuel consumption'!E$28  * VLOOKUP($B67,'A1.3.10'!$S$28:$AE$58,3,))))</f>
        <v>5.5526385246550972E-2</v>
      </c>
      <c r="J67" s="2487">
        <f>IF($B67&lt;'A1.3.10'!$S$28,"",IF($B67&gt;'A1.3.10'!$S$58,J66,IF(OR(VLOOKUP($B67,'A1.3.10'!$S$28:$AE$58,3,)="",'Fuel consumption'!F$28=""),"",'Fuel consumption'!F$28  * VLOOKUP($B67,'A1.3.10'!$S$28:$AE$58,3,))))</f>
        <v>-5.3417929464962704E-4</v>
      </c>
      <c r="K67" s="2642">
        <f>IF($B67&lt;'A1.3.10'!$S$28,"",IF($B67&gt;'A1.3.10'!$S$58,K66,IF(OR(VLOOKUP($B67,'A1.3.10'!$S$28:$AE$58,3,)="",'Fuel consumption'!G$28=""),"",'Fuel consumption'!G$28  * VLOOKUP($B67,'A1.3.10'!$S$28:$AE$58,3,))))</f>
        <v>4.2093596420141842E-6</v>
      </c>
      <c r="L67" s="2486" t="str">
        <f>IF($B67&lt;'A1.3.10'!$S$28,"",IF($B67&gt;'A1.3.10'!$S$58,L66,IF(OR(VLOOKUP($B67,'A1.3.10'!$S$28:$AE$58,4,)="", 'Fuel consumption'!D$36=""),"",'Fuel consumption'!D$36 * VLOOKUP($B67,'A1.3.10'!$S$28:$AE$58,4,))))</f>
        <v/>
      </c>
      <c r="M67" s="2487">
        <f>IF($B67&lt;'A1.3.10'!$S$28,"",IF($B67&gt;'A1.3.10'!$S$58,M66,IF(OR(VLOOKUP($B67,'A1.3.10'!$S$28:$AE$58,4,)="", 'Fuel consumption'!E$36=""),"",'Fuel consumption'!E$36 * VLOOKUP($B67,'A1.3.10'!$S$28:$AE$58,4,))))</f>
        <v>0.12679510393803953</v>
      </c>
      <c r="N67" s="614" t="str">
        <f>IF($B67&lt;'A1.3.10'!$S$28,"",IF($B67&gt;'A1.3.10'!$S$58,N66,IF(OR(VLOOKUP($B67,'A1.3.10'!$S$28:$AE$58,4,)="", 'Fuel consumption'!F$36=""),"",'Fuel consumption'!F$36 * VLOOKUP($B67,'A1.3.10'!$S$28:$AE$58,4,))))</f>
        <v/>
      </c>
      <c r="O67" s="612" t="str">
        <f>IF($B67&lt;'A1.3.10'!$S$28,"",IF($B67&gt;'A1.3.10'!$S$58,O66,IF(OR(VLOOKUP($B67,'A1.3.10'!$S$28:$AE$58,4,)="", 'Fuel consumption'!G$36=""),"",'Fuel consumption'!G$36 * VLOOKUP($B67,'A1.3.10'!$S$28:$AE$58,4,))))</f>
        <v/>
      </c>
      <c r="P67" s="610">
        <f>IF($B67&lt;'A1.3.10'!$S$28,"",IF($B67&gt;'A1.3.10'!$S$58,P66,IF(OR(VLOOKUP($B67,'A1.3.10'!$S$28:$AE$58,5,)="",'Fuel consumption'!D$29=""),"",'Fuel consumption'!D$29 * VLOOKUP($B67,'A1.3.10'!$S$28:$AE$58,5,))))</f>
        <v>0.23398100209323003</v>
      </c>
      <c r="Q67" s="611">
        <f>IF($B67&lt;'A1.3.10'!$S$28,"",IF($B67&gt;'A1.3.10'!$S$58,Q66,IF(OR(VLOOKUP($B67,'A1.3.10'!$S$28:$AE$58,5,)="",'Fuel consumption'!E$29=""),"",'Fuel consumption'!E$29 * VLOOKUP($B67,'A1.3.10'!$S$28:$AE$58,5,))))</f>
        <v>0.13120300165283155</v>
      </c>
      <c r="R67" s="611">
        <f>IF($B67&lt;'A1.3.10'!$S$28,"",IF($B67&gt;'A1.3.10'!$S$58,R66,IF(OR(VLOOKUP($B67,'A1.3.10'!$S$28:$AE$58,5,)="",'Fuel consumption'!F$29=""),"",'Fuel consumption'!F$29 * VLOOKUP($B67,'A1.3.10'!$S$28:$AE$58,5,))))</f>
        <v>-2.0594564659300405E-3</v>
      </c>
      <c r="S67" s="2642">
        <f>IF($B67&lt;'A1.3.10'!$S$28,"",IF($B67&gt;'A1.3.10'!$S$58,S66,IF(OR(VLOOKUP($B67,'A1.3.10'!$S$28:$AE$58,5,)="",'Fuel consumption'!G$29=""),"",'Fuel consumption'!G$29 * VLOOKUP($B67,'A1.3.10'!$S$28:$AE$58,5,))))</f>
        <v>1.3300046823685748E-5</v>
      </c>
      <c r="T67" s="610">
        <f>IF($B67&lt;'A1.3.10'!$S$28,"",IF($B67&gt;'A1.3.10'!$S$58,T66,IF(OR(VLOOKUP($B67,'A1.3.10'!$S$28:$AE$58,6,)="",'Fuel consumption'!D$30=""),"",'Fuel consumption'!D$30 * VLOOKUP($B67,'A1.3.10'!$S$28:$AE$58,6,))))</f>
        <v>0.3988609037344879</v>
      </c>
      <c r="U67" s="611">
        <f>IF($B67&lt;'A1.3.10'!$S$28,"",IF($B67&gt;'A1.3.10'!$S$58,U66,IF(OR(VLOOKUP($B67,'A1.3.10'!$S$28:$AE$58,6,)="",'Fuel consumption'!E$30=""),"",'Fuel consumption'!E$30 * VLOOKUP($B67,'A1.3.10'!$S$28:$AE$58,6,))))</f>
        <v>9.7483230363204512E-2</v>
      </c>
      <c r="V67" s="611">
        <f>IF($B67&lt;'A1.3.10'!$S$28,"",IF($B67&gt;'A1.3.10'!$S$58,V66,IF(OR(VLOOKUP($B67,'A1.3.10'!$S$28:$AE$58,6,)="",'Fuel consumption'!F$30=""),"",'Fuel consumption'!F$30 * VLOOKUP($B67,'A1.3.10'!$S$28:$AE$58,6,))))</f>
        <v>-1.4063727682028522E-3</v>
      </c>
      <c r="W67" s="2642">
        <f>IF($B67&lt;'A1.3.10'!$S$28,"",IF($B67&gt;'A1.3.10'!$S$58,W66,IF(OR(VLOOKUP($B67,'A1.3.10'!$S$28:$AE$58,6,)="",'Fuel consumption'!G$30=""),"",'Fuel consumption'!G$30 * VLOOKUP($B67,'A1.3.10'!$S$28:$AE$58,6,))))</f>
        <v>1.1906400891809692E-5</v>
      </c>
      <c r="X67" s="3144"/>
      <c r="Y67" s="2487">
        <f>IF($B67&lt;'A1.3.10'!$S$28,"",IF($B67&gt;'A1.3.10'!$S$58,Y66,IF(OR(VLOOKUP($B67,'A1.3.10'!$S$28:$AE$58,7,)="", 'Fuel consumption'!E$37=""),"",'Fuel consumption'!E$37 * VLOOKUP($B67,'A1.3.10'!$S$28:$AE$58,7,))))</f>
        <v>0.29149401103980166</v>
      </c>
      <c r="Z67" s="2642"/>
      <c r="AA67" s="2642"/>
      <c r="AB67" s="610">
        <f>IF($B67&lt;'A1.3.10'!$S$28,"",IF($B67&gt;'A1.3.10'!$S$58,AB66,IF(OR(VLOOKUP($B67,'A1.3.10'!$S$28:$AE$58,8,)="",'Fuel consumption'!D$31=""),"",'Fuel consumption'!D$31 * VLOOKUP($B67,'A1.3.10'!$S$28:$AE$58,8,))))</f>
        <v>2.6962848686626804</v>
      </c>
      <c r="AC67" s="611">
        <f>IF($B67&lt;'A1.3.10'!$S$28,"",IF($B67&gt;'A1.3.10'!$S$58,AC66,IF(OR(VLOOKUP($B67,'A1.3.10'!$S$28:$AE$58,8,)="",'Fuel consumption'!E$31=""),"",'Fuel consumption'!E$31 * VLOOKUP($B67,'A1.3.10'!$S$28:$AE$58,8,))))</f>
        <v>0.143057339771858</v>
      </c>
      <c r="AD67" s="611">
        <f>IF($B67&lt;'A1.3.10'!$S$28,"",IF($B67&gt;'A1.3.10'!$S$58,AD66,IF(OR(VLOOKUP($B67,'A1.3.10'!$S$28:$AE$58,8,)="",'Fuel consumption'!F$31=""),"",'Fuel consumption'!F$31 * VLOOKUP($B67,'A1.3.10'!$S$28:$AE$58,8,))))</f>
        <v>-1.0340193601785499E-3</v>
      </c>
      <c r="AE67" s="2642">
        <f>IF($B67&lt;'A1.3.10'!$S$28,"",IF($B67&gt;'A1.3.10'!$S$58,AE66,IF(OR(VLOOKUP($B67,'A1.3.10'!$S$28:$AE$58,8,)="",'Fuel consumption'!G$31=""),"",'Fuel consumption'!G$31 * VLOOKUP($B67,'A1.3.10'!$S$28:$AE$58,8,))))</f>
        <v>1.1293150500864199E-5</v>
      </c>
      <c r="AF67" s="610">
        <f>IF($B67&lt;'A1.3.10'!$S$28,"",IF($B67&gt;'A1.3.10'!$S$58,AF66,IF(OR(VLOOKUP($B67,'A1.3.10'!$S$28:$AE$58,10,)="",'Fuel consumption'!D$32=""),"",'Fuel consumption'!D$32 * VLOOKUP($B67,'A1.3.10'!$S$28:$AE$58,10,))))</f>
        <v>5.6655970981789903</v>
      </c>
      <c r="AG67" s="611">
        <f>IF($B67&lt;'A1.3.10'!$S$28,"",IF($B67&gt;'A1.3.10'!$S$58,AG66,IF(OR(VLOOKUP($B67,'A1.3.10'!$S$28:$AE$58,10,)="",'Fuel consumption'!E$32=""),"",'Fuel consumption'!E$32 * VLOOKUP($B67,'A1.3.10'!$S$28:$AE$58,10,))))</f>
        <v>0.29422449618924201</v>
      </c>
      <c r="AH67" s="611">
        <f>IF($B67&lt;'A1.3.10'!$S$28,"",IF($B67&gt;'A1.3.10'!$S$58,AH66,IF(OR(VLOOKUP($B67,'A1.3.10'!$S$28:$AE$58,10,)="",'Fuel consumption'!F$32=""),"",'Fuel consumption'!F$32 * VLOOKUP($B67,'A1.3.10'!$S$28:$AE$58,10,))))</f>
        <v>-1.9493920679616401E-3</v>
      </c>
      <c r="AI67" s="1578">
        <f>IF($B67&lt;'A1.3.10'!$S$28,"",IF($B67&gt;'A1.3.10'!$S$58,AI66,IF(OR(VLOOKUP($B67,'A1.3.10'!$S$28:$AE$58,10,)="",'Fuel consumption'!G$32=""),"",'Fuel consumption'!G$32 * VLOOKUP($B67,'A1.3.10'!$S$28:$AE$58,10,))))</f>
        <v>1.1619187345164999E-5</v>
      </c>
      <c r="AJ67" s="610">
        <f>IF($B67&lt;'A1.3.10'!$S$28,"",IF($B67&gt;'A1.3.10'!$S$58,AJ66,IF(OR(VLOOKUP($B67,'A1.3.10'!$S$28:$AE$58,12,)="",'Fuel consumption'!D$33=""),"",'Fuel consumption'!D$33 * VLOOKUP($B67,'A1.3.10'!$S$28:$AE$58,12,))))</f>
        <v>3.3601870156891001</v>
      </c>
      <c r="AK67" s="611">
        <f>IF($B67&lt;'A1.3.10'!$S$28,"",IF($B67&gt;'A1.3.10'!$S$58,AK66,IF(OR(VLOOKUP($B67,'A1.3.10'!$S$28:$AE$58,12,)="",'Fuel consumption'!E$33=""),"",'Fuel consumption'!E$33 * VLOOKUP($B67,'A1.3.10'!$S$28:$AE$58,12,))))</f>
        <v>0.29524938703213599</v>
      </c>
      <c r="AL67" s="611">
        <f>IF($B67&lt;'A1.3.10'!$S$28,"",IF($B67&gt;'A1.3.10'!$S$58,AL66,IF(OR(VLOOKUP($B67,'A1.3.10'!$S$28:$AE$58,12,)="",'Fuel consumption'!F$33=""),"",'Fuel consumption'!F$33 * VLOOKUP($B67,'A1.3.10'!$S$28:$AE$58,12,))))</f>
        <v>-3.20909768342738E-3</v>
      </c>
      <c r="AM67" s="1578">
        <f>IF($B67&lt;'A1.3.10'!$S$28,"",IF($B67&gt;'A1.3.10'!$S$58,AM66,IF(OR(VLOOKUP($B67,'A1.3.10'!$S$28:$AE$58,12,)="",'Fuel consumption'!G$33=""),"",'Fuel consumption'!G$33 * VLOOKUP($B67,'A1.3.10'!$S$28:$AE$58,12,))))</f>
        <v>2.3540043227716499E-5</v>
      </c>
    </row>
    <row r="68" spans="1:39" ht="13.5" customHeight="1">
      <c r="A68" s="623"/>
      <c r="B68" s="614">
        <f t="shared" si="3"/>
        <v>2052</v>
      </c>
      <c r="C68" s="609"/>
      <c r="D68" s="2484">
        <f>IF($B68&lt;'A1.3.10'!$S$28,"",IF($B68&gt;'A1.3.10'!$S$58,D67,IF(OR(VLOOKUP($B68,'A1.3.10'!$S$28:$AE$58,2,)="",'Fuel consumption'!D$27=""),"",'Fuel consumption'!D$27 * VLOOKUP($B68,'A1.3.10'!$S$28:$AE$58,2,))))</f>
        <v>0.32527491364024624</v>
      </c>
      <c r="E68" s="2485">
        <f>IF($B68&lt;'A1.3.10'!$S$28,"",IF($B68&gt;'A1.3.10'!$S$58,E67,IF(OR(VLOOKUP($B68,'A1.3.10'!$S$28:$AE$58,2,)="",'Fuel consumption'!E$27=""),"",'Fuel consumption'!E$27 * VLOOKUP($B68,'A1.3.10'!$S$28:$AE$58,2,))))</f>
        <v>6.9126195403069218E-2</v>
      </c>
      <c r="F68" s="2485">
        <f>IF($B68&lt;'A1.3.10'!$S$28,"",IF($B68&gt;'A1.3.10'!$S$58,F67,IF(OR(VLOOKUP($B68,'A1.3.10'!$S$28:$AE$58,2,)="",'Fuel consumption'!F$27=""),"",'Fuel consumption'!F$27 * VLOOKUP($B68,'A1.3.10'!$S$28:$AE$58,2,))))</f>
        <v>-7.8742934140708519E-4</v>
      </c>
      <c r="G68" s="2642">
        <f>IF($B68&lt;'A1.3.10'!$S$28,"",IF($B68&gt;'A1.3.10'!$S$58,G67,IF(OR(VLOOKUP($B68,'A1.3.10'!$S$28:$AE$58,2,)="",'Fuel consumption'!G$27=""),"",'Fuel consumption'!G$27 * VLOOKUP($B68,'A1.3.10'!$S$28:$AE$58,2,))))</f>
        <v>5.2150811705064693E-6</v>
      </c>
      <c r="H68" s="2486">
        <f>IF($B68&lt;'A1.3.10'!$S$28,"",IF($B68&gt;'A1.3.10'!$S$58,H67,IF(OR(VLOOKUP($B68,'A1.3.10'!$S$28:$AE$58,3,)="",'Fuel consumption'!D$28=""),"",'Fuel consumption'!D$28  * VLOOKUP($B68,'A1.3.10'!$S$28:$AE$58,3,))))</f>
        <v>0.38728007442052015</v>
      </c>
      <c r="I68" s="2487">
        <f>IF($B68&lt;'A1.3.10'!$S$28,"",IF($B68&gt;'A1.3.10'!$S$58,I67,IF(OR(VLOOKUP($B68,'A1.3.10'!$S$28:$AE$58,3,)="",'Fuel consumption'!E$28=""),"",'Fuel consumption'!E$28  * VLOOKUP($B68,'A1.3.10'!$S$28:$AE$58,3,))))</f>
        <v>5.5526385246550972E-2</v>
      </c>
      <c r="J68" s="2487">
        <f>IF($B68&lt;'A1.3.10'!$S$28,"",IF($B68&gt;'A1.3.10'!$S$58,J67,IF(OR(VLOOKUP($B68,'A1.3.10'!$S$28:$AE$58,3,)="",'Fuel consumption'!F$28=""),"",'Fuel consumption'!F$28  * VLOOKUP($B68,'A1.3.10'!$S$28:$AE$58,3,))))</f>
        <v>-5.3417929464962704E-4</v>
      </c>
      <c r="K68" s="2642">
        <f>IF($B68&lt;'A1.3.10'!$S$28,"",IF($B68&gt;'A1.3.10'!$S$58,K67,IF(OR(VLOOKUP($B68,'A1.3.10'!$S$28:$AE$58,3,)="",'Fuel consumption'!G$28=""),"",'Fuel consumption'!G$28  * VLOOKUP($B68,'A1.3.10'!$S$28:$AE$58,3,))))</f>
        <v>4.2093596420141842E-6</v>
      </c>
      <c r="L68" s="2486" t="str">
        <f>IF($B68&lt;'A1.3.10'!$S$28,"",IF($B68&gt;'A1.3.10'!$S$58,L67,IF(OR(VLOOKUP($B68,'A1.3.10'!$S$28:$AE$58,4,)="", 'Fuel consumption'!D$36=""),"",'Fuel consumption'!D$36 * VLOOKUP($B68,'A1.3.10'!$S$28:$AE$58,4,))))</f>
        <v/>
      </c>
      <c r="M68" s="2487">
        <f>IF($B68&lt;'A1.3.10'!$S$28,"",IF($B68&gt;'A1.3.10'!$S$58,M67,IF(OR(VLOOKUP($B68,'A1.3.10'!$S$28:$AE$58,4,)="", 'Fuel consumption'!E$36=""),"",'Fuel consumption'!E$36 * VLOOKUP($B68,'A1.3.10'!$S$28:$AE$58,4,))))</f>
        <v>0.12679510393803953</v>
      </c>
      <c r="N68" s="614" t="str">
        <f>IF($B68&lt;'A1.3.10'!$S$28,"",IF($B68&gt;'A1.3.10'!$S$58,N67,IF(OR(VLOOKUP($B68,'A1.3.10'!$S$28:$AE$58,4,)="", 'Fuel consumption'!F$36=""),"",'Fuel consumption'!F$36 * VLOOKUP($B68,'A1.3.10'!$S$28:$AE$58,4,))))</f>
        <v/>
      </c>
      <c r="O68" s="612" t="str">
        <f>IF($B68&lt;'A1.3.10'!$S$28,"",IF($B68&gt;'A1.3.10'!$S$58,O67,IF(OR(VLOOKUP($B68,'A1.3.10'!$S$28:$AE$58,4,)="", 'Fuel consumption'!G$36=""),"",'Fuel consumption'!G$36 * VLOOKUP($B68,'A1.3.10'!$S$28:$AE$58,4,))))</f>
        <v/>
      </c>
      <c r="P68" s="610">
        <f>IF($B68&lt;'A1.3.10'!$S$28,"",IF($B68&gt;'A1.3.10'!$S$58,P67,IF(OR(VLOOKUP($B68,'A1.3.10'!$S$28:$AE$58,5,)="",'Fuel consumption'!D$29=""),"",'Fuel consumption'!D$29 * VLOOKUP($B68,'A1.3.10'!$S$28:$AE$58,5,))))</f>
        <v>0.23398100209323003</v>
      </c>
      <c r="Q68" s="611">
        <f>IF($B68&lt;'A1.3.10'!$S$28,"",IF($B68&gt;'A1.3.10'!$S$58,Q67,IF(OR(VLOOKUP($B68,'A1.3.10'!$S$28:$AE$58,5,)="",'Fuel consumption'!E$29=""),"",'Fuel consumption'!E$29 * VLOOKUP($B68,'A1.3.10'!$S$28:$AE$58,5,))))</f>
        <v>0.13120300165283155</v>
      </c>
      <c r="R68" s="611">
        <f>IF($B68&lt;'A1.3.10'!$S$28,"",IF($B68&gt;'A1.3.10'!$S$58,R67,IF(OR(VLOOKUP($B68,'A1.3.10'!$S$28:$AE$58,5,)="",'Fuel consumption'!F$29=""),"",'Fuel consumption'!F$29 * VLOOKUP($B68,'A1.3.10'!$S$28:$AE$58,5,))))</f>
        <v>-2.0594564659300405E-3</v>
      </c>
      <c r="S68" s="2642">
        <f>IF($B68&lt;'A1.3.10'!$S$28,"",IF($B68&gt;'A1.3.10'!$S$58,S67,IF(OR(VLOOKUP($B68,'A1.3.10'!$S$28:$AE$58,5,)="",'Fuel consumption'!G$29=""),"",'Fuel consumption'!G$29 * VLOOKUP($B68,'A1.3.10'!$S$28:$AE$58,5,))))</f>
        <v>1.3300046823685748E-5</v>
      </c>
      <c r="T68" s="610">
        <f>IF($B68&lt;'A1.3.10'!$S$28,"",IF($B68&gt;'A1.3.10'!$S$58,T67,IF(OR(VLOOKUP($B68,'A1.3.10'!$S$28:$AE$58,6,)="",'Fuel consumption'!D$30=""),"",'Fuel consumption'!D$30 * VLOOKUP($B68,'A1.3.10'!$S$28:$AE$58,6,))))</f>
        <v>0.3988609037344879</v>
      </c>
      <c r="U68" s="611">
        <f>IF($B68&lt;'A1.3.10'!$S$28,"",IF($B68&gt;'A1.3.10'!$S$58,U67,IF(OR(VLOOKUP($B68,'A1.3.10'!$S$28:$AE$58,6,)="",'Fuel consumption'!E$30=""),"",'Fuel consumption'!E$30 * VLOOKUP($B68,'A1.3.10'!$S$28:$AE$58,6,))))</f>
        <v>9.7483230363204512E-2</v>
      </c>
      <c r="V68" s="611">
        <f>IF($B68&lt;'A1.3.10'!$S$28,"",IF($B68&gt;'A1.3.10'!$S$58,V67,IF(OR(VLOOKUP($B68,'A1.3.10'!$S$28:$AE$58,6,)="",'Fuel consumption'!F$30=""),"",'Fuel consumption'!F$30 * VLOOKUP($B68,'A1.3.10'!$S$28:$AE$58,6,))))</f>
        <v>-1.4063727682028522E-3</v>
      </c>
      <c r="W68" s="2642">
        <f>IF($B68&lt;'A1.3.10'!$S$28,"",IF($B68&gt;'A1.3.10'!$S$58,W67,IF(OR(VLOOKUP($B68,'A1.3.10'!$S$28:$AE$58,6,)="",'Fuel consumption'!G$30=""),"",'Fuel consumption'!G$30 * VLOOKUP($B68,'A1.3.10'!$S$28:$AE$58,6,))))</f>
        <v>1.1906400891809692E-5</v>
      </c>
      <c r="X68" s="3144"/>
      <c r="Y68" s="2487">
        <f>IF($B68&lt;'A1.3.10'!$S$28,"",IF($B68&gt;'A1.3.10'!$S$58,Y67,IF(OR(VLOOKUP($B68,'A1.3.10'!$S$28:$AE$58,7,)="", 'Fuel consumption'!E$37=""),"",'Fuel consumption'!E$37 * VLOOKUP($B68,'A1.3.10'!$S$28:$AE$58,7,))))</f>
        <v>0.29149401103980166</v>
      </c>
      <c r="Z68" s="2642"/>
      <c r="AA68" s="2642"/>
      <c r="AB68" s="610">
        <f>IF($B68&lt;'A1.3.10'!$S$28,"",IF($B68&gt;'A1.3.10'!$S$58,AB67,IF(OR(VLOOKUP($B68,'A1.3.10'!$S$28:$AE$58,8,)="",'Fuel consumption'!D$31=""),"",'Fuel consumption'!D$31 * VLOOKUP($B68,'A1.3.10'!$S$28:$AE$58,8,))))</f>
        <v>2.6962848686626804</v>
      </c>
      <c r="AC68" s="611">
        <f>IF($B68&lt;'A1.3.10'!$S$28,"",IF($B68&gt;'A1.3.10'!$S$58,AC67,IF(OR(VLOOKUP($B68,'A1.3.10'!$S$28:$AE$58,8,)="",'Fuel consumption'!E$31=""),"",'Fuel consumption'!E$31 * VLOOKUP($B68,'A1.3.10'!$S$28:$AE$58,8,))))</f>
        <v>0.143057339771858</v>
      </c>
      <c r="AD68" s="611">
        <f>IF($B68&lt;'A1.3.10'!$S$28,"",IF($B68&gt;'A1.3.10'!$S$58,AD67,IF(OR(VLOOKUP($B68,'A1.3.10'!$S$28:$AE$58,8,)="",'Fuel consumption'!F$31=""),"",'Fuel consumption'!F$31 * VLOOKUP($B68,'A1.3.10'!$S$28:$AE$58,8,))))</f>
        <v>-1.0340193601785499E-3</v>
      </c>
      <c r="AE68" s="2642">
        <f>IF($B68&lt;'A1.3.10'!$S$28,"",IF($B68&gt;'A1.3.10'!$S$58,AE67,IF(OR(VLOOKUP($B68,'A1.3.10'!$S$28:$AE$58,8,)="",'Fuel consumption'!G$31=""),"",'Fuel consumption'!G$31 * VLOOKUP($B68,'A1.3.10'!$S$28:$AE$58,8,))))</f>
        <v>1.1293150500864199E-5</v>
      </c>
      <c r="AF68" s="610">
        <f>IF($B68&lt;'A1.3.10'!$S$28,"",IF($B68&gt;'A1.3.10'!$S$58,AF67,IF(OR(VLOOKUP($B68,'A1.3.10'!$S$28:$AE$58,10,)="",'Fuel consumption'!D$32=""),"",'Fuel consumption'!D$32 * VLOOKUP($B68,'A1.3.10'!$S$28:$AE$58,10,))))</f>
        <v>5.6655970981789903</v>
      </c>
      <c r="AG68" s="611">
        <f>IF($B68&lt;'A1.3.10'!$S$28,"",IF($B68&gt;'A1.3.10'!$S$58,AG67,IF(OR(VLOOKUP($B68,'A1.3.10'!$S$28:$AE$58,10,)="",'Fuel consumption'!E$32=""),"",'Fuel consumption'!E$32 * VLOOKUP($B68,'A1.3.10'!$S$28:$AE$58,10,))))</f>
        <v>0.29422449618924201</v>
      </c>
      <c r="AH68" s="611">
        <f>IF($B68&lt;'A1.3.10'!$S$28,"",IF($B68&gt;'A1.3.10'!$S$58,AH67,IF(OR(VLOOKUP($B68,'A1.3.10'!$S$28:$AE$58,10,)="",'Fuel consumption'!F$32=""),"",'Fuel consumption'!F$32 * VLOOKUP($B68,'A1.3.10'!$S$28:$AE$58,10,))))</f>
        <v>-1.9493920679616401E-3</v>
      </c>
      <c r="AI68" s="1578">
        <f>IF($B68&lt;'A1.3.10'!$S$28,"",IF($B68&gt;'A1.3.10'!$S$58,AI67,IF(OR(VLOOKUP($B68,'A1.3.10'!$S$28:$AE$58,10,)="",'Fuel consumption'!G$32=""),"",'Fuel consumption'!G$32 * VLOOKUP($B68,'A1.3.10'!$S$28:$AE$58,10,))))</f>
        <v>1.1619187345164999E-5</v>
      </c>
      <c r="AJ68" s="610">
        <f>IF($B68&lt;'A1.3.10'!$S$28,"",IF($B68&gt;'A1.3.10'!$S$58,AJ67,IF(OR(VLOOKUP($B68,'A1.3.10'!$S$28:$AE$58,12,)="",'Fuel consumption'!D$33=""),"",'Fuel consumption'!D$33 * VLOOKUP($B68,'A1.3.10'!$S$28:$AE$58,12,))))</f>
        <v>3.3601870156891001</v>
      </c>
      <c r="AK68" s="611">
        <f>IF($B68&lt;'A1.3.10'!$S$28,"",IF($B68&gt;'A1.3.10'!$S$58,AK67,IF(OR(VLOOKUP($B68,'A1.3.10'!$S$28:$AE$58,12,)="",'Fuel consumption'!E$33=""),"",'Fuel consumption'!E$33 * VLOOKUP($B68,'A1.3.10'!$S$28:$AE$58,12,))))</f>
        <v>0.29524938703213599</v>
      </c>
      <c r="AL68" s="611">
        <f>IF($B68&lt;'A1.3.10'!$S$28,"",IF($B68&gt;'A1.3.10'!$S$58,AL67,IF(OR(VLOOKUP($B68,'A1.3.10'!$S$28:$AE$58,12,)="",'Fuel consumption'!F$33=""),"",'Fuel consumption'!F$33 * VLOOKUP($B68,'A1.3.10'!$S$28:$AE$58,12,))))</f>
        <v>-3.20909768342738E-3</v>
      </c>
      <c r="AM68" s="1578">
        <f>IF($B68&lt;'A1.3.10'!$S$28,"",IF($B68&gt;'A1.3.10'!$S$58,AM67,IF(OR(VLOOKUP($B68,'A1.3.10'!$S$28:$AE$58,12,)="",'Fuel consumption'!G$33=""),"",'Fuel consumption'!G$33 * VLOOKUP($B68,'A1.3.10'!$S$28:$AE$58,12,))))</f>
        <v>2.3540043227716499E-5</v>
      </c>
    </row>
    <row r="69" spans="1:39" ht="13.5" customHeight="1">
      <c r="A69" s="623"/>
      <c r="B69" s="614">
        <f t="shared" si="3"/>
        <v>2053</v>
      </c>
      <c r="C69" s="609"/>
      <c r="D69" s="2484">
        <f>IF($B69&lt;'A1.3.10'!$S$28,"",IF($B69&gt;'A1.3.10'!$S$58,D68,IF(OR(VLOOKUP($B69,'A1.3.10'!$S$28:$AE$58,2,)="",'Fuel consumption'!D$27=""),"",'Fuel consumption'!D$27 * VLOOKUP($B69,'A1.3.10'!$S$28:$AE$58,2,))))</f>
        <v>0.32527491364024624</v>
      </c>
      <c r="E69" s="2485">
        <f>IF($B69&lt;'A1.3.10'!$S$28,"",IF($B69&gt;'A1.3.10'!$S$58,E68,IF(OR(VLOOKUP($B69,'A1.3.10'!$S$28:$AE$58,2,)="",'Fuel consumption'!E$27=""),"",'Fuel consumption'!E$27 * VLOOKUP($B69,'A1.3.10'!$S$28:$AE$58,2,))))</f>
        <v>6.9126195403069218E-2</v>
      </c>
      <c r="F69" s="2485">
        <f>IF($B69&lt;'A1.3.10'!$S$28,"",IF($B69&gt;'A1.3.10'!$S$58,F68,IF(OR(VLOOKUP($B69,'A1.3.10'!$S$28:$AE$58,2,)="",'Fuel consumption'!F$27=""),"",'Fuel consumption'!F$27 * VLOOKUP($B69,'A1.3.10'!$S$28:$AE$58,2,))))</f>
        <v>-7.8742934140708519E-4</v>
      </c>
      <c r="G69" s="2642">
        <f>IF($B69&lt;'A1.3.10'!$S$28,"",IF($B69&gt;'A1.3.10'!$S$58,G68,IF(OR(VLOOKUP($B69,'A1.3.10'!$S$28:$AE$58,2,)="",'Fuel consumption'!G$27=""),"",'Fuel consumption'!G$27 * VLOOKUP($B69,'A1.3.10'!$S$28:$AE$58,2,))))</f>
        <v>5.2150811705064693E-6</v>
      </c>
      <c r="H69" s="2486">
        <f>IF($B69&lt;'A1.3.10'!$S$28,"",IF($B69&gt;'A1.3.10'!$S$58,H68,IF(OR(VLOOKUP($B69,'A1.3.10'!$S$28:$AE$58,3,)="",'Fuel consumption'!D$28=""),"",'Fuel consumption'!D$28  * VLOOKUP($B69,'A1.3.10'!$S$28:$AE$58,3,))))</f>
        <v>0.38728007442052015</v>
      </c>
      <c r="I69" s="2487">
        <f>IF($B69&lt;'A1.3.10'!$S$28,"",IF($B69&gt;'A1.3.10'!$S$58,I68,IF(OR(VLOOKUP($B69,'A1.3.10'!$S$28:$AE$58,3,)="",'Fuel consumption'!E$28=""),"",'Fuel consumption'!E$28  * VLOOKUP($B69,'A1.3.10'!$S$28:$AE$58,3,))))</f>
        <v>5.5526385246550972E-2</v>
      </c>
      <c r="J69" s="2487">
        <f>IF($B69&lt;'A1.3.10'!$S$28,"",IF($B69&gt;'A1.3.10'!$S$58,J68,IF(OR(VLOOKUP($B69,'A1.3.10'!$S$28:$AE$58,3,)="",'Fuel consumption'!F$28=""),"",'Fuel consumption'!F$28  * VLOOKUP($B69,'A1.3.10'!$S$28:$AE$58,3,))))</f>
        <v>-5.3417929464962704E-4</v>
      </c>
      <c r="K69" s="2642">
        <f>IF($B69&lt;'A1.3.10'!$S$28,"",IF($B69&gt;'A1.3.10'!$S$58,K68,IF(OR(VLOOKUP($B69,'A1.3.10'!$S$28:$AE$58,3,)="",'Fuel consumption'!G$28=""),"",'Fuel consumption'!G$28  * VLOOKUP($B69,'A1.3.10'!$S$28:$AE$58,3,))))</f>
        <v>4.2093596420141842E-6</v>
      </c>
      <c r="L69" s="2486" t="str">
        <f>IF($B69&lt;'A1.3.10'!$S$28,"",IF($B69&gt;'A1.3.10'!$S$58,L68,IF(OR(VLOOKUP($B69,'A1.3.10'!$S$28:$AE$58,4,)="", 'Fuel consumption'!D$36=""),"",'Fuel consumption'!D$36 * VLOOKUP($B69,'A1.3.10'!$S$28:$AE$58,4,))))</f>
        <v/>
      </c>
      <c r="M69" s="2487">
        <f>IF($B69&lt;'A1.3.10'!$S$28,"",IF($B69&gt;'A1.3.10'!$S$58,M68,IF(OR(VLOOKUP($B69,'A1.3.10'!$S$28:$AE$58,4,)="", 'Fuel consumption'!E$36=""),"",'Fuel consumption'!E$36 * VLOOKUP($B69,'A1.3.10'!$S$28:$AE$58,4,))))</f>
        <v>0.12679510393803953</v>
      </c>
      <c r="N69" s="614" t="str">
        <f>IF($B69&lt;'A1.3.10'!$S$28,"",IF($B69&gt;'A1.3.10'!$S$58,N68,IF(OR(VLOOKUP($B69,'A1.3.10'!$S$28:$AE$58,4,)="", 'Fuel consumption'!F$36=""),"",'Fuel consumption'!F$36 * VLOOKUP($B69,'A1.3.10'!$S$28:$AE$58,4,))))</f>
        <v/>
      </c>
      <c r="O69" s="612" t="str">
        <f>IF($B69&lt;'A1.3.10'!$S$28,"",IF($B69&gt;'A1.3.10'!$S$58,O68,IF(OR(VLOOKUP($B69,'A1.3.10'!$S$28:$AE$58,4,)="", 'Fuel consumption'!G$36=""),"",'Fuel consumption'!G$36 * VLOOKUP($B69,'A1.3.10'!$S$28:$AE$58,4,))))</f>
        <v/>
      </c>
      <c r="P69" s="610">
        <f>IF($B69&lt;'A1.3.10'!$S$28,"",IF($B69&gt;'A1.3.10'!$S$58,P68,IF(OR(VLOOKUP($B69,'A1.3.10'!$S$28:$AE$58,5,)="",'Fuel consumption'!D$29=""),"",'Fuel consumption'!D$29 * VLOOKUP($B69,'A1.3.10'!$S$28:$AE$58,5,))))</f>
        <v>0.23398100209323003</v>
      </c>
      <c r="Q69" s="611">
        <f>IF($B69&lt;'A1.3.10'!$S$28,"",IF($B69&gt;'A1.3.10'!$S$58,Q68,IF(OR(VLOOKUP($B69,'A1.3.10'!$S$28:$AE$58,5,)="",'Fuel consumption'!E$29=""),"",'Fuel consumption'!E$29 * VLOOKUP($B69,'A1.3.10'!$S$28:$AE$58,5,))))</f>
        <v>0.13120300165283155</v>
      </c>
      <c r="R69" s="611">
        <f>IF($B69&lt;'A1.3.10'!$S$28,"",IF($B69&gt;'A1.3.10'!$S$58,R68,IF(OR(VLOOKUP($B69,'A1.3.10'!$S$28:$AE$58,5,)="",'Fuel consumption'!F$29=""),"",'Fuel consumption'!F$29 * VLOOKUP($B69,'A1.3.10'!$S$28:$AE$58,5,))))</f>
        <v>-2.0594564659300405E-3</v>
      </c>
      <c r="S69" s="2642">
        <f>IF($B69&lt;'A1.3.10'!$S$28,"",IF($B69&gt;'A1.3.10'!$S$58,S68,IF(OR(VLOOKUP($B69,'A1.3.10'!$S$28:$AE$58,5,)="",'Fuel consumption'!G$29=""),"",'Fuel consumption'!G$29 * VLOOKUP($B69,'A1.3.10'!$S$28:$AE$58,5,))))</f>
        <v>1.3300046823685748E-5</v>
      </c>
      <c r="T69" s="610">
        <f>IF($B69&lt;'A1.3.10'!$S$28,"",IF($B69&gt;'A1.3.10'!$S$58,T68,IF(OR(VLOOKUP($B69,'A1.3.10'!$S$28:$AE$58,6,)="",'Fuel consumption'!D$30=""),"",'Fuel consumption'!D$30 * VLOOKUP($B69,'A1.3.10'!$S$28:$AE$58,6,))))</f>
        <v>0.3988609037344879</v>
      </c>
      <c r="U69" s="611">
        <f>IF($B69&lt;'A1.3.10'!$S$28,"",IF($B69&gt;'A1.3.10'!$S$58,U68,IF(OR(VLOOKUP($B69,'A1.3.10'!$S$28:$AE$58,6,)="",'Fuel consumption'!E$30=""),"",'Fuel consumption'!E$30 * VLOOKUP($B69,'A1.3.10'!$S$28:$AE$58,6,))))</f>
        <v>9.7483230363204512E-2</v>
      </c>
      <c r="V69" s="611">
        <f>IF($B69&lt;'A1.3.10'!$S$28,"",IF($B69&gt;'A1.3.10'!$S$58,V68,IF(OR(VLOOKUP($B69,'A1.3.10'!$S$28:$AE$58,6,)="",'Fuel consumption'!F$30=""),"",'Fuel consumption'!F$30 * VLOOKUP($B69,'A1.3.10'!$S$28:$AE$58,6,))))</f>
        <v>-1.4063727682028522E-3</v>
      </c>
      <c r="W69" s="2642">
        <f>IF($B69&lt;'A1.3.10'!$S$28,"",IF($B69&gt;'A1.3.10'!$S$58,W68,IF(OR(VLOOKUP($B69,'A1.3.10'!$S$28:$AE$58,6,)="",'Fuel consumption'!G$30=""),"",'Fuel consumption'!G$30 * VLOOKUP($B69,'A1.3.10'!$S$28:$AE$58,6,))))</f>
        <v>1.1906400891809692E-5</v>
      </c>
      <c r="X69" s="3144"/>
      <c r="Y69" s="2487">
        <f>IF($B69&lt;'A1.3.10'!$S$28,"",IF($B69&gt;'A1.3.10'!$S$58,Y68,IF(OR(VLOOKUP($B69,'A1.3.10'!$S$28:$AE$58,7,)="", 'Fuel consumption'!E$37=""),"",'Fuel consumption'!E$37 * VLOOKUP($B69,'A1.3.10'!$S$28:$AE$58,7,))))</f>
        <v>0.29149401103980166</v>
      </c>
      <c r="Z69" s="2642"/>
      <c r="AA69" s="2642"/>
      <c r="AB69" s="610">
        <f>IF($B69&lt;'A1.3.10'!$S$28,"",IF($B69&gt;'A1.3.10'!$S$58,AB68,IF(OR(VLOOKUP($B69,'A1.3.10'!$S$28:$AE$58,8,)="",'Fuel consumption'!D$31=""),"",'Fuel consumption'!D$31 * VLOOKUP($B69,'A1.3.10'!$S$28:$AE$58,8,))))</f>
        <v>2.6962848686626804</v>
      </c>
      <c r="AC69" s="611">
        <f>IF($B69&lt;'A1.3.10'!$S$28,"",IF($B69&gt;'A1.3.10'!$S$58,AC68,IF(OR(VLOOKUP($B69,'A1.3.10'!$S$28:$AE$58,8,)="",'Fuel consumption'!E$31=""),"",'Fuel consumption'!E$31 * VLOOKUP($B69,'A1.3.10'!$S$28:$AE$58,8,))))</f>
        <v>0.143057339771858</v>
      </c>
      <c r="AD69" s="611">
        <f>IF($B69&lt;'A1.3.10'!$S$28,"",IF($B69&gt;'A1.3.10'!$S$58,AD68,IF(OR(VLOOKUP($B69,'A1.3.10'!$S$28:$AE$58,8,)="",'Fuel consumption'!F$31=""),"",'Fuel consumption'!F$31 * VLOOKUP($B69,'A1.3.10'!$S$28:$AE$58,8,))))</f>
        <v>-1.0340193601785499E-3</v>
      </c>
      <c r="AE69" s="2642">
        <f>IF($B69&lt;'A1.3.10'!$S$28,"",IF($B69&gt;'A1.3.10'!$S$58,AE68,IF(OR(VLOOKUP($B69,'A1.3.10'!$S$28:$AE$58,8,)="",'Fuel consumption'!G$31=""),"",'Fuel consumption'!G$31 * VLOOKUP($B69,'A1.3.10'!$S$28:$AE$58,8,))))</f>
        <v>1.1293150500864199E-5</v>
      </c>
      <c r="AF69" s="610">
        <f>IF($B69&lt;'A1.3.10'!$S$28,"",IF($B69&gt;'A1.3.10'!$S$58,AF68,IF(OR(VLOOKUP($B69,'A1.3.10'!$S$28:$AE$58,10,)="",'Fuel consumption'!D$32=""),"",'Fuel consumption'!D$32 * VLOOKUP($B69,'A1.3.10'!$S$28:$AE$58,10,))))</f>
        <v>5.6655970981789903</v>
      </c>
      <c r="AG69" s="611">
        <f>IF($B69&lt;'A1.3.10'!$S$28,"",IF($B69&gt;'A1.3.10'!$S$58,AG68,IF(OR(VLOOKUP($B69,'A1.3.10'!$S$28:$AE$58,10,)="",'Fuel consumption'!E$32=""),"",'Fuel consumption'!E$32 * VLOOKUP($B69,'A1.3.10'!$S$28:$AE$58,10,))))</f>
        <v>0.29422449618924201</v>
      </c>
      <c r="AH69" s="611">
        <f>IF($B69&lt;'A1.3.10'!$S$28,"",IF($B69&gt;'A1.3.10'!$S$58,AH68,IF(OR(VLOOKUP($B69,'A1.3.10'!$S$28:$AE$58,10,)="",'Fuel consumption'!F$32=""),"",'Fuel consumption'!F$32 * VLOOKUP($B69,'A1.3.10'!$S$28:$AE$58,10,))))</f>
        <v>-1.9493920679616401E-3</v>
      </c>
      <c r="AI69" s="1578">
        <f>IF($B69&lt;'A1.3.10'!$S$28,"",IF($B69&gt;'A1.3.10'!$S$58,AI68,IF(OR(VLOOKUP($B69,'A1.3.10'!$S$28:$AE$58,10,)="",'Fuel consumption'!G$32=""),"",'Fuel consumption'!G$32 * VLOOKUP($B69,'A1.3.10'!$S$28:$AE$58,10,))))</f>
        <v>1.1619187345164999E-5</v>
      </c>
      <c r="AJ69" s="610">
        <f>IF($B69&lt;'A1.3.10'!$S$28,"",IF($B69&gt;'A1.3.10'!$S$58,AJ68,IF(OR(VLOOKUP($B69,'A1.3.10'!$S$28:$AE$58,12,)="",'Fuel consumption'!D$33=""),"",'Fuel consumption'!D$33 * VLOOKUP($B69,'A1.3.10'!$S$28:$AE$58,12,))))</f>
        <v>3.3601870156891001</v>
      </c>
      <c r="AK69" s="611">
        <f>IF($B69&lt;'A1.3.10'!$S$28,"",IF($B69&gt;'A1.3.10'!$S$58,AK68,IF(OR(VLOOKUP($B69,'A1.3.10'!$S$28:$AE$58,12,)="",'Fuel consumption'!E$33=""),"",'Fuel consumption'!E$33 * VLOOKUP($B69,'A1.3.10'!$S$28:$AE$58,12,))))</f>
        <v>0.29524938703213599</v>
      </c>
      <c r="AL69" s="611">
        <f>IF($B69&lt;'A1.3.10'!$S$28,"",IF($B69&gt;'A1.3.10'!$S$58,AL68,IF(OR(VLOOKUP($B69,'A1.3.10'!$S$28:$AE$58,12,)="",'Fuel consumption'!F$33=""),"",'Fuel consumption'!F$33 * VLOOKUP($B69,'A1.3.10'!$S$28:$AE$58,12,))))</f>
        <v>-3.20909768342738E-3</v>
      </c>
      <c r="AM69" s="1578">
        <f>IF($B69&lt;'A1.3.10'!$S$28,"",IF($B69&gt;'A1.3.10'!$S$58,AM68,IF(OR(VLOOKUP($B69,'A1.3.10'!$S$28:$AE$58,12,)="",'Fuel consumption'!G$33=""),"",'Fuel consumption'!G$33 * VLOOKUP($B69,'A1.3.10'!$S$28:$AE$58,12,))))</f>
        <v>2.3540043227716499E-5</v>
      </c>
    </row>
    <row r="70" spans="1:39" ht="13.5" customHeight="1">
      <c r="A70" s="623"/>
      <c r="B70" s="614">
        <f t="shared" si="3"/>
        <v>2054</v>
      </c>
      <c r="C70" s="609"/>
      <c r="D70" s="2484">
        <f>IF($B70&lt;'A1.3.10'!$S$28,"",IF($B70&gt;'A1.3.10'!$S$58,D69,IF(OR(VLOOKUP($B70,'A1.3.10'!$S$28:$AE$58,2,)="",'Fuel consumption'!D$27=""),"",'Fuel consumption'!D$27 * VLOOKUP($B70,'A1.3.10'!$S$28:$AE$58,2,))))</f>
        <v>0.32527491364024624</v>
      </c>
      <c r="E70" s="2485">
        <f>IF($B70&lt;'A1.3.10'!$S$28,"",IF($B70&gt;'A1.3.10'!$S$58,E69,IF(OR(VLOOKUP($B70,'A1.3.10'!$S$28:$AE$58,2,)="",'Fuel consumption'!E$27=""),"",'Fuel consumption'!E$27 * VLOOKUP($B70,'A1.3.10'!$S$28:$AE$58,2,))))</f>
        <v>6.9126195403069218E-2</v>
      </c>
      <c r="F70" s="2485">
        <f>IF($B70&lt;'A1.3.10'!$S$28,"",IF($B70&gt;'A1.3.10'!$S$58,F69,IF(OR(VLOOKUP($B70,'A1.3.10'!$S$28:$AE$58,2,)="",'Fuel consumption'!F$27=""),"",'Fuel consumption'!F$27 * VLOOKUP($B70,'A1.3.10'!$S$28:$AE$58,2,))))</f>
        <v>-7.8742934140708519E-4</v>
      </c>
      <c r="G70" s="2642">
        <f>IF($B70&lt;'A1.3.10'!$S$28,"",IF($B70&gt;'A1.3.10'!$S$58,G69,IF(OR(VLOOKUP($B70,'A1.3.10'!$S$28:$AE$58,2,)="",'Fuel consumption'!G$27=""),"",'Fuel consumption'!G$27 * VLOOKUP($B70,'A1.3.10'!$S$28:$AE$58,2,))))</f>
        <v>5.2150811705064693E-6</v>
      </c>
      <c r="H70" s="2486">
        <f>IF($B70&lt;'A1.3.10'!$S$28,"",IF($B70&gt;'A1.3.10'!$S$58,H69,IF(OR(VLOOKUP($B70,'A1.3.10'!$S$28:$AE$58,3,)="",'Fuel consumption'!D$28=""),"",'Fuel consumption'!D$28  * VLOOKUP($B70,'A1.3.10'!$S$28:$AE$58,3,))))</f>
        <v>0.38728007442052015</v>
      </c>
      <c r="I70" s="2487">
        <f>IF($B70&lt;'A1.3.10'!$S$28,"",IF($B70&gt;'A1.3.10'!$S$58,I69,IF(OR(VLOOKUP($B70,'A1.3.10'!$S$28:$AE$58,3,)="",'Fuel consumption'!E$28=""),"",'Fuel consumption'!E$28  * VLOOKUP($B70,'A1.3.10'!$S$28:$AE$58,3,))))</f>
        <v>5.5526385246550972E-2</v>
      </c>
      <c r="J70" s="2487">
        <f>IF($B70&lt;'A1.3.10'!$S$28,"",IF($B70&gt;'A1.3.10'!$S$58,J69,IF(OR(VLOOKUP($B70,'A1.3.10'!$S$28:$AE$58,3,)="",'Fuel consumption'!F$28=""),"",'Fuel consumption'!F$28  * VLOOKUP($B70,'A1.3.10'!$S$28:$AE$58,3,))))</f>
        <v>-5.3417929464962704E-4</v>
      </c>
      <c r="K70" s="2642">
        <f>IF($B70&lt;'A1.3.10'!$S$28,"",IF($B70&gt;'A1.3.10'!$S$58,K69,IF(OR(VLOOKUP($B70,'A1.3.10'!$S$28:$AE$58,3,)="",'Fuel consumption'!G$28=""),"",'Fuel consumption'!G$28  * VLOOKUP($B70,'A1.3.10'!$S$28:$AE$58,3,))))</f>
        <v>4.2093596420141842E-6</v>
      </c>
      <c r="L70" s="2486" t="str">
        <f>IF($B70&lt;'A1.3.10'!$S$28,"",IF($B70&gt;'A1.3.10'!$S$58,L69,IF(OR(VLOOKUP($B70,'A1.3.10'!$S$28:$AE$58,4,)="", 'Fuel consumption'!D$36=""),"",'Fuel consumption'!D$36 * VLOOKUP($B70,'A1.3.10'!$S$28:$AE$58,4,))))</f>
        <v/>
      </c>
      <c r="M70" s="2487">
        <f>IF($B70&lt;'A1.3.10'!$S$28,"",IF($B70&gt;'A1.3.10'!$S$58,M69,IF(OR(VLOOKUP($B70,'A1.3.10'!$S$28:$AE$58,4,)="", 'Fuel consumption'!E$36=""),"",'Fuel consumption'!E$36 * VLOOKUP($B70,'A1.3.10'!$S$28:$AE$58,4,))))</f>
        <v>0.12679510393803953</v>
      </c>
      <c r="N70" s="614" t="str">
        <f>IF($B70&lt;'A1.3.10'!$S$28,"",IF($B70&gt;'A1.3.10'!$S$58,N69,IF(OR(VLOOKUP($B70,'A1.3.10'!$S$28:$AE$58,4,)="", 'Fuel consumption'!F$36=""),"",'Fuel consumption'!F$36 * VLOOKUP($B70,'A1.3.10'!$S$28:$AE$58,4,))))</f>
        <v/>
      </c>
      <c r="O70" s="612" t="str">
        <f>IF($B70&lt;'A1.3.10'!$S$28,"",IF($B70&gt;'A1.3.10'!$S$58,O69,IF(OR(VLOOKUP($B70,'A1.3.10'!$S$28:$AE$58,4,)="", 'Fuel consumption'!G$36=""),"",'Fuel consumption'!G$36 * VLOOKUP($B70,'A1.3.10'!$S$28:$AE$58,4,))))</f>
        <v/>
      </c>
      <c r="P70" s="610">
        <f>IF($B70&lt;'A1.3.10'!$S$28,"",IF($B70&gt;'A1.3.10'!$S$58,P69,IF(OR(VLOOKUP($B70,'A1.3.10'!$S$28:$AE$58,5,)="",'Fuel consumption'!D$29=""),"",'Fuel consumption'!D$29 * VLOOKUP($B70,'A1.3.10'!$S$28:$AE$58,5,))))</f>
        <v>0.23398100209323003</v>
      </c>
      <c r="Q70" s="611">
        <f>IF($B70&lt;'A1.3.10'!$S$28,"",IF($B70&gt;'A1.3.10'!$S$58,Q69,IF(OR(VLOOKUP($B70,'A1.3.10'!$S$28:$AE$58,5,)="",'Fuel consumption'!E$29=""),"",'Fuel consumption'!E$29 * VLOOKUP($B70,'A1.3.10'!$S$28:$AE$58,5,))))</f>
        <v>0.13120300165283155</v>
      </c>
      <c r="R70" s="611">
        <f>IF($B70&lt;'A1.3.10'!$S$28,"",IF($B70&gt;'A1.3.10'!$S$58,R69,IF(OR(VLOOKUP($B70,'A1.3.10'!$S$28:$AE$58,5,)="",'Fuel consumption'!F$29=""),"",'Fuel consumption'!F$29 * VLOOKUP($B70,'A1.3.10'!$S$28:$AE$58,5,))))</f>
        <v>-2.0594564659300405E-3</v>
      </c>
      <c r="S70" s="2642">
        <f>IF($B70&lt;'A1.3.10'!$S$28,"",IF($B70&gt;'A1.3.10'!$S$58,S69,IF(OR(VLOOKUP($B70,'A1.3.10'!$S$28:$AE$58,5,)="",'Fuel consumption'!G$29=""),"",'Fuel consumption'!G$29 * VLOOKUP($B70,'A1.3.10'!$S$28:$AE$58,5,))))</f>
        <v>1.3300046823685748E-5</v>
      </c>
      <c r="T70" s="610">
        <f>IF($B70&lt;'A1.3.10'!$S$28,"",IF($B70&gt;'A1.3.10'!$S$58,T69,IF(OR(VLOOKUP($B70,'A1.3.10'!$S$28:$AE$58,6,)="",'Fuel consumption'!D$30=""),"",'Fuel consumption'!D$30 * VLOOKUP($B70,'A1.3.10'!$S$28:$AE$58,6,))))</f>
        <v>0.3988609037344879</v>
      </c>
      <c r="U70" s="611">
        <f>IF($B70&lt;'A1.3.10'!$S$28,"",IF($B70&gt;'A1.3.10'!$S$58,U69,IF(OR(VLOOKUP($B70,'A1.3.10'!$S$28:$AE$58,6,)="",'Fuel consumption'!E$30=""),"",'Fuel consumption'!E$30 * VLOOKUP($B70,'A1.3.10'!$S$28:$AE$58,6,))))</f>
        <v>9.7483230363204512E-2</v>
      </c>
      <c r="V70" s="611">
        <f>IF($B70&lt;'A1.3.10'!$S$28,"",IF($B70&gt;'A1.3.10'!$S$58,V69,IF(OR(VLOOKUP($B70,'A1.3.10'!$S$28:$AE$58,6,)="",'Fuel consumption'!F$30=""),"",'Fuel consumption'!F$30 * VLOOKUP($B70,'A1.3.10'!$S$28:$AE$58,6,))))</f>
        <v>-1.4063727682028522E-3</v>
      </c>
      <c r="W70" s="2642">
        <f>IF($B70&lt;'A1.3.10'!$S$28,"",IF($B70&gt;'A1.3.10'!$S$58,W69,IF(OR(VLOOKUP($B70,'A1.3.10'!$S$28:$AE$58,6,)="",'Fuel consumption'!G$30=""),"",'Fuel consumption'!G$30 * VLOOKUP($B70,'A1.3.10'!$S$28:$AE$58,6,))))</f>
        <v>1.1906400891809692E-5</v>
      </c>
      <c r="X70" s="3144"/>
      <c r="Y70" s="2487">
        <f>IF($B70&lt;'A1.3.10'!$S$28,"",IF($B70&gt;'A1.3.10'!$S$58,Y69,IF(OR(VLOOKUP($B70,'A1.3.10'!$S$28:$AE$58,7,)="", 'Fuel consumption'!E$37=""),"",'Fuel consumption'!E$37 * VLOOKUP($B70,'A1.3.10'!$S$28:$AE$58,7,))))</f>
        <v>0.29149401103980166</v>
      </c>
      <c r="Z70" s="2642"/>
      <c r="AA70" s="2642"/>
      <c r="AB70" s="610">
        <f>IF($B70&lt;'A1.3.10'!$S$28,"",IF($B70&gt;'A1.3.10'!$S$58,AB69,IF(OR(VLOOKUP($B70,'A1.3.10'!$S$28:$AE$58,8,)="",'Fuel consumption'!D$31=""),"",'Fuel consumption'!D$31 * VLOOKUP($B70,'A1.3.10'!$S$28:$AE$58,8,))))</f>
        <v>2.6962848686626804</v>
      </c>
      <c r="AC70" s="611">
        <f>IF($B70&lt;'A1.3.10'!$S$28,"",IF($B70&gt;'A1.3.10'!$S$58,AC69,IF(OR(VLOOKUP($B70,'A1.3.10'!$S$28:$AE$58,8,)="",'Fuel consumption'!E$31=""),"",'Fuel consumption'!E$31 * VLOOKUP($B70,'A1.3.10'!$S$28:$AE$58,8,))))</f>
        <v>0.143057339771858</v>
      </c>
      <c r="AD70" s="611">
        <f>IF($B70&lt;'A1.3.10'!$S$28,"",IF($B70&gt;'A1.3.10'!$S$58,AD69,IF(OR(VLOOKUP($B70,'A1.3.10'!$S$28:$AE$58,8,)="",'Fuel consumption'!F$31=""),"",'Fuel consumption'!F$31 * VLOOKUP($B70,'A1.3.10'!$S$28:$AE$58,8,))))</f>
        <v>-1.0340193601785499E-3</v>
      </c>
      <c r="AE70" s="2642">
        <f>IF($B70&lt;'A1.3.10'!$S$28,"",IF($B70&gt;'A1.3.10'!$S$58,AE69,IF(OR(VLOOKUP($B70,'A1.3.10'!$S$28:$AE$58,8,)="",'Fuel consumption'!G$31=""),"",'Fuel consumption'!G$31 * VLOOKUP($B70,'A1.3.10'!$S$28:$AE$58,8,))))</f>
        <v>1.1293150500864199E-5</v>
      </c>
      <c r="AF70" s="610">
        <f>IF($B70&lt;'A1.3.10'!$S$28,"",IF($B70&gt;'A1.3.10'!$S$58,AF69,IF(OR(VLOOKUP($B70,'A1.3.10'!$S$28:$AE$58,10,)="",'Fuel consumption'!D$32=""),"",'Fuel consumption'!D$32 * VLOOKUP($B70,'A1.3.10'!$S$28:$AE$58,10,))))</f>
        <v>5.6655970981789903</v>
      </c>
      <c r="AG70" s="611">
        <f>IF($B70&lt;'A1.3.10'!$S$28,"",IF($B70&gt;'A1.3.10'!$S$58,AG69,IF(OR(VLOOKUP($B70,'A1.3.10'!$S$28:$AE$58,10,)="",'Fuel consumption'!E$32=""),"",'Fuel consumption'!E$32 * VLOOKUP($B70,'A1.3.10'!$S$28:$AE$58,10,))))</f>
        <v>0.29422449618924201</v>
      </c>
      <c r="AH70" s="611">
        <f>IF($B70&lt;'A1.3.10'!$S$28,"",IF($B70&gt;'A1.3.10'!$S$58,AH69,IF(OR(VLOOKUP($B70,'A1.3.10'!$S$28:$AE$58,10,)="",'Fuel consumption'!F$32=""),"",'Fuel consumption'!F$32 * VLOOKUP($B70,'A1.3.10'!$S$28:$AE$58,10,))))</f>
        <v>-1.9493920679616401E-3</v>
      </c>
      <c r="AI70" s="1578">
        <f>IF($B70&lt;'A1.3.10'!$S$28,"",IF($B70&gt;'A1.3.10'!$S$58,AI69,IF(OR(VLOOKUP($B70,'A1.3.10'!$S$28:$AE$58,10,)="",'Fuel consumption'!G$32=""),"",'Fuel consumption'!G$32 * VLOOKUP($B70,'A1.3.10'!$S$28:$AE$58,10,))))</f>
        <v>1.1619187345164999E-5</v>
      </c>
      <c r="AJ70" s="610">
        <f>IF($B70&lt;'A1.3.10'!$S$28,"",IF($B70&gt;'A1.3.10'!$S$58,AJ69,IF(OR(VLOOKUP($B70,'A1.3.10'!$S$28:$AE$58,12,)="",'Fuel consumption'!D$33=""),"",'Fuel consumption'!D$33 * VLOOKUP($B70,'A1.3.10'!$S$28:$AE$58,12,))))</f>
        <v>3.3601870156891001</v>
      </c>
      <c r="AK70" s="611">
        <f>IF($B70&lt;'A1.3.10'!$S$28,"",IF($B70&gt;'A1.3.10'!$S$58,AK69,IF(OR(VLOOKUP($B70,'A1.3.10'!$S$28:$AE$58,12,)="",'Fuel consumption'!E$33=""),"",'Fuel consumption'!E$33 * VLOOKUP($B70,'A1.3.10'!$S$28:$AE$58,12,))))</f>
        <v>0.29524938703213599</v>
      </c>
      <c r="AL70" s="611">
        <f>IF($B70&lt;'A1.3.10'!$S$28,"",IF($B70&gt;'A1.3.10'!$S$58,AL69,IF(OR(VLOOKUP($B70,'A1.3.10'!$S$28:$AE$58,12,)="",'Fuel consumption'!F$33=""),"",'Fuel consumption'!F$33 * VLOOKUP($B70,'A1.3.10'!$S$28:$AE$58,12,))))</f>
        <v>-3.20909768342738E-3</v>
      </c>
      <c r="AM70" s="1578">
        <f>IF($B70&lt;'A1.3.10'!$S$28,"",IF($B70&gt;'A1.3.10'!$S$58,AM69,IF(OR(VLOOKUP($B70,'A1.3.10'!$S$28:$AE$58,12,)="",'Fuel consumption'!G$33=""),"",'Fuel consumption'!G$33 * VLOOKUP($B70,'A1.3.10'!$S$28:$AE$58,12,))))</f>
        <v>2.3540043227716499E-5</v>
      </c>
    </row>
    <row r="71" spans="1:39" ht="13.5" customHeight="1">
      <c r="A71" s="623"/>
      <c r="B71" s="614">
        <f t="shared" si="3"/>
        <v>2055</v>
      </c>
      <c r="C71" s="609"/>
      <c r="D71" s="2484">
        <f>IF($B71&lt;'A1.3.10'!$S$28,"",IF($B71&gt;'A1.3.10'!$S$58,D70,IF(OR(VLOOKUP($B71,'A1.3.10'!$S$28:$AE$58,2,)="",'Fuel consumption'!D$27=""),"",'Fuel consumption'!D$27 * VLOOKUP($B71,'A1.3.10'!$S$28:$AE$58,2,))))</f>
        <v>0.32527491364024624</v>
      </c>
      <c r="E71" s="2485">
        <f>IF($B71&lt;'A1.3.10'!$S$28,"",IF($B71&gt;'A1.3.10'!$S$58,E70,IF(OR(VLOOKUP($B71,'A1.3.10'!$S$28:$AE$58,2,)="",'Fuel consumption'!E$27=""),"",'Fuel consumption'!E$27 * VLOOKUP($B71,'A1.3.10'!$S$28:$AE$58,2,))))</f>
        <v>6.9126195403069218E-2</v>
      </c>
      <c r="F71" s="2485">
        <f>IF($B71&lt;'A1.3.10'!$S$28,"",IF($B71&gt;'A1.3.10'!$S$58,F70,IF(OR(VLOOKUP($B71,'A1.3.10'!$S$28:$AE$58,2,)="",'Fuel consumption'!F$27=""),"",'Fuel consumption'!F$27 * VLOOKUP($B71,'A1.3.10'!$S$28:$AE$58,2,))))</f>
        <v>-7.8742934140708519E-4</v>
      </c>
      <c r="G71" s="2642">
        <f>IF($B71&lt;'A1.3.10'!$S$28,"",IF($B71&gt;'A1.3.10'!$S$58,G70,IF(OR(VLOOKUP($B71,'A1.3.10'!$S$28:$AE$58,2,)="",'Fuel consumption'!G$27=""),"",'Fuel consumption'!G$27 * VLOOKUP($B71,'A1.3.10'!$S$28:$AE$58,2,))))</f>
        <v>5.2150811705064693E-6</v>
      </c>
      <c r="H71" s="2486">
        <f>IF($B71&lt;'A1.3.10'!$S$28,"",IF($B71&gt;'A1.3.10'!$S$58,H70,IF(OR(VLOOKUP($B71,'A1.3.10'!$S$28:$AE$58,3,)="",'Fuel consumption'!D$28=""),"",'Fuel consumption'!D$28  * VLOOKUP($B71,'A1.3.10'!$S$28:$AE$58,3,))))</f>
        <v>0.38728007442052015</v>
      </c>
      <c r="I71" s="2487">
        <f>IF($B71&lt;'A1.3.10'!$S$28,"",IF($B71&gt;'A1.3.10'!$S$58,I70,IF(OR(VLOOKUP($B71,'A1.3.10'!$S$28:$AE$58,3,)="",'Fuel consumption'!E$28=""),"",'Fuel consumption'!E$28  * VLOOKUP($B71,'A1.3.10'!$S$28:$AE$58,3,))))</f>
        <v>5.5526385246550972E-2</v>
      </c>
      <c r="J71" s="2487">
        <f>IF($B71&lt;'A1.3.10'!$S$28,"",IF($B71&gt;'A1.3.10'!$S$58,J70,IF(OR(VLOOKUP($B71,'A1.3.10'!$S$28:$AE$58,3,)="",'Fuel consumption'!F$28=""),"",'Fuel consumption'!F$28  * VLOOKUP($B71,'A1.3.10'!$S$28:$AE$58,3,))))</f>
        <v>-5.3417929464962704E-4</v>
      </c>
      <c r="K71" s="2642">
        <f>IF($B71&lt;'A1.3.10'!$S$28,"",IF($B71&gt;'A1.3.10'!$S$58,K70,IF(OR(VLOOKUP($B71,'A1.3.10'!$S$28:$AE$58,3,)="",'Fuel consumption'!G$28=""),"",'Fuel consumption'!G$28  * VLOOKUP($B71,'A1.3.10'!$S$28:$AE$58,3,))))</f>
        <v>4.2093596420141842E-6</v>
      </c>
      <c r="L71" s="2486" t="str">
        <f>IF($B71&lt;'A1.3.10'!$S$28,"",IF($B71&gt;'A1.3.10'!$S$58,L70,IF(OR(VLOOKUP($B71,'A1.3.10'!$S$28:$AE$58,4,)="", 'Fuel consumption'!D$36=""),"",'Fuel consumption'!D$36 * VLOOKUP($B71,'A1.3.10'!$S$28:$AE$58,4,))))</f>
        <v/>
      </c>
      <c r="M71" s="2487">
        <f>IF($B71&lt;'A1.3.10'!$S$28,"",IF($B71&gt;'A1.3.10'!$S$58,M70,IF(OR(VLOOKUP($B71,'A1.3.10'!$S$28:$AE$58,4,)="", 'Fuel consumption'!E$36=""),"",'Fuel consumption'!E$36 * VLOOKUP($B71,'A1.3.10'!$S$28:$AE$58,4,))))</f>
        <v>0.12679510393803953</v>
      </c>
      <c r="N71" s="614" t="str">
        <f>IF($B71&lt;'A1.3.10'!$S$28,"",IF($B71&gt;'A1.3.10'!$S$58,N70,IF(OR(VLOOKUP($B71,'A1.3.10'!$S$28:$AE$58,4,)="", 'Fuel consumption'!F$36=""),"",'Fuel consumption'!F$36 * VLOOKUP($B71,'A1.3.10'!$S$28:$AE$58,4,))))</f>
        <v/>
      </c>
      <c r="O71" s="612" t="str">
        <f>IF($B71&lt;'A1.3.10'!$S$28,"",IF($B71&gt;'A1.3.10'!$S$58,O70,IF(OR(VLOOKUP($B71,'A1.3.10'!$S$28:$AE$58,4,)="", 'Fuel consumption'!G$36=""),"",'Fuel consumption'!G$36 * VLOOKUP($B71,'A1.3.10'!$S$28:$AE$58,4,))))</f>
        <v/>
      </c>
      <c r="P71" s="610">
        <f>IF($B71&lt;'A1.3.10'!$S$28,"",IF($B71&gt;'A1.3.10'!$S$58,P70,IF(OR(VLOOKUP($B71,'A1.3.10'!$S$28:$AE$58,5,)="",'Fuel consumption'!D$29=""),"",'Fuel consumption'!D$29 * VLOOKUP($B71,'A1.3.10'!$S$28:$AE$58,5,))))</f>
        <v>0.23398100209323003</v>
      </c>
      <c r="Q71" s="611">
        <f>IF($B71&lt;'A1.3.10'!$S$28,"",IF($B71&gt;'A1.3.10'!$S$58,Q70,IF(OR(VLOOKUP($B71,'A1.3.10'!$S$28:$AE$58,5,)="",'Fuel consumption'!E$29=""),"",'Fuel consumption'!E$29 * VLOOKUP($B71,'A1.3.10'!$S$28:$AE$58,5,))))</f>
        <v>0.13120300165283155</v>
      </c>
      <c r="R71" s="611">
        <f>IF($B71&lt;'A1.3.10'!$S$28,"",IF($B71&gt;'A1.3.10'!$S$58,R70,IF(OR(VLOOKUP($B71,'A1.3.10'!$S$28:$AE$58,5,)="",'Fuel consumption'!F$29=""),"",'Fuel consumption'!F$29 * VLOOKUP($B71,'A1.3.10'!$S$28:$AE$58,5,))))</f>
        <v>-2.0594564659300405E-3</v>
      </c>
      <c r="S71" s="2642">
        <f>IF($B71&lt;'A1.3.10'!$S$28,"",IF($B71&gt;'A1.3.10'!$S$58,S70,IF(OR(VLOOKUP($B71,'A1.3.10'!$S$28:$AE$58,5,)="",'Fuel consumption'!G$29=""),"",'Fuel consumption'!G$29 * VLOOKUP($B71,'A1.3.10'!$S$28:$AE$58,5,))))</f>
        <v>1.3300046823685748E-5</v>
      </c>
      <c r="T71" s="610">
        <f>IF($B71&lt;'A1.3.10'!$S$28,"",IF($B71&gt;'A1.3.10'!$S$58,T70,IF(OR(VLOOKUP($B71,'A1.3.10'!$S$28:$AE$58,6,)="",'Fuel consumption'!D$30=""),"",'Fuel consumption'!D$30 * VLOOKUP($B71,'A1.3.10'!$S$28:$AE$58,6,))))</f>
        <v>0.3988609037344879</v>
      </c>
      <c r="U71" s="611">
        <f>IF($B71&lt;'A1.3.10'!$S$28,"",IF($B71&gt;'A1.3.10'!$S$58,U70,IF(OR(VLOOKUP($B71,'A1.3.10'!$S$28:$AE$58,6,)="",'Fuel consumption'!E$30=""),"",'Fuel consumption'!E$30 * VLOOKUP($B71,'A1.3.10'!$S$28:$AE$58,6,))))</f>
        <v>9.7483230363204512E-2</v>
      </c>
      <c r="V71" s="611">
        <f>IF($B71&lt;'A1.3.10'!$S$28,"",IF($B71&gt;'A1.3.10'!$S$58,V70,IF(OR(VLOOKUP($B71,'A1.3.10'!$S$28:$AE$58,6,)="",'Fuel consumption'!F$30=""),"",'Fuel consumption'!F$30 * VLOOKUP($B71,'A1.3.10'!$S$28:$AE$58,6,))))</f>
        <v>-1.4063727682028522E-3</v>
      </c>
      <c r="W71" s="2642">
        <f>IF($B71&lt;'A1.3.10'!$S$28,"",IF($B71&gt;'A1.3.10'!$S$58,W70,IF(OR(VLOOKUP($B71,'A1.3.10'!$S$28:$AE$58,6,)="",'Fuel consumption'!G$30=""),"",'Fuel consumption'!G$30 * VLOOKUP($B71,'A1.3.10'!$S$28:$AE$58,6,))))</f>
        <v>1.1906400891809692E-5</v>
      </c>
      <c r="X71" s="3144"/>
      <c r="Y71" s="2487">
        <f>IF($B71&lt;'A1.3.10'!$S$28,"",IF($B71&gt;'A1.3.10'!$S$58,Y70,IF(OR(VLOOKUP($B71,'A1.3.10'!$S$28:$AE$58,7,)="", 'Fuel consumption'!E$37=""),"",'Fuel consumption'!E$37 * VLOOKUP($B71,'A1.3.10'!$S$28:$AE$58,7,))))</f>
        <v>0.29149401103980166</v>
      </c>
      <c r="Z71" s="2642"/>
      <c r="AA71" s="2642"/>
      <c r="AB71" s="610">
        <f>IF($B71&lt;'A1.3.10'!$S$28,"",IF($B71&gt;'A1.3.10'!$S$58,AB70,IF(OR(VLOOKUP($B71,'A1.3.10'!$S$28:$AE$58,8,)="",'Fuel consumption'!D$31=""),"",'Fuel consumption'!D$31 * VLOOKUP($B71,'A1.3.10'!$S$28:$AE$58,8,))))</f>
        <v>2.6962848686626804</v>
      </c>
      <c r="AC71" s="611">
        <f>IF($B71&lt;'A1.3.10'!$S$28,"",IF($B71&gt;'A1.3.10'!$S$58,AC70,IF(OR(VLOOKUP($B71,'A1.3.10'!$S$28:$AE$58,8,)="",'Fuel consumption'!E$31=""),"",'Fuel consumption'!E$31 * VLOOKUP($B71,'A1.3.10'!$S$28:$AE$58,8,))))</f>
        <v>0.143057339771858</v>
      </c>
      <c r="AD71" s="611">
        <f>IF($B71&lt;'A1.3.10'!$S$28,"",IF($B71&gt;'A1.3.10'!$S$58,AD70,IF(OR(VLOOKUP($B71,'A1.3.10'!$S$28:$AE$58,8,)="",'Fuel consumption'!F$31=""),"",'Fuel consumption'!F$31 * VLOOKUP($B71,'A1.3.10'!$S$28:$AE$58,8,))))</f>
        <v>-1.0340193601785499E-3</v>
      </c>
      <c r="AE71" s="2642">
        <f>IF($B71&lt;'A1.3.10'!$S$28,"",IF($B71&gt;'A1.3.10'!$S$58,AE70,IF(OR(VLOOKUP($B71,'A1.3.10'!$S$28:$AE$58,8,)="",'Fuel consumption'!G$31=""),"",'Fuel consumption'!G$31 * VLOOKUP($B71,'A1.3.10'!$S$28:$AE$58,8,))))</f>
        <v>1.1293150500864199E-5</v>
      </c>
      <c r="AF71" s="610">
        <f>IF($B71&lt;'A1.3.10'!$S$28,"",IF($B71&gt;'A1.3.10'!$S$58,AF70,IF(OR(VLOOKUP($B71,'A1.3.10'!$S$28:$AE$58,10,)="",'Fuel consumption'!D$32=""),"",'Fuel consumption'!D$32 * VLOOKUP($B71,'A1.3.10'!$S$28:$AE$58,10,))))</f>
        <v>5.6655970981789903</v>
      </c>
      <c r="AG71" s="611">
        <f>IF($B71&lt;'A1.3.10'!$S$28,"",IF($B71&gt;'A1.3.10'!$S$58,AG70,IF(OR(VLOOKUP($B71,'A1.3.10'!$S$28:$AE$58,10,)="",'Fuel consumption'!E$32=""),"",'Fuel consumption'!E$32 * VLOOKUP($B71,'A1.3.10'!$S$28:$AE$58,10,))))</f>
        <v>0.29422449618924201</v>
      </c>
      <c r="AH71" s="611">
        <f>IF($B71&lt;'A1.3.10'!$S$28,"",IF($B71&gt;'A1.3.10'!$S$58,AH70,IF(OR(VLOOKUP($B71,'A1.3.10'!$S$28:$AE$58,10,)="",'Fuel consumption'!F$32=""),"",'Fuel consumption'!F$32 * VLOOKUP($B71,'A1.3.10'!$S$28:$AE$58,10,))))</f>
        <v>-1.9493920679616401E-3</v>
      </c>
      <c r="AI71" s="1578">
        <f>IF($B71&lt;'A1.3.10'!$S$28,"",IF($B71&gt;'A1.3.10'!$S$58,AI70,IF(OR(VLOOKUP($B71,'A1.3.10'!$S$28:$AE$58,10,)="",'Fuel consumption'!G$32=""),"",'Fuel consumption'!G$32 * VLOOKUP($B71,'A1.3.10'!$S$28:$AE$58,10,))))</f>
        <v>1.1619187345164999E-5</v>
      </c>
      <c r="AJ71" s="610">
        <f>IF($B71&lt;'A1.3.10'!$S$28,"",IF($B71&gt;'A1.3.10'!$S$58,AJ70,IF(OR(VLOOKUP($B71,'A1.3.10'!$S$28:$AE$58,12,)="",'Fuel consumption'!D$33=""),"",'Fuel consumption'!D$33 * VLOOKUP($B71,'A1.3.10'!$S$28:$AE$58,12,))))</f>
        <v>3.3601870156891001</v>
      </c>
      <c r="AK71" s="611">
        <f>IF($B71&lt;'A1.3.10'!$S$28,"",IF($B71&gt;'A1.3.10'!$S$58,AK70,IF(OR(VLOOKUP($B71,'A1.3.10'!$S$28:$AE$58,12,)="",'Fuel consumption'!E$33=""),"",'Fuel consumption'!E$33 * VLOOKUP($B71,'A1.3.10'!$S$28:$AE$58,12,))))</f>
        <v>0.29524938703213599</v>
      </c>
      <c r="AL71" s="611">
        <f>IF($B71&lt;'A1.3.10'!$S$28,"",IF($B71&gt;'A1.3.10'!$S$58,AL70,IF(OR(VLOOKUP($B71,'A1.3.10'!$S$28:$AE$58,12,)="",'Fuel consumption'!F$33=""),"",'Fuel consumption'!F$33 * VLOOKUP($B71,'A1.3.10'!$S$28:$AE$58,12,))))</f>
        <v>-3.20909768342738E-3</v>
      </c>
      <c r="AM71" s="1578">
        <f>IF($B71&lt;'A1.3.10'!$S$28,"",IF($B71&gt;'A1.3.10'!$S$58,AM70,IF(OR(VLOOKUP($B71,'A1.3.10'!$S$28:$AE$58,12,)="",'Fuel consumption'!G$33=""),"",'Fuel consumption'!G$33 * VLOOKUP($B71,'A1.3.10'!$S$28:$AE$58,12,))))</f>
        <v>2.3540043227716499E-5</v>
      </c>
    </row>
    <row r="72" spans="1:39" ht="13.5" customHeight="1">
      <c r="A72" s="623"/>
      <c r="B72" s="614">
        <f t="shared" si="3"/>
        <v>2056</v>
      </c>
      <c r="C72" s="609"/>
      <c r="D72" s="2484">
        <f>IF($B72&lt;'A1.3.10'!$S$28,"",IF($B72&gt;'A1.3.10'!$S$58,D71,IF(OR(VLOOKUP($B72,'A1.3.10'!$S$28:$AE$58,2,)="",'Fuel consumption'!D$27=""),"",'Fuel consumption'!D$27 * VLOOKUP($B72,'A1.3.10'!$S$28:$AE$58,2,))))</f>
        <v>0.32527491364024624</v>
      </c>
      <c r="E72" s="2485">
        <f>IF($B72&lt;'A1.3.10'!$S$28,"",IF($B72&gt;'A1.3.10'!$S$58,E71,IF(OR(VLOOKUP($B72,'A1.3.10'!$S$28:$AE$58,2,)="",'Fuel consumption'!E$27=""),"",'Fuel consumption'!E$27 * VLOOKUP($B72,'A1.3.10'!$S$28:$AE$58,2,))))</f>
        <v>6.9126195403069218E-2</v>
      </c>
      <c r="F72" s="2485">
        <f>IF($B72&lt;'A1.3.10'!$S$28,"",IF($B72&gt;'A1.3.10'!$S$58,F71,IF(OR(VLOOKUP($B72,'A1.3.10'!$S$28:$AE$58,2,)="",'Fuel consumption'!F$27=""),"",'Fuel consumption'!F$27 * VLOOKUP($B72,'A1.3.10'!$S$28:$AE$58,2,))))</f>
        <v>-7.8742934140708519E-4</v>
      </c>
      <c r="G72" s="2642">
        <f>IF($B72&lt;'A1.3.10'!$S$28,"",IF($B72&gt;'A1.3.10'!$S$58,G71,IF(OR(VLOOKUP($B72,'A1.3.10'!$S$28:$AE$58,2,)="",'Fuel consumption'!G$27=""),"",'Fuel consumption'!G$27 * VLOOKUP($B72,'A1.3.10'!$S$28:$AE$58,2,))))</f>
        <v>5.2150811705064693E-6</v>
      </c>
      <c r="H72" s="2486">
        <f>IF($B72&lt;'A1.3.10'!$S$28,"",IF($B72&gt;'A1.3.10'!$S$58,H71,IF(OR(VLOOKUP($B72,'A1.3.10'!$S$28:$AE$58,3,)="",'Fuel consumption'!D$28=""),"",'Fuel consumption'!D$28  * VLOOKUP($B72,'A1.3.10'!$S$28:$AE$58,3,))))</f>
        <v>0.38728007442052015</v>
      </c>
      <c r="I72" s="2487">
        <f>IF($B72&lt;'A1.3.10'!$S$28,"",IF($B72&gt;'A1.3.10'!$S$58,I71,IF(OR(VLOOKUP($B72,'A1.3.10'!$S$28:$AE$58,3,)="",'Fuel consumption'!E$28=""),"",'Fuel consumption'!E$28  * VLOOKUP($B72,'A1.3.10'!$S$28:$AE$58,3,))))</f>
        <v>5.5526385246550972E-2</v>
      </c>
      <c r="J72" s="2487">
        <f>IF($B72&lt;'A1.3.10'!$S$28,"",IF($B72&gt;'A1.3.10'!$S$58,J71,IF(OR(VLOOKUP($B72,'A1.3.10'!$S$28:$AE$58,3,)="",'Fuel consumption'!F$28=""),"",'Fuel consumption'!F$28  * VLOOKUP($B72,'A1.3.10'!$S$28:$AE$58,3,))))</f>
        <v>-5.3417929464962704E-4</v>
      </c>
      <c r="K72" s="2642">
        <f>IF($B72&lt;'A1.3.10'!$S$28,"",IF($B72&gt;'A1.3.10'!$S$58,K71,IF(OR(VLOOKUP($B72,'A1.3.10'!$S$28:$AE$58,3,)="",'Fuel consumption'!G$28=""),"",'Fuel consumption'!G$28  * VLOOKUP($B72,'A1.3.10'!$S$28:$AE$58,3,))))</f>
        <v>4.2093596420141842E-6</v>
      </c>
      <c r="L72" s="2486" t="str">
        <f>IF($B72&lt;'A1.3.10'!$S$28,"",IF($B72&gt;'A1.3.10'!$S$58,L71,IF(OR(VLOOKUP($B72,'A1.3.10'!$S$28:$AE$58,4,)="", 'Fuel consumption'!D$36=""),"",'Fuel consumption'!D$36 * VLOOKUP($B72,'A1.3.10'!$S$28:$AE$58,4,))))</f>
        <v/>
      </c>
      <c r="M72" s="2487">
        <f>IF($B72&lt;'A1.3.10'!$S$28,"",IF($B72&gt;'A1.3.10'!$S$58,M71,IF(OR(VLOOKUP($B72,'A1.3.10'!$S$28:$AE$58,4,)="", 'Fuel consumption'!E$36=""),"",'Fuel consumption'!E$36 * VLOOKUP($B72,'A1.3.10'!$S$28:$AE$58,4,))))</f>
        <v>0.12679510393803953</v>
      </c>
      <c r="N72" s="614" t="str">
        <f>IF($B72&lt;'A1.3.10'!$S$28,"",IF($B72&gt;'A1.3.10'!$S$58,N71,IF(OR(VLOOKUP($B72,'A1.3.10'!$S$28:$AE$58,4,)="", 'Fuel consumption'!F$36=""),"",'Fuel consumption'!F$36 * VLOOKUP($B72,'A1.3.10'!$S$28:$AE$58,4,))))</f>
        <v/>
      </c>
      <c r="O72" s="612" t="str">
        <f>IF($B72&lt;'A1.3.10'!$S$28,"",IF($B72&gt;'A1.3.10'!$S$58,O71,IF(OR(VLOOKUP($B72,'A1.3.10'!$S$28:$AE$58,4,)="", 'Fuel consumption'!G$36=""),"",'Fuel consumption'!G$36 * VLOOKUP($B72,'A1.3.10'!$S$28:$AE$58,4,))))</f>
        <v/>
      </c>
      <c r="P72" s="610">
        <f>IF($B72&lt;'A1.3.10'!$S$28,"",IF($B72&gt;'A1.3.10'!$S$58,P71,IF(OR(VLOOKUP($B72,'A1.3.10'!$S$28:$AE$58,5,)="",'Fuel consumption'!D$29=""),"",'Fuel consumption'!D$29 * VLOOKUP($B72,'A1.3.10'!$S$28:$AE$58,5,))))</f>
        <v>0.23398100209323003</v>
      </c>
      <c r="Q72" s="611">
        <f>IF($B72&lt;'A1.3.10'!$S$28,"",IF($B72&gt;'A1.3.10'!$S$58,Q71,IF(OR(VLOOKUP($B72,'A1.3.10'!$S$28:$AE$58,5,)="",'Fuel consumption'!E$29=""),"",'Fuel consumption'!E$29 * VLOOKUP($B72,'A1.3.10'!$S$28:$AE$58,5,))))</f>
        <v>0.13120300165283155</v>
      </c>
      <c r="R72" s="611">
        <f>IF($B72&lt;'A1.3.10'!$S$28,"",IF($B72&gt;'A1.3.10'!$S$58,R71,IF(OR(VLOOKUP($B72,'A1.3.10'!$S$28:$AE$58,5,)="",'Fuel consumption'!F$29=""),"",'Fuel consumption'!F$29 * VLOOKUP($B72,'A1.3.10'!$S$28:$AE$58,5,))))</f>
        <v>-2.0594564659300405E-3</v>
      </c>
      <c r="S72" s="2642">
        <f>IF($B72&lt;'A1.3.10'!$S$28,"",IF($B72&gt;'A1.3.10'!$S$58,S71,IF(OR(VLOOKUP($B72,'A1.3.10'!$S$28:$AE$58,5,)="",'Fuel consumption'!G$29=""),"",'Fuel consumption'!G$29 * VLOOKUP($B72,'A1.3.10'!$S$28:$AE$58,5,))))</f>
        <v>1.3300046823685748E-5</v>
      </c>
      <c r="T72" s="610">
        <f>IF($B72&lt;'A1.3.10'!$S$28,"",IF($B72&gt;'A1.3.10'!$S$58,T71,IF(OR(VLOOKUP($B72,'A1.3.10'!$S$28:$AE$58,6,)="",'Fuel consumption'!D$30=""),"",'Fuel consumption'!D$30 * VLOOKUP($B72,'A1.3.10'!$S$28:$AE$58,6,))))</f>
        <v>0.3988609037344879</v>
      </c>
      <c r="U72" s="611">
        <f>IF($B72&lt;'A1.3.10'!$S$28,"",IF($B72&gt;'A1.3.10'!$S$58,U71,IF(OR(VLOOKUP($B72,'A1.3.10'!$S$28:$AE$58,6,)="",'Fuel consumption'!E$30=""),"",'Fuel consumption'!E$30 * VLOOKUP($B72,'A1.3.10'!$S$28:$AE$58,6,))))</f>
        <v>9.7483230363204512E-2</v>
      </c>
      <c r="V72" s="611">
        <f>IF($B72&lt;'A1.3.10'!$S$28,"",IF($B72&gt;'A1.3.10'!$S$58,V71,IF(OR(VLOOKUP($B72,'A1.3.10'!$S$28:$AE$58,6,)="",'Fuel consumption'!F$30=""),"",'Fuel consumption'!F$30 * VLOOKUP($B72,'A1.3.10'!$S$28:$AE$58,6,))))</f>
        <v>-1.4063727682028522E-3</v>
      </c>
      <c r="W72" s="2642">
        <f>IF($B72&lt;'A1.3.10'!$S$28,"",IF($B72&gt;'A1.3.10'!$S$58,W71,IF(OR(VLOOKUP($B72,'A1.3.10'!$S$28:$AE$58,6,)="",'Fuel consumption'!G$30=""),"",'Fuel consumption'!G$30 * VLOOKUP($B72,'A1.3.10'!$S$28:$AE$58,6,))))</f>
        <v>1.1906400891809692E-5</v>
      </c>
      <c r="X72" s="3144"/>
      <c r="Y72" s="2487">
        <f>IF($B72&lt;'A1.3.10'!$S$28,"",IF($B72&gt;'A1.3.10'!$S$58,Y71,IF(OR(VLOOKUP($B72,'A1.3.10'!$S$28:$AE$58,7,)="", 'Fuel consumption'!E$37=""),"",'Fuel consumption'!E$37 * VLOOKUP($B72,'A1.3.10'!$S$28:$AE$58,7,))))</f>
        <v>0.29149401103980166</v>
      </c>
      <c r="Z72" s="2642"/>
      <c r="AA72" s="2642"/>
      <c r="AB72" s="610">
        <f>IF($B72&lt;'A1.3.10'!$S$28,"",IF($B72&gt;'A1.3.10'!$S$58,AB71,IF(OR(VLOOKUP($B72,'A1.3.10'!$S$28:$AE$58,8,)="",'Fuel consumption'!D$31=""),"",'Fuel consumption'!D$31 * VLOOKUP($B72,'A1.3.10'!$S$28:$AE$58,8,))))</f>
        <v>2.6962848686626804</v>
      </c>
      <c r="AC72" s="611">
        <f>IF($B72&lt;'A1.3.10'!$S$28,"",IF($B72&gt;'A1.3.10'!$S$58,AC71,IF(OR(VLOOKUP($B72,'A1.3.10'!$S$28:$AE$58,8,)="",'Fuel consumption'!E$31=""),"",'Fuel consumption'!E$31 * VLOOKUP($B72,'A1.3.10'!$S$28:$AE$58,8,))))</f>
        <v>0.143057339771858</v>
      </c>
      <c r="AD72" s="611">
        <f>IF($B72&lt;'A1.3.10'!$S$28,"",IF($B72&gt;'A1.3.10'!$S$58,AD71,IF(OR(VLOOKUP($B72,'A1.3.10'!$S$28:$AE$58,8,)="",'Fuel consumption'!F$31=""),"",'Fuel consumption'!F$31 * VLOOKUP($B72,'A1.3.10'!$S$28:$AE$58,8,))))</f>
        <v>-1.0340193601785499E-3</v>
      </c>
      <c r="AE72" s="2642">
        <f>IF($B72&lt;'A1.3.10'!$S$28,"",IF($B72&gt;'A1.3.10'!$S$58,AE71,IF(OR(VLOOKUP($B72,'A1.3.10'!$S$28:$AE$58,8,)="",'Fuel consumption'!G$31=""),"",'Fuel consumption'!G$31 * VLOOKUP($B72,'A1.3.10'!$S$28:$AE$58,8,))))</f>
        <v>1.1293150500864199E-5</v>
      </c>
      <c r="AF72" s="610">
        <f>IF($B72&lt;'A1.3.10'!$S$28,"",IF($B72&gt;'A1.3.10'!$S$58,AF71,IF(OR(VLOOKUP($B72,'A1.3.10'!$S$28:$AE$58,10,)="",'Fuel consumption'!D$32=""),"",'Fuel consumption'!D$32 * VLOOKUP($B72,'A1.3.10'!$S$28:$AE$58,10,))))</f>
        <v>5.6655970981789903</v>
      </c>
      <c r="AG72" s="611">
        <f>IF($B72&lt;'A1.3.10'!$S$28,"",IF($B72&gt;'A1.3.10'!$S$58,AG71,IF(OR(VLOOKUP($B72,'A1.3.10'!$S$28:$AE$58,10,)="",'Fuel consumption'!E$32=""),"",'Fuel consumption'!E$32 * VLOOKUP($B72,'A1.3.10'!$S$28:$AE$58,10,))))</f>
        <v>0.29422449618924201</v>
      </c>
      <c r="AH72" s="611">
        <f>IF($B72&lt;'A1.3.10'!$S$28,"",IF($B72&gt;'A1.3.10'!$S$58,AH71,IF(OR(VLOOKUP($B72,'A1.3.10'!$S$28:$AE$58,10,)="",'Fuel consumption'!F$32=""),"",'Fuel consumption'!F$32 * VLOOKUP($B72,'A1.3.10'!$S$28:$AE$58,10,))))</f>
        <v>-1.9493920679616401E-3</v>
      </c>
      <c r="AI72" s="1578">
        <f>IF($B72&lt;'A1.3.10'!$S$28,"",IF($B72&gt;'A1.3.10'!$S$58,AI71,IF(OR(VLOOKUP($B72,'A1.3.10'!$S$28:$AE$58,10,)="",'Fuel consumption'!G$32=""),"",'Fuel consumption'!G$32 * VLOOKUP($B72,'A1.3.10'!$S$28:$AE$58,10,))))</f>
        <v>1.1619187345164999E-5</v>
      </c>
      <c r="AJ72" s="610">
        <f>IF($B72&lt;'A1.3.10'!$S$28,"",IF($B72&gt;'A1.3.10'!$S$58,AJ71,IF(OR(VLOOKUP($B72,'A1.3.10'!$S$28:$AE$58,12,)="",'Fuel consumption'!D$33=""),"",'Fuel consumption'!D$33 * VLOOKUP($B72,'A1.3.10'!$S$28:$AE$58,12,))))</f>
        <v>3.3601870156891001</v>
      </c>
      <c r="AK72" s="611">
        <f>IF($B72&lt;'A1.3.10'!$S$28,"",IF($B72&gt;'A1.3.10'!$S$58,AK71,IF(OR(VLOOKUP($B72,'A1.3.10'!$S$28:$AE$58,12,)="",'Fuel consumption'!E$33=""),"",'Fuel consumption'!E$33 * VLOOKUP($B72,'A1.3.10'!$S$28:$AE$58,12,))))</f>
        <v>0.29524938703213599</v>
      </c>
      <c r="AL72" s="611">
        <f>IF($B72&lt;'A1.3.10'!$S$28,"",IF($B72&gt;'A1.3.10'!$S$58,AL71,IF(OR(VLOOKUP($B72,'A1.3.10'!$S$28:$AE$58,12,)="",'Fuel consumption'!F$33=""),"",'Fuel consumption'!F$33 * VLOOKUP($B72,'A1.3.10'!$S$28:$AE$58,12,))))</f>
        <v>-3.20909768342738E-3</v>
      </c>
      <c r="AM72" s="1578">
        <f>IF($B72&lt;'A1.3.10'!$S$28,"",IF($B72&gt;'A1.3.10'!$S$58,AM71,IF(OR(VLOOKUP($B72,'A1.3.10'!$S$28:$AE$58,12,)="",'Fuel consumption'!G$33=""),"",'Fuel consumption'!G$33 * VLOOKUP($B72,'A1.3.10'!$S$28:$AE$58,12,))))</f>
        <v>2.3540043227716499E-5</v>
      </c>
    </row>
    <row r="73" spans="1:39" ht="13.5" customHeight="1">
      <c r="A73" s="623"/>
      <c r="B73" s="614">
        <f t="shared" si="3"/>
        <v>2057</v>
      </c>
      <c r="C73" s="609"/>
      <c r="D73" s="2484">
        <f>IF($B73&lt;'A1.3.10'!$S$28,"",IF($B73&gt;'A1.3.10'!$S$58,D72,IF(OR(VLOOKUP($B73,'A1.3.10'!$S$28:$AE$58,2,)="",'Fuel consumption'!D$27=""),"",'Fuel consumption'!D$27 * VLOOKUP($B73,'A1.3.10'!$S$28:$AE$58,2,))))</f>
        <v>0.32527491364024624</v>
      </c>
      <c r="E73" s="2485">
        <f>IF($B73&lt;'A1.3.10'!$S$28,"",IF($B73&gt;'A1.3.10'!$S$58,E72,IF(OR(VLOOKUP($B73,'A1.3.10'!$S$28:$AE$58,2,)="",'Fuel consumption'!E$27=""),"",'Fuel consumption'!E$27 * VLOOKUP($B73,'A1.3.10'!$S$28:$AE$58,2,))))</f>
        <v>6.9126195403069218E-2</v>
      </c>
      <c r="F73" s="2485">
        <f>IF($B73&lt;'A1.3.10'!$S$28,"",IF($B73&gt;'A1.3.10'!$S$58,F72,IF(OR(VLOOKUP($B73,'A1.3.10'!$S$28:$AE$58,2,)="",'Fuel consumption'!F$27=""),"",'Fuel consumption'!F$27 * VLOOKUP($B73,'A1.3.10'!$S$28:$AE$58,2,))))</f>
        <v>-7.8742934140708519E-4</v>
      </c>
      <c r="G73" s="2642">
        <f>IF($B73&lt;'A1.3.10'!$S$28,"",IF($B73&gt;'A1.3.10'!$S$58,G72,IF(OR(VLOOKUP($B73,'A1.3.10'!$S$28:$AE$58,2,)="",'Fuel consumption'!G$27=""),"",'Fuel consumption'!G$27 * VLOOKUP($B73,'A1.3.10'!$S$28:$AE$58,2,))))</f>
        <v>5.2150811705064693E-6</v>
      </c>
      <c r="H73" s="2486">
        <f>IF($B73&lt;'A1.3.10'!$S$28,"",IF($B73&gt;'A1.3.10'!$S$58,H72,IF(OR(VLOOKUP($B73,'A1.3.10'!$S$28:$AE$58,3,)="",'Fuel consumption'!D$28=""),"",'Fuel consumption'!D$28  * VLOOKUP($B73,'A1.3.10'!$S$28:$AE$58,3,))))</f>
        <v>0.38728007442052015</v>
      </c>
      <c r="I73" s="2487">
        <f>IF($B73&lt;'A1.3.10'!$S$28,"",IF($B73&gt;'A1.3.10'!$S$58,I72,IF(OR(VLOOKUP($B73,'A1.3.10'!$S$28:$AE$58,3,)="",'Fuel consumption'!E$28=""),"",'Fuel consumption'!E$28  * VLOOKUP($B73,'A1.3.10'!$S$28:$AE$58,3,))))</f>
        <v>5.5526385246550972E-2</v>
      </c>
      <c r="J73" s="2487">
        <f>IF($B73&lt;'A1.3.10'!$S$28,"",IF($B73&gt;'A1.3.10'!$S$58,J72,IF(OR(VLOOKUP($B73,'A1.3.10'!$S$28:$AE$58,3,)="",'Fuel consumption'!F$28=""),"",'Fuel consumption'!F$28  * VLOOKUP($B73,'A1.3.10'!$S$28:$AE$58,3,))))</f>
        <v>-5.3417929464962704E-4</v>
      </c>
      <c r="K73" s="2642">
        <f>IF($B73&lt;'A1.3.10'!$S$28,"",IF($B73&gt;'A1.3.10'!$S$58,K72,IF(OR(VLOOKUP($B73,'A1.3.10'!$S$28:$AE$58,3,)="",'Fuel consumption'!G$28=""),"",'Fuel consumption'!G$28  * VLOOKUP($B73,'A1.3.10'!$S$28:$AE$58,3,))))</f>
        <v>4.2093596420141842E-6</v>
      </c>
      <c r="L73" s="2486" t="str">
        <f>IF($B73&lt;'A1.3.10'!$S$28,"",IF($B73&gt;'A1.3.10'!$S$58,L72,IF(OR(VLOOKUP($B73,'A1.3.10'!$S$28:$AE$58,4,)="", 'Fuel consumption'!D$36=""),"",'Fuel consumption'!D$36 * VLOOKUP($B73,'A1.3.10'!$S$28:$AE$58,4,))))</f>
        <v/>
      </c>
      <c r="M73" s="2487">
        <f>IF($B73&lt;'A1.3.10'!$S$28,"",IF($B73&gt;'A1.3.10'!$S$58,M72,IF(OR(VLOOKUP($B73,'A1.3.10'!$S$28:$AE$58,4,)="", 'Fuel consumption'!E$36=""),"",'Fuel consumption'!E$36 * VLOOKUP($B73,'A1.3.10'!$S$28:$AE$58,4,))))</f>
        <v>0.12679510393803953</v>
      </c>
      <c r="N73" s="614" t="str">
        <f>IF($B73&lt;'A1.3.10'!$S$28,"",IF($B73&gt;'A1.3.10'!$S$58,N72,IF(OR(VLOOKUP($B73,'A1.3.10'!$S$28:$AE$58,4,)="", 'Fuel consumption'!F$36=""),"",'Fuel consumption'!F$36 * VLOOKUP($B73,'A1.3.10'!$S$28:$AE$58,4,))))</f>
        <v/>
      </c>
      <c r="O73" s="612" t="str">
        <f>IF($B73&lt;'A1.3.10'!$S$28,"",IF($B73&gt;'A1.3.10'!$S$58,O72,IF(OR(VLOOKUP($B73,'A1.3.10'!$S$28:$AE$58,4,)="", 'Fuel consumption'!G$36=""),"",'Fuel consumption'!G$36 * VLOOKUP($B73,'A1.3.10'!$S$28:$AE$58,4,))))</f>
        <v/>
      </c>
      <c r="P73" s="610">
        <f>IF($B73&lt;'A1.3.10'!$S$28,"",IF($B73&gt;'A1.3.10'!$S$58,P72,IF(OR(VLOOKUP($B73,'A1.3.10'!$S$28:$AE$58,5,)="",'Fuel consumption'!D$29=""),"",'Fuel consumption'!D$29 * VLOOKUP($B73,'A1.3.10'!$S$28:$AE$58,5,))))</f>
        <v>0.23398100209323003</v>
      </c>
      <c r="Q73" s="611">
        <f>IF($B73&lt;'A1.3.10'!$S$28,"",IF($B73&gt;'A1.3.10'!$S$58,Q72,IF(OR(VLOOKUP($B73,'A1.3.10'!$S$28:$AE$58,5,)="",'Fuel consumption'!E$29=""),"",'Fuel consumption'!E$29 * VLOOKUP($B73,'A1.3.10'!$S$28:$AE$58,5,))))</f>
        <v>0.13120300165283155</v>
      </c>
      <c r="R73" s="611">
        <f>IF($B73&lt;'A1.3.10'!$S$28,"",IF($B73&gt;'A1.3.10'!$S$58,R72,IF(OR(VLOOKUP($B73,'A1.3.10'!$S$28:$AE$58,5,)="",'Fuel consumption'!F$29=""),"",'Fuel consumption'!F$29 * VLOOKUP($B73,'A1.3.10'!$S$28:$AE$58,5,))))</f>
        <v>-2.0594564659300405E-3</v>
      </c>
      <c r="S73" s="2642">
        <f>IF($B73&lt;'A1.3.10'!$S$28,"",IF($B73&gt;'A1.3.10'!$S$58,S72,IF(OR(VLOOKUP($B73,'A1.3.10'!$S$28:$AE$58,5,)="",'Fuel consumption'!G$29=""),"",'Fuel consumption'!G$29 * VLOOKUP($B73,'A1.3.10'!$S$28:$AE$58,5,))))</f>
        <v>1.3300046823685748E-5</v>
      </c>
      <c r="T73" s="610">
        <f>IF($B73&lt;'A1.3.10'!$S$28,"",IF($B73&gt;'A1.3.10'!$S$58,T72,IF(OR(VLOOKUP($B73,'A1.3.10'!$S$28:$AE$58,6,)="",'Fuel consumption'!D$30=""),"",'Fuel consumption'!D$30 * VLOOKUP($B73,'A1.3.10'!$S$28:$AE$58,6,))))</f>
        <v>0.3988609037344879</v>
      </c>
      <c r="U73" s="611">
        <f>IF($B73&lt;'A1.3.10'!$S$28,"",IF($B73&gt;'A1.3.10'!$S$58,U72,IF(OR(VLOOKUP($B73,'A1.3.10'!$S$28:$AE$58,6,)="",'Fuel consumption'!E$30=""),"",'Fuel consumption'!E$30 * VLOOKUP($B73,'A1.3.10'!$S$28:$AE$58,6,))))</f>
        <v>9.7483230363204512E-2</v>
      </c>
      <c r="V73" s="611">
        <f>IF($B73&lt;'A1.3.10'!$S$28,"",IF($B73&gt;'A1.3.10'!$S$58,V72,IF(OR(VLOOKUP($B73,'A1.3.10'!$S$28:$AE$58,6,)="",'Fuel consumption'!F$30=""),"",'Fuel consumption'!F$30 * VLOOKUP($B73,'A1.3.10'!$S$28:$AE$58,6,))))</f>
        <v>-1.4063727682028522E-3</v>
      </c>
      <c r="W73" s="2642">
        <f>IF($B73&lt;'A1.3.10'!$S$28,"",IF($B73&gt;'A1.3.10'!$S$58,W72,IF(OR(VLOOKUP($B73,'A1.3.10'!$S$28:$AE$58,6,)="",'Fuel consumption'!G$30=""),"",'Fuel consumption'!G$30 * VLOOKUP($B73,'A1.3.10'!$S$28:$AE$58,6,))))</f>
        <v>1.1906400891809692E-5</v>
      </c>
      <c r="X73" s="3144"/>
      <c r="Y73" s="2487">
        <f>IF($B73&lt;'A1.3.10'!$S$28,"",IF($B73&gt;'A1.3.10'!$S$58,Y72,IF(OR(VLOOKUP($B73,'A1.3.10'!$S$28:$AE$58,7,)="", 'Fuel consumption'!E$37=""),"",'Fuel consumption'!E$37 * VLOOKUP($B73,'A1.3.10'!$S$28:$AE$58,7,))))</f>
        <v>0.29149401103980166</v>
      </c>
      <c r="Z73" s="2642"/>
      <c r="AA73" s="2642"/>
      <c r="AB73" s="610">
        <f>IF($B73&lt;'A1.3.10'!$S$28,"",IF($B73&gt;'A1.3.10'!$S$58,AB72,IF(OR(VLOOKUP($B73,'A1.3.10'!$S$28:$AE$58,8,)="",'Fuel consumption'!D$31=""),"",'Fuel consumption'!D$31 * VLOOKUP($B73,'A1.3.10'!$S$28:$AE$58,8,))))</f>
        <v>2.6962848686626804</v>
      </c>
      <c r="AC73" s="611">
        <f>IF($B73&lt;'A1.3.10'!$S$28,"",IF($B73&gt;'A1.3.10'!$S$58,AC72,IF(OR(VLOOKUP($B73,'A1.3.10'!$S$28:$AE$58,8,)="",'Fuel consumption'!E$31=""),"",'Fuel consumption'!E$31 * VLOOKUP($B73,'A1.3.10'!$S$28:$AE$58,8,))))</f>
        <v>0.143057339771858</v>
      </c>
      <c r="AD73" s="611">
        <f>IF($B73&lt;'A1.3.10'!$S$28,"",IF($B73&gt;'A1.3.10'!$S$58,AD72,IF(OR(VLOOKUP($B73,'A1.3.10'!$S$28:$AE$58,8,)="",'Fuel consumption'!F$31=""),"",'Fuel consumption'!F$31 * VLOOKUP($B73,'A1.3.10'!$S$28:$AE$58,8,))))</f>
        <v>-1.0340193601785499E-3</v>
      </c>
      <c r="AE73" s="2642">
        <f>IF($B73&lt;'A1.3.10'!$S$28,"",IF($B73&gt;'A1.3.10'!$S$58,AE72,IF(OR(VLOOKUP($B73,'A1.3.10'!$S$28:$AE$58,8,)="",'Fuel consumption'!G$31=""),"",'Fuel consumption'!G$31 * VLOOKUP($B73,'A1.3.10'!$S$28:$AE$58,8,))))</f>
        <v>1.1293150500864199E-5</v>
      </c>
      <c r="AF73" s="610">
        <f>IF($B73&lt;'A1.3.10'!$S$28,"",IF($B73&gt;'A1.3.10'!$S$58,AF72,IF(OR(VLOOKUP($B73,'A1.3.10'!$S$28:$AE$58,10,)="",'Fuel consumption'!D$32=""),"",'Fuel consumption'!D$32 * VLOOKUP($B73,'A1.3.10'!$S$28:$AE$58,10,))))</f>
        <v>5.6655970981789903</v>
      </c>
      <c r="AG73" s="611">
        <f>IF($B73&lt;'A1.3.10'!$S$28,"",IF($B73&gt;'A1.3.10'!$S$58,AG72,IF(OR(VLOOKUP($B73,'A1.3.10'!$S$28:$AE$58,10,)="",'Fuel consumption'!E$32=""),"",'Fuel consumption'!E$32 * VLOOKUP($B73,'A1.3.10'!$S$28:$AE$58,10,))))</f>
        <v>0.29422449618924201</v>
      </c>
      <c r="AH73" s="611">
        <f>IF($B73&lt;'A1.3.10'!$S$28,"",IF($B73&gt;'A1.3.10'!$S$58,AH72,IF(OR(VLOOKUP($B73,'A1.3.10'!$S$28:$AE$58,10,)="",'Fuel consumption'!F$32=""),"",'Fuel consumption'!F$32 * VLOOKUP($B73,'A1.3.10'!$S$28:$AE$58,10,))))</f>
        <v>-1.9493920679616401E-3</v>
      </c>
      <c r="AI73" s="1578">
        <f>IF($B73&lt;'A1.3.10'!$S$28,"",IF($B73&gt;'A1.3.10'!$S$58,AI72,IF(OR(VLOOKUP($B73,'A1.3.10'!$S$28:$AE$58,10,)="",'Fuel consumption'!G$32=""),"",'Fuel consumption'!G$32 * VLOOKUP($B73,'A1.3.10'!$S$28:$AE$58,10,))))</f>
        <v>1.1619187345164999E-5</v>
      </c>
      <c r="AJ73" s="610">
        <f>IF($B73&lt;'A1.3.10'!$S$28,"",IF($B73&gt;'A1.3.10'!$S$58,AJ72,IF(OR(VLOOKUP($B73,'A1.3.10'!$S$28:$AE$58,12,)="",'Fuel consumption'!D$33=""),"",'Fuel consumption'!D$33 * VLOOKUP($B73,'A1.3.10'!$S$28:$AE$58,12,))))</f>
        <v>3.3601870156891001</v>
      </c>
      <c r="AK73" s="611">
        <f>IF($B73&lt;'A1.3.10'!$S$28,"",IF($B73&gt;'A1.3.10'!$S$58,AK72,IF(OR(VLOOKUP($B73,'A1.3.10'!$S$28:$AE$58,12,)="",'Fuel consumption'!E$33=""),"",'Fuel consumption'!E$33 * VLOOKUP($B73,'A1.3.10'!$S$28:$AE$58,12,))))</f>
        <v>0.29524938703213599</v>
      </c>
      <c r="AL73" s="611">
        <f>IF($B73&lt;'A1.3.10'!$S$28,"",IF($B73&gt;'A1.3.10'!$S$58,AL72,IF(OR(VLOOKUP($B73,'A1.3.10'!$S$28:$AE$58,12,)="",'Fuel consumption'!F$33=""),"",'Fuel consumption'!F$33 * VLOOKUP($B73,'A1.3.10'!$S$28:$AE$58,12,))))</f>
        <v>-3.20909768342738E-3</v>
      </c>
      <c r="AM73" s="1578">
        <f>IF($B73&lt;'A1.3.10'!$S$28,"",IF($B73&gt;'A1.3.10'!$S$58,AM72,IF(OR(VLOOKUP($B73,'A1.3.10'!$S$28:$AE$58,12,)="",'Fuel consumption'!G$33=""),"",'Fuel consumption'!G$33 * VLOOKUP($B73,'A1.3.10'!$S$28:$AE$58,12,))))</f>
        <v>2.3540043227716499E-5</v>
      </c>
    </row>
    <row r="74" spans="1:39" ht="13.5" customHeight="1">
      <c r="A74" s="623"/>
      <c r="B74" s="614">
        <f t="shared" si="3"/>
        <v>2058</v>
      </c>
      <c r="C74" s="609"/>
      <c r="D74" s="2484">
        <f>IF($B74&lt;'A1.3.10'!$S$28,"",IF($B74&gt;'A1.3.10'!$S$58,D73,IF(OR(VLOOKUP($B74,'A1.3.10'!$S$28:$AE$58,2,)="",'Fuel consumption'!D$27=""),"",'Fuel consumption'!D$27 * VLOOKUP($B74,'A1.3.10'!$S$28:$AE$58,2,))))</f>
        <v>0.32527491364024624</v>
      </c>
      <c r="E74" s="2485">
        <f>IF($B74&lt;'A1.3.10'!$S$28,"",IF($B74&gt;'A1.3.10'!$S$58,E73,IF(OR(VLOOKUP($B74,'A1.3.10'!$S$28:$AE$58,2,)="",'Fuel consumption'!E$27=""),"",'Fuel consumption'!E$27 * VLOOKUP($B74,'A1.3.10'!$S$28:$AE$58,2,))))</f>
        <v>6.9126195403069218E-2</v>
      </c>
      <c r="F74" s="2485">
        <f>IF($B74&lt;'A1.3.10'!$S$28,"",IF($B74&gt;'A1.3.10'!$S$58,F73,IF(OR(VLOOKUP($B74,'A1.3.10'!$S$28:$AE$58,2,)="",'Fuel consumption'!F$27=""),"",'Fuel consumption'!F$27 * VLOOKUP($B74,'A1.3.10'!$S$28:$AE$58,2,))))</f>
        <v>-7.8742934140708519E-4</v>
      </c>
      <c r="G74" s="2642">
        <f>IF($B74&lt;'A1.3.10'!$S$28,"",IF($B74&gt;'A1.3.10'!$S$58,G73,IF(OR(VLOOKUP($B74,'A1.3.10'!$S$28:$AE$58,2,)="",'Fuel consumption'!G$27=""),"",'Fuel consumption'!G$27 * VLOOKUP($B74,'A1.3.10'!$S$28:$AE$58,2,))))</f>
        <v>5.2150811705064693E-6</v>
      </c>
      <c r="H74" s="2486">
        <f>IF($B74&lt;'A1.3.10'!$S$28,"",IF($B74&gt;'A1.3.10'!$S$58,H73,IF(OR(VLOOKUP($B74,'A1.3.10'!$S$28:$AE$58,3,)="",'Fuel consumption'!D$28=""),"",'Fuel consumption'!D$28  * VLOOKUP($B74,'A1.3.10'!$S$28:$AE$58,3,))))</f>
        <v>0.38728007442052015</v>
      </c>
      <c r="I74" s="2487">
        <f>IF($B74&lt;'A1.3.10'!$S$28,"",IF($B74&gt;'A1.3.10'!$S$58,I73,IF(OR(VLOOKUP($B74,'A1.3.10'!$S$28:$AE$58,3,)="",'Fuel consumption'!E$28=""),"",'Fuel consumption'!E$28  * VLOOKUP($B74,'A1.3.10'!$S$28:$AE$58,3,))))</f>
        <v>5.5526385246550972E-2</v>
      </c>
      <c r="J74" s="2487">
        <f>IF($B74&lt;'A1.3.10'!$S$28,"",IF($B74&gt;'A1.3.10'!$S$58,J73,IF(OR(VLOOKUP($B74,'A1.3.10'!$S$28:$AE$58,3,)="",'Fuel consumption'!F$28=""),"",'Fuel consumption'!F$28  * VLOOKUP($B74,'A1.3.10'!$S$28:$AE$58,3,))))</f>
        <v>-5.3417929464962704E-4</v>
      </c>
      <c r="K74" s="2642">
        <f>IF($B74&lt;'A1.3.10'!$S$28,"",IF($B74&gt;'A1.3.10'!$S$58,K73,IF(OR(VLOOKUP($B74,'A1.3.10'!$S$28:$AE$58,3,)="",'Fuel consumption'!G$28=""),"",'Fuel consumption'!G$28  * VLOOKUP($B74,'A1.3.10'!$S$28:$AE$58,3,))))</f>
        <v>4.2093596420141842E-6</v>
      </c>
      <c r="L74" s="2486" t="str">
        <f>IF($B74&lt;'A1.3.10'!$S$28,"",IF($B74&gt;'A1.3.10'!$S$58,L73,IF(OR(VLOOKUP($B74,'A1.3.10'!$S$28:$AE$58,4,)="", 'Fuel consumption'!D$36=""),"",'Fuel consumption'!D$36 * VLOOKUP($B74,'A1.3.10'!$S$28:$AE$58,4,))))</f>
        <v/>
      </c>
      <c r="M74" s="2487">
        <f>IF($B74&lt;'A1.3.10'!$S$28,"",IF($B74&gt;'A1.3.10'!$S$58,M73,IF(OR(VLOOKUP($B74,'A1.3.10'!$S$28:$AE$58,4,)="", 'Fuel consumption'!E$36=""),"",'Fuel consumption'!E$36 * VLOOKUP($B74,'A1.3.10'!$S$28:$AE$58,4,))))</f>
        <v>0.12679510393803953</v>
      </c>
      <c r="N74" s="614" t="str">
        <f>IF($B74&lt;'A1.3.10'!$S$28,"",IF($B74&gt;'A1.3.10'!$S$58,N73,IF(OR(VLOOKUP($B74,'A1.3.10'!$S$28:$AE$58,4,)="", 'Fuel consumption'!F$36=""),"",'Fuel consumption'!F$36 * VLOOKUP($B74,'A1.3.10'!$S$28:$AE$58,4,))))</f>
        <v/>
      </c>
      <c r="O74" s="612" t="str">
        <f>IF($B74&lt;'A1.3.10'!$S$28,"",IF($B74&gt;'A1.3.10'!$S$58,O73,IF(OR(VLOOKUP($B74,'A1.3.10'!$S$28:$AE$58,4,)="", 'Fuel consumption'!G$36=""),"",'Fuel consumption'!G$36 * VLOOKUP($B74,'A1.3.10'!$S$28:$AE$58,4,))))</f>
        <v/>
      </c>
      <c r="P74" s="610">
        <f>IF($B74&lt;'A1.3.10'!$S$28,"",IF($B74&gt;'A1.3.10'!$S$58,P73,IF(OR(VLOOKUP($B74,'A1.3.10'!$S$28:$AE$58,5,)="",'Fuel consumption'!D$29=""),"",'Fuel consumption'!D$29 * VLOOKUP($B74,'A1.3.10'!$S$28:$AE$58,5,))))</f>
        <v>0.23398100209323003</v>
      </c>
      <c r="Q74" s="611">
        <f>IF($B74&lt;'A1.3.10'!$S$28,"",IF($B74&gt;'A1.3.10'!$S$58,Q73,IF(OR(VLOOKUP($B74,'A1.3.10'!$S$28:$AE$58,5,)="",'Fuel consumption'!E$29=""),"",'Fuel consumption'!E$29 * VLOOKUP($B74,'A1.3.10'!$S$28:$AE$58,5,))))</f>
        <v>0.13120300165283155</v>
      </c>
      <c r="R74" s="611">
        <f>IF($B74&lt;'A1.3.10'!$S$28,"",IF($B74&gt;'A1.3.10'!$S$58,R73,IF(OR(VLOOKUP($B74,'A1.3.10'!$S$28:$AE$58,5,)="",'Fuel consumption'!F$29=""),"",'Fuel consumption'!F$29 * VLOOKUP($B74,'A1.3.10'!$S$28:$AE$58,5,))))</f>
        <v>-2.0594564659300405E-3</v>
      </c>
      <c r="S74" s="2642">
        <f>IF($B74&lt;'A1.3.10'!$S$28,"",IF($B74&gt;'A1.3.10'!$S$58,S73,IF(OR(VLOOKUP($B74,'A1.3.10'!$S$28:$AE$58,5,)="",'Fuel consumption'!G$29=""),"",'Fuel consumption'!G$29 * VLOOKUP($B74,'A1.3.10'!$S$28:$AE$58,5,))))</f>
        <v>1.3300046823685748E-5</v>
      </c>
      <c r="T74" s="610">
        <f>IF($B74&lt;'A1.3.10'!$S$28,"",IF($B74&gt;'A1.3.10'!$S$58,T73,IF(OR(VLOOKUP($B74,'A1.3.10'!$S$28:$AE$58,6,)="",'Fuel consumption'!D$30=""),"",'Fuel consumption'!D$30 * VLOOKUP($B74,'A1.3.10'!$S$28:$AE$58,6,))))</f>
        <v>0.3988609037344879</v>
      </c>
      <c r="U74" s="611">
        <f>IF($B74&lt;'A1.3.10'!$S$28,"",IF($B74&gt;'A1.3.10'!$S$58,U73,IF(OR(VLOOKUP($B74,'A1.3.10'!$S$28:$AE$58,6,)="",'Fuel consumption'!E$30=""),"",'Fuel consumption'!E$30 * VLOOKUP($B74,'A1.3.10'!$S$28:$AE$58,6,))))</f>
        <v>9.7483230363204512E-2</v>
      </c>
      <c r="V74" s="611">
        <f>IF($B74&lt;'A1.3.10'!$S$28,"",IF($B74&gt;'A1.3.10'!$S$58,V73,IF(OR(VLOOKUP($B74,'A1.3.10'!$S$28:$AE$58,6,)="",'Fuel consumption'!F$30=""),"",'Fuel consumption'!F$30 * VLOOKUP($B74,'A1.3.10'!$S$28:$AE$58,6,))))</f>
        <v>-1.4063727682028522E-3</v>
      </c>
      <c r="W74" s="2642">
        <f>IF($B74&lt;'A1.3.10'!$S$28,"",IF($B74&gt;'A1.3.10'!$S$58,W73,IF(OR(VLOOKUP($B74,'A1.3.10'!$S$28:$AE$58,6,)="",'Fuel consumption'!G$30=""),"",'Fuel consumption'!G$30 * VLOOKUP($B74,'A1.3.10'!$S$28:$AE$58,6,))))</f>
        <v>1.1906400891809692E-5</v>
      </c>
      <c r="X74" s="3144"/>
      <c r="Y74" s="2487">
        <f>IF($B74&lt;'A1.3.10'!$S$28,"",IF($B74&gt;'A1.3.10'!$S$58,Y73,IF(OR(VLOOKUP($B74,'A1.3.10'!$S$28:$AE$58,7,)="", 'Fuel consumption'!E$37=""),"",'Fuel consumption'!E$37 * VLOOKUP($B74,'A1.3.10'!$S$28:$AE$58,7,))))</f>
        <v>0.29149401103980166</v>
      </c>
      <c r="Z74" s="2642"/>
      <c r="AA74" s="2642"/>
      <c r="AB74" s="610">
        <f>IF($B74&lt;'A1.3.10'!$S$28,"",IF($B74&gt;'A1.3.10'!$S$58,AB73,IF(OR(VLOOKUP($B74,'A1.3.10'!$S$28:$AE$58,8,)="",'Fuel consumption'!D$31=""),"",'Fuel consumption'!D$31 * VLOOKUP($B74,'A1.3.10'!$S$28:$AE$58,8,))))</f>
        <v>2.6962848686626804</v>
      </c>
      <c r="AC74" s="611">
        <f>IF($B74&lt;'A1.3.10'!$S$28,"",IF($B74&gt;'A1.3.10'!$S$58,AC73,IF(OR(VLOOKUP($B74,'A1.3.10'!$S$28:$AE$58,8,)="",'Fuel consumption'!E$31=""),"",'Fuel consumption'!E$31 * VLOOKUP($B74,'A1.3.10'!$S$28:$AE$58,8,))))</f>
        <v>0.143057339771858</v>
      </c>
      <c r="AD74" s="611">
        <f>IF($B74&lt;'A1.3.10'!$S$28,"",IF($B74&gt;'A1.3.10'!$S$58,AD73,IF(OR(VLOOKUP($B74,'A1.3.10'!$S$28:$AE$58,8,)="",'Fuel consumption'!F$31=""),"",'Fuel consumption'!F$31 * VLOOKUP($B74,'A1.3.10'!$S$28:$AE$58,8,))))</f>
        <v>-1.0340193601785499E-3</v>
      </c>
      <c r="AE74" s="2642">
        <f>IF($B74&lt;'A1.3.10'!$S$28,"",IF($B74&gt;'A1.3.10'!$S$58,AE73,IF(OR(VLOOKUP($B74,'A1.3.10'!$S$28:$AE$58,8,)="",'Fuel consumption'!G$31=""),"",'Fuel consumption'!G$31 * VLOOKUP($B74,'A1.3.10'!$S$28:$AE$58,8,))))</f>
        <v>1.1293150500864199E-5</v>
      </c>
      <c r="AF74" s="610">
        <f>IF($B74&lt;'A1.3.10'!$S$28,"",IF($B74&gt;'A1.3.10'!$S$58,AF73,IF(OR(VLOOKUP($B74,'A1.3.10'!$S$28:$AE$58,10,)="",'Fuel consumption'!D$32=""),"",'Fuel consumption'!D$32 * VLOOKUP($B74,'A1.3.10'!$S$28:$AE$58,10,))))</f>
        <v>5.6655970981789903</v>
      </c>
      <c r="AG74" s="611">
        <f>IF($B74&lt;'A1.3.10'!$S$28,"",IF($B74&gt;'A1.3.10'!$S$58,AG73,IF(OR(VLOOKUP($B74,'A1.3.10'!$S$28:$AE$58,10,)="",'Fuel consumption'!E$32=""),"",'Fuel consumption'!E$32 * VLOOKUP($B74,'A1.3.10'!$S$28:$AE$58,10,))))</f>
        <v>0.29422449618924201</v>
      </c>
      <c r="AH74" s="611">
        <f>IF($B74&lt;'A1.3.10'!$S$28,"",IF($B74&gt;'A1.3.10'!$S$58,AH73,IF(OR(VLOOKUP($B74,'A1.3.10'!$S$28:$AE$58,10,)="",'Fuel consumption'!F$32=""),"",'Fuel consumption'!F$32 * VLOOKUP($B74,'A1.3.10'!$S$28:$AE$58,10,))))</f>
        <v>-1.9493920679616401E-3</v>
      </c>
      <c r="AI74" s="1578">
        <f>IF($B74&lt;'A1.3.10'!$S$28,"",IF($B74&gt;'A1.3.10'!$S$58,AI73,IF(OR(VLOOKUP($B74,'A1.3.10'!$S$28:$AE$58,10,)="",'Fuel consumption'!G$32=""),"",'Fuel consumption'!G$32 * VLOOKUP($B74,'A1.3.10'!$S$28:$AE$58,10,))))</f>
        <v>1.1619187345164999E-5</v>
      </c>
      <c r="AJ74" s="610">
        <f>IF($B74&lt;'A1.3.10'!$S$28,"",IF($B74&gt;'A1.3.10'!$S$58,AJ73,IF(OR(VLOOKUP($B74,'A1.3.10'!$S$28:$AE$58,12,)="",'Fuel consumption'!D$33=""),"",'Fuel consumption'!D$33 * VLOOKUP($B74,'A1.3.10'!$S$28:$AE$58,12,))))</f>
        <v>3.3601870156891001</v>
      </c>
      <c r="AK74" s="611">
        <f>IF($B74&lt;'A1.3.10'!$S$28,"",IF($B74&gt;'A1.3.10'!$S$58,AK73,IF(OR(VLOOKUP($B74,'A1.3.10'!$S$28:$AE$58,12,)="",'Fuel consumption'!E$33=""),"",'Fuel consumption'!E$33 * VLOOKUP($B74,'A1.3.10'!$S$28:$AE$58,12,))))</f>
        <v>0.29524938703213599</v>
      </c>
      <c r="AL74" s="611">
        <f>IF($B74&lt;'A1.3.10'!$S$28,"",IF($B74&gt;'A1.3.10'!$S$58,AL73,IF(OR(VLOOKUP($B74,'A1.3.10'!$S$28:$AE$58,12,)="",'Fuel consumption'!F$33=""),"",'Fuel consumption'!F$33 * VLOOKUP($B74,'A1.3.10'!$S$28:$AE$58,12,))))</f>
        <v>-3.20909768342738E-3</v>
      </c>
      <c r="AM74" s="1578">
        <f>IF($B74&lt;'A1.3.10'!$S$28,"",IF($B74&gt;'A1.3.10'!$S$58,AM73,IF(OR(VLOOKUP($B74,'A1.3.10'!$S$28:$AE$58,12,)="",'Fuel consumption'!G$33=""),"",'Fuel consumption'!G$33 * VLOOKUP($B74,'A1.3.10'!$S$28:$AE$58,12,))))</f>
        <v>2.3540043227716499E-5</v>
      </c>
    </row>
    <row r="75" spans="1:39" ht="13.5" customHeight="1">
      <c r="A75" s="623"/>
      <c r="B75" s="614">
        <f t="shared" si="3"/>
        <v>2059</v>
      </c>
      <c r="C75" s="609"/>
      <c r="D75" s="2484">
        <f>IF($B75&lt;'A1.3.10'!$S$28,"",IF($B75&gt;'A1.3.10'!$S$58,D74,IF(OR(VLOOKUP($B75,'A1.3.10'!$S$28:$AE$58,2,)="",'Fuel consumption'!D$27=""),"",'Fuel consumption'!D$27 * VLOOKUP($B75,'A1.3.10'!$S$28:$AE$58,2,))))</f>
        <v>0.32527491364024624</v>
      </c>
      <c r="E75" s="2485">
        <f>IF($B75&lt;'A1.3.10'!$S$28,"",IF($B75&gt;'A1.3.10'!$S$58,E74,IF(OR(VLOOKUP($B75,'A1.3.10'!$S$28:$AE$58,2,)="",'Fuel consumption'!E$27=""),"",'Fuel consumption'!E$27 * VLOOKUP($B75,'A1.3.10'!$S$28:$AE$58,2,))))</f>
        <v>6.9126195403069218E-2</v>
      </c>
      <c r="F75" s="2485">
        <f>IF($B75&lt;'A1.3.10'!$S$28,"",IF($B75&gt;'A1.3.10'!$S$58,F74,IF(OR(VLOOKUP($B75,'A1.3.10'!$S$28:$AE$58,2,)="",'Fuel consumption'!F$27=""),"",'Fuel consumption'!F$27 * VLOOKUP($B75,'A1.3.10'!$S$28:$AE$58,2,))))</f>
        <v>-7.8742934140708519E-4</v>
      </c>
      <c r="G75" s="2642">
        <f>IF($B75&lt;'A1.3.10'!$S$28,"",IF($B75&gt;'A1.3.10'!$S$58,G74,IF(OR(VLOOKUP($B75,'A1.3.10'!$S$28:$AE$58,2,)="",'Fuel consumption'!G$27=""),"",'Fuel consumption'!G$27 * VLOOKUP($B75,'A1.3.10'!$S$28:$AE$58,2,))))</f>
        <v>5.2150811705064693E-6</v>
      </c>
      <c r="H75" s="2486">
        <f>IF($B75&lt;'A1.3.10'!$S$28,"",IF($B75&gt;'A1.3.10'!$S$58,H74,IF(OR(VLOOKUP($B75,'A1.3.10'!$S$28:$AE$58,3,)="",'Fuel consumption'!D$28=""),"",'Fuel consumption'!D$28  * VLOOKUP($B75,'A1.3.10'!$S$28:$AE$58,3,))))</f>
        <v>0.38728007442052015</v>
      </c>
      <c r="I75" s="2487">
        <f>IF($B75&lt;'A1.3.10'!$S$28,"",IF($B75&gt;'A1.3.10'!$S$58,I74,IF(OR(VLOOKUP($B75,'A1.3.10'!$S$28:$AE$58,3,)="",'Fuel consumption'!E$28=""),"",'Fuel consumption'!E$28  * VLOOKUP($B75,'A1.3.10'!$S$28:$AE$58,3,))))</f>
        <v>5.5526385246550972E-2</v>
      </c>
      <c r="J75" s="2487">
        <f>IF($B75&lt;'A1.3.10'!$S$28,"",IF($B75&gt;'A1.3.10'!$S$58,J74,IF(OR(VLOOKUP($B75,'A1.3.10'!$S$28:$AE$58,3,)="",'Fuel consumption'!F$28=""),"",'Fuel consumption'!F$28  * VLOOKUP($B75,'A1.3.10'!$S$28:$AE$58,3,))))</f>
        <v>-5.3417929464962704E-4</v>
      </c>
      <c r="K75" s="2642">
        <f>IF($B75&lt;'A1.3.10'!$S$28,"",IF($B75&gt;'A1.3.10'!$S$58,K74,IF(OR(VLOOKUP($B75,'A1.3.10'!$S$28:$AE$58,3,)="",'Fuel consumption'!G$28=""),"",'Fuel consumption'!G$28  * VLOOKUP($B75,'A1.3.10'!$S$28:$AE$58,3,))))</f>
        <v>4.2093596420141842E-6</v>
      </c>
      <c r="L75" s="2486" t="str">
        <f>IF($B75&lt;'A1.3.10'!$S$28,"",IF($B75&gt;'A1.3.10'!$S$58,L74,IF(OR(VLOOKUP($B75,'A1.3.10'!$S$28:$AE$58,4,)="", 'Fuel consumption'!D$36=""),"",'Fuel consumption'!D$36 * VLOOKUP($B75,'A1.3.10'!$S$28:$AE$58,4,))))</f>
        <v/>
      </c>
      <c r="M75" s="2487">
        <f>IF($B75&lt;'A1.3.10'!$S$28,"",IF($B75&gt;'A1.3.10'!$S$58,M74,IF(OR(VLOOKUP($B75,'A1.3.10'!$S$28:$AE$58,4,)="", 'Fuel consumption'!E$36=""),"",'Fuel consumption'!E$36 * VLOOKUP($B75,'A1.3.10'!$S$28:$AE$58,4,))))</f>
        <v>0.12679510393803953</v>
      </c>
      <c r="N75" s="614" t="str">
        <f>IF($B75&lt;'A1.3.10'!$S$28,"",IF($B75&gt;'A1.3.10'!$S$58,N74,IF(OR(VLOOKUP($B75,'A1.3.10'!$S$28:$AE$58,4,)="", 'Fuel consumption'!F$36=""),"",'Fuel consumption'!F$36 * VLOOKUP($B75,'A1.3.10'!$S$28:$AE$58,4,))))</f>
        <v/>
      </c>
      <c r="O75" s="612" t="str">
        <f>IF($B75&lt;'A1.3.10'!$S$28,"",IF($B75&gt;'A1.3.10'!$S$58,O74,IF(OR(VLOOKUP($B75,'A1.3.10'!$S$28:$AE$58,4,)="", 'Fuel consumption'!G$36=""),"",'Fuel consumption'!G$36 * VLOOKUP($B75,'A1.3.10'!$S$28:$AE$58,4,))))</f>
        <v/>
      </c>
      <c r="P75" s="610">
        <f>IF($B75&lt;'A1.3.10'!$S$28,"",IF($B75&gt;'A1.3.10'!$S$58,P74,IF(OR(VLOOKUP($B75,'A1.3.10'!$S$28:$AE$58,5,)="",'Fuel consumption'!D$29=""),"",'Fuel consumption'!D$29 * VLOOKUP($B75,'A1.3.10'!$S$28:$AE$58,5,))))</f>
        <v>0.23398100209323003</v>
      </c>
      <c r="Q75" s="611">
        <f>IF($B75&lt;'A1.3.10'!$S$28,"",IF($B75&gt;'A1.3.10'!$S$58,Q74,IF(OR(VLOOKUP($B75,'A1.3.10'!$S$28:$AE$58,5,)="",'Fuel consumption'!E$29=""),"",'Fuel consumption'!E$29 * VLOOKUP($B75,'A1.3.10'!$S$28:$AE$58,5,))))</f>
        <v>0.13120300165283155</v>
      </c>
      <c r="R75" s="611">
        <f>IF($B75&lt;'A1.3.10'!$S$28,"",IF($B75&gt;'A1.3.10'!$S$58,R74,IF(OR(VLOOKUP($B75,'A1.3.10'!$S$28:$AE$58,5,)="",'Fuel consumption'!F$29=""),"",'Fuel consumption'!F$29 * VLOOKUP($B75,'A1.3.10'!$S$28:$AE$58,5,))))</f>
        <v>-2.0594564659300405E-3</v>
      </c>
      <c r="S75" s="2642">
        <f>IF($B75&lt;'A1.3.10'!$S$28,"",IF($B75&gt;'A1.3.10'!$S$58,S74,IF(OR(VLOOKUP($B75,'A1.3.10'!$S$28:$AE$58,5,)="",'Fuel consumption'!G$29=""),"",'Fuel consumption'!G$29 * VLOOKUP($B75,'A1.3.10'!$S$28:$AE$58,5,))))</f>
        <v>1.3300046823685748E-5</v>
      </c>
      <c r="T75" s="610">
        <f>IF($B75&lt;'A1.3.10'!$S$28,"",IF($B75&gt;'A1.3.10'!$S$58,T74,IF(OR(VLOOKUP($B75,'A1.3.10'!$S$28:$AE$58,6,)="",'Fuel consumption'!D$30=""),"",'Fuel consumption'!D$30 * VLOOKUP($B75,'A1.3.10'!$S$28:$AE$58,6,))))</f>
        <v>0.3988609037344879</v>
      </c>
      <c r="U75" s="611">
        <f>IF($B75&lt;'A1.3.10'!$S$28,"",IF($B75&gt;'A1.3.10'!$S$58,U74,IF(OR(VLOOKUP($B75,'A1.3.10'!$S$28:$AE$58,6,)="",'Fuel consumption'!E$30=""),"",'Fuel consumption'!E$30 * VLOOKUP($B75,'A1.3.10'!$S$28:$AE$58,6,))))</f>
        <v>9.7483230363204512E-2</v>
      </c>
      <c r="V75" s="611">
        <f>IF($B75&lt;'A1.3.10'!$S$28,"",IF($B75&gt;'A1.3.10'!$S$58,V74,IF(OR(VLOOKUP($B75,'A1.3.10'!$S$28:$AE$58,6,)="",'Fuel consumption'!F$30=""),"",'Fuel consumption'!F$30 * VLOOKUP($B75,'A1.3.10'!$S$28:$AE$58,6,))))</f>
        <v>-1.4063727682028522E-3</v>
      </c>
      <c r="W75" s="2642">
        <f>IF($B75&lt;'A1.3.10'!$S$28,"",IF($B75&gt;'A1.3.10'!$S$58,W74,IF(OR(VLOOKUP($B75,'A1.3.10'!$S$28:$AE$58,6,)="",'Fuel consumption'!G$30=""),"",'Fuel consumption'!G$30 * VLOOKUP($B75,'A1.3.10'!$S$28:$AE$58,6,))))</f>
        <v>1.1906400891809692E-5</v>
      </c>
      <c r="X75" s="3144"/>
      <c r="Y75" s="2487">
        <f>IF($B75&lt;'A1.3.10'!$S$28,"",IF($B75&gt;'A1.3.10'!$S$58,Y74,IF(OR(VLOOKUP($B75,'A1.3.10'!$S$28:$AE$58,7,)="", 'Fuel consumption'!E$37=""),"",'Fuel consumption'!E$37 * VLOOKUP($B75,'A1.3.10'!$S$28:$AE$58,7,))))</f>
        <v>0.29149401103980166</v>
      </c>
      <c r="Z75" s="2642"/>
      <c r="AA75" s="2642"/>
      <c r="AB75" s="610">
        <f>IF($B75&lt;'A1.3.10'!$S$28,"",IF($B75&gt;'A1.3.10'!$S$58,AB74,IF(OR(VLOOKUP($B75,'A1.3.10'!$S$28:$AE$58,8,)="",'Fuel consumption'!D$31=""),"",'Fuel consumption'!D$31 * VLOOKUP($B75,'A1.3.10'!$S$28:$AE$58,8,))))</f>
        <v>2.6962848686626804</v>
      </c>
      <c r="AC75" s="611">
        <f>IF($B75&lt;'A1.3.10'!$S$28,"",IF($B75&gt;'A1.3.10'!$S$58,AC74,IF(OR(VLOOKUP($B75,'A1.3.10'!$S$28:$AE$58,8,)="",'Fuel consumption'!E$31=""),"",'Fuel consumption'!E$31 * VLOOKUP($B75,'A1.3.10'!$S$28:$AE$58,8,))))</f>
        <v>0.143057339771858</v>
      </c>
      <c r="AD75" s="611">
        <f>IF($B75&lt;'A1.3.10'!$S$28,"",IF($B75&gt;'A1.3.10'!$S$58,AD74,IF(OR(VLOOKUP($B75,'A1.3.10'!$S$28:$AE$58,8,)="",'Fuel consumption'!F$31=""),"",'Fuel consumption'!F$31 * VLOOKUP($B75,'A1.3.10'!$S$28:$AE$58,8,))))</f>
        <v>-1.0340193601785499E-3</v>
      </c>
      <c r="AE75" s="2642">
        <f>IF($B75&lt;'A1.3.10'!$S$28,"",IF($B75&gt;'A1.3.10'!$S$58,AE74,IF(OR(VLOOKUP($B75,'A1.3.10'!$S$28:$AE$58,8,)="",'Fuel consumption'!G$31=""),"",'Fuel consumption'!G$31 * VLOOKUP($B75,'A1.3.10'!$S$28:$AE$58,8,))))</f>
        <v>1.1293150500864199E-5</v>
      </c>
      <c r="AF75" s="610">
        <f>IF($B75&lt;'A1.3.10'!$S$28,"",IF($B75&gt;'A1.3.10'!$S$58,AF74,IF(OR(VLOOKUP($B75,'A1.3.10'!$S$28:$AE$58,10,)="",'Fuel consumption'!D$32=""),"",'Fuel consumption'!D$32 * VLOOKUP($B75,'A1.3.10'!$S$28:$AE$58,10,))))</f>
        <v>5.6655970981789903</v>
      </c>
      <c r="AG75" s="611">
        <f>IF($B75&lt;'A1.3.10'!$S$28,"",IF($B75&gt;'A1.3.10'!$S$58,AG74,IF(OR(VLOOKUP($B75,'A1.3.10'!$S$28:$AE$58,10,)="",'Fuel consumption'!E$32=""),"",'Fuel consumption'!E$32 * VLOOKUP($B75,'A1.3.10'!$S$28:$AE$58,10,))))</f>
        <v>0.29422449618924201</v>
      </c>
      <c r="AH75" s="611">
        <f>IF($B75&lt;'A1.3.10'!$S$28,"",IF($B75&gt;'A1.3.10'!$S$58,AH74,IF(OR(VLOOKUP($B75,'A1.3.10'!$S$28:$AE$58,10,)="",'Fuel consumption'!F$32=""),"",'Fuel consumption'!F$32 * VLOOKUP($B75,'A1.3.10'!$S$28:$AE$58,10,))))</f>
        <v>-1.9493920679616401E-3</v>
      </c>
      <c r="AI75" s="1578">
        <f>IF($B75&lt;'A1.3.10'!$S$28,"",IF($B75&gt;'A1.3.10'!$S$58,AI74,IF(OR(VLOOKUP($B75,'A1.3.10'!$S$28:$AE$58,10,)="",'Fuel consumption'!G$32=""),"",'Fuel consumption'!G$32 * VLOOKUP($B75,'A1.3.10'!$S$28:$AE$58,10,))))</f>
        <v>1.1619187345164999E-5</v>
      </c>
      <c r="AJ75" s="610">
        <f>IF($B75&lt;'A1.3.10'!$S$28,"",IF($B75&gt;'A1.3.10'!$S$58,AJ74,IF(OR(VLOOKUP($B75,'A1.3.10'!$S$28:$AE$58,12,)="",'Fuel consumption'!D$33=""),"",'Fuel consumption'!D$33 * VLOOKUP($B75,'A1.3.10'!$S$28:$AE$58,12,))))</f>
        <v>3.3601870156891001</v>
      </c>
      <c r="AK75" s="611">
        <f>IF($B75&lt;'A1.3.10'!$S$28,"",IF($B75&gt;'A1.3.10'!$S$58,AK74,IF(OR(VLOOKUP($B75,'A1.3.10'!$S$28:$AE$58,12,)="",'Fuel consumption'!E$33=""),"",'Fuel consumption'!E$33 * VLOOKUP($B75,'A1.3.10'!$S$28:$AE$58,12,))))</f>
        <v>0.29524938703213599</v>
      </c>
      <c r="AL75" s="611">
        <f>IF($B75&lt;'A1.3.10'!$S$28,"",IF($B75&gt;'A1.3.10'!$S$58,AL74,IF(OR(VLOOKUP($B75,'A1.3.10'!$S$28:$AE$58,12,)="",'Fuel consumption'!F$33=""),"",'Fuel consumption'!F$33 * VLOOKUP($B75,'A1.3.10'!$S$28:$AE$58,12,))))</f>
        <v>-3.20909768342738E-3</v>
      </c>
      <c r="AM75" s="1578">
        <f>IF($B75&lt;'A1.3.10'!$S$28,"",IF($B75&gt;'A1.3.10'!$S$58,AM74,IF(OR(VLOOKUP($B75,'A1.3.10'!$S$28:$AE$58,12,)="",'Fuel consumption'!G$33=""),"",'Fuel consumption'!G$33 * VLOOKUP($B75,'A1.3.10'!$S$28:$AE$58,12,))))</f>
        <v>2.3540043227716499E-5</v>
      </c>
    </row>
    <row r="76" spans="1:39" ht="13.5" customHeight="1">
      <c r="A76" s="623"/>
      <c r="B76" s="614">
        <f t="shared" si="3"/>
        <v>2060</v>
      </c>
      <c r="C76" s="609"/>
      <c r="D76" s="2484">
        <f>IF($B76&lt;'A1.3.10'!$S$28,"",IF($B76&gt;'A1.3.10'!$S$58,D75,IF(OR(VLOOKUP($B76,'A1.3.10'!$S$28:$AE$58,2,)="",'Fuel consumption'!D$27=""),"",'Fuel consumption'!D$27 * VLOOKUP($B76,'A1.3.10'!$S$28:$AE$58,2,))))</f>
        <v>0.32527491364024624</v>
      </c>
      <c r="E76" s="2485">
        <f>IF($B76&lt;'A1.3.10'!$S$28,"",IF($B76&gt;'A1.3.10'!$S$58,E75,IF(OR(VLOOKUP($B76,'A1.3.10'!$S$28:$AE$58,2,)="",'Fuel consumption'!E$27=""),"",'Fuel consumption'!E$27 * VLOOKUP($B76,'A1.3.10'!$S$28:$AE$58,2,))))</f>
        <v>6.9126195403069218E-2</v>
      </c>
      <c r="F76" s="2485">
        <f>IF($B76&lt;'A1.3.10'!$S$28,"",IF($B76&gt;'A1.3.10'!$S$58,F75,IF(OR(VLOOKUP($B76,'A1.3.10'!$S$28:$AE$58,2,)="",'Fuel consumption'!F$27=""),"",'Fuel consumption'!F$27 * VLOOKUP($B76,'A1.3.10'!$S$28:$AE$58,2,))))</f>
        <v>-7.8742934140708519E-4</v>
      </c>
      <c r="G76" s="2642">
        <f>IF($B76&lt;'A1.3.10'!$S$28,"",IF($B76&gt;'A1.3.10'!$S$58,G75,IF(OR(VLOOKUP($B76,'A1.3.10'!$S$28:$AE$58,2,)="",'Fuel consumption'!G$27=""),"",'Fuel consumption'!G$27 * VLOOKUP($B76,'A1.3.10'!$S$28:$AE$58,2,))))</f>
        <v>5.2150811705064693E-6</v>
      </c>
      <c r="H76" s="2486">
        <f>IF($B76&lt;'A1.3.10'!$S$28,"",IF($B76&gt;'A1.3.10'!$S$58,H75,IF(OR(VLOOKUP($B76,'A1.3.10'!$S$28:$AE$58,3,)="",'Fuel consumption'!D$28=""),"",'Fuel consumption'!D$28  * VLOOKUP($B76,'A1.3.10'!$S$28:$AE$58,3,))))</f>
        <v>0.38728007442052015</v>
      </c>
      <c r="I76" s="2487">
        <f>IF($B76&lt;'A1.3.10'!$S$28,"",IF($B76&gt;'A1.3.10'!$S$58,I75,IF(OR(VLOOKUP($B76,'A1.3.10'!$S$28:$AE$58,3,)="",'Fuel consumption'!E$28=""),"",'Fuel consumption'!E$28  * VLOOKUP($B76,'A1.3.10'!$S$28:$AE$58,3,))))</f>
        <v>5.5526385246550972E-2</v>
      </c>
      <c r="J76" s="2487">
        <f>IF($B76&lt;'A1.3.10'!$S$28,"",IF($B76&gt;'A1.3.10'!$S$58,J75,IF(OR(VLOOKUP($B76,'A1.3.10'!$S$28:$AE$58,3,)="",'Fuel consumption'!F$28=""),"",'Fuel consumption'!F$28  * VLOOKUP($B76,'A1.3.10'!$S$28:$AE$58,3,))))</f>
        <v>-5.3417929464962704E-4</v>
      </c>
      <c r="K76" s="2642">
        <f>IF($B76&lt;'A1.3.10'!$S$28,"",IF($B76&gt;'A1.3.10'!$S$58,K75,IF(OR(VLOOKUP($B76,'A1.3.10'!$S$28:$AE$58,3,)="",'Fuel consumption'!G$28=""),"",'Fuel consumption'!G$28  * VLOOKUP($B76,'A1.3.10'!$S$28:$AE$58,3,))))</f>
        <v>4.2093596420141842E-6</v>
      </c>
      <c r="L76" s="2486" t="str">
        <f>IF($B76&lt;'A1.3.10'!$S$28,"",IF($B76&gt;'A1.3.10'!$S$58,L75,IF(OR(VLOOKUP($B76,'A1.3.10'!$S$28:$AE$58,4,)="", 'Fuel consumption'!D$36=""),"",'Fuel consumption'!D$36 * VLOOKUP($B76,'A1.3.10'!$S$28:$AE$58,4,))))</f>
        <v/>
      </c>
      <c r="M76" s="2487">
        <f>IF($B76&lt;'A1.3.10'!$S$28,"",IF($B76&gt;'A1.3.10'!$S$58,M75,IF(OR(VLOOKUP($B76,'A1.3.10'!$S$28:$AE$58,4,)="", 'Fuel consumption'!E$36=""),"",'Fuel consumption'!E$36 * VLOOKUP($B76,'A1.3.10'!$S$28:$AE$58,4,))))</f>
        <v>0.12679510393803953</v>
      </c>
      <c r="N76" s="614" t="str">
        <f>IF($B76&lt;'A1.3.10'!$S$28,"",IF($B76&gt;'A1.3.10'!$S$58,N75,IF(OR(VLOOKUP($B76,'A1.3.10'!$S$28:$AE$58,4,)="", 'Fuel consumption'!F$36=""),"",'Fuel consumption'!F$36 * VLOOKUP($B76,'A1.3.10'!$S$28:$AE$58,4,))))</f>
        <v/>
      </c>
      <c r="O76" s="612" t="str">
        <f>IF($B76&lt;'A1.3.10'!$S$28,"",IF($B76&gt;'A1.3.10'!$S$58,O75,IF(OR(VLOOKUP($B76,'A1.3.10'!$S$28:$AE$58,4,)="", 'Fuel consumption'!G$36=""),"",'Fuel consumption'!G$36 * VLOOKUP($B76,'A1.3.10'!$S$28:$AE$58,4,))))</f>
        <v/>
      </c>
      <c r="P76" s="610">
        <f>IF($B76&lt;'A1.3.10'!$S$28,"",IF($B76&gt;'A1.3.10'!$S$58,P75,IF(OR(VLOOKUP($B76,'A1.3.10'!$S$28:$AE$58,5,)="",'Fuel consumption'!D$29=""),"",'Fuel consumption'!D$29 * VLOOKUP($B76,'A1.3.10'!$S$28:$AE$58,5,))))</f>
        <v>0.23398100209323003</v>
      </c>
      <c r="Q76" s="611">
        <f>IF($B76&lt;'A1.3.10'!$S$28,"",IF($B76&gt;'A1.3.10'!$S$58,Q75,IF(OR(VLOOKUP($B76,'A1.3.10'!$S$28:$AE$58,5,)="",'Fuel consumption'!E$29=""),"",'Fuel consumption'!E$29 * VLOOKUP($B76,'A1.3.10'!$S$28:$AE$58,5,))))</f>
        <v>0.13120300165283155</v>
      </c>
      <c r="R76" s="611">
        <f>IF($B76&lt;'A1.3.10'!$S$28,"",IF($B76&gt;'A1.3.10'!$S$58,R75,IF(OR(VLOOKUP($B76,'A1.3.10'!$S$28:$AE$58,5,)="",'Fuel consumption'!F$29=""),"",'Fuel consumption'!F$29 * VLOOKUP($B76,'A1.3.10'!$S$28:$AE$58,5,))))</f>
        <v>-2.0594564659300405E-3</v>
      </c>
      <c r="S76" s="2642">
        <f>IF($B76&lt;'A1.3.10'!$S$28,"",IF($B76&gt;'A1.3.10'!$S$58,S75,IF(OR(VLOOKUP($B76,'A1.3.10'!$S$28:$AE$58,5,)="",'Fuel consumption'!G$29=""),"",'Fuel consumption'!G$29 * VLOOKUP($B76,'A1.3.10'!$S$28:$AE$58,5,))))</f>
        <v>1.3300046823685748E-5</v>
      </c>
      <c r="T76" s="610">
        <f>IF($B76&lt;'A1.3.10'!$S$28,"",IF($B76&gt;'A1.3.10'!$S$58,T75,IF(OR(VLOOKUP($B76,'A1.3.10'!$S$28:$AE$58,6,)="",'Fuel consumption'!D$30=""),"",'Fuel consumption'!D$30 * VLOOKUP($B76,'A1.3.10'!$S$28:$AE$58,6,))))</f>
        <v>0.3988609037344879</v>
      </c>
      <c r="U76" s="611">
        <f>IF($B76&lt;'A1.3.10'!$S$28,"",IF($B76&gt;'A1.3.10'!$S$58,U75,IF(OR(VLOOKUP($B76,'A1.3.10'!$S$28:$AE$58,6,)="",'Fuel consumption'!E$30=""),"",'Fuel consumption'!E$30 * VLOOKUP($B76,'A1.3.10'!$S$28:$AE$58,6,))))</f>
        <v>9.7483230363204512E-2</v>
      </c>
      <c r="V76" s="611">
        <f>IF($B76&lt;'A1.3.10'!$S$28,"",IF($B76&gt;'A1.3.10'!$S$58,V75,IF(OR(VLOOKUP($B76,'A1.3.10'!$S$28:$AE$58,6,)="",'Fuel consumption'!F$30=""),"",'Fuel consumption'!F$30 * VLOOKUP($B76,'A1.3.10'!$S$28:$AE$58,6,))))</f>
        <v>-1.4063727682028522E-3</v>
      </c>
      <c r="W76" s="2642">
        <f>IF($B76&lt;'A1.3.10'!$S$28,"",IF($B76&gt;'A1.3.10'!$S$58,W75,IF(OR(VLOOKUP($B76,'A1.3.10'!$S$28:$AE$58,6,)="",'Fuel consumption'!G$30=""),"",'Fuel consumption'!G$30 * VLOOKUP($B76,'A1.3.10'!$S$28:$AE$58,6,))))</f>
        <v>1.1906400891809692E-5</v>
      </c>
      <c r="X76" s="3144"/>
      <c r="Y76" s="2487">
        <f>IF($B76&lt;'A1.3.10'!$S$28,"",IF($B76&gt;'A1.3.10'!$S$58,Y75,IF(OR(VLOOKUP($B76,'A1.3.10'!$S$28:$AE$58,7,)="", 'Fuel consumption'!E$37=""),"",'Fuel consumption'!E$37 * VLOOKUP($B76,'A1.3.10'!$S$28:$AE$58,7,))))</f>
        <v>0.29149401103980166</v>
      </c>
      <c r="Z76" s="2642"/>
      <c r="AA76" s="2642"/>
      <c r="AB76" s="610">
        <f>IF($B76&lt;'A1.3.10'!$S$28,"",IF($B76&gt;'A1.3.10'!$S$58,AB75,IF(OR(VLOOKUP($B76,'A1.3.10'!$S$28:$AE$58,8,)="",'Fuel consumption'!D$31=""),"",'Fuel consumption'!D$31 * VLOOKUP($B76,'A1.3.10'!$S$28:$AE$58,8,))))</f>
        <v>2.6962848686626804</v>
      </c>
      <c r="AC76" s="611">
        <f>IF($B76&lt;'A1.3.10'!$S$28,"",IF($B76&gt;'A1.3.10'!$S$58,AC75,IF(OR(VLOOKUP($B76,'A1.3.10'!$S$28:$AE$58,8,)="",'Fuel consumption'!E$31=""),"",'Fuel consumption'!E$31 * VLOOKUP($B76,'A1.3.10'!$S$28:$AE$58,8,))))</f>
        <v>0.143057339771858</v>
      </c>
      <c r="AD76" s="611">
        <f>IF($B76&lt;'A1.3.10'!$S$28,"",IF($B76&gt;'A1.3.10'!$S$58,AD75,IF(OR(VLOOKUP($B76,'A1.3.10'!$S$28:$AE$58,8,)="",'Fuel consumption'!F$31=""),"",'Fuel consumption'!F$31 * VLOOKUP($B76,'A1.3.10'!$S$28:$AE$58,8,))))</f>
        <v>-1.0340193601785499E-3</v>
      </c>
      <c r="AE76" s="2642">
        <f>IF($B76&lt;'A1.3.10'!$S$28,"",IF($B76&gt;'A1.3.10'!$S$58,AE75,IF(OR(VLOOKUP($B76,'A1.3.10'!$S$28:$AE$58,8,)="",'Fuel consumption'!G$31=""),"",'Fuel consumption'!G$31 * VLOOKUP($B76,'A1.3.10'!$S$28:$AE$58,8,))))</f>
        <v>1.1293150500864199E-5</v>
      </c>
      <c r="AF76" s="610">
        <f>IF($B76&lt;'A1.3.10'!$S$28,"",IF($B76&gt;'A1.3.10'!$S$58,AF75,IF(OR(VLOOKUP($B76,'A1.3.10'!$S$28:$AE$58,10,)="",'Fuel consumption'!D$32=""),"",'Fuel consumption'!D$32 * VLOOKUP($B76,'A1.3.10'!$S$28:$AE$58,10,))))</f>
        <v>5.6655970981789903</v>
      </c>
      <c r="AG76" s="611">
        <f>IF($B76&lt;'A1.3.10'!$S$28,"",IF($B76&gt;'A1.3.10'!$S$58,AG75,IF(OR(VLOOKUP($B76,'A1.3.10'!$S$28:$AE$58,10,)="",'Fuel consumption'!E$32=""),"",'Fuel consumption'!E$32 * VLOOKUP($B76,'A1.3.10'!$S$28:$AE$58,10,))))</f>
        <v>0.29422449618924201</v>
      </c>
      <c r="AH76" s="611">
        <f>IF($B76&lt;'A1.3.10'!$S$28,"",IF($B76&gt;'A1.3.10'!$S$58,AH75,IF(OR(VLOOKUP($B76,'A1.3.10'!$S$28:$AE$58,10,)="",'Fuel consumption'!F$32=""),"",'Fuel consumption'!F$32 * VLOOKUP($B76,'A1.3.10'!$S$28:$AE$58,10,))))</f>
        <v>-1.9493920679616401E-3</v>
      </c>
      <c r="AI76" s="1578">
        <f>IF($B76&lt;'A1.3.10'!$S$28,"",IF($B76&gt;'A1.3.10'!$S$58,AI75,IF(OR(VLOOKUP($B76,'A1.3.10'!$S$28:$AE$58,10,)="",'Fuel consumption'!G$32=""),"",'Fuel consumption'!G$32 * VLOOKUP($B76,'A1.3.10'!$S$28:$AE$58,10,))))</f>
        <v>1.1619187345164999E-5</v>
      </c>
      <c r="AJ76" s="610">
        <f>IF($B76&lt;'A1.3.10'!$S$28,"",IF($B76&gt;'A1.3.10'!$S$58,AJ75,IF(OR(VLOOKUP($B76,'A1.3.10'!$S$28:$AE$58,12,)="",'Fuel consumption'!D$33=""),"",'Fuel consumption'!D$33 * VLOOKUP($B76,'A1.3.10'!$S$28:$AE$58,12,))))</f>
        <v>3.3601870156891001</v>
      </c>
      <c r="AK76" s="611">
        <f>IF($B76&lt;'A1.3.10'!$S$28,"",IF($B76&gt;'A1.3.10'!$S$58,AK75,IF(OR(VLOOKUP($B76,'A1.3.10'!$S$28:$AE$58,12,)="",'Fuel consumption'!E$33=""),"",'Fuel consumption'!E$33 * VLOOKUP($B76,'A1.3.10'!$S$28:$AE$58,12,))))</f>
        <v>0.29524938703213599</v>
      </c>
      <c r="AL76" s="611">
        <f>IF($B76&lt;'A1.3.10'!$S$28,"",IF($B76&gt;'A1.3.10'!$S$58,AL75,IF(OR(VLOOKUP($B76,'A1.3.10'!$S$28:$AE$58,12,)="",'Fuel consumption'!F$33=""),"",'Fuel consumption'!F$33 * VLOOKUP($B76,'A1.3.10'!$S$28:$AE$58,12,))))</f>
        <v>-3.20909768342738E-3</v>
      </c>
      <c r="AM76" s="1578">
        <f>IF($B76&lt;'A1.3.10'!$S$28,"",IF($B76&gt;'A1.3.10'!$S$58,AM75,IF(OR(VLOOKUP($B76,'A1.3.10'!$S$28:$AE$58,12,)="",'Fuel consumption'!G$33=""),"",'Fuel consumption'!G$33 * VLOOKUP($B76,'A1.3.10'!$S$28:$AE$58,12,))))</f>
        <v>2.3540043227716499E-5</v>
      </c>
    </row>
    <row r="77" spans="1:39" ht="13.5" customHeight="1">
      <c r="A77" s="623"/>
      <c r="B77" s="614">
        <f t="shared" si="3"/>
        <v>2061</v>
      </c>
      <c r="C77" s="609"/>
      <c r="D77" s="2484">
        <f>IF($B77&lt;'A1.3.10'!$S$28,"",IF($B77&gt;'A1.3.10'!$S$58,D76,IF(OR(VLOOKUP($B77,'A1.3.10'!$S$28:$AE$58,2,)="",'Fuel consumption'!D$27=""),"",'Fuel consumption'!D$27 * VLOOKUP($B77,'A1.3.10'!$S$28:$AE$58,2,))))</f>
        <v>0.32527491364024624</v>
      </c>
      <c r="E77" s="2485">
        <f>IF($B77&lt;'A1.3.10'!$S$28,"",IF($B77&gt;'A1.3.10'!$S$58,E76,IF(OR(VLOOKUP($B77,'A1.3.10'!$S$28:$AE$58,2,)="",'Fuel consumption'!E$27=""),"",'Fuel consumption'!E$27 * VLOOKUP($B77,'A1.3.10'!$S$28:$AE$58,2,))))</f>
        <v>6.9126195403069218E-2</v>
      </c>
      <c r="F77" s="2485">
        <f>IF($B77&lt;'A1.3.10'!$S$28,"",IF($B77&gt;'A1.3.10'!$S$58,F76,IF(OR(VLOOKUP($B77,'A1.3.10'!$S$28:$AE$58,2,)="",'Fuel consumption'!F$27=""),"",'Fuel consumption'!F$27 * VLOOKUP($B77,'A1.3.10'!$S$28:$AE$58,2,))))</f>
        <v>-7.8742934140708519E-4</v>
      </c>
      <c r="G77" s="2642">
        <f>IF($B77&lt;'A1.3.10'!$S$28,"",IF($B77&gt;'A1.3.10'!$S$58,G76,IF(OR(VLOOKUP($B77,'A1.3.10'!$S$28:$AE$58,2,)="",'Fuel consumption'!G$27=""),"",'Fuel consumption'!G$27 * VLOOKUP($B77,'A1.3.10'!$S$28:$AE$58,2,))))</f>
        <v>5.2150811705064693E-6</v>
      </c>
      <c r="H77" s="2486">
        <f>IF($B77&lt;'A1.3.10'!$S$28,"",IF($B77&gt;'A1.3.10'!$S$58,H76,IF(OR(VLOOKUP($B77,'A1.3.10'!$S$28:$AE$58,3,)="",'Fuel consumption'!D$28=""),"",'Fuel consumption'!D$28  * VLOOKUP($B77,'A1.3.10'!$S$28:$AE$58,3,))))</f>
        <v>0.38728007442052015</v>
      </c>
      <c r="I77" s="2487">
        <f>IF($B77&lt;'A1.3.10'!$S$28,"",IF($B77&gt;'A1.3.10'!$S$58,I76,IF(OR(VLOOKUP($B77,'A1.3.10'!$S$28:$AE$58,3,)="",'Fuel consumption'!E$28=""),"",'Fuel consumption'!E$28  * VLOOKUP($B77,'A1.3.10'!$S$28:$AE$58,3,))))</f>
        <v>5.5526385246550972E-2</v>
      </c>
      <c r="J77" s="2487">
        <f>IF($B77&lt;'A1.3.10'!$S$28,"",IF($B77&gt;'A1.3.10'!$S$58,J76,IF(OR(VLOOKUP($B77,'A1.3.10'!$S$28:$AE$58,3,)="",'Fuel consumption'!F$28=""),"",'Fuel consumption'!F$28  * VLOOKUP($B77,'A1.3.10'!$S$28:$AE$58,3,))))</f>
        <v>-5.3417929464962704E-4</v>
      </c>
      <c r="K77" s="2642">
        <f>IF($B77&lt;'A1.3.10'!$S$28,"",IF($B77&gt;'A1.3.10'!$S$58,K76,IF(OR(VLOOKUP($B77,'A1.3.10'!$S$28:$AE$58,3,)="",'Fuel consumption'!G$28=""),"",'Fuel consumption'!G$28  * VLOOKUP($B77,'A1.3.10'!$S$28:$AE$58,3,))))</f>
        <v>4.2093596420141842E-6</v>
      </c>
      <c r="L77" s="2486" t="str">
        <f>IF($B77&lt;'A1.3.10'!$S$28,"",IF($B77&gt;'A1.3.10'!$S$58,L76,IF(OR(VLOOKUP($B77,'A1.3.10'!$S$28:$AE$58,4,)="", 'Fuel consumption'!D$36=""),"",'Fuel consumption'!D$36 * VLOOKUP($B77,'A1.3.10'!$S$28:$AE$58,4,))))</f>
        <v/>
      </c>
      <c r="M77" s="2487">
        <f>IF($B77&lt;'A1.3.10'!$S$28,"",IF($B77&gt;'A1.3.10'!$S$58,M76,IF(OR(VLOOKUP($B77,'A1.3.10'!$S$28:$AE$58,4,)="", 'Fuel consumption'!E$36=""),"",'Fuel consumption'!E$36 * VLOOKUP($B77,'A1.3.10'!$S$28:$AE$58,4,))))</f>
        <v>0.12679510393803953</v>
      </c>
      <c r="N77" s="614" t="str">
        <f>IF($B77&lt;'A1.3.10'!$S$28,"",IF($B77&gt;'A1.3.10'!$S$58,N76,IF(OR(VLOOKUP($B77,'A1.3.10'!$S$28:$AE$58,4,)="", 'Fuel consumption'!F$36=""),"",'Fuel consumption'!F$36 * VLOOKUP($B77,'A1.3.10'!$S$28:$AE$58,4,))))</f>
        <v/>
      </c>
      <c r="O77" s="612" t="str">
        <f>IF($B77&lt;'A1.3.10'!$S$28,"",IF($B77&gt;'A1.3.10'!$S$58,O76,IF(OR(VLOOKUP($B77,'A1.3.10'!$S$28:$AE$58,4,)="", 'Fuel consumption'!G$36=""),"",'Fuel consumption'!G$36 * VLOOKUP($B77,'A1.3.10'!$S$28:$AE$58,4,))))</f>
        <v/>
      </c>
      <c r="P77" s="610">
        <f>IF($B77&lt;'A1.3.10'!$S$28,"",IF($B77&gt;'A1.3.10'!$S$58,P76,IF(OR(VLOOKUP($B77,'A1.3.10'!$S$28:$AE$58,5,)="",'Fuel consumption'!D$29=""),"",'Fuel consumption'!D$29 * VLOOKUP($B77,'A1.3.10'!$S$28:$AE$58,5,))))</f>
        <v>0.23398100209323003</v>
      </c>
      <c r="Q77" s="611">
        <f>IF($B77&lt;'A1.3.10'!$S$28,"",IF($B77&gt;'A1.3.10'!$S$58,Q76,IF(OR(VLOOKUP($B77,'A1.3.10'!$S$28:$AE$58,5,)="",'Fuel consumption'!E$29=""),"",'Fuel consumption'!E$29 * VLOOKUP($B77,'A1.3.10'!$S$28:$AE$58,5,))))</f>
        <v>0.13120300165283155</v>
      </c>
      <c r="R77" s="611">
        <f>IF($B77&lt;'A1.3.10'!$S$28,"",IF($B77&gt;'A1.3.10'!$S$58,R76,IF(OR(VLOOKUP($B77,'A1.3.10'!$S$28:$AE$58,5,)="",'Fuel consumption'!F$29=""),"",'Fuel consumption'!F$29 * VLOOKUP($B77,'A1.3.10'!$S$28:$AE$58,5,))))</f>
        <v>-2.0594564659300405E-3</v>
      </c>
      <c r="S77" s="2642">
        <f>IF($B77&lt;'A1.3.10'!$S$28,"",IF($B77&gt;'A1.3.10'!$S$58,S76,IF(OR(VLOOKUP($B77,'A1.3.10'!$S$28:$AE$58,5,)="",'Fuel consumption'!G$29=""),"",'Fuel consumption'!G$29 * VLOOKUP($B77,'A1.3.10'!$S$28:$AE$58,5,))))</f>
        <v>1.3300046823685748E-5</v>
      </c>
      <c r="T77" s="610">
        <f>IF($B77&lt;'A1.3.10'!$S$28,"",IF($B77&gt;'A1.3.10'!$S$58,T76,IF(OR(VLOOKUP($B77,'A1.3.10'!$S$28:$AE$58,6,)="",'Fuel consumption'!D$30=""),"",'Fuel consumption'!D$30 * VLOOKUP($B77,'A1.3.10'!$S$28:$AE$58,6,))))</f>
        <v>0.3988609037344879</v>
      </c>
      <c r="U77" s="611">
        <f>IF($B77&lt;'A1.3.10'!$S$28,"",IF($B77&gt;'A1.3.10'!$S$58,U76,IF(OR(VLOOKUP($B77,'A1.3.10'!$S$28:$AE$58,6,)="",'Fuel consumption'!E$30=""),"",'Fuel consumption'!E$30 * VLOOKUP($B77,'A1.3.10'!$S$28:$AE$58,6,))))</f>
        <v>9.7483230363204512E-2</v>
      </c>
      <c r="V77" s="611">
        <f>IF($B77&lt;'A1.3.10'!$S$28,"",IF($B77&gt;'A1.3.10'!$S$58,V76,IF(OR(VLOOKUP($B77,'A1.3.10'!$S$28:$AE$58,6,)="",'Fuel consumption'!F$30=""),"",'Fuel consumption'!F$30 * VLOOKUP($B77,'A1.3.10'!$S$28:$AE$58,6,))))</f>
        <v>-1.4063727682028522E-3</v>
      </c>
      <c r="W77" s="2642">
        <f>IF($B77&lt;'A1.3.10'!$S$28,"",IF($B77&gt;'A1.3.10'!$S$58,W76,IF(OR(VLOOKUP($B77,'A1.3.10'!$S$28:$AE$58,6,)="",'Fuel consumption'!G$30=""),"",'Fuel consumption'!G$30 * VLOOKUP($B77,'A1.3.10'!$S$28:$AE$58,6,))))</f>
        <v>1.1906400891809692E-5</v>
      </c>
      <c r="X77" s="3144"/>
      <c r="Y77" s="2487">
        <f>IF($B77&lt;'A1.3.10'!$S$28,"",IF($B77&gt;'A1.3.10'!$S$58,Y76,IF(OR(VLOOKUP($B77,'A1.3.10'!$S$28:$AE$58,7,)="", 'Fuel consumption'!E$37=""),"",'Fuel consumption'!E$37 * VLOOKUP($B77,'A1.3.10'!$S$28:$AE$58,7,))))</f>
        <v>0.29149401103980166</v>
      </c>
      <c r="Z77" s="2642"/>
      <c r="AA77" s="2642"/>
      <c r="AB77" s="610">
        <f>IF($B77&lt;'A1.3.10'!$S$28,"",IF($B77&gt;'A1.3.10'!$S$58,AB76,IF(OR(VLOOKUP($B77,'A1.3.10'!$S$28:$AE$58,8,)="",'Fuel consumption'!D$31=""),"",'Fuel consumption'!D$31 * VLOOKUP($B77,'A1.3.10'!$S$28:$AE$58,8,))))</f>
        <v>2.6962848686626804</v>
      </c>
      <c r="AC77" s="611">
        <f>IF($B77&lt;'A1.3.10'!$S$28,"",IF($B77&gt;'A1.3.10'!$S$58,AC76,IF(OR(VLOOKUP($B77,'A1.3.10'!$S$28:$AE$58,8,)="",'Fuel consumption'!E$31=""),"",'Fuel consumption'!E$31 * VLOOKUP($B77,'A1.3.10'!$S$28:$AE$58,8,))))</f>
        <v>0.143057339771858</v>
      </c>
      <c r="AD77" s="611">
        <f>IF($B77&lt;'A1.3.10'!$S$28,"",IF($B77&gt;'A1.3.10'!$S$58,AD76,IF(OR(VLOOKUP($B77,'A1.3.10'!$S$28:$AE$58,8,)="",'Fuel consumption'!F$31=""),"",'Fuel consumption'!F$31 * VLOOKUP($B77,'A1.3.10'!$S$28:$AE$58,8,))))</f>
        <v>-1.0340193601785499E-3</v>
      </c>
      <c r="AE77" s="2642">
        <f>IF($B77&lt;'A1.3.10'!$S$28,"",IF($B77&gt;'A1.3.10'!$S$58,AE76,IF(OR(VLOOKUP($B77,'A1.3.10'!$S$28:$AE$58,8,)="",'Fuel consumption'!G$31=""),"",'Fuel consumption'!G$31 * VLOOKUP($B77,'A1.3.10'!$S$28:$AE$58,8,))))</f>
        <v>1.1293150500864199E-5</v>
      </c>
      <c r="AF77" s="610">
        <f>IF($B77&lt;'A1.3.10'!$S$28,"",IF($B77&gt;'A1.3.10'!$S$58,AF76,IF(OR(VLOOKUP($B77,'A1.3.10'!$S$28:$AE$58,10,)="",'Fuel consumption'!D$32=""),"",'Fuel consumption'!D$32 * VLOOKUP($B77,'A1.3.10'!$S$28:$AE$58,10,))))</f>
        <v>5.6655970981789903</v>
      </c>
      <c r="AG77" s="611">
        <f>IF($B77&lt;'A1.3.10'!$S$28,"",IF($B77&gt;'A1.3.10'!$S$58,AG76,IF(OR(VLOOKUP($B77,'A1.3.10'!$S$28:$AE$58,10,)="",'Fuel consumption'!E$32=""),"",'Fuel consumption'!E$32 * VLOOKUP($B77,'A1.3.10'!$S$28:$AE$58,10,))))</f>
        <v>0.29422449618924201</v>
      </c>
      <c r="AH77" s="611">
        <f>IF($B77&lt;'A1.3.10'!$S$28,"",IF($B77&gt;'A1.3.10'!$S$58,AH76,IF(OR(VLOOKUP($B77,'A1.3.10'!$S$28:$AE$58,10,)="",'Fuel consumption'!F$32=""),"",'Fuel consumption'!F$32 * VLOOKUP($B77,'A1.3.10'!$S$28:$AE$58,10,))))</f>
        <v>-1.9493920679616401E-3</v>
      </c>
      <c r="AI77" s="1578">
        <f>IF($B77&lt;'A1.3.10'!$S$28,"",IF($B77&gt;'A1.3.10'!$S$58,AI76,IF(OR(VLOOKUP($B77,'A1.3.10'!$S$28:$AE$58,10,)="",'Fuel consumption'!G$32=""),"",'Fuel consumption'!G$32 * VLOOKUP($B77,'A1.3.10'!$S$28:$AE$58,10,))))</f>
        <v>1.1619187345164999E-5</v>
      </c>
      <c r="AJ77" s="610">
        <f>IF($B77&lt;'A1.3.10'!$S$28,"",IF($B77&gt;'A1.3.10'!$S$58,AJ76,IF(OR(VLOOKUP($B77,'A1.3.10'!$S$28:$AE$58,12,)="",'Fuel consumption'!D$33=""),"",'Fuel consumption'!D$33 * VLOOKUP($B77,'A1.3.10'!$S$28:$AE$58,12,))))</f>
        <v>3.3601870156891001</v>
      </c>
      <c r="AK77" s="611">
        <f>IF($B77&lt;'A1.3.10'!$S$28,"",IF($B77&gt;'A1.3.10'!$S$58,AK76,IF(OR(VLOOKUP($B77,'A1.3.10'!$S$28:$AE$58,12,)="",'Fuel consumption'!E$33=""),"",'Fuel consumption'!E$33 * VLOOKUP($B77,'A1.3.10'!$S$28:$AE$58,12,))))</f>
        <v>0.29524938703213599</v>
      </c>
      <c r="AL77" s="611">
        <f>IF($B77&lt;'A1.3.10'!$S$28,"",IF($B77&gt;'A1.3.10'!$S$58,AL76,IF(OR(VLOOKUP($B77,'A1.3.10'!$S$28:$AE$58,12,)="",'Fuel consumption'!F$33=""),"",'Fuel consumption'!F$33 * VLOOKUP($B77,'A1.3.10'!$S$28:$AE$58,12,))))</f>
        <v>-3.20909768342738E-3</v>
      </c>
      <c r="AM77" s="1578">
        <f>IF($B77&lt;'A1.3.10'!$S$28,"",IF($B77&gt;'A1.3.10'!$S$58,AM76,IF(OR(VLOOKUP($B77,'A1.3.10'!$S$28:$AE$58,12,)="",'Fuel consumption'!G$33=""),"",'Fuel consumption'!G$33 * VLOOKUP($B77,'A1.3.10'!$S$28:$AE$58,12,))))</f>
        <v>2.3540043227716499E-5</v>
      </c>
    </row>
    <row r="78" spans="1:39" ht="13.5" customHeight="1">
      <c r="A78" s="623"/>
      <c r="B78" s="614">
        <f t="shared" si="3"/>
        <v>2062</v>
      </c>
      <c r="C78" s="609"/>
      <c r="D78" s="2484">
        <f>IF($B78&lt;'A1.3.10'!$S$28,"",IF($B78&gt;'A1.3.10'!$S$58,D77,IF(OR(VLOOKUP($B78,'A1.3.10'!$S$28:$AE$58,2,)="",'Fuel consumption'!D$27=""),"",'Fuel consumption'!D$27 * VLOOKUP($B78,'A1.3.10'!$S$28:$AE$58,2,))))</f>
        <v>0.32527491364024624</v>
      </c>
      <c r="E78" s="2485">
        <f>IF($B78&lt;'A1.3.10'!$S$28,"",IF($B78&gt;'A1.3.10'!$S$58,E77,IF(OR(VLOOKUP($B78,'A1.3.10'!$S$28:$AE$58,2,)="",'Fuel consumption'!E$27=""),"",'Fuel consumption'!E$27 * VLOOKUP($B78,'A1.3.10'!$S$28:$AE$58,2,))))</f>
        <v>6.9126195403069218E-2</v>
      </c>
      <c r="F78" s="2485">
        <f>IF($B78&lt;'A1.3.10'!$S$28,"",IF($B78&gt;'A1.3.10'!$S$58,F77,IF(OR(VLOOKUP($B78,'A1.3.10'!$S$28:$AE$58,2,)="",'Fuel consumption'!F$27=""),"",'Fuel consumption'!F$27 * VLOOKUP($B78,'A1.3.10'!$S$28:$AE$58,2,))))</f>
        <v>-7.8742934140708519E-4</v>
      </c>
      <c r="G78" s="2642">
        <f>IF($B78&lt;'A1.3.10'!$S$28,"",IF($B78&gt;'A1.3.10'!$S$58,G77,IF(OR(VLOOKUP($B78,'A1.3.10'!$S$28:$AE$58,2,)="",'Fuel consumption'!G$27=""),"",'Fuel consumption'!G$27 * VLOOKUP($B78,'A1.3.10'!$S$28:$AE$58,2,))))</f>
        <v>5.2150811705064693E-6</v>
      </c>
      <c r="H78" s="2486">
        <f>IF($B78&lt;'A1.3.10'!$S$28,"",IF($B78&gt;'A1.3.10'!$S$58,H77,IF(OR(VLOOKUP($B78,'A1.3.10'!$S$28:$AE$58,3,)="",'Fuel consumption'!D$28=""),"",'Fuel consumption'!D$28  * VLOOKUP($B78,'A1.3.10'!$S$28:$AE$58,3,))))</f>
        <v>0.38728007442052015</v>
      </c>
      <c r="I78" s="2487">
        <f>IF($B78&lt;'A1.3.10'!$S$28,"",IF($B78&gt;'A1.3.10'!$S$58,I77,IF(OR(VLOOKUP($B78,'A1.3.10'!$S$28:$AE$58,3,)="",'Fuel consumption'!E$28=""),"",'Fuel consumption'!E$28  * VLOOKUP($B78,'A1.3.10'!$S$28:$AE$58,3,))))</f>
        <v>5.5526385246550972E-2</v>
      </c>
      <c r="J78" s="2487">
        <f>IF($B78&lt;'A1.3.10'!$S$28,"",IF($B78&gt;'A1.3.10'!$S$58,J77,IF(OR(VLOOKUP($B78,'A1.3.10'!$S$28:$AE$58,3,)="",'Fuel consumption'!F$28=""),"",'Fuel consumption'!F$28  * VLOOKUP($B78,'A1.3.10'!$S$28:$AE$58,3,))))</f>
        <v>-5.3417929464962704E-4</v>
      </c>
      <c r="K78" s="2642">
        <f>IF($B78&lt;'A1.3.10'!$S$28,"",IF($B78&gt;'A1.3.10'!$S$58,K77,IF(OR(VLOOKUP($B78,'A1.3.10'!$S$28:$AE$58,3,)="",'Fuel consumption'!G$28=""),"",'Fuel consumption'!G$28  * VLOOKUP($B78,'A1.3.10'!$S$28:$AE$58,3,))))</f>
        <v>4.2093596420141842E-6</v>
      </c>
      <c r="L78" s="2486" t="str">
        <f>IF($B78&lt;'A1.3.10'!$S$28,"",IF($B78&gt;'A1.3.10'!$S$58,L77,IF(OR(VLOOKUP($B78,'A1.3.10'!$S$28:$AE$58,4,)="", 'Fuel consumption'!D$36=""),"",'Fuel consumption'!D$36 * VLOOKUP($B78,'A1.3.10'!$S$28:$AE$58,4,))))</f>
        <v/>
      </c>
      <c r="M78" s="2487">
        <f>IF($B78&lt;'A1.3.10'!$S$28,"",IF($B78&gt;'A1.3.10'!$S$58,M77,IF(OR(VLOOKUP($B78,'A1.3.10'!$S$28:$AE$58,4,)="", 'Fuel consumption'!E$36=""),"",'Fuel consumption'!E$36 * VLOOKUP($B78,'A1.3.10'!$S$28:$AE$58,4,))))</f>
        <v>0.12679510393803953</v>
      </c>
      <c r="N78" s="614" t="str">
        <f>IF($B78&lt;'A1.3.10'!$S$28,"",IF($B78&gt;'A1.3.10'!$S$58,N77,IF(OR(VLOOKUP($B78,'A1.3.10'!$S$28:$AE$58,4,)="", 'Fuel consumption'!F$36=""),"",'Fuel consumption'!F$36 * VLOOKUP($B78,'A1.3.10'!$S$28:$AE$58,4,))))</f>
        <v/>
      </c>
      <c r="O78" s="612" t="str">
        <f>IF($B78&lt;'A1.3.10'!$S$28,"",IF($B78&gt;'A1.3.10'!$S$58,O77,IF(OR(VLOOKUP($B78,'A1.3.10'!$S$28:$AE$58,4,)="", 'Fuel consumption'!G$36=""),"",'Fuel consumption'!G$36 * VLOOKUP($B78,'A1.3.10'!$S$28:$AE$58,4,))))</f>
        <v/>
      </c>
      <c r="P78" s="610">
        <f>IF($B78&lt;'A1.3.10'!$S$28,"",IF($B78&gt;'A1.3.10'!$S$58,P77,IF(OR(VLOOKUP($B78,'A1.3.10'!$S$28:$AE$58,5,)="",'Fuel consumption'!D$29=""),"",'Fuel consumption'!D$29 * VLOOKUP($B78,'A1.3.10'!$S$28:$AE$58,5,))))</f>
        <v>0.23398100209323003</v>
      </c>
      <c r="Q78" s="611">
        <f>IF($B78&lt;'A1.3.10'!$S$28,"",IF($B78&gt;'A1.3.10'!$S$58,Q77,IF(OR(VLOOKUP($B78,'A1.3.10'!$S$28:$AE$58,5,)="",'Fuel consumption'!E$29=""),"",'Fuel consumption'!E$29 * VLOOKUP($B78,'A1.3.10'!$S$28:$AE$58,5,))))</f>
        <v>0.13120300165283155</v>
      </c>
      <c r="R78" s="611">
        <f>IF($B78&lt;'A1.3.10'!$S$28,"",IF($B78&gt;'A1.3.10'!$S$58,R77,IF(OR(VLOOKUP($B78,'A1.3.10'!$S$28:$AE$58,5,)="",'Fuel consumption'!F$29=""),"",'Fuel consumption'!F$29 * VLOOKUP($B78,'A1.3.10'!$S$28:$AE$58,5,))))</f>
        <v>-2.0594564659300405E-3</v>
      </c>
      <c r="S78" s="2642">
        <f>IF($B78&lt;'A1.3.10'!$S$28,"",IF($B78&gt;'A1.3.10'!$S$58,S77,IF(OR(VLOOKUP($B78,'A1.3.10'!$S$28:$AE$58,5,)="",'Fuel consumption'!G$29=""),"",'Fuel consumption'!G$29 * VLOOKUP($B78,'A1.3.10'!$S$28:$AE$58,5,))))</f>
        <v>1.3300046823685748E-5</v>
      </c>
      <c r="T78" s="610">
        <f>IF($B78&lt;'A1.3.10'!$S$28,"",IF($B78&gt;'A1.3.10'!$S$58,T77,IF(OR(VLOOKUP($B78,'A1.3.10'!$S$28:$AE$58,6,)="",'Fuel consumption'!D$30=""),"",'Fuel consumption'!D$30 * VLOOKUP($B78,'A1.3.10'!$S$28:$AE$58,6,))))</f>
        <v>0.3988609037344879</v>
      </c>
      <c r="U78" s="611">
        <f>IF($B78&lt;'A1.3.10'!$S$28,"",IF($B78&gt;'A1.3.10'!$S$58,U77,IF(OR(VLOOKUP($B78,'A1.3.10'!$S$28:$AE$58,6,)="",'Fuel consumption'!E$30=""),"",'Fuel consumption'!E$30 * VLOOKUP($B78,'A1.3.10'!$S$28:$AE$58,6,))))</f>
        <v>9.7483230363204512E-2</v>
      </c>
      <c r="V78" s="611">
        <f>IF($B78&lt;'A1.3.10'!$S$28,"",IF($B78&gt;'A1.3.10'!$S$58,V77,IF(OR(VLOOKUP($B78,'A1.3.10'!$S$28:$AE$58,6,)="",'Fuel consumption'!F$30=""),"",'Fuel consumption'!F$30 * VLOOKUP($B78,'A1.3.10'!$S$28:$AE$58,6,))))</f>
        <v>-1.4063727682028522E-3</v>
      </c>
      <c r="W78" s="2642">
        <f>IF($B78&lt;'A1.3.10'!$S$28,"",IF($B78&gt;'A1.3.10'!$S$58,W77,IF(OR(VLOOKUP($B78,'A1.3.10'!$S$28:$AE$58,6,)="",'Fuel consumption'!G$30=""),"",'Fuel consumption'!G$30 * VLOOKUP($B78,'A1.3.10'!$S$28:$AE$58,6,))))</f>
        <v>1.1906400891809692E-5</v>
      </c>
      <c r="X78" s="3144"/>
      <c r="Y78" s="2487">
        <f>IF($B78&lt;'A1.3.10'!$S$28,"",IF($B78&gt;'A1.3.10'!$S$58,Y77,IF(OR(VLOOKUP($B78,'A1.3.10'!$S$28:$AE$58,7,)="", 'Fuel consumption'!E$37=""),"",'Fuel consumption'!E$37 * VLOOKUP($B78,'A1.3.10'!$S$28:$AE$58,7,))))</f>
        <v>0.29149401103980166</v>
      </c>
      <c r="Z78" s="2642"/>
      <c r="AA78" s="2642"/>
      <c r="AB78" s="610">
        <f>IF($B78&lt;'A1.3.10'!$S$28,"",IF($B78&gt;'A1.3.10'!$S$58,AB77,IF(OR(VLOOKUP($B78,'A1.3.10'!$S$28:$AE$58,8,)="",'Fuel consumption'!D$31=""),"",'Fuel consumption'!D$31 * VLOOKUP($B78,'A1.3.10'!$S$28:$AE$58,8,))))</f>
        <v>2.6962848686626804</v>
      </c>
      <c r="AC78" s="611">
        <f>IF($B78&lt;'A1.3.10'!$S$28,"",IF($B78&gt;'A1.3.10'!$S$58,AC77,IF(OR(VLOOKUP($B78,'A1.3.10'!$S$28:$AE$58,8,)="",'Fuel consumption'!E$31=""),"",'Fuel consumption'!E$31 * VLOOKUP($B78,'A1.3.10'!$S$28:$AE$58,8,))))</f>
        <v>0.143057339771858</v>
      </c>
      <c r="AD78" s="611">
        <f>IF($B78&lt;'A1.3.10'!$S$28,"",IF($B78&gt;'A1.3.10'!$S$58,AD77,IF(OR(VLOOKUP($B78,'A1.3.10'!$S$28:$AE$58,8,)="",'Fuel consumption'!F$31=""),"",'Fuel consumption'!F$31 * VLOOKUP($B78,'A1.3.10'!$S$28:$AE$58,8,))))</f>
        <v>-1.0340193601785499E-3</v>
      </c>
      <c r="AE78" s="2642">
        <f>IF($B78&lt;'A1.3.10'!$S$28,"",IF($B78&gt;'A1.3.10'!$S$58,AE77,IF(OR(VLOOKUP($B78,'A1.3.10'!$S$28:$AE$58,8,)="",'Fuel consumption'!G$31=""),"",'Fuel consumption'!G$31 * VLOOKUP($B78,'A1.3.10'!$S$28:$AE$58,8,))))</f>
        <v>1.1293150500864199E-5</v>
      </c>
      <c r="AF78" s="610">
        <f>IF($B78&lt;'A1.3.10'!$S$28,"",IF($B78&gt;'A1.3.10'!$S$58,AF77,IF(OR(VLOOKUP($B78,'A1.3.10'!$S$28:$AE$58,10,)="",'Fuel consumption'!D$32=""),"",'Fuel consumption'!D$32 * VLOOKUP($B78,'A1.3.10'!$S$28:$AE$58,10,))))</f>
        <v>5.6655970981789903</v>
      </c>
      <c r="AG78" s="611">
        <f>IF($B78&lt;'A1.3.10'!$S$28,"",IF($B78&gt;'A1.3.10'!$S$58,AG77,IF(OR(VLOOKUP($B78,'A1.3.10'!$S$28:$AE$58,10,)="",'Fuel consumption'!E$32=""),"",'Fuel consumption'!E$32 * VLOOKUP($B78,'A1.3.10'!$S$28:$AE$58,10,))))</f>
        <v>0.29422449618924201</v>
      </c>
      <c r="AH78" s="611">
        <f>IF($B78&lt;'A1.3.10'!$S$28,"",IF($B78&gt;'A1.3.10'!$S$58,AH77,IF(OR(VLOOKUP($B78,'A1.3.10'!$S$28:$AE$58,10,)="",'Fuel consumption'!F$32=""),"",'Fuel consumption'!F$32 * VLOOKUP($B78,'A1.3.10'!$S$28:$AE$58,10,))))</f>
        <v>-1.9493920679616401E-3</v>
      </c>
      <c r="AI78" s="1578">
        <f>IF($B78&lt;'A1.3.10'!$S$28,"",IF($B78&gt;'A1.3.10'!$S$58,AI77,IF(OR(VLOOKUP($B78,'A1.3.10'!$S$28:$AE$58,10,)="",'Fuel consumption'!G$32=""),"",'Fuel consumption'!G$32 * VLOOKUP($B78,'A1.3.10'!$S$28:$AE$58,10,))))</f>
        <v>1.1619187345164999E-5</v>
      </c>
      <c r="AJ78" s="610">
        <f>IF($B78&lt;'A1.3.10'!$S$28,"",IF($B78&gt;'A1.3.10'!$S$58,AJ77,IF(OR(VLOOKUP($B78,'A1.3.10'!$S$28:$AE$58,12,)="",'Fuel consumption'!D$33=""),"",'Fuel consumption'!D$33 * VLOOKUP($B78,'A1.3.10'!$S$28:$AE$58,12,))))</f>
        <v>3.3601870156891001</v>
      </c>
      <c r="AK78" s="611">
        <f>IF($B78&lt;'A1.3.10'!$S$28,"",IF($B78&gt;'A1.3.10'!$S$58,AK77,IF(OR(VLOOKUP($B78,'A1.3.10'!$S$28:$AE$58,12,)="",'Fuel consumption'!E$33=""),"",'Fuel consumption'!E$33 * VLOOKUP($B78,'A1.3.10'!$S$28:$AE$58,12,))))</f>
        <v>0.29524938703213599</v>
      </c>
      <c r="AL78" s="611">
        <f>IF($B78&lt;'A1.3.10'!$S$28,"",IF($B78&gt;'A1.3.10'!$S$58,AL77,IF(OR(VLOOKUP($B78,'A1.3.10'!$S$28:$AE$58,12,)="",'Fuel consumption'!F$33=""),"",'Fuel consumption'!F$33 * VLOOKUP($B78,'A1.3.10'!$S$28:$AE$58,12,))))</f>
        <v>-3.20909768342738E-3</v>
      </c>
      <c r="AM78" s="1578">
        <f>IF($B78&lt;'A1.3.10'!$S$28,"",IF($B78&gt;'A1.3.10'!$S$58,AM77,IF(OR(VLOOKUP($B78,'A1.3.10'!$S$28:$AE$58,12,)="",'Fuel consumption'!G$33=""),"",'Fuel consumption'!G$33 * VLOOKUP($B78,'A1.3.10'!$S$28:$AE$58,12,))))</f>
        <v>2.3540043227716499E-5</v>
      </c>
    </row>
    <row r="79" spans="1:39" ht="13.5" customHeight="1">
      <c r="A79" s="623"/>
      <c r="B79" s="614">
        <f t="shared" si="3"/>
        <v>2063</v>
      </c>
      <c r="C79" s="609"/>
      <c r="D79" s="2484">
        <f>IF($B79&lt;'A1.3.10'!$S$28,"",IF($B79&gt;'A1.3.10'!$S$58,D78,IF(OR(VLOOKUP($B79,'A1.3.10'!$S$28:$AE$58,2,)="",'Fuel consumption'!D$27=""),"",'Fuel consumption'!D$27 * VLOOKUP($B79,'A1.3.10'!$S$28:$AE$58,2,))))</f>
        <v>0.32527491364024624</v>
      </c>
      <c r="E79" s="2485">
        <f>IF($B79&lt;'A1.3.10'!$S$28,"",IF($B79&gt;'A1.3.10'!$S$58,E78,IF(OR(VLOOKUP($B79,'A1.3.10'!$S$28:$AE$58,2,)="",'Fuel consumption'!E$27=""),"",'Fuel consumption'!E$27 * VLOOKUP($B79,'A1.3.10'!$S$28:$AE$58,2,))))</f>
        <v>6.9126195403069218E-2</v>
      </c>
      <c r="F79" s="2485">
        <f>IF($B79&lt;'A1.3.10'!$S$28,"",IF($B79&gt;'A1.3.10'!$S$58,F78,IF(OR(VLOOKUP($B79,'A1.3.10'!$S$28:$AE$58,2,)="",'Fuel consumption'!F$27=""),"",'Fuel consumption'!F$27 * VLOOKUP($B79,'A1.3.10'!$S$28:$AE$58,2,))))</f>
        <v>-7.8742934140708519E-4</v>
      </c>
      <c r="G79" s="2642">
        <f>IF($B79&lt;'A1.3.10'!$S$28,"",IF($B79&gt;'A1.3.10'!$S$58,G78,IF(OR(VLOOKUP($B79,'A1.3.10'!$S$28:$AE$58,2,)="",'Fuel consumption'!G$27=""),"",'Fuel consumption'!G$27 * VLOOKUP($B79,'A1.3.10'!$S$28:$AE$58,2,))))</f>
        <v>5.2150811705064693E-6</v>
      </c>
      <c r="H79" s="2486">
        <f>IF($B79&lt;'A1.3.10'!$S$28,"",IF($B79&gt;'A1.3.10'!$S$58,H78,IF(OR(VLOOKUP($B79,'A1.3.10'!$S$28:$AE$58,3,)="",'Fuel consumption'!D$28=""),"",'Fuel consumption'!D$28  * VLOOKUP($B79,'A1.3.10'!$S$28:$AE$58,3,))))</f>
        <v>0.38728007442052015</v>
      </c>
      <c r="I79" s="2487">
        <f>IF($B79&lt;'A1.3.10'!$S$28,"",IF($B79&gt;'A1.3.10'!$S$58,I78,IF(OR(VLOOKUP($B79,'A1.3.10'!$S$28:$AE$58,3,)="",'Fuel consumption'!E$28=""),"",'Fuel consumption'!E$28  * VLOOKUP($B79,'A1.3.10'!$S$28:$AE$58,3,))))</f>
        <v>5.5526385246550972E-2</v>
      </c>
      <c r="J79" s="2487">
        <f>IF($B79&lt;'A1.3.10'!$S$28,"",IF($B79&gt;'A1.3.10'!$S$58,J78,IF(OR(VLOOKUP($B79,'A1.3.10'!$S$28:$AE$58,3,)="",'Fuel consumption'!F$28=""),"",'Fuel consumption'!F$28  * VLOOKUP($B79,'A1.3.10'!$S$28:$AE$58,3,))))</f>
        <v>-5.3417929464962704E-4</v>
      </c>
      <c r="K79" s="2642">
        <f>IF($B79&lt;'A1.3.10'!$S$28,"",IF($B79&gt;'A1.3.10'!$S$58,K78,IF(OR(VLOOKUP($B79,'A1.3.10'!$S$28:$AE$58,3,)="",'Fuel consumption'!G$28=""),"",'Fuel consumption'!G$28  * VLOOKUP($B79,'A1.3.10'!$S$28:$AE$58,3,))))</f>
        <v>4.2093596420141842E-6</v>
      </c>
      <c r="L79" s="2486" t="str">
        <f>IF($B79&lt;'A1.3.10'!$S$28,"",IF($B79&gt;'A1.3.10'!$S$58,L78,IF(OR(VLOOKUP($B79,'A1.3.10'!$S$28:$AE$58,4,)="", 'Fuel consumption'!D$36=""),"",'Fuel consumption'!D$36 * VLOOKUP($B79,'A1.3.10'!$S$28:$AE$58,4,))))</f>
        <v/>
      </c>
      <c r="M79" s="2487">
        <f>IF($B79&lt;'A1.3.10'!$S$28,"",IF($B79&gt;'A1.3.10'!$S$58,M78,IF(OR(VLOOKUP($B79,'A1.3.10'!$S$28:$AE$58,4,)="", 'Fuel consumption'!E$36=""),"",'Fuel consumption'!E$36 * VLOOKUP($B79,'A1.3.10'!$S$28:$AE$58,4,))))</f>
        <v>0.12679510393803953</v>
      </c>
      <c r="N79" s="614" t="str">
        <f>IF($B79&lt;'A1.3.10'!$S$28,"",IF($B79&gt;'A1.3.10'!$S$58,N78,IF(OR(VLOOKUP($B79,'A1.3.10'!$S$28:$AE$58,4,)="", 'Fuel consumption'!F$36=""),"",'Fuel consumption'!F$36 * VLOOKUP($B79,'A1.3.10'!$S$28:$AE$58,4,))))</f>
        <v/>
      </c>
      <c r="O79" s="612" t="str">
        <f>IF($B79&lt;'A1.3.10'!$S$28,"",IF($B79&gt;'A1.3.10'!$S$58,O78,IF(OR(VLOOKUP($B79,'A1.3.10'!$S$28:$AE$58,4,)="", 'Fuel consumption'!G$36=""),"",'Fuel consumption'!G$36 * VLOOKUP($B79,'A1.3.10'!$S$28:$AE$58,4,))))</f>
        <v/>
      </c>
      <c r="P79" s="610">
        <f>IF($B79&lt;'A1.3.10'!$S$28,"",IF($B79&gt;'A1.3.10'!$S$58,P78,IF(OR(VLOOKUP($B79,'A1.3.10'!$S$28:$AE$58,5,)="",'Fuel consumption'!D$29=""),"",'Fuel consumption'!D$29 * VLOOKUP($B79,'A1.3.10'!$S$28:$AE$58,5,))))</f>
        <v>0.23398100209323003</v>
      </c>
      <c r="Q79" s="611">
        <f>IF($B79&lt;'A1.3.10'!$S$28,"",IF($B79&gt;'A1.3.10'!$S$58,Q78,IF(OR(VLOOKUP($B79,'A1.3.10'!$S$28:$AE$58,5,)="",'Fuel consumption'!E$29=""),"",'Fuel consumption'!E$29 * VLOOKUP($B79,'A1.3.10'!$S$28:$AE$58,5,))))</f>
        <v>0.13120300165283155</v>
      </c>
      <c r="R79" s="611">
        <f>IF($B79&lt;'A1.3.10'!$S$28,"",IF($B79&gt;'A1.3.10'!$S$58,R78,IF(OR(VLOOKUP($B79,'A1.3.10'!$S$28:$AE$58,5,)="",'Fuel consumption'!F$29=""),"",'Fuel consumption'!F$29 * VLOOKUP($B79,'A1.3.10'!$S$28:$AE$58,5,))))</f>
        <v>-2.0594564659300405E-3</v>
      </c>
      <c r="S79" s="2642">
        <f>IF($B79&lt;'A1.3.10'!$S$28,"",IF($B79&gt;'A1.3.10'!$S$58,S78,IF(OR(VLOOKUP($B79,'A1.3.10'!$S$28:$AE$58,5,)="",'Fuel consumption'!G$29=""),"",'Fuel consumption'!G$29 * VLOOKUP($B79,'A1.3.10'!$S$28:$AE$58,5,))))</f>
        <v>1.3300046823685748E-5</v>
      </c>
      <c r="T79" s="610">
        <f>IF($B79&lt;'A1.3.10'!$S$28,"",IF($B79&gt;'A1.3.10'!$S$58,T78,IF(OR(VLOOKUP($B79,'A1.3.10'!$S$28:$AE$58,6,)="",'Fuel consumption'!D$30=""),"",'Fuel consumption'!D$30 * VLOOKUP($B79,'A1.3.10'!$S$28:$AE$58,6,))))</f>
        <v>0.3988609037344879</v>
      </c>
      <c r="U79" s="611">
        <f>IF($B79&lt;'A1.3.10'!$S$28,"",IF($B79&gt;'A1.3.10'!$S$58,U78,IF(OR(VLOOKUP($B79,'A1.3.10'!$S$28:$AE$58,6,)="",'Fuel consumption'!E$30=""),"",'Fuel consumption'!E$30 * VLOOKUP($B79,'A1.3.10'!$S$28:$AE$58,6,))))</f>
        <v>9.7483230363204512E-2</v>
      </c>
      <c r="V79" s="611">
        <f>IF($B79&lt;'A1.3.10'!$S$28,"",IF($B79&gt;'A1.3.10'!$S$58,V78,IF(OR(VLOOKUP($B79,'A1.3.10'!$S$28:$AE$58,6,)="",'Fuel consumption'!F$30=""),"",'Fuel consumption'!F$30 * VLOOKUP($B79,'A1.3.10'!$S$28:$AE$58,6,))))</f>
        <v>-1.4063727682028522E-3</v>
      </c>
      <c r="W79" s="2642">
        <f>IF($B79&lt;'A1.3.10'!$S$28,"",IF($B79&gt;'A1.3.10'!$S$58,W78,IF(OR(VLOOKUP($B79,'A1.3.10'!$S$28:$AE$58,6,)="",'Fuel consumption'!G$30=""),"",'Fuel consumption'!G$30 * VLOOKUP($B79,'A1.3.10'!$S$28:$AE$58,6,))))</f>
        <v>1.1906400891809692E-5</v>
      </c>
      <c r="X79" s="3144"/>
      <c r="Y79" s="2487">
        <f>IF($B79&lt;'A1.3.10'!$S$28,"",IF($B79&gt;'A1.3.10'!$S$58,Y78,IF(OR(VLOOKUP($B79,'A1.3.10'!$S$28:$AE$58,7,)="", 'Fuel consumption'!E$37=""),"",'Fuel consumption'!E$37 * VLOOKUP($B79,'A1.3.10'!$S$28:$AE$58,7,))))</f>
        <v>0.29149401103980166</v>
      </c>
      <c r="Z79" s="2642"/>
      <c r="AA79" s="2642"/>
      <c r="AB79" s="610">
        <f>IF($B79&lt;'A1.3.10'!$S$28,"",IF($B79&gt;'A1.3.10'!$S$58,AB78,IF(OR(VLOOKUP($B79,'A1.3.10'!$S$28:$AE$58,8,)="",'Fuel consumption'!D$31=""),"",'Fuel consumption'!D$31 * VLOOKUP($B79,'A1.3.10'!$S$28:$AE$58,8,))))</f>
        <v>2.6962848686626804</v>
      </c>
      <c r="AC79" s="611">
        <f>IF($B79&lt;'A1.3.10'!$S$28,"",IF($B79&gt;'A1.3.10'!$S$58,AC78,IF(OR(VLOOKUP($B79,'A1.3.10'!$S$28:$AE$58,8,)="",'Fuel consumption'!E$31=""),"",'Fuel consumption'!E$31 * VLOOKUP($B79,'A1.3.10'!$S$28:$AE$58,8,))))</f>
        <v>0.143057339771858</v>
      </c>
      <c r="AD79" s="611">
        <f>IF($B79&lt;'A1.3.10'!$S$28,"",IF($B79&gt;'A1.3.10'!$S$58,AD78,IF(OR(VLOOKUP($B79,'A1.3.10'!$S$28:$AE$58,8,)="",'Fuel consumption'!F$31=""),"",'Fuel consumption'!F$31 * VLOOKUP($B79,'A1.3.10'!$S$28:$AE$58,8,))))</f>
        <v>-1.0340193601785499E-3</v>
      </c>
      <c r="AE79" s="2642">
        <f>IF($B79&lt;'A1.3.10'!$S$28,"",IF($B79&gt;'A1.3.10'!$S$58,AE78,IF(OR(VLOOKUP($B79,'A1.3.10'!$S$28:$AE$58,8,)="",'Fuel consumption'!G$31=""),"",'Fuel consumption'!G$31 * VLOOKUP($B79,'A1.3.10'!$S$28:$AE$58,8,))))</f>
        <v>1.1293150500864199E-5</v>
      </c>
      <c r="AF79" s="610">
        <f>IF($B79&lt;'A1.3.10'!$S$28,"",IF($B79&gt;'A1.3.10'!$S$58,AF78,IF(OR(VLOOKUP($B79,'A1.3.10'!$S$28:$AE$58,10,)="",'Fuel consumption'!D$32=""),"",'Fuel consumption'!D$32 * VLOOKUP($B79,'A1.3.10'!$S$28:$AE$58,10,))))</f>
        <v>5.6655970981789903</v>
      </c>
      <c r="AG79" s="611">
        <f>IF($B79&lt;'A1.3.10'!$S$28,"",IF($B79&gt;'A1.3.10'!$S$58,AG78,IF(OR(VLOOKUP($B79,'A1.3.10'!$S$28:$AE$58,10,)="",'Fuel consumption'!E$32=""),"",'Fuel consumption'!E$32 * VLOOKUP($B79,'A1.3.10'!$S$28:$AE$58,10,))))</f>
        <v>0.29422449618924201</v>
      </c>
      <c r="AH79" s="611">
        <f>IF($B79&lt;'A1.3.10'!$S$28,"",IF($B79&gt;'A1.3.10'!$S$58,AH78,IF(OR(VLOOKUP($B79,'A1.3.10'!$S$28:$AE$58,10,)="",'Fuel consumption'!F$32=""),"",'Fuel consumption'!F$32 * VLOOKUP($B79,'A1.3.10'!$S$28:$AE$58,10,))))</f>
        <v>-1.9493920679616401E-3</v>
      </c>
      <c r="AI79" s="1578">
        <f>IF($B79&lt;'A1.3.10'!$S$28,"",IF($B79&gt;'A1.3.10'!$S$58,AI78,IF(OR(VLOOKUP($B79,'A1.3.10'!$S$28:$AE$58,10,)="",'Fuel consumption'!G$32=""),"",'Fuel consumption'!G$32 * VLOOKUP($B79,'A1.3.10'!$S$28:$AE$58,10,))))</f>
        <v>1.1619187345164999E-5</v>
      </c>
      <c r="AJ79" s="610">
        <f>IF($B79&lt;'A1.3.10'!$S$28,"",IF($B79&gt;'A1.3.10'!$S$58,AJ78,IF(OR(VLOOKUP($B79,'A1.3.10'!$S$28:$AE$58,12,)="",'Fuel consumption'!D$33=""),"",'Fuel consumption'!D$33 * VLOOKUP($B79,'A1.3.10'!$S$28:$AE$58,12,))))</f>
        <v>3.3601870156891001</v>
      </c>
      <c r="AK79" s="611">
        <f>IF($B79&lt;'A1.3.10'!$S$28,"",IF($B79&gt;'A1.3.10'!$S$58,AK78,IF(OR(VLOOKUP($B79,'A1.3.10'!$S$28:$AE$58,12,)="",'Fuel consumption'!E$33=""),"",'Fuel consumption'!E$33 * VLOOKUP($B79,'A1.3.10'!$S$28:$AE$58,12,))))</f>
        <v>0.29524938703213599</v>
      </c>
      <c r="AL79" s="611">
        <f>IF($B79&lt;'A1.3.10'!$S$28,"",IF($B79&gt;'A1.3.10'!$S$58,AL78,IF(OR(VLOOKUP($B79,'A1.3.10'!$S$28:$AE$58,12,)="",'Fuel consumption'!F$33=""),"",'Fuel consumption'!F$33 * VLOOKUP($B79,'A1.3.10'!$S$28:$AE$58,12,))))</f>
        <v>-3.20909768342738E-3</v>
      </c>
      <c r="AM79" s="1578">
        <f>IF($B79&lt;'A1.3.10'!$S$28,"",IF($B79&gt;'A1.3.10'!$S$58,AM78,IF(OR(VLOOKUP($B79,'A1.3.10'!$S$28:$AE$58,12,)="",'Fuel consumption'!G$33=""),"",'Fuel consumption'!G$33 * VLOOKUP($B79,'A1.3.10'!$S$28:$AE$58,12,))))</f>
        <v>2.3540043227716499E-5</v>
      </c>
    </row>
    <row r="80" spans="1:39" ht="13.5" customHeight="1">
      <c r="A80" s="623"/>
      <c r="B80" s="614">
        <f t="shared" si="3"/>
        <v>2064</v>
      </c>
      <c r="C80" s="609"/>
      <c r="D80" s="2484">
        <f>IF($B80&lt;'A1.3.10'!$S$28,"",IF($B80&gt;'A1.3.10'!$S$58,D79,IF(OR(VLOOKUP($B80,'A1.3.10'!$S$28:$AE$58,2,)="",'Fuel consumption'!D$27=""),"",'Fuel consumption'!D$27 * VLOOKUP($B80,'A1.3.10'!$S$28:$AE$58,2,))))</f>
        <v>0.32527491364024624</v>
      </c>
      <c r="E80" s="2485">
        <f>IF($B80&lt;'A1.3.10'!$S$28,"",IF($B80&gt;'A1.3.10'!$S$58,E79,IF(OR(VLOOKUP($B80,'A1.3.10'!$S$28:$AE$58,2,)="",'Fuel consumption'!E$27=""),"",'Fuel consumption'!E$27 * VLOOKUP($B80,'A1.3.10'!$S$28:$AE$58,2,))))</f>
        <v>6.9126195403069218E-2</v>
      </c>
      <c r="F80" s="2485">
        <f>IF($B80&lt;'A1.3.10'!$S$28,"",IF($B80&gt;'A1.3.10'!$S$58,F79,IF(OR(VLOOKUP($B80,'A1.3.10'!$S$28:$AE$58,2,)="",'Fuel consumption'!F$27=""),"",'Fuel consumption'!F$27 * VLOOKUP($B80,'A1.3.10'!$S$28:$AE$58,2,))))</f>
        <v>-7.8742934140708519E-4</v>
      </c>
      <c r="G80" s="2642">
        <f>IF($B80&lt;'A1.3.10'!$S$28,"",IF($B80&gt;'A1.3.10'!$S$58,G79,IF(OR(VLOOKUP($B80,'A1.3.10'!$S$28:$AE$58,2,)="",'Fuel consumption'!G$27=""),"",'Fuel consumption'!G$27 * VLOOKUP($B80,'A1.3.10'!$S$28:$AE$58,2,))))</f>
        <v>5.2150811705064693E-6</v>
      </c>
      <c r="H80" s="2486">
        <f>IF($B80&lt;'A1.3.10'!$S$28,"",IF($B80&gt;'A1.3.10'!$S$58,H79,IF(OR(VLOOKUP($B80,'A1.3.10'!$S$28:$AE$58,3,)="",'Fuel consumption'!D$28=""),"",'Fuel consumption'!D$28  * VLOOKUP($B80,'A1.3.10'!$S$28:$AE$58,3,))))</f>
        <v>0.38728007442052015</v>
      </c>
      <c r="I80" s="2487">
        <f>IF($B80&lt;'A1.3.10'!$S$28,"",IF($B80&gt;'A1.3.10'!$S$58,I79,IF(OR(VLOOKUP($B80,'A1.3.10'!$S$28:$AE$58,3,)="",'Fuel consumption'!E$28=""),"",'Fuel consumption'!E$28  * VLOOKUP($B80,'A1.3.10'!$S$28:$AE$58,3,))))</f>
        <v>5.5526385246550972E-2</v>
      </c>
      <c r="J80" s="2487">
        <f>IF($B80&lt;'A1.3.10'!$S$28,"",IF($B80&gt;'A1.3.10'!$S$58,J79,IF(OR(VLOOKUP($B80,'A1.3.10'!$S$28:$AE$58,3,)="",'Fuel consumption'!F$28=""),"",'Fuel consumption'!F$28  * VLOOKUP($B80,'A1.3.10'!$S$28:$AE$58,3,))))</f>
        <v>-5.3417929464962704E-4</v>
      </c>
      <c r="K80" s="2642">
        <f>IF($B80&lt;'A1.3.10'!$S$28,"",IF($B80&gt;'A1.3.10'!$S$58,K79,IF(OR(VLOOKUP($B80,'A1.3.10'!$S$28:$AE$58,3,)="",'Fuel consumption'!G$28=""),"",'Fuel consumption'!G$28  * VLOOKUP($B80,'A1.3.10'!$S$28:$AE$58,3,))))</f>
        <v>4.2093596420141842E-6</v>
      </c>
      <c r="L80" s="2486" t="str">
        <f>IF($B80&lt;'A1.3.10'!$S$28,"",IF($B80&gt;'A1.3.10'!$S$58,L79,IF(OR(VLOOKUP($B80,'A1.3.10'!$S$28:$AE$58,4,)="", 'Fuel consumption'!D$36=""),"",'Fuel consumption'!D$36 * VLOOKUP($B80,'A1.3.10'!$S$28:$AE$58,4,))))</f>
        <v/>
      </c>
      <c r="M80" s="2487">
        <f>IF($B80&lt;'A1.3.10'!$S$28,"",IF($B80&gt;'A1.3.10'!$S$58,M79,IF(OR(VLOOKUP($B80,'A1.3.10'!$S$28:$AE$58,4,)="", 'Fuel consumption'!E$36=""),"",'Fuel consumption'!E$36 * VLOOKUP($B80,'A1.3.10'!$S$28:$AE$58,4,))))</f>
        <v>0.12679510393803953</v>
      </c>
      <c r="N80" s="614" t="str">
        <f>IF($B80&lt;'A1.3.10'!$S$28,"",IF($B80&gt;'A1.3.10'!$S$58,N79,IF(OR(VLOOKUP($B80,'A1.3.10'!$S$28:$AE$58,4,)="", 'Fuel consumption'!F$36=""),"",'Fuel consumption'!F$36 * VLOOKUP($B80,'A1.3.10'!$S$28:$AE$58,4,))))</f>
        <v/>
      </c>
      <c r="O80" s="612" t="str">
        <f>IF($B80&lt;'A1.3.10'!$S$28,"",IF($B80&gt;'A1.3.10'!$S$58,O79,IF(OR(VLOOKUP($B80,'A1.3.10'!$S$28:$AE$58,4,)="", 'Fuel consumption'!G$36=""),"",'Fuel consumption'!G$36 * VLOOKUP($B80,'A1.3.10'!$S$28:$AE$58,4,))))</f>
        <v/>
      </c>
      <c r="P80" s="610">
        <f>IF($B80&lt;'A1.3.10'!$S$28,"",IF($B80&gt;'A1.3.10'!$S$58,P79,IF(OR(VLOOKUP($B80,'A1.3.10'!$S$28:$AE$58,5,)="",'Fuel consumption'!D$29=""),"",'Fuel consumption'!D$29 * VLOOKUP($B80,'A1.3.10'!$S$28:$AE$58,5,))))</f>
        <v>0.23398100209323003</v>
      </c>
      <c r="Q80" s="611">
        <f>IF($B80&lt;'A1.3.10'!$S$28,"",IF($B80&gt;'A1.3.10'!$S$58,Q79,IF(OR(VLOOKUP($B80,'A1.3.10'!$S$28:$AE$58,5,)="",'Fuel consumption'!E$29=""),"",'Fuel consumption'!E$29 * VLOOKUP($B80,'A1.3.10'!$S$28:$AE$58,5,))))</f>
        <v>0.13120300165283155</v>
      </c>
      <c r="R80" s="611">
        <f>IF($B80&lt;'A1.3.10'!$S$28,"",IF($B80&gt;'A1.3.10'!$S$58,R79,IF(OR(VLOOKUP($B80,'A1.3.10'!$S$28:$AE$58,5,)="",'Fuel consumption'!F$29=""),"",'Fuel consumption'!F$29 * VLOOKUP($B80,'A1.3.10'!$S$28:$AE$58,5,))))</f>
        <v>-2.0594564659300405E-3</v>
      </c>
      <c r="S80" s="2642">
        <f>IF($B80&lt;'A1.3.10'!$S$28,"",IF($B80&gt;'A1.3.10'!$S$58,S79,IF(OR(VLOOKUP($B80,'A1.3.10'!$S$28:$AE$58,5,)="",'Fuel consumption'!G$29=""),"",'Fuel consumption'!G$29 * VLOOKUP($B80,'A1.3.10'!$S$28:$AE$58,5,))))</f>
        <v>1.3300046823685748E-5</v>
      </c>
      <c r="T80" s="610">
        <f>IF($B80&lt;'A1.3.10'!$S$28,"",IF($B80&gt;'A1.3.10'!$S$58,T79,IF(OR(VLOOKUP($B80,'A1.3.10'!$S$28:$AE$58,6,)="",'Fuel consumption'!D$30=""),"",'Fuel consumption'!D$30 * VLOOKUP($B80,'A1.3.10'!$S$28:$AE$58,6,))))</f>
        <v>0.3988609037344879</v>
      </c>
      <c r="U80" s="611">
        <f>IF($B80&lt;'A1.3.10'!$S$28,"",IF($B80&gt;'A1.3.10'!$S$58,U79,IF(OR(VLOOKUP($B80,'A1.3.10'!$S$28:$AE$58,6,)="",'Fuel consumption'!E$30=""),"",'Fuel consumption'!E$30 * VLOOKUP($B80,'A1.3.10'!$S$28:$AE$58,6,))))</f>
        <v>9.7483230363204512E-2</v>
      </c>
      <c r="V80" s="611">
        <f>IF($B80&lt;'A1.3.10'!$S$28,"",IF($B80&gt;'A1.3.10'!$S$58,V79,IF(OR(VLOOKUP($B80,'A1.3.10'!$S$28:$AE$58,6,)="",'Fuel consumption'!F$30=""),"",'Fuel consumption'!F$30 * VLOOKUP($B80,'A1.3.10'!$S$28:$AE$58,6,))))</f>
        <v>-1.4063727682028522E-3</v>
      </c>
      <c r="W80" s="2642">
        <f>IF($B80&lt;'A1.3.10'!$S$28,"",IF($B80&gt;'A1.3.10'!$S$58,W79,IF(OR(VLOOKUP($B80,'A1.3.10'!$S$28:$AE$58,6,)="",'Fuel consumption'!G$30=""),"",'Fuel consumption'!G$30 * VLOOKUP($B80,'A1.3.10'!$S$28:$AE$58,6,))))</f>
        <v>1.1906400891809692E-5</v>
      </c>
      <c r="X80" s="3144"/>
      <c r="Y80" s="2487">
        <f>IF($B80&lt;'A1.3.10'!$S$28,"",IF($B80&gt;'A1.3.10'!$S$58,Y79,IF(OR(VLOOKUP($B80,'A1.3.10'!$S$28:$AE$58,7,)="", 'Fuel consumption'!E$37=""),"",'Fuel consumption'!E$37 * VLOOKUP($B80,'A1.3.10'!$S$28:$AE$58,7,))))</f>
        <v>0.29149401103980166</v>
      </c>
      <c r="Z80" s="2642"/>
      <c r="AA80" s="2642"/>
      <c r="AB80" s="610">
        <f>IF($B80&lt;'A1.3.10'!$S$28,"",IF($B80&gt;'A1.3.10'!$S$58,AB79,IF(OR(VLOOKUP($B80,'A1.3.10'!$S$28:$AE$58,8,)="",'Fuel consumption'!D$31=""),"",'Fuel consumption'!D$31 * VLOOKUP($B80,'A1.3.10'!$S$28:$AE$58,8,))))</f>
        <v>2.6962848686626804</v>
      </c>
      <c r="AC80" s="611">
        <f>IF($B80&lt;'A1.3.10'!$S$28,"",IF($B80&gt;'A1.3.10'!$S$58,AC79,IF(OR(VLOOKUP($B80,'A1.3.10'!$S$28:$AE$58,8,)="",'Fuel consumption'!E$31=""),"",'Fuel consumption'!E$31 * VLOOKUP($B80,'A1.3.10'!$S$28:$AE$58,8,))))</f>
        <v>0.143057339771858</v>
      </c>
      <c r="AD80" s="611">
        <f>IF($B80&lt;'A1.3.10'!$S$28,"",IF($B80&gt;'A1.3.10'!$S$58,AD79,IF(OR(VLOOKUP($B80,'A1.3.10'!$S$28:$AE$58,8,)="",'Fuel consumption'!F$31=""),"",'Fuel consumption'!F$31 * VLOOKUP($B80,'A1.3.10'!$S$28:$AE$58,8,))))</f>
        <v>-1.0340193601785499E-3</v>
      </c>
      <c r="AE80" s="2642">
        <f>IF($B80&lt;'A1.3.10'!$S$28,"",IF($B80&gt;'A1.3.10'!$S$58,AE79,IF(OR(VLOOKUP($B80,'A1.3.10'!$S$28:$AE$58,8,)="",'Fuel consumption'!G$31=""),"",'Fuel consumption'!G$31 * VLOOKUP($B80,'A1.3.10'!$S$28:$AE$58,8,))))</f>
        <v>1.1293150500864199E-5</v>
      </c>
      <c r="AF80" s="610">
        <f>IF($B80&lt;'A1.3.10'!$S$28,"",IF($B80&gt;'A1.3.10'!$S$58,AF79,IF(OR(VLOOKUP($B80,'A1.3.10'!$S$28:$AE$58,10,)="",'Fuel consumption'!D$32=""),"",'Fuel consumption'!D$32 * VLOOKUP($B80,'A1.3.10'!$S$28:$AE$58,10,))))</f>
        <v>5.6655970981789903</v>
      </c>
      <c r="AG80" s="611">
        <f>IF($B80&lt;'A1.3.10'!$S$28,"",IF($B80&gt;'A1.3.10'!$S$58,AG79,IF(OR(VLOOKUP($B80,'A1.3.10'!$S$28:$AE$58,10,)="",'Fuel consumption'!E$32=""),"",'Fuel consumption'!E$32 * VLOOKUP($B80,'A1.3.10'!$S$28:$AE$58,10,))))</f>
        <v>0.29422449618924201</v>
      </c>
      <c r="AH80" s="611">
        <f>IF($B80&lt;'A1.3.10'!$S$28,"",IF($B80&gt;'A1.3.10'!$S$58,AH79,IF(OR(VLOOKUP($B80,'A1.3.10'!$S$28:$AE$58,10,)="",'Fuel consumption'!F$32=""),"",'Fuel consumption'!F$32 * VLOOKUP($B80,'A1.3.10'!$S$28:$AE$58,10,))))</f>
        <v>-1.9493920679616401E-3</v>
      </c>
      <c r="AI80" s="1578">
        <f>IF($B80&lt;'A1.3.10'!$S$28,"",IF($B80&gt;'A1.3.10'!$S$58,AI79,IF(OR(VLOOKUP($B80,'A1.3.10'!$S$28:$AE$58,10,)="",'Fuel consumption'!G$32=""),"",'Fuel consumption'!G$32 * VLOOKUP($B80,'A1.3.10'!$S$28:$AE$58,10,))))</f>
        <v>1.1619187345164999E-5</v>
      </c>
      <c r="AJ80" s="610">
        <f>IF($B80&lt;'A1.3.10'!$S$28,"",IF($B80&gt;'A1.3.10'!$S$58,AJ79,IF(OR(VLOOKUP($B80,'A1.3.10'!$S$28:$AE$58,12,)="",'Fuel consumption'!D$33=""),"",'Fuel consumption'!D$33 * VLOOKUP($B80,'A1.3.10'!$S$28:$AE$58,12,))))</f>
        <v>3.3601870156891001</v>
      </c>
      <c r="AK80" s="611">
        <f>IF($B80&lt;'A1.3.10'!$S$28,"",IF($B80&gt;'A1.3.10'!$S$58,AK79,IF(OR(VLOOKUP($B80,'A1.3.10'!$S$28:$AE$58,12,)="",'Fuel consumption'!E$33=""),"",'Fuel consumption'!E$33 * VLOOKUP($B80,'A1.3.10'!$S$28:$AE$58,12,))))</f>
        <v>0.29524938703213599</v>
      </c>
      <c r="AL80" s="611">
        <f>IF($B80&lt;'A1.3.10'!$S$28,"",IF($B80&gt;'A1.3.10'!$S$58,AL79,IF(OR(VLOOKUP($B80,'A1.3.10'!$S$28:$AE$58,12,)="",'Fuel consumption'!F$33=""),"",'Fuel consumption'!F$33 * VLOOKUP($B80,'A1.3.10'!$S$28:$AE$58,12,))))</f>
        <v>-3.20909768342738E-3</v>
      </c>
      <c r="AM80" s="1578">
        <f>IF($B80&lt;'A1.3.10'!$S$28,"",IF($B80&gt;'A1.3.10'!$S$58,AM79,IF(OR(VLOOKUP($B80,'A1.3.10'!$S$28:$AE$58,12,)="",'Fuel consumption'!G$33=""),"",'Fuel consumption'!G$33 * VLOOKUP($B80,'A1.3.10'!$S$28:$AE$58,12,))))</f>
        <v>2.3540043227716499E-5</v>
      </c>
    </row>
    <row r="81" spans="1:39" ht="13.5" customHeight="1">
      <c r="A81" s="623"/>
      <c r="B81" s="614">
        <f t="shared" si="3"/>
        <v>2065</v>
      </c>
      <c r="C81" s="609"/>
      <c r="D81" s="2484">
        <f>IF($B81&lt;'A1.3.10'!$S$28,"",IF($B81&gt;'A1.3.10'!$S$58,D80,IF(OR(VLOOKUP($B81,'A1.3.10'!$S$28:$AE$58,2,)="",'Fuel consumption'!D$27=""),"",'Fuel consumption'!D$27 * VLOOKUP($B81,'A1.3.10'!$S$28:$AE$58,2,))))</f>
        <v>0.32527491364024624</v>
      </c>
      <c r="E81" s="2485">
        <f>IF($B81&lt;'A1.3.10'!$S$28,"",IF($B81&gt;'A1.3.10'!$S$58,E80,IF(OR(VLOOKUP($B81,'A1.3.10'!$S$28:$AE$58,2,)="",'Fuel consumption'!E$27=""),"",'Fuel consumption'!E$27 * VLOOKUP($B81,'A1.3.10'!$S$28:$AE$58,2,))))</f>
        <v>6.9126195403069218E-2</v>
      </c>
      <c r="F81" s="2485">
        <f>IF($B81&lt;'A1.3.10'!$S$28,"",IF($B81&gt;'A1.3.10'!$S$58,F80,IF(OR(VLOOKUP($B81,'A1.3.10'!$S$28:$AE$58,2,)="",'Fuel consumption'!F$27=""),"",'Fuel consumption'!F$27 * VLOOKUP($B81,'A1.3.10'!$S$28:$AE$58,2,))))</f>
        <v>-7.8742934140708519E-4</v>
      </c>
      <c r="G81" s="2642">
        <f>IF($B81&lt;'A1.3.10'!$S$28,"",IF($B81&gt;'A1.3.10'!$S$58,G80,IF(OR(VLOOKUP($B81,'A1.3.10'!$S$28:$AE$58,2,)="",'Fuel consumption'!G$27=""),"",'Fuel consumption'!G$27 * VLOOKUP($B81,'A1.3.10'!$S$28:$AE$58,2,))))</f>
        <v>5.2150811705064693E-6</v>
      </c>
      <c r="H81" s="2486">
        <f>IF($B81&lt;'A1.3.10'!$S$28,"",IF($B81&gt;'A1.3.10'!$S$58,H80,IF(OR(VLOOKUP($B81,'A1.3.10'!$S$28:$AE$58,3,)="",'Fuel consumption'!D$28=""),"",'Fuel consumption'!D$28  * VLOOKUP($B81,'A1.3.10'!$S$28:$AE$58,3,))))</f>
        <v>0.38728007442052015</v>
      </c>
      <c r="I81" s="2487">
        <f>IF($B81&lt;'A1.3.10'!$S$28,"",IF($B81&gt;'A1.3.10'!$S$58,I80,IF(OR(VLOOKUP($B81,'A1.3.10'!$S$28:$AE$58,3,)="",'Fuel consumption'!E$28=""),"",'Fuel consumption'!E$28  * VLOOKUP($B81,'A1.3.10'!$S$28:$AE$58,3,))))</f>
        <v>5.5526385246550972E-2</v>
      </c>
      <c r="J81" s="2487">
        <f>IF($B81&lt;'A1.3.10'!$S$28,"",IF($B81&gt;'A1.3.10'!$S$58,J80,IF(OR(VLOOKUP($B81,'A1.3.10'!$S$28:$AE$58,3,)="",'Fuel consumption'!F$28=""),"",'Fuel consumption'!F$28  * VLOOKUP($B81,'A1.3.10'!$S$28:$AE$58,3,))))</f>
        <v>-5.3417929464962704E-4</v>
      </c>
      <c r="K81" s="2642">
        <f>IF($B81&lt;'A1.3.10'!$S$28,"",IF($B81&gt;'A1.3.10'!$S$58,K80,IF(OR(VLOOKUP($B81,'A1.3.10'!$S$28:$AE$58,3,)="",'Fuel consumption'!G$28=""),"",'Fuel consumption'!G$28  * VLOOKUP($B81,'A1.3.10'!$S$28:$AE$58,3,))))</f>
        <v>4.2093596420141842E-6</v>
      </c>
      <c r="L81" s="2486" t="str">
        <f>IF($B81&lt;'A1.3.10'!$S$28,"",IF($B81&gt;'A1.3.10'!$S$58,L80,IF(OR(VLOOKUP($B81,'A1.3.10'!$S$28:$AE$58,4,)="", 'Fuel consumption'!D$36=""),"",'Fuel consumption'!D$36 * VLOOKUP($B81,'A1.3.10'!$S$28:$AE$58,4,))))</f>
        <v/>
      </c>
      <c r="M81" s="2487">
        <f>IF($B81&lt;'A1.3.10'!$S$28,"",IF($B81&gt;'A1.3.10'!$S$58,M80,IF(OR(VLOOKUP($B81,'A1.3.10'!$S$28:$AE$58,4,)="", 'Fuel consumption'!E$36=""),"",'Fuel consumption'!E$36 * VLOOKUP($B81,'A1.3.10'!$S$28:$AE$58,4,))))</f>
        <v>0.12679510393803953</v>
      </c>
      <c r="N81" s="614" t="str">
        <f>IF($B81&lt;'A1.3.10'!$S$28,"",IF($B81&gt;'A1.3.10'!$S$58,N80,IF(OR(VLOOKUP($B81,'A1.3.10'!$S$28:$AE$58,4,)="", 'Fuel consumption'!F$36=""),"",'Fuel consumption'!F$36 * VLOOKUP($B81,'A1.3.10'!$S$28:$AE$58,4,))))</f>
        <v/>
      </c>
      <c r="O81" s="612" t="str">
        <f>IF($B81&lt;'A1.3.10'!$S$28,"",IF($B81&gt;'A1.3.10'!$S$58,O80,IF(OR(VLOOKUP($B81,'A1.3.10'!$S$28:$AE$58,4,)="", 'Fuel consumption'!G$36=""),"",'Fuel consumption'!G$36 * VLOOKUP($B81,'A1.3.10'!$S$28:$AE$58,4,))))</f>
        <v/>
      </c>
      <c r="P81" s="610">
        <f>IF($B81&lt;'A1.3.10'!$S$28,"",IF($B81&gt;'A1.3.10'!$S$58,P80,IF(OR(VLOOKUP($B81,'A1.3.10'!$S$28:$AE$58,5,)="",'Fuel consumption'!D$29=""),"",'Fuel consumption'!D$29 * VLOOKUP($B81,'A1.3.10'!$S$28:$AE$58,5,))))</f>
        <v>0.23398100209323003</v>
      </c>
      <c r="Q81" s="611">
        <f>IF($B81&lt;'A1.3.10'!$S$28,"",IF($B81&gt;'A1.3.10'!$S$58,Q80,IF(OR(VLOOKUP($B81,'A1.3.10'!$S$28:$AE$58,5,)="",'Fuel consumption'!E$29=""),"",'Fuel consumption'!E$29 * VLOOKUP($B81,'A1.3.10'!$S$28:$AE$58,5,))))</f>
        <v>0.13120300165283155</v>
      </c>
      <c r="R81" s="611">
        <f>IF($B81&lt;'A1.3.10'!$S$28,"",IF($B81&gt;'A1.3.10'!$S$58,R80,IF(OR(VLOOKUP($B81,'A1.3.10'!$S$28:$AE$58,5,)="",'Fuel consumption'!F$29=""),"",'Fuel consumption'!F$29 * VLOOKUP($B81,'A1.3.10'!$S$28:$AE$58,5,))))</f>
        <v>-2.0594564659300405E-3</v>
      </c>
      <c r="S81" s="2642">
        <f>IF($B81&lt;'A1.3.10'!$S$28,"",IF($B81&gt;'A1.3.10'!$S$58,S80,IF(OR(VLOOKUP($B81,'A1.3.10'!$S$28:$AE$58,5,)="",'Fuel consumption'!G$29=""),"",'Fuel consumption'!G$29 * VLOOKUP($B81,'A1.3.10'!$S$28:$AE$58,5,))))</f>
        <v>1.3300046823685748E-5</v>
      </c>
      <c r="T81" s="610">
        <f>IF($B81&lt;'A1.3.10'!$S$28,"",IF($B81&gt;'A1.3.10'!$S$58,T80,IF(OR(VLOOKUP($B81,'A1.3.10'!$S$28:$AE$58,6,)="",'Fuel consumption'!D$30=""),"",'Fuel consumption'!D$30 * VLOOKUP($B81,'A1.3.10'!$S$28:$AE$58,6,))))</f>
        <v>0.3988609037344879</v>
      </c>
      <c r="U81" s="611">
        <f>IF($B81&lt;'A1.3.10'!$S$28,"",IF($B81&gt;'A1.3.10'!$S$58,U80,IF(OR(VLOOKUP($B81,'A1.3.10'!$S$28:$AE$58,6,)="",'Fuel consumption'!E$30=""),"",'Fuel consumption'!E$30 * VLOOKUP($B81,'A1.3.10'!$S$28:$AE$58,6,))))</f>
        <v>9.7483230363204512E-2</v>
      </c>
      <c r="V81" s="611">
        <f>IF($B81&lt;'A1.3.10'!$S$28,"",IF($B81&gt;'A1.3.10'!$S$58,V80,IF(OR(VLOOKUP($B81,'A1.3.10'!$S$28:$AE$58,6,)="",'Fuel consumption'!F$30=""),"",'Fuel consumption'!F$30 * VLOOKUP($B81,'A1.3.10'!$S$28:$AE$58,6,))))</f>
        <v>-1.4063727682028522E-3</v>
      </c>
      <c r="W81" s="2642">
        <f>IF($B81&lt;'A1.3.10'!$S$28,"",IF($B81&gt;'A1.3.10'!$S$58,W80,IF(OR(VLOOKUP($B81,'A1.3.10'!$S$28:$AE$58,6,)="",'Fuel consumption'!G$30=""),"",'Fuel consumption'!G$30 * VLOOKUP($B81,'A1.3.10'!$S$28:$AE$58,6,))))</f>
        <v>1.1906400891809692E-5</v>
      </c>
      <c r="X81" s="3144"/>
      <c r="Y81" s="2487">
        <f>IF($B81&lt;'A1.3.10'!$S$28,"",IF($B81&gt;'A1.3.10'!$S$58,Y80,IF(OR(VLOOKUP($B81,'A1.3.10'!$S$28:$AE$58,7,)="", 'Fuel consumption'!E$37=""),"",'Fuel consumption'!E$37 * VLOOKUP($B81,'A1.3.10'!$S$28:$AE$58,7,))))</f>
        <v>0.29149401103980166</v>
      </c>
      <c r="Z81" s="2642"/>
      <c r="AA81" s="2642"/>
      <c r="AB81" s="610">
        <f>IF($B81&lt;'A1.3.10'!$S$28,"",IF($B81&gt;'A1.3.10'!$S$58,AB80,IF(OR(VLOOKUP($B81,'A1.3.10'!$S$28:$AE$58,8,)="",'Fuel consumption'!D$31=""),"",'Fuel consumption'!D$31 * VLOOKUP($B81,'A1.3.10'!$S$28:$AE$58,8,))))</f>
        <v>2.6962848686626804</v>
      </c>
      <c r="AC81" s="611">
        <f>IF($B81&lt;'A1.3.10'!$S$28,"",IF($B81&gt;'A1.3.10'!$S$58,AC80,IF(OR(VLOOKUP($B81,'A1.3.10'!$S$28:$AE$58,8,)="",'Fuel consumption'!E$31=""),"",'Fuel consumption'!E$31 * VLOOKUP($B81,'A1.3.10'!$S$28:$AE$58,8,))))</f>
        <v>0.143057339771858</v>
      </c>
      <c r="AD81" s="611">
        <f>IF($B81&lt;'A1.3.10'!$S$28,"",IF($B81&gt;'A1.3.10'!$S$58,AD80,IF(OR(VLOOKUP($B81,'A1.3.10'!$S$28:$AE$58,8,)="",'Fuel consumption'!F$31=""),"",'Fuel consumption'!F$31 * VLOOKUP($B81,'A1.3.10'!$S$28:$AE$58,8,))))</f>
        <v>-1.0340193601785499E-3</v>
      </c>
      <c r="AE81" s="2642">
        <f>IF($B81&lt;'A1.3.10'!$S$28,"",IF($B81&gt;'A1.3.10'!$S$58,AE80,IF(OR(VLOOKUP($B81,'A1.3.10'!$S$28:$AE$58,8,)="",'Fuel consumption'!G$31=""),"",'Fuel consumption'!G$31 * VLOOKUP($B81,'A1.3.10'!$S$28:$AE$58,8,))))</f>
        <v>1.1293150500864199E-5</v>
      </c>
      <c r="AF81" s="610">
        <f>IF($B81&lt;'A1.3.10'!$S$28,"",IF($B81&gt;'A1.3.10'!$S$58,AF80,IF(OR(VLOOKUP($B81,'A1.3.10'!$S$28:$AE$58,10,)="",'Fuel consumption'!D$32=""),"",'Fuel consumption'!D$32 * VLOOKUP($B81,'A1.3.10'!$S$28:$AE$58,10,))))</f>
        <v>5.6655970981789903</v>
      </c>
      <c r="AG81" s="611">
        <f>IF($B81&lt;'A1.3.10'!$S$28,"",IF($B81&gt;'A1.3.10'!$S$58,AG80,IF(OR(VLOOKUP($B81,'A1.3.10'!$S$28:$AE$58,10,)="",'Fuel consumption'!E$32=""),"",'Fuel consumption'!E$32 * VLOOKUP($B81,'A1.3.10'!$S$28:$AE$58,10,))))</f>
        <v>0.29422449618924201</v>
      </c>
      <c r="AH81" s="611">
        <f>IF($B81&lt;'A1.3.10'!$S$28,"",IF($B81&gt;'A1.3.10'!$S$58,AH80,IF(OR(VLOOKUP($B81,'A1.3.10'!$S$28:$AE$58,10,)="",'Fuel consumption'!F$32=""),"",'Fuel consumption'!F$32 * VLOOKUP($B81,'A1.3.10'!$S$28:$AE$58,10,))))</f>
        <v>-1.9493920679616401E-3</v>
      </c>
      <c r="AI81" s="1578">
        <f>IF($B81&lt;'A1.3.10'!$S$28,"",IF($B81&gt;'A1.3.10'!$S$58,AI80,IF(OR(VLOOKUP($B81,'A1.3.10'!$S$28:$AE$58,10,)="",'Fuel consumption'!G$32=""),"",'Fuel consumption'!G$32 * VLOOKUP($B81,'A1.3.10'!$S$28:$AE$58,10,))))</f>
        <v>1.1619187345164999E-5</v>
      </c>
      <c r="AJ81" s="610">
        <f>IF($B81&lt;'A1.3.10'!$S$28,"",IF($B81&gt;'A1.3.10'!$S$58,AJ80,IF(OR(VLOOKUP($B81,'A1.3.10'!$S$28:$AE$58,12,)="",'Fuel consumption'!D$33=""),"",'Fuel consumption'!D$33 * VLOOKUP($B81,'A1.3.10'!$S$28:$AE$58,12,))))</f>
        <v>3.3601870156891001</v>
      </c>
      <c r="AK81" s="611">
        <f>IF($B81&lt;'A1.3.10'!$S$28,"",IF($B81&gt;'A1.3.10'!$S$58,AK80,IF(OR(VLOOKUP($B81,'A1.3.10'!$S$28:$AE$58,12,)="",'Fuel consumption'!E$33=""),"",'Fuel consumption'!E$33 * VLOOKUP($B81,'A1.3.10'!$S$28:$AE$58,12,))))</f>
        <v>0.29524938703213599</v>
      </c>
      <c r="AL81" s="611">
        <f>IF($B81&lt;'A1.3.10'!$S$28,"",IF($B81&gt;'A1.3.10'!$S$58,AL80,IF(OR(VLOOKUP($B81,'A1.3.10'!$S$28:$AE$58,12,)="",'Fuel consumption'!F$33=""),"",'Fuel consumption'!F$33 * VLOOKUP($B81,'A1.3.10'!$S$28:$AE$58,12,))))</f>
        <v>-3.20909768342738E-3</v>
      </c>
      <c r="AM81" s="1578">
        <f>IF($B81&lt;'A1.3.10'!$S$28,"",IF($B81&gt;'A1.3.10'!$S$58,AM80,IF(OR(VLOOKUP($B81,'A1.3.10'!$S$28:$AE$58,12,)="",'Fuel consumption'!G$33=""),"",'Fuel consumption'!G$33 * VLOOKUP($B81,'A1.3.10'!$S$28:$AE$58,12,))))</f>
        <v>2.3540043227716499E-5</v>
      </c>
    </row>
    <row r="82" spans="1:39" ht="13.5" customHeight="1">
      <c r="A82" s="623"/>
      <c r="B82" s="614">
        <f t="shared" si="3"/>
        <v>2066</v>
      </c>
      <c r="C82" s="609"/>
      <c r="D82" s="2484">
        <f>IF($B82&lt;'A1.3.10'!$S$28,"",IF($B82&gt;'A1.3.10'!$S$58,D81,IF(OR(VLOOKUP($B82,'A1.3.10'!$S$28:$AE$58,2,)="",'Fuel consumption'!D$27=""),"",'Fuel consumption'!D$27 * VLOOKUP($B82,'A1.3.10'!$S$28:$AE$58,2,))))</f>
        <v>0.32527491364024624</v>
      </c>
      <c r="E82" s="2485">
        <f>IF($B82&lt;'A1.3.10'!$S$28,"",IF($B82&gt;'A1.3.10'!$S$58,E81,IF(OR(VLOOKUP($B82,'A1.3.10'!$S$28:$AE$58,2,)="",'Fuel consumption'!E$27=""),"",'Fuel consumption'!E$27 * VLOOKUP($B82,'A1.3.10'!$S$28:$AE$58,2,))))</f>
        <v>6.9126195403069218E-2</v>
      </c>
      <c r="F82" s="2485">
        <f>IF($B82&lt;'A1.3.10'!$S$28,"",IF($B82&gt;'A1.3.10'!$S$58,F81,IF(OR(VLOOKUP($B82,'A1.3.10'!$S$28:$AE$58,2,)="",'Fuel consumption'!F$27=""),"",'Fuel consumption'!F$27 * VLOOKUP($B82,'A1.3.10'!$S$28:$AE$58,2,))))</f>
        <v>-7.8742934140708519E-4</v>
      </c>
      <c r="G82" s="2642">
        <f>IF($B82&lt;'A1.3.10'!$S$28,"",IF($B82&gt;'A1.3.10'!$S$58,G81,IF(OR(VLOOKUP($B82,'A1.3.10'!$S$28:$AE$58,2,)="",'Fuel consumption'!G$27=""),"",'Fuel consumption'!G$27 * VLOOKUP($B82,'A1.3.10'!$S$28:$AE$58,2,))))</f>
        <v>5.2150811705064693E-6</v>
      </c>
      <c r="H82" s="2486">
        <f>IF($B82&lt;'A1.3.10'!$S$28,"",IF($B82&gt;'A1.3.10'!$S$58,H81,IF(OR(VLOOKUP($B82,'A1.3.10'!$S$28:$AE$58,3,)="",'Fuel consumption'!D$28=""),"",'Fuel consumption'!D$28  * VLOOKUP($B82,'A1.3.10'!$S$28:$AE$58,3,))))</f>
        <v>0.38728007442052015</v>
      </c>
      <c r="I82" s="2487">
        <f>IF($B82&lt;'A1.3.10'!$S$28,"",IF($B82&gt;'A1.3.10'!$S$58,I81,IF(OR(VLOOKUP($B82,'A1.3.10'!$S$28:$AE$58,3,)="",'Fuel consumption'!E$28=""),"",'Fuel consumption'!E$28  * VLOOKUP($B82,'A1.3.10'!$S$28:$AE$58,3,))))</f>
        <v>5.5526385246550972E-2</v>
      </c>
      <c r="J82" s="2487">
        <f>IF($B82&lt;'A1.3.10'!$S$28,"",IF($B82&gt;'A1.3.10'!$S$58,J81,IF(OR(VLOOKUP($B82,'A1.3.10'!$S$28:$AE$58,3,)="",'Fuel consumption'!F$28=""),"",'Fuel consumption'!F$28  * VLOOKUP($B82,'A1.3.10'!$S$28:$AE$58,3,))))</f>
        <v>-5.3417929464962704E-4</v>
      </c>
      <c r="K82" s="2642">
        <f>IF($B82&lt;'A1.3.10'!$S$28,"",IF($B82&gt;'A1.3.10'!$S$58,K81,IF(OR(VLOOKUP($B82,'A1.3.10'!$S$28:$AE$58,3,)="",'Fuel consumption'!G$28=""),"",'Fuel consumption'!G$28  * VLOOKUP($B82,'A1.3.10'!$S$28:$AE$58,3,))))</f>
        <v>4.2093596420141842E-6</v>
      </c>
      <c r="L82" s="2486" t="str">
        <f>IF($B82&lt;'A1.3.10'!$S$28,"",IF($B82&gt;'A1.3.10'!$S$58,L81,IF(OR(VLOOKUP($B82,'A1.3.10'!$S$28:$AE$58,4,)="", 'Fuel consumption'!D$36=""),"",'Fuel consumption'!D$36 * VLOOKUP($B82,'A1.3.10'!$S$28:$AE$58,4,))))</f>
        <v/>
      </c>
      <c r="M82" s="2487">
        <f>IF($B82&lt;'A1.3.10'!$S$28,"",IF($B82&gt;'A1.3.10'!$S$58,M81,IF(OR(VLOOKUP($B82,'A1.3.10'!$S$28:$AE$58,4,)="", 'Fuel consumption'!E$36=""),"",'Fuel consumption'!E$36 * VLOOKUP($B82,'A1.3.10'!$S$28:$AE$58,4,))))</f>
        <v>0.12679510393803953</v>
      </c>
      <c r="N82" s="614" t="str">
        <f>IF($B82&lt;'A1.3.10'!$S$28,"",IF($B82&gt;'A1.3.10'!$S$58,N81,IF(OR(VLOOKUP($B82,'A1.3.10'!$S$28:$AE$58,4,)="", 'Fuel consumption'!F$36=""),"",'Fuel consumption'!F$36 * VLOOKUP($B82,'A1.3.10'!$S$28:$AE$58,4,))))</f>
        <v/>
      </c>
      <c r="O82" s="612" t="str">
        <f>IF($B82&lt;'A1.3.10'!$S$28,"",IF($B82&gt;'A1.3.10'!$S$58,O81,IF(OR(VLOOKUP($B82,'A1.3.10'!$S$28:$AE$58,4,)="", 'Fuel consumption'!G$36=""),"",'Fuel consumption'!G$36 * VLOOKUP($B82,'A1.3.10'!$S$28:$AE$58,4,))))</f>
        <v/>
      </c>
      <c r="P82" s="610">
        <f>IF($B82&lt;'A1.3.10'!$S$28,"",IF($B82&gt;'A1.3.10'!$S$58,P81,IF(OR(VLOOKUP($B82,'A1.3.10'!$S$28:$AE$58,5,)="",'Fuel consumption'!D$29=""),"",'Fuel consumption'!D$29 * VLOOKUP($B82,'A1.3.10'!$S$28:$AE$58,5,))))</f>
        <v>0.23398100209323003</v>
      </c>
      <c r="Q82" s="611">
        <f>IF($B82&lt;'A1.3.10'!$S$28,"",IF($B82&gt;'A1.3.10'!$S$58,Q81,IF(OR(VLOOKUP($B82,'A1.3.10'!$S$28:$AE$58,5,)="",'Fuel consumption'!E$29=""),"",'Fuel consumption'!E$29 * VLOOKUP($B82,'A1.3.10'!$S$28:$AE$58,5,))))</f>
        <v>0.13120300165283155</v>
      </c>
      <c r="R82" s="611">
        <f>IF($B82&lt;'A1.3.10'!$S$28,"",IF($B82&gt;'A1.3.10'!$S$58,R81,IF(OR(VLOOKUP($B82,'A1.3.10'!$S$28:$AE$58,5,)="",'Fuel consumption'!F$29=""),"",'Fuel consumption'!F$29 * VLOOKUP($B82,'A1.3.10'!$S$28:$AE$58,5,))))</f>
        <v>-2.0594564659300405E-3</v>
      </c>
      <c r="S82" s="2642">
        <f>IF($B82&lt;'A1.3.10'!$S$28,"",IF($B82&gt;'A1.3.10'!$S$58,S81,IF(OR(VLOOKUP($B82,'A1.3.10'!$S$28:$AE$58,5,)="",'Fuel consumption'!G$29=""),"",'Fuel consumption'!G$29 * VLOOKUP($B82,'A1.3.10'!$S$28:$AE$58,5,))))</f>
        <v>1.3300046823685748E-5</v>
      </c>
      <c r="T82" s="610">
        <f>IF($B82&lt;'A1.3.10'!$S$28,"",IF($B82&gt;'A1.3.10'!$S$58,T81,IF(OR(VLOOKUP($B82,'A1.3.10'!$S$28:$AE$58,6,)="",'Fuel consumption'!D$30=""),"",'Fuel consumption'!D$30 * VLOOKUP($B82,'A1.3.10'!$S$28:$AE$58,6,))))</f>
        <v>0.3988609037344879</v>
      </c>
      <c r="U82" s="611">
        <f>IF($B82&lt;'A1.3.10'!$S$28,"",IF($B82&gt;'A1.3.10'!$S$58,U81,IF(OR(VLOOKUP($B82,'A1.3.10'!$S$28:$AE$58,6,)="",'Fuel consumption'!E$30=""),"",'Fuel consumption'!E$30 * VLOOKUP($B82,'A1.3.10'!$S$28:$AE$58,6,))))</f>
        <v>9.7483230363204512E-2</v>
      </c>
      <c r="V82" s="611">
        <f>IF($B82&lt;'A1.3.10'!$S$28,"",IF($B82&gt;'A1.3.10'!$S$58,V81,IF(OR(VLOOKUP($B82,'A1.3.10'!$S$28:$AE$58,6,)="",'Fuel consumption'!F$30=""),"",'Fuel consumption'!F$30 * VLOOKUP($B82,'A1.3.10'!$S$28:$AE$58,6,))))</f>
        <v>-1.4063727682028522E-3</v>
      </c>
      <c r="W82" s="2642">
        <f>IF($B82&lt;'A1.3.10'!$S$28,"",IF($B82&gt;'A1.3.10'!$S$58,W81,IF(OR(VLOOKUP($B82,'A1.3.10'!$S$28:$AE$58,6,)="",'Fuel consumption'!G$30=""),"",'Fuel consumption'!G$30 * VLOOKUP($B82,'A1.3.10'!$S$28:$AE$58,6,))))</f>
        <v>1.1906400891809692E-5</v>
      </c>
      <c r="X82" s="3144"/>
      <c r="Y82" s="2487">
        <f>IF($B82&lt;'A1.3.10'!$S$28,"",IF($B82&gt;'A1.3.10'!$S$58,Y81,IF(OR(VLOOKUP($B82,'A1.3.10'!$S$28:$AE$58,7,)="", 'Fuel consumption'!E$37=""),"",'Fuel consumption'!E$37 * VLOOKUP($B82,'A1.3.10'!$S$28:$AE$58,7,))))</f>
        <v>0.29149401103980166</v>
      </c>
      <c r="Z82" s="2642"/>
      <c r="AA82" s="2642"/>
      <c r="AB82" s="610">
        <f>IF($B82&lt;'A1.3.10'!$S$28,"",IF($B82&gt;'A1.3.10'!$S$58,AB81,IF(OR(VLOOKUP($B82,'A1.3.10'!$S$28:$AE$58,8,)="",'Fuel consumption'!D$31=""),"",'Fuel consumption'!D$31 * VLOOKUP($B82,'A1.3.10'!$S$28:$AE$58,8,))))</f>
        <v>2.6962848686626804</v>
      </c>
      <c r="AC82" s="611">
        <f>IF($B82&lt;'A1.3.10'!$S$28,"",IF($B82&gt;'A1.3.10'!$S$58,AC81,IF(OR(VLOOKUP($B82,'A1.3.10'!$S$28:$AE$58,8,)="",'Fuel consumption'!E$31=""),"",'Fuel consumption'!E$31 * VLOOKUP($B82,'A1.3.10'!$S$28:$AE$58,8,))))</f>
        <v>0.143057339771858</v>
      </c>
      <c r="AD82" s="611">
        <f>IF($B82&lt;'A1.3.10'!$S$28,"",IF($B82&gt;'A1.3.10'!$S$58,AD81,IF(OR(VLOOKUP($B82,'A1.3.10'!$S$28:$AE$58,8,)="",'Fuel consumption'!F$31=""),"",'Fuel consumption'!F$31 * VLOOKUP($B82,'A1.3.10'!$S$28:$AE$58,8,))))</f>
        <v>-1.0340193601785499E-3</v>
      </c>
      <c r="AE82" s="2642">
        <f>IF($B82&lt;'A1.3.10'!$S$28,"",IF($B82&gt;'A1.3.10'!$S$58,AE81,IF(OR(VLOOKUP($B82,'A1.3.10'!$S$28:$AE$58,8,)="",'Fuel consumption'!G$31=""),"",'Fuel consumption'!G$31 * VLOOKUP($B82,'A1.3.10'!$S$28:$AE$58,8,))))</f>
        <v>1.1293150500864199E-5</v>
      </c>
      <c r="AF82" s="610">
        <f>IF($B82&lt;'A1.3.10'!$S$28,"",IF($B82&gt;'A1.3.10'!$S$58,AF81,IF(OR(VLOOKUP($B82,'A1.3.10'!$S$28:$AE$58,10,)="",'Fuel consumption'!D$32=""),"",'Fuel consumption'!D$32 * VLOOKUP($B82,'A1.3.10'!$S$28:$AE$58,10,))))</f>
        <v>5.6655970981789903</v>
      </c>
      <c r="AG82" s="611">
        <f>IF($B82&lt;'A1.3.10'!$S$28,"",IF($B82&gt;'A1.3.10'!$S$58,AG81,IF(OR(VLOOKUP($B82,'A1.3.10'!$S$28:$AE$58,10,)="",'Fuel consumption'!E$32=""),"",'Fuel consumption'!E$32 * VLOOKUP($B82,'A1.3.10'!$S$28:$AE$58,10,))))</f>
        <v>0.29422449618924201</v>
      </c>
      <c r="AH82" s="611">
        <f>IF($B82&lt;'A1.3.10'!$S$28,"",IF($B82&gt;'A1.3.10'!$S$58,AH81,IF(OR(VLOOKUP($B82,'A1.3.10'!$S$28:$AE$58,10,)="",'Fuel consumption'!F$32=""),"",'Fuel consumption'!F$32 * VLOOKUP($B82,'A1.3.10'!$S$28:$AE$58,10,))))</f>
        <v>-1.9493920679616401E-3</v>
      </c>
      <c r="AI82" s="1578">
        <f>IF($B82&lt;'A1.3.10'!$S$28,"",IF($B82&gt;'A1.3.10'!$S$58,AI81,IF(OR(VLOOKUP($B82,'A1.3.10'!$S$28:$AE$58,10,)="",'Fuel consumption'!G$32=""),"",'Fuel consumption'!G$32 * VLOOKUP($B82,'A1.3.10'!$S$28:$AE$58,10,))))</f>
        <v>1.1619187345164999E-5</v>
      </c>
      <c r="AJ82" s="610">
        <f>IF($B82&lt;'A1.3.10'!$S$28,"",IF($B82&gt;'A1.3.10'!$S$58,AJ81,IF(OR(VLOOKUP($B82,'A1.3.10'!$S$28:$AE$58,12,)="",'Fuel consumption'!D$33=""),"",'Fuel consumption'!D$33 * VLOOKUP($B82,'A1.3.10'!$S$28:$AE$58,12,))))</f>
        <v>3.3601870156891001</v>
      </c>
      <c r="AK82" s="611">
        <f>IF($B82&lt;'A1.3.10'!$S$28,"",IF($B82&gt;'A1.3.10'!$S$58,AK81,IF(OR(VLOOKUP($B82,'A1.3.10'!$S$28:$AE$58,12,)="",'Fuel consumption'!E$33=""),"",'Fuel consumption'!E$33 * VLOOKUP($B82,'A1.3.10'!$S$28:$AE$58,12,))))</f>
        <v>0.29524938703213599</v>
      </c>
      <c r="AL82" s="611">
        <f>IF($B82&lt;'A1.3.10'!$S$28,"",IF($B82&gt;'A1.3.10'!$S$58,AL81,IF(OR(VLOOKUP($B82,'A1.3.10'!$S$28:$AE$58,12,)="",'Fuel consumption'!F$33=""),"",'Fuel consumption'!F$33 * VLOOKUP($B82,'A1.3.10'!$S$28:$AE$58,12,))))</f>
        <v>-3.20909768342738E-3</v>
      </c>
      <c r="AM82" s="1578">
        <f>IF($B82&lt;'A1.3.10'!$S$28,"",IF($B82&gt;'A1.3.10'!$S$58,AM81,IF(OR(VLOOKUP($B82,'A1.3.10'!$S$28:$AE$58,12,)="",'Fuel consumption'!G$33=""),"",'Fuel consumption'!G$33 * VLOOKUP($B82,'A1.3.10'!$S$28:$AE$58,12,))))</f>
        <v>2.3540043227716499E-5</v>
      </c>
    </row>
    <row r="83" spans="1:39" ht="13.5" customHeight="1">
      <c r="A83" s="623"/>
      <c r="B83" s="614">
        <f t="shared" si="3"/>
        <v>2067</v>
      </c>
      <c r="C83" s="609"/>
      <c r="D83" s="2484">
        <f>IF($B83&lt;'A1.3.10'!$S$28,"",IF($B83&gt;'A1.3.10'!$S$58,D82,IF(OR(VLOOKUP($B83,'A1.3.10'!$S$28:$AE$58,2,)="",'Fuel consumption'!D$27=""),"",'Fuel consumption'!D$27 * VLOOKUP($B83,'A1.3.10'!$S$28:$AE$58,2,))))</f>
        <v>0.32527491364024624</v>
      </c>
      <c r="E83" s="2485">
        <f>IF($B83&lt;'A1.3.10'!$S$28,"",IF($B83&gt;'A1.3.10'!$S$58,E82,IF(OR(VLOOKUP($B83,'A1.3.10'!$S$28:$AE$58,2,)="",'Fuel consumption'!E$27=""),"",'Fuel consumption'!E$27 * VLOOKUP($B83,'A1.3.10'!$S$28:$AE$58,2,))))</f>
        <v>6.9126195403069218E-2</v>
      </c>
      <c r="F83" s="2485">
        <f>IF($B83&lt;'A1.3.10'!$S$28,"",IF($B83&gt;'A1.3.10'!$S$58,F82,IF(OR(VLOOKUP($B83,'A1.3.10'!$S$28:$AE$58,2,)="",'Fuel consumption'!F$27=""),"",'Fuel consumption'!F$27 * VLOOKUP($B83,'A1.3.10'!$S$28:$AE$58,2,))))</f>
        <v>-7.8742934140708519E-4</v>
      </c>
      <c r="G83" s="2642">
        <f>IF($B83&lt;'A1.3.10'!$S$28,"",IF($B83&gt;'A1.3.10'!$S$58,G82,IF(OR(VLOOKUP($B83,'A1.3.10'!$S$28:$AE$58,2,)="",'Fuel consumption'!G$27=""),"",'Fuel consumption'!G$27 * VLOOKUP($B83,'A1.3.10'!$S$28:$AE$58,2,))))</f>
        <v>5.2150811705064693E-6</v>
      </c>
      <c r="H83" s="2486">
        <f>IF($B83&lt;'A1.3.10'!$S$28,"",IF($B83&gt;'A1.3.10'!$S$58,H82,IF(OR(VLOOKUP($B83,'A1.3.10'!$S$28:$AE$58,3,)="",'Fuel consumption'!D$28=""),"",'Fuel consumption'!D$28  * VLOOKUP($B83,'A1.3.10'!$S$28:$AE$58,3,))))</f>
        <v>0.38728007442052015</v>
      </c>
      <c r="I83" s="2487">
        <f>IF($B83&lt;'A1.3.10'!$S$28,"",IF($B83&gt;'A1.3.10'!$S$58,I82,IF(OR(VLOOKUP($B83,'A1.3.10'!$S$28:$AE$58,3,)="",'Fuel consumption'!E$28=""),"",'Fuel consumption'!E$28  * VLOOKUP($B83,'A1.3.10'!$S$28:$AE$58,3,))))</f>
        <v>5.5526385246550972E-2</v>
      </c>
      <c r="J83" s="2487">
        <f>IF($B83&lt;'A1.3.10'!$S$28,"",IF($B83&gt;'A1.3.10'!$S$58,J82,IF(OR(VLOOKUP($B83,'A1.3.10'!$S$28:$AE$58,3,)="",'Fuel consumption'!F$28=""),"",'Fuel consumption'!F$28  * VLOOKUP($B83,'A1.3.10'!$S$28:$AE$58,3,))))</f>
        <v>-5.3417929464962704E-4</v>
      </c>
      <c r="K83" s="2642">
        <f>IF($B83&lt;'A1.3.10'!$S$28,"",IF($B83&gt;'A1.3.10'!$S$58,K82,IF(OR(VLOOKUP($B83,'A1.3.10'!$S$28:$AE$58,3,)="",'Fuel consumption'!G$28=""),"",'Fuel consumption'!G$28  * VLOOKUP($B83,'A1.3.10'!$S$28:$AE$58,3,))))</f>
        <v>4.2093596420141842E-6</v>
      </c>
      <c r="L83" s="2486" t="str">
        <f>IF($B83&lt;'A1.3.10'!$S$28,"",IF($B83&gt;'A1.3.10'!$S$58,L82,IF(OR(VLOOKUP($B83,'A1.3.10'!$S$28:$AE$58,4,)="", 'Fuel consumption'!D$36=""),"",'Fuel consumption'!D$36 * VLOOKUP($B83,'A1.3.10'!$S$28:$AE$58,4,))))</f>
        <v/>
      </c>
      <c r="M83" s="2487">
        <f>IF($B83&lt;'A1.3.10'!$S$28,"",IF($B83&gt;'A1.3.10'!$S$58,M82,IF(OR(VLOOKUP($B83,'A1.3.10'!$S$28:$AE$58,4,)="", 'Fuel consumption'!E$36=""),"",'Fuel consumption'!E$36 * VLOOKUP($B83,'A1.3.10'!$S$28:$AE$58,4,))))</f>
        <v>0.12679510393803953</v>
      </c>
      <c r="N83" s="614" t="str">
        <f>IF($B83&lt;'A1.3.10'!$S$28,"",IF($B83&gt;'A1.3.10'!$S$58,N82,IF(OR(VLOOKUP($B83,'A1.3.10'!$S$28:$AE$58,4,)="", 'Fuel consumption'!F$36=""),"",'Fuel consumption'!F$36 * VLOOKUP($B83,'A1.3.10'!$S$28:$AE$58,4,))))</f>
        <v/>
      </c>
      <c r="O83" s="612" t="str">
        <f>IF($B83&lt;'A1.3.10'!$S$28,"",IF($B83&gt;'A1.3.10'!$S$58,O82,IF(OR(VLOOKUP($B83,'A1.3.10'!$S$28:$AE$58,4,)="", 'Fuel consumption'!G$36=""),"",'Fuel consumption'!G$36 * VLOOKUP($B83,'A1.3.10'!$S$28:$AE$58,4,))))</f>
        <v/>
      </c>
      <c r="P83" s="610">
        <f>IF($B83&lt;'A1.3.10'!$S$28,"",IF($B83&gt;'A1.3.10'!$S$58,P82,IF(OR(VLOOKUP($B83,'A1.3.10'!$S$28:$AE$58,5,)="",'Fuel consumption'!D$29=""),"",'Fuel consumption'!D$29 * VLOOKUP($B83,'A1.3.10'!$S$28:$AE$58,5,))))</f>
        <v>0.23398100209323003</v>
      </c>
      <c r="Q83" s="611">
        <f>IF($B83&lt;'A1.3.10'!$S$28,"",IF($B83&gt;'A1.3.10'!$S$58,Q82,IF(OR(VLOOKUP($B83,'A1.3.10'!$S$28:$AE$58,5,)="",'Fuel consumption'!E$29=""),"",'Fuel consumption'!E$29 * VLOOKUP($B83,'A1.3.10'!$S$28:$AE$58,5,))))</f>
        <v>0.13120300165283155</v>
      </c>
      <c r="R83" s="611">
        <f>IF($B83&lt;'A1.3.10'!$S$28,"",IF($B83&gt;'A1.3.10'!$S$58,R82,IF(OR(VLOOKUP($B83,'A1.3.10'!$S$28:$AE$58,5,)="",'Fuel consumption'!F$29=""),"",'Fuel consumption'!F$29 * VLOOKUP($B83,'A1.3.10'!$S$28:$AE$58,5,))))</f>
        <v>-2.0594564659300405E-3</v>
      </c>
      <c r="S83" s="2642">
        <f>IF($B83&lt;'A1.3.10'!$S$28,"",IF($B83&gt;'A1.3.10'!$S$58,S82,IF(OR(VLOOKUP($B83,'A1.3.10'!$S$28:$AE$58,5,)="",'Fuel consumption'!G$29=""),"",'Fuel consumption'!G$29 * VLOOKUP($B83,'A1.3.10'!$S$28:$AE$58,5,))))</f>
        <v>1.3300046823685748E-5</v>
      </c>
      <c r="T83" s="610">
        <f>IF($B83&lt;'A1.3.10'!$S$28,"",IF($B83&gt;'A1.3.10'!$S$58,T82,IF(OR(VLOOKUP($B83,'A1.3.10'!$S$28:$AE$58,6,)="",'Fuel consumption'!D$30=""),"",'Fuel consumption'!D$30 * VLOOKUP($B83,'A1.3.10'!$S$28:$AE$58,6,))))</f>
        <v>0.3988609037344879</v>
      </c>
      <c r="U83" s="611">
        <f>IF($B83&lt;'A1.3.10'!$S$28,"",IF($B83&gt;'A1.3.10'!$S$58,U82,IF(OR(VLOOKUP($B83,'A1.3.10'!$S$28:$AE$58,6,)="",'Fuel consumption'!E$30=""),"",'Fuel consumption'!E$30 * VLOOKUP($B83,'A1.3.10'!$S$28:$AE$58,6,))))</f>
        <v>9.7483230363204512E-2</v>
      </c>
      <c r="V83" s="611">
        <f>IF($B83&lt;'A1.3.10'!$S$28,"",IF($B83&gt;'A1.3.10'!$S$58,V82,IF(OR(VLOOKUP($B83,'A1.3.10'!$S$28:$AE$58,6,)="",'Fuel consumption'!F$30=""),"",'Fuel consumption'!F$30 * VLOOKUP($B83,'A1.3.10'!$S$28:$AE$58,6,))))</f>
        <v>-1.4063727682028522E-3</v>
      </c>
      <c r="W83" s="2642">
        <f>IF($B83&lt;'A1.3.10'!$S$28,"",IF($B83&gt;'A1.3.10'!$S$58,W82,IF(OR(VLOOKUP($B83,'A1.3.10'!$S$28:$AE$58,6,)="",'Fuel consumption'!G$30=""),"",'Fuel consumption'!G$30 * VLOOKUP($B83,'A1.3.10'!$S$28:$AE$58,6,))))</f>
        <v>1.1906400891809692E-5</v>
      </c>
      <c r="X83" s="3144"/>
      <c r="Y83" s="2487">
        <f>IF($B83&lt;'A1.3.10'!$S$28,"",IF($B83&gt;'A1.3.10'!$S$58,Y82,IF(OR(VLOOKUP($B83,'A1.3.10'!$S$28:$AE$58,7,)="", 'Fuel consumption'!E$37=""),"",'Fuel consumption'!E$37 * VLOOKUP($B83,'A1.3.10'!$S$28:$AE$58,7,))))</f>
        <v>0.29149401103980166</v>
      </c>
      <c r="Z83" s="2642"/>
      <c r="AA83" s="2642"/>
      <c r="AB83" s="610">
        <f>IF($B83&lt;'A1.3.10'!$S$28,"",IF($B83&gt;'A1.3.10'!$S$58,AB82,IF(OR(VLOOKUP($B83,'A1.3.10'!$S$28:$AE$58,8,)="",'Fuel consumption'!D$31=""),"",'Fuel consumption'!D$31 * VLOOKUP($B83,'A1.3.10'!$S$28:$AE$58,8,))))</f>
        <v>2.6962848686626804</v>
      </c>
      <c r="AC83" s="611">
        <f>IF($B83&lt;'A1.3.10'!$S$28,"",IF($B83&gt;'A1.3.10'!$S$58,AC82,IF(OR(VLOOKUP($B83,'A1.3.10'!$S$28:$AE$58,8,)="",'Fuel consumption'!E$31=""),"",'Fuel consumption'!E$31 * VLOOKUP($B83,'A1.3.10'!$S$28:$AE$58,8,))))</f>
        <v>0.143057339771858</v>
      </c>
      <c r="AD83" s="611">
        <f>IF($B83&lt;'A1.3.10'!$S$28,"",IF($B83&gt;'A1.3.10'!$S$58,AD82,IF(OR(VLOOKUP($B83,'A1.3.10'!$S$28:$AE$58,8,)="",'Fuel consumption'!F$31=""),"",'Fuel consumption'!F$31 * VLOOKUP($B83,'A1.3.10'!$S$28:$AE$58,8,))))</f>
        <v>-1.0340193601785499E-3</v>
      </c>
      <c r="AE83" s="2642">
        <f>IF($B83&lt;'A1.3.10'!$S$28,"",IF($B83&gt;'A1.3.10'!$S$58,AE82,IF(OR(VLOOKUP($B83,'A1.3.10'!$S$28:$AE$58,8,)="",'Fuel consumption'!G$31=""),"",'Fuel consumption'!G$31 * VLOOKUP($B83,'A1.3.10'!$S$28:$AE$58,8,))))</f>
        <v>1.1293150500864199E-5</v>
      </c>
      <c r="AF83" s="610">
        <f>IF($B83&lt;'A1.3.10'!$S$28,"",IF($B83&gt;'A1.3.10'!$S$58,AF82,IF(OR(VLOOKUP($B83,'A1.3.10'!$S$28:$AE$58,10,)="",'Fuel consumption'!D$32=""),"",'Fuel consumption'!D$32 * VLOOKUP($B83,'A1.3.10'!$S$28:$AE$58,10,))))</f>
        <v>5.6655970981789903</v>
      </c>
      <c r="AG83" s="611">
        <f>IF($B83&lt;'A1.3.10'!$S$28,"",IF($B83&gt;'A1.3.10'!$S$58,AG82,IF(OR(VLOOKUP($B83,'A1.3.10'!$S$28:$AE$58,10,)="",'Fuel consumption'!E$32=""),"",'Fuel consumption'!E$32 * VLOOKUP($B83,'A1.3.10'!$S$28:$AE$58,10,))))</f>
        <v>0.29422449618924201</v>
      </c>
      <c r="AH83" s="611">
        <f>IF($B83&lt;'A1.3.10'!$S$28,"",IF($B83&gt;'A1.3.10'!$S$58,AH82,IF(OR(VLOOKUP($B83,'A1.3.10'!$S$28:$AE$58,10,)="",'Fuel consumption'!F$32=""),"",'Fuel consumption'!F$32 * VLOOKUP($B83,'A1.3.10'!$S$28:$AE$58,10,))))</f>
        <v>-1.9493920679616401E-3</v>
      </c>
      <c r="AI83" s="1578">
        <f>IF($B83&lt;'A1.3.10'!$S$28,"",IF($B83&gt;'A1.3.10'!$S$58,AI82,IF(OR(VLOOKUP($B83,'A1.3.10'!$S$28:$AE$58,10,)="",'Fuel consumption'!G$32=""),"",'Fuel consumption'!G$32 * VLOOKUP($B83,'A1.3.10'!$S$28:$AE$58,10,))))</f>
        <v>1.1619187345164999E-5</v>
      </c>
      <c r="AJ83" s="610">
        <f>IF($B83&lt;'A1.3.10'!$S$28,"",IF($B83&gt;'A1.3.10'!$S$58,AJ82,IF(OR(VLOOKUP($B83,'A1.3.10'!$S$28:$AE$58,12,)="",'Fuel consumption'!D$33=""),"",'Fuel consumption'!D$33 * VLOOKUP($B83,'A1.3.10'!$S$28:$AE$58,12,))))</f>
        <v>3.3601870156891001</v>
      </c>
      <c r="AK83" s="611">
        <f>IF($B83&lt;'A1.3.10'!$S$28,"",IF($B83&gt;'A1.3.10'!$S$58,AK82,IF(OR(VLOOKUP($B83,'A1.3.10'!$S$28:$AE$58,12,)="",'Fuel consumption'!E$33=""),"",'Fuel consumption'!E$33 * VLOOKUP($B83,'A1.3.10'!$S$28:$AE$58,12,))))</f>
        <v>0.29524938703213599</v>
      </c>
      <c r="AL83" s="611">
        <f>IF($B83&lt;'A1.3.10'!$S$28,"",IF($B83&gt;'A1.3.10'!$S$58,AL82,IF(OR(VLOOKUP($B83,'A1.3.10'!$S$28:$AE$58,12,)="",'Fuel consumption'!F$33=""),"",'Fuel consumption'!F$33 * VLOOKUP($B83,'A1.3.10'!$S$28:$AE$58,12,))))</f>
        <v>-3.20909768342738E-3</v>
      </c>
      <c r="AM83" s="1578">
        <f>IF($B83&lt;'A1.3.10'!$S$28,"",IF($B83&gt;'A1.3.10'!$S$58,AM82,IF(OR(VLOOKUP($B83,'A1.3.10'!$S$28:$AE$58,12,)="",'Fuel consumption'!G$33=""),"",'Fuel consumption'!G$33 * VLOOKUP($B83,'A1.3.10'!$S$28:$AE$58,12,))))</f>
        <v>2.3540043227716499E-5</v>
      </c>
    </row>
    <row r="84" spans="1:39" ht="13.5" customHeight="1">
      <c r="A84" s="623"/>
      <c r="B84" s="614">
        <f t="shared" si="3"/>
        <v>2068</v>
      </c>
      <c r="C84" s="609"/>
      <c r="D84" s="2484">
        <f>IF($B84&lt;'A1.3.10'!$S$28,"",IF($B84&gt;'A1.3.10'!$S$58,D83,IF(OR(VLOOKUP($B84,'A1.3.10'!$S$28:$AE$58,2,)="",'Fuel consumption'!D$27=""),"",'Fuel consumption'!D$27 * VLOOKUP($B84,'A1.3.10'!$S$28:$AE$58,2,))))</f>
        <v>0.32527491364024624</v>
      </c>
      <c r="E84" s="2485">
        <f>IF($B84&lt;'A1.3.10'!$S$28,"",IF($B84&gt;'A1.3.10'!$S$58,E83,IF(OR(VLOOKUP($B84,'A1.3.10'!$S$28:$AE$58,2,)="",'Fuel consumption'!E$27=""),"",'Fuel consumption'!E$27 * VLOOKUP($B84,'A1.3.10'!$S$28:$AE$58,2,))))</f>
        <v>6.9126195403069218E-2</v>
      </c>
      <c r="F84" s="2485">
        <f>IF($B84&lt;'A1.3.10'!$S$28,"",IF($B84&gt;'A1.3.10'!$S$58,F83,IF(OR(VLOOKUP($B84,'A1.3.10'!$S$28:$AE$58,2,)="",'Fuel consumption'!F$27=""),"",'Fuel consumption'!F$27 * VLOOKUP($B84,'A1.3.10'!$S$28:$AE$58,2,))))</f>
        <v>-7.8742934140708519E-4</v>
      </c>
      <c r="G84" s="2642">
        <f>IF($B84&lt;'A1.3.10'!$S$28,"",IF($B84&gt;'A1.3.10'!$S$58,G83,IF(OR(VLOOKUP($B84,'A1.3.10'!$S$28:$AE$58,2,)="",'Fuel consumption'!G$27=""),"",'Fuel consumption'!G$27 * VLOOKUP($B84,'A1.3.10'!$S$28:$AE$58,2,))))</f>
        <v>5.2150811705064693E-6</v>
      </c>
      <c r="H84" s="2486">
        <f>IF($B84&lt;'A1.3.10'!$S$28,"",IF($B84&gt;'A1.3.10'!$S$58,H83,IF(OR(VLOOKUP($B84,'A1.3.10'!$S$28:$AE$58,3,)="",'Fuel consumption'!D$28=""),"",'Fuel consumption'!D$28  * VLOOKUP($B84,'A1.3.10'!$S$28:$AE$58,3,))))</f>
        <v>0.38728007442052015</v>
      </c>
      <c r="I84" s="2487">
        <f>IF($B84&lt;'A1.3.10'!$S$28,"",IF($B84&gt;'A1.3.10'!$S$58,I83,IF(OR(VLOOKUP($B84,'A1.3.10'!$S$28:$AE$58,3,)="",'Fuel consumption'!E$28=""),"",'Fuel consumption'!E$28  * VLOOKUP($B84,'A1.3.10'!$S$28:$AE$58,3,))))</f>
        <v>5.5526385246550972E-2</v>
      </c>
      <c r="J84" s="2487">
        <f>IF($B84&lt;'A1.3.10'!$S$28,"",IF($B84&gt;'A1.3.10'!$S$58,J83,IF(OR(VLOOKUP($B84,'A1.3.10'!$S$28:$AE$58,3,)="",'Fuel consumption'!F$28=""),"",'Fuel consumption'!F$28  * VLOOKUP($B84,'A1.3.10'!$S$28:$AE$58,3,))))</f>
        <v>-5.3417929464962704E-4</v>
      </c>
      <c r="K84" s="2642">
        <f>IF($B84&lt;'A1.3.10'!$S$28,"",IF($B84&gt;'A1.3.10'!$S$58,K83,IF(OR(VLOOKUP($B84,'A1.3.10'!$S$28:$AE$58,3,)="",'Fuel consumption'!G$28=""),"",'Fuel consumption'!G$28  * VLOOKUP($B84,'A1.3.10'!$S$28:$AE$58,3,))))</f>
        <v>4.2093596420141842E-6</v>
      </c>
      <c r="L84" s="2486" t="str">
        <f>IF($B84&lt;'A1.3.10'!$S$28,"",IF($B84&gt;'A1.3.10'!$S$58,L83,IF(OR(VLOOKUP($B84,'A1.3.10'!$S$28:$AE$58,4,)="", 'Fuel consumption'!D$36=""),"",'Fuel consumption'!D$36 * VLOOKUP($B84,'A1.3.10'!$S$28:$AE$58,4,))))</f>
        <v/>
      </c>
      <c r="M84" s="2487">
        <f>IF($B84&lt;'A1.3.10'!$S$28,"",IF($B84&gt;'A1.3.10'!$S$58,M83,IF(OR(VLOOKUP($B84,'A1.3.10'!$S$28:$AE$58,4,)="", 'Fuel consumption'!E$36=""),"",'Fuel consumption'!E$36 * VLOOKUP($B84,'A1.3.10'!$S$28:$AE$58,4,))))</f>
        <v>0.12679510393803953</v>
      </c>
      <c r="N84" s="614" t="str">
        <f>IF($B84&lt;'A1.3.10'!$S$28,"",IF($B84&gt;'A1.3.10'!$S$58,N83,IF(OR(VLOOKUP($B84,'A1.3.10'!$S$28:$AE$58,4,)="", 'Fuel consumption'!F$36=""),"",'Fuel consumption'!F$36 * VLOOKUP($B84,'A1.3.10'!$S$28:$AE$58,4,))))</f>
        <v/>
      </c>
      <c r="O84" s="612" t="str">
        <f>IF($B84&lt;'A1.3.10'!$S$28,"",IF($B84&gt;'A1.3.10'!$S$58,O83,IF(OR(VLOOKUP($B84,'A1.3.10'!$S$28:$AE$58,4,)="", 'Fuel consumption'!G$36=""),"",'Fuel consumption'!G$36 * VLOOKUP($B84,'A1.3.10'!$S$28:$AE$58,4,))))</f>
        <v/>
      </c>
      <c r="P84" s="610">
        <f>IF($B84&lt;'A1.3.10'!$S$28,"",IF($B84&gt;'A1.3.10'!$S$58,P83,IF(OR(VLOOKUP($B84,'A1.3.10'!$S$28:$AE$58,5,)="",'Fuel consumption'!D$29=""),"",'Fuel consumption'!D$29 * VLOOKUP($B84,'A1.3.10'!$S$28:$AE$58,5,))))</f>
        <v>0.23398100209323003</v>
      </c>
      <c r="Q84" s="611">
        <f>IF($B84&lt;'A1.3.10'!$S$28,"",IF($B84&gt;'A1.3.10'!$S$58,Q83,IF(OR(VLOOKUP($B84,'A1.3.10'!$S$28:$AE$58,5,)="",'Fuel consumption'!E$29=""),"",'Fuel consumption'!E$29 * VLOOKUP($B84,'A1.3.10'!$S$28:$AE$58,5,))))</f>
        <v>0.13120300165283155</v>
      </c>
      <c r="R84" s="611">
        <f>IF($B84&lt;'A1.3.10'!$S$28,"",IF($B84&gt;'A1.3.10'!$S$58,R83,IF(OR(VLOOKUP($B84,'A1.3.10'!$S$28:$AE$58,5,)="",'Fuel consumption'!F$29=""),"",'Fuel consumption'!F$29 * VLOOKUP($B84,'A1.3.10'!$S$28:$AE$58,5,))))</f>
        <v>-2.0594564659300405E-3</v>
      </c>
      <c r="S84" s="2642">
        <f>IF($B84&lt;'A1.3.10'!$S$28,"",IF($B84&gt;'A1.3.10'!$S$58,S83,IF(OR(VLOOKUP($B84,'A1.3.10'!$S$28:$AE$58,5,)="",'Fuel consumption'!G$29=""),"",'Fuel consumption'!G$29 * VLOOKUP($B84,'A1.3.10'!$S$28:$AE$58,5,))))</f>
        <v>1.3300046823685748E-5</v>
      </c>
      <c r="T84" s="610">
        <f>IF($B84&lt;'A1.3.10'!$S$28,"",IF($B84&gt;'A1.3.10'!$S$58,T83,IF(OR(VLOOKUP($B84,'A1.3.10'!$S$28:$AE$58,6,)="",'Fuel consumption'!D$30=""),"",'Fuel consumption'!D$30 * VLOOKUP($B84,'A1.3.10'!$S$28:$AE$58,6,))))</f>
        <v>0.3988609037344879</v>
      </c>
      <c r="U84" s="611">
        <f>IF($B84&lt;'A1.3.10'!$S$28,"",IF($B84&gt;'A1.3.10'!$S$58,U83,IF(OR(VLOOKUP($B84,'A1.3.10'!$S$28:$AE$58,6,)="",'Fuel consumption'!E$30=""),"",'Fuel consumption'!E$30 * VLOOKUP($B84,'A1.3.10'!$S$28:$AE$58,6,))))</f>
        <v>9.7483230363204512E-2</v>
      </c>
      <c r="V84" s="611">
        <f>IF($B84&lt;'A1.3.10'!$S$28,"",IF($B84&gt;'A1.3.10'!$S$58,V83,IF(OR(VLOOKUP($B84,'A1.3.10'!$S$28:$AE$58,6,)="",'Fuel consumption'!F$30=""),"",'Fuel consumption'!F$30 * VLOOKUP($B84,'A1.3.10'!$S$28:$AE$58,6,))))</f>
        <v>-1.4063727682028522E-3</v>
      </c>
      <c r="W84" s="2642">
        <f>IF($B84&lt;'A1.3.10'!$S$28,"",IF($B84&gt;'A1.3.10'!$S$58,W83,IF(OR(VLOOKUP($B84,'A1.3.10'!$S$28:$AE$58,6,)="",'Fuel consumption'!G$30=""),"",'Fuel consumption'!G$30 * VLOOKUP($B84,'A1.3.10'!$S$28:$AE$58,6,))))</f>
        <v>1.1906400891809692E-5</v>
      </c>
      <c r="X84" s="3144"/>
      <c r="Y84" s="2487">
        <f>IF($B84&lt;'A1.3.10'!$S$28,"",IF($B84&gt;'A1.3.10'!$S$58,Y83,IF(OR(VLOOKUP($B84,'A1.3.10'!$S$28:$AE$58,7,)="", 'Fuel consumption'!E$37=""),"",'Fuel consumption'!E$37 * VLOOKUP($B84,'A1.3.10'!$S$28:$AE$58,7,))))</f>
        <v>0.29149401103980166</v>
      </c>
      <c r="Z84" s="2642"/>
      <c r="AA84" s="2642"/>
      <c r="AB84" s="610">
        <f>IF($B84&lt;'A1.3.10'!$S$28,"",IF($B84&gt;'A1.3.10'!$S$58,AB83,IF(OR(VLOOKUP($B84,'A1.3.10'!$S$28:$AE$58,8,)="",'Fuel consumption'!D$31=""),"",'Fuel consumption'!D$31 * VLOOKUP($B84,'A1.3.10'!$S$28:$AE$58,8,))))</f>
        <v>2.6962848686626804</v>
      </c>
      <c r="AC84" s="611">
        <f>IF($B84&lt;'A1.3.10'!$S$28,"",IF($B84&gt;'A1.3.10'!$S$58,AC83,IF(OR(VLOOKUP($B84,'A1.3.10'!$S$28:$AE$58,8,)="",'Fuel consumption'!E$31=""),"",'Fuel consumption'!E$31 * VLOOKUP($B84,'A1.3.10'!$S$28:$AE$58,8,))))</f>
        <v>0.143057339771858</v>
      </c>
      <c r="AD84" s="611">
        <f>IF($B84&lt;'A1.3.10'!$S$28,"",IF($B84&gt;'A1.3.10'!$S$58,AD83,IF(OR(VLOOKUP($B84,'A1.3.10'!$S$28:$AE$58,8,)="",'Fuel consumption'!F$31=""),"",'Fuel consumption'!F$31 * VLOOKUP($B84,'A1.3.10'!$S$28:$AE$58,8,))))</f>
        <v>-1.0340193601785499E-3</v>
      </c>
      <c r="AE84" s="2642">
        <f>IF($B84&lt;'A1.3.10'!$S$28,"",IF($B84&gt;'A1.3.10'!$S$58,AE83,IF(OR(VLOOKUP($B84,'A1.3.10'!$S$28:$AE$58,8,)="",'Fuel consumption'!G$31=""),"",'Fuel consumption'!G$31 * VLOOKUP($B84,'A1.3.10'!$S$28:$AE$58,8,))))</f>
        <v>1.1293150500864199E-5</v>
      </c>
      <c r="AF84" s="610">
        <f>IF($B84&lt;'A1.3.10'!$S$28,"",IF($B84&gt;'A1.3.10'!$S$58,AF83,IF(OR(VLOOKUP($B84,'A1.3.10'!$S$28:$AE$58,10,)="",'Fuel consumption'!D$32=""),"",'Fuel consumption'!D$32 * VLOOKUP($B84,'A1.3.10'!$S$28:$AE$58,10,))))</f>
        <v>5.6655970981789903</v>
      </c>
      <c r="AG84" s="611">
        <f>IF($B84&lt;'A1.3.10'!$S$28,"",IF($B84&gt;'A1.3.10'!$S$58,AG83,IF(OR(VLOOKUP($B84,'A1.3.10'!$S$28:$AE$58,10,)="",'Fuel consumption'!E$32=""),"",'Fuel consumption'!E$32 * VLOOKUP($B84,'A1.3.10'!$S$28:$AE$58,10,))))</f>
        <v>0.29422449618924201</v>
      </c>
      <c r="AH84" s="611">
        <f>IF($B84&lt;'A1.3.10'!$S$28,"",IF($B84&gt;'A1.3.10'!$S$58,AH83,IF(OR(VLOOKUP($B84,'A1.3.10'!$S$28:$AE$58,10,)="",'Fuel consumption'!F$32=""),"",'Fuel consumption'!F$32 * VLOOKUP($B84,'A1.3.10'!$S$28:$AE$58,10,))))</f>
        <v>-1.9493920679616401E-3</v>
      </c>
      <c r="AI84" s="1578">
        <f>IF($B84&lt;'A1.3.10'!$S$28,"",IF($B84&gt;'A1.3.10'!$S$58,AI83,IF(OR(VLOOKUP($B84,'A1.3.10'!$S$28:$AE$58,10,)="",'Fuel consumption'!G$32=""),"",'Fuel consumption'!G$32 * VLOOKUP($B84,'A1.3.10'!$S$28:$AE$58,10,))))</f>
        <v>1.1619187345164999E-5</v>
      </c>
      <c r="AJ84" s="610">
        <f>IF($B84&lt;'A1.3.10'!$S$28,"",IF($B84&gt;'A1.3.10'!$S$58,AJ83,IF(OR(VLOOKUP($B84,'A1.3.10'!$S$28:$AE$58,12,)="",'Fuel consumption'!D$33=""),"",'Fuel consumption'!D$33 * VLOOKUP($B84,'A1.3.10'!$S$28:$AE$58,12,))))</f>
        <v>3.3601870156891001</v>
      </c>
      <c r="AK84" s="611">
        <f>IF($B84&lt;'A1.3.10'!$S$28,"",IF($B84&gt;'A1.3.10'!$S$58,AK83,IF(OR(VLOOKUP($B84,'A1.3.10'!$S$28:$AE$58,12,)="",'Fuel consumption'!E$33=""),"",'Fuel consumption'!E$33 * VLOOKUP($B84,'A1.3.10'!$S$28:$AE$58,12,))))</f>
        <v>0.29524938703213599</v>
      </c>
      <c r="AL84" s="611">
        <f>IF($B84&lt;'A1.3.10'!$S$28,"",IF($B84&gt;'A1.3.10'!$S$58,AL83,IF(OR(VLOOKUP($B84,'A1.3.10'!$S$28:$AE$58,12,)="",'Fuel consumption'!F$33=""),"",'Fuel consumption'!F$33 * VLOOKUP($B84,'A1.3.10'!$S$28:$AE$58,12,))))</f>
        <v>-3.20909768342738E-3</v>
      </c>
      <c r="AM84" s="1578">
        <f>IF($B84&lt;'A1.3.10'!$S$28,"",IF($B84&gt;'A1.3.10'!$S$58,AM83,IF(OR(VLOOKUP($B84,'A1.3.10'!$S$28:$AE$58,12,)="",'Fuel consumption'!G$33=""),"",'Fuel consumption'!G$33 * VLOOKUP($B84,'A1.3.10'!$S$28:$AE$58,12,))))</f>
        <v>2.3540043227716499E-5</v>
      </c>
    </row>
    <row r="85" spans="1:39" ht="13.5" customHeight="1">
      <c r="A85" s="623"/>
      <c r="B85" s="614">
        <f t="shared" si="3"/>
        <v>2069</v>
      </c>
      <c r="C85" s="609"/>
      <c r="D85" s="2484">
        <f>IF($B85&lt;'A1.3.10'!$S$28,"",IF($B85&gt;'A1.3.10'!$S$58,D84,IF(OR(VLOOKUP($B85,'A1.3.10'!$S$28:$AE$58,2,)="",'Fuel consumption'!D$27=""),"",'Fuel consumption'!D$27 * VLOOKUP($B85,'A1.3.10'!$S$28:$AE$58,2,))))</f>
        <v>0.32527491364024624</v>
      </c>
      <c r="E85" s="2485">
        <f>IF($B85&lt;'A1.3.10'!$S$28,"",IF($B85&gt;'A1.3.10'!$S$58,E84,IF(OR(VLOOKUP($B85,'A1.3.10'!$S$28:$AE$58,2,)="",'Fuel consumption'!E$27=""),"",'Fuel consumption'!E$27 * VLOOKUP($B85,'A1.3.10'!$S$28:$AE$58,2,))))</f>
        <v>6.9126195403069218E-2</v>
      </c>
      <c r="F85" s="2485">
        <f>IF($B85&lt;'A1.3.10'!$S$28,"",IF($B85&gt;'A1.3.10'!$S$58,F84,IF(OR(VLOOKUP($B85,'A1.3.10'!$S$28:$AE$58,2,)="",'Fuel consumption'!F$27=""),"",'Fuel consumption'!F$27 * VLOOKUP($B85,'A1.3.10'!$S$28:$AE$58,2,))))</f>
        <v>-7.8742934140708519E-4</v>
      </c>
      <c r="G85" s="2642">
        <f>IF($B85&lt;'A1.3.10'!$S$28,"",IF($B85&gt;'A1.3.10'!$S$58,G84,IF(OR(VLOOKUP($B85,'A1.3.10'!$S$28:$AE$58,2,)="",'Fuel consumption'!G$27=""),"",'Fuel consumption'!G$27 * VLOOKUP($B85,'A1.3.10'!$S$28:$AE$58,2,))))</f>
        <v>5.2150811705064693E-6</v>
      </c>
      <c r="H85" s="2486">
        <f>IF($B85&lt;'A1.3.10'!$S$28,"",IF($B85&gt;'A1.3.10'!$S$58,H84,IF(OR(VLOOKUP($B85,'A1.3.10'!$S$28:$AE$58,3,)="",'Fuel consumption'!D$28=""),"",'Fuel consumption'!D$28  * VLOOKUP($B85,'A1.3.10'!$S$28:$AE$58,3,))))</f>
        <v>0.38728007442052015</v>
      </c>
      <c r="I85" s="2487">
        <f>IF($B85&lt;'A1.3.10'!$S$28,"",IF($B85&gt;'A1.3.10'!$S$58,I84,IF(OR(VLOOKUP($B85,'A1.3.10'!$S$28:$AE$58,3,)="",'Fuel consumption'!E$28=""),"",'Fuel consumption'!E$28  * VLOOKUP($B85,'A1.3.10'!$S$28:$AE$58,3,))))</f>
        <v>5.5526385246550972E-2</v>
      </c>
      <c r="J85" s="2487">
        <f>IF($B85&lt;'A1.3.10'!$S$28,"",IF($B85&gt;'A1.3.10'!$S$58,J84,IF(OR(VLOOKUP($B85,'A1.3.10'!$S$28:$AE$58,3,)="",'Fuel consumption'!F$28=""),"",'Fuel consumption'!F$28  * VLOOKUP($B85,'A1.3.10'!$S$28:$AE$58,3,))))</f>
        <v>-5.3417929464962704E-4</v>
      </c>
      <c r="K85" s="2642">
        <f>IF($B85&lt;'A1.3.10'!$S$28,"",IF($B85&gt;'A1.3.10'!$S$58,K84,IF(OR(VLOOKUP($B85,'A1.3.10'!$S$28:$AE$58,3,)="",'Fuel consumption'!G$28=""),"",'Fuel consumption'!G$28  * VLOOKUP($B85,'A1.3.10'!$S$28:$AE$58,3,))))</f>
        <v>4.2093596420141842E-6</v>
      </c>
      <c r="L85" s="2486" t="str">
        <f>IF($B85&lt;'A1.3.10'!$S$28,"",IF($B85&gt;'A1.3.10'!$S$58,L84,IF(OR(VLOOKUP($B85,'A1.3.10'!$S$28:$AE$58,4,)="", 'Fuel consumption'!D$36=""),"",'Fuel consumption'!D$36 * VLOOKUP($B85,'A1.3.10'!$S$28:$AE$58,4,))))</f>
        <v/>
      </c>
      <c r="M85" s="2487">
        <f>IF($B85&lt;'A1.3.10'!$S$28,"",IF($B85&gt;'A1.3.10'!$S$58,M84,IF(OR(VLOOKUP($B85,'A1.3.10'!$S$28:$AE$58,4,)="", 'Fuel consumption'!E$36=""),"",'Fuel consumption'!E$36 * VLOOKUP($B85,'A1.3.10'!$S$28:$AE$58,4,))))</f>
        <v>0.12679510393803953</v>
      </c>
      <c r="N85" s="614" t="str">
        <f>IF($B85&lt;'A1.3.10'!$S$28,"",IF($B85&gt;'A1.3.10'!$S$58,N84,IF(OR(VLOOKUP($B85,'A1.3.10'!$S$28:$AE$58,4,)="", 'Fuel consumption'!F$36=""),"",'Fuel consumption'!F$36 * VLOOKUP($B85,'A1.3.10'!$S$28:$AE$58,4,))))</f>
        <v/>
      </c>
      <c r="O85" s="612" t="str">
        <f>IF($B85&lt;'A1.3.10'!$S$28,"",IF($B85&gt;'A1.3.10'!$S$58,O84,IF(OR(VLOOKUP($B85,'A1.3.10'!$S$28:$AE$58,4,)="", 'Fuel consumption'!G$36=""),"",'Fuel consumption'!G$36 * VLOOKUP($B85,'A1.3.10'!$S$28:$AE$58,4,))))</f>
        <v/>
      </c>
      <c r="P85" s="610">
        <f>IF($B85&lt;'A1.3.10'!$S$28,"",IF($B85&gt;'A1.3.10'!$S$58,P84,IF(OR(VLOOKUP($B85,'A1.3.10'!$S$28:$AE$58,5,)="",'Fuel consumption'!D$29=""),"",'Fuel consumption'!D$29 * VLOOKUP($B85,'A1.3.10'!$S$28:$AE$58,5,))))</f>
        <v>0.23398100209323003</v>
      </c>
      <c r="Q85" s="611">
        <f>IF($B85&lt;'A1.3.10'!$S$28,"",IF($B85&gt;'A1.3.10'!$S$58,Q84,IF(OR(VLOOKUP($B85,'A1.3.10'!$S$28:$AE$58,5,)="",'Fuel consumption'!E$29=""),"",'Fuel consumption'!E$29 * VLOOKUP($B85,'A1.3.10'!$S$28:$AE$58,5,))))</f>
        <v>0.13120300165283155</v>
      </c>
      <c r="R85" s="611">
        <f>IF($B85&lt;'A1.3.10'!$S$28,"",IF($B85&gt;'A1.3.10'!$S$58,R84,IF(OR(VLOOKUP($B85,'A1.3.10'!$S$28:$AE$58,5,)="",'Fuel consumption'!F$29=""),"",'Fuel consumption'!F$29 * VLOOKUP($B85,'A1.3.10'!$S$28:$AE$58,5,))))</f>
        <v>-2.0594564659300405E-3</v>
      </c>
      <c r="S85" s="2642">
        <f>IF($B85&lt;'A1.3.10'!$S$28,"",IF($B85&gt;'A1.3.10'!$S$58,S84,IF(OR(VLOOKUP($B85,'A1.3.10'!$S$28:$AE$58,5,)="",'Fuel consumption'!G$29=""),"",'Fuel consumption'!G$29 * VLOOKUP($B85,'A1.3.10'!$S$28:$AE$58,5,))))</f>
        <v>1.3300046823685748E-5</v>
      </c>
      <c r="T85" s="610">
        <f>IF($B85&lt;'A1.3.10'!$S$28,"",IF($B85&gt;'A1.3.10'!$S$58,T84,IF(OR(VLOOKUP($B85,'A1.3.10'!$S$28:$AE$58,6,)="",'Fuel consumption'!D$30=""),"",'Fuel consumption'!D$30 * VLOOKUP($B85,'A1.3.10'!$S$28:$AE$58,6,))))</f>
        <v>0.3988609037344879</v>
      </c>
      <c r="U85" s="611">
        <f>IF($B85&lt;'A1.3.10'!$S$28,"",IF($B85&gt;'A1.3.10'!$S$58,U84,IF(OR(VLOOKUP($B85,'A1.3.10'!$S$28:$AE$58,6,)="",'Fuel consumption'!E$30=""),"",'Fuel consumption'!E$30 * VLOOKUP($B85,'A1.3.10'!$S$28:$AE$58,6,))))</f>
        <v>9.7483230363204512E-2</v>
      </c>
      <c r="V85" s="611">
        <f>IF($B85&lt;'A1.3.10'!$S$28,"",IF($B85&gt;'A1.3.10'!$S$58,V84,IF(OR(VLOOKUP($B85,'A1.3.10'!$S$28:$AE$58,6,)="",'Fuel consumption'!F$30=""),"",'Fuel consumption'!F$30 * VLOOKUP($B85,'A1.3.10'!$S$28:$AE$58,6,))))</f>
        <v>-1.4063727682028522E-3</v>
      </c>
      <c r="W85" s="2642">
        <f>IF($B85&lt;'A1.3.10'!$S$28,"",IF($B85&gt;'A1.3.10'!$S$58,W84,IF(OR(VLOOKUP($B85,'A1.3.10'!$S$28:$AE$58,6,)="",'Fuel consumption'!G$30=""),"",'Fuel consumption'!G$30 * VLOOKUP($B85,'A1.3.10'!$S$28:$AE$58,6,))))</f>
        <v>1.1906400891809692E-5</v>
      </c>
      <c r="X85" s="3144"/>
      <c r="Y85" s="2487">
        <f>IF($B85&lt;'A1.3.10'!$S$28,"",IF($B85&gt;'A1.3.10'!$S$58,Y84,IF(OR(VLOOKUP($B85,'A1.3.10'!$S$28:$AE$58,7,)="", 'Fuel consumption'!E$37=""),"",'Fuel consumption'!E$37 * VLOOKUP($B85,'A1.3.10'!$S$28:$AE$58,7,))))</f>
        <v>0.29149401103980166</v>
      </c>
      <c r="Z85" s="2642"/>
      <c r="AA85" s="2642"/>
      <c r="AB85" s="610">
        <f>IF($B85&lt;'A1.3.10'!$S$28,"",IF($B85&gt;'A1.3.10'!$S$58,AB84,IF(OR(VLOOKUP($B85,'A1.3.10'!$S$28:$AE$58,8,)="",'Fuel consumption'!D$31=""),"",'Fuel consumption'!D$31 * VLOOKUP($B85,'A1.3.10'!$S$28:$AE$58,8,))))</f>
        <v>2.6962848686626804</v>
      </c>
      <c r="AC85" s="611">
        <f>IF($B85&lt;'A1.3.10'!$S$28,"",IF($B85&gt;'A1.3.10'!$S$58,AC84,IF(OR(VLOOKUP($B85,'A1.3.10'!$S$28:$AE$58,8,)="",'Fuel consumption'!E$31=""),"",'Fuel consumption'!E$31 * VLOOKUP($B85,'A1.3.10'!$S$28:$AE$58,8,))))</f>
        <v>0.143057339771858</v>
      </c>
      <c r="AD85" s="611">
        <f>IF($B85&lt;'A1.3.10'!$S$28,"",IF($B85&gt;'A1.3.10'!$S$58,AD84,IF(OR(VLOOKUP($B85,'A1.3.10'!$S$28:$AE$58,8,)="",'Fuel consumption'!F$31=""),"",'Fuel consumption'!F$31 * VLOOKUP($B85,'A1.3.10'!$S$28:$AE$58,8,))))</f>
        <v>-1.0340193601785499E-3</v>
      </c>
      <c r="AE85" s="2642">
        <f>IF($B85&lt;'A1.3.10'!$S$28,"",IF($B85&gt;'A1.3.10'!$S$58,AE84,IF(OR(VLOOKUP($B85,'A1.3.10'!$S$28:$AE$58,8,)="",'Fuel consumption'!G$31=""),"",'Fuel consumption'!G$31 * VLOOKUP($B85,'A1.3.10'!$S$28:$AE$58,8,))))</f>
        <v>1.1293150500864199E-5</v>
      </c>
      <c r="AF85" s="610">
        <f>IF($B85&lt;'A1.3.10'!$S$28,"",IF($B85&gt;'A1.3.10'!$S$58,AF84,IF(OR(VLOOKUP($B85,'A1.3.10'!$S$28:$AE$58,10,)="",'Fuel consumption'!D$32=""),"",'Fuel consumption'!D$32 * VLOOKUP($B85,'A1.3.10'!$S$28:$AE$58,10,))))</f>
        <v>5.6655970981789903</v>
      </c>
      <c r="AG85" s="611">
        <f>IF($B85&lt;'A1.3.10'!$S$28,"",IF($B85&gt;'A1.3.10'!$S$58,AG84,IF(OR(VLOOKUP($B85,'A1.3.10'!$S$28:$AE$58,10,)="",'Fuel consumption'!E$32=""),"",'Fuel consumption'!E$32 * VLOOKUP($B85,'A1.3.10'!$S$28:$AE$58,10,))))</f>
        <v>0.29422449618924201</v>
      </c>
      <c r="AH85" s="611">
        <f>IF($B85&lt;'A1.3.10'!$S$28,"",IF($B85&gt;'A1.3.10'!$S$58,AH84,IF(OR(VLOOKUP($B85,'A1.3.10'!$S$28:$AE$58,10,)="",'Fuel consumption'!F$32=""),"",'Fuel consumption'!F$32 * VLOOKUP($B85,'A1.3.10'!$S$28:$AE$58,10,))))</f>
        <v>-1.9493920679616401E-3</v>
      </c>
      <c r="AI85" s="1578">
        <f>IF($B85&lt;'A1.3.10'!$S$28,"",IF($B85&gt;'A1.3.10'!$S$58,AI84,IF(OR(VLOOKUP($B85,'A1.3.10'!$S$28:$AE$58,10,)="",'Fuel consumption'!G$32=""),"",'Fuel consumption'!G$32 * VLOOKUP($B85,'A1.3.10'!$S$28:$AE$58,10,))))</f>
        <v>1.1619187345164999E-5</v>
      </c>
      <c r="AJ85" s="610">
        <f>IF($B85&lt;'A1.3.10'!$S$28,"",IF($B85&gt;'A1.3.10'!$S$58,AJ84,IF(OR(VLOOKUP($B85,'A1.3.10'!$S$28:$AE$58,12,)="",'Fuel consumption'!D$33=""),"",'Fuel consumption'!D$33 * VLOOKUP($B85,'A1.3.10'!$S$28:$AE$58,12,))))</f>
        <v>3.3601870156891001</v>
      </c>
      <c r="AK85" s="611">
        <f>IF($B85&lt;'A1.3.10'!$S$28,"",IF($B85&gt;'A1.3.10'!$S$58,AK84,IF(OR(VLOOKUP($B85,'A1.3.10'!$S$28:$AE$58,12,)="",'Fuel consumption'!E$33=""),"",'Fuel consumption'!E$33 * VLOOKUP($B85,'A1.3.10'!$S$28:$AE$58,12,))))</f>
        <v>0.29524938703213599</v>
      </c>
      <c r="AL85" s="611">
        <f>IF($B85&lt;'A1.3.10'!$S$28,"",IF($B85&gt;'A1.3.10'!$S$58,AL84,IF(OR(VLOOKUP($B85,'A1.3.10'!$S$28:$AE$58,12,)="",'Fuel consumption'!F$33=""),"",'Fuel consumption'!F$33 * VLOOKUP($B85,'A1.3.10'!$S$28:$AE$58,12,))))</f>
        <v>-3.20909768342738E-3</v>
      </c>
      <c r="AM85" s="1578">
        <f>IF($B85&lt;'A1.3.10'!$S$28,"",IF($B85&gt;'A1.3.10'!$S$58,AM84,IF(OR(VLOOKUP($B85,'A1.3.10'!$S$28:$AE$58,12,)="",'Fuel consumption'!G$33=""),"",'Fuel consumption'!G$33 * VLOOKUP($B85,'A1.3.10'!$S$28:$AE$58,12,))))</f>
        <v>2.3540043227716499E-5</v>
      </c>
    </row>
    <row r="86" spans="1:39" ht="13.5" customHeight="1">
      <c r="A86" s="623"/>
      <c r="B86" s="614">
        <f t="shared" ref="B86:B105" si="4">B85+1</f>
        <v>2070</v>
      </c>
      <c r="C86" s="609"/>
      <c r="D86" s="2484">
        <f>IF($B86&lt;'A1.3.10'!$S$28,"",IF($B86&gt;'A1.3.10'!$S$58,D85,IF(OR(VLOOKUP($B86,'A1.3.10'!$S$28:$AE$58,2,)="",'Fuel consumption'!D$27=""),"",'Fuel consumption'!D$27 * VLOOKUP($B86,'A1.3.10'!$S$28:$AE$58,2,))))</f>
        <v>0.32527491364024624</v>
      </c>
      <c r="E86" s="2485">
        <f>IF($B86&lt;'A1.3.10'!$S$28,"",IF($B86&gt;'A1.3.10'!$S$58,E85,IF(OR(VLOOKUP($B86,'A1.3.10'!$S$28:$AE$58,2,)="",'Fuel consumption'!E$27=""),"",'Fuel consumption'!E$27 * VLOOKUP($B86,'A1.3.10'!$S$28:$AE$58,2,))))</f>
        <v>6.9126195403069218E-2</v>
      </c>
      <c r="F86" s="2485">
        <f>IF($B86&lt;'A1.3.10'!$S$28,"",IF($B86&gt;'A1.3.10'!$S$58,F85,IF(OR(VLOOKUP($B86,'A1.3.10'!$S$28:$AE$58,2,)="",'Fuel consumption'!F$27=""),"",'Fuel consumption'!F$27 * VLOOKUP($B86,'A1.3.10'!$S$28:$AE$58,2,))))</f>
        <v>-7.8742934140708519E-4</v>
      </c>
      <c r="G86" s="2642">
        <f>IF($B86&lt;'A1.3.10'!$S$28,"",IF($B86&gt;'A1.3.10'!$S$58,G85,IF(OR(VLOOKUP($B86,'A1.3.10'!$S$28:$AE$58,2,)="",'Fuel consumption'!G$27=""),"",'Fuel consumption'!G$27 * VLOOKUP($B86,'A1.3.10'!$S$28:$AE$58,2,))))</f>
        <v>5.2150811705064693E-6</v>
      </c>
      <c r="H86" s="2486">
        <f>IF($B86&lt;'A1.3.10'!$S$28,"",IF($B86&gt;'A1.3.10'!$S$58,H85,IF(OR(VLOOKUP($B86,'A1.3.10'!$S$28:$AE$58,3,)="",'Fuel consumption'!D$28=""),"",'Fuel consumption'!D$28  * VLOOKUP($B86,'A1.3.10'!$S$28:$AE$58,3,))))</f>
        <v>0.38728007442052015</v>
      </c>
      <c r="I86" s="2487">
        <f>IF($B86&lt;'A1.3.10'!$S$28,"",IF($B86&gt;'A1.3.10'!$S$58,I85,IF(OR(VLOOKUP($B86,'A1.3.10'!$S$28:$AE$58,3,)="",'Fuel consumption'!E$28=""),"",'Fuel consumption'!E$28  * VLOOKUP($B86,'A1.3.10'!$S$28:$AE$58,3,))))</f>
        <v>5.5526385246550972E-2</v>
      </c>
      <c r="J86" s="2487">
        <f>IF($B86&lt;'A1.3.10'!$S$28,"",IF($B86&gt;'A1.3.10'!$S$58,J85,IF(OR(VLOOKUP($B86,'A1.3.10'!$S$28:$AE$58,3,)="",'Fuel consumption'!F$28=""),"",'Fuel consumption'!F$28  * VLOOKUP($B86,'A1.3.10'!$S$28:$AE$58,3,))))</f>
        <v>-5.3417929464962704E-4</v>
      </c>
      <c r="K86" s="2642">
        <f>IF($B86&lt;'A1.3.10'!$S$28,"",IF($B86&gt;'A1.3.10'!$S$58,K85,IF(OR(VLOOKUP($B86,'A1.3.10'!$S$28:$AE$58,3,)="",'Fuel consumption'!G$28=""),"",'Fuel consumption'!G$28  * VLOOKUP($B86,'A1.3.10'!$S$28:$AE$58,3,))))</f>
        <v>4.2093596420141842E-6</v>
      </c>
      <c r="L86" s="2486" t="str">
        <f>IF($B86&lt;'A1.3.10'!$S$28,"",IF($B86&gt;'A1.3.10'!$S$58,L85,IF(OR(VLOOKUP($B86,'A1.3.10'!$S$28:$AE$58,4,)="", 'Fuel consumption'!D$36=""),"",'Fuel consumption'!D$36 * VLOOKUP($B86,'A1.3.10'!$S$28:$AE$58,4,))))</f>
        <v/>
      </c>
      <c r="M86" s="2487">
        <f>IF($B86&lt;'A1.3.10'!$S$28,"",IF($B86&gt;'A1.3.10'!$S$58,M85,IF(OR(VLOOKUP($B86,'A1.3.10'!$S$28:$AE$58,4,)="", 'Fuel consumption'!E$36=""),"",'Fuel consumption'!E$36 * VLOOKUP($B86,'A1.3.10'!$S$28:$AE$58,4,))))</f>
        <v>0.12679510393803953</v>
      </c>
      <c r="N86" s="614" t="str">
        <f>IF($B86&lt;'A1.3.10'!$S$28,"",IF($B86&gt;'A1.3.10'!$S$58,N85,IF(OR(VLOOKUP($B86,'A1.3.10'!$S$28:$AE$58,4,)="", 'Fuel consumption'!F$36=""),"",'Fuel consumption'!F$36 * VLOOKUP($B86,'A1.3.10'!$S$28:$AE$58,4,))))</f>
        <v/>
      </c>
      <c r="O86" s="612" t="str">
        <f>IF($B86&lt;'A1.3.10'!$S$28,"",IF($B86&gt;'A1.3.10'!$S$58,O85,IF(OR(VLOOKUP($B86,'A1.3.10'!$S$28:$AE$58,4,)="", 'Fuel consumption'!G$36=""),"",'Fuel consumption'!G$36 * VLOOKUP($B86,'A1.3.10'!$S$28:$AE$58,4,))))</f>
        <v/>
      </c>
      <c r="P86" s="610">
        <f>IF($B86&lt;'A1.3.10'!$S$28,"",IF($B86&gt;'A1.3.10'!$S$58,P85,IF(OR(VLOOKUP($B86,'A1.3.10'!$S$28:$AE$58,5,)="",'Fuel consumption'!D$29=""),"",'Fuel consumption'!D$29 * VLOOKUP($B86,'A1.3.10'!$S$28:$AE$58,5,))))</f>
        <v>0.23398100209323003</v>
      </c>
      <c r="Q86" s="611">
        <f>IF($B86&lt;'A1.3.10'!$S$28,"",IF($B86&gt;'A1.3.10'!$S$58,Q85,IF(OR(VLOOKUP($B86,'A1.3.10'!$S$28:$AE$58,5,)="",'Fuel consumption'!E$29=""),"",'Fuel consumption'!E$29 * VLOOKUP($B86,'A1.3.10'!$S$28:$AE$58,5,))))</f>
        <v>0.13120300165283155</v>
      </c>
      <c r="R86" s="611">
        <f>IF($B86&lt;'A1.3.10'!$S$28,"",IF($B86&gt;'A1.3.10'!$S$58,R85,IF(OR(VLOOKUP($B86,'A1.3.10'!$S$28:$AE$58,5,)="",'Fuel consumption'!F$29=""),"",'Fuel consumption'!F$29 * VLOOKUP($B86,'A1.3.10'!$S$28:$AE$58,5,))))</f>
        <v>-2.0594564659300405E-3</v>
      </c>
      <c r="S86" s="2642">
        <f>IF($B86&lt;'A1.3.10'!$S$28,"",IF($B86&gt;'A1.3.10'!$S$58,S85,IF(OR(VLOOKUP($B86,'A1.3.10'!$S$28:$AE$58,5,)="",'Fuel consumption'!G$29=""),"",'Fuel consumption'!G$29 * VLOOKUP($B86,'A1.3.10'!$S$28:$AE$58,5,))))</f>
        <v>1.3300046823685748E-5</v>
      </c>
      <c r="T86" s="610">
        <f>IF($B86&lt;'A1.3.10'!$S$28,"",IF($B86&gt;'A1.3.10'!$S$58,T85,IF(OR(VLOOKUP($B86,'A1.3.10'!$S$28:$AE$58,6,)="",'Fuel consumption'!D$30=""),"",'Fuel consumption'!D$30 * VLOOKUP($B86,'A1.3.10'!$S$28:$AE$58,6,))))</f>
        <v>0.3988609037344879</v>
      </c>
      <c r="U86" s="611">
        <f>IF($B86&lt;'A1.3.10'!$S$28,"",IF($B86&gt;'A1.3.10'!$S$58,U85,IF(OR(VLOOKUP($B86,'A1.3.10'!$S$28:$AE$58,6,)="",'Fuel consumption'!E$30=""),"",'Fuel consumption'!E$30 * VLOOKUP($B86,'A1.3.10'!$S$28:$AE$58,6,))))</f>
        <v>9.7483230363204512E-2</v>
      </c>
      <c r="V86" s="611">
        <f>IF($B86&lt;'A1.3.10'!$S$28,"",IF($B86&gt;'A1.3.10'!$S$58,V85,IF(OR(VLOOKUP($B86,'A1.3.10'!$S$28:$AE$58,6,)="",'Fuel consumption'!F$30=""),"",'Fuel consumption'!F$30 * VLOOKUP($B86,'A1.3.10'!$S$28:$AE$58,6,))))</f>
        <v>-1.4063727682028522E-3</v>
      </c>
      <c r="W86" s="2642">
        <f>IF($B86&lt;'A1.3.10'!$S$28,"",IF($B86&gt;'A1.3.10'!$S$58,W85,IF(OR(VLOOKUP($B86,'A1.3.10'!$S$28:$AE$58,6,)="",'Fuel consumption'!G$30=""),"",'Fuel consumption'!G$30 * VLOOKUP($B86,'A1.3.10'!$S$28:$AE$58,6,))))</f>
        <v>1.1906400891809692E-5</v>
      </c>
      <c r="X86" s="3144"/>
      <c r="Y86" s="2487">
        <f>IF($B86&lt;'A1.3.10'!$S$28,"",IF($B86&gt;'A1.3.10'!$S$58,Y85,IF(OR(VLOOKUP($B86,'A1.3.10'!$S$28:$AE$58,7,)="", 'Fuel consumption'!E$37=""),"",'Fuel consumption'!E$37 * VLOOKUP($B86,'A1.3.10'!$S$28:$AE$58,7,))))</f>
        <v>0.29149401103980166</v>
      </c>
      <c r="Z86" s="2642"/>
      <c r="AA86" s="2642"/>
      <c r="AB86" s="610">
        <f>IF($B86&lt;'A1.3.10'!$S$28,"",IF($B86&gt;'A1.3.10'!$S$58,AB85,IF(OR(VLOOKUP($B86,'A1.3.10'!$S$28:$AE$58,8,)="",'Fuel consumption'!D$31=""),"",'Fuel consumption'!D$31 * VLOOKUP($B86,'A1.3.10'!$S$28:$AE$58,8,))))</f>
        <v>2.6962848686626804</v>
      </c>
      <c r="AC86" s="611">
        <f>IF($B86&lt;'A1.3.10'!$S$28,"",IF($B86&gt;'A1.3.10'!$S$58,AC85,IF(OR(VLOOKUP($B86,'A1.3.10'!$S$28:$AE$58,8,)="",'Fuel consumption'!E$31=""),"",'Fuel consumption'!E$31 * VLOOKUP($B86,'A1.3.10'!$S$28:$AE$58,8,))))</f>
        <v>0.143057339771858</v>
      </c>
      <c r="AD86" s="611">
        <f>IF($B86&lt;'A1.3.10'!$S$28,"",IF($B86&gt;'A1.3.10'!$S$58,AD85,IF(OR(VLOOKUP($B86,'A1.3.10'!$S$28:$AE$58,8,)="",'Fuel consumption'!F$31=""),"",'Fuel consumption'!F$31 * VLOOKUP($B86,'A1.3.10'!$S$28:$AE$58,8,))))</f>
        <v>-1.0340193601785499E-3</v>
      </c>
      <c r="AE86" s="2642">
        <f>IF($B86&lt;'A1.3.10'!$S$28,"",IF($B86&gt;'A1.3.10'!$S$58,AE85,IF(OR(VLOOKUP($B86,'A1.3.10'!$S$28:$AE$58,8,)="",'Fuel consumption'!G$31=""),"",'Fuel consumption'!G$31 * VLOOKUP($B86,'A1.3.10'!$S$28:$AE$58,8,))))</f>
        <v>1.1293150500864199E-5</v>
      </c>
      <c r="AF86" s="610">
        <f>IF($B86&lt;'A1.3.10'!$S$28,"",IF($B86&gt;'A1.3.10'!$S$58,AF85,IF(OR(VLOOKUP($B86,'A1.3.10'!$S$28:$AE$58,10,)="",'Fuel consumption'!D$32=""),"",'Fuel consumption'!D$32 * VLOOKUP($B86,'A1.3.10'!$S$28:$AE$58,10,))))</f>
        <v>5.6655970981789903</v>
      </c>
      <c r="AG86" s="611">
        <f>IF($B86&lt;'A1.3.10'!$S$28,"",IF($B86&gt;'A1.3.10'!$S$58,AG85,IF(OR(VLOOKUP($B86,'A1.3.10'!$S$28:$AE$58,10,)="",'Fuel consumption'!E$32=""),"",'Fuel consumption'!E$32 * VLOOKUP($B86,'A1.3.10'!$S$28:$AE$58,10,))))</f>
        <v>0.29422449618924201</v>
      </c>
      <c r="AH86" s="611">
        <f>IF($B86&lt;'A1.3.10'!$S$28,"",IF($B86&gt;'A1.3.10'!$S$58,AH85,IF(OR(VLOOKUP($B86,'A1.3.10'!$S$28:$AE$58,10,)="",'Fuel consumption'!F$32=""),"",'Fuel consumption'!F$32 * VLOOKUP($B86,'A1.3.10'!$S$28:$AE$58,10,))))</f>
        <v>-1.9493920679616401E-3</v>
      </c>
      <c r="AI86" s="1578">
        <f>IF($B86&lt;'A1.3.10'!$S$28,"",IF($B86&gt;'A1.3.10'!$S$58,AI85,IF(OR(VLOOKUP($B86,'A1.3.10'!$S$28:$AE$58,10,)="",'Fuel consumption'!G$32=""),"",'Fuel consumption'!G$32 * VLOOKUP($B86,'A1.3.10'!$S$28:$AE$58,10,))))</f>
        <v>1.1619187345164999E-5</v>
      </c>
      <c r="AJ86" s="610">
        <f>IF($B86&lt;'A1.3.10'!$S$28,"",IF($B86&gt;'A1.3.10'!$S$58,AJ85,IF(OR(VLOOKUP($B86,'A1.3.10'!$S$28:$AE$58,12,)="",'Fuel consumption'!D$33=""),"",'Fuel consumption'!D$33 * VLOOKUP($B86,'A1.3.10'!$S$28:$AE$58,12,))))</f>
        <v>3.3601870156891001</v>
      </c>
      <c r="AK86" s="611">
        <f>IF($B86&lt;'A1.3.10'!$S$28,"",IF($B86&gt;'A1.3.10'!$S$58,AK85,IF(OR(VLOOKUP($B86,'A1.3.10'!$S$28:$AE$58,12,)="",'Fuel consumption'!E$33=""),"",'Fuel consumption'!E$33 * VLOOKUP($B86,'A1.3.10'!$S$28:$AE$58,12,))))</f>
        <v>0.29524938703213599</v>
      </c>
      <c r="AL86" s="611">
        <f>IF($B86&lt;'A1.3.10'!$S$28,"",IF($B86&gt;'A1.3.10'!$S$58,AL85,IF(OR(VLOOKUP($B86,'A1.3.10'!$S$28:$AE$58,12,)="",'Fuel consumption'!F$33=""),"",'Fuel consumption'!F$33 * VLOOKUP($B86,'A1.3.10'!$S$28:$AE$58,12,))))</f>
        <v>-3.20909768342738E-3</v>
      </c>
      <c r="AM86" s="1578">
        <f>IF($B86&lt;'A1.3.10'!$S$28,"",IF($B86&gt;'A1.3.10'!$S$58,AM85,IF(OR(VLOOKUP($B86,'A1.3.10'!$S$28:$AE$58,12,)="",'Fuel consumption'!G$33=""),"",'Fuel consumption'!G$33 * VLOOKUP($B86,'A1.3.10'!$S$28:$AE$58,12,))))</f>
        <v>2.3540043227716499E-5</v>
      </c>
    </row>
    <row r="87" spans="1:39" ht="13.5" customHeight="1">
      <c r="A87" s="623"/>
      <c r="B87" s="614">
        <f t="shared" si="4"/>
        <v>2071</v>
      </c>
      <c r="C87" s="609"/>
      <c r="D87" s="2484">
        <f>IF($B87&lt;'A1.3.10'!$S$28,"",IF($B87&gt;'A1.3.10'!$S$58,D86,IF(OR(VLOOKUP($B87,'A1.3.10'!$S$28:$AE$58,2,)="",'Fuel consumption'!D$27=""),"",'Fuel consumption'!D$27 * VLOOKUP($B87,'A1.3.10'!$S$28:$AE$58,2,))))</f>
        <v>0.32527491364024624</v>
      </c>
      <c r="E87" s="2485">
        <f>IF($B87&lt;'A1.3.10'!$S$28,"",IF($B87&gt;'A1.3.10'!$S$58,E86,IF(OR(VLOOKUP($B87,'A1.3.10'!$S$28:$AE$58,2,)="",'Fuel consumption'!E$27=""),"",'Fuel consumption'!E$27 * VLOOKUP($B87,'A1.3.10'!$S$28:$AE$58,2,))))</f>
        <v>6.9126195403069218E-2</v>
      </c>
      <c r="F87" s="2485">
        <f>IF($B87&lt;'A1.3.10'!$S$28,"",IF($B87&gt;'A1.3.10'!$S$58,F86,IF(OR(VLOOKUP($B87,'A1.3.10'!$S$28:$AE$58,2,)="",'Fuel consumption'!F$27=""),"",'Fuel consumption'!F$27 * VLOOKUP($B87,'A1.3.10'!$S$28:$AE$58,2,))))</f>
        <v>-7.8742934140708519E-4</v>
      </c>
      <c r="G87" s="2642">
        <f>IF($B87&lt;'A1.3.10'!$S$28,"",IF($B87&gt;'A1.3.10'!$S$58,G86,IF(OR(VLOOKUP($B87,'A1.3.10'!$S$28:$AE$58,2,)="",'Fuel consumption'!G$27=""),"",'Fuel consumption'!G$27 * VLOOKUP($B87,'A1.3.10'!$S$28:$AE$58,2,))))</f>
        <v>5.2150811705064693E-6</v>
      </c>
      <c r="H87" s="2486">
        <f>IF($B87&lt;'A1.3.10'!$S$28,"",IF($B87&gt;'A1.3.10'!$S$58,H86,IF(OR(VLOOKUP($B87,'A1.3.10'!$S$28:$AE$58,3,)="",'Fuel consumption'!D$28=""),"",'Fuel consumption'!D$28  * VLOOKUP($B87,'A1.3.10'!$S$28:$AE$58,3,))))</f>
        <v>0.38728007442052015</v>
      </c>
      <c r="I87" s="2487">
        <f>IF($B87&lt;'A1.3.10'!$S$28,"",IF($B87&gt;'A1.3.10'!$S$58,I86,IF(OR(VLOOKUP($B87,'A1.3.10'!$S$28:$AE$58,3,)="",'Fuel consumption'!E$28=""),"",'Fuel consumption'!E$28  * VLOOKUP($B87,'A1.3.10'!$S$28:$AE$58,3,))))</f>
        <v>5.5526385246550972E-2</v>
      </c>
      <c r="J87" s="2487">
        <f>IF($B87&lt;'A1.3.10'!$S$28,"",IF($B87&gt;'A1.3.10'!$S$58,J86,IF(OR(VLOOKUP($B87,'A1.3.10'!$S$28:$AE$58,3,)="",'Fuel consumption'!F$28=""),"",'Fuel consumption'!F$28  * VLOOKUP($B87,'A1.3.10'!$S$28:$AE$58,3,))))</f>
        <v>-5.3417929464962704E-4</v>
      </c>
      <c r="K87" s="2642">
        <f>IF($B87&lt;'A1.3.10'!$S$28,"",IF($B87&gt;'A1.3.10'!$S$58,K86,IF(OR(VLOOKUP($B87,'A1.3.10'!$S$28:$AE$58,3,)="",'Fuel consumption'!G$28=""),"",'Fuel consumption'!G$28  * VLOOKUP($B87,'A1.3.10'!$S$28:$AE$58,3,))))</f>
        <v>4.2093596420141842E-6</v>
      </c>
      <c r="L87" s="2486" t="str">
        <f>IF($B87&lt;'A1.3.10'!$S$28,"",IF($B87&gt;'A1.3.10'!$S$58,L86,IF(OR(VLOOKUP($B87,'A1.3.10'!$S$28:$AE$58,4,)="", 'Fuel consumption'!D$36=""),"",'Fuel consumption'!D$36 * VLOOKUP($B87,'A1.3.10'!$S$28:$AE$58,4,))))</f>
        <v/>
      </c>
      <c r="M87" s="2487">
        <f>IF($B87&lt;'A1.3.10'!$S$28,"",IF($B87&gt;'A1.3.10'!$S$58,M86,IF(OR(VLOOKUP($B87,'A1.3.10'!$S$28:$AE$58,4,)="", 'Fuel consumption'!E$36=""),"",'Fuel consumption'!E$36 * VLOOKUP($B87,'A1.3.10'!$S$28:$AE$58,4,))))</f>
        <v>0.12679510393803953</v>
      </c>
      <c r="N87" s="614" t="str">
        <f>IF($B87&lt;'A1.3.10'!$S$28,"",IF($B87&gt;'A1.3.10'!$S$58,N86,IF(OR(VLOOKUP($B87,'A1.3.10'!$S$28:$AE$58,4,)="", 'Fuel consumption'!F$36=""),"",'Fuel consumption'!F$36 * VLOOKUP($B87,'A1.3.10'!$S$28:$AE$58,4,))))</f>
        <v/>
      </c>
      <c r="O87" s="612" t="str">
        <f>IF($B87&lt;'A1.3.10'!$S$28,"",IF($B87&gt;'A1.3.10'!$S$58,O86,IF(OR(VLOOKUP($B87,'A1.3.10'!$S$28:$AE$58,4,)="", 'Fuel consumption'!G$36=""),"",'Fuel consumption'!G$36 * VLOOKUP($B87,'A1.3.10'!$S$28:$AE$58,4,))))</f>
        <v/>
      </c>
      <c r="P87" s="610">
        <f>IF($B87&lt;'A1.3.10'!$S$28,"",IF($B87&gt;'A1.3.10'!$S$58,P86,IF(OR(VLOOKUP($B87,'A1.3.10'!$S$28:$AE$58,5,)="",'Fuel consumption'!D$29=""),"",'Fuel consumption'!D$29 * VLOOKUP($B87,'A1.3.10'!$S$28:$AE$58,5,))))</f>
        <v>0.23398100209323003</v>
      </c>
      <c r="Q87" s="611">
        <f>IF($B87&lt;'A1.3.10'!$S$28,"",IF($B87&gt;'A1.3.10'!$S$58,Q86,IF(OR(VLOOKUP($B87,'A1.3.10'!$S$28:$AE$58,5,)="",'Fuel consumption'!E$29=""),"",'Fuel consumption'!E$29 * VLOOKUP($B87,'A1.3.10'!$S$28:$AE$58,5,))))</f>
        <v>0.13120300165283155</v>
      </c>
      <c r="R87" s="611">
        <f>IF($B87&lt;'A1.3.10'!$S$28,"",IF($B87&gt;'A1.3.10'!$S$58,R86,IF(OR(VLOOKUP($B87,'A1.3.10'!$S$28:$AE$58,5,)="",'Fuel consumption'!F$29=""),"",'Fuel consumption'!F$29 * VLOOKUP($B87,'A1.3.10'!$S$28:$AE$58,5,))))</f>
        <v>-2.0594564659300405E-3</v>
      </c>
      <c r="S87" s="2642">
        <f>IF($B87&lt;'A1.3.10'!$S$28,"",IF($B87&gt;'A1.3.10'!$S$58,S86,IF(OR(VLOOKUP($B87,'A1.3.10'!$S$28:$AE$58,5,)="",'Fuel consumption'!G$29=""),"",'Fuel consumption'!G$29 * VLOOKUP($B87,'A1.3.10'!$S$28:$AE$58,5,))))</f>
        <v>1.3300046823685748E-5</v>
      </c>
      <c r="T87" s="610">
        <f>IF($B87&lt;'A1.3.10'!$S$28,"",IF($B87&gt;'A1.3.10'!$S$58,T86,IF(OR(VLOOKUP($B87,'A1.3.10'!$S$28:$AE$58,6,)="",'Fuel consumption'!D$30=""),"",'Fuel consumption'!D$30 * VLOOKUP($B87,'A1.3.10'!$S$28:$AE$58,6,))))</f>
        <v>0.3988609037344879</v>
      </c>
      <c r="U87" s="611">
        <f>IF($B87&lt;'A1.3.10'!$S$28,"",IF($B87&gt;'A1.3.10'!$S$58,U86,IF(OR(VLOOKUP($B87,'A1.3.10'!$S$28:$AE$58,6,)="",'Fuel consumption'!E$30=""),"",'Fuel consumption'!E$30 * VLOOKUP($B87,'A1.3.10'!$S$28:$AE$58,6,))))</f>
        <v>9.7483230363204512E-2</v>
      </c>
      <c r="V87" s="611">
        <f>IF($B87&lt;'A1.3.10'!$S$28,"",IF($B87&gt;'A1.3.10'!$S$58,V86,IF(OR(VLOOKUP($B87,'A1.3.10'!$S$28:$AE$58,6,)="",'Fuel consumption'!F$30=""),"",'Fuel consumption'!F$30 * VLOOKUP($B87,'A1.3.10'!$S$28:$AE$58,6,))))</f>
        <v>-1.4063727682028522E-3</v>
      </c>
      <c r="W87" s="2642">
        <f>IF($B87&lt;'A1.3.10'!$S$28,"",IF($B87&gt;'A1.3.10'!$S$58,W86,IF(OR(VLOOKUP($B87,'A1.3.10'!$S$28:$AE$58,6,)="",'Fuel consumption'!G$30=""),"",'Fuel consumption'!G$30 * VLOOKUP($B87,'A1.3.10'!$S$28:$AE$58,6,))))</f>
        <v>1.1906400891809692E-5</v>
      </c>
      <c r="X87" s="3144"/>
      <c r="Y87" s="2487">
        <f>IF($B87&lt;'A1.3.10'!$S$28,"",IF($B87&gt;'A1.3.10'!$S$58,Y86,IF(OR(VLOOKUP($B87,'A1.3.10'!$S$28:$AE$58,7,)="", 'Fuel consumption'!E$37=""),"",'Fuel consumption'!E$37 * VLOOKUP($B87,'A1.3.10'!$S$28:$AE$58,7,))))</f>
        <v>0.29149401103980166</v>
      </c>
      <c r="Z87" s="2642"/>
      <c r="AA87" s="2642"/>
      <c r="AB87" s="610">
        <f>IF($B87&lt;'A1.3.10'!$S$28,"",IF($B87&gt;'A1.3.10'!$S$58,AB86,IF(OR(VLOOKUP($B87,'A1.3.10'!$S$28:$AE$58,8,)="",'Fuel consumption'!D$31=""),"",'Fuel consumption'!D$31 * VLOOKUP($B87,'A1.3.10'!$S$28:$AE$58,8,))))</f>
        <v>2.6962848686626804</v>
      </c>
      <c r="AC87" s="611">
        <f>IF($B87&lt;'A1.3.10'!$S$28,"",IF($B87&gt;'A1.3.10'!$S$58,AC86,IF(OR(VLOOKUP($B87,'A1.3.10'!$S$28:$AE$58,8,)="",'Fuel consumption'!E$31=""),"",'Fuel consumption'!E$31 * VLOOKUP($B87,'A1.3.10'!$S$28:$AE$58,8,))))</f>
        <v>0.143057339771858</v>
      </c>
      <c r="AD87" s="611">
        <f>IF($B87&lt;'A1.3.10'!$S$28,"",IF($B87&gt;'A1.3.10'!$S$58,AD86,IF(OR(VLOOKUP($B87,'A1.3.10'!$S$28:$AE$58,8,)="",'Fuel consumption'!F$31=""),"",'Fuel consumption'!F$31 * VLOOKUP($B87,'A1.3.10'!$S$28:$AE$58,8,))))</f>
        <v>-1.0340193601785499E-3</v>
      </c>
      <c r="AE87" s="2642">
        <f>IF($B87&lt;'A1.3.10'!$S$28,"",IF($B87&gt;'A1.3.10'!$S$58,AE86,IF(OR(VLOOKUP($B87,'A1.3.10'!$S$28:$AE$58,8,)="",'Fuel consumption'!G$31=""),"",'Fuel consumption'!G$31 * VLOOKUP($B87,'A1.3.10'!$S$28:$AE$58,8,))))</f>
        <v>1.1293150500864199E-5</v>
      </c>
      <c r="AF87" s="610">
        <f>IF($B87&lt;'A1.3.10'!$S$28,"",IF($B87&gt;'A1.3.10'!$S$58,AF86,IF(OR(VLOOKUP($B87,'A1.3.10'!$S$28:$AE$58,10,)="",'Fuel consumption'!D$32=""),"",'Fuel consumption'!D$32 * VLOOKUP($B87,'A1.3.10'!$S$28:$AE$58,10,))))</f>
        <v>5.6655970981789903</v>
      </c>
      <c r="AG87" s="611">
        <f>IF($B87&lt;'A1.3.10'!$S$28,"",IF($B87&gt;'A1.3.10'!$S$58,AG86,IF(OR(VLOOKUP($B87,'A1.3.10'!$S$28:$AE$58,10,)="",'Fuel consumption'!E$32=""),"",'Fuel consumption'!E$32 * VLOOKUP($B87,'A1.3.10'!$S$28:$AE$58,10,))))</f>
        <v>0.29422449618924201</v>
      </c>
      <c r="AH87" s="611">
        <f>IF($B87&lt;'A1.3.10'!$S$28,"",IF($B87&gt;'A1.3.10'!$S$58,AH86,IF(OR(VLOOKUP($B87,'A1.3.10'!$S$28:$AE$58,10,)="",'Fuel consumption'!F$32=""),"",'Fuel consumption'!F$32 * VLOOKUP($B87,'A1.3.10'!$S$28:$AE$58,10,))))</f>
        <v>-1.9493920679616401E-3</v>
      </c>
      <c r="AI87" s="1578">
        <f>IF($B87&lt;'A1.3.10'!$S$28,"",IF($B87&gt;'A1.3.10'!$S$58,AI86,IF(OR(VLOOKUP($B87,'A1.3.10'!$S$28:$AE$58,10,)="",'Fuel consumption'!G$32=""),"",'Fuel consumption'!G$32 * VLOOKUP($B87,'A1.3.10'!$S$28:$AE$58,10,))))</f>
        <v>1.1619187345164999E-5</v>
      </c>
      <c r="AJ87" s="610">
        <f>IF($B87&lt;'A1.3.10'!$S$28,"",IF($B87&gt;'A1.3.10'!$S$58,AJ86,IF(OR(VLOOKUP($B87,'A1.3.10'!$S$28:$AE$58,12,)="",'Fuel consumption'!D$33=""),"",'Fuel consumption'!D$33 * VLOOKUP($B87,'A1.3.10'!$S$28:$AE$58,12,))))</f>
        <v>3.3601870156891001</v>
      </c>
      <c r="AK87" s="611">
        <f>IF($B87&lt;'A1.3.10'!$S$28,"",IF($B87&gt;'A1.3.10'!$S$58,AK86,IF(OR(VLOOKUP($B87,'A1.3.10'!$S$28:$AE$58,12,)="",'Fuel consumption'!E$33=""),"",'Fuel consumption'!E$33 * VLOOKUP($B87,'A1.3.10'!$S$28:$AE$58,12,))))</f>
        <v>0.29524938703213599</v>
      </c>
      <c r="AL87" s="611">
        <f>IF($B87&lt;'A1.3.10'!$S$28,"",IF($B87&gt;'A1.3.10'!$S$58,AL86,IF(OR(VLOOKUP($B87,'A1.3.10'!$S$28:$AE$58,12,)="",'Fuel consumption'!F$33=""),"",'Fuel consumption'!F$33 * VLOOKUP($B87,'A1.3.10'!$S$28:$AE$58,12,))))</f>
        <v>-3.20909768342738E-3</v>
      </c>
      <c r="AM87" s="1578">
        <f>IF($B87&lt;'A1.3.10'!$S$28,"",IF($B87&gt;'A1.3.10'!$S$58,AM86,IF(OR(VLOOKUP($B87,'A1.3.10'!$S$28:$AE$58,12,)="",'Fuel consumption'!G$33=""),"",'Fuel consumption'!G$33 * VLOOKUP($B87,'A1.3.10'!$S$28:$AE$58,12,))))</f>
        <v>2.3540043227716499E-5</v>
      </c>
    </row>
    <row r="88" spans="1:39" ht="13.5" customHeight="1">
      <c r="A88" s="623"/>
      <c r="B88" s="614">
        <f t="shared" si="4"/>
        <v>2072</v>
      </c>
      <c r="C88" s="609"/>
      <c r="D88" s="2484">
        <f>IF($B88&lt;'A1.3.10'!$S$28,"",IF($B88&gt;'A1.3.10'!$S$58,D87,IF(OR(VLOOKUP($B88,'A1.3.10'!$S$28:$AE$58,2,)="",'Fuel consumption'!D$27=""),"",'Fuel consumption'!D$27 * VLOOKUP($B88,'A1.3.10'!$S$28:$AE$58,2,))))</f>
        <v>0.32527491364024624</v>
      </c>
      <c r="E88" s="2485">
        <f>IF($B88&lt;'A1.3.10'!$S$28,"",IF($B88&gt;'A1.3.10'!$S$58,E87,IF(OR(VLOOKUP($B88,'A1.3.10'!$S$28:$AE$58,2,)="",'Fuel consumption'!E$27=""),"",'Fuel consumption'!E$27 * VLOOKUP($B88,'A1.3.10'!$S$28:$AE$58,2,))))</f>
        <v>6.9126195403069218E-2</v>
      </c>
      <c r="F88" s="2485">
        <f>IF($B88&lt;'A1.3.10'!$S$28,"",IF($B88&gt;'A1.3.10'!$S$58,F87,IF(OR(VLOOKUP($B88,'A1.3.10'!$S$28:$AE$58,2,)="",'Fuel consumption'!F$27=""),"",'Fuel consumption'!F$27 * VLOOKUP($B88,'A1.3.10'!$S$28:$AE$58,2,))))</f>
        <v>-7.8742934140708519E-4</v>
      </c>
      <c r="G88" s="2642">
        <f>IF($B88&lt;'A1.3.10'!$S$28,"",IF($B88&gt;'A1.3.10'!$S$58,G87,IF(OR(VLOOKUP($B88,'A1.3.10'!$S$28:$AE$58,2,)="",'Fuel consumption'!G$27=""),"",'Fuel consumption'!G$27 * VLOOKUP($B88,'A1.3.10'!$S$28:$AE$58,2,))))</f>
        <v>5.2150811705064693E-6</v>
      </c>
      <c r="H88" s="2486">
        <f>IF($B88&lt;'A1.3.10'!$S$28,"",IF($B88&gt;'A1.3.10'!$S$58,H87,IF(OR(VLOOKUP($B88,'A1.3.10'!$S$28:$AE$58,3,)="",'Fuel consumption'!D$28=""),"",'Fuel consumption'!D$28  * VLOOKUP($B88,'A1.3.10'!$S$28:$AE$58,3,))))</f>
        <v>0.38728007442052015</v>
      </c>
      <c r="I88" s="2487">
        <f>IF($B88&lt;'A1.3.10'!$S$28,"",IF($B88&gt;'A1.3.10'!$S$58,I87,IF(OR(VLOOKUP($B88,'A1.3.10'!$S$28:$AE$58,3,)="",'Fuel consumption'!E$28=""),"",'Fuel consumption'!E$28  * VLOOKUP($B88,'A1.3.10'!$S$28:$AE$58,3,))))</f>
        <v>5.5526385246550972E-2</v>
      </c>
      <c r="J88" s="2487">
        <f>IF($B88&lt;'A1.3.10'!$S$28,"",IF($B88&gt;'A1.3.10'!$S$58,J87,IF(OR(VLOOKUP($B88,'A1.3.10'!$S$28:$AE$58,3,)="",'Fuel consumption'!F$28=""),"",'Fuel consumption'!F$28  * VLOOKUP($B88,'A1.3.10'!$S$28:$AE$58,3,))))</f>
        <v>-5.3417929464962704E-4</v>
      </c>
      <c r="K88" s="2642">
        <f>IF($B88&lt;'A1.3.10'!$S$28,"",IF($B88&gt;'A1.3.10'!$S$58,K87,IF(OR(VLOOKUP($B88,'A1.3.10'!$S$28:$AE$58,3,)="",'Fuel consumption'!G$28=""),"",'Fuel consumption'!G$28  * VLOOKUP($B88,'A1.3.10'!$S$28:$AE$58,3,))))</f>
        <v>4.2093596420141842E-6</v>
      </c>
      <c r="L88" s="2486" t="str">
        <f>IF($B88&lt;'A1.3.10'!$S$28,"",IF($B88&gt;'A1.3.10'!$S$58,L87,IF(OR(VLOOKUP($B88,'A1.3.10'!$S$28:$AE$58,4,)="", 'Fuel consumption'!D$36=""),"",'Fuel consumption'!D$36 * VLOOKUP($B88,'A1.3.10'!$S$28:$AE$58,4,))))</f>
        <v/>
      </c>
      <c r="M88" s="2487">
        <f>IF($B88&lt;'A1.3.10'!$S$28,"",IF($B88&gt;'A1.3.10'!$S$58,M87,IF(OR(VLOOKUP($B88,'A1.3.10'!$S$28:$AE$58,4,)="", 'Fuel consumption'!E$36=""),"",'Fuel consumption'!E$36 * VLOOKUP($B88,'A1.3.10'!$S$28:$AE$58,4,))))</f>
        <v>0.12679510393803953</v>
      </c>
      <c r="N88" s="614" t="str">
        <f>IF($B88&lt;'A1.3.10'!$S$28,"",IF($B88&gt;'A1.3.10'!$S$58,N87,IF(OR(VLOOKUP($B88,'A1.3.10'!$S$28:$AE$58,4,)="", 'Fuel consumption'!F$36=""),"",'Fuel consumption'!F$36 * VLOOKUP($B88,'A1.3.10'!$S$28:$AE$58,4,))))</f>
        <v/>
      </c>
      <c r="O88" s="612" t="str">
        <f>IF($B88&lt;'A1.3.10'!$S$28,"",IF($B88&gt;'A1.3.10'!$S$58,O87,IF(OR(VLOOKUP($B88,'A1.3.10'!$S$28:$AE$58,4,)="", 'Fuel consumption'!G$36=""),"",'Fuel consumption'!G$36 * VLOOKUP($B88,'A1.3.10'!$S$28:$AE$58,4,))))</f>
        <v/>
      </c>
      <c r="P88" s="610">
        <f>IF($B88&lt;'A1.3.10'!$S$28,"",IF($B88&gt;'A1.3.10'!$S$58,P87,IF(OR(VLOOKUP($B88,'A1.3.10'!$S$28:$AE$58,5,)="",'Fuel consumption'!D$29=""),"",'Fuel consumption'!D$29 * VLOOKUP($B88,'A1.3.10'!$S$28:$AE$58,5,))))</f>
        <v>0.23398100209323003</v>
      </c>
      <c r="Q88" s="611">
        <f>IF($B88&lt;'A1.3.10'!$S$28,"",IF($B88&gt;'A1.3.10'!$S$58,Q87,IF(OR(VLOOKUP($B88,'A1.3.10'!$S$28:$AE$58,5,)="",'Fuel consumption'!E$29=""),"",'Fuel consumption'!E$29 * VLOOKUP($B88,'A1.3.10'!$S$28:$AE$58,5,))))</f>
        <v>0.13120300165283155</v>
      </c>
      <c r="R88" s="611">
        <f>IF($B88&lt;'A1.3.10'!$S$28,"",IF($B88&gt;'A1.3.10'!$S$58,R87,IF(OR(VLOOKUP($B88,'A1.3.10'!$S$28:$AE$58,5,)="",'Fuel consumption'!F$29=""),"",'Fuel consumption'!F$29 * VLOOKUP($B88,'A1.3.10'!$S$28:$AE$58,5,))))</f>
        <v>-2.0594564659300405E-3</v>
      </c>
      <c r="S88" s="2642">
        <f>IF($B88&lt;'A1.3.10'!$S$28,"",IF($B88&gt;'A1.3.10'!$S$58,S87,IF(OR(VLOOKUP($B88,'A1.3.10'!$S$28:$AE$58,5,)="",'Fuel consumption'!G$29=""),"",'Fuel consumption'!G$29 * VLOOKUP($B88,'A1.3.10'!$S$28:$AE$58,5,))))</f>
        <v>1.3300046823685748E-5</v>
      </c>
      <c r="T88" s="610">
        <f>IF($B88&lt;'A1.3.10'!$S$28,"",IF($B88&gt;'A1.3.10'!$S$58,T87,IF(OR(VLOOKUP($B88,'A1.3.10'!$S$28:$AE$58,6,)="",'Fuel consumption'!D$30=""),"",'Fuel consumption'!D$30 * VLOOKUP($B88,'A1.3.10'!$S$28:$AE$58,6,))))</f>
        <v>0.3988609037344879</v>
      </c>
      <c r="U88" s="611">
        <f>IF($B88&lt;'A1.3.10'!$S$28,"",IF($B88&gt;'A1.3.10'!$S$58,U87,IF(OR(VLOOKUP($B88,'A1.3.10'!$S$28:$AE$58,6,)="",'Fuel consumption'!E$30=""),"",'Fuel consumption'!E$30 * VLOOKUP($B88,'A1.3.10'!$S$28:$AE$58,6,))))</f>
        <v>9.7483230363204512E-2</v>
      </c>
      <c r="V88" s="611">
        <f>IF($B88&lt;'A1.3.10'!$S$28,"",IF($B88&gt;'A1.3.10'!$S$58,V87,IF(OR(VLOOKUP($B88,'A1.3.10'!$S$28:$AE$58,6,)="",'Fuel consumption'!F$30=""),"",'Fuel consumption'!F$30 * VLOOKUP($B88,'A1.3.10'!$S$28:$AE$58,6,))))</f>
        <v>-1.4063727682028522E-3</v>
      </c>
      <c r="W88" s="2642">
        <f>IF($B88&lt;'A1.3.10'!$S$28,"",IF($B88&gt;'A1.3.10'!$S$58,W87,IF(OR(VLOOKUP($B88,'A1.3.10'!$S$28:$AE$58,6,)="",'Fuel consumption'!G$30=""),"",'Fuel consumption'!G$30 * VLOOKUP($B88,'A1.3.10'!$S$28:$AE$58,6,))))</f>
        <v>1.1906400891809692E-5</v>
      </c>
      <c r="X88" s="3144"/>
      <c r="Y88" s="2487">
        <f>IF($B88&lt;'A1.3.10'!$S$28,"",IF($B88&gt;'A1.3.10'!$S$58,Y87,IF(OR(VLOOKUP($B88,'A1.3.10'!$S$28:$AE$58,7,)="", 'Fuel consumption'!E$37=""),"",'Fuel consumption'!E$37 * VLOOKUP($B88,'A1.3.10'!$S$28:$AE$58,7,))))</f>
        <v>0.29149401103980166</v>
      </c>
      <c r="Z88" s="2642"/>
      <c r="AA88" s="2642"/>
      <c r="AB88" s="610">
        <f>IF($B88&lt;'A1.3.10'!$S$28,"",IF($B88&gt;'A1.3.10'!$S$58,AB87,IF(OR(VLOOKUP($B88,'A1.3.10'!$S$28:$AE$58,8,)="",'Fuel consumption'!D$31=""),"",'Fuel consumption'!D$31 * VLOOKUP($B88,'A1.3.10'!$S$28:$AE$58,8,))))</f>
        <v>2.6962848686626804</v>
      </c>
      <c r="AC88" s="611">
        <f>IF($B88&lt;'A1.3.10'!$S$28,"",IF($B88&gt;'A1.3.10'!$S$58,AC87,IF(OR(VLOOKUP($B88,'A1.3.10'!$S$28:$AE$58,8,)="",'Fuel consumption'!E$31=""),"",'Fuel consumption'!E$31 * VLOOKUP($B88,'A1.3.10'!$S$28:$AE$58,8,))))</f>
        <v>0.143057339771858</v>
      </c>
      <c r="AD88" s="611">
        <f>IF($B88&lt;'A1.3.10'!$S$28,"",IF($B88&gt;'A1.3.10'!$S$58,AD87,IF(OR(VLOOKUP($B88,'A1.3.10'!$S$28:$AE$58,8,)="",'Fuel consumption'!F$31=""),"",'Fuel consumption'!F$31 * VLOOKUP($B88,'A1.3.10'!$S$28:$AE$58,8,))))</f>
        <v>-1.0340193601785499E-3</v>
      </c>
      <c r="AE88" s="2642">
        <f>IF($B88&lt;'A1.3.10'!$S$28,"",IF($B88&gt;'A1.3.10'!$S$58,AE87,IF(OR(VLOOKUP($B88,'A1.3.10'!$S$28:$AE$58,8,)="",'Fuel consumption'!G$31=""),"",'Fuel consumption'!G$31 * VLOOKUP($B88,'A1.3.10'!$S$28:$AE$58,8,))))</f>
        <v>1.1293150500864199E-5</v>
      </c>
      <c r="AF88" s="610">
        <f>IF($B88&lt;'A1.3.10'!$S$28,"",IF($B88&gt;'A1.3.10'!$S$58,AF87,IF(OR(VLOOKUP($B88,'A1.3.10'!$S$28:$AE$58,10,)="",'Fuel consumption'!D$32=""),"",'Fuel consumption'!D$32 * VLOOKUP($B88,'A1.3.10'!$S$28:$AE$58,10,))))</f>
        <v>5.6655970981789903</v>
      </c>
      <c r="AG88" s="611">
        <f>IF($B88&lt;'A1.3.10'!$S$28,"",IF($B88&gt;'A1.3.10'!$S$58,AG87,IF(OR(VLOOKUP($B88,'A1.3.10'!$S$28:$AE$58,10,)="",'Fuel consumption'!E$32=""),"",'Fuel consumption'!E$32 * VLOOKUP($B88,'A1.3.10'!$S$28:$AE$58,10,))))</f>
        <v>0.29422449618924201</v>
      </c>
      <c r="AH88" s="611">
        <f>IF($B88&lt;'A1.3.10'!$S$28,"",IF($B88&gt;'A1.3.10'!$S$58,AH87,IF(OR(VLOOKUP($B88,'A1.3.10'!$S$28:$AE$58,10,)="",'Fuel consumption'!F$32=""),"",'Fuel consumption'!F$32 * VLOOKUP($B88,'A1.3.10'!$S$28:$AE$58,10,))))</f>
        <v>-1.9493920679616401E-3</v>
      </c>
      <c r="AI88" s="1578">
        <f>IF($B88&lt;'A1.3.10'!$S$28,"",IF($B88&gt;'A1.3.10'!$S$58,AI87,IF(OR(VLOOKUP($B88,'A1.3.10'!$S$28:$AE$58,10,)="",'Fuel consumption'!G$32=""),"",'Fuel consumption'!G$32 * VLOOKUP($B88,'A1.3.10'!$S$28:$AE$58,10,))))</f>
        <v>1.1619187345164999E-5</v>
      </c>
      <c r="AJ88" s="610">
        <f>IF($B88&lt;'A1.3.10'!$S$28,"",IF($B88&gt;'A1.3.10'!$S$58,AJ87,IF(OR(VLOOKUP($B88,'A1.3.10'!$S$28:$AE$58,12,)="",'Fuel consumption'!D$33=""),"",'Fuel consumption'!D$33 * VLOOKUP($B88,'A1.3.10'!$S$28:$AE$58,12,))))</f>
        <v>3.3601870156891001</v>
      </c>
      <c r="AK88" s="611">
        <f>IF($B88&lt;'A1.3.10'!$S$28,"",IF($B88&gt;'A1.3.10'!$S$58,AK87,IF(OR(VLOOKUP($B88,'A1.3.10'!$S$28:$AE$58,12,)="",'Fuel consumption'!E$33=""),"",'Fuel consumption'!E$33 * VLOOKUP($B88,'A1.3.10'!$S$28:$AE$58,12,))))</f>
        <v>0.29524938703213599</v>
      </c>
      <c r="AL88" s="611">
        <f>IF($B88&lt;'A1.3.10'!$S$28,"",IF($B88&gt;'A1.3.10'!$S$58,AL87,IF(OR(VLOOKUP($B88,'A1.3.10'!$S$28:$AE$58,12,)="",'Fuel consumption'!F$33=""),"",'Fuel consumption'!F$33 * VLOOKUP($B88,'A1.3.10'!$S$28:$AE$58,12,))))</f>
        <v>-3.20909768342738E-3</v>
      </c>
      <c r="AM88" s="1578">
        <f>IF($B88&lt;'A1.3.10'!$S$28,"",IF($B88&gt;'A1.3.10'!$S$58,AM87,IF(OR(VLOOKUP($B88,'A1.3.10'!$S$28:$AE$58,12,)="",'Fuel consumption'!G$33=""),"",'Fuel consumption'!G$33 * VLOOKUP($B88,'A1.3.10'!$S$28:$AE$58,12,))))</f>
        <v>2.3540043227716499E-5</v>
      </c>
    </row>
    <row r="89" spans="1:39" ht="13.5" customHeight="1">
      <c r="A89" s="623"/>
      <c r="B89" s="614">
        <f t="shared" si="4"/>
        <v>2073</v>
      </c>
      <c r="C89" s="609"/>
      <c r="D89" s="2484">
        <f>IF($B89&lt;'A1.3.10'!$S$28,"",IF($B89&gt;'A1.3.10'!$S$58,D88,IF(OR(VLOOKUP($B89,'A1.3.10'!$S$28:$AE$58,2,)="",'Fuel consumption'!D$27=""),"",'Fuel consumption'!D$27 * VLOOKUP($B89,'A1.3.10'!$S$28:$AE$58,2,))))</f>
        <v>0.32527491364024624</v>
      </c>
      <c r="E89" s="2485">
        <f>IF($B89&lt;'A1.3.10'!$S$28,"",IF($B89&gt;'A1.3.10'!$S$58,E88,IF(OR(VLOOKUP($B89,'A1.3.10'!$S$28:$AE$58,2,)="",'Fuel consumption'!E$27=""),"",'Fuel consumption'!E$27 * VLOOKUP($B89,'A1.3.10'!$S$28:$AE$58,2,))))</f>
        <v>6.9126195403069218E-2</v>
      </c>
      <c r="F89" s="2485">
        <f>IF($B89&lt;'A1.3.10'!$S$28,"",IF($B89&gt;'A1.3.10'!$S$58,F88,IF(OR(VLOOKUP($B89,'A1.3.10'!$S$28:$AE$58,2,)="",'Fuel consumption'!F$27=""),"",'Fuel consumption'!F$27 * VLOOKUP($B89,'A1.3.10'!$S$28:$AE$58,2,))))</f>
        <v>-7.8742934140708519E-4</v>
      </c>
      <c r="G89" s="2642">
        <f>IF($B89&lt;'A1.3.10'!$S$28,"",IF($B89&gt;'A1.3.10'!$S$58,G88,IF(OR(VLOOKUP($B89,'A1.3.10'!$S$28:$AE$58,2,)="",'Fuel consumption'!G$27=""),"",'Fuel consumption'!G$27 * VLOOKUP($B89,'A1.3.10'!$S$28:$AE$58,2,))))</f>
        <v>5.2150811705064693E-6</v>
      </c>
      <c r="H89" s="2486">
        <f>IF($B89&lt;'A1.3.10'!$S$28,"",IF($B89&gt;'A1.3.10'!$S$58,H88,IF(OR(VLOOKUP($B89,'A1.3.10'!$S$28:$AE$58,3,)="",'Fuel consumption'!D$28=""),"",'Fuel consumption'!D$28  * VLOOKUP($B89,'A1.3.10'!$S$28:$AE$58,3,))))</f>
        <v>0.38728007442052015</v>
      </c>
      <c r="I89" s="2487">
        <f>IF($B89&lt;'A1.3.10'!$S$28,"",IF($B89&gt;'A1.3.10'!$S$58,I88,IF(OR(VLOOKUP($B89,'A1.3.10'!$S$28:$AE$58,3,)="",'Fuel consumption'!E$28=""),"",'Fuel consumption'!E$28  * VLOOKUP($B89,'A1.3.10'!$S$28:$AE$58,3,))))</f>
        <v>5.5526385246550972E-2</v>
      </c>
      <c r="J89" s="2487">
        <f>IF($B89&lt;'A1.3.10'!$S$28,"",IF($B89&gt;'A1.3.10'!$S$58,J88,IF(OR(VLOOKUP($B89,'A1.3.10'!$S$28:$AE$58,3,)="",'Fuel consumption'!F$28=""),"",'Fuel consumption'!F$28  * VLOOKUP($B89,'A1.3.10'!$S$28:$AE$58,3,))))</f>
        <v>-5.3417929464962704E-4</v>
      </c>
      <c r="K89" s="2642">
        <f>IF($B89&lt;'A1.3.10'!$S$28,"",IF($B89&gt;'A1.3.10'!$S$58,K88,IF(OR(VLOOKUP($B89,'A1.3.10'!$S$28:$AE$58,3,)="",'Fuel consumption'!G$28=""),"",'Fuel consumption'!G$28  * VLOOKUP($B89,'A1.3.10'!$S$28:$AE$58,3,))))</f>
        <v>4.2093596420141842E-6</v>
      </c>
      <c r="L89" s="2486" t="str">
        <f>IF($B89&lt;'A1.3.10'!$S$28,"",IF($B89&gt;'A1.3.10'!$S$58,L88,IF(OR(VLOOKUP($B89,'A1.3.10'!$S$28:$AE$58,4,)="", 'Fuel consumption'!D$36=""),"",'Fuel consumption'!D$36 * VLOOKUP($B89,'A1.3.10'!$S$28:$AE$58,4,))))</f>
        <v/>
      </c>
      <c r="M89" s="2487">
        <f>IF($B89&lt;'A1.3.10'!$S$28,"",IF($B89&gt;'A1.3.10'!$S$58,M88,IF(OR(VLOOKUP($B89,'A1.3.10'!$S$28:$AE$58,4,)="", 'Fuel consumption'!E$36=""),"",'Fuel consumption'!E$36 * VLOOKUP($B89,'A1.3.10'!$S$28:$AE$58,4,))))</f>
        <v>0.12679510393803953</v>
      </c>
      <c r="N89" s="614" t="str">
        <f>IF($B89&lt;'A1.3.10'!$S$28,"",IF($B89&gt;'A1.3.10'!$S$58,N88,IF(OR(VLOOKUP($B89,'A1.3.10'!$S$28:$AE$58,4,)="", 'Fuel consumption'!F$36=""),"",'Fuel consumption'!F$36 * VLOOKUP($B89,'A1.3.10'!$S$28:$AE$58,4,))))</f>
        <v/>
      </c>
      <c r="O89" s="612" t="str">
        <f>IF($B89&lt;'A1.3.10'!$S$28,"",IF($B89&gt;'A1.3.10'!$S$58,O88,IF(OR(VLOOKUP($B89,'A1.3.10'!$S$28:$AE$58,4,)="", 'Fuel consumption'!G$36=""),"",'Fuel consumption'!G$36 * VLOOKUP($B89,'A1.3.10'!$S$28:$AE$58,4,))))</f>
        <v/>
      </c>
      <c r="P89" s="610">
        <f>IF($B89&lt;'A1.3.10'!$S$28,"",IF($B89&gt;'A1.3.10'!$S$58,P88,IF(OR(VLOOKUP($B89,'A1.3.10'!$S$28:$AE$58,5,)="",'Fuel consumption'!D$29=""),"",'Fuel consumption'!D$29 * VLOOKUP($B89,'A1.3.10'!$S$28:$AE$58,5,))))</f>
        <v>0.23398100209323003</v>
      </c>
      <c r="Q89" s="611">
        <f>IF($B89&lt;'A1.3.10'!$S$28,"",IF($B89&gt;'A1.3.10'!$S$58,Q88,IF(OR(VLOOKUP($B89,'A1.3.10'!$S$28:$AE$58,5,)="",'Fuel consumption'!E$29=""),"",'Fuel consumption'!E$29 * VLOOKUP($B89,'A1.3.10'!$S$28:$AE$58,5,))))</f>
        <v>0.13120300165283155</v>
      </c>
      <c r="R89" s="611">
        <f>IF($B89&lt;'A1.3.10'!$S$28,"",IF($B89&gt;'A1.3.10'!$S$58,R88,IF(OR(VLOOKUP($B89,'A1.3.10'!$S$28:$AE$58,5,)="",'Fuel consumption'!F$29=""),"",'Fuel consumption'!F$29 * VLOOKUP($B89,'A1.3.10'!$S$28:$AE$58,5,))))</f>
        <v>-2.0594564659300405E-3</v>
      </c>
      <c r="S89" s="2642">
        <f>IF($B89&lt;'A1.3.10'!$S$28,"",IF($B89&gt;'A1.3.10'!$S$58,S88,IF(OR(VLOOKUP($B89,'A1.3.10'!$S$28:$AE$58,5,)="",'Fuel consumption'!G$29=""),"",'Fuel consumption'!G$29 * VLOOKUP($B89,'A1.3.10'!$S$28:$AE$58,5,))))</f>
        <v>1.3300046823685748E-5</v>
      </c>
      <c r="T89" s="610">
        <f>IF($B89&lt;'A1.3.10'!$S$28,"",IF($B89&gt;'A1.3.10'!$S$58,T88,IF(OR(VLOOKUP($B89,'A1.3.10'!$S$28:$AE$58,6,)="",'Fuel consumption'!D$30=""),"",'Fuel consumption'!D$30 * VLOOKUP($B89,'A1.3.10'!$S$28:$AE$58,6,))))</f>
        <v>0.3988609037344879</v>
      </c>
      <c r="U89" s="611">
        <f>IF($B89&lt;'A1.3.10'!$S$28,"",IF($B89&gt;'A1.3.10'!$S$58,U88,IF(OR(VLOOKUP($B89,'A1.3.10'!$S$28:$AE$58,6,)="",'Fuel consumption'!E$30=""),"",'Fuel consumption'!E$30 * VLOOKUP($B89,'A1.3.10'!$S$28:$AE$58,6,))))</f>
        <v>9.7483230363204512E-2</v>
      </c>
      <c r="V89" s="611">
        <f>IF($B89&lt;'A1.3.10'!$S$28,"",IF($B89&gt;'A1.3.10'!$S$58,V88,IF(OR(VLOOKUP($B89,'A1.3.10'!$S$28:$AE$58,6,)="",'Fuel consumption'!F$30=""),"",'Fuel consumption'!F$30 * VLOOKUP($B89,'A1.3.10'!$S$28:$AE$58,6,))))</f>
        <v>-1.4063727682028522E-3</v>
      </c>
      <c r="W89" s="2642">
        <f>IF($B89&lt;'A1.3.10'!$S$28,"",IF($B89&gt;'A1.3.10'!$S$58,W88,IF(OR(VLOOKUP($B89,'A1.3.10'!$S$28:$AE$58,6,)="",'Fuel consumption'!G$30=""),"",'Fuel consumption'!G$30 * VLOOKUP($B89,'A1.3.10'!$S$28:$AE$58,6,))))</f>
        <v>1.1906400891809692E-5</v>
      </c>
      <c r="X89" s="3144"/>
      <c r="Y89" s="2487">
        <f>IF($B89&lt;'A1.3.10'!$S$28,"",IF($B89&gt;'A1.3.10'!$S$58,Y88,IF(OR(VLOOKUP($B89,'A1.3.10'!$S$28:$AE$58,7,)="", 'Fuel consumption'!E$37=""),"",'Fuel consumption'!E$37 * VLOOKUP($B89,'A1.3.10'!$S$28:$AE$58,7,))))</f>
        <v>0.29149401103980166</v>
      </c>
      <c r="Z89" s="2642"/>
      <c r="AA89" s="2642"/>
      <c r="AB89" s="610">
        <f>IF($B89&lt;'A1.3.10'!$S$28,"",IF($B89&gt;'A1.3.10'!$S$58,AB88,IF(OR(VLOOKUP($B89,'A1.3.10'!$S$28:$AE$58,8,)="",'Fuel consumption'!D$31=""),"",'Fuel consumption'!D$31 * VLOOKUP($B89,'A1.3.10'!$S$28:$AE$58,8,))))</f>
        <v>2.6962848686626804</v>
      </c>
      <c r="AC89" s="611">
        <f>IF($B89&lt;'A1.3.10'!$S$28,"",IF($B89&gt;'A1.3.10'!$S$58,AC88,IF(OR(VLOOKUP($B89,'A1.3.10'!$S$28:$AE$58,8,)="",'Fuel consumption'!E$31=""),"",'Fuel consumption'!E$31 * VLOOKUP($B89,'A1.3.10'!$S$28:$AE$58,8,))))</f>
        <v>0.143057339771858</v>
      </c>
      <c r="AD89" s="611">
        <f>IF($B89&lt;'A1.3.10'!$S$28,"",IF($B89&gt;'A1.3.10'!$S$58,AD88,IF(OR(VLOOKUP($B89,'A1.3.10'!$S$28:$AE$58,8,)="",'Fuel consumption'!F$31=""),"",'Fuel consumption'!F$31 * VLOOKUP($B89,'A1.3.10'!$S$28:$AE$58,8,))))</f>
        <v>-1.0340193601785499E-3</v>
      </c>
      <c r="AE89" s="2642">
        <f>IF($B89&lt;'A1.3.10'!$S$28,"",IF($B89&gt;'A1.3.10'!$S$58,AE88,IF(OR(VLOOKUP($B89,'A1.3.10'!$S$28:$AE$58,8,)="",'Fuel consumption'!G$31=""),"",'Fuel consumption'!G$31 * VLOOKUP($B89,'A1.3.10'!$S$28:$AE$58,8,))))</f>
        <v>1.1293150500864199E-5</v>
      </c>
      <c r="AF89" s="610">
        <f>IF($B89&lt;'A1.3.10'!$S$28,"",IF($B89&gt;'A1.3.10'!$S$58,AF88,IF(OR(VLOOKUP($B89,'A1.3.10'!$S$28:$AE$58,10,)="",'Fuel consumption'!D$32=""),"",'Fuel consumption'!D$32 * VLOOKUP($B89,'A1.3.10'!$S$28:$AE$58,10,))))</f>
        <v>5.6655970981789903</v>
      </c>
      <c r="AG89" s="611">
        <f>IF($B89&lt;'A1.3.10'!$S$28,"",IF($B89&gt;'A1.3.10'!$S$58,AG88,IF(OR(VLOOKUP($B89,'A1.3.10'!$S$28:$AE$58,10,)="",'Fuel consumption'!E$32=""),"",'Fuel consumption'!E$32 * VLOOKUP($B89,'A1.3.10'!$S$28:$AE$58,10,))))</f>
        <v>0.29422449618924201</v>
      </c>
      <c r="AH89" s="611">
        <f>IF($B89&lt;'A1.3.10'!$S$28,"",IF($B89&gt;'A1.3.10'!$S$58,AH88,IF(OR(VLOOKUP($B89,'A1.3.10'!$S$28:$AE$58,10,)="",'Fuel consumption'!F$32=""),"",'Fuel consumption'!F$32 * VLOOKUP($B89,'A1.3.10'!$S$28:$AE$58,10,))))</f>
        <v>-1.9493920679616401E-3</v>
      </c>
      <c r="AI89" s="1578">
        <f>IF($B89&lt;'A1.3.10'!$S$28,"",IF($B89&gt;'A1.3.10'!$S$58,AI88,IF(OR(VLOOKUP($B89,'A1.3.10'!$S$28:$AE$58,10,)="",'Fuel consumption'!G$32=""),"",'Fuel consumption'!G$32 * VLOOKUP($B89,'A1.3.10'!$S$28:$AE$58,10,))))</f>
        <v>1.1619187345164999E-5</v>
      </c>
      <c r="AJ89" s="610">
        <f>IF($B89&lt;'A1.3.10'!$S$28,"",IF($B89&gt;'A1.3.10'!$S$58,AJ88,IF(OR(VLOOKUP($B89,'A1.3.10'!$S$28:$AE$58,12,)="",'Fuel consumption'!D$33=""),"",'Fuel consumption'!D$33 * VLOOKUP($B89,'A1.3.10'!$S$28:$AE$58,12,))))</f>
        <v>3.3601870156891001</v>
      </c>
      <c r="AK89" s="611">
        <f>IF($B89&lt;'A1.3.10'!$S$28,"",IF($B89&gt;'A1.3.10'!$S$58,AK88,IF(OR(VLOOKUP($B89,'A1.3.10'!$S$28:$AE$58,12,)="",'Fuel consumption'!E$33=""),"",'Fuel consumption'!E$33 * VLOOKUP($B89,'A1.3.10'!$S$28:$AE$58,12,))))</f>
        <v>0.29524938703213599</v>
      </c>
      <c r="AL89" s="611">
        <f>IF($B89&lt;'A1.3.10'!$S$28,"",IF($B89&gt;'A1.3.10'!$S$58,AL88,IF(OR(VLOOKUP($B89,'A1.3.10'!$S$28:$AE$58,12,)="",'Fuel consumption'!F$33=""),"",'Fuel consumption'!F$33 * VLOOKUP($B89,'A1.3.10'!$S$28:$AE$58,12,))))</f>
        <v>-3.20909768342738E-3</v>
      </c>
      <c r="AM89" s="1578">
        <f>IF($B89&lt;'A1.3.10'!$S$28,"",IF($B89&gt;'A1.3.10'!$S$58,AM88,IF(OR(VLOOKUP($B89,'A1.3.10'!$S$28:$AE$58,12,)="",'Fuel consumption'!G$33=""),"",'Fuel consumption'!G$33 * VLOOKUP($B89,'A1.3.10'!$S$28:$AE$58,12,))))</f>
        <v>2.3540043227716499E-5</v>
      </c>
    </row>
    <row r="90" spans="1:39" ht="13.5" customHeight="1">
      <c r="A90" s="623"/>
      <c r="B90" s="614">
        <f t="shared" si="4"/>
        <v>2074</v>
      </c>
      <c r="C90" s="609"/>
      <c r="D90" s="2484">
        <f>IF($B90&lt;'A1.3.10'!$S$28,"",IF($B90&gt;'A1.3.10'!$S$58,D89,IF(OR(VLOOKUP($B90,'A1.3.10'!$S$28:$AE$58,2,)="",'Fuel consumption'!D$27=""),"",'Fuel consumption'!D$27 * VLOOKUP($B90,'A1.3.10'!$S$28:$AE$58,2,))))</f>
        <v>0.32527491364024624</v>
      </c>
      <c r="E90" s="2485">
        <f>IF($B90&lt;'A1.3.10'!$S$28,"",IF($B90&gt;'A1.3.10'!$S$58,E89,IF(OR(VLOOKUP($B90,'A1.3.10'!$S$28:$AE$58,2,)="",'Fuel consumption'!E$27=""),"",'Fuel consumption'!E$27 * VLOOKUP($B90,'A1.3.10'!$S$28:$AE$58,2,))))</f>
        <v>6.9126195403069218E-2</v>
      </c>
      <c r="F90" s="2485">
        <f>IF($B90&lt;'A1.3.10'!$S$28,"",IF($B90&gt;'A1.3.10'!$S$58,F89,IF(OR(VLOOKUP($B90,'A1.3.10'!$S$28:$AE$58,2,)="",'Fuel consumption'!F$27=""),"",'Fuel consumption'!F$27 * VLOOKUP($B90,'A1.3.10'!$S$28:$AE$58,2,))))</f>
        <v>-7.8742934140708519E-4</v>
      </c>
      <c r="G90" s="2642">
        <f>IF($B90&lt;'A1.3.10'!$S$28,"",IF($B90&gt;'A1.3.10'!$S$58,G89,IF(OR(VLOOKUP($B90,'A1.3.10'!$S$28:$AE$58,2,)="",'Fuel consumption'!G$27=""),"",'Fuel consumption'!G$27 * VLOOKUP($B90,'A1.3.10'!$S$28:$AE$58,2,))))</f>
        <v>5.2150811705064693E-6</v>
      </c>
      <c r="H90" s="2486">
        <f>IF($B90&lt;'A1.3.10'!$S$28,"",IF($B90&gt;'A1.3.10'!$S$58,H89,IF(OR(VLOOKUP($B90,'A1.3.10'!$S$28:$AE$58,3,)="",'Fuel consumption'!D$28=""),"",'Fuel consumption'!D$28  * VLOOKUP($B90,'A1.3.10'!$S$28:$AE$58,3,))))</f>
        <v>0.38728007442052015</v>
      </c>
      <c r="I90" s="2487">
        <f>IF($B90&lt;'A1.3.10'!$S$28,"",IF($B90&gt;'A1.3.10'!$S$58,I89,IF(OR(VLOOKUP($B90,'A1.3.10'!$S$28:$AE$58,3,)="",'Fuel consumption'!E$28=""),"",'Fuel consumption'!E$28  * VLOOKUP($B90,'A1.3.10'!$S$28:$AE$58,3,))))</f>
        <v>5.5526385246550972E-2</v>
      </c>
      <c r="J90" s="2487">
        <f>IF($B90&lt;'A1.3.10'!$S$28,"",IF($B90&gt;'A1.3.10'!$S$58,J89,IF(OR(VLOOKUP($B90,'A1.3.10'!$S$28:$AE$58,3,)="",'Fuel consumption'!F$28=""),"",'Fuel consumption'!F$28  * VLOOKUP($B90,'A1.3.10'!$S$28:$AE$58,3,))))</f>
        <v>-5.3417929464962704E-4</v>
      </c>
      <c r="K90" s="2642">
        <f>IF($B90&lt;'A1.3.10'!$S$28,"",IF($B90&gt;'A1.3.10'!$S$58,K89,IF(OR(VLOOKUP($B90,'A1.3.10'!$S$28:$AE$58,3,)="",'Fuel consumption'!G$28=""),"",'Fuel consumption'!G$28  * VLOOKUP($B90,'A1.3.10'!$S$28:$AE$58,3,))))</f>
        <v>4.2093596420141842E-6</v>
      </c>
      <c r="L90" s="2486" t="str">
        <f>IF($B90&lt;'A1.3.10'!$S$28,"",IF($B90&gt;'A1.3.10'!$S$58,L89,IF(OR(VLOOKUP($B90,'A1.3.10'!$S$28:$AE$58,4,)="", 'Fuel consumption'!D$36=""),"",'Fuel consumption'!D$36 * VLOOKUP($B90,'A1.3.10'!$S$28:$AE$58,4,))))</f>
        <v/>
      </c>
      <c r="M90" s="2487">
        <f>IF($B90&lt;'A1.3.10'!$S$28,"",IF($B90&gt;'A1.3.10'!$S$58,M89,IF(OR(VLOOKUP($B90,'A1.3.10'!$S$28:$AE$58,4,)="", 'Fuel consumption'!E$36=""),"",'Fuel consumption'!E$36 * VLOOKUP($B90,'A1.3.10'!$S$28:$AE$58,4,))))</f>
        <v>0.12679510393803953</v>
      </c>
      <c r="N90" s="614" t="str">
        <f>IF($B90&lt;'A1.3.10'!$S$28,"",IF($B90&gt;'A1.3.10'!$S$58,N89,IF(OR(VLOOKUP($B90,'A1.3.10'!$S$28:$AE$58,4,)="", 'Fuel consumption'!F$36=""),"",'Fuel consumption'!F$36 * VLOOKUP($B90,'A1.3.10'!$S$28:$AE$58,4,))))</f>
        <v/>
      </c>
      <c r="O90" s="612" t="str">
        <f>IF($B90&lt;'A1.3.10'!$S$28,"",IF($B90&gt;'A1.3.10'!$S$58,O89,IF(OR(VLOOKUP($B90,'A1.3.10'!$S$28:$AE$58,4,)="", 'Fuel consumption'!G$36=""),"",'Fuel consumption'!G$36 * VLOOKUP($B90,'A1.3.10'!$S$28:$AE$58,4,))))</f>
        <v/>
      </c>
      <c r="P90" s="610">
        <f>IF($B90&lt;'A1.3.10'!$S$28,"",IF($B90&gt;'A1.3.10'!$S$58,P89,IF(OR(VLOOKUP($B90,'A1.3.10'!$S$28:$AE$58,5,)="",'Fuel consumption'!D$29=""),"",'Fuel consumption'!D$29 * VLOOKUP($B90,'A1.3.10'!$S$28:$AE$58,5,))))</f>
        <v>0.23398100209323003</v>
      </c>
      <c r="Q90" s="611">
        <f>IF($B90&lt;'A1.3.10'!$S$28,"",IF($B90&gt;'A1.3.10'!$S$58,Q89,IF(OR(VLOOKUP($B90,'A1.3.10'!$S$28:$AE$58,5,)="",'Fuel consumption'!E$29=""),"",'Fuel consumption'!E$29 * VLOOKUP($B90,'A1.3.10'!$S$28:$AE$58,5,))))</f>
        <v>0.13120300165283155</v>
      </c>
      <c r="R90" s="611">
        <f>IF($B90&lt;'A1.3.10'!$S$28,"",IF($B90&gt;'A1.3.10'!$S$58,R89,IF(OR(VLOOKUP($B90,'A1.3.10'!$S$28:$AE$58,5,)="",'Fuel consumption'!F$29=""),"",'Fuel consumption'!F$29 * VLOOKUP($B90,'A1.3.10'!$S$28:$AE$58,5,))))</f>
        <v>-2.0594564659300405E-3</v>
      </c>
      <c r="S90" s="2642">
        <f>IF($B90&lt;'A1.3.10'!$S$28,"",IF($B90&gt;'A1.3.10'!$S$58,S89,IF(OR(VLOOKUP($B90,'A1.3.10'!$S$28:$AE$58,5,)="",'Fuel consumption'!G$29=""),"",'Fuel consumption'!G$29 * VLOOKUP($B90,'A1.3.10'!$S$28:$AE$58,5,))))</f>
        <v>1.3300046823685748E-5</v>
      </c>
      <c r="T90" s="610">
        <f>IF($B90&lt;'A1.3.10'!$S$28,"",IF($B90&gt;'A1.3.10'!$S$58,T89,IF(OR(VLOOKUP($B90,'A1.3.10'!$S$28:$AE$58,6,)="",'Fuel consumption'!D$30=""),"",'Fuel consumption'!D$30 * VLOOKUP($B90,'A1.3.10'!$S$28:$AE$58,6,))))</f>
        <v>0.3988609037344879</v>
      </c>
      <c r="U90" s="611">
        <f>IF($B90&lt;'A1.3.10'!$S$28,"",IF($B90&gt;'A1.3.10'!$S$58,U89,IF(OR(VLOOKUP($B90,'A1.3.10'!$S$28:$AE$58,6,)="",'Fuel consumption'!E$30=""),"",'Fuel consumption'!E$30 * VLOOKUP($B90,'A1.3.10'!$S$28:$AE$58,6,))))</f>
        <v>9.7483230363204512E-2</v>
      </c>
      <c r="V90" s="611">
        <f>IF($B90&lt;'A1.3.10'!$S$28,"",IF($B90&gt;'A1.3.10'!$S$58,V89,IF(OR(VLOOKUP($B90,'A1.3.10'!$S$28:$AE$58,6,)="",'Fuel consumption'!F$30=""),"",'Fuel consumption'!F$30 * VLOOKUP($B90,'A1.3.10'!$S$28:$AE$58,6,))))</f>
        <v>-1.4063727682028522E-3</v>
      </c>
      <c r="W90" s="2642">
        <f>IF($B90&lt;'A1.3.10'!$S$28,"",IF($B90&gt;'A1.3.10'!$S$58,W89,IF(OR(VLOOKUP($B90,'A1.3.10'!$S$28:$AE$58,6,)="",'Fuel consumption'!G$30=""),"",'Fuel consumption'!G$30 * VLOOKUP($B90,'A1.3.10'!$S$28:$AE$58,6,))))</f>
        <v>1.1906400891809692E-5</v>
      </c>
      <c r="X90" s="3144"/>
      <c r="Y90" s="2487">
        <f>IF($B90&lt;'A1.3.10'!$S$28,"",IF($B90&gt;'A1.3.10'!$S$58,Y89,IF(OR(VLOOKUP($B90,'A1.3.10'!$S$28:$AE$58,7,)="", 'Fuel consumption'!E$37=""),"",'Fuel consumption'!E$37 * VLOOKUP($B90,'A1.3.10'!$S$28:$AE$58,7,))))</f>
        <v>0.29149401103980166</v>
      </c>
      <c r="Z90" s="2642"/>
      <c r="AA90" s="2642"/>
      <c r="AB90" s="610">
        <f>IF($B90&lt;'A1.3.10'!$S$28,"",IF($B90&gt;'A1.3.10'!$S$58,AB89,IF(OR(VLOOKUP($B90,'A1.3.10'!$S$28:$AE$58,8,)="",'Fuel consumption'!D$31=""),"",'Fuel consumption'!D$31 * VLOOKUP($B90,'A1.3.10'!$S$28:$AE$58,8,))))</f>
        <v>2.6962848686626804</v>
      </c>
      <c r="AC90" s="611">
        <f>IF($B90&lt;'A1.3.10'!$S$28,"",IF($B90&gt;'A1.3.10'!$S$58,AC89,IF(OR(VLOOKUP($B90,'A1.3.10'!$S$28:$AE$58,8,)="",'Fuel consumption'!E$31=""),"",'Fuel consumption'!E$31 * VLOOKUP($B90,'A1.3.10'!$S$28:$AE$58,8,))))</f>
        <v>0.143057339771858</v>
      </c>
      <c r="AD90" s="611">
        <f>IF($B90&lt;'A1.3.10'!$S$28,"",IF($B90&gt;'A1.3.10'!$S$58,AD89,IF(OR(VLOOKUP($B90,'A1.3.10'!$S$28:$AE$58,8,)="",'Fuel consumption'!F$31=""),"",'Fuel consumption'!F$31 * VLOOKUP($B90,'A1.3.10'!$S$28:$AE$58,8,))))</f>
        <v>-1.0340193601785499E-3</v>
      </c>
      <c r="AE90" s="2642">
        <f>IF($B90&lt;'A1.3.10'!$S$28,"",IF($B90&gt;'A1.3.10'!$S$58,AE89,IF(OR(VLOOKUP($B90,'A1.3.10'!$S$28:$AE$58,8,)="",'Fuel consumption'!G$31=""),"",'Fuel consumption'!G$31 * VLOOKUP($B90,'A1.3.10'!$S$28:$AE$58,8,))))</f>
        <v>1.1293150500864199E-5</v>
      </c>
      <c r="AF90" s="610">
        <f>IF($B90&lt;'A1.3.10'!$S$28,"",IF($B90&gt;'A1.3.10'!$S$58,AF89,IF(OR(VLOOKUP($B90,'A1.3.10'!$S$28:$AE$58,10,)="",'Fuel consumption'!D$32=""),"",'Fuel consumption'!D$32 * VLOOKUP($B90,'A1.3.10'!$S$28:$AE$58,10,))))</f>
        <v>5.6655970981789903</v>
      </c>
      <c r="AG90" s="611">
        <f>IF($B90&lt;'A1.3.10'!$S$28,"",IF($B90&gt;'A1.3.10'!$S$58,AG89,IF(OR(VLOOKUP($B90,'A1.3.10'!$S$28:$AE$58,10,)="",'Fuel consumption'!E$32=""),"",'Fuel consumption'!E$32 * VLOOKUP($B90,'A1.3.10'!$S$28:$AE$58,10,))))</f>
        <v>0.29422449618924201</v>
      </c>
      <c r="AH90" s="611">
        <f>IF($B90&lt;'A1.3.10'!$S$28,"",IF($B90&gt;'A1.3.10'!$S$58,AH89,IF(OR(VLOOKUP($B90,'A1.3.10'!$S$28:$AE$58,10,)="",'Fuel consumption'!F$32=""),"",'Fuel consumption'!F$32 * VLOOKUP($B90,'A1.3.10'!$S$28:$AE$58,10,))))</f>
        <v>-1.9493920679616401E-3</v>
      </c>
      <c r="AI90" s="1578">
        <f>IF($B90&lt;'A1.3.10'!$S$28,"",IF($B90&gt;'A1.3.10'!$S$58,AI89,IF(OR(VLOOKUP($B90,'A1.3.10'!$S$28:$AE$58,10,)="",'Fuel consumption'!G$32=""),"",'Fuel consumption'!G$32 * VLOOKUP($B90,'A1.3.10'!$S$28:$AE$58,10,))))</f>
        <v>1.1619187345164999E-5</v>
      </c>
      <c r="AJ90" s="610">
        <f>IF($B90&lt;'A1.3.10'!$S$28,"",IF($B90&gt;'A1.3.10'!$S$58,AJ89,IF(OR(VLOOKUP($B90,'A1.3.10'!$S$28:$AE$58,12,)="",'Fuel consumption'!D$33=""),"",'Fuel consumption'!D$33 * VLOOKUP($B90,'A1.3.10'!$S$28:$AE$58,12,))))</f>
        <v>3.3601870156891001</v>
      </c>
      <c r="AK90" s="611">
        <f>IF($B90&lt;'A1.3.10'!$S$28,"",IF($B90&gt;'A1.3.10'!$S$58,AK89,IF(OR(VLOOKUP($B90,'A1.3.10'!$S$28:$AE$58,12,)="",'Fuel consumption'!E$33=""),"",'Fuel consumption'!E$33 * VLOOKUP($B90,'A1.3.10'!$S$28:$AE$58,12,))))</f>
        <v>0.29524938703213599</v>
      </c>
      <c r="AL90" s="611">
        <f>IF($B90&lt;'A1.3.10'!$S$28,"",IF($B90&gt;'A1.3.10'!$S$58,AL89,IF(OR(VLOOKUP($B90,'A1.3.10'!$S$28:$AE$58,12,)="",'Fuel consumption'!F$33=""),"",'Fuel consumption'!F$33 * VLOOKUP($B90,'A1.3.10'!$S$28:$AE$58,12,))))</f>
        <v>-3.20909768342738E-3</v>
      </c>
      <c r="AM90" s="1578">
        <f>IF($B90&lt;'A1.3.10'!$S$28,"",IF($B90&gt;'A1.3.10'!$S$58,AM89,IF(OR(VLOOKUP($B90,'A1.3.10'!$S$28:$AE$58,12,)="",'Fuel consumption'!G$33=""),"",'Fuel consumption'!G$33 * VLOOKUP($B90,'A1.3.10'!$S$28:$AE$58,12,))))</f>
        <v>2.3540043227716499E-5</v>
      </c>
    </row>
    <row r="91" spans="1:39" ht="13.5" customHeight="1">
      <c r="A91" s="623"/>
      <c r="B91" s="614">
        <f t="shared" si="4"/>
        <v>2075</v>
      </c>
      <c r="C91" s="609"/>
      <c r="D91" s="2484">
        <f>IF($B91&lt;'A1.3.10'!$S$28,"",IF($B91&gt;'A1.3.10'!$S$58,D90,IF(OR(VLOOKUP($B91,'A1.3.10'!$S$28:$AE$58,2,)="",'Fuel consumption'!D$27=""),"",'Fuel consumption'!D$27 * VLOOKUP($B91,'A1.3.10'!$S$28:$AE$58,2,))))</f>
        <v>0.32527491364024624</v>
      </c>
      <c r="E91" s="2485">
        <f>IF($B91&lt;'A1.3.10'!$S$28,"",IF($B91&gt;'A1.3.10'!$S$58,E90,IF(OR(VLOOKUP($B91,'A1.3.10'!$S$28:$AE$58,2,)="",'Fuel consumption'!E$27=""),"",'Fuel consumption'!E$27 * VLOOKUP($B91,'A1.3.10'!$S$28:$AE$58,2,))))</f>
        <v>6.9126195403069218E-2</v>
      </c>
      <c r="F91" s="2485">
        <f>IF($B91&lt;'A1.3.10'!$S$28,"",IF($B91&gt;'A1.3.10'!$S$58,F90,IF(OR(VLOOKUP($B91,'A1.3.10'!$S$28:$AE$58,2,)="",'Fuel consumption'!F$27=""),"",'Fuel consumption'!F$27 * VLOOKUP($B91,'A1.3.10'!$S$28:$AE$58,2,))))</f>
        <v>-7.8742934140708519E-4</v>
      </c>
      <c r="G91" s="2642">
        <f>IF($B91&lt;'A1.3.10'!$S$28,"",IF($B91&gt;'A1.3.10'!$S$58,G90,IF(OR(VLOOKUP($B91,'A1.3.10'!$S$28:$AE$58,2,)="",'Fuel consumption'!G$27=""),"",'Fuel consumption'!G$27 * VLOOKUP($B91,'A1.3.10'!$S$28:$AE$58,2,))))</f>
        <v>5.2150811705064693E-6</v>
      </c>
      <c r="H91" s="2486">
        <f>IF($B91&lt;'A1.3.10'!$S$28,"",IF($B91&gt;'A1.3.10'!$S$58,H90,IF(OR(VLOOKUP($B91,'A1.3.10'!$S$28:$AE$58,3,)="",'Fuel consumption'!D$28=""),"",'Fuel consumption'!D$28  * VLOOKUP($B91,'A1.3.10'!$S$28:$AE$58,3,))))</f>
        <v>0.38728007442052015</v>
      </c>
      <c r="I91" s="2487">
        <f>IF($B91&lt;'A1.3.10'!$S$28,"",IF($B91&gt;'A1.3.10'!$S$58,I90,IF(OR(VLOOKUP($B91,'A1.3.10'!$S$28:$AE$58,3,)="",'Fuel consumption'!E$28=""),"",'Fuel consumption'!E$28  * VLOOKUP($B91,'A1.3.10'!$S$28:$AE$58,3,))))</f>
        <v>5.5526385246550972E-2</v>
      </c>
      <c r="J91" s="2487">
        <f>IF($B91&lt;'A1.3.10'!$S$28,"",IF($B91&gt;'A1.3.10'!$S$58,J90,IF(OR(VLOOKUP($B91,'A1.3.10'!$S$28:$AE$58,3,)="",'Fuel consumption'!F$28=""),"",'Fuel consumption'!F$28  * VLOOKUP($B91,'A1.3.10'!$S$28:$AE$58,3,))))</f>
        <v>-5.3417929464962704E-4</v>
      </c>
      <c r="K91" s="2642">
        <f>IF($B91&lt;'A1.3.10'!$S$28,"",IF($B91&gt;'A1.3.10'!$S$58,K90,IF(OR(VLOOKUP($B91,'A1.3.10'!$S$28:$AE$58,3,)="",'Fuel consumption'!G$28=""),"",'Fuel consumption'!G$28  * VLOOKUP($B91,'A1.3.10'!$S$28:$AE$58,3,))))</f>
        <v>4.2093596420141842E-6</v>
      </c>
      <c r="L91" s="2486" t="str">
        <f>IF($B91&lt;'A1.3.10'!$S$28,"",IF($B91&gt;'A1.3.10'!$S$58,L90,IF(OR(VLOOKUP($B91,'A1.3.10'!$S$28:$AE$58,4,)="", 'Fuel consumption'!D$36=""),"",'Fuel consumption'!D$36 * VLOOKUP($B91,'A1.3.10'!$S$28:$AE$58,4,))))</f>
        <v/>
      </c>
      <c r="M91" s="2487">
        <f>IF($B91&lt;'A1.3.10'!$S$28,"",IF($B91&gt;'A1.3.10'!$S$58,M90,IF(OR(VLOOKUP($B91,'A1.3.10'!$S$28:$AE$58,4,)="", 'Fuel consumption'!E$36=""),"",'Fuel consumption'!E$36 * VLOOKUP($B91,'A1.3.10'!$S$28:$AE$58,4,))))</f>
        <v>0.12679510393803953</v>
      </c>
      <c r="N91" s="614" t="str">
        <f>IF($B91&lt;'A1.3.10'!$S$28,"",IF($B91&gt;'A1.3.10'!$S$58,N90,IF(OR(VLOOKUP($B91,'A1.3.10'!$S$28:$AE$58,4,)="", 'Fuel consumption'!F$36=""),"",'Fuel consumption'!F$36 * VLOOKUP($B91,'A1.3.10'!$S$28:$AE$58,4,))))</f>
        <v/>
      </c>
      <c r="O91" s="612" t="str">
        <f>IF($B91&lt;'A1.3.10'!$S$28,"",IF($B91&gt;'A1.3.10'!$S$58,O90,IF(OR(VLOOKUP($B91,'A1.3.10'!$S$28:$AE$58,4,)="", 'Fuel consumption'!G$36=""),"",'Fuel consumption'!G$36 * VLOOKUP($B91,'A1.3.10'!$S$28:$AE$58,4,))))</f>
        <v/>
      </c>
      <c r="P91" s="610">
        <f>IF($B91&lt;'A1.3.10'!$S$28,"",IF($B91&gt;'A1.3.10'!$S$58,P90,IF(OR(VLOOKUP($B91,'A1.3.10'!$S$28:$AE$58,5,)="",'Fuel consumption'!D$29=""),"",'Fuel consumption'!D$29 * VLOOKUP($B91,'A1.3.10'!$S$28:$AE$58,5,))))</f>
        <v>0.23398100209323003</v>
      </c>
      <c r="Q91" s="611">
        <f>IF($B91&lt;'A1.3.10'!$S$28,"",IF($B91&gt;'A1.3.10'!$S$58,Q90,IF(OR(VLOOKUP($B91,'A1.3.10'!$S$28:$AE$58,5,)="",'Fuel consumption'!E$29=""),"",'Fuel consumption'!E$29 * VLOOKUP($B91,'A1.3.10'!$S$28:$AE$58,5,))))</f>
        <v>0.13120300165283155</v>
      </c>
      <c r="R91" s="611">
        <f>IF($B91&lt;'A1.3.10'!$S$28,"",IF($B91&gt;'A1.3.10'!$S$58,R90,IF(OR(VLOOKUP($B91,'A1.3.10'!$S$28:$AE$58,5,)="",'Fuel consumption'!F$29=""),"",'Fuel consumption'!F$29 * VLOOKUP($B91,'A1.3.10'!$S$28:$AE$58,5,))))</f>
        <v>-2.0594564659300405E-3</v>
      </c>
      <c r="S91" s="2642">
        <f>IF($B91&lt;'A1.3.10'!$S$28,"",IF($B91&gt;'A1.3.10'!$S$58,S90,IF(OR(VLOOKUP($B91,'A1.3.10'!$S$28:$AE$58,5,)="",'Fuel consumption'!G$29=""),"",'Fuel consumption'!G$29 * VLOOKUP($B91,'A1.3.10'!$S$28:$AE$58,5,))))</f>
        <v>1.3300046823685748E-5</v>
      </c>
      <c r="T91" s="610">
        <f>IF($B91&lt;'A1.3.10'!$S$28,"",IF($B91&gt;'A1.3.10'!$S$58,T90,IF(OR(VLOOKUP($B91,'A1.3.10'!$S$28:$AE$58,6,)="",'Fuel consumption'!D$30=""),"",'Fuel consumption'!D$30 * VLOOKUP($B91,'A1.3.10'!$S$28:$AE$58,6,))))</f>
        <v>0.3988609037344879</v>
      </c>
      <c r="U91" s="611">
        <f>IF($B91&lt;'A1.3.10'!$S$28,"",IF($B91&gt;'A1.3.10'!$S$58,U90,IF(OR(VLOOKUP($B91,'A1.3.10'!$S$28:$AE$58,6,)="",'Fuel consumption'!E$30=""),"",'Fuel consumption'!E$30 * VLOOKUP($B91,'A1.3.10'!$S$28:$AE$58,6,))))</f>
        <v>9.7483230363204512E-2</v>
      </c>
      <c r="V91" s="611">
        <f>IF($B91&lt;'A1.3.10'!$S$28,"",IF($B91&gt;'A1.3.10'!$S$58,V90,IF(OR(VLOOKUP($B91,'A1.3.10'!$S$28:$AE$58,6,)="",'Fuel consumption'!F$30=""),"",'Fuel consumption'!F$30 * VLOOKUP($B91,'A1.3.10'!$S$28:$AE$58,6,))))</f>
        <v>-1.4063727682028522E-3</v>
      </c>
      <c r="W91" s="2642">
        <f>IF($B91&lt;'A1.3.10'!$S$28,"",IF($B91&gt;'A1.3.10'!$S$58,W90,IF(OR(VLOOKUP($B91,'A1.3.10'!$S$28:$AE$58,6,)="",'Fuel consumption'!G$30=""),"",'Fuel consumption'!G$30 * VLOOKUP($B91,'A1.3.10'!$S$28:$AE$58,6,))))</f>
        <v>1.1906400891809692E-5</v>
      </c>
      <c r="X91" s="3144"/>
      <c r="Y91" s="2487">
        <f>IF($B91&lt;'A1.3.10'!$S$28,"",IF($B91&gt;'A1.3.10'!$S$58,Y90,IF(OR(VLOOKUP($B91,'A1.3.10'!$S$28:$AE$58,7,)="", 'Fuel consumption'!E$37=""),"",'Fuel consumption'!E$37 * VLOOKUP($B91,'A1.3.10'!$S$28:$AE$58,7,))))</f>
        <v>0.29149401103980166</v>
      </c>
      <c r="Z91" s="2642"/>
      <c r="AA91" s="2642"/>
      <c r="AB91" s="610">
        <f>IF($B91&lt;'A1.3.10'!$S$28,"",IF($B91&gt;'A1.3.10'!$S$58,AB90,IF(OR(VLOOKUP($B91,'A1.3.10'!$S$28:$AE$58,8,)="",'Fuel consumption'!D$31=""),"",'Fuel consumption'!D$31 * VLOOKUP($B91,'A1.3.10'!$S$28:$AE$58,8,))))</f>
        <v>2.6962848686626804</v>
      </c>
      <c r="AC91" s="611">
        <f>IF($B91&lt;'A1.3.10'!$S$28,"",IF($B91&gt;'A1.3.10'!$S$58,AC90,IF(OR(VLOOKUP($B91,'A1.3.10'!$S$28:$AE$58,8,)="",'Fuel consumption'!E$31=""),"",'Fuel consumption'!E$31 * VLOOKUP($B91,'A1.3.10'!$S$28:$AE$58,8,))))</f>
        <v>0.143057339771858</v>
      </c>
      <c r="AD91" s="611">
        <f>IF($B91&lt;'A1.3.10'!$S$28,"",IF($B91&gt;'A1.3.10'!$S$58,AD90,IF(OR(VLOOKUP($B91,'A1.3.10'!$S$28:$AE$58,8,)="",'Fuel consumption'!F$31=""),"",'Fuel consumption'!F$31 * VLOOKUP($B91,'A1.3.10'!$S$28:$AE$58,8,))))</f>
        <v>-1.0340193601785499E-3</v>
      </c>
      <c r="AE91" s="2642">
        <f>IF($B91&lt;'A1.3.10'!$S$28,"",IF($B91&gt;'A1.3.10'!$S$58,AE90,IF(OR(VLOOKUP($B91,'A1.3.10'!$S$28:$AE$58,8,)="",'Fuel consumption'!G$31=""),"",'Fuel consumption'!G$31 * VLOOKUP($B91,'A1.3.10'!$S$28:$AE$58,8,))))</f>
        <v>1.1293150500864199E-5</v>
      </c>
      <c r="AF91" s="610">
        <f>IF($B91&lt;'A1.3.10'!$S$28,"",IF($B91&gt;'A1.3.10'!$S$58,AF90,IF(OR(VLOOKUP($B91,'A1.3.10'!$S$28:$AE$58,10,)="",'Fuel consumption'!D$32=""),"",'Fuel consumption'!D$32 * VLOOKUP($B91,'A1.3.10'!$S$28:$AE$58,10,))))</f>
        <v>5.6655970981789903</v>
      </c>
      <c r="AG91" s="611">
        <f>IF($B91&lt;'A1.3.10'!$S$28,"",IF($B91&gt;'A1.3.10'!$S$58,AG90,IF(OR(VLOOKUP($B91,'A1.3.10'!$S$28:$AE$58,10,)="",'Fuel consumption'!E$32=""),"",'Fuel consumption'!E$32 * VLOOKUP($B91,'A1.3.10'!$S$28:$AE$58,10,))))</f>
        <v>0.29422449618924201</v>
      </c>
      <c r="AH91" s="611">
        <f>IF($B91&lt;'A1.3.10'!$S$28,"",IF($B91&gt;'A1.3.10'!$S$58,AH90,IF(OR(VLOOKUP($B91,'A1.3.10'!$S$28:$AE$58,10,)="",'Fuel consumption'!F$32=""),"",'Fuel consumption'!F$32 * VLOOKUP($B91,'A1.3.10'!$S$28:$AE$58,10,))))</f>
        <v>-1.9493920679616401E-3</v>
      </c>
      <c r="AI91" s="1578">
        <f>IF($B91&lt;'A1.3.10'!$S$28,"",IF($B91&gt;'A1.3.10'!$S$58,AI90,IF(OR(VLOOKUP($B91,'A1.3.10'!$S$28:$AE$58,10,)="",'Fuel consumption'!G$32=""),"",'Fuel consumption'!G$32 * VLOOKUP($B91,'A1.3.10'!$S$28:$AE$58,10,))))</f>
        <v>1.1619187345164999E-5</v>
      </c>
      <c r="AJ91" s="610">
        <f>IF($B91&lt;'A1.3.10'!$S$28,"",IF($B91&gt;'A1.3.10'!$S$58,AJ90,IF(OR(VLOOKUP($B91,'A1.3.10'!$S$28:$AE$58,12,)="",'Fuel consumption'!D$33=""),"",'Fuel consumption'!D$33 * VLOOKUP($B91,'A1.3.10'!$S$28:$AE$58,12,))))</f>
        <v>3.3601870156891001</v>
      </c>
      <c r="AK91" s="611">
        <f>IF($B91&lt;'A1.3.10'!$S$28,"",IF($B91&gt;'A1.3.10'!$S$58,AK90,IF(OR(VLOOKUP($B91,'A1.3.10'!$S$28:$AE$58,12,)="",'Fuel consumption'!E$33=""),"",'Fuel consumption'!E$33 * VLOOKUP($B91,'A1.3.10'!$S$28:$AE$58,12,))))</f>
        <v>0.29524938703213599</v>
      </c>
      <c r="AL91" s="611">
        <f>IF($B91&lt;'A1.3.10'!$S$28,"",IF($B91&gt;'A1.3.10'!$S$58,AL90,IF(OR(VLOOKUP($B91,'A1.3.10'!$S$28:$AE$58,12,)="",'Fuel consumption'!F$33=""),"",'Fuel consumption'!F$33 * VLOOKUP($B91,'A1.3.10'!$S$28:$AE$58,12,))))</f>
        <v>-3.20909768342738E-3</v>
      </c>
      <c r="AM91" s="1578">
        <f>IF($B91&lt;'A1.3.10'!$S$28,"",IF($B91&gt;'A1.3.10'!$S$58,AM90,IF(OR(VLOOKUP($B91,'A1.3.10'!$S$28:$AE$58,12,)="",'Fuel consumption'!G$33=""),"",'Fuel consumption'!G$33 * VLOOKUP($B91,'A1.3.10'!$S$28:$AE$58,12,))))</f>
        <v>2.3540043227716499E-5</v>
      </c>
    </row>
    <row r="92" spans="1:39" ht="13.5" customHeight="1">
      <c r="A92" s="623"/>
      <c r="B92" s="614">
        <f t="shared" si="4"/>
        <v>2076</v>
      </c>
      <c r="C92" s="609"/>
      <c r="D92" s="2484">
        <f>IF($B92&lt;'A1.3.10'!$S$28,"",IF($B92&gt;'A1.3.10'!$S$58,D91,IF(OR(VLOOKUP($B92,'A1.3.10'!$S$28:$AE$58,2,)="",'Fuel consumption'!D$27=""),"",'Fuel consumption'!D$27 * VLOOKUP($B92,'A1.3.10'!$S$28:$AE$58,2,))))</f>
        <v>0.32527491364024624</v>
      </c>
      <c r="E92" s="2485">
        <f>IF($B92&lt;'A1.3.10'!$S$28,"",IF($B92&gt;'A1.3.10'!$S$58,E91,IF(OR(VLOOKUP($B92,'A1.3.10'!$S$28:$AE$58,2,)="",'Fuel consumption'!E$27=""),"",'Fuel consumption'!E$27 * VLOOKUP($B92,'A1.3.10'!$S$28:$AE$58,2,))))</f>
        <v>6.9126195403069218E-2</v>
      </c>
      <c r="F92" s="2485">
        <f>IF($B92&lt;'A1.3.10'!$S$28,"",IF($B92&gt;'A1.3.10'!$S$58,F91,IF(OR(VLOOKUP($B92,'A1.3.10'!$S$28:$AE$58,2,)="",'Fuel consumption'!F$27=""),"",'Fuel consumption'!F$27 * VLOOKUP($B92,'A1.3.10'!$S$28:$AE$58,2,))))</f>
        <v>-7.8742934140708519E-4</v>
      </c>
      <c r="G92" s="2642">
        <f>IF($B92&lt;'A1.3.10'!$S$28,"",IF($B92&gt;'A1.3.10'!$S$58,G91,IF(OR(VLOOKUP($B92,'A1.3.10'!$S$28:$AE$58,2,)="",'Fuel consumption'!G$27=""),"",'Fuel consumption'!G$27 * VLOOKUP($B92,'A1.3.10'!$S$28:$AE$58,2,))))</f>
        <v>5.2150811705064693E-6</v>
      </c>
      <c r="H92" s="2486">
        <f>IF($B92&lt;'A1.3.10'!$S$28,"",IF($B92&gt;'A1.3.10'!$S$58,H91,IF(OR(VLOOKUP($B92,'A1.3.10'!$S$28:$AE$58,3,)="",'Fuel consumption'!D$28=""),"",'Fuel consumption'!D$28  * VLOOKUP($B92,'A1.3.10'!$S$28:$AE$58,3,))))</f>
        <v>0.38728007442052015</v>
      </c>
      <c r="I92" s="2487">
        <f>IF($B92&lt;'A1.3.10'!$S$28,"",IF($B92&gt;'A1.3.10'!$S$58,I91,IF(OR(VLOOKUP($B92,'A1.3.10'!$S$28:$AE$58,3,)="",'Fuel consumption'!E$28=""),"",'Fuel consumption'!E$28  * VLOOKUP($B92,'A1.3.10'!$S$28:$AE$58,3,))))</f>
        <v>5.5526385246550972E-2</v>
      </c>
      <c r="J92" s="2487">
        <f>IF($B92&lt;'A1.3.10'!$S$28,"",IF($B92&gt;'A1.3.10'!$S$58,J91,IF(OR(VLOOKUP($B92,'A1.3.10'!$S$28:$AE$58,3,)="",'Fuel consumption'!F$28=""),"",'Fuel consumption'!F$28  * VLOOKUP($B92,'A1.3.10'!$S$28:$AE$58,3,))))</f>
        <v>-5.3417929464962704E-4</v>
      </c>
      <c r="K92" s="2642">
        <f>IF($B92&lt;'A1.3.10'!$S$28,"",IF($B92&gt;'A1.3.10'!$S$58,K91,IF(OR(VLOOKUP($B92,'A1.3.10'!$S$28:$AE$58,3,)="",'Fuel consumption'!G$28=""),"",'Fuel consumption'!G$28  * VLOOKUP($B92,'A1.3.10'!$S$28:$AE$58,3,))))</f>
        <v>4.2093596420141842E-6</v>
      </c>
      <c r="L92" s="2486" t="str">
        <f>IF($B92&lt;'A1.3.10'!$S$28,"",IF($B92&gt;'A1.3.10'!$S$58,L91,IF(OR(VLOOKUP($B92,'A1.3.10'!$S$28:$AE$58,4,)="", 'Fuel consumption'!D$36=""),"",'Fuel consumption'!D$36 * VLOOKUP($B92,'A1.3.10'!$S$28:$AE$58,4,))))</f>
        <v/>
      </c>
      <c r="M92" s="2487">
        <f>IF($B92&lt;'A1.3.10'!$S$28,"",IF($B92&gt;'A1.3.10'!$S$58,M91,IF(OR(VLOOKUP($B92,'A1.3.10'!$S$28:$AE$58,4,)="", 'Fuel consumption'!E$36=""),"",'Fuel consumption'!E$36 * VLOOKUP($B92,'A1.3.10'!$S$28:$AE$58,4,))))</f>
        <v>0.12679510393803953</v>
      </c>
      <c r="N92" s="614" t="str">
        <f>IF($B92&lt;'A1.3.10'!$S$28,"",IF($B92&gt;'A1.3.10'!$S$58,N91,IF(OR(VLOOKUP($B92,'A1.3.10'!$S$28:$AE$58,4,)="", 'Fuel consumption'!F$36=""),"",'Fuel consumption'!F$36 * VLOOKUP($B92,'A1.3.10'!$S$28:$AE$58,4,))))</f>
        <v/>
      </c>
      <c r="O92" s="612" t="str">
        <f>IF($B92&lt;'A1.3.10'!$S$28,"",IF($B92&gt;'A1.3.10'!$S$58,O91,IF(OR(VLOOKUP($B92,'A1.3.10'!$S$28:$AE$58,4,)="", 'Fuel consumption'!G$36=""),"",'Fuel consumption'!G$36 * VLOOKUP($B92,'A1.3.10'!$S$28:$AE$58,4,))))</f>
        <v/>
      </c>
      <c r="P92" s="610">
        <f>IF($B92&lt;'A1.3.10'!$S$28,"",IF($B92&gt;'A1.3.10'!$S$58,P91,IF(OR(VLOOKUP($B92,'A1.3.10'!$S$28:$AE$58,5,)="",'Fuel consumption'!D$29=""),"",'Fuel consumption'!D$29 * VLOOKUP($B92,'A1.3.10'!$S$28:$AE$58,5,))))</f>
        <v>0.23398100209323003</v>
      </c>
      <c r="Q92" s="611">
        <f>IF($B92&lt;'A1.3.10'!$S$28,"",IF($B92&gt;'A1.3.10'!$S$58,Q91,IF(OR(VLOOKUP($B92,'A1.3.10'!$S$28:$AE$58,5,)="",'Fuel consumption'!E$29=""),"",'Fuel consumption'!E$29 * VLOOKUP($B92,'A1.3.10'!$S$28:$AE$58,5,))))</f>
        <v>0.13120300165283155</v>
      </c>
      <c r="R92" s="611">
        <f>IF($B92&lt;'A1.3.10'!$S$28,"",IF($B92&gt;'A1.3.10'!$S$58,R91,IF(OR(VLOOKUP($B92,'A1.3.10'!$S$28:$AE$58,5,)="",'Fuel consumption'!F$29=""),"",'Fuel consumption'!F$29 * VLOOKUP($B92,'A1.3.10'!$S$28:$AE$58,5,))))</f>
        <v>-2.0594564659300405E-3</v>
      </c>
      <c r="S92" s="2642">
        <f>IF($B92&lt;'A1.3.10'!$S$28,"",IF($B92&gt;'A1.3.10'!$S$58,S91,IF(OR(VLOOKUP($B92,'A1.3.10'!$S$28:$AE$58,5,)="",'Fuel consumption'!G$29=""),"",'Fuel consumption'!G$29 * VLOOKUP($B92,'A1.3.10'!$S$28:$AE$58,5,))))</f>
        <v>1.3300046823685748E-5</v>
      </c>
      <c r="T92" s="610">
        <f>IF($B92&lt;'A1.3.10'!$S$28,"",IF($B92&gt;'A1.3.10'!$S$58,T91,IF(OR(VLOOKUP($B92,'A1.3.10'!$S$28:$AE$58,6,)="",'Fuel consumption'!D$30=""),"",'Fuel consumption'!D$30 * VLOOKUP($B92,'A1.3.10'!$S$28:$AE$58,6,))))</f>
        <v>0.3988609037344879</v>
      </c>
      <c r="U92" s="611">
        <f>IF($B92&lt;'A1.3.10'!$S$28,"",IF($B92&gt;'A1.3.10'!$S$58,U91,IF(OR(VLOOKUP($B92,'A1.3.10'!$S$28:$AE$58,6,)="",'Fuel consumption'!E$30=""),"",'Fuel consumption'!E$30 * VLOOKUP($B92,'A1.3.10'!$S$28:$AE$58,6,))))</f>
        <v>9.7483230363204512E-2</v>
      </c>
      <c r="V92" s="611">
        <f>IF($B92&lt;'A1.3.10'!$S$28,"",IF($B92&gt;'A1.3.10'!$S$58,V91,IF(OR(VLOOKUP($B92,'A1.3.10'!$S$28:$AE$58,6,)="",'Fuel consumption'!F$30=""),"",'Fuel consumption'!F$30 * VLOOKUP($B92,'A1.3.10'!$S$28:$AE$58,6,))))</f>
        <v>-1.4063727682028522E-3</v>
      </c>
      <c r="W92" s="2642">
        <f>IF($B92&lt;'A1.3.10'!$S$28,"",IF($B92&gt;'A1.3.10'!$S$58,W91,IF(OR(VLOOKUP($B92,'A1.3.10'!$S$28:$AE$58,6,)="",'Fuel consumption'!G$30=""),"",'Fuel consumption'!G$30 * VLOOKUP($B92,'A1.3.10'!$S$28:$AE$58,6,))))</f>
        <v>1.1906400891809692E-5</v>
      </c>
      <c r="X92" s="3144"/>
      <c r="Y92" s="2487">
        <f>IF($B92&lt;'A1.3.10'!$S$28,"",IF($B92&gt;'A1.3.10'!$S$58,Y91,IF(OR(VLOOKUP($B92,'A1.3.10'!$S$28:$AE$58,7,)="", 'Fuel consumption'!E$37=""),"",'Fuel consumption'!E$37 * VLOOKUP($B92,'A1.3.10'!$S$28:$AE$58,7,))))</f>
        <v>0.29149401103980166</v>
      </c>
      <c r="Z92" s="2642"/>
      <c r="AA92" s="2642"/>
      <c r="AB92" s="610">
        <f>IF($B92&lt;'A1.3.10'!$S$28,"",IF($B92&gt;'A1.3.10'!$S$58,AB91,IF(OR(VLOOKUP($B92,'A1.3.10'!$S$28:$AE$58,8,)="",'Fuel consumption'!D$31=""),"",'Fuel consumption'!D$31 * VLOOKUP($B92,'A1.3.10'!$S$28:$AE$58,8,))))</f>
        <v>2.6962848686626804</v>
      </c>
      <c r="AC92" s="611">
        <f>IF($B92&lt;'A1.3.10'!$S$28,"",IF($B92&gt;'A1.3.10'!$S$58,AC91,IF(OR(VLOOKUP($B92,'A1.3.10'!$S$28:$AE$58,8,)="",'Fuel consumption'!E$31=""),"",'Fuel consumption'!E$31 * VLOOKUP($B92,'A1.3.10'!$S$28:$AE$58,8,))))</f>
        <v>0.143057339771858</v>
      </c>
      <c r="AD92" s="611">
        <f>IF($B92&lt;'A1.3.10'!$S$28,"",IF($B92&gt;'A1.3.10'!$S$58,AD91,IF(OR(VLOOKUP($B92,'A1.3.10'!$S$28:$AE$58,8,)="",'Fuel consumption'!F$31=""),"",'Fuel consumption'!F$31 * VLOOKUP($B92,'A1.3.10'!$S$28:$AE$58,8,))))</f>
        <v>-1.0340193601785499E-3</v>
      </c>
      <c r="AE92" s="2642">
        <f>IF($B92&lt;'A1.3.10'!$S$28,"",IF($B92&gt;'A1.3.10'!$S$58,AE91,IF(OR(VLOOKUP($B92,'A1.3.10'!$S$28:$AE$58,8,)="",'Fuel consumption'!G$31=""),"",'Fuel consumption'!G$31 * VLOOKUP($B92,'A1.3.10'!$S$28:$AE$58,8,))))</f>
        <v>1.1293150500864199E-5</v>
      </c>
      <c r="AF92" s="610">
        <f>IF($B92&lt;'A1.3.10'!$S$28,"",IF($B92&gt;'A1.3.10'!$S$58,AF91,IF(OR(VLOOKUP($B92,'A1.3.10'!$S$28:$AE$58,10,)="",'Fuel consumption'!D$32=""),"",'Fuel consumption'!D$32 * VLOOKUP($B92,'A1.3.10'!$S$28:$AE$58,10,))))</f>
        <v>5.6655970981789903</v>
      </c>
      <c r="AG92" s="611">
        <f>IF($B92&lt;'A1.3.10'!$S$28,"",IF($B92&gt;'A1.3.10'!$S$58,AG91,IF(OR(VLOOKUP($B92,'A1.3.10'!$S$28:$AE$58,10,)="",'Fuel consumption'!E$32=""),"",'Fuel consumption'!E$32 * VLOOKUP($B92,'A1.3.10'!$S$28:$AE$58,10,))))</f>
        <v>0.29422449618924201</v>
      </c>
      <c r="AH92" s="611">
        <f>IF($B92&lt;'A1.3.10'!$S$28,"",IF($B92&gt;'A1.3.10'!$S$58,AH91,IF(OR(VLOOKUP($B92,'A1.3.10'!$S$28:$AE$58,10,)="",'Fuel consumption'!F$32=""),"",'Fuel consumption'!F$32 * VLOOKUP($B92,'A1.3.10'!$S$28:$AE$58,10,))))</f>
        <v>-1.9493920679616401E-3</v>
      </c>
      <c r="AI92" s="1578">
        <f>IF($B92&lt;'A1.3.10'!$S$28,"",IF($B92&gt;'A1.3.10'!$S$58,AI91,IF(OR(VLOOKUP($B92,'A1.3.10'!$S$28:$AE$58,10,)="",'Fuel consumption'!G$32=""),"",'Fuel consumption'!G$32 * VLOOKUP($B92,'A1.3.10'!$S$28:$AE$58,10,))))</f>
        <v>1.1619187345164999E-5</v>
      </c>
      <c r="AJ92" s="610">
        <f>IF($B92&lt;'A1.3.10'!$S$28,"",IF($B92&gt;'A1.3.10'!$S$58,AJ91,IF(OR(VLOOKUP($B92,'A1.3.10'!$S$28:$AE$58,12,)="",'Fuel consumption'!D$33=""),"",'Fuel consumption'!D$33 * VLOOKUP($B92,'A1.3.10'!$S$28:$AE$58,12,))))</f>
        <v>3.3601870156891001</v>
      </c>
      <c r="AK92" s="611">
        <f>IF($B92&lt;'A1.3.10'!$S$28,"",IF($B92&gt;'A1.3.10'!$S$58,AK91,IF(OR(VLOOKUP($B92,'A1.3.10'!$S$28:$AE$58,12,)="",'Fuel consumption'!E$33=""),"",'Fuel consumption'!E$33 * VLOOKUP($B92,'A1.3.10'!$S$28:$AE$58,12,))))</f>
        <v>0.29524938703213599</v>
      </c>
      <c r="AL92" s="611">
        <f>IF($B92&lt;'A1.3.10'!$S$28,"",IF($B92&gt;'A1.3.10'!$S$58,AL91,IF(OR(VLOOKUP($B92,'A1.3.10'!$S$28:$AE$58,12,)="",'Fuel consumption'!F$33=""),"",'Fuel consumption'!F$33 * VLOOKUP($B92,'A1.3.10'!$S$28:$AE$58,12,))))</f>
        <v>-3.20909768342738E-3</v>
      </c>
      <c r="AM92" s="1578">
        <f>IF($B92&lt;'A1.3.10'!$S$28,"",IF($B92&gt;'A1.3.10'!$S$58,AM91,IF(OR(VLOOKUP($B92,'A1.3.10'!$S$28:$AE$58,12,)="",'Fuel consumption'!G$33=""),"",'Fuel consumption'!G$33 * VLOOKUP($B92,'A1.3.10'!$S$28:$AE$58,12,))))</f>
        <v>2.3540043227716499E-5</v>
      </c>
    </row>
    <row r="93" spans="1:39" ht="13.5" customHeight="1">
      <c r="A93" s="623"/>
      <c r="B93" s="614">
        <f t="shared" si="4"/>
        <v>2077</v>
      </c>
      <c r="C93" s="609"/>
      <c r="D93" s="2484">
        <f>IF($B93&lt;'A1.3.10'!$S$28,"",IF($B93&gt;'A1.3.10'!$S$58,D92,IF(OR(VLOOKUP($B93,'A1.3.10'!$S$28:$AE$58,2,)="",'Fuel consumption'!D$27=""),"",'Fuel consumption'!D$27 * VLOOKUP($B93,'A1.3.10'!$S$28:$AE$58,2,))))</f>
        <v>0.32527491364024624</v>
      </c>
      <c r="E93" s="2485">
        <f>IF($B93&lt;'A1.3.10'!$S$28,"",IF($B93&gt;'A1.3.10'!$S$58,E92,IF(OR(VLOOKUP($B93,'A1.3.10'!$S$28:$AE$58,2,)="",'Fuel consumption'!E$27=""),"",'Fuel consumption'!E$27 * VLOOKUP($B93,'A1.3.10'!$S$28:$AE$58,2,))))</f>
        <v>6.9126195403069218E-2</v>
      </c>
      <c r="F93" s="2485">
        <f>IF($B93&lt;'A1.3.10'!$S$28,"",IF($B93&gt;'A1.3.10'!$S$58,F92,IF(OR(VLOOKUP($B93,'A1.3.10'!$S$28:$AE$58,2,)="",'Fuel consumption'!F$27=""),"",'Fuel consumption'!F$27 * VLOOKUP($B93,'A1.3.10'!$S$28:$AE$58,2,))))</f>
        <v>-7.8742934140708519E-4</v>
      </c>
      <c r="G93" s="2642">
        <f>IF($B93&lt;'A1.3.10'!$S$28,"",IF($B93&gt;'A1.3.10'!$S$58,G92,IF(OR(VLOOKUP($B93,'A1.3.10'!$S$28:$AE$58,2,)="",'Fuel consumption'!G$27=""),"",'Fuel consumption'!G$27 * VLOOKUP($B93,'A1.3.10'!$S$28:$AE$58,2,))))</f>
        <v>5.2150811705064693E-6</v>
      </c>
      <c r="H93" s="2486">
        <f>IF($B93&lt;'A1.3.10'!$S$28,"",IF($B93&gt;'A1.3.10'!$S$58,H92,IF(OR(VLOOKUP($B93,'A1.3.10'!$S$28:$AE$58,3,)="",'Fuel consumption'!D$28=""),"",'Fuel consumption'!D$28  * VLOOKUP($B93,'A1.3.10'!$S$28:$AE$58,3,))))</f>
        <v>0.38728007442052015</v>
      </c>
      <c r="I93" s="2487">
        <f>IF($B93&lt;'A1.3.10'!$S$28,"",IF($B93&gt;'A1.3.10'!$S$58,I92,IF(OR(VLOOKUP($B93,'A1.3.10'!$S$28:$AE$58,3,)="",'Fuel consumption'!E$28=""),"",'Fuel consumption'!E$28  * VLOOKUP($B93,'A1.3.10'!$S$28:$AE$58,3,))))</f>
        <v>5.5526385246550972E-2</v>
      </c>
      <c r="J93" s="2487">
        <f>IF($B93&lt;'A1.3.10'!$S$28,"",IF($B93&gt;'A1.3.10'!$S$58,J92,IF(OR(VLOOKUP($B93,'A1.3.10'!$S$28:$AE$58,3,)="",'Fuel consumption'!F$28=""),"",'Fuel consumption'!F$28  * VLOOKUP($B93,'A1.3.10'!$S$28:$AE$58,3,))))</f>
        <v>-5.3417929464962704E-4</v>
      </c>
      <c r="K93" s="2642">
        <f>IF($B93&lt;'A1.3.10'!$S$28,"",IF($B93&gt;'A1.3.10'!$S$58,K92,IF(OR(VLOOKUP($B93,'A1.3.10'!$S$28:$AE$58,3,)="",'Fuel consumption'!G$28=""),"",'Fuel consumption'!G$28  * VLOOKUP($B93,'A1.3.10'!$S$28:$AE$58,3,))))</f>
        <v>4.2093596420141842E-6</v>
      </c>
      <c r="L93" s="2486" t="str">
        <f>IF($B93&lt;'A1.3.10'!$S$28,"",IF($B93&gt;'A1.3.10'!$S$58,L92,IF(OR(VLOOKUP($B93,'A1.3.10'!$S$28:$AE$58,4,)="", 'Fuel consumption'!D$36=""),"",'Fuel consumption'!D$36 * VLOOKUP($B93,'A1.3.10'!$S$28:$AE$58,4,))))</f>
        <v/>
      </c>
      <c r="M93" s="2487">
        <f>IF($B93&lt;'A1.3.10'!$S$28,"",IF($B93&gt;'A1.3.10'!$S$58,M92,IF(OR(VLOOKUP($B93,'A1.3.10'!$S$28:$AE$58,4,)="", 'Fuel consumption'!E$36=""),"",'Fuel consumption'!E$36 * VLOOKUP($B93,'A1.3.10'!$S$28:$AE$58,4,))))</f>
        <v>0.12679510393803953</v>
      </c>
      <c r="N93" s="614" t="str">
        <f>IF($B93&lt;'A1.3.10'!$S$28,"",IF($B93&gt;'A1.3.10'!$S$58,N92,IF(OR(VLOOKUP($B93,'A1.3.10'!$S$28:$AE$58,4,)="", 'Fuel consumption'!F$36=""),"",'Fuel consumption'!F$36 * VLOOKUP($B93,'A1.3.10'!$S$28:$AE$58,4,))))</f>
        <v/>
      </c>
      <c r="O93" s="612" t="str">
        <f>IF($B93&lt;'A1.3.10'!$S$28,"",IF($B93&gt;'A1.3.10'!$S$58,O92,IF(OR(VLOOKUP($B93,'A1.3.10'!$S$28:$AE$58,4,)="", 'Fuel consumption'!G$36=""),"",'Fuel consumption'!G$36 * VLOOKUP($B93,'A1.3.10'!$S$28:$AE$58,4,))))</f>
        <v/>
      </c>
      <c r="P93" s="610">
        <f>IF($B93&lt;'A1.3.10'!$S$28,"",IF($B93&gt;'A1.3.10'!$S$58,P92,IF(OR(VLOOKUP($B93,'A1.3.10'!$S$28:$AE$58,5,)="",'Fuel consumption'!D$29=""),"",'Fuel consumption'!D$29 * VLOOKUP($B93,'A1.3.10'!$S$28:$AE$58,5,))))</f>
        <v>0.23398100209323003</v>
      </c>
      <c r="Q93" s="611">
        <f>IF($B93&lt;'A1.3.10'!$S$28,"",IF($B93&gt;'A1.3.10'!$S$58,Q92,IF(OR(VLOOKUP($B93,'A1.3.10'!$S$28:$AE$58,5,)="",'Fuel consumption'!E$29=""),"",'Fuel consumption'!E$29 * VLOOKUP($B93,'A1.3.10'!$S$28:$AE$58,5,))))</f>
        <v>0.13120300165283155</v>
      </c>
      <c r="R93" s="611">
        <f>IF($B93&lt;'A1.3.10'!$S$28,"",IF($B93&gt;'A1.3.10'!$S$58,R92,IF(OR(VLOOKUP($B93,'A1.3.10'!$S$28:$AE$58,5,)="",'Fuel consumption'!F$29=""),"",'Fuel consumption'!F$29 * VLOOKUP($B93,'A1.3.10'!$S$28:$AE$58,5,))))</f>
        <v>-2.0594564659300405E-3</v>
      </c>
      <c r="S93" s="2642">
        <f>IF($B93&lt;'A1.3.10'!$S$28,"",IF($B93&gt;'A1.3.10'!$S$58,S92,IF(OR(VLOOKUP($B93,'A1.3.10'!$S$28:$AE$58,5,)="",'Fuel consumption'!G$29=""),"",'Fuel consumption'!G$29 * VLOOKUP($B93,'A1.3.10'!$S$28:$AE$58,5,))))</f>
        <v>1.3300046823685748E-5</v>
      </c>
      <c r="T93" s="610">
        <f>IF($B93&lt;'A1.3.10'!$S$28,"",IF($B93&gt;'A1.3.10'!$S$58,T92,IF(OR(VLOOKUP($B93,'A1.3.10'!$S$28:$AE$58,6,)="",'Fuel consumption'!D$30=""),"",'Fuel consumption'!D$30 * VLOOKUP($B93,'A1.3.10'!$S$28:$AE$58,6,))))</f>
        <v>0.3988609037344879</v>
      </c>
      <c r="U93" s="611">
        <f>IF($B93&lt;'A1.3.10'!$S$28,"",IF($B93&gt;'A1.3.10'!$S$58,U92,IF(OR(VLOOKUP($B93,'A1.3.10'!$S$28:$AE$58,6,)="",'Fuel consumption'!E$30=""),"",'Fuel consumption'!E$30 * VLOOKUP($B93,'A1.3.10'!$S$28:$AE$58,6,))))</f>
        <v>9.7483230363204512E-2</v>
      </c>
      <c r="V93" s="611">
        <f>IF($B93&lt;'A1.3.10'!$S$28,"",IF($B93&gt;'A1.3.10'!$S$58,V92,IF(OR(VLOOKUP($B93,'A1.3.10'!$S$28:$AE$58,6,)="",'Fuel consumption'!F$30=""),"",'Fuel consumption'!F$30 * VLOOKUP($B93,'A1.3.10'!$S$28:$AE$58,6,))))</f>
        <v>-1.4063727682028522E-3</v>
      </c>
      <c r="W93" s="2642">
        <f>IF($B93&lt;'A1.3.10'!$S$28,"",IF($B93&gt;'A1.3.10'!$S$58,W92,IF(OR(VLOOKUP($B93,'A1.3.10'!$S$28:$AE$58,6,)="",'Fuel consumption'!G$30=""),"",'Fuel consumption'!G$30 * VLOOKUP($B93,'A1.3.10'!$S$28:$AE$58,6,))))</f>
        <v>1.1906400891809692E-5</v>
      </c>
      <c r="X93" s="3144"/>
      <c r="Y93" s="2487">
        <f>IF($B93&lt;'A1.3.10'!$S$28,"",IF($B93&gt;'A1.3.10'!$S$58,Y92,IF(OR(VLOOKUP($B93,'A1.3.10'!$S$28:$AE$58,7,)="", 'Fuel consumption'!E$37=""),"",'Fuel consumption'!E$37 * VLOOKUP($B93,'A1.3.10'!$S$28:$AE$58,7,))))</f>
        <v>0.29149401103980166</v>
      </c>
      <c r="Z93" s="2642"/>
      <c r="AA93" s="2642"/>
      <c r="AB93" s="610">
        <f>IF($B93&lt;'A1.3.10'!$S$28,"",IF($B93&gt;'A1.3.10'!$S$58,AB92,IF(OR(VLOOKUP($B93,'A1.3.10'!$S$28:$AE$58,8,)="",'Fuel consumption'!D$31=""),"",'Fuel consumption'!D$31 * VLOOKUP($B93,'A1.3.10'!$S$28:$AE$58,8,))))</f>
        <v>2.6962848686626804</v>
      </c>
      <c r="AC93" s="611">
        <f>IF($B93&lt;'A1.3.10'!$S$28,"",IF($B93&gt;'A1.3.10'!$S$58,AC92,IF(OR(VLOOKUP($B93,'A1.3.10'!$S$28:$AE$58,8,)="",'Fuel consumption'!E$31=""),"",'Fuel consumption'!E$31 * VLOOKUP($B93,'A1.3.10'!$S$28:$AE$58,8,))))</f>
        <v>0.143057339771858</v>
      </c>
      <c r="AD93" s="611">
        <f>IF($B93&lt;'A1.3.10'!$S$28,"",IF($B93&gt;'A1.3.10'!$S$58,AD92,IF(OR(VLOOKUP($B93,'A1.3.10'!$S$28:$AE$58,8,)="",'Fuel consumption'!F$31=""),"",'Fuel consumption'!F$31 * VLOOKUP($B93,'A1.3.10'!$S$28:$AE$58,8,))))</f>
        <v>-1.0340193601785499E-3</v>
      </c>
      <c r="AE93" s="2642">
        <f>IF($B93&lt;'A1.3.10'!$S$28,"",IF($B93&gt;'A1.3.10'!$S$58,AE92,IF(OR(VLOOKUP($B93,'A1.3.10'!$S$28:$AE$58,8,)="",'Fuel consumption'!G$31=""),"",'Fuel consumption'!G$31 * VLOOKUP($B93,'A1.3.10'!$S$28:$AE$58,8,))))</f>
        <v>1.1293150500864199E-5</v>
      </c>
      <c r="AF93" s="610">
        <f>IF($B93&lt;'A1.3.10'!$S$28,"",IF($B93&gt;'A1.3.10'!$S$58,AF92,IF(OR(VLOOKUP($B93,'A1.3.10'!$S$28:$AE$58,10,)="",'Fuel consumption'!D$32=""),"",'Fuel consumption'!D$32 * VLOOKUP($B93,'A1.3.10'!$S$28:$AE$58,10,))))</f>
        <v>5.6655970981789903</v>
      </c>
      <c r="AG93" s="611">
        <f>IF($B93&lt;'A1.3.10'!$S$28,"",IF($B93&gt;'A1.3.10'!$S$58,AG92,IF(OR(VLOOKUP($B93,'A1.3.10'!$S$28:$AE$58,10,)="",'Fuel consumption'!E$32=""),"",'Fuel consumption'!E$32 * VLOOKUP($B93,'A1.3.10'!$S$28:$AE$58,10,))))</f>
        <v>0.29422449618924201</v>
      </c>
      <c r="AH93" s="611">
        <f>IF($B93&lt;'A1.3.10'!$S$28,"",IF($B93&gt;'A1.3.10'!$S$58,AH92,IF(OR(VLOOKUP($B93,'A1.3.10'!$S$28:$AE$58,10,)="",'Fuel consumption'!F$32=""),"",'Fuel consumption'!F$32 * VLOOKUP($B93,'A1.3.10'!$S$28:$AE$58,10,))))</f>
        <v>-1.9493920679616401E-3</v>
      </c>
      <c r="AI93" s="1578">
        <f>IF($B93&lt;'A1.3.10'!$S$28,"",IF($B93&gt;'A1.3.10'!$S$58,AI92,IF(OR(VLOOKUP($B93,'A1.3.10'!$S$28:$AE$58,10,)="",'Fuel consumption'!G$32=""),"",'Fuel consumption'!G$32 * VLOOKUP($B93,'A1.3.10'!$S$28:$AE$58,10,))))</f>
        <v>1.1619187345164999E-5</v>
      </c>
      <c r="AJ93" s="610">
        <f>IF($B93&lt;'A1.3.10'!$S$28,"",IF($B93&gt;'A1.3.10'!$S$58,AJ92,IF(OR(VLOOKUP($B93,'A1.3.10'!$S$28:$AE$58,12,)="",'Fuel consumption'!D$33=""),"",'Fuel consumption'!D$33 * VLOOKUP($B93,'A1.3.10'!$S$28:$AE$58,12,))))</f>
        <v>3.3601870156891001</v>
      </c>
      <c r="AK93" s="611">
        <f>IF($B93&lt;'A1.3.10'!$S$28,"",IF($B93&gt;'A1.3.10'!$S$58,AK92,IF(OR(VLOOKUP($B93,'A1.3.10'!$S$28:$AE$58,12,)="",'Fuel consumption'!E$33=""),"",'Fuel consumption'!E$33 * VLOOKUP($B93,'A1.3.10'!$S$28:$AE$58,12,))))</f>
        <v>0.29524938703213599</v>
      </c>
      <c r="AL93" s="611">
        <f>IF($B93&lt;'A1.3.10'!$S$28,"",IF($B93&gt;'A1.3.10'!$S$58,AL92,IF(OR(VLOOKUP($B93,'A1.3.10'!$S$28:$AE$58,12,)="",'Fuel consumption'!F$33=""),"",'Fuel consumption'!F$33 * VLOOKUP($B93,'A1.3.10'!$S$28:$AE$58,12,))))</f>
        <v>-3.20909768342738E-3</v>
      </c>
      <c r="AM93" s="1578">
        <f>IF($B93&lt;'A1.3.10'!$S$28,"",IF($B93&gt;'A1.3.10'!$S$58,AM92,IF(OR(VLOOKUP($B93,'A1.3.10'!$S$28:$AE$58,12,)="",'Fuel consumption'!G$33=""),"",'Fuel consumption'!G$33 * VLOOKUP($B93,'A1.3.10'!$S$28:$AE$58,12,))))</f>
        <v>2.3540043227716499E-5</v>
      </c>
    </row>
    <row r="94" spans="1:39" ht="13.5" customHeight="1">
      <c r="A94" s="623"/>
      <c r="B94" s="614">
        <f t="shared" si="4"/>
        <v>2078</v>
      </c>
      <c r="C94" s="609"/>
      <c r="D94" s="2484">
        <f>IF($B94&lt;'A1.3.10'!$S$28,"",IF($B94&gt;'A1.3.10'!$S$58,D93,IF(OR(VLOOKUP($B94,'A1.3.10'!$S$28:$AE$58,2,)="",'Fuel consumption'!D$27=""),"",'Fuel consumption'!D$27 * VLOOKUP($B94,'A1.3.10'!$S$28:$AE$58,2,))))</f>
        <v>0.32527491364024624</v>
      </c>
      <c r="E94" s="2485">
        <f>IF($B94&lt;'A1.3.10'!$S$28,"",IF($B94&gt;'A1.3.10'!$S$58,E93,IF(OR(VLOOKUP($B94,'A1.3.10'!$S$28:$AE$58,2,)="",'Fuel consumption'!E$27=""),"",'Fuel consumption'!E$27 * VLOOKUP($B94,'A1.3.10'!$S$28:$AE$58,2,))))</f>
        <v>6.9126195403069218E-2</v>
      </c>
      <c r="F94" s="2485">
        <f>IF($B94&lt;'A1.3.10'!$S$28,"",IF($B94&gt;'A1.3.10'!$S$58,F93,IF(OR(VLOOKUP($B94,'A1.3.10'!$S$28:$AE$58,2,)="",'Fuel consumption'!F$27=""),"",'Fuel consumption'!F$27 * VLOOKUP($B94,'A1.3.10'!$S$28:$AE$58,2,))))</f>
        <v>-7.8742934140708519E-4</v>
      </c>
      <c r="G94" s="2642">
        <f>IF($B94&lt;'A1.3.10'!$S$28,"",IF($B94&gt;'A1.3.10'!$S$58,G93,IF(OR(VLOOKUP($B94,'A1.3.10'!$S$28:$AE$58,2,)="",'Fuel consumption'!G$27=""),"",'Fuel consumption'!G$27 * VLOOKUP($B94,'A1.3.10'!$S$28:$AE$58,2,))))</f>
        <v>5.2150811705064693E-6</v>
      </c>
      <c r="H94" s="2486">
        <f>IF($B94&lt;'A1.3.10'!$S$28,"",IF($B94&gt;'A1.3.10'!$S$58,H93,IF(OR(VLOOKUP($B94,'A1.3.10'!$S$28:$AE$58,3,)="",'Fuel consumption'!D$28=""),"",'Fuel consumption'!D$28  * VLOOKUP($B94,'A1.3.10'!$S$28:$AE$58,3,))))</f>
        <v>0.38728007442052015</v>
      </c>
      <c r="I94" s="2487">
        <f>IF($B94&lt;'A1.3.10'!$S$28,"",IF($B94&gt;'A1.3.10'!$S$58,I93,IF(OR(VLOOKUP($B94,'A1.3.10'!$S$28:$AE$58,3,)="",'Fuel consumption'!E$28=""),"",'Fuel consumption'!E$28  * VLOOKUP($B94,'A1.3.10'!$S$28:$AE$58,3,))))</f>
        <v>5.5526385246550972E-2</v>
      </c>
      <c r="J94" s="2487">
        <f>IF($B94&lt;'A1.3.10'!$S$28,"",IF($B94&gt;'A1.3.10'!$S$58,J93,IF(OR(VLOOKUP($B94,'A1.3.10'!$S$28:$AE$58,3,)="",'Fuel consumption'!F$28=""),"",'Fuel consumption'!F$28  * VLOOKUP($B94,'A1.3.10'!$S$28:$AE$58,3,))))</f>
        <v>-5.3417929464962704E-4</v>
      </c>
      <c r="K94" s="2642">
        <f>IF($B94&lt;'A1.3.10'!$S$28,"",IF($B94&gt;'A1.3.10'!$S$58,K93,IF(OR(VLOOKUP($B94,'A1.3.10'!$S$28:$AE$58,3,)="",'Fuel consumption'!G$28=""),"",'Fuel consumption'!G$28  * VLOOKUP($B94,'A1.3.10'!$S$28:$AE$58,3,))))</f>
        <v>4.2093596420141842E-6</v>
      </c>
      <c r="L94" s="2486" t="str">
        <f>IF($B94&lt;'A1.3.10'!$S$28,"",IF($B94&gt;'A1.3.10'!$S$58,L93,IF(OR(VLOOKUP($B94,'A1.3.10'!$S$28:$AE$58,4,)="", 'Fuel consumption'!D$36=""),"",'Fuel consumption'!D$36 * VLOOKUP($B94,'A1.3.10'!$S$28:$AE$58,4,))))</f>
        <v/>
      </c>
      <c r="M94" s="2487">
        <f>IF($B94&lt;'A1.3.10'!$S$28,"",IF($B94&gt;'A1.3.10'!$S$58,M93,IF(OR(VLOOKUP($B94,'A1.3.10'!$S$28:$AE$58,4,)="", 'Fuel consumption'!E$36=""),"",'Fuel consumption'!E$36 * VLOOKUP($B94,'A1.3.10'!$S$28:$AE$58,4,))))</f>
        <v>0.12679510393803953</v>
      </c>
      <c r="N94" s="614" t="str">
        <f>IF($B94&lt;'A1.3.10'!$S$28,"",IF($B94&gt;'A1.3.10'!$S$58,N93,IF(OR(VLOOKUP($B94,'A1.3.10'!$S$28:$AE$58,4,)="", 'Fuel consumption'!F$36=""),"",'Fuel consumption'!F$36 * VLOOKUP($B94,'A1.3.10'!$S$28:$AE$58,4,))))</f>
        <v/>
      </c>
      <c r="O94" s="612" t="str">
        <f>IF($B94&lt;'A1.3.10'!$S$28,"",IF($B94&gt;'A1.3.10'!$S$58,O93,IF(OR(VLOOKUP($B94,'A1.3.10'!$S$28:$AE$58,4,)="", 'Fuel consumption'!G$36=""),"",'Fuel consumption'!G$36 * VLOOKUP($B94,'A1.3.10'!$S$28:$AE$58,4,))))</f>
        <v/>
      </c>
      <c r="P94" s="610">
        <f>IF($B94&lt;'A1.3.10'!$S$28,"",IF($B94&gt;'A1.3.10'!$S$58,P93,IF(OR(VLOOKUP($B94,'A1.3.10'!$S$28:$AE$58,5,)="",'Fuel consumption'!D$29=""),"",'Fuel consumption'!D$29 * VLOOKUP($B94,'A1.3.10'!$S$28:$AE$58,5,))))</f>
        <v>0.23398100209323003</v>
      </c>
      <c r="Q94" s="611">
        <f>IF($B94&lt;'A1.3.10'!$S$28,"",IF($B94&gt;'A1.3.10'!$S$58,Q93,IF(OR(VLOOKUP($B94,'A1.3.10'!$S$28:$AE$58,5,)="",'Fuel consumption'!E$29=""),"",'Fuel consumption'!E$29 * VLOOKUP($B94,'A1.3.10'!$S$28:$AE$58,5,))))</f>
        <v>0.13120300165283155</v>
      </c>
      <c r="R94" s="611">
        <f>IF($B94&lt;'A1.3.10'!$S$28,"",IF($B94&gt;'A1.3.10'!$S$58,R93,IF(OR(VLOOKUP($B94,'A1.3.10'!$S$28:$AE$58,5,)="",'Fuel consumption'!F$29=""),"",'Fuel consumption'!F$29 * VLOOKUP($B94,'A1.3.10'!$S$28:$AE$58,5,))))</f>
        <v>-2.0594564659300405E-3</v>
      </c>
      <c r="S94" s="2642">
        <f>IF($B94&lt;'A1.3.10'!$S$28,"",IF($B94&gt;'A1.3.10'!$S$58,S93,IF(OR(VLOOKUP($B94,'A1.3.10'!$S$28:$AE$58,5,)="",'Fuel consumption'!G$29=""),"",'Fuel consumption'!G$29 * VLOOKUP($B94,'A1.3.10'!$S$28:$AE$58,5,))))</f>
        <v>1.3300046823685748E-5</v>
      </c>
      <c r="T94" s="610">
        <f>IF($B94&lt;'A1.3.10'!$S$28,"",IF($B94&gt;'A1.3.10'!$S$58,T93,IF(OR(VLOOKUP($B94,'A1.3.10'!$S$28:$AE$58,6,)="",'Fuel consumption'!D$30=""),"",'Fuel consumption'!D$30 * VLOOKUP($B94,'A1.3.10'!$S$28:$AE$58,6,))))</f>
        <v>0.3988609037344879</v>
      </c>
      <c r="U94" s="611">
        <f>IF($B94&lt;'A1.3.10'!$S$28,"",IF($B94&gt;'A1.3.10'!$S$58,U93,IF(OR(VLOOKUP($B94,'A1.3.10'!$S$28:$AE$58,6,)="",'Fuel consumption'!E$30=""),"",'Fuel consumption'!E$30 * VLOOKUP($B94,'A1.3.10'!$S$28:$AE$58,6,))))</f>
        <v>9.7483230363204512E-2</v>
      </c>
      <c r="V94" s="611">
        <f>IF($B94&lt;'A1.3.10'!$S$28,"",IF($B94&gt;'A1.3.10'!$S$58,V93,IF(OR(VLOOKUP($B94,'A1.3.10'!$S$28:$AE$58,6,)="",'Fuel consumption'!F$30=""),"",'Fuel consumption'!F$30 * VLOOKUP($B94,'A1.3.10'!$S$28:$AE$58,6,))))</f>
        <v>-1.4063727682028522E-3</v>
      </c>
      <c r="W94" s="2642">
        <f>IF($B94&lt;'A1.3.10'!$S$28,"",IF($B94&gt;'A1.3.10'!$S$58,W93,IF(OR(VLOOKUP($B94,'A1.3.10'!$S$28:$AE$58,6,)="",'Fuel consumption'!G$30=""),"",'Fuel consumption'!G$30 * VLOOKUP($B94,'A1.3.10'!$S$28:$AE$58,6,))))</f>
        <v>1.1906400891809692E-5</v>
      </c>
      <c r="X94" s="3144"/>
      <c r="Y94" s="2487">
        <f>IF($B94&lt;'A1.3.10'!$S$28,"",IF($B94&gt;'A1.3.10'!$S$58,Y93,IF(OR(VLOOKUP($B94,'A1.3.10'!$S$28:$AE$58,7,)="", 'Fuel consumption'!E$37=""),"",'Fuel consumption'!E$37 * VLOOKUP($B94,'A1.3.10'!$S$28:$AE$58,7,))))</f>
        <v>0.29149401103980166</v>
      </c>
      <c r="Z94" s="2642"/>
      <c r="AA94" s="2642"/>
      <c r="AB94" s="610">
        <f>IF($B94&lt;'A1.3.10'!$S$28,"",IF($B94&gt;'A1.3.10'!$S$58,AB93,IF(OR(VLOOKUP($B94,'A1.3.10'!$S$28:$AE$58,8,)="",'Fuel consumption'!D$31=""),"",'Fuel consumption'!D$31 * VLOOKUP($B94,'A1.3.10'!$S$28:$AE$58,8,))))</f>
        <v>2.6962848686626804</v>
      </c>
      <c r="AC94" s="611">
        <f>IF($B94&lt;'A1.3.10'!$S$28,"",IF($B94&gt;'A1.3.10'!$S$58,AC93,IF(OR(VLOOKUP($B94,'A1.3.10'!$S$28:$AE$58,8,)="",'Fuel consumption'!E$31=""),"",'Fuel consumption'!E$31 * VLOOKUP($B94,'A1.3.10'!$S$28:$AE$58,8,))))</f>
        <v>0.143057339771858</v>
      </c>
      <c r="AD94" s="611">
        <f>IF($B94&lt;'A1.3.10'!$S$28,"",IF($B94&gt;'A1.3.10'!$S$58,AD93,IF(OR(VLOOKUP($B94,'A1.3.10'!$S$28:$AE$58,8,)="",'Fuel consumption'!F$31=""),"",'Fuel consumption'!F$31 * VLOOKUP($B94,'A1.3.10'!$S$28:$AE$58,8,))))</f>
        <v>-1.0340193601785499E-3</v>
      </c>
      <c r="AE94" s="2642">
        <f>IF($B94&lt;'A1.3.10'!$S$28,"",IF($B94&gt;'A1.3.10'!$S$58,AE93,IF(OR(VLOOKUP($B94,'A1.3.10'!$S$28:$AE$58,8,)="",'Fuel consumption'!G$31=""),"",'Fuel consumption'!G$31 * VLOOKUP($B94,'A1.3.10'!$S$28:$AE$58,8,))))</f>
        <v>1.1293150500864199E-5</v>
      </c>
      <c r="AF94" s="610">
        <f>IF($B94&lt;'A1.3.10'!$S$28,"",IF($B94&gt;'A1.3.10'!$S$58,AF93,IF(OR(VLOOKUP($B94,'A1.3.10'!$S$28:$AE$58,10,)="",'Fuel consumption'!D$32=""),"",'Fuel consumption'!D$32 * VLOOKUP($B94,'A1.3.10'!$S$28:$AE$58,10,))))</f>
        <v>5.6655970981789903</v>
      </c>
      <c r="AG94" s="611">
        <f>IF($B94&lt;'A1.3.10'!$S$28,"",IF($B94&gt;'A1.3.10'!$S$58,AG93,IF(OR(VLOOKUP($B94,'A1.3.10'!$S$28:$AE$58,10,)="",'Fuel consumption'!E$32=""),"",'Fuel consumption'!E$32 * VLOOKUP($B94,'A1.3.10'!$S$28:$AE$58,10,))))</f>
        <v>0.29422449618924201</v>
      </c>
      <c r="AH94" s="611">
        <f>IF($B94&lt;'A1.3.10'!$S$28,"",IF($B94&gt;'A1.3.10'!$S$58,AH93,IF(OR(VLOOKUP($B94,'A1.3.10'!$S$28:$AE$58,10,)="",'Fuel consumption'!F$32=""),"",'Fuel consumption'!F$32 * VLOOKUP($B94,'A1.3.10'!$S$28:$AE$58,10,))))</f>
        <v>-1.9493920679616401E-3</v>
      </c>
      <c r="AI94" s="1578">
        <f>IF($B94&lt;'A1.3.10'!$S$28,"",IF($B94&gt;'A1.3.10'!$S$58,AI93,IF(OR(VLOOKUP($B94,'A1.3.10'!$S$28:$AE$58,10,)="",'Fuel consumption'!G$32=""),"",'Fuel consumption'!G$32 * VLOOKUP($B94,'A1.3.10'!$S$28:$AE$58,10,))))</f>
        <v>1.1619187345164999E-5</v>
      </c>
      <c r="AJ94" s="610">
        <f>IF($B94&lt;'A1.3.10'!$S$28,"",IF($B94&gt;'A1.3.10'!$S$58,AJ93,IF(OR(VLOOKUP($B94,'A1.3.10'!$S$28:$AE$58,12,)="",'Fuel consumption'!D$33=""),"",'Fuel consumption'!D$33 * VLOOKUP($B94,'A1.3.10'!$S$28:$AE$58,12,))))</f>
        <v>3.3601870156891001</v>
      </c>
      <c r="AK94" s="611">
        <f>IF($B94&lt;'A1.3.10'!$S$28,"",IF($B94&gt;'A1.3.10'!$S$58,AK93,IF(OR(VLOOKUP($B94,'A1.3.10'!$S$28:$AE$58,12,)="",'Fuel consumption'!E$33=""),"",'Fuel consumption'!E$33 * VLOOKUP($B94,'A1.3.10'!$S$28:$AE$58,12,))))</f>
        <v>0.29524938703213599</v>
      </c>
      <c r="AL94" s="611">
        <f>IF($B94&lt;'A1.3.10'!$S$28,"",IF($B94&gt;'A1.3.10'!$S$58,AL93,IF(OR(VLOOKUP($B94,'A1.3.10'!$S$28:$AE$58,12,)="",'Fuel consumption'!F$33=""),"",'Fuel consumption'!F$33 * VLOOKUP($B94,'A1.3.10'!$S$28:$AE$58,12,))))</f>
        <v>-3.20909768342738E-3</v>
      </c>
      <c r="AM94" s="1578">
        <f>IF($B94&lt;'A1.3.10'!$S$28,"",IF($B94&gt;'A1.3.10'!$S$58,AM93,IF(OR(VLOOKUP($B94,'A1.3.10'!$S$28:$AE$58,12,)="",'Fuel consumption'!G$33=""),"",'Fuel consumption'!G$33 * VLOOKUP($B94,'A1.3.10'!$S$28:$AE$58,12,))))</f>
        <v>2.3540043227716499E-5</v>
      </c>
    </row>
    <row r="95" spans="1:39" ht="13.5" customHeight="1">
      <c r="A95" s="623"/>
      <c r="B95" s="614">
        <f t="shared" si="4"/>
        <v>2079</v>
      </c>
      <c r="C95" s="609"/>
      <c r="D95" s="2484">
        <f>IF($B95&lt;'A1.3.10'!$S$28,"",IF($B95&gt;'A1.3.10'!$S$58,D94,IF(OR(VLOOKUP($B95,'A1.3.10'!$S$28:$AE$58,2,)="",'Fuel consumption'!D$27=""),"",'Fuel consumption'!D$27 * VLOOKUP($B95,'A1.3.10'!$S$28:$AE$58,2,))))</f>
        <v>0.32527491364024624</v>
      </c>
      <c r="E95" s="2485">
        <f>IF($B95&lt;'A1.3.10'!$S$28,"",IF($B95&gt;'A1.3.10'!$S$58,E94,IF(OR(VLOOKUP($B95,'A1.3.10'!$S$28:$AE$58,2,)="",'Fuel consumption'!E$27=""),"",'Fuel consumption'!E$27 * VLOOKUP($B95,'A1.3.10'!$S$28:$AE$58,2,))))</f>
        <v>6.9126195403069218E-2</v>
      </c>
      <c r="F95" s="2485">
        <f>IF($B95&lt;'A1.3.10'!$S$28,"",IF($B95&gt;'A1.3.10'!$S$58,F94,IF(OR(VLOOKUP($B95,'A1.3.10'!$S$28:$AE$58,2,)="",'Fuel consumption'!F$27=""),"",'Fuel consumption'!F$27 * VLOOKUP($B95,'A1.3.10'!$S$28:$AE$58,2,))))</f>
        <v>-7.8742934140708519E-4</v>
      </c>
      <c r="G95" s="2642">
        <f>IF($B95&lt;'A1.3.10'!$S$28,"",IF($B95&gt;'A1.3.10'!$S$58,G94,IF(OR(VLOOKUP($B95,'A1.3.10'!$S$28:$AE$58,2,)="",'Fuel consumption'!G$27=""),"",'Fuel consumption'!G$27 * VLOOKUP($B95,'A1.3.10'!$S$28:$AE$58,2,))))</f>
        <v>5.2150811705064693E-6</v>
      </c>
      <c r="H95" s="2486">
        <f>IF($B95&lt;'A1.3.10'!$S$28,"",IF($B95&gt;'A1.3.10'!$S$58,H94,IF(OR(VLOOKUP($B95,'A1.3.10'!$S$28:$AE$58,3,)="",'Fuel consumption'!D$28=""),"",'Fuel consumption'!D$28  * VLOOKUP($B95,'A1.3.10'!$S$28:$AE$58,3,))))</f>
        <v>0.38728007442052015</v>
      </c>
      <c r="I95" s="2487">
        <f>IF($B95&lt;'A1.3.10'!$S$28,"",IF($B95&gt;'A1.3.10'!$S$58,I94,IF(OR(VLOOKUP($B95,'A1.3.10'!$S$28:$AE$58,3,)="",'Fuel consumption'!E$28=""),"",'Fuel consumption'!E$28  * VLOOKUP($B95,'A1.3.10'!$S$28:$AE$58,3,))))</f>
        <v>5.5526385246550972E-2</v>
      </c>
      <c r="J95" s="2487">
        <f>IF($B95&lt;'A1.3.10'!$S$28,"",IF($B95&gt;'A1.3.10'!$S$58,J94,IF(OR(VLOOKUP($B95,'A1.3.10'!$S$28:$AE$58,3,)="",'Fuel consumption'!F$28=""),"",'Fuel consumption'!F$28  * VLOOKUP($B95,'A1.3.10'!$S$28:$AE$58,3,))))</f>
        <v>-5.3417929464962704E-4</v>
      </c>
      <c r="K95" s="2642">
        <f>IF($B95&lt;'A1.3.10'!$S$28,"",IF($B95&gt;'A1.3.10'!$S$58,K94,IF(OR(VLOOKUP($B95,'A1.3.10'!$S$28:$AE$58,3,)="",'Fuel consumption'!G$28=""),"",'Fuel consumption'!G$28  * VLOOKUP($B95,'A1.3.10'!$S$28:$AE$58,3,))))</f>
        <v>4.2093596420141842E-6</v>
      </c>
      <c r="L95" s="2486" t="str">
        <f>IF($B95&lt;'A1.3.10'!$S$28,"",IF($B95&gt;'A1.3.10'!$S$58,L94,IF(OR(VLOOKUP($B95,'A1.3.10'!$S$28:$AE$58,4,)="", 'Fuel consumption'!D$36=""),"",'Fuel consumption'!D$36 * VLOOKUP($B95,'A1.3.10'!$S$28:$AE$58,4,))))</f>
        <v/>
      </c>
      <c r="M95" s="2487">
        <f>IF($B95&lt;'A1.3.10'!$S$28,"",IF($B95&gt;'A1.3.10'!$S$58,M94,IF(OR(VLOOKUP($B95,'A1.3.10'!$S$28:$AE$58,4,)="", 'Fuel consumption'!E$36=""),"",'Fuel consumption'!E$36 * VLOOKUP($B95,'A1.3.10'!$S$28:$AE$58,4,))))</f>
        <v>0.12679510393803953</v>
      </c>
      <c r="N95" s="614" t="str">
        <f>IF($B95&lt;'A1.3.10'!$S$28,"",IF($B95&gt;'A1.3.10'!$S$58,N94,IF(OR(VLOOKUP($B95,'A1.3.10'!$S$28:$AE$58,4,)="", 'Fuel consumption'!F$36=""),"",'Fuel consumption'!F$36 * VLOOKUP($B95,'A1.3.10'!$S$28:$AE$58,4,))))</f>
        <v/>
      </c>
      <c r="O95" s="612" t="str">
        <f>IF($B95&lt;'A1.3.10'!$S$28,"",IF($B95&gt;'A1.3.10'!$S$58,O94,IF(OR(VLOOKUP($B95,'A1.3.10'!$S$28:$AE$58,4,)="", 'Fuel consumption'!G$36=""),"",'Fuel consumption'!G$36 * VLOOKUP($B95,'A1.3.10'!$S$28:$AE$58,4,))))</f>
        <v/>
      </c>
      <c r="P95" s="610">
        <f>IF($B95&lt;'A1.3.10'!$S$28,"",IF($B95&gt;'A1.3.10'!$S$58,P94,IF(OR(VLOOKUP($B95,'A1.3.10'!$S$28:$AE$58,5,)="",'Fuel consumption'!D$29=""),"",'Fuel consumption'!D$29 * VLOOKUP($B95,'A1.3.10'!$S$28:$AE$58,5,))))</f>
        <v>0.23398100209323003</v>
      </c>
      <c r="Q95" s="611">
        <f>IF($B95&lt;'A1.3.10'!$S$28,"",IF($B95&gt;'A1.3.10'!$S$58,Q94,IF(OR(VLOOKUP($B95,'A1.3.10'!$S$28:$AE$58,5,)="",'Fuel consumption'!E$29=""),"",'Fuel consumption'!E$29 * VLOOKUP($B95,'A1.3.10'!$S$28:$AE$58,5,))))</f>
        <v>0.13120300165283155</v>
      </c>
      <c r="R95" s="611">
        <f>IF($B95&lt;'A1.3.10'!$S$28,"",IF($B95&gt;'A1.3.10'!$S$58,R94,IF(OR(VLOOKUP($B95,'A1.3.10'!$S$28:$AE$58,5,)="",'Fuel consumption'!F$29=""),"",'Fuel consumption'!F$29 * VLOOKUP($B95,'A1.3.10'!$S$28:$AE$58,5,))))</f>
        <v>-2.0594564659300405E-3</v>
      </c>
      <c r="S95" s="2642">
        <f>IF($B95&lt;'A1.3.10'!$S$28,"",IF($B95&gt;'A1.3.10'!$S$58,S94,IF(OR(VLOOKUP($B95,'A1.3.10'!$S$28:$AE$58,5,)="",'Fuel consumption'!G$29=""),"",'Fuel consumption'!G$29 * VLOOKUP($B95,'A1.3.10'!$S$28:$AE$58,5,))))</f>
        <v>1.3300046823685748E-5</v>
      </c>
      <c r="T95" s="610">
        <f>IF($B95&lt;'A1.3.10'!$S$28,"",IF($B95&gt;'A1.3.10'!$S$58,T94,IF(OR(VLOOKUP($B95,'A1.3.10'!$S$28:$AE$58,6,)="",'Fuel consumption'!D$30=""),"",'Fuel consumption'!D$30 * VLOOKUP($B95,'A1.3.10'!$S$28:$AE$58,6,))))</f>
        <v>0.3988609037344879</v>
      </c>
      <c r="U95" s="611">
        <f>IF($B95&lt;'A1.3.10'!$S$28,"",IF($B95&gt;'A1.3.10'!$S$58,U94,IF(OR(VLOOKUP($B95,'A1.3.10'!$S$28:$AE$58,6,)="",'Fuel consumption'!E$30=""),"",'Fuel consumption'!E$30 * VLOOKUP($B95,'A1.3.10'!$S$28:$AE$58,6,))))</f>
        <v>9.7483230363204512E-2</v>
      </c>
      <c r="V95" s="611">
        <f>IF($B95&lt;'A1.3.10'!$S$28,"",IF($B95&gt;'A1.3.10'!$S$58,V94,IF(OR(VLOOKUP($B95,'A1.3.10'!$S$28:$AE$58,6,)="",'Fuel consumption'!F$30=""),"",'Fuel consumption'!F$30 * VLOOKUP($B95,'A1.3.10'!$S$28:$AE$58,6,))))</f>
        <v>-1.4063727682028522E-3</v>
      </c>
      <c r="W95" s="2642">
        <f>IF($B95&lt;'A1.3.10'!$S$28,"",IF($B95&gt;'A1.3.10'!$S$58,W94,IF(OR(VLOOKUP($B95,'A1.3.10'!$S$28:$AE$58,6,)="",'Fuel consumption'!G$30=""),"",'Fuel consumption'!G$30 * VLOOKUP($B95,'A1.3.10'!$S$28:$AE$58,6,))))</f>
        <v>1.1906400891809692E-5</v>
      </c>
      <c r="X95" s="3144"/>
      <c r="Y95" s="2487">
        <f>IF($B95&lt;'A1.3.10'!$S$28,"",IF($B95&gt;'A1.3.10'!$S$58,Y94,IF(OR(VLOOKUP($B95,'A1.3.10'!$S$28:$AE$58,7,)="", 'Fuel consumption'!E$37=""),"",'Fuel consumption'!E$37 * VLOOKUP($B95,'A1.3.10'!$S$28:$AE$58,7,))))</f>
        <v>0.29149401103980166</v>
      </c>
      <c r="Z95" s="2642"/>
      <c r="AA95" s="2642"/>
      <c r="AB95" s="610">
        <f>IF($B95&lt;'A1.3.10'!$S$28,"",IF($B95&gt;'A1.3.10'!$S$58,AB94,IF(OR(VLOOKUP($B95,'A1.3.10'!$S$28:$AE$58,8,)="",'Fuel consumption'!D$31=""),"",'Fuel consumption'!D$31 * VLOOKUP($B95,'A1.3.10'!$S$28:$AE$58,8,))))</f>
        <v>2.6962848686626804</v>
      </c>
      <c r="AC95" s="611">
        <f>IF($B95&lt;'A1.3.10'!$S$28,"",IF($B95&gt;'A1.3.10'!$S$58,AC94,IF(OR(VLOOKUP($B95,'A1.3.10'!$S$28:$AE$58,8,)="",'Fuel consumption'!E$31=""),"",'Fuel consumption'!E$31 * VLOOKUP($B95,'A1.3.10'!$S$28:$AE$58,8,))))</f>
        <v>0.143057339771858</v>
      </c>
      <c r="AD95" s="611">
        <f>IF($B95&lt;'A1.3.10'!$S$28,"",IF($B95&gt;'A1.3.10'!$S$58,AD94,IF(OR(VLOOKUP($B95,'A1.3.10'!$S$28:$AE$58,8,)="",'Fuel consumption'!F$31=""),"",'Fuel consumption'!F$31 * VLOOKUP($B95,'A1.3.10'!$S$28:$AE$58,8,))))</f>
        <v>-1.0340193601785499E-3</v>
      </c>
      <c r="AE95" s="2642">
        <f>IF($B95&lt;'A1.3.10'!$S$28,"",IF($B95&gt;'A1.3.10'!$S$58,AE94,IF(OR(VLOOKUP($B95,'A1.3.10'!$S$28:$AE$58,8,)="",'Fuel consumption'!G$31=""),"",'Fuel consumption'!G$31 * VLOOKUP($B95,'A1.3.10'!$S$28:$AE$58,8,))))</f>
        <v>1.1293150500864199E-5</v>
      </c>
      <c r="AF95" s="610">
        <f>IF($B95&lt;'A1.3.10'!$S$28,"",IF($B95&gt;'A1.3.10'!$S$58,AF94,IF(OR(VLOOKUP($B95,'A1.3.10'!$S$28:$AE$58,10,)="",'Fuel consumption'!D$32=""),"",'Fuel consumption'!D$32 * VLOOKUP($B95,'A1.3.10'!$S$28:$AE$58,10,))))</f>
        <v>5.6655970981789903</v>
      </c>
      <c r="AG95" s="611">
        <f>IF($B95&lt;'A1.3.10'!$S$28,"",IF($B95&gt;'A1.3.10'!$S$58,AG94,IF(OR(VLOOKUP($B95,'A1.3.10'!$S$28:$AE$58,10,)="",'Fuel consumption'!E$32=""),"",'Fuel consumption'!E$32 * VLOOKUP($B95,'A1.3.10'!$S$28:$AE$58,10,))))</f>
        <v>0.29422449618924201</v>
      </c>
      <c r="AH95" s="611">
        <f>IF($B95&lt;'A1.3.10'!$S$28,"",IF($B95&gt;'A1.3.10'!$S$58,AH94,IF(OR(VLOOKUP($B95,'A1.3.10'!$S$28:$AE$58,10,)="",'Fuel consumption'!F$32=""),"",'Fuel consumption'!F$32 * VLOOKUP($B95,'A1.3.10'!$S$28:$AE$58,10,))))</f>
        <v>-1.9493920679616401E-3</v>
      </c>
      <c r="AI95" s="1578">
        <f>IF($B95&lt;'A1.3.10'!$S$28,"",IF($B95&gt;'A1.3.10'!$S$58,AI94,IF(OR(VLOOKUP($B95,'A1.3.10'!$S$28:$AE$58,10,)="",'Fuel consumption'!G$32=""),"",'Fuel consumption'!G$32 * VLOOKUP($B95,'A1.3.10'!$S$28:$AE$58,10,))))</f>
        <v>1.1619187345164999E-5</v>
      </c>
      <c r="AJ95" s="610">
        <f>IF($B95&lt;'A1.3.10'!$S$28,"",IF($B95&gt;'A1.3.10'!$S$58,AJ94,IF(OR(VLOOKUP($B95,'A1.3.10'!$S$28:$AE$58,12,)="",'Fuel consumption'!D$33=""),"",'Fuel consumption'!D$33 * VLOOKUP($B95,'A1.3.10'!$S$28:$AE$58,12,))))</f>
        <v>3.3601870156891001</v>
      </c>
      <c r="AK95" s="611">
        <f>IF($B95&lt;'A1.3.10'!$S$28,"",IF($B95&gt;'A1.3.10'!$S$58,AK94,IF(OR(VLOOKUP($B95,'A1.3.10'!$S$28:$AE$58,12,)="",'Fuel consumption'!E$33=""),"",'Fuel consumption'!E$33 * VLOOKUP($B95,'A1.3.10'!$S$28:$AE$58,12,))))</f>
        <v>0.29524938703213599</v>
      </c>
      <c r="AL95" s="611">
        <f>IF($B95&lt;'A1.3.10'!$S$28,"",IF($B95&gt;'A1.3.10'!$S$58,AL94,IF(OR(VLOOKUP($B95,'A1.3.10'!$S$28:$AE$58,12,)="",'Fuel consumption'!F$33=""),"",'Fuel consumption'!F$33 * VLOOKUP($B95,'A1.3.10'!$S$28:$AE$58,12,))))</f>
        <v>-3.20909768342738E-3</v>
      </c>
      <c r="AM95" s="1578">
        <f>IF($B95&lt;'A1.3.10'!$S$28,"",IF($B95&gt;'A1.3.10'!$S$58,AM94,IF(OR(VLOOKUP($B95,'A1.3.10'!$S$28:$AE$58,12,)="",'Fuel consumption'!G$33=""),"",'Fuel consumption'!G$33 * VLOOKUP($B95,'A1.3.10'!$S$28:$AE$58,12,))))</f>
        <v>2.3540043227716499E-5</v>
      </c>
    </row>
    <row r="96" spans="1:39" ht="13.5" customHeight="1">
      <c r="A96" s="623"/>
      <c r="B96" s="614">
        <f t="shared" si="4"/>
        <v>2080</v>
      </c>
      <c r="C96" s="609"/>
      <c r="D96" s="2484">
        <f>IF($B96&lt;'A1.3.10'!$S$28,"",IF($B96&gt;'A1.3.10'!$S$58,D95,IF(OR(VLOOKUP($B96,'A1.3.10'!$S$28:$AE$58,2,)="",'Fuel consumption'!D$27=""),"",'Fuel consumption'!D$27 * VLOOKUP($B96,'A1.3.10'!$S$28:$AE$58,2,))))</f>
        <v>0.32527491364024624</v>
      </c>
      <c r="E96" s="2485">
        <f>IF($B96&lt;'A1.3.10'!$S$28,"",IF($B96&gt;'A1.3.10'!$S$58,E95,IF(OR(VLOOKUP($B96,'A1.3.10'!$S$28:$AE$58,2,)="",'Fuel consumption'!E$27=""),"",'Fuel consumption'!E$27 * VLOOKUP($B96,'A1.3.10'!$S$28:$AE$58,2,))))</f>
        <v>6.9126195403069218E-2</v>
      </c>
      <c r="F96" s="2485">
        <f>IF($B96&lt;'A1.3.10'!$S$28,"",IF($B96&gt;'A1.3.10'!$S$58,F95,IF(OR(VLOOKUP($B96,'A1.3.10'!$S$28:$AE$58,2,)="",'Fuel consumption'!F$27=""),"",'Fuel consumption'!F$27 * VLOOKUP($B96,'A1.3.10'!$S$28:$AE$58,2,))))</f>
        <v>-7.8742934140708519E-4</v>
      </c>
      <c r="G96" s="2642">
        <f>IF($B96&lt;'A1.3.10'!$S$28,"",IF($B96&gt;'A1.3.10'!$S$58,G95,IF(OR(VLOOKUP($B96,'A1.3.10'!$S$28:$AE$58,2,)="",'Fuel consumption'!G$27=""),"",'Fuel consumption'!G$27 * VLOOKUP($B96,'A1.3.10'!$S$28:$AE$58,2,))))</f>
        <v>5.2150811705064693E-6</v>
      </c>
      <c r="H96" s="2486">
        <f>IF($B96&lt;'A1.3.10'!$S$28,"",IF($B96&gt;'A1.3.10'!$S$58,H95,IF(OR(VLOOKUP($B96,'A1.3.10'!$S$28:$AE$58,3,)="",'Fuel consumption'!D$28=""),"",'Fuel consumption'!D$28  * VLOOKUP($B96,'A1.3.10'!$S$28:$AE$58,3,))))</f>
        <v>0.38728007442052015</v>
      </c>
      <c r="I96" s="2487">
        <f>IF($B96&lt;'A1.3.10'!$S$28,"",IF($B96&gt;'A1.3.10'!$S$58,I95,IF(OR(VLOOKUP($B96,'A1.3.10'!$S$28:$AE$58,3,)="",'Fuel consumption'!E$28=""),"",'Fuel consumption'!E$28  * VLOOKUP($B96,'A1.3.10'!$S$28:$AE$58,3,))))</f>
        <v>5.5526385246550972E-2</v>
      </c>
      <c r="J96" s="2487">
        <f>IF($B96&lt;'A1.3.10'!$S$28,"",IF($B96&gt;'A1.3.10'!$S$58,J95,IF(OR(VLOOKUP($B96,'A1.3.10'!$S$28:$AE$58,3,)="",'Fuel consumption'!F$28=""),"",'Fuel consumption'!F$28  * VLOOKUP($B96,'A1.3.10'!$S$28:$AE$58,3,))))</f>
        <v>-5.3417929464962704E-4</v>
      </c>
      <c r="K96" s="2642">
        <f>IF($B96&lt;'A1.3.10'!$S$28,"",IF($B96&gt;'A1.3.10'!$S$58,K95,IF(OR(VLOOKUP($B96,'A1.3.10'!$S$28:$AE$58,3,)="",'Fuel consumption'!G$28=""),"",'Fuel consumption'!G$28  * VLOOKUP($B96,'A1.3.10'!$S$28:$AE$58,3,))))</f>
        <v>4.2093596420141842E-6</v>
      </c>
      <c r="L96" s="2486" t="str">
        <f>IF($B96&lt;'A1.3.10'!$S$28,"",IF($B96&gt;'A1.3.10'!$S$58,L95,IF(OR(VLOOKUP($B96,'A1.3.10'!$S$28:$AE$58,4,)="", 'Fuel consumption'!D$36=""),"",'Fuel consumption'!D$36 * VLOOKUP($B96,'A1.3.10'!$S$28:$AE$58,4,))))</f>
        <v/>
      </c>
      <c r="M96" s="2487">
        <f>IF($B96&lt;'A1.3.10'!$S$28,"",IF($B96&gt;'A1.3.10'!$S$58,M95,IF(OR(VLOOKUP($B96,'A1.3.10'!$S$28:$AE$58,4,)="", 'Fuel consumption'!E$36=""),"",'Fuel consumption'!E$36 * VLOOKUP($B96,'A1.3.10'!$S$28:$AE$58,4,))))</f>
        <v>0.12679510393803953</v>
      </c>
      <c r="N96" s="614" t="str">
        <f>IF($B96&lt;'A1.3.10'!$S$28,"",IF($B96&gt;'A1.3.10'!$S$58,N95,IF(OR(VLOOKUP($B96,'A1.3.10'!$S$28:$AE$58,4,)="", 'Fuel consumption'!F$36=""),"",'Fuel consumption'!F$36 * VLOOKUP($B96,'A1.3.10'!$S$28:$AE$58,4,))))</f>
        <v/>
      </c>
      <c r="O96" s="612" t="str">
        <f>IF($B96&lt;'A1.3.10'!$S$28,"",IF($B96&gt;'A1.3.10'!$S$58,O95,IF(OR(VLOOKUP($B96,'A1.3.10'!$S$28:$AE$58,4,)="", 'Fuel consumption'!G$36=""),"",'Fuel consumption'!G$36 * VLOOKUP($B96,'A1.3.10'!$S$28:$AE$58,4,))))</f>
        <v/>
      </c>
      <c r="P96" s="610">
        <f>IF($B96&lt;'A1.3.10'!$S$28,"",IF($B96&gt;'A1.3.10'!$S$58,P95,IF(OR(VLOOKUP($B96,'A1.3.10'!$S$28:$AE$58,5,)="",'Fuel consumption'!D$29=""),"",'Fuel consumption'!D$29 * VLOOKUP($B96,'A1.3.10'!$S$28:$AE$58,5,))))</f>
        <v>0.23398100209323003</v>
      </c>
      <c r="Q96" s="611">
        <f>IF($B96&lt;'A1.3.10'!$S$28,"",IF($B96&gt;'A1.3.10'!$S$58,Q95,IF(OR(VLOOKUP($B96,'A1.3.10'!$S$28:$AE$58,5,)="",'Fuel consumption'!E$29=""),"",'Fuel consumption'!E$29 * VLOOKUP($B96,'A1.3.10'!$S$28:$AE$58,5,))))</f>
        <v>0.13120300165283155</v>
      </c>
      <c r="R96" s="611">
        <f>IF($B96&lt;'A1.3.10'!$S$28,"",IF($B96&gt;'A1.3.10'!$S$58,R95,IF(OR(VLOOKUP($B96,'A1.3.10'!$S$28:$AE$58,5,)="",'Fuel consumption'!F$29=""),"",'Fuel consumption'!F$29 * VLOOKUP($B96,'A1.3.10'!$S$28:$AE$58,5,))))</f>
        <v>-2.0594564659300405E-3</v>
      </c>
      <c r="S96" s="2642">
        <f>IF($B96&lt;'A1.3.10'!$S$28,"",IF($B96&gt;'A1.3.10'!$S$58,S95,IF(OR(VLOOKUP($B96,'A1.3.10'!$S$28:$AE$58,5,)="",'Fuel consumption'!G$29=""),"",'Fuel consumption'!G$29 * VLOOKUP($B96,'A1.3.10'!$S$28:$AE$58,5,))))</f>
        <v>1.3300046823685748E-5</v>
      </c>
      <c r="T96" s="610">
        <f>IF($B96&lt;'A1.3.10'!$S$28,"",IF($B96&gt;'A1.3.10'!$S$58,T95,IF(OR(VLOOKUP($B96,'A1.3.10'!$S$28:$AE$58,6,)="",'Fuel consumption'!D$30=""),"",'Fuel consumption'!D$30 * VLOOKUP($B96,'A1.3.10'!$S$28:$AE$58,6,))))</f>
        <v>0.3988609037344879</v>
      </c>
      <c r="U96" s="611">
        <f>IF($B96&lt;'A1.3.10'!$S$28,"",IF($B96&gt;'A1.3.10'!$S$58,U95,IF(OR(VLOOKUP($B96,'A1.3.10'!$S$28:$AE$58,6,)="",'Fuel consumption'!E$30=""),"",'Fuel consumption'!E$30 * VLOOKUP($B96,'A1.3.10'!$S$28:$AE$58,6,))))</f>
        <v>9.7483230363204512E-2</v>
      </c>
      <c r="V96" s="611">
        <f>IF($B96&lt;'A1.3.10'!$S$28,"",IF($B96&gt;'A1.3.10'!$S$58,V95,IF(OR(VLOOKUP($B96,'A1.3.10'!$S$28:$AE$58,6,)="",'Fuel consumption'!F$30=""),"",'Fuel consumption'!F$30 * VLOOKUP($B96,'A1.3.10'!$S$28:$AE$58,6,))))</f>
        <v>-1.4063727682028522E-3</v>
      </c>
      <c r="W96" s="2642">
        <f>IF($B96&lt;'A1.3.10'!$S$28,"",IF($B96&gt;'A1.3.10'!$S$58,W95,IF(OR(VLOOKUP($B96,'A1.3.10'!$S$28:$AE$58,6,)="",'Fuel consumption'!G$30=""),"",'Fuel consumption'!G$30 * VLOOKUP($B96,'A1.3.10'!$S$28:$AE$58,6,))))</f>
        <v>1.1906400891809692E-5</v>
      </c>
      <c r="X96" s="3144"/>
      <c r="Y96" s="2487">
        <f>IF($B96&lt;'A1.3.10'!$S$28,"",IF($B96&gt;'A1.3.10'!$S$58,Y95,IF(OR(VLOOKUP($B96,'A1.3.10'!$S$28:$AE$58,7,)="", 'Fuel consumption'!E$37=""),"",'Fuel consumption'!E$37 * VLOOKUP($B96,'A1.3.10'!$S$28:$AE$58,7,))))</f>
        <v>0.29149401103980166</v>
      </c>
      <c r="Z96" s="2642"/>
      <c r="AA96" s="2642"/>
      <c r="AB96" s="610">
        <f>IF($B96&lt;'A1.3.10'!$S$28,"",IF($B96&gt;'A1.3.10'!$S$58,AB95,IF(OR(VLOOKUP($B96,'A1.3.10'!$S$28:$AE$58,8,)="",'Fuel consumption'!D$31=""),"",'Fuel consumption'!D$31 * VLOOKUP($B96,'A1.3.10'!$S$28:$AE$58,8,))))</f>
        <v>2.6962848686626804</v>
      </c>
      <c r="AC96" s="611">
        <f>IF($B96&lt;'A1.3.10'!$S$28,"",IF($B96&gt;'A1.3.10'!$S$58,AC95,IF(OR(VLOOKUP($B96,'A1.3.10'!$S$28:$AE$58,8,)="",'Fuel consumption'!E$31=""),"",'Fuel consumption'!E$31 * VLOOKUP($B96,'A1.3.10'!$S$28:$AE$58,8,))))</f>
        <v>0.143057339771858</v>
      </c>
      <c r="AD96" s="611">
        <f>IF($B96&lt;'A1.3.10'!$S$28,"",IF($B96&gt;'A1.3.10'!$S$58,AD95,IF(OR(VLOOKUP($B96,'A1.3.10'!$S$28:$AE$58,8,)="",'Fuel consumption'!F$31=""),"",'Fuel consumption'!F$31 * VLOOKUP($B96,'A1.3.10'!$S$28:$AE$58,8,))))</f>
        <v>-1.0340193601785499E-3</v>
      </c>
      <c r="AE96" s="2642">
        <f>IF($B96&lt;'A1.3.10'!$S$28,"",IF($B96&gt;'A1.3.10'!$S$58,AE95,IF(OR(VLOOKUP($B96,'A1.3.10'!$S$28:$AE$58,8,)="",'Fuel consumption'!G$31=""),"",'Fuel consumption'!G$31 * VLOOKUP($B96,'A1.3.10'!$S$28:$AE$58,8,))))</f>
        <v>1.1293150500864199E-5</v>
      </c>
      <c r="AF96" s="610">
        <f>IF($B96&lt;'A1.3.10'!$S$28,"",IF($B96&gt;'A1.3.10'!$S$58,AF95,IF(OR(VLOOKUP($B96,'A1.3.10'!$S$28:$AE$58,10,)="",'Fuel consumption'!D$32=""),"",'Fuel consumption'!D$32 * VLOOKUP($B96,'A1.3.10'!$S$28:$AE$58,10,))))</f>
        <v>5.6655970981789903</v>
      </c>
      <c r="AG96" s="611">
        <f>IF($B96&lt;'A1.3.10'!$S$28,"",IF($B96&gt;'A1.3.10'!$S$58,AG95,IF(OR(VLOOKUP($B96,'A1.3.10'!$S$28:$AE$58,10,)="",'Fuel consumption'!E$32=""),"",'Fuel consumption'!E$32 * VLOOKUP($B96,'A1.3.10'!$S$28:$AE$58,10,))))</f>
        <v>0.29422449618924201</v>
      </c>
      <c r="AH96" s="611">
        <f>IF($B96&lt;'A1.3.10'!$S$28,"",IF($B96&gt;'A1.3.10'!$S$58,AH95,IF(OR(VLOOKUP($B96,'A1.3.10'!$S$28:$AE$58,10,)="",'Fuel consumption'!F$32=""),"",'Fuel consumption'!F$32 * VLOOKUP($B96,'A1.3.10'!$S$28:$AE$58,10,))))</f>
        <v>-1.9493920679616401E-3</v>
      </c>
      <c r="AI96" s="1578">
        <f>IF($B96&lt;'A1.3.10'!$S$28,"",IF($B96&gt;'A1.3.10'!$S$58,AI95,IF(OR(VLOOKUP($B96,'A1.3.10'!$S$28:$AE$58,10,)="",'Fuel consumption'!G$32=""),"",'Fuel consumption'!G$32 * VLOOKUP($B96,'A1.3.10'!$S$28:$AE$58,10,))))</f>
        <v>1.1619187345164999E-5</v>
      </c>
      <c r="AJ96" s="610">
        <f>IF($B96&lt;'A1.3.10'!$S$28,"",IF($B96&gt;'A1.3.10'!$S$58,AJ95,IF(OR(VLOOKUP($B96,'A1.3.10'!$S$28:$AE$58,12,)="",'Fuel consumption'!D$33=""),"",'Fuel consumption'!D$33 * VLOOKUP($B96,'A1.3.10'!$S$28:$AE$58,12,))))</f>
        <v>3.3601870156891001</v>
      </c>
      <c r="AK96" s="611">
        <f>IF($B96&lt;'A1.3.10'!$S$28,"",IF($B96&gt;'A1.3.10'!$S$58,AK95,IF(OR(VLOOKUP($B96,'A1.3.10'!$S$28:$AE$58,12,)="",'Fuel consumption'!E$33=""),"",'Fuel consumption'!E$33 * VLOOKUP($B96,'A1.3.10'!$S$28:$AE$58,12,))))</f>
        <v>0.29524938703213599</v>
      </c>
      <c r="AL96" s="611">
        <f>IF($B96&lt;'A1.3.10'!$S$28,"",IF($B96&gt;'A1.3.10'!$S$58,AL95,IF(OR(VLOOKUP($B96,'A1.3.10'!$S$28:$AE$58,12,)="",'Fuel consumption'!F$33=""),"",'Fuel consumption'!F$33 * VLOOKUP($B96,'A1.3.10'!$S$28:$AE$58,12,))))</f>
        <v>-3.20909768342738E-3</v>
      </c>
      <c r="AM96" s="1578">
        <f>IF($B96&lt;'A1.3.10'!$S$28,"",IF($B96&gt;'A1.3.10'!$S$58,AM95,IF(OR(VLOOKUP($B96,'A1.3.10'!$S$28:$AE$58,12,)="",'Fuel consumption'!G$33=""),"",'Fuel consumption'!G$33 * VLOOKUP($B96,'A1.3.10'!$S$28:$AE$58,12,))))</f>
        <v>2.3540043227716499E-5</v>
      </c>
    </row>
    <row r="97" spans="1:39" ht="13.5" customHeight="1">
      <c r="A97" s="623"/>
      <c r="B97" s="614">
        <f t="shared" si="4"/>
        <v>2081</v>
      </c>
      <c r="C97" s="609"/>
      <c r="D97" s="2484">
        <f>IF($B97&lt;'A1.3.10'!$S$28,"",IF($B97&gt;'A1.3.10'!$S$58,D96,IF(OR(VLOOKUP($B97,'A1.3.10'!$S$28:$AE$58,2,)="",'Fuel consumption'!D$27=""),"",'Fuel consumption'!D$27 * VLOOKUP($B97,'A1.3.10'!$S$28:$AE$58,2,))))</f>
        <v>0.32527491364024624</v>
      </c>
      <c r="E97" s="2485">
        <f>IF($B97&lt;'A1.3.10'!$S$28,"",IF($B97&gt;'A1.3.10'!$S$58,E96,IF(OR(VLOOKUP($B97,'A1.3.10'!$S$28:$AE$58,2,)="",'Fuel consumption'!E$27=""),"",'Fuel consumption'!E$27 * VLOOKUP($B97,'A1.3.10'!$S$28:$AE$58,2,))))</f>
        <v>6.9126195403069218E-2</v>
      </c>
      <c r="F97" s="2485">
        <f>IF($B97&lt;'A1.3.10'!$S$28,"",IF($B97&gt;'A1.3.10'!$S$58,F96,IF(OR(VLOOKUP($B97,'A1.3.10'!$S$28:$AE$58,2,)="",'Fuel consumption'!F$27=""),"",'Fuel consumption'!F$27 * VLOOKUP($B97,'A1.3.10'!$S$28:$AE$58,2,))))</f>
        <v>-7.8742934140708519E-4</v>
      </c>
      <c r="G97" s="2642">
        <f>IF($B97&lt;'A1.3.10'!$S$28,"",IF($B97&gt;'A1.3.10'!$S$58,G96,IF(OR(VLOOKUP($B97,'A1.3.10'!$S$28:$AE$58,2,)="",'Fuel consumption'!G$27=""),"",'Fuel consumption'!G$27 * VLOOKUP($B97,'A1.3.10'!$S$28:$AE$58,2,))))</f>
        <v>5.2150811705064693E-6</v>
      </c>
      <c r="H97" s="2486">
        <f>IF($B97&lt;'A1.3.10'!$S$28,"",IF($B97&gt;'A1.3.10'!$S$58,H96,IF(OR(VLOOKUP($B97,'A1.3.10'!$S$28:$AE$58,3,)="",'Fuel consumption'!D$28=""),"",'Fuel consumption'!D$28  * VLOOKUP($B97,'A1.3.10'!$S$28:$AE$58,3,))))</f>
        <v>0.38728007442052015</v>
      </c>
      <c r="I97" s="2487">
        <f>IF($B97&lt;'A1.3.10'!$S$28,"",IF($B97&gt;'A1.3.10'!$S$58,I96,IF(OR(VLOOKUP($B97,'A1.3.10'!$S$28:$AE$58,3,)="",'Fuel consumption'!E$28=""),"",'Fuel consumption'!E$28  * VLOOKUP($B97,'A1.3.10'!$S$28:$AE$58,3,))))</f>
        <v>5.5526385246550972E-2</v>
      </c>
      <c r="J97" s="2487">
        <f>IF($B97&lt;'A1.3.10'!$S$28,"",IF($B97&gt;'A1.3.10'!$S$58,J96,IF(OR(VLOOKUP($B97,'A1.3.10'!$S$28:$AE$58,3,)="",'Fuel consumption'!F$28=""),"",'Fuel consumption'!F$28  * VLOOKUP($B97,'A1.3.10'!$S$28:$AE$58,3,))))</f>
        <v>-5.3417929464962704E-4</v>
      </c>
      <c r="K97" s="2642">
        <f>IF($B97&lt;'A1.3.10'!$S$28,"",IF($B97&gt;'A1.3.10'!$S$58,K96,IF(OR(VLOOKUP($B97,'A1.3.10'!$S$28:$AE$58,3,)="",'Fuel consumption'!G$28=""),"",'Fuel consumption'!G$28  * VLOOKUP($B97,'A1.3.10'!$S$28:$AE$58,3,))))</f>
        <v>4.2093596420141842E-6</v>
      </c>
      <c r="L97" s="2486" t="str">
        <f>IF($B97&lt;'A1.3.10'!$S$28,"",IF($B97&gt;'A1.3.10'!$S$58,L96,IF(OR(VLOOKUP($B97,'A1.3.10'!$S$28:$AE$58,4,)="", 'Fuel consumption'!D$36=""),"",'Fuel consumption'!D$36 * VLOOKUP($B97,'A1.3.10'!$S$28:$AE$58,4,))))</f>
        <v/>
      </c>
      <c r="M97" s="2487">
        <f>IF($B97&lt;'A1.3.10'!$S$28,"",IF($B97&gt;'A1.3.10'!$S$58,M96,IF(OR(VLOOKUP($B97,'A1.3.10'!$S$28:$AE$58,4,)="", 'Fuel consumption'!E$36=""),"",'Fuel consumption'!E$36 * VLOOKUP($B97,'A1.3.10'!$S$28:$AE$58,4,))))</f>
        <v>0.12679510393803953</v>
      </c>
      <c r="N97" s="614" t="str">
        <f>IF($B97&lt;'A1.3.10'!$S$28,"",IF($B97&gt;'A1.3.10'!$S$58,N96,IF(OR(VLOOKUP($B97,'A1.3.10'!$S$28:$AE$58,4,)="", 'Fuel consumption'!F$36=""),"",'Fuel consumption'!F$36 * VLOOKUP($B97,'A1.3.10'!$S$28:$AE$58,4,))))</f>
        <v/>
      </c>
      <c r="O97" s="612" t="str">
        <f>IF($B97&lt;'A1.3.10'!$S$28,"",IF($B97&gt;'A1.3.10'!$S$58,O96,IF(OR(VLOOKUP($B97,'A1.3.10'!$S$28:$AE$58,4,)="", 'Fuel consumption'!G$36=""),"",'Fuel consumption'!G$36 * VLOOKUP($B97,'A1.3.10'!$S$28:$AE$58,4,))))</f>
        <v/>
      </c>
      <c r="P97" s="610">
        <f>IF($B97&lt;'A1.3.10'!$S$28,"",IF($B97&gt;'A1.3.10'!$S$58,P96,IF(OR(VLOOKUP($B97,'A1.3.10'!$S$28:$AE$58,5,)="",'Fuel consumption'!D$29=""),"",'Fuel consumption'!D$29 * VLOOKUP($B97,'A1.3.10'!$S$28:$AE$58,5,))))</f>
        <v>0.23398100209323003</v>
      </c>
      <c r="Q97" s="611">
        <f>IF($B97&lt;'A1.3.10'!$S$28,"",IF($B97&gt;'A1.3.10'!$S$58,Q96,IF(OR(VLOOKUP($B97,'A1.3.10'!$S$28:$AE$58,5,)="",'Fuel consumption'!E$29=""),"",'Fuel consumption'!E$29 * VLOOKUP($B97,'A1.3.10'!$S$28:$AE$58,5,))))</f>
        <v>0.13120300165283155</v>
      </c>
      <c r="R97" s="611">
        <f>IF($B97&lt;'A1.3.10'!$S$28,"",IF($B97&gt;'A1.3.10'!$S$58,R96,IF(OR(VLOOKUP($B97,'A1.3.10'!$S$28:$AE$58,5,)="",'Fuel consumption'!F$29=""),"",'Fuel consumption'!F$29 * VLOOKUP($B97,'A1.3.10'!$S$28:$AE$58,5,))))</f>
        <v>-2.0594564659300405E-3</v>
      </c>
      <c r="S97" s="2642">
        <f>IF($B97&lt;'A1.3.10'!$S$28,"",IF($B97&gt;'A1.3.10'!$S$58,S96,IF(OR(VLOOKUP($B97,'A1.3.10'!$S$28:$AE$58,5,)="",'Fuel consumption'!G$29=""),"",'Fuel consumption'!G$29 * VLOOKUP($B97,'A1.3.10'!$S$28:$AE$58,5,))))</f>
        <v>1.3300046823685748E-5</v>
      </c>
      <c r="T97" s="610">
        <f>IF($B97&lt;'A1.3.10'!$S$28,"",IF($B97&gt;'A1.3.10'!$S$58,T96,IF(OR(VLOOKUP($B97,'A1.3.10'!$S$28:$AE$58,6,)="",'Fuel consumption'!D$30=""),"",'Fuel consumption'!D$30 * VLOOKUP($B97,'A1.3.10'!$S$28:$AE$58,6,))))</f>
        <v>0.3988609037344879</v>
      </c>
      <c r="U97" s="611">
        <f>IF($B97&lt;'A1.3.10'!$S$28,"",IF($B97&gt;'A1.3.10'!$S$58,U96,IF(OR(VLOOKUP($B97,'A1.3.10'!$S$28:$AE$58,6,)="",'Fuel consumption'!E$30=""),"",'Fuel consumption'!E$30 * VLOOKUP($B97,'A1.3.10'!$S$28:$AE$58,6,))))</f>
        <v>9.7483230363204512E-2</v>
      </c>
      <c r="V97" s="611">
        <f>IF($B97&lt;'A1.3.10'!$S$28,"",IF($B97&gt;'A1.3.10'!$S$58,V96,IF(OR(VLOOKUP($B97,'A1.3.10'!$S$28:$AE$58,6,)="",'Fuel consumption'!F$30=""),"",'Fuel consumption'!F$30 * VLOOKUP($B97,'A1.3.10'!$S$28:$AE$58,6,))))</f>
        <v>-1.4063727682028522E-3</v>
      </c>
      <c r="W97" s="2642">
        <f>IF($B97&lt;'A1.3.10'!$S$28,"",IF($B97&gt;'A1.3.10'!$S$58,W96,IF(OR(VLOOKUP($B97,'A1.3.10'!$S$28:$AE$58,6,)="",'Fuel consumption'!G$30=""),"",'Fuel consumption'!G$30 * VLOOKUP($B97,'A1.3.10'!$S$28:$AE$58,6,))))</f>
        <v>1.1906400891809692E-5</v>
      </c>
      <c r="X97" s="3144"/>
      <c r="Y97" s="2487">
        <f>IF($B97&lt;'A1.3.10'!$S$28,"",IF($B97&gt;'A1.3.10'!$S$58,Y96,IF(OR(VLOOKUP($B97,'A1.3.10'!$S$28:$AE$58,7,)="", 'Fuel consumption'!E$37=""),"",'Fuel consumption'!E$37 * VLOOKUP($B97,'A1.3.10'!$S$28:$AE$58,7,))))</f>
        <v>0.29149401103980166</v>
      </c>
      <c r="Z97" s="2642"/>
      <c r="AA97" s="2642"/>
      <c r="AB97" s="610">
        <f>IF($B97&lt;'A1.3.10'!$S$28,"",IF($B97&gt;'A1.3.10'!$S$58,AB96,IF(OR(VLOOKUP($B97,'A1.3.10'!$S$28:$AE$58,8,)="",'Fuel consumption'!D$31=""),"",'Fuel consumption'!D$31 * VLOOKUP($B97,'A1.3.10'!$S$28:$AE$58,8,))))</f>
        <v>2.6962848686626804</v>
      </c>
      <c r="AC97" s="611">
        <f>IF($B97&lt;'A1.3.10'!$S$28,"",IF($B97&gt;'A1.3.10'!$S$58,AC96,IF(OR(VLOOKUP($B97,'A1.3.10'!$S$28:$AE$58,8,)="",'Fuel consumption'!E$31=""),"",'Fuel consumption'!E$31 * VLOOKUP($B97,'A1.3.10'!$S$28:$AE$58,8,))))</f>
        <v>0.143057339771858</v>
      </c>
      <c r="AD97" s="611">
        <f>IF($B97&lt;'A1.3.10'!$S$28,"",IF($B97&gt;'A1.3.10'!$S$58,AD96,IF(OR(VLOOKUP($B97,'A1.3.10'!$S$28:$AE$58,8,)="",'Fuel consumption'!F$31=""),"",'Fuel consumption'!F$31 * VLOOKUP($B97,'A1.3.10'!$S$28:$AE$58,8,))))</f>
        <v>-1.0340193601785499E-3</v>
      </c>
      <c r="AE97" s="2642">
        <f>IF($B97&lt;'A1.3.10'!$S$28,"",IF($B97&gt;'A1.3.10'!$S$58,AE96,IF(OR(VLOOKUP($B97,'A1.3.10'!$S$28:$AE$58,8,)="",'Fuel consumption'!G$31=""),"",'Fuel consumption'!G$31 * VLOOKUP($B97,'A1.3.10'!$S$28:$AE$58,8,))))</f>
        <v>1.1293150500864199E-5</v>
      </c>
      <c r="AF97" s="610">
        <f>IF($B97&lt;'A1.3.10'!$S$28,"",IF($B97&gt;'A1.3.10'!$S$58,AF96,IF(OR(VLOOKUP($B97,'A1.3.10'!$S$28:$AE$58,10,)="",'Fuel consumption'!D$32=""),"",'Fuel consumption'!D$32 * VLOOKUP($B97,'A1.3.10'!$S$28:$AE$58,10,))))</f>
        <v>5.6655970981789903</v>
      </c>
      <c r="AG97" s="611">
        <f>IF($B97&lt;'A1.3.10'!$S$28,"",IF($B97&gt;'A1.3.10'!$S$58,AG96,IF(OR(VLOOKUP($B97,'A1.3.10'!$S$28:$AE$58,10,)="",'Fuel consumption'!E$32=""),"",'Fuel consumption'!E$32 * VLOOKUP($B97,'A1.3.10'!$S$28:$AE$58,10,))))</f>
        <v>0.29422449618924201</v>
      </c>
      <c r="AH97" s="611">
        <f>IF($B97&lt;'A1.3.10'!$S$28,"",IF($B97&gt;'A1.3.10'!$S$58,AH96,IF(OR(VLOOKUP($B97,'A1.3.10'!$S$28:$AE$58,10,)="",'Fuel consumption'!F$32=""),"",'Fuel consumption'!F$32 * VLOOKUP($B97,'A1.3.10'!$S$28:$AE$58,10,))))</f>
        <v>-1.9493920679616401E-3</v>
      </c>
      <c r="AI97" s="1578">
        <f>IF($B97&lt;'A1.3.10'!$S$28,"",IF($B97&gt;'A1.3.10'!$S$58,AI96,IF(OR(VLOOKUP($B97,'A1.3.10'!$S$28:$AE$58,10,)="",'Fuel consumption'!G$32=""),"",'Fuel consumption'!G$32 * VLOOKUP($B97,'A1.3.10'!$S$28:$AE$58,10,))))</f>
        <v>1.1619187345164999E-5</v>
      </c>
      <c r="AJ97" s="610">
        <f>IF($B97&lt;'A1.3.10'!$S$28,"",IF($B97&gt;'A1.3.10'!$S$58,AJ96,IF(OR(VLOOKUP($B97,'A1.3.10'!$S$28:$AE$58,12,)="",'Fuel consumption'!D$33=""),"",'Fuel consumption'!D$33 * VLOOKUP($B97,'A1.3.10'!$S$28:$AE$58,12,))))</f>
        <v>3.3601870156891001</v>
      </c>
      <c r="AK97" s="611">
        <f>IF($B97&lt;'A1.3.10'!$S$28,"",IF($B97&gt;'A1.3.10'!$S$58,AK96,IF(OR(VLOOKUP($B97,'A1.3.10'!$S$28:$AE$58,12,)="",'Fuel consumption'!E$33=""),"",'Fuel consumption'!E$33 * VLOOKUP($B97,'A1.3.10'!$S$28:$AE$58,12,))))</f>
        <v>0.29524938703213599</v>
      </c>
      <c r="AL97" s="611">
        <f>IF($B97&lt;'A1.3.10'!$S$28,"",IF($B97&gt;'A1.3.10'!$S$58,AL96,IF(OR(VLOOKUP($B97,'A1.3.10'!$S$28:$AE$58,12,)="",'Fuel consumption'!F$33=""),"",'Fuel consumption'!F$33 * VLOOKUP($B97,'A1.3.10'!$S$28:$AE$58,12,))))</f>
        <v>-3.20909768342738E-3</v>
      </c>
      <c r="AM97" s="1578">
        <f>IF($B97&lt;'A1.3.10'!$S$28,"",IF($B97&gt;'A1.3.10'!$S$58,AM96,IF(OR(VLOOKUP($B97,'A1.3.10'!$S$28:$AE$58,12,)="",'Fuel consumption'!G$33=""),"",'Fuel consumption'!G$33 * VLOOKUP($B97,'A1.3.10'!$S$28:$AE$58,12,))))</f>
        <v>2.3540043227716499E-5</v>
      </c>
    </row>
    <row r="98" spans="1:39" ht="13.5" customHeight="1">
      <c r="A98" s="623"/>
      <c r="B98" s="614">
        <f t="shared" si="4"/>
        <v>2082</v>
      </c>
      <c r="C98" s="609"/>
      <c r="D98" s="2484">
        <f>IF($B98&lt;'A1.3.10'!$S$28,"",IF($B98&gt;'A1.3.10'!$S$58,D97,IF(OR(VLOOKUP($B98,'A1.3.10'!$S$28:$AE$58,2,)="",'Fuel consumption'!D$27=""),"",'Fuel consumption'!D$27 * VLOOKUP($B98,'A1.3.10'!$S$28:$AE$58,2,))))</f>
        <v>0.32527491364024624</v>
      </c>
      <c r="E98" s="2485">
        <f>IF($B98&lt;'A1.3.10'!$S$28,"",IF($B98&gt;'A1.3.10'!$S$58,E97,IF(OR(VLOOKUP($B98,'A1.3.10'!$S$28:$AE$58,2,)="",'Fuel consumption'!E$27=""),"",'Fuel consumption'!E$27 * VLOOKUP($B98,'A1.3.10'!$S$28:$AE$58,2,))))</f>
        <v>6.9126195403069218E-2</v>
      </c>
      <c r="F98" s="2485">
        <f>IF($B98&lt;'A1.3.10'!$S$28,"",IF($B98&gt;'A1.3.10'!$S$58,F97,IF(OR(VLOOKUP($B98,'A1.3.10'!$S$28:$AE$58,2,)="",'Fuel consumption'!F$27=""),"",'Fuel consumption'!F$27 * VLOOKUP($B98,'A1.3.10'!$S$28:$AE$58,2,))))</f>
        <v>-7.8742934140708519E-4</v>
      </c>
      <c r="G98" s="2642">
        <f>IF($B98&lt;'A1.3.10'!$S$28,"",IF($B98&gt;'A1.3.10'!$S$58,G97,IF(OR(VLOOKUP($B98,'A1.3.10'!$S$28:$AE$58,2,)="",'Fuel consumption'!G$27=""),"",'Fuel consumption'!G$27 * VLOOKUP($B98,'A1.3.10'!$S$28:$AE$58,2,))))</f>
        <v>5.2150811705064693E-6</v>
      </c>
      <c r="H98" s="2486">
        <f>IF($B98&lt;'A1.3.10'!$S$28,"",IF($B98&gt;'A1.3.10'!$S$58,H97,IF(OR(VLOOKUP($B98,'A1.3.10'!$S$28:$AE$58,3,)="",'Fuel consumption'!D$28=""),"",'Fuel consumption'!D$28  * VLOOKUP($B98,'A1.3.10'!$S$28:$AE$58,3,))))</f>
        <v>0.38728007442052015</v>
      </c>
      <c r="I98" s="2487">
        <f>IF($B98&lt;'A1.3.10'!$S$28,"",IF($B98&gt;'A1.3.10'!$S$58,I97,IF(OR(VLOOKUP($B98,'A1.3.10'!$S$28:$AE$58,3,)="",'Fuel consumption'!E$28=""),"",'Fuel consumption'!E$28  * VLOOKUP($B98,'A1.3.10'!$S$28:$AE$58,3,))))</f>
        <v>5.5526385246550972E-2</v>
      </c>
      <c r="J98" s="2487">
        <f>IF($B98&lt;'A1.3.10'!$S$28,"",IF($B98&gt;'A1.3.10'!$S$58,J97,IF(OR(VLOOKUP($B98,'A1.3.10'!$S$28:$AE$58,3,)="",'Fuel consumption'!F$28=""),"",'Fuel consumption'!F$28  * VLOOKUP($B98,'A1.3.10'!$S$28:$AE$58,3,))))</f>
        <v>-5.3417929464962704E-4</v>
      </c>
      <c r="K98" s="2642">
        <f>IF($B98&lt;'A1.3.10'!$S$28,"",IF($B98&gt;'A1.3.10'!$S$58,K97,IF(OR(VLOOKUP($B98,'A1.3.10'!$S$28:$AE$58,3,)="",'Fuel consumption'!G$28=""),"",'Fuel consumption'!G$28  * VLOOKUP($B98,'A1.3.10'!$S$28:$AE$58,3,))))</f>
        <v>4.2093596420141842E-6</v>
      </c>
      <c r="L98" s="2486" t="str">
        <f>IF($B98&lt;'A1.3.10'!$S$28,"",IF($B98&gt;'A1.3.10'!$S$58,L97,IF(OR(VLOOKUP($B98,'A1.3.10'!$S$28:$AE$58,4,)="", 'Fuel consumption'!D$36=""),"",'Fuel consumption'!D$36 * VLOOKUP($B98,'A1.3.10'!$S$28:$AE$58,4,))))</f>
        <v/>
      </c>
      <c r="M98" s="2487">
        <f>IF($B98&lt;'A1.3.10'!$S$28,"",IF($B98&gt;'A1.3.10'!$S$58,M97,IF(OR(VLOOKUP($B98,'A1.3.10'!$S$28:$AE$58,4,)="", 'Fuel consumption'!E$36=""),"",'Fuel consumption'!E$36 * VLOOKUP($B98,'A1.3.10'!$S$28:$AE$58,4,))))</f>
        <v>0.12679510393803953</v>
      </c>
      <c r="N98" s="614" t="str">
        <f>IF($B98&lt;'A1.3.10'!$S$28,"",IF($B98&gt;'A1.3.10'!$S$58,N97,IF(OR(VLOOKUP($B98,'A1.3.10'!$S$28:$AE$58,4,)="", 'Fuel consumption'!F$36=""),"",'Fuel consumption'!F$36 * VLOOKUP($B98,'A1.3.10'!$S$28:$AE$58,4,))))</f>
        <v/>
      </c>
      <c r="O98" s="612" t="str">
        <f>IF($B98&lt;'A1.3.10'!$S$28,"",IF($B98&gt;'A1.3.10'!$S$58,O97,IF(OR(VLOOKUP($B98,'A1.3.10'!$S$28:$AE$58,4,)="", 'Fuel consumption'!G$36=""),"",'Fuel consumption'!G$36 * VLOOKUP($B98,'A1.3.10'!$S$28:$AE$58,4,))))</f>
        <v/>
      </c>
      <c r="P98" s="610">
        <f>IF($B98&lt;'A1.3.10'!$S$28,"",IF($B98&gt;'A1.3.10'!$S$58,P97,IF(OR(VLOOKUP($B98,'A1.3.10'!$S$28:$AE$58,5,)="",'Fuel consumption'!D$29=""),"",'Fuel consumption'!D$29 * VLOOKUP($B98,'A1.3.10'!$S$28:$AE$58,5,))))</f>
        <v>0.23398100209323003</v>
      </c>
      <c r="Q98" s="611">
        <f>IF($B98&lt;'A1.3.10'!$S$28,"",IF($B98&gt;'A1.3.10'!$S$58,Q97,IF(OR(VLOOKUP($B98,'A1.3.10'!$S$28:$AE$58,5,)="",'Fuel consumption'!E$29=""),"",'Fuel consumption'!E$29 * VLOOKUP($B98,'A1.3.10'!$S$28:$AE$58,5,))))</f>
        <v>0.13120300165283155</v>
      </c>
      <c r="R98" s="611">
        <f>IF($B98&lt;'A1.3.10'!$S$28,"",IF($B98&gt;'A1.3.10'!$S$58,R97,IF(OR(VLOOKUP($B98,'A1.3.10'!$S$28:$AE$58,5,)="",'Fuel consumption'!F$29=""),"",'Fuel consumption'!F$29 * VLOOKUP($B98,'A1.3.10'!$S$28:$AE$58,5,))))</f>
        <v>-2.0594564659300405E-3</v>
      </c>
      <c r="S98" s="2642">
        <f>IF($B98&lt;'A1.3.10'!$S$28,"",IF($B98&gt;'A1.3.10'!$S$58,S97,IF(OR(VLOOKUP($B98,'A1.3.10'!$S$28:$AE$58,5,)="",'Fuel consumption'!G$29=""),"",'Fuel consumption'!G$29 * VLOOKUP($B98,'A1.3.10'!$S$28:$AE$58,5,))))</f>
        <v>1.3300046823685748E-5</v>
      </c>
      <c r="T98" s="610">
        <f>IF($B98&lt;'A1.3.10'!$S$28,"",IF($B98&gt;'A1.3.10'!$S$58,T97,IF(OR(VLOOKUP($B98,'A1.3.10'!$S$28:$AE$58,6,)="",'Fuel consumption'!D$30=""),"",'Fuel consumption'!D$30 * VLOOKUP($B98,'A1.3.10'!$S$28:$AE$58,6,))))</f>
        <v>0.3988609037344879</v>
      </c>
      <c r="U98" s="611">
        <f>IF($B98&lt;'A1.3.10'!$S$28,"",IF($B98&gt;'A1.3.10'!$S$58,U97,IF(OR(VLOOKUP($B98,'A1.3.10'!$S$28:$AE$58,6,)="",'Fuel consumption'!E$30=""),"",'Fuel consumption'!E$30 * VLOOKUP($B98,'A1.3.10'!$S$28:$AE$58,6,))))</f>
        <v>9.7483230363204512E-2</v>
      </c>
      <c r="V98" s="611">
        <f>IF($B98&lt;'A1.3.10'!$S$28,"",IF($B98&gt;'A1.3.10'!$S$58,V97,IF(OR(VLOOKUP($B98,'A1.3.10'!$S$28:$AE$58,6,)="",'Fuel consumption'!F$30=""),"",'Fuel consumption'!F$30 * VLOOKUP($B98,'A1.3.10'!$S$28:$AE$58,6,))))</f>
        <v>-1.4063727682028522E-3</v>
      </c>
      <c r="W98" s="2642">
        <f>IF($B98&lt;'A1.3.10'!$S$28,"",IF($B98&gt;'A1.3.10'!$S$58,W97,IF(OR(VLOOKUP($B98,'A1.3.10'!$S$28:$AE$58,6,)="",'Fuel consumption'!G$30=""),"",'Fuel consumption'!G$30 * VLOOKUP($B98,'A1.3.10'!$S$28:$AE$58,6,))))</f>
        <v>1.1906400891809692E-5</v>
      </c>
      <c r="X98" s="3144"/>
      <c r="Y98" s="2487">
        <f>IF($B98&lt;'A1.3.10'!$S$28,"",IF($B98&gt;'A1.3.10'!$S$58,Y97,IF(OR(VLOOKUP($B98,'A1.3.10'!$S$28:$AE$58,7,)="", 'Fuel consumption'!E$37=""),"",'Fuel consumption'!E$37 * VLOOKUP($B98,'A1.3.10'!$S$28:$AE$58,7,))))</f>
        <v>0.29149401103980166</v>
      </c>
      <c r="Z98" s="2642"/>
      <c r="AA98" s="2642"/>
      <c r="AB98" s="610">
        <f>IF($B98&lt;'A1.3.10'!$S$28,"",IF($B98&gt;'A1.3.10'!$S$58,AB97,IF(OR(VLOOKUP($B98,'A1.3.10'!$S$28:$AE$58,8,)="",'Fuel consumption'!D$31=""),"",'Fuel consumption'!D$31 * VLOOKUP($B98,'A1.3.10'!$S$28:$AE$58,8,))))</f>
        <v>2.6962848686626804</v>
      </c>
      <c r="AC98" s="611">
        <f>IF($B98&lt;'A1.3.10'!$S$28,"",IF($B98&gt;'A1.3.10'!$S$58,AC97,IF(OR(VLOOKUP($B98,'A1.3.10'!$S$28:$AE$58,8,)="",'Fuel consumption'!E$31=""),"",'Fuel consumption'!E$31 * VLOOKUP($B98,'A1.3.10'!$S$28:$AE$58,8,))))</f>
        <v>0.143057339771858</v>
      </c>
      <c r="AD98" s="611">
        <f>IF($B98&lt;'A1.3.10'!$S$28,"",IF($B98&gt;'A1.3.10'!$S$58,AD97,IF(OR(VLOOKUP($B98,'A1.3.10'!$S$28:$AE$58,8,)="",'Fuel consumption'!F$31=""),"",'Fuel consumption'!F$31 * VLOOKUP($B98,'A1.3.10'!$S$28:$AE$58,8,))))</f>
        <v>-1.0340193601785499E-3</v>
      </c>
      <c r="AE98" s="2642">
        <f>IF($B98&lt;'A1.3.10'!$S$28,"",IF($B98&gt;'A1.3.10'!$S$58,AE97,IF(OR(VLOOKUP($B98,'A1.3.10'!$S$28:$AE$58,8,)="",'Fuel consumption'!G$31=""),"",'Fuel consumption'!G$31 * VLOOKUP($B98,'A1.3.10'!$S$28:$AE$58,8,))))</f>
        <v>1.1293150500864199E-5</v>
      </c>
      <c r="AF98" s="610">
        <f>IF($B98&lt;'A1.3.10'!$S$28,"",IF($B98&gt;'A1.3.10'!$S$58,AF97,IF(OR(VLOOKUP($B98,'A1.3.10'!$S$28:$AE$58,10,)="",'Fuel consumption'!D$32=""),"",'Fuel consumption'!D$32 * VLOOKUP($B98,'A1.3.10'!$S$28:$AE$58,10,))))</f>
        <v>5.6655970981789903</v>
      </c>
      <c r="AG98" s="611">
        <f>IF($B98&lt;'A1.3.10'!$S$28,"",IF($B98&gt;'A1.3.10'!$S$58,AG97,IF(OR(VLOOKUP($B98,'A1.3.10'!$S$28:$AE$58,10,)="",'Fuel consumption'!E$32=""),"",'Fuel consumption'!E$32 * VLOOKUP($B98,'A1.3.10'!$S$28:$AE$58,10,))))</f>
        <v>0.29422449618924201</v>
      </c>
      <c r="AH98" s="611">
        <f>IF($B98&lt;'A1.3.10'!$S$28,"",IF($B98&gt;'A1.3.10'!$S$58,AH97,IF(OR(VLOOKUP($B98,'A1.3.10'!$S$28:$AE$58,10,)="",'Fuel consumption'!F$32=""),"",'Fuel consumption'!F$32 * VLOOKUP($B98,'A1.3.10'!$S$28:$AE$58,10,))))</f>
        <v>-1.9493920679616401E-3</v>
      </c>
      <c r="AI98" s="1578">
        <f>IF($B98&lt;'A1.3.10'!$S$28,"",IF($B98&gt;'A1.3.10'!$S$58,AI97,IF(OR(VLOOKUP($B98,'A1.3.10'!$S$28:$AE$58,10,)="",'Fuel consumption'!G$32=""),"",'Fuel consumption'!G$32 * VLOOKUP($B98,'A1.3.10'!$S$28:$AE$58,10,))))</f>
        <v>1.1619187345164999E-5</v>
      </c>
      <c r="AJ98" s="610">
        <f>IF($B98&lt;'A1.3.10'!$S$28,"",IF($B98&gt;'A1.3.10'!$S$58,AJ97,IF(OR(VLOOKUP($B98,'A1.3.10'!$S$28:$AE$58,12,)="",'Fuel consumption'!D$33=""),"",'Fuel consumption'!D$33 * VLOOKUP($B98,'A1.3.10'!$S$28:$AE$58,12,))))</f>
        <v>3.3601870156891001</v>
      </c>
      <c r="AK98" s="611">
        <f>IF($B98&lt;'A1.3.10'!$S$28,"",IF($B98&gt;'A1.3.10'!$S$58,AK97,IF(OR(VLOOKUP($B98,'A1.3.10'!$S$28:$AE$58,12,)="",'Fuel consumption'!E$33=""),"",'Fuel consumption'!E$33 * VLOOKUP($B98,'A1.3.10'!$S$28:$AE$58,12,))))</f>
        <v>0.29524938703213599</v>
      </c>
      <c r="AL98" s="611">
        <f>IF($B98&lt;'A1.3.10'!$S$28,"",IF($B98&gt;'A1.3.10'!$S$58,AL97,IF(OR(VLOOKUP($B98,'A1.3.10'!$S$28:$AE$58,12,)="",'Fuel consumption'!F$33=""),"",'Fuel consumption'!F$33 * VLOOKUP($B98,'A1.3.10'!$S$28:$AE$58,12,))))</f>
        <v>-3.20909768342738E-3</v>
      </c>
      <c r="AM98" s="1578">
        <f>IF($B98&lt;'A1.3.10'!$S$28,"",IF($B98&gt;'A1.3.10'!$S$58,AM97,IF(OR(VLOOKUP($B98,'A1.3.10'!$S$28:$AE$58,12,)="",'Fuel consumption'!G$33=""),"",'Fuel consumption'!G$33 * VLOOKUP($B98,'A1.3.10'!$S$28:$AE$58,12,))))</f>
        <v>2.3540043227716499E-5</v>
      </c>
    </row>
    <row r="99" spans="1:39" ht="13.5" customHeight="1">
      <c r="A99" s="623"/>
      <c r="B99" s="614">
        <f t="shared" si="4"/>
        <v>2083</v>
      </c>
      <c r="C99" s="609"/>
      <c r="D99" s="2484">
        <f>IF($B99&lt;'A1.3.10'!$S$28,"",IF($B99&gt;'A1.3.10'!$S$58,D98,IF(OR(VLOOKUP($B99,'A1.3.10'!$S$28:$AE$58,2,)="",'Fuel consumption'!D$27=""),"",'Fuel consumption'!D$27 * VLOOKUP($B99,'A1.3.10'!$S$28:$AE$58,2,))))</f>
        <v>0.32527491364024624</v>
      </c>
      <c r="E99" s="2485">
        <f>IF($B99&lt;'A1.3.10'!$S$28,"",IF($B99&gt;'A1.3.10'!$S$58,E98,IF(OR(VLOOKUP($B99,'A1.3.10'!$S$28:$AE$58,2,)="",'Fuel consumption'!E$27=""),"",'Fuel consumption'!E$27 * VLOOKUP($B99,'A1.3.10'!$S$28:$AE$58,2,))))</f>
        <v>6.9126195403069218E-2</v>
      </c>
      <c r="F99" s="2485">
        <f>IF($B99&lt;'A1.3.10'!$S$28,"",IF($B99&gt;'A1.3.10'!$S$58,F98,IF(OR(VLOOKUP($B99,'A1.3.10'!$S$28:$AE$58,2,)="",'Fuel consumption'!F$27=""),"",'Fuel consumption'!F$27 * VLOOKUP($B99,'A1.3.10'!$S$28:$AE$58,2,))))</f>
        <v>-7.8742934140708519E-4</v>
      </c>
      <c r="G99" s="2642">
        <f>IF($B99&lt;'A1.3.10'!$S$28,"",IF($B99&gt;'A1.3.10'!$S$58,G98,IF(OR(VLOOKUP($B99,'A1.3.10'!$S$28:$AE$58,2,)="",'Fuel consumption'!G$27=""),"",'Fuel consumption'!G$27 * VLOOKUP($B99,'A1.3.10'!$S$28:$AE$58,2,))))</f>
        <v>5.2150811705064693E-6</v>
      </c>
      <c r="H99" s="2486">
        <f>IF($B99&lt;'A1.3.10'!$S$28,"",IF($B99&gt;'A1.3.10'!$S$58,H98,IF(OR(VLOOKUP($B99,'A1.3.10'!$S$28:$AE$58,3,)="",'Fuel consumption'!D$28=""),"",'Fuel consumption'!D$28  * VLOOKUP($B99,'A1.3.10'!$S$28:$AE$58,3,))))</f>
        <v>0.38728007442052015</v>
      </c>
      <c r="I99" s="2487">
        <f>IF($B99&lt;'A1.3.10'!$S$28,"",IF($B99&gt;'A1.3.10'!$S$58,I98,IF(OR(VLOOKUP($B99,'A1.3.10'!$S$28:$AE$58,3,)="",'Fuel consumption'!E$28=""),"",'Fuel consumption'!E$28  * VLOOKUP($B99,'A1.3.10'!$S$28:$AE$58,3,))))</f>
        <v>5.5526385246550972E-2</v>
      </c>
      <c r="J99" s="2487">
        <f>IF($B99&lt;'A1.3.10'!$S$28,"",IF($B99&gt;'A1.3.10'!$S$58,J98,IF(OR(VLOOKUP($B99,'A1.3.10'!$S$28:$AE$58,3,)="",'Fuel consumption'!F$28=""),"",'Fuel consumption'!F$28  * VLOOKUP($B99,'A1.3.10'!$S$28:$AE$58,3,))))</f>
        <v>-5.3417929464962704E-4</v>
      </c>
      <c r="K99" s="2642">
        <f>IF($B99&lt;'A1.3.10'!$S$28,"",IF($B99&gt;'A1.3.10'!$S$58,K98,IF(OR(VLOOKUP($B99,'A1.3.10'!$S$28:$AE$58,3,)="",'Fuel consumption'!G$28=""),"",'Fuel consumption'!G$28  * VLOOKUP($B99,'A1.3.10'!$S$28:$AE$58,3,))))</f>
        <v>4.2093596420141842E-6</v>
      </c>
      <c r="L99" s="2486" t="str">
        <f>IF($B99&lt;'A1.3.10'!$S$28,"",IF($B99&gt;'A1.3.10'!$S$58,L98,IF(OR(VLOOKUP($B99,'A1.3.10'!$S$28:$AE$58,4,)="", 'Fuel consumption'!D$36=""),"",'Fuel consumption'!D$36 * VLOOKUP($B99,'A1.3.10'!$S$28:$AE$58,4,))))</f>
        <v/>
      </c>
      <c r="M99" s="2487">
        <f>IF($B99&lt;'A1.3.10'!$S$28,"",IF($B99&gt;'A1.3.10'!$S$58,M98,IF(OR(VLOOKUP($B99,'A1.3.10'!$S$28:$AE$58,4,)="", 'Fuel consumption'!E$36=""),"",'Fuel consumption'!E$36 * VLOOKUP($B99,'A1.3.10'!$S$28:$AE$58,4,))))</f>
        <v>0.12679510393803953</v>
      </c>
      <c r="N99" s="614" t="str">
        <f>IF($B99&lt;'A1.3.10'!$S$28,"",IF($B99&gt;'A1.3.10'!$S$58,N98,IF(OR(VLOOKUP($B99,'A1.3.10'!$S$28:$AE$58,4,)="", 'Fuel consumption'!F$36=""),"",'Fuel consumption'!F$36 * VLOOKUP($B99,'A1.3.10'!$S$28:$AE$58,4,))))</f>
        <v/>
      </c>
      <c r="O99" s="612" t="str">
        <f>IF($B99&lt;'A1.3.10'!$S$28,"",IF($B99&gt;'A1.3.10'!$S$58,O98,IF(OR(VLOOKUP($B99,'A1.3.10'!$S$28:$AE$58,4,)="", 'Fuel consumption'!G$36=""),"",'Fuel consumption'!G$36 * VLOOKUP($B99,'A1.3.10'!$S$28:$AE$58,4,))))</f>
        <v/>
      </c>
      <c r="P99" s="610">
        <f>IF($B99&lt;'A1.3.10'!$S$28,"",IF($B99&gt;'A1.3.10'!$S$58,P98,IF(OR(VLOOKUP($B99,'A1.3.10'!$S$28:$AE$58,5,)="",'Fuel consumption'!D$29=""),"",'Fuel consumption'!D$29 * VLOOKUP($B99,'A1.3.10'!$S$28:$AE$58,5,))))</f>
        <v>0.23398100209323003</v>
      </c>
      <c r="Q99" s="611">
        <f>IF($B99&lt;'A1.3.10'!$S$28,"",IF($B99&gt;'A1.3.10'!$S$58,Q98,IF(OR(VLOOKUP($B99,'A1.3.10'!$S$28:$AE$58,5,)="",'Fuel consumption'!E$29=""),"",'Fuel consumption'!E$29 * VLOOKUP($B99,'A1.3.10'!$S$28:$AE$58,5,))))</f>
        <v>0.13120300165283155</v>
      </c>
      <c r="R99" s="611">
        <f>IF($B99&lt;'A1.3.10'!$S$28,"",IF($B99&gt;'A1.3.10'!$S$58,R98,IF(OR(VLOOKUP($B99,'A1.3.10'!$S$28:$AE$58,5,)="",'Fuel consumption'!F$29=""),"",'Fuel consumption'!F$29 * VLOOKUP($B99,'A1.3.10'!$S$28:$AE$58,5,))))</f>
        <v>-2.0594564659300405E-3</v>
      </c>
      <c r="S99" s="2642">
        <f>IF($B99&lt;'A1.3.10'!$S$28,"",IF($B99&gt;'A1.3.10'!$S$58,S98,IF(OR(VLOOKUP($B99,'A1.3.10'!$S$28:$AE$58,5,)="",'Fuel consumption'!G$29=""),"",'Fuel consumption'!G$29 * VLOOKUP($B99,'A1.3.10'!$S$28:$AE$58,5,))))</f>
        <v>1.3300046823685748E-5</v>
      </c>
      <c r="T99" s="610">
        <f>IF($B99&lt;'A1.3.10'!$S$28,"",IF($B99&gt;'A1.3.10'!$S$58,T98,IF(OR(VLOOKUP($B99,'A1.3.10'!$S$28:$AE$58,6,)="",'Fuel consumption'!D$30=""),"",'Fuel consumption'!D$30 * VLOOKUP($B99,'A1.3.10'!$S$28:$AE$58,6,))))</f>
        <v>0.3988609037344879</v>
      </c>
      <c r="U99" s="611">
        <f>IF($B99&lt;'A1.3.10'!$S$28,"",IF($B99&gt;'A1.3.10'!$S$58,U98,IF(OR(VLOOKUP($B99,'A1.3.10'!$S$28:$AE$58,6,)="",'Fuel consumption'!E$30=""),"",'Fuel consumption'!E$30 * VLOOKUP($B99,'A1.3.10'!$S$28:$AE$58,6,))))</f>
        <v>9.7483230363204512E-2</v>
      </c>
      <c r="V99" s="611">
        <f>IF($B99&lt;'A1.3.10'!$S$28,"",IF($B99&gt;'A1.3.10'!$S$58,V98,IF(OR(VLOOKUP($B99,'A1.3.10'!$S$28:$AE$58,6,)="",'Fuel consumption'!F$30=""),"",'Fuel consumption'!F$30 * VLOOKUP($B99,'A1.3.10'!$S$28:$AE$58,6,))))</f>
        <v>-1.4063727682028522E-3</v>
      </c>
      <c r="W99" s="2642">
        <f>IF($B99&lt;'A1.3.10'!$S$28,"",IF($B99&gt;'A1.3.10'!$S$58,W98,IF(OR(VLOOKUP($B99,'A1.3.10'!$S$28:$AE$58,6,)="",'Fuel consumption'!G$30=""),"",'Fuel consumption'!G$30 * VLOOKUP($B99,'A1.3.10'!$S$28:$AE$58,6,))))</f>
        <v>1.1906400891809692E-5</v>
      </c>
      <c r="X99" s="3144"/>
      <c r="Y99" s="2487">
        <f>IF($B99&lt;'A1.3.10'!$S$28,"",IF($B99&gt;'A1.3.10'!$S$58,Y98,IF(OR(VLOOKUP($B99,'A1.3.10'!$S$28:$AE$58,7,)="", 'Fuel consumption'!E$37=""),"",'Fuel consumption'!E$37 * VLOOKUP($B99,'A1.3.10'!$S$28:$AE$58,7,))))</f>
        <v>0.29149401103980166</v>
      </c>
      <c r="Z99" s="2642"/>
      <c r="AA99" s="2642"/>
      <c r="AB99" s="610">
        <f>IF($B99&lt;'A1.3.10'!$S$28,"",IF($B99&gt;'A1.3.10'!$S$58,AB98,IF(OR(VLOOKUP($B99,'A1.3.10'!$S$28:$AE$58,8,)="",'Fuel consumption'!D$31=""),"",'Fuel consumption'!D$31 * VLOOKUP($B99,'A1.3.10'!$S$28:$AE$58,8,))))</f>
        <v>2.6962848686626804</v>
      </c>
      <c r="AC99" s="611">
        <f>IF($B99&lt;'A1.3.10'!$S$28,"",IF($B99&gt;'A1.3.10'!$S$58,AC98,IF(OR(VLOOKUP($B99,'A1.3.10'!$S$28:$AE$58,8,)="",'Fuel consumption'!E$31=""),"",'Fuel consumption'!E$31 * VLOOKUP($B99,'A1.3.10'!$S$28:$AE$58,8,))))</f>
        <v>0.143057339771858</v>
      </c>
      <c r="AD99" s="611">
        <f>IF($B99&lt;'A1.3.10'!$S$28,"",IF($B99&gt;'A1.3.10'!$S$58,AD98,IF(OR(VLOOKUP($B99,'A1.3.10'!$S$28:$AE$58,8,)="",'Fuel consumption'!F$31=""),"",'Fuel consumption'!F$31 * VLOOKUP($B99,'A1.3.10'!$S$28:$AE$58,8,))))</f>
        <v>-1.0340193601785499E-3</v>
      </c>
      <c r="AE99" s="2642">
        <f>IF($B99&lt;'A1.3.10'!$S$28,"",IF($B99&gt;'A1.3.10'!$S$58,AE98,IF(OR(VLOOKUP($B99,'A1.3.10'!$S$28:$AE$58,8,)="",'Fuel consumption'!G$31=""),"",'Fuel consumption'!G$31 * VLOOKUP($B99,'A1.3.10'!$S$28:$AE$58,8,))))</f>
        <v>1.1293150500864199E-5</v>
      </c>
      <c r="AF99" s="610">
        <f>IF($B99&lt;'A1.3.10'!$S$28,"",IF($B99&gt;'A1.3.10'!$S$58,AF98,IF(OR(VLOOKUP($B99,'A1.3.10'!$S$28:$AE$58,10,)="",'Fuel consumption'!D$32=""),"",'Fuel consumption'!D$32 * VLOOKUP($B99,'A1.3.10'!$S$28:$AE$58,10,))))</f>
        <v>5.6655970981789903</v>
      </c>
      <c r="AG99" s="611">
        <f>IF($B99&lt;'A1.3.10'!$S$28,"",IF($B99&gt;'A1.3.10'!$S$58,AG98,IF(OR(VLOOKUP($B99,'A1.3.10'!$S$28:$AE$58,10,)="",'Fuel consumption'!E$32=""),"",'Fuel consumption'!E$32 * VLOOKUP($B99,'A1.3.10'!$S$28:$AE$58,10,))))</f>
        <v>0.29422449618924201</v>
      </c>
      <c r="AH99" s="611">
        <f>IF($B99&lt;'A1.3.10'!$S$28,"",IF($B99&gt;'A1.3.10'!$S$58,AH98,IF(OR(VLOOKUP($B99,'A1.3.10'!$S$28:$AE$58,10,)="",'Fuel consumption'!F$32=""),"",'Fuel consumption'!F$32 * VLOOKUP($B99,'A1.3.10'!$S$28:$AE$58,10,))))</f>
        <v>-1.9493920679616401E-3</v>
      </c>
      <c r="AI99" s="1578">
        <f>IF($B99&lt;'A1.3.10'!$S$28,"",IF($B99&gt;'A1.3.10'!$S$58,AI98,IF(OR(VLOOKUP($B99,'A1.3.10'!$S$28:$AE$58,10,)="",'Fuel consumption'!G$32=""),"",'Fuel consumption'!G$32 * VLOOKUP($B99,'A1.3.10'!$S$28:$AE$58,10,))))</f>
        <v>1.1619187345164999E-5</v>
      </c>
      <c r="AJ99" s="610">
        <f>IF($B99&lt;'A1.3.10'!$S$28,"",IF($B99&gt;'A1.3.10'!$S$58,AJ98,IF(OR(VLOOKUP($B99,'A1.3.10'!$S$28:$AE$58,12,)="",'Fuel consumption'!D$33=""),"",'Fuel consumption'!D$33 * VLOOKUP($B99,'A1.3.10'!$S$28:$AE$58,12,))))</f>
        <v>3.3601870156891001</v>
      </c>
      <c r="AK99" s="611">
        <f>IF($B99&lt;'A1.3.10'!$S$28,"",IF($B99&gt;'A1.3.10'!$S$58,AK98,IF(OR(VLOOKUP($B99,'A1.3.10'!$S$28:$AE$58,12,)="",'Fuel consumption'!E$33=""),"",'Fuel consumption'!E$33 * VLOOKUP($B99,'A1.3.10'!$S$28:$AE$58,12,))))</f>
        <v>0.29524938703213599</v>
      </c>
      <c r="AL99" s="611">
        <f>IF($B99&lt;'A1.3.10'!$S$28,"",IF($B99&gt;'A1.3.10'!$S$58,AL98,IF(OR(VLOOKUP($B99,'A1.3.10'!$S$28:$AE$58,12,)="",'Fuel consumption'!F$33=""),"",'Fuel consumption'!F$33 * VLOOKUP($B99,'A1.3.10'!$S$28:$AE$58,12,))))</f>
        <v>-3.20909768342738E-3</v>
      </c>
      <c r="AM99" s="1578">
        <f>IF($B99&lt;'A1.3.10'!$S$28,"",IF($B99&gt;'A1.3.10'!$S$58,AM98,IF(OR(VLOOKUP($B99,'A1.3.10'!$S$28:$AE$58,12,)="",'Fuel consumption'!G$33=""),"",'Fuel consumption'!G$33 * VLOOKUP($B99,'A1.3.10'!$S$28:$AE$58,12,))))</f>
        <v>2.3540043227716499E-5</v>
      </c>
    </row>
    <row r="100" spans="1:39" ht="13.5" customHeight="1">
      <c r="A100" s="623"/>
      <c r="B100" s="614">
        <f t="shared" si="4"/>
        <v>2084</v>
      </c>
      <c r="C100" s="609"/>
      <c r="D100" s="2484">
        <f>IF($B100&lt;'A1.3.10'!$S$28,"",IF($B100&gt;'A1.3.10'!$S$58,D99,IF(OR(VLOOKUP($B100,'A1.3.10'!$S$28:$AE$58,2,)="",'Fuel consumption'!D$27=""),"",'Fuel consumption'!D$27 * VLOOKUP($B100,'A1.3.10'!$S$28:$AE$58,2,))))</f>
        <v>0.32527491364024624</v>
      </c>
      <c r="E100" s="2485">
        <f>IF($B100&lt;'A1.3.10'!$S$28,"",IF($B100&gt;'A1.3.10'!$S$58,E99,IF(OR(VLOOKUP($B100,'A1.3.10'!$S$28:$AE$58,2,)="",'Fuel consumption'!E$27=""),"",'Fuel consumption'!E$27 * VLOOKUP($B100,'A1.3.10'!$S$28:$AE$58,2,))))</f>
        <v>6.9126195403069218E-2</v>
      </c>
      <c r="F100" s="2485">
        <f>IF($B100&lt;'A1.3.10'!$S$28,"",IF($B100&gt;'A1.3.10'!$S$58,F99,IF(OR(VLOOKUP($B100,'A1.3.10'!$S$28:$AE$58,2,)="",'Fuel consumption'!F$27=""),"",'Fuel consumption'!F$27 * VLOOKUP($B100,'A1.3.10'!$S$28:$AE$58,2,))))</f>
        <v>-7.8742934140708519E-4</v>
      </c>
      <c r="G100" s="2642">
        <f>IF($B100&lt;'A1.3.10'!$S$28,"",IF($B100&gt;'A1.3.10'!$S$58,G99,IF(OR(VLOOKUP($B100,'A1.3.10'!$S$28:$AE$58,2,)="",'Fuel consumption'!G$27=""),"",'Fuel consumption'!G$27 * VLOOKUP($B100,'A1.3.10'!$S$28:$AE$58,2,))))</f>
        <v>5.2150811705064693E-6</v>
      </c>
      <c r="H100" s="2486">
        <f>IF($B100&lt;'A1.3.10'!$S$28,"",IF($B100&gt;'A1.3.10'!$S$58,H99,IF(OR(VLOOKUP($B100,'A1.3.10'!$S$28:$AE$58,3,)="",'Fuel consumption'!D$28=""),"",'Fuel consumption'!D$28  * VLOOKUP($B100,'A1.3.10'!$S$28:$AE$58,3,))))</f>
        <v>0.38728007442052015</v>
      </c>
      <c r="I100" s="2487">
        <f>IF($B100&lt;'A1.3.10'!$S$28,"",IF($B100&gt;'A1.3.10'!$S$58,I99,IF(OR(VLOOKUP($B100,'A1.3.10'!$S$28:$AE$58,3,)="",'Fuel consumption'!E$28=""),"",'Fuel consumption'!E$28  * VLOOKUP($B100,'A1.3.10'!$S$28:$AE$58,3,))))</f>
        <v>5.5526385246550972E-2</v>
      </c>
      <c r="J100" s="2487">
        <f>IF($B100&lt;'A1.3.10'!$S$28,"",IF($B100&gt;'A1.3.10'!$S$58,J99,IF(OR(VLOOKUP($B100,'A1.3.10'!$S$28:$AE$58,3,)="",'Fuel consumption'!F$28=""),"",'Fuel consumption'!F$28  * VLOOKUP($B100,'A1.3.10'!$S$28:$AE$58,3,))))</f>
        <v>-5.3417929464962704E-4</v>
      </c>
      <c r="K100" s="2642">
        <f>IF($B100&lt;'A1.3.10'!$S$28,"",IF($B100&gt;'A1.3.10'!$S$58,K99,IF(OR(VLOOKUP($B100,'A1.3.10'!$S$28:$AE$58,3,)="",'Fuel consumption'!G$28=""),"",'Fuel consumption'!G$28  * VLOOKUP($B100,'A1.3.10'!$S$28:$AE$58,3,))))</f>
        <v>4.2093596420141842E-6</v>
      </c>
      <c r="L100" s="2486" t="str">
        <f>IF($B100&lt;'A1.3.10'!$S$28,"",IF($B100&gt;'A1.3.10'!$S$58,L99,IF(OR(VLOOKUP($B100,'A1.3.10'!$S$28:$AE$58,4,)="", 'Fuel consumption'!D$36=""),"",'Fuel consumption'!D$36 * VLOOKUP($B100,'A1.3.10'!$S$28:$AE$58,4,))))</f>
        <v/>
      </c>
      <c r="M100" s="2487">
        <f>IF($B100&lt;'A1.3.10'!$S$28,"",IF($B100&gt;'A1.3.10'!$S$58,M99,IF(OR(VLOOKUP($B100,'A1.3.10'!$S$28:$AE$58,4,)="", 'Fuel consumption'!E$36=""),"",'Fuel consumption'!E$36 * VLOOKUP($B100,'A1.3.10'!$S$28:$AE$58,4,))))</f>
        <v>0.12679510393803953</v>
      </c>
      <c r="N100" s="614" t="str">
        <f>IF($B100&lt;'A1.3.10'!$S$28,"",IF($B100&gt;'A1.3.10'!$S$58,N99,IF(OR(VLOOKUP($B100,'A1.3.10'!$S$28:$AE$58,4,)="", 'Fuel consumption'!F$36=""),"",'Fuel consumption'!F$36 * VLOOKUP($B100,'A1.3.10'!$S$28:$AE$58,4,))))</f>
        <v/>
      </c>
      <c r="O100" s="612" t="str">
        <f>IF($B100&lt;'A1.3.10'!$S$28,"",IF($B100&gt;'A1.3.10'!$S$58,O99,IF(OR(VLOOKUP($B100,'A1.3.10'!$S$28:$AE$58,4,)="", 'Fuel consumption'!G$36=""),"",'Fuel consumption'!G$36 * VLOOKUP($B100,'A1.3.10'!$S$28:$AE$58,4,))))</f>
        <v/>
      </c>
      <c r="P100" s="610">
        <f>IF($B100&lt;'A1.3.10'!$S$28,"",IF($B100&gt;'A1.3.10'!$S$58,P99,IF(OR(VLOOKUP($B100,'A1.3.10'!$S$28:$AE$58,5,)="",'Fuel consumption'!D$29=""),"",'Fuel consumption'!D$29 * VLOOKUP($B100,'A1.3.10'!$S$28:$AE$58,5,))))</f>
        <v>0.23398100209323003</v>
      </c>
      <c r="Q100" s="611">
        <f>IF($B100&lt;'A1.3.10'!$S$28,"",IF($B100&gt;'A1.3.10'!$S$58,Q99,IF(OR(VLOOKUP($B100,'A1.3.10'!$S$28:$AE$58,5,)="",'Fuel consumption'!E$29=""),"",'Fuel consumption'!E$29 * VLOOKUP($B100,'A1.3.10'!$S$28:$AE$58,5,))))</f>
        <v>0.13120300165283155</v>
      </c>
      <c r="R100" s="611">
        <f>IF($B100&lt;'A1.3.10'!$S$28,"",IF($B100&gt;'A1.3.10'!$S$58,R99,IF(OR(VLOOKUP($B100,'A1.3.10'!$S$28:$AE$58,5,)="",'Fuel consumption'!F$29=""),"",'Fuel consumption'!F$29 * VLOOKUP($B100,'A1.3.10'!$S$28:$AE$58,5,))))</f>
        <v>-2.0594564659300405E-3</v>
      </c>
      <c r="S100" s="2642">
        <f>IF($B100&lt;'A1.3.10'!$S$28,"",IF($B100&gt;'A1.3.10'!$S$58,S99,IF(OR(VLOOKUP($B100,'A1.3.10'!$S$28:$AE$58,5,)="",'Fuel consumption'!G$29=""),"",'Fuel consumption'!G$29 * VLOOKUP($B100,'A1.3.10'!$S$28:$AE$58,5,))))</f>
        <v>1.3300046823685748E-5</v>
      </c>
      <c r="T100" s="610">
        <f>IF($B100&lt;'A1.3.10'!$S$28,"",IF($B100&gt;'A1.3.10'!$S$58,T99,IF(OR(VLOOKUP($B100,'A1.3.10'!$S$28:$AE$58,6,)="",'Fuel consumption'!D$30=""),"",'Fuel consumption'!D$30 * VLOOKUP($B100,'A1.3.10'!$S$28:$AE$58,6,))))</f>
        <v>0.3988609037344879</v>
      </c>
      <c r="U100" s="611">
        <f>IF($B100&lt;'A1.3.10'!$S$28,"",IF($B100&gt;'A1.3.10'!$S$58,U99,IF(OR(VLOOKUP($B100,'A1.3.10'!$S$28:$AE$58,6,)="",'Fuel consumption'!E$30=""),"",'Fuel consumption'!E$30 * VLOOKUP($B100,'A1.3.10'!$S$28:$AE$58,6,))))</f>
        <v>9.7483230363204512E-2</v>
      </c>
      <c r="V100" s="611">
        <f>IF($B100&lt;'A1.3.10'!$S$28,"",IF($B100&gt;'A1.3.10'!$S$58,V99,IF(OR(VLOOKUP($B100,'A1.3.10'!$S$28:$AE$58,6,)="",'Fuel consumption'!F$30=""),"",'Fuel consumption'!F$30 * VLOOKUP($B100,'A1.3.10'!$S$28:$AE$58,6,))))</f>
        <v>-1.4063727682028522E-3</v>
      </c>
      <c r="W100" s="2642">
        <f>IF($B100&lt;'A1.3.10'!$S$28,"",IF($B100&gt;'A1.3.10'!$S$58,W99,IF(OR(VLOOKUP($B100,'A1.3.10'!$S$28:$AE$58,6,)="",'Fuel consumption'!G$30=""),"",'Fuel consumption'!G$30 * VLOOKUP($B100,'A1.3.10'!$S$28:$AE$58,6,))))</f>
        <v>1.1906400891809692E-5</v>
      </c>
      <c r="X100" s="3144"/>
      <c r="Y100" s="2487">
        <f>IF($B100&lt;'A1.3.10'!$S$28,"",IF($B100&gt;'A1.3.10'!$S$58,Y99,IF(OR(VLOOKUP($B100,'A1.3.10'!$S$28:$AE$58,7,)="", 'Fuel consumption'!E$37=""),"",'Fuel consumption'!E$37 * VLOOKUP($B100,'A1.3.10'!$S$28:$AE$58,7,))))</f>
        <v>0.29149401103980166</v>
      </c>
      <c r="Z100" s="2642"/>
      <c r="AA100" s="2642"/>
      <c r="AB100" s="610">
        <f>IF($B100&lt;'A1.3.10'!$S$28,"",IF($B100&gt;'A1.3.10'!$S$58,AB99,IF(OR(VLOOKUP($B100,'A1.3.10'!$S$28:$AE$58,8,)="",'Fuel consumption'!D$31=""),"",'Fuel consumption'!D$31 * VLOOKUP($B100,'A1.3.10'!$S$28:$AE$58,8,))))</f>
        <v>2.6962848686626804</v>
      </c>
      <c r="AC100" s="611">
        <f>IF($B100&lt;'A1.3.10'!$S$28,"",IF($B100&gt;'A1.3.10'!$S$58,AC99,IF(OR(VLOOKUP($B100,'A1.3.10'!$S$28:$AE$58,8,)="",'Fuel consumption'!E$31=""),"",'Fuel consumption'!E$31 * VLOOKUP($B100,'A1.3.10'!$S$28:$AE$58,8,))))</f>
        <v>0.143057339771858</v>
      </c>
      <c r="AD100" s="611">
        <f>IF($B100&lt;'A1.3.10'!$S$28,"",IF($B100&gt;'A1.3.10'!$S$58,AD99,IF(OR(VLOOKUP($B100,'A1.3.10'!$S$28:$AE$58,8,)="",'Fuel consumption'!F$31=""),"",'Fuel consumption'!F$31 * VLOOKUP($B100,'A1.3.10'!$S$28:$AE$58,8,))))</f>
        <v>-1.0340193601785499E-3</v>
      </c>
      <c r="AE100" s="2642">
        <f>IF($B100&lt;'A1.3.10'!$S$28,"",IF($B100&gt;'A1.3.10'!$S$58,AE99,IF(OR(VLOOKUP($B100,'A1.3.10'!$S$28:$AE$58,8,)="",'Fuel consumption'!G$31=""),"",'Fuel consumption'!G$31 * VLOOKUP($B100,'A1.3.10'!$S$28:$AE$58,8,))))</f>
        <v>1.1293150500864199E-5</v>
      </c>
      <c r="AF100" s="610">
        <f>IF($B100&lt;'A1.3.10'!$S$28,"",IF($B100&gt;'A1.3.10'!$S$58,AF99,IF(OR(VLOOKUP($B100,'A1.3.10'!$S$28:$AE$58,10,)="",'Fuel consumption'!D$32=""),"",'Fuel consumption'!D$32 * VLOOKUP($B100,'A1.3.10'!$S$28:$AE$58,10,))))</f>
        <v>5.6655970981789903</v>
      </c>
      <c r="AG100" s="611">
        <f>IF($B100&lt;'A1.3.10'!$S$28,"",IF($B100&gt;'A1.3.10'!$S$58,AG99,IF(OR(VLOOKUP($B100,'A1.3.10'!$S$28:$AE$58,10,)="",'Fuel consumption'!E$32=""),"",'Fuel consumption'!E$32 * VLOOKUP($B100,'A1.3.10'!$S$28:$AE$58,10,))))</f>
        <v>0.29422449618924201</v>
      </c>
      <c r="AH100" s="611">
        <f>IF($B100&lt;'A1.3.10'!$S$28,"",IF($B100&gt;'A1.3.10'!$S$58,AH99,IF(OR(VLOOKUP($B100,'A1.3.10'!$S$28:$AE$58,10,)="",'Fuel consumption'!F$32=""),"",'Fuel consumption'!F$32 * VLOOKUP($B100,'A1.3.10'!$S$28:$AE$58,10,))))</f>
        <v>-1.9493920679616401E-3</v>
      </c>
      <c r="AI100" s="1578">
        <f>IF($B100&lt;'A1.3.10'!$S$28,"",IF($B100&gt;'A1.3.10'!$S$58,AI99,IF(OR(VLOOKUP($B100,'A1.3.10'!$S$28:$AE$58,10,)="",'Fuel consumption'!G$32=""),"",'Fuel consumption'!G$32 * VLOOKUP($B100,'A1.3.10'!$S$28:$AE$58,10,))))</f>
        <v>1.1619187345164999E-5</v>
      </c>
      <c r="AJ100" s="610">
        <f>IF($B100&lt;'A1.3.10'!$S$28,"",IF($B100&gt;'A1.3.10'!$S$58,AJ99,IF(OR(VLOOKUP($B100,'A1.3.10'!$S$28:$AE$58,12,)="",'Fuel consumption'!D$33=""),"",'Fuel consumption'!D$33 * VLOOKUP($B100,'A1.3.10'!$S$28:$AE$58,12,))))</f>
        <v>3.3601870156891001</v>
      </c>
      <c r="AK100" s="611">
        <f>IF($B100&lt;'A1.3.10'!$S$28,"",IF($B100&gt;'A1.3.10'!$S$58,AK99,IF(OR(VLOOKUP($B100,'A1.3.10'!$S$28:$AE$58,12,)="",'Fuel consumption'!E$33=""),"",'Fuel consumption'!E$33 * VLOOKUP($B100,'A1.3.10'!$S$28:$AE$58,12,))))</f>
        <v>0.29524938703213599</v>
      </c>
      <c r="AL100" s="611">
        <f>IF($B100&lt;'A1.3.10'!$S$28,"",IF($B100&gt;'A1.3.10'!$S$58,AL99,IF(OR(VLOOKUP($B100,'A1.3.10'!$S$28:$AE$58,12,)="",'Fuel consumption'!F$33=""),"",'Fuel consumption'!F$33 * VLOOKUP($B100,'A1.3.10'!$S$28:$AE$58,12,))))</f>
        <v>-3.20909768342738E-3</v>
      </c>
      <c r="AM100" s="1578">
        <f>IF($B100&lt;'A1.3.10'!$S$28,"",IF($B100&gt;'A1.3.10'!$S$58,AM99,IF(OR(VLOOKUP($B100,'A1.3.10'!$S$28:$AE$58,12,)="",'Fuel consumption'!G$33=""),"",'Fuel consumption'!G$33 * VLOOKUP($B100,'A1.3.10'!$S$28:$AE$58,12,))))</f>
        <v>2.3540043227716499E-5</v>
      </c>
    </row>
    <row r="101" spans="1:39" ht="13.5" customHeight="1">
      <c r="A101" s="623"/>
      <c r="B101" s="614">
        <f t="shared" si="4"/>
        <v>2085</v>
      </c>
      <c r="C101" s="609"/>
      <c r="D101" s="2484">
        <f>IF($B101&lt;'A1.3.10'!$S$28,"",IF($B101&gt;'A1.3.10'!$S$58,D100,IF(OR(VLOOKUP($B101,'A1.3.10'!$S$28:$AE$58,2,)="",'Fuel consumption'!D$27=""),"",'Fuel consumption'!D$27 * VLOOKUP($B101,'A1.3.10'!$S$28:$AE$58,2,))))</f>
        <v>0.32527491364024624</v>
      </c>
      <c r="E101" s="2485">
        <f>IF($B101&lt;'A1.3.10'!$S$28,"",IF($B101&gt;'A1.3.10'!$S$58,E100,IF(OR(VLOOKUP($B101,'A1.3.10'!$S$28:$AE$58,2,)="",'Fuel consumption'!E$27=""),"",'Fuel consumption'!E$27 * VLOOKUP($B101,'A1.3.10'!$S$28:$AE$58,2,))))</f>
        <v>6.9126195403069218E-2</v>
      </c>
      <c r="F101" s="2485">
        <f>IF($B101&lt;'A1.3.10'!$S$28,"",IF($B101&gt;'A1.3.10'!$S$58,F100,IF(OR(VLOOKUP($B101,'A1.3.10'!$S$28:$AE$58,2,)="",'Fuel consumption'!F$27=""),"",'Fuel consumption'!F$27 * VLOOKUP($B101,'A1.3.10'!$S$28:$AE$58,2,))))</f>
        <v>-7.8742934140708519E-4</v>
      </c>
      <c r="G101" s="2642">
        <f>IF($B101&lt;'A1.3.10'!$S$28,"",IF($B101&gt;'A1.3.10'!$S$58,G100,IF(OR(VLOOKUP($B101,'A1.3.10'!$S$28:$AE$58,2,)="",'Fuel consumption'!G$27=""),"",'Fuel consumption'!G$27 * VLOOKUP($B101,'A1.3.10'!$S$28:$AE$58,2,))))</f>
        <v>5.2150811705064693E-6</v>
      </c>
      <c r="H101" s="2486">
        <f>IF($B101&lt;'A1.3.10'!$S$28,"",IF($B101&gt;'A1.3.10'!$S$58,H100,IF(OR(VLOOKUP($B101,'A1.3.10'!$S$28:$AE$58,3,)="",'Fuel consumption'!D$28=""),"",'Fuel consumption'!D$28  * VLOOKUP($B101,'A1.3.10'!$S$28:$AE$58,3,))))</f>
        <v>0.38728007442052015</v>
      </c>
      <c r="I101" s="2487">
        <f>IF($B101&lt;'A1.3.10'!$S$28,"",IF($B101&gt;'A1.3.10'!$S$58,I100,IF(OR(VLOOKUP($B101,'A1.3.10'!$S$28:$AE$58,3,)="",'Fuel consumption'!E$28=""),"",'Fuel consumption'!E$28  * VLOOKUP($B101,'A1.3.10'!$S$28:$AE$58,3,))))</f>
        <v>5.5526385246550972E-2</v>
      </c>
      <c r="J101" s="2487">
        <f>IF($B101&lt;'A1.3.10'!$S$28,"",IF($B101&gt;'A1.3.10'!$S$58,J100,IF(OR(VLOOKUP($B101,'A1.3.10'!$S$28:$AE$58,3,)="",'Fuel consumption'!F$28=""),"",'Fuel consumption'!F$28  * VLOOKUP($B101,'A1.3.10'!$S$28:$AE$58,3,))))</f>
        <v>-5.3417929464962704E-4</v>
      </c>
      <c r="K101" s="2642">
        <f>IF($B101&lt;'A1.3.10'!$S$28,"",IF($B101&gt;'A1.3.10'!$S$58,K100,IF(OR(VLOOKUP($B101,'A1.3.10'!$S$28:$AE$58,3,)="",'Fuel consumption'!G$28=""),"",'Fuel consumption'!G$28  * VLOOKUP($B101,'A1.3.10'!$S$28:$AE$58,3,))))</f>
        <v>4.2093596420141842E-6</v>
      </c>
      <c r="L101" s="2486" t="str">
        <f>IF($B101&lt;'A1.3.10'!$S$28,"",IF($B101&gt;'A1.3.10'!$S$58,L100,IF(OR(VLOOKUP($B101,'A1.3.10'!$S$28:$AE$58,4,)="", 'Fuel consumption'!D$36=""),"",'Fuel consumption'!D$36 * VLOOKUP($B101,'A1.3.10'!$S$28:$AE$58,4,))))</f>
        <v/>
      </c>
      <c r="M101" s="2487">
        <f>IF($B101&lt;'A1.3.10'!$S$28,"",IF($B101&gt;'A1.3.10'!$S$58,M100,IF(OR(VLOOKUP($B101,'A1.3.10'!$S$28:$AE$58,4,)="", 'Fuel consumption'!E$36=""),"",'Fuel consumption'!E$36 * VLOOKUP($B101,'A1.3.10'!$S$28:$AE$58,4,))))</f>
        <v>0.12679510393803953</v>
      </c>
      <c r="N101" s="614" t="str">
        <f>IF($B101&lt;'A1.3.10'!$S$28,"",IF($B101&gt;'A1.3.10'!$S$58,N100,IF(OR(VLOOKUP($B101,'A1.3.10'!$S$28:$AE$58,4,)="", 'Fuel consumption'!F$36=""),"",'Fuel consumption'!F$36 * VLOOKUP($B101,'A1.3.10'!$S$28:$AE$58,4,))))</f>
        <v/>
      </c>
      <c r="O101" s="612" t="str">
        <f>IF($B101&lt;'A1.3.10'!$S$28,"",IF($B101&gt;'A1.3.10'!$S$58,O100,IF(OR(VLOOKUP($B101,'A1.3.10'!$S$28:$AE$58,4,)="", 'Fuel consumption'!G$36=""),"",'Fuel consumption'!G$36 * VLOOKUP($B101,'A1.3.10'!$S$28:$AE$58,4,))))</f>
        <v/>
      </c>
      <c r="P101" s="610">
        <f>IF($B101&lt;'A1.3.10'!$S$28,"",IF($B101&gt;'A1.3.10'!$S$58,P100,IF(OR(VLOOKUP($B101,'A1.3.10'!$S$28:$AE$58,5,)="",'Fuel consumption'!D$29=""),"",'Fuel consumption'!D$29 * VLOOKUP($B101,'A1.3.10'!$S$28:$AE$58,5,))))</f>
        <v>0.23398100209323003</v>
      </c>
      <c r="Q101" s="611">
        <f>IF($B101&lt;'A1.3.10'!$S$28,"",IF($B101&gt;'A1.3.10'!$S$58,Q100,IF(OR(VLOOKUP($B101,'A1.3.10'!$S$28:$AE$58,5,)="",'Fuel consumption'!E$29=""),"",'Fuel consumption'!E$29 * VLOOKUP($B101,'A1.3.10'!$S$28:$AE$58,5,))))</f>
        <v>0.13120300165283155</v>
      </c>
      <c r="R101" s="611">
        <f>IF($B101&lt;'A1.3.10'!$S$28,"",IF($B101&gt;'A1.3.10'!$S$58,R100,IF(OR(VLOOKUP($B101,'A1.3.10'!$S$28:$AE$58,5,)="",'Fuel consumption'!F$29=""),"",'Fuel consumption'!F$29 * VLOOKUP($B101,'A1.3.10'!$S$28:$AE$58,5,))))</f>
        <v>-2.0594564659300405E-3</v>
      </c>
      <c r="S101" s="2642">
        <f>IF($B101&lt;'A1.3.10'!$S$28,"",IF($B101&gt;'A1.3.10'!$S$58,S100,IF(OR(VLOOKUP($B101,'A1.3.10'!$S$28:$AE$58,5,)="",'Fuel consumption'!G$29=""),"",'Fuel consumption'!G$29 * VLOOKUP($B101,'A1.3.10'!$S$28:$AE$58,5,))))</f>
        <v>1.3300046823685748E-5</v>
      </c>
      <c r="T101" s="610">
        <f>IF($B101&lt;'A1.3.10'!$S$28,"",IF($B101&gt;'A1.3.10'!$S$58,T100,IF(OR(VLOOKUP($B101,'A1.3.10'!$S$28:$AE$58,6,)="",'Fuel consumption'!D$30=""),"",'Fuel consumption'!D$30 * VLOOKUP($B101,'A1.3.10'!$S$28:$AE$58,6,))))</f>
        <v>0.3988609037344879</v>
      </c>
      <c r="U101" s="611">
        <f>IF($B101&lt;'A1.3.10'!$S$28,"",IF($B101&gt;'A1.3.10'!$S$58,U100,IF(OR(VLOOKUP($B101,'A1.3.10'!$S$28:$AE$58,6,)="",'Fuel consumption'!E$30=""),"",'Fuel consumption'!E$30 * VLOOKUP($B101,'A1.3.10'!$S$28:$AE$58,6,))))</f>
        <v>9.7483230363204512E-2</v>
      </c>
      <c r="V101" s="611">
        <f>IF($B101&lt;'A1.3.10'!$S$28,"",IF($B101&gt;'A1.3.10'!$S$58,V100,IF(OR(VLOOKUP($B101,'A1.3.10'!$S$28:$AE$58,6,)="",'Fuel consumption'!F$30=""),"",'Fuel consumption'!F$30 * VLOOKUP($B101,'A1.3.10'!$S$28:$AE$58,6,))))</f>
        <v>-1.4063727682028522E-3</v>
      </c>
      <c r="W101" s="2642">
        <f>IF($B101&lt;'A1.3.10'!$S$28,"",IF($B101&gt;'A1.3.10'!$S$58,W100,IF(OR(VLOOKUP($B101,'A1.3.10'!$S$28:$AE$58,6,)="",'Fuel consumption'!G$30=""),"",'Fuel consumption'!G$30 * VLOOKUP($B101,'A1.3.10'!$S$28:$AE$58,6,))))</f>
        <v>1.1906400891809692E-5</v>
      </c>
      <c r="X101" s="3144"/>
      <c r="Y101" s="2487">
        <f>IF($B101&lt;'A1.3.10'!$S$28,"",IF($B101&gt;'A1.3.10'!$S$58,Y100,IF(OR(VLOOKUP($B101,'A1.3.10'!$S$28:$AE$58,7,)="", 'Fuel consumption'!E$37=""),"",'Fuel consumption'!E$37 * VLOOKUP($B101,'A1.3.10'!$S$28:$AE$58,7,))))</f>
        <v>0.29149401103980166</v>
      </c>
      <c r="Z101" s="2642"/>
      <c r="AA101" s="2642"/>
      <c r="AB101" s="610">
        <f>IF($B101&lt;'A1.3.10'!$S$28,"",IF($B101&gt;'A1.3.10'!$S$58,AB100,IF(OR(VLOOKUP($B101,'A1.3.10'!$S$28:$AE$58,8,)="",'Fuel consumption'!D$31=""),"",'Fuel consumption'!D$31 * VLOOKUP($B101,'A1.3.10'!$S$28:$AE$58,8,))))</f>
        <v>2.6962848686626804</v>
      </c>
      <c r="AC101" s="611">
        <f>IF($B101&lt;'A1.3.10'!$S$28,"",IF($B101&gt;'A1.3.10'!$S$58,AC100,IF(OR(VLOOKUP($B101,'A1.3.10'!$S$28:$AE$58,8,)="",'Fuel consumption'!E$31=""),"",'Fuel consumption'!E$31 * VLOOKUP($B101,'A1.3.10'!$S$28:$AE$58,8,))))</f>
        <v>0.143057339771858</v>
      </c>
      <c r="AD101" s="611">
        <f>IF($B101&lt;'A1.3.10'!$S$28,"",IF($B101&gt;'A1.3.10'!$S$58,AD100,IF(OR(VLOOKUP($B101,'A1.3.10'!$S$28:$AE$58,8,)="",'Fuel consumption'!F$31=""),"",'Fuel consumption'!F$31 * VLOOKUP($B101,'A1.3.10'!$S$28:$AE$58,8,))))</f>
        <v>-1.0340193601785499E-3</v>
      </c>
      <c r="AE101" s="2642">
        <f>IF($B101&lt;'A1.3.10'!$S$28,"",IF($B101&gt;'A1.3.10'!$S$58,AE100,IF(OR(VLOOKUP($B101,'A1.3.10'!$S$28:$AE$58,8,)="",'Fuel consumption'!G$31=""),"",'Fuel consumption'!G$31 * VLOOKUP($B101,'A1.3.10'!$S$28:$AE$58,8,))))</f>
        <v>1.1293150500864199E-5</v>
      </c>
      <c r="AF101" s="610">
        <f>IF($B101&lt;'A1.3.10'!$S$28,"",IF($B101&gt;'A1.3.10'!$S$58,AF100,IF(OR(VLOOKUP($B101,'A1.3.10'!$S$28:$AE$58,10,)="",'Fuel consumption'!D$32=""),"",'Fuel consumption'!D$32 * VLOOKUP($B101,'A1.3.10'!$S$28:$AE$58,10,))))</f>
        <v>5.6655970981789903</v>
      </c>
      <c r="AG101" s="611">
        <f>IF($B101&lt;'A1.3.10'!$S$28,"",IF($B101&gt;'A1.3.10'!$S$58,AG100,IF(OR(VLOOKUP($B101,'A1.3.10'!$S$28:$AE$58,10,)="",'Fuel consumption'!E$32=""),"",'Fuel consumption'!E$32 * VLOOKUP($B101,'A1.3.10'!$S$28:$AE$58,10,))))</f>
        <v>0.29422449618924201</v>
      </c>
      <c r="AH101" s="611">
        <f>IF($B101&lt;'A1.3.10'!$S$28,"",IF($B101&gt;'A1.3.10'!$S$58,AH100,IF(OR(VLOOKUP($B101,'A1.3.10'!$S$28:$AE$58,10,)="",'Fuel consumption'!F$32=""),"",'Fuel consumption'!F$32 * VLOOKUP($B101,'A1.3.10'!$S$28:$AE$58,10,))))</f>
        <v>-1.9493920679616401E-3</v>
      </c>
      <c r="AI101" s="1578">
        <f>IF($B101&lt;'A1.3.10'!$S$28,"",IF($B101&gt;'A1.3.10'!$S$58,AI100,IF(OR(VLOOKUP($B101,'A1.3.10'!$S$28:$AE$58,10,)="",'Fuel consumption'!G$32=""),"",'Fuel consumption'!G$32 * VLOOKUP($B101,'A1.3.10'!$S$28:$AE$58,10,))))</f>
        <v>1.1619187345164999E-5</v>
      </c>
      <c r="AJ101" s="610">
        <f>IF($B101&lt;'A1.3.10'!$S$28,"",IF($B101&gt;'A1.3.10'!$S$58,AJ100,IF(OR(VLOOKUP($B101,'A1.3.10'!$S$28:$AE$58,12,)="",'Fuel consumption'!D$33=""),"",'Fuel consumption'!D$33 * VLOOKUP($B101,'A1.3.10'!$S$28:$AE$58,12,))))</f>
        <v>3.3601870156891001</v>
      </c>
      <c r="AK101" s="611">
        <f>IF($B101&lt;'A1.3.10'!$S$28,"",IF($B101&gt;'A1.3.10'!$S$58,AK100,IF(OR(VLOOKUP($B101,'A1.3.10'!$S$28:$AE$58,12,)="",'Fuel consumption'!E$33=""),"",'Fuel consumption'!E$33 * VLOOKUP($B101,'A1.3.10'!$S$28:$AE$58,12,))))</f>
        <v>0.29524938703213599</v>
      </c>
      <c r="AL101" s="611">
        <f>IF($B101&lt;'A1.3.10'!$S$28,"",IF($B101&gt;'A1.3.10'!$S$58,AL100,IF(OR(VLOOKUP($B101,'A1.3.10'!$S$28:$AE$58,12,)="",'Fuel consumption'!F$33=""),"",'Fuel consumption'!F$33 * VLOOKUP($B101,'A1.3.10'!$S$28:$AE$58,12,))))</f>
        <v>-3.20909768342738E-3</v>
      </c>
      <c r="AM101" s="1578">
        <f>IF($B101&lt;'A1.3.10'!$S$28,"",IF($B101&gt;'A1.3.10'!$S$58,AM100,IF(OR(VLOOKUP($B101,'A1.3.10'!$S$28:$AE$58,12,)="",'Fuel consumption'!G$33=""),"",'Fuel consumption'!G$33 * VLOOKUP($B101,'A1.3.10'!$S$28:$AE$58,12,))))</f>
        <v>2.3540043227716499E-5</v>
      </c>
    </row>
    <row r="102" spans="1:39" ht="13.5" customHeight="1">
      <c r="A102" s="623"/>
      <c r="B102" s="614">
        <f t="shared" si="4"/>
        <v>2086</v>
      </c>
      <c r="C102" s="609"/>
      <c r="D102" s="2484">
        <f>IF($B102&lt;'A1.3.10'!$S$28,"",IF($B102&gt;'A1.3.10'!$S$58,D101,IF(OR(VLOOKUP($B102,'A1.3.10'!$S$28:$AE$58,2,)="",'Fuel consumption'!D$27=""),"",'Fuel consumption'!D$27 * VLOOKUP($B102,'A1.3.10'!$S$28:$AE$58,2,))))</f>
        <v>0.32527491364024624</v>
      </c>
      <c r="E102" s="2485">
        <f>IF($B102&lt;'A1.3.10'!$S$28,"",IF($B102&gt;'A1.3.10'!$S$58,E101,IF(OR(VLOOKUP($B102,'A1.3.10'!$S$28:$AE$58,2,)="",'Fuel consumption'!E$27=""),"",'Fuel consumption'!E$27 * VLOOKUP($B102,'A1.3.10'!$S$28:$AE$58,2,))))</f>
        <v>6.9126195403069218E-2</v>
      </c>
      <c r="F102" s="2485">
        <f>IF($B102&lt;'A1.3.10'!$S$28,"",IF($B102&gt;'A1.3.10'!$S$58,F101,IF(OR(VLOOKUP($B102,'A1.3.10'!$S$28:$AE$58,2,)="",'Fuel consumption'!F$27=""),"",'Fuel consumption'!F$27 * VLOOKUP($B102,'A1.3.10'!$S$28:$AE$58,2,))))</f>
        <v>-7.8742934140708519E-4</v>
      </c>
      <c r="G102" s="2642">
        <f>IF($B102&lt;'A1.3.10'!$S$28,"",IF($B102&gt;'A1.3.10'!$S$58,G101,IF(OR(VLOOKUP($B102,'A1.3.10'!$S$28:$AE$58,2,)="",'Fuel consumption'!G$27=""),"",'Fuel consumption'!G$27 * VLOOKUP($B102,'A1.3.10'!$S$28:$AE$58,2,))))</f>
        <v>5.2150811705064693E-6</v>
      </c>
      <c r="H102" s="2486">
        <f>IF($B102&lt;'A1.3.10'!$S$28,"",IF($B102&gt;'A1.3.10'!$S$58,H101,IF(OR(VLOOKUP($B102,'A1.3.10'!$S$28:$AE$58,3,)="",'Fuel consumption'!D$28=""),"",'Fuel consumption'!D$28  * VLOOKUP($B102,'A1.3.10'!$S$28:$AE$58,3,))))</f>
        <v>0.38728007442052015</v>
      </c>
      <c r="I102" s="2487">
        <f>IF($B102&lt;'A1.3.10'!$S$28,"",IF($B102&gt;'A1.3.10'!$S$58,I101,IF(OR(VLOOKUP($B102,'A1.3.10'!$S$28:$AE$58,3,)="",'Fuel consumption'!E$28=""),"",'Fuel consumption'!E$28  * VLOOKUP($B102,'A1.3.10'!$S$28:$AE$58,3,))))</f>
        <v>5.5526385246550972E-2</v>
      </c>
      <c r="J102" s="2487">
        <f>IF($B102&lt;'A1.3.10'!$S$28,"",IF($B102&gt;'A1.3.10'!$S$58,J101,IF(OR(VLOOKUP($B102,'A1.3.10'!$S$28:$AE$58,3,)="",'Fuel consumption'!F$28=""),"",'Fuel consumption'!F$28  * VLOOKUP($B102,'A1.3.10'!$S$28:$AE$58,3,))))</f>
        <v>-5.3417929464962704E-4</v>
      </c>
      <c r="K102" s="2642">
        <f>IF($B102&lt;'A1.3.10'!$S$28,"",IF($B102&gt;'A1.3.10'!$S$58,K101,IF(OR(VLOOKUP($B102,'A1.3.10'!$S$28:$AE$58,3,)="",'Fuel consumption'!G$28=""),"",'Fuel consumption'!G$28  * VLOOKUP($B102,'A1.3.10'!$S$28:$AE$58,3,))))</f>
        <v>4.2093596420141842E-6</v>
      </c>
      <c r="L102" s="2486" t="str">
        <f>IF($B102&lt;'A1.3.10'!$S$28,"",IF($B102&gt;'A1.3.10'!$S$58,L101,IF(OR(VLOOKUP($B102,'A1.3.10'!$S$28:$AE$58,4,)="", 'Fuel consumption'!D$36=""),"",'Fuel consumption'!D$36 * VLOOKUP($B102,'A1.3.10'!$S$28:$AE$58,4,))))</f>
        <v/>
      </c>
      <c r="M102" s="2487">
        <f>IF($B102&lt;'A1.3.10'!$S$28,"",IF($B102&gt;'A1.3.10'!$S$58,M101,IF(OR(VLOOKUP($B102,'A1.3.10'!$S$28:$AE$58,4,)="", 'Fuel consumption'!E$36=""),"",'Fuel consumption'!E$36 * VLOOKUP($B102,'A1.3.10'!$S$28:$AE$58,4,))))</f>
        <v>0.12679510393803953</v>
      </c>
      <c r="N102" s="614" t="str">
        <f>IF($B102&lt;'A1.3.10'!$S$28,"",IF($B102&gt;'A1.3.10'!$S$58,N101,IF(OR(VLOOKUP($B102,'A1.3.10'!$S$28:$AE$58,4,)="", 'Fuel consumption'!F$36=""),"",'Fuel consumption'!F$36 * VLOOKUP($B102,'A1.3.10'!$S$28:$AE$58,4,))))</f>
        <v/>
      </c>
      <c r="O102" s="612" t="str">
        <f>IF($B102&lt;'A1.3.10'!$S$28,"",IF($B102&gt;'A1.3.10'!$S$58,O101,IF(OR(VLOOKUP($B102,'A1.3.10'!$S$28:$AE$58,4,)="", 'Fuel consumption'!G$36=""),"",'Fuel consumption'!G$36 * VLOOKUP($B102,'A1.3.10'!$S$28:$AE$58,4,))))</f>
        <v/>
      </c>
      <c r="P102" s="610">
        <f>IF($B102&lt;'A1.3.10'!$S$28,"",IF($B102&gt;'A1.3.10'!$S$58,P101,IF(OR(VLOOKUP($B102,'A1.3.10'!$S$28:$AE$58,5,)="",'Fuel consumption'!D$29=""),"",'Fuel consumption'!D$29 * VLOOKUP($B102,'A1.3.10'!$S$28:$AE$58,5,))))</f>
        <v>0.23398100209323003</v>
      </c>
      <c r="Q102" s="611">
        <f>IF($B102&lt;'A1.3.10'!$S$28,"",IF($B102&gt;'A1.3.10'!$S$58,Q101,IF(OR(VLOOKUP($B102,'A1.3.10'!$S$28:$AE$58,5,)="",'Fuel consumption'!E$29=""),"",'Fuel consumption'!E$29 * VLOOKUP($B102,'A1.3.10'!$S$28:$AE$58,5,))))</f>
        <v>0.13120300165283155</v>
      </c>
      <c r="R102" s="611">
        <f>IF($B102&lt;'A1.3.10'!$S$28,"",IF($B102&gt;'A1.3.10'!$S$58,R101,IF(OR(VLOOKUP($B102,'A1.3.10'!$S$28:$AE$58,5,)="",'Fuel consumption'!F$29=""),"",'Fuel consumption'!F$29 * VLOOKUP($B102,'A1.3.10'!$S$28:$AE$58,5,))))</f>
        <v>-2.0594564659300405E-3</v>
      </c>
      <c r="S102" s="2642">
        <f>IF($B102&lt;'A1.3.10'!$S$28,"",IF($B102&gt;'A1.3.10'!$S$58,S101,IF(OR(VLOOKUP($B102,'A1.3.10'!$S$28:$AE$58,5,)="",'Fuel consumption'!G$29=""),"",'Fuel consumption'!G$29 * VLOOKUP($B102,'A1.3.10'!$S$28:$AE$58,5,))))</f>
        <v>1.3300046823685748E-5</v>
      </c>
      <c r="T102" s="610">
        <f>IF($B102&lt;'A1.3.10'!$S$28,"",IF($B102&gt;'A1.3.10'!$S$58,T101,IF(OR(VLOOKUP($B102,'A1.3.10'!$S$28:$AE$58,6,)="",'Fuel consumption'!D$30=""),"",'Fuel consumption'!D$30 * VLOOKUP($B102,'A1.3.10'!$S$28:$AE$58,6,))))</f>
        <v>0.3988609037344879</v>
      </c>
      <c r="U102" s="611">
        <f>IF($B102&lt;'A1.3.10'!$S$28,"",IF($B102&gt;'A1.3.10'!$S$58,U101,IF(OR(VLOOKUP($B102,'A1.3.10'!$S$28:$AE$58,6,)="",'Fuel consumption'!E$30=""),"",'Fuel consumption'!E$30 * VLOOKUP($B102,'A1.3.10'!$S$28:$AE$58,6,))))</f>
        <v>9.7483230363204512E-2</v>
      </c>
      <c r="V102" s="611">
        <f>IF($B102&lt;'A1.3.10'!$S$28,"",IF($B102&gt;'A1.3.10'!$S$58,V101,IF(OR(VLOOKUP($B102,'A1.3.10'!$S$28:$AE$58,6,)="",'Fuel consumption'!F$30=""),"",'Fuel consumption'!F$30 * VLOOKUP($B102,'A1.3.10'!$S$28:$AE$58,6,))))</f>
        <v>-1.4063727682028522E-3</v>
      </c>
      <c r="W102" s="2642">
        <f>IF($B102&lt;'A1.3.10'!$S$28,"",IF($B102&gt;'A1.3.10'!$S$58,W101,IF(OR(VLOOKUP($B102,'A1.3.10'!$S$28:$AE$58,6,)="",'Fuel consumption'!G$30=""),"",'Fuel consumption'!G$30 * VLOOKUP($B102,'A1.3.10'!$S$28:$AE$58,6,))))</f>
        <v>1.1906400891809692E-5</v>
      </c>
      <c r="X102" s="3144"/>
      <c r="Y102" s="2487">
        <f>IF($B102&lt;'A1.3.10'!$S$28,"",IF($B102&gt;'A1.3.10'!$S$58,Y101,IF(OR(VLOOKUP($B102,'A1.3.10'!$S$28:$AE$58,7,)="", 'Fuel consumption'!E$37=""),"",'Fuel consumption'!E$37 * VLOOKUP($B102,'A1.3.10'!$S$28:$AE$58,7,))))</f>
        <v>0.29149401103980166</v>
      </c>
      <c r="Z102" s="2642"/>
      <c r="AA102" s="2642"/>
      <c r="AB102" s="610">
        <f>IF($B102&lt;'A1.3.10'!$S$28,"",IF($B102&gt;'A1.3.10'!$S$58,AB101,IF(OR(VLOOKUP($B102,'A1.3.10'!$S$28:$AE$58,8,)="",'Fuel consumption'!D$31=""),"",'Fuel consumption'!D$31 * VLOOKUP($B102,'A1.3.10'!$S$28:$AE$58,8,))))</f>
        <v>2.6962848686626804</v>
      </c>
      <c r="AC102" s="611">
        <f>IF($B102&lt;'A1.3.10'!$S$28,"",IF($B102&gt;'A1.3.10'!$S$58,AC101,IF(OR(VLOOKUP($B102,'A1.3.10'!$S$28:$AE$58,8,)="",'Fuel consumption'!E$31=""),"",'Fuel consumption'!E$31 * VLOOKUP($B102,'A1.3.10'!$S$28:$AE$58,8,))))</f>
        <v>0.143057339771858</v>
      </c>
      <c r="AD102" s="611">
        <f>IF($B102&lt;'A1.3.10'!$S$28,"",IF($B102&gt;'A1.3.10'!$S$58,AD101,IF(OR(VLOOKUP($B102,'A1.3.10'!$S$28:$AE$58,8,)="",'Fuel consumption'!F$31=""),"",'Fuel consumption'!F$31 * VLOOKUP($B102,'A1.3.10'!$S$28:$AE$58,8,))))</f>
        <v>-1.0340193601785499E-3</v>
      </c>
      <c r="AE102" s="2642">
        <f>IF($B102&lt;'A1.3.10'!$S$28,"",IF($B102&gt;'A1.3.10'!$S$58,AE101,IF(OR(VLOOKUP($B102,'A1.3.10'!$S$28:$AE$58,8,)="",'Fuel consumption'!G$31=""),"",'Fuel consumption'!G$31 * VLOOKUP($B102,'A1.3.10'!$S$28:$AE$58,8,))))</f>
        <v>1.1293150500864199E-5</v>
      </c>
      <c r="AF102" s="610">
        <f>IF($B102&lt;'A1.3.10'!$S$28,"",IF($B102&gt;'A1.3.10'!$S$58,AF101,IF(OR(VLOOKUP($B102,'A1.3.10'!$S$28:$AE$58,10,)="",'Fuel consumption'!D$32=""),"",'Fuel consumption'!D$32 * VLOOKUP($B102,'A1.3.10'!$S$28:$AE$58,10,))))</f>
        <v>5.6655970981789903</v>
      </c>
      <c r="AG102" s="611">
        <f>IF($B102&lt;'A1.3.10'!$S$28,"",IF($B102&gt;'A1.3.10'!$S$58,AG101,IF(OR(VLOOKUP($B102,'A1.3.10'!$S$28:$AE$58,10,)="",'Fuel consumption'!E$32=""),"",'Fuel consumption'!E$32 * VLOOKUP($B102,'A1.3.10'!$S$28:$AE$58,10,))))</f>
        <v>0.29422449618924201</v>
      </c>
      <c r="AH102" s="611">
        <f>IF($B102&lt;'A1.3.10'!$S$28,"",IF($B102&gt;'A1.3.10'!$S$58,AH101,IF(OR(VLOOKUP($B102,'A1.3.10'!$S$28:$AE$58,10,)="",'Fuel consumption'!F$32=""),"",'Fuel consumption'!F$32 * VLOOKUP($B102,'A1.3.10'!$S$28:$AE$58,10,))))</f>
        <v>-1.9493920679616401E-3</v>
      </c>
      <c r="AI102" s="1578">
        <f>IF($B102&lt;'A1.3.10'!$S$28,"",IF($B102&gt;'A1.3.10'!$S$58,AI101,IF(OR(VLOOKUP($B102,'A1.3.10'!$S$28:$AE$58,10,)="",'Fuel consumption'!G$32=""),"",'Fuel consumption'!G$32 * VLOOKUP($B102,'A1.3.10'!$S$28:$AE$58,10,))))</f>
        <v>1.1619187345164999E-5</v>
      </c>
      <c r="AJ102" s="610">
        <f>IF($B102&lt;'A1.3.10'!$S$28,"",IF($B102&gt;'A1.3.10'!$S$58,AJ101,IF(OR(VLOOKUP($B102,'A1.3.10'!$S$28:$AE$58,12,)="",'Fuel consumption'!D$33=""),"",'Fuel consumption'!D$33 * VLOOKUP($B102,'A1.3.10'!$S$28:$AE$58,12,))))</f>
        <v>3.3601870156891001</v>
      </c>
      <c r="AK102" s="611">
        <f>IF($B102&lt;'A1.3.10'!$S$28,"",IF($B102&gt;'A1.3.10'!$S$58,AK101,IF(OR(VLOOKUP($B102,'A1.3.10'!$S$28:$AE$58,12,)="",'Fuel consumption'!E$33=""),"",'Fuel consumption'!E$33 * VLOOKUP($B102,'A1.3.10'!$S$28:$AE$58,12,))))</f>
        <v>0.29524938703213599</v>
      </c>
      <c r="AL102" s="611">
        <f>IF($B102&lt;'A1.3.10'!$S$28,"",IF($B102&gt;'A1.3.10'!$S$58,AL101,IF(OR(VLOOKUP($B102,'A1.3.10'!$S$28:$AE$58,12,)="",'Fuel consumption'!F$33=""),"",'Fuel consumption'!F$33 * VLOOKUP($B102,'A1.3.10'!$S$28:$AE$58,12,))))</f>
        <v>-3.20909768342738E-3</v>
      </c>
      <c r="AM102" s="1578">
        <f>IF($B102&lt;'A1.3.10'!$S$28,"",IF($B102&gt;'A1.3.10'!$S$58,AM101,IF(OR(VLOOKUP($B102,'A1.3.10'!$S$28:$AE$58,12,)="",'Fuel consumption'!G$33=""),"",'Fuel consumption'!G$33 * VLOOKUP($B102,'A1.3.10'!$S$28:$AE$58,12,))))</f>
        <v>2.3540043227716499E-5</v>
      </c>
    </row>
    <row r="103" spans="1:39" ht="13.5" customHeight="1">
      <c r="A103" s="623"/>
      <c r="B103" s="614">
        <f t="shared" si="4"/>
        <v>2087</v>
      </c>
      <c r="C103" s="609"/>
      <c r="D103" s="2484">
        <f>IF($B103&lt;'A1.3.10'!$S$28,"",IF($B103&gt;'A1.3.10'!$S$58,D102,IF(OR(VLOOKUP($B103,'A1.3.10'!$S$28:$AE$58,2,)="",'Fuel consumption'!D$27=""),"",'Fuel consumption'!D$27 * VLOOKUP($B103,'A1.3.10'!$S$28:$AE$58,2,))))</f>
        <v>0.32527491364024624</v>
      </c>
      <c r="E103" s="2485">
        <f>IF($B103&lt;'A1.3.10'!$S$28,"",IF($B103&gt;'A1.3.10'!$S$58,E102,IF(OR(VLOOKUP($B103,'A1.3.10'!$S$28:$AE$58,2,)="",'Fuel consumption'!E$27=""),"",'Fuel consumption'!E$27 * VLOOKUP($B103,'A1.3.10'!$S$28:$AE$58,2,))))</f>
        <v>6.9126195403069218E-2</v>
      </c>
      <c r="F103" s="2485">
        <f>IF($B103&lt;'A1.3.10'!$S$28,"",IF($B103&gt;'A1.3.10'!$S$58,F102,IF(OR(VLOOKUP($B103,'A1.3.10'!$S$28:$AE$58,2,)="",'Fuel consumption'!F$27=""),"",'Fuel consumption'!F$27 * VLOOKUP($B103,'A1.3.10'!$S$28:$AE$58,2,))))</f>
        <v>-7.8742934140708519E-4</v>
      </c>
      <c r="G103" s="2642">
        <f>IF($B103&lt;'A1.3.10'!$S$28,"",IF($B103&gt;'A1.3.10'!$S$58,G102,IF(OR(VLOOKUP($B103,'A1.3.10'!$S$28:$AE$58,2,)="",'Fuel consumption'!G$27=""),"",'Fuel consumption'!G$27 * VLOOKUP($B103,'A1.3.10'!$S$28:$AE$58,2,))))</f>
        <v>5.2150811705064693E-6</v>
      </c>
      <c r="H103" s="2486">
        <f>IF($B103&lt;'A1.3.10'!$S$28,"",IF($B103&gt;'A1.3.10'!$S$58,H102,IF(OR(VLOOKUP($B103,'A1.3.10'!$S$28:$AE$58,3,)="",'Fuel consumption'!D$28=""),"",'Fuel consumption'!D$28  * VLOOKUP($B103,'A1.3.10'!$S$28:$AE$58,3,))))</f>
        <v>0.38728007442052015</v>
      </c>
      <c r="I103" s="2487">
        <f>IF($B103&lt;'A1.3.10'!$S$28,"",IF($B103&gt;'A1.3.10'!$S$58,I102,IF(OR(VLOOKUP($B103,'A1.3.10'!$S$28:$AE$58,3,)="",'Fuel consumption'!E$28=""),"",'Fuel consumption'!E$28  * VLOOKUP($B103,'A1.3.10'!$S$28:$AE$58,3,))))</f>
        <v>5.5526385246550972E-2</v>
      </c>
      <c r="J103" s="2487">
        <f>IF($B103&lt;'A1.3.10'!$S$28,"",IF($B103&gt;'A1.3.10'!$S$58,J102,IF(OR(VLOOKUP($B103,'A1.3.10'!$S$28:$AE$58,3,)="",'Fuel consumption'!F$28=""),"",'Fuel consumption'!F$28  * VLOOKUP($B103,'A1.3.10'!$S$28:$AE$58,3,))))</f>
        <v>-5.3417929464962704E-4</v>
      </c>
      <c r="K103" s="2642">
        <f>IF($B103&lt;'A1.3.10'!$S$28,"",IF($B103&gt;'A1.3.10'!$S$58,K102,IF(OR(VLOOKUP($B103,'A1.3.10'!$S$28:$AE$58,3,)="",'Fuel consumption'!G$28=""),"",'Fuel consumption'!G$28  * VLOOKUP($B103,'A1.3.10'!$S$28:$AE$58,3,))))</f>
        <v>4.2093596420141842E-6</v>
      </c>
      <c r="L103" s="2486" t="str">
        <f>IF($B103&lt;'A1.3.10'!$S$28,"",IF($B103&gt;'A1.3.10'!$S$58,L102,IF(OR(VLOOKUP($B103,'A1.3.10'!$S$28:$AE$58,4,)="", 'Fuel consumption'!D$36=""),"",'Fuel consumption'!D$36 * VLOOKUP($B103,'A1.3.10'!$S$28:$AE$58,4,))))</f>
        <v/>
      </c>
      <c r="M103" s="2487">
        <f>IF($B103&lt;'A1.3.10'!$S$28,"",IF($B103&gt;'A1.3.10'!$S$58,M102,IF(OR(VLOOKUP($B103,'A1.3.10'!$S$28:$AE$58,4,)="", 'Fuel consumption'!E$36=""),"",'Fuel consumption'!E$36 * VLOOKUP($B103,'A1.3.10'!$S$28:$AE$58,4,))))</f>
        <v>0.12679510393803953</v>
      </c>
      <c r="N103" s="614" t="str">
        <f>IF($B103&lt;'A1.3.10'!$S$28,"",IF($B103&gt;'A1.3.10'!$S$58,N102,IF(OR(VLOOKUP($B103,'A1.3.10'!$S$28:$AE$58,4,)="", 'Fuel consumption'!F$36=""),"",'Fuel consumption'!F$36 * VLOOKUP($B103,'A1.3.10'!$S$28:$AE$58,4,))))</f>
        <v/>
      </c>
      <c r="O103" s="612" t="str">
        <f>IF($B103&lt;'A1.3.10'!$S$28,"",IF($B103&gt;'A1.3.10'!$S$58,O102,IF(OR(VLOOKUP($B103,'A1.3.10'!$S$28:$AE$58,4,)="", 'Fuel consumption'!G$36=""),"",'Fuel consumption'!G$36 * VLOOKUP($B103,'A1.3.10'!$S$28:$AE$58,4,))))</f>
        <v/>
      </c>
      <c r="P103" s="610">
        <f>IF($B103&lt;'A1.3.10'!$S$28,"",IF($B103&gt;'A1.3.10'!$S$58,P102,IF(OR(VLOOKUP($B103,'A1.3.10'!$S$28:$AE$58,5,)="",'Fuel consumption'!D$29=""),"",'Fuel consumption'!D$29 * VLOOKUP($B103,'A1.3.10'!$S$28:$AE$58,5,))))</f>
        <v>0.23398100209323003</v>
      </c>
      <c r="Q103" s="611">
        <f>IF($B103&lt;'A1.3.10'!$S$28,"",IF($B103&gt;'A1.3.10'!$S$58,Q102,IF(OR(VLOOKUP($B103,'A1.3.10'!$S$28:$AE$58,5,)="",'Fuel consumption'!E$29=""),"",'Fuel consumption'!E$29 * VLOOKUP($B103,'A1.3.10'!$S$28:$AE$58,5,))))</f>
        <v>0.13120300165283155</v>
      </c>
      <c r="R103" s="611">
        <f>IF($B103&lt;'A1.3.10'!$S$28,"",IF($B103&gt;'A1.3.10'!$S$58,R102,IF(OR(VLOOKUP($B103,'A1.3.10'!$S$28:$AE$58,5,)="",'Fuel consumption'!F$29=""),"",'Fuel consumption'!F$29 * VLOOKUP($B103,'A1.3.10'!$S$28:$AE$58,5,))))</f>
        <v>-2.0594564659300405E-3</v>
      </c>
      <c r="S103" s="2642">
        <f>IF($B103&lt;'A1.3.10'!$S$28,"",IF($B103&gt;'A1.3.10'!$S$58,S102,IF(OR(VLOOKUP($B103,'A1.3.10'!$S$28:$AE$58,5,)="",'Fuel consumption'!G$29=""),"",'Fuel consumption'!G$29 * VLOOKUP($B103,'A1.3.10'!$S$28:$AE$58,5,))))</f>
        <v>1.3300046823685748E-5</v>
      </c>
      <c r="T103" s="610">
        <f>IF($B103&lt;'A1.3.10'!$S$28,"",IF($B103&gt;'A1.3.10'!$S$58,T102,IF(OR(VLOOKUP($B103,'A1.3.10'!$S$28:$AE$58,6,)="",'Fuel consumption'!D$30=""),"",'Fuel consumption'!D$30 * VLOOKUP($B103,'A1.3.10'!$S$28:$AE$58,6,))))</f>
        <v>0.3988609037344879</v>
      </c>
      <c r="U103" s="611">
        <f>IF($B103&lt;'A1.3.10'!$S$28,"",IF($B103&gt;'A1.3.10'!$S$58,U102,IF(OR(VLOOKUP($B103,'A1.3.10'!$S$28:$AE$58,6,)="",'Fuel consumption'!E$30=""),"",'Fuel consumption'!E$30 * VLOOKUP($B103,'A1.3.10'!$S$28:$AE$58,6,))))</f>
        <v>9.7483230363204512E-2</v>
      </c>
      <c r="V103" s="611">
        <f>IF($B103&lt;'A1.3.10'!$S$28,"",IF($B103&gt;'A1.3.10'!$S$58,V102,IF(OR(VLOOKUP($B103,'A1.3.10'!$S$28:$AE$58,6,)="",'Fuel consumption'!F$30=""),"",'Fuel consumption'!F$30 * VLOOKUP($B103,'A1.3.10'!$S$28:$AE$58,6,))))</f>
        <v>-1.4063727682028522E-3</v>
      </c>
      <c r="W103" s="2642">
        <f>IF($B103&lt;'A1.3.10'!$S$28,"",IF($B103&gt;'A1.3.10'!$S$58,W102,IF(OR(VLOOKUP($B103,'A1.3.10'!$S$28:$AE$58,6,)="",'Fuel consumption'!G$30=""),"",'Fuel consumption'!G$30 * VLOOKUP($B103,'A1.3.10'!$S$28:$AE$58,6,))))</f>
        <v>1.1906400891809692E-5</v>
      </c>
      <c r="X103" s="3144"/>
      <c r="Y103" s="2487">
        <f>IF($B103&lt;'A1.3.10'!$S$28,"",IF($B103&gt;'A1.3.10'!$S$58,Y102,IF(OR(VLOOKUP($B103,'A1.3.10'!$S$28:$AE$58,7,)="", 'Fuel consumption'!E$37=""),"",'Fuel consumption'!E$37 * VLOOKUP($B103,'A1.3.10'!$S$28:$AE$58,7,))))</f>
        <v>0.29149401103980166</v>
      </c>
      <c r="Z103" s="2642"/>
      <c r="AA103" s="2642"/>
      <c r="AB103" s="610">
        <f>IF($B103&lt;'A1.3.10'!$S$28,"",IF($B103&gt;'A1.3.10'!$S$58,AB102,IF(OR(VLOOKUP($B103,'A1.3.10'!$S$28:$AE$58,8,)="",'Fuel consumption'!D$31=""),"",'Fuel consumption'!D$31 * VLOOKUP($B103,'A1.3.10'!$S$28:$AE$58,8,))))</f>
        <v>2.6962848686626804</v>
      </c>
      <c r="AC103" s="611">
        <f>IF($B103&lt;'A1.3.10'!$S$28,"",IF($B103&gt;'A1.3.10'!$S$58,AC102,IF(OR(VLOOKUP($B103,'A1.3.10'!$S$28:$AE$58,8,)="",'Fuel consumption'!E$31=""),"",'Fuel consumption'!E$31 * VLOOKUP($B103,'A1.3.10'!$S$28:$AE$58,8,))))</f>
        <v>0.143057339771858</v>
      </c>
      <c r="AD103" s="611">
        <f>IF($B103&lt;'A1.3.10'!$S$28,"",IF($B103&gt;'A1.3.10'!$S$58,AD102,IF(OR(VLOOKUP($B103,'A1.3.10'!$S$28:$AE$58,8,)="",'Fuel consumption'!F$31=""),"",'Fuel consumption'!F$31 * VLOOKUP($B103,'A1.3.10'!$S$28:$AE$58,8,))))</f>
        <v>-1.0340193601785499E-3</v>
      </c>
      <c r="AE103" s="2642">
        <f>IF($B103&lt;'A1.3.10'!$S$28,"",IF($B103&gt;'A1.3.10'!$S$58,AE102,IF(OR(VLOOKUP($B103,'A1.3.10'!$S$28:$AE$58,8,)="",'Fuel consumption'!G$31=""),"",'Fuel consumption'!G$31 * VLOOKUP($B103,'A1.3.10'!$S$28:$AE$58,8,))))</f>
        <v>1.1293150500864199E-5</v>
      </c>
      <c r="AF103" s="610">
        <f>IF($B103&lt;'A1.3.10'!$S$28,"",IF($B103&gt;'A1.3.10'!$S$58,AF102,IF(OR(VLOOKUP($B103,'A1.3.10'!$S$28:$AE$58,10,)="",'Fuel consumption'!D$32=""),"",'Fuel consumption'!D$32 * VLOOKUP($B103,'A1.3.10'!$S$28:$AE$58,10,))))</f>
        <v>5.6655970981789903</v>
      </c>
      <c r="AG103" s="611">
        <f>IF($B103&lt;'A1.3.10'!$S$28,"",IF($B103&gt;'A1.3.10'!$S$58,AG102,IF(OR(VLOOKUP($B103,'A1.3.10'!$S$28:$AE$58,10,)="",'Fuel consumption'!E$32=""),"",'Fuel consumption'!E$32 * VLOOKUP($B103,'A1.3.10'!$S$28:$AE$58,10,))))</f>
        <v>0.29422449618924201</v>
      </c>
      <c r="AH103" s="611">
        <f>IF($B103&lt;'A1.3.10'!$S$28,"",IF($B103&gt;'A1.3.10'!$S$58,AH102,IF(OR(VLOOKUP($B103,'A1.3.10'!$S$28:$AE$58,10,)="",'Fuel consumption'!F$32=""),"",'Fuel consumption'!F$32 * VLOOKUP($B103,'A1.3.10'!$S$28:$AE$58,10,))))</f>
        <v>-1.9493920679616401E-3</v>
      </c>
      <c r="AI103" s="1578">
        <f>IF($B103&lt;'A1.3.10'!$S$28,"",IF($B103&gt;'A1.3.10'!$S$58,AI102,IF(OR(VLOOKUP($B103,'A1.3.10'!$S$28:$AE$58,10,)="",'Fuel consumption'!G$32=""),"",'Fuel consumption'!G$32 * VLOOKUP($B103,'A1.3.10'!$S$28:$AE$58,10,))))</f>
        <v>1.1619187345164999E-5</v>
      </c>
      <c r="AJ103" s="610">
        <f>IF($B103&lt;'A1.3.10'!$S$28,"",IF($B103&gt;'A1.3.10'!$S$58,AJ102,IF(OR(VLOOKUP($B103,'A1.3.10'!$S$28:$AE$58,12,)="",'Fuel consumption'!D$33=""),"",'Fuel consumption'!D$33 * VLOOKUP($B103,'A1.3.10'!$S$28:$AE$58,12,))))</f>
        <v>3.3601870156891001</v>
      </c>
      <c r="AK103" s="611">
        <f>IF($B103&lt;'A1.3.10'!$S$28,"",IF($B103&gt;'A1.3.10'!$S$58,AK102,IF(OR(VLOOKUP($B103,'A1.3.10'!$S$28:$AE$58,12,)="",'Fuel consumption'!E$33=""),"",'Fuel consumption'!E$33 * VLOOKUP($B103,'A1.3.10'!$S$28:$AE$58,12,))))</f>
        <v>0.29524938703213599</v>
      </c>
      <c r="AL103" s="611">
        <f>IF($B103&lt;'A1.3.10'!$S$28,"",IF($B103&gt;'A1.3.10'!$S$58,AL102,IF(OR(VLOOKUP($B103,'A1.3.10'!$S$28:$AE$58,12,)="",'Fuel consumption'!F$33=""),"",'Fuel consumption'!F$33 * VLOOKUP($B103,'A1.3.10'!$S$28:$AE$58,12,))))</f>
        <v>-3.20909768342738E-3</v>
      </c>
      <c r="AM103" s="1578">
        <f>IF($B103&lt;'A1.3.10'!$S$28,"",IF($B103&gt;'A1.3.10'!$S$58,AM102,IF(OR(VLOOKUP($B103,'A1.3.10'!$S$28:$AE$58,12,)="",'Fuel consumption'!G$33=""),"",'Fuel consumption'!G$33 * VLOOKUP($B103,'A1.3.10'!$S$28:$AE$58,12,))))</f>
        <v>2.3540043227716499E-5</v>
      </c>
    </row>
    <row r="104" spans="1:39" ht="13.5" customHeight="1">
      <c r="A104" s="623"/>
      <c r="B104" s="614">
        <f t="shared" si="4"/>
        <v>2088</v>
      </c>
      <c r="C104" s="609"/>
      <c r="D104" s="2484">
        <f>IF($B104&lt;'A1.3.10'!$S$28,"",IF($B104&gt;'A1.3.10'!$S$58,D103,IF(OR(VLOOKUP($B104,'A1.3.10'!$S$28:$AE$58,2,)="",'Fuel consumption'!D$27=""),"",'Fuel consumption'!D$27 * VLOOKUP($B104,'A1.3.10'!$S$28:$AE$58,2,))))</f>
        <v>0.32527491364024624</v>
      </c>
      <c r="E104" s="2485">
        <f>IF($B104&lt;'A1.3.10'!$S$28,"",IF($B104&gt;'A1.3.10'!$S$58,E103,IF(OR(VLOOKUP($B104,'A1.3.10'!$S$28:$AE$58,2,)="",'Fuel consumption'!E$27=""),"",'Fuel consumption'!E$27 * VLOOKUP($B104,'A1.3.10'!$S$28:$AE$58,2,))))</f>
        <v>6.9126195403069218E-2</v>
      </c>
      <c r="F104" s="2485">
        <f>IF($B104&lt;'A1.3.10'!$S$28,"",IF($B104&gt;'A1.3.10'!$S$58,F103,IF(OR(VLOOKUP($B104,'A1.3.10'!$S$28:$AE$58,2,)="",'Fuel consumption'!F$27=""),"",'Fuel consumption'!F$27 * VLOOKUP($B104,'A1.3.10'!$S$28:$AE$58,2,))))</f>
        <v>-7.8742934140708519E-4</v>
      </c>
      <c r="G104" s="2642">
        <f>IF($B104&lt;'A1.3.10'!$S$28,"",IF($B104&gt;'A1.3.10'!$S$58,G103,IF(OR(VLOOKUP($B104,'A1.3.10'!$S$28:$AE$58,2,)="",'Fuel consumption'!G$27=""),"",'Fuel consumption'!G$27 * VLOOKUP($B104,'A1.3.10'!$S$28:$AE$58,2,))))</f>
        <v>5.2150811705064693E-6</v>
      </c>
      <c r="H104" s="2486">
        <f>IF($B104&lt;'A1.3.10'!$S$28,"",IF($B104&gt;'A1.3.10'!$S$58,H103,IF(OR(VLOOKUP($B104,'A1.3.10'!$S$28:$AE$58,3,)="",'Fuel consumption'!D$28=""),"",'Fuel consumption'!D$28  * VLOOKUP($B104,'A1.3.10'!$S$28:$AE$58,3,))))</f>
        <v>0.38728007442052015</v>
      </c>
      <c r="I104" s="2487">
        <f>IF($B104&lt;'A1.3.10'!$S$28,"",IF($B104&gt;'A1.3.10'!$S$58,I103,IF(OR(VLOOKUP($B104,'A1.3.10'!$S$28:$AE$58,3,)="",'Fuel consumption'!E$28=""),"",'Fuel consumption'!E$28  * VLOOKUP($B104,'A1.3.10'!$S$28:$AE$58,3,))))</f>
        <v>5.5526385246550972E-2</v>
      </c>
      <c r="J104" s="2487">
        <f>IF($B104&lt;'A1.3.10'!$S$28,"",IF($B104&gt;'A1.3.10'!$S$58,J103,IF(OR(VLOOKUP($B104,'A1.3.10'!$S$28:$AE$58,3,)="",'Fuel consumption'!F$28=""),"",'Fuel consumption'!F$28  * VLOOKUP($B104,'A1.3.10'!$S$28:$AE$58,3,))))</f>
        <v>-5.3417929464962704E-4</v>
      </c>
      <c r="K104" s="2642">
        <f>IF($B104&lt;'A1.3.10'!$S$28,"",IF($B104&gt;'A1.3.10'!$S$58,K103,IF(OR(VLOOKUP($B104,'A1.3.10'!$S$28:$AE$58,3,)="",'Fuel consumption'!G$28=""),"",'Fuel consumption'!G$28  * VLOOKUP($B104,'A1.3.10'!$S$28:$AE$58,3,))))</f>
        <v>4.2093596420141842E-6</v>
      </c>
      <c r="L104" s="2486" t="str">
        <f>IF($B104&lt;'A1.3.10'!$S$28,"",IF($B104&gt;'A1.3.10'!$S$58,L103,IF(OR(VLOOKUP($B104,'A1.3.10'!$S$28:$AE$58,4,)="", 'Fuel consumption'!D$36=""),"",'Fuel consumption'!D$36 * VLOOKUP($B104,'A1.3.10'!$S$28:$AE$58,4,))))</f>
        <v/>
      </c>
      <c r="M104" s="2487">
        <f>IF($B104&lt;'A1.3.10'!$S$28,"",IF($B104&gt;'A1.3.10'!$S$58,M103,IF(OR(VLOOKUP($B104,'A1.3.10'!$S$28:$AE$58,4,)="", 'Fuel consumption'!E$36=""),"",'Fuel consumption'!E$36 * VLOOKUP($B104,'A1.3.10'!$S$28:$AE$58,4,))))</f>
        <v>0.12679510393803953</v>
      </c>
      <c r="N104" s="614" t="str">
        <f>IF($B104&lt;'A1.3.10'!$S$28,"",IF($B104&gt;'A1.3.10'!$S$58,N103,IF(OR(VLOOKUP($B104,'A1.3.10'!$S$28:$AE$58,4,)="", 'Fuel consumption'!F$36=""),"",'Fuel consumption'!F$36 * VLOOKUP($B104,'A1.3.10'!$S$28:$AE$58,4,))))</f>
        <v/>
      </c>
      <c r="O104" s="612" t="str">
        <f>IF($B104&lt;'A1.3.10'!$S$28,"",IF($B104&gt;'A1.3.10'!$S$58,O103,IF(OR(VLOOKUP($B104,'A1.3.10'!$S$28:$AE$58,4,)="", 'Fuel consumption'!G$36=""),"",'Fuel consumption'!G$36 * VLOOKUP($B104,'A1.3.10'!$S$28:$AE$58,4,))))</f>
        <v/>
      </c>
      <c r="P104" s="610">
        <f>IF($B104&lt;'A1.3.10'!$S$28,"",IF($B104&gt;'A1.3.10'!$S$58,P103,IF(OR(VLOOKUP($B104,'A1.3.10'!$S$28:$AE$58,5,)="",'Fuel consumption'!D$29=""),"",'Fuel consumption'!D$29 * VLOOKUP($B104,'A1.3.10'!$S$28:$AE$58,5,))))</f>
        <v>0.23398100209323003</v>
      </c>
      <c r="Q104" s="611">
        <f>IF($B104&lt;'A1.3.10'!$S$28,"",IF($B104&gt;'A1.3.10'!$S$58,Q103,IF(OR(VLOOKUP($B104,'A1.3.10'!$S$28:$AE$58,5,)="",'Fuel consumption'!E$29=""),"",'Fuel consumption'!E$29 * VLOOKUP($B104,'A1.3.10'!$S$28:$AE$58,5,))))</f>
        <v>0.13120300165283155</v>
      </c>
      <c r="R104" s="611">
        <f>IF($B104&lt;'A1.3.10'!$S$28,"",IF($B104&gt;'A1.3.10'!$S$58,R103,IF(OR(VLOOKUP($B104,'A1.3.10'!$S$28:$AE$58,5,)="",'Fuel consumption'!F$29=""),"",'Fuel consumption'!F$29 * VLOOKUP($B104,'A1.3.10'!$S$28:$AE$58,5,))))</f>
        <v>-2.0594564659300405E-3</v>
      </c>
      <c r="S104" s="2642">
        <f>IF($B104&lt;'A1.3.10'!$S$28,"",IF($B104&gt;'A1.3.10'!$S$58,S103,IF(OR(VLOOKUP($B104,'A1.3.10'!$S$28:$AE$58,5,)="",'Fuel consumption'!G$29=""),"",'Fuel consumption'!G$29 * VLOOKUP($B104,'A1.3.10'!$S$28:$AE$58,5,))))</f>
        <v>1.3300046823685748E-5</v>
      </c>
      <c r="T104" s="610">
        <f>IF($B104&lt;'A1.3.10'!$S$28,"",IF($B104&gt;'A1.3.10'!$S$58,T103,IF(OR(VLOOKUP($B104,'A1.3.10'!$S$28:$AE$58,6,)="",'Fuel consumption'!D$30=""),"",'Fuel consumption'!D$30 * VLOOKUP($B104,'A1.3.10'!$S$28:$AE$58,6,))))</f>
        <v>0.3988609037344879</v>
      </c>
      <c r="U104" s="611">
        <f>IF($B104&lt;'A1.3.10'!$S$28,"",IF($B104&gt;'A1.3.10'!$S$58,U103,IF(OR(VLOOKUP($B104,'A1.3.10'!$S$28:$AE$58,6,)="",'Fuel consumption'!E$30=""),"",'Fuel consumption'!E$30 * VLOOKUP($B104,'A1.3.10'!$S$28:$AE$58,6,))))</f>
        <v>9.7483230363204512E-2</v>
      </c>
      <c r="V104" s="611">
        <f>IF($B104&lt;'A1.3.10'!$S$28,"",IF($B104&gt;'A1.3.10'!$S$58,V103,IF(OR(VLOOKUP($B104,'A1.3.10'!$S$28:$AE$58,6,)="",'Fuel consumption'!F$30=""),"",'Fuel consumption'!F$30 * VLOOKUP($B104,'A1.3.10'!$S$28:$AE$58,6,))))</f>
        <v>-1.4063727682028522E-3</v>
      </c>
      <c r="W104" s="2642">
        <f>IF($B104&lt;'A1.3.10'!$S$28,"",IF($B104&gt;'A1.3.10'!$S$58,W103,IF(OR(VLOOKUP($B104,'A1.3.10'!$S$28:$AE$58,6,)="",'Fuel consumption'!G$30=""),"",'Fuel consumption'!G$30 * VLOOKUP($B104,'A1.3.10'!$S$28:$AE$58,6,))))</f>
        <v>1.1906400891809692E-5</v>
      </c>
      <c r="X104" s="3144"/>
      <c r="Y104" s="2487">
        <f>IF($B104&lt;'A1.3.10'!$S$28,"",IF($B104&gt;'A1.3.10'!$S$58,Y103,IF(OR(VLOOKUP($B104,'A1.3.10'!$S$28:$AE$58,7,)="", 'Fuel consumption'!E$37=""),"",'Fuel consumption'!E$37 * VLOOKUP($B104,'A1.3.10'!$S$28:$AE$58,7,))))</f>
        <v>0.29149401103980166</v>
      </c>
      <c r="Z104" s="2642"/>
      <c r="AA104" s="2642"/>
      <c r="AB104" s="610">
        <f>IF($B104&lt;'A1.3.10'!$S$28,"",IF($B104&gt;'A1.3.10'!$S$58,AB103,IF(OR(VLOOKUP($B104,'A1.3.10'!$S$28:$AE$58,8,)="",'Fuel consumption'!D$31=""),"",'Fuel consumption'!D$31 * VLOOKUP($B104,'A1.3.10'!$S$28:$AE$58,8,))))</f>
        <v>2.6962848686626804</v>
      </c>
      <c r="AC104" s="611">
        <f>IF($B104&lt;'A1.3.10'!$S$28,"",IF($B104&gt;'A1.3.10'!$S$58,AC103,IF(OR(VLOOKUP($B104,'A1.3.10'!$S$28:$AE$58,8,)="",'Fuel consumption'!E$31=""),"",'Fuel consumption'!E$31 * VLOOKUP($B104,'A1.3.10'!$S$28:$AE$58,8,))))</f>
        <v>0.143057339771858</v>
      </c>
      <c r="AD104" s="611">
        <f>IF($B104&lt;'A1.3.10'!$S$28,"",IF($B104&gt;'A1.3.10'!$S$58,AD103,IF(OR(VLOOKUP($B104,'A1.3.10'!$S$28:$AE$58,8,)="",'Fuel consumption'!F$31=""),"",'Fuel consumption'!F$31 * VLOOKUP($B104,'A1.3.10'!$S$28:$AE$58,8,))))</f>
        <v>-1.0340193601785499E-3</v>
      </c>
      <c r="AE104" s="2642">
        <f>IF($B104&lt;'A1.3.10'!$S$28,"",IF($B104&gt;'A1.3.10'!$S$58,AE103,IF(OR(VLOOKUP($B104,'A1.3.10'!$S$28:$AE$58,8,)="",'Fuel consumption'!G$31=""),"",'Fuel consumption'!G$31 * VLOOKUP($B104,'A1.3.10'!$S$28:$AE$58,8,))))</f>
        <v>1.1293150500864199E-5</v>
      </c>
      <c r="AF104" s="610">
        <f>IF($B104&lt;'A1.3.10'!$S$28,"",IF($B104&gt;'A1.3.10'!$S$58,AF103,IF(OR(VLOOKUP($B104,'A1.3.10'!$S$28:$AE$58,10,)="",'Fuel consumption'!D$32=""),"",'Fuel consumption'!D$32 * VLOOKUP($B104,'A1.3.10'!$S$28:$AE$58,10,))))</f>
        <v>5.6655970981789903</v>
      </c>
      <c r="AG104" s="611">
        <f>IF($B104&lt;'A1.3.10'!$S$28,"",IF($B104&gt;'A1.3.10'!$S$58,AG103,IF(OR(VLOOKUP($B104,'A1.3.10'!$S$28:$AE$58,10,)="",'Fuel consumption'!E$32=""),"",'Fuel consumption'!E$32 * VLOOKUP($B104,'A1.3.10'!$S$28:$AE$58,10,))))</f>
        <v>0.29422449618924201</v>
      </c>
      <c r="AH104" s="611">
        <f>IF($B104&lt;'A1.3.10'!$S$28,"",IF($B104&gt;'A1.3.10'!$S$58,AH103,IF(OR(VLOOKUP($B104,'A1.3.10'!$S$28:$AE$58,10,)="",'Fuel consumption'!F$32=""),"",'Fuel consumption'!F$32 * VLOOKUP($B104,'A1.3.10'!$S$28:$AE$58,10,))))</f>
        <v>-1.9493920679616401E-3</v>
      </c>
      <c r="AI104" s="1578">
        <f>IF($B104&lt;'A1.3.10'!$S$28,"",IF($B104&gt;'A1.3.10'!$S$58,AI103,IF(OR(VLOOKUP($B104,'A1.3.10'!$S$28:$AE$58,10,)="",'Fuel consumption'!G$32=""),"",'Fuel consumption'!G$32 * VLOOKUP($B104,'A1.3.10'!$S$28:$AE$58,10,))))</f>
        <v>1.1619187345164999E-5</v>
      </c>
      <c r="AJ104" s="610">
        <f>IF($B104&lt;'A1.3.10'!$S$28,"",IF($B104&gt;'A1.3.10'!$S$58,AJ103,IF(OR(VLOOKUP($B104,'A1.3.10'!$S$28:$AE$58,12,)="",'Fuel consumption'!D$33=""),"",'Fuel consumption'!D$33 * VLOOKUP($B104,'A1.3.10'!$S$28:$AE$58,12,))))</f>
        <v>3.3601870156891001</v>
      </c>
      <c r="AK104" s="611">
        <f>IF($B104&lt;'A1.3.10'!$S$28,"",IF($B104&gt;'A1.3.10'!$S$58,AK103,IF(OR(VLOOKUP($B104,'A1.3.10'!$S$28:$AE$58,12,)="",'Fuel consumption'!E$33=""),"",'Fuel consumption'!E$33 * VLOOKUP($B104,'A1.3.10'!$S$28:$AE$58,12,))))</f>
        <v>0.29524938703213599</v>
      </c>
      <c r="AL104" s="611">
        <f>IF($B104&lt;'A1.3.10'!$S$28,"",IF($B104&gt;'A1.3.10'!$S$58,AL103,IF(OR(VLOOKUP($B104,'A1.3.10'!$S$28:$AE$58,12,)="",'Fuel consumption'!F$33=""),"",'Fuel consumption'!F$33 * VLOOKUP($B104,'A1.3.10'!$S$28:$AE$58,12,))))</f>
        <v>-3.20909768342738E-3</v>
      </c>
      <c r="AM104" s="1578">
        <f>IF($B104&lt;'A1.3.10'!$S$28,"",IF($B104&gt;'A1.3.10'!$S$58,AM103,IF(OR(VLOOKUP($B104,'A1.3.10'!$S$28:$AE$58,12,)="",'Fuel consumption'!G$33=""),"",'Fuel consumption'!G$33 * VLOOKUP($B104,'A1.3.10'!$S$28:$AE$58,12,))))</f>
        <v>2.3540043227716499E-5</v>
      </c>
    </row>
    <row r="105" spans="1:39" ht="13.5" customHeight="1">
      <c r="A105" s="623"/>
      <c r="B105" s="614">
        <f t="shared" si="4"/>
        <v>2089</v>
      </c>
      <c r="C105" s="609"/>
      <c r="D105" s="2484">
        <f>IF($B105&lt;'A1.3.10'!$S$28,"",IF($B105&gt;'A1.3.10'!$S$58,D104,IF(OR(VLOOKUP($B105,'A1.3.10'!$S$28:$AE$58,2,)="",'Fuel consumption'!D$27=""),"",'Fuel consumption'!D$27 * VLOOKUP($B105,'A1.3.10'!$S$28:$AE$58,2,))))</f>
        <v>0.32527491364024624</v>
      </c>
      <c r="E105" s="2485">
        <f>IF($B105&lt;'A1.3.10'!$S$28,"",IF($B105&gt;'A1.3.10'!$S$58,E104,IF(OR(VLOOKUP($B105,'A1.3.10'!$S$28:$AE$58,2,)="",'Fuel consumption'!E$27=""),"",'Fuel consumption'!E$27 * VLOOKUP($B105,'A1.3.10'!$S$28:$AE$58,2,))))</f>
        <v>6.9126195403069218E-2</v>
      </c>
      <c r="F105" s="2485">
        <f>IF($B105&lt;'A1.3.10'!$S$28,"",IF($B105&gt;'A1.3.10'!$S$58,F104,IF(OR(VLOOKUP($B105,'A1.3.10'!$S$28:$AE$58,2,)="",'Fuel consumption'!F$27=""),"",'Fuel consumption'!F$27 * VLOOKUP($B105,'A1.3.10'!$S$28:$AE$58,2,))))</f>
        <v>-7.8742934140708519E-4</v>
      </c>
      <c r="G105" s="2642">
        <f>IF($B105&lt;'A1.3.10'!$S$28,"",IF($B105&gt;'A1.3.10'!$S$58,G104,IF(OR(VLOOKUP($B105,'A1.3.10'!$S$28:$AE$58,2,)="",'Fuel consumption'!G$27=""),"",'Fuel consumption'!G$27 * VLOOKUP($B105,'A1.3.10'!$S$28:$AE$58,2,))))</f>
        <v>5.2150811705064693E-6</v>
      </c>
      <c r="H105" s="2486">
        <f>IF($B105&lt;'A1.3.10'!$S$28,"",IF($B105&gt;'A1.3.10'!$S$58,H104,IF(OR(VLOOKUP($B105,'A1.3.10'!$S$28:$AE$58,3,)="",'Fuel consumption'!D$28=""),"",'Fuel consumption'!D$28  * VLOOKUP($B105,'A1.3.10'!$S$28:$AE$58,3,))))</f>
        <v>0.38728007442052015</v>
      </c>
      <c r="I105" s="2487">
        <f>IF($B105&lt;'A1.3.10'!$S$28,"",IF($B105&gt;'A1.3.10'!$S$58,I104,IF(OR(VLOOKUP($B105,'A1.3.10'!$S$28:$AE$58,3,)="",'Fuel consumption'!E$28=""),"",'Fuel consumption'!E$28  * VLOOKUP($B105,'A1.3.10'!$S$28:$AE$58,3,))))</f>
        <v>5.5526385246550972E-2</v>
      </c>
      <c r="J105" s="2487">
        <f>IF($B105&lt;'A1.3.10'!$S$28,"",IF($B105&gt;'A1.3.10'!$S$58,J104,IF(OR(VLOOKUP($B105,'A1.3.10'!$S$28:$AE$58,3,)="",'Fuel consumption'!F$28=""),"",'Fuel consumption'!F$28  * VLOOKUP($B105,'A1.3.10'!$S$28:$AE$58,3,))))</f>
        <v>-5.3417929464962704E-4</v>
      </c>
      <c r="K105" s="2642">
        <f>IF($B105&lt;'A1.3.10'!$S$28,"",IF($B105&gt;'A1.3.10'!$S$58,K104,IF(OR(VLOOKUP($B105,'A1.3.10'!$S$28:$AE$58,3,)="",'Fuel consumption'!G$28=""),"",'Fuel consumption'!G$28  * VLOOKUP($B105,'A1.3.10'!$S$28:$AE$58,3,))))</f>
        <v>4.2093596420141842E-6</v>
      </c>
      <c r="L105" s="2486" t="str">
        <f>IF($B105&lt;'A1.3.10'!$S$28,"",IF($B105&gt;'A1.3.10'!$S$58,L104,IF(OR(VLOOKUP($B105,'A1.3.10'!$S$28:$AE$58,4,)="", 'Fuel consumption'!D$36=""),"",'Fuel consumption'!D$36 * VLOOKUP($B105,'A1.3.10'!$S$28:$AE$58,4,))))</f>
        <v/>
      </c>
      <c r="M105" s="2487">
        <f>IF($B105&lt;'A1.3.10'!$S$28,"",IF($B105&gt;'A1.3.10'!$S$58,M104,IF(OR(VLOOKUP($B105,'A1.3.10'!$S$28:$AE$58,4,)="", 'Fuel consumption'!E$36=""),"",'Fuel consumption'!E$36 * VLOOKUP($B105,'A1.3.10'!$S$28:$AE$58,4,))))</f>
        <v>0.12679510393803953</v>
      </c>
      <c r="N105" s="614" t="str">
        <f>IF($B105&lt;'A1.3.10'!$S$28,"",IF($B105&gt;'A1.3.10'!$S$58,N104,IF(OR(VLOOKUP($B105,'A1.3.10'!$S$28:$AE$58,4,)="", 'Fuel consumption'!F$36=""),"",'Fuel consumption'!F$36 * VLOOKUP($B105,'A1.3.10'!$S$28:$AE$58,4,))))</f>
        <v/>
      </c>
      <c r="O105" s="612" t="str">
        <f>IF($B105&lt;'A1.3.10'!$S$28,"",IF($B105&gt;'A1.3.10'!$S$58,O104,IF(OR(VLOOKUP($B105,'A1.3.10'!$S$28:$AE$58,4,)="", 'Fuel consumption'!G$36=""),"",'Fuel consumption'!G$36 * VLOOKUP($B105,'A1.3.10'!$S$28:$AE$58,4,))))</f>
        <v/>
      </c>
      <c r="P105" s="610">
        <f>IF($B105&lt;'A1.3.10'!$S$28,"",IF($B105&gt;'A1.3.10'!$S$58,P104,IF(OR(VLOOKUP($B105,'A1.3.10'!$S$28:$AE$58,5,)="",'Fuel consumption'!D$29=""),"",'Fuel consumption'!D$29 * VLOOKUP($B105,'A1.3.10'!$S$28:$AE$58,5,))))</f>
        <v>0.23398100209323003</v>
      </c>
      <c r="Q105" s="611">
        <f>IF($B105&lt;'A1.3.10'!$S$28,"",IF($B105&gt;'A1.3.10'!$S$58,Q104,IF(OR(VLOOKUP($B105,'A1.3.10'!$S$28:$AE$58,5,)="",'Fuel consumption'!E$29=""),"",'Fuel consumption'!E$29 * VLOOKUP($B105,'A1.3.10'!$S$28:$AE$58,5,))))</f>
        <v>0.13120300165283155</v>
      </c>
      <c r="R105" s="611">
        <f>IF($B105&lt;'A1.3.10'!$S$28,"",IF($B105&gt;'A1.3.10'!$S$58,R104,IF(OR(VLOOKUP($B105,'A1.3.10'!$S$28:$AE$58,5,)="",'Fuel consumption'!F$29=""),"",'Fuel consumption'!F$29 * VLOOKUP($B105,'A1.3.10'!$S$28:$AE$58,5,))))</f>
        <v>-2.0594564659300405E-3</v>
      </c>
      <c r="S105" s="2642">
        <f>IF($B105&lt;'A1.3.10'!$S$28,"",IF($B105&gt;'A1.3.10'!$S$58,S104,IF(OR(VLOOKUP($B105,'A1.3.10'!$S$28:$AE$58,5,)="",'Fuel consumption'!G$29=""),"",'Fuel consumption'!G$29 * VLOOKUP($B105,'A1.3.10'!$S$28:$AE$58,5,))))</f>
        <v>1.3300046823685748E-5</v>
      </c>
      <c r="T105" s="610">
        <f>IF($B105&lt;'A1.3.10'!$S$28,"",IF($B105&gt;'A1.3.10'!$S$58,T104,IF(OR(VLOOKUP($B105,'A1.3.10'!$S$28:$AE$58,6,)="",'Fuel consumption'!D$30=""),"",'Fuel consumption'!D$30 * VLOOKUP($B105,'A1.3.10'!$S$28:$AE$58,6,))))</f>
        <v>0.3988609037344879</v>
      </c>
      <c r="U105" s="611">
        <f>IF($B105&lt;'A1.3.10'!$S$28,"",IF($B105&gt;'A1.3.10'!$S$58,U104,IF(OR(VLOOKUP($B105,'A1.3.10'!$S$28:$AE$58,6,)="",'Fuel consumption'!E$30=""),"",'Fuel consumption'!E$30 * VLOOKUP($B105,'A1.3.10'!$S$28:$AE$58,6,))))</f>
        <v>9.7483230363204512E-2</v>
      </c>
      <c r="V105" s="611">
        <f>IF($B105&lt;'A1.3.10'!$S$28,"",IF($B105&gt;'A1.3.10'!$S$58,V104,IF(OR(VLOOKUP($B105,'A1.3.10'!$S$28:$AE$58,6,)="",'Fuel consumption'!F$30=""),"",'Fuel consumption'!F$30 * VLOOKUP($B105,'A1.3.10'!$S$28:$AE$58,6,))))</f>
        <v>-1.4063727682028522E-3</v>
      </c>
      <c r="W105" s="2642">
        <f>IF($B105&lt;'A1.3.10'!$S$28,"",IF($B105&gt;'A1.3.10'!$S$58,W104,IF(OR(VLOOKUP($B105,'A1.3.10'!$S$28:$AE$58,6,)="",'Fuel consumption'!G$30=""),"",'Fuel consumption'!G$30 * VLOOKUP($B105,'A1.3.10'!$S$28:$AE$58,6,))))</f>
        <v>1.1906400891809692E-5</v>
      </c>
      <c r="X105" s="3144"/>
      <c r="Y105" s="2487">
        <f>IF($B105&lt;'A1.3.10'!$S$28,"",IF($B105&gt;'A1.3.10'!$S$58,Y104,IF(OR(VLOOKUP($B105,'A1.3.10'!$S$28:$AE$58,7,)="", 'Fuel consumption'!E$37=""),"",'Fuel consumption'!E$37 * VLOOKUP($B105,'A1.3.10'!$S$28:$AE$58,7,))))</f>
        <v>0.29149401103980166</v>
      </c>
      <c r="Z105" s="2642"/>
      <c r="AA105" s="2642"/>
      <c r="AB105" s="610">
        <f>IF($B105&lt;'A1.3.10'!$S$28,"",IF($B105&gt;'A1.3.10'!$S$58,AB104,IF(OR(VLOOKUP($B105,'A1.3.10'!$S$28:$AE$58,8,)="",'Fuel consumption'!D$31=""),"",'Fuel consumption'!D$31 * VLOOKUP($B105,'A1.3.10'!$S$28:$AE$58,8,))))</f>
        <v>2.6962848686626804</v>
      </c>
      <c r="AC105" s="611">
        <f>IF($B105&lt;'A1.3.10'!$S$28,"",IF($B105&gt;'A1.3.10'!$S$58,AC104,IF(OR(VLOOKUP($B105,'A1.3.10'!$S$28:$AE$58,8,)="",'Fuel consumption'!E$31=""),"",'Fuel consumption'!E$31 * VLOOKUP($B105,'A1.3.10'!$S$28:$AE$58,8,))))</f>
        <v>0.143057339771858</v>
      </c>
      <c r="AD105" s="611">
        <f>IF($B105&lt;'A1.3.10'!$S$28,"",IF($B105&gt;'A1.3.10'!$S$58,AD104,IF(OR(VLOOKUP($B105,'A1.3.10'!$S$28:$AE$58,8,)="",'Fuel consumption'!F$31=""),"",'Fuel consumption'!F$31 * VLOOKUP($B105,'A1.3.10'!$S$28:$AE$58,8,))))</f>
        <v>-1.0340193601785499E-3</v>
      </c>
      <c r="AE105" s="2642">
        <f>IF($B105&lt;'A1.3.10'!$S$28,"",IF($B105&gt;'A1.3.10'!$S$58,AE104,IF(OR(VLOOKUP($B105,'A1.3.10'!$S$28:$AE$58,8,)="",'Fuel consumption'!G$31=""),"",'Fuel consumption'!G$31 * VLOOKUP($B105,'A1.3.10'!$S$28:$AE$58,8,))))</f>
        <v>1.1293150500864199E-5</v>
      </c>
      <c r="AF105" s="610">
        <f>IF($B105&lt;'A1.3.10'!$S$28,"",IF($B105&gt;'A1.3.10'!$S$58,AF104,IF(OR(VLOOKUP($B105,'A1.3.10'!$S$28:$AE$58,10,)="",'Fuel consumption'!D$32=""),"",'Fuel consumption'!D$32 * VLOOKUP($B105,'A1.3.10'!$S$28:$AE$58,10,))))</f>
        <v>5.6655970981789903</v>
      </c>
      <c r="AG105" s="611">
        <f>IF($B105&lt;'A1.3.10'!$S$28,"",IF($B105&gt;'A1.3.10'!$S$58,AG104,IF(OR(VLOOKUP($B105,'A1.3.10'!$S$28:$AE$58,10,)="",'Fuel consumption'!E$32=""),"",'Fuel consumption'!E$32 * VLOOKUP($B105,'A1.3.10'!$S$28:$AE$58,10,))))</f>
        <v>0.29422449618924201</v>
      </c>
      <c r="AH105" s="611">
        <f>IF($B105&lt;'A1.3.10'!$S$28,"",IF($B105&gt;'A1.3.10'!$S$58,AH104,IF(OR(VLOOKUP($B105,'A1.3.10'!$S$28:$AE$58,10,)="",'Fuel consumption'!F$32=""),"",'Fuel consumption'!F$32 * VLOOKUP($B105,'A1.3.10'!$S$28:$AE$58,10,))))</f>
        <v>-1.9493920679616401E-3</v>
      </c>
      <c r="AI105" s="1578">
        <f>IF($B105&lt;'A1.3.10'!$S$28,"",IF($B105&gt;'A1.3.10'!$S$58,AI104,IF(OR(VLOOKUP($B105,'A1.3.10'!$S$28:$AE$58,10,)="",'Fuel consumption'!G$32=""),"",'Fuel consumption'!G$32 * VLOOKUP($B105,'A1.3.10'!$S$28:$AE$58,10,))))</f>
        <v>1.1619187345164999E-5</v>
      </c>
      <c r="AJ105" s="610">
        <f>IF($B105&lt;'A1.3.10'!$S$28,"",IF($B105&gt;'A1.3.10'!$S$58,AJ104,IF(OR(VLOOKUP($B105,'A1.3.10'!$S$28:$AE$58,12,)="",'Fuel consumption'!D$33=""),"",'Fuel consumption'!D$33 * VLOOKUP($B105,'A1.3.10'!$S$28:$AE$58,12,))))</f>
        <v>3.3601870156891001</v>
      </c>
      <c r="AK105" s="611">
        <f>IF($B105&lt;'A1.3.10'!$S$28,"",IF($B105&gt;'A1.3.10'!$S$58,AK104,IF(OR(VLOOKUP($B105,'A1.3.10'!$S$28:$AE$58,12,)="",'Fuel consumption'!E$33=""),"",'Fuel consumption'!E$33 * VLOOKUP($B105,'A1.3.10'!$S$28:$AE$58,12,))))</f>
        <v>0.29524938703213599</v>
      </c>
      <c r="AL105" s="611">
        <f>IF($B105&lt;'A1.3.10'!$S$28,"",IF($B105&gt;'A1.3.10'!$S$58,AL104,IF(OR(VLOOKUP($B105,'A1.3.10'!$S$28:$AE$58,12,)="",'Fuel consumption'!F$33=""),"",'Fuel consumption'!F$33 * VLOOKUP($B105,'A1.3.10'!$S$28:$AE$58,12,))))</f>
        <v>-3.20909768342738E-3</v>
      </c>
      <c r="AM105" s="1578">
        <f>IF($B105&lt;'A1.3.10'!$S$28,"",IF($B105&gt;'A1.3.10'!$S$58,AM104,IF(OR(VLOOKUP($B105,'A1.3.10'!$S$28:$AE$58,12,)="",'Fuel consumption'!G$33=""),"",'Fuel consumption'!G$33 * VLOOKUP($B105,'A1.3.10'!$S$28:$AE$58,12,))))</f>
        <v>2.3540043227716499E-5</v>
      </c>
    </row>
    <row r="106" spans="1:39" ht="13.5" customHeight="1" thickBot="1">
      <c r="A106" s="619"/>
      <c r="B106" s="627"/>
      <c r="C106" s="627"/>
      <c r="D106" s="619"/>
      <c r="E106" s="617"/>
      <c r="F106" s="617"/>
      <c r="G106" s="627"/>
      <c r="H106" s="619"/>
      <c r="I106" s="627"/>
      <c r="J106" s="617"/>
      <c r="K106" s="620"/>
      <c r="L106" s="619"/>
      <c r="M106" s="627"/>
      <c r="N106" s="627"/>
      <c r="O106" s="620"/>
      <c r="P106" s="619"/>
      <c r="Q106" s="617"/>
      <c r="R106" s="617"/>
      <c r="S106" s="620"/>
      <c r="T106" s="619"/>
      <c r="U106" s="627"/>
      <c r="V106" s="627"/>
      <c r="W106" s="627"/>
      <c r="X106" s="3145"/>
      <c r="Y106" s="627" t="str">
        <f>IF($B106&lt;'A1.3.10'!$S$28,"",IF($B106&gt;'A1.3.10'!$S$58,Y105,IF(OR(VLOOKUP($B106,'A1.3.10'!$S$28:$AE$58,7,)="", 'Fuel consumption'!E$37=""),"",'Fuel consumption'!E$37 * VLOOKUP($B106,'A1.3.10'!$S$28:$AE$58,7,))))</f>
        <v/>
      </c>
      <c r="Z106" s="627"/>
      <c r="AA106" s="627"/>
      <c r="AB106" s="619"/>
      <c r="AC106" s="627"/>
      <c r="AD106" s="627"/>
      <c r="AE106" s="620"/>
      <c r="AF106" s="619"/>
      <c r="AG106" s="627"/>
      <c r="AH106" s="627"/>
      <c r="AI106" s="620"/>
      <c r="AJ106" s="619"/>
      <c r="AK106" s="627"/>
      <c r="AL106" s="627"/>
      <c r="AM106" s="620"/>
    </row>
    <row r="107" spans="1:39" ht="13.5" customHeight="1" thickTop="1" thickBot="1"/>
    <row r="108" spans="1:39" ht="13.5" customHeight="1" thickBot="1">
      <c r="D108" s="2431" t="s">
        <v>1489</v>
      </c>
    </row>
  </sheetData>
  <sheetProtection sheet="1" objects="1" scenarios="1"/>
  <mergeCells count="12">
    <mergeCell ref="AJ1:AM1"/>
    <mergeCell ref="A12:B12"/>
    <mergeCell ref="A11:B11"/>
    <mergeCell ref="E6:S6"/>
    <mergeCell ref="A7:B7"/>
    <mergeCell ref="A8:B8"/>
    <mergeCell ref="A10:B10"/>
    <mergeCell ref="T24:W24"/>
    <mergeCell ref="X24:AA24"/>
    <mergeCell ref="D1:O1"/>
    <mergeCell ref="P1:W1"/>
    <mergeCell ref="AB1:AI2"/>
  </mergeCells>
  <phoneticPr fontId="8" type="noConversion"/>
  <hyperlinks>
    <hyperlink ref="B18" location="A1.3.11!P1" tooltip="LGVs" display="LGVs"/>
    <hyperlink ref="B19" location="A1.3.11!AF1" tooltip="PSVs" display="PSVs"/>
    <hyperlink ref="A19" location="A1.3.11!X1" tooltip="OGVs" display="OGVs"/>
    <hyperlink ref="A11" location="Contents!A1" display="Contents"/>
    <hyperlink ref="A11:B11" r:id="rId1" display="WebTAG Unit 3.5.6"/>
    <hyperlink ref="A18" location="A1.3.11!D1" tooltip="Cars" display="Cars"/>
    <hyperlink ref="A10" location="Contents!A1" display="Contents"/>
    <hyperlink ref="A10:B10" location="Contents!A1" tooltip="Contents page" display="Contents"/>
    <hyperlink ref="A12:B12" r:id="rId2" tooltip="Unit A1.3 User &amp; Provider Impacts" display="WebTAG Unit A 1.3"/>
    <hyperlink ref="D108" location="A1.3.11!D26" tooltip="Top of this page" display="Top"/>
  </hyperlinks>
  <pageMargins left="0.75" right="0.75" top="1" bottom="1" header="0.5" footer="0.5"/>
  <pageSetup paperSize="8" scale="43" fitToHeight="0" orientation="landscape" r:id="rId3"/>
  <headerFooter alignWithMargins="0"/>
  <drawing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8000"/>
  </sheetPr>
  <dimension ref="A1:BT108"/>
  <sheetViews>
    <sheetView showGridLines="0" zoomScale="70" zoomScaleNormal="70" zoomScaleSheetLayoutView="40" workbookViewId="0">
      <selection activeCell="A62" sqref="A62"/>
    </sheetView>
  </sheetViews>
  <sheetFormatPr defaultColWidth="12.88671875" defaultRowHeight="13.5" customHeight="1"/>
  <cols>
    <col min="1" max="16384" width="12.88671875" style="38"/>
  </cols>
  <sheetData>
    <row r="1" spans="1:72" ht="54.9" customHeight="1">
      <c r="A1" s="28"/>
      <c r="C1" s="28"/>
      <c r="D1" s="3715"/>
      <c r="E1" s="3689"/>
      <c r="F1" s="3689"/>
      <c r="G1" s="3689"/>
      <c r="H1" s="3689"/>
      <c r="I1" s="3689"/>
      <c r="J1" s="3689"/>
      <c r="K1" s="3689"/>
      <c r="L1" s="3689"/>
      <c r="M1" s="3689"/>
      <c r="N1" s="3689"/>
      <c r="O1" s="3689"/>
      <c r="P1" s="3689"/>
      <c r="Q1" s="3689"/>
      <c r="R1" s="3689"/>
      <c r="S1" s="3689"/>
      <c r="T1" s="3688"/>
      <c r="U1" s="3688"/>
      <c r="V1" s="3688"/>
      <c r="W1" s="3688"/>
      <c r="X1" s="3688"/>
      <c r="Y1" s="3688"/>
      <c r="Z1" s="3688"/>
      <c r="AA1" s="3688"/>
      <c r="AB1" s="3688"/>
      <c r="AC1" s="3688"/>
      <c r="AD1" s="3688"/>
      <c r="AE1" s="3688"/>
      <c r="AF1" s="3688"/>
      <c r="AG1" s="3688"/>
      <c r="AH1" s="3688"/>
      <c r="AI1" s="3688"/>
      <c r="AJ1" s="3688"/>
      <c r="AK1" s="3688"/>
      <c r="AL1" s="3688"/>
      <c r="AM1" s="3688"/>
      <c r="AN1" s="3688"/>
      <c r="AO1" s="3688"/>
      <c r="AP1" s="3688"/>
      <c r="AQ1" s="3688"/>
      <c r="AR1" s="3688"/>
      <c r="AS1" s="3688"/>
      <c r="AT1" s="3688"/>
      <c r="AU1" s="3688"/>
      <c r="AV1" s="3688"/>
      <c r="AW1" s="3688"/>
      <c r="AX1" s="3688"/>
      <c r="AY1" s="3688"/>
      <c r="BH1" s="3688"/>
      <c r="BI1" s="3688"/>
      <c r="BJ1" s="3688"/>
      <c r="BK1" s="3688"/>
      <c r="BL1" s="3688"/>
      <c r="BM1" s="3688"/>
      <c r="BN1" s="3688"/>
      <c r="BO1" s="3688"/>
      <c r="BP1" s="3688"/>
      <c r="BQ1" s="3688"/>
      <c r="BR1" s="3688"/>
      <c r="BS1" s="3688"/>
    </row>
    <row r="2" spans="1:72" s="300" customFormat="1" ht="5.0999999999999996" customHeight="1">
      <c r="D2" s="83"/>
      <c r="E2" s="83"/>
      <c r="F2" s="83"/>
      <c r="O2" s="444"/>
      <c r="P2" s="444"/>
      <c r="Q2" s="444"/>
      <c r="R2" s="46"/>
      <c r="AE2" s="444"/>
      <c r="AF2" s="444"/>
      <c r="AG2" s="444"/>
      <c r="AH2" s="46"/>
      <c r="AV2" s="444"/>
      <c r="AW2" s="444"/>
      <c r="AX2" s="444"/>
      <c r="AY2" s="46"/>
      <c r="BO2" s="444"/>
      <c r="BP2" s="444"/>
      <c r="BQ2" s="444"/>
      <c r="BR2" s="46"/>
      <c r="BS2" s="83"/>
      <c r="BT2" s="445"/>
    </row>
    <row r="3" spans="1:72" s="300" customFormat="1" ht="20.100000000000001" customHeight="1">
      <c r="A3" s="300" t="s">
        <v>2252</v>
      </c>
      <c r="B3" s="485"/>
      <c r="C3" s="485"/>
      <c r="D3" s="46"/>
      <c r="E3" s="83"/>
      <c r="F3" s="445"/>
      <c r="H3" s="688"/>
      <c r="I3" s="485"/>
      <c r="K3" s="83"/>
      <c r="O3" s="83"/>
      <c r="P3" s="83"/>
      <c r="Q3" s="83"/>
      <c r="R3" s="46"/>
      <c r="AE3" s="83"/>
      <c r="AF3" s="83"/>
      <c r="AG3" s="83"/>
      <c r="AH3" s="46"/>
      <c r="AV3" s="83"/>
      <c r="AW3" s="83"/>
      <c r="AX3" s="83"/>
      <c r="AY3" s="46"/>
      <c r="BO3" s="83"/>
      <c r="BP3" s="83"/>
      <c r="BQ3" s="83"/>
      <c r="BR3" s="46"/>
      <c r="BS3" s="83"/>
      <c r="BT3" s="83"/>
    </row>
    <row r="4" spans="1:72" s="26" customFormat="1" ht="20.100000000000001" customHeight="1" thickBot="1">
      <c r="A4" s="529" t="s">
        <v>1378</v>
      </c>
      <c r="B4" s="447"/>
      <c r="C4" s="447"/>
      <c r="D4" s="446"/>
      <c r="E4" s="446"/>
      <c r="F4" s="446"/>
      <c r="G4" s="446"/>
      <c r="H4" s="689"/>
      <c r="I4" s="447"/>
      <c r="J4" s="446"/>
      <c r="K4" s="446"/>
      <c r="L4" s="446"/>
      <c r="M4" s="446"/>
      <c r="N4" s="446"/>
      <c r="O4" s="446"/>
      <c r="P4" s="446"/>
      <c r="Q4" s="446"/>
      <c r="R4" s="449"/>
      <c r="S4" s="446"/>
      <c r="T4" s="446"/>
      <c r="U4" s="446"/>
      <c r="V4" s="446"/>
      <c r="W4" s="446"/>
      <c r="X4" s="446"/>
      <c r="Y4" s="446"/>
      <c r="Z4" s="446"/>
      <c r="AA4" s="446"/>
      <c r="AB4" s="446"/>
      <c r="AC4" s="446"/>
      <c r="AD4" s="446"/>
      <c r="AE4" s="446"/>
      <c r="AF4" s="446"/>
      <c r="AG4" s="446"/>
      <c r="AH4" s="449"/>
      <c r="AI4" s="446"/>
      <c r="AJ4" s="446"/>
      <c r="AK4" s="446"/>
      <c r="AL4" s="446"/>
      <c r="AM4" s="446"/>
      <c r="AN4" s="446"/>
      <c r="AO4" s="446"/>
      <c r="AP4" s="446"/>
      <c r="AQ4" s="446"/>
      <c r="AR4" s="446"/>
      <c r="AS4" s="446"/>
      <c r="AT4" s="446"/>
      <c r="AU4" s="446"/>
      <c r="AV4" s="446"/>
      <c r="AW4" s="446"/>
      <c r="AX4" s="446"/>
      <c r="AY4" s="449"/>
      <c r="AZ4" s="446"/>
      <c r="BA4" s="446"/>
      <c r="BB4" s="446"/>
      <c r="BC4" s="446"/>
      <c r="BD4" s="446"/>
      <c r="BE4" s="446"/>
      <c r="BF4" s="446"/>
      <c r="BG4" s="446"/>
      <c r="BH4" s="446"/>
      <c r="BI4" s="446"/>
      <c r="BJ4" s="446"/>
      <c r="BK4" s="446"/>
      <c r="BL4" s="446"/>
      <c r="BM4" s="446"/>
      <c r="BN4" s="446"/>
      <c r="BO4" s="446"/>
      <c r="BP4" s="446"/>
      <c r="BQ4" s="446"/>
      <c r="BR4" s="449"/>
      <c r="BS4" s="446"/>
    </row>
    <row r="5" spans="1:72" ht="9.9" customHeight="1" thickTop="1" thickBot="1">
      <c r="A5" s="35"/>
      <c r="B5" s="321"/>
      <c r="C5" s="72"/>
      <c r="E5" s="427"/>
      <c r="I5" s="321"/>
      <c r="O5" s="13"/>
      <c r="P5" s="13"/>
      <c r="Q5" s="13"/>
      <c r="R5" s="165"/>
      <c r="AE5" s="26"/>
      <c r="AF5" s="26"/>
      <c r="AG5" s="26"/>
      <c r="AH5" s="31"/>
      <c r="AV5" s="26"/>
      <c r="AW5" s="26"/>
      <c r="AX5" s="26"/>
      <c r="AY5" s="31"/>
      <c r="BR5" s="32"/>
    </row>
    <row r="6" spans="1:72" ht="13.5" customHeight="1" thickTop="1">
      <c r="A6" s="169" t="s">
        <v>10</v>
      </c>
      <c r="B6" s="169"/>
      <c r="D6" s="147"/>
      <c r="E6" s="3698" t="s">
        <v>255</v>
      </c>
      <c r="F6" s="3627"/>
      <c r="G6" s="3627"/>
      <c r="H6" s="3627"/>
      <c r="I6" s="3627"/>
      <c r="J6" s="3627"/>
      <c r="K6" s="3627"/>
      <c r="L6" s="3627"/>
      <c r="M6" s="3627"/>
      <c r="N6" s="3627"/>
      <c r="O6" s="3728"/>
      <c r="P6" s="3728"/>
      <c r="Q6" s="3728"/>
      <c r="R6" s="3728"/>
      <c r="S6" s="3729"/>
    </row>
    <row r="7" spans="1:72" ht="13.5" customHeight="1">
      <c r="A7" s="3644" t="str">
        <f>Audit!A12</f>
        <v>May 2019 v1.12</v>
      </c>
      <c r="B7" s="3651"/>
      <c r="D7" s="147"/>
      <c r="E7" s="1580" t="s">
        <v>1047</v>
      </c>
      <c r="F7" s="29"/>
      <c r="G7" s="26"/>
      <c r="H7" s="26"/>
      <c r="I7" s="26"/>
      <c r="J7" s="26"/>
      <c r="K7" s="26"/>
      <c r="L7" s="26"/>
      <c r="M7" s="26"/>
      <c r="N7" s="26"/>
      <c r="O7" s="26"/>
      <c r="P7" s="26"/>
      <c r="Q7" s="26"/>
      <c r="R7" s="26"/>
      <c r="S7" s="147"/>
    </row>
    <row r="8" spans="1:72" ht="13.5" customHeight="1">
      <c r="A8" s="3630">
        <f>Audit!C12</f>
        <v>43586</v>
      </c>
      <c r="B8" s="3631"/>
      <c r="C8" s="321"/>
      <c r="D8" s="412"/>
      <c r="E8" s="38" t="s">
        <v>69</v>
      </c>
      <c r="F8" s="315"/>
      <c r="G8" s="26"/>
      <c r="H8" s="26"/>
      <c r="I8" s="26" t="str">
        <f>'Fuel consumption'!I7</f>
        <v>L = a/v + b + c.v + d.v2</v>
      </c>
      <c r="J8" s="26"/>
      <c r="K8" s="26"/>
      <c r="L8" s="26"/>
      <c r="M8" s="26"/>
      <c r="N8" s="26"/>
      <c r="O8" s="26"/>
      <c r="P8" s="26"/>
      <c r="Q8" s="26"/>
      <c r="R8" s="26"/>
      <c r="S8" s="147"/>
    </row>
    <row r="9" spans="1:72" ht="13.5" customHeight="1" thickBot="1">
      <c r="A9" s="172" t="s">
        <v>14</v>
      </c>
      <c r="B9" s="173"/>
      <c r="D9" s="412"/>
      <c r="E9" s="38" t="s">
        <v>1228</v>
      </c>
      <c r="F9" s="26"/>
      <c r="G9" s="26"/>
      <c r="H9" s="26"/>
      <c r="I9" s="26"/>
      <c r="J9" s="26"/>
      <c r="K9" s="26"/>
      <c r="L9" s="26"/>
      <c r="M9" s="26"/>
      <c r="N9" s="26"/>
      <c r="O9" s="26"/>
      <c r="P9" s="26"/>
      <c r="Q9" s="26"/>
      <c r="R9" s="26"/>
      <c r="S9" s="147"/>
    </row>
    <row r="10" spans="1:72" ht="13.5" customHeight="1" thickBot="1">
      <c r="A10" s="3570" t="s">
        <v>1306</v>
      </c>
      <c r="B10" s="3610"/>
      <c r="D10" s="412"/>
      <c r="E10" s="26" t="s">
        <v>70</v>
      </c>
      <c r="F10" s="26"/>
      <c r="G10" s="26"/>
      <c r="H10" s="26"/>
      <c r="I10" s="26"/>
      <c r="J10" s="26"/>
      <c r="K10" s="26"/>
      <c r="L10" s="26"/>
      <c r="M10" s="26"/>
      <c r="N10" s="26"/>
      <c r="O10" s="26"/>
      <c r="P10" s="26"/>
      <c r="Q10" s="26"/>
      <c r="R10" s="26"/>
      <c r="S10" s="147"/>
    </row>
    <row r="11" spans="1:72" ht="13.5" customHeight="1" thickBot="1">
      <c r="A11" s="3570" t="s">
        <v>2216</v>
      </c>
      <c r="B11" s="3581"/>
      <c r="D11" s="412"/>
      <c r="E11" s="38" t="s">
        <v>1230</v>
      </c>
      <c r="F11" s="53"/>
      <c r="G11" s="53"/>
      <c r="H11" s="53"/>
      <c r="I11" s="53"/>
      <c r="J11" s="53"/>
      <c r="K11" s="53"/>
      <c r="L11" s="53"/>
      <c r="M11" s="53"/>
      <c r="N11" s="53"/>
      <c r="O11" s="53"/>
      <c r="P11" s="53"/>
      <c r="Q11" s="53"/>
      <c r="R11" s="53"/>
      <c r="S11" s="379"/>
    </row>
    <row r="12" spans="1:72" ht="13.5" customHeight="1" thickBot="1">
      <c r="A12" s="3570" t="s">
        <v>2217</v>
      </c>
      <c r="B12" s="3581"/>
      <c r="D12" s="412"/>
      <c r="E12" s="38" t="s">
        <v>1231</v>
      </c>
      <c r="F12" s="26"/>
      <c r="G12" s="26"/>
      <c r="H12" s="26"/>
      <c r="I12" s="26"/>
      <c r="J12" s="26"/>
      <c r="K12" s="26"/>
      <c r="L12" s="26"/>
      <c r="M12" s="26"/>
      <c r="N12" s="26"/>
      <c r="O12" s="26"/>
      <c r="P12" s="26"/>
      <c r="Q12" s="26"/>
      <c r="R12" s="26"/>
      <c r="S12" s="147"/>
    </row>
    <row r="13" spans="1:72" ht="13.5" customHeight="1">
      <c r="A13" s="172" t="s">
        <v>252</v>
      </c>
      <c r="B13" s="194"/>
      <c r="C13" s="321"/>
      <c r="D13" s="412"/>
      <c r="E13" s="742"/>
      <c r="F13" s="26"/>
      <c r="G13" s="26"/>
      <c r="H13" s="26"/>
      <c r="I13" s="26"/>
      <c r="J13" s="26"/>
      <c r="K13" s="26"/>
      <c r="L13" s="26"/>
      <c r="M13" s="26"/>
      <c r="N13" s="26"/>
      <c r="O13" s="26"/>
      <c r="P13" s="26"/>
      <c r="Q13" s="26"/>
      <c r="R13" s="26"/>
      <c r="S13" s="147"/>
    </row>
    <row r="14" spans="1:72" ht="13.5" customHeight="1">
      <c r="A14" s="2445" t="s">
        <v>799</v>
      </c>
      <c r="B14" s="2451">
        <f>'User Parameters'!L13</f>
        <v>2010</v>
      </c>
      <c r="C14" s="321"/>
      <c r="D14" s="412"/>
      <c r="E14" s="38" t="s">
        <v>142</v>
      </c>
      <c r="F14" s="26"/>
      <c r="G14" s="26"/>
      <c r="H14" s="26"/>
      <c r="I14" s="26"/>
      <c r="J14" s="26"/>
      <c r="K14" s="26"/>
      <c r="L14" s="26"/>
      <c r="M14" s="26"/>
      <c r="N14" s="26"/>
      <c r="O14" s="26"/>
      <c r="P14" s="26"/>
      <c r="Q14" s="26"/>
      <c r="R14" s="26"/>
      <c r="S14" s="147"/>
    </row>
    <row r="15" spans="1:72" ht="13.5" customHeight="1">
      <c r="A15" s="2441" t="s">
        <v>751</v>
      </c>
      <c r="B15" s="2450">
        <f>'User Parameters'!L16</f>
        <v>2010</v>
      </c>
      <c r="C15" s="321"/>
      <c r="D15" s="412"/>
      <c r="E15" s="38" t="s">
        <v>512</v>
      </c>
      <c r="F15" s="26"/>
      <c r="G15" s="26"/>
      <c r="H15" s="26"/>
      <c r="I15" s="26"/>
      <c r="J15" s="26"/>
      <c r="K15" s="26"/>
      <c r="L15" s="26"/>
      <c r="M15" s="26"/>
      <c r="N15" s="26"/>
      <c r="O15" s="26"/>
      <c r="P15" s="26"/>
      <c r="Q15" s="26"/>
      <c r="R15" s="26"/>
      <c r="S15" s="147"/>
    </row>
    <row r="16" spans="1:72" ht="13.5" customHeight="1">
      <c r="A16" s="2440"/>
      <c r="B16" s="2442"/>
      <c r="C16" s="321"/>
      <c r="D16" s="412"/>
      <c r="E16" s="26" t="s">
        <v>1115</v>
      </c>
      <c r="F16" s="26"/>
      <c r="G16" s="26"/>
      <c r="H16" s="26"/>
      <c r="I16" s="26"/>
      <c r="J16" s="26"/>
      <c r="K16" s="26"/>
      <c r="L16" s="26"/>
      <c r="M16" s="26"/>
      <c r="N16" s="26"/>
      <c r="O16" s="26"/>
      <c r="P16" s="26"/>
      <c r="Q16" s="26"/>
      <c r="R16" s="26"/>
      <c r="S16" s="147"/>
    </row>
    <row r="17" spans="1:71" ht="13.5" customHeight="1" thickBot="1">
      <c r="A17" s="169" t="s">
        <v>253</v>
      </c>
      <c r="B17" s="170"/>
      <c r="C17" s="321"/>
      <c r="D17" s="412"/>
      <c r="E17" s="26" t="s">
        <v>1167</v>
      </c>
      <c r="F17" s="26"/>
      <c r="G17" s="26"/>
      <c r="H17" s="26"/>
      <c r="I17" s="26"/>
      <c r="J17" s="26"/>
      <c r="K17" s="26"/>
      <c r="L17" s="26"/>
      <c r="M17" s="26"/>
      <c r="N17" s="26"/>
      <c r="O17" s="26"/>
      <c r="P17" s="26"/>
      <c r="Q17" s="26"/>
      <c r="R17" s="26"/>
      <c r="S17" s="147"/>
    </row>
    <row r="18" spans="1:71" ht="13.5" customHeight="1" thickBot="1">
      <c r="A18" s="2414" t="s">
        <v>879</v>
      </c>
      <c r="B18" s="2414" t="s">
        <v>1431</v>
      </c>
      <c r="C18" s="321"/>
      <c r="D18" s="412"/>
      <c r="E18" s="38" t="s">
        <v>893</v>
      </c>
      <c r="F18" s="26"/>
      <c r="G18" s="26"/>
      <c r="H18" s="26"/>
      <c r="I18" s="26"/>
      <c r="J18" s="26"/>
      <c r="K18" s="26"/>
      <c r="L18" s="26"/>
      <c r="M18" s="26"/>
      <c r="N18" s="26"/>
      <c r="O18" s="26"/>
      <c r="P18" s="26"/>
      <c r="Q18" s="26"/>
      <c r="R18" s="26"/>
      <c r="S18" s="147"/>
    </row>
    <row r="19" spans="1:71" ht="13.5" customHeight="1" thickBot="1">
      <c r="A19" s="2410" t="s">
        <v>777</v>
      </c>
      <c r="B19" s="2414" t="s">
        <v>1434</v>
      </c>
      <c r="C19" s="321"/>
      <c r="D19" s="412"/>
      <c r="E19" s="26" t="s">
        <v>2362</v>
      </c>
      <c r="S19" s="147"/>
    </row>
    <row r="20" spans="1:71" ht="13.5" customHeight="1" thickBot="1">
      <c r="A20" s="2422"/>
      <c r="B20" s="2409"/>
      <c r="C20" s="72"/>
      <c r="D20" s="32"/>
      <c r="E20" s="381" t="s">
        <v>2253</v>
      </c>
      <c r="F20" s="163"/>
      <c r="G20" s="163"/>
      <c r="H20" s="163"/>
      <c r="I20" s="163"/>
      <c r="J20" s="163"/>
      <c r="K20" s="163"/>
      <c r="L20" s="163"/>
      <c r="M20" s="163"/>
      <c r="N20" s="163"/>
      <c r="O20" s="163"/>
      <c r="P20" s="163"/>
      <c r="Q20" s="163"/>
      <c r="R20" s="163"/>
      <c r="S20" s="382"/>
      <c r="AH20" s="31"/>
      <c r="AY20" s="31"/>
      <c r="BR20" s="32"/>
    </row>
    <row r="21" spans="1:71" ht="13.5" customHeight="1" thickTop="1">
      <c r="A21" s="2422"/>
      <c r="B21" s="2409"/>
      <c r="C21" s="72"/>
      <c r="D21" s="32"/>
      <c r="E21" s="26"/>
      <c r="F21" s="29"/>
      <c r="G21" s="29"/>
      <c r="H21" s="29"/>
      <c r="I21" s="29"/>
      <c r="J21" s="29"/>
      <c r="K21" s="29"/>
      <c r="L21" s="29"/>
      <c r="M21" s="29"/>
      <c r="N21" s="29"/>
      <c r="O21" s="29"/>
      <c r="P21" s="29"/>
      <c r="Q21" s="29"/>
      <c r="R21" s="29"/>
      <c r="S21" s="29"/>
      <c r="AH21" s="31"/>
      <c r="AY21" s="31"/>
      <c r="BR21" s="32"/>
    </row>
    <row r="22" spans="1:71" s="3151" customFormat="1" ht="13.5" customHeight="1" thickBot="1">
      <c r="A22" s="3148"/>
      <c r="B22" s="3148"/>
      <c r="C22" s="3149"/>
      <c r="D22" s="3150">
        <f>'A1.3.11'!D22</f>
        <v>3</v>
      </c>
      <c r="E22" s="3150">
        <f>'A1.3.11'!E22</f>
        <v>4</v>
      </c>
      <c r="F22" s="3150">
        <f>'A1.3.11'!F22</f>
        <v>5</v>
      </c>
      <c r="G22" s="3150">
        <f>'A1.3.11'!G22</f>
        <v>6</v>
      </c>
      <c r="H22" s="3150">
        <f>'A1.3.11'!H22</f>
        <v>7</v>
      </c>
      <c r="I22" s="3150">
        <f>'A1.3.11'!I22</f>
        <v>8</v>
      </c>
      <c r="J22" s="3150">
        <f>'A1.3.11'!J22</f>
        <v>9</v>
      </c>
      <c r="K22" s="3150">
        <f>'A1.3.11'!K22</f>
        <v>10</v>
      </c>
      <c r="L22" s="3150">
        <f>'A1.3.11'!L22</f>
        <v>11</v>
      </c>
      <c r="M22" s="3150">
        <f>'A1.3.11'!M22</f>
        <v>12</v>
      </c>
      <c r="N22" s="3150">
        <f>'A1.3.11'!N22</f>
        <v>13</v>
      </c>
      <c r="O22" s="3150">
        <f>'A1.3.11'!O22</f>
        <v>14</v>
      </c>
      <c r="R22" s="3152"/>
      <c r="T22" s="3151">
        <f>'A1.3.11'!P22</f>
        <v>15</v>
      </c>
      <c r="U22" s="3151">
        <f>'A1.3.11'!Q22</f>
        <v>16</v>
      </c>
      <c r="V22" s="3151">
        <f>'A1.3.11'!R22</f>
        <v>17</v>
      </c>
      <c r="W22" s="3151">
        <f>'A1.3.11'!S22</f>
        <v>18</v>
      </c>
      <c r="X22" s="3151">
        <f>'A1.3.11'!T22</f>
        <v>19</v>
      </c>
      <c r="Y22" s="3151">
        <f>'A1.3.11'!U22</f>
        <v>20</v>
      </c>
      <c r="Z22" s="3151">
        <f>'A1.3.11'!V22</f>
        <v>21</v>
      </c>
      <c r="AA22" s="3151">
        <f>'A1.3.11'!W22</f>
        <v>22</v>
      </c>
      <c r="AB22" s="3151">
        <f>'A1.3.11'!X22</f>
        <v>23</v>
      </c>
      <c r="AC22" s="3151">
        <f>'A1.3.11'!Y22</f>
        <v>24</v>
      </c>
      <c r="AD22" s="3151">
        <f>'A1.3.11'!Z22</f>
        <v>25</v>
      </c>
      <c r="AE22" s="3151">
        <f>'A1.3.11'!AA22</f>
        <v>26</v>
      </c>
      <c r="AH22" s="3152"/>
      <c r="AJ22" s="3151">
        <f>'A1.3.11'!AB22</f>
        <v>27</v>
      </c>
      <c r="AK22" s="3151">
        <f>'A1.3.11'!AC22</f>
        <v>28</v>
      </c>
      <c r="AL22" s="3151">
        <f>'A1.3.11'!AD22</f>
        <v>29</v>
      </c>
      <c r="AM22" s="3151">
        <f>'A1.3.11'!AE22</f>
        <v>30</v>
      </c>
      <c r="AV22" s="3151">
        <f>'A1.3.11'!AF22</f>
        <v>31</v>
      </c>
      <c r="AW22" s="3151">
        <f>'A1.3.11'!AG22</f>
        <v>32</v>
      </c>
      <c r="AX22" s="3151">
        <f>'A1.3.11'!AH22</f>
        <v>33</v>
      </c>
      <c r="AY22" s="3151">
        <f>'A1.3.11'!AI22</f>
        <v>34</v>
      </c>
      <c r="BH22" s="3151">
        <f>'A1.3.11'!AJ22</f>
        <v>35</v>
      </c>
      <c r="BI22" s="3151">
        <f>'A1.3.11'!AK22</f>
        <v>36</v>
      </c>
      <c r="BJ22" s="3151">
        <f>'A1.3.11'!AL22</f>
        <v>37</v>
      </c>
      <c r="BK22" s="3151">
        <f>'A1.3.11'!AM22</f>
        <v>38</v>
      </c>
      <c r="BR22" s="3152"/>
    </row>
    <row r="23" spans="1:71" s="26" customFormat="1" ht="13.5" customHeight="1" thickTop="1" thickBot="1">
      <c r="A23" s="574" t="s">
        <v>714</v>
      </c>
      <c r="B23" s="697"/>
      <c r="C23" s="362"/>
      <c r="D23" s="574" t="str">
        <f>CONCATENATE("Average Vehicle Fuel / Energy Cost Formulae Parameter Values (p, ",$B$14," prices): Work (Excluding VAT)")</f>
        <v>Average Vehicle Fuel / Energy Cost Formulae Parameter Values (p, 2010 prices): Work (Excluding VAT)</v>
      </c>
      <c r="E23" s="574"/>
      <c r="F23" s="574"/>
      <c r="G23" s="574"/>
      <c r="H23" s="574"/>
      <c r="I23" s="404"/>
      <c r="J23" s="363"/>
      <c r="K23" s="363"/>
      <c r="L23" s="88"/>
      <c r="M23" s="362"/>
      <c r="N23" s="362"/>
      <c r="O23" s="362"/>
      <c r="P23" s="362"/>
      <c r="Q23" s="362"/>
      <c r="R23" s="362"/>
      <c r="S23" s="362"/>
      <c r="T23" s="362"/>
      <c r="U23" s="362"/>
      <c r="V23" s="362"/>
      <c r="W23" s="362"/>
      <c r="X23" s="362"/>
      <c r="Y23" s="362"/>
      <c r="Z23" s="362"/>
      <c r="AA23" s="362"/>
      <c r="AB23" s="362"/>
      <c r="AC23" s="362"/>
      <c r="AD23" s="362"/>
      <c r="AE23" s="362"/>
      <c r="AF23" s="362"/>
      <c r="AG23" s="362"/>
      <c r="AH23" s="362"/>
      <c r="AI23" s="362"/>
      <c r="AJ23" s="362"/>
      <c r="AK23" s="362"/>
      <c r="AL23" s="362"/>
      <c r="AM23" s="362"/>
      <c r="AN23" s="362"/>
      <c r="AO23" s="362"/>
      <c r="AP23" s="362"/>
      <c r="AQ23" s="362"/>
      <c r="AR23" s="362"/>
      <c r="AS23" s="362"/>
      <c r="AT23" s="362"/>
      <c r="AU23" s="362"/>
      <c r="AV23" s="362"/>
      <c r="AW23" s="362"/>
      <c r="AX23" s="362"/>
      <c r="AY23" s="362"/>
      <c r="AZ23" s="362"/>
      <c r="BA23" s="362"/>
      <c r="BB23" s="362"/>
      <c r="BC23" s="362"/>
      <c r="BD23" s="362"/>
      <c r="BE23" s="362"/>
      <c r="BF23" s="362"/>
      <c r="BG23" s="362"/>
      <c r="BH23" s="362"/>
      <c r="BI23" s="362"/>
      <c r="BJ23" s="362"/>
      <c r="BK23" s="362"/>
      <c r="BL23" s="362"/>
      <c r="BM23" s="362"/>
      <c r="BN23" s="362"/>
      <c r="BO23" s="362"/>
      <c r="BP23" s="362"/>
      <c r="BQ23" s="362"/>
      <c r="BR23" s="362"/>
      <c r="BS23" s="378"/>
    </row>
    <row r="24" spans="1:71" s="29" customFormat="1" ht="13.5" customHeight="1" thickTop="1" thickBot="1">
      <c r="A24" s="231"/>
      <c r="B24" s="707"/>
      <c r="C24" s="709"/>
      <c r="D24" s="631" t="s">
        <v>879</v>
      </c>
      <c r="E24" s="981"/>
      <c r="F24" s="981"/>
      <c r="G24" s="981"/>
      <c r="H24" s="981"/>
      <c r="I24" s="981"/>
      <c r="J24" s="981"/>
      <c r="K24" s="981"/>
      <c r="L24" s="981"/>
      <c r="M24" s="981"/>
      <c r="N24" s="981"/>
      <c r="O24" s="981"/>
      <c r="P24" s="981"/>
      <c r="Q24" s="981"/>
      <c r="R24" s="981"/>
      <c r="S24" s="1582"/>
      <c r="T24" s="232" t="s">
        <v>1431</v>
      </c>
      <c r="U24" s="981"/>
      <c r="V24" s="981"/>
      <c r="W24" s="981"/>
      <c r="X24" s="981"/>
      <c r="Y24" s="981"/>
      <c r="Z24" s="981"/>
      <c r="AA24" s="981"/>
      <c r="AB24" s="981"/>
      <c r="AC24" s="981"/>
      <c r="AD24" s="981"/>
      <c r="AE24" s="981"/>
      <c r="AF24" s="981"/>
      <c r="AG24" s="981"/>
      <c r="AH24" s="981"/>
      <c r="AI24" s="1582"/>
      <c r="AJ24" s="232" t="s">
        <v>777</v>
      </c>
      <c r="AK24" s="981"/>
      <c r="AL24" s="981"/>
      <c r="AM24" s="981"/>
      <c r="AN24" s="981"/>
      <c r="AO24" s="981"/>
      <c r="AP24" s="981"/>
      <c r="AQ24" s="981"/>
      <c r="AR24" s="981"/>
      <c r="AS24" s="981"/>
      <c r="AT24" s="981"/>
      <c r="AU24" s="981"/>
      <c r="AV24" s="981"/>
      <c r="AW24" s="981"/>
      <c r="AX24" s="981"/>
      <c r="AY24" s="981"/>
      <c r="AZ24" s="981"/>
      <c r="BA24" s="981"/>
      <c r="BB24" s="981"/>
      <c r="BC24" s="981"/>
      <c r="BD24" s="981"/>
      <c r="BE24" s="981"/>
      <c r="BF24" s="981"/>
      <c r="BG24" s="1582"/>
      <c r="BH24" s="232" t="s">
        <v>1434</v>
      </c>
      <c r="BI24" s="981"/>
      <c r="BJ24" s="981"/>
      <c r="BK24" s="981"/>
      <c r="BL24" s="981"/>
      <c r="BM24" s="981"/>
      <c r="BN24" s="981"/>
      <c r="BO24" s="981"/>
      <c r="BP24" s="981"/>
      <c r="BQ24" s="981"/>
      <c r="BR24" s="981"/>
      <c r="BS24" s="1582"/>
    </row>
    <row r="25" spans="1:71" s="29" customFormat="1" ht="13.5" customHeight="1" thickTop="1" thickBot="1">
      <c r="A25" s="706"/>
      <c r="B25" s="708"/>
      <c r="C25" s="710"/>
      <c r="D25" s="443" t="s">
        <v>573</v>
      </c>
      <c r="E25" s="39"/>
      <c r="F25" s="39"/>
      <c r="G25" s="700"/>
      <c r="H25" s="631" t="s">
        <v>574</v>
      </c>
      <c r="I25" s="39"/>
      <c r="J25" s="39"/>
      <c r="K25" s="40"/>
      <c r="L25" s="631" t="s">
        <v>409</v>
      </c>
      <c r="M25" s="39"/>
      <c r="N25" s="39"/>
      <c r="O25" s="40"/>
      <c r="P25" s="631" t="s">
        <v>1429</v>
      </c>
      <c r="Q25" s="39"/>
      <c r="R25" s="39"/>
      <c r="S25" s="40"/>
      <c r="T25" s="631" t="s">
        <v>576</v>
      </c>
      <c r="U25" s="39"/>
      <c r="V25" s="39"/>
      <c r="W25" s="40"/>
      <c r="X25" s="631" t="s">
        <v>577</v>
      </c>
      <c r="Y25" s="39"/>
      <c r="Z25" s="39"/>
      <c r="AA25" s="40"/>
      <c r="AB25" s="39" t="s">
        <v>880</v>
      </c>
      <c r="AC25" s="39"/>
      <c r="AD25" s="39"/>
      <c r="AE25" s="39"/>
      <c r="AF25" s="631" t="s">
        <v>1433</v>
      </c>
      <c r="AG25" s="39"/>
      <c r="AH25" s="39"/>
      <c r="AI25" s="40"/>
      <c r="AJ25" s="631" t="s">
        <v>881</v>
      </c>
      <c r="AK25" s="39"/>
      <c r="AL25" s="39"/>
      <c r="AM25" s="40"/>
      <c r="AN25" s="631" t="s">
        <v>884</v>
      </c>
      <c r="AO25" s="39"/>
      <c r="AP25" s="39"/>
      <c r="AQ25" s="40"/>
      <c r="AR25" s="39" t="s">
        <v>885</v>
      </c>
      <c r="AS25" s="39"/>
      <c r="AT25" s="39"/>
      <c r="AU25" s="39"/>
      <c r="AV25" s="631" t="s">
        <v>882</v>
      </c>
      <c r="AW25" s="39"/>
      <c r="AX25" s="39"/>
      <c r="AY25" s="40"/>
      <c r="AZ25" s="631" t="s">
        <v>886</v>
      </c>
      <c r="BA25" s="39"/>
      <c r="BB25" s="39"/>
      <c r="BC25" s="40"/>
      <c r="BD25" s="39" t="s">
        <v>887</v>
      </c>
      <c r="BE25" s="39"/>
      <c r="BF25" s="39"/>
      <c r="BG25" s="39"/>
      <c r="BH25" s="631" t="s">
        <v>883</v>
      </c>
      <c r="BI25" s="39"/>
      <c r="BJ25" s="39"/>
      <c r="BK25" s="40"/>
      <c r="BL25" s="631" t="s">
        <v>888</v>
      </c>
      <c r="BM25" s="39"/>
      <c r="BN25" s="39"/>
      <c r="BO25" s="40"/>
      <c r="BP25" s="39" t="s">
        <v>889</v>
      </c>
      <c r="BQ25" s="39"/>
      <c r="BR25" s="39"/>
      <c r="BS25" s="40"/>
    </row>
    <row r="26" spans="1:71" s="28" customFormat="1" ht="13.5" customHeight="1" thickTop="1" thickBot="1">
      <c r="A26" s="231"/>
      <c r="B26" s="1152" t="s">
        <v>1450</v>
      </c>
      <c r="C26" s="709"/>
      <c r="D26" s="1030" t="s">
        <v>569</v>
      </c>
      <c r="E26" s="702" t="s">
        <v>570</v>
      </c>
      <c r="F26" s="702" t="s">
        <v>571</v>
      </c>
      <c r="G26" s="703" t="s">
        <v>572</v>
      </c>
      <c r="H26" s="701" t="s">
        <v>569</v>
      </c>
      <c r="I26" s="702" t="s">
        <v>570</v>
      </c>
      <c r="J26" s="702" t="s">
        <v>571</v>
      </c>
      <c r="K26" s="703" t="s">
        <v>572</v>
      </c>
      <c r="L26" s="701" t="s">
        <v>569</v>
      </c>
      <c r="M26" s="702" t="s">
        <v>570</v>
      </c>
      <c r="N26" s="702" t="s">
        <v>571</v>
      </c>
      <c r="O26" s="703" t="s">
        <v>572</v>
      </c>
      <c r="P26" s="701" t="s">
        <v>569</v>
      </c>
      <c r="Q26" s="702" t="s">
        <v>570</v>
      </c>
      <c r="R26" s="702" t="s">
        <v>571</v>
      </c>
      <c r="S26" s="703" t="s">
        <v>572</v>
      </c>
      <c r="T26" s="701" t="s">
        <v>569</v>
      </c>
      <c r="U26" s="702" t="s">
        <v>570</v>
      </c>
      <c r="V26" s="702" t="s">
        <v>571</v>
      </c>
      <c r="W26" s="703" t="s">
        <v>572</v>
      </c>
      <c r="X26" s="701" t="s">
        <v>569</v>
      </c>
      <c r="Y26" s="702" t="s">
        <v>570</v>
      </c>
      <c r="Z26" s="702" t="s">
        <v>571</v>
      </c>
      <c r="AA26" s="703" t="s">
        <v>572</v>
      </c>
      <c r="AB26" s="701" t="s">
        <v>569</v>
      </c>
      <c r="AC26" s="702" t="s">
        <v>570</v>
      </c>
      <c r="AD26" s="702" t="s">
        <v>571</v>
      </c>
      <c r="AE26" s="703" t="s">
        <v>572</v>
      </c>
      <c r="AF26" s="701" t="s">
        <v>569</v>
      </c>
      <c r="AG26" s="702" t="s">
        <v>570</v>
      </c>
      <c r="AH26" s="702" t="s">
        <v>571</v>
      </c>
      <c r="AI26" s="703" t="s">
        <v>572</v>
      </c>
      <c r="AJ26" s="701" t="s">
        <v>569</v>
      </c>
      <c r="AK26" s="702" t="s">
        <v>570</v>
      </c>
      <c r="AL26" s="702" t="s">
        <v>571</v>
      </c>
      <c r="AM26" s="703" t="s">
        <v>572</v>
      </c>
      <c r="AN26" s="701" t="s">
        <v>569</v>
      </c>
      <c r="AO26" s="702" t="s">
        <v>570</v>
      </c>
      <c r="AP26" s="702" t="s">
        <v>571</v>
      </c>
      <c r="AQ26" s="703" t="s">
        <v>572</v>
      </c>
      <c r="AR26" s="701" t="s">
        <v>569</v>
      </c>
      <c r="AS26" s="702" t="s">
        <v>570</v>
      </c>
      <c r="AT26" s="702" t="s">
        <v>571</v>
      </c>
      <c r="AU26" s="703" t="s">
        <v>572</v>
      </c>
      <c r="AV26" s="701" t="s">
        <v>569</v>
      </c>
      <c r="AW26" s="702" t="s">
        <v>570</v>
      </c>
      <c r="AX26" s="702" t="s">
        <v>571</v>
      </c>
      <c r="AY26" s="703" t="s">
        <v>572</v>
      </c>
      <c r="AZ26" s="701" t="s">
        <v>569</v>
      </c>
      <c r="BA26" s="702" t="s">
        <v>570</v>
      </c>
      <c r="BB26" s="702" t="s">
        <v>571</v>
      </c>
      <c r="BC26" s="703" t="s">
        <v>572</v>
      </c>
      <c r="BD26" s="701" t="s">
        <v>569</v>
      </c>
      <c r="BE26" s="702" t="s">
        <v>570</v>
      </c>
      <c r="BF26" s="702" t="s">
        <v>571</v>
      </c>
      <c r="BG26" s="703" t="s">
        <v>572</v>
      </c>
      <c r="BH26" s="701" t="s">
        <v>569</v>
      </c>
      <c r="BI26" s="702" t="s">
        <v>570</v>
      </c>
      <c r="BJ26" s="702" t="s">
        <v>571</v>
      </c>
      <c r="BK26" s="704" t="s">
        <v>572</v>
      </c>
      <c r="BL26" s="1030" t="s">
        <v>569</v>
      </c>
      <c r="BM26" s="702" t="s">
        <v>570</v>
      </c>
      <c r="BN26" s="702" t="s">
        <v>571</v>
      </c>
      <c r="BO26" s="703" t="s">
        <v>572</v>
      </c>
      <c r="BP26" s="701" t="s">
        <v>569</v>
      </c>
      <c r="BQ26" s="702" t="s">
        <v>570</v>
      </c>
      <c r="BR26" s="702" t="s">
        <v>571</v>
      </c>
      <c r="BS26" s="703" t="s">
        <v>572</v>
      </c>
    </row>
    <row r="27" spans="1:71" ht="13.5" customHeight="1" thickTop="1">
      <c r="A27" s="793"/>
      <c r="B27" s="2295">
        <f>B15</f>
        <v>2010</v>
      </c>
      <c r="C27" s="380"/>
      <c r="D27" s="1584">
        <f>IF('A1.3.8'!D$27="","",IF(OR(VLOOKUP($B27,'A1.3.11'!$B$26:$AM$105,D$22,)="",VLOOKUP($B27,'A1.3.7'!$B$28:$H$118,3,)=""),"",VLOOKUP($B27,'A1.3.11'!$B$26:$AM$105,D$22,)*(VLOOKUP($B27,'A1.3.7'!$B$28:$O$118,3,)+VLOOKUP($B27,'A1.3.7'!$B$28:$O$118,8,))))</f>
        <v>47.485786896434405</v>
      </c>
      <c r="E27" s="1583">
        <f>IF('A1.3.8'!E$27="","",IF(OR(VLOOKUP($B27,'A1.3.11'!$B$26:$AM$105,E$22,)="",VLOOKUP($B27,'A1.3.7'!$B$28:$H$118,3,)=""),"",VLOOKUP($B27,'A1.3.11'!$B$26:$AM$105,E$22,)*(VLOOKUP($B27,'A1.3.7'!$B$28:$O$118,3,)+VLOOKUP($B27,'A1.3.7'!$B$28:$O$118,8,))))</f>
        <v>10.091499978082796</v>
      </c>
      <c r="F27" s="1583">
        <f>IF('A1.3.8'!F$27="","",IF(OR(VLOOKUP($B27,'A1.3.11'!$B$26:$AM$105,F$22,)="",VLOOKUP($B27,'A1.3.7'!$B$28:$H$118,3,)=""),"",VLOOKUP($B27,'A1.3.11'!$B$26:$AM$105,F$22,)*(VLOOKUP($B27,'A1.3.7'!$B$28:$O$118,3,)+VLOOKUP($B27,'A1.3.7'!$B$28:$O$118,8,))))</f>
        <v>-0.11495415211580604</v>
      </c>
      <c r="G27" s="2643">
        <f>IF('A1.3.8'!G$27="","",IF(OR(VLOOKUP($B27,'A1.3.11'!$B$26:$AM$105,G$22,)="",VLOOKUP($B27,'A1.3.7'!$B$28:$H$118,3,)=""),"",VLOOKUP($B27,'A1.3.11'!$B$26:$AM$105,G$22,)*(VLOOKUP($B27,'A1.3.7'!$B$28:$O$118,3,)+VLOOKUP($B27,'A1.3.7'!$B$28:$O$118,8,))))</f>
        <v>7.6133210009601284E-4</v>
      </c>
      <c r="H27" s="1584">
        <f>IF('A1.3.8'!D$28="","",IF(OR(VLOOKUP($B27,'A1.3.11'!$B$26:$AM$105,H$22,)="",VLOOKUP($B27,'A1.3.7'!$B$28:$H$118,4,)=""),"",VLOOKUP($B27,'A1.3.11'!$B$26:$AM$105,H$22,)*(VLOOKUP($B27,'A1.3.7'!$B$28:$O$118,4,)+VLOOKUP($B27,'A1.3.7'!$B$28:$O$118,9,))))</f>
        <v>51.860461056032115</v>
      </c>
      <c r="I27" s="1583">
        <f>IF('A1.3.8'!E$28="","",IF(OR(VLOOKUP($B27,'A1.3.11'!$B$26:$AM$105,I$22,)="",VLOOKUP($B27,'A1.3.7'!$B$28:$H$118,4,)=""),"",VLOOKUP($B27,'A1.3.11'!$B$26:$AM$105,I$22,)*(VLOOKUP($B27,'A1.3.7'!$B$28:$O$118,4,)+VLOOKUP($B27,'A1.3.7'!$B$28:$O$118,9,))))</f>
        <v>7.4355076076912026</v>
      </c>
      <c r="J27" s="1583">
        <f>IF('A1.3.8'!F$28="","",IF(OR(VLOOKUP($B27,'A1.3.11'!$B$26:$AM$105,J$22,)="",VLOOKUP($B27,'A1.3.7'!$B$28:$H$118,4,)=""),"",VLOOKUP($B27,'A1.3.11'!$B$26:$AM$105,J$22,)*(VLOOKUP($B27,'A1.3.7'!$B$28:$O$118,4,)+VLOOKUP($B27,'A1.3.7'!$B$28:$O$118,9,))))</f>
        <v>-7.1531654574707559E-2</v>
      </c>
      <c r="K27" s="2643">
        <f>IF('A1.3.8'!G$28="","",IF(OR(VLOOKUP($B27,'A1.3.11'!$B$26:$AM$105,K$22,)="",VLOOKUP($B27,'A1.3.7'!$B$28:$H$118,4,)=""),"",VLOOKUP($B27,'A1.3.11'!$B$26:$AM$105,K$22,)*(VLOOKUP($B27,'A1.3.7'!$B$28:$O$118,4,)+VLOOKUP($B27,'A1.3.7'!$B$28:$O$118,9,))))</f>
        <v>5.6367302684535753E-4</v>
      </c>
      <c r="L27" s="1584" t="str">
        <f>IF('A1.3.8'!D$36="","",IF(OR(VLOOKUP($B27,'A1.3.11'!$B$26:$AM$105,L$22,)="",VLOOKUP($B27,'A1.3.7'!$B$28:$H$118,6,)=""),"",VLOOKUP($B27,'A1.3.11'!$B$26:$AM$105,L$22,)*VLOOKUP($B27,'A1.3.7'!$B$28:$O$118,6,)))</f>
        <v/>
      </c>
      <c r="M27" s="1583">
        <f>IF('A1.3.8'!E$36="","",IF(OR(VLOOKUP($B27,'A1.3.11'!$B$26:$AM$105,M$22,)="",VLOOKUP($B27,'A1.3.7'!$B$28:$H$118,6,)=""),"",VLOOKUP($B27,'A1.3.11'!$B$26:$AM$105,M$22,)*VLOOKUP($B27,'A1.3.7'!$B$28:$O$118,6,)))</f>
        <v>1.7787666637306483</v>
      </c>
      <c r="N27" s="1583"/>
      <c r="O27" s="1663" t="str">
        <f>IF('A1.3.8'!G$36="","",IF(OR(VLOOKUP($B27,'A1.3.11'!$B$26:$AM$105,O$22,)="",VLOOKUP($B27,'A1.3.7'!$B$28:$H$118,6,)=""),"",VLOOKUP($B27,'A1.3.11'!$B$26:$AM$105,O$22,)*VLOOKUP($B27,'A1.3.7'!$B$28:$O$118,6,)))</f>
        <v/>
      </c>
      <c r="P27" s="1584">
        <f>IF(AND(D27="",H27="",L27=""),"",IF(D27="",0,(D27*VLOOKUP($B27,'A1.3.9'!$B$26:$O$57,3,TRUE)))+IF(H27="",0,(H27*VLOOKUP($B27,'A1.3.9'!$B$26:$O$57,4,TRUE)))+IF(L27="",0,(L27*VLOOKUP($B27,'A1.3.9'!$B$26:$O$57,5,TRUE))))</f>
        <v>49.235793453437267</v>
      </c>
      <c r="Q27" s="1583">
        <f>IF(AND(E27="",I27="",M27=""),"",IF(E27="",0,(E27*VLOOKUP($B27,'A1.3.9'!$B$26:$O$57,3,TRUE)))+IF(I27="",0,(I27*VLOOKUP($B27,'A1.3.9'!$B$26:$O$57,4,TRUE)))+IF(M27="",0,(M27*VLOOKUP($B27,'A1.3.9'!$B$26:$O$57,5,TRUE))))</f>
        <v>9.0290199180907909</v>
      </c>
      <c r="R27" s="1583">
        <f>IF(AND(F27="",J27="",N27=""),"",IF(F27="",0,(F27*VLOOKUP($B27,'A1.3.9'!$B$26:$O$57,3,TRUE)))+IF(J27="",0,(J27*VLOOKUP($B27,'A1.3.9'!$B$26:$O$57,4,TRUE)))+IF(N27="",0,(N27*VLOOKUP($B27,'A1.3.9'!$B$26:$O$57,5,TRUE))))</f>
        <v>-9.7583794314037603E-2</v>
      </c>
      <c r="S27" s="2643">
        <f>IF(AND(G27="",K27="",O27=""),"",IF(G27="",0,(G27*VLOOKUP($B27,'A1.3.9'!$B$26:$O$57,3,TRUE)))+IF(K27="",0,(K27*VLOOKUP($B27,'A1.3.9'!$B$26:$O$57,4,TRUE)))+IF(O27="",0,(O27*VLOOKUP($B27,'A1.3.9'!$B$26:$O$57,5,TRUE))))</f>
        <v>6.8226228560917476E-4</v>
      </c>
      <c r="T27" s="1584">
        <f>IF('A1.3.8'!D$29="","",IF(OR(VLOOKUP($B27,'A1.3.11'!$B$26:$AM$105,T$22,)="",VLOOKUP($B27,'A1.3.7'!$B$28:$H$118,3,)=""),"",VLOOKUP($B27,'A1.3.11'!$B$26:$AM$105,T$22,)*(VLOOKUP($B27,'A1.3.7'!$B$28:$O$118,3,)+VLOOKUP($B27,'A1.3.7'!$B$28:$O$118,8,))))</f>
        <v>34.008917158662427</v>
      </c>
      <c r="U27" s="1583">
        <f>IF('A1.3.8'!E$29="","",IF(OR(VLOOKUP($B27,'A1.3.11'!$B$26:$AM$105,U$22,)="",VLOOKUP($B27,'A1.3.7'!$B$28:$H$118,3,)=""),"",VLOOKUP($B27,'A1.3.11'!$B$26:$AM$105,U$22,)*(VLOOKUP($B27,'A1.3.7'!$B$28:$O$118,3,)+VLOOKUP($B27,'A1.3.7'!$B$28:$O$118,8,))))</f>
        <v>19.070232088334588</v>
      </c>
      <c r="V27" s="1583">
        <f>IF('A1.3.8'!F$29="","",IF(OR(VLOOKUP($B27,'A1.3.11'!$B$26:$AM$105,V$22,)="",VLOOKUP($B27,'A1.3.7'!$B$28:$H$118,3,)=""),"",VLOOKUP($B27,'A1.3.11'!$B$26:$AM$105,V$22,)*(VLOOKUP($B27,'A1.3.7'!$B$28:$O$118,3,)+VLOOKUP($B27,'A1.3.7'!$B$28:$O$118,8,))))</f>
        <v>-0.29934004776071077</v>
      </c>
      <c r="W27" s="2643">
        <f>IF('A1.3.8'!G$29="","",IF(OR(VLOOKUP($B27,'A1.3.11'!$B$26:$AM$105,W$22,)="",VLOOKUP($B27,'A1.3.7'!$B$28:$H$118,3,)=""),"",VLOOKUP($B27,'A1.3.11'!$B$26:$AM$105,W$22,)*(VLOOKUP($B27,'A1.3.7'!$B$28:$O$118,3,)+VLOOKUP($B27,'A1.3.7'!$B$28:$O$118,8,))))</f>
        <v>1.9331492154770428E-3</v>
      </c>
      <c r="X27" s="1584">
        <f>IF('A1.3.8'!D$30="","",IF(OR(VLOOKUP($B27,'A1.3.11'!$B$26:$AM$105,X$22,)="",VLOOKUP($B27,'A1.3.7'!$B$28:$H$118,4,)=""),"",VLOOKUP($B27,'A1.3.11'!$B$26:$AM$105,X$22,)*(VLOOKUP($B27,'A1.3.7'!$B$28:$O$118,4,)+VLOOKUP($B27,'A1.3.7'!$B$28:$O$118,9,))))</f>
        <v>47.622936300345678</v>
      </c>
      <c r="Y27" s="1583">
        <f>IF('A1.3.8'!E$30="","",IF(OR(VLOOKUP($B27,'A1.3.11'!$B$26:$AM$105,Y$22,)="",VLOOKUP($B27,'A1.3.7'!$B$28:$H$118,4,)=""),"",VLOOKUP($B27,'A1.3.11'!$B$26:$AM$105,Y$22,)*(VLOOKUP($B27,'A1.3.7'!$B$28:$O$118,4,)+VLOOKUP($B27,'A1.3.7'!$B$28:$O$118,9,))))</f>
        <v>11.639239711067724</v>
      </c>
      <c r="Z27" s="1583">
        <f>IF('A1.3.8'!F$30="","",IF(OR(VLOOKUP($B27,'A1.3.11'!$B$26:$AM$105,Z$22,)="",VLOOKUP($B27,'A1.3.7'!$B$28:$H$118,4,)=""),"",VLOOKUP($B27,'A1.3.11'!$B$26:$AM$105,Z$22,)*(VLOOKUP($B27,'A1.3.7'!$B$28:$O$118,4,)+VLOOKUP($B27,'A1.3.7'!$B$28:$O$118,9,))))</f>
        <v>-0.16791718648676909</v>
      </c>
      <c r="AA27" s="2643">
        <f>IF('A1.3.8'!G$30="","",IF(OR(VLOOKUP($B27,'A1.3.11'!$B$26:$AM$105,AA$22,)="",VLOOKUP($B27,'A1.3.7'!$B$28:$H$118,4,)=""),"",VLOOKUP($B27,'A1.3.11'!$B$26:$AM$105,AA$22,)*(VLOOKUP($B27,'A1.3.7'!$B$28:$O$118,4,)+VLOOKUP($B27,'A1.3.7'!$B$28:$O$118,9,))))</f>
        <v>1.4215927555900091E-3</v>
      </c>
      <c r="AB27" s="1584" t="str">
        <f>IF('A1.3.8'!D$37="","",IF(OR(VLOOKUP($B27,'A1.3.11'!$B$26:$AM$105,AB$22,)="",VLOOKUP($B27,'A1.3.7'!$B$28:$H$118,6,)=""),"",VLOOKUP($B27,'A1.3.11'!$B$26:$AM$105,AB$22,)*VLOOKUP($B27,'A1.3.7'!$B$28:$O$118,6,)))</f>
        <v/>
      </c>
      <c r="AC27" s="1583">
        <f>IF('A1.3.8'!E$37="","",IF(OR(VLOOKUP($B27,'A1.3.11'!$B$26:$AM$105,AC$22,)="",VLOOKUP($B27,'A1.3.7'!$B$28:$H$118,6,)=""),"",VLOOKUP($B27,'A1.3.11'!$B$26:$AM$105,AC$22,)*VLOOKUP($B27,'A1.3.7'!$B$28:$O$118,6,)))</f>
        <v>3.9929978585982209</v>
      </c>
      <c r="AD27" s="1583"/>
      <c r="AE27" s="1663" t="str">
        <f>IF('A1.3.8'!G$37="","",IF(OR(VLOOKUP($B27,'A1.3.11'!$B$26:$AM$105,AE$22,)="",VLOOKUP($B27,'A1.3.7'!$B$28:$H$118,6,)=""),"",VLOOKUP($B27,'A1.3.11'!$B$26:$AM$105,AE$22,)*VLOOKUP($B27,'A1.3.7'!$B$28:$O$118,6,)))</f>
        <v/>
      </c>
      <c r="AF27" s="1584">
        <f>IF(AND(T27="",X27="",AB27=""),"",IF(T27="",0,(T27*VLOOKUP('A1.3.12'!$B27,'A1.3.9'!$B$26:$O$57,6,TRUE))) + IF(X27="",0,(X27*VLOOKUP('A1.3.12'!$B27,'A1.3.9'!$B$26:$O$57,7,TRUE))) + IF(AB27="",0,(AB27*VLOOKUP('A1.3.12'!$B27,'A1.3.9'!$B$26:$O$57,8,TRUE))))</f>
        <v>47.122127252173151</v>
      </c>
      <c r="AG27" s="1583">
        <f>IF(AND(U27="",Y27="",AC27=""),"",IF(U27="",0,(U27*VLOOKUP('A1.3.12'!$B27,'A1.3.9'!$B$26:$O$57,6,TRUE))) + IF(Y27="",0,(Y27*VLOOKUP('A1.3.12'!$B27,'A1.3.9'!$B$26:$O$57,7,TRUE))) + IF(AC27="",0,(AC27*VLOOKUP('A1.3.12'!$B27,'A1.3.9'!$B$26:$O$57,8,TRUE))))</f>
        <v>11.912598238090933</v>
      </c>
      <c r="AH27" s="1583">
        <f>IF(AND(V27="",Z27="",AD27=""),"",IF(V27="",0,(V27*VLOOKUP('A1.3.12'!$B27,'A1.3.9'!$B$26:$O$57,6,TRUE))) + IF(Z27="",0,(Z27*VLOOKUP('A1.3.12'!$B27,'A1.3.9'!$B$26:$O$57,7,TRUE))) + IF(AD27="",0,(AD27*VLOOKUP('A1.3.12'!$B27,'A1.3.9'!$B$26:$O$57,8,TRUE))))</f>
        <v>-0.17275174396591883</v>
      </c>
      <c r="AI27" s="2643">
        <f>IF(AND(W27="",AA27="",AE27=""),"",IF(W27="",0,(W27*VLOOKUP('A1.3.12'!$B27,'A1.3.9'!$B$26:$O$57,6,TRUE))) + IF(AA27="",0,(AA27*VLOOKUP('A1.3.12'!$B27,'A1.3.9'!$B$26:$O$57,7,TRUE))) + IF(AE27="",0,(AE27*VLOOKUP('A1.3.12'!$B27,'A1.3.9'!$B$26:$O$57,8,TRUE))))</f>
        <v>1.4404110120575736E-3</v>
      </c>
      <c r="AJ27" s="1584">
        <f>IF('A1.3.8'!D$31="","",IF(OR(VLOOKUP($B27,'A1.3.11'!$B$26:$AM$105,AJ$22,)="",VLOOKUP($B27,'A1.3.7'!$B$28:$H$118,4,)=""),"",VLOOKUP($B27,'A1.3.11'!$B$26:$AM$105,AJ$22,)*(VLOOKUP($B27,'A1.3.7'!$B$28:$O$118,4,)+VLOOKUP($B27,'A1.3.7'!$B$28:$O$118,9,))))</f>
        <v>273.66402788571065</v>
      </c>
      <c r="AK27" s="1583">
        <f>IF('A1.3.8'!E$31="","",IF(OR(VLOOKUP($B27,'A1.3.11'!$B$26:$AM$105,AK$22,)="",VLOOKUP($B27,'A1.3.7'!$B$28:$H$118,4,)=""),"",VLOOKUP($B27,'A1.3.11'!$B$26:$AM$105,AK$22,)*(VLOOKUP($B27,'A1.3.7'!$B$28:$O$118,4,)+VLOOKUP($B27,'A1.3.7'!$B$28:$O$118,9,))))</f>
        <v>14.519848505473018</v>
      </c>
      <c r="AL27" s="1583">
        <f>IF('A1.3.8'!F$31="","",IF(OR(VLOOKUP($B27,'A1.3.11'!$B$26:$AM$105,AL$22,)="",VLOOKUP($B27,'A1.3.7'!$B$28:$H$118,4,)=""),"",VLOOKUP($B27,'A1.3.11'!$B$26:$AM$105,AL$22,)*(VLOOKUP($B27,'A1.3.7'!$B$28:$O$118,4,)+VLOOKUP($B27,'A1.3.7'!$B$28:$O$118,9,))))</f>
        <v>-0.10494955718778279</v>
      </c>
      <c r="AM27" s="2643">
        <f>IF('A1.3.8'!G$31="","",IF(OR(VLOOKUP($B27,'A1.3.11'!$B$26:$AM$105,AM$22,)="",VLOOKUP($B27,'A1.3.7'!$B$28:$H$118,4,)=""),"",VLOOKUP($B27,'A1.3.11'!$B$26:$AM$105,AM$22,)*(VLOOKUP($B27,'A1.3.7'!$B$28:$O$118,4,)+VLOOKUP($B27,'A1.3.7'!$B$28:$O$118,9,))))</f>
        <v>1.1462175564256631E-3</v>
      </c>
      <c r="AN27" s="1584" t="str">
        <f>IF('A1.3.8'!D$38="","",IF(OR(VLOOKUP($B27,'A1.3.11'!$B$26:$AM$105,AN$22,)="",VLOOKUP($B27,'A1.3.7'!$B$28:$H$118,6,)=""),"",VLOOKUP($B27,'A1.3.11'!$B$26:$AM$105,AN$22,)*VLOOKUP($B27,'A1.3.7'!$B$28:$O$118,6,)))</f>
        <v/>
      </c>
      <c r="AO27" s="1583" t="str">
        <f>IF('A1.3.8'!E$38="","",IF(OR(VLOOKUP($B27,'A1.3.11'!$B$26:$AM$105,AO$22,)="",VLOOKUP($B27,'A1.3.7'!$B$28:$H$118,6,)=""),"",VLOOKUP($B27,'A1.3.11'!$B$26:$AM$105,AO$22,)*VLOOKUP($B27,'A1.3.7'!$B$28:$O$118,6,)))</f>
        <v/>
      </c>
      <c r="AP27" s="1583" t="str">
        <f>IF('A1.3.8'!F$38="","",IF(OR(VLOOKUP($B27,'A1.3.11'!$B$26:$AM$105,AP$22,)="",VLOOKUP($B27,'A1.3.7'!$B$28:$H$118,6,)=""),"",VLOOKUP($B27,'A1.3.11'!$B$26:$AM$105,AP$22,)*VLOOKUP($B27,'A1.3.7'!$B$28:$O$118,6,)))</f>
        <v/>
      </c>
      <c r="AQ27" s="1663" t="str">
        <f>IF('A1.3.8'!G$38="","",IF(OR(VLOOKUP($B27,'A1.3.11'!$B$26:$AM$105,AQ$22,)="",VLOOKUP($B27,'A1.3.7'!$B$28:$H$118,6,)=""),"",VLOOKUP($B27,'A1.3.11'!$B$26:$AM$105,AQ$22,)*VLOOKUP($B27,'A1.3.7'!$B$28:$O$118,6,)))</f>
        <v/>
      </c>
      <c r="AR27" s="1584">
        <f>IF(AND(AJ27="",AN27=""),"",IF(AJ27="",0,(AJ27*VLOOKUP($B27,'A1.3.9'!$B$26:$O$57,9,TRUE))) + IF(AN27="",0,(AN27*VLOOKUP($B27,'A1.3.9'!$B$26:$O$57,10,TRUE))))</f>
        <v>273.66402788571065</v>
      </c>
      <c r="AS27" s="1583">
        <f>IF(AND(AK27="",AO27=""),"",IF(AK27="",0,(AK27*VLOOKUP($B27,'A1.3.9'!$B$26:$O$57,9,TRUE))) + IF(AO27="",0,(AO27*VLOOKUP($B27,'A1.3.9'!$B$26:$O$57,10,TRUE))))</f>
        <v>14.519848505473018</v>
      </c>
      <c r="AT27" s="1583">
        <f>IF(AND(AL27="",AP27=""),"",IF(AL27="",0,(AL27*VLOOKUP($B27,'A1.3.9'!$B$26:$O$57,9,TRUE))) + IF(AP27="",0,(AP27*VLOOKUP($B27,'A1.3.9'!$B$26:$O$57,10,TRUE))))</f>
        <v>-0.10494955718778279</v>
      </c>
      <c r="AU27" s="2643">
        <f>IF(AND(AM27="",AQ27=""),"",IF(AM27="",0,(AM27*VLOOKUP($B27,'A1.3.9'!$B$26:$O$57,9,TRUE))) + IF(AQ27="",0,(AQ27*VLOOKUP($B27,'A1.3.9'!$B$26:$O$57,10,TRUE))))</f>
        <v>1.1462175564256631E-3</v>
      </c>
      <c r="AV27" s="1584">
        <f>IF('A1.3.8'!D$32="","",IF(OR(VLOOKUP($B27,'A1.3.11'!$B$26:$AM$105,AV$22,)="",VLOOKUP($B27,'A1.3.7'!$B$28:$H$118,4,)=""),"",VLOOKUP($B27,'A1.3.11'!$B$26:$AM$105,AV$22,)*(VLOOKUP($B27,'A1.3.7'!$B$28:$O$118,4,)+VLOOKUP($B27,'A1.3.7'!$B$28:$O$118,9,))))</f>
        <v>575.03943306786721</v>
      </c>
      <c r="AW27" s="1583">
        <f>IF('A1.3.8'!E$32="","",IF(OR(VLOOKUP($B27,'A1.3.11'!$B$26:$AM$105,AW$22,)="",VLOOKUP($B27,'A1.3.7'!$B$28:$H$118,4,)=""),"",VLOOKUP($B27,'A1.3.11'!$B$26:$AM$105,AW$22,)*(VLOOKUP($B27,'A1.3.7'!$B$28:$O$118,4,)+VLOOKUP($B27,'A1.3.7'!$B$28:$O$118,9,))))</f>
        <v>29.862816672530609</v>
      </c>
      <c r="AX27" s="1583">
        <f>IF('A1.3.8'!F$32="","",IF(OR(VLOOKUP($B27,'A1.3.11'!$B$26:$AM$105,AX$22,)="",VLOOKUP($B27,'A1.3.7'!$B$28:$H$118,4,)=""),"",VLOOKUP($B27,'A1.3.11'!$B$26:$AM$105,AX$22,)*(VLOOKUP($B27,'A1.3.7'!$B$28:$O$118,4,)+VLOOKUP($B27,'A1.3.7'!$B$28:$O$118,9,))))</f>
        <v>-0.19785687018724965</v>
      </c>
      <c r="AY27" s="2643">
        <f>IF('A1.3.8'!G$32="","",IF(OR(VLOOKUP($B27,'A1.3.11'!$B$26:$AM$105,AY$22,)="",VLOOKUP($B27,'A1.3.7'!$B$28:$H$118,4,)=""),"",VLOOKUP($B27,'A1.3.11'!$B$26:$AM$105,AY$22,)*(VLOOKUP($B27,'A1.3.7'!$B$28:$O$118,4,)+VLOOKUP($B27,'A1.3.7'!$B$28:$O$118,9,))))</f>
        <v>1.1793092215859387E-3</v>
      </c>
      <c r="AZ27" s="1584" t="str">
        <f>IF('A1.3.8'!D$39="","",IF(OR(VLOOKUP($B27,'A1.3.11'!$B$26:$AM$105,AZ$22,)="",VLOOKUP($B27,'A1.3.7'!$B$28:$H$118,6,)=""),"",VLOOKUP($B27,'A1.3.11'!$B$26:$AM$105,AZ$22,)*VLOOKUP($B27,'A1.3.7'!$B$28:$O$118,6,)))</f>
        <v/>
      </c>
      <c r="BA27" s="1583" t="str">
        <f>IF('A1.3.8'!E$39="","",IF(OR(VLOOKUP($B27,'A1.3.11'!$B$26:$AM$105,BA$22,)="",VLOOKUP($B27,'A1.3.7'!$B$28:$H$118,6,)=""),"",VLOOKUP($B27,'A1.3.11'!$B$26:$AM$105,BA$22,)*VLOOKUP($B27,'A1.3.7'!$B$28:$O$118,6,)))</f>
        <v/>
      </c>
      <c r="BB27" s="1583" t="str">
        <f>IF('A1.3.8'!F$39="","",IF(OR(VLOOKUP($B27,'A1.3.11'!$B$26:$AM$105,BB$22,)="",VLOOKUP($B27,'A1.3.7'!$B$28:$H$118,6,)=""),"",VLOOKUP($B27,'A1.3.11'!$B$26:$AM$105,BB$22,)*VLOOKUP($B27,'A1.3.7'!$B$28:$O$118,6,)))</f>
        <v/>
      </c>
      <c r="BC27" s="1663" t="str">
        <f>IF('A1.3.8'!G$39="","",IF(OR(VLOOKUP($B27,'A1.3.11'!$B$26:$AM$105,BC$22,)="",VLOOKUP($B27,'A1.3.7'!$B$28:$H$118,6,)=""),"",VLOOKUP($B27,'A1.3.11'!$B$26:$AM$105,BC$22,)*VLOOKUP($B27,'A1.3.7'!$B$28:$O$118,6,)))</f>
        <v/>
      </c>
      <c r="BD27" s="1584">
        <f>IF(AND(AV27="",AZ27=""),"",IF(AV27="",0,(AV27*VLOOKUP($B27,'A1.3.9'!$B$26:$O$57,9,TRUE))) + IF(AZ27="",0,(AZ27*VLOOKUP($B27,'A1.3.9'!$B$26:$O$57,10,TRUE))))</f>
        <v>575.03943306786721</v>
      </c>
      <c r="BE27" s="1583">
        <f>IF(AND(AW27="",BA27=""),"",IF(AW27="",0,(AW27*VLOOKUP($B27,'A1.3.9'!$B$26:$O$57,9,TRUE))) + IF(BA27="",0,(BA27*VLOOKUP($B27,'A1.3.9'!$B$26:$O$57,10,TRUE))))</f>
        <v>29.862816672530609</v>
      </c>
      <c r="BF27" s="1583">
        <f>IF(AND(AX27="",BB27=""),"",IF(AX27="",0,(AX27*VLOOKUP($B27,'A1.3.9'!$B$26:$O$57,9,TRUE))) + IF(BB27="",0,(BB27*VLOOKUP($B27,'A1.3.9'!$B$26:$O$57,10,TRUE))))</f>
        <v>-0.19785687018724965</v>
      </c>
      <c r="BG27" s="2643">
        <f>IF(AND(AY27="",BC27=""),"",IF(AY27="",0,(AY27*VLOOKUP($B27,'A1.3.9'!$B$26:$O$57,9,TRUE))) + IF(BC27="",0,(BC27*VLOOKUP($B27,'A1.3.9'!$B$26:$O$57,10,TRUE))))</f>
        <v>1.1793092215859387E-3</v>
      </c>
      <c r="BH27" s="1584">
        <f>IF('A1.3.8'!D$33="","",IF(OR(VLOOKUP($B27,'A1.3.11'!$B$26:$AM$105,BH$22,)="",VLOOKUP($B27,'A1.3.7'!$B$28:$H$118,4,)=""),"",VLOOKUP($B27,'A1.3.11'!$B$26:$AM$105,BH$22,)*(VLOOKUP($B27,'A1.3.7'!$B$28:$O$118,4,)+VLOOKUP($B27,'A1.3.7'!$B$28:$O$118,9,))))</f>
        <v>341.0479077527275</v>
      </c>
      <c r="BI27" s="1583">
        <f>IF('A1.3.8'!E$33="","",IF(OR(VLOOKUP($B27,'A1.3.11'!$B$26:$AM$105,BI$22,)="",VLOOKUP($B27,'A1.3.7'!$B$28:$H$118,4,)=""),"",VLOOKUP($B27,'A1.3.11'!$B$26:$AM$105,BI$22,)*(VLOOKUP($B27,'A1.3.7'!$B$28:$O$118,4,)+VLOOKUP($B27,'A1.3.7'!$B$28:$O$118,9,))))</f>
        <v>29.966839715299329</v>
      </c>
      <c r="BJ27" s="1583">
        <f>IF('A1.3.8'!F$33="","",IF(OR(VLOOKUP($B27,'A1.3.11'!$B$26:$AM$105,BJ$22,)="",VLOOKUP($B27,'A1.3.7'!$B$28:$H$118,4,)=""),"",VLOOKUP($B27,'A1.3.11'!$B$26:$AM$105,BJ$22,)*(VLOOKUP($B27,'A1.3.7'!$B$28:$O$118,4,)+VLOOKUP($B27,'A1.3.7'!$B$28:$O$118,9,))))</f>
        <v>-0.32571283848098076</v>
      </c>
      <c r="BK27" s="2643">
        <f>IF('A1.3.8'!G$33="","",IF(OR(VLOOKUP($B27,'A1.3.11'!$B$26:$AM$105,BK$22,)="",VLOOKUP($B27,'A1.3.7'!$B$28:$H$118,4,)=""),"",VLOOKUP($B27,'A1.3.11'!$B$26:$AM$105,BK$22,)*(VLOOKUP($B27,'A1.3.7'!$B$28:$O$118,4,)+VLOOKUP($B27,'A1.3.7'!$B$28:$O$118,9,))))</f>
        <v>2.3892368054922236E-3</v>
      </c>
      <c r="BL27" s="1584" t="str">
        <f>IF('A1.3.8'!D$40="","",IF(OR(VLOOKUP($B27,'A1.3.11'!$B$26:$AM$105,BL$22,)="",VLOOKUP($B27,'A1.3.7'!$B$28:$H$118,6,)=""),"",VLOOKUP($B27,'A1.3.11'!$B$26:$AM$105,BL$22,)*VLOOKUP($B27,'A1.3.7'!$B$28:$O$118,6,)))</f>
        <v/>
      </c>
      <c r="BM27" s="1583" t="str">
        <f>IF('A1.3.8'!E$40="","",IF(OR(VLOOKUP($B27,'A1.3.11'!$B$26:$AM$105,BM$22,)="",VLOOKUP($B27,'A1.3.7'!$B$28:$H$118,6,)=""),"",VLOOKUP($B27,'A1.3.11'!$B$26:$AM$105,BM$22,)*VLOOKUP($B27,'A1.3.7'!$B$28:$O$118,6,)))</f>
        <v/>
      </c>
      <c r="BN27" s="1583" t="str">
        <f>IF('A1.3.8'!F$40="","",IF(OR(VLOOKUP($B27,'A1.3.11'!$B$26:$AM$105,BN$22,)="",VLOOKUP($B27,'A1.3.7'!$B$28:$H$118,6,)=""),"",VLOOKUP($B27,'A1.3.11'!$B$26:$AM$105,BN$22,)*VLOOKUP($B27,'A1.3.7'!$B$28:$O$118,6,)))</f>
        <v/>
      </c>
      <c r="BO27" s="1663" t="str">
        <f>IF('A1.3.8'!G$40="","",IF(OR(VLOOKUP($B27,'A1.3.11'!$B$26:$AM$105,BO$22,)="",VLOOKUP($B27,'A1.3.7'!$B$28:$H$118,6,)=""),"",VLOOKUP($B27,'A1.3.11'!$B$26:$AM$105,BO$22,)*VLOOKUP($B27,'A1.3.7'!$B$28:$O$118,6,)))</f>
        <v/>
      </c>
      <c r="BP27" s="1584">
        <f>IF(AND(BH27="",BL27=""),"",IF(BH27="",0,(BH27*VLOOKUP($B27,'A1.3.9'!$B$26:$O$57,9,TRUE))) + IF(BL27="",0,(BL27*VLOOKUP($B27,'A1.3.9'!$B$26:$O$57,10,TRUE))))</f>
        <v>341.0479077527275</v>
      </c>
      <c r="BQ27" s="1583">
        <f>IF(AND(BI27="",BM27=""),"",IF(BI27="",0,(BI27*VLOOKUP($B27,'A1.3.9'!$B$26:$O$57,9,TRUE))) + IF(BM27="",0,(BM27*VLOOKUP($B27,'A1.3.9'!$B$26:$O$57,10,TRUE))))</f>
        <v>29.966839715299329</v>
      </c>
      <c r="BR27" s="1583">
        <f>IF(AND(BJ27="",BN27=""),"",IF(BJ27="",0,(BJ27*VLOOKUP($B27,'A1.3.9'!$B$26:$O$57,9,TRUE))) + IF(BN27="",0,(BN27*VLOOKUP($B27,'A1.3.9'!$B$26:$O$57,10,TRUE))))</f>
        <v>-0.32571283848098076</v>
      </c>
      <c r="BS27" s="2643">
        <f>IF(AND(BK27="",BO27=""),"",IF(BK27="",0,(BK27*VLOOKUP($B27,'A1.3.9'!$B$26:$O$57,9,TRUE))) + IF(BO27="",0,(BO27*VLOOKUP($B27,'A1.3.9'!$B$26:$O$57,10,TRUE))))</f>
        <v>2.3892368054922236E-3</v>
      </c>
    </row>
    <row r="28" spans="1:71" ht="13.5" customHeight="1">
      <c r="A28" s="113"/>
      <c r="B28" s="2296">
        <f>B27+1</f>
        <v>2011</v>
      </c>
      <c r="C28" s="147"/>
      <c r="D28" s="693">
        <f>IF('A1.3.8'!D$27="","",IF(OR(VLOOKUP($B28,'A1.3.11'!$B$26:$AM$105,D$22,)="",VLOOKUP($B28,'A1.3.7'!$B$28:$H$118,3,)=""),"",VLOOKUP($B28,'A1.3.11'!$B$26:$AM$105,D$22,)*(VLOOKUP($B28,'A1.3.7'!$B$28:$O$118,3,)+VLOOKUP($B28,'A1.3.7'!$B$28:$O$118,8,))))</f>
        <v>51.738837724196749</v>
      </c>
      <c r="E28" s="691">
        <f>IF('A1.3.8'!E$27="","",IF(OR(VLOOKUP($B28,'A1.3.11'!$B$26:$AM$105,E$22,)="",VLOOKUP($B28,'A1.3.7'!$B$28:$H$118,3,)=""),"",VLOOKUP($B28,'A1.3.11'!$B$26:$AM$105,E$22,)*(VLOOKUP($B28,'A1.3.7'!$B$28:$O$118,3,)+VLOOKUP($B28,'A1.3.7'!$B$28:$O$118,8,))))</f>
        <v>10.995342267329383</v>
      </c>
      <c r="F28" s="691">
        <f>IF('A1.3.8'!F$27="","",IF(OR(VLOOKUP($B28,'A1.3.11'!$B$26:$AM$105,F$22,)="",VLOOKUP($B28,'A1.3.7'!$B$28:$H$118,3,)=""),"",VLOOKUP($B28,'A1.3.11'!$B$26:$AM$105,F$22,)*(VLOOKUP($B28,'A1.3.7'!$B$28:$O$118,3,)+VLOOKUP($B28,'A1.3.7'!$B$28:$O$118,8,))))</f>
        <v>-0.125249987643964</v>
      </c>
      <c r="G28" s="2644">
        <f>IF('A1.3.8'!G$27="","",IF(OR(VLOOKUP($B28,'A1.3.11'!$B$26:$AM$105,G$22,)="",VLOOKUP($B28,'A1.3.7'!$B$28:$H$118,3,)=""),"",VLOOKUP($B28,'A1.3.11'!$B$26:$AM$105,G$22,)*(VLOOKUP($B28,'A1.3.7'!$B$28:$O$118,3,)+VLOOKUP($B28,'A1.3.7'!$B$28:$O$118,8,))))</f>
        <v>8.2952059038211411E-4</v>
      </c>
      <c r="H28" s="693">
        <f>IF('A1.3.8'!D$28="","",IF(OR(VLOOKUP($B28,'A1.3.11'!$B$26:$AM$105,H$22,)="",VLOOKUP($B28,'A1.3.7'!$B$28:$H$118,4,)=""),"",VLOOKUP($B28,'A1.3.11'!$B$26:$AM$105,H$22,)*(VLOOKUP($B28,'A1.3.7'!$B$28:$O$118,4,)+VLOOKUP($B28,'A1.3.7'!$B$28:$O$118,9,))))</f>
        <v>57.444459538170037</v>
      </c>
      <c r="I28" s="691">
        <f>IF('A1.3.8'!E$28="","",IF(OR(VLOOKUP($B28,'A1.3.11'!$B$26:$AM$105,I$22,)="",VLOOKUP($B28,'A1.3.7'!$B$28:$H$118,4,)=""),"",VLOOKUP($B28,'A1.3.11'!$B$26:$AM$105,I$22,)*(VLOOKUP($B28,'A1.3.7'!$B$28:$O$118,4,)+VLOOKUP($B28,'A1.3.7'!$B$28:$O$118,9,))))</f>
        <v>8.2361148979043186</v>
      </c>
      <c r="J28" s="691">
        <f>IF('A1.3.8'!F$28="","",IF(OR(VLOOKUP($B28,'A1.3.11'!$B$26:$AM$105,J$22,)="",VLOOKUP($B28,'A1.3.7'!$B$28:$H$118,4,)=""),"",VLOOKUP($B28,'A1.3.11'!$B$26:$AM$105,J$22,)*(VLOOKUP($B28,'A1.3.7'!$B$28:$O$118,4,)+VLOOKUP($B28,'A1.3.7'!$B$28:$O$118,9,))))</f>
        <v>-7.923371974027596E-2</v>
      </c>
      <c r="K28" s="2644">
        <f>IF('A1.3.8'!G$28="","",IF(OR(VLOOKUP($B28,'A1.3.11'!$B$26:$AM$105,K$22,)="",VLOOKUP($B28,'A1.3.7'!$B$28:$H$118,4,)=""),"",VLOOKUP($B28,'A1.3.11'!$B$26:$AM$105,K$22,)*(VLOOKUP($B28,'A1.3.7'!$B$28:$O$118,4,)+VLOOKUP($B28,'A1.3.7'!$B$28:$O$118,9,))))</f>
        <v>6.2436568676841188E-4</v>
      </c>
      <c r="L28" s="693" t="str">
        <f>IF('A1.3.8'!D$36="","",IF(OR(VLOOKUP($B28,'A1.3.11'!$B$26:$AM$105,L$22,)="",VLOOKUP($B28,'A1.3.7'!$B$28:$H$118,6,)=""),"",VLOOKUP($B28,'A1.3.11'!$B$26:$AM$105,L$22,)*VLOOKUP($B28,'A1.3.7'!$B$28:$O$118,6,)))</f>
        <v/>
      </c>
      <c r="M28" s="691">
        <f>IF('A1.3.8'!E$36="","",IF(OR(VLOOKUP($B28,'A1.3.11'!$B$26:$AM$105,M$22,)="",VLOOKUP($B28,'A1.3.7'!$B$28:$H$118,6,)=""),"",VLOOKUP($B28,'A1.3.11'!$B$26:$AM$105,M$22,)*VLOOKUP($B28,'A1.3.7'!$B$28:$O$118,6,)))</f>
        <v>1.8896172897191148</v>
      </c>
      <c r="N28" s="691"/>
      <c r="O28" s="1664"/>
      <c r="P28" s="693">
        <f>IF(AND(D28="",H28="",L28=""),"",IF(D28="",0,(D28*VLOOKUP($B28,'A1.3.9'!$B$26:$O$57,3,TRUE)))+IF(H28="",0,(H28*VLOOKUP($B28,'A1.3.9'!$B$26:$O$57,4,TRUE)))+IF(L28="",0,(L28*VLOOKUP($B28,'A1.3.9'!$B$26:$O$57,5,TRUE))))</f>
        <v>54.146929783154874</v>
      </c>
      <c r="Q28" s="691">
        <f>IF(AND(E28="",I28="",M28=""),"",IF(E28="",0,(E28*VLOOKUP($B28,'A1.3.9'!$B$26:$O$57,3,TRUE)))+IF(I28="",0,(I28*VLOOKUP($B28,'A1.3.9'!$B$26:$O$57,4,TRUE)))+IF(M28="",0,(M28*VLOOKUP($B28,'A1.3.9'!$B$26:$O$57,5,TRUE))))</f>
        <v>9.829110047998288</v>
      </c>
      <c r="R28" s="691">
        <f>IF(AND(F28="",J28="",N28=""),"",IF(F28="",0,(F28*VLOOKUP($B28,'A1.3.9'!$B$26:$O$57,3,TRUE)))+IF(J28="",0,(J28*VLOOKUP($B28,'A1.3.9'!$B$26:$O$57,4,TRUE)))+IF(N28="",0,(N28*VLOOKUP($B28,'A1.3.9'!$B$26:$O$57,5,TRUE))))</f>
        <v>-0.10580177810862663</v>
      </c>
      <c r="S28" s="2644">
        <f>IF(AND(G28="",K28="",O28=""),"",IF(G28="",0,(G28*VLOOKUP($B28,'A1.3.9'!$B$26:$O$57,3,TRUE)))+IF(K28="",0,(K28*VLOOKUP($B28,'A1.3.9'!$B$26:$O$57,4,TRUE)))+IF(O28="",0,(O28*VLOOKUP($B28,'A1.3.9'!$B$26:$O$57,5,TRUE))))</f>
        <v>7.4280101821143645E-4</v>
      </c>
      <c r="T28" s="693">
        <f>IF('A1.3.8'!D$29="","",IF(OR(VLOOKUP($B28,'A1.3.11'!$B$26:$AM$105,T$22,)="",VLOOKUP($B28,'A1.3.7'!$B$28:$H$118,3,)=""),"",VLOOKUP($B28,'A1.3.11'!$B$26:$AM$105,T$22,)*(VLOOKUP($B28,'A1.3.7'!$B$28:$O$118,3,)+VLOOKUP($B28,'A1.3.7'!$B$28:$O$118,8,))))</f>
        <v>37.361336221362734</v>
      </c>
      <c r="U28" s="691">
        <f>IF('A1.3.8'!E$29="","",IF(OR(VLOOKUP($B28,'A1.3.11'!$B$26:$AM$105,U$22,)="",VLOOKUP($B28,'A1.3.7'!$B$28:$H$118,3,)=""),"",VLOOKUP($B28,'A1.3.11'!$B$26:$AM$105,U$22,)*(VLOOKUP($B28,'A1.3.7'!$B$28:$O$118,3,)+VLOOKUP($B28,'A1.3.7'!$B$28:$O$118,8,))))</f>
        <v>20.950074639180635</v>
      </c>
      <c r="V28" s="691">
        <f>IF('A1.3.8'!F$29="","",IF(OR(VLOOKUP($B28,'A1.3.11'!$B$26:$AM$105,V$22,)="",VLOOKUP($B28,'A1.3.7'!$B$28:$H$118,3,)=""),"",VLOOKUP($B28,'A1.3.11'!$B$26:$AM$105,V$22,)*(VLOOKUP($B28,'A1.3.7'!$B$28:$O$118,3,)+VLOOKUP($B28,'A1.3.7'!$B$28:$O$118,8,))))</f>
        <v>-0.32884740542402346</v>
      </c>
      <c r="W28" s="2644">
        <f>IF('A1.3.8'!G$29="","",IF(OR(VLOOKUP($B28,'A1.3.11'!$B$26:$AM$105,W$22,)="",VLOOKUP($B28,'A1.3.7'!$B$28:$H$118,3,)=""),"",VLOOKUP($B28,'A1.3.11'!$B$26:$AM$105,W$22,)*(VLOOKUP($B28,'A1.3.7'!$B$28:$O$118,3,)+VLOOKUP($B28,'A1.3.7'!$B$28:$O$118,8,))))</f>
        <v>2.1237088340257527E-3</v>
      </c>
      <c r="X28" s="693">
        <f>IF('A1.3.8'!D$30="","",IF(OR(VLOOKUP($B28,'A1.3.11'!$B$26:$AM$105,X$22,)="",VLOOKUP($B28,'A1.3.7'!$B$28:$H$118,4,)=""),"",VLOOKUP($B28,'A1.3.11'!$B$26:$AM$105,X$22,)*(VLOOKUP($B28,'A1.3.7'!$B$28:$O$118,4,)+VLOOKUP($B28,'A1.3.7'!$B$28:$O$118,9,))))</f>
        <v>53.133566668329223</v>
      </c>
      <c r="Y28" s="691">
        <f>IF('A1.3.8'!E$30="","",IF(OR(VLOOKUP($B28,'A1.3.11'!$B$26:$AM$105,Y$22,)="",VLOOKUP($B28,'A1.3.7'!$B$28:$H$118,4,)=""),"",VLOOKUP($B28,'A1.3.11'!$B$26:$AM$105,Y$22,)*(VLOOKUP($B28,'A1.3.7'!$B$28:$O$118,4,)+VLOOKUP($B28,'A1.3.7'!$B$28:$O$118,9,))))</f>
        <v>12.986060230649677</v>
      </c>
      <c r="Z28" s="691">
        <f>IF('A1.3.8'!F$30="","",IF(OR(VLOOKUP($B28,'A1.3.11'!$B$26:$AM$105,Z$22,)="",VLOOKUP($B28,'A1.3.7'!$B$28:$H$118,4,)=""),"",VLOOKUP($B28,'A1.3.11'!$B$26:$AM$105,Z$22,)*(VLOOKUP($B28,'A1.3.7'!$B$28:$O$118,4,)+VLOOKUP($B28,'A1.3.7'!$B$28:$O$118,9,))))</f>
        <v>-0.18734752025125029</v>
      </c>
      <c r="AA28" s="2644">
        <f>IF('A1.3.8'!G$30="","",IF(OR(VLOOKUP($B28,'A1.3.11'!$B$26:$AM$105,AA$22,)="",VLOOKUP($B28,'A1.3.7'!$B$28:$H$118,4,)=""),"",VLOOKUP($B28,'A1.3.11'!$B$26:$AM$105,AA$22,)*(VLOOKUP($B28,'A1.3.7'!$B$28:$O$118,4,)+VLOOKUP($B28,'A1.3.7'!$B$28:$O$118,9,))))</f>
        <v>1.5860906387203872E-3</v>
      </c>
      <c r="AB28" s="693" t="str">
        <f>IF('A1.3.8'!D$37="","",IF(OR(VLOOKUP($B28,'A1.3.11'!$B$26:$AM$105,AB$22,)="",VLOOKUP($B28,'A1.3.7'!$B$28:$H$118,6,)=""),"",VLOOKUP($B28,'A1.3.11'!$B$26:$AM$105,AB$22,)*VLOOKUP($B28,'A1.3.7'!$B$28:$O$118,6,)))</f>
        <v/>
      </c>
      <c r="AC28" s="691">
        <f>IF('A1.3.8'!E$37="","",IF(OR(VLOOKUP($B28,'A1.3.11'!$B$26:$AM$105,AC$22,)="",VLOOKUP($B28,'A1.3.7'!$B$28:$H$118,6,)=""),"",VLOOKUP($B28,'A1.3.11'!$B$26:$AM$105,AC$22,)*VLOOKUP($B28,'A1.3.7'!$B$28:$O$118,6,)))</f>
        <v>4.2418367429901105</v>
      </c>
      <c r="AD28" s="691"/>
      <c r="AE28" s="1664" t="str">
        <f>IF('A1.3.8'!G$37="","",IF(OR(VLOOKUP($B28,'A1.3.11'!$B$26:$AM$105,AE$22,)="",VLOOKUP($B28,'A1.3.7'!$B$28:$H$118,6,)=""),"",VLOOKUP($B28,'A1.3.11'!$B$26:$AM$105,AE$22,)*VLOOKUP($B28,'A1.3.7'!$B$28:$O$118,6,)))</f>
        <v/>
      </c>
      <c r="AF28" s="693">
        <f>IF(AND(T28="",X28="",AB28=""),"",IF(T28="",0,(T28*VLOOKUP('A1.3.12'!$B28,'A1.3.9'!$B$26:$O$57,6,TRUE))) + IF(X28="",0,(X28*VLOOKUP('A1.3.12'!$B28,'A1.3.9'!$B$26:$O$57,7,TRUE))) + IF(AB28="",0,(AB28*VLOOKUP('A1.3.12'!$B28,'A1.3.9'!$B$26:$O$57,8,TRUE))))</f>
        <v>52.617750466535199</v>
      </c>
      <c r="AG28" s="691">
        <f>IF(AND(U28="",Y28="",AC28=""),"",IF(U28="",0,(U28*VLOOKUP('A1.3.12'!$B28,'A1.3.9'!$B$26:$O$57,6,TRUE))) + IF(Y28="",0,(Y28*VLOOKUP('A1.3.12'!$B28,'A1.3.9'!$B$26:$O$57,7,TRUE))) + IF(AC28="",0,(AC28*VLOOKUP('A1.3.12'!$B28,'A1.3.9'!$B$26:$O$57,8,TRUE))))</f>
        <v>13.246515952308968</v>
      </c>
      <c r="AH28" s="691">
        <f>IF(AND(V28="",Z28="",AD28=""),"",IF(V28="",0,(V28*VLOOKUP('A1.3.12'!$B28,'A1.3.9'!$B$26:$O$57,6,TRUE))) + IF(Z28="",0,(Z28*VLOOKUP('A1.3.12'!$B28,'A1.3.9'!$B$26:$O$57,7,TRUE))) + IF(AD28="",0,(AD28*VLOOKUP('A1.3.12'!$B28,'A1.3.9'!$B$26:$O$57,8,TRUE))))</f>
        <v>-0.19197514305764593</v>
      </c>
      <c r="AI28" s="2644">
        <f>IF(AND(W28="",AA28="",AE28=""),"",IF(W28="",0,(W28*VLOOKUP('A1.3.12'!$B28,'A1.3.9'!$B$26:$O$57,6,TRUE))) + IF(AA28="",0,(AA28*VLOOKUP('A1.3.12'!$B28,'A1.3.9'!$B$26:$O$57,7,TRUE))) + IF(AE28="",0,(AE28*VLOOKUP('A1.3.12'!$B28,'A1.3.9'!$B$26:$O$57,8,TRUE))))</f>
        <v>1.6036729443080603E-3</v>
      </c>
      <c r="AJ28" s="693">
        <f>IF('A1.3.8'!D$31="","",IF(OR(VLOOKUP($B28,'A1.3.11'!$B$26:$AM$105,AJ$22,)="",VLOOKUP($B28,'A1.3.7'!$B$28:$H$118,4,)=""),"",VLOOKUP($B28,'A1.3.11'!$B$26:$AM$105,AJ$22,)*(VLOOKUP($B28,'A1.3.7'!$B$28:$O$118,4,)+VLOOKUP($B28,'A1.3.7'!$B$28:$O$118,9,))))</f>
        <v>305.80825985907228</v>
      </c>
      <c r="AK28" s="691">
        <f>IF('A1.3.8'!E$31="","",IF(OR(VLOOKUP($B28,'A1.3.11'!$B$26:$AM$105,AK$22,)="",VLOOKUP($B28,'A1.3.7'!$B$28:$H$118,4,)=""),"",VLOOKUP($B28,'A1.3.11'!$B$26:$AM$105,AK$22,)*(VLOOKUP($B28,'A1.3.7'!$B$28:$O$118,4,)+VLOOKUP($B28,'A1.3.7'!$B$28:$O$118,9,))))</f>
        <v>16.225331619873831</v>
      </c>
      <c r="AL28" s="691">
        <f>IF('A1.3.8'!F$31="","",IF(OR(VLOOKUP($B28,'A1.3.11'!$B$26:$AM$105,AL$22,)="",VLOOKUP($B28,'A1.3.7'!$B$28:$H$118,4,)=""),"",VLOOKUP($B28,'A1.3.11'!$B$26:$AM$105,AL$22,)*(VLOOKUP($B28,'A1.3.7'!$B$28:$O$118,4,)+VLOOKUP($B28,'A1.3.7'!$B$28:$O$118,9,))))</f>
        <v>-0.11727679996721942</v>
      </c>
      <c r="AM28" s="2644">
        <f>IF('A1.3.8'!G$31="","",IF(OR(VLOOKUP($B28,'A1.3.11'!$B$26:$AM$105,AM$22,)="",VLOOKUP($B28,'A1.3.7'!$B$28:$H$118,4,)=""),"",VLOOKUP($B28,'A1.3.11'!$B$26:$AM$105,AM$22,)*(VLOOKUP($B28,'A1.3.7'!$B$28:$O$118,4,)+VLOOKUP($B28,'A1.3.7'!$B$28:$O$118,9,))))</f>
        <v>1.2808508266816772E-3</v>
      </c>
      <c r="AN28" s="693" t="str">
        <f>IF('A1.3.8'!D$38="","",IF(OR(VLOOKUP($B28,'A1.3.11'!$B$26:$AM$105,AN$22,)="",VLOOKUP($B28,'A1.3.7'!$B$28:$H$118,6,)=""),"",VLOOKUP($B28,'A1.3.11'!$B$26:$AM$105,AN$22,)*VLOOKUP($B28,'A1.3.7'!$B$28:$O$118,6,)))</f>
        <v/>
      </c>
      <c r="AO28" s="691" t="str">
        <f>IF('A1.3.8'!E$38="","",IF(OR(VLOOKUP($B28,'A1.3.11'!$B$26:$AM$105,AO$22,)="",VLOOKUP($B28,'A1.3.7'!$B$28:$H$118,6,)=""),"",VLOOKUP($B28,'A1.3.11'!$B$26:$AM$105,AO$22,)*VLOOKUP($B28,'A1.3.7'!$B$28:$O$118,6,)))</f>
        <v/>
      </c>
      <c r="AP28" s="691" t="str">
        <f>IF('A1.3.8'!F$38="","",IF(OR(VLOOKUP($B28,'A1.3.11'!$B$26:$AM$105,AP$22,)="",VLOOKUP($B28,'A1.3.7'!$B$28:$H$118,6,)=""),"",VLOOKUP($B28,'A1.3.11'!$B$26:$AM$105,AP$22,)*VLOOKUP($B28,'A1.3.7'!$B$28:$O$118,6,)))</f>
        <v/>
      </c>
      <c r="AQ28" s="1664" t="str">
        <f>IF('A1.3.8'!G$38="","",IF(OR(VLOOKUP($B28,'A1.3.11'!$B$26:$AM$105,AQ$22,)="",VLOOKUP($B28,'A1.3.7'!$B$28:$H$118,6,)=""),"",VLOOKUP($B28,'A1.3.11'!$B$26:$AM$105,AQ$22,)*VLOOKUP($B28,'A1.3.7'!$B$28:$O$118,6,)))</f>
        <v/>
      </c>
      <c r="AR28" s="693">
        <f>IF(AND(AJ28="",AN28=""),"",IF(AJ28="",0,(AJ28*VLOOKUP($B28,'A1.3.9'!$B$26:$O$57,9,TRUE))) + IF(AN28="",0,(AN28*VLOOKUP($B28,'A1.3.9'!$B$26:$O$57,10,TRUE))))</f>
        <v>305.80825985907228</v>
      </c>
      <c r="AS28" s="691">
        <f>IF(AND(AK28="",AO28=""),"",IF(AK28="",0,(AK28*VLOOKUP($B28,'A1.3.9'!$B$26:$O$57,9,TRUE))) + IF(AO28="",0,(AO28*VLOOKUP($B28,'A1.3.9'!$B$26:$O$57,10,TRUE))))</f>
        <v>16.225331619873831</v>
      </c>
      <c r="AT28" s="691">
        <f>IF(AND(AL28="",AP28=""),"",IF(AL28="",0,(AL28*VLOOKUP($B28,'A1.3.9'!$B$26:$O$57,9,TRUE))) + IF(AP28="",0,(AP28*VLOOKUP($B28,'A1.3.9'!$B$26:$O$57,10,TRUE))))</f>
        <v>-0.11727679996721942</v>
      </c>
      <c r="AU28" s="2644">
        <f>IF(AND(AM28="",AQ28=""),"",IF(AM28="",0,(AM28*VLOOKUP($B28,'A1.3.9'!$B$26:$O$57,9,TRUE))) + IF(AQ28="",0,(AQ28*VLOOKUP($B28,'A1.3.9'!$B$26:$O$57,10,TRUE))))</f>
        <v>1.2808508266816772E-3</v>
      </c>
      <c r="AV28" s="693">
        <f>IF('A1.3.8'!D$32="","",IF(OR(VLOOKUP($B28,'A1.3.11'!$B$26:$AM$105,AV$22,)="",VLOOKUP($B28,'A1.3.7'!$B$28:$H$118,4,)=""),"",VLOOKUP($B28,'A1.3.11'!$B$26:$AM$105,AV$22,)*(VLOOKUP($B28,'A1.3.7'!$B$28:$O$118,4,)+VLOOKUP($B28,'A1.3.7'!$B$28:$O$118,9,))))</f>
        <v>642.58284048304779</v>
      </c>
      <c r="AW28" s="691">
        <f>IF('A1.3.8'!E$32="","",IF(OR(VLOOKUP($B28,'A1.3.11'!$B$26:$AM$105,AW$22,)="",VLOOKUP($B28,'A1.3.7'!$B$28:$H$118,4,)=""),"",VLOOKUP($B28,'A1.3.11'!$B$26:$AM$105,AW$22,)*(VLOOKUP($B28,'A1.3.7'!$B$28:$O$118,4,)+VLOOKUP($B28,'A1.3.7'!$B$28:$O$118,9,))))</f>
        <v>33.370465499875507</v>
      </c>
      <c r="AX28" s="691">
        <f>IF('A1.3.8'!F$32="","",IF(OR(VLOOKUP($B28,'A1.3.11'!$B$26:$AM$105,AX$22,)="",VLOOKUP($B28,'A1.3.7'!$B$28:$H$118,4,)=""),"",VLOOKUP($B28,'A1.3.11'!$B$26:$AM$105,AX$22,)*(VLOOKUP($B28,'A1.3.7'!$B$28:$O$118,4,)+VLOOKUP($B28,'A1.3.7'!$B$28:$O$118,9,))))</f>
        <v>-0.22109688891370916</v>
      </c>
      <c r="AY28" s="2644">
        <f>IF('A1.3.8'!G$32="","",IF(OR(VLOOKUP($B28,'A1.3.11'!$B$26:$AM$105,AY$22,)="",VLOOKUP($B28,'A1.3.7'!$B$28:$H$118,4,)=""),"",VLOOKUP($B28,'A1.3.11'!$B$26:$AM$105,AY$22,)*(VLOOKUP($B28,'A1.3.7'!$B$28:$O$118,4,)+VLOOKUP($B28,'A1.3.7'!$B$28:$O$118,9,))))</f>
        <v>1.3178293971451991E-3</v>
      </c>
      <c r="AZ28" s="693" t="str">
        <f>IF('A1.3.8'!D$39="","",IF(OR(VLOOKUP($B28,'A1.3.11'!$B$26:$AM$105,AZ$22,)="",VLOOKUP($B28,'A1.3.7'!$B$28:$H$118,6,)=""),"",VLOOKUP($B28,'A1.3.11'!$B$26:$AM$105,AZ$22,)*VLOOKUP($B28,'A1.3.7'!$B$28:$O$118,6,)))</f>
        <v/>
      </c>
      <c r="BA28" s="691" t="str">
        <f>IF('A1.3.8'!E$39="","",IF(OR(VLOOKUP($B28,'A1.3.11'!$B$26:$AM$105,BA$22,)="",VLOOKUP($B28,'A1.3.7'!$B$28:$H$118,6,)=""),"",VLOOKUP($B28,'A1.3.11'!$B$26:$AM$105,BA$22,)*VLOOKUP($B28,'A1.3.7'!$B$28:$O$118,6,)))</f>
        <v/>
      </c>
      <c r="BB28" s="691" t="str">
        <f>IF('A1.3.8'!F$39="","",IF(OR(VLOOKUP($B28,'A1.3.11'!$B$26:$AM$105,BB$22,)="",VLOOKUP($B28,'A1.3.7'!$B$28:$H$118,6,)=""),"",VLOOKUP($B28,'A1.3.11'!$B$26:$AM$105,BB$22,)*VLOOKUP($B28,'A1.3.7'!$B$28:$O$118,6,)))</f>
        <v/>
      </c>
      <c r="BC28" s="1664" t="str">
        <f>IF('A1.3.8'!G$39="","",IF(OR(VLOOKUP($B28,'A1.3.11'!$B$26:$AM$105,BC$22,)="",VLOOKUP($B28,'A1.3.7'!$B$28:$H$118,6,)=""),"",VLOOKUP($B28,'A1.3.11'!$B$26:$AM$105,BC$22,)*VLOOKUP($B28,'A1.3.7'!$B$28:$O$118,6,)))</f>
        <v/>
      </c>
      <c r="BD28" s="693">
        <f>IF(AND(AV28="",AZ28=""),"",IF(AV28="",0,(AV28*VLOOKUP($B28,'A1.3.9'!$B$26:$O$57,9,TRUE))) + IF(AZ28="",0,(AZ28*VLOOKUP($B28,'A1.3.9'!$B$26:$O$57,10,TRUE))))</f>
        <v>642.58284048304779</v>
      </c>
      <c r="BE28" s="691">
        <f>IF(AND(AW28="",BA28=""),"",IF(AW28="",0,(AW28*VLOOKUP($B28,'A1.3.9'!$B$26:$O$57,9,TRUE))) + IF(BA28="",0,(BA28*VLOOKUP($B28,'A1.3.9'!$B$26:$O$57,10,TRUE))))</f>
        <v>33.370465499875507</v>
      </c>
      <c r="BF28" s="691">
        <f>IF(AND(AX28="",BB28=""),"",IF(AX28="",0,(AX28*VLOOKUP($B28,'A1.3.9'!$B$26:$O$57,9,TRUE))) + IF(BB28="",0,(BB28*VLOOKUP($B28,'A1.3.9'!$B$26:$O$57,10,TRUE))))</f>
        <v>-0.22109688891370916</v>
      </c>
      <c r="BG28" s="2644">
        <f>IF(AND(AY28="",BC28=""),"",IF(AY28="",0,(AY28*VLOOKUP($B28,'A1.3.9'!$B$26:$O$57,9,TRUE))) + IF(BC28="",0,(BC28*VLOOKUP($B28,'A1.3.9'!$B$26:$O$57,10,TRUE))))</f>
        <v>1.3178293971451991E-3</v>
      </c>
      <c r="BH28" s="693">
        <f>IF('A1.3.8'!D$33="","",IF(OR(VLOOKUP($B28,'A1.3.11'!$B$26:$AM$105,BH$22,)="",VLOOKUP($B28,'A1.3.7'!$B$28:$H$118,4,)=""),"",VLOOKUP($B28,'A1.3.11'!$B$26:$AM$105,BH$22,)*(VLOOKUP($B28,'A1.3.7'!$B$28:$O$118,4,)+VLOOKUP($B28,'A1.3.7'!$B$28:$O$118,9,))))</f>
        <v>381.10696536994431</v>
      </c>
      <c r="BI28" s="691">
        <f>IF('A1.3.8'!E$33="","",IF(OR(VLOOKUP($B28,'A1.3.11'!$B$26:$AM$105,BI$22,)="",VLOOKUP($B28,'A1.3.7'!$B$28:$H$118,4,)=""),"",VLOOKUP($B28,'A1.3.11'!$B$26:$AM$105,BI$22,)*(VLOOKUP($B28,'A1.3.7'!$B$28:$O$118,4,)+VLOOKUP($B28,'A1.3.7'!$B$28:$O$118,9,))))</f>
        <v>33.486706958207158</v>
      </c>
      <c r="BJ28" s="691">
        <f>IF('A1.3.8'!F$33="","",IF(OR(VLOOKUP($B28,'A1.3.11'!$B$26:$AM$105,BJ$22,)="",VLOOKUP($B28,'A1.3.7'!$B$28:$H$118,4,)=""),"",VLOOKUP($B28,'A1.3.11'!$B$26:$AM$105,BJ$22,)*(VLOOKUP($B28,'A1.3.7'!$B$28:$O$118,4,)+VLOOKUP($B28,'A1.3.7'!$B$28:$O$118,9,))))</f>
        <v>-0.36397065817954621</v>
      </c>
      <c r="BK28" s="2644">
        <f>IF('A1.3.8'!G$33="","",IF(OR(VLOOKUP($B28,'A1.3.11'!$B$26:$AM$105,BK$22,)="",VLOOKUP($B28,'A1.3.7'!$B$28:$H$118,4,)=""),"",VLOOKUP($B28,'A1.3.11'!$B$26:$AM$105,BK$22,)*(VLOOKUP($B28,'A1.3.7'!$B$28:$O$118,4,)+VLOOKUP($B28,'A1.3.7'!$B$28:$O$118,9,))))</f>
        <v>2.6698735508780998E-3</v>
      </c>
      <c r="BL28" s="693" t="str">
        <f>IF('A1.3.8'!D$40="","",IF(OR(VLOOKUP($B28,'A1.3.11'!$B$26:$AM$105,BL$22,)="",VLOOKUP($B28,'A1.3.7'!$B$28:$H$118,6,)=""),"",VLOOKUP($B28,'A1.3.11'!$B$26:$AM$105,BL$22,)*VLOOKUP($B28,'A1.3.7'!$B$28:$O$118,6,)))</f>
        <v/>
      </c>
      <c r="BM28" s="691" t="str">
        <f>IF('A1.3.8'!E$40="","",IF(OR(VLOOKUP($B28,'A1.3.11'!$B$26:$AM$105,BM$22,)="",VLOOKUP($B28,'A1.3.7'!$B$28:$H$118,6,)=""),"",VLOOKUP($B28,'A1.3.11'!$B$26:$AM$105,BM$22,)*VLOOKUP($B28,'A1.3.7'!$B$28:$O$118,6,)))</f>
        <v/>
      </c>
      <c r="BN28" s="691" t="str">
        <f>IF('A1.3.8'!F$40="","",IF(OR(VLOOKUP($B28,'A1.3.11'!$B$26:$AM$105,BN$22,)="",VLOOKUP($B28,'A1.3.7'!$B$28:$H$118,6,)=""),"",VLOOKUP($B28,'A1.3.11'!$B$26:$AM$105,BN$22,)*VLOOKUP($B28,'A1.3.7'!$B$28:$O$118,6,)))</f>
        <v/>
      </c>
      <c r="BO28" s="1664" t="str">
        <f>IF('A1.3.8'!G$40="","",IF(OR(VLOOKUP($B28,'A1.3.11'!$B$26:$AM$105,BO$22,)="",VLOOKUP($B28,'A1.3.7'!$B$28:$H$118,6,)=""),"",VLOOKUP($B28,'A1.3.11'!$B$26:$AM$105,BO$22,)*VLOOKUP($B28,'A1.3.7'!$B$28:$O$118,6,)))</f>
        <v/>
      </c>
      <c r="BP28" s="693">
        <f>IF(AND(BH28="",BL28=""),"",IF(BH28="",0,(BH28*VLOOKUP($B28,'A1.3.9'!$B$26:$O$57,9,TRUE))) + IF(BL28="",0,(BL28*VLOOKUP($B28,'A1.3.9'!$B$26:$O$57,10,TRUE))))</f>
        <v>381.10696536994431</v>
      </c>
      <c r="BQ28" s="691">
        <f>IF(AND(BI28="",BM28=""),"",IF(BI28="",0,(BI28*VLOOKUP($B28,'A1.3.9'!$B$26:$O$57,9,TRUE))) + IF(BM28="",0,(BM28*VLOOKUP($B28,'A1.3.9'!$B$26:$O$57,10,TRUE))))</f>
        <v>33.486706958207158</v>
      </c>
      <c r="BR28" s="691">
        <f>IF(AND(BJ28="",BN28=""),"",IF(BJ28="",0,(BJ28*VLOOKUP($B28,'A1.3.9'!$B$26:$O$57,9,TRUE))) + IF(BN28="",0,(BN28*VLOOKUP($B28,'A1.3.9'!$B$26:$O$57,10,TRUE))))</f>
        <v>-0.36397065817954621</v>
      </c>
      <c r="BS28" s="2644">
        <f>IF(AND(BK28="",BO28=""),"",IF(BK28="",0,(BK28*VLOOKUP($B28,'A1.3.9'!$B$26:$O$57,9,TRUE))) + IF(BO28="",0,(BO28*VLOOKUP($B28,'A1.3.9'!$B$26:$O$57,10,TRUE))))</f>
        <v>2.6698735508780998E-3</v>
      </c>
    </row>
    <row r="29" spans="1:71" ht="13.5" customHeight="1">
      <c r="A29" s="113"/>
      <c r="B29" s="614">
        <f t="shared" ref="B29:B92" si="0">B28+1</f>
        <v>2012</v>
      </c>
      <c r="C29" s="147"/>
      <c r="D29" s="693">
        <f>IF('A1.3.8'!D$27="","",IF(OR(VLOOKUP($B29,'A1.3.11'!$B$26:$AM$105,D$22,)="",VLOOKUP($B29,'A1.3.7'!$B$28:$H$118,3,)=""),"",VLOOKUP($B29,'A1.3.11'!$B$26:$AM$105,D$22,)*(VLOOKUP($B29,'A1.3.7'!$B$28:$O$118,3,)+VLOOKUP($B29,'A1.3.7'!$B$28:$O$118,8,))))</f>
        <v>51.356216134719716</v>
      </c>
      <c r="E29" s="691">
        <f>IF('A1.3.8'!E$27="","",IF(OR(VLOOKUP($B29,'A1.3.11'!$B$26:$AM$105,E$22,)="",VLOOKUP($B29,'A1.3.7'!$B$28:$H$118,3,)=""),"",VLOOKUP($B29,'A1.3.11'!$B$26:$AM$105,E$22,)*(VLOOKUP($B29,'A1.3.7'!$B$28:$O$118,3,)+VLOOKUP($B29,'A1.3.7'!$B$28:$O$118,8,))))</f>
        <v>10.91402897309583</v>
      </c>
      <c r="F29" s="691">
        <f>IF('A1.3.8'!F$27="","",IF(OR(VLOOKUP($B29,'A1.3.11'!$B$26:$AM$105,F$22,)="",VLOOKUP($B29,'A1.3.7'!$B$28:$H$118,3,)=""),"",VLOOKUP($B29,'A1.3.11'!$B$26:$AM$105,F$22,)*(VLOOKUP($B29,'A1.3.7'!$B$28:$O$118,3,)+VLOOKUP($B29,'A1.3.7'!$B$28:$O$118,8,))))</f>
        <v>-0.12432373279437157</v>
      </c>
      <c r="G29" s="2644">
        <f>IF('A1.3.8'!G$27="","",IF(OR(VLOOKUP($B29,'A1.3.11'!$B$26:$AM$105,G$22,)="",VLOOKUP($B29,'A1.3.7'!$B$28:$H$118,3,)=""),"",VLOOKUP($B29,'A1.3.11'!$B$26:$AM$105,G$22,)*(VLOOKUP($B29,'A1.3.7'!$B$28:$O$118,3,)+VLOOKUP($B29,'A1.3.7'!$B$28:$O$118,8,))))</f>
        <v>8.2338607904098486E-4</v>
      </c>
      <c r="H29" s="693">
        <f>IF('A1.3.8'!D$28="","",IF(OR(VLOOKUP($B29,'A1.3.11'!$B$26:$AM$105,H$22,)="",VLOOKUP($B29,'A1.3.7'!$B$28:$H$118,4,)=""),"",VLOOKUP($B29,'A1.3.11'!$B$26:$AM$105,H$22,)*(VLOOKUP($B29,'A1.3.7'!$B$28:$O$118,4,)+VLOOKUP($B29,'A1.3.7'!$B$28:$O$118,9,))))</f>
        <v>57.229323551584564</v>
      </c>
      <c r="I29" s="691">
        <f>IF('A1.3.8'!E$28="","",IF(OR(VLOOKUP($B29,'A1.3.11'!$B$26:$AM$105,I$22,)="",VLOOKUP($B29,'A1.3.7'!$B$28:$H$118,4,)=""),"",VLOOKUP($B29,'A1.3.11'!$B$26:$AM$105,I$22,)*(VLOOKUP($B29,'A1.3.7'!$B$28:$O$118,4,)+VLOOKUP($B29,'A1.3.7'!$B$28:$O$118,9,))))</f>
        <v>8.2052697177348595</v>
      </c>
      <c r="J29" s="691">
        <f>IF('A1.3.8'!F$28="","",IF(OR(VLOOKUP($B29,'A1.3.11'!$B$26:$AM$105,J$22,)="",VLOOKUP($B29,'A1.3.7'!$B$28:$H$118,4,)=""),"",VLOOKUP($B29,'A1.3.11'!$B$26:$AM$105,J$22,)*(VLOOKUP($B29,'A1.3.7'!$B$28:$O$118,4,)+VLOOKUP($B29,'A1.3.7'!$B$28:$O$118,9,))))</f>
        <v>-7.8936980514174707E-2</v>
      </c>
      <c r="K29" s="2644">
        <f>IF('A1.3.8'!G$28="","",IF(OR(VLOOKUP($B29,'A1.3.11'!$B$26:$AM$105,K$22,)="",VLOOKUP($B29,'A1.3.7'!$B$28:$H$118,4,)=""),"",VLOOKUP($B29,'A1.3.11'!$B$26:$AM$105,K$22,)*(VLOOKUP($B29,'A1.3.7'!$B$28:$O$118,4,)+VLOOKUP($B29,'A1.3.7'!$B$28:$O$118,9,))))</f>
        <v>6.2202736677910485E-4</v>
      </c>
      <c r="L29" s="693" t="str">
        <f>IF('A1.3.8'!D$36="","",IF(OR(VLOOKUP($B29,'A1.3.11'!$B$26:$AM$105,L$22,)="",VLOOKUP($B29,'A1.3.7'!$B$28:$H$118,6,)=""),"",VLOOKUP($B29,'A1.3.11'!$B$26:$AM$105,L$22,)*VLOOKUP($B29,'A1.3.7'!$B$28:$O$118,6,)))</f>
        <v/>
      </c>
      <c r="M29" s="691">
        <f>IF('A1.3.8'!E$36="","",IF(OR(VLOOKUP($B29,'A1.3.11'!$B$26:$AM$105,M$22,)="",VLOOKUP($B29,'A1.3.7'!$B$28:$H$118,6,)=""),"",VLOOKUP($B29,'A1.3.11'!$B$26:$AM$105,M$22,)*VLOOKUP($B29,'A1.3.7'!$B$28:$O$118,6,)))</f>
        <v>1.9671892076351654</v>
      </c>
      <c r="N29" s="691"/>
      <c r="O29" s="1664"/>
      <c r="P29" s="693">
        <f>IF(AND(D29="",H29="",L29=""),"",IF(D29="",0,(D29*VLOOKUP($B29,'A1.3.9'!$B$26:$O$57,3,TRUE)))+IF(H29="",0,(H29*VLOOKUP($B29,'A1.3.9'!$B$26:$O$57,4,TRUE)))+IF(L29="",0,(L29*VLOOKUP($B29,'A1.3.9'!$B$26:$O$57,5,TRUE))))</f>
        <v>53.957821248929605</v>
      </c>
      <c r="Q29" s="691">
        <f>IF(AND(E29="",I29="",M29=""),"",IF(E29="",0,(E29*VLOOKUP($B29,'A1.3.9'!$B$26:$O$57,3,TRUE)))+IF(I29="",0,(I29*VLOOKUP($B29,'A1.3.9'!$B$26:$O$57,4,TRUE)))+IF(M29="",0,(M29*VLOOKUP($B29,'A1.3.9'!$B$26:$O$57,5,TRUE))))</f>
        <v>9.7096785340157741</v>
      </c>
      <c r="R29" s="691">
        <f>IF(AND(F29="",J29="",N29=""),"",IF(F29="",0,(F29*VLOOKUP($B29,'A1.3.9'!$B$26:$O$57,3,TRUE)))+IF(J29="",0,(J29*VLOOKUP($B29,'A1.3.9'!$B$26:$O$57,4,TRUE)))+IF(N29="",0,(N29*VLOOKUP($B29,'A1.3.9'!$B$26:$O$57,5,TRUE))))</f>
        <v>-0.10414767021846608</v>
      </c>
      <c r="S29" s="2644">
        <f>IF(AND(G29="",K29="",O29=""),"",IF(G29="",0,(G29*VLOOKUP($B29,'A1.3.9'!$B$26:$O$57,3,TRUE)))+IF(K29="",0,(K29*VLOOKUP($B29,'A1.3.9'!$B$26:$O$57,4,TRUE)))+IF(O29="",0,(O29*VLOOKUP($B29,'A1.3.9'!$B$26:$O$57,5,TRUE))))</f>
        <v>7.3383770732574115E-4</v>
      </c>
      <c r="T29" s="693">
        <f>IF('A1.3.8'!D$29="","",IF(OR(VLOOKUP($B29,'A1.3.11'!$B$26:$AM$105,T$22,)="",VLOOKUP($B29,'A1.3.7'!$B$28:$H$118,3,)=""),"",VLOOKUP($B29,'A1.3.11'!$B$26:$AM$105,T$22,)*(VLOOKUP($B29,'A1.3.7'!$B$28:$O$118,3,)+VLOOKUP($B29,'A1.3.7'!$B$28:$O$118,8,))))</f>
        <v>37.450508329951496</v>
      </c>
      <c r="U29" s="691">
        <f>IF('A1.3.8'!E$29="","",IF(OR(VLOOKUP($B29,'A1.3.11'!$B$26:$AM$105,U$22,)="",VLOOKUP($B29,'A1.3.7'!$B$28:$H$118,3,)=""),"",VLOOKUP($B29,'A1.3.11'!$B$26:$AM$105,U$22,)*(VLOOKUP($B29,'A1.3.7'!$B$28:$O$118,3,)+VLOOKUP($B29,'A1.3.7'!$B$28:$O$118,8,))))</f>
        <v>21.000077195823661</v>
      </c>
      <c r="V29" s="691">
        <f>IF('A1.3.8'!F$29="","",IF(OR(VLOOKUP($B29,'A1.3.11'!$B$26:$AM$105,V$22,)="",VLOOKUP($B29,'A1.3.7'!$B$28:$H$118,3,)=""),"",VLOOKUP($B29,'A1.3.11'!$B$26:$AM$105,V$22,)*(VLOOKUP($B29,'A1.3.7'!$B$28:$O$118,3,)+VLOOKUP($B29,'A1.3.7'!$B$28:$O$118,8,))))</f>
        <v>-0.32963228143519885</v>
      </c>
      <c r="W29" s="2644">
        <f>IF('A1.3.8'!G$29="","",IF(OR(VLOOKUP($B29,'A1.3.11'!$B$26:$AM$105,W$22,)="",VLOOKUP($B29,'A1.3.7'!$B$28:$H$118,3,)=""),"",VLOOKUP($B29,'A1.3.11'!$B$26:$AM$105,W$22,)*(VLOOKUP($B29,'A1.3.7'!$B$28:$O$118,3,)+VLOOKUP($B29,'A1.3.7'!$B$28:$O$118,8,))))</f>
        <v>2.1287775926385772E-3</v>
      </c>
      <c r="X29" s="693">
        <f>IF('A1.3.8'!D$30="","",IF(OR(VLOOKUP($B29,'A1.3.11'!$B$26:$AM$105,X$22,)="",VLOOKUP($B29,'A1.3.7'!$B$28:$H$118,4,)=""),"",VLOOKUP($B29,'A1.3.11'!$B$26:$AM$105,X$22,)*(VLOOKUP($B29,'A1.3.7'!$B$28:$O$118,4,)+VLOOKUP($B29,'A1.3.7'!$B$28:$O$118,9,))))</f>
        <v>53.32086437565723</v>
      </c>
      <c r="Y29" s="691">
        <f>IF('A1.3.8'!E$30="","",IF(OR(VLOOKUP($B29,'A1.3.11'!$B$26:$AM$105,Y$22,)="",VLOOKUP($B29,'A1.3.7'!$B$28:$H$118,4,)=""),"",VLOOKUP($B29,'A1.3.11'!$B$26:$AM$105,Y$22,)*(VLOOKUP($B29,'A1.3.7'!$B$28:$O$118,4,)+VLOOKUP($B29,'A1.3.7'!$B$28:$O$118,9,))))</f>
        <v>13.031836553620929</v>
      </c>
      <c r="Z29" s="691">
        <f>IF('A1.3.8'!F$30="","",IF(OR(VLOOKUP($B29,'A1.3.11'!$B$26:$AM$105,Z$22,)="",VLOOKUP($B29,'A1.3.7'!$B$28:$H$118,4,)=""),"",VLOOKUP($B29,'A1.3.11'!$B$26:$AM$105,Z$22,)*(VLOOKUP($B29,'A1.3.7'!$B$28:$O$118,4,)+VLOOKUP($B29,'A1.3.7'!$B$28:$O$118,9,))))</f>
        <v>-0.1880079269059679</v>
      </c>
      <c r="AA29" s="2644">
        <f>IF('A1.3.8'!G$30="","",IF(OR(VLOOKUP($B29,'A1.3.11'!$B$26:$AM$105,AA$22,)="",VLOOKUP($B29,'A1.3.7'!$B$28:$H$118,4,)=""),"",VLOOKUP($B29,'A1.3.11'!$B$26:$AM$105,AA$22,)*(VLOOKUP($B29,'A1.3.7'!$B$28:$O$118,4,)+VLOOKUP($B29,'A1.3.7'!$B$28:$O$118,9,))))</f>
        <v>1.5916816644857218E-3</v>
      </c>
      <c r="AB29" s="693" t="str">
        <f>IF('A1.3.8'!D$37="","",IF(OR(VLOOKUP($B29,'A1.3.11'!$B$26:$AM$105,AB$22,)="",VLOOKUP($B29,'A1.3.7'!$B$28:$H$118,6,)=""),"",VLOOKUP($B29,'A1.3.11'!$B$26:$AM$105,AB$22,)*VLOOKUP($B29,'A1.3.7'!$B$28:$O$118,6,)))</f>
        <v/>
      </c>
      <c r="AC29" s="691">
        <f>IF('A1.3.8'!E$37="","",IF(OR(VLOOKUP($B29,'A1.3.11'!$B$26:$AM$105,AC$22,)="",VLOOKUP($B29,'A1.3.7'!$B$28:$H$118,6,)=""),"",VLOOKUP($B29,'A1.3.11'!$B$26:$AM$105,AC$22,)*VLOOKUP($B29,'A1.3.7'!$B$28:$O$118,6,)))</f>
        <v>4.4086377654348787</v>
      </c>
      <c r="AD29" s="691"/>
      <c r="AE29" s="1664" t="str">
        <f>IF('A1.3.8'!G$37="","",IF(OR(VLOOKUP($B29,'A1.3.11'!$B$26:$AM$105,AE$22,)="",VLOOKUP($B29,'A1.3.7'!$B$28:$H$118,6,)=""),"",VLOOKUP($B29,'A1.3.11'!$B$26:$AM$105,AE$22,)*VLOOKUP($B29,'A1.3.7'!$B$28:$O$118,6,)))</f>
        <v/>
      </c>
      <c r="AF29" s="693">
        <f>IF(AND(T29="",X29="",AB29=""),"",IF(T29="",0,(T29*VLOOKUP('A1.3.12'!$B29,'A1.3.9'!$B$26:$O$57,6,TRUE))) + IF(X29="",0,(X29*VLOOKUP('A1.3.12'!$B29,'A1.3.9'!$B$26:$O$57,7,TRUE))) + IF(AB29="",0,(AB29*VLOOKUP('A1.3.12'!$B29,'A1.3.9'!$B$26:$O$57,8,TRUE))))</f>
        <v>52.850676767677001</v>
      </c>
      <c r="AG29" s="691">
        <f>IF(AND(U29="",Y29="",AC29=""),"",IF(U29="",0,(U29*VLOOKUP('A1.3.12'!$B29,'A1.3.9'!$B$26:$O$57,6,TRUE))) + IF(Y29="",0,(Y29*VLOOKUP('A1.3.12'!$B29,'A1.3.9'!$B$26:$O$57,7,TRUE))) + IF(AC29="",0,(AC29*VLOOKUP('A1.3.12'!$B29,'A1.3.9'!$B$26:$O$57,8,TRUE))))</f>
        <v>13.268965618049748</v>
      </c>
      <c r="AH29" s="691">
        <f>IF(AND(V29="",Z29="",AD29=""),"",IF(V29="",0,(V29*VLOOKUP('A1.3.12'!$B29,'A1.3.9'!$B$26:$O$57,6,TRUE))) + IF(Z29="",0,(Z29*VLOOKUP('A1.3.12'!$B29,'A1.3.9'!$B$26:$O$57,7,TRUE))) + IF(AD29="",0,(AD29*VLOOKUP('A1.3.12'!$B29,'A1.3.9'!$B$26:$O$57,8,TRUE))))</f>
        <v>-0.19220380104364115</v>
      </c>
      <c r="AI29" s="2644">
        <f>IF(AND(W29="",AA29="",AE29=""),"",IF(W29="",0,(W29*VLOOKUP('A1.3.12'!$B29,'A1.3.9'!$B$26:$O$57,6,TRUE))) + IF(AA29="",0,(AA29*VLOOKUP('A1.3.12'!$B29,'A1.3.9'!$B$26:$O$57,7,TRUE))) + IF(AE29="",0,(AE29*VLOOKUP('A1.3.12'!$B29,'A1.3.9'!$B$26:$O$57,8,TRUE))))</f>
        <v>1.6075940894487678E-3</v>
      </c>
      <c r="AJ29" s="693">
        <f>IF('A1.3.8'!D$31="","",IF(OR(VLOOKUP($B29,'A1.3.11'!$B$26:$AM$105,AJ$22,)="",VLOOKUP($B29,'A1.3.7'!$B$28:$H$118,4,)=""),"",VLOOKUP($B29,'A1.3.11'!$B$26:$AM$105,AJ$22,)*(VLOOKUP($B29,'A1.3.7'!$B$28:$O$118,4,)+VLOOKUP($B29,'A1.3.7'!$B$28:$O$118,9,))))</f>
        <v>307.87033019690779</v>
      </c>
      <c r="AK29" s="691">
        <f>IF('A1.3.8'!E$31="","",IF(OR(VLOOKUP($B29,'A1.3.11'!$B$26:$AM$105,AK$22,)="",VLOOKUP($B29,'A1.3.7'!$B$28:$H$118,4,)=""),"",VLOOKUP($B29,'A1.3.11'!$B$26:$AM$105,AK$22,)*(VLOOKUP($B29,'A1.3.7'!$B$28:$O$118,4,)+VLOOKUP($B29,'A1.3.7'!$B$28:$O$118,9,))))</f>
        <v>16.334739309091596</v>
      </c>
      <c r="AL29" s="691">
        <f>IF('A1.3.8'!F$31="","",IF(OR(VLOOKUP($B29,'A1.3.11'!$B$26:$AM$105,AL$22,)="",VLOOKUP($B29,'A1.3.7'!$B$28:$H$118,4,)=""),"",VLOOKUP($B29,'A1.3.11'!$B$26:$AM$105,AL$22,)*(VLOOKUP($B29,'A1.3.7'!$B$28:$O$118,4,)+VLOOKUP($B29,'A1.3.7'!$B$28:$O$118,9,))))</f>
        <v>-0.11806759943954276</v>
      </c>
      <c r="AM29" s="2644">
        <f>IF('A1.3.8'!G$31="","",IF(OR(VLOOKUP($B29,'A1.3.11'!$B$26:$AM$105,AM$22,)="",VLOOKUP($B29,'A1.3.7'!$B$28:$H$118,4,)=""),"",VLOOKUP($B29,'A1.3.11'!$B$26:$AM$105,AM$22,)*(VLOOKUP($B29,'A1.3.7'!$B$28:$O$118,4,)+VLOOKUP($B29,'A1.3.7'!$B$28:$O$118,9,))))</f>
        <v>1.2894876257599935E-3</v>
      </c>
      <c r="AN29" s="693" t="str">
        <f>IF('A1.3.8'!D$38="","",IF(OR(VLOOKUP($B29,'A1.3.11'!$B$26:$AM$105,AN$22,)="",VLOOKUP($B29,'A1.3.7'!$B$28:$H$118,6,)=""),"",VLOOKUP($B29,'A1.3.11'!$B$26:$AM$105,AN$22,)*VLOOKUP($B29,'A1.3.7'!$B$28:$O$118,6,)))</f>
        <v/>
      </c>
      <c r="AO29" s="691" t="str">
        <f>IF('A1.3.8'!E$38="","",IF(OR(VLOOKUP($B29,'A1.3.11'!$B$26:$AM$105,AO$22,)="",VLOOKUP($B29,'A1.3.7'!$B$28:$H$118,6,)=""),"",VLOOKUP($B29,'A1.3.11'!$B$26:$AM$105,AO$22,)*VLOOKUP($B29,'A1.3.7'!$B$28:$O$118,6,)))</f>
        <v/>
      </c>
      <c r="AP29" s="691" t="str">
        <f>IF('A1.3.8'!F$38="","",IF(OR(VLOOKUP($B29,'A1.3.11'!$B$26:$AM$105,AP$22,)="",VLOOKUP($B29,'A1.3.7'!$B$28:$H$118,6,)=""),"",VLOOKUP($B29,'A1.3.11'!$B$26:$AM$105,AP$22,)*VLOOKUP($B29,'A1.3.7'!$B$28:$O$118,6,)))</f>
        <v/>
      </c>
      <c r="AQ29" s="1664" t="str">
        <f>IF('A1.3.8'!G$38="","",IF(OR(VLOOKUP($B29,'A1.3.11'!$B$26:$AM$105,AQ$22,)="",VLOOKUP($B29,'A1.3.7'!$B$28:$H$118,6,)=""),"",VLOOKUP($B29,'A1.3.11'!$B$26:$AM$105,AQ$22,)*VLOOKUP($B29,'A1.3.7'!$B$28:$O$118,6,)))</f>
        <v/>
      </c>
      <c r="AR29" s="693">
        <f>IF(AND(AJ29="",AN29=""),"",IF(AJ29="",0,(AJ29*VLOOKUP($B29,'A1.3.9'!$B$26:$O$57,9,TRUE))) + IF(AN29="",0,(AN29*VLOOKUP($B29,'A1.3.9'!$B$26:$O$57,10,TRUE))))</f>
        <v>307.87033019690779</v>
      </c>
      <c r="AS29" s="691">
        <f>IF(AND(AK29="",AO29=""),"",IF(AK29="",0,(AK29*VLOOKUP($B29,'A1.3.9'!$B$26:$O$57,9,TRUE))) + IF(AO29="",0,(AO29*VLOOKUP($B29,'A1.3.9'!$B$26:$O$57,10,TRUE))))</f>
        <v>16.334739309091596</v>
      </c>
      <c r="AT29" s="691">
        <f>IF(AND(AL29="",AP29=""),"",IF(AL29="",0,(AL29*VLOOKUP($B29,'A1.3.9'!$B$26:$O$57,9,TRUE))) + IF(AP29="",0,(AP29*VLOOKUP($B29,'A1.3.9'!$B$26:$O$57,10,TRUE))))</f>
        <v>-0.11806759943954276</v>
      </c>
      <c r="AU29" s="2644">
        <f>IF(AND(AM29="",AQ29=""),"",IF(AM29="",0,(AM29*VLOOKUP($B29,'A1.3.9'!$B$26:$O$57,9,TRUE))) + IF(AQ29="",0,(AQ29*VLOOKUP($B29,'A1.3.9'!$B$26:$O$57,10,TRUE))))</f>
        <v>1.2894876257599935E-3</v>
      </c>
      <c r="AV29" s="693">
        <f>IF('A1.3.8'!D$32="","",IF(OR(VLOOKUP($B29,'A1.3.11'!$B$26:$AM$105,AV$22,)="",VLOOKUP($B29,'A1.3.7'!$B$28:$H$118,4,)=""),"",VLOOKUP($B29,'A1.3.11'!$B$26:$AM$105,AV$22,)*(VLOOKUP($B29,'A1.3.7'!$B$28:$O$118,4,)+VLOOKUP($B29,'A1.3.7'!$B$28:$O$118,9,))))</f>
        <v>646.91578759040453</v>
      </c>
      <c r="AW29" s="691">
        <f>IF('A1.3.8'!E$32="","",IF(OR(VLOOKUP($B29,'A1.3.11'!$B$26:$AM$105,AW$22,)="",VLOOKUP($B29,'A1.3.7'!$B$28:$H$118,4,)=""),"",VLOOKUP($B29,'A1.3.11'!$B$26:$AM$105,AW$22,)*(VLOOKUP($B29,'A1.3.7'!$B$28:$O$118,4,)+VLOOKUP($B29,'A1.3.7'!$B$28:$O$118,9,))))</f>
        <v>33.595483120716644</v>
      </c>
      <c r="AX29" s="691">
        <f>IF('A1.3.8'!F$32="","",IF(OR(VLOOKUP($B29,'A1.3.11'!$B$26:$AM$105,AX$22,)="",VLOOKUP($B29,'A1.3.7'!$B$28:$H$118,4,)=""),"",VLOOKUP($B29,'A1.3.11'!$B$26:$AM$105,AX$22,)*(VLOOKUP($B29,'A1.3.7'!$B$28:$O$118,4,)+VLOOKUP($B29,'A1.3.7'!$B$28:$O$118,9,))))</f>
        <v>-0.22258774902529274</v>
      </c>
      <c r="AY29" s="2644">
        <f>IF('A1.3.8'!G$32="","",IF(OR(VLOOKUP($B29,'A1.3.11'!$B$26:$AM$105,AY$22,)="",VLOOKUP($B29,'A1.3.7'!$B$28:$H$118,4,)=""),"",VLOOKUP($B29,'A1.3.11'!$B$26:$AM$105,AY$22,)*(VLOOKUP($B29,'A1.3.7'!$B$28:$O$118,4,)+VLOOKUP($B29,'A1.3.7'!$B$28:$O$118,9,))))</f>
        <v>1.32671554335797E-3</v>
      </c>
      <c r="AZ29" s="693" t="str">
        <f>IF('A1.3.8'!D$39="","",IF(OR(VLOOKUP($B29,'A1.3.11'!$B$26:$AM$105,AZ$22,)="",VLOOKUP($B29,'A1.3.7'!$B$28:$H$118,6,)=""),"",VLOOKUP($B29,'A1.3.11'!$B$26:$AM$105,AZ$22,)*VLOOKUP($B29,'A1.3.7'!$B$28:$O$118,6,)))</f>
        <v/>
      </c>
      <c r="BA29" s="691" t="str">
        <f>IF('A1.3.8'!E$39="","",IF(OR(VLOOKUP($B29,'A1.3.11'!$B$26:$AM$105,BA$22,)="",VLOOKUP($B29,'A1.3.7'!$B$28:$H$118,6,)=""),"",VLOOKUP($B29,'A1.3.11'!$B$26:$AM$105,BA$22,)*VLOOKUP($B29,'A1.3.7'!$B$28:$O$118,6,)))</f>
        <v/>
      </c>
      <c r="BB29" s="691" t="str">
        <f>IF('A1.3.8'!F$39="","",IF(OR(VLOOKUP($B29,'A1.3.11'!$B$26:$AM$105,BB$22,)="",VLOOKUP($B29,'A1.3.7'!$B$28:$H$118,6,)=""),"",VLOOKUP($B29,'A1.3.11'!$B$26:$AM$105,BB$22,)*VLOOKUP($B29,'A1.3.7'!$B$28:$O$118,6,)))</f>
        <v/>
      </c>
      <c r="BC29" s="1664" t="str">
        <f>IF('A1.3.8'!G$39="","",IF(OR(VLOOKUP($B29,'A1.3.11'!$B$26:$AM$105,BC$22,)="",VLOOKUP($B29,'A1.3.7'!$B$28:$H$118,6,)=""),"",VLOOKUP($B29,'A1.3.11'!$B$26:$AM$105,BC$22,)*VLOOKUP($B29,'A1.3.7'!$B$28:$O$118,6,)))</f>
        <v/>
      </c>
      <c r="BD29" s="693">
        <f>IF(AND(AV29="",AZ29=""),"",IF(AV29="",0,(AV29*VLOOKUP($B29,'A1.3.9'!$B$26:$O$57,9,TRUE))) + IF(AZ29="",0,(AZ29*VLOOKUP($B29,'A1.3.9'!$B$26:$O$57,10,TRUE))))</f>
        <v>646.91578759040453</v>
      </c>
      <c r="BE29" s="691">
        <f>IF(AND(AW29="",BA29=""),"",IF(AW29="",0,(AW29*VLOOKUP($B29,'A1.3.9'!$B$26:$O$57,9,TRUE))) + IF(BA29="",0,(BA29*VLOOKUP($B29,'A1.3.9'!$B$26:$O$57,10,TRUE))))</f>
        <v>33.595483120716644</v>
      </c>
      <c r="BF29" s="691">
        <f>IF(AND(AX29="",BB29=""),"",IF(AX29="",0,(AX29*VLOOKUP($B29,'A1.3.9'!$B$26:$O$57,9,TRUE))) + IF(BB29="",0,(BB29*VLOOKUP($B29,'A1.3.9'!$B$26:$O$57,10,TRUE))))</f>
        <v>-0.22258774902529274</v>
      </c>
      <c r="BG29" s="2644">
        <f>IF(AND(AY29="",BC29=""),"",IF(AY29="",0,(AY29*VLOOKUP($B29,'A1.3.9'!$B$26:$O$57,9,TRUE))) + IF(BC29="",0,(BC29*VLOOKUP($B29,'A1.3.9'!$B$26:$O$57,10,TRUE))))</f>
        <v>1.32671554335797E-3</v>
      </c>
      <c r="BH29" s="693">
        <f>IF('A1.3.8'!D$33="","",IF(OR(VLOOKUP($B29,'A1.3.11'!$B$26:$AM$105,BH$22,)="",VLOOKUP($B29,'A1.3.7'!$B$28:$H$118,4,)=""),"",VLOOKUP($B29,'A1.3.11'!$B$26:$AM$105,BH$22,)*(VLOOKUP($B29,'A1.3.7'!$B$28:$O$118,4,)+VLOOKUP($B29,'A1.3.7'!$B$28:$O$118,9,))))</f>
        <v>383.67677616967228</v>
      </c>
      <c r="BI29" s="691">
        <f>IF('A1.3.8'!E$33="","",IF(OR(VLOOKUP($B29,'A1.3.11'!$B$26:$AM$105,BI$22,)="",VLOOKUP($B29,'A1.3.7'!$B$28:$H$118,4,)=""),"",VLOOKUP($B29,'A1.3.11'!$B$26:$AM$105,BI$22,)*(VLOOKUP($B29,'A1.3.7'!$B$28:$O$118,4,)+VLOOKUP($B29,'A1.3.7'!$B$28:$O$118,9,))))</f>
        <v>33.71250839719422</v>
      </c>
      <c r="BJ29" s="691">
        <f>IF('A1.3.8'!F$33="","",IF(OR(VLOOKUP($B29,'A1.3.11'!$B$26:$AM$105,BJ$22,)="",VLOOKUP($B29,'A1.3.7'!$B$28:$H$118,4,)=""),"",VLOOKUP($B29,'A1.3.11'!$B$26:$AM$105,BJ$22,)*(VLOOKUP($B29,'A1.3.7'!$B$28:$O$118,4,)+VLOOKUP($B29,'A1.3.7'!$B$28:$O$118,9,))))</f>
        <v>-0.3664249185661701</v>
      </c>
      <c r="BK29" s="2644">
        <f>IF('A1.3.8'!G$33="","",IF(OR(VLOOKUP($B29,'A1.3.11'!$B$26:$AM$105,BK$22,)="",VLOOKUP($B29,'A1.3.7'!$B$28:$H$118,4,)=""),"",VLOOKUP($B29,'A1.3.11'!$B$26:$AM$105,BK$22,)*(VLOOKUP($B29,'A1.3.7'!$B$28:$O$118,4,)+VLOOKUP($B29,'A1.3.7'!$B$28:$O$118,9,))))</f>
        <v>2.6878765539937598E-3</v>
      </c>
      <c r="BL29" s="693" t="str">
        <f>IF('A1.3.8'!D$40="","",IF(OR(VLOOKUP($B29,'A1.3.11'!$B$26:$AM$105,BL$22,)="",VLOOKUP($B29,'A1.3.7'!$B$28:$H$118,6,)=""),"",VLOOKUP($B29,'A1.3.11'!$B$26:$AM$105,BL$22,)*VLOOKUP($B29,'A1.3.7'!$B$28:$O$118,6,)))</f>
        <v/>
      </c>
      <c r="BM29" s="691" t="str">
        <f>IF('A1.3.8'!E$40="","",IF(OR(VLOOKUP($B29,'A1.3.11'!$B$26:$AM$105,BM$22,)="",VLOOKUP($B29,'A1.3.7'!$B$28:$H$118,6,)=""),"",VLOOKUP($B29,'A1.3.11'!$B$26:$AM$105,BM$22,)*VLOOKUP($B29,'A1.3.7'!$B$28:$O$118,6,)))</f>
        <v/>
      </c>
      <c r="BN29" s="691" t="str">
        <f>IF('A1.3.8'!F$40="","",IF(OR(VLOOKUP($B29,'A1.3.11'!$B$26:$AM$105,BN$22,)="",VLOOKUP($B29,'A1.3.7'!$B$28:$H$118,6,)=""),"",VLOOKUP($B29,'A1.3.11'!$B$26:$AM$105,BN$22,)*VLOOKUP($B29,'A1.3.7'!$B$28:$O$118,6,)))</f>
        <v/>
      </c>
      <c r="BO29" s="1664" t="str">
        <f>IF('A1.3.8'!G$40="","",IF(OR(VLOOKUP($B29,'A1.3.11'!$B$26:$AM$105,BO$22,)="",VLOOKUP($B29,'A1.3.7'!$B$28:$H$118,6,)=""),"",VLOOKUP($B29,'A1.3.11'!$B$26:$AM$105,BO$22,)*VLOOKUP($B29,'A1.3.7'!$B$28:$O$118,6,)))</f>
        <v/>
      </c>
      <c r="BP29" s="693">
        <f>IF(AND(BH29="",BL29=""),"",IF(BH29="",0,(BH29*VLOOKUP($B29,'A1.3.9'!$B$26:$O$57,9,TRUE))) + IF(BL29="",0,(BL29*VLOOKUP($B29,'A1.3.9'!$B$26:$O$57,10,TRUE))))</f>
        <v>383.67677616967228</v>
      </c>
      <c r="BQ29" s="691">
        <f>IF(AND(BI29="",BM29=""),"",IF(BI29="",0,(BI29*VLOOKUP($B29,'A1.3.9'!$B$26:$O$57,9,TRUE))) + IF(BM29="",0,(BM29*VLOOKUP($B29,'A1.3.9'!$B$26:$O$57,10,TRUE))))</f>
        <v>33.71250839719422</v>
      </c>
      <c r="BR29" s="691">
        <f>IF(AND(BJ29="",BN29=""),"",IF(BJ29="",0,(BJ29*VLOOKUP($B29,'A1.3.9'!$B$26:$O$57,9,TRUE))) + IF(BN29="",0,(BN29*VLOOKUP($B29,'A1.3.9'!$B$26:$O$57,10,TRUE))))</f>
        <v>-0.3664249185661701</v>
      </c>
      <c r="BS29" s="2644">
        <f>IF(AND(BK29="",BO29=""),"",IF(BK29="",0,(BK29*VLOOKUP($B29,'A1.3.9'!$B$26:$O$57,9,TRUE))) + IF(BO29="",0,(BO29*VLOOKUP($B29,'A1.3.9'!$B$26:$O$57,10,TRUE))))</f>
        <v>2.6878765539937598E-3</v>
      </c>
    </row>
    <row r="30" spans="1:71" ht="13.5" customHeight="1">
      <c r="A30" s="113"/>
      <c r="B30" s="614">
        <f t="shared" si="0"/>
        <v>2013</v>
      </c>
      <c r="C30" s="147"/>
      <c r="D30" s="693">
        <f>IF('A1.3.8'!D$27="","",IF(OR(VLOOKUP($B30,'A1.3.11'!$B$26:$AM$105,D$22,)="",VLOOKUP($B30,'A1.3.7'!$B$28:$H$118,3,)=""),"",VLOOKUP($B30,'A1.3.11'!$B$26:$AM$105,D$22,)*(VLOOKUP($B30,'A1.3.7'!$B$28:$O$118,3,)+VLOOKUP($B30,'A1.3.7'!$B$28:$O$118,8,))))</f>
        <v>49.491080931532345</v>
      </c>
      <c r="E30" s="691">
        <f>IF('A1.3.8'!E$27="","",IF(OR(VLOOKUP($B30,'A1.3.11'!$B$26:$AM$105,E$22,)="",VLOOKUP($B30,'A1.3.7'!$B$28:$H$118,3,)=""),"",VLOOKUP($B30,'A1.3.11'!$B$26:$AM$105,E$22,)*(VLOOKUP($B30,'A1.3.7'!$B$28:$O$118,3,)+VLOOKUP($B30,'A1.3.7'!$B$28:$O$118,8,))))</f>
        <v>10.517657488231585</v>
      </c>
      <c r="F30" s="691">
        <f>IF('A1.3.8'!F$27="","",IF(OR(VLOOKUP($B30,'A1.3.11'!$B$26:$AM$105,F$22,)="",VLOOKUP($B30,'A1.3.7'!$B$28:$H$118,3,)=""),"",VLOOKUP($B30,'A1.3.11'!$B$26:$AM$105,F$22,)*(VLOOKUP($B30,'A1.3.7'!$B$28:$O$118,3,)+VLOOKUP($B30,'A1.3.7'!$B$28:$O$118,8,))))</f>
        <v>-0.1198085915304949</v>
      </c>
      <c r="G30" s="2644">
        <f>IF('A1.3.8'!G$27="","",IF(OR(VLOOKUP($B30,'A1.3.11'!$B$26:$AM$105,G$22,)="",VLOOKUP($B30,'A1.3.7'!$B$28:$H$118,3,)=""),"",VLOOKUP($B30,'A1.3.11'!$B$26:$AM$105,G$22,)*(VLOOKUP($B30,'A1.3.7'!$B$28:$O$118,3,)+VLOOKUP($B30,'A1.3.7'!$B$28:$O$118,8,))))</f>
        <v>7.9348266174471879E-4</v>
      </c>
      <c r="H30" s="693">
        <f>IF('A1.3.8'!D$28="","",IF(OR(VLOOKUP($B30,'A1.3.11'!$B$26:$AM$105,H$22,)="",VLOOKUP($B30,'A1.3.7'!$B$28:$H$118,4,)=""),"",VLOOKUP($B30,'A1.3.11'!$B$26:$AM$105,H$22,)*(VLOOKUP($B30,'A1.3.7'!$B$28:$O$118,4,)+VLOOKUP($B30,'A1.3.7'!$B$28:$O$118,9,))))</f>
        <v>54.955755090569845</v>
      </c>
      <c r="I30" s="691">
        <f>IF('A1.3.8'!E$28="","",IF(OR(VLOOKUP($B30,'A1.3.11'!$B$26:$AM$105,I$22,)="",VLOOKUP($B30,'A1.3.7'!$B$28:$H$118,4,)=""),"",VLOOKUP($B30,'A1.3.11'!$B$26:$AM$105,I$22,)*(VLOOKUP($B30,'A1.3.7'!$B$28:$O$118,4,)+VLOOKUP($B30,'A1.3.7'!$B$28:$O$118,9,))))</f>
        <v>7.8792962257094672</v>
      </c>
      <c r="J30" s="691">
        <f>IF('A1.3.8'!F$28="","",IF(OR(VLOOKUP($B30,'A1.3.11'!$B$26:$AM$105,J$22,)="",VLOOKUP($B30,'A1.3.7'!$B$28:$H$118,4,)=""),"",VLOOKUP($B30,'A1.3.11'!$B$26:$AM$105,J$22,)*(VLOOKUP($B30,'A1.3.7'!$B$28:$O$118,4,)+VLOOKUP($B30,'A1.3.7'!$B$28:$O$118,9,))))</f>
        <v>-7.5801024710975426E-2</v>
      </c>
      <c r="K30" s="2644">
        <f>IF('A1.3.8'!G$28="","",IF(OR(VLOOKUP($B30,'A1.3.11'!$B$26:$AM$105,K$22,)="",VLOOKUP($B30,'A1.3.7'!$B$28:$H$118,4,)=""),"",VLOOKUP($B30,'A1.3.11'!$B$26:$AM$105,K$22,)*(VLOOKUP($B30,'A1.3.7'!$B$28:$O$118,4,)+VLOOKUP($B30,'A1.3.7'!$B$28:$O$118,9,))))</f>
        <v>5.9731587771664422E-4</v>
      </c>
      <c r="L30" s="693" t="str">
        <f>IF('A1.3.8'!D$36="","",IF(OR(VLOOKUP($B30,'A1.3.11'!$B$26:$AM$105,L$22,)="",VLOOKUP($B30,'A1.3.7'!$B$28:$H$118,6,)=""),"",VLOOKUP($B30,'A1.3.11'!$B$26:$AM$105,L$22,)*VLOOKUP($B30,'A1.3.7'!$B$28:$O$118,6,)))</f>
        <v/>
      </c>
      <c r="M30" s="691">
        <f>IF('A1.3.8'!E$36="","",IF(OR(VLOOKUP($B30,'A1.3.11'!$B$26:$AM$105,M$22,)="",VLOOKUP($B30,'A1.3.7'!$B$28:$H$118,6,)=""),"",VLOOKUP($B30,'A1.3.11'!$B$26:$AM$105,M$22,)*VLOOKUP($B30,'A1.3.7'!$B$28:$O$118,6,)))</f>
        <v>2.0522222322608665</v>
      </c>
      <c r="N30" s="691"/>
      <c r="O30" s="1664"/>
      <c r="P30" s="693">
        <f>IF(AND(D30="",H30="",L30=""),"",IF(D30="",0,(D30*VLOOKUP($B30,'A1.3.9'!$B$26:$O$57,3,TRUE)))+IF(H30="",0,(H30*VLOOKUP($B30,'A1.3.9'!$B$26:$O$57,4,TRUE)))+IF(L30="",0,(L30*VLOOKUP($B30,'A1.3.9'!$B$26:$O$57,5,TRUE))))</f>
        <v>52.025761471583607</v>
      </c>
      <c r="Q30" s="691">
        <f>IF(AND(E30="",I30="",M30=""),"",IF(E30="",0,(E30*VLOOKUP($B30,'A1.3.9'!$B$26:$O$57,3,TRUE)))+IF(I30="",0,(I30*VLOOKUP($B30,'A1.3.9'!$B$26:$O$57,4,TRUE)))+IF(M30="",0,(M30*VLOOKUP($B30,'A1.3.9'!$B$26:$O$57,5,TRUE))))</f>
        <v>9.2857637845458711</v>
      </c>
      <c r="R30" s="691">
        <f>IF(AND(F30="",J30="",N30=""),"",IF(F30="",0,(F30*VLOOKUP($B30,'A1.3.9'!$B$26:$O$57,3,TRUE)))+IF(J30="",0,(J30*VLOOKUP($B30,'A1.3.9'!$B$26:$O$57,4,TRUE)))+IF(N30="",0,(N30*VLOOKUP($B30,'A1.3.9'!$B$26:$O$57,5,TRUE))))</f>
        <v>-9.9266127219866024E-2</v>
      </c>
      <c r="S30" s="2644">
        <f>IF(AND(G30="",K30="",O30=""),"",IF(G30="",0,(G30*VLOOKUP($B30,'A1.3.9'!$B$26:$O$57,3,TRUE)))+IF(K30="",0,(K30*VLOOKUP($B30,'A1.3.9'!$B$26:$O$57,4,TRUE)))+IF(O30="",0,(O30*VLOOKUP($B30,'A1.3.9'!$B$26:$O$57,5,TRUE))))</f>
        <v>7.0184792504811191E-4</v>
      </c>
      <c r="T30" s="693">
        <f>IF('A1.3.8'!D$29="","",IF(OR(VLOOKUP($B30,'A1.3.11'!$B$26:$AM$105,T$22,)="",VLOOKUP($B30,'A1.3.7'!$B$28:$H$118,3,)=""),"",VLOOKUP($B30,'A1.3.11'!$B$26:$AM$105,T$22,)*(VLOOKUP($B30,'A1.3.7'!$B$28:$O$118,3,)+VLOOKUP($B30,'A1.3.7'!$B$28:$O$118,8,))))</f>
        <v>36.494912065074928</v>
      </c>
      <c r="U30" s="691">
        <f>IF('A1.3.8'!E$29="","",IF(OR(VLOOKUP($B30,'A1.3.11'!$B$26:$AM$105,U$22,)="",VLOOKUP($B30,'A1.3.7'!$B$28:$H$118,3,)=""),"",VLOOKUP($B30,'A1.3.11'!$B$26:$AM$105,U$22,)*(VLOOKUP($B30,'A1.3.7'!$B$28:$O$118,3,)+VLOOKUP($B30,'A1.3.7'!$B$28:$O$118,8,))))</f>
        <v>20.464234126521461</v>
      </c>
      <c r="V30" s="691">
        <f>IF('A1.3.8'!F$29="","",IF(OR(VLOOKUP($B30,'A1.3.11'!$B$26:$AM$105,V$22,)="",VLOOKUP($B30,'A1.3.7'!$B$28:$H$118,3,)=""),"",VLOOKUP($B30,'A1.3.11'!$B$26:$AM$105,V$22,)*(VLOOKUP($B30,'A1.3.7'!$B$28:$O$118,3,)+VLOOKUP($B30,'A1.3.7'!$B$28:$O$118,8,))))</f>
        <v>-0.32122130409553223</v>
      </c>
      <c r="W30" s="2644">
        <f>IF('A1.3.8'!G$29="","",IF(OR(VLOOKUP($B30,'A1.3.11'!$B$26:$AM$105,W$22,)="",VLOOKUP($B30,'A1.3.7'!$B$28:$H$118,3,)=""),"",VLOOKUP($B30,'A1.3.11'!$B$26:$AM$105,W$22,)*(VLOOKUP($B30,'A1.3.7'!$B$28:$O$118,3,)+VLOOKUP($B30,'A1.3.7'!$B$28:$O$118,8,))))</f>
        <v>2.0744591866410961E-3</v>
      </c>
      <c r="X30" s="693">
        <f>IF('A1.3.8'!D$30="","",IF(OR(VLOOKUP($B30,'A1.3.11'!$B$26:$AM$105,X$22,)="",VLOOKUP($B30,'A1.3.7'!$B$28:$H$118,4,)=""),"",VLOOKUP($B30,'A1.3.11'!$B$26:$AM$105,X$22,)*(VLOOKUP($B30,'A1.3.7'!$B$28:$O$118,4,)+VLOOKUP($B30,'A1.3.7'!$B$28:$O$118,9,))))</f>
        <v>51.768121348933491</v>
      </c>
      <c r="Y30" s="691">
        <f>IF('A1.3.8'!E$30="","",IF(OR(VLOOKUP($B30,'A1.3.11'!$B$26:$AM$105,Y$22,)="",VLOOKUP($B30,'A1.3.7'!$B$28:$H$118,4,)=""),"",VLOOKUP($B30,'A1.3.11'!$B$26:$AM$105,Y$22,)*(VLOOKUP($B30,'A1.3.7'!$B$28:$O$118,4,)+VLOOKUP($B30,'A1.3.7'!$B$28:$O$118,9,))))</f>
        <v>12.652339829946728</v>
      </c>
      <c r="Z30" s="691">
        <f>IF('A1.3.8'!F$30="","",IF(OR(VLOOKUP($B30,'A1.3.11'!$B$26:$AM$105,Z$22,)="",VLOOKUP($B30,'A1.3.7'!$B$28:$H$118,4,)=""),"",VLOOKUP($B30,'A1.3.11'!$B$26:$AM$105,Z$22,)*(VLOOKUP($B30,'A1.3.7'!$B$28:$O$118,4,)+VLOOKUP($B30,'A1.3.7'!$B$28:$O$118,9,))))</f>
        <v>-0.18253299695330755</v>
      </c>
      <c r="AA30" s="2644">
        <f>IF('A1.3.8'!G$30="","",IF(OR(VLOOKUP($B30,'A1.3.11'!$B$26:$AM$105,AA$22,)="",VLOOKUP($B30,'A1.3.7'!$B$28:$H$118,4,)=""),"",VLOOKUP($B30,'A1.3.11'!$B$26:$AM$105,AA$22,)*(VLOOKUP($B30,'A1.3.7'!$B$28:$O$118,4,)+VLOOKUP($B30,'A1.3.7'!$B$28:$O$118,9,))))</f>
        <v>1.5453307166113182E-3</v>
      </c>
      <c r="AB30" s="693" t="str">
        <f>IF('A1.3.8'!D$37="","",IF(OR(VLOOKUP($B30,'A1.3.11'!$B$26:$AM$105,AB$22,)="",VLOOKUP($B30,'A1.3.7'!$B$28:$H$118,6,)=""),"",VLOOKUP($B30,'A1.3.11'!$B$26:$AM$105,AB$22,)*VLOOKUP($B30,'A1.3.7'!$B$28:$O$118,6,)))</f>
        <v/>
      </c>
      <c r="AC30" s="691">
        <f>IF('A1.3.8'!E$37="","",IF(OR(VLOOKUP($B30,'A1.3.11'!$B$26:$AM$105,AC$22,)="",VLOOKUP($B30,'A1.3.7'!$B$28:$H$118,6,)=""),"",VLOOKUP($B30,'A1.3.11'!$B$26:$AM$105,AC$22,)*VLOOKUP($B30,'A1.3.7'!$B$28:$O$118,6,)))</f>
        <v>4.6057942795671254</v>
      </c>
      <c r="AD30" s="691"/>
      <c r="AE30" s="1664" t="str">
        <f>IF('A1.3.8'!G$37="","",IF(OR(VLOOKUP($B30,'A1.3.11'!$B$26:$AM$105,AE$22,)="",VLOOKUP($B30,'A1.3.7'!$B$28:$H$118,6,)=""),"",VLOOKUP($B30,'A1.3.11'!$B$26:$AM$105,AE$22,)*VLOOKUP($B30,'A1.3.7'!$B$28:$O$118,6,)))</f>
        <v/>
      </c>
      <c r="AF30" s="693">
        <f>IF(AND(T30="",X30="",AB30=""),"",IF(T30="",0,(T30*VLOOKUP('A1.3.12'!$B30,'A1.3.9'!$B$26:$O$57,6,TRUE))) + IF(X30="",0,(X30*VLOOKUP('A1.3.12'!$B30,'A1.3.9'!$B$26:$O$57,7,TRUE))) + IF(AB30="",0,(AB30*VLOOKUP('A1.3.12'!$B30,'A1.3.9'!$B$26:$O$57,8,TRUE))))</f>
        <v>51.353448168726935</v>
      </c>
      <c r="AG30" s="691">
        <f>IF(AND(U30="",Y30="",AC30=""),"",IF(U30="",0,(U30*VLOOKUP('A1.3.12'!$B30,'A1.3.9'!$B$26:$O$57,6,TRUE))) + IF(Y30="",0,(Y30*VLOOKUP('A1.3.12'!$B30,'A1.3.9'!$B$26:$O$57,7,TRUE))) + IF(AC30="",0,(AC30*VLOOKUP('A1.3.12'!$B30,'A1.3.9'!$B$26:$O$57,8,TRUE))))</f>
        <v>12.852593365783934</v>
      </c>
      <c r="AH30" s="691">
        <f>IF(AND(V30="",Z30="",AD30=""),"",IF(V30="",0,(V30*VLOOKUP('A1.3.12'!$B30,'A1.3.9'!$B$26:$O$57,6,TRUE))) + IF(Z30="",0,(Z30*VLOOKUP('A1.3.12'!$B30,'A1.3.9'!$B$26:$O$57,7,TRUE))) + IF(AD30="",0,(AD30*VLOOKUP('A1.3.12'!$B30,'A1.3.9'!$B$26:$O$57,8,TRUE))))</f>
        <v>-0.18607458393127999</v>
      </c>
      <c r="AI30" s="2644">
        <f>IF(AND(W30="",AA30="",AE30=""),"",IF(W30="",0,(W30*VLOOKUP('A1.3.12'!$B30,'A1.3.9'!$B$26:$O$57,6,TRUE))) + IF(AA30="",0,(AA30*VLOOKUP('A1.3.12'!$B30,'A1.3.9'!$B$26:$O$57,7,TRUE))) + IF(AE30="",0,(AE30*VLOOKUP('A1.3.12'!$B30,'A1.3.9'!$B$26:$O$57,8,TRUE))))</f>
        <v>1.5585515157658773E-3</v>
      </c>
      <c r="AJ30" s="693">
        <f>IF('A1.3.8'!D$31="","",IF(OR(VLOOKUP($B30,'A1.3.11'!$B$26:$AM$105,AJ$22,)="",VLOOKUP($B30,'A1.3.7'!$B$28:$H$118,4,)=""),"",VLOOKUP($B30,'A1.3.11'!$B$26:$AM$105,AJ$22,)*(VLOOKUP($B30,'A1.3.7'!$B$28:$O$118,4,)+VLOOKUP($B30,'A1.3.7'!$B$28:$O$118,9,))))</f>
        <v>299.19996565651758</v>
      </c>
      <c r="AK30" s="691">
        <f>IF('A1.3.8'!E$31="","",IF(OR(VLOOKUP($B30,'A1.3.11'!$B$26:$AM$105,AK$22,)="",VLOOKUP($B30,'A1.3.7'!$B$28:$H$118,4,)=""),"",VLOOKUP($B30,'A1.3.11'!$B$26:$AM$105,AK$22,)*(VLOOKUP($B30,'A1.3.7'!$B$28:$O$118,4,)+VLOOKUP($B30,'A1.3.7'!$B$28:$O$118,9,))))</f>
        <v>15.874713997813682</v>
      </c>
      <c r="AL30" s="691">
        <f>IF('A1.3.8'!F$31="","",IF(OR(VLOOKUP($B30,'A1.3.11'!$B$26:$AM$105,AL$22,)="",VLOOKUP($B30,'A1.3.7'!$B$28:$H$118,4,)=""),"",VLOOKUP($B30,'A1.3.11'!$B$26:$AM$105,AL$22,)*(VLOOKUP($B30,'A1.3.7'!$B$28:$O$118,4,)+VLOOKUP($B30,'A1.3.7'!$B$28:$O$118,9,))))</f>
        <v>-0.1147425335688079</v>
      </c>
      <c r="AM30" s="2644">
        <f>IF('A1.3.8'!G$31="","",IF(OR(VLOOKUP($B30,'A1.3.11'!$B$26:$AM$105,AM$22,)="",VLOOKUP($B30,'A1.3.7'!$B$28:$H$118,4,)=""),"",VLOOKUP($B30,'A1.3.11'!$B$26:$AM$105,AM$22,)*(VLOOKUP($B30,'A1.3.7'!$B$28:$O$118,4,)+VLOOKUP($B30,'A1.3.7'!$B$28:$O$118,9,))))</f>
        <v>1.2531725713716387E-3</v>
      </c>
      <c r="AN30" s="693" t="str">
        <f>IF('A1.3.8'!D$38="","",IF(OR(VLOOKUP($B30,'A1.3.11'!$B$26:$AM$105,AN$22,)="",VLOOKUP($B30,'A1.3.7'!$B$28:$H$118,6,)=""),"",VLOOKUP($B30,'A1.3.11'!$B$26:$AM$105,AN$22,)*VLOOKUP($B30,'A1.3.7'!$B$28:$O$118,6,)))</f>
        <v/>
      </c>
      <c r="AO30" s="691" t="str">
        <f>IF('A1.3.8'!E$38="","",IF(OR(VLOOKUP($B30,'A1.3.11'!$B$26:$AM$105,AO$22,)="",VLOOKUP($B30,'A1.3.7'!$B$28:$H$118,6,)=""),"",VLOOKUP($B30,'A1.3.11'!$B$26:$AM$105,AO$22,)*VLOOKUP($B30,'A1.3.7'!$B$28:$O$118,6,)))</f>
        <v/>
      </c>
      <c r="AP30" s="691" t="str">
        <f>IF('A1.3.8'!F$38="","",IF(OR(VLOOKUP($B30,'A1.3.11'!$B$26:$AM$105,AP$22,)="",VLOOKUP($B30,'A1.3.7'!$B$28:$H$118,6,)=""),"",VLOOKUP($B30,'A1.3.11'!$B$26:$AM$105,AP$22,)*VLOOKUP($B30,'A1.3.7'!$B$28:$O$118,6,)))</f>
        <v/>
      </c>
      <c r="AQ30" s="1664" t="str">
        <f>IF('A1.3.8'!G$38="","",IF(OR(VLOOKUP($B30,'A1.3.11'!$B$26:$AM$105,AQ$22,)="",VLOOKUP($B30,'A1.3.7'!$B$28:$H$118,6,)=""),"",VLOOKUP($B30,'A1.3.11'!$B$26:$AM$105,AQ$22,)*VLOOKUP($B30,'A1.3.7'!$B$28:$O$118,6,)))</f>
        <v/>
      </c>
      <c r="AR30" s="693">
        <f>IF(AND(AJ30="",AN30=""),"",IF(AJ30="",0,(AJ30*VLOOKUP($B30,'A1.3.9'!$B$26:$O$57,9,TRUE))) + IF(AN30="",0,(AN30*VLOOKUP($B30,'A1.3.9'!$B$26:$O$57,10,TRUE))))</f>
        <v>299.19996565651758</v>
      </c>
      <c r="AS30" s="691">
        <f>IF(AND(AK30="",AO30=""),"",IF(AK30="",0,(AK30*VLOOKUP($B30,'A1.3.9'!$B$26:$O$57,9,TRUE))) + IF(AO30="",0,(AO30*VLOOKUP($B30,'A1.3.9'!$B$26:$O$57,10,TRUE))))</f>
        <v>15.874713997813682</v>
      </c>
      <c r="AT30" s="691">
        <f>IF(AND(AL30="",AP30=""),"",IF(AL30="",0,(AL30*VLOOKUP($B30,'A1.3.9'!$B$26:$O$57,9,TRUE))) + IF(AP30="",0,(AP30*VLOOKUP($B30,'A1.3.9'!$B$26:$O$57,10,TRUE))))</f>
        <v>-0.1147425335688079</v>
      </c>
      <c r="AU30" s="2644">
        <f>IF(AND(AM30="",AQ30=""),"",IF(AM30="",0,(AM30*VLOOKUP($B30,'A1.3.9'!$B$26:$O$57,9,TRUE))) + IF(AQ30="",0,(AQ30*VLOOKUP($B30,'A1.3.9'!$B$26:$O$57,10,TRUE))))</f>
        <v>1.2531725713716387E-3</v>
      </c>
      <c r="AV30" s="693">
        <f>IF('A1.3.8'!D$32="","",IF(OR(VLOOKUP($B30,'A1.3.11'!$B$26:$AM$105,AV$22,)="",VLOOKUP($B30,'A1.3.7'!$B$28:$H$118,4,)=""),"",VLOOKUP($B30,'A1.3.11'!$B$26:$AM$105,AV$22,)*(VLOOKUP($B30,'A1.3.7'!$B$28:$O$118,4,)+VLOOKUP($B30,'A1.3.7'!$B$28:$O$118,9,))))</f>
        <v>628.69709239572614</v>
      </c>
      <c r="AW30" s="691">
        <f>IF('A1.3.8'!E$32="","",IF(OR(VLOOKUP($B30,'A1.3.11'!$B$26:$AM$105,AW$22,)="",VLOOKUP($B30,'A1.3.7'!$B$28:$H$118,4,)=""),"",VLOOKUP($B30,'A1.3.11'!$B$26:$AM$105,AW$22,)*(VLOOKUP($B30,'A1.3.7'!$B$28:$O$118,4,)+VLOOKUP($B30,'A1.3.7'!$B$28:$O$118,9,))))</f>
        <v>32.649353997521047</v>
      </c>
      <c r="AX30" s="691">
        <f>IF('A1.3.8'!F$32="","",IF(OR(VLOOKUP($B30,'A1.3.11'!$B$26:$AM$105,AX$22,)="",VLOOKUP($B30,'A1.3.7'!$B$28:$H$118,4,)=""),"",VLOOKUP($B30,'A1.3.11'!$B$26:$AM$105,AX$22,)*(VLOOKUP($B30,'A1.3.7'!$B$28:$O$118,4,)+VLOOKUP($B30,'A1.3.7'!$B$28:$O$118,9,))))</f>
        <v>-0.21631914586031792</v>
      </c>
      <c r="AY30" s="2644">
        <f>IF('A1.3.8'!G$32="","",IF(OR(VLOOKUP($B30,'A1.3.11'!$B$26:$AM$105,AY$22,)="",VLOOKUP($B30,'A1.3.7'!$B$28:$H$118,4,)=""),"",VLOOKUP($B30,'A1.3.11'!$B$26:$AM$105,AY$22,)*(VLOOKUP($B30,'A1.3.7'!$B$28:$O$118,4,)+VLOOKUP($B30,'A1.3.7'!$B$28:$O$118,9,))))</f>
        <v>1.2893520618072849E-3</v>
      </c>
      <c r="AZ30" s="693" t="str">
        <f>IF('A1.3.8'!D$39="","",IF(OR(VLOOKUP($B30,'A1.3.11'!$B$26:$AM$105,AZ$22,)="",VLOOKUP($B30,'A1.3.7'!$B$28:$H$118,6,)=""),"",VLOOKUP($B30,'A1.3.11'!$B$26:$AM$105,AZ$22,)*VLOOKUP($B30,'A1.3.7'!$B$28:$O$118,6,)))</f>
        <v/>
      </c>
      <c r="BA30" s="691" t="str">
        <f>IF('A1.3.8'!E$39="","",IF(OR(VLOOKUP($B30,'A1.3.11'!$B$26:$AM$105,BA$22,)="",VLOOKUP($B30,'A1.3.7'!$B$28:$H$118,6,)=""),"",VLOOKUP($B30,'A1.3.11'!$B$26:$AM$105,BA$22,)*VLOOKUP($B30,'A1.3.7'!$B$28:$O$118,6,)))</f>
        <v/>
      </c>
      <c r="BB30" s="691" t="str">
        <f>IF('A1.3.8'!F$39="","",IF(OR(VLOOKUP($B30,'A1.3.11'!$B$26:$AM$105,BB$22,)="",VLOOKUP($B30,'A1.3.7'!$B$28:$H$118,6,)=""),"",VLOOKUP($B30,'A1.3.11'!$B$26:$AM$105,BB$22,)*VLOOKUP($B30,'A1.3.7'!$B$28:$O$118,6,)))</f>
        <v/>
      </c>
      <c r="BC30" s="1664" t="str">
        <f>IF('A1.3.8'!G$39="","",IF(OR(VLOOKUP($B30,'A1.3.11'!$B$26:$AM$105,BC$22,)="",VLOOKUP($B30,'A1.3.7'!$B$28:$H$118,6,)=""),"",VLOOKUP($B30,'A1.3.11'!$B$26:$AM$105,BC$22,)*VLOOKUP($B30,'A1.3.7'!$B$28:$O$118,6,)))</f>
        <v/>
      </c>
      <c r="BD30" s="693">
        <f>IF(AND(AV30="",AZ30=""),"",IF(AV30="",0,(AV30*VLOOKUP($B30,'A1.3.9'!$B$26:$O$57,9,TRUE))) + IF(AZ30="",0,(AZ30*VLOOKUP($B30,'A1.3.9'!$B$26:$O$57,10,TRUE))))</f>
        <v>628.69709239572614</v>
      </c>
      <c r="BE30" s="691">
        <f>IF(AND(AW30="",BA30=""),"",IF(AW30="",0,(AW30*VLOOKUP($B30,'A1.3.9'!$B$26:$O$57,9,TRUE))) + IF(BA30="",0,(BA30*VLOOKUP($B30,'A1.3.9'!$B$26:$O$57,10,TRUE))))</f>
        <v>32.649353997521047</v>
      </c>
      <c r="BF30" s="691">
        <f>IF(AND(AX30="",BB30=""),"",IF(AX30="",0,(AX30*VLOOKUP($B30,'A1.3.9'!$B$26:$O$57,9,TRUE))) + IF(BB30="",0,(BB30*VLOOKUP($B30,'A1.3.9'!$B$26:$O$57,10,TRUE))))</f>
        <v>-0.21631914586031792</v>
      </c>
      <c r="BG30" s="2644">
        <f>IF(AND(AY30="",BC30=""),"",IF(AY30="",0,(AY30*VLOOKUP($B30,'A1.3.9'!$B$26:$O$57,9,TRUE))) + IF(BC30="",0,(BC30*VLOOKUP($B30,'A1.3.9'!$B$26:$O$57,10,TRUE))))</f>
        <v>1.2893520618072849E-3</v>
      </c>
      <c r="BH30" s="693">
        <f>IF('A1.3.8'!D$33="","",IF(OR(VLOOKUP($B30,'A1.3.11'!$B$26:$AM$105,BH$22,)="",VLOOKUP($B30,'A1.3.7'!$B$28:$H$118,4,)=""),"",VLOOKUP($B30,'A1.3.11'!$B$26:$AM$105,BH$22,)*(VLOOKUP($B30,'A1.3.7'!$B$28:$O$118,4,)+VLOOKUP($B30,'A1.3.7'!$B$28:$O$118,9,))))</f>
        <v>372.87152087616892</v>
      </c>
      <c r="BI30" s="691">
        <f>IF('A1.3.8'!E$33="","",IF(OR(VLOOKUP($B30,'A1.3.11'!$B$26:$AM$105,BI$22,)="",VLOOKUP($B30,'A1.3.7'!$B$28:$H$118,4,)=""),"",VLOOKUP($B30,'A1.3.11'!$B$26:$AM$105,BI$22,)*(VLOOKUP($B30,'A1.3.7'!$B$28:$O$118,4,)+VLOOKUP($B30,'A1.3.7'!$B$28:$O$118,9,))))</f>
        <v>32.763083562434431</v>
      </c>
      <c r="BJ30" s="691">
        <f>IF('A1.3.8'!F$33="","",IF(OR(VLOOKUP($B30,'A1.3.11'!$B$26:$AM$105,BJ$22,)="",VLOOKUP($B30,'A1.3.7'!$B$28:$H$118,4,)=""),"",VLOOKUP($B30,'A1.3.11'!$B$26:$AM$105,BJ$22,)*(VLOOKUP($B30,'A1.3.7'!$B$28:$O$118,4,)+VLOOKUP($B30,'A1.3.7'!$B$28:$O$118,9,))))</f>
        <v>-0.35610551682771896</v>
      </c>
      <c r="BK30" s="2644">
        <f>IF('A1.3.8'!G$33="","",IF(OR(VLOOKUP($B30,'A1.3.11'!$B$26:$AM$105,BK$22,)="",VLOOKUP($B30,'A1.3.7'!$B$28:$H$118,4,)=""),"",VLOOKUP($B30,'A1.3.11'!$B$26:$AM$105,BK$22,)*(VLOOKUP($B30,'A1.3.7'!$B$28:$O$118,4,)+VLOOKUP($B30,'A1.3.7'!$B$28:$O$118,9,))))</f>
        <v>2.6121795241832273E-3</v>
      </c>
      <c r="BL30" s="693" t="str">
        <f>IF('A1.3.8'!D$40="","",IF(OR(VLOOKUP($B30,'A1.3.11'!$B$26:$AM$105,BL$22,)="",VLOOKUP($B30,'A1.3.7'!$B$28:$H$118,6,)=""),"",VLOOKUP($B30,'A1.3.11'!$B$26:$AM$105,BL$22,)*VLOOKUP($B30,'A1.3.7'!$B$28:$O$118,6,)))</f>
        <v/>
      </c>
      <c r="BM30" s="691" t="str">
        <f>IF('A1.3.8'!E$40="","",IF(OR(VLOOKUP($B30,'A1.3.11'!$B$26:$AM$105,BM$22,)="",VLOOKUP($B30,'A1.3.7'!$B$28:$H$118,6,)=""),"",VLOOKUP($B30,'A1.3.11'!$B$26:$AM$105,BM$22,)*VLOOKUP($B30,'A1.3.7'!$B$28:$O$118,6,)))</f>
        <v/>
      </c>
      <c r="BN30" s="691" t="str">
        <f>IF('A1.3.8'!F$40="","",IF(OR(VLOOKUP($B30,'A1.3.11'!$B$26:$AM$105,BN$22,)="",VLOOKUP($B30,'A1.3.7'!$B$28:$H$118,6,)=""),"",VLOOKUP($B30,'A1.3.11'!$B$26:$AM$105,BN$22,)*VLOOKUP($B30,'A1.3.7'!$B$28:$O$118,6,)))</f>
        <v/>
      </c>
      <c r="BO30" s="1664" t="str">
        <f>IF('A1.3.8'!G$40="","",IF(OR(VLOOKUP($B30,'A1.3.11'!$B$26:$AM$105,BO$22,)="",VLOOKUP($B30,'A1.3.7'!$B$28:$H$118,6,)=""),"",VLOOKUP($B30,'A1.3.11'!$B$26:$AM$105,BO$22,)*VLOOKUP($B30,'A1.3.7'!$B$28:$O$118,6,)))</f>
        <v/>
      </c>
      <c r="BP30" s="693">
        <f>IF(AND(BH30="",BL30=""),"",IF(BH30="",0,(BH30*VLOOKUP($B30,'A1.3.9'!$B$26:$O$57,9,TRUE))) + IF(BL30="",0,(BL30*VLOOKUP($B30,'A1.3.9'!$B$26:$O$57,10,TRUE))))</f>
        <v>372.87152087616892</v>
      </c>
      <c r="BQ30" s="691">
        <f>IF(AND(BI30="",BM30=""),"",IF(BI30="",0,(BI30*VLOOKUP($B30,'A1.3.9'!$B$26:$O$57,9,TRUE))) + IF(BM30="",0,(BM30*VLOOKUP($B30,'A1.3.9'!$B$26:$O$57,10,TRUE))))</f>
        <v>32.763083562434431</v>
      </c>
      <c r="BR30" s="691">
        <f>IF(AND(BJ30="",BN30=""),"",IF(BJ30="",0,(BJ30*VLOOKUP($B30,'A1.3.9'!$B$26:$O$57,9,TRUE))) + IF(BN30="",0,(BN30*VLOOKUP($B30,'A1.3.9'!$B$26:$O$57,10,TRUE))))</f>
        <v>-0.35610551682771896</v>
      </c>
      <c r="BS30" s="2644">
        <f>IF(AND(BK30="",BO30=""),"",IF(BK30="",0,(BK30*VLOOKUP($B30,'A1.3.9'!$B$26:$O$57,9,TRUE))) + IF(BO30="",0,(BO30*VLOOKUP($B30,'A1.3.9'!$B$26:$O$57,10,TRUE))))</f>
        <v>2.6121795241832273E-3</v>
      </c>
    </row>
    <row r="31" spans="1:71" ht="13.5" customHeight="1">
      <c r="A31" s="113"/>
      <c r="B31" s="614">
        <f t="shared" si="0"/>
        <v>2014</v>
      </c>
      <c r="C31" s="147"/>
      <c r="D31" s="693">
        <f>IF('A1.3.8'!D$27="","",IF(OR(VLOOKUP($B31,'A1.3.11'!$B$26:$AM$105,D$22,)="",VLOOKUP($B31,'A1.3.7'!$B$28:$H$118,3,)=""),"",VLOOKUP($B31,'A1.3.11'!$B$26:$AM$105,D$22,)*(VLOOKUP($B31,'A1.3.7'!$B$28:$O$118,3,)+VLOOKUP($B31,'A1.3.7'!$B$28:$O$118,8,))))</f>
        <v>45.611086378963911</v>
      </c>
      <c r="E31" s="691">
        <f>IF('A1.3.8'!E$27="","",IF(OR(VLOOKUP($B31,'A1.3.11'!$B$26:$AM$105,E$22,)="",VLOOKUP($B31,'A1.3.7'!$B$28:$H$118,3,)=""),"",VLOOKUP($B31,'A1.3.11'!$B$26:$AM$105,E$22,)*(VLOOKUP($B31,'A1.3.7'!$B$28:$O$118,3,)+VLOOKUP($B31,'A1.3.7'!$B$28:$O$118,8,))))</f>
        <v>9.6930957087753047</v>
      </c>
      <c r="F31" s="691">
        <f>IF('A1.3.8'!F$27="","",IF(OR(VLOOKUP($B31,'A1.3.11'!$B$26:$AM$105,F$22,)="",VLOOKUP($B31,'A1.3.7'!$B$28:$H$118,3,)=""),"",VLOOKUP($B31,'A1.3.11'!$B$26:$AM$105,F$22,)*(VLOOKUP($B31,'A1.3.7'!$B$28:$O$118,3,)+VLOOKUP($B31,'A1.3.7'!$B$28:$O$118,8,))))</f>
        <v>-0.11041585502647076</v>
      </c>
      <c r="G31" s="2644">
        <f>IF('A1.3.8'!G$27="","",IF(OR(VLOOKUP($B31,'A1.3.11'!$B$26:$AM$105,G$22,)="",VLOOKUP($B31,'A1.3.7'!$B$28:$H$118,3,)=""),"",VLOOKUP($B31,'A1.3.11'!$B$26:$AM$105,G$22,)*(VLOOKUP($B31,'A1.3.7'!$B$28:$O$118,3,)+VLOOKUP($B31,'A1.3.7'!$B$28:$O$118,8,))))</f>
        <v>7.3127532363088368E-4</v>
      </c>
      <c r="H31" s="693">
        <f>IF('A1.3.8'!D$28="","",IF(OR(VLOOKUP($B31,'A1.3.11'!$B$26:$AM$105,H$22,)="",VLOOKUP($B31,'A1.3.7'!$B$28:$H$118,4,)=""),"",VLOOKUP($B31,'A1.3.11'!$B$26:$AM$105,H$22,)*(VLOOKUP($B31,'A1.3.7'!$B$28:$O$118,4,)+VLOOKUP($B31,'A1.3.7'!$B$28:$O$118,9,))))</f>
        <v>50.74794593365538</v>
      </c>
      <c r="I31" s="691">
        <f>IF('A1.3.8'!E$28="","",IF(OR(VLOOKUP($B31,'A1.3.11'!$B$26:$AM$105,I$22,)="",VLOOKUP($B31,'A1.3.7'!$B$28:$H$118,4,)=""),"",VLOOKUP($B31,'A1.3.11'!$B$26:$AM$105,I$22,)*(VLOOKUP($B31,'A1.3.7'!$B$28:$O$118,4,)+VLOOKUP($B31,'A1.3.7'!$B$28:$O$118,9,))))</f>
        <v>7.2760004516100771</v>
      </c>
      <c r="J31" s="691">
        <f>IF('A1.3.8'!F$28="","",IF(OR(VLOOKUP($B31,'A1.3.11'!$B$26:$AM$105,J$22,)="",VLOOKUP($B31,'A1.3.7'!$B$28:$H$118,4,)=""),"",VLOOKUP($B31,'A1.3.11'!$B$26:$AM$105,J$22,)*(VLOOKUP($B31,'A1.3.7'!$B$28:$O$118,4,)+VLOOKUP($B31,'A1.3.7'!$B$28:$O$118,9,))))</f>
        <v>-6.9997151297596136E-2</v>
      </c>
      <c r="K31" s="2644">
        <f>IF('A1.3.8'!G$28="","",IF(OR(VLOOKUP($B31,'A1.3.11'!$B$26:$AM$105,K$22,)="",VLOOKUP($B31,'A1.3.7'!$B$28:$H$118,4,)=""),"",VLOOKUP($B31,'A1.3.11'!$B$26:$AM$105,K$22,)*(VLOOKUP($B31,'A1.3.7'!$B$28:$O$118,4,)+VLOOKUP($B31,'A1.3.7'!$B$28:$O$118,9,))))</f>
        <v>5.5158106403454133E-4</v>
      </c>
      <c r="L31" s="693" t="str">
        <f>IF('A1.3.8'!D$36="","",IF(OR(VLOOKUP($B31,'A1.3.11'!$B$26:$AM$105,L$22,)="",VLOOKUP($B31,'A1.3.7'!$B$28:$H$118,6,)=""),"",VLOOKUP($B31,'A1.3.11'!$B$26:$AM$105,L$22,)*VLOOKUP($B31,'A1.3.7'!$B$28:$O$118,6,)))</f>
        <v/>
      </c>
      <c r="M31" s="691">
        <f>IF('A1.3.8'!E$36="","",IF(OR(VLOOKUP($B31,'A1.3.11'!$B$26:$AM$105,M$22,)="",VLOOKUP($B31,'A1.3.7'!$B$28:$H$118,6,)=""),"",VLOOKUP($B31,'A1.3.11'!$B$26:$AM$105,M$22,)*VLOOKUP($B31,'A1.3.7'!$B$28:$O$118,6,)))</f>
        <v>2.0783778530054198</v>
      </c>
      <c r="N31" s="691"/>
      <c r="O31" s="1664"/>
      <c r="P31" s="693">
        <f>IF(AND(D31="",H31="",L31=""),"",IF(D31="",0,(D31*VLOOKUP($B31,'A1.3.9'!$B$26:$O$57,3,TRUE)))+IF(H31="",0,(H31*VLOOKUP($B31,'A1.3.9'!$B$26:$O$57,4,TRUE)))+IF(L31="",0,(L31*VLOOKUP($B31,'A1.3.9'!$B$26:$O$57,5,TRUE))))</f>
        <v>48.072870899510235</v>
      </c>
      <c r="Q31" s="691">
        <f>IF(AND(E31="",I31="",M31=""),"",IF(E31="",0,(E31*VLOOKUP($B31,'A1.3.9'!$B$26:$O$57,3,TRUE)))+IF(I31="",0,(I31*VLOOKUP($B31,'A1.3.9'!$B$26:$O$57,4,TRUE)))+IF(M31="",0,(M31*VLOOKUP($B31,'A1.3.9'!$B$26:$O$57,5,TRUE))))</f>
        <v>8.5148977696527268</v>
      </c>
      <c r="R31" s="691">
        <f>IF(AND(F31="",J31="",N31=""),"",IF(F31="",0,(F31*VLOOKUP($B31,'A1.3.9'!$B$26:$O$57,3,TRUE)))+IF(J31="",0,(J31*VLOOKUP($B31,'A1.3.9'!$B$26:$O$57,4,TRUE)))+IF(N31="",0,(N31*VLOOKUP($B31,'A1.3.9'!$B$26:$O$57,5,TRUE))))</f>
        <v>-9.0725549450669879E-2</v>
      </c>
      <c r="S31" s="2644">
        <f>IF(AND(G31="",K31="",O31=""),"",IF(G31="",0,(G31*VLOOKUP($B31,'A1.3.9'!$B$26:$O$57,3,TRUE)))+IF(K31="",0,(K31*VLOOKUP($B31,'A1.3.9'!$B$26:$O$57,4,TRUE)))+IF(O31="",0,(O31*VLOOKUP($B31,'A1.3.9'!$B$26:$O$57,5,TRUE))))</f>
        <v>6.4357182883177406E-4</v>
      </c>
      <c r="T31" s="693">
        <f>IF('A1.3.8'!D$29="","",IF(OR(VLOOKUP($B31,'A1.3.11'!$B$26:$AM$105,T$22,)="",VLOOKUP($B31,'A1.3.7'!$B$28:$H$118,3,)=""),"",VLOOKUP($B31,'A1.3.11'!$B$26:$AM$105,T$22,)*(VLOOKUP($B31,'A1.3.7'!$B$28:$O$118,3,)+VLOOKUP($B31,'A1.3.7'!$B$28:$O$118,8,))))</f>
        <v>34.157997910371037</v>
      </c>
      <c r="U31" s="691">
        <f>IF('A1.3.8'!E$29="","",IF(OR(VLOOKUP($B31,'A1.3.11'!$B$26:$AM$105,U$22,)="",VLOOKUP($B31,'A1.3.7'!$B$28:$H$118,3,)=""),"",VLOOKUP($B31,'A1.3.11'!$B$26:$AM$105,U$22,)*(VLOOKUP($B31,'A1.3.7'!$B$28:$O$118,3,)+VLOOKUP($B31,'A1.3.7'!$B$28:$O$118,8,))))</f>
        <v>19.15382794414273</v>
      </c>
      <c r="V31" s="691">
        <f>IF('A1.3.8'!F$29="","",IF(OR(VLOOKUP($B31,'A1.3.11'!$B$26:$AM$105,V$22,)="",VLOOKUP($B31,'A1.3.7'!$B$28:$H$118,3,)=""),"",VLOOKUP($B31,'A1.3.11'!$B$26:$AM$105,V$22,)*(VLOOKUP($B31,'A1.3.7'!$B$28:$O$118,3,)+VLOOKUP($B31,'A1.3.7'!$B$28:$O$118,8,))))</f>
        <v>-0.30065222830231592</v>
      </c>
      <c r="W31" s="2644">
        <f>IF('A1.3.8'!G$29="","",IF(OR(VLOOKUP($B31,'A1.3.11'!$B$26:$AM$105,W$22,)="",VLOOKUP($B31,'A1.3.7'!$B$28:$H$118,3,)=""),"",VLOOKUP($B31,'A1.3.11'!$B$26:$AM$105,W$22,)*(VLOOKUP($B31,'A1.3.7'!$B$28:$O$118,3,)+VLOOKUP($B31,'A1.3.7'!$B$28:$O$118,8,))))</f>
        <v>1.9416233264539879E-3</v>
      </c>
      <c r="X31" s="693">
        <f>IF('A1.3.8'!D$30="","",IF(OR(VLOOKUP($B31,'A1.3.11'!$B$26:$AM$105,X$22,)="",VLOOKUP($B31,'A1.3.7'!$B$28:$H$118,4,)=""),"",VLOOKUP($B31,'A1.3.11'!$B$26:$AM$105,X$22,)*(VLOOKUP($B31,'A1.3.7'!$B$28:$O$118,4,)+VLOOKUP($B31,'A1.3.7'!$B$28:$O$118,9,))))</f>
        <v>48.251737078343183</v>
      </c>
      <c r="Y31" s="691">
        <f>IF('A1.3.8'!E$30="","",IF(OR(VLOOKUP($B31,'A1.3.11'!$B$26:$AM$105,Y$22,)="",VLOOKUP($B31,'A1.3.7'!$B$28:$H$118,4,)=""),"",VLOOKUP($B31,'A1.3.11'!$B$26:$AM$105,Y$22,)*(VLOOKUP($B31,'A1.3.7'!$B$28:$O$118,4,)+VLOOKUP($B31,'A1.3.7'!$B$28:$O$118,9,))))</f>
        <v>11.792921183782074</v>
      </c>
      <c r="Z31" s="691">
        <f>IF('A1.3.8'!F$30="","",IF(OR(VLOOKUP($B31,'A1.3.11'!$B$26:$AM$105,Z$22,)="",VLOOKUP($B31,'A1.3.7'!$B$28:$H$118,4,)=""),"",VLOOKUP($B31,'A1.3.11'!$B$26:$AM$105,Z$22,)*(VLOOKUP($B31,'A1.3.7'!$B$28:$O$118,4,)+VLOOKUP($B31,'A1.3.7'!$B$28:$O$118,9,))))</f>
        <v>-0.17013432103798878</v>
      </c>
      <c r="AA31" s="2644">
        <f>IF('A1.3.8'!G$30="","",IF(OR(VLOOKUP($B31,'A1.3.11'!$B$26:$AM$105,AA$22,)="",VLOOKUP($B31,'A1.3.7'!$B$28:$H$118,4,)=""),"",VLOOKUP($B31,'A1.3.11'!$B$26:$AM$105,AA$22,)*(VLOOKUP($B31,'A1.3.7'!$B$28:$O$118,4,)+VLOOKUP($B31,'A1.3.7'!$B$28:$O$118,9,))))</f>
        <v>1.4403630940057889E-3</v>
      </c>
      <c r="AB31" s="693" t="str">
        <f>IF('A1.3.8'!D$37="","",IF(OR(VLOOKUP($B31,'A1.3.11'!$B$26:$AM$105,AB$22,)="",VLOOKUP($B31,'A1.3.7'!$B$28:$H$118,6,)=""),"",VLOOKUP($B31,'A1.3.11'!$B$26:$AM$105,AB$22,)*VLOOKUP($B31,'A1.3.7'!$B$28:$O$118,6,)))</f>
        <v/>
      </c>
      <c r="AC31" s="691">
        <f>IF('A1.3.8'!E$37="","",IF(OR(VLOOKUP($B31,'A1.3.11'!$B$26:$AM$105,AC$22,)="",VLOOKUP($B31,'A1.3.7'!$B$28:$H$118,6,)=""),"",VLOOKUP($B31,'A1.3.11'!$B$26:$AM$105,AC$22,)*VLOOKUP($B31,'A1.3.7'!$B$28:$O$118,6,)))</f>
        <v>4.6303335201804625</v>
      </c>
      <c r="AD31" s="691"/>
      <c r="AE31" s="1664" t="str">
        <f>IF('A1.3.8'!G$37="","",IF(OR(VLOOKUP($B31,'A1.3.11'!$B$26:$AM$105,AE$22,)="",VLOOKUP($B31,'A1.3.7'!$B$28:$H$118,6,)=""),"",VLOOKUP($B31,'A1.3.11'!$B$26:$AM$105,AE$22,)*VLOOKUP($B31,'A1.3.7'!$B$28:$O$118,6,)))</f>
        <v/>
      </c>
      <c r="AF31" s="693">
        <f>IF(AND(T31="",X31="",AB31=""),"",IF(T31="",0,(T31*VLOOKUP('A1.3.12'!$B31,'A1.3.9'!$B$26:$O$57,6,TRUE))) + IF(X31="",0,(X31*VLOOKUP('A1.3.12'!$B31,'A1.3.9'!$B$26:$O$57,7,TRUE))) + IF(AB31="",0,(AB31*VLOOKUP('A1.3.12'!$B31,'A1.3.9'!$B$26:$O$57,8,TRUE))))</f>
        <v>47.888888614259649</v>
      </c>
      <c r="AG31" s="691">
        <f>IF(AND(U31="",Y31="",AC31=""),"",IF(U31="",0,(U31*VLOOKUP('A1.3.12'!$B31,'A1.3.9'!$B$26:$O$57,6,TRUE))) + IF(Y31="",0,(Y31*VLOOKUP('A1.3.12'!$B31,'A1.3.9'!$B$26:$O$57,7,TRUE))) + IF(AC31="",0,(AC31*VLOOKUP('A1.3.12'!$B31,'A1.3.9'!$B$26:$O$57,8,TRUE))))</f>
        <v>11.960473820858487</v>
      </c>
      <c r="AH31" s="691">
        <f>IF(AND(V31="",Z31="",AD31=""),"",IF(V31="",0,(V31*VLOOKUP('A1.3.12'!$B31,'A1.3.9'!$B$26:$O$57,6,TRUE))) + IF(Z31="",0,(Z31*VLOOKUP('A1.3.12'!$B31,'A1.3.9'!$B$26:$O$57,7,TRUE))) + IF(AD31="",0,(AD31*VLOOKUP('A1.3.12'!$B31,'A1.3.9'!$B$26:$O$57,8,TRUE))))</f>
        <v>-0.1730759720152901</v>
      </c>
      <c r="AI31" s="2644">
        <f>IF(AND(W31="",AA31="",AE31=""),"",IF(W31="",0,(W31*VLOOKUP('A1.3.12'!$B31,'A1.3.9'!$B$26:$O$57,6,TRUE))) + IF(AA31="",0,(AA31*VLOOKUP('A1.3.12'!$B31,'A1.3.9'!$B$26:$O$57,7,TRUE))) + IF(AE31="",0,(AE31*VLOOKUP('A1.3.12'!$B31,'A1.3.9'!$B$26:$O$57,8,TRUE))))</f>
        <v>1.4511267474090479E-3</v>
      </c>
      <c r="AJ31" s="693">
        <f>IF('A1.3.8'!D$31="","",IF(OR(VLOOKUP($B31,'A1.3.11'!$B$26:$AM$105,AJ$22,)="",VLOOKUP($B31,'A1.3.7'!$B$28:$H$118,4,)=""),"",VLOOKUP($B31,'A1.3.11'!$B$26:$AM$105,AJ$22,)*(VLOOKUP($B31,'A1.3.7'!$B$28:$O$118,4,)+VLOOKUP($B31,'A1.3.7'!$B$28:$O$118,9,))))</f>
        <v>279.60067569994209</v>
      </c>
      <c r="AK31" s="691">
        <f>IF('A1.3.8'!E$31="","",IF(OR(VLOOKUP($B31,'A1.3.11'!$B$26:$AM$105,AK$22,)="",VLOOKUP($B31,'A1.3.7'!$B$28:$H$118,4,)=""),"",VLOOKUP($B31,'A1.3.11'!$B$26:$AM$105,AK$22,)*(VLOOKUP($B31,'A1.3.7'!$B$28:$O$118,4,)+VLOOKUP($B31,'A1.3.7'!$B$28:$O$118,9,))))</f>
        <v>14.834830447231864</v>
      </c>
      <c r="AL31" s="691">
        <f>IF('A1.3.8'!F$31="","",IF(OR(VLOOKUP($B31,'A1.3.11'!$B$26:$AM$105,AL$22,)="",VLOOKUP($B31,'A1.3.7'!$B$28:$H$118,4,)=""),"",VLOOKUP($B31,'A1.3.11'!$B$26:$AM$105,AL$22,)*(VLOOKUP($B31,'A1.3.7'!$B$28:$O$118,4,)+VLOOKUP($B31,'A1.3.7'!$B$28:$O$118,9,))))</f>
        <v>-0.10722624866271646</v>
      </c>
      <c r="AM31" s="2644">
        <f>IF('A1.3.8'!G$31="","",IF(OR(VLOOKUP($B31,'A1.3.11'!$B$26:$AM$105,AM$22,)="",VLOOKUP($B31,'A1.3.7'!$B$28:$H$118,4,)=""),"",VLOOKUP($B31,'A1.3.11'!$B$26:$AM$105,AM$22,)*(VLOOKUP($B31,'A1.3.7'!$B$28:$O$118,4,)+VLOOKUP($B31,'A1.3.7'!$B$28:$O$118,9,))))</f>
        <v>1.1710826802914492E-3</v>
      </c>
      <c r="AN31" s="693" t="str">
        <f>IF('A1.3.8'!D$38="","",IF(OR(VLOOKUP($B31,'A1.3.11'!$B$26:$AM$105,AN$22,)="",VLOOKUP($B31,'A1.3.7'!$B$28:$H$118,6,)=""),"",VLOOKUP($B31,'A1.3.11'!$B$26:$AM$105,AN$22,)*VLOOKUP($B31,'A1.3.7'!$B$28:$O$118,6,)))</f>
        <v/>
      </c>
      <c r="AO31" s="691" t="str">
        <f>IF('A1.3.8'!E$38="","",IF(OR(VLOOKUP($B31,'A1.3.11'!$B$26:$AM$105,AO$22,)="",VLOOKUP($B31,'A1.3.7'!$B$28:$H$118,6,)=""),"",VLOOKUP($B31,'A1.3.11'!$B$26:$AM$105,AO$22,)*VLOOKUP($B31,'A1.3.7'!$B$28:$O$118,6,)))</f>
        <v/>
      </c>
      <c r="AP31" s="691" t="str">
        <f>IF('A1.3.8'!F$38="","",IF(OR(VLOOKUP($B31,'A1.3.11'!$B$26:$AM$105,AP$22,)="",VLOOKUP($B31,'A1.3.7'!$B$28:$H$118,6,)=""),"",VLOOKUP($B31,'A1.3.11'!$B$26:$AM$105,AP$22,)*VLOOKUP($B31,'A1.3.7'!$B$28:$O$118,6,)))</f>
        <v/>
      </c>
      <c r="AQ31" s="1664" t="str">
        <f>IF('A1.3.8'!G$38="","",IF(OR(VLOOKUP($B31,'A1.3.11'!$B$26:$AM$105,AQ$22,)="",VLOOKUP($B31,'A1.3.7'!$B$28:$H$118,6,)=""),"",VLOOKUP($B31,'A1.3.11'!$B$26:$AM$105,AQ$22,)*VLOOKUP($B31,'A1.3.7'!$B$28:$O$118,6,)))</f>
        <v/>
      </c>
      <c r="AR31" s="693">
        <f>IF(AND(AJ31="",AN31=""),"",IF(AJ31="",0,(AJ31*VLOOKUP($B31,'A1.3.9'!$B$26:$O$57,9,TRUE))) + IF(AN31="",0,(AN31*VLOOKUP($B31,'A1.3.9'!$B$26:$O$57,10,TRUE))))</f>
        <v>279.60067569994209</v>
      </c>
      <c r="AS31" s="691">
        <f>IF(AND(AK31="",AO31=""),"",IF(AK31="",0,(AK31*VLOOKUP($B31,'A1.3.9'!$B$26:$O$57,9,TRUE))) + IF(AO31="",0,(AO31*VLOOKUP($B31,'A1.3.9'!$B$26:$O$57,10,TRUE))))</f>
        <v>14.834830447231864</v>
      </c>
      <c r="AT31" s="691">
        <f>IF(AND(AL31="",AP31=""),"",IF(AL31="",0,(AL31*VLOOKUP($B31,'A1.3.9'!$B$26:$O$57,9,TRUE))) + IF(AP31="",0,(AP31*VLOOKUP($B31,'A1.3.9'!$B$26:$O$57,10,TRUE))))</f>
        <v>-0.10722624866271646</v>
      </c>
      <c r="AU31" s="2644">
        <f>IF(AND(AM31="",AQ31=""),"",IF(AM31="",0,(AM31*VLOOKUP($B31,'A1.3.9'!$B$26:$O$57,9,TRUE))) + IF(AQ31="",0,(AQ31*VLOOKUP($B31,'A1.3.9'!$B$26:$O$57,10,TRUE))))</f>
        <v>1.1710826802914492E-3</v>
      </c>
      <c r="AV31" s="693">
        <f>IF('A1.3.8'!D$32="","",IF(OR(VLOOKUP($B31,'A1.3.11'!$B$26:$AM$105,AV$22,)="",VLOOKUP($B31,'A1.3.7'!$B$28:$H$118,4,)=""),"",VLOOKUP($B31,'A1.3.11'!$B$26:$AM$105,AV$22,)*(VLOOKUP($B31,'A1.3.7'!$B$28:$O$118,4,)+VLOOKUP($B31,'A1.3.7'!$B$28:$O$118,9,))))</f>
        <v>587.51387707789593</v>
      </c>
      <c r="AW31" s="691">
        <f>IF('A1.3.8'!E$32="","",IF(OR(VLOOKUP($B31,'A1.3.11'!$B$26:$AM$105,AW$22,)="",VLOOKUP($B31,'A1.3.7'!$B$28:$H$118,4,)=""),"",VLOOKUP($B31,'A1.3.11'!$B$26:$AM$105,AW$22,)*(VLOOKUP($B31,'A1.3.7'!$B$28:$O$118,4,)+VLOOKUP($B31,'A1.3.7'!$B$28:$O$118,9,))))</f>
        <v>30.51063665345924</v>
      </c>
      <c r="AX31" s="691">
        <f>IF('A1.3.8'!F$32="","",IF(OR(VLOOKUP($B31,'A1.3.11'!$B$26:$AM$105,AX$22,)="",VLOOKUP($B31,'A1.3.7'!$B$28:$H$118,4,)=""),"",VLOOKUP($B31,'A1.3.11'!$B$26:$AM$105,AX$22,)*(VLOOKUP($B31,'A1.3.7'!$B$28:$O$118,4,)+VLOOKUP($B31,'A1.3.7'!$B$28:$O$118,9,))))</f>
        <v>-0.20214901835521551</v>
      </c>
      <c r="AY31" s="2644">
        <f>IF('A1.3.8'!G$32="","",IF(OR(VLOOKUP($B31,'A1.3.11'!$B$26:$AM$105,AY$22,)="",VLOOKUP($B31,'A1.3.7'!$B$28:$H$118,4,)=""),"",VLOOKUP($B31,'A1.3.11'!$B$26:$AM$105,AY$22,)*(VLOOKUP($B31,'A1.3.7'!$B$28:$O$118,4,)+VLOOKUP($B31,'A1.3.7'!$B$28:$O$118,9,))))</f>
        <v>1.2048922094806979E-3</v>
      </c>
      <c r="AZ31" s="693" t="str">
        <f>IF('A1.3.8'!D$39="","",IF(OR(VLOOKUP($B31,'A1.3.11'!$B$26:$AM$105,AZ$22,)="",VLOOKUP($B31,'A1.3.7'!$B$28:$H$118,6,)=""),"",VLOOKUP($B31,'A1.3.11'!$B$26:$AM$105,AZ$22,)*VLOOKUP($B31,'A1.3.7'!$B$28:$O$118,6,)))</f>
        <v/>
      </c>
      <c r="BA31" s="691" t="str">
        <f>IF('A1.3.8'!E$39="","",IF(OR(VLOOKUP($B31,'A1.3.11'!$B$26:$AM$105,BA$22,)="",VLOOKUP($B31,'A1.3.7'!$B$28:$H$118,6,)=""),"",VLOOKUP($B31,'A1.3.11'!$B$26:$AM$105,BA$22,)*VLOOKUP($B31,'A1.3.7'!$B$28:$O$118,6,)))</f>
        <v/>
      </c>
      <c r="BB31" s="691" t="str">
        <f>IF('A1.3.8'!F$39="","",IF(OR(VLOOKUP($B31,'A1.3.11'!$B$26:$AM$105,BB$22,)="",VLOOKUP($B31,'A1.3.7'!$B$28:$H$118,6,)=""),"",VLOOKUP($B31,'A1.3.11'!$B$26:$AM$105,BB$22,)*VLOOKUP($B31,'A1.3.7'!$B$28:$O$118,6,)))</f>
        <v/>
      </c>
      <c r="BC31" s="1664" t="str">
        <f>IF('A1.3.8'!G$39="","",IF(OR(VLOOKUP($B31,'A1.3.11'!$B$26:$AM$105,BC$22,)="",VLOOKUP($B31,'A1.3.7'!$B$28:$H$118,6,)=""),"",VLOOKUP($B31,'A1.3.11'!$B$26:$AM$105,BC$22,)*VLOOKUP($B31,'A1.3.7'!$B$28:$O$118,6,)))</f>
        <v/>
      </c>
      <c r="BD31" s="693">
        <f>IF(AND(AV31="",AZ31=""),"",IF(AV31="",0,(AV31*VLOOKUP($B31,'A1.3.9'!$B$26:$O$57,9,TRUE))) + IF(AZ31="",0,(AZ31*VLOOKUP($B31,'A1.3.9'!$B$26:$O$57,10,TRUE))))</f>
        <v>587.51387707789593</v>
      </c>
      <c r="BE31" s="691">
        <f>IF(AND(AW31="",BA31=""),"",IF(AW31="",0,(AW31*VLOOKUP($B31,'A1.3.9'!$B$26:$O$57,9,TRUE))) + IF(BA31="",0,(BA31*VLOOKUP($B31,'A1.3.9'!$B$26:$O$57,10,TRUE))))</f>
        <v>30.51063665345924</v>
      </c>
      <c r="BF31" s="691">
        <f>IF(AND(AX31="",BB31=""),"",IF(AX31="",0,(AX31*VLOOKUP($B31,'A1.3.9'!$B$26:$O$57,9,TRUE))) + IF(BB31="",0,(BB31*VLOOKUP($B31,'A1.3.9'!$B$26:$O$57,10,TRUE))))</f>
        <v>-0.20214901835521551</v>
      </c>
      <c r="BG31" s="2644">
        <f>IF(AND(AY31="",BC31=""),"",IF(AY31="",0,(AY31*VLOOKUP($B31,'A1.3.9'!$B$26:$O$57,9,TRUE))) + IF(BC31="",0,(BC31*VLOOKUP($B31,'A1.3.9'!$B$26:$O$57,10,TRUE))))</f>
        <v>1.2048922094806979E-3</v>
      </c>
      <c r="BH31" s="693">
        <f>IF('A1.3.8'!D$33="","",IF(OR(VLOOKUP($B31,'A1.3.11'!$B$26:$AM$105,BH$22,)="",VLOOKUP($B31,'A1.3.7'!$B$28:$H$118,4,)=""),"",VLOOKUP($B31,'A1.3.11'!$B$26:$AM$105,BH$22,)*(VLOOKUP($B31,'A1.3.7'!$B$28:$O$118,4,)+VLOOKUP($B31,'A1.3.7'!$B$28:$O$118,9,))))</f>
        <v>348.44632738336304</v>
      </c>
      <c r="BI31" s="691">
        <f>IF('A1.3.8'!E$33="","",IF(OR(VLOOKUP($B31,'A1.3.11'!$B$26:$AM$105,BI$22,)="",VLOOKUP($B31,'A1.3.7'!$B$28:$H$118,4,)=""),"",VLOOKUP($B31,'A1.3.11'!$B$26:$AM$105,BI$22,)*(VLOOKUP($B31,'A1.3.7'!$B$28:$O$118,4,)+VLOOKUP($B31,'A1.3.7'!$B$28:$O$118,9,))))</f>
        <v>30.616916288642582</v>
      </c>
      <c r="BJ31" s="691">
        <f>IF('A1.3.8'!F$33="","",IF(OR(VLOOKUP($B31,'A1.3.11'!$B$26:$AM$105,BJ$22,)="",VLOOKUP($B31,'A1.3.7'!$B$28:$H$118,4,)=""),"",VLOOKUP($B31,'A1.3.11'!$B$26:$AM$105,BJ$22,)*(VLOOKUP($B31,'A1.3.7'!$B$28:$O$118,4,)+VLOOKUP($B31,'A1.3.7'!$B$28:$O$118,9,))))</f>
        <v>-0.33277859142474275</v>
      </c>
      <c r="BK31" s="2644">
        <f>IF('A1.3.8'!G$33="","",IF(OR(VLOOKUP($B31,'A1.3.11'!$B$26:$AM$105,BK$22,)="",VLOOKUP($B31,'A1.3.7'!$B$28:$H$118,4,)=""),"",VLOOKUP($B31,'A1.3.11'!$B$26:$AM$105,BK$22,)*(VLOOKUP($B31,'A1.3.7'!$B$28:$O$118,4,)+VLOOKUP($B31,'A1.3.7'!$B$28:$O$118,9,))))</f>
        <v>2.4410669914636529E-3</v>
      </c>
      <c r="BL31" s="693" t="str">
        <f>IF('A1.3.8'!D$40="","",IF(OR(VLOOKUP($B31,'A1.3.11'!$B$26:$AM$105,BL$22,)="",VLOOKUP($B31,'A1.3.7'!$B$28:$H$118,6,)=""),"",VLOOKUP($B31,'A1.3.11'!$B$26:$AM$105,BL$22,)*VLOOKUP($B31,'A1.3.7'!$B$28:$O$118,6,)))</f>
        <v/>
      </c>
      <c r="BM31" s="691" t="str">
        <f>IF('A1.3.8'!E$40="","",IF(OR(VLOOKUP($B31,'A1.3.11'!$B$26:$AM$105,BM$22,)="",VLOOKUP($B31,'A1.3.7'!$B$28:$H$118,6,)=""),"",VLOOKUP($B31,'A1.3.11'!$B$26:$AM$105,BM$22,)*VLOOKUP($B31,'A1.3.7'!$B$28:$O$118,6,)))</f>
        <v/>
      </c>
      <c r="BN31" s="691" t="str">
        <f>IF('A1.3.8'!F$40="","",IF(OR(VLOOKUP($B31,'A1.3.11'!$B$26:$AM$105,BN$22,)="",VLOOKUP($B31,'A1.3.7'!$B$28:$H$118,6,)=""),"",VLOOKUP($B31,'A1.3.11'!$B$26:$AM$105,BN$22,)*VLOOKUP($B31,'A1.3.7'!$B$28:$O$118,6,)))</f>
        <v/>
      </c>
      <c r="BO31" s="1664" t="str">
        <f>IF('A1.3.8'!G$40="","",IF(OR(VLOOKUP($B31,'A1.3.11'!$B$26:$AM$105,BO$22,)="",VLOOKUP($B31,'A1.3.7'!$B$28:$H$118,6,)=""),"",VLOOKUP($B31,'A1.3.11'!$B$26:$AM$105,BO$22,)*VLOOKUP($B31,'A1.3.7'!$B$28:$O$118,6,)))</f>
        <v/>
      </c>
      <c r="BP31" s="693">
        <f>IF(AND(BH31="",BL31=""),"",IF(BH31="",0,(BH31*VLOOKUP($B31,'A1.3.9'!$B$26:$O$57,9,TRUE))) + IF(BL31="",0,(BL31*VLOOKUP($B31,'A1.3.9'!$B$26:$O$57,10,TRUE))))</f>
        <v>348.44632738336304</v>
      </c>
      <c r="BQ31" s="691">
        <f>IF(AND(BI31="",BM31=""),"",IF(BI31="",0,(BI31*VLOOKUP($B31,'A1.3.9'!$B$26:$O$57,9,TRUE))) + IF(BM31="",0,(BM31*VLOOKUP($B31,'A1.3.9'!$B$26:$O$57,10,TRUE))))</f>
        <v>30.616916288642582</v>
      </c>
      <c r="BR31" s="691">
        <f>IF(AND(BJ31="",BN31=""),"",IF(BJ31="",0,(BJ31*VLOOKUP($B31,'A1.3.9'!$B$26:$O$57,9,TRUE))) + IF(BN31="",0,(BN31*VLOOKUP($B31,'A1.3.9'!$B$26:$O$57,10,TRUE))))</f>
        <v>-0.33277859142474275</v>
      </c>
      <c r="BS31" s="2644">
        <f>IF(AND(BK31="",BO31=""),"",IF(BK31="",0,(BK31*VLOOKUP($B31,'A1.3.9'!$B$26:$O$57,9,TRUE))) + IF(BO31="",0,(BO31*VLOOKUP($B31,'A1.3.9'!$B$26:$O$57,10,TRUE))))</f>
        <v>2.4410669914636529E-3</v>
      </c>
    </row>
    <row r="32" spans="1:71" ht="13.5" customHeight="1">
      <c r="A32" s="113"/>
      <c r="B32" s="614">
        <f t="shared" si="0"/>
        <v>2015</v>
      </c>
      <c r="C32" s="147"/>
      <c r="D32" s="693">
        <f>IF('A1.3.8'!D$27="","",IF(OR(VLOOKUP($B32,'A1.3.11'!$B$26:$AM$105,D$22,)="",VLOOKUP($B32,'A1.3.7'!$B$28:$H$118,3,)=""),"",VLOOKUP($B32,'A1.3.11'!$B$26:$AM$105,D$22,)*(VLOOKUP($B32,'A1.3.7'!$B$28:$O$118,3,)+VLOOKUP($B32,'A1.3.7'!$B$28:$O$118,8,))))</f>
        <v>38.982299168809433</v>
      </c>
      <c r="E32" s="691">
        <f>IF('A1.3.8'!E$27="","",IF(OR(VLOOKUP($B32,'A1.3.11'!$B$26:$AM$105,E$22,)="",VLOOKUP($B32,'A1.3.7'!$B$28:$H$118,3,)=""),"",VLOOKUP($B32,'A1.3.11'!$B$26:$AM$105,E$22,)*(VLOOKUP($B32,'A1.3.7'!$B$28:$O$118,3,)+VLOOKUP($B32,'A1.3.7'!$B$28:$O$118,8,))))</f>
        <v>8.2843709016686038</v>
      </c>
      <c r="F32" s="691">
        <f>IF('A1.3.8'!F$27="","",IF(OR(VLOOKUP($B32,'A1.3.11'!$B$26:$AM$105,F$22,)="",VLOOKUP($B32,'A1.3.7'!$B$28:$H$118,3,)=""),"",VLOOKUP($B32,'A1.3.11'!$B$26:$AM$105,F$22,)*(VLOOKUP($B32,'A1.3.7'!$B$28:$O$118,3,)+VLOOKUP($B32,'A1.3.7'!$B$28:$O$118,8,))))</f>
        <v>-9.4368808886931596E-2</v>
      </c>
      <c r="G32" s="2644">
        <f>IF('A1.3.8'!G$27="","",IF(OR(VLOOKUP($B32,'A1.3.11'!$B$26:$AM$105,G$22,)="",VLOOKUP($B32,'A1.3.7'!$B$28:$H$118,3,)=""),"",VLOOKUP($B32,'A1.3.11'!$B$26:$AM$105,G$22,)*(VLOOKUP($B32,'A1.3.7'!$B$28:$O$118,3,)+VLOOKUP($B32,'A1.3.7'!$B$28:$O$118,8,))))</f>
        <v>6.2499702821580975E-4</v>
      </c>
      <c r="H32" s="693">
        <f>IF('A1.3.8'!D$28="","",IF(OR(VLOOKUP($B32,'A1.3.11'!$B$26:$AM$105,H$22,)="",VLOOKUP($B32,'A1.3.7'!$B$28:$H$118,4,)=""),"",VLOOKUP($B32,'A1.3.11'!$B$26:$AM$105,H$22,)*(VLOOKUP($B32,'A1.3.7'!$B$28:$O$118,4,)+VLOOKUP($B32,'A1.3.7'!$B$28:$O$118,9,))))</f>
        <v>42.836560606280145</v>
      </c>
      <c r="I32" s="691">
        <f>IF('A1.3.8'!E$28="","",IF(OR(VLOOKUP($B32,'A1.3.11'!$B$26:$AM$105,I$22,)="",VLOOKUP($B32,'A1.3.7'!$B$28:$H$118,4,)=""),"",VLOOKUP($B32,'A1.3.11'!$B$26:$AM$105,I$22,)*(VLOOKUP($B32,'A1.3.7'!$B$28:$O$118,4,)+VLOOKUP($B32,'A1.3.7'!$B$28:$O$118,9,))))</f>
        <v>6.1417034440011768</v>
      </c>
      <c r="J32" s="691">
        <f>IF('A1.3.8'!F$28="","",IF(OR(VLOOKUP($B32,'A1.3.11'!$B$26:$AM$105,J$22,)="",VLOOKUP($B32,'A1.3.7'!$B$28:$H$118,4,)=""),"",VLOOKUP($B32,'A1.3.11'!$B$26:$AM$105,J$22,)*(VLOOKUP($B32,'A1.3.7'!$B$28:$O$118,4,)+VLOOKUP($B32,'A1.3.7'!$B$28:$O$118,9,))))</f>
        <v>-5.908489809117403E-2</v>
      </c>
      <c r="K32" s="2644">
        <f>IF('A1.3.8'!G$28="","",IF(OR(VLOOKUP($B32,'A1.3.11'!$B$26:$AM$105,K$22,)="",VLOOKUP($B32,'A1.3.7'!$B$28:$H$118,4,)=""),"",VLOOKUP($B32,'A1.3.11'!$B$26:$AM$105,K$22,)*(VLOOKUP($B32,'A1.3.7'!$B$28:$O$118,4,)+VLOOKUP($B32,'A1.3.7'!$B$28:$O$118,9,))))</f>
        <v>4.6559196129202228E-4</v>
      </c>
      <c r="L32" s="693" t="str">
        <f>IF('A1.3.8'!D$36="","",IF(OR(VLOOKUP($B32,'A1.3.11'!$B$26:$AM$105,L$22,)="",VLOOKUP($B32,'A1.3.7'!$B$28:$H$118,6,)=""),"",VLOOKUP($B32,'A1.3.11'!$B$26:$AM$105,L$22,)*VLOOKUP($B32,'A1.3.7'!$B$28:$O$118,6,)))</f>
        <v/>
      </c>
      <c r="M32" s="691">
        <f>IF('A1.3.8'!E$36="","",IF(OR(VLOOKUP($B32,'A1.3.11'!$B$26:$AM$105,M$22,)="",VLOOKUP($B32,'A1.3.7'!$B$28:$H$118,6,)=""),"",VLOOKUP($B32,'A1.3.11'!$B$26:$AM$105,M$22,)*VLOOKUP($B32,'A1.3.7'!$B$28:$O$118,6,)))</f>
        <v>2.0555275661115289</v>
      </c>
      <c r="N32" s="691"/>
      <c r="O32" s="1664"/>
      <c r="P32" s="693">
        <f>IF(AND(D32="",H32="",L32=""),"",IF(D32="",0,(D32*VLOOKUP($B32,'A1.3.9'!$B$26:$O$57,3,TRUE)))+IF(H32="",0,(H32*VLOOKUP($B32,'A1.3.9'!$B$26:$O$57,4,TRUE)))+IF(L32="",0,(L32*VLOOKUP($B32,'A1.3.9'!$B$26:$O$57,5,TRUE))))</f>
        <v>40.857926788069406</v>
      </c>
      <c r="Q32" s="691">
        <f>IF(AND(E32="",I32="",M32=""),"",IF(E32="",0,(E32*VLOOKUP($B32,'A1.3.9'!$B$26:$O$57,3,TRUE)))+IF(I32="",0,(I32*VLOOKUP($B32,'A1.3.9'!$B$26:$O$57,4,TRUE)))+IF(M32="",0,(M32*VLOOKUP($B32,'A1.3.9'!$B$26:$O$57,5,TRUE))))</f>
        <v>7.2011325667542394</v>
      </c>
      <c r="R32" s="691">
        <f>IF(AND(F32="",J32="",N32=""),"",IF(F32="",0,(F32*VLOOKUP($B32,'A1.3.9'!$B$26:$O$57,3,TRUE)))+IF(J32="",0,(J32*VLOOKUP($B32,'A1.3.9'!$B$26:$O$57,4,TRUE)))+IF(N32="",0,(N32*VLOOKUP($B32,'A1.3.9'!$B$26:$O$57,5,TRUE))))</f>
        <v>-7.6542735707289852E-2</v>
      </c>
      <c r="S32" s="2644">
        <f>IF(AND(G32="",K32="",O32=""),"",IF(G32="",0,(G32*VLOOKUP($B32,'A1.3.9'!$B$26:$O$57,3,TRUE)))+IF(K32="",0,(K32*VLOOKUP($B32,'A1.3.9'!$B$26:$O$57,4,TRUE)))+IF(O32="",0,(O32*VLOOKUP($B32,'A1.3.9'!$B$26:$O$57,5,TRUE))))</f>
        <v>5.4417405527975682E-4</v>
      </c>
      <c r="T32" s="693">
        <f>IF('A1.3.8'!D$29="","",IF(OR(VLOOKUP($B32,'A1.3.11'!$B$26:$AM$105,T$22,)="",VLOOKUP($B32,'A1.3.7'!$B$28:$H$118,3,)=""),"",VLOOKUP($B32,'A1.3.11'!$B$26:$AM$105,T$22,)*(VLOOKUP($B32,'A1.3.7'!$B$28:$O$118,3,)+VLOOKUP($B32,'A1.3.7'!$B$28:$O$118,8,))))</f>
        <v>29.701421172025888</v>
      </c>
      <c r="U32" s="691">
        <f>IF('A1.3.8'!E$29="","",IF(OR(VLOOKUP($B32,'A1.3.11'!$B$26:$AM$105,U$22,)="",VLOOKUP($B32,'A1.3.7'!$B$28:$H$118,3,)=""),"",VLOOKUP($B32,'A1.3.11'!$B$26:$AM$105,U$22,)*(VLOOKUP($B32,'A1.3.7'!$B$28:$O$118,3,)+VLOOKUP($B32,'A1.3.7'!$B$28:$O$118,8,))))</f>
        <v>16.654837684522899</v>
      </c>
      <c r="V32" s="691">
        <f>IF('A1.3.8'!F$29="","",IF(OR(VLOOKUP($B32,'A1.3.11'!$B$26:$AM$105,V$22,)="",VLOOKUP($B32,'A1.3.7'!$B$28:$H$118,3,)=""),"",VLOOKUP($B32,'A1.3.11'!$B$26:$AM$105,V$22,)*(VLOOKUP($B32,'A1.3.7'!$B$28:$O$118,3,)+VLOOKUP($B32,'A1.3.7'!$B$28:$O$118,8,))))</f>
        <v>-0.26142628389832839</v>
      </c>
      <c r="W32" s="2644">
        <f>IF('A1.3.8'!G$29="","",IF(OR(VLOOKUP($B32,'A1.3.11'!$B$26:$AM$105,W$22,)="",VLOOKUP($B32,'A1.3.7'!$B$28:$H$118,3,)=""),"",VLOOKUP($B32,'A1.3.11'!$B$26:$AM$105,W$22,)*(VLOOKUP($B32,'A1.3.7'!$B$28:$O$118,3,)+VLOOKUP($B32,'A1.3.7'!$B$28:$O$118,8,))))</f>
        <v>1.6883007115276619E-3</v>
      </c>
      <c r="X32" s="693">
        <f>IF('A1.3.8'!D$30="","",IF(OR(VLOOKUP($B32,'A1.3.11'!$B$26:$AM$105,X$22,)="",VLOOKUP($B32,'A1.3.7'!$B$28:$H$118,4,)=""),"",VLOOKUP($B32,'A1.3.11'!$B$26:$AM$105,X$22,)*(VLOOKUP($B32,'A1.3.7'!$B$28:$O$118,4,)+VLOOKUP($B32,'A1.3.7'!$B$28:$O$118,9,))))</f>
        <v>41.198515649576095</v>
      </c>
      <c r="Y32" s="691">
        <f>IF('A1.3.8'!E$30="","",IF(OR(VLOOKUP($B32,'A1.3.11'!$B$26:$AM$105,Y$22,)="",VLOOKUP($B32,'A1.3.7'!$B$28:$H$118,4,)=""),"",VLOOKUP($B32,'A1.3.11'!$B$26:$AM$105,Y$22,)*(VLOOKUP($B32,'A1.3.7'!$B$28:$O$118,4,)+VLOOKUP($B32,'A1.3.7'!$B$28:$O$118,9,))))</f>
        <v>10.069085122374331</v>
      </c>
      <c r="Z32" s="691">
        <f>IF('A1.3.8'!F$30="","",IF(OR(VLOOKUP($B32,'A1.3.11'!$B$26:$AM$105,Z$22,)="",VLOOKUP($B32,'A1.3.7'!$B$28:$H$118,4,)=""),"",VLOOKUP($B32,'A1.3.11'!$B$26:$AM$105,Z$22,)*(VLOOKUP($B32,'A1.3.7'!$B$28:$O$118,4,)+VLOOKUP($B32,'A1.3.7'!$B$28:$O$118,9,))))</f>
        <v>-0.14526485287841709</v>
      </c>
      <c r="AA32" s="2644">
        <f>IF('A1.3.8'!G$30="","",IF(OR(VLOOKUP($B32,'A1.3.11'!$B$26:$AM$105,AA$22,)="",VLOOKUP($B32,'A1.3.7'!$B$28:$H$118,4,)=""),"",VLOOKUP($B32,'A1.3.11'!$B$26:$AM$105,AA$22,)*(VLOOKUP($B32,'A1.3.7'!$B$28:$O$118,4,)+VLOOKUP($B32,'A1.3.7'!$B$28:$O$118,9,))))</f>
        <v>1.2298173094394827E-3</v>
      </c>
      <c r="AB32" s="693" t="str">
        <f>IF('A1.3.8'!D$37="","",IF(OR(VLOOKUP($B32,'A1.3.11'!$B$26:$AM$105,AB$22,)="",VLOOKUP($B32,'A1.3.7'!$B$28:$H$118,6,)=""),"",VLOOKUP($B32,'A1.3.11'!$B$26:$AM$105,AB$22,)*VLOOKUP($B32,'A1.3.7'!$B$28:$O$118,6,)))</f>
        <v/>
      </c>
      <c r="AC32" s="691">
        <f>IF('A1.3.8'!E$37="","",IF(OR(VLOOKUP($B32,'A1.3.11'!$B$26:$AM$105,AC$22,)="",VLOOKUP($B32,'A1.3.7'!$B$28:$H$118,6,)=""),"",VLOOKUP($B32,'A1.3.11'!$B$26:$AM$105,AC$22,)*VLOOKUP($B32,'A1.3.7'!$B$28:$O$118,6,)))</f>
        <v>4.534321795358732</v>
      </c>
      <c r="AD32" s="691"/>
      <c r="AE32" s="1664" t="str">
        <f>IF('A1.3.8'!G$37="","",IF(OR(VLOOKUP($B32,'A1.3.11'!$B$26:$AM$105,AE$22,)="",VLOOKUP($B32,'A1.3.7'!$B$28:$H$118,6,)=""),"",VLOOKUP($B32,'A1.3.11'!$B$26:$AM$105,AE$22,)*VLOOKUP($B32,'A1.3.7'!$B$28:$O$118,6,)))</f>
        <v/>
      </c>
      <c r="AF32" s="693">
        <f>IF(AND(T32="",X32="",AB32=""),"",IF(T32="",0,(T32*VLOOKUP('A1.3.12'!$B32,'A1.3.9'!$B$26:$O$57,6,TRUE))) + IF(X32="",0,(X32*VLOOKUP('A1.3.12'!$B32,'A1.3.9'!$B$26:$O$57,7,TRUE))) + IF(AB32="",0,(AB32*VLOOKUP('A1.3.12'!$B32,'A1.3.9'!$B$26:$O$57,8,TRUE))))</f>
        <v>40.908100241300971</v>
      </c>
      <c r="AG32" s="691">
        <f>IF(AND(U32="",Y32="",AC32=""),"",IF(U32="",0,(U32*VLOOKUP('A1.3.12'!$B32,'A1.3.9'!$B$26:$O$57,6,TRUE))) + IF(Y32="",0,(Y32*VLOOKUP('A1.3.12'!$B32,'A1.3.9'!$B$26:$O$57,7,TRUE))) + IF(AC32="",0,(AC32*VLOOKUP('A1.3.12'!$B32,'A1.3.9'!$B$26:$O$57,8,TRUE))))</f>
        <v>10.205639457394017</v>
      </c>
      <c r="AH32" s="691">
        <f>IF(AND(V32="",Z32="",AD32=""),"",IF(V32="",0,(V32*VLOOKUP('A1.3.12'!$B32,'A1.3.9'!$B$26:$O$57,6,TRUE))) + IF(Z32="",0,(Z32*VLOOKUP('A1.3.12'!$B32,'A1.3.9'!$B$26:$O$57,7,TRUE))) + IF(AD32="",0,(AD32*VLOOKUP('A1.3.12'!$B32,'A1.3.9'!$B$26:$O$57,8,TRUE))))</f>
        <v>-0.14762470635916472</v>
      </c>
      <c r="AI32" s="2644">
        <f>IF(AND(W32="",AA32="",AE32=""),"",IF(W32="",0,(W32*VLOOKUP('A1.3.12'!$B32,'A1.3.9'!$B$26:$O$57,6,TRUE))) + IF(AA32="",0,(AA32*VLOOKUP('A1.3.12'!$B32,'A1.3.9'!$B$26:$O$57,7,TRUE))) + IF(AE32="",0,(AE32*VLOOKUP('A1.3.12'!$B32,'A1.3.9'!$B$26:$O$57,8,TRUE))))</f>
        <v>1.2384600397762232E-3</v>
      </c>
      <c r="AJ32" s="693">
        <f>IF('A1.3.8'!D$31="","",IF(OR(VLOOKUP($B32,'A1.3.11'!$B$26:$AM$105,AJ$22,)="",VLOOKUP($B32,'A1.3.7'!$B$28:$H$118,4,)=""),"",VLOOKUP($B32,'A1.3.11'!$B$26:$AM$105,AJ$22,)*(VLOOKUP($B32,'A1.3.7'!$B$28:$O$118,4,)+VLOOKUP($B32,'A1.3.7'!$B$28:$O$118,9,))))</f>
        <v>239.66893941275509</v>
      </c>
      <c r="AK32" s="691">
        <f>IF('A1.3.8'!E$31="","",IF(OR(VLOOKUP($B32,'A1.3.11'!$B$26:$AM$105,AK$22,)="",VLOOKUP($B32,'A1.3.7'!$B$28:$H$118,4,)=""),"",VLOOKUP($B32,'A1.3.11'!$B$26:$AM$105,AK$22,)*(VLOOKUP($B32,'A1.3.7'!$B$28:$O$118,4,)+VLOOKUP($B32,'A1.3.7'!$B$28:$O$118,9,))))</f>
        <v>12.716164117828146</v>
      </c>
      <c r="AL32" s="691">
        <f>IF('A1.3.8'!F$31="","",IF(OR(VLOOKUP($B32,'A1.3.11'!$B$26:$AM$105,AL$22,)="",VLOOKUP($B32,'A1.3.7'!$B$28:$H$118,4,)=""),"",VLOOKUP($B32,'A1.3.11'!$B$26:$AM$105,AL$22,)*(VLOOKUP($B32,'A1.3.7'!$B$28:$O$118,4,)+VLOOKUP($B32,'A1.3.7'!$B$28:$O$118,9,))))</f>
        <v>-9.1912514981833157E-2</v>
      </c>
      <c r="AM32" s="2644">
        <f>IF('A1.3.8'!G$31="","",IF(OR(VLOOKUP($B32,'A1.3.11'!$B$26:$AM$105,AM$22,)="",VLOOKUP($B32,'A1.3.7'!$B$28:$H$118,4,)=""),"",VLOOKUP($B32,'A1.3.11'!$B$26:$AM$105,AM$22,)*(VLOOKUP($B32,'A1.3.7'!$B$28:$O$118,4,)+VLOOKUP($B32,'A1.3.7'!$B$28:$O$118,9,))))</f>
        <v>1.0038321375564411E-3</v>
      </c>
      <c r="AN32" s="693" t="str">
        <f>IF('A1.3.8'!D$38="","",IF(OR(VLOOKUP($B32,'A1.3.11'!$B$26:$AM$105,AN$22,)="",VLOOKUP($B32,'A1.3.7'!$B$28:$H$118,6,)=""),"",VLOOKUP($B32,'A1.3.11'!$B$26:$AM$105,AN$22,)*VLOOKUP($B32,'A1.3.7'!$B$28:$O$118,6,)))</f>
        <v/>
      </c>
      <c r="AO32" s="691" t="str">
        <f>IF('A1.3.8'!E$38="","",IF(OR(VLOOKUP($B32,'A1.3.11'!$B$26:$AM$105,AO$22,)="",VLOOKUP($B32,'A1.3.7'!$B$28:$H$118,6,)=""),"",VLOOKUP($B32,'A1.3.11'!$B$26:$AM$105,AO$22,)*VLOOKUP($B32,'A1.3.7'!$B$28:$O$118,6,)))</f>
        <v/>
      </c>
      <c r="AP32" s="691" t="str">
        <f>IF('A1.3.8'!F$38="","",IF(OR(VLOOKUP($B32,'A1.3.11'!$B$26:$AM$105,AP$22,)="",VLOOKUP($B32,'A1.3.7'!$B$28:$H$118,6,)=""),"",VLOOKUP($B32,'A1.3.11'!$B$26:$AM$105,AP$22,)*VLOOKUP($B32,'A1.3.7'!$B$28:$O$118,6,)))</f>
        <v/>
      </c>
      <c r="AQ32" s="1664" t="str">
        <f>IF('A1.3.8'!G$38="","",IF(OR(VLOOKUP($B32,'A1.3.11'!$B$26:$AM$105,AQ$22,)="",VLOOKUP($B32,'A1.3.7'!$B$28:$H$118,6,)=""),"",VLOOKUP($B32,'A1.3.11'!$B$26:$AM$105,AQ$22,)*VLOOKUP($B32,'A1.3.7'!$B$28:$O$118,6,)))</f>
        <v/>
      </c>
      <c r="AR32" s="693">
        <f>IF(AND(AJ32="",AN32=""),"",IF(AJ32="",0,(AJ32*VLOOKUP($B32,'A1.3.9'!$B$26:$O$57,9,TRUE))) + IF(AN32="",0,(AN32*VLOOKUP($B32,'A1.3.9'!$B$26:$O$57,10,TRUE))))</f>
        <v>239.66893941275509</v>
      </c>
      <c r="AS32" s="691">
        <f>IF(AND(AK32="",AO32=""),"",IF(AK32="",0,(AK32*VLOOKUP($B32,'A1.3.9'!$B$26:$O$57,9,TRUE))) + IF(AO32="",0,(AO32*VLOOKUP($B32,'A1.3.9'!$B$26:$O$57,10,TRUE))))</f>
        <v>12.716164117828146</v>
      </c>
      <c r="AT32" s="691">
        <f>IF(AND(AL32="",AP32=""),"",IF(AL32="",0,(AL32*VLOOKUP($B32,'A1.3.9'!$B$26:$O$57,9,TRUE))) + IF(AP32="",0,(AP32*VLOOKUP($B32,'A1.3.9'!$B$26:$O$57,10,TRUE))))</f>
        <v>-9.1912514981833157E-2</v>
      </c>
      <c r="AU32" s="2644">
        <f>IF(AND(AM32="",AQ32=""),"",IF(AM32="",0,(AM32*VLOOKUP($B32,'A1.3.9'!$B$26:$O$57,9,TRUE))) + IF(AQ32="",0,(AQ32*VLOOKUP($B32,'A1.3.9'!$B$26:$O$57,10,TRUE))))</f>
        <v>1.0038321375564411E-3</v>
      </c>
      <c r="AV32" s="693">
        <f>IF('A1.3.8'!D$32="","",IF(OR(VLOOKUP($B32,'A1.3.11'!$B$26:$AM$105,AV$22,)="",VLOOKUP($B32,'A1.3.7'!$B$28:$H$118,4,)=""),"",VLOOKUP($B32,'A1.3.11'!$B$26:$AM$105,AV$22,)*(VLOOKUP($B32,'A1.3.7'!$B$28:$O$118,4,)+VLOOKUP($B32,'A1.3.7'!$B$28:$O$118,9,))))</f>
        <v>503.60689385688863</v>
      </c>
      <c r="AW32" s="691">
        <f>IF('A1.3.8'!E$32="","",IF(OR(VLOOKUP($B32,'A1.3.11'!$B$26:$AM$105,AW$22,)="",VLOOKUP($B32,'A1.3.7'!$B$28:$H$118,4,)=""),"",VLOOKUP($B32,'A1.3.11'!$B$26:$AM$105,AW$22,)*(VLOOKUP($B32,'A1.3.7'!$B$28:$O$118,4,)+VLOOKUP($B32,'A1.3.7'!$B$28:$O$118,9,))))</f>
        <v>26.153198339870897</v>
      </c>
      <c r="AX32" s="691">
        <f>IF('A1.3.8'!F$32="","",IF(OR(VLOOKUP($B32,'A1.3.11'!$B$26:$AM$105,AX$22,)="",VLOOKUP($B32,'A1.3.7'!$B$28:$H$118,4,)=""),"",VLOOKUP($B32,'A1.3.11'!$B$26:$AM$105,AX$22,)*(VLOOKUP($B32,'A1.3.7'!$B$28:$O$118,4,)+VLOOKUP($B32,'A1.3.7'!$B$28:$O$118,9,))))</f>
        <v>-0.17327869723933609</v>
      </c>
      <c r="AY32" s="2644">
        <f>IF('A1.3.8'!G$32="","",IF(OR(VLOOKUP($B32,'A1.3.11'!$B$26:$AM$105,AY$22,)="",VLOOKUP($B32,'A1.3.7'!$B$28:$H$118,4,)=""),"",VLOOKUP($B32,'A1.3.11'!$B$26:$AM$105,AY$22,)*(VLOOKUP($B32,'A1.3.7'!$B$28:$O$118,4,)+VLOOKUP($B32,'A1.3.7'!$B$28:$O$118,9,))))</f>
        <v>1.0328130904191152E-3</v>
      </c>
      <c r="AZ32" s="693" t="str">
        <f>IF('A1.3.8'!D$39="","",IF(OR(VLOOKUP($B32,'A1.3.11'!$B$26:$AM$105,AZ$22,)="",VLOOKUP($B32,'A1.3.7'!$B$28:$H$118,6,)=""),"",VLOOKUP($B32,'A1.3.11'!$B$26:$AM$105,AZ$22,)*VLOOKUP($B32,'A1.3.7'!$B$28:$O$118,6,)))</f>
        <v/>
      </c>
      <c r="BA32" s="691" t="str">
        <f>IF('A1.3.8'!E$39="","",IF(OR(VLOOKUP($B32,'A1.3.11'!$B$26:$AM$105,BA$22,)="",VLOOKUP($B32,'A1.3.7'!$B$28:$H$118,6,)=""),"",VLOOKUP($B32,'A1.3.11'!$B$26:$AM$105,BA$22,)*VLOOKUP($B32,'A1.3.7'!$B$28:$O$118,6,)))</f>
        <v/>
      </c>
      <c r="BB32" s="691" t="str">
        <f>IF('A1.3.8'!F$39="","",IF(OR(VLOOKUP($B32,'A1.3.11'!$B$26:$AM$105,BB$22,)="",VLOOKUP($B32,'A1.3.7'!$B$28:$H$118,6,)=""),"",VLOOKUP($B32,'A1.3.11'!$B$26:$AM$105,BB$22,)*VLOOKUP($B32,'A1.3.7'!$B$28:$O$118,6,)))</f>
        <v/>
      </c>
      <c r="BC32" s="1664" t="str">
        <f>IF('A1.3.8'!G$39="","",IF(OR(VLOOKUP($B32,'A1.3.11'!$B$26:$AM$105,BC$22,)="",VLOOKUP($B32,'A1.3.7'!$B$28:$H$118,6,)=""),"",VLOOKUP($B32,'A1.3.11'!$B$26:$AM$105,BC$22,)*VLOOKUP($B32,'A1.3.7'!$B$28:$O$118,6,)))</f>
        <v/>
      </c>
      <c r="BD32" s="693">
        <f>IF(AND(AV32="",AZ32=""),"",IF(AV32="",0,(AV32*VLOOKUP($B32,'A1.3.9'!$B$26:$O$57,9,TRUE))) + IF(AZ32="",0,(AZ32*VLOOKUP($B32,'A1.3.9'!$B$26:$O$57,10,TRUE))))</f>
        <v>503.60689385688863</v>
      </c>
      <c r="BE32" s="691">
        <f>IF(AND(AW32="",BA32=""),"",IF(AW32="",0,(AW32*VLOOKUP($B32,'A1.3.9'!$B$26:$O$57,9,TRUE))) + IF(BA32="",0,(BA32*VLOOKUP($B32,'A1.3.9'!$B$26:$O$57,10,TRUE))))</f>
        <v>26.153198339870897</v>
      </c>
      <c r="BF32" s="691">
        <f>IF(AND(AX32="",BB32=""),"",IF(AX32="",0,(AX32*VLOOKUP($B32,'A1.3.9'!$B$26:$O$57,9,TRUE))) + IF(BB32="",0,(BB32*VLOOKUP($B32,'A1.3.9'!$B$26:$O$57,10,TRUE))))</f>
        <v>-0.17327869723933609</v>
      </c>
      <c r="BG32" s="2644">
        <f>IF(AND(AY32="",BC32=""),"",IF(AY32="",0,(AY32*VLOOKUP($B32,'A1.3.9'!$B$26:$O$57,9,TRUE))) + IF(BC32="",0,(BC32*VLOOKUP($B32,'A1.3.9'!$B$26:$O$57,10,TRUE))))</f>
        <v>1.0328130904191152E-3</v>
      </c>
      <c r="BH32" s="693">
        <f>IF('A1.3.8'!D$33="","",IF(OR(VLOOKUP($B32,'A1.3.11'!$B$26:$AM$105,BH$22,)="",VLOOKUP($B32,'A1.3.7'!$B$28:$H$118,4,)=""),"",VLOOKUP($B32,'A1.3.11'!$B$26:$AM$105,BH$22,)*(VLOOKUP($B32,'A1.3.7'!$B$28:$O$118,4,)+VLOOKUP($B32,'A1.3.7'!$B$28:$O$118,9,))))</f>
        <v>298.68226003810599</v>
      </c>
      <c r="BI32" s="691">
        <f>IF('A1.3.8'!E$33="","",IF(OR(VLOOKUP($B32,'A1.3.11'!$B$26:$AM$105,BI$22,)="",VLOOKUP($B32,'A1.3.7'!$B$28:$H$118,4,)=""),"",VLOOKUP($B32,'A1.3.11'!$B$26:$AM$105,BI$22,)*(VLOOKUP($B32,'A1.3.7'!$B$28:$O$118,4,)+VLOOKUP($B32,'A1.3.7'!$B$28:$O$118,9,))))</f>
        <v>26.244299433892937</v>
      </c>
      <c r="BJ32" s="691">
        <f>IF('A1.3.8'!F$33="","",IF(OR(VLOOKUP($B32,'A1.3.11'!$B$26:$AM$105,BJ$22,)="",VLOOKUP($B32,'A1.3.7'!$B$28:$H$118,4,)=""),"",VLOOKUP($B32,'A1.3.11'!$B$26:$AM$105,BJ$22,)*(VLOOKUP($B32,'A1.3.7'!$B$28:$O$118,4,)+VLOOKUP($B32,'A1.3.7'!$B$28:$O$118,9,))))</f>
        <v>-0.28525214349492778</v>
      </c>
      <c r="BK32" s="2644">
        <f>IF('A1.3.8'!G$33="","",IF(OR(VLOOKUP($B32,'A1.3.11'!$B$26:$AM$105,BK$22,)="",VLOOKUP($B32,'A1.3.7'!$B$28:$H$118,4,)=""),"",VLOOKUP($B32,'A1.3.11'!$B$26:$AM$105,BK$22,)*(VLOOKUP($B32,'A1.3.7'!$B$28:$O$118,4,)+VLOOKUP($B32,'A1.3.7'!$B$28:$O$118,9,))))</f>
        <v>2.0924410694465987E-3</v>
      </c>
      <c r="BL32" s="693" t="str">
        <f>IF('A1.3.8'!D$40="","",IF(OR(VLOOKUP($B32,'A1.3.11'!$B$26:$AM$105,BL$22,)="",VLOOKUP($B32,'A1.3.7'!$B$28:$H$118,6,)=""),"",VLOOKUP($B32,'A1.3.11'!$B$26:$AM$105,BL$22,)*VLOOKUP($B32,'A1.3.7'!$B$28:$O$118,6,)))</f>
        <v/>
      </c>
      <c r="BM32" s="691" t="str">
        <f>IF('A1.3.8'!E$40="","",IF(OR(VLOOKUP($B32,'A1.3.11'!$B$26:$AM$105,BM$22,)="",VLOOKUP($B32,'A1.3.7'!$B$28:$H$118,6,)=""),"",VLOOKUP($B32,'A1.3.11'!$B$26:$AM$105,BM$22,)*VLOOKUP($B32,'A1.3.7'!$B$28:$O$118,6,)))</f>
        <v/>
      </c>
      <c r="BN32" s="691" t="str">
        <f>IF('A1.3.8'!F$40="","",IF(OR(VLOOKUP($B32,'A1.3.11'!$B$26:$AM$105,BN$22,)="",VLOOKUP($B32,'A1.3.7'!$B$28:$H$118,6,)=""),"",VLOOKUP($B32,'A1.3.11'!$B$26:$AM$105,BN$22,)*VLOOKUP($B32,'A1.3.7'!$B$28:$O$118,6,)))</f>
        <v/>
      </c>
      <c r="BO32" s="1664" t="str">
        <f>IF('A1.3.8'!G$40="","",IF(OR(VLOOKUP($B32,'A1.3.11'!$B$26:$AM$105,BO$22,)="",VLOOKUP($B32,'A1.3.7'!$B$28:$H$118,6,)=""),"",VLOOKUP($B32,'A1.3.11'!$B$26:$AM$105,BO$22,)*VLOOKUP($B32,'A1.3.7'!$B$28:$O$118,6,)))</f>
        <v/>
      </c>
      <c r="BP32" s="693">
        <f>IF(AND(BH32="",BL32=""),"",IF(BH32="",0,(BH32*VLOOKUP($B32,'A1.3.9'!$B$26:$O$57,9,TRUE))) + IF(BL32="",0,(BL32*VLOOKUP($B32,'A1.3.9'!$B$26:$O$57,10,TRUE))))</f>
        <v>298.68226003810599</v>
      </c>
      <c r="BQ32" s="691">
        <f>IF(AND(BI32="",BM32=""),"",IF(BI32="",0,(BI32*VLOOKUP($B32,'A1.3.9'!$B$26:$O$57,9,TRUE))) + IF(BM32="",0,(BM32*VLOOKUP($B32,'A1.3.9'!$B$26:$O$57,10,TRUE))))</f>
        <v>26.244299433892937</v>
      </c>
      <c r="BR32" s="691">
        <f>IF(AND(BJ32="",BN32=""),"",IF(BJ32="",0,(BJ32*VLOOKUP($B32,'A1.3.9'!$B$26:$O$57,9,TRUE))) + IF(BN32="",0,(BN32*VLOOKUP($B32,'A1.3.9'!$B$26:$O$57,10,TRUE))))</f>
        <v>-0.28525214349492778</v>
      </c>
      <c r="BS32" s="2644">
        <f>IF(AND(BK32="",BO32=""),"",IF(BK32="",0,(BK32*VLOOKUP($B32,'A1.3.9'!$B$26:$O$57,9,TRUE))) + IF(BO32="",0,(BO32*VLOOKUP($B32,'A1.3.9'!$B$26:$O$57,10,TRUE))))</f>
        <v>2.0924410694465987E-3</v>
      </c>
    </row>
    <row r="33" spans="1:71" ht="13.5" customHeight="1">
      <c r="A33" s="113"/>
      <c r="B33" s="614">
        <f t="shared" si="0"/>
        <v>2016</v>
      </c>
      <c r="C33" s="147"/>
      <c r="D33" s="693">
        <f>IF('A1.3.8'!D$27="","",IF(OR(VLOOKUP($B33,'A1.3.11'!$B$26:$AM$105,D$22,)="",VLOOKUP($B33,'A1.3.7'!$B$28:$H$118,3,)=""),"",VLOOKUP($B33,'A1.3.11'!$B$26:$AM$105,D$22,)*(VLOOKUP($B33,'A1.3.7'!$B$28:$O$118,3,)+VLOOKUP($B33,'A1.3.7'!$B$28:$O$118,8,))))</f>
        <v>36.689373715999878</v>
      </c>
      <c r="E33" s="691">
        <f>IF('A1.3.8'!E$27="","",IF(OR(VLOOKUP($B33,'A1.3.11'!$B$26:$AM$105,E$22,)="",VLOOKUP($B33,'A1.3.7'!$B$28:$H$118,3,)=""),"",VLOOKUP($B33,'A1.3.11'!$B$26:$AM$105,E$22,)*(VLOOKUP($B33,'A1.3.7'!$B$28:$O$118,3,)+VLOOKUP($B33,'A1.3.7'!$B$28:$O$118,8,))))</f>
        <v>7.797087049613272</v>
      </c>
      <c r="F33" s="691">
        <f>IF('A1.3.8'!F$27="","",IF(OR(VLOOKUP($B33,'A1.3.11'!$B$26:$AM$105,F$22,)="",VLOOKUP($B33,'A1.3.7'!$B$28:$H$118,3,)=""),"",VLOOKUP($B33,'A1.3.11'!$B$26:$AM$105,F$22,)*(VLOOKUP($B33,'A1.3.7'!$B$28:$O$118,3,)+VLOOKUP($B33,'A1.3.7'!$B$28:$O$118,8,))))</f>
        <v>-8.8818067949072876E-2</v>
      </c>
      <c r="G33" s="2644">
        <f>IF('A1.3.8'!G$27="","",IF(OR(VLOOKUP($B33,'A1.3.11'!$B$26:$AM$105,G$22,)="",VLOOKUP($B33,'A1.3.7'!$B$28:$H$118,3,)=""),"",VLOOKUP($B33,'A1.3.11'!$B$26:$AM$105,G$22,)*(VLOOKUP($B33,'A1.3.7'!$B$28:$O$118,3,)+VLOOKUP($B33,'A1.3.7'!$B$28:$O$118,8,))))</f>
        <v>5.8823491760451481E-4</v>
      </c>
      <c r="H33" s="693">
        <f>IF('A1.3.8'!D$28="","",IF(OR(VLOOKUP($B33,'A1.3.11'!$B$26:$AM$105,H$22,)="",VLOOKUP($B33,'A1.3.7'!$B$28:$H$118,4,)=""),"",VLOOKUP($B33,'A1.3.11'!$B$26:$AM$105,H$22,)*(VLOOKUP($B33,'A1.3.7'!$B$28:$O$118,4,)+VLOOKUP($B33,'A1.3.7'!$B$28:$O$118,9,))))</f>
        <v>39.584126729102358</v>
      </c>
      <c r="I33" s="691">
        <f>IF('A1.3.8'!E$28="","",IF(OR(VLOOKUP($B33,'A1.3.11'!$B$26:$AM$105,I$22,)="",VLOOKUP($B33,'A1.3.7'!$B$28:$H$118,4,)=""),"",VLOOKUP($B33,'A1.3.11'!$B$26:$AM$105,I$22,)*(VLOOKUP($B33,'A1.3.7'!$B$28:$O$118,4,)+VLOOKUP($B33,'A1.3.7'!$B$28:$O$118,9,))))</f>
        <v>5.675384858612218</v>
      </c>
      <c r="J33" s="691">
        <f>IF('A1.3.8'!F$28="","",IF(OR(VLOOKUP($B33,'A1.3.11'!$B$26:$AM$105,J$22,)="",VLOOKUP($B33,'A1.3.7'!$B$28:$H$118,4,)=""),"",VLOOKUP($B33,'A1.3.11'!$B$26:$AM$105,J$22,)*(VLOOKUP($B33,'A1.3.7'!$B$28:$O$118,4,)+VLOOKUP($B33,'A1.3.7'!$B$28:$O$118,9,))))</f>
        <v>-5.4598783392386607E-2</v>
      </c>
      <c r="K33" s="2644">
        <f>IF('A1.3.8'!G$28="","",IF(OR(VLOOKUP($B33,'A1.3.11'!$B$26:$AM$105,K$22,)="",VLOOKUP($B33,'A1.3.7'!$B$28:$H$118,4,)=""),"",VLOOKUP($B33,'A1.3.11'!$B$26:$AM$105,K$22,)*(VLOOKUP($B33,'A1.3.7'!$B$28:$O$118,4,)+VLOOKUP($B33,'A1.3.7'!$B$28:$O$118,9,))))</f>
        <v>4.3024115239384439E-4</v>
      </c>
      <c r="L33" s="693" t="str">
        <f>IF('A1.3.8'!D$36="","",IF(OR(VLOOKUP($B33,'A1.3.11'!$B$26:$AM$105,L$22,)="",VLOOKUP($B33,'A1.3.7'!$B$28:$H$118,6,)=""),"",VLOOKUP($B33,'A1.3.11'!$B$26:$AM$105,L$22,)*VLOOKUP($B33,'A1.3.7'!$B$28:$O$118,6,)))</f>
        <v/>
      </c>
      <c r="M33" s="691">
        <f>IF('A1.3.8'!E$36="","",IF(OR(VLOOKUP($B33,'A1.3.11'!$B$26:$AM$105,M$22,)="",VLOOKUP($B33,'A1.3.7'!$B$28:$H$118,6,)=""),"",VLOOKUP($B33,'A1.3.11'!$B$26:$AM$105,M$22,)*VLOOKUP($B33,'A1.3.7'!$B$28:$O$118,6,)))</f>
        <v>2.0204674042657822</v>
      </c>
      <c r="N33" s="691"/>
      <c r="O33" s="1664"/>
      <c r="P33" s="693">
        <f>IF(AND(D33="",H33="",L33=""),"",IF(D33="",0,(D33*VLOOKUP($B33,'A1.3.9'!$B$26:$O$57,3,TRUE)))+IF(H33="",0,(H33*VLOOKUP($B33,'A1.3.9'!$B$26:$O$57,4,TRUE)))+IF(L33="",0,(L33*VLOOKUP($B33,'A1.3.9'!$B$26:$O$57,5,TRUE))))</f>
        <v>38.109507102839629</v>
      </c>
      <c r="Q33" s="691">
        <f>IF(AND(E33="",I33="",M33=""),"",IF(E33="",0,(E33*VLOOKUP($B33,'A1.3.9'!$B$26:$O$57,3,TRUE)))+IF(I33="",0,(I33*VLOOKUP($B33,'A1.3.9'!$B$26:$O$57,4,TRUE)))+IF(M33="",0,(M33*VLOOKUP($B33,'A1.3.9'!$B$26:$O$57,5,TRUE))))</f>
        <v>6.6841828465914848</v>
      </c>
      <c r="R33" s="691">
        <f>IF(AND(F33="",J33="",N33=""),"",IF(F33="",0,(F33*VLOOKUP($B33,'A1.3.9'!$B$26:$O$57,3,TRUE)))+IF(J33="",0,(J33*VLOOKUP($B33,'A1.3.9'!$B$26:$O$57,4,TRUE)))+IF(N33="",0,(N33*VLOOKUP($B33,'A1.3.9'!$B$26:$O$57,5,TRUE))))</f>
        <v>-7.0878488501169262E-2</v>
      </c>
      <c r="S33" s="2644">
        <f>IF(AND(G33="",K33="",O33=""),"",IF(G33="",0,(G33*VLOOKUP($B33,'A1.3.9'!$B$26:$O$57,3,TRUE)))+IF(K33="",0,(K33*VLOOKUP($B33,'A1.3.9'!$B$26:$O$57,4,TRUE)))+IF(O33="",0,(O33*VLOOKUP($B33,'A1.3.9'!$B$26:$O$57,5,TRUE))))</f>
        <v>5.0501337224643193E-4</v>
      </c>
      <c r="T33" s="693">
        <f>IF('A1.3.8'!D$29="","",IF(OR(VLOOKUP($B33,'A1.3.11'!$B$26:$AM$105,T$22,)="",VLOOKUP($B33,'A1.3.7'!$B$28:$H$118,3,)=""),"",VLOOKUP($B33,'A1.3.11'!$B$26:$AM$105,T$22,)*(VLOOKUP($B33,'A1.3.7'!$B$28:$O$118,3,)+VLOOKUP($B33,'A1.3.7'!$B$28:$O$118,8,))))</f>
        <v>28.293359819571684</v>
      </c>
      <c r="U33" s="691">
        <f>IF('A1.3.8'!E$29="","",IF(OR(VLOOKUP($B33,'A1.3.11'!$B$26:$AM$105,U$22,)="",VLOOKUP($B33,'A1.3.7'!$B$28:$H$118,3,)=""),"",VLOOKUP($B33,'A1.3.11'!$B$26:$AM$105,U$22,)*(VLOOKUP($B33,'A1.3.7'!$B$28:$O$118,3,)+VLOOKUP($B33,'A1.3.7'!$B$28:$O$118,8,))))</f>
        <v>15.865278385688342</v>
      </c>
      <c r="V33" s="691">
        <f>IF('A1.3.8'!F$29="","",IF(OR(VLOOKUP($B33,'A1.3.11'!$B$26:$AM$105,V$22,)="",VLOOKUP($B33,'A1.3.7'!$B$28:$H$118,3,)=""),"",VLOOKUP($B33,'A1.3.11'!$B$26:$AM$105,V$22,)*(VLOOKUP($B33,'A1.3.7'!$B$28:$O$118,3,)+VLOOKUP($B33,'A1.3.7'!$B$28:$O$118,8,))))</f>
        <v>-0.24903279455177635</v>
      </c>
      <c r="W33" s="2644">
        <f>IF('A1.3.8'!G$29="","",IF(OR(VLOOKUP($B33,'A1.3.11'!$B$26:$AM$105,W$22,)="",VLOOKUP($B33,'A1.3.7'!$B$28:$H$118,3,)=""),"",VLOOKUP($B33,'A1.3.11'!$B$26:$AM$105,W$22,)*(VLOOKUP($B33,'A1.3.7'!$B$28:$O$118,3,)+VLOOKUP($B33,'A1.3.7'!$B$28:$O$118,8,))))</f>
        <v>1.6082630941539175E-3</v>
      </c>
      <c r="X33" s="693">
        <f>IF('A1.3.8'!D$30="","",IF(OR(VLOOKUP($B33,'A1.3.11'!$B$26:$AM$105,X$22,)="",VLOOKUP($B33,'A1.3.7'!$B$28:$H$118,4,)=""),"",VLOOKUP($B33,'A1.3.11'!$B$26:$AM$105,X$22,)*(VLOOKUP($B33,'A1.3.7'!$B$28:$O$118,4,)+VLOOKUP($B33,'A1.3.7'!$B$28:$O$118,9,))))</f>
        <v>38.599478986741929</v>
      </c>
      <c r="Y33" s="691">
        <f>IF('A1.3.8'!E$30="","",IF(OR(VLOOKUP($B33,'A1.3.11'!$B$26:$AM$105,Y$22,)="",VLOOKUP($B33,'A1.3.7'!$B$28:$H$118,4,)=""),"",VLOOKUP($B33,'A1.3.11'!$B$26:$AM$105,Y$22,)*(VLOOKUP($B33,'A1.3.7'!$B$28:$O$118,4,)+VLOOKUP($B33,'A1.3.7'!$B$28:$O$118,9,))))</f>
        <v>9.4338699700410906</v>
      </c>
      <c r="Z33" s="691">
        <f>IF('A1.3.8'!F$30="","",IF(OR(VLOOKUP($B33,'A1.3.11'!$B$26:$AM$105,Z$22,)="",VLOOKUP($B33,'A1.3.7'!$B$28:$H$118,4,)=""),"",VLOOKUP($B33,'A1.3.11'!$B$26:$AM$105,Z$22,)*(VLOOKUP($B33,'A1.3.7'!$B$28:$O$118,4,)+VLOOKUP($B33,'A1.3.7'!$B$28:$O$118,9,))))</f>
        <v>-0.13610071983868458</v>
      </c>
      <c r="AA33" s="2644">
        <f>IF('A1.3.8'!G$30="","",IF(OR(VLOOKUP($B33,'A1.3.11'!$B$26:$AM$105,AA$22,)="",VLOOKUP($B33,'A1.3.7'!$B$28:$H$118,4,)=""),"",VLOOKUP($B33,'A1.3.11'!$B$26:$AM$105,AA$22,)*(VLOOKUP($B33,'A1.3.7'!$B$28:$O$118,4,)+VLOOKUP($B33,'A1.3.7'!$B$28:$O$118,9,))))</f>
        <v>1.1522334395979445E-3</v>
      </c>
      <c r="AB33" s="693" t="str">
        <f>IF('A1.3.8'!D$37="","",IF(OR(VLOOKUP($B33,'A1.3.11'!$B$26:$AM$105,AB$22,)="",VLOOKUP($B33,'A1.3.7'!$B$28:$H$118,6,)=""),"",VLOOKUP($B33,'A1.3.11'!$B$26:$AM$105,AB$22,)*VLOOKUP($B33,'A1.3.7'!$B$28:$O$118,6,)))</f>
        <v/>
      </c>
      <c r="AC33" s="691">
        <f>IF('A1.3.8'!E$37="","",IF(OR(VLOOKUP($B33,'A1.3.11'!$B$26:$AM$105,AC$22,)="",VLOOKUP($B33,'A1.3.7'!$B$28:$H$118,6,)=""),"",VLOOKUP($B33,'A1.3.11'!$B$26:$AM$105,AC$22,)*VLOOKUP($B33,'A1.3.7'!$B$28:$O$118,6,)))</f>
        <v>4.4509739123763659</v>
      </c>
      <c r="AD33" s="691"/>
      <c r="AE33" s="1664" t="str">
        <f>IF('A1.3.8'!G$37="","",IF(OR(VLOOKUP($B33,'A1.3.11'!$B$26:$AM$105,AE$22,)="",VLOOKUP($B33,'A1.3.7'!$B$28:$H$118,6,)=""),"",VLOOKUP($B33,'A1.3.11'!$B$26:$AM$105,AE$22,)*VLOOKUP($B33,'A1.3.7'!$B$28:$O$118,6,)))</f>
        <v/>
      </c>
      <c r="AF33" s="693">
        <f>IF(AND(T33="",X33="",AB33=""),"",IF(T33="",0,(T33*VLOOKUP('A1.3.12'!$B33,'A1.3.9'!$B$26:$O$57,6,TRUE))) + IF(X33="",0,(X33*VLOOKUP('A1.3.12'!$B33,'A1.3.9'!$B$26:$O$57,7,TRUE))) + IF(AB33="",0,(AB33*VLOOKUP('A1.3.12'!$B33,'A1.3.9'!$B$26:$O$57,8,TRUE))))</f>
        <v>38.337071684307283</v>
      </c>
      <c r="AG33" s="691">
        <f>IF(AND(U33="",Y33="",AC33=""),"",IF(U33="",0,(U33*VLOOKUP('A1.3.12'!$B33,'A1.3.9'!$B$26:$O$57,6,TRUE))) + IF(Y33="",0,(Y33*VLOOKUP('A1.3.12'!$B33,'A1.3.9'!$B$26:$O$57,7,TRUE))) + IF(AC33="",0,(AC33*VLOOKUP('A1.3.12'!$B33,'A1.3.9'!$B$26:$O$57,8,TRUE))))</f>
        <v>9.5483088997629668</v>
      </c>
      <c r="AH33" s="691">
        <f>IF(AND(V33="",Z33="",AD33=""),"",IF(V33="",0,(V33*VLOOKUP('A1.3.12'!$B33,'A1.3.9'!$B$26:$O$57,6,TRUE))) + IF(Z33="",0,(Z33*VLOOKUP('A1.3.12'!$B33,'A1.3.9'!$B$26:$O$57,7,TRUE))) + IF(AD33="",0,(AD33*VLOOKUP('A1.3.12'!$B33,'A1.3.9'!$B$26:$O$57,8,TRUE))))</f>
        <v>-0.13802775775372694</v>
      </c>
      <c r="AI33" s="2644">
        <f>IF(AND(W33="",AA33="",AE33=""),"",IF(W33="",0,(W33*VLOOKUP('A1.3.12'!$B33,'A1.3.9'!$B$26:$O$57,6,TRUE))) + IF(AA33="",0,(AA33*VLOOKUP('A1.3.12'!$B33,'A1.3.9'!$B$26:$O$57,7,TRUE))) + IF(AE33="",0,(AE33*VLOOKUP('A1.3.12'!$B33,'A1.3.9'!$B$26:$O$57,8,TRUE))))</f>
        <v>1.1589926981478876E-3</v>
      </c>
      <c r="AJ33" s="693">
        <f>IF('A1.3.8'!D$31="","",IF(OR(VLOOKUP($B33,'A1.3.11'!$B$26:$AM$105,AJ$22,)="",VLOOKUP($B33,'A1.3.7'!$B$28:$H$118,4,)=""),"",VLOOKUP($B33,'A1.3.11'!$B$26:$AM$105,AJ$22,)*(VLOOKUP($B33,'A1.3.7'!$B$28:$O$118,4,)+VLOOKUP($B33,'A1.3.7'!$B$28:$O$118,9,))))</f>
        <v>225.1374876949036</v>
      </c>
      <c r="AK33" s="691">
        <f>IF('A1.3.8'!E$31="","",IF(OR(VLOOKUP($B33,'A1.3.11'!$B$26:$AM$105,AK$22,)="",VLOOKUP($B33,'A1.3.7'!$B$28:$H$118,4,)=""),"",VLOOKUP($B33,'A1.3.11'!$B$26:$AM$105,AK$22,)*(VLOOKUP($B33,'A1.3.7'!$B$28:$O$118,4,)+VLOOKUP($B33,'A1.3.7'!$B$28:$O$118,9,))))</f>
        <v>11.945165901007645</v>
      </c>
      <c r="AL33" s="691">
        <f>IF('A1.3.8'!F$31="","",IF(OR(VLOOKUP($B33,'A1.3.11'!$B$26:$AM$105,AL$22,)="",VLOOKUP($B33,'A1.3.7'!$B$28:$H$118,4,)=""),"",VLOOKUP($B33,'A1.3.11'!$B$26:$AM$105,AL$22,)*(VLOOKUP($B33,'A1.3.7'!$B$28:$O$118,4,)+VLOOKUP($B33,'A1.3.7'!$B$28:$O$118,9,))))</f>
        <v>-8.6339734975390117E-2</v>
      </c>
      <c r="AM33" s="2644">
        <f>IF('A1.3.8'!G$31="","",IF(OR(VLOOKUP($B33,'A1.3.11'!$B$26:$AM$105,AM$22,)="",VLOOKUP($B33,'A1.3.7'!$B$28:$H$118,4,)=""),"",VLOOKUP($B33,'A1.3.11'!$B$26:$AM$105,AM$22,)*(VLOOKUP($B33,'A1.3.7'!$B$28:$O$118,4,)+VLOOKUP($B33,'A1.3.7'!$B$28:$O$118,9,))))</f>
        <v>9.4296843834088581E-4</v>
      </c>
      <c r="AN33" s="693" t="str">
        <f>IF('A1.3.8'!D$38="","",IF(OR(VLOOKUP($B33,'A1.3.11'!$B$26:$AM$105,AN$22,)="",VLOOKUP($B33,'A1.3.7'!$B$28:$H$118,6,)=""),"",VLOOKUP($B33,'A1.3.11'!$B$26:$AM$105,AN$22,)*VLOOKUP($B33,'A1.3.7'!$B$28:$O$118,6,)))</f>
        <v/>
      </c>
      <c r="AO33" s="691" t="str">
        <f>IF('A1.3.8'!E$38="","",IF(OR(VLOOKUP($B33,'A1.3.11'!$B$26:$AM$105,AO$22,)="",VLOOKUP($B33,'A1.3.7'!$B$28:$H$118,6,)=""),"",VLOOKUP($B33,'A1.3.11'!$B$26:$AM$105,AO$22,)*VLOOKUP($B33,'A1.3.7'!$B$28:$O$118,6,)))</f>
        <v/>
      </c>
      <c r="AP33" s="691" t="str">
        <f>IF('A1.3.8'!F$38="","",IF(OR(VLOOKUP($B33,'A1.3.11'!$B$26:$AM$105,AP$22,)="",VLOOKUP($B33,'A1.3.7'!$B$28:$H$118,6,)=""),"",VLOOKUP($B33,'A1.3.11'!$B$26:$AM$105,AP$22,)*VLOOKUP($B33,'A1.3.7'!$B$28:$O$118,6,)))</f>
        <v/>
      </c>
      <c r="AQ33" s="1664" t="str">
        <f>IF('A1.3.8'!G$38="","",IF(OR(VLOOKUP($B33,'A1.3.11'!$B$26:$AM$105,AQ$22,)="",VLOOKUP($B33,'A1.3.7'!$B$28:$H$118,6,)=""),"",VLOOKUP($B33,'A1.3.11'!$B$26:$AM$105,AQ$22,)*VLOOKUP($B33,'A1.3.7'!$B$28:$O$118,6,)))</f>
        <v/>
      </c>
      <c r="AR33" s="693">
        <f>IF(AND(AJ33="",AN33=""),"",IF(AJ33="",0,(AJ33*VLOOKUP($B33,'A1.3.9'!$B$26:$O$57,9,TRUE))) + IF(AN33="",0,(AN33*VLOOKUP($B33,'A1.3.9'!$B$26:$O$57,10,TRUE))))</f>
        <v>225.1374876949036</v>
      </c>
      <c r="AS33" s="691">
        <f>IF(AND(AK33="",AO33=""),"",IF(AK33="",0,(AK33*VLOOKUP($B33,'A1.3.9'!$B$26:$O$57,9,TRUE))) + IF(AO33="",0,(AO33*VLOOKUP($B33,'A1.3.9'!$B$26:$O$57,10,TRUE))))</f>
        <v>11.945165901007645</v>
      </c>
      <c r="AT33" s="691">
        <f>IF(AND(AL33="",AP33=""),"",IF(AL33="",0,(AL33*VLOOKUP($B33,'A1.3.9'!$B$26:$O$57,9,TRUE))) + IF(AP33="",0,(AP33*VLOOKUP($B33,'A1.3.9'!$B$26:$O$57,10,TRUE))))</f>
        <v>-8.6339734975390117E-2</v>
      </c>
      <c r="AU33" s="2644">
        <f>IF(AND(AM33="",AQ33=""),"",IF(AM33="",0,(AM33*VLOOKUP($B33,'A1.3.9'!$B$26:$O$57,9,TRUE))) + IF(AQ33="",0,(AQ33*VLOOKUP($B33,'A1.3.9'!$B$26:$O$57,10,TRUE))))</f>
        <v>9.4296843834088581E-4</v>
      </c>
      <c r="AV33" s="693">
        <f>IF('A1.3.8'!D$32="","",IF(OR(VLOOKUP($B33,'A1.3.11'!$B$26:$AM$105,AV$22,)="",VLOOKUP($B33,'A1.3.7'!$B$28:$H$118,4,)=""),"",VLOOKUP($B33,'A1.3.11'!$B$26:$AM$105,AV$22,)*(VLOOKUP($B33,'A1.3.7'!$B$28:$O$118,4,)+VLOOKUP($B33,'A1.3.7'!$B$28:$O$118,9,))))</f>
        <v>473.07252723938001</v>
      </c>
      <c r="AW33" s="691">
        <f>IF('A1.3.8'!E$32="","",IF(OR(VLOOKUP($B33,'A1.3.11'!$B$26:$AM$105,AW$22,)="",VLOOKUP($B33,'A1.3.7'!$B$28:$H$118,4,)=""),"",VLOOKUP($B33,'A1.3.11'!$B$26:$AM$105,AW$22,)*(VLOOKUP($B33,'A1.3.7'!$B$28:$O$118,4,)+VLOOKUP($B33,'A1.3.7'!$B$28:$O$118,9,))))</f>
        <v>24.567494577529295</v>
      </c>
      <c r="AX33" s="691">
        <f>IF('A1.3.8'!F$32="","",IF(OR(VLOOKUP($B33,'A1.3.11'!$B$26:$AM$105,AX$22,)="",VLOOKUP($B33,'A1.3.7'!$B$28:$H$118,4,)=""),"",VLOOKUP($B33,'A1.3.11'!$B$26:$AM$105,AX$22,)*(VLOOKUP($B33,'A1.3.7'!$B$28:$O$118,4,)+VLOOKUP($B33,'A1.3.7'!$B$28:$O$118,9,))))</f>
        <v>-0.16277257563327699</v>
      </c>
      <c r="AY33" s="2644">
        <f>IF('A1.3.8'!G$32="","",IF(OR(VLOOKUP($B33,'A1.3.11'!$B$26:$AM$105,AY$22,)="",VLOOKUP($B33,'A1.3.7'!$B$28:$H$118,4,)=""),"",VLOOKUP($B33,'A1.3.11'!$B$26:$AM$105,AY$22,)*(VLOOKUP($B33,'A1.3.7'!$B$28:$O$118,4,)+VLOOKUP($B33,'A1.3.7'!$B$28:$O$118,9,))))</f>
        <v>9.7019223686268803E-4</v>
      </c>
      <c r="AZ33" s="693" t="str">
        <f>IF('A1.3.8'!D$39="","",IF(OR(VLOOKUP($B33,'A1.3.11'!$B$26:$AM$105,AZ$22,)="",VLOOKUP($B33,'A1.3.7'!$B$28:$H$118,6,)=""),"",VLOOKUP($B33,'A1.3.11'!$B$26:$AM$105,AZ$22,)*VLOOKUP($B33,'A1.3.7'!$B$28:$O$118,6,)))</f>
        <v/>
      </c>
      <c r="BA33" s="691" t="str">
        <f>IF('A1.3.8'!E$39="","",IF(OR(VLOOKUP($B33,'A1.3.11'!$B$26:$AM$105,BA$22,)="",VLOOKUP($B33,'A1.3.7'!$B$28:$H$118,6,)=""),"",VLOOKUP($B33,'A1.3.11'!$B$26:$AM$105,BA$22,)*VLOOKUP($B33,'A1.3.7'!$B$28:$O$118,6,)))</f>
        <v/>
      </c>
      <c r="BB33" s="691" t="str">
        <f>IF('A1.3.8'!F$39="","",IF(OR(VLOOKUP($B33,'A1.3.11'!$B$26:$AM$105,BB$22,)="",VLOOKUP($B33,'A1.3.7'!$B$28:$H$118,6,)=""),"",VLOOKUP($B33,'A1.3.11'!$B$26:$AM$105,BB$22,)*VLOOKUP($B33,'A1.3.7'!$B$28:$O$118,6,)))</f>
        <v/>
      </c>
      <c r="BC33" s="1664" t="str">
        <f>IF('A1.3.8'!G$39="","",IF(OR(VLOOKUP($B33,'A1.3.11'!$B$26:$AM$105,BC$22,)="",VLOOKUP($B33,'A1.3.7'!$B$28:$H$118,6,)=""),"",VLOOKUP($B33,'A1.3.11'!$B$26:$AM$105,BC$22,)*VLOOKUP($B33,'A1.3.7'!$B$28:$O$118,6,)))</f>
        <v/>
      </c>
      <c r="BD33" s="693">
        <f>IF(AND(AV33="",AZ33=""),"",IF(AV33="",0,(AV33*VLOOKUP($B33,'A1.3.9'!$B$26:$O$57,9,TRUE))) + IF(AZ33="",0,(AZ33*VLOOKUP($B33,'A1.3.9'!$B$26:$O$57,10,TRUE))))</f>
        <v>473.07252723938001</v>
      </c>
      <c r="BE33" s="691">
        <f>IF(AND(AW33="",BA33=""),"",IF(AW33="",0,(AW33*VLOOKUP($B33,'A1.3.9'!$B$26:$O$57,9,TRUE))) + IF(BA33="",0,(BA33*VLOOKUP($B33,'A1.3.9'!$B$26:$O$57,10,TRUE))))</f>
        <v>24.567494577529295</v>
      </c>
      <c r="BF33" s="691">
        <f>IF(AND(AX33="",BB33=""),"",IF(AX33="",0,(AX33*VLOOKUP($B33,'A1.3.9'!$B$26:$O$57,9,TRUE))) + IF(BB33="",0,(BB33*VLOOKUP($B33,'A1.3.9'!$B$26:$O$57,10,TRUE))))</f>
        <v>-0.16277257563327699</v>
      </c>
      <c r="BG33" s="2644">
        <f>IF(AND(AY33="",BC33=""),"",IF(AY33="",0,(AY33*VLOOKUP($B33,'A1.3.9'!$B$26:$O$57,9,TRUE))) + IF(BC33="",0,(BC33*VLOOKUP($B33,'A1.3.9'!$B$26:$O$57,10,TRUE))))</f>
        <v>9.7019223686268803E-4</v>
      </c>
      <c r="BH33" s="693">
        <f>IF('A1.3.8'!D$33="","",IF(OR(VLOOKUP($B33,'A1.3.11'!$B$26:$AM$105,BH$22,)="",VLOOKUP($B33,'A1.3.7'!$B$28:$H$118,4,)=""),"",VLOOKUP($B33,'A1.3.11'!$B$26:$AM$105,BH$22,)*(VLOOKUP($B33,'A1.3.7'!$B$28:$O$118,4,)+VLOOKUP($B33,'A1.3.7'!$B$28:$O$118,9,))))</f>
        <v>280.5727509320983</v>
      </c>
      <c r="BI33" s="691">
        <f>IF('A1.3.8'!E$33="","",IF(OR(VLOOKUP($B33,'A1.3.11'!$B$26:$AM$105,BI$22,)="",VLOOKUP($B33,'A1.3.7'!$B$28:$H$118,4,)=""),"",VLOOKUP($B33,'A1.3.11'!$B$26:$AM$105,BI$22,)*(VLOOKUP($B33,'A1.3.7'!$B$28:$O$118,4,)+VLOOKUP($B33,'A1.3.7'!$B$28:$O$118,9,))))</f>
        <v>24.653072089094351</v>
      </c>
      <c r="BJ33" s="691">
        <f>IF('A1.3.8'!F$33="","",IF(OR(VLOOKUP($B33,'A1.3.11'!$B$26:$AM$105,BJ$22,)="",VLOOKUP($B33,'A1.3.7'!$B$28:$H$118,4,)=""),"",VLOOKUP($B33,'A1.3.11'!$B$26:$AM$105,BJ$22,)*(VLOOKUP($B33,'A1.3.7'!$B$28:$O$118,4,)+VLOOKUP($B33,'A1.3.7'!$B$28:$O$118,9,))))</f>
        <v>-0.26795692050622216</v>
      </c>
      <c r="BK33" s="2644">
        <f>IF('A1.3.8'!G$33="","",IF(OR(VLOOKUP($B33,'A1.3.11'!$B$26:$AM$105,BK$22,)="",VLOOKUP($B33,'A1.3.7'!$B$28:$H$118,4,)=""),"",VLOOKUP($B33,'A1.3.11'!$B$26:$AM$105,BK$22,)*(VLOOKUP($B33,'A1.3.7'!$B$28:$O$118,4,)+VLOOKUP($B33,'A1.3.7'!$B$28:$O$118,9,))))</f>
        <v>1.9655735393961258E-3</v>
      </c>
      <c r="BL33" s="693" t="str">
        <f>IF('A1.3.8'!D$40="","",IF(OR(VLOOKUP($B33,'A1.3.11'!$B$26:$AM$105,BL$22,)="",VLOOKUP($B33,'A1.3.7'!$B$28:$H$118,6,)=""),"",VLOOKUP($B33,'A1.3.11'!$B$26:$AM$105,BL$22,)*VLOOKUP($B33,'A1.3.7'!$B$28:$O$118,6,)))</f>
        <v/>
      </c>
      <c r="BM33" s="691" t="str">
        <f>IF('A1.3.8'!E$40="","",IF(OR(VLOOKUP($B33,'A1.3.11'!$B$26:$AM$105,BM$22,)="",VLOOKUP($B33,'A1.3.7'!$B$28:$H$118,6,)=""),"",VLOOKUP($B33,'A1.3.11'!$B$26:$AM$105,BM$22,)*VLOOKUP($B33,'A1.3.7'!$B$28:$O$118,6,)))</f>
        <v/>
      </c>
      <c r="BN33" s="691" t="str">
        <f>IF('A1.3.8'!F$40="","",IF(OR(VLOOKUP($B33,'A1.3.11'!$B$26:$AM$105,BN$22,)="",VLOOKUP($B33,'A1.3.7'!$B$28:$H$118,6,)=""),"",VLOOKUP($B33,'A1.3.11'!$B$26:$AM$105,BN$22,)*VLOOKUP($B33,'A1.3.7'!$B$28:$O$118,6,)))</f>
        <v/>
      </c>
      <c r="BO33" s="1664" t="str">
        <f>IF('A1.3.8'!G$40="","",IF(OR(VLOOKUP($B33,'A1.3.11'!$B$26:$AM$105,BO$22,)="",VLOOKUP($B33,'A1.3.7'!$B$28:$H$118,6,)=""),"",VLOOKUP($B33,'A1.3.11'!$B$26:$AM$105,BO$22,)*VLOOKUP($B33,'A1.3.7'!$B$28:$O$118,6,)))</f>
        <v/>
      </c>
      <c r="BP33" s="693">
        <f>IF(AND(BH33="",BL33=""),"",IF(BH33="",0,(BH33*VLOOKUP($B33,'A1.3.9'!$B$26:$O$57,9,TRUE))) + IF(BL33="",0,(BL33*VLOOKUP($B33,'A1.3.9'!$B$26:$O$57,10,TRUE))))</f>
        <v>280.5727509320983</v>
      </c>
      <c r="BQ33" s="691">
        <f>IF(AND(BI33="",BM33=""),"",IF(BI33="",0,(BI33*VLOOKUP($B33,'A1.3.9'!$B$26:$O$57,9,TRUE))) + IF(BM33="",0,(BM33*VLOOKUP($B33,'A1.3.9'!$B$26:$O$57,10,TRUE))))</f>
        <v>24.653072089094351</v>
      </c>
      <c r="BR33" s="691">
        <f>IF(AND(BJ33="",BN33=""),"",IF(BJ33="",0,(BJ33*VLOOKUP($B33,'A1.3.9'!$B$26:$O$57,9,TRUE))) + IF(BN33="",0,(BN33*VLOOKUP($B33,'A1.3.9'!$B$26:$O$57,10,TRUE))))</f>
        <v>-0.26795692050622216</v>
      </c>
      <c r="BS33" s="2644">
        <f>IF(AND(BK33="",BO33=""),"",IF(BK33="",0,(BK33*VLOOKUP($B33,'A1.3.9'!$B$26:$O$57,9,TRUE))) + IF(BO33="",0,(BO33*VLOOKUP($B33,'A1.3.9'!$B$26:$O$57,10,TRUE))))</f>
        <v>1.9655735393961258E-3</v>
      </c>
    </row>
    <row r="34" spans="1:71" ht="13.5" customHeight="1">
      <c r="A34" s="113"/>
      <c r="B34" s="614">
        <f t="shared" si="0"/>
        <v>2017</v>
      </c>
      <c r="C34" s="147"/>
      <c r="D34" s="693">
        <f>IF('A1.3.8'!D$27="","",IF(OR(VLOOKUP($B34,'A1.3.11'!$B$26:$AM$105,D$22,)="",VLOOKUP($B34,'A1.3.7'!$B$28:$H$118,3,)=""),"",VLOOKUP($B34,'A1.3.11'!$B$26:$AM$105,D$22,)*(VLOOKUP($B34,'A1.3.7'!$B$28:$O$118,3,)+VLOOKUP($B34,'A1.3.7'!$B$28:$O$118,8,))))</f>
        <v>37.974939135317875</v>
      </c>
      <c r="E34" s="691">
        <f>IF('A1.3.8'!E$27="","",IF(OR(VLOOKUP($B34,'A1.3.11'!$B$26:$AM$105,E$22,)="",VLOOKUP($B34,'A1.3.7'!$B$28:$H$118,3,)=""),"",VLOOKUP($B34,'A1.3.11'!$B$26:$AM$105,E$22,)*(VLOOKUP($B34,'A1.3.7'!$B$28:$O$118,3,)+VLOOKUP($B34,'A1.3.7'!$B$28:$O$118,8,))))</f>
        <v>8.07029055425701</v>
      </c>
      <c r="F34" s="691">
        <f>IF('A1.3.8'!F$27="","",IF(OR(VLOOKUP($B34,'A1.3.11'!$B$26:$AM$105,F$22,)="",VLOOKUP($B34,'A1.3.7'!$B$28:$H$118,3,)=""),"",VLOOKUP($B34,'A1.3.11'!$B$26:$AM$105,F$22,)*(VLOOKUP($B34,'A1.3.7'!$B$28:$O$118,3,)+VLOOKUP($B34,'A1.3.7'!$B$28:$O$118,8,))))</f>
        <v>-9.1930179855092442E-2</v>
      </c>
      <c r="G34" s="2644">
        <f>IF('A1.3.8'!G$27="","",IF(OR(VLOOKUP($B34,'A1.3.11'!$B$26:$AM$105,G$22,)="",VLOOKUP($B34,'A1.3.7'!$B$28:$H$118,3,)=""),"",VLOOKUP($B34,'A1.3.11'!$B$26:$AM$105,G$22,)*(VLOOKUP($B34,'A1.3.7'!$B$28:$O$118,3,)+VLOOKUP($B34,'A1.3.7'!$B$28:$O$118,8,))))</f>
        <v>6.0884618435333806E-4</v>
      </c>
      <c r="H34" s="693">
        <f>IF('A1.3.8'!D$28="","",IF(OR(VLOOKUP($B34,'A1.3.11'!$B$26:$AM$105,H$22,)="",VLOOKUP($B34,'A1.3.7'!$B$28:$H$118,4,)=""),"",VLOOKUP($B34,'A1.3.11'!$B$26:$AM$105,H$22,)*(VLOOKUP($B34,'A1.3.7'!$B$28:$O$118,4,)+VLOOKUP($B34,'A1.3.7'!$B$28:$O$118,9,))))</f>
        <v>41.550511749193348</v>
      </c>
      <c r="I34" s="691">
        <f>IF('A1.3.8'!E$28="","",IF(OR(VLOOKUP($B34,'A1.3.11'!$B$26:$AM$105,I$22,)="",VLOOKUP($B34,'A1.3.7'!$B$28:$H$118,4,)=""),"",VLOOKUP($B34,'A1.3.11'!$B$26:$AM$105,I$22,)*(VLOOKUP($B34,'A1.3.7'!$B$28:$O$118,4,)+VLOOKUP($B34,'A1.3.7'!$B$28:$O$118,9,))))</f>
        <v>5.9573158418470076</v>
      </c>
      <c r="J34" s="691">
        <f>IF('A1.3.8'!F$28="","",IF(OR(VLOOKUP($B34,'A1.3.11'!$B$26:$AM$105,J$22,)="",VLOOKUP($B34,'A1.3.7'!$B$28:$H$118,4,)=""),"",VLOOKUP($B34,'A1.3.11'!$B$26:$AM$105,J$22,)*(VLOOKUP($B34,'A1.3.7'!$B$28:$O$118,4,)+VLOOKUP($B34,'A1.3.7'!$B$28:$O$118,9,))))</f>
        <v>-5.7311037991628497E-2</v>
      </c>
      <c r="K34" s="2644">
        <f>IF('A1.3.8'!G$28="","",IF(OR(VLOOKUP($B34,'A1.3.11'!$B$26:$AM$105,K$22,)="",VLOOKUP($B34,'A1.3.7'!$B$28:$H$118,4,)=""),"",VLOOKUP($B34,'A1.3.11'!$B$26:$AM$105,K$22,)*(VLOOKUP($B34,'A1.3.7'!$B$28:$O$118,4,)+VLOOKUP($B34,'A1.3.7'!$B$28:$O$118,9,))))</f>
        <v>4.5161385471171429E-4</v>
      </c>
      <c r="L34" s="693" t="str">
        <f>IF('A1.3.8'!D$36="","",IF(OR(VLOOKUP($B34,'A1.3.11'!$B$26:$AM$105,L$22,)="",VLOOKUP($B34,'A1.3.7'!$B$28:$H$118,6,)=""),"",VLOOKUP($B34,'A1.3.11'!$B$26:$AM$105,L$22,)*VLOOKUP($B34,'A1.3.7'!$B$28:$O$118,6,)))</f>
        <v/>
      </c>
      <c r="M34" s="691">
        <f>IF('A1.3.8'!E$36="","",IF(OR(VLOOKUP($B34,'A1.3.11'!$B$26:$AM$105,M$22,)="",VLOOKUP($B34,'A1.3.7'!$B$28:$H$118,6,)=""),"",VLOOKUP($B34,'A1.3.11'!$B$26:$AM$105,M$22,)*VLOOKUP($B34,'A1.3.7'!$B$28:$O$118,6,)))</f>
        <v>2.0799326854696187</v>
      </c>
      <c r="N34" s="691"/>
      <c r="O34" s="1664"/>
      <c r="P34" s="693">
        <f>IF(AND(D34="",H34="",L34=""),"",IF(D34="",0,(D34*VLOOKUP($B34,'A1.3.9'!$B$26:$O$57,3,TRUE)))+IF(H34="",0,(H34*VLOOKUP($B34,'A1.3.9'!$B$26:$O$57,4,TRUE)))+IF(L34="",0,(L34*VLOOKUP($B34,'A1.3.9'!$B$26:$O$57,5,TRUE))))</f>
        <v>39.744354733338554</v>
      </c>
      <c r="Q34" s="691">
        <f>IF(AND(E34="",I34="",M34=""),"",IF(E34="",0,(E34*VLOOKUP($B34,'A1.3.9'!$B$26:$O$57,3,TRUE)))+IF(I34="",0,(I34*VLOOKUP($B34,'A1.3.9'!$B$26:$O$57,4,TRUE)))+IF(M34="",0,(M34*VLOOKUP($B34,'A1.3.9'!$B$26:$O$57,5,TRUE))))</f>
        <v>6.9266823887813329</v>
      </c>
      <c r="R34" s="691">
        <f>IF(AND(F34="",J34="",N34=""),"",IF(F34="",0,(F34*VLOOKUP($B34,'A1.3.9'!$B$26:$O$57,3,TRUE)))+IF(J34="",0,(J34*VLOOKUP($B34,'A1.3.9'!$B$26:$O$57,4,TRUE)))+IF(N34="",0,(N34*VLOOKUP($B34,'A1.3.9'!$B$26:$O$57,5,TRUE))))</f>
        <v>-7.3214636616237755E-2</v>
      </c>
      <c r="S34" s="2644">
        <f>IF(AND(G34="",K34="",O34=""),"",IF(G34="",0,(G34*VLOOKUP($B34,'A1.3.9'!$B$26:$O$57,3,TRUE)))+IF(K34="",0,(K34*VLOOKUP($B34,'A1.3.9'!$B$26:$O$57,4,TRUE)))+IF(O34="",0,(O34*VLOOKUP($B34,'A1.3.9'!$B$26:$O$57,5,TRUE))))</f>
        <v>5.2318510937144681E-4</v>
      </c>
      <c r="T34" s="693">
        <f>IF('A1.3.8'!D$29="","",IF(OR(VLOOKUP($B34,'A1.3.11'!$B$26:$AM$105,T$22,)="",VLOOKUP($B34,'A1.3.7'!$B$28:$H$118,3,)=""),"",VLOOKUP($B34,'A1.3.11'!$B$26:$AM$105,T$22,)*(VLOOKUP($B34,'A1.3.7'!$B$28:$O$118,3,)+VLOOKUP($B34,'A1.3.7'!$B$28:$O$118,8,))))</f>
        <v>29.549951848144978</v>
      </c>
      <c r="U34" s="691">
        <f>IF('A1.3.8'!E$29="","",IF(OR(VLOOKUP($B34,'A1.3.11'!$B$26:$AM$105,U$22,)="",VLOOKUP($B34,'A1.3.7'!$B$28:$H$118,3,)=""),"",VLOOKUP($B34,'A1.3.11'!$B$26:$AM$105,U$22,)*(VLOOKUP($B34,'A1.3.7'!$B$28:$O$118,3,)+VLOOKUP($B34,'A1.3.7'!$B$28:$O$118,8,))))</f>
        <v>16.569902455706409</v>
      </c>
      <c r="V34" s="691">
        <f>IF('A1.3.8'!F$29="","",IF(OR(VLOOKUP($B34,'A1.3.11'!$B$26:$AM$105,V$22,)="",VLOOKUP($B34,'A1.3.7'!$B$28:$H$118,3,)=""),"",VLOOKUP($B34,'A1.3.11'!$B$26:$AM$105,V$22,)*(VLOOKUP($B34,'A1.3.7'!$B$28:$O$118,3,)+VLOOKUP($B34,'A1.3.7'!$B$28:$O$118,8,))))</f>
        <v>-0.2600930795968428</v>
      </c>
      <c r="W34" s="2644">
        <f>IF('A1.3.8'!G$29="","",IF(OR(VLOOKUP($B34,'A1.3.11'!$B$26:$AM$105,W$22,)="",VLOOKUP($B34,'A1.3.7'!$B$28:$H$118,3,)=""),"",VLOOKUP($B34,'A1.3.11'!$B$26:$AM$105,W$22,)*(VLOOKUP($B34,'A1.3.7'!$B$28:$O$118,3,)+VLOOKUP($B34,'A1.3.7'!$B$28:$O$118,8,))))</f>
        <v>1.6796908283237023E-3</v>
      </c>
      <c r="X34" s="693">
        <f>IF('A1.3.8'!D$30="","",IF(OR(VLOOKUP($B34,'A1.3.11'!$B$26:$AM$105,X$22,)="",VLOOKUP($B34,'A1.3.7'!$B$28:$H$118,4,)=""),"",VLOOKUP($B34,'A1.3.11'!$B$26:$AM$105,X$22,)*(VLOOKUP($B34,'A1.3.7'!$B$28:$O$118,4,)+VLOOKUP($B34,'A1.3.7'!$B$28:$O$118,9,))))</f>
        <v>41.12297391330825</v>
      </c>
      <c r="Y34" s="691">
        <f>IF('A1.3.8'!E$30="","",IF(OR(VLOOKUP($B34,'A1.3.11'!$B$26:$AM$105,Y$22,)="",VLOOKUP($B34,'A1.3.7'!$B$28:$H$118,4,)=""),"",VLOOKUP($B34,'A1.3.11'!$B$26:$AM$105,Y$22,)*(VLOOKUP($B34,'A1.3.7'!$B$28:$O$118,4,)+VLOOKUP($B34,'A1.3.7'!$B$28:$O$118,9,))))</f>
        <v>10.050622414172834</v>
      </c>
      <c r="Z34" s="691">
        <f>IF('A1.3.8'!F$30="","",IF(OR(VLOOKUP($B34,'A1.3.11'!$B$26:$AM$105,Z$22,)="",VLOOKUP($B34,'A1.3.7'!$B$28:$H$118,4,)=""),"",VLOOKUP($B34,'A1.3.11'!$B$26:$AM$105,Z$22,)*(VLOOKUP($B34,'A1.3.7'!$B$28:$O$118,4,)+VLOOKUP($B34,'A1.3.7'!$B$28:$O$118,9,))))</f>
        <v>-0.14499849475769089</v>
      </c>
      <c r="AA34" s="2644">
        <f>IF('A1.3.8'!G$30="","",IF(OR(VLOOKUP($B34,'A1.3.11'!$B$26:$AM$105,AA$22,)="",VLOOKUP($B34,'A1.3.7'!$B$28:$H$118,4,)=""),"",VLOOKUP($B34,'A1.3.11'!$B$26:$AM$105,AA$22,)*(VLOOKUP($B34,'A1.3.7'!$B$28:$O$118,4,)+VLOOKUP($B34,'A1.3.7'!$B$28:$O$118,9,))))</f>
        <v>1.2275623123022673E-3</v>
      </c>
      <c r="AB34" s="693" t="str">
        <f>IF('A1.3.8'!D$37="","",IF(OR(VLOOKUP($B34,'A1.3.11'!$B$26:$AM$105,AB$22,)="",VLOOKUP($B34,'A1.3.7'!$B$28:$H$118,6,)=""),"",VLOOKUP($B34,'A1.3.11'!$B$26:$AM$105,AB$22,)*VLOOKUP($B34,'A1.3.7'!$B$28:$O$118,6,)))</f>
        <v/>
      </c>
      <c r="AC34" s="691">
        <f>IF('A1.3.8'!E$37="","",IF(OR(VLOOKUP($B34,'A1.3.11'!$B$26:$AM$105,AC$22,)="",VLOOKUP($B34,'A1.3.7'!$B$28:$H$118,6,)=""),"",VLOOKUP($B34,'A1.3.11'!$B$26:$AM$105,AC$22,)*VLOOKUP($B34,'A1.3.7'!$B$28:$O$118,6,)))</f>
        <v>4.6072563862435052</v>
      </c>
      <c r="AD34" s="691"/>
      <c r="AE34" s="1664" t="str">
        <f>IF('A1.3.8'!G$37="","",IF(OR(VLOOKUP($B34,'A1.3.11'!$B$26:$AM$105,AE$22,)="",VLOOKUP($B34,'A1.3.7'!$B$28:$H$118,6,)=""),"",VLOOKUP($B34,'A1.3.11'!$B$26:$AM$105,AE$22,)*VLOOKUP($B34,'A1.3.7'!$B$28:$O$118,6,)))</f>
        <v/>
      </c>
      <c r="AF34" s="693">
        <f>IF(AND(T34="",X34="",AB34=""),"",IF(T34="",0,(T34*VLOOKUP('A1.3.12'!$B34,'A1.3.9'!$B$26:$O$57,6,TRUE))) + IF(X34="",0,(X34*VLOOKUP('A1.3.12'!$B34,'A1.3.9'!$B$26:$O$57,7,TRUE))) + IF(AB34="",0,(AB34*VLOOKUP('A1.3.12'!$B34,'A1.3.9'!$B$26:$O$57,8,TRUE))))</f>
        <v>40.814902843372018</v>
      </c>
      <c r="AG34" s="691">
        <f>IF(AND(U34="",Y34="",AC34=""),"",IF(U34="",0,(U34*VLOOKUP('A1.3.12'!$B34,'A1.3.9'!$B$26:$O$57,6,TRUE))) + IF(Y34="",0,(Y34*VLOOKUP('A1.3.12'!$B34,'A1.3.9'!$B$26:$O$57,7,TRUE))) + IF(AC34="",0,(AC34*VLOOKUP('A1.3.12'!$B34,'A1.3.9'!$B$26:$O$57,8,TRUE))))</f>
        <v>10.147914047535128</v>
      </c>
      <c r="AH34" s="691">
        <f>IF(AND(V34="",Z34="",AD34=""),"",IF(V34="",0,(V34*VLOOKUP('A1.3.12'!$B34,'A1.3.9'!$B$26:$O$57,6,TRUE))) + IF(Z34="",0,(Z34*VLOOKUP('A1.3.12'!$B34,'A1.3.9'!$B$26:$O$57,7,TRUE))) + IF(AD34="",0,(AD34*VLOOKUP('A1.3.12'!$B34,'A1.3.9'!$B$26:$O$57,8,TRUE))))</f>
        <v>-0.14658580068274471</v>
      </c>
      <c r="AI34" s="2644">
        <f>IF(AND(W34="",AA34="",AE34=""),"",IF(W34="",0,(W34*VLOOKUP('A1.3.12'!$B34,'A1.3.9'!$B$26:$O$57,6,TRUE))) + IF(AA34="",0,(AA34*VLOOKUP('A1.3.12'!$B34,'A1.3.9'!$B$26:$O$57,7,TRUE))) + IF(AE34="",0,(AE34*VLOOKUP('A1.3.12'!$B34,'A1.3.9'!$B$26:$O$57,8,TRUE))))</f>
        <v>1.2320441078549316E-3</v>
      </c>
      <c r="AJ34" s="693">
        <f>IF('A1.3.8'!D$31="","",IF(OR(VLOOKUP($B34,'A1.3.11'!$B$26:$AM$105,AJ$22,)="",VLOOKUP($B34,'A1.3.7'!$B$28:$H$118,4,)=""),"",VLOOKUP($B34,'A1.3.11'!$B$26:$AM$105,AJ$22,)*(VLOOKUP($B34,'A1.3.7'!$B$28:$O$118,4,)+VLOOKUP($B34,'A1.3.7'!$B$28:$O$118,9,))))</f>
        <v>240.30499384977273</v>
      </c>
      <c r="AK34" s="691">
        <f>IF('A1.3.8'!E$31="","",IF(OR(VLOOKUP($B34,'A1.3.11'!$B$26:$AM$105,AK$22,)="",VLOOKUP($B34,'A1.3.7'!$B$28:$H$118,4,)=""),"",VLOOKUP($B34,'A1.3.11'!$B$26:$AM$105,AK$22,)*(VLOOKUP($B34,'A1.3.7'!$B$28:$O$118,4,)+VLOOKUP($B34,'A1.3.7'!$B$28:$O$118,9,))))</f>
        <v>12.749911388662687</v>
      </c>
      <c r="AL34" s="691">
        <f>IF('A1.3.8'!F$31="","",IF(OR(VLOOKUP($B34,'A1.3.11'!$B$26:$AM$105,AL$22,)="",VLOOKUP($B34,'A1.3.7'!$B$28:$H$118,4,)=""),"",VLOOKUP($B34,'A1.3.11'!$B$26:$AM$105,AL$22,)*(VLOOKUP($B34,'A1.3.7'!$B$28:$O$118,4,)+VLOOKUP($B34,'A1.3.7'!$B$28:$O$118,9,))))</f>
        <v>-9.2156440469695247E-2</v>
      </c>
      <c r="AM34" s="2644">
        <f>IF('A1.3.8'!G$31="","",IF(OR(VLOOKUP($B34,'A1.3.11'!$B$26:$AM$105,AM$22,)="",VLOOKUP($B34,'A1.3.7'!$B$28:$H$118,4,)=""),"",VLOOKUP($B34,'A1.3.11'!$B$26:$AM$105,AM$22,)*(VLOOKUP($B34,'A1.3.7'!$B$28:$O$118,4,)+VLOOKUP($B34,'A1.3.7'!$B$28:$O$118,9,))))</f>
        <v>1.0064961952632016E-3</v>
      </c>
      <c r="AN34" s="693" t="str">
        <f>IF('A1.3.8'!D$38="","",IF(OR(VLOOKUP($B34,'A1.3.11'!$B$26:$AM$105,AN$22,)="",VLOOKUP($B34,'A1.3.7'!$B$28:$H$118,6,)=""),"",VLOOKUP($B34,'A1.3.11'!$B$26:$AM$105,AN$22,)*VLOOKUP($B34,'A1.3.7'!$B$28:$O$118,6,)))</f>
        <v/>
      </c>
      <c r="AO34" s="691" t="str">
        <f>IF('A1.3.8'!E$38="","",IF(OR(VLOOKUP($B34,'A1.3.11'!$B$26:$AM$105,AO$22,)="",VLOOKUP($B34,'A1.3.7'!$B$28:$H$118,6,)=""),"",VLOOKUP($B34,'A1.3.11'!$B$26:$AM$105,AO$22,)*VLOOKUP($B34,'A1.3.7'!$B$28:$O$118,6,)))</f>
        <v/>
      </c>
      <c r="AP34" s="691" t="str">
        <f>IF('A1.3.8'!F$38="","",IF(OR(VLOOKUP($B34,'A1.3.11'!$B$26:$AM$105,AP$22,)="",VLOOKUP($B34,'A1.3.7'!$B$28:$H$118,6,)=""),"",VLOOKUP($B34,'A1.3.11'!$B$26:$AM$105,AP$22,)*VLOOKUP($B34,'A1.3.7'!$B$28:$O$118,6,)))</f>
        <v/>
      </c>
      <c r="AQ34" s="1664" t="str">
        <f>IF('A1.3.8'!G$38="","",IF(OR(VLOOKUP($B34,'A1.3.11'!$B$26:$AM$105,AQ$22,)="",VLOOKUP($B34,'A1.3.7'!$B$28:$H$118,6,)=""),"",VLOOKUP($B34,'A1.3.11'!$B$26:$AM$105,AQ$22,)*VLOOKUP($B34,'A1.3.7'!$B$28:$O$118,6,)))</f>
        <v/>
      </c>
      <c r="AR34" s="693">
        <f>IF(AND(AJ34="",AN34=""),"",IF(AJ34="",0,(AJ34*VLOOKUP($B34,'A1.3.9'!$B$26:$O$57,9,TRUE))) + IF(AN34="",0,(AN34*VLOOKUP($B34,'A1.3.9'!$B$26:$O$57,10,TRUE))))</f>
        <v>240.30499384977273</v>
      </c>
      <c r="AS34" s="691">
        <f>IF(AND(AK34="",AO34=""),"",IF(AK34="",0,(AK34*VLOOKUP($B34,'A1.3.9'!$B$26:$O$57,9,TRUE))) + IF(AO34="",0,(AO34*VLOOKUP($B34,'A1.3.9'!$B$26:$O$57,10,TRUE))))</f>
        <v>12.749911388662687</v>
      </c>
      <c r="AT34" s="691">
        <f>IF(AND(AL34="",AP34=""),"",IF(AL34="",0,(AL34*VLOOKUP($B34,'A1.3.9'!$B$26:$O$57,9,TRUE))) + IF(AP34="",0,(AP34*VLOOKUP($B34,'A1.3.9'!$B$26:$O$57,10,TRUE))))</f>
        <v>-9.2156440469695247E-2</v>
      </c>
      <c r="AU34" s="2644">
        <f>IF(AND(AM34="",AQ34=""),"",IF(AM34="",0,(AM34*VLOOKUP($B34,'A1.3.9'!$B$26:$O$57,9,TRUE))) + IF(AQ34="",0,(AQ34*VLOOKUP($B34,'A1.3.9'!$B$26:$O$57,10,TRUE))))</f>
        <v>1.0064961952632016E-3</v>
      </c>
      <c r="AV34" s="693">
        <f>IF('A1.3.8'!D$32="","",IF(OR(VLOOKUP($B34,'A1.3.11'!$B$26:$AM$105,AV$22,)="",VLOOKUP($B34,'A1.3.7'!$B$28:$H$118,4,)=""),"",VLOOKUP($B34,'A1.3.11'!$B$26:$AM$105,AV$22,)*(VLOOKUP($B34,'A1.3.7'!$B$28:$O$118,4,)+VLOOKUP($B34,'A1.3.7'!$B$28:$O$118,9,))))</f>
        <v>504.94340997005384</v>
      </c>
      <c r="AW34" s="691">
        <f>IF('A1.3.8'!E$32="","",IF(OR(VLOOKUP($B34,'A1.3.11'!$B$26:$AM$105,AW$22,)="",VLOOKUP($B34,'A1.3.7'!$B$28:$H$118,4,)=""),"",VLOOKUP($B34,'A1.3.11'!$B$26:$AM$105,AW$22,)*(VLOOKUP($B34,'A1.3.7'!$B$28:$O$118,4,)+VLOOKUP($B34,'A1.3.7'!$B$28:$O$118,9,))))</f>
        <v>26.222605989802663</v>
      </c>
      <c r="AX34" s="691">
        <f>IF('A1.3.8'!F$32="","",IF(OR(VLOOKUP($B34,'A1.3.11'!$B$26:$AM$105,AX$22,)="",VLOOKUP($B34,'A1.3.7'!$B$28:$H$118,4,)=""),"",VLOOKUP($B34,'A1.3.11'!$B$26:$AM$105,AX$22,)*(VLOOKUP($B34,'A1.3.7'!$B$28:$O$118,4,)+VLOOKUP($B34,'A1.3.7'!$B$28:$O$118,9,))))</f>
        <v>-0.17373855943295105</v>
      </c>
      <c r="AY34" s="2644">
        <f>IF('A1.3.8'!G$32="","",IF(OR(VLOOKUP($B34,'A1.3.11'!$B$26:$AM$105,AY$22,)="",VLOOKUP($B34,'A1.3.7'!$B$28:$H$118,4,)=""),"",VLOOKUP($B34,'A1.3.11'!$B$26:$AM$105,AY$22,)*(VLOOKUP($B34,'A1.3.7'!$B$28:$O$118,4,)+VLOOKUP($B34,'A1.3.7'!$B$28:$O$118,9,))))</f>
        <v>1.0355540603185964E-3</v>
      </c>
      <c r="AZ34" s="693" t="str">
        <f>IF('A1.3.8'!D$39="","",IF(OR(VLOOKUP($B34,'A1.3.11'!$B$26:$AM$105,AZ$22,)="",VLOOKUP($B34,'A1.3.7'!$B$28:$H$118,6,)=""),"",VLOOKUP($B34,'A1.3.11'!$B$26:$AM$105,AZ$22,)*VLOOKUP($B34,'A1.3.7'!$B$28:$O$118,6,)))</f>
        <v/>
      </c>
      <c r="BA34" s="691" t="str">
        <f>IF('A1.3.8'!E$39="","",IF(OR(VLOOKUP($B34,'A1.3.11'!$B$26:$AM$105,BA$22,)="",VLOOKUP($B34,'A1.3.7'!$B$28:$H$118,6,)=""),"",VLOOKUP($B34,'A1.3.11'!$B$26:$AM$105,BA$22,)*VLOOKUP($B34,'A1.3.7'!$B$28:$O$118,6,)))</f>
        <v/>
      </c>
      <c r="BB34" s="691" t="str">
        <f>IF('A1.3.8'!F$39="","",IF(OR(VLOOKUP($B34,'A1.3.11'!$B$26:$AM$105,BB$22,)="",VLOOKUP($B34,'A1.3.7'!$B$28:$H$118,6,)=""),"",VLOOKUP($B34,'A1.3.11'!$B$26:$AM$105,BB$22,)*VLOOKUP($B34,'A1.3.7'!$B$28:$O$118,6,)))</f>
        <v/>
      </c>
      <c r="BC34" s="1664" t="str">
        <f>IF('A1.3.8'!G$39="","",IF(OR(VLOOKUP($B34,'A1.3.11'!$B$26:$AM$105,BC$22,)="",VLOOKUP($B34,'A1.3.7'!$B$28:$H$118,6,)=""),"",VLOOKUP($B34,'A1.3.11'!$B$26:$AM$105,BC$22,)*VLOOKUP($B34,'A1.3.7'!$B$28:$O$118,6,)))</f>
        <v/>
      </c>
      <c r="BD34" s="693">
        <f>IF(AND(AV34="",AZ34=""),"",IF(AV34="",0,(AV34*VLOOKUP($B34,'A1.3.9'!$B$26:$O$57,9,TRUE))) + IF(AZ34="",0,(AZ34*VLOOKUP($B34,'A1.3.9'!$B$26:$O$57,10,TRUE))))</f>
        <v>504.94340997005384</v>
      </c>
      <c r="BE34" s="691">
        <f>IF(AND(AW34="",BA34=""),"",IF(AW34="",0,(AW34*VLOOKUP($B34,'A1.3.9'!$B$26:$O$57,9,TRUE))) + IF(BA34="",0,(BA34*VLOOKUP($B34,'A1.3.9'!$B$26:$O$57,10,TRUE))))</f>
        <v>26.222605989802663</v>
      </c>
      <c r="BF34" s="691">
        <f>IF(AND(AX34="",BB34=""),"",IF(AX34="",0,(AX34*VLOOKUP($B34,'A1.3.9'!$B$26:$O$57,9,TRUE))) + IF(BB34="",0,(BB34*VLOOKUP($B34,'A1.3.9'!$B$26:$O$57,10,TRUE))))</f>
        <v>-0.17373855943295105</v>
      </c>
      <c r="BG34" s="2644">
        <f>IF(AND(AY34="",BC34=""),"",IF(AY34="",0,(AY34*VLOOKUP($B34,'A1.3.9'!$B$26:$O$57,9,TRUE))) + IF(BC34="",0,(BC34*VLOOKUP($B34,'A1.3.9'!$B$26:$O$57,10,TRUE))))</f>
        <v>1.0355540603185964E-3</v>
      </c>
      <c r="BH34" s="693">
        <f>IF('A1.3.8'!D$33="","",IF(OR(VLOOKUP($B34,'A1.3.11'!$B$26:$AM$105,BH$22,)="",VLOOKUP($B34,'A1.3.7'!$B$28:$H$118,4,)=""),"",VLOOKUP($B34,'A1.3.11'!$B$26:$AM$105,BH$22,)*(VLOOKUP($B34,'A1.3.7'!$B$28:$O$118,4,)+VLOOKUP($B34,'A1.3.7'!$B$28:$O$118,9,))))</f>
        <v>299.47492919757735</v>
      </c>
      <c r="BI34" s="691">
        <f>IF('A1.3.8'!E$33="","",IF(OR(VLOOKUP($B34,'A1.3.11'!$B$26:$AM$105,BI$22,)="",VLOOKUP($B34,'A1.3.7'!$B$28:$H$118,4,)=""),"",VLOOKUP($B34,'A1.3.11'!$B$26:$AM$105,BI$22,)*(VLOOKUP($B34,'A1.3.7'!$B$28:$O$118,4,)+VLOOKUP($B34,'A1.3.7'!$B$28:$O$118,9,))))</f>
        <v>26.313948855892505</v>
      </c>
      <c r="BJ34" s="691">
        <f>IF('A1.3.8'!F$33="","",IF(OR(VLOOKUP($B34,'A1.3.11'!$B$26:$AM$105,BJ$22,)="",VLOOKUP($B34,'A1.3.7'!$B$28:$H$118,4,)=""),"",VLOOKUP($B34,'A1.3.11'!$B$26:$AM$105,BJ$22,)*(VLOOKUP($B34,'A1.3.7'!$B$28:$O$118,4,)+VLOOKUP($B34,'A1.3.7'!$B$28:$O$118,9,))))</f>
        <v>-0.28600917063404435</v>
      </c>
      <c r="BK34" s="2644">
        <f>IF('A1.3.8'!G$33="","",IF(OR(VLOOKUP($B34,'A1.3.11'!$B$26:$AM$105,BK$22,)="",VLOOKUP($B34,'A1.3.7'!$B$28:$H$118,4,)=""),"",VLOOKUP($B34,'A1.3.11'!$B$26:$AM$105,BK$22,)*(VLOOKUP($B34,'A1.3.7'!$B$28:$O$118,4,)+VLOOKUP($B34,'A1.3.7'!$B$28:$O$118,9,))))</f>
        <v>2.0979941729471212E-3</v>
      </c>
      <c r="BL34" s="693" t="str">
        <f>IF('A1.3.8'!D$40="","",IF(OR(VLOOKUP($B34,'A1.3.11'!$B$26:$AM$105,BL$22,)="",VLOOKUP($B34,'A1.3.7'!$B$28:$H$118,6,)=""),"",VLOOKUP($B34,'A1.3.11'!$B$26:$AM$105,BL$22,)*VLOOKUP($B34,'A1.3.7'!$B$28:$O$118,6,)))</f>
        <v/>
      </c>
      <c r="BM34" s="691" t="str">
        <f>IF('A1.3.8'!E$40="","",IF(OR(VLOOKUP($B34,'A1.3.11'!$B$26:$AM$105,BM$22,)="",VLOOKUP($B34,'A1.3.7'!$B$28:$H$118,6,)=""),"",VLOOKUP($B34,'A1.3.11'!$B$26:$AM$105,BM$22,)*VLOOKUP($B34,'A1.3.7'!$B$28:$O$118,6,)))</f>
        <v/>
      </c>
      <c r="BN34" s="691" t="str">
        <f>IF('A1.3.8'!F$40="","",IF(OR(VLOOKUP($B34,'A1.3.11'!$B$26:$AM$105,BN$22,)="",VLOOKUP($B34,'A1.3.7'!$B$28:$H$118,6,)=""),"",VLOOKUP($B34,'A1.3.11'!$B$26:$AM$105,BN$22,)*VLOOKUP($B34,'A1.3.7'!$B$28:$O$118,6,)))</f>
        <v/>
      </c>
      <c r="BO34" s="1664" t="str">
        <f>IF('A1.3.8'!G$40="","",IF(OR(VLOOKUP($B34,'A1.3.11'!$B$26:$AM$105,BO$22,)="",VLOOKUP($B34,'A1.3.7'!$B$28:$H$118,6,)=""),"",VLOOKUP($B34,'A1.3.11'!$B$26:$AM$105,BO$22,)*VLOOKUP($B34,'A1.3.7'!$B$28:$O$118,6,)))</f>
        <v/>
      </c>
      <c r="BP34" s="693">
        <f>IF(AND(BH34="",BL34=""),"",IF(BH34="",0,(BH34*VLOOKUP($B34,'A1.3.9'!$B$26:$O$57,9,TRUE))) + IF(BL34="",0,(BL34*VLOOKUP($B34,'A1.3.9'!$B$26:$O$57,10,TRUE))))</f>
        <v>299.47492919757735</v>
      </c>
      <c r="BQ34" s="691">
        <f>IF(AND(BI34="",BM34=""),"",IF(BI34="",0,(BI34*VLOOKUP($B34,'A1.3.9'!$B$26:$O$57,9,TRUE))) + IF(BM34="",0,(BM34*VLOOKUP($B34,'A1.3.9'!$B$26:$O$57,10,TRUE))))</f>
        <v>26.313948855892505</v>
      </c>
      <c r="BR34" s="691">
        <f>IF(AND(BJ34="",BN34=""),"",IF(BJ34="",0,(BJ34*VLOOKUP($B34,'A1.3.9'!$B$26:$O$57,9,TRUE))) + IF(BN34="",0,(BN34*VLOOKUP($B34,'A1.3.9'!$B$26:$O$57,10,TRUE))))</f>
        <v>-0.28600917063404435</v>
      </c>
      <c r="BS34" s="2644">
        <f>IF(AND(BK34="",BO34=""),"",IF(BK34="",0,(BK34*VLOOKUP($B34,'A1.3.9'!$B$26:$O$57,9,TRUE))) + IF(BO34="",0,(BO34*VLOOKUP($B34,'A1.3.9'!$B$26:$O$57,10,TRUE))))</f>
        <v>2.0979941729471212E-3</v>
      </c>
    </row>
    <row r="35" spans="1:71" ht="13.5" customHeight="1">
      <c r="A35" s="113"/>
      <c r="B35" s="614">
        <f t="shared" si="0"/>
        <v>2018</v>
      </c>
      <c r="C35" s="147"/>
      <c r="D35" s="693">
        <f>IF('A1.3.8'!D$27="","",IF(OR(VLOOKUP($B35,'A1.3.11'!$B$26:$AM$105,D$22,)="",VLOOKUP($B35,'A1.3.7'!$B$28:$H$118,3,)=""),"",VLOOKUP($B35,'A1.3.11'!$B$26:$AM$105,D$22,)*(VLOOKUP($B35,'A1.3.7'!$B$28:$O$118,3,)+VLOOKUP($B35,'A1.3.7'!$B$28:$O$118,8,))))</f>
        <v>38.424975539776398</v>
      </c>
      <c r="E35" s="691">
        <f>IF('A1.3.8'!E$27="","",IF(OR(VLOOKUP($B35,'A1.3.11'!$B$26:$AM$105,E$22,)="",VLOOKUP($B35,'A1.3.7'!$B$28:$H$118,3,)=""),"",VLOOKUP($B35,'A1.3.11'!$B$26:$AM$105,E$22,)*(VLOOKUP($B35,'A1.3.7'!$B$28:$O$118,3,)+VLOOKUP($B35,'A1.3.7'!$B$28:$O$118,8,))))</f>
        <v>8.1659305902036525</v>
      </c>
      <c r="F35" s="691">
        <f>IF('A1.3.8'!F$27="","",IF(OR(VLOOKUP($B35,'A1.3.11'!$B$26:$AM$105,F$22,)="",VLOOKUP($B35,'A1.3.7'!$B$28:$H$118,3,)=""),"",VLOOKUP($B35,'A1.3.11'!$B$26:$AM$105,F$22,)*(VLOOKUP($B35,'A1.3.7'!$B$28:$O$118,3,)+VLOOKUP($B35,'A1.3.7'!$B$28:$O$118,8,))))</f>
        <v>-9.3019633282674999E-2</v>
      </c>
      <c r="G35" s="2644">
        <f>IF('A1.3.8'!G$27="","",IF(OR(VLOOKUP($B35,'A1.3.11'!$B$26:$AM$105,G$22,)="",VLOOKUP($B35,'A1.3.7'!$B$28:$H$118,3,)=""),"",VLOOKUP($B35,'A1.3.11'!$B$26:$AM$105,G$22,)*(VLOOKUP($B35,'A1.3.7'!$B$28:$O$118,3,)+VLOOKUP($B35,'A1.3.7'!$B$28:$O$118,8,))))</f>
        <v>6.1606154674531709E-4</v>
      </c>
      <c r="H35" s="693">
        <f>IF('A1.3.8'!D$28="","",IF(OR(VLOOKUP($B35,'A1.3.11'!$B$26:$AM$105,H$22,)="",VLOOKUP($B35,'A1.3.7'!$B$28:$H$118,4,)=""),"",VLOOKUP($B35,'A1.3.11'!$B$26:$AM$105,H$22,)*(VLOOKUP($B35,'A1.3.7'!$B$28:$O$118,4,)+VLOOKUP($B35,'A1.3.7'!$B$28:$O$118,9,))))</f>
        <v>43.083991306774635</v>
      </c>
      <c r="I35" s="691">
        <f>IF('A1.3.8'!E$28="","",IF(OR(VLOOKUP($B35,'A1.3.11'!$B$26:$AM$105,I$22,)="",VLOOKUP($B35,'A1.3.7'!$B$28:$H$118,4,)=""),"",VLOOKUP($B35,'A1.3.11'!$B$26:$AM$105,I$22,)*(VLOOKUP($B35,'A1.3.7'!$B$28:$O$118,4,)+VLOOKUP($B35,'A1.3.7'!$B$28:$O$118,9,))))</f>
        <v>6.1771788874978206</v>
      </c>
      <c r="J35" s="691">
        <f>IF('A1.3.8'!F$28="","",IF(OR(VLOOKUP($B35,'A1.3.11'!$B$26:$AM$105,J$22,)="",VLOOKUP($B35,'A1.3.7'!$B$28:$H$118,4,)=""),"",VLOOKUP($B35,'A1.3.11'!$B$26:$AM$105,J$22,)*(VLOOKUP($B35,'A1.3.7'!$B$28:$O$118,4,)+VLOOKUP($B35,'A1.3.7'!$B$28:$O$118,9,))))</f>
        <v>-5.94261817403847E-2</v>
      </c>
      <c r="K35" s="2644">
        <f>IF('A1.3.8'!G$28="","",IF(OR(VLOOKUP($B35,'A1.3.11'!$B$26:$AM$105,K$22,)="",VLOOKUP($B35,'A1.3.7'!$B$28:$H$118,4,)=""),"",VLOOKUP($B35,'A1.3.11'!$B$26:$AM$105,K$22,)*(VLOOKUP($B35,'A1.3.7'!$B$28:$O$118,4,)+VLOOKUP($B35,'A1.3.7'!$B$28:$O$118,9,))))</f>
        <v>4.6828129357025846E-4</v>
      </c>
      <c r="L35" s="693" t="str">
        <f>IF('A1.3.8'!D$36="","",IF(OR(VLOOKUP($B35,'A1.3.11'!$B$26:$AM$105,L$22,)="",VLOOKUP($B35,'A1.3.7'!$B$28:$H$118,6,)=""),"",VLOOKUP($B35,'A1.3.11'!$B$26:$AM$105,L$22,)*VLOOKUP($B35,'A1.3.7'!$B$28:$O$118,6,)))</f>
        <v/>
      </c>
      <c r="M35" s="691">
        <f>IF('A1.3.8'!E$36="","",IF(OR(VLOOKUP($B35,'A1.3.11'!$B$26:$AM$105,M$22,)="",VLOOKUP($B35,'A1.3.7'!$B$28:$H$118,6,)=""),"",VLOOKUP($B35,'A1.3.11'!$B$26:$AM$105,M$22,)*VLOOKUP($B35,'A1.3.7'!$B$28:$O$118,6,)))</f>
        <v>2.2180189656742568</v>
      </c>
      <c r="N35" s="691"/>
      <c r="O35" s="1664"/>
      <c r="P35" s="693">
        <f>IF(AND(D35="",H35="",L35=""),"",IF(D35="",0,(D35*VLOOKUP($B35,'A1.3.9'!$B$26:$O$57,3,TRUE)))+IF(H35="",0,(H35*VLOOKUP($B35,'A1.3.9'!$B$26:$O$57,4,TRUE)))+IF(L35="",0,(L35*VLOOKUP($B35,'A1.3.9'!$B$26:$O$57,5,TRUE))))</f>
        <v>40.542235610825834</v>
      </c>
      <c r="Q35" s="691">
        <f>IF(AND(E35="",I35="",M35=""),"",IF(E35="",0,(E35*VLOOKUP($B35,'A1.3.9'!$B$26:$O$57,3,TRUE)))+IF(I35="",0,(I35*VLOOKUP($B35,'A1.3.9'!$B$26:$O$57,4,TRUE)))+IF(M35="",0,(M35*VLOOKUP($B35,'A1.3.9'!$B$26:$O$57,5,TRUE))))</f>
        <v>7.1060806842094975</v>
      </c>
      <c r="R35" s="691">
        <f>IF(AND(F35="",J35="",N35=""),"",IF(F35="",0,(F35*VLOOKUP($B35,'A1.3.9'!$B$26:$O$57,3,TRUE)))+IF(J35="",0,(J35*VLOOKUP($B35,'A1.3.9'!$B$26:$O$57,4,TRUE)))+IF(N35="",0,(N35*VLOOKUP($B35,'A1.3.9'!$B$26:$O$57,5,TRUE))))</f>
        <v>-7.5168968403894587E-2</v>
      </c>
      <c r="S35" s="2644">
        <f>IF(AND(G35="",K35="",O35=""),"",IF(G35="",0,(G35*VLOOKUP($B35,'A1.3.9'!$B$26:$O$57,3,TRUE)))+IF(K35="",0,(K35*VLOOKUP($B35,'A1.3.9'!$B$26:$O$57,4,TRUE)))+IF(O35="",0,(O35*VLOOKUP($B35,'A1.3.9'!$B$26:$O$57,5,TRUE))))</f>
        <v>5.3609051176011771E-4</v>
      </c>
      <c r="T35" s="693">
        <f>IF('A1.3.8'!D$29="","",IF(OR(VLOOKUP($B35,'A1.3.11'!$B$26:$AM$105,T$22,)="",VLOOKUP($B35,'A1.3.7'!$B$28:$H$118,3,)=""),"",VLOOKUP($B35,'A1.3.11'!$B$26:$AM$105,T$22,)*(VLOOKUP($B35,'A1.3.7'!$B$28:$O$118,3,)+VLOOKUP($B35,'A1.3.7'!$B$28:$O$118,8,))))</f>
        <v>30.000766283737875</v>
      </c>
      <c r="U35" s="691">
        <f>IF('A1.3.8'!E$29="","",IF(OR(VLOOKUP($B35,'A1.3.11'!$B$26:$AM$105,U$22,)="",VLOOKUP($B35,'A1.3.7'!$B$28:$H$118,3,)=""),"",VLOOKUP($B35,'A1.3.11'!$B$26:$AM$105,U$22,)*(VLOOKUP($B35,'A1.3.7'!$B$28:$O$118,3,)+VLOOKUP($B35,'A1.3.7'!$B$28:$O$118,8,))))</f>
        <v>16.822693095156048</v>
      </c>
      <c r="V35" s="691">
        <f>IF('A1.3.8'!F$29="","",IF(OR(VLOOKUP($B35,'A1.3.11'!$B$26:$AM$105,V$22,)="",VLOOKUP($B35,'A1.3.7'!$B$28:$H$118,3,)=""),"",VLOOKUP($B35,'A1.3.11'!$B$26:$AM$105,V$22,)*(VLOOKUP($B35,'A1.3.7'!$B$28:$O$118,3,)+VLOOKUP($B35,'A1.3.7'!$B$28:$O$118,8,))))</f>
        <v>-0.26406106287758141</v>
      </c>
      <c r="W35" s="2644">
        <f>IF('A1.3.8'!G$29="","",IF(OR(VLOOKUP($B35,'A1.3.11'!$B$26:$AM$105,W$22,)="",VLOOKUP($B35,'A1.3.7'!$B$28:$H$118,3,)=""),"",VLOOKUP($B35,'A1.3.11'!$B$26:$AM$105,W$22,)*(VLOOKUP($B35,'A1.3.7'!$B$28:$O$118,3,)+VLOOKUP($B35,'A1.3.7'!$B$28:$O$118,8,))))</f>
        <v>1.7053162126435366E-3</v>
      </c>
      <c r="X35" s="693">
        <f>IF('A1.3.8'!D$30="","",IF(OR(VLOOKUP($B35,'A1.3.11'!$B$26:$AM$105,X$22,)="",VLOOKUP($B35,'A1.3.7'!$B$28:$H$118,4,)=""),"",VLOOKUP($B35,'A1.3.11'!$B$26:$AM$105,X$22,)*(VLOOKUP($B35,'A1.3.7'!$B$28:$O$118,4,)+VLOOKUP($B35,'A1.3.7'!$B$28:$O$118,9,))))</f>
        <v>43.328110680467049</v>
      </c>
      <c r="Y35" s="691">
        <f>IF('A1.3.8'!E$30="","",IF(OR(VLOOKUP($B35,'A1.3.11'!$B$26:$AM$105,Y$22,)="",VLOOKUP($B35,'A1.3.7'!$B$28:$H$118,4,)=""),"",VLOOKUP($B35,'A1.3.11'!$B$26:$AM$105,Y$22,)*(VLOOKUP($B35,'A1.3.7'!$B$28:$O$118,4,)+VLOOKUP($B35,'A1.3.7'!$B$28:$O$118,9,))))</f>
        <v>10.589566826730277</v>
      </c>
      <c r="Z35" s="691">
        <f>IF('A1.3.8'!F$30="","",IF(OR(VLOOKUP($B35,'A1.3.11'!$B$26:$AM$105,Z$22,)="",VLOOKUP($B35,'A1.3.7'!$B$28:$H$118,4,)=""),"",VLOOKUP($B35,'A1.3.11'!$B$26:$AM$105,Z$22,)*(VLOOKUP($B35,'A1.3.7'!$B$28:$O$118,4,)+VLOOKUP($B35,'A1.3.7'!$B$28:$O$118,9,))))</f>
        <v>-0.15277374740957639</v>
      </c>
      <c r="AA35" s="2644">
        <f>IF('A1.3.8'!G$30="","",IF(OR(VLOOKUP($B35,'A1.3.11'!$B$26:$AM$105,AA$22,)="",VLOOKUP($B35,'A1.3.7'!$B$28:$H$118,4,)=""),"",VLOOKUP($B35,'A1.3.11'!$B$26:$AM$105,AA$22,)*(VLOOKUP($B35,'A1.3.7'!$B$28:$O$118,4,)+VLOOKUP($B35,'A1.3.7'!$B$28:$O$118,9,))))</f>
        <v>1.2933878723539976E-3</v>
      </c>
      <c r="AB35" s="693" t="str">
        <f>IF('A1.3.8'!D$37="","",IF(OR(VLOOKUP($B35,'A1.3.11'!$B$26:$AM$105,AB$22,)="",VLOOKUP($B35,'A1.3.7'!$B$28:$H$118,6,)=""),"",VLOOKUP($B35,'A1.3.11'!$B$26:$AM$105,AB$22,)*VLOOKUP($B35,'A1.3.7'!$B$28:$O$118,6,)))</f>
        <v/>
      </c>
      <c r="AC35" s="691">
        <f>IF('A1.3.8'!E$37="","",IF(OR(VLOOKUP($B35,'A1.3.11'!$B$26:$AM$105,AC$22,)="",VLOOKUP($B35,'A1.3.7'!$B$28:$H$118,6,)=""),"",VLOOKUP($B35,'A1.3.11'!$B$26:$AM$105,AC$22,)*VLOOKUP($B35,'A1.3.7'!$B$28:$O$118,6,)))</f>
        <v>4.9465808191589957</v>
      </c>
      <c r="AD35" s="691"/>
      <c r="AE35" s="1664" t="str">
        <f>IF('A1.3.8'!G$37="","",IF(OR(VLOOKUP($B35,'A1.3.11'!$B$26:$AM$105,AE$22,)="",VLOOKUP($B35,'A1.3.7'!$B$28:$H$118,6,)=""),"",VLOOKUP($B35,'A1.3.11'!$B$26:$AM$105,AE$22,)*VLOOKUP($B35,'A1.3.7'!$B$28:$O$118,6,)))</f>
        <v/>
      </c>
      <c r="AF35" s="693">
        <f>IF(AND(T35="",X35="",AB35=""),"",IF(T35="",0,(T35*VLOOKUP('A1.3.12'!$B35,'A1.3.9'!$B$26:$O$57,6,TRUE))) + IF(X35="",0,(X35*VLOOKUP('A1.3.12'!$B35,'A1.3.9'!$B$26:$O$57,7,TRUE))) + IF(AB35="",0,(AB35*VLOOKUP('A1.3.12'!$B35,'A1.3.9'!$B$26:$O$57,8,TRUE))))</f>
        <v>43.020226490340839</v>
      </c>
      <c r="AG35" s="691">
        <f>IF(AND(U35="",Y35="",AC35=""),"",IF(U35="",0,(U35*VLOOKUP('A1.3.12'!$B35,'A1.3.9'!$B$26:$O$57,6,TRUE))) + IF(Y35="",0,(Y35*VLOOKUP('A1.3.12'!$B35,'A1.3.9'!$B$26:$O$57,7,TRUE))) + IF(AC35="",0,(AC35*VLOOKUP('A1.3.12'!$B35,'A1.3.9'!$B$26:$O$57,8,TRUE))))</f>
        <v>10.673429860527461</v>
      </c>
      <c r="AH35" s="691">
        <f>IF(AND(V35="",Z35="",AD35=""),"",IF(V35="",0,(V35*VLOOKUP('A1.3.12'!$B35,'A1.3.9'!$B$26:$O$57,6,TRUE))) + IF(Z35="",0,(Z35*VLOOKUP('A1.3.12'!$B35,'A1.3.9'!$B$26:$O$57,7,TRUE))) + IF(AD35="",0,(AD35*VLOOKUP('A1.3.12'!$B35,'A1.3.9'!$B$26:$O$57,8,TRUE))))</f>
        <v>-0.15415030364578564</v>
      </c>
      <c r="AI35" s="2644">
        <f>IF(AND(W35="",AA35="",AE35=""),"",IF(W35="",0,(W35*VLOOKUP('A1.3.12'!$B35,'A1.3.9'!$B$26:$O$57,6,TRUE))) + IF(AA35="",0,(AA35*VLOOKUP('A1.3.12'!$B35,'A1.3.9'!$B$26:$O$57,7,TRUE))) + IF(AE35="",0,(AE35*VLOOKUP('A1.3.12'!$B35,'A1.3.9'!$B$26:$O$57,8,TRUE))))</f>
        <v>1.2967936708769357E-3</v>
      </c>
      <c r="AJ35" s="693">
        <f>IF('A1.3.8'!D$31="","",IF(OR(VLOOKUP($B35,'A1.3.11'!$B$26:$AM$105,AJ$22,)="",VLOOKUP($B35,'A1.3.7'!$B$28:$H$118,4,)=""),"",VLOOKUP($B35,'A1.3.11'!$B$26:$AM$105,AJ$22,)*(VLOOKUP($B35,'A1.3.7'!$B$28:$O$118,4,)+VLOOKUP($B35,'A1.3.7'!$B$28:$O$118,9,))))</f>
        <v>253.34083336586551</v>
      </c>
      <c r="AK35" s="691">
        <f>IF('A1.3.8'!E$31="","",IF(OR(VLOOKUP($B35,'A1.3.11'!$B$26:$AM$105,AK$22,)="",VLOOKUP($B35,'A1.3.7'!$B$28:$H$118,4,)=""),"",VLOOKUP($B35,'A1.3.11'!$B$26:$AM$105,AK$22,)*(VLOOKUP($B35,'A1.3.7'!$B$28:$O$118,4,)+VLOOKUP($B35,'A1.3.7'!$B$28:$O$118,9,))))</f>
        <v>13.44155660187417</v>
      </c>
      <c r="AL35" s="691">
        <f>IF('A1.3.8'!F$31="","",IF(OR(VLOOKUP($B35,'A1.3.11'!$B$26:$AM$105,AL$22,)="",VLOOKUP($B35,'A1.3.7'!$B$28:$H$118,4,)=""),"",VLOOKUP($B35,'A1.3.11'!$B$26:$AM$105,AL$22,)*(VLOOKUP($B35,'A1.3.7'!$B$28:$O$118,4,)+VLOOKUP($B35,'A1.3.7'!$B$28:$O$118,9,))))</f>
        <v>-9.7155656462219839E-2</v>
      </c>
      <c r="AM35" s="2644">
        <f>IF('A1.3.8'!G$31="","",IF(OR(VLOOKUP($B35,'A1.3.11'!$B$26:$AM$105,AM$22,)="",VLOOKUP($B35,'A1.3.7'!$B$28:$H$118,4,)=""),"",VLOOKUP($B35,'A1.3.11'!$B$26:$AM$105,AM$22,)*(VLOOKUP($B35,'A1.3.7'!$B$28:$O$118,4,)+VLOOKUP($B35,'A1.3.7'!$B$28:$O$118,9,))))</f>
        <v>1.061095655161282E-3</v>
      </c>
      <c r="AN35" s="693" t="str">
        <f>IF('A1.3.8'!D$38="","",IF(OR(VLOOKUP($B35,'A1.3.11'!$B$26:$AM$105,AN$22,)="",VLOOKUP($B35,'A1.3.7'!$B$28:$H$118,6,)=""),"",VLOOKUP($B35,'A1.3.11'!$B$26:$AM$105,AN$22,)*VLOOKUP($B35,'A1.3.7'!$B$28:$O$118,6,)))</f>
        <v/>
      </c>
      <c r="AO35" s="691" t="str">
        <f>IF('A1.3.8'!E$38="","",IF(OR(VLOOKUP($B35,'A1.3.11'!$B$26:$AM$105,AO$22,)="",VLOOKUP($B35,'A1.3.7'!$B$28:$H$118,6,)=""),"",VLOOKUP($B35,'A1.3.11'!$B$26:$AM$105,AO$22,)*VLOOKUP($B35,'A1.3.7'!$B$28:$O$118,6,)))</f>
        <v/>
      </c>
      <c r="AP35" s="691" t="str">
        <f>IF('A1.3.8'!F$38="","",IF(OR(VLOOKUP($B35,'A1.3.11'!$B$26:$AM$105,AP$22,)="",VLOOKUP($B35,'A1.3.7'!$B$28:$H$118,6,)=""),"",VLOOKUP($B35,'A1.3.11'!$B$26:$AM$105,AP$22,)*VLOOKUP($B35,'A1.3.7'!$B$28:$O$118,6,)))</f>
        <v/>
      </c>
      <c r="AQ35" s="1664" t="str">
        <f>IF('A1.3.8'!G$38="","",IF(OR(VLOOKUP($B35,'A1.3.11'!$B$26:$AM$105,AQ$22,)="",VLOOKUP($B35,'A1.3.7'!$B$28:$H$118,6,)=""),"",VLOOKUP($B35,'A1.3.11'!$B$26:$AM$105,AQ$22,)*VLOOKUP($B35,'A1.3.7'!$B$28:$O$118,6,)))</f>
        <v/>
      </c>
      <c r="AR35" s="693">
        <f>IF(AND(AJ35="",AN35=""),"",IF(AJ35="",0,(AJ35*VLOOKUP($B35,'A1.3.9'!$B$26:$O$57,9,TRUE))) + IF(AN35="",0,(AN35*VLOOKUP($B35,'A1.3.9'!$B$26:$O$57,10,TRUE))))</f>
        <v>253.34083336586551</v>
      </c>
      <c r="AS35" s="691">
        <f>IF(AND(AK35="",AO35=""),"",IF(AK35="",0,(AK35*VLOOKUP($B35,'A1.3.9'!$B$26:$O$57,9,TRUE))) + IF(AO35="",0,(AO35*VLOOKUP($B35,'A1.3.9'!$B$26:$O$57,10,TRUE))))</f>
        <v>13.44155660187417</v>
      </c>
      <c r="AT35" s="691">
        <f>IF(AND(AL35="",AP35=""),"",IF(AL35="",0,(AL35*VLOOKUP($B35,'A1.3.9'!$B$26:$O$57,9,TRUE))) + IF(AP35="",0,(AP35*VLOOKUP($B35,'A1.3.9'!$B$26:$O$57,10,TRUE))))</f>
        <v>-9.7155656462219839E-2</v>
      </c>
      <c r="AU35" s="2644">
        <f>IF(AND(AM35="",AQ35=""),"",IF(AM35="",0,(AM35*VLOOKUP($B35,'A1.3.9'!$B$26:$O$57,9,TRUE))) + IF(AQ35="",0,(AQ35*VLOOKUP($B35,'A1.3.9'!$B$26:$O$57,10,TRUE))))</f>
        <v>1.061095655161282E-3</v>
      </c>
      <c r="AV35" s="693">
        <f>IF('A1.3.8'!D$32="","",IF(OR(VLOOKUP($B35,'A1.3.11'!$B$26:$AM$105,AV$22,)="",VLOOKUP($B35,'A1.3.7'!$B$28:$H$118,4,)=""),"",VLOOKUP($B35,'A1.3.11'!$B$26:$AM$105,AV$22,)*(VLOOKUP($B35,'A1.3.7'!$B$28:$O$118,4,)+VLOOKUP($B35,'A1.3.7'!$B$28:$O$118,9,))))</f>
        <v>532.33510562991694</v>
      </c>
      <c r="AW35" s="691">
        <f>IF('A1.3.8'!E$32="","",IF(OR(VLOOKUP($B35,'A1.3.11'!$B$26:$AM$105,AW$22,)="",VLOOKUP($B35,'A1.3.7'!$B$28:$H$118,4,)=""),"",VLOOKUP($B35,'A1.3.11'!$B$26:$AM$105,AW$22,)*(VLOOKUP($B35,'A1.3.7'!$B$28:$O$118,4,)+VLOOKUP($B35,'A1.3.7'!$B$28:$O$118,9,))))</f>
        <v>27.645105280809901</v>
      </c>
      <c r="AX35" s="691">
        <f>IF('A1.3.8'!F$32="","",IF(OR(VLOOKUP($B35,'A1.3.11'!$B$26:$AM$105,AX$22,)="",VLOOKUP($B35,'A1.3.7'!$B$28:$H$118,4,)=""),"",VLOOKUP($B35,'A1.3.11'!$B$26:$AM$105,AX$22,)*(VLOOKUP($B35,'A1.3.7'!$B$28:$O$118,4,)+VLOOKUP($B35,'A1.3.7'!$B$28:$O$118,9,))))</f>
        <v>-0.18316336556053806</v>
      </c>
      <c r="AY35" s="2644">
        <f>IF('A1.3.8'!G$32="","",IF(OR(VLOOKUP($B35,'A1.3.11'!$B$26:$AM$105,AY$22,)="",VLOOKUP($B35,'A1.3.7'!$B$28:$H$118,4,)=""),"",VLOOKUP($B35,'A1.3.11'!$B$26:$AM$105,AY$22,)*(VLOOKUP($B35,'A1.3.7'!$B$28:$O$118,4,)+VLOOKUP($B35,'A1.3.7'!$B$28:$O$118,9,))))</f>
        <v>1.0917298239774683E-3</v>
      </c>
      <c r="AZ35" s="693" t="str">
        <f>IF('A1.3.8'!D$39="","",IF(OR(VLOOKUP($B35,'A1.3.11'!$B$26:$AM$105,AZ$22,)="",VLOOKUP($B35,'A1.3.7'!$B$28:$H$118,6,)=""),"",VLOOKUP($B35,'A1.3.11'!$B$26:$AM$105,AZ$22,)*VLOOKUP($B35,'A1.3.7'!$B$28:$O$118,6,)))</f>
        <v/>
      </c>
      <c r="BA35" s="691" t="str">
        <f>IF('A1.3.8'!E$39="","",IF(OR(VLOOKUP($B35,'A1.3.11'!$B$26:$AM$105,BA$22,)="",VLOOKUP($B35,'A1.3.7'!$B$28:$H$118,6,)=""),"",VLOOKUP($B35,'A1.3.11'!$B$26:$AM$105,BA$22,)*VLOOKUP($B35,'A1.3.7'!$B$28:$O$118,6,)))</f>
        <v/>
      </c>
      <c r="BB35" s="691" t="str">
        <f>IF('A1.3.8'!F$39="","",IF(OR(VLOOKUP($B35,'A1.3.11'!$B$26:$AM$105,BB$22,)="",VLOOKUP($B35,'A1.3.7'!$B$28:$H$118,6,)=""),"",VLOOKUP($B35,'A1.3.11'!$B$26:$AM$105,BB$22,)*VLOOKUP($B35,'A1.3.7'!$B$28:$O$118,6,)))</f>
        <v/>
      </c>
      <c r="BC35" s="1664" t="str">
        <f>IF('A1.3.8'!G$39="","",IF(OR(VLOOKUP($B35,'A1.3.11'!$B$26:$AM$105,BC$22,)="",VLOOKUP($B35,'A1.3.7'!$B$28:$H$118,6,)=""),"",VLOOKUP($B35,'A1.3.11'!$B$26:$AM$105,BC$22,)*VLOOKUP($B35,'A1.3.7'!$B$28:$O$118,6,)))</f>
        <v/>
      </c>
      <c r="BD35" s="693">
        <f>IF(AND(AV35="",AZ35=""),"",IF(AV35="",0,(AV35*VLOOKUP($B35,'A1.3.9'!$B$26:$O$57,9,TRUE))) + IF(AZ35="",0,(AZ35*VLOOKUP($B35,'A1.3.9'!$B$26:$O$57,10,TRUE))))</f>
        <v>532.33510562991694</v>
      </c>
      <c r="BE35" s="691">
        <f>IF(AND(AW35="",BA35=""),"",IF(AW35="",0,(AW35*VLOOKUP($B35,'A1.3.9'!$B$26:$O$57,9,TRUE))) + IF(BA35="",0,(BA35*VLOOKUP($B35,'A1.3.9'!$B$26:$O$57,10,TRUE))))</f>
        <v>27.645105280809901</v>
      </c>
      <c r="BF35" s="691">
        <f>IF(AND(AX35="",BB35=""),"",IF(AX35="",0,(AX35*VLOOKUP($B35,'A1.3.9'!$B$26:$O$57,9,TRUE))) + IF(BB35="",0,(BB35*VLOOKUP($B35,'A1.3.9'!$B$26:$O$57,10,TRUE))))</f>
        <v>-0.18316336556053806</v>
      </c>
      <c r="BG35" s="2644">
        <f>IF(AND(AY35="",BC35=""),"",IF(AY35="",0,(AY35*VLOOKUP($B35,'A1.3.9'!$B$26:$O$57,9,TRUE))) + IF(BC35="",0,(BC35*VLOOKUP($B35,'A1.3.9'!$B$26:$O$57,10,TRUE))))</f>
        <v>1.0917298239774683E-3</v>
      </c>
      <c r="BH35" s="693">
        <f>IF('A1.3.8'!D$33="","",IF(OR(VLOOKUP($B35,'A1.3.11'!$B$26:$AM$105,BH$22,)="",VLOOKUP($B35,'A1.3.7'!$B$28:$H$118,4,)=""),"",VLOOKUP($B35,'A1.3.11'!$B$26:$AM$105,BH$22,)*(VLOOKUP($B35,'A1.3.7'!$B$28:$O$118,4,)+VLOOKUP($B35,'A1.3.7'!$B$28:$O$118,9,))))</f>
        <v>315.72056377042111</v>
      </c>
      <c r="BI35" s="691">
        <f>IF('A1.3.8'!E$33="","",IF(OR(VLOOKUP($B35,'A1.3.11'!$B$26:$AM$105,BI$22,)="",VLOOKUP($B35,'A1.3.7'!$B$28:$H$118,4,)=""),"",VLOOKUP($B35,'A1.3.11'!$B$26:$AM$105,BI$22,)*(VLOOKUP($B35,'A1.3.7'!$B$28:$O$118,4,)+VLOOKUP($B35,'A1.3.7'!$B$28:$O$118,9,))))</f>
        <v>27.741403228873743</v>
      </c>
      <c r="BJ35" s="691">
        <f>IF('A1.3.8'!F$33="","",IF(OR(VLOOKUP($B35,'A1.3.11'!$B$26:$AM$105,BJ$22,)="",VLOOKUP($B35,'A1.3.7'!$B$28:$H$118,4,)=""),"",VLOOKUP($B35,'A1.3.11'!$B$26:$AM$105,BJ$22,)*(VLOOKUP($B35,'A1.3.7'!$B$28:$O$118,4,)+VLOOKUP($B35,'A1.3.7'!$B$28:$O$118,9,))))</f>
        <v>-0.30152432738874335</v>
      </c>
      <c r="BK35" s="2644">
        <f>IF('A1.3.8'!G$33="","",IF(OR(VLOOKUP($B35,'A1.3.11'!$B$26:$AM$105,BK$22,)="",VLOOKUP($B35,'A1.3.7'!$B$28:$H$118,4,)=""),"",VLOOKUP($B35,'A1.3.11'!$B$26:$AM$105,BK$22,)*(VLOOKUP($B35,'A1.3.7'!$B$28:$O$118,4,)+VLOOKUP($B35,'A1.3.7'!$B$28:$O$118,9,))))</f>
        <v>2.2118041895684733E-3</v>
      </c>
      <c r="BL35" s="693" t="str">
        <f>IF('A1.3.8'!D$40="","",IF(OR(VLOOKUP($B35,'A1.3.11'!$B$26:$AM$105,BL$22,)="",VLOOKUP($B35,'A1.3.7'!$B$28:$H$118,6,)=""),"",VLOOKUP($B35,'A1.3.11'!$B$26:$AM$105,BL$22,)*VLOOKUP($B35,'A1.3.7'!$B$28:$O$118,6,)))</f>
        <v/>
      </c>
      <c r="BM35" s="691" t="str">
        <f>IF('A1.3.8'!E$40="","",IF(OR(VLOOKUP($B35,'A1.3.11'!$B$26:$AM$105,BM$22,)="",VLOOKUP($B35,'A1.3.7'!$B$28:$H$118,6,)=""),"",VLOOKUP($B35,'A1.3.11'!$B$26:$AM$105,BM$22,)*VLOOKUP($B35,'A1.3.7'!$B$28:$O$118,6,)))</f>
        <v/>
      </c>
      <c r="BN35" s="691" t="str">
        <f>IF('A1.3.8'!F$40="","",IF(OR(VLOOKUP($B35,'A1.3.11'!$B$26:$AM$105,BN$22,)="",VLOOKUP($B35,'A1.3.7'!$B$28:$H$118,6,)=""),"",VLOOKUP($B35,'A1.3.11'!$B$26:$AM$105,BN$22,)*VLOOKUP($B35,'A1.3.7'!$B$28:$O$118,6,)))</f>
        <v/>
      </c>
      <c r="BO35" s="1664" t="str">
        <f>IF('A1.3.8'!G$40="","",IF(OR(VLOOKUP($B35,'A1.3.11'!$B$26:$AM$105,BO$22,)="",VLOOKUP($B35,'A1.3.7'!$B$28:$H$118,6,)=""),"",VLOOKUP($B35,'A1.3.11'!$B$26:$AM$105,BO$22,)*VLOOKUP($B35,'A1.3.7'!$B$28:$O$118,6,)))</f>
        <v/>
      </c>
      <c r="BP35" s="693">
        <f>IF(AND(BH35="",BL35=""),"",IF(BH35="",0,(BH35*VLOOKUP($B35,'A1.3.9'!$B$26:$O$57,9,TRUE))) + IF(BL35="",0,(BL35*VLOOKUP($B35,'A1.3.9'!$B$26:$O$57,10,TRUE))))</f>
        <v>315.72056377042111</v>
      </c>
      <c r="BQ35" s="691">
        <f>IF(AND(BI35="",BM35=""),"",IF(BI35="",0,(BI35*VLOOKUP($B35,'A1.3.9'!$B$26:$O$57,9,TRUE))) + IF(BM35="",0,(BM35*VLOOKUP($B35,'A1.3.9'!$B$26:$O$57,10,TRUE))))</f>
        <v>27.741403228873743</v>
      </c>
      <c r="BR35" s="691">
        <f>IF(AND(BJ35="",BN35=""),"",IF(BJ35="",0,(BJ35*VLOOKUP($B35,'A1.3.9'!$B$26:$O$57,9,TRUE))) + IF(BN35="",0,(BN35*VLOOKUP($B35,'A1.3.9'!$B$26:$O$57,10,TRUE))))</f>
        <v>-0.30152432738874335</v>
      </c>
      <c r="BS35" s="2644">
        <f>IF(AND(BK35="",BO35=""),"",IF(BK35="",0,(BK35*VLOOKUP($B35,'A1.3.9'!$B$26:$O$57,9,TRUE))) + IF(BO35="",0,(BO35*VLOOKUP($B35,'A1.3.9'!$B$26:$O$57,10,TRUE))))</f>
        <v>2.2118041895684733E-3</v>
      </c>
    </row>
    <row r="36" spans="1:71" ht="13.5" customHeight="1">
      <c r="A36" s="113"/>
      <c r="B36" s="614">
        <f t="shared" si="0"/>
        <v>2019</v>
      </c>
      <c r="C36" s="147"/>
      <c r="D36" s="693">
        <f>IF('A1.3.8'!D$27="","",IF(OR(VLOOKUP($B36,'A1.3.11'!$B$26:$AM$105,D$22,)="",VLOOKUP($B36,'A1.3.7'!$B$28:$H$118,3,)=""),"",VLOOKUP($B36,'A1.3.11'!$B$26:$AM$105,D$22,)*(VLOOKUP($B36,'A1.3.7'!$B$28:$O$118,3,)+VLOOKUP($B36,'A1.3.7'!$B$28:$O$118,8,))))</f>
        <v>36.888324390415583</v>
      </c>
      <c r="E36" s="691">
        <f>IF('A1.3.8'!E$27="","",IF(OR(VLOOKUP($B36,'A1.3.11'!$B$26:$AM$105,E$22,)="",VLOOKUP($B36,'A1.3.7'!$B$28:$H$118,3,)=""),"",VLOOKUP($B36,'A1.3.11'!$B$26:$AM$105,E$22,)*(VLOOKUP($B36,'A1.3.7'!$B$28:$O$118,3,)+VLOOKUP($B36,'A1.3.7'!$B$28:$O$118,8,))))</f>
        <v>7.8393672950872393</v>
      </c>
      <c r="F36" s="691">
        <f>IF('A1.3.8'!F$27="","",IF(OR(VLOOKUP($B36,'A1.3.11'!$B$26:$AM$105,F$22,)="",VLOOKUP($B36,'A1.3.7'!$B$28:$H$118,3,)=""),"",VLOOKUP($B36,'A1.3.11'!$B$26:$AM$105,F$22,)*(VLOOKUP($B36,'A1.3.7'!$B$28:$O$118,3,)+VLOOKUP($B36,'A1.3.7'!$B$28:$O$118,8,))))</f>
        <v>-8.9299690084559569E-2</v>
      </c>
      <c r="G36" s="2644">
        <f>IF('A1.3.8'!G$27="","",IF(OR(VLOOKUP($B36,'A1.3.11'!$B$26:$AM$105,G$22,)="",VLOOKUP($B36,'A1.3.7'!$B$28:$H$118,3,)=""),"",VLOOKUP($B36,'A1.3.11'!$B$26:$AM$105,G$22,)*(VLOOKUP($B36,'A1.3.7'!$B$28:$O$118,3,)+VLOOKUP($B36,'A1.3.7'!$B$28:$O$118,8,))))</f>
        <v>5.9142466225587298E-4</v>
      </c>
      <c r="H36" s="693">
        <f>IF('A1.3.8'!D$28="","",IF(OR(VLOOKUP($B36,'A1.3.11'!$B$26:$AM$105,H$22,)="",VLOOKUP($B36,'A1.3.7'!$B$28:$H$118,4,)=""),"",VLOOKUP($B36,'A1.3.11'!$B$26:$AM$105,H$22,)*(VLOOKUP($B36,'A1.3.7'!$B$28:$O$118,4,)+VLOOKUP($B36,'A1.3.7'!$B$28:$O$118,9,))))</f>
        <v>41.497849012982975</v>
      </c>
      <c r="I36" s="691">
        <f>IF('A1.3.8'!E$28="","",IF(OR(VLOOKUP($B36,'A1.3.11'!$B$26:$AM$105,I$22,)="",VLOOKUP($B36,'A1.3.7'!$B$28:$H$118,4,)=""),"",VLOOKUP($B36,'A1.3.11'!$B$26:$AM$105,I$22,)*(VLOOKUP($B36,'A1.3.7'!$B$28:$O$118,4,)+VLOOKUP($B36,'A1.3.7'!$B$28:$O$118,9,))))</f>
        <v>5.9497653078224246</v>
      </c>
      <c r="J36" s="691">
        <f>IF('A1.3.8'!F$28="","",IF(OR(VLOOKUP($B36,'A1.3.11'!$B$26:$AM$105,J$22,)="",VLOOKUP($B36,'A1.3.7'!$B$28:$H$118,4,)=""),"",VLOOKUP($B36,'A1.3.11'!$B$26:$AM$105,J$22,)*(VLOOKUP($B36,'A1.3.7'!$B$28:$O$118,4,)+VLOOKUP($B36,'A1.3.7'!$B$28:$O$118,9,))))</f>
        <v>-5.7238399750879167E-2</v>
      </c>
      <c r="K36" s="2644">
        <f>IF('A1.3.8'!G$28="","",IF(OR(VLOOKUP($B36,'A1.3.11'!$B$26:$AM$105,K$22,)="",VLOOKUP($B36,'A1.3.7'!$B$28:$H$118,4,)=""),"",VLOOKUP($B36,'A1.3.11'!$B$26:$AM$105,K$22,)*(VLOOKUP($B36,'A1.3.7'!$B$28:$O$118,4,)+VLOOKUP($B36,'A1.3.7'!$B$28:$O$118,9,))))</f>
        <v>4.5104146173029463E-4</v>
      </c>
      <c r="L36" s="693" t="str">
        <f>IF('A1.3.8'!D$36="","",IF(OR(VLOOKUP($B36,'A1.3.11'!$B$26:$AM$105,L$22,)="",VLOOKUP($B36,'A1.3.7'!$B$28:$H$118,6,)=""),"",VLOOKUP($B36,'A1.3.11'!$B$26:$AM$105,L$22,)*VLOOKUP($B36,'A1.3.7'!$B$28:$O$118,6,)))</f>
        <v/>
      </c>
      <c r="M36" s="691">
        <f>IF('A1.3.8'!E$36="","",IF(OR(VLOOKUP($B36,'A1.3.11'!$B$26:$AM$105,M$22,)="",VLOOKUP($B36,'A1.3.7'!$B$28:$H$118,6,)=""),"",VLOOKUP($B36,'A1.3.11'!$B$26:$AM$105,M$22,)*VLOOKUP($B36,'A1.3.7'!$B$28:$O$118,6,)))</f>
        <v>2.2531750931860239</v>
      </c>
      <c r="N36" s="691"/>
      <c r="O36" s="1664"/>
      <c r="P36" s="693">
        <f>IF(AND(D36="",H36="",L36=""),"",IF(D36="",0,(D36*VLOOKUP($B36,'A1.3.9'!$B$26:$O$57,3,TRUE)))+IF(H36="",0,(H36*VLOOKUP($B36,'A1.3.9'!$B$26:$O$57,4,TRUE)))+IF(L36="",0,(L36*VLOOKUP($B36,'A1.3.9'!$B$26:$O$57,5,TRUE))))</f>
        <v>38.881492920737031</v>
      </c>
      <c r="Q36" s="691">
        <f>IF(AND(E36="",I36="",M36=""),"",IF(E36="",0,(E36*VLOOKUP($B36,'A1.3.9'!$B$26:$O$57,3,TRUE)))+IF(I36="",0,(I36*VLOOKUP($B36,'A1.3.9'!$B$26:$O$57,4,TRUE)))+IF(M36="",0,(M36*VLOOKUP($B36,'A1.3.9'!$B$26:$O$57,5,TRUE))))</f>
        <v>6.8287124323082251</v>
      </c>
      <c r="R36" s="691">
        <f>IF(AND(F36="",J36="",N36=""),"",IF(F36="",0,(F36*VLOOKUP($B36,'A1.3.9'!$B$26:$O$57,3,TRUE)))+IF(J36="",0,(J36*VLOOKUP($B36,'A1.3.9'!$B$26:$O$57,4,TRUE)))+IF(N36="",0,(N36*VLOOKUP($B36,'A1.3.9'!$B$26:$O$57,5,TRUE))))</f>
        <v>-7.2202940189795201E-2</v>
      </c>
      <c r="S36" s="2644">
        <f>IF(AND(G36="",K36="",O36=""),"",IF(G36="",0,(G36*VLOOKUP($B36,'A1.3.9'!$B$26:$O$57,3,TRUE)))+IF(K36="",0,(K36*VLOOKUP($B36,'A1.3.9'!$B$26:$O$57,4,TRUE)))+IF(O36="",0,(O36*VLOOKUP($B36,'A1.3.9'!$B$26:$O$57,5,TRUE))))</f>
        <v>5.1469143639140593E-4</v>
      </c>
      <c r="T36" s="693">
        <f>IF('A1.3.8'!D$29="","",IF(OR(VLOOKUP($B36,'A1.3.11'!$B$26:$AM$105,T$22,)="",VLOOKUP($B36,'A1.3.7'!$B$28:$H$118,3,)=""),"",VLOOKUP($B36,'A1.3.11'!$B$26:$AM$105,T$22,)*(VLOOKUP($B36,'A1.3.7'!$B$28:$O$118,3,)+VLOOKUP($B36,'A1.3.7'!$B$28:$O$118,8,))))</f>
        <v>29.033265552523144</v>
      </c>
      <c r="U36" s="691">
        <f>IF('A1.3.8'!E$29="","",IF(OR(VLOOKUP($B36,'A1.3.11'!$B$26:$AM$105,U$22,)="",VLOOKUP($B36,'A1.3.7'!$B$28:$H$118,3,)=""),"",VLOOKUP($B36,'A1.3.11'!$B$26:$AM$105,U$22,)*(VLOOKUP($B36,'A1.3.7'!$B$28:$O$118,3,)+VLOOKUP($B36,'A1.3.7'!$B$28:$O$118,8,))))</f>
        <v>16.280174690238272</v>
      </c>
      <c r="V36" s="691">
        <f>IF('A1.3.8'!F$29="","",IF(OR(VLOOKUP($B36,'A1.3.11'!$B$26:$AM$105,V$22,)="",VLOOKUP($B36,'A1.3.7'!$B$28:$H$118,3,)=""),"",VLOOKUP($B36,'A1.3.11'!$B$26:$AM$105,V$22,)*(VLOOKUP($B36,'A1.3.7'!$B$28:$O$118,3,)+VLOOKUP($B36,'A1.3.7'!$B$28:$O$118,8,))))</f>
        <v>-0.25554530467983549</v>
      </c>
      <c r="W36" s="2644">
        <f>IF('A1.3.8'!G$29="","",IF(OR(VLOOKUP($B36,'A1.3.11'!$B$26:$AM$105,W$22,)="",VLOOKUP($B36,'A1.3.7'!$B$28:$H$118,3,)=""),"",VLOOKUP($B36,'A1.3.11'!$B$26:$AM$105,W$22,)*(VLOOKUP($B36,'A1.3.7'!$B$28:$O$118,3,)+VLOOKUP($B36,'A1.3.7'!$B$28:$O$118,8,))))</f>
        <v>1.6503211279486735E-3</v>
      </c>
      <c r="X36" s="693">
        <f>IF('A1.3.8'!D$30="","",IF(OR(VLOOKUP($B36,'A1.3.11'!$B$26:$AM$105,X$22,)="",VLOOKUP($B36,'A1.3.7'!$B$28:$H$118,4,)=""),"",VLOOKUP($B36,'A1.3.11'!$B$26:$AM$105,X$22,)*(VLOOKUP($B36,'A1.3.7'!$B$28:$O$118,4,)+VLOOKUP($B36,'A1.3.7'!$B$28:$O$118,9,))))</f>
        <v>42.352436034058108</v>
      </c>
      <c r="Y36" s="691">
        <f>IF('A1.3.8'!E$30="","",IF(OR(VLOOKUP($B36,'A1.3.11'!$B$26:$AM$105,Y$22,)="",VLOOKUP($B36,'A1.3.7'!$B$28:$H$118,4,)=""),"",VLOOKUP($B36,'A1.3.11'!$B$26:$AM$105,Y$22,)*(VLOOKUP($B36,'A1.3.7'!$B$28:$O$118,4,)+VLOOKUP($B36,'A1.3.7'!$B$28:$O$118,9,))))</f>
        <v>10.351107966950087</v>
      </c>
      <c r="Z36" s="691">
        <f>IF('A1.3.8'!F$30="","",IF(OR(VLOOKUP($B36,'A1.3.11'!$B$26:$AM$105,Z$22,)="",VLOOKUP($B36,'A1.3.7'!$B$28:$H$118,4,)=""),"",VLOOKUP($B36,'A1.3.11'!$B$26:$AM$105,Z$22,)*(VLOOKUP($B36,'A1.3.7'!$B$28:$O$118,4,)+VLOOKUP($B36,'A1.3.7'!$B$28:$O$118,9,))))</f>
        <v>-0.14933354497186416</v>
      </c>
      <c r="AA36" s="2644">
        <f>IF('A1.3.8'!G$30="","",IF(OR(VLOOKUP($B36,'A1.3.11'!$B$26:$AM$105,AA$22,)="",VLOOKUP($B36,'A1.3.7'!$B$28:$H$118,4,)=""),"",VLOOKUP($B36,'A1.3.11'!$B$26:$AM$105,AA$22,)*(VLOOKUP($B36,'A1.3.7'!$B$28:$O$118,4,)+VLOOKUP($B36,'A1.3.7'!$B$28:$O$118,9,))))</f>
        <v>1.264262998566286E-3</v>
      </c>
      <c r="AB36" s="693" t="str">
        <f>IF('A1.3.8'!D$37="","",IF(OR(VLOOKUP($B36,'A1.3.11'!$B$26:$AM$105,AB$22,)="",VLOOKUP($B36,'A1.3.7'!$B$28:$H$118,6,)=""),"",VLOOKUP($B36,'A1.3.11'!$B$26:$AM$105,AB$22,)*VLOOKUP($B36,'A1.3.7'!$B$28:$O$118,6,)))</f>
        <v/>
      </c>
      <c r="AC36" s="691">
        <f>IF('A1.3.8'!E$37="","",IF(OR(VLOOKUP($B36,'A1.3.11'!$B$26:$AM$105,AC$22,)="",VLOOKUP($B36,'A1.3.7'!$B$28:$H$118,6,)=""),"",VLOOKUP($B36,'A1.3.11'!$B$26:$AM$105,AC$22,)*VLOOKUP($B36,'A1.3.7'!$B$28:$O$118,6,)))</f>
        <v>5.0386500910733369</v>
      </c>
      <c r="AD36" s="691"/>
      <c r="AE36" s="1664" t="str">
        <f>IF('A1.3.8'!G$37="","",IF(OR(VLOOKUP($B36,'A1.3.11'!$B$26:$AM$105,AE$22,)="",VLOOKUP($B36,'A1.3.7'!$B$28:$H$118,6,)=""),"",VLOOKUP($B36,'A1.3.11'!$B$26:$AM$105,AE$22,)*VLOOKUP($B36,'A1.3.7'!$B$28:$O$118,6,)))</f>
        <v/>
      </c>
      <c r="AF36" s="693">
        <f>IF(AND(T36="",X36="",AB36=""),"",IF(T36="",0,(T36*VLOOKUP('A1.3.12'!$B36,'A1.3.9'!$B$26:$O$57,6,TRUE))) + IF(X36="",0,(X36*VLOOKUP('A1.3.12'!$B36,'A1.3.9'!$B$26:$O$57,7,TRUE))) + IF(AB36="",0,(AB36*VLOOKUP('A1.3.12'!$B36,'A1.3.9'!$B$26:$O$57,8,TRUE))))</f>
        <v>42.068500153278585</v>
      </c>
      <c r="AG36" s="691">
        <f>IF(AND(U36="",Y36="",AC36=""),"",IF(U36="",0,(U36*VLOOKUP('A1.3.12'!$B36,'A1.3.9'!$B$26:$O$57,6,TRUE))) + IF(Y36="",0,(Y36*VLOOKUP('A1.3.12'!$B36,'A1.3.9'!$B$26:$O$57,7,TRUE))) + IF(AC36="",0,(AC36*VLOOKUP('A1.3.12'!$B36,'A1.3.9'!$B$26:$O$57,8,TRUE))))</f>
        <v>10.424313565558375</v>
      </c>
      <c r="AH36" s="691">
        <f>IF(AND(V36="",Z36="",AD36=""),"",IF(V36="",0,(V36*VLOOKUP('A1.3.12'!$B36,'A1.3.9'!$B$26:$O$57,6,TRUE))) + IF(Z36="",0,(Z36*VLOOKUP('A1.3.12'!$B36,'A1.3.9'!$B$26:$O$57,7,TRUE))) + IF(AD36="",0,(AD36*VLOOKUP('A1.3.12'!$B36,'A1.3.9'!$B$26:$O$57,8,TRUE))))</f>
        <v>-0.15052570730332043</v>
      </c>
      <c r="AI36" s="2644">
        <f>IF(AND(W36="",AA36="",AE36=""),"",IF(W36="",0,(W36*VLOOKUP('A1.3.12'!$B36,'A1.3.9'!$B$26:$O$57,6,TRUE))) + IF(AA36="",0,(AA36*VLOOKUP('A1.3.12'!$B36,'A1.3.9'!$B$26:$O$57,7,TRUE))) + IF(AE36="",0,(AE36*VLOOKUP('A1.3.12'!$B36,'A1.3.9'!$B$26:$O$57,8,TRUE))))</f>
        <v>1.2670083069390185E-3</v>
      </c>
      <c r="AJ36" s="693">
        <f>IF('A1.3.8'!D$31="","",IF(OR(VLOOKUP($B36,'A1.3.11'!$B$26:$AM$105,AJ$22,)="",VLOOKUP($B36,'A1.3.7'!$B$28:$H$118,4,)=""),"",VLOOKUP($B36,'A1.3.11'!$B$26:$AM$105,AJ$22,)*(VLOOKUP($B36,'A1.3.7'!$B$28:$O$118,4,)+VLOOKUP($B36,'A1.3.7'!$B$28:$O$118,9,))))</f>
        <v>249.23666340719868</v>
      </c>
      <c r="AK36" s="691">
        <f>IF('A1.3.8'!E$31="","",IF(OR(VLOOKUP($B36,'A1.3.11'!$B$26:$AM$105,AK$22,)="",VLOOKUP($B36,'A1.3.7'!$B$28:$H$118,4,)=""),"",VLOOKUP($B36,'A1.3.11'!$B$26:$AM$105,AK$22,)*(VLOOKUP($B36,'A1.3.7'!$B$28:$O$118,4,)+VLOOKUP($B36,'A1.3.7'!$B$28:$O$118,9,))))</f>
        <v>13.223800813870337</v>
      </c>
      <c r="AL36" s="691">
        <f>IF('A1.3.8'!F$31="","",IF(OR(VLOOKUP($B36,'A1.3.11'!$B$26:$AM$105,AL$22,)="",VLOOKUP($B36,'A1.3.7'!$B$28:$H$118,4,)=""),"",VLOOKUP($B36,'A1.3.11'!$B$26:$AM$105,AL$22,)*(VLOOKUP($B36,'A1.3.7'!$B$28:$O$118,4,)+VLOOKUP($B36,'A1.3.7'!$B$28:$O$118,9,))))</f>
        <v>-9.5581716243941045E-2</v>
      </c>
      <c r="AM36" s="2644">
        <f>IF('A1.3.8'!G$31="","",IF(OR(VLOOKUP($B36,'A1.3.11'!$B$26:$AM$105,AM$22,)="",VLOOKUP($B36,'A1.3.7'!$B$28:$H$118,4,)=""),"",VLOOKUP($B36,'A1.3.11'!$B$26:$AM$105,AM$22,)*(VLOOKUP($B36,'A1.3.7'!$B$28:$O$118,4,)+VLOOKUP($B36,'A1.3.7'!$B$28:$O$118,9,))))</f>
        <v>1.04390570258504E-3</v>
      </c>
      <c r="AN36" s="693" t="str">
        <f>IF('A1.3.8'!D$38="","",IF(OR(VLOOKUP($B36,'A1.3.11'!$B$26:$AM$105,AN$22,)="",VLOOKUP($B36,'A1.3.7'!$B$28:$H$118,6,)=""),"",VLOOKUP($B36,'A1.3.11'!$B$26:$AM$105,AN$22,)*VLOOKUP($B36,'A1.3.7'!$B$28:$O$118,6,)))</f>
        <v/>
      </c>
      <c r="AO36" s="691" t="str">
        <f>IF('A1.3.8'!E$38="","",IF(OR(VLOOKUP($B36,'A1.3.11'!$B$26:$AM$105,AO$22,)="",VLOOKUP($B36,'A1.3.7'!$B$28:$H$118,6,)=""),"",VLOOKUP($B36,'A1.3.11'!$B$26:$AM$105,AO$22,)*VLOOKUP($B36,'A1.3.7'!$B$28:$O$118,6,)))</f>
        <v/>
      </c>
      <c r="AP36" s="691" t="str">
        <f>IF('A1.3.8'!F$38="","",IF(OR(VLOOKUP($B36,'A1.3.11'!$B$26:$AM$105,AP$22,)="",VLOOKUP($B36,'A1.3.7'!$B$28:$H$118,6,)=""),"",VLOOKUP($B36,'A1.3.11'!$B$26:$AM$105,AP$22,)*VLOOKUP($B36,'A1.3.7'!$B$28:$O$118,6,)))</f>
        <v/>
      </c>
      <c r="AQ36" s="1664" t="str">
        <f>IF('A1.3.8'!G$38="","",IF(OR(VLOOKUP($B36,'A1.3.11'!$B$26:$AM$105,AQ$22,)="",VLOOKUP($B36,'A1.3.7'!$B$28:$H$118,6,)=""),"",VLOOKUP($B36,'A1.3.11'!$B$26:$AM$105,AQ$22,)*VLOOKUP($B36,'A1.3.7'!$B$28:$O$118,6,)))</f>
        <v/>
      </c>
      <c r="AR36" s="693">
        <f>IF(AND(AJ36="",AN36=""),"",IF(AJ36="",0,(AJ36*VLOOKUP($B36,'A1.3.9'!$B$26:$O$57,9,TRUE))) + IF(AN36="",0,(AN36*VLOOKUP($B36,'A1.3.9'!$B$26:$O$57,10,TRUE))))</f>
        <v>249.23666340719868</v>
      </c>
      <c r="AS36" s="691">
        <f>IF(AND(AK36="",AO36=""),"",IF(AK36="",0,(AK36*VLOOKUP($B36,'A1.3.9'!$B$26:$O$57,9,TRUE))) + IF(AO36="",0,(AO36*VLOOKUP($B36,'A1.3.9'!$B$26:$O$57,10,TRUE))))</f>
        <v>13.223800813870337</v>
      </c>
      <c r="AT36" s="691">
        <f>IF(AND(AL36="",AP36=""),"",IF(AL36="",0,(AL36*VLOOKUP($B36,'A1.3.9'!$B$26:$O$57,9,TRUE))) + IF(AP36="",0,(AP36*VLOOKUP($B36,'A1.3.9'!$B$26:$O$57,10,TRUE))))</f>
        <v>-9.5581716243941045E-2</v>
      </c>
      <c r="AU36" s="2644">
        <f>IF(AND(AM36="",AQ36=""),"",IF(AM36="",0,(AM36*VLOOKUP($B36,'A1.3.9'!$B$26:$O$57,9,TRUE))) + IF(AQ36="",0,(AQ36*VLOOKUP($B36,'A1.3.9'!$B$26:$O$57,10,TRUE))))</f>
        <v>1.04390570258504E-3</v>
      </c>
      <c r="AV36" s="693">
        <f>IF('A1.3.8'!D$32="","",IF(OR(VLOOKUP($B36,'A1.3.11'!$B$26:$AM$105,AV$22,)="",VLOOKUP($B36,'A1.3.7'!$B$28:$H$118,4,)=""),"",VLOOKUP($B36,'A1.3.11'!$B$26:$AM$105,AV$22,)*(VLOOKUP($B36,'A1.3.7'!$B$28:$O$118,4,)+VLOOKUP($B36,'A1.3.7'!$B$28:$O$118,9,))))</f>
        <v>523.71117509553346</v>
      </c>
      <c r="AW36" s="691">
        <f>IF('A1.3.8'!E$32="","",IF(OR(VLOOKUP($B36,'A1.3.11'!$B$26:$AM$105,AW$22,)="",VLOOKUP($B36,'A1.3.7'!$B$28:$H$118,4,)=""),"",VLOOKUP($B36,'A1.3.11'!$B$26:$AM$105,AW$22,)*(VLOOKUP($B36,'A1.3.7'!$B$28:$O$118,4,)+VLOOKUP($B36,'A1.3.7'!$B$28:$O$118,9,))))</f>
        <v>27.197249287402684</v>
      </c>
      <c r="AX36" s="691">
        <f>IF('A1.3.8'!F$32="","",IF(OR(VLOOKUP($B36,'A1.3.11'!$B$26:$AM$105,AX$22,)="",VLOOKUP($B36,'A1.3.7'!$B$28:$H$118,4,)=""),"",VLOOKUP($B36,'A1.3.11'!$B$26:$AM$105,AX$22,)*(VLOOKUP($B36,'A1.3.7'!$B$28:$O$118,4,)+VLOOKUP($B36,'A1.3.7'!$B$28:$O$118,9,))))</f>
        <v>-0.1801960840036157</v>
      </c>
      <c r="AY36" s="2644">
        <f>IF('A1.3.8'!G$32="","",IF(OR(VLOOKUP($B36,'A1.3.11'!$B$26:$AM$105,AY$22,)="",VLOOKUP($B36,'A1.3.7'!$B$28:$H$118,4,)=""),"",VLOOKUP($B36,'A1.3.11'!$B$26:$AM$105,AY$22,)*(VLOOKUP($B36,'A1.3.7'!$B$28:$O$118,4,)+VLOOKUP($B36,'A1.3.7'!$B$28:$O$118,9,))))</f>
        <v>1.0740435920068086E-3</v>
      </c>
      <c r="AZ36" s="693" t="str">
        <f>IF('A1.3.8'!D$39="","",IF(OR(VLOOKUP($B36,'A1.3.11'!$B$26:$AM$105,AZ$22,)="",VLOOKUP($B36,'A1.3.7'!$B$28:$H$118,6,)=""),"",VLOOKUP($B36,'A1.3.11'!$B$26:$AM$105,AZ$22,)*VLOOKUP($B36,'A1.3.7'!$B$28:$O$118,6,)))</f>
        <v/>
      </c>
      <c r="BA36" s="691" t="str">
        <f>IF('A1.3.8'!E$39="","",IF(OR(VLOOKUP($B36,'A1.3.11'!$B$26:$AM$105,BA$22,)="",VLOOKUP($B36,'A1.3.7'!$B$28:$H$118,6,)=""),"",VLOOKUP($B36,'A1.3.11'!$B$26:$AM$105,BA$22,)*VLOOKUP($B36,'A1.3.7'!$B$28:$O$118,6,)))</f>
        <v/>
      </c>
      <c r="BB36" s="691" t="str">
        <f>IF('A1.3.8'!F$39="","",IF(OR(VLOOKUP($B36,'A1.3.11'!$B$26:$AM$105,BB$22,)="",VLOOKUP($B36,'A1.3.7'!$B$28:$H$118,6,)=""),"",VLOOKUP($B36,'A1.3.11'!$B$26:$AM$105,BB$22,)*VLOOKUP($B36,'A1.3.7'!$B$28:$O$118,6,)))</f>
        <v/>
      </c>
      <c r="BC36" s="1664" t="str">
        <f>IF('A1.3.8'!G$39="","",IF(OR(VLOOKUP($B36,'A1.3.11'!$B$26:$AM$105,BC$22,)="",VLOOKUP($B36,'A1.3.7'!$B$28:$H$118,6,)=""),"",VLOOKUP($B36,'A1.3.11'!$B$26:$AM$105,BC$22,)*VLOOKUP($B36,'A1.3.7'!$B$28:$O$118,6,)))</f>
        <v/>
      </c>
      <c r="BD36" s="693">
        <f>IF(AND(AV36="",AZ36=""),"",IF(AV36="",0,(AV36*VLOOKUP($B36,'A1.3.9'!$B$26:$O$57,9,TRUE))) + IF(AZ36="",0,(AZ36*VLOOKUP($B36,'A1.3.9'!$B$26:$O$57,10,TRUE))))</f>
        <v>523.71117509553346</v>
      </c>
      <c r="BE36" s="691">
        <f>IF(AND(AW36="",BA36=""),"",IF(AW36="",0,(AW36*VLOOKUP($B36,'A1.3.9'!$B$26:$O$57,9,TRUE))) + IF(BA36="",0,(BA36*VLOOKUP($B36,'A1.3.9'!$B$26:$O$57,10,TRUE))))</f>
        <v>27.197249287402684</v>
      </c>
      <c r="BF36" s="691">
        <f>IF(AND(AX36="",BB36=""),"",IF(AX36="",0,(AX36*VLOOKUP($B36,'A1.3.9'!$B$26:$O$57,9,TRUE))) + IF(BB36="",0,(BB36*VLOOKUP($B36,'A1.3.9'!$B$26:$O$57,10,TRUE))))</f>
        <v>-0.1801960840036157</v>
      </c>
      <c r="BG36" s="2644">
        <f>IF(AND(AY36="",BC36=""),"",IF(AY36="",0,(AY36*VLOOKUP($B36,'A1.3.9'!$B$26:$O$57,9,TRUE))) + IF(BC36="",0,(BC36*VLOOKUP($B36,'A1.3.9'!$B$26:$O$57,10,TRUE))))</f>
        <v>1.0740435920068086E-3</v>
      </c>
      <c r="BH36" s="693">
        <f>IF('A1.3.8'!D$33="","",IF(OR(VLOOKUP($B36,'A1.3.11'!$B$26:$AM$105,BH$22,)="",VLOOKUP($B36,'A1.3.7'!$B$28:$H$118,4,)=""),"",VLOOKUP($B36,'A1.3.11'!$B$26:$AM$105,BH$22,)*(VLOOKUP($B36,'A1.3.7'!$B$28:$O$118,4,)+VLOOKUP($B36,'A1.3.7'!$B$28:$O$118,9,))))</f>
        <v>310.60583024742596</v>
      </c>
      <c r="BI36" s="691">
        <f>IF('A1.3.8'!E$33="","",IF(OR(VLOOKUP($B36,'A1.3.11'!$B$26:$AM$105,BI$22,)="",VLOOKUP($B36,'A1.3.7'!$B$28:$H$118,4,)=""),"",VLOOKUP($B36,'A1.3.11'!$B$26:$AM$105,BI$22,)*(VLOOKUP($B36,'A1.3.7'!$B$28:$O$118,4,)+VLOOKUP($B36,'A1.3.7'!$B$28:$O$118,9,))))</f>
        <v>27.29198719028836</v>
      </c>
      <c r="BJ36" s="691">
        <f>IF('A1.3.8'!F$33="","",IF(OR(VLOOKUP($B36,'A1.3.11'!$B$26:$AM$105,BJ$22,)="",VLOOKUP($B36,'A1.3.7'!$B$28:$H$118,4,)=""),"",VLOOKUP($B36,'A1.3.11'!$B$26:$AM$105,BJ$22,)*(VLOOKUP($B36,'A1.3.7'!$B$28:$O$118,4,)+VLOOKUP($B36,'A1.3.7'!$B$28:$O$118,9,))))</f>
        <v>-0.29663957561053733</v>
      </c>
      <c r="BK36" s="2644">
        <f>IF('A1.3.8'!G$33="","",IF(OR(VLOOKUP($B36,'A1.3.11'!$B$26:$AM$105,BK$22,)="",VLOOKUP($B36,'A1.3.7'!$B$28:$H$118,4,)=""),"",VLOOKUP($B36,'A1.3.11'!$B$26:$AM$105,BK$22,)*(VLOOKUP($B36,'A1.3.7'!$B$28:$O$118,4,)+VLOOKUP($B36,'A1.3.7'!$B$28:$O$118,9,))))</f>
        <v>2.1759725386313704E-3</v>
      </c>
      <c r="BL36" s="693" t="str">
        <f>IF('A1.3.8'!D$40="","",IF(OR(VLOOKUP($B36,'A1.3.11'!$B$26:$AM$105,BL$22,)="",VLOOKUP($B36,'A1.3.7'!$B$28:$H$118,6,)=""),"",VLOOKUP($B36,'A1.3.11'!$B$26:$AM$105,BL$22,)*VLOOKUP($B36,'A1.3.7'!$B$28:$O$118,6,)))</f>
        <v/>
      </c>
      <c r="BM36" s="691" t="str">
        <f>IF('A1.3.8'!E$40="","",IF(OR(VLOOKUP($B36,'A1.3.11'!$B$26:$AM$105,BM$22,)="",VLOOKUP($B36,'A1.3.7'!$B$28:$H$118,6,)=""),"",VLOOKUP($B36,'A1.3.11'!$B$26:$AM$105,BM$22,)*VLOOKUP($B36,'A1.3.7'!$B$28:$O$118,6,)))</f>
        <v/>
      </c>
      <c r="BN36" s="691" t="str">
        <f>IF('A1.3.8'!F$40="","",IF(OR(VLOOKUP($B36,'A1.3.11'!$B$26:$AM$105,BN$22,)="",VLOOKUP($B36,'A1.3.7'!$B$28:$H$118,6,)=""),"",VLOOKUP($B36,'A1.3.11'!$B$26:$AM$105,BN$22,)*VLOOKUP($B36,'A1.3.7'!$B$28:$O$118,6,)))</f>
        <v/>
      </c>
      <c r="BO36" s="1664" t="str">
        <f>IF('A1.3.8'!G$40="","",IF(OR(VLOOKUP($B36,'A1.3.11'!$B$26:$AM$105,BO$22,)="",VLOOKUP($B36,'A1.3.7'!$B$28:$H$118,6,)=""),"",VLOOKUP($B36,'A1.3.11'!$B$26:$AM$105,BO$22,)*VLOOKUP($B36,'A1.3.7'!$B$28:$O$118,6,)))</f>
        <v/>
      </c>
      <c r="BP36" s="693">
        <f>IF(AND(BH36="",BL36=""),"",IF(BH36="",0,(BH36*VLOOKUP($B36,'A1.3.9'!$B$26:$O$57,9,TRUE))) + IF(BL36="",0,(BL36*VLOOKUP($B36,'A1.3.9'!$B$26:$O$57,10,TRUE))))</f>
        <v>310.60583024742596</v>
      </c>
      <c r="BQ36" s="691">
        <f>IF(AND(BI36="",BM36=""),"",IF(BI36="",0,(BI36*VLOOKUP($B36,'A1.3.9'!$B$26:$O$57,9,TRUE))) + IF(BM36="",0,(BM36*VLOOKUP($B36,'A1.3.9'!$B$26:$O$57,10,TRUE))))</f>
        <v>27.29198719028836</v>
      </c>
      <c r="BR36" s="691">
        <f>IF(AND(BJ36="",BN36=""),"",IF(BJ36="",0,(BJ36*VLOOKUP($B36,'A1.3.9'!$B$26:$O$57,9,TRUE))) + IF(BN36="",0,(BN36*VLOOKUP($B36,'A1.3.9'!$B$26:$O$57,10,TRUE))))</f>
        <v>-0.29663957561053733</v>
      </c>
      <c r="BS36" s="2644">
        <f>IF(AND(BK36="",BO36=""),"",IF(BK36="",0,(BK36*VLOOKUP($B36,'A1.3.9'!$B$26:$O$57,9,TRUE))) + IF(BO36="",0,(BO36*VLOOKUP($B36,'A1.3.9'!$B$26:$O$57,10,TRUE))))</f>
        <v>2.1759725386313704E-3</v>
      </c>
    </row>
    <row r="37" spans="1:71" ht="13.5" customHeight="1">
      <c r="A37" s="113"/>
      <c r="B37" s="614">
        <f t="shared" si="0"/>
        <v>2020</v>
      </c>
      <c r="C37" s="147"/>
      <c r="D37" s="693">
        <f>IF('A1.3.8'!D$27="","",IF(OR(VLOOKUP($B37,'A1.3.11'!$B$26:$AM$105,D$22,)="",VLOOKUP($B37,'A1.3.7'!$B$28:$H$118,3,)=""),"",VLOOKUP($B37,'A1.3.11'!$B$26:$AM$105,D$22,)*(VLOOKUP($B37,'A1.3.7'!$B$28:$O$118,3,)+VLOOKUP($B37,'A1.3.7'!$B$28:$O$118,8,))))</f>
        <v>36.200891057065874</v>
      </c>
      <c r="E37" s="691">
        <f>IF('A1.3.8'!E$27="","",IF(OR(VLOOKUP($B37,'A1.3.11'!$B$26:$AM$105,E$22,)="",VLOOKUP($B37,'A1.3.7'!$B$28:$H$118,3,)=""),"",VLOOKUP($B37,'A1.3.11'!$B$26:$AM$105,E$22,)*(VLOOKUP($B37,'A1.3.7'!$B$28:$O$118,3,)+VLOOKUP($B37,'A1.3.7'!$B$28:$O$118,8,))))</f>
        <v>7.6932765609574245</v>
      </c>
      <c r="F37" s="691">
        <f>IF('A1.3.8'!F$27="","",IF(OR(VLOOKUP($B37,'A1.3.11'!$B$26:$AM$105,F$22,)="",VLOOKUP($B37,'A1.3.7'!$B$28:$H$118,3,)=""),"",VLOOKUP($B37,'A1.3.11'!$B$26:$AM$105,F$22,)*(VLOOKUP($B37,'A1.3.7'!$B$28:$O$118,3,)+VLOOKUP($B37,'A1.3.7'!$B$28:$O$118,8,))))</f>
        <v>-8.7635543375909522E-2</v>
      </c>
      <c r="G37" s="2644">
        <f>IF('A1.3.8'!G$27="","",IF(OR(VLOOKUP($B37,'A1.3.11'!$B$26:$AM$105,G$22,)="",VLOOKUP($B37,'A1.3.7'!$B$28:$H$118,3,)=""),"",VLOOKUP($B37,'A1.3.11'!$B$26:$AM$105,G$22,)*(VLOOKUP($B37,'A1.3.7'!$B$28:$O$118,3,)+VLOOKUP($B37,'A1.3.7'!$B$28:$O$118,8,))))</f>
        <v>5.8040315250398465E-4</v>
      </c>
      <c r="H37" s="693">
        <f>IF('A1.3.8'!D$28="","",IF(OR(VLOOKUP($B37,'A1.3.11'!$B$26:$AM$105,H$22,)="",VLOOKUP($B37,'A1.3.7'!$B$28:$H$118,4,)=""),"",VLOOKUP($B37,'A1.3.11'!$B$26:$AM$105,H$22,)*(VLOOKUP($B37,'A1.3.7'!$B$28:$O$118,4,)+VLOOKUP($B37,'A1.3.7'!$B$28:$O$118,9,))))</f>
        <v>41.031498546741901</v>
      </c>
      <c r="I37" s="691">
        <f>IF('A1.3.8'!E$28="","",IF(OR(VLOOKUP($B37,'A1.3.11'!$B$26:$AM$105,I$22,)="",VLOOKUP($B37,'A1.3.7'!$B$28:$H$118,4,)=""),"",VLOOKUP($B37,'A1.3.11'!$B$26:$AM$105,I$22,)*(VLOOKUP($B37,'A1.3.7'!$B$28:$O$118,4,)+VLOOKUP($B37,'A1.3.7'!$B$28:$O$118,9,))))</f>
        <v>5.8829021837973743</v>
      </c>
      <c r="J37" s="691">
        <f>IF('A1.3.8'!F$28="","",IF(OR(VLOOKUP($B37,'A1.3.11'!$B$26:$AM$105,J$22,)="",VLOOKUP($B37,'A1.3.7'!$B$28:$H$118,4,)=""),"",VLOOKUP($B37,'A1.3.11'!$B$26:$AM$105,J$22,)*(VLOOKUP($B37,'A1.3.7'!$B$28:$O$118,4,)+VLOOKUP($B37,'A1.3.7'!$B$28:$O$118,9,))))</f>
        <v>-5.6595157870984049E-2</v>
      </c>
      <c r="K37" s="2644">
        <f>IF('A1.3.8'!G$28="","",IF(OR(VLOOKUP($B37,'A1.3.11'!$B$26:$AM$105,K$22,)="",VLOOKUP($B37,'A1.3.7'!$B$28:$H$118,4,)=""),"",VLOOKUP($B37,'A1.3.11'!$B$26:$AM$105,K$22,)*(VLOOKUP($B37,'A1.3.7'!$B$28:$O$118,4,)+VLOOKUP($B37,'A1.3.7'!$B$28:$O$118,9,))))</f>
        <v>4.459726834447944E-4</v>
      </c>
      <c r="L37" s="693" t="str">
        <f>IF('A1.3.8'!D$36="","",IF(OR(VLOOKUP($B37,'A1.3.11'!$B$26:$AM$105,L$22,)="",VLOOKUP($B37,'A1.3.7'!$B$28:$H$118,6,)=""),"",VLOOKUP($B37,'A1.3.11'!$B$26:$AM$105,L$22,)*VLOOKUP($B37,'A1.3.7'!$B$28:$O$118,6,)))</f>
        <v/>
      </c>
      <c r="M37" s="691">
        <f>IF('A1.3.8'!E$36="","",IF(OR(VLOOKUP($B37,'A1.3.11'!$B$26:$AM$105,M$22,)="",VLOOKUP($B37,'A1.3.7'!$B$28:$H$118,6,)=""),"",VLOOKUP($B37,'A1.3.11'!$B$26:$AM$105,M$22,)*VLOOKUP($B37,'A1.3.7'!$B$28:$O$118,6,)))</f>
        <v>2.2920594750507259</v>
      </c>
      <c r="N37" s="691"/>
      <c r="O37" s="1664"/>
      <c r="P37" s="693">
        <f>IF(AND(D37="",H37="",L37=""),"",IF(D37="",0,(D37*VLOOKUP($B37,'A1.3.9'!$B$26:$O$57,3,TRUE)))+IF(H37="",0,(H37*VLOOKUP($B37,'A1.3.9'!$B$26:$O$57,4,TRUE)))+IF(L37="",0,(L37*VLOOKUP($B37,'A1.3.9'!$B$26:$O$57,5,TRUE))))</f>
        <v>38.189750548604096</v>
      </c>
      <c r="Q37" s="691">
        <f>IF(AND(E37="",I37="",M37=""),"",IF(E37="",0,(E37*VLOOKUP($B37,'A1.3.9'!$B$26:$O$57,3,TRUE)))+IF(I37="",0,(I37*VLOOKUP($B37,'A1.3.9'!$B$26:$O$57,4,TRUE)))+IF(M37="",0,(M37*VLOOKUP($B37,'A1.3.9'!$B$26:$O$57,5,TRUE))))</f>
        <v>6.7215894826190103</v>
      </c>
      <c r="R37" s="691">
        <f>IF(AND(F37="",J37="",N37=""),"",IF(F37="",0,(F37*VLOOKUP($B37,'A1.3.9'!$B$26:$O$57,3,TRUE)))+IF(J37="",0,(J37*VLOOKUP($B37,'A1.3.9'!$B$26:$O$57,4,TRUE)))+IF(N37="",0,(N37*VLOOKUP($B37,'A1.3.9'!$B$26:$O$57,5,TRUE))))</f>
        <v>-7.103448758642128E-2</v>
      </c>
      <c r="S37" s="2644">
        <f>IF(AND(G37="",K37="",O37=""),"",IF(G37="",0,(G37*VLOOKUP($B37,'A1.3.9'!$B$26:$O$57,3,TRUE)))+IF(K37="",0,(K37*VLOOKUP($B37,'A1.3.9'!$B$26:$O$57,4,TRUE)))+IF(O37="",0,(O37*VLOOKUP($B37,'A1.3.9'!$B$26:$O$57,5,TRUE))))</f>
        <v>5.061102318500287E-4</v>
      </c>
      <c r="T37" s="693">
        <f>IF('A1.3.8'!D$29="","",IF(OR(VLOOKUP($B37,'A1.3.11'!$B$26:$AM$105,T$22,)="",VLOOKUP($B37,'A1.3.7'!$B$28:$H$118,3,)=""),"",VLOOKUP($B37,'A1.3.11'!$B$26:$AM$105,T$22,)*(VLOOKUP($B37,'A1.3.7'!$B$28:$O$118,3,)+VLOOKUP($B37,'A1.3.7'!$B$28:$O$118,8,))))</f>
        <v>28.360192157962903</v>
      </c>
      <c r="U37" s="691">
        <f>IF('A1.3.8'!E$29="","",IF(OR(VLOOKUP($B37,'A1.3.11'!$B$26:$AM$105,U$22,)="",VLOOKUP($B37,'A1.3.7'!$B$28:$H$118,3,)=""),"",VLOOKUP($B37,'A1.3.11'!$B$26:$AM$105,U$22,)*(VLOOKUP($B37,'A1.3.7'!$B$28:$O$118,3,)+VLOOKUP($B37,'A1.3.7'!$B$28:$O$118,8,))))</f>
        <v>15.90275409237376</v>
      </c>
      <c r="V37" s="691">
        <f>IF('A1.3.8'!F$29="","",IF(OR(VLOOKUP($B37,'A1.3.11'!$B$26:$AM$105,V$22,)="",VLOOKUP($B37,'A1.3.7'!$B$28:$H$118,3,)=""),"",VLOOKUP($B37,'A1.3.11'!$B$26:$AM$105,V$22,)*(VLOOKUP($B37,'A1.3.7'!$B$28:$O$118,3,)+VLOOKUP($B37,'A1.3.7'!$B$28:$O$118,8,))))</f>
        <v>-0.24962104013668152</v>
      </c>
      <c r="W37" s="2644">
        <f>IF('A1.3.8'!G$29="","",IF(OR(VLOOKUP($B37,'A1.3.11'!$B$26:$AM$105,W$22,)="",VLOOKUP($B37,'A1.3.7'!$B$28:$H$118,3,)=""),"",VLOOKUP($B37,'A1.3.11'!$B$26:$AM$105,W$22,)*(VLOOKUP($B37,'A1.3.7'!$B$28:$O$118,3,)+VLOOKUP($B37,'A1.3.7'!$B$28:$O$118,8,))))</f>
        <v>1.6120620061253496E-3</v>
      </c>
      <c r="X37" s="693">
        <f>IF('A1.3.8'!D$30="","",IF(OR(VLOOKUP($B37,'A1.3.11'!$B$26:$AM$105,X$22,)="",VLOOKUP($B37,'A1.3.7'!$B$28:$H$118,4,)=""),"",VLOOKUP($B37,'A1.3.11'!$B$26:$AM$105,X$22,)*(VLOOKUP($B37,'A1.3.7'!$B$28:$O$118,4,)+VLOOKUP($B37,'A1.3.7'!$B$28:$O$118,9,))))</f>
        <v>41.642857105128122</v>
      </c>
      <c r="Y37" s="691">
        <f>IF('A1.3.8'!E$30="","",IF(OR(VLOOKUP($B37,'A1.3.11'!$B$26:$AM$105,Y$22,)="",VLOOKUP($B37,'A1.3.7'!$B$28:$H$118,4,)=""),"",VLOOKUP($B37,'A1.3.11'!$B$26:$AM$105,Y$22,)*(VLOOKUP($B37,'A1.3.7'!$B$28:$O$118,4,)+VLOOKUP($B37,'A1.3.7'!$B$28:$O$118,9,))))</f>
        <v>10.177683984950077</v>
      </c>
      <c r="Z37" s="691">
        <f>IF('A1.3.8'!F$30="","",IF(OR(VLOOKUP($B37,'A1.3.11'!$B$26:$AM$105,Z$22,)="",VLOOKUP($B37,'A1.3.7'!$B$28:$H$118,4,)=""),"",VLOOKUP($B37,'A1.3.11'!$B$26:$AM$105,Z$22,)*(VLOOKUP($B37,'A1.3.7'!$B$28:$O$118,4,)+VLOOKUP($B37,'A1.3.7'!$B$28:$O$118,9,))))</f>
        <v>-0.14683158884331368</v>
      </c>
      <c r="AA37" s="2644">
        <f>IF('A1.3.8'!G$30="","",IF(OR(VLOOKUP($B37,'A1.3.11'!$B$26:$AM$105,AA$22,)="",VLOOKUP($B37,'A1.3.7'!$B$28:$H$118,4,)=""),"",VLOOKUP($B37,'A1.3.11'!$B$26:$AM$105,AA$22,)*(VLOOKUP($B37,'A1.3.7'!$B$28:$O$118,4,)+VLOOKUP($B37,'A1.3.7'!$B$28:$O$118,9,))))</f>
        <v>1.2430813507459085E-3</v>
      </c>
      <c r="AB37" s="693" t="str">
        <f>IF('A1.3.8'!D$37="","",IF(OR(VLOOKUP($B37,'A1.3.11'!$B$26:$AM$105,AB$22,)="",VLOOKUP($B37,'A1.3.7'!$B$28:$H$118,6,)=""),"",VLOOKUP($B37,'A1.3.11'!$B$26:$AM$105,AB$22,)*VLOOKUP($B37,'A1.3.7'!$B$28:$O$118,6,)))</f>
        <v/>
      </c>
      <c r="AC37" s="691">
        <f>IF('A1.3.8'!E$37="","",IF(OR(VLOOKUP($B37,'A1.3.11'!$B$26:$AM$105,AC$22,)="",VLOOKUP($B37,'A1.3.7'!$B$28:$H$118,6,)=""),"",VLOOKUP($B37,'A1.3.11'!$B$26:$AM$105,AC$22,)*VLOOKUP($B37,'A1.3.7'!$B$28:$O$118,6,)))</f>
        <v>5.1303550803356517</v>
      </c>
      <c r="AD37" s="691"/>
      <c r="AE37" s="1664" t="str">
        <f>IF('A1.3.8'!G$37="","",IF(OR(VLOOKUP($B37,'A1.3.11'!$B$26:$AM$105,AE$22,)="",VLOOKUP($B37,'A1.3.7'!$B$28:$H$118,6,)=""),"",VLOOKUP($B37,'A1.3.11'!$B$26:$AM$105,AE$22,)*VLOOKUP($B37,'A1.3.7'!$B$28:$O$118,6,)))</f>
        <v/>
      </c>
      <c r="AF37" s="693">
        <f>IF(AND(T37="",X37="",AB37=""),"",IF(T37="",0,(T37*VLOOKUP('A1.3.12'!$B37,'A1.3.9'!$B$26:$O$57,6,TRUE))) + IF(X37="",0,(X37*VLOOKUP('A1.3.12'!$B37,'A1.3.9'!$B$26:$O$57,7,TRUE))) + IF(AB37="",0,(AB37*VLOOKUP('A1.3.12'!$B37,'A1.3.9'!$B$26:$O$57,8,TRUE))))</f>
        <v>41.369390187927564</v>
      </c>
      <c r="AG37" s="691">
        <f>IF(AND(U37="",Y37="",AC37=""),"",IF(U37="",0,(U37*VLOOKUP('A1.3.12'!$B37,'A1.3.9'!$B$26:$O$57,6,TRUE))) + IF(Y37="",0,(Y37*VLOOKUP('A1.3.12'!$B37,'A1.3.9'!$B$26:$O$57,7,TRUE))) + IF(AC37="",0,(AC37*VLOOKUP('A1.3.12'!$B37,'A1.3.9'!$B$26:$O$57,8,TRUE))))</f>
        <v>10.242718128609953</v>
      </c>
      <c r="AH37" s="691">
        <f>IF(AND(V37="",Z37="",AD37=""),"",IF(V37="",0,(V37*VLOOKUP('A1.3.12'!$B37,'A1.3.9'!$B$26:$O$57,6,TRUE))) + IF(Z37="",0,(Z37*VLOOKUP('A1.3.12'!$B37,'A1.3.9'!$B$26:$O$57,7,TRUE))) + IF(AD37="",0,(AD37*VLOOKUP('A1.3.12'!$B37,'A1.3.9'!$B$26:$O$57,8,TRUE))))</f>
        <v>-0.14787008237306465</v>
      </c>
      <c r="AI37" s="2644">
        <f>IF(AND(W37="",AA37="",AE37=""),"",IF(W37="",0,(W37*VLOOKUP('A1.3.12'!$B37,'A1.3.9'!$B$26:$O$57,6,TRUE))) + IF(AA37="",0,(AA37*VLOOKUP('A1.3.12'!$B37,'A1.3.9'!$B$26:$O$57,7,TRUE))) + IF(AE37="",0,(AE37*VLOOKUP('A1.3.12'!$B37,'A1.3.9'!$B$26:$O$57,8,TRUE))))</f>
        <v>1.2451641421360698E-3</v>
      </c>
      <c r="AJ37" s="693">
        <f>IF('A1.3.8'!D$31="","",IF(OR(VLOOKUP($B37,'A1.3.11'!$B$26:$AM$105,AJ$22,)="",VLOOKUP($B37,'A1.3.7'!$B$28:$H$118,4,)=""),"",VLOOKUP($B37,'A1.3.11'!$B$26:$AM$105,AJ$22,)*(VLOOKUP($B37,'A1.3.7'!$B$28:$O$118,4,)+VLOOKUP($B37,'A1.3.7'!$B$28:$O$118,9,))))</f>
        <v>250.35224041906059</v>
      </c>
      <c r="AK37" s="691">
        <f>IF('A1.3.8'!E$31="","",IF(OR(VLOOKUP($B37,'A1.3.11'!$B$26:$AM$105,AK$22,)="",VLOOKUP($B37,'A1.3.7'!$B$28:$H$118,4,)=""),"",VLOOKUP($B37,'A1.3.11'!$B$26:$AM$105,AK$22,)*(VLOOKUP($B37,'A1.3.7'!$B$28:$O$118,4,)+VLOOKUP($B37,'A1.3.7'!$B$28:$O$118,9,))))</f>
        <v>13.282990212395116</v>
      </c>
      <c r="AL37" s="691">
        <f>IF('A1.3.8'!F$31="","",IF(OR(VLOOKUP($B37,'A1.3.11'!$B$26:$AM$105,AL$22,)="",VLOOKUP($B37,'A1.3.7'!$B$28:$H$118,4,)=""),"",VLOOKUP($B37,'A1.3.11'!$B$26:$AM$105,AL$22,)*(VLOOKUP($B37,'A1.3.7'!$B$28:$O$118,4,)+VLOOKUP($B37,'A1.3.7'!$B$28:$O$118,9,))))</f>
        <v>-9.6009537592286753E-2</v>
      </c>
      <c r="AM37" s="2644">
        <f>IF('A1.3.8'!G$31="","",IF(OR(VLOOKUP($B37,'A1.3.11'!$B$26:$AM$105,AM$22,)="",VLOOKUP($B37,'A1.3.7'!$B$28:$H$118,4,)=""),"",VLOOKUP($B37,'A1.3.11'!$B$26:$AM$105,AM$22,)*(VLOOKUP($B37,'A1.3.7'!$B$28:$O$118,4,)+VLOOKUP($B37,'A1.3.7'!$B$28:$O$118,9,))))</f>
        <v>1.0485781981498391E-3</v>
      </c>
      <c r="AN37" s="693" t="str">
        <f>IF('A1.3.8'!D$38="","",IF(OR(VLOOKUP($B37,'A1.3.11'!$B$26:$AM$105,AN$22,)="",VLOOKUP($B37,'A1.3.7'!$B$28:$H$118,6,)=""),"",VLOOKUP($B37,'A1.3.11'!$B$26:$AM$105,AN$22,)*VLOOKUP($B37,'A1.3.7'!$B$28:$O$118,6,)))</f>
        <v/>
      </c>
      <c r="AO37" s="691" t="str">
        <f>IF('A1.3.8'!E$38="","",IF(OR(VLOOKUP($B37,'A1.3.11'!$B$26:$AM$105,AO$22,)="",VLOOKUP($B37,'A1.3.7'!$B$28:$H$118,6,)=""),"",VLOOKUP($B37,'A1.3.11'!$B$26:$AM$105,AO$22,)*VLOOKUP($B37,'A1.3.7'!$B$28:$O$118,6,)))</f>
        <v/>
      </c>
      <c r="AP37" s="691" t="str">
        <f>IF('A1.3.8'!F$38="","",IF(OR(VLOOKUP($B37,'A1.3.11'!$B$26:$AM$105,AP$22,)="",VLOOKUP($B37,'A1.3.7'!$B$28:$H$118,6,)=""),"",VLOOKUP($B37,'A1.3.11'!$B$26:$AM$105,AP$22,)*VLOOKUP($B37,'A1.3.7'!$B$28:$O$118,6,)))</f>
        <v/>
      </c>
      <c r="AQ37" s="1664" t="str">
        <f>IF('A1.3.8'!G$38="","",IF(OR(VLOOKUP($B37,'A1.3.11'!$B$26:$AM$105,AQ$22,)="",VLOOKUP($B37,'A1.3.7'!$B$28:$H$118,6,)=""),"",VLOOKUP($B37,'A1.3.11'!$B$26:$AM$105,AQ$22,)*VLOOKUP($B37,'A1.3.7'!$B$28:$O$118,6,)))</f>
        <v/>
      </c>
      <c r="AR37" s="693">
        <f>IF(AND(AJ37="",AN37=""),"",IF(AJ37="",0,(AJ37*VLOOKUP($B37,'A1.3.9'!$B$26:$O$57,9,TRUE))) + IF(AN37="",0,(AN37*VLOOKUP($B37,'A1.3.9'!$B$26:$O$57,10,TRUE))))</f>
        <v>250.35224041906059</v>
      </c>
      <c r="AS37" s="691">
        <f>IF(AND(AK37="",AO37=""),"",IF(AK37="",0,(AK37*VLOOKUP($B37,'A1.3.9'!$B$26:$O$57,9,TRUE))) + IF(AO37="",0,(AO37*VLOOKUP($B37,'A1.3.9'!$B$26:$O$57,10,TRUE))))</f>
        <v>13.282990212395116</v>
      </c>
      <c r="AT37" s="691">
        <f>IF(AND(AL37="",AP37=""),"",IF(AL37="",0,(AL37*VLOOKUP($B37,'A1.3.9'!$B$26:$O$57,9,TRUE))) + IF(AP37="",0,(AP37*VLOOKUP($B37,'A1.3.9'!$B$26:$O$57,10,TRUE))))</f>
        <v>-9.6009537592286753E-2</v>
      </c>
      <c r="AU37" s="2644">
        <f>IF(AND(AM37="",AQ37=""),"",IF(AM37="",0,(AM37*VLOOKUP($B37,'A1.3.9'!$B$26:$O$57,9,TRUE))) + IF(AQ37="",0,(AQ37*VLOOKUP($B37,'A1.3.9'!$B$26:$O$57,10,TRUE))))</f>
        <v>1.0485781981498391E-3</v>
      </c>
      <c r="AV37" s="693">
        <f>IF('A1.3.8'!D$32="","",IF(OR(VLOOKUP($B37,'A1.3.11'!$B$26:$AM$105,AV$22,)="",VLOOKUP($B37,'A1.3.7'!$B$28:$H$118,4,)=""),"",VLOOKUP($B37,'A1.3.11'!$B$26:$AM$105,AV$22,)*(VLOOKUP($B37,'A1.3.7'!$B$28:$O$118,4,)+VLOOKUP($B37,'A1.3.7'!$B$28:$O$118,9,))))</f>
        <v>526.05529309087535</v>
      </c>
      <c r="AW37" s="691">
        <f>IF('A1.3.8'!E$32="","",IF(OR(VLOOKUP($B37,'A1.3.11'!$B$26:$AM$105,AW$22,)="",VLOOKUP($B37,'A1.3.7'!$B$28:$H$118,4,)=""),"",VLOOKUP($B37,'A1.3.11'!$B$26:$AM$105,AW$22,)*(VLOOKUP($B37,'A1.3.7'!$B$28:$O$118,4,)+VLOOKUP($B37,'A1.3.7'!$B$28:$O$118,9,))))</f>
        <v>27.318983488447312</v>
      </c>
      <c r="AX37" s="691">
        <f>IF('A1.3.8'!F$32="","",IF(OR(VLOOKUP($B37,'A1.3.11'!$B$26:$AM$105,AX$22,)="",VLOOKUP($B37,'A1.3.7'!$B$28:$H$118,4,)=""),"",VLOOKUP($B37,'A1.3.11'!$B$26:$AM$105,AX$22,)*(VLOOKUP($B37,'A1.3.7'!$B$28:$O$118,4,)+VLOOKUP($B37,'A1.3.7'!$B$28:$O$118,9,))))</f>
        <v>-0.18100263712543127</v>
      </c>
      <c r="AY37" s="2644">
        <f>IF('A1.3.8'!G$32="","",IF(OR(VLOOKUP($B37,'A1.3.11'!$B$26:$AM$105,AY$22,)="",VLOOKUP($B37,'A1.3.7'!$B$28:$H$118,4,)=""),"",VLOOKUP($B37,'A1.3.11'!$B$26:$AM$105,AY$22,)*(VLOOKUP($B37,'A1.3.7'!$B$28:$O$118,4,)+VLOOKUP($B37,'A1.3.7'!$B$28:$O$118,9,))))</f>
        <v>1.0788509840036387E-3</v>
      </c>
      <c r="AZ37" s="693" t="str">
        <f>IF('A1.3.8'!D$39="","",IF(OR(VLOOKUP($B37,'A1.3.11'!$B$26:$AM$105,AZ$22,)="",VLOOKUP($B37,'A1.3.7'!$B$28:$H$118,6,)=""),"",VLOOKUP($B37,'A1.3.11'!$B$26:$AM$105,AZ$22,)*VLOOKUP($B37,'A1.3.7'!$B$28:$O$118,6,)))</f>
        <v/>
      </c>
      <c r="BA37" s="691" t="str">
        <f>IF('A1.3.8'!E$39="","",IF(OR(VLOOKUP($B37,'A1.3.11'!$B$26:$AM$105,BA$22,)="",VLOOKUP($B37,'A1.3.7'!$B$28:$H$118,6,)=""),"",VLOOKUP($B37,'A1.3.11'!$B$26:$AM$105,BA$22,)*VLOOKUP($B37,'A1.3.7'!$B$28:$O$118,6,)))</f>
        <v/>
      </c>
      <c r="BB37" s="691" t="str">
        <f>IF('A1.3.8'!F$39="","",IF(OR(VLOOKUP($B37,'A1.3.11'!$B$26:$AM$105,BB$22,)="",VLOOKUP($B37,'A1.3.7'!$B$28:$H$118,6,)=""),"",VLOOKUP($B37,'A1.3.11'!$B$26:$AM$105,BB$22,)*VLOOKUP($B37,'A1.3.7'!$B$28:$O$118,6,)))</f>
        <v/>
      </c>
      <c r="BC37" s="1664" t="str">
        <f>IF('A1.3.8'!G$39="","",IF(OR(VLOOKUP($B37,'A1.3.11'!$B$26:$AM$105,BC$22,)="",VLOOKUP($B37,'A1.3.7'!$B$28:$H$118,6,)=""),"",VLOOKUP($B37,'A1.3.11'!$B$26:$AM$105,BC$22,)*VLOOKUP($B37,'A1.3.7'!$B$28:$O$118,6,)))</f>
        <v/>
      </c>
      <c r="BD37" s="693">
        <f>IF(AND(AV37="",AZ37=""),"",IF(AV37="",0,(AV37*VLOOKUP($B37,'A1.3.9'!$B$26:$O$57,9,TRUE))) + IF(AZ37="",0,(AZ37*VLOOKUP($B37,'A1.3.9'!$B$26:$O$57,10,TRUE))))</f>
        <v>526.05529309087535</v>
      </c>
      <c r="BE37" s="691">
        <f>IF(AND(AW37="",BA37=""),"",IF(AW37="",0,(AW37*VLOOKUP($B37,'A1.3.9'!$B$26:$O$57,9,TRUE))) + IF(BA37="",0,(BA37*VLOOKUP($B37,'A1.3.9'!$B$26:$O$57,10,TRUE))))</f>
        <v>27.318983488447312</v>
      </c>
      <c r="BF37" s="691">
        <f>IF(AND(AX37="",BB37=""),"",IF(AX37="",0,(AX37*VLOOKUP($B37,'A1.3.9'!$B$26:$O$57,9,TRUE))) + IF(BB37="",0,(BB37*VLOOKUP($B37,'A1.3.9'!$B$26:$O$57,10,TRUE))))</f>
        <v>-0.18100263712543127</v>
      </c>
      <c r="BG37" s="2644">
        <f>IF(AND(AY37="",BC37=""),"",IF(AY37="",0,(AY37*VLOOKUP($B37,'A1.3.9'!$B$26:$O$57,9,TRUE))) + IF(BC37="",0,(BC37*VLOOKUP($B37,'A1.3.9'!$B$26:$O$57,10,TRUE))))</f>
        <v>1.0788509840036387E-3</v>
      </c>
      <c r="BH37" s="693">
        <f>IF('A1.3.8'!D$33="","",IF(OR(VLOOKUP($B37,'A1.3.11'!$B$26:$AM$105,BH$22,)="",VLOOKUP($B37,'A1.3.7'!$B$28:$H$118,4,)=""),"",VLOOKUP($B37,'A1.3.11'!$B$26:$AM$105,BH$22,)*(VLOOKUP($B37,'A1.3.7'!$B$28:$O$118,4,)+VLOOKUP($B37,'A1.3.7'!$B$28:$O$118,9,))))</f>
        <v>311.99609410041376</v>
      </c>
      <c r="BI37" s="691">
        <f>IF('A1.3.8'!E$33="","",IF(OR(VLOOKUP($B37,'A1.3.11'!$B$26:$AM$105,BI$22,)="",VLOOKUP($B37,'A1.3.7'!$B$28:$H$118,4,)=""),"",VLOOKUP($B37,'A1.3.11'!$B$26:$AM$105,BI$22,)*(VLOOKUP($B37,'A1.3.7'!$B$28:$O$118,4,)+VLOOKUP($B37,'A1.3.7'!$B$28:$O$118,9,))))</f>
        <v>27.414145435794051</v>
      </c>
      <c r="BJ37" s="691">
        <f>IF('A1.3.8'!F$33="","",IF(OR(VLOOKUP($B37,'A1.3.11'!$B$26:$AM$105,BJ$22,)="",VLOOKUP($B37,'A1.3.7'!$B$28:$H$118,4,)=""),"",VLOOKUP($B37,'A1.3.11'!$B$26:$AM$105,BJ$22,)*(VLOOKUP($B37,'A1.3.7'!$B$28:$O$118,4,)+VLOOKUP($B37,'A1.3.7'!$B$28:$O$118,9,))))</f>
        <v>-0.29796732686043648</v>
      </c>
      <c r="BK37" s="2644">
        <f>IF('A1.3.8'!G$33="","",IF(OR(VLOOKUP($B37,'A1.3.11'!$B$26:$AM$105,BK$22,)="",VLOOKUP($B37,'A1.3.7'!$B$28:$H$118,4,)=""),"",VLOOKUP($B37,'A1.3.11'!$B$26:$AM$105,BK$22,)*(VLOOKUP($B37,'A1.3.7'!$B$28:$O$118,4,)+VLOOKUP($B37,'A1.3.7'!$B$28:$O$118,9,))))</f>
        <v>2.1857121367681582E-3</v>
      </c>
      <c r="BL37" s="693" t="str">
        <f>IF('A1.3.8'!D$40="","",IF(OR(VLOOKUP($B37,'A1.3.11'!$B$26:$AM$105,BL$22,)="",VLOOKUP($B37,'A1.3.7'!$B$28:$H$118,6,)=""),"",VLOOKUP($B37,'A1.3.11'!$B$26:$AM$105,BL$22,)*VLOOKUP($B37,'A1.3.7'!$B$28:$O$118,6,)))</f>
        <v/>
      </c>
      <c r="BM37" s="691" t="str">
        <f>IF('A1.3.8'!E$40="","",IF(OR(VLOOKUP($B37,'A1.3.11'!$B$26:$AM$105,BM$22,)="",VLOOKUP($B37,'A1.3.7'!$B$28:$H$118,6,)=""),"",VLOOKUP($B37,'A1.3.11'!$B$26:$AM$105,BM$22,)*VLOOKUP($B37,'A1.3.7'!$B$28:$O$118,6,)))</f>
        <v/>
      </c>
      <c r="BN37" s="691" t="str">
        <f>IF('A1.3.8'!F$40="","",IF(OR(VLOOKUP($B37,'A1.3.11'!$B$26:$AM$105,BN$22,)="",VLOOKUP($B37,'A1.3.7'!$B$28:$H$118,6,)=""),"",VLOOKUP($B37,'A1.3.11'!$B$26:$AM$105,BN$22,)*VLOOKUP($B37,'A1.3.7'!$B$28:$O$118,6,)))</f>
        <v/>
      </c>
      <c r="BO37" s="1664" t="str">
        <f>IF('A1.3.8'!G$40="","",IF(OR(VLOOKUP($B37,'A1.3.11'!$B$26:$AM$105,BO$22,)="",VLOOKUP($B37,'A1.3.7'!$B$28:$H$118,6,)=""),"",VLOOKUP($B37,'A1.3.11'!$B$26:$AM$105,BO$22,)*VLOOKUP($B37,'A1.3.7'!$B$28:$O$118,6,)))</f>
        <v/>
      </c>
      <c r="BP37" s="693">
        <f>IF(AND(BH37="",BL37=""),"",IF(BH37="",0,(BH37*VLOOKUP($B37,'A1.3.9'!$B$26:$O$57,9,TRUE))) + IF(BL37="",0,(BL37*VLOOKUP($B37,'A1.3.9'!$B$26:$O$57,10,TRUE))))</f>
        <v>311.99609410041376</v>
      </c>
      <c r="BQ37" s="691">
        <f>IF(AND(BI37="",BM37=""),"",IF(BI37="",0,(BI37*VLOOKUP($B37,'A1.3.9'!$B$26:$O$57,9,TRUE))) + IF(BM37="",0,(BM37*VLOOKUP($B37,'A1.3.9'!$B$26:$O$57,10,TRUE))))</f>
        <v>27.414145435794051</v>
      </c>
      <c r="BR37" s="691">
        <f>IF(AND(BJ37="",BN37=""),"",IF(BJ37="",0,(BJ37*VLOOKUP($B37,'A1.3.9'!$B$26:$O$57,9,TRUE))) + IF(BN37="",0,(BN37*VLOOKUP($B37,'A1.3.9'!$B$26:$O$57,10,TRUE))))</f>
        <v>-0.29796732686043648</v>
      </c>
      <c r="BS37" s="2644">
        <f>IF(AND(BK37="",BO37=""),"",IF(BK37="",0,(BK37*VLOOKUP($B37,'A1.3.9'!$B$26:$O$57,9,TRUE))) + IF(BO37="",0,(BO37*VLOOKUP($B37,'A1.3.9'!$B$26:$O$57,10,TRUE))))</f>
        <v>2.1857121367681582E-3</v>
      </c>
    </row>
    <row r="38" spans="1:71" ht="13.5" customHeight="1">
      <c r="A38" s="113"/>
      <c r="B38" s="614">
        <f t="shared" si="0"/>
        <v>2021</v>
      </c>
      <c r="C38" s="147"/>
      <c r="D38" s="693">
        <f>IF('A1.3.8'!D$27="","",IF(OR(VLOOKUP($B38,'A1.3.11'!$B$26:$AM$105,D$22,)="",VLOOKUP($B38,'A1.3.7'!$B$28:$H$118,3,)=""),"",VLOOKUP($B38,'A1.3.11'!$B$26:$AM$105,D$22,)*(VLOOKUP($B38,'A1.3.7'!$B$28:$O$118,3,)+VLOOKUP($B38,'A1.3.7'!$B$28:$O$118,8,))))</f>
        <v>35.434665572127365</v>
      </c>
      <c r="E38" s="691">
        <f>IF('A1.3.8'!E$27="","",IF(OR(VLOOKUP($B38,'A1.3.11'!$B$26:$AM$105,E$22,)="",VLOOKUP($B38,'A1.3.7'!$B$28:$H$118,3,)=""),"",VLOOKUP($B38,'A1.3.11'!$B$26:$AM$105,E$22,)*(VLOOKUP($B38,'A1.3.7'!$B$28:$O$118,3,)+VLOOKUP($B38,'A1.3.7'!$B$28:$O$118,8,))))</f>
        <v>7.5304412165347321</v>
      </c>
      <c r="F38" s="691">
        <f>IF('A1.3.8'!F$27="","",IF(OR(VLOOKUP($B38,'A1.3.11'!$B$26:$AM$105,F$22,)="",VLOOKUP($B38,'A1.3.7'!$B$28:$H$118,3,)=""),"",VLOOKUP($B38,'A1.3.11'!$B$26:$AM$105,F$22,)*(VLOOKUP($B38,'A1.3.7'!$B$28:$O$118,3,)+VLOOKUP($B38,'A1.3.7'!$B$28:$O$118,8,))))</f>
        <v>-8.5780655698829811E-2</v>
      </c>
      <c r="G38" s="2644">
        <f>IF('A1.3.8'!G$27="","",IF(OR(VLOOKUP($B38,'A1.3.11'!$B$26:$AM$105,G$22,)="",VLOOKUP($B38,'A1.3.7'!$B$28:$H$118,3,)=""),"",VLOOKUP($B38,'A1.3.11'!$B$26:$AM$105,G$22,)*(VLOOKUP($B38,'A1.3.7'!$B$28:$O$118,3,)+VLOOKUP($B38,'A1.3.7'!$B$28:$O$118,8,))))</f>
        <v>5.6811838066546383E-4</v>
      </c>
      <c r="H38" s="693">
        <f>IF('A1.3.8'!D$28="","",IF(OR(VLOOKUP($B38,'A1.3.11'!$B$26:$AM$105,H$22,)="",VLOOKUP($B38,'A1.3.7'!$B$28:$H$118,4,)=""),"",VLOOKUP($B38,'A1.3.11'!$B$26:$AM$105,H$22,)*(VLOOKUP($B38,'A1.3.7'!$B$28:$O$118,4,)+VLOOKUP($B38,'A1.3.7'!$B$28:$O$118,9,))))</f>
        <v>40.58039602501357</v>
      </c>
      <c r="I38" s="691">
        <f>IF('A1.3.8'!E$28="","",IF(OR(VLOOKUP($B38,'A1.3.11'!$B$26:$AM$105,I$22,)="",VLOOKUP($B38,'A1.3.7'!$B$28:$H$118,4,)=""),"",VLOOKUP($B38,'A1.3.11'!$B$26:$AM$105,I$22,)*(VLOOKUP($B38,'A1.3.7'!$B$28:$O$118,4,)+VLOOKUP($B38,'A1.3.7'!$B$28:$O$118,9,))))</f>
        <v>5.8182252379342092</v>
      </c>
      <c r="J38" s="691">
        <f>IF('A1.3.8'!F$28="","",IF(OR(VLOOKUP($B38,'A1.3.11'!$B$26:$AM$105,J$22,)="",VLOOKUP($B38,'A1.3.7'!$B$28:$H$118,4,)=""),"",VLOOKUP($B38,'A1.3.11'!$B$26:$AM$105,J$22,)*(VLOOKUP($B38,'A1.3.7'!$B$28:$O$118,4,)+VLOOKUP($B38,'A1.3.7'!$B$28:$O$118,9,))))</f>
        <v>-5.5972947634033259E-2</v>
      </c>
      <c r="K38" s="2644">
        <f>IF('A1.3.8'!G$28="","",IF(OR(VLOOKUP($B38,'A1.3.11'!$B$26:$AM$105,K$22,)="",VLOOKUP($B38,'A1.3.7'!$B$28:$H$118,4,)=""),"",VLOOKUP($B38,'A1.3.11'!$B$26:$AM$105,K$22,)*(VLOOKUP($B38,'A1.3.7'!$B$28:$O$118,4,)+VLOOKUP($B38,'A1.3.7'!$B$28:$O$118,9,))))</f>
        <v>4.4106963556086879E-4</v>
      </c>
      <c r="L38" s="693" t="str">
        <f>IF('A1.3.8'!D$36="","",IF(OR(VLOOKUP($B38,'A1.3.11'!$B$26:$AM$105,L$22,)="",VLOOKUP($B38,'A1.3.7'!$B$28:$H$118,6,)=""),"",VLOOKUP($B38,'A1.3.11'!$B$26:$AM$105,L$22,)*VLOOKUP($B38,'A1.3.7'!$B$28:$O$118,6,)))</f>
        <v/>
      </c>
      <c r="M38" s="691">
        <f>IF('A1.3.8'!E$36="","",IF(OR(VLOOKUP($B38,'A1.3.11'!$B$26:$AM$105,M$22,)="",VLOOKUP($B38,'A1.3.7'!$B$28:$H$118,6,)=""),"",VLOOKUP($B38,'A1.3.11'!$B$26:$AM$105,M$22,)*VLOOKUP($B38,'A1.3.7'!$B$28:$O$118,6,)))</f>
        <v>2.2449502226132783</v>
      </c>
      <c r="N38" s="691"/>
      <c r="O38" s="1664"/>
      <c r="P38" s="693">
        <f>IF(AND(D38="",H38="",L38=""),"",IF(D38="",0,(D38*VLOOKUP($B38,'A1.3.9'!$B$26:$O$57,3,TRUE)))+IF(H38="",0,(H38*VLOOKUP($B38,'A1.3.9'!$B$26:$O$57,4,TRUE)))+IF(L38="",0,(L38*VLOOKUP($B38,'A1.3.9'!$B$26:$O$57,5,TRUE))))</f>
        <v>37.367051355910121</v>
      </c>
      <c r="Q38" s="691">
        <f>IF(AND(E38="",I38="",M38=""),"",IF(E38="",0,(E38*VLOOKUP($B38,'A1.3.9'!$B$26:$O$57,3,TRUE)))+IF(I38="",0,(I38*VLOOKUP($B38,'A1.3.9'!$B$26:$O$57,4,TRUE)))+IF(M38="",0,(M38*VLOOKUP($B38,'A1.3.9'!$B$26:$O$57,5,TRUE))))</f>
        <v>6.5956271660193666</v>
      </c>
      <c r="R38" s="691">
        <f>IF(AND(F38="",J38="",N38=""),"",IF(F38="",0,(F38*VLOOKUP($B38,'A1.3.9'!$B$26:$O$57,3,TRUE)))+IF(J38="",0,(J38*VLOOKUP($B38,'A1.3.9'!$B$26:$O$57,4,TRUE)))+IF(N38="",0,(N38*VLOOKUP($B38,'A1.3.9'!$B$26:$O$57,5,TRUE))))</f>
        <v>-6.9613149359018647E-2</v>
      </c>
      <c r="S38" s="2644">
        <f>IF(AND(G38="",K38="",O38=""),"",IF(G38="",0,(G38*VLOOKUP($B38,'A1.3.9'!$B$26:$O$57,3,TRUE)))+IF(K38="",0,(K38*VLOOKUP($B38,'A1.3.9'!$B$26:$O$57,4,TRUE)))+IF(O38="",0,(O38*VLOOKUP($B38,'A1.3.9'!$B$26:$O$57,5,TRUE))))</f>
        <v>4.957474072638877E-4</v>
      </c>
      <c r="T38" s="693">
        <f>IF('A1.3.8'!D$29="","",IF(OR(VLOOKUP($B38,'A1.3.11'!$B$26:$AM$105,T$22,)="",VLOOKUP($B38,'A1.3.7'!$B$28:$H$118,3,)=""),"",VLOOKUP($B38,'A1.3.11'!$B$26:$AM$105,T$22,)*(VLOOKUP($B38,'A1.3.7'!$B$28:$O$118,3,)+VLOOKUP($B38,'A1.3.7'!$B$28:$O$118,8,))))</f>
        <v>27.725121482823042</v>
      </c>
      <c r="U38" s="691">
        <f>IF('A1.3.8'!E$29="","",IF(OR(VLOOKUP($B38,'A1.3.11'!$B$26:$AM$105,U$22,)="",VLOOKUP($B38,'A1.3.7'!$B$28:$H$118,3,)=""),"",VLOOKUP($B38,'A1.3.11'!$B$26:$AM$105,U$22,)*(VLOOKUP($B38,'A1.3.7'!$B$28:$O$118,3,)+VLOOKUP($B38,'A1.3.7'!$B$28:$O$118,8,))))</f>
        <v>15.546643219719066</v>
      </c>
      <c r="V38" s="691">
        <f>IF('A1.3.8'!F$29="","",IF(OR(VLOOKUP($B38,'A1.3.11'!$B$26:$AM$105,V$22,)="",VLOOKUP($B38,'A1.3.7'!$B$28:$H$118,3,)=""),"",VLOOKUP($B38,'A1.3.11'!$B$26:$AM$105,V$22,)*(VLOOKUP($B38,'A1.3.7'!$B$28:$O$118,3,)+VLOOKUP($B38,'A1.3.7'!$B$28:$O$118,8,))))</f>
        <v>-0.24403126833239541</v>
      </c>
      <c r="W38" s="2644">
        <f>IF('A1.3.8'!G$29="","",IF(OR(VLOOKUP($B38,'A1.3.11'!$B$26:$AM$105,W$22,)="",VLOOKUP($B38,'A1.3.7'!$B$28:$H$118,3,)=""),"",VLOOKUP($B38,'A1.3.11'!$B$26:$AM$105,W$22,)*(VLOOKUP($B38,'A1.3.7'!$B$28:$O$118,3,)+VLOOKUP($B38,'A1.3.7'!$B$28:$O$118,8,))))</f>
        <v>1.5759630509104112E-3</v>
      </c>
      <c r="X38" s="693">
        <f>IF('A1.3.8'!D$30="","",IF(OR(VLOOKUP($B38,'A1.3.11'!$B$26:$AM$105,X$22,)="",VLOOKUP($B38,'A1.3.7'!$B$28:$H$118,4,)=""),"",VLOOKUP($B38,'A1.3.11'!$B$26:$AM$105,X$22,)*(VLOOKUP($B38,'A1.3.7'!$B$28:$O$118,4,)+VLOOKUP($B38,'A1.3.7'!$B$28:$O$118,9,))))</f>
        <v>41.093643620326944</v>
      </c>
      <c r="Y38" s="691">
        <f>IF('A1.3.8'!E$30="","",IF(OR(VLOOKUP($B38,'A1.3.11'!$B$26:$AM$105,Y$22,)="",VLOOKUP($B38,'A1.3.7'!$B$28:$H$118,4,)=""),"",VLOOKUP($B38,'A1.3.11'!$B$26:$AM$105,Y$22,)*(VLOOKUP($B38,'A1.3.7'!$B$28:$O$118,4,)+VLOOKUP($B38,'A1.3.7'!$B$28:$O$118,9,))))</f>
        <v>10.043453971037531</v>
      </c>
      <c r="Z38" s="691">
        <f>IF('A1.3.8'!F$30="","",IF(OR(VLOOKUP($B38,'A1.3.11'!$B$26:$AM$105,Z$22,)="",VLOOKUP($B38,'A1.3.7'!$B$28:$H$118,4,)=""),"",VLOOKUP($B38,'A1.3.11'!$B$26:$AM$105,Z$22,)*(VLOOKUP($B38,'A1.3.7'!$B$28:$O$118,4,)+VLOOKUP($B38,'A1.3.7'!$B$28:$O$118,9,))))</f>
        <v>-0.14489507693722742</v>
      </c>
      <c r="AA38" s="2644">
        <f>IF('A1.3.8'!G$30="","",IF(OR(VLOOKUP($B38,'A1.3.11'!$B$26:$AM$105,AA$22,)="",VLOOKUP($B38,'A1.3.7'!$B$28:$H$118,4,)=""),"",VLOOKUP($B38,'A1.3.11'!$B$26:$AM$105,AA$22,)*(VLOOKUP($B38,'A1.3.7'!$B$28:$O$118,4,)+VLOOKUP($B38,'A1.3.7'!$B$28:$O$118,9,))))</f>
        <v>1.2266867734283392E-3</v>
      </c>
      <c r="AB38" s="693" t="str">
        <f>IF('A1.3.8'!D$37="","",IF(OR(VLOOKUP($B38,'A1.3.11'!$B$26:$AM$105,AB$22,)="",VLOOKUP($B38,'A1.3.7'!$B$28:$H$118,6,)=""),"",VLOOKUP($B38,'A1.3.11'!$B$26:$AM$105,AB$22,)*VLOOKUP($B38,'A1.3.7'!$B$28:$O$118,6,)))</f>
        <v/>
      </c>
      <c r="AC38" s="691">
        <f>IF('A1.3.8'!E$37="","",IF(OR(VLOOKUP($B38,'A1.3.11'!$B$26:$AM$105,AC$22,)="",VLOOKUP($B38,'A1.3.7'!$B$28:$H$118,6,)=""),"",VLOOKUP($B38,'A1.3.11'!$B$26:$AM$105,AC$22,)*VLOOKUP($B38,'A1.3.7'!$B$28:$O$118,6,)))</f>
        <v>4.8890274237017231</v>
      </c>
      <c r="AD38" s="691"/>
      <c r="AE38" s="1664" t="str">
        <f>IF('A1.3.8'!G$37="","",IF(OR(VLOOKUP($B38,'A1.3.11'!$B$26:$AM$105,AE$22,)="",VLOOKUP($B38,'A1.3.7'!$B$28:$H$118,6,)=""),"",VLOOKUP($B38,'A1.3.11'!$B$26:$AM$105,AE$22,)*VLOOKUP($B38,'A1.3.7'!$B$28:$O$118,6,)))</f>
        <v/>
      </c>
      <c r="AF38" s="693">
        <f>IF(AND(T38="",X38="",AB38=""),"",IF(T38="",0,(T38*VLOOKUP('A1.3.12'!$B38,'A1.3.9'!$B$26:$O$57,6,TRUE))) + IF(X38="",0,(X38*VLOOKUP('A1.3.12'!$B38,'A1.3.9'!$B$26:$O$57,7,TRUE))) + IF(AB38="",0,(AB38*VLOOKUP('A1.3.12'!$B38,'A1.3.9'!$B$26:$O$57,8,TRUE))))</f>
        <v>40.810400315260544</v>
      </c>
      <c r="AG38" s="691">
        <f>IF(AND(U38="",Y38="",AC38=""),"",IF(U38="",0,(U38*VLOOKUP('A1.3.12'!$B38,'A1.3.9'!$B$26:$O$57,6,TRUE))) + IF(Y38="",0,(Y38*VLOOKUP('A1.3.12'!$B38,'A1.3.9'!$B$26:$O$57,7,TRUE))) + IF(AC38="",0,(AC38*VLOOKUP('A1.3.12'!$B38,'A1.3.9'!$B$26:$O$57,8,TRUE))))</f>
        <v>10.098950747554845</v>
      </c>
      <c r="AH38" s="691">
        <f>IF(AND(V38="",Z38="",AD38=""),"",IF(V38="",0,(V38*VLOOKUP('A1.3.12'!$B38,'A1.3.9'!$B$26:$O$57,6,TRUE))) + IF(Z38="",0,(Z38*VLOOKUP('A1.3.12'!$B38,'A1.3.9'!$B$26:$O$57,7,TRUE))) + IF(AD38="",0,(AD38*VLOOKUP('A1.3.12'!$B38,'A1.3.9'!$B$26:$O$57,8,TRUE))))</f>
        <v>-0.1457507402964735</v>
      </c>
      <c r="AI38" s="2644">
        <f>IF(AND(W38="",AA38="",AE38=""),"",IF(W38="",0,(W38*VLOOKUP('A1.3.12'!$B38,'A1.3.9'!$B$26:$O$57,6,TRUE))) + IF(AA38="",0,(AA38*VLOOKUP('A1.3.12'!$B38,'A1.3.9'!$B$26:$O$57,7,TRUE))) + IF(AE38="",0,(AE38*VLOOKUP('A1.3.12'!$B38,'A1.3.9'!$B$26:$O$57,8,TRUE))))</f>
        <v>1.2277187193127366E-3</v>
      </c>
      <c r="AJ38" s="693">
        <f>IF('A1.3.8'!D$31="","",IF(OR(VLOOKUP($B38,'A1.3.11'!$B$26:$AM$105,AJ$22,)="",VLOOKUP($B38,'A1.3.7'!$B$28:$H$118,4,)=""),"",VLOOKUP($B38,'A1.3.11'!$B$26:$AM$105,AJ$22,)*(VLOOKUP($B38,'A1.3.7'!$B$28:$O$118,4,)+VLOOKUP($B38,'A1.3.7'!$B$28:$O$118,9,))))</f>
        <v>251.48455927521275</v>
      </c>
      <c r="AK38" s="691">
        <f>IF('A1.3.8'!E$31="","",IF(OR(VLOOKUP($B38,'A1.3.11'!$B$26:$AM$105,AK$22,)="",VLOOKUP($B38,'A1.3.7'!$B$28:$H$118,4,)=""),"",VLOOKUP($B38,'A1.3.11'!$B$26:$AM$105,AK$22,)*(VLOOKUP($B38,'A1.3.7'!$B$28:$O$118,4,)+VLOOKUP($B38,'A1.3.7'!$B$28:$O$118,9,))))</f>
        <v>13.343067886389179</v>
      </c>
      <c r="AL38" s="691">
        <f>IF('A1.3.8'!F$31="","",IF(OR(VLOOKUP($B38,'A1.3.11'!$B$26:$AM$105,AL$22,)="",VLOOKUP($B38,'A1.3.7'!$B$28:$H$118,4,)=""),"",VLOOKUP($B38,'A1.3.11'!$B$26:$AM$105,AL$22,)*(VLOOKUP($B38,'A1.3.7'!$B$28:$O$118,4,)+VLOOKUP($B38,'A1.3.7'!$B$28:$O$118,9,))))</f>
        <v>-9.644377940136431E-2</v>
      </c>
      <c r="AM38" s="2644">
        <f>IF('A1.3.8'!G$31="","",IF(OR(VLOOKUP($B38,'A1.3.11'!$B$26:$AM$105,AM$22,)="",VLOOKUP($B38,'A1.3.7'!$B$28:$H$118,4,)=""),"",VLOOKUP($B38,'A1.3.11'!$B$26:$AM$105,AM$22,)*(VLOOKUP($B38,'A1.3.7'!$B$28:$O$118,4,)+VLOOKUP($B38,'A1.3.7'!$B$28:$O$118,9,))))</f>
        <v>1.0533208154474821E-3</v>
      </c>
      <c r="AN38" s="693" t="str">
        <f>IF('A1.3.8'!D$38="","",IF(OR(VLOOKUP($B38,'A1.3.11'!$B$26:$AM$105,AN$22,)="",VLOOKUP($B38,'A1.3.7'!$B$28:$H$118,6,)=""),"",VLOOKUP($B38,'A1.3.11'!$B$26:$AM$105,AN$22,)*VLOOKUP($B38,'A1.3.7'!$B$28:$O$118,6,)))</f>
        <v/>
      </c>
      <c r="AO38" s="691" t="str">
        <f>IF('A1.3.8'!E$38="","",IF(OR(VLOOKUP($B38,'A1.3.11'!$B$26:$AM$105,AO$22,)="",VLOOKUP($B38,'A1.3.7'!$B$28:$H$118,6,)=""),"",VLOOKUP($B38,'A1.3.11'!$B$26:$AM$105,AO$22,)*VLOOKUP($B38,'A1.3.7'!$B$28:$O$118,6,)))</f>
        <v/>
      </c>
      <c r="AP38" s="691" t="str">
        <f>IF('A1.3.8'!F$38="","",IF(OR(VLOOKUP($B38,'A1.3.11'!$B$26:$AM$105,AP$22,)="",VLOOKUP($B38,'A1.3.7'!$B$28:$H$118,6,)=""),"",VLOOKUP($B38,'A1.3.11'!$B$26:$AM$105,AP$22,)*VLOOKUP($B38,'A1.3.7'!$B$28:$O$118,6,)))</f>
        <v/>
      </c>
      <c r="AQ38" s="1664" t="str">
        <f>IF('A1.3.8'!G$38="","",IF(OR(VLOOKUP($B38,'A1.3.11'!$B$26:$AM$105,AQ$22,)="",VLOOKUP($B38,'A1.3.7'!$B$28:$H$118,6,)=""),"",VLOOKUP($B38,'A1.3.11'!$B$26:$AM$105,AQ$22,)*VLOOKUP($B38,'A1.3.7'!$B$28:$O$118,6,)))</f>
        <v/>
      </c>
      <c r="AR38" s="693">
        <f>IF(AND(AJ38="",AN38=""),"",IF(AJ38="",0,(AJ38*VLOOKUP($B38,'A1.3.9'!$B$26:$O$57,9,TRUE))) + IF(AN38="",0,(AN38*VLOOKUP($B38,'A1.3.9'!$B$26:$O$57,10,TRUE))))</f>
        <v>251.48455927521275</v>
      </c>
      <c r="AS38" s="691">
        <f>IF(AND(AK38="",AO38=""),"",IF(AK38="",0,(AK38*VLOOKUP($B38,'A1.3.9'!$B$26:$O$57,9,TRUE))) + IF(AO38="",0,(AO38*VLOOKUP($B38,'A1.3.9'!$B$26:$O$57,10,TRUE))))</f>
        <v>13.343067886389179</v>
      </c>
      <c r="AT38" s="691">
        <f>IF(AND(AL38="",AP38=""),"",IF(AL38="",0,(AL38*VLOOKUP($B38,'A1.3.9'!$B$26:$O$57,9,TRUE))) + IF(AP38="",0,(AP38*VLOOKUP($B38,'A1.3.9'!$B$26:$O$57,10,TRUE))))</f>
        <v>-9.644377940136431E-2</v>
      </c>
      <c r="AU38" s="2644">
        <f>IF(AND(AM38="",AQ38=""),"",IF(AM38="",0,(AM38*VLOOKUP($B38,'A1.3.9'!$B$26:$O$57,9,TRUE))) + IF(AQ38="",0,(AQ38*VLOOKUP($B38,'A1.3.9'!$B$26:$O$57,10,TRUE))))</f>
        <v>1.0533208154474821E-3</v>
      </c>
      <c r="AV38" s="693">
        <f>IF('A1.3.8'!D$32="","",IF(OR(VLOOKUP($B38,'A1.3.11'!$B$26:$AM$105,AV$22,)="",VLOOKUP($B38,'A1.3.7'!$B$28:$H$118,4,)=""),"",VLOOKUP($B38,'A1.3.11'!$B$26:$AM$105,AV$22,)*(VLOOKUP($B38,'A1.3.7'!$B$28:$O$118,4,)+VLOOKUP($B38,'A1.3.7'!$B$28:$O$118,9,))))</f>
        <v>528.43459006360615</v>
      </c>
      <c r="AW38" s="691">
        <f>IF('A1.3.8'!E$32="","",IF(OR(VLOOKUP($B38,'A1.3.11'!$B$26:$AM$105,AW$22,)="",VLOOKUP($B38,'A1.3.7'!$B$28:$H$118,4,)=""),"",VLOOKUP($B38,'A1.3.11'!$B$26:$AM$105,AW$22,)*(VLOOKUP($B38,'A1.3.7'!$B$28:$O$118,4,)+VLOOKUP($B38,'A1.3.7'!$B$28:$O$118,9,))))</f>
        <v>27.44254459612144</v>
      </c>
      <c r="AX38" s="691">
        <f>IF('A1.3.8'!F$32="","",IF(OR(VLOOKUP($B38,'A1.3.11'!$B$26:$AM$105,AX$22,)="",VLOOKUP($B38,'A1.3.7'!$B$28:$H$118,4,)=""),"",VLOOKUP($B38,'A1.3.11'!$B$26:$AM$105,AX$22,)*(VLOOKUP($B38,'A1.3.7'!$B$28:$O$118,4,)+VLOOKUP($B38,'A1.3.7'!$B$28:$O$118,9,))))</f>
        <v>-0.18182129446473577</v>
      </c>
      <c r="AY38" s="2644">
        <f>IF('A1.3.8'!G$32="","",IF(OR(VLOOKUP($B38,'A1.3.11'!$B$26:$AM$105,AY$22,)="",VLOOKUP($B38,'A1.3.7'!$B$28:$H$118,4,)=""),"",VLOOKUP($B38,'A1.3.11'!$B$26:$AM$105,AY$22,)*(VLOOKUP($B38,'A1.3.7'!$B$28:$O$118,4,)+VLOOKUP($B38,'A1.3.7'!$B$28:$O$118,9,))))</f>
        <v>1.083730522170027E-3</v>
      </c>
      <c r="AZ38" s="693" t="str">
        <f>IF('A1.3.8'!D$39="","",IF(OR(VLOOKUP($B38,'A1.3.11'!$B$26:$AM$105,AZ$22,)="",VLOOKUP($B38,'A1.3.7'!$B$28:$H$118,6,)=""),"",VLOOKUP($B38,'A1.3.11'!$B$26:$AM$105,AZ$22,)*VLOOKUP($B38,'A1.3.7'!$B$28:$O$118,6,)))</f>
        <v/>
      </c>
      <c r="BA38" s="691" t="str">
        <f>IF('A1.3.8'!E$39="","",IF(OR(VLOOKUP($B38,'A1.3.11'!$B$26:$AM$105,BA$22,)="",VLOOKUP($B38,'A1.3.7'!$B$28:$H$118,6,)=""),"",VLOOKUP($B38,'A1.3.11'!$B$26:$AM$105,BA$22,)*VLOOKUP($B38,'A1.3.7'!$B$28:$O$118,6,)))</f>
        <v/>
      </c>
      <c r="BB38" s="691" t="str">
        <f>IF('A1.3.8'!F$39="","",IF(OR(VLOOKUP($B38,'A1.3.11'!$B$26:$AM$105,BB$22,)="",VLOOKUP($B38,'A1.3.7'!$B$28:$H$118,6,)=""),"",VLOOKUP($B38,'A1.3.11'!$B$26:$AM$105,BB$22,)*VLOOKUP($B38,'A1.3.7'!$B$28:$O$118,6,)))</f>
        <v/>
      </c>
      <c r="BC38" s="1664" t="str">
        <f>IF('A1.3.8'!G$39="","",IF(OR(VLOOKUP($B38,'A1.3.11'!$B$26:$AM$105,BC$22,)="",VLOOKUP($B38,'A1.3.7'!$B$28:$H$118,6,)=""),"",VLOOKUP($B38,'A1.3.11'!$B$26:$AM$105,BC$22,)*VLOOKUP($B38,'A1.3.7'!$B$28:$O$118,6,)))</f>
        <v/>
      </c>
      <c r="BD38" s="693">
        <f>IF(AND(AV38="",AZ38=""),"",IF(AV38="",0,(AV38*VLOOKUP($B38,'A1.3.9'!$B$26:$O$57,9,TRUE))) + IF(AZ38="",0,(AZ38*VLOOKUP($B38,'A1.3.9'!$B$26:$O$57,10,TRUE))))</f>
        <v>528.43459006360615</v>
      </c>
      <c r="BE38" s="691">
        <f>IF(AND(AW38="",BA38=""),"",IF(AW38="",0,(AW38*VLOOKUP($B38,'A1.3.9'!$B$26:$O$57,9,TRUE))) + IF(BA38="",0,(BA38*VLOOKUP($B38,'A1.3.9'!$B$26:$O$57,10,TRUE))))</f>
        <v>27.44254459612144</v>
      </c>
      <c r="BF38" s="691">
        <f>IF(AND(AX38="",BB38=""),"",IF(AX38="",0,(AX38*VLOOKUP($B38,'A1.3.9'!$B$26:$O$57,9,TRUE))) + IF(BB38="",0,(BB38*VLOOKUP($B38,'A1.3.9'!$B$26:$O$57,10,TRUE))))</f>
        <v>-0.18182129446473577</v>
      </c>
      <c r="BG38" s="2644">
        <f>IF(AND(AY38="",BC38=""),"",IF(AY38="",0,(AY38*VLOOKUP($B38,'A1.3.9'!$B$26:$O$57,9,TRUE))) + IF(BC38="",0,(BC38*VLOOKUP($B38,'A1.3.9'!$B$26:$O$57,10,TRUE))))</f>
        <v>1.083730522170027E-3</v>
      </c>
      <c r="BH38" s="693">
        <f>IF('A1.3.8'!D$33="","",IF(OR(VLOOKUP($B38,'A1.3.11'!$B$26:$AM$105,BH$22,)="",VLOOKUP($B38,'A1.3.7'!$B$28:$H$118,4,)=""),"",VLOOKUP($B38,'A1.3.11'!$B$26:$AM$105,BH$22,)*(VLOOKUP($B38,'A1.3.7'!$B$28:$O$118,4,)+VLOOKUP($B38,'A1.3.7'!$B$28:$O$118,9,))))</f>
        <v>313.4072221167014</v>
      </c>
      <c r="BI38" s="691">
        <f>IF('A1.3.8'!E$33="","",IF(OR(VLOOKUP($B38,'A1.3.11'!$B$26:$AM$105,BI$22,)="",VLOOKUP($B38,'A1.3.7'!$B$28:$H$118,4,)=""),"",VLOOKUP($B38,'A1.3.11'!$B$26:$AM$105,BI$22,)*(VLOOKUP($B38,'A1.3.7'!$B$28:$O$118,4,)+VLOOKUP($B38,'A1.3.7'!$B$28:$O$118,9,))))</f>
        <v>27.538136951708935</v>
      </c>
      <c r="BJ38" s="691">
        <f>IF('A1.3.8'!F$33="","",IF(OR(VLOOKUP($B38,'A1.3.11'!$B$26:$AM$105,BJ$22,)="",VLOOKUP($B38,'A1.3.7'!$B$28:$H$118,4,)=""),"",VLOOKUP($B38,'A1.3.11'!$B$26:$AM$105,BJ$22,)*(VLOOKUP($B38,'A1.3.7'!$B$28:$O$118,4,)+VLOOKUP($B38,'A1.3.7'!$B$28:$O$118,9,))))</f>
        <v>-0.29931500412570305</v>
      </c>
      <c r="BK38" s="2644">
        <f>IF('A1.3.8'!G$33="","",IF(OR(VLOOKUP($B38,'A1.3.11'!$B$26:$AM$105,BK$22,)="",VLOOKUP($B38,'A1.3.7'!$B$28:$H$118,4,)=""),"",VLOOKUP($B38,'A1.3.11'!$B$26:$AM$105,BK$22,)*(VLOOKUP($B38,'A1.3.7'!$B$28:$O$118,4,)+VLOOKUP($B38,'A1.3.7'!$B$28:$O$118,9,))))</f>
        <v>2.1955979003724325E-3</v>
      </c>
      <c r="BL38" s="693" t="str">
        <f>IF('A1.3.8'!D$40="","",IF(OR(VLOOKUP($B38,'A1.3.11'!$B$26:$AM$105,BL$22,)="",VLOOKUP($B38,'A1.3.7'!$B$28:$H$118,6,)=""),"",VLOOKUP($B38,'A1.3.11'!$B$26:$AM$105,BL$22,)*VLOOKUP($B38,'A1.3.7'!$B$28:$O$118,6,)))</f>
        <v/>
      </c>
      <c r="BM38" s="691" t="str">
        <f>IF('A1.3.8'!E$40="","",IF(OR(VLOOKUP($B38,'A1.3.11'!$B$26:$AM$105,BM$22,)="",VLOOKUP($B38,'A1.3.7'!$B$28:$H$118,6,)=""),"",VLOOKUP($B38,'A1.3.11'!$B$26:$AM$105,BM$22,)*VLOOKUP($B38,'A1.3.7'!$B$28:$O$118,6,)))</f>
        <v/>
      </c>
      <c r="BN38" s="691" t="str">
        <f>IF('A1.3.8'!F$40="","",IF(OR(VLOOKUP($B38,'A1.3.11'!$B$26:$AM$105,BN$22,)="",VLOOKUP($B38,'A1.3.7'!$B$28:$H$118,6,)=""),"",VLOOKUP($B38,'A1.3.11'!$B$26:$AM$105,BN$22,)*VLOOKUP($B38,'A1.3.7'!$B$28:$O$118,6,)))</f>
        <v/>
      </c>
      <c r="BO38" s="1664" t="str">
        <f>IF('A1.3.8'!G$40="","",IF(OR(VLOOKUP($B38,'A1.3.11'!$B$26:$AM$105,BO$22,)="",VLOOKUP($B38,'A1.3.7'!$B$28:$H$118,6,)=""),"",VLOOKUP($B38,'A1.3.11'!$B$26:$AM$105,BO$22,)*VLOOKUP($B38,'A1.3.7'!$B$28:$O$118,6,)))</f>
        <v/>
      </c>
      <c r="BP38" s="693">
        <f>IF(AND(BH38="",BL38=""),"",IF(BH38="",0,(BH38*VLOOKUP($B38,'A1.3.9'!$B$26:$O$57,9,TRUE))) + IF(BL38="",0,(BL38*VLOOKUP($B38,'A1.3.9'!$B$26:$O$57,10,TRUE))))</f>
        <v>313.4072221167014</v>
      </c>
      <c r="BQ38" s="691">
        <f>IF(AND(BI38="",BM38=""),"",IF(BI38="",0,(BI38*VLOOKUP($B38,'A1.3.9'!$B$26:$O$57,9,TRUE))) + IF(BM38="",0,(BM38*VLOOKUP($B38,'A1.3.9'!$B$26:$O$57,10,TRUE))))</f>
        <v>27.538136951708935</v>
      </c>
      <c r="BR38" s="691">
        <f>IF(AND(BJ38="",BN38=""),"",IF(BJ38="",0,(BJ38*VLOOKUP($B38,'A1.3.9'!$B$26:$O$57,9,TRUE))) + IF(BN38="",0,(BN38*VLOOKUP($B38,'A1.3.9'!$B$26:$O$57,10,TRUE))))</f>
        <v>-0.29931500412570305</v>
      </c>
      <c r="BS38" s="2644">
        <f>IF(AND(BK38="",BO38=""),"",IF(BK38="",0,(BK38*VLOOKUP($B38,'A1.3.9'!$B$26:$O$57,9,TRUE))) + IF(BO38="",0,(BO38*VLOOKUP($B38,'A1.3.9'!$B$26:$O$57,10,TRUE))))</f>
        <v>2.1955979003724325E-3</v>
      </c>
    </row>
    <row r="39" spans="1:71" ht="13.5" customHeight="1">
      <c r="A39" s="113"/>
      <c r="B39" s="614">
        <f t="shared" si="0"/>
        <v>2022</v>
      </c>
      <c r="C39" s="147"/>
      <c r="D39" s="693">
        <f>IF('A1.3.8'!D$27="","",IF(OR(VLOOKUP($B39,'A1.3.11'!$B$26:$AM$105,D$22,)="",VLOOKUP($B39,'A1.3.7'!$B$28:$H$118,3,)=""),"",VLOOKUP($B39,'A1.3.11'!$B$26:$AM$105,D$22,)*(VLOOKUP($B39,'A1.3.7'!$B$28:$O$118,3,)+VLOOKUP($B39,'A1.3.7'!$B$28:$O$118,8,))))</f>
        <v>34.82505024678845</v>
      </c>
      <c r="E39" s="691">
        <f>IF('A1.3.8'!E$27="","",IF(OR(VLOOKUP($B39,'A1.3.11'!$B$26:$AM$105,E$22,)="",VLOOKUP($B39,'A1.3.7'!$B$28:$H$118,3,)=""),"",VLOOKUP($B39,'A1.3.11'!$B$26:$AM$105,E$22,)*(VLOOKUP($B39,'A1.3.7'!$B$28:$O$118,3,)+VLOOKUP($B39,'A1.3.7'!$B$28:$O$118,8,))))</f>
        <v>7.4008880713859764</v>
      </c>
      <c r="F39" s="691">
        <f>IF('A1.3.8'!F$27="","",IF(OR(VLOOKUP($B39,'A1.3.11'!$B$26:$AM$105,F$22,)="",VLOOKUP($B39,'A1.3.7'!$B$28:$H$118,3,)=""),"",VLOOKUP($B39,'A1.3.11'!$B$26:$AM$105,F$22,)*(VLOOKUP($B39,'A1.3.7'!$B$28:$O$118,3,)+VLOOKUP($B39,'A1.3.7'!$B$28:$O$118,8,))))</f>
        <v>-8.4304891740364207E-2</v>
      </c>
      <c r="G39" s="2644">
        <f>IF('A1.3.8'!G$27="","",IF(OR(VLOOKUP($B39,'A1.3.11'!$B$26:$AM$105,G$22,)="",VLOOKUP($B39,'A1.3.7'!$B$28:$H$118,3,)=""),"",VLOOKUP($B39,'A1.3.11'!$B$26:$AM$105,G$22,)*(VLOOKUP($B39,'A1.3.7'!$B$28:$O$118,3,)+VLOOKUP($B39,'A1.3.7'!$B$28:$O$118,8,))))</f>
        <v>5.5834451471051543E-4</v>
      </c>
      <c r="H39" s="693">
        <f>IF('A1.3.8'!D$28="","",IF(OR(VLOOKUP($B39,'A1.3.11'!$B$26:$AM$105,H$22,)="",VLOOKUP($B39,'A1.3.7'!$B$28:$H$118,4,)=""),"",VLOOKUP($B39,'A1.3.11'!$B$26:$AM$105,H$22,)*(VLOOKUP($B39,'A1.3.7'!$B$28:$O$118,4,)+VLOOKUP($B39,'A1.3.7'!$B$28:$O$118,9,))))</f>
        <v>40.307948057178031</v>
      </c>
      <c r="I39" s="691">
        <f>IF('A1.3.8'!E$28="","",IF(OR(VLOOKUP($B39,'A1.3.11'!$B$26:$AM$105,I$22,)="",VLOOKUP($B39,'A1.3.7'!$B$28:$H$118,4,)=""),"",VLOOKUP($B39,'A1.3.11'!$B$26:$AM$105,I$22,)*(VLOOKUP($B39,'A1.3.7'!$B$28:$O$118,4,)+VLOOKUP($B39,'A1.3.7'!$B$28:$O$118,9,))))</f>
        <v>5.7791629369771771</v>
      </c>
      <c r="J39" s="691">
        <f>IF('A1.3.8'!F$28="","",IF(OR(VLOOKUP($B39,'A1.3.11'!$B$26:$AM$105,J$22,)="",VLOOKUP($B39,'A1.3.7'!$B$28:$H$118,4,)=""),"",VLOOKUP($B39,'A1.3.11'!$B$26:$AM$105,J$22,)*(VLOOKUP($B39,'A1.3.7'!$B$28:$O$118,4,)+VLOOKUP($B39,'A1.3.7'!$B$28:$O$118,9,))))</f>
        <v>-5.5597157416824493E-2</v>
      </c>
      <c r="K39" s="2644">
        <f>IF('A1.3.8'!G$28="","",IF(OR(VLOOKUP($B39,'A1.3.11'!$B$26:$AM$105,K$22,)="",VLOOKUP($B39,'A1.3.7'!$B$28:$H$118,4,)=""),"",VLOOKUP($B39,'A1.3.11'!$B$26:$AM$105,K$22,)*(VLOOKUP($B39,'A1.3.7'!$B$28:$O$118,4,)+VLOOKUP($B39,'A1.3.7'!$B$28:$O$118,9,))))</f>
        <v>4.3810838979558713E-4</v>
      </c>
      <c r="L39" s="693" t="str">
        <f>IF('A1.3.8'!D$36="","",IF(OR(VLOOKUP($B39,'A1.3.11'!$B$26:$AM$105,L$22,)="",VLOOKUP($B39,'A1.3.7'!$B$28:$H$118,6,)=""),"",VLOOKUP($B39,'A1.3.11'!$B$26:$AM$105,L$22,)*VLOOKUP($B39,'A1.3.7'!$B$28:$O$118,6,)))</f>
        <v/>
      </c>
      <c r="M39" s="691">
        <f>IF('A1.3.8'!E$36="","",IF(OR(VLOOKUP($B39,'A1.3.11'!$B$26:$AM$105,M$22,)="",VLOOKUP($B39,'A1.3.7'!$B$28:$H$118,6,)=""),"",VLOOKUP($B39,'A1.3.11'!$B$26:$AM$105,M$22,)*VLOOKUP($B39,'A1.3.7'!$B$28:$O$118,6,)))</f>
        <v>2.2291661130258116</v>
      </c>
      <c r="N39" s="691"/>
      <c r="O39" s="1664"/>
      <c r="P39" s="693">
        <f>IF(AND(D39="",H39="",L39=""),"",IF(D39="",0,(D39*VLOOKUP($B39,'A1.3.9'!$B$26:$O$57,3,TRUE)))+IF(H39="",0,(H39*VLOOKUP($B39,'A1.3.9'!$B$26:$O$57,4,TRUE)))+IF(L39="",0,(L39*VLOOKUP($B39,'A1.3.9'!$B$26:$O$57,5,TRUE))))</f>
        <v>36.661470828705163</v>
      </c>
      <c r="Q39" s="691">
        <f>IF(AND(E39="",I39="",M39=""),"",IF(E39="",0,(E39*VLOOKUP($B39,'A1.3.9'!$B$26:$O$57,3,TRUE)))+IF(I39="",0,(I39*VLOOKUP($B39,'A1.3.9'!$B$26:$O$57,4,TRUE)))+IF(M39="",0,(M39*VLOOKUP($B39,'A1.3.9'!$B$26:$O$57,5,TRUE))))</f>
        <v>6.4946031697465827</v>
      </c>
      <c r="R39" s="691">
        <f>IF(AND(F39="",J39="",N39=""),"",IF(F39="",0,(F39*VLOOKUP($B39,'A1.3.9'!$B$26:$O$57,3,TRUE)))+IF(J39="",0,(J39*VLOOKUP($B39,'A1.3.9'!$B$26:$O$57,4,TRUE)))+IF(N39="",0,(N39*VLOOKUP($B39,'A1.3.9'!$B$26:$O$57,5,TRUE))))</f>
        <v>-6.8431885553568786E-2</v>
      </c>
      <c r="S39" s="2644">
        <f>IF(AND(G39="",K39="",O39=""),"",IF(G39="",0,(G39*VLOOKUP($B39,'A1.3.9'!$B$26:$O$57,3,TRUE)))+IF(K39="",0,(K39*VLOOKUP($B39,'A1.3.9'!$B$26:$O$57,4,TRUE)))+IF(O39="",0,(O39*VLOOKUP($B39,'A1.3.9'!$B$26:$O$57,5,TRUE))))</f>
        <v>4.8704691156390778E-4</v>
      </c>
      <c r="T39" s="693">
        <f>IF('A1.3.8'!D$29="","",IF(OR(VLOOKUP($B39,'A1.3.11'!$B$26:$AM$105,T$22,)="",VLOOKUP($B39,'A1.3.7'!$B$28:$H$118,3,)=""),"",VLOOKUP($B39,'A1.3.11'!$B$26:$AM$105,T$22,)*(VLOOKUP($B39,'A1.3.7'!$B$28:$O$118,3,)+VLOOKUP($B39,'A1.3.7'!$B$28:$O$118,8,))))</f>
        <v>27.316810336310638</v>
      </c>
      <c r="U39" s="691">
        <f>IF('A1.3.8'!E$29="","",IF(OR(VLOOKUP($B39,'A1.3.11'!$B$26:$AM$105,U$22,)="",VLOOKUP($B39,'A1.3.7'!$B$28:$H$118,3,)=""),"",VLOOKUP($B39,'A1.3.11'!$B$26:$AM$105,U$22,)*(VLOOKUP($B39,'A1.3.7'!$B$28:$O$118,3,)+VLOOKUP($B39,'A1.3.7'!$B$28:$O$118,8,))))</f>
        <v>15.317685964422795</v>
      </c>
      <c r="V39" s="691">
        <f>IF('A1.3.8'!F$29="","",IF(OR(VLOOKUP($B39,'A1.3.11'!$B$26:$AM$105,V$22,)="",VLOOKUP($B39,'A1.3.7'!$B$28:$H$118,3,)=""),"",VLOOKUP($B39,'A1.3.11'!$B$26:$AM$105,V$22,)*(VLOOKUP($B39,'A1.3.7'!$B$28:$O$118,3,)+VLOOKUP($B39,'A1.3.7'!$B$28:$O$118,8,))))</f>
        <v>-0.24043739095229413</v>
      </c>
      <c r="W39" s="2644">
        <f>IF('A1.3.8'!G$29="","",IF(OR(VLOOKUP($B39,'A1.3.11'!$B$26:$AM$105,W$22,)="",VLOOKUP($B39,'A1.3.7'!$B$28:$H$118,3,)=""),"",VLOOKUP($B39,'A1.3.11'!$B$26:$AM$105,W$22,)*(VLOOKUP($B39,'A1.3.7'!$B$28:$O$118,3,)+VLOOKUP($B39,'A1.3.7'!$B$28:$O$118,8,))))</f>
        <v>1.5527536564781061E-3</v>
      </c>
      <c r="X39" s="693">
        <f>IF('A1.3.8'!D$30="","",IF(OR(VLOOKUP($B39,'A1.3.11'!$B$26:$AM$105,X$22,)="",VLOOKUP($B39,'A1.3.7'!$B$28:$H$118,4,)=""),"",VLOOKUP($B39,'A1.3.11'!$B$26:$AM$105,X$22,)*(VLOOKUP($B39,'A1.3.7'!$B$28:$O$118,4,)+VLOOKUP($B39,'A1.3.7'!$B$28:$O$118,9,))))</f>
        <v>40.881969125498166</v>
      </c>
      <c r="Y39" s="691">
        <f>IF('A1.3.8'!E$30="","",IF(OR(VLOOKUP($B39,'A1.3.11'!$B$26:$AM$105,Y$22,)="",VLOOKUP($B39,'A1.3.7'!$B$28:$H$118,4,)=""),"",VLOOKUP($B39,'A1.3.11'!$B$26:$AM$105,Y$22,)*(VLOOKUP($B39,'A1.3.7'!$B$28:$O$118,4,)+VLOOKUP($B39,'A1.3.7'!$B$28:$O$118,9,))))</f>
        <v>9.9917198618575913</v>
      </c>
      <c r="Z39" s="691">
        <f>IF('A1.3.8'!F$30="","",IF(OR(VLOOKUP($B39,'A1.3.11'!$B$26:$AM$105,Z$22,)="",VLOOKUP($B39,'A1.3.7'!$B$28:$H$118,4,)=""),"",VLOOKUP($B39,'A1.3.11'!$B$26:$AM$105,Z$22,)*(VLOOKUP($B39,'A1.3.7'!$B$28:$O$118,4,)+VLOOKUP($B39,'A1.3.7'!$B$28:$O$118,9,))))</f>
        <v>-0.14414871838851273</v>
      </c>
      <c r="AA39" s="2644">
        <f>IF('A1.3.8'!G$30="","",IF(OR(VLOOKUP($B39,'A1.3.11'!$B$26:$AM$105,AA$22,)="",VLOOKUP($B39,'A1.3.7'!$B$28:$H$118,4,)=""),"",VLOOKUP($B39,'A1.3.11'!$B$26:$AM$105,AA$22,)*(VLOOKUP($B39,'A1.3.7'!$B$28:$O$118,4,)+VLOOKUP($B39,'A1.3.7'!$B$28:$O$118,9,))))</f>
        <v>1.2203680759315287E-3</v>
      </c>
      <c r="AB39" s="693" t="str">
        <f>IF('A1.3.8'!D$37="","",IF(OR(VLOOKUP($B39,'A1.3.11'!$B$26:$AM$105,AB$22,)="",VLOOKUP($B39,'A1.3.7'!$B$28:$H$118,6,)=""),"",VLOOKUP($B39,'A1.3.11'!$B$26:$AM$105,AB$22,)*VLOOKUP($B39,'A1.3.7'!$B$28:$O$118,6,)))</f>
        <v/>
      </c>
      <c r="AC39" s="691">
        <f>IF('A1.3.8'!E$37="","",IF(OR(VLOOKUP($B39,'A1.3.11'!$B$26:$AM$105,AC$22,)="",VLOOKUP($B39,'A1.3.7'!$B$28:$H$118,6,)=""),"",VLOOKUP($B39,'A1.3.11'!$B$26:$AM$105,AC$22,)*VLOOKUP($B39,'A1.3.7'!$B$28:$O$118,6,)))</f>
        <v>4.7459359078933749</v>
      </c>
      <c r="AD39" s="691"/>
      <c r="AE39" s="1664" t="str">
        <f>IF('A1.3.8'!G$37="","",IF(OR(VLOOKUP($B39,'A1.3.11'!$B$26:$AM$105,AE$22,)="",VLOOKUP($B39,'A1.3.7'!$B$28:$H$118,6,)=""),"",VLOOKUP($B39,'A1.3.11'!$B$26:$AM$105,AE$22,)*VLOOKUP($B39,'A1.3.7'!$B$28:$O$118,6,)))</f>
        <v/>
      </c>
      <c r="AF39" s="693">
        <f>IF(AND(T39="",X39="",AB39=""),"",IF(T39="",0,(T39*VLOOKUP('A1.3.12'!$B39,'A1.3.9'!$B$26:$O$57,6,TRUE))) + IF(X39="",0,(X39*VLOOKUP('A1.3.12'!$B39,'A1.3.9'!$B$26:$O$57,7,TRUE))) + IF(AB39="",0,(AB39*VLOOKUP('A1.3.12'!$B39,'A1.3.9'!$B$26:$O$57,8,TRUE))))</f>
        <v>40.548666686503374</v>
      </c>
      <c r="AG39" s="691">
        <f>IF(AND(U39="",Y39="",AC39=""),"",IF(U39="",0,(U39*VLOOKUP('A1.3.12'!$B39,'A1.3.9'!$B$26:$O$57,6,TRUE))) + IF(Y39="",0,(Y39*VLOOKUP('A1.3.12'!$B39,'A1.3.9'!$B$26:$O$57,7,TRUE))) + IF(AC39="",0,(AC39*VLOOKUP('A1.3.12'!$B39,'A1.3.9'!$B$26:$O$57,8,TRUE))))</f>
        <v>10.03493280598917</v>
      </c>
      <c r="AH39" s="691">
        <f>IF(AND(V39="",Z39="",AD39=""),"",IF(V39="",0,(V39*VLOOKUP('A1.3.12'!$B39,'A1.3.9'!$B$26:$O$57,6,TRUE))) + IF(Z39="",0,(Z39*VLOOKUP('A1.3.12'!$B39,'A1.3.9'!$B$26:$O$57,7,TRUE))) + IF(AD39="",0,(AD39*VLOOKUP('A1.3.12'!$B39,'A1.3.9'!$B$26:$O$57,8,TRUE))))</f>
        <v>-0.14472703283948646</v>
      </c>
      <c r="AI39" s="2644">
        <f>IF(AND(W39="",AA39="",AE39=""),"",IF(W39="",0,(W39*VLOOKUP('A1.3.12'!$B39,'A1.3.9'!$B$26:$O$57,6,TRUE))) + IF(AA39="",0,(AA39*VLOOKUP('A1.3.12'!$B39,'A1.3.9'!$B$26:$O$57,7,TRUE))) + IF(AE39="",0,(AE39*VLOOKUP('A1.3.12'!$B39,'A1.3.9'!$B$26:$O$57,8,TRUE))))</f>
        <v>1.2193897953560143E-3</v>
      </c>
      <c r="AJ39" s="693">
        <f>IF('A1.3.8'!D$31="","",IF(OR(VLOOKUP($B39,'A1.3.11'!$B$26:$AM$105,AJ$22,)="",VLOOKUP($B39,'A1.3.7'!$B$28:$H$118,4,)=""),"",VLOOKUP($B39,'A1.3.11'!$B$26:$AM$105,AJ$22,)*(VLOOKUP($B39,'A1.3.7'!$B$28:$O$118,4,)+VLOOKUP($B39,'A1.3.7'!$B$28:$O$118,9,))))</f>
        <v>253.9747597227549</v>
      </c>
      <c r="AK39" s="691">
        <f>IF('A1.3.8'!E$31="","",IF(OR(VLOOKUP($B39,'A1.3.11'!$B$26:$AM$105,AK$22,)="",VLOOKUP($B39,'A1.3.7'!$B$28:$H$118,4,)=""),"",VLOOKUP($B39,'A1.3.11'!$B$26:$AM$105,AK$22,)*(VLOOKUP($B39,'A1.3.7'!$B$28:$O$118,4,)+VLOOKUP($B39,'A1.3.7'!$B$28:$O$118,9,))))</f>
        <v>13.475190962724492</v>
      </c>
      <c r="AL39" s="691">
        <f>IF('A1.3.8'!F$31="","",IF(OR(VLOOKUP($B39,'A1.3.11'!$B$26:$AM$105,AL$22,)="",VLOOKUP($B39,'A1.3.7'!$B$28:$H$118,4,)=""),"",VLOOKUP($B39,'A1.3.11'!$B$26:$AM$105,AL$22,)*(VLOOKUP($B39,'A1.3.7'!$B$28:$O$118,4,)+VLOOKUP($B39,'A1.3.7'!$B$28:$O$118,9,))))</f>
        <v>-9.7398765835999088E-2</v>
      </c>
      <c r="AM39" s="2644">
        <f>IF('A1.3.8'!G$31="","",IF(OR(VLOOKUP($B39,'A1.3.11'!$B$26:$AM$105,AM$22,)="",VLOOKUP($B39,'A1.3.7'!$B$28:$H$118,4,)=""),"",VLOOKUP($B39,'A1.3.11'!$B$26:$AM$105,AM$22,)*(VLOOKUP($B39,'A1.3.7'!$B$28:$O$118,4,)+VLOOKUP($B39,'A1.3.7'!$B$28:$O$118,9,))))</f>
        <v>1.0637507995928E-3</v>
      </c>
      <c r="AN39" s="693" t="str">
        <f>IF('A1.3.8'!D$38="","",IF(OR(VLOOKUP($B39,'A1.3.11'!$B$26:$AM$105,AN$22,)="",VLOOKUP($B39,'A1.3.7'!$B$28:$H$118,6,)=""),"",VLOOKUP($B39,'A1.3.11'!$B$26:$AM$105,AN$22,)*VLOOKUP($B39,'A1.3.7'!$B$28:$O$118,6,)))</f>
        <v/>
      </c>
      <c r="AO39" s="691" t="str">
        <f>IF('A1.3.8'!E$38="","",IF(OR(VLOOKUP($B39,'A1.3.11'!$B$26:$AM$105,AO$22,)="",VLOOKUP($B39,'A1.3.7'!$B$28:$H$118,6,)=""),"",VLOOKUP($B39,'A1.3.11'!$B$26:$AM$105,AO$22,)*VLOOKUP($B39,'A1.3.7'!$B$28:$O$118,6,)))</f>
        <v/>
      </c>
      <c r="AP39" s="691" t="str">
        <f>IF('A1.3.8'!F$38="","",IF(OR(VLOOKUP($B39,'A1.3.11'!$B$26:$AM$105,AP$22,)="",VLOOKUP($B39,'A1.3.7'!$B$28:$H$118,6,)=""),"",VLOOKUP($B39,'A1.3.11'!$B$26:$AM$105,AP$22,)*VLOOKUP($B39,'A1.3.7'!$B$28:$O$118,6,)))</f>
        <v/>
      </c>
      <c r="AQ39" s="1664" t="str">
        <f>IF('A1.3.8'!G$38="","",IF(OR(VLOOKUP($B39,'A1.3.11'!$B$26:$AM$105,AQ$22,)="",VLOOKUP($B39,'A1.3.7'!$B$28:$H$118,6,)=""),"",VLOOKUP($B39,'A1.3.11'!$B$26:$AM$105,AQ$22,)*VLOOKUP($B39,'A1.3.7'!$B$28:$O$118,6,)))</f>
        <v/>
      </c>
      <c r="AR39" s="693">
        <f>IF(AND(AJ39="",AN39=""),"",IF(AJ39="",0,(AJ39*VLOOKUP($B39,'A1.3.9'!$B$26:$O$57,9,TRUE))) + IF(AN39="",0,(AN39*VLOOKUP($B39,'A1.3.9'!$B$26:$O$57,10,TRUE))))</f>
        <v>253.9747597227549</v>
      </c>
      <c r="AS39" s="691">
        <f>IF(AND(AK39="",AO39=""),"",IF(AK39="",0,(AK39*VLOOKUP($B39,'A1.3.9'!$B$26:$O$57,9,TRUE))) + IF(AO39="",0,(AO39*VLOOKUP($B39,'A1.3.9'!$B$26:$O$57,10,TRUE))))</f>
        <v>13.475190962724492</v>
      </c>
      <c r="AT39" s="691">
        <f>IF(AND(AL39="",AP39=""),"",IF(AL39="",0,(AL39*VLOOKUP($B39,'A1.3.9'!$B$26:$O$57,9,TRUE))) + IF(AP39="",0,(AP39*VLOOKUP($B39,'A1.3.9'!$B$26:$O$57,10,TRUE))))</f>
        <v>-9.7398765835999088E-2</v>
      </c>
      <c r="AU39" s="2644">
        <f>IF(AND(AM39="",AQ39=""),"",IF(AM39="",0,(AM39*VLOOKUP($B39,'A1.3.9'!$B$26:$O$57,9,TRUE))) + IF(AQ39="",0,(AQ39*VLOOKUP($B39,'A1.3.9'!$B$26:$O$57,10,TRUE))))</f>
        <v>1.0637507995928E-3</v>
      </c>
      <c r="AV39" s="693">
        <f>IF('A1.3.8'!D$32="","",IF(OR(VLOOKUP($B39,'A1.3.11'!$B$26:$AM$105,AV$22,)="",VLOOKUP($B39,'A1.3.7'!$B$28:$H$118,4,)=""),"",VLOOKUP($B39,'A1.3.11'!$B$26:$AM$105,AV$22,)*(VLOOKUP($B39,'A1.3.7'!$B$28:$O$118,4,)+VLOOKUP($B39,'A1.3.7'!$B$28:$O$118,9,))))</f>
        <v>533.66715009220445</v>
      </c>
      <c r="AW39" s="691">
        <f>IF('A1.3.8'!E$32="","",IF(OR(VLOOKUP($B39,'A1.3.11'!$B$26:$AM$105,AW$22,)="",VLOOKUP($B39,'A1.3.7'!$B$28:$H$118,4,)=""),"",VLOOKUP($B39,'A1.3.11'!$B$26:$AM$105,AW$22,)*(VLOOKUP($B39,'A1.3.7'!$B$28:$O$118,4,)+VLOOKUP($B39,'A1.3.7'!$B$28:$O$118,9,))))</f>
        <v>27.714280709988262</v>
      </c>
      <c r="AX39" s="691">
        <f>IF('A1.3.8'!F$32="","",IF(OR(VLOOKUP($B39,'A1.3.11'!$B$26:$AM$105,AX$22,)="",VLOOKUP($B39,'A1.3.7'!$B$28:$H$118,4,)=""),"",VLOOKUP($B39,'A1.3.11'!$B$26:$AM$105,AX$22,)*(VLOOKUP($B39,'A1.3.7'!$B$28:$O$118,4,)+VLOOKUP($B39,'A1.3.7'!$B$28:$O$118,9,))))</f>
        <v>-0.18362168916949889</v>
      </c>
      <c r="AY39" s="2644">
        <f>IF('A1.3.8'!G$32="","",IF(OR(VLOOKUP($B39,'A1.3.11'!$B$26:$AM$105,AY$22,)="",VLOOKUP($B39,'A1.3.7'!$B$28:$H$118,4,)=""),"",VLOOKUP($B39,'A1.3.11'!$B$26:$AM$105,AY$22,)*(VLOOKUP($B39,'A1.3.7'!$B$28:$O$118,4,)+VLOOKUP($B39,'A1.3.7'!$B$28:$O$118,9,))))</f>
        <v>1.0944616232726181E-3</v>
      </c>
      <c r="AZ39" s="693" t="str">
        <f>IF('A1.3.8'!D$39="","",IF(OR(VLOOKUP($B39,'A1.3.11'!$B$26:$AM$105,AZ$22,)="",VLOOKUP($B39,'A1.3.7'!$B$28:$H$118,6,)=""),"",VLOOKUP($B39,'A1.3.11'!$B$26:$AM$105,AZ$22,)*VLOOKUP($B39,'A1.3.7'!$B$28:$O$118,6,)))</f>
        <v/>
      </c>
      <c r="BA39" s="691" t="str">
        <f>IF('A1.3.8'!E$39="","",IF(OR(VLOOKUP($B39,'A1.3.11'!$B$26:$AM$105,BA$22,)="",VLOOKUP($B39,'A1.3.7'!$B$28:$H$118,6,)=""),"",VLOOKUP($B39,'A1.3.11'!$B$26:$AM$105,BA$22,)*VLOOKUP($B39,'A1.3.7'!$B$28:$O$118,6,)))</f>
        <v/>
      </c>
      <c r="BB39" s="691" t="str">
        <f>IF('A1.3.8'!F$39="","",IF(OR(VLOOKUP($B39,'A1.3.11'!$B$26:$AM$105,BB$22,)="",VLOOKUP($B39,'A1.3.7'!$B$28:$H$118,6,)=""),"",VLOOKUP($B39,'A1.3.11'!$B$26:$AM$105,BB$22,)*VLOOKUP($B39,'A1.3.7'!$B$28:$O$118,6,)))</f>
        <v/>
      </c>
      <c r="BC39" s="1664" t="str">
        <f>IF('A1.3.8'!G$39="","",IF(OR(VLOOKUP($B39,'A1.3.11'!$B$26:$AM$105,BC$22,)="",VLOOKUP($B39,'A1.3.7'!$B$28:$H$118,6,)=""),"",VLOOKUP($B39,'A1.3.11'!$B$26:$AM$105,BC$22,)*VLOOKUP($B39,'A1.3.7'!$B$28:$O$118,6,)))</f>
        <v/>
      </c>
      <c r="BD39" s="693">
        <f>IF(AND(AV39="",AZ39=""),"",IF(AV39="",0,(AV39*VLOOKUP($B39,'A1.3.9'!$B$26:$O$57,9,TRUE))) + IF(AZ39="",0,(AZ39*VLOOKUP($B39,'A1.3.9'!$B$26:$O$57,10,TRUE))))</f>
        <v>533.66715009220445</v>
      </c>
      <c r="BE39" s="691">
        <f>IF(AND(AW39="",BA39=""),"",IF(AW39="",0,(AW39*VLOOKUP($B39,'A1.3.9'!$B$26:$O$57,9,TRUE))) + IF(BA39="",0,(BA39*VLOOKUP($B39,'A1.3.9'!$B$26:$O$57,10,TRUE))))</f>
        <v>27.714280709988262</v>
      </c>
      <c r="BF39" s="691">
        <f>IF(AND(AX39="",BB39=""),"",IF(AX39="",0,(AX39*VLOOKUP($B39,'A1.3.9'!$B$26:$O$57,9,TRUE))) + IF(BB39="",0,(BB39*VLOOKUP($B39,'A1.3.9'!$B$26:$O$57,10,TRUE))))</f>
        <v>-0.18362168916949889</v>
      </c>
      <c r="BG39" s="2644">
        <f>IF(AND(AY39="",BC39=""),"",IF(AY39="",0,(AY39*VLOOKUP($B39,'A1.3.9'!$B$26:$O$57,9,TRUE))) + IF(BC39="",0,(BC39*VLOOKUP($B39,'A1.3.9'!$B$26:$O$57,10,TRUE))))</f>
        <v>1.0944616232726181E-3</v>
      </c>
      <c r="BH39" s="693">
        <f>IF('A1.3.8'!D$33="","",IF(OR(VLOOKUP($B39,'A1.3.11'!$B$26:$AM$105,BH$22,)="",VLOOKUP($B39,'A1.3.7'!$B$28:$H$118,4,)=""),"",VLOOKUP($B39,'A1.3.11'!$B$26:$AM$105,BH$22,)*(VLOOKUP($B39,'A1.3.7'!$B$28:$O$118,4,)+VLOOKUP($B39,'A1.3.7'!$B$28:$O$118,9,))))</f>
        <v>316.51058085581138</v>
      </c>
      <c r="BI39" s="691">
        <f>IF('A1.3.8'!E$33="","",IF(OR(VLOOKUP($B39,'A1.3.11'!$B$26:$AM$105,BI$22,)="",VLOOKUP($B39,'A1.3.7'!$B$28:$H$118,4,)=""),"",VLOOKUP($B39,'A1.3.11'!$B$26:$AM$105,BI$22,)*(VLOOKUP($B39,'A1.3.7'!$B$28:$O$118,4,)+VLOOKUP($B39,'A1.3.7'!$B$28:$O$118,9,))))</f>
        <v>27.810819621210634</v>
      </c>
      <c r="BJ39" s="691">
        <f>IF('A1.3.8'!F$33="","",IF(OR(VLOOKUP($B39,'A1.3.11'!$B$26:$AM$105,BJ$22,)="",VLOOKUP($B39,'A1.3.7'!$B$28:$H$118,4,)=""),"",VLOOKUP($B39,'A1.3.11'!$B$26:$AM$105,BJ$22,)*(VLOOKUP($B39,'A1.3.7'!$B$28:$O$118,4,)+VLOOKUP($B39,'A1.3.7'!$B$28:$O$118,9,))))</f>
        <v>-0.30227882170312426</v>
      </c>
      <c r="BK39" s="2644">
        <f>IF('A1.3.8'!G$33="","",IF(OR(VLOOKUP($B39,'A1.3.11'!$B$26:$AM$105,BK$22,)="",VLOOKUP($B39,'A1.3.7'!$B$28:$H$118,4,)=""),"",VLOOKUP($B39,'A1.3.11'!$B$26:$AM$105,BK$22,)*(VLOOKUP($B39,'A1.3.7'!$B$28:$O$118,4,)+VLOOKUP($B39,'A1.3.7'!$B$28:$O$118,9,))))</f>
        <v>2.2173387137642666E-3</v>
      </c>
      <c r="BL39" s="693" t="str">
        <f>IF('A1.3.8'!D$40="","",IF(OR(VLOOKUP($B39,'A1.3.11'!$B$26:$AM$105,BL$22,)="",VLOOKUP($B39,'A1.3.7'!$B$28:$H$118,6,)=""),"",VLOOKUP($B39,'A1.3.11'!$B$26:$AM$105,BL$22,)*VLOOKUP($B39,'A1.3.7'!$B$28:$O$118,6,)))</f>
        <v/>
      </c>
      <c r="BM39" s="691" t="str">
        <f>IF('A1.3.8'!E$40="","",IF(OR(VLOOKUP($B39,'A1.3.11'!$B$26:$AM$105,BM$22,)="",VLOOKUP($B39,'A1.3.7'!$B$28:$H$118,6,)=""),"",VLOOKUP($B39,'A1.3.11'!$B$26:$AM$105,BM$22,)*VLOOKUP($B39,'A1.3.7'!$B$28:$O$118,6,)))</f>
        <v/>
      </c>
      <c r="BN39" s="691" t="str">
        <f>IF('A1.3.8'!F$40="","",IF(OR(VLOOKUP($B39,'A1.3.11'!$B$26:$AM$105,BN$22,)="",VLOOKUP($B39,'A1.3.7'!$B$28:$H$118,6,)=""),"",VLOOKUP($B39,'A1.3.11'!$B$26:$AM$105,BN$22,)*VLOOKUP($B39,'A1.3.7'!$B$28:$O$118,6,)))</f>
        <v/>
      </c>
      <c r="BO39" s="1664" t="str">
        <f>IF('A1.3.8'!G$40="","",IF(OR(VLOOKUP($B39,'A1.3.11'!$B$26:$AM$105,BO$22,)="",VLOOKUP($B39,'A1.3.7'!$B$28:$H$118,6,)=""),"",VLOOKUP($B39,'A1.3.11'!$B$26:$AM$105,BO$22,)*VLOOKUP($B39,'A1.3.7'!$B$28:$O$118,6,)))</f>
        <v/>
      </c>
      <c r="BP39" s="693">
        <f>IF(AND(BH39="",BL39=""),"",IF(BH39="",0,(BH39*VLOOKUP($B39,'A1.3.9'!$B$26:$O$57,9,TRUE))) + IF(BL39="",0,(BL39*VLOOKUP($B39,'A1.3.9'!$B$26:$O$57,10,TRUE))))</f>
        <v>316.51058085581138</v>
      </c>
      <c r="BQ39" s="691">
        <f>IF(AND(BI39="",BM39=""),"",IF(BI39="",0,(BI39*VLOOKUP($B39,'A1.3.9'!$B$26:$O$57,9,TRUE))) + IF(BM39="",0,(BM39*VLOOKUP($B39,'A1.3.9'!$B$26:$O$57,10,TRUE))))</f>
        <v>27.810819621210634</v>
      </c>
      <c r="BR39" s="691">
        <f>IF(AND(BJ39="",BN39=""),"",IF(BJ39="",0,(BJ39*VLOOKUP($B39,'A1.3.9'!$B$26:$O$57,9,TRUE))) + IF(BN39="",0,(BN39*VLOOKUP($B39,'A1.3.9'!$B$26:$O$57,10,TRUE))))</f>
        <v>-0.30227882170312426</v>
      </c>
      <c r="BS39" s="2644">
        <f>IF(AND(BK39="",BO39=""),"",IF(BK39="",0,(BK39*VLOOKUP($B39,'A1.3.9'!$B$26:$O$57,9,TRUE))) + IF(BO39="",0,(BO39*VLOOKUP($B39,'A1.3.9'!$B$26:$O$57,10,TRUE))))</f>
        <v>2.2173387137642666E-3</v>
      </c>
    </row>
    <row r="40" spans="1:71" ht="13.5" customHeight="1">
      <c r="A40" s="113"/>
      <c r="B40" s="614">
        <f t="shared" si="0"/>
        <v>2023</v>
      </c>
      <c r="C40" s="147"/>
      <c r="D40" s="693">
        <f>IF('A1.3.8'!D$27="","",IF(OR(VLOOKUP($B40,'A1.3.11'!$B$26:$AM$105,D$22,)="",VLOOKUP($B40,'A1.3.7'!$B$28:$H$118,3,)=""),"",VLOOKUP($B40,'A1.3.11'!$B$26:$AM$105,D$22,)*(VLOOKUP($B40,'A1.3.7'!$B$28:$O$118,3,)+VLOOKUP($B40,'A1.3.7'!$B$28:$O$118,8,))))</f>
        <v>34.422199476939447</v>
      </c>
      <c r="E40" s="691">
        <f>IF('A1.3.8'!E$27="","",IF(OR(VLOOKUP($B40,'A1.3.11'!$B$26:$AM$105,E$22,)="",VLOOKUP($B40,'A1.3.7'!$B$28:$H$118,3,)=""),"",VLOOKUP($B40,'A1.3.11'!$B$26:$AM$105,E$22,)*(VLOOKUP($B40,'A1.3.7'!$B$28:$O$118,3,)+VLOOKUP($B40,'A1.3.7'!$B$28:$O$118,8,))))</f>
        <v>7.3152757481877062</v>
      </c>
      <c r="F40" s="691">
        <f>IF('A1.3.8'!F$27="","",IF(OR(VLOOKUP($B40,'A1.3.11'!$B$26:$AM$105,F$22,)="",VLOOKUP($B40,'A1.3.7'!$B$28:$H$118,3,)=""),"",VLOOKUP($B40,'A1.3.11'!$B$26:$AM$105,F$22,)*(VLOOKUP($B40,'A1.3.7'!$B$28:$O$118,3,)+VLOOKUP($B40,'A1.3.7'!$B$28:$O$118,8,))))</f>
        <v>-8.332966585270668E-2</v>
      </c>
      <c r="G40" s="2644">
        <f>IF('A1.3.8'!G$27="","",IF(OR(VLOOKUP($B40,'A1.3.11'!$B$26:$AM$105,G$22,)="",VLOOKUP($B40,'A1.3.7'!$B$28:$H$118,3,)=""),"",VLOOKUP($B40,'A1.3.11'!$B$26:$AM$105,G$22,)*(VLOOKUP($B40,'A1.3.7'!$B$28:$O$118,3,)+VLOOKUP($B40,'A1.3.7'!$B$28:$O$118,8,))))</f>
        <v>5.5188567212455708E-4</v>
      </c>
      <c r="H40" s="693">
        <f>IF('A1.3.8'!D$28="","",IF(OR(VLOOKUP($B40,'A1.3.11'!$B$26:$AM$105,H$22,)="",VLOOKUP($B40,'A1.3.7'!$B$28:$H$118,4,)=""),"",VLOOKUP($B40,'A1.3.11'!$B$26:$AM$105,H$22,)*(VLOOKUP($B40,'A1.3.7'!$B$28:$O$118,4,)+VLOOKUP($B40,'A1.3.7'!$B$28:$O$118,9,))))</f>
        <v>40.250467531277877</v>
      </c>
      <c r="I40" s="691">
        <f>IF('A1.3.8'!E$28="","",IF(OR(VLOOKUP($B40,'A1.3.11'!$B$26:$AM$105,I$22,)="",VLOOKUP($B40,'A1.3.7'!$B$28:$H$118,4,)=""),"",VLOOKUP($B40,'A1.3.11'!$B$26:$AM$105,I$22,)*(VLOOKUP($B40,'A1.3.7'!$B$28:$O$118,4,)+VLOOKUP($B40,'A1.3.7'!$B$28:$O$118,9,))))</f>
        <v>5.7709216510548851</v>
      </c>
      <c r="J40" s="691">
        <f>IF('A1.3.8'!F$28="","",IF(OR(VLOOKUP($B40,'A1.3.11'!$B$26:$AM$105,J$22,)="",VLOOKUP($B40,'A1.3.7'!$B$28:$H$118,4,)=""),"",VLOOKUP($B40,'A1.3.11'!$B$26:$AM$105,J$22,)*(VLOOKUP($B40,'A1.3.7'!$B$28:$O$118,4,)+VLOOKUP($B40,'A1.3.7'!$B$28:$O$118,9,))))</f>
        <v>-5.5517873950389054E-2</v>
      </c>
      <c r="K40" s="2644">
        <f>IF('A1.3.8'!G$28="","",IF(OR(VLOOKUP($B40,'A1.3.11'!$B$26:$AM$105,K$22,)="",VLOOKUP($B40,'A1.3.7'!$B$28:$H$118,4,)=""),"",VLOOKUP($B40,'A1.3.11'!$B$26:$AM$105,K$22,)*(VLOOKUP($B40,'A1.3.7'!$B$28:$O$118,4,)+VLOOKUP($B40,'A1.3.7'!$B$28:$O$118,9,))))</f>
        <v>4.3748363210236504E-4</v>
      </c>
      <c r="L40" s="693" t="str">
        <f>IF('A1.3.8'!D$36="","",IF(OR(VLOOKUP($B40,'A1.3.11'!$B$26:$AM$105,L$22,)="",VLOOKUP($B40,'A1.3.7'!$B$28:$H$118,6,)=""),"",VLOOKUP($B40,'A1.3.11'!$B$26:$AM$105,L$22,)*VLOOKUP($B40,'A1.3.7'!$B$28:$O$118,6,)))</f>
        <v/>
      </c>
      <c r="M40" s="691">
        <f>IF('A1.3.8'!E$36="","",IF(OR(VLOOKUP($B40,'A1.3.11'!$B$26:$AM$105,M$22,)="",VLOOKUP($B40,'A1.3.7'!$B$28:$H$118,6,)=""),"",VLOOKUP($B40,'A1.3.11'!$B$26:$AM$105,M$22,)*VLOOKUP($B40,'A1.3.7'!$B$28:$O$118,6,)))</f>
        <v>2.2311134159603436</v>
      </c>
      <c r="N40" s="691"/>
      <c r="O40" s="1664"/>
      <c r="P40" s="693">
        <f>IF(AND(D40="",H40="",L40=""),"",IF(D40="",0,(D40*VLOOKUP($B40,'A1.3.9'!$B$26:$O$57,3,TRUE)))+IF(H40="",0,(H40*VLOOKUP($B40,'A1.3.9'!$B$26:$O$57,4,TRUE)))+IF(L40="",0,(L40*VLOOKUP($B40,'A1.3.9'!$B$26:$O$57,5,TRUE))))</f>
        <v>36.102265557002305</v>
      </c>
      <c r="Q40" s="691">
        <f>IF(AND(E40="",I40="",M40=""),"",IF(E40="",0,(E40*VLOOKUP($B40,'A1.3.9'!$B$26:$O$57,3,TRUE)))+IF(I40="",0,(I40*VLOOKUP($B40,'A1.3.9'!$B$26:$O$57,4,TRUE)))+IF(M40="",0,(M40*VLOOKUP($B40,'A1.3.9'!$B$26:$O$57,5,TRUE))))</f>
        <v>6.4249662114110464</v>
      </c>
      <c r="R40" s="691">
        <f>IF(AND(F40="",J40="",N40=""),"",IF(F40="",0,(F40*VLOOKUP($B40,'A1.3.9'!$B$26:$O$57,3,TRUE)))+IF(J40="",0,(J40*VLOOKUP($B40,'A1.3.9'!$B$26:$O$57,4,TRUE)))+IF(N40="",0,(N40*VLOOKUP($B40,'A1.3.9'!$B$26:$O$57,5,TRUE))))</f>
        <v>-6.7554233939645145E-2</v>
      </c>
      <c r="S40" s="2644">
        <f>IF(AND(G40="",K40="",O40=""),"",IF(G40="",0,(G40*VLOOKUP($B40,'A1.3.9'!$B$26:$O$57,3,TRUE)))+IF(K40="",0,(K40*VLOOKUP($B40,'A1.3.9'!$B$26:$O$57,4,TRUE)))+IF(O40="",0,(O40*VLOOKUP($B40,'A1.3.9'!$B$26:$O$57,5,TRUE))))</f>
        <v>4.8044168212886312E-4</v>
      </c>
      <c r="T40" s="693">
        <f>IF('A1.3.8'!D$29="","",IF(OR(VLOOKUP($B40,'A1.3.11'!$B$26:$AM$105,T$22,)="",VLOOKUP($B40,'A1.3.7'!$B$28:$H$118,3,)=""),"",VLOOKUP($B40,'A1.3.11'!$B$26:$AM$105,T$22,)*(VLOOKUP($B40,'A1.3.7'!$B$28:$O$118,3,)+VLOOKUP($B40,'A1.3.7'!$B$28:$O$118,8,))))</f>
        <v>26.979123654889737</v>
      </c>
      <c r="U40" s="691">
        <f>IF('A1.3.8'!E$29="","",IF(OR(VLOOKUP($B40,'A1.3.11'!$B$26:$AM$105,U$22,)="",VLOOKUP($B40,'A1.3.7'!$B$28:$H$118,3,)=""),"",VLOOKUP($B40,'A1.3.11'!$B$26:$AM$105,U$22,)*(VLOOKUP($B40,'A1.3.7'!$B$28:$O$118,3,)+VLOOKUP($B40,'A1.3.7'!$B$28:$O$118,8,))))</f>
        <v>15.128330820952849</v>
      </c>
      <c r="V40" s="691">
        <f>IF('A1.3.8'!F$29="","",IF(OR(VLOOKUP($B40,'A1.3.11'!$B$26:$AM$105,V$22,)="",VLOOKUP($B40,'A1.3.7'!$B$28:$H$118,3,)=""),"",VLOOKUP($B40,'A1.3.11'!$B$26:$AM$105,V$22,)*(VLOOKUP($B40,'A1.3.7'!$B$28:$O$118,3,)+VLOOKUP($B40,'A1.3.7'!$B$28:$O$118,8,))))</f>
        <v>-0.23746513673810959</v>
      </c>
      <c r="W40" s="2644">
        <f>IF('A1.3.8'!G$29="","",IF(OR(VLOOKUP($B40,'A1.3.11'!$B$26:$AM$105,W$22,)="",VLOOKUP($B40,'A1.3.7'!$B$28:$H$118,3,)=""),"",VLOOKUP($B40,'A1.3.11'!$B$26:$AM$105,W$22,)*(VLOOKUP($B40,'A1.3.7'!$B$28:$O$118,3,)+VLOOKUP($B40,'A1.3.7'!$B$28:$O$118,8,))))</f>
        <v>1.5335587276828037E-3</v>
      </c>
      <c r="X40" s="693">
        <f>IF('A1.3.8'!D$30="","",IF(OR(VLOOKUP($B40,'A1.3.11'!$B$26:$AM$105,X$22,)="",VLOOKUP($B40,'A1.3.7'!$B$28:$H$118,4,)=""),"",VLOOKUP($B40,'A1.3.11'!$B$26:$AM$105,X$22,)*(VLOOKUP($B40,'A1.3.7'!$B$28:$O$118,4,)+VLOOKUP($B40,'A1.3.7'!$B$28:$O$118,9,))))</f>
        <v>40.832165888944864</v>
      </c>
      <c r="Y40" s="691">
        <f>IF('A1.3.8'!E$30="","",IF(OR(VLOOKUP($B40,'A1.3.11'!$B$26:$AM$105,Y$22,)="",VLOOKUP($B40,'A1.3.7'!$B$28:$H$118,4,)=""),"",VLOOKUP($B40,'A1.3.11'!$B$26:$AM$105,Y$22,)*(VLOOKUP($B40,'A1.3.7'!$B$28:$O$118,4,)+VLOOKUP($B40,'A1.3.7'!$B$28:$O$118,9,))))</f>
        <v>9.9795477478792556</v>
      </c>
      <c r="Z40" s="691">
        <f>IF('A1.3.8'!F$30="","",IF(OR(VLOOKUP($B40,'A1.3.11'!$B$26:$AM$105,Z$22,)="",VLOOKUP($B40,'A1.3.7'!$B$28:$H$118,4,)=""),"",VLOOKUP($B40,'A1.3.11'!$B$26:$AM$105,Z$22,)*(VLOOKUP($B40,'A1.3.7'!$B$28:$O$118,4,)+VLOOKUP($B40,'A1.3.7'!$B$28:$O$118,9,))))</f>
        <v>-0.14397311352225203</v>
      </c>
      <c r="AA40" s="2644">
        <f>IF('A1.3.8'!G$30="","",IF(OR(VLOOKUP($B40,'A1.3.11'!$B$26:$AM$105,AA$22,)="",VLOOKUP($B40,'A1.3.7'!$B$28:$H$118,4,)=""),"",VLOOKUP($B40,'A1.3.11'!$B$26:$AM$105,AA$22,)*(VLOOKUP($B40,'A1.3.7'!$B$28:$O$118,4,)+VLOOKUP($B40,'A1.3.7'!$B$28:$O$118,9,))))</f>
        <v>1.218881399010925E-3</v>
      </c>
      <c r="AB40" s="693" t="str">
        <f>IF('A1.3.8'!D$37="","",IF(OR(VLOOKUP($B40,'A1.3.11'!$B$26:$AM$105,AB$22,)="",VLOOKUP($B40,'A1.3.7'!$B$28:$H$118,6,)=""),"",VLOOKUP($B40,'A1.3.11'!$B$26:$AM$105,AB$22,)*VLOOKUP($B40,'A1.3.7'!$B$28:$O$118,6,)))</f>
        <v/>
      </c>
      <c r="AC40" s="691">
        <f>IF('A1.3.8'!E$37="","",IF(OR(VLOOKUP($B40,'A1.3.11'!$B$26:$AM$105,AC$22,)="",VLOOKUP($B40,'A1.3.7'!$B$28:$H$118,6,)=""),"",VLOOKUP($B40,'A1.3.11'!$B$26:$AM$105,AC$22,)*VLOOKUP($B40,'A1.3.7'!$B$28:$O$118,6,)))</f>
        <v>4.6584339293017329</v>
      </c>
      <c r="AD40" s="691"/>
      <c r="AE40" s="1664" t="str">
        <f>IF('A1.3.8'!G$37="","",IF(OR(VLOOKUP($B40,'A1.3.11'!$B$26:$AM$105,AE$22,)="",VLOOKUP($B40,'A1.3.7'!$B$28:$H$118,6,)=""),"",VLOOKUP($B40,'A1.3.11'!$B$26:$AM$105,AE$22,)*VLOOKUP($B40,'A1.3.7'!$B$28:$O$118,6,)))</f>
        <v/>
      </c>
      <c r="AF40" s="693">
        <f>IF(AND(T40="",X40="",AB40=""),"",IF(T40="",0,(T40*VLOOKUP('A1.3.12'!$B40,'A1.3.9'!$B$26:$O$57,6,TRUE))) + IF(X40="",0,(X40*VLOOKUP('A1.3.12'!$B40,'A1.3.9'!$B$26:$O$57,7,TRUE))) + IF(AB40="",0,(AB40*VLOOKUP('A1.3.12'!$B40,'A1.3.9'!$B$26:$O$57,8,TRUE))))</f>
        <v>40.404636043171294</v>
      </c>
      <c r="AG40" s="691">
        <f>IF(AND(U40="",Y40="",AC40=""),"",IF(U40="",0,(U40*VLOOKUP('A1.3.12'!$B40,'A1.3.9'!$B$26:$O$57,6,TRUE))) + IF(Y40="",0,(Y40*VLOOKUP('A1.3.12'!$B40,'A1.3.9'!$B$26:$O$57,7,TRUE))) + IF(AC40="",0,(AC40*VLOOKUP('A1.3.12'!$B40,'A1.3.9'!$B$26:$O$57,8,TRUE))))</f>
        <v>10.005137737730259</v>
      </c>
      <c r="AH40" s="691">
        <f>IF(AND(V40="",Z40="",AD40=""),"",IF(V40="",0,(V40*VLOOKUP('A1.3.12'!$B40,'A1.3.9'!$B$26:$O$57,6,TRUE))) + IF(Z40="",0,(Z40*VLOOKUP('A1.3.12'!$B40,'A1.3.9'!$B$26:$O$57,7,TRUE))) + IF(AD40="",0,(AD40*VLOOKUP('A1.3.12'!$B40,'A1.3.9'!$B$26:$O$57,8,TRUE))))</f>
        <v>-0.14412981006849501</v>
      </c>
      <c r="AI40" s="2644">
        <f>IF(AND(W40="",AA40="",AE40=""),"",IF(W40="",0,(W40*VLOOKUP('A1.3.12'!$B40,'A1.3.9'!$B$26:$O$57,6,TRUE))) + IF(AA40="",0,(AA40*VLOOKUP('A1.3.12'!$B40,'A1.3.9'!$B$26:$O$57,7,TRUE))) + IF(AE40="",0,(AE40*VLOOKUP('A1.3.12'!$B40,'A1.3.9'!$B$26:$O$57,8,TRUE))))</f>
        <v>1.2146330907942177E-3</v>
      </c>
      <c r="AJ40" s="693">
        <f>IF('A1.3.8'!D$31="","",IF(OR(VLOOKUP($B40,'A1.3.11'!$B$26:$AM$105,AJ$22,)="",VLOOKUP($B40,'A1.3.7'!$B$28:$H$118,4,)=""),"",VLOOKUP($B40,'A1.3.11'!$B$26:$AM$105,AJ$22,)*(VLOOKUP($B40,'A1.3.7'!$B$28:$O$118,4,)+VLOOKUP($B40,'A1.3.7'!$B$28:$O$118,9,))))</f>
        <v>256.95687446377354</v>
      </c>
      <c r="AK40" s="691">
        <f>IF('A1.3.8'!E$31="","",IF(OR(VLOOKUP($B40,'A1.3.11'!$B$26:$AM$105,AK$22,)="",VLOOKUP($B40,'A1.3.7'!$B$28:$H$118,4,)=""),"",VLOOKUP($B40,'A1.3.11'!$B$26:$AM$105,AK$22,)*(VLOOKUP($B40,'A1.3.7'!$B$28:$O$118,4,)+VLOOKUP($B40,'A1.3.7'!$B$28:$O$118,9,))))</f>
        <v>13.633413636709294</v>
      </c>
      <c r="AL40" s="691">
        <f>IF('A1.3.8'!F$31="","",IF(OR(VLOOKUP($B40,'A1.3.11'!$B$26:$AM$105,AL$22,)="",VLOOKUP($B40,'A1.3.7'!$B$28:$H$118,4,)=""),"",VLOOKUP($B40,'A1.3.11'!$B$26:$AM$105,AL$22,)*(VLOOKUP($B40,'A1.3.7'!$B$28:$O$118,4,)+VLOOKUP($B40,'A1.3.7'!$B$28:$O$118,9,))))</f>
        <v>-9.8542400328157378E-2</v>
      </c>
      <c r="AM40" s="2644">
        <f>IF('A1.3.8'!G$31="","",IF(OR(VLOOKUP($B40,'A1.3.11'!$B$26:$AM$105,AM$22,)="",VLOOKUP($B40,'A1.3.7'!$B$28:$H$118,4,)=""),"",VLOOKUP($B40,'A1.3.11'!$B$26:$AM$105,AM$22,)*(VLOOKUP($B40,'A1.3.7'!$B$28:$O$118,4,)+VLOOKUP($B40,'A1.3.7'!$B$28:$O$118,9,))))</f>
        <v>1.0762411232127492E-3</v>
      </c>
      <c r="AN40" s="693" t="str">
        <f>IF('A1.3.8'!D$38="","",IF(OR(VLOOKUP($B40,'A1.3.11'!$B$26:$AM$105,AN$22,)="",VLOOKUP($B40,'A1.3.7'!$B$28:$H$118,6,)=""),"",VLOOKUP($B40,'A1.3.11'!$B$26:$AM$105,AN$22,)*VLOOKUP($B40,'A1.3.7'!$B$28:$O$118,6,)))</f>
        <v/>
      </c>
      <c r="AO40" s="691" t="str">
        <f>IF('A1.3.8'!E$38="","",IF(OR(VLOOKUP($B40,'A1.3.11'!$B$26:$AM$105,AO$22,)="",VLOOKUP($B40,'A1.3.7'!$B$28:$H$118,6,)=""),"",VLOOKUP($B40,'A1.3.11'!$B$26:$AM$105,AO$22,)*VLOOKUP($B40,'A1.3.7'!$B$28:$O$118,6,)))</f>
        <v/>
      </c>
      <c r="AP40" s="691" t="str">
        <f>IF('A1.3.8'!F$38="","",IF(OR(VLOOKUP($B40,'A1.3.11'!$B$26:$AM$105,AP$22,)="",VLOOKUP($B40,'A1.3.7'!$B$28:$H$118,6,)=""),"",VLOOKUP($B40,'A1.3.11'!$B$26:$AM$105,AP$22,)*VLOOKUP($B40,'A1.3.7'!$B$28:$O$118,6,)))</f>
        <v/>
      </c>
      <c r="AQ40" s="1664" t="str">
        <f>IF('A1.3.8'!G$38="","",IF(OR(VLOOKUP($B40,'A1.3.11'!$B$26:$AM$105,AQ$22,)="",VLOOKUP($B40,'A1.3.7'!$B$28:$H$118,6,)=""),"",VLOOKUP($B40,'A1.3.11'!$B$26:$AM$105,AQ$22,)*VLOOKUP($B40,'A1.3.7'!$B$28:$O$118,6,)))</f>
        <v/>
      </c>
      <c r="AR40" s="693">
        <f>IF(AND(AJ40="",AN40=""),"",IF(AJ40="",0,(AJ40*VLOOKUP($B40,'A1.3.9'!$B$26:$O$57,9,TRUE))) + IF(AN40="",0,(AN40*VLOOKUP($B40,'A1.3.9'!$B$26:$O$57,10,TRUE))))</f>
        <v>256.95687446377354</v>
      </c>
      <c r="AS40" s="691">
        <f>IF(AND(AK40="",AO40=""),"",IF(AK40="",0,(AK40*VLOOKUP($B40,'A1.3.9'!$B$26:$O$57,9,TRUE))) + IF(AO40="",0,(AO40*VLOOKUP($B40,'A1.3.9'!$B$26:$O$57,10,TRUE))))</f>
        <v>13.633413636709294</v>
      </c>
      <c r="AT40" s="691">
        <f>IF(AND(AL40="",AP40=""),"",IF(AL40="",0,(AL40*VLOOKUP($B40,'A1.3.9'!$B$26:$O$57,9,TRUE))) + IF(AP40="",0,(AP40*VLOOKUP($B40,'A1.3.9'!$B$26:$O$57,10,TRUE))))</f>
        <v>-9.8542400328157378E-2</v>
      </c>
      <c r="AU40" s="2644">
        <f>IF(AND(AM40="",AQ40=""),"",IF(AM40="",0,(AM40*VLOOKUP($B40,'A1.3.9'!$B$26:$O$57,9,TRUE))) + IF(AQ40="",0,(AQ40*VLOOKUP($B40,'A1.3.9'!$B$26:$O$57,10,TRUE))))</f>
        <v>1.0762411232127492E-3</v>
      </c>
      <c r="AV40" s="693">
        <f>IF('A1.3.8'!D$32="","",IF(OR(VLOOKUP($B40,'A1.3.11'!$B$26:$AM$105,AV$22,)="",VLOOKUP($B40,'A1.3.7'!$B$28:$H$118,4,)=""),"",VLOOKUP($B40,'A1.3.11'!$B$26:$AM$105,AV$22,)*(VLOOKUP($B40,'A1.3.7'!$B$28:$O$118,4,)+VLOOKUP($B40,'A1.3.7'!$B$28:$O$118,9,))))</f>
        <v>539.93335023281941</v>
      </c>
      <c r="AW40" s="691">
        <f>IF('A1.3.8'!E$32="","",IF(OR(VLOOKUP($B40,'A1.3.11'!$B$26:$AM$105,AW$22,)="",VLOOKUP($B40,'A1.3.7'!$B$28:$H$118,4,)=""),"",VLOOKUP($B40,'A1.3.11'!$B$26:$AM$105,AW$22,)*(VLOOKUP($B40,'A1.3.7'!$B$28:$O$118,4,)+VLOOKUP($B40,'A1.3.7'!$B$28:$O$118,9,))))</f>
        <v>28.03969558638072</v>
      </c>
      <c r="AX40" s="691">
        <f>IF('A1.3.8'!F$32="","",IF(OR(VLOOKUP($B40,'A1.3.11'!$B$26:$AM$105,AX$22,)="",VLOOKUP($B40,'A1.3.7'!$B$28:$H$118,4,)=""),"",VLOOKUP($B40,'A1.3.11'!$B$26:$AM$105,AX$22,)*(VLOOKUP($B40,'A1.3.7'!$B$28:$O$118,4,)+VLOOKUP($B40,'A1.3.7'!$B$28:$O$118,9,))))</f>
        <v>-0.18577773391442101</v>
      </c>
      <c r="AY40" s="2644">
        <f>IF('A1.3.8'!G$32="","",IF(OR(VLOOKUP($B40,'A1.3.11'!$B$26:$AM$105,AY$22,)="",VLOOKUP($B40,'A1.3.7'!$B$28:$H$118,4,)=""),"",VLOOKUP($B40,'A1.3.11'!$B$26:$AM$105,AY$22,)*(VLOOKUP($B40,'A1.3.7'!$B$28:$O$118,4,)+VLOOKUP($B40,'A1.3.7'!$B$28:$O$118,9,))))</f>
        <v>1.1073125465053178E-3</v>
      </c>
      <c r="AZ40" s="693" t="str">
        <f>IF('A1.3.8'!D$39="","",IF(OR(VLOOKUP($B40,'A1.3.11'!$B$26:$AM$105,AZ$22,)="",VLOOKUP($B40,'A1.3.7'!$B$28:$H$118,6,)=""),"",VLOOKUP($B40,'A1.3.11'!$B$26:$AM$105,AZ$22,)*VLOOKUP($B40,'A1.3.7'!$B$28:$O$118,6,)))</f>
        <v/>
      </c>
      <c r="BA40" s="691" t="str">
        <f>IF('A1.3.8'!E$39="","",IF(OR(VLOOKUP($B40,'A1.3.11'!$B$26:$AM$105,BA$22,)="",VLOOKUP($B40,'A1.3.7'!$B$28:$H$118,6,)=""),"",VLOOKUP($B40,'A1.3.11'!$B$26:$AM$105,BA$22,)*VLOOKUP($B40,'A1.3.7'!$B$28:$O$118,6,)))</f>
        <v/>
      </c>
      <c r="BB40" s="691" t="str">
        <f>IF('A1.3.8'!F$39="","",IF(OR(VLOOKUP($B40,'A1.3.11'!$B$26:$AM$105,BB$22,)="",VLOOKUP($B40,'A1.3.7'!$B$28:$H$118,6,)=""),"",VLOOKUP($B40,'A1.3.11'!$B$26:$AM$105,BB$22,)*VLOOKUP($B40,'A1.3.7'!$B$28:$O$118,6,)))</f>
        <v/>
      </c>
      <c r="BC40" s="1664" t="str">
        <f>IF('A1.3.8'!G$39="","",IF(OR(VLOOKUP($B40,'A1.3.11'!$B$26:$AM$105,BC$22,)="",VLOOKUP($B40,'A1.3.7'!$B$28:$H$118,6,)=""),"",VLOOKUP($B40,'A1.3.11'!$B$26:$AM$105,BC$22,)*VLOOKUP($B40,'A1.3.7'!$B$28:$O$118,6,)))</f>
        <v/>
      </c>
      <c r="BD40" s="693">
        <f>IF(AND(AV40="",AZ40=""),"",IF(AV40="",0,(AV40*VLOOKUP($B40,'A1.3.9'!$B$26:$O$57,9,TRUE))) + IF(AZ40="",0,(AZ40*VLOOKUP($B40,'A1.3.9'!$B$26:$O$57,10,TRUE))))</f>
        <v>539.93335023281941</v>
      </c>
      <c r="BE40" s="691">
        <f>IF(AND(AW40="",BA40=""),"",IF(AW40="",0,(AW40*VLOOKUP($B40,'A1.3.9'!$B$26:$O$57,9,TRUE))) + IF(BA40="",0,(BA40*VLOOKUP($B40,'A1.3.9'!$B$26:$O$57,10,TRUE))))</f>
        <v>28.03969558638072</v>
      </c>
      <c r="BF40" s="691">
        <f>IF(AND(AX40="",BB40=""),"",IF(AX40="",0,(AX40*VLOOKUP($B40,'A1.3.9'!$B$26:$O$57,9,TRUE))) + IF(BB40="",0,(BB40*VLOOKUP($B40,'A1.3.9'!$B$26:$O$57,10,TRUE))))</f>
        <v>-0.18577773391442101</v>
      </c>
      <c r="BG40" s="2644">
        <f>IF(AND(AY40="",BC40=""),"",IF(AY40="",0,(AY40*VLOOKUP($B40,'A1.3.9'!$B$26:$O$57,9,TRUE))) + IF(BC40="",0,(BC40*VLOOKUP($B40,'A1.3.9'!$B$26:$O$57,10,TRUE))))</f>
        <v>1.1073125465053178E-3</v>
      </c>
      <c r="BH40" s="693">
        <f>IF('A1.3.8'!D$33="","",IF(OR(VLOOKUP($B40,'A1.3.11'!$B$26:$AM$105,BH$22,)="",VLOOKUP($B40,'A1.3.7'!$B$28:$H$118,4,)=""),"",VLOOKUP($B40,'A1.3.11'!$B$26:$AM$105,BH$22,)*(VLOOKUP($B40,'A1.3.7'!$B$28:$O$118,4,)+VLOOKUP($B40,'A1.3.7'!$B$28:$O$118,9,))))</f>
        <v>320.22697720121528</v>
      </c>
      <c r="BI40" s="691">
        <f>IF('A1.3.8'!E$33="","",IF(OR(VLOOKUP($B40,'A1.3.11'!$B$26:$AM$105,BI$22,)="",VLOOKUP($B40,'A1.3.7'!$B$28:$H$118,4,)=""),"",VLOOKUP($B40,'A1.3.11'!$B$26:$AM$105,BI$22,)*(VLOOKUP($B40,'A1.3.7'!$B$28:$O$118,4,)+VLOOKUP($B40,'A1.3.7'!$B$28:$O$118,9,))))</f>
        <v>28.137368035874974</v>
      </c>
      <c r="BJ40" s="691">
        <f>IF('A1.3.8'!F$33="","",IF(OR(VLOOKUP($B40,'A1.3.11'!$B$26:$AM$105,BJ$22,)="",VLOOKUP($B40,'A1.3.7'!$B$28:$H$118,4,)=""),"",VLOOKUP($B40,'A1.3.11'!$B$26:$AM$105,BJ$22,)*(VLOOKUP($B40,'A1.3.7'!$B$28:$O$118,4,)+VLOOKUP($B40,'A1.3.7'!$B$28:$O$118,9,))))</f>
        <v>-0.30582811192032006</v>
      </c>
      <c r="BK40" s="2644">
        <f>IF('A1.3.8'!G$33="","",IF(OR(VLOOKUP($B40,'A1.3.11'!$B$26:$AM$105,BK$22,)="",VLOOKUP($B40,'A1.3.7'!$B$28:$H$118,4,)=""),"",VLOOKUP($B40,'A1.3.11'!$B$26:$AM$105,BK$22,)*(VLOOKUP($B40,'A1.3.7'!$B$28:$O$118,4,)+VLOOKUP($B40,'A1.3.7'!$B$28:$O$118,9,))))</f>
        <v>2.243374208280989E-3</v>
      </c>
      <c r="BL40" s="693" t="str">
        <f>IF('A1.3.8'!D$40="","",IF(OR(VLOOKUP($B40,'A1.3.11'!$B$26:$AM$105,BL$22,)="",VLOOKUP($B40,'A1.3.7'!$B$28:$H$118,6,)=""),"",VLOOKUP($B40,'A1.3.11'!$B$26:$AM$105,BL$22,)*VLOOKUP($B40,'A1.3.7'!$B$28:$O$118,6,)))</f>
        <v/>
      </c>
      <c r="BM40" s="691" t="str">
        <f>IF('A1.3.8'!E$40="","",IF(OR(VLOOKUP($B40,'A1.3.11'!$B$26:$AM$105,BM$22,)="",VLOOKUP($B40,'A1.3.7'!$B$28:$H$118,6,)=""),"",VLOOKUP($B40,'A1.3.11'!$B$26:$AM$105,BM$22,)*VLOOKUP($B40,'A1.3.7'!$B$28:$O$118,6,)))</f>
        <v/>
      </c>
      <c r="BN40" s="691" t="str">
        <f>IF('A1.3.8'!F$40="","",IF(OR(VLOOKUP($B40,'A1.3.11'!$B$26:$AM$105,BN$22,)="",VLOOKUP($B40,'A1.3.7'!$B$28:$H$118,6,)=""),"",VLOOKUP($B40,'A1.3.11'!$B$26:$AM$105,BN$22,)*VLOOKUP($B40,'A1.3.7'!$B$28:$O$118,6,)))</f>
        <v/>
      </c>
      <c r="BO40" s="1664" t="str">
        <f>IF('A1.3.8'!G$40="","",IF(OR(VLOOKUP($B40,'A1.3.11'!$B$26:$AM$105,BO$22,)="",VLOOKUP($B40,'A1.3.7'!$B$28:$H$118,6,)=""),"",VLOOKUP($B40,'A1.3.11'!$B$26:$AM$105,BO$22,)*VLOOKUP($B40,'A1.3.7'!$B$28:$O$118,6,)))</f>
        <v/>
      </c>
      <c r="BP40" s="693">
        <f>IF(AND(BH40="",BL40=""),"",IF(BH40="",0,(BH40*VLOOKUP($B40,'A1.3.9'!$B$26:$O$57,9,TRUE))) + IF(BL40="",0,(BL40*VLOOKUP($B40,'A1.3.9'!$B$26:$O$57,10,TRUE))))</f>
        <v>320.22697720121528</v>
      </c>
      <c r="BQ40" s="691">
        <f>IF(AND(BI40="",BM40=""),"",IF(BI40="",0,(BI40*VLOOKUP($B40,'A1.3.9'!$B$26:$O$57,9,TRUE))) + IF(BM40="",0,(BM40*VLOOKUP($B40,'A1.3.9'!$B$26:$O$57,10,TRUE))))</f>
        <v>28.137368035874974</v>
      </c>
      <c r="BR40" s="691">
        <f>IF(AND(BJ40="",BN40=""),"",IF(BJ40="",0,(BJ40*VLOOKUP($B40,'A1.3.9'!$B$26:$O$57,9,TRUE))) + IF(BN40="",0,(BN40*VLOOKUP($B40,'A1.3.9'!$B$26:$O$57,10,TRUE))))</f>
        <v>-0.30582811192032006</v>
      </c>
      <c r="BS40" s="2644">
        <f>IF(AND(BK40="",BO40=""),"",IF(BK40="",0,(BK40*VLOOKUP($B40,'A1.3.9'!$B$26:$O$57,9,TRUE))) + IF(BO40="",0,(BO40*VLOOKUP($B40,'A1.3.9'!$B$26:$O$57,10,TRUE))))</f>
        <v>2.243374208280989E-3</v>
      </c>
    </row>
    <row r="41" spans="1:71" ht="13.5" customHeight="1">
      <c r="A41" s="113"/>
      <c r="B41" s="614">
        <f t="shared" si="0"/>
        <v>2024</v>
      </c>
      <c r="C41" s="147"/>
      <c r="D41" s="693">
        <f>IF('A1.3.8'!D$27="","",IF(OR(VLOOKUP($B41,'A1.3.11'!$B$26:$AM$105,D$22,)="",VLOOKUP($B41,'A1.3.7'!$B$28:$H$118,3,)=""),"",VLOOKUP($B41,'A1.3.11'!$B$26:$AM$105,D$22,)*(VLOOKUP($B41,'A1.3.7'!$B$28:$O$118,3,)+VLOOKUP($B41,'A1.3.7'!$B$28:$O$118,8,))))</f>
        <v>33.9827062114272</v>
      </c>
      <c r="E41" s="691">
        <f>IF('A1.3.8'!E$27="","",IF(OR(VLOOKUP($B41,'A1.3.11'!$B$26:$AM$105,E$22,)="",VLOOKUP($B41,'A1.3.7'!$B$28:$H$118,3,)=""),"",VLOOKUP($B41,'A1.3.11'!$B$26:$AM$105,E$22,)*(VLOOKUP($B41,'A1.3.7'!$B$28:$O$118,3,)+VLOOKUP($B41,'A1.3.7'!$B$28:$O$118,8,))))</f>
        <v>7.2218763002864348</v>
      </c>
      <c r="F41" s="691">
        <f>IF('A1.3.8'!F$27="","",IF(OR(VLOOKUP($B41,'A1.3.11'!$B$26:$AM$105,F$22,)="",VLOOKUP($B41,'A1.3.7'!$B$28:$H$118,3,)=""),"",VLOOKUP($B41,'A1.3.11'!$B$26:$AM$105,F$22,)*(VLOOKUP($B41,'A1.3.7'!$B$28:$O$118,3,)+VLOOKUP($B41,'A1.3.7'!$B$28:$O$118,8,))))</f>
        <v>-8.2265735380042226E-2</v>
      </c>
      <c r="G41" s="2644">
        <f>IF('A1.3.8'!G$27="","",IF(OR(VLOOKUP($B41,'A1.3.11'!$B$26:$AM$105,G$22,)="",VLOOKUP($B41,'A1.3.7'!$B$28:$H$118,3,)=""),"",VLOOKUP($B41,'A1.3.11'!$B$26:$AM$105,G$22,)*(VLOOKUP($B41,'A1.3.7'!$B$28:$O$118,3,)+VLOOKUP($B41,'A1.3.7'!$B$28:$O$118,8,))))</f>
        <v>5.4483934620938904E-4</v>
      </c>
      <c r="H41" s="693">
        <f>IF('A1.3.8'!D$28="","",IF(OR(VLOOKUP($B41,'A1.3.11'!$B$26:$AM$105,H$22,)="",VLOOKUP($B41,'A1.3.7'!$B$28:$H$118,4,)=""),"",VLOOKUP($B41,'A1.3.11'!$B$26:$AM$105,H$22,)*(VLOOKUP($B41,'A1.3.7'!$B$28:$O$118,4,)+VLOOKUP($B41,'A1.3.7'!$B$28:$O$118,9,))))</f>
        <v>40.111795621955224</v>
      </c>
      <c r="I41" s="691">
        <f>IF('A1.3.8'!E$28="","",IF(OR(VLOOKUP($B41,'A1.3.11'!$B$26:$AM$105,I$22,)="",VLOOKUP($B41,'A1.3.7'!$B$28:$H$118,4,)=""),"",VLOOKUP($B41,'A1.3.11'!$B$26:$AM$105,I$22,)*(VLOOKUP($B41,'A1.3.7'!$B$28:$O$118,4,)+VLOOKUP($B41,'A1.3.7'!$B$28:$O$118,9,))))</f>
        <v>5.751039528610435</v>
      </c>
      <c r="J41" s="691">
        <f>IF('A1.3.8'!F$28="","",IF(OR(VLOOKUP($B41,'A1.3.11'!$B$26:$AM$105,J$22,)="",VLOOKUP($B41,'A1.3.7'!$B$28:$H$118,4,)=""),"",VLOOKUP($B41,'A1.3.11'!$B$26:$AM$105,J$22,)*(VLOOKUP($B41,'A1.3.7'!$B$28:$O$118,4,)+VLOOKUP($B41,'A1.3.7'!$B$28:$O$118,9,))))</f>
        <v>-5.5326602393698382E-2</v>
      </c>
      <c r="K41" s="2644">
        <f>IF('A1.3.8'!G$28="","",IF(OR(VLOOKUP($B41,'A1.3.11'!$B$26:$AM$105,K$22,)="",VLOOKUP($B41,'A1.3.7'!$B$28:$H$118,4,)=""),"",VLOOKUP($B41,'A1.3.11'!$B$26:$AM$105,K$22,)*(VLOOKUP($B41,'A1.3.7'!$B$28:$O$118,4,)+VLOOKUP($B41,'A1.3.7'!$B$28:$O$118,9,))))</f>
        <v>4.3597640263940535E-4</v>
      </c>
      <c r="L41" s="693" t="str">
        <f>IF('A1.3.8'!D$36="","",IF(OR(VLOOKUP($B41,'A1.3.11'!$B$26:$AM$105,L$22,)="",VLOOKUP($B41,'A1.3.7'!$B$28:$H$118,6,)=""),"",VLOOKUP($B41,'A1.3.11'!$B$26:$AM$105,L$22,)*VLOOKUP($B41,'A1.3.7'!$B$28:$O$118,6,)))</f>
        <v/>
      </c>
      <c r="M41" s="691">
        <f>IF('A1.3.8'!E$36="","",IF(OR(VLOOKUP($B41,'A1.3.11'!$B$26:$AM$105,M$22,)="",VLOOKUP($B41,'A1.3.7'!$B$28:$H$118,6,)=""),"",VLOOKUP($B41,'A1.3.11'!$B$26:$AM$105,M$22,)*VLOOKUP($B41,'A1.3.7'!$B$28:$O$118,6,)))</f>
        <v>2.2217834802029657</v>
      </c>
      <c r="N41" s="691"/>
      <c r="O41" s="1664"/>
      <c r="P41" s="693">
        <f>IF(AND(D41="",H41="",L41=""),"",IF(D41="",0,(D41*VLOOKUP($B41,'A1.3.9'!$B$26:$O$57,3,TRUE)))+IF(H41="",0,(H41*VLOOKUP($B41,'A1.3.9'!$B$26:$O$57,4,TRUE)))+IF(L41="",0,(L41*VLOOKUP($B41,'A1.3.9'!$B$26:$O$57,5,TRUE))))</f>
        <v>35.423913254702327</v>
      </c>
      <c r="Q41" s="691">
        <f>IF(AND(E41="",I41="",M41=""),"",IF(E41="",0,(E41*VLOOKUP($B41,'A1.3.9'!$B$26:$O$57,3,TRUE)))+IF(I41="",0,(I41*VLOOKUP($B41,'A1.3.9'!$B$26:$O$57,4,TRUE)))+IF(M41="",0,(M41*VLOOKUP($B41,'A1.3.9'!$B$26:$O$57,5,TRUE))))</f>
        <v>6.339533557839272</v>
      </c>
      <c r="R41" s="691">
        <f>IF(AND(F41="",J41="",N41=""),"",IF(F41="",0,(F41*VLOOKUP($B41,'A1.3.9'!$B$26:$O$57,3,TRUE)))+IF(J41="",0,(J41*VLOOKUP($B41,'A1.3.9'!$B$26:$O$57,4,TRUE)))+IF(N41="",0,(N41*VLOOKUP($B41,'A1.3.9'!$B$26:$O$57,5,TRUE))))</f>
        <v>-6.6484994264304903E-2</v>
      </c>
      <c r="S41" s="2644">
        <f>IF(AND(G41="",K41="",O41=""),"",IF(G41="",0,(G41*VLOOKUP($B41,'A1.3.9'!$B$26:$O$57,3,TRUE)))+IF(K41="",0,(K41*VLOOKUP($B41,'A1.3.9'!$B$26:$O$57,4,TRUE)))+IF(O41="",0,(O41*VLOOKUP($B41,'A1.3.9'!$B$26:$O$57,5,TRUE))))</f>
        <v>4.724063461851233E-4</v>
      </c>
      <c r="T41" s="693">
        <f>IF('A1.3.8'!D$29="","",IF(OR(VLOOKUP($B41,'A1.3.11'!$B$26:$AM$105,T$22,)="",VLOOKUP($B41,'A1.3.7'!$B$28:$H$118,3,)=""),"",VLOOKUP($B41,'A1.3.11'!$B$26:$AM$105,T$22,)*(VLOOKUP($B41,'A1.3.7'!$B$28:$O$118,3,)+VLOOKUP($B41,'A1.3.7'!$B$28:$O$118,8,))))</f>
        <v>26.652712629008551</v>
      </c>
      <c r="U41" s="691">
        <f>IF('A1.3.8'!E$29="","",IF(OR(VLOOKUP($B41,'A1.3.11'!$B$26:$AM$105,U$22,)="",VLOOKUP($B41,'A1.3.7'!$B$28:$H$118,3,)=""),"",VLOOKUP($B41,'A1.3.11'!$B$26:$AM$105,U$22,)*(VLOOKUP($B41,'A1.3.7'!$B$28:$O$118,3,)+VLOOKUP($B41,'A1.3.7'!$B$28:$O$118,8,))))</f>
        <v>14.945298412402316</v>
      </c>
      <c r="V41" s="691">
        <f>IF('A1.3.8'!F$29="","",IF(OR(VLOOKUP($B41,'A1.3.11'!$B$26:$AM$105,V$22,)="",VLOOKUP($B41,'A1.3.7'!$B$28:$H$118,3,)=""),"",VLOOKUP($B41,'A1.3.11'!$B$26:$AM$105,V$22,)*(VLOOKUP($B41,'A1.3.7'!$B$28:$O$118,3,)+VLOOKUP($B41,'A1.3.7'!$B$28:$O$118,8,))))</f>
        <v>-0.23459212870844909</v>
      </c>
      <c r="W41" s="2644">
        <f>IF('A1.3.8'!G$29="","",IF(OR(VLOOKUP($B41,'A1.3.11'!$B$26:$AM$105,W$22,)="",VLOOKUP($B41,'A1.3.7'!$B$28:$H$118,3,)=""),"",VLOOKUP($B41,'A1.3.11'!$B$26:$AM$105,W$22,)*(VLOOKUP($B41,'A1.3.7'!$B$28:$O$118,3,)+VLOOKUP($B41,'A1.3.7'!$B$28:$O$118,8,))))</f>
        <v>1.5150047344562202E-3</v>
      </c>
      <c r="X41" s="693">
        <f>IF('A1.3.8'!D$30="","",IF(OR(VLOOKUP($B41,'A1.3.11'!$B$26:$AM$105,X$22,)="",VLOOKUP($B41,'A1.3.7'!$B$28:$H$118,4,)=""),"",VLOOKUP($B41,'A1.3.11'!$B$26:$AM$105,X$22,)*(VLOOKUP($B41,'A1.3.7'!$B$28:$O$118,4,)+VLOOKUP($B41,'A1.3.7'!$B$28:$O$118,9,))))</f>
        <v>40.738518945933961</v>
      </c>
      <c r="Y41" s="691">
        <f>IF('A1.3.8'!E$30="","",IF(OR(VLOOKUP($B41,'A1.3.11'!$B$26:$AM$105,Y$22,)="",VLOOKUP($B41,'A1.3.7'!$B$28:$H$118,4,)=""),"",VLOOKUP($B41,'A1.3.11'!$B$26:$AM$105,Y$22,)*(VLOOKUP($B41,'A1.3.7'!$B$28:$O$118,4,)+VLOOKUP($B41,'A1.3.7'!$B$28:$O$118,9,))))</f>
        <v>9.9566600533650345</v>
      </c>
      <c r="Z41" s="691">
        <f>IF('A1.3.8'!F$30="","",IF(OR(VLOOKUP($B41,'A1.3.11'!$B$26:$AM$105,Z$22,)="",VLOOKUP($B41,'A1.3.7'!$B$28:$H$118,4,)=""),"",VLOOKUP($B41,'A1.3.11'!$B$26:$AM$105,Z$22,)*(VLOOKUP($B41,'A1.3.7'!$B$28:$O$118,4,)+VLOOKUP($B41,'A1.3.7'!$B$28:$O$118,9,))))</f>
        <v>-0.14364291693180445</v>
      </c>
      <c r="AA41" s="2644">
        <f>IF('A1.3.8'!G$30="","",IF(OR(VLOOKUP($B41,'A1.3.11'!$B$26:$AM$105,AA$22,)="",VLOOKUP($B41,'A1.3.7'!$B$28:$H$118,4,)=""),"",VLOOKUP($B41,'A1.3.11'!$B$26:$AM$105,AA$22,)*(VLOOKUP($B41,'A1.3.7'!$B$28:$O$118,4,)+VLOOKUP($B41,'A1.3.7'!$B$28:$O$118,9,))))</f>
        <v>1.216085943163183E-3</v>
      </c>
      <c r="AB41" s="693" t="str">
        <f>IF('A1.3.8'!D$37="","",IF(OR(VLOOKUP($B41,'A1.3.11'!$B$26:$AM$105,AB$22,)="",VLOOKUP($B41,'A1.3.7'!$B$28:$H$118,6,)=""),"",VLOOKUP($B41,'A1.3.11'!$B$26:$AM$105,AB$22,)*VLOOKUP($B41,'A1.3.7'!$B$28:$O$118,6,)))</f>
        <v/>
      </c>
      <c r="AC41" s="691">
        <f>IF('A1.3.8'!E$37="","",IF(OR(VLOOKUP($B41,'A1.3.11'!$B$26:$AM$105,AC$22,)="",VLOOKUP($B41,'A1.3.7'!$B$28:$H$118,6,)=""),"",VLOOKUP($B41,'A1.3.11'!$B$26:$AM$105,AC$22,)*VLOOKUP($B41,'A1.3.7'!$B$28:$O$118,6,)))</f>
        <v>4.5622700930946607</v>
      </c>
      <c r="AD41" s="691"/>
      <c r="AE41" s="1664" t="str">
        <f>IF('A1.3.8'!G$37="","",IF(OR(VLOOKUP($B41,'A1.3.11'!$B$26:$AM$105,AE$22,)="",VLOOKUP($B41,'A1.3.7'!$B$28:$H$118,6,)=""),"",VLOOKUP($B41,'A1.3.11'!$B$26:$AM$105,AE$22,)*VLOOKUP($B41,'A1.3.7'!$B$28:$O$118,6,)))</f>
        <v/>
      </c>
      <c r="AF41" s="693">
        <f>IF(AND(T41="",X41="",AB41=""),"",IF(T41="",0,(T41*VLOOKUP('A1.3.12'!$B41,'A1.3.9'!$B$26:$O$57,6,TRUE))) + IF(X41="",0,(X41*VLOOKUP('A1.3.12'!$B41,'A1.3.9'!$B$26:$O$57,7,TRUE))) + IF(AB41="",0,(AB41*VLOOKUP('A1.3.12'!$B41,'A1.3.9'!$B$26:$O$57,8,TRUE))))</f>
        <v>40.149037319085032</v>
      </c>
      <c r="AG41" s="691">
        <f>IF(AND(U41="",Y41="",AC41=""),"",IF(U41="",0,(U41*VLOOKUP('A1.3.12'!$B41,'A1.3.9'!$B$26:$O$57,6,TRUE))) + IF(Y41="",0,(Y41*VLOOKUP('A1.3.12'!$B41,'A1.3.9'!$B$26:$O$57,7,TRUE))) + IF(AC41="",0,(AC41*VLOOKUP('A1.3.12'!$B41,'A1.3.9'!$B$26:$O$57,8,TRUE))))</f>
        <v>9.9562706980201376</v>
      </c>
      <c r="AH41" s="691">
        <f>IF(AND(V41="",Z41="",AD41=""),"",IF(V41="",0,(V41*VLOOKUP('A1.3.12'!$B41,'A1.3.9'!$B$26:$O$57,6,TRUE))) + IF(Z41="",0,(Z41*VLOOKUP('A1.3.12'!$B41,'A1.3.9'!$B$26:$O$57,7,TRUE))) + IF(AD41="",0,(AD41*VLOOKUP('A1.3.12'!$B41,'A1.3.9'!$B$26:$O$57,8,TRUE))))</f>
        <v>-0.14315786318145632</v>
      </c>
      <c r="AI41" s="2644">
        <f>IF(AND(W41="",AA41="",AE41=""),"",IF(W41="",0,(W41*VLOOKUP('A1.3.12'!$B41,'A1.3.9'!$B$26:$O$57,6,TRUE))) + IF(AA41="",0,(AA41*VLOOKUP('A1.3.12'!$B41,'A1.3.9'!$B$26:$O$57,7,TRUE))) + IF(AE41="",0,(AE41*VLOOKUP('A1.3.12'!$B41,'A1.3.9'!$B$26:$O$57,8,TRUE))))</f>
        <v>1.2066414415123829E-3</v>
      </c>
      <c r="AJ41" s="693">
        <f>IF('A1.3.8'!D$31="","",IF(OR(VLOOKUP($B41,'A1.3.11'!$B$26:$AM$105,AJ$22,)="",VLOOKUP($B41,'A1.3.7'!$B$28:$H$118,4,)=""),"",VLOOKUP($B41,'A1.3.11'!$B$26:$AM$105,AJ$22,)*(VLOOKUP($B41,'A1.3.7'!$B$28:$O$118,4,)+VLOOKUP($B41,'A1.3.7'!$B$28:$O$118,9,))))</f>
        <v>259.27878987722926</v>
      </c>
      <c r="AK41" s="691">
        <f>IF('A1.3.8'!E$31="","",IF(OR(VLOOKUP($B41,'A1.3.11'!$B$26:$AM$105,AK$22,)="",VLOOKUP($B41,'A1.3.7'!$B$28:$H$118,4,)=""),"",VLOOKUP($B41,'A1.3.11'!$B$26:$AM$105,AK$22,)*(VLOOKUP($B41,'A1.3.7'!$B$28:$O$118,4,)+VLOOKUP($B41,'A1.3.7'!$B$28:$O$118,9,))))</f>
        <v>13.756607979445414</v>
      </c>
      <c r="AL41" s="691">
        <f>IF('A1.3.8'!F$31="","",IF(OR(VLOOKUP($B41,'A1.3.11'!$B$26:$AM$105,AL$22,)="",VLOOKUP($B41,'A1.3.7'!$B$28:$H$118,4,)=""),"",VLOOKUP($B41,'A1.3.11'!$B$26:$AM$105,AL$22,)*(VLOOKUP($B41,'A1.3.7'!$B$28:$O$118,4,)+VLOOKUP($B41,'A1.3.7'!$B$28:$O$118,9,))))</f>
        <v>-9.9432849819646382E-2</v>
      </c>
      <c r="AM41" s="2644">
        <f>IF('A1.3.8'!G$31="","",IF(OR(VLOOKUP($B41,'A1.3.11'!$B$26:$AM$105,AM$22,)="",VLOOKUP($B41,'A1.3.7'!$B$28:$H$118,4,)=""),"",VLOOKUP($B41,'A1.3.11'!$B$26:$AM$105,AM$22,)*(VLOOKUP($B41,'A1.3.7'!$B$28:$O$118,4,)+VLOOKUP($B41,'A1.3.7'!$B$28:$O$118,9,))))</f>
        <v>1.0859662603891623E-3</v>
      </c>
      <c r="AN41" s="693" t="str">
        <f>IF('A1.3.8'!D$38="","",IF(OR(VLOOKUP($B41,'A1.3.11'!$B$26:$AM$105,AN$22,)="",VLOOKUP($B41,'A1.3.7'!$B$28:$H$118,6,)=""),"",VLOOKUP($B41,'A1.3.11'!$B$26:$AM$105,AN$22,)*VLOOKUP($B41,'A1.3.7'!$B$28:$O$118,6,)))</f>
        <v/>
      </c>
      <c r="AO41" s="691" t="str">
        <f>IF('A1.3.8'!E$38="","",IF(OR(VLOOKUP($B41,'A1.3.11'!$B$26:$AM$105,AO$22,)="",VLOOKUP($B41,'A1.3.7'!$B$28:$H$118,6,)=""),"",VLOOKUP($B41,'A1.3.11'!$B$26:$AM$105,AO$22,)*VLOOKUP($B41,'A1.3.7'!$B$28:$O$118,6,)))</f>
        <v/>
      </c>
      <c r="AP41" s="691" t="str">
        <f>IF('A1.3.8'!F$38="","",IF(OR(VLOOKUP($B41,'A1.3.11'!$B$26:$AM$105,AP$22,)="",VLOOKUP($B41,'A1.3.7'!$B$28:$H$118,6,)=""),"",VLOOKUP($B41,'A1.3.11'!$B$26:$AM$105,AP$22,)*VLOOKUP($B41,'A1.3.7'!$B$28:$O$118,6,)))</f>
        <v/>
      </c>
      <c r="AQ41" s="1664" t="str">
        <f>IF('A1.3.8'!G$38="","",IF(OR(VLOOKUP($B41,'A1.3.11'!$B$26:$AM$105,AQ$22,)="",VLOOKUP($B41,'A1.3.7'!$B$28:$H$118,6,)=""),"",VLOOKUP($B41,'A1.3.11'!$B$26:$AM$105,AQ$22,)*VLOOKUP($B41,'A1.3.7'!$B$28:$O$118,6,)))</f>
        <v/>
      </c>
      <c r="AR41" s="693">
        <f>IF(AND(AJ41="",AN41=""),"",IF(AJ41="",0,(AJ41*VLOOKUP($B41,'A1.3.9'!$B$26:$O$57,9,TRUE))) + IF(AN41="",0,(AN41*VLOOKUP($B41,'A1.3.9'!$B$26:$O$57,10,TRUE))))</f>
        <v>259.27878987722926</v>
      </c>
      <c r="AS41" s="691">
        <f>IF(AND(AK41="",AO41=""),"",IF(AK41="",0,(AK41*VLOOKUP($B41,'A1.3.9'!$B$26:$O$57,9,TRUE))) + IF(AO41="",0,(AO41*VLOOKUP($B41,'A1.3.9'!$B$26:$O$57,10,TRUE))))</f>
        <v>13.756607979445414</v>
      </c>
      <c r="AT41" s="691">
        <f>IF(AND(AL41="",AP41=""),"",IF(AL41="",0,(AL41*VLOOKUP($B41,'A1.3.9'!$B$26:$O$57,9,TRUE))) + IF(AP41="",0,(AP41*VLOOKUP($B41,'A1.3.9'!$B$26:$O$57,10,TRUE))))</f>
        <v>-9.9432849819646382E-2</v>
      </c>
      <c r="AU41" s="2644">
        <f>IF(AND(AM41="",AQ41=""),"",IF(AM41="",0,(AM41*VLOOKUP($B41,'A1.3.9'!$B$26:$O$57,9,TRUE))) + IF(AQ41="",0,(AQ41*VLOOKUP($B41,'A1.3.9'!$B$26:$O$57,10,TRUE))))</f>
        <v>1.0859662603891623E-3</v>
      </c>
      <c r="AV41" s="693">
        <f>IF('A1.3.8'!D$32="","",IF(OR(VLOOKUP($B41,'A1.3.11'!$B$26:$AM$105,AV$22,)="",VLOOKUP($B41,'A1.3.7'!$B$28:$H$118,4,)=""),"",VLOOKUP($B41,'A1.3.11'!$B$26:$AM$105,AV$22,)*(VLOOKUP($B41,'A1.3.7'!$B$28:$O$118,4,)+VLOOKUP($B41,'A1.3.7'!$B$28:$O$118,9,))))</f>
        <v>544.81229955363665</v>
      </c>
      <c r="AW41" s="691">
        <f>IF('A1.3.8'!E$32="","",IF(OR(VLOOKUP($B41,'A1.3.11'!$B$26:$AM$105,AW$22,)="",VLOOKUP($B41,'A1.3.7'!$B$28:$H$118,4,)=""),"",VLOOKUP($B41,'A1.3.11'!$B$26:$AM$105,AW$22,)*(VLOOKUP($B41,'A1.3.7'!$B$28:$O$118,4,)+VLOOKUP($B41,'A1.3.7'!$B$28:$O$118,9,))))</f>
        <v>28.293068069629079</v>
      </c>
      <c r="AX41" s="691">
        <f>IF('A1.3.8'!F$32="","",IF(OR(VLOOKUP($B41,'A1.3.11'!$B$26:$AM$105,AX$22,)="",VLOOKUP($B41,'A1.3.7'!$B$28:$H$118,4,)=""),"",VLOOKUP($B41,'A1.3.11'!$B$26:$AM$105,AX$22,)*(VLOOKUP($B41,'A1.3.7'!$B$28:$O$118,4,)+VLOOKUP($B41,'A1.3.7'!$B$28:$O$118,9,))))</f>
        <v>-0.18745645990590479</v>
      </c>
      <c r="AY41" s="2644">
        <f>IF('A1.3.8'!G$32="","",IF(OR(VLOOKUP($B41,'A1.3.11'!$B$26:$AM$105,AY$22,)="",VLOOKUP($B41,'A1.3.7'!$B$28:$H$118,4,)=""),"",VLOOKUP($B41,'A1.3.11'!$B$26:$AM$105,AY$22,)*(VLOOKUP($B41,'A1.3.7'!$B$28:$O$118,4,)+VLOOKUP($B41,'A1.3.7'!$B$28:$O$118,9,))))</f>
        <v>1.1173184514829877E-3</v>
      </c>
      <c r="AZ41" s="693" t="str">
        <f>IF('A1.3.8'!D$39="","",IF(OR(VLOOKUP($B41,'A1.3.11'!$B$26:$AM$105,AZ$22,)="",VLOOKUP($B41,'A1.3.7'!$B$28:$H$118,6,)=""),"",VLOOKUP($B41,'A1.3.11'!$B$26:$AM$105,AZ$22,)*VLOOKUP($B41,'A1.3.7'!$B$28:$O$118,6,)))</f>
        <v/>
      </c>
      <c r="BA41" s="691" t="str">
        <f>IF('A1.3.8'!E$39="","",IF(OR(VLOOKUP($B41,'A1.3.11'!$B$26:$AM$105,BA$22,)="",VLOOKUP($B41,'A1.3.7'!$B$28:$H$118,6,)=""),"",VLOOKUP($B41,'A1.3.11'!$B$26:$AM$105,BA$22,)*VLOOKUP($B41,'A1.3.7'!$B$28:$O$118,6,)))</f>
        <v/>
      </c>
      <c r="BB41" s="691" t="str">
        <f>IF('A1.3.8'!F$39="","",IF(OR(VLOOKUP($B41,'A1.3.11'!$B$26:$AM$105,BB$22,)="",VLOOKUP($B41,'A1.3.7'!$B$28:$H$118,6,)=""),"",VLOOKUP($B41,'A1.3.11'!$B$26:$AM$105,BB$22,)*VLOOKUP($B41,'A1.3.7'!$B$28:$O$118,6,)))</f>
        <v/>
      </c>
      <c r="BC41" s="1664" t="str">
        <f>IF('A1.3.8'!G$39="","",IF(OR(VLOOKUP($B41,'A1.3.11'!$B$26:$AM$105,BC$22,)="",VLOOKUP($B41,'A1.3.7'!$B$28:$H$118,6,)=""),"",VLOOKUP($B41,'A1.3.11'!$B$26:$AM$105,BC$22,)*VLOOKUP($B41,'A1.3.7'!$B$28:$O$118,6,)))</f>
        <v/>
      </c>
      <c r="BD41" s="693">
        <f>IF(AND(AV41="",AZ41=""),"",IF(AV41="",0,(AV41*VLOOKUP($B41,'A1.3.9'!$B$26:$O$57,9,TRUE))) + IF(AZ41="",0,(AZ41*VLOOKUP($B41,'A1.3.9'!$B$26:$O$57,10,TRUE))))</f>
        <v>544.81229955363665</v>
      </c>
      <c r="BE41" s="691">
        <f>IF(AND(AW41="",BA41=""),"",IF(AW41="",0,(AW41*VLOOKUP($B41,'A1.3.9'!$B$26:$O$57,9,TRUE))) + IF(BA41="",0,(BA41*VLOOKUP($B41,'A1.3.9'!$B$26:$O$57,10,TRUE))))</f>
        <v>28.293068069629079</v>
      </c>
      <c r="BF41" s="691">
        <f>IF(AND(AX41="",BB41=""),"",IF(AX41="",0,(AX41*VLOOKUP($B41,'A1.3.9'!$B$26:$O$57,9,TRUE))) + IF(BB41="",0,(BB41*VLOOKUP($B41,'A1.3.9'!$B$26:$O$57,10,TRUE))))</f>
        <v>-0.18745645990590479</v>
      </c>
      <c r="BG41" s="2644">
        <f>IF(AND(AY41="",BC41=""),"",IF(AY41="",0,(AY41*VLOOKUP($B41,'A1.3.9'!$B$26:$O$57,9,TRUE))) + IF(BC41="",0,(BC41*VLOOKUP($B41,'A1.3.9'!$B$26:$O$57,10,TRUE))))</f>
        <v>1.1173184514829877E-3</v>
      </c>
      <c r="BH41" s="693">
        <f>IF('A1.3.8'!D$33="","",IF(OR(VLOOKUP($B41,'A1.3.11'!$B$26:$AM$105,BH$22,)="",VLOOKUP($B41,'A1.3.7'!$B$28:$H$118,4,)=""),"",VLOOKUP($B41,'A1.3.11'!$B$26:$AM$105,BH$22,)*(VLOOKUP($B41,'A1.3.7'!$B$28:$O$118,4,)+VLOOKUP($B41,'A1.3.7'!$B$28:$O$118,9,))))</f>
        <v>323.12061433670533</v>
      </c>
      <c r="BI41" s="691">
        <f>IF('A1.3.8'!E$33="","",IF(OR(VLOOKUP($B41,'A1.3.11'!$B$26:$AM$105,BI$22,)="",VLOOKUP($B41,'A1.3.7'!$B$28:$H$118,4,)=""),"",VLOOKUP($B41,'A1.3.11'!$B$26:$AM$105,BI$22,)*(VLOOKUP($B41,'A1.3.7'!$B$28:$O$118,4,)+VLOOKUP($B41,'A1.3.7'!$B$28:$O$118,9,))))</f>
        <v>28.391623107559326</v>
      </c>
      <c r="BJ41" s="691">
        <f>IF('A1.3.8'!F$33="","",IF(OR(VLOOKUP($B41,'A1.3.11'!$B$26:$AM$105,BJ$22,)="",VLOOKUP($B41,'A1.3.7'!$B$28:$H$118,4,)=""),"",VLOOKUP($B41,'A1.3.11'!$B$26:$AM$105,BJ$22,)*(VLOOKUP($B41,'A1.3.7'!$B$28:$O$118,4,)+VLOOKUP($B41,'A1.3.7'!$B$28:$O$118,9,))))</f>
        <v>-0.30859163793384947</v>
      </c>
      <c r="BK41" s="2644">
        <f>IF('A1.3.8'!G$33="","",IF(OR(VLOOKUP($B41,'A1.3.11'!$B$26:$AM$105,BK$22,)="",VLOOKUP($B41,'A1.3.7'!$B$28:$H$118,4,)=""),"",VLOOKUP($B41,'A1.3.11'!$B$26:$AM$105,BK$22,)*(VLOOKUP($B41,'A1.3.7'!$B$28:$O$118,4,)+VLOOKUP($B41,'A1.3.7'!$B$28:$O$118,9,))))</f>
        <v>2.2636458011824311E-3</v>
      </c>
      <c r="BL41" s="693" t="str">
        <f>IF('A1.3.8'!D$40="","",IF(OR(VLOOKUP($B41,'A1.3.11'!$B$26:$AM$105,BL$22,)="",VLOOKUP($B41,'A1.3.7'!$B$28:$H$118,6,)=""),"",VLOOKUP($B41,'A1.3.11'!$B$26:$AM$105,BL$22,)*VLOOKUP($B41,'A1.3.7'!$B$28:$O$118,6,)))</f>
        <v/>
      </c>
      <c r="BM41" s="691" t="str">
        <f>IF('A1.3.8'!E$40="","",IF(OR(VLOOKUP($B41,'A1.3.11'!$B$26:$AM$105,BM$22,)="",VLOOKUP($B41,'A1.3.7'!$B$28:$H$118,6,)=""),"",VLOOKUP($B41,'A1.3.11'!$B$26:$AM$105,BM$22,)*VLOOKUP($B41,'A1.3.7'!$B$28:$O$118,6,)))</f>
        <v/>
      </c>
      <c r="BN41" s="691" t="str">
        <f>IF('A1.3.8'!F$40="","",IF(OR(VLOOKUP($B41,'A1.3.11'!$B$26:$AM$105,BN$22,)="",VLOOKUP($B41,'A1.3.7'!$B$28:$H$118,6,)=""),"",VLOOKUP($B41,'A1.3.11'!$B$26:$AM$105,BN$22,)*VLOOKUP($B41,'A1.3.7'!$B$28:$O$118,6,)))</f>
        <v/>
      </c>
      <c r="BO41" s="1664" t="str">
        <f>IF('A1.3.8'!G$40="","",IF(OR(VLOOKUP($B41,'A1.3.11'!$B$26:$AM$105,BO$22,)="",VLOOKUP($B41,'A1.3.7'!$B$28:$H$118,6,)=""),"",VLOOKUP($B41,'A1.3.11'!$B$26:$AM$105,BO$22,)*VLOOKUP($B41,'A1.3.7'!$B$28:$O$118,6,)))</f>
        <v/>
      </c>
      <c r="BP41" s="693">
        <f>IF(AND(BH41="",BL41=""),"",IF(BH41="",0,(BH41*VLOOKUP($B41,'A1.3.9'!$B$26:$O$57,9,TRUE))) + IF(BL41="",0,(BL41*VLOOKUP($B41,'A1.3.9'!$B$26:$O$57,10,TRUE))))</f>
        <v>323.12061433670533</v>
      </c>
      <c r="BQ41" s="691">
        <f>IF(AND(BI41="",BM41=""),"",IF(BI41="",0,(BI41*VLOOKUP($B41,'A1.3.9'!$B$26:$O$57,9,TRUE))) + IF(BM41="",0,(BM41*VLOOKUP($B41,'A1.3.9'!$B$26:$O$57,10,TRUE))))</f>
        <v>28.391623107559326</v>
      </c>
      <c r="BR41" s="691">
        <f>IF(AND(BJ41="",BN41=""),"",IF(BJ41="",0,(BJ41*VLOOKUP($B41,'A1.3.9'!$B$26:$O$57,9,TRUE))) + IF(BN41="",0,(BN41*VLOOKUP($B41,'A1.3.9'!$B$26:$O$57,10,TRUE))))</f>
        <v>-0.30859163793384947</v>
      </c>
      <c r="BS41" s="2644">
        <f>IF(AND(BK41="",BO41=""),"",IF(BK41="",0,(BK41*VLOOKUP($B41,'A1.3.9'!$B$26:$O$57,9,TRUE))) + IF(BO41="",0,(BO41*VLOOKUP($B41,'A1.3.9'!$B$26:$O$57,10,TRUE))))</f>
        <v>2.2636458011824311E-3</v>
      </c>
    </row>
    <row r="42" spans="1:71" ht="13.5" customHeight="1">
      <c r="A42" s="113"/>
      <c r="B42" s="614">
        <f t="shared" si="0"/>
        <v>2025</v>
      </c>
      <c r="C42" s="147"/>
      <c r="D42" s="693">
        <f>IF('A1.3.8'!D$27="","",IF(OR(VLOOKUP($B42,'A1.3.11'!$B$26:$AM$105,D$22,)="",VLOOKUP($B42,'A1.3.7'!$B$28:$H$118,3,)=""),"",VLOOKUP($B42,'A1.3.11'!$B$26:$AM$105,D$22,)*(VLOOKUP($B42,'A1.3.7'!$B$28:$O$118,3,)+VLOOKUP($B42,'A1.3.7'!$B$28:$O$118,8,))))</f>
        <v>33.513150351236938</v>
      </c>
      <c r="E42" s="691">
        <f>IF('A1.3.8'!E$27="","",IF(OR(VLOOKUP($B42,'A1.3.11'!$B$26:$AM$105,E$22,)="",VLOOKUP($B42,'A1.3.7'!$B$28:$H$118,3,)=""),"",VLOOKUP($B42,'A1.3.11'!$B$26:$AM$105,E$22,)*(VLOOKUP($B42,'A1.3.7'!$B$28:$O$118,3,)+VLOOKUP($B42,'A1.3.7'!$B$28:$O$118,8,))))</f>
        <v>7.1220880633734964</v>
      </c>
      <c r="F42" s="691">
        <f>IF('A1.3.8'!F$27="","",IF(OR(VLOOKUP($B42,'A1.3.11'!$B$26:$AM$105,F$22,)="",VLOOKUP($B42,'A1.3.7'!$B$28:$H$118,3,)=""),"",VLOOKUP($B42,'A1.3.11'!$B$26:$AM$105,F$22,)*(VLOOKUP($B42,'A1.3.7'!$B$28:$O$118,3,)+VLOOKUP($B42,'A1.3.7'!$B$28:$O$118,8,))))</f>
        <v>-8.11290290241614E-2</v>
      </c>
      <c r="G42" s="2644">
        <f>IF('A1.3.8'!G$27="","",IF(OR(VLOOKUP($B42,'A1.3.11'!$B$26:$AM$105,G$22,)="",VLOOKUP($B42,'A1.3.7'!$B$28:$H$118,3,)=""),"",VLOOKUP($B42,'A1.3.11'!$B$26:$AM$105,G$22,)*(VLOOKUP($B42,'A1.3.7'!$B$28:$O$118,3,)+VLOOKUP($B42,'A1.3.7'!$B$28:$O$118,8,))))</f>
        <v>5.3731103147532523E-4</v>
      </c>
      <c r="H42" s="693">
        <f>IF('A1.3.8'!D$28="","",IF(OR(VLOOKUP($B42,'A1.3.11'!$B$26:$AM$105,H$22,)="",VLOOKUP($B42,'A1.3.7'!$B$28:$H$118,4,)=""),"",VLOOKUP($B42,'A1.3.11'!$B$26:$AM$105,H$22,)*(VLOOKUP($B42,'A1.3.7'!$B$28:$O$118,4,)+VLOOKUP($B42,'A1.3.7'!$B$28:$O$118,9,))))</f>
        <v>39.891659899234618</v>
      </c>
      <c r="I42" s="691">
        <f>IF('A1.3.8'!E$28="","",IF(OR(VLOOKUP($B42,'A1.3.11'!$B$26:$AM$105,I$22,)="",VLOOKUP($B42,'A1.3.7'!$B$28:$H$118,4,)=""),"",VLOOKUP($B42,'A1.3.11'!$B$26:$AM$105,I$22,)*(VLOOKUP($B42,'A1.3.7'!$B$28:$O$118,4,)+VLOOKUP($B42,'A1.3.7'!$B$28:$O$118,9,))))</f>
        <v>5.719477509922533</v>
      </c>
      <c r="J42" s="691">
        <f>IF('A1.3.8'!F$28="","",IF(OR(VLOOKUP($B42,'A1.3.11'!$B$26:$AM$105,J$22,)="",VLOOKUP($B42,'A1.3.7'!$B$28:$H$118,4,)=""),"",VLOOKUP($B42,'A1.3.11'!$B$26:$AM$105,J$22,)*(VLOOKUP($B42,'A1.3.7'!$B$28:$O$118,4,)+VLOOKUP($B42,'A1.3.7'!$B$28:$O$118,9,))))</f>
        <v>-5.5022966981352346E-2</v>
      </c>
      <c r="K42" s="2644">
        <f>IF('A1.3.8'!G$28="","",IF(OR(VLOOKUP($B42,'A1.3.11'!$B$26:$AM$105,K$22,)="",VLOOKUP($B42,'A1.3.7'!$B$28:$H$118,4,)=""),"",VLOOKUP($B42,'A1.3.11'!$B$26:$AM$105,K$22,)*(VLOOKUP($B42,'A1.3.7'!$B$28:$O$118,4,)+VLOOKUP($B42,'A1.3.7'!$B$28:$O$118,9,))))</f>
        <v>4.3358374035650264E-4</v>
      </c>
      <c r="L42" s="693" t="str">
        <f>IF('A1.3.8'!D$36="","",IF(OR(VLOOKUP($B42,'A1.3.11'!$B$26:$AM$105,L$22,)="",VLOOKUP($B42,'A1.3.7'!$B$28:$H$118,6,)=""),"",VLOOKUP($B42,'A1.3.11'!$B$26:$AM$105,L$22,)*VLOOKUP($B42,'A1.3.7'!$B$28:$O$118,6,)))</f>
        <v/>
      </c>
      <c r="M42" s="691">
        <f>IF('A1.3.8'!E$36="","",IF(OR(VLOOKUP($B42,'A1.3.11'!$B$26:$AM$105,M$22,)="",VLOOKUP($B42,'A1.3.7'!$B$28:$H$118,6,)=""),"",VLOOKUP($B42,'A1.3.11'!$B$26:$AM$105,M$22,)*VLOOKUP($B42,'A1.3.7'!$B$28:$O$118,6,)))</f>
        <v>2.2351828868923405</v>
      </c>
      <c r="N42" s="691"/>
      <c r="O42" s="1664"/>
      <c r="P42" s="693">
        <f>IF(AND(D42="",H42="",L42=""),"",IF(D42="",0,(D42*VLOOKUP($B42,'A1.3.9'!$B$26:$O$57,3,TRUE)))+IF(H42="",0,(H42*VLOOKUP($B42,'A1.3.9'!$B$26:$O$57,4,TRUE)))+IF(L42="",0,(L42*VLOOKUP($B42,'A1.3.9'!$B$26:$O$57,5,TRUE))))</f>
        <v>34.596513908405726</v>
      </c>
      <c r="Q42" s="691">
        <f>IF(AND(E42="",I42="",M42=""),"",IF(E42="",0,(E42*VLOOKUP($B42,'A1.3.9'!$B$26:$O$57,3,TRUE)))+IF(I42="",0,(I42*VLOOKUP($B42,'A1.3.9'!$B$26:$O$57,4,TRUE)))+IF(M42="",0,(M42*VLOOKUP($B42,'A1.3.9'!$B$26:$O$57,5,TRUE))))</f>
        <v>6.2363111104704805</v>
      </c>
      <c r="R42" s="691">
        <f>IF(AND(F42="",J42="",N42=""),"",IF(F42="",0,(F42*VLOOKUP($B42,'A1.3.9'!$B$26:$O$57,3,TRUE)))+IF(J42="",0,(J42*VLOOKUP($B42,'A1.3.9'!$B$26:$O$57,4,TRUE)))+IF(N42="",0,(N42*VLOOKUP($B42,'A1.3.9'!$B$26:$O$57,5,TRUE))))</f>
        <v>-6.5161795177394344E-2</v>
      </c>
      <c r="S42" s="2644">
        <f>IF(AND(G42="",K42="",O42=""),"",IF(G42="",0,(G42*VLOOKUP($B42,'A1.3.9'!$B$26:$O$57,3,TRUE)))+IF(K42="",0,(K42*VLOOKUP($B42,'A1.3.9'!$B$26:$O$57,4,TRUE)))+IF(O42="",0,(O42*VLOOKUP($B42,'A1.3.9'!$B$26:$O$57,5,TRUE))))</f>
        <v>4.6251115628548784E-4</v>
      </c>
      <c r="T42" s="693">
        <f>IF('A1.3.8'!D$29="","",IF(OR(VLOOKUP($B42,'A1.3.11'!$B$26:$AM$105,T$22,)="",VLOOKUP($B42,'A1.3.7'!$B$28:$H$118,3,)=""),"",VLOOKUP($B42,'A1.3.11'!$B$26:$AM$105,T$22,)*(VLOOKUP($B42,'A1.3.7'!$B$28:$O$118,3,)+VLOOKUP($B42,'A1.3.7'!$B$28:$O$118,8,))))</f>
        <v>26.343385272780367</v>
      </c>
      <c r="U42" s="691">
        <f>IF('A1.3.8'!E$29="","",IF(OR(VLOOKUP($B42,'A1.3.11'!$B$26:$AM$105,U$22,)="",VLOOKUP($B42,'A1.3.7'!$B$28:$H$118,3,)=""),"",VLOOKUP($B42,'A1.3.11'!$B$26:$AM$105,U$22,)*(VLOOKUP($B42,'A1.3.7'!$B$28:$O$118,3,)+VLOOKUP($B42,'A1.3.7'!$B$28:$O$118,8,))))</f>
        <v>14.771845536880816</v>
      </c>
      <c r="V42" s="691">
        <f>IF('A1.3.8'!F$29="","",IF(OR(VLOOKUP($B42,'A1.3.11'!$B$26:$AM$105,V$22,)="",VLOOKUP($B42,'A1.3.7'!$B$28:$H$118,3,)=""),"",VLOOKUP($B42,'A1.3.11'!$B$26:$AM$105,V$22,)*(VLOOKUP($B42,'A1.3.7'!$B$28:$O$118,3,)+VLOOKUP($B42,'A1.3.7'!$B$28:$O$118,8,))))</f>
        <v>-0.23186948790353731</v>
      </c>
      <c r="W42" s="2644">
        <f>IF('A1.3.8'!G$29="","",IF(OR(VLOOKUP($B42,'A1.3.11'!$B$26:$AM$105,W$22,)="",VLOOKUP($B42,'A1.3.7'!$B$28:$H$118,3,)=""),"",VLOOKUP($B42,'A1.3.11'!$B$26:$AM$105,W$22,)*(VLOOKUP($B42,'A1.3.7'!$B$28:$O$118,3,)+VLOOKUP($B42,'A1.3.7'!$B$28:$O$118,8,))))</f>
        <v>1.4974218183866389E-3</v>
      </c>
      <c r="X42" s="693">
        <f>IF('A1.3.8'!D$30="","",IF(OR(VLOOKUP($B42,'A1.3.11'!$B$26:$AM$105,X$22,)="",VLOOKUP($B42,'A1.3.7'!$B$28:$H$118,4,)=""),"",VLOOKUP($B42,'A1.3.11'!$B$26:$AM$105,X$22,)*(VLOOKUP($B42,'A1.3.7'!$B$28:$O$118,4,)+VLOOKUP($B42,'A1.3.7'!$B$28:$O$118,9,))))</f>
        <v>40.717579920564944</v>
      </c>
      <c r="Y42" s="691">
        <f>IF('A1.3.8'!E$30="","",IF(OR(VLOOKUP($B42,'A1.3.11'!$B$26:$AM$105,Y$22,)="",VLOOKUP($B42,'A1.3.7'!$B$28:$H$118,4,)=""),"",VLOOKUP($B42,'A1.3.11'!$B$26:$AM$105,Y$22,)*(VLOOKUP($B42,'A1.3.7'!$B$28:$O$118,4,)+VLOOKUP($B42,'A1.3.7'!$B$28:$O$118,9,))))</f>
        <v>9.951542470231372</v>
      </c>
      <c r="Z42" s="691">
        <f>IF('A1.3.8'!F$30="","",IF(OR(VLOOKUP($B42,'A1.3.11'!$B$26:$AM$105,Z$22,)="",VLOOKUP($B42,'A1.3.7'!$B$28:$H$118,4,)=""),"",VLOOKUP($B42,'A1.3.11'!$B$26:$AM$105,Z$22,)*(VLOOKUP($B42,'A1.3.7'!$B$28:$O$118,4,)+VLOOKUP($B42,'A1.3.7'!$B$28:$O$118,9,))))</f>
        <v>-0.14356908649418576</v>
      </c>
      <c r="AA42" s="2644">
        <f>IF('A1.3.8'!G$30="","",IF(OR(VLOOKUP($B42,'A1.3.11'!$B$26:$AM$105,AA$22,)="",VLOOKUP($B42,'A1.3.7'!$B$28:$H$118,4,)=""),"",VLOOKUP($B42,'A1.3.11'!$B$26:$AM$105,AA$22,)*(VLOOKUP($B42,'A1.3.7'!$B$28:$O$118,4,)+VLOOKUP($B42,'A1.3.7'!$B$28:$O$118,9,))))</f>
        <v>1.2154608921040467E-3</v>
      </c>
      <c r="AB42" s="693" t="str">
        <f>IF('A1.3.8'!D$37="","",IF(OR(VLOOKUP($B42,'A1.3.11'!$B$26:$AM$105,AB$22,)="",VLOOKUP($B42,'A1.3.7'!$B$28:$H$118,6,)=""),"",VLOOKUP($B42,'A1.3.11'!$B$26:$AM$105,AB$22,)*VLOOKUP($B42,'A1.3.7'!$B$28:$O$118,6,)))</f>
        <v/>
      </c>
      <c r="AC42" s="691">
        <f>IF('A1.3.8'!E$37="","",IF(OR(VLOOKUP($B42,'A1.3.11'!$B$26:$AM$105,AC$22,)="",VLOOKUP($B42,'A1.3.7'!$B$28:$H$118,6,)=""),"",VLOOKUP($B42,'A1.3.11'!$B$26:$AM$105,AC$22,)*VLOOKUP($B42,'A1.3.7'!$B$28:$O$118,6,)))</f>
        <v>4.5256763798814381</v>
      </c>
      <c r="AD42" s="691"/>
      <c r="AE42" s="1664" t="str">
        <f>IF('A1.3.8'!G$37="","",IF(OR(VLOOKUP($B42,'A1.3.11'!$B$26:$AM$105,AE$22,)="",VLOOKUP($B42,'A1.3.7'!$B$28:$H$118,6,)=""),"",VLOOKUP($B42,'A1.3.11'!$B$26:$AM$105,AE$22,)*VLOOKUP($B42,'A1.3.7'!$B$28:$O$118,6,)))</f>
        <v/>
      </c>
      <c r="AF42" s="693">
        <f>IF(AND(T42="",X42="",AB42=""),"",IF(T42="",0,(T42*VLOOKUP('A1.3.12'!$B42,'A1.3.9'!$B$26:$O$57,6,TRUE))) + IF(X42="",0,(X42*VLOOKUP('A1.3.12'!$B42,'A1.3.9'!$B$26:$O$57,7,TRUE))) + IF(AB42="",0,(AB42*VLOOKUP('A1.3.12'!$B42,'A1.3.9'!$B$26:$O$57,8,TRUE))))</f>
        <v>39.849615548790361</v>
      </c>
      <c r="AG42" s="691">
        <f>IF(AND(U42="",Y42="",AC42=""),"",IF(U42="",0,(U42*VLOOKUP('A1.3.12'!$B42,'A1.3.9'!$B$26:$O$57,6,TRUE))) + IF(Y42="",0,(Y42*VLOOKUP('A1.3.12'!$B42,'A1.3.9'!$B$26:$O$57,7,TRUE))) + IF(AC42="",0,(AC42*VLOOKUP('A1.3.12'!$B42,'A1.3.9'!$B$26:$O$57,8,TRUE))))</f>
        <v>9.909572424862727</v>
      </c>
      <c r="AH42" s="691">
        <f>IF(AND(V42="",Z42="",AD42=""),"",IF(V42="",0,(V42*VLOOKUP('A1.3.12'!$B42,'A1.3.9'!$B$26:$O$57,6,TRUE))) + IF(Z42="",0,(Z42*VLOOKUP('A1.3.12'!$B42,'A1.3.9'!$B$26:$O$57,7,TRUE))) + IF(AD42="",0,(AD42*VLOOKUP('A1.3.12'!$B42,'A1.3.9'!$B$26:$O$57,8,TRUE))))</f>
        <v>-0.14202919525351035</v>
      </c>
      <c r="AI42" s="2644">
        <f>IF(AND(W42="",AA42="",AE42=""),"",IF(W42="",0,(W42*VLOOKUP('A1.3.12'!$B42,'A1.3.9'!$B$26:$O$57,6,TRUE))) + IF(AA42="",0,(AA42*VLOOKUP('A1.3.12'!$B42,'A1.3.9'!$B$26:$O$57,7,TRUE))) + IF(AE42="",0,(AE42*VLOOKUP('A1.3.12'!$B42,'A1.3.9'!$B$26:$O$57,8,TRUE))))</f>
        <v>1.1973303636661819E-3</v>
      </c>
      <c r="AJ42" s="693">
        <f>IF('A1.3.8'!D$31="","",IF(OR(VLOOKUP($B42,'A1.3.11'!$B$26:$AM$105,AJ$22,)="",VLOOKUP($B42,'A1.3.7'!$B$28:$H$118,4,)=""),"",VLOOKUP($B42,'A1.3.11'!$B$26:$AM$105,AJ$22,)*(VLOOKUP($B42,'A1.3.7'!$B$28:$O$118,4,)+VLOOKUP($B42,'A1.3.7'!$B$28:$O$118,9,))))</f>
        <v>261.73078054688904</v>
      </c>
      <c r="AK42" s="691">
        <f>IF('A1.3.8'!E$31="","",IF(OR(VLOOKUP($B42,'A1.3.11'!$B$26:$AM$105,AK$22,)="",VLOOKUP($B42,'A1.3.7'!$B$28:$H$118,4,)=""),"",VLOOKUP($B42,'A1.3.11'!$B$26:$AM$105,AK$22,)*(VLOOKUP($B42,'A1.3.7'!$B$28:$O$118,4,)+VLOOKUP($B42,'A1.3.7'!$B$28:$O$118,9,))))</f>
        <v>13.886703751751893</v>
      </c>
      <c r="AL42" s="691">
        <f>IF('A1.3.8'!F$31="","",IF(OR(VLOOKUP($B42,'A1.3.11'!$B$26:$AM$105,AL$22,)="",VLOOKUP($B42,'A1.3.7'!$B$28:$H$118,4,)=""),"",VLOOKUP($B42,'A1.3.11'!$B$26:$AM$105,AL$22,)*(VLOOKUP($B42,'A1.3.7'!$B$28:$O$118,4,)+VLOOKUP($B42,'A1.3.7'!$B$28:$O$118,9,))))</f>
        <v>-0.10037318288788888</v>
      </c>
      <c r="AM42" s="2644">
        <f>IF('A1.3.8'!G$31="","",IF(OR(VLOOKUP($B42,'A1.3.11'!$B$26:$AM$105,AM$22,)="",VLOOKUP($B42,'A1.3.7'!$B$28:$H$118,4,)=""),"",VLOOKUP($B42,'A1.3.11'!$B$26:$AM$105,AM$22,)*(VLOOKUP($B42,'A1.3.7'!$B$28:$O$118,4,)+VLOOKUP($B42,'A1.3.7'!$B$28:$O$118,9,))))</f>
        <v>1.0962362062620985E-3</v>
      </c>
      <c r="AN42" s="693" t="str">
        <f>IF('A1.3.8'!D$38="","",IF(OR(VLOOKUP($B42,'A1.3.11'!$B$26:$AM$105,AN$22,)="",VLOOKUP($B42,'A1.3.7'!$B$28:$H$118,6,)=""),"",VLOOKUP($B42,'A1.3.11'!$B$26:$AM$105,AN$22,)*VLOOKUP($B42,'A1.3.7'!$B$28:$O$118,6,)))</f>
        <v/>
      </c>
      <c r="AO42" s="691" t="str">
        <f>IF('A1.3.8'!E$38="","",IF(OR(VLOOKUP($B42,'A1.3.11'!$B$26:$AM$105,AO$22,)="",VLOOKUP($B42,'A1.3.7'!$B$28:$H$118,6,)=""),"",VLOOKUP($B42,'A1.3.11'!$B$26:$AM$105,AO$22,)*VLOOKUP($B42,'A1.3.7'!$B$28:$O$118,6,)))</f>
        <v/>
      </c>
      <c r="AP42" s="691" t="str">
        <f>IF('A1.3.8'!F$38="","",IF(OR(VLOOKUP($B42,'A1.3.11'!$B$26:$AM$105,AP$22,)="",VLOOKUP($B42,'A1.3.7'!$B$28:$H$118,6,)=""),"",VLOOKUP($B42,'A1.3.11'!$B$26:$AM$105,AP$22,)*VLOOKUP($B42,'A1.3.7'!$B$28:$O$118,6,)))</f>
        <v/>
      </c>
      <c r="AQ42" s="1664" t="str">
        <f>IF('A1.3.8'!G$38="","",IF(OR(VLOOKUP($B42,'A1.3.11'!$B$26:$AM$105,AQ$22,)="",VLOOKUP($B42,'A1.3.7'!$B$28:$H$118,6,)=""),"",VLOOKUP($B42,'A1.3.11'!$B$26:$AM$105,AQ$22,)*VLOOKUP($B42,'A1.3.7'!$B$28:$O$118,6,)))</f>
        <v/>
      </c>
      <c r="AR42" s="693">
        <f>IF(AND(AJ42="",AN42=""),"",IF(AJ42="",0,(AJ42*VLOOKUP($B42,'A1.3.9'!$B$26:$O$57,9,TRUE))) + IF(AN42="",0,(AN42*VLOOKUP($B42,'A1.3.9'!$B$26:$O$57,10,TRUE))))</f>
        <v>261.73078054688904</v>
      </c>
      <c r="AS42" s="691">
        <f>IF(AND(AK42="",AO42=""),"",IF(AK42="",0,(AK42*VLOOKUP($B42,'A1.3.9'!$B$26:$O$57,9,TRUE))) + IF(AO42="",0,(AO42*VLOOKUP($B42,'A1.3.9'!$B$26:$O$57,10,TRUE))))</f>
        <v>13.886703751751893</v>
      </c>
      <c r="AT42" s="691">
        <f>IF(AND(AL42="",AP42=""),"",IF(AL42="",0,(AL42*VLOOKUP($B42,'A1.3.9'!$B$26:$O$57,9,TRUE))) + IF(AP42="",0,(AP42*VLOOKUP($B42,'A1.3.9'!$B$26:$O$57,10,TRUE))))</f>
        <v>-0.10037318288788888</v>
      </c>
      <c r="AU42" s="2644">
        <f>IF(AND(AM42="",AQ42=""),"",IF(AM42="",0,(AM42*VLOOKUP($B42,'A1.3.9'!$B$26:$O$57,9,TRUE))) + IF(AQ42="",0,(AQ42*VLOOKUP($B42,'A1.3.9'!$B$26:$O$57,10,TRUE))))</f>
        <v>1.0962362062620985E-3</v>
      </c>
      <c r="AV42" s="693">
        <f>IF('A1.3.8'!D$32="","",IF(OR(VLOOKUP($B42,'A1.3.11'!$B$26:$AM$105,AV$22,)="",VLOOKUP($B42,'A1.3.7'!$B$28:$H$118,4,)=""),"",VLOOKUP($B42,'A1.3.11'!$B$26:$AM$105,AV$22,)*(VLOOKUP($B42,'A1.3.7'!$B$28:$O$118,4,)+VLOOKUP($B42,'A1.3.7'!$B$28:$O$118,9,))))</f>
        <v>549.96457088232478</v>
      </c>
      <c r="AW42" s="691">
        <f>IF('A1.3.8'!E$32="","",IF(OR(VLOOKUP($B42,'A1.3.11'!$B$26:$AM$105,AW$22,)="",VLOOKUP($B42,'A1.3.7'!$B$28:$H$118,4,)=""),"",VLOOKUP($B42,'A1.3.11'!$B$26:$AM$105,AW$22,)*(VLOOKUP($B42,'A1.3.7'!$B$28:$O$118,4,)+VLOOKUP($B42,'A1.3.7'!$B$28:$O$118,9,))))</f>
        <v>28.560634649045888</v>
      </c>
      <c r="AX42" s="691">
        <f>IF('A1.3.8'!F$32="","",IF(OR(VLOOKUP($B42,'A1.3.11'!$B$26:$AM$105,AX$22,)="",VLOOKUP($B42,'A1.3.7'!$B$28:$H$118,4,)=""),"",VLOOKUP($B42,'A1.3.11'!$B$26:$AM$105,AX$22,)*(VLOOKUP($B42,'A1.3.7'!$B$28:$O$118,4,)+VLOOKUP($B42,'A1.3.7'!$B$28:$O$118,9,))))</f>
        <v>-0.18922922925149752</v>
      </c>
      <c r="AY42" s="2644">
        <f>IF('A1.3.8'!G$32="","",IF(OR(VLOOKUP($B42,'A1.3.11'!$B$26:$AM$105,AY$22,)="",VLOOKUP($B42,'A1.3.7'!$B$28:$H$118,4,)=""),"",VLOOKUP($B42,'A1.3.11'!$B$26:$AM$105,AY$22,)*(VLOOKUP($B42,'A1.3.7'!$B$28:$O$118,4,)+VLOOKUP($B42,'A1.3.7'!$B$28:$O$118,9,))))</f>
        <v>1.1278848939574079E-3</v>
      </c>
      <c r="AZ42" s="693" t="str">
        <f>IF('A1.3.8'!D$39="","",IF(OR(VLOOKUP($B42,'A1.3.11'!$B$26:$AM$105,AZ$22,)="",VLOOKUP($B42,'A1.3.7'!$B$28:$H$118,6,)=""),"",VLOOKUP($B42,'A1.3.11'!$B$26:$AM$105,AZ$22,)*VLOOKUP($B42,'A1.3.7'!$B$28:$O$118,6,)))</f>
        <v/>
      </c>
      <c r="BA42" s="691" t="str">
        <f>IF('A1.3.8'!E$39="","",IF(OR(VLOOKUP($B42,'A1.3.11'!$B$26:$AM$105,BA$22,)="",VLOOKUP($B42,'A1.3.7'!$B$28:$H$118,6,)=""),"",VLOOKUP($B42,'A1.3.11'!$B$26:$AM$105,BA$22,)*VLOOKUP($B42,'A1.3.7'!$B$28:$O$118,6,)))</f>
        <v/>
      </c>
      <c r="BB42" s="691" t="str">
        <f>IF('A1.3.8'!F$39="","",IF(OR(VLOOKUP($B42,'A1.3.11'!$B$26:$AM$105,BB$22,)="",VLOOKUP($B42,'A1.3.7'!$B$28:$H$118,6,)=""),"",VLOOKUP($B42,'A1.3.11'!$B$26:$AM$105,BB$22,)*VLOOKUP($B42,'A1.3.7'!$B$28:$O$118,6,)))</f>
        <v/>
      </c>
      <c r="BC42" s="1664" t="str">
        <f>IF('A1.3.8'!G$39="","",IF(OR(VLOOKUP($B42,'A1.3.11'!$B$26:$AM$105,BC$22,)="",VLOOKUP($B42,'A1.3.7'!$B$28:$H$118,6,)=""),"",VLOOKUP($B42,'A1.3.11'!$B$26:$AM$105,BC$22,)*VLOOKUP($B42,'A1.3.7'!$B$28:$O$118,6,)))</f>
        <v/>
      </c>
      <c r="BD42" s="693">
        <f>IF(AND(AV42="",AZ42=""),"",IF(AV42="",0,(AV42*VLOOKUP($B42,'A1.3.9'!$B$26:$O$57,9,TRUE))) + IF(AZ42="",0,(AZ42*VLOOKUP($B42,'A1.3.9'!$B$26:$O$57,10,TRUE))))</f>
        <v>549.96457088232478</v>
      </c>
      <c r="BE42" s="691">
        <f>IF(AND(AW42="",BA42=""),"",IF(AW42="",0,(AW42*VLOOKUP($B42,'A1.3.9'!$B$26:$O$57,9,TRUE))) + IF(BA42="",0,(BA42*VLOOKUP($B42,'A1.3.9'!$B$26:$O$57,10,TRUE))))</f>
        <v>28.560634649045888</v>
      </c>
      <c r="BF42" s="691">
        <f>IF(AND(AX42="",BB42=""),"",IF(AX42="",0,(AX42*VLOOKUP($B42,'A1.3.9'!$B$26:$O$57,9,TRUE))) + IF(BB42="",0,(BB42*VLOOKUP($B42,'A1.3.9'!$B$26:$O$57,10,TRUE))))</f>
        <v>-0.18922922925149752</v>
      </c>
      <c r="BG42" s="2644">
        <f>IF(AND(AY42="",BC42=""),"",IF(AY42="",0,(AY42*VLOOKUP($B42,'A1.3.9'!$B$26:$O$57,9,TRUE))) + IF(BC42="",0,(BC42*VLOOKUP($B42,'A1.3.9'!$B$26:$O$57,10,TRUE))))</f>
        <v>1.1278848939574079E-3</v>
      </c>
      <c r="BH42" s="693">
        <f>IF('A1.3.8'!D$33="","",IF(OR(VLOOKUP($B42,'A1.3.11'!$B$26:$AM$105,BH$22,)="",VLOOKUP($B42,'A1.3.7'!$B$28:$H$118,4,)=""),"",VLOOKUP($B42,'A1.3.11'!$B$26:$AM$105,BH$22,)*(VLOOKUP($B42,'A1.3.7'!$B$28:$O$118,4,)+VLOOKUP($B42,'A1.3.7'!$B$28:$O$118,9,))))</f>
        <v>326.1763549620897</v>
      </c>
      <c r="BI42" s="691">
        <f>IF('A1.3.8'!E$33="","",IF(OR(VLOOKUP($B42,'A1.3.11'!$B$26:$AM$105,BI$22,)="",VLOOKUP($B42,'A1.3.7'!$B$28:$H$118,4,)=""),"",VLOOKUP($B42,'A1.3.11'!$B$26:$AM$105,BI$22,)*(VLOOKUP($B42,'A1.3.7'!$B$28:$O$118,4,)+VLOOKUP($B42,'A1.3.7'!$B$28:$O$118,9,))))</f>
        <v>28.660121718607289</v>
      </c>
      <c r="BJ42" s="691">
        <f>IF('A1.3.8'!F$33="","",IF(OR(VLOOKUP($B42,'A1.3.11'!$B$26:$AM$105,BJ$22,)="",VLOOKUP($B42,'A1.3.7'!$B$28:$H$118,4,)=""),"",VLOOKUP($B42,'A1.3.11'!$B$26:$AM$105,BJ$22,)*(VLOOKUP($B42,'A1.3.7'!$B$28:$O$118,4,)+VLOOKUP($B42,'A1.3.7'!$B$28:$O$118,9,))))</f>
        <v>-0.31150997852509921</v>
      </c>
      <c r="BK42" s="2644">
        <f>IF('A1.3.8'!G$33="","",IF(OR(VLOOKUP($B42,'A1.3.11'!$B$26:$AM$105,BK$22,)="",VLOOKUP($B42,'A1.3.7'!$B$28:$H$118,4,)=""),"",VLOOKUP($B42,'A1.3.11'!$B$26:$AM$105,BK$22,)*(VLOOKUP($B42,'A1.3.7'!$B$28:$O$118,4,)+VLOOKUP($B42,'A1.3.7'!$B$28:$O$118,9,))))</f>
        <v>2.2850530222919638E-3</v>
      </c>
      <c r="BL42" s="693" t="str">
        <f>IF('A1.3.8'!D$40="","",IF(OR(VLOOKUP($B42,'A1.3.11'!$B$26:$AM$105,BL$22,)="",VLOOKUP($B42,'A1.3.7'!$B$28:$H$118,6,)=""),"",VLOOKUP($B42,'A1.3.11'!$B$26:$AM$105,BL$22,)*VLOOKUP($B42,'A1.3.7'!$B$28:$O$118,6,)))</f>
        <v/>
      </c>
      <c r="BM42" s="691" t="str">
        <f>IF('A1.3.8'!E$40="","",IF(OR(VLOOKUP($B42,'A1.3.11'!$B$26:$AM$105,BM$22,)="",VLOOKUP($B42,'A1.3.7'!$B$28:$H$118,6,)=""),"",VLOOKUP($B42,'A1.3.11'!$B$26:$AM$105,BM$22,)*VLOOKUP($B42,'A1.3.7'!$B$28:$O$118,6,)))</f>
        <v/>
      </c>
      <c r="BN42" s="691" t="str">
        <f>IF('A1.3.8'!F$40="","",IF(OR(VLOOKUP($B42,'A1.3.11'!$B$26:$AM$105,BN$22,)="",VLOOKUP($B42,'A1.3.7'!$B$28:$H$118,6,)=""),"",VLOOKUP($B42,'A1.3.11'!$B$26:$AM$105,BN$22,)*VLOOKUP($B42,'A1.3.7'!$B$28:$O$118,6,)))</f>
        <v/>
      </c>
      <c r="BO42" s="1664" t="str">
        <f>IF('A1.3.8'!G$40="","",IF(OR(VLOOKUP($B42,'A1.3.11'!$B$26:$AM$105,BO$22,)="",VLOOKUP($B42,'A1.3.7'!$B$28:$H$118,6,)=""),"",VLOOKUP($B42,'A1.3.11'!$B$26:$AM$105,BO$22,)*VLOOKUP($B42,'A1.3.7'!$B$28:$O$118,6,)))</f>
        <v/>
      </c>
      <c r="BP42" s="693">
        <f>IF(AND(BH42="",BL42=""),"",IF(BH42="",0,(BH42*VLOOKUP($B42,'A1.3.9'!$B$26:$O$57,9,TRUE))) + IF(BL42="",0,(BL42*VLOOKUP($B42,'A1.3.9'!$B$26:$O$57,10,TRUE))))</f>
        <v>326.1763549620897</v>
      </c>
      <c r="BQ42" s="691">
        <f>IF(AND(BI42="",BM42=""),"",IF(BI42="",0,(BI42*VLOOKUP($B42,'A1.3.9'!$B$26:$O$57,9,TRUE))) + IF(BM42="",0,(BM42*VLOOKUP($B42,'A1.3.9'!$B$26:$O$57,10,TRUE))))</f>
        <v>28.660121718607289</v>
      </c>
      <c r="BR42" s="691">
        <f>IF(AND(BJ42="",BN42=""),"",IF(BJ42="",0,(BJ42*VLOOKUP($B42,'A1.3.9'!$B$26:$O$57,9,TRUE))) + IF(BN42="",0,(BN42*VLOOKUP($B42,'A1.3.9'!$B$26:$O$57,10,TRUE))))</f>
        <v>-0.31150997852509921</v>
      </c>
      <c r="BS42" s="2644">
        <f>IF(AND(BK42="",BO42=""),"",IF(BK42="",0,(BK42*VLOOKUP($B42,'A1.3.9'!$B$26:$O$57,9,TRUE))) + IF(BO42="",0,(BO42*VLOOKUP($B42,'A1.3.9'!$B$26:$O$57,10,TRUE))))</f>
        <v>2.2850530222919638E-3</v>
      </c>
    </row>
    <row r="43" spans="1:71" ht="13.5" customHeight="1">
      <c r="A43" s="113"/>
      <c r="B43" s="614">
        <f t="shared" si="0"/>
        <v>2026</v>
      </c>
      <c r="C43" s="147"/>
      <c r="D43" s="693">
        <f>IF('A1.3.8'!D$27="","",IF(OR(VLOOKUP($B43,'A1.3.11'!$B$26:$AM$105,D$22,)="",VLOOKUP($B43,'A1.3.7'!$B$28:$H$118,3,)=""),"",VLOOKUP($B43,'A1.3.11'!$B$26:$AM$105,D$22,)*(VLOOKUP($B43,'A1.3.7'!$B$28:$O$118,3,)+VLOOKUP($B43,'A1.3.7'!$B$28:$O$118,8,))))</f>
        <v>33.390993415400963</v>
      </c>
      <c r="E43" s="691">
        <f>IF('A1.3.8'!E$27="","",IF(OR(VLOOKUP($B43,'A1.3.11'!$B$26:$AM$105,E$22,)="",VLOOKUP($B43,'A1.3.7'!$B$28:$H$118,3,)=""),"",VLOOKUP($B43,'A1.3.11'!$B$26:$AM$105,E$22,)*(VLOOKUP($B43,'A1.3.7'!$B$28:$O$118,3,)+VLOOKUP($B43,'A1.3.7'!$B$28:$O$118,8,))))</f>
        <v>7.0961277330119072</v>
      </c>
      <c r="F43" s="691">
        <f>IF('A1.3.8'!F$27="","",IF(OR(VLOOKUP($B43,'A1.3.11'!$B$26:$AM$105,F$22,)="",VLOOKUP($B43,'A1.3.7'!$B$28:$H$118,3,)=""),"",VLOOKUP($B43,'A1.3.11'!$B$26:$AM$105,F$22,)*(VLOOKUP($B43,'A1.3.7'!$B$28:$O$118,3,)+VLOOKUP($B43,'A1.3.7'!$B$28:$O$118,8,))))</f>
        <v>-8.083331007535853E-2</v>
      </c>
      <c r="G43" s="2644">
        <f>IF('A1.3.8'!G$27="","",IF(OR(VLOOKUP($B43,'A1.3.11'!$B$26:$AM$105,G$22,)="",VLOOKUP($B43,'A1.3.7'!$B$28:$H$118,3,)=""),"",VLOOKUP($B43,'A1.3.11'!$B$26:$AM$105,G$22,)*(VLOOKUP($B43,'A1.3.7'!$B$28:$O$118,3,)+VLOOKUP($B43,'A1.3.7'!$B$28:$O$118,8,))))</f>
        <v>5.3535250867135157E-4</v>
      </c>
      <c r="H43" s="693">
        <f>IF('A1.3.8'!D$28="","",IF(OR(VLOOKUP($B43,'A1.3.11'!$B$26:$AM$105,H$22,)="",VLOOKUP($B43,'A1.3.7'!$B$28:$H$118,4,)=""),"",VLOOKUP($B43,'A1.3.11'!$B$26:$AM$105,H$22,)*(VLOOKUP($B43,'A1.3.7'!$B$28:$O$118,4,)+VLOOKUP($B43,'A1.3.7'!$B$28:$O$118,9,))))</f>
        <v>40.054058236597363</v>
      </c>
      <c r="I43" s="691">
        <f>IF('A1.3.8'!E$28="","",IF(OR(VLOOKUP($B43,'A1.3.11'!$B$26:$AM$105,I$22,)="",VLOOKUP($B43,'A1.3.7'!$B$28:$H$118,4,)=""),"",VLOOKUP($B43,'A1.3.11'!$B$26:$AM$105,I$22,)*(VLOOKUP($B43,'A1.3.7'!$B$28:$O$118,4,)+VLOOKUP($B43,'A1.3.7'!$B$28:$O$118,9,))))</f>
        <v>5.7427614153940345</v>
      </c>
      <c r="J43" s="691">
        <f>IF('A1.3.8'!F$28="","",IF(OR(VLOOKUP($B43,'A1.3.11'!$B$26:$AM$105,J$22,)="",VLOOKUP($B43,'A1.3.7'!$B$28:$H$118,4,)=""),"",VLOOKUP($B43,'A1.3.11'!$B$26:$AM$105,J$22,)*(VLOOKUP($B43,'A1.3.7'!$B$28:$O$118,4,)+VLOOKUP($B43,'A1.3.7'!$B$28:$O$118,9,))))</f>
        <v>-5.5246964638434252E-2</v>
      </c>
      <c r="K43" s="2644">
        <f>IF('A1.3.8'!G$28="","",IF(OR(VLOOKUP($B43,'A1.3.11'!$B$26:$AM$105,K$22,)="",VLOOKUP($B43,'A1.3.7'!$B$28:$H$118,4,)=""),"",VLOOKUP($B43,'A1.3.11'!$B$26:$AM$105,K$22,)*(VLOOKUP($B43,'A1.3.7'!$B$28:$O$118,4,)+VLOOKUP($B43,'A1.3.7'!$B$28:$O$118,9,))))</f>
        <v>4.3534885313243829E-4</v>
      </c>
      <c r="L43" s="693" t="str">
        <f>IF('A1.3.8'!D$36="","",IF(OR(VLOOKUP($B43,'A1.3.11'!$B$26:$AM$105,L$22,)="",VLOOKUP($B43,'A1.3.7'!$B$28:$H$118,6,)=""),"",VLOOKUP($B43,'A1.3.11'!$B$26:$AM$105,L$22,)*VLOOKUP($B43,'A1.3.7'!$B$28:$O$118,6,)))</f>
        <v/>
      </c>
      <c r="M43" s="691">
        <f>IF('A1.3.8'!E$36="","",IF(OR(VLOOKUP($B43,'A1.3.11'!$B$26:$AM$105,M$22,)="",VLOOKUP($B43,'A1.3.7'!$B$28:$H$118,6,)=""),"",VLOOKUP($B43,'A1.3.11'!$B$26:$AM$105,M$22,)*VLOOKUP($B43,'A1.3.7'!$B$28:$O$118,6,)))</f>
        <v>2.2290945057599147</v>
      </c>
      <c r="N43" s="691"/>
      <c r="O43" s="1664"/>
      <c r="P43" s="693">
        <f>IF(AND(D43="",H43="",L43=""),"",IF(D43="",0,(D43*VLOOKUP($B43,'A1.3.9'!$B$26:$O$57,3,TRUE)))+IF(H43="",0,(H43*VLOOKUP($B43,'A1.3.9'!$B$26:$O$57,4,TRUE)))+IF(L43="",0,(L43*VLOOKUP($B43,'A1.3.9'!$B$26:$O$57,5,TRUE))))</f>
        <v>34.013533238724492</v>
      </c>
      <c r="Q43" s="691">
        <f>IF(AND(E43="",I43="",M43=""),"",IF(E43="",0,(E43*VLOOKUP($B43,'A1.3.9'!$B$26:$O$57,3,TRUE)))+IF(I43="",0,(I43*VLOOKUP($B43,'A1.3.9'!$B$26:$O$57,4,TRUE)))+IF(M43="",0,(M43*VLOOKUP($B43,'A1.3.9'!$B$26:$O$57,5,TRUE))))</f>
        <v>6.1818733511671304</v>
      </c>
      <c r="R43" s="691">
        <f>IF(AND(F43="",J43="",N43=""),"",IF(F43="",0,(F43*VLOOKUP($B43,'A1.3.9'!$B$26:$O$57,3,TRUE)))+IF(J43="",0,(J43*VLOOKUP($B43,'A1.3.9'!$B$26:$O$57,4,TRUE)))+IF(N43="",0,(N43*VLOOKUP($B43,'A1.3.9'!$B$26:$O$57,5,TRUE))))</f>
        <v>-6.4304853892794944E-2</v>
      </c>
      <c r="S43" s="2644">
        <f>IF(AND(G43="",K43="",O43=""),"",IF(G43="",0,(G43*VLOOKUP($B43,'A1.3.9'!$B$26:$O$57,3,TRUE)))+IF(K43="",0,(K43*VLOOKUP($B43,'A1.3.9'!$B$26:$O$57,4,TRUE)))+IF(O43="",0,(O43*VLOOKUP($B43,'A1.3.9'!$B$26:$O$57,5,TRUE))))</f>
        <v>4.5591278623133849E-4</v>
      </c>
      <c r="T43" s="693">
        <f>IF('A1.3.8'!D$29="","",IF(OR(VLOOKUP($B43,'A1.3.11'!$B$26:$AM$105,T$22,)="",VLOOKUP($B43,'A1.3.7'!$B$28:$H$118,3,)=""),"",VLOOKUP($B43,'A1.3.11'!$B$26:$AM$105,T$22,)*(VLOOKUP($B43,'A1.3.7'!$B$28:$O$118,3,)+VLOOKUP($B43,'A1.3.7'!$B$28:$O$118,8,))))</f>
        <v>26.132946967552598</v>
      </c>
      <c r="U43" s="691">
        <f>IF('A1.3.8'!E$29="","",IF(OR(VLOOKUP($B43,'A1.3.11'!$B$26:$AM$105,U$22,)="",VLOOKUP($B43,'A1.3.7'!$B$28:$H$118,3,)=""),"",VLOOKUP($B43,'A1.3.11'!$B$26:$AM$105,U$22,)*(VLOOKUP($B43,'A1.3.7'!$B$28:$O$118,3,)+VLOOKUP($B43,'A1.3.7'!$B$28:$O$118,8,))))</f>
        <v>14.653843916827846</v>
      </c>
      <c r="V43" s="691">
        <f>IF('A1.3.8'!F$29="","",IF(OR(VLOOKUP($B43,'A1.3.11'!$B$26:$AM$105,V$22,)="",VLOOKUP($B43,'A1.3.7'!$B$28:$H$118,3,)=""),"",VLOOKUP($B43,'A1.3.11'!$B$26:$AM$105,V$22,)*(VLOOKUP($B43,'A1.3.7'!$B$28:$O$118,3,)+VLOOKUP($B43,'A1.3.7'!$B$28:$O$118,8,))))</f>
        <v>-0.23001724979658189</v>
      </c>
      <c r="W43" s="2644">
        <f>IF('A1.3.8'!G$29="","",IF(OR(VLOOKUP($B43,'A1.3.11'!$B$26:$AM$105,W$22,)="",VLOOKUP($B43,'A1.3.7'!$B$28:$H$118,3,)=""),"",VLOOKUP($B43,'A1.3.11'!$B$26:$AM$105,W$22,)*(VLOOKUP($B43,'A1.3.7'!$B$28:$O$118,3,)+VLOOKUP($B43,'A1.3.7'!$B$28:$O$118,8,))))</f>
        <v>1.4854599954694466E-3</v>
      </c>
      <c r="X43" s="693">
        <f>IF('A1.3.8'!D$30="","",IF(OR(VLOOKUP($B43,'A1.3.11'!$B$26:$AM$105,X$22,)="",VLOOKUP($B43,'A1.3.7'!$B$28:$H$118,4,)=""),"",VLOOKUP($B43,'A1.3.11'!$B$26:$AM$105,X$22,)*(VLOOKUP($B43,'A1.3.7'!$B$28:$O$118,4,)+VLOOKUP($B43,'A1.3.7'!$B$28:$O$118,9,))))</f>
        <v>40.915446610457074</v>
      </c>
      <c r="Y43" s="691">
        <f>IF('A1.3.8'!E$30="","",IF(OR(VLOOKUP($B43,'A1.3.11'!$B$26:$AM$105,Y$22,)="",VLOOKUP($B43,'A1.3.7'!$B$28:$H$118,4,)=""),"",VLOOKUP($B43,'A1.3.11'!$B$26:$AM$105,Y$22,)*(VLOOKUP($B43,'A1.3.7'!$B$28:$O$118,4,)+VLOOKUP($B43,'A1.3.7'!$B$28:$O$118,9,))))</f>
        <v>9.9999018956134069</v>
      </c>
      <c r="Z43" s="691">
        <f>IF('A1.3.8'!F$30="","",IF(OR(VLOOKUP($B43,'A1.3.11'!$B$26:$AM$105,Z$22,)="",VLOOKUP($B43,'A1.3.7'!$B$28:$H$118,4,)=""),"",VLOOKUP($B43,'A1.3.11'!$B$26:$AM$105,Z$22,)*(VLOOKUP($B43,'A1.3.7'!$B$28:$O$118,4,)+VLOOKUP($B43,'A1.3.7'!$B$28:$O$118,9,))))</f>
        <v>-0.14426675909582026</v>
      </c>
      <c r="AA43" s="2644">
        <f>IF('A1.3.8'!G$30="","",IF(OR(VLOOKUP($B43,'A1.3.11'!$B$26:$AM$105,AA$22,)="",VLOOKUP($B43,'A1.3.7'!$B$28:$H$118,4,)=""),"",VLOOKUP($B43,'A1.3.11'!$B$26:$AM$105,AA$22,)*(VLOOKUP($B43,'A1.3.7'!$B$28:$O$118,4,)+VLOOKUP($B43,'A1.3.7'!$B$28:$O$118,9,))))</f>
        <v>1.2213674126753367E-3</v>
      </c>
      <c r="AB43" s="693" t="str">
        <f>IF('A1.3.8'!D$37="","",IF(OR(VLOOKUP($B43,'A1.3.11'!$B$26:$AM$105,AB$22,)="",VLOOKUP($B43,'A1.3.7'!$B$28:$H$118,6,)=""),"",VLOOKUP($B43,'A1.3.11'!$B$26:$AM$105,AB$22,)*VLOOKUP($B43,'A1.3.7'!$B$28:$O$118,6,)))</f>
        <v/>
      </c>
      <c r="AC43" s="691">
        <f>IF('A1.3.8'!E$37="","",IF(OR(VLOOKUP($B43,'A1.3.11'!$B$26:$AM$105,AC$22,)="",VLOOKUP($B43,'A1.3.7'!$B$28:$H$118,6,)=""),"",VLOOKUP($B43,'A1.3.11'!$B$26:$AM$105,AC$22,)*VLOOKUP($B43,'A1.3.7'!$B$28:$O$118,6,)))</f>
        <v>4.560366315598082</v>
      </c>
      <c r="AD43" s="691"/>
      <c r="AE43" s="1664" t="str">
        <f>IF('A1.3.8'!G$37="","",IF(OR(VLOOKUP($B43,'A1.3.11'!$B$26:$AM$105,AE$22,)="",VLOOKUP($B43,'A1.3.7'!$B$28:$H$118,6,)=""),"",VLOOKUP($B43,'A1.3.11'!$B$26:$AM$105,AE$22,)*VLOOKUP($B43,'A1.3.7'!$B$28:$O$118,6,)))</f>
        <v/>
      </c>
      <c r="AF43" s="693">
        <f>IF(AND(T43="",X43="",AB43=""),"",IF(T43="",0,(T43*VLOOKUP('A1.3.12'!$B43,'A1.3.9'!$B$26:$O$57,6,TRUE))) + IF(X43="",0,(X43*VLOOKUP('A1.3.12'!$B43,'A1.3.9'!$B$26:$O$57,7,TRUE))) + IF(AB43="",0,(AB43*VLOOKUP('A1.3.12'!$B43,'A1.3.9'!$B$26:$O$57,8,TRUE))))</f>
        <v>39.775691931797667</v>
      </c>
      <c r="AG43" s="691">
        <f>IF(AND(U43="",Y43="",AC43=""),"",IF(U43="",0,(U43*VLOOKUP('A1.3.12'!$B43,'A1.3.9'!$B$26:$O$57,6,TRUE))) + IF(Y43="",0,(Y43*VLOOKUP('A1.3.12'!$B43,'A1.3.9'!$B$26:$O$57,7,TRUE))) + IF(AC43="",0,(AC43*VLOOKUP('A1.3.12'!$B43,'A1.3.9'!$B$26:$O$57,8,TRUE))))</f>
        <v>9.9182983021501698</v>
      </c>
      <c r="AH43" s="691">
        <f>IF(AND(V43="",Z43="",AD43=""),"",IF(V43="",0,(V43*VLOOKUP('A1.3.12'!$B43,'A1.3.9'!$B$26:$O$57,6,TRUE))) + IF(Z43="",0,(Z43*VLOOKUP('A1.3.12'!$B43,'A1.3.9'!$B$26:$O$57,7,TRUE))) + IF(AD43="",0,(AD43*VLOOKUP('A1.3.12'!$B43,'A1.3.9'!$B$26:$O$57,8,TRUE))))</f>
        <v>-0.14170443653614709</v>
      </c>
      <c r="AI43" s="2644">
        <f>IF(AND(W43="",AA43="",AE43=""),"",IF(W43="",0,(W43*VLOOKUP('A1.3.12'!$B43,'A1.3.9'!$B$26:$O$57,6,TRUE))) + IF(AA43="",0,(AA43*VLOOKUP('A1.3.12'!$B43,'A1.3.9'!$B$26:$O$57,7,TRUE))) + IF(AE43="",0,(AE43*VLOOKUP('A1.3.12'!$B43,'A1.3.9'!$B$26:$O$57,8,TRUE))))</f>
        <v>1.1947956997651892E-3</v>
      </c>
      <c r="AJ43" s="693">
        <f>IF('A1.3.8'!D$31="","",IF(OR(VLOOKUP($B43,'A1.3.11'!$B$26:$AM$105,AJ$22,)="",VLOOKUP($B43,'A1.3.7'!$B$28:$H$118,4,)=""),"",VLOOKUP($B43,'A1.3.11'!$B$26:$AM$105,AJ$22,)*(VLOOKUP($B43,'A1.3.7'!$B$28:$O$118,4,)+VLOOKUP($B43,'A1.3.7'!$B$28:$O$118,9,))))</f>
        <v>265.38752475925321</v>
      </c>
      <c r="AK43" s="691">
        <f>IF('A1.3.8'!E$31="","",IF(OR(VLOOKUP($B43,'A1.3.11'!$B$26:$AM$105,AK$22,)="",VLOOKUP($B43,'A1.3.7'!$B$28:$H$118,4,)=""),"",VLOOKUP($B43,'A1.3.11'!$B$26:$AM$105,AK$22,)*(VLOOKUP($B43,'A1.3.7'!$B$28:$O$118,4,)+VLOOKUP($B43,'A1.3.7'!$B$28:$O$118,9,))))</f>
        <v>14.080720380086282</v>
      </c>
      <c r="AL43" s="691">
        <f>IF('A1.3.8'!F$31="","",IF(OR(VLOOKUP($B43,'A1.3.11'!$B$26:$AM$105,AL$22,)="",VLOOKUP($B43,'A1.3.7'!$B$28:$H$118,4,)=""),"",VLOOKUP($B43,'A1.3.11'!$B$26:$AM$105,AL$22,)*(VLOOKUP($B43,'A1.3.7'!$B$28:$O$118,4,)+VLOOKUP($B43,'A1.3.7'!$B$28:$O$118,9,))))</f>
        <v>-0.10177553630935092</v>
      </c>
      <c r="AM43" s="2644">
        <f>IF('A1.3.8'!G$31="","",IF(OR(VLOOKUP($B43,'A1.3.11'!$B$26:$AM$105,AM$22,)="",VLOOKUP($B43,'A1.3.7'!$B$28:$H$118,4,)=""),"",VLOOKUP($B43,'A1.3.11'!$B$26:$AM$105,AM$22,)*(VLOOKUP($B43,'A1.3.7'!$B$28:$O$118,4,)+VLOOKUP($B43,'A1.3.7'!$B$28:$O$118,9,))))</f>
        <v>1.1115521557054804E-3</v>
      </c>
      <c r="AN43" s="693" t="str">
        <f>IF('A1.3.8'!D$38="","",IF(OR(VLOOKUP($B43,'A1.3.11'!$B$26:$AM$105,AN$22,)="",VLOOKUP($B43,'A1.3.7'!$B$28:$H$118,6,)=""),"",VLOOKUP($B43,'A1.3.11'!$B$26:$AM$105,AN$22,)*VLOOKUP($B43,'A1.3.7'!$B$28:$O$118,6,)))</f>
        <v/>
      </c>
      <c r="AO43" s="691" t="str">
        <f>IF('A1.3.8'!E$38="","",IF(OR(VLOOKUP($B43,'A1.3.11'!$B$26:$AM$105,AO$22,)="",VLOOKUP($B43,'A1.3.7'!$B$28:$H$118,6,)=""),"",VLOOKUP($B43,'A1.3.11'!$B$26:$AM$105,AO$22,)*VLOOKUP($B43,'A1.3.7'!$B$28:$O$118,6,)))</f>
        <v/>
      </c>
      <c r="AP43" s="691" t="str">
        <f>IF('A1.3.8'!F$38="","",IF(OR(VLOOKUP($B43,'A1.3.11'!$B$26:$AM$105,AP$22,)="",VLOOKUP($B43,'A1.3.7'!$B$28:$H$118,6,)=""),"",VLOOKUP($B43,'A1.3.11'!$B$26:$AM$105,AP$22,)*VLOOKUP($B43,'A1.3.7'!$B$28:$O$118,6,)))</f>
        <v/>
      </c>
      <c r="AQ43" s="1664" t="str">
        <f>IF('A1.3.8'!G$38="","",IF(OR(VLOOKUP($B43,'A1.3.11'!$B$26:$AM$105,AQ$22,)="",VLOOKUP($B43,'A1.3.7'!$B$28:$H$118,6,)=""),"",VLOOKUP($B43,'A1.3.11'!$B$26:$AM$105,AQ$22,)*VLOOKUP($B43,'A1.3.7'!$B$28:$O$118,6,)))</f>
        <v/>
      </c>
      <c r="AR43" s="693">
        <f>IF(AND(AJ43="",AN43=""),"",IF(AJ43="",0,(AJ43*VLOOKUP($B43,'A1.3.9'!$B$26:$O$57,9,TRUE))) + IF(AN43="",0,(AN43*VLOOKUP($B43,'A1.3.9'!$B$26:$O$57,10,TRUE))))</f>
        <v>265.38752475925321</v>
      </c>
      <c r="AS43" s="691">
        <f>IF(AND(AK43="",AO43=""),"",IF(AK43="",0,(AK43*VLOOKUP($B43,'A1.3.9'!$B$26:$O$57,9,TRUE))) + IF(AO43="",0,(AO43*VLOOKUP($B43,'A1.3.9'!$B$26:$O$57,10,TRUE))))</f>
        <v>14.080720380086282</v>
      </c>
      <c r="AT43" s="691">
        <f>IF(AND(AL43="",AP43=""),"",IF(AL43="",0,(AL43*VLOOKUP($B43,'A1.3.9'!$B$26:$O$57,9,TRUE))) + IF(AP43="",0,(AP43*VLOOKUP($B43,'A1.3.9'!$B$26:$O$57,10,TRUE))))</f>
        <v>-0.10177553630935092</v>
      </c>
      <c r="AU43" s="2644">
        <f>IF(AND(AM43="",AQ43=""),"",IF(AM43="",0,(AM43*VLOOKUP($B43,'A1.3.9'!$B$26:$O$57,9,TRUE))) + IF(AQ43="",0,(AQ43*VLOOKUP($B43,'A1.3.9'!$B$26:$O$57,10,TRUE))))</f>
        <v>1.1115521557054804E-3</v>
      </c>
      <c r="AV43" s="693">
        <f>IF('A1.3.8'!D$32="","",IF(OR(VLOOKUP($B43,'A1.3.11'!$B$26:$AM$105,AV$22,)="",VLOOKUP($B43,'A1.3.7'!$B$28:$H$118,4,)=""),"",VLOOKUP($B43,'A1.3.11'!$B$26:$AM$105,AV$22,)*(VLOOKUP($B43,'A1.3.7'!$B$28:$O$118,4,)+VLOOKUP($B43,'A1.3.7'!$B$28:$O$118,9,))))</f>
        <v>557.64834333498447</v>
      </c>
      <c r="AW43" s="691">
        <f>IF('A1.3.8'!E$32="","",IF(OR(VLOOKUP($B43,'A1.3.11'!$B$26:$AM$105,AW$22,)="",VLOOKUP($B43,'A1.3.7'!$B$28:$H$118,4,)=""),"",VLOOKUP($B43,'A1.3.11'!$B$26:$AM$105,AW$22,)*(VLOOKUP($B43,'A1.3.7'!$B$28:$O$118,4,)+VLOOKUP($B43,'A1.3.7'!$B$28:$O$118,9,))))</f>
        <v>28.959666567401538</v>
      </c>
      <c r="AX43" s="691">
        <f>IF('A1.3.8'!F$32="","",IF(OR(VLOOKUP($B43,'A1.3.11'!$B$26:$AM$105,AX$22,)="",VLOOKUP($B43,'A1.3.7'!$B$28:$H$118,4,)=""),"",VLOOKUP($B43,'A1.3.11'!$B$26:$AM$105,AX$22,)*(VLOOKUP($B43,'A1.3.7'!$B$28:$O$118,4,)+VLOOKUP($B43,'A1.3.7'!$B$28:$O$118,9,))))</f>
        <v>-0.19187302562664946</v>
      </c>
      <c r="AY43" s="2644">
        <f>IF('A1.3.8'!G$32="","",IF(OR(VLOOKUP($B43,'A1.3.11'!$B$26:$AM$105,AY$22,)="",VLOOKUP($B43,'A1.3.7'!$B$28:$H$118,4,)=""),"",VLOOKUP($B43,'A1.3.11'!$B$26:$AM$105,AY$22,)*(VLOOKUP($B43,'A1.3.7'!$B$28:$O$118,4,)+VLOOKUP($B43,'A1.3.7'!$B$28:$O$118,9,))))</f>
        <v>1.143643019729141E-3</v>
      </c>
      <c r="AZ43" s="693" t="str">
        <f>IF('A1.3.8'!D$39="","",IF(OR(VLOOKUP($B43,'A1.3.11'!$B$26:$AM$105,AZ$22,)="",VLOOKUP($B43,'A1.3.7'!$B$28:$H$118,6,)=""),"",VLOOKUP($B43,'A1.3.11'!$B$26:$AM$105,AZ$22,)*VLOOKUP($B43,'A1.3.7'!$B$28:$O$118,6,)))</f>
        <v/>
      </c>
      <c r="BA43" s="691" t="str">
        <f>IF('A1.3.8'!E$39="","",IF(OR(VLOOKUP($B43,'A1.3.11'!$B$26:$AM$105,BA$22,)="",VLOOKUP($B43,'A1.3.7'!$B$28:$H$118,6,)=""),"",VLOOKUP($B43,'A1.3.11'!$B$26:$AM$105,BA$22,)*VLOOKUP($B43,'A1.3.7'!$B$28:$O$118,6,)))</f>
        <v/>
      </c>
      <c r="BB43" s="691" t="str">
        <f>IF('A1.3.8'!F$39="","",IF(OR(VLOOKUP($B43,'A1.3.11'!$B$26:$AM$105,BB$22,)="",VLOOKUP($B43,'A1.3.7'!$B$28:$H$118,6,)=""),"",VLOOKUP($B43,'A1.3.11'!$B$26:$AM$105,BB$22,)*VLOOKUP($B43,'A1.3.7'!$B$28:$O$118,6,)))</f>
        <v/>
      </c>
      <c r="BC43" s="1664" t="str">
        <f>IF('A1.3.8'!G$39="","",IF(OR(VLOOKUP($B43,'A1.3.11'!$B$26:$AM$105,BC$22,)="",VLOOKUP($B43,'A1.3.7'!$B$28:$H$118,6,)=""),"",VLOOKUP($B43,'A1.3.11'!$B$26:$AM$105,BC$22,)*VLOOKUP($B43,'A1.3.7'!$B$28:$O$118,6,)))</f>
        <v/>
      </c>
      <c r="BD43" s="693">
        <f>IF(AND(AV43="",AZ43=""),"",IF(AV43="",0,(AV43*VLOOKUP($B43,'A1.3.9'!$B$26:$O$57,9,TRUE))) + IF(AZ43="",0,(AZ43*VLOOKUP($B43,'A1.3.9'!$B$26:$O$57,10,TRUE))))</f>
        <v>557.64834333498447</v>
      </c>
      <c r="BE43" s="691">
        <f>IF(AND(AW43="",BA43=""),"",IF(AW43="",0,(AW43*VLOOKUP($B43,'A1.3.9'!$B$26:$O$57,9,TRUE))) + IF(BA43="",0,(BA43*VLOOKUP($B43,'A1.3.9'!$B$26:$O$57,10,TRUE))))</f>
        <v>28.959666567401538</v>
      </c>
      <c r="BF43" s="691">
        <f>IF(AND(AX43="",BB43=""),"",IF(AX43="",0,(AX43*VLOOKUP($B43,'A1.3.9'!$B$26:$O$57,9,TRUE))) + IF(BB43="",0,(BB43*VLOOKUP($B43,'A1.3.9'!$B$26:$O$57,10,TRUE))))</f>
        <v>-0.19187302562664946</v>
      </c>
      <c r="BG43" s="2644">
        <f>IF(AND(AY43="",BC43=""),"",IF(AY43="",0,(AY43*VLOOKUP($B43,'A1.3.9'!$B$26:$O$57,9,TRUE))) + IF(BC43="",0,(BC43*VLOOKUP($B43,'A1.3.9'!$B$26:$O$57,10,TRUE))))</f>
        <v>1.143643019729141E-3</v>
      </c>
      <c r="BH43" s="693">
        <f>IF('A1.3.8'!D$33="","",IF(OR(VLOOKUP($B43,'A1.3.11'!$B$26:$AM$105,BH$22,)="",VLOOKUP($B43,'A1.3.7'!$B$28:$H$118,4,)=""),"",VLOOKUP($B43,'A1.3.11'!$B$26:$AM$105,BH$22,)*(VLOOKUP($B43,'A1.3.7'!$B$28:$O$118,4,)+VLOOKUP($B43,'A1.3.7'!$B$28:$O$118,9,))))</f>
        <v>330.73349377367856</v>
      </c>
      <c r="BI43" s="691">
        <f>IF('A1.3.8'!E$33="","",IF(OR(VLOOKUP($B43,'A1.3.11'!$B$26:$AM$105,BI$22,)="",VLOOKUP($B43,'A1.3.7'!$B$28:$H$118,4,)=""),"",VLOOKUP($B43,'A1.3.11'!$B$26:$AM$105,BI$22,)*(VLOOKUP($B43,'A1.3.7'!$B$28:$O$118,4,)+VLOOKUP($B43,'A1.3.7'!$B$28:$O$118,9,))))</f>
        <v>29.060543610144784</v>
      </c>
      <c r="BJ43" s="691">
        <f>IF('A1.3.8'!F$33="","",IF(OR(VLOOKUP($B43,'A1.3.11'!$B$26:$AM$105,BJ$22,)="",VLOOKUP($B43,'A1.3.7'!$B$28:$H$118,4,)=""),"",VLOOKUP($B43,'A1.3.11'!$B$26:$AM$105,BJ$22,)*(VLOOKUP($B43,'A1.3.7'!$B$28:$O$118,4,)+VLOOKUP($B43,'A1.3.7'!$B$28:$O$118,9,))))</f>
        <v>-0.31586220759301842</v>
      </c>
      <c r="BK43" s="2644">
        <f>IF('A1.3.8'!G$33="","",IF(OR(VLOOKUP($B43,'A1.3.11'!$B$26:$AM$105,BK$22,)="",VLOOKUP($B43,'A1.3.7'!$B$28:$H$118,4,)=""),"",VLOOKUP($B43,'A1.3.11'!$B$26:$AM$105,BK$22,)*(VLOOKUP($B43,'A1.3.7'!$B$28:$O$118,4,)+VLOOKUP($B43,'A1.3.7'!$B$28:$O$118,9,))))</f>
        <v>2.3169784014802726E-3</v>
      </c>
      <c r="BL43" s="693" t="str">
        <f>IF('A1.3.8'!D$40="","",IF(OR(VLOOKUP($B43,'A1.3.11'!$B$26:$AM$105,BL$22,)="",VLOOKUP($B43,'A1.3.7'!$B$28:$H$118,6,)=""),"",VLOOKUP($B43,'A1.3.11'!$B$26:$AM$105,BL$22,)*VLOOKUP($B43,'A1.3.7'!$B$28:$O$118,6,)))</f>
        <v/>
      </c>
      <c r="BM43" s="691" t="str">
        <f>IF('A1.3.8'!E$40="","",IF(OR(VLOOKUP($B43,'A1.3.11'!$B$26:$AM$105,BM$22,)="",VLOOKUP($B43,'A1.3.7'!$B$28:$H$118,6,)=""),"",VLOOKUP($B43,'A1.3.11'!$B$26:$AM$105,BM$22,)*VLOOKUP($B43,'A1.3.7'!$B$28:$O$118,6,)))</f>
        <v/>
      </c>
      <c r="BN43" s="691" t="str">
        <f>IF('A1.3.8'!F$40="","",IF(OR(VLOOKUP($B43,'A1.3.11'!$B$26:$AM$105,BN$22,)="",VLOOKUP($B43,'A1.3.7'!$B$28:$H$118,6,)=""),"",VLOOKUP($B43,'A1.3.11'!$B$26:$AM$105,BN$22,)*VLOOKUP($B43,'A1.3.7'!$B$28:$O$118,6,)))</f>
        <v/>
      </c>
      <c r="BO43" s="1664" t="str">
        <f>IF('A1.3.8'!G$40="","",IF(OR(VLOOKUP($B43,'A1.3.11'!$B$26:$AM$105,BO$22,)="",VLOOKUP($B43,'A1.3.7'!$B$28:$H$118,6,)=""),"",VLOOKUP($B43,'A1.3.11'!$B$26:$AM$105,BO$22,)*VLOOKUP($B43,'A1.3.7'!$B$28:$O$118,6,)))</f>
        <v/>
      </c>
      <c r="BP43" s="693">
        <f>IF(AND(BH43="",BL43=""),"",IF(BH43="",0,(BH43*VLOOKUP($B43,'A1.3.9'!$B$26:$O$57,9,TRUE))) + IF(BL43="",0,(BL43*VLOOKUP($B43,'A1.3.9'!$B$26:$O$57,10,TRUE))))</f>
        <v>330.73349377367856</v>
      </c>
      <c r="BQ43" s="691">
        <f>IF(AND(BI43="",BM43=""),"",IF(BI43="",0,(BI43*VLOOKUP($B43,'A1.3.9'!$B$26:$O$57,9,TRUE))) + IF(BM43="",0,(BM43*VLOOKUP($B43,'A1.3.9'!$B$26:$O$57,10,TRUE))))</f>
        <v>29.060543610144784</v>
      </c>
      <c r="BR43" s="691">
        <f>IF(AND(BJ43="",BN43=""),"",IF(BJ43="",0,(BJ43*VLOOKUP($B43,'A1.3.9'!$B$26:$O$57,9,TRUE))) + IF(BN43="",0,(BN43*VLOOKUP($B43,'A1.3.9'!$B$26:$O$57,10,TRUE))))</f>
        <v>-0.31586220759301842</v>
      </c>
      <c r="BS43" s="2644">
        <f>IF(AND(BK43="",BO43=""),"",IF(BK43="",0,(BK43*VLOOKUP($B43,'A1.3.9'!$B$26:$O$57,9,TRUE))) + IF(BO43="",0,(BO43*VLOOKUP($B43,'A1.3.9'!$B$26:$O$57,10,TRUE))))</f>
        <v>2.3169784014802726E-3</v>
      </c>
    </row>
    <row r="44" spans="1:71" ht="13.5" customHeight="1">
      <c r="A44" s="113"/>
      <c r="B44" s="614">
        <f t="shared" si="0"/>
        <v>2027</v>
      </c>
      <c r="C44" s="147"/>
      <c r="D44" s="693">
        <f>IF('A1.3.8'!D$27="","",IF(OR(VLOOKUP($B44,'A1.3.11'!$B$26:$AM$105,D$22,)="",VLOOKUP($B44,'A1.3.7'!$B$28:$H$118,3,)=""),"",VLOOKUP($B44,'A1.3.11'!$B$26:$AM$105,D$22,)*(VLOOKUP($B44,'A1.3.7'!$B$28:$O$118,3,)+VLOOKUP($B44,'A1.3.7'!$B$28:$O$118,8,))))</f>
        <v>33.211218641729623</v>
      </c>
      <c r="E44" s="691">
        <f>IF('A1.3.8'!E$27="","",IF(OR(VLOOKUP($B44,'A1.3.11'!$B$26:$AM$105,E$22,)="",VLOOKUP($B44,'A1.3.7'!$B$28:$H$118,3,)=""),"",VLOOKUP($B44,'A1.3.11'!$B$26:$AM$105,E$22,)*(VLOOKUP($B44,'A1.3.7'!$B$28:$O$118,3,)+VLOOKUP($B44,'A1.3.7'!$B$28:$O$118,8,))))</f>
        <v>7.0579226774966459</v>
      </c>
      <c r="F44" s="691">
        <f>IF('A1.3.8'!F$27="","",IF(OR(VLOOKUP($B44,'A1.3.11'!$B$26:$AM$105,F$22,)="",VLOOKUP($B44,'A1.3.7'!$B$28:$H$118,3,)=""),"",VLOOKUP($B44,'A1.3.11'!$B$26:$AM$105,F$22,)*(VLOOKUP($B44,'A1.3.7'!$B$28:$O$118,3,)+VLOOKUP($B44,'A1.3.7'!$B$28:$O$118,8,))))</f>
        <v>-8.0398109186210973E-2</v>
      </c>
      <c r="G44" s="2644">
        <f>IF('A1.3.8'!G$27="","",IF(OR(VLOOKUP($B44,'A1.3.11'!$B$26:$AM$105,G$22,)="",VLOOKUP($B44,'A1.3.7'!$B$28:$H$118,3,)=""),"",VLOOKUP($B44,'A1.3.11'!$B$26:$AM$105,G$22,)*(VLOOKUP($B44,'A1.3.7'!$B$28:$O$118,3,)+VLOOKUP($B44,'A1.3.7'!$B$28:$O$118,8,))))</f>
        <v>5.3247020819938097E-4</v>
      </c>
      <c r="H44" s="693">
        <f>IF('A1.3.8'!D$28="","",IF(OR(VLOOKUP($B44,'A1.3.11'!$B$26:$AM$105,H$22,)="",VLOOKUP($B44,'A1.3.7'!$B$28:$H$118,4,)=""),"",VLOOKUP($B44,'A1.3.11'!$B$26:$AM$105,H$22,)*(VLOOKUP($B44,'A1.3.7'!$B$28:$O$118,4,)+VLOOKUP($B44,'A1.3.7'!$B$28:$O$118,9,))))</f>
        <v>40.091369594693163</v>
      </c>
      <c r="I44" s="691">
        <f>IF('A1.3.8'!E$28="","",IF(OR(VLOOKUP($B44,'A1.3.11'!$B$26:$AM$105,I$22,)="",VLOOKUP($B44,'A1.3.7'!$B$28:$H$118,4,)=""),"",VLOOKUP($B44,'A1.3.11'!$B$26:$AM$105,I$22,)*(VLOOKUP($B44,'A1.3.7'!$B$28:$O$118,4,)+VLOOKUP($B44,'A1.3.7'!$B$28:$O$118,9,))))</f>
        <v>5.7481109414361358</v>
      </c>
      <c r="J44" s="691">
        <f>IF('A1.3.8'!F$28="","",IF(OR(VLOOKUP($B44,'A1.3.11'!$B$26:$AM$105,J$22,)="",VLOOKUP($B44,'A1.3.7'!$B$28:$H$118,4,)=""),"",VLOOKUP($B44,'A1.3.11'!$B$26:$AM$105,J$22,)*(VLOOKUP($B44,'A1.3.7'!$B$28:$O$118,4,)+VLOOKUP($B44,'A1.3.7'!$B$28:$O$118,9,))))</f>
        <v>-5.5298428569233837E-2</v>
      </c>
      <c r="K44" s="2644">
        <f>IF('A1.3.8'!G$28="","",IF(OR(VLOOKUP($B44,'A1.3.11'!$B$26:$AM$105,K$22,)="",VLOOKUP($B44,'A1.3.7'!$B$28:$H$118,4,)=""),"",VLOOKUP($B44,'A1.3.11'!$B$26:$AM$105,K$22,)*(VLOOKUP($B44,'A1.3.7'!$B$28:$O$118,4,)+VLOOKUP($B44,'A1.3.7'!$B$28:$O$118,9,))))</f>
        <v>4.3575439148912286E-4</v>
      </c>
      <c r="L44" s="693" t="str">
        <f>IF('A1.3.8'!D$36="","",IF(OR(VLOOKUP($B44,'A1.3.11'!$B$26:$AM$105,L$22,)="",VLOOKUP($B44,'A1.3.7'!$B$28:$H$118,6,)=""),"",VLOOKUP($B44,'A1.3.11'!$B$26:$AM$105,L$22,)*VLOOKUP($B44,'A1.3.7'!$B$28:$O$118,6,)))</f>
        <v/>
      </c>
      <c r="M44" s="691">
        <f>IF('A1.3.8'!E$36="","",IF(OR(VLOOKUP($B44,'A1.3.11'!$B$26:$AM$105,M$22,)="",VLOOKUP($B44,'A1.3.7'!$B$28:$H$118,6,)=""),"",VLOOKUP($B44,'A1.3.11'!$B$26:$AM$105,M$22,)*VLOOKUP($B44,'A1.3.7'!$B$28:$O$118,6,)))</f>
        <v>2.1900658093952901</v>
      </c>
      <c r="N44" s="691"/>
      <c r="O44" s="1664"/>
      <c r="P44" s="693">
        <f>IF(AND(D44="",H44="",L44=""),"",IF(D44="",0,(D44*VLOOKUP($B44,'A1.3.9'!$B$26:$O$57,3,TRUE)))+IF(H44="",0,(H44*VLOOKUP($B44,'A1.3.9'!$B$26:$O$57,4,TRUE)))+IF(L44="",0,(L44*VLOOKUP($B44,'A1.3.9'!$B$26:$O$57,5,TRUE))))</f>
        <v>33.263967033682036</v>
      </c>
      <c r="Q44" s="691">
        <f>IF(AND(E44="",I44="",M44=""),"",IF(E44="",0,(E44*VLOOKUP($B44,'A1.3.9'!$B$26:$O$57,3,TRUE)))+IF(I44="",0,(I44*VLOOKUP($B44,'A1.3.9'!$B$26:$O$57,4,TRUE)))+IF(M44="",0,(M44*VLOOKUP($B44,'A1.3.9'!$B$26:$O$57,5,TRUE))))</f>
        <v>6.1002334063342909</v>
      </c>
      <c r="R44" s="691">
        <f>IF(AND(F44="",J44="",N44=""),"",IF(F44="",0,(F44*VLOOKUP($B44,'A1.3.9'!$B$26:$O$57,3,TRUE)))+IF(J44="",0,(J44*VLOOKUP($B44,'A1.3.9'!$B$26:$O$57,4,TRUE)))+IF(N44="",0,(N44*VLOOKUP($B44,'A1.3.9'!$B$26:$O$57,5,TRUE))))</f>
        <v>-6.3137126291721218E-2</v>
      </c>
      <c r="S44" s="2644">
        <f>IF(AND(G44="",K44="",O44=""),"",IF(G44="",0,(G44*VLOOKUP($B44,'A1.3.9'!$B$26:$O$57,3,TRUE)))+IF(K44="",0,(K44*VLOOKUP($B44,'A1.3.9'!$B$26:$O$57,4,TRUE)))+IF(O44="",0,(O44*VLOOKUP($B44,'A1.3.9'!$B$26:$O$57,5,TRUE))))</f>
        <v>4.4710212569176863E-4</v>
      </c>
      <c r="T44" s="693">
        <f>IF('A1.3.8'!D$29="","",IF(OR(VLOOKUP($B44,'A1.3.11'!$B$26:$AM$105,T$22,)="",VLOOKUP($B44,'A1.3.7'!$B$28:$H$118,3,)=""),"",VLOOKUP($B44,'A1.3.11'!$B$26:$AM$105,T$22,)*(VLOOKUP($B44,'A1.3.7'!$B$28:$O$118,3,)+VLOOKUP($B44,'A1.3.7'!$B$28:$O$118,8,))))</f>
        <v>23.786486969016472</v>
      </c>
      <c r="U44" s="691">
        <f>IF('A1.3.8'!E$29="","",IF(OR(VLOOKUP($B44,'A1.3.11'!$B$26:$AM$105,U$22,)="",VLOOKUP($B44,'A1.3.7'!$B$28:$H$118,3,)=""),"",VLOOKUP($B44,'A1.3.11'!$B$26:$AM$105,U$22,)*(VLOOKUP($B44,'A1.3.7'!$B$28:$O$118,3,)+VLOOKUP($B44,'A1.3.7'!$B$28:$O$118,8,))))</f>
        <v>13.33808497780266</v>
      </c>
      <c r="V44" s="691">
        <f>IF('A1.3.8'!F$29="","",IF(OR(VLOOKUP($B44,'A1.3.11'!$B$26:$AM$105,V$22,)="",VLOOKUP($B44,'A1.3.7'!$B$28:$H$118,3,)=""),"",VLOOKUP($B44,'A1.3.11'!$B$26:$AM$105,V$22,)*(VLOOKUP($B44,'A1.3.7'!$B$28:$O$118,3,)+VLOOKUP($B44,'A1.3.7'!$B$28:$O$118,8,))))</f>
        <v>-0.20936415329387553</v>
      </c>
      <c r="W44" s="2644">
        <f>IF('A1.3.8'!G$29="","",IF(OR(VLOOKUP($B44,'A1.3.11'!$B$26:$AM$105,W$22,)="",VLOOKUP($B44,'A1.3.7'!$B$28:$H$118,3,)=""),"",VLOOKUP($B44,'A1.3.11'!$B$26:$AM$105,W$22,)*(VLOOKUP($B44,'A1.3.7'!$B$28:$O$118,3,)+VLOOKUP($B44,'A1.3.7'!$B$28:$O$118,8,))))</f>
        <v>1.3520815264004016E-3</v>
      </c>
      <c r="X44" s="693">
        <f>IF('A1.3.8'!D$30="","",IF(OR(VLOOKUP($B44,'A1.3.11'!$B$26:$AM$105,X$22,)="",VLOOKUP($B44,'A1.3.7'!$B$28:$H$118,4,)=""),"",VLOOKUP($B44,'A1.3.11'!$B$26:$AM$105,X$22,)*(VLOOKUP($B44,'A1.3.7'!$B$28:$O$118,4,)+VLOOKUP($B44,'A1.3.7'!$B$28:$O$118,9,))))</f>
        <v>40.955296040112628</v>
      </c>
      <c r="Y44" s="691">
        <f>IF('A1.3.8'!E$30="","",IF(OR(VLOOKUP($B44,'A1.3.11'!$B$26:$AM$105,Y$22,)="",VLOOKUP($B44,'A1.3.7'!$B$28:$H$118,4,)=""),"",VLOOKUP($B44,'A1.3.11'!$B$26:$AM$105,Y$22,)*(VLOOKUP($B44,'A1.3.7'!$B$28:$O$118,4,)+VLOOKUP($B44,'A1.3.7'!$B$28:$O$118,9,))))</f>
        <v>10.009641258620869</v>
      </c>
      <c r="Z44" s="691">
        <f>IF('A1.3.8'!F$30="","",IF(OR(VLOOKUP($B44,'A1.3.11'!$B$26:$AM$105,Z$22,)="",VLOOKUP($B44,'A1.3.7'!$B$28:$H$118,4,)=""),"",VLOOKUP($B44,'A1.3.11'!$B$26:$AM$105,Z$22,)*(VLOOKUP($B44,'A1.3.7'!$B$28:$O$118,4,)+VLOOKUP($B44,'A1.3.7'!$B$28:$O$118,9,))))</f>
        <v>-0.14440726710793994</v>
      </c>
      <c r="AA44" s="2644">
        <f>IF('A1.3.8'!G$30="","",IF(OR(VLOOKUP($B44,'A1.3.11'!$B$26:$AM$105,AA$22,)="",VLOOKUP($B44,'A1.3.7'!$B$28:$H$118,4,)=""),"",VLOOKUP($B44,'A1.3.11'!$B$26:$AM$105,AA$22,)*(VLOOKUP($B44,'A1.3.7'!$B$28:$O$118,4,)+VLOOKUP($B44,'A1.3.7'!$B$28:$O$118,9,))))</f>
        <v>1.222556958405055E-3</v>
      </c>
      <c r="AB44" s="693" t="str">
        <f>IF('A1.3.8'!D$37="","",IF(OR(VLOOKUP($B44,'A1.3.11'!$B$26:$AM$105,AB$22,)="",VLOOKUP($B44,'A1.3.7'!$B$28:$H$118,6,)=""),"",VLOOKUP($B44,'A1.3.11'!$B$26:$AM$105,AB$22,)*VLOOKUP($B44,'A1.3.7'!$B$28:$O$118,6,)))</f>
        <v/>
      </c>
      <c r="AC44" s="691">
        <f>IF('A1.3.8'!E$37="","",IF(OR(VLOOKUP($B44,'A1.3.11'!$B$26:$AM$105,AC$22,)="",VLOOKUP($B44,'A1.3.7'!$B$28:$H$118,6,)=""),"",VLOOKUP($B44,'A1.3.11'!$B$26:$AM$105,AC$22,)*VLOOKUP($B44,'A1.3.7'!$B$28:$O$118,6,)))</f>
        <v>4.5327633012911779</v>
      </c>
      <c r="AD44" s="691"/>
      <c r="AE44" s="1664" t="str">
        <f>IF('A1.3.8'!G$37="","",IF(OR(VLOOKUP($B44,'A1.3.11'!$B$26:$AM$105,AE$22,)="",VLOOKUP($B44,'A1.3.7'!$B$28:$H$118,6,)=""),"",VLOOKUP($B44,'A1.3.11'!$B$26:$AM$105,AE$22,)*VLOOKUP($B44,'A1.3.7'!$B$28:$O$118,6,)))</f>
        <v/>
      </c>
      <c r="AF44" s="693">
        <f>IF(AND(T44="",X44="",AB44=""),"",IF(T44="",0,(T44*VLOOKUP('A1.3.12'!$B44,'A1.3.9'!$B$26:$O$57,6,TRUE))) + IF(X44="",0,(X44*VLOOKUP('A1.3.12'!$B44,'A1.3.9'!$B$26:$O$57,7,TRUE))) + IF(AB44="",0,(AB44*VLOOKUP('A1.3.12'!$B44,'A1.3.9'!$B$26:$O$57,8,TRUE))))</f>
        <v>39.520732258868541</v>
      </c>
      <c r="AG44" s="691">
        <f>IF(AND(U44="",Y44="",AC44=""),"",IF(U44="",0,(U44*VLOOKUP('A1.3.12'!$B44,'A1.3.9'!$B$26:$O$57,6,TRUE))) + IF(Y44="",0,(Y44*VLOOKUP('A1.3.12'!$B44,'A1.3.9'!$B$26:$O$57,7,TRUE))) + IF(AC44="",0,(AC44*VLOOKUP('A1.3.12'!$B44,'A1.3.9'!$B$26:$O$57,8,TRUE))))</f>
        <v>9.8652894734768442</v>
      </c>
      <c r="AH44" s="691">
        <f>IF(AND(V44="",Z44="",AD44=""),"",IF(V44="",0,(V44*VLOOKUP('A1.3.12'!$B44,'A1.3.9'!$B$26:$O$57,6,TRUE))) + IF(Z44="",0,(Z44*VLOOKUP('A1.3.12'!$B44,'A1.3.9'!$B$26:$O$57,7,TRUE))) + IF(AD44="",0,(AD44*VLOOKUP('A1.3.12'!$B44,'A1.3.9'!$B$26:$O$57,8,TRUE))))</f>
        <v>-0.14040864499050285</v>
      </c>
      <c r="AI44" s="2644">
        <f>IF(AND(W44="",AA44="",AE44=""),"",IF(W44="",0,(W44*VLOOKUP('A1.3.12'!$B44,'A1.3.9'!$B$26:$O$57,6,TRUE))) + IF(AA44="",0,(AA44*VLOOKUP('A1.3.12'!$B44,'A1.3.9'!$B$26:$O$57,7,TRUE))) + IF(AE44="",0,(AE44*VLOOKUP('A1.3.12'!$B44,'A1.3.9'!$B$26:$O$57,8,TRUE))))</f>
        <v>1.185154795775319E-3</v>
      </c>
      <c r="AJ44" s="693">
        <f>IF('A1.3.8'!D$31="","",IF(OR(VLOOKUP($B44,'A1.3.11'!$B$26:$AM$105,AJ$22,)="",VLOOKUP($B44,'A1.3.7'!$B$28:$H$118,4,)=""),"",VLOOKUP($B44,'A1.3.11'!$B$26:$AM$105,AJ$22,)*(VLOOKUP($B44,'A1.3.7'!$B$28:$O$118,4,)+VLOOKUP($B44,'A1.3.7'!$B$28:$O$118,9,))))</f>
        <v>267.85834551337251</v>
      </c>
      <c r="AK44" s="691">
        <f>IF('A1.3.8'!E$31="","",IF(OR(VLOOKUP($B44,'A1.3.11'!$B$26:$AM$105,AK$22,)="",VLOOKUP($B44,'A1.3.7'!$B$28:$H$118,4,)=""),"",VLOOKUP($B44,'A1.3.11'!$B$26:$AM$105,AK$22,)*(VLOOKUP($B44,'A1.3.7'!$B$28:$O$118,4,)+VLOOKUP($B44,'A1.3.7'!$B$28:$O$118,9,))))</f>
        <v>14.211815224049381</v>
      </c>
      <c r="AL44" s="691">
        <f>IF('A1.3.8'!F$31="","",IF(OR(VLOOKUP($B44,'A1.3.11'!$B$26:$AM$105,AL$22,)="",VLOOKUP($B44,'A1.3.7'!$B$28:$H$118,4,)=""),"",VLOOKUP($B44,'A1.3.11'!$B$26:$AM$105,AL$22,)*(VLOOKUP($B44,'A1.3.7'!$B$28:$O$118,4,)+VLOOKUP($B44,'A1.3.7'!$B$28:$O$118,9,))))</f>
        <v>-0.10272309067387082</v>
      </c>
      <c r="AM44" s="2644">
        <f>IF('A1.3.8'!G$31="","",IF(OR(VLOOKUP($B44,'A1.3.11'!$B$26:$AM$105,AM$22,)="",VLOOKUP($B44,'A1.3.7'!$B$28:$H$118,4,)=""),"",VLOOKUP($B44,'A1.3.11'!$B$26:$AM$105,AM$22,)*(VLOOKUP($B44,'A1.3.7'!$B$28:$O$118,4,)+VLOOKUP($B44,'A1.3.7'!$B$28:$O$118,9,))))</f>
        <v>1.1219009697203614E-3</v>
      </c>
      <c r="AN44" s="693" t="str">
        <f>IF('A1.3.8'!D$38="","",IF(OR(VLOOKUP($B44,'A1.3.11'!$B$26:$AM$105,AN$22,)="",VLOOKUP($B44,'A1.3.7'!$B$28:$H$118,6,)=""),"",VLOOKUP($B44,'A1.3.11'!$B$26:$AM$105,AN$22,)*VLOOKUP($B44,'A1.3.7'!$B$28:$O$118,6,)))</f>
        <v/>
      </c>
      <c r="AO44" s="691" t="str">
        <f>IF('A1.3.8'!E$38="","",IF(OR(VLOOKUP($B44,'A1.3.11'!$B$26:$AM$105,AO$22,)="",VLOOKUP($B44,'A1.3.7'!$B$28:$H$118,6,)=""),"",VLOOKUP($B44,'A1.3.11'!$B$26:$AM$105,AO$22,)*VLOOKUP($B44,'A1.3.7'!$B$28:$O$118,6,)))</f>
        <v/>
      </c>
      <c r="AP44" s="691" t="str">
        <f>IF('A1.3.8'!F$38="","",IF(OR(VLOOKUP($B44,'A1.3.11'!$B$26:$AM$105,AP$22,)="",VLOOKUP($B44,'A1.3.7'!$B$28:$H$118,6,)=""),"",VLOOKUP($B44,'A1.3.11'!$B$26:$AM$105,AP$22,)*VLOOKUP($B44,'A1.3.7'!$B$28:$O$118,6,)))</f>
        <v/>
      </c>
      <c r="AQ44" s="1664" t="str">
        <f>IF('A1.3.8'!G$38="","",IF(OR(VLOOKUP($B44,'A1.3.11'!$B$26:$AM$105,AQ$22,)="",VLOOKUP($B44,'A1.3.7'!$B$28:$H$118,6,)=""),"",VLOOKUP($B44,'A1.3.11'!$B$26:$AM$105,AQ$22,)*VLOOKUP($B44,'A1.3.7'!$B$28:$O$118,6,)))</f>
        <v/>
      </c>
      <c r="AR44" s="693">
        <f>IF(AND(AJ44="",AN44=""),"",IF(AJ44="",0,(AJ44*VLOOKUP($B44,'A1.3.9'!$B$26:$O$57,9,TRUE))) + IF(AN44="",0,(AN44*VLOOKUP($B44,'A1.3.9'!$B$26:$O$57,10,TRUE))))</f>
        <v>267.85834551337251</v>
      </c>
      <c r="AS44" s="691">
        <f>IF(AND(AK44="",AO44=""),"",IF(AK44="",0,(AK44*VLOOKUP($B44,'A1.3.9'!$B$26:$O$57,9,TRUE))) + IF(AO44="",0,(AO44*VLOOKUP($B44,'A1.3.9'!$B$26:$O$57,10,TRUE))))</f>
        <v>14.211815224049381</v>
      </c>
      <c r="AT44" s="691">
        <f>IF(AND(AL44="",AP44=""),"",IF(AL44="",0,(AL44*VLOOKUP($B44,'A1.3.9'!$B$26:$O$57,9,TRUE))) + IF(AP44="",0,(AP44*VLOOKUP($B44,'A1.3.9'!$B$26:$O$57,10,TRUE))))</f>
        <v>-0.10272309067387082</v>
      </c>
      <c r="AU44" s="2644">
        <f>IF(AND(AM44="",AQ44=""),"",IF(AM44="",0,(AM44*VLOOKUP($B44,'A1.3.9'!$B$26:$O$57,9,TRUE))) + IF(AQ44="",0,(AQ44*VLOOKUP($B44,'A1.3.9'!$B$26:$O$57,10,TRUE))))</f>
        <v>1.1219009697203614E-3</v>
      </c>
      <c r="AV44" s="693">
        <f>IF('A1.3.8'!D$32="","",IF(OR(VLOOKUP($B44,'A1.3.11'!$B$26:$AM$105,AV$22,)="",VLOOKUP($B44,'A1.3.7'!$B$28:$H$118,4,)=""),"",VLOOKUP($B44,'A1.3.11'!$B$26:$AM$105,AV$22,)*(VLOOKUP($B44,'A1.3.7'!$B$28:$O$118,4,)+VLOOKUP($B44,'A1.3.7'!$B$28:$O$118,9,))))</f>
        <v>562.84018157780406</v>
      </c>
      <c r="AW44" s="691">
        <f>IF('A1.3.8'!E$32="","",IF(OR(VLOOKUP($B44,'A1.3.11'!$B$26:$AM$105,AW$22,)="",VLOOKUP($B44,'A1.3.7'!$B$28:$H$118,4,)=""),"",VLOOKUP($B44,'A1.3.11'!$B$26:$AM$105,AW$22,)*(VLOOKUP($B44,'A1.3.7'!$B$28:$O$118,4,)+VLOOKUP($B44,'A1.3.7'!$B$28:$O$118,9,))))</f>
        <v>29.229287926777868</v>
      </c>
      <c r="AX44" s="691">
        <f>IF('A1.3.8'!F$32="","",IF(OR(VLOOKUP($B44,'A1.3.11'!$B$26:$AM$105,AX$22,)="",VLOOKUP($B44,'A1.3.7'!$B$28:$H$118,4,)=""),"",VLOOKUP($B44,'A1.3.11'!$B$26:$AM$105,AX$22,)*(VLOOKUP($B44,'A1.3.7'!$B$28:$O$118,4,)+VLOOKUP($B44,'A1.3.7'!$B$28:$O$118,9,))))</f>
        <v>-0.19365940897041833</v>
      </c>
      <c r="AY44" s="2644">
        <f>IF('A1.3.8'!G$32="","",IF(OR(VLOOKUP($B44,'A1.3.11'!$B$26:$AM$105,AY$22,)="",VLOOKUP($B44,'A1.3.7'!$B$28:$H$118,4,)=""),"",VLOOKUP($B44,'A1.3.11'!$B$26:$AM$105,AY$22,)*(VLOOKUP($B44,'A1.3.7'!$B$28:$O$118,4,)+VLOOKUP($B44,'A1.3.7'!$B$28:$O$118,9,))))</f>
        <v>1.1542906072938305E-3</v>
      </c>
      <c r="AZ44" s="693" t="str">
        <f>IF('A1.3.8'!D$39="","",IF(OR(VLOOKUP($B44,'A1.3.11'!$B$26:$AM$105,AZ$22,)="",VLOOKUP($B44,'A1.3.7'!$B$28:$H$118,6,)=""),"",VLOOKUP($B44,'A1.3.11'!$B$26:$AM$105,AZ$22,)*VLOOKUP($B44,'A1.3.7'!$B$28:$O$118,6,)))</f>
        <v/>
      </c>
      <c r="BA44" s="691" t="str">
        <f>IF('A1.3.8'!E$39="","",IF(OR(VLOOKUP($B44,'A1.3.11'!$B$26:$AM$105,BA$22,)="",VLOOKUP($B44,'A1.3.7'!$B$28:$H$118,6,)=""),"",VLOOKUP($B44,'A1.3.11'!$B$26:$AM$105,BA$22,)*VLOOKUP($B44,'A1.3.7'!$B$28:$O$118,6,)))</f>
        <v/>
      </c>
      <c r="BB44" s="691" t="str">
        <f>IF('A1.3.8'!F$39="","",IF(OR(VLOOKUP($B44,'A1.3.11'!$B$26:$AM$105,BB$22,)="",VLOOKUP($B44,'A1.3.7'!$B$28:$H$118,6,)=""),"",VLOOKUP($B44,'A1.3.11'!$B$26:$AM$105,BB$22,)*VLOOKUP($B44,'A1.3.7'!$B$28:$O$118,6,)))</f>
        <v/>
      </c>
      <c r="BC44" s="1664" t="str">
        <f>IF('A1.3.8'!G$39="","",IF(OR(VLOOKUP($B44,'A1.3.11'!$B$26:$AM$105,BC$22,)="",VLOOKUP($B44,'A1.3.7'!$B$28:$H$118,6,)=""),"",VLOOKUP($B44,'A1.3.11'!$B$26:$AM$105,BC$22,)*VLOOKUP($B44,'A1.3.7'!$B$28:$O$118,6,)))</f>
        <v/>
      </c>
      <c r="BD44" s="693">
        <f>IF(AND(AV44="",AZ44=""),"",IF(AV44="",0,(AV44*VLOOKUP($B44,'A1.3.9'!$B$26:$O$57,9,TRUE))) + IF(AZ44="",0,(AZ44*VLOOKUP($B44,'A1.3.9'!$B$26:$O$57,10,TRUE))))</f>
        <v>562.84018157780406</v>
      </c>
      <c r="BE44" s="691">
        <f>IF(AND(AW44="",BA44=""),"",IF(AW44="",0,(AW44*VLOOKUP($B44,'A1.3.9'!$B$26:$O$57,9,TRUE))) + IF(BA44="",0,(BA44*VLOOKUP($B44,'A1.3.9'!$B$26:$O$57,10,TRUE))))</f>
        <v>29.229287926777868</v>
      </c>
      <c r="BF44" s="691">
        <f>IF(AND(AX44="",BB44=""),"",IF(AX44="",0,(AX44*VLOOKUP($B44,'A1.3.9'!$B$26:$O$57,9,TRUE))) + IF(BB44="",0,(BB44*VLOOKUP($B44,'A1.3.9'!$B$26:$O$57,10,TRUE))))</f>
        <v>-0.19365940897041833</v>
      </c>
      <c r="BG44" s="2644">
        <f>IF(AND(AY44="",BC44=""),"",IF(AY44="",0,(AY44*VLOOKUP($B44,'A1.3.9'!$B$26:$O$57,9,TRUE))) + IF(BC44="",0,(BC44*VLOOKUP($B44,'A1.3.9'!$B$26:$O$57,10,TRUE))))</f>
        <v>1.1542906072938305E-3</v>
      </c>
      <c r="BH44" s="693">
        <f>IF('A1.3.8'!D$33="","",IF(OR(VLOOKUP($B44,'A1.3.11'!$B$26:$AM$105,BH$22,)="",VLOOKUP($B44,'A1.3.7'!$B$28:$H$118,4,)=""),"",VLOOKUP($B44,'A1.3.11'!$B$26:$AM$105,BH$22,)*(VLOOKUP($B44,'A1.3.7'!$B$28:$O$118,4,)+VLOOKUP($B44,'A1.3.7'!$B$28:$O$118,9,))))</f>
        <v>333.81270098675191</v>
      </c>
      <c r="BI44" s="691">
        <f>IF('A1.3.8'!E$33="","",IF(OR(VLOOKUP($B44,'A1.3.11'!$B$26:$AM$105,BI$22,)="",VLOOKUP($B44,'A1.3.7'!$B$28:$H$118,4,)=""),"",VLOOKUP($B44,'A1.3.11'!$B$26:$AM$105,BI$22,)*(VLOOKUP($B44,'A1.3.7'!$B$28:$O$118,4,)+VLOOKUP($B44,'A1.3.7'!$B$28:$O$118,9,))))</f>
        <v>29.331104158697588</v>
      </c>
      <c r="BJ44" s="691">
        <f>IF('A1.3.8'!F$33="","",IF(OR(VLOOKUP($B44,'A1.3.11'!$B$26:$AM$105,BJ$22,)="",VLOOKUP($B44,'A1.3.7'!$B$28:$H$118,4,)=""),"",VLOOKUP($B44,'A1.3.11'!$B$26:$AM$105,BJ$22,)*(VLOOKUP($B44,'A1.3.7'!$B$28:$O$118,4,)+VLOOKUP($B44,'A1.3.7'!$B$28:$O$118,9,))))</f>
        <v>-0.31880295960715599</v>
      </c>
      <c r="BK44" s="2644">
        <f>IF('A1.3.8'!G$33="","",IF(OR(VLOOKUP($B44,'A1.3.11'!$B$26:$AM$105,BK$22,)="",VLOOKUP($B44,'A1.3.7'!$B$28:$H$118,4,)=""),"",VLOOKUP($B44,'A1.3.11'!$B$26:$AM$105,BK$22,)*(VLOOKUP($B44,'A1.3.7'!$B$28:$O$118,4,)+VLOOKUP($B44,'A1.3.7'!$B$28:$O$118,9,))))</f>
        <v>2.3385500195373639E-3</v>
      </c>
      <c r="BL44" s="693" t="str">
        <f>IF('A1.3.8'!D$40="","",IF(OR(VLOOKUP($B44,'A1.3.11'!$B$26:$AM$105,BL$22,)="",VLOOKUP($B44,'A1.3.7'!$B$28:$H$118,6,)=""),"",VLOOKUP($B44,'A1.3.11'!$B$26:$AM$105,BL$22,)*VLOOKUP($B44,'A1.3.7'!$B$28:$O$118,6,)))</f>
        <v/>
      </c>
      <c r="BM44" s="691" t="str">
        <f>IF('A1.3.8'!E$40="","",IF(OR(VLOOKUP($B44,'A1.3.11'!$B$26:$AM$105,BM$22,)="",VLOOKUP($B44,'A1.3.7'!$B$28:$H$118,6,)=""),"",VLOOKUP($B44,'A1.3.11'!$B$26:$AM$105,BM$22,)*VLOOKUP($B44,'A1.3.7'!$B$28:$O$118,6,)))</f>
        <v/>
      </c>
      <c r="BN44" s="691" t="str">
        <f>IF('A1.3.8'!F$40="","",IF(OR(VLOOKUP($B44,'A1.3.11'!$B$26:$AM$105,BN$22,)="",VLOOKUP($B44,'A1.3.7'!$B$28:$H$118,6,)=""),"",VLOOKUP($B44,'A1.3.11'!$B$26:$AM$105,BN$22,)*VLOOKUP($B44,'A1.3.7'!$B$28:$O$118,6,)))</f>
        <v/>
      </c>
      <c r="BO44" s="1664" t="str">
        <f>IF('A1.3.8'!G$40="","",IF(OR(VLOOKUP($B44,'A1.3.11'!$B$26:$AM$105,BO$22,)="",VLOOKUP($B44,'A1.3.7'!$B$28:$H$118,6,)=""),"",VLOOKUP($B44,'A1.3.11'!$B$26:$AM$105,BO$22,)*VLOOKUP($B44,'A1.3.7'!$B$28:$O$118,6,)))</f>
        <v/>
      </c>
      <c r="BP44" s="693">
        <f>IF(AND(BH44="",BL44=""),"",IF(BH44="",0,(BH44*VLOOKUP($B44,'A1.3.9'!$B$26:$O$57,9,TRUE))) + IF(BL44="",0,(BL44*VLOOKUP($B44,'A1.3.9'!$B$26:$O$57,10,TRUE))))</f>
        <v>333.81270098675191</v>
      </c>
      <c r="BQ44" s="691">
        <f>IF(AND(BI44="",BM44=""),"",IF(BI44="",0,(BI44*VLOOKUP($B44,'A1.3.9'!$B$26:$O$57,9,TRUE))) + IF(BM44="",0,(BM44*VLOOKUP($B44,'A1.3.9'!$B$26:$O$57,10,TRUE))))</f>
        <v>29.331104158697588</v>
      </c>
      <c r="BR44" s="691">
        <f>IF(AND(BJ44="",BN44=""),"",IF(BJ44="",0,(BJ44*VLOOKUP($B44,'A1.3.9'!$B$26:$O$57,9,TRUE))) + IF(BN44="",0,(BN44*VLOOKUP($B44,'A1.3.9'!$B$26:$O$57,10,TRUE))))</f>
        <v>-0.31880295960715599</v>
      </c>
      <c r="BS44" s="2644">
        <f>IF(AND(BK44="",BO44=""),"",IF(BK44="",0,(BK44*VLOOKUP($B44,'A1.3.9'!$B$26:$O$57,9,TRUE))) + IF(BO44="",0,(BO44*VLOOKUP($B44,'A1.3.9'!$B$26:$O$57,10,TRUE))))</f>
        <v>2.3385500195373639E-3</v>
      </c>
    </row>
    <row r="45" spans="1:71" ht="13.5" customHeight="1">
      <c r="A45" s="113"/>
      <c r="B45" s="614">
        <f t="shared" si="0"/>
        <v>2028</v>
      </c>
      <c r="C45" s="147"/>
      <c r="D45" s="693">
        <f>IF('A1.3.8'!D$27="","",IF(OR(VLOOKUP($B45,'A1.3.11'!$B$26:$AM$105,D$22,)="",VLOOKUP($B45,'A1.3.7'!$B$28:$H$118,3,)=""),"",VLOOKUP($B45,'A1.3.11'!$B$26:$AM$105,D$22,)*(VLOOKUP($B45,'A1.3.7'!$B$28:$O$118,3,)+VLOOKUP($B45,'A1.3.7'!$B$28:$O$118,8,))))</f>
        <v>32.980454118364356</v>
      </c>
      <c r="E45" s="691">
        <f>IF('A1.3.8'!E$27="","",IF(OR(VLOOKUP($B45,'A1.3.11'!$B$26:$AM$105,E$22,)="",VLOOKUP($B45,'A1.3.7'!$B$28:$H$118,3,)=""),"",VLOOKUP($B45,'A1.3.11'!$B$26:$AM$105,E$22,)*(VLOOKUP($B45,'A1.3.7'!$B$28:$O$118,3,)+VLOOKUP($B45,'A1.3.7'!$B$28:$O$118,8,))))</f>
        <v>7.0088814730713755</v>
      </c>
      <c r="F45" s="691">
        <f>IF('A1.3.8'!F$27="","",IF(OR(VLOOKUP($B45,'A1.3.11'!$B$26:$AM$105,F$22,)="",VLOOKUP($B45,'A1.3.7'!$B$28:$H$118,3,)=""),"",VLOOKUP($B45,'A1.3.11'!$B$26:$AM$105,F$22,)*(VLOOKUP($B45,'A1.3.7'!$B$28:$O$118,3,)+VLOOKUP($B45,'A1.3.7'!$B$28:$O$118,8,))))</f>
        <v>-7.9839471710544466E-2</v>
      </c>
      <c r="G45" s="2644">
        <f>IF('A1.3.8'!G$27="","",IF(OR(VLOOKUP($B45,'A1.3.11'!$B$26:$AM$105,G$22,)="",VLOOKUP($B45,'A1.3.7'!$B$28:$H$118,3,)=""),"",VLOOKUP($B45,'A1.3.11'!$B$26:$AM$105,G$22,)*(VLOOKUP($B45,'A1.3.7'!$B$28:$O$118,3,)+VLOOKUP($B45,'A1.3.7'!$B$28:$O$118,8,))))</f>
        <v>5.2877039714677057E-4</v>
      </c>
      <c r="H45" s="693">
        <f>IF('A1.3.8'!D$28="","",IF(OR(VLOOKUP($B45,'A1.3.11'!$B$26:$AM$105,H$22,)="",VLOOKUP($B45,'A1.3.7'!$B$28:$H$118,4,)=""),"",VLOOKUP($B45,'A1.3.11'!$B$26:$AM$105,H$22,)*(VLOOKUP($B45,'A1.3.7'!$B$28:$O$118,4,)+VLOOKUP($B45,'A1.3.7'!$B$28:$O$118,9,))))</f>
        <v>40.03220401919743</v>
      </c>
      <c r="I45" s="691">
        <f>IF('A1.3.8'!E$28="","",IF(OR(VLOOKUP($B45,'A1.3.11'!$B$26:$AM$105,I$22,)="",VLOOKUP($B45,'A1.3.7'!$B$28:$H$118,4,)=""),"",VLOOKUP($B45,'A1.3.11'!$B$26:$AM$105,I$22,)*(VLOOKUP($B45,'A1.3.7'!$B$28:$O$118,4,)+VLOOKUP($B45,'A1.3.7'!$B$28:$O$118,9,))))</f>
        <v>5.7396280610730663</v>
      </c>
      <c r="J45" s="691">
        <f>IF('A1.3.8'!F$28="","",IF(OR(VLOOKUP($B45,'A1.3.11'!$B$26:$AM$105,J$22,)="",VLOOKUP($B45,'A1.3.7'!$B$28:$H$118,4,)=""),"",VLOOKUP($B45,'A1.3.11'!$B$26:$AM$105,J$22,)*(VLOOKUP($B45,'A1.3.7'!$B$28:$O$118,4,)+VLOOKUP($B45,'A1.3.7'!$B$28:$O$118,9,))))</f>
        <v>-5.5216820896974585E-2</v>
      </c>
      <c r="K45" s="2644">
        <f>IF('A1.3.8'!G$28="","",IF(OR(VLOOKUP($B45,'A1.3.11'!$B$26:$AM$105,K$22,)="",VLOOKUP($B45,'A1.3.7'!$B$28:$H$118,4,)=""),"",VLOOKUP($B45,'A1.3.11'!$B$26:$AM$105,K$22,)*(VLOOKUP($B45,'A1.3.7'!$B$28:$O$118,4,)+VLOOKUP($B45,'A1.3.7'!$B$28:$O$118,9,))))</f>
        <v>4.3511131893740189E-4</v>
      </c>
      <c r="L45" s="693" t="str">
        <f>IF('A1.3.8'!D$36="","",IF(OR(VLOOKUP($B45,'A1.3.11'!$B$26:$AM$105,L$22,)="",VLOOKUP($B45,'A1.3.7'!$B$28:$H$118,6,)=""),"",VLOOKUP($B45,'A1.3.11'!$B$26:$AM$105,L$22,)*VLOOKUP($B45,'A1.3.7'!$B$28:$O$118,6,)))</f>
        <v/>
      </c>
      <c r="M45" s="691">
        <f>IF('A1.3.8'!E$36="","",IF(OR(VLOOKUP($B45,'A1.3.11'!$B$26:$AM$105,M$22,)="",VLOOKUP($B45,'A1.3.7'!$B$28:$H$118,6,)=""),"",VLOOKUP($B45,'A1.3.11'!$B$26:$AM$105,M$22,)*VLOOKUP($B45,'A1.3.7'!$B$28:$O$118,6,)))</f>
        <v>2.1183787579165836</v>
      </c>
      <c r="N45" s="691"/>
      <c r="O45" s="1664"/>
      <c r="P45" s="693">
        <f>IF(AND(D45="",H45="",L45=""),"",IF(D45="",0,(D45*VLOOKUP($B45,'A1.3.9'!$B$26:$O$57,3,TRUE)))+IF(H45="",0,(H45*VLOOKUP($B45,'A1.3.9'!$B$26:$O$57,4,TRUE)))+IF(L45="",0,(L45*VLOOKUP($B45,'A1.3.9'!$B$26:$O$57,5,TRUE))))</f>
        <v>32.414655161394592</v>
      </c>
      <c r="Q45" s="691">
        <f>IF(AND(E45="",I45="",M45=""),"",IF(E45="",0,(E45*VLOOKUP($B45,'A1.3.9'!$B$26:$O$57,3,TRUE)))+IF(I45="",0,(I45*VLOOKUP($B45,'A1.3.9'!$B$26:$O$57,4,TRUE)))+IF(M45="",0,(M45*VLOOKUP($B45,'A1.3.9'!$B$26:$O$57,5,TRUE))))</f>
        <v>5.9979168497388997</v>
      </c>
      <c r="R45" s="691">
        <f>IF(AND(F45="",J45="",N45=""),"",IF(F45="",0,(F45*VLOOKUP($B45,'A1.3.9'!$B$26:$O$57,3,TRUE)))+IF(J45="",0,(J45*VLOOKUP($B45,'A1.3.9'!$B$26:$O$57,4,TRUE)))+IF(N45="",0,(N45*VLOOKUP($B45,'A1.3.9'!$B$26:$O$57,5,TRUE))))</f>
        <v>-6.1772583019661348E-2</v>
      </c>
      <c r="S45" s="2644">
        <f>IF(AND(G45="",K45="",O45=""),"",IF(G45="",0,(G45*VLOOKUP($B45,'A1.3.9'!$B$26:$O$57,3,TRUE)))+IF(K45="",0,(K45*VLOOKUP($B45,'A1.3.9'!$B$26:$O$57,4,TRUE)))+IF(O45="",0,(O45*VLOOKUP($B45,'A1.3.9'!$B$26:$O$57,5,TRUE))))</f>
        <v>4.3691363432310211E-4</v>
      </c>
      <c r="T45" s="693">
        <f>IF('A1.3.8'!D$29="","",IF(OR(VLOOKUP($B45,'A1.3.11'!$B$26:$AM$105,T$22,)="",VLOOKUP($B45,'A1.3.7'!$B$28:$H$118,3,)=""),"",VLOOKUP($B45,'A1.3.11'!$B$26:$AM$105,T$22,)*(VLOOKUP($B45,'A1.3.7'!$B$28:$O$118,3,)+VLOOKUP($B45,'A1.3.7'!$B$28:$O$118,8,))))</f>
        <v>23.697928396321956</v>
      </c>
      <c r="U45" s="691">
        <f>IF('A1.3.8'!E$29="","",IF(OR(VLOOKUP($B45,'A1.3.11'!$B$26:$AM$105,U$22,)="",VLOOKUP($B45,'A1.3.7'!$B$28:$H$118,3,)=""),"",VLOOKUP($B45,'A1.3.11'!$B$26:$AM$105,U$22,)*(VLOOKUP($B45,'A1.3.7'!$B$28:$O$118,3,)+VLOOKUP($B45,'A1.3.7'!$B$28:$O$118,8,))))</f>
        <v>13.288426456573738</v>
      </c>
      <c r="V45" s="691">
        <f>IF('A1.3.8'!F$29="","",IF(OR(VLOOKUP($B45,'A1.3.11'!$B$26:$AM$105,V$22,)="",VLOOKUP($B45,'A1.3.7'!$B$28:$H$118,3,)=""),"",VLOOKUP($B45,'A1.3.11'!$B$26:$AM$105,V$22,)*(VLOOKUP($B45,'A1.3.7'!$B$28:$O$118,3,)+VLOOKUP($B45,'A1.3.7'!$B$28:$O$118,8,))))</f>
        <v>-0.20858467750944162</v>
      </c>
      <c r="W45" s="2644">
        <f>IF('A1.3.8'!G$29="","",IF(OR(VLOOKUP($B45,'A1.3.11'!$B$26:$AM$105,W$22,)="",VLOOKUP($B45,'A1.3.7'!$B$28:$H$118,3,)=""),"",VLOOKUP($B45,'A1.3.11'!$B$26:$AM$105,W$22,)*(VLOOKUP($B45,'A1.3.7'!$B$28:$O$118,3,)+VLOOKUP($B45,'A1.3.7'!$B$28:$O$118,8,))))</f>
        <v>1.3470476426536923E-3</v>
      </c>
      <c r="X45" s="693">
        <f>IF('A1.3.8'!D$30="","",IF(OR(VLOOKUP($B45,'A1.3.11'!$B$26:$AM$105,X$22,)="",VLOOKUP($B45,'A1.3.7'!$B$28:$H$118,4,)=""),"",VLOOKUP($B45,'A1.3.11'!$B$26:$AM$105,X$22,)*(VLOOKUP($B45,'A1.3.7'!$B$28:$O$118,4,)+VLOOKUP($B45,'A1.3.7'!$B$28:$O$118,9,))))</f>
        <v>41.035474182697229</v>
      </c>
      <c r="Y45" s="691">
        <f>IF('A1.3.8'!E$30="","",IF(OR(VLOOKUP($B45,'A1.3.11'!$B$26:$AM$105,Y$22,)="",VLOOKUP($B45,'A1.3.7'!$B$28:$H$118,4,)=""),"",VLOOKUP($B45,'A1.3.11'!$B$26:$AM$105,Y$22,)*(VLOOKUP($B45,'A1.3.7'!$B$28:$O$118,4,)+VLOOKUP($B45,'A1.3.7'!$B$28:$O$118,9,))))</f>
        <v>10.029237123421073</v>
      </c>
      <c r="Z45" s="691">
        <f>IF('A1.3.8'!F$30="","",IF(OR(VLOOKUP($B45,'A1.3.11'!$B$26:$AM$105,Z$22,)="",VLOOKUP($B45,'A1.3.7'!$B$28:$H$118,4,)=""),"",VLOOKUP($B45,'A1.3.11'!$B$26:$AM$105,Z$22,)*(VLOOKUP($B45,'A1.3.7'!$B$28:$O$118,4,)+VLOOKUP($B45,'A1.3.7'!$B$28:$O$118,9,))))</f>
        <v>-0.14468997307204998</v>
      </c>
      <c r="AA45" s="2644">
        <f>IF('A1.3.8'!G$30="","",IF(OR(VLOOKUP($B45,'A1.3.11'!$B$26:$AM$105,AA$22,)="",VLOOKUP($B45,'A1.3.7'!$B$28:$H$118,4,)=""),"",VLOOKUP($B45,'A1.3.11'!$B$26:$AM$105,AA$22,)*(VLOOKUP($B45,'A1.3.7'!$B$28:$O$118,4,)+VLOOKUP($B45,'A1.3.7'!$B$28:$O$118,9,))))</f>
        <v>1.2249503569543609E-3</v>
      </c>
      <c r="AB45" s="693" t="str">
        <f>IF('A1.3.8'!D$37="","",IF(OR(VLOOKUP($B45,'A1.3.11'!$B$26:$AM$105,AB$22,)="",VLOOKUP($B45,'A1.3.7'!$B$28:$H$118,6,)=""),"",VLOOKUP($B45,'A1.3.11'!$B$26:$AM$105,AB$22,)*VLOOKUP($B45,'A1.3.7'!$B$28:$O$118,6,)))</f>
        <v/>
      </c>
      <c r="AC45" s="691">
        <f>IF('A1.3.8'!E$37="","",IF(OR(VLOOKUP($B45,'A1.3.11'!$B$26:$AM$105,AC$22,)="",VLOOKUP($B45,'A1.3.7'!$B$28:$H$118,6,)=""),"",VLOOKUP($B45,'A1.3.11'!$B$26:$AM$105,AC$22,)*VLOOKUP($B45,'A1.3.7'!$B$28:$O$118,6,)))</f>
        <v>4.4414043106384211</v>
      </c>
      <c r="AD45" s="691"/>
      <c r="AE45" s="1664" t="str">
        <f>IF('A1.3.8'!G$37="","",IF(OR(VLOOKUP($B45,'A1.3.11'!$B$26:$AM$105,AE$22,)="",VLOOKUP($B45,'A1.3.7'!$B$28:$H$118,6,)=""),"",VLOOKUP($B45,'A1.3.11'!$B$26:$AM$105,AE$22,)*VLOOKUP($B45,'A1.3.7'!$B$28:$O$118,6,)))</f>
        <v/>
      </c>
      <c r="AF45" s="693">
        <f>IF(AND(T45="",X45="",AB45=""),"",IF(T45="",0,(T45*VLOOKUP('A1.3.12'!$B45,'A1.3.9'!$B$26:$O$57,6,TRUE))) + IF(X45="",0,(X45*VLOOKUP('A1.3.12'!$B45,'A1.3.9'!$B$26:$O$57,7,TRUE))) + IF(AB45="",0,(AB45*VLOOKUP('A1.3.12'!$B45,'A1.3.9'!$B$26:$O$57,8,TRUE))))</f>
        <v>39.273065228353722</v>
      </c>
      <c r="AG45" s="691">
        <f>IF(AND(U45="",Y45="",AC45=""),"",IF(U45="",0,(U45*VLOOKUP('A1.3.12'!$B45,'A1.3.9'!$B$26:$O$57,6,TRUE))) + IF(Y45="",0,(Y45*VLOOKUP('A1.3.12'!$B45,'A1.3.9'!$B$26:$O$57,7,TRUE))) + IF(AC45="",0,(AC45*VLOOKUP('A1.3.12'!$B45,'A1.3.9'!$B$26:$O$57,8,TRUE))))</f>
        <v>9.8362738404612635</v>
      </c>
      <c r="AH45" s="691">
        <f>IF(AND(V45="",Z45="",AD45=""),"",IF(V45="",0,(V45*VLOOKUP('A1.3.12'!$B45,'A1.3.9'!$B$26:$O$57,6,TRUE))) + IF(Z45="",0,(Z45*VLOOKUP('A1.3.12'!$B45,'A1.3.9'!$B$26:$O$57,7,TRUE))) + IF(AD45="",0,(AD45*VLOOKUP('A1.3.12'!$B45,'A1.3.9'!$B$26:$O$57,8,TRUE))))</f>
        <v>-0.1395219143640675</v>
      </c>
      <c r="AI45" s="2644">
        <f>IF(AND(W45="",AA45="",AE45=""),"",IF(W45="",0,(W45*VLOOKUP('A1.3.12'!$B45,'A1.3.9'!$B$26:$O$57,6,TRUE))) + IF(AA45="",0,(AA45*VLOOKUP('A1.3.12'!$B45,'A1.3.9'!$B$26:$O$57,7,TRUE))) + IF(AE45="",0,(AE45*VLOOKUP('A1.3.12'!$B45,'A1.3.9'!$B$26:$O$57,8,TRUE))))</f>
        <v>1.1776928055537931E-3</v>
      </c>
      <c r="AJ45" s="693">
        <f>IF('A1.3.8'!D$31="","",IF(OR(VLOOKUP($B45,'A1.3.11'!$B$26:$AM$105,AJ$22,)="",VLOOKUP($B45,'A1.3.7'!$B$28:$H$118,4,)=""),"",VLOOKUP($B45,'A1.3.11'!$B$26:$AM$105,AJ$22,)*(VLOOKUP($B45,'A1.3.7'!$B$28:$O$118,4,)+VLOOKUP($B45,'A1.3.7'!$B$28:$O$118,9,))))</f>
        <v>270.34177168958951</v>
      </c>
      <c r="AK45" s="691">
        <f>IF('A1.3.8'!E$31="","",IF(OR(VLOOKUP($B45,'A1.3.11'!$B$26:$AM$105,AK$22,)="",VLOOKUP($B45,'A1.3.7'!$B$28:$H$118,4,)=""),"",VLOOKUP($B45,'A1.3.11'!$B$26:$AM$105,AK$22,)*(VLOOKUP($B45,'A1.3.7'!$B$28:$O$118,4,)+VLOOKUP($B45,'A1.3.7'!$B$28:$O$118,9,))))</f>
        <v>14.34357887648037</v>
      </c>
      <c r="AL45" s="691">
        <f>IF('A1.3.8'!F$31="","",IF(OR(VLOOKUP($B45,'A1.3.11'!$B$26:$AM$105,AL$22,)="",VLOOKUP($B45,'A1.3.7'!$B$28:$H$118,4,)=""),"",VLOOKUP($B45,'A1.3.11'!$B$26:$AM$105,AL$22,)*(VLOOKUP($B45,'A1.3.7'!$B$28:$O$118,4,)+VLOOKUP($B45,'A1.3.7'!$B$28:$O$118,9,))))</f>
        <v>-0.10367547919024307</v>
      </c>
      <c r="AM45" s="2644">
        <f>IF('A1.3.8'!G$31="","",IF(OR(VLOOKUP($B45,'A1.3.11'!$B$26:$AM$105,AM$22,)="",VLOOKUP($B45,'A1.3.7'!$B$28:$H$118,4,)=""),"",VLOOKUP($B45,'A1.3.11'!$B$26:$AM$105,AM$22,)*(VLOOKUP($B45,'A1.3.7'!$B$28:$O$118,4,)+VLOOKUP($B45,'A1.3.7'!$B$28:$O$118,9,))))</f>
        <v>1.1323025804298836E-3</v>
      </c>
      <c r="AN45" s="693" t="str">
        <f>IF('A1.3.8'!D$38="","",IF(OR(VLOOKUP($B45,'A1.3.11'!$B$26:$AM$105,AN$22,)="",VLOOKUP($B45,'A1.3.7'!$B$28:$H$118,6,)=""),"",VLOOKUP($B45,'A1.3.11'!$B$26:$AM$105,AN$22,)*VLOOKUP($B45,'A1.3.7'!$B$28:$O$118,6,)))</f>
        <v/>
      </c>
      <c r="AO45" s="691" t="str">
        <f>IF('A1.3.8'!E$38="","",IF(OR(VLOOKUP($B45,'A1.3.11'!$B$26:$AM$105,AO$22,)="",VLOOKUP($B45,'A1.3.7'!$B$28:$H$118,6,)=""),"",VLOOKUP($B45,'A1.3.11'!$B$26:$AM$105,AO$22,)*VLOOKUP($B45,'A1.3.7'!$B$28:$O$118,6,)))</f>
        <v/>
      </c>
      <c r="AP45" s="691" t="str">
        <f>IF('A1.3.8'!F$38="","",IF(OR(VLOOKUP($B45,'A1.3.11'!$B$26:$AM$105,AP$22,)="",VLOOKUP($B45,'A1.3.7'!$B$28:$H$118,6,)=""),"",VLOOKUP($B45,'A1.3.11'!$B$26:$AM$105,AP$22,)*VLOOKUP($B45,'A1.3.7'!$B$28:$O$118,6,)))</f>
        <v/>
      </c>
      <c r="AQ45" s="1664" t="str">
        <f>IF('A1.3.8'!G$38="","",IF(OR(VLOOKUP($B45,'A1.3.11'!$B$26:$AM$105,AQ$22,)="",VLOOKUP($B45,'A1.3.7'!$B$28:$H$118,6,)=""),"",VLOOKUP($B45,'A1.3.11'!$B$26:$AM$105,AQ$22,)*VLOOKUP($B45,'A1.3.7'!$B$28:$O$118,6,)))</f>
        <v/>
      </c>
      <c r="AR45" s="693">
        <f>IF(AND(AJ45="",AN45=""),"",IF(AJ45="",0,(AJ45*VLOOKUP($B45,'A1.3.9'!$B$26:$O$57,9,TRUE))) + IF(AN45="",0,(AN45*VLOOKUP($B45,'A1.3.9'!$B$26:$O$57,10,TRUE))))</f>
        <v>270.34177168958951</v>
      </c>
      <c r="AS45" s="691">
        <f>IF(AND(AK45="",AO45=""),"",IF(AK45="",0,(AK45*VLOOKUP($B45,'A1.3.9'!$B$26:$O$57,9,TRUE))) + IF(AO45="",0,(AO45*VLOOKUP($B45,'A1.3.9'!$B$26:$O$57,10,TRUE))))</f>
        <v>14.34357887648037</v>
      </c>
      <c r="AT45" s="691">
        <f>IF(AND(AL45="",AP45=""),"",IF(AL45="",0,(AL45*VLOOKUP($B45,'A1.3.9'!$B$26:$O$57,9,TRUE))) + IF(AP45="",0,(AP45*VLOOKUP($B45,'A1.3.9'!$B$26:$O$57,10,TRUE))))</f>
        <v>-0.10367547919024307</v>
      </c>
      <c r="AU45" s="2644">
        <f>IF(AND(AM45="",AQ45=""),"",IF(AM45="",0,(AM45*VLOOKUP($B45,'A1.3.9'!$B$26:$O$57,9,TRUE))) + IF(AQ45="",0,(AQ45*VLOOKUP($B45,'A1.3.9'!$B$26:$O$57,10,TRUE))))</f>
        <v>1.1323025804298836E-3</v>
      </c>
      <c r="AV45" s="693">
        <f>IF('A1.3.8'!D$32="","",IF(OR(VLOOKUP($B45,'A1.3.11'!$B$26:$AM$105,AV$22,)="",VLOOKUP($B45,'A1.3.7'!$B$28:$H$118,4,)=""),"",VLOOKUP($B45,'A1.3.11'!$B$26:$AM$105,AV$22,)*(VLOOKUP($B45,'A1.3.7'!$B$28:$O$118,4,)+VLOOKUP($B45,'A1.3.7'!$B$28:$O$118,9,))))</f>
        <v>568.05850709713081</v>
      </c>
      <c r="AW45" s="691">
        <f>IF('A1.3.8'!E$32="","",IF(OR(VLOOKUP($B45,'A1.3.11'!$B$26:$AM$105,AW$22,)="",VLOOKUP($B45,'A1.3.7'!$B$28:$H$118,4,)=""),"",VLOOKUP($B45,'A1.3.11'!$B$26:$AM$105,AW$22,)*(VLOOKUP($B45,'A1.3.7'!$B$28:$O$118,4,)+VLOOKUP($B45,'A1.3.7'!$B$28:$O$118,9,))))</f>
        <v>29.500284817356068</v>
      </c>
      <c r="AX45" s="691">
        <f>IF('A1.3.8'!F$32="","",IF(OR(VLOOKUP($B45,'A1.3.11'!$B$26:$AM$105,AX$22,)="",VLOOKUP($B45,'A1.3.7'!$B$28:$H$118,4,)=""),"",VLOOKUP($B45,'A1.3.11'!$B$26:$AM$105,AX$22,)*(VLOOKUP($B45,'A1.3.7'!$B$28:$O$118,4,)+VLOOKUP($B45,'A1.3.7'!$B$28:$O$118,9,))))</f>
        <v>-0.19545490593201609</v>
      </c>
      <c r="AY45" s="2644">
        <f>IF('A1.3.8'!G$32="","",IF(OR(VLOOKUP($B45,'A1.3.11'!$B$26:$AM$105,AY$22,)="",VLOOKUP($B45,'A1.3.7'!$B$28:$H$118,4,)=""),"",VLOOKUP($B45,'A1.3.11'!$B$26:$AM$105,AY$22,)*(VLOOKUP($B45,'A1.3.7'!$B$28:$O$118,4,)+VLOOKUP($B45,'A1.3.7'!$B$28:$O$118,9,))))</f>
        <v>1.1649925158105166E-3</v>
      </c>
      <c r="AZ45" s="693" t="str">
        <f>IF('A1.3.8'!D$39="","",IF(OR(VLOOKUP($B45,'A1.3.11'!$B$26:$AM$105,AZ$22,)="",VLOOKUP($B45,'A1.3.7'!$B$28:$H$118,6,)=""),"",VLOOKUP($B45,'A1.3.11'!$B$26:$AM$105,AZ$22,)*VLOOKUP($B45,'A1.3.7'!$B$28:$O$118,6,)))</f>
        <v/>
      </c>
      <c r="BA45" s="691" t="str">
        <f>IF('A1.3.8'!E$39="","",IF(OR(VLOOKUP($B45,'A1.3.11'!$B$26:$AM$105,BA$22,)="",VLOOKUP($B45,'A1.3.7'!$B$28:$H$118,6,)=""),"",VLOOKUP($B45,'A1.3.11'!$B$26:$AM$105,BA$22,)*VLOOKUP($B45,'A1.3.7'!$B$28:$O$118,6,)))</f>
        <v/>
      </c>
      <c r="BB45" s="691" t="str">
        <f>IF('A1.3.8'!F$39="","",IF(OR(VLOOKUP($B45,'A1.3.11'!$B$26:$AM$105,BB$22,)="",VLOOKUP($B45,'A1.3.7'!$B$28:$H$118,6,)=""),"",VLOOKUP($B45,'A1.3.11'!$B$26:$AM$105,BB$22,)*VLOOKUP($B45,'A1.3.7'!$B$28:$O$118,6,)))</f>
        <v/>
      </c>
      <c r="BC45" s="1664" t="str">
        <f>IF('A1.3.8'!G$39="","",IF(OR(VLOOKUP($B45,'A1.3.11'!$B$26:$AM$105,BC$22,)="",VLOOKUP($B45,'A1.3.7'!$B$28:$H$118,6,)=""),"",VLOOKUP($B45,'A1.3.11'!$B$26:$AM$105,BC$22,)*VLOOKUP($B45,'A1.3.7'!$B$28:$O$118,6,)))</f>
        <v/>
      </c>
      <c r="BD45" s="693">
        <f>IF(AND(AV45="",AZ45=""),"",IF(AV45="",0,(AV45*VLOOKUP($B45,'A1.3.9'!$B$26:$O$57,9,TRUE))) + IF(AZ45="",0,(AZ45*VLOOKUP($B45,'A1.3.9'!$B$26:$O$57,10,TRUE))))</f>
        <v>568.05850709713081</v>
      </c>
      <c r="BE45" s="691">
        <f>IF(AND(AW45="",BA45=""),"",IF(AW45="",0,(AW45*VLOOKUP($B45,'A1.3.9'!$B$26:$O$57,9,TRUE))) + IF(BA45="",0,(BA45*VLOOKUP($B45,'A1.3.9'!$B$26:$O$57,10,TRUE))))</f>
        <v>29.500284817356068</v>
      </c>
      <c r="BF45" s="691">
        <f>IF(AND(AX45="",BB45=""),"",IF(AX45="",0,(AX45*VLOOKUP($B45,'A1.3.9'!$B$26:$O$57,9,TRUE))) + IF(BB45="",0,(BB45*VLOOKUP($B45,'A1.3.9'!$B$26:$O$57,10,TRUE))))</f>
        <v>-0.19545490593201609</v>
      </c>
      <c r="BG45" s="2644">
        <f>IF(AND(AY45="",BC45=""),"",IF(AY45="",0,(AY45*VLOOKUP($B45,'A1.3.9'!$B$26:$O$57,9,TRUE))) + IF(BC45="",0,(BC45*VLOOKUP($B45,'A1.3.9'!$B$26:$O$57,10,TRUE))))</f>
        <v>1.1649925158105166E-3</v>
      </c>
      <c r="BH45" s="693">
        <f>IF('A1.3.8'!D$33="","",IF(OR(VLOOKUP($B45,'A1.3.11'!$B$26:$AM$105,BH$22,)="",VLOOKUP($B45,'A1.3.7'!$B$28:$H$118,4,)=""),"",VLOOKUP($B45,'A1.3.11'!$B$26:$AM$105,BH$22,)*(VLOOKUP($B45,'A1.3.7'!$B$28:$O$118,4,)+VLOOKUP($B45,'A1.3.7'!$B$28:$O$118,9,))))</f>
        <v>336.90761743594959</v>
      </c>
      <c r="BI45" s="691">
        <f>IF('A1.3.8'!E$33="","",IF(OR(VLOOKUP($B45,'A1.3.11'!$B$26:$AM$105,BI$22,)="",VLOOKUP($B45,'A1.3.7'!$B$28:$H$118,4,)=""),"",VLOOKUP($B45,'A1.3.11'!$B$26:$AM$105,BI$22,)*(VLOOKUP($B45,'A1.3.7'!$B$28:$O$118,4,)+VLOOKUP($B45,'A1.3.7'!$B$28:$O$118,9,))))</f>
        <v>29.603045029927308</v>
      </c>
      <c r="BJ45" s="691">
        <f>IF('A1.3.8'!F$33="","",IF(OR(VLOOKUP($B45,'A1.3.11'!$B$26:$AM$105,BJ$22,)="",VLOOKUP($B45,'A1.3.7'!$B$28:$H$118,4,)=""),"",VLOOKUP($B45,'A1.3.11'!$B$26:$AM$105,BJ$22,)*(VLOOKUP($B45,'A1.3.7'!$B$28:$O$118,4,)+VLOOKUP($B45,'A1.3.7'!$B$28:$O$118,9,))))</f>
        <v>-0.32175871449852023</v>
      </c>
      <c r="BK45" s="2644">
        <f>IF('A1.3.8'!G$33="","",IF(OR(VLOOKUP($B45,'A1.3.11'!$B$26:$AM$105,BK$22,)="",VLOOKUP($B45,'A1.3.7'!$B$28:$H$118,4,)=""),"",VLOOKUP($B45,'A1.3.11'!$B$26:$AM$105,BK$22,)*(VLOOKUP($B45,'A1.3.7'!$B$28:$O$118,4,)+VLOOKUP($B45,'A1.3.7'!$B$28:$O$118,9,))))</f>
        <v>2.3602316898313444E-3</v>
      </c>
      <c r="BL45" s="693" t="str">
        <f>IF('A1.3.8'!D$40="","",IF(OR(VLOOKUP($B45,'A1.3.11'!$B$26:$AM$105,BL$22,)="",VLOOKUP($B45,'A1.3.7'!$B$28:$H$118,6,)=""),"",VLOOKUP($B45,'A1.3.11'!$B$26:$AM$105,BL$22,)*VLOOKUP($B45,'A1.3.7'!$B$28:$O$118,6,)))</f>
        <v/>
      </c>
      <c r="BM45" s="691" t="str">
        <f>IF('A1.3.8'!E$40="","",IF(OR(VLOOKUP($B45,'A1.3.11'!$B$26:$AM$105,BM$22,)="",VLOOKUP($B45,'A1.3.7'!$B$28:$H$118,6,)=""),"",VLOOKUP($B45,'A1.3.11'!$B$26:$AM$105,BM$22,)*VLOOKUP($B45,'A1.3.7'!$B$28:$O$118,6,)))</f>
        <v/>
      </c>
      <c r="BN45" s="691" t="str">
        <f>IF('A1.3.8'!F$40="","",IF(OR(VLOOKUP($B45,'A1.3.11'!$B$26:$AM$105,BN$22,)="",VLOOKUP($B45,'A1.3.7'!$B$28:$H$118,6,)=""),"",VLOOKUP($B45,'A1.3.11'!$B$26:$AM$105,BN$22,)*VLOOKUP($B45,'A1.3.7'!$B$28:$O$118,6,)))</f>
        <v/>
      </c>
      <c r="BO45" s="1664" t="str">
        <f>IF('A1.3.8'!G$40="","",IF(OR(VLOOKUP($B45,'A1.3.11'!$B$26:$AM$105,BO$22,)="",VLOOKUP($B45,'A1.3.7'!$B$28:$H$118,6,)=""),"",VLOOKUP($B45,'A1.3.11'!$B$26:$AM$105,BO$22,)*VLOOKUP($B45,'A1.3.7'!$B$28:$O$118,6,)))</f>
        <v/>
      </c>
      <c r="BP45" s="693">
        <f>IF(AND(BH45="",BL45=""),"",IF(BH45="",0,(BH45*VLOOKUP($B45,'A1.3.9'!$B$26:$O$57,9,TRUE))) + IF(BL45="",0,(BL45*VLOOKUP($B45,'A1.3.9'!$B$26:$O$57,10,TRUE))))</f>
        <v>336.90761743594959</v>
      </c>
      <c r="BQ45" s="691">
        <f>IF(AND(BI45="",BM45=""),"",IF(BI45="",0,(BI45*VLOOKUP($B45,'A1.3.9'!$B$26:$O$57,9,TRUE))) + IF(BM45="",0,(BM45*VLOOKUP($B45,'A1.3.9'!$B$26:$O$57,10,TRUE))))</f>
        <v>29.603045029927308</v>
      </c>
      <c r="BR45" s="691">
        <f>IF(AND(BJ45="",BN45=""),"",IF(BJ45="",0,(BJ45*VLOOKUP($B45,'A1.3.9'!$B$26:$O$57,9,TRUE))) + IF(BN45="",0,(BN45*VLOOKUP($B45,'A1.3.9'!$B$26:$O$57,10,TRUE))))</f>
        <v>-0.32175871449852023</v>
      </c>
      <c r="BS45" s="2644">
        <f>IF(AND(BK45="",BO45=""),"",IF(BK45="",0,(BK45*VLOOKUP($B45,'A1.3.9'!$B$26:$O$57,9,TRUE))) + IF(BO45="",0,(BO45*VLOOKUP($B45,'A1.3.9'!$B$26:$O$57,10,TRUE))))</f>
        <v>2.3602316898313444E-3</v>
      </c>
    </row>
    <row r="46" spans="1:71" ht="13.5" customHeight="1">
      <c r="A46" s="113"/>
      <c r="B46" s="614">
        <f t="shared" si="0"/>
        <v>2029</v>
      </c>
      <c r="C46" s="147"/>
      <c r="D46" s="693">
        <f>IF('A1.3.8'!D$27="","",IF(OR(VLOOKUP($B46,'A1.3.11'!$B$26:$AM$105,D$22,)="",VLOOKUP($B46,'A1.3.7'!$B$28:$H$118,3,)=""),"",VLOOKUP($B46,'A1.3.11'!$B$26:$AM$105,D$22,)*(VLOOKUP($B46,'A1.3.7'!$B$28:$O$118,3,)+VLOOKUP($B46,'A1.3.7'!$B$28:$O$118,8,))))</f>
        <v>33.071148432985154</v>
      </c>
      <c r="E46" s="691">
        <f>IF('A1.3.8'!E$27="","",IF(OR(VLOOKUP($B46,'A1.3.11'!$B$26:$AM$105,E$22,)="",VLOOKUP($B46,'A1.3.7'!$B$28:$H$118,3,)=""),"",VLOOKUP($B46,'A1.3.11'!$B$26:$AM$105,E$22,)*(VLOOKUP($B46,'A1.3.7'!$B$28:$O$118,3,)+VLOOKUP($B46,'A1.3.7'!$B$28:$O$118,8,))))</f>
        <v>7.028155486072448</v>
      </c>
      <c r="F46" s="691">
        <f>IF('A1.3.8'!F$27="","",IF(OR(VLOOKUP($B46,'A1.3.11'!$B$26:$AM$105,F$22,)="",VLOOKUP($B46,'A1.3.7'!$B$28:$H$118,3,)=""),"",VLOOKUP($B46,'A1.3.11'!$B$26:$AM$105,F$22,)*(VLOOKUP($B46,'A1.3.7'!$B$28:$O$118,3,)+VLOOKUP($B46,'A1.3.7'!$B$28:$O$118,8,))))</f>
        <v>-8.0059025575402953E-2</v>
      </c>
      <c r="G46" s="2644">
        <f>IF('A1.3.8'!G$27="","",IF(OR(VLOOKUP($B46,'A1.3.11'!$B$26:$AM$105,G$22,)="",VLOOKUP($B46,'A1.3.7'!$B$28:$H$118,3,)=""),"",VLOOKUP($B46,'A1.3.11'!$B$26:$AM$105,G$22,)*(VLOOKUP($B46,'A1.3.7'!$B$28:$O$118,3,)+VLOOKUP($B46,'A1.3.7'!$B$28:$O$118,8,))))</f>
        <v>5.302244847281266E-4</v>
      </c>
      <c r="H46" s="693">
        <f>IF('A1.3.8'!D$28="","",IF(OR(VLOOKUP($B46,'A1.3.11'!$B$26:$AM$105,H$22,)="",VLOOKUP($B46,'A1.3.7'!$B$28:$H$118,4,)=""),"",VLOOKUP($B46,'A1.3.11'!$B$26:$AM$105,H$22,)*(VLOOKUP($B46,'A1.3.7'!$B$28:$O$118,4,)+VLOOKUP($B46,'A1.3.7'!$B$28:$O$118,9,))))</f>
        <v>40.348845626828648</v>
      </c>
      <c r="I46" s="691">
        <f>IF('A1.3.8'!E$28="","",IF(OR(VLOOKUP($B46,'A1.3.11'!$B$26:$AM$105,I$22,)="",VLOOKUP($B46,'A1.3.7'!$B$28:$H$118,4,)=""),"",VLOOKUP($B46,'A1.3.11'!$B$26:$AM$105,I$22,)*(VLOOKUP($B46,'A1.3.7'!$B$28:$O$118,4,)+VLOOKUP($B46,'A1.3.7'!$B$28:$O$118,9,))))</f>
        <v>5.7850266370693291</v>
      </c>
      <c r="J46" s="691">
        <f>IF('A1.3.8'!F$28="","",IF(OR(VLOOKUP($B46,'A1.3.11'!$B$26:$AM$105,J$22,)="",VLOOKUP($B46,'A1.3.7'!$B$28:$H$118,4,)=""),"",VLOOKUP($B46,'A1.3.11'!$B$26:$AM$105,J$22,)*(VLOOKUP($B46,'A1.3.7'!$B$28:$O$118,4,)+VLOOKUP($B46,'A1.3.7'!$B$28:$O$118,9,))))</f>
        <v>-5.5653567845224516E-2</v>
      </c>
      <c r="K46" s="2644">
        <f>IF('A1.3.8'!G$28="","",IF(OR(VLOOKUP($B46,'A1.3.11'!$B$26:$AM$105,K$22,)="",VLOOKUP($B46,'A1.3.7'!$B$28:$H$118,4,)=""),"",VLOOKUP($B46,'A1.3.11'!$B$26:$AM$105,K$22,)*(VLOOKUP($B46,'A1.3.7'!$B$28:$O$118,4,)+VLOOKUP($B46,'A1.3.7'!$B$28:$O$118,9,))))</f>
        <v>4.3855290680153277E-4</v>
      </c>
      <c r="L46" s="693" t="str">
        <f>IF('A1.3.8'!D$36="","",IF(OR(VLOOKUP($B46,'A1.3.11'!$B$26:$AM$105,L$22,)="",VLOOKUP($B46,'A1.3.7'!$B$28:$H$118,6,)=""),"",VLOOKUP($B46,'A1.3.11'!$B$26:$AM$105,L$22,)*VLOOKUP($B46,'A1.3.7'!$B$28:$O$118,6,)))</f>
        <v/>
      </c>
      <c r="M46" s="691">
        <f>IF('A1.3.8'!E$36="","",IF(OR(VLOOKUP($B46,'A1.3.11'!$B$26:$AM$105,M$22,)="",VLOOKUP($B46,'A1.3.7'!$B$28:$H$118,6,)=""),"",VLOOKUP($B46,'A1.3.11'!$B$26:$AM$105,M$22,)*VLOOKUP($B46,'A1.3.7'!$B$28:$O$118,6,)))</f>
        <v>2.0855544308416194</v>
      </c>
      <c r="N46" s="691"/>
      <c r="O46" s="1664"/>
      <c r="P46" s="693">
        <f>IF(AND(D46="",H46="",L46=""),"",IF(D46="",0,(D46*VLOOKUP($B46,'A1.3.9'!$B$26:$O$57,3,TRUE)))+IF(H46="",0,(H46*VLOOKUP($B46,'A1.3.9'!$B$26:$O$57,4,TRUE)))+IF(L46="",0,(L46*VLOOKUP($B46,'A1.3.9'!$B$26:$O$57,5,TRUE))))</f>
        <v>31.83882714559304</v>
      </c>
      <c r="Q46" s="691">
        <f>IF(AND(E46="",I46="",M46=""),"",IF(E46="",0,(E46*VLOOKUP($B46,'A1.3.9'!$B$26:$O$57,3,TRUE)))+IF(I46="",0,(I46*VLOOKUP($B46,'A1.3.9'!$B$26:$O$57,4,TRUE)))+IF(M46="",0,(M46*VLOOKUP($B46,'A1.3.9'!$B$26:$O$57,5,TRUE))))</f>
        <v>5.9471764286325932</v>
      </c>
      <c r="R46" s="691">
        <f>IF(AND(F46="",J46="",N46=""),"",IF(F46="",0,(F46*VLOOKUP($B46,'A1.3.9'!$B$26:$O$57,3,TRUE)))+IF(J46="",0,(J46*VLOOKUP($B46,'A1.3.9'!$B$26:$O$57,4,TRUE)))+IF(N46="",0,(N46*VLOOKUP($B46,'A1.3.9'!$B$26:$O$57,5,TRUE))))</f>
        <v>-6.0906831504485906E-2</v>
      </c>
      <c r="S46" s="2644">
        <f>IF(AND(G46="",K46="",O46=""),"",IF(G46="",0,(G46*VLOOKUP($B46,'A1.3.9'!$B$26:$O$57,3,TRUE)))+IF(K46="",0,(K46*VLOOKUP($B46,'A1.3.9'!$B$26:$O$57,4,TRUE)))+IF(O46="",0,(O46*VLOOKUP($B46,'A1.3.9'!$B$26:$O$57,5,TRUE))))</f>
        <v>4.3030041051247568E-4</v>
      </c>
      <c r="T46" s="693">
        <f>IF('A1.3.8'!D$29="","",IF(OR(VLOOKUP($B46,'A1.3.11'!$B$26:$AM$105,T$22,)="",VLOOKUP($B46,'A1.3.7'!$B$28:$H$118,3,)=""),"",VLOOKUP($B46,'A1.3.11'!$B$26:$AM$105,T$22,)*(VLOOKUP($B46,'A1.3.7'!$B$28:$O$118,3,)+VLOOKUP($B46,'A1.3.7'!$B$28:$O$118,8,))))</f>
        <v>23.748109536573544</v>
      </c>
      <c r="U46" s="691">
        <f>IF('A1.3.8'!E$29="","",IF(OR(VLOOKUP($B46,'A1.3.11'!$B$26:$AM$105,U$22,)="",VLOOKUP($B46,'A1.3.7'!$B$28:$H$118,3,)=""),"",VLOOKUP($B46,'A1.3.11'!$B$26:$AM$105,U$22,)*(VLOOKUP($B46,'A1.3.7'!$B$28:$O$118,3,)+VLOOKUP($B46,'A1.3.7'!$B$28:$O$118,8,))))</f>
        <v>13.316565135220593</v>
      </c>
      <c r="V46" s="691">
        <f>IF('A1.3.8'!F$29="","",IF(OR(VLOOKUP($B46,'A1.3.11'!$B$26:$AM$105,V$22,)="",VLOOKUP($B46,'A1.3.7'!$B$28:$H$118,3,)=""),"",VLOOKUP($B46,'A1.3.11'!$B$26:$AM$105,V$22,)*(VLOOKUP($B46,'A1.3.7'!$B$28:$O$118,3,)+VLOOKUP($B46,'A1.3.7'!$B$28:$O$118,8,))))</f>
        <v>-0.20902636240195138</v>
      </c>
      <c r="W46" s="2644">
        <f>IF('A1.3.8'!G$29="","",IF(OR(VLOOKUP($B46,'A1.3.11'!$B$26:$AM$105,W$22,)="",VLOOKUP($B46,'A1.3.7'!$B$28:$H$118,3,)=""),"",VLOOKUP($B46,'A1.3.11'!$B$26:$AM$105,W$22,)*(VLOOKUP($B46,'A1.3.7'!$B$28:$O$118,3,)+VLOOKUP($B46,'A1.3.7'!$B$28:$O$118,8,))))</f>
        <v>1.3499000601963189E-3</v>
      </c>
      <c r="X46" s="693">
        <f>IF('A1.3.8'!D$30="","",IF(OR(VLOOKUP($B46,'A1.3.11'!$B$26:$AM$105,X$22,)="",VLOOKUP($B46,'A1.3.7'!$B$28:$H$118,4,)=""),"",VLOOKUP($B46,'A1.3.11'!$B$26:$AM$105,X$22,)*(VLOOKUP($B46,'A1.3.7'!$B$28:$O$118,4,)+VLOOKUP($B46,'A1.3.7'!$B$28:$O$118,9,))))</f>
        <v>41.33469098007231</v>
      </c>
      <c r="Y46" s="691">
        <f>IF('A1.3.8'!E$30="","",IF(OR(VLOOKUP($B46,'A1.3.11'!$B$26:$AM$105,Y$22,)="",VLOOKUP($B46,'A1.3.7'!$B$28:$H$118,4,)=""),"",VLOOKUP($B46,'A1.3.11'!$B$26:$AM$105,Y$22,)*(VLOOKUP($B46,'A1.3.7'!$B$28:$O$118,4,)+VLOOKUP($B46,'A1.3.7'!$B$28:$O$118,9,))))</f>
        <v>10.102366928107251</v>
      </c>
      <c r="Z46" s="691">
        <f>IF('A1.3.8'!F$30="","",IF(OR(VLOOKUP($B46,'A1.3.11'!$B$26:$AM$105,Z$22,)="",VLOOKUP($B46,'A1.3.7'!$B$28:$H$118,4,)=""),"",VLOOKUP($B46,'A1.3.11'!$B$26:$AM$105,Z$22,)*(VLOOKUP($B46,'A1.3.7'!$B$28:$O$118,4,)+VLOOKUP($B46,'A1.3.7'!$B$28:$O$118,9,))))</f>
        <v>-0.14574500341389895</v>
      </c>
      <c r="AA46" s="2644">
        <f>IF('A1.3.8'!G$30="","",IF(OR(VLOOKUP($B46,'A1.3.11'!$B$26:$AM$105,AA$22,)="",VLOOKUP($B46,'A1.3.7'!$B$28:$H$118,4,)=""),"",VLOOKUP($B46,'A1.3.11'!$B$26:$AM$105,AA$22,)*(VLOOKUP($B46,'A1.3.7'!$B$28:$O$118,4,)+VLOOKUP($B46,'A1.3.7'!$B$28:$O$118,9,))))</f>
        <v>1.2338822806143511E-3</v>
      </c>
      <c r="AB46" s="693" t="str">
        <f>IF('A1.3.8'!D$37="","",IF(OR(VLOOKUP($B46,'A1.3.11'!$B$26:$AM$105,AB$22,)="",VLOOKUP($B46,'A1.3.7'!$B$28:$H$118,6,)=""),"",VLOOKUP($B46,'A1.3.11'!$B$26:$AM$105,AB$22,)*VLOOKUP($B46,'A1.3.7'!$B$28:$O$118,6,)))</f>
        <v/>
      </c>
      <c r="AC46" s="691">
        <f>IF('A1.3.8'!E$37="","",IF(OR(VLOOKUP($B46,'A1.3.11'!$B$26:$AM$105,AC$22,)="",VLOOKUP($B46,'A1.3.7'!$B$28:$H$118,6,)=""),"",VLOOKUP($B46,'A1.3.11'!$B$26:$AM$105,AC$22,)*VLOOKUP($B46,'A1.3.7'!$B$28:$O$118,6,)))</f>
        <v>4.4341483939568107</v>
      </c>
      <c r="AD46" s="691"/>
      <c r="AE46" s="1664" t="str">
        <f>IF('A1.3.8'!G$37="","",IF(OR(VLOOKUP($B46,'A1.3.11'!$B$26:$AM$105,AE$22,)="",VLOOKUP($B46,'A1.3.7'!$B$28:$H$118,6,)=""),"",VLOOKUP($B46,'A1.3.11'!$B$26:$AM$105,AE$22,)*VLOOKUP($B46,'A1.3.7'!$B$28:$O$118,6,)))</f>
        <v/>
      </c>
      <c r="AF46" s="693">
        <f>IF(AND(T46="",X46="",AB46=""),"",IF(T46="",0,(T46*VLOOKUP('A1.3.12'!$B46,'A1.3.9'!$B$26:$O$57,6,TRUE))) + IF(X46="",0,(X46*VLOOKUP('A1.3.12'!$B46,'A1.3.9'!$B$26:$O$57,7,TRUE))) + IF(AB46="",0,(AB46*VLOOKUP('A1.3.12'!$B46,'A1.3.9'!$B$26:$O$57,8,TRUE))))</f>
        <v>39.189108586919311</v>
      </c>
      <c r="AG46" s="691">
        <f>IF(AND(U46="",Y46="",AC46=""),"",IF(U46="",0,(U46*VLOOKUP('A1.3.12'!$B46,'A1.3.9'!$B$26:$O$57,6,TRUE))) + IF(Y46="",0,(Y46*VLOOKUP('A1.3.12'!$B46,'A1.3.9'!$B$26:$O$57,7,TRUE))) + IF(AC46="",0,(AC46*VLOOKUP('A1.3.12'!$B46,'A1.3.9'!$B$26:$O$57,8,TRUE))))</f>
        <v>9.8547212684657861</v>
      </c>
      <c r="AH46" s="691">
        <f>IF(AND(V46="",Z46="",AD46=""),"",IF(V46="",0,(V46*VLOOKUP('A1.3.12'!$B46,'A1.3.9'!$B$26:$O$57,6,TRUE))) + IF(Z46="",0,(Z46*VLOOKUP('A1.3.12'!$B46,'A1.3.9'!$B$26:$O$57,7,TRUE))) + IF(AD46="",0,(AD46*VLOOKUP('A1.3.12'!$B46,'A1.3.9'!$B$26:$O$57,8,TRUE))))</f>
        <v>-0.13921705251746619</v>
      </c>
      <c r="AI46" s="2644">
        <f>IF(AND(W46="",AA46="",AE46=""),"",IF(W46="",0,(W46*VLOOKUP('A1.3.12'!$B46,'A1.3.9'!$B$26:$O$57,6,TRUE))) + IF(AA46="",0,(AA46*VLOOKUP('A1.3.12'!$B46,'A1.3.9'!$B$26:$O$57,7,TRUE))) + IF(AE46="",0,(AE46*VLOOKUP('A1.3.12'!$B46,'A1.3.9'!$B$26:$O$57,8,TRUE))))</f>
        <v>1.1751414250019349E-3</v>
      </c>
      <c r="AJ46" s="693">
        <f>IF('A1.3.8'!D$31="","",IF(OR(VLOOKUP($B46,'A1.3.11'!$B$26:$AM$105,AJ$22,)="",VLOOKUP($B46,'A1.3.7'!$B$28:$H$118,4,)=""),"",VLOOKUP($B46,'A1.3.11'!$B$26:$AM$105,AJ$22,)*(VLOOKUP($B46,'A1.3.7'!$B$28:$O$118,4,)+VLOOKUP($B46,'A1.3.7'!$B$28:$O$118,9,))))</f>
        <v>274.03606629595578</v>
      </c>
      <c r="AK46" s="691">
        <f>IF('A1.3.8'!E$31="","",IF(OR(VLOOKUP($B46,'A1.3.11'!$B$26:$AM$105,AK$22,)="",VLOOKUP($B46,'A1.3.7'!$B$28:$H$118,4,)=""),"",VLOOKUP($B46,'A1.3.11'!$B$26:$AM$105,AK$22,)*(VLOOKUP($B46,'A1.3.7'!$B$28:$O$118,4,)+VLOOKUP($B46,'A1.3.7'!$B$28:$O$118,9,))))</f>
        <v>14.539587823777696</v>
      </c>
      <c r="AL46" s="691">
        <f>IF('A1.3.8'!F$31="","",IF(OR(VLOOKUP($B46,'A1.3.11'!$B$26:$AM$105,AL$22,)="",VLOOKUP($B46,'A1.3.7'!$B$28:$H$118,4,)=""),"",VLOOKUP($B46,'A1.3.11'!$B$26:$AM$105,AL$22,)*(VLOOKUP($B46,'A1.3.7'!$B$28:$O$118,4,)+VLOOKUP($B46,'A1.3.7'!$B$28:$O$118,9,))))</f>
        <v>-0.10509223310581897</v>
      </c>
      <c r="AM46" s="2644">
        <f>IF('A1.3.8'!G$31="","",IF(OR(VLOOKUP($B46,'A1.3.11'!$B$26:$AM$105,AM$22,)="",VLOOKUP($B46,'A1.3.7'!$B$28:$H$118,4,)=""),"",VLOOKUP($B46,'A1.3.11'!$B$26:$AM$105,AM$22,)*(VLOOKUP($B46,'A1.3.7'!$B$28:$O$118,4,)+VLOOKUP($B46,'A1.3.7'!$B$28:$O$118,9,))))</f>
        <v>1.1477758063746324E-3</v>
      </c>
      <c r="AN46" s="693" t="str">
        <f>IF('A1.3.8'!D$38="","",IF(OR(VLOOKUP($B46,'A1.3.11'!$B$26:$AM$105,AN$22,)="",VLOOKUP($B46,'A1.3.7'!$B$28:$H$118,6,)=""),"",VLOOKUP($B46,'A1.3.11'!$B$26:$AM$105,AN$22,)*VLOOKUP($B46,'A1.3.7'!$B$28:$O$118,6,)))</f>
        <v/>
      </c>
      <c r="AO46" s="691" t="str">
        <f>IF('A1.3.8'!E$38="","",IF(OR(VLOOKUP($B46,'A1.3.11'!$B$26:$AM$105,AO$22,)="",VLOOKUP($B46,'A1.3.7'!$B$28:$H$118,6,)=""),"",VLOOKUP($B46,'A1.3.11'!$B$26:$AM$105,AO$22,)*VLOOKUP($B46,'A1.3.7'!$B$28:$O$118,6,)))</f>
        <v/>
      </c>
      <c r="AP46" s="691" t="str">
        <f>IF('A1.3.8'!F$38="","",IF(OR(VLOOKUP($B46,'A1.3.11'!$B$26:$AM$105,AP$22,)="",VLOOKUP($B46,'A1.3.7'!$B$28:$H$118,6,)=""),"",VLOOKUP($B46,'A1.3.11'!$B$26:$AM$105,AP$22,)*VLOOKUP($B46,'A1.3.7'!$B$28:$O$118,6,)))</f>
        <v/>
      </c>
      <c r="AQ46" s="1664" t="str">
        <f>IF('A1.3.8'!G$38="","",IF(OR(VLOOKUP($B46,'A1.3.11'!$B$26:$AM$105,AQ$22,)="",VLOOKUP($B46,'A1.3.7'!$B$28:$H$118,6,)=""),"",VLOOKUP($B46,'A1.3.11'!$B$26:$AM$105,AQ$22,)*VLOOKUP($B46,'A1.3.7'!$B$28:$O$118,6,)))</f>
        <v/>
      </c>
      <c r="AR46" s="693">
        <f>IF(AND(AJ46="",AN46=""),"",IF(AJ46="",0,(AJ46*VLOOKUP($B46,'A1.3.9'!$B$26:$O$57,9,TRUE))) + IF(AN46="",0,(AN46*VLOOKUP($B46,'A1.3.9'!$B$26:$O$57,10,TRUE))))</f>
        <v>274.03606629595578</v>
      </c>
      <c r="AS46" s="691">
        <f>IF(AND(AK46="",AO46=""),"",IF(AK46="",0,(AK46*VLOOKUP($B46,'A1.3.9'!$B$26:$O$57,9,TRUE))) + IF(AO46="",0,(AO46*VLOOKUP($B46,'A1.3.9'!$B$26:$O$57,10,TRUE))))</f>
        <v>14.539587823777696</v>
      </c>
      <c r="AT46" s="691">
        <f>IF(AND(AL46="",AP46=""),"",IF(AL46="",0,(AL46*VLOOKUP($B46,'A1.3.9'!$B$26:$O$57,9,TRUE))) + IF(AP46="",0,(AP46*VLOOKUP($B46,'A1.3.9'!$B$26:$O$57,10,TRUE))))</f>
        <v>-0.10509223310581897</v>
      </c>
      <c r="AU46" s="2644">
        <f>IF(AND(AM46="",AQ46=""),"",IF(AM46="",0,(AM46*VLOOKUP($B46,'A1.3.9'!$B$26:$O$57,9,TRUE))) + IF(AQ46="",0,(AQ46*VLOOKUP($B46,'A1.3.9'!$B$26:$O$57,10,TRUE))))</f>
        <v>1.1477758063746324E-3</v>
      </c>
      <c r="AV46" s="693">
        <f>IF('A1.3.8'!D$32="","",IF(OR(VLOOKUP($B46,'A1.3.11'!$B$26:$AM$105,AV$22,)="",VLOOKUP($B46,'A1.3.7'!$B$28:$H$118,4,)=""),"",VLOOKUP($B46,'A1.3.11'!$B$26:$AM$105,AV$22,)*(VLOOKUP($B46,'A1.3.7'!$B$28:$O$118,4,)+VLOOKUP($B46,'A1.3.7'!$B$28:$O$118,9,))))</f>
        <v>575.82118271234799</v>
      </c>
      <c r="AW46" s="691">
        <f>IF('A1.3.8'!E$32="","",IF(OR(VLOOKUP($B46,'A1.3.11'!$B$26:$AM$105,AW$22,)="",VLOOKUP($B46,'A1.3.7'!$B$28:$H$118,4,)=""),"",VLOOKUP($B46,'A1.3.11'!$B$26:$AM$105,AW$22,)*(VLOOKUP($B46,'A1.3.7'!$B$28:$O$118,4,)+VLOOKUP($B46,'A1.3.7'!$B$28:$O$118,9,))))</f>
        <v>29.903414316751977</v>
      </c>
      <c r="AX46" s="691">
        <f>IF('A1.3.8'!F$32="","",IF(OR(VLOOKUP($B46,'A1.3.11'!$B$26:$AM$105,AX$22,)="",VLOOKUP($B46,'A1.3.7'!$B$28:$H$118,4,)=""),"",VLOOKUP($B46,'A1.3.11'!$B$26:$AM$105,AX$22,)*(VLOOKUP($B46,'A1.3.7'!$B$28:$O$118,4,)+VLOOKUP($B46,'A1.3.7'!$B$28:$O$118,9,))))</f>
        <v>-0.19812585093714669</v>
      </c>
      <c r="AY46" s="2644">
        <f>IF('A1.3.8'!G$32="","",IF(OR(VLOOKUP($B46,'A1.3.11'!$B$26:$AM$105,AY$22,)="",VLOOKUP($B46,'A1.3.7'!$B$28:$H$118,4,)=""),"",VLOOKUP($B46,'A1.3.11'!$B$26:$AM$105,AY$22,)*(VLOOKUP($B46,'A1.3.7'!$B$28:$O$118,4,)+VLOOKUP($B46,'A1.3.7'!$B$28:$O$118,9,))))</f>
        <v>1.1809124587061988E-3</v>
      </c>
      <c r="AZ46" s="693" t="str">
        <f>IF('A1.3.8'!D$39="","",IF(OR(VLOOKUP($B46,'A1.3.11'!$B$26:$AM$105,AZ$22,)="",VLOOKUP($B46,'A1.3.7'!$B$28:$H$118,6,)=""),"",VLOOKUP($B46,'A1.3.11'!$B$26:$AM$105,AZ$22,)*VLOOKUP($B46,'A1.3.7'!$B$28:$O$118,6,)))</f>
        <v/>
      </c>
      <c r="BA46" s="691" t="str">
        <f>IF('A1.3.8'!E$39="","",IF(OR(VLOOKUP($B46,'A1.3.11'!$B$26:$AM$105,BA$22,)="",VLOOKUP($B46,'A1.3.7'!$B$28:$H$118,6,)=""),"",VLOOKUP($B46,'A1.3.11'!$B$26:$AM$105,BA$22,)*VLOOKUP($B46,'A1.3.7'!$B$28:$O$118,6,)))</f>
        <v/>
      </c>
      <c r="BB46" s="691" t="str">
        <f>IF('A1.3.8'!F$39="","",IF(OR(VLOOKUP($B46,'A1.3.11'!$B$26:$AM$105,BB$22,)="",VLOOKUP($B46,'A1.3.7'!$B$28:$H$118,6,)=""),"",VLOOKUP($B46,'A1.3.11'!$B$26:$AM$105,BB$22,)*VLOOKUP($B46,'A1.3.7'!$B$28:$O$118,6,)))</f>
        <v/>
      </c>
      <c r="BC46" s="1664" t="str">
        <f>IF('A1.3.8'!G$39="","",IF(OR(VLOOKUP($B46,'A1.3.11'!$B$26:$AM$105,BC$22,)="",VLOOKUP($B46,'A1.3.7'!$B$28:$H$118,6,)=""),"",VLOOKUP($B46,'A1.3.11'!$B$26:$AM$105,BC$22,)*VLOOKUP($B46,'A1.3.7'!$B$28:$O$118,6,)))</f>
        <v/>
      </c>
      <c r="BD46" s="693">
        <f>IF(AND(AV46="",AZ46=""),"",IF(AV46="",0,(AV46*VLOOKUP($B46,'A1.3.9'!$B$26:$O$57,9,TRUE))) + IF(AZ46="",0,(AZ46*VLOOKUP($B46,'A1.3.9'!$B$26:$O$57,10,TRUE))))</f>
        <v>575.82118271234799</v>
      </c>
      <c r="BE46" s="691">
        <f>IF(AND(AW46="",BA46=""),"",IF(AW46="",0,(AW46*VLOOKUP($B46,'A1.3.9'!$B$26:$O$57,9,TRUE))) + IF(BA46="",0,(BA46*VLOOKUP($B46,'A1.3.9'!$B$26:$O$57,10,TRUE))))</f>
        <v>29.903414316751977</v>
      </c>
      <c r="BF46" s="691">
        <f>IF(AND(AX46="",BB46=""),"",IF(AX46="",0,(AX46*VLOOKUP($B46,'A1.3.9'!$B$26:$O$57,9,TRUE))) + IF(BB46="",0,(BB46*VLOOKUP($B46,'A1.3.9'!$B$26:$O$57,10,TRUE))))</f>
        <v>-0.19812585093714669</v>
      </c>
      <c r="BG46" s="2644">
        <f>IF(AND(AY46="",BC46=""),"",IF(AY46="",0,(AY46*VLOOKUP($B46,'A1.3.9'!$B$26:$O$57,9,TRUE))) + IF(BC46="",0,(BC46*VLOOKUP($B46,'A1.3.9'!$B$26:$O$57,10,TRUE))))</f>
        <v>1.1809124587061988E-3</v>
      </c>
      <c r="BH46" s="693">
        <f>IF('A1.3.8'!D$33="","",IF(OR(VLOOKUP($B46,'A1.3.11'!$B$26:$AM$105,BH$22,)="",VLOOKUP($B46,'A1.3.7'!$B$28:$H$118,4,)=""),"",VLOOKUP($B46,'A1.3.11'!$B$26:$AM$105,BH$22,)*(VLOOKUP($B46,'A1.3.7'!$B$28:$O$118,4,)+VLOOKUP($B46,'A1.3.7'!$B$28:$O$118,9,))))</f>
        <v>341.51155261828774</v>
      </c>
      <c r="BI46" s="691">
        <f>IF('A1.3.8'!E$33="","",IF(OR(VLOOKUP($B46,'A1.3.11'!$B$26:$AM$105,BI$22,)="",VLOOKUP($B46,'A1.3.7'!$B$28:$H$118,4,)=""),"",VLOOKUP($B46,'A1.3.11'!$B$26:$AM$105,BI$22,)*(VLOOKUP($B46,'A1.3.7'!$B$28:$O$118,4,)+VLOOKUP($B46,'A1.3.7'!$B$28:$O$118,9,))))</f>
        <v>30.007578775868907</v>
      </c>
      <c r="BJ46" s="691">
        <f>IF('A1.3.8'!F$33="","",IF(OR(VLOOKUP($B46,'A1.3.11'!$B$26:$AM$105,BJ$22,)="",VLOOKUP($B46,'A1.3.7'!$B$28:$H$118,4,)=""),"",VLOOKUP($B46,'A1.3.11'!$B$26:$AM$105,BJ$22,)*(VLOOKUP($B46,'A1.3.7'!$B$28:$O$118,4,)+VLOOKUP($B46,'A1.3.7'!$B$28:$O$118,9,))))</f>
        <v>-0.32615563575894635</v>
      </c>
      <c r="BK46" s="2644">
        <f>IF('A1.3.8'!G$33="","",IF(OR(VLOOKUP($B46,'A1.3.11'!$B$26:$AM$105,BK$22,)="",VLOOKUP($B46,'A1.3.7'!$B$28:$H$118,4,)=""),"",VLOOKUP($B46,'A1.3.11'!$B$26:$AM$105,BK$22,)*(VLOOKUP($B46,'A1.3.7'!$B$28:$O$118,4,)+VLOOKUP($B46,'A1.3.7'!$B$28:$O$118,9,))))</f>
        <v>2.3924849045196405E-3</v>
      </c>
      <c r="BL46" s="693" t="str">
        <f>IF('A1.3.8'!D$40="","",IF(OR(VLOOKUP($B46,'A1.3.11'!$B$26:$AM$105,BL$22,)="",VLOOKUP($B46,'A1.3.7'!$B$28:$H$118,6,)=""),"",VLOOKUP($B46,'A1.3.11'!$B$26:$AM$105,BL$22,)*VLOOKUP($B46,'A1.3.7'!$B$28:$O$118,6,)))</f>
        <v/>
      </c>
      <c r="BM46" s="691" t="str">
        <f>IF('A1.3.8'!E$40="","",IF(OR(VLOOKUP($B46,'A1.3.11'!$B$26:$AM$105,BM$22,)="",VLOOKUP($B46,'A1.3.7'!$B$28:$H$118,6,)=""),"",VLOOKUP($B46,'A1.3.11'!$B$26:$AM$105,BM$22,)*VLOOKUP($B46,'A1.3.7'!$B$28:$O$118,6,)))</f>
        <v/>
      </c>
      <c r="BN46" s="691" t="str">
        <f>IF('A1.3.8'!F$40="","",IF(OR(VLOOKUP($B46,'A1.3.11'!$B$26:$AM$105,BN$22,)="",VLOOKUP($B46,'A1.3.7'!$B$28:$H$118,6,)=""),"",VLOOKUP($B46,'A1.3.11'!$B$26:$AM$105,BN$22,)*VLOOKUP($B46,'A1.3.7'!$B$28:$O$118,6,)))</f>
        <v/>
      </c>
      <c r="BO46" s="1664" t="str">
        <f>IF('A1.3.8'!G$40="","",IF(OR(VLOOKUP($B46,'A1.3.11'!$B$26:$AM$105,BO$22,)="",VLOOKUP($B46,'A1.3.7'!$B$28:$H$118,6,)=""),"",VLOOKUP($B46,'A1.3.11'!$B$26:$AM$105,BO$22,)*VLOOKUP($B46,'A1.3.7'!$B$28:$O$118,6,)))</f>
        <v/>
      </c>
      <c r="BP46" s="693">
        <f>IF(AND(BH46="",BL46=""),"",IF(BH46="",0,(BH46*VLOOKUP($B46,'A1.3.9'!$B$26:$O$57,9,TRUE))) + IF(BL46="",0,(BL46*VLOOKUP($B46,'A1.3.9'!$B$26:$O$57,10,TRUE))))</f>
        <v>341.51155261828774</v>
      </c>
      <c r="BQ46" s="691">
        <f>IF(AND(BI46="",BM46=""),"",IF(BI46="",0,(BI46*VLOOKUP($B46,'A1.3.9'!$B$26:$O$57,9,TRUE))) + IF(BM46="",0,(BM46*VLOOKUP($B46,'A1.3.9'!$B$26:$O$57,10,TRUE))))</f>
        <v>30.007578775868907</v>
      </c>
      <c r="BR46" s="691">
        <f>IF(AND(BJ46="",BN46=""),"",IF(BJ46="",0,(BJ46*VLOOKUP($B46,'A1.3.9'!$B$26:$O$57,9,TRUE))) + IF(BN46="",0,(BN46*VLOOKUP($B46,'A1.3.9'!$B$26:$O$57,10,TRUE))))</f>
        <v>-0.32615563575894635</v>
      </c>
      <c r="BS46" s="2644">
        <f>IF(AND(BK46="",BO46=""),"",IF(BK46="",0,(BK46*VLOOKUP($B46,'A1.3.9'!$B$26:$O$57,9,TRUE))) + IF(BO46="",0,(BO46*VLOOKUP($B46,'A1.3.9'!$B$26:$O$57,10,TRUE))))</f>
        <v>2.3924849045196405E-3</v>
      </c>
    </row>
    <row r="47" spans="1:71" ht="13.5" customHeight="1">
      <c r="A47" s="113"/>
      <c r="B47" s="614">
        <f t="shared" si="0"/>
        <v>2030</v>
      </c>
      <c r="C47" s="147"/>
      <c r="D47" s="693">
        <f>IF('A1.3.8'!D$27="","",IF(OR(VLOOKUP($B47,'A1.3.11'!$B$26:$AM$105,D$22,)="",VLOOKUP($B47,'A1.3.7'!$B$28:$H$118,3,)=""),"",VLOOKUP($B47,'A1.3.11'!$B$26:$AM$105,D$22,)*(VLOOKUP($B47,'A1.3.7'!$B$28:$O$118,3,)+VLOOKUP($B47,'A1.3.7'!$B$28:$O$118,8,))))</f>
        <v>33.090421709097356</v>
      </c>
      <c r="E47" s="691">
        <f>IF('A1.3.8'!E$27="","",IF(OR(VLOOKUP($B47,'A1.3.11'!$B$26:$AM$105,E$22,)="",VLOOKUP($B47,'A1.3.7'!$B$28:$H$118,3,)=""),"",VLOOKUP($B47,'A1.3.11'!$B$26:$AM$105,E$22,)*(VLOOKUP($B47,'A1.3.7'!$B$28:$O$118,3,)+VLOOKUP($B47,'A1.3.7'!$B$28:$O$118,8,))))</f>
        <v>7.0322513698763318</v>
      </c>
      <c r="F47" s="691">
        <f>IF('A1.3.8'!F$27="","",IF(OR(VLOOKUP($B47,'A1.3.11'!$B$26:$AM$105,F$22,)="",VLOOKUP($B47,'A1.3.7'!$B$28:$H$118,3,)=""),"",VLOOKUP($B47,'A1.3.11'!$B$26:$AM$105,F$22,)*(VLOOKUP($B47,'A1.3.7'!$B$28:$O$118,3,)+VLOOKUP($B47,'A1.3.7'!$B$28:$O$118,8,))))</f>
        <v>-8.0105682549179186E-2</v>
      </c>
      <c r="G47" s="2644">
        <f>IF('A1.3.8'!G$27="","",IF(OR(VLOOKUP($B47,'A1.3.11'!$B$26:$AM$105,G$22,)="",VLOOKUP($B47,'A1.3.7'!$B$28:$H$118,3,)=""),"",VLOOKUP($B47,'A1.3.11'!$B$26:$AM$105,G$22,)*(VLOOKUP($B47,'A1.3.7'!$B$28:$O$118,3,)+VLOOKUP($B47,'A1.3.7'!$B$28:$O$118,8,))))</f>
        <v>5.3053349011136319E-4</v>
      </c>
      <c r="H47" s="693">
        <f>IF('A1.3.8'!D$28="","",IF(OR(VLOOKUP($B47,'A1.3.11'!$B$26:$AM$105,H$22,)="",VLOOKUP($B47,'A1.3.7'!$B$28:$H$118,4,)=""),"",VLOOKUP($B47,'A1.3.11'!$B$26:$AM$105,H$22,)*(VLOOKUP($B47,'A1.3.7'!$B$28:$O$118,4,)+VLOOKUP($B47,'A1.3.7'!$B$28:$O$118,9,))))</f>
        <v>40.532252115989685</v>
      </c>
      <c r="I47" s="691">
        <f>IF('A1.3.8'!E$28="","",IF(OR(VLOOKUP($B47,'A1.3.11'!$B$26:$AM$105,I$22,)="",VLOOKUP($B47,'A1.3.7'!$B$28:$H$118,4,)=""),"",VLOOKUP($B47,'A1.3.11'!$B$26:$AM$105,I$22,)*(VLOOKUP($B47,'A1.3.7'!$B$28:$O$118,4,)+VLOOKUP($B47,'A1.3.7'!$B$28:$O$118,9,))))</f>
        <v>5.8113225919777012</v>
      </c>
      <c r="J47" s="691">
        <f>IF('A1.3.8'!F$28="","",IF(OR(VLOOKUP($B47,'A1.3.11'!$B$26:$AM$105,J$22,)="",VLOOKUP($B47,'A1.3.7'!$B$28:$H$118,4,)=""),"",VLOOKUP($B47,'A1.3.11'!$B$26:$AM$105,J$22,)*(VLOOKUP($B47,'A1.3.7'!$B$28:$O$118,4,)+VLOOKUP($B47,'A1.3.7'!$B$28:$O$118,9,))))</f>
        <v>-5.5906542256987886E-2</v>
      </c>
      <c r="K47" s="2644">
        <f>IF('A1.3.8'!G$28="","",IF(OR(VLOOKUP($B47,'A1.3.11'!$B$26:$AM$105,K$22,)="",VLOOKUP($B47,'A1.3.7'!$B$28:$H$118,4,)=""),"",VLOOKUP($B47,'A1.3.11'!$B$26:$AM$105,K$22,)*(VLOOKUP($B47,'A1.3.7'!$B$28:$O$118,4,)+VLOOKUP($B47,'A1.3.7'!$B$28:$O$118,9,))))</f>
        <v>4.4054635785814383E-4</v>
      </c>
      <c r="L47" s="693" t="str">
        <f>IF('A1.3.8'!D$36="","",IF(OR(VLOOKUP($B47,'A1.3.11'!$B$26:$AM$105,L$22,)="",VLOOKUP($B47,'A1.3.7'!$B$28:$H$118,6,)=""),"",VLOOKUP($B47,'A1.3.11'!$B$26:$AM$105,L$22,)*VLOOKUP($B47,'A1.3.7'!$B$28:$O$118,6,)))</f>
        <v/>
      </c>
      <c r="M47" s="691">
        <f>IF('A1.3.8'!E$36="","",IF(OR(VLOOKUP($B47,'A1.3.11'!$B$26:$AM$105,M$22,)="",VLOOKUP($B47,'A1.3.7'!$B$28:$H$118,6,)=""),"",VLOOKUP($B47,'A1.3.11'!$B$26:$AM$105,M$22,)*VLOOKUP($B47,'A1.3.7'!$B$28:$O$118,6,)))</f>
        <v>2.091941208002043</v>
      </c>
      <c r="N47" s="691"/>
      <c r="O47" s="1664"/>
      <c r="P47" s="693">
        <f>IF(AND(D47="",H47="",L47=""),"",IF(D47="",0,(D47*VLOOKUP($B47,'A1.3.9'!$B$26:$O$57,3,TRUE)))+IF(H47="",0,(H47*VLOOKUP($B47,'A1.3.9'!$B$26:$O$57,4,TRUE)))+IF(L47="",0,(L47*VLOOKUP($B47,'A1.3.9'!$B$26:$O$57,5,TRUE))))</f>
        <v>31.106918053708618</v>
      </c>
      <c r="Q47" s="691">
        <f>IF(AND(E47="",I47="",M47=""),"",IF(E47="",0,(E47*VLOOKUP($B47,'A1.3.9'!$B$26:$O$57,3,TRUE)))+IF(I47="",0,(I47*VLOOKUP($B47,'A1.3.9'!$B$26:$O$57,4,TRUE)))+IF(M47="",0,(M47*VLOOKUP($B47,'A1.3.9'!$B$26:$O$57,5,TRUE))))</f>
        <v>5.8754409083681738</v>
      </c>
      <c r="R47" s="691">
        <f>IF(AND(F47="",J47="",N47=""),"",IF(F47="",0,(F47*VLOOKUP($B47,'A1.3.9'!$B$26:$O$57,3,TRUE)))+IF(J47="",0,(J47*VLOOKUP($B47,'A1.3.9'!$B$26:$O$57,4,TRUE)))+IF(N47="",0,(N47*VLOOKUP($B47,'A1.3.9'!$B$26:$O$57,5,TRUE))))</f>
        <v>-5.9723610333467722E-2</v>
      </c>
      <c r="S47" s="2644">
        <f>IF(AND(G47="",K47="",O47=""),"",IF(G47="",0,(G47*VLOOKUP($B47,'A1.3.9'!$B$26:$O$57,3,TRUE)))+IF(K47="",0,(K47*VLOOKUP($B47,'A1.3.9'!$B$26:$O$57,4,TRUE)))+IF(O47="",0,(O47*VLOOKUP($B47,'A1.3.9'!$B$26:$O$57,5,TRUE))))</f>
        <v>4.214840966423499E-4</v>
      </c>
      <c r="T47" s="693">
        <f>IF('A1.3.8'!D$29="","",IF(OR(VLOOKUP($B47,'A1.3.11'!$B$26:$AM$105,T$22,)="",VLOOKUP($B47,'A1.3.7'!$B$28:$H$118,3,)=""),"",VLOOKUP($B47,'A1.3.11'!$B$26:$AM$105,T$22,)*(VLOOKUP($B47,'A1.3.7'!$B$28:$O$118,3,)+VLOOKUP($B47,'A1.3.7'!$B$28:$O$118,8,))))</f>
        <v>23.737376209851494</v>
      </c>
      <c r="U47" s="691">
        <f>IF('A1.3.8'!E$29="","",IF(OR(VLOOKUP($B47,'A1.3.11'!$B$26:$AM$105,U$22,)="",VLOOKUP($B47,'A1.3.7'!$B$28:$H$118,3,)=""),"",VLOOKUP($B47,'A1.3.11'!$B$26:$AM$105,U$22,)*(VLOOKUP($B47,'A1.3.7'!$B$28:$O$118,3,)+VLOOKUP($B47,'A1.3.7'!$B$28:$O$118,8,))))</f>
        <v>13.310546506908654</v>
      </c>
      <c r="V47" s="691">
        <f>IF('A1.3.8'!F$29="","",IF(OR(VLOOKUP($B47,'A1.3.11'!$B$26:$AM$105,V$22,)="",VLOOKUP($B47,'A1.3.7'!$B$28:$H$118,3,)=""),"",VLOOKUP($B47,'A1.3.11'!$B$26:$AM$105,V$22,)*(VLOOKUP($B47,'A1.3.7'!$B$28:$O$118,3,)+VLOOKUP($B47,'A1.3.7'!$B$28:$O$118,8,))))</f>
        <v>-0.20893188969296683</v>
      </c>
      <c r="W47" s="2644">
        <f>IF('A1.3.8'!G$29="","",IF(OR(VLOOKUP($B47,'A1.3.11'!$B$26:$AM$105,W$22,)="",VLOOKUP($B47,'A1.3.7'!$B$28:$H$118,3,)=""),"",VLOOKUP($B47,'A1.3.11'!$B$26:$AM$105,W$22,)*(VLOOKUP($B47,'A1.3.7'!$B$28:$O$118,3,)+VLOOKUP($B47,'A1.3.7'!$B$28:$O$118,8,))))</f>
        <v>1.3492899519110303E-3</v>
      </c>
      <c r="X47" s="693">
        <f>IF('A1.3.8'!D$30="","",IF(OR(VLOOKUP($B47,'A1.3.11'!$B$26:$AM$105,X$22,)="",VLOOKUP($B47,'A1.3.7'!$B$28:$H$118,4,)=""),"",VLOOKUP($B47,'A1.3.11'!$B$26:$AM$105,X$22,)*(VLOOKUP($B47,'A1.3.7'!$B$28:$O$118,4,)+VLOOKUP($B47,'A1.3.7'!$B$28:$O$118,9,))))</f>
        <v>41.494986746777869</v>
      </c>
      <c r="Y47" s="691">
        <f>IF('A1.3.8'!E$30="","",IF(OR(VLOOKUP($B47,'A1.3.11'!$B$26:$AM$105,Y$22,)="",VLOOKUP($B47,'A1.3.7'!$B$28:$H$118,4,)=""),"",VLOOKUP($B47,'A1.3.11'!$B$26:$AM$105,Y$22,)*(VLOOKUP($B47,'A1.3.7'!$B$28:$O$118,4,)+VLOOKUP($B47,'A1.3.7'!$B$28:$O$118,9,))))</f>
        <v>10.141543866748513</v>
      </c>
      <c r="Z47" s="691">
        <f>IF('A1.3.8'!F$30="","",IF(OR(VLOOKUP($B47,'A1.3.11'!$B$26:$AM$105,Z$22,)="",VLOOKUP($B47,'A1.3.7'!$B$28:$H$118,4,)=""),"",VLOOKUP($B47,'A1.3.11'!$B$26:$AM$105,Z$22,)*(VLOOKUP($B47,'A1.3.7'!$B$28:$O$118,4,)+VLOOKUP($B47,'A1.3.7'!$B$28:$O$118,9,))))</f>
        <v>-0.14631020195565164</v>
      </c>
      <c r="AA47" s="2644">
        <f>IF('A1.3.8'!G$30="","",IF(OR(VLOOKUP($B47,'A1.3.11'!$B$26:$AM$105,AA$22,)="",VLOOKUP($B47,'A1.3.7'!$B$28:$H$118,4,)=""),"",VLOOKUP($B47,'A1.3.11'!$B$26:$AM$105,AA$22,)*(VLOOKUP($B47,'A1.3.7'!$B$28:$O$118,4,)+VLOOKUP($B47,'A1.3.7'!$B$28:$O$118,9,))))</f>
        <v>1.2386672711756893E-3</v>
      </c>
      <c r="AB47" s="693" t="str">
        <f>IF('A1.3.8'!D$37="","",IF(OR(VLOOKUP($B47,'A1.3.11'!$B$26:$AM$105,AB$22,)="",VLOOKUP($B47,'A1.3.7'!$B$28:$H$118,6,)=""),"",VLOOKUP($B47,'A1.3.11'!$B$26:$AM$105,AB$22,)*VLOOKUP($B47,'A1.3.7'!$B$28:$O$118,6,)))</f>
        <v/>
      </c>
      <c r="AC47" s="691">
        <f>IF('A1.3.8'!E$37="","",IF(OR(VLOOKUP($B47,'A1.3.11'!$B$26:$AM$105,AC$22,)="",VLOOKUP($B47,'A1.3.7'!$B$28:$H$118,6,)=""),"",VLOOKUP($B47,'A1.3.11'!$B$26:$AM$105,AC$22,)*VLOOKUP($B47,'A1.3.7'!$B$28:$O$118,6,)))</f>
        <v>4.5145632825273854</v>
      </c>
      <c r="AD47" s="691"/>
      <c r="AE47" s="1664" t="str">
        <f>IF('A1.3.8'!G$37="","",IF(OR(VLOOKUP($B47,'A1.3.11'!$B$26:$AM$105,AE$22,)="",VLOOKUP($B47,'A1.3.7'!$B$28:$H$118,6,)=""),"",VLOOKUP($B47,'A1.3.11'!$B$26:$AM$105,AE$22,)*VLOOKUP($B47,'A1.3.7'!$B$28:$O$118,6,)))</f>
        <v/>
      </c>
      <c r="AF47" s="693">
        <f>IF(AND(T47="",X47="",AB47=""),"",IF(T47="",0,(T47*VLOOKUP('A1.3.12'!$B47,'A1.3.9'!$B$26:$O$57,6,TRUE))) + IF(X47="",0,(X47*VLOOKUP('A1.3.12'!$B47,'A1.3.9'!$B$26:$O$57,7,TRUE))) + IF(AB47="",0,(AB47*VLOOKUP('A1.3.12'!$B47,'A1.3.9'!$B$26:$O$57,8,TRUE))))</f>
        <v>38.917745511543195</v>
      </c>
      <c r="AG47" s="691">
        <f>IF(AND(U47="",Y47="",AC47=""),"",IF(U47="",0,(U47*VLOOKUP('A1.3.12'!$B47,'A1.3.9'!$B$26:$O$57,6,TRUE))) + IF(Y47="",0,(Y47*VLOOKUP('A1.3.12'!$B47,'A1.3.9'!$B$26:$O$57,7,TRUE))) + IF(AC47="",0,(AC47*VLOOKUP('A1.3.12'!$B47,'A1.3.9'!$B$26:$O$57,8,TRUE))))</f>
        <v>9.8376020729638221</v>
      </c>
      <c r="AH47" s="691">
        <f>IF(AND(V47="",Z47="",AD47=""),"",IF(V47="",0,(V47*VLOOKUP('A1.3.12'!$B47,'A1.3.9'!$B$26:$O$57,6,TRUE))) + IF(Z47="",0,(Z47*VLOOKUP('A1.3.12'!$B47,'A1.3.9'!$B$26:$O$57,7,TRUE))) + IF(AD47="",0,(AD47*VLOOKUP('A1.3.12'!$B47,'A1.3.9'!$B$26:$O$57,8,TRUE))))</f>
        <v>-0.13824572197175405</v>
      </c>
      <c r="AI47" s="2644">
        <f>IF(AND(W47="",AA47="",AE47=""),"",IF(W47="",0,(W47*VLOOKUP('A1.3.12'!$B47,'A1.3.9'!$B$26:$O$57,6,TRUE))) + IF(AA47="",0,(AA47*VLOOKUP('A1.3.12'!$B47,'A1.3.9'!$B$26:$O$57,7,TRUE))) + IF(AE47="",0,(AE47*VLOOKUP('A1.3.12'!$B47,'A1.3.9'!$B$26:$O$57,8,TRUE))))</f>
        <v>1.1669667207288206E-3</v>
      </c>
      <c r="AJ47" s="693">
        <f>IF('A1.3.8'!D$31="","",IF(OR(VLOOKUP($B47,'A1.3.11'!$B$26:$AM$105,AJ$22,)="",VLOOKUP($B47,'A1.3.7'!$B$28:$H$118,4,)=""),"",VLOOKUP($B47,'A1.3.11'!$B$26:$AM$105,AJ$22,)*(VLOOKUP($B47,'A1.3.7'!$B$28:$O$118,4,)+VLOOKUP($B47,'A1.3.7'!$B$28:$O$118,9,))))</f>
        <v>276.54927019368586</v>
      </c>
      <c r="AK47" s="691">
        <f>IF('A1.3.8'!E$31="","",IF(OR(VLOOKUP($B47,'A1.3.11'!$B$26:$AM$105,AK$22,)="",VLOOKUP($B47,'A1.3.7'!$B$28:$H$118,4,)=""),"",VLOOKUP($B47,'A1.3.11'!$B$26:$AM$105,AK$22,)*(VLOOKUP($B47,'A1.3.7'!$B$28:$O$118,4,)+VLOOKUP($B47,'A1.3.7'!$B$28:$O$118,9,))))</f>
        <v>14.672931398891793</v>
      </c>
      <c r="AL47" s="691">
        <f>IF('A1.3.8'!F$31="","",IF(OR(VLOOKUP($B47,'A1.3.11'!$B$26:$AM$105,AL$22,)="",VLOOKUP($B47,'A1.3.7'!$B$28:$H$118,4,)=""),"",VLOOKUP($B47,'A1.3.11'!$B$26:$AM$105,AL$22,)*(VLOOKUP($B47,'A1.3.7'!$B$28:$O$118,4,)+VLOOKUP($B47,'A1.3.7'!$B$28:$O$118,9,))))</f>
        <v>-0.10605604131337605</v>
      </c>
      <c r="AM47" s="2644">
        <f>IF('A1.3.8'!G$31="","",IF(OR(VLOOKUP($B47,'A1.3.11'!$B$26:$AM$105,AM$22,)="",VLOOKUP($B47,'A1.3.7'!$B$28:$H$118,4,)=""),"",VLOOKUP($B47,'A1.3.11'!$B$26:$AM$105,AM$22,)*(VLOOKUP($B47,'A1.3.7'!$B$28:$O$118,4,)+VLOOKUP($B47,'A1.3.7'!$B$28:$O$118,9,))))</f>
        <v>1.158302138434828E-3</v>
      </c>
      <c r="AN47" s="693" t="str">
        <f>IF('A1.3.8'!D$38="","",IF(OR(VLOOKUP($B47,'A1.3.11'!$B$26:$AM$105,AN$22,)="",VLOOKUP($B47,'A1.3.7'!$B$28:$H$118,6,)=""),"",VLOOKUP($B47,'A1.3.11'!$B$26:$AM$105,AN$22,)*VLOOKUP($B47,'A1.3.7'!$B$28:$O$118,6,)))</f>
        <v/>
      </c>
      <c r="AO47" s="691" t="str">
        <f>IF('A1.3.8'!E$38="","",IF(OR(VLOOKUP($B47,'A1.3.11'!$B$26:$AM$105,AO$22,)="",VLOOKUP($B47,'A1.3.7'!$B$28:$H$118,6,)=""),"",VLOOKUP($B47,'A1.3.11'!$B$26:$AM$105,AO$22,)*VLOOKUP($B47,'A1.3.7'!$B$28:$O$118,6,)))</f>
        <v/>
      </c>
      <c r="AP47" s="691" t="str">
        <f>IF('A1.3.8'!F$38="","",IF(OR(VLOOKUP($B47,'A1.3.11'!$B$26:$AM$105,AP$22,)="",VLOOKUP($B47,'A1.3.7'!$B$28:$H$118,6,)=""),"",VLOOKUP($B47,'A1.3.11'!$B$26:$AM$105,AP$22,)*VLOOKUP($B47,'A1.3.7'!$B$28:$O$118,6,)))</f>
        <v/>
      </c>
      <c r="AQ47" s="1664" t="str">
        <f>IF('A1.3.8'!G$38="","",IF(OR(VLOOKUP($B47,'A1.3.11'!$B$26:$AM$105,AQ$22,)="",VLOOKUP($B47,'A1.3.7'!$B$28:$H$118,6,)=""),"",VLOOKUP($B47,'A1.3.11'!$B$26:$AM$105,AQ$22,)*VLOOKUP($B47,'A1.3.7'!$B$28:$O$118,6,)))</f>
        <v/>
      </c>
      <c r="AR47" s="693">
        <f>IF(AND(AJ47="",AN47=""),"",IF(AJ47="",0,(AJ47*VLOOKUP($B47,'A1.3.9'!$B$26:$O$57,9,TRUE))) + IF(AN47="",0,(AN47*VLOOKUP($B47,'A1.3.9'!$B$26:$O$57,10,TRUE))))</f>
        <v>276.54927019368586</v>
      </c>
      <c r="AS47" s="691">
        <f>IF(AND(AK47="",AO47=""),"",IF(AK47="",0,(AK47*VLOOKUP($B47,'A1.3.9'!$B$26:$O$57,9,TRUE))) + IF(AO47="",0,(AO47*VLOOKUP($B47,'A1.3.9'!$B$26:$O$57,10,TRUE))))</f>
        <v>14.672931398891793</v>
      </c>
      <c r="AT47" s="691">
        <f>IF(AND(AL47="",AP47=""),"",IF(AL47="",0,(AL47*VLOOKUP($B47,'A1.3.9'!$B$26:$O$57,9,TRUE))) + IF(AP47="",0,(AP47*VLOOKUP($B47,'A1.3.9'!$B$26:$O$57,10,TRUE))))</f>
        <v>-0.10605604131337605</v>
      </c>
      <c r="AU47" s="2644">
        <f>IF(AND(AM47="",AQ47=""),"",IF(AM47="",0,(AM47*VLOOKUP($B47,'A1.3.9'!$B$26:$O$57,9,TRUE))) + IF(AQ47="",0,(AQ47*VLOOKUP($B47,'A1.3.9'!$B$26:$O$57,10,TRUE))))</f>
        <v>1.158302138434828E-3</v>
      </c>
      <c r="AV47" s="693">
        <f>IF('A1.3.8'!D$32="","",IF(OR(VLOOKUP($B47,'A1.3.11'!$B$26:$AM$105,AV$22,)="",VLOOKUP($B47,'A1.3.7'!$B$28:$H$118,4,)=""),"",VLOOKUP($B47,'A1.3.11'!$B$26:$AM$105,AV$22,)*(VLOOKUP($B47,'A1.3.7'!$B$28:$O$118,4,)+VLOOKUP($B47,'A1.3.7'!$B$28:$O$118,9,))))</f>
        <v>581.10207898395515</v>
      </c>
      <c r="AW47" s="691">
        <f>IF('A1.3.8'!E$32="","",IF(OR(VLOOKUP($B47,'A1.3.11'!$B$26:$AM$105,AW$22,)="",VLOOKUP($B47,'A1.3.7'!$B$28:$H$118,4,)=""),"",VLOOKUP($B47,'A1.3.11'!$B$26:$AM$105,AW$22,)*(VLOOKUP($B47,'A1.3.7'!$B$28:$O$118,4,)+VLOOKUP($B47,'A1.3.7'!$B$28:$O$118,9,))))</f>
        <v>30.177660617365316</v>
      </c>
      <c r="AX47" s="691">
        <f>IF('A1.3.8'!F$32="","",IF(OR(VLOOKUP($B47,'A1.3.11'!$B$26:$AM$105,AX$22,)="",VLOOKUP($B47,'A1.3.7'!$B$28:$H$118,4,)=""),"",VLOOKUP($B47,'A1.3.11'!$B$26:$AM$105,AX$22,)*(VLOOKUP($B47,'A1.3.7'!$B$28:$O$118,4,)+VLOOKUP($B47,'A1.3.7'!$B$28:$O$118,9,))))</f>
        <v>-0.19994287694962259</v>
      </c>
      <c r="AY47" s="2644">
        <f>IF('A1.3.8'!G$32="","",IF(OR(VLOOKUP($B47,'A1.3.11'!$B$26:$AM$105,AY$22,)="",VLOOKUP($B47,'A1.3.7'!$B$28:$H$118,4,)=""),"",VLOOKUP($B47,'A1.3.11'!$B$26:$AM$105,AY$22,)*(VLOOKUP($B47,'A1.3.7'!$B$28:$O$118,4,)+VLOOKUP($B47,'A1.3.7'!$B$28:$O$118,9,))))</f>
        <v>1.1917426893185924E-3</v>
      </c>
      <c r="AZ47" s="693" t="str">
        <f>IF('A1.3.8'!D$39="","",IF(OR(VLOOKUP($B47,'A1.3.11'!$B$26:$AM$105,AZ$22,)="",VLOOKUP($B47,'A1.3.7'!$B$28:$H$118,6,)=""),"",VLOOKUP($B47,'A1.3.11'!$B$26:$AM$105,AZ$22,)*VLOOKUP($B47,'A1.3.7'!$B$28:$O$118,6,)))</f>
        <v/>
      </c>
      <c r="BA47" s="691" t="str">
        <f>IF('A1.3.8'!E$39="","",IF(OR(VLOOKUP($B47,'A1.3.11'!$B$26:$AM$105,BA$22,)="",VLOOKUP($B47,'A1.3.7'!$B$28:$H$118,6,)=""),"",VLOOKUP($B47,'A1.3.11'!$B$26:$AM$105,BA$22,)*VLOOKUP($B47,'A1.3.7'!$B$28:$O$118,6,)))</f>
        <v/>
      </c>
      <c r="BB47" s="691" t="str">
        <f>IF('A1.3.8'!F$39="","",IF(OR(VLOOKUP($B47,'A1.3.11'!$B$26:$AM$105,BB$22,)="",VLOOKUP($B47,'A1.3.7'!$B$28:$H$118,6,)=""),"",VLOOKUP($B47,'A1.3.11'!$B$26:$AM$105,BB$22,)*VLOOKUP($B47,'A1.3.7'!$B$28:$O$118,6,)))</f>
        <v/>
      </c>
      <c r="BC47" s="1664" t="str">
        <f>IF('A1.3.8'!G$39="","",IF(OR(VLOOKUP($B47,'A1.3.11'!$B$26:$AM$105,BC$22,)="",VLOOKUP($B47,'A1.3.7'!$B$28:$H$118,6,)=""),"",VLOOKUP($B47,'A1.3.11'!$B$26:$AM$105,BC$22,)*VLOOKUP($B47,'A1.3.7'!$B$28:$O$118,6,)))</f>
        <v/>
      </c>
      <c r="BD47" s="693">
        <f>IF(AND(AV47="",AZ47=""),"",IF(AV47="",0,(AV47*VLOOKUP($B47,'A1.3.9'!$B$26:$O$57,9,TRUE))) + IF(AZ47="",0,(AZ47*VLOOKUP($B47,'A1.3.9'!$B$26:$O$57,10,TRUE))))</f>
        <v>581.10207898395515</v>
      </c>
      <c r="BE47" s="691">
        <f>IF(AND(AW47="",BA47=""),"",IF(AW47="",0,(AW47*VLOOKUP($B47,'A1.3.9'!$B$26:$O$57,9,TRUE))) + IF(BA47="",0,(BA47*VLOOKUP($B47,'A1.3.9'!$B$26:$O$57,10,TRUE))))</f>
        <v>30.177660617365316</v>
      </c>
      <c r="BF47" s="691">
        <f>IF(AND(AX47="",BB47=""),"",IF(AX47="",0,(AX47*VLOOKUP($B47,'A1.3.9'!$B$26:$O$57,9,TRUE))) + IF(BB47="",0,(BB47*VLOOKUP($B47,'A1.3.9'!$B$26:$O$57,10,TRUE))))</f>
        <v>-0.19994287694962259</v>
      </c>
      <c r="BG47" s="2644">
        <f>IF(AND(AY47="",BC47=""),"",IF(AY47="",0,(AY47*VLOOKUP($B47,'A1.3.9'!$B$26:$O$57,9,TRUE))) + IF(BC47="",0,(BC47*VLOOKUP($B47,'A1.3.9'!$B$26:$O$57,10,TRUE))))</f>
        <v>1.1917426893185924E-3</v>
      </c>
      <c r="BH47" s="693">
        <f>IF('A1.3.8'!D$33="","",IF(OR(VLOOKUP($B47,'A1.3.11'!$B$26:$AM$105,BH$22,)="",VLOOKUP($B47,'A1.3.7'!$B$28:$H$118,4,)=""),"",VLOOKUP($B47,'A1.3.11'!$B$26:$AM$105,BH$22,)*(VLOOKUP($B47,'A1.3.7'!$B$28:$O$118,4,)+VLOOKUP($B47,'A1.3.7'!$B$28:$O$118,9,))))</f>
        <v>344.64357891234931</v>
      </c>
      <c r="BI47" s="691">
        <f>IF('A1.3.8'!E$33="","",IF(OR(VLOOKUP($B47,'A1.3.11'!$B$26:$AM$105,BI$22,)="",VLOOKUP($B47,'A1.3.7'!$B$28:$H$118,4,)=""),"",VLOOKUP($B47,'A1.3.11'!$B$26:$AM$105,BI$22,)*(VLOOKUP($B47,'A1.3.7'!$B$28:$O$118,4,)+VLOOKUP($B47,'A1.3.7'!$B$28:$O$118,9,))))</f>
        <v>30.282780376009772</v>
      </c>
      <c r="BJ47" s="691">
        <f>IF('A1.3.8'!F$33="","",IF(OR(VLOOKUP($B47,'A1.3.11'!$B$26:$AM$105,BJ$22,)="",VLOOKUP($B47,'A1.3.7'!$B$28:$H$118,4,)=""),"",VLOOKUP($B47,'A1.3.11'!$B$26:$AM$105,BJ$22,)*(VLOOKUP($B47,'A1.3.7'!$B$28:$O$118,4,)+VLOOKUP($B47,'A1.3.7'!$B$28:$O$118,9,))))</f>
        <v>-0.32914683186731092</v>
      </c>
      <c r="BK47" s="2644">
        <f>IF('A1.3.8'!G$33="","",IF(OR(VLOOKUP($B47,'A1.3.11'!$B$26:$AM$105,BK$22,)="",VLOOKUP($B47,'A1.3.7'!$B$28:$H$118,4,)=""),"",VLOOKUP($B47,'A1.3.11'!$B$26:$AM$105,BK$22,)*(VLOOKUP($B47,'A1.3.7'!$B$28:$O$118,4,)+VLOOKUP($B47,'A1.3.7'!$B$28:$O$118,9,))))</f>
        <v>2.4144265506269281E-3</v>
      </c>
      <c r="BL47" s="693" t="str">
        <f>IF('A1.3.8'!D$40="","",IF(OR(VLOOKUP($B47,'A1.3.11'!$B$26:$AM$105,BL$22,)="",VLOOKUP($B47,'A1.3.7'!$B$28:$H$118,6,)=""),"",VLOOKUP($B47,'A1.3.11'!$B$26:$AM$105,BL$22,)*VLOOKUP($B47,'A1.3.7'!$B$28:$O$118,6,)))</f>
        <v/>
      </c>
      <c r="BM47" s="691" t="str">
        <f>IF('A1.3.8'!E$40="","",IF(OR(VLOOKUP($B47,'A1.3.11'!$B$26:$AM$105,BM$22,)="",VLOOKUP($B47,'A1.3.7'!$B$28:$H$118,6,)=""),"",VLOOKUP($B47,'A1.3.11'!$B$26:$AM$105,BM$22,)*VLOOKUP($B47,'A1.3.7'!$B$28:$O$118,6,)))</f>
        <v/>
      </c>
      <c r="BN47" s="691" t="str">
        <f>IF('A1.3.8'!F$40="","",IF(OR(VLOOKUP($B47,'A1.3.11'!$B$26:$AM$105,BN$22,)="",VLOOKUP($B47,'A1.3.7'!$B$28:$H$118,6,)=""),"",VLOOKUP($B47,'A1.3.11'!$B$26:$AM$105,BN$22,)*VLOOKUP($B47,'A1.3.7'!$B$28:$O$118,6,)))</f>
        <v/>
      </c>
      <c r="BO47" s="1664" t="str">
        <f>IF('A1.3.8'!G$40="","",IF(OR(VLOOKUP($B47,'A1.3.11'!$B$26:$AM$105,BO$22,)="",VLOOKUP($B47,'A1.3.7'!$B$28:$H$118,6,)=""),"",VLOOKUP($B47,'A1.3.11'!$B$26:$AM$105,BO$22,)*VLOOKUP($B47,'A1.3.7'!$B$28:$O$118,6,)))</f>
        <v/>
      </c>
      <c r="BP47" s="693">
        <f>IF(AND(BH47="",BL47=""),"",IF(BH47="",0,(BH47*VLOOKUP($B47,'A1.3.9'!$B$26:$O$57,9,TRUE))) + IF(BL47="",0,(BL47*VLOOKUP($B47,'A1.3.9'!$B$26:$O$57,10,TRUE))))</f>
        <v>344.64357891234931</v>
      </c>
      <c r="BQ47" s="691">
        <f>IF(AND(BI47="",BM47=""),"",IF(BI47="",0,(BI47*VLOOKUP($B47,'A1.3.9'!$B$26:$O$57,9,TRUE))) + IF(BM47="",0,(BM47*VLOOKUP($B47,'A1.3.9'!$B$26:$O$57,10,TRUE))))</f>
        <v>30.282780376009772</v>
      </c>
      <c r="BR47" s="691">
        <f>IF(AND(BJ47="",BN47=""),"",IF(BJ47="",0,(BJ47*VLOOKUP($B47,'A1.3.9'!$B$26:$O$57,9,TRUE))) + IF(BN47="",0,(BN47*VLOOKUP($B47,'A1.3.9'!$B$26:$O$57,10,TRUE))))</f>
        <v>-0.32914683186731092</v>
      </c>
      <c r="BS47" s="2644">
        <f>IF(AND(BK47="",BO47=""),"",IF(BK47="",0,(BK47*VLOOKUP($B47,'A1.3.9'!$B$26:$O$57,9,TRUE))) + IF(BO47="",0,(BO47*VLOOKUP($B47,'A1.3.9'!$B$26:$O$57,10,TRUE))))</f>
        <v>2.4144265506269281E-3</v>
      </c>
    </row>
    <row r="48" spans="1:71" s="26" customFormat="1" ht="13.5" customHeight="1">
      <c r="A48" s="113"/>
      <c r="B48" s="614">
        <f t="shared" si="0"/>
        <v>2031</v>
      </c>
      <c r="C48" s="147"/>
      <c r="D48" s="693">
        <f>IF('A1.3.8'!D$27="","",IF(OR(VLOOKUP($B48,'A1.3.11'!$B$26:$AM$105,D$22,)="",VLOOKUP($B48,'A1.3.7'!$B$28:$H$118,3,)=""),"",VLOOKUP($B48,'A1.3.11'!$B$26:$AM$105,D$22,)*(VLOOKUP($B48,'A1.3.7'!$B$28:$O$118,3,)+VLOOKUP($B48,'A1.3.7'!$B$28:$O$118,8,))))</f>
        <v>32.904178700993747</v>
      </c>
      <c r="E48" s="691">
        <f>IF('A1.3.8'!E$27="","",IF(OR(VLOOKUP($B48,'A1.3.11'!$B$26:$AM$105,E$22,)="",VLOOKUP($B48,'A1.3.7'!$B$28:$H$118,3,)=""),"",VLOOKUP($B48,'A1.3.11'!$B$26:$AM$105,E$22,)*(VLOOKUP($B48,'A1.3.7'!$B$28:$O$118,3,)+VLOOKUP($B48,'A1.3.7'!$B$28:$O$118,8,))))</f>
        <v>6.9926717096235773</v>
      </c>
      <c r="F48" s="691">
        <f>IF('A1.3.8'!F$27="","",IF(OR(VLOOKUP($B48,'A1.3.11'!$B$26:$AM$105,F$22,)="",VLOOKUP($B48,'A1.3.7'!$B$28:$H$118,3,)=""),"",VLOOKUP($B48,'A1.3.11'!$B$26:$AM$105,F$22,)*(VLOOKUP($B48,'A1.3.7'!$B$28:$O$118,3,)+VLOOKUP($B48,'A1.3.7'!$B$28:$O$118,8,))))</f>
        <v>-7.9654823281947493E-2</v>
      </c>
      <c r="G48" s="2644">
        <f>IF('A1.3.8'!G$27="","",IF(OR(VLOOKUP($B48,'A1.3.11'!$B$26:$AM$105,G$22,)="",VLOOKUP($B48,'A1.3.7'!$B$28:$H$118,3,)=""),"",VLOOKUP($B48,'A1.3.11'!$B$26:$AM$105,G$22,)*(VLOOKUP($B48,'A1.3.7'!$B$28:$O$118,3,)+VLOOKUP($B48,'A1.3.7'!$B$28:$O$118,8,))))</f>
        <v>5.2754748546123573E-4</v>
      </c>
      <c r="H48" s="693">
        <f>IF('A1.3.8'!D$28="","",IF(OR(VLOOKUP($B48,'A1.3.11'!$B$26:$AM$105,H$22,)="",VLOOKUP($B48,'A1.3.7'!$B$28:$H$118,4,)=""),"",VLOOKUP($B48,'A1.3.11'!$B$26:$AM$105,H$22,)*(VLOOKUP($B48,'A1.3.7'!$B$28:$O$118,4,)+VLOOKUP($B48,'A1.3.7'!$B$28:$O$118,9,))))</f>
        <v>40.419962644929512</v>
      </c>
      <c r="I48" s="691">
        <f>IF('A1.3.8'!E$28="","",IF(OR(VLOOKUP($B48,'A1.3.11'!$B$26:$AM$105,I$22,)="",VLOOKUP($B48,'A1.3.7'!$B$28:$H$118,4,)=""),"",VLOOKUP($B48,'A1.3.11'!$B$26:$AM$105,I$22,)*(VLOOKUP($B48,'A1.3.7'!$B$28:$O$118,4,)+VLOOKUP($B48,'A1.3.7'!$B$28:$O$118,9,))))</f>
        <v>5.7952230587431339</v>
      </c>
      <c r="J48" s="691">
        <f>IF('A1.3.8'!F$28="","",IF(OR(VLOOKUP($B48,'A1.3.11'!$B$26:$AM$105,J$22,)="",VLOOKUP($B48,'A1.3.7'!$B$28:$H$118,4,)=""),"",VLOOKUP($B48,'A1.3.11'!$B$26:$AM$105,J$22,)*(VLOOKUP($B48,'A1.3.7'!$B$28:$O$118,4,)+VLOOKUP($B48,'A1.3.7'!$B$28:$O$118,9,))))</f>
        <v>-5.5751660262252534E-2</v>
      </c>
      <c r="K48" s="2644">
        <f>IF('A1.3.8'!G$28="","",IF(OR(VLOOKUP($B48,'A1.3.11'!$B$26:$AM$105,K$22,)="",VLOOKUP($B48,'A1.3.7'!$B$28:$H$118,4,)=""),"",VLOOKUP($B48,'A1.3.11'!$B$26:$AM$105,K$22,)*(VLOOKUP($B48,'A1.3.7'!$B$28:$O$118,4,)+VLOOKUP($B48,'A1.3.7'!$B$28:$O$118,9,))))</f>
        <v>4.3932587996908356E-4</v>
      </c>
      <c r="L48" s="693" t="str">
        <f>IF('A1.3.8'!D$36="","",IF(OR(VLOOKUP($B48,'A1.3.11'!$B$26:$AM$105,L$22,)="",VLOOKUP($B48,'A1.3.7'!$B$28:$H$118,6,)=""),"",VLOOKUP($B48,'A1.3.11'!$B$26:$AM$105,L$22,)*VLOOKUP($B48,'A1.3.7'!$B$28:$O$118,6,)))</f>
        <v/>
      </c>
      <c r="M48" s="691">
        <f>IF('A1.3.8'!E$36="","",IF(OR(VLOOKUP($B48,'A1.3.11'!$B$26:$AM$105,M$22,)="",VLOOKUP($B48,'A1.3.7'!$B$28:$H$118,6,)=""),"",VLOOKUP($B48,'A1.3.11'!$B$26:$AM$105,M$22,)*VLOOKUP($B48,'A1.3.7'!$B$28:$O$118,6,)))</f>
        <v>2.0654279428701057</v>
      </c>
      <c r="N48" s="691"/>
      <c r="O48" s="1664"/>
      <c r="P48" s="693">
        <f>IF(AND(D48="",H48="",L48=""),"",IF(D48="",0,(D48*VLOOKUP($B48,'A1.3.9'!$B$26:$O$57,3,TRUE)))+IF(H48="",0,(H48*VLOOKUP($B48,'A1.3.9'!$B$26:$O$57,4,TRUE)))+IF(L48="",0,(L48*VLOOKUP($B48,'A1.3.9'!$B$26:$O$57,5,TRUE))))</f>
        <v>30.185839299990739</v>
      </c>
      <c r="Q48" s="691">
        <f>IF(AND(E48="",I48="",M48=""),"",IF(E48="",0,(E48*VLOOKUP($B48,'A1.3.9'!$B$26:$O$57,3,TRUE)))+IF(I48="",0,(I48*VLOOKUP($B48,'A1.3.9'!$B$26:$O$57,4,TRUE)))+IF(M48="",0,(M48*VLOOKUP($B48,'A1.3.9'!$B$26:$O$57,5,TRUE))))</f>
        <v>5.7617376611570634</v>
      </c>
      <c r="R48" s="691">
        <f>IF(AND(F48="",J48="",N48=""),"",IF(F48="",0,(F48*VLOOKUP($B48,'A1.3.9'!$B$26:$O$57,3,TRUE)))+IF(J48="",0,(J48*VLOOKUP($B48,'A1.3.9'!$B$26:$O$57,4,TRUE)))+IF(N48="",0,(N48*VLOOKUP($B48,'A1.3.9'!$B$26:$O$57,5,TRUE))))</f>
        <v>-5.8143306819945381E-2</v>
      </c>
      <c r="S48" s="2644">
        <f>IF(AND(G48="",K48="",O48=""),"",IF(G48="",0,(G48*VLOOKUP($B48,'A1.3.9'!$B$26:$O$57,3,TRUE)))+IF(K48="",0,(K48*VLOOKUP($B48,'A1.3.9'!$B$26:$O$57,4,TRUE)))+IF(O48="",0,(O48*VLOOKUP($B48,'A1.3.9'!$B$26:$O$57,5,TRUE))))</f>
        <v>4.099366109164708E-4</v>
      </c>
      <c r="T48" s="693">
        <f>IF('A1.3.8'!D$29="","",IF(OR(VLOOKUP($B48,'A1.3.11'!$B$26:$AM$105,T$22,)="",VLOOKUP($B48,'A1.3.7'!$B$28:$H$118,3,)=""),"",VLOOKUP($B48,'A1.3.11'!$B$26:$AM$105,T$22,)*(VLOOKUP($B48,'A1.3.7'!$B$28:$O$118,3,)+VLOOKUP($B48,'A1.3.7'!$B$28:$O$118,8,))))</f>
        <v>23.672357596488826</v>
      </c>
      <c r="U48" s="691">
        <f>IF('A1.3.8'!E$29="","",IF(OR(VLOOKUP($B48,'A1.3.11'!$B$26:$AM$105,U$22,)="",VLOOKUP($B48,'A1.3.7'!$B$28:$H$118,3,)=""),"",VLOOKUP($B48,'A1.3.11'!$B$26:$AM$105,U$22,)*(VLOOKUP($B48,'A1.3.7'!$B$28:$O$118,3,)+VLOOKUP($B48,'A1.3.7'!$B$28:$O$118,8,))))</f>
        <v>13.274087832229213</v>
      </c>
      <c r="V48" s="691">
        <f>IF('A1.3.8'!F$29="","",IF(OR(VLOOKUP($B48,'A1.3.11'!$B$26:$AM$105,V$22,)="",VLOOKUP($B48,'A1.3.7'!$B$28:$H$118,3,)=""),"",VLOOKUP($B48,'A1.3.11'!$B$26:$AM$105,V$22,)*(VLOOKUP($B48,'A1.3.7'!$B$28:$O$118,3,)+VLOOKUP($B48,'A1.3.7'!$B$28:$O$118,8,))))</f>
        <v>-0.20835960817225516</v>
      </c>
      <c r="W48" s="2644">
        <f>IF('A1.3.8'!G$29="","",IF(OR(VLOOKUP($B48,'A1.3.11'!$B$26:$AM$105,W$22,)="",VLOOKUP($B48,'A1.3.7'!$B$28:$H$118,3,)=""),"",VLOOKUP($B48,'A1.3.11'!$B$26:$AM$105,W$22,)*(VLOOKUP($B48,'A1.3.7'!$B$28:$O$118,3,)+VLOOKUP($B48,'A1.3.7'!$B$28:$O$118,8,))))</f>
        <v>1.3455941364627741E-3</v>
      </c>
      <c r="X48" s="693">
        <f>IF('A1.3.8'!D$30="","",IF(OR(VLOOKUP($B48,'A1.3.11'!$B$26:$AM$105,X$22,)="",VLOOKUP($B48,'A1.3.7'!$B$28:$H$118,4,)=""),"",VLOOKUP($B48,'A1.3.11'!$B$26:$AM$105,X$22,)*(VLOOKUP($B48,'A1.3.7'!$B$28:$O$118,4,)+VLOOKUP($B48,'A1.3.7'!$B$28:$O$118,9,))))</f>
        <v>41.518927252328822</v>
      </c>
      <c r="Y48" s="691">
        <f>IF('A1.3.8'!E$30="","",IF(OR(VLOOKUP($B48,'A1.3.11'!$B$26:$AM$105,Y$22,)="",VLOOKUP($B48,'A1.3.7'!$B$28:$H$118,4,)=""),"",VLOOKUP($B48,'A1.3.11'!$B$26:$AM$105,Y$22,)*(VLOOKUP($B48,'A1.3.7'!$B$28:$O$118,4,)+VLOOKUP($B48,'A1.3.7'!$B$28:$O$118,9,))))</f>
        <v>10.147395023870668</v>
      </c>
      <c r="Z48" s="691">
        <f>IF('A1.3.8'!F$30="","",IF(OR(VLOOKUP($B48,'A1.3.11'!$B$26:$AM$105,Z$22,)="",VLOOKUP($B48,'A1.3.7'!$B$28:$H$118,4,)=""),"",VLOOKUP($B48,'A1.3.11'!$B$26:$AM$105,Z$22,)*(VLOOKUP($B48,'A1.3.7'!$B$28:$O$118,4,)+VLOOKUP($B48,'A1.3.7'!$B$28:$O$118,9,))))</f>
        <v>-0.14639461553128325</v>
      </c>
      <c r="AA48" s="2644">
        <f>IF('A1.3.8'!G$30="","",IF(OR(VLOOKUP($B48,'A1.3.11'!$B$26:$AM$105,AA$22,)="",VLOOKUP($B48,'A1.3.7'!$B$28:$H$118,4,)=""),"",VLOOKUP($B48,'A1.3.11'!$B$26:$AM$105,AA$22,)*(VLOOKUP($B48,'A1.3.7'!$B$28:$O$118,4,)+VLOOKUP($B48,'A1.3.7'!$B$28:$O$118,9,))))</f>
        <v>1.2393819194502467E-3</v>
      </c>
      <c r="AB48" s="693" t="str">
        <f>IF('A1.3.8'!D$37="","",IF(OR(VLOOKUP($B48,'A1.3.11'!$B$26:$AM$105,AB$22,)="",VLOOKUP($B48,'A1.3.7'!$B$28:$H$118,6,)=""),"",VLOOKUP($B48,'A1.3.11'!$B$26:$AM$105,AB$22,)*VLOOKUP($B48,'A1.3.7'!$B$28:$O$118,6,)))</f>
        <v/>
      </c>
      <c r="AC48" s="691">
        <f>IF('A1.3.8'!E$37="","",IF(OR(VLOOKUP($B48,'A1.3.11'!$B$26:$AM$105,AC$22,)="",VLOOKUP($B48,'A1.3.7'!$B$28:$H$118,6,)=""),"",VLOOKUP($B48,'A1.3.11'!$B$26:$AM$105,AC$22,)*VLOOKUP($B48,'A1.3.7'!$B$28:$O$118,6,)))</f>
        <v>4.5145632825273827</v>
      </c>
      <c r="AD48" s="691"/>
      <c r="AE48" s="1664" t="str">
        <f>IF('A1.3.8'!G$37="","",IF(OR(VLOOKUP($B48,'A1.3.11'!$B$26:$AM$105,AE$22,)="",VLOOKUP($B48,'A1.3.7'!$B$28:$H$118,6,)=""),"",VLOOKUP($B48,'A1.3.11'!$B$26:$AM$105,AE$22,)*VLOOKUP($B48,'A1.3.7'!$B$28:$O$118,6,)))</f>
        <v/>
      </c>
      <c r="AF48" s="693">
        <f>IF(AND(T48="",X48="",AB48=""),"",IF(T48="",0,(T48*VLOOKUP('A1.3.12'!$B48,'A1.3.9'!$B$26:$O$57,6,TRUE))) + IF(X48="",0,(X48*VLOOKUP('A1.3.12'!$B48,'A1.3.9'!$B$26:$O$57,7,TRUE))) + IF(AB48="",0,(AB48*VLOOKUP('A1.3.12'!$B48,'A1.3.9'!$B$26:$O$57,8,TRUE))))</f>
        <v>38.527012826953829</v>
      </c>
      <c r="AG48" s="691">
        <f>IF(AND(U48="",Y48="",AC48=""),"",IF(U48="",0,(U48*VLOOKUP('A1.3.12'!$B48,'A1.3.9'!$B$26:$O$57,6,TRUE))) + IF(Y48="",0,(Y48*VLOOKUP('A1.3.12'!$B48,'A1.3.9'!$B$26:$O$57,7,TRUE))) + IF(AC48="",0,(AC48*VLOOKUP('A1.3.12'!$B48,'A1.3.9'!$B$26:$O$57,8,TRUE))))</f>
        <v>9.7861626771405614</v>
      </c>
      <c r="AH48" s="691">
        <f>IF(AND(V48="",Z48="",AD48=""),"",IF(V48="",0,(V48*VLOOKUP('A1.3.12'!$B48,'A1.3.9'!$B$26:$O$57,6,TRUE))) + IF(Z48="",0,(Z48*VLOOKUP('A1.3.12'!$B48,'A1.3.9'!$B$26:$O$57,7,TRUE))) + IF(AD48="",0,(AD48*VLOOKUP('A1.3.12'!$B48,'A1.3.9'!$B$26:$O$57,8,TRUE))))</f>
        <v>-0.13685096484070189</v>
      </c>
      <c r="AI48" s="2644">
        <f>IF(AND(W48="",AA48="",AE48=""),"",IF(W48="",0,(W48*VLOOKUP('A1.3.12'!$B48,'A1.3.9'!$B$26:$O$57,6,TRUE))) + IF(AA48="",0,(AA48*VLOOKUP('A1.3.12'!$B48,'A1.3.9'!$B$26:$O$57,7,TRUE))) + IF(AE48="",0,(AE48*VLOOKUP('A1.3.12'!$B48,'A1.3.9'!$B$26:$O$57,8,TRUE))))</f>
        <v>1.1552157563062087E-3</v>
      </c>
      <c r="AJ48" s="693">
        <f>IF('A1.3.8'!D$31="","",IF(OR(VLOOKUP($B48,'A1.3.11'!$B$26:$AM$105,AJ$22,)="",VLOOKUP($B48,'A1.3.7'!$B$28:$H$118,4,)=""),"",VLOOKUP($B48,'A1.3.11'!$B$26:$AM$105,AJ$22,)*(VLOOKUP($B48,'A1.3.7'!$B$28:$O$118,4,)+VLOOKUP($B48,'A1.3.7'!$B$28:$O$118,9,))))</f>
        <v>277.86718698870766</v>
      </c>
      <c r="AK48" s="691">
        <f>IF('A1.3.8'!E$31="","",IF(OR(VLOOKUP($B48,'A1.3.11'!$B$26:$AM$105,AK$22,)="",VLOOKUP($B48,'A1.3.7'!$B$28:$H$118,4,)=""),"",VLOOKUP($B48,'A1.3.11'!$B$26:$AM$105,AK$22,)*(VLOOKUP($B48,'A1.3.7'!$B$28:$O$118,4,)+VLOOKUP($B48,'A1.3.7'!$B$28:$O$118,9,))))</f>
        <v>14.742856380828137</v>
      </c>
      <c r="AL48" s="691">
        <f>IF('A1.3.8'!F$31="","",IF(OR(VLOOKUP($B48,'A1.3.11'!$B$26:$AM$105,AL$22,)="",VLOOKUP($B48,'A1.3.7'!$B$28:$H$118,4,)=""),"",VLOOKUP($B48,'A1.3.11'!$B$26:$AM$105,AL$22,)*(VLOOKUP($B48,'A1.3.7'!$B$28:$O$118,4,)+VLOOKUP($B48,'A1.3.7'!$B$28:$O$118,9,))))</f>
        <v>-0.1065614595267835</v>
      </c>
      <c r="AM48" s="2644">
        <f>IF('A1.3.8'!G$31="","",IF(OR(VLOOKUP($B48,'A1.3.11'!$B$26:$AM$105,AM$22,)="",VLOOKUP($B48,'A1.3.7'!$B$28:$H$118,4,)=""),"",VLOOKUP($B48,'A1.3.11'!$B$26:$AM$105,AM$22,)*(VLOOKUP($B48,'A1.3.7'!$B$28:$O$118,4,)+VLOOKUP($B48,'A1.3.7'!$B$28:$O$118,9,))))</f>
        <v>1.1638221162705454E-3</v>
      </c>
      <c r="AN48" s="693" t="str">
        <f>IF('A1.3.8'!D$38="","",IF(OR(VLOOKUP($B48,'A1.3.11'!$B$26:$AM$105,AN$22,)="",VLOOKUP($B48,'A1.3.7'!$B$28:$H$118,6,)=""),"",VLOOKUP($B48,'A1.3.11'!$B$26:$AM$105,AN$22,)*VLOOKUP($B48,'A1.3.7'!$B$28:$O$118,6,)))</f>
        <v/>
      </c>
      <c r="AO48" s="691" t="str">
        <f>IF('A1.3.8'!E$38="","",IF(OR(VLOOKUP($B48,'A1.3.11'!$B$26:$AM$105,AO$22,)="",VLOOKUP($B48,'A1.3.7'!$B$28:$H$118,6,)=""),"",VLOOKUP($B48,'A1.3.11'!$B$26:$AM$105,AO$22,)*VLOOKUP($B48,'A1.3.7'!$B$28:$O$118,6,)))</f>
        <v/>
      </c>
      <c r="AP48" s="691" t="str">
        <f>IF('A1.3.8'!F$38="","",IF(OR(VLOOKUP($B48,'A1.3.11'!$B$26:$AM$105,AP$22,)="",VLOOKUP($B48,'A1.3.7'!$B$28:$H$118,6,)=""),"",VLOOKUP($B48,'A1.3.11'!$B$26:$AM$105,AP$22,)*VLOOKUP($B48,'A1.3.7'!$B$28:$O$118,6,)))</f>
        <v/>
      </c>
      <c r="AQ48" s="1664" t="str">
        <f>IF('A1.3.8'!G$38="","",IF(OR(VLOOKUP($B48,'A1.3.11'!$B$26:$AM$105,AQ$22,)="",VLOOKUP($B48,'A1.3.7'!$B$28:$H$118,6,)=""),"",VLOOKUP($B48,'A1.3.11'!$B$26:$AM$105,AQ$22,)*VLOOKUP($B48,'A1.3.7'!$B$28:$O$118,6,)))</f>
        <v/>
      </c>
      <c r="AR48" s="693">
        <f>IF(AND(AJ48="",AN48=""),"",IF(AJ48="",0,(AJ48*VLOOKUP($B48,'A1.3.9'!$B$26:$O$57,9,TRUE))) + IF(AN48="",0,(AN48*VLOOKUP($B48,'A1.3.9'!$B$26:$O$57,10,TRUE))))</f>
        <v>277.86718698870766</v>
      </c>
      <c r="AS48" s="691">
        <f>IF(AND(AK48="",AO48=""),"",IF(AK48="",0,(AK48*VLOOKUP($B48,'A1.3.9'!$B$26:$O$57,9,TRUE))) + IF(AO48="",0,(AO48*VLOOKUP($B48,'A1.3.9'!$B$26:$O$57,10,TRUE))))</f>
        <v>14.742856380828137</v>
      </c>
      <c r="AT48" s="691">
        <f>IF(AND(AL48="",AP48=""),"",IF(AL48="",0,(AL48*VLOOKUP($B48,'A1.3.9'!$B$26:$O$57,9,TRUE))) + IF(AP48="",0,(AP48*VLOOKUP($B48,'A1.3.9'!$B$26:$O$57,10,TRUE))))</f>
        <v>-0.1065614595267835</v>
      </c>
      <c r="AU48" s="2644">
        <f>IF(AND(AM48="",AQ48=""),"",IF(AM48="",0,(AM48*VLOOKUP($B48,'A1.3.9'!$B$26:$O$57,9,TRUE))) + IF(AQ48="",0,(AQ48*VLOOKUP($B48,'A1.3.9'!$B$26:$O$57,10,TRUE))))</f>
        <v>1.1638221162705454E-3</v>
      </c>
      <c r="AV48" s="693">
        <f>IF('A1.3.8'!D$32="","",IF(OR(VLOOKUP($B48,'A1.3.11'!$B$26:$AM$105,AV$22,)="",VLOOKUP($B48,'A1.3.7'!$B$28:$H$118,4,)=""),"",VLOOKUP($B48,'A1.3.11'!$B$26:$AM$105,AV$22,)*(VLOOKUP($B48,'A1.3.7'!$B$28:$O$118,4,)+VLOOKUP($B48,'A1.3.7'!$B$28:$O$118,9,))))</f>
        <v>583.87136558875682</v>
      </c>
      <c r="AW48" s="691">
        <f>IF('A1.3.8'!E$32="","",IF(OR(VLOOKUP($B48,'A1.3.11'!$B$26:$AM$105,AW$22,)="",VLOOKUP($B48,'A1.3.7'!$B$28:$H$118,4,)=""),"",VLOOKUP($B48,'A1.3.11'!$B$26:$AM$105,AW$22,)*(VLOOKUP($B48,'A1.3.7'!$B$28:$O$118,4,)+VLOOKUP($B48,'A1.3.7'!$B$28:$O$118,9,))))</f>
        <v>30.321474577656151</v>
      </c>
      <c r="AX48" s="691">
        <f>IF('A1.3.8'!F$32="","",IF(OR(VLOOKUP($B48,'A1.3.11'!$B$26:$AM$105,AX$22,)="",VLOOKUP($B48,'A1.3.7'!$B$28:$H$118,4,)=""),"",VLOOKUP($B48,'A1.3.11'!$B$26:$AM$105,AX$22,)*(VLOOKUP($B48,'A1.3.7'!$B$28:$O$118,4,)+VLOOKUP($B48,'A1.3.7'!$B$28:$O$118,9,))))</f>
        <v>-0.20089572009179518</v>
      </c>
      <c r="AY48" s="2644">
        <f>IF('A1.3.8'!G$32="","",IF(OR(VLOOKUP($B48,'A1.3.11'!$B$26:$AM$105,AY$22,)="",VLOOKUP($B48,'A1.3.7'!$B$28:$H$118,4,)=""),"",VLOOKUP($B48,'A1.3.11'!$B$26:$AM$105,AY$22,)*(VLOOKUP($B48,'A1.3.7'!$B$28:$O$118,4,)+VLOOKUP($B48,'A1.3.7'!$B$28:$O$118,9,))))</f>
        <v>1.1974220306688605E-3</v>
      </c>
      <c r="AZ48" s="693" t="str">
        <f>IF('A1.3.8'!D$39="","",IF(OR(VLOOKUP($B48,'A1.3.11'!$B$26:$AM$105,AZ$22,)="",VLOOKUP($B48,'A1.3.7'!$B$28:$H$118,6,)=""),"",VLOOKUP($B48,'A1.3.11'!$B$26:$AM$105,AZ$22,)*VLOOKUP($B48,'A1.3.7'!$B$28:$O$118,6,)))</f>
        <v/>
      </c>
      <c r="BA48" s="691" t="str">
        <f>IF('A1.3.8'!E$39="","",IF(OR(VLOOKUP($B48,'A1.3.11'!$B$26:$AM$105,BA$22,)="",VLOOKUP($B48,'A1.3.7'!$B$28:$H$118,6,)=""),"",VLOOKUP($B48,'A1.3.11'!$B$26:$AM$105,BA$22,)*VLOOKUP($B48,'A1.3.7'!$B$28:$O$118,6,)))</f>
        <v/>
      </c>
      <c r="BB48" s="691" t="str">
        <f>IF('A1.3.8'!F$39="","",IF(OR(VLOOKUP($B48,'A1.3.11'!$B$26:$AM$105,BB$22,)="",VLOOKUP($B48,'A1.3.7'!$B$28:$H$118,6,)=""),"",VLOOKUP($B48,'A1.3.11'!$B$26:$AM$105,BB$22,)*VLOOKUP($B48,'A1.3.7'!$B$28:$O$118,6,)))</f>
        <v/>
      </c>
      <c r="BC48" s="1664" t="str">
        <f>IF('A1.3.8'!G$39="","",IF(OR(VLOOKUP($B48,'A1.3.11'!$B$26:$AM$105,BC$22,)="",VLOOKUP($B48,'A1.3.7'!$B$28:$H$118,6,)=""),"",VLOOKUP($B48,'A1.3.11'!$B$26:$AM$105,BC$22,)*VLOOKUP($B48,'A1.3.7'!$B$28:$O$118,6,)))</f>
        <v/>
      </c>
      <c r="BD48" s="693">
        <f>IF(AND(AV48="",AZ48=""),"",IF(AV48="",0,(AV48*VLOOKUP($B48,'A1.3.9'!$B$26:$O$57,9,TRUE))) + IF(AZ48="",0,(AZ48*VLOOKUP($B48,'A1.3.9'!$B$26:$O$57,10,TRUE))))</f>
        <v>583.87136558875682</v>
      </c>
      <c r="BE48" s="691">
        <f>IF(AND(AW48="",BA48=""),"",IF(AW48="",0,(AW48*VLOOKUP($B48,'A1.3.9'!$B$26:$O$57,9,TRUE))) + IF(BA48="",0,(BA48*VLOOKUP($B48,'A1.3.9'!$B$26:$O$57,10,TRUE))))</f>
        <v>30.321474577656151</v>
      </c>
      <c r="BF48" s="691">
        <f>IF(AND(AX48="",BB48=""),"",IF(AX48="",0,(AX48*VLOOKUP($B48,'A1.3.9'!$B$26:$O$57,9,TRUE))) + IF(BB48="",0,(BB48*VLOOKUP($B48,'A1.3.9'!$B$26:$O$57,10,TRUE))))</f>
        <v>-0.20089572009179518</v>
      </c>
      <c r="BG48" s="2644">
        <f>IF(AND(AY48="",BC48=""),"",IF(AY48="",0,(AY48*VLOOKUP($B48,'A1.3.9'!$B$26:$O$57,9,TRUE))) + IF(BC48="",0,(BC48*VLOOKUP($B48,'A1.3.9'!$B$26:$O$57,10,TRUE))))</f>
        <v>1.1974220306688605E-3</v>
      </c>
      <c r="BH48" s="693">
        <f>IF('A1.3.8'!D$33="","",IF(OR(VLOOKUP($B48,'A1.3.11'!$B$26:$AM$105,BH$22,)="",VLOOKUP($B48,'A1.3.7'!$B$28:$H$118,4,)=""),"",VLOOKUP($B48,'A1.3.11'!$B$26:$AM$105,BH$22,)*(VLOOKUP($B48,'A1.3.7'!$B$28:$O$118,4,)+VLOOKUP($B48,'A1.3.7'!$B$28:$O$118,9,))))</f>
        <v>346.28600436741158</v>
      </c>
      <c r="BI48" s="691">
        <f>IF('A1.3.8'!E$33="","",IF(OR(VLOOKUP($B48,'A1.3.11'!$B$26:$AM$105,BI$22,)="",VLOOKUP($B48,'A1.3.7'!$B$28:$H$118,4,)=""),"",VLOOKUP($B48,'A1.3.11'!$B$26:$AM$105,BI$22,)*(VLOOKUP($B48,'A1.3.7'!$B$28:$O$118,4,)+VLOOKUP($B48,'A1.3.7'!$B$28:$O$118,9,))))</f>
        <v>30.427095292587019</v>
      </c>
      <c r="BJ48" s="691">
        <f>IF('A1.3.8'!F$33="","",IF(OR(VLOOKUP($B48,'A1.3.11'!$B$26:$AM$105,BJ$22,)="",VLOOKUP($B48,'A1.3.7'!$B$28:$H$118,4,)=""),"",VLOOKUP($B48,'A1.3.11'!$B$26:$AM$105,BJ$22,)*(VLOOKUP($B48,'A1.3.7'!$B$28:$O$118,4,)+VLOOKUP($B48,'A1.3.7'!$B$28:$O$118,9,))))</f>
        <v>-0.33071540638367952</v>
      </c>
      <c r="BK48" s="2644">
        <f>IF('A1.3.8'!G$33="","",IF(OR(VLOOKUP($B48,'A1.3.11'!$B$26:$AM$105,BK$22,)="",VLOOKUP($B48,'A1.3.7'!$B$28:$H$118,4,)=""),"",VLOOKUP($B48,'A1.3.11'!$B$26:$AM$105,BK$22,)*(VLOOKUP($B48,'A1.3.7'!$B$28:$O$118,4,)+VLOOKUP($B48,'A1.3.7'!$B$28:$O$118,9,))))</f>
        <v>2.4259326858598624E-3</v>
      </c>
      <c r="BL48" s="693" t="str">
        <f>IF('A1.3.8'!D$40="","",IF(OR(VLOOKUP($B48,'A1.3.11'!$B$26:$AM$105,BL$22,)="",VLOOKUP($B48,'A1.3.7'!$B$28:$H$118,6,)=""),"",VLOOKUP($B48,'A1.3.11'!$B$26:$AM$105,BL$22,)*VLOOKUP($B48,'A1.3.7'!$B$28:$O$118,6,)))</f>
        <v/>
      </c>
      <c r="BM48" s="691" t="str">
        <f>IF('A1.3.8'!E$40="","",IF(OR(VLOOKUP($B48,'A1.3.11'!$B$26:$AM$105,BM$22,)="",VLOOKUP($B48,'A1.3.7'!$B$28:$H$118,6,)=""),"",VLOOKUP($B48,'A1.3.11'!$B$26:$AM$105,BM$22,)*VLOOKUP($B48,'A1.3.7'!$B$28:$O$118,6,)))</f>
        <v/>
      </c>
      <c r="BN48" s="691" t="str">
        <f>IF('A1.3.8'!F$40="","",IF(OR(VLOOKUP($B48,'A1.3.11'!$B$26:$AM$105,BN$22,)="",VLOOKUP($B48,'A1.3.7'!$B$28:$H$118,6,)=""),"",VLOOKUP($B48,'A1.3.11'!$B$26:$AM$105,BN$22,)*VLOOKUP($B48,'A1.3.7'!$B$28:$O$118,6,)))</f>
        <v/>
      </c>
      <c r="BO48" s="1664" t="str">
        <f>IF('A1.3.8'!G$40="","",IF(OR(VLOOKUP($B48,'A1.3.11'!$B$26:$AM$105,BO$22,)="",VLOOKUP($B48,'A1.3.7'!$B$28:$H$118,6,)=""),"",VLOOKUP($B48,'A1.3.11'!$B$26:$AM$105,BO$22,)*VLOOKUP($B48,'A1.3.7'!$B$28:$O$118,6,)))</f>
        <v/>
      </c>
      <c r="BP48" s="693">
        <f>IF(AND(BH48="",BL48=""),"",IF(BH48="",0,(BH48*VLOOKUP($B48,'A1.3.9'!$B$26:$O$57,9,TRUE))) + IF(BL48="",0,(BL48*VLOOKUP($B48,'A1.3.9'!$B$26:$O$57,10,TRUE))))</f>
        <v>346.28600436741158</v>
      </c>
      <c r="BQ48" s="691">
        <f>IF(AND(BI48="",BM48=""),"",IF(BI48="",0,(BI48*VLOOKUP($B48,'A1.3.9'!$B$26:$O$57,9,TRUE))) + IF(BM48="",0,(BM48*VLOOKUP($B48,'A1.3.9'!$B$26:$O$57,10,TRUE))))</f>
        <v>30.427095292587019</v>
      </c>
      <c r="BR48" s="691">
        <f>IF(AND(BJ48="",BN48=""),"",IF(BJ48="",0,(BJ48*VLOOKUP($B48,'A1.3.9'!$B$26:$O$57,9,TRUE))) + IF(BN48="",0,(BN48*VLOOKUP($B48,'A1.3.9'!$B$26:$O$57,10,TRUE))))</f>
        <v>-0.33071540638367952</v>
      </c>
      <c r="BS48" s="2644">
        <f>IF(AND(BK48="",BO48=""),"",IF(BK48="",0,(BK48*VLOOKUP($B48,'A1.3.9'!$B$26:$O$57,9,TRUE))) + IF(BO48="",0,(BO48*VLOOKUP($B48,'A1.3.9'!$B$26:$O$57,10,TRUE))))</f>
        <v>2.4259326858598624E-3</v>
      </c>
    </row>
    <row r="49" spans="1:71" s="26" customFormat="1" ht="13.5" customHeight="1">
      <c r="A49" s="113"/>
      <c r="B49" s="614">
        <f t="shared" si="0"/>
        <v>2032</v>
      </c>
      <c r="C49" s="147"/>
      <c r="D49" s="693">
        <f>IF('A1.3.8'!D$27="","",IF(OR(VLOOKUP($B49,'A1.3.11'!$B$26:$AM$105,D$22,)="",VLOOKUP($B49,'A1.3.7'!$B$28:$H$118,3,)=""),"",VLOOKUP($B49,'A1.3.11'!$B$26:$AM$105,D$22,)*(VLOOKUP($B49,'A1.3.7'!$B$28:$O$118,3,)+VLOOKUP($B49,'A1.3.7'!$B$28:$O$118,8,))))</f>
        <v>32.899193690717816</v>
      </c>
      <c r="E49" s="691">
        <f>IF('A1.3.8'!E$27="","",IF(OR(VLOOKUP($B49,'A1.3.11'!$B$26:$AM$105,E$22,)="",VLOOKUP($B49,'A1.3.7'!$B$28:$H$118,3,)=""),"",VLOOKUP($B49,'A1.3.11'!$B$26:$AM$105,E$22,)*(VLOOKUP($B49,'A1.3.7'!$B$28:$O$118,3,)+VLOOKUP($B49,'A1.3.7'!$B$28:$O$118,8,))))</f>
        <v>6.9916123140785489</v>
      </c>
      <c r="F49" s="691">
        <f>IF('A1.3.8'!F$27="","",IF(OR(VLOOKUP($B49,'A1.3.11'!$B$26:$AM$105,F$22,)="",VLOOKUP($B49,'A1.3.7'!$B$28:$H$118,3,)=""),"",VLOOKUP($B49,'A1.3.11'!$B$26:$AM$105,F$22,)*(VLOOKUP($B49,'A1.3.7'!$B$28:$O$118,3,)+VLOOKUP($B49,'A1.3.7'!$B$28:$O$118,8,))))</f>
        <v>-7.9642755510367605E-2</v>
      </c>
      <c r="G49" s="2644">
        <f>IF('A1.3.8'!G$27="","",IF(OR(VLOOKUP($B49,'A1.3.11'!$B$26:$AM$105,G$22,)="",VLOOKUP($B49,'A1.3.7'!$B$28:$H$118,3,)=""),"",VLOOKUP($B49,'A1.3.11'!$B$26:$AM$105,G$22,)*(VLOOKUP($B49,'A1.3.7'!$B$28:$O$118,3,)+VLOOKUP($B49,'A1.3.7'!$B$28:$O$118,8,))))</f>
        <v>5.274675615810513E-4</v>
      </c>
      <c r="H49" s="693">
        <f>IF('A1.3.8'!D$28="","",IF(OR(VLOOKUP($B49,'A1.3.11'!$B$26:$AM$105,H$22,)="",VLOOKUP($B49,'A1.3.7'!$B$28:$H$118,4,)=""),"",VLOOKUP($B49,'A1.3.11'!$B$26:$AM$105,H$22,)*(VLOOKUP($B49,'A1.3.7'!$B$28:$O$118,4,)+VLOOKUP($B49,'A1.3.7'!$B$28:$O$118,9,))))</f>
        <v>40.502751769689176</v>
      </c>
      <c r="I49" s="691">
        <f>IF('A1.3.8'!E$28="","",IF(OR(VLOOKUP($B49,'A1.3.11'!$B$26:$AM$105,I$22,)="",VLOOKUP($B49,'A1.3.7'!$B$28:$H$118,4,)=""),"",VLOOKUP($B49,'A1.3.11'!$B$26:$AM$105,I$22,)*(VLOOKUP($B49,'A1.3.7'!$B$28:$O$118,4,)+VLOOKUP($B49,'A1.3.7'!$B$28:$O$118,9,))))</f>
        <v>5.8070929718609419</v>
      </c>
      <c r="J49" s="691">
        <f>IF('A1.3.8'!F$28="","",IF(OR(VLOOKUP($B49,'A1.3.11'!$B$26:$AM$105,J$22,)="",VLOOKUP($B49,'A1.3.7'!$B$28:$H$118,4,)=""),"",VLOOKUP($B49,'A1.3.11'!$B$26:$AM$105,J$22,)*(VLOOKUP($B49,'A1.3.7'!$B$28:$O$118,4,)+VLOOKUP($B49,'A1.3.7'!$B$28:$O$118,9,))))</f>
        <v>-5.5865852133174243E-2</v>
      </c>
      <c r="K49" s="2644">
        <f>IF('A1.3.8'!G$28="","",IF(OR(VLOOKUP($B49,'A1.3.11'!$B$26:$AM$105,K$22,)="",VLOOKUP($B49,'A1.3.7'!$B$28:$H$118,4,)=""),"",VLOOKUP($B49,'A1.3.11'!$B$26:$AM$105,K$22,)*(VLOOKUP($B49,'A1.3.7'!$B$28:$O$118,4,)+VLOOKUP($B49,'A1.3.7'!$B$28:$O$118,9,))))</f>
        <v>4.4022571764103832E-4</v>
      </c>
      <c r="L49" s="693" t="str">
        <f>IF('A1.3.8'!D$36="","",IF(OR(VLOOKUP($B49,'A1.3.11'!$B$26:$AM$105,L$22,)="",VLOOKUP($B49,'A1.3.7'!$B$28:$H$118,6,)=""),"",VLOOKUP($B49,'A1.3.11'!$B$26:$AM$105,L$22,)*VLOOKUP($B49,'A1.3.7'!$B$28:$O$118,6,)))</f>
        <v/>
      </c>
      <c r="M49" s="691">
        <f>IF('A1.3.8'!E$36="","",IF(OR(VLOOKUP($B49,'A1.3.11'!$B$26:$AM$105,M$22,)="",VLOOKUP($B49,'A1.3.7'!$B$28:$H$118,6,)=""),"",VLOOKUP($B49,'A1.3.11'!$B$26:$AM$105,M$22,)*VLOOKUP($B49,'A1.3.7'!$B$28:$O$118,6,)))</f>
        <v>2.0428256890907894</v>
      </c>
      <c r="N49" s="691"/>
      <c r="O49" s="1664"/>
      <c r="P49" s="693">
        <f>IF(AND(D49="",H49="",L49=""),"",IF(D49="",0,(D49*VLOOKUP($B49,'A1.3.9'!$B$26:$O$57,3,TRUE)))+IF(H49="",0,(H49*VLOOKUP($B49,'A1.3.9'!$B$26:$O$57,4,TRUE)))+IF(L49="",0,(L49*VLOOKUP($B49,'A1.3.9'!$B$26:$O$57,5,TRUE))))</f>
        <v>29.445056302059072</v>
      </c>
      <c r="Q49" s="691">
        <f>IF(AND(E49="",I49="",M49=""),"",IF(E49="",0,(E49*VLOOKUP($B49,'A1.3.9'!$B$26:$O$57,3,TRUE)))+IF(I49="",0,(I49*VLOOKUP($B49,'A1.3.9'!$B$26:$O$57,4,TRUE)))+IF(M49="",0,(M49*VLOOKUP($B49,'A1.3.9'!$B$26:$O$57,5,TRUE))))</f>
        <v>5.6767698433237843</v>
      </c>
      <c r="R49" s="691">
        <f>IF(AND(F49="",J49="",N49=""),"",IF(F49="",0,(F49*VLOOKUP($B49,'A1.3.9'!$B$26:$O$57,3,TRUE)))+IF(J49="",0,(J49*VLOOKUP($B49,'A1.3.9'!$B$26:$O$57,4,TRUE)))+IF(N49="",0,(N49*VLOOKUP($B49,'A1.3.9'!$B$26:$O$57,5,TRUE))))</f>
        <v>-5.6872340404417916E-2</v>
      </c>
      <c r="S49" s="2644">
        <f>IF(AND(G49="",K49="",O49=""),"",IF(G49="",0,(G49*VLOOKUP($B49,'A1.3.9'!$B$26:$O$57,3,TRUE)))+IF(K49="",0,(K49*VLOOKUP($B49,'A1.3.9'!$B$26:$O$57,4,TRUE)))+IF(O49="",0,(O49*VLOOKUP($B49,'A1.3.9'!$B$26:$O$57,5,TRUE))))</f>
        <v>4.0064948744921477E-4</v>
      </c>
      <c r="T49" s="693">
        <f>IF('A1.3.8'!D$29="","",IF(OR(VLOOKUP($B49,'A1.3.11'!$B$26:$AM$105,T$22,)="",VLOOKUP($B49,'A1.3.7'!$B$28:$H$118,3,)=""),"",VLOOKUP($B49,'A1.3.11'!$B$26:$AM$105,T$22,)*(VLOOKUP($B49,'A1.3.7'!$B$28:$O$118,3,)+VLOOKUP($B49,'A1.3.7'!$B$28:$O$118,8,))))</f>
        <v>23.642746564569165</v>
      </c>
      <c r="U49" s="691">
        <f>IF('A1.3.8'!E$29="","",IF(OR(VLOOKUP($B49,'A1.3.11'!$B$26:$AM$105,U$22,)="",VLOOKUP($B49,'A1.3.7'!$B$28:$H$118,3,)=""),"",VLOOKUP($B49,'A1.3.11'!$B$26:$AM$105,U$22,)*(VLOOKUP($B49,'A1.3.7'!$B$28:$O$118,3,)+VLOOKUP($B49,'A1.3.7'!$B$28:$O$118,8,))))</f>
        <v>13.257483679605105</v>
      </c>
      <c r="V49" s="691">
        <f>IF('A1.3.8'!F$29="","",IF(OR(VLOOKUP($B49,'A1.3.11'!$B$26:$AM$105,V$22,)="",VLOOKUP($B49,'A1.3.7'!$B$28:$H$118,3,)=""),"",VLOOKUP($B49,'A1.3.11'!$B$26:$AM$105,V$22,)*(VLOOKUP($B49,'A1.3.7'!$B$28:$O$118,3,)+VLOOKUP($B49,'A1.3.7'!$B$28:$O$118,8,))))</f>
        <v>-0.208098977477437</v>
      </c>
      <c r="W49" s="2644">
        <f>IF('A1.3.8'!G$29="","",IF(OR(VLOOKUP($B49,'A1.3.11'!$B$26:$AM$105,W$22,)="",VLOOKUP($B49,'A1.3.7'!$B$28:$H$118,3,)=""),"",VLOOKUP($B49,'A1.3.11'!$B$26:$AM$105,W$22,)*(VLOOKUP($B49,'A1.3.7'!$B$28:$O$118,3,)+VLOOKUP($B49,'A1.3.7'!$B$28:$O$118,8,))))</f>
        <v>1.3439109736952592E-3</v>
      </c>
      <c r="X49" s="693">
        <f>IF('A1.3.8'!D$30="","",IF(OR(VLOOKUP($B49,'A1.3.11'!$B$26:$AM$105,X$22,)="",VLOOKUP($B49,'A1.3.7'!$B$28:$H$118,4,)=""),"",VLOOKUP($B49,'A1.3.11'!$B$26:$AM$105,X$22,)*(VLOOKUP($B49,'A1.3.7'!$B$28:$O$118,4,)+VLOOKUP($B49,'A1.3.7'!$B$28:$O$118,9,))))</f>
        <v>41.585537493105079</v>
      </c>
      <c r="Y49" s="691">
        <f>IF('A1.3.8'!E$30="","",IF(OR(VLOOKUP($B49,'A1.3.11'!$B$26:$AM$105,Y$22,)="",VLOOKUP($B49,'A1.3.7'!$B$28:$H$118,4,)=""),"",VLOOKUP($B49,'A1.3.11'!$B$26:$AM$105,Y$22,)*(VLOOKUP($B49,'A1.3.7'!$B$28:$O$118,4,)+VLOOKUP($B49,'A1.3.7'!$B$28:$O$118,9,))))</f>
        <v>10.163674838175213</v>
      </c>
      <c r="Z49" s="691">
        <f>IF('A1.3.8'!F$30="","",IF(OR(VLOOKUP($B49,'A1.3.11'!$B$26:$AM$105,Z$22,)="",VLOOKUP($B49,'A1.3.7'!$B$28:$H$118,4,)=""),"",VLOOKUP($B49,'A1.3.11'!$B$26:$AM$105,Z$22,)*(VLOOKUP($B49,'A1.3.7'!$B$28:$O$118,4,)+VLOOKUP($B49,'A1.3.7'!$B$28:$O$118,9,))))</f>
        <v>-0.14662948144026067</v>
      </c>
      <c r="AA49" s="2644">
        <f>IF('A1.3.8'!G$30="","",IF(OR(VLOOKUP($B49,'A1.3.11'!$B$26:$AM$105,AA$22,)="",VLOOKUP($B49,'A1.3.7'!$B$28:$H$118,4,)=""),"",VLOOKUP($B49,'A1.3.11'!$B$26:$AM$105,AA$22,)*(VLOOKUP($B49,'A1.3.7'!$B$28:$O$118,4,)+VLOOKUP($B49,'A1.3.7'!$B$28:$O$118,9,))))</f>
        <v>1.2413703024247535E-3</v>
      </c>
      <c r="AB49" s="693" t="str">
        <f>IF('A1.3.8'!D$37="","",IF(OR(VLOOKUP($B49,'A1.3.11'!$B$26:$AM$105,AB$22,)="",VLOOKUP($B49,'A1.3.7'!$B$28:$H$118,6,)=""),"",VLOOKUP($B49,'A1.3.11'!$B$26:$AM$105,AB$22,)*VLOOKUP($B49,'A1.3.7'!$B$28:$O$118,6,)))</f>
        <v/>
      </c>
      <c r="AC49" s="691">
        <f>IF('A1.3.8'!E$37="","",IF(OR(VLOOKUP($B49,'A1.3.11'!$B$26:$AM$105,AC$22,)="",VLOOKUP($B49,'A1.3.7'!$B$28:$H$118,6,)=""),"",VLOOKUP($B49,'A1.3.11'!$B$26:$AM$105,AC$22,)*VLOOKUP($B49,'A1.3.7'!$B$28:$O$118,6,)))</f>
        <v>4.5145632825273836</v>
      </c>
      <c r="AD49" s="691" t="str">
        <f>IF('A1.3.8'!F$37="","",IF(OR(VLOOKUP($B49,'A1.3.11'!$B$26:$AM$105,AD$22,)="",VLOOKUP($B49,'A1.3.7'!$B$28:$H$118,6,)=""),"",VLOOKUP($B49,'A1.3.11'!$B$26:$AM$105,AD$22,)*VLOOKUP($B49,'A1.3.7'!$B$28:$O$118,6,)))</f>
        <v/>
      </c>
      <c r="AE49" s="1664" t="str">
        <f>IF('A1.3.8'!G$37="","",IF(OR(VLOOKUP($B49,'A1.3.11'!$B$26:$AM$105,AE$22,)="",VLOOKUP($B49,'A1.3.7'!$B$28:$H$118,6,)=""),"",VLOOKUP($B49,'A1.3.11'!$B$26:$AM$105,AE$22,)*VLOOKUP($B49,'A1.3.7'!$B$28:$O$118,6,)))</f>
        <v/>
      </c>
      <c r="AF49" s="693">
        <f>IF(AND(T49="",X49="",AB49=""),"",IF(T49="",0,(T49*VLOOKUP('A1.3.12'!$B49,'A1.3.9'!$B$26:$O$57,6,TRUE))) + IF(X49="",0,(X49*VLOOKUP('A1.3.12'!$B49,'A1.3.9'!$B$26:$O$57,7,TRUE))) + IF(AB49="",0,(AB49*VLOOKUP('A1.3.12'!$B49,'A1.3.9'!$B$26:$O$57,8,TRUE))))</f>
        <v>38.17154233704958</v>
      </c>
      <c r="AG49" s="691">
        <f>IF(AND(U49="",Y49="",AC49=""),"",IF(U49="",0,(U49*VLOOKUP('A1.3.12'!$B49,'A1.3.9'!$B$26:$O$57,6,TRUE))) + IF(Y49="",0,(Y49*VLOOKUP('A1.3.12'!$B49,'A1.3.9'!$B$26:$O$57,7,TRUE))) + IF(AC49="",0,(AC49*VLOOKUP('A1.3.12'!$B49,'A1.3.9'!$B$26:$O$57,8,TRUE))))</f>
        <v>9.7438011143207053</v>
      </c>
      <c r="AH49" s="691">
        <f>IF(AND(V49="",Z49="",AD49=""),"",IF(V49="",0,(V49*VLOOKUP('A1.3.12'!$B49,'A1.3.9'!$B$26:$O$57,6,TRUE))) + IF(Z49="",0,(Z49*VLOOKUP('A1.3.12'!$B49,'A1.3.9'!$B$26:$O$57,7,TRUE))) + IF(AD49="",0,(AD49*VLOOKUP('A1.3.12'!$B49,'A1.3.9'!$B$26:$O$57,8,TRUE))))</f>
        <v>-0.13558169239798543</v>
      </c>
      <c r="AI49" s="2644">
        <f>IF(AND(W49="",AA49="",AE49=""),"",IF(W49="",0,(W49*VLOOKUP('A1.3.12'!$B49,'A1.3.9'!$B$26:$O$57,6,TRUE))) + IF(AA49="",0,(AA49*VLOOKUP('A1.3.12'!$B49,'A1.3.9'!$B$26:$O$57,7,TRUE))) + IF(AE49="",0,(AE49*VLOOKUP('A1.3.12'!$B49,'A1.3.9'!$B$26:$O$57,8,TRUE))))</f>
        <v>1.1445232933113426E-3</v>
      </c>
      <c r="AJ49" s="693">
        <f>IF('A1.3.8'!D$31="","",IF(OR(VLOOKUP($B49,'A1.3.11'!$B$26:$AM$105,AJ$22,)="",VLOOKUP($B49,'A1.3.7'!$B$28:$H$118,4,)=""),"",VLOOKUP($B49,'A1.3.11'!$B$26:$AM$105,AJ$22,)*(VLOOKUP($B49,'A1.3.7'!$B$28:$O$118,4,)+VLOOKUP($B49,'A1.3.7'!$B$28:$O$118,9,))))</f>
        <v>279.18718253233237</v>
      </c>
      <c r="AK49" s="691">
        <f>IF('A1.3.8'!E$31="","",IF(OR(VLOOKUP($B49,'A1.3.11'!$B$26:$AM$105,AK$22,)="",VLOOKUP($B49,'A1.3.7'!$B$28:$H$118,4,)=""),"",VLOOKUP($B49,'A1.3.11'!$B$26:$AM$105,AK$22,)*(VLOOKUP($B49,'A1.3.7'!$B$28:$O$118,4,)+VLOOKUP($B49,'A1.3.7'!$B$28:$O$118,9,))))</f>
        <v>14.812891655355832</v>
      </c>
      <c r="AL49" s="691">
        <f>IF('A1.3.8'!F$31="","",IF(OR(VLOOKUP($B49,'A1.3.11'!$B$26:$AM$105,AL$22,)="",VLOOKUP($B49,'A1.3.7'!$B$28:$H$118,4,)=""),"",VLOOKUP($B49,'A1.3.11'!$B$26:$AM$105,AL$22,)*(VLOOKUP($B49,'A1.3.7'!$B$28:$O$118,4,)+VLOOKUP($B49,'A1.3.7'!$B$28:$O$118,9,))))</f>
        <v>-0.10706767493574151</v>
      </c>
      <c r="AM49" s="2644">
        <f>IF('A1.3.8'!G$31="","",IF(OR(VLOOKUP($B49,'A1.3.11'!$B$26:$AM$105,AM$22,)="",VLOOKUP($B49,'A1.3.7'!$B$28:$H$118,4,)=""),"",VLOOKUP($B49,'A1.3.11'!$B$26:$AM$105,AM$22,)*(VLOOKUP($B49,'A1.3.7'!$B$28:$O$118,4,)+VLOOKUP($B49,'A1.3.7'!$B$28:$O$118,9,))))</f>
        <v>1.1693508007607778E-3</v>
      </c>
      <c r="AN49" s="693" t="str">
        <f>IF('A1.3.8'!D$38="","",IF(OR(VLOOKUP($B49,'A1.3.11'!$B$26:$AM$105,AN$22,)="",VLOOKUP($B49,'A1.3.7'!$B$28:$H$118,6,)=""),"",VLOOKUP($B49,'A1.3.11'!$B$26:$AM$105,AN$22,)*VLOOKUP($B49,'A1.3.7'!$B$28:$O$118,6,)))</f>
        <v/>
      </c>
      <c r="AO49" s="691" t="str">
        <f>IF('A1.3.8'!E$38="","",IF(OR(VLOOKUP($B49,'A1.3.11'!$B$26:$AM$105,AO$22,)="",VLOOKUP($B49,'A1.3.7'!$B$28:$H$118,6,)=""),"",VLOOKUP($B49,'A1.3.11'!$B$26:$AM$105,AO$22,)*VLOOKUP($B49,'A1.3.7'!$B$28:$O$118,6,)))</f>
        <v/>
      </c>
      <c r="AP49" s="691" t="str">
        <f>IF('A1.3.8'!F$38="","",IF(OR(VLOOKUP($B49,'A1.3.11'!$B$26:$AM$105,AP$22,)="",VLOOKUP($B49,'A1.3.7'!$B$28:$H$118,6,)=""),"",VLOOKUP($B49,'A1.3.11'!$B$26:$AM$105,AP$22,)*VLOOKUP($B49,'A1.3.7'!$B$28:$O$118,6,)))</f>
        <v/>
      </c>
      <c r="AQ49" s="1664" t="str">
        <f>IF('A1.3.8'!G$38="","",IF(OR(VLOOKUP($B49,'A1.3.11'!$B$26:$AM$105,AQ$22,)="",VLOOKUP($B49,'A1.3.7'!$B$28:$H$118,6,)=""),"",VLOOKUP($B49,'A1.3.11'!$B$26:$AM$105,AQ$22,)*VLOOKUP($B49,'A1.3.7'!$B$28:$O$118,6,)))</f>
        <v/>
      </c>
      <c r="AR49" s="693">
        <f>IF(AND(AJ49="",AN49=""),"",IF(AJ49="",0,(AJ49*VLOOKUP($B49,'A1.3.9'!$B$26:$O$57,9,TRUE))) + IF(AN49="",0,(AN49*VLOOKUP($B49,'A1.3.9'!$B$26:$O$57,10,TRUE))))</f>
        <v>279.18718253233237</v>
      </c>
      <c r="AS49" s="691">
        <f>IF(AND(AK49="",AO49=""),"",IF(AK49="",0,(AK49*VLOOKUP($B49,'A1.3.9'!$B$26:$O$57,9,TRUE))) + IF(AO49="",0,(AO49*VLOOKUP($B49,'A1.3.9'!$B$26:$O$57,10,TRUE))))</f>
        <v>14.812891655355832</v>
      </c>
      <c r="AT49" s="691">
        <f>IF(AND(AL49="",AP49=""),"",IF(AL49="",0,(AL49*VLOOKUP($B49,'A1.3.9'!$B$26:$O$57,9,TRUE))) + IF(AP49="",0,(AP49*VLOOKUP($B49,'A1.3.9'!$B$26:$O$57,10,TRUE))))</f>
        <v>-0.10706767493574151</v>
      </c>
      <c r="AU49" s="2644">
        <f>IF(AND(AM49="",AQ49=""),"",IF(AM49="",0,(AM49*VLOOKUP($B49,'A1.3.9'!$B$26:$O$57,9,TRUE))) + IF(AQ49="",0,(AQ49*VLOOKUP($B49,'A1.3.9'!$B$26:$O$57,10,TRUE))))</f>
        <v>1.1693508007607778E-3</v>
      </c>
      <c r="AV49" s="693">
        <f>IF('A1.3.8'!D$32="","",IF(OR(VLOOKUP($B49,'A1.3.11'!$B$26:$AM$105,AV$22,)="",VLOOKUP($B49,'A1.3.7'!$B$28:$H$118,4,)=""),"",VLOOKUP($B49,'A1.3.11'!$B$26:$AM$105,AV$22,)*(VLOOKUP($B49,'A1.3.7'!$B$28:$O$118,4,)+VLOOKUP($B49,'A1.3.7'!$B$28:$O$118,9,))))</f>
        <v>586.64502018604674</v>
      </c>
      <c r="AW49" s="691">
        <f>IF('A1.3.8'!E$32="","",IF(OR(VLOOKUP($B49,'A1.3.11'!$B$26:$AM$105,AW$22,)="",VLOOKUP($B49,'A1.3.7'!$B$28:$H$118,4,)=""),"",VLOOKUP($B49,'A1.3.11'!$B$26:$AM$105,AW$22,)*(VLOOKUP($B49,'A1.3.7'!$B$28:$O$118,4,)+VLOOKUP($B49,'A1.3.7'!$B$28:$O$118,9,))))</f>
        <v>30.465515375536555</v>
      </c>
      <c r="AX49" s="691">
        <f>IF('A1.3.8'!F$32="","",IF(OR(VLOOKUP($B49,'A1.3.11'!$B$26:$AM$105,AX$22,)="",VLOOKUP($B49,'A1.3.7'!$B$28:$H$118,4,)=""),"",VLOOKUP($B49,'A1.3.11'!$B$26:$AM$105,AX$22,)*(VLOOKUP($B49,'A1.3.7'!$B$28:$O$118,4,)+VLOOKUP($B49,'A1.3.7'!$B$28:$O$118,9,))))</f>
        <v>-0.20185006615232959</v>
      </c>
      <c r="AY49" s="2644">
        <f>IF('A1.3.8'!G$32="","",IF(OR(VLOOKUP($B49,'A1.3.11'!$B$26:$AM$105,AY$22,)="",VLOOKUP($B49,'A1.3.7'!$B$28:$H$118,4,)=""),"",VLOOKUP($B49,'A1.3.11'!$B$26:$AM$105,AY$22,)*(VLOOKUP($B49,'A1.3.7'!$B$28:$O$118,4,)+VLOOKUP($B49,'A1.3.7'!$B$28:$O$118,9,))))</f>
        <v>1.2031103300375269E-3</v>
      </c>
      <c r="AZ49" s="693" t="str">
        <f>IF('A1.3.8'!D$39="","",IF(OR(VLOOKUP($B49,'A1.3.11'!$B$26:$AM$105,AZ$22,)="",VLOOKUP($B49,'A1.3.7'!$B$28:$H$118,6,)=""),"",VLOOKUP($B49,'A1.3.11'!$B$26:$AM$105,AZ$22,)*VLOOKUP($B49,'A1.3.7'!$B$28:$O$118,6,)))</f>
        <v/>
      </c>
      <c r="BA49" s="691" t="str">
        <f>IF('A1.3.8'!E$39="","",IF(OR(VLOOKUP($B49,'A1.3.11'!$B$26:$AM$105,BA$22,)="",VLOOKUP($B49,'A1.3.7'!$B$28:$H$118,6,)=""),"",VLOOKUP($B49,'A1.3.11'!$B$26:$AM$105,BA$22,)*VLOOKUP($B49,'A1.3.7'!$B$28:$O$118,6,)))</f>
        <v/>
      </c>
      <c r="BB49" s="691" t="str">
        <f>IF('A1.3.8'!F$39="","",IF(OR(VLOOKUP($B49,'A1.3.11'!$B$26:$AM$105,BB$22,)="",VLOOKUP($B49,'A1.3.7'!$B$28:$H$118,6,)=""),"",VLOOKUP($B49,'A1.3.11'!$B$26:$AM$105,BB$22,)*VLOOKUP($B49,'A1.3.7'!$B$28:$O$118,6,)))</f>
        <v/>
      </c>
      <c r="BC49" s="1664" t="str">
        <f>IF('A1.3.8'!G$39="","",IF(OR(VLOOKUP($B49,'A1.3.11'!$B$26:$AM$105,BC$22,)="",VLOOKUP($B49,'A1.3.7'!$B$28:$H$118,6,)=""),"",VLOOKUP($B49,'A1.3.11'!$B$26:$AM$105,BC$22,)*VLOOKUP($B49,'A1.3.7'!$B$28:$O$118,6,)))</f>
        <v/>
      </c>
      <c r="BD49" s="693">
        <f>IF(AND(AV49="",AZ49=""),"",IF(AV49="",0,(AV49*VLOOKUP($B49,'A1.3.9'!$B$26:$O$57,9,TRUE))) + IF(AZ49="",0,(AZ49*VLOOKUP($B49,'A1.3.9'!$B$26:$O$57,10,TRUE))))</f>
        <v>586.64502018604674</v>
      </c>
      <c r="BE49" s="691">
        <f>IF(AND(AW49="",BA49=""),"",IF(AW49="",0,(AW49*VLOOKUP($B49,'A1.3.9'!$B$26:$O$57,9,TRUE))) + IF(BA49="",0,(BA49*VLOOKUP($B49,'A1.3.9'!$B$26:$O$57,10,TRUE))))</f>
        <v>30.465515375536555</v>
      </c>
      <c r="BF49" s="691">
        <f>IF(AND(AX49="",BB49=""),"",IF(AX49="",0,(AX49*VLOOKUP($B49,'A1.3.9'!$B$26:$O$57,9,TRUE))) + IF(BB49="",0,(BB49*VLOOKUP($B49,'A1.3.9'!$B$26:$O$57,10,TRUE))))</f>
        <v>-0.20185006615232959</v>
      </c>
      <c r="BG49" s="2644">
        <f>IF(AND(AY49="",BC49=""),"",IF(AY49="",0,(AY49*VLOOKUP($B49,'A1.3.9'!$B$26:$O$57,9,TRUE))) + IF(BC49="",0,(BC49*VLOOKUP($B49,'A1.3.9'!$B$26:$O$57,10,TRUE))))</f>
        <v>1.2031103300375269E-3</v>
      </c>
      <c r="BH49" s="693">
        <f>IF('A1.3.8'!D$33="","",IF(OR(VLOOKUP($B49,'A1.3.11'!$B$26:$AM$105,BH$22,)="",VLOOKUP($B49,'A1.3.7'!$B$28:$H$118,4,)=""),"",VLOOKUP($B49,'A1.3.11'!$B$26:$AM$105,BH$22,)*(VLOOKUP($B49,'A1.3.7'!$B$28:$O$118,4,)+VLOOKUP($B49,'A1.3.7'!$B$28:$O$118,9,))))</f>
        <v>347.93102041820271</v>
      </c>
      <c r="BI49" s="691">
        <f>IF('A1.3.8'!E$33="","",IF(OR(VLOOKUP($B49,'A1.3.11'!$B$26:$AM$105,BI$22,)="",VLOOKUP($B49,'A1.3.7'!$B$28:$H$118,4,)=""),"",VLOOKUP($B49,'A1.3.11'!$B$26:$AM$105,BI$22,)*(VLOOKUP($B49,'A1.3.7'!$B$28:$O$118,4,)+VLOOKUP($B49,'A1.3.7'!$B$28:$O$118,9,))))</f>
        <v>30.571637836911592</v>
      </c>
      <c r="BJ49" s="691">
        <f>IF('A1.3.8'!F$33="","",IF(OR(VLOOKUP($B49,'A1.3.11'!$B$26:$AM$105,BJ$22,)="",VLOOKUP($B49,'A1.3.7'!$B$28:$H$118,4,)=""),"",VLOOKUP($B49,'A1.3.11'!$B$26:$AM$105,BJ$22,)*(VLOOKUP($B49,'A1.3.7'!$B$28:$O$118,4,)+VLOOKUP($B49,'A1.3.7'!$B$28:$O$118,9,))))</f>
        <v>-0.33228645501077864</v>
      </c>
      <c r="BK49" s="2644">
        <f>IF('A1.3.8'!G$33="","",IF(OR(VLOOKUP($B49,'A1.3.11'!$B$26:$AM$105,BK$22,)="",VLOOKUP($B49,'A1.3.7'!$B$28:$H$118,4,)=""),"",VLOOKUP($B49,'A1.3.11'!$B$26:$AM$105,BK$22,)*(VLOOKUP($B49,'A1.3.7'!$B$28:$O$118,4,)+VLOOKUP($B49,'A1.3.7'!$B$28:$O$118,9,))))</f>
        <v>2.4374569697062981E-3</v>
      </c>
      <c r="BL49" s="693" t="str">
        <f>IF('A1.3.8'!D$40="","",IF(OR(VLOOKUP($B49,'A1.3.11'!$B$26:$AM$105,BL$22,)="",VLOOKUP($B49,'A1.3.7'!$B$28:$H$118,6,)=""),"",VLOOKUP($B49,'A1.3.11'!$B$26:$AM$105,BL$22,)*VLOOKUP($B49,'A1.3.7'!$B$28:$O$118,6,)))</f>
        <v/>
      </c>
      <c r="BM49" s="691" t="str">
        <f>IF('A1.3.8'!E$40="","",IF(OR(VLOOKUP($B49,'A1.3.11'!$B$26:$AM$105,BM$22,)="",VLOOKUP($B49,'A1.3.7'!$B$28:$H$118,6,)=""),"",VLOOKUP($B49,'A1.3.11'!$B$26:$AM$105,BM$22,)*VLOOKUP($B49,'A1.3.7'!$B$28:$O$118,6,)))</f>
        <v/>
      </c>
      <c r="BN49" s="691" t="str">
        <f>IF('A1.3.8'!F$40="","",IF(OR(VLOOKUP($B49,'A1.3.11'!$B$26:$AM$105,BN$22,)="",VLOOKUP($B49,'A1.3.7'!$B$28:$H$118,6,)=""),"",VLOOKUP($B49,'A1.3.11'!$B$26:$AM$105,BN$22,)*VLOOKUP($B49,'A1.3.7'!$B$28:$O$118,6,)))</f>
        <v/>
      </c>
      <c r="BO49" s="1664" t="str">
        <f>IF('A1.3.8'!G$40="","",IF(OR(VLOOKUP($B49,'A1.3.11'!$B$26:$AM$105,BO$22,)="",VLOOKUP($B49,'A1.3.7'!$B$28:$H$118,6,)=""),"",VLOOKUP($B49,'A1.3.11'!$B$26:$AM$105,BO$22,)*VLOOKUP($B49,'A1.3.7'!$B$28:$O$118,6,)))</f>
        <v/>
      </c>
      <c r="BP49" s="693">
        <f>IF(AND(BH49="",BL49=""),"",IF(BH49="",0,(BH49*VLOOKUP($B49,'A1.3.9'!$B$26:$O$57,9,TRUE))) + IF(BL49="",0,(BL49*VLOOKUP($B49,'A1.3.9'!$B$26:$O$57,10,TRUE))))</f>
        <v>347.93102041820271</v>
      </c>
      <c r="BQ49" s="691">
        <f>IF(AND(BI49="",BM49=""),"",IF(BI49="",0,(BI49*VLOOKUP($B49,'A1.3.9'!$B$26:$O$57,9,TRUE))) + IF(BM49="",0,(BM49*VLOOKUP($B49,'A1.3.9'!$B$26:$O$57,10,TRUE))))</f>
        <v>30.571637836911592</v>
      </c>
      <c r="BR49" s="691">
        <f>IF(AND(BJ49="",BN49=""),"",IF(BJ49="",0,(BJ49*VLOOKUP($B49,'A1.3.9'!$B$26:$O$57,9,TRUE))) + IF(BN49="",0,(BN49*VLOOKUP($B49,'A1.3.9'!$B$26:$O$57,10,TRUE))))</f>
        <v>-0.33228645501077864</v>
      </c>
      <c r="BS49" s="2644">
        <f>IF(AND(BK49="",BO49=""),"",IF(BK49="",0,(BK49*VLOOKUP($B49,'A1.3.9'!$B$26:$O$57,9,TRUE))) + IF(BO49="",0,(BO49*VLOOKUP($B49,'A1.3.9'!$B$26:$O$57,10,TRUE))))</f>
        <v>2.4374569697062981E-3</v>
      </c>
    </row>
    <row r="50" spans="1:71" s="26" customFormat="1" ht="13.5" customHeight="1">
      <c r="A50" s="113"/>
      <c r="B50" s="614">
        <f t="shared" si="0"/>
        <v>2033</v>
      </c>
      <c r="C50" s="147"/>
      <c r="D50" s="693">
        <f>IF('A1.3.8'!D$27="","",IF(OR(VLOOKUP($B50,'A1.3.11'!$B$26:$AM$105,D$22,)="",VLOOKUP($B50,'A1.3.7'!$B$28:$H$118,3,)=""),"",VLOOKUP($B50,'A1.3.11'!$B$26:$AM$105,D$22,)*(VLOOKUP($B50,'A1.3.7'!$B$28:$O$118,3,)+VLOOKUP($B50,'A1.3.7'!$B$28:$O$118,8,))))</f>
        <v>32.942502382865293</v>
      </c>
      <c r="E50" s="691">
        <f>IF('A1.3.8'!E$27="","",IF(OR(VLOOKUP($B50,'A1.3.11'!$B$26:$AM$105,E$22,)="",VLOOKUP($B50,'A1.3.7'!$B$28:$H$118,3,)=""),"",VLOOKUP($B50,'A1.3.11'!$B$26:$AM$105,E$22,)*(VLOOKUP($B50,'A1.3.7'!$B$28:$O$118,3,)+VLOOKUP($B50,'A1.3.7'!$B$28:$O$118,8,))))</f>
        <v>7.0008161136662057</v>
      </c>
      <c r="F50" s="691">
        <f>IF('A1.3.8'!F$27="","",IF(OR(VLOOKUP($B50,'A1.3.11'!$B$26:$AM$105,F$22,)="",VLOOKUP($B50,'A1.3.7'!$B$28:$H$118,3,)=""),"",VLOOKUP($B50,'A1.3.11'!$B$26:$AM$105,F$22,)*(VLOOKUP($B50,'A1.3.7'!$B$28:$O$118,3,)+VLOOKUP($B50,'A1.3.7'!$B$28:$O$118,8,))))</f>
        <v>-7.9747597702325257E-2</v>
      </c>
      <c r="G50" s="2644">
        <f>IF('A1.3.8'!G$27="","",IF(OR(VLOOKUP($B50,'A1.3.11'!$B$26:$AM$105,G$22,)="",VLOOKUP($B50,'A1.3.7'!$B$28:$H$118,3,)=""),"",VLOOKUP($B50,'A1.3.11'!$B$26:$AM$105,G$22,)*(VLOOKUP($B50,'A1.3.7'!$B$28:$O$118,3,)+VLOOKUP($B50,'A1.3.7'!$B$28:$O$118,8,))))</f>
        <v>5.28161922982642E-4</v>
      </c>
      <c r="H50" s="693">
        <f>IF('A1.3.8'!D$28="","",IF(OR(VLOOKUP($B50,'A1.3.11'!$B$26:$AM$105,H$22,)="",VLOOKUP($B50,'A1.3.7'!$B$28:$H$118,4,)=""),"",VLOOKUP($B50,'A1.3.11'!$B$26:$AM$105,H$22,)*(VLOOKUP($B50,'A1.3.7'!$B$28:$O$118,4,)+VLOOKUP($B50,'A1.3.7'!$B$28:$O$118,9,))))</f>
        <v>40.627656461011256</v>
      </c>
      <c r="I50" s="691">
        <f>IF('A1.3.8'!E$28="","",IF(OR(VLOOKUP($B50,'A1.3.11'!$B$26:$AM$105,I$22,)="",VLOOKUP($B50,'A1.3.7'!$B$28:$H$118,4,)=""),"",VLOOKUP($B50,'A1.3.11'!$B$26:$AM$105,I$22,)*(VLOOKUP($B50,'A1.3.7'!$B$28:$O$118,4,)+VLOOKUP($B50,'A1.3.7'!$B$28:$O$118,9,))))</f>
        <v>5.8250012157070241</v>
      </c>
      <c r="J50" s="691">
        <f>IF('A1.3.8'!F$28="","",IF(OR(VLOOKUP($B50,'A1.3.11'!$B$26:$AM$105,J$22,)="",VLOOKUP($B50,'A1.3.7'!$B$28:$H$118,4,)=""),"",VLOOKUP($B50,'A1.3.11'!$B$26:$AM$105,J$22,)*(VLOOKUP($B50,'A1.3.7'!$B$28:$O$118,4,)+VLOOKUP($B50,'A1.3.7'!$B$28:$O$118,9,))))</f>
        <v>-5.6038134427864192E-2</v>
      </c>
      <c r="K50" s="2644">
        <f>IF('A1.3.8'!G$28="","",IF(OR(VLOOKUP($B50,'A1.3.11'!$B$26:$AM$105,K$22,)="",VLOOKUP($B50,'A1.3.7'!$B$28:$H$118,4,)=""),"",VLOOKUP($B50,'A1.3.11'!$B$26:$AM$105,K$22,)*(VLOOKUP($B50,'A1.3.7'!$B$28:$O$118,4,)+VLOOKUP($B50,'A1.3.7'!$B$28:$O$118,9,))))</f>
        <v>4.4158331076672675E-4</v>
      </c>
      <c r="L50" s="693" t="str">
        <f>IF('A1.3.8'!D$36="","",IF(OR(VLOOKUP($B50,'A1.3.11'!$B$26:$AM$105,L$22,)="",VLOOKUP($B50,'A1.3.7'!$B$28:$H$118,6,)=""),"",VLOOKUP($B50,'A1.3.11'!$B$26:$AM$105,L$22,)*VLOOKUP($B50,'A1.3.7'!$B$28:$O$118,6,)))</f>
        <v/>
      </c>
      <c r="M50" s="691">
        <f>IF('A1.3.8'!E$36="","",IF(OR(VLOOKUP($B50,'A1.3.11'!$B$26:$AM$105,M$22,)="",VLOOKUP($B50,'A1.3.7'!$B$28:$H$118,6,)=""),"",VLOOKUP($B50,'A1.3.11'!$B$26:$AM$105,M$22,)*VLOOKUP($B50,'A1.3.7'!$B$28:$O$118,6,)))</f>
        <v>2.0229693155732749</v>
      </c>
      <c r="N50" s="691" t="str">
        <f>IF('A1.3.8'!F$36="","",IF(OR(VLOOKUP($B50,'A1.3.11'!$B$26:$AM$105,N$22,)="",VLOOKUP($B50,'A1.3.7'!$B$28:$H$118,6,)=""),"",VLOOKUP($B50,'A1.3.11'!$B$26:$AM$105,N$22,)*VLOOKUP($B50,'A1.3.7'!$B$28:$O$118,6,)))</f>
        <v/>
      </c>
      <c r="O50" s="1664" t="str">
        <f>IF('A1.3.8'!G$36="","",IF(OR(VLOOKUP($B50,'A1.3.11'!$B$26:$AM$105,O$22,)="",VLOOKUP($B50,'A1.3.7'!$B$28:$H$118,6,)=""),"",VLOOKUP($B50,'A1.3.11'!$B$26:$AM$105,O$22,)*VLOOKUP($B50,'A1.3.7'!$B$28:$O$118,6,)))</f>
        <v/>
      </c>
      <c r="P50" s="693">
        <f>IF(AND(D50="",H50="",L50=""),"",IF(D50="",0,(D50*VLOOKUP($B50,'A1.3.9'!$B$26:$O$57,3,TRUE)))+IF(H50="",0,(H50*VLOOKUP($B50,'A1.3.9'!$B$26:$O$57,4,TRUE)))+IF(L50="",0,(L50*VLOOKUP($B50,'A1.3.9'!$B$26:$O$57,5,TRUE))))</f>
        <v>28.761923058508359</v>
      </c>
      <c r="Q50" s="691">
        <f>IF(AND(E50="",I50="",M50=""),"",IF(E50="",0,(E50*VLOOKUP($B50,'A1.3.9'!$B$26:$O$57,3,TRUE)))+IF(I50="",0,(I50*VLOOKUP($B50,'A1.3.9'!$B$26:$O$57,4,TRUE)))+IF(M50="",0,(M50*VLOOKUP($B50,'A1.3.9'!$B$26:$O$57,5,TRUE))))</f>
        <v>5.5986186451232527</v>
      </c>
      <c r="R50" s="691">
        <f>IF(AND(F50="",J50="",N50=""),"",IF(F50="",0,(F50*VLOOKUP($B50,'A1.3.9'!$B$26:$O$57,3,TRUE)))+IF(J50="",0,(J50*VLOOKUP($B50,'A1.3.9'!$B$26:$O$57,4,TRUE)))+IF(N50="",0,(N50*VLOOKUP($B50,'A1.3.9'!$B$26:$O$57,5,TRUE))))</f>
        <v>-5.5677410445475924E-2</v>
      </c>
      <c r="S50" s="2644">
        <f>IF(AND(G50="",K50="",O50=""),"",IF(G50="",0,(G50*VLOOKUP($B50,'A1.3.9'!$B$26:$O$57,3,TRUE)))+IF(K50="",0,(K50*VLOOKUP($B50,'A1.3.9'!$B$26:$O$57,4,TRUE)))+IF(O50="",0,(O50*VLOOKUP($B50,'A1.3.9'!$B$26:$O$57,5,TRUE))))</f>
        <v>3.9197170491503711E-4</v>
      </c>
      <c r="T50" s="693">
        <f>IF('A1.3.8'!D$29="","",IF(OR(VLOOKUP($B50,'A1.3.11'!$B$26:$AM$105,T$22,)="",VLOOKUP($B50,'A1.3.7'!$B$28:$H$118,3,)=""),"",VLOOKUP($B50,'A1.3.11'!$B$26:$AM$105,T$22,)*(VLOOKUP($B50,'A1.3.7'!$B$28:$O$118,3,)+VLOOKUP($B50,'A1.3.7'!$B$28:$O$118,8,))))</f>
        <v>23.642728198094733</v>
      </c>
      <c r="U50" s="691">
        <f>IF('A1.3.8'!E$29="","",IF(OR(VLOOKUP($B50,'A1.3.11'!$B$26:$AM$105,U$22,)="",VLOOKUP($B50,'A1.3.7'!$B$28:$H$118,3,)=""),"",VLOOKUP($B50,'A1.3.11'!$B$26:$AM$105,U$22,)*(VLOOKUP($B50,'A1.3.7'!$B$28:$O$118,3,)+VLOOKUP($B50,'A1.3.7'!$B$28:$O$118,8,))))</f>
        <v>13.257473380749415</v>
      </c>
      <c r="V50" s="691">
        <f>IF('A1.3.8'!F$29="","",IF(OR(VLOOKUP($B50,'A1.3.11'!$B$26:$AM$105,V$22,)="",VLOOKUP($B50,'A1.3.7'!$B$28:$H$118,3,)=""),"",VLOOKUP($B50,'A1.3.11'!$B$26:$AM$105,V$22,)*(VLOOKUP($B50,'A1.3.7'!$B$28:$O$118,3,)+VLOOKUP($B50,'A1.3.7'!$B$28:$O$118,8,))))</f>
        <v>-0.20809881581920756</v>
      </c>
      <c r="W50" s="2644">
        <f>IF('A1.3.8'!G$29="","",IF(OR(VLOOKUP($B50,'A1.3.11'!$B$26:$AM$105,W$22,)="",VLOOKUP($B50,'A1.3.7'!$B$28:$H$118,3,)=""),"",VLOOKUP($B50,'A1.3.11'!$B$26:$AM$105,W$22,)*(VLOOKUP($B50,'A1.3.7'!$B$28:$O$118,3,)+VLOOKUP($B50,'A1.3.7'!$B$28:$O$118,8,))))</f>
        <v>1.3439099297003719E-3</v>
      </c>
      <c r="X50" s="693">
        <f>IF('A1.3.8'!D$30="","",IF(OR(VLOOKUP($B50,'A1.3.11'!$B$26:$AM$105,X$22,)="",VLOOKUP($B50,'A1.3.7'!$B$28:$H$118,4,)=""),"",VLOOKUP($B50,'A1.3.11'!$B$26:$AM$105,X$22,)*(VLOOKUP($B50,'A1.3.7'!$B$28:$O$118,4,)+VLOOKUP($B50,'A1.3.7'!$B$28:$O$118,9,))))</f>
        <v>41.681374528126732</v>
      </c>
      <c r="Y50" s="691">
        <f>IF('A1.3.8'!E$30="","",IF(OR(VLOOKUP($B50,'A1.3.11'!$B$26:$AM$105,Y$22,)="",VLOOKUP($B50,'A1.3.7'!$B$28:$H$118,4,)=""),"",VLOOKUP($B50,'A1.3.11'!$B$26:$AM$105,Y$22,)*(VLOOKUP($B50,'A1.3.7'!$B$28:$O$118,4,)+VLOOKUP($B50,'A1.3.7'!$B$28:$O$118,9,))))</f>
        <v>10.187097800102213</v>
      </c>
      <c r="Z50" s="691">
        <f>IF('A1.3.8'!F$30="","",IF(OR(VLOOKUP($B50,'A1.3.11'!$B$26:$AM$105,Z$22,)="",VLOOKUP($B50,'A1.3.7'!$B$28:$H$118,4,)=""),"",VLOOKUP($B50,'A1.3.11'!$B$26:$AM$105,Z$22,)*(VLOOKUP($B50,'A1.3.7'!$B$28:$O$118,4,)+VLOOKUP($B50,'A1.3.7'!$B$28:$O$118,9,))))</f>
        <v>-0.14696740023595559</v>
      </c>
      <c r="AA50" s="2644">
        <f>IF('A1.3.8'!G$30="","",IF(OR(VLOOKUP($B50,'A1.3.11'!$B$26:$AM$105,AA$22,)="",VLOOKUP($B50,'A1.3.7'!$B$28:$H$118,4,)=""),"",VLOOKUP($B50,'A1.3.11'!$B$26:$AM$105,AA$22,)*(VLOOKUP($B50,'A1.3.7'!$B$28:$O$118,4,)+VLOOKUP($B50,'A1.3.7'!$B$28:$O$118,9,))))</f>
        <v>1.2442311347313707E-3</v>
      </c>
      <c r="AB50" s="693" t="str">
        <f>IF('A1.3.8'!D$37="","",IF(OR(VLOOKUP($B50,'A1.3.11'!$B$26:$AM$105,AB$22,)="",VLOOKUP($B50,'A1.3.7'!$B$28:$H$118,6,)=""),"",VLOOKUP($B50,'A1.3.11'!$B$26:$AM$105,AB$22,)*VLOOKUP($B50,'A1.3.7'!$B$28:$O$118,6,)))</f>
        <v/>
      </c>
      <c r="AC50" s="691">
        <f>IF('A1.3.8'!E$37="","",IF(OR(VLOOKUP($B50,'A1.3.11'!$B$26:$AM$105,AC$22,)="",VLOOKUP($B50,'A1.3.7'!$B$28:$H$118,6,)=""),"",VLOOKUP($B50,'A1.3.11'!$B$26:$AM$105,AC$22,)*VLOOKUP($B50,'A1.3.7'!$B$28:$O$118,6,)))</f>
        <v>4.5145632825273827</v>
      </c>
      <c r="AD50" s="691" t="str">
        <f>IF('A1.3.8'!F$37="","",IF(OR(VLOOKUP($B50,'A1.3.11'!$B$26:$AM$105,AD$22,)="",VLOOKUP($B50,'A1.3.7'!$B$28:$H$118,6,)=""),"",VLOOKUP($B50,'A1.3.11'!$B$26:$AM$105,AD$22,)*VLOOKUP($B50,'A1.3.7'!$B$28:$O$118,6,)))</f>
        <v/>
      </c>
      <c r="AE50" s="1664" t="str">
        <f>IF('A1.3.8'!G$37="","",IF(OR(VLOOKUP($B50,'A1.3.11'!$B$26:$AM$105,AE$22,)="",VLOOKUP($B50,'A1.3.7'!$B$28:$H$118,6,)=""),"",VLOOKUP($B50,'A1.3.11'!$B$26:$AM$105,AE$22,)*VLOOKUP($B50,'A1.3.7'!$B$28:$O$118,6,)))</f>
        <v/>
      </c>
      <c r="AF50" s="693">
        <f>IF(AND(T50="",X50="",AB50=""),"",IF(T50="",0,(T50*VLOOKUP('A1.3.12'!$B50,'A1.3.9'!$B$26:$O$57,6,TRUE))) + IF(X50="",0,(X50*VLOOKUP('A1.3.12'!$B50,'A1.3.9'!$B$26:$O$57,7,TRUE))) + IF(AB50="",0,(AB50*VLOOKUP('A1.3.12'!$B50,'A1.3.9'!$B$26:$O$57,8,TRUE))))</f>
        <v>37.840293412937847</v>
      </c>
      <c r="AG50" s="691">
        <f>IF(AND(U50="",Y50="",AC50=""),"",IF(U50="",0,(U50*VLOOKUP('A1.3.12'!$B50,'A1.3.9'!$B$26:$O$57,6,TRUE))) + IF(Y50="",0,(Y50*VLOOKUP('A1.3.12'!$B50,'A1.3.9'!$B$26:$O$57,7,TRUE))) + IF(AC50="",0,(AC50*VLOOKUP('A1.3.12'!$B50,'A1.3.9'!$B$26:$O$57,8,TRUE))))</f>
        <v>9.7075405540082667</v>
      </c>
      <c r="AH50" s="691">
        <f>IF(AND(V50="",Z50="",AD50=""),"",IF(V50="",0,(V50*VLOOKUP('A1.3.12'!$B50,'A1.3.9'!$B$26:$O$57,6,TRUE))) + IF(Z50="",0,(Z50*VLOOKUP('A1.3.12'!$B50,'A1.3.9'!$B$26:$O$57,7,TRUE))) + IF(AD50="",0,(AD50*VLOOKUP('A1.3.12'!$B50,'A1.3.9'!$B$26:$O$57,8,TRUE))))</f>
        <v>-0.13439879157123763</v>
      </c>
      <c r="AI50" s="2644">
        <f>IF(AND(W50="",AA50="",AE50=""),"",IF(W50="",0,(W50*VLOOKUP('A1.3.12'!$B50,'A1.3.9'!$B$26:$O$57,6,TRUE))) + IF(AA50="",0,(AA50*VLOOKUP('A1.3.12'!$B50,'A1.3.9'!$B$26:$O$57,7,TRUE))) + IF(AE50="",0,(AE50*VLOOKUP('A1.3.12'!$B50,'A1.3.9'!$B$26:$O$57,8,TRUE))))</f>
        <v>1.1345588158876792E-3</v>
      </c>
      <c r="AJ50" s="693">
        <f>IF('A1.3.8'!D$31="","",IF(OR(VLOOKUP($B50,'A1.3.11'!$B$26:$AM$105,AJ$22,)="",VLOOKUP($B50,'A1.3.7'!$B$28:$H$118,4,)=""),"",VLOOKUP($B50,'A1.3.11'!$B$26:$AM$105,AJ$22,)*(VLOOKUP($B50,'A1.3.7'!$B$28:$O$118,4,)+VLOOKUP($B50,'A1.3.7'!$B$28:$O$118,9,))))</f>
        <v>280.50999476815286</v>
      </c>
      <c r="AK50" s="691">
        <f>IF('A1.3.8'!E$31="","",IF(OR(VLOOKUP($B50,'A1.3.11'!$B$26:$AM$105,AK$22,)="",VLOOKUP($B50,'A1.3.7'!$B$28:$H$118,4,)=""),"",VLOOKUP($B50,'A1.3.11'!$B$26:$AM$105,AK$22,)*(VLOOKUP($B50,'A1.3.7'!$B$28:$O$118,4,)+VLOOKUP($B50,'A1.3.7'!$B$28:$O$118,9,))))</f>
        <v>14.883076375699568</v>
      </c>
      <c r="AL50" s="691">
        <f>IF('A1.3.8'!F$31="","",IF(OR(VLOOKUP($B50,'A1.3.11'!$B$26:$AM$105,AL$22,)="",VLOOKUP($B50,'A1.3.7'!$B$28:$H$118,4,)=""),"",VLOOKUP($B50,'A1.3.11'!$B$26:$AM$105,AL$22,)*(VLOOKUP($B50,'A1.3.7'!$B$28:$O$118,4,)+VLOOKUP($B50,'A1.3.7'!$B$28:$O$118,9,))))</f>
        <v>-0.10757497054000675</v>
      </c>
      <c r="AM50" s="2644">
        <f>IF('A1.3.8'!G$31="","",IF(OR(VLOOKUP($B50,'A1.3.11'!$B$26:$AM$105,AM$22,)="",VLOOKUP($B50,'A1.3.7'!$B$28:$H$118,4,)=""),"",VLOOKUP($B50,'A1.3.11'!$B$26:$AM$105,AM$22,)*(VLOOKUP($B50,'A1.3.7'!$B$28:$O$118,4,)+VLOOKUP($B50,'A1.3.7'!$B$28:$O$118,9,))))</f>
        <v>1.1748912827169425E-3</v>
      </c>
      <c r="AN50" s="693" t="str">
        <f>IF('A1.3.8'!D$38="","",IF(OR(VLOOKUP($B50,'A1.3.11'!$B$26:$AM$105,AN$22,)="",VLOOKUP($B50,'A1.3.7'!$B$28:$H$118,6,)=""),"",VLOOKUP($B50,'A1.3.11'!$B$26:$AM$105,AN$22,)*VLOOKUP($B50,'A1.3.7'!$B$28:$O$118,6,)))</f>
        <v/>
      </c>
      <c r="AO50" s="691" t="str">
        <f>IF('A1.3.8'!E$38="","",IF(OR(VLOOKUP($B50,'A1.3.11'!$B$26:$AM$105,AO$22,)="",VLOOKUP($B50,'A1.3.7'!$B$28:$H$118,6,)=""),"",VLOOKUP($B50,'A1.3.11'!$B$26:$AM$105,AO$22,)*VLOOKUP($B50,'A1.3.7'!$B$28:$O$118,6,)))</f>
        <v/>
      </c>
      <c r="AP50" s="691" t="str">
        <f>IF('A1.3.8'!F$38="","",IF(OR(VLOOKUP($B50,'A1.3.11'!$B$26:$AM$105,AP$22,)="",VLOOKUP($B50,'A1.3.7'!$B$28:$H$118,6,)=""),"",VLOOKUP($B50,'A1.3.11'!$B$26:$AM$105,AP$22,)*VLOOKUP($B50,'A1.3.7'!$B$28:$O$118,6,)))</f>
        <v/>
      </c>
      <c r="AQ50" s="1664" t="str">
        <f>IF('A1.3.8'!G$38="","",IF(OR(VLOOKUP($B50,'A1.3.11'!$B$26:$AM$105,AQ$22,)="",VLOOKUP($B50,'A1.3.7'!$B$28:$H$118,6,)=""),"",VLOOKUP($B50,'A1.3.11'!$B$26:$AM$105,AQ$22,)*VLOOKUP($B50,'A1.3.7'!$B$28:$O$118,6,)))</f>
        <v/>
      </c>
      <c r="AR50" s="693">
        <f>IF(AND(AJ50="",AN50=""),"",IF(AJ50="",0,(AJ50*VLOOKUP($B50,'A1.3.9'!$B$26:$O$57,9,TRUE))) + IF(AN50="",0,(AN50*VLOOKUP($B50,'A1.3.9'!$B$26:$O$57,10,TRUE))))</f>
        <v>280.50999476815286</v>
      </c>
      <c r="AS50" s="691">
        <f>IF(AND(AK50="",AO50=""),"",IF(AK50="",0,(AK50*VLOOKUP($B50,'A1.3.9'!$B$26:$O$57,9,TRUE))) + IF(AO50="",0,(AO50*VLOOKUP($B50,'A1.3.9'!$B$26:$O$57,10,TRUE))))</f>
        <v>14.883076375699568</v>
      </c>
      <c r="AT50" s="691">
        <f>IF(AND(AL50="",AP50=""),"",IF(AL50="",0,(AL50*VLOOKUP($B50,'A1.3.9'!$B$26:$O$57,9,TRUE))) + IF(AP50="",0,(AP50*VLOOKUP($B50,'A1.3.9'!$B$26:$O$57,10,TRUE))))</f>
        <v>-0.10757497054000675</v>
      </c>
      <c r="AU50" s="2644">
        <f>IF(AND(AM50="",AQ50=""),"",IF(AM50="",0,(AM50*VLOOKUP($B50,'A1.3.9'!$B$26:$O$57,9,TRUE))) + IF(AQ50="",0,(AQ50*VLOOKUP($B50,'A1.3.9'!$B$26:$O$57,10,TRUE))))</f>
        <v>1.1748912827169425E-3</v>
      </c>
      <c r="AV50" s="693">
        <f>IF('A1.3.8'!D$32="","",IF(OR(VLOOKUP($B50,'A1.3.11'!$B$26:$AM$105,AV$22,)="",VLOOKUP($B50,'A1.3.7'!$B$28:$H$118,4,)=""),"",VLOOKUP($B50,'A1.3.11'!$B$26:$AM$105,AV$22,)*(VLOOKUP($B50,'A1.3.7'!$B$28:$O$118,4,)+VLOOKUP($B50,'A1.3.7'!$B$28:$O$118,9,))))</f>
        <v>589.42459338760432</v>
      </c>
      <c r="AW50" s="691">
        <f>IF('A1.3.8'!E$32="","",IF(OR(VLOOKUP($B50,'A1.3.11'!$B$26:$AM$105,AW$22,)="",VLOOKUP($B50,'A1.3.7'!$B$28:$H$118,4,)=""),"",VLOOKUP($B50,'A1.3.11'!$B$26:$AM$105,AW$22,)*(VLOOKUP($B50,'A1.3.7'!$B$28:$O$118,4,)+VLOOKUP($B50,'A1.3.7'!$B$28:$O$118,9,))))</f>
        <v>30.609863537023763</v>
      </c>
      <c r="AX50" s="691">
        <f>IF('A1.3.8'!F$32="","",IF(OR(VLOOKUP($B50,'A1.3.11'!$B$26:$AM$105,AX$22,)="",VLOOKUP($B50,'A1.3.7'!$B$28:$H$118,4,)=""),"",VLOOKUP($B50,'A1.3.11'!$B$26:$AM$105,AX$22,)*(VLOOKUP($B50,'A1.3.7'!$B$28:$O$118,4,)+VLOOKUP($B50,'A1.3.7'!$B$28:$O$118,9,))))</f>
        <v>-0.20280644865845179</v>
      </c>
      <c r="AY50" s="2644">
        <f>IF('A1.3.8'!G$32="","",IF(OR(VLOOKUP($B50,'A1.3.11'!$B$26:$AM$105,AY$22,)="",VLOOKUP($B50,'A1.3.7'!$B$28:$H$118,4,)=""),"",VLOOKUP($B50,'A1.3.11'!$B$26:$AM$105,AY$22,)*(VLOOKUP($B50,'A1.3.7'!$B$28:$O$118,4,)+VLOOKUP($B50,'A1.3.7'!$B$28:$O$118,9,))))</f>
        <v>1.2088107674687164E-3</v>
      </c>
      <c r="AZ50" s="693" t="str">
        <f>IF('A1.3.8'!D$39="","",IF(OR(VLOOKUP($B50,'A1.3.11'!$B$26:$AM$105,AZ$22,)="",VLOOKUP($B50,'A1.3.7'!$B$28:$H$118,6,)=""),"",VLOOKUP($B50,'A1.3.11'!$B$26:$AM$105,AZ$22,)*VLOOKUP($B50,'A1.3.7'!$B$28:$O$118,6,)))</f>
        <v/>
      </c>
      <c r="BA50" s="691" t="str">
        <f>IF('A1.3.8'!E$39="","",IF(OR(VLOOKUP($B50,'A1.3.11'!$B$26:$AM$105,BA$22,)="",VLOOKUP($B50,'A1.3.7'!$B$28:$H$118,6,)=""),"",VLOOKUP($B50,'A1.3.11'!$B$26:$AM$105,BA$22,)*VLOOKUP($B50,'A1.3.7'!$B$28:$O$118,6,)))</f>
        <v/>
      </c>
      <c r="BB50" s="691" t="str">
        <f>IF('A1.3.8'!F$39="","",IF(OR(VLOOKUP($B50,'A1.3.11'!$B$26:$AM$105,BB$22,)="",VLOOKUP($B50,'A1.3.7'!$B$28:$H$118,6,)=""),"",VLOOKUP($B50,'A1.3.11'!$B$26:$AM$105,BB$22,)*VLOOKUP($B50,'A1.3.7'!$B$28:$O$118,6,)))</f>
        <v/>
      </c>
      <c r="BC50" s="1664" t="str">
        <f>IF('A1.3.8'!G$39="","",IF(OR(VLOOKUP($B50,'A1.3.11'!$B$26:$AM$105,BC$22,)="",VLOOKUP($B50,'A1.3.7'!$B$28:$H$118,6,)=""),"",VLOOKUP($B50,'A1.3.11'!$B$26:$AM$105,BC$22,)*VLOOKUP($B50,'A1.3.7'!$B$28:$O$118,6,)))</f>
        <v/>
      </c>
      <c r="BD50" s="693">
        <f>IF(AND(AV50="",AZ50=""),"",IF(AV50="",0,(AV50*VLOOKUP($B50,'A1.3.9'!$B$26:$O$57,9,TRUE))) + IF(AZ50="",0,(AZ50*VLOOKUP($B50,'A1.3.9'!$B$26:$O$57,10,TRUE))))</f>
        <v>589.42459338760432</v>
      </c>
      <c r="BE50" s="691">
        <f>IF(AND(AW50="",BA50=""),"",IF(AW50="",0,(AW50*VLOOKUP($B50,'A1.3.9'!$B$26:$O$57,9,TRUE))) + IF(BA50="",0,(BA50*VLOOKUP($B50,'A1.3.9'!$B$26:$O$57,10,TRUE))))</f>
        <v>30.609863537023763</v>
      </c>
      <c r="BF50" s="691">
        <f>IF(AND(AX50="",BB50=""),"",IF(AX50="",0,(AX50*VLOOKUP($B50,'A1.3.9'!$B$26:$O$57,9,TRUE))) + IF(BB50="",0,(BB50*VLOOKUP($B50,'A1.3.9'!$B$26:$O$57,10,TRUE))))</f>
        <v>-0.20280644865845179</v>
      </c>
      <c r="BG50" s="2644">
        <f>IF(AND(AY50="",BC50=""),"",IF(AY50="",0,(AY50*VLOOKUP($B50,'A1.3.9'!$B$26:$O$57,9,TRUE))) + IF(BC50="",0,(BC50*VLOOKUP($B50,'A1.3.9'!$B$26:$O$57,10,TRUE))))</f>
        <v>1.2088107674687164E-3</v>
      </c>
      <c r="BH50" s="693">
        <f>IF('A1.3.8'!D$33="","",IF(OR(VLOOKUP($B50,'A1.3.11'!$B$26:$AM$105,BH$22,)="",VLOOKUP($B50,'A1.3.7'!$B$28:$H$118,4,)=""),"",VLOOKUP($B50,'A1.3.11'!$B$26:$AM$105,BH$22,)*(VLOOKUP($B50,'A1.3.7'!$B$28:$O$118,4,)+VLOOKUP($B50,'A1.3.7'!$B$28:$O$118,9,))))</f>
        <v>349.57954671105068</v>
      </c>
      <c r="BI50" s="691">
        <f>IF('A1.3.8'!E$33="","",IF(OR(VLOOKUP($B50,'A1.3.11'!$B$26:$AM$105,BI$22,)="",VLOOKUP($B50,'A1.3.7'!$B$28:$H$118,4,)=""),"",VLOOKUP($B50,'A1.3.11'!$B$26:$AM$105,BI$22,)*(VLOOKUP($B50,'A1.3.7'!$B$28:$O$118,4,)+VLOOKUP($B50,'A1.3.7'!$B$28:$O$118,9,))))</f>
        <v>30.716488815502114</v>
      </c>
      <c r="BJ50" s="691">
        <f>IF('A1.3.8'!F$33="","",IF(OR(VLOOKUP($B50,'A1.3.11'!$B$26:$AM$105,BJ$22,)="",VLOOKUP($B50,'A1.3.7'!$B$28:$H$118,4,)=""),"",VLOOKUP($B50,'A1.3.11'!$B$26:$AM$105,BJ$22,)*(VLOOKUP($B50,'A1.3.7'!$B$28:$O$118,4,)+VLOOKUP($B50,'A1.3.7'!$B$28:$O$118,9,))))</f>
        <v>-0.3338608560434434</v>
      </c>
      <c r="BK50" s="2644">
        <f>IF('A1.3.8'!G$33="","",IF(OR(VLOOKUP($B50,'A1.3.11'!$B$26:$AM$105,BK$22,)="",VLOOKUP($B50,'A1.3.7'!$B$28:$H$118,4,)=""),"",VLOOKUP($B50,'A1.3.11'!$B$26:$AM$105,BK$22,)*(VLOOKUP($B50,'A1.3.7'!$B$28:$O$118,4,)+VLOOKUP($B50,'A1.3.7'!$B$28:$O$118,9,))))</f>
        <v>2.4490058448178552E-3</v>
      </c>
      <c r="BL50" s="693" t="str">
        <f>IF('A1.3.8'!D$40="","",IF(OR(VLOOKUP($B50,'A1.3.11'!$B$26:$AM$105,BL$22,)="",VLOOKUP($B50,'A1.3.7'!$B$28:$H$118,6,)=""),"",VLOOKUP($B50,'A1.3.11'!$B$26:$AM$105,BL$22,)*VLOOKUP($B50,'A1.3.7'!$B$28:$O$118,6,)))</f>
        <v/>
      </c>
      <c r="BM50" s="691" t="str">
        <f>IF('A1.3.8'!E$40="","",IF(OR(VLOOKUP($B50,'A1.3.11'!$B$26:$AM$105,BM$22,)="",VLOOKUP($B50,'A1.3.7'!$B$28:$H$118,6,)=""),"",VLOOKUP($B50,'A1.3.11'!$B$26:$AM$105,BM$22,)*VLOOKUP($B50,'A1.3.7'!$B$28:$O$118,6,)))</f>
        <v/>
      </c>
      <c r="BN50" s="691" t="str">
        <f>IF('A1.3.8'!F$40="","",IF(OR(VLOOKUP($B50,'A1.3.11'!$B$26:$AM$105,BN$22,)="",VLOOKUP($B50,'A1.3.7'!$B$28:$H$118,6,)=""),"",VLOOKUP($B50,'A1.3.11'!$B$26:$AM$105,BN$22,)*VLOOKUP($B50,'A1.3.7'!$B$28:$O$118,6,)))</f>
        <v/>
      </c>
      <c r="BO50" s="1664" t="str">
        <f>IF('A1.3.8'!G$40="","",IF(OR(VLOOKUP($B50,'A1.3.11'!$B$26:$AM$105,BO$22,)="",VLOOKUP($B50,'A1.3.7'!$B$28:$H$118,6,)=""),"",VLOOKUP($B50,'A1.3.11'!$B$26:$AM$105,BO$22,)*VLOOKUP($B50,'A1.3.7'!$B$28:$O$118,6,)))</f>
        <v/>
      </c>
      <c r="BP50" s="693">
        <f>IF(AND(BH50="",BL50=""),"",IF(BH50="",0,(BH50*VLOOKUP($B50,'A1.3.9'!$B$26:$O$57,9,TRUE))) + IF(BL50="",0,(BL50*VLOOKUP($B50,'A1.3.9'!$B$26:$O$57,10,TRUE))))</f>
        <v>349.57954671105068</v>
      </c>
      <c r="BQ50" s="691">
        <f>IF(AND(BI50="",BM50=""),"",IF(BI50="",0,(BI50*VLOOKUP($B50,'A1.3.9'!$B$26:$O$57,9,TRUE))) + IF(BM50="",0,(BM50*VLOOKUP($B50,'A1.3.9'!$B$26:$O$57,10,TRUE))))</f>
        <v>30.716488815502114</v>
      </c>
      <c r="BR50" s="691">
        <f>IF(AND(BJ50="",BN50=""),"",IF(BJ50="",0,(BJ50*VLOOKUP($B50,'A1.3.9'!$B$26:$O$57,9,TRUE))) + IF(BN50="",0,(BN50*VLOOKUP($B50,'A1.3.9'!$B$26:$O$57,10,TRUE))))</f>
        <v>-0.3338608560434434</v>
      </c>
      <c r="BS50" s="2644">
        <f>IF(AND(BK50="",BO50=""),"",IF(BK50="",0,(BK50*VLOOKUP($B50,'A1.3.9'!$B$26:$O$57,9,TRUE))) + IF(BO50="",0,(BO50*VLOOKUP($B50,'A1.3.9'!$B$26:$O$57,10,TRUE))))</f>
        <v>2.4490058448178552E-3</v>
      </c>
    </row>
    <row r="51" spans="1:71" s="26" customFormat="1" ht="13.5" customHeight="1">
      <c r="A51" s="113"/>
      <c r="B51" s="614">
        <f t="shared" si="0"/>
        <v>2034</v>
      </c>
      <c r="C51" s="147"/>
      <c r="D51" s="693">
        <f>IF('A1.3.8'!D$27="","",IF(OR(VLOOKUP($B51,'A1.3.11'!$B$26:$AM$105,D$22,)="",VLOOKUP($B51,'A1.3.7'!$B$28:$H$118,3,)=""),"",VLOOKUP($B51,'A1.3.11'!$B$26:$AM$105,D$22,)*(VLOOKUP($B51,'A1.3.7'!$B$28:$O$118,3,)+VLOOKUP($B51,'A1.3.7'!$B$28:$O$118,8,))))</f>
        <v>32.896434069368311</v>
      </c>
      <c r="E51" s="691">
        <f>IF('A1.3.8'!E$27="","",IF(OR(VLOOKUP($B51,'A1.3.11'!$B$26:$AM$105,E$22,)="",VLOOKUP($B51,'A1.3.7'!$B$28:$H$118,3,)=""),"",VLOOKUP($B51,'A1.3.11'!$B$26:$AM$105,E$22,)*(VLOOKUP($B51,'A1.3.7'!$B$28:$O$118,3,)+VLOOKUP($B51,'A1.3.7'!$B$28:$O$118,8,))))</f>
        <v>6.9910258497782136</v>
      </c>
      <c r="F51" s="691">
        <f>IF('A1.3.8'!F$27="","",IF(OR(VLOOKUP($B51,'A1.3.11'!$B$26:$AM$105,F$22,)="",VLOOKUP($B51,'A1.3.7'!$B$28:$H$118,3,)=""),"",VLOOKUP($B51,'A1.3.11'!$B$26:$AM$105,F$22,)*(VLOOKUP($B51,'A1.3.7'!$B$28:$O$118,3,)+VLOOKUP($B51,'A1.3.7'!$B$28:$O$118,8,))))</f>
        <v>-7.9636074986507141E-2</v>
      </c>
      <c r="G51" s="2644">
        <f>IF('A1.3.8'!G$27="","",IF(OR(VLOOKUP($B51,'A1.3.11'!$B$26:$AM$105,G$22,)="",VLOOKUP($B51,'A1.3.7'!$B$28:$H$118,3,)=""),"",VLOOKUP($B51,'A1.3.11'!$B$26:$AM$105,G$22,)*(VLOOKUP($B51,'A1.3.7'!$B$28:$O$118,3,)+VLOOKUP($B51,'A1.3.7'!$B$28:$O$118,8,))))</f>
        <v>5.2742331700904766E-4</v>
      </c>
      <c r="H51" s="693">
        <f>IF('A1.3.8'!D$28="","",IF(OR(VLOOKUP($B51,'A1.3.11'!$B$26:$AM$105,H$22,)="",VLOOKUP($B51,'A1.3.7'!$B$28:$H$118,4,)=""),"",VLOOKUP($B51,'A1.3.11'!$B$26:$AM$105,H$22,)*(VLOOKUP($B51,'A1.3.7'!$B$28:$O$118,4,)+VLOOKUP($B51,'A1.3.7'!$B$28:$O$118,9,))))</f>
        <v>40.621074056721923</v>
      </c>
      <c r="I51" s="691">
        <f>IF('A1.3.8'!E$28="","",IF(OR(VLOOKUP($B51,'A1.3.11'!$B$26:$AM$105,I$22,)="",VLOOKUP($B51,'A1.3.7'!$B$28:$H$118,4,)=""),"",VLOOKUP($B51,'A1.3.11'!$B$26:$AM$105,I$22,)*(VLOOKUP($B51,'A1.3.7'!$B$28:$O$118,4,)+VLOOKUP($B51,'A1.3.7'!$B$28:$O$118,9,))))</f>
        <v>5.8240574617146077</v>
      </c>
      <c r="J51" s="691">
        <f>IF('A1.3.8'!F$28="","",IF(OR(VLOOKUP($B51,'A1.3.11'!$B$26:$AM$105,J$22,)="",VLOOKUP($B51,'A1.3.7'!$B$28:$H$118,4,)=""),"",VLOOKUP($B51,'A1.3.11'!$B$26:$AM$105,J$22,)*(VLOOKUP($B51,'A1.3.7'!$B$28:$O$118,4,)+VLOOKUP($B51,'A1.3.7'!$B$28:$O$118,9,))))</f>
        <v>-5.6029055251545515E-2</v>
      </c>
      <c r="K51" s="2644">
        <f>IF('A1.3.8'!G$28="","",IF(OR(VLOOKUP($B51,'A1.3.11'!$B$26:$AM$105,K$22,)="",VLOOKUP($B51,'A1.3.7'!$B$28:$H$118,4,)=""),"",VLOOKUP($B51,'A1.3.11'!$B$26:$AM$105,K$22,)*(VLOOKUP($B51,'A1.3.7'!$B$28:$O$118,4,)+VLOOKUP($B51,'A1.3.7'!$B$28:$O$118,9,))))</f>
        <v>4.415117664018265E-4</v>
      </c>
      <c r="L51" s="693" t="str">
        <f>IF('A1.3.8'!D$36="","",IF(OR(VLOOKUP($B51,'A1.3.11'!$B$26:$AM$105,L$22,)="",VLOOKUP($B51,'A1.3.7'!$B$28:$H$118,6,)=""),"",VLOOKUP($B51,'A1.3.11'!$B$26:$AM$105,L$22,)*VLOOKUP($B51,'A1.3.7'!$B$28:$O$118,6,)))</f>
        <v/>
      </c>
      <c r="M51" s="691">
        <f>IF('A1.3.8'!E$36="","",IF(OR(VLOOKUP($B51,'A1.3.11'!$B$26:$AM$105,M$22,)="",VLOOKUP($B51,'A1.3.7'!$B$28:$H$118,6,)=""),"",VLOOKUP($B51,'A1.3.11'!$B$26:$AM$105,M$22,)*VLOOKUP($B51,'A1.3.7'!$B$28:$O$118,6,)))</f>
        <v>2.0052892477979301</v>
      </c>
      <c r="N51" s="691" t="str">
        <f>IF('A1.3.8'!F$36="","",IF(OR(VLOOKUP($B51,'A1.3.11'!$B$26:$AM$105,N$22,)="",VLOOKUP($B51,'A1.3.7'!$B$28:$H$118,6,)=""),"",VLOOKUP($B51,'A1.3.11'!$B$26:$AM$105,N$22,)*VLOOKUP($B51,'A1.3.7'!$B$28:$O$118,6,)))</f>
        <v/>
      </c>
      <c r="O51" s="1664" t="str">
        <f>IF('A1.3.8'!G$36="","",IF(OR(VLOOKUP($B51,'A1.3.11'!$B$26:$AM$105,O$22,)="",VLOOKUP($B51,'A1.3.7'!$B$28:$H$118,6,)=""),"",VLOOKUP($B51,'A1.3.11'!$B$26:$AM$105,O$22,)*VLOOKUP($B51,'A1.3.7'!$B$28:$O$118,6,)))</f>
        <v/>
      </c>
      <c r="P51" s="693">
        <f>IF(AND(D51="",H51="",L51=""),"",IF(D51="",0,(D51*VLOOKUP($B51,'A1.3.9'!$B$26:$O$57,3,TRUE)))+IF(H51="",0,(H51*VLOOKUP($B51,'A1.3.9'!$B$26:$O$57,4,TRUE)))+IF(L51="",0,(L51*VLOOKUP($B51,'A1.3.9'!$B$26:$O$57,5,TRUE))))</f>
        <v>28.00774114185279</v>
      </c>
      <c r="Q51" s="691">
        <f>IF(AND(E51="",I51="",M51=""),"",IF(E51="",0,(E51*VLOOKUP($B51,'A1.3.9'!$B$26:$O$57,3,TRUE)))+IF(I51="",0,(I51*VLOOKUP($B51,'A1.3.9'!$B$26:$O$57,4,TRUE)))+IF(M51="",0,(M51*VLOOKUP($B51,'A1.3.9'!$B$26:$O$57,5,TRUE))))</f>
        <v>5.5052059739777004</v>
      </c>
      <c r="R51" s="691">
        <f>IF(AND(F51="",J51="",N51=""),"",IF(F51="",0,(F51*VLOOKUP($B51,'A1.3.9'!$B$26:$O$57,3,TRUE)))+IF(J51="",0,(J51*VLOOKUP($B51,'A1.3.9'!$B$26:$O$57,4,TRUE)))+IF(N51="",0,(N51*VLOOKUP($B51,'A1.3.9'!$B$26:$O$57,5,TRUE))))</f>
        <v>-5.4320600777674991E-2</v>
      </c>
      <c r="S51" s="2644">
        <f>IF(AND(G51="",K51="",O51=""),"",IF(G51="",0,(G51*VLOOKUP($B51,'A1.3.9'!$B$26:$O$57,3,TRUE)))+IF(K51="",0,(K51*VLOOKUP($B51,'A1.3.9'!$B$26:$O$57,4,TRUE)))+IF(O51="",0,(O51*VLOOKUP($B51,'A1.3.9'!$B$26:$O$57,5,TRUE))))</f>
        <v>3.8220496459922951E-4</v>
      </c>
      <c r="T51" s="693">
        <f>IF('A1.3.8'!D$29="","",IF(OR(VLOOKUP($B51,'A1.3.11'!$B$26:$AM$105,T$22,)="",VLOOKUP($B51,'A1.3.7'!$B$28:$H$118,3,)=""),"",VLOOKUP($B51,'A1.3.11'!$B$26:$AM$105,T$22,)*(VLOOKUP($B51,'A1.3.7'!$B$28:$O$118,3,)+VLOOKUP($B51,'A1.3.7'!$B$28:$O$118,8,))))</f>
        <v>23.672086800528316</v>
      </c>
      <c r="U51" s="691">
        <f>IF('A1.3.8'!E$29="","",IF(OR(VLOOKUP($B51,'A1.3.11'!$B$26:$AM$105,U$22,)="",VLOOKUP($B51,'A1.3.7'!$B$28:$H$118,3,)=""),"",VLOOKUP($B51,'A1.3.11'!$B$26:$AM$105,U$22,)*(VLOOKUP($B51,'A1.3.7'!$B$28:$O$118,3,)+VLOOKUP($B51,'A1.3.7'!$B$28:$O$118,8,))))</f>
        <v>13.273935985529967</v>
      </c>
      <c r="V51" s="691">
        <f>IF('A1.3.8'!F$29="","",IF(OR(VLOOKUP($B51,'A1.3.11'!$B$26:$AM$105,V$22,)="",VLOOKUP($B51,'A1.3.7'!$B$28:$H$118,3,)=""),"",VLOOKUP($B51,'A1.3.11'!$B$26:$AM$105,V$22,)*(VLOOKUP($B51,'A1.3.7'!$B$28:$O$118,3,)+VLOOKUP($B51,'A1.3.7'!$B$28:$O$118,8,))))</f>
        <v>-0.20835722467749779</v>
      </c>
      <c r="W51" s="2644">
        <f>IF('A1.3.8'!G$29="","",IF(OR(VLOOKUP($B51,'A1.3.11'!$B$26:$AM$105,W$22,)="",VLOOKUP($B51,'A1.3.7'!$B$28:$H$118,3,)=""),"",VLOOKUP($B51,'A1.3.11'!$B$26:$AM$105,W$22,)*(VLOOKUP($B51,'A1.3.7'!$B$28:$O$118,3,)+VLOOKUP($B51,'A1.3.7'!$B$28:$O$118,8,))))</f>
        <v>1.3455787437645541E-3</v>
      </c>
      <c r="X51" s="693">
        <f>IF('A1.3.8'!D$30="","",IF(OR(VLOOKUP($B51,'A1.3.11'!$B$26:$AM$105,X$22,)="",VLOOKUP($B51,'A1.3.7'!$B$28:$H$118,4,)=""),"",VLOOKUP($B51,'A1.3.11'!$B$26:$AM$105,X$22,)*(VLOOKUP($B51,'A1.3.7'!$B$28:$O$118,4,)+VLOOKUP($B51,'A1.3.7'!$B$28:$O$118,9,))))</f>
        <v>41.806350340054045</v>
      </c>
      <c r="Y51" s="691">
        <f>IF('A1.3.8'!E$30="","",IF(OR(VLOOKUP($B51,'A1.3.11'!$B$26:$AM$105,Y$22,)="",VLOOKUP($B51,'A1.3.7'!$B$28:$H$118,4,)=""),"",VLOOKUP($B51,'A1.3.11'!$B$26:$AM$105,Y$22,)*(VLOOKUP($B51,'A1.3.7'!$B$28:$O$118,4,)+VLOOKUP($B51,'A1.3.7'!$B$28:$O$118,9,))))</f>
        <v>10.217642397855139</v>
      </c>
      <c r="Z51" s="691">
        <f>IF('A1.3.8'!F$30="","",IF(OR(VLOOKUP($B51,'A1.3.11'!$B$26:$AM$105,Z$22,)="",VLOOKUP($B51,'A1.3.7'!$B$28:$H$118,4,)=""),"",VLOOKUP($B51,'A1.3.11'!$B$26:$AM$105,Z$22,)*(VLOOKUP($B51,'A1.3.7'!$B$28:$O$118,4,)+VLOOKUP($B51,'A1.3.7'!$B$28:$O$118,9,))))</f>
        <v>-0.14740806157160663</v>
      </c>
      <c r="AA51" s="2644">
        <f>IF('A1.3.8'!G$30="","",IF(OR(VLOOKUP($B51,'A1.3.11'!$B$26:$AM$105,AA$22,)="",VLOOKUP($B51,'A1.3.7'!$B$28:$H$118,4,)=""),"",VLOOKUP($B51,'A1.3.11'!$B$26:$AM$105,AA$22,)*(VLOOKUP($B51,'A1.3.7'!$B$28:$O$118,4,)+VLOOKUP($B51,'A1.3.7'!$B$28:$O$118,9,))))</f>
        <v>1.2479617889635953E-3</v>
      </c>
      <c r="AB51" s="693" t="str">
        <f>IF('A1.3.8'!D$37="","",IF(OR(VLOOKUP($B51,'A1.3.11'!$B$26:$AM$105,AB$22,)="",VLOOKUP($B51,'A1.3.7'!$B$28:$H$118,6,)=""),"",VLOOKUP($B51,'A1.3.11'!$B$26:$AM$105,AB$22,)*VLOOKUP($B51,'A1.3.7'!$B$28:$O$118,6,)))</f>
        <v/>
      </c>
      <c r="AC51" s="691">
        <f>IF('A1.3.8'!E$37="","",IF(OR(VLOOKUP($B51,'A1.3.11'!$B$26:$AM$105,AC$22,)="",VLOOKUP($B51,'A1.3.7'!$B$28:$H$118,6,)=""),"",VLOOKUP($B51,'A1.3.11'!$B$26:$AM$105,AC$22,)*VLOOKUP($B51,'A1.3.7'!$B$28:$O$118,6,)))</f>
        <v>4.5145632825273827</v>
      </c>
      <c r="AD51" s="691" t="str">
        <f>IF('A1.3.8'!F$37="","",IF(OR(VLOOKUP($B51,'A1.3.11'!$B$26:$AM$105,AD$22,)="",VLOOKUP($B51,'A1.3.7'!$B$28:$H$118,6,)=""),"",VLOOKUP($B51,'A1.3.11'!$B$26:$AM$105,AD$22,)*VLOOKUP($B51,'A1.3.7'!$B$28:$O$118,6,)))</f>
        <v/>
      </c>
      <c r="AE51" s="1664" t="str">
        <f>IF('A1.3.8'!G$37="","",IF(OR(VLOOKUP($B51,'A1.3.11'!$B$26:$AM$105,AE$22,)="",VLOOKUP($B51,'A1.3.7'!$B$28:$H$118,6,)=""),"",VLOOKUP($B51,'A1.3.11'!$B$26:$AM$105,AE$22,)*VLOOKUP($B51,'A1.3.7'!$B$28:$O$118,6,)))</f>
        <v/>
      </c>
      <c r="AF51" s="693">
        <f>IF(AND(T51="",X51="",AB51=""),"",IF(T51="",0,(T51*VLOOKUP('A1.3.12'!$B51,'A1.3.9'!$B$26:$O$57,6,TRUE))) + IF(X51="",0,(X51*VLOOKUP('A1.3.12'!$B51,'A1.3.9'!$B$26:$O$57,7,TRUE))) + IF(AB51="",0,(AB51*VLOOKUP('A1.3.12'!$B51,'A1.3.9'!$B$26:$O$57,8,TRUE))))</f>
        <v>37.523649298997654</v>
      </c>
      <c r="AG51" s="691">
        <f>IF(AND(U51="",Y51="",AC51=""),"",IF(U51="",0,(U51*VLOOKUP('A1.3.12'!$B51,'A1.3.9'!$B$26:$O$57,6,TRUE))) + IF(Y51="",0,(Y51*VLOOKUP('A1.3.12'!$B51,'A1.3.9'!$B$26:$O$57,7,TRUE))) + IF(AC51="",0,(AC51*VLOOKUP('A1.3.12'!$B51,'A1.3.9'!$B$26:$O$57,8,TRUE))))</f>
        <v>9.6759755737618338</v>
      </c>
      <c r="AH51" s="691">
        <f>IF(AND(V51="",Z51="",AD51=""),"",IF(V51="",0,(V51*VLOOKUP('A1.3.12'!$B51,'A1.3.9'!$B$26:$O$57,6,TRUE))) + IF(Z51="",0,(Z51*VLOOKUP('A1.3.12'!$B51,'A1.3.9'!$B$26:$O$57,7,TRUE))) + IF(AD51="",0,(AD51*VLOOKUP('A1.3.12'!$B51,'A1.3.9'!$B$26:$O$57,8,TRUE))))</f>
        <v>-0.13326863760010824</v>
      </c>
      <c r="AI51" s="2644">
        <f>IF(AND(W51="",AA51="",AE51=""),"",IF(W51="",0,(W51*VLOOKUP('A1.3.12'!$B51,'A1.3.9'!$B$26:$O$57,6,TRUE))) + IF(AA51="",0,(AA51*VLOOKUP('A1.3.12'!$B51,'A1.3.9'!$B$26:$O$57,7,TRUE))) + IF(AE51="",0,(AE51*VLOOKUP('A1.3.12'!$B51,'A1.3.9'!$B$26:$O$57,8,TRUE))))</f>
        <v>1.1250367053826488E-3</v>
      </c>
      <c r="AJ51" s="693">
        <f>IF('A1.3.8'!D$31="","",IF(OR(VLOOKUP($B51,'A1.3.11'!$B$26:$AM$105,AJ$22,)="",VLOOKUP($B51,'A1.3.7'!$B$28:$H$118,4,)=""),"",VLOOKUP($B51,'A1.3.11'!$B$26:$AM$105,AJ$22,)*(VLOOKUP($B51,'A1.3.7'!$B$28:$O$118,4,)+VLOOKUP($B51,'A1.3.7'!$B$28:$O$118,9,))))</f>
        <v>281.8362714623259</v>
      </c>
      <c r="AK51" s="691">
        <f>IF('A1.3.8'!E$31="","",IF(OR(VLOOKUP($B51,'A1.3.11'!$B$26:$AM$105,AK$22,)="",VLOOKUP($B51,'A1.3.7'!$B$28:$H$118,4,)=""),"",VLOOKUP($B51,'A1.3.11'!$B$26:$AM$105,AK$22,)*(VLOOKUP($B51,'A1.3.7'!$B$28:$O$118,4,)+VLOOKUP($B51,'A1.3.7'!$B$28:$O$118,9,))))</f>
        <v>14.953444910521304</v>
      </c>
      <c r="AL51" s="691">
        <f>IF('A1.3.8'!F$31="","",IF(OR(VLOOKUP($B51,'A1.3.11'!$B$26:$AM$105,AL$22,)="",VLOOKUP($B51,'A1.3.7'!$B$28:$H$118,4,)=""),"",VLOOKUP($B51,'A1.3.11'!$B$26:$AM$105,AL$22,)*(VLOOKUP($B51,'A1.3.7'!$B$28:$O$118,4,)+VLOOKUP($B51,'A1.3.7'!$B$28:$O$118,9,))))</f>
        <v>-0.10808359475648603</v>
      </c>
      <c r="AM51" s="2644">
        <f>IF('A1.3.8'!G$31="","",IF(OR(VLOOKUP($B51,'A1.3.11'!$B$26:$AM$105,AM$22,)="",VLOOKUP($B51,'A1.3.7'!$B$28:$H$118,4,)=""),"",VLOOKUP($B51,'A1.3.11'!$B$26:$AM$105,AM$22,)*(VLOOKUP($B51,'A1.3.7'!$B$28:$O$118,4,)+VLOOKUP($B51,'A1.3.7'!$B$28:$O$118,9,))))</f>
        <v>1.1804462752502474E-3</v>
      </c>
      <c r="AN51" s="693" t="str">
        <f>IF('A1.3.8'!D$38="","",IF(OR(VLOOKUP($B51,'A1.3.11'!$B$26:$AM$105,AN$22,)="",VLOOKUP($B51,'A1.3.7'!$B$28:$H$118,6,)=""),"",VLOOKUP($B51,'A1.3.11'!$B$26:$AM$105,AN$22,)*VLOOKUP($B51,'A1.3.7'!$B$28:$O$118,6,)))</f>
        <v/>
      </c>
      <c r="AO51" s="691" t="str">
        <f>IF('A1.3.8'!E$38="","",IF(OR(VLOOKUP($B51,'A1.3.11'!$B$26:$AM$105,AO$22,)="",VLOOKUP($B51,'A1.3.7'!$B$28:$H$118,6,)=""),"",VLOOKUP($B51,'A1.3.11'!$B$26:$AM$105,AO$22,)*VLOOKUP($B51,'A1.3.7'!$B$28:$O$118,6,)))</f>
        <v/>
      </c>
      <c r="AP51" s="691" t="str">
        <f>IF('A1.3.8'!F$38="","",IF(OR(VLOOKUP($B51,'A1.3.11'!$B$26:$AM$105,AP$22,)="",VLOOKUP($B51,'A1.3.7'!$B$28:$H$118,6,)=""),"",VLOOKUP($B51,'A1.3.11'!$B$26:$AM$105,AP$22,)*VLOOKUP($B51,'A1.3.7'!$B$28:$O$118,6,)))</f>
        <v/>
      </c>
      <c r="AQ51" s="1664" t="str">
        <f>IF('A1.3.8'!G$38="","",IF(OR(VLOOKUP($B51,'A1.3.11'!$B$26:$AM$105,AQ$22,)="",VLOOKUP($B51,'A1.3.7'!$B$28:$H$118,6,)=""),"",VLOOKUP($B51,'A1.3.11'!$B$26:$AM$105,AQ$22,)*VLOOKUP($B51,'A1.3.7'!$B$28:$O$118,6,)))</f>
        <v/>
      </c>
      <c r="AR51" s="693">
        <f>IF(AND(AJ51="",AN51=""),"",IF(AJ51="",0,(AJ51*VLOOKUP($B51,'A1.3.9'!$B$26:$O$57,9,TRUE))) + IF(AN51="",0,(AN51*VLOOKUP($B51,'A1.3.9'!$B$26:$O$57,10,TRUE))))</f>
        <v>281.8362714623259</v>
      </c>
      <c r="AS51" s="691">
        <f>IF(AND(AK51="",AO51=""),"",IF(AK51="",0,(AK51*VLOOKUP($B51,'A1.3.9'!$B$26:$O$57,9,TRUE))) + IF(AO51="",0,(AO51*VLOOKUP($B51,'A1.3.9'!$B$26:$O$57,10,TRUE))))</f>
        <v>14.953444910521304</v>
      </c>
      <c r="AT51" s="691">
        <f>IF(AND(AL51="",AP51=""),"",IF(AL51="",0,(AL51*VLOOKUP($B51,'A1.3.9'!$B$26:$O$57,9,TRUE))) + IF(AP51="",0,(AP51*VLOOKUP($B51,'A1.3.9'!$B$26:$O$57,10,TRUE))))</f>
        <v>-0.10808359475648603</v>
      </c>
      <c r="AU51" s="2644">
        <f>IF(AND(AM51="",AQ51=""),"",IF(AM51="",0,(AM51*VLOOKUP($B51,'A1.3.9'!$B$26:$O$57,9,TRUE))) + IF(AQ51="",0,(AQ51*VLOOKUP($B51,'A1.3.9'!$B$26:$O$57,10,TRUE))))</f>
        <v>1.1804462752502474E-3</v>
      </c>
      <c r="AV51" s="693">
        <f>IF('A1.3.8'!D$32="","",IF(OR(VLOOKUP($B51,'A1.3.11'!$B$26:$AM$105,AV$22,)="",VLOOKUP($B51,'A1.3.7'!$B$28:$H$118,4,)=""),"",VLOOKUP($B51,'A1.3.11'!$B$26:$AM$105,AV$22,)*(VLOOKUP($B51,'A1.3.7'!$B$28:$O$118,4,)+VLOOKUP($B51,'A1.3.7'!$B$28:$O$118,9,))))</f>
        <v>592.21144631891798</v>
      </c>
      <c r="AW51" s="691">
        <f>IF('A1.3.8'!E$32="","",IF(OR(VLOOKUP($B51,'A1.3.11'!$B$26:$AM$105,AW$22,)="",VLOOKUP($B51,'A1.3.7'!$B$28:$H$118,4,)=""),"",VLOOKUP($B51,'A1.3.11'!$B$26:$AM$105,AW$22,)*(VLOOKUP($B51,'A1.3.7'!$B$28:$O$118,4,)+VLOOKUP($B51,'A1.3.7'!$B$28:$O$118,9,))))</f>
        <v>30.754589747776166</v>
      </c>
      <c r="AX51" s="691">
        <f>IF('A1.3.8'!F$32="","",IF(OR(VLOOKUP($B51,'A1.3.11'!$B$26:$AM$105,AX$22,)="",VLOOKUP($B51,'A1.3.7'!$B$28:$H$118,4,)=""),"",VLOOKUP($B51,'A1.3.11'!$B$26:$AM$105,AX$22,)*(VLOOKUP($B51,'A1.3.7'!$B$28:$O$118,4,)+VLOOKUP($B51,'A1.3.7'!$B$28:$O$118,9,))))</f>
        <v>-0.20376533593983376</v>
      </c>
      <c r="AY51" s="2644">
        <f>IF('A1.3.8'!G$32="","",IF(OR(VLOOKUP($B51,'A1.3.11'!$B$26:$AM$105,AY$22,)="",VLOOKUP($B51,'A1.3.7'!$B$28:$H$118,4,)=""),"",VLOOKUP($B51,'A1.3.11'!$B$26:$AM$105,AY$22,)*(VLOOKUP($B51,'A1.3.7'!$B$28:$O$118,4,)+VLOOKUP($B51,'A1.3.7'!$B$28:$O$118,9,))))</f>
        <v>1.2145261344020204E-3</v>
      </c>
      <c r="AZ51" s="693" t="str">
        <f>IF('A1.3.8'!D$39="","",IF(OR(VLOOKUP($B51,'A1.3.11'!$B$26:$AM$105,AZ$22,)="",VLOOKUP($B51,'A1.3.7'!$B$28:$H$118,6,)=""),"",VLOOKUP($B51,'A1.3.11'!$B$26:$AM$105,AZ$22,)*VLOOKUP($B51,'A1.3.7'!$B$28:$O$118,6,)))</f>
        <v/>
      </c>
      <c r="BA51" s="691" t="str">
        <f>IF('A1.3.8'!E$39="","",IF(OR(VLOOKUP($B51,'A1.3.11'!$B$26:$AM$105,BA$22,)="",VLOOKUP($B51,'A1.3.7'!$B$28:$H$118,6,)=""),"",VLOOKUP($B51,'A1.3.11'!$B$26:$AM$105,BA$22,)*VLOOKUP($B51,'A1.3.7'!$B$28:$O$118,6,)))</f>
        <v/>
      </c>
      <c r="BB51" s="691" t="str">
        <f>IF('A1.3.8'!F$39="","",IF(OR(VLOOKUP($B51,'A1.3.11'!$B$26:$AM$105,BB$22,)="",VLOOKUP($B51,'A1.3.7'!$B$28:$H$118,6,)=""),"",VLOOKUP($B51,'A1.3.11'!$B$26:$AM$105,BB$22,)*VLOOKUP($B51,'A1.3.7'!$B$28:$O$118,6,)))</f>
        <v/>
      </c>
      <c r="BC51" s="1664" t="str">
        <f>IF('A1.3.8'!G$39="","",IF(OR(VLOOKUP($B51,'A1.3.11'!$B$26:$AM$105,BC$22,)="",VLOOKUP($B51,'A1.3.7'!$B$28:$H$118,6,)=""),"",VLOOKUP($B51,'A1.3.11'!$B$26:$AM$105,BC$22,)*VLOOKUP($B51,'A1.3.7'!$B$28:$O$118,6,)))</f>
        <v/>
      </c>
      <c r="BD51" s="693">
        <f>IF(AND(AV51="",AZ51=""),"",IF(AV51="",0,(AV51*VLOOKUP($B51,'A1.3.9'!$B$26:$O$57,9,TRUE))) + IF(AZ51="",0,(AZ51*VLOOKUP($B51,'A1.3.9'!$B$26:$O$57,10,TRUE))))</f>
        <v>592.21144631891798</v>
      </c>
      <c r="BE51" s="691">
        <f>IF(AND(AW51="",BA51=""),"",IF(AW51="",0,(AW51*VLOOKUP($B51,'A1.3.9'!$B$26:$O$57,9,TRUE))) + IF(BA51="",0,(BA51*VLOOKUP($B51,'A1.3.9'!$B$26:$O$57,10,TRUE))))</f>
        <v>30.754589747776166</v>
      </c>
      <c r="BF51" s="691">
        <f>IF(AND(AX51="",BB51=""),"",IF(AX51="",0,(AX51*VLOOKUP($B51,'A1.3.9'!$B$26:$O$57,9,TRUE))) + IF(BB51="",0,(BB51*VLOOKUP($B51,'A1.3.9'!$B$26:$O$57,10,TRUE))))</f>
        <v>-0.20376533593983376</v>
      </c>
      <c r="BG51" s="2644">
        <f>IF(AND(AY51="",BC51=""),"",IF(AY51="",0,(AY51*VLOOKUP($B51,'A1.3.9'!$B$26:$O$57,9,TRUE))) + IF(BC51="",0,(BC51*VLOOKUP($B51,'A1.3.9'!$B$26:$O$57,10,TRUE))))</f>
        <v>1.2145261344020204E-3</v>
      </c>
      <c r="BH51" s="693">
        <f>IF('A1.3.8'!D$33="","",IF(OR(VLOOKUP($B51,'A1.3.11'!$B$26:$AM$105,BH$22,)="",VLOOKUP($B51,'A1.3.7'!$B$28:$H$118,4,)=""),"",VLOOKUP($B51,'A1.3.11'!$B$26:$AM$105,BH$22,)*(VLOOKUP($B51,'A1.3.7'!$B$28:$O$118,4,)+VLOOKUP($B51,'A1.3.7'!$B$28:$O$118,9,))))</f>
        <v>351.23239051059386</v>
      </c>
      <c r="BI51" s="691">
        <f>IF('A1.3.8'!E$33="","",IF(OR(VLOOKUP($B51,'A1.3.11'!$B$26:$AM$105,BI$22,)="",VLOOKUP($B51,'A1.3.7'!$B$28:$H$118,4,)=""),"",VLOOKUP($B51,'A1.3.11'!$B$26:$AM$105,BI$22,)*(VLOOKUP($B51,'A1.3.7'!$B$28:$O$118,4,)+VLOOKUP($B51,'A1.3.7'!$B$28:$O$118,9,))))</f>
        <v>30.861719160240803</v>
      </c>
      <c r="BJ51" s="691">
        <f>IF('A1.3.8'!F$33="","",IF(OR(VLOOKUP($B51,'A1.3.11'!$B$26:$AM$105,BJ$22,)="",VLOOKUP($B51,'A1.3.7'!$B$28:$H$118,4,)=""),"",VLOOKUP($B51,'A1.3.11'!$B$26:$AM$105,BJ$22,)*(VLOOKUP($B51,'A1.3.7'!$B$28:$O$118,4,)+VLOOKUP($B51,'A1.3.7'!$B$28:$O$118,9,))))</f>
        <v>-0.33543938044801247</v>
      </c>
      <c r="BK51" s="2644">
        <f>IF('A1.3.8'!G$33="","",IF(OR(VLOOKUP($B51,'A1.3.11'!$B$26:$AM$105,BK$22,)="",VLOOKUP($B51,'A1.3.7'!$B$28:$H$118,4,)=""),"",VLOOKUP($B51,'A1.3.11'!$B$26:$AM$105,BK$22,)*(VLOOKUP($B51,'A1.3.7'!$B$28:$O$118,4,)+VLOOKUP($B51,'A1.3.7'!$B$28:$O$118,9,))))</f>
        <v>2.4605849665477603E-3</v>
      </c>
      <c r="BL51" s="693" t="str">
        <f>IF('A1.3.8'!D$40="","",IF(OR(VLOOKUP($B51,'A1.3.11'!$B$26:$AM$105,BL$22,)="",VLOOKUP($B51,'A1.3.7'!$B$28:$H$118,6,)=""),"",VLOOKUP($B51,'A1.3.11'!$B$26:$AM$105,BL$22,)*VLOOKUP($B51,'A1.3.7'!$B$28:$O$118,6,)))</f>
        <v/>
      </c>
      <c r="BM51" s="691" t="str">
        <f>IF('A1.3.8'!E$40="","",IF(OR(VLOOKUP($B51,'A1.3.11'!$B$26:$AM$105,BM$22,)="",VLOOKUP($B51,'A1.3.7'!$B$28:$H$118,6,)=""),"",VLOOKUP($B51,'A1.3.11'!$B$26:$AM$105,BM$22,)*VLOOKUP($B51,'A1.3.7'!$B$28:$O$118,6,)))</f>
        <v/>
      </c>
      <c r="BN51" s="691" t="str">
        <f>IF('A1.3.8'!F$40="","",IF(OR(VLOOKUP($B51,'A1.3.11'!$B$26:$AM$105,BN$22,)="",VLOOKUP($B51,'A1.3.7'!$B$28:$H$118,6,)=""),"",VLOOKUP($B51,'A1.3.11'!$B$26:$AM$105,BN$22,)*VLOOKUP($B51,'A1.3.7'!$B$28:$O$118,6,)))</f>
        <v/>
      </c>
      <c r="BO51" s="1664" t="str">
        <f>IF('A1.3.8'!G$40="","",IF(OR(VLOOKUP($B51,'A1.3.11'!$B$26:$AM$105,BO$22,)="",VLOOKUP($B51,'A1.3.7'!$B$28:$H$118,6,)=""),"",VLOOKUP($B51,'A1.3.11'!$B$26:$AM$105,BO$22,)*VLOOKUP($B51,'A1.3.7'!$B$28:$O$118,6,)))</f>
        <v/>
      </c>
      <c r="BP51" s="693">
        <f>IF(AND(BH51="",BL51=""),"",IF(BH51="",0,(BH51*VLOOKUP($B51,'A1.3.9'!$B$26:$O$57,9,TRUE))) + IF(BL51="",0,(BL51*VLOOKUP($B51,'A1.3.9'!$B$26:$O$57,10,TRUE))))</f>
        <v>351.23239051059386</v>
      </c>
      <c r="BQ51" s="691">
        <f>IF(AND(BI51="",BM51=""),"",IF(BI51="",0,(BI51*VLOOKUP($B51,'A1.3.9'!$B$26:$O$57,9,TRUE))) + IF(BM51="",0,(BM51*VLOOKUP($B51,'A1.3.9'!$B$26:$O$57,10,TRUE))))</f>
        <v>30.861719160240803</v>
      </c>
      <c r="BR51" s="691">
        <f>IF(AND(BJ51="",BN51=""),"",IF(BJ51="",0,(BJ51*VLOOKUP($B51,'A1.3.9'!$B$26:$O$57,9,TRUE))) + IF(BN51="",0,(BN51*VLOOKUP($B51,'A1.3.9'!$B$26:$O$57,10,TRUE))))</f>
        <v>-0.33543938044801247</v>
      </c>
      <c r="BS51" s="2644">
        <f>IF(AND(BK51="",BO51=""),"",IF(BK51="",0,(BK51*VLOOKUP($B51,'A1.3.9'!$B$26:$O$57,9,TRUE))) + IF(BO51="",0,(BO51*VLOOKUP($B51,'A1.3.9'!$B$26:$O$57,10,TRUE))))</f>
        <v>2.4605849665477603E-3</v>
      </c>
    </row>
    <row r="52" spans="1:71" s="26" customFormat="1" ht="13.5" customHeight="1">
      <c r="A52" s="113"/>
      <c r="B52" s="614">
        <f t="shared" si="0"/>
        <v>2035</v>
      </c>
      <c r="C52" s="147"/>
      <c r="D52" s="693">
        <f>IF('A1.3.8'!D$27="","",IF(OR(VLOOKUP($B52,'A1.3.11'!$B$26:$AM$105,D$22,)="",VLOOKUP($B52,'A1.3.7'!$B$28:$H$118,3,)=""),"",VLOOKUP($B52,'A1.3.11'!$B$26:$AM$105,D$22,)*(VLOOKUP($B52,'A1.3.7'!$B$28:$O$118,3,)+VLOOKUP($B52,'A1.3.7'!$B$28:$O$118,8,))))</f>
        <v>33.018174765362716</v>
      </c>
      <c r="E52" s="691">
        <f>IF('A1.3.8'!E$27="","",IF(OR(VLOOKUP($B52,'A1.3.11'!$B$26:$AM$105,E$22,)="",VLOOKUP($B52,'A1.3.7'!$B$28:$H$118,3,)=""),"",VLOOKUP($B52,'A1.3.11'!$B$26:$AM$105,E$22,)*(VLOOKUP($B52,'A1.3.7'!$B$28:$O$118,3,)+VLOOKUP($B52,'A1.3.7'!$B$28:$O$118,8,))))</f>
        <v>7.0168977224216791</v>
      </c>
      <c r="F52" s="691">
        <f>IF('A1.3.8'!F$27="","",IF(OR(VLOOKUP($B52,'A1.3.11'!$B$26:$AM$105,F$22,)="",VLOOKUP($B52,'A1.3.7'!$B$28:$H$118,3,)=""),"",VLOOKUP($B52,'A1.3.11'!$B$26:$AM$105,F$22,)*(VLOOKUP($B52,'A1.3.7'!$B$28:$O$118,3,)+VLOOKUP($B52,'A1.3.7'!$B$28:$O$118,8,))))</f>
        <v>-7.9930786296999845E-2</v>
      </c>
      <c r="G52" s="2644">
        <f>IF('A1.3.8'!G$27="","",IF(OR(VLOOKUP($B52,'A1.3.11'!$B$26:$AM$105,G$22,)="",VLOOKUP($B52,'A1.3.7'!$B$28:$H$118,3,)=""),"",VLOOKUP($B52,'A1.3.11'!$B$26:$AM$105,G$22,)*(VLOOKUP($B52,'A1.3.7'!$B$28:$O$118,3,)+VLOOKUP($B52,'A1.3.7'!$B$28:$O$118,8,))))</f>
        <v>5.2937516630556904E-4</v>
      </c>
      <c r="H52" s="693">
        <f>IF('A1.3.8'!D$28="","",IF(OR(VLOOKUP($B52,'A1.3.11'!$B$26:$AM$105,H$22,)="",VLOOKUP($B52,'A1.3.7'!$B$28:$H$118,4,)=""),"",VLOOKUP($B52,'A1.3.11'!$B$26:$AM$105,H$22,)*(VLOOKUP($B52,'A1.3.7'!$B$28:$O$118,4,)+VLOOKUP($B52,'A1.3.7'!$B$28:$O$118,9,))))</f>
        <v>40.804922356997096</v>
      </c>
      <c r="I52" s="691">
        <f>IF('A1.3.8'!E$28="","",IF(OR(VLOOKUP($B52,'A1.3.11'!$B$26:$AM$105,I$22,)="",VLOOKUP($B52,'A1.3.7'!$B$28:$H$118,4,)=""),"",VLOOKUP($B52,'A1.3.11'!$B$26:$AM$105,I$22,)*(VLOOKUP($B52,'A1.3.7'!$B$28:$O$118,4,)+VLOOKUP($B52,'A1.3.7'!$B$28:$O$118,9,))))</f>
        <v>5.8504167614107701</v>
      </c>
      <c r="J52" s="691">
        <f>IF('A1.3.8'!F$28="","",IF(OR(VLOOKUP($B52,'A1.3.11'!$B$26:$AM$105,J$22,)="",VLOOKUP($B52,'A1.3.7'!$B$28:$H$118,4,)=""),"",VLOOKUP($B52,'A1.3.11'!$B$26:$AM$105,J$22,)*(VLOOKUP($B52,'A1.3.7'!$B$28:$O$118,4,)+VLOOKUP($B52,'A1.3.7'!$B$28:$O$118,9,))))</f>
        <v>-5.6282639057814068E-2</v>
      </c>
      <c r="K52" s="2644">
        <f>IF('A1.3.8'!G$28="","",IF(OR(VLOOKUP($B52,'A1.3.11'!$B$26:$AM$105,K$22,)="",VLOOKUP($B52,'A1.3.7'!$B$28:$H$118,4,)=""),"",VLOOKUP($B52,'A1.3.11'!$B$26:$AM$105,K$22,)*(VLOOKUP($B52,'A1.3.7'!$B$28:$O$118,4,)+VLOOKUP($B52,'A1.3.7'!$B$28:$O$118,9,))))</f>
        <v>4.4351001951771209E-4</v>
      </c>
      <c r="L52" s="693" t="str">
        <f>IF('A1.3.8'!D$36="","",IF(OR(VLOOKUP($B52,'A1.3.11'!$B$26:$AM$105,L$22,)="",VLOOKUP($B52,'A1.3.7'!$B$28:$H$118,6,)=""),"",VLOOKUP($B52,'A1.3.11'!$B$26:$AM$105,L$22,)*VLOOKUP($B52,'A1.3.7'!$B$28:$O$118,6,)))</f>
        <v/>
      </c>
      <c r="M52" s="691">
        <f>IF('A1.3.8'!E$36="","",IF(OR(VLOOKUP($B52,'A1.3.11'!$B$26:$AM$105,M$22,)="",VLOOKUP($B52,'A1.3.7'!$B$28:$H$118,6,)=""),"",VLOOKUP($B52,'A1.3.11'!$B$26:$AM$105,M$22,)*VLOOKUP($B52,'A1.3.7'!$B$28:$O$118,6,)))</f>
        <v>1.9896850049553587</v>
      </c>
      <c r="N52" s="691" t="str">
        <f>IF('A1.3.8'!F$36="","",IF(OR(VLOOKUP($B52,'A1.3.11'!$B$26:$AM$105,N$22,)="",VLOOKUP($B52,'A1.3.7'!$B$28:$H$118,6,)=""),"",VLOOKUP($B52,'A1.3.11'!$B$26:$AM$105,N$22,)*VLOOKUP($B52,'A1.3.7'!$B$28:$O$118,6,)))</f>
        <v/>
      </c>
      <c r="O52" s="1664" t="str">
        <f>IF('A1.3.8'!G$36="","",IF(OR(VLOOKUP($B52,'A1.3.11'!$B$26:$AM$105,O$22,)="",VLOOKUP($B52,'A1.3.7'!$B$28:$H$118,6,)=""),"",VLOOKUP($B52,'A1.3.11'!$B$26:$AM$105,O$22,)*VLOOKUP($B52,'A1.3.7'!$B$28:$O$118,6,)))</f>
        <v/>
      </c>
      <c r="P52" s="693">
        <f>IF(AND(D52="",H52="",L52=""),"",IF(D52="",0,(D52*VLOOKUP($B52,'A1.3.9'!$B$26:$O$57,3,TRUE)))+IF(H52="",0,(H52*VLOOKUP($B52,'A1.3.9'!$B$26:$O$57,4,TRUE)))+IF(L52="",0,(L52*VLOOKUP($B52,'A1.3.9'!$B$26:$O$57,5,TRUE))))</f>
        <v>27.416169172811337</v>
      </c>
      <c r="Q52" s="691">
        <f>IF(AND(E52="",I52="",M52=""),"",IF(E52="",0,(E52*VLOOKUP($B52,'A1.3.9'!$B$26:$O$57,3,TRUE)))+IF(I52="",0,(I52*VLOOKUP($B52,'A1.3.9'!$B$26:$O$57,4,TRUE)))+IF(M52="",0,(M52*VLOOKUP($B52,'A1.3.9'!$B$26:$O$57,5,TRUE))))</f>
        <v>5.4381801006675543</v>
      </c>
      <c r="R52" s="691">
        <f>IF(AND(F52="",J52="",N52=""),"",IF(F52="",0,(F52*VLOOKUP($B52,'A1.3.9'!$B$26:$O$57,3,TRUE)))+IF(J52="",0,(J52*VLOOKUP($B52,'A1.3.9'!$B$26:$O$57,4,TRUE)))+IF(N52="",0,(N52*VLOOKUP($B52,'A1.3.9'!$B$26:$O$57,5,TRUE))))</f>
        <v>-5.3255580420449276E-2</v>
      </c>
      <c r="S52" s="2644">
        <f>IF(AND(G52="",K52="",O52=""),"",IF(G52="",0,(G52*VLOOKUP($B52,'A1.3.9'!$B$26:$O$57,3,TRUE)))+IF(K52="",0,(K52*VLOOKUP($B52,'A1.3.9'!$B$26:$O$57,4,TRUE)))+IF(O52="",0,(O52*VLOOKUP($B52,'A1.3.9'!$B$26:$O$57,5,TRUE))))</f>
        <v>3.7454030378564478E-4</v>
      </c>
      <c r="T52" s="693">
        <f>IF('A1.3.8'!D$29="","",IF(OR(VLOOKUP($B52,'A1.3.11'!$B$26:$AM$105,T$22,)="",VLOOKUP($B52,'A1.3.7'!$B$28:$H$118,3,)=""),"",VLOOKUP($B52,'A1.3.11'!$B$26:$AM$105,T$22,)*(VLOOKUP($B52,'A1.3.7'!$B$28:$O$118,3,)+VLOOKUP($B52,'A1.3.7'!$B$28:$O$118,8,))))</f>
        <v>23.727459089514007</v>
      </c>
      <c r="U52" s="691">
        <f>IF('A1.3.8'!E$29="","",IF(OR(VLOOKUP($B52,'A1.3.11'!$B$26:$AM$105,U$22,)="",VLOOKUP($B52,'A1.3.7'!$B$28:$H$118,3,)=""),"",VLOOKUP($B52,'A1.3.11'!$B$26:$AM$105,U$22,)*(VLOOKUP($B52,'A1.3.7'!$B$28:$O$118,3,)+VLOOKUP($B52,'A1.3.7'!$B$28:$O$118,8,))))</f>
        <v>13.304985559889921</v>
      </c>
      <c r="V52" s="691">
        <f>IF('A1.3.8'!F$29="","",IF(OR(VLOOKUP($B52,'A1.3.11'!$B$26:$AM$105,V$22,)="",VLOOKUP($B52,'A1.3.7'!$B$28:$H$118,3,)=""),"",VLOOKUP($B52,'A1.3.11'!$B$26:$AM$105,V$22,)*(VLOOKUP($B52,'A1.3.7'!$B$28:$O$118,3,)+VLOOKUP($B52,'A1.3.7'!$B$28:$O$118,8,))))</f>
        <v>-0.20884460107799496</v>
      </c>
      <c r="W52" s="2644">
        <f>IF('A1.3.8'!G$29="","",IF(OR(VLOOKUP($B52,'A1.3.11'!$B$26:$AM$105,W$22,)="",VLOOKUP($B52,'A1.3.7'!$B$28:$H$118,3,)=""),"",VLOOKUP($B52,'A1.3.11'!$B$26:$AM$105,W$22,)*(VLOOKUP($B52,'A1.3.7'!$B$28:$O$118,3,)+VLOOKUP($B52,'A1.3.7'!$B$28:$O$118,8,))))</f>
        <v>1.3487262387733622E-3</v>
      </c>
      <c r="X52" s="693">
        <f>IF('A1.3.8'!D$30="","",IF(OR(VLOOKUP($B52,'A1.3.11'!$B$26:$AM$105,X$22,)="",VLOOKUP($B52,'A1.3.7'!$B$28:$H$118,4,)=""),"",VLOOKUP($B52,'A1.3.11'!$B$26:$AM$105,X$22,)*(VLOOKUP($B52,'A1.3.7'!$B$28:$O$118,4,)+VLOOKUP($B52,'A1.3.7'!$B$28:$O$118,9,))))</f>
        <v>41.95264141459986</v>
      </c>
      <c r="Y52" s="691">
        <f>IF('A1.3.8'!E$30="","",IF(OR(VLOOKUP($B52,'A1.3.11'!$B$26:$AM$105,Y$22,)="",VLOOKUP($B52,'A1.3.7'!$B$28:$H$118,4,)=""),"",VLOOKUP($B52,'A1.3.11'!$B$26:$AM$105,Y$22,)*(VLOOKUP($B52,'A1.3.7'!$B$28:$O$118,4,)+VLOOKUP($B52,'A1.3.7'!$B$28:$O$118,9,))))</f>
        <v>10.253396532658796</v>
      </c>
      <c r="Z52" s="691">
        <f>IF('A1.3.8'!F$30="","",IF(OR(VLOOKUP($B52,'A1.3.11'!$B$26:$AM$105,Z$22,)="",VLOOKUP($B52,'A1.3.7'!$B$28:$H$118,4,)=""),"",VLOOKUP($B52,'A1.3.11'!$B$26:$AM$105,Z$22,)*(VLOOKUP($B52,'A1.3.7'!$B$28:$O$118,4,)+VLOOKUP($B52,'A1.3.7'!$B$28:$O$118,9,))))</f>
        <v>-0.14792387994725098</v>
      </c>
      <c r="AA52" s="2644">
        <f>IF('A1.3.8'!G$30="","",IF(OR(VLOOKUP($B52,'A1.3.11'!$B$26:$AM$105,AA$22,)="",VLOOKUP($B52,'A1.3.7'!$B$28:$H$118,4,)=""),"",VLOOKUP($B52,'A1.3.11'!$B$26:$AM$105,AA$22,)*(VLOOKUP($B52,'A1.3.7'!$B$28:$O$118,4,)+VLOOKUP($B52,'A1.3.7'!$B$28:$O$118,9,))))</f>
        <v>1.2523287253169151E-3</v>
      </c>
      <c r="AB52" s="693" t="str">
        <f>IF('A1.3.8'!D$37="","",IF(OR(VLOOKUP($B52,'A1.3.11'!$B$26:$AM$105,AB$22,)="",VLOOKUP($B52,'A1.3.7'!$B$28:$H$118,6,)=""),"",VLOOKUP($B52,'A1.3.11'!$B$26:$AM$105,AB$22,)*VLOOKUP($B52,'A1.3.7'!$B$28:$O$118,6,)))</f>
        <v/>
      </c>
      <c r="AC52" s="691">
        <f>IF('A1.3.8'!E$37="","",IF(OR(VLOOKUP($B52,'A1.3.11'!$B$26:$AM$105,AC$22,)="",VLOOKUP($B52,'A1.3.7'!$B$28:$H$118,6,)=""),"",VLOOKUP($B52,'A1.3.11'!$B$26:$AM$105,AC$22,)*VLOOKUP($B52,'A1.3.7'!$B$28:$O$118,6,)))</f>
        <v>4.5145632825273827</v>
      </c>
      <c r="AD52" s="691" t="str">
        <f>IF('A1.3.8'!F$37="","",IF(OR(VLOOKUP($B52,'A1.3.11'!$B$26:$AM$105,AD$22,)="",VLOOKUP($B52,'A1.3.7'!$B$28:$H$118,6,)=""),"",VLOOKUP($B52,'A1.3.11'!$B$26:$AM$105,AD$22,)*VLOOKUP($B52,'A1.3.7'!$B$28:$O$118,6,)))</f>
        <v/>
      </c>
      <c r="AE52" s="1664" t="str">
        <f>IF('A1.3.8'!G$37="","",IF(OR(VLOOKUP($B52,'A1.3.11'!$B$26:$AM$105,AE$22,)="",VLOOKUP($B52,'A1.3.7'!$B$28:$H$118,6,)=""),"",VLOOKUP($B52,'A1.3.11'!$B$26:$AM$105,AE$22,)*VLOOKUP($B52,'A1.3.7'!$B$28:$O$118,6,)))</f>
        <v/>
      </c>
      <c r="AF52" s="693">
        <f>IF(AND(T52="",X52="",AB52=""),"",IF(T52="",0,(T52*VLOOKUP('A1.3.12'!$B52,'A1.3.9'!$B$26:$O$57,6,TRUE))) + IF(X52="",0,(X52*VLOOKUP('A1.3.12'!$B52,'A1.3.9'!$B$26:$O$57,7,TRUE))) + IF(AB52="",0,(AB52*VLOOKUP('A1.3.12'!$B52,'A1.3.9'!$B$26:$O$57,8,TRUE))))</f>
        <v>37.22395919945064</v>
      </c>
      <c r="AG52" s="691">
        <f>IF(AND(U52="",Y52="",AC52=""),"",IF(U52="",0,(U52*VLOOKUP('A1.3.12'!$B52,'A1.3.9'!$B$26:$O$57,6,TRUE))) + IF(Y52="",0,(Y52*VLOOKUP('A1.3.12'!$B52,'A1.3.9'!$B$26:$O$57,7,TRUE))) + IF(AC52="",0,(AC52*VLOOKUP('A1.3.12'!$B52,'A1.3.9'!$B$26:$O$57,8,TRUE))))</f>
        <v>9.6485814493253237</v>
      </c>
      <c r="AH52" s="691">
        <f>IF(AND(V52="",Z52="",AD52=""),"",IF(V52="",0,(V52*VLOOKUP('A1.3.12'!$B52,'A1.3.9'!$B$26:$O$57,6,TRUE))) + IF(Z52="",0,(Z52*VLOOKUP('A1.3.12'!$B52,'A1.3.9'!$B$26:$O$57,7,TRUE))) + IF(AD52="",0,(AD52*VLOOKUP('A1.3.12'!$B52,'A1.3.9'!$B$26:$O$57,8,TRUE))))</f>
        <v>-0.13219972664572149</v>
      </c>
      <c r="AI52" s="2644">
        <f>IF(AND(W52="",AA52="",AE52=""),"",IF(W52="",0,(W52*VLOOKUP('A1.3.12'!$B52,'A1.3.9'!$B$26:$O$57,6,TRUE))) + IF(AA52="",0,(AA52*VLOOKUP('A1.3.12'!$B52,'A1.3.9'!$B$26:$O$57,7,TRUE))) + IF(AE52="",0,(AE52*VLOOKUP('A1.3.12'!$B52,'A1.3.9'!$B$26:$O$57,8,TRUE))))</f>
        <v>1.1160281772770334E-3</v>
      </c>
      <c r="AJ52" s="693">
        <f>IF('A1.3.8'!D$31="","",IF(OR(VLOOKUP($B52,'A1.3.11'!$B$26:$AM$105,AJ$22,)="",VLOOKUP($B52,'A1.3.7'!$B$28:$H$118,4,)=""),"",VLOOKUP($B52,'A1.3.11'!$B$26:$AM$105,AJ$22,)*(VLOOKUP($B52,'A1.3.7'!$B$28:$O$118,4,)+VLOOKUP($B52,'A1.3.7'!$B$28:$O$118,9,))))</f>
        <v>283.16658574571505</v>
      </c>
      <c r="AK52" s="691">
        <f>IF('A1.3.8'!E$31="","",IF(OR(VLOOKUP($B52,'A1.3.11'!$B$26:$AM$105,AK$22,)="",VLOOKUP($B52,'A1.3.7'!$B$28:$H$118,4,)=""),"",VLOOKUP($B52,'A1.3.11'!$B$26:$AM$105,AK$22,)*(VLOOKUP($B52,'A1.3.7'!$B$28:$O$118,4,)+VLOOKUP($B52,'A1.3.7'!$B$28:$O$118,9,))))</f>
        <v>15.024027668542921</v>
      </c>
      <c r="AL52" s="691">
        <f>IF('A1.3.8'!F$31="","",IF(OR(VLOOKUP($B52,'A1.3.11'!$B$26:$AM$105,AL$22,)="",VLOOKUP($B52,'A1.3.7'!$B$28:$H$118,4,)=""),"",VLOOKUP($B52,'A1.3.11'!$B$26:$AM$105,AL$22,)*(VLOOKUP($B52,'A1.3.7'!$B$28:$O$118,4,)+VLOOKUP($B52,'A1.3.7'!$B$28:$O$118,9,))))</f>
        <v>-0.10859376737961422</v>
      </c>
      <c r="AM52" s="2644">
        <f>IF('A1.3.8'!G$31="","",IF(OR(VLOOKUP($B52,'A1.3.11'!$B$26:$AM$105,AM$22,)="",VLOOKUP($B52,'A1.3.7'!$B$28:$H$118,4,)=""),"",VLOOKUP($B52,'A1.3.11'!$B$26:$AM$105,AM$22,)*(VLOOKUP($B52,'A1.3.7'!$B$28:$O$118,4,)+VLOOKUP($B52,'A1.3.7'!$B$28:$O$118,9,))))</f>
        <v>1.1860181788685825E-3</v>
      </c>
      <c r="AN52" s="693" t="str">
        <f>IF('A1.3.8'!D$38="","",IF(OR(VLOOKUP($B52,'A1.3.11'!$B$26:$AM$105,AN$22,)="",VLOOKUP($B52,'A1.3.7'!$B$28:$H$118,6,)=""),"",VLOOKUP($B52,'A1.3.11'!$B$26:$AM$105,AN$22,)*VLOOKUP($B52,'A1.3.7'!$B$28:$O$118,6,)))</f>
        <v/>
      </c>
      <c r="AO52" s="691" t="str">
        <f>IF('A1.3.8'!E$38="","",IF(OR(VLOOKUP($B52,'A1.3.11'!$B$26:$AM$105,AO$22,)="",VLOOKUP($B52,'A1.3.7'!$B$28:$H$118,6,)=""),"",VLOOKUP($B52,'A1.3.11'!$B$26:$AM$105,AO$22,)*VLOOKUP($B52,'A1.3.7'!$B$28:$O$118,6,)))</f>
        <v/>
      </c>
      <c r="AP52" s="691" t="str">
        <f>IF('A1.3.8'!F$38="","",IF(OR(VLOOKUP($B52,'A1.3.11'!$B$26:$AM$105,AP$22,)="",VLOOKUP($B52,'A1.3.7'!$B$28:$H$118,6,)=""),"",VLOOKUP($B52,'A1.3.11'!$B$26:$AM$105,AP$22,)*VLOOKUP($B52,'A1.3.7'!$B$28:$O$118,6,)))</f>
        <v/>
      </c>
      <c r="AQ52" s="1664" t="str">
        <f>IF('A1.3.8'!G$38="","",IF(OR(VLOOKUP($B52,'A1.3.11'!$B$26:$AM$105,AQ$22,)="",VLOOKUP($B52,'A1.3.7'!$B$28:$H$118,6,)=""),"",VLOOKUP($B52,'A1.3.11'!$B$26:$AM$105,AQ$22,)*VLOOKUP($B52,'A1.3.7'!$B$28:$O$118,6,)))</f>
        <v/>
      </c>
      <c r="AR52" s="693">
        <f>IF(AND(AJ52="",AN52=""),"",IF(AJ52="",0,(AJ52*VLOOKUP($B52,'A1.3.9'!$B$26:$O$57,9,TRUE))) + IF(AN52="",0,(AN52*VLOOKUP($B52,'A1.3.9'!$B$26:$O$57,10,TRUE))))</f>
        <v>283.16658574571505</v>
      </c>
      <c r="AS52" s="691">
        <f>IF(AND(AK52="",AO52=""),"",IF(AK52="",0,(AK52*VLOOKUP($B52,'A1.3.9'!$B$26:$O$57,9,TRUE))) + IF(AO52="",0,(AO52*VLOOKUP($B52,'A1.3.9'!$B$26:$O$57,10,TRUE))))</f>
        <v>15.024027668542921</v>
      </c>
      <c r="AT52" s="691">
        <f>IF(AND(AL52="",AP52=""),"",IF(AL52="",0,(AL52*VLOOKUP($B52,'A1.3.9'!$B$26:$O$57,9,TRUE))) + IF(AP52="",0,(AP52*VLOOKUP($B52,'A1.3.9'!$B$26:$O$57,10,TRUE))))</f>
        <v>-0.10859376737961422</v>
      </c>
      <c r="AU52" s="2644">
        <f>IF(AND(AM52="",AQ52=""),"",IF(AM52="",0,(AM52*VLOOKUP($B52,'A1.3.9'!$B$26:$O$57,9,TRUE))) + IF(AQ52="",0,(AQ52*VLOOKUP($B52,'A1.3.9'!$B$26:$O$57,10,TRUE))))</f>
        <v>1.1860181788685825E-3</v>
      </c>
      <c r="AV52" s="693">
        <f>IF('A1.3.8'!D$32="","",IF(OR(VLOOKUP($B52,'A1.3.11'!$B$26:$AM$105,AV$22,)="",VLOOKUP($B52,'A1.3.7'!$B$28:$H$118,4,)=""),"",VLOOKUP($B52,'A1.3.11'!$B$26:$AM$105,AV$22,)*(VLOOKUP($B52,'A1.3.7'!$B$28:$O$118,4,)+VLOOKUP($B52,'A1.3.7'!$B$28:$O$118,9,))))</f>
        <v>595.00678327727655</v>
      </c>
      <c r="AW52" s="691">
        <f>IF('A1.3.8'!E$32="","",IF(OR(VLOOKUP($B52,'A1.3.11'!$B$26:$AM$105,AW$22,)="",VLOOKUP($B52,'A1.3.7'!$B$28:$H$118,4,)=""),"",VLOOKUP($B52,'A1.3.11'!$B$26:$AM$105,AW$22,)*(VLOOKUP($B52,'A1.3.7'!$B$28:$O$118,4,)+VLOOKUP($B52,'A1.3.7'!$B$28:$O$118,9,))))</f>
        <v>30.899756549085879</v>
      </c>
      <c r="AX52" s="691">
        <f>IF('A1.3.8'!F$32="","",IF(OR(VLOOKUP($B52,'A1.3.11'!$B$26:$AM$105,AX$22,)="",VLOOKUP($B52,'A1.3.7'!$B$28:$H$118,4,)=""),"",VLOOKUP($B52,'A1.3.11'!$B$26:$AM$105,AX$22,)*(VLOOKUP($B52,'A1.3.7'!$B$28:$O$118,4,)+VLOOKUP($B52,'A1.3.7'!$B$28:$O$118,9,))))</f>
        <v>-0.2047271423654364</v>
      </c>
      <c r="AY52" s="2644">
        <f>IF('A1.3.8'!G$32="","",IF(OR(VLOOKUP($B52,'A1.3.11'!$B$26:$AM$105,AY$22,)="",VLOOKUP($B52,'A1.3.7'!$B$28:$H$118,4,)=""),"",VLOOKUP($B52,'A1.3.11'!$B$26:$AM$105,AY$22,)*(VLOOKUP($B52,'A1.3.7'!$B$28:$O$118,4,)+VLOOKUP($B52,'A1.3.7'!$B$28:$O$118,9,))))</f>
        <v>1.220258900648754E-3</v>
      </c>
      <c r="AZ52" s="693" t="str">
        <f>IF('A1.3.8'!D$39="","",IF(OR(VLOOKUP($B52,'A1.3.11'!$B$26:$AM$105,AZ$22,)="",VLOOKUP($B52,'A1.3.7'!$B$28:$H$118,6,)=""),"",VLOOKUP($B52,'A1.3.11'!$B$26:$AM$105,AZ$22,)*VLOOKUP($B52,'A1.3.7'!$B$28:$O$118,6,)))</f>
        <v/>
      </c>
      <c r="BA52" s="691" t="str">
        <f>IF('A1.3.8'!E$39="","",IF(OR(VLOOKUP($B52,'A1.3.11'!$B$26:$AM$105,BA$22,)="",VLOOKUP($B52,'A1.3.7'!$B$28:$H$118,6,)=""),"",VLOOKUP($B52,'A1.3.11'!$B$26:$AM$105,BA$22,)*VLOOKUP($B52,'A1.3.7'!$B$28:$O$118,6,)))</f>
        <v/>
      </c>
      <c r="BB52" s="691" t="str">
        <f>IF('A1.3.8'!F$39="","",IF(OR(VLOOKUP($B52,'A1.3.11'!$B$26:$AM$105,BB$22,)="",VLOOKUP($B52,'A1.3.7'!$B$28:$H$118,6,)=""),"",VLOOKUP($B52,'A1.3.11'!$B$26:$AM$105,BB$22,)*VLOOKUP($B52,'A1.3.7'!$B$28:$O$118,6,)))</f>
        <v/>
      </c>
      <c r="BC52" s="1664" t="str">
        <f>IF('A1.3.8'!G$39="","",IF(OR(VLOOKUP($B52,'A1.3.11'!$B$26:$AM$105,BC$22,)="",VLOOKUP($B52,'A1.3.7'!$B$28:$H$118,6,)=""),"",VLOOKUP($B52,'A1.3.11'!$B$26:$AM$105,BC$22,)*VLOOKUP($B52,'A1.3.7'!$B$28:$O$118,6,)))</f>
        <v/>
      </c>
      <c r="BD52" s="693">
        <f>IF(AND(AV52="",AZ52=""),"",IF(AV52="",0,(AV52*VLOOKUP($B52,'A1.3.9'!$B$26:$O$57,9,TRUE))) + IF(AZ52="",0,(AZ52*VLOOKUP($B52,'A1.3.9'!$B$26:$O$57,10,TRUE))))</f>
        <v>595.00678327727655</v>
      </c>
      <c r="BE52" s="691">
        <f>IF(AND(AW52="",BA52=""),"",IF(AW52="",0,(AW52*VLOOKUP($B52,'A1.3.9'!$B$26:$O$57,9,TRUE))) + IF(BA52="",0,(BA52*VLOOKUP($B52,'A1.3.9'!$B$26:$O$57,10,TRUE))))</f>
        <v>30.899756549085879</v>
      </c>
      <c r="BF52" s="691">
        <f>IF(AND(AX52="",BB52=""),"",IF(AX52="",0,(AX52*VLOOKUP($B52,'A1.3.9'!$B$26:$O$57,9,TRUE))) + IF(BB52="",0,(BB52*VLOOKUP($B52,'A1.3.9'!$B$26:$O$57,10,TRUE))))</f>
        <v>-0.2047271423654364</v>
      </c>
      <c r="BG52" s="2644">
        <f>IF(AND(AY52="",BC52=""),"",IF(AY52="",0,(AY52*VLOOKUP($B52,'A1.3.9'!$B$26:$O$57,9,TRUE))) + IF(BC52="",0,(BC52*VLOOKUP($B52,'A1.3.9'!$B$26:$O$57,10,TRUE))))</f>
        <v>1.220258900648754E-3</v>
      </c>
      <c r="BH52" s="693">
        <f>IF('A1.3.8'!D$33="","",IF(OR(VLOOKUP($B52,'A1.3.11'!$B$26:$AM$105,BH$22,)="",VLOOKUP($B52,'A1.3.7'!$B$28:$H$118,4,)=""),"",VLOOKUP($B52,'A1.3.11'!$B$26:$AM$105,BH$22,)*(VLOOKUP($B52,'A1.3.7'!$B$28:$O$118,4,)+VLOOKUP($B52,'A1.3.7'!$B$28:$O$118,9,))))</f>
        <v>352.89026606884198</v>
      </c>
      <c r="BI52" s="691">
        <f>IF('A1.3.8'!E$33="","",IF(OR(VLOOKUP($B52,'A1.3.11'!$B$26:$AM$105,BI$22,)="",VLOOKUP($B52,'A1.3.7'!$B$28:$H$118,4,)=""),"",VLOOKUP($B52,'A1.3.11'!$B$26:$AM$105,BI$22,)*(VLOOKUP($B52,'A1.3.7'!$B$28:$O$118,4,)+VLOOKUP($B52,'A1.3.7'!$B$28:$O$118,9,))))</f>
        <v>31.007391630273823</v>
      </c>
      <c r="BJ52" s="691">
        <f>IF('A1.3.8'!F$33="","",IF(OR(VLOOKUP($B52,'A1.3.11'!$B$26:$AM$105,BJ$22,)="",VLOOKUP($B52,'A1.3.7'!$B$28:$H$118,4,)=""),"",VLOOKUP($B52,'A1.3.11'!$B$26:$AM$105,BJ$22,)*(VLOOKUP($B52,'A1.3.7'!$B$28:$O$118,4,)+VLOOKUP($B52,'A1.3.7'!$B$28:$O$118,9,))))</f>
        <v>-0.33702271036046794</v>
      </c>
      <c r="BK52" s="2644">
        <f>IF('A1.3.8'!G$33="","",IF(OR(VLOOKUP($B52,'A1.3.11'!$B$26:$AM$105,BK$22,)="",VLOOKUP($B52,'A1.3.7'!$B$28:$H$118,4,)=""),"",VLOOKUP($B52,'A1.3.11'!$B$26:$AM$105,BK$22,)*(VLOOKUP($B52,'A1.3.7'!$B$28:$O$118,4,)+VLOOKUP($B52,'A1.3.7'!$B$28:$O$118,9,))))</f>
        <v>2.4721993386422644E-3</v>
      </c>
      <c r="BL52" s="693" t="str">
        <f>IF('A1.3.8'!D$40="","",IF(OR(VLOOKUP($B52,'A1.3.11'!$B$26:$AM$105,BL$22,)="",VLOOKUP($B52,'A1.3.7'!$B$28:$H$118,6,)=""),"",VLOOKUP($B52,'A1.3.11'!$B$26:$AM$105,BL$22,)*VLOOKUP($B52,'A1.3.7'!$B$28:$O$118,6,)))</f>
        <v/>
      </c>
      <c r="BM52" s="691" t="str">
        <f>IF('A1.3.8'!E$40="","",IF(OR(VLOOKUP($B52,'A1.3.11'!$B$26:$AM$105,BM$22,)="",VLOOKUP($B52,'A1.3.7'!$B$28:$H$118,6,)=""),"",VLOOKUP($B52,'A1.3.11'!$B$26:$AM$105,BM$22,)*VLOOKUP($B52,'A1.3.7'!$B$28:$O$118,6,)))</f>
        <v/>
      </c>
      <c r="BN52" s="691" t="str">
        <f>IF('A1.3.8'!F$40="","",IF(OR(VLOOKUP($B52,'A1.3.11'!$B$26:$AM$105,BN$22,)="",VLOOKUP($B52,'A1.3.7'!$B$28:$H$118,6,)=""),"",VLOOKUP($B52,'A1.3.11'!$B$26:$AM$105,BN$22,)*VLOOKUP($B52,'A1.3.7'!$B$28:$O$118,6,)))</f>
        <v/>
      </c>
      <c r="BO52" s="1664" t="str">
        <f>IF('A1.3.8'!G$40="","",IF(OR(VLOOKUP($B52,'A1.3.11'!$B$26:$AM$105,BO$22,)="",VLOOKUP($B52,'A1.3.7'!$B$28:$H$118,6,)=""),"",VLOOKUP($B52,'A1.3.11'!$B$26:$AM$105,BO$22,)*VLOOKUP($B52,'A1.3.7'!$B$28:$O$118,6,)))</f>
        <v/>
      </c>
      <c r="BP52" s="693">
        <f>IF(AND(BH52="",BL52=""),"",IF(BH52="",0,(BH52*VLOOKUP($B52,'A1.3.9'!$B$26:$O$57,9,TRUE))) + IF(BL52="",0,(BL52*VLOOKUP($B52,'A1.3.9'!$B$26:$O$57,10,TRUE))))</f>
        <v>352.89026606884198</v>
      </c>
      <c r="BQ52" s="691">
        <f>IF(AND(BI52="",BM52=""),"",IF(BI52="",0,(BI52*VLOOKUP($B52,'A1.3.9'!$B$26:$O$57,9,TRUE))) + IF(BM52="",0,(BM52*VLOOKUP($B52,'A1.3.9'!$B$26:$O$57,10,TRUE))))</f>
        <v>31.007391630273823</v>
      </c>
      <c r="BR52" s="691">
        <f>IF(AND(BJ52="",BN52=""),"",IF(BJ52="",0,(BJ52*VLOOKUP($B52,'A1.3.9'!$B$26:$O$57,9,TRUE))) + IF(BN52="",0,(BN52*VLOOKUP($B52,'A1.3.9'!$B$26:$O$57,10,TRUE))))</f>
        <v>-0.33702271036046794</v>
      </c>
      <c r="BS52" s="2644">
        <f>IF(AND(BK52="",BO52=""),"",IF(BK52="",0,(BK52*VLOOKUP($B52,'A1.3.9'!$B$26:$O$57,9,TRUE))) + IF(BO52="",0,(BO52*VLOOKUP($B52,'A1.3.9'!$B$26:$O$57,10,TRUE))))</f>
        <v>2.4721993386422644E-3</v>
      </c>
    </row>
    <row r="53" spans="1:71" s="26" customFormat="1" ht="13.5" customHeight="1">
      <c r="A53" s="113"/>
      <c r="B53" s="614">
        <f t="shared" si="0"/>
        <v>2036</v>
      </c>
      <c r="C53" s="147"/>
      <c r="D53" s="693">
        <f>IF('A1.3.8'!D$27="","",IF(OR(VLOOKUP($B53,'A1.3.11'!$B$26:$AM$105,D$22,)="",VLOOKUP($B53,'A1.3.7'!$B$28:$H$118,3,)=""),"",VLOOKUP($B53,'A1.3.11'!$B$26:$AM$105,D$22,)*(VLOOKUP($B53,'A1.3.7'!$B$28:$O$118,3,)+VLOOKUP($B53,'A1.3.7'!$B$28:$O$118,8,))))</f>
        <v>33.165741000911936</v>
      </c>
      <c r="E53" s="691">
        <f>IF('A1.3.8'!E$27="","",IF(OR(VLOOKUP($B53,'A1.3.11'!$B$26:$AM$105,E$22,)="",VLOOKUP($B53,'A1.3.7'!$B$28:$H$118,3,)=""),"",VLOOKUP($B53,'A1.3.11'!$B$26:$AM$105,E$22,)*(VLOOKUP($B53,'A1.3.7'!$B$28:$O$118,3,)+VLOOKUP($B53,'A1.3.7'!$B$28:$O$118,8,))))</f>
        <v>7.0482579411342519</v>
      </c>
      <c r="F53" s="691">
        <f>IF('A1.3.8'!F$27="","",IF(OR(VLOOKUP($B53,'A1.3.11'!$B$26:$AM$105,F$22,)="",VLOOKUP($B53,'A1.3.7'!$B$28:$H$118,3,)=""),"",VLOOKUP($B53,'A1.3.11'!$B$26:$AM$105,F$22,)*(VLOOKUP($B53,'A1.3.7'!$B$28:$O$118,3,)+VLOOKUP($B53,'A1.3.7'!$B$28:$O$118,8,))))</f>
        <v>-8.0288016377770721E-2</v>
      </c>
      <c r="G53" s="2644">
        <f>IF('A1.3.8'!G$27="","",IF(OR(VLOOKUP($B53,'A1.3.11'!$B$26:$AM$105,G$22,)="",VLOOKUP($B53,'A1.3.7'!$B$28:$H$118,3,)=""),"",VLOOKUP($B53,'A1.3.11'!$B$26:$AM$105,G$22,)*(VLOOKUP($B53,'A1.3.7'!$B$28:$O$118,3,)+VLOOKUP($B53,'A1.3.7'!$B$28:$O$118,8,))))</f>
        <v>5.3174107238729794E-4</v>
      </c>
      <c r="H53" s="693">
        <f>IF('A1.3.8'!D$28="","",IF(OR(VLOOKUP($B53,'A1.3.11'!$B$26:$AM$105,H$22,)="",VLOOKUP($B53,'A1.3.7'!$B$28:$H$118,4,)=""),"",VLOOKUP($B53,'A1.3.11'!$B$26:$AM$105,H$22,)*(VLOOKUP($B53,'A1.3.7'!$B$28:$O$118,4,)+VLOOKUP($B53,'A1.3.7'!$B$28:$O$118,9,))))</f>
        <v>41.008455541147825</v>
      </c>
      <c r="I53" s="691">
        <f>IF('A1.3.8'!E$28="","",IF(OR(VLOOKUP($B53,'A1.3.11'!$B$26:$AM$105,I$22,)="",VLOOKUP($B53,'A1.3.7'!$B$28:$H$118,4,)=""),"",VLOOKUP($B53,'A1.3.11'!$B$26:$AM$105,I$22,)*(VLOOKUP($B53,'A1.3.7'!$B$28:$O$118,4,)+VLOOKUP($B53,'A1.3.7'!$B$28:$O$118,9,))))</f>
        <v>5.8795983866480634</v>
      </c>
      <c r="J53" s="691">
        <f>IF('A1.3.8'!F$28="","",IF(OR(VLOOKUP($B53,'A1.3.11'!$B$26:$AM$105,J$22,)="",VLOOKUP($B53,'A1.3.7'!$B$28:$H$118,4,)=""),"",VLOOKUP($B53,'A1.3.11'!$B$26:$AM$105,J$22,)*(VLOOKUP($B53,'A1.3.7'!$B$28:$O$118,4,)+VLOOKUP($B53,'A1.3.7'!$B$28:$O$118,9,))))</f>
        <v>-5.6563374422033651E-2</v>
      </c>
      <c r="K53" s="2644">
        <f>IF('A1.3.8'!G$28="","",IF(OR(VLOOKUP($B53,'A1.3.11'!$B$26:$AM$105,K$22,)="",VLOOKUP($B53,'A1.3.7'!$B$28:$H$118,4,)=""),"",VLOOKUP($B53,'A1.3.11'!$B$26:$AM$105,K$22,)*(VLOOKUP($B53,'A1.3.7'!$B$28:$O$118,4,)+VLOOKUP($B53,'A1.3.7'!$B$28:$O$118,9,))))</f>
        <v>4.4572222827246578E-4</v>
      </c>
      <c r="L53" s="693" t="str">
        <f>IF('A1.3.8'!D$36="","",IF(OR(VLOOKUP($B53,'A1.3.11'!$B$26:$AM$105,L$22,)="",VLOOKUP($B53,'A1.3.7'!$B$28:$H$118,6,)=""),"",VLOOKUP($B53,'A1.3.11'!$B$26:$AM$105,L$22,)*VLOOKUP($B53,'A1.3.7'!$B$28:$O$118,6,)))</f>
        <v/>
      </c>
      <c r="M53" s="691">
        <f>IF('A1.3.8'!E$36="","",IF(OR(VLOOKUP($B53,'A1.3.11'!$B$26:$AM$105,M$22,)="",VLOOKUP($B53,'A1.3.7'!$B$28:$H$118,6,)=""),"",VLOOKUP($B53,'A1.3.11'!$B$26:$AM$105,M$22,)*VLOOKUP($B53,'A1.3.7'!$B$28:$O$118,6,)))</f>
        <v>1.9759274343734974</v>
      </c>
      <c r="N53" s="691" t="str">
        <f>IF('A1.3.8'!F$36="","",IF(OR(VLOOKUP($B53,'A1.3.11'!$B$26:$AM$105,N$22,)="",VLOOKUP($B53,'A1.3.7'!$B$28:$H$118,6,)=""),"",VLOOKUP($B53,'A1.3.11'!$B$26:$AM$105,N$22,)*VLOOKUP($B53,'A1.3.7'!$B$28:$O$118,6,)))</f>
        <v/>
      </c>
      <c r="O53" s="1664" t="str">
        <f>IF('A1.3.8'!G$36="","",IF(OR(VLOOKUP($B53,'A1.3.11'!$B$26:$AM$105,O$22,)="",VLOOKUP($B53,'A1.3.7'!$B$28:$H$118,6,)=""),"",VLOOKUP($B53,'A1.3.11'!$B$26:$AM$105,O$22,)*VLOOKUP($B53,'A1.3.7'!$B$28:$O$118,6,)))</f>
        <v/>
      </c>
      <c r="P53" s="693">
        <f>IF(AND(D53="",H53="",L53=""),"",IF(D53="",0,(D53*VLOOKUP($B53,'A1.3.9'!$B$26:$O$57,3,TRUE)))+IF(H53="",0,(H53*VLOOKUP($B53,'A1.3.9'!$B$26:$O$57,4,TRUE)))+IF(L53="",0,(L53*VLOOKUP($B53,'A1.3.9'!$B$26:$O$57,5,TRUE))))</f>
        <v>27.545229941449129</v>
      </c>
      <c r="Q53" s="691">
        <f>IF(AND(E53="",I53="",M53=""),"",IF(E53="",0,(E53*VLOOKUP($B53,'A1.3.9'!$B$26:$O$57,3,TRUE)))+IF(I53="",0,(I53*VLOOKUP($B53,'A1.3.9'!$B$26:$O$57,4,TRUE)))+IF(M53="",0,(M53*VLOOKUP($B53,'A1.3.9'!$B$26:$O$57,5,TRUE))))</f>
        <v>5.4579299156479424</v>
      </c>
      <c r="R53" s="691">
        <f>IF(AND(F53="",J53="",N53=""),"",IF(F53="",0,(F53*VLOOKUP($B53,'A1.3.9'!$B$26:$O$57,3,TRUE)))+IF(J53="",0,(J53*VLOOKUP($B53,'A1.3.9'!$B$26:$O$57,4,TRUE)))+IF(N53="",0,(N53*VLOOKUP($B53,'A1.3.9'!$B$26:$O$57,5,TRUE))))</f>
        <v>-5.3502601159192462E-2</v>
      </c>
      <c r="S53" s="2644">
        <f>IF(AND(G53="",K53="",O53=""),"",IF(G53="",0,(G53*VLOOKUP($B53,'A1.3.9'!$B$26:$O$57,3,TRUE)))+IF(K53="",0,(K53*VLOOKUP($B53,'A1.3.9'!$B$26:$O$57,4,TRUE)))+IF(O53="",0,(O53*VLOOKUP($B53,'A1.3.9'!$B$26:$O$57,5,TRUE))))</f>
        <v>3.7628520372026718E-4</v>
      </c>
      <c r="T53" s="693">
        <f>IF('A1.3.8'!D$29="","",IF(OR(VLOOKUP($B53,'A1.3.11'!$B$26:$AM$105,T$22,)="",VLOOKUP($B53,'A1.3.7'!$B$28:$H$118,3,)=""),"",VLOOKUP($B53,'A1.3.11'!$B$26:$AM$105,T$22,)*(VLOOKUP($B53,'A1.3.7'!$B$28:$O$118,3,)+VLOOKUP($B53,'A1.3.7'!$B$28:$O$118,8,))))</f>
        <v>23.796697472892564</v>
      </c>
      <c r="U53" s="691">
        <f>IF('A1.3.8'!E$29="","",IF(OR(VLOOKUP($B53,'A1.3.11'!$B$26:$AM$105,U$22,)="",VLOOKUP($B53,'A1.3.7'!$B$28:$H$118,3,)=""),"",VLOOKUP($B53,'A1.3.11'!$B$26:$AM$105,U$22,)*(VLOOKUP($B53,'A1.3.7'!$B$28:$O$118,3,)+VLOOKUP($B53,'A1.3.7'!$B$28:$O$118,8,))))</f>
        <v>13.343810437326923</v>
      </c>
      <c r="V53" s="691">
        <f>IF('A1.3.8'!F$29="","",IF(OR(VLOOKUP($B53,'A1.3.11'!$B$26:$AM$105,V$22,)="",VLOOKUP($B53,'A1.3.7'!$B$28:$H$118,3,)=""),"",VLOOKUP($B53,'A1.3.11'!$B$26:$AM$105,V$22,)*(VLOOKUP($B53,'A1.3.7'!$B$28:$O$118,3,)+VLOOKUP($B53,'A1.3.7'!$B$28:$O$118,8,))))</f>
        <v>-0.20945402421518924</v>
      </c>
      <c r="W53" s="2644">
        <f>IF('A1.3.8'!G$29="","",IF(OR(VLOOKUP($B53,'A1.3.11'!$B$26:$AM$105,W$22,)="",VLOOKUP($B53,'A1.3.7'!$B$28:$H$118,3,)=""),"",VLOOKUP($B53,'A1.3.11'!$B$26:$AM$105,W$22,)*(VLOOKUP($B53,'A1.3.7'!$B$28:$O$118,3,)+VLOOKUP($B53,'A1.3.7'!$B$28:$O$118,8,))))</f>
        <v>1.3526619161689322E-3</v>
      </c>
      <c r="X53" s="693">
        <f>IF('A1.3.8'!D$30="","",IF(OR(VLOOKUP($B53,'A1.3.11'!$B$26:$AM$105,X$22,)="",VLOOKUP($B53,'A1.3.7'!$B$28:$H$118,4,)=""),"",VLOOKUP($B53,'A1.3.11'!$B$26:$AM$105,X$22,)*(VLOOKUP($B53,'A1.3.7'!$B$28:$O$118,4,)+VLOOKUP($B53,'A1.3.7'!$B$28:$O$118,9,))))</f>
        <v>42.11366095394321</v>
      </c>
      <c r="Y53" s="691">
        <f>IF('A1.3.8'!E$30="","",IF(OR(VLOOKUP($B53,'A1.3.11'!$B$26:$AM$105,Y$22,)="",VLOOKUP($B53,'A1.3.7'!$B$28:$H$118,4,)=""),"",VLOOKUP($B53,'A1.3.11'!$B$26:$AM$105,Y$22,)*(VLOOKUP($B53,'A1.3.7'!$B$28:$O$118,4,)+VLOOKUP($B53,'A1.3.7'!$B$28:$O$118,9,))))</f>
        <v>10.292750364282348</v>
      </c>
      <c r="Z53" s="691">
        <f>IF('A1.3.8'!F$30="","",IF(OR(VLOOKUP($B53,'A1.3.11'!$B$26:$AM$105,Z$22,)="",VLOOKUP($B53,'A1.3.7'!$B$28:$H$118,4,)=""),"",VLOOKUP($B53,'A1.3.11'!$B$26:$AM$105,Z$22,)*(VLOOKUP($B53,'A1.3.7'!$B$28:$O$118,4,)+VLOOKUP($B53,'A1.3.7'!$B$28:$O$118,9,))))</f>
        <v>-0.14849163049176614</v>
      </c>
      <c r="AA53" s="2644">
        <f>IF('A1.3.8'!G$30="","",IF(OR(VLOOKUP($B53,'A1.3.11'!$B$26:$AM$105,AA$22,)="",VLOOKUP($B53,'A1.3.7'!$B$28:$H$118,4,)=""),"",VLOOKUP($B53,'A1.3.11'!$B$26:$AM$105,AA$22,)*(VLOOKUP($B53,'A1.3.7'!$B$28:$O$118,4,)+VLOOKUP($B53,'A1.3.7'!$B$28:$O$118,9,))))</f>
        <v>1.2571353212226214E-3</v>
      </c>
      <c r="AB53" s="693" t="str">
        <f>IF('A1.3.8'!D$37="","",IF(OR(VLOOKUP($B53,'A1.3.11'!$B$26:$AM$105,AB$22,)="",VLOOKUP($B53,'A1.3.7'!$B$28:$H$118,6,)=""),"",VLOOKUP($B53,'A1.3.11'!$B$26:$AM$105,AB$22,)*VLOOKUP($B53,'A1.3.7'!$B$28:$O$118,6,)))</f>
        <v/>
      </c>
      <c r="AC53" s="691">
        <f>IF('A1.3.8'!E$37="","",IF(OR(VLOOKUP($B53,'A1.3.11'!$B$26:$AM$105,AC$22,)="",VLOOKUP($B53,'A1.3.7'!$B$28:$H$118,6,)=""),"",VLOOKUP($B53,'A1.3.11'!$B$26:$AM$105,AC$22,)*VLOOKUP($B53,'A1.3.7'!$B$28:$O$118,6,)))</f>
        <v>4.5145632825273836</v>
      </c>
      <c r="AD53" s="691" t="str">
        <f>IF('A1.3.8'!F$37="","",IF(OR(VLOOKUP($B53,'A1.3.11'!$B$26:$AM$105,AD$22,)="",VLOOKUP($B53,'A1.3.7'!$B$28:$H$118,6,)=""),"",VLOOKUP($B53,'A1.3.11'!$B$26:$AM$105,AD$22,)*VLOOKUP($B53,'A1.3.7'!$B$28:$O$118,6,)))</f>
        <v/>
      </c>
      <c r="AE53" s="1664" t="str">
        <f>IF('A1.3.8'!G$37="","",IF(OR(VLOOKUP($B53,'A1.3.11'!$B$26:$AM$105,AE$22,)="",VLOOKUP($B53,'A1.3.7'!$B$28:$H$118,6,)=""),"",VLOOKUP($B53,'A1.3.11'!$B$26:$AM$105,AE$22,)*VLOOKUP($B53,'A1.3.7'!$B$28:$O$118,6,)))</f>
        <v/>
      </c>
      <c r="AF53" s="693">
        <f>IF(AND(T53="",X53="",AB53=""),"",IF(T53="",0,(T53*VLOOKUP('A1.3.12'!$B53,'A1.3.9'!$B$26:$O$57,6,TRUE))) + IF(X53="",0,(X53*VLOOKUP('A1.3.12'!$B53,'A1.3.9'!$B$26:$O$57,7,TRUE))) + IF(AB53="",0,(AB53*VLOOKUP('A1.3.12'!$B53,'A1.3.9'!$B$26:$O$57,8,TRUE))))</f>
        <v>37.366663953063039</v>
      </c>
      <c r="AG53" s="691">
        <f>IF(AND(U53="",Y53="",AC53=""),"",IF(U53="",0,(U53*VLOOKUP('A1.3.12'!$B53,'A1.3.9'!$B$26:$O$57,6,TRUE))) + IF(Y53="",0,(Y53*VLOOKUP('A1.3.12'!$B53,'A1.3.9'!$B$26:$O$57,7,TRUE))) + IF(AC53="",0,(AC53*VLOOKUP('A1.3.12'!$B53,'A1.3.9'!$B$26:$O$57,8,TRUE))))</f>
        <v>9.6836251253525596</v>
      </c>
      <c r="AH53" s="691">
        <f>IF(AND(V53="",Z53="",AD53=""),"",IF(V53="",0,(V53*VLOOKUP('A1.3.12'!$B53,'A1.3.9'!$B$26:$O$57,6,TRUE))) + IF(Z53="",0,(Z53*VLOOKUP('A1.3.12'!$B53,'A1.3.9'!$B$26:$O$57,7,TRUE))) + IF(AD53="",0,(AD53*VLOOKUP('A1.3.12'!$B53,'A1.3.9'!$B$26:$O$57,8,TRUE))))</f>
        <v>-0.13270566915189666</v>
      </c>
      <c r="AI53" s="2644">
        <f>IF(AND(W53="",AA53="",AE53=""),"",IF(W53="",0,(W53*VLOOKUP('A1.3.12'!$B53,'A1.3.9'!$B$26:$O$57,6,TRUE))) + IF(AA53="",0,(AA53*VLOOKUP('A1.3.12'!$B53,'A1.3.9'!$B$26:$O$57,7,TRUE))) + IF(AE53="",0,(AE53*VLOOKUP('A1.3.12'!$B53,'A1.3.9'!$B$26:$O$57,8,TRUE))))</f>
        <v>1.1203022267032273E-3</v>
      </c>
      <c r="AJ53" s="693">
        <f>IF('A1.3.8'!D$31="","",IF(OR(VLOOKUP($B53,'A1.3.11'!$B$26:$AM$105,AJ$22,)="",VLOOKUP($B53,'A1.3.7'!$B$28:$H$118,4,)=""),"",VLOOKUP($B53,'A1.3.11'!$B$26:$AM$105,AJ$22,)*(VLOOKUP($B53,'A1.3.7'!$B$28:$O$118,4,)+VLOOKUP($B53,'A1.3.7'!$B$28:$O$118,9,))))</f>
        <v>284.50144847390351</v>
      </c>
      <c r="AK53" s="691">
        <f>IF('A1.3.8'!E$31="","",IF(OR(VLOOKUP($B53,'A1.3.11'!$B$26:$AM$105,AK$22,)="",VLOOKUP($B53,'A1.3.7'!$B$28:$H$118,4,)=""),"",VLOOKUP($B53,'A1.3.11'!$B$26:$AM$105,AK$22,)*(VLOOKUP($B53,'A1.3.7'!$B$28:$O$118,4,)+VLOOKUP($B53,'A1.3.7'!$B$28:$O$118,9,))))</f>
        <v>15.094851754333957</v>
      </c>
      <c r="AL53" s="691">
        <f>IF('A1.3.8'!F$31="","",IF(OR(VLOOKUP($B53,'A1.3.11'!$B$26:$AM$105,AL$22,)="",VLOOKUP($B53,'A1.3.7'!$B$28:$H$118,4,)=""),"",VLOOKUP($B53,'A1.3.11'!$B$26:$AM$105,AL$22,)*(VLOOKUP($B53,'A1.3.7'!$B$28:$O$118,4,)+VLOOKUP($B53,'A1.3.7'!$B$28:$O$118,9,))))</f>
        <v>-0.10910568432139203</v>
      </c>
      <c r="AM53" s="2644">
        <f>IF('A1.3.8'!G$31="","",IF(OR(VLOOKUP($B53,'A1.3.11'!$B$26:$AM$105,AM$22,)="",VLOOKUP($B53,'A1.3.7'!$B$28:$H$118,4,)=""),"",VLOOKUP($B53,'A1.3.11'!$B$26:$AM$105,AM$22,)*(VLOOKUP($B53,'A1.3.7'!$B$28:$O$118,4,)+VLOOKUP($B53,'A1.3.7'!$B$28:$O$118,9,))))</f>
        <v>1.1916091332453368E-3</v>
      </c>
      <c r="AN53" s="693" t="str">
        <f>IF('A1.3.8'!D$38="","",IF(OR(VLOOKUP($B53,'A1.3.11'!$B$26:$AM$105,AN$22,)="",VLOOKUP($B53,'A1.3.7'!$B$28:$H$118,6,)=""),"",VLOOKUP($B53,'A1.3.11'!$B$26:$AM$105,AN$22,)*VLOOKUP($B53,'A1.3.7'!$B$28:$O$118,6,)))</f>
        <v/>
      </c>
      <c r="AO53" s="691" t="str">
        <f>IF('A1.3.8'!E$38="","",IF(OR(VLOOKUP($B53,'A1.3.11'!$B$26:$AM$105,AO$22,)="",VLOOKUP($B53,'A1.3.7'!$B$28:$H$118,6,)=""),"",VLOOKUP($B53,'A1.3.11'!$B$26:$AM$105,AO$22,)*VLOOKUP($B53,'A1.3.7'!$B$28:$O$118,6,)))</f>
        <v/>
      </c>
      <c r="AP53" s="691" t="str">
        <f>IF('A1.3.8'!F$38="","",IF(OR(VLOOKUP($B53,'A1.3.11'!$B$26:$AM$105,AP$22,)="",VLOOKUP($B53,'A1.3.7'!$B$28:$H$118,6,)=""),"",VLOOKUP($B53,'A1.3.11'!$B$26:$AM$105,AP$22,)*VLOOKUP($B53,'A1.3.7'!$B$28:$O$118,6,)))</f>
        <v/>
      </c>
      <c r="AQ53" s="1664" t="str">
        <f>IF('A1.3.8'!G$38="","",IF(OR(VLOOKUP($B53,'A1.3.11'!$B$26:$AM$105,AQ$22,)="",VLOOKUP($B53,'A1.3.7'!$B$28:$H$118,6,)=""),"",VLOOKUP($B53,'A1.3.11'!$B$26:$AM$105,AQ$22,)*VLOOKUP($B53,'A1.3.7'!$B$28:$O$118,6,)))</f>
        <v/>
      </c>
      <c r="AR53" s="693">
        <f>IF(AND(AJ53="",AN53=""),"",IF(AJ53="",0,(AJ53*VLOOKUP($B53,'A1.3.9'!$B$26:$O$57,9,TRUE))) + IF(AN53="",0,(AN53*VLOOKUP($B53,'A1.3.9'!$B$26:$O$57,10,TRUE))))</f>
        <v>284.50144847390351</v>
      </c>
      <c r="AS53" s="691">
        <f>IF(AND(AK53="",AO53=""),"",IF(AK53="",0,(AK53*VLOOKUP($B53,'A1.3.9'!$B$26:$O$57,9,TRUE))) + IF(AO53="",0,(AO53*VLOOKUP($B53,'A1.3.9'!$B$26:$O$57,10,TRUE))))</f>
        <v>15.094851754333957</v>
      </c>
      <c r="AT53" s="691">
        <f>IF(AND(AL53="",AP53=""),"",IF(AL53="",0,(AL53*VLOOKUP($B53,'A1.3.9'!$B$26:$O$57,9,TRUE))) + IF(AP53="",0,(AP53*VLOOKUP($B53,'A1.3.9'!$B$26:$O$57,10,TRUE))))</f>
        <v>-0.10910568432139203</v>
      </c>
      <c r="AU53" s="2644">
        <f>IF(AND(AM53="",AQ53=""),"",IF(AM53="",0,(AM53*VLOOKUP($B53,'A1.3.9'!$B$26:$O$57,9,TRUE))) + IF(AQ53="",0,(AQ53*VLOOKUP($B53,'A1.3.9'!$B$26:$O$57,10,TRUE))))</f>
        <v>1.1916091332453368E-3</v>
      </c>
      <c r="AV53" s="693">
        <f>IF('A1.3.8'!D$32="","",IF(OR(VLOOKUP($B53,'A1.3.11'!$B$26:$AM$105,AV$22,)="",VLOOKUP($B53,'A1.3.7'!$B$28:$H$118,4,)=""),"",VLOOKUP($B53,'A1.3.11'!$B$26:$AM$105,AV$22,)*(VLOOKUP($B53,'A1.3.7'!$B$28:$O$118,4,)+VLOOKUP($B53,'A1.3.7'!$B$28:$O$118,9,))))</f>
        <v>597.81167770337731</v>
      </c>
      <c r="AW53" s="691">
        <f>IF('A1.3.8'!E$32="","",IF(OR(VLOOKUP($B53,'A1.3.11'!$B$26:$AM$105,AW$22,)="",VLOOKUP($B53,'A1.3.7'!$B$28:$H$118,4,)=""),"",VLOOKUP($B53,'A1.3.11'!$B$26:$AM$105,AW$22,)*(VLOOKUP($B53,'A1.3.7'!$B$28:$O$118,4,)+VLOOKUP($B53,'A1.3.7'!$B$28:$O$118,9,))))</f>
        <v>31.045419686630332</v>
      </c>
      <c r="AX53" s="691">
        <f>IF('A1.3.8'!F$32="","",IF(OR(VLOOKUP($B53,'A1.3.11'!$B$26:$AM$105,AX$22,)="",VLOOKUP($B53,'A1.3.7'!$B$28:$H$118,4,)=""),"",VLOOKUP($B53,'A1.3.11'!$B$26:$AM$105,AX$22,)*(VLOOKUP($B53,'A1.3.7'!$B$28:$O$118,4,)+VLOOKUP($B53,'A1.3.7'!$B$28:$O$118,9,))))</f>
        <v>-0.20569223727969849</v>
      </c>
      <c r="AY53" s="2644">
        <f>IF('A1.3.8'!G$32="","",IF(OR(VLOOKUP($B53,'A1.3.11'!$B$26:$AM$105,AY$22,)="",VLOOKUP($B53,'A1.3.7'!$B$28:$H$118,4,)=""),"",VLOOKUP($B53,'A1.3.11'!$B$26:$AM$105,AY$22,)*(VLOOKUP($B53,'A1.3.7'!$B$28:$O$118,4,)+VLOOKUP($B53,'A1.3.7'!$B$28:$O$118,9,))))</f>
        <v>1.2260112676553575E-3</v>
      </c>
      <c r="AZ53" s="693" t="str">
        <f>IF('A1.3.8'!D$39="","",IF(OR(VLOOKUP($B53,'A1.3.11'!$B$26:$AM$105,AZ$22,)="",VLOOKUP($B53,'A1.3.7'!$B$28:$H$118,6,)=""),"",VLOOKUP($B53,'A1.3.11'!$B$26:$AM$105,AZ$22,)*VLOOKUP($B53,'A1.3.7'!$B$28:$O$118,6,)))</f>
        <v/>
      </c>
      <c r="BA53" s="691" t="str">
        <f>IF('A1.3.8'!E$39="","",IF(OR(VLOOKUP($B53,'A1.3.11'!$B$26:$AM$105,BA$22,)="",VLOOKUP($B53,'A1.3.7'!$B$28:$H$118,6,)=""),"",VLOOKUP($B53,'A1.3.11'!$B$26:$AM$105,BA$22,)*VLOOKUP($B53,'A1.3.7'!$B$28:$O$118,6,)))</f>
        <v/>
      </c>
      <c r="BB53" s="691" t="str">
        <f>IF('A1.3.8'!F$39="","",IF(OR(VLOOKUP($B53,'A1.3.11'!$B$26:$AM$105,BB$22,)="",VLOOKUP($B53,'A1.3.7'!$B$28:$H$118,6,)=""),"",VLOOKUP($B53,'A1.3.11'!$B$26:$AM$105,BB$22,)*VLOOKUP($B53,'A1.3.7'!$B$28:$O$118,6,)))</f>
        <v/>
      </c>
      <c r="BC53" s="1664" t="str">
        <f>IF('A1.3.8'!G$39="","",IF(OR(VLOOKUP($B53,'A1.3.11'!$B$26:$AM$105,BC$22,)="",VLOOKUP($B53,'A1.3.7'!$B$28:$H$118,6,)=""),"",VLOOKUP($B53,'A1.3.11'!$B$26:$AM$105,BC$22,)*VLOOKUP($B53,'A1.3.7'!$B$28:$O$118,6,)))</f>
        <v/>
      </c>
      <c r="BD53" s="693">
        <f>IF(AND(AV53="",AZ53=""),"",IF(AV53="",0,(AV53*VLOOKUP($B53,'A1.3.9'!$B$26:$O$57,9,TRUE))) + IF(AZ53="",0,(AZ53*VLOOKUP($B53,'A1.3.9'!$B$26:$O$57,10,TRUE))))</f>
        <v>597.81167770337731</v>
      </c>
      <c r="BE53" s="691">
        <f>IF(AND(AW53="",BA53=""),"",IF(AW53="",0,(AW53*VLOOKUP($B53,'A1.3.9'!$B$26:$O$57,9,TRUE))) + IF(BA53="",0,(BA53*VLOOKUP($B53,'A1.3.9'!$B$26:$O$57,10,TRUE))))</f>
        <v>31.045419686630332</v>
      </c>
      <c r="BF53" s="691">
        <f>IF(AND(AX53="",BB53=""),"",IF(AX53="",0,(AX53*VLOOKUP($B53,'A1.3.9'!$B$26:$O$57,9,TRUE))) + IF(BB53="",0,(BB53*VLOOKUP($B53,'A1.3.9'!$B$26:$O$57,10,TRUE))))</f>
        <v>-0.20569223727969849</v>
      </c>
      <c r="BG53" s="2644">
        <f>IF(AND(AY53="",BC53=""),"",IF(AY53="",0,(AY53*VLOOKUP($B53,'A1.3.9'!$B$26:$O$57,9,TRUE))) + IF(BC53="",0,(BC53*VLOOKUP($B53,'A1.3.9'!$B$26:$O$57,10,TRUE))))</f>
        <v>1.2260112676553575E-3</v>
      </c>
      <c r="BH53" s="693">
        <f>IF('A1.3.8'!D$33="","",IF(OR(VLOOKUP($B53,'A1.3.11'!$B$26:$AM$105,BH$22,)="",VLOOKUP($B53,'A1.3.7'!$B$28:$H$118,4,)=""),"",VLOOKUP($B53,'A1.3.11'!$B$26:$AM$105,BH$22,)*(VLOOKUP($B53,'A1.3.7'!$B$28:$O$118,4,)+VLOOKUP($B53,'A1.3.7'!$B$28:$O$118,9,))))</f>
        <v>354.55381002857604</v>
      </c>
      <c r="BI53" s="691">
        <f>IF('A1.3.8'!E$33="","",IF(OR(VLOOKUP($B53,'A1.3.11'!$B$26:$AM$105,BI$22,)="",VLOOKUP($B53,'A1.3.7'!$B$28:$H$118,4,)=""),"",VLOOKUP($B53,'A1.3.11'!$B$26:$AM$105,BI$22,)*(VLOOKUP($B53,'A1.3.7'!$B$28:$O$118,4,)+VLOOKUP($B53,'A1.3.7'!$B$28:$O$118,9,))))</f>
        <v>31.153562165461064</v>
      </c>
      <c r="BJ53" s="691">
        <f>IF('A1.3.8'!F$33="","",IF(OR(VLOOKUP($B53,'A1.3.11'!$B$26:$AM$105,BJ$22,)="",VLOOKUP($B53,'A1.3.7'!$B$28:$H$118,4,)=""),"",VLOOKUP($B53,'A1.3.11'!$B$26:$AM$105,BJ$22,)*(VLOOKUP($B53,'A1.3.7'!$B$28:$O$118,4,)+VLOOKUP($B53,'A1.3.7'!$B$28:$O$118,9,))))</f>
        <v>-0.3386114537972279</v>
      </c>
      <c r="BK53" s="2644">
        <f>IF('A1.3.8'!G$33="","",IF(OR(VLOOKUP($B53,'A1.3.11'!$B$26:$AM$105,BK$22,)="",VLOOKUP($B53,'A1.3.7'!$B$28:$H$118,4,)=""),"",VLOOKUP($B53,'A1.3.11'!$B$26:$AM$105,BK$22,)*(VLOOKUP($B53,'A1.3.7'!$B$28:$O$118,4,)+VLOOKUP($B53,'A1.3.7'!$B$28:$O$118,9,))))</f>
        <v>2.4838534211503228E-3</v>
      </c>
      <c r="BL53" s="693" t="str">
        <f>IF('A1.3.8'!D$40="","",IF(OR(VLOOKUP($B53,'A1.3.11'!$B$26:$AM$105,BL$22,)="",VLOOKUP($B53,'A1.3.7'!$B$28:$H$118,6,)=""),"",VLOOKUP($B53,'A1.3.11'!$B$26:$AM$105,BL$22,)*VLOOKUP($B53,'A1.3.7'!$B$28:$O$118,6,)))</f>
        <v/>
      </c>
      <c r="BM53" s="691" t="str">
        <f>IF('A1.3.8'!E$40="","",IF(OR(VLOOKUP($B53,'A1.3.11'!$B$26:$AM$105,BM$22,)="",VLOOKUP($B53,'A1.3.7'!$B$28:$H$118,6,)=""),"",VLOOKUP($B53,'A1.3.11'!$B$26:$AM$105,BM$22,)*VLOOKUP($B53,'A1.3.7'!$B$28:$O$118,6,)))</f>
        <v/>
      </c>
      <c r="BN53" s="691" t="str">
        <f>IF('A1.3.8'!F$40="","",IF(OR(VLOOKUP($B53,'A1.3.11'!$B$26:$AM$105,BN$22,)="",VLOOKUP($B53,'A1.3.7'!$B$28:$H$118,6,)=""),"",VLOOKUP($B53,'A1.3.11'!$B$26:$AM$105,BN$22,)*VLOOKUP($B53,'A1.3.7'!$B$28:$O$118,6,)))</f>
        <v/>
      </c>
      <c r="BO53" s="1664" t="str">
        <f>IF('A1.3.8'!G$40="","",IF(OR(VLOOKUP($B53,'A1.3.11'!$B$26:$AM$105,BO$22,)="",VLOOKUP($B53,'A1.3.7'!$B$28:$H$118,6,)=""),"",VLOOKUP($B53,'A1.3.11'!$B$26:$AM$105,BO$22,)*VLOOKUP($B53,'A1.3.7'!$B$28:$O$118,6,)))</f>
        <v/>
      </c>
      <c r="BP53" s="693">
        <f>IF(AND(BH53="",BL53=""),"",IF(BH53="",0,(BH53*VLOOKUP($B53,'A1.3.9'!$B$26:$O$57,9,TRUE))) + IF(BL53="",0,(BL53*VLOOKUP($B53,'A1.3.9'!$B$26:$O$57,10,TRUE))))</f>
        <v>354.55381002857604</v>
      </c>
      <c r="BQ53" s="691">
        <f>IF(AND(BI53="",BM53=""),"",IF(BI53="",0,(BI53*VLOOKUP($B53,'A1.3.9'!$B$26:$O$57,9,TRUE))) + IF(BM53="",0,(BM53*VLOOKUP($B53,'A1.3.9'!$B$26:$O$57,10,TRUE))))</f>
        <v>31.153562165461064</v>
      </c>
      <c r="BR53" s="691">
        <f>IF(AND(BJ53="",BN53=""),"",IF(BJ53="",0,(BJ53*VLOOKUP($B53,'A1.3.9'!$B$26:$O$57,9,TRUE))) + IF(BN53="",0,(BN53*VLOOKUP($B53,'A1.3.9'!$B$26:$O$57,10,TRUE))))</f>
        <v>-0.3386114537972279</v>
      </c>
      <c r="BS53" s="2644">
        <f>IF(AND(BK53="",BO53=""),"",IF(BK53="",0,(BK53*VLOOKUP($B53,'A1.3.9'!$B$26:$O$57,9,TRUE))) + IF(BO53="",0,(BO53*VLOOKUP($B53,'A1.3.9'!$B$26:$O$57,10,TRUE))))</f>
        <v>2.4838534211503228E-3</v>
      </c>
    </row>
    <row r="54" spans="1:71" s="26" customFormat="1" ht="13.5" customHeight="1">
      <c r="A54" s="113"/>
      <c r="B54" s="614">
        <f t="shared" si="0"/>
        <v>2037</v>
      </c>
      <c r="C54" s="147"/>
      <c r="D54" s="693">
        <f>IF('A1.3.8'!D$27="","",IF(OR(VLOOKUP($B54,'A1.3.11'!$B$26:$AM$105,D$22,)="",VLOOKUP($B54,'A1.3.7'!$B$28:$H$118,3,)=""),"",VLOOKUP($B54,'A1.3.11'!$B$26:$AM$105,D$22,)*(VLOOKUP($B54,'A1.3.7'!$B$28:$O$118,3,)+VLOOKUP($B54,'A1.3.7'!$B$28:$O$118,8,))))</f>
        <v>33.19488880492144</v>
      </c>
      <c r="E54" s="691">
        <f>IF('A1.3.8'!E$27="","",IF(OR(VLOOKUP($B54,'A1.3.11'!$B$26:$AM$105,E$22,)="",VLOOKUP($B54,'A1.3.7'!$B$28:$H$118,3,)=""),"",VLOOKUP($B54,'A1.3.11'!$B$26:$AM$105,E$22,)*(VLOOKUP($B54,'A1.3.7'!$B$28:$O$118,3,)+VLOOKUP($B54,'A1.3.7'!$B$28:$O$118,8,))))</f>
        <v>7.0544523222901221</v>
      </c>
      <c r="F54" s="691">
        <f>IF('A1.3.8'!F$27="","",IF(OR(VLOOKUP($B54,'A1.3.11'!$B$26:$AM$105,F$22,)="",VLOOKUP($B54,'A1.3.7'!$B$28:$H$118,3,)=""),"",VLOOKUP($B54,'A1.3.11'!$B$26:$AM$105,F$22,)*(VLOOKUP($B54,'A1.3.7'!$B$28:$O$118,3,)+VLOOKUP($B54,'A1.3.7'!$B$28:$O$118,8,))))</f>
        <v>-8.0358577724964103E-2</v>
      </c>
      <c r="G54" s="2644">
        <f>IF('A1.3.8'!G$27="","",IF(OR(VLOOKUP($B54,'A1.3.11'!$B$26:$AM$105,G$22,)="",VLOOKUP($B54,'A1.3.7'!$B$28:$H$118,3,)=""),"",VLOOKUP($B54,'A1.3.11'!$B$26:$AM$105,G$22,)*(VLOOKUP($B54,'A1.3.7'!$B$28:$O$118,3,)+VLOOKUP($B54,'A1.3.7'!$B$28:$O$118,8,))))</f>
        <v>5.3220839451229788E-4</v>
      </c>
      <c r="H54" s="693">
        <f>IF('A1.3.8'!D$28="","",IF(OR(VLOOKUP($B54,'A1.3.11'!$B$26:$AM$105,H$22,)="",VLOOKUP($B54,'A1.3.7'!$B$28:$H$118,4,)=""),"",VLOOKUP($B54,'A1.3.11'!$B$26:$AM$105,H$22,)*(VLOOKUP($B54,'A1.3.7'!$B$28:$O$118,4,)+VLOOKUP($B54,'A1.3.7'!$B$28:$O$118,9,))))</f>
        <v>41.056732637658229</v>
      </c>
      <c r="I54" s="691">
        <f>IF('A1.3.8'!E$28="","",IF(OR(VLOOKUP($B54,'A1.3.11'!$B$26:$AM$105,I$22,)="",VLOOKUP($B54,'A1.3.7'!$B$28:$H$118,4,)=""),"",VLOOKUP($B54,'A1.3.11'!$B$26:$AM$105,I$22,)*(VLOOKUP($B54,'A1.3.7'!$B$28:$O$118,4,)+VLOOKUP($B54,'A1.3.7'!$B$28:$O$118,9,))))</f>
        <v>5.8865201283964153</v>
      </c>
      <c r="J54" s="691">
        <f>IF('A1.3.8'!F$28="","",IF(OR(VLOOKUP($B54,'A1.3.11'!$B$26:$AM$105,J$22,)="",VLOOKUP($B54,'A1.3.7'!$B$28:$H$118,4,)=""),"",VLOOKUP($B54,'A1.3.11'!$B$26:$AM$105,J$22,)*(VLOOKUP($B54,'A1.3.7'!$B$28:$O$118,4,)+VLOOKUP($B54,'A1.3.7'!$B$28:$O$118,9,))))</f>
        <v>-5.6629963505916273E-2</v>
      </c>
      <c r="K54" s="2644">
        <f>IF('A1.3.8'!G$28="","",IF(OR(VLOOKUP($B54,'A1.3.11'!$B$26:$AM$105,K$22,)="",VLOOKUP($B54,'A1.3.7'!$B$28:$H$118,4,)=""),"",VLOOKUP($B54,'A1.3.11'!$B$26:$AM$105,K$22,)*(VLOOKUP($B54,'A1.3.7'!$B$28:$O$118,4,)+VLOOKUP($B54,'A1.3.7'!$B$28:$O$118,9,))))</f>
        <v>4.4624695359428505E-4</v>
      </c>
      <c r="L54" s="693" t="str">
        <f>IF('A1.3.8'!D$36="","",IF(OR(VLOOKUP($B54,'A1.3.11'!$B$26:$AM$105,L$22,)="",VLOOKUP($B54,'A1.3.7'!$B$28:$H$118,6,)=""),"",VLOOKUP($B54,'A1.3.11'!$B$26:$AM$105,L$22,)*VLOOKUP($B54,'A1.3.7'!$B$28:$O$118,6,)))</f>
        <v/>
      </c>
      <c r="M54" s="691">
        <f>IF('A1.3.8'!E$36="","",IF(OR(VLOOKUP($B54,'A1.3.11'!$B$26:$AM$105,M$22,)="",VLOOKUP($B54,'A1.3.7'!$B$28:$H$118,6,)=""),"",VLOOKUP($B54,'A1.3.11'!$B$26:$AM$105,M$22,)*VLOOKUP($B54,'A1.3.7'!$B$28:$O$118,6,)))</f>
        <v>1.9637608285706969</v>
      </c>
      <c r="N54" s="691" t="str">
        <f>IF('A1.3.8'!F$36="","",IF(OR(VLOOKUP($B54,'A1.3.11'!$B$26:$AM$105,N$22,)="",VLOOKUP($B54,'A1.3.7'!$B$28:$H$118,6,)=""),"",VLOOKUP($B54,'A1.3.11'!$B$26:$AM$105,N$22,)*VLOOKUP($B54,'A1.3.7'!$B$28:$O$118,6,)))</f>
        <v/>
      </c>
      <c r="O54" s="1664" t="str">
        <f>IF('A1.3.8'!G$36="","",IF(OR(VLOOKUP($B54,'A1.3.11'!$B$26:$AM$105,O$22,)="",VLOOKUP($B54,'A1.3.7'!$B$28:$H$118,6,)=""),"",VLOOKUP($B54,'A1.3.11'!$B$26:$AM$105,O$22,)*VLOOKUP($B54,'A1.3.7'!$B$28:$O$118,6,)))</f>
        <v/>
      </c>
      <c r="P54" s="693">
        <f>IF(AND(D54="",H54="",L54=""),"",IF(D54="",0,(D54*VLOOKUP($B54,'A1.3.9'!$B$26:$O$57,3,TRUE)))+IF(H54="",0,(H54*VLOOKUP($B54,'A1.3.9'!$B$26:$O$57,4,TRUE)))+IF(L54="",0,(L54*VLOOKUP($B54,'A1.3.9'!$B$26:$O$57,5,TRUE))))</f>
        <v>27.573214043823086</v>
      </c>
      <c r="Q54" s="691">
        <f>IF(AND(E54="",I54="",M54=""),"",IF(E54="",0,(E54*VLOOKUP($B54,'A1.3.9'!$B$26:$O$57,3,TRUE)))+IF(I54="",0,(I54*VLOOKUP($B54,'A1.3.9'!$B$26:$O$57,4,TRUE)))+IF(M54="",0,(M54*VLOOKUP($B54,'A1.3.9'!$B$26:$O$57,5,TRUE))))</f>
        <v>5.459897385683675</v>
      </c>
      <c r="R54" s="691">
        <f>IF(AND(F54="",J54="",N54=""),"",IF(F54="",0,(F54*VLOOKUP($B54,'A1.3.9'!$B$26:$O$57,3,TRUE)))+IF(J54="",0,(J54*VLOOKUP($B54,'A1.3.9'!$B$26:$O$57,4,TRUE)))+IF(N54="",0,(N54*VLOOKUP($B54,'A1.3.9'!$B$26:$O$57,5,TRUE))))</f>
        <v>-5.3554830206530249E-2</v>
      </c>
      <c r="S54" s="2644">
        <f>IF(AND(G54="",K54="",O54=""),"",IF(G54="",0,(G54*VLOOKUP($B54,'A1.3.9'!$B$26:$O$57,3,TRUE)))+IF(K54="",0,(K54*VLOOKUP($B54,'A1.3.9'!$B$26:$O$57,4,TRUE)))+IF(O54="",0,(O54*VLOOKUP($B54,'A1.3.9'!$B$26:$O$57,5,TRUE))))</f>
        <v>3.7665694340254045E-4</v>
      </c>
      <c r="T54" s="693">
        <f>IF('A1.3.8'!D$29="","",IF(OR(VLOOKUP($B54,'A1.3.11'!$B$26:$AM$105,T$22,)="",VLOOKUP($B54,'A1.3.7'!$B$28:$H$118,3,)=""),"",VLOOKUP($B54,'A1.3.11'!$B$26:$AM$105,T$22,)*(VLOOKUP($B54,'A1.3.7'!$B$28:$O$118,3,)+VLOOKUP($B54,'A1.3.7'!$B$28:$O$118,8,))))</f>
        <v>23.878181259127551</v>
      </c>
      <c r="U54" s="691">
        <f>IF('A1.3.8'!E$29="","",IF(OR(VLOOKUP($B54,'A1.3.11'!$B$26:$AM$105,U$22,)="",VLOOKUP($B54,'A1.3.7'!$B$28:$H$118,3,)=""),"",VLOOKUP($B54,'A1.3.11'!$B$26:$AM$105,U$22,)*(VLOOKUP($B54,'A1.3.7'!$B$28:$O$118,3,)+VLOOKUP($B54,'A1.3.7'!$B$28:$O$118,8,))))</f>
        <v>13.389501827843356</v>
      </c>
      <c r="V54" s="691">
        <f>IF('A1.3.8'!F$29="","",IF(OR(VLOOKUP($B54,'A1.3.11'!$B$26:$AM$105,V$22,)="",VLOOKUP($B54,'A1.3.7'!$B$28:$H$118,3,)=""),"",VLOOKUP($B54,'A1.3.11'!$B$26:$AM$105,V$22,)*(VLOOKUP($B54,'A1.3.7'!$B$28:$O$118,3,)+VLOOKUP($B54,'A1.3.7'!$B$28:$O$118,8,))))</f>
        <v>-0.21017122906912539</v>
      </c>
      <c r="W54" s="2644">
        <f>IF('A1.3.8'!G$29="","",IF(OR(VLOOKUP($B54,'A1.3.11'!$B$26:$AM$105,W$22,)="",VLOOKUP($B54,'A1.3.7'!$B$28:$H$118,3,)=""),"",VLOOKUP($B54,'A1.3.11'!$B$26:$AM$105,W$22,)*(VLOOKUP($B54,'A1.3.7'!$B$28:$O$118,3,)+VLOOKUP($B54,'A1.3.7'!$B$28:$O$118,8,))))</f>
        <v>1.357293651919276E-3</v>
      </c>
      <c r="X54" s="693">
        <f>IF('A1.3.8'!D$30="","",IF(OR(VLOOKUP($B54,'A1.3.11'!$B$26:$AM$105,X$22,)="",VLOOKUP($B54,'A1.3.7'!$B$28:$H$118,4,)=""),"",VLOOKUP($B54,'A1.3.11'!$B$26:$AM$105,X$22,)*(VLOOKUP($B54,'A1.3.7'!$B$28:$O$118,4,)+VLOOKUP($B54,'A1.3.7'!$B$28:$O$118,9,))))</f>
        <v>42.284451397982693</v>
      </c>
      <c r="Y54" s="691">
        <f>IF('A1.3.8'!E$30="","",IF(OR(VLOOKUP($B54,'A1.3.11'!$B$26:$AM$105,Y$22,)="",VLOOKUP($B54,'A1.3.7'!$B$28:$H$118,4,)=""),"",VLOOKUP($B54,'A1.3.11'!$B$26:$AM$105,Y$22,)*(VLOOKUP($B54,'A1.3.7'!$B$28:$O$118,4,)+VLOOKUP($B54,'A1.3.7'!$B$28:$O$118,9,))))</f>
        <v>10.334492244833314</v>
      </c>
      <c r="Z54" s="691">
        <f>IF('A1.3.8'!F$30="","",IF(OR(VLOOKUP($B54,'A1.3.11'!$B$26:$AM$105,Z$22,)="",VLOOKUP($B54,'A1.3.7'!$B$28:$H$118,4,)=""),"",VLOOKUP($B54,'A1.3.11'!$B$26:$AM$105,Z$22,)*(VLOOKUP($B54,'A1.3.7'!$B$28:$O$118,4,)+VLOOKUP($B54,'A1.3.7'!$B$28:$O$118,9,))))</f>
        <v>-0.149093832982202</v>
      </c>
      <c r="AA54" s="2644">
        <f>IF('A1.3.8'!G$30="","",IF(OR(VLOOKUP($B54,'A1.3.11'!$B$26:$AM$105,AA$22,)="",VLOOKUP($B54,'A1.3.7'!$B$28:$H$118,4,)=""),"",VLOOKUP($B54,'A1.3.11'!$B$26:$AM$105,AA$22,)*(VLOOKUP($B54,'A1.3.7'!$B$28:$O$118,4,)+VLOOKUP($B54,'A1.3.7'!$B$28:$O$118,9,))))</f>
        <v>1.2622335885037331E-3</v>
      </c>
      <c r="AB54" s="693" t="str">
        <f>IF('A1.3.8'!D$37="","",IF(OR(VLOOKUP($B54,'A1.3.11'!$B$26:$AM$105,AB$22,)="",VLOOKUP($B54,'A1.3.7'!$B$28:$H$118,6,)=""),"",VLOOKUP($B54,'A1.3.11'!$B$26:$AM$105,AB$22,)*VLOOKUP($B54,'A1.3.7'!$B$28:$O$118,6,)))</f>
        <v/>
      </c>
      <c r="AC54" s="691">
        <f>IF('A1.3.8'!E$37="","",IF(OR(VLOOKUP($B54,'A1.3.11'!$B$26:$AM$105,AC$22,)="",VLOOKUP($B54,'A1.3.7'!$B$28:$H$118,6,)=""),"",VLOOKUP($B54,'A1.3.11'!$B$26:$AM$105,AC$22,)*VLOOKUP($B54,'A1.3.7'!$B$28:$O$118,6,)))</f>
        <v>4.5145632825273854</v>
      </c>
      <c r="AD54" s="691" t="str">
        <f>IF('A1.3.8'!F$37="","",IF(OR(VLOOKUP($B54,'A1.3.11'!$B$26:$AM$105,AD$22,)="",VLOOKUP($B54,'A1.3.7'!$B$28:$H$118,6,)=""),"",VLOOKUP($B54,'A1.3.11'!$B$26:$AM$105,AD$22,)*VLOOKUP($B54,'A1.3.7'!$B$28:$O$118,6,)))</f>
        <v/>
      </c>
      <c r="AE54" s="1664" t="str">
        <f>IF('A1.3.8'!G$37="","",IF(OR(VLOOKUP($B54,'A1.3.11'!$B$26:$AM$105,AE$22,)="",VLOOKUP($B54,'A1.3.7'!$B$28:$H$118,6,)=""),"",VLOOKUP($B54,'A1.3.11'!$B$26:$AM$105,AE$22,)*VLOOKUP($B54,'A1.3.7'!$B$28:$O$118,6,)))</f>
        <v/>
      </c>
      <c r="AF54" s="693">
        <f>IF(AND(T54="",X54="",AB54=""),"",IF(T54="",0,(T54*VLOOKUP('A1.3.12'!$B54,'A1.3.9'!$B$26:$O$57,6,TRUE))) + IF(X54="",0,(X54*VLOOKUP('A1.3.12'!$B54,'A1.3.9'!$B$26:$O$57,7,TRUE))) + IF(AB54="",0,(AB54*VLOOKUP('A1.3.12'!$B54,'A1.3.9'!$B$26:$O$57,8,TRUE))))</f>
        <v>37.518089226857626</v>
      </c>
      <c r="AG54" s="691">
        <f>IF(AND(U54="",Y54="",AC54=""),"",IF(U54="",0,(U54*VLOOKUP('A1.3.12'!$B54,'A1.3.9'!$B$26:$O$57,6,TRUE))) + IF(Y54="",0,(Y54*VLOOKUP('A1.3.12'!$B54,'A1.3.9'!$B$26:$O$57,7,TRUE))) + IF(AC54="",0,(AC54*VLOOKUP('A1.3.12'!$B54,'A1.3.9'!$B$26:$O$57,8,TRUE))))</f>
        <v>9.720829499893318</v>
      </c>
      <c r="AH54" s="691">
        <f>IF(AND(V54="",Z54="",AD54=""),"",IF(V54="",0,(V54*VLOOKUP('A1.3.12'!$B54,'A1.3.9'!$B$26:$O$57,6,TRUE))) + IF(Z54="",0,(Z54*VLOOKUP('A1.3.12'!$B54,'A1.3.9'!$B$26:$O$57,7,TRUE))) + IF(AD54="",0,(AD54*VLOOKUP('A1.3.12'!$B54,'A1.3.9'!$B$26:$O$57,8,TRUE))))</f>
        <v>-0.13324284976897716</v>
      </c>
      <c r="AI54" s="2644">
        <f>IF(AND(W54="",AA54="",AE54=""),"",IF(W54="",0,(W54*VLOOKUP('A1.3.12'!$B54,'A1.3.9'!$B$26:$O$57,6,TRUE))) + IF(AA54="",0,(AA54*VLOOKUP('A1.3.12'!$B54,'A1.3.9'!$B$26:$O$57,7,TRUE))) + IF(AE54="",0,(AE54*VLOOKUP('A1.3.12'!$B54,'A1.3.9'!$B$26:$O$57,8,TRUE))))</f>
        <v>1.124839098264939E-3</v>
      </c>
      <c r="AJ54" s="693">
        <f>IF('A1.3.8'!D$31="","",IF(OR(VLOOKUP($B54,'A1.3.11'!$B$26:$AM$105,AJ$22,)="",VLOOKUP($B54,'A1.3.7'!$B$28:$H$118,4,)=""),"",VLOOKUP($B54,'A1.3.11'!$B$26:$AM$105,AJ$22,)*(VLOOKUP($B54,'A1.3.7'!$B$28:$O$118,4,)+VLOOKUP($B54,'A1.3.7'!$B$28:$O$118,9,))))</f>
        <v>285.84131815530759</v>
      </c>
      <c r="AK54" s="691">
        <f>IF('A1.3.8'!E$31="","",IF(OR(VLOOKUP($B54,'A1.3.11'!$B$26:$AM$105,AK$22,)="",VLOOKUP($B54,'A1.3.7'!$B$28:$H$118,4,)=""),"",VLOOKUP($B54,'A1.3.11'!$B$26:$AM$105,AK$22,)*(VLOOKUP($B54,'A1.3.7'!$B$28:$O$118,4,)+VLOOKUP($B54,'A1.3.7'!$B$28:$O$118,9,))))</f>
        <v>15.165941495069587</v>
      </c>
      <c r="AL54" s="691">
        <f>IF('A1.3.8'!F$31="","",IF(OR(VLOOKUP($B54,'A1.3.11'!$B$26:$AM$105,AL$22,)="",VLOOKUP($B54,'A1.3.7'!$B$28:$H$118,4,)=""),"",VLOOKUP($B54,'A1.3.11'!$B$26:$AM$105,AL$22,)*(VLOOKUP($B54,'A1.3.7'!$B$28:$O$118,4,)+VLOOKUP($B54,'A1.3.7'!$B$28:$O$118,9,))))</f>
        <v>-0.10961952141879608</v>
      </c>
      <c r="AM54" s="2644">
        <f>IF('A1.3.8'!G$31="","",IF(OR(VLOOKUP($B54,'A1.3.11'!$B$26:$AM$105,AM$22,)="",VLOOKUP($B54,'A1.3.7'!$B$28:$H$118,4,)=""),"",VLOOKUP($B54,'A1.3.11'!$B$26:$AM$105,AM$22,)*(VLOOKUP($B54,'A1.3.7'!$B$28:$O$118,4,)+VLOOKUP($B54,'A1.3.7'!$B$28:$O$118,9,))))</f>
        <v>1.1972210588024261E-3</v>
      </c>
      <c r="AN54" s="693" t="str">
        <f>IF('A1.3.8'!D$38="","",IF(OR(VLOOKUP($B54,'A1.3.11'!$B$26:$AM$105,AN$22,)="",VLOOKUP($B54,'A1.3.7'!$B$28:$H$118,6,)=""),"",VLOOKUP($B54,'A1.3.11'!$B$26:$AM$105,AN$22,)*VLOOKUP($B54,'A1.3.7'!$B$28:$O$118,6,)))</f>
        <v/>
      </c>
      <c r="AO54" s="691" t="str">
        <f>IF('A1.3.8'!E$38="","",IF(OR(VLOOKUP($B54,'A1.3.11'!$B$26:$AM$105,AO$22,)="",VLOOKUP($B54,'A1.3.7'!$B$28:$H$118,6,)=""),"",VLOOKUP($B54,'A1.3.11'!$B$26:$AM$105,AO$22,)*VLOOKUP($B54,'A1.3.7'!$B$28:$O$118,6,)))</f>
        <v/>
      </c>
      <c r="AP54" s="691" t="str">
        <f>IF('A1.3.8'!F$38="","",IF(OR(VLOOKUP($B54,'A1.3.11'!$B$26:$AM$105,AP$22,)="",VLOOKUP($B54,'A1.3.7'!$B$28:$H$118,6,)=""),"",VLOOKUP($B54,'A1.3.11'!$B$26:$AM$105,AP$22,)*VLOOKUP($B54,'A1.3.7'!$B$28:$O$118,6,)))</f>
        <v/>
      </c>
      <c r="AQ54" s="1664" t="str">
        <f>IF('A1.3.8'!G$38="","",IF(OR(VLOOKUP($B54,'A1.3.11'!$B$26:$AM$105,AQ$22,)="",VLOOKUP($B54,'A1.3.7'!$B$28:$H$118,6,)=""),"",VLOOKUP($B54,'A1.3.11'!$B$26:$AM$105,AQ$22,)*VLOOKUP($B54,'A1.3.7'!$B$28:$O$118,6,)))</f>
        <v/>
      </c>
      <c r="AR54" s="693">
        <f>IF(AND(AJ54="",AN54=""),"",IF(AJ54="",0,(AJ54*VLOOKUP($B54,'A1.3.9'!$B$26:$O$57,9,TRUE))) + IF(AN54="",0,(AN54*VLOOKUP($B54,'A1.3.9'!$B$26:$O$57,10,TRUE))))</f>
        <v>285.84131815530759</v>
      </c>
      <c r="AS54" s="691">
        <f>IF(AND(AK54="",AO54=""),"",IF(AK54="",0,(AK54*VLOOKUP($B54,'A1.3.9'!$B$26:$O$57,9,TRUE))) + IF(AO54="",0,(AO54*VLOOKUP($B54,'A1.3.9'!$B$26:$O$57,10,TRUE))))</f>
        <v>15.165941495069587</v>
      </c>
      <c r="AT54" s="691">
        <f>IF(AND(AL54="",AP54=""),"",IF(AL54="",0,(AL54*VLOOKUP($B54,'A1.3.9'!$B$26:$O$57,9,TRUE))) + IF(AP54="",0,(AP54*VLOOKUP($B54,'A1.3.9'!$B$26:$O$57,10,TRUE))))</f>
        <v>-0.10961952141879608</v>
      </c>
      <c r="AU54" s="2644">
        <f>IF(AND(AM54="",AQ54=""),"",IF(AM54="",0,(AM54*VLOOKUP($B54,'A1.3.9'!$B$26:$O$57,9,TRUE))) + IF(AQ54="",0,(AQ54*VLOOKUP($B54,'A1.3.9'!$B$26:$O$57,10,TRUE))))</f>
        <v>1.1972210588024261E-3</v>
      </c>
      <c r="AV54" s="693">
        <f>IF('A1.3.8'!D$32="","",IF(OR(VLOOKUP($B54,'A1.3.11'!$B$26:$AM$105,AV$22,)="",VLOOKUP($B54,'A1.3.7'!$B$28:$H$118,4,)=""),"",VLOOKUP($B54,'A1.3.11'!$B$26:$AM$105,AV$22,)*(VLOOKUP($B54,'A1.3.7'!$B$28:$O$118,4,)+VLOOKUP($B54,'A1.3.7'!$B$28:$O$118,9,))))</f>
        <v>600.62709304287955</v>
      </c>
      <c r="AW54" s="691">
        <f>IF('A1.3.8'!E$32="","",IF(OR(VLOOKUP($B54,'A1.3.11'!$B$26:$AM$105,AW$22,)="",VLOOKUP($B54,'A1.3.7'!$B$28:$H$118,4,)=""),"",VLOOKUP($B54,'A1.3.11'!$B$26:$AM$105,AW$22,)*(VLOOKUP($B54,'A1.3.7'!$B$28:$O$118,4,)+VLOOKUP($B54,'A1.3.7'!$B$28:$O$118,9,))))</f>
        <v>31.191629193849753</v>
      </c>
      <c r="AX54" s="691">
        <f>IF('A1.3.8'!F$32="","",IF(OR(VLOOKUP($B54,'A1.3.11'!$B$26:$AM$105,AX$22,)="",VLOOKUP($B54,'A1.3.7'!$B$28:$H$118,4,)=""),"",VLOOKUP($B54,'A1.3.11'!$B$26:$AM$105,AX$22,)*(VLOOKUP($B54,'A1.3.7'!$B$28:$O$118,4,)+VLOOKUP($B54,'A1.3.7'!$B$28:$O$118,9,))))</f>
        <v>-0.20666095218048228</v>
      </c>
      <c r="AY54" s="2644">
        <f>IF('A1.3.8'!G$32="","",IF(OR(VLOOKUP($B54,'A1.3.11'!$B$26:$AM$105,AY$22,)="",VLOOKUP($B54,'A1.3.7'!$B$28:$H$118,4,)=""),"",VLOOKUP($B54,'A1.3.11'!$B$26:$AM$105,AY$22,)*(VLOOKUP($B54,'A1.3.7'!$B$28:$O$118,4,)+VLOOKUP($B54,'A1.3.7'!$B$28:$O$118,9,))))</f>
        <v>1.2317852112869374E-3</v>
      </c>
      <c r="AZ54" s="693" t="str">
        <f>IF('A1.3.8'!D$39="","",IF(OR(VLOOKUP($B54,'A1.3.11'!$B$26:$AM$105,AZ$22,)="",VLOOKUP($B54,'A1.3.7'!$B$28:$H$118,6,)=""),"",VLOOKUP($B54,'A1.3.11'!$B$26:$AM$105,AZ$22,)*VLOOKUP($B54,'A1.3.7'!$B$28:$O$118,6,)))</f>
        <v/>
      </c>
      <c r="BA54" s="691" t="str">
        <f>IF('A1.3.8'!E$39="","",IF(OR(VLOOKUP($B54,'A1.3.11'!$B$26:$AM$105,BA$22,)="",VLOOKUP($B54,'A1.3.7'!$B$28:$H$118,6,)=""),"",VLOOKUP($B54,'A1.3.11'!$B$26:$AM$105,BA$22,)*VLOOKUP($B54,'A1.3.7'!$B$28:$O$118,6,)))</f>
        <v/>
      </c>
      <c r="BB54" s="691" t="str">
        <f>IF('A1.3.8'!F$39="","",IF(OR(VLOOKUP($B54,'A1.3.11'!$B$26:$AM$105,BB$22,)="",VLOOKUP($B54,'A1.3.7'!$B$28:$H$118,6,)=""),"",VLOOKUP($B54,'A1.3.11'!$B$26:$AM$105,BB$22,)*VLOOKUP($B54,'A1.3.7'!$B$28:$O$118,6,)))</f>
        <v/>
      </c>
      <c r="BC54" s="1664" t="str">
        <f>IF('A1.3.8'!G$39="","",IF(OR(VLOOKUP($B54,'A1.3.11'!$B$26:$AM$105,BC$22,)="",VLOOKUP($B54,'A1.3.7'!$B$28:$H$118,6,)=""),"",VLOOKUP($B54,'A1.3.11'!$B$26:$AM$105,BC$22,)*VLOOKUP($B54,'A1.3.7'!$B$28:$O$118,6,)))</f>
        <v/>
      </c>
      <c r="BD54" s="693">
        <f>IF(AND(AV54="",AZ54=""),"",IF(AV54="",0,(AV54*VLOOKUP($B54,'A1.3.9'!$B$26:$O$57,9,TRUE))) + IF(AZ54="",0,(AZ54*VLOOKUP($B54,'A1.3.9'!$B$26:$O$57,10,TRUE))))</f>
        <v>600.62709304287955</v>
      </c>
      <c r="BE54" s="691">
        <f>IF(AND(AW54="",BA54=""),"",IF(AW54="",0,(AW54*VLOOKUP($B54,'A1.3.9'!$B$26:$O$57,9,TRUE))) + IF(BA54="",0,(BA54*VLOOKUP($B54,'A1.3.9'!$B$26:$O$57,10,TRUE))))</f>
        <v>31.191629193849753</v>
      </c>
      <c r="BF54" s="691">
        <f>IF(AND(AX54="",BB54=""),"",IF(AX54="",0,(AX54*VLOOKUP($B54,'A1.3.9'!$B$26:$O$57,9,TRUE))) + IF(BB54="",0,(BB54*VLOOKUP($B54,'A1.3.9'!$B$26:$O$57,10,TRUE))))</f>
        <v>-0.20666095218048228</v>
      </c>
      <c r="BG54" s="2644">
        <f>IF(AND(AY54="",BC54=""),"",IF(AY54="",0,(AY54*VLOOKUP($B54,'A1.3.9'!$B$26:$O$57,9,TRUE))) + IF(BC54="",0,(BC54*VLOOKUP($B54,'A1.3.9'!$B$26:$O$57,10,TRUE))))</f>
        <v>1.2317852112869374E-3</v>
      </c>
      <c r="BH54" s="693">
        <f>IF('A1.3.8'!D$33="","",IF(OR(VLOOKUP($B54,'A1.3.11'!$B$26:$AM$105,BH$22,)="",VLOOKUP($B54,'A1.3.7'!$B$28:$H$118,4,)=""),"",VLOOKUP($B54,'A1.3.11'!$B$26:$AM$105,BH$22,)*(VLOOKUP($B54,'A1.3.7'!$B$28:$O$118,4,)+VLOOKUP($B54,'A1.3.7'!$B$28:$O$118,9,))))</f>
        <v>356.2235937960466</v>
      </c>
      <c r="BI54" s="691">
        <f>IF('A1.3.8'!E$33="","",IF(OR(VLOOKUP($B54,'A1.3.11'!$B$26:$AM$105,BI$22,)="",VLOOKUP($B54,'A1.3.7'!$B$28:$H$118,4,)=""),"",VLOOKUP($B54,'A1.3.11'!$B$26:$AM$105,BI$22,)*(VLOOKUP($B54,'A1.3.7'!$B$28:$O$118,4,)+VLOOKUP($B54,'A1.3.7'!$B$28:$O$118,9,))))</f>
        <v>31.300280973527403</v>
      </c>
      <c r="BJ54" s="691">
        <f>IF('A1.3.8'!F$33="","",IF(OR(VLOOKUP($B54,'A1.3.11'!$B$26:$AM$105,BJ$22,)="",VLOOKUP($B54,'A1.3.7'!$B$28:$H$118,4,)=""),"",VLOOKUP($B54,'A1.3.11'!$B$26:$AM$105,BJ$22,)*(VLOOKUP($B54,'A1.3.7'!$B$28:$O$118,4,)+VLOOKUP($B54,'A1.3.7'!$B$28:$O$118,9,))))</f>
        <v>-0.34020615647151209</v>
      </c>
      <c r="BK54" s="2644">
        <f>IF('A1.3.8'!G$33="","",IF(OR(VLOOKUP($B54,'A1.3.11'!$B$26:$AM$105,BK$22,)="",VLOOKUP($B54,'A1.3.7'!$B$28:$H$118,4,)=""),"",VLOOKUP($B54,'A1.3.11'!$B$26:$AM$105,BK$22,)*(VLOOKUP($B54,'A1.3.7'!$B$28:$O$118,4,)+VLOOKUP($B54,'A1.3.7'!$B$28:$O$118,9,))))</f>
        <v>2.4955512171014613E-3</v>
      </c>
      <c r="BL54" s="693" t="str">
        <f>IF('A1.3.8'!D$40="","",IF(OR(VLOOKUP($B54,'A1.3.11'!$B$26:$AM$105,BL$22,)="",VLOOKUP($B54,'A1.3.7'!$B$28:$H$118,6,)=""),"",VLOOKUP($B54,'A1.3.11'!$B$26:$AM$105,BL$22,)*VLOOKUP($B54,'A1.3.7'!$B$28:$O$118,6,)))</f>
        <v/>
      </c>
      <c r="BM54" s="691" t="str">
        <f>IF('A1.3.8'!E$40="","",IF(OR(VLOOKUP($B54,'A1.3.11'!$B$26:$AM$105,BM$22,)="",VLOOKUP($B54,'A1.3.7'!$B$28:$H$118,6,)=""),"",VLOOKUP($B54,'A1.3.11'!$B$26:$AM$105,BM$22,)*VLOOKUP($B54,'A1.3.7'!$B$28:$O$118,6,)))</f>
        <v/>
      </c>
      <c r="BN54" s="691" t="str">
        <f>IF('A1.3.8'!F$40="","",IF(OR(VLOOKUP($B54,'A1.3.11'!$B$26:$AM$105,BN$22,)="",VLOOKUP($B54,'A1.3.7'!$B$28:$H$118,6,)=""),"",VLOOKUP($B54,'A1.3.11'!$B$26:$AM$105,BN$22,)*VLOOKUP($B54,'A1.3.7'!$B$28:$O$118,6,)))</f>
        <v/>
      </c>
      <c r="BO54" s="1664" t="str">
        <f>IF('A1.3.8'!G$40="","",IF(OR(VLOOKUP($B54,'A1.3.11'!$B$26:$AM$105,BO$22,)="",VLOOKUP($B54,'A1.3.7'!$B$28:$H$118,6,)=""),"",VLOOKUP($B54,'A1.3.11'!$B$26:$AM$105,BO$22,)*VLOOKUP($B54,'A1.3.7'!$B$28:$O$118,6,)))</f>
        <v/>
      </c>
      <c r="BP54" s="693">
        <f>IF(AND(BH54="",BL54=""),"",IF(BH54="",0,(BH54*VLOOKUP($B54,'A1.3.9'!$B$26:$O$57,9,TRUE))) + IF(BL54="",0,(BL54*VLOOKUP($B54,'A1.3.9'!$B$26:$O$57,10,TRUE))))</f>
        <v>356.2235937960466</v>
      </c>
      <c r="BQ54" s="691">
        <f>IF(AND(BI54="",BM54=""),"",IF(BI54="",0,(BI54*VLOOKUP($B54,'A1.3.9'!$B$26:$O$57,9,TRUE))) + IF(BM54="",0,(BM54*VLOOKUP($B54,'A1.3.9'!$B$26:$O$57,10,TRUE))))</f>
        <v>31.300280973527403</v>
      </c>
      <c r="BR54" s="691">
        <f>IF(AND(BJ54="",BN54=""),"",IF(BJ54="",0,(BJ54*VLOOKUP($B54,'A1.3.9'!$B$26:$O$57,9,TRUE))) + IF(BN54="",0,(BN54*VLOOKUP($B54,'A1.3.9'!$B$26:$O$57,10,TRUE))))</f>
        <v>-0.34020615647151209</v>
      </c>
      <c r="BS54" s="2644">
        <f>IF(AND(BK54="",BO54=""),"",IF(BK54="",0,(BK54*VLOOKUP($B54,'A1.3.9'!$B$26:$O$57,9,TRUE))) + IF(BO54="",0,(BO54*VLOOKUP($B54,'A1.3.9'!$B$26:$O$57,10,TRUE))))</f>
        <v>2.4955512171014613E-3</v>
      </c>
    </row>
    <row r="55" spans="1:71" s="26" customFormat="1" ht="13.5" customHeight="1">
      <c r="A55" s="113"/>
      <c r="B55" s="614">
        <f t="shared" si="0"/>
        <v>2038</v>
      </c>
      <c r="C55" s="147"/>
      <c r="D55" s="693">
        <f>IF('A1.3.8'!D$27="","",IF(OR(VLOOKUP($B55,'A1.3.11'!$B$26:$AM$105,D$22,)="",VLOOKUP($B55,'A1.3.7'!$B$28:$H$118,3,)=""),"",VLOOKUP($B55,'A1.3.11'!$B$26:$AM$105,D$22,)*(VLOOKUP($B55,'A1.3.7'!$B$28:$O$118,3,)+VLOOKUP($B55,'A1.3.7'!$B$28:$O$118,8,))))</f>
        <v>33.357182251046851</v>
      </c>
      <c r="E55" s="691">
        <f>IF('A1.3.8'!E$27="","",IF(OR(VLOOKUP($B55,'A1.3.11'!$B$26:$AM$105,E$22,)="",VLOOKUP($B55,'A1.3.7'!$B$28:$H$118,3,)=""),"",VLOOKUP($B55,'A1.3.11'!$B$26:$AM$105,E$22,)*(VLOOKUP($B55,'A1.3.7'!$B$28:$O$118,3,)+VLOOKUP($B55,'A1.3.7'!$B$28:$O$118,8,))))</f>
        <v>7.0889423121388653</v>
      </c>
      <c r="F55" s="691">
        <f>IF('A1.3.8'!F$27="","",IF(OR(VLOOKUP($B55,'A1.3.11'!$B$26:$AM$105,F$22,)="",VLOOKUP($B55,'A1.3.7'!$B$28:$H$118,3,)=""),"",VLOOKUP($B55,'A1.3.11'!$B$26:$AM$105,F$22,)*(VLOOKUP($B55,'A1.3.7'!$B$28:$O$118,3,)+VLOOKUP($B55,'A1.3.7'!$B$28:$O$118,8,))))</f>
        <v>-8.075145961052678E-2</v>
      </c>
      <c r="G55" s="2644">
        <f>IF('A1.3.8'!G$27="","",IF(OR(VLOOKUP($B55,'A1.3.11'!$B$26:$AM$105,G$22,)="",VLOOKUP($B55,'A1.3.7'!$B$28:$H$118,3,)=""),"",VLOOKUP($B55,'A1.3.11'!$B$26:$AM$105,G$22,)*(VLOOKUP($B55,'A1.3.7'!$B$28:$O$118,3,)+VLOOKUP($B55,'A1.3.7'!$B$28:$O$118,8,))))</f>
        <v>5.3481041962857021E-4</v>
      </c>
      <c r="H55" s="693">
        <f>IF('A1.3.8'!D$28="","",IF(OR(VLOOKUP($B55,'A1.3.11'!$B$26:$AM$105,H$22,)="",VLOOKUP($B55,'A1.3.7'!$B$28:$H$118,4,)=""),"",VLOOKUP($B55,'A1.3.11'!$B$26:$AM$105,H$22,)*(VLOOKUP($B55,'A1.3.7'!$B$28:$O$118,4,)+VLOOKUP($B55,'A1.3.7'!$B$28:$O$118,9,))))</f>
        <v>41.249963087526012</v>
      </c>
      <c r="I55" s="691">
        <f>IF('A1.3.8'!E$28="","",IF(OR(VLOOKUP($B55,'A1.3.11'!$B$26:$AM$105,I$22,)="",VLOOKUP($B55,'A1.3.7'!$B$28:$H$118,4,)=""),"",VLOOKUP($B55,'A1.3.11'!$B$26:$AM$105,I$22,)*(VLOOKUP($B55,'A1.3.7'!$B$28:$O$118,4,)+VLOOKUP($B55,'A1.3.7'!$B$28:$O$118,9,))))</f>
        <v>5.9142245963238631</v>
      </c>
      <c r="J55" s="691">
        <f>IF('A1.3.8'!F$28="","",IF(OR(VLOOKUP($B55,'A1.3.11'!$B$26:$AM$105,J$22,)="",VLOOKUP($B55,'A1.3.7'!$B$28:$H$118,4,)=""),"",VLOOKUP($B55,'A1.3.11'!$B$26:$AM$105,J$22,)*(VLOOKUP($B55,'A1.3.7'!$B$28:$O$118,4,)+VLOOKUP($B55,'A1.3.7'!$B$28:$O$118,9,))))</f>
        <v>-5.6896488205307662E-2</v>
      </c>
      <c r="K55" s="2644">
        <f>IF('A1.3.8'!G$28="","",IF(OR(VLOOKUP($B55,'A1.3.11'!$B$26:$AM$105,K$22,)="",VLOOKUP($B55,'A1.3.7'!$B$28:$H$118,4,)=""),"",VLOOKUP($B55,'A1.3.11'!$B$26:$AM$105,K$22,)*(VLOOKUP($B55,'A1.3.7'!$B$28:$O$118,4,)+VLOOKUP($B55,'A1.3.7'!$B$28:$O$118,9,))))</f>
        <v>4.4834718159723289E-4</v>
      </c>
      <c r="L55" s="693" t="str">
        <f>IF('A1.3.8'!D$36="","",IF(OR(VLOOKUP($B55,'A1.3.11'!$B$26:$AM$105,L$22,)="",VLOOKUP($B55,'A1.3.7'!$B$28:$H$118,6,)=""),"",VLOOKUP($B55,'A1.3.11'!$B$26:$AM$105,L$22,)*VLOOKUP($B55,'A1.3.7'!$B$28:$O$118,6,)))</f>
        <v/>
      </c>
      <c r="M55" s="691">
        <f>IF('A1.3.8'!E$36="","",IF(OR(VLOOKUP($B55,'A1.3.11'!$B$26:$AM$105,M$22,)="",VLOOKUP($B55,'A1.3.7'!$B$28:$H$118,6,)=""),"",VLOOKUP($B55,'A1.3.11'!$B$26:$AM$105,M$22,)*VLOOKUP($B55,'A1.3.7'!$B$28:$O$118,6,)))</f>
        <v>1.9637608285706969</v>
      </c>
      <c r="N55" s="691" t="str">
        <f>IF('A1.3.8'!F$36="","",IF(OR(VLOOKUP($B55,'A1.3.11'!$B$26:$AM$105,N$22,)="",VLOOKUP($B55,'A1.3.7'!$B$28:$H$118,6,)=""),"",VLOOKUP($B55,'A1.3.11'!$B$26:$AM$105,N$22,)*VLOOKUP($B55,'A1.3.7'!$B$28:$O$118,6,)))</f>
        <v/>
      </c>
      <c r="O55" s="1664" t="str">
        <f>IF('A1.3.8'!G$36="","",IF(OR(VLOOKUP($B55,'A1.3.11'!$B$26:$AM$105,O$22,)="",VLOOKUP($B55,'A1.3.7'!$B$28:$H$118,6,)=""),"",VLOOKUP($B55,'A1.3.11'!$B$26:$AM$105,O$22,)*VLOOKUP($B55,'A1.3.7'!$B$28:$O$118,6,)))</f>
        <v/>
      </c>
      <c r="P55" s="693">
        <f>IF(AND(D55="",H55="",L55=""),"",IF(D55="",0,(D55*VLOOKUP($B55,'A1.3.9'!$B$26:$O$57,3,TRUE)))+IF(H55="",0,(H55*VLOOKUP($B55,'A1.3.9'!$B$26:$O$57,4,TRUE)))+IF(L55="",0,(L55*VLOOKUP($B55,'A1.3.9'!$B$26:$O$57,5,TRUE))))</f>
        <v>27.705708091367917</v>
      </c>
      <c r="Q55" s="691">
        <f>IF(AND(E55="",I55="",M55=""),"",IF(E55="",0,(E55*VLOOKUP($B55,'A1.3.9'!$B$26:$O$57,3,TRUE)))+IF(I55="",0,(I55*VLOOKUP($B55,'A1.3.9'!$B$26:$O$57,4,TRUE)))+IF(M55="",0,(M55*VLOOKUP($B55,'A1.3.9'!$B$26:$O$57,5,TRUE))))</f>
        <v>5.4839319591316587</v>
      </c>
      <c r="R55" s="691">
        <f>IF(AND(F55="",J55="",N55=""),"",IF(F55="",0,(F55*VLOOKUP($B55,'A1.3.9'!$B$26:$O$57,3,TRUE)))+IF(J55="",0,(J55*VLOOKUP($B55,'A1.3.9'!$B$26:$O$57,4,TRUE)))+IF(N55="",0,(N55*VLOOKUP($B55,'A1.3.9'!$B$26:$O$57,5,TRUE))))</f>
        <v>-5.3813473339529433E-2</v>
      </c>
      <c r="S55" s="2644">
        <f>IF(AND(G55="",K55="",O55=""),"",IF(G55="",0,(G55*VLOOKUP($B55,'A1.3.9'!$B$26:$O$57,3,TRUE)))+IF(K55="",0,(K55*VLOOKUP($B55,'A1.3.9'!$B$26:$O$57,4,TRUE)))+IF(O55="",0,(O55*VLOOKUP($B55,'A1.3.9'!$B$26:$O$57,5,TRUE))))</f>
        <v>3.784733049891838E-4</v>
      </c>
      <c r="T55" s="693">
        <f>IF('A1.3.8'!D$29="","",IF(OR(VLOOKUP($B55,'A1.3.11'!$B$26:$AM$105,T$22,)="",VLOOKUP($B55,'A1.3.7'!$B$28:$H$118,3,)=""),"",VLOOKUP($B55,'A1.3.11'!$B$26:$AM$105,T$22,)*(VLOOKUP($B55,'A1.3.7'!$B$28:$O$118,3,)+VLOOKUP($B55,'A1.3.7'!$B$28:$O$118,8,))))</f>
        <v>23.994924301905165</v>
      </c>
      <c r="U55" s="691">
        <f>IF('A1.3.8'!E$29="","",IF(OR(VLOOKUP($B55,'A1.3.11'!$B$26:$AM$105,U$22,)="",VLOOKUP($B55,'A1.3.7'!$B$28:$H$118,3,)=""),"",VLOOKUP($B55,'A1.3.11'!$B$26:$AM$105,U$22,)*(VLOOKUP($B55,'A1.3.7'!$B$28:$O$118,3,)+VLOOKUP($B55,'A1.3.7'!$B$28:$O$118,8,))))</f>
        <v>13.454964568396987</v>
      </c>
      <c r="V55" s="691">
        <f>IF('A1.3.8'!F$29="","",IF(OR(VLOOKUP($B55,'A1.3.11'!$B$26:$AM$105,V$22,)="",VLOOKUP($B55,'A1.3.7'!$B$28:$H$118,3,)=""),"",VLOOKUP($B55,'A1.3.11'!$B$26:$AM$105,V$22,)*(VLOOKUP($B55,'A1.3.7'!$B$28:$O$118,3,)+VLOOKUP($B55,'A1.3.7'!$B$28:$O$118,8,))))</f>
        <v>-0.21119877922127364</v>
      </c>
      <c r="W55" s="2644">
        <f>IF('A1.3.8'!G$29="","",IF(OR(VLOOKUP($B55,'A1.3.11'!$B$26:$AM$105,W$22,)="",VLOOKUP($B55,'A1.3.7'!$B$28:$H$118,3,)=""),"",VLOOKUP($B55,'A1.3.11'!$B$26:$AM$105,W$22,)*(VLOOKUP($B55,'A1.3.7'!$B$28:$O$118,3,)+VLOOKUP($B55,'A1.3.7'!$B$28:$O$118,8,))))</f>
        <v>1.3639296092038044E-3</v>
      </c>
      <c r="X55" s="693">
        <f>IF('A1.3.8'!D$30="","",IF(OR(VLOOKUP($B55,'A1.3.11'!$B$26:$AM$105,X$22,)="",VLOOKUP($B55,'A1.3.7'!$B$28:$H$118,4,)=""),"",VLOOKUP($B55,'A1.3.11'!$B$26:$AM$105,X$22,)*(VLOOKUP($B55,'A1.3.7'!$B$28:$O$118,4,)+VLOOKUP($B55,'A1.3.7'!$B$28:$O$118,9,))))</f>
        <v>42.483460014624306</v>
      </c>
      <c r="Y55" s="691">
        <f>IF('A1.3.8'!E$30="","",IF(OR(VLOOKUP($B55,'A1.3.11'!$B$26:$AM$105,Y$22,)="",VLOOKUP($B55,'A1.3.7'!$B$28:$H$118,4,)=""),"",VLOOKUP($B55,'A1.3.11'!$B$26:$AM$105,Y$22,)*(VLOOKUP($B55,'A1.3.7'!$B$28:$O$118,4,)+VLOOKUP($B55,'A1.3.7'!$B$28:$O$118,9,))))</f>
        <v>10.383130761766653</v>
      </c>
      <c r="Z55" s="691">
        <f>IF('A1.3.8'!F$30="","",IF(OR(VLOOKUP($B55,'A1.3.11'!$B$26:$AM$105,Z$22,)="",VLOOKUP($B55,'A1.3.7'!$B$28:$H$118,4,)=""),"",VLOOKUP($B55,'A1.3.11'!$B$26:$AM$105,Z$22,)*(VLOOKUP($B55,'A1.3.7'!$B$28:$O$118,4,)+VLOOKUP($B55,'A1.3.7'!$B$28:$O$118,9,))))</f>
        <v>-0.14979553198669701</v>
      </c>
      <c r="AA55" s="2644">
        <f>IF('A1.3.8'!G$30="","",IF(OR(VLOOKUP($B55,'A1.3.11'!$B$26:$AM$105,AA$22,)="",VLOOKUP($B55,'A1.3.7'!$B$28:$H$118,4,)=""),"",VLOOKUP($B55,'A1.3.11'!$B$26:$AM$105,AA$22,)*(VLOOKUP($B55,'A1.3.7'!$B$28:$O$118,4,)+VLOOKUP($B55,'A1.3.7'!$B$28:$O$118,9,))))</f>
        <v>1.2681741967420297E-3</v>
      </c>
      <c r="AB55" s="693" t="str">
        <f>IF('A1.3.8'!D$37="","",IF(OR(VLOOKUP($B55,'A1.3.11'!$B$26:$AM$105,AB$22,)="",VLOOKUP($B55,'A1.3.7'!$B$28:$H$118,6,)=""),"",VLOOKUP($B55,'A1.3.11'!$B$26:$AM$105,AB$22,)*VLOOKUP($B55,'A1.3.7'!$B$28:$O$118,6,)))</f>
        <v/>
      </c>
      <c r="AC55" s="691">
        <f>IF('A1.3.8'!E$37="","",IF(OR(VLOOKUP($B55,'A1.3.11'!$B$26:$AM$105,AC$22,)="",VLOOKUP($B55,'A1.3.7'!$B$28:$H$118,6,)=""),"",VLOOKUP($B55,'A1.3.11'!$B$26:$AM$105,AC$22,)*VLOOKUP($B55,'A1.3.7'!$B$28:$O$118,6,)))</f>
        <v>4.5145632825273854</v>
      </c>
      <c r="AD55" s="691" t="str">
        <f>IF('A1.3.8'!F$37="","",IF(OR(VLOOKUP($B55,'A1.3.11'!$B$26:$AM$105,AD$22,)="",VLOOKUP($B55,'A1.3.7'!$B$28:$H$118,6,)=""),"",VLOOKUP($B55,'A1.3.11'!$B$26:$AM$105,AD$22,)*VLOOKUP($B55,'A1.3.7'!$B$28:$O$118,6,)))</f>
        <v/>
      </c>
      <c r="AE55" s="1664" t="str">
        <f>IF('A1.3.8'!G$37="","",IF(OR(VLOOKUP($B55,'A1.3.11'!$B$26:$AM$105,AE$22,)="",VLOOKUP($B55,'A1.3.7'!$B$28:$H$118,6,)=""),"",VLOOKUP($B55,'A1.3.11'!$B$26:$AM$105,AE$22,)*VLOOKUP($B55,'A1.3.7'!$B$28:$O$118,6,)))</f>
        <v/>
      </c>
      <c r="AF55" s="693">
        <f>IF(AND(T55="",X55="",AB55=""),"",IF(T55="",0,(T55*VLOOKUP('A1.3.12'!$B55,'A1.3.9'!$B$26:$O$57,6,TRUE))) + IF(X55="",0,(X55*VLOOKUP('A1.3.12'!$B55,'A1.3.9'!$B$26:$O$57,7,TRUE))) + IF(AB55="",0,(AB55*VLOOKUP('A1.3.12'!$B55,'A1.3.9'!$B$26:$O$57,8,TRUE))))</f>
        <v>37.694698386613936</v>
      </c>
      <c r="AG55" s="691">
        <f>IF(AND(U55="",Y55="",AC55=""),"",IF(U55="",0,(U55*VLOOKUP('A1.3.12'!$B55,'A1.3.9'!$B$26:$O$57,6,TRUE))) + IF(Y55="",0,(Y55*VLOOKUP('A1.3.12'!$B55,'A1.3.9'!$B$26:$O$57,7,TRUE))) + IF(AC55="",0,(AC55*VLOOKUP('A1.3.12'!$B55,'A1.3.9'!$B$26:$O$57,8,TRUE))))</f>
        <v>9.7642734801848459</v>
      </c>
      <c r="AH55" s="691">
        <f>IF(AND(V55="",Z55="",AD55=""),"",IF(V55="",0,(V55*VLOOKUP('A1.3.12'!$B55,'A1.3.9'!$B$26:$O$57,6,TRUE))) + IF(Z55="",0,(Z55*VLOOKUP('A1.3.12'!$B55,'A1.3.9'!$B$26:$O$57,7,TRUE))) + IF(AD55="",0,(AD55*VLOOKUP('A1.3.12'!$B55,'A1.3.9'!$B$26:$O$57,8,TRUE))))</f>
        <v>-0.13387023838938697</v>
      </c>
      <c r="AI55" s="2644">
        <f>IF(AND(W55="",AA55="",AE55=""),"",IF(W55="",0,(W55*VLOOKUP('A1.3.12'!$B55,'A1.3.9'!$B$26:$O$57,6,TRUE))) + IF(AA55="",0,(AA55*VLOOKUP('A1.3.12'!$B55,'A1.3.9'!$B$26:$O$57,7,TRUE))) + IF(AE55="",0,(AE55*VLOOKUP('A1.3.12'!$B55,'A1.3.9'!$B$26:$O$57,8,TRUE))))</f>
        <v>1.1301349494278728E-3</v>
      </c>
      <c r="AJ55" s="693">
        <f>IF('A1.3.8'!D$31="","",IF(OR(VLOOKUP($B55,'A1.3.11'!$B$26:$AM$105,AJ$22,)="",VLOOKUP($B55,'A1.3.7'!$B$28:$H$118,4,)=""),"",VLOOKUP($B55,'A1.3.11'!$B$26:$AM$105,AJ$22,)*(VLOOKUP($B55,'A1.3.7'!$B$28:$O$118,4,)+VLOOKUP($B55,'A1.3.7'!$B$28:$O$118,9,))))</f>
        <v>287.186608999209</v>
      </c>
      <c r="AK55" s="691">
        <f>IF('A1.3.8'!E$31="","",IF(OR(VLOOKUP($B55,'A1.3.11'!$B$26:$AM$105,AK$22,)="",VLOOKUP($B55,'A1.3.7'!$B$28:$H$118,4,)=""),"",VLOOKUP($B55,'A1.3.11'!$B$26:$AM$105,AK$22,)*(VLOOKUP($B55,'A1.3.7'!$B$28:$O$118,4,)+VLOOKUP($B55,'A1.3.7'!$B$28:$O$118,9,))))</f>
        <v>15.237318867536702</v>
      </c>
      <c r="AL55" s="691">
        <f>IF('A1.3.8'!F$31="","",IF(OR(VLOOKUP($B55,'A1.3.11'!$B$26:$AM$105,AL$22,)="",VLOOKUP($B55,'A1.3.7'!$B$28:$H$118,4,)=""),"",VLOOKUP($B55,'A1.3.11'!$B$26:$AM$105,AL$22,)*(VLOOKUP($B55,'A1.3.7'!$B$28:$O$118,4,)+VLOOKUP($B55,'A1.3.7'!$B$28:$O$118,9,))))</f>
        <v>-0.11013543752018153</v>
      </c>
      <c r="AM55" s="2644">
        <f>IF('A1.3.8'!G$31="","",IF(OR(VLOOKUP($B55,'A1.3.11'!$B$26:$AM$105,AM$22,)="",VLOOKUP($B55,'A1.3.7'!$B$28:$H$118,4,)=""),"",VLOOKUP($B55,'A1.3.11'!$B$26:$AM$105,AM$22,)*(VLOOKUP($B55,'A1.3.7'!$B$28:$O$118,4,)+VLOOKUP($B55,'A1.3.7'!$B$28:$O$118,9,))))</f>
        <v>1.2028556904187615E-3</v>
      </c>
      <c r="AN55" s="693" t="str">
        <f>IF('A1.3.8'!D$38="","",IF(OR(VLOOKUP($B55,'A1.3.11'!$B$26:$AM$105,AN$22,)="",VLOOKUP($B55,'A1.3.7'!$B$28:$H$118,6,)=""),"",VLOOKUP($B55,'A1.3.11'!$B$26:$AM$105,AN$22,)*VLOOKUP($B55,'A1.3.7'!$B$28:$O$118,6,)))</f>
        <v/>
      </c>
      <c r="AO55" s="691" t="str">
        <f>IF('A1.3.8'!E$38="","",IF(OR(VLOOKUP($B55,'A1.3.11'!$B$26:$AM$105,AO$22,)="",VLOOKUP($B55,'A1.3.7'!$B$28:$H$118,6,)=""),"",VLOOKUP($B55,'A1.3.11'!$B$26:$AM$105,AO$22,)*VLOOKUP($B55,'A1.3.7'!$B$28:$O$118,6,)))</f>
        <v/>
      </c>
      <c r="AP55" s="691" t="str">
        <f>IF('A1.3.8'!F$38="","",IF(OR(VLOOKUP($B55,'A1.3.11'!$B$26:$AM$105,AP$22,)="",VLOOKUP($B55,'A1.3.7'!$B$28:$H$118,6,)=""),"",VLOOKUP($B55,'A1.3.11'!$B$26:$AM$105,AP$22,)*VLOOKUP($B55,'A1.3.7'!$B$28:$O$118,6,)))</f>
        <v/>
      </c>
      <c r="AQ55" s="1664" t="str">
        <f>IF('A1.3.8'!G$38="","",IF(OR(VLOOKUP($B55,'A1.3.11'!$B$26:$AM$105,AQ$22,)="",VLOOKUP($B55,'A1.3.7'!$B$28:$H$118,6,)=""),"",VLOOKUP($B55,'A1.3.11'!$B$26:$AM$105,AQ$22,)*VLOOKUP($B55,'A1.3.7'!$B$28:$O$118,6,)))</f>
        <v/>
      </c>
      <c r="AR55" s="693">
        <f>IF(AND(AJ55="",AN55=""),"",IF(AJ55="",0,(AJ55*VLOOKUP($B55,'A1.3.9'!$B$26:$O$57,9,TRUE))) + IF(AN55="",0,(AN55*VLOOKUP($B55,'A1.3.9'!$B$26:$O$57,10,TRUE))))</f>
        <v>287.186608999209</v>
      </c>
      <c r="AS55" s="691">
        <f>IF(AND(AK55="",AO55=""),"",IF(AK55="",0,(AK55*VLOOKUP($B55,'A1.3.9'!$B$26:$O$57,9,TRUE))) + IF(AO55="",0,(AO55*VLOOKUP($B55,'A1.3.9'!$B$26:$O$57,10,TRUE))))</f>
        <v>15.237318867536702</v>
      </c>
      <c r="AT55" s="691">
        <f>IF(AND(AL55="",AP55=""),"",IF(AL55="",0,(AL55*VLOOKUP($B55,'A1.3.9'!$B$26:$O$57,9,TRUE))) + IF(AP55="",0,(AP55*VLOOKUP($B55,'A1.3.9'!$B$26:$O$57,10,TRUE))))</f>
        <v>-0.11013543752018153</v>
      </c>
      <c r="AU55" s="2644">
        <f>IF(AND(AM55="",AQ55=""),"",IF(AM55="",0,(AM55*VLOOKUP($B55,'A1.3.9'!$B$26:$O$57,9,TRUE))) + IF(AQ55="",0,(AQ55*VLOOKUP($B55,'A1.3.9'!$B$26:$O$57,10,TRUE))))</f>
        <v>1.2028556904187615E-3</v>
      </c>
      <c r="AV55" s="693">
        <f>IF('A1.3.8'!D$32="","",IF(OR(VLOOKUP($B55,'A1.3.11'!$B$26:$AM$105,AV$22,)="",VLOOKUP($B55,'A1.3.7'!$B$28:$H$118,4,)=""),"",VLOOKUP($B55,'A1.3.11'!$B$26:$AM$105,AV$22,)*(VLOOKUP($B55,'A1.3.7'!$B$28:$O$118,4,)+VLOOKUP($B55,'A1.3.7'!$B$28:$O$118,9,))))</f>
        <v>603.45389965741776</v>
      </c>
      <c r="AW55" s="691">
        <f>IF('A1.3.8'!E$32="","",IF(OR(VLOOKUP($B55,'A1.3.11'!$B$26:$AM$105,AW$22,)="",VLOOKUP($B55,'A1.3.7'!$B$28:$H$118,4,)=""),"",VLOOKUP($B55,'A1.3.11'!$B$26:$AM$105,AW$22,)*(VLOOKUP($B55,'A1.3.7'!$B$28:$O$118,4,)+VLOOKUP($B55,'A1.3.7'!$B$28:$O$118,9,))))</f>
        <v>31.338430270166004</v>
      </c>
      <c r="AX55" s="691">
        <f>IF('A1.3.8'!F$32="","",IF(OR(VLOOKUP($B55,'A1.3.11'!$B$26:$AM$105,AX$22,)="",VLOOKUP($B55,'A1.3.7'!$B$28:$H$118,4,)=""),"",VLOOKUP($B55,'A1.3.11'!$B$26:$AM$105,AX$22,)*(VLOOKUP($B55,'A1.3.7'!$B$28:$O$118,4,)+VLOOKUP($B55,'A1.3.7'!$B$28:$O$118,9,))))</f>
        <v>-0.20763358653773534</v>
      </c>
      <c r="AY55" s="2644">
        <f>IF('A1.3.8'!G$32="","",IF(OR(VLOOKUP($B55,'A1.3.11'!$B$26:$AM$105,AY$22,)="",VLOOKUP($B55,'A1.3.7'!$B$28:$H$118,4,)=""),"",VLOOKUP($B55,'A1.3.11'!$B$26:$AM$105,AY$22,)*(VLOOKUP($B55,'A1.3.7'!$B$28:$O$118,4,)+VLOOKUP($B55,'A1.3.7'!$B$28:$O$118,9,))))</f>
        <v>1.2375825165089108E-3</v>
      </c>
      <c r="AZ55" s="693" t="str">
        <f>IF('A1.3.8'!D$39="","",IF(OR(VLOOKUP($B55,'A1.3.11'!$B$26:$AM$105,AZ$22,)="",VLOOKUP($B55,'A1.3.7'!$B$28:$H$118,6,)=""),"",VLOOKUP($B55,'A1.3.11'!$B$26:$AM$105,AZ$22,)*VLOOKUP($B55,'A1.3.7'!$B$28:$O$118,6,)))</f>
        <v/>
      </c>
      <c r="BA55" s="691" t="str">
        <f>IF('A1.3.8'!E$39="","",IF(OR(VLOOKUP($B55,'A1.3.11'!$B$26:$AM$105,BA$22,)="",VLOOKUP($B55,'A1.3.7'!$B$28:$H$118,6,)=""),"",VLOOKUP($B55,'A1.3.11'!$B$26:$AM$105,BA$22,)*VLOOKUP($B55,'A1.3.7'!$B$28:$O$118,6,)))</f>
        <v/>
      </c>
      <c r="BB55" s="691" t="str">
        <f>IF('A1.3.8'!F$39="","",IF(OR(VLOOKUP($B55,'A1.3.11'!$B$26:$AM$105,BB$22,)="",VLOOKUP($B55,'A1.3.7'!$B$28:$H$118,6,)=""),"",VLOOKUP($B55,'A1.3.11'!$B$26:$AM$105,BB$22,)*VLOOKUP($B55,'A1.3.7'!$B$28:$O$118,6,)))</f>
        <v/>
      </c>
      <c r="BC55" s="1664" t="str">
        <f>IF('A1.3.8'!G$39="","",IF(OR(VLOOKUP($B55,'A1.3.11'!$B$26:$AM$105,BC$22,)="",VLOOKUP($B55,'A1.3.7'!$B$28:$H$118,6,)=""),"",VLOOKUP($B55,'A1.3.11'!$B$26:$AM$105,BC$22,)*VLOOKUP($B55,'A1.3.7'!$B$28:$O$118,6,)))</f>
        <v/>
      </c>
      <c r="BD55" s="693">
        <f>IF(AND(AV55="",AZ55=""),"",IF(AV55="",0,(AV55*VLOOKUP($B55,'A1.3.9'!$B$26:$O$57,9,TRUE))) + IF(AZ55="",0,(AZ55*VLOOKUP($B55,'A1.3.9'!$B$26:$O$57,10,TRUE))))</f>
        <v>603.45389965741776</v>
      </c>
      <c r="BE55" s="691">
        <f>IF(AND(AW55="",BA55=""),"",IF(AW55="",0,(AW55*VLOOKUP($B55,'A1.3.9'!$B$26:$O$57,9,TRUE))) + IF(BA55="",0,(BA55*VLOOKUP($B55,'A1.3.9'!$B$26:$O$57,10,TRUE))))</f>
        <v>31.338430270166004</v>
      </c>
      <c r="BF55" s="691">
        <f>IF(AND(AX55="",BB55=""),"",IF(AX55="",0,(AX55*VLOOKUP($B55,'A1.3.9'!$B$26:$O$57,9,TRUE))) + IF(BB55="",0,(BB55*VLOOKUP($B55,'A1.3.9'!$B$26:$O$57,10,TRUE))))</f>
        <v>-0.20763358653773534</v>
      </c>
      <c r="BG55" s="2644">
        <f>IF(AND(AY55="",BC55=""),"",IF(AY55="",0,(AY55*VLOOKUP($B55,'A1.3.9'!$B$26:$O$57,9,TRUE))) + IF(BC55="",0,(BC55*VLOOKUP($B55,'A1.3.9'!$B$26:$O$57,10,TRUE))))</f>
        <v>1.2375825165089108E-3</v>
      </c>
      <c r="BH55" s="693">
        <f>IF('A1.3.8'!D$33="","",IF(OR(VLOOKUP($B55,'A1.3.11'!$B$26:$AM$105,BH$22,)="",VLOOKUP($B55,'A1.3.7'!$B$28:$H$118,4,)=""),"",VLOOKUP($B55,'A1.3.11'!$B$26:$AM$105,BH$22,)*(VLOOKUP($B55,'A1.3.7'!$B$28:$O$118,4,)+VLOOKUP($B55,'A1.3.7'!$B$28:$O$118,9,))))</f>
        <v>357.90013357066067</v>
      </c>
      <c r="BI55" s="691">
        <f>IF('A1.3.8'!E$33="","",IF(OR(VLOOKUP($B55,'A1.3.11'!$B$26:$AM$105,BI$22,)="",VLOOKUP($B55,'A1.3.7'!$B$28:$H$118,4,)=""),"",VLOOKUP($B55,'A1.3.11'!$B$26:$AM$105,BI$22,)*(VLOOKUP($B55,'A1.3.7'!$B$28:$O$118,4,)+VLOOKUP($B55,'A1.3.7'!$B$28:$O$118,9,))))</f>
        <v>31.447593411340716</v>
      </c>
      <c r="BJ55" s="691">
        <f>IF('A1.3.8'!F$33="","",IF(OR(VLOOKUP($B55,'A1.3.11'!$B$26:$AM$105,BJ$22,)="",VLOOKUP($B55,'A1.3.7'!$B$28:$H$118,4,)=""),"",VLOOKUP($B55,'A1.3.11'!$B$26:$AM$105,BJ$22,)*(VLOOKUP($B55,'A1.3.7'!$B$28:$O$118,4,)+VLOOKUP($B55,'A1.3.7'!$B$28:$O$118,9,))))</f>
        <v>-0.34180731137204801</v>
      </c>
      <c r="BK55" s="2644">
        <f>IF('A1.3.8'!G$33="","",IF(OR(VLOOKUP($B55,'A1.3.11'!$B$26:$AM$105,BK$22,)="",VLOOKUP($B55,'A1.3.7'!$B$28:$H$118,4,)=""),"",VLOOKUP($B55,'A1.3.11'!$B$26:$AM$105,BK$22,)*(VLOOKUP($B55,'A1.3.7'!$B$28:$O$118,4,)+VLOOKUP($B55,'A1.3.7'!$B$28:$O$118,9,))))</f>
        <v>2.5072963427695059E-3</v>
      </c>
      <c r="BL55" s="693" t="str">
        <f>IF('A1.3.8'!D$40="","",IF(OR(VLOOKUP($B55,'A1.3.11'!$B$26:$AM$105,BL$22,)="",VLOOKUP($B55,'A1.3.7'!$B$28:$H$118,6,)=""),"",VLOOKUP($B55,'A1.3.11'!$B$26:$AM$105,BL$22,)*VLOOKUP($B55,'A1.3.7'!$B$28:$O$118,6,)))</f>
        <v/>
      </c>
      <c r="BM55" s="691" t="str">
        <f>IF('A1.3.8'!E$40="","",IF(OR(VLOOKUP($B55,'A1.3.11'!$B$26:$AM$105,BM$22,)="",VLOOKUP($B55,'A1.3.7'!$B$28:$H$118,6,)=""),"",VLOOKUP($B55,'A1.3.11'!$B$26:$AM$105,BM$22,)*VLOOKUP($B55,'A1.3.7'!$B$28:$O$118,6,)))</f>
        <v/>
      </c>
      <c r="BN55" s="691" t="str">
        <f>IF('A1.3.8'!F$40="","",IF(OR(VLOOKUP($B55,'A1.3.11'!$B$26:$AM$105,BN$22,)="",VLOOKUP($B55,'A1.3.7'!$B$28:$H$118,6,)=""),"",VLOOKUP($B55,'A1.3.11'!$B$26:$AM$105,BN$22,)*VLOOKUP($B55,'A1.3.7'!$B$28:$O$118,6,)))</f>
        <v/>
      </c>
      <c r="BO55" s="1664" t="str">
        <f>IF('A1.3.8'!G$40="","",IF(OR(VLOOKUP($B55,'A1.3.11'!$B$26:$AM$105,BO$22,)="",VLOOKUP($B55,'A1.3.7'!$B$28:$H$118,6,)=""),"",VLOOKUP($B55,'A1.3.11'!$B$26:$AM$105,BO$22,)*VLOOKUP($B55,'A1.3.7'!$B$28:$O$118,6,)))</f>
        <v/>
      </c>
      <c r="BP55" s="693">
        <f>IF(AND(BH55="",BL55=""),"",IF(BH55="",0,(BH55*VLOOKUP($B55,'A1.3.9'!$B$26:$O$57,9,TRUE))) + IF(BL55="",0,(BL55*VLOOKUP($B55,'A1.3.9'!$B$26:$O$57,10,TRUE))))</f>
        <v>357.90013357066067</v>
      </c>
      <c r="BQ55" s="691">
        <f>IF(AND(BI55="",BM55=""),"",IF(BI55="",0,(BI55*VLOOKUP($B55,'A1.3.9'!$B$26:$O$57,9,TRUE))) + IF(BM55="",0,(BM55*VLOOKUP($B55,'A1.3.9'!$B$26:$O$57,10,TRUE))))</f>
        <v>31.447593411340716</v>
      </c>
      <c r="BR55" s="691">
        <f>IF(AND(BJ55="",BN55=""),"",IF(BJ55="",0,(BJ55*VLOOKUP($B55,'A1.3.9'!$B$26:$O$57,9,TRUE))) + IF(BN55="",0,(BN55*VLOOKUP($B55,'A1.3.9'!$B$26:$O$57,10,TRUE))))</f>
        <v>-0.34180731137204801</v>
      </c>
      <c r="BS55" s="2644">
        <f>IF(AND(BK55="",BO55=""),"",IF(BK55="",0,(BK55*VLOOKUP($B55,'A1.3.9'!$B$26:$O$57,9,TRUE))) + IF(BO55="",0,(BO55*VLOOKUP($B55,'A1.3.9'!$B$26:$O$57,10,TRUE))))</f>
        <v>2.5072963427695059E-3</v>
      </c>
    </row>
    <row r="56" spans="1:71" s="26" customFormat="1" ht="13.5" customHeight="1">
      <c r="A56" s="113"/>
      <c r="B56" s="614">
        <f t="shared" si="0"/>
        <v>2039</v>
      </c>
      <c r="C56" s="147"/>
      <c r="D56" s="693">
        <f>IF('A1.3.8'!D$27="","",IF(OR(VLOOKUP($B56,'A1.3.11'!$B$26:$AM$105,D$22,)="",VLOOKUP($B56,'A1.3.7'!$B$28:$H$118,3,)=""),"",VLOOKUP($B56,'A1.3.11'!$B$26:$AM$105,D$22,)*(VLOOKUP($B56,'A1.3.7'!$B$28:$O$118,3,)+VLOOKUP($B56,'A1.3.7'!$B$28:$O$118,8,))))</f>
        <v>33.505121694205066</v>
      </c>
      <c r="E56" s="691">
        <f>IF('A1.3.8'!E$27="","",IF(OR(VLOOKUP($B56,'A1.3.11'!$B$26:$AM$105,E$22,)="",VLOOKUP($B56,'A1.3.7'!$B$28:$H$118,3,)=""),"",VLOOKUP($B56,'A1.3.11'!$B$26:$AM$105,E$22,)*(VLOOKUP($B56,'A1.3.7'!$B$28:$O$118,3,)+VLOOKUP($B56,'A1.3.7'!$B$28:$O$118,8,))))</f>
        <v>7.1203818435221136</v>
      </c>
      <c r="F56" s="691">
        <f>IF('A1.3.8'!F$27="","",IF(OR(VLOOKUP($B56,'A1.3.11'!$B$26:$AM$105,F$22,)="",VLOOKUP($B56,'A1.3.7'!$B$28:$H$118,3,)=""),"",VLOOKUP($B56,'A1.3.11'!$B$26:$AM$105,F$22,)*(VLOOKUP($B56,'A1.3.7'!$B$28:$O$118,3,)+VLOOKUP($B56,'A1.3.7'!$B$28:$O$118,8,))))</f>
        <v>-8.1109593156672447E-2</v>
      </c>
      <c r="G56" s="2644">
        <f>IF('A1.3.8'!G$27="","",IF(OR(VLOOKUP($B56,'A1.3.11'!$B$26:$AM$105,G$22,)="",VLOOKUP($B56,'A1.3.7'!$B$28:$H$118,3,)=""),"",VLOOKUP($B56,'A1.3.11'!$B$26:$AM$105,G$22,)*(VLOOKUP($B56,'A1.3.7'!$B$28:$O$118,3,)+VLOOKUP($B56,'A1.3.7'!$B$28:$O$118,8,))))</f>
        <v>5.3718230928878207E-4</v>
      </c>
      <c r="H56" s="693">
        <f>IF('A1.3.8'!D$28="","",IF(OR(VLOOKUP($B56,'A1.3.11'!$B$26:$AM$105,H$22,)="",VLOOKUP($B56,'A1.3.7'!$B$28:$H$118,4,)=""),"",VLOOKUP($B56,'A1.3.11'!$B$26:$AM$105,H$22,)*(VLOOKUP($B56,'A1.3.7'!$B$28:$O$118,4,)+VLOOKUP($B56,'A1.3.7'!$B$28:$O$118,9,))))</f>
        <v>41.426103318922436</v>
      </c>
      <c r="I56" s="691">
        <f>IF('A1.3.8'!E$28="","",IF(OR(VLOOKUP($B56,'A1.3.11'!$B$26:$AM$105,I$22,)="",VLOOKUP($B56,'A1.3.7'!$B$28:$H$118,4,)=""),"",VLOOKUP($B56,'A1.3.11'!$B$26:$AM$105,I$22,)*(VLOOKUP($B56,'A1.3.7'!$B$28:$O$118,4,)+VLOOKUP($B56,'A1.3.7'!$B$28:$O$118,9,))))</f>
        <v>5.9394787495631407</v>
      </c>
      <c r="J56" s="691">
        <f>IF('A1.3.8'!F$28="","",IF(OR(VLOOKUP($B56,'A1.3.11'!$B$26:$AM$105,J$22,)="",VLOOKUP($B56,'A1.3.7'!$B$28:$H$118,4,)=""),"",VLOOKUP($B56,'A1.3.11'!$B$26:$AM$105,J$22,)*(VLOOKUP($B56,'A1.3.7'!$B$28:$O$118,4,)+VLOOKUP($B56,'A1.3.7'!$B$28:$O$118,9,))))</f>
        <v>-5.7139440194788525E-2</v>
      </c>
      <c r="K56" s="2644">
        <f>IF('A1.3.8'!G$28="","",IF(OR(VLOOKUP($B56,'A1.3.11'!$B$26:$AM$105,K$22,)="",VLOOKUP($B56,'A1.3.7'!$B$28:$H$118,4,)=""),"",VLOOKUP($B56,'A1.3.11'!$B$26:$AM$105,K$22,)*(VLOOKUP($B56,'A1.3.7'!$B$28:$O$118,4,)+VLOOKUP($B56,'A1.3.7'!$B$28:$O$118,9,))))</f>
        <v>4.5026165546342532E-4</v>
      </c>
      <c r="L56" s="693" t="str">
        <f>IF('A1.3.8'!D$36="","",IF(OR(VLOOKUP($B56,'A1.3.11'!$B$26:$AM$105,L$22,)="",VLOOKUP($B56,'A1.3.7'!$B$28:$H$118,6,)=""),"",VLOOKUP($B56,'A1.3.11'!$B$26:$AM$105,L$22,)*VLOOKUP($B56,'A1.3.7'!$B$28:$O$118,6,)))</f>
        <v/>
      </c>
      <c r="M56" s="691">
        <f>IF('A1.3.8'!E$36="","",IF(OR(VLOOKUP($B56,'A1.3.11'!$B$26:$AM$105,M$22,)="",VLOOKUP($B56,'A1.3.7'!$B$28:$H$118,6,)=""),"",VLOOKUP($B56,'A1.3.11'!$B$26:$AM$105,M$22,)*VLOOKUP($B56,'A1.3.7'!$B$28:$O$118,6,)))</f>
        <v>1.9637608285706969</v>
      </c>
      <c r="N56" s="691" t="str">
        <f>IF('A1.3.8'!F$36="","",IF(OR(VLOOKUP($B56,'A1.3.11'!$B$26:$AM$105,N$22,)="",VLOOKUP($B56,'A1.3.7'!$B$28:$H$118,6,)=""),"",VLOOKUP($B56,'A1.3.11'!$B$26:$AM$105,N$22,)*VLOOKUP($B56,'A1.3.7'!$B$28:$O$118,6,)))</f>
        <v/>
      </c>
      <c r="O56" s="1664" t="str">
        <f>IF('A1.3.8'!G$36="","",IF(OR(VLOOKUP($B56,'A1.3.11'!$B$26:$AM$105,O$22,)="",VLOOKUP($B56,'A1.3.7'!$B$28:$H$118,6,)=""),"",VLOOKUP($B56,'A1.3.11'!$B$26:$AM$105,O$22,)*VLOOKUP($B56,'A1.3.7'!$B$28:$O$118,6,)))</f>
        <v/>
      </c>
      <c r="P56" s="693">
        <f>IF(AND(D56="",H56="",L56=""),"",IF(D56="",0,(D56*VLOOKUP($B56,'A1.3.9'!$B$26:$O$57,3,TRUE)))+IF(H56="",0,(H56*VLOOKUP($B56,'A1.3.9'!$B$26:$O$57,4,TRUE)))+IF(L56="",0,(L56*VLOOKUP($B56,'A1.3.9'!$B$26:$O$57,5,TRUE))))</f>
        <v>27.826483736247717</v>
      </c>
      <c r="Q56" s="691">
        <f>IF(AND(E56="",I56="",M56=""),"",IF(E56="",0,(E56*VLOOKUP($B56,'A1.3.9'!$B$26:$O$57,3,TRUE)))+IF(I56="",0,(I56*VLOOKUP($B56,'A1.3.9'!$B$26:$O$57,4,TRUE)))+IF(M56="",0,(M56*VLOOKUP($B56,'A1.3.9'!$B$26:$O$57,5,TRUE))))</f>
        <v>5.5058408007844033</v>
      </c>
      <c r="R56" s="691">
        <f>IF(AND(F56="",J56="",N56=""),"",IF(F56="",0,(F56*VLOOKUP($B56,'A1.3.9'!$B$26:$O$57,3,TRUE)))+IF(J56="",0,(J56*VLOOKUP($B56,'A1.3.9'!$B$26:$O$57,4,TRUE)))+IF(N56="",0,(N56*VLOOKUP($B56,'A1.3.9'!$B$26:$O$57,5,TRUE))))</f>
        <v>-5.4049240845772603E-2</v>
      </c>
      <c r="S56" s="2644">
        <f>IF(AND(G56="",K56="",O56=""),"",IF(G56="",0,(G56*VLOOKUP($B56,'A1.3.9'!$B$26:$O$57,3,TRUE)))+IF(K56="",0,(K56*VLOOKUP($B56,'A1.3.9'!$B$26:$O$57,4,TRUE)))+IF(O56="",0,(O56*VLOOKUP($B56,'A1.3.9'!$B$26:$O$57,5,TRUE))))</f>
        <v>3.801290189327668E-4</v>
      </c>
      <c r="T56" s="693">
        <f>IF('A1.3.8'!D$29="","",IF(OR(VLOOKUP($B56,'A1.3.11'!$B$26:$AM$105,T$22,)="",VLOOKUP($B56,'A1.3.7'!$B$28:$H$118,3,)=""),"",VLOOKUP($B56,'A1.3.11'!$B$26:$AM$105,T$22,)*(VLOOKUP($B56,'A1.3.7'!$B$28:$O$118,3,)+VLOOKUP($B56,'A1.3.7'!$B$28:$O$118,8,))))</f>
        <v>24.101342035667315</v>
      </c>
      <c r="U56" s="691">
        <f>IF('A1.3.8'!E$29="","",IF(OR(VLOOKUP($B56,'A1.3.11'!$B$26:$AM$105,U$22,)="",VLOOKUP($B56,'A1.3.7'!$B$28:$H$118,3,)=""),"",VLOOKUP($B56,'A1.3.11'!$B$26:$AM$105,U$22,)*(VLOOKUP($B56,'A1.3.7'!$B$28:$O$118,3,)+VLOOKUP($B56,'A1.3.7'!$B$28:$O$118,8,))))</f>
        <v>13.514637473349854</v>
      </c>
      <c r="V56" s="691">
        <f>IF('A1.3.8'!F$29="","",IF(OR(VLOOKUP($B56,'A1.3.11'!$B$26:$AM$105,V$22,)="",VLOOKUP($B56,'A1.3.7'!$B$28:$H$118,3,)=""),"",VLOOKUP($B56,'A1.3.11'!$B$26:$AM$105,V$22,)*(VLOOKUP($B56,'A1.3.7'!$B$28:$O$118,3,)+VLOOKUP($B56,'A1.3.7'!$B$28:$O$118,8,))))</f>
        <v>-0.21213544795901482</v>
      </c>
      <c r="W56" s="2644">
        <f>IF('A1.3.8'!G$29="","",IF(OR(VLOOKUP($B56,'A1.3.11'!$B$26:$AM$105,W$22,)="",VLOOKUP($B56,'A1.3.7'!$B$28:$H$118,3,)=""),"",VLOOKUP($B56,'A1.3.11'!$B$26:$AM$105,W$22,)*(VLOOKUP($B56,'A1.3.7'!$B$28:$O$118,3,)+VLOOKUP($B56,'A1.3.7'!$B$28:$O$118,8,))))</f>
        <v>1.3699786509176403E-3</v>
      </c>
      <c r="X56" s="693">
        <f>IF('A1.3.8'!D$30="","",IF(OR(VLOOKUP($B56,'A1.3.11'!$B$26:$AM$105,X$22,)="",VLOOKUP($B56,'A1.3.7'!$B$28:$H$118,4,)=""),"",VLOOKUP($B56,'A1.3.11'!$B$26:$AM$105,X$22,)*(VLOOKUP($B56,'A1.3.7'!$B$28:$O$118,4,)+VLOOKUP($B56,'A1.3.7'!$B$28:$O$118,9,))))</f>
        <v>42.664867364289535</v>
      </c>
      <c r="Y56" s="691">
        <f>IF('A1.3.8'!E$30="","",IF(OR(VLOOKUP($B56,'A1.3.11'!$B$26:$AM$105,Y$22,)="",VLOOKUP($B56,'A1.3.7'!$B$28:$H$118,4,)=""),"",VLOOKUP($B56,'A1.3.11'!$B$26:$AM$105,Y$22,)*(VLOOKUP($B56,'A1.3.7'!$B$28:$O$118,4,)+VLOOKUP($B56,'A1.3.7'!$B$28:$O$118,9,))))</f>
        <v>10.427467457319961</v>
      </c>
      <c r="Z56" s="691">
        <f>IF('A1.3.8'!F$30="","",IF(OR(VLOOKUP($B56,'A1.3.11'!$B$26:$AM$105,Z$22,)="",VLOOKUP($B56,'A1.3.7'!$B$28:$H$118,4,)=""),"",VLOOKUP($B56,'A1.3.11'!$B$26:$AM$105,Z$22,)*(VLOOKUP($B56,'A1.3.7'!$B$28:$O$118,4,)+VLOOKUP($B56,'A1.3.7'!$B$28:$O$118,9,))))</f>
        <v>-0.15043516939947002</v>
      </c>
      <c r="AA56" s="2644">
        <f>IF('A1.3.8'!G$30="","",IF(OR(VLOOKUP($B56,'A1.3.11'!$B$26:$AM$105,AA$22,)="",VLOOKUP($B56,'A1.3.7'!$B$28:$H$118,4,)=""),"",VLOOKUP($B56,'A1.3.11'!$B$26:$AM$105,AA$22,)*(VLOOKUP($B56,'A1.3.7'!$B$28:$O$118,4,)+VLOOKUP($B56,'A1.3.7'!$B$28:$O$118,9,))))</f>
        <v>1.2735893893808968E-3</v>
      </c>
      <c r="AB56" s="693" t="str">
        <f>IF('A1.3.8'!D$37="","",IF(OR(VLOOKUP($B56,'A1.3.11'!$B$26:$AM$105,AB$22,)="",VLOOKUP($B56,'A1.3.7'!$B$28:$H$118,6,)=""),"",VLOOKUP($B56,'A1.3.11'!$B$26:$AM$105,AB$22,)*VLOOKUP($B56,'A1.3.7'!$B$28:$O$118,6,)))</f>
        <v/>
      </c>
      <c r="AC56" s="691">
        <f>IF('A1.3.8'!E$37="","",IF(OR(VLOOKUP($B56,'A1.3.11'!$B$26:$AM$105,AC$22,)="",VLOOKUP($B56,'A1.3.7'!$B$28:$H$118,6,)=""),"",VLOOKUP($B56,'A1.3.11'!$B$26:$AM$105,AC$22,)*VLOOKUP($B56,'A1.3.7'!$B$28:$O$118,6,)))</f>
        <v>4.5145632825273854</v>
      </c>
      <c r="AD56" s="691" t="str">
        <f>IF('A1.3.8'!F$37="","",IF(OR(VLOOKUP($B56,'A1.3.11'!$B$26:$AM$105,AD$22,)="",VLOOKUP($B56,'A1.3.7'!$B$28:$H$118,6,)=""),"",VLOOKUP($B56,'A1.3.11'!$B$26:$AM$105,AD$22,)*VLOOKUP($B56,'A1.3.7'!$B$28:$O$118,6,)))</f>
        <v/>
      </c>
      <c r="AE56" s="1664" t="str">
        <f>IF('A1.3.8'!G$37="","",IF(OR(VLOOKUP($B56,'A1.3.11'!$B$26:$AM$105,AE$22,)="",VLOOKUP($B56,'A1.3.7'!$B$28:$H$118,6,)=""),"",VLOOKUP($B56,'A1.3.11'!$B$26:$AM$105,AE$22,)*VLOOKUP($B56,'A1.3.7'!$B$28:$O$118,6,)))</f>
        <v/>
      </c>
      <c r="AF56" s="693">
        <f>IF(AND(T56="",X56="",AB56=""),"",IF(T56="",0,(T56*VLOOKUP('A1.3.12'!$B56,'A1.3.9'!$B$26:$O$57,6,TRUE))) + IF(X56="",0,(X56*VLOOKUP('A1.3.12'!$B56,'A1.3.9'!$B$26:$O$57,7,TRUE))) + IF(AB56="",0,(AB56*VLOOKUP('A1.3.12'!$B56,'A1.3.9'!$B$26:$O$57,8,TRUE))))</f>
        <v>37.855687393716543</v>
      </c>
      <c r="AG56" s="691">
        <f>IF(AND(U56="",Y56="",AC56=""),"",IF(U56="",0,(U56*VLOOKUP('A1.3.12'!$B56,'A1.3.9'!$B$26:$O$57,6,TRUE))) + IF(Y56="",0,(Y56*VLOOKUP('A1.3.12'!$B56,'A1.3.9'!$B$26:$O$57,7,TRUE))) + IF(AC56="",0,(AC56*VLOOKUP('A1.3.12'!$B56,'A1.3.9'!$B$26:$O$57,8,TRUE))))</f>
        <v>9.803875068581327</v>
      </c>
      <c r="AH56" s="691">
        <f>IF(AND(V56="",Z56="",AD56=""),"",IF(V56="",0,(V56*VLOOKUP('A1.3.12'!$B56,'A1.3.9'!$B$26:$O$57,6,TRUE))) + IF(Z56="",0,(Z56*VLOOKUP('A1.3.12'!$B56,'A1.3.9'!$B$26:$O$57,7,TRUE))) + IF(AD56="",0,(AD56*VLOOKUP('A1.3.12'!$B56,'A1.3.9'!$B$26:$O$57,8,TRUE))))</f>
        <v>-0.13444213778127931</v>
      </c>
      <c r="AI56" s="2644">
        <f>IF(AND(W56="",AA56="",AE56=""),"",IF(W56="",0,(W56*VLOOKUP('A1.3.12'!$B56,'A1.3.9'!$B$26:$O$57,6,TRUE))) + IF(AA56="",0,(AA56*VLOOKUP('A1.3.12'!$B56,'A1.3.9'!$B$26:$O$57,7,TRUE))) + IF(AE56="",0,(AE56*VLOOKUP('A1.3.12'!$B56,'A1.3.9'!$B$26:$O$57,8,TRUE))))</f>
        <v>1.1349624103685187E-3</v>
      </c>
      <c r="AJ56" s="693">
        <f>IF('A1.3.8'!D$31="","",IF(OR(VLOOKUP($B56,'A1.3.11'!$B$26:$AM$105,AJ$22,)="",VLOOKUP($B56,'A1.3.7'!$B$28:$H$118,4,)=""),"",VLOOKUP($B56,'A1.3.11'!$B$26:$AM$105,AJ$22,)*(VLOOKUP($B56,'A1.3.7'!$B$28:$O$118,4,)+VLOOKUP($B56,'A1.3.7'!$B$28:$O$118,9,))))</f>
        <v>288.41291593324775</v>
      </c>
      <c r="AK56" s="691">
        <f>IF('A1.3.8'!E$31="","",IF(OR(VLOOKUP($B56,'A1.3.11'!$B$26:$AM$105,AK$22,)="",VLOOKUP($B56,'A1.3.7'!$B$28:$H$118,4,)=""),"",VLOOKUP($B56,'A1.3.11'!$B$26:$AM$105,AK$22,)*(VLOOKUP($B56,'A1.3.7'!$B$28:$O$118,4,)+VLOOKUP($B56,'A1.3.7'!$B$28:$O$118,9,))))</f>
        <v>15.302383286273129</v>
      </c>
      <c r="AL56" s="691">
        <f>IF('A1.3.8'!F$31="","",IF(OR(VLOOKUP($B56,'A1.3.11'!$B$26:$AM$105,AL$22,)="",VLOOKUP($B56,'A1.3.7'!$B$28:$H$118,4,)=""),"",VLOOKUP($B56,'A1.3.11'!$B$26:$AM$105,AL$22,)*(VLOOKUP($B56,'A1.3.7'!$B$28:$O$118,4,)+VLOOKUP($B56,'A1.3.7'!$B$28:$O$118,9,))))</f>
        <v>-0.11060572355191903</v>
      </c>
      <c r="AM56" s="2644">
        <f>IF('A1.3.8'!G$31="","",IF(OR(VLOOKUP($B56,'A1.3.11'!$B$26:$AM$105,AM$22,)="",VLOOKUP($B56,'A1.3.7'!$B$28:$H$118,4,)=""),"",VLOOKUP($B56,'A1.3.11'!$B$26:$AM$105,AM$22,)*(VLOOKUP($B56,'A1.3.7'!$B$28:$O$118,4,)+VLOOKUP($B56,'A1.3.7'!$B$28:$O$118,9,))))</f>
        <v>1.2079919684609335E-3</v>
      </c>
      <c r="AN56" s="693" t="str">
        <f>IF('A1.3.8'!D$38="","",IF(OR(VLOOKUP($B56,'A1.3.11'!$B$26:$AM$105,AN$22,)="",VLOOKUP($B56,'A1.3.7'!$B$28:$H$118,6,)=""),"",VLOOKUP($B56,'A1.3.11'!$B$26:$AM$105,AN$22,)*VLOOKUP($B56,'A1.3.7'!$B$28:$O$118,6,)))</f>
        <v/>
      </c>
      <c r="AO56" s="691" t="str">
        <f>IF('A1.3.8'!E$38="","",IF(OR(VLOOKUP($B56,'A1.3.11'!$B$26:$AM$105,AO$22,)="",VLOOKUP($B56,'A1.3.7'!$B$28:$H$118,6,)=""),"",VLOOKUP($B56,'A1.3.11'!$B$26:$AM$105,AO$22,)*VLOOKUP($B56,'A1.3.7'!$B$28:$O$118,6,)))</f>
        <v/>
      </c>
      <c r="AP56" s="691" t="str">
        <f>IF('A1.3.8'!F$38="","",IF(OR(VLOOKUP($B56,'A1.3.11'!$B$26:$AM$105,AP$22,)="",VLOOKUP($B56,'A1.3.7'!$B$28:$H$118,6,)=""),"",VLOOKUP($B56,'A1.3.11'!$B$26:$AM$105,AP$22,)*VLOOKUP($B56,'A1.3.7'!$B$28:$O$118,6,)))</f>
        <v/>
      </c>
      <c r="AQ56" s="1664" t="str">
        <f>IF('A1.3.8'!G$38="","",IF(OR(VLOOKUP($B56,'A1.3.11'!$B$26:$AM$105,AQ$22,)="",VLOOKUP($B56,'A1.3.7'!$B$28:$H$118,6,)=""),"",VLOOKUP($B56,'A1.3.11'!$B$26:$AM$105,AQ$22,)*VLOOKUP($B56,'A1.3.7'!$B$28:$O$118,6,)))</f>
        <v/>
      </c>
      <c r="AR56" s="693">
        <f>IF(AND(AJ56="",AN56=""),"",IF(AJ56="",0,(AJ56*VLOOKUP($B56,'A1.3.9'!$B$26:$O$57,9,TRUE))) + IF(AN56="",0,(AN56*VLOOKUP($B56,'A1.3.9'!$B$26:$O$57,10,TRUE))))</f>
        <v>288.41291593324775</v>
      </c>
      <c r="AS56" s="691">
        <f>IF(AND(AK56="",AO56=""),"",IF(AK56="",0,(AK56*VLOOKUP($B56,'A1.3.9'!$B$26:$O$57,9,TRUE))) + IF(AO56="",0,(AO56*VLOOKUP($B56,'A1.3.9'!$B$26:$O$57,10,TRUE))))</f>
        <v>15.302383286273129</v>
      </c>
      <c r="AT56" s="691">
        <f>IF(AND(AL56="",AP56=""),"",IF(AL56="",0,(AL56*VLOOKUP($B56,'A1.3.9'!$B$26:$O$57,9,TRUE))) + IF(AP56="",0,(AP56*VLOOKUP($B56,'A1.3.9'!$B$26:$O$57,10,TRUE))))</f>
        <v>-0.11060572355191903</v>
      </c>
      <c r="AU56" s="2644">
        <f>IF(AND(AM56="",AQ56=""),"",IF(AM56="",0,(AM56*VLOOKUP($B56,'A1.3.9'!$B$26:$O$57,9,TRUE))) + IF(AQ56="",0,(AQ56*VLOOKUP($B56,'A1.3.9'!$B$26:$O$57,10,TRUE))))</f>
        <v>1.2079919684609335E-3</v>
      </c>
      <c r="AV56" s="693">
        <f>IF('A1.3.8'!D$32="","",IF(OR(VLOOKUP($B56,'A1.3.11'!$B$26:$AM$105,AV$22,)="",VLOOKUP($B56,'A1.3.7'!$B$28:$H$118,4,)=""),"",VLOOKUP($B56,'A1.3.11'!$B$26:$AM$105,AV$22,)*(VLOOKUP($B56,'A1.3.7'!$B$28:$O$118,4,)+VLOOKUP($B56,'A1.3.7'!$B$28:$O$118,9,))))</f>
        <v>606.03069007289514</v>
      </c>
      <c r="AW56" s="691">
        <f>IF('A1.3.8'!E$32="","",IF(OR(VLOOKUP($B56,'A1.3.11'!$B$26:$AM$105,AW$22,)="",VLOOKUP($B56,'A1.3.7'!$B$28:$H$118,4,)=""),"",VLOOKUP($B56,'A1.3.11'!$B$26:$AM$105,AW$22,)*(VLOOKUP($B56,'A1.3.7'!$B$28:$O$118,4,)+VLOOKUP($B56,'A1.3.7'!$B$28:$O$118,9,))))</f>
        <v>31.472247562260911</v>
      </c>
      <c r="AX56" s="691">
        <f>IF('A1.3.8'!F$32="","",IF(OR(VLOOKUP($B56,'A1.3.11'!$B$26:$AM$105,AX$22,)="",VLOOKUP($B56,'A1.3.7'!$B$28:$H$118,4,)=""),"",VLOOKUP($B56,'A1.3.11'!$B$26:$AM$105,AX$22,)*(VLOOKUP($B56,'A1.3.7'!$B$28:$O$118,4,)+VLOOKUP($B56,'A1.3.7'!$B$28:$O$118,9,))))</f>
        <v>-0.2085201964942297</v>
      </c>
      <c r="AY56" s="2644">
        <f>IF('A1.3.8'!G$32="","",IF(OR(VLOOKUP($B56,'A1.3.11'!$B$26:$AM$105,AY$22,)="",VLOOKUP($B56,'A1.3.7'!$B$28:$H$118,4,)=""),"",VLOOKUP($B56,'A1.3.11'!$B$26:$AM$105,AY$22,)*(VLOOKUP($B56,'A1.3.7'!$B$28:$O$118,4,)+VLOOKUP($B56,'A1.3.7'!$B$28:$O$118,9,))))</f>
        <v>1.2428670805306413E-3</v>
      </c>
      <c r="AZ56" s="693" t="str">
        <f>IF('A1.3.8'!D$39="","",IF(OR(VLOOKUP($B56,'A1.3.11'!$B$26:$AM$105,AZ$22,)="",VLOOKUP($B56,'A1.3.7'!$B$28:$H$118,6,)=""),"",VLOOKUP($B56,'A1.3.11'!$B$26:$AM$105,AZ$22,)*VLOOKUP($B56,'A1.3.7'!$B$28:$O$118,6,)))</f>
        <v/>
      </c>
      <c r="BA56" s="691" t="str">
        <f>IF('A1.3.8'!E$39="","",IF(OR(VLOOKUP($B56,'A1.3.11'!$B$26:$AM$105,BA$22,)="",VLOOKUP($B56,'A1.3.7'!$B$28:$H$118,6,)=""),"",VLOOKUP($B56,'A1.3.11'!$B$26:$AM$105,BA$22,)*VLOOKUP($B56,'A1.3.7'!$B$28:$O$118,6,)))</f>
        <v/>
      </c>
      <c r="BB56" s="691" t="str">
        <f>IF('A1.3.8'!F$39="","",IF(OR(VLOOKUP($B56,'A1.3.11'!$B$26:$AM$105,BB$22,)="",VLOOKUP($B56,'A1.3.7'!$B$28:$H$118,6,)=""),"",VLOOKUP($B56,'A1.3.11'!$B$26:$AM$105,BB$22,)*VLOOKUP($B56,'A1.3.7'!$B$28:$O$118,6,)))</f>
        <v/>
      </c>
      <c r="BC56" s="1664" t="str">
        <f>IF('A1.3.8'!G$39="","",IF(OR(VLOOKUP($B56,'A1.3.11'!$B$26:$AM$105,BC$22,)="",VLOOKUP($B56,'A1.3.7'!$B$28:$H$118,6,)=""),"",VLOOKUP($B56,'A1.3.11'!$B$26:$AM$105,BC$22,)*VLOOKUP($B56,'A1.3.7'!$B$28:$O$118,6,)))</f>
        <v/>
      </c>
      <c r="BD56" s="693">
        <f>IF(AND(AV56="",AZ56=""),"",IF(AV56="",0,(AV56*VLOOKUP($B56,'A1.3.9'!$B$26:$O$57,9,TRUE))) + IF(AZ56="",0,(AZ56*VLOOKUP($B56,'A1.3.9'!$B$26:$O$57,10,TRUE))))</f>
        <v>606.03069007289514</v>
      </c>
      <c r="BE56" s="691">
        <f>IF(AND(AW56="",BA56=""),"",IF(AW56="",0,(AW56*VLOOKUP($B56,'A1.3.9'!$B$26:$O$57,9,TRUE))) + IF(BA56="",0,(BA56*VLOOKUP($B56,'A1.3.9'!$B$26:$O$57,10,TRUE))))</f>
        <v>31.472247562260911</v>
      </c>
      <c r="BF56" s="691">
        <f>IF(AND(AX56="",BB56=""),"",IF(AX56="",0,(AX56*VLOOKUP($B56,'A1.3.9'!$B$26:$O$57,9,TRUE))) + IF(BB56="",0,(BB56*VLOOKUP($B56,'A1.3.9'!$B$26:$O$57,10,TRUE))))</f>
        <v>-0.2085201964942297</v>
      </c>
      <c r="BG56" s="2644">
        <f>IF(AND(AY56="",BC56=""),"",IF(AY56="",0,(AY56*VLOOKUP($B56,'A1.3.9'!$B$26:$O$57,9,TRUE))) + IF(BC56="",0,(BC56*VLOOKUP($B56,'A1.3.9'!$B$26:$O$57,10,TRUE))))</f>
        <v>1.2428670805306413E-3</v>
      </c>
      <c r="BH56" s="693">
        <f>IF('A1.3.8'!D$33="","",IF(OR(VLOOKUP($B56,'A1.3.11'!$B$26:$AM$105,BH$22,)="",VLOOKUP($B56,'A1.3.7'!$B$28:$H$118,4,)=""),"",VLOOKUP($B56,'A1.3.11'!$B$26:$AM$105,BH$22,)*(VLOOKUP($B56,'A1.3.7'!$B$28:$O$118,4,)+VLOOKUP($B56,'A1.3.7'!$B$28:$O$118,9,))))</f>
        <v>359.42839220716382</v>
      </c>
      <c r="BI56" s="691">
        <f>IF('A1.3.8'!E$33="","",IF(OR(VLOOKUP($B56,'A1.3.11'!$B$26:$AM$105,BI$22,)="",VLOOKUP($B56,'A1.3.7'!$B$28:$H$118,4,)=""),"",VLOOKUP($B56,'A1.3.11'!$B$26:$AM$105,BI$22,)*(VLOOKUP($B56,'A1.3.7'!$B$28:$O$118,4,)+VLOOKUP($B56,'A1.3.7'!$B$28:$O$118,9,))))</f>
        <v>31.581876837693869</v>
      </c>
      <c r="BJ56" s="691">
        <f>IF('A1.3.8'!F$33="","",IF(OR(VLOOKUP($B56,'A1.3.11'!$B$26:$AM$105,BJ$22,)="",VLOOKUP($B56,'A1.3.7'!$B$28:$H$118,4,)=""),"",VLOOKUP($B56,'A1.3.11'!$B$26:$AM$105,BJ$22,)*(VLOOKUP($B56,'A1.3.7'!$B$28:$O$118,4,)+VLOOKUP($B56,'A1.3.7'!$B$28:$O$118,9,))))</f>
        <v>-0.34326685253067435</v>
      </c>
      <c r="BK56" s="2644">
        <f>IF('A1.3.8'!G$33="","",IF(OR(VLOOKUP($B56,'A1.3.11'!$B$26:$AM$105,BK$22,)="",VLOOKUP($B56,'A1.3.7'!$B$28:$H$118,4,)=""),"",VLOOKUP($B56,'A1.3.11'!$B$26:$AM$105,BK$22,)*(VLOOKUP($B56,'A1.3.7'!$B$28:$O$118,4,)+VLOOKUP($B56,'A1.3.7'!$B$28:$O$118,9,))))</f>
        <v>2.5180026737559786E-3</v>
      </c>
      <c r="BL56" s="693" t="str">
        <f>IF('A1.3.8'!D$40="","",IF(OR(VLOOKUP($B56,'A1.3.11'!$B$26:$AM$105,BL$22,)="",VLOOKUP($B56,'A1.3.7'!$B$28:$H$118,6,)=""),"",VLOOKUP($B56,'A1.3.11'!$B$26:$AM$105,BL$22,)*VLOOKUP($B56,'A1.3.7'!$B$28:$O$118,6,)))</f>
        <v/>
      </c>
      <c r="BM56" s="691" t="str">
        <f>IF('A1.3.8'!E$40="","",IF(OR(VLOOKUP($B56,'A1.3.11'!$B$26:$AM$105,BM$22,)="",VLOOKUP($B56,'A1.3.7'!$B$28:$H$118,6,)=""),"",VLOOKUP($B56,'A1.3.11'!$B$26:$AM$105,BM$22,)*VLOOKUP($B56,'A1.3.7'!$B$28:$O$118,6,)))</f>
        <v/>
      </c>
      <c r="BN56" s="691" t="str">
        <f>IF('A1.3.8'!F$40="","",IF(OR(VLOOKUP($B56,'A1.3.11'!$B$26:$AM$105,BN$22,)="",VLOOKUP($B56,'A1.3.7'!$B$28:$H$118,6,)=""),"",VLOOKUP($B56,'A1.3.11'!$B$26:$AM$105,BN$22,)*VLOOKUP($B56,'A1.3.7'!$B$28:$O$118,6,)))</f>
        <v/>
      </c>
      <c r="BO56" s="1664" t="str">
        <f>IF('A1.3.8'!G$40="","",IF(OR(VLOOKUP($B56,'A1.3.11'!$B$26:$AM$105,BO$22,)="",VLOOKUP($B56,'A1.3.7'!$B$28:$H$118,6,)=""),"",VLOOKUP($B56,'A1.3.11'!$B$26:$AM$105,BO$22,)*VLOOKUP($B56,'A1.3.7'!$B$28:$O$118,6,)))</f>
        <v/>
      </c>
      <c r="BP56" s="693">
        <f>IF(AND(BH56="",BL56=""),"",IF(BH56="",0,(BH56*VLOOKUP($B56,'A1.3.9'!$B$26:$O$57,9,TRUE))) + IF(BL56="",0,(BL56*VLOOKUP($B56,'A1.3.9'!$B$26:$O$57,10,TRUE))))</f>
        <v>359.42839220716382</v>
      </c>
      <c r="BQ56" s="691">
        <f>IF(AND(BI56="",BM56=""),"",IF(BI56="",0,(BI56*VLOOKUP($B56,'A1.3.9'!$B$26:$O$57,9,TRUE))) + IF(BM56="",0,(BM56*VLOOKUP($B56,'A1.3.9'!$B$26:$O$57,10,TRUE))))</f>
        <v>31.581876837693869</v>
      </c>
      <c r="BR56" s="691">
        <f>IF(AND(BJ56="",BN56=""),"",IF(BJ56="",0,(BJ56*VLOOKUP($B56,'A1.3.9'!$B$26:$O$57,9,TRUE))) + IF(BN56="",0,(BN56*VLOOKUP($B56,'A1.3.9'!$B$26:$O$57,10,TRUE))))</f>
        <v>-0.34326685253067435</v>
      </c>
      <c r="BS56" s="2644">
        <f>IF(AND(BK56="",BO56=""),"",IF(BK56="",0,(BK56*VLOOKUP($B56,'A1.3.9'!$B$26:$O$57,9,TRUE))) + IF(BO56="",0,(BO56*VLOOKUP($B56,'A1.3.9'!$B$26:$O$57,10,TRUE))))</f>
        <v>2.5180026737559786E-3</v>
      </c>
    </row>
    <row r="57" spans="1:71" s="26" customFormat="1" ht="13.5" customHeight="1">
      <c r="A57" s="113"/>
      <c r="B57" s="614">
        <f t="shared" si="0"/>
        <v>2040</v>
      </c>
      <c r="C57" s="147"/>
      <c r="D57" s="693">
        <f>IF('A1.3.8'!D$27="","",IF(OR(VLOOKUP($B57,'A1.3.11'!$B$26:$AM$105,D$22,)="",VLOOKUP($B57,'A1.3.7'!$B$28:$H$118,3,)=""),"",VLOOKUP($B57,'A1.3.11'!$B$26:$AM$105,D$22,)*(VLOOKUP($B57,'A1.3.7'!$B$28:$O$118,3,)+VLOOKUP($B57,'A1.3.7'!$B$28:$O$118,8,))))</f>
        <v>33.639978205725726</v>
      </c>
      <c r="E57" s="691">
        <f>IF('A1.3.8'!E$27="","",IF(OR(VLOOKUP($B57,'A1.3.11'!$B$26:$AM$105,E$22,)="",VLOOKUP($B57,'A1.3.7'!$B$28:$H$118,3,)=""),"",VLOOKUP($B57,'A1.3.11'!$B$26:$AM$105,E$22,)*(VLOOKUP($B57,'A1.3.7'!$B$28:$O$118,3,)+VLOOKUP($B57,'A1.3.7'!$B$28:$O$118,8,))))</f>
        <v>7.1490410397153488</v>
      </c>
      <c r="F57" s="691">
        <f>IF('A1.3.8'!F$27="","",IF(OR(VLOOKUP($B57,'A1.3.11'!$B$26:$AM$105,F$22,)="",VLOOKUP($B57,'A1.3.7'!$B$28:$H$118,3,)=""),"",VLOOKUP($B57,'A1.3.11'!$B$26:$AM$105,F$22,)*(VLOOKUP($B57,'A1.3.7'!$B$28:$O$118,3,)+VLOOKUP($B57,'A1.3.7'!$B$28:$O$118,8,))))</f>
        <v>-8.1436055387844125E-2</v>
      </c>
      <c r="G57" s="2644">
        <f>IF('A1.3.8'!G$27="","",IF(OR(VLOOKUP($B57,'A1.3.11'!$B$26:$AM$105,G$22,)="",VLOOKUP($B57,'A1.3.7'!$B$28:$H$118,3,)=""),"",VLOOKUP($B57,'A1.3.11'!$B$26:$AM$105,G$22,)*(VLOOKUP($B57,'A1.3.7'!$B$28:$O$118,3,)+VLOOKUP($B57,'A1.3.7'!$B$28:$O$118,8,))))</f>
        <v>5.3934444237823829E-4</v>
      </c>
      <c r="H57" s="693">
        <f>IF('A1.3.8'!D$28="","",IF(OR(VLOOKUP($B57,'A1.3.11'!$B$26:$AM$105,H$22,)="",VLOOKUP($B57,'A1.3.7'!$B$28:$H$118,4,)=""),"",VLOOKUP($B57,'A1.3.11'!$B$26:$AM$105,H$22,)*(VLOOKUP($B57,'A1.3.7'!$B$28:$O$118,4,)+VLOOKUP($B57,'A1.3.7'!$B$28:$O$118,9,))))</f>
        <v>41.586666699704942</v>
      </c>
      <c r="I57" s="691">
        <f>IF('A1.3.8'!E$28="","",IF(OR(VLOOKUP($B57,'A1.3.11'!$B$26:$AM$105,I$22,)="",VLOOKUP($B57,'A1.3.7'!$B$28:$H$118,4,)=""),"",VLOOKUP($B57,'A1.3.11'!$B$26:$AM$105,I$22,)*(VLOOKUP($B57,'A1.3.7'!$B$28:$O$118,4,)+VLOOKUP($B57,'A1.3.7'!$B$28:$O$118,9,))))</f>
        <v>5.9624995676394592</v>
      </c>
      <c r="J57" s="691">
        <f>IF('A1.3.8'!F$28="","",IF(OR(VLOOKUP($B57,'A1.3.11'!$B$26:$AM$105,J$22,)="",VLOOKUP($B57,'A1.3.7'!$B$28:$H$118,4,)=""),"",VLOOKUP($B57,'A1.3.11'!$B$26:$AM$105,J$22,)*(VLOOKUP($B57,'A1.3.7'!$B$28:$O$118,4,)+VLOOKUP($B57,'A1.3.7'!$B$28:$O$118,9,))))</f>
        <v>-5.7360906877837722E-2</v>
      </c>
      <c r="K57" s="2644">
        <f>IF('A1.3.8'!G$28="","",IF(OR(VLOOKUP($B57,'A1.3.11'!$B$26:$AM$105,K$22,)="",VLOOKUP($B57,'A1.3.7'!$B$28:$H$118,4,)=""),"",VLOOKUP($B57,'A1.3.11'!$B$26:$AM$105,K$22,)*(VLOOKUP($B57,'A1.3.7'!$B$28:$O$118,4,)+VLOOKUP($B57,'A1.3.7'!$B$28:$O$118,9,))))</f>
        <v>4.5200682403700223E-4</v>
      </c>
      <c r="L57" s="693" t="str">
        <f>IF('A1.3.8'!D$36="","",IF(OR(VLOOKUP($B57,'A1.3.11'!$B$26:$AM$105,L$22,)="",VLOOKUP($B57,'A1.3.7'!$B$28:$H$118,6,)=""),"",VLOOKUP($B57,'A1.3.11'!$B$26:$AM$105,L$22,)*VLOOKUP($B57,'A1.3.7'!$B$28:$O$118,6,)))</f>
        <v/>
      </c>
      <c r="M57" s="691">
        <f>IF('A1.3.8'!E$36="","",IF(OR(VLOOKUP($B57,'A1.3.11'!$B$26:$AM$105,M$22,)="",VLOOKUP($B57,'A1.3.7'!$B$28:$H$118,6,)=""),"",VLOOKUP($B57,'A1.3.11'!$B$26:$AM$105,M$22,)*VLOOKUP($B57,'A1.3.7'!$B$28:$O$118,6,)))</f>
        <v>1.9637608285706969</v>
      </c>
      <c r="N57" s="691" t="str">
        <f>IF('A1.3.8'!F$36="","",IF(OR(VLOOKUP($B57,'A1.3.11'!$B$26:$AM$105,N$22,)="",VLOOKUP($B57,'A1.3.7'!$B$28:$H$118,6,)=""),"",VLOOKUP($B57,'A1.3.11'!$B$26:$AM$105,N$22,)*VLOOKUP($B57,'A1.3.7'!$B$28:$O$118,6,)))</f>
        <v/>
      </c>
      <c r="O57" s="1664" t="str">
        <f>IF('A1.3.8'!G$36="","",IF(OR(VLOOKUP($B57,'A1.3.11'!$B$26:$AM$105,O$22,)="",VLOOKUP($B57,'A1.3.7'!$B$28:$H$118,6,)=""),"",VLOOKUP($B57,'A1.3.11'!$B$26:$AM$105,O$22,)*VLOOKUP($B57,'A1.3.7'!$B$28:$O$118,6,)))</f>
        <v/>
      </c>
      <c r="P57" s="693">
        <f>IF(AND(D57="",H57="",L57=""),"",IF(D57="",0,(D57*VLOOKUP($B57,'A1.3.9'!$B$26:$O$57,3,TRUE)))+IF(H57="",0,(H57*VLOOKUP($B57,'A1.3.9'!$B$26:$O$57,4,TRUE)))+IF(L57="",0,(L57*VLOOKUP($B57,'A1.3.9'!$B$26:$O$57,5,TRUE))))</f>
        <v>27.936578662911252</v>
      </c>
      <c r="Q57" s="691">
        <f>IF(AND(E57="",I57="",M57=""),"",IF(E57="",0,(E57*VLOOKUP($B57,'A1.3.9'!$B$26:$O$57,3,TRUE)))+IF(I57="",0,(I57*VLOOKUP($B57,'A1.3.9'!$B$26:$O$57,4,TRUE)))+IF(M57="",0,(M57*VLOOKUP($B57,'A1.3.9'!$B$26:$O$57,5,TRUE))))</f>
        <v>5.525812147800953</v>
      </c>
      <c r="R57" s="691">
        <f>IF(AND(F57="",J57="",N57=""),"",IF(F57="",0,(F57*VLOOKUP($B57,'A1.3.9'!$B$26:$O$57,3,TRUE)))+IF(J57="",0,(J57*VLOOKUP($B57,'A1.3.9'!$B$26:$O$57,4,TRUE)))+IF(N57="",0,(N57*VLOOKUP($B57,'A1.3.9'!$B$26:$O$57,5,TRUE))))</f>
        <v>-5.4264158400841908E-2</v>
      </c>
      <c r="S57" s="2644">
        <f>IF(AND(G57="",K57="",O57=""),"",IF(G57="",0,(G57*VLOOKUP($B57,'A1.3.9'!$B$26:$O$57,3,TRUE)))+IF(K57="",0,(K57*VLOOKUP($B57,'A1.3.9'!$B$26:$O$57,4,TRUE)))+IF(O57="",0,(O57*VLOOKUP($B57,'A1.3.9'!$B$26:$O$57,5,TRUE))))</f>
        <v>3.8163831085479287E-4</v>
      </c>
      <c r="T57" s="693">
        <f>IF('A1.3.8'!D$29="","",IF(OR(VLOOKUP($B57,'A1.3.11'!$B$26:$AM$105,T$22,)="",VLOOKUP($B57,'A1.3.7'!$B$28:$H$118,3,)=""),"",VLOOKUP($B57,'A1.3.11'!$B$26:$AM$105,T$22,)*(VLOOKUP($B57,'A1.3.7'!$B$28:$O$118,3,)+VLOOKUP($B57,'A1.3.7'!$B$28:$O$118,8,))))</f>
        <v>24.198348784055234</v>
      </c>
      <c r="U57" s="691">
        <f>IF('A1.3.8'!E$29="","",IF(OR(VLOOKUP($B57,'A1.3.11'!$B$26:$AM$105,U$22,)="",VLOOKUP($B57,'A1.3.7'!$B$28:$H$118,3,)=""),"",VLOOKUP($B57,'A1.3.11'!$B$26:$AM$105,U$22,)*(VLOOKUP($B57,'A1.3.7'!$B$28:$O$118,3,)+VLOOKUP($B57,'A1.3.7'!$B$28:$O$118,8,))))</f>
        <v>13.569033242473044</v>
      </c>
      <c r="V57" s="691">
        <f>IF('A1.3.8'!F$29="","",IF(OR(VLOOKUP($B57,'A1.3.11'!$B$26:$AM$105,V$22,)="",VLOOKUP($B57,'A1.3.7'!$B$28:$H$118,3,)=""),"",VLOOKUP($B57,'A1.3.11'!$B$26:$AM$105,V$22,)*(VLOOKUP($B57,'A1.3.7'!$B$28:$O$118,3,)+VLOOKUP($B57,'A1.3.7'!$B$28:$O$118,8,))))</f>
        <v>-0.21298928298587202</v>
      </c>
      <c r="W57" s="2644">
        <f>IF('A1.3.8'!G$29="","",IF(OR(VLOOKUP($B57,'A1.3.11'!$B$26:$AM$105,W$22,)="",VLOOKUP($B57,'A1.3.7'!$B$28:$H$118,3,)=""),"",VLOOKUP($B57,'A1.3.11'!$B$26:$AM$105,W$22,)*(VLOOKUP($B57,'A1.3.7'!$B$28:$O$118,3,)+VLOOKUP($B57,'A1.3.7'!$B$28:$O$118,8,))))</f>
        <v>1.3754927494308981E-3</v>
      </c>
      <c r="X57" s="693">
        <f>IF('A1.3.8'!D$30="","",IF(OR(VLOOKUP($B57,'A1.3.11'!$B$26:$AM$105,X$22,)="",VLOOKUP($B57,'A1.3.7'!$B$28:$H$118,4,)=""),"",VLOOKUP($B57,'A1.3.11'!$B$26:$AM$105,X$22,)*(VLOOKUP($B57,'A1.3.7'!$B$28:$O$118,4,)+VLOOKUP($B57,'A1.3.7'!$B$28:$O$118,9,))))</f>
        <v>42.830232069048485</v>
      </c>
      <c r="Y57" s="691">
        <f>IF('A1.3.8'!E$30="","",IF(OR(VLOOKUP($B57,'A1.3.11'!$B$26:$AM$105,Y$22,)="",VLOOKUP($B57,'A1.3.7'!$B$28:$H$118,4,)=""),"",VLOOKUP($B57,'A1.3.11'!$B$26:$AM$105,Y$22,)*(VLOOKUP($B57,'A1.3.7'!$B$28:$O$118,4,)+VLOOKUP($B57,'A1.3.7'!$B$28:$O$118,9,))))</f>
        <v>10.467883265079077</v>
      </c>
      <c r="Z57" s="691">
        <f>IF('A1.3.8'!F$30="","",IF(OR(VLOOKUP($B57,'A1.3.11'!$B$26:$AM$105,Z$22,)="",VLOOKUP($B57,'A1.3.7'!$B$28:$H$118,4,)=""),"",VLOOKUP($B57,'A1.3.11'!$B$26:$AM$105,Z$22,)*(VLOOKUP($B57,'A1.3.7'!$B$28:$O$118,4,)+VLOOKUP($B57,'A1.3.7'!$B$28:$O$118,9,))))</f>
        <v>-0.15101824087982174</v>
      </c>
      <c r="AA57" s="2644">
        <f>IF('A1.3.8'!G$30="","",IF(OR(VLOOKUP($B57,'A1.3.11'!$B$26:$AM$105,AA$22,)="",VLOOKUP($B57,'A1.3.7'!$B$28:$H$118,4,)=""),"",VLOOKUP($B57,'A1.3.11'!$B$26:$AM$105,AA$22,)*(VLOOKUP($B57,'A1.3.7'!$B$28:$O$118,4,)+VLOOKUP($B57,'A1.3.7'!$B$28:$O$118,9,))))</f>
        <v>1.2785256928635929E-3</v>
      </c>
      <c r="AB57" s="693" t="str">
        <f>IF('A1.3.8'!D$37="","",IF(OR(VLOOKUP($B57,'A1.3.11'!$B$26:$AM$105,AB$22,)="",VLOOKUP($B57,'A1.3.7'!$B$28:$H$118,6,)=""),"",VLOOKUP($B57,'A1.3.11'!$B$26:$AM$105,AB$22,)*VLOOKUP($B57,'A1.3.7'!$B$28:$O$118,6,)))</f>
        <v/>
      </c>
      <c r="AC57" s="691">
        <f>IF('A1.3.8'!E$37="","",IF(OR(VLOOKUP($B57,'A1.3.11'!$B$26:$AM$105,AC$22,)="",VLOOKUP($B57,'A1.3.7'!$B$28:$H$118,6,)=""),"",VLOOKUP($B57,'A1.3.11'!$B$26:$AM$105,AC$22,)*VLOOKUP($B57,'A1.3.7'!$B$28:$O$118,6,)))</f>
        <v>4.5145632825273854</v>
      </c>
      <c r="AD57" s="691" t="str">
        <f>IF('A1.3.8'!F$37="","",IF(OR(VLOOKUP($B57,'A1.3.11'!$B$26:$AM$105,AD$22,)="",VLOOKUP($B57,'A1.3.7'!$B$28:$H$118,6,)=""),"",VLOOKUP($B57,'A1.3.11'!$B$26:$AM$105,AD$22,)*VLOOKUP($B57,'A1.3.7'!$B$28:$O$118,6,)))</f>
        <v/>
      </c>
      <c r="AE57" s="1664" t="str">
        <f>IF('A1.3.8'!G$37="","",IF(OR(VLOOKUP($B57,'A1.3.11'!$B$26:$AM$105,AE$22,)="",VLOOKUP($B57,'A1.3.7'!$B$28:$H$118,6,)=""),"",VLOOKUP($B57,'A1.3.11'!$B$26:$AM$105,AE$22,)*VLOOKUP($B57,'A1.3.7'!$B$28:$O$118,6,)))</f>
        <v/>
      </c>
      <c r="AF57" s="693">
        <f>IF(AND(T57="",X57="",AB57=""),"",IF(T57="",0,(T57*VLOOKUP('A1.3.12'!$B57,'A1.3.9'!$B$26:$O$57,6,TRUE))) + IF(X57="",0,(X57*VLOOKUP('A1.3.12'!$B57,'A1.3.9'!$B$26:$O$57,7,TRUE))) + IF(AB57="",0,(AB57*VLOOKUP('A1.3.12'!$B57,'A1.3.9'!$B$26:$O$57,8,TRUE))))</f>
        <v>38.002439439199186</v>
      </c>
      <c r="AG57" s="691">
        <f>IF(AND(U57="",Y57="",AC57=""),"",IF(U57="",0,(U57*VLOOKUP('A1.3.12'!$B57,'A1.3.9'!$B$26:$O$57,6,TRUE))) + IF(Y57="",0,(Y57*VLOOKUP('A1.3.12'!$B57,'A1.3.9'!$B$26:$O$57,7,TRUE))) + IF(AC57="",0,(AC57*VLOOKUP('A1.3.12'!$B57,'A1.3.9'!$B$26:$O$57,8,TRUE))))</f>
        <v>9.8399745154077891</v>
      </c>
      <c r="AH57" s="691">
        <f>IF(AND(V57="",Z57="",AD57=""),"",IF(V57="",0,(V57*VLOOKUP('A1.3.12'!$B57,'A1.3.9'!$B$26:$O$57,6,TRUE))) + IF(Z57="",0,(Z57*VLOOKUP('A1.3.12'!$B57,'A1.3.9'!$B$26:$O$57,7,TRUE))) + IF(AD57="",0,(AD57*VLOOKUP('A1.3.12'!$B57,'A1.3.9'!$B$26:$O$57,8,TRUE))))</f>
        <v>-0.13496346161003608</v>
      </c>
      <c r="AI57" s="2644">
        <f>IF(AND(W57="",AA57="",AE57=""),"",IF(W57="",0,(W57*VLOOKUP('A1.3.12'!$B57,'A1.3.9'!$B$26:$O$57,6,TRUE))) + IF(AA57="",0,(AA57*VLOOKUP('A1.3.12'!$B57,'A1.3.9'!$B$26:$O$57,7,TRUE))) + IF(AE57="",0,(AE57*VLOOKUP('A1.3.12'!$B57,'A1.3.9'!$B$26:$O$57,8,TRUE))))</f>
        <v>1.1393629578361848E-3</v>
      </c>
      <c r="AJ57" s="693">
        <f>IF('A1.3.8'!D$31="","",IF(OR(VLOOKUP($B57,'A1.3.11'!$B$26:$AM$105,AJ$22,)="",VLOOKUP($B57,'A1.3.7'!$B$28:$H$118,4,)=""),"",VLOOKUP($B57,'A1.3.11'!$B$26:$AM$105,AJ$22,)*(VLOOKUP($B57,'A1.3.7'!$B$28:$O$118,4,)+VLOOKUP($B57,'A1.3.7'!$B$28:$O$118,9,))))</f>
        <v>289.53077518462538</v>
      </c>
      <c r="AK57" s="691">
        <f>IF('A1.3.8'!E$31="","",IF(OR(VLOOKUP($B57,'A1.3.11'!$B$26:$AM$105,AK$22,)="",VLOOKUP($B57,'A1.3.7'!$B$28:$H$118,4,)=""),"",VLOOKUP($B57,'A1.3.11'!$B$26:$AM$105,AK$22,)*(VLOOKUP($B57,'A1.3.7'!$B$28:$O$118,4,)+VLOOKUP($B57,'A1.3.7'!$B$28:$O$118,9,))))</f>
        <v>15.361693774048392</v>
      </c>
      <c r="AL57" s="691">
        <f>IF('A1.3.8'!F$31="","",IF(OR(VLOOKUP($B57,'A1.3.11'!$B$26:$AM$105,AL$22,)="",VLOOKUP($B57,'A1.3.7'!$B$28:$H$118,4,)=""),"",VLOOKUP($B57,'A1.3.11'!$B$26:$AM$105,AL$22,)*(VLOOKUP($B57,'A1.3.7'!$B$28:$O$118,4,)+VLOOKUP($B57,'A1.3.7'!$B$28:$O$118,9,))))</f>
        <v>-0.11103442013413606</v>
      </c>
      <c r="AM57" s="2644">
        <f>IF('A1.3.8'!G$31="","",IF(OR(VLOOKUP($B57,'A1.3.11'!$B$26:$AM$105,AM$22,)="",VLOOKUP($B57,'A1.3.7'!$B$28:$H$118,4,)=""),"",VLOOKUP($B57,'A1.3.11'!$B$26:$AM$105,AM$22,)*(VLOOKUP($B57,'A1.3.7'!$B$28:$O$118,4,)+VLOOKUP($B57,'A1.3.7'!$B$28:$O$118,9,))))</f>
        <v>1.2126740229839233E-3</v>
      </c>
      <c r="AN57" s="693" t="str">
        <f>IF('A1.3.8'!D$38="","",IF(OR(VLOOKUP($B57,'A1.3.11'!$B$26:$AM$105,AN$22,)="",VLOOKUP($B57,'A1.3.7'!$B$28:$H$118,6,)=""),"",VLOOKUP($B57,'A1.3.11'!$B$26:$AM$105,AN$22,)*VLOOKUP($B57,'A1.3.7'!$B$28:$O$118,6,)))</f>
        <v/>
      </c>
      <c r="AO57" s="691" t="str">
        <f>IF('A1.3.8'!E$38="","",IF(OR(VLOOKUP($B57,'A1.3.11'!$B$26:$AM$105,AO$22,)="",VLOOKUP($B57,'A1.3.7'!$B$28:$H$118,6,)=""),"",VLOOKUP($B57,'A1.3.11'!$B$26:$AM$105,AO$22,)*VLOOKUP($B57,'A1.3.7'!$B$28:$O$118,6,)))</f>
        <v/>
      </c>
      <c r="AP57" s="691" t="str">
        <f>IF('A1.3.8'!F$38="","",IF(OR(VLOOKUP($B57,'A1.3.11'!$B$26:$AM$105,AP$22,)="",VLOOKUP($B57,'A1.3.7'!$B$28:$H$118,6,)=""),"",VLOOKUP($B57,'A1.3.11'!$B$26:$AM$105,AP$22,)*VLOOKUP($B57,'A1.3.7'!$B$28:$O$118,6,)))</f>
        <v/>
      </c>
      <c r="AQ57" s="1664" t="str">
        <f>IF('A1.3.8'!G$38="","",IF(OR(VLOOKUP($B57,'A1.3.11'!$B$26:$AM$105,AQ$22,)="",VLOOKUP($B57,'A1.3.7'!$B$28:$H$118,6,)=""),"",VLOOKUP($B57,'A1.3.11'!$B$26:$AM$105,AQ$22,)*VLOOKUP($B57,'A1.3.7'!$B$28:$O$118,6,)))</f>
        <v/>
      </c>
      <c r="AR57" s="693">
        <f>IF(AND(AJ57="",AN57=""),"",IF(AJ57="",0,(AJ57*VLOOKUP($B57,'A1.3.9'!$B$26:$O$57,9,TRUE))) + IF(AN57="",0,(AN57*VLOOKUP($B57,'A1.3.9'!$B$26:$O$57,10,TRUE))))</f>
        <v>289.53077518462538</v>
      </c>
      <c r="AS57" s="691">
        <f>IF(AND(AK57="",AO57=""),"",IF(AK57="",0,(AK57*VLOOKUP($B57,'A1.3.9'!$B$26:$O$57,9,TRUE))) + IF(AO57="",0,(AO57*VLOOKUP($B57,'A1.3.9'!$B$26:$O$57,10,TRUE))))</f>
        <v>15.361693774048392</v>
      </c>
      <c r="AT57" s="691">
        <f>IF(AND(AL57="",AP57=""),"",IF(AL57="",0,(AL57*VLOOKUP($B57,'A1.3.9'!$B$26:$O$57,9,TRUE))) + IF(AP57="",0,(AP57*VLOOKUP($B57,'A1.3.9'!$B$26:$O$57,10,TRUE))))</f>
        <v>-0.11103442013413606</v>
      </c>
      <c r="AU57" s="2644">
        <f>IF(AND(AM57="",AQ57=""),"",IF(AM57="",0,(AM57*VLOOKUP($B57,'A1.3.9'!$B$26:$O$57,9,TRUE))) + IF(AQ57="",0,(AQ57*VLOOKUP($B57,'A1.3.9'!$B$26:$O$57,10,TRUE))))</f>
        <v>1.2126740229839233E-3</v>
      </c>
      <c r="AV57" s="693">
        <f>IF('A1.3.8'!D$32="","",IF(OR(VLOOKUP($B57,'A1.3.11'!$B$26:$AM$105,AV$22,)="",VLOOKUP($B57,'A1.3.7'!$B$28:$H$118,4,)=""),"",VLOOKUP($B57,'A1.3.11'!$B$26:$AM$105,AV$22,)*(VLOOKUP($B57,'A1.3.7'!$B$28:$O$118,4,)+VLOOKUP($B57,'A1.3.7'!$B$28:$O$118,9,))))</f>
        <v>608.37960364815797</v>
      </c>
      <c r="AW57" s="691">
        <f>IF('A1.3.8'!E$32="","",IF(OR(VLOOKUP($B57,'A1.3.11'!$B$26:$AM$105,AW$22,)="",VLOOKUP($B57,'A1.3.7'!$B$28:$H$118,4,)=""),"",VLOOKUP($B57,'A1.3.11'!$B$26:$AM$105,AW$22,)*(VLOOKUP($B57,'A1.3.7'!$B$28:$O$118,4,)+VLOOKUP($B57,'A1.3.7'!$B$28:$O$118,9,))))</f>
        <v>31.594230806268136</v>
      </c>
      <c r="AX57" s="691">
        <f>IF('A1.3.8'!F$32="","",IF(OR(VLOOKUP($B57,'A1.3.11'!$B$26:$AM$105,AX$22,)="",VLOOKUP($B57,'A1.3.7'!$B$28:$H$118,4,)=""),"",VLOOKUP($B57,'A1.3.11'!$B$26:$AM$105,AX$22,)*(VLOOKUP($B57,'A1.3.7'!$B$28:$O$118,4,)+VLOOKUP($B57,'A1.3.7'!$B$28:$O$118,9,))))</f>
        <v>-0.20932839965668484</v>
      </c>
      <c r="AY57" s="2644">
        <f>IF('A1.3.8'!G$32="","",IF(OR(VLOOKUP($B57,'A1.3.11'!$B$26:$AM$105,AY$22,)="",VLOOKUP($B57,'A1.3.7'!$B$28:$H$118,4,)=""),"",VLOOKUP($B57,'A1.3.11'!$B$26:$AM$105,AY$22,)*(VLOOKUP($B57,'A1.3.7'!$B$28:$O$118,4,)+VLOOKUP($B57,'A1.3.7'!$B$28:$O$118,9,))))</f>
        <v>1.2476843074558232E-3</v>
      </c>
      <c r="AZ57" s="693" t="str">
        <f>IF('A1.3.8'!D$39="","",IF(OR(VLOOKUP($B57,'A1.3.11'!$B$26:$AM$105,AZ$22,)="",VLOOKUP($B57,'A1.3.7'!$B$28:$H$118,6,)=""),"",VLOOKUP($B57,'A1.3.11'!$B$26:$AM$105,AZ$22,)*VLOOKUP($B57,'A1.3.7'!$B$28:$O$118,6,)))</f>
        <v/>
      </c>
      <c r="BA57" s="691" t="str">
        <f>IF('A1.3.8'!E$39="","",IF(OR(VLOOKUP($B57,'A1.3.11'!$B$26:$AM$105,BA$22,)="",VLOOKUP($B57,'A1.3.7'!$B$28:$H$118,6,)=""),"",VLOOKUP($B57,'A1.3.11'!$B$26:$AM$105,BA$22,)*VLOOKUP($B57,'A1.3.7'!$B$28:$O$118,6,)))</f>
        <v/>
      </c>
      <c r="BB57" s="691" t="str">
        <f>IF('A1.3.8'!F$39="","",IF(OR(VLOOKUP($B57,'A1.3.11'!$B$26:$AM$105,BB$22,)="",VLOOKUP($B57,'A1.3.7'!$B$28:$H$118,6,)=""),"",VLOOKUP($B57,'A1.3.11'!$B$26:$AM$105,BB$22,)*VLOOKUP($B57,'A1.3.7'!$B$28:$O$118,6,)))</f>
        <v/>
      </c>
      <c r="BC57" s="1664" t="str">
        <f>IF('A1.3.8'!G$39="","",IF(OR(VLOOKUP($B57,'A1.3.11'!$B$26:$AM$105,BC$22,)="",VLOOKUP($B57,'A1.3.7'!$B$28:$H$118,6,)=""),"",VLOOKUP($B57,'A1.3.11'!$B$26:$AM$105,BC$22,)*VLOOKUP($B57,'A1.3.7'!$B$28:$O$118,6,)))</f>
        <v/>
      </c>
      <c r="BD57" s="693">
        <f>IF(AND(AV57="",AZ57=""),"",IF(AV57="",0,(AV57*VLOOKUP($B57,'A1.3.9'!$B$26:$O$57,9,TRUE))) + IF(AZ57="",0,(AZ57*VLOOKUP($B57,'A1.3.9'!$B$26:$O$57,10,TRUE))))</f>
        <v>608.37960364815797</v>
      </c>
      <c r="BE57" s="691">
        <f>IF(AND(AW57="",BA57=""),"",IF(AW57="",0,(AW57*VLOOKUP($B57,'A1.3.9'!$B$26:$O$57,9,TRUE))) + IF(BA57="",0,(BA57*VLOOKUP($B57,'A1.3.9'!$B$26:$O$57,10,TRUE))))</f>
        <v>31.594230806268136</v>
      </c>
      <c r="BF57" s="691">
        <f>IF(AND(AX57="",BB57=""),"",IF(AX57="",0,(AX57*VLOOKUP($B57,'A1.3.9'!$B$26:$O$57,9,TRUE))) + IF(BB57="",0,(BB57*VLOOKUP($B57,'A1.3.9'!$B$26:$O$57,10,TRUE))))</f>
        <v>-0.20932839965668484</v>
      </c>
      <c r="BG57" s="2644">
        <f>IF(AND(AY57="",BC57=""),"",IF(AY57="",0,(AY57*VLOOKUP($B57,'A1.3.9'!$B$26:$O$57,9,TRUE))) + IF(BC57="",0,(BC57*VLOOKUP($B57,'A1.3.9'!$B$26:$O$57,10,TRUE))))</f>
        <v>1.2476843074558232E-3</v>
      </c>
      <c r="BH57" s="693">
        <f>IF('A1.3.8'!D$33="","",IF(OR(VLOOKUP($B57,'A1.3.11'!$B$26:$AM$105,BH$22,)="",VLOOKUP($B57,'A1.3.7'!$B$28:$H$118,4,)=""),"",VLOOKUP($B57,'A1.3.11'!$B$26:$AM$105,BH$22,)*(VLOOKUP($B57,'A1.3.7'!$B$28:$O$118,4,)+VLOOKUP($B57,'A1.3.7'!$B$28:$O$118,9,))))</f>
        <v>360.821500252053</v>
      </c>
      <c r="BI57" s="691">
        <f>IF('A1.3.8'!E$33="","",IF(OR(VLOOKUP($B57,'A1.3.11'!$B$26:$AM$105,BI$22,)="",VLOOKUP($B57,'A1.3.7'!$B$28:$H$118,4,)=""),"",VLOOKUP($B57,'A1.3.11'!$B$26:$AM$105,BI$22,)*(VLOOKUP($B57,'A1.3.7'!$B$28:$O$118,4,)+VLOOKUP($B57,'A1.3.7'!$B$28:$O$118,9,))))</f>
        <v>31.704284993669297</v>
      </c>
      <c r="BJ57" s="691">
        <f>IF('A1.3.8'!F$33="","",IF(OR(VLOOKUP($B57,'A1.3.11'!$B$26:$AM$105,BJ$22,)="",VLOOKUP($B57,'A1.3.7'!$B$28:$H$118,4,)=""),"",VLOOKUP($B57,'A1.3.11'!$B$26:$AM$105,BJ$22,)*(VLOOKUP($B57,'A1.3.7'!$B$28:$O$118,4,)+VLOOKUP($B57,'A1.3.7'!$B$28:$O$118,9,))))</f>
        <v>-0.34459732008463617</v>
      </c>
      <c r="BK57" s="2644">
        <f>IF('A1.3.8'!G$33="","",IF(OR(VLOOKUP($B57,'A1.3.11'!$B$26:$AM$105,BK$22,)="",VLOOKUP($B57,'A1.3.7'!$B$28:$H$118,4,)=""),"",VLOOKUP($B57,'A1.3.11'!$B$26:$AM$105,BK$22,)*(VLOOKUP($B57,'A1.3.7'!$B$28:$O$118,4,)+VLOOKUP($B57,'A1.3.7'!$B$28:$O$118,9,))))</f>
        <v>2.5277621970933562E-3</v>
      </c>
      <c r="BL57" s="693" t="str">
        <f>IF('A1.3.8'!D$40="","",IF(OR(VLOOKUP($B57,'A1.3.11'!$B$26:$AM$105,BL$22,)="",VLOOKUP($B57,'A1.3.7'!$B$28:$H$118,6,)=""),"",VLOOKUP($B57,'A1.3.11'!$B$26:$AM$105,BL$22,)*VLOOKUP($B57,'A1.3.7'!$B$28:$O$118,6,)))</f>
        <v/>
      </c>
      <c r="BM57" s="691" t="str">
        <f>IF('A1.3.8'!E$40="","",IF(OR(VLOOKUP($B57,'A1.3.11'!$B$26:$AM$105,BM$22,)="",VLOOKUP($B57,'A1.3.7'!$B$28:$H$118,6,)=""),"",VLOOKUP($B57,'A1.3.11'!$B$26:$AM$105,BM$22,)*VLOOKUP($B57,'A1.3.7'!$B$28:$O$118,6,)))</f>
        <v/>
      </c>
      <c r="BN57" s="691" t="str">
        <f>IF('A1.3.8'!F$40="","",IF(OR(VLOOKUP($B57,'A1.3.11'!$B$26:$AM$105,BN$22,)="",VLOOKUP($B57,'A1.3.7'!$B$28:$H$118,6,)=""),"",VLOOKUP($B57,'A1.3.11'!$B$26:$AM$105,BN$22,)*VLOOKUP($B57,'A1.3.7'!$B$28:$O$118,6,)))</f>
        <v/>
      </c>
      <c r="BO57" s="1664" t="str">
        <f>IF('A1.3.8'!G$40="","",IF(OR(VLOOKUP($B57,'A1.3.11'!$B$26:$AM$105,BO$22,)="",VLOOKUP($B57,'A1.3.7'!$B$28:$H$118,6,)=""),"",VLOOKUP($B57,'A1.3.11'!$B$26:$AM$105,BO$22,)*VLOOKUP($B57,'A1.3.7'!$B$28:$O$118,6,)))</f>
        <v/>
      </c>
      <c r="BP57" s="693">
        <f>IF(AND(BH57="",BL57=""),"",IF(BH57="",0,(BH57*VLOOKUP($B57,'A1.3.9'!$B$26:$O$57,9,TRUE))) + IF(BL57="",0,(BL57*VLOOKUP($B57,'A1.3.9'!$B$26:$O$57,10,TRUE))))</f>
        <v>360.821500252053</v>
      </c>
      <c r="BQ57" s="691">
        <f>IF(AND(BI57="",BM57=""),"",IF(BI57="",0,(BI57*VLOOKUP($B57,'A1.3.9'!$B$26:$O$57,9,TRUE))) + IF(BM57="",0,(BM57*VLOOKUP($B57,'A1.3.9'!$B$26:$O$57,10,TRUE))))</f>
        <v>31.704284993669297</v>
      </c>
      <c r="BR57" s="691">
        <f>IF(AND(BJ57="",BN57=""),"",IF(BJ57="",0,(BJ57*VLOOKUP($B57,'A1.3.9'!$B$26:$O$57,9,TRUE))) + IF(BN57="",0,(BN57*VLOOKUP($B57,'A1.3.9'!$B$26:$O$57,10,TRUE))))</f>
        <v>-0.34459732008463617</v>
      </c>
      <c r="BS57" s="2644">
        <f>IF(AND(BK57="",BO57=""),"",IF(BK57="",0,(BK57*VLOOKUP($B57,'A1.3.9'!$B$26:$O$57,9,TRUE))) + IF(BO57="",0,(BO57*VLOOKUP($B57,'A1.3.9'!$B$26:$O$57,10,TRUE))))</f>
        <v>2.5277621970933562E-3</v>
      </c>
    </row>
    <row r="58" spans="1:71" s="26" customFormat="1" ht="13.5" customHeight="1">
      <c r="A58" s="113"/>
      <c r="B58" s="614">
        <f t="shared" si="0"/>
        <v>2041</v>
      </c>
      <c r="C58" s="147"/>
      <c r="D58" s="693">
        <f>IF('A1.3.8'!D$27="","",IF(OR(VLOOKUP($B58,'A1.3.11'!$B$26:$AM$105,D$22,)="",VLOOKUP($B58,'A1.3.7'!$B$28:$H$118,3,)=""),"",VLOOKUP($B58,'A1.3.11'!$B$26:$AM$105,D$22,)*(VLOOKUP($B58,'A1.3.7'!$B$28:$O$118,3,)+VLOOKUP($B58,'A1.3.7'!$B$28:$O$118,8,))))</f>
        <v>33.775757489074984</v>
      </c>
      <c r="E58" s="691">
        <f>IF('A1.3.8'!E$27="","",IF(OR(VLOOKUP($B58,'A1.3.11'!$B$26:$AM$105,E$22,)="",VLOOKUP($B58,'A1.3.7'!$B$28:$H$118,3,)=""),"",VLOOKUP($B58,'A1.3.11'!$B$26:$AM$105,E$22,)*(VLOOKUP($B58,'A1.3.7'!$B$28:$O$118,3,)+VLOOKUP($B58,'A1.3.7'!$B$28:$O$118,8,))))</f>
        <v>7.1778963398903581</v>
      </c>
      <c r="F58" s="691">
        <f>IF('A1.3.8'!F$27="","",IF(OR(VLOOKUP($B58,'A1.3.11'!$B$26:$AM$105,F$22,)="",VLOOKUP($B58,'A1.3.7'!$B$28:$H$118,3,)=""),"",VLOOKUP($B58,'A1.3.11'!$B$26:$AM$105,F$22,)*(VLOOKUP($B58,'A1.3.7'!$B$28:$O$118,3,)+VLOOKUP($B58,'A1.3.7'!$B$28:$O$118,8,))))</f>
        <v>-8.1764751475925115E-2</v>
      </c>
      <c r="G58" s="2644">
        <f>IF('A1.3.8'!G$27="","",IF(OR(VLOOKUP($B58,'A1.3.11'!$B$26:$AM$105,G$22,)="",VLOOKUP($B58,'A1.3.7'!$B$28:$H$118,3,)=""),"",VLOOKUP($B58,'A1.3.11'!$B$26:$AM$105,G$22,)*(VLOOKUP($B58,'A1.3.7'!$B$28:$O$118,3,)+VLOOKUP($B58,'A1.3.7'!$B$28:$O$118,8,))))</f>
        <v>5.4152137012226573E-4</v>
      </c>
      <c r="H58" s="693">
        <f>IF('A1.3.8'!D$28="","",IF(OR(VLOOKUP($B58,'A1.3.11'!$B$26:$AM$105,H$22,)="",VLOOKUP($B58,'A1.3.7'!$B$28:$H$118,4,)=""),"",VLOOKUP($B58,'A1.3.11'!$B$26:$AM$105,H$22,)*(VLOOKUP($B58,'A1.3.7'!$B$28:$O$118,4,)+VLOOKUP($B58,'A1.3.7'!$B$28:$O$118,9,))))</f>
        <v>41.748328754647247</v>
      </c>
      <c r="I58" s="691">
        <f>IF('A1.3.8'!E$28="","",IF(OR(VLOOKUP($B58,'A1.3.11'!$B$26:$AM$105,I$22,)="",VLOOKUP($B58,'A1.3.7'!$B$28:$H$118,4,)=""),"",VLOOKUP($B58,'A1.3.11'!$B$26:$AM$105,I$22,)*(VLOOKUP($B58,'A1.3.7'!$B$28:$O$118,4,)+VLOOKUP($B58,'A1.3.7'!$B$28:$O$118,9,))))</f>
        <v>5.9856779084201124</v>
      </c>
      <c r="J58" s="691">
        <f>IF('A1.3.8'!F$28="","",IF(OR(VLOOKUP($B58,'A1.3.11'!$B$26:$AM$105,J$22,)="",VLOOKUP($B58,'A1.3.7'!$B$28:$H$118,4,)=""),"",VLOOKUP($B58,'A1.3.11'!$B$26:$AM$105,J$22,)*(VLOOKUP($B58,'A1.3.7'!$B$28:$O$118,4,)+VLOOKUP($B58,'A1.3.7'!$B$28:$O$118,9,))))</f>
        <v>-5.7583888973185393E-2</v>
      </c>
      <c r="K58" s="2644">
        <f>IF('A1.3.8'!G$28="","",IF(OR(VLOOKUP($B58,'A1.3.11'!$B$26:$AM$105,K$22,)="",VLOOKUP($B58,'A1.3.7'!$B$28:$H$118,4,)=""),"",VLOOKUP($B58,'A1.3.11'!$B$26:$AM$105,K$22,)*(VLOOKUP($B58,'A1.3.7'!$B$28:$O$118,4,)+VLOOKUP($B58,'A1.3.7'!$B$28:$O$118,9,))))</f>
        <v>4.5376393413552055E-4</v>
      </c>
      <c r="L58" s="693" t="str">
        <f>IF('A1.3.8'!D$36="","",IF(OR(VLOOKUP($B58,'A1.3.11'!$B$26:$AM$105,L$22,)="",VLOOKUP($B58,'A1.3.7'!$B$28:$H$118,6,)=""),"",VLOOKUP($B58,'A1.3.11'!$B$26:$AM$105,L$22,)*VLOOKUP($B58,'A1.3.7'!$B$28:$O$118,6,)))</f>
        <v/>
      </c>
      <c r="M58" s="691">
        <f>IF('A1.3.8'!E$36="","",IF(OR(VLOOKUP($B58,'A1.3.11'!$B$26:$AM$105,M$22,)="",VLOOKUP($B58,'A1.3.7'!$B$28:$H$118,6,)=""),"",VLOOKUP($B58,'A1.3.11'!$B$26:$AM$105,M$22,)*VLOOKUP($B58,'A1.3.7'!$B$28:$O$118,6,)))</f>
        <v>1.9637608285706969</v>
      </c>
      <c r="N58" s="691" t="str">
        <f>IF('A1.3.8'!F$36="","",IF(OR(VLOOKUP($B58,'A1.3.11'!$B$26:$AM$105,N$22,)="",VLOOKUP($B58,'A1.3.7'!$B$28:$H$118,6,)=""),"",VLOOKUP($B58,'A1.3.11'!$B$26:$AM$105,N$22,)*VLOOKUP($B58,'A1.3.7'!$B$28:$O$118,6,)))</f>
        <v/>
      </c>
      <c r="O58" s="1664" t="str">
        <f>IF('A1.3.8'!G$36="","",IF(OR(VLOOKUP($B58,'A1.3.11'!$B$26:$AM$105,O$22,)="",VLOOKUP($B58,'A1.3.7'!$B$28:$H$118,6,)=""),"",VLOOKUP($B58,'A1.3.11'!$B$26:$AM$105,O$22,)*VLOOKUP($B58,'A1.3.7'!$B$28:$O$118,6,)))</f>
        <v/>
      </c>
      <c r="P58" s="693">
        <f>IF(AND(D58="",H58="",L58=""),"",IF(D58="",0,(D58*VLOOKUP($B58,'A1.3.9'!$B$26:$O$57,3,TRUE)))+IF(H58="",0,(H58*VLOOKUP($B58,'A1.3.9'!$B$26:$O$57,4,TRUE)))+IF(L58="",0,(L58*VLOOKUP($B58,'A1.3.9'!$B$26:$O$57,5,TRUE))))</f>
        <v>28.047426927293891</v>
      </c>
      <c r="Q58" s="691">
        <f>IF(AND(E58="",I58="",M58=""),"",IF(E58="",0,(E58*VLOOKUP($B58,'A1.3.9'!$B$26:$O$57,3,TRUE)))+IF(I58="",0,(I58*VLOOKUP($B58,'A1.3.9'!$B$26:$O$57,4,TRUE)))+IF(M58="",0,(M58*VLOOKUP($B58,'A1.3.9'!$B$26:$O$57,5,TRUE))))</f>
        <v>5.5459201511509502</v>
      </c>
      <c r="R58" s="691">
        <f>IF(AND(F58="",J58="",N58=""),"",IF(F58="",0,(F58*VLOOKUP($B58,'A1.3.9'!$B$26:$O$57,3,TRUE)))+IF(J58="",0,(J58*VLOOKUP($B58,'A1.3.9'!$B$26:$O$57,4,TRUE)))+IF(N58="",0,(N58*VLOOKUP($B58,'A1.3.9'!$B$26:$O$57,5,TRUE))))</f>
        <v>-5.4480546555017273E-2</v>
      </c>
      <c r="S58" s="2644">
        <f>IF(AND(G58="",K58="",O58=""),"",IF(G58="",0,(G58*VLOOKUP($B58,'A1.3.9'!$B$26:$O$57,3,TRUE)))+IF(K58="",0,(K58*VLOOKUP($B58,'A1.3.9'!$B$26:$O$57,4,TRUE)))+IF(O58="",0,(O58*VLOOKUP($B58,'A1.3.9'!$B$26:$O$57,5,TRUE))))</f>
        <v>3.8315793028752688E-4</v>
      </c>
      <c r="T58" s="693">
        <f>IF('A1.3.8'!D$29="","",IF(OR(VLOOKUP($B58,'A1.3.11'!$B$26:$AM$105,T$22,)="",VLOOKUP($B58,'A1.3.7'!$B$28:$H$118,3,)=""),"",VLOOKUP($B58,'A1.3.11'!$B$26:$AM$105,T$22,)*(VLOOKUP($B58,'A1.3.7'!$B$28:$O$118,3,)+VLOOKUP($B58,'A1.3.7'!$B$28:$O$118,8,))))</f>
        <v>24.296019312735158</v>
      </c>
      <c r="U58" s="691">
        <f>IF('A1.3.8'!E$29="","",IF(OR(VLOOKUP($B58,'A1.3.11'!$B$26:$AM$105,U$22,)="",VLOOKUP($B58,'A1.3.7'!$B$28:$H$118,3,)=""),"",VLOOKUP($B58,'A1.3.11'!$B$26:$AM$105,U$22,)*(VLOOKUP($B58,'A1.3.7'!$B$28:$O$118,3,)+VLOOKUP($B58,'A1.3.7'!$B$28:$O$118,8,))))</f>
        <v>13.62380122116013</v>
      </c>
      <c r="V58" s="691">
        <f>IF('A1.3.8'!F$29="","",IF(OR(VLOOKUP($B58,'A1.3.11'!$B$26:$AM$105,V$22,)="",VLOOKUP($B58,'A1.3.7'!$B$28:$H$118,3,)=""),"",VLOOKUP($B58,'A1.3.11'!$B$26:$AM$105,V$22,)*(VLOOKUP($B58,'A1.3.7'!$B$28:$O$118,3,)+VLOOKUP($B58,'A1.3.7'!$B$28:$O$118,8,))))</f>
        <v>-0.21384896048114374</v>
      </c>
      <c r="W58" s="2644">
        <f>IF('A1.3.8'!G$29="","",IF(OR(VLOOKUP($B58,'A1.3.11'!$B$26:$AM$105,W$22,)="",VLOOKUP($B58,'A1.3.7'!$B$28:$H$118,3,)=""),"",VLOOKUP($B58,'A1.3.11'!$B$26:$AM$105,W$22,)*(VLOOKUP($B58,'A1.3.7'!$B$28:$O$118,3,)+VLOOKUP($B58,'A1.3.7'!$B$28:$O$118,8,))))</f>
        <v>1.3810445788235235E-3</v>
      </c>
      <c r="X58" s="693">
        <f>IF('A1.3.8'!D$30="","",IF(OR(VLOOKUP($B58,'A1.3.11'!$B$26:$AM$105,X$22,)="",VLOOKUP($B58,'A1.3.7'!$B$28:$H$118,4,)=""),"",VLOOKUP($B58,'A1.3.11'!$B$26:$AM$105,X$22,)*(VLOOKUP($B58,'A1.3.7'!$B$28:$O$118,4,)+VLOOKUP($B58,'A1.3.7'!$B$28:$O$118,9,))))</f>
        <v>42.996728301601486</v>
      </c>
      <c r="Y58" s="691">
        <f>IF('A1.3.8'!E$30="","",IF(OR(VLOOKUP($B58,'A1.3.11'!$B$26:$AM$105,Y$22,)="",VLOOKUP($B58,'A1.3.7'!$B$28:$H$118,4,)=""),"",VLOOKUP($B58,'A1.3.11'!$B$26:$AM$105,Y$22,)*(VLOOKUP($B58,'A1.3.7'!$B$28:$O$118,4,)+VLOOKUP($B58,'A1.3.7'!$B$28:$O$118,9,))))</f>
        <v>10.508575622842411</v>
      </c>
      <c r="Z58" s="691">
        <f>IF('A1.3.8'!F$30="","",IF(OR(VLOOKUP($B58,'A1.3.11'!$B$26:$AM$105,Z$22,)="",VLOOKUP($B58,'A1.3.7'!$B$28:$H$118,4,)=""),"",VLOOKUP($B58,'A1.3.11'!$B$26:$AM$105,Z$22,)*(VLOOKUP($B58,'A1.3.7'!$B$28:$O$118,4,)+VLOOKUP($B58,'A1.3.7'!$B$28:$O$118,9,))))</f>
        <v>-0.15160530209659817</v>
      </c>
      <c r="AA58" s="2644">
        <f>IF('A1.3.8'!G$30="","",IF(OR(VLOOKUP($B58,'A1.3.11'!$B$26:$AM$105,AA$22,)="",VLOOKUP($B58,'A1.3.7'!$B$28:$H$118,4,)=""),"",VLOOKUP($B58,'A1.3.11'!$B$26:$AM$105,AA$22,)*(VLOOKUP($B58,'A1.3.7'!$B$28:$O$118,4,)+VLOOKUP($B58,'A1.3.7'!$B$28:$O$118,9,))))</f>
        <v>1.2834957735939712E-3</v>
      </c>
      <c r="AB58" s="693" t="str">
        <f>IF('A1.3.8'!D$37="","",IF(OR(VLOOKUP($B58,'A1.3.11'!$B$26:$AM$105,AB$22,)="",VLOOKUP($B58,'A1.3.7'!$B$28:$H$118,6,)=""),"",VLOOKUP($B58,'A1.3.11'!$B$26:$AM$105,AB$22,)*VLOOKUP($B58,'A1.3.7'!$B$28:$O$118,6,)))</f>
        <v/>
      </c>
      <c r="AC58" s="691">
        <f>IF('A1.3.8'!E$37="","",IF(OR(VLOOKUP($B58,'A1.3.11'!$B$26:$AM$105,AC$22,)="",VLOOKUP($B58,'A1.3.7'!$B$28:$H$118,6,)=""),"",VLOOKUP($B58,'A1.3.11'!$B$26:$AM$105,AC$22,)*VLOOKUP($B58,'A1.3.7'!$B$28:$O$118,6,)))</f>
        <v>4.5145632825273854</v>
      </c>
      <c r="AD58" s="691" t="str">
        <f>IF('A1.3.8'!F$37="","",IF(OR(VLOOKUP($B58,'A1.3.11'!$B$26:$AM$105,AD$22,)="",VLOOKUP($B58,'A1.3.7'!$B$28:$H$118,6,)=""),"",VLOOKUP($B58,'A1.3.11'!$B$26:$AM$105,AD$22,)*VLOOKUP($B58,'A1.3.7'!$B$28:$O$118,6,)))</f>
        <v/>
      </c>
      <c r="AE58" s="1664" t="str">
        <f>IF('A1.3.8'!G$37="","",IF(OR(VLOOKUP($B58,'A1.3.11'!$B$26:$AM$105,AE$22,)="",VLOOKUP($B58,'A1.3.7'!$B$28:$H$118,6,)=""),"",VLOOKUP($B58,'A1.3.11'!$B$26:$AM$105,AE$22,)*VLOOKUP($B58,'A1.3.7'!$B$28:$O$118,6,)))</f>
        <v/>
      </c>
      <c r="AF58" s="693">
        <f>IF(AND(T58="",X58="",AB58=""),"",IF(T58="",0,(T58*VLOOKUP('A1.3.12'!$B58,'A1.3.9'!$B$26:$O$57,6,TRUE))) + IF(X58="",0,(X58*VLOOKUP('A1.3.12'!$B58,'A1.3.9'!$B$26:$O$57,7,TRUE))) + IF(AB58="",0,(AB58*VLOOKUP('A1.3.12'!$B58,'A1.3.9'!$B$26:$O$57,8,TRUE))))</f>
        <v>38.150195653125998</v>
      </c>
      <c r="AG58" s="691">
        <f>IF(AND(U58="",Y58="",AC58=""),"",IF(U58="",0,(U58*VLOOKUP('A1.3.12'!$B58,'A1.3.9'!$B$26:$O$57,6,TRUE))) + IF(Y58="",0,(Y58*VLOOKUP('A1.3.12'!$B58,'A1.3.9'!$B$26:$O$57,7,TRUE))) + IF(AC58="",0,(AC58*VLOOKUP('A1.3.12'!$B58,'A1.3.9'!$B$26:$O$57,8,TRUE))))</f>
        <v>9.8763209770219227</v>
      </c>
      <c r="AH58" s="691">
        <f>IF(AND(V58="",Z58="",AD58=""),"",IF(V58="",0,(V58*VLOOKUP('A1.3.12'!$B58,'A1.3.9'!$B$26:$O$57,6,TRUE))) + IF(Z58="",0,(Z58*VLOOKUP('A1.3.12'!$B58,'A1.3.9'!$B$26:$O$57,7,TRUE))) + IF(AD58="",0,(AD58*VLOOKUP('A1.3.12'!$B58,'A1.3.9'!$B$26:$O$57,8,TRUE))))</f>
        <v>-0.1354883526595175</v>
      </c>
      <c r="AI58" s="2644">
        <f>IF(AND(W58="",AA58="",AE58=""),"",IF(W58="",0,(W58*VLOOKUP('A1.3.12'!$B58,'A1.3.9'!$B$26:$O$57,6,TRUE))) + IF(AA58="",0,(AA58*VLOOKUP('A1.3.12'!$B58,'A1.3.9'!$B$26:$O$57,7,TRUE))) + IF(AE58="",0,(AE58*VLOOKUP('A1.3.12'!$B58,'A1.3.9'!$B$26:$O$57,8,TRUE))))</f>
        <v>1.1437936165768455E-3</v>
      </c>
      <c r="AJ58" s="693">
        <f>IF('A1.3.8'!D$31="","",IF(OR(VLOOKUP($B58,'A1.3.11'!$B$26:$AM$105,AJ$22,)="",VLOOKUP($B58,'A1.3.7'!$B$28:$H$118,4,)=""),"",VLOOKUP($B58,'A1.3.11'!$B$26:$AM$105,AJ$22,)*(VLOOKUP($B58,'A1.3.7'!$B$28:$O$118,4,)+VLOOKUP($B58,'A1.3.7'!$B$28:$O$118,9,))))</f>
        <v>290.65628352178953</v>
      </c>
      <c r="AK58" s="691">
        <f>IF('A1.3.8'!E$31="","",IF(OR(VLOOKUP($B58,'A1.3.11'!$B$26:$AM$105,AK$22,)="",VLOOKUP($B58,'A1.3.7'!$B$28:$H$118,4,)=""),"",VLOOKUP($B58,'A1.3.11'!$B$26:$AM$105,AK$22,)*(VLOOKUP($B58,'A1.3.7'!$B$28:$O$118,4,)+VLOOKUP($B58,'A1.3.7'!$B$28:$O$118,9,))))</f>
        <v>15.421410100938441</v>
      </c>
      <c r="AL58" s="691">
        <f>IF('A1.3.8'!F$31="","",IF(OR(VLOOKUP($B58,'A1.3.11'!$B$26:$AM$105,AL$22,)="",VLOOKUP($B58,'A1.3.7'!$B$28:$H$118,4,)=""),"",VLOOKUP($B58,'A1.3.11'!$B$26:$AM$105,AL$22,)*(VLOOKUP($B58,'A1.3.7'!$B$28:$O$118,4,)+VLOOKUP($B58,'A1.3.7'!$B$28:$O$118,9,))))</f>
        <v>-0.11146605012405153</v>
      </c>
      <c r="AM58" s="2644">
        <f>IF('A1.3.8'!G$31="","",IF(OR(VLOOKUP($B58,'A1.3.11'!$B$26:$AM$105,AM$22,)="",VLOOKUP($B58,'A1.3.7'!$B$28:$H$118,4,)=""),"",VLOOKUP($B58,'A1.3.11'!$B$26:$AM$105,AM$22,)*(VLOOKUP($B58,'A1.3.7'!$B$28:$O$118,4,)+VLOOKUP($B58,'A1.3.7'!$B$28:$O$118,9,))))</f>
        <v>1.2173881150256431E-3</v>
      </c>
      <c r="AN58" s="693" t="str">
        <f>IF('A1.3.8'!D$38="","",IF(OR(VLOOKUP($B58,'A1.3.11'!$B$26:$AM$105,AN$22,)="",VLOOKUP($B58,'A1.3.7'!$B$28:$H$118,6,)=""),"",VLOOKUP($B58,'A1.3.11'!$B$26:$AM$105,AN$22,)*VLOOKUP($B58,'A1.3.7'!$B$28:$O$118,6,)))</f>
        <v/>
      </c>
      <c r="AO58" s="691" t="str">
        <f>IF('A1.3.8'!E$38="","",IF(OR(VLOOKUP($B58,'A1.3.11'!$B$26:$AM$105,AO$22,)="",VLOOKUP($B58,'A1.3.7'!$B$28:$H$118,6,)=""),"",VLOOKUP($B58,'A1.3.11'!$B$26:$AM$105,AO$22,)*VLOOKUP($B58,'A1.3.7'!$B$28:$O$118,6,)))</f>
        <v/>
      </c>
      <c r="AP58" s="691" t="str">
        <f>IF('A1.3.8'!F$38="","",IF(OR(VLOOKUP($B58,'A1.3.11'!$B$26:$AM$105,AP$22,)="",VLOOKUP($B58,'A1.3.7'!$B$28:$H$118,6,)=""),"",VLOOKUP($B58,'A1.3.11'!$B$26:$AM$105,AP$22,)*VLOOKUP($B58,'A1.3.7'!$B$28:$O$118,6,)))</f>
        <v/>
      </c>
      <c r="AQ58" s="1664" t="str">
        <f>IF('A1.3.8'!G$38="","",IF(OR(VLOOKUP($B58,'A1.3.11'!$B$26:$AM$105,AQ$22,)="",VLOOKUP($B58,'A1.3.7'!$B$28:$H$118,6,)=""),"",VLOOKUP($B58,'A1.3.11'!$B$26:$AM$105,AQ$22,)*VLOOKUP($B58,'A1.3.7'!$B$28:$O$118,6,)))</f>
        <v/>
      </c>
      <c r="AR58" s="693">
        <f>IF(AND(AJ58="",AN58=""),"",IF(AJ58="",0,(AJ58*VLOOKUP($B58,'A1.3.9'!$B$26:$O$57,9,TRUE))) + IF(AN58="",0,(AN58*VLOOKUP($B58,'A1.3.9'!$B$26:$O$57,10,TRUE))))</f>
        <v>290.65628352178953</v>
      </c>
      <c r="AS58" s="691">
        <f>IF(AND(AK58="",AO58=""),"",IF(AK58="",0,(AK58*VLOOKUP($B58,'A1.3.9'!$B$26:$O$57,9,TRUE))) + IF(AO58="",0,(AO58*VLOOKUP($B58,'A1.3.9'!$B$26:$O$57,10,TRUE))))</f>
        <v>15.421410100938441</v>
      </c>
      <c r="AT58" s="691">
        <f>IF(AND(AL58="",AP58=""),"",IF(AL58="",0,(AL58*VLOOKUP($B58,'A1.3.9'!$B$26:$O$57,9,TRUE))) + IF(AP58="",0,(AP58*VLOOKUP($B58,'A1.3.9'!$B$26:$O$57,10,TRUE))))</f>
        <v>-0.11146605012405153</v>
      </c>
      <c r="AU58" s="2644">
        <f>IF(AND(AM58="",AQ58=""),"",IF(AM58="",0,(AM58*VLOOKUP($B58,'A1.3.9'!$B$26:$O$57,9,TRUE))) + IF(AQ58="",0,(AQ58*VLOOKUP($B58,'A1.3.9'!$B$26:$O$57,10,TRUE))))</f>
        <v>1.2173881150256431E-3</v>
      </c>
      <c r="AV58" s="693">
        <f>IF('A1.3.8'!D$32="","",IF(OR(VLOOKUP($B58,'A1.3.11'!$B$26:$AM$105,AV$22,)="",VLOOKUP($B58,'A1.3.7'!$B$28:$H$118,4,)=""),"",VLOOKUP($B58,'A1.3.11'!$B$26:$AM$105,AV$22,)*(VLOOKUP($B58,'A1.3.7'!$B$28:$O$118,4,)+VLOOKUP($B58,'A1.3.7'!$B$28:$O$118,9,))))</f>
        <v>610.7445899458321</v>
      </c>
      <c r="AW58" s="691">
        <f>IF('A1.3.8'!E$32="","",IF(OR(VLOOKUP($B58,'A1.3.11'!$B$26:$AM$105,AW$22,)="",VLOOKUP($B58,'A1.3.7'!$B$28:$H$118,4,)=""),"",VLOOKUP($B58,'A1.3.11'!$B$26:$AM$105,AW$22,)*(VLOOKUP($B58,'A1.3.7'!$B$28:$O$118,4,)+VLOOKUP($B58,'A1.3.7'!$B$28:$O$118,9,))))</f>
        <v>31.717048735229465</v>
      </c>
      <c r="AX58" s="691">
        <f>IF('A1.3.8'!F$32="","",IF(OR(VLOOKUP($B58,'A1.3.11'!$B$26:$AM$105,AX$22,)="",VLOOKUP($B58,'A1.3.7'!$B$28:$H$118,4,)=""),"",VLOOKUP($B58,'A1.3.11'!$B$26:$AM$105,AX$22,)*(VLOOKUP($B58,'A1.3.7'!$B$28:$O$118,4,)+VLOOKUP($B58,'A1.3.7'!$B$28:$O$118,9,))))</f>
        <v>-0.21014213304605803</v>
      </c>
      <c r="AY58" s="2644">
        <f>IF('A1.3.8'!G$32="","",IF(OR(VLOOKUP($B58,'A1.3.11'!$B$26:$AM$105,AY$22,)="",VLOOKUP($B58,'A1.3.7'!$B$28:$H$118,4,)=""),"",VLOOKUP($B58,'A1.3.11'!$B$26:$AM$105,AY$22,)*(VLOOKUP($B58,'A1.3.7'!$B$28:$O$118,4,)+VLOOKUP($B58,'A1.3.7'!$B$28:$O$118,9,))))</f>
        <v>1.2525344968330836E-3</v>
      </c>
      <c r="AZ58" s="693" t="str">
        <f>IF('A1.3.8'!D$39="","",IF(OR(VLOOKUP($B58,'A1.3.11'!$B$26:$AM$105,AZ$22,)="",VLOOKUP($B58,'A1.3.7'!$B$28:$H$118,6,)=""),"",VLOOKUP($B58,'A1.3.11'!$B$26:$AM$105,AZ$22,)*VLOOKUP($B58,'A1.3.7'!$B$28:$O$118,6,)))</f>
        <v/>
      </c>
      <c r="BA58" s="691" t="str">
        <f>IF('A1.3.8'!E$39="","",IF(OR(VLOOKUP($B58,'A1.3.11'!$B$26:$AM$105,BA$22,)="",VLOOKUP($B58,'A1.3.7'!$B$28:$H$118,6,)=""),"",VLOOKUP($B58,'A1.3.11'!$B$26:$AM$105,BA$22,)*VLOOKUP($B58,'A1.3.7'!$B$28:$O$118,6,)))</f>
        <v/>
      </c>
      <c r="BB58" s="691" t="str">
        <f>IF('A1.3.8'!F$39="","",IF(OR(VLOOKUP($B58,'A1.3.11'!$B$26:$AM$105,BB$22,)="",VLOOKUP($B58,'A1.3.7'!$B$28:$H$118,6,)=""),"",VLOOKUP($B58,'A1.3.11'!$B$26:$AM$105,BB$22,)*VLOOKUP($B58,'A1.3.7'!$B$28:$O$118,6,)))</f>
        <v/>
      </c>
      <c r="BC58" s="1664" t="str">
        <f>IF('A1.3.8'!G$39="","",IF(OR(VLOOKUP($B58,'A1.3.11'!$B$26:$AM$105,BC$22,)="",VLOOKUP($B58,'A1.3.7'!$B$28:$H$118,6,)=""),"",VLOOKUP($B58,'A1.3.11'!$B$26:$AM$105,BC$22,)*VLOOKUP($B58,'A1.3.7'!$B$28:$O$118,6,)))</f>
        <v/>
      </c>
      <c r="BD58" s="693">
        <f>IF(AND(AV58="",AZ58=""),"",IF(AV58="",0,(AV58*VLOOKUP($B58,'A1.3.9'!$B$26:$O$57,9,TRUE))) + IF(AZ58="",0,(AZ58*VLOOKUP($B58,'A1.3.9'!$B$26:$O$57,10,TRUE))))</f>
        <v>610.7445899458321</v>
      </c>
      <c r="BE58" s="691">
        <f>IF(AND(AW58="",BA58=""),"",IF(AW58="",0,(AW58*VLOOKUP($B58,'A1.3.9'!$B$26:$O$57,9,TRUE))) + IF(BA58="",0,(BA58*VLOOKUP($B58,'A1.3.9'!$B$26:$O$57,10,TRUE))))</f>
        <v>31.717048735229465</v>
      </c>
      <c r="BF58" s="691">
        <f>IF(AND(AX58="",BB58=""),"",IF(AX58="",0,(AX58*VLOOKUP($B58,'A1.3.9'!$B$26:$O$57,9,TRUE))) + IF(BB58="",0,(BB58*VLOOKUP($B58,'A1.3.9'!$B$26:$O$57,10,TRUE))))</f>
        <v>-0.21014213304605803</v>
      </c>
      <c r="BG58" s="2644">
        <f>IF(AND(AY58="",BC58=""),"",IF(AY58="",0,(AY58*VLOOKUP($B58,'A1.3.9'!$B$26:$O$57,9,TRUE))) + IF(BC58="",0,(BC58*VLOOKUP($B58,'A1.3.9'!$B$26:$O$57,10,TRUE))))</f>
        <v>1.2525344968330836E-3</v>
      </c>
      <c r="BH58" s="693">
        <f>IF('A1.3.8'!D$33="","",IF(OR(VLOOKUP($B58,'A1.3.11'!$B$26:$AM$105,BH$22,)="",VLOOKUP($B58,'A1.3.7'!$B$28:$H$118,4,)=""),"",VLOOKUP($B58,'A1.3.11'!$B$26:$AM$105,BH$22,)*(VLOOKUP($B58,'A1.3.7'!$B$28:$O$118,4,)+VLOOKUP($B58,'A1.3.7'!$B$28:$O$118,9,))))</f>
        <v>362.22414080555825</v>
      </c>
      <c r="BI58" s="691">
        <f>IF('A1.3.8'!E$33="","",IF(OR(VLOOKUP($B58,'A1.3.11'!$B$26:$AM$105,BI$22,)="",VLOOKUP($B58,'A1.3.7'!$B$28:$H$118,4,)=""),"",VLOOKUP($B58,'A1.3.11'!$B$26:$AM$105,BI$22,)*(VLOOKUP($B58,'A1.3.7'!$B$28:$O$118,4,)+VLOOKUP($B58,'A1.3.7'!$B$28:$O$118,9,))))</f>
        <v>31.827530742109854</v>
      </c>
      <c r="BJ58" s="691">
        <f>IF('A1.3.8'!F$33="","",IF(OR(VLOOKUP($B58,'A1.3.11'!$B$26:$AM$105,BJ$22,)="",VLOOKUP($B58,'A1.3.7'!$B$28:$H$118,4,)=""),"",VLOOKUP($B58,'A1.3.11'!$B$26:$AM$105,BJ$22,)*(VLOOKUP($B58,'A1.3.7'!$B$28:$O$118,4,)+VLOOKUP($B58,'A1.3.7'!$B$28:$O$118,9,))))</f>
        <v>-0.34593689152215384</v>
      </c>
      <c r="BK58" s="2644">
        <f>IF('A1.3.8'!G$33="","",IF(OR(VLOOKUP($B58,'A1.3.11'!$B$26:$AM$105,BK$22,)="",VLOOKUP($B58,'A1.3.7'!$B$28:$H$118,4,)=""),"",VLOOKUP($B58,'A1.3.11'!$B$26:$AM$105,BK$22,)*(VLOOKUP($B58,'A1.3.7'!$B$28:$O$118,4,)+VLOOKUP($B58,'A1.3.7'!$B$28:$O$118,9,))))</f>
        <v>2.5375885011378325E-3</v>
      </c>
      <c r="BL58" s="693" t="str">
        <f>IF('A1.3.8'!D$40="","",IF(OR(VLOOKUP($B58,'A1.3.11'!$B$26:$AM$105,BL$22,)="",VLOOKUP($B58,'A1.3.7'!$B$28:$H$118,6,)=""),"",VLOOKUP($B58,'A1.3.11'!$B$26:$AM$105,BL$22,)*VLOOKUP($B58,'A1.3.7'!$B$28:$O$118,6,)))</f>
        <v/>
      </c>
      <c r="BM58" s="691" t="str">
        <f>IF('A1.3.8'!E$40="","",IF(OR(VLOOKUP($B58,'A1.3.11'!$B$26:$AM$105,BM$22,)="",VLOOKUP($B58,'A1.3.7'!$B$28:$H$118,6,)=""),"",VLOOKUP($B58,'A1.3.11'!$B$26:$AM$105,BM$22,)*VLOOKUP($B58,'A1.3.7'!$B$28:$O$118,6,)))</f>
        <v/>
      </c>
      <c r="BN58" s="691" t="str">
        <f>IF('A1.3.8'!F$40="","",IF(OR(VLOOKUP($B58,'A1.3.11'!$B$26:$AM$105,BN$22,)="",VLOOKUP($B58,'A1.3.7'!$B$28:$H$118,6,)=""),"",VLOOKUP($B58,'A1.3.11'!$B$26:$AM$105,BN$22,)*VLOOKUP($B58,'A1.3.7'!$B$28:$O$118,6,)))</f>
        <v/>
      </c>
      <c r="BO58" s="1664" t="str">
        <f>IF('A1.3.8'!G$40="","",IF(OR(VLOOKUP($B58,'A1.3.11'!$B$26:$AM$105,BO$22,)="",VLOOKUP($B58,'A1.3.7'!$B$28:$H$118,6,)=""),"",VLOOKUP($B58,'A1.3.11'!$B$26:$AM$105,BO$22,)*VLOOKUP($B58,'A1.3.7'!$B$28:$O$118,6,)))</f>
        <v/>
      </c>
      <c r="BP58" s="693">
        <f>IF(AND(BH58="",BL58=""),"",IF(BH58="",0,(BH58*VLOOKUP($B58,'A1.3.9'!$B$26:$O$57,9,TRUE))) + IF(BL58="",0,(BL58*VLOOKUP($B58,'A1.3.9'!$B$26:$O$57,10,TRUE))))</f>
        <v>362.22414080555825</v>
      </c>
      <c r="BQ58" s="691">
        <f>IF(AND(BI58="",BM58=""),"",IF(BI58="",0,(BI58*VLOOKUP($B58,'A1.3.9'!$B$26:$O$57,9,TRUE))) + IF(BM58="",0,(BM58*VLOOKUP($B58,'A1.3.9'!$B$26:$O$57,10,TRUE))))</f>
        <v>31.827530742109854</v>
      </c>
      <c r="BR58" s="691">
        <f>IF(AND(BJ58="",BN58=""),"",IF(BJ58="",0,(BJ58*VLOOKUP($B58,'A1.3.9'!$B$26:$O$57,9,TRUE))) + IF(BN58="",0,(BN58*VLOOKUP($B58,'A1.3.9'!$B$26:$O$57,10,TRUE))))</f>
        <v>-0.34593689152215384</v>
      </c>
      <c r="BS58" s="2644">
        <f>IF(AND(BK58="",BO58=""),"",IF(BK58="",0,(BK58*VLOOKUP($B58,'A1.3.9'!$B$26:$O$57,9,TRUE))) + IF(BO58="",0,(BO58*VLOOKUP($B58,'A1.3.9'!$B$26:$O$57,10,TRUE))))</f>
        <v>2.5375885011378325E-3</v>
      </c>
    </row>
    <row r="59" spans="1:71" s="26" customFormat="1" ht="13.5" customHeight="1">
      <c r="A59" s="113"/>
      <c r="B59" s="614">
        <f t="shared" si="0"/>
        <v>2042</v>
      </c>
      <c r="C59" s="147"/>
      <c r="D59" s="693">
        <f>IF('A1.3.8'!D$27="","",IF(OR(VLOOKUP($B59,'A1.3.11'!$B$26:$AM$105,D$22,)="",VLOOKUP($B59,'A1.3.7'!$B$28:$H$118,3,)=""),"",VLOOKUP($B59,'A1.3.11'!$B$26:$AM$105,D$22,)*(VLOOKUP($B59,'A1.3.7'!$B$28:$O$118,3,)+VLOOKUP($B59,'A1.3.7'!$B$28:$O$118,8,))))</f>
        <v>33.912465858429563</v>
      </c>
      <c r="E59" s="691">
        <f>IF('A1.3.8'!E$27="","",IF(OR(VLOOKUP($B59,'A1.3.11'!$B$26:$AM$105,E$22,)="",VLOOKUP($B59,'A1.3.7'!$B$28:$H$118,3,)=""),"",VLOOKUP($B59,'A1.3.11'!$B$26:$AM$105,E$22,)*(VLOOKUP($B59,'A1.3.7'!$B$28:$O$118,3,)+VLOOKUP($B59,'A1.3.7'!$B$28:$O$118,8,))))</f>
        <v>7.2069490859121172</v>
      </c>
      <c r="F59" s="691">
        <f>IF('A1.3.8'!F$27="","",IF(OR(VLOOKUP($B59,'A1.3.11'!$B$26:$AM$105,F$22,)="",VLOOKUP($B59,'A1.3.7'!$B$28:$H$118,3,)=""),"",VLOOKUP($B59,'A1.3.11'!$B$26:$AM$105,F$22,)*(VLOOKUP($B59,'A1.3.7'!$B$28:$O$118,3,)+VLOOKUP($B59,'A1.3.7'!$B$28:$O$118,8,))))</f>
        <v>-8.2095696706348795E-2</v>
      </c>
      <c r="G59" s="2644">
        <f>IF('A1.3.8'!G$27="","",IF(OR(VLOOKUP($B59,'A1.3.11'!$B$26:$AM$105,G$22,)="",VLOOKUP($B59,'A1.3.7'!$B$28:$H$118,3,)=""),"",VLOOKUP($B59,'A1.3.11'!$B$26:$AM$105,G$22,)*(VLOOKUP($B59,'A1.3.7'!$B$28:$O$118,3,)+VLOOKUP($B59,'A1.3.7'!$B$28:$O$118,8,))))</f>
        <v>5.4371319375505966E-4</v>
      </c>
      <c r="H59" s="693">
        <f>IF('A1.3.8'!D$28="","",IF(OR(VLOOKUP($B59,'A1.3.11'!$B$26:$AM$105,H$22,)="",VLOOKUP($B59,'A1.3.7'!$B$28:$H$118,4,)=""),"",VLOOKUP($B59,'A1.3.11'!$B$26:$AM$105,H$22,)*(VLOOKUP($B59,'A1.3.7'!$B$28:$O$118,4,)+VLOOKUP($B59,'A1.3.7'!$B$28:$O$118,9,))))</f>
        <v>41.911097001558858</v>
      </c>
      <c r="I59" s="691">
        <f>IF('A1.3.8'!E$28="","",IF(OR(VLOOKUP($B59,'A1.3.11'!$B$26:$AM$105,I$22,)="",VLOOKUP($B59,'A1.3.7'!$B$28:$H$118,4,)=""),"",VLOOKUP($B59,'A1.3.11'!$B$26:$AM$105,I$22,)*(VLOOKUP($B59,'A1.3.7'!$B$28:$O$118,4,)+VLOOKUP($B59,'A1.3.7'!$B$28:$O$118,9,))))</f>
        <v>6.0090148497730684</v>
      </c>
      <c r="J59" s="691">
        <f>IF('A1.3.8'!F$28="","",IF(OR(VLOOKUP($B59,'A1.3.11'!$B$26:$AM$105,J$22,)="",VLOOKUP($B59,'A1.3.7'!$B$28:$H$118,4,)=""),"",VLOOKUP($B59,'A1.3.11'!$B$26:$AM$105,J$22,)*(VLOOKUP($B59,'A1.3.7'!$B$28:$O$118,4,)+VLOOKUP($B59,'A1.3.7'!$B$28:$O$118,9,))))</f>
        <v>-5.7808396850221669E-2</v>
      </c>
      <c r="K59" s="2644">
        <f>IF('A1.3.8'!G$28="","",IF(OR(VLOOKUP($B59,'A1.3.11'!$B$26:$AM$105,K$22,)="",VLOOKUP($B59,'A1.3.7'!$B$28:$H$118,4,)=""),"",VLOOKUP($B59,'A1.3.11'!$B$26:$AM$105,K$22,)*(VLOOKUP($B59,'A1.3.7'!$B$28:$O$118,4,)+VLOOKUP($B59,'A1.3.7'!$B$28:$O$118,9,))))</f>
        <v>4.555330674702947E-4</v>
      </c>
      <c r="L59" s="693" t="str">
        <f>IF('A1.3.8'!D$36="","",IF(OR(VLOOKUP($B59,'A1.3.11'!$B$26:$AM$105,L$22,)="",VLOOKUP($B59,'A1.3.7'!$B$28:$H$118,6,)=""),"",VLOOKUP($B59,'A1.3.11'!$B$26:$AM$105,L$22,)*VLOOKUP($B59,'A1.3.7'!$B$28:$O$118,6,)))</f>
        <v/>
      </c>
      <c r="M59" s="691">
        <f>IF('A1.3.8'!E$36="","",IF(OR(VLOOKUP($B59,'A1.3.11'!$B$26:$AM$105,M$22,)="",VLOOKUP($B59,'A1.3.7'!$B$28:$H$118,6,)=""),"",VLOOKUP($B59,'A1.3.11'!$B$26:$AM$105,M$22,)*VLOOKUP($B59,'A1.3.7'!$B$28:$O$118,6,)))</f>
        <v>1.9637608285706969</v>
      </c>
      <c r="N59" s="691" t="str">
        <f>IF('A1.3.8'!F$36="","",IF(OR(VLOOKUP($B59,'A1.3.11'!$B$26:$AM$105,N$22,)="",VLOOKUP($B59,'A1.3.7'!$B$28:$H$118,6,)=""),"",VLOOKUP($B59,'A1.3.11'!$B$26:$AM$105,N$22,)*VLOOKUP($B59,'A1.3.7'!$B$28:$O$118,6,)))</f>
        <v/>
      </c>
      <c r="O59" s="1664" t="str">
        <f>IF('A1.3.8'!G$36="","",IF(OR(VLOOKUP($B59,'A1.3.11'!$B$26:$AM$105,O$22,)="",VLOOKUP($B59,'A1.3.7'!$B$28:$H$118,6,)=""),"",VLOOKUP($B59,'A1.3.11'!$B$26:$AM$105,O$22,)*VLOOKUP($B59,'A1.3.7'!$B$28:$O$118,6,)))</f>
        <v/>
      </c>
      <c r="P59" s="693">
        <f>IF(AND(D59="",H59="",L59=""),"",IF(D59="",0,(D59*VLOOKUP($B59,'A1.3.9'!$B$26:$O$57,3,TRUE)))+IF(H59="",0,(H59*VLOOKUP($B59,'A1.3.9'!$B$26:$O$57,4,TRUE)))+IF(L59="",0,(L59*VLOOKUP($B59,'A1.3.9'!$B$26:$O$57,5,TRUE))))</f>
        <v>28.159033684199194</v>
      </c>
      <c r="Q59" s="691">
        <f>IF(AND(E59="",I59="",M59=""),"",IF(E59="",0,(E59*VLOOKUP($B59,'A1.3.9'!$B$26:$O$57,3,TRUE)))+IF(I59="",0,(I59*VLOOKUP($B59,'A1.3.9'!$B$26:$O$57,4,TRUE)))+IF(M59="",0,(M59*VLOOKUP($B59,'A1.3.9'!$B$26:$O$57,5,TRUE))))</f>
        <v>5.5661657459217189</v>
      </c>
      <c r="R59" s="691">
        <f>IF(AND(F59="",J59="",N59=""),"",IF(F59="",0,(F59*VLOOKUP($B59,'A1.3.9'!$B$26:$O$57,3,TRUE)))+IF(J59="",0,(J59*VLOOKUP($B59,'A1.3.9'!$B$26:$O$57,4,TRUE)))+IF(N59="",0,(N59*VLOOKUP($B59,'A1.3.9'!$B$26:$O$57,5,TRUE))))</f>
        <v>-5.4698415371049178E-2</v>
      </c>
      <c r="S59" s="2644">
        <f>IF(AND(G59="",K59="",O59=""),"",IF(G59="",0,(G59*VLOOKUP($B59,'A1.3.9'!$B$26:$O$57,3,TRUE)))+IF(K59="",0,(K59*VLOOKUP($B59,'A1.3.9'!$B$26:$O$57,4,TRUE)))+IF(O59="",0,(O59*VLOOKUP($B59,'A1.3.9'!$B$26:$O$57,5,TRUE))))</f>
        <v>3.8468794789819753E-4</v>
      </c>
      <c r="T59" s="693">
        <f>IF('A1.3.8'!D$29="","",IF(OR(VLOOKUP($B59,'A1.3.11'!$B$26:$AM$105,T$22,)="",VLOOKUP($B59,'A1.3.7'!$B$28:$H$118,3,)=""),"",VLOOKUP($B59,'A1.3.11'!$B$26:$AM$105,T$22,)*(VLOOKUP($B59,'A1.3.7'!$B$28:$O$118,3,)+VLOOKUP($B59,'A1.3.7'!$B$28:$O$118,8,))))</f>
        <v>24.394358163703217</v>
      </c>
      <c r="U59" s="691">
        <f>IF('A1.3.8'!E$29="","",IF(OR(VLOOKUP($B59,'A1.3.11'!$B$26:$AM$105,U$22,)="",VLOOKUP($B59,'A1.3.7'!$B$28:$H$118,3,)=""),"",VLOOKUP($B59,'A1.3.11'!$B$26:$AM$105,U$22,)*(VLOOKUP($B59,'A1.3.7'!$B$28:$O$118,3,)+VLOOKUP($B59,'A1.3.7'!$B$28:$O$118,8,))))</f>
        <v>13.678943956299621</v>
      </c>
      <c r="V59" s="691">
        <f>IF('A1.3.8'!F$29="","",IF(OR(VLOOKUP($B59,'A1.3.11'!$B$26:$AM$105,V$22,)="",VLOOKUP($B59,'A1.3.7'!$B$28:$H$118,3,)=""),"",VLOOKUP($B59,'A1.3.11'!$B$26:$AM$105,V$22,)*(VLOOKUP($B59,'A1.3.7'!$B$28:$O$118,3,)+VLOOKUP($B59,'A1.3.7'!$B$28:$O$118,8,))))</f>
        <v>-0.21471452042261968</v>
      </c>
      <c r="W59" s="2644">
        <f>IF('A1.3.8'!G$29="","",IF(OR(VLOOKUP($B59,'A1.3.11'!$B$26:$AM$105,W$22,)="",VLOOKUP($B59,'A1.3.7'!$B$28:$H$118,3,)=""),"",VLOOKUP($B59,'A1.3.11'!$B$26:$AM$105,W$22,)*(VLOOKUP($B59,'A1.3.7'!$B$28:$O$118,3,)+VLOOKUP($B59,'A1.3.7'!$B$28:$O$118,8,))))</f>
        <v>1.3866343972735765E-3</v>
      </c>
      <c r="X59" s="693">
        <f>IF('A1.3.8'!D$30="","",IF(OR(VLOOKUP($B59,'A1.3.11'!$B$26:$AM$105,X$22,)="",VLOOKUP($B59,'A1.3.7'!$B$28:$H$118,4,)=""),"",VLOOKUP($B59,'A1.3.11'!$B$26:$AM$105,X$22,)*(VLOOKUP($B59,'A1.3.7'!$B$28:$O$118,4,)+VLOOKUP($B59,'A1.3.7'!$B$28:$O$118,9,))))</f>
        <v>43.164363804562967</v>
      </c>
      <c r="Y59" s="691">
        <f>IF('A1.3.8'!E$30="","",IF(OR(VLOOKUP($B59,'A1.3.11'!$B$26:$AM$105,Y$22,)="",VLOOKUP($B59,'A1.3.7'!$B$28:$H$118,4,)=""),"",VLOOKUP($B59,'A1.3.11'!$B$26:$AM$105,Y$22,)*(VLOOKUP($B59,'A1.3.7'!$B$28:$O$118,4,)+VLOOKUP($B59,'A1.3.7'!$B$28:$O$118,9,))))</f>
        <v>10.54954642293648</v>
      </c>
      <c r="Z59" s="691">
        <f>IF('A1.3.8'!F$30="","",IF(OR(VLOOKUP($B59,'A1.3.11'!$B$26:$AM$105,Z$22,)="",VLOOKUP($B59,'A1.3.7'!$B$28:$H$118,4,)=""),"",VLOOKUP($B59,'A1.3.11'!$B$26:$AM$105,Z$22,)*(VLOOKUP($B59,'A1.3.7'!$B$28:$O$118,4,)+VLOOKUP($B59,'A1.3.7'!$B$28:$O$118,9,))))</f>
        <v>-0.15219638035004854</v>
      </c>
      <c r="AA59" s="2644">
        <f>IF('A1.3.8'!G$30="","",IF(OR(VLOOKUP($B59,'A1.3.11'!$B$26:$AM$105,AA$22,)="",VLOOKUP($B59,'A1.3.7'!$B$28:$H$118,4,)=""),"",VLOOKUP($B59,'A1.3.11'!$B$26:$AM$105,AA$22,)*(VLOOKUP($B59,'A1.3.7'!$B$28:$O$118,4,)+VLOOKUP($B59,'A1.3.7'!$B$28:$O$118,9,))))</f>
        <v>1.2884998626968935E-3</v>
      </c>
      <c r="AB59" s="693" t="str">
        <f>IF('A1.3.8'!D$37="","",IF(OR(VLOOKUP($B59,'A1.3.11'!$B$26:$AM$105,AB$22,)="",VLOOKUP($B59,'A1.3.7'!$B$28:$H$118,6,)=""),"",VLOOKUP($B59,'A1.3.11'!$B$26:$AM$105,AB$22,)*VLOOKUP($B59,'A1.3.7'!$B$28:$O$118,6,)))</f>
        <v/>
      </c>
      <c r="AC59" s="691">
        <f>IF('A1.3.8'!E$37="","",IF(OR(VLOOKUP($B59,'A1.3.11'!$B$26:$AM$105,AC$22,)="",VLOOKUP($B59,'A1.3.7'!$B$28:$H$118,6,)=""),"",VLOOKUP($B59,'A1.3.11'!$B$26:$AM$105,AC$22,)*VLOOKUP($B59,'A1.3.7'!$B$28:$O$118,6,)))</f>
        <v>4.5145632825273854</v>
      </c>
      <c r="AD59" s="691" t="str">
        <f>IF('A1.3.8'!F$37="","",IF(OR(VLOOKUP($B59,'A1.3.11'!$B$26:$AM$105,AD$22,)="",VLOOKUP($B59,'A1.3.7'!$B$28:$H$118,6,)=""),"",VLOOKUP($B59,'A1.3.11'!$B$26:$AM$105,AD$22,)*VLOOKUP($B59,'A1.3.7'!$B$28:$O$118,6,)))</f>
        <v/>
      </c>
      <c r="AE59" s="1664" t="str">
        <f>IF('A1.3.8'!G$37="","",IF(OR(VLOOKUP($B59,'A1.3.11'!$B$26:$AM$105,AE$22,)="",VLOOKUP($B59,'A1.3.7'!$B$28:$H$118,6,)=""),"",VLOOKUP($B59,'A1.3.11'!$B$26:$AM$105,AE$22,)*VLOOKUP($B59,'A1.3.7'!$B$28:$O$118,6,)))</f>
        <v/>
      </c>
      <c r="AF59" s="693">
        <f>IF(AND(T59="",X59="",AB59=""),"",IF(T59="",0,(T59*VLOOKUP('A1.3.12'!$B59,'A1.3.9'!$B$26:$O$57,6,TRUE))) + IF(X59="",0,(X59*VLOOKUP('A1.3.12'!$B59,'A1.3.9'!$B$26:$O$57,7,TRUE))) + IF(AB59="",0,(AB59*VLOOKUP('A1.3.12'!$B59,'A1.3.9'!$B$26:$O$57,8,TRUE))))</f>
        <v>38.298962906639801</v>
      </c>
      <c r="AG59" s="691">
        <f>IF(AND(U59="",Y59="",AC59=""),"",IF(U59="",0,(U59*VLOOKUP('A1.3.12'!$B59,'A1.3.9'!$B$26:$O$57,6,TRUE))) + IF(Y59="",0,(Y59*VLOOKUP('A1.3.12'!$B59,'A1.3.9'!$B$26:$O$57,7,TRUE))) + IF(AC59="",0,(AC59*VLOOKUP('A1.3.12'!$B59,'A1.3.9'!$B$26:$O$57,8,TRUE))))</f>
        <v>9.912916143651989</v>
      </c>
      <c r="AH59" s="691">
        <f>IF(AND(V59="",Z59="",AD59=""),"",IF(V59="",0,(V59*VLOOKUP('A1.3.12'!$B59,'A1.3.9'!$B$26:$O$57,6,TRUE))) + IF(Z59="",0,(Z59*VLOOKUP('A1.3.12'!$B59,'A1.3.9'!$B$26:$O$57,7,TRUE))) + IF(AD59="",0,(AD59*VLOOKUP('A1.3.12'!$B59,'A1.3.9'!$B$26:$O$57,8,TRUE))))</f>
        <v>-0.13601683533885855</v>
      </c>
      <c r="AI59" s="2644">
        <f>IF(AND(W59="",AA59="",AE59=""),"",IF(W59="",0,(W59*VLOOKUP('A1.3.12'!$B59,'A1.3.9'!$B$26:$O$57,6,TRUE))) + IF(AA59="",0,(AA59*VLOOKUP('A1.3.12'!$B59,'A1.3.9'!$B$26:$O$57,7,TRUE))) + IF(AE59="",0,(AE59*VLOOKUP('A1.3.12'!$B59,'A1.3.9'!$B$26:$O$57,8,TRUE))))</f>
        <v>1.1482545926304922E-3</v>
      </c>
      <c r="AJ59" s="693">
        <f>IF('A1.3.8'!D$31="","",IF(OR(VLOOKUP($B59,'A1.3.11'!$B$26:$AM$105,AJ$22,)="",VLOOKUP($B59,'A1.3.7'!$B$28:$H$118,4,)=""),"",VLOOKUP($B59,'A1.3.11'!$B$26:$AM$105,AJ$22,)*(VLOOKUP($B59,'A1.3.7'!$B$28:$O$118,4,)+VLOOKUP($B59,'A1.3.7'!$B$28:$O$118,9,))))</f>
        <v>291.78949328452575</v>
      </c>
      <c r="AK59" s="691">
        <f>IF('A1.3.8'!E$31="","",IF(OR(VLOOKUP($B59,'A1.3.11'!$B$26:$AM$105,AK$22,)="",VLOOKUP($B59,'A1.3.7'!$B$28:$H$118,4,)=""),"",VLOOKUP($B59,'A1.3.11'!$B$26:$AM$105,AK$22,)*(VLOOKUP($B59,'A1.3.7'!$B$28:$O$118,4,)+VLOOKUP($B59,'A1.3.7'!$B$28:$O$118,9,))))</f>
        <v>15.481535043946019</v>
      </c>
      <c r="AL59" s="691">
        <f>IF('A1.3.8'!F$31="","",IF(OR(VLOOKUP($B59,'A1.3.11'!$B$26:$AM$105,AL$22,)="",VLOOKUP($B59,'A1.3.7'!$B$28:$H$118,4,)=""),"",VLOOKUP($B59,'A1.3.11'!$B$26:$AM$105,AL$22,)*(VLOOKUP($B59,'A1.3.7'!$B$28:$O$118,4,)+VLOOKUP($B59,'A1.3.7'!$B$28:$O$118,9,))))</f>
        <v>-0.11190063359385891</v>
      </c>
      <c r="AM59" s="2644">
        <f>IF('A1.3.8'!G$31="","",IF(OR(VLOOKUP($B59,'A1.3.11'!$B$26:$AM$105,AM$22,)="",VLOOKUP($B59,'A1.3.7'!$B$28:$H$118,4,)=""),"",VLOOKUP($B59,'A1.3.11'!$B$26:$AM$105,AM$22,)*(VLOOKUP($B59,'A1.3.7'!$B$28:$O$118,4,)+VLOOKUP($B59,'A1.3.7'!$B$28:$O$118,9,))))</f>
        <v>1.2221344638066514E-3</v>
      </c>
      <c r="AN59" s="693" t="str">
        <f>IF('A1.3.8'!D$38="","",IF(OR(VLOOKUP($B59,'A1.3.11'!$B$26:$AM$105,AN$22,)="",VLOOKUP($B59,'A1.3.7'!$B$28:$H$118,6,)=""),"",VLOOKUP($B59,'A1.3.11'!$B$26:$AM$105,AN$22,)*VLOOKUP($B59,'A1.3.7'!$B$28:$O$118,6,)))</f>
        <v/>
      </c>
      <c r="AO59" s="691" t="str">
        <f>IF('A1.3.8'!E$38="","",IF(OR(VLOOKUP($B59,'A1.3.11'!$B$26:$AM$105,AO$22,)="",VLOOKUP($B59,'A1.3.7'!$B$28:$H$118,6,)=""),"",VLOOKUP($B59,'A1.3.11'!$B$26:$AM$105,AO$22,)*VLOOKUP($B59,'A1.3.7'!$B$28:$O$118,6,)))</f>
        <v/>
      </c>
      <c r="AP59" s="691" t="str">
        <f>IF('A1.3.8'!F$38="","",IF(OR(VLOOKUP($B59,'A1.3.11'!$B$26:$AM$105,AP$22,)="",VLOOKUP($B59,'A1.3.7'!$B$28:$H$118,6,)=""),"",VLOOKUP($B59,'A1.3.11'!$B$26:$AM$105,AP$22,)*VLOOKUP($B59,'A1.3.7'!$B$28:$O$118,6,)))</f>
        <v/>
      </c>
      <c r="AQ59" s="1664" t="str">
        <f>IF('A1.3.8'!G$38="","",IF(OR(VLOOKUP($B59,'A1.3.11'!$B$26:$AM$105,AQ$22,)="",VLOOKUP($B59,'A1.3.7'!$B$28:$H$118,6,)=""),"",VLOOKUP($B59,'A1.3.11'!$B$26:$AM$105,AQ$22,)*VLOOKUP($B59,'A1.3.7'!$B$28:$O$118,6,)))</f>
        <v/>
      </c>
      <c r="AR59" s="693">
        <f>IF(AND(AJ59="",AN59=""),"",IF(AJ59="",0,(AJ59*VLOOKUP($B59,'A1.3.9'!$B$26:$O$57,9,TRUE))) + IF(AN59="",0,(AN59*VLOOKUP($B59,'A1.3.9'!$B$26:$O$57,10,TRUE))))</f>
        <v>291.78949328452575</v>
      </c>
      <c r="AS59" s="691">
        <f>IF(AND(AK59="",AO59=""),"",IF(AK59="",0,(AK59*VLOOKUP($B59,'A1.3.9'!$B$26:$O$57,9,TRUE))) + IF(AO59="",0,(AO59*VLOOKUP($B59,'A1.3.9'!$B$26:$O$57,10,TRUE))))</f>
        <v>15.481535043946019</v>
      </c>
      <c r="AT59" s="691">
        <f>IF(AND(AL59="",AP59=""),"",IF(AL59="",0,(AL59*VLOOKUP($B59,'A1.3.9'!$B$26:$O$57,9,TRUE))) + IF(AP59="",0,(AP59*VLOOKUP($B59,'A1.3.9'!$B$26:$O$57,10,TRUE))))</f>
        <v>-0.11190063359385891</v>
      </c>
      <c r="AU59" s="2644">
        <f>IF(AND(AM59="",AQ59=""),"",IF(AM59="",0,(AM59*VLOOKUP($B59,'A1.3.9'!$B$26:$O$57,9,TRUE))) + IF(AQ59="",0,(AQ59*VLOOKUP($B59,'A1.3.9'!$B$26:$O$57,10,TRUE))))</f>
        <v>1.2221344638066514E-3</v>
      </c>
      <c r="AV59" s="693">
        <f>IF('A1.3.8'!D$32="","",IF(OR(VLOOKUP($B59,'A1.3.11'!$B$26:$AM$105,AV$22,)="",VLOOKUP($B59,'A1.3.7'!$B$28:$H$118,4,)=""),"",VLOOKUP($B59,'A1.3.11'!$B$26:$AM$105,AV$22,)*(VLOOKUP($B59,'A1.3.7'!$B$28:$O$118,4,)+VLOOKUP($B59,'A1.3.7'!$B$28:$O$118,9,))))</f>
        <v>613.12575894544557</v>
      </c>
      <c r="AW59" s="691">
        <f>IF('A1.3.8'!E$32="","",IF(OR(VLOOKUP($B59,'A1.3.11'!$B$26:$AM$105,AW$22,)="",VLOOKUP($B59,'A1.3.7'!$B$28:$H$118,4,)=""),"",VLOOKUP($B59,'A1.3.11'!$B$26:$AM$105,AW$22,)*(VLOOKUP($B59,'A1.3.7'!$B$28:$O$118,4,)+VLOOKUP($B59,'A1.3.7'!$B$28:$O$118,9,))))</f>
        <v>31.840707060576651</v>
      </c>
      <c r="AX59" s="691">
        <f>IF('A1.3.8'!F$32="","",IF(OR(VLOOKUP($B59,'A1.3.11'!$B$26:$AM$105,AX$22,)="",VLOOKUP($B59,'A1.3.7'!$B$28:$H$118,4,)=""),"",VLOOKUP($B59,'A1.3.11'!$B$26:$AM$105,AX$22,)*(VLOOKUP($B59,'A1.3.7'!$B$28:$O$118,4,)+VLOOKUP($B59,'A1.3.7'!$B$28:$O$118,9,))))</f>
        <v>-0.21096143450358923</v>
      </c>
      <c r="AY59" s="2644">
        <f>IF('A1.3.8'!G$32="","",IF(OR(VLOOKUP($B59,'A1.3.11'!$B$26:$AM$105,AY$22,)="",VLOOKUP($B59,'A1.3.7'!$B$28:$H$118,4,)=""),"",VLOOKUP($B59,'A1.3.11'!$B$26:$AM$105,AY$22,)*(VLOOKUP($B59,'A1.3.7'!$B$28:$O$118,4,)+VLOOKUP($B59,'A1.3.7'!$B$28:$O$118,9,))))</f>
        <v>1.2574178742119479E-3</v>
      </c>
      <c r="AZ59" s="693" t="str">
        <f>IF('A1.3.8'!D$39="","",IF(OR(VLOOKUP($B59,'A1.3.11'!$B$26:$AM$105,AZ$22,)="",VLOOKUP($B59,'A1.3.7'!$B$28:$H$118,6,)=""),"",VLOOKUP($B59,'A1.3.11'!$B$26:$AM$105,AZ$22,)*VLOOKUP($B59,'A1.3.7'!$B$28:$O$118,6,)))</f>
        <v/>
      </c>
      <c r="BA59" s="691" t="str">
        <f>IF('A1.3.8'!E$39="","",IF(OR(VLOOKUP($B59,'A1.3.11'!$B$26:$AM$105,BA$22,)="",VLOOKUP($B59,'A1.3.7'!$B$28:$H$118,6,)=""),"",VLOOKUP($B59,'A1.3.11'!$B$26:$AM$105,BA$22,)*VLOOKUP($B59,'A1.3.7'!$B$28:$O$118,6,)))</f>
        <v/>
      </c>
      <c r="BB59" s="691" t="str">
        <f>IF('A1.3.8'!F$39="","",IF(OR(VLOOKUP($B59,'A1.3.11'!$B$26:$AM$105,BB$22,)="",VLOOKUP($B59,'A1.3.7'!$B$28:$H$118,6,)=""),"",VLOOKUP($B59,'A1.3.11'!$B$26:$AM$105,BB$22,)*VLOOKUP($B59,'A1.3.7'!$B$28:$O$118,6,)))</f>
        <v/>
      </c>
      <c r="BC59" s="1664" t="str">
        <f>IF('A1.3.8'!G$39="","",IF(OR(VLOOKUP($B59,'A1.3.11'!$B$26:$AM$105,BC$22,)="",VLOOKUP($B59,'A1.3.7'!$B$28:$H$118,6,)=""),"",VLOOKUP($B59,'A1.3.11'!$B$26:$AM$105,BC$22,)*VLOOKUP($B59,'A1.3.7'!$B$28:$O$118,6,)))</f>
        <v/>
      </c>
      <c r="BD59" s="693">
        <f>IF(AND(AV59="",AZ59=""),"",IF(AV59="",0,(AV59*VLOOKUP($B59,'A1.3.9'!$B$26:$O$57,9,TRUE))) + IF(AZ59="",0,(AZ59*VLOOKUP($B59,'A1.3.9'!$B$26:$O$57,10,TRUE))))</f>
        <v>613.12575894544557</v>
      </c>
      <c r="BE59" s="691">
        <f>IF(AND(AW59="",BA59=""),"",IF(AW59="",0,(AW59*VLOOKUP($B59,'A1.3.9'!$B$26:$O$57,9,TRUE))) + IF(BA59="",0,(BA59*VLOOKUP($B59,'A1.3.9'!$B$26:$O$57,10,TRUE))))</f>
        <v>31.840707060576651</v>
      </c>
      <c r="BF59" s="691">
        <f>IF(AND(AX59="",BB59=""),"",IF(AX59="",0,(AX59*VLOOKUP($B59,'A1.3.9'!$B$26:$O$57,9,TRUE))) + IF(BB59="",0,(BB59*VLOOKUP($B59,'A1.3.9'!$B$26:$O$57,10,TRUE))))</f>
        <v>-0.21096143450358923</v>
      </c>
      <c r="BG59" s="2644">
        <f>IF(AND(AY59="",BC59=""),"",IF(AY59="",0,(AY59*VLOOKUP($B59,'A1.3.9'!$B$26:$O$57,9,TRUE))) + IF(BC59="",0,(BC59*VLOOKUP($B59,'A1.3.9'!$B$26:$O$57,10,TRUE))))</f>
        <v>1.2574178742119479E-3</v>
      </c>
      <c r="BH59" s="693">
        <f>IF('A1.3.8'!D$33="","",IF(OR(VLOOKUP($B59,'A1.3.11'!$B$26:$AM$105,BH$22,)="",VLOOKUP($B59,'A1.3.7'!$B$28:$H$118,4,)=""),"",VLOOKUP($B59,'A1.3.11'!$B$26:$AM$105,BH$22,)*(VLOOKUP($B59,'A1.3.7'!$B$28:$O$118,4,)+VLOOKUP($B59,'A1.3.7'!$B$28:$O$118,9,))))</f>
        <v>363.63637909501131</v>
      </c>
      <c r="BI59" s="691">
        <f>IF('A1.3.8'!E$33="","",IF(OR(VLOOKUP($B59,'A1.3.11'!$B$26:$AM$105,BI$22,)="",VLOOKUP($B59,'A1.3.7'!$B$28:$H$118,4,)=""),"",VLOOKUP($B59,'A1.3.11'!$B$26:$AM$105,BI$22,)*(VLOOKUP($B59,'A1.3.7'!$B$28:$O$118,4,)+VLOOKUP($B59,'A1.3.7'!$B$28:$O$118,9,))))</f>
        <v>31.951619814342283</v>
      </c>
      <c r="BJ59" s="691">
        <f>IF('A1.3.8'!F$33="","",IF(OR(VLOOKUP($B59,'A1.3.11'!$B$26:$AM$105,BJ$22,)="",VLOOKUP($B59,'A1.3.7'!$B$28:$H$118,4,)=""),"",VLOOKUP($B59,'A1.3.11'!$B$26:$AM$105,BJ$22,)*(VLOOKUP($B59,'A1.3.7'!$B$28:$O$118,4,)+VLOOKUP($B59,'A1.3.7'!$B$28:$O$118,9,))))</f>
        <v>-0.34728562913764094</v>
      </c>
      <c r="BK59" s="2644">
        <f>IF('A1.3.8'!G$33="","",IF(OR(VLOOKUP($B59,'A1.3.11'!$B$26:$AM$105,BK$22,)="",VLOOKUP($B59,'A1.3.7'!$B$28:$H$118,4,)=""),"",VLOOKUP($B59,'A1.3.11'!$B$26:$AM$105,BK$22,)*(VLOOKUP($B59,'A1.3.7'!$B$28:$O$118,4,)+VLOOKUP($B59,'A1.3.7'!$B$28:$O$118,9,))))</f>
        <v>2.5474820428443923E-3</v>
      </c>
      <c r="BL59" s="693" t="str">
        <f>IF('A1.3.8'!D$40="","",IF(OR(VLOOKUP($B59,'A1.3.11'!$B$26:$AM$105,BL$22,)="",VLOOKUP($B59,'A1.3.7'!$B$28:$H$118,6,)=""),"",VLOOKUP($B59,'A1.3.11'!$B$26:$AM$105,BL$22,)*VLOOKUP($B59,'A1.3.7'!$B$28:$O$118,6,)))</f>
        <v/>
      </c>
      <c r="BM59" s="691" t="str">
        <f>IF('A1.3.8'!E$40="","",IF(OR(VLOOKUP($B59,'A1.3.11'!$B$26:$AM$105,BM$22,)="",VLOOKUP($B59,'A1.3.7'!$B$28:$H$118,6,)=""),"",VLOOKUP($B59,'A1.3.11'!$B$26:$AM$105,BM$22,)*VLOOKUP($B59,'A1.3.7'!$B$28:$O$118,6,)))</f>
        <v/>
      </c>
      <c r="BN59" s="691" t="str">
        <f>IF('A1.3.8'!F$40="","",IF(OR(VLOOKUP($B59,'A1.3.11'!$B$26:$AM$105,BN$22,)="",VLOOKUP($B59,'A1.3.7'!$B$28:$H$118,6,)=""),"",VLOOKUP($B59,'A1.3.11'!$B$26:$AM$105,BN$22,)*VLOOKUP($B59,'A1.3.7'!$B$28:$O$118,6,)))</f>
        <v/>
      </c>
      <c r="BO59" s="1664" t="str">
        <f>IF('A1.3.8'!G$40="","",IF(OR(VLOOKUP($B59,'A1.3.11'!$B$26:$AM$105,BO$22,)="",VLOOKUP($B59,'A1.3.7'!$B$28:$H$118,6,)=""),"",VLOOKUP($B59,'A1.3.11'!$B$26:$AM$105,BO$22,)*VLOOKUP($B59,'A1.3.7'!$B$28:$O$118,6,)))</f>
        <v/>
      </c>
      <c r="BP59" s="693">
        <f>IF(AND(BH59="",BL59=""),"",IF(BH59="",0,(BH59*VLOOKUP($B59,'A1.3.9'!$B$26:$O$57,9,TRUE))) + IF(BL59="",0,(BL59*VLOOKUP($B59,'A1.3.9'!$B$26:$O$57,10,TRUE))))</f>
        <v>363.63637909501131</v>
      </c>
      <c r="BQ59" s="691">
        <f>IF(AND(BI59="",BM59=""),"",IF(BI59="",0,(BI59*VLOOKUP($B59,'A1.3.9'!$B$26:$O$57,9,TRUE))) + IF(BM59="",0,(BM59*VLOOKUP($B59,'A1.3.9'!$B$26:$O$57,10,TRUE))))</f>
        <v>31.951619814342283</v>
      </c>
      <c r="BR59" s="691">
        <f>IF(AND(BJ59="",BN59=""),"",IF(BJ59="",0,(BJ59*VLOOKUP($B59,'A1.3.9'!$B$26:$O$57,9,TRUE))) + IF(BN59="",0,(BN59*VLOOKUP($B59,'A1.3.9'!$B$26:$O$57,10,TRUE))))</f>
        <v>-0.34728562913764094</v>
      </c>
      <c r="BS59" s="2644">
        <f>IF(AND(BK59="",BO59=""),"",IF(BK59="",0,(BK59*VLOOKUP($B59,'A1.3.9'!$B$26:$O$57,9,TRUE))) + IF(BO59="",0,(BO59*VLOOKUP($B59,'A1.3.9'!$B$26:$O$57,10,TRUE))))</f>
        <v>2.5474820428443923E-3</v>
      </c>
    </row>
    <row r="60" spans="1:71" s="26" customFormat="1" ht="13.5" customHeight="1">
      <c r="A60" s="113"/>
      <c r="B60" s="614">
        <f t="shared" si="0"/>
        <v>2043</v>
      </c>
      <c r="C60" s="147"/>
      <c r="D60" s="693">
        <f>IF('A1.3.8'!D$27="","",IF(OR(VLOOKUP($B60,'A1.3.11'!$B$26:$AM$105,D$22,)="",VLOOKUP($B60,'A1.3.7'!$B$28:$H$118,3,)=""),"",VLOOKUP($B60,'A1.3.11'!$B$26:$AM$105,D$22,)*(VLOOKUP($B60,'A1.3.7'!$B$28:$O$118,3,)+VLOOKUP($B60,'A1.3.7'!$B$28:$O$118,8,))))</f>
        <v>34.050109671171704</v>
      </c>
      <c r="E60" s="691">
        <f>IF('A1.3.8'!E$27="","",IF(OR(VLOOKUP($B60,'A1.3.11'!$B$26:$AM$105,E$22,)="",VLOOKUP($B60,'A1.3.7'!$B$28:$H$118,3,)=""),"",VLOOKUP($B60,'A1.3.11'!$B$26:$AM$105,E$22,)*(VLOOKUP($B60,'A1.3.7'!$B$28:$O$118,3,)+VLOOKUP($B60,'A1.3.7'!$B$28:$O$118,8,))))</f>
        <v>7.2362006288274747</v>
      </c>
      <c r="F60" s="691">
        <f>IF('A1.3.8'!F$27="","",IF(OR(VLOOKUP($B60,'A1.3.11'!$B$26:$AM$105,F$22,)="",VLOOKUP($B60,'A1.3.7'!$B$28:$H$118,3,)=""),"",VLOOKUP($B60,'A1.3.11'!$B$26:$AM$105,F$22,)*(VLOOKUP($B60,'A1.3.7'!$B$28:$O$118,3,)+VLOOKUP($B60,'A1.3.7'!$B$28:$O$118,8,))))</f>
        <v>-8.2428906469140958E-2</v>
      </c>
      <c r="G60" s="2644">
        <f>IF('A1.3.8'!G$27="","",IF(OR(VLOOKUP($B60,'A1.3.11'!$B$26:$AM$105,G$22,)="",VLOOKUP($B60,'A1.3.7'!$B$28:$H$118,3,)=""),"",VLOOKUP($B60,'A1.3.11'!$B$26:$AM$105,G$22,)*(VLOOKUP($B60,'A1.3.7'!$B$28:$O$118,3,)+VLOOKUP($B60,'A1.3.7'!$B$28:$O$118,8,))))</f>
        <v>5.4592001520352277E-4</v>
      </c>
      <c r="H60" s="693">
        <f>IF('A1.3.8'!D$28="","",IF(OR(VLOOKUP($B60,'A1.3.11'!$B$26:$AM$105,H$22,)="",VLOOKUP($B60,'A1.3.7'!$B$28:$H$118,4,)=""),"",VLOOKUP($B60,'A1.3.11'!$B$26:$AM$105,H$22,)*(VLOOKUP($B60,'A1.3.7'!$B$28:$O$118,4,)+VLOOKUP($B60,'A1.3.7'!$B$28:$O$118,9,))))</f>
        <v>42.074979009690786</v>
      </c>
      <c r="I60" s="691">
        <f>IF('A1.3.8'!E$28="","",IF(OR(VLOOKUP($B60,'A1.3.11'!$B$26:$AM$105,I$22,)="",VLOOKUP($B60,'A1.3.7'!$B$28:$H$118,4,)=""),"",VLOOKUP($B60,'A1.3.11'!$B$26:$AM$105,I$22,)*(VLOOKUP($B60,'A1.3.7'!$B$28:$O$118,4,)+VLOOKUP($B60,'A1.3.7'!$B$28:$O$118,9,))))</f>
        <v>6.0325114769417327</v>
      </c>
      <c r="J60" s="691">
        <f>IF('A1.3.8'!F$28="","",IF(OR(VLOOKUP($B60,'A1.3.11'!$B$26:$AM$105,J$22,)="",VLOOKUP($B60,'A1.3.7'!$B$28:$H$118,4,)=""),"",VLOOKUP($B60,'A1.3.11'!$B$26:$AM$105,J$22,)*(VLOOKUP($B60,'A1.3.7'!$B$28:$O$118,4,)+VLOOKUP($B60,'A1.3.7'!$B$28:$O$118,9,))))</f>
        <v>-5.8034440949290445E-2</v>
      </c>
      <c r="K60" s="2644">
        <f>IF('A1.3.8'!G$28="","",IF(OR(VLOOKUP($B60,'A1.3.11'!$B$26:$AM$105,K$22,)="",VLOOKUP($B60,'A1.3.7'!$B$28:$H$118,4,)=""),"",VLOOKUP($B60,'A1.3.11'!$B$26:$AM$105,K$22,)*(VLOOKUP($B60,'A1.3.7'!$B$28:$O$118,4,)+VLOOKUP($B60,'A1.3.7'!$B$28:$O$118,9,))))</f>
        <v>4.573143063117583E-4</v>
      </c>
      <c r="L60" s="693" t="str">
        <f>IF('A1.3.8'!D$36="","",IF(OR(VLOOKUP($B60,'A1.3.11'!$B$26:$AM$105,L$22,)="",VLOOKUP($B60,'A1.3.7'!$B$28:$H$118,6,)=""),"",VLOOKUP($B60,'A1.3.11'!$B$26:$AM$105,L$22,)*VLOOKUP($B60,'A1.3.7'!$B$28:$O$118,6,)))</f>
        <v/>
      </c>
      <c r="M60" s="691">
        <f>IF('A1.3.8'!E$36="","",IF(OR(VLOOKUP($B60,'A1.3.11'!$B$26:$AM$105,M$22,)="",VLOOKUP($B60,'A1.3.7'!$B$28:$H$118,6,)=""),"",VLOOKUP($B60,'A1.3.11'!$B$26:$AM$105,M$22,)*VLOOKUP($B60,'A1.3.7'!$B$28:$O$118,6,)))</f>
        <v>1.9637608285706969</v>
      </c>
      <c r="N60" s="691" t="str">
        <f>IF('A1.3.8'!F$36="","",IF(OR(VLOOKUP($B60,'A1.3.11'!$B$26:$AM$105,N$22,)="",VLOOKUP($B60,'A1.3.7'!$B$28:$H$118,6,)=""),"",VLOOKUP($B60,'A1.3.11'!$B$26:$AM$105,N$22,)*VLOOKUP($B60,'A1.3.7'!$B$28:$O$118,6,)))</f>
        <v/>
      </c>
      <c r="O60" s="1664" t="str">
        <f>IF('A1.3.8'!G$36="","",IF(OR(VLOOKUP($B60,'A1.3.11'!$B$26:$AM$105,O$22,)="",VLOOKUP($B60,'A1.3.7'!$B$28:$H$118,6,)=""),"",VLOOKUP($B60,'A1.3.11'!$B$26:$AM$105,O$22,)*VLOOKUP($B60,'A1.3.7'!$B$28:$O$118,6,)))</f>
        <v/>
      </c>
      <c r="P60" s="693">
        <f>IF(AND(D60="",H60="",L60=""),"",IF(D60="",0,(D60*VLOOKUP($B60,'A1.3.9'!$B$26:$O$57,3,TRUE)))+IF(H60="",0,(H60*VLOOKUP($B60,'A1.3.9'!$B$26:$O$57,4,TRUE)))+IF(L60="",0,(L60*VLOOKUP($B60,'A1.3.9'!$B$26:$O$57,5,TRUE))))</f>
        <v>28.271404123703064</v>
      </c>
      <c r="Q60" s="691">
        <f>IF(AND(E60="",I60="",M60=""),"",IF(E60="",0,(E60*VLOOKUP($B60,'A1.3.9'!$B$26:$O$57,3,TRUE)))+IF(I60="",0,(I60*VLOOKUP($B60,'A1.3.9'!$B$26:$O$57,4,TRUE)))+IF(M60="",0,(M60*VLOOKUP($B60,'A1.3.9'!$B$26:$O$57,5,TRUE))))</f>
        <v>5.586549873599032</v>
      </c>
      <c r="R60" s="691">
        <f>IF(AND(F60="",J60="",N60=""),"",IF(F60="",0,(F60*VLOOKUP($B60,'A1.3.9'!$B$26:$O$57,3,TRUE)))+IF(J60="",0,(J60*VLOOKUP($B60,'A1.3.9'!$B$26:$O$57,4,TRUE)))+IF(N60="",0,(N60*VLOOKUP($B60,'A1.3.9'!$B$26:$O$57,5,TRUE))))</f>
        <v>-5.4917774980543649E-2</v>
      </c>
      <c r="S60" s="2644">
        <f>IF(AND(G60="",K60="",O60=""),"",IF(G60="",0,(G60*VLOOKUP($B60,'A1.3.9'!$B$26:$O$57,3,TRUE)))+IF(K60="",0,(K60*VLOOKUP($B60,'A1.3.9'!$B$26:$O$57,4,TRUE)))+IF(O60="",0,(O60*VLOOKUP($B60,'A1.3.9'!$B$26:$O$57,5,TRUE))))</f>
        <v>3.8622843483758246E-4</v>
      </c>
      <c r="T60" s="693">
        <f>IF('A1.3.8'!D$29="","",IF(OR(VLOOKUP($B60,'A1.3.11'!$B$26:$AM$105,T$22,)="",VLOOKUP($B60,'A1.3.7'!$B$28:$H$118,3,)=""),"",VLOOKUP($B60,'A1.3.11'!$B$26:$AM$105,T$22,)*(VLOOKUP($B60,'A1.3.7'!$B$28:$O$118,3,)+VLOOKUP($B60,'A1.3.7'!$B$28:$O$118,8,))))</f>
        <v>24.493369910034687</v>
      </c>
      <c r="U60" s="691">
        <f>IF('A1.3.8'!E$29="","",IF(OR(VLOOKUP($B60,'A1.3.11'!$B$26:$AM$105,U$22,)="",VLOOKUP($B60,'A1.3.7'!$B$28:$H$118,3,)=""),"",VLOOKUP($B60,'A1.3.11'!$B$26:$AM$105,U$22,)*(VLOOKUP($B60,'A1.3.7'!$B$28:$O$118,3,)+VLOOKUP($B60,'A1.3.7'!$B$28:$O$118,8,))))</f>
        <v>13.734464012207415</v>
      </c>
      <c r="V60" s="691">
        <f>IF('A1.3.8'!F$29="","",IF(OR(VLOOKUP($B60,'A1.3.11'!$B$26:$AM$105,V$22,)="",VLOOKUP($B60,'A1.3.7'!$B$28:$H$118,3,)=""),"",VLOOKUP($B60,'A1.3.11'!$B$26:$AM$105,V$22,)*(VLOOKUP($B60,'A1.3.7'!$B$28:$O$118,3,)+VLOOKUP($B60,'A1.3.7'!$B$28:$O$118,8,))))</f>
        <v>-0.21558600306164233</v>
      </c>
      <c r="W60" s="2644">
        <f>IF('A1.3.8'!G$29="","",IF(OR(VLOOKUP($B60,'A1.3.11'!$B$26:$AM$105,W$22,)="",VLOOKUP($B60,'A1.3.7'!$B$28:$H$118,3,)=""),"",VLOOKUP($B60,'A1.3.11'!$B$26:$AM$105,W$22,)*(VLOOKUP($B60,'A1.3.7'!$B$28:$O$118,3,)+VLOOKUP($B60,'A1.3.7'!$B$28:$O$118,8,))))</f>
        <v>1.3922624647257312E-3</v>
      </c>
      <c r="X60" s="693">
        <f>IF('A1.3.8'!D$30="","",IF(OR(VLOOKUP($B60,'A1.3.11'!$B$26:$AM$105,X$22,)="",VLOOKUP($B60,'A1.3.7'!$B$28:$H$118,4,)=""),"",VLOOKUP($B60,'A1.3.11'!$B$26:$AM$105,X$22,)*(VLOOKUP($B60,'A1.3.7'!$B$28:$O$118,4,)+VLOOKUP($B60,'A1.3.7'!$B$28:$O$118,9,))))</f>
        <v>43.333146373527114</v>
      </c>
      <c r="Y60" s="691">
        <f>IF('A1.3.8'!E$30="","",IF(OR(VLOOKUP($B60,'A1.3.11'!$B$26:$AM$105,Y$22,)="",VLOOKUP($B60,'A1.3.7'!$B$28:$H$118,4,)=""),"",VLOOKUP($B60,'A1.3.11'!$B$26:$AM$105,Y$22,)*(VLOOKUP($B60,'A1.3.7'!$B$28:$O$118,4,)+VLOOKUP($B60,'A1.3.7'!$B$28:$O$118,9,))))</f>
        <v>10.590797570636276</v>
      </c>
      <c r="Z60" s="691">
        <f>IF('A1.3.8'!F$30="","",IF(OR(VLOOKUP($B60,'A1.3.11'!$B$26:$AM$105,Z$22,)="",VLOOKUP($B60,'A1.3.7'!$B$28:$H$118,4,)=""),"",VLOOKUP($B60,'A1.3.11'!$B$26:$AM$105,Z$22,)*(VLOOKUP($B60,'A1.3.7'!$B$28:$O$118,4,)+VLOOKUP($B60,'A1.3.7'!$B$28:$O$118,9,))))</f>
        <v>-0.15279150312722731</v>
      </c>
      <c r="AA60" s="2644">
        <f>IF('A1.3.8'!G$30="","",IF(OR(VLOOKUP($B60,'A1.3.11'!$B$26:$AM$105,AA$22,)="",VLOOKUP($B60,'A1.3.7'!$B$28:$H$118,4,)=""),"",VLOOKUP($B60,'A1.3.11'!$B$26:$AM$105,AA$22,)*(VLOOKUP($B60,'A1.3.7'!$B$28:$O$118,4,)+VLOOKUP($B60,'A1.3.7'!$B$28:$O$118,9,))))</f>
        <v>1.2935381928787216E-3</v>
      </c>
      <c r="AB60" s="693" t="str">
        <f>IF('A1.3.8'!D$37="","",IF(OR(VLOOKUP($B60,'A1.3.11'!$B$26:$AM$105,AB$22,)="",VLOOKUP($B60,'A1.3.7'!$B$28:$H$118,6,)=""),"",VLOOKUP($B60,'A1.3.11'!$B$26:$AM$105,AB$22,)*VLOOKUP($B60,'A1.3.7'!$B$28:$O$118,6,)))</f>
        <v/>
      </c>
      <c r="AC60" s="691">
        <f>IF('A1.3.8'!E$37="","",IF(OR(VLOOKUP($B60,'A1.3.11'!$B$26:$AM$105,AC$22,)="",VLOOKUP($B60,'A1.3.7'!$B$28:$H$118,6,)=""),"",VLOOKUP($B60,'A1.3.11'!$B$26:$AM$105,AC$22,)*VLOOKUP($B60,'A1.3.7'!$B$28:$O$118,6,)))</f>
        <v>4.5145632825273854</v>
      </c>
      <c r="AD60" s="691" t="str">
        <f>IF('A1.3.8'!F$37="","",IF(OR(VLOOKUP($B60,'A1.3.11'!$B$26:$AM$105,AD$22,)="",VLOOKUP($B60,'A1.3.7'!$B$28:$H$118,6,)=""),"",VLOOKUP($B60,'A1.3.11'!$B$26:$AM$105,AD$22,)*VLOOKUP($B60,'A1.3.7'!$B$28:$O$118,6,)))</f>
        <v/>
      </c>
      <c r="AE60" s="1664" t="str">
        <f>IF('A1.3.8'!G$37="","",IF(OR(VLOOKUP($B60,'A1.3.11'!$B$26:$AM$105,AE$22,)="",VLOOKUP($B60,'A1.3.7'!$B$28:$H$118,6,)=""),"",VLOOKUP($B60,'A1.3.11'!$B$26:$AM$105,AE$22,)*VLOOKUP($B60,'A1.3.7'!$B$28:$O$118,6,)))</f>
        <v/>
      </c>
      <c r="AF60" s="693">
        <f>IF(AND(T60="",X60="",AB60=""),"",IF(T60="",0,(T60*VLOOKUP('A1.3.12'!$B60,'A1.3.9'!$B$26:$O$57,6,TRUE))) + IF(X60="",0,(X60*VLOOKUP('A1.3.12'!$B60,'A1.3.9'!$B$26:$O$57,7,TRUE))) + IF(AB60="",0,(AB60*VLOOKUP('A1.3.12'!$B60,'A1.3.9'!$B$26:$O$57,8,TRUE))))</f>
        <v>38.448748117900038</v>
      </c>
      <c r="AG60" s="691">
        <f>IF(AND(U60="",Y60="",AC60=""),"",IF(U60="",0,(U60*VLOOKUP('A1.3.12'!$B60,'A1.3.9'!$B$26:$O$57,6,TRUE))) + IF(Y60="",0,(Y60*VLOOKUP('A1.3.12'!$B60,'A1.3.9'!$B$26:$O$57,7,TRUE))) + IF(AC60="",0,(AC60*VLOOKUP('A1.3.12'!$B60,'A1.3.9'!$B$26:$O$57,8,TRUE))))</f>
        <v>9.9497617170918389</v>
      </c>
      <c r="AH60" s="691">
        <f>IF(AND(V60="",Z60="",AD60=""),"",IF(V60="",0,(V60*VLOOKUP('A1.3.12'!$B60,'A1.3.9'!$B$26:$O$57,6,TRUE))) + IF(Z60="",0,(Z60*VLOOKUP('A1.3.12'!$B60,'A1.3.9'!$B$26:$O$57,7,TRUE))) + IF(AD60="",0,(AD60*VLOOKUP('A1.3.12'!$B60,'A1.3.9'!$B$26:$O$57,8,TRUE))))</f>
        <v>-0.13654893422421657</v>
      </c>
      <c r="AI60" s="2644">
        <f>IF(AND(W60="",AA60="",AE60=""),"",IF(W60="",0,(W60*VLOOKUP('A1.3.12'!$B60,'A1.3.9'!$B$26:$O$57,6,TRUE))) + IF(AA60="",0,(AA60*VLOOKUP('A1.3.12'!$B60,'A1.3.9'!$B$26:$O$57,7,TRUE))) + IF(AE60="",0,(AE60*VLOOKUP('A1.3.12'!$B60,'A1.3.9'!$B$26:$O$57,8,TRUE))))</f>
        <v>1.1527460934469692E-3</v>
      </c>
      <c r="AJ60" s="693">
        <f>IF('A1.3.8'!D$31="","",IF(OR(VLOOKUP($B60,'A1.3.11'!$B$26:$AM$105,AJ$22,)="",VLOOKUP($B60,'A1.3.7'!$B$28:$H$118,4,)=""),"",VLOOKUP($B60,'A1.3.11'!$B$26:$AM$105,AJ$22,)*(VLOOKUP($B60,'A1.3.7'!$B$28:$O$118,4,)+VLOOKUP($B60,'A1.3.7'!$B$28:$O$118,9,))))</f>
        <v>292.93045717076058</v>
      </c>
      <c r="AK60" s="691">
        <f>IF('A1.3.8'!E$31="","",IF(OR(VLOOKUP($B60,'A1.3.11'!$B$26:$AM$105,AK$22,)="",VLOOKUP($B60,'A1.3.7'!$B$28:$H$118,4,)=""),"",VLOOKUP($B60,'A1.3.11'!$B$26:$AM$105,AK$22,)*(VLOOKUP($B60,'A1.3.7'!$B$28:$O$118,4,)+VLOOKUP($B60,'A1.3.7'!$B$28:$O$118,9,))))</f>
        <v>15.542071399075837</v>
      </c>
      <c r="AL60" s="691">
        <f>IF('A1.3.8'!F$31="","",IF(OR(VLOOKUP($B60,'A1.3.11'!$B$26:$AM$105,AL$22,)="",VLOOKUP($B60,'A1.3.7'!$B$28:$H$118,4,)=""),"",VLOOKUP($B60,'A1.3.11'!$B$26:$AM$105,AL$22,)*(VLOOKUP($B60,'A1.3.7'!$B$28:$O$118,4,)+VLOOKUP($B60,'A1.3.7'!$B$28:$O$118,9,))))</f>
        <v>-0.11233819075309799</v>
      </c>
      <c r="AM60" s="2644">
        <f>IF('A1.3.8'!G$31="","",IF(OR(VLOOKUP($B60,'A1.3.11'!$B$26:$AM$105,AM$22,)="",VLOOKUP($B60,'A1.3.7'!$B$28:$H$118,4,)=""),"",VLOOKUP($B60,'A1.3.11'!$B$26:$AM$105,AM$22,)*(VLOOKUP($B60,'A1.3.7'!$B$28:$O$118,4,)+VLOOKUP($B60,'A1.3.7'!$B$28:$O$118,9,))))</f>
        <v>1.2269132900475494E-3</v>
      </c>
      <c r="AN60" s="693" t="str">
        <f>IF('A1.3.8'!D$38="","",IF(OR(VLOOKUP($B60,'A1.3.11'!$B$26:$AM$105,AN$22,)="",VLOOKUP($B60,'A1.3.7'!$B$28:$H$118,6,)=""),"",VLOOKUP($B60,'A1.3.11'!$B$26:$AM$105,AN$22,)*VLOOKUP($B60,'A1.3.7'!$B$28:$O$118,6,)))</f>
        <v/>
      </c>
      <c r="AO60" s="691" t="str">
        <f>IF('A1.3.8'!E$38="","",IF(OR(VLOOKUP($B60,'A1.3.11'!$B$26:$AM$105,AO$22,)="",VLOOKUP($B60,'A1.3.7'!$B$28:$H$118,6,)=""),"",VLOOKUP($B60,'A1.3.11'!$B$26:$AM$105,AO$22,)*VLOOKUP($B60,'A1.3.7'!$B$28:$O$118,6,)))</f>
        <v/>
      </c>
      <c r="AP60" s="691" t="str">
        <f>IF('A1.3.8'!F$38="","",IF(OR(VLOOKUP($B60,'A1.3.11'!$B$26:$AM$105,AP$22,)="",VLOOKUP($B60,'A1.3.7'!$B$28:$H$118,6,)=""),"",VLOOKUP($B60,'A1.3.11'!$B$26:$AM$105,AP$22,)*VLOOKUP($B60,'A1.3.7'!$B$28:$O$118,6,)))</f>
        <v/>
      </c>
      <c r="AQ60" s="1664" t="str">
        <f>IF('A1.3.8'!G$38="","",IF(OR(VLOOKUP($B60,'A1.3.11'!$B$26:$AM$105,AQ$22,)="",VLOOKUP($B60,'A1.3.7'!$B$28:$H$118,6,)=""),"",VLOOKUP($B60,'A1.3.11'!$B$26:$AM$105,AQ$22,)*VLOOKUP($B60,'A1.3.7'!$B$28:$O$118,6,)))</f>
        <v/>
      </c>
      <c r="AR60" s="693">
        <f>IF(AND(AJ60="",AN60=""),"",IF(AJ60="",0,(AJ60*VLOOKUP($B60,'A1.3.9'!$B$26:$O$57,9,TRUE))) + IF(AN60="",0,(AN60*VLOOKUP($B60,'A1.3.9'!$B$26:$O$57,10,TRUE))))</f>
        <v>292.93045717076058</v>
      </c>
      <c r="AS60" s="691">
        <f>IF(AND(AK60="",AO60=""),"",IF(AK60="",0,(AK60*VLOOKUP($B60,'A1.3.9'!$B$26:$O$57,9,TRUE))) + IF(AO60="",0,(AO60*VLOOKUP($B60,'A1.3.9'!$B$26:$O$57,10,TRUE))))</f>
        <v>15.542071399075837</v>
      </c>
      <c r="AT60" s="691">
        <f>IF(AND(AL60="",AP60=""),"",IF(AL60="",0,(AL60*VLOOKUP($B60,'A1.3.9'!$B$26:$O$57,9,TRUE))) + IF(AP60="",0,(AP60*VLOOKUP($B60,'A1.3.9'!$B$26:$O$57,10,TRUE))))</f>
        <v>-0.11233819075309799</v>
      </c>
      <c r="AU60" s="2644">
        <f>IF(AND(AM60="",AQ60=""),"",IF(AM60="",0,(AM60*VLOOKUP($B60,'A1.3.9'!$B$26:$O$57,9,TRUE))) + IF(AQ60="",0,(AQ60*VLOOKUP($B60,'A1.3.9'!$B$26:$O$57,10,TRUE))))</f>
        <v>1.2269132900475494E-3</v>
      </c>
      <c r="AV60" s="693">
        <f>IF('A1.3.8'!D$32="","",IF(OR(VLOOKUP($B60,'A1.3.11'!$B$26:$AM$105,AV$22,)="",VLOOKUP($B60,'A1.3.7'!$B$28:$H$118,4,)=""),"",VLOOKUP($B60,'A1.3.11'!$B$26:$AM$105,AV$22,)*(VLOOKUP($B60,'A1.3.7'!$B$28:$O$118,4,)+VLOOKUP($B60,'A1.3.7'!$B$28:$O$118,9,))))</f>
        <v>615.5232213790739</v>
      </c>
      <c r="AW60" s="691">
        <f>IF('A1.3.8'!E$32="","",IF(OR(VLOOKUP($B60,'A1.3.11'!$B$26:$AM$105,AW$22,)="",VLOOKUP($B60,'A1.3.7'!$B$28:$H$118,4,)=""),"",VLOOKUP($B60,'A1.3.11'!$B$26:$AM$105,AW$22,)*(VLOOKUP($B60,'A1.3.7'!$B$28:$O$118,4,)+VLOOKUP($B60,'A1.3.7'!$B$28:$O$118,9,))))</f>
        <v>31.965211532822593</v>
      </c>
      <c r="AX60" s="691">
        <f>IF('A1.3.8'!F$32="","",IF(OR(VLOOKUP($B60,'A1.3.11'!$B$26:$AM$105,AX$22,)="",VLOOKUP($B60,'A1.3.7'!$B$28:$H$118,4,)=""),"",VLOOKUP($B60,'A1.3.11'!$B$26:$AM$105,AX$22,)*(VLOOKUP($B60,'A1.3.7'!$B$28:$O$118,4,)+VLOOKUP($B60,'A1.3.7'!$B$28:$O$118,9,))))</f>
        <v>-0.21178634212945149</v>
      </c>
      <c r="AY60" s="2644">
        <f>IF('A1.3.8'!G$32="","",IF(OR(VLOOKUP($B60,'A1.3.11'!$B$26:$AM$105,AY$22,)="",VLOOKUP($B60,'A1.3.7'!$B$28:$H$118,4,)=""),"",VLOOKUP($B60,'A1.3.11'!$B$26:$AM$105,AY$22,)*(VLOOKUP($B60,'A1.3.7'!$B$28:$O$118,4,)+VLOOKUP($B60,'A1.3.7'!$B$28:$O$118,9,))))</f>
        <v>1.2623346666852913E-3</v>
      </c>
      <c r="AZ60" s="693" t="str">
        <f>IF('A1.3.8'!D$39="","",IF(OR(VLOOKUP($B60,'A1.3.11'!$B$26:$AM$105,AZ$22,)="",VLOOKUP($B60,'A1.3.7'!$B$28:$H$118,6,)=""),"",VLOOKUP($B60,'A1.3.11'!$B$26:$AM$105,AZ$22,)*VLOOKUP($B60,'A1.3.7'!$B$28:$O$118,6,)))</f>
        <v/>
      </c>
      <c r="BA60" s="691" t="str">
        <f>IF('A1.3.8'!E$39="","",IF(OR(VLOOKUP($B60,'A1.3.11'!$B$26:$AM$105,BA$22,)="",VLOOKUP($B60,'A1.3.7'!$B$28:$H$118,6,)=""),"",VLOOKUP($B60,'A1.3.11'!$B$26:$AM$105,BA$22,)*VLOOKUP($B60,'A1.3.7'!$B$28:$O$118,6,)))</f>
        <v/>
      </c>
      <c r="BB60" s="691" t="str">
        <f>IF('A1.3.8'!F$39="","",IF(OR(VLOOKUP($B60,'A1.3.11'!$B$26:$AM$105,BB$22,)="",VLOOKUP($B60,'A1.3.7'!$B$28:$H$118,6,)=""),"",VLOOKUP($B60,'A1.3.11'!$B$26:$AM$105,BB$22,)*VLOOKUP($B60,'A1.3.7'!$B$28:$O$118,6,)))</f>
        <v/>
      </c>
      <c r="BC60" s="1664" t="str">
        <f>IF('A1.3.8'!G$39="","",IF(OR(VLOOKUP($B60,'A1.3.11'!$B$26:$AM$105,BC$22,)="",VLOOKUP($B60,'A1.3.7'!$B$28:$H$118,6,)=""),"",VLOOKUP($B60,'A1.3.11'!$B$26:$AM$105,BC$22,)*VLOOKUP($B60,'A1.3.7'!$B$28:$O$118,6,)))</f>
        <v/>
      </c>
      <c r="BD60" s="693">
        <f>IF(AND(AV60="",AZ60=""),"",IF(AV60="",0,(AV60*VLOOKUP($B60,'A1.3.9'!$B$26:$O$57,9,TRUE))) + IF(AZ60="",0,(AZ60*VLOOKUP($B60,'A1.3.9'!$B$26:$O$57,10,TRUE))))</f>
        <v>615.5232213790739</v>
      </c>
      <c r="BE60" s="691">
        <f>IF(AND(AW60="",BA60=""),"",IF(AW60="",0,(AW60*VLOOKUP($B60,'A1.3.9'!$B$26:$O$57,9,TRUE))) + IF(BA60="",0,(BA60*VLOOKUP($B60,'A1.3.9'!$B$26:$O$57,10,TRUE))))</f>
        <v>31.965211532822593</v>
      </c>
      <c r="BF60" s="691">
        <f>IF(AND(AX60="",BB60=""),"",IF(AX60="",0,(AX60*VLOOKUP($B60,'A1.3.9'!$B$26:$O$57,9,TRUE))) + IF(BB60="",0,(BB60*VLOOKUP($B60,'A1.3.9'!$B$26:$O$57,10,TRUE))))</f>
        <v>-0.21178634212945149</v>
      </c>
      <c r="BG60" s="2644">
        <f>IF(AND(AY60="",BC60=""),"",IF(AY60="",0,(AY60*VLOOKUP($B60,'A1.3.9'!$B$26:$O$57,9,TRUE))) + IF(BC60="",0,(BC60*VLOOKUP($B60,'A1.3.9'!$B$26:$O$57,10,TRUE))))</f>
        <v>1.2623346666852913E-3</v>
      </c>
      <c r="BH60" s="693">
        <f>IF('A1.3.8'!D$33="","",IF(OR(VLOOKUP($B60,'A1.3.11'!$B$26:$AM$105,BH$22,)="",VLOOKUP($B60,'A1.3.7'!$B$28:$H$118,4,)=""),"",VLOOKUP($B60,'A1.3.11'!$B$26:$AM$105,BH$22,)*(VLOOKUP($B60,'A1.3.7'!$B$28:$O$118,4,)+VLOOKUP($B60,'A1.3.7'!$B$28:$O$118,9,))))</f>
        <v>365.05828079406956</v>
      </c>
      <c r="BI60" s="691">
        <f>IF('A1.3.8'!E$33="","",IF(OR(VLOOKUP($B60,'A1.3.11'!$B$26:$AM$105,BI$22,)="",VLOOKUP($B60,'A1.3.7'!$B$28:$H$118,4,)=""),"",VLOOKUP($B60,'A1.3.11'!$B$26:$AM$105,BI$22,)*(VLOOKUP($B60,'A1.3.7'!$B$28:$O$118,4,)+VLOOKUP($B60,'A1.3.7'!$B$28:$O$118,9,))))</f>
        <v>32.076557980910614</v>
      </c>
      <c r="BJ60" s="691">
        <f>IF('A1.3.8'!F$33="","",IF(OR(VLOOKUP($B60,'A1.3.11'!$B$26:$AM$105,BJ$22,)="",VLOOKUP($B60,'A1.3.7'!$B$28:$H$118,4,)=""),"",VLOOKUP($B60,'A1.3.11'!$B$26:$AM$105,BJ$22,)*(VLOOKUP($B60,'A1.3.7'!$B$28:$O$118,4,)+VLOOKUP($B60,'A1.3.7'!$B$28:$O$118,9,))))</f>
        <v>-0.34864359565176772</v>
      </c>
      <c r="BK60" s="2644">
        <f>IF('A1.3.8'!G$33="","",IF(OR(VLOOKUP($B60,'A1.3.11'!$B$26:$AM$105,BK$22,)="",VLOOKUP($B60,'A1.3.7'!$B$28:$H$118,4,)=""),"",VLOOKUP($B60,'A1.3.11'!$B$26:$AM$105,BK$22,)*(VLOOKUP($B60,'A1.3.7'!$B$28:$O$118,4,)+VLOOKUP($B60,'A1.3.7'!$B$28:$O$118,9,))))</f>
        <v>2.5574432822947895E-3</v>
      </c>
      <c r="BL60" s="693" t="str">
        <f>IF('A1.3.8'!D$40="","",IF(OR(VLOOKUP($B60,'A1.3.11'!$B$26:$AM$105,BL$22,)="",VLOOKUP($B60,'A1.3.7'!$B$28:$H$118,6,)=""),"",VLOOKUP($B60,'A1.3.11'!$B$26:$AM$105,BL$22,)*VLOOKUP($B60,'A1.3.7'!$B$28:$O$118,6,)))</f>
        <v/>
      </c>
      <c r="BM60" s="691" t="str">
        <f>IF('A1.3.8'!E$40="","",IF(OR(VLOOKUP($B60,'A1.3.11'!$B$26:$AM$105,BM$22,)="",VLOOKUP($B60,'A1.3.7'!$B$28:$H$118,6,)=""),"",VLOOKUP($B60,'A1.3.11'!$B$26:$AM$105,BM$22,)*VLOOKUP($B60,'A1.3.7'!$B$28:$O$118,6,)))</f>
        <v/>
      </c>
      <c r="BN60" s="691" t="str">
        <f>IF('A1.3.8'!F$40="","",IF(OR(VLOOKUP($B60,'A1.3.11'!$B$26:$AM$105,BN$22,)="",VLOOKUP($B60,'A1.3.7'!$B$28:$H$118,6,)=""),"",VLOOKUP($B60,'A1.3.11'!$B$26:$AM$105,BN$22,)*VLOOKUP($B60,'A1.3.7'!$B$28:$O$118,6,)))</f>
        <v/>
      </c>
      <c r="BO60" s="1664" t="str">
        <f>IF('A1.3.8'!G$40="","",IF(OR(VLOOKUP($B60,'A1.3.11'!$B$26:$AM$105,BO$22,)="",VLOOKUP($B60,'A1.3.7'!$B$28:$H$118,6,)=""),"",VLOOKUP($B60,'A1.3.11'!$B$26:$AM$105,BO$22,)*VLOOKUP($B60,'A1.3.7'!$B$28:$O$118,6,)))</f>
        <v/>
      </c>
      <c r="BP60" s="693">
        <f>IF(AND(BH60="",BL60=""),"",IF(BH60="",0,(BH60*VLOOKUP($B60,'A1.3.9'!$B$26:$O$57,9,TRUE))) + IF(BL60="",0,(BL60*VLOOKUP($B60,'A1.3.9'!$B$26:$O$57,10,TRUE))))</f>
        <v>365.05828079406956</v>
      </c>
      <c r="BQ60" s="691">
        <f>IF(AND(BI60="",BM60=""),"",IF(BI60="",0,(BI60*VLOOKUP($B60,'A1.3.9'!$B$26:$O$57,9,TRUE))) + IF(BM60="",0,(BM60*VLOOKUP($B60,'A1.3.9'!$B$26:$O$57,10,TRUE))))</f>
        <v>32.076557980910614</v>
      </c>
      <c r="BR60" s="691">
        <f>IF(AND(BJ60="",BN60=""),"",IF(BJ60="",0,(BJ60*VLOOKUP($B60,'A1.3.9'!$B$26:$O$57,9,TRUE))) + IF(BN60="",0,(BN60*VLOOKUP($B60,'A1.3.9'!$B$26:$O$57,10,TRUE))))</f>
        <v>-0.34864359565176772</v>
      </c>
      <c r="BS60" s="2644">
        <f>IF(AND(BK60="",BO60=""),"",IF(BK60="",0,(BK60*VLOOKUP($B60,'A1.3.9'!$B$26:$O$57,9,TRUE))) + IF(BO60="",0,(BO60*VLOOKUP($B60,'A1.3.9'!$B$26:$O$57,10,TRUE))))</f>
        <v>2.5574432822947895E-3</v>
      </c>
    </row>
    <row r="61" spans="1:71" s="26" customFormat="1" ht="13.5" customHeight="1">
      <c r="A61" s="113"/>
      <c r="B61" s="614">
        <f t="shared" si="0"/>
        <v>2044</v>
      </c>
      <c r="C61" s="147"/>
      <c r="D61" s="693">
        <f>IF('A1.3.8'!D$27="","",IF(OR(VLOOKUP($B61,'A1.3.11'!$B$26:$AM$105,D$22,)="",VLOOKUP($B61,'A1.3.7'!$B$28:$H$118,3,)=""),"",VLOOKUP($B61,'A1.3.11'!$B$26:$AM$105,D$22,)*(VLOOKUP($B61,'A1.3.7'!$B$28:$O$118,3,)+VLOOKUP($B61,'A1.3.7'!$B$28:$O$118,8,))))</f>
        <v>34.188695328184821</v>
      </c>
      <c r="E61" s="691">
        <f>IF('A1.3.8'!E$27="","",IF(OR(VLOOKUP($B61,'A1.3.11'!$B$26:$AM$105,E$22,)="",VLOOKUP($B61,'A1.3.7'!$B$28:$H$118,3,)=""),"",VLOOKUP($B61,'A1.3.11'!$B$26:$AM$105,E$22,)*(VLOOKUP($B61,'A1.3.7'!$B$28:$O$118,3,)+VLOOKUP($B61,'A1.3.7'!$B$28:$O$118,8,))))</f>
        <v>7.2656523289279829</v>
      </c>
      <c r="F61" s="691">
        <f>IF('A1.3.8'!F$27="","",IF(OR(VLOOKUP($B61,'A1.3.11'!$B$26:$AM$105,F$22,)="",VLOOKUP($B61,'A1.3.7'!$B$28:$H$118,3,)=""),"",VLOOKUP($B61,'A1.3.11'!$B$26:$AM$105,F$22,)*(VLOOKUP($B61,'A1.3.7'!$B$28:$O$118,3,)+VLOOKUP($B61,'A1.3.7'!$B$28:$O$118,8,))))</f>
        <v>-8.2764396259635525E-2</v>
      </c>
      <c r="G61" s="2644">
        <f>IF('A1.3.8'!G$27="","",IF(OR(VLOOKUP($B61,'A1.3.11'!$B$26:$AM$105,G$22,)="",VLOOKUP($B61,'A1.3.7'!$B$28:$H$118,3,)=""),"",VLOOKUP($B61,'A1.3.11'!$B$26:$AM$105,G$22,)*(VLOOKUP($B61,'A1.3.7'!$B$28:$O$118,3,)+VLOOKUP($B61,'A1.3.7'!$B$28:$O$118,8,))))</f>
        <v>5.4814193709200483E-4</v>
      </c>
      <c r="H61" s="693">
        <f>IF('A1.3.8'!D$28="","",IF(OR(VLOOKUP($B61,'A1.3.11'!$B$26:$AM$105,H$22,)="",VLOOKUP($B61,'A1.3.7'!$B$28:$H$118,4,)=""),"",VLOOKUP($B61,'A1.3.11'!$B$26:$AM$105,H$22,)*(VLOOKUP($B61,'A1.3.7'!$B$28:$O$118,4,)+VLOOKUP($B61,'A1.3.7'!$B$28:$O$118,9,))))</f>
        <v>42.239982400087555</v>
      </c>
      <c r="I61" s="691">
        <f>IF('A1.3.8'!E$28="","",IF(OR(VLOOKUP($B61,'A1.3.11'!$B$26:$AM$105,I$22,)="",VLOOKUP($B61,'A1.3.7'!$B$28:$H$118,4,)=""),"",VLOOKUP($B61,'A1.3.11'!$B$26:$AM$105,I$22,)*(VLOOKUP($B61,'A1.3.7'!$B$28:$O$118,4,)+VLOOKUP($B61,'A1.3.7'!$B$28:$O$118,9,))))</f>
        <v>6.0561688825954239</v>
      </c>
      <c r="J61" s="691">
        <f>IF('A1.3.8'!F$28="","",IF(OR(VLOOKUP($B61,'A1.3.11'!$B$26:$AM$105,J$22,)="",VLOOKUP($B61,'A1.3.7'!$B$28:$H$118,4,)=""),"",VLOOKUP($B61,'A1.3.11'!$B$26:$AM$105,J$22,)*(VLOOKUP($B61,'A1.3.7'!$B$28:$O$118,4,)+VLOOKUP($B61,'A1.3.7'!$B$28:$O$118,9,))))</f>
        <v>-5.8262031782174963E-2</v>
      </c>
      <c r="K61" s="2644">
        <f>IF('A1.3.8'!G$28="","",IF(OR(VLOOKUP($B61,'A1.3.11'!$B$26:$AM$105,K$22,)="",VLOOKUP($B61,'A1.3.7'!$B$28:$H$118,4,)=""),"",VLOOKUP($B61,'A1.3.11'!$B$26:$AM$105,K$22,)*(VLOOKUP($B61,'A1.3.7'!$B$28:$O$118,4,)+VLOOKUP($B61,'A1.3.7'!$B$28:$O$118,9,))))</f>
        <v>4.5910773349329078E-4</v>
      </c>
      <c r="L61" s="693" t="str">
        <f>IF('A1.3.8'!D$36="","",IF(OR(VLOOKUP($B61,'A1.3.11'!$B$26:$AM$105,L$22,)="",VLOOKUP($B61,'A1.3.7'!$B$28:$H$118,6,)=""),"",VLOOKUP($B61,'A1.3.11'!$B$26:$AM$105,L$22,)*VLOOKUP($B61,'A1.3.7'!$B$28:$O$118,6,)))</f>
        <v/>
      </c>
      <c r="M61" s="691">
        <f>IF('A1.3.8'!E$36="","",IF(OR(VLOOKUP($B61,'A1.3.11'!$B$26:$AM$105,M$22,)="",VLOOKUP($B61,'A1.3.7'!$B$28:$H$118,6,)=""),"",VLOOKUP($B61,'A1.3.11'!$B$26:$AM$105,M$22,)*VLOOKUP($B61,'A1.3.7'!$B$28:$O$118,6,)))</f>
        <v>1.9637608285706969</v>
      </c>
      <c r="N61" s="691" t="str">
        <f>IF('A1.3.8'!F$36="","",IF(OR(VLOOKUP($B61,'A1.3.11'!$B$26:$AM$105,N$22,)="",VLOOKUP($B61,'A1.3.7'!$B$28:$H$118,6,)=""),"",VLOOKUP($B61,'A1.3.11'!$B$26:$AM$105,N$22,)*VLOOKUP($B61,'A1.3.7'!$B$28:$O$118,6,)))</f>
        <v/>
      </c>
      <c r="O61" s="1664" t="str">
        <f>IF('A1.3.8'!G$36="","",IF(OR(VLOOKUP($B61,'A1.3.11'!$B$26:$AM$105,O$22,)="",VLOOKUP($B61,'A1.3.7'!$B$28:$H$118,6,)=""),"",VLOOKUP($B61,'A1.3.11'!$B$26:$AM$105,O$22,)*VLOOKUP($B61,'A1.3.7'!$B$28:$O$118,6,)))</f>
        <v/>
      </c>
      <c r="P61" s="693">
        <f>IF(AND(D61="",H61="",L61=""),"",IF(D61="",0,(D61*VLOOKUP($B61,'A1.3.9'!$B$26:$O$57,3,TRUE)))+IF(H61="",0,(H61*VLOOKUP($B61,'A1.3.9'!$B$26:$O$57,4,TRUE)))+IF(L61="",0,(L61*VLOOKUP($B61,'A1.3.9'!$B$26:$O$57,5,TRUE))))</f>
        <v>28.384543471395141</v>
      </c>
      <c r="Q61" s="691">
        <f>IF(AND(E61="",I61="",M61=""),"",IF(E61="",0,(E61*VLOOKUP($B61,'A1.3.9'!$B$26:$O$57,3,TRUE)))+IF(I61="",0,(I61*VLOOKUP($B61,'A1.3.9'!$B$26:$O$57,4,TRUE)))+IF(M61="",0,(M61*VLOOKUP($B61,'A1.3.9'!$B$26:$O$57,5,TRUE))))</f>
        <v>5.6070734821108932</v>
      </c>
      <c r="R61" s="691">
        <f>IF(AND(F61="",J61="",N61=""),"",IF(F61="",0,(F61*VLOOKUP($B61,'A1.3.9'!$B$26:$O$57,3,TRUE)))+IF(J61="",0,(J61*VLOOKUP($B61,'A1.3.9'!$B$26:$O$57,4,TRUE)))+IF(N61="",0,(N61*VLOOKUP($B61,'A1.3.9'!$B$26:$O$57,5,TRUE))))</f>
        <v>-5.5138635584433507E-2</v>
      </c>
      <c r="S61" s="2644">
        <f>IF(AND(G61="",K61="",O61=""),"",IF(G61="",0,(G61*VLOOKUP($B61,'A1.3.9'!$B$26:$O$57,3,TRUE)))+IF(K61="",0,(K61*VLOOKUP($B61,'A1.3.9'!$B$26:$O$57,4,TRUE)))+IF(O61="",0,(O61*VLOOKUP($B61,'A1.3.9'!$B$26:$O$57,5,TRUE))))</f>
        <v>3.8777946274331707E-4</v>
      </c>
      <c r="T61" s="693">
        <f>IF('A1.3.8'!D$29="","",IF(OR(VLOOKUP($B61,'A1.3.11'!$B$26:$AM$105,T$22,)="",VLOOKUP($B61,'A1.3.7'!$B$28:$H$118,3,)=""),"",VLOOKUP($B61,'A1.3.11'!$B$26:$AM$105,T$22,)*(VLOOKUP($B61,'A1.3.7'!$B$28:$O$118,3,)+VLOOKUP($B61,'A1.3.7'!$B$28:$O$118,8,))))</f>
        <v>24.593059156096682</v>
      </c>
      <c r="U61" s="691">
        <f>IF('A1.3.8'!E$29="","",IF(OR(VLOOKUP($B61,'A1.3.11'!$B$26:$AM$105,U$22,)="",VLOOKUP($B61,'A1.3.7'!$B$28:$H$118,3,)=""),"",VLOOKUP($B61,'A1.3.11'!$B$26:$AM$105,U$22,)*(VLOOKUP($B61,'A1.3.7'!$B$28:$O$118,3,)+VLOOKUP($B61,'A1.3.7'!$B$28:$O$118,8,))))</f>
        <v>13.790363970746057</v>
      </c>
      <c r="V61" s="691">
        <f>IF('A1.3.8'!F$29="","",IF(OR(VLOOKUP($B61,'A1.3.11'!$B$26:$AM$105,V$22,)="",VLOOKUP($B61,'A1.3.7'!$B$28:$H$118,3,)=""),"",VLOOKUP($B61,'A1.3.11'!$B$26:$AM$105,V$22,)*(VLOOKUP($B61,'A1.3.7'!$B$28:$O$118,3,)+VLOOKUP($B61,'A1.3.7'!$B$28:$O$118,8,))))</f>
        <v>-0.21646344892497899</v>
      </c>
      <c r="W61" s="2644">
        <f>IF('A1.3.8'!G$29="","",IF(OR(VLOOKUP($B61,'A1.3.11'!$B$26:$AM$105,W$22,)="",VLOOKUP($B61,'A1.3.7'!$B$28:$H$118,3,)=""),"",VLOOKUP($B61,'A1.3.11'!$B$26:$AM$105,W$22,)*(VLOOKUP($B61,'A1.3.7'!$B$28:$O$118,3,)+VLOOKUP($B61,'A1.3.7'!$B$28:$O$118,8,))))</f>
        <v>1.3979290429033656E-3</v>
      </c>
      <c r="X61" s="693">
        <f>IF('A1.3.8'!D$30="","",IF(OR(VLOOKUP($B61,'A1.3.11'!$B$26:$AM$105,X$22,)="",VLOOKUP($B61,'A1.3.7'!$B$28:$H$118,4,)=""),"",VLOOKUP($B61,'A1.3.11'!$B$26:$AM$105,X$22,)*(VLOOKUP($B61,'A1.3.7'!$B$28:$O$118,4,)+VLOOKUP($B61,'A1.3.7'!$B$28:$O$118,9,))))</f>
        <v>43.503083857430425</v>
      </c>
      <c r="Y61" s="691">
        <f>IF('A1.3.8'!E$30="","",IF(OR(VLOOKUP($B61,'A1.3.11'!$B$26:$AM$105,Y$22,)="",VLOOKUP($B61,'A1.3.7'!$B$28:$H$118,4,)=""),"",VLOOKUP($B61,'A1.3.11'!$B$26:$AM$105,Y$22,)*(VLOOKUP($B61,'A1.3.7'!$B$28:$O$118,4,)+VLOOKUP($B61,'A1.3.7'!$B$28:$O$118,9,))))</f>
        <v>10.632330984253866</v>
      </c>
      <c r="Z61" s="691">
        <f>IF('A1.3.8'!F$30="","",IF(OR(VLOOKUP($B61,'A1.3.11'!$B$26:$AM$105,Z$22,)="",VLOOKUP($B61,'A1.3.7'!$B$28:$H$118,4,)=""),"",VLOOKUP($B61,'A1.3.11'!$B$26:$AM$105,Z$22,)*(VLOOKUP($B61,'A1.3.7'!$B$28:$O$118,4,)+VLOOKUP($B61,'A1.3.7'!$B$28:$O$118,9,))))</f>
        <v>-0.15339069810327244</v>
      </c>
      <c r="AA61" s="2644">
        <f>IF('A1.3.8'!G$30="","",IF(OR(VLOOKUP($B61,'A1.3.11'!$B$26:$AM$105,AA$22,)="",VLOOKUP($B61,'A1.3.7'!$B$28:$H$118,4,)=""),"",VLOOKUP($B61,'A1.3.11'!$B$26:$AM$105,AA$22,)*(VLOOKUP($B61,'A1.3.7'!$B$28:$O$118,4,)+VLOOKUP($B61,'A1.3.7'!$B$28:$O$118,9,))))</f>
        <v>1.2986109984381381E-3</v>
      </c>
      <c r="AB61" s="693" t="str">
        <f>IF('A1.3.8'!D$37="","",IF(OR(VLOOKUP($B61,'A1.3.11'!$B$26:$AM$105,AB$22,)="",VLOOKUP($B61,'A1.3.7'!$B$28:$H$118,6,)=""),"",VLOOKUP($B61,'A1.3.11'!$B$26:$AM$105,AB$22,)*VLOOKUP($B61,'A1.3.7'!$B$28:$O$118,6,)))</f>
        <v/>
      </c>
      <c r="AC61" s="691">
        <f>IF('A1.3.8'!E$37="","",IF(OR(VLOOKUP($B61,'A1.3.11'!$B$26:$AM$105,AC$22,)="",VLOOKUP($B61,'A1.3.7'!$B$28:$H$118,6,)=""),"",VLOOKUP($B61,'A1.3.11'!$B$26:$AM$105,AC$22,)*VLOOKUP($B61,'A1.3.7'!$B$28:$O$118,6,)))</f>
        <v>4.5145632825273854</v>
      </c>
      <c r="AD61" s="691" t="str">
        <f>IF('A1.3.8'!F$37="","",IF(OR(VLOOKUP($B61,'A1.3.11'!$B$26:$AM$105,AD$22,)="",VLOOKUP($B61,'A1.3.7'!$B$28:$H$118,6,)=""),"",VLOOKUP($B61,'A1.3.11'!$B$26:$AM$105,AD$22,)*VLOOKUP($B61,'A1.3.7'!$B$28:$O$118,6,)))</f>
        <v/>
      </c>
      <c r="AE61" s="1664" t="str">
        <f>IF('A1.3.8'!G$37="","",IF(OR(VLOOKUP($B61,'A1.3.11'!$B$26:$AM$105,AE$22,)="",VLOOKUP($B61,'A1.3.7'!$B$28:$H$118,6,)=""),"",VLOOKUP($B61,'A1.3.11'!$B$26:$AM$105,AE$22,)*VLOOKUP($B61,'A1.3.7'!$B$28:$O$118,6,)))</f>
        <v/>
      </c>
      <c r="AF61" s="693">
        <f>IF(AND(T61="",X61="",AB61=""),"",IF(T61="",0,(T61*VLOOKUP('A1.3.12'!$B61,'A1.3.9'!$B$26:$O$57,6,TRUE))) + IF(X61="",0,(X61*VLOOKUP('A1.3.12'!$B61,'A1.3.9'!$B$26:$O$57,7,TRUE))) + IF(AB61="",0,(AB61*VLOOKUP('A1.3.12'!$B61,'A1.3.9'!$B$26:$O$57,8,TRUE))))</f>
        <v>38.599558252404485</v>
      </c>
      <c r="AG61" s="691">
        <f>IF(AND(U61="",Y61="",AC61=""),"",IF(U61="",0,(U61*VLOOKUP('A1.3.12'!$B61,'A1.3.9'!$B$26:$O$57,6,TRUE))) + IF(Y61="",0,(Y61*VLOOKUP('A1.3.12'!$B61,'A1.3.9'!$B$26:$O$57,7,TRUE))) + IF(AC61="",0,(AC61*VLOOKUP('A1.3.12'!$B61,'A1.3.9'!$B$26:$O$57,8,TRUE))))</f>
        <v>9.9868594107800597</v>
      </c>
      <c r="AH61" s="691">
        <f>IF(AND(V61="",Z61="",AD61=""),"",IF(V61="",0,(V61*VLOOKUP('A1.3.12'!$B61,'A1.3.9'!$B$26:$O$57,6,TRUE))) + IF(Z61="",0,(Z61*VLOOKUP('A1.3.12'!$B61,'A1.3.9'!$B$26:$O$57,7,TRUE))) + IF(AD61="",0,(AD61*VLOOKUP('A1.3.12'!$B61,'A1.3.9'!$B$26:$O$57,8,TRUE))))</f>
        <v>-0.13708467405991434</v>
      </c>
      <c r="AI61" s="2644">
        <f>IF(AND(W61="",AA61="",AE61=""),"",IF(W61="",0,(W61*VLOOKUP('A1.3.12'!$B61,'A1.3.9'!$B$26:$O$57,6,TRUE))) + IF(AA61="",0,(AA61*VLOOKUP('A1.3.12'!$B61,'A1.3.9'!$B$26:$O$57,7,TRUE))) + IF(AE61="",0,(AE61*VLOOKUP('A1.3.12'!$B61,'A1.3.9'!$B$26:$O$57,8,TRUE))))</f>
        <v>1.1572683278956218E-3</v>
      </c>
      <c r="AJ61" s="693">
        <f>IF('A1.3.8'!D$31="","",IF(OR(VLOOKUP($B61,'A1.3.11'!$B$26:$AM$105,AJ$22,)="",VLOOKUP($B61,'A1.3.7'!$B$28:$H$118,4,)=""),"",VLOOKUP($B61,'A1.3.11'!$B$26:$AM$105,AJ$22,)*(VLOOKUP($B61,'A1.3.7'!$B$28:$O$118,4,)+VLOOKUP($B61,'A1.3.7'!$B$28:$O$118,9,))))</f>
        <v>294.07922823901276</v>
      </c>
      <c r="AK61" s="691">
        <f>IF('A1.3.8'!E$31="","",IF(OR(VLOOKUP($B61,'A1.3.11'!$B$26:$AM$105,AK$22,)="",VLOOKUP($B61,'A1.3.7'!$B$28:$H$118,4,)=""),"",VLOOKUP($B61,'A1.3.11'!$B$26:$AM$105,AK$22,)*(VLOOKUP($B61,'A1.3.7'!$B$28:$O$118,4,)+VLOOKUP($B61,'A1.3.7'!$B$28:$O$118,9,))))</f>
        <v>15.603021981464613</v>
      </c>
      <c r="AL61" s="691">
        <f>IF('A1.3.8'!F$31="","",IF(OR(VLOOKUP($B61,'A1.3.11'!$B$26:$AM$105,AL$22,)="",VLOOKUP($B61,'A1.3.7'!$B$28:$H$118,4,)=""),"",VLOOKUP($B61,'A1.3.11'!$B$26:$AM$105,AL$22,)*(VLOOKUP($B61,'A1.3.7'!$B$28:$O$118,4,)+VLOOKUP($B61,'A1.3.7'!$B$28:$O$118,9,))))</f>
        <v>-0.11277874194959488</v>
      </c>
      <c r="AM61" s="2644">
        <f>IF('A1.3.8'!G$31="","",IF(OR(VLOOKUP($B61,'A1.3.11'!$B$26:$AM$105,AM$22,)="",VLOOKUP($B61,'A1.3.7'!$B$28:$H$118,4,)=""),"",VLOOKUP($B61,'A1.3.11'!$B$26:$AM$105,AM$22,)*(VLOOKUP($B61,'A1.3.7'!$B$28:$O$118,4,)+VLOOKUP($B61,'A1.3.7'!$B$28:$O$118,9,))))</f>
        <v>1.2317248159792456E-3</v>
      </c>
      <c r="AN61" s="693" t="str">
        <f>IF('A1.3.8'!D$38="","",IF(OR(VLOOKUP($B61,'A1.3.11'!$B$26:$AM$105,AN$22,)="",VLOOKUP($B61,'A1.3.7'!$B$28:$H$118,6,)=""),"",VLOOKUP($B61,'A1.3.11'!$B$26:$AM$105,AN$22,)*VLOOKUP($B61,'A1.3.7'!$B$28:$O$118,6,)))</f>
        <v/>
      </c>
      <c r="AO61" s="691" t="str">
        <f>IF('A1.3.8'!E$38="","",IF(OR(VLOOKUP($B61,'A1.3.11'!$B$26:$AM$105,AO$22,)="",VLOOKUP($B61,'A1.3.7'!$B$28:$H$118,6,)=""),"",VLOOKUP($B61,'A1.3.11'!$B$26:$AM$105,AO$22,)*VLOOKUP($B61,'A1.3.7'!$B$28:$O$118,6,)))</f>
        <v/>
      </c>
      <c r="AP61" s="691" t="str">
        <f>IF('A1.3.8'!F$38="","",IF(OR(VLOOKUP($B61,'A1.3.11'!$B$26:$AM$105,AP$22,)="",VLOOKUP($B61,'A1.3.7'!$B$28:$H$118,6,)=""),"",VLOOKUP($B61,'A1.3.11'!$B$26:$AM$105,AP$22,)*VLOOKUP($B61,'A1.3.7'!$B$28:$O$118,6,)))</f>
        <v/>
      </c>
      <c r="AQ61" s="1664" t="str">
        <f>IF('A1.3.8'!G$38="","",IF(OR(VLOOKUP($B61,'A1.3.11'!$B$26:$AM$105,AQ$22,)="",VLOOKUP($B61,'A1.3.7'!$B$28:$H$118,6,)=""),"",VLOOKUP($B61,'A1.3.11'!$B$26:$AM$105,AQ$22,)*VLOOKUP($B61,'A1.3.7'!$B$28:$O$118,6,)))</f>
        <v/>
      </c>
      <c r="AR61" s="693">
        <f>IF(AND(AJ61="",AN61=""),"",IF(AJ61="",0,(AJ61*VLOOKUP($B61,'A1.3.9'!$B$26:$O$57,9,TRUE))) + IF(AN61="",0,(AN61*VLOOKUP($B61,'A1.3.9'!$B$26:$O$57,10,TRUE))))</f>
        <v>294.07922823901276</v>
      </c>
      <c r="AS61" s="691">
        <f>IF(AND(AK61="",AO61=""),"",IF(AK61="",0,(AK61*VLOOKUP($B61,'A1.3.9'!$B$26:$O$57,9,TRUE))) + IF(AO61="",0,(AO61*VLOOKUP($B61,'A1.3.9'!$B$26:$O$57,10,TRUE))))</f>
        <v>15.603021981464613</v>
      </c>
      <c r="AT61" s="691">
        <f>IF(AND(AL61="",AP61=""),"",IF(AL61="",0,(AL61*VLOOKUP($B61,'A1.3.9'!$B$26:$O$57,9,TRUE))) + IF(AP61="",0,(AP61*VLOOKUP($B61,'A1.3.9'!$B$26:$O$57,10,TRUE))))</f>
        <v>-0.11277874194959488</v>
      </c>
      <c r="AU61" s="2644">
        <f>IF(AND(AM61="",AQ61=""),"",IF(AM61="",0,(AM61*VLOOKUP($B61,'A1.3.9'!$B$26:$O$57,9,TRUE))) + IF(AQ61="",0,(AQ61*VLOOKUP($B61,'A1.3.9'!$B$26:$O$57,10,TRUE))))</f>
        <v>1.2317248159792456E-3</v>
      </c>
      <c r="AV61" s="693">
        <f>IF('A1.3.8'!D$32="","",IF(OR(VLOOKUP($B61,'A1.3.11'!$B$26:$AM$105,AV$22,)="",VLOOKUP($B61,'A1.3.7'!$B$28:$H$118,4,)=""),"",VLOOKUP($B61,'A1.3.11'!$B$26:$AM$105,AV$22,)*(VLOOKUP($B61,'A1.3.7'!$B$28:$O$118,4,)+VLOOKUP($B61,'A1.3.7'!$B$28:$O$118,9,))))</f>
        <v>617.93708873649064</v>
      </c>
      <c r="AW61" s="691">
        <f>IF('A1.3.8'!E$32="","",IF(OR(VLOOKUP($B61,'A1.3.11'!$B$26:$AM$105,AW$22,)="",VLOOKUP($B61,'A1.3.7'!$B$28:$H$118,4,)=""),"",VLOOKUP($B61,'A1.3.11'!$B$26:$AM$105,AW$22,)*(VLOOKUP($B61,'A1.3.7'!$B$28:$O$118,4,)+VLOOKUP($B61,'A1.3.7'!$B$28:$O$118,9,))))</f>
        <v>32.090567941828787</v>
      </c>
      <c r="AX61" s="691">
        <f>IF('A1.3.8'!F$32="","",IF(OR(VLOOKUP($B61,'A1.3.11'!$B$26:$AM$105,AX$22,)="",VLOOKUP($B61,'A1.3.7'!$B$28:$H$118,4,)=""),"",VLOOKUP($B61,'A1.3.11'!$B$26:$AM$105,AX$22,)*(VLOOKUP($B61,'A1.3.7'!$B$28:$O$118,4,)+VLOOKUP($B61,'A1.3.7'!$B$28:$O$118,9,))))</f>
        <v>-0.21261689428452307</v>
      </c>
      <c r="AY61" s="2644">
        <f>IF('A1.3.8'!G$32="","",IF(OR(VLOOKUP($B61,'A1.3.11'!$B$26:$AM$105,AY$22,)="",VLOOKUP($B61,'A1.3.7'!$B$28:$H$118,4,)=""),"",VLOOKUP($B61,'A1.3.11'!$B$26:$AM$105,AY$22,)*(VLOOKUP($B61,'A1.3.7'!$B$28:$O$118,4,)+VLOOKUP($B61,'A1.3.7'!$B$28:$O$118,9,))))</f>
        <v>1.2672851028998995E-3</v>
      </c>
      <c r="AZ61" s="693" t="str">
        <f>IF('A1.3.8'!D$39="","",IF(OR(VLOOKUP($B61,'A1.3.11'!$B$26:$AM$105,AZ$22,)="",VLOOKUP($B61,'A1.3.7'!$B$28:$H$118,6,)=""),"",VLOOKUP($B61,'A1.3.11'!$B$26:$AM$105,AZ$22,)*VLOOKUP($B61,'A1.3.7'!$B$28:$O$118,6,)))</f>
        <v/>
      </c>
      <c r="BA61" s="691" t="str">
        <f>IF('A1.3.8'!E$39="","",IF(OR(VLOOKUP($B61,'A1.3.11'!$B$26:$AM$105,BA$22,)="",VLOOKUP($B61,'A1.3.7'!$B$28:$H$118,6,)=""),"",VLOOKUP($B61,'A1.3.11'!$B$26:$AM$105,BA$22,)*VLOOKUP($B61,'A1.3.7'!$B$28:$O$118,6,)))</f>
        <v/>
      </c>
      <c r="BB61" s="691" t="str">
        <f>IF('A1.3.8'!F$39="","",IF(OR(VLOOKUP($B61,'A1.3.11'!$B$26:$AM$105,BB$22,)="",VLOOKUP($B61,'A1.3.7'!$B$28:$H$118,6,)=""),"",VLOOKUP($B61,'A1.3.11'!$B$26:$AM$105,BB$22,)*VLOOKUP($B61,'A1.3.7'!$B$28:$O$118,6,)))</f>
        <v/>
      </c>
      <c r="BC61" s="1664" t="str">
        <f>IF('A1.3.8'!G$39="","",IF(OR(VLOOKUP($B61,'A1.3.11'!$B$26:$AM$105,BC$22,)="",VLOOKUP($B61,'A1.3.7'!$B$28:$H$118,6,)=""),"",VLOOKUP($B61,'A1.3.11'!$B$26:$AM$105,BC$22,)*VLOOKUP($B61,'A1.3.7'!$B$28:$O$118,6,)))</f>
        <v/>
      </c>
      <c r="BD61" s="693">
        <f>IF(AND(AV61="",AZ61=""),"",IF(AV61="",0,(AV61*VLOOKUP($B61,'A1.3.9'!$B$26:$O$57,9,TRUE))) + IF(AZ61="",0,(AZ61*VLOOKUP($B61,'A1.3.9'!$B$26:$O$57,10,TRUE))))</f>
        <v>617.93708873649064</v>
      </c>
      <c r="BE61" s="691">
        <f>IF(AND(AW61="",BA61=""),"",IF(AW61="",0,(AW61*VLOOKUP($B61,'A1.3.9'!$B$26:$O$57,9,TRUE))) + IF(BA61="",0,(BA61*VLOOKUP($B61,'A1.3.9'!$B$26:$O$57,10,TRUE))))</f>
        <v>32.090567941828787</v>
      </c>
      <c r="BF61" s="691">
        <f>IF(AND(AX61="",BB61=""),"",IF(AX61="",0,(AX61*VLOOKUP($B61,'A1.3.9'!$B$26:$O$57,9,TRUE))) + IF(BB61="",0,(BB61*VLOOKUP($B61,'A1.3.9'!$B$26:$O$57,10,TRUE))))</f>
        <v>-0.21261689428452307</v>
      </c>
      <c r="BG61" s="2644">
        <f>IF(AND(AY61="",BC61=""),"",IF(AY61="",0,(AY61*VLOOKUP($B61,'A1.3.9'!$B$26:$O$57,9,TRUE))) + IF(BC61="",0,(BC61*VLOOKUP($B61,'A1.3.9'!$B$26:$O$57,10,TRUE))))</f>
        <v>1.2672851028998995E-3</v>
      </c>
      <c r="BH61" s="693">
        <f>IF('A1.3.8'!D$33="","",IF(OR(VLOOKUP($B61,'A1.3.11'!$B$26:$AM$105,BH$22,)="",VLOOKUP($B61,'A1.3.7'!$B$28:$H$118,4,)=""),"",VLOOKUP($B61,'A1.3.11'!$B$26:$AM$105,BH$22,)*(VLOOKUP($B61,'A1.3.7'!$B$28:$O$118,4,)+VLOOKUP($B61,'A1.3.7'!$B$28:$O$118,9,))))</f>
        <v>366.48991202577054</v>
      </c>
      <c r="BI61" s="691">
        <f>IF('A1.3.8'!E$33="","",IF(OR(VLOOKUP($B61,'A1.3.11'!$B$26:$AM$105,BI$22,)="",VLOOKUP($B61,'A1.3.7'!$B$28:$H$118,4,)=""),"",VLOOKUP($B61,'A1.3.11'!$B$26:$AM$105,BI$22,)*(VLOOKUP($B61,'A1.3.7'!$B$28:$O$118,4,)+VLOOKUP($B61,'A1.3.7'!$B$28:$O$118,9,))))</f>
        <v>32.202351051844524</v>
      </c>
      <c r="BJ61" s="691">
        <f>IF('A1.3.8'!F$33="","",IF(OR(VLOOKUP($B61,'A1.3.11'!$B$26:$AM$105,BJ$22,)="",VLOOKUP($B61,'A1.3.7'!$B$28:$H$118,4,)=""),"",VLOOKUP($B61,'A1.3.11'!$B$26:$AM$105,BJ$22,)*(VLOOKUP($B61,'A1.3.7'!$B$28:$O$118,4,)+VLOOKUP($B61,'A1.3.7'!$B$28:$O$118,9,))))</f>
        <v>-0.35001085421437833</v>
      </c>
      <c r="BK61" s="2644">
        <f>IF('A1.3.8'!G$33="","",IF(OR(VLOOKUP($B61,'A1.3.11'!$B$26:$AM$105,BK$22,)="",VLOOKUP($B61,'A1.3.7'!$B$28:$H$118,4,)=""),"",VLOOKUP($B61,'A1.3.11'!$B$26:$AM$105,BK$22,)*(VLOOKUP($B61,'A1.3.7'!$B$28:$O$118,4,)+VLOOKUP($B61,'A1.3.7'!$B$28:$O$118,9,))))</f>
        <v>2.5674726827189438E-3</v>
      </c>
      <c r="BL61" s="693" t="str">
        <f>IF('A1.3.8'!D$40="","",IF(OR(VLOOKUP($B61,'A1.3.11'!$B$26:$AM$105,BL$22,)="",VLOOKUP($B61,'A1.3.7'!$B$28:$H$118,6,)=""),"",VLOOKUP($B61,'A1.3.11'!$B$26:$AM$105,BL$22,)*VLOOKUP($B61,'A1.3.7'!$B$28:$O$118,6,)))</f>
        <v/>
      </c>
      <c r="BM61" s="691" t="str">
        <f>IF('A1.3.8'!E$40="","",IF(OR(VLOOKUP($B61,'A1.3.11'!$B$26:$AM$105,BM$22,)="",VLOOKUP($B61,'A1.3.7'!$B$28:$H$118,6,)=""),"",VLOOKUP($B61,'A1.3.11'!$B$26:$AM$105,BM$22,)*VLOOKUP($B61,'A1.3.7'!$B$28:$O$118,6,)))</f>
        <v/>
      </c>
      <c r="BN61" s="691" t="str">
        <f>IF('A1.3.8'!F$40="","",IF(OR(VLOOKUP($B61,'A1.3.11'!$B$26:$AM$105,BN$22,)="",VLOOKUP($B61,'A1.3.7'!$B$28:$H$118,6,)=""),"",VLOOKUP($B61,'A1.3.11'!$B$26:$AM$105,BN$22,)*VLOOKUP($B61,'A1.3.7'!$B$28:$O$118,6,)))</f>
        <v/>
      </c>
      <c r="BO61" s="1664" t="str">
        <f>IF('A1.3.8'!G$40="","",IF(OR(VLOOKUP($B61,'A1.3.11'!$B$26:$AM$105,BO$22,)="",VLOOKUP($B61,'A1.3.7'!$B$28:$H$118,6,)=""),"",VLOOKUP($B61,'A1.3.11'!$B$26:$AM$105,BO$22,)*VLOOKUP($B61,'A1.3.7'!$B$28:$O$118,6,)))</f>
        <v/>
      </c>
      <c r="BP61" s="693">
        <f>IF(AND(BH61="",BL61=""),"",IF(BH61="",0,(BH61*VLOOKUP($B61,'A1.3.9'!$B$26:$O$57,9,TRUE))) + IF(BL61="",0,(BL61*VLOOKUP($B61,'A1.3.9'!$B$26:$O$57,10,TRUE))))</f>
        <v>366.48991202577054</v>
      </c>
      <c r="BQ61" s="691">
        <f>IF(AND(BI61="",BM61=""),"",IF(BI61="",0,(BI61*VLOOKUP($B61,'A1.3.9'!$B$26:$O$57,9,TRUE))) + IF(BM61="",0,(BM61*VLOOKUP($B61,'A1.3.9'!$B$26:$O$57,10,TRUE))))</f>
        <v>32.202351051844524</v>
      </c>
      <c r="BR61" s="691">
        <f>IF(AND(BJ61="",BN61=""),"",IF(BJ61="",0,(BJ61*VLOOKUP($B61,'A1.3.9'!$B$26:$O$57,9,TRUE))) + IF(BN61="",0,(BN61*VLOOKUP($B61,'A1.3.9'!$B$26:$O$57,10,TRUE))))</f>
        <v>-0.35001085421437833</v>
      </c>
      <c r="BS61" s="2644">
        <f>IF(AND(BK61="",BO61=""),"",IF(BK61="",0,(BK61*VLOOKUP($B61,'A1.3.9'!$B$26:$O$57,9,TRUE))) + IF(BO61="",0,(BO61*VLOOKUP($B61,'A1.3.9'!$B$26:$O$57,10,TRUE))))</f>
        <v>2.5674726827189438E-3</v>
      </c>
    </row>
    <row r="62" spans="1:71" s="26" customFormat="1" ht="13.5" customHeight="1">
      <c r="A62" s="113"/>
      <c r="B62" s="614">
        <f t="shared" si="0"/>
        <v>2045</v>
      </c>
      <c r="C62" s="147"/>
      <c r="D62" s="693">
        <f>IF('A1.3.8'!D$27="","",IF(OR(VLOOKUP($B62,'A1.3.11'!$B$26:$AM$105,D$22,)="",VLOOKUP($B62,'A1.3.7'!$B$28:$H$118,3,)=""),"",VLOOKUP($B62,'A1.3.11'!$B$26:$AM$105,D$22,)*(VLOOKUP($B62,'A1.3.7'!$B$28:$O$118,3,)+VLOOKUP($B62,'A1.3.7'!$B$28:$O$118,8,))))</f>
        <v>34.328229274151084</v>
      </c>
      <c r="E62" s="691">
        <f>IF('A1.3.8'!E$27="","",IF(OR(VLOOKUP($B62,'A1.3.11'!$B$26:$AM$105,E$22,)="",VLOOKUP($B62,'A1.3.7'!$B$28:$H$118,3,)=""),"",VLOOKUP($B62,'A1.3.11'!$B$26:$AM$105,E$22,)*(VLOOKUP($B62,'A1.3.7'!$B$28:$O$118,3,)+VLOOKUP($B62,'A1.3.7'!$B$28:$O$118,8,))))</f>
        <v>7.2953055558131439</v>
      </c>
      <c r="F62" s="691">
        <f>IF('A1.3.8'!F$27="","",IF(OR(VLOOKUP($B62,'A1.3.11'!$B$26:$AM$105,F$22,)="",VLOOKUP($B62,'A1.3.7'!$B$28:$H$118,3,)=""),"",VLOOKUP($B62,'A1.3.11'!$B$26:$AM$105,F$22,)*(VLOOKUP($B62,'A1.3.7'!$B$28:$O$118,3,)+VLOOKUP($B62,'A1.3.7'!$B$28:$O$118,8,))))</f>
        <v>-8.3102181679195017E-2</v>
      </c>
      <c r="G62" s="2644">
        <f>IF('A1.3.8'!G$27="","",IF(OR(VLOOKUP($B62,'A1.3.11'!$B$26:$AM$105,G$22,)="",VLOOKUP($B62,'A1.3.7'!$B$28:$H$118,3,)=""),"",VLOOKUP($B62,'A1.3.11'!$B$26:$AM$105,G$22,)*(VLOOKUP($B62,'A1.3.7'!$B$28:$O$118,3,)+VLOOKUP($B62,'A1.3.7'!$B$28:$O$118,8,))))</f>
        <v>5.5037906274707439E-4</v>
      </c>
      <c r="H62" s="693">
        <f>IF('A1.3.8'!D$28="","",IF(OR(VLOOKUP($B62,'A1.3.11'!$B$26:$AM$105,H$22,)="",VLOOKUP($B62,'A1.3.7'!$B$28:$H$118,4,)=""),"",VLOOKUP($B62,'A1.3.11'!$B$26:$AM$105,H$22,)*(VLOOKUP($B62,'A1.3.7'!$B$28:$O$118,4,)+VLOOKUP($B62,'A1.3.7'!$B$28:$O$118,9,))))</f>
        <v>42.406114845941559</v>
      </c>
      <c r="I62" s="691">
        <f>IF('A1.3.8'!E$28="","",IF(OR(VLOOKUP($B62,'A1.3.11'!$B$26:$AM$105,I$22,)="",VLOOKUP($B62,'A1.3.7'!$B$28:$H$118,4,)=""),"",VLOOKUP($B62,'A1.3.11'!$B$26:$AM$105,I$22,)*(VLOOKUP($B62,'A1.3.7'!$B$28:$O$118,4,)+VLOOKUP($B62,'A1.3.7'!$B$28:$O$118,9,))))</f>
        <v>6.0799881668801738</v>
      </c>
      <c r="J62" s="691">
        <f>IF('A1.3.8'!F$28="","",IF(OR(VLOOKUP($B62,'A1.3.11'!$B$26:$AM$105,J$22,)="",VLOOKUP($B62,'A1.3.7'!$B$28:$H$118,4,)=""),"",VLOOKUP($B62,'A1.3.11'!$B$26:$AM$105,J$22,)*(VLOOKUP($B62,'A1.3.7'!$B$28:$O$118,4,)+VLOOKUP($B62,'A1.3.7'!$B$28:$O$118,9,))))</f>
        <v>-5.8491179932586512E-2</v>
      </c>
      <c r="K62" s="2644">
        <f>IF('A1.3.8'!G$28="","",IF(OR(VLOOKUP($B62,'A1.3.11'!$B$26:$AM$105,K$22,)="",VLOOKUP($B62,'A1.3.7'!$B$28:$H$118,4,)=""),"",VLOOKUP($B62,'A1.3.11'!$B$26:$AM$105,K$22,)*(VLOOKUP($B62,'A1.3.7'!$B$28:$O$118,4,)+VLOOKUP($B62,'A1.3.7'!$B$28:$O$118,9,))))</f>
        <v>4.6091343241506808E-4</v>
      </c>
      <c r="L62" s="693" t="str">
        <f>IF('A1.3.8'!D$36="","",IF(OR(VLOOKUP($B62,'A1.3.11'!$B$26:$AM$105,L$22,)="",VLOOKUP($B62,'A1.3.7'!$B$28:$H$118,6,)=""),"",VLOOKUP($B62,'A1.3.11'!$B$26:$AM$105,L$22,)*VLOOKUP($B62,'A1.3.7'!$B$28:$O$118,6,)))</f>
        <v/>
      </c>
      <c r="M62" s="691">
        <f>IF('A1.3.8'!E$36="","",IF(OR(VLOOKUP($B62,'A1.3.11'!$B$26:$AM$105,M$22,)="",VLOOKUP($B62,'A1.3.7'!$B$28:$H$118,6,)=""),"",VLOOKUP($B62,'A1.3.11'!$B$26:$AM$105,M$22,)*VLOOKUP($B62,'A1.3.7'!$B$28:$O$118,6,)))</f>
        <v>1.9637608285706969</v>
      </c>
      <c r="N62" s="691" t="str">
        <f>IF('A1.3.8'!F$36="","",IF(OR(VLOOKUP($B62,'A1.3.11'!$B$26:$AM$105,N$22,)="",VLOOKUP($B62,'A1.3.7'!$B$28:$H$118,6,)=""),"",VLOOKUP($B62,'A1.3.11'!$B$26:$AM$105,N$22,)*VLOOKUP($B62,'A1.3.7'!$B$28:$O$118,6,)))</f>
        <v/>
      </c>
      <c r="O62" s="1664" t="str">
        <f>IF('A1.3.8'!G$36="","",IF(OR(VLOOKUP($B62,'A1.3.11'!$B$26:$AM$105,O$22,)="",VLOOKUP($B62,'A1.3.7'!$B$28:$H$118,6,)=""),"",VLOOKUP($B62,'A1.3.11'!$B$26:$AM$105,O$22,)*VLOOKUP($B62,'A1.3.7'!$B$28:$O$118,6,)))</f>
        <v/>
      </c>
      <c r="P62" s="693">
        <f>IF(AND(D62="",H62="",L62=""),"",IF(D62="",0,(D62*VLOOKUP($B62,'A1.3.9'!$B$26:$O$57,3,TRUE)))+IF(H62="",0,(H62*VLOOKUP($B62,'A1.3.9'!$B$26:$O$57,4,TRUE)))+IF(L62="",0,(L62*VLOOKUP($B62,'A1.3.9'!$B$26:$O$57,5,TRUE))))</f>
        <v>28.498456988621747</v>
      </c>
      <c r="Q62" s="691">
        <f>IF(AND(E62="",I62="",M62=""),"",IF(E62="",0,(E62*VLOOKUP($B62,'A1.3.9'!$B$26:$O$57,3,TRUE)))+IF(I62="",0,(I62*VLOOKUP($B62,'A1.3.9'!$B$26:$O$57,4,TRUE)))+IF(M62="",0,(M62*VLOOKUP($B62,'A1.3.9'!$B$26:$O$57,5,TRUE))))</f>
        <v>5.6277375258716118</v>
      </c>
      <c r="R62" s="691">
        <f>IF(AND(F62="",J62="",N62=""),"",IF(F62="",0,(F62*VLOOKUP($B62,'A1.3.9'!$B$26:$O$57,3,TRUE)))+IF(J62="",0,(J62*VLOOKUP($B62,'A1.3.9'!$B$26:$O$57,4,TRUE)))+IF(N62="",0,(N62*VLOOKUP($B62,'A1.3.9'!$B$26:$O$57,5,TRUE))))</f>
        <v>-5.5361007453452585E-2</v>
      </c>
      <c r="S62" s="2644">
        <f>IF(AND(G62="",K62="",O62=""),"",IF(G62="",0,(G62*VLOOKUP($B62,'A1.3.9'!$B$26:$O$57,3,TRUE)))+IF(K62="",0,(K62*VLOOKUP($B62,'A1.3.9'!$B$26:$O$57,4,TRUE)))+IF(O62="",0,(O62*VLOOKUP($B62,'A1.3.9'!$B$26:$O$57,5,TRUE))))</f>
        <v>3.8934110374322557E-4</v>
      </c>
      <c r="T62" s="693">
        <f>IF('A1.3.8'!D$29="","",IF(OR(VLOOKUP($B62,'A1.3.11'!$B$26:$AM$105,T$22,)="",VLOOKUP($B62,'A1.3.7'!$B$28:$H$118,3,)=""),"",VLOOKUP($B62,'A1.3.11'!$B$26:$AM$105,T$22,)*(VLOOKUP($B62,'A1.3.7'!$B$28:$O$118,3,)+VLOOKUP($B62,'A1.3.7'!$B$28:$O$118,8,))))</f>
        <v>24.693430537762222</v>
      </c>
      <c r="U62" s="691">
        <f>IF('A1.3.8'!E$29="","",IF(OR(VLOOKUP($B62,'A1.3.11'!$B$26:$AM$105,U$22,)="",VLOOKUP($B62,'A1.3.7'!$B$28:$H$118,3,)=""),"",VLOOKUP($B62,'A1.3.11'!$B$26:$AM$105,U$22,)*(VLOOKUP($B62,'A1.3.7'!$B$28:$O$118,3,)+VLOOKUP($B62,'A1.3.7'!$B$28:$O$118,8,))))</f>
        <v>13.846646431444782</v>
      </c>
      <c r="V62" s="691">
        <f>IF('A1.3.8'!F$29="","",IF(OR(VLOOKUP($B62,'A1.3.11'!$B$26:$AM$105,V$22,)="",VLOOKUP($B62,'A1.3.7'!$B$28:$H$118,3,)=""),"",VLOOKUP($B62,'A1.3.11'!$B$26:$AM$105,V$22,)*(VLOOKUP($B62,'A1.3.7'!$B$28:$O$118,3,)+VLOOKUP($B62,'A1.3.7'!$B$28:$O$118,8,))))</f>
        <v>-0.21734689881670594</v>
      </c>
      <c r="W62" s="2644">
        <f>IF('A1.3.8'!G$29="","",IF(OR(VLOOKUP($B62,'A1.3.11'!$B$26:$AM$105,W$22,)="",VLOOKUP($B62,'A1.3.7'!$B$28:$H$118,3,)=""),"",VLOOKUP($B62,'A1.3.11'!$B$26:$AM$105,W$22,)*(VLOOKUP($B62,'A1.3.7'!$B$28:$O$118,3,)+VLOOKUP($B62,'A1.3.7'!$B$28:$O$118,8,))))</f>
        <v>1.4036343953207288E-3</v>
      </c>
      <c r="X62" s="693">
        <f>IF('A1.3.8'!D$30="","",IF(OR(VLOOKUP($B62,'A1.3.11'!$B$26:$AM$105,X$22,)="",VLOOKUP($B62,'A1.3.7'!$B$28:$H$118,4,)=""),"",VLOOKUP($B62,'A1.3.11'!$B$26:$AM$105,X$22,)*(VLOOKUP($B62,'A1.3.7'!$B$28:$O$118,4,)+VLOOKUP($B62,'A1.3.7'!$B$28:$O$118,9,))))</f>
        <v>43.674184158916631</v>
      </c>
      <c r="Y62" s="691">
        <f>IF('A1.3.8'!E$30="","",IF(OR(VLOOKUP($B62,'A1.3.11'!$B$26:$AM$105,Y$22,)="",VLOOKUP($B62,'A1.3.7'!$B$28:$H$118,4,)=""),"",VLOOKUP($B62,'A1.3.11'!$B$26:$AM$105,Y$22,)*(VLOOKUP($B62,'A1.3.7'!$B$28:$O$118,4,)+VLOOKUP($B62,'A1.3.7'!$B$28:$O$118,9,))))</f>
        <v>10.67414859522758</v>
      </c>
      <c r="Z62" s="691">
        <f>IF('A1.3.8'!F$30="","",IF(OR(VLOOKUP($B62,'A1.3.11'!$B$26:$AM$105,Z$22,)="",VLOOKUP($B62,'A1.3.7'!$B$28:$H$118,4,)=""),"",VLOOKUP($B62,'A1.3.11'!$B$26:$AM$105,Z$22,)*(VLOOKUP($B62,'A1.3.7'!$B$28:$O$118,4,)+VLOOKUP($B62,'A1.3.7'!$B$28:$O$118,9,))))</f>
        <v>-0.15399399314269219</v>
      </c>
      <c r="AA62" s="2644">
        <f>IF('A1.3.8'!G$30="","",IF(OR(VLOOKUP($B62,'A1.3.11'!$B$26:$AM$105,AA$22,)="",VLOOKUP($B62,'A1.3.7'!$B$28:$H$118,4,)=""),"",VLOOKUP($B62,'A1.3.11'!$B$26:$AM$105,AA$22,)*(VLOOKUP($B62,'A1.3.7'!$B$28:$O$118,4,)+VLOOKUP($B62,'A1.3.7'!$B$28:$O$118,9,))))</f>
        <v>1.3037185152770419E-3</v>
      </c>
      <c r="AB62" s="693" t="str">
        <f>IF('A1.3.8'!D$37="","",IF(OR(VLOOKUP($B62,'A1.3.11'!$B$26:$AM$105,AB$22,)="",VLOOKUP($B62,'A1.3.7'!$B$28:$H$118,6,)=""),"",VLOOKUP($B62,'A1.3.11'!$B$26:$AM$105,AB$22,)*VLOOKUP($B62,'A1.3.7'!$B$28:$O$118,6,)))</f>
        <v/>
      </c>
      <c r="AC62" s="691">
        <f>IF('A1.3.8'!E$37="","",IF(OR(VLOOKUP($B62,'A1.3.11'!$B$26:$AM$105,AC$22,)="",VLOOKUP($B62,'A1.3.7'!$B$28:$H$118,6,)=""),"",VLOOKUP($B62,'A1.3.11'!$B$26:$AM$105,AC$22,)*VLOOKUP($B62,'A1.3.7'!$B$28:$O$118,6,)))</f>
        <v>4.5145632825273854</v>
      </c>
      <c r="AD62" s="691" t="str">
        <f>IF('A1.3.8'!F$37="","",IF(OR(VLOOKUP($B62,'A1.3.11'!$B$26:$AM$105,AD$22,)="",VLOOKUP($B62,'A1.3.7'!$B$28:$H$118,6,)=""),"",VLOOKUP($B62,'A1.3.11'!$B$26:$AM$105,AD$22,)*VLOOKUP($B62,'A1.3.7'!$B$28:$O$118,6,)))</f>
        <v/>
      </c>
      <c r="AE62" s="1664" t="str">
        <f>IF('A1.3.8'!G$37="","",IF(OR(VLOOKUP($B62,'A1.3.11'!$B$26:$AM$105,AE$22,)="",VLOOKUP($B62,'A1.3.7'!$B$28:$H$118,6,)=""),"",VLOOKUP($B62,'A1.3.11'!$B$26:$AM$105,AE$22,)*VLOOKUP($B62,'A1.3.7'!$B$28:$O$118,6,)))</f>
        <v/>
      </c>
      <c r="AF62" s="693">
        <f>IF(AND(T62="",X62="",AB62=""),"",IF(T62="",0,(T62*VLOOKUP('A1.3.12'!$B62,'A1.3.9'!$B$26:$O$57,6,TRUE))) + IF(X62="",0,(X62*VLOOKUP('A1.3.12'!$B62,'A1.3.9'!$B$26:$O$57,7,TRUE))) + IF(AB62="",0,(AB62*VLOOKUP('A1.3.12'!$B62,'A1.3.9'!$B$26:$O$57,8,TRUE))))</f>
        <v>38.751400323313149</v>
      </c>
      <c r="AG62" s="691">
        <f>IF(AND(U62="",Y62="",AC62=""),"",IF(U62="",0,(U62*VLOOKUP('A1.3.12'!$B62,'A1.3.9'!$B$26:$O$57,6,TRUE))) + IF(Y62="",0,(Y62*VLOOKUP('A1.3.12'!$B62,'A1.3.9'!$B$26:$O$57,7,TRUE))) + IF(AC62="",0,(AC62*VLOOKUP('A1.3.12'!$B62,'A1.3.9'!$B$26:$O$57,8,TRUE))))</f>
        <v>10.024210949879629</v>
      </c>
      <c r="AH62" s="691">
        <f>IF(AND(V62="",Z62="",AD62=""),"",IF(V62="",0,(V62*VLOOKUP('A1.3.12'!$B62,'A1.3.9'!$B$26:$O$57,6,TRUE))) + IF(Z62="",0,(Z62*VLOOKUP('A1.3.12'!$B62,'A1.3.9'!$B$26:$O$57,7,TRUE))) + IF(AD62="",0,(AD62*VLOOKUP('A1.3.12'!$B62,'A1.3.9'!$B$26:$O$57,8,TRUE))))</f>
        <v>-0.13762407975959043</v>
      </c>
      <c r="AI62" s="2644">
        <f>IF(AND(W62="",AA62="",AE62=""),"",IF(W62="",0,(W62*VLOOKUP('A1.3.12'!$B62,'A1.3.9'!$B$26:$O$57,6,TRUE))) + IF(AA62="",0,(AA62*VLOOKUP('A1.3.12'!$B62,'A1.3.9'!$B$26:$O$57,7,TRUE))) + IF(AE62="",0,(AE62*VLOOKUP('A1.3.12'!$B62,'A1.3.9'!$B$26:$O$57,8,TRUE))))</f>
        <v>1.161821506275008E-3</v>
      </c>
      <c r="AJ62" s="693">
        <f>IF('A1.3.8'!D$31="","",IF(OR(VLOOKUP($B62,'A1.3.11'!$B$26:$AM$105,AJ$22,)="",VLOOKUP($B62,'A1.3.7'!$B$28:$H$118,4,)=""),"",VLOOKUP($B62,'A1.3.11'!$B$26:$AM$105,AJ$22,)*(VLOOKUP($B62,'A1.3.7'!$B$28:$O$118,4,)+VLOOKUP($B62,'A1.3.7'!$B$28:$O$118,9,))))</f>
        <v>295.23585991085986</v>
      </c>
      <c r="AK62" s="691">
        <f>IF('A1.3.8'!E$31="","",IF(OR(VLOOKUP($B62,'A1.3.11'!$B$26:$AM$105,AK$22,)="",VLOOKUP($B62,'A1.3.7'!$B$28:$H$118,4,)=""),"",VLOOKUP($B62,'A1.3.11'!$B$26:$AM$105,AK$22,)*(VLOOKUP($B62,'A1.3.7'!$B$28:$O$118,4,)+VLOOKUP($B62,'A1.3.7'!$B$28:$O$118,9,))))</f>
        <v>15.664389625511955</v>
      </c>
      <c r="AL62" s="691">
        <f>IF('A1.3.8'!F$31="","",IF(OR(VLOOKUP($B62,'A1.3.11'!$B$26:$AM$105,AL$22,)="",VLOOKUP($B62,'A1.3.7'!$B$28:$H$118,4,)=""),"",VLOOKUP($B62,'A1.3.11'!$B$26:$AM$105,AL$22,)*(VLOOKUP($B62,'A1.3.7'!$B$28:$O$118,4,)+VLOOKUP($B62,'A1.3.7'!$B$28:$O$118,9,))))</f>
        <v>-0.11322230767040789</v>
      </c>
      <c r="AM62" s="2644">
        <f>IF('A1.3.8'!G$31="","",IF(OR(VLOOKUP($B62,'A1.3.11'!$B$26:$AM$105,AM$22,)="",VLOOKUP($B62,'A1.3.7'!$B$28:$H$118,4,)=""),"",VLOOKUP($B62,'A1.3.11'!$B$26:$AM$105,AM$22,)*(VLOOKUP($B62,'A1.3.7'!$B$28:$O$118,4,)+VLOOKUP($B62,'A1.3.7'!$B$28:$O$118,9,))))</f>
        <v>1.2365692653532889E-3</v>
      </c>
      <c r="AN62" s="693" t="str">
        <f>IF('A1.3.8'!D$38="","",IF(OR(VLOOKUP($B62,'A1.3.11'!$B$26:$AM$105,AN$22,)="",VLOOKUP($B62,'A1.3.7'!$B$28:$H$118,6,)=""),"",VLOOKUP($B62,'A1.3.11'!$B$26:$AM$105,AN$22,)*VLOOKUP($B62,'A1.3.7'!$B$28:$O$118,6,)))</f>
        <v/>
      </c>
      <c r="AO62" s="691" t="str">
        <f>IF('A1.3.8'!E$38="","",IF(OR(VLOOKUP($B62,'A1.3.11'!$B$26:$AM$105,AO$22,)="",VLOOKUP($B62,'A1.3.7'!$B$28:$H$118,6,)=""),"",VLOOKUP($B62,'A1.3.11'!$B$26:$AM$105,AO$22,)*VLOOKUP($B62,'A1.3.7'!$B$28:$O$118,6,)))</f>
        <v/>
      </c>
      <c r="AP62" s="691" t="str">
        <f>IF('A1.3.8'!F$38="","",IF(OR(VLOOKUP($B62,'A1.3.11'!$B$26:$AM$105,AP$22,)="",VLOOKUP($B62,'A1.3.7'!$B$28:$H$118,6,)=""),"",VLOOKUP($B62,'A1.3.11'!$B$26:$AM$105,AP$22,)*VLOOKUP($B62,'A1.3.7'!$B$28:$O$118,6,)))</f>
        <v/>
      </c>
      <c r="AQ62" s="1664" t="str">
        <f>IF('A1.3.8'!G$38="","",IF(OR(VLOOKUP($B62,'A1.3.11'!$B$26:$AM$105,AQ$22,)="",VLOOKUP($B62,'A1.3.7'!$B$28:$H$118,6,)=""),"",VLOOKUP($B62,'A1.3.11'!$B$26:$AM$105,AQ$22,)*VLOOKUP($B62,'A1.3.7'!$B$28:$O$118,6,)))</f>
        <v/>
      </c>
      <c r="AR62" s="693">
        <f>IF(AND(AJ62="",AN62=""),"",IF(AJ62="",0,(AJ62*VLOOKUP($B62,'A1.3.9'!$B$26:$O$57,9,TRUE))) + IF(AN62="",0,(AN62*VLOOKUP($B62,'A1.3.9'!$B$26:$O$57,10,TRUE))))</f>
        <v>295.23585991085986</v>
      </c>
      <c r="AS62" s="691">
        <f>IF(AND(AK62="",AO62=""),"",IF(AK62="",0,(AK62*VLOOKUP($B62,'A1.3.9'!$B$26:$O$57,9,TRUE))) + IF(AO62="",0,(AO62*VLOOKUP($B62,'A1.3.9'!$B$26:$O$57,10,TRUE))))</f>
        <v>15.664389625511955</v>
      </c>
      <c r="AT62" s="691">
        <f>IF(AND(AL62="",AP62=""),"",IF(AL62="",0,(AL62*VLOOKUP($B62,'A1.3.9'!$B$26:$O$57,9,TRUE))) + IF(AP62="",0,(AP62*VLOOKUP($B62,'A1.3.9'!$B$26:$O$57,10,TRUE))))</f>
        <v>-0.11322230767040789</v>
      </c>
      <c r="AU62" s="2644">
        <f>IF(AND(AM62="",AQ62=""),"",IF(AM62="",0,(AM62*VLOOKUP($B62,'A1.3.9'!$B$26:$O$57,9,TRUE))) + IF(AQ62="",0,(AQ62*VLOOKUP($B62,'A1.3.9'!$B$26:$O$57,10,TRUE))))</f>
        <v>1.2365692653532889E-3</v>
      </c>
      <c r="AV62" s="693">
        <f>IF('A1.3.8'!D$32="","",IF(OR(VLOOKUP($B62,'A1.3.11'!$B$26:$AM$105,AV$22,)="",VLOOKUP($B62,'A1.3.7'!$B$28:$H$118,4,)=""),"",VLOOKUP($B62,'A1.3.11'!$B$26:$AM$105,AV$22,)*(VLOOKUP($B62,'A1.3.7'!$B$28:$O$118,4,)+VLOOKUP($B62,'A1.3.7'!$B$28:$O$118,9,))))</f>
        <v>620.36747327035084</v>
      </c>
      <c r="AW62" s="691">
        <f>IF('A1.3.8'!E$32="","",IF(OR(VLOOKUP($B62,'A1.3.11'!$B$26:$AM$105,AW$22,)="",VLOOKUP($B62,'A1.3.7'!$B$28:$H$118,4,)=""),"",VLOOKUP($B62,'A1.3.11'!$B$26:$AM$105,AW$22,)*(VLOOKUP($B62,'A1.3.7'!$B$28:$O$118,4,)+VLOOKUP($B62,'A1.3.7'!$B$28:$O$118,9,))))</f>
        <v>32.216782117074494</v>
      </c>
      <c r="AX62" s="691">
        <f>IF('A1.3.8'!F$32="","",IF(OR(VLOOKUP($B62,'A1.3.11'!$B$26:$AM$105,AX$22,)="",VLOOKUP($B62,'A1.3.7'!$B$28:$H$118,4,)=""),"",VLOOKUP($B62,'A1.3.11'!$B$26:$AM$105,AX$22,)*(VLOOKUP($B62,'A1.3.7'!$B$28:$O$118,4,)+VLOOKUP($B62,'A1.3.7'!$B$28:$O$118,9,))))</f>
        <v>-0.21345312959217075</v>
      </c>
      <c r="AY62" s="2644">
        <f>IF('A1.3.8'!G$32="","",IF(OR(VLOOKUP($B62,'A1.3.11'!$B$26:$AM$105,AY$22,)="",VLOOKUP($B62,'A1.3.7'!$B$28:$H$118,4,)=""),"",VLOOKUP($B62,'A1.3.11'!$B$26:$AM$105,AY$22,)*(VLOOKUP($B62,'A1.3.7'!$B$28:$O$118,4,)+VLOOKUP($B62,'A1.3.7'!$B$28:$O$118,9,))))</f>
        <v>1.2722694130670995E-3</v>
      </c>
      <c r="AZ62" s="693" t="str">
        <f>IF('A1.3.8'!D$39="","",IF(OR(VLOOKUP($B62,'A1.3.11'!$B$26:$AM$105,AZ$22,)="",VLOOKUP($B62,'A1.3.7'!$B$28:$H$118,6,)=""),"",VLOOKUP($B62,'A1.3.11'!$B$26:$AM$105,AZ$22,)*VLOOKUP($B62,'A1.3.7'!$B$28:$O$118,6,)))</f>
        <v/>
      </c>
      <c r="BA62" s="691" t="str">
        <f>IF('A1.3.8'!E$39="","",IF(OR(VLOOKUP($B62,'A1.3.11'!$B$26:$AM$105,BA$22,)="",VLOOKUP($B62,'A1.3.7'!$B$28:$H$118,6,)=""),"",VLOOKUP($B62,'A1.3.11'!$B$26:$AM$105,BA$22,)*VLOOKUP($B62,'A1.3.7'!$B$28:$O$118,6,)))</f>
        <v/>
      </c>
      <c r="BB62" s="691" t="str">
        <f>IF('A1.3.8'!F$39="","",IF(OR(VLOOKUP($B62,'A1.3.11'!$B$26:$AM$105,BB$22,)="",VLOOKUP($B62,'A1.3.7'!$B$28:$H$118,6,)=""),"",VLOOKUP($B62,'A1.3.11'!$B$26:$AM$105,BB$22,)*VLOOKUP($B62,'A1.3.7'!$B$28:$O$118,6,)))</f>
        <v/>
      </c>
      <c r="BC62" s="1664" t="str">
        <f>IF('A1.3.8'!G$39="","",IF(OR(VLOOKUP($B62,'A1.3.11'!$B$26:$AM$105,BC$22,)="",VLOOKUP($B62,'A1.3.7'!$B$28:$H$118,6,)=""),"",VLOOKUP($B62,'A1.3.11'!$B$26:$AM$105,BC$22,)*VLOOKUP($B62,'A1.3.7'!$B$28:$O$118,6,)))</f>
        <v/>
      </c>
      <c r="BD62" s="693">
        <f>IF(AND(AV62="",AZ62=""),"",IF(AV62="",0,(AV62*VLOOKUP($B62,'A1.3.9'!$B$26:$O$57,9,TRUE))) + IF(AZ62="",0,(AZ62*VLOOKUP($B62,'A1.3.9'!$B$26:$O$57,10,TRUE))))</f>
        <v>620.36747327035084</v>
      </c>
      <c r="BE62" s="691">
        <f>IF(AND(AW62="",BA62=""),"",IF(AW62="",0,(AW62*VLOOKUP($B62,'A1.3.9'!$B$26:$O$57,9,TRUE))) + IF(BA62="",0,(BA62*VLOOKUP($B62,'A1.3.9'!$B$26:$O$57,10,TRUE))))</f>
        <v>32.216782117074494</v>
      </c>
      <c r="BF62" s="691">
        <f>IF(AND(AX62="",BB62=""),"",IF(AX62="",0,(AX62*VLOOKUP($B62,'A1.3.9'!$B$26:$O$57,9,TRUE))) + IF(BB62="",0,(BB62*VLOOKUP($B62,'A1.3.9'!$B$26:$O$57,10,TRUE))))</f>
        <v>-0.21345312959217075</v>
      </c>
      <c r="BG62" s="2644">
        <f>IF(AND(AY62="",BC62=""),"",IF(AY62="",0,(AY62*VLOOKUP($B62,'A1.3.9'!$B$26:$O$57,9,TRUE))) + IF(BC62="",0,(BC62*VLOOKUP($B62,'A1.3.9'!$B$26:$O$57,10,TRUE))))</f>
        <v>1.2722694130670995E-3</v>
      </c>
      <c r="BH62" s="693">
        <f>IF('A1.3.8'!D$33="","",IF(OR(VLOOKUP($B62,'A1.3.11'!$B$26:$AM$105,BH$22,)="",VLOOKUP($B62,'A1.3.7'!$B$28:$H$118,4,)=""),"",VLOOKUP($B62,'A1.3.11'!$B$26:$AM$105,BH$22,)*(VLOOKUP($B62,'A1.3.7'!$B$28:$O$118,4,)+VLOOKUP($B62,'A1.3.7'!$B$28:$O$118,9,))))</f>
        <v>367.93133936560616</v>
      </c>
      <c r="BI62" s="691">
        <f>IF('A1.3.8'!E$33="","",IF(OR(VLOOKUP($B62,'A1.3.11'!$B$26:$AM$105,BI$22,)="",VLOOKUP($B62,'A1.3.7'!$B$28:$H$118,4,)=""),"",VLOOKUP($B62,'A1.3.11'!$B$26:$AM$105,BI$22,)*(VLOOKUP($B62,'A1.3.7'!$B$28:$O$118,4,)+VLOOKUP($B62,'A1.3.7'!$B$28:$O$118,9,))))</f>
        <v>32.329004876929481</v>
      </c>
      <c r="BJ62" s="691">
        <f>IF('A1.3.8'!F$33="","",IF(OR(VLOOKUP($B62,'A1.3.11'!$B$26:$AM$105,BJ$22,)="",VLOOKUP($B62,'A1.3.7'!$B$28:$H$118,4,)=""),"",VLOOKUP($B62,'A1.3.11'!$B$26:$AM$105,BJ$22,)*(VLOOKUP($B62,'A1.3.7'!$B$28:$O$118,4,)+VLOOKUP($B62,'A1.3.7'!$B$28:$O$118,9,))))</f>
        <v>-0.35138746840742696</v>
      </c>
      <c r="BK62" s="2644">
        <f>IF('A1.3.8'!G$33="","",IF(OR(VLOOKUP($B62,'A1.3.11'!$B$26:$AM$105,BK$22,)="",VLOOKUP($B62,'A1.3.7'!$B$28:$H$118,4,)=""),"",VLOOKUP($B62,'A1.3.11'!$B$26:$AM$105,BK$22,)*(VLOOKUP($B62,'A1.3.7'!$B$28:$O$118,4,)+VLOOKUP($B62,'A1.3.7'!$B$28:$O$118,9,))))</f>
        <v>2.5775707105164785E-3</v>
      </c>
      <c r="BL62" s="693" t="str">
        <f>IF('A1.3.8'!D$40="","",IF(OR(VLOOKUP($B62,'A1.3.11'!$B$26:$AM$105,BL$22,)="",VLOOKUP($B62,'A1.3.7'!$B$28:$H$118,6,)=""),"",VLOOKUP($B62,'A1.3.11'!$B$26:$AM$105,BL$22,)*VLOOKUP($B62,'A1.3.7'!$B$28:$O$118,6,)))</f>
        <v/>
      </c>
      <c r="BM62" s="691" t="str">
        <f>IF('A1.3.8'!E$40="","",IF(OR(VLOOKUP($B62,'A1.3.11'!$B$26:$AM$105,BM$22,)="",VLOOKUP($B62,'A1.3.7'!$B$28:$H$118,6,)=""),"",VLOOKUP($B62,'A1.3.11'!$B$26:$AM$105,BM$22,)*VLOOKUP($B62,'A1.3.7'!$B$28:$O$118,6,)))</f>
        <v/>
      </c>
      <c r="BN62" s="691" t="str">
        <f>IF('A1.3.8'!F$40="","",IF(OR(VLOOKUP($B62,'A1.3.11'!$B$26:$AM$105,BN$22,)="",VLOOKUP($B62,'A1.3.7'!$B$28:$H$118,6,)=""),"",VLOOKUP($B62,'A1.3.11'!$B$26:$AM$105,BN$22,)*VLOOKUP($B62,'A1.3.7'!$B$28:$O$118,6,)))</f>
        <v/>
      </c>
      <c r="BO62" s="1664" t="str">
        <f>IF('A1.3.8'!G$40="","",IF(OR(VLOOKUP($B62,'A1.3.11'!$B$26:$AM$105,BO$22,)="",VLOOKUP($B62,'A1.3.7'!$B$28:$H$118,6,)=""),"",VLOOKUP($B62,'A1.3.11'!$B$26:$AM$105,BO$22,)*VLOOKUP($B62,'A1.3.7'!$B$28:$O$118,6,)))</f>
        <v/>
      </c>
      <c r="BP62" s="693">
        <f>IF(AND(BH62="",BL62=""),"",IF(BH62="",0,(BH62*VLOOKUP($B62,'A1.3.9'!$B$26:$O$57,9,TRUE))) + IF(BL62="",0,(BL62*VLOOKUP($B62,'A1.3.9'!$B$26:$O$57,10,TRUE))))</f>
        <v>367.93133936560616</v>
      </c>
      <c r="BQ62" s="691">
        <f>IF(AND(BI62="",BM62=""),"",IF(BI62="",0,(BI62*VLOOKUP($B62,'A1.3.9'!$B$26:$O$57,9,TRUE))) + IF(BM62="",0,(BM62*VLOOKUP($B62,'A1.3.9'!$B$26:$O$57,10,TRUE))))</f>
        <v>32.329004876929481</v>
      </c>
      <c r="BR62" s="691">
        <f>IF(AND(BJ62="",BN62=""),"",IF(BJ62="",0,(BJ62*VLOOKUP($B62,'A1.3.9'!$B$26:$O$57,9,TRUE))) + IF(BN62="",0,(BN62*VLOOKUP($B62,'A1.3.9'!$B$26:$O$57,10,TRUE))))</f>
        <v>-0.35138746840742696</v>
      </c>
      <c r="BS62" s="2644">
        <f>IF(AND(BK62="",BO62=""),"",IF(BK62="",0,(BK62*VLOOKUP($B62,'A1.3.9'!$B$26:$O$57,9,TRUE))) + IF(BO62="",0,(BO62*VLOOKUP($B62,'A1.3.9'!$B$26:$O$57,10,TRUE))))</f>
        <v>2.5775707105164785E-3</v>
      </c>
    </row>
    <row r="63" spans="1:71" s="26" customFormat="1" ht="13.5" customHeight="1">
      <c r="A63" s="113"/>
      <c r="B63" s="614">
        <f t="shared" si="0"/>
        <v>2046</v>
      </c>
      <c r="C63" s="147"/>
      <c r="D63" s="693">
        <f>IF('A1.3.8'!D$27="","",IF(OR(VLOOKUP($B63,'A1.3.11'!$B$26:$AM$105,D$22,)="",VLOOKUP($B63,'A1.3.7'!$B$28:$H$118,3,)=""),"",VLOOKUP($B63,'A1.3.11'!$B$26:$AM$105,D$22,)*(VLOOKUP($B63,'A1.3.7'!$B$28:$O$118,3,)+VLOOKUP($B63,'A1.3.7'!$B$28:$O$118,8,))))</f>
        <v>34.468717997851257</v>
      </c>
      <c r="E63" s="691">
        <f>IF('A1.3.8'!E$27="","",IF(OR(VLOOKUP($B63,'A1.3.11'!$B$26:$AM$105,E$22,)="",VLOOKUP($B63,'A1.3.7'!$B$28:$H$118,3,)=""),"",VLOOKUP($B63,'A1.3.11'!$B$26:$AM$105,E$22,)*(VLOOKUP($B63,'A1.3.7'!$B$28:$O$118,3,)+VLOOKUP($B63,'A1.3.7'!$B$28:$O$118,8,))))</f>
        <v>7.3251616884541209</v>
      </c>
      <c r="F63" s="691">
        <f>IF('A1.3.8'!F$27="","",IF(OR(VLOOKUP($B63,'A1.3.11'!$B$26:$AM$105,F$22,)="",VLOOKUP($B63,'A1.3.7'!$B$28:$H$118,3,)=""),"",VLOOKUP($B63,'A1.3.11'!$B$26:$AM$105,F$22,)*(VLOOKUP($B63,'A1.3.7'!$B$28:$O$118,3,)+VLOOKUP($B63,'A1.3.7'!$B$28:$O$118,8,))))</f>
        <v>-8.3442278435936282E-2</v>
      </c>
      <c r="G63" s="2644">
        <f>IF('A1.3.8'!G$27="","",IF(OR(VLOOKUP($B63,'A1.3.11'!$B$26:$AM$105,G$22,)="",VLOOKUP($B63,'A1.3.7'!$B$28:$H$118,3,)=""),"",VLOOKUP($B63,'A1.3.11'!$B$26:$AM$105,G$22,)*(VLOOKUP($B63,'A1.3.7'!$B$28:$O$118,3,)+VLOOKUP($B63,'A1.3.7'!$B$28:$O$118,8,))))</f>
        <v>5.5263149620232558E-4</v>
      </c>
      <c r="H63" s="693">
        <f>IF('A1.3.8'!D$28="","",IF(OR(VLOOKUP($B63,'A1.3.11'!$B$26:$AM$105,H$22,)="",VLOOKUP($B63,'A1.3.7'!$B$28:$H$118,4,)=""),"",VLOOKUP($B63,'A1.3.11'!$B$26:$AM$105,H$22,)*(VLOOKUP($B63,'A1.3.7'!$B$28:$O$118,4,)+VLOOKUP($B63,'A1.3.7'!$B$28:$O$118,9,))))</f>
        <v>42.573384072950006</v>
      </c>
      <c r="I63" s="691">
        <f>IF('A1.3.8'!E$28="","",IF(OR(VLOOKUP($B63,'A1.3.11'!$B$26:$AM$105,I$22,)="",VLOOKUP($B63,'A1.3.7'!$B$28:$H$118,4,)=""),"",VLOOKUP($B63,'A1.3.11'!$B$26:$AM$105,I$22,)*(VLOOKUP($B63,'A1.3.7'!$B$28:$O$118,4,)+VLOOKUP($B63,'A1.3.7'!$B$28:$O$118,9,))))</f>
        <v>6.1039704374699042</v>
      </c>
      <c r="J63" s="691">
        <f>IF('A1.3.8'!F$28="","",IF(OR(VLOOKUP($B63,'A1.3.11'!$B$26:$AM$105,J$22,)="",VLOOKUP($B63,'A1.3.7'!$B$28:$H$118,4,)=""),"",VLOOKUP($B63,'A1.3.11'!$B$26:$AM$105,J$22,)*(VLOOKUP($B63,'A1.3.7'!$B$28:$O$118,4,)+VLOOKUP($B63,'A1.3.7'!$B$28:$O$118,9,))))</f>
        <v>-5.8721896056656814E-2</v>
      </c>
      <c r="K63" s="2644">
        <f>IF('A1.3.8'!G$28="","",IF(OR(VLOOKUP($B63,'A1.3.11'!$B$26:$AM$105,K$22,)="",VLOOKUP($B63,'A1.3.7'!$B$28:$H$118,4,)=""),"",VLOOKUP($B63,'A1.3.11'!$B$26:$AM$105,K$22,)*(VLOOKUP($B63,'A1.3.7'!$B$28:$O$118,4,)+VLOOKUP($B63,'A1.3.7'!$B$28:$O$118,9,))))</f>
        <v>4.6273148704794269E-4</v>
      </c>
      <c r="L63" s="693" t="str">
        <f>IF('A1.3.8'!D$36="","",IF(OR(VLOOKUP($B63,'A1.3.11'!$B$26:$AM$105,L$22,)="",VLOOKUP($B63,'A1.3.7'!$B$28:$H$118,6,)=""),"",VLOOKUP($B63,'A1.3.11'!$B$26:$AM$105,L$22,)*VLOOKUP($B63,'A1.3.7'!$B$28:$O$118,6,)))</f>
        <v/>
      </c>
      <c r="M63" s="691">
        <f>IF('A1.3.8'!E$36="","",IF(OR(VLOOKUP($B63,'A1.3.11'!$B$26:$AM$105,M$22,)="",VLOOKUP($B63,'A1.3.7'!$B$28:$H$118,6,)=""),"",VLOOKUP($B63,'A1.3.11'!$B$26:$AM$105,M$22,)*VLOOKUP($B63,'A1.3.7'!$B$28:$O$118,6,)))</f>
        <v>1.9637608285706969</v>
      </c>
      <c r="N63" s="691" t="str">
        <f>IF('A1.3.8'!F$36="","",IF(OR(VLOOKUP($B63,'A1.3.11'!$B$26:$AM$105,N$22,)="",VLOOKUP($B63,'A1.3.7'!$B$28:$H$118,6,)=""),"",VLOOKUP($B63,'A1.3.11'!$B$26:$AM$105,N$22,)*VLOOKUP($B63,'A1.3.7'!$B$28:$O$118,6,)))</f>
        <v/>
      </c>
      <c r="O63" s="1664" t="str">
        <f>IF('A1.3.8'!G$36="","",IF(OR(VLOOKUP($B63,'A1.3.11'!$B$26:$AM$105,O$22,)="",VLOOKUP($B63,'A1.3.7'!$B$28:$H$118,6,)=""),"",VLOOKUP($B63,'A1.3.11'!$B$26:$AM$105,O$22,)*VLOOKUP($B63,'A1.3.7'!$B$28:$O$118,6,)))</f>
        <v/>
      </c>
      <c r="P63" s="693">
        <f>IF(AND(D63="",H63="",L63=""),"",IF(D63="",0,(D63*VLOOKUP($B63,'A1.3.9'!$B$26:$O$57,3,TRUE)))+IF(H63="",0,(H63*VLOOKUP($B63,'A1.3.9'!$B$26:$O$57,4,TRUE)))+IF(L63="",0,(L63*VLOOKUP($B63,'A1.3.9'!$B$26:$O$57,5,TRUE))))</f>
        <v>28.613149972730668</v>
      </c>
      <c r="Q63" s="691">
        <f>IF(AND(E63="",I63="",M63=""),"",IF(E63="",0,(E63*VLOOKUP($B63,'A1.3.9'!$B$26:$O$57,3,TRUE)))+IF(I63="",0,(I63*VLOOKUP($B63,'A1.3.9'!$B$26:$O$57,4,TRUE)))+IF(M63="",0,(M63*VLOOKUP($B63,'A1.3.9'!$B$26:$O$57,5,TRUE))))</f>
        <v>5.6485429658261976</v>
      </c>
      <c r="R63" s="691">
        <f>IF(AND(F63="",J63="",N63=""),"",IF(F63="",0,(F63*VLOOKUP($B63,'A1.3.9'!$B$26:$O$57,3,TRUE)))+IF(J63="",0,(J63*VLOOKUP($B63,'A1.3.9'!$B$26:$O$57,4,TRUE)))+IF(N63="",0,(N63*VLOOKUP($B63,'A1.3.9'!$B$26:$O$57,5,TRUE))))</f>
        <v>-5.5584900928613554E-2</v>
      </c>
      <c r="S63" s="2644">
        <f>IF(AND(G63="",K63="",O63=""),"",IF(G63="",0,(G63*VLOOKUP($B63,'A1.3.9'!$B$26:$O$57,3,TRUE)))+IF(K63="",0,(K63*VLOOKUP($B63,'A1.3.9'!$B$26:$O$57,4,TRUE)))+IF(O63="",0,(O63*VLOOKUP($B63,'A1.3.9'!$B$26:$O$57,5,TRUE))))</f>
        <v>3.9091343045867625E-4</v>
      </c>
      <c r="T63" s="693">
        <f>IF('A1.3.8'!D$29="","",IF(OR(VLOOKUP($B63,'A1.3.11'!$B$26:$AM$105,T$22,)="",VLOOKUP($B63,'A1.3.7'!$B$28:$H$118,3,)=""),"",VLOOKUP($B63,'A1.3.11'!$B$26:$AM$105,T$22,)*(VLOOKUP($B63,'A1.3.7'!$B$28:$O$118,3,)+VLOOKUP($B63,'A1.3.7'!$B$28:$O$118,8,))))</f>
        <v>24.794488722625871</v>
      </c>
      <c r="U63" s="691">
        <f>IF('A1.3.8'!E$29="","",IF(OR(VLOOKUP($B63,'A1.3.11'!$B$26:$AM$105,U$22,)="",VLOOKUP($B63,'A1.3.7'!$B$28:$H$118,3,)=""),"",VLOOKUP($B63,'A1.3.11'!$B$26:$AM$105,U$22,)*(VLOOKUP($B63,'A1.3.7'!$B$28:$O$118,3,)+VLOOKUP($B63,'A1.3.7'!$B$28:$O$118,8,))))</f>
        <v>13.903314011620436</v>
      </c>
      <c r="V63" s="691">
        <f>IF('A1.3.8'!F$29="","",IF(OR(VLOOKUP($B63,'A1.3.11'!$B$26:$AM$105,V$22,)="",VLOOKUP($B63,'A1.3.7'!$B$28:$H$118,3,)=""),"",VLOOKUP($B63,'A1.3.11'!$B$26:$AM$105,V$22,)*(VLOOKUP($B63,'A1.3.7'!$B$28:$O$118,3,)+VLOOKUP($B63,'A1.3.7'!$B$28:$O$118,8,))))</f>
        <v>-0.21823639382010654</v>
      </c>
      <c r="W63" s="2644">
        <f>IF('A1.3.8'!G$29="","",IF(OR(VLOOKUP($B63,'A1.3.11'!$B$26:$AM$105,W$22,)="",VLOOKUP($B63,'A1.3.7'!$B$28:$H$118,3,)=""),"",VLOOKUP($B63,'A1.3.11'!$B$26:$AM$105,W$22,)*(VLOOKUP($B63,'A1.3.7'!$B$28:$O$118,3,)+VLOOKUP($B63,'A1.3.7'!$B$28:$O$118,8,))))</f>
        <v>1.4093787872952006E-3</v>
      </c>
      <c r="X63" s="693">
        <f>IF('A1.3.8'!D$30="","",IF(OR(VLOOKUP($B63,'A1.3.11'!$B$26:$AM$105,X$22,)="",VLOOKUP($B63,'A1.3.7'!$B$28:$H$118,4,)=""),"",VLOOKUP($B63,'A1.3.11'!$B$26:$AM$105,X$22,)*(VLOOKUP($B63,'A1.3.7'!$B$28:$O$118,4,)+VLOOKUP($B63,'A1.3.7'!$B$28:$O$118,9,))))</f>
        <v>43.846455234704315</v>
      </c>
      <c r="Y63" s="691">
        <f>IF('A1.3.8'!E$30="","",IF(OR(VLOOKUP($B63,'A1.3.11'!$B$26:$AM$105,Y$22,)="",VLOOKUP($B63,'A1.3.7'!$B$28:$H$118,4,)=""),"",VLOOKUP($B63,'A1.3.11'!$B$26:$AM$105,Y$22,)*(VLOOKUP($B63,'A1.3.7'!$B$28:$O$118,4,)+VLOOKUP($B63,'A1.3.7'!$B$28:$O$118,9,))))</f>
        <v>10.716252348211871</v>
      </c>
      <c r="Z63" s="691">
        <f>IF('A1.3.8'!F$30="","",IF(OR(VLOOKUP($B63,'A1.3.11'!$B$26:$AM$105,Z$22,)="",VLOOKUP($B63,'A1.3.7'!$B$28:$H$118,4,)=""),"",VLOOKUP($B63,'A1.3.11'!$B$26:$AM$105,Z$22,)*(VLOOKUP($B63,'A1.3.7'!$B$28:$O$118,4,)+VLOOKUP($B63,'A1.3.7'!$B$28:$O$118,9,))))</f>
        <v>-0.15460141630066127</v>
      </c>
      <c r="AA63" s="2644">
        <f>IF('A1.3.8'!G$30="","",IF(OR(VLOOKUP($B63,'A1.3.11'!$B$26:$AM$105,AA$22,)="",VLOOKUP($B63,'A1.3.7'!$B$28:$H$118,4,)=""),"",VLOOKUP($B63,'A1.3.11'!$B$26:$AM$105,AA$22,)*(VLOOKUP($B63,'A1.3.7'!$B$28:$O$118,4,)+VLOOKUP($B63,'A1.3.7'!$B$28:$O$118,9,))))</f>
        <v>1.30886098091152E-3</v>
      </c>
      <c r="AB63" s="693" t="str">
        <f>IF('A1.3.8'!D$37="","",IF(OR(VLOOKUP($B63,'A1.3.11'!$B$26:$AM$105,AB$22,)="",VLOOKUP($B63,'A1.3.7'!$B$28:$H$118,6,)=""),"",VLOOKUP($B63,'A1.3.11'!$B$26:$AM$105,AB$22,)*VLOOKUP($B63,'A1.3.7'!$B$28:$O$118,6,)))</f>
        <v/>
      </c>
      <c r="AC63" s="691">
        <f>IF('A1.3.8'!E$37="","",IF(OR(VLOOKUP($B63,'A1.3.11'!$B$26:$AM$105,AC$22,)="",VLOOKUP($B63,'A1.3.7'!$B$28:$H$118,6,)=""),"",VLOOKUP($B63,'A1.3.11'!$B$26:$AM$105,AC$22,)*VLOOKUP($B63,'A1.3.7'!$B$28:$O$118,6,)))</f>
        <v>4.5145632825273854</v>
      </c>
      <c r="AD63" s="691" t="str">
        <f>IF('A1.3.8'!F$37="","",IF(OR(VLOOKUP($B63,'A1.3.11'!$B$26:$AM$105,AD$22,)="",VLOOKUP($B63,'A1.3.7'!$B$28:$H$118,6,)=""),"",VLOOKUP($B63,'A1.3.11'!$B$26:$AM$105,AD$22,)*VLOOKUP($B63,'A1.3.7'!$B$28:$O$118,6,)))</f>
        <v/>
      </c>
      <c r="AE63" s="1664" t="str">
        <f>IF('A1.3.8'!G$37="","",IF(OR(VLOOKUP($B63,'A1.3.11'!$B$26:$AM$105,AE$22,)="",VLOOKUP($B63,'A1.3.7'!$B$28:$H$118,6,)=""),"",VLOOKUP($B63,'A1.3.11'!$B$26:$AM$105,AE$22,)*VLOOKUP($B63,'A1.3.7'!$B$28:$O$118,6,)))</f>
        <v/>
      </c>
      <c r="AF63" s="693">
        <f>IF(AND(T63="",X63="",AB63=""),"",IF(T63="",0,(T63*VLOOKUP('A1.3.12'!$B63,'A1.3.9'!$B$26:$O$57,6,TRUE))) + IF(X63="",0,(X63*VLOOKUP('A1.3.12'!$B63,'A1.3.9'!$B$26:$O$57,7,TRUE))) + IF(AB63="",0,(AB63*VLOOKUP('A1.3.12'!$B63,'A1.3.9'!$B$26:$O$57,8,TRUE))))</f>
        <v>38.904281391774468</v>
      </c>
      <c r="AG63" s="691">
        <f>IF(AND(U63="",Y63="",AC63=""),"",IF(U63="",0,(U63*VLOOKUP('A1.3.12'!$B63,'A1.3.9'!$B$26:$O$57,6,TRUE))) + IF(Y63="",0,(Y63*VLOOKUP('A1.3.12'!$B63,'A1.3.9'!$B$26:$O$57,7,TRUE))) + IF(AC63="",0,(AC63*VLOOKUP('A1.3.12'!$B63,'A1.3.9'!$B$26:$O$57,8,TRUE))))</f>
        <v>10.061818071358184</v>
      </c>
      <c r="AH63" s="691">
        <f>IF(AND(V63="",Z63="",AD63=""),"",IF(V63="",0,(V63*VLOOKUP('A1.3.12'!$B63,'A1.3.9'!$B$26:$O$57,6,TRUE))) + IF(Z63="",0,(Z63*VLOOKUP('A1.3.12'!$B63,'A1.3.9'!$B$26:$O$57,7,TRUE))) + IF(AD63="",0,(AD63*VLOOKUP('A1.3.12'!$B63,'A1.3.9'!$B$26:$O$57,8,TRUE))))</f>
        <v>-0.13816717640735815</v>
      </c>
      <c r="AI63" s="2644">
        <f>IF(AND(W63="",AA63="",AE63=""),"",IF(W63="",0,(W63*VLOOKUP('A1.3.12'!$B63,'A1.3.9'!$B$26:$O$57,6,TRUE))) + IF(AA63="",0,(AA63*VLOOKUP('A1.3.12'!$B63,'A1.3.9'!$B$26:$O$57,7,TRUE))) + IF(AE63="",0,(AE63*VLOOKUP('A1.3.12'!$B63,'A1.3.9'!$B$26:$O$57,8,TRUE))))</f>
        <v>1.166405840322679E-3</v>
      </c>
      <c r="AJ63" s="693">
        <f>IF('A1.3.8'!D$31="","",IF(OR(VLOOKUP($B63,'A1.3.11'!$B$26:$AM$105,AJ$22,)="",VLOOKUP($B63,'A1.3.7'!$B$28:$H$118,4,)=""),"",VLOOKUP($B63,'A1.3.11'!$B$26:$AM$105,AJ$22,)*(VLOOKUP($B63,'A1.3.7'!$B$28:$O$118,4,)+VLOOKUP($B63,'A1.3.7'!$B$28:$O$118,9,))))</f>
        <v>296.40040597342352</v>
      </c>
      <c r="AK63" s="691">
        <f>IF('A1.3.8'!E$31="","",IF(OR(VLOOKUP($B63,'A1.3.11'!$B$26:$AM$105,AK$22,)="",VLOOKUP($B63,'A1.3.7'!$B$28:$H$118,4,)=""),"",VLOOKUP($B63,'A1.3.11'!$B$26:$AM$105,AK$22,)*(VLOOKUP($B63,'A1.3.7'!$B$28:$O$118,4,)+VLOOKUP($B63,'A1.3.7'!$B$28:$O$118,9,))))</f>
        <v>15.726177185012215</v>
      </c>
      <c r="AL63" s="691">
        <f>IF('A1.3.8'!F$31="","",IF(OR(VLOOKUP($B63,'A1.3.11'!$B$26:$AM$105,AL$22,)="",VLOOKUP($B63,'A1.3.7'!$B$28:$H$118,4,)=""),"",VLOOKUP($B63,'A1.3.11'!$B$26:$AM$105,AL$22,)*(VLOOKUP($B63,'A1.3.7'!$B$28:$O$118,4,)+VLOOKUP($B63,'A1.3.7'!$B$28:$O$118,9,))))</f>
        <v>-0.11366890854278076</v>
      </c>
      <c r="AM63" s="2644">
        <f>IF('A1.3.8'!G$31="","",IF(OR(VLOOKUP($B63,'A1.3.11'!$B$26:$AM$105,AM$22,)="",VLOOKUP($B63,'A1.3.7'!$B$28:$H$118,4,)=""),"",VLOOKUP($B63,'A1.3.11'!$B$26:$AM$105,AM$22,)*(VLOOKUP($B63,'A1.3.7'!$B$28:$O$118,4,)+VLOOKUP($B63,'A1.3.7'!$B$28:$O$118,9,))))</f>
        <v>1.2414468634522773E-3</v>
      </c>
      <c r="AN63" s="693" t="str">
        <f>IF('A1.3.8'!D$38="","",IF(OR(VLOOKUP($B63,'A1.3.11'!$B$26:$AM$105,AN$22,)="",VLOOKUP($B63,'A1.3.7'!$B$28:$H$118,6,)=""),"",VLOOKUP($B63,'A1.3.11'!$B$26:$AM$105,AN$22,)*VLOOKUP($B63,'A1.3.7'!$B$28:$O$118,6,)))</f>
        <v/>
      </c>
      <c r="AO63" s="691" t="str">
        <f>IF('A1.3.8'!E$38="","",IF(OR(VLOOKUP($B63,'A1.3.11'!$B$26:$AM$105,AO$22,)="",VLOOKUP($B63,'A1.3.7'!$B$28:$H$118,6,)=""),"",VLOOKUP($B63,'A1.3.11'!$B$26:$AM$105,AO$22,)*VLOOKUP($B63,'A1.3.7'!$B$28:$O$118,6,)))</f>
        <v/>
      </c>
      <c r="AP63" s="691" t="str">
        <f>IF('A1.3.8'!F$38="","",IF(OR(VLOOKUP($B63,'A1.3.11'!$B$26:$AM$105,AP$22,)="",VLOOKUP($B63,'A1.3.7'!$B$28:$H$118,6,)=""),"",VLOOKUP($B63,'A1.3.11'!$B$26:$AM$105,AP$22,)*VLOOKUP($B63,'A1.3.7'!$B$28:$O$118,6,)))</f>
        <v/>
      </c>
      <c r="AQ63" s="1664" t="str">
        <f>IF('A1.3.8'!G$38="","",IF(OR(VLOOKUP($B63,'A1.3.11'!$B$26:$AM$105,AQ$22,)="",VLOOKUP($B63,'A1.3.7'!$B$28:$H$118,6,)=""),"",VLOOKUP($B63,'A1.3.11'!$B$26:$AM$105,AQ$22,)*VLOOKUP($B63,'A1.3.7'!$B$28:$O$118,6,)))</f>
        <v/>
      </c>
      <c r="AR63" s="693">
        <f>IF(AND(AJ63="",AN63=""),"",IF(AJ63="",0,(AJ63*VLOOKUP($B63,'A1.3.9'!$B$26:$O$57,9,TRUE))) + IF(AN63="",0,(AN63*VLOOKUP($B63,'A1.3.9'!$B$26:$O$57,10,TRUE))))</f>
        <v>296.40040597342352</v>
      </c>
      <c r="AS63" s="691">
        <f>IF(AND(AK63="",AO63=""),"",IF(AK63="",0,(AK63*VLOOKUP($B63,'A1.3.9'!$B$26:$O$57,9,TRUE))) + IF(AO63="",0,(AO63*VLOOKUP($B63,'A1.3.9'!$B$26:$O$57,10,TRUE))))</f>
        <v>15.726177185012215</v>
      </c>
      <c r="AT63" s="691">
        <f>IF(AND(AL63="",AP63=""),"",IF(AL63="",0,(AL63*VLOOKUP($B63,'A1.3.9'!$B$26:$O$57,9,TRUE))) + IF(AP63="",0,(AP63*VLOOKUP($B63,'A1.3.9'!$B$26:$O$57,10,TRUE))))</f>
        <v>-0.11366890854278076</v>
      </c>
      <c r="AU63" s="2644">
        <f>IF(AND(AM63="",AQ63=""),"",IF(AM63="",0,(AM63*VLOOKUP($B63,'A1.3.9'!$B$26:$O$57,9,TRUE))) + IF(AQ63="",0,(AQ63*VLOOKUP($B63,'A1.3.9'!$B$26:$O$57,10,TRUE))))</f>
        <v>1.2414468634522773E-3</v>
      </c>
      <c r="AV63" s="693">
        <f>IF('A1.3.8'!D$32="","",IF(OR(VLOOKUP($B63,'A1.3.11'!$B$26:$AM$105,AV$22,)="",VLOOKUP($B63,'A1.3.7'!$B$28:$H$118,4,)=""),"",VLOOKUP($B63,'A1.3.11'!$B$26:$AM$105,AV$22,)*(VLOOKUP($B63,'A1.3.7'!$B$28:$O$118,4,)+VLOOKUP($B63,'A1.3.7'!$B$28:$O$118,9,))))</f>
        <v>622.81448800141254</v>
      </c>
      <c r="AW63" s="691">
        <f>IF('A1.3.8'!E$32="","",IF(OR(VLOOKUP($B63,'A1.3.11'!$B$26:$AM$105,AW$22,)="",VLOOKUP($B63,'A1.3.7'!$B$28:$H$118,4,)=""),"",VLOOKUP($B63,'A1.3.11'!$B$26:$AM$105,AW$22,)*(VLOOKUP($B63,'A1.3.7'!$B$28:$O$118,4,)+VLOOKUP($B63,'A1.3.7'!$B$28:$O$118,9,))))</f>
        <v>32.343859927927952</v>
      </c>
      <c r="AX63" s="691">
        <f>IF('A1.3.8'!F$32="","",IF(OR(VLOOKUP($B63,'A1.3.11'!$B$26:$AM$105,AX$22,)="",VLOOKUP($B63,'A1.3.7'!$B$28:$H$118,4,)=""),"",VLOOKUP($B63,'A1.3.11'!$B$26:$AM$105,AX$22,)*(VLOOKUP($B63,'A1.3.7'!$B$28:$O$118,4,)+VLOOKUP($B63,'A1.3.7'!$B$28:$O$118,9,))))</f>
        <v>-0.21429508694004681</v>
      </c>
      <c r="AY63" s="2644">
        <f>IF('A1.3.8'!G$32="","",IF(OR(VLOOKUP($B63,'A1.3.11'!$B$26:$AM$105,AY$22,)="",VLOOKUP($B63,'A1.3.7'!$B$28:$H$118,4,)=""),"",VLOOKUP($B63,'A1.3.11'!$B$26:$AM$105,AY$22,)*(VLOOKUP($B63,'A1.3.7'!$B$28:$O$118,4,)+VLOOKUP($B63,'A1.3.7'!$B$28:$O$118,9,))))</f>
        <v>1.2772878289734693E-3</v>
      </c>
      <c r="AZ63" s="693" t="str">
        <f>IF('A1.3.8'!D$39="","",IF(OR(VLOOKUP($B63,'A1.3.11'!$B$26:$AM$105,AZ$22,)="",VLOOKUP($B63,'A1.3.7'!$B$28:$H$118,6,)=""),"",VLOOKUP($B63,'A1.3.11'!$B$26:$AM$105,AZ$22,)*VLOOKUP($B63,'A1.3.7'!$B$28:$O$118,6,)))</f>
        <v/>
      </c>
      <c r="BA63" s="691" t="str">
        <f>IF('A1.3.8'!E$39="","",IF(OR(VLOOKUP($B63,'A1.3.11'!$B$26:$AM$105,BA$22,)="",VLOOKUP($B63,'A1.3.7'!$B$28:$H$118,6,)=""),"",VLOOKUP($B63,'A1.3.11'!$B$26:$AM$105,BA$22,)*VLOOKUP($B63,'A1.3.7'!$B$28:$O$118,6,)))</f>
        <v/>
      </c>
      <c r="BB63" s="691" t="str">
        <f>IF('A1.3.8'!F$39="","",IF(OR(VLOOKUP($B63,'A1.3.11'!$B$26:$AM$105,BB$22,)="",VLOOKUP($B63,'A1.3.7'!$B$28:$H$118,6,)=""),"",VLOOKUP($B63,'A1.3.11'!$B$26:$AM$105,BB$22,)*VLOOKUP($B63,'A1.3.7'!$B$28:$O$118,6,)))</f>
        <v/>
      </c>
      <c r="BC63" s="1664" t="str">
        <f>IF('A1.3.8'!G$39="","",IF(OR(VLOOKUP($B63,'A1.3.11'!$B$26:$AM$105,BC$22,)="",VLOOKUP($B63,'A1.3.7'!$B$28:$H$118,6,)=""),"",VLOOKUP($B63,'A1.3.11'!$B$26:$AM$105,BC$22,)*VLOOKUP($B63,'A1.3.7'!$B$28:$O$118,6,)))</f>
        <v/>
      </c>
      <c r="BD63" s="693">
        <f>IF(AND(AV63="",AZ63=""),"",IF(AV63="",0,(AV63*VLOOKUP($B63,'A1.3.9'!$B$26:$O$57,9,TRUE))) + IF(AZ63="",0,(AZ63*VLOOKUP($B63,'A1.3.9'!$B$26:$O$57,10,TRUE))))</f>
        <v>622.81448800141254</v>
      </c>
      <c r="BE63" s="691">
        <f>IF(AND(AW63="",BA63=""),"",IF(AW63="",0,(AW63*VLOOKUP($B63,'A1.3.9'!$B$26:$O$57,9,TRUE))) + IF(BA63="",0,(BA63*VLOOKUP($B63,'A1.3.9'!$B$26:$O$57,10,TRUE))))</f>
        <v>32.343859927927952</v>
      </c>
      <c r="BF63" s="691">
        <f>IF(AND(AX63="",BB63=""),"",IF(AX63="",0,(AX63*VLOOKUP($B63,'A1.3.9'!$B$26:$O$57,9,TRUE))) + IF(BB63="",0,(BB63*VLOOKUP($B63,'A1.3.9'!$B$26:$O$57,10,TRUE))))</f>
        <v>-0.21429508694004681</v>
      </c>
      <c r="BG63" s="2644">
        <f>IF(AND(AY63="",BC63=""),"",IF(AY63="",0,(AY63*VLOOKUP($B63,'A1.3.9'!$B$26:$O$57,9,TRUE))) + IF(BC63="",0,(BC63*VLOOKUP($B63,'A1.3.9'!$B$26:$O$57,10,TRUE))))</f>
        <v>1.2772878289734693E-3</v>
      </c>
      <c r="BH63" s="693">
        <f>IF('A1.3.8'!D$33="","",IF(OR(VLOOKUP($B63,'A1.3.11'!$B$26:$AM$105,BH$22,)="",VLOOKUP($B63,'A1.3.7'!$B$28:$H$118,4,)=""),"",VLOOKUP($B63,'A1.3.11'!$B$26:$AM$105,BH$22,)*(VLOOKUP($B63,'A1.3.7'!$B$28:$O$118,4,)+VLOOKUP($B63,'A1.3.7'!$B$28:$O$118,9,))))</f>
        <v>369.38262984461966</v>
      </c>
      <c r="BI63" s="691">
        <f>IF('A1.3.8'!E$33="","",IF(OR(VLOOKUP($B63,'A1.3.11'!$B$26:$AM$105,BI$22,)="",VLOOKUP($B63,'A1.3.7'!$B$28:$H$118,4,)=""),"",VLOOKUP($B63,'A1.3.11'!$B$26:$AM$105,BI$22,)*(VLOOKUP($B63,'A1.3.7'!$B$28:$O$118,4,)+VLOOKUP($B63,'A1.3.7'!$B$28:$O$118,9,))))</f>
        <v>32.456525345978861</v>
      </c>
      <c r="BJ63" s="691">
        <f>IF('A1.3.8'!F$33="","",IF(OR(VLOOKUP($B63,'A1.3.11'!$B$26:$AM$105,BJ$22,)="",VLOOKUP($B63,'A1.3.7'!$B$28:$H$118,4,)=""),"",VLOOKUP($B63,'A1.3.11'!$B$26:$AM$105,BJ$22,)*(VLOOKUP($B63,'A1.3.7'!$B$28:$O$118,4,)+VLOOKUP($B63,'A1.3.7'!$B$28:$O$118,9,))))</f>
        <v>-0.35277350224793547</v>
      </c>
      <c r="BK63" s="2644">
        <f>IF('A1.3.8'!G$33="","",IF(OR(VLOOKUP($B63,'A1.3.11'!$B$26:$AM$105,BK$22,)="",VLOOKUP($B63,'A1.3.7'!$B$28:$H$118,4,)=""),"",VLOOKUP($B63,'A1.3.11'!$B$26:$AM$105,BK$22,)*(VLOOKUP($B63,'A1.3.7'!$B$28:$O$118,4,)+VLOOKUP($B63,'A1.3.7'!$B$28:$O$118,9,))))</f>
        <v>2.5877378352784151E-3</v>
      </c>
      <c r="BL63" s="693" t="str">
        <f>IF('A1.3.8'!D$40="","",IF(OR(VLOOKUP($B63,'A1.3.11'!$B$26:$AM$105,BL$22,)="",VLOOKUP($B63,'A1.3.7'!$B$28:$H$118,6,)=""),"",VLOOKUP($B63,'A1.3.11'!$B$26:$AM$105,BL$22,)*VLOOKUP($B63,'A1.3.7'!$B$28:$O$118,6,)))</f>
        <v/>
      </c>
      <c r="BM63" s="691" t="str">
        <f>IF('A1.3.8'!E$40="","",IF(OR(VLOOKUP($B63,'A1.3.11'!$B$26:$AM$105,BM$22,)="",VLOOKUP($B63,'A1.3.7'!$B$28:$H$118,6,)=""),"",VLOOKUP($B63,'A1.3.11'!$B$26:$AM$105,BM$22,)*VLOOKUP($B63,'A1.3.7'!$B$28:$O$118,6,)))</f>
        <v/>
      </c>
      <c r="BN63" s="691" t="str">
        <f>IF('A1.3.8'!F$40="","",IF(OR(VLOOKUP($B63,'A1.3.11'!$B$26:$AM$105,BN$22,)="",VLOOKUP($B63,'A1.3.7'!$B$28:$H$118,6,)=""),"",VLOOKUP($B63,'A1.3.11'!$B$26:$AM$105,BN$22,)*VLOOKUP($B63,'A1.3.7'!$B$28:$O$118,6,)))</f>
        <v/>
      </c>
      <c r="BO63" s="1664" t="str">
        <f>IF('A1.3.8'!G$40="","",IF(OR(VLOOKUP($B63,'A1.3.11'!$B$26:$AM$105,BO$22,)="",VLOOKUP($B63,'A1.3.7'!$B$28:$H$118,6,)=""),"",VLOOKUP($B63,'A1.3.11'!$B$26:$AM$105,BO$22,)*VLOOKUP($B63,'A1.3.7'!$B$28:$O$118,6,)))</f>
        <v/>
      </c>
      <c r="BP63" s="693">
        <f>IF(AND(BH63="",BL63=""),"",IF(BH63="",0,(BH63*VLOOKUP($B63,'A1.3.9'!$B$26:$O$57,9,TRUE))) + IF(BL63="",0,(BL63*VLOOKUP($B63,'A1.3.9'!$B$26:$O$57,10,TRUE))))</f>
        <v>369.38262984461966</v>
      </c>
      <c r="BQ63" s="691">
        <f>IF(AND(BI63="",BM63=""),"",IF(BI63="",0,(BI63*VLOOKUP($B63,'A1.3.9'!$B$26:$O$57,9,TRUE))) + IF(BM63="",0,(BM63*VLOOKUP($B63,'A1.3.9'!$B$26:$O$57,10,TRUE))))</f>
        <v>32.456525345978861</v>
      </c>
      <c r="BR63" s="691">
        <f>IF(AND(BJ63="",BN63=""),"",IF(BJ63="",0,(BJ63*VLOOKUP($B63,'A1.3.9'!$B$26:$O$57,9,TRUE))) + IF(BN63="",0,(BN63*VLOOKUP($B63,'A1.3.9'!$B$26:$O$57,10,TRUE))))</f>
        <v>-0.35277350224793547</v>
      </c>
      <c r="BS63" s="2644">
        <f>IF(AND(BK63="",BO63=""),"",IF(BK63="",0,(BK63*VLOOKUP($B63,'A1.3.9'!$B$26:$O$57,9,TRUE))) + IF(BO63="",0,(BO63*VLOOKUP($B63,'A1.3.9'!$B$26:$O$57,10,TRUE))))</f>
        <v>2.5877378352784151E-3</v>
      </c>
    </row>
    <row r="64" spans="1:71" s="26" customFormat="1" ht="13.5" customHeight="1">
      <c r="A64" s="113"/>
      <c r="B64" s="614">
        <f t="shared" si="0"/>
        <v>2047</v>
      </c>
      <c r="C64" s="147"/>
      <c r="D64" s="693">
        <f>IF('A1.3.8'!D$27="","",IF(OR(VLOOKUP($B64,'A1.3.11'!$B$26:$AM$105,D$22,)="",VLOOKUP($B64,'A1.3.7'!$B$28:$H$118,3,)=""),"",VLOOKUP($B64,'A1.3.11'!$B$26:$AM$105,D$22,)*(VLOOKUP($B64,'A1.3.7'!$B$28:$O$118,3,)+VLOOKUP($B64,'A1.3.7'!$B$28:$O$118,8,))))</f>
        <v>34.610168032466269</v>
      </c>
      <c r="E64" s="691">
        <f>IF('A1.3.8'!E$27="","",IF(OR(VLOOKUP($B64,'A1.3.11'!$B$26:$AM$105,E$22,)="",VLOOKUP($B64,'A1.3.7'!$B$28:$H$118,3,)=""),"",VLOOKUP($B64,'A1.3.11'!$B$26:$AM$105,E$22,)*(VLOOKUP($B64,'A1.3.7'!$B$28:$O$118,3,)+VLOOKUP($B64,'A1.3.7'!$B$28:$O$118,8,))))</f>
        <v>7.3552221152578401</v>
      </c>
      <c r="F64" s="691">
        <f>IF('A1.3.8'!F$27="","",IF(OR(VLOOKUP($B64,'A1.3.11'!$B$26:$AM$105,F$22,)="",VLOOKUP($B64,'A1.3.7'!$B$28:$H$118,3,)=""),"",VLOOKUP($B64,'A1.3.11'!$B$26:$AM$105,F$22,)*(VLOOKUP($B64,'A1.3.7'!$B$28:$O$118,3,)+VLOOKUP($B64,'A1.3.7'!$B$28:$O$118,8,))))</f>
        <v>-8.3784702345460718E-2</v>
      </c>
      <c r="G64" s="2644">
        <f>IF('A1.3.8'!G$27="","",IF(OR(VLOOKUP($B64,'A1.3.11'!$B$26:$AM$105,G$22,)="",VLOOKUP($B64,'A1.3.7'!$B$28:$H$118,3,)=""),"",VLOOKUP($B64,'A1.3.11'!$B$26:$AM$105,G$22,)*(VLOOKUP($B64,'A1.3.7'!$B$28:$O$118,3,)+VLOOKUP($B64,'A1.3.7'!$B$28:$O$118,8,))))</f>
        <v>5.5489934220321376E-4</v>
      </c>
      <c r="H64" s="693">
        <f>IF('A1.3.8'!D$28="","",IF(OR(VLOOKUP($B64,'A1.3.11'!$B$26:$AM$105,H$22,)="",VLOOKUP($B64,'A1.3.7'!$B$28:$H$118,4,)=""),"",VLOOKUP($B64,'A1.3.11'!$B$26:$AM$105,H$22,)*(VLOOKUP($B64,'A1.3.7'!$B$28:$O$118,4,)+VLOOKUP($B64,'A1.3.7'!$B$28:$O$118,9,))))</f>
        <v>42.741797859674044</v>
      </c>
      <c r="I64" s="691">
        <f>IF('A1.3.8'!E$28="","",IF(OR(VLOOKUP($B64,'A1.3.11'!$B$26:$AM$105,I$22,)="",VLOOKUP($B64,'A1.3.7'!$B$28:$H$118,4,)=""),"",VLOOKUP($B64,'A1.3.11'!$B$26:$AM$105,I$22,)*(VLOOKUP($B64,'A1.3.7'!$B$28:$O$118,4,)+VLOOKUP($B64,'A1.3.7'!$B$28:$O$118,9,))))</f>
        <v>6.1281168096179206</v>
      </c>
      <c r="J64" s="691">
        <f>IF('A1.3.8'!F$28="","",IF(OR(VLOOKUP($B64,'A1.3.11'!$B$26:$AM$105,J$22,)="",VLOOKUP($B64,'A1.3.7'!$B$28:$H$118,4,)=""),"",VLOOKUP($B64,'A1.3.11'!$B$26:$AM$105,J$22,)*(VLOOKUP($B64,'A1.3.7'!$B$28:$O$118,4,)+VLOOKUP($B64,'A1.3.7'!$B$28:$O$118,9,))))</f>
        <v>-5.8954190883433358E-2</v>
      </c>
      <c r="K64" s="2644">
        <f>IF('A1.3.8'!G$28="","",IF(OR(VLOOKUP($B64,'A1.3.11'!$B$26:$AM$105,K$22,)="",VLOOKUP($B64,'A1.3.7'!$B$28:$H$118,4,)=""),"",VLOOKUP($B64,'A1.3.11'!$B$26:$AM$105,K$22,)*(VLOOKUP($B64,'A1.3.7'!$B$28:$O$118,4,)+VLOOKUP($B64,'A1.3.7'!$B$28:$O$118,9,))))</f>
        <v>4.6456198193734719E-4</v>
      </c>
      <c r="L64" s="693" t="str">
        <f>IF('A1.3.8'!D$36="","",IF(OR(VLOOKUP($B64,'A1.3.11'!$B$26:$AM$105,L$22,)="",VLOOKUP($B64,'A1.3.7'!$B$28:$H$118,6,)=""),"",VLOOKUP($B64,'A1.3.11'!$B$26:$AM$105,L$22,)*VLOOKUP($B64,'A1.3.7'!$B$28:$O$118,6,)))</f>
        <v/>
      </c>
      <c r="M64" s="691">
        <f>IF('A1.3.8'!E$36="","",IF(OR(VLOOKUP($B64,'A1.3.11'!$B$26:$AM$105,M$22,)="",VLOOKUP($B64,'A1.3.7'!$B$28:$H$118,6,)=""),"",VLOOKUP($B64,'A1.3.11'!$B$26:$AM$105,M$22,)*VLOOKUP($B64,'A1.3.7'!$B$28:$O$118,6,)))</f>
        <v>1.9637608285706969</v>
      </c>
      <c r="N64" s="691" t="str">
        <f>IF('A1.3.8'!F$36="","",IF(OR(VLOOKUP($B64,'A1.3.11'!$B$26:$AM$105,N$22,)="",VLOOKUP($B64,'A1.3.7'!$B$28:$H$118,6,)=""),"",VLOOKUP($B64,'A1.3.11'!$B$26:$AM$105,N$22,)*VLOOKUP($B64,'A1.3.7'!$B$28:$O$118,6,)))</f>
        <v/>
      </c>
      <c r="O64" s="1664" t="str">
        <f>IF('A1.3.8'!G$36="","",IF(OR(VLOOKUP($B64,'A1.3.11'!$B$26:$AM$105,O$22,)="",VLOOKUP($B64,'A1.3.7'!$B$28:$H$118,6,)=""),"",VLOOKUP($B64,'A1.3.11'!$B$26:$AM$105,O$22,)*VLOOKUP($B64,'A1.3.7'!$B$28:$O$118,6,)))</f>
        <v/>
      </c>
      <c r="P64" s="693">
        <f>IF(AND(D64="",H64="",L64=""),"",IF(D64="",0,(D64*VLOOKUP($B64,'A1.3.9'!$B$26:$O$57,3,TRUE)))+IF(H64="",0,(H64*VLOOKUP($B64,'A1.3.9'!$B$26:$O$57,4,TRUE)))+IF(L64="",0,(L64*VLOOKUP($B64,'A1.3.9'!$B$26:$O$57,5,TRUE))))</f>
        <v>28.728627757317348</v>
      </c>
      <c r="Q64" s="691">
        <f>IF(AND(E64="",I64="",M64=""),"",IF(E64="",0,(E64*VLOOKUP($B64,'A1.3.9'!$B$26:$O$57,3,TRUE)))+IF(I64="",0,(I64*VLOOKUP($B64,'A1.3.9'!$B$26:$O$57,4,TRUE)))+IF(M64="",0,(M64*VLOOKUP($B64,'A1.3.9'!$B$26:$O$57,5,TRUE))))</f>
        <v>5.6694907694950372</v>
      </c>
      <c r="R64" s="691">
        <f>IF(AND(F64="",J64="",N64=""),"",IF(F64="",0,(F64*VLOOKUP($B64,'A1.3.9'!$B$26:$O$57,3,TRUE)))+IF(J64="",0,(J64*VLOOKUP($B64,'A1.3.9'!$B$26:$O$57,4,TRUE)))+IF(N64="",0,(N64*VLOOKUP($B64,'A1.3.9'!$B$26:$O$57,5,TRUE))))</f>
        <v>-5.5810326421688636E-2</v>
      </c>
      <c r="S64" s="2644">
        <f>IF(AND(G64="",K64="",O64=""),"",IF(G64="",0,(G64*VLOOKUP($B64,'A1.3.9'!$B$26:$O$57,3,TRUE)))+IF(K64="",0,(K64*VLOOKUP($B64,'A1.3.9'!$B$26:$O$57,4,TRUE)))+IF(O64="",0,(O64*VLOOKUP($B64,'A1.3.9'!$B$26:$O$57,5,TRUE))))</f>
        <v>3.9249651600795684E-4</v>
      </c>
      <c r="T64" s="693">
        <f>IF('A1.3.8'!D$29="","",IF(OR(VLOOKUP($B64,'A1.3.11'!$B$26:$AM$105,T$22,)="",VLOOKUP($B64,'A1.3.7'!$B$28:$H$118,3,)=""),"",VLOOKUP($B64,'A1.3.11'!$B$26:$AM$105,T$22,)*(VLOOKUP($B64,'A1.3.7'!$B$28:$O$118,3,)+VLOOKUP($B64,'A1.3.7'!$B$28:$O$118,8,))))</f>
        <v>24.896238410220743</v>
      </c>
      <c r="U64" s="691">
        <f>IF('A1.3.8'!E$29="","",IF(OR(VLOOKUP($B64,'A1.3.11'!$B$26:$AM$105,U$22,)="",VLOOKUP($B64,'A1.3.7'!$B$28:$H$118,3,)=""),"",VLOOKUP($B64,'A1.3.11'!$B$26:$AM$105,U$22,)*(VLOOKUP($B64,'A1.3.7'!$B$28:$O$118,3,)+VLOOKUP($B64,'A1.3.7'!$B$28:$O$118,8,))))</f>
        <v>13.960369346499144</v>
      </c>
      <c r="V64" s="691">
        <f>IF('A1.3.8'!F$29="","",IF(OR(VLOOKUP($B64,'A1.3.11'!$B$26:$AM$105,V$22,)="",VLOOKUP($B64,'A1.3.7'!$B$28:$H$118,3,)=""),"",VLOOKUP($B64,'A1.3.11'!$B$26:$AM$105,V$22,)*(VLOOKUP($B64,'A1.3.7'!$B$28:$O$118,3,)+VLOOKUP($B64,'A1.3.7'!$B$28:$O$118,8,))))</f>
        <v>-0.2191319752995812</v>
      </c>
      <c r="W64" s="2644">
        <f>IF('A1.3.8'!G$29="","",IF(OR(VLOOKUP($B64,'A1.3.11'!$B$26:$AM$105,W$22,)="",VLOOKUP($B64,'A1.3.7'!$B$28:$H$118,3,)=""),"",VLOOKUP($B64,'A1.3.11'!$B$26:$AM$105,W$22,)*(VLOOKUP($B64,'A1.3.7'!$B$28:$O$118,3,)+VLOOKUP($B64,'A1.3.7'!$B$28:$O$118,8,))))</f>
        <v>1.4151624859596245E-3</v>
      </c>
      <c r="X64" s="693">
        <f>IF('A1.3.8'!D$30="","",IF(OR(VLOOKUP($B64,'A1.3.11'!$B$26:$AM$105,X$22,)="",VLOOKUP($B64,'A1.3.7'!$B$28:$H$118,4,)=""),"",VLOOKUP($B64,'A1.3.11'!$B$26:$AM$105,X$22,)*(VLOOKUP($B64,'A1.3.7'!$B$28:$O$118,4,)+VLOOKUP($B64,'A1.3.7'!$B$28:$O$118,9,))))</f>
        <v>44.019905095956815</v>
      </c>
      <c r="Y64" s="691">
        <f>IF('A1.3.8'!E$30="","",IF(OR(VLOOKUP($B64,'A1.3.11'!$B$26:$AM$105,Y$22,)="",VLOOKUP($B64,'A1.3.7'!$B$28:$H$118,4,)=""),"",VLOOKUP($B64,'A1.3.11'!$B$26:$AM$105,Y$22,)*(VLOOKUP($B64,'A1.3.7'!$B$28:$O$118,4,)+VLOOKUP($B64,'A1.3.7'!$B$28:$O$118,9,))))</f>
        <v>10.758644201167705</v>
      </c>
      <c r="Z64" s="691">
        <f>IF('A1.3.8'!F$30="","",IF(OR(VLOOKUP($B64,'A1.3.11'!$B$26:$AM$105,Z$22,)="",VLOOKUP($B64,'A1.3.7'!$B$28:$H$118,4,)=""),"",VLOOKUP($B64,'A1.3.11'!$B$26:$AM$105,Z$22,)*(VLOOKUP($B64,'A1.3.7'!$B$28:$O$118,4,)+VLOOKUP($B64,'A1.3.7'!$B$28:$O$118,9,))))</f>
        <v>-0.15521299582432516</v>
      </c>
      <c r="AA64" s="2644">
        <f>IF('A1.3.8'!G$30="","",IF(OR(VLOOKUP($B64,'A1.3.11'!$B$26:$AM$105,AA$22,)="",VLOOKUP($B64,'A1.3.7'!$B$28:$H$118,4,)=""),"",VLOOKUP($B64,'A1.3.11'!$B$26:$AM$105,AA$22,)*(VLOOKUP($B64,'A1.3.7'!$B$28:$O$118,4,)+VLOOKUP($B64,'A1.3.7'!$B$28:$O$118,9,))))</f>
        <v>1.3140386344828909E-3</v>
      </c>
      <c r="AB64" s="693" t="str">
        <f>IF('A1.3.8'!D$37="","",IF(OR(VLOOKUP($B64,'A1.3.11'!$B$26:$AM$105,AB$22,)="",VLOOKUP($B64,'A1.3.7'!$B$28:$H$118,6,)=""),"",VLOOKUP($B64,'A1.3.11'!$B$26:$AM$105,AB$22,)*VLOOKUP($B64,'A1.3.7'!$B$28:$O$118,6,)))</f>
        <v/>
      </c>
      <c r="AC64" s="691">
        <f>IF('A1.3.8'!E$37="","",IF(OR(VLOOKUP($B64,'A1.3.11'!$B$26:$AM$105,AC$22,)="",VLOOKUP($B64,'A1.3.7'!$B$28:$H$118,6,)=""),"",VLOOKUP($B64,'A1.3.11'!$B$26:$AM$105,AC$22,)*VLOOKUP($B64,'A1.3.7'!$B$28:$O$118,6,)))</f>
        <v>4.5145632825273854</v>
      </c>
      <c r="AD64" s="691" t="str">
        <f>IF('A1.3.8'!F$37="","",IF(OR(VLOOKUP($B64,'A1.3.11'!$B$26:$AM$105,AD$22,)="",VLOOKUP($B64,'A1.3.7'!$B$28:$H$118,6,)=""),"",VLOOKUP($B64,'A1.3.11'!$B$26:$AM$105,AD$22,)*VLOOKUP($B64,'A1.3.7'!$B$28:$O$118,6,)))</f>
        <v/>
      </c>
      <c r="AE64" s="1664" t="str">
        <f>IF('A1.3.8'!G$37="","",IF(OR(VLOOKUP($B64,'A1.3.11'!$B$26:$AM$105,AE$22,)="",VLOOKUP($B64,'A1.3.7'!$B$28:$H$118,6,)=""),"",VLOOKUP($B64,'A1.3.11'!$B$26:$AM$105,AE$22,)*VLOOKUP($B64,'A1.3.7'!$B$28:$O$118,6,)))</f>
        <v/>
      </c>
      <c r="AF64" s="693">
        <f>IF(AND(T64="",X64="",AB64=""),"",IF(T64="",0,(T64*VLOOKUP('A1.3.12'!$B64,'A1.3.9'!$B$26:$O$57,6,TRUE))) + IF(X64="",0,(X64*VLOOKUP('A1.3.12'!$B64,'A1.3.9'!$B$26:$O$57,7,TRUE))) + IF(AB64="",0,(AB64*VLOOKUP('A1.3.12'!$B64,'A1.3.9'!$B$26:$O$57,8,TRUE))))</f>
        <v>39.058208567253601</v>
      </c>
      <c r="AG64" s="691">
        <f>IF(AND(U64="",Y64="",AC64=""),"",IF(U64="",0,(U64*VLOOKUP('A1.3.12'!$B64,'A1.3.9'!$B$26:$O$57,6,TRUE))) + IF(Y64="",0,(Y64*VLOOKUP('A1.3.12'!$B64,'A1.3.9'!$B$26:$O$57,7,TRUE))) + IF(AC64="",0,(AC64*VLOOKUP('A1.3.12'!$B64,'A1.3.9'!$B$26:$O$57,8,TRUE))))</f>
        <v>10.099682524068752</v>
      </c>
      <c r="AH64" s="691">
        <f>IF(AND(V64="",Z64="",AD64=""),"",IF(V64="",0,(V64*VLOOKUP('A1.3.12'!$B64,'A1.3.9'!$B$26:$O$57,6,TRUE))) + IF(Z64="",0,(Z64*VLOOKUP('A1.3.12'!$B64,'A1.3.9'!$B$26:$O$57,7,TRUE))) + IF(AD64="",0,(AD64*VLOOKUP('A1.3.12'!$B64,'A1.3.9'!$B$26:$O$57,8,TRUE))))</f>
        <v>-0.13871398925897177</v>
      </c>
      <c r="AI64" s="2644">
        <f>IF(AND(W64="",AA64="",AE64=""),"",IF(W64="",0,(W64*VLOOKUP('A1.3.12'!$B64,'A1.3.9'!$B$26:$O$57,6,TRUE))) + IF(AA64="",0,(AA64*VLOOKUP('A1.3.12'!$B64,'A1.3.9'!$B$26:$O$57,7,TRUE))) + IF(AE64="",0,(AE64*VLOOKUP('A1.3.12'!$B64,'A1.3.9'!$B$26:$O$57,8,TRUE))))</f>
        <v>1.1710215432250265E-3</v>
      </c>
      <c r="AJ64" s="693">
        <f>IF('A1.3.8'!D$31="","",IF(OR(VLOOKUP($B64,'A1.3.11'!$B$26:$AM$105,AJ$22,)="",VLOOKUP($B64,'A1.3.7'!$B$28:$H$118,4,)=""),"",VLOOKUP($B64,'A1.3.11'!$B$26:$AM$105,AJ$22,)*(VLOOKUP($B64,'A1.3.7'!$B$28:$O$118,4,)+VLOOKUP($B64,'A1.3.7'!$B$28:$O$118,9,))))</f>
        <v>297.57292058186982</v>
      </c>
      <c r="AK64" s="691">
        <f>IF('A1.3.8'!E$31="","",IF(OR(VLOOKUP($B64,'A1.3.11'!$B$26:$AM$105,AK$22,)="",VLOOKUP($B64,'A1.3.7'!$B$28:$H$118,4,)=""),"",VLOOKUP($B64,'A1.3.11'!$B$26:$AM$105,AK$22,)*(VLOOKUP($B64,'A1.3.7'!$B$28:$O$118,4,)+VLOOKUP($B64,'A1.3.7'!$B$28:$O$118,9,))))</f>
        <v>15.788387533287157</v>
      </c>
      <c r="AL64" s="691">
        <f>IF('A1.3.8'!F$31="","",IF(OR(VLOOKUP($B64,'A1.3.11'!$B$26:$AM$105,AL$22,)="",VLOOKUP($B64,'A1.3.7'!$B$28:$H$118,4,)=""),"",VLOOKUP($B64,'A1.3.11'!$B$26:$AM$105,AL$22,)*(VLOOKUP($B64,'A1.3.7'!$B$28:$O$118,4,)+VLOOKUP($B64,'A1.3.7'!$B$28:$O$118,9,))))</f>
        <v>-0.11411856533510142</v>
      </c>
      <c r="AM64" s="2644">
        <f>IF('A1.3.8'!G$31="","",IF(OR(VLOOKUP($B64,'A1.3.11'!$B$26:$AM$105,AM$22,)="",VLOOKUP($B64,'A1.3.7'!$B$28:$H$118,4,)=""),"",VLOOKUP($B64,'A1.3.11'!$B$26:$AM$105,AM$22,)*(VLOOKUP($B64,'A1.3.7'!$B$28:$O$118,4,)+VLOOKUP($B64,'A1.3.7'!$B$28:$O$118,9,))))</f>
        <v>1.2463578371003298E-3</v>
      </c>
      <c r="AN64" s="693" t="str">
        <f>IF('A1.3.8'!D$38="","",IF(OR(VLOOKUP($B64,'A1.3.11'!$B$26:$AM$105,AN$22,)="",VLOOKUP($B64,'A1.3.7'!$B$28:$H$118,6,)=""),"",VLOOKUP($B64,'A1.3.11'!$B$26:$AM$105,AN$22,)*VLOOKUP($B64,'A1.3.7'!$B$28:$O$118,6,)))</f>
        <v/>
      </c>
      <c r="AO64" s="691" t="str">
        <f>IF('A1.3.8'!E$38="","",IF(OR(VLOOKUP($B64,'A1.3.11'!$B$26:$AM$105,AO$22,)="",VLOOKUP($B64,'A1.3.7'!$B$28:$H$118,6,)=""),"",VLOOKUP($B64,'A1.3.11'!$B$26:$AM$105,AO$22,)*VLOOKUP($B64,'A1.3.7'!$B$28:$O$118,6,)))</f>
        <v/>
      </c>
      <c r="AP64" s="691" t="str">
        <f>IF('A1.3.8'!F$38="","",IF(OR(VLOOKUP($B64,'A1.3.11'!$B$26:$AM$105,AP$22,)="",VLOOKUP($B64,'A1.3.7'!$B$28:$H$118,6,)=""),"",VLOOKUP($B64,'A1.3.11'!$B$26:$AM$105,AP$22,)*VLOOKUP($B64,'A1.3.7'!$B$28:$O$118,6,)))</f>
        <v/>
      </c>
      <c r="AQ64" s="1664" t="str">
        <f>IF('A1.3.8'!G$38="","",IF(OR(VLOOKUP($B64,'A1.3.11'!$B$26:$AM$105,AQ$22,)="",VLOOKUP($B64,'A1.3.7'!$B$28:$H$118,6,)=""),"",VLOOKUP($B64,'A1.3.11'!$B$26:$AM$105,AQ$22,)*VLOOKUP($B64,'A1.3.7'!$B$28:$O$118,6,)))</f>
        <v/>
      </c>
      <c r="AR64" s="693">
        <f>IF(AND(AJ64="",AN64=""),"",IF(AJ64="",0,(AJ64*VLOOKUP($B64,'A1.3.9'!$B$26:$O$57,9,TRUE))) + IF(AN64="",0,(AN64*VLOOKUP($B64,'A1.3.9'!$B$26:$O$57,10,TRUE))))</f>
        <v>297.57292058186982</v>
      </c>
      <c r="AS64" s="691">
        <f>IF(AND(AK64="",AO64=""),"",IF(AK64="",0,(AK64*VLOOKUP($B64,'A1.3.9'!$B$26:$O$57,9,TRUE))) + IF(AO64="",0,(AO64*VLOOKUP($B64,'A1.3.9'!$B$26:$O$57,10,TRUE))))</f>
        <v>15.788387533287157</v>
      </c>
      <c r="AT64" s="691">
        <f>IF(AND(AL64="",AP64=""),"",IF(AL64="",0,(AL64*VLOOKUP($B64,'A1.3.9'!$B$26:$O$57,9,TRUE))) + IF(AP64="",0,(AP64*VLOOKUP($B64,'A1.3.9'!$B$26:$O$57,10,TRUE))))</f>
        <v>-0.11411856533510142</v>
      </c>
      <c r="AU64" s="2644">
        <f>IF(AND(AM64="",AQ64=""),"",IF(AM64="",0,(AM64*VLOOKUP($B64,'A1.3.9'!$B$26:$O$57,9,TRUE))) + IF(AQ64="",0,(AQ64*VLOOKUP($B64,'A1.3.9'!$B$26:$O$57,10,TRUE))))</f>
        <v>1.2463578371003298E-3</v>
      </c>
      <c r="AV64" s="693">
        <f>IF('A1.3.8'!D$32="","",IF(OR(VLOOKUP($B64,'A1.3.11'!$B$26:$AM$105,AV$22,)="",VLOOKUP($B64,'A1.3.7'!$B$28:$H$118,4,)=""),"",VLOOKUP($B64,'A1.3.11'!$B$26:$AM$105,AV$22,)*(VLOOKUP($B64,'A1.3.7'!$B$28:$O$118,4,)+VLOOKUP($B64,'A1.3.7'!$B$28:$O$118,9,))))</f>
        <v>625.27824672379131</v>
      </c>
      <c r="AW64" s="691">
        <f>IF('A1.3.8'!E$32="","",IF(OR(VLOOKUP($B64,'A1.3.11'!$B$26:$AM$105,AW$22,)="",VLOOKUP($B64,'A1.3.7'!$B$28:$H$118,4,)=""),"",VLOOKUP($B64,'A1.3.11'!$B$26:$AM$105,AW$22,)*(VLOOKUP($B64,'A1.3.7'!$B$28:$O$118,4,)+VLOOKUP($B64,'A1.3.7'!$B$28:$O$118,9,))))</f>
        <v>32.471807283919205</v>
      </c>
      <c r="AX64" s="691">
        <f>IF('A1.3.8'!F$32="","",IF(OR(VLOOKUP($B64,'A1.3.11'!$B$26:$AM$105,AX$22,)="",VLOOKUP($B64,'A1.3.7'!$B$28:$H$118,4,)=""),"",VLOOKUP($B64,'A1.3.11'!$B$26:$AM$105,AX$22,)*(VLOOKUP($B64,'A1.3.7'!$B$28:$O$118,4,)+VLOOKUP($B64,'A1.3.7'!$B$28:$O$118,9,))))</f>
        <v>-0.21514280548189657</v>
      </c>
      <c r="AY64" s="2644">
        <f>IF('A1.3.8'!G$32="","",IF(OR(VLOOKUP($B64,'A1.3.11'!$B$26:$AM$105,AY$22,)="",VLOOKUP($B64,'A1.3.7'!$B$28:$H$118,4,)=""),"",VLOOKUP($B64,'A1.3.11'!$B$26:$AM$105,AY$22,)*(VLOOKUP($B64,'A1.3.7'!$B$28:$O$118,4,)+VLOOKUP($B64,'A1.3.7'!$B$28:$O$118,9,))))</f>
        <v>1.282340583991613E-3</v>
      </c>
      <c r="AZ64" s="693" t="str">
        <f>IF('A1.3.8'!D$39="","",IF(OR(VLOOKUP($B64,'A1.3.11'!$B$26:$AM$105,AZ$22,)="",VLOOKUP($B64,'A1.3.7'!$B$28:$H$118,6,)=""),"",VLOOKUP($B64,'A1.3.11'!$B$26:$AM$105,AZ$22,)*VLOOKUP($B64,'A1.3.7'!$B$28:$O$118,6,)))</f>
        <v/>
      </c>
      <c r="BA64" s="691" t="str">
        <f>IF('A1.3.8'!E$39="","",IF(OR(VLOOKUP($B64,'A1.3.11'!$B$26:$AM$105,BA$22,)="",VLOOKUP($B64,'A1.3.7'!$B$28:$H$118,6,)=""),"",VLOOKUP($B64,'A1.3.11'!$B$26:$AM$105,BA$22,)*VLOOKUP($B64,'A1.3.7'!$B$28:$O$118,6,)))</f>
        <v/>
      </c>
      <c r="BB64" s="691" t="str">
        <f>IF('A1.3.8'!F$39="","",IF(OR(VLOOKUP($B64,'A1.3.11'!$B$26:$AM$105,BB$22,)="",VLOOKUP($B64,'A1.3.7'!$B$28:$H$118,6,)=""),"",VLOOKUP($B64,'A1.3.11'!$B$26:$AM$105,BB$22,)*VLOOKUP($B64,'A1.3.7'!$B$28:$O$118,6,)))</f>
        <v/>
      </c>
      <c r="BC64" s="1664" t="str">
        <f>IF('A1.3.8'!G$39="","",IF(OR(VLOOKUP($B64,'A1.3.11'!$B$26:$AM$105,BC$22,)="",VLOOKUP($B64,'A1.3.7'!$B$28:$H$118,6,)=""),"",VLOOKUP($B64,'A1.3.11'!$B$26:$AM$105,BC$22,)*VLOOKUP($B64,'A1.3.7'!$B$28:$O$118,6,)))</f>
        <v/>
      </c>
      <c r="BD64" s="693">
        <f>IF(AND(AV64="",AZ64=""),"",IF(AV64="",0,(AV64*VLOOKUP($B64,'A1.3.9'!$B$26:$O$57,9,TRUE))) + IF(AZ64="",0,(AZ64*VLOOKUP($B64,'A1.3.9'!$B$26:$O$57,10,TRUE))))</f>
        <v>625.27824672379131</v>
      </c>
      <c r="BE64" s="691">
        <f>IF(AND(AW64="",BA64=""),"",IF(AW64="",0,(AW64*VLOOKUP($B64,'A1.3.9'!$B$26:$O$57,9,TRUE))) + IF(BA64="",0,(BA64*VLOOKUP($B64,'A1.3.9'!$B$26:$O$57,10,TRUE))))</f>
        <v>32.471807283919205</v>
      </c>
      <c r="BF64" s="691">
        <f>IF(AND(AX64="",BB64=""),"",IF(AX64="",0,(AX64*VLOOKUP($B64,'A1.3.9'!$B$26:$O$57,9,TRUE))) + IF(BB64="",0,(BB64*VLOOKUP($B64,'A1.3.9'!$B$26:$O$57,10,TRUE))))</f>
        <v>-0.21514280548189657</v>
      </c>
      <c r="BG64" s="2644">
        <f>IF(AND(AY64="",BC64=""),"",IF(AY64="",0,(AY64*VLOOKUP($B64,'A1.3.9'!$B$26:$O$57,9,TRUE))) + IF(BC64="",0,(BC64*VLOOKUP($B64,'A1.3.9'!$B$26:$O$57,10,TRUE))))</f>
        <v>1.282340583991613E-3</v>
      </c>
      <c r="BH64" s="693">
        <f>IF('A1.3.8'!D$33="","",IF(OR(VLOOKUP($B64,'A1.3.11'!$B$26:$AM$105,BH$22,)="",VLOOKUP($B64,'A1.3.7'!$B$28:$H$118,4,)=""),"",VLOOKUP($B64,'A1.3.11'!$B$26:$AM$105,BH$22,)*(VLOOKUP($B64,'A1.3.7'!$B$28:$O$118,4,)+VLOOKUP($B64,'A1.3.7'!$B$28:$O$118,9,))))</f>
        <v>370.84385095252173</v>
      </c>
      <c r="BI64" s="691">
        <f>IF('A1.3.8'!E$33="","",IF(OR(VLOOKUP($B64,'A1.3.11'!$B$26:$AM$105,BI$22,)="",VLOOKUP($B64,'A1.3.7'!$B$28:$H$118,4,)=""),"",VLOOKUP($B64,'A1.3.11'!$B$26:$AM$105,BI$22,)*(VLOOKUP($B64,'A1.3.7'!$B$28:$O$118,4,)+VLOOKUP($B64,'A1.3.7'!$B$28:$O$118,9,))))</f>
        <v>32.584918389107749</v>
      </c>
      <c r="BJ64" s="691">
        <f>IF('A1.3.8'!F$33="","",IF(OR(VLOOKUP($B64,'A1.3.11'!$B$26:$AM$105,BJ$22,)="",VLOOKUP($B64,'A1.3.7'!$B$28:$H$118,4,)=""),"",VLOOKUP($B64,'A1.3.11'!$B$26:$AM$105,BJ$22,)*(VLOOKUP($B64,'A1.3.7'!$B$28:$O$118,4,)+VLOOKUP($B64,'A1.3.7'!$B$28:$O$118,9,))))</f>
        <v>-0.35416902019096941</v>
      </c>
      <c r="BK64" s="2644">
        <f>IF('A1.3.8'!G$33="","",IF(OR(VLOOKUP($B64,'A1.3.11'!$B$26:$AM$105,BK$22,)="",VLOOKUP($B64,'A1.3.7'!$B$28:$H$118,4,)=""),"",VLOOKUP($B64,'A1.3.11'!$B$26:$AM$105,BK$22,)*(VLOOKUP($B64,'A1.3.7'!$B$28:$O$118,4,)+VLOOKUP($B64,'A1.3.7'!$B$28:$O$118,9,))))</f>
        <v>2.5979745298090056E-3</v>
      </c>
      <c r="BL64" s="693" t="str">
        <f>IF('A1.3.8'!D$40="","",IF(OR(VLOOKUP($B64,'A1.3.11'!$B$26:$AM$105,BL$22,)="",VLOOKUP($B64,'A1.3.7'!$B$28:$H$118,6,)=""),"",VLOOKUP($B64,'A1.3.11'!$B$26:$AM$105,BL$22,)*VLOOKUP($B64,'A1.3.7'!$B$28:$O$118,6,)))</f>
        <v/>
      </c>
      <c r="BM64" s="691" t="str">
        <f>IF('A1.3.8'!E$40="","",IF(OR(VLOOKUP($B64,'A1.3.11'!$B$26:$AM$105,BM$22,)="",VLOOKUP($B64,'A1.3.7'!$B$28:$H$118,6,)=""),"",VLOOKUP($B64,'A1.3.11'!$B$26:$AM$105,BM$22,)*VLOOKUP($B64,'A1.3.7'!$B$28:$O$118,6,)))</f>
        <v/>
      </c>
      <c r="BN64" s="691" t="str">
        <f>IF('A1.3.8'!F$40="","",IF(OR(VLOOKUP($B64,'A1.3.11'!$B$26:$AM$105,BN$22,)="",VLOOKUP($B64,'A1.3.7'!$B$28:$H$118,6,)=""),"",VLOOKUP($B64,'A1.3.11'!$B$26:$AM$105,BN$22,)*VLOOKUP($B64,'A1.3.7'!$B$28:$O$118,6,)))</f>
        <v/>
      </c>
      <c r="BO64" s="1664" t="str">
        <f>IF('A1.3.8'!G$40="","",IF(OR(VLOOKUP($B64,'A1.3.11'!$B$26:$AM$105,BO$22,)="",VLOOKUP($B64,'A1.3.7'!$B$28:$H$118,6,)=""),"",VLOOKUP($B64,'A1.3.11'!$B$26:$AM$105,BO$22,)*VLOOKUP($B64,'A1.3.7'!$B$28:$O$118,6,)))</f>
        <v/>
      </c>
      <c r="BP64" s="693">
        <f>IF(AND(BH64="",BL64=""),"",IF(BH64="",0,(BH64*VLOOKUP($B64,'A1.3.9'!$B$26:$O$57,9,TRUE))) + IF(BL64="",0,(BL64*VLOOKUP($B64,'A1.3.9'!$B$26:$O$57,10,TRUE))))</f>
        <v>370.84385095252173</v>
      </c>
      <c r="BQ64" s="691">
        <f>IF(AND(BI64="",BM64=""),"",IF(BI64="",0,(BI64*VLOOKUP($B64,'A1.3.9'!$B$26:$O$57,9,TRUE))) + IF(BM64="",0,(BM64*VLOOKUP($B64,'A1.3.9'!$B$26:$O$57,10,TRUE))))</f>
        <v>32.584918389107749</v>
      </c>
      <c r="BR64" s="691">
        <f>IF(AND(BJ64="",BN64=""),"",IF(BJ64="",0,(BJ64*VLOOKUP($B64,'A1.3.9'!$B$26:$O$57,9,TRUE))) + IF(BN64="",0,(BN64*VLOOKUP($B64,'A1.3.9'!$B$26:$O$57,10,TRUE))))</f>
        <v>-0.35416902019096941</v>
      </c>
      <c r="BS64" s="2644">
        <f>IF(AND(BK64="",BO64=""),"",IF(BK64="",0,(BK64*VLOOKUP($B64,'A1.3.9'!$B$26:$O$57,9,TRUE))) + IF(BO64="",0,(BO64*VLOOKUP($B64,'A1.3.9'!$B$26:$O$57,10,TRUE))))</f>
        <v>2.5979745298090056E-3</v>
      </c>
    </row>
    <row r="65" spans="1:71" s="26" customFormat="1" ht="13.5" customHeight="1">
      <c r="A65" s="113"/>
      <c r="B65" s="614">
        <f t="shared" si="0"/>
        <v>2048</v>
      </c>
      <c r="C65" s="147"/>
      <c r="D65" s="693">
        <f>IF('A1.3.8'!D$27="","",IF(OR(VLOOKUP($B65,'A1.3.11'!$B$26:$AM$105,D$22,)="",VLOOKUP($B65,'A1.3.7'!$B$28:$H$118,3,)=""),"",VLOOKUP($B65,'A1.3.11'!$B$26:$AM$105,D$22,)*(VLOOKUP($B65,'A1.3.7'!$B$28:$O$118,3,)+VLOOKUP($B65,'A1.3.7'!$B$28:$O$118,8,))))</f>
        <v>34.752585955881202</v>
      </c>
      <c r="E65" s="691">
        <f>IF('A1.3.8'!E$27="","",IF(OR(VLOOKUP($B65,'A1.3.11'!$B$26:$AM$105,E$22,)="",VLOOKUP($B65,'A1.3.7'!$B$28:$H$118,3,)=""),"",VLOOKUP($B65,'A1.3.11'!$B$26:$AM$105,E$22,)*(VLOOKUP($B65,'A1.3.7'!$B$28:$O$118,3,)+VLOOKUP($B65,'A1.3.7'!$B$28:$O$118,8,))))</f>
        <v>7.385488234131576</v>
      </c>
      <c r="F65" s="691">
        <f>IF('A1.3.8'!F$27="","",IF(OR(VLOOKUP($B65,'A1.3.11'!$B$26:$AM$105,F$22,)="",VLOOKUP($B65,'A1.3.7'!$B$28:$H$118,3,)=""),"",VLOOKUP($B65,'A1.3.11'!$B$26:$AM$105,F$22,)*(VLOOKUP($B65,'A1.3.7'!$B$28:$O$118,3,)+VLOOKUP($B65,'A1.3.7'!$B$28:$O$118,8,))))</f>
        <v>-8.4129469331589907E-2</v>
      </c>
      <c r="G65" s="2644">
        <f>IF('A1.3.8'!G$27="","",IF(OR(VLOOKUP($B65,'A1.3.11'!$B$26:$AM$105,G$22,)="",VLOOKUP($B65,'A1.3.7'!$B$28:$H$118,3,)=""),"",VLOOKUP($B65,'A1.3.11'!$B$26:$AM$105,G$22,)*(VLOOKUP($B65,'A1.3.7'!$B$28:$O$118,3,)+VLOOKUP($B65,'A1.3.7'!$B$28:$O$118,8,))))</f>
        <v>5.5718270621192816E-4</v>
      </c>
      <c r="H65" s="693">
        <f>IF('A1.3.8'!D$28="","",IF(OR(VLOOKUP($B65,'A1.3.11'!$B$26:$AM$105,H$22,)="",VLOOKUP($B65,'A1.3.7'!$B$28:$H$118,4,)=""),"",VLOOKUP($B65,'A1.3.11'!$B$26:$AM$105,H$22,)*(VLOOKUP($B65,'A1.3.7'!$B$28:$O$118,4,)+VLOOKUP($B65,'A1.3.7'!$B$28:$O$118,9,))))</f>
        <v>42.911364037900604</v>
      </c>
      <c r="I65" s="691">
        <f>IF('A1.3.8'!E$28="","",IF(OR(VLOOKUP($B65,'A1.3.11'!$B$26:$AM$105,I$22,)="",VLOOKUP($B65,'A1.3.7'!$B$28:$H$118,4,)=""),"",VLOOKUP($B65,'A1.3.11'!$B$26:$AM$105,I$22,)*(VLOOKUP($B65,'A1.3.7'!$B$28:$O$118,4,)+VLOOKUP($B65,'A1.3.7'!$B$28:$O$118,9,))))</f>
        <v>6.1524284062087897</v>
      </c>
      <c r="J65" s="691">
        <f>IF('A1.3.8'!F$28="","",IF(OR(VLOOKUP($B65,'A1.3.11'!$B$26:$AM$105,J$22,)="",VLOOKUP($B65,'A1.3.7'!$B$28:$H$118,4,)=""),"",VLOOKUP($B65,'A1.3.11'!$B$26:$AM$105,J$22,)*(VLOOKUP($B65,'A1.3.7'!$B$28:$O$118,4,)+VLOOKUP($B65,'A1.3.7'!$B$28:$O$118,9,))))</f>
        <v>-5.9188075215378472E-2</v>
      </c>
      <c r="K65" s="2644">
        <f>IF('A1.3.8'!G$28="","",IF(OR(VLOOKUP($B65,'A1.3.11'!$B$26:$AM$105,K$22,)="",VLOOKUP($B65,'A1.3.7'!$B$28:$H$118,4,)=""),"",VLOOKUP($B65,'A1.3.11'!$B$26:$AM$105,K$22,)*(VLOOKUP($B65,'A1.3.7'!$B$28:$O$118,4,)+VLOOKUP($B65,'A1.3.7'!$B$28:$O$118,9,))))</f>
        <v>4.6640500220722673E-4</v>
      </c>
      <c r="L65" s="693" t="str">
        <f>IF('A1.3.8'!D$36="","",IF(OR(VLOOKUP($B65,'A1.3.11'!$B$26:$AM$105,L$22,)="",VLOOKUP($B65,'A1.3.7'!$B$28:$H$118,6,)=""),"",VLOOKUP($B65,'A1.3.11'!$B$26:$AM$105,L$22,)*VLOOKUP($B65,'A1.3.7'!$B$28:$O$118,6,)))</f>
        <v/>
      </c>
      <c r="M65" s="691">
        <f>IF('A1.3.8'!E$36="","",IF(OR(VLOOKUP($B65,'A1.3.11'!$B$26:$AM$105,M$22,)="",VLOOKUP($B65,'A1.3.7'!$B$28:$H$118,6,)=""),"",VLOOKUP($B65,'A1.3.11'!$B$26:$AM$105,M$22,)*VLOOKUP($B65,'A1.3.7'!$B$28:$O$118,6,)))</f>
        <v>1.9637608285706969</v>
      </c>
      <c r="N65" s="691" t="str">
        <f>IF('A1.3.8'!F$36="","",IF(OR(VLOOKUP($B65,'A1.3.11'!$B$26:$AM$105,N$22,)="",VLOOKUP($B65,'A1.3.7'!$B$28:$H$118,6,)=""),"",VLOOKUP($B65,'A1.3.11'!$B$26:$AM$105,N$22,)*VLOOKUP($B65,'A1.3.7'!$B$28:$O$118,6,)))</f>
        <v/>
      </c>
      <c r="O65" s="1664" t="str">
        <f>IF('A1.3.8'!G$36="","",IF(OR(VLOOKUP($B65,'A1.3.11'!$B$26:$AM$105,O$22,)="",VLOOKUP($B65,'A1.3.7'!$B$28:$H$118,6,)=""),"",VLOOKUP($B65,'A1.3.11'!$B$26:$AM$105,O$22,)*VLOOKUP($B65,'A1.3.7'!$B$28:$O$118,6,)))</f>
        <v/>
      </c>
      <c r="P65" s="693">
        <f>IF(AND(D65="",H65="",L65=""),"",IF(D65="",0,(D65*VLOOKUP($B65,'A1.3.9'!$B$26:$O$57,3,TRUE)))+IF(H65="",0,(H65*VLOOKUP($B65,'A1.3.9'!$B$26:$O$57,4,TRUE)))+IF(L65="",0,(L65*VLOOKUP($B65,'A1.3.9'!$B$26:$O$57,5,TRUE))))</f>
        <v>28.844895712473054</v>
      </c>
      <c r="Q65" s="691">
        <f>IF(AND(E65="",I65="",M65=""),"",IF(E65="",0,(E65*VLOOKUP($B65,'A1.3.9'!$B$26:$O$57,3,TRUE)))+IF(I65="",0,(I65*VLOOKUP($B65,'A1.3.9'!$B$26:$O$57,4,TRUE)))+IF(M65="",0,(M65*VLOOKUP($B65,'A1.3.9'!$B$26:$O$57,5,TRUE))))</f>
        <v>5.690581911018894</v>
      </c>
      <c r="R65" s="691">
        <f>IF(AND(F65="",J65="",N65=""),"",IF(F65="",0,(F65*VLOOKUP($B65,'A1.3.9'!$B$26:$O$57,3,TRUE)))+IF(J65="",0,(J65*VLOOKUP($B65,'A1.3.9'!$B$26:$O$57,4,TRUE)))+IF(N65="",0,(N65*VLOOKUP($B65,'A1.3.9'!$B$26:$O$57,5,TRUE))))</f>
        <v>-5.6037294415693842E-2</v>
      </c>
      <c r="S65" s="2644">
        <f>IF(AND(G65="",K65="",O65=""),"",IF(G65="",0,(G65*VLOOKUP($B65,'A1.3.9'!$B$26:$O$57,3,TRUE)))+IF(K65="",0,(K65*VLOOKUP($B65,'A1.3.9'!$B$26:$O$57,4,TRUE)))+IF(O65="",0,(O65*VLOOKUP($B65,'A1.3.9'!$B$26:$O$57,5,TRUE))))</f>
        <v>3.9409043400967639E-4</v>
      </c>
      <c r="T65" s="693">
        <f>IF('A1.3.8'!D$29="","",IF(OR(VLOOKUP($B65,'A1.3.11'!$B$26:$AM$105,T$22,)="",VLOOKUP($B65,'A1.3.7'!$B$28:$H$118,3,)=""),"",VLOOKUP($B65,'A1.3.11'!$B$26:$AM$105,T$22,)*(VLOOKUP($B65,'A1.3.7'!$B$28:$O$118,3,)+VLOOKUP($B65,'A1.3.7'!$B$28:$O$118,8,))))</f>
        <v>24.99868433223709</v>
      </c>
      <c r="U65" s="691">
        <f>IF('A1.3.8'!E$29="","",IF(OR(VLOOKUP($B65,'A1.3.11'!$B$26:$AM$105,U$22,)="",VLOOKUP($B65,'A1.3.7'!$B$28:$H$118,3,)=""),"",VLOOKUP($B65,'A1.3.11'!$B$26:$AM$105,U$22,)*(VLOOKUP($B65,'A1.3.7'!$B$28:$O$118,3,)+VLOOKUP($B65,'A1.3.7'!$B$28:$O$118,8,))))</f>
        <v>14.017815089338901</v>
      </c>
      <c r="V65" s="691">
        <f>IF('A1.3.8'!F$29="","",IF(OR(VLOOKUP($B65,'A1.3.11'!$B$26:$AM$105,V$22,)="",VLOOKUP($B65,'A1.3.7'!$B$28:$H$118,3,)=""),"",VLOOKUP($B65,'A1.3.11'!$B$26:$AM$105,V$22,)*(VLOOKUP($B65,'A1.3.7'!$B$28:$O$118,3,)+VLOOKUP($B65,'A1.3.7'!$B$28:$O$118,8,))))</f>
        <v>-0.22003368490257139</v>
      </c>
      <c r="W65" s="2644">
        <f>IF('A1.3.8'!G$29="","",IF(OR(VLOOKUP($B65,'A1.3.11'!$B$26:$AM$105,W$22,)="",VLOOKUP($B65,'A1.3.7'!$B$28:$H$118,3,)=""),"",VLOOKUP($B65,'A1.3.11'!$B$26:$AM$105,W$22,)*(VLOOKUP($B65,'A1.3.7'!$B$28:$O$118,3,)+VLOOKUP($B65,'A1.3.7'!$B$28:$O$118,8,))))</f>
        <v>1.4209857602747338E-3</v>
      </c>
      <c r="X65" s="693">
        <f>IF('A1.3.8'!D$30="","",IF(OR(VLOOKUP($B65,'A1.3.11'!$B$26:$AM$105,X$22,)="",VLOOKUP($B65,'A1.3.7'!$B$28:$H$118,4,)=""),"",VLOOKUP($B65,'A1.3.11'!$B$26:$AM$105,X$22,)*(VLOOKUP($B65,'A1.3.7'!$B$28:$O$118,4,)+VLOOKUP($B65,'A1.3.7'!$B$28:$O$118,9,))))</f>
        <v>44.194541808654854</v>
      </c>
      <c r="Y65" s="691">
        <f>IF('A1.3.8'!E$30="","",IF(OR(VLOOKUP($B65,'A1.3.11'!$B$26:$AM$105,Y$22,)="",VLOOKUP($B65,'A1.3.7'!$B$28:$H$118,4,)=""),"",VLOOKUP($B65,'A1.3.11'!$B$26:$AM$105,Y$22,)*(VLOOKUP($B65,'A1.3.7'!$B$28:$O$118,4,)+VLOOKUP($B65,'A1.3.7'!$B$28:$O$118,9,))))</f>
        <v>10.801326125453642</v>
      </c>
      <c r="Z65" s="691">
        <f>IF('A1.3.8'!F$30="","",IF(OR(VLOOKUP($B65,'A1.3.11'!$B$26:$AM$105,Z$22,)="",VLOOKUP($B65,'A1.3.7'!$B$28:$H$118,4,)=""),"",VLOOKUP($B65,'A1.3.11'!$B$26:$AM$105,Z$22,)*(VLOOKUP($B65,'A1.3.7'!$B$28:$O$118,4,)+VLOOKUP($B65,'A1.3.7'!$B$28:$O$118,9,))))</f>
        <v>-0.15582876015411384</v>
      </c>
      <c r="AA65" s="2644">
        <f>IF('A1.3.8'!G$30="","",IF(OR(VLOOKUP($B65,'A1.3.11'!$B$26:$AM$105,AA$22,)="",VLOOKUP($B65,'A1.3.7'!$B$28:$H$118,4,)=""),"",VLOOKUP($B65,'A1.3.11'!$B$26:$AM$105,AA$22,)*(VLOOKUP($B65,'A1.3.7'!$B$28:$O$118,4,)+VLOOKUP($B65,'A1.3.7'!$B$28:$O$118,9,))))</f>
        <v>1.3192517167688266E-3</v>
      </c>
      <c r="AB65" s="693" t="str">
        <f>IF('A1.3.8'!D$37="","",IF(OR(VLOOKUP($B65,'A1.3.11'!$B$26:$AM$105,AB$22,)="",VLOOKUP($B65,'A1.3.7'!$B$28:$H$118,6,)=""),"",VLOOKUP($B65,'A1.3.11'!$B$26:$AM$105,AB$22,)*VLOOKUP($B65,'A1.3.7'!$B$28:$O$118,6,)))</f>
        <v/>
      </c>
      <c r="AC65" s="691">
        <f>IF('A1.3.8'!E$37="","",IF(OR(VLOOKUP($B65,'A1.3.11'!$B$26:$AM$105,AC$22,)="",VLOOKUP($B65,'A1.3.7'!$B$28:$H$118,6,)=""),"",VLOOKUP($B65,'A1.3.11'!$B$26:$AM$105,AC$22,)*VLOOKUP($B65,'A1.3.7'!$B$28:$O$118,6,)))</f>
        <v>4.5145632825273854</v>
      </c>
      <c r="AD65" s="691" t="str">
        <f>IF('A1.3.8'!F$37="","",IF(OR(VLOOKUP($B65,'A1.3.11'!$B$26:$AM$105,AD$22,)="",VLOOKUP($B65,'A1.3.7'!$B$28:$H$118,6,)=""),"",VLOOKUP($B65,'A1.3.11'!$B$26:$AM$105,AD$22,)*VLOOKUP($B65,'A1.3.7'!$B$28:$O$118,6,)))</f>
        <v/>
      </c>
      <c r="AE65" s="1664" t="str">
        <f>IF('A1.3.8'!G$37="","",IF(OR(VLOOKUP($B65,'A1.3.11'!$B$26:$AM$105,AE$22,)="",VLOOKUP($B65,'A1.3.7'!$B$28:$H$118,6,)=""),"",VLOOKUP($B65,'A1.3.11'!$B$26:$AM$105,AE$22,)*VLOOKUP($B65,'A1.3.7'!$B$28:$O$118,6,)))</f>
        <v/>
      </c>
      <c r="AF65" s="693">
        <f>IF(AND(T65="",X65="",AB65=""),"",IF(T65="",0,(T65*VLOOKUP('A1.3.12'!$B65,'A1.3.9'!$B$26:$O$57,6,TRUE))) + IF(X65="",0,(X65*VLOOKUP('A1.3.12'!$B65,'A1.3.9'!$B$26:$O$57,7,TRUE))) + IF(AB65="",0,(AB65*VLOOKUP('A1.3.12'!$B65,'A1.3.9'!$B$26:$O$57,8,TRUE))))</f>
        <v>39.213189007863107</v>
      </c>
      <c r="AG65" s="691">
        <f>IF(AND(U65="",Y65="",AC65=""),"",IF(U65="",0,(U65*VLOOKUP('A1.3.12'!$B65,'A1.3.9'!$B$26:$O$57,6,TRUE))) + IF(Y65="",0,(Y65*VLOOKUP('A1.3.12'!$B65,'A1.3.9'!$B$26:$O$57,7,TRUE))) + IF(AC65="",0,(AC65*VLOOKUP('A1.3.12'!$B65,'A1.3.9'!$B$26:$O$57,8,TRUE))))</f>
        <v>10.137806068831106</v>
      </c>
      <c r="AH65" s="691">
        <f>IF(AND(V65="",Z65="",AD65=""),"",IF(V65="",0,(V65*VLOOKUP('A1.3.12'!$B65,'A1.3.9'!$B$26:$O$57,6,TRUE))) + IF(Z65="",0,(Z65*VLOOKUP('A1.3.12'!$B65,'A1.3.9'!$B$26:$O$57,7,TRUE))) + IF(AD65="",0,(AD65*VLOOKUP('A1.3.12'!$B65,'A1.3.9'!$B$26:$O$57,8,TRUE))))</f>
        <v>-0.13926454374300118</v>
      </c>
      <c r="AI65" s="2644">
        <f>IF(AND(W65="",AA65="",AE65=""),"",IF(W65="",0,(W65*VLOOKUP('A1.3.12'!$B65,'A1.3.9'!$B$26:$O$57,6,TRUE))) + IF(AA65="",0,(AA65*VLOOKUP('A1.3.12'!$B65,'A1.3.9'!$B$26:$O$57,7,TRUE))) + IF(AE65="",0,(AE65*VLOOKUP('A1.3.12'!$B65,'A1.3.9'!$B$26:$O$57,8,TRUE))))</f>
        <v>1.1756688296271946E-3</v>
      </c>
      <c r="AJ65" s="693">
        <f>IF('A1.3.8'!D$31="","",IF(OR(VLOOKUP($B65,'A1.3.11'!$B$26:$AM$105,AJ$22,)="",VLOOKUP($B65,'A1.3.7'!$B$28:$H$118,4,)=""),"",VLOOKUP($B65,'A1.3.11'!$B$26:$AM$105,AJ$22,)*(VLOOKUP($B65,'A1.3.7'!$B$28:$O$118,4,)+VLOOKUP($B65,'A1.3.7'!$B$28:$O$118,9,))))</f>
        <v>298.75345826192819</v>
      </c>
      <c r="AK65" s="691">
        <f>IF('A1.3.8'!E$31="","",IF(OR(VLOOKUP($B65,'A1.3.11'!$B$26:$AM$105,AK$22,)="",VLOOKUP($B65,'A1.3.7'!$B$28:$H$118,4,)=""),"",VLOOKUP($B65,'A1.3.11'!$B$26:$AM$105,AK$22,)*(VLOOKUP($B65,'A1.3.7'!$B$28:$O$118,4,)+VLOOKUP($B65,'A1.3.7'!$B$28:$O$118,9,))))</f>
        <v>15.851023563319606</v>
      </c>
      <c r="AL65" s="691">
        <f>IF('A1.3.8'!F$31="","",IF(OR(VLOOKUP($B65,'A1.3.11'!$B$26:$AM$105,AL$22,)="",VLOOKUP($B65,'A1.3.7'!$B$28:$H$118,4,)=""),"",VLOOKUP($B65,'A1.3.11'!$B$26:$AM$105,AL$22,)*(VLOOKUP($B65,'A1.3.7'!$B$28:$O$118,4,)+VLOOKUP($B65,'A1.3.7'!$B$28:$O$118,9,))))</f>
        <v>-0.11457129895786811</v>
      </c>
      <c r="AM65" s="2644">
        <f>IF('A1.3.8'!G$31="","",IF(OR(VLOOKUP($B65,'A1.3.11'!$B$26:$AM$105,AM$22,)="",VLOOKUP($B65,'A1.3.7'!$B$28:$H$118,4,)=""),"",VLOOKUP($B65,'A1.3.11'!$B$26:$AM$105,AM$22,)*(VLOOKUP($B65,'A1.3.7'!$B$28:$O$118,4,)+VLOOKUP($B65,'A1.3.7'!$B$28:$O$118,9,))))</f>
        <v>1.2513024146736385E-3</v>
      </c>
      <c r="AN65" s="693" t="str">
        <f>IF('A1.3.8'!D$38="","",IF(OR(VLOOKUP($B65,'A1.3.11'!$B$26:$AM$105,AN$22,)="",VLOOKUP($B65,'A1.3.7'!$B$28:$H$118,6,)=""),"",VLOOKUP($B65,'A1.3.11'!$B$26:$AM$105,AN$22,)*VLOOKUP($B65,'A1.3.7'!$B$28:$O$118,6,)))</f>
        <v/>
      </c>
      <c r="AO65" s="691" t="str">
        <f>IF('A1.3.8'!E$38="","",IF(OR(VLOOKUP($B65,'A1.3.11'!$B$26:$AM$105,AO$22,)="",VLOOKUP($B65,'A1.3.7'!$B$28:$H$118,6,)=""),"",VLOOKUP($B65,'A1.3.11'!$B$26:$AM$105,AO$22,)*VLOOKUP($B65,'A1.3.7'!$B$28:$O$118,6,)))</f>
        <v/>
      </c>
      <c r="AP65" s="691" t="str">
        <f>IF('A1.3.8'!F$38="","",IF(OR(VLOOKUP($B65,'A1.3.11'!$B$26:$AM$105,AP$22,)="",VLOOKUP($B65,'A1.3.7'!$B$28:$H$118,6,)=""),"",VLOOKUP($B65,'A1.3.11'!$B$26:$AM$105,AP$22,)*VLOOKUP($B65,'A1.3.7'!$B$28:$O$118,6,)))</f>
        <v/>
      </c>
      <c r="AQ65" s="1664" t="str">
        <f>IF('A1.3.8'!G$38="","",IF(OR(VLOOKUP($B65,'A1.3.11'!$B$26:$AM$105,AQ$22,)="",VLOOKUP($B65,'A1.3.7'!$B$28:$H$118,6,)=""),"",VLOOKUP($B65,'A1.3.11'!$B$26:$AM$105,AQ$22,)*VLOOKUP($B65,'A1.3.7'!$B$28:$O$118,6,)))</f>
        <v/>
      </c>
      <c r="AR65" s="693">
        <f>IF(AND(AJ65="",AN65=""),"",IF(AJ65="",0,(AJ65*VLOOKUP($B65,'A1.3.9'!$B$26:$O$57,9,TRUE))) + IF(AN65="",0,(AN65*VLOOKUP($B65,'A1.3.9'!$B$26:$O$57,10,TRUE))))</f>
        <v>298.75345826192819</v>
      </c>
      <c r="AS65" s="691">
        <f>IF(AND(AK65="",AO65=""),"",IF(AK65="",0,(AK65*VLOOKUP($B65,'A1.3.9'!$B$26:$O$57,9,TRUE))) + IF(AO65="",0,(AO65*VLOOKUP($B65,'A1.3.9'!$B$26:$O$57,10,TRUE))))</f>
        <v>15.851023563319606</v>
      </c>
      <c r="AT65" s="691">
        <f>IF(AND(AL65="",AP65=""),"",IF(AL65="",0,(AL65*VLOOKUP($B65,'A1.3.9'!$B$26:$O$57,9,TRUE))) + IF(AP65="",0,(AP65*VLOOKUP($B65,'A1.3.9'!$B$26:$O$57,10,TRUE))))</f>
        <v>-0.11457129895786811</v>
      </c>
      <c r="AU65" s="2644">
        <f>IF(AND(AM65="",AQ65=""),"",IF(AM65="",0,(AM65*VLOOKUP($B65,'A1.3.9'!$B$26:$O$57,9,TRUE))) + IF(AQ65="",0,(AQ65*VLOOKUP($B65,'A1.3.9'!$B$26:$O$57,10,TRUE))))</f>
        <v>1.2513024146736385E-3</v>
      </c>
      <c r="AV65" s="693">
        <f>IF('A1.3.8'!D$32="","",IF(OR(VLOOKUP($B65,'A1.3.11'!$B$26:$AM$105,AV$22,)="",VLOOKUP($B65,'A1.3.7'!$B$28:$H$118,4,)=""),"",VLOOKUP($B65,'A1.3.11'!$B$26:$AM$105,AV$22,)*(VLOOKUP($B65,'A1.3.7'!$B$28:$O$118,4,)+VLOOKUP($B65,'A1.3.7'!$B$28:$O$118,9,))))</f>
        <v>627.75886401025298</v>
      </c>
      <c r="AW65" s="691">
        <f>IF('A1.3.8'!E$32="","",IF(OR(VLOOKUP($B65,'A1.3.11'!$B$26:$AM$105,AW$22,)="",VLOOKUP($B65,'A1.3.7'!$B$28:$H$118,4,)=""),"",VLOOKUP($B65,'A1.3.11'!$B$26:$AM$105,AW$22,)*(VLOOKUP($B65,'A1.3.7'!$B$28:$O$118,4,)+VLOOKUP($B65,'A1.3.7'!$B$28:$O$118,9,))))</f>
        <v>32.60063013501501</v>
      </c>
      <c r="AX65" s="691">
        <f>IF('A1.3.8'!F$32="","",IF(OR(VLOOKUP($B65,'A1.3.11'!$B$26:$AM$105,AX$22,)="",VLOOKUP($B65,'A1.3.7'!$B$28:$H$118,4,)=""),"",VLOOKUP($B65,'A1.3.11'!$B$26:$AM$105,AX$22,)*(VLOOKUP($B65,'A1.3.7'!$B$28:$O$118,4,)+VLOOKUP($B65,'A1.3.7'!$B$28:$O$118,9,))))</f>
        <v>-0.21599632463937976</v>
      </c>
      <c r="AY65" s="2644">
        <f>IF('A1.3.8'!G$32="","",IF(OR(VLOOKUP($B65,'A1.3.11'!$B$26:$AM$105,AY$22,)="",VLOOKUP($B65,'A1.3.7'!$B$28:$H$118,4,)=""),"",VLOOKUP($B65,'A1.3.11'!$B$26:$AM$105,AY$22,)*(VLOOKUP($B65,'A1.3.7'!$B$28:$O$118,4,)+VLOOKUP($B65,'A1.3.7'!$B$28:$O$118,9,))))</f>
        <v>1.287427913091015E-3</v>
      </c>
      <c r="AZ65" s="693" t="str">
        <f>IF('A1.3.8'!D$39="","",IF(OR(VLOOKUP($B65,'A1.3.11'!$B$26:$AM$105,AZ$22,)="",VLOOKUP($B65,'A1.3.7'!$B$28:$H$118,6,)=""),"",VLOOKUP($B65,'A1.3.11'!$B$26:$AM$105,AZ$22,)*VLOOKUP($B65,'A1.3.7'!$B$28:$O$118,6,)))</f>
        <v/>
      </c>
      <c r="BA65" s="691" t="str">
        <f>IF('A1.3.8'!E$39="","",IF(OR(VLOOKUP($B65,'A1.3.11'!$B$26:$AM$105,BA$22,)="",VLOOKUP($B65,'A1.3.7'!$B$28:$H$118,6,)=""),"",VLOOKUP($B65,'A1.3.11'!$B$26:$AM$105,BA$22,)*VLOOKUP($B65,'A1.3.7'!$B$28:$O$118,6,)))</f>
        <v/>
      </c>
      <c r="BB65" s="691" t="str">
        <f>IF('A1.3.8'!F$39="","",IF(OR(VLOOKUP($B65,'A1.3.11'!$B$26:$AM$105,BB$22,)="",VLOOKUP($B65,'A1.3.7'!$B$28:$H$118,6,)=""),"",VLOOKUP($B65,'A1.3.11'!$B$26:$AM$105,BB$22,)*VLOOKUP($B65,'A1.3.7'!$B$28:$O$118,6,)))</f>
        <v/>
      </c>
      <c r="BC65" s="1664" t="str">
        <f>IF('A1.3.8'!G$39="","",IF(OR(VLOOKUP($B65,'A1.3.11'!$B$26:$AM$105,BC$22,)="",VLOOKUP($B65,'A1.3.7'!$B$28:$H$118,6,)=""),"",VLOOKUP($B65,'A1.3.11'!$B$26:$AM$105,BC$22,)*VLOOKUP($B65,'A1.3.7'!$B$28:$O$118,6,)))</f>
        <v/>
      </c>
      <c r="BD65" s="693">
        <f>IF(AND(AV65="",AZ65=""),"",IF(AV65="",0,(AV65*VLOOKUP($B65,'A1.3.9'!$B$26:$O$57,9,TRUE))) + IF(AZ65="",0,(AZ65*VLOOKUP($B65,'A1.3.9'!$B$26:$O$57,10,TRUE))))</f>
        <v>627.75886401025298</v>
      </c>
      <c r="BE65" s="691">
        <f>IF(AND(AW65="",BA65=""),"",IF(AW65="",0,(AW65*VLOOKUP($B65,'A1.3.9'!$B$26:$O$57,9,TRUE))) + IF(BA65="",0,(BA65*VLOOKUP($B65,'A1.3.9'!$B$26:$O$57,10,TRUE))))</f>
        <v>32.60063013501501</v>
      </c>
      <c r="BF65" s="691">
        <f>IF(AND(AX65="",BB65=""),"",IF(AX65="",0,(AX65*VLOOKUP($B65,'A1.3.9'!$B$26:$O$57,9,TRUE))) + IF(BB65="",0,(BB65*VLOOKUP($B65,'A1.3.9'!$B$26:$O$57,10,TRUE))))</f>
        <v>-0.21599632463937976</v>
      </c>
      <c r="BG65" s="2644">
        <f>IF(AND(AY65="",BC65=""),"",IF(AY65="",0,(AY65*VLOOKUP($B65,'A1.3.9'!$B$26:$O$57,9,TRUE))) + IF(BC65="",0,(BC65*VLOOKUP($B65,'A1.3.9'!$B$26:$O$57,10,TRUE))))</f>
        <v>1.287427913091015E-3</v>
      </c>
      <c r="BH65" s="693">
        <f>IF('A1.3.8'!D$33="","",IF(OR(VLOOKUP($B65,'A1.3.11'!$B$26:$AM$105,BH$22,)="",VLOOKUP($B65,'A1.3.7'!$B$28:$H$118,4,)=""),"",VLOOKUP($B65,'A1.3.11'!$B$26:$AM$105,BH$22,)*(VLOOKUP($B65,'A1.3.7'!$B$28:$O$118,4,)+VLOOKUP($B65,'A1.3.7'!$B$28:$O$118,9,))))</f>
        <v>372.3150706408299</v>
      </c>
      <c r="BI65" s="691">
        <f>IF('A1.3.8'!E$33="","",IF(OR(VLOOKUP($B65,'A1.3.11'!$B$26:$AM$105,BI$22,)="",VLOOKUP($B65,'A1.3.7'!$B$28:$H$118,4,)=""),"",VLOOKUP($B65,'A1.3.11'!$B$26:$AM$105,BI$22,)*(VLOOKUP($B65,'A1.3.7'!$B$28:$O$118,4,)+VLOOKUP($B65,'A1.3.7'!$B$28:$O$118,9,))))</f>
        <v>32.714189977008793</v>
      </c>
      <c r="BJ65" s="691">
        <f>IF('A1.3.8'!F$33="","",IF(OR(VLOOKUP($B65,'A1.3.11'!$B$26:$AM$105,BJ$22,)="",VLOOKUP($B65,'A1.3.7'!$B$28:$H$118,4,)=""),"",VLOOKUP($B65,'A1.3.11'!$B$26:$AM$105,BJ$22,)*(VLOOKUP($B65,'A1.3.7'!$B$28:$O$118,4,)+VLOOKUP($B65,'A1.3.7'!$B$28:$O$118,9,))))</f>
        <v>-0.35557408713263611</v>
      </c>
      <c r="BK65" s="2644">
        <f>IF('A1.3.8'!G$33="","",IF(OR(VLOOKUP($B65,'A1.3.11'!$B$26:$AM$105,BK$22,)="",VLOOKUP($B65,'A1.3.7'!$B$28:$H$118,4,)=""),"",VLOOKUP($B65,'A1.3.11'!$B$26:$AM$105,BK$22,)*(VLOOKUP($B65,'A1.3.7'!$B$28:$O$118,4,)+VLOOKUP($B65,'A1.3.7'!$B$28:$O$118,9,))))</f>
        <v>2.6082812701477246E-3</v>
      </c>
      <c r="BL65" s="693" t="str">
        <f>IF('A1.3.8'!D$40="","",IF(OR(VLOOKUP($B65,'A1.3.11'!$B$26:$AM$105,BL$22,)="",VLOOKUP($B65,'A1.3.7'!$B$28:$H$118,6,)=""),"",VLOOKUP($B65,'A1.3.11'!$B$26:$AM$105,BL$22,)*VLOOKUP($B65,'A1.3.7'!$B$28:$O$118,6,)))</f>
        <v/>
      </c>
      <c r="BM65" s="691" t="str">
        <f>IF('A1.3.8'!E$40="","",IF(OR(VLOOKUP($B65,'A1.3.11'!$B$26:$AM$105,BM$22,)="",VLOOKUP($B65,'A1.3.7'!$B$28:$H$118,6,)=""),"",VLOOKUP($B65,'A1.3.11'!$B$26:$AM$105,BM$22,)*VLOOKUP($B65,'A1.3.7'!$B$28:$O$118,6,)))</f>
        <v/>
      </c>
      <c r="BN65" s="691" t="str">
        <f>IF('A1.3.8'!F$40="","",IF(OR(VLOOKUP($B65,'A1.3.11'!$B$26:$AM$105,BN$22,)="",VLOOKUP($B65,'A1.3.7'!$B$28:$H$118,6,)=""),"",VLOOKUP($B65,'A1.3.11'!$B$26:$AM$105,BN$22,)*VLOOKUP($B65,'A1.3.7'!$B$28:$O$118,6,)))</f>
        <v/>
      </c>
      <c r="BO65" s="1664" t="str">
        <f>IF('A1.3.8'!G$40="","",IF(OR(VLOOKUP($B65,'A1.3.11'!$B$26:$AM$105,BO$22,)="",VLOOKUP($B65,'A1.3.7'!$B$28:$H$118,6,)=""),"",VLOOKUP($B65,'A1.3.11'!$B$26:$AM$105,BO$22,)*VLOOKUP($B65,'A1.3.7'!$B$28:$O$118,6,)))</f>
        <v/>
      </c>
      <c r="BP65" s="693">
        <f>IF(AND(BH65="",BL65=""),"",IF(BH65="",0,(BH65*VLOOKUP($B65,'A1.3.9'!$B$26:$O$57,9,TRUE))) + IF(BL65="",0,(BL65*VLOOKUP($B65,'A1.3.9'!$B$26:$O$57,10,TRUE))))</f>
        <v>372.3150706408299</v>
      </c>
      <c r="BQ65" s="691">
        <f>IF(AND(BI65="",BM65=""),"",IF(BI65="",0,(BI65*VLOOKUP($B65,'A1.3.9'!$B$26:$O$57,9,TRUE))) + IF(BM65="",0,(BM65*VLOOKUP($B65,'A1.3.9'!$B$26:$O$57,10,TRUE))))</f>
        <v>32.714189977008793</v>
      </c>
      <c r="BR65" s="691">
        <f>IF(AND(BJ65="",BN65=""),"",IF(BJ65="",0,(BJ65*VLOOKUP($B65,'A1.3.9'!$B$26:$O$57,9,TRUE))) + IF(BN65="",0,(BN65*VLOOKUP($B65,'A1.3.9'!$B$26:$O$57,10,TRUE))))</f>
        <v>-0.35557408713263611</v>
      </c>
      <c r="BS65" s="2644">
        <f>IF(AND(BK65="",BO65=""),"",IF(BK65="",0,(BK65*VLOOKUP($B65,'A1.3.9'!$B$26:$O$57,9,TRUE))) + IF(BO65="",0,(BO65*VLOOKUP($B65,'A1.3.9'!$B$26:$O$57,10,TRUE))))</f>
        <v>2.6082812701477246E-3</v>
      </c>
    </row>
    <row r="66" spans="1:71" s="26" customFormat="1" ht="13.5" customHeight="1">
      <c r="A66" s="113"/>
      <c r="B66" s="614">
        <f t="shared" si="0"/>
        <v>2049</v>
      </c>
      <c r="C66" s="147"/>
      <c r="D66" s="693">
        <f>IF('A1.3.8'!D$27="","",IF(OR(VLOOKUP($B66,'A1.3.11'!$B$26:$AM$105,D$22,)="",VLOOKUP($B66,'A1.3.7'!$B$28:$H$118,3,)=""),"",VLOOKUP($B66,'A1.3.11'!$B$26:$AM$105,D$22,)*(VLOOKUP($B66,'A1.3.7'!$B$28:$O$118,3,)+VLOOKUP($B66,'A1.3.7'!$B$28:$O$118,8,))))</f>
        <v>34.895978390991054</v>
      </c>
      <c r="E66" s="691">
        <f>IF('A1.3.8'!E$27="","",IF(OR(VLOOKUP($B66,'A1.3.11'!$B$26:$AM$105,E$22,)="",VLOOKUP($B66,'A1.3.7'!$B$28:$H$118,3,)=""),"",VLOOKUP($B66,'A1.3.11'!$B$26:$AM$105,E$22,)*(VLOOKUP($B66,'A1.3.7'!$B$28:$O$118,3,)+VLOOKUP($B66,'A1.3.7'!$B$28:$O$118,8,))))</f>
        <v>7.4159614525479478</v>
      </c>
      <c r="F66" s="691">
        <f>IF('A1.3.8'!F$27="","",IF(OR(VLOOKUP($B66,'A1.3.11'!$B$26:$AM$105,F$22,)="",VLOOKUP($B66,'A1.3.7'!$B$28:$H$118,3,)=""),"",VLOOKUP($B66,'A1.3.11'!$B$26:$AM$105,F$22,)*(VLOOKUP($B66,'A1.3.7'!$B$28:$O$118,3,)+VLOOKUP($B66,'A1.3.7'!$B$28:$O$118,8,))))</f>
        <v>-8.4476595427106116E-2</v>
      </c>
      <c r="G66" s="2644">
        <f>IF('A1.3.8'!G$27="","",IF(OR(VLOOKUP($B66,'A1.3.11'!$B$26:$AM$105,G$22,)="",VLOOKUP($B66,'A1.3.7'!$B$28:$H$118,3,)=""),"",VLOOKUP($B66,'A1.3.11'!$B$26:$AM$105,G$22,)*(VLOOKUP($B66,'A1.3.7'!$B$28:$O$118,3,)+VLOOKUP($B66,'A1.3.7'!$B$28:$O$118,8,))))</f>
        <v>5.5948169441229559E-4</v>
      </c>
      <c r="H66" s="693">
        <f>IF('A1.3.8'!D$28="","",IF(OR(VLOOKUP($B66,'A1.3.11'!$B$26:$AM$105,H$22,)="",VLOOKUP($B66,'A1.3.7'!$B$28:$H$118,4,)=""),"",VLOOKUP($B66,'A1.3.11'!$B$26:$AM$105,H$22,)*(VLOOKUP($B66,'A1.3.7'!$B$28:$O$118,4,)+VLOOKUP($B66,'A1.3.7'!$B$28:$O$118,9,))))</f>
        <v>43.082090493006525</v>
      </c>
      <c r="I66" s="691">
        <f>IF('A1.3.8'!E$28="","",IF(OR(VLOOKUP($B66,'A1.3.11'!$B$26:$AM$105,I$22,)="",VLOOKUP($B66,'A1.3.7'!$B$28:$H$118,4,)=""),"",VLOOKUP($B66,'A1.3.11'!$B$26:$AM$105,I$22,)*(VLOOKUP($B66,'A1.3.7'!$B$28:$O$118,4,)+VLOOKUP($B66,'A1.3.7'!$B$28:$O$118,9,))))</f>
        <v>6.1769063578105436</v>
      </c>
      <c r="J66" s="691">
        <f>IF('A1.3.8'!F$28="","",IF(OR(VLOOKUP($B66,'A1.3.11'!$B$26:$AM$105,J$22,)="",VLOOKUP($B66,'A1.3.7'!$B$28:$H$118,4,)=""),"",VLOOKUP($B66,'A1.3.11'!$B$26:$AM$105,J$22,)*(VLOOKUP($B66,'A1.3.7'!$B$28:$O$118,4,)+VLOOKUP($B66,'A1.3.7'!$B$28:$O$118,9,))))</f>
        <v>-5.9423559928871592E-2</v>
      </c>
      <c r="K66" s="2644">
        <f>IF('A1.3.8'!G$28="","",IF(OR(VLOOKUP($B66,'A1.3.11'!$B$26:$AM$105,K$22,)="",VLOOKUP($B66,'A1.3.7'!$B$28:$H$118,4,)=""),"",VLOOKUP($B66,'A1.3.11'!$B$26:$AM$105,K$22,)*(VLOOKUP($B66,'A1.3.7'!$B$28:$O$118,4,)+VLOOKUP($B66,'A1.3.7'!$B$28:$O$118,9,))))</f>
        <v>4.6826063356399691E-4</v>
      </c>
      <c r="L66" s="693" t="str">
        <f>IF('A1.3.8'!D$36="","",IF(OR(VLOOKUP($B66,'A1.3.11'!$B$26:$AM$105,L$22,)="",VLOOKUP($B66,'A1.3.7'!$B$28:$H$118,6,)=""),"",VLOOKUP($B66,'A1.3.11'!$B$26:$AM$105,L$22,)*VLOOKUP($B66,'A1.3.7'!$B$28:$O$118,6,)))</f>
        <v/>
      </c>
      <c r="M66" s="691">
        <f>IF('A1.3.8'!E$36="","",IF(OR(VLOOKUP($B66,'A1.3.11'!$B$26:$AM$105,M$22,)="",VLOOKUP($B66,'A1.3.7'!$B$28:$H$118,6,)=""),"",VLOOKUP($B66,'A1.3.11'!$B$26:$AM$105,M$22,)*VLOOKUP($B66,'A1.3.7'!$B$28:$O$118,6,)))</f>
        <v>1.9637608285706969</v>
      </c>
      <c r="N66" s="691" t="str">
        <f>IF('A1.3.8'!F$36="","",IF(OR(VLOOKUP($B66,'A1.3.11'!$B$26:$AM$105,N$22,)="",VLOOKUP($B66,'A1.3.7'!$B$28:$H$118,6,)=""),"",VLOOKUP($B66,'A1.3.11'!$B$26:$AM$105,N$22,)*VLOOKUP($B66,'A1.3.7'!$B$28:$O$118,6,)))</f>
        <v/>
      </c>
      <c r="O66" s="1664" t="str">
        <f>IF('A1.3.8'!G$36="","",IF(OR(VLOOKUP($B66,'A1.3.11'!$B$26:$AM$105,O$22,)="",VLOOKUP($B66,'A1.3.7'!$B$28:$H$118,6,)=""),"",VLOOKUP($B66,'A1.3.11'!$B$26:$AM$105,O$22,)*VLOOKUP($B66,'A1.3.7'!$B$28:$O$118,6,)))</f>
        <v/>
      </c>
      <c r="P66" s="693">
        <f>IF(AND(D66="",H66="",L66=""),"",IF(D66="",0,(D66*VLOOKUP($B66,'A1.3.9'!$B$26:$O$57,3,TRUE)))+IF(H66="",0,(H66*VLOOKUP($B66,'A1.3.9'!$B$26:$O$57,4,TRUE)))+IF(L66="",0,(L66*VLOOKUP($B66,'A1.3.9'!$B$26:$O$57,5,TRUE))))</f>
        <v>28.961959245034521</v>
      </c>
      <c r="Q66" s="691">
        <f>IF(AND(E66="",I66="",M66=""),"",IF(E66="",0,(E66*VLOOKUP($B66,'A1.3.9'!$B$26:$O$57,3,TRUE)))+IF(I66="",0,(I66*VLOOKUP($B66,'A1.3.9'!$B$26:$O$57,4,TRUE)))+IF(M66="",0,(M66*VLOOKUP($B66,'A1.3.9'!$B$26:$O$57,5,TRUE))))</f>
        <v>5.7118173712042051</v>
      </c>
      <c r="R66" s="691">
        <f>IF(AND(F66="",J66="",N66=""),"",IF(F66="",0,(F66*VLOOKUP($B66,'A1.3.9'!$B$26:$O$57,3,TRUE)))+IF(J66="",0,(J66*VLOOKUP($B66,'A1.3.9'!$B$26:$O$57,4,TRUE)))+IF(N66="",0,(N66*VLOOKUP($B66,'A1.3.9'!$B$26:$O$57,5,TRUE))))</f>
        <v>-5.6265815465376498E-2</v>
      </c>
      <c r="S66" s="2644">
        <f>IF(AND(G66="",K66="",O66=""),"",IF(G66="",0,(G66*VLOOKUP($B66,'A1.3.9'!$B$26:$O$57,3,TRUE)))+IF(K66="",0,(K66*VLOOKUP($B66,'A1.3.9'!$B$26:$O$57,4,TRUE)))+IF(O66="",0,(O66*VLOOKUP($B66,'A1.3.9'!$B$26:$O$57,5,TRUE))))</f>
        <v>3.9569525858618778E-4</v>
      </c>
      <c r="T66" s="693">
        <f>IF('A1.3.8'!D$29="","",IF(OR(VLOOKUP($B66,'A1.3.11'!$B$26:$AM$105,T$22,)="",VLOOKUP($B66,'A1.3.7'!$B$28:$H$118,3,)=""),"",VLOOKUP($B66,'A1.3.11'!$B$26:$AM$105,T$22,)*(VLOOKUP($B66,'A1.3.7'!$B$28:$O$118,3,)+VLOOKUP($B66,'A1.3.7'!$B$28:$O$118,8,))))</f>
        <v>25.101831252742308</v>
      </c>
      <c r="U66" s="691">
        <f>IF('A1.3.8'!E$29="","",IF(OR(VLOOKUP($B66,'A1.3.11'!$B$26:$AM$105,U$22,)="",VLOOKUP($B66,'A1.3.7'!$B$28:$H$118,3,)=""),"",VLOOKUP($B66,'A1.3.11'!$B$26:$AM$105,U$22,)*(VLOOKUP($B66,'A1.3.7'!$B$28:$O$118,3,)+VLOOKUP($B66,'A1.3.7'!$B$28:$O$118,8,))))</f>
        <v>14.07565391155293</v>
      </c>
      <c r="V66" s="691">
        <f>IF('A1.3.8'!F$29="","",IF(OR(VLOOKUP($B66,'A1.3.11'!$B$26:$AM$105,V$22,)="",VLOOKUP($B66,'A1.3.7'!$B$28:$H$118,3,)=""),"",VLOOKUP($B66,'A1.3.11'!$B$26:$AM$105,V$22,)*(VLOOKUP($B66,'A1.3.7'!$B$28:$O$118,3,)+VLOOKUP($B66,'A1.3.7'!$B$28:$O$118,8,))))</f>
        <v>-0.220941564561496</v>
      </c>
      <c r="W66" s="2644">
        <f>IF('A1.3.8'!G$29="","",IF(OR(VLOOKUP($B66,'A1.3.11'!$B$26:$AM$105,W$22,)="",VLOOKUP($B66,'A1.3.7'!$B$28:$H$118,3,)=""),"",VLOOKUP($B66,'A1.3.11'!$B$26:$AM$105,W$22,)*(VLOOKUP($B66,'A1.3.7'!$B$28:$O$118,3,)+VLOOKUP($B66,'A1.3.7'!$B$28:$O$118,8,))))</f>
        <v>1.4268488810416575E-3</v>
      </c>
      <c r="X66" s="693">
        <f>IF('A1.3.8'!D$30="","",IF(OR(VLOOKUP($B66,'A1.3.11'!$B$26:$AM$105,X$22,)="",VLOOKUP($B66,'A1.3.7'!$B$28:$H$118,4,)=""),"",VLOOKUP($B66,'A1.3.11'!$B$26:$AM$105,X$22,)*(VLOOKUP($B66,'A1.3.7'!$B$28:$O$118,4,)+VLOOKUP($B66,'A1.3.7'!$B$28:$O$118,9,))))</f>
        <v>44.370373493971535</v>
      </c>
      <c r="Y66" s="691">
        <f>IF('A1.3.8'!E$30="","",IF(OR(VLOOKUP($B66,'A1.3.11'!$B$26:$AM$105,Y$22,)="",VLOOKUP($B66,'A1.3.7'!$B$28:$H$118,4,)=""),"",VLOOKUP($B66,'A1.3.11'!$B$26:$AM$105,Y$22,)*(VLOOKUP($B66,'A1.3.7'!$B$28:$O$118,4,)+VLOOKUP($B66,'A1.3.7'!$B$28:$O$118,9,))))</f>
        <v>10.844300105917485</v>
      </c>
      <c r="Z66" s="691">
        <f>IF('A1.3.8'!F$30="","",IF(OR(VLOOKUP($B66,'A1.3.11'!$B$26:$AM$105,Z$22,)="",VLOOKUP($B66,'A1.3.7'!$B$28:$H$118,4,)=""),"",VLOOKUP($B66,'A1.3.11'!$B$26:$AM$105,Z$22,)*(VLOOKUP($B66,'A1.3.7'!$B$28:$O$118,4,)+VLOOKUP($B66,'A1.3.7'!$B$28:$O$118,9,))))</f>
        <v>-0.15644873792506434</v>
      </c>
      <c r="AA66" s="2644">
        <f>IF('A1.3.8'!G$30="","",IF(OR(VLOOKUP($B66,'A1.3.11'!$B$26:$AM$105,AA$22,)="",VLOOKUP($B66,'A1.3.7'!$B$28:$H$118,4,)=""),"",VLOOKUP($B66,'A1.3.11'!$B$26:$AM$105,AA$22,)*(VLOOKUP($B66,'A1.3.7'!$B$28:$O$118,4,)+VLOOKUP($B66,'A1.3.7'!$B$28:$O$118,9,))))</f>
        <v>1.3245004701945486E-3</v>
      </c>
      <c r="AB66" s="693" t="str">
        <f>IF('A1.3.8'!D$37="","",IF(OR(VLOOKUP($B66,'A1.3.11'!$B$26:$AM$105,AB$22,)="",VLOOKUP($B66,'A1.3.7'!$B$28:$H$118,6,)=""),"",VLOOKUP($B66,'A1.3.11'!$B$26:$AM$105,AB$22,)*VLOOKUP($B66,'A1.3.7'!$B$28:$O$118,6,)))</f>
        <v/>
      </c>
      <c r="AC66" s="691">
        <f>IF('A1.3.8'!E$37="","",IF(OR(VLOOKUP($B66,'A1.3.11'!$B$26:$AM$105,AC$22,)="",VLOOKUP($B66,'A1.3.7'!$B$28:$H$118,6,)=""),"",VLOOKUP($B66,'A1.3.11'!$B$26:$AM$105,AC$22,)*VLOOKUP($B66,'A1.3.7'!$B$28:$O$118,6,)))</f>
        <v>4.5145632825273854</v>
      </c>
      <c r="AD66" s="691" t="str">
        <f>IF('A1.3.8'!F$37="","",IF(OR(VLOOKUP($B66,'A1.3.11'!$B$26:$AM$105,AD$22,)="",VLOOKUP($B66,'A1.3.7'!$B$28:$H$118,6,)=""),"",VLOOKUP($B66,'A1.3.11'!$B$26:$AM$105,AD$22,)*VLOOKUP($B66,'A1.3.7'!$B$28:$O$118,6,)))</f>
        <v/>
      </c>
      <c r="AE66" s="1664" t="str">
        <f>IF('A1.3.8'!G$37="","",IF(OR(VLOOKUP($B66,'A1.3.11'!$B$26:$AM$105,AE$22,)="",VLOOKUP($B66,'A1.3.7'!$B$28:$H$118,6,)=""),"",VLOOKUP($B66,'A1.3.11'!$B$26:$AM$105,AE$22,)*VLOOKUP($B66,'A1.3.7'!$B$28:$O$118,6,)))</f>
        <v/>
      </c>
      <c r="AF66" s="693">
        <f>IF(AND(T66="",X66="",AB66=""),"",IF(T66="",0,(T66*VLOOKUP('A1.3.12'!$B66,'A1.3.9'!$B$26:$O$57,6,TRUE))) + IF(X66="",0,(X66*VLOOKUP('A1.3.12'!$B66,'A1.3.9'!$B$26:$O$57,7,TRUE))) + IF(AB66="",0,(AB66*VLOOKUP('A1.3.12'!$B66,'A1.3.9'!$B$26:$O$57,8,TRUE))))</f>
        <v>39.369229920695737</v>
      </c>
      <c r="AG66" s="691">
        <f>IF(AND(U66="",Y66="",AC66=""),"",IF(U66="",0,(U66*VLOOKUP('A1.3.12'!$B66,'A1.3.9'!$B$26:$O$57,6,TRUE))) + IF(Y66="",0,(Y66*VLOOKUP('A1.3.12'!$B66,'A1.3.9'!$B$26:$O$57,7,TRUE))) + IF(AC66="",0,(AC66*VLOOKUP('A1.3.12'!$B66,'A1.3.9'!$B$26:$O$57,8,TRUE))))</f>
        <v>10.176190478513629</v>
      </c>
      <c r="AH66" s="691">
        <f>IF(AND(V66="",Z66="",AD66=""),"",IF(V66="",0,(V66*VLOOKUP('A1.3.12'!$B66,'A1.3.9'!$B$26:$O$57,6,TRUE))) + IF(Z66="",0,(Z66*VLOOKUP('A1.3.12'!$B66,'A1.3.9'!$B$26:$O$57,7,TRUE))) + IF(AD66="",0,(AD66*VLOOKUP('A1.3.12'!$B66,'A1.3.9'!$B$26:$O$57,8,TRUE))))</f>
        <v>-0.13981886546201416</v>
      </c>
      <c r="AI66" s="2644">
        <f>IF(AND(W66="",AA66="",AE66=""),"",IF(W66="",0,(W66*VLOOKUP('A1.3.12'!$B66,'A1.3.9'!$B$26:$O$57,6,TRUE))) + IF(AA66="",0,(AA66*VLOOKUP('A1.3.12'!$B66,'A1.3.9'!$B$26:$O$57,7,TRUE))) + IF(AE66="",0,(AE66*VLOOKUP('A1.3.12'!$B66,'A1.3.9'!$B$26:$O$57,8,TRUE))))</f>
        <v>1.1803479156430624E-3</v>
      </c>
      <c r="AJ66" s="693">
        <f>IF('A1.3.8'!D$31="","",IF(OR(VLOOKUP($B66,'A1.3.11'!$B$26:$AM$105,AJ$22,)="",VLOOKUP($B66,'A1.3.7'!$B$28:$H$118,4,)=""),"",VLOOKUP($B66,'A1.3.11'!$B$26:$AM$105,AJ$22,)*(VLOOKUP($B66,'A1.3.7'!$B$28:$O$118,4,)+VLOOKUP($B66,'A1.3.7'!$B$28:$O$118,9,))))</f>
        <v>299.94207391242679</v>
      </c>
      <c r="AK66" s="691">
        <f>IF('A1.3.8'!E$31="","",IF(OR(VLOOKUP($B66,'A1.3.11'!$B$26:$AM$105,AK$22,)="",VLOOKUP($B66,'A1.3.7'!$B$28:$H$118,4,)=""),"",VLOOKUP($B66,'A1.3.11'!$B$26:$AM$105,AK$22,)*(VLOOKUP($B66,'A1.3.7'!$B$28:$O$118,4,)+VLOOKUP($B66,'A1.3.7'!$B$28:$O$118,9,))))</f>
        <v>15.914088187887954</v>
      </c>
      <c r="AL66" s="691">
        <f>IF('A1.3.8'!F$31="","",IF(OR(VLOOKUP($B66,'A1.3.11'!$B$26:$AM$105,AL$22,)="",VLOOKUP($B66,'A1.3.7'!$B$28:$H$118,4,)=""),"",VLOOKUP($B66,'A1.3.11'!$B$26:$AM$105,AL$22,)*(VLOOKUP($B66,'A1.3.7'!$B$28:$O$118,4,)+VLOOKUP($B66,'A1.3.7'!$B$28:$O$118,9,))))</f>
        <v>-0.11502713046466152</v>
      </c>
      <c r="AM66" s="2644">
        <f>IF('A1.3.8'!G$31="","",IF(OR(VLOOKUP($B66,'A1.3.11'!$B$26:$AM$105,AM$22,)="",VLOOKUP($B66,'A1.3.7'!$B$28:$H$118,4,)=""),"",VLOOKUP($B66,'A1.3.11'!$B$26:$AM$105,AM$22,)*(VLOOKUP($B66,'A1.3.7'!$B$28:$O$118,4,)+VLOOKUP($B66,'A1.3.7'!$B$28:$O$118,9,))))</f>
        <v>1.2562808261110845E-3</v>
      </c>
      <c r="AN66" s="693" t="str">
        <f>IF('A1.3.8'!D$38="","",IF(OR(VLOOKUP($B66,'A1.3.11'!$B$26:$AM$105,AN$22,)="",VLOOKUP($B66,'A1.3.7'!$B$28:$H$118,6,)=""),"",VLOOKUP($B66,'A1.3.11'!$B$26:$AM$105,AN$22,)*VLOOKUP($B66,'A1.3.7'!$B$28:$O$118,6,)))</f>
        <v/>
      </c>
      <c r="AO66" s="691" t="str">
        <f>IF('A1.3.8'!E$38="","",IF(OR(VLOOKUP($B66,'A1.3.11'!$B$26:$AM$105,AO$22,)="",VLOOKUP($B66,'A1.3.7'!$B$28:$H$118,6,)=""),"",VLOOKUP($B66,'A1.3.11'!$B$26:$AM$105,AO$22,)*VLOOKUP($B66,'A1.3.7'!$B$28:$O$118,6,)))</f>
        <v/>
      </c>
      <c r="AP66" s="691" t="str">
        <f>IF('A1.3.8'!F$38="","",IF(OR(VLOOKUP($B66,'A1.3.11'!$B$26:$AM$105,AP$22,)="",VLOOKUP($B66,'A1.3.7'!$B$28:$H$118,6,)=""),"",VLOOKUP($B66,'A1.3.11'!$B$26:$AM$105,AP$22,)*VLOOKUP($B66,'A1.3.7'!$B$28:$O$118,6,)))</f>
        <v/>
      </c>
      <c r="AQ66" s="1664" t="str">
        <f>IF('A1.3.8'!G$38="","",IF(OR(VLOOKUP($B66,'A1.3.11'!$B$26:$AM$105,AQ$22,)="",VLOOKUP($B66,'A1.3.7'!$B$28:$H$118,6,)=""),"",VLOOKUP($B66,'A1.3.11'!$B$26:$AM$105,AQ$22,)*VLOOKUP($B66,'A1.3.7'!$B$28:$O$118,6,)))</f>
        <v/>
      </c>
      <c r="AR66" s="693">
        <f>IF(AND(AJ66="",AN66=""),"",IF(AJ66="",0,(AJ66*VLOOKUP($B66,'A1.3.9'!$B$26:$O$57,9,TRUE))) + IF(AN66="",0,(AN66*VLOOKUP($B66,'A1.3.9'!$B$26:$O$57,10,TRUE))))</f>
        <v>299.94207391242679</v>
      </c>
      <c r="AS66" s="691">
        <f>IF(AND(AK66="",AO66=""),"",IF(AK66="",0,(AK66*VLOOKUP($B66,'A1.3.9'!$B$26:$O$57,9,TRUE))) + IF(AO66="",0,(AO66*VLOOKUP($B66,'A1.3.9'!$B$26:$O$57,10,TRUE))))</f>
        <v>15.914088187887954</v>
      </c>
      <c r="AT66" s="691">
        <f>IF(AND(AL66="",AP66=""),"",IF(AL66="",0,(AL66*VLOOKUP($B66,'A1.3.9'!$B$26:$O$57,9,TRUE))) + IF(AP66="",0,(AP66*VLOOKUP($B66,'A1.3.9'!$B$26:$O$57,10,TRUE))))</f>
        <v>-0.11502713046466152</v>
      </c>
      <c r="AU66" s="2644">
        <f>IF(AND(AM66="",AQ66=""),"",IF(AM66="",0,(AM66*VLOOKUP($B66,'A1.3.9'!$B$26:$O$57,9,TRUE))) + IF(AQ66="",0,(AQ66*VLOOKUP($B66,'A1.3.9'!$B$26:$O$57,10,TRUE))))</f>
        <v>1.2562808261110845E-3</v>
      </c>
      <c r="AV66" s="693">
        <f>IF('A1.3.8'!D$32="","",IF(OR(VLOOKUP($B66,'A1.3.11'!$B$26:$AM$105,AV$22,)="",VLOOKUP($B66,'A1.3.7'!$B$28:$H$118,4,)=""),"",VLOOKUP($B66,'A1.3.11'!$B$26:$AM$105,AV$22,)*(VLOOKUP($B66,'A1.3.7'!$B$28:$O$118,4,)+VLOOKUP($B66,'A1.3.7'!$B$28:$O$118,9,))))</f>
        <v>630.25645521754075</v>
      </c>
      <c r="AW66" s="691">
        <f>IF('A1.3.8'!E$32="","",IF(OR(VLOOKUP($B66,'A1.3.11'!$B$26:$AM$105,AW$22,)="",VLOOKUP($B66,'A1.3.7'!$B$28:$H$118,4,)=""),"",VLOOKUP($B66,'A1.3.11'!$B$26:$AM$105,AW$22,)*(VLOOKUP($B66,'A1.3.7'!$B$28:$O$118,4,)+VLOOKUP($B66,'A1.3.7'!$B$28:$O$118,9,))))</f>
        <v>32.730334471895425</v>
      </c>
      <c r="AX66" s="691">
        <f>IF('A1.3.8'!F$32="","",IF(OR(VLOOKUP($B66,'A1.3.11'!$B$26:$AM$105,AX$22,)="",VLOOKUP($B66,'A1.3.7'!$B$28:$H$118,4,)=""),"",VLOOKUP($B66,'A1.3.11'!$B$26:$AM$105,AX$22,)*(VLOOKUP($B66,'A1.3.7'!$B$28:$O$118,4,)+VLOOKUP($B66,'A1.3.7'!$B$28:$O$118,9,))))</f>
        <v>-0.21685568410390335</v>
      </c>
      <c r="AY66" s="2644">
        <f>IF('A1.3.8'!G$32="","",IF(OR(VLOOKUP($B66,'A1.3.11'!$B$26:$AM$105,AY$22,)="",VLOOKUP($B66,'A1.3.7'!$B$28:$H$118,4,)=""),"",VLOOKUP($B66,'A1.3.11'!$B$26:$AM$105,AY$22,)*(VLOOKUP($B66,'A1.3.7'!$B$28:$O$118,4,)+VLOOKUP($B66,'A1.3.7'!$B$28:$O$118,9,))))</f>
        <v>1.2925500528489658E-3</v>
      </c>
      <c r="AZ66" s="693" t="str">
        <f>IF('A1.3.8'!D$39="","",IF(OR(VLOOKUP($B66,'A1.3.11'!$B$26:$AM$105,AZ$22,)="",VLOOKUP($B66,'A1.3.7'!$B$28:$H$118,6,)=""),"",VLOOKUP($B66,'A1.3.11'!$B$26:$AM$105,AZ$22,)*VLOOKUP($B66,'A1.3.7'!$B$28:$O$118,6,)))</f>
        <v/>
      </c>
      <c r="BA66" s="691" t="str">
        <f>IF('A1.3.8'!E$39="","",IF(OR(VLOOKUP($B66,'A1.3.11'!$B$26:$AM$105,BA$22,)="",VLOOKUP($B66,'A1.3.7'!$B$28:$H$118,6,)=""),"",VLOOKUP($B66,'A1.3.11'!$B$26:$AM$105,BA$22,)*VLOOKUP($B66,'A1.3.7'!$B$28:$O$118,6,)))</f>
        <v/>
      </c>
      <c r="BB66" s="691" t="str">
        <f>IF('A1.3.8'!F$39="","",IF(OR(VLOOKUP($B66,'A1.3.11'!$B$26:$AM$105,BB$22,)="",VLOOKUP($B66,'A1.3.7'!$B$28:$H$118,6,)=""),"",VLOOKUP($B66,'A1.3.11'!$B$26:$AM$105,BB$22,)*VLOOKUP($B66,'A1.3.7'!$B$28:$O$118,6,)))</f>
        <v/>
      </c>
      <c r="BC66" s="1664" t="str">
        <f>IF('A1.3.8'!G$39="","",IF(OR(VLOOKUP($B66,'A1.3.11'!$B$26:$AM$105,BC$22,)="",VLOOKUP($B66,'A1.3.7'!$B$28:$H$118,6,)=""),"",VLOOKUP($B66,'A1.3.11'!$B$26:$AM$105,BC$22,)*VLOOKUP($B66,'A1.3.7'!$B$28:$O$118,6,)))</f>
        <v/>
      </c>
      <c r="BD66" s="693">
        <f>IF(AND(AV66="",AZ66=""),"",IF(AV66="",0,(AV66*VLOOKUP($B66,'A1.3.9'!$B$26:$O$57,9,TRUE))) + IF(AZ66="",0,(AZ66*VLOOKUP($B66,'A1.3.9'!$B$26:$O$57,10,TRUE))))</f>
        <v>630.25645521754075</v>
      </c>
      <c r="BE66" s="691">
        <f>IF(AND(AW66="",BA66=""),"",IF(AW66="",0,(AW66*VLOOKUP($B66,'A1.3.9'!$B$26:$O$57,9,TRUE))) + IF(BA66="",0,(BA66*VLOOKUP($B66,'A1.3.9'!$B$26:$O$57,10,TRUE))))</f>
        <v>32.730334471895425</v>
      </c>
      <c r="BF66" s="691">
        <f>IF(AND(AX66="",BB66=""),"",IF(AX66="",0,(AX66*VLOOKUP($B66,'A1.3.9'!$B$26:$O$57,9,TRUE))) + IF(BB66="",0,(BB66*VLOOKUP($B66,'A1.3.9'!$B$26:$O$57,10,TRUE))))</f>
        <v>-0.21685568410390335</v>
      </c>
      <c r="BG66" s="2644">
        <f>IF(AND(AY66="",BC66=""),"",IF(AY66="",0,(AY66*VLOOKUP($B66,'A1.3.9'!$B$26:$O$57,9,TRUE))) + IF(BC66="",0,(BC66*VLOOKUP($B66,'A1.3.9'!$B$26:$O$57,10,TRUE))))</f>
        <v>1.2925500528489658E-3</v>
      </c>
      <c r="BH66" s="693">
        <f>IF('A1.3.8'!D$33="","",IF(OR(VLOOKUP($B66,'A1.3.11'!$B$26:$AM$105,BH$22,)="",VLOOKUP($B66,'A1.3.7'!$B$28:$H$118,4,)=""),"",VLOOKUP($B66,'A1.3.11'!$B$26:$AM$105,BH$22,)*(VLOOKUP($B66,'A1.3.7'!$B$28:$O$118,4,)+VLOOKUP($B66,'A1.3.7'!$B$28:$O$118,9,))))</f>
        <v>373.7963573260277</v>
      </c>
      <c r="BI66" s="691">
        <f>IF('A1.3.8'!E$33="","",IF(OR(VLOOKUP($B66,'A1.3.11'!$B$26:$AM$105,BI$22,)="",VLOOKUP($B66,'A1.3.7'!$B$28:$H$118,4,)=""),"",VLOOKUP($B66,'A1.3.11'!$B$26:$AM$105,BI$22,)*(VLOOKUP($B66,'A1.3.7'!$B$28:$O$118,4,)+VLOOKUP($B66,'A1.3.7'!$B$28:$O$118,9,))))</f>
        <v>32.844346121229776</v>
      </c>
      <c r="BJ66" s="691">
        <f>IF('A1.3.8'!F$33="","",IF(OR(VLOOKUP($B66,'A1.3.11'!$B$26:$AM$105,BJ$22,)="",VLOOKUP($B66,'A1.3.7'!$B$28:$H$118,4,)=""),"",VLOOKUP($B66,'A1.3.11'!$B$26:$AM$105,BJ$22,)*(VLOOKUP($B66,'A1.3.7'!$B$28:$O$118,4,)+VLOOKUP($B66,'A1.3.7'!$B$28:$O$118,9,))))</f>
        <v>-0.35698876841310201</v>
      </c>
      <c r="BK66" s="2644">
        <f>IF('A1.3.8'!G$33="","",IF(OR(VLOOKUP($B66,'A1.3.11'!$B$26:$AM$105,BK$22,)="",VLOOKUP($B66,'A1.3.7'!$B$28:$H$118,4,)=""),"",VLOOKUP($B66,'A1.3.11'!$B$26:$AM$105,BK$22,)*(VLOOKUP($B66,'A1.3.7'!$B$28:$O$118,4,)+VLOOKUP($B66,'A1.3.7'!$B$28:$O$118,9,))))</f>
        <v>2.6186585355913996E-3</v>
      </c>
      <c r="BL66" s="693" t="str">
        <f>IF('A1.3.8'!D$40="","",IF(OR(VLOOKUP($B66,'A1.3.11'!$B$26:$AM$105,BL$22,)="",VLOOKUP($B66,'A1.3.7'!$B$28:$H$118,6,)=""),"",VLOOKUP($B66,'A1.3.11'!$B$26:$AM$105,BL$22,)*VLOOKUP($B66,'A1.3.7'!$B$28:$O$118,6,)))</f>
        <v/>
      </c>
      <c r="BM66" s="691" t="str">
        <f>IF('A1.3.8'!E$40="","",IF(OR(VLOOKUP($B66,'A1.3.11'!$B$26:$AM$105,BM$22,)="",VLOOKUP($B66,'A1.3.7'!$B$28:$H$118,6,)=""),"",VLOOKUP($B66,'A1.3.11'!$B$26:$AM$105,BM$22,)*VLOOKUP($B66,'A1.3.7'!$B$28:$O$118,6,)))</f>
        <v/>
      </c>
      <c r="BN66" s="691" t="str">
        <f>IF('A1.3.8'!F$40="","",IF(OR(VLOOKUP($B66,'A1.3.11'!$B$26:$AM$105,BN$22,)="",VLOOKUP($B66,'A1.3.7'!$B$28:$H$118,6,)=""),"",VLOOKUP($B66,'A1.3.11'!$B$26:$AM$105,BN$22,)*VLOOKUP($B66,'A1.3.7'!$B$28:$O$118,6,)))</f>
        <v/>
      </c>
      <c r="BO66" s="1664" t="str">
        <f>IF('A1.3.8'!G$40="","",IF(OR(VLOOKUP($B66,'A1.3.11'!$B$26:$AM$105,BO$22,)="",VLOOKUP($B66,'A1.3.7'!$B$28:$H$118,6,)=""),"",VLOOKUP($B66,'A1.3.11'!$B$26:$AM$105,BO$22,)*VLOOKUP($B66,'A1.3.7'!$B$28:$O$118,6,)))</f>
        <v/>
      </c>
      <c r="BP66" s="693">
        <f>IF(AND(BH66="",BL66=""),"",IF(BH66="",0,(BH66*VLOOKUP($B66,'A1.3.9'!$B$26:$O$57,9,TRUE))) + IF(BL66="",0,(BL66*VLOOKUP($B66,'A1.3.9'!$B$26:$O$57,10,TRUE))))</f>
        <v>373.7963573260277</v>
      </c>
      <c r="BQ66" s="691">
        <f>IF(AND(BI66="",BM66=""),"",IF(BI66="",0,(BI66*VLOOKUP($B66,'A1.3.9'!$B$26:$O$57,9,TRUE))) + IF(BM66="",0,(BM66*VLOOKUP($B66,'A1.3.9'!$B$26:$O$57,10,TRUE))))</f>
        <v>32.844346121229776</v>
      </c>
      <c r="BR66" s="691">
        <f>IF(AND(BJ66="",BN66=""),"",IF(BJ66="",0,(BJ66*VLOOKUP($B66,'A1.3.9'!$B$26:$O$57,9,TRUE))) + IF(BN66="",0,(BN66*VLOOKUP($B66,'A1.3.9'!$B$26:$O$57,10,TRUE))))</f>
        <v>-0.35698876841310201</v>
      </c>
      <c r="BS66" s="2644">
        <f>IF(AND(BK66="",BO66=""),"",IF(BK66="",0,(BK66*VLOOKUP($B66,'A1.3.9'!$B$26:$O$57,9,TRUE))) + IF(BO66="",0,(BO66*VLOOKUP($B66,'A1.3.9'!$B$26:$O$57,10,TRUE))))</f>
        <v>2.6186585355913996E-3</v>
      </c>
    </row>
    <row r="67" spans="1:71" s="26" customFormat="1" ht="13.5" customHeight="1">
      <c r="A67" s="113"/>
      <c r="B67" s="614">
        <f t="shared" si="0"/>
        <v>2050</v>
      </c>
      <c r="C67" s="147"/>
      <c r="D67" s="693">
        <f>IF('A1.3.8'!D$27="","",IF(OR(VLOOKUP($B67,'A1.3.11'!$B$26:$AM$105,D$22,)="",VLOOKUP($B67,'A1.3.7'!$B$28:$H$118,3,)=""),"",VLOOKUP($B67,'A1.3.11'!$B$26:$AM$105,D$22,)*(VLOOKUP($B67,'A1.3.7'!$B$28:$O$118,3,)+VLOOKUP($B67,'A1.3.7'!$B$28:$O$118,8,))))</f>
        <v>35.040352006008789</v>
      </c>
      <c r="E67" s="691">
        <f>IF('A1.3.8'!E$27="","",IF(OR(VLOOKUP($B67,'A1.3.11'!$B$26:$AM$105,E$22,)="",VLOOKUP($B67,'A1.3.7'!$B$28:$H$118,3,)=""),"",VLOOKUP($B67,'A1.3.11'!$B$26:$AM$105,E$22,)*(VLOOKUP($B67,'A1.3.7'!$B$28:$O$118,3,)+VLOOKUP($B67,'A1.3.7'!$B$28:$O$118,8,))))</f>
        <v>7.4466431876103725</v>
      </c>
      <c r="F67" s="691">
        <f>IF('A1.3.8'!F$27="","",IF(OR(VLOOKUP($B67,'A1.3.11'!$B$26:$AM$105,F$22,)="",VLOOKUP($B67,'A1.3.7'!$B$28:$H$118,3,)=""),"",VLOOKUP($B67,'A1.3.11'!$B$26:$AM$105,F$22,)*(VLOOKUP($B67,'A1.3.7'!$B$28:$O$118,3,)+VLOOKUP($B67,'A1.3.7'!$B$28:$O$118,8,))))</f>
        <v>-8.4826096774497789E-2</v>
      </c>
      <c r="G67" s="2644">
        <f>IF('A1.3.8'!G$27="","",IF(OR(VLOOKUP($B67,'A1.3.11'!$B$26:$AM$105,G$22,)="",VLOOKUP($B67,'A1.3.7'!$B$28:$H$118,3,)=""),"",VLOOKUP($B67,'A1.3.11'!$B$26:$AM$105,G$22,)*(VLOOKUP($B67,'A1.3.7'!$B$28:$O$118,3,)+VLOOKUP($B67,'A1.3.7'!$B$28:$O$118,8,))))</f>
        <v>5.6179641371471823E-4</v>
      </c>
      <c r="H67" s="693">
        <f>IF('A1.3.8'!D$28="","",IF(OR(VLOOKUP($B67,'A1.3.11'!$B$26:$AM$105,H$22,)="",VLOOKUP($B67,'A1.3.7'!$B$28:$H$118,4,)=""),"",VLOOKUP($B67,'A1.3.11'!$B$26:$AM$105,H$22,)*(VLOOKUP($B67,'A1.3.7'!$B$28:$O$118,4,)+VLOOKUP($B67,'A1.3.7'!$B$28:$O$118,9,))))</f>
        <v>43.253985164325286</v>
      </c>
      <c r="I67" s="691">
        <f>IF('A1.3.8'!E$28="","",IF(OR(VLOOKUP($B67,'A1.3.11'!$B$26:$AM$105,I$22,)="",VLOOKUP($B67,'A1.3.7'!$B$28:$H$118,4,)=""),"",VLOOKUP($B67,'A1.3.11'!$B$26:$AM$105,I$22,)*(VLOOKUP($B67,'A1.3.7'!$B$28:$O$118,4,)+VLOOKUP($B67,'A1.3.7'!$B$28:$O$118,9,))))</f>
        <v>6.2015518027272654</v>
      </c>
      <c r="J67" s="691">
        <f>IF('A1.3.8'!F$28="","",IF(OR(VLOOKUP($B67,'A1.3.11'!$B$26:$AM$105,J$22,)="",VLOOKUP($B67,'A1.3.7'!$B$28:$H$118,4,)=""),"",VLOOKUP($B67,'A1.3.11'!$B$26:$AM$105,J$22,)*(VLOOKUP($B67,'A1.3.7'!$B$28:$O$118,4,)+VLOOKUP($B67,'A1.3.7'!$B$28:$O$118,9,))))</f>
        <v>-5.96606559747151E-2</v>
      </c>
      <c r="K67" s="2644">
        <f>IF('A1.3.8'!G$28="","",IF(OR(VLOOKUP($B67,'A1.3.11'!$B$26:$AM$105,K$22,)="",VLOOKUP($B67,'A1.3.7'!$B$28:$H$118,4,)=""),"",VLOOKUP($B67,'A1.3.11'!$B$26:$AM$105,K$22,)*(VLOOKUP($B67,'A1.3.7'!$B$28:$O$118,4,)+VLOOKUP($B67,'A1.3.7'!$B$28:$O$118,9,))))</f>
        <v>4.7012896230052989E-4</v>
      </c>
      <c r="L67" s="693" t="str">
        <f>IF('A1.3.8'!D$36="","",IF(OR(VLOOKUP($B67,'A1.3.11'!$B$26:$AM$105,L$22,)="",VLOOKUP($B67,'A1.3.7'!$B$28:$H$118,6,)=""),"",VLOOKUP($B67,'A1.3.11'!$B$26:$AM$105,L$22,)*VLOOKUP($B67,'A1.3.7'!$B$28:$O$118,6,)))</f>
        <v/>
      </c>
      <c r="M67" s="691">
        <f>IF('A1.3.8'!E$36="","",IF(OR(VLOOKUP($B67,'A1.3.11'!$B$26:$AM$105,M$22,)="",VLOOKUP($B67,'A1.3.7'!$B$28:$H$118,6,)=""),"",VLOOKUP($B67,'A1.3.11'!$B$26:$AM$105,M$22,)*VLOOKUP($B67,'A1.3.7'!$B$28:$O$118,6,)))</f>
        <v>1.9637608285706969</v>
      </c>
      <c r="N67" s="691" t="str">
        <f>IF('A1.3.8'!F$36="","",IF(OR(VLOOKUP($B67,'A1.3.11'!$B$26:$AM$105,N$22,)="",VLOOKUP($B67,'A1.3.7'!$B$28:$H$118,6,)=""),"",VLOOKUP($B67,'A1.3.11'!$B$26:$AM$105,N$22,)*VLOOKUP($B67,'A1.3.7'!$B$28:$O$118,6,)))</f>
        <v/>
      </c>
      <c r="O67" s="1664" t="str">
        <f>IF('A1.3.8'!G$36="","",IF(OR(VLOOKUP($B67,'A1.3.11'!$B$26:$AM$105,O$22,)="",VLOOKUP($B67,'A1.3.7'!$B$28:$H$118,6,)=""),"",VLOOKUP($B67,'A1.3.11'!$B$26:$AM$105,O$22,)*VLOOKUP($B67,'A1.3.7'!$B$28:$O$118,6,)))</f>
        <v/>
      </c>
      <c r="P67" s="693">
        <f>IF(AND(D67="",H67="",L67=""),"",IF(D67="",0,(D67*VLOOKUP($B67,'A1.3.9'!$B$26:$O$57,3,TRUE)))+IF(H67="",0,(H67*VLOOKUP($B67,'A1.3.9'!$B$26:$O$57,4,TRUE)))+IF(L67="",0,(L67*VLOOKUP($B67,'A1.3.9'!$B$26:$O$57,5,TRUE))))</f>
        <v>29.079823798835406</v>
      </c>
      <c r="Q67" s="691">
        <f>IF(AND(E67="",I67="",M67=""),"",IF(E67="",0,(E67*VLOOKUP($B67,'A1.3.9'!$B$26:$O$57,3,TRUE)))+IF(I67="",0,(I67*VLOOKUP($B67,'A1.3.9'!$B$26:$O$57,4,TRUE)))+IF(M67="",0,(M67*VLOOKUP($B67,'A1.3.9'!$B$26:$O$57,5,TRUE))))</f>
        <v>5.7331981375686905</v>
      </c>
      <c r="R67" s="691">
        <f>IF(AND(F67="",J67="",N67=""),"",IF(F67="",0,(F67*VLOOKUP($B67,'A1.3.9'!$B$26:$O$57,3,TRUE)))+IF(J67="",0,(J67*VLOOKUP($B67,'A1.3.9'!$B$26:$O$57,4,TRUE)))+IF(N67="",0,(N67*VLOOKUP($B67,'A1.3.9'!$B$26:$O$57,5,TRUE))))</f>
        <v>-5.6495900197706062E-2</v>
      </c>
      <c r="S67" s="2644">
        <f>IF(AND(G67="",K67="",O67=""),"",IF(G67="",0,(G67*VLOOKUP($B67,'A1.3.9'!$B$26:$O$57,3,TRUE)))+IF(K67="",0,(K67*VLOOKUP($B67,'A1.3.9'!$B$26:$O$57,4,TRUE)))+IF(O67="",0,(O67*VLOOKUP($B67,'A1.3.9'!$B$26:$O$57,5,TRUE))))</f>
        <v>3.9731106436703494E-4</v>
      </c>
      <c r="T67" s="693">
        <f>IF('A1.3.8'!D$29="","",IF(OR(VLOOKUP($B67,'A1.3.11'!$B$26:$AM$105,T$22,)="",VLOOKUP($B67,'A1.3.7'!$B$28:$H$118,3,)=""),"",VLOOKUP($B67,'A1.3.11'!$B$26:$AM$105,T$22,)*(VLOOKUP($B67,'A1.3.7'!$B$28:$O$118,3,)+VLOOKUP($B67,'A1.3.7'!$B$28:$O$118,8,))))</f>
        <v>25.205683968402489</v>
      </c>
      <c r="U67" s="691">
        <f>IF('A1.3.8'!E$29="","",IF(OR(VLOOKUP($B67,'A1.3.11'!$B$26:$AM$105,U$22,)="",VLOOKUP($B67,'A1.3.7'!$B$28:$H$118,3,)=""),"",VLOOKUP($B67,'A1.3.11'!$B$26:$AM$105,U$22,)*(VLOOKUP($B67,'A1.3.7'!$B$28:$O$118,3,)+VLOOKUP($B67,'A1.3.7'!$B$28:$O$118,8,))))</f>
        <v>14.133888502833914</v>
      </c>
      <c r="V67" s="691">
        <f>IF('A1.3.8'!F$29="","",IF(OR(VLOOKUP($B67,'A1.3.11'!$B$26:$AM$105,V$22,)="",VLOOKUP($B67,'A1.3.7'!$B$28:$H$118,3,)=""),"",VLOOKUP($B67,'A1.3.11'!$B$26:$AM$105,V$22,)*(VLOOKUP($B67,'A1.3.7'!$B$28:$O$118,3,)+VLOOKUP($B67,'A1.3.7'!$B$28:$O$118,8,))))</f>
        <v>-0.22185565649570158</v>
      </c>
      <c r="W67" s="2644">
        <f>IF('A1.3.8'!G$29="","",IF(OR(VLOOKUP($B67,'A1.3.11'!$B$26:$AM$105,W$22,)="",VLOOKUP($B67,'A1.3.7'!$B$28:$H$118,3,)=""),"",VLOOKUP($B67,'A1.3.11'!$B$26:$AM$105,W$22,)*(VLOOKUP($B67,'A1.3.7'!$B$28:$O$118,3,)+VLOOKUP($B67,'A1.3.7'!$B$28:$O$118,8,))))</f>
        <v>1.4327521209145126E-3</v>
      </c>
      <c r="X67" s="693">
        <f>IF('A1.3.8'!D$30="","",IF(OR(VLOOKUP($B67,'A1.3.11'!$B$26:$AM$105,X$22,)="",VLOOKUP($B67,'A1.3.7'!$B$28:$H$118,4,)=""),"",VLOOKUP($B67,'A1.3.11'!$B$26:$AM$105,X$22,)*(VLOOKUP($B67,'A1.3.7'!$B$28:$O$118,4,)+VLOOKUP($B67,'A1.3.7'!$B$28:$O$118,9,))))</f>
        <v>44.547408328650114</v>
      </c>
      <c r="Y67" s="691">
        <f>IF('A1.3.8'!E$30="","",IF(OR(VLOOKUP($B67,'A1.3.11'!$B$26:$AM$105,Y$22,)="",VLOOKUP($B67,'A1.3.7'!$B$28:$H$118,4,)=""),"",VLOOKUP($B67,'A1.3.11'!$B$26:$AM$105,Y$22,)*(VLOOKUP($B67,'A1.3.7'!$B$28:$O$118,4,)+VLOOKUP($B67,'A1.3.7'!$B$28:$O$118,9,))))</f>
        <v>10.887568140988607</v>
      </c>
      <c r="Z67" s="691">
        <f>IF('A1.3.8'!F$30="","",IF(OR(VLOOKUP($B67,'A1.3.11'!$B$26:$AM$105,Z$22,)="",VLOOKUP($B67,'A1.3.7'!$B$28:$H$118,4,)=""),"",VLOOKUP($B67,'A1.3.11'!$B$26:$AM$105,Z$22,)*(VLOOKUP($B67,'A1.3.7'!$B$28:$O$118,4,)+VLOOKUP($B67,'A1.3.7'!$B$28:$O$118,9,))))</f>
        <v>-0.15707295796815229</v>
      </c>
      <c r="AA67" s="2644">
        <f>IF('A1.3.8'!G$30="","",IF(OR(VLOOKUP($B67,'A1.3.11'!$B$26:$AM$105,AA$22,)="",VLOOKUP($B67,'A1.3.7'!$B$28:$H$118,4,)=""),"",VLOOKUP($B67,'A1.3.11'!$B$26:$AM$105,AA$22,)*(VLOOKUP($B67,'A1.3.7'!$B$28:$O$118,4,)+VLOOKUP($B67,'A1.3.7'!$B$28:$O$118,9,))))</f>
        <v>1.3297851388441027E-3</v>
      </c>
      <c r="AB67" s="693" t="str">
        <f>IF('A1.3.8'!D$37="","",IF(OR(VLOOKUP($B67,'A1.3.11'!$B$26:$AM$105,AB$22,)="",VLOOKUP($B67,'A1.3.7'!$B$28:$H$118,6,)=""),"",VLOOKUP($B67,'A1.3.11'!$B$26:$AM$105,AB$22,)*VLOOKUP($B67,'A1.3.7'!$B$28:$O$118,6,)))</f>
        <v/>
      </c>
      <c r="AC67" s="691">
        <f>IF('A1.3.8'!E$37="","",IF(OR(VLOOKUP($B67,'A1.3.11'!$B$26:$AM$105,AC$22,)="",VLOOKUP($B67,'A1.3.7'!$B$28:$H$118,6,)=""),"",VLOOKUP($B67,'A1.3.11'!$B$26:$AM$105,AC$22,)*VLOOKUP($B67,'A1.3.7'!$B$28:$O$118,6,)))</f>
        <v>4.5145632825273854</v>
      </c>
      <c r="AD67" s="691" t="str">
        <f>IF('A1.3.8'!F$37="","",IF(OR(VLOOKUP($B67,'A1.3.11'!$B$26:$AM$105,AD$22,)="",VLOOKUP($B67,'A1.3.7'!$B$28:$H$118,6,)=""),"",VLOOKUP($B67,'A1.3.11'!$B$26:$AM$105,AD$22,)*VLOOKUP($B67,'A1.3.7'!$B$28:$O$118,6,)))</f>
        <v/>
      </c>
      <c r="AE67" s="1664" t="str">
        <f>IF('A1.3.8'!G$37="","",IF(OR(VLOOKUP($B67,'A1.3.11'!$B$26:$AM$105,AE$22,)="",VLOOKUP($B67,'A1.3.7'!$B$28:$H$118,6,)=""),"",VLOOKUP($B67,'A1.3.11'!$B$26:$AM$105,AE$22,)*VLOOKUP($B67,'A1.3.7'!$B$28:$O$118,6,)))</f>
        <v/>
      </c>
      <c r="AF67" s="693">
        <f>IF(AND(T67="",X67="",AB67=""),"",IF(T67="",0,(T67*VLOOKUP('A1.3.12'!$B67,'A1.3.9'!$B$26:$O$57,6,TRUE))) + IF(X67="",0,(X67*VLOOKUP('A1.3.12'!$B67,'A1.3.9'!$B$26:$O$57,7,TRUE))) + IF(AB67="",0,(AB67*VLOOKUP('A1.3.12'!$B67,'A1.3.9'!$B$26:$O$57,8,TRUE))))</f>
        <v>39.52633856215968</v>
      </c>
      <c r="AG67" s="691">
        <f>IF(AND(U67="",Y67="",AC67=""),"",IF(U67="",0,(U67*VLOOKUP('A1.3.12'!$B67,'A1.3.9'!$B$26:$O$57,6,TRUE))) + IF(Y67="",0,(Y67*VLOOKUP('A1.3.12'!$B67,'A1.3.9'!$B$26:$O$57,7,TRUE))) + IF(AC67="",0,(AC67*VLOOKUP('A1.3.12'!$B67,'A1.3.9'!$B$26:$O$57,8,TRUE))))</f>
        <v>10.214837538115777</v>
      </c>
      <c r="AH67" s="691">
        <f>IF(AND(V67="",Z67="",AD67=""),"",IF(V67="",0,(V67*VLOOKUP('A1.3.12'!$B67,'A1.3.9'!$B$26:$O$57,6,TRUE))) + IF(Z67="",0,(Z67*VLOOKUP('A1.3.12'!$B67,'A1.3.9'!$B$26:$O$57,7,TRUE))) + IF(AD67="",0,(AD67*VLOOKUP('A1.3.12'!$B67,'A1.3.9'!$B$26:$O$57,8,TRUE))))</f>
        <v>-0.14037698019376721</v>
      </c>
      <c r="AI67" s="2644">
        <f>IF(AND(W67="",AA67="",AE67=""),"",IF(W67="",0,(W67*VLOOKUP('A1.3.12'!$B67,'A1.3.9'!$B$26:$O$57,6,TRUE))) + IF(AA67="",0,(AA67*VLOOKUP('A1.3.12'!$B67,'A1.3.9'!$B$26:$O$57,7,TRUE))) + IF(AE67="",0,(AE67*VLOOKUP('A1.3.12'!$B67,'A1.3.9'!$B$26:$O$57,8,TRUE))))</f>
        <v>1.1850590188652954E-3</v>
      </c>
      <c r="AJ67" s="693">
        <f>IF('A1.3.8'!D$31="","",IF(OR(VLOOKUP($B67,'A1.3.11'!$B$26:$AM$105,AJ$22,)="",VLOOKUP($B67,'A1.3.7'!$B$28:$H$118,4,)=""),"",VLOOKUP($B67,'A1.3.11'!$B$26:$AM$105,AJ$22,)*(VLOOKUP($B67,'A1.3.7'!$B$28:$O$118,4,)+VLOOKUP($B67,'A1.3.7'!$B$28:$O$118,9,))))</f>
        <v>301.13882280784571</v>
      </c>
      <c r="AK67" s="691">
        <f>IF('A1.3.8'!E$31="","",IF(OR(VLOOKUP($B67,'A1.3.11'!$B$26:$AM$105,AK$22,)="",VLOOKUP($B67,'A1.3.7'!$B$28:$H$118,4,)=""),"",VLOOKUP($B67,'A1.3.11'!$B$26:$AM$105,AK$22,)*(VLOOKUP($B67,'A1.3.7'!$B$28:$O$118,4,)+VLOOKUP($B67,'A1.3.7'!$B$28:$O$118,9,))))</f>
        <v>15.977584339701638</v>
      </c>
      <c r="AL67" s="691">
        <f>IF('A1.3.8'!F$31="","",IF(OR(VLOOKUP($B67,'A1.3.11'!$B$26:$AM$105,AL$22,)="",VLOOKUP($B67,'A1.3.7'!$B$28:$H$118,4,)=""),"",VLOOKUP($B67,'A1.3.11'!$B$26:$AM$105,AL$22,)*(VLOOKUP($B67,'A1.3.7'!$B$28:$O$118,4,)+VLOOKUP($B67,'A1.3.7'!$B$28:$O$118,9,))))</f>
        <v>-0.11548608105312409</v>
      </c>
      <c r="AM67" s="2644">
        <f>IF('A1.3.8'!G$31="","",IF(OR(VLOOKUP($B67,'A1.3.11'!$B$26:$AM$105,AM$22,)="",VLOOKUP($B67,'A1.3.7'!$B$28:$H$118,4,)=""),"",VLOOKUP($B67,'A1.3.11'!$B$26:$AM$105,AM$22,)*(VLOOKUP($B67,'A1.3.7'!$B$28:$O$118,4,)+VLOOKUP($B67,'A1.3.7'!$B$28:$O$118,9,))))</f>
        <v>1.2612933029249357E-3</v>
      </c>
      <c r="AN67" s="693" t="str">
        <f>IF('A1.3.8'!D$38="","",IF(OR(VLOOKUP($B67,'A1.3.11'!$B$26:$AM$105,AN$22,)="",VLOOKUP($B67,'A1.3.7'!$B$28:$H$118,6,)=""),"",VLOOKUP($B67,'A1.3.11'!$B$26:$AM$105,AN$22,)*VLOOKUP($B67,'A1.3.7'!$B$28:$O$118,6,)))</f>
        <v/>
      </c>
      <c r="AO67" s="691" t="str">
        <f>IF('A1.3.8'!E$38="","",IF(OR(VLOOKUP($B67,'A1.3.11'!$B$26:$AM$105,AO$22,)="",VLOOKUP($B67,'A1.3.7'!$B$28:$H$118,6,)=""),"",VLOOKUP($B67,'A1.3.11'!$B$26:$AM$105,AO$22,)*VLOOKUP($B67,'A1.3.7'!$B$28:$O$118,6,)))</f>
        <v/>
      </c>
      <c r="AP67" s="691" t="str">
        <f>IF('A1.3.8'!F$38="","",IF(OR(VLOOKUP($B67,'A1.3.11'!$B$26:$AM$105,AP$22,)="",VLOOKUP($B67,'A1.3.7'!$B$28:$H$118,6,)=""),"",VLOOKUP($B67,'A1.3.11'!$B$26:$AM$105,AP$22,)*VLOOKUP($B67,'A1.3.7'!$B$28:$O$118,6,)))</f>
        <v/>
      </c>
      <c r="AQ67" s="1664" t="str">
        <f>IF('A1.3.8'!G$38="","",IF(OR(VLOOKUP($B67,'A1.3.11'!$B$26:$AM$105,AQ$22,)="",VLOOKUP($B67,'A1.3.7'!$B$28:$H$118,6,)=""),"",VLOOKUP($B67,'A1.3.11'!$B$26:$AM$105,AQ$22,)*VLOOKUP($B67,'A1.3.7'!$B$28:$O$118,6,)))</f>
        <v/>
      </c>
      <c r="AR67" s="693">
        <f>IF(AND(AJ67="",AN67=""),"",IF(AJ67="",0,(AJ67*VLOOKUP($B67,'A1.3.9'!$B$26:$O$57,9,TRUE))) + IF(AN67="",0,(AN67*VLOOKUP($B67,'A1.3.9'!$B$26:$O$57,10,TRUE))))</f>
        <v>301.13882280784571</v>
      </c>
      <c r="AS67" s="691">
        <f>IF(AND(AK67="",AO67=""),"",IF(AK67="",0,(AK67*VLOOKUP($B67,'A1.3.9'!$B$26:$O$57,9,TRUE))) + IF(AO67="",0,(AO67*VLOOKUP($B67,'A1.3.9'!$B$26:$O$57,10,TRUE))))</f>
        <v>15.977584339701638</v>
      </c>
      <c r="AT67" s="691">
        <f>IF(AND(AL67="",AP67=""),"",IF(AL67="",0,(AL67*VLOOKUP($B67,'A1.3.9'!$B$26:$O$57,9,TRUE))) + IF(AP67="",0,(AP67*VLOOKUP($B67,'A1.3.9'!$B$26:$O$57,10,TRUE))))</f>
        <v>-0.11548608105312409</v>
      </c>
      <c r="AU67" s="2644">
        <f>IF(AND(AM67="",AQ67=""),"",IF(AM67="",0,(AM67*VLOOKUP($B67,'A1.3.9'!$B$26:$O$57,9,TRUE))) + IF(AQ67="",0,(AQ67*VLOOKUP($B67,'A1.3.9'!$B$26:$O$57,10,TRUE))))</f>
        <v>1.2612933029249357E-3</v>
      </c>
      <c r="AV67" s="693">
        <f>IF('A1.3.8'!D$32="","",IF(OR(VLOOKUP($B67,'A1.3.11'!$B$26:$AM$105,AV$22,)="",VLOOKUP($B67,'A1.3.7'!$B$28:$H$118,4,)=""),"",VLOOKUP($B67,'A1.3.11'!$B$26:$AM$105,AV$22,)*(VLOOKUP($B67,'A1.3.7'!$B$28:$O$118,4,)+VLOOKUP($B67,'A1.3.7'!$B$28:$O$118,9,))))</f>
        <v>632.77113649174066</v>
      </c>
      <c r="AW67" s="691">
        <f>IF('A1.3.8'!E$32="","",IF(OR(VLOOKUP($B67,'A1.3.11'!$B$26:$AM$105,AW$22,)="",VLOOKUP($B67,'A1.3.7'!$B$28:$H$118,4,)=""),"",VLOOKUP($B67,'A1.3.11'!$B$26:$AM$105,AW$22,)*(VLOOKUP($B67,'A1.3.7'!$B$28:$O$118,4,)+VLOOKUP($B67,'A1.3.7'!$B$28:$O$118,9,))))</f>
        <v>32.860926326232509</v>
      </c>
      <c r="AX67" s="691">
        <f>IF('A1.3.8'!F$32="","",IF(OR(VLOOKUP($B67,'A1.3.11'!$B$26:$AM$105,AX$22,)="",VLOOKUP($B67,'A1.3.7'!$B$28:$H$118,4,)=""),"",VLOOKUP($B67,'A1.3.11'!$B$26:$AM$105,AX$22,)*(VLOOKUP($B67,'A1.3.7'!$B$28:$O$118,4,)+VLOOKUP($B67,'A1.3.7'!$B$28:$O$118,9,))))</f>
        <v>-0.21772092383846769</v>
      </c>
      <c r="AY67" s="2644">
        <f>IF('A1.3.8'!G$32="","",IF(OR(VLOOKUP($B67,'A1.3.11'!$B$26:$AM$105,AY$22,)="",VLOOKUP($B67,'A1.3.7'!$B$28:$H$118,4,)=""),"",VLOOKUP($B67,'A1.3.11'!$B$26:$AM$105,AY$22,)*(VLOOKUP($B67,'A1.3.7'!$B$28:$O$118,4,)+VLOOKUP($B67,'A1.3.7'!$B$28:$O$118,9,))))</f>
        <v>1.2977072414615655E-3</v>
      </c>
      <c r="AZ67" s="693" t="str">
        <f>IF('A1.3.8'!D$39="","",IF(OR(VLOOKUP($B67,'A1.3.11'!$B$26:$AM$105,AZ$22,)="",VLOOKUP($B67,'A1.3.7'!$B$28:$H$118,6,)=""),"",VLOOKUP($B67,'A1.3.11'!$B$26:$AM$105,AZ$22,)*VLOOKUP($B67,'A1.3.7'!$B$28:$O$118,6,)))</f>
        <v/>
      </c>
      <c r="BA67" s="691" t="str">
        <f>IF('A1.3.8'!E$39="","",IF(OR(VLOOKUP($B67,'A1.3.11'!$B$26:$AM$105,BA$22,)="",VLOOKUP($B67,'A1.3.7'!$B$28:$H$118,6,)=""),"",VLOOKUP($B67,'A1.3.11'!$B$26:$AM$105,BA$22,)*VLOOKUP($B67,'A1.3.7'!$B$28:$O$118,6,)))</f>
        <v/>
      </c>
      <c r="BB67" s="691" t="str">
        <f>IF('A1.3.8'!F$39="","",IF(OR(VLOOKUP($B67,'A1.3.11'!$B$26:$AM$105,BB$22,)="",VLOOKUP($B67,'A1.3.7'!$B$28:$H$118,6,)=""),"",VLOOKUP($B67,'A1.3.11'!$B$26:$AM$105,BB$22,)*VLOOKUP($B67,'A1.3.7'!$B$28:$O$118,6,)))</f>
        <v/>
      </c>
      <c r="BC67" s="1664" t="str">
        <f>IF('A1.3.8'!G$39="","",IF(OR(VLOOKUP($B67,'A1.3.11'!$B$26:$AM$105,BC$22,)="",VLOOKUP($B67,'A1.3.7'!$B$28:$H$118,6,)=""),"",VLOOKUP($B67,'A1.3.11'!$B$26:$AM$105,BC$22,)*VLOOKUP($B67,'A1.3.7'!$B$28:$O$118,6,)))</f>
        <v/>
      </c>
      <c r="BD67" s="693">
        <f>IF(AND(AV67="",AZ67=""),"",IF(AV67="",0,(AV67*VLOOKUP($B67,'A1.3.9'!$B$26:$O$57,9,TRUE))) + IF(AZ67="",0,(AZ67*VLOOKUP($B67,'A1.3.9'!$B$26:$O$57,10,TRUE))))</f>
        <v>632.77113649174066</v>
      </c>
      <c r="BE67" s="691">
        <f>IF(AND(AW67="",BA67=""),"",IF(AW67="",0,(AW67*VLOOKUP($B67,'A1.3.9'!$B$26:$O$57,9,TRUE))) + IF(BA67="",0,(BA67*VLOOKUP($B67,'A1.3.9'!$B$26:$O$57,10,TRUE))))</f>
        <v>32.860926326232509</v>
      </c>
      <c r="BF67" s="691">
        <f>IF(AND(AX67="",BB67=""),"",IF(AX67="",0,(AX67*VLOOKUP($B67,'A1.3.9'!$B$26:$O$57,9,TRUE))) + IF(BB67="",0,(BB67*VLOOKUP($B67,'A1.3.9'!$B$26:$O$57,10,TRUE))))</f>
        <v>-0.21772092383846769</v>
      </c>
      <c r="BG67" s="2644">
        <f>IF(AND(AY67="",BC67=""),"",IF(AY67="",0,(AY67*VLOOKUP($B67,'A1.3.9'!$B$26:$O$57,9,TRUE))) + IF(BC67="",0,(BC67*VLOOKUP($B67,'A1.3.9'!$B$26:$O$57,10,TRUE))))</f>
        <v>1.2977072414615655E-3</v>
      </c>
      <c r="BH67" s="693">
        <f>IF('A1.3.8'!D$33="","",IF(OR(VLOOKUP($B67,'A1.3.11'!$B$26:$AM$105,BH$22,)="",VLOOKUP($B67,'A1.3.7'!$B$28:$H$118,4,)=""),"",VLOOKUP($B67,'A1.3.11'!$B$26:$AM$105,BH$22,)*(VLOOKUP($B67,'A1.3.7'!$B$28:$O$118,4,)+VLOOKUP($B67,'A1.3.7'!$B$28:$O$118,9,))))</f>
        <v>375.28777989274687</v>
      </c>
      <c r="BI67" s="691">
        <f>IF('A1.3.8'!E$33="","",IF(OR(VLOOKUP($B67,'A1.3.11'!$B$26:$AM$105,BI$22,)="",VLOOKUP($B67,'A1.3.7'!$B$28:$H$118,4,)=""),"",VLOOKUP($B67,'A1.3.11'!$B$26:$AM$105,BI$22,)*(VLOOKUP($B67,'A1.3.7'!$B$28:$O$118,4,)+VLOOKUP($B67,'A1.3.7'!$B$28:$O$118,9,))))</f>
        <v>32.975392874453249</v>
      </c>
      <c r="BJ67" s="691">
        <f>IF('A1.3.8'!F$33="","",IF(OR(VLOOKUP($B67,'A1.3.11'!$B$26:$AM$105,BJ$22,)="",VLOOKUP($B67,'A1.3.7'!$B$28:$H$118,4,)=""),"",VLOOKUP($B67,'A1.3.11'!$B$26:$AM$105,BJ$22,)*(VLOOKUP($B67,'A1.3.7'!$B$28:$O$118,4,)+VLOOKUP($B67,'A1.3.7'!$B$28:$O$118,9,))))</f>
        <v>-0.35841312981963175</v>
      </c>
      <c r="BK67" s="2644">
        <f>IF('A1.3.8'!G$33="","",IF(OR(VLOOKUP($B67,'A1.3.11'!$B$26:$AM$105,BK$22,)="",VLOOKUP($B67,'A1.3.7'!$B$28:$H$118,4,)=""),"",VLOOKUP($B67,'A1.3.11'!$B$26:$AM$105,BK$22,)*(VLOOKUP($B67,'A1.3.7'!$B$28:$O$118,4,)+VLOOKUP($B67,'A1.3.7'!$B$28:$O$118,9,))))</f>
        <v>2.6291068087165078E-3</v>
      </c>
      <c r="BL67" s="693" t="str">
        <f>IF('A1.3.8'!D$40="","",IF(OR(VLOOKUP($B67,'A1.3.11'!$B$26:$AM$105,BL$22,)="",VLOOKUP($B67,'A1.3.7'!$B$28:$H$118,6,)=""),"",VLOOKUP($B67,'A1.3.11'!$B$26:$AM$105,BL$22,)*VLOOKUP($B67,'A1.3.7'!$B$28:$O$118,6,)))</f>
        <v/>
      </c>
      <c r="BM67" s="691" t="str">
        <f>IF('A1.3.8'!E$40="","",IF(OR(VLOOKUP($B67,'A1.3.11'!$B$26:$AM$105,BM$22,)="",VLOOKUP($B67,'A1.3.7'!$B$28:$H$118,6,)=""),"",VLOOKUP($B67,'A1.3.11'!$B$26:$AM$105,BM$22,)*VLOOKUP($B67,'A1.3.7'!$B$28:$O$118,6,)))</f>
        <v/>
      </c>
      <c r="BN67" s="691" t="str">
        <f>IF('A1.3.8'!F$40="","",IF(OR(VLOOKUP($B67,'A1.3.11'!$B$26:$AM$105,BN$22,)="",VLOOKUP($B67,'A1.3.7'!$B$28:$H$118,6,)=""),"",VLOOKUP($B67,'A1.3.11'!$B$26:$AM$105,BN$22,)*VLOOKUP($B67,'A1.3.7'!$B$28:$O$118,6,)))</f>
        <v/>
      </c>
      <c r="BO67" s="1664" t="str">
        <f>IF('A1.3.8'!G$40="","",IF(OR(VLOOKUP($B67,'A1.3.11'!$B$26:$AM$105,BO$22,)="",VLOOKUP($B67,'A1.3.7'!$B$28:$H$118,6,)=""),"",VLOOKUP($B67,'A1.3.11'!$B$26:$AM$105,BO$22,)*VLOOKUP($B67,'A1.3.7'!$B$28:$O$118,6,)))</f>
        <v/>
      </c>
      <c r="BP67" s="693">
        <f>IF(AND(BH67="",BL67=""),"",IF(BH67="",0,(BH67*VLOOKUP($B67,'A1.3.9'!$B$26:$O$57,9,TRUE))) + IF(BL67="",0,(BL67*VLOOKUP($B67,'A1.3.9'!$B$26:$O$57,10,TRUE))))</f>
        <v>375.28777989274687</v>
      </c>
      <c r="BQ67" s="691">
        <f>IF(AND(BI67="",BM67=""),"",IF(BI67="",0,(BI67*VLOOKUP($B67,'A1.3.9'!$B$26:$O$57,9,TRUE))) + IF(BM67="",0,(BM67*VLOOKUP($B67,'A1.3.9'!$B$26:$O$57,10,TRUE))))</f>
        <v>32.975392874453249</v>
      </c>
      <c r="BR67" s="691">
        <f>IF(AND(BJ67="",BN67=""),"",IF(BJ67="",0,(BJ67*VLOOKUP($B67,'A1.3.9'!$B$26:$O$57,9,TRUE))) + IF(BN67="",0,(BN67*VLOOKUP($B67,'A1.3.9'!$B$26:$O$57,10,TRUE))))</f>
        <v>-0.35841312981963175</v>
      </c>
      <c r="BS67" s="2644">
        <f>IF(AND(BK67="",BO67=""),"",IF(BK67="",0,(BK67*VLOOKUP($B67,'A1.3.9'!$B$26:$O$57,9,TRUE))) + IF(BO67="",0,(BO67*VLOOKUP($B67,'A1.3.9'!$B$26:$O$57,10,TRUE))))</f>
        <v>2.6291068087165078E-3</v>
      </c>
    </row>
    <row r="68" spans="1:71" s="26" customFormat="1" ht="13.5" customHeight="1">
      <c r="A68" s="113"/>
      <c r="B68" s="614">
        <f t="shared" si="0"/>
        <v>2051</v>
      </c>
      <c r="C68" s="147"/>
      <c r="D68" s="693">
        <f>IF('A1.3.8'!D$27="","",IF(OR(VLOOKUP($B68,'A1.3.11'!$B$26:$AM$105,D$22,)="",VLOOKUP($B68,'A1.3.7'!$B$28:$H$118,3,)=""),"",VLOOKUP($B68,'A1.3.11'!$B$26:$AM$105,D$22,)*(VLOOKUP($B68,'A1.3.7'!$B$28:$O$118,3,)+VLOOKUP($B68,'A1.3.7'!$B$28:$O$118,8,))))</f>
        <v>35.185713514775422</v>
      </c>
      <c r="E68" s="691">
        <f>IF('A1.3.8'!E$27="","",IF(OR(VLOOKUP($B68,'A1.3.11'!$B$26:$AM$105,E$22,)="",VLOOKUP($B68,'A1.3.7'!$B$28:$H$118,3,)=""),"",VLOOKUP($B68,'A1.3.11'!$B$26:$AM$105,E$22,)*(VLOOKUP($B68,'A1.3.7'!$B$28:$O$118,3,)+VLOOKUP($B68,'A1.3.7'!$B$28:$O$118,8,))))</f>
        <v>7.4775348661189733</v>
      </c>
      <c r="F68" s="691">
        <f>IF('A1.3.8'!F$27="","",IF(OR(VLOOKUP($B68,'A1.3.11'!$B$26:$AM$105,F$22,)="",VLOOKUP($B68,'A1.3.7'!$B$28:$H$118,3,)=""),"",VLOOKUP($B68,'A1.3.11'!$B$26:$AM$105,F$22,)*(VLOOKUP($B68,'A1.3.7'!$B$28:$O$118,3,)+VLOOKUP($B68,'A1.3.7'!$B$28:$O$118,8,))))</f>
        <v>-8.5177989626710318E-2</v>
      </c>
      <c r="G68" s="2644">
        <f>IF('A1.3.8'!G$27="","",IF(OR(VLOOKUP($B68,'A1.3.11'!$B$26:$AM$105,G$22,)="",VLOOKUP($B68,'A1.3.7'!$B$28:$H$118,3,)=""),"",VLOOKUP($B68,'A1.3.11'!$B$26:$AM$105,G$22,)*(VLOOKUP($B68,'A1.3.7'!$B$28:$O$118,3,)+VLOOKUP($B68,'A1.3.7'!$B$28:$O$118,8,))))</f>
        <v>5.641269717611457E-4</v>
      </c>
      <c r="H68" s="693">
        <f>IF('A1.3.8'!D$28="","",IF(OR(VLOOKUP($B68,'A1.3.11'!$B$26:$AM$105,H$22,)="",VLOOKUP($B68,'A1.3.7'!$B$28:$H$118,4,)=""),"",VLOOKUP($B68,'A1.3.11'!$B$26:$AM$105,H$22,)*(VLOOKUP($B68,'A1.3.7'!$B$28:$O$118,4,)+VLOOKUP($B68,'A1.3.7'!$B$28:$O$118,9,))))</f>
        <v>43.427056045516217</v>
      </c>
      <c r="I68" s="691">
        <f>IF('A1.3.8'!E$28="","",IF(OR(VLOOKUP($B68,'A1.3.11'!$B$26:$AM$105,I$22,)="",VLOOKUP($B68,'A1.3.7'!$B$28:$H$118,4,)=""),"",VLOOKUP($B68,'A1.3.11'!$B$26:$AM$105,I$22,)*(VLOOKUP($B68,'A1.3.7'!$B$28:$O$118,4,)+VLOOKUP($B68,'A1.3.7'!$B$28:$O$118,9,))))</f>
        <v>6.2263658870520189</v>
      </c>
      <c r="J68" s="691">
        <f>IF('A1.3.8'!F$28="","",IF(OR(VLOOKUP($B68,'A1.3.11'!$B$26:$AM$105,J$22,)="",VLOOKUP($B68,'A1.3.7'!$B$28:$H$118,4,)=""),"",VLOOKUP($B68,'A1.3.11'!$B$26:$AM$105,J$22,)*(VLOOKUP($B68,'A1.3.7'!$B$28:$O$118,4,)+VLOOKUP($B68,'A1.3.7'!$B$28:$O$118,9,))))</f>
        <v>-5.9899374378643559E-2</v>
      </c>
      <c r="K68" s="2644">
        <f>IF('A1.3.8'!G$28="","",IF(OR(VLOOKUP($B68,'A1.3.11'!$B$26:$AM$105,K$22,)="",VLOOKUP($B68,'A1.3.7'!$B$28:$H$118,4,)=""),"",VLOOKUP($B68,'A1.3.11'!$B$26:$AM$105,K$22,)*(VLOOKUP($B68,'A1.3.7'!$B$28:$O$118,4,)+VLOOKUP($B68,'A1.3.7'!$B$28:$O$118,9,))))</f>
        <v>4.7201007530016717E-4</v>
      </c>
      <c r="L68" s="693" t="str">
        <f>IF('A1.3.8'!D$36="","",IF(OR(VLOOKUP($B68,'A1.3.11'!$B$26:$AM$105,L$22,)="",VLOOKUP($B68,'A1.3.7'!$B$28:$H$118,6,)=""),"",VLOOKUP($B68,'A1.3.11'!$B$26:$AM$105,L$22,)*VLOOKUP($B68,'A1.3.7'!$B$28:$O$118,6,)))</f>
        <v/>
      </c>
      <c r="M68" s="691">
        <f>IF('A1.3.8'!E$36="","",IF(OR(VLOOKUP($B68,'A1.3.11'!$B$26:$AM$105,M$22,)="",VLOOKUP($B68,'A1.3.7'!$B$28:$H$118,6,)=""),"",VLOOKUP($B68,'A1.3.11'!$B$26:$AM$105,M$22,)*VLOOKUP($B68,'A1.3.7'!$B$28:$O$118,6,)))</f>
        <v>1.9637608285706969</v>
      </c>
      <c r="N68" s="691" t="str">
        <f>IF('A1.3.8'!F$36="","",IF(OR(VLOOKUP($B68,'A1.3.11'!$B$26:$AM$105,N$22,)="",VLOOKUP($B68,'A1.3.7'!$B$28:$H$118,6,)=""),"",VLOOKUP($B68,'A1.3.11'!$B$26:$AM$105,N$22,)*VLOOKUP($B68,'A1.3.7'!$B$28:$O$118,6,)))</f>
        <v/>
      </c>
      <c r="O68" s="1664" t="str">
        <f>IF('A1.3.8'!G$36="","",IF(OR(VLOOKUP($B68,'A1.3.11'!$B$26:$AM$105,O$22,)="",VLOOKUP($B68,'A1.3.7'!$B$28:$H$118,6,)=""),"",VLOOKUP($B68,'A1.3.11'!$B$26:$AM$105,O$22,)*VLOOKUP($B68,'A1.3.7'!$B$28:$O$118,6,)))</f>
        <v/>
      </c>
      <c r="P68" s="693">
        <f>IF(AND(D68="",H68="",L68=""),"",IF(D68="",0,(D68*VLOOKUP($B68,'A1.3.9'!$B$26:$O$57,3,TRUE)))+IF(H68="",0,(H68*VLOOKUP($B68,'A1.3.9'!$B$26:$O$57,4,TRUE)))+IF(L68="",0,(L68*VLOOKUP($B68,'A1.3.9'!$B$26:$O$57,5,TRUE))))</f>
        <v>29.198494854959463</v>
      </c>
      <c r="Q68" s="691">
        <f>IF(AND(E68="",I68="",M68=""),"",IF(E68="",0,(E68*VLOOKUP($B68,'A1.3.9'!$B$26:$O$57,3,TRUE)))+IF(I68="",0,(I68*VLOOKUP($B68,'A1.3.9'!$B$26:$O$57,4,TRUE)))+IF(M68="",0,(M68*VLOOKUP($B68,'A1.3.9'!$B$26:$O$57,5,TRUE))))</f>
        <v>5.7547252043872827</v>
      </c>
      <c r="R68" s="691">
        <f>IF(AND(F68="",J68="",N68=""),"",IF(F68="",0,(F68*VLOOKUP($B68,'A1.3.9'!$B$26:$O$57,3,TRUE)))+IF(J68="",0,(J68*VLOOKUP($B68,'A1.3.9'!$B$26:$O$57,4,TRUE)))+IF(N68="",0,(N68*VLOOKUP($B68,'A1.3.9'!$B$26:$O$57,5,TRUE))))</f>
        <v>-5.6727559312368281E-2</v>
      </c>
      <c r="S68" s="2644">
        <f>IF(AND(G68="",K68="",O68=""),"",IF(G68="",0,(G68*VLOOKUP($B68,'A1.3.9'!$B$26:$O$57,3,TRUE)))+IF(K68="",0,(K68*VLOOKUP($B68,'A1.3.9'!$B$26:$O$57,4,TRUE)))+IF(O68="",0,(O68*VLOOKUP($B68,'A1.3.9'!$B$26:$O$57,5,TRUE))))</f>
        <v>3.989379264924235E-4</v>
      </c>
      <c r="T68" s="693">
        <f>IF('A1.3.8'!D$29="","",IF(OR(VLOOKUP($B68,'A1.3.11'!$B$26:$AM$105,T$22,)="",VLOOKUP($B68,'A1.3.7'!$B$28:$H$118,3,)=""),"",VLOOKUP($B68,'A1.3.11'!$B$26:$AM$105,T$22,)*(VLOOKUP($B68,'A1.3.7'!$B$28:$O$118,3,)+VLOOKUP($B68,'A1.3.7'!$B$28:$O$118,8,))))</f>
        <v>25.310247308705513</v>
      </c>
      <c r="U68" s="691">
        <f>IF('A1.3.8'!E$29="","",IF(OR(VLOOKUP($B68,'A1.3.11'!$B$26:$AM$105,U$22,)="",VLOOKUP($B68,'A1.3.7'!$B$28:$H$118,3,)=""),"",VLOOKUP($B68,'A1.3.11'!$B$26:$AM$105,U$22,)*(VLOOKUP($B68,'A1.3.7'!$B$28:$O$118,3,)+VLOOKUP($B68,'A1.3.7'!$B$28:$O$118,8,))))</f>
        <v>14.192521571279089</v>
      </c>
      <c r="V68" s="691">
        <f>IF('A1.3.8'!F$29="","",IF(OR(VLOOKUP($B68,'A1.3.11'!$B$26:$AM$105,V$22,)="",VLOOKUP($B68,'A1.3.7'!$B$28:$H$118,3,)=""),"",VLOOKUP($B68,'A1.3.11'!$B$26:$AM$105,V$22,)*(VLOOKUP($B68,'A1.3.7'!$B$28:$O$118,3,)+VLOOKUP($B68,'A1.3.7'!$B$28:$O$118,8,))))</f>
        <v>-0.22277600321342569</v>
      </c>
      <c r="W68" s="2644">
        <f>IF('A1.3.8'!G$29="","",IF(OR(VLOOKUP($B68,'A1.3.11'!$B$26:$AM$105,W$22,)="",VLOOKUP($B68,'A1.3.7'!$B$28:$H$118,3,)=""),"",VLOOKUP($B68,'A1.3.11'!$B$26:$AM$105,W$22,)*(VLOOKUP($B68,'A1.3.7'!$B$28:$O$118,3,)+VLOOKUP($B68,'A1.3.7'!$B$28:$O$118,8,))))</f>
        <v>1.4386957544130863E-3</v>
      </c>
      <c r="X68" s="693">
        <f>IF('A1.3.8'!D$30="","",IF(OR(VLOOKUP($B68,'A1.3.11'!$B$26:$AM$105,X$22,)="",VLOOKUP($B68,'A1.3.7'!$B$28:$H$118,4,)=""),"",VLOOKUP($B68,'A1.3.11'!$B$26:$AM$105,X$22,)*(VLOOKUP($B68,'A1.3.7'!$B$28:$O$118,4,)+VLOOKUP($B68,'A1.3.7'!$B$28:$O$118,9,))))</f>
        <v>44.725654545384167</v>
      </c>
      <c r="Y68" s="691">
        <f>IF('A1.3.8'!E$30="","",IF(OR(VLOOKUP($B68,'A1.3.11'!$B$26:$AM$105,Y$22,)="",VLOOKUP($B68,'A1.3.7'!$B$28:$H$118,4,)=""),"",VLOOKUP($B68,'A1.3.11'!$B$26:$AM$105,Y$22,)*(VLOOKUP($B68,'A1.3.7'!$B$28:$O$118,4,)+VLOOKUP($B68,'A1.3.7'!$B$28:$O$118,9,))))</f>
        <v>10.931132242770872</v>
      </c>
      <c r="Z68" s="691">
        <f>IF('A1.3.8'!F$30="","",IF(OR(VLOOKUP($B68,'A1.3.11'!$B$26:$AM$105,Z$22,)="",VLOOKUP($B68,'A1.3.7'!$B$28:$H$118,4,)=""),"",VLOOKUP($B68,'A1.3.11'!$B$26:$AM$105,Z$22,)*(VLOOKUP($B68,'A1.3.7'!$B$28:$O$118,4,)+VLOOKUP($B68,'A1.3.7'!$B$28:$O$118,9,))))</f>
        <v>-0.15770144931163282</v>
      </c>
      <c r="AA68" s="2644">
        <f>IF('A1.3.8'!G$30="","",IF(OR(VLOOKUP($B68,'A1.3.11'!$B$26:$AM$105,AA$22,)="",VLOOKUP($B68,'A1.3.7'!$B$28:$H$118,4,)=""),"",VLOOKUP($B68,'A1.3.11'!$B$26:$AM$105,AA$22,)*(VLOOKUP($B68,'A1.3.7'!$B$28:$O$118,4,)+VLOOKUP($B68,'A1.3.7'!$B$28:$O$118,9,))))</f>
        <v>1.3351059684717083E-3</v>
      </c>
      <c r="AB68" s="693" t="str">
        <f>IF('A1.3.8'!D$37="","",IF(OR(VLOOKUP($B68,'A1.3.11'!$B$26:$AM$105,AB$22,)="",VLOOKUP($B68,'A1.3.7'!$B$28:$H$118,6,)=""),"",VLOOKUP($B68,'A1.3.11'!$B$26:$AM$105,AB$22,)*VLOOKUP($B68,'A1.3.7'!$B$28:$O$118,6,)))</f>
        <v/>
      </c>
      <c r="AC68" s="691">
        <f>IF('A1.3.8'!E$37="","",IF(OR(VLOOKUP($B68,'A1.3.11'!$B$26:$AM$105,AC$22,)="",VLOOKUP($B68,'A1.3.7'!$B$28:$H$118,6,)=""),"",VLOOKUP($B68,'A1.3.11'!$B$26:$AM$105,AC$22,)*VLOOKUP($B68,'A1.3.7'!$B$28:$O$118,6,)))</f>
        <v>4.5145632825273854</v>
      </c>
      <c r="AD68" s="691" t="str">
        <f>IF('A1.3.8'!F$37="","",IF(OR(VLOOKUP($B68,'A1.3.11'!$B$26:$AM$105,AD$22,)="",VLOOKUP($B68,'A1.3.7'!$B$28:$H$118,6,)=""),"",VLOOKUP($B68,'A1.3.11'!$B$26:$AM$105,AD$22,)*VLOOKUP($B68,'A1.3.7'!$B$28:$O$118,6,)))</f>
        <v/>
      </c>
      <c r="AE68" s="1664" t="str">
        <f>IF('A1.3.8'!G$37="","",IF(OR(VLOOKUP($B68,'A1.3.11'!$B$26:$AM$105,AE$22,)="",VLOOKUP($B68,'A1.3.7'!$B$28:$H$118,6,)=""),"",VLOOKUP($B68,'A1.3.11'!$B$26:$AM$105,AE$22,)*VLOOKUP($B68,'A1.3.7'!$B$28:$O$118,6,)))</f>
        <v/>
      </c>
      <c r="AF68" s="693">
        <f>IF(AND(T68="",X68="",AB68=""),"",IF(T68="",0,(T68*VLOOKUP('A1.3.12'!$B68,'A1.3.9'!$B$26:$O$57,6,TRUE))) + IF(X68="",0,(X68*VLOOKUP('A1.3.12'!$B68,'A1.3.9'!$B$26:$O$57,7,TRUE))) + IF(AB68="",0,(AB68*VLOOKUP('A1.3.12'!$B68,'A1.3.9'!$B$26:$O$57,8,TRUE))))</f>
        <v>39.684522238315942</v>
      </c>
      <c r="AG68" s="691">
        <f>IF(AND(U68="",Y68="",AC68=""),"",IF(U68="",0,(U68*VLOOKUP('A1.3.12'!$B68,'A1.3.9'!$B$26:$O$57,6,TRUE))) + IF(Y68="",0,(Y68*VLOOKUP('A1.3.12'!$B68,'A1.3.9'!$B$26:$O$57,7,TRUE))) + IF(AC68="",0,(AC68*VLOOKUP('A1.3.12'!$B68,'A1.3.9'!$B$26:$O$57,8,TRUE))))</f>
        <v>10.25374904485108</v>
      </c>
      <c r="AH68" s="691">
        <f>IF(AND(V68="",Z68="",AD68=""),"",IF(V68="",0,(V68*VLOOKUP('A1.3.12'!$B68,'A1.3.9'!$B$26:$O$57,6,TRUE))) + IF(Z68="",0,(Z68*VLOOKUP('A1.3.12'!$B68,'A1.3.9'!$B$26:$O$57,7,TRUE))) + IF(AD68="",0,(AD68*VLOOKUP('A1.3.12'!$B68,'A1.3.9'!$B$26:$O$57,8,TRUE))))</f>
        <v>-0.14093891389240415</v>
      </c>
      <c r="AI68" s="2644">
        <f>IF(AND(W68="",AA68="",AE68=""),"",IF(W68="",0,(W68*VLOOKUP('A1.3.12'!$B68,'A1.3.9'!$B$26:$O$57,6,TRUE))) + IF(AA68="",0,(AA68*VLOOKUP('A1.3.12'!$B68,'A1.3.9'!$B$26:$O$57,7,TRUE))) + IF(AE68="",0,(AE68*VLOOKUP('A1.3.12'!$B68,'A1.3.9'!$B$26:$O$57,8,TRUE))))</f>
        <v>1.1898023583754613E-3</v>
      </c>
      <c r="AJ68" s="693">
        <f>IF('A1.3.8'!D$31="","",IF(OR(VLOOKUP($B68,'A1.3.11'!$B$26:$AM$105,AJ$22,)="",VLOOKUP($B68,'A1.3.7'!$B$28:$H$118,4,)=""),"",VLOOKUP($B68,'A1.3.11'!$B$26:$AM$105,AJ$22,)*(VLOOKUP($B68,'A1.3.7'!$B$28:$O$118,4,)+VLOOKUP($B68,'A1.3.7'!$B$28:$O$118,9,))))</f>
        <v>302.34376060088726</v>
      </c>
      <c r="AK68" s="691">
        <f>IF('A1.3.8'!E$31="","",IF(OR(VLOOKUP($B68,'A1.3.11'!$B$26:$AM$105,AK$22,)="",VLOOKUP($B68,'A1.3.7'!$B$28:$H$118,4,)=""),"",VLOOKUP($B68,'A1.3.11'!$B$26:$AM$105,AK$22,)*(VLOOKUP($B68,'A1.3.7'!$B$28:$O$118,4,)+VLOOKUP($B68,'A1.3.7'!$B$28:$O$118,9,))))</f>
        <v>16.041514971537506</v>
      </c>
      <c r="AL68" s="691">
        <f>IF('A1.3.8'!F$31="","",IF(OR(VLOOKUP($B68,'A1.3.11'!$B$26:$AM$105,AL$22,)="",VLOOKUP($B68,'A1.3.7'!$B$28:$H$118,4,)=""),"",VLOOKUP($B68,'A1.3.11'!$B$26:$AM$105,AL$22,)*(VLOOKUP($B68,'A1.3.7'!$B$28:$O$118,4,)+VLOOKUP($B68,'A1.3.7'!$B$28:$O$118,9,))))</f>
        <v>-0.11594817206594565</v>
      </c>
      <c r="AM68" s="2644">
        <f>IF('A1.3.8'!G$31="","",IF(OR(VLOOKUP($B68,'A1.3.11'!$B$26:$AM$105,AM$22,)="",VLOOKUP($B68,'A1.3.7'!$B$28:$H$118,4,)=""),"",VLOOKUP($B68,'A1.3.11'!$B$26:$AM$105,AM$22,)*(VLOOKUP($B68,'A1.3.7'!$B$28:$O$118,4,)+VLOOKUP($B68,'A1.3.7'!$B$28:$O$118,9,))))</f>
        <v>1.2663400782116088E-3</v>
      </c>
      <c r="AN68" s="693" t="str">
        <f>IF('A1.3.8'!D$38="","",IF(OR(VLOOKUP($B68,'A1.3.11'!$B$26:$AM$105,AN$22,)="",VLOOKUP($B68,'A1.3.7'!$B$28:$H$118,6,)=""),"",VLOOKUP($B68,'A1.3.11'!$B$26:$AM$105,AN$22,)*VLOOKUP($B68,'A1.3.7'!$B$28:$O$118,6,)))</f>
        <v/>
      </c>
      <c r="AO68" s="691" t="str">
        <f>IF('A1.3.8'!E$38="","",IF(OR(VLOOKUP($B68,'A1.3.11'!$B$26:$AM$105,AO$22,)="",VLOOKUP($B68,'A1.3.7'!$B$28:$H$118,6,)=""),"",VLOOKUP($B68,'A1.3.11'!$B$26:$AM$105,AO$22,)*VLOOKUP($B68,'A1.3.7'!$B$28:$O$118,6,)))</f>
        <v/>
      </c>
      <c r="AP68" s="691" t="str">
        <f>IF('A1.3.8'!F$38="","",IF(OR(VLOOKUP($B68,'A1.3.11'!$B$26:$AM$105,AP$22,)="",VLOOKUP($B68,'A1.3.7'!$B$28:$H$118,6,)=""),"",VLOOKUP($B68,'A1.3.11'!$B$26:$AM$105,AP$22,)*VLOOKUP($B68,'A1.3.7'!$B$28:$O$118,6,)))</f>
        <v/>
      </c>
      <c r="AQ68" s="1664" t="str">
        <f>IF('A1.3.8'!G$38="","",IF(OR(VLOOKUP($B68,'A1.3.11'!$B$26:$AM$105,AQ$22,)="",VLOOKUP($B68,'A1.3.7'!$B$28:$H$118,6,)=""),"",VLOOKUP($B68,'A1.3.11'!$B$26:$AM$105,AQ$22,)*VLOOKUP($B68,'A1.3.7'!$B$28:$O$118,6,)))</f>
        <v/>
      </c>
      <c r="AR68" s="693">
        <f>IF(AND(AJ68="",AN68=""),"",IF(AJ68="",0,(AJ68*VLOOKUP($B68,'A1.3.9'!$B$26:$O$57,9,TRUE))) + IF(AN68="",0,(AN68*VLOOKUP($B68,'A1.3.9'!$B$26:$O$57,10,TRUE))))</f>
        <v>302.34376060088726</v>
      </c>
      <c r="AS68" s="691">
        <f>IF(AND(AK68="",AO68=""),"",IF(AK68="",0,(AK68*VLOOKUP($B68,'A1.3.9'!$B$26:$O$57,9,TRUE))) + IF(AO68="",0,(AO68*VLOOKUP($B68,'A1.3.9'!$B$26:$O$57,10,TRUE))))</f>
        <v>16.041514971537506</v>
      </c>
      <c r="AT68" s="691">
        <f>IF(AND(AL68="",AP68=""),"",IF(AL68="",0,(AL68*VLOOKUP($B68,'A1.3.9'!$B$26:$O$57,9,TRUE))) + IF(AP68="",0,(AP68*VLOOKUP($B68,'A1.3.9'!$B$26:$O$57,10,TRUE))))</f>
        <v>-0.11594817206594565</v>
      </c>
      <c r="AU68" s="2644">
        <f>IF(AND(AM68="",AQ68=""),"",IF(AM68="",0,(AM68*VLOOKUP($B68,'A1.3.9'!$B$26:$O$57,9,TRUE))) + IF(AQ68="",0,(AQ68*VLOOKUP($B68,'A1.3.9'!$B$26:$O$57,10,TRUE))))</f>
        <v>1.2663400782116088E-3</v>
      </c>
      <c r="AV68" s="693">
        <f>IF('A1.3.8'!D$32="","",IF(OR(VLOOKUP($B68,'A1.3.11'!$B$26:$AM$105,AV$22,)="",VLOOKUP($B68,'A1.3.7'!$B$28:$H$118,4,)=""),"",VLOOKUP($B68,'A1.3.11'!$B$26:$AM$105,AV$22,)*(VLOOKUP($B68,'A1.3.7'!$B$28:$O$118,4,)+VLOOKUP($B68,'A1.3.7'!$B$28:$O$118,9,))))</f>
        <v>635.30302477368184</v>
      </c>
      <c r="AW68" s="691">
        <f>IF('A1.3.8'!E$32="","",IF(OR(VLOOKUP($B68,'A1.3.11'!$B$26:$AM$105,AW$22,)="",VLOOKUP($B68,'A1.3.7'!$B$28:$H$118,4,)=""),"",VLOOKUP($B68,'A1.3.11'!$B$26:$AM$105,AW$22,)*(VLOOKUP($B68,'A1.3.7'!$B$28:$O$118,4,)+VLOOKUP($B68,'A1.3.7'!$B$28:$O$118,9,))))</f>
        <v>32.992411770970719</v>
      </c>
      <c r="AX68" s="691">
        <f>IF('A1.3.8'!F$32="","",IF(OR(VLOOKUP($B68,'A1.3.11'!$B$26:$AM$105,AX$22,)="",VLOOKUP($B68,'A1.3.7'!$B$28:$H$118,4,)=""),"",VLOOKUP($B68,'A1.3.11'!$B$26:$AM$105,AX$22,)*(VLOOKUP($B68,'A1.3.7'!$B$28:$O$118,4,)+VLOOKUP($B68,'A1.3.7'!$B$28:$O$118,9,))))</f>
        <v>-0.21859208407952466</v>
      </c>
      <c r="AY68" s="2644">
        <f>IF('A1.3.8'!G$32="","",IF(OR(VLOOKUP($B68,'A1.3.11'!$B$26:$AM$105,AY$22,)="",VLOOKUP($B68,'A1.3.7'!$B$28:$H$118,4,)=""),"",VLOOKUP($B68,'A1.3.11'!$B$26:$AM$105,AY$22,)*(VLOOKUP($B68,'A1.3.7'!$B$28:$O$118,4,)+VLOOKUP($B68,'A1.3.7'!$B$28:$O$118,9,))))</f>
        <v>1.3028997187547987E-3</v>
      </c>
      <c r="AZ68" s="693" t="str">
        <f>IF('A1.3.8'!D$39="","",IF(OR(VLOOKUP($B68,'A1.3.11'!$B$26:$AM$105,AZ$22,)="",VLOOKUP($B68,'A1.3.7'!$B$28:$H$118,6,)=""),"",VLOOKUP($B68,'A1.3.11'!$B$26:$AM$105,AZ$22,)*VLOOKUP($B68,'A1.3.7'!$B$28:$O$118,6,)))</f>
        <v/>
      </c>
      <c r="BA68" s="691" t="str">
        <f>IF('A1.3.8'!E$39="","",IF(OR(VLOOKUP($B68,'A1.3.11'!$B$26:$AM$105,BA$22,)="",VLOOKUP($B68,'A1.3.7'!$B$28:$H$118,6,)=""),"",VLOOKUP($B68,'A1.3.11'!$B$26:$AM$105,BA$22,)*VLOOKUP($B68,'A1.3.7'!$B$28:$O$118,6,)))</f>
        <v/>
      </c>
      <c r="BB68" s="691" t="str">
        <f>IF('A1.3.8'!F$39="","",IF(OR(VLOOKUP($B68,'A1.3.11'!$B$26:$AM$105,BB$22,)="",VLOOKUP($B68,'A1.3.7'!$B$28:$H$118,6,)=""),"",VLOOKUP($B68,'A1.3.11'!$B$26:$AM$105,BB$22,)*VLOOKUP($B68,'A1.3.7'!$B$28:$O$118,6,)))</f>
        <v/>
      </c>
      <c r="BC68" s="1664" t="str">
        <f>IF('A1.3.8'!G$39="","",IF(OR(VLOOKUP($B68,'A1.3.11'!$B$26:$AM$105,BC$22,)="",VLOOKUP($B68,'A1.3.7'!$B$28:$H$118,6,)=""),"",VLOOKUP($B68,'A1.3.11'!$B$26:$AM$105,BC$22,)*VLOOKUP($B68,'A1.3.7'!$B$28:$O$118,6,)))</f>
        <v/>
      </c>
      <c r="BD68" s="693">
        <f>IF(AND(AV68="",AZ68=""),"",IF(AV68="",0,(AV68*VLOOKUP($B68,'A1.3.9'!$B$26:$O$57,9,TRUE))) + IF(AZ68="",0,(AZ68*VLOOKUP($B68,'A1.3.9'!$B$26:$O$57,10,TRUE))))</f>
        <v>635.30302477368184</v>
      </c>
      <c r="BE68" s="691">
        <f>IF(AND(AW68="",BA68=""),"",IF(AW68="",0,(AW68*VLOOKUP($B68,'A1.3.9'!$B$26:$O$57,9,TRUE))) + IF(BA68="",0,(BA68*VLOOKUP($B68,'A1.3.9'!$B$26:$O$57,10,TRUE))))</f>
        <v>32.992411770970719</v>
      </c>
      <c r="BF68" s="691">
        <f>IF(AND(AX68="",BB68=""),"",IF(AX68="",0,(AX68*VLOOKUP($B68,'A1.3.9'!$B$26:$O$57,9,TRUE))) + IF(BB68="",0,(BB68*VLOOKUP($B68,'A1.3.9'!$B$26:$O$57,10,TRUE))))</f>
        <v>-0.21859208407952466</v>
      </c>
      <c r="BG68" s="2644">
        <f>IF(AND(AY68="",BC68=""),"",IF(AY68="",0,(AY68*VLOOKUP($B68,'A1.3.9'!$B$26:$O$57,9,TRUE))) + IF(BC68="",0,(BC68*VLOOKUP($B68,'A1.3.9'!$B$26:$O$57,10,TRUE))))</f>
        <v>1.3028997187547987E-3</v>
      </c>
      <c r="BH68" s="693">
        <f>IF('A1.3.8'!D$33="","",IF(OR(VLOOKUP($B68,'A1.3.11'!$B$26:$AM$105,BH$22,)="",VLOOKUP($B68,'A1.3.7'!$B$28:$H$118,4,)=""),"",VLOOKUP($B68,'A1.3.11'!$B$26:$AM$105,BH$22,)*(VLOOKUP($B68,'A1.3.7'!$B$28:$O$118,4,)+VLOOKUP($B68,'A1.3.7'!$B$28:$O$118,9,))))</f>
        <v>376.78940769697044</v>
      </c>
      <c r="BI68" s="691">
        <f>IF('A1.3.8'!E$33="","",IF(OR(VLOOKUP($B68,'A1.3.11'!$B$26:$AM$105,BI$22,)="",VLOOKUP($B68,'A1.3.7'!$B$28:$H$118,4,)=""),"",VLOOKUP($B68,'A1.3.11'!$B$26:$AM$105,BI$22,)*(VLOOKUP($B68,'A1.3.7'!$B$28:$O$118,4,)+VLOOKUP($B68,'A1.3.7'!$B$28:$O$118,9,))))</f>
        <v>33.107336330777962</v>
      </c>
      <c r="BJ68" s="691">
        <f>IF('A1.3.8'!F$33="","",IF(OR(VLOOKUP($B68,'A1.3.11'!$B$26:$AM$105,BJ$22,)="",VLOOKUP($B68,'A1.3.7'!$B$28:$H$118,4,)=""),"",VLOOKUP($B68,'A1.3.11'!$B$26:$AM$105,BJ$22,)*(VLOOKUP($B68,'A1.3.7'!$B$28:$O$118,4,)+VLOOKUP($B68,'A1.3.7'!$B$28:$O$118,9,))))</f>
        <v>-0.35984723758964698</v>
      </c>
      <c r="BK68" s="2644">
        <f>IF('A1.3.8'!G$33="","",IF(OR(VLOOKUP($B68,'A1.3.11'!$B$26:$AM$105,BK$22,)="",VLOOKUP($B68,'A1.3.7'!$B$28:$H$118,4,)=""),"",VLOOKUP($B68,'A1.3.11'!$B$26:$AM$105,BK$22,)*(VLOOKUP($B68,'A1.3.7'!$B$28:$O$118,4,)+VLOOKUP($B68,'A1.3.7'!$B$28:$O$118,9,))))</f>
        <v>2.6396265754016117E-3</v>
      </c>
      <c r="BL68" s="693" t="str">
        <f>IF('A1.3.8'!D$40="","",IF(OR(VLOOKUP($B68,'A1.3.11'!$B$26:$AM$105,BL$22,)="",VLOOKUP($B68,'A1.3.7'!$B$28:$H$118,6,)=""),"",VLOOKUP($B68,'A1.3.11'!$B$26:$AM$105,BL$22,)*VLOOKUP($B68,'A1.3.7'!$B$28:$O$118,6,)))</f>
        <v/>
      </c>
      <c r="BM68" s="691" t="str">
        <f>IF('A1.3.8'!E$40="","",IF(OR(VLOOKUP($B68,'A1.3.11'!$B$26:$AM$105,BM$22,)="",VLOOKUP($B68,'A1.3.7'!$B$28:$H$118,6,)=""),"",VLOOKUP($B68,'A1.3.11'!$B$26:$AM$105,BM$22,)*VLOOKUP($B68,'A1.3.7'!$B$28:$O$118,6,)))</f>
        <v/>
      </c>
      <c r="BN68" s="691" t="str">
        <f>IF('A1.3.8'!F$40="","",IF(OR(VLOOKUP($B68,'A1.3.11'!$B$26:$AM$105,BN$22,)="",VLOOKUP($B68,'A1.3.7'!$B$28:$H$118,6,)=""),"",VLOOKUP($B68,'A1.3.11'!$B$26:$AM$105,BN$22,)*VLOOKUP($B68,'A1.3.7'!$B$28:$O$118,6,)))</f>
        <v/>
      </c>
      <c r="BO68" s="1664" t="str">
        <f>IF('A1.3.8'!G$40="","",IF(OR(VLOOKUP($B68,'A1.3.11'!$B$26:$AM$105,BO$22,)="",VLOOKUP($B68,'A1.3.7'!$B$28:$H$118,6,)=""),"",VLOOKUP($B68,'A1.3.11'!$B$26:$AM$105,BO$22,)*VLOOKUP($B68,'A1.3.7'!$B$28:$O$118,6,)))</f>
        <v/>
      </c>
      <c r="BP68" s="693">
        <f>IF(AND(BH68="",BL68=""),"",IF(BH68="",0,(BH68*VLOOKUP($B68,'A1.3.9'!$B$26:$O$57,9,TRUE))) + IF(BL68="",0,(BL68*VLOOKUP($B68,'A1.3.9'!$B$26:$O$57,10,TRUE))))</f>
        <v>376.78940769697044</v>
      </c>
      <c r="BQ68" s="691">
        <f>IF(AND(BI68="",BM68=""),"",IF(BI68="",0,(BI68*VLOOKUP($B68,'A1.3.9'!$B$26:$O$57,9,TRUE))) + IF(BM68="",0,(BM68*VLOOKUP($B68,'A1.3.9'!$B$26:$O$57,10,TRUE))))</f>
        <v>33.107336330777962</v>
      </c>
      <c r="BR68" s="691">
        <f>IF(AND(BJ68="",BN68=""),"",IF(BJ68="",0,(BJ68*VLOOKUP($B68,'A1.3.9'!$B$26:$O$57,9,TRUE))) + IF(BN68="",0,(BN68*VLOOKUP($B68,'A1.3.9'!$B$26:$O$57,10,TRUE))))</f>
        <v>-0.35984723758964698</v>
      </c>
      <c r="BS68" s="2644">
        <f>IF(AND(BK68="",BO68=""),"",IF(BK68="",0,(BK68*VLOOKUP($B68,'A1.3.9'!$B$26:$O$57,9,TRUE))) + IF(BO68="",0,(BO68*VLOOKUP($B68,'A1.3.9'!$B$26:$O$57,10,TRUE))))</f>
        <v>2.6396265754016117E-3</v>
      </c>
    </row>
    <row r="69" spans="1:71" s="26" customFormat="1" ht="13.5" customHeight="1">
      <c r="A69" s="113"/>
      <c r="B69" s="614">
        <f t="shared" si="0"/>
        <v>2052</v>
      </c>
      <c r="C69" s="147"/>
      <c r="D69" s="693">
        <f>IF('A1.3.8'!D$27="","",IF(OR(VLOOKUP($B69,'A1.3.11'!$B$26:$AM$105,D$22,)="",VLOOKUP($B69,'A1.3.7'!$B$28:$H$118,3,)=""),"",VLOOKUP($B69,'A1.3.11'!$B$26:$AM$105,D$22,)*(VLOOKUP($B69,'A1.3.7'!$B$28:$O$118,3,)+VLOOKUP($B69,'A1.3.7'!$B$28:$O$118,8,))))</f>
        <v>35.332069677072241</v>
      </c>
      <c r="E69" s="691">
        <f>IF('A1.3.8'!E$27="","",IF(OR(VLOOKUP($B69,'A1.3.11'!$B$26:$AM$105,E$22,)="",VLOOKUP($B69,'A1.3.7'!$B$28:$H$118,3,)=""),"",VLOOKUP($B69,'A1.3.11'!$B$26:$AM$105,E$22,)*(VLOOKUP($B69,'A1.3.7'!$B$28:$O$118,3,)+VLOOKUP($B69,'A1.3.7'!$B$28:$O$118,8,))))</f>
        <v>7.5086379246369219</v>
      </c>
      <c r="F69" s="691">
        <f>IF('A1.3.8'!F$27="","",IF(OR(VLOOKUP($B69,'A1.3.11'!$B$26:$AM$105,F$22,)="",VLOOKUP($B69,'A1.3.7'!$B$28:$H$118,3,)=""),"",VLOOKUP($B69,'A1.3.11'!$B$26:$AM$105,F$22,)*(VLOOKUP($B69,'A1.3.7'!$B$28:$O$118,3,)+VLOOKUP($B69,'A1.3.7'!$B$28:$O$118,8,))))</f>
        <v>-8.5532290347901857E-2</v>
      </c>
      <c r="G69" s="2644">
        <f>IF('A1.3.8'!G$27="","",IF(OR(VLOOKUP($B69,'A1.3.11'!$B$26:$AM$105,G$22,)="",VLOOKUP($B69,'A1.3.7'!$B$28:$H$118,3,)=""),"",VLOOKUP($B69,'A1.3.11'!$B$26:$AM$105,G$22,)*(VLOOKUP($B69,'A1.3.7'!$B$28:$O$118,3,)+VLOOKUP($B69,'A1.3.7'!$B$28:$O$118,8,))))</f>
        <v>5.6647347693008078E-4</v>
      </c>
      <c r="H69" s="693">
        <f>IF('A1.3.8'!D$28="","",IF(OR(VLOOKUP($B69,'A1.3.11'!$B$26:$AM$105,H$22,)="",VLOOKUP($B69,'A1.3.7'!$B$28:$H$118,4,)=""),"",VLOOKUP($B69,'A1.3.11'!$B$26:$AM$105,H$22,)*(VLOOKUP($B69,'A1.3.7'!$B$28:$O$118,4,)+VLOOKUP($B69,'A1.3.7'!$B$28:$O$118,9,))))</f>
        <v>43.601311184936229</v>
      </c>
      <c r="I69" s="691">
        <f>IF('A1.3.8'!E$28="","",IF(OR(VLOOKUP($B69,'A1.3.11'!$B$26:$AM$105,I$22,)="",VLOOKUP($B69,'A1.3.7'!$B$28:$H$118,4,)=""),"",VLOOKUP($B69,'A1.3.11'!$B$26:$AM$105,I$22,)*(VLOOKUP($B69,'A1.3.7'!$B$28:$O$118,4,)+VLOOKUP($B69,'A1.3.7'!$B$28:$O$118,9,))))</f>
        <v>6.2513497647201506</v>
      </c>
      <c r="J69" s="691">
        <f>IF('A1.3.8'!F$28="","",IF(OR(VLOOKUP($B69,'A1.3.11'!$B$26:$AM$105,J$22,)="",VLOOKUP($B69,'A1.3.7'!$B$28:$H$118,4,)=""),"",VLOOKUP($B69,'A1.3.11'!$B$26:$AM$105,J$22,)*(VLOOKUP($B69,'A1.3.7'!$B$28:$O$118,4,)+VLOOKUP($B69,'A1.3.7'!$B$28:$O$118,9,))))</f>
        <v>-6.0139726241836451E-2</v>
      </c>
      <c r="K69" s="2644">
        <f>IF('A1.3.8'!G$28="","",IF(OR(VLOOKUP($B69,'A1.3.11'!$B$26:$AM$105,K$22,)="",VLOOKUP($B69,'A1.3.7'!$B$28:$H$118,4,)=""),"",VLOOKUP($B69,'A1.3.11'!$B$26:$AM$105,K$22,)*(VLOOKUP($B69,'A1.3.7'!$B$28:$O$118,4,)+VLOOKUP($B69,'A1.3.7'!$B$28:$O$118,9,))))</f>
        <v>4.7390406004076011E-4</v>
      </c>
      <c r="L69" s="693" t="str">
        <f>IF('A1.3.8'!D$36="","",IF(OR(VLOOKUP($B69,'A1.3.11'!$B$26:$AM$105,L$22,)="",VLOOKUP($B69,'A1.3.7'!$B$28:$H$118,6,)=""),"",VLOOKUP($B69,'A1.3.11'!$B$26:$AM$105,L$22,)*VLOOKUP($B69,'A1.3.7'!$B$28:$O$118,6,)))</f>
        <v/>
      </c>
      <c r="M69" s="691">
        <f>IF('A1.3.8'!E$36="","",IF(OR(VLOOKUP($B69,'A1.3.11'!$B$26:$AM$105,M$22,)="",VLOOKUP($B69,'A1.3.7'!$B$28:$H$118,6,)=""),"",VLOOKUP($B69,'A1.3.11'!$B$26:$AM$105,M$22,)*VLOOKUP($B69,'A1.3.7'!$B$28:$O$118,6,)))</f>
        <v>1.9637608285706969</v>
      </c>
      <c r="N69" s="691" t="str">
        <f>IF('A1.3.8'!F$36="","",IF(OR(VLOOKUP($B69,'A1.3.11'!$B$26:$AM$105,N$22,)="",VLOOKUP($B69,'A1.3.7'!$B$28:$H$118,6,)=""),"",VLOOKUP($B69,'A1.3.11'!$B$26:$AM$105,N$22,)*VLOOKUP($B69,'A1.3.7'!$B$28:$O$118,6,)))</f>
        <v/>
      </c>
      <c r="O69" s="1664" t="str">
        <f>IF('A1.3.8'!G$36="","",IF(OR(VLOOKUP($B69,'A1.3.11'!$B$26:$AM$105,O$22,)="",VLOOKUP($B69,'A1.3.7'!$B$28:$H$118,6,)=""),"",VLOOKUP($B69,'A1.3.11'!$B$26:$AM$105,O$22,)*VLOOKUP($B69,'A1.3.7'!$B$28:$O$118,6,)))</f>
        <v/>
      </c>
      <c r="P69" s="693">
        <f>IF(AND(D69="",H69="",L69=""),"",IF(D69="",0,(D69*VLOOKUP($B69,'A1.3.9'!$B$26:$O$57,3,TRUE)))+IF(H69="",0,(H69*VLOOKUP($B69,'A1.3.9'!$B$26:$O$57,4,TRUE)))+IF(L69="",0,(L69*VLOOKUP($B69,'A1.3.9'!$B$26:$O$57,5,TRUE))))</f>
        <v>29.317977931995426</v>
      </c>
      <c r="Q69" s="691">
        <f>IF(AND(E69="",I69="",M69=""),"",IF(E69="",0,(E69*VLOOKUP($B69,'A1.3.9'!$B$26:$O$57,3,TRUE)))+IF(I69="",0,(I69*VLOOKUP($B69,'A1.3.9'!$B$26:$O$57,4,TRUE)))+IF(M69="",0,(M69*VLOOKUP($B69,'A1.3.9'!$B$26:$O$57,5,TRUE))))</f>
        <v>5.7763995727383612</v>
      </c>
      <c r="R69" s="691">
        <f>IF(AND(F69="",J69="",N69=""),"",IF(F69="",0,(F69*VLOOKUP($B69,'A1.3.9'!$B$26:$O$57,3,TRUE)))+IF(J69="",0,(J69*VLOOKUP($B69,'A1.3.9'!$B$26:$O$57,4,TRUE)))+IF(N69="",0,(N69*VLOOKUP($B69,'A1.3.9'!$B$26:$O$57,5,TRUE))))</f>
        <v>-5.6960803582262805E-2</v>
      </c>
      <c r="S69" s="2644">
        <f>IF(AND(G69="",K69="",O69=""),"",IF(G69="",0,(G69*VLOOKUP($B69,'A1.3.9'!$B$26:$O$57,3,TRUE)))+IF(K69="",0,(K69*VLOOKUP($B69,'A1.3.9'!$B$26:$O$57,4,TRUE)))+IF(O69="",0,(O69*VLOOKUP($B69,'A1.3.9'!$B$26:$O$57,5,TRUE))))</f>
        <v>4.0057592061671531E-4</v>
      </c>
      <c r="T69" s="693">
        <f>IF('A1.3.8'!D$29="","",IF(OR(VLOOKUP($B69,'A1.3.11'!$B$26:$AM$105,T$22,)="",VLOOKUP($B69,'A1.3.7'!$B$28:$H$118,3,)=""),"",VLOOKUP($B69,'A1.3.11'!$B$26:$AM$105,T$22,)*(VLOOKUP($B69,'A1.3.7'!$B$28:$O$118,3,)+VLOOKUP($B69,'A1.3.7'!$B$28:$O$118,8,))))</f>
        <v>25.415526136185594</v>
      </c>
      <c r="U69" s="691">
        <f>IF('A1.3.8'!E$29="","",IF(OR(VLOOKUP($B69,'A1.3.11'!$B$26:$AM$105,U$22,)="",VLOOKUP($B69,'A1.3.7'!$B$28:$H$118,3,)=""),"",VLOOKUP($B69,'A1.3.11'!$B$26:$AM$105,U$22,)*(VLOOKUP($B69,'A1.3.7'!$B$28:$O$118,3,)+VLOOKUP($B69,'A1.3.7'!$B$28:$O$118,8,))))</f>
        <v>14.25155584351617</v>
      </c>
      <c r="V69" s="691">
        <f>IF('A1.3.8'!F$29="","",IF(OR(VLOOKUP($B69,'A1.3.11'!$B$26:$AM$105,V$22,)="",VLOOKUP($B69,'A1.3.7'!$B$28:$H$118,3,)=""),"",VLOOKUP($B69,'A1.3.11'!$B$26:$AM$105,V$22,)*(VLOOKUP($B69,'A1.3.7'!$B$28:$O$118,3,)+VLOOKUP($B69,'A1.3.7'!$B$28:$O$118,8,))))</f>
        <v>-0.22370264751377358</v>
      </c>
      <c r="W69" s="2644">
        <f>IF('A1.3.8'!G$29="","",IF(OR(VLOOKUP($B69,'A1.3.11'!$B$26:$AM$105,W$22,)="",VLOOKUP($B69,'A1.3.7'!$B$28:$H$118,3,)=""),"",VLOOKUP($B69,'A1.3.11'!$B$26:$AM$105,W$22,)*(VLOOKUP($B69,'A1.3.7'!$B$28:$O$118,3,)+VLOOKUP($B69,'A1.3.7'!$B$28:$O$118,8,))))</f>
        <v>1.4446800579355999E-3</v>
      </c>
      <c r="X69" s="693">
        <f>IF('A1.3.8'!D$30="","",IF(OR(VLOOKUP($B69,'A1.3.11'!$B$26:$AM$105,X$22,)="",VLOOKUP($B69,'A1.3.7'!$B$28:$H$118,4,)=""),"",VLOOKUP($B69,'A1.3.11'!$B$26:$AM$105,X$22,)*(VLOOKUP($B69,'A1.3.7'!$B$28:$O$118,4,)+VLOOKUP($B69,'A1.3.7'!$B$28:$O$118,9,))))</f>
        <v>44.90512043320048</v>
      </c>
      <c r="Y69" s="691">
        <f>IF('A1.3.8'!E$30="","",IF(OR(VLOOKUP($B69,'A1.3.11'!$B$26:$AM$105,Y$22,)="",VLOOKUP($B69,'A1.3.7'!$B$28:$H$118,4,)=""),"",VLOOKUP($B69,'A1.3.11'!$B$26:$AM$105,Y$22,)*(VLOOKUP($B69,'A1.3.7'!$B$28:$O$118,4,)+VLOOKUP($B69,'A1.3.7'!$B$28:$O$118,9,))))</f>
        <v>10.974994437136205</v>
      </c>
      <c r="Z69" s="691">
        <f>IF('A1.3.8'!F$30="","",IF(OR(VLOOKUP($B69,'A1.3.11'!$B$26:$AM$105,Z$22,)="",VLOOKUP($B69,'A1.3.7'!$B$28:$H$118,4,)=""),"",VLOOKUP($B69,'A1.3.11'!$B$26:$AM$105,Z$22,)*(VLOOKUP($B69,'A1.3.7'!$B$28:$O$118,4,)+VLOOKUP($B69,'A1.3.7'!$B$28:$O$118,9,))))</f>
        <v>-0.15833424118239042</v>
      </c>
      <c r="AA69" s="2644">
        <f>IF('A1.3.8'!G$30="","",IF(OR(VLOOKUP($B69,'A1.3.11'!$B$26:$AM$105,AA$22,)="",VLOOKUP($B69,'A1.3.7'!$B$28:$H$118,4,)=""),"",VLOOKUP($B69,'A1.3.11'!$B$26:$AM$105,AA$22,)*(VLOOKUP($B69,'A1.3.7'!$B$28:$O$118,4,)+VLOOKUP($B69,'A1.3.7'!$B$28:$O$118,9,))))</f>
        <v>1.3404632065131883E-3</v>
      </c>
      <c r="AB69" s="693" t="str">
        <f>IF('A1.3.8'!D$37="","",IF(OR(VLOOKUP($B69,'A1.3.11'!$B$26:$AM$105,AB$22,)="",VLOOKUP($B69,'A1.3.7'!$B$28:$H$118,6,)=""),"",VLOOKUP($B69,'A1.3.11'!$B$26:$AM$105,AB$22,)*VLOOKUP($B69,'A1.3.7'!$B$28:$O$118,6,)))</f>
        <v/>
      </c>
      <c r="AC69" s="691">
        <f>IF('A1.3.8'!E$37="","",IF(OR(VLOOKUP($B69,'A1.3.11'!$B$26:$AM$105,AC$22,)="",VLOOKUP($B69,'A1.3.7'!$B$28:$H$118,6,)=""),"",VLOOKUP($B69,'A1.3.11'!$B$26:$AM$105,AC$22,)*VLOOKUP($B69,'A1.3.7'!$B$28:$O$118,6,)))</f>
        <v>4.5145632825273854</v>
      </c>
      <c r="AD69" s="691" t="str">
        <f>IF('A1.3.8'!F$37="","",IF(OR(VLOOKUP($B69,'A1.3.11'!$B$26:$AM$105,AD$22,)="",VLOOKUP($B69,'A1.3.7'!$B$28:$H$118,6,)=""),"",VLOOKUP($B69,'A1.3.11'!$B$26:$AM$105,AD$22,)*VLOOKUP($B69,'A1.3.7'!$B$28:$O$118,6,)))</f>
        <v/>
      </c>
      <c r="AE69" s="1664" t="str">
        <f>IF('A1.3.8'!G$37="","",IF(OR(VLOOKUP($B69,'A1.3.11'!$B$26:$AM$105,AE$22,)="",VLOOKUP($B69,'A1.3.7'!$B$28:$H$118,6,)=""),"",VLOOKUP($B69,'A1.3.11'!$B$26:$AM$105,AE$22,)*VLOOKUP($B69,'A1.3.7'!$B$28:$O$118,6,)))</f>
        <v/>
      </c>
      <c r="AF69" s="693">
        <f>IF(AND(T69="",X69="",AB69=""),"",IF(T69="",0,(T69*VLOOKUP('A1.3.12'!$B69,'A1.3.9'!$B$26:$O$57,6,TRUE))) + IF(X69="",0,(X69*VLOOKUP('A1.3.12'!$B69,'A1.3.9'!$B$26:$O$57,7,TRUE))) + IF(AB69="",0,(AB69*VLOOKUP('A1.3.12'!$B69,'A1.3.9'!$B$26:$O$57,8,TRUE))))</f>
        <v>39.843788305218148</v>
      </c>
      <c r="AG69" s="691">
        <f>IF(AND(U69="",Y69="",AC69=""),"",IF(U69="",0,(U69*VLOOKUP('A1.3.12'!$B69,'A1.3.9'!$B$26:$O$57,6,TRUE))) + IF(Y69="",0,(Y69*VLOOKUP('A1.3.12'!$B69,'A1.3.9'!$B$26:$O$57,7,TRUE))) + IF(AC69="",0,(AC69*VLOOKUP('A1.3.12'!$B69,'A1.3.9'!$B$26:$O$57,8,TRUE))))</f>
        <v>10.292926808230712</v>
      </c>
      <c r="AH69" s="691">
        <f>IF(AND(V69="",Z69="",AD69=""),"",IF(V69="",0,(V69*VLOOKUP('A1.3.12'!$B69,'A1.3.9'!$B$26:$O$57,6,TRUE))) + IF(Z69="",0,(Z69*VLOOKUP('A1.3.12'!$B69,'A1.3.9'!$B$26:$O$57,7,TRUE))) + IF(AD69="",0,(AD69*VLOOKUP('A1.3.12'!$B69,'A1.3.9'!$B$26:$O$57,8,TRUE))))</f>
        <v>-0.14150469268966331</v>
      </c>
      <c r="AI69" s="2644">
        <f>IF(AND(W69="",AA69="",AE69=""),"",IF(W69="",0,(W69*VLOOKUP('A1.3.12'!$B69,'A1.3.9'!$B$26:$O$57,6,TRUE))) + IF(AA69="",0,(AA69*VLOOKUP('A1.3.12'!$B69,'A1.3.9'!$B$26:$O$57,7,TRUE))) + IF(AE69="",0,(AE69*VLOOKUP('A1.3.12'!$B69,'A1.3.9'!$B$26:$O$57,8,TRUE))))</f>
        <v>1.1945781547542209E-3</v>
      </c>
      <c r="AJ69" s="693">
        <f>IF('A1.3.8'!D$31="","",IF(OR(VLOOKUP($B69,'A1.3.11'!$B$26:$AM$105,AJ$22,)="",VLOOKUP($B69,'A1.3.7'!$B$28:$H$118,4,)=""),"",VLOOKUP($B69,'A1.3.11'!$B$26:$AM$105,AJ$22,)*(VLOOKUP($B69,'A1.3.7'!$B$28:$O$118,4,)+VLOOKUP($B69,'A1.3.7'!$B$28:$O$118,9,))))</f>
        <v>303.55694332506408</v>
      </c>
      <c r="AK69" s="691">
        <f>IF('A1.3.8'!E$31="","",IF(OR(VLOOKUP($B69,'A1.3.11'!$B$26:$AM$105,AK$22,)="",VLOOKUP($B69,'A1.3.7'!$B$28:$H$118,4,)=""),"",VLOOKUP($B69,'A1.3.11'!$B$26:$AM$105,AK$22,)*(VLOOKUP($B69,'A1.3.7'!$B$28:$O$118,4,)+VLOOKUP($B69,'A1.3.7'!$B$28:$O$118,9,))))</f>
        <v>16.105883056377145</v>
      </c>
      <c r="AL69" s="691">
        <f>IF('A1.3.8'!F$31="","",IF(OR(VLOOKUP($B69,'A1.3.11'!$B$26:$AM$105,AL$22,)="",VLOOKUP($B69,'A1.3.7'!$B$28:$H$118,4,)=""),"",VLOOKUP($B69,'A1.3.11'!$B$26:$AM$105,AL$22,)*(VLOOKUP($B69,'A1.3.7'!$B$28:$O$118,4,)+VLOOKUP($B69,'A1.3.7'!$B$28:$O$118,9,))))</f>
        <v>-0.11641342499185596</v>
      </c>
      <c r="AM69" s="2644">
        <f>IF('A1.3.8'!G$31="","",IF(OR(VLOOKUP($B69,'A1.3.11'!$B$26:$AM$105,AM$22,)="",VLOOKUP($B69,'A1.3.7'!$B$28:$H$118,4,)=""),"",VLOOKUP($B69,'A1.3.11'!$B$26:$AM$105,AM$22,)*(VLOOKUP($B69,'A1.3.7'!$B$28:$O$118,4,)+VLOOKUP($B69,'A1.3.7'!$B$28:$O$118,9,))))</f>
        <v>1.2714213866625117E-3</v>
      </c>
      <c r="AN69" s="693" t="str">
        <f>IF('A1.3.8'!D$38="","",IF(OR(VLOOKUP($B69,'A1.3.11'!$B$26:$AM$105,AN$22,)="",VLOOKUP($B69,'A1.3.7'!$B$28:$H$118,6,)=""),"",VLOOKUP($B69,'A1.3.11'!$B$26:$AM$105,AN$22,)*VLOOKUP($B69,'A1.3.7'!$B$28:$O$118,6,)))</f>
        <v/>
      </c>
      <c r="AO69" s="691" t="str">
        <f>IF('A1.3.8'!E$38="","",IF(OR(VLOOKUP($B69,'A1.3.11'!$B$26:$AM$105,AO$22,)="",VLOOKUP($B69,'A1.3.7'!$B$28:$H$118,6,)=""),"",VLOOKUP($B69,'A1.3.11'!$B$26:$AM$105,AO$22,)*VLOOKUP($B69,'A1.3.7'!$B$28:$O$118,6,)))</f>
        <v/>
      </c>
      <c r="AP69" s="691" t="str">
        <f>IF('A1.3.8'!F$38="","",IF(OR(VLOOKUP($B69,'A1.3.11'!$B$26:$AM$105,AP$22,)="",VLOOKUP($B69,'A1.3.7'!$B$28:$H$118,6,)=""),"",VLOOKUP($B69,'A1.3.11'!$B$26:$AM$105,AP$22,)*VLOOKUP($B69,'A1.3.7'!$B$28:$O$118,6,)))</f>
        <v/>
      </c>
      <c r="AQ69" s="1664" t="str">
        <f>IF('A1.3.8'!G$38="","",IF(OR(VLOOKUP($B69,'A1.3.11'!$B$26:$AM$105,AQ$22,)="",VLOOKUP($B69,'A1.3.7'!$B$28:$H$118,6,)=""),"",VLOOKUP($B69,'A1.3.11'!$B$26:$AM$105,AQ$22,)*VLOOKUP($B69,'A1.3.7'!$B$28:$O$118,6,)))</f>
        <v/>
      </c>
      <c r="AR69" s="693">
        <f>IF(AND(AJ69="",AN69=""),"",IF(AJ69="",0,(AJ69*VLOOKUP($B69,'A1.3.9'!$B$26:$O$57,9,TRUE))) + IF(AN69="",0,(AN69*VLOOKUP($B69,'A1.3.9'!$B$26:$O$57,10,TRUE))))</f>
        <v>303.55694332506408</v>
      </c>
      <c r="AS69" s="691">
        <f>IF(AND(AK69="",AO69=""),"",IF(AK69="",0,(AK69*VLOOKUP($B69,'A1.3.9'!$B$26:$O$57,9,TRUE))) + IF(AO69="",0,(AO69*VLOOKUP($B69,'A1.3.9'!$B$26:$O$57,10,TRUE))))</f>
        <v>16.105883056377145</v>
      </c>
      <c r="AT69" s="691">
        <f>IF(AND(AL69="",AP69=""),"",IF(AL69="",0,(AL69*VLOOKUP($B69,'A1.3.9'!$B$26:$O$57,9,TRUE))) + IF(AP69="",0,(AP69*VLOOKUP($B69,'A1.3.9'!$B$26:$O$57,10,TRUE))))</f>
        <v>-0.11641342499185596</v>
      </c>
      <c r="AU69" s="2644">
        <f>IF(AND(AM69="",AQ69=""),"",IF(AM69="",0,(AM69*VLOOKUP($B69,'A1.3.9'!$B$26:$O$57,9,TRUE))) + IF(AQ69="",0,(AQ69*VLOOKUP($B69,'A1.3.9'!$B$26:$O$57,10,TRUE))))</f>
        <v>1.2714213866625117E-3</v>
      </c>
      <c r="AV69" s="693">
        <f>IF('A1.3.8'!D$32="","",IF(OR(VLOOKUP($B69,'A1.3.11'!$B$26:$AM$105,AV$22,)="",VLOOKUP($B69,'A1.3.7'!$B$28:$H$118,4,)=""),"",VLOOKUP($B69,'A1.3.11'!$B$26:$AM$105,AV$22,)*(VLOOKUP($B69,'A1.3.7'!$B$28:$O$118,4,)+VLOOKUP($B69,'A1.3.7'!$B$28:$O$118,9,))))</f>
        <v>637.85223780437548</v>
      </c>
      <c r="AW69" s="691">
        <f>IF('A1.3.8'!E$32="","",IF(OR(VLOOKUP($B69,'A1.3.11'!$B$26:$AM$105,AW$22,)="",VLOOKUP($B69,'A1.3.7'!$B$28:$H$118,4,)=""),"",VLOOKUP($B69,'A1.3.11'!$B$26:$AM$105,AW$22,)*(VLOOKUP($B69,'A1.3.7'!$B$28:$O$118,4,)+VLOOKUP($B69,'A1.3.7'!$B$28:$O$118,9,))))</f>
        <v>33.124796920609398</v>
      </c>
      <c r="AX69" s="691">
        <f>IF('A1.3.8'!F$32="","",IF(OR(VLOOKUP($B69,'A1.3.11'!$B$26:$AM$105,AX$22,)="",VLOOKUP($B69,'A1.3.7'!$B$28:$H$118,4,)=""),"",VLOOKUP($B69,'A1.3.11'!$B$26:$AM$105,AX$22,)*(VLOOKUP($B69,'A1.3.7'!$B$28:$O$118,4,)+VLOOKUP($B69,'A1.3.7'!$B$28:$O$118,9,))))</f>
        <v>-0.21946920533884892</v>
      </c>
      <c r="AY69" s="2644">
        <f>IF('A1.3.8'!G$32="","",IF(OR(VLOOKUP($B69,'A1.3.11'!$B$26:$AM$105,AY$22,)="",VLOOKUP($B69,'A1.3.7'!$B$28:$H$118,4,)=""),"",VLOOKUP($B69,'A1.3.11'!$B$26:$AM$105,AY$22,)*(VLOOKUP($B69,'A1.3.7'!$B$28:$O$118,4,)+VLOOKUP($B69,'A1.3.7'!$B$28:$O$118,9,))))</f>
        <v>1.3081277261956889E-3</v>
      </c>
      <c r="AZ69" s="693" t="str">
        <f>IF('A1.3.8'!D$39="","",IF(OR(VLOOKUP($B69,'A1.3.11'!$B$26:$AM$105,AZ$22,)="",VLOOKUP($B69,'A1.3.7'!$B$28:$H$118,6,)=""),"",VLOOKUP($B69,'A1.3.11'!$B$26:$AM$105,AZ$22,)*VLOOKUP($B69,'A1.3.7'!$B$28:$O$118,6,)))</f>
        <v/>
      </c>
      <c r="BA69" s="691" t="str">
        <f>IF('A1.3.8'!E$39="","",IF(OR(VLOOKUP($B69,'A1.3.11'!$B$26:$AM$105,BA$22,)="",VLOOKUP($B69,'A1.3.7'!$B$28:$H$118,6,)=""),"",VLOOKUP($B69,'A1.3.11'!$B$26:$AM$105,BA$22,)*VLOOKUP($B69,'A1.3.7'!$B$28:$O$118,6,)))</f>
        <v/>
      </c>
      <c r="BB69" s="691" t="str">
        <f>IF('A1.3.8'!F$39="","",IF(OR(VLOOKUP($B69,'A1.3.11'!$B$26:$AM$105,BB$22,)="",VLOOKUP($B69,'A1.3.7'!$B$28:$H$118,6,)=""),"",VLOOKUP($B69,'A1.3.11'!$B$26:$AM$105,BB$22,)*VLOOKUP($B69,'A1.3.7'!$B$28:$O$118,6,)))</f>
        <v/>
      </c>
      <c r="BC69" s="1664" t="str">
        <f>IF('A1.3.8'!G$39="","",IF(OR(VLOOKUP($B69,'A1.3.11'!$B$26:$AM$105,BC$22,)="",VLOOKUP($B69,'A1.3.7'!$B$28:$H$118,6,)=""),"",VLOOKUP($B69,'A1.3.11'!$B$26:$AM$105,BC$22,)*VLOOKUP($B69,'A1.3.7'!$B$28:$O$118,6,)))</f>
        <v/>
      </c>
      <c r="BD69" s="693">
        <f>IF(AND(AV69="",AZ69=""),"",IF(AV69="",0,(AV69*VLOOKUP($B69,'A1.3.9'!$B$26:$O$57,9,TRUE))) + IF(AZ69="",0,(AZ69*VLOOKUP($B69,'A1.3.9'!$B$26:$O$57,10,TRUE))))</f>
        <v>637.85223780437548</v>
      </c>
      <c r="BE69" s="691">
        <f>IF(AND(AW69="",BA69=""),"",IF(AW69="",0,(AW69*VLOOKUP($B69,'A1.3.9'!$B$26:$O$57,9,TRUE))) + IF(BA69="",0,(BA69*VLOOKUP($B69,'A1.3.9'!$B$26:$O$57,10,TRUE))))</f>
        <v>33.124796920609398</v>
      </c>
      <c r="BF69" s="691">
        <f>IF(AND(AX69="",BB69=""),"",IF(AX69="",0,(AX69*VLOOKUP($B69,'A1.3.9'!$B$26:$O$57,9,TRUE))) + IF(BB69="",0,(BB69*VLOOKUP($B69,'A1.3.9'!$B$26:$O$57,10,TRUE))))</f>
        <v>-0.21946920533884892</v>
      </c>
      <c r="BG69" s="2644">
        <f>IF(AND(AY69="",BC69=""),"",IF(AY69="",0,(AY69*VLOOKUP($B69,'A1.3.9'!$B$26:$O$57,9,TRUE))) + IF(BC69="",0,(BC69*VLOOKUP($B69,'A1.3.9'!$B$26:$O$57,10,TRUE))))</f>
        <v>1.3081277261956889E-3</v>
      </c>
      <c r="BH69" s="693">
        <f>IF('A1.3.8'!D$33="","",IF(OR(VLOOKUP($B69,'A1.3.11'!$B$26:$AM$105,BH$22,)="",VLOOKUP($B69,'A1.3.7'!$B$28:$H$118,4,)=""),"",VLOOKUP($B69,'A1.3.11'!$B$26:$AM$105,BH$22,)*(VLOOKUP($B69,'A1.3.7'!$B$28:$O$118,4,)+VLOOKUP($B69,'A1.3.7'!$B$28:$O$118,9,))))</f>
        <v>378.30131056925831</v>
      </c>
      <c r="BI69" s="691">
        <f>IF('A1.3.8'!E$33="","",IF(OR(VLOOKUP($B69,'A1.3.11'!$B$26:$AM$105,BI$22,)="",VLOOKUP($B69,'A1.3.7'!$B$28:$H$118,4,)=""),"",VLOOKUP($B69,'A1.3.11'!$B$26:$AM$105,BI$22,)*(VLOOKUP($B69,'A1.3.7'!$B$28:$O$118,4,)+VLOOKUP($B69,'A1.3.7'!$B$28:$O$118,9,))))</f>
        <v>33.240182626002266</v>
      </c>
      <c r="BJ69" s="691">
        <f>IF('A1.3.8'!F$33="","",IF(OR(VLOOKUP($B69,'A1.3.11'!$B$26:$AM$105,BJ$22,)="",VLOOKUP($B69,'A1.3.7'!$B$28:$H$118,4,)=""),"",VLOOKUP($B69,'A1.3.11'!$B$26:$AM$105,BJ$22,)*(VLOOKUP($B69,'A1.3.7'!$B$28:$O$118,4,)+VLOOKUP($B69,'A1.3.7'!$B$28:$O$118,9,))))</f>
        <v>-0.36129115841380716</v>
      </c>
      <c r="BK69" s="2644">
        <f>IF('A1.3.8'!G$33="","",IF(OR(VLOOKUP($B69,'A1.3.11'!$B$26:$AM$105,BK$22,)="",VLOOKUP($B69,'A1.3.7'!$B$28:$H$118,4,)=""),"",VLOOKUP($B69,'A1.3.11'!$B$26:$AM$105,BK$22,)*(VLOOKUP($B69,'A1.3.7'!$B$28:$O$118,4,)+VLOOKUP($B69,'A1.3.7'!$B$28:$O$118,9,))))</f>
        <v>2.6502183248499575E-3</v>
      </c>
      <c r="BL69" s="693" t="str">
        <f>IF('A1.3.8'!D$40="","",IF(OR(VLOOKUP($B69,'A1.3.11'!$B$26:$AM$105,BL$22,)="",VLOOKUP($B69,'A1.3.7'!$B$28:$H$118,6,)=""),"",VLOOKUP($B69,'A1.3.11'!$B$26:$AM$105,BL$22,)*VLOOKUP($B69,'A1.3.7'!$B$28:$O$118,6,)))</f>
        <v/>
      </c>
      <c r="BM69" s="691" t="str">
        <f>IF('A1.3.8'!E$40="","",IF(OR(VLOOKUP($B69,'A1.3.11'!$B$26:$AM$105,BM$22,)="",VLOOKUP($B69,'A1.3.7'!$B$28:$H$118,6,)=""),"",VLOOKUP($B69,'A1.3.11'!$B$26:$AM$105,BM$22,)*VLOOKUP($B69,'A1.3.7'!$B$28:$O$118,6,)))</f>
        <v/>
      </c>
      <c r="BN69" s="691" t="str">
        <f>IF('A1.3.8'!F$40="","",IF(OR(VLOOKUP($B69,'A1.3.11'!$B$26:$AM$105,BN$22,)="",VLOOKUP($B69,'A1.3.7'!$B$28:$H$118,6,)=""),"",VLOOKUP($B69,'A1.3.11'!$B$26:$AM$105,BN$22,)*VLOOKUP($B69,'A1.3.7'!$B$28:$O$118,6,)))</f>
        <v/>
      </c>
      <c r="BO69" s="1664" t="str">
        <f>IF('A1.3.8'!G$40="","",IF(OR(VLOOKUP($B69,'A1.3.11'!$B$26:$AM$105,BO$22,)="",VLOOKUP($B69,'A1.3.7'!$B$28:$H$118,6,)=""),"",VLOOKUP($B69,'A1.3.11'!$B$26:$AM$105,BO$22,)*VLOOKUP($B69,'A1.3.7'!$B$28:$O$118,6,)))</f>
        <v/>
      </c>
      <c r="BP69" s="693">
        <f>IF(AND(BH69="",BL69=""),"",IF(BH69="",0,(BH69*VLOOKUP($B69,'A1.3.9'!$B$26:$O$57,9,TRUE))) + IF(BL69="",0,(BL69*VLOOKUP($B69,'A1.3.9'!$B$26:$O$57,10,TRUE))))</f>
        <v>378.30131056925831</v>
      </c>
      <c r="BQ69" s="691">
        <f>IF(AND(BI69="",BM69=""),"",IF(BI69="",0,(BI69*VLOOKUP($B69,'A1.3.9'!$B$26:$O$57,9,TRUE))) + IF(BM69="",0,(BM69*VLOOKUP($B69,'A1.3.9'!$B$26:$O$57,10,TRUE))))</f>
        <v>33.240182626002266</v>
      </c>
      <c r="BR69" s="691">
        <f>IF(AND(BJ69="",BN69=""),"",IF(BJ69="",0,(BJ69*VLOOKUP($B69,'A1.3.9'!$B$26:$O$57,9,TRUE))) + IF(BN69="",0,(BN69*VLOOKUP($B69,'A1.3.9'!$B$26:$O$57,10,TRUE))))</f>
        <v>-0.36129115841380716</v>
      </c>
      <c r="BS69" s="2644">
        <f>IF(AND(BK69="",BO69=""),"",IF(BK69="",0,(BK69*VLOOKUP($B69,'A1.3.9'!$B$26:$O$57,9,TRUE))) + IF(BO69="",0,(BO69*VLOOKUP($B69,'A1.3.9'!$B$26:$O$57,10,TRUE))))</f>
        <v>2.6502183248499575E-3</v>
      </c>
    </row>
    <row r="70" spans="1:71" s="26" customFormat="1" ht="13.5" customHeight="1">
      <c r="A70" s="113"/>
      <c r="B70" s="614">
        <f t="shared" si="0"/>
        <v>2053</v>
      </c>
      <c r="C70" s="147"/>
      <c r="D70" s="693">
        <f>IF('A1.3.8'!D$27="","",IF(OR(VLOOKUP($B70,'A1.3.11'!$B$26:$AM$105,D$22,)="",VLOOKUP($B70,'A1.3.7'!$B$28:$H$118,3,)=""),"",VLOOKUP($B70,'A1.3.11'!$B$26:$AM$105,D$22,)*(VLOOKUP($B70,'A1.3.7'!$B$28:$O$118,3,)+VLOOKUP($B70,'A1.3.7'!$B$28:$O$118,8,))))</f>
        <v>35.479427298935107</v>
      </c>
      <c r="E70" s="691">
        <f>IF('A1.3.8'!E$27="","",IF(OR(VLOOKUP($B70,'A1.3.11'!$B$26:$AM$105,E$22,)="",VLOOKUP($B70,'A1.3.7'!$B$28:$H$118,3,)=""),"",VLOOKUP($B70,'A1.3.11'!$B$26:$AM$105,E$22,)*(VLOOKUP($B70,'A1.3.7'!$B$28:$O$118,3,)+VLOOKUP($B70,'A1.3.7'!$B$28:$O$118,8,))))</f>
        <v>7.5399538095572396</v>
      </c>
      <c r="F70" s="691">
        <f>IF('A1.3.8'!F$27="","",IF(OR(VLOOKUP($B70,'A1.3.11'!$B$26:$AM$105,F$22,)="",VLOOKUP($B70,'A1.3.7'!$B$28:$H$118,3,)=""),"",VLOOKUP($B70,'A1.3.11'!$B$26:$AM$105,F$22,)*(VLOOKUP($B70,'A1.3.7'!$B$28:$O$118,3,)+VLOOKUP($B70,'A1.3.7'!$B$28:$O$118,8,))))</f>
        <v>-8.5889015414204142E-2</v>
      </c>
      <c r="G70" s="2644">
        <f>IF('A1.3.8'!G$27="","",IF(OR(VLOOKUP($B70,'A1.3.11'!$B$26:$AM$105,G$22,)="",VLOOKUP($B70,'A1.3.7'!$B$28:$H$118,3,)=""),"",VLOOKUP($B70,'A1.3.11'!$B$26:$AM$105,G$22,)*(VLOOKUP($B70,'A1.3.7'!$B$28:$O$118,3,)+VLOOKUP($B70,'A1.3.7'!$B$28:$O$118,8,))))</f>
        <v>5.6883603834161826E-4</v>
      </c>
      <c r="H70" s="693">
        <f>IF('A1.3.8'!D$28="","",IF(OR(VLOOKUP($B70,'A1.3.11'!$B$26:$AM$105,H$22,)="",VLOOKUP($B70,'A1.3.7'!$B$28:$H$118,4,)=""),"",VLOOKUP($B70,'A1.3.11'!$B$26:$AM$105,H$22,)*(VLOOKUP($B70,'A1.3.7'!$B$28:$O$118,4,)+VLOOKUP($B70,'A1.3.7'!$B$28:$O$118,9,))))</f>
        <v>43.776758686014041</v>
      </c>
      <c r="I70" s="691">
        <f>IF('A1.3.8'!E$28="","",IF(OR(VLOOKUP($B70,'A1.3.11'!$B$26:$AM$105,I$22,)="",VLOOKUP($B70,'A1.3.7'!$B$28:$H$118,4,)=""),"",VLOOKUP($B70,'A1.3.11'!$B$26:$AM$105,I$22,)*(VLOOKUP($B70,'A1.3.7'!$B$28:$O$118,4,)+VLOOKUP($B70,'A1.3.7'!$B$28:$O$118,9,))))</f>
        <v>6.2765045975629397</v>
      </c>
      <c r="J70" s="691">
        <f>IF('A1.3.8'!F$28="","",IF(OR(VLOOKUP($B70,'A1.3.11'!$B$26:$AM$105,J$22,)="",VLOOKUP($B70,'A1.3.7'!$B$28:$H$118,4,)=""),"",VLOOKUP($B70,'A1.3.11'!$B$26:$AM$105,J$22,)*(VLOOKUP($B70,'A1.3.7'!$B$28:$O$118,4,)+VLOOKUP($B70,'A1.3.7'!$B$28:$O$118,9,))))</f>
        <v>-6.0381722741434364E-2</v>
      </c>
      <c r="K70" s="2644">
        <f>IF('A1.3.8'!G$28="","",IF(OR(VLOOKUP($B70,'A1.3.11'!$B$26:$AM$105,K$22,)="",VLOOKUP($B70,'A1.3.7'!$B$28:$H$118,4,)=""),"",VLOOKUP($B70,'A1.3.11'!$B$26:$AM$105,K$22,)*(VLOOKUP($B70,'A1.3.7'!$B$28:$O$118,4,)+VLOOKUP($B70,'A1.3.7'!$B$28:$O$118,9,))))</f>
        <v>4.7581100459873716E-4</v>
      </c>
      <c r="L70" s="693" t="str">
        <f>IF('A1.3.8'!D$36="","",IF(OR(VLOOKUP($B70,'A1.3.11'!$B$26:$AM$105,L$22,)="",VLOOKUP($B70,'A1.3.7'!$B$28:$H$118,6,)=""),"",VLOOKUP($B70,'A1.3.11'!$B$26:$AM$105,L$22,)*VLOOKUP($B70,'A1.3.7'!$B$28:$O$118,6,)))</f>
        <v/>
      </c>
      <c r="M70" s="691">
        <f>IF('A1.3.8'!E$36="","",IF(OR(VLOOKUP($B70,'A1.3.11'!$B$26:$AM$105,M$22,)="",VLOOKUP($B70,'A1.3.7'!$B$28:$H$118,6,)=""),"",VLOOKUP($B70,'A1.3.11'!$B$26:$AM$105,M$22,)*VLOOKUP($B70,'A1.3.7'!$B$28:$O$118,6,)))</f>
        <v>1.9637608285706969</v>
      </c>
      <c r="N70" s="691" t="str">
        <f>IF('A1.3.8'!F$36="","",IF(OR(VLOOKUP($B70,'A1.3.11'!$B$26:$AM$105,N$22,)="",VLOOKUP($B70,'A1.3.7'!$B$28:$H$118,6,)=""),"",VLOOKUP($B70,'A1.3.11'!$B$26:$AM$105,N$22,)*VLOOKUP($B70,'A1.3.7'!$B$28:$O$118,6,)))</f>
        <v/>
      </c>
      <c r="O70" s="1664" t="str">
        <f>IF('A1.3.8'!G$36="","",IF(OR(VLOOKUP($B70,'A1.3.11'!$B$26:$AM$105,O$22,)="",VLOOKUP($B70,'A1.3.7'!$B$28:$H$118,6,)=""),"",VLOOKUP($B70,'A1.3.11'!$B$26:$AM$105,O$22,)*VLOOKUP($B70,'A1.3.7'!$B$28:$O$118,6,)))</f>
        <v/>
      </c>
      <c r="P70" s="693">
        <f>IF(AND(D70="",H70="",L70=""),"",IF(D70="",0,(D70*VLOOKUP($B70,'A1.3.9'!$B$26:$O$57,3,TRUE)))+IF(H70="",0,(H70*VLOOKUP($B70,'A1.3.9'!$B$26:$O$57,4,TRUE)))+IF(L70="",0,(L70*VLOOKUP($B70,'A1.3.9'!$B$26:$O$57,5,TRUE))))</f>
        <v>29.438278586293599</v>
      </c>
      <c r="Q70" s="691">
        <f>IF(AND(E70="",I70="",M70=""),"",IF(E70="",0,(E70*VLOOKUP($B70,'A1.3.9'!$B$26:$O$57,3,TRUE)))+IF(I70="",0,(I70*VLOOKUP($B70,'A1.3.9'!$B$26:$O$57,4,TRUE)))+IF(M70="",0,(M70*VLOOKUP($B70,'A1.3.9'!$B$26:$O$57,5,TRUE))))</f>
        <v>5.7982222505502943</v>
      </c>
      <c r="R70" s="691">
        <f>IF(AND(F70="",J70="",N70=""),"",IF(F70="",0,(F70*VLOOKUP($B70,'A1.3.9'!$B$26:$O$57,3,TRUE)))+IF(J70="",0,(J70*VLOOKUP($B70,'A1.3.9'!$B$26:$O$57,4,TRUE)))+IF(N70="",0,(N70*VLOOKUP($B70,'A1.3.9'!$B$26:$O$57,5,TRUE))))</f>
        <v>-5.7195643854004094E-2</v>
      </c>
      <c r="S70" s="2644">
        <f>IF(AND(G70="",K70="",O70=""),"",IF(G70="",0,(G70*VLOOKUP($B70,'A1.3.9'!$B$26:$O$57,3,TRUE)))+IF(K70="",0,(K70*VLOOKUP($B70,'A1.3.9'!$B$26:$O$57,4,TRUE)))+IF(O70="",0,(O70*VLOOKUP($B70,'A1.3.9'!$B$26:$O$57,5,TRUE))))</f>
        <v>4.0222512291194536E-4</v>
      </c>
      <c r="T70" s="693">
        <f>IF('A1.3.8'!D$29="","",IF(OR(VLOOKUP($B70,'A1.3.11'!$B$26:$AM$105,T$22,)="",VLOOKUP($B70,'A1.3.7'!$B$28:$H$118,3,)=""),"",VLOOKUP($B70,'A1.3.11'!$B$26:$AM$105,T$22,)*(VLOOKUP($B70,'A1.3.7'!$B$28:$O$118,3,)+VLOOKUP($B70,'A1.3.7'!$B$28:$O$118,8,))))</f>
        <v>25.521525346649398</v>
      </c>
      <c r="U70" s="691">
        <f>IF('A1.3.8'!E$29="","",IF(OR(VLOOKUP($B70,'A1.3.11'!$B$26:$AM$105,U$22,)="",VLOOKUP($B70,'A1.3.7'!$B$28:$H$118,3,)=""),"",VLOOKUP($B70,'A1.3.11'!$B$26:$AM$105,U$22,)*(VLOOKUP($B70,'A1.3.7'!$B$28:$O$118,3,)+VLOOKUP($B70,'A1.3.7'!$B$28:$O$118,8,))))</f>
        <v>14.310994064830139</v>
      </c>
      <c r="V70" s="691">
        <f>IF('A1.3.8'!F$29="","",IF(OR(VLOOKUP($B70,'A1.3.11'!$B$26:$AM$105,V$22,)="",VLOOKUP($B70,'A1.3.7'!$B$28:$H$118,3,)=""),"",VLOOKUP($B70,'A1.3.11'!$B$26:$AM$105,V$22,)*(VLOOKUP($B70,'A1.3.7'!$B$28:$O$118,3,)+VLOOKUP($B70,'A1.3.7'!$B$28:$O$118,8,))))</f>
        <v>-0.22463563248870835</v>
      </c>
      <c r="W70" s="2644">
        <f>IF('A1.3.8'!G$29="","",IF(OR(VLOOKUP($B70,'A1.3.11'!$B$26:$AM$105,W$22,)="",VLOOKUP($B70,'A1.3.7'!$B$28:$H$118,3,)=""),"",VLOOKUP($B70,'A1.3.11'!$B$26:$AM$105,W$22,)*(VLOOKUP($B70,'A1.3.7'!$B$28:$O$118,3,)+VLOOKUP($B70,'A1.3.7'!$B$28:$O$118,8,))))</f>
        <v>1.4507053097715615E-3</v>
      </c>
      <c r="X70" s="693">
        <f>IF('A1.3.8'!D$30="","",IF(OR(VLOOKUP($B70,'A1.3.11'!$B$26:$AM$105,X$22,)="",VLOOKUP($B70,'A1.3.7'!$B$28:$H$118,4,)=""),"",VLOOKUP($B70,'A1.3.11'!$B$26:$AM$105,X$22,)*(VLOOKUP($B70,'A1.3.7'!$B$28:$O$118,4,)+VLOOKUP($B70,'A1.3.7'!$B$28:$O$118,9,))))</f>
        <v>45.085814337844454</v>
      </c>
      <c r="Y70" s="691">
        <f>IF('A1.3.8'!E$30="","",IF(OR(VLOOKUP($B70,'A1.3.11'!$B$26:$AM$105,Y$22,)="",VLOOKUP($B70,'A1.3.7'!$B$28:$H$118,4,)=""),"",VLOOKUP($B70,'A1.3.11'!$B$26:$AM$105,Y$22,)*(VLOOKUP($B70,'A1.3.7'!$B$28:$O$118,4,)+VLOOKUP($B70,'A1.3.7'!$B$28:$O$118,9,))))</f>
        <v>11.019156763818795</v>
      </c>
      <c r="Z70" s="691">
        <f>IF('A1.3.8'!F$30="","",IF(OR(VLOOKUP($B70,'A1.3.11'!$B$26:$AM$105,Z$22,)="",VLOOKUP($B70,'A1.3.7'!$B$28:$H$118,4,)=""),"",VLOOKUP($B70,'A1.3.11'!$B$26:$AM$105,Z$22,)*(VLOOKUP($B70,'A1.3.7'!$B$28:$O$118,4,)+VLOOKUP($B70,'A1.3.7'!$B$28:$O$118,9,))))</f>
        <v>-0.15897136300729781</v>
      </c>
      <c r="AA70" s="2644">
        <f>IF('A1.3.8'!G$30="","",IF(OR(VLOOKUP($B70,'A1.3.11'!$B$26:$AM$105,AA$22,)="",VLOOKUP($B70,'A1.3.7'!$B$28:$H$118,4,)=""),"",VLOOKUP($B70,'A1.3.11'!$B$26:$AM$105,AA$22,)*(VLOOKUP($B70,'A1.3.7'!$B$28:$O$118,4,)+VLOOKUP($B70,'A1.3.7'!$B$28:$O$118,9,))))</f>
        <v>1.3458571020974739E-3</v>
      </c>
      <c r="AB70" s="693" t="str">
        <f>IF('A1.3.8'!D$37="","",IF(OR(VLOOKUP($B70,'A1.3.11'!$B$26:$AM$105,AB$22,)="",VLOOKUP($B70,'A1.3.7'!$B$28:$H$118,6,)=""),"",VLOOKUP($B70,'A1.3.11'!$B$26:$AM$105,AB$22,)*VLOOKUP($B70,'A1.3.7'!$B$28:$O$118,6,)))</f>
        <v/>
      </c>
      <c r="AC70" s="691">
        <f>IF('A1.3.8'!E$37="","",IF(OR(VLOOKUP($B70,'A1.3.11'!$B$26:$AM$105,AC$22,)="",VLOOKUP($B70,'A1.3.7'!$B$28:$H$118,6,)=""),"",VLOOKUP($B70,'A1.3.11'!$B$26:$AM$105,AC$22,)*VLOOKUP($B70,'A1.3.7'!$B$28:$O$118,6,)))</f>
        <v>4.5145632825273854</v>
      </c>
      <c r="AD70" s="691" t="str">
        <f>IF('A1.3.8'!F$37="","",IF(OR(VLOOKUP($B70,'A1.3.11'!$B$26:$AM$105,AD$22,)="",VLOOKUP($B70,'A1.3.7'!$B$28:$H$118,6,)=""),"",VLOOKUP($B70,'A1.3.11'!$B$26:$AM$105,AD$22,)*VLOOKUP($B70,'A1.3.7'!$B$28:$O$118,6,)))</f>
        <v/>
      </c>
      <c r="AE70" s="1664" t="str">
        <f>IF('A1.3.8'!G$37="","",IF(OR(VLOOKUP($B70,'A1.3.11'!$B$26:$AM$105,AE$22,)="",VLOOKUP($B70,'A1.3.7'!$B$28:$H$118,6,)=""),"",VLOOKUP($B70,'A1.3.11'!$B$26:$AM$105,AE$22,)*VLOOKUP($B70,'A1.3.7'!$B$28:$O$118,6,)))</f>
        <v/>
      </c>
      <c r="AF70" s="693">
        <f>IF(AND(T70="",X70="",AB70=""),"",IF(T70="",0,(T70*VLOOKUP('A1.3.12'!$B70,'A1.3.9'!$B$26:$O$57,6,TRUE))) + IF(X70="",0,(X70*VLOOKUP('A1.3.12'!$B70,'A1.3.9'!$B$26:$O$57,7,TRUE))) + IF(AB70="",0,(AB70*VLOOKUP('A1.3.12'!$B70,'A1.3.9'!$B$26:$O$57,8,TRUE))))</f>
        <v>40.00414416925458</v>
      </c>
      <c r="AG70" s="691">
        <f>IF(AND(U70="",Y70="",AC70=""),"",IF(U70="",0,(U70*VLOOKUP('A1.3.12'!$B70,'A1.3.9'!$B$26:$O$57,6,TRUE))) + IF(Y70="",0,(Y70*VLOOKUP('A1.3.12'!$B70,'A1.3.9'!$B$26:$O$57,7,TRUE))) + IF(AC70="",0,(AC70*VLOOKUP('A1.3.12'!$B70,'A1.3.9'!$B$26:$O$57,8,TRUE))))</f>
        <v>10.332372650147642</v>
      </c>
      <c r="AH70" s="691">
        <f>IF(AND(V70="",Z70="",AD70=""),"",IF(V70="",0,(V70*VLOOKUP('A1.3.12'!$B70,'A1.3.9'!$B$26:$O$57,6,TRUE))) + IF(Z70="",0,(Z70*VLOOKUP('A1.3.12'!$B70,'A1.3.9'!$B$26:$O$57,7,TRUE))) + IF(AD70="",0,(AD70*VLOOKUP('A1.3.12'!$B70,'A1.3.9'!$B$26:$O$57,8,TRUE))))</f>
        <v>-0.14207434289609236</v>
      </c>
      <c r="AI70" s="2644">
        <f>IF(AND(W70="",AA70="",AE70=""),"",IF(W70="",0,(W70*VLOOKUP('A1.3.12'!$B70,'A1.3.9'!$B$26:$O$57,6,TRUE))) + IF(AA70="",0,(AA70*VLOOKUP('A1.3.12'!$B70,'A1.3.9'!$B$26:$O$57,7,TRUE))) + IF(AE70="",0,(AE70*VLOOKUP('A1.3.12'!$B70,'A1.3.9'!$B$26:$O$57,8,TRUE))))</f>
        <v>1.1993866300915837E-3</v>
      </c>
      <c r="AJ70" s="693">
        <f>IF('A1.3.8'!D$31="","",IF(OR(VLOOKUP($B70,'A1.3.11'!$B$26:$AM$105,AJ$22,)="",VLOOKUP($B70,'A1.3.7'!$B$28:$H$118,4,)=""),"",VLOOKUP($B70,'A1.3.11'!$B$26:$AM$105,AJ$22,)*(VLOOKUP($B70,'A1.3.7'!$B$28:$O$118,4,)+VLOOKUP($B70,'A1.3.7'!$B$28:$O$118,9,))))</f>
        <v>304.7784273973046</v>
      </c>
      <c r="AK70" s="691">
        <f>IF('A1.3.8'!E$31="","",IF(OR(VLOOKUP($B70,'A1.3.11'!$B$26:$AM$105,AK$22,)="",VLOOKUP($B70,'A1.3.7'!$B$28:$H$118,4,)=""),"",VLOOKUP($B70,'A1.3.11'!$B$26:$AM$105,AK$22,)*(VLOOKUP($B70,'A1.3.7'!$B$28:$O$118,4,)+VLOOKUP($B70,'A1.3.7'!$B$28:$O$118,9,))))</f>
        <v>16.170691587545104</v>
      </c>
      <c r="AL70" s="691">
        <f>IF('A1.3.8'!F$31="","",IF(OR(VLOOKUP($B70,'A1.3.11'!$B$26:$AM$105,AL$22,)="",VLOOKUP($B70,'A1.3.7'!$B$28:$H$118,4,)=""),"",VLOOKUP($B70,'A1.3.11'!$B$26:$AM$105,AL$22,)*(VLOOKUP($B70,'A1.3.7'!$B$28:$O$118,4,)+VLOOKUP($B70,'A1.3.7'!$B$28:$O$118,9,))))</f>
        <v>-0.11688186146662387</v>
      </c>
      <c r="AM70" s="2644">
        <f>IF('A1.3.8'!G$31="","",IF(OR(VLOOKUP($B70,'A1.3.11'!$B$26:$AM$105,AM$22,)="",VLOOKUP($B70,'A1.3.7'!$B$28:$H$118,4,)=""),"",VLOOKUP($B70,'A1.3.11'!$B$26:$AM$105,AM$22,)*(VLOOKUP($B70,'A1.3.7'!$B$28:$O$118,4,)+VLOOKUP($B70,'A1.3.7'!$B$28:$O$118,9,))))</f>
        <v>1.276537464574955E-3</v>
      </c>
      <c r="AN70" s="693" t="str">
        <f>IF('A1.3.8'!D$38="","",IF(OR(VLOOKUP($B70,'A1.3.11'!$B$26:$AM$105,AN$22,)="",VLOOKUP($B70,'A1.3.7'!$B$28:$H$118,6,)=""),"",VLOOKUP($B70,'A1.3.11'!$B$26:$AM$105,AN$22,)*VLOOKUP($B70,'A1.3.7'!$B$28:$O$118,6,)))</f>
        <v/>
      </c>
      <c r="AO70" s="691" t="str">
        <f>IF('A1.3.8'!E$38="","",IF(OR(VLOOKUP($B70,'A1.3.11'!$B$26:$AM$105,AO$22,)="",VLOOKUP($B70,'A1.3.7'!$B$28:$H$118,6,)=""),"",VLOOKUP($B70,'A1.3.11'!$B$26:$AM$105,AO$22,)*VLOOKUP($B70,'A1.3.7'!$B$28:$O$118,6,)))</f>
        <v/>
      </c>
      <c r="AP70" s="691" t="str">
        <f>IF('A1.3.8'!F$38="","",IF(OR(VLOOKUP($B70,'A1.3.11'!$B$26:$AM$105,AP$22,)="",VLOOKUP($B70,'A1.3.7'!$B$28:$H$118,6,)=""),"",VLOOKUP($B70,'A1.3.11'!$B$26:$AM$105,AP$22,)*VLOOKUP($B70,'A1.3.7'!$B$28:$O$118,6,)))</f>
        <v/>
      </c>
      <c r="AQ70" s="1664" t="str">
        <f>IF('A1.3.8'!G$38="","",IF(OR(VLOOKUP($B70,'A1.3.11'!$B$26:$AM$105,AQ$22,)="",VLOOKUP($B70,'A1.3.7'!$B$28:$H$118,6,)=""),"",VLOOKUP($B70,'A1.3.11'!$B$26:$AM$105,AQ$22,)*VLOOKUP($B70,'A1.3.7'!$B$28:$O$118,6,)))</f>
        <v/>
      </c>
      <c r="AR70" s="693">
        <f>IF(AND(AJ70="",AN70=""),"",IF(AJ70="",0,(AJ70*VLOOKUP($B70,'A1.3.9'!$B$26:$O$57,9,TRUE))) + IF(AN70="",0,(AN70*VLOOKUP($B70,'A1.3.9'!$B$26:$O$57,10,TRUE))))</f>
        <v>304.7784273973046</v>
      </c>
      <c r="AS70" s="691">
        <f>IF(AND(AK70="",AO70=""),"",IF(AK70="",0,(AK70*VLOOKUP($B70,'A1.3.9'!$B$26:$O$57,9,TRUE))) + IF(AO70="",0,(AO70*VLOOKUP($B70,'A1.3.9'!$B$26:$O$57,10,TRUE))))</f>
        <v>16.170691587545104</v>
      </c>
      <c r="AT70" s="691">
        <f>IF(AND(AL70="",AP70=""),"",IF(AL70="",0,(AL70*VLOOKUP($B70,'A1.3.9'!$B$26:$O$57,9,TRUE))) + IF(AP70="",0,(AP70*VLOOKUP($B70,'A1.3.9'!$B$26:$O$57,10,TRUE))))</f>
        <v>-0.11688186146662387</v>
      </c>
      <c r="AU70" s="2644">
        <f>IF(AND(AM70="",AQ70=""),"",IF(AM70="",0,(AM70*VLOOKUP($B70,'A1.3.9'!$B$26:$O$57,9,TRUE))) + IF(AQ70="",0,(AQ70*VLOOKUP($B70,'A1.3.9'!$B$26:$O$57,10,TRUE))))</f>
        <v>1.276537464574955E-3</v>
      </c>
      <c r="AV70" s="693">
        <f>IF('A1.3.8'!D$32="","",IF(OR(VLOOKUP($B70,'A1.3.11'!$B$26:$AM$105,AV$22,)="",VLOOKUP($B70,'A1.3.7'!$B$28:$H$118,4,)=""),"",VLOOKUP($B70,'A1.3.11'!$B$26:$AM$105,AV$22,)*(VLOOKUP($B70,'A1.3.7'!$B$28:$O$118,4,)+VLOOKUP($B70,'A1.3.7'!$B$28:$O$118,9,))))</f>
        <v>640.41889413048921</v>
      </c>
      <c r="AW70" s="691">
        <f>IF('A1.3.8'!E$32="","",IF(OR(VLOOKUP($B70,'A1.3.11'!$B$26:$AM$105,AW$22,)="",VLOOKUP($B70,'A1.3.7'!$B$28:$H$118,4,)=""),"",VLOOKUP($B70,'A1.3.11'!$B$26:$AM$105,AW$22,)*(VLOOKUP($B70,'A1.3.7'!$B$28:$O$118,4,)+VLOOKUP($B70,'A1.3.7'!$B$28:$O$118,9,))))</f>
        <v>33.258087931487047</v>
      </c>
      <c r="AX70" s="691">
        <f>IF('A1.3.8'!F$32="","",IF(OR(VLOOKUP($B70,'A1.3.11'!$B$26:$AM$105,AX$22,)="",VLOOKUP($B70,'A1.3.7'!$B$28:$H$118,4,)=""),"",VLOOKUP($B70,'A1.3.11'!$B$26:$AM$105,AX$22,)*(VLOOKUP($B70,'A1.3.7'!$B$28:$O$118,4,)+VLOOKUP($B70,'A1.3.7'!$B$28:$O$118,9,))))</f>
        <v>-0.22035232840542168</v>
      </c>
      <c r="AY70" s="2644">
        <f>IF('A1.3.8'!G$32="","",IF(OR(VLOOKUP($B70,'A1.3.11'!$B$26:$AM$105,AY$22,)="",VLOOKUP($B70,'A1.3.7'!$B$28:$H$118,4,)=""),"",VLOOKUP($B70,'A1.3.11'!$B$26:$AM$105,AY$22,)*(VLOOKUP($B70,'A1.3.7'!$B$28:$O$118,4,)+VLOOKUP($B70,'A1.3.7'!$B$28:$O$118,9,))))</f>
        <v>1.3133915069035251E-3</v>
      </c>
      <c r="AZ70" s="693" t="str">
        <f>IF('A1.3.8'!D$39="","",IF(OR(VLOOKUP($B70,'A1.3.11'!$B$26:$AM$105,AZ$22,)="",VLOOKUP($B70,'A1.3.7'!$B$28:$H$118,6,)=""),"",VLOOKUP($B70,'A1.3.11'!$B$26:$AM$105,AZ$22,)*VLOOKUP($B70,'A1.3.7'!$B$28:$O$118,6,)))</f>
        <v/>
      </c>
      <c r="BA70" s="691" t="str">
        <f>IF('A1.3.8'!E$39="","",IF(OR(VLOOKUP($B70,'A1.3.11'!$B$26:$AM$105,BA$22,)="",VLOOKUP($B70,'A1.3.7'!$B$28:$H$118,6,)=""),"",VLOOKUP($B70,'A1.3.11'!$B$26:$AM$105,BA$22,)*VLOOKUP($B70,'A1.3.7'!$B$28:$O$118,6,)))</f>
        <v/>
      </c>
      <c r="BB70" s="691" t="str">
        <f>IF('A1.3.8'!F$39="","",IF(OR(VLOOKUP($B70,'A1.3.11'!$B$26:$AM$105,BB$22,)="",VLOOKUP($B70,'A1.3.7'!$B$28:$H$118,6,)=""),"",VLOOKUP($B70,'A1.3.11'!$B$26:$AM$105,BB$22,)*VLOOKUP($B70,'A1.3.7'!$B$28:$O$118,6,)))</f>
        <v/>
      </c>
      <c r="BC70" s="1664" t="str">
        <f>IF('A1.3.8'!G$39="","",IF(OR(VLOOKUP($B70,'A1.3.11'!$B$26:$AM$105,BC$22,)="",VLOOKUP($B70,'A1.3.7'!$B$28:$H$118,6,)=""),"",VLOOKUP($B70,'A1.3.11'!$B$26:$AM$105,BC$22,)*VLOOKUP($B70,'A1.3.7'!$B$28:$O$118,6,)))</f>
        <v/>
      </c>
      <c r="BD70" s="693">
        <f>IF(AND(AV70="",AZ70=""),"",IF(AV70="",0,(AV70*VLOOKUP($B70,'A1.3.9'!$B$26:$O$57,9,TRUE))) + IF(AZ70="",0,(AZ70*VLOOKUP($B70,'A1.3.9'!$B$26:$O$57,10,TRUE))))</f>
        <v>640.41889413048921</v>
      </c>
      <c r="BE70" s="691">
        <f>IF(AND(AW70="",BA70=""),"",IF(AW70="",0,(AW70*VLOOKUP($B70,'A1.3.9'!$B$26:$O$57,9,TRUE))) + IF(BA70="",0,(BA70*VLOOKUP($B70,'A1.3.9'!$B$26:$O$57,10,TRUE))))</f>
        <v>33.258087931487047</v>
      </c>
      <c r="BF70" s="691">
        <f>IF(AND(AX70="",BB70=""),"",IF(AX70="",0,(AX70*VLOOKUP($B70,'A1.3.9'!$B$26:$O$57,9,TRUE))) + IF(BB70="",0,(BB70*VLOOKUP($B70,'A1.3.9'!$B$26:$O$57,10,TRUE))))</f>
        <v>-0.22035232840542168</v>
      </c>
      <c r="BG70" s="2644">
        <f>IF(AND(AY70="",BC70=""),"",IF(AY70="",0,(AY70*VLOOKUP($B70,'A1.3.9'!$B$26:$O$57,9,TRUE))) + IF(BC70="",0,(BC70*VLOOKUP($B70,'A1.3.9'!$B$26:$O$57,10,TRUE))))</f>
        <v>1.3133915069035251E-3</v>
      </c>
      <c r="BH70" s="693">
        <f>IF('A1.3.8'!D$33="","",IF(OR(VLOOKUP($B70,'A1.3.11'!$B$26:$AM$105,BH$22,)="",VLOOKUP($B70,'A1.3.7'!$B$28:$H$118,4,)=""),"",VLOOKUP($B70,'A1.3.11'!$B$26:$AM$105,BH$22,)*(VLOOKUP($B70,'A1.3.7'!$B$28:$O$118,4,)+VLOOKUP($B70,'A1.3.7'!$B$28:$O$118,9,))))</f>
        <v>379.82355881799367</v>
      </c>
      <c r="BI70" s="691">
        <f>IF('A1.3.8'!E$33="","",IF(OR(VLOOKUP($B70,'A1.3.11'!$B$26:$AM$105,BI$22,)="",VLOOKUP($B70,'A1.3.7'!$B$28:$H$118,4,)=""),"",VLOOKUP($B70,'A1.3.11'!$B$26:$AM$105,BI$22,)*(VLOOKUP($B70,'A1.3.7'!$B$28:$O$118,4,)+VLOOKUP($B70,'A1.3.7'!$B$28:$O$118,9,))))</f>
        <v>33.373937937909417</v>
      </c>
      <c r="BJ70" s="691">
        <f>IF('A1.3.8'!F$33="","",IF(OR(VLOOKUP($B70,'A1.3.11'!$B$26:$AM$105,BJ$22,)="",VLOOKUP($B70,'A1.3.7'!$B$28:$H$118,4,)=""),"",VLOOKUP($B70,'A1.3.11'!$B$26:$AM$105,BJ$22,)*(VLOOKUP($B70,'A1.3.7'!$B$28:$O$118,4,)+VLOOKUP($B70,'A1.3.7'!$B$28:$O$118,9,))))</f>
        <v>-0.36274495943911</v>
      </c>
      <c r="BK70" s="2644">
        <f>IF('A1.3.8'!G$33="","",IF(OR(VLOOKUP($B70,'A1.3.11'!$B$26:$AM$105,BK$22,)="",VLOOKUP($B70,'A1.3.7'!$B$28:$H$118,4,)=""),"",VLOOKUP($B70,'A1.3.11'!$B$26:$AM$105,BK$22,)*(VLOOKUP($B70,'A1.3.7'!$B$28:$O$118,4,)+VLOOKUP($B70,'A1.3.7'!$B$28:$O$118,9,))))</f>
        <v>2.6608825496122206E-3</v>
      </c>
      <c r="BL70" s="693" t="str">
        <f>IF('A1.3.8'!D$40="","",IF(OR(VLOOKUP($B70,'A1.3.11'!$B$26:$AM$105,BL$22,)="",VLOOKUP($B70,'A1.3.7'!$B$28:$H$118,6,)=""),"",VLOOKUP($B70,'A1.3.11'!$B$26:$AM$105,BL$22,)*VLOOKUP($B70,'A1.3.7'!$B$28:$O$118,6,)))</f>
        <v/>
      </c>
      <c r="BM70" s="691" t="str">
        <f>IF('A1.3.8'!E$40="","",IF(OR(VLOOKUP($B70,'A1.3.11'!$B$26:$AM$105,BM$22,)="",VLOOKUP($B70,'A1.3.7'!$B$28:$H$118,6,)=""),"",VLOOKUP($B70,'A1.3.11'!$B$26:$AM$105,BM$22,)*VLOOKUP($B70,'A1.3.7'!$B$28:$O$118,6,)))</f>
        <v/>
      </c>
      <c r="BN70" s="691" t="str">
        <f>IF('A1.3.8'!F$40="","",IF(OR(VLOOKUP($B70,'A1.3.11'!$B$26:$AM$105,BN$22,)="",VLOOKUP($B70,'A1.3.7'!$B$28:$H$118,6,)=""),"",VLOOKUP($B70,'A1.3.11'!$B$26:$AM$105,BN$22,)*VLOOKUP($B70,'A1.3.7'!$B$28:$O$118,6,)))</f>
        <v/>
      </c>
      <c r="BO70" s="1664" t="str">
        <f>IF('A1.3.8'!G$40="","",IF(OR(VLOOKUP($B70,'A1.3.11'!$B$26:$AM$105,BO$22,)="",VLOOKUP($B70,'A1.3.7'!$B$28:$H$118,6,)=""),"",VLOOKUP($B70,'A1.3.11'!$B$26:$AM$105,BO$22,)*VLOOKUP($B70,'A1.3.7'!$B$28:$O$118,6,)))</f>
        <v/>
      </c>
      <c r="BP70" s="693">
        <f>IF(AND(BH70="",BL70=""),"",IF(BH70="",0,(BH70*VLOOKUP($B70,'A1.3.9'!$B$26:$O$57,9,TRUE))) + IF(BL70="",0,(BL70*VLOOKUP($B70,'A1.3.9'!$B$26:$O$57,10,TRUE))))</f>
        <v>379.82355881799367</v>
      </c>
      <c r="BQ70" s="691">
        <f>IF(AND(BI70="",BM70=""),"",IF(BI70="",0,(BI70*VLOOKUP($B70,'A1.3.9'!$B$26:$O$57,9,TRUE))) + IF(BM70="",0,(BM70*VLOOKUP($B70,'A1.3.9'!$B$26:$O$57,10,TRUE))))</f>
        <v>33.373937937909417</v>
      </c>
      <c r="BR70" s="691">
        <f>IF(AND(BJ70="",BN70=""),"",IF(BJ70="",0,(BJ70*VLOOKUP($B70,'A1.3.9'!$B$26:$O$57,9,TRUE))) + IF(BN70="",0,(BN70*VLOOKUP($B70,'A1.3.9'!$B$26:$O$57,10,TRUE))))</f>
        <v>-0.36274495943911</v>
      </c>
      <c r="BS70" s="2644">
        <f>IF(AND(BK70="",BO70=""),"",IF(BK70="",0,(BK70*VLOOKUP($B70,'A1.3.9'!$B$26:$O$57,9,TRUE))) + IF(BO70="",0,(BO70*VLOOKUP($B70,'A1.3.9'!$B$26:$O$57,10,TRUE))))</f>
        <v>2.6608825496122206E-3</v>
      </c>
    </row>
    <row r="71" spans="1:71" s="26" customFormat="1" ht="13.5" customHeight="1">
      <c r="A71" s="113"/>
      <c r="B71" s="614">
        <f t="shared" si="0"/>
        <v>2054</v>
      </c>
      <c r="C71" s="147"/>
      <c r="D71" s="693">
        <f>IF('A1.3.8'!D$27="","",IF(OR(VLOOKUP($B71,'A1.3.11'!$B$26:$AM$105,D$22,)="",VLOOKUP($B71,'A1.3.7'!$B$28:$H$118,3,)=""),"",VLOOKUP($B71,'A1.3.11'!$B$26:$AM$105,D$22,)*(VLOOKUP($B71,'A1.3.7'!$B$28:$O$118,3,)+VLOOKUP($B71,'A1.3.7'!$B$28:$O$118,8,))))</f>
        <v>35.627793232971037</v>
      </c>
      <c r="E71" s="691">
        <f>IF('A1.3.8'!E$27="","",IF(OR(VLOOKUP($B71,'A1.3.11'!$B$26:$AM$105,E$22,)="",VLOOKUP($B71,'A1.3.7'!$B$28:$H$118,3,)=""),"",VLOOKUP($B71,'A1.3.11'!$B$26:$AM$105,E$22,)*(VLOOKUP($B71,'A1.3.7'!$B$28:$O$118,3,)+VLOOKUP($B71,'A1.3.7'!$B$28:$O$118,8,))))</f>
        <v>7.5714839771700708</v>
      </c>
      <c r="F71" s="691">
        <f>IF('A1.3.8'!F$27="","",IF(OR(VLOOKUP($B71,'A1.3.11'!$B$26:$AM$105,F$22,)="",VLOOKUP($B71,'A1.3.7'!$B$28:$H$118,3,)=""),"",VLOOKUP($B71,'A1.3.11'!$B$26:$AM$105,F$22,)*(VLOOKUP($B71,'A1.3.7'!$B$28:$O$118,3,)+VLOOKUP($B71,'A1.3.7'!$B$28:$O$118,8,))))</f>
        <v>-8.6248181414488964E-2</v>
      </c>
      <c r="G71" s="2644">
        <f>IF('A1.3.8'!G$27="","",IF(OR(VLOOKUP($B71,'A1.3.11'!$B$26:$AM$105,G$22,)="",VLOOKUP($B71,'A1.3.7'!$B$28:$H$118,3,)=""),"",VLOOKUP($B71,'A1.3.11'!$B$26:$AM$105,G$22,)*(VLOOKUP($B71,'A1.3.7'!$B$28:$O$118,3,)+VLOOKUP($B71,'A1.3.7'!$B$28:$O$118,8,))))</f>
        <v>5.712147658625212E-4</v>
      </c>
      <c r="H71" s="693">
        <f>IF('A1.3.8'!D$28="","",IF(OR(VLOOKUP($B71,'A1.3.11'!$B$26:$AM$105,H$22,)="",VLOOKUP($B71,'A1.3.7'!$B$28:$H$118,4,)=""),"",VLOOKUP($B71,'A1.3.11'!$B$26:$AM$105,H$22,)*(VLOOKUP($B71,'A1.3.7'!$B$28:$O$118,4,)+VLOOKUP($B71,'A1.3.7'!$B$28:$O$118,9,))))</f>
        <v>43.953406707627089</v>
      </c>
      <c r="I71" s="691">
        <f>IF('A1.3.8'!E$28="","",IF(OR(VLOOKUP($B71,'A1.3.11'!$B$26:$AM$105,I$22,)="",VLOOKUP($B71,'A1.3.7'!$B$28:$H$118,4,)=""),"",VLOOKUP($B71,'A1.3.11'!$B$26:$AM$105,I$22,)*(VLOOKUP($B71,'A1.3.7'!$B$28:$O$118,4,)+VLOOKUP($B71,'A1.3.7'!$B$28:$O$118,9,))))</f>
        <v>6.3018315553616429</v>
      </c>
      <c r="J71" s="691">
        <f>IF('A1.3.8'!F$28="","",IF(OR(VLOOKUP($B71,'A1.3.11'!$B$26:$AM$105,J$22,)="",VLOOKUP($B71,'A1.3.7'!$B$28:$H$118,4,)=""),"",VLOOKUP($B71,'A1.3.11'!$B$26:$AM$105,J$22,)*(VLOOKUP($B71,'A1.3.7'!$B$28:$O$118,4,)+VLOOKUP($B71,'A1.3.7'!$B$28:$O$118,9,))))</f>
        <v>-6.0625375131058853E-2</v>
      </c>
      <c r="K71" s="2644">
        <f>IF('A1.3.8'!G$28="","",IF(OR(VLOOKUP($B71,'A1.3.11'!$B$26:$AM$105,K$22,)="",VLOOKUP($B71,'A1.3.7'!$B$28:$H$118,4,)=""),"",VLOOKUP($B71,'A1.3.11'!$B$26:$AM$105,K$22,)*(VLOOKUP($B71,'A1.3.7'!$B$28:$O$118,4,)+VLOOKUP($B71,'A1.3.7'!$B$28:$O$118,9,))))</f>
        <v>4.7773099765320093E-4</v>
      </c>
      <c r="L71" s="693" t="str">
        <f>IF('A1.3.8'!D$36="","",IF(OR(VLOOKUP($B71,'A1.3.11'!$B$26:$AM$105,L$22,)="",VLOOKUP($B71,'A1.3.7'!$B$28:$H$118,6,)=""),"",VLOOKUP($B71,'A1.3.11'!$B$26:$AM$105,L$22,)*VLOOKUP($B71,'A1.3.7'!$B$28:$O$118,6,)))</f>
        <v/>
      </c>
      <c r="M71" s="691">
        <f>IF('A1.3.8'!E$36="","",IF(OR(VLOOKUP($B71,'A1.3.11'!$B$26:$AM$105,M$22,)="",VLOOKUP($B71,'A1.3.7'!$B$28:$H$118,6,)=""),"",VLOOKUP($B71,'A1.3.11'!$B$26:$AM$105,M$22,)*VLOOKUP($B71,'A1.3.7'!$B$28:$O$118,6,)))</f>
        <v>1.9637608285706969</v>
      </c>
      <c r="N71" s="691" t="str">
        <f>IF('A1.3.8'!F$36="","",IF(OR(VLOOKUP($B71,'A1.3.11'!$B$26:$AM$105,N$22,)="",VLOOKUP($B71,'A1.3.7'!$B$28:$H$118,6,)=""),"",VLOOKUP($B71,'A1.3.11'!$B$26:$AM$105,N$22,)*VLOOKUP($B71,'A1.3.7'!$B$28:$O$118,6,)))</f>
        <v/>
      </c>
      <c r="O71" s="1664" t="str">
        <f>IF('A1.3.8'!G$36="","",IF(OR(VLOOKUP($B71,'A1.3.11'!$B$26:$AM$105,O$22,)="",VLOOKUP($B71,'A1.3.7'!$B$28:$H$118,6,)=""),"",VLOOKUP($B71,'A1.3.11'!$B$26:$AM$105,O$22,)*VLOOKUP($B71,'A1.3.7'!$B$28:$O$118,6,)))</f>
        <v/>
      </c>
      <c r="P71" s="693">
        <f>IF(AND(D71="",H71="",L71=""),"",IF(D71="",0,(D71*VLOOKUP($B71,'A1.3.9'!$B$26:$O$57,3,TRUE)))+IF(H71="",0,(H71*VLOOKUP($B71,'A1.3.9'!$B$26:$O$57,4,TRUE)))+IF(L71="",0,(L71*VLOOKUP($B71,'A1.3.9'!$B$26:$O$57,5,TRUE))))</f>
        <v>29.559402412224316</v>
      </c>
      <c r="Q71" s="691">
        <f>IF(AND(E71="",I71="",M71=""),"",IF(E71="",0,(E71*VLOOKUP($B71,'A1.3.9'!$B$26:$O$57,3,TRUE)))+IF(I71="",0,(I71*VLOOKUP($B71,'A1.3.9'!$B$26:$O$57,4,TRUE)))+IF(M71="",0,(M71*VLOOKUP($B71,'A1.3.9'!$B$26:$O$57,5,TRUE))))</f>
        <v>5.8201942526483315</v>
      </c>
      <c r="R71" s="691">
        <f>IF(AND(F71="",J71="",N71=""),"",IF(F71="",0,(F71*VLOOKUP($B71,'A1.3.9'!$B$26:$O$57,3,TRUE)))+IF(J71="",0,(J71*VLOOKUP($B71,'A1.3.9'!$B$26:$O$57,4,TRUE)))+IF(N71="",0,(N71*VLOOKUP($B71,'A1.3.9'!$B$26:$O$57,5,TRUE))))</f>
        <v>-5.7432091048425921E-2</v>
      </c>
      <c r="S71" s="2644">
        <f>IF(AND(G71="",K71="",O71=""),"",IF(G71="",0,(G71*VLOOKUP($B71,'A1.3.9'!$B$26:$O$57,3,TRUE)))+IF(K71="",0,(K71*VLOOKUP($B71,'A1.3.9'!$B$26:$O$57,4,TRUE)))+IF(O71="",0,(O71*VLOOKUP($B71,'A1.3.9'!$B$26:$O$57,5,TRUE))))</f>
        <v>4.038856100713657E-4</v>
      </c>
      <c r="T71" s="693">
        <f>IF('A1.3.8'!D$29="","",IF(OR(VLOOKUP($B71,'A1.3.11'!$B$26:$AM$105,T$22,)="",VLOOKUP($B71,'A1.3.7'!$B$28:$H$118,3,)=""),"",VLOOKUP($B71,'A1.3.11'!$B$26:$AM$105,T$22,)*(VLOOKUP($B71,'A1.3.7'!$B$28:$O$118,3,)+VLOOKUP($B71,'A1.3.7'!$B$28:$O$118,8,))))</f>
        <v>25.628249869403767</v>
      </c>
      <c r="U71" s="691">
        <f>IF('A1.3.8'!E$29="","",IF(OR(VLOOKUP($B71,'A1.3.11'!$B$26:$AM$105,U$22,)="",VLOOKUP($B71,'A1.3.7'!$B$28:$H$118,3,)=""),"",VLOOKUP($B71,'A1.3.11'!$B$26:$AM$105,U$22,)*(VLOOKUP($B71,'A1.3.7'!$B$28:$O$118,3,)+VLOOKUP($B71,'A1.3.7'!$B$28:$O$118,8,))))</f>
        <v>14.370838999290928</v>
      </c>
      <c r="V71" s="691">
        <f>IF('A1.3.8'!F$29="","",IF(OR(VLOOKUP($B71,'A1.3.11'!$B$26:$AM$105,V$22,)="",VLOOKUP($B71,'A1.3.7'!$B$28:$H$118,3,)=""),"",VLOOKUP($B71,'A1.3.11'!$B$26:$AM$105,V$22,)*(VLOOKUP($B71,'A1.3.7'!$B$28:$O$118,3,)+VLOOKUP($B71,'A1.3.7'!$B$28:$O$118,8,))))</f>
        <v>-0.22557500152505519</v>
      </c>
      <c r="W71" s="2644">
        <f>IF('A1.3.8'!G$29="","",IF(OR(VLOOKUP($B71,'A1.3.11'!$B$26:$AM$105,W$22,)="",VLOOKUP($B71,'A1.3.7'!$B$28:$H$118,3,)=""),"",VLOOKUP($B71,'A1.3.11'!$B$26:$AM$105,W$22,)*(VLOOKUP($B71,'A1.3.7'!$B$28:$O$118,3,)+VLOOKUP($B71,'A1.3.7'!$B$28:$O$118,8,))))</f>
        <v>1.4567717901147095E-3</v>
      </c>
      <c r="X71" s="693">
        <f>IF('A1.3.8'!D$30="","",IF(OR(VLOOKUP($B71,'A1.3.11'!$B$26:$AM$105,X$22,)="",VLOOKUP($B71,'A1.3.7'!$B$28:$H$118,4,)=""),"",VLOOKUP($B71,'A1.3.11'!$B$26:$AM$105,X$22,)*(VLOOKUP($B71,'A1.3.7'!$B$28:$O$118,4,)+VLOOKUP($B71,'A1.3.7'!$B$28:$O$118,9,))))</f>
        <v>45.267744662168298</v>
      </c>
      <c r="Y71" s="691">
        <f>IF('A1.3.8'!E$30="","",IF(OR(VLOOKUP($B71,'A1.3.11'!$B$26:$AM$105,Y$22,)="",VLOOKUP($B71,'A1.3.7'!$B$28:$H$118,4,)=""),"",VLOOKUP($B71,'A1.3.11'!$B$26:$AM$105,Y$22,)*(VLOOKUP($B71,'A1.3.7'!$B$28:$O$118,4,)+VLOOKUP($B71,'A1.3.7'!$B$28:$O$118,9,))))</f>
        <v>11.063621276509966</v>
      </c>
      <c r="Z71" s="691">
        <f>IF('A1.3.8'!F$30="","",IF(OR(VLOOKUP($B71,'A1.3.11'!$B$26:$AM$105,Z$22,)="",VLOOKUP($B71,'A1.3.7'!$B$28:$H$118,4,)=""),"",VLOOKUP($B71,'A1.3.11'!$B$26:$AM$105,Z$22,)*(VLOOKUP($B71,'A1.3.7'!$B$28:$O$118,4,)+VLOOKUP($B71,'A1.3.7'!$B$28:$O$118,9,))))</f>
        <v>-0.15961284441458481</v>
      </c>
      <c r="AA71" s="2644">
        <f>IF('A1.3.8'!G$30="","",IF(OR(VLOOKUP($B71,'A1.3.11'!$B$26:$AM$105,AA$22,)="",VLOOKUP($B71,'A1.3.7'!$B$28:$H$118,4,)=""),"",VLOOKUP($B71,'A1.3.11'!$B$26:$AM$105,AA$22,)*(VLOOKUP($B71,'A1.3.7'!$B$28:$O$118,4,)+VLOOKUP($B71,'A1.3.7'!$B$28:$O$118,9,))))</f>
        <v>1.3512879060581916E-3</v>
      </c>
      <c r="AB71" s="693" t="str">
        <f>IF('A1.3.8'!D$37="","",IF(OR(VLOOKUP($B71,'A1.3.11'!$B$26:$AM$105,AB$22,)="",VLOOKUP($B71,'A1.3.7'!$B$28:$H$118,6,)=""),"",VLOOKUP($B71,'A1.3.11'!$B$26:$AM$105,AB$22,)*VLOOKUP($B71,'A1.3.7'!$B$28:$O$118,6,)))</f>
        <v/>
      </c>
      <c r="AC71" s="691">
        <f>IF('A1.3.8'!E$37="","",IF(OR(VLOOKUP($B71,'A1.3.11'!$B$26:$AM$105,AC$22,)="",VLOOKUP($B71,'A1.3.7'!$B$28:$H$118,6,)=""),"",VLOOKUP($B71,'A1.3.11'!$B$26:$AM$105,AC$22,)*VLOOKUP($B71,'A1.3.7'!$B$28:$O$118,6,)))</f>
        <v>4.5145632825273854</v>
      </c>
      <c r="AD71" s="691" t="str">
        <f>IF('A1.3.8'!F$37="","",IF(OR(VLOOKUP($B71,'A1.3.11'!$B$26:$AM$105,AD$22,)="",VLOOKUP($B71,'A1.3.7'!$B$28:$H$118,6,)=""),"",VLOOKUP($B71,'A1.3.11'!$B$26:$AM$105,AD$22,)*VLOOKUP($B71,'A1.3.7'!$B$28:$O$118,6,)))</f>
        <v/>
      </c>
      <c r="AE71" s="1664" t="str">
        <f>IF('A1.3.8'!G$37="","",IF(OR(VLOOKUP($B71,'A1.3.11'!$B$26:$AM$105,AE$22,)="",VLOOKUP($B71,'A1.3.7'!$B$28:$H$118,6,)=""),"",VLOOKUP($B71,'A1.3.11'!$B$26:$AM$105,AE$22,)*VLOOKUP($B71,'A1.3.7'!$B$28:$O$118,6,)))</f>
        <v/>
      </c>
      <c r="AF71" s="693">
        <f>IF(AND(T71="",X71="",AB71=""),"",IF(T71="",0,(T71*VLOOKUP('A1.3.12'!$B71,'A1.3.9'!$B$26:$O$57,6,TRUE))) + IF(X71="",0,(X71*VLOOKUP('A1.3.12'!$B71,'A1.3.9'!$B$26:$O$57,7,TRUE))) + IF(AB71="",0,(AB71*VLOOKUP('A1.3.12'!$B71,'A1.3.9'!$B$26:$O$57,8,TRUE))))</f>
        <v>40.165597287492623</v>
      </c>
      <c r="AG71" s="691">
        <f>IF(AND(U71="",Y71="",AC71=""),"",IF(U71="",0,(U71*VLOOKUP('A1.3.12'!$B71,'A1.3.9'!$B$26:$O$57,6,TRUE))) + IF(Y71="",0,(Y71*VLOOKUP('A1.3.12'!$B71,'A1.3.9'!$B$26:$O$57,7,TRUE))) + IF(AC71="",0,(AC71*VLOOKUP('A1.3.12'!$B71,'A1.3.9'!$B$26:$O$57,8,TRUE))))</f>
        <v>10.372088404961364</v>
      </c>
      <c r="AH71" s="691">
        <f>IF(AND(V71="",Z71="",AD71=""),"",IF(V71="",0,(V71*VLOOKUP('A1.3.12'!$B71,'A1.3.9'!$B$26:$O$57,6,TRUE))) + IF(Z71="",0,(Z71*VLOOKUP('A1.3.12'!$B71,'A1.3.9'!$B$26:$O$57,7,TRUE))) + IF(AD71="",0,(AD71*VLOOKUP('A1.3.12'!$B71,'A1.3.9'!$B$26:$O$57,8,TRUE))))</f>
        <v>-0.1426478910022721</v>
      </c>
      <c r="AI71" s="2644">
        <f>IF(AND(W71="",AA71="",AE71=""),"",IF(W71="",0,(W71*VLOOKUP('A1.3.12'!$B71,'A1.3.9'!$B$26:$O$57,6,TRUE))) + IF(AA71="",0,(AA71*VLOOKUP('A1.3.12'!$B71,'A1.3.9'!$B$26:$O$57,7,TRUE))) + IF(AE71="",0,(AE71*VLOOKUP('A1.3.12'!$B71,'A1.3.9'!$B$26:$O$57,8,TRUE))))</f>
        <v>1.2042280079972375E-3</v>
      </c>
      <c r="AJ71" s="693">
        <f>IF('A1.3.8'!D$31="","",IF(OR(VLOOKUP($B71,'A1.3.11'!$B$26:$AM$105,AJ$22,)="",VLOOKUP($B71,'A1.3.7'!$B$28:$H$118,4,)=""),"",VLOOKUP($B71,'A1.3.11'!$B$26:$AM$105,AJ$22,)*(VLOOKUP($B71,'A1.3.7'!$B$28:$O$118,4,)+VLOOKUP($B71,'A1.3.7'!$B$28:$O$118,9,))))</f>
        <v>306.00826962057704</v>
      </c>
      <c r="AK71" s="691">
        <f>IF('A1.3.8'!E$31="","",IF(OR(VLOOKUP($B71,'A1.3.11'!$B$26:$AM$105,AK$22,)="",VLOOKUP($B71,'A1.3.7'!$B$28:$H$118,4,)=""),"",VLOOKUP($B71,'A1.3.11'!$B$26:$AM$105,AK$22,)*(VLOOKUP($B71,'A1.3.7'!$B$28:$O$118,4,)+VLOOKUP($B71,'A1.3.7'!$B$28:$O$118,9,))))</f>
        <v>16.235943578848133</v>
      </c>
      <c r="AL71" s="691">
        <f>IF('A1.3.8'!F$31="","",IF(OR(VLOOKUP($B71,'A1.3.11'!$B$26:$AM$105,AL$22,)="",VLOOKUP($B71,'A1.3.7'!$B$28:$H$118,4,)=""),"",VLOOKUP($B71,'A1.3.11'!$B$26:$AM$105,AL$22,)*(VLOOKUP($B71,'A1.3.7'!$B$28:$O$118,4,)+VLOOKUP($B71,'A1.3.7'!$B$28:$O$118,9,))))</f>
        <v>-0.1173535032740637</v>
      </c>
      <c r="AM71" s="2644">
        <f>IF('A1.3.8'!G$31="","",IF(OR(VLOOKUP($B71,'A1.3.11'!$B$26:$AM$105,AM$22,)="",VLOOKUP($B71,'A1.3.7'!$B$28:$H$118,4,)=""),"",VLOOKUP($B71,'A1.3.11'!$B$26:$AM$105,AM$22,)*(VLOOKUP($B71,'A1.3.7'!$B$28:$O$118,4,)+VLOOKUP($B71,'A1.3.7'!$B$28:$O$118,9,))))</f>
        <v>1.2816885498631433E-3</v>
      </c>
      <c r="AN71" s="693" t="str">
        <f>IF('A1.3.8'!D$38="","",IF(OR(VLOOKUP($B71,'A1.3.11'!$B$26:$AM$105,AN$22,)="",VLOOKUP($B71,'A1.3.7'!$B$28:$H$118,6,)=""),"",VLOOKUP($B71,'A1.3.11'!$B$26:$AM$105,AN$22,)*VLOOKUP($B71,'A1.3.7'!$B$28:$O$118,6,)))</f>
        <v/>
      </c>
      <c r="AO71" s="691" t="str">
        <f>IF('A1.3.8'!E$38="","",IF(OR(VLOOKUP($B71,'A1.3.11'!$B$26:$AM$105,AO$22,)="",VLOOKUP($B71,'A1.3.7'!$B$28:$H$118,6,)=""),"",VLOOKUP($B71,'A1.3.11'!$B$26:$AM$105,AO$22,)*VLOOKUP($B71,'A1.3.7'!$B$28:$O$118,6,)))</f>
        <v/>
      </c>
      <c r="AP71" s="691" t="str">
        <f>IF('A1.3.8'!F$38="","",IF(OR(VLOOKUP($B71,'A1.3.11'!$B$26:$AM$105,AP$22,)="",VLOOKUP($B71,'A1.3.7'!$B$28:$H$118,6,)=""),"",VLOOKUP($B71,'A1.3.11'!$B$26:$AM$105,AP$22,)*VLOOKUP($B71,'A1.3.7'!$B$28:$O$118,6,)))</f>
        <v/>
      </c>
      <c r="AQ71" s="1664" t="str">
        <f>IF('A1.3.8'!G$38="","",IF(OR(VLOOKUP($B71,'A1.3.11'!$B$26:$AM$105,AQ$22,)="",VLOOKUP($B71,'A1.3.7'!$B$28:$H$118,6,)=""),"",VLOOKUP($B71,'A1.3.11'!$B$26:$AM$105,AQ$22,)*VLOOKUP($B71,'A1.3.7'!$B$28:$O$118,6,)))</f>
        <v/>
      </c>
      <c r="AR71" s="693">
        <f>IF(AND(AJ71="",AN71=""),"",IF(AJ71="",0,(AJ71*VLOOKUP($B71,'A1.3.9'!$B$26:$O$57,9,TRUE))) + IF(AN71="",0,(AN71*VLOOKUP($B71,'A1.3.9'!$B$26:$O$57,10,TRUE))))</f>
        <v>306.00826962057704</v>
      </c>
      <c r="AS71" s="691">
        <f>IF(AND(AK71="",AO71=""),"",IF(AK71="",0,(AK71*VLOOKUP($B71,'A1.3.9'!$B$26:$O$57,9,TRUE))) + IF(AO71="",0,(AO71*VLOOKUP($B71,'A1.3.9'!$B$26:$O$57,10,TRUE))))</f>
        <v>16.235943578848133</v>
      </c>
      <c r="AT71" s="691">
        <f>IF(AND(AL71="",AP71=""),"",IF(AL71="",0,(AL71*VLOOKUP($B71,'A1.3.9'!$B$26:$O$57,9,TRUE))) + IF(AP71="",0,(AP71*VLOOKUP($B71,'A1.3.9'!$B$26:$O$57,10,TRUE))))</f>
        <v>-0.1173535032740637</v>
      </c>
      <c r="AU71" s="2644">
        <f>IF(AND(AM71="",AQ71=""),"",IF(AM71="",0,(AM71*VLOOKUP($B71,'A1.3.9'!$B$26:$O$57,9,TRUE))) + IF(AQ71="",0,(AQ71*VLOOKUP($B71,'A1.3.9'!$B$26:$O$57,10,TRUE))))</f>
        <v>1.2816885498631433E-3</v>
      </c>
      <c r="AV71" s="693">
        <f>IF('A1.3.8'!D$32="","",IF(OR(VLOOKUP($B71,'A1.3.11'!$B$26:$AM$105,AV$22,)="",VLOOKUP($B71,'A1.3.7'!$B$28:$H$118,4,)=""),"",VLOOKUP($B71,'A1.3.11'!$B$26:$AM$105,AV$22,)*(VLOOKUP($B71,'A1.3.7'!$B$28:$O$118,4,)+VLOOKUP($B71,'A1.3.7'!$B$28:$O$118,9,))))</f>
        <v>643.00311310986069</v>
      </c>
      <c r="AW71" s="691">
        <f>IF('A1.3.8'!E$32="","",IF(OR(VLOOKUP($B71,'A1.3.11'!$B$26:$AM$105,AW$22,)="",VLOOKUP($B71,'A1.3.7'!$B$28:$H$118,4,)=""),"",VLOOKUP($B71,'A1.3.11'!$B$26:$AM$105,AW$22,)*(VLOOKUP($B71,'A1.3.7'!$B$28:$O$118,4,)+VLOOKUP($B71,'A1.3.7'!$B$28:$O$118,9,))))</f>
        <v>33.392291002067665</v>
      </c>
      <c r="AX71" s="691">
        <f>IF('A1.3.8'!F$32="","",IF(OR(VLOOKUP($B71,'A1.3.11'!$B$26:$AM$105,AX$22,)="",VLOOKUP($B71,'A1.3.7'!$B$28:$H$118,4,)=""),"",VLOOKUP($B71,'A1.3.11'!$B$26:$AM$105,AX$22,)*(VLOOKUP($B71,'A1.3.7'!$B$28:$O$118,4,)+VLOOKUP($B71,'A1.3.7'!$B$28:$O$118,9,))))</f>
        <v>-0.22124149434732779</v>
      </c>
      <c r="AY71" s="2644">
        <f>IF('A1.3.8'!G$32="","",IF(OR(VLOOKUP($B71,'A1.3.11'!$B$26:$AM$105,AY$22,)="",VLOOKUP($B71,'A1.3.7'!$B$28:$H$118,4,)=""),"",VLOOKUP($B71,'A1.3.11'!$B$26:$AM$105,AY$22,)*(VLOOKUP($B71,'A1.3.7'!$B$28:$O$118,4,)+VLOOKUP($B71,'A1.3.7'!$B$28:$O$118,9,))))</f>
        <v>1.3186913056611707E-3</v>
      </c>
      <c r="AZ71" s="693" t="str">
        <f>IF('A1.3.8'!D$39="","",IF(OR(VLOOKUP($B71,'A1.3.11'!$B$26:$AM$105,AZ$22,)="",VLOOKUP($B71,'A1.3.7'!$B$28:$H$118,6,)=""),"",VLOOKUP($B71,'A1.3.11'!$B$26:$AM$105,AZ$22,)*VLOOKUP($B71,'A1.3.7'!$B$28:$O$118,6,)))</f>
        <v/>
      </c>
      <c r="BA71" s="691" t="str">
        <f>IF('A1.3.8'!E$39="","",IF(OR(VLOOKUP($B71,'A1.3.11'!$B$26:$AM$105,BA$22,)="",VLOOKUP($B71,'A1.3.7'!$B$28:$H$118,6,)=""),"",VLOOKUP($B71,'A1.3.11'!$B$26:$AM$105,BA$22,)*VLOOKUP($B71,'A1.3.7'!$B$28:$O$118,6,)))</f>
        <v/>
      </c>
      <c r="BB71" s="691" t="str">
        <f>IF('A1.3.8'!F$39="","",IF(OR(VLOOKUP($B71,'A1.3.11'!$B$26:$AM$105,BB$22,)="",VLOOKUP($B71,'A1.3.7'!$B$28:$H$118,6,)=""),"",VLOOKUP($B71,'A1.3.11'!$B$26:$AM$105,BB$22,)*VLOOKUP($B71,'A1.3.7'!$B$28:$O$118,6,)))</f>
        <v/>
      </c>
      <c r="BC71" s="1664" t="str">
        <f>IF('A1.3.8'!G$39="","",IF(OR(VLOOKUP($B71,'A1.3.11'!$B$26:$AM$105,BC$22,)="",VLOOKUP($B71,'A1.3.7'!$B$28:$H$118,6,)=""),"",VLOOKUP($B71,'A1.3.11'!$B$26:$AM$105,BC$22,)*VLOOKUP($B71,'A1.3.7'!$B$28:$O$118,6,)))</f>
        <v/>
      </c>
      <c r="BD71" s="693">
        <f>IF(AND(AV71="",AZ71=""),"",IF(AV71="",0,(AV71*VLOOKUP($B71,'A1.3.9'!$B$26:$O$57,9,TRUE))) + IF(AZ71="",0,(AZ71*VLOOKUP($B71,'A1.3.9'!$B$26:$O$57,10,TRUE))))</f>
        <v>643.00311310986069</v>
      </c>
      <c r="BE71" s="691">
        <f>IF(AND(AW71="",BA71=""),"",IF(AW71="",0,(AW71*VLOOKUP($B71,'A1.3.9'!$B$26:$O$57,9,TRUE))) + IF(BA71="",0,(BA71*VLOOKUP($B71,'A1.3.9'!$B$26:$O$57,10,TRUE))))</f>
        <v>33.392291002067665</v>
      </c>
      <c r="BF71" s="691">
        <f>IF(AND(AX71="",BB71=""),"",IF(AX71="",0,(AX71*VLOOKUP($B71,'A1.3.9'!$B$26:$O$57,9,TRUE))) + IF(BB71="",0,(BB71*VLOOKUP($B71,'A1.3.9'!$B$26:$O$57,10,TRUE))))</f>
        <v>-0.22124149434732779</v>
      </c>
      <c r="BG71" s="2644">
        <f>IF(AND(AY71="",BC71=""),"",IF(AY71="",0,(AY71*VLOOKUP($B71,'A1.3.9'!$B$26:$O$57,9,TRUE))) + IF(BC71="",0,(BC71*VLOOKUP($B71,'A1.3.9'!$B$26:$O$57,10,TRUE))))</f>
        <v>1.3186913056611707E-3</v>
      </c>
      <c r="BH71" s="693">
        <f>IF('A1.3.8'!D$33="","",IF(OR(VLOOKUP($B71,'A1.3.11'!$B$26:$AM$105,BH$22,)="",VLOOKUP($B71,'A1.3.7'!$B$28:$H$118,4,)=""),"",VLOOKUP($B71,'A1.3.11'!$B$26:$AM$105,BH$22,)*(VLOOKUP($B71,'A1.3.7'!$B$28:$O$118,4,)+VLOOKUP($B71,'A1.3.7'!$B$28:$O$118,9,))))</f>
        <v>381.35622323265397</v>
      </c>
      <c r="BI71" s="691">
        <f>IF('A1.3.8'!E$33="","",IF(OR(VLOOKUP($B71,'A1.3.11'!$B$26:$AM$105,BI$22,)="",VLOOKUP($B71,'A1.3.7'!$B$28:$H$118,4,)=""),"",VLOOKUP($B71,'A1.3.11'!$B$26:$AM$105,BI$22,)*(VLOOKUP($B71,'A1.3.7'!$B$28:$O$118,4,)+VLOOKUP($B71,'A1.3.7'!$B$28:$O$118,9,))))</f>
        <v>33.508608486554941</v>
      </c>
      <c r="BJ71" s="691">
        <f>IF('A1.3.8'!F$33="","",IF(OR(VLOOKUP($B71,'A1.3.11'!$B$26:$AM$105,BJ$22,)="",VLOOKUP($B71,'A1.3.7'!$B$28:$H$118,4,)=""),"",VLOOKUP($B71,'A1.3.11'!$B$26:$AM$105,BJ$22,)*(VLOOKUP($B71,'A1.3.7'!$B$28:$O$118,4,)+VLOOKUP($B71,'A1.3.7'!$B$28:$O$118,9,))))</f>
        <v>-0.36420870827201518</v>
      </c>
      <c r="BK71" s="2644">
        <f>IF('A1.3.8'!G$33="","",IF(OR(VLOOKUP($B71,'A1.3.11'!$B$26:$AM$105,BK$22,)="",VLOOKUP($B71,'A1.3.7'!$B$28:$H$118,4,)=""),"",VLOOKUP($B71,'A1.3.11'!$B$26:$AM$105,BK$22,)*(VLOOKUP($B71,'A1.3.7'!$B$28:$O$118,4,)+VLOOKUP($B71,'A1.3.7'!$B$28:$O$118,9,))))</f>
        <v>2.6716197456094167E-3</v>
      </c>
      <c r="BL71" s="693" t="str">
        <f>IF('A1.3.8'!D$40="","",IF(OR(VLOOKUP($B71,'A1.3.11'!$B$26:$AM$105,BL$22,)="",VLOOKUP($B71,'A1.3.7'!$B$28:$H$118,6,)=""),"",VLOOKUP($B71,'A1.3.11'!$B$26:$AM$105,BL$22,)*VLOOKUP($B71,'A1.3.7'!$B$28:$O$118,6,)))</f>
        <v/>
      </c>
      <c r="BM71" s="691" t="str">
        <f>IF('A1.3.8'!E$40="","",IF(OR(VLOOKUP($B71,'A1.3.11'!$B$26:$AM$105,BM$22,)="",VLOOKUP($B71,'A1.3.7'!$B$28:$H$118,6,)=""),"",VLOOKUP($B71,'A1.3.11'!$B$26:$AM$105,BM$22,)*VLOOKUP($B71,'A1.3.7'!$B$28:$O$118,6,)))</f>
        <v/>
      </c>
      <c r="BN71" s="691" t="str">
        <f>IF('A1.3.8'!F$40="","",IF(OR(VLOOKUP($B71,'A1.3.11'!$B$26:$AM$105,BN$22,)="",VLOOKUP($B71,'A1.3.7'!$B$28:$H$118,6,)=""),"",VLOOKUP($B71,'A1.3.11'!$B$26:$AM$105,BN$22,)*VLOOKUP($B71,'A1.3.7'!$B$28:$O$118,6,)))</f>
        <v/>
      </c>
      <c r="BO71" s="1664" t="str">
        <f>IF('A1.3.8'!G$40="","",IF(OR(VLOOKUP($B71,'A1.3.11'!$B$26:$AM$105,BO$22,)="",VLOOKUP($B71,'A1.3.7'!$B$28:$H$118,6,)=""),"",VLOOKUP($B71,'A1.3.11'!$B$26:$AM$105,BO$22,)*VLOOKUP($B71,'A1.3.7'!$B$28:$O$118,6,)))</f>
        <v/>
      </c>
      <c r="BP71" s="693">
        <f>IF(AND(BH71="",BL71=""),"",IF(BH71="",0,(BH71*VLOOKUP($B71,'A1.3.9'!$B$26:$O$57,9,TRUE))) + IF(BL71="",0,(BL71*VLOOKUP($B71,'A1.3.9'!$B$26:$O$57,10,TRUE))))</f>
        <v>381.35622323265397</v>
      </c>
      <c r="BQ71" s="691">
        <f>IF(AND(BI71="",BM71=""),"",IF(BI71="",0,(BI71*VLOOKUP($B71,'A1.3.9'!$B$26:$O$57,9,TRUE))) + IF(BM71="",0,(BM71*VLOOKUP($B71,'A1.3.9'!$B$26:$O$57,10,TRUE))))</f>
        <v>33.508608486554941</v>
      </c>
      <c r="BR71" s="691">
        <f>IF(AND(BJ71="",BN71=""),"",IF(BJ71="",0,(BJ71*VLOOKUP($B71,'A1.3.9'!$B$26:$O$57,9,TRUE))) + IF(BN71="",0,(BN71*VLOOKUP($B71,'A1.3.9'!$B$26:$O$57,10,TRUE))))</f>
        <v>-0.36420870827201518</v>
      </c>
      <c r="BS71" s="2644">
        <f>IF(AND(BK71="",BO71=""),"",IF(BK71="",0,(BK71*VLOOKUP($B71,'A1.3.9'!$B$26:$O$57,9,TRUE))) + IF(BO71="",0,(BO71*VLOOKUP($B71,'A1.3.9'!$B$26:$O$57,10,TRUE))))</f>
        <v>2.6716197456094167E-3</v>
      </c>
    </row>
    <row r="72" spans="1:71" s="26" customFormat="1" ht="13.5" customHeight="1">
      <c r="A72" s="113"/>
      <c r="B72" s="614">
        <f t="shared" si="0"/>
        <v>2055</v>
      </c>
      <c r="C72" s="147"/>
      <c r="D72" s="693">
        <f>IF('A1.3.8'!D$27="","",IF(OR(VLOOKUP($B72,'A1.3.11'!$B$26:$AM$105,D$22,)="",VLOOKUP($B72,'A1.3.7'!$B$28:$H$118,3,)=""),"",VLOOKUP($B72,'A1.3.11'!$B$26:$AM$105,D$22,)*(VLOOKUP($B72,'A1.3.7'!$B$28:$O$118,3,)+VLOOKUP($B72,'A1.3.7'!$B$28:$O$118,8,))))</f>
        <v>35.777174378676811</v>
      </c>
      <c r="E72" s="691">
        <f>IF('A1.3.8'!E$27="","",IF(OR(VLOOKUP($B72,'A1.3.11'!$B$26:$AM$105,E$22,)="",VLOOKUP($B72,'A1.3.7'!$B$28:$H$118,3,)=""),"",VLOOKUP($B72,'A1.3.11'!$B$26:$AM$105,E$22,)*(VLOOKUP($B72,'A1.3.7'!$B$28:$O$118,3,)+VLOOKUP($B72,'A1.3.7'!$B$28:$O$118,8,))))</f>
        <v>7.6032298937304015</v>
      </c>
      <c r="F72" s="691">
        <f>IF('A1.3.8'!F$27="","",IF(OR(VLOOKUP($B72,'A1.3.11'!$B$26:$AM$105,F$22,)="",VLOOKUP($B72,'A1.3.7'!$B$28:$H$118,3,)=""),"",VLOOKUP($B72,'A1.3.11'!$B$26:$AM$105,F$22,)*(VLOOKUP($B72,'A1.3.7'!$B$28:$O$118,3,)+VLOOKUP($B72,'A1.3.7'!$B$28:$O$118,8,))))</f>
        <v>-8.6609805051139382E-2</v>
      </c>
      <c r="G72" s="2644">
        <f>IF('A1.3.8'!G$27="","",IF(OR(VLOOKUP($B72,'A1.3.11'!$B$26:$AM$105,G$22,)="",VLOOKUP($B72,'A1.3.7'!$B$28:$H$118,3,)=""),"",VLOOKUP($B72,'A1.3.11'!$B$26:$AM$105,G$22,)*(VLOOKUP($B72,'A1.3.7'!$B$28:$O$118,3,)+VLOOKUP($B72,'A1.3.7'!$B$28:$O$118,8,))))</f>
        <v>5.7360977011132875E-4</v>
      </c>
      <c r="H72" s="693">
        <f>IF('A1.3.8'!D$28="","",IF(OR(VLOOKUP($B72,'A1.3.11'!$B$26:$AM$105,H$22,)="",VLOOKUP($B72,'A1.3.7'!$B$28:$H$118,4,)=""),"",VLOOKUP($B72,'A1.3.11'!$B$26:$AM$105,H$22,)*(VLOOKUP($B72,'A1.3.7'!$B$28:$O$118,4,)+VLOOKUP($B72,'A1.3.7'!$B$28:$O$118,9,))))</f>
        <v>44.131263464480888</v>
      </c>
      <c r="I72" s="691">
        <f>IF('A1.3.8'!E$28="","",IF(OR(VLOOKUP($B72,'A1.3.11'!$B$26:$AM$105,I$22,)="",VLOOKUP($B72,'A1.3.7'!$B$28:$H$118,4,)=""),"",VLOOKUP($B72,'A1.3.11'!$B$26:$AM$105,I$22,)*(VLOOKUP($B72,'A1.3.7'!$B$28:$O$118,4,)+VLOOKUP($B72,'A1.3.7'!$B$28:$O$118,9,))))</f>
        <v>6.3273318159018812</v>
      </c>
      <c r="J72" s="691">
        <f>IF('A1.3.8'!F$28="","",IF(OR(VLOOKUP($B72,'A1.3.11'!$B$26:$AM$105,J$22,)="",VLOOKUP($B72,'A1.3.7'!$B$28:$H$118,4,)=""),"",VLOOKUP($B72,'A1.3.11'!$B$26:$AM$105,J$22,)*(VLOOKUP($B72,'A1.3.7'!$B$28:$O$118,4,)+VLOOKUP($B72,'A1.3.7'!$B$28:$O$118,9,))))</f>
        <v>-6.0870694741335704E-2</v>
      </c>
      <c r="K72" s="2644">
        <f>IF('A1.3.8'!G$28="","",IF(OR(VLOOKUP($B72,'A1.3.11'!$B$26:$AM$105,K$22,)="",VLOOKUP($B72,'A1.3.7'!$B$28:$H$118,4,)=""),"",VLOOKUP($B72,'A1.3.11'!$B$26:$AM$105,K$22,)*(VLOOKUP($B72,'A1.3.7'!$B$28:$O$118,4,)+VLOOKUP($B72,'A1.3.7'!$B$28:$O$118,9,))))</f>
        <v>4.796641284900511E-4</v>
      </c>
      <c r="L72" s="693" t="str">
        <f>IF('A1.3.8'!D$36="","",IF(OR(VLOOKUP($B72,'A1.3.11'!$B$26:$AM$105,L$22,)="",VLOOKUP($B72,'A1.3.7'!$B$28:$H$118,6,)=""),"",VLOOKUP($B72,'A1.3.11'!$B$26:$AM$105,L$22,)*VLOOKUP($B72,'A1.3.7'!$B$28:$O$118,6,)))</f>
        <v/>
      </c>
      <c r="M72" s="691">
        <f>IF('A1.3.8'!E$36="","",IF(OR(VLOOKUP($B72,'A1.3.11'!$B$26:$AM$105,M$22,)="",VLOOKUP($B72,'A1.3.7'!$B$28:$H$118,6,)=""),"",VLOOKUP($B72,'A1.3.11'!$B$26:$AM$105,M$22,)*VLOOKUP($B72,'A1.3.7'!$B$28:$O$118,6,)))</f>
        <v>1.9637608285706969</v>
      </c>
      <c r="N72" s="691" t="str">
        <f>IF('A1.3.8'!F$36="","",IF(OR(VLOOKUP($B72,'A1.3.11'!$B$26:$AM$105,N$22,)="",VLOOKUP($B72,'A1.3.7'!$B$28:$H$118,6,)=""),"",VLOOKUP($B72,'A1.3.11'!$B$26:$AM$105,N$22,)*VLOOKUP($B72,'A1.3.7'!$B$28:$O$118,6,)))</f>
        <v/>
      </c>
      <c r="O72" s="1664" t="str">
        <f>IF('A1.3.8'!G$36="","",IF(OR(VLOOKUP($B72,'A1.3.11'!$B$26:$AM$105,O$22,)="",VLOOKUP($B72,'A1.3.7'!$B$28:$H$118,6,)=""),"",VLOOKUP($B72,'A1.3.11'!$B$26:$AM$105,O$22,)*VLOOKUP($B72,'A1.3.7'!$B$28:$O$118,6,)))</f>
        <v/>
      </c>
      <c r="P72" s="693">
        <f>IF(AND(D72="",H72="",L72=""),"",IF(D72="",0,(D72*VLOOKUP($B72,'A1.3.9'!$B$26:$O$57,3,TRUE)))+IF(H72="",0,(H72*VLOOKUP($B72,'A1.3.9'!$B$26:$O$57,4,TRUE)))+IF(L72="",0,(L72*VLOOKUP($B72,'A1.3.9'!$B$26:$O$57,5,TRUE))))</f>
        <v>29.681355042438035</v>
      </c>
      <c r="Q72" s="691">
        <f>IF(AND(E72="",I72="",M72=""),"",IF(E72="",0,(E72*VLOOKUP($B72,'A1.3.9'!$B$26:$O$57,3,TRUE)))+IF(I72="",0,(I72*VLOOKUP($B72,'A1.3.9'!$B$26:$O$57,4,TRUE)))+IF(M72="",0,(M72*VLOOKUP($B72,'A1.3.9'!$B$26:$O$57,5,TRUE))))</f>
        <v>5.8423166008017811</v>
      </c>
      <c r="R72" s="691">
        <f>IF(AND(F72="",J72="",N72=""),"",IF(F72="",0,(F72*VLOOKUP($B72,'A1.3.9'!$B$26:$O$57,3,TRUE)))+IF(J72="",0,(J72*VLOOKUP($B72,'A1.3.9'!$B$26:$O$57,4,TRUE)))+IF(N72="",0,(N72*VLOOKUP($B72,'A1.3.9'!$B$26:$O$57,5,TRUE))))</f>
        <v>-5.7670156161089163E-2</v>
      </c>
      <c r="S72" s="2644">
        <f>IF(AND(G72="",K72="",O72=""),"",IF(G72="",0,(G72*VLOOKUP($B72,'A1.3.9'!$B$26:$O$57,3,TRUE)))+IF(K72="",0,(K72*VLOOKUP($B72,'A1.3.9'!$B$26:$O$57,4,TRUE)))+IF(O72="",0,(O72*VLOOKUP($B72,'A1.3.9'!$B$26:$O$57,5,TRUE))))</f>
        <v>4.0555745931301088E-4</v>
      </c>
      <c r="T72" s="693">
        <f>IF('A1.3.8'!D$29="","",IF(OR(VLOOKUP($B72,'A1.3.11'!$B$26:$AM$105,T$22,)="",VLOOKUP($B72,'A1.3.7'!$B$28:$H$118,3,)=""),"",VLOOKUP($B72,'A1.3.11'!$B$26:$AM$105,T$22,)*(VLOOKUP($B72,'A1.3.7'!$B$28:$O$118,3,)+VLOOKUP($B72,'A1.3.7'!$B$28:$O$118,8,))))</f>
        <v>25.735704667484907</v>
      </c>
      <c r="U72" s="691">
        <f>IF('A1.3.8'!E$29="","",IF(OR(VLOOKUP($B72,'A1.3.11'!$B$26:$AM$105,U$22,)="",VLOOKUP($B72,'A1.3.7'!$B$28:$H$118,3,)=""),"",VLOOKUP($B72,'A1.3.11'!$B$26:$AM$105,U$22,)*(VLOOKUP($B72,'A1.3.7'!$B$28:$O$118,3,)+VLOOKUP($B72,'A1.3.7'!$B$28:$O$118,8,))))</f>
        <v>14.431093429881951</v>
      </c>
      <c r="V72" s="691">
        <f>IF('A1.3.8'!F$29="","",IF(OR(VLOOKUP($B72,'A1.3.11'!$B$26:$AM$105,V$22,)="",VLOOKUP($B72,'A1.3.7'!$B$28:$H$118,3,)=""),"",VLOOKUP($B72,'A1.3.11'!$B$26:$AM$105,V$22,)*(VLOOKUP($B72,'A1.3.7'!$B$28:$O$118,3,)+VLOOKUP($B72,'A1.3.7'!$B$28:$O$118,8,))))</f>
        <v>-0.22652079830651881</v>
      </c>
      <c r="W72" s="2644">
        <f>IF('A1.3.8'!G$29="","",IF(OR(VLOOKUP($B72,'A1.3.11'!$B$26:$AM$105,W$22,)="",VLOOKUP($B72,'A1.3.7'!$B$28:$H$118,3,)=""),"",VLOOKUP($B72,'A1.3.11'!$B$26:$AM$105,W$22,)*(VLOOKUP($B72,'A1.3.7'!$B$28:$O$118,3,)+VLOOKUP($B72,'A1.3.7'!$B$28:$O$118,8,))))</f>
        <v>1.4628797810760413E-3</v>
      </c>
      <c r="X72" s="693">
        <f>IF('A1.3.8'!D$30="","",IF(OR(VLOOKUP($B72,'A1.3.11'!$B$26:$AM$105,X$22,)="",VLOOKUP($B72,'A1.3.7'!$B$28:$H$118,4,)=""),"",VLOOKUP($B72,'A1.3.11'!$B$26:$AM$105,X$22,)*(VLOOKUP($B72,'A1.3.7'!$B$28:$O$118,4,)+VLOOKUP($B72,'A1.3.7'!$B$28:$O$118,9,))))</f>
        <v>45.450919866521737</v>
      </c>
      <c r="Y72" s="691">
        <f>IF('A1.3.8'!E$30="","",IF(OR(VLOOKUP($B72,'A1.3.11'!$B$26:$AM$105,Y$22,)="",VLOOKUP($B72,'A1.3.7'!$B$28:$H$118,4,)=""),"",VLOOKUP($B72,'A1.3.11'!$B$26:$AM$105,Y$22,)*(VLOOKUP($B72,'A1.3.7'!$B$28:$O$118,4,)+VLOOKUP($B72,'A1.3.7'!$B$28:$O$118,9,))))</f>
        <v>11.108390042953667</v>
      </c>
      <c r="Z72" s="691">
        <f>IF('A1.3.8'!F$30="","",IF(OR(VLOOKUP($B72,'A1.3.11'!$B$26:$AM$105,Z$22,)="",VLOOKUP($B72,'A1.3.7'!$B$28:$H$118,4,)=""),"",VLOOKUP($B72,'A1.3.11'!$B$26:$AM$105,Z$22,)*(VLOOKUP($B72,'A1.3.7'!$B$28:$O$118,4,)+VLOOKUP($B72,'A1.3.7'!$B$28:$O$118,9,))))</f>
        <v>-0.16025871523521595</v>
      </c>
      <c r="AA72" s="2644">
        <f>IF('A1.3.8'!G$30="","",IF(OR(VLOOKUP($B72,'A1.3.11'!$B$26:$AM$105,AA$22,)="",VLOOKUP($B72,'A1.3.7'!$B$28:$H$118,4,)=""),"",VLOOKUP($B72,'A1.3.11'!$B$26:$AM$105,AA$22,)*(VLOOKUP($B72,'A1.3.7'!$B$28:$O$118,4,)+VLOOKUP($B72,'A1.3.7'!$B$28:$O$118,9,))))</f>
        <v>1.3567558709453266E-3</v>
      </c>
      <c r="AB72" s="693" t="str">
        <f>IF('A1.3.8'!D$37="","",IF(OR(VLOOKUP($B72,'A1.3.11'!$B$26:$AM$105,AB$22,)="",VLOOKUP($B72,'A1.3.7'!$B$28:$H$118,6,)=""),"",VLOOKUP($B72,'A1.3.11'!$B$26:$AM$105,AB$22,)*VLOOKUP($B72,'A1.3.7'!$B$28:$O$118,6,)))</f>
        <v/>
      </c>
      <c r="AC72" s="691">
        <f>IF('A1.3.8'!E$37="","",IF(OR(VLOOKUP($B72,'A1.3.11'!$B$26:$AM$105,AC$22,)="",VLOOKUP($B72,'A1.3.7'!$B$28:$H$118,6,)=""),"",VLOOKUP($B72,'A1.3.11'!$B$26:$AM$105,AC$22,)*VLOOKUP($B72,'A1.3.7'!$B$28:$O$118,6,)))</f>
        <v>4.5145632825273854</v>
      </c>
      <c r="AD72" s="691" t="str">
        <f>IF('A1.3.8'!F$37="","",IF(OR(VLOOKUP($B72,'A1.3.11'!$B$26:$AM$105,AD$22,)="",VLOOKUP($B72,'A1.3.7'!$B$28:$H$118,6,)=""),"",VLOOKUP($B72,'A1.3.11'!$B$26:$AM$105,AD$22,)*VLOOKUP($B72,'A1.3.7'!$B$28:$O$118,6,)))</f>
        <v/>
      </c>
      <c r="AE72" s="1664" t="str">
        <f>IF('A1.3.8'!G$37="","",IF(OR(VLOOKUP($B72,'A1.3.11'!$B$26:$AM$105,AE$22,)="",VLOOKUP($B72,'A1.3.7'!$B$28:$H$118,6,)=""),"",VLOOKUP($B72,'A1.3.11'!$B$26:$AM$105,AE$22,)*VLOOKUP($B72,'A1.3.7'!$B$28:$O$118,6,)))</f>
        <v/>
      </c>
      <c r="AF72" s="693">
        <f>IF(AND(T72="",X72="",AB72=""),"",IF(T72="",0,(T72*VLOOKUP('A1.3.12'!$B72,'A1.3.9'!$B$26:$O$57,6,TRUE))) + IF(X72="",0,(X72*VLOOKUP('A1.3.12'!$B72,'A1.3.9'!$B$26:$O$57,7,TRUE))) + IF(AB72="",0,(AB72*VLOOKUP('A1.3.12'!$B72,'A1.3.9'!$B$26:$O$57,8,TRUE))))</f>
        <v>40.328155168025553</v>
      </c>
      <c r="AG72" s="691">
        <f>IF(AND(U72="",Y72="",AC72=""),"",IF(U72="",0,(U72*VLOOKUP('A1.3.12'!$B72,'A1.3.9'!$B$26:$O$57,6,TRUE))) + IF(Y72="",0,(Y72*VLOOKUP('A1.3.12'!$B72,'A1.3.9'!$B$26:$O$57,7,TRUE))) + IF(AC72="",0,(AC72*VLOOKUP('A1.3.12'!$B72,'A1.3.9'!$B$26:$O$57,8,TRUE))))</f>
        <v>10.412075919583193</v>
      </c>
      <c r="AH72" s="691">
        <f>IF(AND(V72="",Z72="",AD72=""),"",IF(V72="",0,(V72*VLOOKUP('A1.3.12'!$B72,'A1.3.9'!$B$26:$O$57,6,TRUE))) + IF(Z72="",0,(Z72*VLOOKUP('A1.3.12'!$B72,'A1.3.9'!$B$26:$O$57,7,TRUE))) + IF(AD72="",0,(AD72*VLOOKUP('A1.3.12'!$B72,'A1.3.9'!$B$26:$O$57,8,TRUE))))</f>
        <v>-0.14322536368004843</v>
      </c>
      <c r="AI72" s="2644">
        <f>IF(AND(W72="",AA72="",AE72=""),"",IF(W72="",0,(W72*VLOOKUP('A1.3.12'!$B72,'A1.3.9'!$B$26:$O$57,6,TRUE))) + IF(AA72="",0,(AA72*VLOOKUP('A1.3.12'!$B72,'A1.3.9'!$B$26:$O$57,7,TRUE))) + IF(AE72="",0,(AE72*VLOOKUP('A1.3.12'!$B72,'A1.3.9'!$B$26:$O$57,8,TRUE))))</f>
        <v>1.2091025136109455E-3</v>
      </c>
      <c r="AJ72" s="693">
        <f>IF('A1.3.8'!D$31="","",IF(OR(VLOOKUP($B72,'A1.3.11'!$B$26:$AM$105,AJ$22,)="",VLOOKUP($B72,'A1.3.7'!$B$28:$H$118,4,)=""),"",VLOOKUP($B72,'A1.3.11'!$B$26:$AM$105,AJ$22,)*(VLOOKUP($B72,'A1.3.7'!$B$28:$O$118,4,)+VLOOKUP($B72,'A1.3.7'!$B$28:$O$118,9,))))</f>
        <v>307.24652718653073</v>
      </c>
      <c r="AK72" s="691">
        <f>IF('A1.3.8'!E$31="","",IF(OR(VLOOKUP($B72,'A1.3.11'!$B$26:$AM$105,AK$22,)="",VLOOKUP($B72,'A1.3.7'!$B$28:$H$118,4,)=""),"",VLOOKUP($B72,'A1.3.11'!$B$26:$AM$105,AK$22,)*(VLOOKUP($B72,'A1.3.7'!$B$28:$O$118,4,)+VLOOKUP($B72,'A1.3.7'!$B$28:$O$118,9,))))</f>
        <v>16.301642064715306</v>
      </c>
      <c r="AL72" s="691">
        <f>IF('A1.3.8'!F$31="","",IF(OR(VLOOKUP($B72,'A1.3.11'!$B$26:$AM$105,AL$22,)="",VLOOKUP($B72,'A1.3.7'!$B$28:$H$118,4,)=""),"",VLOOKUP($B72,'A1.3.11'!$B$26:$AM$105,AL$22,)*(VLOOKUP($B72,'A1.3.7'!$B$28:$O$118,4,)+VLOOKUP($B72,'A1.3.7'!$B$28:$O$118,9,))))</f>
        <v>-0.1178283723470481</v>
      </c>
      <c r="AM72" s="2644">
        <f>IF('A1.3.8'!G$31="","",IF(OR(VLOOKUP($B72,'A1.3.11'!$B$26:$AM$105,AM$22,)="",VLOOKUP($B72,'A1.3.7'!$B$28:$H$118,4,)=""),"",VLOOKUP($B72,'A1.3.11'!$B$26:$AM$105,AM$22,)*(VLOOKUP($B72,'A1.3.7'!$B$28:$O$118,4,)+VLOOKUP($B72,'A1.3.7'!$B$28:$O$118,9,))))</f>
        <v>1.2868748820692372E-3</v>
      </c>
      <c r="AN72" s="693" t="str">
        <f>IF('A1.3.8'!D$38="","",IF(OR(VLOOKUP($B72,'A1.3.11'!$B$26:$AM$105,AN$22,)="",VLOOKUP($B72,'A1.3.7'!$B$28:$H$118,6,)=""),"",VLOOKUP($B72,'A1.3.11'!$B$26:$AM$105,AN$22,)*VLOOKUP($B72,'A1.3.7'!$B$28:$O$118,6,)))</f>
        <v/>
      </c>
      <c r="AO72" s="691" t="str">
        <f>IF('A1.3.8'!E$38="","",IF(OR(VLOOKUP($B72,'A1.3.11'!$B$26:$AM$105,AO$22,)="",VLOOKUP($B72,'A1.3.7'!$B$28:$H$118,6,)=""),"",VLOOKUP($B72,'A1.3.11'!$B$26:$AM$105,AO$22,)*VLOOKUP($B72,'A1.3.7'!$B$28:$O$118,6,)))</f>
        <v/>
      </c>
      <c r="AP72" s="691" t="str">
        <f>IF('A1.3.8'!F$38="","",IF(OR(VLOOKUP($B72,'A1.3.11'!$B$26:$AM$105,AP$22,)="",VLOOKUP($B72,'A1.3.7'!$B$28:$H$118,6,)=""),"",VLOOKUP($B72,'A1.3.11'!$B$26:$AM$105,AP$22,)*VLOOKUP($B72,'A1.3.7'!$B$28:$O$118,6,)))</f>
        <v/>
      </c>
      <c r="AQ72" s="1664" t="str">
        <f>IF('A1.3.8'!G$38="","",IF(OR(VLOOKUP($B72,'A1.3.11'!$B$26:$AM$105,AQ$22,)="",VLOOKUP($B72,'A1.3.7'!$B$28:$H$118,6,)=""),"",VLOOKUP($B72,'A1.3.11'!$B$26:$AM$105,AQ$22,)*VLOOKUP($B72,'A1.3.7'!$B$28:$O$118,6,)))</f>
        <v/>
      </c>
      <c r="AR72" s="693">
        <f>IF(AND(AJ72="",AN72=""),"",IF(AJ72="",0,(AJ72*VLOOKUP($B72,'A1.3.9'!$B$26:$O$57,9,TRUE))) + IF(AN72="",0,(AN72*VLOOKUP($B72,'A1.3.9'!$B$26:$O$57,10,TRUE))))</f>
        <v>307.24652718653073</v>
      </c>
      <c r="AS72" s="691">
        <f>IF(AND(AK72="",AO72=""),"",IF(AK72="",0,(AK72*VLOOKUP($B72,'A1.3.9'!$B$26:$O$57,9,TRUE))) + IF(AO72="",0,(AO72*VLOOKUP($B72,'A1.3.9'!$B$26:$O$57,10,TRUE))))</f>
        <v>16.301642064715306</v>
      </c>
      <c r="AT72" s="691">
        <f>IF(AND(AL72="",AP72=""),"",IF(AL72="",0,(AL72*VLOOKUP($B72,'A1.3.9'!$B$26:$O$57,9,TRUE))) + IF(AP72="",0,(AP72*VLOOKUP($B72,'A1.3.9'!$B$26:$O$57,10,TRUE))))</f>
        <v>-0.1178283723470481</v>
      </c>
      <c r="AU72" s="2644">
        <f>IF(AND(AM72="",AQ72=""),"",IF(AM72="",0,(AM72*VLOOKUP($B72,'A1.3.9'!$B$26:$O$57,9,TRUE))) + IF(AQ72="",0,(AQ72*VLOOKUP($B72,'A1.3.9'!$B$26:$O$57,10,TRUE))))</f>
        <v>1.2868748820692372E-3</v>
      </c>
      <c r="AV72" s="693">
        <f>IF('A1.3.8'!D$32="","",IF(OR(VLOOKUP($B72,'A1.3.11'!$B$26:$AM$105,AV$22,)="",VLOOKUP($B72,'A1.3.7'!$B$28:$H$118,4,)=""),"",VLOOKUP($B72,'A1.3.11'!$B$26:$AM$105,AV$22,)*(VLOOKUP($B72,'A1.3.7'!$B$28:$O$118,4,)+VLOOKUP($B72,'A1.3.7'!$B$28:$O$118,9,))))</f>
        <v>645.60501491704815</v>
      </c>
      <c r="AW72" s="691">
        <f>IF('A1.3.8'!E$32="","",IF(OR(VLOOKUP($B72,'A1.3.11'!$B$26:$AM$105,AW$22,)="",VLOOKUP($B72,'A1.3.7'!$B$28:$H$118,4,)=""),"",VLOOKUP($B72,'A1.3.11'!$B$26:$AM$105,AW$22,)*(VLOOKUP($B72,'A1.3.7'!$B$28:$O$118,4,)+VLOOKUP($B72,'A1.3.7'!$B$28:$O$118,9,))))</f>
        <v>33.527412373228991</v>
      </c>
      <c r="AX72" s="691">
        <f>IF('A1.3.8'!F$32="","",IF(OR(VLOOKUP($B72,'A1.3.11'!$B$26:$AM$105,AX$22,)="",VLOOKUP($B72,'A1.3.7'!$B$28:$H$118,4,)=""),"",VLOOKUP($B72,'A1.3.11'!$B$26:$AM$105,AX$22,)*(VLOOKUP($B72,'A1.3.7'!$B$28:$O$118,4,)+VLOOKUP($B72,'A1.3.7'!$B$28:$O$118,9,))))</f>
        <v>-0.2221367445136653</v>
      </c>
      <c r="AY72" s="2644">
        <f>IF('A1.3.8'!G$32="","",IF(OR(VLOOKUP($B72,'A1.3.11'!$B$26:$AM$105,AY$22,)="",VLOOKUP($B72,'A1.3.7'!$B$28:$H$118,4,)=""),"",VLOOKUP($B72,'A1.3.11'!$B$26:$AM$105,AY$22,)*(VLOOKUP($B72,'A1.3.7'!$B$28:$O$118,4,)+VLOOKUP($B72,'A1.3.7'!$B$28:$O$118,9,))))</f>
        <v>1.3240273689264443E-3</v>
      </c>
      <c r="AZ72" s="693" t="str">
        <f>IF('A1.3.8'!D$39="","",IF(OR(VLOOKUP($B72,'A1.3.11'!$B$26:$AM$105,AZ$22,)="",VLOOKUP($B72,'A1.3.7'!$B$28:$H$118,6,)=""),"",VLOOKUP($B72,'A1.3.11'!$B$26:$AM$105,AZ$22,)*VLOOKUP($B72,'A1.3.7'!$B$28:$O$118,6,)))</f>
        <v/>
      </c>
      <c r="BA72" s="691" t="str">
        <f>IF('A1.3.8'!E$39="","",IF(OR(VLOOKUP($B72,'A1.3.11'!$B$26:$AM$105,BA$22,)="",VLOOKUP($B72,'A1.3.7'!$B$28:$H$118,6,)=""),"",VLOOKUP($B72,'A1.3.11'!$B$26:$AM$105,BA$22,)*VLOOKUP($B72,'A1.3.7'!$B$28:$O$118,6,)))</f>
        <v/>
      </c>
      <c r="BB72" s="691" t="str">
        <f>IF('A1.3.8'!F$39="","",IF(OR(VLOOKUP($B72,'A1.3.11'!$B$26:$AM$105,BB$22,)="",VLOOKUP($B72,'A1.3.7'!$B$28:$H$118,6,)=""),"",VLOOKUP($B72,'A1.3.11'!$B$26:$AM$105,BB$22,)*VLOOKUP($B72,'A1.3.7'!$B$28:$O$118,6,)))</f>
        <v/>
      </c>
      <c r="BC72" s="1664" t="str">
        <f>IF('A1.3.8'!G$39="","",IF(OR(VLOOKUP($B72,'A1.3.11'!$B$26:$AM$105,BC$22,)="",VLOOKUP($B72,'A1.3.7'!$B$28:$H$118,6,)=""),"",VLOOKUP($B72,'A1.3.11'!$B$26:$AM$105,BC$22,)*VLOOKUP($B72,'A1.3.7'!$B$28:$O$118,6,)))</f>
        <v/>
      </c>
      <c r="BD72" s="693">
        <f>IF(AND(AV72="",AZ72=""),"",IF(AV72="",0,(AV72*VLOOKUP($B72,'A1.3.9'!$B$26:$O$57,9,TRUE))) + IF(AZ72="",0,(AZ72*VLOOKUP($B72,'A1.3.9'!$B$26:$O$57,10,TRUE))))</f>
        <v>645.60501491704815</v>
      </c>
      <c r="BE72" s="691">
        <f>IF(AND(AW72="",BA72=""),"",IF(AW72="",0,(AW72*VLOOKUP($B72,'A1.3.9'!$B$26:$O$57,9,TRUE))) + IF(BA72="",0,(BA72*VLOOKUP($B72,'A1.3.9'!$B$26:$O$57,10,TRUE))))</f>
        <v>33.527412373228991</v>
      </c>
      <c r="BF72" s="691">
        <f>IF(AND(AX72="",BB72=""),"",IF(AX72="",0,(AX72*VLOOKUP($B72,'A1.3.9'!$B$26:$O$57,9,TRUE))) + IF(BB72="",0,(BB72*VLOOKUP($B72,'A1.3.9'!$B$26:$O$57,10,TRUE))))</f>
        <v>-0.2221367445136653</v>
      </c>
      <c r="BG72" s="2644">
        <f>IF(AND(AY72="",BC72=""),"",IF(AY72="",0,(AY72*VLOOKUP($B72,'A1.3.9'!$B$26:$O$57,9,TRUE))) + IF(BC72="",0,(BC72*VLOOKUP($B72,'A1.3.9'!$B$26:$O$57,10,TRUE))))</f>
        <v>1.3240273689264443E-3</v>
      </c>
      <c r="BH72" s="693">
        <f>IF('A1.3.8'!D$33="","",IF(OR(VLOOKUP($B72,'A1.3.11'!$B$26:$AM$105,BH$22,)="",VLOOKUP($B72,'A1.3.7'!$B$28:$H$118,4,)=""),"",VLOOKUP($B72,'A1.3.11'!$B$26:$AM$105,BH$22,)*(VLOOKUP($B72,'A1.3.7'!$B$28:$O$118,4,)+VLOOKUP($B72,'A1.3.7'!$B$28:$O$118,9,))))</f>
        <v>382.89937508710182</v>
      </c>
      <c r="BI72" s="691">
        <f>IF('A1.3.8'!E$33="","",IF(OR(VLOOKUP($B72,'A1.3.11'!$B$26:$AM$105,BI$22,)="",VLOOKUP($B72,'A1.3.7'!$B$28:$H$118,4,)=""),"",VLOOKUP($B72,'A1.3.11'!$B$26:$AM$105,BI$22,)*(VLOOKUP($B72,'A1.3.7'!$B$28:$O$118,4,)+VLOOKUP($B72,'A1.3.7'!$B$28:$O$118,9,))))</f>
        <v>33.644200534555814</v>
      </c>
      <c r="BJ72" s="691">
        <f>IF('A1.3.8'!F$33="","",IF(OR(VLOOKUP($B72,'A1.3.11'!$B$26:$AM$105,BJ$22,)="",VLOOKUP($B72,'A1.3.7'!$B$28:$H$118,4,)=""),"",VLOOKUP($B72,'A1.3.11'!$B$26:$AM$105,BJ$22,)*(VLOOKUP($B72,'A1.3.7'!$B$28:$O$118,4,)+VLOOKUP($B72,'A1.3.7'!$B$28:$O$118,9,))))</f>
        <v>-0.36568247298158735</v>
      </c>
      <c r="BK72" s="2644">
        <f>IF('A1.3.8'!G$33="","",IF(OR(VLOOKUP($B72,'A1.3.11'!$B$26:$AM$105,BK$22,)="",VLOOKUP($B72,'A1.3.7'!$B$28:$H$118,4,)=""),"",VLOOKUP($B72,'A1.3.11'!$B$26:$AM$105,BK$22,)*(VLOOKUP($B72,'A1.3.7'!$B$28:$O$118,4,)+VLOOKUP($B72,'A1.3.7'!$B$28:$O$118,9,))))</f>
        <v>2.6824304121559578E-3</v>
      </c>
      <c r="BL72" s="693" t="str">
        <f>IF('A1.3.8'!D$40="","",IF(OR(VLOOKUP($B72,'A1.3.11'!$B$26:$AM$105,BL$22,)="",VLOOKUP($B72,'A1.3.7'!$B$28:$H$118,6,)=""),"",VLOOKUP($B72,'A1.3.11'!$B$26:$AM$105,BL$22,)*VLOOKUP($B72,'A1.3.7'!$B$28:$O$118,6,)))</f>
        <v/>
      </c>
      <c r="BM72" s="691" t="str">
        <f>IF('A1.3.8'!E$40="","",IF(OR(VLOOKUP($B72,'A1.3.11'!$B$26:$AM$105,BM$22,)="",VLOOKUP($B72,'A1.3.7'!$B$28:$H$118,6,)=""),"",VLOOKUP($B72,'A1.3.11'!$B$26:$AM$105,BM$22,)*VLOOKUP($B72,'A1.3.7'!$B$28:$O$118,6,)))</f>
        <v/>
      </c>
      <c r="BN72" s="691" t="str">
        <f>IF('A1.3.8'!F$40="","",IF(OR(VLOOKUP($B72,'A1.3.11'!$B$26:$AM$105,BN$22,)="",VLOOKUP($B72,'A1.3.7'!$B$28:$H$118,6,)=""),"",VLOOKUP($B72,'A1.3.11'!$B$26:$AM$105,BN$22,)*VLOOKUP($B72,'A1.3.7'!$B$28:$O$118,6,)))</f>
        <v/>
      </c>
      <c r="BO72" s="1664" t="str">
        <f>IF('A1.3.8'!G$40="","",IF(OR(VLOOKUP($B72,'A1.3.11'!$B$26:$AM$105,BO$22,)="",VLOOKUP($B72,'A1.3.7'!$B$28:$H$118,6,)=""),"",VLOOKUP($B72,'A1.3.11'!$B$26:$AM$105,BO$22,)*VLOOKUP($B72,'A1.3.7'!$B$28:$O$118,6,)))</f>
        <v/>
      </c>
      <c r="BP72" s="693">
        <f>IF(AND(BH72="",BL72=""),"",IF(BH72="",0,(BH72*VLOOKUP($B72,'A1.3.9'!$B$26:$O$57,9,TRUE))) + IF(BL72="",0,(BL72*VLOOKUP($B72,'A1.3.9'!$B$26:$O$57,10,TRUE))))</f>
        <v>382.89937508710182</v>
      </c>
      <c r="BQ72" s="691">
        <f>IF(AND(BI72="",BM72=""),"",IF(BI72="",0,(BI72*VLOOKUP($B72,'A1.3.9'!$B$26:$O$57,9,TRUE))) + IF(BM72="",0,(BM72*VLOOKUP($B72,'A1.3.9'!$B$26:$O$57,10,TRUE))))</f>
        <v>33.644200534555814</v>
      </c>
      <c r="BR72" s="691">
        <f>IF(AND(BJ72="",BN72=""),"",IF(BJ72="",0,(BJ72*VLOOKUP($B72,'A1.3.9'!$B$26:$O$57,9,TRUE))) + IF(BN72="",0,(BN72*VLOOKUP($B72,'A1.3.9'!$B$26:$O$57,10,TRUE))))</f>
        <v>-0.36568247298158735</v>
      </c>
      <c r="BS72" s="2644">
        <f>IF(AND(BK72="",BO72=""),"",IF(BK72="",0,(BK72*VLOOKUP($B72,'A1.3.9'!$B$26:$O$57,9,TRUE))) + IF(BO72="",0,(BO72*VLOOKUP($B72,'A1.3.9'!$B$26:$O$57,10,TRUE))))</f>
        <v>2.6824304121559578E-3</v>
      </c>
    </row>
    <row r="73" spans="1:71" s="26" customFormat="1" ht="13.5" customHeight="1">
      <c r="A73" s="113"/>
      <c r="B73" s="614">
        <f t="shared" si="0"/>
        <v>2056</v>
      </c>
      <c r="C73" s="147"/>
      <c r="D73" s="693">
        <f>IF('A1.3.8'!D$27="","",IF(OR(VLOOKUP($B73,'A1.3.11'!$B$26:$AM$105,D$22,)="",VLOOKUP($B73,'A1.3.7'!$B$28:$H$118,3,)=""),"",VLOOKUP($B73,'A1.3.11'!$B$26:$AM$105,D$22,)*(VLOOKUP($B73,'A1.3.7'!$B$28:$O$118,3,)+VLOOKUP($B73,'A1.3.7'!$B$28:$O$118,8,))))</f>
        <v>35.927577682759839</v>
      </c>
      <c r="E73" s="691">
        <f>IF('A1.3.8'!E$27="","",IF(OR(VLOOKUP($B73,'A1.3.11'!$B$26:$AM$105,E$22,)="",VLOOKUP($B73,'A1.3.7'!$B$28:$H$118,3,)=""),"",VLOOKUP($B73,'A1.3.11'!$B$26:$AM$105,E$22,)*(VLOOKUP($B73,'A1.3.7'!$B$28:$O$118,3,)+VLOOKUP($B73,'A1.3.7'!$B$28:$O$118,8,))))</f>
        <v>7.6351930355262345</v>
      </c>
      <c r="F73" s="691">
        <f>IF('A1.3.8'!F$27="","",IF(OR(VLOOKUP($B73,'A1.3.11'!$B$26:$AM$105,F$22,)="",VLOOKUP($B73,'A1.3.7'!$B$28:$H$118,3,)=""),"",VLOOKUP($B73,'A1.3.11'!$B$26:$AM$105,F$22,)*(VLOOKUP($B73,'A1.3.7'!$B$28:$O$118,3,)+VLOOKUP($B73,'A1.3.7'!$B$28:$O$118,8,))))</f>
        <v>-8.6973903140826467E-2</v>
      </c>
      <c r="G73" s="2644">
        <f>IF('A1.3.8'!G$27="","",IF(OR(VLOOKUP($B73,'A1.3.11'!$B$26:$AM$105,G$22,)="",VLOOKUP($B73,'A1.3.7'!$B$28:$H$118,3,)=""),"",VLOOKUP($B73,'A1.3.11'!$B$26:$AM$105,G$22,)*(VLOOKUP($B73,'A1.3.7'!$B$28:$O$118,3,)+VLOOKUP($B73,'A1.3.7'!$B$28:$O$118,8,))))</f>
        <v>5.7602116246350025E-4</v>
      </c>
      <c r="H73" s="693">
        <f>IF('A1.3.8'!D$28="","",IF(OR(VLOOKUP($B73,'A1.3.11'!$B$26:$AM$105,H$22,)="",VLOOKUP($B73,'A1.3.7'!$B$28:$H$118,4,)=""),"",VLOOKUP($B73,'A1.3.11'!$B$26:$AM$105,H$22,)*(VLOOKUP($B73,'A1.3.7'!$B$28:$O$118,4,)+VLOOKUP($B73,'A1.3.7'!$B$28:$O$118,9,))))</f>
        <v>44.310337227491061</v>
      </c>
      <c r="I73" s="691">
        <f>IF('A1.3.8'!E$28="","",IF(OR(VLOOKUP($B73,'A1.3.11'!$B$26:$AM$105,I$22,)="",VLOOKUP($B73,'A1.3.7'!$B$28:$H$118,4,)=""),"",VLOOKUP($B73,'A1.3.11'!$B$26:$AM$105,I$22,)*(VLOOKUP($B73,'A1.3.7'!$B$28:$O$118,4,)+VLOOKUP($B73,'A1.3.7'!$B$28:$O$118,9,))))</f>
        <v>6.3530065650284158</v>
      </c>
      <c r="J73" s="691">
        <f>IF('A1.3.8'!F$28="","",IF(OR(VLOOKUP($B73,'A1.3.11'!$B$26:$AM$105,J$22,)="",VLOOKUP($B73,'A1.3.7'!$B$28:$H$118,4,)=""),"",VLOOKUP($B73,'A1.3.11'!$B$26:$AM$105,J$22,)*(VLOOKUP($B73,'A1.3.7'!$B$28:$O$118,4,)+VLOOKUP($B73,'A1.3.7'!$B$28:$O$118,9,))))</f>
        <v>-6.1117692980421877E-2</v>
      </c>
      <c r="K73" s="2644">
        <f>IF('A1.3.8'!G$28="","",IF(OR(VLOOKUP($B73,'A1.3.11'!$B$26:$AM$105,K$22,)="",VLOOKUP($B73,'A1.3.7'!$B$28:$H$118,4,)=""),"",VLOOKUP($B73,'A1.3.11'!$B$26:$AM$105,K$22,)*(VLOOKUP($B73,'A1.3.7'!$B$28:$O$118,4,)+VLOOKUP($B73,'A1.3.7'!$B$28:$O$118,9,))))</f>
        <v>4.8161048700613664E-4</v>
      </c>
      <c r="L73" s="693" t="str">
        <f>IF('A1.3.8'!D$36="","",IF(OR(VLOOKUP($B73,'A1.3.11'!$B$26:$AM$105,L$22,)="",VLOOKUP($B73,'A1.3.7'!$B$28:$H$118,6,)=""),"",VLOOKUP($B73,'A1.3.11'!$B$26:$AM$105,L$22,)*VLOOKUP($B73,'A1.3.7'!$B$28:$O$118,6,)))</f>
        <v/>
      </c>
      <c r="M73" s="691">
        <f>IF('A1.3.8'!E$36="","",IF(OR(VLOOKUP($B73,'A1.3.11'!$B$26:$AM$105,M$22,)="",VLOOKUP($B73,'A1.3.7'!$B$28:$H$118,6,)=""),"",VLOOKUP($B73,'A1.3.11'!$B$26:$AM$105,M$22,)*VLOOKUP($B73,'A1.3.7'!$B$28:$O$118,6,)))</f>
        <v>1.9637608285706969</v>
      </c>
      <c r="N73" s="691" t="str">
        <f>IF('A1.3.8'!F$36="","",IF(OR(VLOOKUP($B73,'A1.3.11'!$B$26:$AM$105,N$22,)="",VLOOKUP($B73,'A1.3.7'!$B$28:$H$118,6,)=""),"",VLOOKUP($B73,'A1.3.11'!$B$26:$AM$105,N$22,)*VLOOKUP($B73,'A1.3.7'!$B$28:$O$118,6,)))</f>
        <v/>
      </c>
      <c r="O73" s="1664" t="str">
        <f>IF('A1.3.8'!G$36="","",IF(OR(VLOOKUP($B73,'A1.3.11'!$B$26:$AM$105,O$22,)="",VLOOKUP($B73,'A1.3.7'!$B$28:$H$118,6,)=""),"",VLOOKUP($B73,'A1.3.11'!$B$26:$AM$105,O$22,)*VLOOKUP($B73,'A1.3.7'!$B$28:$O$118,6,)))</f>
        <v/>
      </c>
      <c r="P73" s="693">
        <f>IF(AND(D73="",H73="",L73=""),"",IF(D73="",0,(D73*VLOOKUP($B73,'A1.3.9'!$B$26:$O$57,3,TRUE)))+IF(H73="",0,(H73*VLOOKUP($B73,'A1.3.9'!$B$26:$O$57,4,TRUE)))+IF(L73="",0,(L73*VLOOKUP($B73,'A1.3.9'!$B$26:$O$57,5,TRUE))))</f>
        <v>29.804142148127312</v>
      </c>
      <c r="Q73" s="691">
        <f>IF(AND(E73="",I73="",M73=""),"",IF(E73="",0,(E73*VLOOKUP($B73,'A1.3.9'!$B$26:$O$57,3,TRUE)))+IF(I73="",0,(I73*VLOOKUP($B73,'A1.3.9'!$B$26:$O$57,4,TRUE)))+IF(M73="",0,(M73*VLOOKUP($B73,'A1.3.9'!$B$26:$O$57,5,TRUE))))</f>
        <v>5.8645903237715276</v>
      </c>
      <c r="R73" s="691">
        <f>IF(AND(F73="",J73="",N73=""),"",IF(F73="",0,(F73*VLOOKUP($B73,'A1.3.9'!$B$26:$O$57,3,TRUE)))+IF(J73="",0,(J73*VLOOKUP($B73,'A1.3.9'!$B$26:$O$57,4,TRUE)))+IF(N73="",0,(N73*VLOOKUP($B73,'A1.3.9'!$B$26:$O$57,5,TRUE))))</f>
        <v>-5.7909850262793085E-2</v>
      </c>
      <c r="S73" s="2644">
        <f>IF(AND(G73="",K73="",O73=""),"",IF(G73="",0,(G73*VLOOKUP($B73,'A1.3.9'!$B$26:$O$57,3,TRUE)))+IF(K73="",0,(K73*VLOOKUP($B73,'A1.3.9'!$B$26:$O$57,4,TRUE)))+IF(O73="",0,(O73*VLOOKUP($B73,'A1.3.9'!$B$26:$O$57,5,TRUE))))</f>
        <v>4.0724074838328873E-4</v>
      </c>
      <c r="T73" s="693">
        <f>IF('A1.3.8'!D$29="","",IF(OR(VLOOKUP($B73,'A1.3.11'!$B$26:$AM$105,T$22,)="",VLOOKUP($B73,'A1.3.7'!$B$28:$H$118,3,)=""),"",VLOOKUP($B73,'A1.3.11'!$B$26:$AM$105,T$22,)*(VLOOKUP($B73,'A1.3.7'!$B$28:$O$118,3,)+VLOOKUP($B73,'A1.3.7'!$B$28:$O$118,8,))))</f>
        <v>25.843894737889173</v>
      </c>
      <c r="U73" s="691">
        <f>IF('A1.3.8'!E$29="","",IF(OR(VLOOKUP($B73,'A1.3.11'!$B$26:$AM$105,U$22,)="",VLOOKUP($B73,'A1.3.7'!$B$28:$H$118,3,)=""),"",VLOOKUP($B73,'A1.3.11'!$B$26:$AM$105,U$22,)*(VLOOKUP($B73,'A1.3.7'!$B$28:$O$118,3,)+VLOOKUP($B73,'A1.3.7'!$B$28:$O$118,8,))))</f>
        <v>14.491760158629504</v>
      </c>
      <c r="V73" s="691">
        <f>IF('A1.3.8'!F$29="","",IF(OR(VLOOKUP($B73,'A1.3.11'!$B$26:$AM$105,V$22,)="",VLOOKUP($B73,'A1.3.7'!$B$28:$H$118,3,)=""),"",VLOOKUP($B73,'A1.3.11'!$B$26:$AM$105,V$22,)*(VLOOKUP($B73,'A1.3.7'!$B$28:$O$118,3,)+VLOOKUP($B73,'A1.3.7'!$B$28:$O$118,8,))))</f>
        <v>-0.22747306681571472</v>
      </c>
      <c r="W73" s="2644">
        <f>IF('A1.3.8'!G$29="","",IF(OR(VLOOKUP($B73,'A1.3.11'!$B$26:$AM$105,W$22,)="",VLOOKUP($B73,'A1.3.7'!$B$28:$H$118,3,)=""),"",VLOOKUP($B73,'A1.3.11'!$B$26:$AM$105,W$22,)*(VLOOKUP($B73,'A1.3.7'!$B$28:$O$118,3,)+VLOOKUP($B73,'A1.3.7'!$B$28:$O$118,8,))))</f>
        <v>1.4690295666969322E-3</v>
      </c>
      <c r="X73" s="693">
        <f>IF('A1.3.8'!D$30="","",IF(OR(VLOOKUP($B73,'A1.3.11'!$B$26:$AM$105,X$22,)="",VLOOKUP($B73,'A1.3.7'!$B$28:$H$118,4,)=""),"",VLOOKUP($B73,'A1.3.11'!$B$26:$AM$105,X$22,)*(VLOOKUP($B73,'A1.3.7'!$B$28:$O$118,4,)+VLOOKUP($B73,'A1.3.7'!$B$28:$O$118,9,))))</f>
        <v>45.63534846914542</v>
      </c>
      <c r="Y73" s="691">
        <f>IF('A1.3.8'!E$30="","",IF(OR(VLOOKUP($B73,'A1.3.11'!$B$26:$AM$105,Y$22,)="",VLOOKUP($B73,'A1.3.7'!$B$28:$H$118,4,)=""),"",VLOOKUP($B73,'A1.3.11'!$B$26:$AM$105,Y$22,)*(VLOOKUP($B73,'A1.3.7'!$B$28:$O$118,4,)+VLOOKUP($B73,'A1.3.7'!$B$28:$O$118,9,))))</f>
        <v>11.153465145042631</v>
      </c>
      <c r="Z73" s="691">
        <f>IF('A1.3.8'!F$30="","",IF(OR(VLOOKUP($B73,'A1.3.11'!$B$26:$AM$105,Z$22,)="",VLOOKUP($B73,'A1.3.7'!$B$28:$H$118,4,)=""),"",VLOOKUP($B73,'A1.3.11'!$B$26:$AM$105,Z$22,)*(VLOOKUP($B73,'A1.3.7'!$B$28:$O$118,4,)+VLOOKUP($B73,'A1.3.7'!$B$28:$O$118,9,))))</f>
        <v>-0.16090900550427756</v>
      </c>
      <c r="AA73" s="2644">
        <f>IF('A1.3.8'!G$30="","",IF(OR(VLOOKUP($B73,'A1.3.11'!$B$26:$AM$105,AA$22,)="",VLOOKUP($B73,'A1.3.7'!$B$28:$H$118,4,)=""),"",VLOOKUP($B73,'A1.3.11'!$B$26:$AM$105,AA$22,)*(VLOOKUP($B73,'A1.3.7'!$B$28:$O$118,4,)+VLOOKUP($B73,'A1.3.7'!$B$28:$O$118,9,))))</f>
        <v>1.3622612510369677E-3</v>
      </c>
      <c r="AB73" s="693" t="str">
        <f>IF('A1.3.8'!D$37="","",IF(OR(VLOOKUP($B73,'A1.3.11'!$B$26:$AM$105,AB$22,)="",VLOOKUP($B73,'A1.3.7'!$B$28:$H$118,6,)=""),"",VLOOKUP($B73,'A1.3.11'!$B$26:$AM$105,AB$22,)*VLOOKUP($B73,'A1.3.7'!$B$28:$O$118,6,)))</f>
        <v/>
      </c>
      <c r="AC73" s="691">
        <f>IF('A1.3.8'!E$37="","",IF(OR(VLOOKUP($B73,'A1.3.11'!$B$26:$AM$105,AC$22,)="",VLOOKUP($B73,'A1.3.7'!$B$28:$H$118,6,)=""),"",VLOOKUP($B73,'A1.3.11'!$B$26:$AM$105,AC$22,)*VLOOKUP($B73,'A1.3.7'!$B$28:$O$118,6,)))</f>
        <v>4.5145632825273854</v>
      </c>
      <c r="AD73" s="691" t="str">
        <f>IF('A1.3.8'!F$37="","",IF(OR(VLOOKUP($B73,'A1.3.11'!$B$26:$AM$105,AD$22,)="",VLOOKUP($B73,'A1.3.7'!$B$28:$H$118,6,)=""),"",VLOOKUP($B73,'A1.3.11'!$B$26:$AM$105,AD$22,)*VLOOKUP($B73,'A1.3.7'!$B$28:$O$118,6,)))</f>
        <v/>
      </c>
      <c r="AE73" s="1664" t="str">
        <f>IF('A1.3.8'!G$37="","",IF(OR(VLOOKUP($B73,'A1.3.11'!$B$26:$AM$105,AE$22,)="",VLOOKUP($B73,'A1.3.7'!$B$28:$H$118,6,)=""),"",VLOOKUP($B73,'A1.3.11'!$B$26:$AM$105,AE$22,)*VLOOKUP($B73,'A1.3.7'!$B$28:$O$118,6,)))</f>
        <v/>
      </c>
      <c r="AF73" s="693">
        <f>IF(AND(T73="",X73="",AB73=""),"",IF(T73="",0,(T73*VLOOKUP('A1.3.12'!$B73,'A1.3.9'!$B$26:$O$57,6,TRUE))) + IF(X73="",0,(X73*VLOOKUP('A1.3.12'!$B73,'A1.3.9'!$B$26:$O$57,7,TRUE))) + IF(AB73="",0,(AB73*VLOOKUP('A1.3.12'!$B73,'A1.3.9'!$B$26:$O$57,8,TRUE))))</f>
        <v>40.491825370321656</v>
      </c>
      <c r="AG73" s="691">
        <f>IF(AND(U73="",Y73="",AC73=""),"",IF(U73="",0,(U73*VLOOKUP('A1.3.12'!$B73,'A1.3.9'!$B$26:$O$57,6,TRUE))) + IF(Y73="",0,(Y73*VLOOKUP('A1.3.12'!$B73,'A1.3.9'!$B$26:$O$57,7,TRUE))) + IF(AC73="",0,(AC73*VLOOKUP('A1.3.12'!$B73,'A1.3.9'!$B$26:$O$57,8,TRUE))))</f>
        <v>10.452337053562163</v>
      </c>
      <c r="AH73" s="691">
        <f>IF(AND(V73="",Z73="",AD73=""),"",IF(V73="",0,(V73*VLOOKUP('A1.3.12'!$B73,'A1.3.9'!$B$26:$O$57,6,TRUE))) + IF(Z73="",0,(Z73*VLOOKUP('A1.3.12'!$B73,'A1.3.9'!$B$26:$O$57,7,TRUE))) + IF(AD73="",0,(AD73*VLOOKUP('A1.3.12'!$B73,'A1.3.9'!$B$26:$O$57,8,TRUE))))</f>
        <v>-0.14380678778377234</v>
      </c>
      <c r="AI73" s="2644">
        <f>IF(AND(W73="",AA73="",AE73=""),"",IF(W73="",0,(W73*VLOOKUP('A1.3.12'!$B73,'A1.3.9'!$B$26:$O$57,6,TRUE))) + IF(AA73="",0,(AA73*VLOOKUP('A1.3.12'!$B73,'A1.3.9'!$B$26:$O$57,7,TRUE))) + IF(AE73="",0,(AE73*VLOOKUP('A1.3.12'!$B73,'A1.3.9'!$B$26:$O$57,8,TRUE))))</f>
        <v>1.214010373613017E-3</v>
      </c>
      <c r="AJ73" s="693">
        <f>IF('A1.3.8'!D$31="","",IF(OR(VLOOKUP($B73,'A1.3.11'!$B$26:$AM$105,AJ$22,)="",VLOOKUP($B73,'A1.3.7'!$B$28:$H$118,4,)=""),"",VLOOKUP($B73,'A1.3.11'!$B$26:$AM$105,AJ$22,)*(VLOOKUP($B73,'A1.3.7'!$B$28:$O$118,4,)+VLOOKUP($B73,'A1.3.7'!$B$28:$O$118,9,))))</f>
        <v>308.49325767815566</v>
      </c>
      <c r="AK73" s="691">
        <f>IF('A1.3.8'!E$31="","",IF(OR(VLOOKUP($B73,'A1.3.11'!$B$26:$AM$105,AK$22,)="",VLOOKUP($B73,'A1.3.7'!$B$28:$H$118,4,)=""),"",VLOOKUP($B73,'A1.3.11'!$B$26:$AM$105,AK$22,)*(VLOOKUP($B73,'A1.3.7'!$B$28:$O$118,4,)+VLOOKUP($B73,'A1.3.7'!$B$28:$O$118,9,))))</f>
        <v>16.367790100339146</v>
      </c>
      <c r="AL73" s="691">
        <f>IF('A1.3.8'!F$31="","",IF(OR(VLOOKUP($B73,'A1.3.11'!$B$26:$AM$105,AL$22,)="",VLOOKUP($B73,'A1.3.7'!$B$28:$H$118,4,)=""),"",VLOOKUP($B73,'A1.3.11'!$B$26:$AM$105,AL$22,)*(VLOOKUP($B73,'A1.3.7'!$B$28:$O$118,4,)+VLOOKUP($B73,'A1.3.7'!$B$28:$O$118,9,))))</f>
        <v>-0.11830649076852796</v>
      </c>
      <c r="AM73" s="2644">
        <f>IF('A1.3.8'!G$31="","",IF(OR(VLOOKUP($B73,'A1.3.11'!$B$26:$AM$105,AM$22,)="",VLOOKUP($B73,'A1.3.7'!$B$28:$H$118,4,)=""),"",VLOOKUP($B73,'A1.3.11'!$B$26:$AM$105,AM$22,)*(VLOOKUP($B73,'A1.3.7'!$B$28:$O$118,4,)+VLOOKUP($B73,'A1.3.7'!$B$28:$O$118,9,))))</f>
        <v>1.2920967023744927E-3</v>
      </c>
      <c r="AN73" s="693" t="str">
        <f>IF('A1.3.8'!D$38="","",IF(OR(VLOOKUP($B73,'A1.3.11'!$B$26:$AM$105,AN$22,)="",VLOOKUP($B73,'A1.3.7'!$B$28:$H$118,6,)=""),"",VLOOKUP($B73,'A1.3.11'!$B$26:$AM$105,AN$22,)*VLOOKUP($B73,'A1.3.7'!$B$28:$O$118,6,)))</f>
        <v/>
      </c>
      <c r="AO73" s="691" t="str">
        <f>IF('A1.3.8'!E$38="","",IF(OR(VLOOKUP($B73,'A1.3.11'!$B$26:$AM$105,AO$22,)="",VLOOKUP($B73,'A1.3.7'!$B$28:$H$118,6,)=""),"",VLOOKUP($B73,'A1.3.11'!$B$26:$AM$105,AO$22,)*VLOOKUP($B73,'A1.3.7'!$B$28:$O$118,6,)))</f>
        <v/>
      </c>
      <c r="AP73" s="691" t="str">
        <f>IF('A1.3.8'!F$38="","",IF(OR(VLOOKUP($B73,'A1.3.11'!$B$26:$AM$105,AP$22,)="",VLOOKUP($B73,'A1.3.7'!$B$28:$H$118,6,)=""),"",VLOOKUP($B73,'A1.3.11'!$B$26:$AM$105,AP$22,)*VLOOKUP($B73,'A1.3.7'!$B$28:$O$118,6,)))</f>
        <v/>
      </c>
      <c r="AQ73" s="1664" t="str">
        <f>IF('A1.3.8'!G$38="","",IF(OR(VLOOKUP($B73,'A1.3.11'!$B$26:$AM$105,AQ$22,)="",VLOOKUP($B73,'A1.3.7'!$B$28:$H$118,6,)=""),"",VLOOKUP($B73,'A1.3.11'!$B$26:$AM$105,AQ$22,)*VLOOKUP($B73,'A1.3.7'!$B$28:$O$118,6,)))</f>
        <v/>
      </c>
      <c r="AR73" s="693">
        <f>IF(AND(AJ73="",AN73=""),"",IF(AJ73="",0,(AJ73*VLOOKUP($B73,'A1.3.9'!$B$26:$O$57,9,TRUE))) + IF(AN73="",0,(AN73*VLOOKUP($B73,'A1.3.9'!$B$26:$O$57,10,TRUE))))</f>
        <v>308.49325767815566</v>
      </c>
      <c r="AS73" s="691">
        <f>IF(AND(AK73="",AO73=""),"",IF(AK73="",0,(AK73*VLOOKUP($B73,'A1.3.9'!$B$26:$O$57,9,TRUE))) + IF(AO73="",0,(AO73*VLOOKUP($B73,'A1.3.9'!$B$26:$O$57,10,TRUE))))</f>
        <v>16.367790100339146</v>
      </c>
      <c r="AT73" s="691">
        <f>IF(AND(AL73="",AP73=""),"",IF(AL73="",0,(AL73*VLOOKUP($B73,'A1.3.9'!$B$26:$O$57,9,TRUE))) + IF(AP73="",0,(AP73*VLOOKUP($B73,'A1.3.9'!$B$26:$O$57,10,TRUE))))</f>
        <v>-0.11830649076852796</v>
      </c>
      <c r="AU73" s="2644">
        <f>IF(AND(AM73="",AQ73=""),"",IF(AM73="",0,(AM73*VLOOKUP($B73,'A1.3.9'!$B$26:$O$57,9,TRUE))) + IF(AQ73="",0,(AQ73*VLOOKUP($B73,'A1.3.9'!$B$26:$O$57,10,TRUE))))</f>
        <v>1.2920967023744927E-3</v>
      </c>
      <c r="AV73" s="693">
        <f>IF('A1.3.8'!D$32="","",IF(OR(VLOOKUP($B73,'A1.3.11'!$B$26:$AM$105,AV$22,)="",VLOOKUP($B73,'A1.3.7'!$B$28:$H$118,4,)=""),"",VLOOKUP($B73,'A1.3.11'!$B$26:$AM$105,AV$22,)*(VLOOKUP($B73,'A1.3.7'!$B$28:$O$118,4,)+VLOOKUP($B73,'A1.3.7'!$B$28:$O$118,9,))))</f>
        <v>648.22472054891796</v>
      </c>
      <c r="AW73" s="691">
        <f>IF('A1.3.8'!E$32="","",IF(OR(VLOOKUP($B73,'A1.3.11'!$B$26:$AM$105,AW$22,)="",VLOOKUP($B73,'A1.3.7'!$B$28:$H$118,4,)=""),"",VLOOKUP($B73,'A1.3.11'!$B$26:$AM$105,AW$22,)*(VLOOKUP($B73,'A1.3.7'!$B$28:$O$118,4,)+VLOOKUP($B73,'A1.3.7'!$B$28:$O$118,9,))))</f>
        <v>33.663458328552707</v>
      </c>
      <c r="AX73" s="691">
        <f>IF('A1.3.8'!F$32="","",IF(OR(VLOOKUP($B73,'A1.3.11'!$B$26:$AM$105,AX$22,)="",VLOOKUP($B73,'A1.3.7'!$B$28:$H$118,4,)=""),"",VLOOKUP($B73,'A1.3.11'!$B$26:$AM$105,AX$22,)*(VLOOKUP($B73,'A1.3.7'!$B$28:$O$118,4,)+VLOOKUP($B73,'A1.3.7'!$B$28:$O$118,9,))))</f>
        <v>-0.22303812053646846</v>
      </c>
      <c r="AY73" s="2644">
        <f>IF('A1.3.8'!G$32="","",IF(OR(VLOOKUP($B73,'A1.3.11'!$B$26:$AM$105,AY$22,)="",VLOOKUP($B73,'A1.3.7'!$B$28:$H$118,4,)=""),"",VLOOKUP($B73,'A1.3.11'!$B$26:$AM$105,AY$22,)*(VLOOKUP($B73,'A1.3.7'!$B$28:$O$118,4,)+VLOOKUP($B73,'A1.3.7'!$B$28:$O$118,9,))))</f>
        <v>1.3293999448435816E-3</v>
      </c>
      <c r="AZ73" s="693" t="str">
        <f>IF('A1.3.8'!D$39="","",IF(OR(VLOOKUP($B73,'A1.3.11'!$B$26:$AM$105,AZ$22,)="",VLOOKUP($B73,'A1.3.7'!$B$28:$H$118,6,)=""),"",VLOOKUP($B73,'A1.3.11'!$B$26:$AM$105,AZ$22,)*VLOOKUP($B73,'A1.3.7'!$B$28:$O$118,6,)))</f>
        <v/>
      </c>
      <c r="BA73" s="691" t="str">
        <f>IF('A1.3.8'!E$39="","",IF(OR(VLOOKUP($B73,'A1.3.11'!$B$26:$AM$105,BA$22,)="",VLOOKUP($B73,'A1.3.7'!$B$28:$H$118,6,)=""),"",VLOOKUP($B73,'A1.3.11'!$B$26:$AM$105,BA$22,)*VLOOKUP($B73,'A1.3.7'!$B$28:$O$118,6,)))</f>
        <v/>
      </c>
      <c r="BB73" s="691" t="str">
        <f>IF('A1.3.8'!F$39="","",IF(OR(VLOOKUP($B73,'A1.3.11'!$B$26:$AM$105,BB$22,)="",VLOOKUP($B73,'A1.3.7'!$B$28:$H$118,6,)=""),"",VLOOKUP($B73,'A1.3.11'!$B$26:$AM$105,BB$22,)*VLOOKUP($B73,'A1.3.7'!$B$28:$O$118,6,)))</f>
        <v/>
      </c>
      <c r="BC73" s="1664" t="str">
        <f>IF('A1.3.8'!G$39="","",IF(OR(VLOOKUP($B73,'A1.3.11'!$B$26:$AM$105,BC$22,)="",VLOOKUP($B73,'A1.3.7'!$B$28:$H$118,6,)=""),"",VLOOKUP($B73,'A1.3.11'!$B$26:$AM$105,BC$22,)*VLOOKUP($B73,'A1.3.7'!$B$28:$O$118,6,)))</f>
        <v/>
      </c>
      <c r="BD73" s="693">
        <f>IF(AND(AV73="",AZ73=""),"",IF(AV73="",0,(AV73*VLOOKUP($B73,'A1.3.9'!$B$26:$O$57,9,TRUE))) + IF(AZ73="",0,(AZ73*VLOOKUP($B73,'A1.3.9'!$B$26:$O$57,10,TRUE))))</f>
        <v>648.22472054891796</v>
      </c>
      <c r="BE73" s="691">
        <f>IF(AND(AW73="",BA73=""),"",IF(AW73="",0,(AW73*VLOOKUP($B73,'A1.3.9'!$B$26:$O$57,9,TRUE))) + IF(BA73="",0,(BA73*VLOOKUP($B73,'A1.3.9'!$B$26:$O$57,10,TRUE))))</f>
        <v>33.663458328552707</v>
      </c>
      <c r="BF73" s="691">
        <f>IF(AND(AX73="",BB73=""),"",IF(AX73="",0,(AX73*VLOOKUP($B73,'A1.3.9'!$B$26:$O$57,9,TRUE))) + IF(BB73="",0,(BB73*VLOOKUP($B73,'A1.3.9'!$B$26:$O$57,10,TRUE))))</f>
        <v>-0.22303812053646846</v>
      </c>
      <c r="BG73" s="2644">
        <f>IF(AND(AY73="",BC73=""),"",IF(AY73="",0,(AY73*VLOOKUP($B73,'A1.3.9'!$B$26:$O$57,9,TRUE))) + IF(BC73="",0,(BC73*VLOOKUP($B73,'A1.3.9'!$B$26:$O$57,10,TRUE))))</f>
        <v>1.3293999448435816E-3</v>
      </c>
      <c r="BH73" s="693">
        <f>IF('A1.3.8'!D$33="","",IF(OR(VLOOKUP($B73,'A1.3.11'!$B$26:$AM$105,BH$22,)="",VLOOKUP($B73,'A1.3.7'!$B$28:$H$118,4,)=""),"",VLOOKUP($B73,'A1.3.11'!$B$26:$AM$105,BH$22,)*(VLOOKUP($B73,'A1.3.7'!$B$28:$O$118,4,)+VLOOKUP($B73,'A1.3.7'!$B$28:$O$118,9,))))</f>
        <v>384.45308614289962</v>
      </c>
      <c r="BI73" s="691">
        <f>IF('A1.3.8'!E$33="","",IF(OR(VLOOKUP($B73,'A1.3.11'!$B$26:$AM$105,BI$22,)="",VLOOKUP($B73,'A1.3.7'!$B$28:$H$118,4,)=""),"",VLOOKUP($B73,'A1.3.11'!$B$26:$AM$105,BI$22,)*(VLOOKUP($B73,'A1.3.7'!$B$28:$O$118,4,)+VLOOKUP($B73,'A1.3.7'!$B$28:$O$118,9,))))</f>
        <v>33.780720387381713</v>
      </c>
      <c r="BJ73" s="691">
        <f>IF('A1.3.8'!F$33="","",IF(OR(VLOOKUP($B73,'A1.3.11'!$B$26:$AM$105,BJ$22,)="",VLOOKUP($B73,'A1.3.7'!$B$28:$H$118,4,)=""),"",VLOOKUP($B73,'A1.3.11'!$B$26:$AM$105,BJ$22,)*(VLOOKUP($B73,'A1.3.7'!$B$28:$O$118,4,)+VLOOKUP($B73,'A1.3.7'!$B$28:$O$118,9,))))</f>
        <v>-0.36716632210266187</v>
      </c>
      <c r="BK73" s="2644">
        <f>IF('A1.3.8'!G$33="","",IF(OR(VLOOKUP($B73,'A1.3.11'!$B$26:$AM$105,BK$22,)="",VLOOKUP($B73,'A1.3.7'!$B$28:$H$118,4,)=""),"",VLOOKUP($B73,'A1.3.11'!$B$26:$AM$105,BK$22,)*(VLOOKUP($B73,'A1.3.7'!$B$28:$O$118,4,)+VLOOKUP($B73,'A1.3.7'!$B$28:$O$118,9,))))</f>
        <v>2.6933150519828758E-3</v>
      </c>
      <c r="BL73" s="693" t="str">
        <f>IF('A1.3.8'!D$40="","",IF(OR(VLOOKUP($B73,'A1.3.11'!$B$26:$AM$105,BL$22,)="",VLOOKUP($B73,'A1.3.7'!$B$28:$H$118,6,)=""),"",VLOOKUP($B73,'A1.3.11'!$B$26:$AM$105,BL$22,)*VLOOKUP($B73,'A1.3.7'!$B$28:$O$118,6,)))</f>
        <v/>
      </c>
      <c r="BM73" s="691" t="str">
        <f>IF('A1.3.8'!E$40="","",IF(OR(VLOOKUP($B73,'A1.3.11'!$B$26:$AM$105,BM$22,)="",VLOOKUP($B73,'A1.3.7'!$B$28:$H$118,6,)=""),"",VLOOKUP($B73,'A1.3.11'!$B$26:$AM$105,BM$22,)*VLOOKUP($B73,'A1.3.7'!$B$28:$O$118,6,)))</f>
        <v/>
      </c>
      <c r="BN73" s="691" t="str">
        <f>IF('A1.3.8'!F$40="","",IF(OR(VLOOKUP($B73,'A1.3.11'!$B$26:$AM$105,BN$22,)="",VLOOKUP($B73,'A1.3.7'!$B$28:$H$118,6,)=""),"",VLOOKUP($B73,'A1.3.11'!$B$26:$AM$105,BN$22,)*VLOOKUP($B73,'A1.3.7'!$B$28:$O$118,6,)))</f>
        <v/>
      </c>
      <c r="BO73" s="1664" t="str">
        <f>IF('A1.3.8'!G$40="","",IF(OR(VLOOKUP($B73,'A1.3.11'!$B$26:$AM$105,BO$22,)="",VLOOKUP($B73,'A1.3.7'!$B$28:$H$118,6,)=""),"",VLOOKUP($B73,'A1.3.11'!$B$26:$AM$105,BO$22,)*VLOOKUP($B73,'A1.3.7'!$B$28:$O$118,6,)))</f>
        <v/>
      </c>
      <c r="BP73" s="693">
        <f>IF(AND(BH73="",BL73=""),"",IF(BH73="",0,(BH73*VLOOKUP($B73,'A1.3.9'!$B$26:$O$57,9,TRUE))) + IF(BL73="",0,(BL73*VLOOKUP($B73,'A1.3.9'!$B$26:$O$57,10,TRUE))))</f>
        <v>384.45308614289962</v>
      </c>
      <c r="BQ73" s="691">
        <f>IF(AND(BI73="",BM73=""),"",IF(BI73="",0,(BI73*VLOOKUP($B73,'A1.3.9'!$B$26:$O$57,9,TRUE))) + IF(BM73="",0,(BM73*VLOOKUP($B73,'A1.3.9'!$B$26:$O$57,10,TRUE))))</f>
        <v>33.780720387381713</v>
      </c>
      <c r="BR73" s="691">
        <f>IF(AND(BJ73="",BN73=""),"",IF(BJ73="",0,(BJ73*VLOOKUP($B73,'A1.3.9'!$B$26:$O$57,9,TRUE))) + IF(BN73="",0,(BN73*VLOOKUP($B73,'A1.3.9'!$B$26:$O$57,10,TRUE))))</f>
        <v>-0.36716632210266187</v>
      </c>
      <c r="BS73" s="2644">
        <f>IF(AND(BK73="",BO73=""),"",IF(BK73="",0,(BK73*VLOOKUP($B73,'A1.3.9'!$B$26:$O$57,9,TRUE))) + IF(BO73="",0,(BO73*VLOOKUP($B73,'A1.3.9'!$B$26:$O$57,10,TRUE))))</f>
        <v>2.6933150519828758E-3</v>
      </c>
    </row>
    <row r="74" spans="1:71" ht="13.5" customHeight="1">
      <c r="A74" s="113"/>
      <c r="B74" s="614">
        <f t="shared" si="0"/>
        <v>2057</v>
      </c>
      <c r="C74" s="147"/>
      <c r="D74" s="693">
        <f>IF('A1.3.8'!D$27="","",IF(OR(VLOOKUP($B74,'A1.3.11'!$B$26:$AM$105,D$22,)="",VLOOKUP($B74,'A1.3.7'!$B$28:$H$118,3,)=""),"",VLOOKUP($B74,'A1.3.11'!$B$26:$AM$105,D$22,)*(VLOOKUP($B74,'A1.3.7'!$B$28:$O$118,3,)+VLOOKUP($B74,'A1.3.7'!$B$28:$O$118,8,))))</f>
        <v>36.079010139461239</v>
      </c>
      <c r="E74" s="691">
        <f>IF('A1.3.8'!E$27="","",IF(OR(VLOOKUP($B74,'A1.3.11'!$B$26:$AM$105,E$22,)="",VLOOKUP($B74,'A1.3.7'!$B$28:$H$118,3,)=""),"",VLOOKUP($B74,'A1.3.11'!$B$26:$AM$105,E$22,)*(VLOOKUP($B74,'A1.3.7'!$B$28:$O$118,3,)+VLOOKUP($B74,'A1.3.7'!$B$28:$O$118,8,))))</f>
        <v>7.6673748889472622</v>
      </c>
      <c r="F74" s="691">
        <f>IF('A1.3.8'!F$27="","",IF(OR(VLOOKUP($B74,'A1.3.11'!$B$26:$AM$105,F$22,)="",VLOOKUP($B74,'A1.3.7'!$B$28:$H$118,3,)=""),"",VLOOKUP($B74,'A1.3.11'!$B$26:$AM$105,F$22,)*(VLOOKUP($B74,'A1.3.7'!$B$28:$O$118,3,)+VLOOKUP($B74,'A1.3.7'!$B$28:$O$118,8,))))</f>
        <v>-8.7340492615291518E-2</v>
      </c>
      <c r="G74" s="2644">
        <f>IF('A1.3.8'!G$27="","",IF(OR(VLOOKUP($B74,'A1.3.11'!$B$26:$AM$105,G$22,)="",VLOOKUP($B74,'A1.3.7'!$B$28:$H$118,3,)=""),"",VLOOKUP($B74,'A1.3.11'!$B$26:$AM$105,G$22,)*(VLOOKUP($B74,'A1.3.7'!$B$28:$O$118,3,)+VLOOKUP($B74,'A1.3.7'!$B$28:$O$118,8,))))</f>
        <v>5.7844905505659598E-4</v>
      </c>
      <c r="H74" s="693">
        <f>IF('A1.3.8'!D$28="","",IF(OR(VLOOKUP($B74,'A1.3.11'!$B$26:$AM$105,H$22,)="",VLOOKUP($B74,'A1.3.7'!$B$28:$H$118,4,)=""),"",VLOOKUP($B74,'A1.3.11'!$B$26:$AM$105,H$22,)*(VLOOKUP($B74,'A1.3.7'!$B$28:$O$118,4,)+VLOOKUP($B74,'A1.3.7'!$B$28:$O$118,9,))))</f>
        <v>44.49063632416798</v>
      </c>
      <c r="I74" s="691">
        <f>IF('A1.3.8'!E$28="","",IF(OR(VLOOKUP($B74,'A1.3.11'!$B$26:$AM$105,I$22,)="",VLOOKUP($B74,'A1.3.7'!$B$28:$H$118,4,)=""),"",VLOOKUP($B74,'A1.3.11'!$B$26:$AM$105,I$22,)*(VLOOKUP($B74,'A1.3.7'!$B$28:$O$118,4,)+VLOOKUP($B74,'A1.3.7'!$B$28:$O$118,9,))))</f>
        <v>6.3788569967002946</v>
      </c>
      <c r="J74" s="691">
        <f>IF('A1.3.8'!F$28="","",IF(OR(VLOOKUP($B74,'A1.3.11'!$B$26:$AM$105,J$22,)="",VLOOKUP($B74,'A1.3.7'!$B$28:$H$118,4,)=""),"",VLOOKUP($B74,'A1.3.11'!$B$26:$AM$105,J$22,)*(VLOOKUP($B74,'A1.3.7'!$B$28:$O$118,4,)+VLOOKUP($B74,'A1.3.7'!$B$28:$O$118,9,))))</f>
        <v>-6.1366381334536015E-2</v>
      </c>
      <c r="K74" s="2644">
        <f>IF('A1.3.8'!G$28="","",IF(OR(VLOOKUP($B74,'A1.3.11'!$B$26:$AM$105,K$22,)="",VLOOKUP($B74,'A1.3.7'!$B$28:$H$118,4,)=""),"",VLOOKUP($B74,'A1.3.11'!$B$26:$AM$105,K$22,)*(VLOOKUP($B74,'A1.3.7'!$B$28:$O$118,4,)+VLOOKUP($B74,'A1.3.7'!$B$28:$O$118,9,))))</f>
        <v>4.8357016371343697E-4</v>
      </c>
      <c r="L74" s="693" t="str">
        <f>IF('A1.3.8'!D$36="","",IF(OR(VLOOKUP($B74,'A1.3.11'!$B$26:$AM$105,L$22,)="",VLOOKUP($B74,'A1.3.7'!$B$28:$H$118,6,)=""),"",VLOOKUP($B74,'A1.3.11'!$B$26:$AM$105,L$22,)*VLOOKUP($B74,'A1.3.7'!$B$28:$O$118,6,)))</f>
        <v/>
      </c>
      <c r="M74" s="691">
        <f>IF('A1.3.8'!E$36="","",IF(OR(VLOOKUP($B74,'A1.3.11'!$B$26:$AM$105,M$22,)="",VLOOKUP($B74,'A1.3.7'!$B$28:$H$118,6,)=""),"",VLOOKUP($B74,'A1.3.11'!$B$26:$AM$105,M$22,)*VLOOKUP($B74,'A1.3.7'!$B$28:$O$118,6,)))</f>
        <v>1.9637608285706969</v>
      </c>
      <c r="N74" s="691" t="str">
        <f>IF('A1.3.8'!F$36="","",IF(OR(VLOOKUP($B74,'A1.3.11'!$B$26:$AM$105,N$22,)="",VLOOKUP($B74,'A1.3.7'!$B$28:$H$118,6,)=""),"",VLOOKUP($B74,'A1.3.11'!$B$26:$AM$105,N$22,)*VLOOKUP($B74,'A1.3.7'!$B$28:$O$118,6,)))</f>
        <v/>
      </c>
      <c r="O74" s="1664" t="str">
        <f>IF('A1.3.8'!G$36="","",IF(OR(VLOOKUP($B74,'A1.3.11'!$B$26:$AM$105,O$22,)="",VLOOKUP($B74,'A1.3.7'!$B$28:$H$118,6,)=""),"",VLOOKUP($B74,'A1.3.11'!$B$26:$AM$105,O$22,)*VLOOKUP($B74,'A1.3.7'!$B$28:$O$118,6,)))</f>
        <v/>
      </c>
      <c r="P74" s="693">
        <f>IF(AND(D74="",H74="",L74=""),"",IF(D74="",0,(D74*VLOOKUP($B74,'A1.3.9'!$B$26:$O$57,3,TRUE)))+IF(H74="",0,(H74*VLOOKUP($B74,'A1.3.9'!$B$26:$O$57,4,TRUE)))+IF(L74="",0,(L74*VLOOKUP($B74,'A1.3.9'!$B$26:$O$57,5,TRUE))))</f>
        <v>29.927769439290518</v>
      </c>
      <c r="Q74" s="691">
        <f>IF(AND(E74="",I74="",M74=""),"",IF(E74="",0,(E74*VLOOKUP($B74,'A1.3.9'!$B$26:$O$57,3,TRUE)))+IF(I74="",0,(I74*VLOOKUP($B74,'A1.3.9'!$B$26:$O$57,4,TRUE)))+IF(M74="",0,(M74*VLOOKUP($B74,'A1.3.9'!$B$26:$O$57,5,TRUE))))</f>
        <v>5.8870164573578823</v>
      </c>
      <c r="R74" s="691">
        <f>IF(AND(F74="",J74="",N74=""),"",IF(F74="",0,(F74*VLOOKUP($B74,'A1.3.9'!$B$26:$O$57,3,TRUE)))+IF(J74="",0,(J74*VLOOKUP($B74,'A1.3.9'!$B$26:$O$57,4,TRUE)))+IF(N74="",0,(N74*VLOOKUP($B74,'A1.3.9'!$B$26:$O$57,5,TRUE))))</f>
        <v>-5.8151184500090311E-2</v>
      </c>
      <c r="S74" s="2644">
        <f>IF(AND(G74="",K74="",O74=""),"",IF(G74="",0,(G74*VLOOKUP($B74,'A1.3.9'!$B$26:$O$57,3,TRUE)))+IF(K74="",0,(K74*VLOOKUP($B74,'A1.3.9'!$B$26:$O$57,4,TRUE)))+IF(O74="",0,(O74*VLOOKUP($B74,'A1.3.9'!$B$26:$O$57,5,TRUE))))</f>
        <v>4.0893555556059712E-4</v>
      </c>
      <c r="T74" s="693">
        <f>IF('A1.3.8'!D$29="","",IF(OR(VLOOKUP($B74,'A1.3.11'!$B$26:$AM$105,T$22,)="",VLOOKUP($B74,'A1.3.7'!$B$28:$H$118,3,)=""),"",VLOOKUP($B74,'A1.3.11'!$B$26:$AM$105,T$22,)*(VLOOKUP($B74,'A1.3.7'!$B$28:$O$118,3,)+VLOOKUP($B74,'A1.3.7'!$B$28:$O$118,8,))))</f>
        <v>25.952825111805499</v>
      </c>
      <c r="U74" s="691">
        <f>IF('A1.3.8'!E$29="","",IF(OR(VLOOKUP($B74,'A1.3.11'!$B$26:$AM$105,U$22,)="",VLOOKUP($B74,'A1.3.7'!$B$28:$H$118,3,)=""),"",VLOOKUP($B74,'A1.3.11'!$B$26:$AM$105,U$22,)*(VLOOKUP($B74,'A1.3.7'!$B$28:$O$118,3,)+VLOOKUP($B74,'A1.3.7'!$B$28:$O$118,8,))))</f>
        <v>14.552842006733108</v>
      </c>
      <c r="V74" s="691">
        <f>IF('A1.3.8'!F$29="","",IF(OR(VLOOKUP($B74,'A1.3.11'!$B$26:$AM$105,V$22,)="",VLOOKUP($B74,'A1.3.7'!$B$28:$H$118,3,)=""),"",VLOOKUP($B74,'A1.3.11'!$B$26:$AM$105,V$22,)*(VLOOKUP($B74,'A1.3.7'!$B$28:$O$118,3,)+VLOOKUP($B74,'A1.3.7'!$B$28:$O$118,8,))))</f>
        <v>-0.22843185133621513</v>
      </c>
      <c r="W74" s="2644">
        <f>IF('A1.3.8'!G$29="","",IF(OR(VLOOKUP($B74,'A1.3.11'!$B$26:$AM$105,W$22,)="",VLOOKUP($B74,'A1.3.7'!$B$28:$H$118,3,)=""),"",VLOOKUP($B74,'A1.3.11'!$B$26:$AM$105,W$22,)*(VLOOKUP($B74,'A1.3.7'!$B$28:$O$118,3,)+VLOOKUP($B74,'A1.3.7'!$B$28:$O$118,8,))))</f>
        <v>1.475221432962346E-3</v>
      </c>
      <c r="X74" s="693">
        <f>IF('A1.3.8'!D$30="","",IF(OR(VLOOKUP($B74,'A1.3.11'!$B$26:$AM$105,X$22,)="",VLOOKUP($B74,'A1.3.7'!$B$28:$H$118,4,)=""),"",VLOOKUP($B74,'A1.3.11'!$B$26:$AM$105,X$22,)*(VLOOKUP($B74,'A1.3.7'!$B$28:$O$118,4,)+VLOOKUP($B74,'A1.3.7'!$B$28:$O$118,9,))))</f>
        <v>45.821039046567122</v>
      </c>
      <c r="Y74" s="691">
        <f>IF('A1.3.8'!E$30="","",IF(OR(VLOOKUP($B74,'A1.3.11'!$B$26:$AM$105,Y$22,)="",VLOOKUP($B74,'A1.3.7'!$B$28:$H$118,4,)=""),"",VLOOKUP($B74,'A1.3.11'!$B$26:$AM$105,Y$22,)*(VLOOKUP($B74,'A1.3.7'!$B$28:$O$118,4,)+VLOOKUP($B74,'A1.3.7'!$B$28:$O$118,9,))))</f>
        <v>11.198848678915198</v>
      </c>
      <c r="Z74" s="691">
        <f>IF('A1.3.8'!F$30="","",IF(OR(VLOOKUP($B74,'A1.3.11'!$B$26:$AM$105,Z$22,)="",VLOOKUP($B74,'A1.3.7'!$B$28:$H$118,4,)=""),"",VLOOKUP($B74,'A1.3.11'!$B$26:$AM$105,Z$22,)*(VLOOKUP($B74,'A1.3.7'!$B$28:$O$118,4,)+VLOOKUP($B74,'A1.3.7'!$B$28:$O$118,9,))))</f>
        <v>-0.16156374546237481</v>
      </c>
      <c r="AA74" s="2644">
        <f>IF('A1.3.8'!G$30="","",IF(OR(VLOOKUP($B74,'A1.3.11'!$B$26:$AM$105,AA$22,)="",VLOOKUP($B74,'A1.3.7'!$B$28:$H$118,4,)=""),"",VLOOKUP($B74,'A1.3.11'!$B$26:$AM$105,AA$22,)*(VLOOKUP($B74,'A1.3.7'!$B$28:$O$118,4,)+VLOOKUP($B74,'A1.3.7'!$B$28:$O$118,9,))))</f>
        <v>1.3678043023511327E-3</v>
      </c>
      <c r="AB74" s="693" t="str">
        <f>IF('A1.3.8'!D$37="","",IF(OR(VLOOKUP($B74,'A1.3.11'!$B$26:$AM$105,AB$22,)="",VLOOKUP($B74,'A1.3.7'!$B$28:$H$118,6,)=""),"",VLOOKUP($B74,'A1.3.11'!$B$26:$AM$105,AB$22,)*VLOOKUP($B74,'A1.3.7'!$B$28:$O$118,6,)))</f>
        <v/>
      </c>
      <c r="AC74" s="691">
        <f>IF('A1.3.8'!E$37="","",IF(OR(VLOOKUP($B74,'A1.3.11'!$B$26:$AM$105,AC$22,)="",VLOOKUP($B74,'A1.3.7'!$B$28:$H$118,6,)=""),"",VLOOKUP($B74,'A1.3.11'!$B$26:$AM$105,AC$22,)*VLOOKUP($B74,'A1.3.7'!$B$28:$O$118,6,)))</f>
        <v>4.5145632825273854</v>
      </c>
      <c r="AD74" s="691" t="str">
        <f>IF('A1.3.8'!F$37="","",IF(OR(VLOOKUP($B74,'A1.3.11'!$B$26:$AM$105,AD$22,)="",VLOOKUP($B74,'A1.3.7'!$B$28:$H$118,6,)=""),"",VLOOKUP($B74,'A1.3.11'!$B$26:$AM$105,AD$22,)*VLOOKUP($B74,'A1.3.7'!$B$28:$O$118,6,)))</f>
        <v/>
      </c>
      <c r="AE74" s="1664" t="str">
        <f>IF('A1.3.8'!G$37="","",IF(OR(VLOOKUP($B74,'A1.3.11'!$B$26:$AM$105,AE$22,)="",VLOOKUP($B74,'A1.3.7'!$B$28:$H$118,6,)=""),"",VLOOKUP($B74,'A1.3.11'!$B$26:$AM$105,AE$22,)*VLOOKUP($B74,'A1.3.7'!$B$28:$O$118,6,)))</f>
        <v/>
      </c>
      <c r="AF74" s="693">
        <f>IF(AND(T74="",X74="",AB74=""),"",IF(T74="",0,(T74*VLOOKUP('A1.3.12'!$B74,'A1.3.9'!$B$26:$O$57,6,TRUE))) + IF(X74="",0,(X74*VLOOKUP('A1.3.12'!$B74,'A1.3.9'!$B$26:$O$57,7,TRUE))) + IF(AB74="",0,(AB74*VLOOKUP('A1.3.12'!$B74,'A1.3.9'!$B$26:$O$57,8,TRUE))))</f>
        <v>40.6566155055758</v>
      </c>
      <c r="AG74" s="691">
        <f>IF(AND(U74="",Y74="",AC74=""),"",IF(U74="",0,(U74*VLOOKUP('A1.3.12'!$B74,'A1.3.9'!$B$26:$O$57,6,TRUE))) + IF(Y74="",0,(Y74*VLOOKUP('A1.3.12'!$B74,'A1.3.9'!$B$26:$O$57,7,TRUE))) + IF(AC74="",0,(AC74*VLOOKUP('A1.3.12'!$B74,'A1.3.9'!$B$26:$O$57,8,TRUE))))</f>
        <v>10.492873679171488</v>
      </c>
      <c r="AH74" s="691">
        <f>IF(AND(V74="",Z74="",AD74=""),"",IF(V74="",0,(V74*VLOOKUP('A1.3.12'!$B74,'A1.3.9'!$B$26:$O$57,6,TRUE))) + IF(Z74="",0,(Z74*VLOOKUP('A1.3.12'!$B74,'A1.3.9'!$B$26:$O$57,7,TRUE))) + IF(AD74="",0,(AD74*VLOOKUP('A1.3.12'!$B74,'A1.3.9'!$B$26:$O$57,8,TRUE))))</f>
        <v>-0.14439219035154915</v>
      </c>
      <c r="AI74" s="2644">
        <f>IF(AND(W74="",AA74="",AE74=""),"",IF(W74="",0,(W74*VLOOKUP('A1.3.12'!$B74,'A1.3.9'!$B$26:$O$57,6,TRUE))) + IF(AA74="",0,(AA74*VLOOKUP('A1.3.12'!$B74,'A1.3.9'!$B$26:$O$57,7,TRUE))) + IF(AE74="",0,(AE74*VLOOKUP('A1.3.12'!$B74,'A1.3.9'!$B$26:$O$57,8,TRUE))))</f>
        <v>1.2189518162348486E-3</v>
      </c>
      <c r="AJ74" s="693">
        <f>IF('A1.3.8'!D$31="","",IF(OR(VLOOKUP($B74,'A1.3.11'!$B$26:$AM$105,AJ$22,)="",VLOOKUP($B74,'A1.3.7'!$B$28:$H$118,4,)=""),"",VLOOKUP($B74,'A1.3.11'!$B$26:$AM$105,AJ$22,)*(VLOOKUP($B74,'A1.3.7'!$B$28:$O$118,4,)+VLOOKUP($B74,'A1.3.7'!$B$28:$O$118,9,))))</f>
        <v>309.74851907246034</v>
      </c>
      <c r="AK74" s="691">
        <f>IF('A1.3.8'!E$31="","",IF(OR(VLOOKUP($B74,'A1.3.11'!$B$26:$AM$105,AK$22,)="",VLOOKUP($B74,'A1.3.7'!$B$28:$H$118,4,)=""),"",VLOOKUP($B74,'A1.3.11'!$B$26:$AM$105,AK$22,)*(VLOOKUP($B74,'A1.3.7'!$B$28:$O$118,4,)+VLOOKUP($B74,'A1.3.7'!$B$28:$O$118,9,))))</f>
        <v>16.434390761817696</v>
      </c>
      <c r="AL74" s="691">
        <f>IF('A1.3.8'!F$31="","",IF(OR(VLOOKUP($B74,'A1.3.11'!$B$26:$AM$105,AL$22,)="",VLOOKUP($B74,'A1.3.7'!$B$28:$H$118,4,)=""),"",VLOOKUP($B74,'A1.3.11'!$B$26:$AM$105,AL$22,)*(VLOOKUP($B74,'A1.3.7'!$B$28:$O$118,4,)+VLOOKUP($B74,'A1.3.7'!$B$28:$O$118,9,))))</f>
        <v>-0.11878788077255953</v>
      </c>
      <c r="AM74" s="2644">
        <f>IF('A1.3.8'!G$31="","",IF(OR(VLOOKUP($B74,'A1.3.11'!$B$26:$AM$105,AM$22,)="",VLOOKUP($B74,'A1.3.7'!$B$28:$H$118,4,)=""),"",VLOOKUP($B74,'A1.3.11'!$B$26:$AM$105,AM$22,)*(VLOOKUP($B74,'A1.3.7'!$B$28:$O$118,4,)+VLOOKUP($B74,'A1.3.7'!$B$28:$O$118,9,))))</f>
        <v>1.2973542536104787E-3</v>
      </c>
      <c r="AN74" s="693" t="str">
        <f>IF('A1.3.8'!D$38="","",IF(OR(VLOOKUP($B74,'A1.3.11'!$B$26:$AM$105,AN$22,)="",VLOOKUP($B74,'A1.3.7'!$B$28:$H$118,6,)=""),"",VLOOKUP($B74,'A1.3.11'!$B$26:$AM$105,AN$22,)*VLOOKUP($B74,'A1.3.7'!$B$28:$O$118,6,)))</f>
        <v/>
      </c>
      <c r="AO74" s="691" t="str">
        <f>IF('A1.3.8'!E$38="","",IF(OR(VLOOKUP($B74,'A1.3.11'!$B$26:$AM$105,AO$22,)="",VLOOKUP($B74,'A1.3.7'!$B$28:$H$118,6,)=""),"",VLOOKUP($B74,'A1.3.11'!$B$26:$AM$105,AO$22,)*VLOOKUP($B74,'A1.3.7'!$B$28:$O$118,6,)))</f>
        <v/>
      </c>
      <c r="AP74" s="691" t="str">
        <f>IF('A1.3.8'!F$38="","",IF(OR(VLOOKUP($B74,'A1.3.11'!$B$26:$AM$105,AP$22,)="",VLOOKUP($B74,'A1.3.7'!$B$28:$H$118,6,)=""),"",VLOOKUP($B74,'A1.3.11'!$B$26:$AM$105,AP$22,)*VLOOKUP($B74,'A1.3.7'!$B$28:$O$118,6,)))</f>
        <v/>
      </c>
      <c r="AQ74" s="1664" t="str">
        <f>IF('A1.3.8'!G$38="","",IF(OR(VLOOKUP($B74,'A1.3.11'!$B$26:$AM$105,AQ$22,)="",VLOOKUP($B74,'A1.3.7'!$B$28:$H$118,6,)=""),"",VLOOKUP($B74,'A1.3.11'!$B$26:$AM$105,AQ$22,)*VLOOKUP($B74,'A1.3.7'!$B$28:$O$118,6,)))</f>
        <v/>
      </c>
      <c r="AR74" s="693">
        <f>IF(AND(AJ74="",AN74=""),"",IF(AJ74="",0,(AJ74*VLOOKUP($B74,'A1.3.9'!$B$26:$O$57,9,TRUE))) + IF(AN74="",0,(AN74*VLOOKUP($B74,'A1.3.9'!$B$26:$O$57,10,TRUE))))</f>
        <v>309.74851907246034</v>
      </c>
      <c r="AS74" s="691">
        <f>IF(AND(AK74="",AO74=""),"",IF(AK74="",0,(AK74*VLOOKUP($B74,'A1.3.9'!$B$26:$O$57,9,TRUE))) + IF(AO74="",0,(AO74*VLOOKUP($B74,'A1.3.9'!$B$26:$O$57,10,TRUE))))</f>
        <v>16.434390761817696</v>
      </c>
      <c r="AT74" s="691">
        <f>IF(AND(AL74="",AP74=""),"",IF(AL74="",0,(AL74*VLOOKUP($B74,'A1.3.9'!$B$26:$O$57,9,TRUE))) + IF(AP74="",0,(AP74*VLOOKUP($B74,'A1.3.9'!$B$26:$O$57,10,TRUE))))</f>
        <v>-0.11878788077255953</v>
      </c>
      <c r="AU74" s="2644">
        <f>IF(AND(AM74="",AQ74=""),"",IF(AM74="",0,(AM74*VLOOKUP($B74,'A1.3.9'!$B$26:$O$57,9,TRUE))) + IF(AQ74="",0,(AQ74*VLOOKUP($B74,'A1.3.9'!$B$26:$O$57,10,TRUE))))</f>
        <v>1.2973542536104787E-3</v>
      </c>
      <c r="AV74" s="693">
        <f>IF('A1.3.8'!D$32="","",IF(OR(VLOOKUP($B74,'A1.3.11'!$B$26:$AM$105,AV$22,)="",VLOOKUP($B74,'A1.3.7'!$B$28:$H$118,4,)=""),"",VLOOKUP($B74,'A1.3.11'!$B$26:$AM$105,AV$22,)*(VLOOKUP($B74,'A1.3.7'!$B$28:$O$118,4,)+VLOOKUP($B74,'A1.3.7'!$B$28:$O$118,9,))))</f>
        <v>650.86235183027293</v>
      </c>
      <c r="AW74" s="691">
        <f>IF('A1.3.8'!E$32="","",IF(OR(VLOOKUP($B74,'A1.3.11'!$B$26:$AM$105,AW$22,)="",VLOOKUP($B74,'A1.3.7'!$B$28:$H$118,4,)=""),"",VLOOKUP($B74,'A1.3.11'!$B$26:$AM$105,AW$22,)*(VLOOKUP($B74,'A1.3.7'!$B$28:$O$118,4,)+VLOOKUP($B74,'A1.3.7'!$B$28:$O$118,9,))))</f>
        <v>33.800435194616675</v>
      </c>
      <c r="AX74" s="691">
        <f>IF('A1.3.8'!F$32="","",IF(OR(VLOOKUP($B74,'A1.3.11'!$B$26:$AM$105,AX$22,)="",VLOOKUP($B74,'A1.3.7'!$B$28:$H$118,4,)=""),"",VLOOKUP($B74,'A1.3.11'!$B$26:$AM$105,AX$22,)*(VLOOKUP($B74,'A1.3.7'!$B$28:$O$118,4,)+VLOOKUP($B74,'A1.3.7'!$B$28:$O$118,9,))))</f>
        <v>-0.22394566433264371</v>
      </c>
      <c r="AY74" s="2644">
        <f>IF('A1.3.8'!G$32="","",IF(OR(VLOOKUP($B74,'A1.3.11'!$B$26:$AM$105,AY$22,)="",VLOOKUP($B74,'A1.3.7'!$B$28:$H$118,4,)=""),"",VLOOKUP($B74,'A1.3.11'!$B$26:$AM$105,AY$22,)*(VLOOKUP($B74,'A1.3.7'!$B$28:$O$118,4,)+VLOOKUP($B74,'A1.3.7'!$B$28:$O$118,9,))))</f>
        <v>1.3348092832547761E-3</v>
      </c>
      <c r="AZ74" s="693" t="str">
        <f>IF('A1.3.8'!D$39="","",IF(OR(VLOOKUP($B74,'A1.3.11'!$B$26:$AM$105,AZ$22,)="",VLOOKUP($B74,'A1.3.7'!$B$28:$H$118,6,)=""),"",VLOOKUP($B74,'A1.3.11'!$B$26:$AM$105,AZ$22,)*VLOOKUP($B74,'A1.3.7'!$B$28:$O$118,6,)))</f>
        <v/>
      </c>
      <c r="BA74" s="691" t="str">
        <f>IF('A1.3.8'!E$39="","",IF(OR(VLOOKUP($B74,'A1.3.11'!$B$26:$AM$105,BA$22,)="",VLOOKUP($B74,'A1.3.7'!$B$28:$H$118,6,)=""),"",VLOOKUP($B74,'A1.3.11'!$B$26:$AM$105,BA$22,)*VLOOKUP($B74,'A1.3.7'!$B$28:$O$118,6,)))</f>
        <v/>
      </c>
      <c r="BB74" s="691" t="str">
        <f>IF('A1.3.8'!F$39="","",IF(OR(VLOOKUP($B74,'A1.3.11'!$B$26:$AM$105,BB$22,)="",VLOOKUP($B74,'A1.3.7'!$B$28:$H$118,6,)=""),"",VLOOKUP($B74,'A1.3.11'!$B$26:$AM$105,BB$22,)*VLOOKUP($B74,'A1.3.7'!$B$28:$O$118,6,)))</f>
        <v/>
      </c>
      <c r="BC74" s="1664" t="str">
        <f>IF('A1.3.8'!G$39="","",IF(OR(VLOOKUP($B74,'A1.3.11'!$B$26:$AM$105,BC$22,)="",VLOOKUP($B74,'A1.3.7'!$B$28:$H$118,6,)=""),"",VLOOKUP($B74,'A1.3.11'!$B$26:$AM$105,BC$22,)*VLOOKUP($B74,'A1.3.7'!$B$28:$O$118,6,)))</f>
        <v/>
      </c>
      <c r="BD74" s="693">
        <f>IF(AND(AV74="",AZ74=""),"",IF(AV74="",0,(AV74*VLOOKUP($B74,'A1.3.9'!$B$26:$O$57,9,TRUE))) + IF(AZ74="",0,(AZ74*VLOOKUP($B74,'A1.3.9'!$B$26:$O$57,10,TRUE))))</f>
        <v>650.86235183027293</v>
      </c>
      <c r="BE74" s="691">
        <f>IF(AND(AW74="",BA74=""),"",IF(AW74="",0,(AW74*VLOOKUP($B74,'A1.3.9'!$B$26:$O$57,9,TRUE))) + IF(BA74="",0,(BA74*VLOOKUP($B74,'A1.3.9'!$B$26:$O$57,10,TRUE))))</f>
        <v>33.800435194616675</v>
      </c>
      <c r="BF74" s="691">
        <f>IF(AND(AX74="",BB74=""),"",IF(AX74="",0,(AX74*VLOOKUP($B74,'A1.3.9'!$B$26:$O$57,9,TRUE))) + IF(BB74="",0,(BB74*VLOOKUP($B74,'A1.3.9'!$B$26:$O$57,10,TRUE))))</f>
        <v>-0.22394566433264371</v>
      </c>
      <c r="BG74" s="2644">
        <f>IF(AND(AY74="",BC74=""),"",IF(AY74="",0,(AY74*VLOOKUP($B74,'A1.3.9'!$B$26:$O$57,9,TRUE))) + IF(BC74="",0,(BC74*VLOOKUP($B74,'A1.3.9'!$B$26:$O$57,10,TRUE))))</f>
        <v>1.3348092832547761E-3</v>
      </c>
      <c r="BH74" s="693">
        <f>IF('A1.3.8'!D$33="","",IF(OR(VLOOKUP($B74,'A1.3.11'!$B$26:$AM$105,BH$22,)="",VLOOKUP($B74,'A1.3.7'!$B$28:$H$118,4,)=""),"",VLOOKUP($B74,'A1.3.11'!$B$26:$AM$105,BH$22,)*(VLOOKUP($B74,'A1.3.7'!$B$28:$O$118,4,)+VLOOKUP($B74,'A1.3.7'!$B$28:$O$118,9,))))</f>
        <v>386.01742865264731</v>
      </c>
      <c r="BI74" s="691">
        <f>IF('A1.3.8'!E$33="","",IF(OR(VLOOKUP($B74,'A1.3.11'!$B$26:$AM$105,BI$22,)="",VLOOKUP($B74,'A1.3.7'!$B$28:$H$118,4,)=""),"",VLOOKUP($B74,'A1.3.11'!$B$26:$AM$105,BI$22,)*(VLOOKUP($B74,'A1.3.7'!$B$28:$O$118,4,)+VLOOKUP($B74,'A1.3.7'!$B$28:$O$118,9,))))</f>
        <v>33.918174393648265</v>
      </c>
      <c r="BJ74" s="691">
        <f>IF('A1.3.8'!F$33="","",IF(OR(VLOOKUP($B74,'A1.3.11'!$B$26:$AM$105,BJ$22,)="",VLOOKUP($B74,'A1.3.7'!$B$28:$H$118,4,)=""),"",VLOOKUP($B74,'A1.3.11'!$B$26:$AM$105,BJ$22,)*(VLOOKUP($B74,'A1.3.7'!$B$28:$O$118,4,)+VLOOKUP($B74,'A1.3.7'!$B$28:$O$118,9,))))</f>
        <v>-0.3686603246390322</v>
      </c>
      <c r="BK74" s="2644">
        <f>IF('A1.3.8'!G$33="","",IF(OR(VLOOKUP($B74,'A1.3.11'!$B$26:$AM$105,BK$22,)="",VLOOKUP($B74,'A1.3.7'!$B$28:$H$118,4,)=""),"",VLOOKUP($B74,'A1.3.11'!$B$26:$AM$105,BK$22,)*(VLOOKUP($B74,'A1.3.7'!$B$28:$O$118,4,)+VLOOKUP($B74,'A1.3.7'!$B$28:$O$118,9,))))</f>
        <v>2.7042741712612005E-3</v>
      </c>
      <c r="BL74" s="693" t="str">
        <f>IF('A1.3.8'!D$40="","",IF(OR(VLOOKUP($B74,'A1.3.11'!$B$26:$AM$105,BL$22,)="",VLOOKUP($B74,'A1.3.7'!$B$28:$H$118,6,)=""),"",VLOOKUP($B74,'A1.3.11'!$B$26:$AM$105,BL$22,)*VLOOKUP($B74,'A1.3.7'!$B$28:$O$118,6,)))</f>
        <v/>
      </c>
      <c r="BM74" s="691" t="str">
        <f>IF('A1.3.8'!E$40="","",IF(OR(VLOOKUP($B74,'A1.3.11'!$B$26:$AM$105,BM$22,)="",VLOOKUP($B74,'A1.3.7'!$B$28:$H$118,6,)=""),"",VLOOKUP($B74,'A1.3.11'!$B$26:$AM$105,BM$22,)*VLOOKUP($B74,'A1.3.7'!$B$28:$O$118,6,)))</f>
        <v/>
      </c>
      <c r="BN74" s="691" t="str">
        <f>IF('A1.3.8'!F$40="","",IF(OR(VLOOKUP($B74,'A1.3.11'!$B$26:$AM$105,BN$22,)="",VLOOKUP($B74,'A1.3.7'!$B$28:$H$118,6,)=""),"",VLOOKUP($B74,'A1.3.11'!$B$26:$AM$105,BN$22,)*VLOOKUP($B74,'A1.3.7'!$B$28:$O$118,6,)))</f>
        <v/>
      </c>
      <c r="BO74" s="1664" t="str">
        <f>IF('A1.3.8'!G$40="","",IF(OR(VLOOKUP($B74,'A1.3.11'!$B$26:$AM$105,BO$22,)="",VLOOKUP($B74,'A1.3.7'!$B$28:$H$118,6,)=""),"",VLOOKUP($B74,'A1.3.11'!$B$26:$AM$105,BO$22,)*VLOOKUP($B74,'A1.3.7'!$B$28:$O$118,6,)))</f>
        <v/>
      </c>
      <c r="BP74" s="693">
        <f>IF(AND(BH74="",BL74=""),"",IF(BH74="",0,(BH74*VLOOKUP($B74,'A1.3.9'!$B$26:$O$57,9,TRUE))) + IF(BL74="",0,(BL74*VLOOKUP($B74,'A1.3.9'!$B$26:$O$57,10,TRUE))))</f>
        <v>386.01742865264731</v>
      </c>
      <c r="BQ74" s="691">
        <f>IF(AND(BI74="",BM74=""),"",IF(BI74="",0,(BI74*VLOOKUP($B74,'A1.3.9'!$B$26:$O$57,9,TRUE))) + IF(BM74="",0,(BM74*VLOOKUP($B74,'A1.3.9'!$B$26:$O$57,10,TRUE))))</f>
        <v>33.918174393648265</v>
      </c>
      <c r="BR74" s="691">
        <f>IF(AND(BJ74="",BN74=""),"",IF(BJ74="",0,(BJ74*VLOOKUP($B74,'A1.3.9'!$B$26:$O$57,9,TRUE))) + IF(BN74="",0,(BN74*VLOOKUP($B74,'A1.3.9'!$B$26:$O$57,10,TRUE))))</f>
        <v>-0.3686603246390322</v>
      </c>
      <c r="BS74" s="2644">
        <f>IF(AND(BK74="",BO74=""),"",IF(BK74="",0,(BK74*VLOOKUP($B74,'A1.3.9'!$B$26:$O$57,9,TRUE))) + IF(BO74="",0,(BO74*VLOOKUP($B74,'A1.3.9'!$B$26:$O$57,10,TRUE))))</f>
        <v>2.7042741712612005E-3</v>
      </c>
    </row>
    <row r="75" spans="1:71" ht="13.5" customHeight="1">
      <c r="A75" s="113"/>
      <c r="B75" s="614">
        <f t="shared" si="0"/>
        <v>2058</v>
      </c>
      <c r="C75" s="147"/>
      <c r="D75" s="693">
        <f>IF('A1.3.8'!D$27="","",IF(OR(VLOOKUP($B75,'A1.3.11'!$B$26:$AM$105,D$22,)="",VLOOKUP($B75,'A1.3.7'!$B$28:$H$118,3,)=""),"",VLOOKUP($B75,'A1.3.11'!$B$26:$AM$105,D$22,)*(VLOOKUP($B75,'A1.3.7'!$B$28:$O$118,3,)+VLOOKUP($B75,'A1.3.7'!$B$28:$O$118,8,))))</f>
        <v>36.23147879088102</v>
      </c>
      <c r="E75" s="691">
        <f>IF('A1.3.8'!E$27="","",IF(OR(VLOOKUP($B75,'A1.3.11'!$B$26:$AM$105,E$22,)="",VLOOKUP($B75,'A1.3.7'!$B$28:$H$118,3,)=""),"",VLOOKUP($B75,'A1.3.11'!$B$26:$AM$105,E$22,)*(VLOOKUP($B75,'A1.3.7'!$B$28:$O$118,3,)+VLOOKUP($B75,'A1.3.7'!$B$28:$O$118,8,))))</f>
        <v>7.6997769505539653</v>
      </c>
      <c r="F75" s="691">
        <f>IF('A1.3.8'!F$27="","",IF(OR(VLOOKUP($B75,'A1.3.11'!$B$26:$AM$105,F$22,)="",VLOOKUP($B75,'A1.3.7'!$B$28:$H$118,3,)=""),"",VLOOKUP($B75,'A1.3.11'!$B$26:$AM$105,F$22,)*(VLOOKUP($B75,'A1.3.7'!$B$28:$O$118,3,)+VLOOKUP($B75,'A1.3.7'!$B$28:$O$118,8,))))</f>
        <v>-8.7709590522133146E-2</v>
      </c>
      <c r="G75" s="2644">
        <f>IF('A1.3.8'!G$27="","",IF(OR(VLOOKUP($B75,'A1.3.11'!$B$26:$AM$105,G$22,)="",VLOOKUP($B75,'A1.3.7'!$B$28:$H$118,3,)=""),"",VLOOKUP($B75,'A1.3.11'!$B$26:$AM$105,G$22,)*(VLOOKUP($B75,'A1.3.7'!$B$28:$O$118,3,)+VLOOKUP($B75,'A1.3.7'!$B$28:$O$118,8,))))</f>
        <v>5.8089356079548998E-4</v>
      </c>
      <c r="H75" s="693">
        <f>IF('A1.3.8'!D$28="","",IF(OR(VLOOKUP($B75,'A1.3.11'!$B$26:$AM$105,H$22,)="",VLOOKUP($B75,'A1.3.7'!$B$28:$H$118,4,)=""),"",VLOOKUP($B75,'A1.3.11'!$B$26:$AM$105,H$22,)*(VLOOKUP($B75,'A1.3.7'!$B$28:$O$118,4,)+VLOOKUP($B75,'A1.3.7'!$B$28:$O$118,9,))))</f>
        <v>44.672169139003969</v>
      </c>
      <c r="I75" s="691">
        <f>IF('A1.3.8'!E$28="","",IF(OR(VLOOKUP($B75,'A1.3.11'!$B$26:$AM$105,I$22,)="",VLOOKUP($B75,'A1.3.7'!$B$28:$H$118,4,)=""),"",VLOOKUP($B75,'A1.3.11'!$B$26:$AM$105,I$22,)*(VLOOKUP($B75,'A1.3.7'!$B$28:$O$118,4,)+VLOOKUP($B75,'A1.3.7'!$B$28:$O$118,9,))))</f>
        <v>6.4048843130463684</v>
      </c>
      <c r="J75" s="691">
        <f>IF('A1.3.8'!F$28="","",IF(OR(VLOOKUP($B75,'A1.3.11'!$B$26:$AM$105,J$22,)="",VLOOKUP($B75,'A1.3.7'!$B$28:$H$118,4,)=""),"",VLOOKUP($B75,'A1.3.11'!$B$26:$AM$105,J$22,)*(VLOOKUP($B75,'A1.3.7'!$B$28:$O$118,4,)+VLOOKUP($B75,'A1.3.7'!$B$28:$O$118,9,))))</f>
        <v>-6.1616771368492571E-2</v>
      </c>
      <c r="K75" s="2644">
        <f>IF('A1.3.8'!G$28="","",IF(OR(VLOOKUP($B75,'A1.3.11'!$B$26:$AM$105,K$22,)="",VLOOKUP($B75,'A1.3.7'!$B$28:$H$118,4,)=""),"",VLOOKUP($B75,'A1.3.11'!$B$26:$AM$105,K$22,)*(VLOOKUP($B75,'A1.3.7'!$B$28:$O$118,4,)+VLOOKUP($B75,'A1.3.7'!$B$28:$O$118,9,))))</f>
        <v>4.8554324974327007E-4</v>
      </c>
      <c r="L75" s="693" t="str">
        <f>IF('A1.3.8'!D$36="","",IF(OR(VLOOKUP($B75,'A1.3.11'!$B$26:$AM$105,L$22,)="",VLOOKUP($B75,'A1.3.7'!$B$28:$H$118,6,)=""),"",VLOOKUP($B75,'A1.3.11'!$B$26:$AM$105,L$22,)*VLOOKUP($B75,'A1.3.7'!$B$28:$O$118,6,)))</f>
        <v/>
      </c>
      <c r="M75" s="691">
        <f>IF('A1.3.8'!E$36="","",IF(OR(VLOOKUP($B75,'A1.3.11'!$B$26:$AM$105,M$22,)="",VLOOKUP($B75,'A1.3.7'!$B$28:$H$118,6,)=""),"",VLOOKUP($B75,'A1.3.11'!$B$26:$AM$105,M$22,)*VLOOKUP($B75,'A1.3.7'!$B$28:$O$118,6,)))</f>
        <v>1.9637608285706969</v>
      </c>
      <c r="N75" s="691" t="str">
        <f>IF('A1.3.8'!F$36="","",IF(OR(VLOOKUP($B75,'A1.3.11'!$B$26:$AM$105,N$22,)="",VLOOKUP($B75,'A1.3.7'!$B$28:$H$118,6,)=""),"",VLOOKUP($B75,'A1.3.11'!$B$26:$AM$105,N$22,)*VLOOKUP($B75,'A1.3.7'!$B$28:$O$118,6,)))</f>
        <v/>
      </c>
      <c r="O75" s="1664" t="str">
        <f>IF('A1.3.8'!G$36="","",IF(OR(VLOOKUP($B75,'A1.3.11'!$B$26:$AM$105,O$22,)="",VLOOKUP($B75,'A1.3.7'!$B$28:$H$118,6,)=""),"",VLOOKUP($B75,'A1.3.11'!$B$26:$AM$105,O$22,)*VLOOKUP($B75,'A1.3.7'!$B$28:$O$118,6,)))</f>
        <v/>
      </c>
      <c r="P75" s="693">
        <f>IF(AND(D75="",H75="",L75=""),"",IF(D75="",0,(D75*VLOOKUP($B75,'A1.3.9'!$B$26:$O$57,3,TRUE)))+IF(H75="",0,(H75*VLOOKUP($B75,'A1.3.9'!$B$26:$O$57,4,TRUE)))+IF(L75="",0,(L75*VLOOKUP($B75,'A1.3.9'!$B$26:$O$57,5,TRUE))))</f>
        <v>30.052242664997355</v>
      </c>
      <c r="Q75" s="691">
        <f>IF(AND(E75="",I75="",M75=""),"",IF(E75="",0,(E75*VLOOKUP($B75,'A1.3.9'!$B$26:$O$57,3,TRUE)))+IF(I75="",0,(I75*VLOOKUP($B75,'A1.3.9'!$B$26:$O$57,4,TRUE)))+IF(M75="",0,(M75*VLOOKUP($B75,'A1.3.9'!$B$26:$O$57,5,TRUE))))</f>
        <v>5.9095960444487377</v>
      </c>
      <c r="R75" s="691">
        <f>IF(AND(F75="",J75="",N75=""),"",IF(F75="",0,(F75*VLOOKUP($B75,'A1.3.9'!$B$26:$O$57,3,TRUE)))+IF(J75="",0,(J75*VLOOKUP($B75,'A1.3.9'!$B$26:$O$57,4,TRUE)))+IF(N75="",0,(N75*VLOOKUP($B75,'A1.3.9'!$B$26:$O$57,5,TRUE))))</f>
        <v>-5.8394170095805012E-2</v>
      </c>
      <c r="S75" s="2644">
        <f>IF(AND(G75="",K75="",O75=""),"",IF(G75="",0,(G75*VLOOKUP($B75,'A1.3.9'!$B$26:$O$57,3,TRUE)))+IF(K75="",0,(K75*VLOOKUP($B75,'A1.3.9'!$B$26:$O$57,4,TRUE)))+IF(O75="",0,(O75*VLOOKUP($B75,'A1.3.9'!$B$26:$O$57,5,TRUE))))</f>
        <v>4.1064195965896227E-4</v>
      </c>
      <c r="T75" s="693">
        <f>IF('A1.3.8'!D$29="","",IF(OR(VLOOKUP($B75,'A1.3.11'!$B$26:$AM$105,T$22,)="",VLOOKUP($B75,'A1.3.7'!$B$28:$H$118,3,)=""),"",VLOOKUP($B75,'A1.3.11'!$B$26:$AM$105,T$22,)*(VLOOKUP($B75,'A1.3.7'!$B$28:$O$118,3,)+VLOOKUP($B75,'A1.3.7'!$B$28:$O$118,8,))))</f>
        <v>26.062500854849308</v>
      </c>
      <c r="U75" s="691">
        <f>IF('A1.3.8'!E$29="","",IF(OR(VLOOKUP($B75,'A1.3.11'!$B$26:$AM$105,U$22,)="",VLOOKUP($B75,'A1.3.7'!$B$28:$H$118,3,)=""),"",VLOOKUP($B75,'A1.3.11'!$B$26:$AM$105,U$22,)*(VLOOKUP($B75,'A1.3.7'!$B$28:$O$118,3,)+VLOOKUP($B75,'A1.3.7'!$B$28:$O$118,8,))))</f>
        <v>14.614341814696656</v>
      </c>
      <c r="V75" s="691">
        <f>IF('A1.3.8'!F$29="","",IF(OR(VLOOKUP($B75,'A1.3.11'!$B$26:$AM$105,V$22,)="",VLOOKUP($B75,'A1.3.7'!$B$28:$H$118,3,)=""),"",VLOOKUP($B75,'A1.3.11'!$B$26:$AM$105,V$22,)*(VLOOKUP($B75,'A1.3.7'!$B$28:$O$118,3,)+VLOOKUP($B75,'A1.3.7'!$B$28:$O$118,8,))))</f>
        <v>-0.22939719645460749</v>
      </c>
      <c r="W75" s="2644">
        <f>IF('A1.3.8'!G$29="","",IF(OR(VLOOKUP($B75,'A1.3.11'!$B$26:$AM$105,W$22,)="",VLOOKUP($B75,'A1.3.7'!$B$28:$H$118,3,)=""),"",VLOOKUP($B75,'A1.3.11'!$B$26:$AM$105,W$22,)*(VLOOKUP($B75,'A1.3.7'!$B$28:$O$118,3,)+VLOOKUP($B75,'A1.3.7'!$B$28:$O$118,8,))))</f>
        <v>1.4814556678141308E-3</v>
      </c>
      <c r="X75" s="693">
        <f>IF('A1.3.8'!D$30="","",IF(OR(VLOOKUP($B75,'A1.3.11'!$B$26:$AM$105,X$22,)="",VLOOKUP($B75,'A1.3.7'!$B$28:$H$118,4,)=""),"",VLOOKUP($B75,'A1.3.11'!$B$26:$AM$105,X$22,)*(VLOOKUP($B75,'A1.3.7'!$B$28:$O$118,4,)+VLOOKUP($B75,'A1.3.7'!$B$28:$O$118,9,))))</f>
        <v>46.008000234000505</v>
      </c>
      <c r="Y75" s="691">
        <f>IF('A1.3.8'!E$30="","",IF(OR(VLOOKUP($B75,'A1.3.11'!$B$26:$AM$105,Y$22,)="",VLOOKUP($B75,'A1.3.7'!$B$28:$H$118,4,)=""),"",VLOOKUP($B75,'A1.3.11'!$B$26:$AM$105,Y$22,)*(VLOOKUP($B75,'A1.3.7'!$B$28:$O$118,4,)+VLOOKUP($B75,'A1.3.7'!$B$28:$O$118,9,))))</f>
        <v>11.244542755052775</v>
      </c>
      <c r="Z75" s="691">
        <f>IF('A1.3.8'!F$30="","",IF(OR(VLOOKUP($B75,'A1.3.11'!$B$26:$AM$105,Z$22,)="",VLOOKUP($B75,'A1.3.7'!$B$28:$H$118,4,)=""),"",VLOOKUP($B75,'A1.3.11'!$B$26:$AM$105,Z$22,)*(VLOOKUP($B75,'A1.3.7'!$B$28:$O$118,4,)+VLOOKUP($B75,'A1.3.7'!$B$28:$O$118,9,))))</f>
        <v>-0.16222296555703769</v>
      </c>
      <c r="AA75" s="2644">
        <f>IF('A1.3.8'!G$30="","",IF(OR(VLOOKUP($B75,'A1.3.11'!$B$26:$AM$105,AA$22,)="",VLOOKUP($B75,'A1.3.7'!$B$28:$H$118,4,)=""),"",VLOOKUP($B75,'A1.3.11'!$B$26:$AM$105,AA$22,)*(VLOOKUP($B75,'A1.3.7'!$B$28:$O$118,4,)+VLOOKUP($B75,'A1.3.7'!$B$28:$O$118,9,))))</f>
        <v>1.373385282657672E-3</v>
      </c>
      <c r="AB75" s="693" t="str">
        <f>IF('A1.3.8'!D$37="","",IF(OR(VLOOKUP($B75,'A1.3.11'!$B$26:$AM$105,AB$22,)="",VLOOKUP($B75,'A1.3.7'!$B$28:$H$118,6,)=""),"",VLOOKUP($B75,'A1.3.11'!$B$26:$AM$105,AB$22,)*VLOOKUP($B75,'A1.3.7'!$B$28:$O$118,6,)))</f>
        <v/>
      </c>
      <c r="AC75" s="691">
        <f>IF('A1.3.8'!E$37="","",IF(OR(VLOOKUP($B75,'A1.3.11'!$B$26:$AM$105,AC$22,)="",VLOOKUP($B75,'A1.3.7'!$B$28:$H$118,6,)=""),"",VLOOKUP($B75,'A1.3.11'!$B$26:$AM$105,AC$22,)*VLOOKUP($B75,'A1.3.7'!$B$28:$O$118,6,)))</f>
        <v>4.5145632825273854</v>
      </c>
      <c r="AD75" s="691" t="str">
        <f>IF('A1.3.8'!F$37="","",IF(OR(VLOOKUP($B75,'A1.3.11'!$B$26:$AM$105,AD$22,)="",VLOOKUP($B75,'A1.3.7'!$B$28:$H$118,6,)=""),"",VLOOKUP($B75,'A1.3.11'!$B$26:$AM$105,AD$22,)*VLOOKUP($B75,'A1.3.7'!$B$28:$O$118,6,)))</f>
        <v/>
      </c>
      <c r="AE75" s="1664" t="str">
        <f>IF('A1.3.8'!G$37="","",IF(OR(VLOOKUP($B75,'A1.3.11'!$B$26:$AM$105,AE$22,)="",VLOOKUP($B75,'A1.3.7'!$B$28:$H$118,6,)=""),"",VLOOKUP($B75,'A1.3.11'!$B$26:$AM$105,AE$22,)*VLOOKUP($B75,'A1.3.7'!$B$28:$O$118,6,)))</f>
        <v/>
      </c>
      <c r="AF75" s="693">
        <f>IF(AND(T75="",X75="",AB75=""),"",IF(T75="",0,(T75*VLOOKUP('A1.3.12'!$B75,'A1.3.9'!$B$26:$O$57,6,TRUE))) + IF(X75="",0,(X75*VLOOKUP('A1.3.12'!$B75,'A1.3.9'!$B$26:$O$57,7,TRUE))) + IF(AB75="",0,(AB75*VLOOKUP('A1.3.12'!$B75,'A1.3.9'!$B$26:$O$57,8,TRUE))))</f>
        <v>40.822533237063354</v>
      </c>
      <c r="AG75" s="691">
        <f>IF(AND(U75="",Y75="",AC75=""),"",IF(U75="",0,(U75*VLOOKUP('A1.3.12'!$B75,'A1.3.9'!$B$26:$O$57,6,TRUE))) + IF(Y75="",0,(Y75*VLOOKUP('A1.3.12'!$B75,'A1.3.9'!$B$26:$O$57,7,TRUE))) + IF(AC75="",0,(AC75*VLOOKUP('A1.3.12'!$B75,'A1.3.9'!$B$26:$O$57,8,TRUE))))</f>
        <v>10.533687681495636</v>
      </c>
      <c r="AH75" s="691">
        <f>IF(AND(V75="",Z75="",AD75=""),"",IF(V75="",0,(V75*VLOOKUP('A1.3.12'!$B75,'A1.3.9'!$B$26:$O$57,6,TRUE))) + IF(Z75="",0,(Z75*VLOOKUP('A1.3.12'!$B75,'A1.3.9'!$B$26:$O$57,7,TRUE))) + IF(AD75="",0,(AD75*VLOOKUP('A1.3.12'!$B75,'A1.3.9'!$B$26:$O$57,8,TRUE))))</f>
        <v>-0.14498159860649545</v>
      </c>
      <c r="AI75" s="2644">
        <f>IF(AND(W75="",AA75="",AE75=""),"",IF(W75="",0,(W75*VLOOKUP('A1.3.12'!$B75,'A1.3.9'!$B$26:$O$57,6,TRUE))) + IF(AA75="",0,(AA75*VLOOKUP('A1.3.12'!$B75,'A1.3.9'!$B$26:$O$57,7,TRUE))) + IF(AE75="",0,(AE75*VLOOKUP('A1.3.12'!$B75,'A1.3.9'!$B$26:$O$57,8,TRUE))))</f>
        <v>1.2239270712695372E-3</v>
      </c>
      <c r="AJ75" s="693">
        <f>IF('A1.3.8'!D$31="","",IF(OR(VLOOKUP($B75,'A1.3.11'!$B$26:$AM$105,AJ$22,)="",VLOOKUP($B75,'A1.3.7'!$B$28:$H$118,4,)=""),"",VLOOKUP($B75,'A1.3.11'!$B$26:$AM$105,AJ$22,)*(VLOOKUP($B75,'A1.3.7'!$B$28:$O$118,4,)+VLOOKUP($B75,'A1.3.7'!$B$28:$O$118,9,))))</f>
        <v>311.01236974316782</v>
      </c>
      <c r="AK75" s="691">
        <f>IF('A1.3.8'!E$31="","",IF(OR(VLOOKUP($B75,'A1.3.11'!$B$26:$AM$105,AK$22,)="",VLOOKUP($B75,'A1.3.7'!$B$28:$H$118,4,)=""),"",VLOOKUP($B75,'A1.3.11'!$B$26:$AM$105,AK$22,)*(VLOOKUP($B75,'A1.3.7'!$B$28:$O$118,4,)+VLOOKUP($B75,'A1.3.7'!$B$28:$O$118,9,))))</f>
        <v>16.501447146297565</v>
      </c>
      <c r="AL75" s="691">
        <f>IF('A1.3.8'!F$31="","",IF(OR(VLOOKUP($B75,'A1.3.11'!$B$26:$AM$105,AL$22,)="",VLOOKUP($B75,'A1.3.7'!$B$28:$H$118,4,)=""),"",VLOOKUP($B75,'A1.3.11'!$B$26:$AM$105,AL$22,)*(VLOOKUP($B75,'A1.3.7'!$B$28:$O$118,4,)+VLOOKUP($B75,'A1.3.7'!$B$28:$O$118,9,))))</f>
        <v>-0.11927256474533811</v>
      </c>
      <c r="AM75" s="2644">
        <f>IF('A1.3.8'!G$31="","",IF(OR(VLOOKUP($B75,'A1.3.11'!$B$26:$AM$105,AM$22,)="",VLOOKUP($B75,'A1.3.7'!$B$28:$H$118,4,)=""),"",VLOOKUP($B75,'A1.3.11'!$B$26:$AM$105,AM$22,)*(VLOOKUP($B75,'A1.3.7'!$B$28:$O$118,4,)+VLOOKUP($B75,'A1.3.7'!$B$28:$O$118,9,))))</f>
        <v>1.3026477802703664E-3</v>
      </c>
      <c r="AN75" s="693" t="str">
        <f>IF('A1.3.8'!D$38="","",IF(OR(VLOOKUP($B75,'A1.3.11'!$B$26:$AM$105,AN$22,)="",VLOOKUP($B75,'A1.3.7'!$B$28:$H$118,6,)=""),"",VLOOKUP($B75,'A1.3.11'!$B$26:$AM$105,AN$22,)*VLOOKUP($B75,'A1.3.7'!$B$28:$O$118,6,)))</f>
        <v/>
      </c>
      <c r="AO75" s="691" t="str">
        <f>IF('A1.3.8'!E$38="","",IF(OR(VLOOKUP($B75,'A1.3.11'!$B$26:$AM$105,AO$22,)="",VLOOKUP($B75,'A1.3.7'!$B$28:$H$118,6,)=""),"",VLOOKUP($B75,'A1.3.11'!$B$26:$AM$105,AO$22,)*VLOOKUP($B75,'A1.3.7'!$B$28:$O$118,6,)))</f>
        <v/>
      </c>
      <c r="AP75" s="691" t="str">
        <f>IF('A1.3.8'!F$38="","",IF(OR(VLOOKUP($B75,'A1.3.11'!$B$26:$AM$105,AP$22,)="",VLOOKUP($B75,'A1.3.7'!$B$28:$H$118,6,)=""),"",VLOOKUP($B75,'A1.3.11'!$B$26:$AM$105,AP$22,)*VLOOKUP($B75,'A1.3.7'!$B$28:$O$118,6,)))</f>
        <v/>
      </c>
      <c r="AQ75" s="1664" t="str">
        <f>IF('A1.3.8'!G$38="","",IF(OR(VLOOKUP($B75,'A1.3.11'!$B$26:$AM$105,AQ$22,)="",VLOOKUP($B75,'A1.3.7'!$B$28:$H$118,6,)=""),"",VLOOKUP($B75,'A1.3.11'!$B$26:$AM$105,AQ$22,)*VLOOKUP($B75,'A1.3.7'!$B$28:$O$118,6,)))</f>
        <v/>
      </c>
      <c r="AR75" s="693">
        <f>IF(AND(AJ75="",AN75=""),"",IF(AJ75="",0,(AJ75*VLOOKUP($B75,'A1.3.9'!$B$26:$O$57,9,TRUE))) + IF(AN75="",0,(AN75*VLOOKUP($B75,'A1.3.9'!$B$26:$O$57,10,TRUE))))</f>
        <v>311.01236974316782</v>
      </c>
      <c r="AS75" s="691">
        <f>IF(AND(AK75="",AO75=""),"",IF(AK75="",0,(AK75*VLOOKUP($B75,'A1.3.9'!$B$26:$O$57,9,TRUE))) + IF(AO75="",0,(AO75*VLOOKUP($B75,'A1.3.9'!$B$26:$O$57,10,TRUE))))</f>
        <v>16.501447146297565</v>
      </c>
      <c r="AT75" s="691">
        <f>IF(AND(AL75="",AP75=""),"",IF(AL75="",0,(AL75*VLOOKUP($B75,'A1.3.9'!$B$26:$O$57,9,TRUE))) + IF(AP75="",0,(AP75*VLOOKUP($B75,'A1.3.9'!$B$26:$O$57,10,TRUE))))</f>
        <v>-0.11927256474533811</v>
      </c>
      <c r="AU75" s="2644">
        <f>IF(AND(AM75="",AQ75=""),"",IF(AM75="",0,(AM75*VLOOKUP($B75,'A1.3.9'!$B$26:$O$57,9,TRUE))) + IF(AQ75="",0,(AQ75*VLOOKUP($B75,'A1.3.9'!$B$26:$O$57,10,TRUE))))</f>
        <v>1.3026477802703664E-3</v>
      </c>
      <c r="AV75" s="693">
        <f>IF('A1.3.8'!D$32="","",IF(OR(VLOOKUP($B75,'A1.3.11'!$B$26:$AM$105,AV$22,)="",VLOOKUP($B75,'A1.3.7'!$B$28:$H$118,4,)=""),"",VLOOKUP($B75,'A1.3.11'!$B$26:$AM$105,AV$22,)*(VLOOKUP($B75,'A1.3.7'!$B$28:$O$118,4,)+VLOOKUP($B75,'A1.3.7'!$B$28:$O$118,9,))))</f>
        <v>653.51803141951586</v>
      </c>
      <c r="AW75" s="691">
        <f>IF('A1.3.8'!E$32="","",IF(OR(VLOOKUP($B75,'A1.3.11'!$B$26:$AM$105,AW$22,)="",VLOOKUP($B75,'A1.3.7'!$B$28:$H$118,4,)=""),"",VLOOKUP($B75,'A1.3.11'!$B$26:$AM$105,AW$22,)*(VLOOKUP($B75,'A1.3.7'!$B$28:$O$118,4,)+VLOOKUP($B75,'A1.3.7'!$B$28:$O$118,9,))))</f>
        <v>33.93834934128909</v>
      </c>
      <c r="AX75" s="691">
        <f>IF('A1.3.8'!F$32="","",IF(OR(VLOOKUP($B75,'A1.3.11'!$B$26:$AM$105,AX$22,)="",VLOOKUP($B75,'A1.3.7'!$B$28:$H$118,4,)=""),"",VLOOKUP($B75,'A1.3.11'!$B$26:$AM$105,AX$22,)*(VLOOKUP($B75,'A1.3.7'!$B$28:$O$118,4,)+VLOOKUP($B75,'A1.3.7'!$B$28:$O$118,9,))))</f>
        <v>-0.22485941810591886</v>
      </c>
      <c r="AY75" s="2644">
        <f>IF('A1.3.8'!G$32="","",IF(OR(VLOOKUP($B75,'A1.3.11'!$B$26:$AM$105,AY$22,)="",VLOOKUP($B75,'A1.3.7'!$B$28:$H$118,4,)=""),"",VLOOKUP($B75,'A1.3.11'!$B$26:$AM$105,AY$22,)*(VLOOKUP($B75,'A1.3.7'!$B$28:$O$118,4,)+VLOOKUP($B75,'A1.3.7'!$B$28:$O$118,9,))))</f>
        <v>1.3402556357117947E-3</v>
      </c>
      <c r="AZ75" s="693" t="str">
        <f>IF('A1.3.8'!D$39="","",IF(OR(VLOOKUP($B75,'A1.3.11'!$B$26:$AM$105,AZ$22,)="",VLOOKUP($B75,'A1.3.7'!$B$28:$H$118,6,)=""),"",VLOOKUP($B75,'A1.3.11'!$B$26:$AM$105,AZ$22,)*VLOOKUP($B75,'A1.3.7'!$B$28:$O$118,6,)))</f>
        <v/>
      </c>
      <c r="BA75" s="691" t="str">
        <f>IF('A1.3.8'!E$39="","",IF(OR(VLOOKUP($B75,'A1.3.11'!$B$26:$AM$105,BA$22,)="",VLOOKUP($B75,'A1.3.7'!$B$28:$H$118,6,)=""),"",VLOOKUP($B75,'A1.3.11'!$B$26:$AM$105,BA$22,)*VLOOKUP($B75,'A1.3.7'!$B$28:$O$118,6,)))</f>
        <v/>
      </c>
      <c r="BB75" s="691" t="str">
        <f>IF('A1.3.8'!F$39="","",IF(OR(VLOOKUP($B75,'A1.3.11'!$B$26:$AM$105,BB$22,)="",VLOOKUP($B75,'A1.3.7'!$B$28:$H$118,6,)=""),"",VLOOKUP($B75,'A1.3.11'!$B$26:$AM$105,BB$22,)*VLOOKUP($B75,'A1.3.7'!$B$28:$O$118,6,)))</f>
        <v/>
      </c>
      <c r="BC75" s="1664" t="str">
        <f>IF('A1.3.8'!G$39="","",IF(OR(VLOOKUP($B75,'A1.3.11'!$B$26:$AM$105,BC$22,)="",VLOOKUP($B75,'A1.3.7'!$B$28:$H$118,6,)=""),"",VLOOKUP($B75,'A1.3.11'!$B$26:$AM$105,BC$22,)*VLOOKUP($B75,'A1.3.7'!$B$28:$O$118,6,)))</f>
        <v/>
      </c>
      <c r="BD75" s="693">
        <f>IF(AND(AV75="",AZ75=""),"",IF(AV75="",0,(AV75*VLOOKUP($B75,'A1.3.9'!$B$26:$O$57,9,TRUE))) + IF(AZ75="",0,(AZ75*VLOOKUP($B75,'A1.3.9'!$B$26:$O$57,10,TRUE))))</f>
        <v>653.51803141951586</v>
      </c>
      <c r="BE75" s="691">
        <f>IF(AND(AW75="",BA75=""),"",IF(AW75="",0,(AW75*VLOOKUP($B75,'A1.3.9'!$B$26:$O$57,9,TRUE))) + IF(BA75="",0,(BA75*VLOOKUP($B75,'A1.3.9'!$B$26:$O$57,10,TRUE))))</f>
        <v>33.93834934128909</v>
      </c>
      <c r="BF75" s="691">
        <f>IF(AND(AX75="",BB75=""),"",IF(AX75="",0,(AX75*VLOOKUP($B75,'A1.3.9'!$B$26:$O$57,9,TRUE))) + IF(BB75="",0,(BB75*VLOOKUP($B75,'A1.3.9'!$B$26:$O$57,10,TRUE))))</f>
        <v>-0.22485941810591886</v>
      </c>
      <c r="BG75" s="2644">
        <f>IF(AND(AY75="",BC75=""),"",IF(AY75="",0,(AY75*VLOOKUP($B75,'A1.3.9'!$B$26:$O$57,9,TRUE))) + IF(BC75="",0,(BC75*VLOOKUP($B75,'A1.3.9'!$B$26:$O$57,10,TRUE))))</f>
        <v>1.3402556357117947E-3</v>
      </c>
      <c r="BH75" s="693">
        <f>IF('A1.3.8'!D$33="","",IF(OR(VLOOKUP($B75,'A1.3.11'!$B$26:$AM$105,BH$22,)="",VLOOKUP($B75,'A1.3.7'!$B$28:$H$118,4,)=""),"",VLOOKUP($B75,'A1.3.11'!$B$26:$AM$105,BH$22,)*(VLOOKUP($B75,'A1.3.7'!$B$28:$O$118,4,)+VLOOKUP($B75,'A1.3.7'!$B$28:$O$118,9,))))</f>
        <v>387.59247536334135</v>
      </c>
      <c r="BI75" s="691">
        <f>IF('A1.3.8'!E$33="","",IF(OR(VLOOKUP($B75,'A1.3.11'!$B$26:$AM$105,BI$22,)="",VLOOKUP($B75,'A1.3.7'!$B$28:$H$118,4,)=""),"",VLOOKUP($B75,'A1.3.11'!$B$26:$AM$105,BI$22,)*(VLOOKUP($B75,'A1.3.7'!$B$28:$O$118,4,)+VLOOKUP($B75,'A1.3.7'!$B$28:$O$118,9,))))</f>
        <v>34.056568945412231</v>
      </c>
      <c r="BJ75" s="691">
        <f>IF('A1.3.8'!F$33="","",IF(OR(VLOOKUP($B75,'A1.3.11'!$B$26:$AM$105,BJ$22,)="",VLOOKUP($B75,'A1.3.7'!$B$28:$H$118,4,)=""),"",VLOOKUP($B75,'A1.3.11'!$B$26:$AM$105,BJ$22,)*(VLOOKUP($B75,'A1.3.7'!$B$28:$O$118,4,)+VLOOKUP($B75,'A1.3.7'!$B$28:$O$118,9,))))</f>
        <v>-0.37016455006665816</v>
      </c>
      <c r="BK75" s="2644">
        <f>IF('A1.3.8'!G$33="","",IF(OR(VLOOKUP($B75,'A1.3.11'!$B$26:$AM$105,BK$22,)="",VLOOKUP($B75,'A1.3.7'!$B$28:$H$118,4,)=""),"",VLOOKUP($B75,'A1.3.11'!$B$26:$AM$105,BK$22,)*(VLOOKUP($B75,'A1.3.7'!$B$28:$O$118,4,)+VLOOKUP($B75,'A1.3.7'!$B$28:$O$118,9,))))</f>
        <v>2.7153082796254955E-3</v>
      </c>
      <c r="BL75" s="693" t="str">
        <f>IF('A1.3.8'!D$40="","",IF(OR(VLOOKUP($B75,'A1.3.11'!$B$26:$AM$105,BL$22,)="",VLOOKUP($B75,'A1.3.7'!$B$28:$H$118,6,)=""),"",VLOOKUP($B75,'A1.3.11'!$B$26:$AM$105,BL$22,)*VLOOKUP($B75,'A1.3.7'!$B$28:$O$118,6,)))</f>
        <v/>
      </c>
      <c r="BM75" s="691" t="str">
        <f>IF('A1.3.8'!E$40="","",IF(OR(VLOOKUP($B75,'A1.3.11'!$B$26:$AM$105,BM$22,)="",VLOOKUP($B75,'A1.3.7'!$B$28:$H$118,6,)=""),"",VLOOKUP($B75,'A1.3.11'!$B$26:$AM$105,BM$22,)*VLOOKUP($B75,'A1.3.7'!$B$28:$O$118,6,)))</f>
        <v/>
      </c>
      <c r="BN75" s="691" t="str">
        <f>IF('A1.3.8'!F$40="","",IF(OR(VLOOKUP($B75,'A1.3.11'!$B$26:$AM$105,BN$22,)="",VLOOKUP($B75,'A1.3.7'!$B$28:$H$118,6,)=""),"",VLOOKUP($B75,'A1.3.11'!$B$26:$AM$105,BN$22,)*VLOOKUP($B75,'A1.3.7'!$B$28:$O$118,6,)))</f>
        <v/>
      </c>
      <c r="BO75" s="1664" t="str">
        <f>IF('A1.3.8'!G$40="","",IF(OR(VLOOKUP($B75,'A1.3.11'!$B$26:$AM$105,BO$22,)="",VLOOKUP($B75,'A1.3.7'!$B$28:$H$118,6,)=""),"",VLOOKUP($B75,'A1.3.11'!$B$26:$AM$105,BO$22,)*VLOOKUP($B75,'A1.3.7'!$B$28:$O$118,6,)))</f>
        <v/>
      </c>
      <c r="BP75" s="693">
        <f>IF(AND(BH75="",BL75=""),"",IF(BH75="",0,(BH75*VLOOKUP($B75,'A1.3.9'!$B$26:$O$57,9,TRUE))) + IF(BL75="",0,(BL75*VLOOKUP($B75,'A1.3.9'!$B$26:$O$57,10,TRUE))))</f>
        <v>387.59247536334135</v>
      </c>
      <c r="BQ75" s="691">
        <f>IF(AND(BI75="",BM75=""),"",IF(BI75="",0,(BI75*VLOOKUP($B75,'A1.3.9'!$B$26:$O$57,9,TRUE))) + IF(BM75="",0,(BM75*VLOOKUP($B75,'A1.3.9'!$B$26:$O$57,10,TRUE))))</f>
        <v>34.056568945412231</v>
      </c>
      <c r="BR75" s="691">
        <f>IF(AND(BJ75="",BN75=""),"",IF(BJ75="",0,(BJ75*VLOOKUP($B75,'A1.3.9'!$B$26:$O$57,9,TRUE))) + IF(BN75="",0,(BN75*VLOOKUP($B75,'A1.3.9'!$B$26:$O$57,10,TRUE))))</f>
        <v>-0.37016455006665816</v>
      </c>
      <c r="BS75" s="2644">
        <f>IF(AND(BK75="",BO75=""),"",IF(BK75="",0,(BK75*VLOOKUP($B75,'A1.3.9'!$B$26:$O$57,9,TRUE))) + IF(BO75="",0,(BO75*VLOOKUP($B75,'A1.3.9'!$B$26:$O$57,10,TRUE))))</f>
        <v>2.7153082796254955E-3</v>
      </c>
    </row>
    <row r="76" spans="1:71" ht="13.5" customHeight="1">
      <c r="A76" s="113"/>
      <c r="B76" s="614">
        <f t="shared" si="0"/>
        <v>2059</v>
      </c>
      <c r="C76" s="147"/>
      <c r="D76" s="693">
        <f>IF('A1.3.8'!D$27="","",IF(OR(VLOOKUP($B76,'A1.3.11'!$B$26:$AM$105,D$22,)="",VLOOKUP($B76,'A1.3.7'!$B$28:$H$118,3,)=""),"",VLOOKUP($B76,'A1.3.11'!$B$26:$AM$105,D$22,)*(VLOOKUP($B76,'A1.3.7'!$B$28:$O$118,3,)+VLOOKUP($B76,'A1.3.7'!$B$28:$O$118,8,))))</f>
        <v>36.38499072730562</v>
      </c>
      <c r="E76" s="691">
        <f>IF('A1.3.8'!E$27="","",IF(OR(VLOOKUP($B76,'A1.3.11'!$B$26:$AM$105,E$22,)="",VLOOKUP($B76,'A1.3.7'!$B$28:$H$118,3,)=""),"",VLOOKUP($B76,'A1.3.11'!$B$26:$AM$105,E$22,)*(VLOOKUP($B76,'A1.3.7'!$B$28:$O$118,3,)+VLOOKUP($B76,'A1.3.7'!$B$28:$O$118,8,))))</f>
        <v>7.7324007271472226</v>
      </c>
      <c r="F76" s="691">
        <f>IF('A1.3.8'!F$27="","",IF(OR(VLOOKUP($B76,'A1.3.11'!$B$26:$AM$105,F$22,)="",VLOOKUP($B76,'A1.3.7'!$B$28:$H$118,3,)=""),"",VLOOKUP($B76,'A1.3.11'!$B$26:$AM$105,F$22,)*(VLOOKUP($B76,'A1.3.7'!$B$28:$O$118,3,)+VLOOKUP($B76,'A1.3.7'!$B$28:$O$118,8,))))</f>
        <v>-8.8081214025600249E-2</v>
      </c>
      <c r="G76" s="2644">
        <f>IF('A1.3.8'!G$27="","",IF(OR(VLOOKUP($B76,'A1.3.11'!$B$26:$AM$105,G$22,)="",VLOOKUP($B76,'A1.3.7'!$B$28:$H$118,3,)=""),"",VLOOKUP($B76,'A1.3.11'!$B$26:$AM$105,G$22,)*(VLOOKUP($B76,'A1.3.7'!$B$28:$O$118,3,)+VLOOKUP($B76,'A1.3.7'!$B$28:$O$118,8,))))</f>
        <v>5.8335479335762147E-4</v>
      </c>
      <c r="H76" s="693">
        <f>IF('A1.3.8'!D$28="","",IF(OR(VLOOKUP($B76,'A1.3.11'!$B$26:$AM$105,H$22,)="",VLOOKUP($B76,'A1.3.7'!$B$28:$H$118,4,)=""),"",VLOOKUP($B76,'A1.3.11'!$B$26:$AM$105,H$22,)*(VLOOKUP($B76,'A1.3.7'!$B$28:$O$118,4,)+VLOOKUP($B76,'A1.3.7'!$B$28:$O$118,9,))))</f>
        <v>44.854944113863283</v>
      </c>
      <c r="I76" s="691">
        <f>IF('A1.3.8'!E$28="","",IF(OR(VLOOKUP($B76,'A1.3.11'!$B$26:$AM$105,I$22,)="",VLOOKUP($B76,'A1.3.7'!$B$28:$H$118,4,)=""),"",VLOOKUP($B76,'A1.3.11'!$B$26:$AM$105,I$22,)*(VLOOKUP($B76,'A1.3.7'!$B$28:$O$118,4,)+VLOOKUP($B76,'A1.3.7'!$B$28:$O$118,9,))))</f>
        <v>6.431089724421204</v>
      </c>
      <c r="J76" s="691">
        <f>IF('A1.3.8'!F$28="","",IF(OR(VLOOKUP($B76,'A1.3.11'!$B$26:$AM$105,J$22,)="",VLOOKUP($B76,'A1.3.7'!$B$28:$H$118,4,)=""),"",VLOOKUP($B76,'A1.3.11'!$B$26:$AM$105,J$22,)*(VLOOKUP($B76,'A1.3.7'!$B$28:$O$118,4,)+VLOOKUP($B76,'A1.3.7'!$B$28:$O$118,9,))))</f>
        <v>-6.1868874726239642E-2</v>
      </c>
      <c r="K76" s="2644">
        <f>IF('A1.3.8'!G$28="","",IF(OR(VLOOKUP($B76,'A1.3.11'!$B$26:$AM$105,K$22,)="",VLOOKUP($B76,'A1.3.7'!$B$28:$H$118,4,)=""),"",VLOOKUP($B76,'A1.3.11'!$B$26:$AM$105,K$22,)*(VLOOKUP($B76,'A1.3.7'!$B$28:$O$118,4,)+VLOOKUP($B76,'A1.3.7'!$B$28:$O$118,9,))))</f>
        <v>4.875298368505312E-4</v>
      </c>
      <c r="L76" s="693" t="str">
        <f>IF('A1.3.8'!D$36="","",IF(OR(VLOOKUP($B76,'A1.3.11'!$B$26:$AM$105,L$22,)="",VLOOKUP($B76,'A1.3.7'!$B$28:$H$118,6,)=""),"",VLOOKUP($B76,'A1.3.11'!$B$26:$AM$105,L$22,)*VLOOKUP($B76,'A1.3.7'!$B$28:$O$118,6,)))</f>
        <v/>
      </c>
      <c r="M76" s="691">
        <f>IF('A1.3.8'!E$36="","",IF(OR(VLOOKUP($B76,'A1.3.11'!$B$26:$AM$105,M$22,)="",VLOOKUP($B76,'A1.3.7'!$B$28:$H$118,6,)=""),"",VLOOKUP($B76,'A1.3.11'!$B$26:$AM$105,M$22,)*VLOOKUP($B76,'A1.3.7'!$B$28:$O$118,6,)))</f>
        <v>1.9637608285706969</v>
      </c>
      <c r="N76" s="691" t="str">
        <f>IF('A1.3.8'!F$36="","",IF(OR(VLOOKUP($B76,'A1.3.11'!$B$26:$AM$105,N$22,)="",VLOOKUP($B76,'A1.3.7'!$B$28:$H$118,6,)=""),"",VLOOKUP($B76,'A1.3.11'!$B$26:$AM$105,N$22,)*VLOOKUP($B76,'A1.3.7'!$B$28:$O$118,6,)))</f>
        <v/>
      </c>
      <c r="O76" s="1664" t="str">
        <f>IF('A1.3.8'!G$36="","",IF(OR(VLOOKUP($B76,'A1.3.11'!$B$26:$AM$105,O$22,)="",VLOOKUP($B76,'A1.3.7'!$B$28:$H$118,6,)=""),"",VLOOKUP($B76,'A1.3.11'!$B$26:$AM$105,O$22,)*VLOOKUP($B76,'A1.3.7'!$B$28:$O$118,6,)))</f>
        <v/>
      </c>
      <c r="P76" s="693">
        <f>IF(AND(D76="",H76="",L76=""),"",IF(D76="",0,(D76*VLOOKUP($B76,'A1.3.9'!$B$26:$O$57,3,TRUE)))+IF(H76="",0,(H76*VLOOKUP($B76,'A1.3.9'!$B$26:$O$57,4,TRUE)))+IF(L76="",0,(L76*VLOOKUP($B76,'A1.3.9'!$B$26:$O$57,5,TRUE))))</f>
        <v>30.177567613656244</v>
      </c>
      <c r="Q76" s="691">
        <f>IF(AND(E76="",I76="",M76=""),"",IF(E76="",0,(E76*VLOOKUP($B76,'A1.3.9'!$B$26:$O$57,3,TRUE)))+IF(I76="",0,(I76*VLOOKUP($B76,'A1.3.9'!$B$26:$O$57,4,TRUE)))+IF(M76="",0,(M76*VLOOKUP($B76,'A1.3.9'!$B$26:$O$57,5,TRUE))))</f>
        <v>5.9323301350680735</v>
      </c>
      <c r="R76" s="691">
        <f>IF(AND(F76="",J76="",N76=""),"",IF(F76="",0,(F76*VLOOKUP($B76,'A1.3.9'!$B$26:$O$57,3,TRUE)))+IF(J76="",0,(J76*VLOOKUP($B76,'A1.3.9'!$B$26:$O$57,4,TRUE)))+IF(N76="",0,(N76*VLOOKUP($B76,'A1.3.9'!$B$26:$O$57,5,TRUE))))</f>
        <v>-5.8638818349554887E-2</v>
      </c>
      <c r="S76" s="2644">
        <f>IF(AND(G76="",K76="",O76=""),"",IF(G76="",0,(G76*VLOOKUP($B76,'A1.3.9'!$B$26:$O$57,3,TRUE)))+IF(K76="",0,(K76*VLOOKUP($B76,'A1.3.9'!$B$26:$O$57,4,TRUE)))+IF(O76="",0,(O76*VLOOKUP($B76,'A1.3.9'!$B$26:$O$57,5,TRUE))))</f>
        <v>4.1236004003170513E-4</v>
      </c>
      <c r="T76" s="693">
        <f>IF('A1.3.8'!D$29="","",IF(OR(VLOOKUP($B76,'A1.3.11'!$B$26:$AM$105,T$22,)="",VLOOKUP($B76,'A1.3.7'!$B$28:$H$118,3,)=""),"",VLOOKUP($B76,'A1.3.11'!$B$26:$AM$105,T$22,)*(VLOOKUP($B76,'A1.3.7'!$B$28:$O$118,3,)+VLOOKUP($B76,'A1.3.7'!$B$28:$O$118,8,))))</f>
        <v>26.172927067298097</v>
      </c>
      <c r="U76" s="691">
        <f>IF('A1.3.8'!E$29="","",IF(OR(VLOOKUP($B76,'A1.3.11'!$B$26:$AM$105,U$22,)="",VLOOKUP($B76,'A1.3.7'!$B$28:$H$118,3,)=""),"",VLOOKUP($B76,'A1.3.11'!$B$26:$AM$105,U$22,)*(VLOOKUP($B76,'A1.3.7'!$B$28:$O$118,3,)+VLOOKUP($B76,'A1.3.7'!$B$28:$O$118,8,))))</f>
        <v>14.676262442460535</v>
      </c>
      <c r="V76" s="691">
        <f>IF('A1.3.8'!F$29="","",IF(OR(VLOOKUP($B76,'A1.3.11'!$B$26:$AM$105,V$22,)="",VLOOKUP($B76,'A1.3.7'!$B$28:$H$118,3,)=""),"",VLOOKUP($B76,'A1.3.11'!$B$26:$AM$105,V$22,)*(VLOOKUP($B76,'A1.3.7'!$B$28:$O$118,3,)+VLOOKUP($B76,'A1.3.7'!$B$28:$O$118,8,))))</f>
        <v>-0.23036914706256842</v>
      </c>
      <c r="W76" s="2644">
        <f>IF('A1.3.8'!G$29="","",IF(OR(VLOOKUP($B76,'A1.3.11'!$B$26:$AM$105,W$22,)="",VLOOKUP($B76,'A1.3.7'!$B$28:$H$118,3,)=""),"",VLOOKUP($B76,'A1.3.11'!$B$26:$AM$105,W$22,)*(VLOOKUP($B76,'A1.3.7'!$B$28:$O$118,3,)+VLOOKUP($B76,'A1.3.7'!$B$28:$O$118,8,))))</f>
        <v>1.4877325611644121E-3</v>
      </c>
      <c r="X76" s="693">
        <f>IF('A1.3.8'!D$30="","",IF(OR(VLOOKUP($B76,'A1.3.11'!$B$26:$AM$105,X$22,)="",VLOOKUP($B76,'A1.3.7'!$B$28:$H$118,4,)=""),"",VLOOKUP($B76,'A1.3.11'!$B$26:$AM$105,X$22,)*(VLOOKUP($B76,'A1.3.7'!$B$28:$O$118,4,)+VLOOKUP($B76,'A1.3.7'!$B$28:$O$118,9,))))</f>
        <v>46.196240725746726</v>
      </c>
      <c r="Y76" s="691">
        <f>IF('A1.3.8'!E$30="","",IF(OR(VLOOKUP($B76,'A1.3.11'!$B$26:$AM$105,Y$22,)="",VLOOKUP($B76,'A1.3.7'!$B$28:$H$118,4,)=""),"",VLOOKUP($B76,'A1.3.11'!$B$26:$AM$105,Y$22,)*(VLOOKUP($B76,'A1.3.7'!$B$28:$O$118,4,)+VLOOKUP($B76,'A1.3.7'!$B$28:$O$118,9,))))</f>
        <v>11.290549498378001</v>
      </c>
      <c r="Z76" s="691">
        <f>IF('A1.3.8'!F$30="","",IF(OR(VLOOKUP($B76,'A1.3.11'!$B$26:$AM$105,Z$22,)="",VLOOKUP($B76,'A1.3.7'!$B$28:$H$118,4,)=""),"",VLOOKUP($B76,'A1.3.11'!$B$26:$AM$105,Z$22,)*(VLOOKUP($B76,'A1.3.7'!$B$28:$O$118,4,)+VLOOKUP($B76,'A1.3.7'!$B$28:$O$118,9,))))</f>
        <v>-0.1628866964441372</v>
      </c>
      <c r="AA76" s="2644">
        <f>IF('A1.3.8'!G$30="","",IF(OR(VLOOKUP($B76,'A1.3.11'!$B$26:$AM$105,AA$22,)="",VLOOKUP($B76,'A1.3.7'!$B$28:$H$118,4,)=""),"",VLOOKUP($B76,'A1.3.11'!$B$26:$AM$105,AA$22,)*(VLOOKUP($B76,'A1.3.7'!$B$28:$O$118,4,)+VLOOKUP($B76,'A1.3.7'!$B$28:$O$118,9,))))</f>
        <v>1.379004451490258E-3</v>
      </c>
      <c r="AB76" s="693" t="str">
        <f>IF('A1.3.8'!D$37="","",IF(OR(VLOOKUP($B76,'A1.3.11'!$B$26:$AM$105,AB$22,)="",VLOOKUP($B76,'A1.3.7'!$B$28:$H$118,6,)=""),"",VLOOKUP($B76,'A1.3.11'!$B$26:$AM$105,AB$22,)*VLOOKUP($B76,'A1.3.7'!$B$28:$O$118,6,)))</f>
        <v/>
      </c>
      <c r="AC76" s="691">
        <f>IF('A1.3.8'!E$37="","",IF(OR(VLOOKUP($B76,'A1.3.11'!$B$26:$AM$105,AC$22,)="",VLOOKUP($B76,'A1.3.7'!$B$28:$H$118,6,)=""),"",VLOOKUP($B76,'A1.3.11'!$B$26:$AM$105,AC$22,)*VLOOKUP($B76,'A1.3.7'!$B$28:$O$118,6,)))</f>
        <v>4.5145632825273854</v>
      </c>
      <c r="AD76" s="691" t="str">
        <f>IF('A1.3.8'!F$37="","",IF(OR(VLOOKUP($B76,'A1.3.11'!$B$26:$AM$105,AD$22,)="",VLOOKUP($B76,'A1.3.7'!$B$28:$H$118,6,)=""),"",VLOOKUP($B76,'A1.3.11'!$B$26:$AM$105,AD$22,)*VLOOKUP($B76,'A1.3.7'!$B$28:$O$118,6,)))</f>
        <v/>
      </c>
      <c r="AE76" s="1664" t="str">
        <f>IF('A1.3.8'!G$37="","",IF(OR(VLOOKUP($B76,'A1.3.11'!$B$26:$AM$105,AE$22,)="",VLOOKUP($B76,'A1.3.7'!$B$28:$H$118,6,)=""),"",VLOOKUP($B76,'A1.3.11'!$B$26:$AM$105,AE$22,)*VLOOKUP($B76,'A1.3.7'!$B$28:$O$118,6,)))</f>
        <v/>
      </c>
      <c r="AF76" s="693">
        <f>IF(AND(T76="",X76="",AB76=""),"",IF(T76="",0,(T76*VLOOKUP('A1.3.12'!$B76,'A1.3.9'!$B$26:$O$57,6,TRUE))) + IF(X76="",0,(X76*VLOOKUP('A1.3.12'!$B76,'A1.3.9'!$B$26:$O$57,7,TRUE))) + IF(AB76="",0,(AB76*VLOOKUP('A1.3.12'!$B76,'A1.3.9'!$B$26:$O$57,8,TRUE))))</f>
        <v>40.989586280496567</v>
      </c>
      <c r="AG76" s="691">
        <f>IF(AND(U76="",Y76="",AC76=""),"",IF(U76="",0,(U76*VLOOKUP('A1.3.12'!$B76,'A1.3.9'!$B$26:$O$57,6,TRUE))) + IF(Y76="",0,(Y76*VLOOKUP('A1.3.12'!$B76,'A1.3.9'!$B$26:$O$57,7,TRUE))) + IF(AC76="",0,(AC76*VLOOKUP('A1.3.12'!$B76,'A1.3.9'!$B$26:$O$57,8,TRUE))))</f>
        <v>10.574780958517994</v>
      </c>
      <c r="AH76" s="691">
        <f>IF(AND(V76="",Z76="",AD76=""),"",IF(V76="",0,(V76*VLOOKUP('A1.3.12'!$B76,'A1.3.9'!$B$26:$O$57,6,TRUE))) + IF(Z76="",0,(Z76*VLOOKUP('A1.3.12'!$B76,'A1.3.9'!$B$26:$O$57,7,TRUE))) + IF(AD76="",0,(AD76*VLOOKUP('A1.3.12'!$B76,'A1.3.9'!$B$26:$O$57,8,TRUE))))</f>
        <v>-0.14557503995800541</v>
      </c>
      <c r="AI76" s="2644">
        <f>IF(AND(W76="",AA76="",AE76=""),"",IF(W76="",0,(W76*VLOOKUP('A1.3.12'!$B76,'A1.3.9'!$B$26:$O$57,6,TRUE))) + IF(AA76="",0,(AA76*VLOOKUP('A1.3.12'!$B76,'A1.3.9'!$B$26:$O$57,7,TRUE))) + IF(AE76="",0,(AE76*VLOOKUP('A1.3.12'!$B76,'A1.3.9'!$B$26:$O$57,8,TRUE))))</f>
        <v>1.2289363700825669E-3</v>
      </c>
      <c r="AJ76" s="693">
        <f>IF('A1.3.8'!D$31="","",IF(OR(VLOOKUP($B76,'A1.3.11'!$B$26:$AM$105,AJ$22,)="",VLOOKUP($B76,'A1.3.7'!$B$28:$H$118,4,)=""),"",VLOOKUP($B76,'A1.3.11'!$B$26:$AM$105,AJ$22,)*(VLOOKUP($B76,'A1.3.7'!$B$28:$O$118,4,)+VLOOKUP($B76,'A1.3.7'!$B$28:$O$118,9,))))</f>
        <v>312.28486846343054</v>
      </c>
      <c r="AK76" s="691">
        <f>IF('A1.3.8'!E$31="","",IF(OR(VLOOKUP($B76,'A1.3.11'!$B$26:$AM$105,AK$22,)="",VLOOKUP($B76,'A1.3.7'!$B$28:$H$118,4,)=""),"",VLOOKUP($B76,'A1.3.11'!$B$26:$AM$105,AK$22,)*(VLOOKUP($B76,'A1.3.7'!$B$28:$O$118,4,)+VLOOKUP($B76,'A1.3.7'!$B$28:$O$118,9,))))</f>
        <v>16.568962372117959</v>
      </c>
      <c r="AL76" s="691">
        <f>IF('A1.3.8'!F$31="","",IF(OR(VLOOKUP($B76,'A1.3.11'!$B$26:$AM$105,AL$22,)="",VLOOKUP($B76,'A1.3.7'!$B$28:$H$118,4,)=""),"",VLOOKUP($B76,'A1.3.11'!$B$26:$AM$105,AL$22,)*(VLOOKUP($B76,'A1.3.7'!$B$28:$O$118,4,)+VLOOKUP($B76,'A1.3.7'!$B$28:$O$118,9,))))</f>
        <v>-0.11976056522623932</v>
      </c>
      <c r="AM76" s="2644">
        <f>IF('A1.3.8'!G$31="","",IF(OR(VLOOKUP($B76,'A1.3.11'!$B$26:$AM$105,AM$22,)="",VLOOKUP($B76,'A1.3.7'!$B$28:$H$118,4,)=""),"",VLOOKUP($B76,'A1.3.11'!$B$26:$AM$105,AM$22,)*(VLOOKUP($B76,'A1.3.7'!$B$28:$O$118,4,)+VLOOKUP($B76,'A1.3.7'!$B$28:$O$118,9,))))</f>
        <v>1.3079775285203025E-3</v>
      </c>
      <c r="AN76" s="693" t="str">
        <f>IF('A1.3.8'!D$38="","",IF(OR(VLOOKUP($B76,'A1.3.11'!$B$26:$AM$105,AN$22,)="",VLOOKUP($B76,'A1.3.7'!$B$28:$H$118,6,)=""),"",VLOOKUP($B76,'A1.3.11'!$B$26:$AM$105,AN$22,)*VLOOKUP($B76,'A1.3.7'!$B$28:$O$118,6,)))</f>
        <v/>
      </c>
      <c r="AO76" s="691" t="str">
        <f>IF('A1.3.8'!E$38="","",IF(OR(VLOOKUP($B76,'A1.3.11'!$B$26:$AM$105,AO$22,)="",VLOOKUP($B76,'A1.3.7'!$B$28:$H$118,6,)=""),"",VLOOKUP($B76,'A1.3.11'!$B$26:$AM$105,AO$22,)*VLOOKUP($B76,'A1.3.7'!$B$28:$O$118,6,)))</f>
        <v/>
      </c>
      <c r="AP76" s="691" t="str">
        <f>IF('A1.3.8'!F$38="","",IF(OR(VLOOKUP($B76,'A1.3.11'!$B$26:$AM$105,AP$22,)="",VLOOKUP($B76,'A1.3.7'!$B$28:$H$118,6,)=""),"",VLOOKUP($B76,'A1.3.11'!$B$26:$AM$105,AP$22,)*VLOOKUP($B76,'A1.3.7'!$B$28:$O$118,6,)))</f>
        <v/>
      </c>
      <c r="AQ76" s="1664" t="str">
        <f>IF('A1.3.8'!G$38="","",IF(OR(VLOOKUP($B76,'A1.3.11'!$B$26:$AM$105,AQ$22,)="",VLOOKUP($B76,'A1.3.7'!$B$28:$H$118,6,)=""),"",VLOOKUP($B76,'A1.3.11'!$B$26:$AM$105,AQ$22,)*VLOOKUP($B76,'A1.3.7'!$B$28:$O$118,6,)))</f>
        <v/>
      </c>
      <c r="AR76" s="693">
        <f>IF(AND(AJ76="",AN76=""),"",IF(AJ76="",0,(AJ76*VLOOKUP($B76,'A1.3.9'!$B$26:$O$57,9,TRUE))) + IF(AN76="",0,(AN76*VLOOKUP($B76,'A1.3.9'!$B$26:$O$57,10,TRUE))))</f>
        <v>312.28486846343054</v>
      </c>
      <c r="AS76" s="691">
        <f>IF(AND(AK76="",AO76=""),"",IF(AK76="",0,(AK76*VLOOKUP($B76,'A1.3.9'!$B$26:$O$57,9,TRUE))) + IF(AO76="",0,(AO76*VLOOKUP($B76,'A1.3.9'!$B$26:$O$57,10,TRUE))))</f>
        <v>16.568962372117959</v>
      </c>
      <c r="AT76" s="691">
        <f>IF(AND(AL76="",AP76=""),"",IF(AL76="",0,(AL76*VLOOKUP($B76,'A1.3.9'!$B$26:$O$57,9,TRUE))) + IF(AP76="",0,(AP76*VLOOKUP($B76,'A1.3.9'!$B$26:$O$57,10,TRUE))))</f>
        <v>-0.11976056522623932</v>
      </c>
      <c r="AU76" s="2644">
        <f>IF(AND(AM76="",AQ76=""),"",IF(AM76="",0,(AM76*VLOOKUP($B76,'A1.3.9'!$B$26:$O$57,9,TRUE))) + IF(AQ76="",0,(AQ76*VLOOKUP($B76,'A1.3.9'!$B$26:$O$57,10,TRUE))))</f>
        <v>1.3079775285203025E-3</v>
      </c>
      <c r="AV76" s="693">
        <f>IF('A1.3.8'!D$32="","",IF(OR(VLOOKUP($B76,'A1.3.11'!$B$26:$AM$105,AV$22,)="",VLOOKUP($B76,'A1.3.7'!$B$28:$H$118,4,)=""),"",VLOOKUP($B76,'A1.3.11'!$B$26:$AM$105,AV$22,)*(VLOOKUP($B76,'A1.3.7'!$B$28:$O$118,4,)+VLOOKUP($B76,'A1.3.7'!$B$28:$O$118,9,))))</f>
        <v>656.19188281435481</v>
      </c>
      <c r="AW76" s="691">
        <f>IF('A1.3.8'!E$32="","",IF(OR(VLOOKUP($B76,'A1.3.11'!$B$26:$AM$105,AW$22,)="",VLOOKUP($B76,'A1.3.7'!$B$28:$H$118,4,)=""),"",VLOOKUP($B76,'A1.3.11'!$B$26:$AM$105,AW$22,)*(VLOOKUP($B76,'A1.3.7'!$B$28:$O$118,4,)+VLOOKUP($B76,'A1.3.7'!$B$28:$O$118,9,))))</f>
        <v>34.07720718202475</v>
      </c>
      <c r="AX76" s="691">
        <f>IF('A1.3.8'!F$32="","",IF(OR(VLOOKUP($B76,'A1.3.11'!$B$26:$AM$105,AX$22,)="",VLOOKUP($B76,'A1.3.7'!$B$28:$H$118,4,)=""),"",VLOOKUP($B76,'A1.3.11'!$B$26:$AM$105,AX$22,)*(VLOOKUP($B76,'A1.3.7'!$B$28:$O$118,4,)+VLOOKUP($B76,'A1.3.7'!$B$28:$O$118,9,))))</f>
        <v>-0.22577942434880588</v>
      </c>
      <c r="AY76" s="2644">
        <f>IF('A1.3.8'!G$32="","",IF(OR(VLOOKUP($B76,'A1.3.11'!$B$26:$AM$105,AY$22,)="",VLOOKUP($B76,'A1.3.7'!$B$28:$H$118,4,)=""),"",VLOOKUP($B76,'A1.3.11'!$B$26:$AM$105,AY$22,)*(VLOOKUP($B76,'A1.3.7'!$B$28:$O$118,4,)+VLOOKUP($B76,'A1.3.7'!$B$28:$O$118,9,))))</f>
        <v>1.3457392554876784E-3</v>
      </c>
      <c r="AZ76" s="693" t="str">
        <f>IF('A1.3.8'!D$39="","",IF(OR(VLOOKUP($B76,'A1.3.11'!$B$26:$AM$105,AZ$22,)="",VLOOKUP($B76,'A1.3.7'!$B$28:$H$118,6,)=""),"",VLOOKUP($B76,'A1.3.11'!$B$26:$AM$105,AZ$22,)*VLOOKUP($B76,'A1.3.7'!$B$28:$O$118,6,)))</f>
        <v/>
      </c>
      <c r="BA76" s="691" t="str">
        <f>IF('A1.3.8'!E$39="","",IF(OR(VLOOKUP($B76,'A1.3.11'!$B$26:$AM$105,BA$22,)="",VLOOKUP($B76,'A1.3.7'!$B$28:$H$118,6,)=""),"",VLOOKUP($B76,'A1.3.11'!$B$26:$AM$105,BA$22,)*VLOOKUP($B76,'A1.3.7'!$B$28:$O$118,6,)))</f>
        <v/>
      </c>
      <c r="BB76" s="691" t="str">
        <f>IF('A1.3.8'!F$39="","",IF(OR(VLOOKUP($B76,'A1.3.11'!$B$26:$AM$105,BB$22,)="",VLOOKUP($B76,'A1.3.7'!$B$28:$H$118,6,)=""),"",VLOOKUP($B76,'A1.3.11'!$B$26:$AM$105,BB$22,)*VLOOKUP($B76,'A1.3.7'!$B$28:$O$118,6,)))</f>
        <v/>
      </c>
      <c r="BC76" s="1664" t="str">
        <f>IF('A1.3.8'!G$39="","",IF(OR(VLOOKUP($B76,'A1.3.11'!$B$26:$AM$105,BC$22,)="",VLOOKUP($B76,'A1.3.7'!$B$28:$H$118,6,)=""),"",VLOOKUP($B76,'A1.3.11'!$B$26:$AM$105,BC$22,)*VLOOKUP($B76,'A1.3.7'!$B$28:$O$118,6,)))</f>
        <v/>
      </c>
      <c r="BD76" s="693">
        <f>IF(AND(AV76="",AZ76=""),"",IF(AV76="",0,(AV76*VLOOKUP($B76,'A1.3.9'!$B$26:$O$57,9,TRUE))) + IF(AZ76="",0,(AZ76*VLOOKUP($B76,'A1.3.9'!$B$26:$O$57,10,TRUE))))</f>
        <v>656.19188281435481</v>
      </c>
      <c r="BE76" s="691">
        <f>IF(AND(AW76="",BA76=""),"",IF(AW76="",0,(AW76*VLOOKUP($B76,'A1.3.9'!$B$26:$O$57,9,TRUE))) + IF(BA76="",0,(BA76*VLOOKUP($B76,'A1.3.9'!$B$26:$O$57,10,TRUE))))</f>
        <v>34.07720718202475</v>
      </c>
      <c r="BF76" s="691">
        <f>IF(AND(AX76="",BB76=""),"",IF(AX76="",0,(AX76*VLOOKUP($B76,'A1.3.9'!$B$26:$O$57,9,TRUE))) + IF(BB76="",0,(BB76*VLOOKUP($B76,'A1.3.9'!$B$26:$O$57,10,TRUE))))</f>
        <v>-0.22577942434880588</v>
      </c>
      <c r="BG76" s="2644">
        <f>IF(AND(AY76="",BC76=""),"",IF(AY76="",0,(AY76*VLOOKUP($B76,'A1.3.9'!$B$26:$O$57,9,TRUE))) + IF(BC76="",0,(BC76*VLOOKUP($B76,'A1.3.9'!$B$26:$O$57,10,TRUE))))</f>
        <v>1.3457392554876784E-3</v>
      </c>
      <c r="BH76" s="693">
        <f>IF('A1.3.8'!D$33="","",IF(OR(VLOOKUP($B76,'A1.3.11'!$B$26:$AM$105,BH$22,)="",VLOOKUP($B76,'A1.3.7'!$B$28:$H$118,4,)=""),"",VLOOKUP($B76,'A1.3.11'!$B$26:$AM$105,BH$22,)*(VLOOKUP($B76,'A1.3.7'!$B$28:$O$118,4,)+VLOOKUP($B76,'A1.3.7'!$B$28:$O$118,9,))))</f>
        <v>389.1782995197587</v>
      </c>
      <c r="BI76" s="691">
        <f>IF('A1.3.8'!E$33="","",IF(OR(VLOOKUP($B76,'A1.3.11'!$B$26:$AM$105,BI$22,)="",VLOOKUP($B76,'A1.3.7'!$B$28:$H$118,4,)=""),"",VLOOKUP($B76,'A1.3.11'!$B$26:$AM$105,BI$22,)*(VLOOKUP($B76,'A1.3.7'!$B$28:$O$118,4,)+VLOOKUP($B76,'A1.3.7'!$B$28:$O$118,9,))))</f>
        <v>34.195910478468818</v>
      </c>
      <c r="BJ76" s="691">
        <f>IF('A1.3.8'!F$33="","",IF(OR(VLOOKUP($B76,'A1.3.11'!$B$26:$AM$105,BJ$22,)="",VLOOKUP($B76,'A1.3.7'!$B$28:$H$118,4,)=""),"",VLOOKUP($B76,'A1.3.11'!$B$26:$AM$105,BJ$22,)*(VLOOKUP($B76,'A1.3.7'!$B$28:$O$118,4,)+VLOOKUP($B76,'A1.3.7'!$B$28:$O$118,9,))))</f>
        <v>-0.37167906833689746</v>
      </c>
      <c r="BK76" s="2644">
        <f>IF('A1.3.8'!G$33="","",IF(OR(VLOOKUP($B76,'A1.3.11'!$B$26:$AM$105,BK$22,)="",VLOOKUP($B76,'A1.3.7'!$B$28:$H$118,4,)=""),"",VLOOKUP($B76,'A1.3.11'!$B$26:$AM$105,BK$22,)*(VLOOKUP($B76,'A1.3.7'!$B$28:$O$118,4,)+VLOOKUP($B76,'A1.3.7'!$B$28:$O$118,9,))))</f>
        <v>2.726417890197562E-3</v>
      </c>
      <c r="BL76" s="693" t="str">
        <f>IF('A1.3.8'!D$40="","",IF(OR(VLOOKUP($B76,'A1.3.11'!$B$26:$AM$105,BL$22,)="",VLOOKUP($B76,'A1.3.7'!$B$28:$H$118,6,)=""),"",VLOOKUP($B76,'A1.3.11'!$B$26:$AM$105,BL$22,)*VLOOKUP($B76,'A1.3.7'!$B$28:$O$118,6,)))</f>
        <v/>
      </c>
      <c r="BM76" s="691" t="str">
        <f>IF('A1.3.8'!E$40="","",IF(OR(VLOOKUP($B76,'A1.3.11'!$B$26:$AM$105,BM$22,)="",VLOOKUP($B76,'A1.3.7'!$B$28:$H$118,6,)=""),"",VLOOKUP($B76,'A1.3.11'!$B$26:$AM$105,BM$22,)*VLOOKUP($B76,'A1.3.7'!$B$28:$O$118,6,)))</f>
        <v/>
      </c>
      <c r="BN76" s="691" t="str">
        <f>IF('A1.3.8'!F$40="","",IF(OR(VLOOKUP($B76,'A1.3.11'!$B$26:$AM$105,BN$22,)="",VLOOKUP($B76,'A1.3.7'!$B$28:$H$118,6,)=""),"",VLOOKUP($B76,'A1.3.11'!$B$26:$AM$105,BN$22,)*VLOOKUP($B76,'A1.3.7'!$B$28:$O$118,6,)))</f>
        <v/>
      </c>
      <c r="BO76" s="1664" t="str">
        <f>IF('A1.3.8'!G$40="","",IF(OR(VLOOKUP($B76,'A1.3.11'!$B$26:$AM$105,BO$22,)="",VLOOKUP($B76,'A1.3.7'!$B$28:$H$118,6,)=""),"",VLOOKUP($B76,'A1.3.11'!$B$26:$AM$105,BO$22,)*VLOOKUP($B76,'A1.3.7'!$B$28:$O$118,6,)))</f>
        <v/>
      </c>
      <c r="BP76" s="693">
        <f>IF(AND(BH76="",BL76=""),"",IF(BH76="",0,(BH76*VLOOKUP($B76,'A1.3.9'!$B$26:$O$57,9,TRUE))) + IF(BL76="",0,(BL76*VLOOKUP($B76,'A1.3.9'!$B$26:$O$57,10,TRUE))))</f>
        <v>389.1782995197587</v>
      </c>
      <c r="BQ76" s="691">
        <f>IF(AND(BI76="",BM76=""),"",IF(BI76="",0,(BI76*VLOOKUP($B76,'A1.3.9'!$B$26:$O$57,9,TRUE))) + IF(BM76="",0,(BM76*VLOOKUP($B76,'A1.3.9'!$B$26:$O$57,10,TRUE))))</f>
        <v>34.195910478468818</v>
      </c>
      <c r="BR76" s="691">
        <f>IF(AND(BJ76="",BN76=""),"",IF(BJ76="",0,(BJ76*VLOOKUP($B76,'A1.3.9'!$B$26:$O$57,9,TRUE))) + IF(BN76="",0,(BN76*VLOOKUP($B76,'A1.3.9'!$B$26:$O$57,10,TRUE))))</f>
        <v>-0.37167906833689746</v>
      </c>
      <c r="BS76" s="2644">
        <f>IF(AND(BK76="",BO76=""),"",IF(BK76="",0,(BK76*VLOOKUP($B76,'A1.3.9'!$B$26:$O$57,9,TRUE))) + IF(BO76="",0,(BO76*VLOOKUP($B76,'A1.3.9'!$B$26:$O$57,10,TRUE))))</f>
        <v>2.726417890197562E-3</v>
      </c>
    </row>
    <row r="77" spans="1:71" ht="13.5" customHeight="1">
      <c r="A77" s="113"/>
      <c r="B77" s="614">
        <f t="shared" si="0"/>
        <v>2060</v>
      </c>
      <c r="C77" s="147"/>
      <c r="D77" s="693">
        <f>IF('A1.3.8'!D$27="","",IF(OR(VLOOKUP($B77,'A1.3.11'!$B$26:$AM$105,D$22,)="",VLOOKUP($B77,'A1.3.7'!$B$28:$H$118,3,)=""),"",VLOOKUP($B77,'A1.3.11'!$B$26:$AM$105,D$22,)*(VLOOKUP($B77,'A1.3.7'!$B$28:$O$118,3,)+VLOOKUP($B77,'A1.3.7'!$B$28:$O$118,8,))))</f>
        <v>36.539553087537627</v>
      </c>
      <c r="E77" s="691">
        <f>IF('A1.3.8'!E$27="","",IF(OR(VLOOKUP($B77,'A1.3.11'!$B$26:$AM$105,E$22,)="",VLOOKUP($B77,'A1.3.7'!$B$28:$H$118,3,)=""),"",VLOOKUP($B77,'A1.3.11'!$B$26:$AM$105,E$22,)*(VLOOKUP($B77,'A1.3.7'!$B$28:$O$118,3,)+VLOOKUP($B77,'A1.3.7'!$B$28:$O$118,8,))))</f>
        <v>7.7652477358383809</v>
      </c>
      <c r="F77" s="691">
        <f>IF('A1.3.8'!F$27="","",IF(OR(VLOOKUP($B77,'A1.3.11'!$B$26:$AM$105,F$22,)="",VLOOKUP($B77,'A1.3.7'!$B$28:$H$118,3,)=""),"",VLOOKUP($B77,'A1.3.11'!$B$26:$AM$105,F$22,)*(VLOOKUP($B77,'A1.3.7'!$B$28:$O$118,3,)+VLOOKUP($B77,'A1.3.7'!$B$28:$O$118,8,))))</f>
        <v>-8.8455380407390205E-2</v>
      </c>
      <c r="G77" s="2644">
        <f>IF('A1.3.8'!G$27="","",IF(OR(VLOOKUP($B77,'A1.3.11'!$B$26:$AM$105,G$22,)="",VLOOKUP($B77,'A1.3.7'!$B$28:$H$118,3,)=""),"",VLOOKUP($B77,'A1.3.11'!$B$26:$AM$105,G$22,)*(VLOOKUP($B77,'A1.3.7'!$B$28:$O$118,3,)+VLOOKUP($B77,'A1.3.7'!$B$28:$O$118,8,))))</f>
        <v>5.8583286719828193E-4</v>
      </c>
      <c r="H77" s="693">
        <f>IF('A1.3.8'!D$28="","",IF(OR(VLOOKUP($B77,'A1.3.11'!$B$26:$AM$105,H$22,)="",VLOOKUP($B77,'A1.3.7'!$B$28:$H$118,4,)=""),"",VLOOKUP($B77,'A1.3.11'!$B$26:$AM$105,H$22,)*(VLOOKUP($B77,'A1.3.7'!$B$28:$O$118,4,)+VLOOKUP($B77,'A1.3.7'!$B$28:$O$118,9,))))</f>
        <v>45.038969748374598</v>
      </c>
      <c r="I77" s="691">
        <f>IF('A1.3.8'!E$28="","",IF(OR(VLOOKUP($B77,'A1.3.11'!$B$26:$AM$105,I$22,)="",VLOOKUP($B77,'A1.3.7'!$B$28:$H$118,4,)=""),"",VLOOKUP($B77,'A1.3.11'!$B$26:$AM$105,I$22,)*(VLOOKUP($B77,'A1.3.7'!$B$28:$O$118,4,)+VLOOKUP($B77,'A1.3.7'!$B$28:$O$118,9,))))</f>
        <v>6.4574744494613601</v>
      </c>
      <c r="J77" s="691">
        <f>IF('A1.3.8'!F$28="","",IF(OR(VLOOKUP($B77,'A1.3.11'!$B$26:$AM$105,J$22,)="",VLOOKUP($B77,'A1.3.7'!$B$28:$H$118,4,)=""),"",VLOOKUP($B77,'A1.3.11'!$B$26:$AM$105,J$22,)*(VLOOKUP($B77,'A1.3.7'!$B$28:$O$118,4,)+VLOOKUP($B77,'A1.3.7'!$B$28:$O$118,9,))))</f>
        <v>-6.2122703131400413E-2</v>
      </c>
      <c r="K77" s="2644">
        <f>IF('A1.3.8'!G$28="","",IF(OR(VLOOKUP($B77,'A1.3.11'!$B$26:$AM$105,K$22,)="",VLOOKUP($B77,'A1.3.7'!$B$28:$H$118,4,)=""),"",VLOOKUP($B77,'A1.3.11'!$B$26:$AM$105,K$22,)*(VLOOKUP($B77,'A1.3.7'!$B$28:$O$118,4,)+VLOOKUP($B77,'A1.3.7'!$B$28:$O$118,9,))))</f>
        <v>4.8953001741795918E-4</v>
      </c>
      <c r="L77" s="693" t="str">
        <f>IF('A1.3.8'!D$36="","",IF(OR(VLOOKUP($B77,'A1.3.11'!$B$26:$AM$105,L$22,)="",VLOOKUP($B77,'A1.3.7'!$B$28:$H$118,6,)=""),"",VLOOKUP($B77,'A1.3.11'!$B$26:$AM$105,L$22,)*VLOOKUP($B77,'A1.3.7'!$B$28:$O$118,6,)))</f>
        <v/>
      </c>
      <c r="M77" s="691">
        <f>IF('A1.3.8'!E$36="","",IF(OR(VLOOKUP($B77,'A1.3.11'!$B$26:$AM$105,M$22,)="",VLOOKUP($B77,'A1.3.7'!$B$28:$H$118,6,)=""),"",VLOOKUP($B77,'A1.3.11'!$B$26:$AM$105,M$22,)*VLOOKUP($B77,'A1.3.7'!$B$28:$O$118,6,)))</f>
        <v>1.9637608285706969</v>
      </c>
      <c r="N77" s="691" t="str">
        <f>IF('A1.3.8'!F$36="","",IF(OR(VLOOKUP($B77,'A1.3.11'!$B$26:$AM$105,N$22,)="",VLOOKUP($B77,'A1.3.7'!$B$28:$H$118,6,)=""),"",VLOOKUP($B77,'A1.3.11'!$B$26:$AM$105,N$22,)*VLOOKUP($B77,'A1.3.7'!$B$28:$O$118,6,)))</f>
        <v/>
      </c>
      <c r="O77" s="1664" t="str">
        <f>IF('A1.3.8'!G$36="","",IF(OR(VLOOKUP($B77,'A1.3.11'!$B$26:$AM$105,O$22,)="",VLOOKUP($B77,'A1.3.7'!$B$28:$H$118,6,)=""),"",VLOOKUP($B77,'A1.3.11'!$B$26:$AM$105,O$22,)*VLOOKUP($B77,'A1.3.7'!$B$28:$O$118,6,)))</f>
        <v/>
      </c>
      <c r="P77" s="693">
        <f>IF(AND(D77="",H77="",L77=""),"",IF(D77="",0,(D77*VLOOKUP($B77,'A1.3.9'!$B$26:$O$57,3,TRUE)))+IF(H77="",0,(H77*VLOOKUP($B77,'A1.3.9'!$B$26:$O$57,4,TRUE)))+IF(L77="",0,(L77*VLOOKUP($B77,'A1.3.9'!$B$26:$O$57,5,TRUE))))</f>
        <v>30.303750113283471</v>
      </c>
      <c r="Q77" s="691">
        <f>IF(AND(E77="",I77="",M77=""),"",IF(E77="",0,(E77*VLOOKUP($B77,'A1.3.9'!$B$26:$O$57,3,TRUE)))+IF(I77="",0,(I77*VLOOKUP($B77,'A1.3.9'!$B$26:$O$57,4,TRUE)))+IF(M77="",0,(M77*VLOOKUP($B77,'A1.3.9'!$B$26:$O$57,5,TRUE))))</f>
        <v>5.9552197864247844</v>
      </c>
      <c r="R77" s="691">
        <f>IF(AND(F77="",J77="",N77=""),"",IF(F77="",0,(F77*VLOOKUP($B77,'A1.3.9'!$B$26:$O$57,3,TRUE)))+IF(J77="",0,(J77*VLOOKUP($B77,'A1.3.9'!$B$26:$O$57,4,TRUE)))+IF(N77="",0,(N77*VLOOKUP($B77,'A1.3.9'!$B$26:$O$57,5,TRUE))))</f>
        <v>-5.8885140638276663E-2</v>
      </c>
      <c r="S77" s="2644">
        <f>IF(AND(G77="",K77="",O77=""),"",IF(G77="",0,(G77*VLOOKUP($B77,'A1.3.9'!$B$26:$O$57,3,TRUE)))+IF(K77="",0,(K77*VLOOKUP($B77,'A1.3.9'!$B$26:$O$57,4,TRUE)))+IF(O77="",0,(O77*VLOOKUP($B77,'A1.3.9'!$B$26:$O$57,5,TRUE))))</f>
        <v>4.1408987657513157E-4</v>
      </c>
      <c r="T77" s="693">
        <f>IF('A1.3.8'!D$29="","",IF(OR(VLOOKUP($B77,'A1.3.11'!$B$26:$AM$105,T$22,)="",VLOOKUP($B77,'A1.3.7'!$B$28:$H$118,3,)=""),"",VLOOKUP($B77,'A1.3.11'!$B$26:$AM$105,T$22,)*(VLOOKUP($B77,'A1.3.7'!$B$28:$O$118,3,)+VLOOKUP($B77,'A1.3.7'!$B$28:$O$118,8,))))</f>
        <v>26.284108884328653</v>
      </c>
      <c r="U77" s="691">
        <f>IF('A1.3.8'!E$29="","",IF(OR(VLOOKUP($B77,'A1.3.11'!$B$26:$AM$105,U$22,)="",VLOOKUP($B77,'A1.3.7'!$B$28:$H$118,3,)=""),"",VLOOKUP($B77,'A1.3.11'!$B$26:$AM$105,U$22,)*(VLOOKUP($B77,'A1.3.7'!$B$28:$O$118,3,)+VLOOKUP($B77,'A1.3.7'!$B$28:$O$118,8,))))</f>
        <v>14.738606769534631</v>
      </c>
      <c r="V77" s="691">
        <f>IF('A1.3.8'!F$29="","",IF(OR(VLOOKUP($B77,'A1.3.11'!$B$26:$AM$105,V$22,)="",VLOOKUP($B77,'A1.3.7'!$B$28:$H$118,3,)=""),"",VLOOKUP($B77,'A1.3.11'!$B$26:$AM$105,V$22,)*(VLOOKUP($B77,'A1.3.7'!$B$28:$O$118,3,)+VLOOKUP($B77,'A1.3.7'!$B$28:$O$118,8,))))</f>
        <v>-0.23134774835895142</v>
      </c>
      <c r="W77" s="2644">
        <f>IF('A1.3.8'!G$29="","",IF(OR(VLOOKUP($B77,'A1.3.11'!$B$26:$AM$105,W$22,)="",VLOOKUP($B77,'A1.3.7'!$B$28:$H$118,3,)=""),"",VLOOKUP($B77,'A1.3.11'!$B$26:$AM$105,W$22,)*(VLOOKUP($B77,'A1.3.7'!$B$28:$O$118,3,)+VLOOKUP($B77,'A1.3.7'!$B$28:$O$118,8,))))</f>
        <v>1.4940524049090751E-3</v>
      </c>
      <c r="X77" s="693">
        <f>IF('A1.3.8'!D$30="","",IF(OR(VLOOKUP($B77,'A1.3.11'!$B$26:$AM$105,X$22,)="",VLOOKUP($B77,'A1.3.7'!$B$28:$H$118,4,)=""),"",VLOOKUP($B77,'A1.3.11'!$B$26:$AM$105,X$22,)*(VLOOKUP($B77,'A1.3.7'!$B$28:$O$118,4,)+VLOOKUP($B77,'A1.3.7'!$B$28:$O$118,9,))))</f>
        <v>46.385769275598733</v>
      </c>
      <c r="Y77" s="691">
        <f>IF('A1.3.8'!E$30="","",IF(OR(VLOOKUP($B77,'A1.3.11'!$B$26:$AM$105,Y$22,)="",VLOOKUP($B77,'A1.3.7'!$B$28:$H$118,4,)=""),"",VLOOKUP($B77,'A1.3.11'!$B$26:$AM$105,Y$22,)*(VLOOKUP($B77,'A1.3.7'!$B$28:$O$118,4,)+VLOOKUP($B77,'A1.3.7'!$B$28:$O$118,9,))))</f>
        <v>11.336871048353542</v>
      </c>
      <c r="Z77" s="691">
        <f>IF('A1.3.8'!F$30="","",IF(OR(VLOOKUP($B77,'A1.3.11'!$B$26:$AM$105,Z$22,)="",VLOOKUP($B77,'A1.3.7'!$B$28:$H$118,4,)=""),"",VLOOKUP($B77,'A1.3.11'!$B$26:$AM$105,Z$22,)*(VLOOKUP($B77,'A1.3.7'!$B$28:$O$118,4,)+VLOOKUP($B77,'A1.3.7'!$B$28:$O$118,9,))))</f>
        <v>-0.16355496898931066</v>
      </c>
      <c r="AA77" s="2644">
        <f>IF('A1.3.8'!G$30="","",IF(OR(VLOOKUP($B77,'A1.3.11'!$B$26:$AM$105,AA$22,)="",VLOOKUP($B77,'A1.3.7'!$B$28:$H$118,4,)=""),"",VLOOKUP($B77,'A1.3.11'!$B$26:$AM$105,AA$22,)*(VLOOKUP($B77,'A1.3.7'!$B$28:$O$118,4,)+VLOOKUP($B77,'A1.3.7'!$B$28:$O$118,9,))))</f>
        <v>1.3846620701584527E-3</v>
      </c>
      <c r="AB77" s="693" t="str">
        <f>IF('A1.3.8'!D$37="","",IF(OR(VLOOKUP($B77,'A1.3.11'!$B$26:$AM$105,AB$22,)="",VLOOKUP($B77,'A1.3.7'!$B$28:$H$118,6,)=""),"",VLOOKUP($B77,'A1.3.11'!$B$26:$AM$105,AB$22,)*VLOOKUP($B77,'A1.3.7'!$B$28:$O$118,6,)))</f>
        <v/>
      </c>
      <c r="AC77" s="691">
        <f>IF('A1.3.8'!E$37="","",IF(OR(VLOOKUP($B77,'A1.3.11'!$B$26:$AM$105,AC$22,)="",VLOOKUP($B77,'A1.3.7'!$B$28:$H$118,6,)=""),"",VLOOKUP($B77,'A1.3.11'!$B$26:$AM$105,AC$22,)*VLOOKUP($B77,'A1.3.7'!$B$28:$O$118,6,)))</f>
        <v>4.5145632825273854</v>
      </c>
      <c r="AD77" s="691" t="str">
        <f>IF('A1.3.8'!F$37="","",IF(OR(VLOOKUP($B77,'A1.3.11'!$B$26:$AM$105,AD$22,)="",VLOOKUP($B77,'A1.3.7'!$B$28:$H$118,6,)=""),"",VLOOKUP($B77,'A1.3.11'!$B$26:$AM$105,AD$22,)*VLOOKUP($B77,'A1.3.7'!$B$28:$O$118,6,)))</f>
        <v/>
      </c>
      <c r="AE77" s="1664" t="str">
        <f>IF('A1.3.8'!G$37="","",IF(OR(VLOOKUP($B77,'A1.3.11'!$B$26:$AM$105,AE$22,)="",VLOOKUP($B77,'A1.3.7'!$B$28:$H$118,6,)=""),"",VLOOKUP($B77,'A1.3.11'!$B$26:$AM$105,AE$22,)*VLOOKUP($B77,'A1.3.7'!$B$28:$O$118,6,)))</f>
        <v/>
      </c>
      <c r="AF77" s="693">
        <f>IF(AND(T77="",X77="",AB77=""),"",IF(T77="",0,(T77*VLOOKUP('A1.3.12'!$B77,'A1.3.9'!$B$26:$O$57,6,TRUE))) + IF(X77="",0,(X77*VLOOKUP('A1.3.12'!$B77,'A1.3.9'!$B$26:$O$57,7,TRUE))) + IF(AB77="",0,(AB77*VLOOKUP('A1.3.12'!$B77,'A1.3.9'!$B$26:$O$57,8,TRUE))))</f>
        <v>41.157782404383383</v>
      </c>
      <c r="AG77" s="691">
        <f>IF(AND(U77="",Y77="",AC77=""),"",IF(U77="",0,(U77*VLOOKUP('A1.3.12'!$B77,'A1.3.9'!$B$26:$O$57,6,TRUE))) + IF(Y77="",0,(Y77*VLOOKUP('A1.3.12'!$B77,'A1.3.9'!$B$26:$O$57,7,TRUE))) + IF(AC77="",0,(AC77*VLOOKUP('A1.3.12'!$B77,'A1.3.9'!$B$26:$O$57,8,TRUE))))</f>
        <v>10.616155421209125</v>
      </c>
      <c r="AH77" s="691">
        <f>IF(AND(V77="",Z77="",AD77=""),"",IF(V77="",0,(V77*VLOOKUP('A1.3.12'!$B77,'A1.3.9'!$B$26:$O$57,6,TRUE))) + IF(Z77="",0,(Z77*VLOOKUP('A1.3.12'!$B77,'A1.3.9'!$B$26:$O$57,7,TRUE))) + IF(AD77="",0,(AD77*VLOOKUP('A1.3.12'!$B77,'A1.3.9'!$B$26:$O$57,8,TRUE))))</f>
        <v>-0.14617254200302524</v>
      </c>
      <c r="AI77" s="2644">
        <f>IF(AND(W77="",AA77="",AE77=""),"",IF(W77="",0,(W77*VLOOKUP('A1.3.12'!$B77,'A1.3.9'!$B$26:$O$57,6,TRUE))) + IF(AA77="",0,(AA77*VLOOKUP('A1.3.12'!$B77,'A1.3.9'!$B$26:$O$57,7,TRUE))) + IF(AE77="",0,(AE77*VLOOKUP('A1.3.12'!$B77,'A1.3.9'!$B$26:$O$57,8,TRUE))))</f>
        <v>1.2339799456225671E-3</v>
      </c>
      <c r="AJ77" s="693">
        <f>IF('A1.3.8'!D$31="","",IF(OR(VLOOKUP($B77,'A1.3.11'!$B$26:$AM$105,AJ$22,)="",VLOOKUP($B77,'A1.3.7'!$B$28:$H$118,4,)=""),"",VLOOKUP($B77,'A1.3.11'!$B$26:$AM$105,AJ$22,)*(VLOOKUP($B77,'A1.3.7'!$B$28:$O$118,4,)+VLOOKUP($B77,'A1.3.7'!$B$28:$O$118,9,))))</f>
        <v>313.566074408563</v>
      </c>
      <c r="AK77" s="691">
        <f>IF('A1.3.8'!E$31="","",IF(OR(VLOOKUP($B77,'A1.3.11'!$B$26:$AM$105,AK$22,)="",VLOOKUP($B77,'A1.3.7'!$B$28:$H$118,4,)=""),"",VLOOKUP($B77,'A1.3.11'!$B$26:$AM$105,AK$22,)*(VLOOKUP($B77,'A1.3.7'!$B$28:$O$118,4,)+VLOOKUP($B77,'A1.3.7'!$B$28:$O$118,9,))))</f>
        <v>16.636939578955694</v>
      </c>
      <c r="AL77" s="691">
        <f>IF('A1.3.8'!F$31="","",IF(OR(VLOOKUP($B77,'A1.3.11'!$B$26:$AM$105,AL$22,)="",VLOOKUP($B77,'A1.3.7'!$B$28:$H$118,4,)=""),"",VLOOKUP($B77,'A1.3.11'!$B$26:$AM$105,AL$22,)*(VLOOKUP($B77,'A1.3.7'!$B$28:$O$118,4,)+VLOOKUP($B77,'A1.3.7'!$B$28:$O$118,9,))))</f>
        <v>-0.12025190490886711</v>
      </c>
      <c r="AM77" s="2644">
        <f>IF('A1.3.8'!G$31="","",IF(OR(VLOOKUP($B77,'A1.3.11'!$B$26:$AM$105,AM$22,)="",VLOOKUP($B77,'A1.3.7'!$B$28:$H$118,4,)=""),"",VLOOKUP($B77,'A1.3.11'!$B$26:$AM$105,AM$22,)*(VLOOKUP($B77,'A1.3.7'!$B$28:$O$118,4,)+VLOOKUP($B77,'A1.3.7'!$B$28:$O$118,9,))))</f>
        <v>1.3133437462108535E-3</v>
      </c>
      <c r="AN77" s="693" t="str">
        <f>IF('A1.3.8'!D$38="","",IF(OR(VLOOKUP($B77,'A1.3.11'!$B$26:$AM$105,AN$22,)="",VLOOKUP($B77,'A1.3.7'!$B$28:$H$118,6,)=""),"",VLOOKUP($B77,'A1.3.11'!$B$26:$AM$105,AN$22,)*VLOOKUP($B77,'A1.3.7'!$B$28:$O$118,6,)))</f>
        <v/>
      </c>
      <c r="AO77" s="691" t="str">
        <f>IF('A1.3.8'!E$38="","",IF(OR(VLOOKUP($B77,'A1.3.11'!$B$26:$AM$105,AO$22,)="",VLOOKUP($B77,'A1.3.7'!$B$28:$H$118,6,)=""),"",VLOOKUP($B77,'A1.3.11'!$B$26:$AM$105,AO$22,)*VLOOKUP($B77,'A1.3.7'!$B$28:$O$118,6,)))</f>
        <v/>
      </c>
      <c r="AP77" s="691" t="str">
        <f>IF('A1.3.8'!F$38="","",IF(OR(VLOOKUP($B77,'A1.3.11'!$B$26:$AM$105,AP$22,)="",VLOOKUP($B77,'A1.3.7'!$B$28:$H$118,6,)=""),"",VLOOKUP($B77,'A1.3.11'!$B$26:$AM$105,AP$22,)*VLOOKUP($B77,'A1.3.7'!$B$28:$O$118,6,)))</f>
        <v/>
      </c>
      <c r="AQ77" s="1664" t="str">
        <f>IF('A1.3.8'!G$38="","",IF(OR(VLOOKUP($B77,'A1.3.11'!$B$26:$AM$105,AQ$22,)="",VLOOKUP($B77,'A1.3.7'!$B$28:$H$118,6,)=""),"",VLOOKUP($B77,'A1.3.11'!$B$26:$AM$105,AQ$22,)*VLOOKUP($B77,'A1.3.7'!$B$28:$O$118,6,)))</f>
        <v/>
      </c>
      <c r="AR77" s="693">
        <f>IF(AND(AJ77="",AN77=""),"",IF(AJ77="",0,(AJ77*VLOOKUP($B77,'A1.3.9'!$B$26:$O$57,9,TRUE))) + IF(AN77="",0,(AN77*VLOOKUP($B77,'A1.3.9'!$B$26:$O$57,10,TRUE))))</f>
        <v>313.566074408563</v>
      </c>
      <c r="AS77" s="691">
        <f>IF(AND(AK77="",AO77=""),"",IF(AK77="",0,(AK77*VLOOKUP($B77,'A1.3.9'!$B$26:$O$57,9,TRUE))) + IF(AO77="",0,(AO77*VLOOKUP($B77,'A1.3.9'!$B$26:$O$57,10,TRUE))))</f>
        <v>16.636939578955694</v>
      </c>
      <c r="AT77" s="691">
        <f>IF(AND(AL77="",AP77=""),"",IF(AL77="",0,(AL77*VLOOKUP($B77,'A1.3.9'!$B$26:$O$57,9,TRUE))) + IF(AP77="",0,(AP77*VLOOKUP($B77,'A1.3.9'!$B$26:$O$57,10,TRUE))))</f>
        <v>-0.12025190490886711</v>
      </c>
      <c r="AU77" s="2644">
        <f>IF(AND(AM77="",AQ77=""),"",IF(AM77="",0,(AM77*VLOOKUP($B77,'A1.3.9'!$B$26:$O$57,9,TRUE))) + IF(AQ77="",0,(AQ77*VLOOKUP($B77,'A1.3.9'!$B$26:$O$57,10,TRUE))))</f>
        <v>1.3133437462108535E-3</v>
      </c>
      <c r="AV77" s="693">
        <f>IF('A1.3.8'!D$32="","",IF(OR(VLOOKUP($B77,'A1.3.11'!$B$26:$AM$105,AV$22,)="",VLOOKUP($B77,'A1.3.7'!$B$28:$H$118,4,)=""),"",VLOOKUP($B77,'A1.3.11'!$B$26:$AM$105,AV$22,)*(VLOOKUP($B77,'A1.3.7'!$B$28:$O$118,4,)+VLOOKUP($B77,'A1.3.7'!$B$28:$O$118,9,))))</f>
        <v>658.88403035754538</v>
      </c>
      <c r="AW77" s="691">
        <f>IF('A1.3.8'!E$32="","",IF(OR(VLOOKUP($B77,'A1.3.11'!$B$26:$AM$105,AW$22,)="",VLOOKUP($B77,'A1.3.7'!$B$28:$H$118,4,)=""),"",VLOOKUP($B77,'A1.3.11'!$B$26:$AM$105,AW$22,)*(VLOOKUP($B77,'A1.3.7'!$B$28:$O$118,4,)+VLOOKUP($B77,'A1.3.7'!$B$28:$O$118,9,))))</f>
        <v>34.217015174163294</v>
      </c>
      <c r="AX77" s="691">
        <f>IF('A1.3.8'!F$32="","",IF(OR(VLOOKUP($B77,'A1.3.11'!$B$26:$AM$105,AX$22,)="",VLOOKUP($B77,'A1.3.7'!$B$28:$H$118,4,)=""),"",VLOOKUP($B77,'A1.3.11'!$B$26:$AM$105,AX$22,)*(VLOOKUP($B77,'A1.3.7'!$B$28:$O$118,4,)+VLOOKUP($B77,'A1.3.7'!$B$28:$O$118,9,))))</f>
        <v>-0.22670572584457671</v>
      </c>
      <c r="AY77" s="2644">
        <f>IF('A1.3.8'!G$32="","",IF(OR(VLOOKUP($B77,'A1.3.11'!$B$26:$AM$105,AY$22,)="",VLOOKUP($B77,'A1.3.7'!$B$28:$H$118,4,)=""),"",VLOOKUP($B77,'A1.3.11'!$B$26:$AM$105,AY$22,)*(VLOOKUP($B77,'A1.3.7'!$B$28:$O$118,4,)+VLOOKUP($B77,'A1.3.7'!$B$28:$O$118,9,))))</f>
        <v>1.3512603975885191E-3</v>
      </c>
      <c r="AZ77" s="693" t="str">
        <f>IF('A1.3.8'!D$39="","",IF(OR(VLOOKUP($B77,'A1.3.11'!$B$26:$AM$105,AZ$22,)="",VLOOKUP($B77,'A1.3.7'!$B$28:$H$118,6,)=""),"",VLOOKUP($B77,'A1.3.11'!$B$26:$AM$105,AZ$22,)*VLOOKUP($B77,'A1.3.7'!$B$28:$O$118,6,)))</f>
        <v/>
      </c>
      <c r="BA77" s="691" t="str">
        <f>IF('A1.3.8'!E$39="","",IF(OR(VLOOKUP($B77,'A1.3.11'!$B$26:$AM$105,BA$22,)="",VLOOKUP($B77,'A1.3.7'!$B$28:$H$118,6,)=""),"",VLOOKUP($B77,'A1.3.11'!$B$26:$AM$105,BA$22,)*VLOOKUP($B77,'A1.3.7'!$B$28:$O$118,6,)))</f>
        <v/>
      </c>
      <c r="BB77" s="691" t="str">
        <f>IF('A1.3.8'!F$39="","",IF(OR(VLOOKUP($B77,'A1.3.11'!$B$26:$AM$105,BB$22,)="",VLOOKUP($B77,'A1.3.7'!$B$28:$H$118,6,)=""),"",VLOOKUP($B77,'A1.3.11'!$B$26:$AM$105,BB$22,)*VLOOKUP($B77,'A1.3.7'!$B$28:$O$118,6,)))</f>
        <v/>
      </c>
      <c r="BC77" s="1664" t="str">
        <f>IF('A1.3.8'!G$39="","",IF(OR(VLOOKUP($B77,'A1.3.11'!$B$26:$AM$105,BC$22,)="",VLOOKUP($B77,'A1.3.7'!$B$28:$H$118,6,)=""),"",VLOOKUP($B77,'A1.3.11'!$B$26:$AM$105,BC$22,)*VLOOKUP($B77,'A1.3.7'!$B$28:$O$118,6,)))</f>
        <v/>
      </c>
      <c r="BD77" s="693">
        <f>IF(AND(AV77="",AZ77=""),"",IF(AV77="",0,(AV77*VLOOKUP($B77,'A1.3.9'!$B$26:$O$57,9,TRUE))) + IF(AZ77="",0,(AZ77*VLOOKUP($B77,'A1.3.9'!$B$26:$O$57,10,TRUE))))</f>
        <v>658.88403035754538</v>
      </c>
      <c r="BE77" s="691">
        <f>IF(AND(AW77="",BA77=""),"",IF(AW77="",0,(AW77*VLOOKUP($B77,'A1.3.9'!$B$26:$O$57,9,TRUE))) + IF(BA77="",0,(BA77*VLOOKUP($B77,'A1.3.9'!$B$26:$O$57,10,TRUE))))</f>
        <v>34.217015174163294</v>
      </c>
      <c r="BF77" s="691">
        <f>IF(AND(AX77="",BB77=""),"",IF(AX77="",0,(AX77*VLOOKUP($B77,'A1.3.9'!$B$26:$O$57,9,TRUE))) + IF(BB77="",0,(BB77*VLOOKUP($B77,'A1.3.9'!$B$26:$O$57,10,TRUE))))</f>
        <v>-0.22670572584457671</v>
      </c>
      <c r="BG77" s="2644">
        <f>IF(AND(AY77="",BC77=""),"",IF(AY77="",0,(AY77*VLOOKUP($B77,'A1.3.9'!$B$26:$O$57,9,TRUE))) + IF(BC77="",0,(BC77*VLOOKUP($B77,'A1.3.9'!$B$26:$O$57,10,TRUE))))</f>
        <v>1.3512603975885191E-3</v>
      </c>
      <c r="BH77" s="693">
        <f>IF('A1.3.8'!D$33="","",IF(OR(VLOOKUP($B77,'A1.3.11'!$B$26:$AM$105,BH$22,)="",VLOOKUP($B77,'A1.3.7'!$B$28:$H$118,4,)=""),"",VLOOKUP($B77,'A1.3.11'!$B$26:$AM$105,BH$22,)*(VLOOKUP($B77,'A1.3.7'!$B$28:$O$118,4,)+VLOOKUP($B77,'A1.3.7'!$B$28:$O$118,9,))))</f>
        <v>390.77497486786206</v>
      </c>
      <c r="BI77" s="691">
        <f>IF('A1.3.8'!E$33="","",IF(OR(VLOOKUP($B77,'A1.3.11'!$B$26:$AM$105,BI$22,)="",VLOOKUP($B77,'A1.3.7'!$B$28:$H$118,4,)=""),"",VLOOKUP($B77,'A1.3.11'!$B$26:$AM$105,BI$22,)*(VLOOKUP($B77,'A1.3.7'!$B$28:$O$118,4,)+VLOOKUP($B77,'A1.3.7'!$B$28:$O$118,9,))))</f>
        <v>34.33620547265091</v>
      </c>
      <c r="BJ77" s="691">
        <f>IF('A1.3.8'!F$33="","",IF(OR(VLOOKUP($B77,'A1.3.11'!$B$26:$AM$105,BJ$22,)="",VLOOKUP($B77,'A1.3.7'!$B$28:$H$118,4,)=""),"",VLOOKUP($B77,'A1.3.11'!$B$26:$AM$105,BJ$22,)*(VLOOKUP($B77,'A1.3.7'!$B$28:$O$118,4,)+VLOOKUP($B77,'A1.3.7'!$B$28:$O$118,9,))))</f>
        <v>-0.37320394987975802</v>
      </c>
      <c r="BK77" s="2644">
        <f>IF('A1.3.8'!G$33="","",IF(OR(VLOOKUP($B77,'A1.3.11'!$B$26:$AM$105,BK$22,)="",VLOOKUP($B77,'A1.3.7'!$B$28:$H$118,4,)=""),"",VLOOKUP($B77,'A1.3.11'!$B$26:$AM$105,BK$22,)*(VLOOKUP($B77,'A1.3.7'!$B$28:$O$118,4,)+VLOOKUP($B77,'A1.3.7'!$B$28:$O$118,9,))))</f>
        <v>2.737603519610297E-3</v>
      </c>
      <c r="BL77" s="693" t="str">
        <f>IF('A1.3.8'!D$40="","",IF(OR(VLOOKUP($B77,'A1.3.11'!$B$26:$AM$105,BL$22,)="",VLOOKUP($B77,'A1.3.7'!$B$28:$H$118,6,)=""),"",VLOOKUP($B77,'A1.3.11'!$B$26:$AM$105,BL$22,)*VLOOKUP($B77,'A1.3.7'!$B$28:$O$118,6,)))</f>
        <v/>
      </c>
      <c r="BM77" s="691" t="str">
        <f>IF('A1.3.8'!E$40="","",IF(OR(VLOOKUP($B77,'A1.3.11'!$B$26:$AM$105,BM$22,)="",VLOOKUP($B77,'A1.3.7'!$B$28:$H$118,6,)=""),"",VLOOKUP($B77,'A1.3.11'!$B$26:$AM$105,BM$22,)*VLOOKUP($B77,'A1.3.7'!$B$28:$O$118,6,)))</f>
        <v/>
      </c>
      <c r="BN77" s="691" t="str">
        <f>IF('A1.3.8'!F$40="","",IF(OR(VLOOKUP($B77,'A1.3.11'!$B$26:$AM$105,BN$22,)="",VLOOKUP($B77,'A1.3.7'!$B$28:$H$118,6,)=""),"",VLOOKUP($B77,'A1.3.11'!$B$26:$AM$105,BN$22,)*VLOOKUP($B77,'A1.3.7'!$B$28:$O$118,6,)))</f>
        <v/>
      </c>
      <c r="BO77" s="1664" t="str">
        <f>IF('A1.3.8'!G$40="","",IF(OR(VLOOKUP($B77,'A1.3.11'!$B$26:$AM$105,BO$22,)="",VLOOKUP($B77,'A1.3.7'!$B$28:$H$118,6,)=""),"",VLOOKUP($B77,'A1.3.11'!$B$26:$AM$105,BO$22,)*VLOOKUP($B77,'A1.3.7'!$B$28:$O$118,6,)))</f>
        <v/>
      </c>
      <c r="BP77" s="693">
        <f>IF(AND(BH77="",BL77=""),"",IF(BH77="",0,(BH77*VLOOKUP($B77,'A1.3.9'!$B$26:$O$57,9,TRUE))) + IF(BL77="",0,(BL77*VLOOKUP($B77,'A1.3.9'!$B$26:$O$57,10,TRUE))))</f>
        <v>390.77497486786206</v>
      </c>
      <c r="BQ77" s="691">
        <f>IF(AND(BI77="",BM77=""),"",IF(BI77="",0,(BI77*VLOOKUP($B77,'A1.3.9'!$B$26:$O$57,9,TRUE))) + IF(BM77="",0,(BM77*VLOOKUP($B77,'A1.3.9'!$B$26:$O$57,10,TRUE))))</f>
        <v>34.33620547265091</v>
      </c>
      <c r="BR77" s="691">
        <f>IF(AND(BJ77="",BN77=""),"",IF(BJ77="",0,(BJ77*VLOOKUP($B77,'A1.3.9'!$B$26:$O$57,9,TRUE))) + IF(BN77="",0,(BN77*VLOOKUP($B77,'A1.3.9'!$B$26:$O$57,10,TRUE))))</f>
        <v>-0.37320394987975802</v>
      </c>
      <c r="BS77" s="2644">
        <f>IF(AND(BK77="",BO77=""),"",IF(BK77="",0,(BK77*VLOOKUP($B77,'A1.3.9'!$B$26:$O$57,9,TRUE))) + IF(BO77="",0,(BO77*VLOOKUP($B77,'A1.3.9'!$B$26:$O$57,10,TRUE))))</f>
        <v>2.737603519610297E-3</v>
      </c>
    </row>
    <row r="78" spans="1:71" ht="13.5" customHeight="1">
      <c r="A78" s="113"/>
      <c r="B78" s="614">
        <f t="shared" si="0"/>
        <v>2061</v>
      </c>
      <c r="C78" s="147"/>
      <c r="D78" s="693">
        <f>IF('A1.3.8'!D$27="","",IF(OR(VLOOKUP($B78,'A1.3.11'!$B$26:$AM$105,D$22,)="",VLOOKUP($B78,'A1.3.7'!$B$28:$H$118,3,)=""),"",VLOOKUP($B78,'A1.3.11'!$B$26:$AM$105,D$22,)*(VLOOKUP($B78,'A1.3.7'!$B$28:$O$118,3,)+VLOOKUP($B78,'A1.3.7'!$B$28:$O$118,8,))))</f>
        <v>36.695173059227734</v>
      </c>
      <c r="E78" s="691">
        <f>IF('A1.3.8'!E$27="","",IF(OR(VLOOKUP($B78,'A1.3.11'!$B$26:$AM$105,E$22,)="",VLOOKUP($B78,'A1.3.7'!$B$28:$H$118,3,)=""),"",VLOOKUP($B78,'A1.3.11'!$B$26:$AM$105,E$22,)*(VLOOKUP($B78,'A1.3.7'!$B$28:$O$118,3,)+VLOOKUP($B78,'A1.3.7'!$B$28:$O$118,8,))))</f>
        <v>7.7983195041198057</v>
      </c>
      <c r="F78" s="691">
        <f>IF('A1.3.8'!F$27="","",IF(OR(VLOOKUP($B78,'A1.3.11'!$B$26:$AM$105,F$22,)="",VLOOKUP($B78,'A1.3.7'!$B$28:$H$118,3,)=""),"",VLOOKUP($B78,'A1.3.11'!$B$26:$AM$105,F$22,)*(VLOOKUP($B78,'A1.3.7'!$B$28:$O$118,3,)+VLOOKUP($B78,'A1.3.7'!$B$28:$O$118,8,))))</f>
        <v>-8.8832107067452468E-2</v>
      </c>
      <c r="G78" s="2644">
        <f>IF('A1.3.8'!G$27="","",IF(OR(VLOOKUP($B78,'A1.3.11'!$B$26:$AM$105,G$22,)="",VLOOKUP($B78,'A1.3.7'!$B$28:$H$118,3,)=""),"",VLOOKUP($B78,'A1.3.11'!$B$26:$AM$105,G$22,)*(VLOOKUP($B78,'A1.3.7'!$B$28:$O$118,3,)+VLOOKUP($B78,'A1.3.7'!$B$28:$O$118,8,))))</f>
        <v>5.883278975559364E-4</v>
      </c>
      <c r="H78" s="693">
        <f>IF('A1.3.8'!D$28="","",IF(OR(VLOOKUP($B78,'A1.3.11'!$B$26:$AM$105,H$22,)="",VLOOKUP($B78,'A1.3.7'!$B$28:$H$118,4,)=""),"",VLOOKUP($B78,'A1.3.11'!$B$26:$AM$105,H$22,)*(VLOOKUP($B78,'A1.3.7'!$B$28:$O$118,4,)+VLOOKUP($B78,'A1.3.7'!$B$28:$O$118,9,))))</f>
        <v>45.22425460032639</v>
      </c>
      <c r="I78" s="691">
        <f>IF('A1.3.8'!E$28="","",IF(OR(VLOOKUP($B78,'A1.3.11'!$B$26:$AM$105,I$22,)="",VLOOKUP($B78,'A1.3.7'!$B$28:$H$118,4,)=""),"",VLOOKUP($B78,'A1.3.11'!$B$26:$AM$105,I$22,)*(VLOOKUP($B78,'A1.3.7'!$B$28:$O$118,4,)+VLOOKUP($B78,'A1.3.7'!$B$28:$O$118,9,))))</f>
        <v>6.4840397151420675</v>
      </c>
      <c r="J78" s="691">
        <f>IF('A1.3.8'!F$28="","",IF(OR(VLOOKUP($B78,'A1.3.11'!$B$26:$AM$105,J$22,)="",VLOOKUP($B78,'A1.3.7'!$B$28:$H$118,4,)=""),"",VLOOKUP($B78,'A1.3.11'!$B$26:$AM$105,J$22,)*(VLOOKUP($B78,'A1.3.7'!$B$28:$O$118,4,)+VLOOKUP($B78,'A1.3.7'!$B$28:$O$118,9,))))</f>
        <v>-6.2378268387818431E-2</v>
      </c>
      <c r="K78" s="2644">
        <f>IF('A1.3.8'!G$28="","",IF(OR(VLOOKUP($B78,'A1.3.11'!$B$26:$AM$105,K$22,)="",VLOOKUP($B78,'A1.3.7'!$B$28:$H$118,4,)=""),"",VLOOKUP($B78,'A1.3.11'!$B$26:$AM$105,K$22,)*(VLOOKUP($B78,'A1.3.7'!$B$28:$O$118,4,)+VLOOKUP($B78,'A1.3.7'!$B$28:$O$118,9,))))</f>
        <v>4.9154388446043338E-4</v>
      </c>
      <c r="L78" s="693" t="str">
        <f>IF('A1.3.8'!D$36="","",IF(OR(VLOOKUP($B78,'A1.3.11'!$B$26:$AM$105,L$22,)="",VLOOKUP($B78,'A1.3.7'!$B$28:$H$118,6,)=""),"",VLOOKUP($B78,'A1.3.11'!$B$26:$AM$105,L$22,)*VLOOKUP($B78,'A1.3.7'!$B$28:$O$118,6,)))</f>
        <v/>
      </c>
      <c r="M78" s="691">
        <f>IF('A1.3.8'!E$36="","",IF(OR(VLOOKUP($B78,'A1.3.11'!$B$26:$AM$105,M$22,)="",VLOOKUP($B78,'A1.3.7'!$B$28:$H$118,6,)=""),"",VLOOKUP($B78,'A1.3.11'!$B$26:$AM$105,M$22,)*VLOOKUP($B78,'A1.3.7'!$B$28:$O$118,6,)))</f>
        <v>1.9637608285706969</v>
      </c>
      <c r="N78" s="691" t="str">
        <f>IF('A1.3.8'!F$36="","",IF(OR(VLOOKUP($B78,'A1.3.11'!$B$26:$AM$105,N$22,)="",VLOOKUP($B78,'A1.3.7'!$B$28:$H$118,6,)=""),"",VLOOKUP($B78,'A1.3.11'!$B$26:$AM$105,N$22,)*VLOOKUP($B78,'A1.3.7'!$B$28:$O$118,6,)))</f>
        <v/>
      </c>
      <c r="O78" s="1664" t="str">
        <f>IF('A1.3.8'!G$36="","",IF(OR(VLOOKUP($B78,'A1.3.11'!$B$26:$AM$105,O$22,)="",VLOOKUP($B78,'A1.3.7'!$B$28:$H$118,6,)=""),"",VLOOKUP($B78,'A1.3.11'!$B$26:$AM$105,O$22,)*VLOOKUP($B78,'A1.3.7'!$B$28:$O$118,6,)))</f>
        <v/>
      </c>
      <c r="P78" s="693">
        <f>IF(AND(D78="",H78="",L78=""),"",IF(D78="",0,(D78*VLOOKUP($B78,'A1.3.9'!$B$26:$O$57,3,TRUE)))+IF(H78="",0,(H78*VLOOKUP($B78,'A1.3.9'!$B$26:$O$57,4,TRUE)))+IF(L78="",0,(L78*VLOOKUP($B78,'A1.3.9'!$B$26:$O$57,5,TRUE))))</f>
        <v>30.430796031774243</v>
      </c>
      <c r="Q78" s="691">
        <f>IF(AND(E78="",I78="",M78=""),"",IF(E78="",0,(E78*VLOOKUP($B78,'A1.3.9'!$B$26:$O$57,3,TRUE)))+IF(I78="",0,(I78*VLOOKUP($B78,'A1.3.9'!$B$26:$O$57,4,TRUE)))+IF(M78="",0,(M78*VLOOKUP($B78,'A1.3.9'!$B$26:$O$57,5,TRUE))))</f>
        <v>5.9782660629618469</v>
      </c>
      <c r="R78" s="691">
        <f>IF(AND(F78="",J78="",N78=""),"",IF(F78="",0,(F78*VLOOKUP($B78,'A1.3.9'!$B$26:$O$57,3,TRUE)))+IF(J78="",0,(J78*VLOOKUP($B78,'A1.3.9'!$B$26:$O$57,4,TRUE)))+IF(N78="",0,(N78*VLOOKUP($B78,'A1.3.9'!$B$26:$O$57,5,TRUE))))</f>
        <v>-5.913314841675512E-2</v>
      </c>
      <c r="S78" s="2644">
        <f>IF(AND(G78="",K78="",O78=""),"",IF(G78="",0,(G78*VLOOKUP($B78,'A1.3.9'!$B$26:$O$57,3,TRUE)))+IF(K78="",0,(K78*VLOOKUP($B78,'A1.3.9'!$B$26:$O$57,4,TRUE)))+IF(O78="",0,(O78*VLOOKUP($B78,'A1.3.9'!$B$26:$O$57,5,TRUE))))</f>
        <v>4.1583154973224732E-4</v>
      </c>
      <c r="T78" s="693">
        <f>IF('A1.3.8'!D$29="","",IF(OR(VLOOKUP($B78,'A1.3.11'!$B$26:$AM$105,T$22,)="",VLOOKUP($B78,'A1.3.7'!$B$28:$H$118,3,)=""),"",VLOOKUP($B78,'A1.3.11'!$B$26:$AM$105,T$22,)*(VLOOKUP($B78,'A1.3.7'!$B$28:$O$118,3,)+VLOOKUP($B78,'A1.3.7'!$B$28:$O$118,8,))))</f>
        <v>26.39605147625581</v>
      </c>
      <c r="U78" s="691">
        <f>IF('A1.3.8'!E$29="","",IF(OR(VLOOKUP($B78,'A1.3.11'!$B$26:$AM$105,U$22,)="",VLOOKUP($B78,'A1.3.7'!$B$28:$H$118,3,)=""),"",VLOOKUP($B78,'A1.3.11'!$B$26:$AM$105,U$22,)*(VLOOKUP($B78,'A1.3.7'!$B$28:$O$118,3,)+VLOOKUP($B78,'A1.3.7'!$B$28:$O$118,8,))))</f>
        <v>14.80137769513221</v>
      </c>
      <c r="V78" s="691">
        <f>IF('A1.3.8'!F$29="","",IF(OR(VLOOKUP($B78,'A1.3.11'!$B$26:$AM$105,V$22,)="",VLOOKUP($B78,'A1.3.7'!$B$28:$H$118,3,)=""),"",VLOOKUP($B78,'A1.3.11'!$B$26:$AM$105,V$22,)*(VLOOKUP($B78,'A1.3.7'!$B$28:$O$118,3,)+VLOOKUP($B78,'A1.3.7'!$B$28:$O$118,8,))))</f>
        <v>-0.23233304585188844</v>
      </c>
      <c r="W78" s="2644">
        <f>IF('A1.3.8'!G$29="","",IF(OR(VLOOKUP($B78,'A1.3.11'!$B$26:$AM$105,W$22,)="",VLOOKUP($B78,'A1.3.7'!$B$28:$H$118,3,)=""),"",VLOOKUP($B78,'A1.3.11'!$B$26:$AM$105,W$22,)*(VLOOKUP($B78,'A1.3.7'!$B$28:$O$118,3,)+VLOOKUP($B78,'A1.3.7'!$B$28:$O$118,8,))))</f>
        <v>1.5004154929413364E-3</v>
      </c>
      <c r="X78" s="693">
        <f>IF('A1.3.8'!D$30="","",IF(OR(VLOOKUP($B78,'A1.3.11'!$B$26:$AM$105,X$22,)="",VLOOKUP($B78,'A1.3.7'!$B$28:$H$118,4,)=""),"",VLOOKUP($B78,'A1.3.11'!$B$26:$AM$105,X$22,)*(VLOOKUP($B78,'A1.3.7'!$B$28:$O$118,4,)+VLOOKUP($B78,'A1.3.7'!$B$28:$O$118,9,))))</f>
        <v>46.576594697248375</v>
      </c>
      <c r="Y78" s="691">
        <f>IF('A1.3.8'!E$30="","",IF(OR(VLOOKUP($B78,'A1.3.11'!$B$26:$AM$105,Y$22,)="",VLOOKUP($B78,'A1.3.7'!$B$28:$H$118,4,)=""),"",VLOOKUP($B78,'A1.3.11'!$B$26:$AM$105,Y$22,)*(VLOOKUP($B78,'A1.3.7'!$B$28:$O$118,4,)+VLOOKUP($B78,'A1.3.7'!$B$28:$O$118,9,))))</f>
        <v>11.383509559081611</v>
      </c>
      <c r="Z78" s="691">
        <f>IF('A1.3.8'!F$30="","",IF(OR(VLOOKUP($B78,'A1.3.11'!$B$26:$AM$105,Z$22,)="",VLOOKUP($B78,'A1.3.7'!$B$28:$H$118,4,)=""),"",VLOOKUP($B78,'A1.3.11'!$B$26:$AM$105,Z$22,)*(VLOOKUP($B78,'A1.3.7'!$B$28:$O$118,4,)+VLOOKUP($B78,'A1.3.7'!$B$28:$O$118,9,))))</f>
        <v>-0.16422781426939742</v>
      </c>
      <c r="AA78" s="2644">
        <f>IF('A1.3.8'!G$30="","",IF(OR(VLOOKUP($B78,'A1.3.11'!$B$26:$AM$105,AA$22,)="",VLOOKUP($B78,'A1.3.7'!$B$28:$H$118,4,)=""),"",VLOOKUP($B78,'A1.3.11'!$B$26:$AM$105,AA$22,)*(VLOOKUP($B78,'A1.3.7'!$B$28:$O$118,4,)+VLOOKUP($B78,'A1.3.7'!$B$28:$O$118,9,))))</f>
        <v>1.3903584017598617E-3</v>
      </c>
      <c r="AB78" s="693" t="str">
        <f>IF('A1.3.8'!D$37="","",IF(OR(VLOOKUP($B78,'A1.3.11'!$B$26:$AM$105,AB$22,)="",VLOOKUP($B78,'A1.3.7'!$B$28:$H$118,6,)=""),"",VLOOKUP($B78,'A1.3.11'!$B$26:$AM$105,AB$22,)*VLOOKUP($B78,'A1.3.7'!$B$28:$O$118,6,)))</f>
        <v/>
      </c>
      <c r="AC78" s="691">
        <f>IF('A1.3.8'!E$37="","",IF(OR(VLOOKUP($B78,'A1.3.11'!$B$26:$AM$105,AC$22,)="",VLOOKUP($B78,'A1.3.7'!$B$28:$H$118,6,)=""),"",VLOOKUP($B78,'A1.3.11'!$B$26:$AM$105,AC$22,)*VLOOKUP($B78,'A1.3.7'!$B$28:$O$118,6,)))</f>
        <v>4.5145632825273854</v>
      </c>
      <c r="AD78" s="691" t="str">
        <f>IF('A1.3.8'!F$37="","",IF(OR(VLOOKUP($B78,'A1.3.11'!$B$26:$AM$105,AD$22,)="",VLOOKUP($B78,'A1.3.7'!$B$28:$H$118,6,)=""),"",VLOOKUP($B78,'A1.3.11'!$B$26:$AM$105,AD$22,)*VLOOKUP($B78,'A1.3.7'!$B$28:$O$118,6,)))</f>
        <v/>
      </c>
      <c r="AE78" s="1664" t="str">
        <f>IF('A1.3.8'!G$37="","",IF(OR(VLOOKUP($B78,'A1.3.11'!$B$26:$AM$105,AE$22,)="",VLOOKUP($B78,'A1.3.7'!$B$28:$H$118,6,)=""),"",VLOOKUP($B78,'A1.3.11'!$B$26:$AM$105,AE$22,)*VLOOKUP($B78,'A1.3.7'!$B$28:$O$118,6,)))</f>
        <v/>
      </c>
      <c r="AF78" s="693">
        <f>IF(AND(T78="",X78="",AB78=""),"",IF(T78="",0,(T78*VLOOKUP('A1.3.12'!$B78,'A1.3.9'!$B$26:$O$57,6,TRUE))) + IF(X78="",0,(X78*VLOOKUP('A1.3.12'!$B78,'A1.3.9'!$B$26:$O$57,7,TRUE))) + IF(AB78="",0,(AB78*VLOOKUP('A1.3.12'!$B78,'A1.3.9'!$B$26:$O$57,8,TRUE))))</f>
        <v>41.327129430388688</v>
      </c>
      <c r="AG78" s="691">
        <f>IF(AND(U78="",Y78="",AC78=""),"",IF(U78="",0,(U78*VLOOKUP('A1.3.12'!$B78,'A1.3.9'!$B$26:$O$57,6,TRUE))) + IF(Y78="",0,(Y78*VLOOKUP('A1.3.12'!$B78,'A1.3.9'!$B$26:$O$57,7,TRUE))) + IF(AC78="",0,(AC78*VLOOKUP('A1.3.12'!$B78,'A1.3.9'!$B$26:$O$57,8,TRUE))))</f>
        <v>10.657812993615646</v>
      </c>
      <c r="AH78" s="691">
        <f>IF(AND(V78="",Z78="",AD78=""),"",IF(V78="",0,(V78*VLOOKUP('A1.3.12'!$B78,'A1.3.9'!$B$26:$O$57,6,TRUE))) + IF(Z78="",0,(Z78*VLOOKUP('A1.3.12'!$B78,'A1.3.9'!$B$26:$O$57,7,TRUE))) + IF(AD78="",0,(AD78*VLOOKUP('A1.3.12'!$B78,'A1.3.9'!$B$26:$O$57,8,TRUE))))</f>
        <v>-0.14677413252733654</v>
      </c>
      <c r="AI78" s="2644">
        <f>IF(AND(W78="",AA78="",AE78=""),"",IF(W78="",0,(W78*VLOOKUP('A1.3.12'!$B78,'A1.3.9'!$B$26:$O$57,6,TRUE))) + IF(AA78="",0,(AA78*VLOOKUP('A1.3.12'!$B78,'A1.3.9'!$B$26:$O$57,7,TRUE))) + IF(AE78="",0,(AE78*VLOOKUP('A1.3.12'!$B78,'A1.3.9'!$B$26:$O$57,8,TRUE))))</f>
        <v>1.2390580324321478E-3</v>
      </c>
      <c r="AJ78" s="693">
        <f>IF('A1.3.8'!D$31="","",IF(OR(VLOOKUP($B78,'A1.3.11'!$B$26:$AM$105,AJ$22,)="",VLOOKUP($B78,'A1.3.7'!$B$28:$H$118,4,)=""),"",VLOOKUP($B78,'A1.3.11'!$B$26:$AM$105,AJ$22,)*(VLOOKUP($B78,'A1.3.7'!$B$28:$O$118,4,)+VLOOKUP($B78,'A1.3.7'!$B$28:$O$118,9,))))</f>
        <v>314.8560471587943</v>
      </c>
      <c r="AK78" s="691">
        <f>IF('A1.3.8'!E$31="","",IF(OR(VLOOKUP($B78,'A1.3.11'!$B$26:$AM$105,AK$22,)="",VLOOKUP($B78,'A1.3.7'!$B$28:$H$118,4,)=""),"",VLOOKUP($B78,'A1.3.11'!$B$26:$AM$105,AK$22,)*(VLOOKUP($B78,'A1.3.7'!$B$28:$O$118,4,)+VLOOKUP($B78,'A1.3.7'!$B$28:$O$118,9,))))</f>
        <v>16.705381927971214</v>
      </c>
      <c r="AL78" s="691">
        <f>IF('A1.3.8'!F$31="","",IF(OR(VLOOKUP($B78,'A1.3.11'!$B$26:$AM$105,AL$22,)="",VLOOKUP($B78,'A1.3.7'!$B$28:$H$118,4,)=""),"",VLOOKUP($B78,'A1.3.11'!$B$26:$AM$105,AL$22,)*(VLOOKUP($B78,'A1.3.7'!$B$28:$O$118,4,)+VLOOKUP($B78,'A1.3.7'!$B$28:$O$118,9,))))</f>
        <v>-0.12074660664210923</v>
      </c>
      <c r="AM78" s="2644">
        <f>IF('A1.3.8'!G$31="","",IF(OR(VLOOKUP($B78,'A1.3.11'!$B$26:$AM$105,AM$22,)="",VLOOKUP($B78,'A1.3.7'!$B$28:$H$118,4,)=""),"",VLOOKUP($B78,'A1.3.11'!$B$26:$AM$105,AM$22,)*(VLOOKUP($B78,'A1.3.7'!$B$28:$O$118,4,)+VLOOKUP($B78,'A1.3.7'!$B$28:$O$118,9,))))</f>
        <v>1.3187466828885352E-3</v>
      </c>
      <c r="AN78" s="693" t="str">
        <f>IF('A1.3.8'!D$38="","",IF(OR(VLOOKUP($B78,'A1.3.11'!$B$26:$AM$105,AN$22,)="",VLOOKUP($B78,'A1.3.7'!$B$28:$H$118,6,)=""),"",VLOOKUP($B78,'A1.3.11'!$B$26:$AM$105,AN$22,)*VLOOKUP($B78,'A1.3.7'!$B$28:$O$118,6,)))</f>
        <v/>
      </c>
      <c r="AO78" s="691" t="str">
        <f>IF('A1.3.8'!E$38="","",IF(OR(VLOOKUP($B78,'A1.3.11'!$B$26:$AM$105,AO$22,)="",VLOOKUP($B78,'A1.3.7'!$B$28:$H$118,6,)=""),"",VLOOKUP($B78,'A1.3.11'!$B$26:$AM$105,AO$22,)*VLOOKUP($B78,'A1.3.7'!$B$28:$O$118,6,)))</f>
        <v/>
      </c>
      <c r="AP78" s="691" t="str">
        <f>IF('A1.3.8'!F$38="","",IF(OR(VLOOKUP($B78,'A1.3.11'!$B$26:$AM$105,AP$22,)="",VLOOKUP($B78,'A1.3.7'!$B$28:$H$118,6,)=""),"",VLOOKUP($B78,'A1.3.11'!$B$26:$AM$105,AP$22,)*VLOOKUP($B78,'A1.3.7'!$B$28:$O$118,6,)))</f>
        <v/>
      </c>
      <c r="AQ78" s="1664" t="str">
        <f>IF('A1.3.8'!G$38="","",IF(OR(VLOOKUP($B78,'A1.3.11'!$B$26:$AM$105,AQ$22,)="",VLOOKUP($B78,'A1.3.7'!$B$28:$H$118,6,)=""),"",VLOOKUP($B78,'A1.3.11'!$B$26:$AM$105,AQ$22,)*VLOOKUP($B78,'A1.3.7'!$B$28:$O$118,6,)))</f>
        <v/>
      </c>
      <c r="AR78" s="693">
        <f>IF(AND(AJ78="",AN78=""),"",IF(AJ78="",0,(AJ78*VLOOKUP($B78,'A1.3.9'!$B$26:$O$57,9,TRUE))) + IF(AN78="",0,(AN78*VLOOKUP($B78,'A1.3.9'!$B$26:$O$57,10,TRUE))))</f>
        <v>314.8560471587943</v>
      </c>
      <c r="AS78" s="691">
        <f>IF(AND(AK78="",AO78=""),"",IF(AK78="",0,(AK78*VLOOKUP($B78,'A1.3.9'!$B$26:$O$57,9,TRUE))) + IF(AO78="",0,(AO78*VLOOKUP($B78,'A1.3.9'!$B$26:$O$57,10,TRUE))))</f>
        <v>16.705381927971214</v>
      </c>
      <c r="AT78" s="691">
        <f>IF(AND(AL78="",AP78=""),"",IF(AL78="",0,(AL78*VLOOKUP($B78,'A1.3.9'!$B$26:$O$57,9,TRUE))) + IF(AP78="",0,(AP78*VLOOKUP($B78,'A1.3.9'!$B$26:$O$57,10,TRUE))))</f>
        <v>-0.12074660664210923</v>
      </c>
      <c r="AU78" s="2644">
        <f>IF(AND(AM78="",AQ78=""),"",IF(AM78="",0,(AM78*VLOOKUP($B78,'A1.3.9'!$B$26:$O$57,9,TRUE))) + IF(AQ78="",0,(AQ78*VLOOKUP($B78,'A1.3.9'!$B$26:$O$57,10,TRUE))))</f>
        <v>1.3187466828885352E-3</v>
      </c>
      <c r="AV78" s="693">
        <f>IF('A1.3.8'!D$32="","",IF(OR(VLOOKUP($B78,'A1.3.11'!$B$26:$AM$105,AV$22,)="",VLOOKUP($B78,'A1.3.7'!$B$28:$H$118,4,)=""),"",VLOOKUP($B78,'A1.3.11'!$B$26:$AM$105,AV$22,)*(VLOOKUP($B78,'A1.3.7'!$B$28:$O$118,4,)+VLOOKUP($B78,'A1.3.7'!$B$28:$O$118,9,))))</f>
        <v>661.59459924267412</v>
      </c>
      <c r="AW78" s="691">
        <f>IF('A1.3.8'!E$32="","",IF(OR(VLOOKUP($B78,'A1.3.11'!$B$26:$AM$105,AW$22,)="",VLOOKUP($B78,'A1.3.7'!$B$28:$H$118,4,)=""),"",VLOOKUP($B78,'A1.3.11'!$B$26:$AM$105,AW$22,)*(VLOOKUP($B78,'A1.3.7'!$B$28:$O$118,4,)+VLOOKUP($B78,'A1.3.7'!$B$28:$O$118,9,))))</f>
        <v>34.357779819229492</v>
      </c>
      <c r="AX78" s="691">
        <f>IF('A1.3.8'!F$32="","",IF(OR(VLOOKUP($B78,'A1.3.11'!$B$26:$AM$105,AX$22,)="",VLOOKUP($B78,'A1.3.7'!$B$28:$H$118,4,)=""),"",VLOOKUP($B78,'A1.3.11'!$B$26:$AM$105,AX$22,)*(VLOOKUP($B78,'A1.3.7'!$B$28:$O$118,4,)+VLOOKUP($B78,'A1.3.7'!$B$28:$O$118,9,))))</f>
        <v>-0.22763836566925325</v>
      </c>
      <c r="AY78" s="2644">
        <f>IF('A1.3.8'!G$32="","",IF(OR(VLOOKUP($B78,'A1.3.11'!$B$26:$AM$105,AY$22,)="",VLOOKUP($B78,'A1.3.7'!$B$28:$H$118,4,)=""),"",VLOOKUP($B78,'A1.3.11'!$B$26:$AM$105,AY$22,)*(VLOOKUP($B78,'A1.3.7'!$B$28:$O$118,4,)+VLOOKUP($B78,'A1.3.7'!$B$28:$O$118,9,))))</f>
        <v>1.3568193187653195E-3</v>
      </c>
      <c r="AZ78" s="693" t="str">
        <f>IF('A1.3.8'!D$39="","",IF(OR(VLOOKUP($B78,'A1.3.11'!$B$26:$AM$105,AZ$22,)="",VLOOKUP($B78,'A1.3.7'!$B$28:$H$118,6,)=""),"",VLOOKUP($B78,'A1.3.11'!$B$26:$AM$105,AZ$22,)*VLOOKUP($B78,'A1.3.7'!$B$28:$O$118,6,)))</f>
        <v/>
      </c>
      <c r="BA78" s="691" t="str">
        <f>IF('A1.3.8'!E$39="","",IF(OR(VLOOKUP($B78,'A1.3.11'!$B$26:$AM$105,BA$22,)="",VLOOKUP($B78,'A1.3.7'!$B$28:$H$118,6,)=""),"",VLOOKUP($B78,'A1.3.11'!$B$26:$AM$105,BA$22,)*VLOOKUP($B78,'A1.3.7'!$B$28:$O$118,6,)))</f>
        <v/>
      </c>
      <c r="BB78" s="691" t="str">
        <f>IF('A1.3.8'!F$39="","",IF(OR(VLOOKUP($B78,'A1.3.11'!$B$26:$AM$105,BB$22,)="",VLOOKUP($B78,'A1.3.7'!$B$28:$H$118,6,)=""),"",VLOOKUP($B78,'A1.3.11'!$B$26:$AM$105,BB$22,)*VLOOKUP($B78,'A1.3.7'!$B$28:$O$118,6,)))</f>
        <v/>
      </c>
      <c r="BC78" s="1664" t="str">
        <f>IF('A1.3.8'!G$39="","",IF(OR(VLOOKUP($B78,'A1.3.11'!$B$26:$AM$105,BC$22,)="",VLOOKUP($B78,'A1.3.7'!$B$28:$H$118,6,)=""),"",VLOOKUP($B78,'A1.3.11'!$B$26:$AM$105,BC$22,)*VLOOKUP($B78,'A1.3.7'!$B$28:$O$118,6,)))</f>
        <v/>
      </c>
      <c r="BD78" s="693">
        <f>IF(AND(AV78="",AZ78=""),"",IF(AV78="",0,(AV78*VLOOKUP($B78,'A1.3.9'!$B$26:$O$57,9,TRUE))) + IF(AZ78="",0,(AZ78*VLOOKUP($B78,'A1.3.9'!$B$26:$O$57,10,TRUE))))</f>
        <v>661.59459924267412</v>
      </c>
      <c r="BE78" s="691">
        <f>IF(AND(AW78="",BA78=""),"",IF(AW78="",0,(AW78*VLOOKUP($B78,'A1.3.9'!$B$26:$O$57,9,TRUE))) + IF(BA78="",0,(BA78*VLOOKUP($B78,'A1.3.9'!$B$26:$O$57,10,TRUE))))</f>
        <v>34.357779819229492</v>
      </c>
      <c r="BF78" s="691">
        <f>IF(AND(AX78="",BB78=""),"",IF(AX78="",0,(AX78*VLOOKUP($B78,'A1.3.9'!$B$26:$O$57,9,TRUE))) + IF(BB78="",0,(BB78*VLOOKUP($B78,'A1.3.9'!$B$26:$O$57,10,TRUE))))</f>
        <v>-0.22763836566925325</v>
      </c>
      <c r="BG78" s="2644">
        <f>IF(AND(AY78="",BC78=""),"",IF(AY78="",0,(AY78*VLOOKUP($B78,'A1.3.9'!$B$26:$O$57,9,TRUE))) + IF(BC78="",0,(BC78*VLOOKUP($B78,'A1.3.9'!$B$26:$O$57,10,TRUE))))</f>
        <v>1.3568193187653195E-3</v>
      </c>
      <c r="BH78" s="693">
        <f>IF('A1.3.8'!D$33="","",IF(OR(VLOOKUP($B78,'A1.3.11'!$B$26:$AM$105,BH$22,)="",VLOOKUP($B78,'A1.3.7'!$B$28:$H$118,4,)=""),"",VLOOKUP($B78,'A1.3.11'!$B$26:$AM$105,BH$22,)*(VLOOKUP($B78,'A1.3.7'!$B$28:$O$118,4,)+VLOOKUP($B78,'A1.3.7'!$B$28:$O$118,9,))))</f>
        <v>392.38257565823022</v>
      </c>
      <c r="BI78" s="691">
        <f>IF('A1.3.8'!E$33="","",IF(OR(VLOOKUP($B78,'A1.3.11'!$B$26:$AM$105,BI$22,)="",VLOOKUP($B78,'A1.3.7'!$B$28:$H$118,4,)=""),"",VLOOKUP($B78,'A1.3.11'!$B$26:$AM$105,BI$22,)*(VLOOKUP($B78,'A1.3.7'!$B$28:$O$118,4,)+VLOOKUP($B78,'A1.3.7'!$B$28:$O$118,9,))))</f>
        <v>34.477460452130451</v>
      </c>
      <c r="BJ78" s="691">
        <f>IF('A1.3.8'!F$33="","",IF(OR(VLOOKUP($B78,'A1.3.11'!$B$26:$AM$105,BJ$22,)="",VLOOKUP($B78,'A1.3.7'!$B$28:$H$118,4,)=""),"",VLOOKUP($B78,'A1.3.11'!$B$26:$AM$105,BJ$22,)*(VLOOKUP($B78,'A1.3.7'!$B$28:$O$118,4,)+VLOOKUP($B78,'A1.3.7'!$B$28:$O$118,9,))))</f>
        <v>-0.37473926560717408</v>
      </c>
      <c r="BK78" s="2644">
        <f>IF('A1.3.8'!G$33="","",IF(OR(VLOOKUP($B78,'A1.3.11'!$B$26:$AM$105,BK$22,)="",VLOOKUP($B78,'A1.3.7'!$B$28:$H$118,4,)=""),"",VLOOKUP($B78,'A1.3.11'!$B$26:$AM$105,BK$22,)*(VLOOKUP($B78,'A1.3.7'!$B$28:$O$118,4,)+VLOOKUP($B78,'A1.3.7'!$B$28:$O$118,9,))))</f>
        <v>2.7488656880317228E-3</v>
      </c>
      <c r="BL78" s="693" t="str">
        <f>IF('A1.3.8'!D$40="","",IF(OR(VLOOKUP($B78,'A1.3.11'!$B$26:$AM$105,BL$22,)="",VLOOKUP($B78,'A1.3.7'!$B$28:$H$118,6,)=""),"",VLOOKUP($B78,'A1.3.11'!$B$26:$AM$105,BL$22,)*VLOOKUP($B78,'A1.3.7'!$B$28:$O$118,6,)))</f>
        <v/>
      </c>
      <c r="BM78" s="691" t="str">
        <f>IF('A1.3.8'!E$40="","",IF(OR(VLOOKUP($B78,'A1.3.11'!$B$26:$AM$105,BM$22,)="",VLOOKUP($B78,'A1.3.7'!$B$28:$H$118,6,)=""),"",VLOOKUP($B78,'A1.3.11'!$B$26:$AM$105,BM$22,)*VLOOKUP($B78,'A1.3.7'!$B$28:$O$118,6,)))</f>
        <v/>
      </c>
      <c r="BN78" s="691" t="str">
        <f>IF('A1.3.8'!F$40="","",IF(OR(VLOOKUP($B78,'A1.3.11'!$B$26:$AM$105,BN$22,)="",VLOOKUP($B78,'A1.3.7'!$B$28:$H$118,6,)=""),"",VLOOKUP($B78,'A1.3.11'!$B$26:$AM$105,BN$22,)*VLOOKUP($B78,'A1.3.7'!$B$28:$O$118,6,)))</f>
        <v/>
      </c>
      <c r="BO78" s="1664" t="str">
        <f>IF('A1.3.8'!G$40="","",IF(OR(VLOOKUP($B78,'A1.3.11'!$B$26:$AM$105,BO$22,)="",VLOOKUP($B78,'A1.3.7'!$B$28:$H$118,6,)=""),"",VLOOKUP($B78,'A1.3.11'!$B$26:$AM$105,BO$22,)*VLOOKUP($B78,'A1.3.7'!$B$28:$O$118,6,)))</f>
        <v/>
      </c>
      <c r="BP78" s="693">
        <f>IF(AND(BH78="",BL78=""),"",IF(BH78="",0,(BH78*VLOOKUP($B78,'A1.3.9'!$B$26:$O$57,9,TRUE))) + IF(BL78="",0,(BL78*VLOOKUP($B78,'A1.3.9'!$B$26:$O$57,10,TRUE))))</f>
        <v>392.38257565823022</v>
      </c>
      <c r="BQ78" s="691">
        <f>IF(AND(BI78="",BM78=""),"",IF(BI78="",0,(BI78*VLOOKUP($B78,'A1.3.9'!$B$26:$O$57,9,TRUE))) + IF(BM78="",0,(BM78*VLOOKUP($B78,'A1.3.9'!$B$26:$O$57,10,TRUE))))</f>
        <v>34.477460452130451</v>
      </c>
      <c r="BR78" s="691">
        <f>IF(AND(BJ78="",BN78=""),"",IF(BJ78="",0,(BJ78*VLOOKUP($B78,'A1.3.9'!$B$26:$O$57,9,TRUE))) + IF(BN78="",0,(BN78*VLOOKUP($B78,'A1.3.9'!$B$26:$O$57,10,TRUE))))</f>
        <v>-0.37473926560717408</v>
      </c>
      <c r="BS78" s="2644">
        <f>IF(AND(BK78="",BO78=""),"",IF(BK78="",0,(BK78*VLOOKUP($B78,'A1.3.9'!$B$26:$O$57,9,TRUE))) + IF(BO78="",0,(BO78*VLOOKUP($B78,'A1.3.9'!$B$26:$O$57,10,TRUE))))</f>
        <v>2.7488656880317228E-3</v>
      </c>
    </row>
    <row r="79" spans="1:71" ht="13.5" customHeight="1">
      <c r="A79" s="113"/>
      <c r="B79" s="614">
        <f t="shared" si="0"/>
        <v>2062</v>
      </c>
      <c r="C79" s="147"/>
      <c r="D79" s="693">
        <f>IF('A1.3.8'!D$27="","",IF(OR(VLOOKUP($B79,'A1.3.11'!$B$26:$AM$105,D$22,)="",VLOOKUP($B79,'A1.3.7'!$B$28:$H$118,3,)=""),"",VLOOKUP($B79,'A1.3.11'!$B$26:$AM$105,D$22,)*(VLOOKUP($B79,'A1.3.7'!$B$28:$O$118,3,)+VLOOKUP($B79,'A1.3.7'!$B$28:$O$118,8,))))</f>
        <v>36.851857879208971</v>
      </c>
      <c r="E79" s="691">
        <f>IF('A1.3.8'!E$27="","",IF(OR(VLOOKUP($B79,'A1.3.11'!$B$26:$AM$105,E$22,)="",VLOOKUP($B79,'A1.3.7'!$B$28:$H$118,3,)=""),"",VLOOKUP($B79,'A1.3.11'!$B$26:$AM$105,E$22,)*(VLOOKUP($B79,'A1.3.7'!$B$28:$O$118,3,)+VLOOKUP($B79,'A1.3.7'!$B$28:$O$118,8,))))</f>
        <v>7.8316175699359007</v>
      </c>
      <c r="F79" s="691">
        <f>IF('A1.3.8'!F$27="","",IF(OR(VLOOKUP($B79,'A1.3.11'!$B$26:$AM$105,F$22,)="",VLOOKUP($B79,'A1.3.7'!$B$28:$H$118,3,)=""),"",VLOOKUP($B79,'A1.3.11'!$B$26:$AM$105,F$22,)*(VLOOKUP($B79,'A1.3.7'!$B$28:$O$118,3,)+VLOOKUP($B79,'A1.3.7'!$B$28:$O$118,8,))))</f>
        <v>-8.921141152479764E-2</v>
      </c>
      <c r="G79" s="2644">
        <f>IF('A1.3.8'!G$27="","",IF(OR(VLOOKUP($B79,'A1.3.11'!$B$26:$AM$105,G$22,)="",VLOOKUP($B79,'A1.3.7'!$B$28:$H$118,3,)=""),"",VLOOKUP($B79,'A1.3.11'!$B$26:$AM$105,G$22,)*(VLOOKUP($B79,'A1.3.7'!$B$28:$O$118,3,)+VLOOKUP($B79,'A1.3.7'!$B$28:$O$118,8,))))</f>
        <v>5.9084000045758235E-4</v>
      </c>
      <c r="H79" s="693">
        <f>IF('A1.3.8'!D$28="","",IF(OR(VLOOKUP($B79,'A1.3.11'!$B$26:$AM$105,H$22,)="",VLOOKUP($B79,'A1.3.7'!$B$28:$H$118,4,)=""),"",VLOOKUP($B79,'A1.3.11'!$B$26:$AM$105,H$22,)*(VLOOKUP($B79,'A1.3.7'!$B$28:$O$118,4,)+VLOOKUP($B79,'A1.3.7'!$B$28:$O$118,9,))))</f>
        <v>45.410807286064738</v>
      </c>
      <c r="I79" s="691">
        <f>IF('A1.3.8'!E$28="","",IF(OR(VLOOKUP($B79,'A1.3.11'!$B$26:$AM$105,I$22,)="",VLOOKUP($B79,'A1.3.7'!$B$28:$H$118,4,)=""),"",VLOOKUP($B79,'A1.3.11'!$B$26:$AM$105,I$22,)*(VLOOKUP($B79,'A1.3.7'!$B$28:$O$118,4,)+VLOOKUP($B79,'A1.3.7'!$B$28:$O$118,9,))))</f>
        <v>6.5107867568342739</v>
      </c>
      <c r="J79" s="691">
        <f>IF('A1.3.8'!F$28="","",IF(OR(VLOOKUP($B79,'A1.3.11'!$B$26:$AM$105,J$22,)="",VLOOKUP($B79,'A1.3.7'!$B$28:$H$118,4,)=""),"",VLOOKUP($B79,'A1.3.11'!$B$26:$AM$105,J$22,)*(VLOOKUP($B79,'A1.3.7'!$B$28:$O$118,4,)+VLOOKUP($B79,'A1.3.7'!$B$28:$O$118,9,))))</f>
        <v>-6.2635582380106344E-2</v>
      </c>
      <c r="K79" s="2644">
        <f>IF('A1.3.8'!G$28="","",IF(OR(VLOOKUP($B79,'A1.3.11'!$B$26:$AM$105,K$22,)="",VLOOKUP($B79,'A1.3.7'!$B$28:$H$118,4,)=""),"",VLOOKUP($B79,'A1.3.11'!$B$26:$AM$105,K$22,)*(VLOOKUP($B79,'A1.3.7'!$B$28:$O$118,4,)+VLOOKUP($B79,'A1.3.7'!$B$28:$O$118,9,))))</f>
        <v>4.9357153162929782E-4</v>
      </c>
      <c r="L79" s="693" t="str">
        <f>IF('A1.3.8'!D$36="","",IF(OR(VLOOKUP($B79,'A1.3.11'!$B$26:$AM$105,L$22,)="",VLOOKUP($B79,'A1.3.7'!$B$28:$H$118,6,)=""),"",VLOOKUP($B79,'A1.3.11'!$B$26:$AM$105,L$22,)*VLOOKUP($B79,'A1.3.7'!$B$28:$O$118,6,)))</f>
        <v/>
      </c>
      <c r="M79" s="691">
        <f>IF('A1.3.8'!E$36="","",IF(OR(VLOOKUP($B79,'A1.3.11'!$B$26:$AM$105,M$22,)="",VLOOKUP($B79,'A1.3.7'!$B$28:$H$118,6,)=""),"",VLOOKUP($B79,'A1.3.11'!$B$26:$AM$105,M$22,)*VLOOKUP($B79,'A1.3.7'!$B$28:$O$118,6,)))</f>
        <v>1.9637608285706969</v>
      </c>
      <c r="N79" s="691" t="str">
        <f>IF('A1.3.8'!F$36="","",IF(OR(VLOOKUP($B79,'A1.3.11'!$B$26:$AM$105,N$22,)="",VLOOKUP($B79,'A1.3.7'!$B$28:$H$118,6,)=""),"",VLOOKUP($B79,'A1.3.11'!$B$26:$AM$105,N$22,)*VLOOKUP($B79,'A1.3.7'!$B$28:$O$118,6,)))</f>
        <v/>
      </c>
      <c r="O79" s="1664" t="str">
        <f>IF('A1.3.8'!G$36="","",IF(OR(VLOOKUP($B79,'A1.3.11'!$B$26:$AM$105,O$22,)="",VLOOKUP($B79,'A1.3.7'!$B$28:$H$118,6,)=""),"",VLOOKUP($B79,'A1.3.11'!$B$26:$AM$105,O$22,)*VLOOKUP($B79,'A1.3.7'!$B$28:$O$118,6,)))</f>
        <v/>
      </c>
      <c r="P79" s="693">
        <f>IF(AND(D79="",H79="",L79=""),"",IF(D79="",0,(D79*VLOOKUP($B79,'A1.3.9'!$B$26:$O$57,3,TRUE)))+IF(H79="",0,(H79*VLOOKUP($B79,'A1.3.9'!$B$26:$O$57,4,TRUE)))+IF(L79="",0,(L79*VLOOKUP($B79,'A1.3.9'!$B$26:$O$57,5,TRUE))))</f>
        <v>30.558711277175497</v>
      </c>
      <c r="Q79" s="691">
        <f>IF(AND(E79="",I79="",M79=""),"",IF(E79="",0,(E79*VLOOKUP($B79,'A1.3.9'!$B$26:$O$57,3,TRUE)))+IF(I79="",0,(I79*VLOOKUP($B79,'A1.3.9'!$B$26:$O$57,4,TRUE)))+IF(M79="",0,(M79*VLOOKUP($B79,'A1.3.9'!$B$26:$O$57,5,TRUE))))</f>
        <v>6.0014700364058085</v>
      </c>
      <c r="R79" s="691">
        <f>IF(AND(F79="",J79="",N79=""),"",IF(F79="",0,(F79*VLOOKUP($B79,'A1.3.9'!$B$26:$O$57,3,TRUE)))+IF(J79="",0,(J79*VLOOKUP($B79,'A1.3.9'!$B$26:$O$57,4,TRUE)))+IF(N79="",0,(N79*VLOOKUP($B79,'A1.3.9'!$B$26:$O$57,5,TRUE))))</f>
        <v>-5.9382853218155694E-2</v>
      </c>
      <c r="S79" s="2644">
        <f>IF(AND(G79="",K79="",O79=""),"",IF(G79="",0,(G79*VLOOKUP($B79,'A1.3.9'!$B$26:$O$57,3,TRUE)))+IF(K79="",0,(K79*VLOOKUP($B79,'A1.3.9'!$B$26:$O$57,4,TRUE)))+IF(O79="",0,(O79*VLOOKUP($B79,'A1.3.9'!$B$26:$O$57,5,TRUE))))</f>
        <v>4.175851404964986E-4</v>
      </c>
      <c r="T79" s="693">
        <f>IF('A1.3.8'!D$29="","",IF(OR(VLOOKUP($B79,'A1.3.11'!$B$26:$AM$105,T$22,)="",VLOOKUP($B79,'A1.3.7'!$B$28:$H$118,3,)=""),"",VLOOKUP($B79,'A1.3.11'!$B$26:$AM$105,T$22,)*(VLOOKUP($B79,'A1.3.7'!$B$28:$O$118,3,)+VLOOKUP($B79,'A1.3.7'!$B$28:$O$118,8,))))</f>
        <v>26.508760048772881</v>
      </c>
      <c r="U79" s="691">
        <f>IF('A1.3.8'!E$29="","",IF(OR(VLOOKUP($B79,'A1.3.11'!$B$26:$AM$105,U$22,)="",VLOOKUP($B79,'A1.3.7'!$B$28:$H$118,3,)=""),"",VLOOKUP($B79,'A1.3.11'!$B$26:$AM$105,U$22,)*(VLOOKUP($B79,'A1.3.7'!$B$28:$O$118,3,)+VLOOKUP($B79,'A1.3.7'!$B$28:$O$118,8,))))</f>
        <v>14.864578138304744</v>
      </c>
      <c r="V79" s="691">
        <f>IF('A1.3.8'!F$29="","",IF(OR(VLOOKUP($B79,'A1.3.11'!$B$26:$AM$105,V$22,)="",VLOOKUP($B79,'A1.3.7'!$B$28:$H$118,3,)=""),"",VLOOKUP($B79,'A1.3.11'!$B$26:$AM$105,V$22,)*(VLOOKUP($B79,'A1.3.7'!$B$28:$O$118,3,)+VLOOKUP($B79,'A1.3.7'!$B$28:$O$118,8,))))</f>
        <v>-0.23332508536090613</v>
      </c>
      <c r="W79" s="2644">
        <f>IF('A1.3.8'!G$29="","",IF(OR(VLOOKUP($B79,'A1.3.11'!$B$26:$AM$105,W$22,)="",VLOOKUP($B79,'A1.3.7'!$B$28:$H$118,3,)=""),"",VLOOKUP($B79,'A1.3.11'!$B$26:$AM$105,W$22,)*(VLOOKUP($B79,'A1.3.7'!$B$28:$O$118,3,)+VLOOKUP($B79,'A1.3.7'!$B$28:$O$118,8,))))</f>
        <v>1.5068221211654114E-3</v>
      </c>
      <c r="X79" s="693">
        <f>IF('A1.3.8'!D$30="","",IF(OR(VLOOKUP($B79,'A1.3.11'!$B$26:$AM$105,X$22,)="",VLOOKUP($B79,'A1.3.7'!$B$28:$H$118,4,)=""),"",VLOOKUP($B79,'A1.3.11'!$B$26:$AM$105,X$22,)*(VLOOKUP($B79,'A1.3.7'!$B$28:$O$118,4,)+VLOOKUP($B79,'A1.3.7'!$B$28:$O$118,9,))))</f>
        <v>46.768725864696201</v>
      </c>
      <c r="Y79" s="691">
        <f>IF('A1.3.8'!E$30="","",IF(OR(VLOOKUP($B79,'A1.3.11'!$B$26:$AM$105,Y$22,)="",VLOOKUP($B79,'A1.3.7'!$B$28:$H$118,4,)=""),"",VLOOKUP($B79,'A1.3.11'!$B$26:$AM$105,Y$22,)*(VLOOKUP($B79,'A1.3.7'!$B$28:$O$118,4,)+VLOOKUP($B79,'A1.3.7'!$B$28:$O$118,9,))))</f>
        <v>11.430467199404102</v>
      </c>
      <c r="Z79" s="691">
        <f>IF('A1.3.8'!F$30="","",IF(OR(VLOOKUP($B79,'A1.3.11'!$B$26:$AM$105,Z$22,)="",VLOOKUP($B79,'A1.3.7'!$B$28:$H$118,4,)=""),"",VLOOKUP($B79,'A1.3.11'!$B$26:$AM$105,Z$22,)*(VLOOKUP($B79,'A1.3.7'!$B$28:$O$118,4,)+VLOOKUP($B79,'A1.3.7'!$B$28:$O$118,9,))))</f>
        <v>-0.16490526357388355</v>
      </c>
      <c r="AA79" s="2644">
        <f>IF('A1.3.8'!G$30="","",IF(OR(VLOOKUP($B79,'A1.3.11'!$B$26:$AM$105,AA$22,)="",VLOOKUP($B79,'A1.3.7'!$B$28:$H$118,4,)=""),"",VLOOKUP($B79,'A1.3.11'!$B$26:$AM$105,AA$22,)*(VLOOKUP($B79,'A1.3.7'!$B$28:$O$118,4,)+VLOOKUP($B79,'A1.3.7'!$B$28:$O$118,9,))))</f>
        <v>1.3960937111923649E-3</v>
      </c>
      <c r="AB79" s="693" t="str">
        <f>IF('A1.3.8'!D$37="","",IF(OR(VLOOKUP($B79,'A1.3.11'!$B$26:$AM$105,AB$22,)="",VLOOKUP($B79,'A1.3.7'!$B$28:$H$118,6,)=""),"",VLOOKUP($B79,'A1.3.11'!$B$26:$AM$105,AB$22,)*VLOOKUP($B79,'A1.3.7'!$B$28:$O$118,6,)))</f>
        <v/>
      </c>
      <c r="AC79" s="691">
        <f>IF('A1.3.8'!E$37="","",IF(OR(VLOOKUP($B79,'A1.3.11'!$B$26:$AM$105,AC$22,)="",VLOOKUP($B79,'A1.3.7'!$B$28:$H$118,6,)=""),"",VLOOKUP($B79,'A1.3.11'!$B$26:$AM$105,AC$22,)*VLOOKUP($B79,'A1.3.7'!$B$28:$O$118,6,)))</f>
        <v>4.5145632825273854</v>
      </c>
      <c r="AD79" s="691" t="str">
        <f>IF('A1.3.8'!F$37="","",IF(OR(VLOOKUP($B79,'A1.3.11'!$B$26:$AM$105,AD$22,)="",VLOOKUP($B79,'A1.3.7'!$B$28:$H$118,6,)=""),"",VLOOKUP($B79,'A1.3.11'!$B$26:$AM$105,AD$22,)*VLOOKUP($B79,'A1.3.7'!$B$28:$O$118,6,)))</f>
        <v/>
      </c>
      <c r="AE79" s="1664" t="str">
        <f>IF('A1.3.8'!G$37="","",IF(OR(VLOOKUP($B79,'A1.3.11'!$B$26:$AM$105,AE$22,)="",VLOOKUP($B79,'A1.3.7'!$B$28:$H$118,6,)=""),"",VLOOKUP($B79,'A1.3.11'!$B$26:$AM$105,AE$22,)*VLOOKUP($B79,'A1.3.7'!$B$28:$O$118,6,)))</f>
        <v/>
      </c>
      <c r="AF79" s="693">
        <f>IF(AND(T79="",X79="",AB79=""),"",IF(T79="",0,(T79*VLOOKUP('A1.3.12'!$B79,'A1.3.9'!$B$26:$O$57,6,TRUE))) + IF(X79="",0,(X79*VLOOKUP('A1.3.12'!$B79,'A1.3.9'!$B$26:$O$57,7,TRUE))) + IF(AB79="",0,(AB79*VLOOKUP('A1.3.12'!$B79,'A1.3.9'!$B$26:$O$57,8,TRUE))))</f>
        <v>41.497635233698034</v>
      </c>
      <c r="AG79" s="691">
        <f>IF(AND(U79="",Y79="",AC79=""),"",IF(U79="",0,(U79*VLOOKUP('A1.3.12'!$B79,'A1.3.9'!$B$26:$O$57,6,TRUE))) + IF(Y79="",0,(Y79*VLOOKUP('A1.3.12'!$B79,'A1.3.9'!$B$26:$O$57,7,TRUE))) + IF(AC79="",0,(AC79*VLOOKUP('A1.3.12'!$B79,'A1.3.9'!$B$26:$O$57,8,TRUE))))</f>
        <v>10.699755612949678</v>
      </c>
      <c r="AH79" s="691">
        <f>IF(AND(V79="",Z79="",AD79=""),"",IF(V79="",0,(V79*VLOOKUP('A1.3.12'!$B79,'A1.3.9'!$B$26:$O$57,6,TRUE))) + IF(Z79="",0,(Z79*VLOOKUP('A1.3.12'!$B79,'A1.3.9'!$B$26:$O$57,7,TRUE))) + IF(AD79="",0,(AD79*VLOOKUP('A1.3.12'!$B79,'A1.3.9'!$B$26:$O$57,8,TRUE))))</f>
        <v>-0.14737983950684838</v>
      </c>
      <c r="AI79" s="2644">
        <f>IF(AND(W79="",AA79="",AE79=""),"",IF(W79="",0,(W79*VLOOKUP('A1.3.12'!$B79,'A1.3.9'!$B$26:$O$57,6,TRUE))) + IF(AA79="",0,(AA79*VLOOKUP('A1.3.12'!$B79,'A1.3.9'!$B$26:$O$57,7,TRUE))) + IF(AE79="",0,(AE79*VLOOKUP('A1.3.12'!$B79,'A1.3.9'!$B$26:$O$57,8,TRUE))))</f>
        <v>1.2441708666588024E-3</v>
      </c>
      <c r="AJ79" s="693">
        <f>IF('A1.3.8'!D$31="","",IF(OR(VLOOKUP($B79,'A1.3.11'!$B$26:$AM$105,AJ$22,)="",VLOOKUP($B79,'A1.3.7'!$B$28:$H$118,4,)=""),"",VLOOKUP($B79,'A1.3.11'!$B$26:$AM$105,AJ$22,)*(VLOOKUP($B79,'A1.3.7'!$B$28:$O$118,4,)+VLOOKUP($B79,'A1.3.7'!$B$28:$O$118,9,))))</f>
        <v>316.15484670203784</v>
      </c>
      <c r="AK79" s="691">
        <f>IF('A1.3.8'!E$31="","",IF(OR(VLOOKUP($B79,'A1.3.11'!$B$26:$AM$105,AK$22,)="",VLOOKUP($B79,'A1.3.7'!$B$28:$H$118,4,)=""),"",VLOOKUP($B79,'A1.3.11'!$B$26:$AM$105,AK$22,)*(VLOOKUP($B79,'A1.3.7'!$B$28:$O$118,4,)+VLOOKUP($B79,'A1.3.7'!$B$28:$O$118,9,))))</f>
        <v>16.774292601955555</v>
      </c>
      <c r="AL79" s="691">
        <f>IF('A1.3.8'!F$31="","",IF(OR(VLOOKUP($B79,'A1.3.11'!$B$26:$AM$105,AL$22,)="",VLOOKUP($B79,'A1.3.7'!$B$28:$H$118,4,)=""),"",VLOOKUP($B79,'A1.3.11'!$B$26:$AM$105,AL$22,)*(VLOOKUP($B79,'A1.3.7'!$B$28:$O$118,4,)+VLOOKUP($B79,'A1.3.7'!$B$28:$O$118,9,))))</f>
        <v>-0.12124469343119951</v>
      </c>
      <c r="AM79" s="2644">
        <f>IF('A1.3.8'!G$31="","",IF(OR(VLOOKUP($B79,'A1.3.11'!$B$26:$AM$105,AM$22,)="",VLOOKUP($B79,'A1.3.7'!$B$28:$H$118,4,)=""),"",VLOOKUP($B79,'A1.3.11'!$B$26:$AM$105,AM$22,)*(VLOOKUP($B79,'A1.3.7'!$B$28:$O$118,4,)+VLOOKUP($B79,'A1.3.7'!$B$28:$O$118,9,))))</f>
        <v>1.3241865898074127E-3</v>
      </c>
      <c r="AN79" s="693" t="str">
        <f>IF('A1.3.8'!D$38="","",IF(OR(VLOOKUP($B79,'A1.3.11'!$B$26:$AM$105,AN$22,)="",VLOOKUP($B79,'A1.3.7'!$B$28:$H$118,6,)=""),"",VLOOKUP($B79,'A1.3.11'!$B$26:$AM$105,AN$22,)*VLOOKUP($B79,'A1.3.7'!$B$28:$O$118,6,)))</f>
        <v/>
      </c>
      <c r="AO79" s="691" t="str">
        <f>IF('A1.3.8'!E$38="","",IF(OR(VLOOKUP($B79,'A1.3.11'!$B$26:$AM$105,AO$22,)="",VLOOKUP($B79,'A1.3.7'!$B$28:$H$118,6,)=""),"",VLOOKUP($B79,'A1.3.11'!$B$26:$AM$105,AO$22,)*VLOOKUP($B79,'A1.3.7'!$B$28:$O$118,6,)))</f>
        <v/>
      </c>
      <c r="AP79" s="691" t="str">
        <f>IF('A1.3.8'!F$38="","",IF(OR(VLOOKUP($B79,'A1.3.11'!$B$26:$AM$105,AP$22,)="",VLOOKUP($B79,'A1.3.7'!$B$28:$H$118,6,)=""),"",VLOOKUP($B79,'A1.3.11'!$B$26:$AM$105,AP$22,)*VLOOKUP($B79,'A1.3.7'!$B$28:$O$118,6,)))</f>
        <v/>
      </c>
      <c r="AQ79" s="1664" t="str">
        <f>IF('A1.3.8'!G$38="","",IF(OR(VLOOKUP($B79,'A1.3.11'!$B$26:$AM$105,AQ$22,)="",VLOOKUP($B79,'A1.3.7'!$B$28:$H$118,6,)=""),"",VLOOKUP($B79,'A1.3.11'!$B$26:$AM$105,AQ$22,)*VLOOKUP($B79,'A1.3.7'!$B$28:$O$118,6,)))</f>
        <v/>
      </c>
      <c r="AR79" s="693">
        <f>IF(AND(AJ79="",AN79=""),"",IF(AJ79="",0,(AJ79*VLOOKUP($B79,'A1.3.9'!$B$26:$O$57,9,TRUE))) + IF(AN79="",0,(AN79*VLOOKUP($B79,'A1.3.9'!$B$26:$O$57,10,TRUE))))</f>
        <v>316.15484670203784</v>
      </c>
      <c r="AS79" s="691">
        <f>IF(AND(AK79="",AO79=""),"",IF(AK79="",0,(AK79*VLOOKUP($B79,'A1.3.9'!$B$26:$O$57,9,TRUE))) + IF(AO79="",0,(AO79*VLOOKUP($B79,'A1.3.9'!$B$26:$O$57,10,TRUE))))</f>
        <v>16.774292601955555</v>
      </c>
      <c r="AT79" s="691">
        <f>IF(AND(AL79="",AP79=""),"",IF(AL79="",0,(AL79*VLOOKUP($B79,'A1.3.9'!$B$26:$O$57,9,TRUE))) + IF(AP79="",0,(AP79*VLOOKUP($B79,'A1.3.9'!$B$26:$O$57,10,TRUE))))</f>
        <v>-0.12124469343119951</v>
      </c>
      <c r="AU79" s="2644">
        <f>IF(AND(AM79="",AQ79=""),"",IF(AM79="",0,(AM79*VLOOKUP($B79,'A1.3.9'!$B$26:$O$57,9,TRUE))) + IF(AQ79="",0,(AQ79*VLOOKUP($B79,'A1.3.9'!$B$26:$O$57,10,TRUE))))</f>
        <v>1.3241865898074127E-3</v>
      </c>
      <c r="AV79" s="693">
        <f>IF('A1.3.8'!D$32="","",IF(OR(VLOOKUP($B79,'A1.3.11'!$B$26:$AM$105,AV$22,)="",VLOOKUP($B79,'A1.3.7'!$B$28:$H$118,4,)=""),"",VLOOKUP($B79,'A1.3.11'!$B$26:$AM$105,AV$22,)*(VLOOKUP($B79,'A1.3.7'!$B$28:$O$118,4,)+VLOOKUP($B79,'A1.3.7'!$B$28:$O$118,9,))))</f>
        <v>664.32371551997858</v>
      </c>
      <c r="AW79" s="691">
        <f>IF('A1.3.8'!E$32="","",IF(OR(VLOOKUP($B79,'A1.3.11'!$B$26:$AM$105,AW$22,)="",VLOOKUP($B79,'A1.3.7'!$B$28:$H$118,4,)=""),"",VLOOKUP($B79,'A1.3.11'!$B$26:$AM$105,AW$22,)*(VLOOKUP($B79,'A1.3.7'!$B$28:$O$118,4,)+VLOOKUP($B79,'A1.3.7'!$B$28:$O$118,9,))))</f>
        <v>34.499507663235526</v>
      </c>
      <c r="AX79" s="691">
        <f>IF('A1.3.8'!F$32="","",IF(OR(VLOOKUP($B79,'A1.3.11'!$B$26:$AM$105,AX$22,)="",VLOOKUP($B79,'A1.3.7'!$B$28:$H$118,4,)=""),"",VLOOKUP($B79,'A1.3.11'!$B$26:$AM$105,AX$22,)*(VLOOKUP($B79,'A1.3.7'!$B$28:$O$118,4,)+VLOOKUP($B79,'A1.3.7'!$B$28:$O$118,9,))))</f>
        <v>-0.22857738719360982</v>
      </c>
      <c r="AY79" s="2644">
        <f>IF('A1.3.8'!G$32="","",IF(OR(VLOOKUP($B79,'A1.3.11'!$B$26:$AM$105,AY$22,)="",VLOOKUP($B79,'A1.3.7'!$B$28:$H$118,4,)=""),"",VLOOKUP($B79,'A1.3.11'!$B$26:$AM$105,AY$22,)*(VLOOKUP($B79,'A1.3.7'!$B$28:$O$118,4,)+VLOOKUP($B79,'A1.3.7'!$B$28:$O$118,9,))))</f>
        <v>1.3624162775259293E-3</v>
      </c>
      <c r="AZ79" s="693" t="str">
        <f>IF('A1.3.8'!D$39="","",IF(OR(VLOOKUP($B79,'A1.3.11'!$B$26:$AM$105,AZ$22,)="",VLOOKUP($B79,'A1.3.7'!$B$28:$H$118,6,)=""),"",VLOOKUP($B79,'A1.3.11'!$B$26:$AM$105,AZ$22,)*VLOOKUP($B79,'A1.3.7'!$B$28:$O$118,6,)))</f>
        <v/>
      </c>
      <c r="BA79" s="691" t="str">
        <f>IF('A1.3.8'!E$39="","",IF(OR(VLOOKUP($B79,'A1.3.11'!$B$26:$AM$105,BA$22,)="",VLOOKUP($B79,'A1.3.7'!$B$28:$H$118,6,)=""),"",VLOOKUP($B79,'A1.3.11'!$B$26:$AM$105,BA$22,)*VLOOKUP($B79,'A1.3.7'!$B$28:$O$118,6,)))</f>
        <v/>
      </c>
      <c r="BB79" s="691" t="str">
        <f>IF('A1.3.8'!F$39="","",IF(OR(VLOOKUP($B79,'A1.3.11'!$B$26:$AM$105,BB$22,)="",VLOOKUP($B79,'A1.3.7'!$B$28:$H$118,6,)=""),"",VLOOKUP($B79,'A1.3.11'!$B$26:$AM$105,BB$22,)*VLOOKUP($B79,'A1.3.7'!$B$28:$O$118,6,)))</f>
        <v/>
      </c>
      <c r="BC79" s="1664" t="str">
        <f>IF('A1.3.8'!G$39="","",IF(OR(VLOOKUP($B79,'A1.3.11'!$B$26:$AM$105,BC$22,)="",VLOOKUP($B79,'A1.3.7'!$B$28:$H$118,6,)=""),"",VLOOKUP($B79,'A1.3.11'!$B$26:$AM$105,BC$22,)*VLOOKUP($B79,'A1.3.7'!$B$28:$O$118,6,)))</f>
        <v/>
      </c>
      <c r="BD79" s="693">
        <f>IF(AND(AV79="",AZ79=""),"",IF(AV79="",0,(AV79*VLOOKUP($B79,'A1.3.9'!$B$26:$O$57,9,TRUE))) + IF(AZ79="",0,(AZ79*VLOOKUP($B79,'A1.3.9'!$B$26:$O$57,10,TRUE))))</f>
        <v>664.32371551997858</v>
      </c>
      <c r="BE79" s="691">
        <f>IF(AND(AW79="",BA79=""),"",IF(AW79="",0,(AW79*VLOOKUP($B79,'A1.3.9'!$B$26:$O$57,9,TRUE))) + IF(BA79="",0,(BA79*VLOOKUP($B79,'A1.3.9'!$B$26:$O$57,10,TRUE))))</f>
        <v>34.499507663235526</v>
      </c>
      <c r="BF79" s="691">
        <f>IF(AND(AX79="",BB79=""),"",IF(AX79="",0,(AX79*VLOOKUP($B79,'A1.3.9'!$B$26:$O$57,9,TRUE))) + IF(BB79="",0,(BB79*VLOOKUP($B79,'A1.3.9'!$B$26:$O$57,10,TRUE))))</f>
        <v>-0.22857738719360982</v>
      </c>
      <c r="BG79" s="2644">
        <f>IF(AND(AY79="",BC79=""),"",IF(AY79="",0,(AY79*VLOOKUP($B79,'A1.3.9'!$B$26:$O$57,9,TRUE))) + IF(BC79="",0,(BC79*VLOOKUP($B79,'A1.3.9'!$B$26:$O$57,10,TRUE))))</f>
        <v>1.3624162775259293E-3</v>
      </c>
      <c r="BH79" s="693">
        <f>IF('A1.3.8'!D$33="","",IF(OR(VLOOKUP($B79,'A1.3.11'!$B$26:$AM$105,BH$22,)="",VLOOKUP($B79,'A1.3.7'!$B$28:$H$118,4,)=""),"",VLOOKUP($B79,'A1.3.11'!$B$26:$AM$105,BH$22,)*(VLOOKUP($B79,'A1.3.7'!$B$28:$O$118,4,)+VLOOKUP($B79,'A1.3.7'!$B$28:$O$118,9,))))</f>
        <v>394.00117664950994</v>
      </c>
      <c r="BI79" s="691">
        <f>IF('A1.3.8'!E$33="","",IF(OR(VLOOKUP($B79,'A1.3.11'!$B$26:$AM$105,BI$22,)="",VLOOKUP($B79,'A1.3.7'!$B$28:$H$118,4,)=""),"",VLOOKUP($B79,'A1.3.11'!$B$26:$AM$105,BI$22,)*(VLOOKUP($B79,'A1.3.7'!$B$28:$O$118,4,)+VLOOKUP($B79,'A1.3.7'!$B$28:$O$118,9,))))</f>
        <v>34.619681985721776</v>
      </c>
      <c r="BJ79" s="691">
        <f>IF('A1.3.8'!F$33="","",IF(OR(VLOOKUP($B79,'A1.3.11'!$B$26:$AM$105,BJ$22,)="",VLOOKUP($B79,'A1.3.7'!$B$28:$H$118,4,)=""),"",VLOOKUP($B79,'A1.3.11'!$B$26:$AM$105,BJ$22,)*(VLOOKUP($B79,'A1.3.7'!$B$28:$O$118,4,)+VLOOKUP($B79,'A1.3.7'!$B$28:$O$118,9,))))</f>
        <v>-0.37628508691630252</v>
      </c>
      <c r="BK79" s="2644">
        <f>IF('A1.3.8'!G$33="","",IF(OR(VLOOKUP($B79,'A1.3.11'!$B$26:$AM$105,BK$22,)="",VLOOKUP($B79,'A1.3.7'!$B$28:$H$118,4,)=""),"",VLOOKUP($B79,'A1.3.11'!$B$26:$AM$105,BK$22,)*(VLOOKUP($B79,'A1.3.7'!$B$28:$O$118,4,)+VLOOKUP($B79,'A1.3.7'!$B$28:$O$118,9,))))</f>
        <v>2.7602049191891693E-3</v>
      </c>
      <c r="BL79" s="693" t="str">
        <f>IF('A1.3.8'!D$40="","",IF(OR(VLOOKUP($B79,'A1.3.11'!$B$26:$AM$105,BL$22,)="",VLOOKUP($B79,'A1.3.7'!$B$28:$H$118,6,)=""),"",VLOOKUP($B79,'A1.3.11'!$B$26:$AM$105,BL$22,)*VLOOKUP($B79,'A1.3.7'!$B$28:$O$118,6,)))</f>
        <v/>
      </c>
      <c r="BM79" s="691" t="str">
        <f>IF('A1.3.8'!E$40="","",IF(OR(VLOOKUP($B79,'A1.3.11'!$B$26:$AM$105,BM$22,)="",VLOOKUP($B79,'A1.3.7'!$B$28:$H$118,6,)=""),"",VLOOKUP($B79,'A1.3.11'!$B$26:$AM$105,BM$22,)*VLOOKUP($B79,'A1.3.7'!$B$28:$O$118,6,)))</f>
        <v/>
      </c>
      <c r="BN79" s="691" t="str">
        <f>IF('A1.3.8'!F$40="","",IF(OR(VLOOKUP($B79,'A1.3.11'!$B$26:$AM$105,BN$22,)="",VLOOKUP($B79,'A1.3.7'!$B$28:$H$118,6,)=""),"",VLOOKUP($B79,'A1.3.11'!$B$26:$AM$105,BN$22,)*VLOOKUP($B79,'A1.3.7'!$B$28:$O$118,6,)))</f>
        <v/>
      </c>
      <c r="BO79" s="1664" t="str">
        <f>IF('A1.3.8'!G$40="","",IF(OR(VLOOKUP($B79,'A1.3.11'!$B$26:$AM$105,BO$22,)="",VLOOKUP($B79,'A1.3.7'!$B$28:$H$118,6,)=""),"",VLOOKUP($B79,'A1.3.11'!$B$26:$AM$105,BO$22,)*VLOOKUP($B79,'A1.3.7'!$B$28:$O$118,6,)))</f>
        <v/>
      </c>
      <c r="BP79" s="693">
        <f>IF(AND(BH79="",BL79=""),"",IF(BH79="",0,(BH79*VLOOKUP($B79,'A1.3.9'!$B$26:$O$57,9,TRUE))) + IF(BL79="",0,(BL79*VLOOKUP($B79,'A1.3.9'!$B$26:$O$57,10,TRUE))))</f>
        <v>394.00117664950994</v>
      </c>
      <c r="BQ79" s="691">
        <f>IF(AND(BI79="",BM79=""),"",IF(BI79="",0,(BI79*VLOOKUP($B79,'A1.3.9'!$B$26:$O$57,9,TRUE))) + IF(BM79="",0,(BM79*VLOOKUP($B79,'A1.3.9'!$B$26:$O$57,10,TRUE))))</f>
        <v>34.619681985721776</v>
      </c>
      <c r="BR79" s="691">
        <f>IF(AND(BJ79="",BN79=""),"",IF(BJ79="",0,(BJ79*VLOOKUP($B79,'A1.3.9'!$B$26:$O$57,9,TRUE))) + IF(BN79="",0,(BN79*VLOOKUP($B79,'A1.3.9'!$B$26:$O$57,10,TRUE))))</f>
        <v>-0.37628508691630252</v>
      </c>
      <c r="BS79" s="2644">
        <f>IF(AND(BK79="",BO79=""),"",IF(BK79="",0,(BK79*VLOOKUP($B79,'A1.3.9'!$B$26:$O$57,9,TRUE))) + IF(BO79="",0,(BO79*VLOOKUP($B79,'A1.3.9'!$B$26:$O$57,10,TRUE))))</f>
        <v>2.7602049191891693E-3</v>
      </c>
    </row>
    <row r="80" spans="1:71" ht="13.5" customHeight="1">
      <c r="A80" s="113"/>
      <c r="B80" s="614">
        <f t="shared" si="0"/>
        <v>2063</v>
      </c>
      <c r="C80" s="147"/>
      <c r="D80" s="693">
        <f>IF('A1.3.8'!D$27="","",IF(OR(VLOOKUP($B80,'A1.3.11'!$B$26:$AM$105,D$22,)="",VLOOKUP($B80,'A1.3.7'!$B$28:$H$118,3,)=""),"",VLOOKUP($B80,'A1.3.11'!$B$26:$AM$105,D$22,)*(VLOOKUP($B80,'A1.3.7'!$B$28:$O$118,3,)+VLOOKUP($B80,'A1.3.7'!$B$28:$O$118,8,))))</f>
        <v>37.009614833833268</v>
      </c>
      <c r="E80" s="691">
        <f>IF('A1.3.8'!E$27="","",IF(OR(VLOOKUP($B80,'A1.3.11'!$B$26:$AM$105,E$22,)="",VLOOKUP($B80,'A1.3.7'!$B$28:$H$118,3,)=""),"",VLOOKUP($B80,'A1.3.11'!$B$26:$AM$105,E$22,)*(VLOOKUP($B80,'A1.3.7'!$B$28:$O$118,3,)+VLOOKUP($B80,'A1.3.7'!$B$28:$O$118,8,))))</f>
        <v>7.8651434817546448</v>
      </c>
      <c r="F80" s="691">
        <f>IF('A1.3.8'!F$27="","",IF(OR(VLOOKUP($B80,'A1.3.11'!$B$26:$AM$105,F$22,)="",VLOOKUP($B80,'A1.3.7'!$B$28:$H$118,3,)=""),"",VLOOKUP($B80,'A1.3.11'!$B$26:$AM$105,F$22,)*(VLOOKUP($B80,'A1.3.7'!$B$28:$O$118,3,)+VLOOKUP($B80,'A1.3.7'!$B$28:$O$118,8,))))</f>
        <v>-8.9593311418312296E-2</v>
      </c>
      <c r="G80" s="2644">
        <f>IF('A1.3.8'!G$27="","",IF(OR(VLOOKUP($B80,'A1.3.11'!$B$26:$AM$105,G$22,)="",VLOOKUP($B80,'A1.3.7'!$B$28:$H$118,3,)=""),"",VLOOKUP($B80,'A1.3.11'!$B$26:$AM$105,G$22,)*(VLOOKUP($B80,'A1.3.7'!$B$28:$O$118,3,)+VLOOKUP($B80,'A1.3.7'!$B$28:$O$118,8,))))</f>
        <v>5.9336929272414663E-4</v>
      </c>
      <c r="H80" s="693">
        <f>IF('A1.3.8'!D$28="","",IF(OR(VLOOKUP($B80,'A1.3.11'!$B$26:$AM$105,H$22,)="",VLOOKUP($B80,'A1.3.7'!$B$28:$H$118,4,)=""),"",VLOOKUP($B80,'A1.3.11'!$B$26:$AM$105,H$22,)*(VLOOKUP($B80,'A1.3.7'!$B$28:$O$118,4,)+VLOOKUP($B80,'A1.3.7'!$B$28:$O$118,9,))))</f>
        <v>45.598636480894157</v>
      </c>
      <c r="I80" s="691">
        <f>IF('A1.3.8'!E$28="","",IF(OR(VLOOKUP($B80,'A1.3.11'!$B$26:$AM$105,I$22,)="",VLOOKUP($B80,'A1.3.7'!$B$28:$H$118,4,)=""),"",VLOOKUP($B80,'A1.3.11'!$B$26:$AM$105,I$22,)*(VLOOKUP($B80,'A1.3.7'!$B$28:$O$118,4,)+VLOOKUP($B80,'A1.3.7'!$B$28:$O$118,9,))))</f>
        <v>6.5377168183621048</v>
      </c>
      <c r="J80" s="691">
        <f>IF('A1.3.8'!F$28="","",IF(OR(VLOOKUP($B80,'A1.3.11'!$B$26:$AM$105,J$22,)="",VLOOKUP($B80,'A1.3.7'!$B$28:$H$118,4,)=""),"",VLOOKUP($B80,'A1.3.11'!$B$26:$AM$105,J$22,)*(VLOOKUP($B80,'A1.3.7'!$B$28:$O$118,4,)+VLOOKUP($B80,'A1.3.7'!$B$28:$O$118,9,))))</f>
        <v>-6.2894657074198765E-2</v>
      </c>
      <c r="K80" s="2644">
        <f>IF('A1.3.8'!G$28="","",IF(OR(VLOOKUP($B80,'A1.3.11'!$B$26:$AM$105,K$22,)="",VLOOKUP($B80,'A1.3.7'!$B$28:$H$118,4,)=""),"",VLOOKUP($B80,'A1.3.11'!$B$26:$AM$105,K$22,)*(VLOOKUP($B80,'A1.3.7'!$B$28:$O$118,4,)+VLOOKUP($B80,'A1.3.7'!$B$28:$O$118,9,))))</f>
        <v>4.9561305321671749E-4</v>
      </c>
      <c r="L80" s="693" t="str">
        <f>IF('A1.3.8'!D$36="","",IF(OR(VLOOKUP($B80,'A1.3.11'!$B$26:$AM$105,L$22,)="",VLOOKUP($B80,'A1.3.7'!$B$28:$H$118,6,)=""),"",VLOOKUP($B80,'A1.3.11'!$B$26:$AM$105,L$22,)*VLOOKUP($B80,'A1.3.7'!$B$28:$O$118,6,)))</f>
        <v/>
      </c>
      <c r="M80" s="691">
        <f>IF('A1.3.8'!E$36="","",IF(OR(VLOOKUP($B80,'A1.3.11'!$B$26:$AM$105,M$22,)="",VLOOKUP($B80,'A1.3.7'!$B$28:$H$118,6,)=""),"",VLOOKUP($B80,'A1.3.11'!$B$26:$AM$105,M$22,)*VLOOKUP($B80,'A1.3.7'!$B$28:$O$118,6,)))</f>
        <v>1.9637608285706969</v>
      </c>
      <c r="N80" s="691" t="str">
        <f>IF('A1.3.8'!F$36="","",IF(OR(VLOOKUP($B80,'A1.3.11'!$B$26:$AM$105,N$22,)="",VLOOKUP($B80,'A1.3.7'!$B$28:$H$118,6,)=""),"",VLOOKUP($B80,'A1.3.11'!$B$26:$AM$105,N$22,)*VLOOKUP($B80,'A1.3.7'!$B$28:$O$118,6,)))</f>
        <v/>
      </c>
      <c r="O80" s="1664" t="str">
        <f>IF('A1.3.8'!G$36="","",IF(OR(VLOOKUP($B80,'A1.3.11'!$B$26:$AM$105,O$22,)="",VLOOKUP($B80,'A1.3.7'!$B$28:$H$118,6,)=""),"",VLOOKUP($B80,'A1.3.11'!$B$26:$AM$105,O$22,)*VLOOKUP($B80,'A1.3.7'!$B$28:$O$118,6,)))</f>
        <v/>
      </c>
      <c r="P80" s="693">
        <f>IF(AND(D80="",H80="",L80=""),"",IF(D80="",0,(D80*VLOOKUP($B80,'A1.3.9'!$B$26:$O$57,3,TRUE)))+IF(H80="",0,(H80*VLOOKUP($B80,'A1.3.9'!$B$26:$O$57,4,TRUE)))+IF(L80="",0,(L80*VLOOKUP($B80,'A1.3.9'!$B$26:$O$57,5,TRUE))))</f>
        <v>30.687501797960721</v>
      </c>
      <c r="Q80" s="691">
        <f>IF(AND(E80="",I80="",M80=""),"",IF(E80="",0,(E80*VLOOKUP($B80,'A1.3.9'!$B$26:$O$57,3,TRUE)))+IF(I80="",0,(I80*VLOOKUP($B80,'A1.3.9'!$B$26:$O$57,4,TRUE)))+IF(M80="",0,(M80*VLOOKUP($B80,'A1.3.9'!$B$26:$O$57,5,TRUE))))</f>
        <v>6.0248327858166384</v>
      </c>
      <c r="R80" s="691">
        <f>IF(AND(F80="",J80="",N80=""),"",IF(F80="",0,(F80*VLOOKUP($B80,'A1.3.9'!$B$26:$O$57,3,TRUE)))+IF(J80="",0,(J80*VLOOKUP($B80,'A1.3.9'!$B$26:$O$57,4,TRUE)))+IF(N80="",0,(N80*VLOOKUP($B80,'A1.3.9'!$B$26:$O$57,5,TRUE))))</f>
        <v>-5.9634266654560952E-2</v>
      </c>
      <c r="S80" s="2644">
        <f>IF(AND(G80="",K80="",O80=""),"",IF(G80="",0,(G80*VLOOKUP($B80,'A1.3.9'!$B$26:$O$57,3,TRUE)))+IF(K80="",0,(K80*VLOOKUP($B80,'A1.3.9'!$B$26:$O$57,4,TRUE)))+IF(O80="",0,(O80*VLOOKUP($B80,'A1.3.9'!$B$26:$O$57,5,TRUE))))</f>
        <v>4.1935073041553944E-4</v>
      </c>
      <c r="T80" s="693">
        <f>IF('A1.3.8'!D$29="","",IF(OR(VLOOKUP($B80,'A1.3.11'!$B$26:$AM$105,T$22,)="",VLOOKUP($B80,'A1.3.7'!$B$28:$H$118,3,)=""),"",VLOOKUP($B80,'A1.3.11'!$B$26:$AM$105,T$22,)*(VLOOKUP($B80,'A1.3.7'!$B$28:$O$118,3,)+VLOOKUP($B80,'A1.3.7'!$B$28:$O$118,8,))))</f>
        <v>26.622239843193778</v>
      </c>
      <c r="U80" s="691">
        <f>IF('A1.3.8'!E$29="","",IF(OR(VLOOKUP($B80,'A1.3.11'!$B$26:$AM$105,U$22,)="",VLOOKUP($B80,'A1.3.7'!$B$28:$H$118,3,)=""),"",VLOOKUP($B80,'A1.3.11'!$B$26:$AM$105,U$22,)*(VLOOKUP($B80,'A1.3.7'!$B$28:$O$118,3,)+VLOOKUP($B80,'A1.3.7'!$B$28:$O$118,8,))))</f>
        <v>14.928211038077672</v>
      </c>
      <c r="V80" s="691">
        <f>IF('A1.3.8'!F$29="","",IF(OR(VLOOKUP($B80,'A1.3.11'!$B$26:$AM$105,V$22,)="",VLOOKUP($B80,'A1.3.7'!$B$28:$H$118,3,)=""),"",VLOOKUP($B80,'A1.3.11'!$B$26:$AM$105,V$22,)*(VLOOKUP($B80,'A1.3.7'!$B$28:$O$118,3,)+VLOOKUP($B80,'A1.3.7'!$B$28:$O$118,8,))))</f>
        <v>-0.23432391301905678</v>
      </c>
      <c r="W80" s="2644">
        <f>IF('A1.3.8'!G$29="","",IF(OR(VLOOKUP($B80,'A1.3.11'!$B$26:$AM$105,W$22,)="",VLOOKUP($B80,'A1.3.7'!$B$28:$H$118,3,)=""),"",VLOOKUP($B80,'A1.3.11'!$B$26:$AM$105,W$22,)*(VLOOKUP($B80,'A1.3.7'!$B$28:$O$118,3,)+VLOOKUP($B80,'A1.3.7'!$B$28:$O$118,8,))))</f>
        <v>1.5132725875102763E-3</v>
      </c>
      <c r="X80" s="693">
        <f>IF('A1.3.8'!D$30="","",IF(OR(VLOOKUP($B80,'A1.3.11'!$B$26:$AM$105,X$22,)="",VLOOKUP($B80,'A1.3.7'!$B$28:$H$118,4,)=""),"",VLOOKUP($B80,'A1.3.11'!$B$26:$AM$105,X$22,)*(VLOOKUP($B80,'A1.3.7'!$B$28:$O$118,4,)+VLOOKUP($B80,'A1.3.7'!$B$28:$O$118,9,))))</f>
        <v>46.962171712664187</v>
      </c>
      <c r="Y80" s="691">
        <f>IF('A1.3.8'!E$30="","",IF(OR(VLOOKUP($B80,'A1.3.11'!$B$26:$AM$105,Y$22,)="",VLOOKUP($B80,'A1.3.7'!$B$28:$H$118,4,)=""),"",VLOOKUP($B80,'A1.3.11'!$B$26:$AM$105,Y$22,)*(VLOOKUP($B80,'A1.3.7'!$B$28:$O$118,4,)+VLOOKUP($B80,'A1.3.7'!$B$28:$O$118,9,))))</f>
        <v>11.477746153003478</v>
      </c>
      <c r="Z80" s="691">
        <f>IF('A1.3.8'!F$30="","",IF(OR(VLOOKUP($B80,'A1.3.11'!$B$26:$AM$105,Z$22,)="",VLOOKUP($B80,'A1.3.7'!$B$28:$H$118,4,)=""),"",VLOOKUP($B80,'A1.3.11'!$B$26:$AM$105,Z$22,)*(VLOOKUP($B80,'A1.3.7'!$B$28:$O$118,4,)+VLOOKUP($B80,'A1.3.7'!$B$28:$O$118,9,))))</f>
        <v>-0.16558734840635736</v>
      </c>
      <c r="AA80" s="2644">
        <f>IF('A1.3.8'!G$30="","",IF(OR(VLOOKUP($B80,'A1.3.11'!$B$26:$AM$105,AA$22,)="",VLOOKUP($B80,'A1.3.7'!$B$28:$H$118,4,)=""),"",VLOOKUP($B80,'A1.3.11'!$B$26:$AM$105,AA$22,)*(VLOOKUP($B80,'A1.3.7'!$B$28:$O$118,4,)+VLOOKUP($B80,'A1.3.7'!$B$28:$O$118,9,))))</f>
        <v>1.4018682651664395E-3</v>
      </c>
      <c r="AB80" s="693" t="str">
        <f>IF('A1.3.8'!D$37="","",IF(OR(VLOOKUP($B80,'A1.3.11'!$B$26:$AM$105,AB$22,)="",VLOOKUP($B80,'A1.3.7'!$B$28:$H$118,6,)=""),"",VLOOKUP($B80,'A1.3.11'!$B$26:$AM$105,AB$22,)*VLOOKUP($B80,'A1.3.7'!$B$28:$O$118,6,)))</f>
        <v/>
      </c>
      <c r="AC80" s="691">
        <f>IF('A1.3.8'!E$37="","",IF(OR(VLOOKUP($B80,'A1.3.11'!$B$26:$AM$105,AC$22,)="",VLOOKUP($B80,'A1.3.7'!$B$28:$H$118,6,)=""),"",VLOOKUP($B80,'A1.3.11'!$B$26:$AM$105,AC$22,)*VLOOKUP($B80,'A1.3.7'!$B$28:$O$118,6,)))</f>
        <v>4.5145632825273854</v>
      </c>
      <c r="AD80" s="691" t="str">
        <f>IF('A1.3.8'!F$37="","",IF(OR(VLOOKUP($B80,'A1.3.11'!$B$26:$AM$105,AD$22,)="",VLOOKUP($B80,'A1.3.7'!$B$28:$H$118,6,)=""),"",VLOOKUP($B80,'A1.3.11'!$B$26:$AM$105,AD$22,)*VLOOKUP($B80,'A1.3.7'!$B$28:$O$118,6,)))</f>
        <v/>
      </c>
      <c r="AE80" s="1664" t="str">
        <f>IF('A1.3.8'!G$37="","",IF(OR(VLOOKUP($B80,'A1.3.11'!$B$26:$AM$105,AE$22,)="",VLOOKUP($B80,'A1.3.7'!$B$28:$H$118,6,)=""),"",VLOOKUP($B80,'A1.3.11'!$B$26:$AM$105,AE$22,)*VLOOKUP($B80,'A1.3.7'!$B$28:$O$118,6,)))</f>
        <v/>
      </c>
      <c r="AF80" s="693">
        <f>IF(AND(T80="",X80="",AB80=""),"",IF(T80="",0,(T80*VLOOKUP('A1.3.12'!$B80,'A1.3.9'!$B$26:$O$57,6,TRUE))) + IF(X80="",0,(X80*VLOOKUP('A1.3.12'!$B80,'A1.3.9'!$B$26:$O$57,7,TRUE))) + IF(AB80="",0,(AB80*VLOOKUP('A1.3.12'!$B80,'A1.3.9'!$B$26:$O$57,8,TRUE))))</f>
        <v>41.669307743383875</v>
      </c>
      <c r="AG80" s="691">
        <f>IF(AND(U80="",Y80="",AC80=""),"",IF(U80="",0,(U80*VLOOKUP('A1.3.12'!$B80,'A1.3.9'!$B$26:$O$57,6,TRUE))) + IF(Y80="",0,(Y80*VLOOKUP('A1.3.12'!$B80,'A1.3.9'!$B$26:$O$57,7,TRUE))) + IF(AC80="",0,(AC80*VLOOKUP('A1.3.12'!$B80,'A1.3.9'!$B$26:$O$57,8,TRUE))))</f>
        <v>10.741985229678953</v>
      </c>
      <c r="AH80" s="691">
        <f>IF(AND(V80="",Z80="",AD80=""),"",IF(V80="",0,(V80*VLOOKUP('A1.3.12'!$B80,'A1.3.9'!$B$26:$O$57,6,TRUE))) + IF(Z80="",0,(Z80*VLOOKUP('A1.3.12'!$B80,'A1.3.9'!$B$26:$O$57,7,TRUE))) + IF(AD80="",0,(AD80*VLOOKUP('A1.3.12'!$B80,'A1.3.9'!$B$26:$O$57,8,TRUE))))</f>
        <v>-0.1479896911088984</v>
      </c>
      <c r="AI80" s="2644">
        <f>IF(AND(W80="",AA80="",AE80=""),"",IF(W80="",0,(W80*VLOOKUP('A1.3.12'!$B80,'A1.3.9'!$B$26:$O$57,6,TRUE))) + IF(AA80="",0,(AA80*VLOOKUP('A1.3.12'!$B80,'A1.3.9'!$B$26:$O$57,7,TRUE))) + IF(AE80="",0,(AE80*VLOOKUP('A1.3.12'!$B80,'A1.3.9'!$B$26:$O$57,8,TRUE))))</f>
        <v>1.2493186860658935E-3</v>
      </c>
      <c r="AJ80" s="693">
        <f>IF('A1.3.8'!D$31="","",IF(OR(VLOOKUP($B80,'A1.3.11'!$B$26:$AM$105,AJ$22,)="",VLOOKUP($B80,'A1.3.7'!$B$28:$H$118,4,)=""),"",VLOOKUP($B80,'A1.3.11'!$B$26:$AM$105,AJ$22,)*(VLOOKUP($B80,'A1.3.7'!$B$28:$O$118,4,)+VLOOKUP($B80,'A1.3.7'!$B$28:$O$118,9,))))</f>
        <v>317.46253343668184</v>
      </c>
      <c r="AK80" s="691">
        <f>IF('A1.3.8'!E$31="","",IF(OR(VLOOKUP($B80,'A1.3.11'!$B$26:$AM$105,AK$22,)="",VLOOKUP($B80,'A1.3.7'!$B$28:$H$118,4,)=""),"",VLOOKUP($B80,'A1.3.11'!$B$26:$AM$105,AK$22,)*(VLOOKUP($B80,'A1.3.7'!$B$28:$O$118,4,)+VLOOKUP($B80,'A1.3.7'!$B$28:$O$118,9,))))</f>
        <v>16.8436748054784</v>
      </c>
      <c r="AL80" s="691">
        <f>IF('A1.3.8'!F$31="","",IF(OR(VLOOKUP($B80,'A1.3.11'!$B$26:$AM$105,AL$22,)="",VLOOKUP($B80,'A1.3.7'!$B$28:$H$118,4,)=""),"",VLOOKUP($B80,'A1.3.11'!$B$26:$AM$105,AL$22,)*(VLOOKUP($B80,'A1.3.7'!$B$28:$O$118,4,)+VLOOKUP($B80,'A1.3.7'!$B$28:$O$118,9,))))</f>
        <v>-0.12174618843878793</v>
      </c>
      <c r="AM80" s="2644">
        <f>IF('A1.3.8'!G$31="","",IF(OR(VLOOKUP($B80,'A1.3.11'!$B$26:$AM$105,AM$22,)="",VLOOKUP($B80,'A1.3.7'!$B$28:$H$118,4,)=""),"",VLOOKUP($B80,'A1.3.11'!$B$26:$AM$105,AM$22,)*(VLOOKUP($B80,'A1.3.7'!$B$28:$O$118,4,)+VLOOKUP($B80,'A1.3.7'!$B$28:$O$118,9,))))</f>
        <v>1.3296637199407889E-3</v>
      </c>
      <c r="AN80" s="693" t="str">
        <f>IF('A1.3.8'!D$38="","",IF(OR(VLOOKUP($B80,'A1.3.11'!$B$26:$AM$105,AN$22,)="",VLOOKUP($B80,'A1.3.7'!$B$28:$H$118,6,)=""),"",VLOOKUP($B80,'A1.3.11'!$B$26:$AM$105,AN$22,)*VLOOKUP($B80,'A1.3.7'!$B$28:$O$118,6,)))</f>
        <v/>
      </c>
      <c r="AO80" s="691" t="str">
        <f>IF('A1.3.8'!E$38="","",IF(OR(VLOOKUP($B80,'A1.3.11'!$B$26:$AM$105,AO$22,)="",VLOOKUP($B80,'A1.3.7'!$B$28:$H$118,6,)=""),"",VLOOKUP($B80,'A1.3.11'!$B$26:$AM$105,AO$22,)*VLOOKUP($B80,'A1.3.7'!$B$28:$O$118,6,)))</f>
        <v/>
      </c>
      <c r="AP80" s="691" t="str">
        <f>IF('A1.3.8'!F$38="","",IF(OR(VLOOKUP($B80,'A1.3.11'!$B$26:$AM$105,AP$22,)="",VLOOKUP($B80,'A1.3.7'!$B$28:$H$118,6,)=""),"",VLOOKUP($B80,'A1.3.11'!$B$26:$AM$105,AP$22,)*VLOOKUP($B80,'A1.3.7'!$B$28:$O$118,6,)))</f>
        <v/>
      </c>
      <c r="AQ80" s="1664" t="str">
        <f>IF('A1.3.8'!G$38="","",IF(OR(VLOOKUP($B80,'A1.3.11'!$B$26:$AM$105,AQ$22,)="",VLOOKUP($B80,'A1.3.7'!$B$28:$H$118,6,)=""),"",VLOOKUP($B80,'A1.3.11'!$B$26:$AM$105,AQ$22,)*VLOOKUP($B80,'A1.3.7'!$B$28:$O$118,6,)))</f>
        <v/>
      </c>
      <c r="AR80" s="693">
        <f>IF(AND(AJ80="",AN80=""),"",IF(AJ80="",0,(AJ80*VLOOKUP($B80,'A1.3.9'!$B$26:$O$57,9,TRUE))) + IF(AN80="",0,(AN80*VLOOKUP($B80,'A1.3.9'!$B$26:$O$57,10,TRUE))))</f>
        <v>317.46253343668184</v>
      </c>
      <c r="AS80" s="691">
        <f>IF(AND(AK80="",AO80=""),"",IF(AK80="",0,(AK80*VLOOKUP($B80,'A1.3.9'!$B$26:$O$57,9,TRUE))) + IF(AO80="",0,(AO80*VLOOKUP($B80,'A1.3.9'!$B$26:$O$57,10,TRUE))))</f>
        <v>16.8436748054784</v>
      </c>
      <c r="AT80" s="691">
        <f>IF(AND(AL80="",AP80=""),"",IF(AL80="",0,(AL80*VLOOKUP($B80,'A1.3.9'!$B$26:$O$57,9,TRUE))) + IF(AP80="",0,(AP80*VLOOKUP($B80,'A1.3.9'!$B$26:$O$57,10,TRUE))))</f>
        <v>-0.12174618843878793</v>
      </c>
      <c r="AU80" s="2644">
        <f>IF(AND(AM80="",AQ80=""),"",IF(AM80="",0,(AM80*VLOOKUP($B80,'A1.3.9'!$B$26:$O$57,9,TRUE))) + IF(AQ80="",0,(AQ80*VLOOKUP($B80,'A1.3.9'!$B$26:$O$57,10,TRUE))))</f>
        <v>1.3296637199407889E-3</v>
      </c>
      <c r="AV80" s="693">
        <f>IF('A1.3.8'!D$32="","",IF(OR(VLOOKUP($B80,'A1.3.11'!$B$26:$AM$105,AV$22,)="",VLOOKUP($B80,'A1.3.7'!$B$28:$H$118,4,)=""),"",VLOOKUP($B80,'A1.3.11'!$B$26:$AM$105,AV$22,)*(VLOOKUP($B80,'A1.3.7'!$B$28:$O$118,4,)+VLOOKUP($B80,'A1.3.7'!$B$28:$O$118,9,))))</f>
        <v>667.07150610221061</v>
      </c>
      <c r="AW80" s="691">
        <f>IF('A1.3.8'!E$32="","",IF(OR(VLOOKUP($B80,'A1.3.11'!$B$26:$AM$105,AW$22,)="",VLOOKUP($B80,'A1.3.7'!$B$28:$H$118,4,)=""),"",VLOOKUP($B80,'A1.3.11'!$B$26:$AM$105,AW$22,)*(VLOOKUP($B80,'A1.3.7'!$B$28:$O$118,4,)+VLOOKUP($B80,'A1.3.7'!$B$28:$O$118,9,))))</f>
        <v>34.64220529698548</v>
      </c>
      <c r="AX80" s="691">
        <f>IF('A1.3.8'!F$32="","",IF(OR(VLOOKUP($B80,'A1.3.11'!$B$26:$AM$105,AX$22,)="",VLOOKUP($B80,'A1.3.7'!$B$28:$H$118,4,)=""),"",VLOOKUP($B80,'A1.3.11'!$B$26:$AM$105,AX$22,)*(VLOOKUP($B80,'A1.3.7'!$B$28:$O$118,4,)+VLOOKUP($B80,'A1.3.7'!$B$28:$O$118,9,))))</f>
        <v>-0.22952283408519067</v>
      </c>
      <c r="AY80" s="2644">
        <f>IF('A1.3.8'!G$32="","",IF(OR(VLOOKUP($B80,'A1.3.11'!$B$26:$AM$105,AY$22,)="",VLOOKUP($B80,'A1.3.7'!$B$28:$H$118,4,)=""),"",VLOOKUP($B80,'A1.3.11'!$B$26:$AM$105,AY$22,)*(VLOOKUP($B80,'A1.3.7'!$B$28:$O$118,4,)+VLOOKUP($B80,'A1.3.7'!$B$28:$O$118,9,))))</f>
        <v>1.3680515341470711E-3</v>
      </c>
      <c r="AZ80" s="693" t="str">
        <f>IF('A1.3.8'!D$39="","",IF(OR(VLOOKUP($B80,'A1.3.11'!$B$26:$AM$105,AZ$22,)="",VLOOKUP($B80,'A1.3.7'!$B$28:$H$118,6,)=""),"",VLOOKUP($B80,'A1.3.11'!$B$26:$AM$105,AZ$22,)*VLOOKUP($B80,'A1.3.7'!$B$28:$O$118,6,)))</f>
        <v/>
      </c>
      <c r="BA80" s="691" t="str">
        <f>IF('A1.3.8'!E$39="","",IF(OR(VLOOKUP($B80,'A1.3.11'!$B$26:$AM$105,BA$22,)="",VLOOKUP($B80,'A1.3.7'!$B$28:$H$118,6,)=""),"",VLOOKUP($B80,'A1.3.11'!$B$26:$AM$105,BA$22,)*VLOOKUP($B80,'A1.3.7'!$B$28:$O$118,6,)))</f>
        <v/>
      </c>
      <c r="BB80" s="691" t="str">
        <f>IF('A1.3.8'!F$39="","",IF(OR(VLOOKUP($B80,'A1.3.11'!$B$26:$AM$105,BB$22,)="",VLOOKUP($B80,'A1.3.7'!$B$28:$H$118,6,)=""),"",VLOOKUP($B80,'A1.3.11'!$B$26:$AM$105,BB$22,)*VLOOKUP($B80,'A1.3.7'!$B$28:$O$118,6,)))</f>
        <v/>
      </c>
      <c r="BC80" s="1664" t="str">
        <f>IF('A1.3.8'!G$39="","",IF(OR(VLOOKUP($B80,'A1.3.11'!$B$26:$AM$105,BC$22,)="",VLOOKUP($B80,'A1.3.7'!$B$28:$H$118,6,)=""),"",VLOOKUP($B80,'A1.3.11'!$B$26:$AM$105,BC$22,)*VLOOKUP($B80,'A1.3.7'!$B$28:$O$118,6,)))</f>
        <v/>
      </c>
      <c r="BD80" s="693">
        <f>IF(AND(AV80="",AZ80=""),"",IF(AV80="",0,(AV80*VLOOKUP($B80,'A1.3.9'!$B$26:$O$57,9,TRUE))) + IF(AZ80="",0,(AZ80*VLOOKUP($B80,'A1.3.9'!$B$26:$O$57,10,TRUE))))</f>
        <v>667.07150610221061</v>
      </c>
      <c r="BE80" s="691">
        <f>IF(AND(AW80="",BA80=""),"",IF(AW80="",0,(AW80*VLOOKUP($B80,'A1.3.9'!$B$26:$O$57,9,TRUE))) + IF(BA80="",0,(BA80*VLOOKUP($B80,'A1.3.9'!$B$26:$O$57,10,TRUE))))</f>
        <v>34.64220529698548</v>
      </c>
      <c r="BF80" s="691">
        <f>IF(AND(AX80="",BB80=""),"",IF(AX80="",0,(AX80*VLOOKUP($B80,'A1.3.9'!$B$26:$O$57,9,TRUE))) + IF(BB80="",0,(BB80*VLOOKUP($B80,'A1.3.9'!$B$26:$O$57,10,TRUE))))</f>
        <v>-0.22952283408519067</v>
      </c>
      <c r="BG80" s="2644">
        <f>IF(AND(AY80="",BC80=""),"",IF(AY80="",0,(AY80*VLOOKUP($B80,'A1.3.9'!$B$26:$O$57,9,TRUE))) + IF(BC80="",0,(BC80*VLOOKUP($B80,'A1.3.9'!$B$26:$O$57,10,TRUE))))</f>
        <v>1.3680515341470711E-3</v>
      </c>
      <c r="BH80" s="693">
        <f>IF('A1.3.8'!D$33="","",IF(OR(VLOOKUP($B80,'A1.3.11'!$B$26:$AM$105,BH$22,)="",VLOOKUP($B80,'A1.3.7'!$B$28:$H$118,4,)=""),"",VLOOKUP($B80,'A1.3.11'!$B$26:$AM$105,BH$22,)*(VLOOKUP($B80,'A1.3.7'!$B$28:$O$118,4,)+VLOOKUP($B80,'A1.3.7'!$B$28:$O$118,9,))))</f>
        <v>395.63085311189315</v>
      </c>
      <c r="BI80" s="691">
        <f>IF('A1.3.8'!E$33="","",IF(OR(VLOOKUP($B80,'A1.3.11'!$B$26:$AM$105,BI$22,)="",VLOOKUP($B80,'A1.3.7'!$B$28:$H$118,4,)=""),"",VLOOKUP($B80,'A1.3.11'!$B$26:$AM$105,BI$22,)*(VLOOKUP($B80,'A1.3.7'!$B$28:$O$118,4,)+VLOOKUP($B80,'A1.3.7'!$B$28:$O$118,9,))))</f>
        <v>34.762876687187124</v>
      </c>
      <c r="BJ80" s="691">
        <f>IF('A1.3.8'!F$33="","",IF(OR(VLOOKUP($B80,'A1.3.11'!$B$26:$AM$105,BJ$22,)="",VLOOKUP($B80,'A1.3.7'!$B$28:$H$118,4,)=""),"",VLOOKUP($B80,'A1.3.11'!$B$26:$AM$105,BJ$22,)*(VLOOKUP($B80,'A1.3.7'!$B$28:$O$118,4,)+VLOOKUP($B80,'A1.3.7'!$B$28:$O$118,9,))))</f>
        <v>-0.37784148569284431</v>
      </c>
      <c r="BK80" s="2644">
        <f>IF('A1.3.8'!G$33="","",IF(OR(VLOOKUP($B80,'A1.3.11'!$B$26:$AM$105,BK$22,)="",VLOOKUP($B80,'A1.3.7'!$B$28:$H$118,4,)=""),"",VLOOKUP($B80,'A1.3.11'!$B$26:$AM$105,BK$22,)*(VLOOKUP($B80,'A1.3.7'!$B$28:$O$118,4,)+VLOOKUP($B80,'A1.3.7'!$B$28:$O$118,9,))))</f>
        <v>2.7716217403936363E-3</v>
      </c>
      <c r="BL80" s="693" t="str">
        <f>IF('A1.3.8'!D$40="","",IF(OR(VLOOKUP($B80,'A1.3.11'!$B$26:$AM$105,BL$22,)="",VLOOKUP($B80,'A1.3.7'!$B$28:$H$118,6,)=""),"",VLOOKUP($B80,'A1.3.11'!$B$26:$AM$105,BL$22,)*VLOOKUP($B80,'A1.3.7'!$B$28:$O$118,6,)))</f>
        <v/>
      </c>
      <c r="BM80" s="691" t="str">
        <f>IF('A1.3.8'!E$40="","",IF(OR(VLOOKUP($B80,'A1.3.11'!$B$26:$AM$105,BM$22,)="",VLOOKUP($B80,'A1.3.7'!$B$28:$H$118,6,)=""),"",VLOOKUP($B80,'A1.3.11'!$B$26:$AM$105,BM$22,)*VLOOKUP($B80,'A1.3.7'!$B$28:$O$118,6,)))</f>
        <v/>
      </c>
      <c r="BN80" s="691" t="str">
        <f>IF('A1.3.8'!F$40="","",IF(OR(VLOOKUP($B80,'A1.3.11'!$B$26:$AM$105,BN$22,)="",VLOOKUP($B80,'A1.3.7'!$B$28:$H$118,6,)=""),"",VLOOKUP($B80,'A1.3.11'!$B$26:$AM$105,BN$22,)*VLOOKUP($B80,'A1.3.7'!$B$28:$O$118,6,)))</f>
        <v/>
      </c>
      <c r="BO80" s="1664" t="str">
        <f>IF('A1.3.8'!G$40="","",IF(OR(VLOOKUP($B80,'A1.3.11'!$B$26:$AM$105,BO$22,)="",VLOOKUP($B80,'A1.3.7'!$B$28:$H$118,6,)=""),"",VLOOKUP($B80,'A1.3.11'!$B$26:$AM$105,BO$22,)*VLOOKUP($B80,'A1.3.7'!$B$28:$O$118,6,)))</f>
        <v/>
      </c>
      <c r="BP80" s="693">
        <f>IF(AND(BH80="",BL80=""),"",IF(BH80="",0,(BH80*VLOOKUP($B80,'A1.3.9'!$B$26:$O$57,9,TRUE))) + IF(BL80="",0,(BL80*VLOOKUP($B80,'A1.3.9'!$B$26:$O$57,10,TRUE))))</f>
        <v>395.63085311189315</v>
      </c>
      <c r="BQ80" s="691">
        <f>IF(AND(BI80="",BM80=""),"",IF(BI80="",0,(BI80*VLOOKUP($B80,'A1.3.9'!$B$26:$O$57,9,TRUE))) + IF(BM80="",0,(BM80*VLOOKUP($B80,'A1.3.9'!$B$26:$O$57,10,TRUE))))</f>
        <v>34.762876687187124</v>
      </c>
      <c r="BR80" s="691">
        <f>IF(AND(BJ80="",BN80=""),"",IF(BJ80="",0,(BJ80*VLOOKUP($B80,'A1.3.9'!$B$26:$O$57,9,TRUE))) + IF(BN80="",0,(BN80*VLOOKUP($B80,'A1.3.9'!$B$26:$O$57,10,TRUE))))</f>
        <v>-0.37784148569284431</v>
      </c>
      <c r="BS80" s="2644">
        <f>IF(AND(BK80="",BO80=""),"",IF(BK80="",0,(BK80*VLOOKUP($B80,'A1.3.9'!$B$26:$O$57,9,TRUE))) + IF(BO80="",0,(BO80*VLOOKUP($B80,'A1.3.9'!$B$26:$O$57,10,TRUE))))</f>
        <v>2.7716217403936363E-3</v>
      </c>
    </row>
    <row r="81" spans="1:71" ht="13.5" customHeight="1">
      <c r="A81" s="113"/>
      <c r="B81" s="614">
        <f t="shared" si="0"/>
        <v>2064</v>
      </c>
      <c r="C81" s="147"/>
      <c r="D81" s="693">
        <f>IF('A1.3.8'!D$27="","",IF(OR(VLOOKUP($B81,'A1.3.11'!$B$26:$AM$105,D$22,)="",VLOOKUP($B81,'A1.3.7'!$B$28:$H$118,3,)=""),"",VLOOKUP($B81,'A1.3.11'!$B$26:$AM$105,D$22,)*(VLOOKUP($B81,'A1.3.7'!$B$28:$O$118,3,)+VLOOKUP($B81,'A1.3.7'!$B$28:$O$118,8,))))</f>
        <v>37.168451259310352</v>
      </c>
      <c r="E81" s="691">
        <f>IF('A1.3.8'!E$27="","",IF(OR(VLOOKUP($B81,'A1.3.11'!$B$26:$AM$105,E$22,)="",VLOOKUP($B81,'A1.3.7'!$B$28:$H$118,3,)=""),"",VLOOKUP($B81,'A1.3.11'!$B$26:$AM$105,E$22,)*(VLOOKUP($B81,'A1.3.7'!$B$28:$O$118,3,)+VLOOKUP($B81,'A1.3.7'!$B$28:$O$118,8,))))</f>
        <v>7.8988987986396024</v>
      </c>
      <c r="F81" s="691">
        <f>IF('A1.3.8'!F$27="","",IF(OR(VLOOKUP($B81,'A1.3.11'!$B$26:$AM$105,F$22,)="",VLOOKUP($B81,'A1.3.7'!$B$28:$H$118,3,)=""),"",VLOOKUP($B81,'A1.3.11'!$B$26:$AM$105,F$22,)*(VLOOKUP($B81,'A1.3.7'!$B$28:$O$118,3,)+VLOOKUP($B81,'A1.3.7'!$B$28:$O$118,8,))))</f>
        <v>-8.9977824507579324E-2</v>
      </c>
      <c r="G81" s="2644">
        <f>IF('A1.3.8'!G$27="","",IF(OR(VLOOKUP($B81,'A1.3.11'!$B$26:$AM$105,G$22,)="",VLOOKUP($B81,'A1.3.7'!$B$28:$H$118,3,)=""),"",VLOOKUP($B81,'A1.3.11'!$B$26:$AM$105,G$22,)*(VLOOKUP($B81,'A1.3.7'!$B$28:$O$118,3,)+VLOOKUP($B81,'A1.3.7'!$B$28:$O$118,8,))))</f>
        <v>5.9591589197591753E-4</v>
      </c>
      <c r="H81" s="693">
        <f>IF('A1.3.8'!D$28="","",IF(OR(VLOOKUP($B81,'A1.3.11'!$B$26:$AM$105,H$22,)="",VLOOKUP($B81,'A1.3.7'!$B$28:$H$118,4,)=""),"",VLOOKUP($B81,'A1.3.11'!$B$26:$AM$105,H$22,)*(VLOOKUP($B81,'A1.3.7'!$B$28:$O$118,4,)+VLOOKUP($B81,'A1.3.7'!$B$28:$O$118,9,))))</f>
        <v>45.787750919480978</v>
      </c>
      <c r="I81" s="691">
        <f>IF('A1.3.8'!E$28="","",IF(OR(VLOOKUP($B81,'A1.3.11'!$B$26:$AM$105,I$22,)="",VLOOKUP($B81,'A1.3.7'!$B$28:$H$118,4,)=""),"",VLOOKUP($B81,'A1.3.11'!$B$26:$AM$105,I$22,)*(VLOOKUP($B81,'A1.3.7'!$B$28:$O$118,4,)+VLOOKUP($B81,'A1.3.7'!$B$28:$O$118,9,))))</f>
        <v>6.5648311520607061</v>
      </c>
      <c r="J81" s="691">
        <f>IF('A1.3.8'!F$28="","",IF(OR(VLOOKUP($B81,'A1.3.11'!$B$26:$AM$105,J$22,)="",VLOOKUP($B81,'A1.3.7'!$B$28:$H$118,4,)=""),"",VLOOKUP($B81,'A1.3.11'!$B$26:$AM$105,J$22,)*(VLOOKUP($B81,'A1.3.7'!$B$28:$O$118,4,)+VLOOKUP($B81,'A1.3.7'!$B$28:$O$118,9,))))</f>
        <v>-6.3155504517908648E-2</v>
      </c>
      <c r="K81" s="2644">
        <f>IF('A1.3.8'!G$28="","",IF(OR(VLOOKUP($B81,'A1.3.11'!$B$26:$AM$105,K$22,)="",VLOOKUP($B81,'A1.3.7'!$B$28:$H$118,4,)=""),"",VLOOKUP($B81,'A1.3.11'!$B$26:$AM$105,K$22,)*(VLOOKUP($B81,'A1.3.7'!$B$28:$O$118,4,)+VLOOKUP($B81,'A1.3.7'!$B$28:$O$118,9,))))</f>
        <v>4.9766854416006287E-4</v>
      </c>
      <c r="L81" s="693" t="str">
        <f>IF('A1.3.8'!D$36="","",IF(OR(VLOOKUP($B81,'A1.3.11'!$B$26:$AM$105,L$22,)="",VLOOKUP($B81,'A1.3.7'!$B$28:$H$118,6,)=""),"",VLOOKUP($B81,'A1.3.11'!$B$26:$AM$105,L$22,)*VLOOKUP($B81,'A1.3.7'!$B$28:$O$118,6,)))</f>
        <v/>
      </c>
      <c r="M81" s="691">
        <f>IF('A1.3.8'!E$36="","",IF(OR(VLOOKUP($B81,'A1.3.11'!$B$26:$AM$105,M$22,)="",VLOOKUP($B81,'A1.3.7'!$B$28:$H$118,6,)=""),"",VLOOKUP($B81,'A1.3.11'!$B$26:$AM$105,M$22,)*VLOOKUP($B81,'A1.3.7'!$B$28:$O$118,6,)))</f>
        <v>1.9637608285706969</v>
      </c>
      <c r="N81" s="691" t="str">
        <f>IF('A1.3.8'!F$36="","",IF(OR(VLOOKUP($B81,'A1.3.11'!$B$26:$AM$105,N$22,)="",VLOOKUP($B81,'A1.3.7'!$B$28:$H$118,6,)=""),"",VLOOKUP($B81,'A1.3.11'!$B$26:$AM$105,N$22,)*VLOOKUP($B81,'A1.3.7'!$B$28:$O$118,6,)))</f>
        <v/>
      </c>
      <c r="O81" s="1664" t="str">
        <f>IF('A1.3.8'!G$36="","",IF(OR(VLOOKUP($B81,'A1.3.11'!$B$26:$AM$105,O$22,)="",VLOOKUP($B81,'A1.3.7'!$B$28:$H$118,6,)=""),"",VLOOKUP($B81,'A1.3.11'!$B$26:$AM$105,O$22,)*VLOOKUP($B81,'A1.3.7'!$B$28:$O$118,6,)))</f>
        <v/>
      </c>
      <c r="P81" s="693">
        <f>IF(AND(D81="",H81="",L81=""),"",IF(D81="",0,(D81*VLOOKUP($B81,'A1.3.9'!$B$26:$O$57,3,TRUE)))+IF(H81="",0,(H81*VLOOKUP($B81,'A1.3.9'!$B$26:$O$57,4,TRUE)))+IF(L81="",0,(L81*VLOOKUP($B81,'A1.3.9'!$B$26:$O$57,5,TRUE))))</f>
        <v>30.81717358330657</v>
      </c>
      <c r="Q81" s="691">
        <f>IF(AND(E81="",I81="",M81=""),"",IF(E81="",0,(E81*VLOOKUP($B81,'A1.3.9'!$B$26:$O$57,3,TRUE)))+IF(I81="",0,(I81*VLOOKUP($B81,'A1.3.9'!$B$26:$O$57,4,TRUE)))+IF(M81="",0,(M81*VLOOKUP($B81,'A1.3.9'!$B$26:$O$57,5,TRUE))))</f>
        <v>6.0483553976379074</v>
      </c>
      <c r="R81" s="691">
        <f>IF(AND(F81="",J81="",N81=""),"",IF(F81="",0,(F81*VLOOKUP($B81,'A1.3.9'!$B$26:$O$57,3,TRUE)))+IF(J81="",0,(J81*VLOOKUP($B81,'A1.3.9'!$B$26:$O$57,4,TRUE)))+IF(N81="",0,(N81*VLOOKUP($B81,'A1.3.9'!$B$26:$O$57,5,TRUE))))</f>
        <v>-5.9887400417510561E-2</v>
      </c>
      <c r="S81" s="2644">
        <f>IF(AND(G81="",K81="",O81=""),"",IF(G81="",0,(G81*VLOOKUP($B81,'A1.3.9'!$B$26:$O$57,3,TRUE)))+IF(K81="",0,(K81*VLOOKUP($B81,'A1.3.9'!$B$26:$O$57,4,TRUE)))+IF(O81="",0,(O81*VLOOKUP($B81,'A1.3.9'!$B$26:$O$57,5,TRUE))))</f>
        <v>4.2112840159502351E-4</v>
      </c>
      <c r="T81" s="693">
        <f>IF('A1.3.8'!D$29="","",IF(OR(VLOOKUP($B81,'A1.3.11'!$B$26:$AM$105,T$22,)="",VLOOKUP($B81,'A1.3.7'!$B$28:$H$118,3,)=""),"",VLOOKUP($B81,'A1.3.11'!$B$26:$AM$105,T$22,)*(VLOOKUP($B81,'A1.3.7'!$B$28:$O$118,3,)+VLOOKUP($B81,'A1.3.7'!$B$28:$O$118,8,))))</f>
        <v>26.736496136696751</v>
      </c>
      <c r="U81" s="691">
        <f>IF('A1.3.8'!E$29="","",IF(OR(VLOOKUP($B81,'A1.3.11'!$B$26:$AM$105,U$22,)="",VLOOKUP($B81,'A1.3.7'!$B$28:$H$118,3,)=""),"",VLOOKUP($B81,'A1.3.11'!$B$26:$AM$105,U$22,)*(VLOOKUP($B81,'A1.3.7'!$B$28:$O$118,3,)+VLOOKUP($B81,'A1.3.7'!$B$28:$O$118,8,))))</f>
        <v>14.992279353587081</v>
      </c>
      <c r="V81" s="691">
        <f>IF('A1.3.8'!F$29="","",IF(OR(VLOOKUP($B81,'A1.3.11'!$B$26:$AM$105,V$22,)="",VLOOKUP($B81,'A1.3.7'!$B$28:$H$118,3,)=""),"",VLOOKUP($B81,'A1.3.11'!$B$26:$AM$105,V$22,)*(VLOOKUP($B81,'A1.3.7'!$B$28:$O$118,3,)+VLOOKUP($B81,'A1.3.7'!$B$28:$O$118,8,))))</f>
        <v>-0.23532957527506396</v>
      </c>
      <c r="W81" s="2644">
        <f>IF('A1.3.8'!G$29="","",IF(OR(VLOOKUP($B81,'A1.3.11'!$B$26:$AM$105,W$22,)="",VLOOKUP($B81,'A1.3.7'!$B$28:$H$118,3,)=""),"",VLOOKUP($B81,'A1.3.11'!$B$26:$AM$105,W$22,)*(VLOOKUP($B81,'A1.3.7'!$B$28:$O$118,3,)+VLOOKUP($B81,'A1.3.7'!$B$28:$O$118,8,))))</f>
        <v>1.5197671919435236E-3</v>
      </c>
      <c r="X81" s="693">
        <f>IF('A1.3.8'!D$30="","",IF(OR(VLOOKUP($B81,'A1.3.11'!$B$26:$AM$105,X$22,)="",VLOOKUP($B81,'A1.3.7'!$B$28:$H$118,4,)=""),"",VLOOKUP($B81,'A1.3.11'!$B$26:$AM$105,X$22,)*(VLOOKUP($B81,'A1.3.7'!$B$28:$O$118,4,)+VLOOKUP($B81,'A1.3.7'!$B$28:$O$118,9,))))</f>
        <v>47.156941237011246</v>
      </c>
      <c r="Y81" s="691">
        <f>IF('A1.3.8'!E$30="","",IF(OR(VLOOKUP($B81,'A1.3.11'!$B$26:$AM$105,Y$22,)="",VLOOKUP($B81,'A1.3.7'!$B$28:$H$118,4,)=""),"",VLOOKUP($B81,'A1.3.11'!$B$26:$AM$105,Y$22,)*(VLOOKUP($B81,'A1.3.7'!$B$28:$O$118,4,)+VLOOKUP($B81,'A1.3.7'!$B$28:$O$118,9,))))</f>
        <v>11.525348618504323</v>
      </c>
      <c r="Z81" s="691">
        <f>IF('A1.3.8'!F$30="","",IF(OR(VLOOKUP($B81,'A1.3.11'!$B$26:$AM$105,Z$22,)="",VLOOKUP($B81,'A1.3.7'!$B$28:$H$118,4,)=""),"",VLOOKUP($B81,'A1.3.11'!$B$26:$AM$105,Z$22,)*(VLOOKUP($B81,'A1.3.7'!$B$28:$O$118,4,)+VLOOKUP($B81,'A1.3.7'!$B$28:$O$118,9,))))</f>
        <v>-0.16627410048597424</v>
      </c>
      <c r="AA81" s="2644">
        <f>IF('A1.3.8'!G$30="","",IF(OR(VLOOKUP($B81,'A1.3.11'!$B$26:$AM$105,AA$22,)="",VLOOKUP($B81,'A1.3.7'!$B$28:$H$118,4,)=""),"",VLOOKUP($B81,'A1.3.11'!$B$26:$AM$105,AA$22,)*(VLOOKUP($B81,'A1.3.7'!$B$28:$O$118,4,)+VLOOKUP($B81,'A1.3.7'!$B$28:$O$118,9,))))</f>
        <v>1.4076823322175609E-3</v>
      </c>
      <c r="AB81" s="693" t="str">
        <f>IF('A1.3.8'!D$37="","",IF(OR(VLOOKUP($B81,'A1.3.11'!$B$26:$AM$105,AB$22,)="",VLOOKUP($B81,'A1.3.7'!$B$28:$H$118,6,)=""),"",VLOOKUP($B81,'A1.3.11'!$B$26:$AM$105,AB$22,)*VLOOKUP($B81,'A1.3.7'!$B$28:$O$118,6,)))</f>
        <v/>
      </c>
      <c r="AC81" s="691">
        <f>IF('A1.3.8'!E$37="","",IF(OR(VLOOKUP($B81,'A1.3.11'!$B$26:$AM$105,AC$22,)="",VLOOKUP($B81,'A1.3.7'!$B$28:$H$118,6,)=""),"",VLOOKUP($B81,'A1.3.11'!$B$26:$AM$105,AC$22,)*VLOOKUP($B81,'A1.3.7'!$B$28:$O$118,6,)))</f>
        <v>4.5145632825273854</v>
      </c>
      <c r="AD81" s="691" t="str">
        <f>IF('A1.3.8'!F$37="","",IF(OR(VLOOKUP($B81,'A1.3.11'!$B$26:$AM$105,AD$22,)="",VLOOKUP($B81,'A1.3.7'!$B$28:$H$118,6,)=""),"",VLOOKUP($B81,'A1.3.11'!$B$26:$AM$105,AD$22,)*VLOOKUP($B81,'A1.3.7'!$B$28:$O$118,6,)))</f>
        <v/>
      </c>
      <c r="AE81" s="1664" t="str">
        <f>IF('A1.3.8'!G$37="","",IF(OR(VLOOKUP($B81,'A1.3.11'!$B$26:$AM$105,AE$22,)="",VLOOKUP($B81,'A1.3.7'!$B$28:$H$118,6,)=""),"",VLOOKUP($B81,'A1.3.11'!$B$26:$AM$105,AE$22,)*VLOOKUP($B81,'A1.3.7'!$B$28:$O$118,6,)))</f>
        <v/>
      </c>
      <c r="AF81" s="693">
        <f>IF(AND(T81="",X81="",AB81=""),"",IF(T81="",0,(T81*VLOOKUP('A1.3.12'!$B81,'A1.3.9'!$B$26:$O$57,6,TRUE))) + IF(X81="",0,(X81*VLOOKUP('A1.3.12'!$B81,'A1.3.9'!$B$26:$O$57,7,TRUE))) + IF(AB81="",0,(AB81*VLOOKUP('A1.3.12'!$B81,'A1.3.9'!$B$26:$O$57,8,TRUE))))</f>
        <v>41.842154942774329</v>
      </c>
      <c r="AG81" s="691">
        <f>IF(AND(U81="",Y81="",AC81=""),"",IF(U81="",0,(U81*VLOOKUP('A1.3.12'!$B81,'A1.3.9'!$B$26:$O$57,6,TRUE))) + IF(Y81="",0,(Y81*VLOOKUP('A1.3.12'!$B81,'A1.3.9'!$B$26:$O$57,7,TRUE))) + IF(AC81="",0,(AC81*VLOOKUP('A1.3.12'!$B81,'A1.3.9'!$B$26:$O$57,8,TRUE))))</f>
        <v>10.784503807617524</v>
      </c>
      <c r="AH81" s="691">
        <f>IF(AND(V81="",Z81="",AD81=""),"",IF(V81="",0,(V81*VLOOKUP('A1.3.12'!$B81,'A1.3.9'!$B$26:$O$57,6,TRUE))) + IF(Z81="",0,(Z81*VLOOKUP('A1.3.12'!$B81,'A1.3.9'!$B$26:$O$57,7,TRUE))) + IF(AD81="",0,(AD81*VLOOKUP('A1.3.12'!$B81,'A1.3.9'!$B$26:$O$57,8,TRUE))))</f>
        <v>-0.1486037156935627</v>
      </c>
      <c r="AI81" s="2644">
        <f>IF(AND(W81="",AA81="",AE81=""),"",IF(W81="",0,(W81*VLOOKUP('A1.3.12'!$B81,'A1.3.9'!$B$26:$O$57,6,TRUE))) + IF(AA81="",0,(AA81*VLOOKUP('A1.3.12'!$B81,'A1.3.9'!$B$26:$O$57,7,TRUE))) + IF(AE81="",0,(AE81*VLOOKUP('A1.3.12'!$B81,'A1.3.9'!$B$26:$O$57,8,TRUE))))</f>
        <v>1.2545017300437079E-3</v>
      </c>
      <c r="AJ81" s="693">
        <f>IF('A1.3.8'!D$31="","",IF(OR(VLOOKUP($B81,'A1.3.11'!$B$26:$AM$105,AJ$22,)="",VLOOKUP($B81,'A1.3.7'!$B$28:$H$118,4,)=""),"",VLOOKUP($B81,'A1.3.11'!$B$26:$AM$105,AJ$22,)*(VLOOKUP($B81,'A1.3.7'!$B$28:$O$118,4,)+VLOOKUP($B81,'A1.3.7'!$B$28:$O$118,9,))))</f>
        <v>318.7791681743978</v>
      </c>
      <c r="AK81" s="691">
        <f>IF('A1.3.8'!E$31="","",IF(OR(VLOOKUP($B81,'A1.3.11'!$B$26:$AM$105,AK$22,)="",VLOOKUP($B81,'A1.3.7'!$B$28:$H$118,4,)=""),"",VLOOKUP($B81,'A1.3.11'!$B$26:$AM$105,AK$22,)*(VLOOKUP($B81,'A1.3.7'!$B$28:$O$118,4,)+VLOOKUP($B81,'A1.3.7'!$B$28:$O$118,9,))))</f>
        <v>16.913531765037085</v>
      </c>
      <c r="AL81" s="691">
        <f>IF('A1.3.8'!F$31="","",IF(OR(VLOOKUP($B81,'A1.3.11'!$B$26:$AM$105,AL$22,)="",VLOOKUP($B81,'A1.3.7'!$B$28:$H$118,4,)=""),"",VLOOKUP($B81,'A1.3.11'!$B$26:$AM$105,AL$22,)*(VLOOKUP($B81,'A1.3.7'!$B$28:$O$118,4,)+VLOOKUP($B81,'A1.3.7'!$B$28:$O$118,9,))))</f>
        <v>-0.12225111498601778</v>
      </c>
      <c r="AM81" s="2644">
        <f>IF('A1.3.8'!G$31="","",IF(OR(VLOOKUP($B81,'A1.3.11'!$B$26:$AM$105,AM$22,)="",VLOOKUP($B81,'A1.3.7'!$B$28:$H$118,4,)=""),"",VLOOKUP($B81,'A1.3.11'!$B$26:$AM$105,AM$22,)*(VLOOKUP($B81,'A1.3.7'!$B$28:$O$118,4,)+VLOOKUP($B81,'A1.3.7'!$B$28:$O$118,9,))))</f>
        <v>1.3351783279929666E-3</v>
      </c>
      <c r="AN81" s="693" t="str">
        <f>IF('A1.3.8'!D$38="","",IF(OR(VLOOKUP($B81,'A1.3.11'!$B$26:$AM$105,AN$22,)="",VLOOKUP($B81,'A1.3.7'!$B$28:$H$118,6,)=""),"",VLOOKUP($B81,'A1.3.11'!$B$26:$AM$105,AN$22,)*VLOOKUP($B81,'A1.3.7'!$B$28:$O$118,6,)))</f>
        <v/>
      </c>
      <c r="AO81" s="691" t="str">
        <f>IF('A1.3.8'!E$38="","",IF(OR(VLOOKUP($B81,'A1.3.11'!$B$26:$AM$105,AO$22,)="",VLOOKUP($B81,'A1.3.7'!$B$28:$H$118,6,)=""),"",VLOOKUP($B81,'A1.3.11'!$B$26:$AM$105,AO$22,)*VLOOKUP($B81,'A1.3.7'!$B$28:$O$118,6,)))</f>
        <v/>
      </c>
      <c r="AP81" s="691" t="str">
        <f>IF('A1.3.8'!F$38="","",IF(OR(VLOOKUP($B81,'A1.3.11'!$B$26:$AM$105,AP$22,)="",VLOOKUP($B81,'A1.3.7'!$B$28:$H$118,6,)=""),"",VLOOKUP($B81,'A1.3.11'!$B$26:$AM$105,AP$22,)*VLOOKUP($B81,'A1.3.7'!$B$28:$O$118,6,)))</f>
        <v/>
      </c>
      <c r="AQ81" s="1664" t="str">
        <f>IF('A1.3.8'!G$38="","",IF(OR(VLOOKUP($B81,'A1.3.11'!$B$26:$AM$105,AQ$22,)="",VLOOKUP($B81,'A1.3.7'!$B$28:$H$118,6,)=""),"",VLOOKUP($B81,'A1.3.11'!$B$26:$AM$105,AQ$22,)*VLOOKUP($B81,'A1.3.7'!$B$28:$O$118,6,)))</f>
        <v/>
      </c>
      <c r="AR81" s="693">
        <f>IF(AND(AJ81="",AN81=""),"",IF(AJ81="",0,(AJ81*VLOOKUP($B81,'A1.3.9'!$B$26:$O$57,9,TRUE))) + IF(AN81="",0,(AN81*VLOOKUP($B81,'A1.3.9'!$B$26:$O$57,10,TRUE))))</f>
        <v>318.7791681743978</v>
      </c>
      <c r="AS81" s="691">
        <f>IF(AND(AK81="",AO81=""),"",IF(AK81="",0,(AK81*VLOOKUP($B81,'A1.3.9'!$B$26:$O$57,9,TRUE))) + IF(AO81="",0,(AO81*VLOOKUP($B81,'A1.3.9'!$B$26:$O$57,10,TRUE))))</f>
        <v>16.913531765037085</v>
      </c>
      <c r="AT81" s="691">
        <f>IF(AND(AL81="",AP81=""),"",IF(AL81="",0,(AL81*VLOOKUP($B81,'A1.3.9'!$B$26:$O$57,9,TRUE))) + IF(AP81="",0,(AP81*VLOOKUP($B81,'A1.3.9'!$B$26:$O$57,10,TRUE))))</f>
        <v>-0.12225111498601778</v>
      </c>
      <c r="AU81" s="2644">
        <f>IF(AND(AM81="",AQ81=""),"",IF(AM81="",0,(AM81*VLOOKUP($B81,'A1.3.9'!$B$26:$O$57,9,TRUE))) + IF(AQ81="",0,(AQ81*VLOOKUP($B81,'A1.3.9'!$B$26:$O$57,10,TRUE))))</f>
        <v>1.3351783279929666E-3</v>
      </c>
      <c r="AV81" s="693">
        <f>IF('A1.3.8'!D$32="","",IF(OR(VLOOKUP($B81,'A1.3.11'!$B$26:$AM$105,AV$22,)="",VLOOKUP($B81,'A1.3.7'!$B$28:$H$118,4,)=""),"",VLOOKUP($B81,'A1.3.11'!$B$26:$AM$105,AV$22,)*(VLOOKUP($B81,'A1.3.7'!$B$28:$O$118,4,)+VLOOKUP($B81,'A1.3.7'!$B$28:$O$118,9,))))</f>
        <v>669.83809877053829</v>
      </c>
      <c r="AW81" s="691">
        <f>IF('A1.3.8'!E$32="","",IF(OR(VLOOKUP($B81,'A1.3.11'!$B$26:$AM$105,AW$22,)="",VLOOKUP($B81,'A1.3.7'!$B$28:$H$118,4,)=""),"",VLOOKUP($B81,'A1.3.11'!$B$26:$AM$105,AW$22,)*(VLOOKUP($B81,'A1.3.7'!$B$28:$O$118,4,)+VLOOKUP($B81,'A1.3.7'!$B$28:$O$118,9,))))</f>
        <v>34.785879356381834</v>
      </c>
      <c r="AX81" s="691">
        <f>IF('A1.3.8'!F$32="","",IF(OR(VLOOKUP($B81,'A1.3.11'!$B$26:$AM$105,AX$22,)="",VLOOKUP($B81,'A1.3.7'!$B$28:$H$118,4,)=""),"",VLOOKUP($B81,'A1.3.11'!$B$26:$AM$105,AX$22,)*(VLOOKUP($B81,'A1.3.7'!$B$28:$O$118,4,)+VLOOKUP($B81,'A1.3.7'!$B$28:$O$118,9,))))</f>
        <v>-0.23047475031034059</v>
      </c>
      <c r="AY81" s="2644">
        <f>IF('A1.3.8'!G$32="","",IF(OR(VLOOKUP($B81,'A1.3.11'!$B$26:$AM$105,AY$22,)="",VLOOKUP($B81,'A1.3.7'!$B$28:$H$118,4,)=""),"",VLOOKUP($B81,'A1.3.11'!$B$26:$AM$105,AY$22,)*(VLOOKUP($B81,'A1.3.7'!$B$28:$O$118,4,)+VLOOKUP($B81,'A1.3.7'!$B$28:$O$118,9,))))</f>
        <v>1.373725350686442E-3</v>
      </c>
      <c r="AZ81" s="693" t="str">
        <f>IF('A1.3.8'!D$39="","",IF(OR(VLOOKUP($B81,'A1.3.11'!$B$26:$AM$105,AZ$22,)="",VLOOKUP($B81,'A1.3.7'!$B$28:$H$118,6,)=""),"",VLOOKUP($B81,'A1.3.11'!$B$26:$AM$105,AZ$22,)*VLOOKUP($B81,'A1.3.7'!$B$28:$O$118,6,)))</f>
        <v/>
      </c>
      <c r="BA81" s="691" t="str">
        <f>IF('A1.3.8'!E$39="","",IF(OR(VLOOKUP($B81,'A1.3.11'!$B$26:$AM$105,BA$22,)="",VLOOKUP($B81,'A1.3.7'!$B$28:$H$118,6,)=""),"",VLOOKUP($B81,'A1.3.11'!$B$26:$AM$105,BA$22,)*VLOOKUP($B81,'A1.3.7'!$B$28:$O$118,6,)))</f>
        <v/>
      </c>
      <c r="BB81" s="691" t="str">
        <f>IF('A1.3.8'!F$39="","",IF(OR(VLOOKUP($B81,'A1.3.11'!$B$26:$AM$105,BB$22,)="",VLOOKUP($B81,'A1.3.7'!$B$28:$H$118,6,)=""),"",VLOOKUP($B81,'A1.3.11'!$B$26:$AM$105,BB$22,)*VLOOKUP($B81,'A1.3.7'!$B$28:$O$118,6,)))</f>
        <v/>
      </c>
      <c r="BC81" s="1664" t="str">
        <f>IF('A1.3.8'!G$39="","",IF(OR(VLOOKUP($B81,'A1.3.11'!$B$26:$AM$105,BC$22,)="",VLOOKUP($B81,'A1.3.7'!$B$28:$H$118,6,)=""),"",VLOOKUP($B81,'A1.3.11'!$B$26:$AM$105,BC$22,)*VLOOKUP($B81,'A1.3.7'!$B$28:$O$118,6,)))</f>
        <v/>
      </c>
      <c r="BD81" s="693">
        <f>IF(AND(AV81="",AZ81=""),"",IF(AV81="",0,(AV81*VLOOKUP($B81,'A1.3.9'!$B$26:$O$57,9,TRUE))) + IF(AZ81="",0,(AZ81*VLOOKUP($B81,'A1.3.9'!$B$26:$O$57,10,TRUE))))</f>
        <v>669.83809877053829</v>
      </c>
      <c r="BE81" s="691">
        <f>IF(AND(AW81="",BA81=""),"",IF(AW81="",0,(AW81*VLOOKUP($B81,'A1.3.9'!$B$26:$O$57,9,TRUE))) + IF(BA81="",0,(BA81*VLOOKUP($B81,'A1.3.9'!$B$26:$O$57,10,TRUE))))</f>
        <v>34.785879356381834</v>
      </c>
      <c r="BF81" s="691">
        <f>IF(AND(AX81="",BB81=""),"",IF(AX81="",0,(AX81*VLOOKUP($B81,'A1.3.9'!$B$26:$O$57,9,TRUE))) + IF(BB81="",0,(BB81*VLOOKUP($B81,'A1.3.9'!$B$26:$O$57,10,TRUE))))</f>
        <v>-0.23047475031034059</v>
      </c>
      <c r="BG81" s="2644">
        <f>IF(AND(AY81="",BC81=""),"",IF(AY81="",0,(AY81*VLOOKUP($B81,'A1.3.9'!$B$26:$O$57,9,TRUE))) + IF(BC81="",0,(BC81*VLOOKUP($B81,'A1.3.9'!$B$26:$O$57,10,TRUE))))</f>
        <v>1.373725350686442E-3</v>
      </c>
      <c r="BH81" s="693">
        <f>IF('A1.3.8'!D$33="","",IF(OR(VLOOKUP($B81,'A1.3.11'!$B$26:$AM$105,BH$22,)="",VLOOKUP($B81,'A1.3.7'!$B$28:$H$118,4,)=""),"",VLOOKUP($B81,'A1.3.11'!$B$26:$AM$105,BH$22,)*(VLOOKUP($B81,'A1.3.7'!$B$28:$O$118,4,)+VLOOKUP($B81,'A1.3.7'!$B$28:$O$118,9,))))</f>
        <v>397.27168083061736</v>
      </c>
      <c r="BI81" s="691">
        <f>IF('A1.3.8'!E$33="","",IF(OR(VLOOKUP($B81,'A1.3.11'!$B$26:$AM$105,BI$22,)="",VLOOKUP($B81,'A1.3.7'!$B$28:$H$118,4,)=""),"",VLOOKUP($B81,'A1.3.11'!$B$26:$AM$105,BI$22,)*(VLOOKUP($B81,'A1.3.7'!$B$28:$O$118,4,)+VLOOKUP($B81,'A1.3.7'!$B$28:$O$118,9,))))</f>
        <v>34.907051215544236</v>
      </c>
      <c r="BJ81" s="691">
        <f>IF('A1.3.8'!F$33="","",IF(OR(VLOOKUP($B81,'A1.3.11'!$B$26:$AM$105,BJ$22,)="",VLOOKUP($B81,'A1.3.7'!$B$28:$H$118,4,)=""),"",VLOOKUP($B81,'A1.3.11'!$B$26:$AM$105,BJ$22,)*(VLOOKUP($B81,'A1.3.7'!$B$28:$O$118,4,)+VLOOKUP($B81,'A1.3.7'!$B$28:$O$118,9,))))</f>
        <v>-0.37940853431438704</v>
      </c>
      <c r="BK81" s="2644">
        <f>IF('A1.3.8'!G$33="","",IF(OR(VLOOKUP($B81,'A1.3.11'!$B$26:$AM$105,BK$22,)="",VLOOKUP($B81,'A1.3.7'!$B$28:$H$118,4,)=""),"",VLOOKUP($B81,'A1.3.11'!$B$26:$AM$105,BK$22,)*(VLOOKUP($B81,'A1.3.7'!$B$28:$O$118,4,)+VLOOKUP($B81,'A1.3.7'!$B$28:$O$118,9,))))</f>
        <v>2.7831166825643123E-3</v>
      </c>
      <c r="BL81" s="693" t="str">
        <f>IF('A1.3.8'!D$40="","",IF(OR(VLOOKUP($B81,'A1.3.11'!$B$26:$AM$105,BL$22,)="",VLOOKUP($B81,'A1.3.7'!$B$28:$H$118,6,)=""),"",VLOOKUP($B81,'A1.3.11'!$B$26:$AM$105,BL$22,)*VLOOKUP($B81,'A1.3.7'!$B$28:$O$118,6,)))</f>
        <v/>
      </c>
      <c r="BM81" s="691" t="str">
        <f>IF('A1.3.8'!E$40="","",IF(OR(VLOOKUP($B81,'A1.3.11'!$B$26:$AM$105,BM$22,)="",VLOOKUP($B81,'A1.3.7'!$B$28:$H$118,6,)=""),"",VLOOKUP($B81,'A1.3.11'!$B$26:$AM$105,BM$22,)*VLOOKUP($B81,'A1.3.7'!$B$28:$O$118,6,)))</f>
        <v/>
      </c>
      <c r="BN81" s="691" t="str">
        <f>IF('A1.3.8'!F$40="","",IF(OR(VLOOKUP($B81,'A1.3.11'!$B$26:$AM$105,BN$22,)="",VLOOKUP($B81,'A1.3.7'!$B$28:$H$118,6,)=""),"",VLOOKUP($B81,'A1.3.11'!$B$26:$AM$105,BN$22,)*VLOOKUP($B81,'A1.3.7'!$B$28:$O$118,6,)))</f>
        <v/>
      </c>
      <c r="BO81" s="1664" t="str">
        <f>IF('A1.3.8'!G$40="","",IF(OR(VLOOKUP($B81,'A1.3.11'!$B$26:$AM$105,BO$22,)="",VLOOKUP($B81,'A1.3.7'!$B$28:$H$118,6,)=""),"",VLOOKUP($B81,'A1.3.11'!$B$26:$AM$105,BO$22,)*VLOOKUP($B81,'A1.3.7'!$B$28:$O$118,6,)))</f>
        <v/>
      </c>
      <c r="BP81" s="693">
        <f>IF(AND(BH81="",BL81=""),"",IF(BH81="",0,(BH81*VLOOKUP($B81,'A1.3.9'!$B$26:$O$57,9,TRUE))) + IF(BL81="",0,(BL81*VLOOKUP($B81,'A1.3.9'!$B$26:$O$57,10,TRUE))))</f>
        <v>397.27168083061736</v>
      </c>
      <c r="BQ81" s="691">
        <f>IF(AND(BI81="",BM81=""),"",IF(BI81="",0,(BI81*VLOOKUP($B81,'A1.3.9'!$B$26:$O$57,9,TRUE))) + IF(BM81="",0,(BM81*VLOOKUP($B81,'A1.3.9'!$B$26:$O$57,10,TRUE))))</f>
        <v>34.907051215544236</v>
      </c>
      <c r="BR81" s="691">
        <f>IF(AND(BJ81="",BN81=""),"",IF(BJ81="",0,(BJ81*VLOOKUP($B81,'A1.3.9'!$B$26:$O$57,9,TRUE))) + IF(BN81="",0,(BN81*VLOOKUP($B81,'A1.3.9'!$B$26:$O$57,10,TRUE))))</f>
        <v>-0.37940853431438704</v>
      </c>
      <c r="BS81" s="2644">
        <f>IF(AND(BK81="",BO81=""),"",IF(BK81="",0,(BK81*VLOOKUP($B81,'A1.3.9'!$B$26:$O$57,9,TRUE))) + IF(BO81="",0,(BO81*VLOOKUP($B81,'A1.3.9'!$B$26:$O$57,10,TRUE))))</f>
        <v>2.7831166825643123E-3</v>
      </c>
    </row>
    <row r="82" spans="1:71" ht="13.5" customHeight="1">
      <c r="A82" s="113"/>
      <c r="B82" s="614">
        <f t="shared" si="0"/>
        <v>2065</v>
      </c>
      <c r="C82" s="147"/>
      <c r="D82" s="693">
        <f>IF('A1.3.8'!D$27="","",IF(OR(VLOOKUP($B82,'A1.3.11'!$B$26:$AM$105,D$22,)="",VLOOKUP($B82,'A1.3.7'!$B$28:$H$118,3,)=""),"",VLOOKUP($B82,'A1.3.11'!$B$26:$AM$105,D$22,)*(VLOOKUP($B82,'A1.3.7'!$B$28:$O$118,3,)+VLOOKUP($B82,'A1.3.7'!$B$28:$O$118,8,))))</f>
        <v>37.328374542048742</v>
      </c>
      <c r="E82" s="691">
        <f>IF('A1.3.8'!E$27="","",IF(OR(VLOOKUP($B82,'A1.3.11'!$B$26:$AM$105,E$22,)="",VLOOKUP($B82,'A1.3.7'!$B$28:$H$118,3,)=""),"",VLOOKUP($B82,'A1.3.11'!$B$26:$AM$105,E$22,)*(VLOOKUP($B82,'A1.3.7'!$B$28:$O$118,3,)+VLOOKUP($B82,'A1.3.7'!$B$28:$O$118,8,))))</f>
        <v>7.9328850903224009</v>
      </c>
      <c r="F82" s="691">
        <f>IF('A1.3.8'!F$27="","",IF(OR(VLOOKUP($B82,'A1.3.11'!$B$26:$AM$105,F$22,)="",VLOOKUP($B82,'A1.3.7'!$B$28:$H$118,3,)=""),"",VLOOKUP($B82,'A1.3.11'!$B$26:$AM$105,F$22,)*(VLOOKUP($B82,'A1.3.7'!$B$28:$O$118,3,)+VLOOKUP($B82,'A1.3.7'!$B$28:$O$118,8,))))</f>
        <v>-9.0364968673703458E-2</v>
      </c>
      <c r="G82" s="2644">
        <f>IF('A1.3.8'!G$27="","",IF(OR(VLOOKUP($B82,'A1.3.11'!$B$26:$AM$105,G$22,)="",VLOOKUP($B82,'A1.3.7'!$B$28:$H$118,3,)=""),"",VLOOKUP($B82,'A1.3.11'!$B$26:$AM$105,G$22,)*(VLOOKUP($B82,'A1.3.7'!$B$28:$O$118,3,)+VLOOKUP($B82,'A1.3.7'!$B$28:$O$118,8,))))</f>
        <v>5.9847991663801296E-4</v>
      </c>
      <c r="H82" s="693">
        <f>IF('A1.3.8'!D$28="","",IF(OR(VLOOKUP($B82,'A1.3.11'!$B$26:$AM$105,H$22,)="",VLOOKUP($B82,'A1.3.7'!$B$28:$H$118,4,)=""),"",VLOOKUP($B82,'A1.3.11'!$B$26:$AM$105,H$22,)*(VLOOKUP($B82,'A1.3.7'!$B$28:$O$118,4,)+VLOOKUP($B82,'A1.3.7'!$B$28:$O$118,9,))))</f>
        <v>45.978159396259478</v>
      </c>
      <c r="I82" s="691">
        <f>IF('A1.3.8'!E$28="","",IF(OR(VLOOKUP($B82,'A1.3.11'!$B$26:$AM$105,I$22,)="",VLOOKUP($B82,'A1.3.7'!$B$28:$H$118,4,)=""),"",VLOOKUP($B82,'A1.3.11'!$B$26:$AM$105,I$22,)*(VLOOKUP($B82,'A1.3.7'!$B$28:$O$118,4,)+VLOOKUP($B82,'A1.3.7'!$B$28:$O$118,9,))))</f>
        <v>6.5921310188344657</v>
      </c>
      <c r="J82" s="691">
        <f>IF('A1.3.8'!F$28="","",IF(OR(VLOOKUP($B82,'A1.3.11'!$B$26:$AM$105,J$22,)="",VLOOKUP($B82,'A1.3.7'!$B$28:$H$118,4,)=""),"",VLOOKUP($B82,'A1.3.11'!$B$26:$AM$105,J$22,)*(VLOOKUP($B82,'A1.3.7'!$B$28:$O$118,4,)+VLOOKUP($B82,'A1.3.7'!$B$28:$O$118,9,))))</f>
        <v>-6.3418136841487505E-2</v>
      </c>
      <c r="K82" s="2644">
        <f>IF('A1.3.8'!G$28="","",IF(OR(VLOOKUP($B82,'A1.3.11'!$B$26:$AM$105,K$22,)="",VLOOKUP($B82,'A1.3.7'!$B$28:$H$118,4,)=""),"",VLOOKUP($B82,'A1.3.11'!$B$26:$AM$105,K$22,)*(VLOOKUP($B82,'A1.3.7'!$B$28:$O$118,4,)+VLOOKUP($B82,'A1.3.7'!$B$28:$O$118,9,))))</f>
        <v>4.9973810004632453E-4</v>
      </c>
      <c r="L82" s="693" t="str">
        <f>IF('A1.3.8'!D$36="","",IF(OR(VLOOKUP($B82,'A1.3.11'!$B$26:$AM$105,L$22,)="",VLOOKUP($B82,'A1.3.7'!$B$28:$H$118,6,)=""),"",VLOOKUP($B82,'A1.3.11'!$B$26:$AM$105,L$22,)*VLOOKUP($B82,'A1.3.7'!$B$28:$O$118,6,)))</f>
        <v/>
      </c>
      <c r="M82" s="691">
        <f>IF('A1.3.8'!E$36="","",IF(OR(VLOOKUP($B82,'A1.3.11'!$B$26:$AM$105,M$22,)="",VLOOKUP($B82,'A1.3.7'!$B$28:$H$118,6,)=""),"",VLOOKUP($B82,'A1.3.11'!$B$26:$AM$105,M$22,)*VLOOKUP($B82,'A1.3.7'!$B$28:$O$118,6,)))</f>
        <v>1.9637608285706969</v>
      </c>
      <c r="N82" s="691" t="str">
        <f>IF('A1.3.8'!F$36="","",IF(OR(VLOOKUP($B82,'A1.3.11'!$B$26:$AM$105,N$22,)="",VLOOKUP($B82,'A1.3.7'!$B$28:$H$118,6,)=""),"",VLOOKUP($B82,'A1.3.11'!$B$26:$AM$105,N$22,)*VLOOKUP($B82,'A1.3.7'!$B$28:$O$118,6,)))</f>
        <v/>
      </c>
      <c r="O82" s="1664" t="str">
        <f>IF('A1.3.8'!G$36="","",IF(OR(VLOOKUP($B82,'A1.3.11'!$B$26:$AM$105,O$22,)="",VLOOKUP($B82,'A1.3.7'!$B$28:$H$118,6,)=""),"",VLOOKUP($B82,'A1.3.11'!$B$26:$AM$105,O$22,)*VLOOKUP($B82,'A1.3.7'!$B$28:$O$118,6,)))</f>
        <v/>
      </c>
      <c r="P82" s="693">
        <f>IF(AND(D82="",H82="",L82=""),"",IF(D82="",0,(D82*VLOOKUP($B82,'A1.3.9'!$B$26:$O$57,3,TRUE)))+IF(H82="",0,(H82*VLOOKUP($B82,'A1.3.9'!$B$26:$O$57,4,TRUE)))+IF(L82="",0,(L82*VLOOKUP($B82,'A1.3.9'!$B$26:$O$57,5,TRUE))))</f>
        <v>30.947732663371283</v>
      </c>
      <c r="Q82" s="691">
        <f>IF(AND(E82="",I82="",M82=""),"",IF(E82="",0,(E82*VLOOKUP($B82,'A1.3.9'!$B$26:$O$57,3,TRUE)))+IF(I82="",0,(I82*VLOOKUP($B82,'A1.3.9'!$B$26:$O$57,4,TRUE)))+IF(M82="",0,(M82*VLOOKUP($B82,'A1.3.9'!$B$26:$O$57,5,TRUE))))</f>
        <v>6.0720389657472964</v>
      </c>
      <c r="R82" s="691">
        <f>IF(AND(F82="",J82="",N82=""),"",IF(F82="",0,(F82*VLOOKUP($B82,'A1.3.9'!$B$26:$O$57,3,TRUE)))+IF(J82="",0,(J82*VLOOKUP($B82,'A1.3.9'!$B$26:$O$57,4,TRUE)))+IF(N82="",0,(N82*VLOOKUP($B82,'A1.3.9'!$B$26:$O$57,5,TRUE))))</f>
        <v>-6.0142266278544854E-2</v>
      </c>
      <c r="S82" s="2644">
        <f>IF(AND(G82="",K82="",O82=""),"",IF(G82="",0,(G82*VLOOKUP($B82,'A1.3.9'!$B$26:$O$57,3,TRUE)))+IF(K82="",0,(K82*VLOOKUP($B82,'A1.3.9'!$B$26:$O$57,4,TRUE)))+IF(O82="",0,(O82*VLOOKUP($B82,'A1.3.9'!$B$26:$O$57,5,TRUE))))</f>
        <v>4.2291823670242187E-4</v>
      </c>
      <c r="T82" s="693">
        <f>IF('A1.3.8'!D$29="","",IF(OR(VLOOKUP($B82,'A1.3.11'!$B$26:$AM$105,T$22,)="",VLOOKUP($B82,'A1.3.7'!$B$28:$H$118,3,)=""),"",VLOOKUP($B82,'A1.3.11'!$B$26:$AM$105,T$22,)*(VLOOKUP($B82,'A1.3.7'!$B$28:$O$118,3,)+VLOOKUP($B82,'A1.3.7'!$B$28:$O$118,8,))))</f>
        <v>26.851534242569723</v>
      </c>
      <c r="U82" s="691">
        <f>IF('A1.3.8'!E$29="","",IF(OR(VLOOKUP($B82,'A1.3.11'!$B$26:$AM$105,U$22,)="",VLOOKUP($B82,'A1.3.7'!$B$28:$H$118,3,)=""),"",VLOOKUP($B82,'A1.3.11'!$B$26:$AM$105,U$22,)*(VLOOKUP($B82,'A1.3.7'!$B$28:$O$118,3,)+VLOOKUP($B82,'A1.3.7'!$B$28:$O$118,8,))))</f>
        <v>15.056786064217272</v>
      </c>
      <c r="V82" s="691">
        <f>IF('A1.3.8'!F$29="","",IF(OR(VLOOKUP($B82,'A1.3.11'!$B$26:$AM$105,V$22,)="",VLOOKUP($B82,'A1.3.7'!$B$28:$H$118,3,)=""),"",VLOOKUP($B82,'A1.3.11'!$B$26:$AM$105,V$22,)*(VLOOKUP($B82,'A1.3.7'!$B$28:$O$118,3,)+VLOOKUP($B82,'A1.3.7'!$B$28:$O$118,8,))))</f>
        <v>-0.23634211889548165</v>
      </c>
      <c r="W82" s="2644">
        <f>IF('A1.3.8'!G$29="","",IF(OR(VLOOKUP($B82,'A1.3.11'!$B$26:$AM$105,W$22,)="",VLOOKUP($B82,'A1.3.7'!$B$28:$H$118,3,)=""),"",VLOOKUP($B82,'A1.3.11'!$B$26:$AM$105,W$22,)*(VLOOKUP($B82,'A1.3.7'!$B$28:$O$118,3,)+VLOOKUP($B82,'A1.3.7'!$B$28:$O$118,8,))))</f>
        <v>1.5263062364853064E-3</v>
      </c>
      <c r="X82" s="693">
        <f>IF('A1.3.8'!D$30="","",IF(OR(VLOOKUP($B82,'A1.3.11'!$B$26:$AM$105,X$22,)="",VLOOKUP($B82,'A1.3.7'!$B$28:$H$118,4,)=""),"",VLOOKUP($B82,'A1.3.11'!$B$26:$AM$105,X$22,)*(VLOOKUP($B82,'A1.3.7'!$B$28:$O$118,4,)+VLOOKUP($B82,'A1.3.7'!$B$28:$O$118,9,))))</f>
        <v>47.353043495151482</v>
      </c>
      <c r="Y82" s="691">
        <f>IF('A1.3.8'!E$30="","",IF(OR(VLOOKUP($B82,'A1.3.11'!$B$26:$AM$105,Y$22,)="",VLOOKUP($B82,'A1.3.7'!$B$28:$H$118,4,)=""),"",VLOOKUP($B82,'A1.3.11'!$B$26:$AM$105,Y$22,)*(VLOOKUP($B82,'A1.3.7'!$B$28:$O$118,4,)+VLOOKUP($B82,'A1.3.7'!$B$28:$O$118,9,))))</f>
        <v>11.57327680957555</v>
      </c>
      <c r="Z82" s="691">
        <f>IF('A1.3.8'!F$30="","",IF(OR(VLOOKUP($B82,'A1.3.11'!$B$26:$AM$105,Z$22,)="",VLOOKUP($B82,'A1.3.7'!$B$28:$H$118,4,)=""),"",VLOOKUP($B82,'A1.3.11'!$B$26:$AM$105,Z$22,)*(VLOOKUP($B82,'A1.3.7'!$B$28:$O$118,4,)+VLOOKUP($B82,'A1.3.7'!$B$28:$O$118,9,))))</f>
        <v>-0.16696555174893157</v>
      </c>
      <c r="AA82" s="2644">
        <f>IF('A1.3.8'!G$30="","",IF(OR(VLOOKUP($B82,'A1.3.11'!$B$26:$AM$105,AA$22,)="",VLOOKUP($B82,'A1.3.7'!$B$28:$H$118,4,)=""),"",VLOOKUP($B82,'A1.3.11'!$B$26:$AM$105,AA$22,)*(VLOOKUP($B82,'A1.3.7'!$B$28:$O$118,4,)+VLOOKUP($B82,'A1.3.7'!$B$28:$O$118,9,))))</f>
        <v>1.4135361827186895E-3</v>
      </c>
      <c r="AB82" s="693" t="str">
        <f>IF('A1.3.8'!D$37="","",IF(OR(VLOOKUP($B82,'A1.3.11'!$B$26:$AM$105,AB$22,)="",VLOOKUP($B82,'A1.3.7'!$B$28:$H$118,6,)=""),"",VLOOKUP($B82,'A1.3.11'!$B$26:$AM$105,AB$22,)*VLOOKUP($B82,'A1.3.7'!$B$28:$O$118,6,)))</f>
        <v/>
      </c>
      <c r="AC82" s="691">
        <f>IF('A1.3.8'!E$37="","",IF(OR(VLOOKUP($B82,'A1.3.11'!$B$26:$AM$105,AC$22,)="",VLOOKUP($B82,'A1.3.7'!$B$28:$H$118,6,)=""),"",VLOOKUP($B82,'A1.3.11'!$B$26:$AM$105,AC$22,)*VLOOKUP($B82,'A1.3.7'!$B$28:$O$118,6,)))</f>
        <v>4.5145632825273854</v>
      </c>
      <c r="AD82" s="691" t="str">
        <f>IF('A1.3.8'!F$37="","",IF(OR(VLOOKUP($B82,'A1.3.11'!$B$26:$AM$105,AD$22,)="",VLOOKUP($B82,'A1.3.7'!$B$28:$H$118,6,)=""),"",VLOOKUP($B82,'A1.3.11'!$B$26:$AM$105,AD$22,)*VLOOKUP($B82,'A1.3.7'!$B$28:$O$118,6,)))</f>
        <v/>
      </c>
      <c r="AE82" s="1664" t="str">
        <f>IF('A1.3.8'!G$37="","",IF(OR(VLOOKUP($B82,'A1.3.11'!$B$26:$AM$105,AE$22,)="",VLOOKUP($B82,'A1.3.7'!$B$28:$H$118,6,)=""),"",VLOOKUP($B82,'A1.3.11'!$B$26:$AM$105,AE$22,)*VLOOKUP($B82,'A1.3.7'!$B$28:$O$118,6,)))</f>
        <v/>
      </c>
      <c r="AF82" s="693">
        <f>IF(AND(T82="",X82="",AB82=""),"",IF(T82="",0,(T82*VLOOKUP('A1.3.12'!$B82,'A1.3.9'!$B$26:$O$57,6,TRUE))) + IF(X82="",0,(X82*VLOOKUP('A1.3.12'!$B82,'A1.3.9'!$B$26:$O$57,7,TRUE))) + IF(AB82="",0,(AB82*VLOOKUP('A1.3.12'!$B82,'A1.3.9'!$B$26:$O$57,8,TRUE))))</f>
        <v>42.016184869824336</v>
      </c>
      <c r="AG82" s="691">
        <f>IF(AND(U82="",Y82="",AC82=""),"",IF(U82="",0,(U82*VLOOKUP('A1.3.12'!$B82,'A1.3.9'!$B$26:$O$57,6,TRUE))) + IF(Y82="",0,(Y82*VLOOKUP('A1.3.12'!$B82,'A1.3.9'!$B$26:$O$57,7,TRUE))) + IF(AC82="",0,(AC82*VLOOKUP('A1.3.12'!$B82,'A1.3.9'!$B$26:$O$57,8,TRUE))))</f>
        <v>10.82731332401706</v>
      </c>
      <c r="AH82" s="691">
        <f>IF(AND(V82="",Z82="",AD82=""),"",IF(V82="",0,(V82*VLOOKUP('A1.3.12'!$B82,'A1.3.9'!$B$26:$O$57,6,TRUE))) + IF(Z82="",0,(Z82*VLOOKUP('A1.3.12'!$B82,'A1.3.9'!$B$26:$O$57,7,TRUE))) + IF(AD82="",0,(AD82*VLOOKUP('A1.3.12'!$B82,'A1.3.9'!$B$26:$O$57,8,TRUE))))</f>
        <v>-0.14922194181497442</v>
      </c>
      <c r="AI82" s="2644">
        <f>IF(AND(W82="",AA82="",AE82=""),"",IF(W82="",0,(W82*VLOOKUP('A1.3.12'!$B82,'A1.3.9'!$B$26:$O$57,6,TRUE))) + IF(AA82="",0,(AA82*VLOOKUP('A1.3.12'!$B82,'A1.3.9'!$B$26:$O$57,7,TRUE))) + IF(AE82="",0,(AE82*VLOOKUP('A1.3.12'!$B82,'A1.3.9'!$B$26:$O$57,8,TRUE))))</f>
        <v>1.2597202396205881E-3</v>
      </c>
      <c r="AJ82" s="693">
        <f>IF('A1.3.8'!D$31="","",IF(OR(VLOOKUP($B82,'A1.3.11'!$B$26:$AM$105,AJ$22,)="",VLOOKUP($B82,'A1.3.7'!$B$28:$H$118,4,)=""),"",VLOOKUP($B82,'A1.3.11'!$B$26:$AM$105,AJ$22,)*(VLOOKUP($B82,'A1.3.7'!$B$28:$O$118,4,)+VLOOKUP($B82,'A1.3.7'!$B$28:$O$118,9,))))</f>
        <v>320.104812142968</v>
      </c>
      <c r="AK82" s="691">
        <f>IF('A1.3.8'!E$31="","",IF(OR(VLOOKUP($B82,'A1.3.11'!$B$26:$AM$105,AK$22,)="",VLOOKUP($B82,'A1.3.7'!$B$28:$H$118,4,)=""),"",VLOOKUP($B82,'A1.3.11'!$B$26:$AM$105,AK$22,)*(VLOOKUP($B82,'A1.3.7'!$B$28:$O$118,4,)+VLOOKUP($B82,'A1.3.7'!$B$28:$O$118,9,))))</f>
        <v>16.983866729206625</v>
      </c>
      <c r="AL82" s="691">
        <f>IF('A1.3.8'!F$31="","",IF(OR(VLOOKUP($B82,'A1.3.11'!$B$26:$AM$105,AL$22,)="",VLOOKUP($B82,'A1.3.7'!$B$28:$H$118,4,)=""),"",VLOOKUP($B82,'A1.3.11'!$B$26:$AM$105,AL$22,)*(VLOOKUP($B82,'A1.3.7'!$B$28:$O$118,4,)+VLOOKUP($B82,'A1.3.7'!$B$28:$O$118,9,))))</f>
        <v>-0.12275949655360985</v>
      </c>
      <c r="AM82" s="2644">
        <f>IF('A1.3.8'!G$31="","",IF(OR(VLOOKUP($B82,'A1.3.11'!$B$26:$AM$105,AM$22,)="",VLOOKUP($B82,'A1.3.7'!$B$28:$H$118,4,)=""),"",VLOOKUP($B82,'A1.3.11'!$B$26:$AM$105,AM$22,)*(VLOOKUP($B82,'A1.3.7'!$B$28:$O$118,4,)+VLOOKUP($B82,'A1.3.7'!$B$28:$O$118,9,))))</f>
        <v>1.3407306704110924E-3</v>
      </c>
      <c r="AN82" s="693" t="str">
        <f>IF('A1.3.8'!D$38="","",IF(OR(VLOOKUP($B82,'A1.3.11'!$B$26:$AM$105,AN$22,)="",VLOOKUP($B82,'A1.3.7'!$B$28:$H$118,6,)=""),"",VLOOKUP($B82,'A1.3.11'!$B$26:$AM$105,AN$22,)*VLOOKUP($B82,'A1.3.7'!$B$28:$O$118,6,)))</f>
        <v/>
      </c>
      <c r="AO82" s="691" t="str">
        <f>IF('A1.3.8'!E$38="","",IF(OR(VLOOKUP($B82,'A1.3.11'!$B$26:$AM$105,AO$22,)="",VLOOKUP($B82,'A1.3.7'!$B$28:$H$118,6,)=""),"",VLOOKUP($B82,'A1.3.11'!$B$26:$AM$105,AO$22,)*VLOOKUP($B82,'A1.3.7'!$B$28:$O$118,6,)))</f>
        <v/>
      </c>
      <c r="AP82" s="691" t="str">
        <f>IF('A1.3.8'!F$38="","",IF(OR(VLOOKUP($B82,'A1.3.11'!$B$26:$AM$105,AP$22,)="",VLOOKUP($B82,'A1.3.7'!$B$28:$H$118,6,)=""),"",VLOOKUP($B82,'A1.3.11'!$B$26:$AM$105,AP$22,)*VLOOKUP($B82,'A1.3.7'!$B$28:$O$118,6,)))</f>
        <v/>
      </c>
      <c r="AQ82" s="1664" t="str">
        <f>IF('A1.3.8'!G$38="","",IF(OR(VLOOKUP($B82,'A1.3.11'!$B$26:$AM$105,AQ$22,)="",VLOOKUP($B82,'A1.3.7'!$B$28:$H$118,6,)=""),"",VLOOKUP($B82,'A1.3.11'!$B$26:$AM$105,AQ$22,)*VLOOKUP($B82,'A1.3.7'!$B$28:$O$118,6,)))</f>
        <v/>
      </c>
      <c r="AR82" s="693">
        <f>IF(AND(AJ82="",AN82=""),"",IF(AJ82="",0,(AJ82*VLOOKUP($B82,'A1.3.9'!$B$26:$O$57,9,TRUE))) + IF(AN82="",0,(AN82*VLOOKUP($B82,'A1.3.9'!$B$26:$O$57,10,TRUE))))</f>
        <v>320.104812142968</v>
      </c>
      <c r="AS82" s="691">
        <f>IF(AND(AK82="",AO82=""),"",IF(AK82="",0,(AK82*VLOOKUP($B82,'A1.3.9'!$B$26:$O$57,9,TRUE))) + IF(AO82="",0,(AO82*VLOOKUP($B82,'A1.3.9'!$B$26:$O$57,10,TRUE))))</f>
        <v>16.983866729206625</v>
      </c>
      <c r="AT82" s="691">
        <f>IF(AND(AL82="",AP82=""),"",IF(AL82="",0,(AL82*VLOOKUP($B82,'A1.3.9'!$B$26:$O$57,9,TRUE))) + IF(AP82="",0,(AP82*VLOOKUP($B82,'A1.3.9'!$B$26:$O$57,10,TRUE))))</f>
        <v>-0.12275949655360985</v>
      </c>
      <c r="AU82" s="2644">
        <f>IF(AND(AM82="",AQ82=""),"",IF(AM82="",0,(AM82*VLOOKUP($B82,'A1.3.9'!$B$26:$O$57,9,TRUE))) + IF(AQ82="",0,(AQ82*VLOOKUP($B82,'A1.3.9'!$B$26:$O$57,10,TRUE))))</f>
        <v>1.3407306704110924E-3</v>
      </c>
      <c r="AV82" s="693">
        <f>IF('A1.3.8'!D$32="","",IF(OR(VLOOKUP($B82,'A1.3.11'!$B$26:$AM$105,AV$22,)="",VLOOKUP($B82,'A1.3.7'!$B$28:$H$118,4,)=""),"",VLOOKUP($B82,'A1.3.11'!$B$26:$AM$105,AV$22,)*(VLOOKUP($B82,'A1.3.7'!$B$28:$O$118,4,)+VLOOKUP($B82,'A1.3.7'!$B$28:$O$118,9,))))</f>
        <v>672.6236221804869</v>
      </c>
      <c r="AW82" s="691">
        <f>IF('A1.3.8'!E$32="","",IF(OR(VLOOKUP($B82,'A1.3.11'!$B$26:$AM$105,AW$22,)="",VLOOKUP($B82,'A1.3.7'!$B$28:$H$118,4,)=""),"",VLOOKUP($B82,'A1.3.11'!$B$26:$AM$105,AW$22,)*(VLOOKUP($B82,'A1.3.7'!$B$28:$O$118,4,)+VLOOKUP($B82,'A1.3.7'!$B$28:$O$118,9,))))</f>
        <v>34.930536522733973</v>
      </c>
      <c r="AX82" s="691">
        <f>IF('A1.3.8'!F$32="","",IF(OR(VLOOKUP($B82,'A1.3.11'!$B$26:$AM$105,AX$22,)="",VLOOKUP($B82,'A1.3.7'!$B$28:$H$118,4,)=""),"",VLOOKUP($B82,'A1.3.11'!$B$26:$AM$105,AX$22,)*(VLOOKUP($B82,'A1.3.7'!$B$28:$O$118,4,)+VLOOKUP($B82,'A1.3.7'!$B$28:$O$118,9,))))</f>
        <v>-0.23143318013624906</v>
      </c>
      <c r="AY82" s="2644">
        <f>IF('A1.3.8'!G$32="","",IF(OR(VLOOKUP($B82,'A1.3.11'!$B$26:$AM$105,AY$22,)="",VLOOKUP($B82,'A1.3.7'!$B$28:$H$118,4,)=""),"",VLOOKUP($B82,'A1.3.11'!$B$26:$AM$105,AY$22,)*(VLOOKUP($B82,'A1.3.7'!$B$28:$O$118,4,)+VLOOKUP($B82,'A1.3.7'!$B$28:$O$118,9,))))</f>
        <v>1.3794379909948993E-3</v>
      </c>
      <c r="AZ82" s="693" t="str">
        <f>IF('A1.3.8'!D$39="","",IF(OR(VLOOKUP($B82,'A1.3.11'!$B$26:$AM$105,AZ$22,)="",VLOOKUP($B82,'A1.3.7'!$B$28:$H$118,6,)=""),"",VLOOKUP($B82,'A1.3.11'!$B$26:$AM$105,AZ$22,)*VLOOKUP($B82,'A1.3.7'!$B$28:$O$118,6,)))</f>
        <v/>
      </c>
      <c r="BA82" s="691" t="str">
        <f>IF('A1.3.8'!E$39="","",IF(OR(VLOOKUP($B82,'A1.3.11'!$B$26:$AM$105,BA$22,)="",VLOOKUP($B82,'A1.3.7'!$B$28:$H$118,6,)=""),"",VLOOKUP($B82,'A1.3.11'!$B$26:$AM$105,BA$22,)*VLOOKUP($B82,'A1.3.7'!$B$28:$O$118,6,)))</f>
        <v/>
      </c>
      <c r="BB82" s="691" t="str">
        <f>IF('A1.3.8'!F$39="","",IF(OR(VLOOKUP($B82,'A1.3.11'!$B$26:$AM$105,BB$22,)="",VLOOKUP($B82,'A1.3.7'!$B$28:$H$118,6,)=""),"",VLOOKUP($B82,'A1.3.11'!$B$26:$AM$105,BB$22,)*VLOOKUP($B82,'A1.3.7'!$B$28:$O$118,6,)))</f>
        <v/>
      </c>
      <c r="BC82" s="1664" t="str">
        <f>IF('A1.3.8'!G$39="","",IF(OR(VLOOKUP($B82,'A1.3.11'!$B$26:$AM$105,BC$22,)="",VLOOKUP($B82,'A1.3.7'!$B$28:$H$118,6,)=""),"",VLOOKUP($B82,'A1.3.11'!$B$26:$AM$105,BC$22,)*VLOOKUP($B82,'A1.3.7'!$B$28:$O$118,6,)))</f>
        <v/>
      </c>
      <c r="BD82" s="693">
        <f>IF(AND(AV82="",AZ82=""),"",IF(AV82="",0,(AV82*VLOOKUP($B82,'A1.3.9'!$B$26:$O$57,9,TRUE))) + IF(AZ82="",0,(AZ82*VLOOKUP($B82,'A1.3.9'!$B$26:$O$57,10,TRUE))))</f>
        <v>672.6236221804869</v>
      </c>
      <c r="BE82" s="691">
        <f>IF(AND(AW82="",BA82=""),"",IF(AW82="",0,(AW82*VLOOKUP($B82,'A1.3.9'!$B$26:$O$57,9,TRUE))) + IF(BA82="",0,(BA82*VLOOKUP($B82,'A1.3.9'!$B$26:$O$57,10,TRUE))))</f>
        <v>34.930536522733973</v>
      </c>
      <c r="BF82" s="691">
        <f>IF(AND(AX82="",BB82=""),"",IF(AX82="",0,(AX82*VLOOKUP($B82,'A1.3.9'!$B$26:$O$57,9,TRUE))) + IF(BB82="",0,(BB82*VLOOKUP($B82,'A1.3.9'!$B$26:$O$57,10,TRUE))))</f>
        <v>-0.23143318013624906</v>
      </c>
      <c r="BG82" s="2644">
        <f>IF(AND(AY82="",BC82=""),"",IF(AY82="",0,(AY82*VLOOKUP($B82,'A1.3.9'!$B$26:$O$57,9,TRUE))) + IF(BC82="",0,(BC82*VLOOKUP($B82,'A1.3.9'!$B$26:$O$57,10,TRUE))))</f>
        <v>1.3794379909948993E-3</v>
      </c>
      <c r="BH82" s="693">
        <f>IF('A1.3.8'!D$33="","",IF(OR(VLOOKUP($B82,'A1.3.11'!$B$26:$AM$105,BH$22,)="",VLOOKUP($B82,'A1.3.7'!$B$28:$H$118,4,)=""),"",VLOOKUP($B82,'A1.3.11'!$B$26:$AM$105,BH$22,)*(VLOOKUP($B82,'A1.3.7'!$B$28:$O$118,4,)+VLOOKUP($B82,'A1.3.7'!$B$28:$O$118,9,))))</f>
        <v>398.92373610948914</v>
      </c>
      <c r="BI82" s="691">
        <f>IF('A1.3.8'!E$33="","",IF(OR(VLOOKUP($B82,'A1.3.11'!$B$26:$AM$105,BI$22,)="",VLOOKUP($B82,'A1.3.7'!$B$28:$H$118,4,)=""),"",VLOOKUP($B82,'A1.3.11'!$B$26:$AM$105,BI$22,)*(VLOOKUP($B82,'A1.3.7'!$B$28:$O$118,4,)+VLOOKUP($B82,'A1.3.7'!$B$28:$O$118,9,))))</f>
        <v>35.052212275375915</v>
      </c>
      <c r="BJ82" s="691">
        <f>IF('A1.3.8'!F$33="","",IF(OR(VLOOKUP($B82,'A1.3.11'!$B$26:$AM$105,BJ$22,)="",VLOOKUP($B82,'A1.3.7'!$B$28:$H$118,4,)=""),"",VLOOKUP($B82,'A1.3.11'!$B$26:$AM$105,BJ$22,)*(VLOOKUP($B82,'A1.3.7'!$B$28:$O$118,4,)+VLOOKUP($B82,'A1.3.7'!$B$28:$O$118,9,))))</f>
        <v>-0.38098630565377012</v>
      </c>
      <c r="BK82" s="2644">
        <f>IF('A1.3.8'!G$33="","",IF(OR(VLOOKUP($B82,'A1.3.11'!$B$26:$AM$105,BK$22,)="",VLOOKUP($B82,'A1.3.7'!$B$28:$H$118,4,)=""),"",VLOOKUP($B82,'A1.3.11'!$B$26:$AM$105,BK$22,)*(VLOOKUP($B82,'A1.3.7'!$B$28:$O$118,4,)+VLOOKUP($B82,'A1.3.7'!$B$28:$O$118,9,))))</f>
        <v>2.7946902802532623E-3</v>
      </c>
      <c r="BL82" s="693" t="str">
        <f>IF('A1.3.8'!D$40="","",IF(OR(VLOOKUP($B82,'A1.3.11'!$B$26:$AM$105,BL$22,)="",VLOOKUP($B82,'A1.3.7'!$B$28:$H$118,6,)=""),"",VLOOKUP($B82,'A1.3.11'!$B$26:$AM$105,BL$22,)*VLOOKUP($B82,'A1.3.7'!$B$28:$O$118,6,)))</f>
        <v/>
      </c>
      <c r="BM82" s="691" t="str">
        <f>IF('A1.3.8'!E$40="","",IF(OR(VLOOKUP($B82,'A1.3.11'!$B$26:$AM$105,BM$22,)="",VLOOKUP($B82,'A1.3.7'!$B$28:$H$118,6,)=""),"",VLOOKUP($B82,'A1.3.11'!$B$26:$AM$105,BM$22,)*VLOOKUP($B82,'A1.3.7'!$B$28:$O$118,6,)))</f>
        <v/>
      </c>
      <c r="BN82" s="691" t="str">
        <f>IF('A1.3.8'!F$40="","",IF(OR(VLOOKUP($B82,'A1.3.11'!$B$26:$AM$105,BN$22,)="",VLOOKUP($B82,'A1.3.7'!$B$28:$H$118,6,)=""),"",VLOOKUP($B82,'A1.3.11'!$B$26:$AM$105,BN$22,)*VLOOKUP($B82,'A1.3.7'!$B$28:$O$118,6,)))</f>
        <v/>
      </c>
      <c r="BO82" s="1664" t="str">
        <f>IF('A1.3.8'!G$40="","",IF(OR(VLOOKUP($B82,'A1.3.11'!$B$26:$AM$105,BO$22,)="",VLOOKUP($B82,'A1.3.7'!$B$28:$H$118,6,)=""),"",VLOOKUP($B82,'A1.3.11'!$B$26:$AM$105,BO$22,)*VLOOKUP($B82,'A1.3.7'!$B$28:$O$118,6,)))</f>
        <v/>
      </c>
      <c r="BP82" s="693">
        <f>IF(AND(BH82="",BL82=""),"",IF(BH82="",0,(BH82*VLOOKUP($B82,'A1.3.9'!$B$26:$O$57,9,TRUE))) + IF(BL82="",0,(BL82*VLOOKUP($B82,'A1.3.9'!$B$26:$O$57,10,TRUE))))</f>
        <v>398.92373610948914</v>
      </c>
      <c r="BQ82" s="691">
        <f>IF(AND(BI82="",BM82=""),"",IF(BI82="",0,(BI82*VLOOKUP($B82,'A1.3.9'!$B$26:$O$57,9,TRUE))) + IF(BM82="",0,(BM82*VLOOKUP($B82,'A1.3.9'!$B$26:$O$57,10,TRUE))))</f>
        <v>35.052212275375915</v>
      </c>
      <c r="BR82" s="691">
        <f>IF(AND(BJ82="",BN82=""),"",IF(BJ82="",0,(BJ82*VLOOKUP($B82,'A1.3.9'!$B$26:$O$57,9,TRUE))) + IF(BN82="",0,(BN82*VLOOKUP($B82,'A1.3.9'!$B$26:$O$57,10,TRUE))))</f>
        <v>-0.38098630565377012</v>
      </c>
      <c r="BS82" s="2644">
        <f>IF(AND(BK82="",BO82=""),"",IF(BK82="",0,(BK82*VLOOKUP($B82,'A1.3.9'!$B$26:$O$57,9,TRUE))) + IF(BO82="",0,(BO82*VLOOKUP($B82,'A1.3.9'!$B$26:$O$57,10,TRUE))))</f>
        <v>2.7946902802532623E-3</v>
      </c>
    </row>
    <row r="83" spans="1:71" ht="13.5" customHeight="1">
      <c r="A83" s="113"/>
      <c r="B83" s="614">
        <f t="shared" si="0"/>
        <v>2066</v>
      </c>
      <c r="C83" s="147"/>
      <c r="D83" s="693">
        <f>IF('A1.3.8'!D$27="","",IF(OR(VLOOKUP($B83,'A1.3.11'!$B$26:$AM$105,D$22,)="",VLOOKUP($B83,'A1.3.7'!$B$28:$H$118,3,)=""),"",VLOOKUP($B83,'A1.3.11'!$B$26:$AM$105,D$22,)*(VLOOKUP($B83,'A1.3.7'!$B$28:$O$118,3,)+VLOOKUP($B83,'A1.3.7'!$B$28:$O$118,8,))))</f>
        <v>37.489392118999426</v>
      </c>
      <c r="E83" s="691">
        <f>IF('A1.3.8'!E$27="","",IF(OR(VLOOKUP($B83,'A1.3.11'!$B$26:$AM$105,E$22,)="",VLOOKUP($B83,'A1.3.7'!$B$28:$H$118,3,)=""),"",VLOOKUP($B83,'A1.3.11'!$B$26:$AM$105,E$22,)*(VLOOKUP($B83,'A1.3.7'!$B$28:$O$118,3,)+VLOOKUP($B83,'A1.3.7'!$B$28:$O$118,8,))))</f>
        <v>7.9671039372757564</v>
      </c>
      <c r="F83" s="691">
        <f>IF('A1.3.8'!F$27="","",IF(OR(VLOOKUP($B83,'A1.3.11'!$B$26:$AM$105,F$22,)="",VLOOKUP($B83,'A1.3.7'!$B$28:$H$118,3,)=""),"",VLOOKUP($B83,'A1.3.11'!$B$26:$AM$105,F$22,)*(VLOOKUP($B83,'A1.3.7'!$B$28:$O$118,3,)+VLOOKUP($B83,'A1.3.7'!$B$28:$O$118,8,))))</f>
        <v>-9.0754761920143201E-2</v>
      </c>
      <c r="G83" s="2644">
        <f>IF('A1.3.8'!G$27="","",IF(OR(VLOOKUP($B83,'A1.3.11'!$B$26:$AM$105,G$22,)="",VLOOKUP($B83,'A1.3.7'!$B$28:$H$118,3,)=""),"",VLOOKUP($B83,'A1.3.11'!$B$26:$AM$105,G$22,)*(VLOOKUP($B83,'A1.3.7'!$B$28:$O$118,3,)+VLOOKUP($B83,'A1.3.7'!$B$28:$O$118,8,))))</f>
        <v>6.0106148594589025E-4</v>
      </c>
      <c r="H83" s="693">
        <f>IF('A1.3.8'!D$28="","",IF(OR(VLOOKUP($B83,'A1.3.11'!$B$26:$AM$105,H$22,)="",VLOOKUP($B83,'A1.3.7'!$B$28:$H$118,4,)=""),"",VLOOKUP($B83,'A1.3.11'!$B$26:$AM$105,H$22,)*(VLOOKUP($B83,'A1.3.7'!$B$28:$O$118,4,)+VLOOKUP($B83,'A1.3.7'!$B$28:$O$118,9,))))</f>
        <v>46.169870765840969</v>
      </c>
      <c r="I83" s="691">
        <f>IF('A1.3.8'!E$28="","",IF(OR(VLOOKUP($B83,'A1.3.11'!$B$26:$AM$105,I$22,)="",VLOOKUP($B83,'A1.3.7'!$B$28:$H$118,4,)=""),"",VLOOKUP($B83,'A1.3.11'!$B$26:$AM$105,I$22,)*(VLOOKUP($B83,'A1.3.7'!$B$28:$O$118,4,)+VLOOKUP($B83,'A1.3.7'!$B$28:$O$118,9,))))</f>
        <v>6.6196176882156719</v>
      </c>
      <c r="J83" s="691">
        <f>IF('A1.3.8'!F$28="","",IF(OR(VLOOKUP($B83,'A1.3.11'!$B$26:$AM$105,J$22,)="",VLOOKUP($B83,'A1.3.7'!$B$28:$H$118,4,)=""),"",VLOOKUP($B83,'A1.3.11'!$B$26:$AM$105,J$22,)*(VLOOKUP($B83,'A1.3.7'!$B$28:$O$118,4,)+VLOOKUP($B83,'A1.3.7'!$B$28:$O$118,9,))))</f>
        <v>-6.3682566258189577E-2</v>
      </c>
      <c r="K83" s="2644">
        <f>IF('A1.3.8'!G$28="","",IF(OR(VLOOKUP($B83,'A1.3.11'!$B$26:$AM$105,K$22,)="",VLOOKUP($B83,'A1.3.7'!$B$28:$H$118,4,)=""),"",VLOOKUP($B83,'A1.3.11'!$B$26:$AM$105,K$22,)*(VLOOKUP($B83,'A1.3.7'!$B$28:$O$118,4,)+VLOOKUP($B83,'A1.3.7'!$B$28:$O$118,9,))))</f>
        <v>5.0182181711655872E-4</v>
      </c>
      <c r="L83" s="693" t="str">
        <f>IF('A1.3.8'!D$36="","",IF(OR(VLOOKUP($B83,'A1.3.11'!$B$26:$AM$105,L$22,)="",VLOOKUP($B83,'A1.3.7'!$B$28:$H$118,6,)=""),"",VLOOKUP($B83,'A1.3.11'!$B$26:$AM$105,L$22,)*VLOOKUP($B83,'A1.3.7'!$B$28:$O$118,6,)))</f>
        <v/>
      </c>
      <c r="M83" s="691">
        <f>IF('A1.3.8'!E$36="","",IF(OR(VLOOKUP($B83,'A1.3.11'!$B$26:$AM$105,M$22,)="",VLOOKUP($B83,'A1.3.7'!$B$28:$H$118,6,)=""),"",VLOOKUP($B83,'A1.3.11'!$B$26:$AM$105,M$22,)*VLOOKUP($B83,'A1.3.7'!$B$28:$O$118,6,)))</f>
        <v>1.9637608285706969</v>
      </c>
      <c r="N83" s="691" t="str">
        <f>IF('A1.3.8'!F$36="","",IF(OR(VLOOKUP($B83,'A1.3.11'!$B$26:$AM$105,N$22,)="",VLOOKUP($B83,'A1.3.7'!$B$28:$H$118,6,)=""),"",VLOOKUP($B83,'A1.3.11'!$B$26:$AM$105,N$22,)*VLOOKUP($B83,'A1.3.7'!$B$28:$O$118,6,)))</f>
        <v/>
      </c>
      <c r="O83" s="1664" t="str">
        <f>IF('A1.3.8'!G$36="","",IF(OR(VLOOKUP($B83,'A1.3.11'!$B$26:$AM$105,O$22,)="",VLOOKUP($B83,'A1.3.7'!$B$28:$H$118,6,)=""),"",VLOOKUP($B83,'A1.3.11'!$B$26:$AM$105,O$22,)*VLOOKUP($B83,'A1.3.7'!$B$28:$O$118,6,)))</f>
        <v/>
      </c>
      <c r="P83" s="693">
        <f>IF(AND(D83="",H83="",L83=""),"",IF(D83="",0,(D83*VLOOKUP($B83,'A1.3.9'!$B$26:$O$57,3,TRUE)))+IF(H83="",0,(H83*VLOOKUP($B83,'A1.3.9'!$B$26:$O$57,4,TRUE)))+IF(L83="",0,(L83*VLOOKUP($B83,'A1.3.9'!$B$26:$O$57,5,TRUE))))</f>
        <v>31.079185109575256</v>
      </c>
      <c r="Q83" s="691">
        <f>IF(AND(E83="",I83="",M83=""),"",IF(E83="",0,(E83*VLOOKUP($B83,'A1.3.9'!$B$26:$O$57,3,TRUE)))+IF(I83="",0,(I83*VLOOKUP($B83,'A1.3.9'!$B$26:$O$57,4,TRUE)))+IF(M83="",0,(M83*VLOOKUP($B83,'A1.3.9'!$B$26:$O$57,5,TRUE))))</f>
        <v>6.0958845915074829</v>
      </c>
      <c r="R83" s="691">
        <f>IF(AND(F83="",J83="",N83=""),"",IF(F83="",0,(F83*VLOOKUP($B83,'A1.3.9'!$B$26:$O$57,3,TRUE)))+IF(J83="",0,(J83*VLOOKUP($B83,'A1.3.9'!$B$26:$O$57,4,TRUE)))+IF(N83="",0,(N83*VLOOKUP($B83,'A1.3.9'!$B$26:$O$57,5,TRUE))))</f>
        <v>-6.0398876089752397E-2</v>
      </c>
      <c r="S83" s="2644">
        <f>IF(AND(G83="",K83="",O83=""),"",IF(G83="",0,(G83*VLOOKUP($B83,'A1.3.9'!$B$26:$O$57,3,TRUE)))+IF(K83="",0,(K83*VLOOKUP($B83,'A1.3.9'!$B$26:$O$57,4,TRUE)))+IF(O83="",0,(O83*VLOOKUP($B83,'A1.3.9'!$B$26:$O$57,5,TRUE))))</f>
        <v>4.2472031897086796E-4</v>
      </c>
      <c r="T83" s="693">
        <f>IF('A1.3.8'!D$29="","",IF(OR(VLOOKUP($B83,'A1.3.11'!$B$26:$AM$105,T$22,)="",VLOOKUP($B83,'A1.3.7'!$B$28:$H$118,3,)=""),"",VLOOKUP($B83,'A1.3.11'!$B$26:$AM$105,T$22,)*(VLOOKUP($B83,'A1.3.7'!$B$28:$O$118,3,)+VLOOKUP($B83,'A1.3.7'!$B$28:$O$118,8,))))</f>
        <v>26.96735951045747</v>
      </c>
      <c r="U83" s="691">
        <f>IF('A1.3.8'!E$29="","",IF(OR(VLOOKUP($B83,'A1.3.11'!$B$26:$AM$105,U$22,)="",VLOOKUP($B83,'A1.3.7'!$B$28:$H$118,3,)=""),"",VLOOKUP($B83,'A1.3.11'!$B$26:$AM$105,U$22,)*(VLOOKUP($B83,'A1.3.7'!$B$28:$O$118,3,)+VLOOKUP($B83,'A1.3.7'!$B$28:$O$118,8,))))</f>
        <v>15.121734169739364</v>
      </c>
      <c r="V83" s="691">
        <f>IF('A1.3.8'!F$29="","",IF(OR(VLOOKUP($B83,'A1.3.11'!$B$26:$AM$105,V$22,)="",VLOOKUP($B83,'A1.3.7'!$B$28:$H$118,3,)=""),"",VLOOKUP($B83,'A1.3.11'!$B$26:$AM$105,V$22,)*(VLOOKUP($B83,'A1.3.7'!$B$28:$O$118,3,)+VLOOKUP($B83,'A1.3.7'!$B$28:$O$118,8,))))</f>
        <v>-0.23736159096686996</v>
      </c>
      <c r="W83" s="2644">
        <f>IF('A1.3.8'!G$29="","",IF(OR(VLOOKUP($B83,'A1.3.11'!$B$26:$AM$105,W$22,)="",VLOOKUP($B83,'A1.3.7'!$B$28:$H$118,3,)=""),"",VLOOKUP($B83,'A1.3.11'!$B$26:$AM$105,W$22,)*(VLOOKUP($B83,'A1.3.7'!$B$28:$O$118,3,)+VLOOKUP($B83,'A1.3.7'!$B$28:$O$118,8,))))</f>
        <v>1.5328900252223902E-3</v>
      </c>
      <c r="X83" s="693">
        <f>IF('A1.3.8'!D$30="","",IF(OR(VLOOKUP($B83,'A1.3.11'!$B$26:$AM$105,X$22,)="",VLOOKUP($B83,'A1.3.7'!$B$28:$H$118,4,)=""),"",VLOOKUP($B83,'A1.3.11'!$B$26:$AM$105,X$22,)*(VLOOKUP($B83,'A1.3.7'!$B$28:$O$118,4,)+VLOOKUP($B83,'A1.3.7'!$B$28:$O$118,9,))))</f>
        <v>47.550487606475478</v>
      </c>
      <c r="Y83" s="691">
        <f>IF('A1.3.8'!E$30="","",IF(OR(VLOOKUP($B83,'A1.3.11'!$B$26:$AM$105,Y$22,)="",VLOOKUP($B83,'A1.3.7'!$B$28:$H$118,4,)=""),"",VLOOKUP($B83,'A1.3.11'!$B$26:$AM$105,Y$22,)*(VLOOKUP($B83,'A1.3.7'!$B$28:$O$118,4,)+VLOOKUP($B83,'A1.3.7'!$B$28:$O$118,9,))))</f>
        <v>11.621532955033386</v>
      </c>
      <c r="Z83" s="691">
        <f>IF('A1.3.8'!F$30="","",IF(OR(VLOOKUP($B83,'A1.3.11'!$B$26:$AM$105,Z$22,)="",VLOOKUP($B83,'A1.3.7'!$B$28:$H$118,4,)=""),"",VLOOKUP($B83,'A1.3.11'!$B$26:$AM$105,Z$22,)*(VLOOKUP($B83,'A1.3.7'!$B$28:$O$118,4,)+VLOOKUP($B83,'A1.3.7'!$B$28:$O$118,9,))))</f>
        <v>-0.1676617343499541</v>
      </c>
      <c r="AA83" s="2644">
        <f>IF('A1.3.8'!G$30="","",IF(OR(VLOOKUP($B83,'A1.3.11'!$B$26:$AM$105,AA$22,)="",VLOOKUP($B83,'A1.3.7'!$B$28:$H$118,4,)=""),"",VLOOKUP($B83,'A1.3.11'!$B$26:$AM$105,AA$22,)*(VLOOKUP($B83,'A1.3.7'!$B$28:$O$118,4,)+VLOOKUP($B83,'A1.3.7'!$B$28:$O$118,9,))))</f>
        <v>1.4194300888928466E-3</v>
      </c>
      <c r="AB83" s="693" t="str">
        <f>IF('A1.3.8'!D$37="","",IF(OR(VLOOKUP($B83,'A1.3.11'!$B$26:$AM$105,AB$22,)="",VLOOKUP($B83,'A1.3.7'!$B$28:$H$118,6,)=""),"",VLOOKUP($B83,'A1.3.11'!$B$26:$AM$105,AB$22,)*VLOOKUP($B83,'A1.3.7'!$B$28:$O$118,6,)))</f>
        <v/>
      </c>
      <c r="AC83" s="691">
        <f>IF('A1.3.8'!E$37="","",IF(OR(VLOOKUP($B83,'A1.3.11'!$B$26:$AM$105,AC$22,)="",VLOOKUP($B83,'A1.3.7'!$B$28:$H$118,6,)=""),"",VLOOKUP($B83,'A1.3.11'!$B$26:$AM$105,AC$22,)*VLOOKUP($B83,'A1.3.7'!$B$28:$O$118,6,)))</f>
        <v>4.5145632825273854</v>
      </c>
      <c r="AD83" s="691" t="str">
        <f>IF('A1.3.8'!F$37="","",IF(OR(VLOOKUP($B83,'A1.3.11'!$B$26:$AM$105,AD$22,)="",VLOOKUP($B83,'A1.3.7'!$B$28:$H$118,6,)=""),"",VLOOKUP($B83,'A1.3.11'!$B$26:$AM$105,AD$22,)*VLOOKUP($B83,'A1.3.7'!$B$28:$O$118,6,)))</f>
        <v/>
      </c>
      <c r="AE83" s="1664" t="str">
        <f>IF('A1.3.8'!G$37="","",IF(OR(VLOOKUP($B83,'A1.3.11'!$B$26:$AM$105,AE$22,)="",VLOOKUP($B83,'A1.3.7'!$B$28:$H$118,6,)=""),"",VLOOKUP($B83,'A1.3.11'!$B$26:$AM$105,AE$22,)*VLOOKUP($B83,'A1.3.7'!$B$28:$O$118,6,)))</f>
        <v/>
      </c>
      <c r="AF83" s="693">
        <f>IF(AND(T83="",X83="",AB83=""),"",IF(T83="",0,(T83*VLOOKUP('A1.3.12'!$B83,'A1.3.9'!$B$26:$O$57,6,TRUE))) + IF(X83="",0,(X83*VLOOKUP('A1.3.12'!$B83,'A1.3.9'!$B$26:$O$57,7,TRUE))) + IF(AB83="",0,(AB83*VLOOKUP('A1.3.12'!$B83,'A1.3.9'!$B$26:$O$57,8,TRUE))))</f>
        <v>42.191405617489551</v>
      </c>
      <c r="AG83" s="691">
        <f>IF(AND(U83="",Y83="",AC83=""),"",IF(U83="",0,(U83*VLOOKUP('A1.3.12'!$B83,'A1.3.9'!$B$26:$O$57,6,TRUE))) + IF(Y83="",0,(Y83*VLOOKUP('A1.3.12'!$B83,'A1.3.9'!$B$26:$O$57,7,TRUE))) + IF(AC83="",0,(AC83*VLOOKUP('A1.3.12'!$B83,'A1.3.9'!$B$26:$O$57,8,TRUE))))</f>
        <v>10.870415769658825</v>
      </c>
      <c r="AH83" s="691">
        <f>IF(AND(V83="",Z83="",AD83=""),"",IF(V83="",0,(V83*VLOOKUP('A1.3.12'!$B83,'A1.3.9'!$B$26:$O$57,6,TRUE))) + IF(Z83="",0,(Z83*VLOOKUP('A1.3.12'!$B83,'A1.3.9'!$B$26:$O$57,7,TRUE))) + IF(AD83="",0,(AD83*VLOOKUP('A1.3.12'!$B83,'A1.3.9'!$B$26:$O$57,8,TRUE))))</f>
        <v>-0.14984439822265191</v>
      </c>
      <c r="AI83" s="2644">
        <f>IF(AND(W83="",AA83="",AE83=""),"",IF(W83="",0,(W83*VLOOKUP('A1.3.12'!$B83,'A1.3.9'!$B$26:$O$57,6,TRUE))) + IF(AA83="",0,(AA83*VLOOKUP('A1.3.12'!$B83,'A1.3.9'!$B$26:$O$57,7,TRUE))) + IF(AE83="",0,(AE83*VLOOKUP('A1.3.12'!$B83,'A1.3.9'!$B$26:$O$57,8,TRUE))))</f>
        <v>1.2649744574741431E-3</v>
      </c>
      <c r="AJ83" s="693">
        <f>IF('A1.3.8'!D$31="","",IF(OR(VLOOKUP($B83,'A1.3.11'!$B$26:$AM$105,AJ$22,)="",VLOOKUP($B83,'A1.3.7'!$B$28:$H$118,4,)=""),"",VLOOKUP($B83,'A1.3.11'!$B$26:$AM$105,AJ$22,)*(VLOOKUP($B83,'A1.3.7'!$B$28:$O$118,4,)+VLOOKUP($B83,'A1.3.7'!$B$28:$O$118,9,))))</f>
        <v>321.43952698913358</v>
      </c>
      <c r="AK83" s="691">
        <f>IF('A1.3.8'!E$31="","",IF(OR(VLOOKUP($B83,'A1.3.11'!$B$26:$AM$105,AK$22,)="",VLOOKUP($B83,'A1.3.7'!$B$28:$H$118,4,)=""),"",VLOOKUP($B83,'A1.3.11'!$B$26:$AM$105,AK$22,)*(VLOOKUP($B83,'A1.3.7'!$B$28:$O$118,4,)+VLOOKUP($B83,'A1.3.7'!$B$28:$O$118,9,))))</f>
        <v>17.054682968790818</v>
      </c>
      <c r="AL83" s="691">
        <f>IF('A1.3.8'!F$31="","",IF(OR(VLOOKUP($B83,'A1.3.11'!$B$26:$AM$105,AL$22,)="",VLOOKUP($B83,'A1.3.7'!$B$28:$H$118,4,)=""),"",VLOOKUP($B83,'A1.3.11'!$B$26:$AM$105,AL$22,)*(VLOOKUP($B83,'A1.3.7'!$B$28:$O$118,4,)+VLOOKUP($B83,'A1.3.7'!$B$28:$O$118,9,))))</f>
        <v>-0.12327135678295478</v>
      </c>
      <c r="AM83" s="2644">
        <f>IF('A1.3.8'!G$31="","",IF(OR(VLOOKUP($B83,'A1.3.11'!$B$26:$AM$105,AM$22,)="",VLOOKUP($B83,'A1.3.7'!$B$28:$H$118,4,)=""),"",VLOOKUP($B83,'A1.3.11'!$B$26:$AM$105,AM$22,)*(VLOOKUP($B83,'A1.3.7'!$B$28:$O$118,4,)+VLOOKUP($B83,'A1.3.7'!$B$28:$O$118,9,))))</f>
        <v>1.3463210053970842E-3</v>
      </c>
      <c r="AN83" s="693" t="str">
        <f>IF('A1.3.8'!D$38="","",IF(OR(VLOOKUP($B83,'A1.3.11'!$B$26:$AM$105,AN$22,)="",VLOOKUP($B83,'A1.3.7'!$B$28:$H$118,6,)=""),"",VLOOKUP($B83,'A1.3.11'!$B$26:$AM$105,AN$22,)*VLOOKUP($B83,'A1.3.7'!$B$28:$O$118,6,)))</f>
        <v/>
      </c>
      <c r="AO83" s="691" t="str">
        <f>IF('A1.3.8'!E$38="","",IF(OR(VLOOKUP($B83,'A1.3.11'!$B$26:$AM$105,AO$22,)="",VLOOKUP($B83,'A1.3.7'!$B$28:$H$118,6,)=""),"",VLOOKUP($B83,'A1.3.11'!$B$26:$AM$105,AO$22,)*VLOOKUP($B83,'A1.3.7'!$B$28:$O$118,6,)))</f>
        <v/>
      </c>
      <c r="AP83" s="691" t="str">
        <f>IF('A1.3.8'!F$38="","",IF(OR(VLOOKUP($B83,'A1.3.11'!$B$26:$AM$105,AP$22,)="",VLOOKUP($B83,'A1.3.7'!$B$28:$H$118,6,)=""),"",VLOOKUP($B83,'A1.3.11'!$B$26:$AM$105,AP$22,)*VLOOKUP($B83,'A1.3.7'!$B$28:$O$118,6,)))</f>
        <v/>
      </c>
      <c r="AQ83" s="1664" t="str">
        <f>IF('A1.3.8'!G$38="","",IF(OR(VLOOKUP($B83,'A1.3.11'!$B$26:$AM$105,AQ$22,)="",VLOOKUP($B83,'A1.3.7'!$B$28:$H$118,6,)=""),"",VLOOKUP($B83,'A1.3.11'!$B$26:$AM$105,AQ$22,)*VLOOKUP($B83,'A1.3.7'!$B$28:$O$118,6,)))</f>
        <v/>
      </c>
      <c r="AR83" s="693">
        <f>IF(AND(AJ83="",AN83=""),"",IF(AJ83="",0,(AJ83*VLOOKUP($B83,'A1.3.9'!$B$26:$O$57,9,TRUE))) + IF(AN83="",0,(AN83*VLOOKUP($B83,'A1.3.9'!$B$26:$O$57,10,TRUE))))</f>
        <v>321.43952698913358</v>
      </c>
      <c r="AS83" s="691">
        <f>IF(AND(AK83="",AO83=""),"",IF(AK83="",0,(AK83*VLOOKUP($B83,'A1.3.9'!$B$26:$O$57,9,TRUE))) + IF(AO83="",0,(AO83*VLOOKUP($B83,'A1.3.9'!$B$26:$O$57,10,TRUE))))</f>
        <v>17.054682968790818</v>
      </c>
      <c r="AT83" s="691">
        <f>IF(AND(AL83="",AP83=""),"",IF(AL83="",0,(AL83*VLOOKUP($B83,'A1.3.9'!$B$26:$O$57,9,TRUE))) + IF(AP83="",0,(AP83*VLOOKUP($B83,'A1.3.9'!$B$26:$O$57,10,TRUE))))</f>
        <v>-0.12327135678295478</v>
      </c>
      <c r="AU83" s="2644">
        <f>IF(AND(AM83="",AQ83=""),"",IF(AM83="",0,(AM83*VLOOKUP($B83,'A1.3.9'!$B$26:$O$57,9,TRUE))) + IF(AQ83="",0,(AQ83*VLOOKUP($B83,'A1.3.9'!$B$26:$O$57,10,TRUE))))</f>
        <v>1.3463210053970842E-3</v>
      </c>
      <c r="AV83" s="693">
        <f>IF('A1.3.8'!D$32="","",IF(OR(VLOOKUP($B83,'A1.3.11'!$B$26:$AM$105,AV$22,)="",VLOOKUP($B83,'A1.3.7'!$B$28:$H$118,4,)=""),"",VLOOKUP($B83,'A1.3.11'!$B$26:$AM$105,AV$22,)*(VLOOKUP($B83,'A1.3.7'!$B$28:$O$118,4,)+VLOOKUP($B83,'A1.3.7'!$B$28:$O$118,9,))))</f>
        <v>675.428205867923</v>
      </c>
      <c r="AW83" s="691">
        <f>IF('A1.3.8'!E$32="","",IF(OR(VLOOKUP($B83,'A1.3.11'!$B$26:$AM$105,AW$22,)="",VLOOKUP($B83,'A1.3.7'!$B$28:$H$118,4,)=""),"",VLOOKUP($B83,'A1.3.11'!$B$26:$AM$105,AW$22,)*(VLOOKUP($B83,'A1.3.7'!$B$28:$O$118,4,)+VLOOKUP($B83,'A1.3.7'!$B$28:$O$118,9,))))</f>
        <v>35.07618352306897</v>
      </c>
      <c r="AX83" s="691">
        <f>IF('A1.3.8'!F$32="","",IF(OR(VLOOKUP($B83,'A1.3.11'!$B$26:$AM$105,AX$22,)="",VLOOKUP($B83,'A1.3.7'!$B$28:$H$118,4,)=""),"",VLOOKUP($B83,'A1.3.11'!$B$26:$AM$105,AX$22,)*(VLOOKUP($B83,'A1.3.7'!$B$28:$O$118,4,)+VLOOKUP($B83,'A1.3.7'!$B$28:$O$118,9,))))</f>
        <v>-0.23239816813300931</v>
      </c>
      <c r="AY83" s="2644">
        <f>IF('A1.3.8'!G$32="","",IF(OR(VLOOKUP($B83,'A1.3.11'!$B$26:$AM$105,AY$22,)="",VLOOKUP($B83,'A1.3.7'!$B$28:$H$118,4,)=""),"",VLOOKUP($B83,'A1.3.11'!$B$26:$AM$105,AY$22,)*(VLOOKUP($B83,'A1.3.7'!$B$28:$O$118,4,)+VLOOKUP($B83,'A1.3.7'!$B$28:$O$118,9,))))</f>
        <v>1.3851897207287321E-3</v>
      </c>
      <c r="AZ83" s="693" t="str">
        <f>IF('A1.3.8'!D$39="","",IF(OR(VLOOKUP($B83,'A1.3.11'!$B$26:$AM$105,AZ$22,)="",VLOOKUP($B83,'A1.3.7'!$B$28:$H$118,6,)=""),"",VLOOKUP($B83,'A1.3.11'!$B$26:$AM$105,AZ$22,)*VLOOKUP($B83,'A1.3.7'!$B$28:$O$118,6,)))</f>
        <v/>
      </c>
      <c r="BA83" s="691" t="str">
        <f>IF('A1.3.8'!E$39="","",IF(OR(VLOOKUP($B83,'A1.3.11'!$B$26:$AM$105,BA$22,)="",VLOOKUP($B83,'A1.3.7'!$B$28:$H$118,6,)=""),"",VLOOKUP($B83,'A1.3.11'!$B$26:$AM$105,BA$22,)*VLOOKUP($B83,'A1.3.7'!$B$28:$O$118,6,)))</f>
        <v/>
      </c>
      <c r="BB83" s="691" t="str">
        <f>IF('A1.3.8'!F$39="","",IF(OR(VLOOKUP($B83,'A1.3.11'!$B$26:$AM$105,BB$22,)="",VLOOKUP($B83,'A1.3.7'!$B$28:$H$118,6,)=""),"",VLOOKUP($B83,'A1.3.11'!$B$26:$AM$105,BB$22,)*VLOOKUP($B83,'A1.3.7'!$B$28:$O$118,6,)))</f>
        <v/>
      </c>
      <c r="BC83" s="1664" t="str">
        <f>IF('A1.3.8'!G$39="","",IF(OR(VLOOKUP($B83,'A1.3.11'!$B$26:$AM$105,BC$22,)="",VLOOKUP($B83,'A1.3.7'!$B$28:$H$118,6,)=""),"",VLOOKUP($B83,'A1.3.11'!$B$26:$AM$105,BC$22,)*VLOOKUP($B83,'A1.3.7'!$B$28:$O$118,6,)))</f>
        <v/>
      </c>
      <c r="BD83" s="693">
        <f>IF(AND(AV83="",AZ83=""),"",IF(AV83="",0,(AV83*VLOOKUP($B83,'A1.3.9'!$B$26:$O$57,9,TRUE))) + IF(AZ83="",0,(AZ83*VLOOKUP($B83,'A1.3.9'!$B$26:$O$57,10,TRUE))))</f>
        <v>675.428205867923</v>
      </c>
      <c r="BE83" s="691">
        <f>IF(AND(AW83="",BA83=""),"",IF(AW83="",0,(AW83*VLOOKUP($B83,'A1.3.9'!$B$26:$O$57,9,TRUE))) + IF(BA83="",0,(BA83*VLOOKUP($B83,'A1.3.9'!$B$26:$O$57,10,TRUE))))</f>
        <v>35.07618352306897</v>
      </c>
      <c r="BF83" s="691">
        <f>IF(AND(AX83="",BB83=""),"",IF(AX83="",0,(AX83*VLOOKUP($B83,'A1.3.9'!$B$26:$O$57,9,TRUE))) + IF(BB83="",0,(BB83*VLOOKUP($B83,'A1.3.9'!$B$26:$O$57,10,TRUE))))</f>
        <v>-0.23239816813300931</v>
      </c>
      <c r="BG83" s="2644">
        <f>IF(AND(AY83="",BC83=""),"",IF(AY83="",0,(AY83*VLOOKUP($B83,'A1.3.9'!$B$26:$O$57,9,TRUE))) + IF(BC83="",0,(BC83*VLOOKUP($B83,'A1.3.9'!$B$26:$O$57,10,TRUE))))</f>
        <v>1.3851897207287321E-3</v>
      </c>
      <c r="BH83" s="693">
        <f>IF('A1.3.8'!D$33="","",IF(OR(VLOOKUP($B83,'A1.3.11'!$B$26:$AM$105,BH$22,)="",VLOOKUP($B83,'A1.3.7'!$B$28:$H$118,4,)=""),"",VLOOKUP($B83,'A1.3.11'!$B$26:$AM$105,BH$22,)*(VLOOKUP($B83,'A1.3.7'!$B$28:$O$118,4,)+VLOOKUP($B83,'A1.3.7'!$B$28:$O$118,9,))))</f>
        <v>400.58709577443341</v>
      </c>
      <c r="BI83" s="691">
        <f>IF('A1.3.8'!E$33="","",IF(OR(VLOOKUP($B83,'A1.3.11'!$B$26:$AM$105,BI$22,)="",VLOOKUP($B83,'A1.3.7'!$B$28:$H$118,4,)=""),"",VLOOKUP($B83,'A1.3.11'!$B$26:$AM$105,BI$22,)*(VLOOKUP($B83,'A1.3.7'!$B$28:$O$118,4,)+VLOOKUP($B83,'A1.3.7'!$B$28:$O$118,9,))))</f>
        <v>35.198366617141936</v>
      </c>
      <c r="BJ83" s="691">
        <f>IF('A1.3.8'!F$33="","",IF(OR(VLOOKUP($B83,'A1.3.11'!$B$26:$AM$105,BJ$22,)="",VLOOKUP($B83,'A1.3.7'!$B$28:$H$118,4,)=""),"",VLOOKUP($B83,'A1.3.11'!$B$26:$AM$105,BJ$22,)*(VLOOKUP($B83,'A1.3.7'!$B$28:$O$118,4,)+VLOOKUP($B83,'A1.3.7'!$B$28:$O$118,9,))))</f>
        <v>-0.38257487308247451</v>
      </c>
      <c r="BK83" s="2644">
        <f>IF('A1.3.8'!G$33="","",IF(OR(VLOOKUP($B83,'A1.3.11'!$B$26:$AM$105,BK$22,)="",VLOOKUP($B83,'A1.3.7'!$B$28:$H$118,4,)=""),"",VLOOKUP($B83,'A1.3.11'!$B$26:$AM$105,BK$22,)*(VLOOKUP($B83,'A1.3.7'!$B$28:$O$118,4,)+VLOOKUP($B83,'A1.3.7'!$B$28:$O$118,9,))))</f>
        <v>2.8063430716702893E-3</v>
      </c>
      <c r="BL83" s="693" t="str">
        <f>IF('A1.3.8'!D$40="","",IF(OR(VLOOKUP($B83,'A1.3.11'!$B$26:$AM$105,BL$22,)="",VLOOKUP($B83,'A1.3.7'!$B$28:$H$118,6,)=""),"",VLOOKUP($B83,'A1.3.11'!$B$26:$AM$105,BL$22,)*VLOOKUP($B83,'A1.3.7'!$B$28:$O$118,6,)))</f>
        <v/>
      </c>
      <c r="BM83" s="691" t="str">
        <f>IF('A1.3.8'!E$40="","",IF(OR(VLOOKUP($B83,'A1.3.11'!$B$26:$AM$105,BM$22,)="",VLOOKUP($B83,'A1.3.7'!$B$28:$H$118,6,)=""),"",VLOOKUP($B83,'A1.3.11'!$B$26:$AM$105,BM$22,)*VLOOKUP($B83,'A1.3.7'!$B$28:$O$118,6,)))</f>
        <v/>
      </c>
      <c r="BN83" s="691" t="str">
        <f>IF('A1.3.8'!F$40="","",IF(OR(VLOOKUP($B83,'A1.3.11'!$B$26:$AM$105,BN$22,)="",VLOOKUP($B83,'A1.3.7'!$B$28:$H$118,6,)=""),"",VLOOKUP($B83,'A1.3.11'!$B$26:$AM$105,BN$22,)*VLOOKUP($B83,'A1.3.7'!$B$28:$O$118,6,)))</f>
        <v/>
      </c>
      <c r="BO83" s="1664" t="str">
        <f>IF('A1.3.8'!G$40="","",IF(OR(VLOOKUP($B83,'A1.3.11'!$B$26:$AM$105,BO$22,)="",VLOOKUP($B83,'A1.3.7'!$B$28:$H$118,6,)=""),"",VLOOKUP($B83,'A1.3.11'!$B$26:$AM$105,BO$22,)*VLOOKUP($B83,'A1.3.7'!$B$28:$O$118,6,)))</f>
        <v/>
      </c>
      <c r="BP83" s="693">
        <f>IF(AND(BH83="",BL83=""),"",IF(BH83="",0,(BH83*VLOOKUP($B83,'A1.3.9'!$B$26:$O$57,9,TRUE))) + IF(BL83="",0,(BL83*VLOOKUP($B83,'A1.3.9'!$B$26:$O$57,10,TRUE))))</f>
        <v>400.58709577443341</v>
      </c>
      <c r="BQ83" s="691">
        <f>IF(AND(BI83="",BM83=""),"",IF(BI83="",0,(BI83*VLOOKUP($B83,'A1.3.9'!$B$26:$O$57,9,TRUE))) + IF(BM83="",0,(BM83*VLOOKUP($B83,'A1.3.9'!$B$26:$O$57,10,TRUE))))</f>
        <v>35.198366617141936</v>
      </c>
      <c r="BR83" s="691">
        <f>IF(AND(BJ83="",BN83=""),"",IF(BJ83="",0,(BJ83*VLOOKUP($B83,'A1.3.9'!$B$26:$O$57,9,TRUE))) + IF(BN83="",0,(BN83*VLOOKUP($B83,'A1.3.9'!$B$26:$O$57,10,TRUE))))</f>
        <v>-0.38257487308247451</v>
      </c>
      <c r="BS83" s="2644">
        <f>IF(AND(BK83="",BO83=""),"",IF(BK83="",0,(BK83*VLOOKUP($B83,'A1.3.9'!$B$26:$O$57,9,TRUE))) + IF(BO83="",0,(BO83*VLOOKUP($B83,'A1.3.9'!$B$26:$O$57,10,TRUE))))</f>
        <v>2.8063430716702893E-3</v>
      </c>
    </row>
    <row r="84" spans="1:71" ht="13.5" customHeight="1">
      <c r="A84" s="113"/>
      <c r="B84" s="614">
        <f t="shared" si="0"/>
        <v>2067</v>
      </c>
      <c r="C84" s="147"/>
      <c r="D84" s="693">
        <f>IF('A1.3.8'!D$27="","",IF(OR(VLOOKUP($B84,'A1.3.11'!$B$26:$AM$105,D$22,)="",VLOOKUP($B84,'A1.3.7'!$B$28:$H$118,3,)=""),"",VLOOKUP($B84,'A1.3.11'!$B$26:$AM$105,D$22,)*(VLOOKUP($B84,'A1.3.7'!$B$28:$O$118,3,)+VLOOKUP($B84,'A1.3.7'!$B$28:$O$118,8,))))</f>
        <v>37.651511478001567</v>
      </c>
      <c r="E84" s="691">
        <f>IF('A1.3.8'!E$27="","",IF(OR(VLOOKUP($B84,'A1.3.11'!$B$26:$AM$105,E$22,)="",VLOOKUP($B84,'A1.3.7'!$B$28:$H$118,3,)=""),"",VLOOKUP($B84,'A1.3.11'!$B$26:$AM$105,E$22,)*(VLOOKUP($B84,'A1.3.7'!$B$28:$O$118,3,)+VLOOKUP($B84,'A1.3.7'!$B$28:$O$118,8,))))</f>
        <v>8.0015569307869541</v>
      </c>
      <c r="F84" s="691">
        <f>IF('A1.3.8'!F$27="","",IF(OR(VLOOKUP($B84,'A1.3.11'!$B$26:$AM$105,F$22,)="",VLOOKUP($B84,'A1.3.7'!$B$28:$H$118,3,)=""),"",VLOOKUP($B84,'A1.3.11'!$B$26:$AM$105,F$22,)*(VLOOKUP($B84,'A1.3.7'!$B$28:$O$118,3,)+VLOOKUP($B84,'A1.3.7'!$B$28:$O$118,8,))))</f>
        <v>-9.1147222373547818E-2</v>
      </c>
      <c r="G84" s="2644">
        <f>IF('A1.3.8'!G$27="","",IF(OR(VLOOKUP($B84,'A1.3.11'!$B$26:$AM$105,G$22,)="",VLOOKUP($B84,'A1.3.7'!$B$28:$H$118,3,)=""),"",VLOOKUP($B84,'A1.3.11'!$B$26:$AM$105,G$22,)*(VLOOKUP($B84,'A1.3.7'!$B$28:$O$118,3,)+VLOOKUP($B84,'A1.3.7'!$B$28:$O$118,8,))))</f>
        <v>6.0366071995088873E-4</v>
      </c>
      <c r="H84" s="693">
        <f>IF('A1.3.8'!D$28="","",IF(OR(VLOOKUP($B84,'A1.3.11'!$B$26:$AM$105,H$22,)="",VLOOKUP($B84,'A1.3.7'!$B$28:$H$118,4,)=""),"",VLOOKUP($B84,'A1.3.11'!$B$26:$AM$105,H$22,)*(VLOOKUP($B84,'A1.3.7'!$B$28:$O$118,4,)+VLOOKUP($B84,'A1.3.7'!$B$28:$O$118,9,))))</f>
        <v>46.362893943425455</v>
      </c>
      <c r="I84" s="691">
        <f>IF('A1.3.8'!E$28="","",IF(OR(VLOOKUP($B84,'A1.3.11'!$B$26:$AM$105,I$22,)="",VLOOKUP($B84,'A1.3.7'!$B$28:$H$118,4,)=""),"",VLOOKUP($B84,'A1.3.11'!$B$26:$AM$105,I$22,)*(VLOOKUP($B84,'A1.3.7'!$B$28:$O$118,4,)+VLOOKUP($B84,'A1.3.7'!$B$28:$O$118,9,))))</f>
        <v>6.6472924384235323</v>
      </c>
      <c r="J84" s="691">
        <f>IF('A1.3.8'!F$28="","",IF(OR(VLOOKUP($B84,'A1.3.11'!$B$26:$AM$105,J$22,)="",VLOOKUP($B84,'A1.3.7'!$B$28:$H$118,4,)=""),"",VLOOKUP($B84,'A1.3.11'!$B$26:$AM$105,J$22,)*(VLOOKUP($B84,'A1.3.7'!$B$28:$O$118,4,)+VLOOKUP($B84,'A1.3.7'!$B$28:$O$118,9,))))</f>
        <v>-6.3948805064839756E-2</v>
      </c>
      <c r="K84" s="2644">
        <f>IF('A1.3.8'!G$28="","",IF(OR(VLOOKUP($B84,'A1.3.11'!$B$26:$AM$105,K$22,)="",VLOOKUP($B84,'A1.3.7'!$B$28:$H$118,4,)=""),"",VLOOKUP($B84,'A1.3.11'!$B$26:$AM$105,K$22,)*(VLOOKUP($B84,'A1.3.7'!$B$28:$O$118,4,)+VLOOKUP($B84,'A1.3.7'!$B$28:$O$118,9,))))</f>
        <v>5.039197922703623E-4</v>
      </c>
      <c r="L84" s="693" t="str">
        <f>IF('A1.3.8'!D$36="","",IF(OR(VLOOKUP($B84,'A1.3.11'!$B$26:$AM$105,L$22,)="",VLOOKUP($B84,'A1.3.7'!$B$28:$H$118,6,)=""),"",VLOOKUP($B84,'A1.3.11'!$B$26:$AM$105,L$22,)*VLOOKUP($B84,'A1.3.7'!$B$28:$O$118,6,)))</f>
        <v/>
      </c>
      <c r="M84" s="691">
        <f>IF('A1.3.8'!E$36="","",IF(OR(VLOOKUP($B84,'A1.3.11'!$B$26:$AM$105,M$22,)="",VLOOKUP($B84,'A1.3.7'!$B$28:$H$118,6,)=""),"",VLOOKUP($B84,'A1.3.11'!$B$26:$AM$105,M$22,)*VLOOKUP($B84,'A1.3.7'!$B$28:$O$118,6,)))</f>
        <v>1.9637608285706969</v>
      </c>
      <c r="N84" s="691" t="str">
        <f>IF('A1.3.8'!F$36="","",IF(OR(VLOOKUP($B84,'A1.3.11'!$B$26:$AM$105,N$22,)="",VLOOKUP($B84,'A1.3.7'!$B$28:$H$118,6,)=""),"",VLOOKUP($B84,'A1.3.11'!$B$26:$AM$105,N$22,)*VLOOKUP($B84,'A1.3.7'!$B$28:$O$118,6,)))</f>
        <v/>
      </c>
      <c r="O84" s="1664" t="str">
        <f>IF('A1.3.8'!G$36="","",IF(OR(VLOOKUP($B84,'A1.3.11'!$B$26:$AM$105,O$22,)="",VLOOKUP($B84,'A1.3.7'!$B$28:$H$118,6,)=""),"",VLOOKUP($B84,'A1.3.11'!$B$26:$AM$105,O$22,)*VLOOKUP($B84,'A1.3.7'!$B$28:$O$118,6,)))</f>
        <v/>
      </c>
      <c r="P84" s="693">
        <f>IF(AND(D84="",H84="",L84=""),"",IF(D84="",0,(D84*VLOOKUP($B84,'A1.3.9'!$B$26:$O$57,3,TRUE)))+IF(H84="",0,(H84*VLOOKUP($B84,'A1.3.9'!$B$26:$O$57,4,TRUE)))+IF(L84="",0,(L84*VLOOKUP($B84,'A1.3.9'!$B$26:$O$57,5,TRUE))))</f>
        <v>31.211537034883257</v>
      </c>
      <c r="Q84" s="691">
        <f>IF(AND(E84="",I84="",M84=""),"",IF(E84="",0,(E84*VLOOKUP($B84,'A1.3.9'!$B$26:$O$57,3,TRUE)))+IF(I84="",0,(I84*VLOOKUP($B84,'A1.3.9'!$B$26:$O$57,4,TRUE)))+IF(M84="",0,(M84*VLOOKUP($B84,'A1.3.9'!$B$26:$O$57,5,TRUE))))</f>
        <v>6.119893383817347</v>
      </c>
      <c r="R84" s="691">
        <f>IF(AND(F84="",J84="",N84=""),"",IF(F84="",0,(F84*VLOOKUP($B84,'A1.3.9'!$B$26:$O$57,3,TRUE)))+IF(J84="",0,(J84*VLOOKUP($B84,'A1.3.9'!$B$26:$O$57,4,TRUE)))+IF(N84="",0,(N84*VLOOKUP($B84,'A1.3.9'!$B$26:$O$57,5,TRUE))))</f>
        <v>-6.0657241784321081E-2</v>
      </c>
      <c r="S84" s="2644">
        <f>IF(AND(G84="",K84="",O84=""),"",IF(G84="",0,(G84*VLOOKUP($B84,'A1.3.9'!$B$26:$O$57,3,TRUE)))+IF(K84="",0,(K84*VLOOKUP($B84,'A1.3.9'!$B$26:$O$57,4,TRUE)))+IF(O84="",0,(O84*VLOOKUP($B84,'A1.3.9'!$B$26:$O$57,5,TRUE))))</f>
        <v>4.265347322030276E-4</v>
      </c>
      <c r="T84" s="693">
        <f>IF('A1.3.8'!D$29="","",IF(OR(VLOOKUP($B84,'A1.3.11'!$B$26:$AM$105,T$22,)="",VLOOKUP($B84,'A1.3.7'!$B$28:$H$118,3,)=""),"",VLOOKUP($B84,'A1.3.11'!$B$26:$AM$105,T$22,)*(VLOOKUP($B84,'A1.3.7'!$B$28:$O$118,3,)+VLOOKUP($B84,'A1.3.7'!$B$28:$O$118,8,))))</f>
        <v>27.08397732661032</v>
      </c>
      <c r="U84" s="691">
        <f>IF('A1.3.8'!E$29="","",IF(OR(VLOOKUP($B84,'A1.3.11'!$B$26:$AM$105,U$22,)="",VLOOKUP($B84,'A1.3.7'!$B$28:$H$118,3,)=""),"",VLOOKUP($B84,'A1.3.11'!$B$26:$AM$105,U$22,)*(VLOOKUP($B84,'A1.3.7'!$B$28:$O$118,3,)+VLOOKUP($B84,'A1.3.7'!$B$28:$O$118,8,))))</f>
        <v>15.187126690450748</v>
      </c>
      <c r="V84" s="691">
        <f>IF('A1.3.8'!F$29="","",IF(OR(VLOOKUP($B84,'A1.3.11'!$B$26:$AM$105,V$22,)="",VLOOKUP($B84,'A1.3.7'!$B$28:$H$118,3,)=""),"",VLOOKUP($B84,'A1.3.11'!$B$26:$AM$105,V$22,)*(VLOOKUP($B84,'A1.3.7'!$B$28:$O$118,3,)+VLOOKUP($B84,'A1.3.7'!$B$28:$O$118,8,))))</f>
        <v>-0.23838803889798418</v>
      </c>
      <c r="W84" s="2644">
        <f>IF('A1.3.8'!G$29="","",IF(OR(VLOOKUP($B84,'A1.3.11'!$B$26:$AM$105,W$22,)="",VLOOKUP($B84,'A1.3.7'!$B$28:$H$118,3,)=""),"",VLOOKUP($B84,'A1.3.11'!$B$26:$AM$105,W$22,)*(VLOOKUP($B84,'A1.3.7'!$B$28:$O$118,3,)+VLOOKUP($B84,'A1.3.7'!$B$28:$O$118,8,))))</f>
        <v>1.5395188643222881E-3</v>
      </c>
      <c r="X84" s="693">
        <f>IF('A1.3.8'!D$30="","",IF(OR(VLOOKUP($B84,'A1.3.11'!$B$26:$AM$105,X$22,)="",VLOOKUP($B84,'A1.3.7'!$B$28:$H$118,4,)=""),"",VLOOKUP($B84,'A1.3.11'!$B$26:$AM$105,X$22,)*(VLOOKUP($B84,'A1.3.7'!$B$28:$O$118,4,)+VLOOKUP($B84,'A1.3.7'!$B$28:$O$118,9,))))</f>
        <v>47.749282752774306</v>
      </c>
      <c r="Y84" s="691">
        <f>IF('A1.3.8'!E$30="","",IF(OR(VLOOKUP($B84,'A1.3.11'!$B$26:$AM$105,Y$22,)="",VLOOKUP($B84,'A1.3.7'!$B$28:$H$118,4,)=""),"",VLOOKUP($B84,'A1.3.11'!$B$26:$AM$105,Y$22,)*(VLOOKUP($B84,'A1.3.7'!$B$28:$O$118,4,)+VLOOKUP($B84,'A1.3.7'!$B$28:$O$118,9,))))</f>
        <v>11.670119298944986</v>
      </c>
      <c r="Z84" s="691">
        <f>IF('A1.3.8'!F$30="","",IF(OR(VLOOKUP($B84,'A1.3.11'!$B$26:$AM$105,Z$22,)="",VLOOKUP($B84,'A1.3.7'!$B$28:$H$118,4,)=""),"",VLOOKUP($B84,'A1.3.11'!$B$26:$AM$105,Z$22,)*(VLOOKUP($B84,'A1.3.7'!$B$28:$O$118,4,)+VLOOKUP($B84,'A1.3.7'!$B$28:$O$118,9,))))</f>
        <v>-0.16836268066378909</v>
      </c>
      <c r="AA84" s="2644">
        <f>IF('A1.3.8'!G$30="","",IF(OR(VLOOKUP($B84,'A1.3.11'!$B$26:$AM$105,AA$22,)="",VLOOKUP($B84,'A1.3.7'!$B$28:$H$118,4,)=""),"",VLOOKUP($B84,'A1.3.11'!$B$26:$AM$105,AA$22,)*(VLOOKUP($B84,'A1.3.7'!$B$28:$O$118,4,)+VLOOKUP($B84,'A1.3.7'!$B$28:$O$118,9,))))</f>
        <v>1.4253643248257708E-3</v>
      </c>
      <c r="AB84" s="693" t="str">
        <f>IF('A1.3.8'!D$37="","",IF(OR(VLOOKUP($B84,'A1.3.11'!$B$26:$AM$105,AB$22,)="",VLOOKUP($B84,'A1.3.7'!$B$28:$H$118,6,)=""),"",VLOOKUP($B84,'A1.3.11'!$B$26:$AM$105,AB$22,)*VLOOKUP($B84,'A1.3.7'!$B$28:$O$118,6,)))</f>
        <v/>
      </c>
      <c r="AC84" s="691">
        <f>IF('A1.3.8'!E$37="","",IF(OR(VLOOKUP($B84,'A1.3.11'!$B$26:$AM$105,AC$22,)="",VLOOKUP($B84,'A1.3.7'!$B$28:$H$118,6,)=""),"",VLOOKUP($B84,'A1.3.11'!$B$26:$AM$105,AC$22,)*VLOOKUP($B84,'A1.3.7'!$B$28:$O$118,6,)))</f>
        <v>4.5145632825273854</v>
      </c>
      <c r="AD84" s="691" t="str">
        <f>IF('A1.3.8'!F$37="","",IF(OR(VLOOKUP($B84,'A1.3.11'!$B$26:$AM$105,AD$22,)="",VLOOKUP($B84,'A1.3.7'!$B$28:$H$118,6,)=""),"",VLOOKUP($B84,'A1.3.11'!$B$26:$AM$105,AD$22,)*VLOOKUP($B84,'A1.3.7'!$B$28:$O$118,6,)))</f>
        <v/>
      </c>
      <c r="AE84" s="1664" t="str">
        <f>IF('A1.3.8'!G$37="","",IF(OR(VLOOKUP($B84,'A1.3.11'!$B$26:$AM$105,AE$22,)="",VLOOKUP($B84,'A1.3.7'!$B$28:$H$118,6,)=""),"",VLOOKUP($B84,'A1.3.11'!$B$26:$AM$105,AE$22,)*VLOOKUP($B84,'A1.3.7'!$B$28:$O$118,6,)))</f>
        <v/>
      </c>
      <c r="AF84" s="693">
        <f>IF(AND(T84="",X84="",AB84=""),"",IF(T84="",0,(T84*VLOOKUP('A1.3.12'!$B84,'A1.3.9'!$B$26:$O$57,6,TRUE))) + IF(X84="",0,(X84*VLOOKUP('A1.3.12'!$B84,'A1.3.9'!$B$26:$O$57,7,TRUE))) + IF(AB84="",0,(AB84*VLOOKUP('A1.3.12'!$B84,'A1.3.9'!$B$26:$O$57,8,TRUE))))</f>
        <v>42.367825334102612</v>
      </c>
      <c r="AG84" s="691">
        <f>IF(AND(U84="",Y84="",AC84=""),"",IF(U84="",0,(U84*VLOOKUP('A1.3.12'!$B84,'A1.3.9'!$B$26:$O$57,6,TRUE))) + IF(Y84="",0,(Y84*VLOOKUP('A1.3.12'!$B84,'A1.3.9'!$B$26:$O$57,7,TRUE))) + IF(AC84="",0,(AC84*VLOOKUP('A1.3.12'!$B84,'A1.3.9'!$B$26:$O$57,8,TRUE))))</f>
        <v>10.913813148946225</v>
      </c>
      <c r="AH84" s="691">
        <f>IF(AND(V84="",Z84="",AD84=""),"",IF(V84="",0,(V84*VLOOKUP('A1.3.12'!$B84,'A1.3.9'!$B$26:$O$57,6,TRUE))) + IF(Z84="",0,(Z84*VLOOKUP('A1.3.12'!$B84,'A1.3.9'!$B$26:$O$57,7,TRUE))) + IF(AD84="",0,(AD84*VLOOKUP('A1.3.12'!$B84,'A1.3.9'!$B$26:$O$57,8,TRUE))))</f>
        <v>-0.15047111386283551</v>
      </c>
      <c r="AI84" s="2644">
        <f>IF(AND(W84="",AA84="",AE84=""),"",IF(W84="",0,(W84*VLOOKUP('A1.3.12'!$B84,'A1.3.9'!$B$26:$O$57,6,TRUE))) + IF(AA84="",0,(AA84*VLOOKUP('A1.3.12'!$B84,'A1.3.9'!$B$26:$O$57,7,TRUE))) + IF(AE84="",0,(AE84*VLOOKUP('A1.3.12'!$B84,'A1.3.9'!$B$26:$O$57,8,TRUE))))</f>
        <v>1.2702646279425314E-3</v>
      </c>
      <c r="AJ84" s="693">
        <f>IF('A1.3.8'!D$31="","",IF(OR(VLOOKUP($B84,'A1.3.11'!$B$26:$AM$105,AJ$22,)="",VLOOKUP($B84,'A1.3.7'!$B$28:$H$118,4,)=""),"",VLOOKUP($B84,'A1.3.11'!$B$26:$AM$105,AJ$22,)*(VLOOKUP($B84,'A1.3.7'!$B$28:$O$118,4,)+VLOOKUP($B84,'A1.3.7'!$B$28:$O$118,9,))))</f>
        <v>322.78337478146051</v>
      </c>
      <c r="AK84" s="691">
        <f>IF('A1.3.8'!E$31="","",IF(OR(VLOOKUP($B84,'A1.3.11'!$B$26:$AM$105,AK$22,)="",VLOOKUP($B84,'A1.3.7'!$B$28:$H$118,4,)=""),"",VLOOKUP($B84,'A1.3.11'!$B$26:$AM$105,AK$22,)*(VLOOKUP($B84,'A1.3.7'!$B$28:$O$118,4,)+VLOOKUP($B84,'A1.3.7'!$B$28:$O$118,9,))))</f>
        <v>17.125983776974312</v>
      </c>
      <c r="AL84" s="691">
        <f>IF('A1.3.8'!F$31="","",IF(OR(VLOOKUP($B84,'A1.3.11'!$B$26:$AM$105,AL$22,)="",VLOOKUP($B84,'A1.3.7'!$B$28:$H$118,4,)=""),"",VLOOKUP($B84,'A1.3.11'!$B$26:$AM$105,AL$22,)*(VLOOKUP($B84,'A1.3.7'!$B$28:$O$118,4,)+VLOOKUP($B84,'A1.3.7'!$B$28:$O$118,9,))))</f>
        <v>-0.12378671947721211</v>
      </c>
      <c r="AM84" s="2644">
        <f>IF('A1.3.8'!G$31="","",IF(OR(VLOOKUP($B84,'A1.3.11'!$B$26:$AM$105,AM$22,)="",VLOOKUP($B84,'A1.3.7'!$B$28:$H$118,4,)=""),"",VLOOKUP($B84,'A1.3.11'!$B$26:$AM$105,AM$22,)*(VLOOKUP($B84,'A1.3.7'!$B$28:$O$118,4,)+VLOOKUP($B84,'A1.3.7'!$B$28:$O$118,9,))))</f>
        <v>1.3519495929196369E-3</v>
      </c>
      <c r="AN84" s="693" t="str">
        <f>IF('A1.3.8'!D$38="","",IF(OR(VLOOKUP($B84,'A1.3.11'!$B$26:$AM$105,AN$22,)="",VLOOKUP($B84,'A1.3.7'!$B$28:$H$118,6,)=""),"",VLOOKUP($B84,'A1.3.11'!$B$26:$AM$105,AN$22,)*VLOOKUP($B84,'A1.3.7'!$B$28:$O$118,6,)))</f>
        <v/>
      </c>
      <c r="AO84" s="691" t="str">
        <f>IF('A1.3.8'!E$38="","",IF(OR(VLOOKUP($B84,'A1.3.11'!$B$26:$AM$105,AO$22,)="",VLOOKUP($B84,'A1.3.7'!$B$28:$H$118,6,)=""),"",VLOOKUP($B84,'A1.3.11'!$B$26:$AM$105,AO$22,)*VLOOKUP($B84,'A1.3.7'!$B$28:$O$118,6,)))</f>
        <v/>
      </c>
      <c r="AP84" s="691" t="str">
        <f>IF('A1.3.8'!F$38="","",IF(OR(VLOOKUP($B84,'A1.3.11'!$B$26:$AM$105,AP$22,)="",VLOOKUP($B84,'A1.3.7'!$B$28:$H$118,6,)=""),"",VLOOKUP($B84,'A1.3.11'!$B$26:$AM$105,AP$22,)*VLOOKUP($B84,'A1.3.7'!$B$28:$O$118,6,)))</f>
        <v/>
      </c>
      <c r="AQ84" s="1664" t="str">
        <f>IF('A1.3.8'!G$38="","",IF(OR(VLOOKUP($B84,'A1.3.11'!$B$26:$AM$105,AQ$22,)="",VLOOKUP($B84,'A1.3.7'!$B$28:$H$118,6,)=""),"",VLOOKUP($B84,'A1.3.11'!$B$26:$AM$105,AQ$22,)*VLOOKUP($B84,'A1.3.7'!$B$28:$O$118,6,)))</f>
        <v/>
      </c>
      <c r="AR84" s="693">
        <f>IF(AND(AJ84="",AN84=""),"",IF(AJ84="",0,(AJ84*VLOOKUP($B84,'A1.3.9'!$B$26:$O$57,9,TRUE))) + IF(AN84="",0,(AN84*VLOOKUP($B84,'A1.3.9'!$B$26:$O$57,10,TRUE))))</f>
        <v>322.78337478146051</v>
      </c>
      <c r="AS84" s="691">
        <f>IF(AND(AK84="",AO84=""),"",IF(AK84="",0,(AK84*VLOOKUP($B84,'A1.3.9'!$B$26:$O$57,9,TRUE))) + IF(AO84="",0,(AO84*VLOOKUP($B84,'A1.3.9'!$B$26:$O$57,10,TRUE))))</f>
        <v>17.125983776974312</v>
      </c>
      <c r="AT84" s="691">
        <f>IF(AND(AL84="",AP84=""),"",IF(AL84="",0,(AL84*VLOOKUP($B84,'A1.3.9'!$B$26:$O$57,9,TRUE))) + IF(AP84="",0,(AP84*VLOOKUP($B84,'A1.3.9'!$B$26:$O$57,10,TRUE))))</f>
        <v>-0.12378671947721211</v>
      </c>
      <c r="AU84" s="2644">
        <f>IF(AND(AM84="",AQ84=""),"",IF(AM84="",0,(AM84*VLOOKUP($B84,'A1.3.9'!$B$26:$O$57,9,TRUE))) + IF(AQ84="",0,(AQ84*VLOOKUP($B84,'A1.3.9'!$B$26:$O$57,10,TRUE))))</f>
        <v>1.3519495929196369E-3</v>
      </c>
      <c r="AV84" s="693">
        <f>IF('A1.3.8'!D$32="","",IF(OR(VLOOKUP($B84,'A1.3.11'!$B$26:$AM$105,AV$22,)="",VLOOKUP($B84,'A1.3.7'!$B$28:$H$118,4,)=""),"",VLOOKUP($B84,'A1.3.11'!$B$26:$AM$105,AV$22,)*(VLOOKUP($B84,'A1.3.7'!$B$28:$O$118,4,)+VLOOKUP($B84,'A1.3.7'!$B$28:$O$118,9,))))</f>
        <v>678.25198025507734</v>
      </c>
      <c r="AW84" s="691">
        <f>IF('A1.3.8'!E$32="","",IF(OR(VLOOKUP($B84,'A1.3.11'!$B$26:$AM$105,AW$22,)="",VLOOKUP($B84,'A1.3.7'!$B$28:$H$118,4,)=""),"",VLOOKUP($B84,'A1.3.11'!$B$26:$AM$105,AW$22,)*(VLOOKUP($B84,'A1.3.7'!$B$28:$O$118,4,)+VLOOKUP($B84,'A1.3.7'!$B$28:$O$118,9,))))</f>
        <v>35.222827130444372</v>
      </c>
      <c r="AX84" s="691">
        <f>IF('A1.3.8'!F$32="","",IF(OR(VLOOKUP($B84,'A1.3.11'!$B$26:$AM$105,AX$22,)="",VLOOKUP($B84,'A1.3.7'!$B$28:$H$118,4,)=""),"",VLOOKUP($B84,'A1.3.11'!$B$26:$AM$105,AX$22,)*(VLOOKUP($B84,'A1.3.7'!$B$28:$O$118,4,)+VLOOKUP($B84,'A1.3.7'!$B$28:$O$118,9,))))</f>
        <v>-0.23336975917569067</v>
      </c>
      <c r="AY84" s="2644">
        <f>IF('A1.3.8'!G$32="","",IF(OR(VLOOKUP($B84,'A1.3.11'!$B$26:$AM$105,AY$22,)="",VLOOKUP($B84,'A1.3.7'!$B$28:$H$118,4,)=""),"",VLOOKUP($B84,'A1.3.11'!$B$26:$AM$105,AY$22,)*(VLOOKUP($B84,'A1.3.7'!$B$28:$O$118,4,)+VLOOKUP($B84,'A1.3.7'!$B$28:$O$118,9,))))</f>
        <v>1.390980807362014E-3</v>
      </c>
      <c r="AZ84" s="693" t="str">
        <f>IF('A1.3.8'!D$39="","",IF(OR(VLOOKUP($B84,'A1.3.11'!$B$26:$AM$105,AZ$22,)="",VLOOKUP($B84,'A1.3.7'!$B$28:$H$118,6,)=""),"",VLOOKUP($B84,'A1.3.11'!$B$26:$AM$105,AZ$22,)*VLOOKUP($B84,'A1.3.7'!$B$28:$O$118,6,)))</f>
        <v/>
      </c>
      <c r="BA84" s="691" t="str">
        <f>IF('A1.3.8'!E$39="","",IF(OR(VLOOKUP($B84,'A1.3.11'!$B$26:$AM$105,BA$22,)="",VLOOKUP($B84,'A1.3.7'!$B$28:$H$118,6,)=""),"",VLOOKUP($B84,'A1.3.11'!$B$26:$AM$105,BA$22,)*VLOOKUP($B84,'A1.3.7'!$B$28:$O$118,6,)))</f>
        <v/>
      </c>
      <c r="BB84" s="691" t="str">
        <f>IF('A1.3.8'!F$39="","",IF(OR(VLOOKUP($B84,'A1.3.11'!$B$26:$AM$105,BB$22,)="",VLOOKUP($B84,'A1.3.7'!$B$28:$H$118,6,)=""),"",VLOOKUP($B84,'A1.3.11'!$B$26:$AM$105,BB$22,)*VLOOKUP($B84,'A1.3.7'!$B$28:$O$118,6,)))</f>
        <v/>
      </c>
      <c r="BC84" s="1664" t="str">
        <f>IF('A1.3.8'!G$39="","",IF(OR(VLOOKUP($B84,'A1.3.11'!$B$26:$AM$105,BC$22,)="",VLOOKUP($B84,'A1.3.7'!$B$28:$H$118,6,)=""),"",VLOOKUP($B84,'A1.3.11'!$B$26:$AM$105,BC$22,)*VLOOKUP($B84,'A1.3.7'!$B$28:$O$118,6,)))</f>
        <v/>
      </c>
      <c r="BD84" s="693">
        <f>IF(AND(AV84="",AZ84=""),"",IF(AV84="",0,(AV84*VLOOKUP($B84,'A1.3.9'!$B$26:$O$57,9,TRUE))) + IF(AZ84="",0,(AZ84*VLOOKUP($B84,'A1.3.9'!$B$26:$O$57,10,TRUE))))</f>
        <v>678.25198025507734</v>
      </c>
      <c r="BE84" s="691">
        <f>IF(AND(AW84="",BA84=""),"",IF(AW84="",0,(AW84*VLOOKUP($B84,'A1.3.9'!$B$26:$O$57,9,TRUE))) + IF(BA84="",0,(BA84*VLOOKUP($B84,'A1.3.9'!$B$26:$O$57,10,TRUE))))</f>
        <v>35.222827130444372</v>
      </c>
      <c r="BF84" s="691">
        <f>IF(AND(AX84="",BB84=""),"",IF(AX84="",0,(AX84*VLOOKUP($B84,'A1.3.9'!$B$26:$O$57,9,TRUE))) + IF(BB84="",0,(BB84*VLOOKUP($B84,'A1.3.9'!$B$26:$O$57,10,TRUE))))</f>
        <v>-0.23336975917569067</v>
      </c>
      <c r="BG84" s="2644">
        <f>IF(AND(AY84="",BC84=""),"",IF(AY84="",0,(AY84*VLOOKUP($B84,'A1.3.9'!$B$26:$O$57,9,TRUE))) + IF(BC84="",0,(BC84*VLOOKUP($B84,'A1.3.9'!$B$26:$O$57,10,TRUE))))</f>
        <v>1.390980807362014E-3</v>
      </c>
      <c r="BH84" s="693">
        <f>IF('A1.3.8'!D$33="","",IF(OR(VLOOKUP($B84,'A1.3.11'!$B$26:$AM$105,BH$22,)="",VLOOKUP($B84,'A1.3.7'!$B$28:$H$118,4,)=""),"",VLOOKUP($B84,'A1.3.11'!$B$26:$AM$105,BH$22,)*(VLOOKUP($B84,'A1.3.7'!$B$28:$O$118,4,)+VLOOKUP($B84,'A1.3.7'!$B$28:$O$118,9,))))</f>
        <v>402.26183717706533</v>
      </c>
      <c r="BI84" s="691">
        <f>IF('A1.3.8'!E$33="","",IF(OR(VLOOKUP($B84,'A1.3.11'!$B$26:$AM$105,BI$22,)="",VLOOKUP($B84,'A1.3.7'!$B$28:$H$118,4,)=""),"",VLOOKUP($B84,'A1.3.11'!$B$26:$AM$105,BI$22,)*(VLOOKUP($B84,'A1.3.7'!$B$28:$O$118,4,)+VLOOKUP($B84,'A1.3.7'!$B$28:$O$118,9,))))</f>
        <v>35.345521037492858</v>
      </c>
      <c r="BJ84" s="691">
        <f>IF('A1.3.8'!F$33="","",IF(OR(VLOOKUP($B84,'A1.3.11'!$B$26:$AM$105,BJ$22,)="",VLOOKUP($B84,'A1.3.7'!$B$28:$H$118,4,)=""),"",VLOOKUP($B84,'A1.3.11'!$B$26:$AM$105,BJ$22,)*(VLOOKUP($B84,'A1.3.7'!$B$28:$O$118,4,)+VLOOKUP($B84,'A1.3.7'!$B$28:$O$118,9,))))</f>
        <v>-0.38417431047403405</v>
      </c>
      <c r="BK84" s="2644">
        <f>IF('A1.3.8'!G$33="","",IF(OR(VLOOKUP($B84,'A1.3.11'!$B$26:$AM$105,BK$22,)="",VLOOKUP($B84,'A1.3.7'!$B$28:$H$118,4,)=""),"",VLOOKUP($B84,'A1.3.11'!$B$26:$AM$105,BK$22,)*(VLOOKUP($B84,'A1.3.7'!$B$28:$O$118,4,)+VLOOKUP($B84,'A1.3.7'!$B$28:$O$118,9,))))</f>
        <v>2.8180755987079601E-3</v>
      </c>
      <c r="BL84" s="693" t="str">
        <f>IF('A1.3.8'!D$40="","",IF(OR(VLOOKUP($B84,'A1.3.11'!$B$26:$AM$105,BL$22,)="",VLOOKUP($B84,'A1.3.7'!$B$28:$H$118,6,)=""),"",VLOOKUP($B84,'A1.3.11'!$B$26:$AM$105,BL$22,)*VLOOKUP($B84,'A1.3.7'!$B$28:$O$118,6,)))</f>
        <v/>
      </c>
      <c r="BM84" s="691" t="str">
        <f>IF('A1.3.8'!E$40="","",IF(OR(VLOOKUP($B84,'A1.3.11'!$B$26:$AM$105,BM$22,)="",VLOOKUP($B84,'A1.3.7'!$B$28:$H$118,6,)=""),"",VLOOKUP($B84,'A1.3.11'!$B$26:$AM$105,BM$22,)*VLOOKUP($B84,'A1.3.7'!$B$28:$O$118,6,)))</f>
        <v/>
      </c>
      <c r="BN84" s="691" t="str">
        <f>IF('A1.3.8'!F$40="","",IF(OR(VLOOKUP($B84,'A1.3.11'!$B$26:$AM$105,BN$22,)="",VLOOKUP($B84,'A1.3.7'!$B$28:$H$118,6,)=""),"",VLOOKUP($B84,'A1.3.11'!$B$26:$AM$105,BN$22,)*VLOOKUP($B84,'A1.3.7'!$B$28:$O$118,6,)))</f>
        <v/>
      </c>
      <c r="BO84" s="1664" t="str">
        <f>IF('A1.3.8'!G$40="","",IF(OR(VLOOKUP($B84,'A1.3.11'!$B$26:$AM$105,BO$22,)="",VLOOKUP($B84,'A1.3.7'!$B$28:$H$118,6,)=""),"",VLOOKUP($B84,'A1.3.11'!$B$26:$AM$105,BO$22,)*VLOOKUP($B84,'A1.3.7'!$B$28:$O$118,6,)))</f>
        <v/>
      </c>
      <c r="BP84" s="693">
        <f>IF(AND(BH84="",BL84=""),"",IF(BH84="",0,(BH84*VLOOKUP($B84,'A1.3.9'!$B$26:$O$57,9,TRUE))) + IF(BL84="",0,(BL84*VLOOKUP($B84,'A1.3.9'!$B$26:$O$57,10,TRUE))))</f>
        <v>402.26183717706533</v>
      </c>
      <c r="BQ84" s="691">
        <f>IF(AND(BI84="",BM84=""),"",IF(BI84="",0,(BI84*VLOOKUP($B84,'A1.3.9'!$B$26:$O$57,9,TRUE))) + IF(BM84="",0,(BM84*VLOOKUP($B84,'A1.3.9'!$B$26:$O$57,10,TRUE))))</f>
        <v>35.345521037492858</v>
      </c>
      <c r="BR84" s="691">
        <f>IF(AND(BJ84="",BN84=""),"",IF(BJ84="",0,(BJ84*VLOOKUP($B84,'A1.3.9'!$B$26:$O$57,9,TRUE))) + IF(BN84="",0,(BN84*VLOOKUP($B84,'A1.3.9'!$B$26:$O$57,10,TRUE))))</f>
        <v>-0.38417431047403405</v>
      </c>
      <c r="BS84" s="2644">
        <f>IF(AND(BK84="",BO84=""),"",IF(BK84="",0,(BK84*VLOOKUP($B84,'A1.3.9'!$B$26:$O$57,9,TRUE))) + IF(BO84="",0,(BO84*VLOOKUP($B84,'A1.3.9'!$B$26:$O$57,10,TRUE))))</f>
        <v>2.8180755987079601E-3</v>
      </c>
    </row>
    <row r="85" spans="1:71" ht="13.5" customHeight="1">
      <c r="A85" s="113"/>
      <c r="B85" s="614">
        <f t="shared" si="0"/>
        <v>2068</v>
      </c>
      <c r="C85" s="147"/>
      <c r="D85" s="693">
        <f>IF('A1.3.8'!D$27="","",IF(OR(VLOOKUP($B85,'A1.3.11'!$B$26:$AM$105,D$22,)="",VLOOKUP($B85,'A1.3.7'!$B$28:$H$118,3,)=""),"",VLOOKUP($B85,'A1.3.11'!$B$26:$AM$105,D$22,)*(VLOOKUP($B85,'A1.3.7'!$B$28:$O$118,3,)+VLOOKUP($B85,'A1.3.7'!$B$28:$O$118,8,))))</f>
        <v>37.814740158130817</v>
      </c>
      <c r="E85" s="691">
        <f>IF('A1.3.8'!E$27="","",IF(OR(VLOOKUP($B85,'A1.3.11'!$B$26:$AM$105,E$22,)="",VLOOKUP($B85,'A1.3.7'!$B$28:$H$118,3,)=""),"",VLOOKUP($B85,'A1.3.11'!$B$26:$AM$105,E$22,)*(VLOOKUP($B85,'A1.3.7'!$B$28:$O$118,3,)+VLOOKUP($B85,'A1.3.7'!$B$28:$O$118,8,))))</f>
        <v>8.0362456730318552</v>
      </c>
      <c r="F85" s="691">
        <f>IF('A1.3.8'!F$27="","",IF(OR(VLOOKUP($B85,'A1.3.11'!$B$26:$AM$105,F$22,)="",VLOOKUP($B85,'A1.3.7'!$B$28:$H$118,3,)=""),"",VLOOKUP($B85,'A1.3.11'!$B$26:$AM$105,F$22,)*(VLOOKUP($B85,'A1.3.7'!$B$28:$O$118,3,)+VLOOKUP($B85,'A1.3.7'!$B$28:$O$118,8,))))</f>
        <v>-9.1542368284600384E-2</v>
      </c>
      <c r="G85" s="2644">
        <f>IF('A1.3.8'!G$27="","",IF(OR(VLOOKUP($B85,'A1.3.11'!$B$26:$AM$105,G$22,)="",VLOOKUP($B85,'A1.3.7'!$B$28:$H$118,3,)=""),"",VLOOKUP($B85,'A1.3.11'!$B$26:$AM$105,G$22,)*(VLOOKUP($B85,'A1.3.7'!$B$28:$O$118,3,)+VLOOKUP($B85,'A1.3.7'!$B$28:$O$118,8,))))</f>
        <v>6.0627773952581397E-4</v>
      </c>
      <c r="H85" s="693">
        <f>IF('A1.3.8'!D$28="","",IF(OR(VLOOKUP($B85,'A1.3.11'!$B$26:$AM$105,H$22,)="",VLOOKUP($B85,'A1.3.7'!$B$28:$H$118,4,)=""),"",VLOOKUP($B85,'A1.3.11'!$B$26:$AM$105,H$22,)*(VLOOKUP($B85,'A1.3.7'!$B$28:$O$118,4,)+VLOOKUP($B85,'A1.3.7'!$B$28:$O$118,9,))))</f>
        <v>46.55723790521629</v>
      </c>
      <c r="I85" s="691">
        <f>IF('A1.3.8'!E$28="","",IF(OR(VLOOKUP($B85,'A1.3.11'!$B$26:$AM$105,I$22,)="",VLOOKUP($B85,'A1.3.7'!$B$28:$H$118,4,)=""),"",VLOOKUP($B85,'A1.3.11'!$B$26:$AM$105,I$22,)*(VLOOKUP($B85,'A1.3.7'!$B$28:$O$118,4,)+VLOOKUP($B85,'A1.3.7'!$B$28:$O$118,9,))))</f>
        <v>6.6751565564236275</v>
      </c>
      <c r="J85" s="691">
        <f>IF('A1.3.8'!F$28="","",IF(OR(VLOOKUP($B85,'A1.3.11'!$B$26:$AM$105,J$22,)="",VLOOKUP($B85,'A1.3.7'!$B$28:$H$118,4,)=""),"",VLOOKUP($B85,'A1.3.11'!$B$26:$AM$105,J$22,)*(VLOOKUP($B85,'A1.3.7'!$B$28:$O$118,4,)+VLOOKUP($B85,'A1.3.7'!$B$28:$O$118,9,))))</f>
        <v>-6.4216865642405432E-2</v>
      </c>
      <c r="K85" s="2644">
        <f>IF('A1.3.8'!G$28="","",IF(OR(VLOOKUP($B85,'A1.3.11'!$B$26:$AM$105,K$22,)="",VLOOKUP($B85,'A1.3.7'!$B$28:$H$118,4,)=""),"",VLOOKUP($B85,'A1.3.11'!$B$26:$AM$105,K$22,)*(VLOOKUP($B85,'A1.3.7'!$B$28:$O$118,4,)+VLOOKUP($B85,'A1.3.7'!$B$28:$O$118,9,))))</f>
        <v>5.0603212307037963E-4</v>
      </c>
      <c r="L85" s="693" t="str">
        <f>IF('A1.3.8'!D$36="","",IF(OR(VLOOKUP($B85,'A1.3.11'!$B$26:$AM$105,L$22,)="",VLOOKUP($B85,'A1.3.7'!$B$28:$H$118,6,)=""),"",VLOOKUP($B85,'A1.3.11'!$B$26:$AM$105,L$22,)*VLOOKUP($B85,'A1.3.7'!$B$28:$O$118,6,)))</f>
        <v/>
      </c>
      <c r="M85" s="691">
        <f>IF('A1.3.8'!E$36="","",IF(OR(VLOOKUP($B85,'A1.3.11'!$B$26:$AM$105,M$22,)="",VLOOKUP($B85,'A1.3.7'!$B$28:$H$118,6,)=""),"",VLOOKUP($B85,'A1.3.11'!$B$26:$AM$105,M$22,)*VLOOKUP($B85,'A1.3.7'!$B$28:$O$118,6,)))</f>
        <v>1.9637608285706969</v>
      </c>
      <c r="N85" s="691" t="str">
        <f>IF('A1.3.8'!F$36="","",IF(OR(VLOOKUP($B85,'A1.3.11'!$B$26:$AM$105,N$22,)="",VLOOKUP($B85,'A1.3.7'!$B$28:$H$118,6,)=""),"",VLOOKUP($B85,'A1.3.11'!$B$26:$AM$105,N$22,)*VLOOKUP($B85,'A1.3.7'!$B$28:$O$118,6,)))</f>
        <v/>
      </c>
      <c r="O85" s="1664" t="str">
        <f>IF('A1.3.8'!G$36="","",IF(OR(VLOOKUP($B85,'A1.3.11'!$B$26:$AM$105,O$22,)="",VLOOKUP($B85,'A1.3.7'!$B$28:$H$118,6,)=""),"",VLOOKUP($B85,'A1.3.11'!$B$26:$AM$105,O$22,)*VLOOKUP($B85,'A1.3.7'!$B$28:$O$118,6,)))</f>
        <v/>
      </c>
      <c r="P85" s="693">
        <f>IF(AND(D85="",H85="",L85=""),"",IF(D85="",0,(D85*VLOOKUP($B85,'A1.3.9'!$B$26:$O$57,3,TRUE)))+IF(H85="",0,(H85*VLOOKUP($B85,'A1.3.9'!$B$26:$O$57,4,TRUE)))+IF(L85="",0,(L85*VLOOKUP($B85,'A1.3.9'!$B$26:$O$57,5,TRUE))))</f>
        <v>31.344794594088782</v>
      </c>
      <c r="Q85" s="691">
        <f>IF(AND(E85="",I85="",M85=""),"",IF(E85="",0,(E85*VLOOKUP($B85,'A1.3.9'!$B$26:$O$57,3,TRUE)))+IF(I85="",0,(I85*VLOOKUP($B85,'A1.3.9'!$B$26:$O$57,4,TRUE)))+IF(M85="",0,(M85*VLOOKUP($B85,'A1.3.9'!$B$26:$O$57,5,TRUE))))</f>
        <v>6.144066459163545</v>
      </c>
      <c r="R85" s="691">
        <f>IF(AND(F85="",J85="",N85=""),"",IF(F85="",0,(F85*VLOOKUP($B85,'A1.3.9'!$B$26:$O$57,3,TRUE)))+IF(J85="",0,(J85*VLOOKUP($B85,'A1.3.9'!$B$26:$O$57,4,TRUE)))+IF(N85="",0,(N85*VLOOKUP($B85,'A1.3.9'!$B$26:$O$57,5,TRUE))))</f>
        <v>-6.0917375377093068E-2</v>
      </c>
      <c r="S85" s="2644">
        <f>IF(AND(G85="",K85="",O85=""),"",IF(G85="",0,(G85*VLOOKUP($B85,'A1.3.9'!$B$26:$O$57,3,TRUE)))+IF(K85="",0,(K85*VLOOKUP($B85,'A1.3.9'!$B$26:$O$57,4,TRUE)))+IF(O85="",0,(O85*VLOOKUP($B85,'A1.3.9'!$B$26:$O$57,5,TRUE))))</f>
        <v>4.2836156077499679E-4</v>
      </c>
      <c r="T85" s="693">
        <f>IF('A1.3.8'!D$29="","",IF(OR(VLOOKUP($B85,'A1.3.11'!$B$26:$AM$105,T$22,)="",VLOOKUP($B85,'A1.3.7'!$B$28:$H$118,3,)=""),"",VLOOKUP($B85,'A1.3.11'!$B$26:$AM$105,T$22,)*(VLOOKUP($B85,'A1.3.7'!$B$28:$O$118,3,)+VLOOKUP($B85,'A1.3.7'!$B$28:$O$118,8,))))</f>
        <v>27.201393114134707</v>
      </c>
      <c r="U85" s="691">
        <f>IF('A1.3.8'!E$29="","",IF(OR(VLOOKUP($B85,'A1.3.11'!$B$26:$AM$105,U$22,)="",VLOOKUP($B85,'A1.3.7'!$B$28:$H$118,3,)=""),"",VLOOKUP($B85,'A1.3.11'!$B$26:$AM$105,U$22,)*(VLOOKUP($B85,'A1.3.7'!$B$28:$O$118,3,)+VLOOKUP($B85,'A1.3.7'!$B$28:$O$118,8,))))</f>
        <v>15.25296666731559</v>
      </c>
      <c r="V85" s="691">
        <f>IF('A1.3.8'!F$29="","",IF(OR(VLOOKUP($B85,'A1.3.11'!$B$26:$AM$105,V$22,)="",VLOOKUP($B85,'A1.3.7'!$B$28:$H$118,3,)=""),"",VLOOKUP($B85,'A1.3.11'!$B$26:$AM$105,V$22,)*(VLOOKUP($B85,'A1.3.7'!$B$28:$O$118,3,)+VLOOKUP($B85,'A1.3.7'!$B$28:$O$118,8,))))</f>
        <v>-0.23942151042198004</v>
      </c>
      <c r="W85" s="2644">
        <f>IF('A1.3.8'!G$29="","",IF(OR(VLOOKUP($B85,'A1.3.11'!$B$26:$AM$105,W$22,)="",VLOOKUP($B85,'A1.3.7'!$B$28:$H$118,3,)=""),"",VLOOKUP($B85,'A1.3.11'!$B$26:$AM$105,W$22,)*(VLOOKUP($B85,'A1.3.7'!$B$28:$O$118,3,)+VLOOKUP($B85,'A1.3.7'!$B$28:$O$118,8,))))</f>
        <v>1.5461930620475038E-3</v>
      </c>
      <c r="X85" s="693">
        <f>IF('A1.3.8'!D$30="","",IF(OR(VLOOKUP($B85,'A1.3.11'!$B$26:$AM$105,X$22,)="",VLOOKUP($B85,'A1.3.7'!$B$28:$H$118,4,)=""),"",VLOOKUP($B85,'A1.3.11'!$B$26:$AM$105,X$22,)*(VLOOKUP($B85,'A1.3.7'!$B$28:$O$118,4,)+VLOOKUP($B85,'A1.3.7'!$B$28:$O$118,9,))))</f>
        <v>47.94943817866659</v>
      </c>
      <c r="Y85" s="691">
        <f>IF('A1.3.8'!E$30="","",IF(OR(VLOOKUP($B85,'A1.3.11'!$B$26:$AM$105,Y$22,)="",VLOOKUP($B85,'A1.3.7'!$B$28:$H$118,4,)=""),"",VLOOKUP($B85,'A1.3.11'!$B$26:$AM$105,Y$22,)*(VLOOKUP($B85,'A1.3.7'!$B$28:$O$118,4,)+VLOOKUP($B85,'A1.3.7'!$B$28:$O$118,9,))))</f>
        <v>11.719038100732817</v>
      </c>
      <c r="Z85" s="691">
        <f>IF('A1.3.8'!F$30="","",IF(OR(VLOOKUP($B85,'A1.3.11'!$B$26:$AM$105,Z$22,)="",VLOOKUP($B85,'A1.3.7'!$B$28:$H$118,4,)=""),"",VLOOKUP($B85,'A1.3.11'!$B$26:$AM$105,Z$22,)*(VLOOKUP($B85,'A1.3.7'!$B$28:$O$118,4,)+VLOOKUP($B85,'A1.3.7'!$B$28:$O$118,9,))))</f>
        <v>-0.16906842328671193</v>
      </c>
      <c r="AA85" s="2644">
        <f>IF('A1.3.8'!G$30="","",IF(OR(VLOOKUP($B85,'A1.3.11'!$B$26:$AM$105,AA$22,)="",VLOOKUP($B85,'A1.3.7'!$B$28:$H$118,4,)=""),"",VLOOKUP($B85,'A1.3.11'!$B$26:$AM$105,AA$22,)*(VLOOKUP($B85,'A1.3.7'!$B$28:$O$118,4,)+VLOOKUP($B85,'A1.3.7'!$B$28:$O$118,9,))))</f>
        <v>1.4313391664786666E-3</v>
      </c>
      <c r="AB85" s="693" t="str">
        <f>IF('A1.3.8'!D$37="","",IF(OR(VLOOKUP($B85,'A1.3.11'!$B$26:$AM$105,AB$22,)="",VLOOKUP($B85,'A1.3.7'!$B$28:$H$118,6,)=""),"",VLOOKUP($B85,'A1.3.11'!$B$26:$AM$105,AB$22,)*VLOOKUP($B85,'A1.3.7'!$B$28:$O$118,6,)))</f>
        <v/>
      </c>
      <c r="AC85" s="691">
        <f>IF('A1.3.8'!E$37="","",IF(OR(VLOOKUP($B85,'A1.3.11'!$B$26:$AM$105,AC$22,)="",VLOOKUP($B85,'A1.3.7'!$B$28:$H$118,6,)=""),"",VLOOKUP($B85,'A1.3.11'!$B$26:$AM$105,AC$22,)*VLOOKUP($B85,'A1.3.7'!$B$28:$O$118,6,)))</f>
        <v>4.5145632825273854</v>
      </c>
      <c r="AD85" s="691" t="str">
        <f>IF('A1.3.8'!F$37="","",IF(OR(VLOOKUP($B85,'A1.3.11'!$B$26:$AM$105,AD$22,)="",VLOOKUP($B85,'A1.3.7'!$B$28:$H$118,6,)=""),"",VLOOKUP($B85,'A1.3.11'!$B$26:$AM$105,AD$22,)*VLOOKUP($B85,'A1.3.7'!$B$28:$O$118,6,)))</f>
        <v/>
      </c>
      <c r="AE85" s="1664" t="str">
        <f>IF('A1.3.8'!G$37="","",IF(OR(VLOOKUP($B85,'A1.3.11'!$B$26:$AM$105,AE$22,)="",VLOOKUP($B85,'A1.3.7'!$B$28:$H$118,6,)=""),"",VLOOKUP($B85,'A1.3.11'!$B$26:$AM$105,AE$22,)*VLOOKUP($B85,'A1.3.7'!$B$28:$O$118,6,)))</f>
        <v/>
      </c>
      <c r="AF85" s="693">
        <f>IF(AND(T85="",X85="",AB85=""),"",IF(T85="",0,(T85*VLOOKUP('A1.3.12'!$B85,'A1.3.9'!$B$26:$O$57,6,TRUE))) + IF(X85="",0,(X85*VLOOKUP('A1.3.12'!$B85,'A1.3.9'!$B$26:$O$57,7,TRUE))) + IF(AB85="",0,(AB85*VLOOKUP('A1.3.12'!$B85,'A1.3.9'!$B$26:$O$57,8,TRUE))))</f>
        <v>42.545452223752129</v>
      </c>
      <c r="AG85" s="691">
        <f>IF(AND(U85="",Y85="",AC85=""),"",IF(U85="",0,(U85*VLOOKUP('A1.3.12'!$B85,'A1.3.9'!$B$26:$O$57,6,TRUE))) + IF(Y85="",0,(Y85*VLOOKUP('A1.3.12'!$B85,'A1.3.9'!$B$26:$O$57,7,TRUE))) + IF(AC85="",0,(AC85*VLOOKUP('A1.3.12'!$B85,'A1.3.9'!$B$26:$O$57,8,TRUE))))</f>
        <v>10.957507479998062</v>
      </c>
      <c r="AH85" s="691">
        <f>IF(AND(V85="",Z85="",AD85=""),"",IF(V85="",0,(V85*VLOOKUP('A1.3.12'!$B85,'A1.3.9'!$B$26:$O$57,6,TRUE))) + IF(Z85="",0,(Z85*VLOOKUP('A1.3.12'!$B85,'A1.3.9'!$B$26:$O$57,7,TRUE))) + IF(AD85="",0,(AD85*VLOOKUP('A1.3.12'!$B85,'A1.3.9'!$B$26:$O$57,8,TRUE))))</f>
        <v>-0.15110211787983363</v>
      </c>
      <c r="AI85" s="2644">
        <f>IF(AND(W85="",AA85="",AE85=""),"",IF(W85="",0,(W85*VLOOKUP('A1.3.12'!$B85,'A1.3.9'!$B$26:$O$57,6,TRUE))) + IF(AA85="",0,(AA85*VLOOKUP('A1.3.12'!$B85,'A1.3.9'!$B$26:$O$57,7,TRUE))) + IF(AE85="",0,(AE85*VLOOKUP('A1.3.12'!$B85,'A1.3.9'!$B$26:$O$57,8,TRUE))))</f>
        <v>1.2755909970358264E-3</v>
      </c>
      <c r="AJ85" s="693">
        <f>IF('A1.3.8'!D$31="","",IF(OR(VLOOKUP($B85,'A1.3.11'!$B$26:$AM$105,AJ$22,)="",VLOOKUP($B85,'A1.3.7'!$B$28:$H$118,4,)=""),"",VLOOKUP($B85,'A1.3.11'!$B$26:$AM$105,AJ$22,)*(VLOOKUP($B85,'A1.3.7'!$B$28:$O$118,4,)+VLOOKUP($B85,'A1.3.7'!$B$28:$O$118,9,))))</f>
        <v>324.13641801322672</v>
      </c>
      <c r="AK85" s="691">
        <f>IF('A1.3.8'!E$31="","",IF(OR(VLOOKUP($B85,'A1.3.11'!$B$26:$AM$105,AK$22,)="",VLOOKUP($B85,'A1.3.7'!$B$28:$H$118,4,)=""),"",VLOOKUP($B85,'A1.3.11'!$B$26:$AM$105,AK$22,)*(VLOOKUP($B85,'A1.3.7'!$B$28:$O$118,4,)+VLOOKUP($B85,'A1.3.7'!$B$28:$O$118,9,))))</f>
        <v>17.197772469475783</v>
      </c>
      <c r="AL85" s="691">
        <f>IF('A1.3.8'!F$31="","",IF(OR(VLOOKUP($B85,'A1.3.11'!$B$26:$AM$105,AL$22,)="",VLOOKUP($B85,'A1.3.7'!$B$28:$H$118,4,)=""),"",VLOOKUP($B85,'A1.3.11'!$B$26:$AM$105,AL$22,)*(VLOOKUP($B85,'A1.3.7'!$B$28:$O$118,4,)+VLOOKUP($B85,'A1.3.7'!$B$28:$O$118,9,))))</f>
        <v>-0.12430560860241745</v>
      </c>
      <c r="AM85" s="2644">
        <f>IF('A1.3.8'!G$31="","",IF(OR(VLOOKUP($B85,'A1.3.11'!$B$26:$AM$105,AM$22,)="",VLOOKUP($B85,'A1.3.7'!$B$28:$H$118,4,)=""),"",VLOOKUP($B85,'A1.3.11'!$B$26:$AM$105,AM$22,)*(VLOOKUP($B85,'A1.3.7'!$B$28:$O$118,4,)+VLOOKUP($B85,'A1.3.7'!$B$28:$O$118,9,))))</f>
        <v>1.3576166947263128E-3</v>
      </c>
      <c r="AN85" s="693" t="str">
        <f>IF('A1.3.8'!D$38="","",IF(OR(VLOOKUP($B85,'A1.3.11'!$B$26:$AM$105,AN$22,)="",VLOOKUP($B85,'A1.3.7'!$B$28:$H$118,6,)=""),"",VLOOKUP($B85,'A1.3.11'!$B$26:$AM$105,AN$22,)*VLOOKUP($B85,'A1.3.7'!$B$28:$O$118,6,)))</f>
        <v/>
      </c>
      <c r="AO85" s="691" t="str">
        <f>IF('A1.3.8'!E$38="","",IF(OR(VLOOKUP($B85,'A1.3.11'!$B$26:$AM$105,AO$22,)="",VLOOKUP($B85,'A1.3.7'!$B$28:$H$118,6,)=""),"",VLOOKUP($B85,'A1.3.11'!$B$26:$AM$105,AO$22,)*VLOOKUP($B85,'A1.3.7'!$B$28:$O$118,6,)))</f>
        <v/>
      </c>
      <c r="AP85" s="691" t="str">
        <f>IF('A1.3.8'!F$38="","",IF(OR(VLOOKUP($B85,'A1.3.11'!$B$26:$AM$105,AP$22,)="",VLOOKUP($B85,'A1.3.7'!$B$28:$H$118,6,)=""),"",VLOOKUP($B85,'A1.3.11'!$B$26:$AM$105,AP$22,)*VLOOKUP($B85,'A1.3.7'!$B$28:$O$118,6,)))</f>
        <v/>
      </c>
      <c r="AQ85" s="1664" t="str">
        <f>IF('A1.3.8'!G$38="","",IF(OR(VLOOKUP($B85,'A1.3.11'!$B$26:$AM$105,AQ$22,)="",VLOOKUP($B85,'A1.3.7'!$B$28:$H$118,6,)=""),"",VLOOKUP($B85,'A1.3.11'!$B$26:$AM$105,AQ$22,)*VLOOKUP($B85,'A1.3.7'!$B$28:$O$118,6,)))</f>
        <v/>
      </c>
      <c r="AR85" s="693">
        <f>IF(AND(AJ85="",AN85=""),"",IF(AJ85="",0,(AJ85*VLOOKUP($B85,'A1.3.9'!$B$26:$O$57,9,TRUE))) + IF(AN85="",0,(AN85*VLOOKUP($B85,'A1.3.9'!$B$26:$O$57,10,TRUE))))</f>
        <v>324.13641801322672</v>
      </c>
      <c r="AS85" s="691">
        <f>IF(AND(AK85="",AO85=""),"",IF(AK85="",0,(AK85*VLOOKUP($B85,'A1.3.9'!$B$26:$O$57,9,TRUE))) + IF(AO85="",0,(AO85*VLOOKUP($B85,'A1.3.9'!$B$26:$O$57,10,TRUE))))</f>
        <v>17.197772469475783</v>
      </c>
      <c r="AT85" s="691">
        <f>IF(AND(AL85="",AP85=""),"",IF(AL85="",0,(AL85*VLOOKUP($B85,'A1.3.9'!$B$26:$O$57,9,TRUE))) + IF(AP85="",0,(AP85*VLOOKUP($B85,'A1.3.9'!$B$26:$O$57,10,TRUE))))</f>
        <v>-0.12430560860241745</v>
      </c>
      <c r="AU85" s="2644">
        <f>IF(AND(AM85="",AQ85=""),"",IF(AM85="",0,(AM85*VLOOKUP($B85,'A1.3.9'!$B$26:$O$57,9,TRUE))) + IF(AQ85="",0,(AQ85*VLOOKUP($B85,'A1.3.9'!$B$26:$O$57,10,TRUE))))</f>
        <v>1.3576166947263128E-3</v>
      </c>
      <c r="AV85" s="693">
        <f>IF('A1.3.8'!D$32="","",IF(OR(VLOOKUP($B85,'A1.3.11'!$B$26:$AM$105,AV$22,)="",VLOOKUP($B85,'A1.3.7'!$B$28:$H$118,4,)=""),"",VLOOKUP($B85,'A1.3.11'!$B$26:$AM$105,AV$22,)*(VLOOKUP($B85,'A1.3.7'!$B$28:$O$118,4,)+VLOOKUP($B85,'A1.3.7'!$B$28:$O$118,9,))))</f>
        <v>681.09507665661135</v>
      </c>
      <c r="AW85" s="691">
        <f>IF('A1.3.8'!E$32="","",IF(OR(VLOOKUP($B85,'A1.3.11'!$B$26:$AM$105,AW$22,)="",VLOOKUP($B85,'A1.3.7'!$B$28:$H$118,4,)=""),"",VLOOKUP($B85,'A1.3.11'!$B$26:$AM$105,AW$22,)*(VLOOKUP($B85,'A1.3.7'!$B$28:$O$118,4,)+VLOOKUP($B85,'A1.3.7'!$B$28:$O$118,9,))))</f>
        <v>35.370474164263214</v>
      </c>
      <c r="AX85" s="691">
        <f>IF('A1.3.8'!F$32="","",IF(OR(VLOOKUP($B85,'A1.3.11'!$B$26:$AM$105,AX$22,)="",VLOOKUP($B85,'A1.3.7'!$B$28:$H$118,4,)=""),"",VLOOKUP($B85,'A1.3.11'!$B$26:$AM$105,AX$22,)*(VLOOKUP($B85,'A1.3.7'!$B$28:$O$118,4,)+VLOOKUP($B85,'A1.3.7'!$B$28:$O$118,9,))))</f>
        <v>-0.23434799844642559</v>
      </c>
      <c r="AY85" s="2644">
        <f>IF('A1.3.8'!G$32="","",IF(OR(VLOOKUP($B85,'A1.3.11'!$B$26:$AM$105,AY$22,)="",VLOOKUP($B85,'A1.3.7'!$B$28:$H$118,4,)=""),"",VLOOKUP($B85,'A1.3.11'!$B$26:$AM$105,AY$22,)*(VLOOKUP($B85,'A1.3.7'!$B$28:$O$118,4,)+VLOOKUP($B85,'A1.3.7'!$B$28:$O$118,9,))))</f>
        <v>1.3968115201990433E-3</v>
      </c>
      <c r="AZ85" s="693" t="str">
        <f>IF('A1.3.8'!D$39="","",IF(OR(VLOOKUP($B85,'A1.3.11'!$B$26:$AM$105,AZ$22,)="",VLOOKUP($B85,'A1.3.7'!$B$28:$H$118,6,)=""),"",VLOOKUP($B85,'A1.3.11'!$B$26:$AM$105,AZ$22,)*VLOOKUP($B85,'A1.3.7'!$B$28:$O$118,6,)))</f>
        <v/>
      </c>
      <c r="BA85" s="691" t="str">
        <f>IF('A1.3.8'!E$39="","",IF(OR(VLOOKUP($B85,'A1.3.11'!$B$26:$AM$105,BA$22,)="",VLOOKUP($B85,'A1.3.7'!$B$28:$H$118,6,)=""),"",VLOOKUP($B85,'A1.3.11'!$B$26:$AM$105,BA$22,)*VLOOKUP($B85,'A1.3.7'!$B$28:$O$118,6,)))</f>
        <v/>
      </c>
      <c r="BB85" s="691" t="str">
        <f>IF('A1.3.8'!F$39="","",IF(OR(VLOOKUP($B85,'A1.3.11'!$B$26:$AM$105,BB$22,)="",VLOOKUP($B85,'A1.3.7'!$B$28:$H$118,6,)=""),"",VLOOKUP($B85,'A1.3.11'!$B$26:$AM$105,BB$22,)*VLOOKUP($B85,'A1.3.7'!$B$28:$O$118,6,)))</f>
        <v/>
      </c>
      <c r="BC85" s="1664" t="str">
        <f>IF('A1.3.8'!G$39="","",IF(OR(VLOOKUP($B85,'A1.3.11'!$B$26:$AM$105,BC$22,)="",VLOOKUP($B85,'A1.3.7'!$B$28:$H$118,6,)=""),"",VLOOKUP($B85,'A1.3.11'!$B$26:$AM$105,BC$22,)*VLOOKUP($B85,'A1.3.7'!$B$28:$O$118,6,)))</f>
        <v/>
      </c>
      <c r="BD85" s="693">
        <f>IF(AND(AV85="",AZ85=""),"",IF(AV85="",0,(AV85*VLOOKUP($B85,'A1.3.9'!$B$26:$O$57,9,TRUE))) + IF(AZ85="",0,(AZ85*VLOOKUP($B85,'A1.3.9'!$B$26:$O$57,10,TRUE))))</f>
        <v>681.09507665661135</v>
      </c>
      <c r="BE85" s="691">
        <f>IF(AND(AW85="",BA85=""),"",IF(AW85="",0,(AW85*VLOOKUP($B85,'A1.3.9'!$B$26:$O$57,9,TRUE))) + IF(BA85="",0,(BA85*VLOOKUP($B85,'A1.3.9'!$B$26:$O$57,10,TRUE))))</f>
        <v>35.370474164263214</v>
      </c>
      <c r="BF85" s="691">
        <f>IF(AND(AX85="",BB85=""),"",IF(AX85="",0,(AX85*VLOOKUP($B85,'A1.3.9'!$B$26:$O$57,9,TRUE))) + IF(BB85="",0,(BB85*VLOOKUP($B85,'A1.3.9'!$B$26:$O$57,10,TRUE))))</f>
        <v>-0.23434799844642559</v>
      </c>
      <c r="BG85" s="2644">
        <f>IF(AND(AY85="",BC85=""),"",IF(AY85="",0,(AY85*VLOOKUP($B85,'A1.3.9'!$B$26:$O$57,9,TRUE))) + IF(BC85="",0,(BC85*VLOOKUP($B85,'A1.3.9'!$B$26:$O$57,10,TRUE))))</f>
        <v>1.3968115201990433E-3</v>
      </c>
      <c r="BH85" s="693">
        <f>IF('A1.3.8'!D$33="","",IF(OR(VLOOKUP($B85,'A1.3.11'!$B$26:$AM$105,BH$22,)="",VLOOKUP($B85,'A1.3.7'!$B$28:$H$118,4,)=""),"",VLOOKUP($B85,'A1.3.11'!$B$26:$AM$105,BH$22,)*(VLOOKUP($B85,'A1.3.7'!$B$28:$O$118,4,)+VLOOKUP($B85,'A1.3.7'!$B$28:$O$118,9,))))</f>
        <v>403.9480381982882</v>
      </c>
      <c r="BI85" s="691">
        <f>IF('A1.3.8'!E$33="","",IF(OR(VLOOKUP($B85,'A1.3.11'!$B$26:$AM$105,BI$22,)="",VLOOKUP($B85,'A1.3.7'!$B$28:$H$118,4,)=""),"",VLOOKUP($B85,'A1.3.11'!$B$26:$AM$105,BI$22,)*(VLOOKUP($B85,'A1.3.7'!$B$28:$O$118,4,)+VLOOKUP($B85,'A1.3.7'!$B$28:$O$118,9,))))</f>
        <v>35.493682379586168</v>
      </c>
      <c r="BJ85" s="691">
        <f>IF('A1.3.8'!F$33="","",IF(OR(VLOOKUP($B85,'A1.3.11'!$B$26:$AM$105,BJ$22,)="",VLOOKUP($B85,'A1.3.7'!$B$28:$H$118,4,)=""),"",VLOOKUP($B85,'A1.3.11'!$B$26:$AM$105,BJ$22,)*(VLOOKUP($B85,'A1.3.7'!$B$28:$O$118,4,)+VLOOKUP($B85,'A1.3.7'!$B$28:$O$118,9,))))</f>
        <v>-0.38578469220747147</v>
      </c>
      <c r="BK85" s="2644">
        <f>IF('A1.3.8'!G$33="","",IF(OR(VLOOKUP($B85,'A1.3.11'!$B$26:$AM$105,BK$22,)="",VLOOKUP($B85,'A1.3.7'!$B$28:$H$118,4,)=""),"",VLOOKUP($B85,'A1.3.11'!$B$26:$AM$105,BK$22,)*(VLOOKUP($B85,'A1.3.7'!$B$28:$O$118,4,)+VLOOKUP($B85,'A1.3.7'!$B$28:$O$118,9,))))</f>
        <v>2.8298884069668079E-3</v>
      </c>
      <c r="BL85" s="693" t="str">
        <f>IF('A1.3.8'!D$40="","",IF(OR(VLOOKUP($B85,'A1.3.11'!$B$26:$AM$105,BL$22,)="",VLOOKUP($B85,'A1.3.7'!$B$28:$H$118,6,)=""),"",VLOOKUP($B85,'A1.3.11'!$B$26:$AM$105,BL$22,)*VLOOKUP($B85,'A1.3.7'!$B$28:$O$118,6,)))</f>
        <v/>
      </c>
      <c r="BM85" s="691" t="str">
        <f>IF('A1.3.8'!E$40="","",IF(OR(VLOOKUP($B85,'A1.3.11'!$B$26:$AM$105,BM$22,)="",VLOOKUP($B85,'A1.3.7'!$B$28:$H$118,6,)=""),"",VLOOKUP($B85,'A1.3.11'!$B$26:$AM$105,BM$22,)*VLOOKUP($B85,'A1.3.7'!$B$28:$O$118,6,)))</f>
        <v/>
      </c>
      <c r="BN85" s="691" t="str">
        <f>IF('A1.3.8'!F$40="","",IF(OR(VLOOKUP($B85,'A1.3.11'!$B$26:$AM$105,BN$22,)="",VLOOKUP($B85,'A1.3.7'!$B$28:$H$118,6,)=""),"",VLOOKUP($B85,'A1.3.11'!$B$26:$AM$105,BN$22,)*VLOOKUP($B85,'A1.3.7'!$B$28:$O$118,6,)))</f>
        <v/>
      </c>
      <c r="BO85" s="1664" t="str">
        <f>IF('A1.3.8'!G$40="","",IF(OR(VLOOKUP($B85,'A1.3.11'!$B$26:$AM$105,BO$22,)="",VLOOKUP($B85,'A1.3.7'!$B$28:$H$118,6,)=""),"",VLOOKUP($B85,'A1.3.11'!$B$26:$AM$105,BO$22,)*VLOOKUP($B85,'A1.3.7'!$B$28:$O$118,6,)))</f>
        <v/>
      </c>
      <c r="BP85" s="693">
        <f>IF(AND(BH85="",BL85=""),"",IF(BH85="",0,(BH85*VLOOKUP($B85,'A1.3.9'!$B$26:$O$57,9,TRUE))) + IF(BL85="",0,(BL85*VLOOKUP($B85,'A1.3.9'!$B$26:$O$57,10,TRUE))))</f>
        <v>403.9480381982882</v>
      </c>
      <c r="BQ85" s="691">
        <f>IF(AND(BI85="",BM85=""),"",IF(BI85="",0,(BI85*VLOOKUP($B85,'A1.3.9'!$B$26:$O$57,9,TRUE))) + IF(BM85="",0,(BM85*VLOOKUP($B85,'A1.3.9'!$B$26:$O$57,10,TRUE))))</f>
        <v>35.493682379586168</v>
      </c>
      <c r="BR85" s="691">
        <f>IF(AND(BJ85="",BN85=""),"",IF(BJ85="",0,(BJ85*VLOOKUP($B85,'A1.3.9'!$B$26:$O$57,9,TRUE))) + IF(BN85="",0,(BN85*VLOOKUP($B85,'A1.3.9'!$B$26:$O$57,10,TRUE))))</f>
        <v>-0.38578469220747147</v>
      </c>
      <c r="BS85" s="2644">
        <f>IF(AND(BK85="",BO85=""),"",IF(BK85="",0,(BK85*VLOOKUP($B85,'A1.3.9'!$B$26:$O$57,9,TRUE))) + IF(BO85="",0,(BO85*VLOOKUP($B85,'A1.3.9'!$B$26:$O$57,10,TRUE))))</f>
        <v>2.8298884069668079E-3</v>
      </c>
    </row>
    <row r="86" spans="1:71" ht="13.5" customHeight="1">
      <c r="A86" s="113"/>
      <c r="B86" s="614">
        <f t="shared" si="0"/>
        <v>2069</v>
      </c>
      <c r="C86" s="147"/>
      <c r="D86" s="693">
        <f>IF('A1.3.8'!D$27="","",IF(OR(VLOOKUP($B86,'A1.3.11'!$B$26:$AM$105,D$22,)="",VLOOKUP($B86,'A1.3.7'!$B$28:$H$118,3,)=""),"",VLOOKUP($B86,'A1.3.11'!$B$26:$AM$105,D$22,)*(VLOOKUP($B86,'A1.3.7'!$B$28:$O$118,3,)+VLOOKUP($B86,'A1.3.7'!$B$28:$O$118,8,))))</f>
        <v>37.979085750049812</v>
      </c>
      <c r="E86" s="691">
        <f>IF('A1.3.8'!E$27="","",IF(OR(VLOOKUP($B86,'A1.3.11'!$B$26:$AM$105,E$22,)="",VLOOKUP($B86,'A1.3.7'!$B$28:$H$118,3,)=""),"",VLOOKUP($B86,'A1.3.11'!$B$26:$AM$105,E$22,)*(VLOOKUP($B86,'A1.3.7'!$B$28:$O$118,3,)+VLOOKUP($B86,'A1.3.7'!$B$28:$O$118,8,))))</f>
        <v>8.0711717771494023</v>
      </c>
      <c r="F86" s="691">
        <f>IF('A1.3.8'!F$27="","",IF(OR(VLOOKUP($B86,'A1.3.11'!$B$26:$AM$105,F$22,)="",VLOOKUP($B86,'A1.3.7'!$B$28:$H$118,3,)=""),"",VLOOKUP($B86,'A1.3.11'!$B$26:$AM$105,F$22,)*(VLOOKUP($B86,'A1.3.7'!$B$28:$O$118,3,)+VLOOKUP($B86,'A1.3.7'!$B$28:$O$118,8,))))</f>
        <v>-9.1940218028866427E-2</v>
      </c>
      <c r="G86" s="2644">
        <f>IF('A1.3.8'!G$27="","",IF(OR(VLOOKUP($B86,'A1.3.11'!$B$26:$AM$105,G$22,)="",VLOOKUP($B86,'A1.3.7'!$B$28:$H$118,3,)=""),"",VLOOKUP($B86,'A1.3.11'!$B$26:$AM$105,G$22,)*(VLOOKUP($B86,'A1.3.7'!$B$28:$O$118,3,)+VLOOKUP($B86,'A1.3.7'!$B$28:$O$118,8,))))</f>
        <v>6.0891266637055799E-4</v>
      </c>
      <c r="H86" s="693">
        <f>IF('A1.3.8'!D$28="","",IF(OR(VLOOKUP($B86,'A1.3.11'!$B$26:$AM$105,H$22,)="",VLOOKUP($B86,'A1.3.7'!$B$28:$H$118,4,)=""),"",VLOOKUP($B86,'A1.3.11'!$B$26:$AM$105,H$22,)*(VLOOKUP($B86,'A1.3.7'!$B$28:$O$118,4,)+VLOOKUP($B86,'A1.3.7'!$B$28:$O$118,9,))))</f>
        <v>46.752911688837564</v>
      </c>
      <c r="I86" s="691">
        <f>IF('A1.3.8'!E$28="","",IF(OR(VLOOKUP($B86,'A1.3.11'!$B$26:$AM$105,I$22,)="",VLOOKUP($B86,'A1.3.7'!$B$28:$H$118,4,)=""),"",VLOOKUP($B86,'A1.3.11'!$B$26:$AM$105,I$22,)*(VLOOKUP($B86,'A1.3.7'!$B$28:$O$118,4,)+VLOOKUP($B86,'A1.3.7'!$B$28:$O$118,9,))))</f>
        <v>6.7032113379877512</v>
      </c>
      <c r="J86" s="691">
        <f>IF('A1.3.8'!F$28="","",IF(OR(VLOOKUP($B86,'A1.3.11'!$B$26:$AM$105,J$22,)="",VLOOKUP($B86,'A1.3.7'!$B$28:$H$118,4,)=""),"",VLOOKUP($B86,'A1.3.11'!$B$26:$AM$105,J$22,)*(VLOOKUP($B86,'A1.3.7'!$B$28:$O$118,4,)+VLOOKUP($B86,'A1.3.7'!$B$28:$O$118,9,))))</f>
        <v>-6.4486760456572242E-2</v>
      </c>
      <c r="K86" s="2644">
        <f>IF('A1.3.8'!G$28="","",IF(OR(VLOOKUP($B86,'A1.3.11'!$B$26:$AM$105,K$22,)="",VLOOKUP($B86,'A1.3.7'!$B$28:$H$118,4,)=""),"",VLOOKUP($B86,'A1.3.11'!$B$26:$AM$105,K$22,)*(VLOOKUP($B86,'A1.3.7'!$B$28:$O$118,4,)+VLOOKUP($B86,'A1.3.7'!$B$28:$O$118,9,))))</f>
        <v>5.0815890774683905E-4</v>
      </c>
      <c r="L86" s="693" t="str">
        <f>IF('A1.3.8'!D$36="","",IF(OR(VLOOKUP($B86,'A1.3.11'!$B$26:$AM$105,L$22,)="",VLOOKUP($B86,'A1.3.7'!$B$28:$H$118,6,)=""),"",VLOOKUP($B86,'A1.3.11'!$B$26:$AM$105,L$22,)*VLOOKUP($B86,'A1.3.7'!$B$28:$O$118,6,)))</f>
        <v/>
      </c>
      <c r="M86" s="691">
        <f>IF('A1.3.8'!E$36="","",IF(OR(VLOOKUP($B86,'A1.3.11'!$B$26:$AM$105,M$22,)="",VLOOKUP($B86,'A1.3.7'!$B$28:$H$118,6,)=""),"",VLOOKUP($B86,'A1.3.11'!$B$26:$AM$105,M$22,)*VLOOKUP($B86,'A1.3.7'!$B$28:$O$118,6,)))</f>
        <v>1.9637608285706969</v>
      </c>
      <c r="N86" s="691" t="str">
        <f>IF('A1.3.8'!F$36="","",IF(OR(VLOOKUP($B86,'A1.3.11'!$B$26:$AM$105,N$22,)="",VLOOKUP($B86,'A1.3.7'!$B$28:$H$118,6,)=""),"",VLOOKUP($B86,'A1.3.11'!$B$26:$AM$105,N$22,)*VLOOKUP($B86,'A1.3.7'!$B$28:$O$118,6,)))</f>
        <v/>
      </c>
      <c r="O86" s="1664" t="str">
        <f>IF('A1.3.8'!G$36="","",IF(OR(VLOOKUP($B86,'A1.3.11'!$B$26:$AM$105,O$22,)="",VLOOKUP($B86,'A1.3.7'!$B$28:$H$118,6,)=""),"",VLOOKUP($B86,'A1.3.11'!$B$26:$AM$105,O$22,)*VLOOKUP($B86,'A1.3.7'!$B$28:$O$118,6,)))</f>
        <v/>
      </c>
      <c r="P86" s="693">
        <f>IF(AND(D86="",H86="",L86=""),"",IF(D86="",0,(D86*VLOOKUP($B86,'A1.3.9'!$B$26:$O$57,3,TRUE)))+IF(H86="",0,(H86*VLOOKUP($B86,'A1.3.9'!$B$26:$O$57,4,TRUE)))+IF(L86="",0,(L86*VLOOKUP($B86,'A1.3.9'!$B$26:$O$57,5,TRUE))))</f>
        <v>31.478963984100211</v>
      </c>
      <c r="Q86" s="691">
        <f>IF(AND(E86="",I86="",M86=""),"",IF(E86="",0,(E86*VLOOKUP($B86,'A1.3.9'!$B$26:$O$57,3,TRUE)))+IF(I86="",0,(I86*VLOOKUP($B86,'A1.3.9'!$B$26:$O$57,4,TRUE)))+IF(M86="",0,(M86*VLOOKUP($B86,'A1.3.9'!$B$26:$O$57,5,TRUE))))</f>
        <v>6.168404941672426</v>
      </c>
      <c r="R86" s="691">
        <f>IF(AND(F86="",J86="",N86=""),"",IF(F86="",0,(F86*VLOOKUP($B86,'A1.3.9'!$B$26:$O$57,3,TRUE)))+IF(J86="",0,(J86*VLOOKUP($B86,'A1.3.9'!$B$26:$O$57,4,TRUE)))+IF(N86="",0,(N86*VLOOKUP($B86,'A1.3.9'!$B$26:$O$57,5,TRUE))))</f>
        <v>-6.1179288965123535E-2</v>
      </c>
      <c r="S86" s="2644">
        <f>IF(AND(G86="",K86="",O86=""),"",IF(G86="",0,(G86*VLOOKUP($B86,'A1.3.9'!$B$26:$O$57,3,TRUE)))+IF(K86="",0,(K86*VLOOKUP($B86,'A1.3.9'!$B$26:$O$57,4,TRUE)))+IF(O86="",0,(O86*VLOOKUP($B86,'A1.3.9'!$B$26:$O$57,5,TRUE))))</f>
        <v>4.3020088964022503E-4</v>
      </c>
      <c r="T86" s="693">
        <f>IF('A1.3.8'!D$29="","",IF(OR(VLOOKUP($B86,'A1.3.11'!$B$26:$AM$105,T$22,)="",VLOOKUP($B86,'A1.3.7'!$B$28:$H$118,3,)=""),"",VLOOKUP($B86,'A1.3.11'!$B$26:$AM$105,T$22,)*(VLOOKUP($B86,'A1.3.7'!$B$28:$O$118,3,)+VLOOKUP($B86,'A1.3.7'!$B$28:$O$118,8,))))</f>
        <v>27.319612333245288</v>
      </c>
      <c r="U86" s="691">
        <f>IF('A1.3.8'!E$29="","",IF(OR(VLOOKUP($B86,'A1.3.11'!$B$26:$AM$105,U$22,)="",VLOOKUP($B86,'A1.3.7'!$B$28:$H$118,3,)=""),"",VLOOKUP($B86,'A1.3.11'!$B$26:$AM$105,U$22,)*(VLOOKUP($B86,'A1.3.7'!$B$28:$O$118,3,)+VLOOKUP($B86,'A1.3.7'!$B$28:$O$118,8,))))</f>
        <v>15.319257162106195</v>
      </c>
      <c r="V86" s="691">
        <f>IF('A1.3.8'!F$29="","",IF(OR(VLOOKUP($B86,'A1.3.11'!$B$26:$AM$105,V$22,)="",VLOOKUP($B86,'A1.3.7'!$B$28:$H$118,3,)=""),"",VLOOKUP($B86,'A1.3.11'!$B$26:$AM$105,V$22,)*(VLOOKUP($B86,'A1.3.7'!$B$28:$O$118,3,)+VLOOKUP($B86,'A1.3.7'!$B$28:$O$118,8,))))</f>
        <v>-0.24046205359863279</v>
      </c>
      <c r="W86" s="2644">
        <f>IF('A1.3.8'!G$29="","",IF(OR(VLOOKUP($B86,'A1.3.11'!$B$26:$AM$105,W$22,)="",VLOOKUP($B86,'A1.3.7'!$B$28:$H$118,3,)=""),"",VLOOKUP($B86,'A1.3.11'!$B$26:$AM$105,W$22,)*(VLOOKUP($B86,'A1.3.7'!$B$28:$O$118,3,)+VLOOKUP($B86,'A1.3.7'!$B$28:$O$118,8,))))</f>
        <v>1.5529129287698616E-3</v>
      </c>
      <c r="X86" s="693">
        <f>IF('A1.3.8'!D$30="","",IF(OR(VLOOKUP($B86,'A1.3.11'!$B$26:$AM$105,X$22,)="",VLOOKUP($B86,'A1.3.7'!$B$28:$H$118,4,)=""),"",VLOOKUP($B86,'A1.3.11'!$B$26:$AM$105,X$22,)*(VLOOKUP($B86,'A1.3.7'!$B$28:$O$118,4,)+VLOOKUP($B86,'A1.3.7'!$B$28:$O$118,9,))))</f>
        <v>48.150963192028321</v>
      </c>
      <c r="Y86" s="691">
        <f>IF('A1.3.8'!E$30="","",IF(OR(VLOOKUP($B86,'A1.3.11'!$B$26:$AM$105,Y$22,)="",VLOOKUP($B86,'A1.3.7'!$B$28:$H$118,4,)=""),"",VLOOKUP($B86,'A1.3.11'!$B$26:$AM$105,Y$22,)*(VLOOKUP($B86,'A1.3.7'!$B$28:$O$118,4,)+VLOOKUP($B86,'A1.3.7'!$B$28:$O$118,9,))))</f>
        <v>11.768291635279706</v>
      </c>
      <c r="Z86" s="691">
        <f>IF('A1.3.8'!F$30="","",IF(OR(VLOOKUP($B86,'A1.3.11'!$B$26:$AM$105,Z$22,)="",VLOOKUP($B86,'A1.3.7'!$B$28:$H$118,4,)=""),"",VLOOKUP($B86,'A1.3.11'!$B$26:$AM$105,Z$22,)*(VLOOKUP($B86,'A1.3.7'!$B$28:$O$118,4,)+VLOOKUP($B86,'A1.3.7'!$B$28:$O$118,9,))))</f>
        <v>-0.16977899503804186</v>
      </c>
      <c r="AA86" s="2644">
        <f>IF('A1.3.8'!G$30="","",IF(OR(VLOOKUP($B86,'A1.3.11'!$B$26:$AM$105,AA$22,)="",VLOOKUP($B86,'A1.3.7'!$B$28:$H$118,4,)=""),"",VLOOKUP($B86,'A1.3.11'!$B$26:$AM$105,AA$22,)*(VLOOKUP($B86,'A1.3.7'!$B$28:$O$118,4,)+VLOOKUP($B86,'A1.3.7'!$B$28:$O$118,9,))))</f>
        <v>1.4373548917010347E-3</v>
      </c>
      <c r="AB86" s="693" t="str">
        <f>IF('A1.3.8'!D$37="","",IF(OR(VLOOKUP($B86,'A1.3.11'!$B$26:$AM$105,AB$22,)="",VLOOKUP($B86,'A1.3.7'!$B$28:$H$118,6,)=""),"",VLOOKUP($B86,'A1.3.11'!$B$26:$AM$105,AB$22,)*VLOOKUP($B86,'A1.3.7'!$B$28:$O$118,6,)))</f>
        <v/>
      </c>
      <c r="AC86" s="691">
        <f>IF('A1.3.8'!E$37="","",IF(OR(VLOOKUP($B86,'A1.3.11'!$B$26:$AM$105,AC$22,)="",VLOOKUP($B86,'A1.3.7'!$B$28:$H$118,6,)=""),"",VLOOKUP($B86,'A1.3.11'!$B$26:$AM$105,AC$22,)*VLOOKUP($B86,'A1.3.7'!$B$28:$O$118,6,)))</f>
        <v>4.5145632825273854</v>
      </c>
      <c r="AD86" s="691" t="str">
        <f>IF('A1.3.8'!F$37="","",IF(OR(VLOOKUP($B86,'A1.3.11'!$B$26:$AM$105,AD$22,)="",VLOOKUP($B86,'A1.3.7'!$B$28:$H$118,6,)=""),"",VLOOKUP($B86,'A1.3.11'!$B$26:$AM$105,AD$22,)*VLOOKUP($B86,'A1.3.7'!$B$28:$O$118,6,)))</f>
        <v/>
      </c>
      <c r="AE86" s="1664" t="str">
        <f>IF('A1.3.8'!G$37="","",IF(OR(VLOOKUP($B86,'A1.3.11'!$B$26:$AM$105,AE$22,)="",VLOOKUP($B86,'A1.3.7'!$B$28:$H$118,6,)=""),"",VLOOKUP($B86,'A1.3.11'!$B$26:$AM$105,AE$22,)*VLOOKUP($B86,'A1.3.7'!$B$28:$O$118,6,)))</f>
        <v/>
      </c>
      <c r="AF86" s="693">
        <f>IF(AND(T86="",X86="",AB86=""),"",IF(T86="",0,(T86*VLOOKUP('A1.3.12'!$B86,'A1.3.9'!$B$26:$O$57,6,TRUE))) + IF(X86="",0,(X86*VLOOKUP('A1.3.12'!$B86,'A1.3.9'!$B$26:$O$57,7,TRUE))) + IF(AB86="",0,(AB86*VLOOKUP('A1.3.12'!$B86,'A1.3.9'!$B$26:$O$57,8,TRUE))))</f>
        <v>42.724294546664154</v>
      </c>
      <c r="AG86" s="691">
        <f>IF(AND(U86="",Y86="",AC86=""),"",IF(U86="",0,(U86*VLOOKUP('A1.3.12'!$B86,'A1.3.9'!$B$26:$O$57,6,TRUE))) + IF(Y86="",0,(Y86*VLOOKUP('A1.3.12'!$B86,'A1.3.9'!$B$26:$O$57,7,TRUE))) + IF(AC86="",0,(AC86*VLOOKUP('A1.3.12'!$B86,'A1.3.9'!$B$26:$O$57,8,TRUE))))</f>
        <v>11.001500794742334</v>
      </c>
      <c r="AH86" s="691">
        <f>IF(AND(V86="",Z86="",AD86=""),"",IF(V86="",0,(V86*VLOOKUP('A1.3.12'!$B86,'A1.3.9'!$B$26:$O$57,6,TRUE))) + IF(Z86="",0,(Z86*VLOOKUP('A1.3.12'!$B86,'A1.3.9'!$B$26:$O$57,7,TRUE))) + IF(AD86="",0,(AD86*VLOOKUP('A1.3.12'!$B86,'A1.3.9'!$B$26:$O$57,8,TRUE))))</f>
        <v>-0.15173743961737821</v>
      </c>
      <c r="AI86" s="2644">
        <f>IF(AND(W86="",AA86="",AE86=""),"",IF(W86="",0,(W86*VLOOKUP('A1.3.12'!$B86,'A1.3.9'!$B$26:$O$57,6,TRUE))) + IF(AA86="",0,(AA86*VLOOKUP('A1.3.12'!$B86,'A1.3.9'!$B$26:$O$57,7,TRUE))) + IF(AE86="",0,(AE86*VLOOKUP('A1.3.12'!$B86,'A1.3.9'!$B$26:$O$57,8,TRUE))))</f>
        <v>1.2809538124474522E-3</v>
      </c>
      <c r="AJ86" s="693">
        <f>IF('A1.3.8'!D$31="","",IF(OR(VLOOKUP($B86,'A1.3.11'!$B$26:$AM$105,AJ$22,)="",VLOOKUP($B86,'A1.3.7'!$B$28:$H$118,4,)=""),"",VLOOKUP($B86,'A1.3.11'!$B$26:$AM$105,AJ$22,)*(VLOOKUP($B86,'A1.3.7'!$B$28:$O$118,4,)+VLOOKUP($B86,'A1.3.7'!$B$28:$O$118,9,))))</f>
        <v>325.49871960532761</v>
      </c>
      <c r="AK86" s="691">
        <f>IF('A1.3.8'!E$31="","",IF(OR(VLOOKUP($B86,'A1.3.11'!$B$26:$AM$105,AK$22,)="",VLOOKUP($B86,'A1.3.7'!$B$28:$H$118,4,)=""),"",VLOOKUP($B86,'A1.3.11'!$B$26:$AM$105,AK$22,)*(VLOOKUP($B86,'A1.3.7'!$B$28:$O$118,4,)+VLOOKUP($B86,'A1.3.7'!$B$28:$O$118,9,))))</f>
        <v>17.27005238470209</v>
      </c>
      <c r="AL86" s="691">
        <f>IF('A1.3.8'!F$31="","",IF(OR(VLOOKUP($B86,'A1.3.11'!$B$26:$AM$105,AL$22,)="",VLOOKUP($B86,'A1.3.7'!$B$28:$H$118,4,)=""),"",VLOOKUP($B86,'A1.3.11'!$B$26:$AM$105,AL$22,)*(VLOOKUP($B86,'A1.3.7'!$B$28:$O$118,4,)+VLOOKUP($B86,'A1.3.7'!$B$28:$O$118,9,))))</f>
        <v>-0.12482804828859684</v>
      </c>
      <c r="AM86" s="2644">
        <f>IF('A1.3.8'!G$31="","",IF(OR(VLOOKUP($B86,'A1.3.11'!$B$26:$AM$105,AM$22,)="",VLOOKUP($B86,'A1.3.7'!$B$28:$H$118,4,)=""),"",VLOOKUP($B86,'A1.3.11'!$B$26:$AM$105,AM$22,)*(VLOOKUP($B86,'A1.3.7'!$B$28:$O$118,4,)+VLOOKUP($B86,'A1.3.7'!$B$28:$O$118,9,))))</f>
        <v>1.3633225743557129E-3</v>
      </c>
      <c r="AN86" s="693" t="str">
        <f>IF('A1.3.8'!D$38="","",IF(OR(VLOOKUP($B86,'A1.3.11'!$B$26:$AM$105,AN$22,)="",VLOOKUP($B86,'A1.3.7'!$B$28:$H$118,6,)=""),"",VLOOKUP($B86,'A1.3.11'!$B$26:$AM$105,AN$22,)*VLOOKUP($B86,'A1.3.7'!$B$28:$O$118,6,)))</f>
        <v/>
      </c>
      <c r="AO86" s="691" t="str">
        <f>IF('A1.3.8'!E$38="","",IF(OR(VLOOKUP($B86,'A1.3.11'!$B$26:$AM$105,AO$22,)="",VLOOKUP($B86,'A1.3.7'!$B$28:$H$118,6,)=""),"",VLOOKUP($B86,'A1.3.11'!$B$26:$AM$105,AO$22,)*VLOOKUP($B86,'A1.3.7'!$B$28:$O$118,6,)))</f>
        <v/>
      </c>
      <c r="AP86" s="691" t="str">
        <f>IF('A1.3.8'!F$38="","",IF(OR(VLOOKUP($B86,'A1.3.11'!$B$26:$AM$105,AP$22,)="",VLOOKUP($B86,'A1.3.7'!$B$28:$H$118,6,)=""),"",VLOOKUP($B86,'A1.3.11'!$B$26:$AM$105,AP$22,)*VLOOKUP($B86,'A1.3.7'!$B$28:$O$118,6,)))</f>
        <v/>
      </c>
      <c r="AQ86" s="1664" t="str">
        <f>IF('A1.3.8'!G$38="","",IF(OR(VLOOKUP($B86,'A1.3.11'!$B$26:$AM$105,AQ$22,)="",VLOOKUP($B86,'A1.3.7'!$B$28:$H$118,6,)=""),"",VLOOKUP($B86,'A1.3.11'!$B$26:$AM$105,AQ$22,)*VLOOKUP($B86,'A1.3.7'!$B$28:$O$118,6,)))</f>
        <v/>
      </c>
      <c r="AR86" s="693">
        <f>IF(AND(AJ86="",AN86=""),"",IF(AJ86="",0,(AJ86*VLOOKUP($B86,'A1.3.9'!$B$26:$O$57,9,TRUE))) + IF(AN86="",0,(AN86*VLOOKUP($B86,'A1.3.9'!$B$26:$O$57,10,TRUE))))</f>
        <v>325.49871960532761</v>
      </c>
      <c r="AS86" s="691">
        <f>IF(AND(AK86="",AO86=""),"",IF(AK86="",0,(AK86*VLOOKUP($B86,'A1.3.9'!$B$26:$O$57,9,TRUE))) + IF(AO86="",0,(AO86*VLOOKUP($B86,'A1.3.9'!$B$26:$O$57,10,TRUE))))</f>
        <v>17.27005238470209</v>
      </c>
      <c r="AT86" s="691">
        <f>IF(AND(AL86="",AP86=""),"",IF(AL86="",0,(AL86*VLOOKUP($B86,'A1.3.9'!$B$26:$O$57,9,TRUE))) + IF(AP86="",0,(AP86*VLOOKUP($B86,'A1.3.9'!$B$26:$O$57,10,TRUE))))</f>
        <v>-0.12482804828859684</v>
      </c>
      <c r="AU86" s="2644">
        <f>IF(AND(AM86="",AQ86=""),"",IF(AM86="",0,(AM86*VLOOKUP($B86,'A1.3.9'!$B$26:$O$57,9,TRUE))) + IF(AQ86="",0,(AQ86*VLOOKUP($B86,'A1.3.9'!$B$26:$O$57,10,TRUE))))</f>
        <v>1.3633225743557129E-3</v>
      </c>
      <c r="AV86" s="693">
        <f>IF('A1.3.8'!D$32="","",IF(OR(VLOOKUP($B86,'A1.3.11'!$B$26:$AM$105,AV$22,)="",VLOOKUP($B86,'A1.3.7'!$B$28:$H$118,4,)=""),"",VLOOKUP($B86,'A1.3.11'!$B$26:$AM$105,AV$22,)*(VLOOKUP($B86,'A1.3.7'!$B$28:$O$118,4,)+VLOOKUP($B86,'A1.3.7'!$B$28:$O$118,9,))))</f>
        <v>683.95762728572174</v>
      </c>
      <c r="AW86" s="691">
        <f>IF('A1.3.8'!E$32="","",IF(OR(VLOOKUP($B86,'A1.3.11'!$B$26:$AM$105,AW$22,)="",VLOOKUP($B86,'A1.3.7'!$B$28:$H$118,4,)=""),"",VLOOKUP($B86,'A1.3.11'!$B$26:$AM$105,AW$22,)*(VLOOKUP($B86,'A1.3.7'!$B$28:$O$118,4,)+VLOOKUP($B86,'A1.3.7'!$B$28:$O$118,9,))))</f>
        <v>35.519131490591086</v>
      </c>
      <c r="AX86" s="691">
        <f>IF('A1.3.8'!F$32="","",IF(OR(VLOOKUP($B86,'A1.3.11'!$B$26:$AM$105,AX$22,)="",VLOOKUP($B86,'A1.3.7'!$B$28:$H$118,4,)=""),"",VLOOKUP($B86,'A1.3.11'!$B$26:$AM$105,AX$22,)*(VLOOKUP($B86,'A1.3.7'!$B$28:$O$118,4,)+VLOOKUP($B86,'A1.3.7'!$B$28:$O$118,9,))))</f>
        <v>-0.23533293143651063</v>
      </c>
      <c r="AY86" s="2644">
        <f>IF('A1.3.8'!G$32="","",IF(OR(VLOOKUP($B86,'A1.3.11'!$B$26:$AM$105,AY$22,)="",VLOOKUP($B86,'A1.3.7'!$B$28:$H$118,4,)=""),"",VLOOKUP($B86,'A1.3.11'!$B$26:$AM$105,AY$22,)*(VLOOKUP($B86,'A1.3.7'!$B$28:$O$118,4,)+VLOOKUP($B86,'A1.3.7'!$B$28:$O$118,9,))))</f>
        <v>1.4026821303868633E-3</v>
      </c>
      <c r="AZ86" s="693" t="str">
        <f>IF('A1.3.8'!D$39="","",IF(OR(VLOOKUP($B86,'A1.3.11'!$B$26:$AM$105,AZ$22,)="",VLOOKUP($B86,'A1.3.7'!$B$28:$H$118,6,)=""),"",VLOOKUP($B86,'A1.3.11'!$B$26:$AM$105,AZ$22,)*VLOOKUP($B86,'A1.3.7'!$B$28:$O$118,6,)))</f>
        <v/>
      </c>
      <c r="BA86" s="691" t="str">
        <f>IF('A1.3.8'!E$39="","",IF(OR(VLOOKUP($B86,'A1.3.11'!$B$26:$AM$105,BA$22,)="",VLOOKUP($B86,'A1.3.7'!$B$28:$H$118,6,)=""),"",VLOOKUP($B86,'A1.3.11'!$B$26:$AM$105,BA$22,)*VLOOKUP($B86,'A1.3.7'!$B$28:$O$118,6,)))</f>
        <v/>
      </c>
      <c r="BB86" s="691" t="str">
        <f>IF('A1.3.8'!F$39="","",IF(OR(VLOOKUP($B86,'A1.3.11'!$B$26:$AM$105,BB$22,)="",VLOOKUP($B86,'A1.3.7'!$B$28:$H$118,6,)=""),"",VLOOKUP($B86,'A1.3.11'!$B$26:$AM$105,BB$22,)*VLOOKUP($B86,'A1.3.7'!$B$28:$O$118,6,)))</f>
        <v/>
      </c>
      <c r="BC86" s="1664" t="str">
        <f>IF('A1.3.8'!G$39="","",IF(OR(VLOOKUP($B86,'A1.3.11'!$B$26:$AM$105,BC$22,)="",VLOOKUP($B86,'A1.3.7'!$B$28:$H$118,6,)=""),"",VLOOKUP($B86,'A1.3.11'!$B$26:$AM$105,BC$22,)*VLOOKUP($B86,'A1.3.7'!$B$28:$O$118,6,)))</f>
        <v/>
      </c>
      <c r="BD86" s="693">
        <f>IF(AND(AV86="",AZ86=""),"",IF(AV86="",0,(AV86*VLOOKUP($B86,'A1.3.9'!$B$26:$O$57,9,TRUE))) + IF(AZ86="",0,(AZ86*VLOOKUP($B86,'A1.3.9'!$B$26:$O$57,10,TRUE))))</f>
        <v>683.95762728572174</v>
      </c>
      <c r="BE86" s="691">
        <f>IF(AND(AW86="",BA86=""),"",IF(AW86="",0,(AW86*VLOOKUP($B86,'A1.3.9'!$B$26:$O$57,9,TRUE))) + IF(BA86="",0,(BA86*VLOOKUP($B86,'A1.3.9'!$B$26:$O$57,10,TRUE))))</f>
        <v>35.519131490591086</v>
      </c>
      <c r="BF86" s="691">
        <f>IF(AND(AX86="",BB86=""),"",IF(AX86="",0,(AX86*VLOOKUP($B86,'A1.3.9'!$B$26:$O$57,9,TRUE))) + IF(BB86="",0,(BB86*VLOOKUP($B86,'A1.3.9'!$B$26:$O$57,10,TRUE))))</f>
        <v>-0.23533293143651063</v>
      </c>
      <c r="BG86" s="2644">
        <f>IF(AND(AY86="",BC86=""),"",IF(AY86="",0,(AY86*VLOOKUP($B86,'A1.3.9'!$B$26:$O$57,9,TRUE))) + IF(BC86="",0,(BC86*VLOOKUP($B86,'A1.3.9'!$B$26:$O$57,10,TRUE))))</f>
        <v>1.4026821303868633E-3</v>
      </c>
      <c r="BH86" s="693">
        <f>IF('A1.3.8'!D$33="","",IF(OR(VLOOKUP($B86,'A1.3.11'!$B$26:$AM$105,BH$22,)="",VLOOKUP($B86,'A1.3.7'!$B$28:$H$118,4,)=""),"",VLOOKUP($B86,'A1.3.11'!$B$26:$AM$105,BH$22,)*(VLOOKUP($B86,'A1.3.7'!$B$28:$O$118,4,)+VLOOKUP($B86,'A1.3.7'!$B$28:$O$118,9,))))</f>
        <v>405.64577725191441</v>
      </c>
      <c r="BI86" s="691">
        <f>IF('A1.3.8'!E$33="","",IF(OR(VLOOKUP($B86,'A1.3.11'!$B$26:$AM$105,BI$22,)="",VLOOKUP($B86,'A1.3.7'!$B$28:$H$118,4,)=""),"",VLOOKUP($B86,'A1.3.11'!$B$26:$AM$105,BI$22,)*(VLOOKUP($B86,'A1.3.7'!$B$28:$O$118,4,)+VLOOKUP($B86,'A1.3.7'!$B$28:$O$118,9,))))</f>
        <v>35.64285753340446</v>
      </c>
      <c r="BJ86" s="691">
        <f>IF('A1.3.8'!F$33="","",IF(OR(VLOOKUP($B86,'A1.3.11'!$B$26:$AM$105,BJ$22,)="",VLOOKUP($B86,'A1.3.7'!$B$28:$H$118,4,)=""),"",VLOOKUP($B86,'A1.3.11'!$B$26:$AM$105,BJ$22,)*(VLOOKUP($B86,'A1.3.7'!$B$28:$O$118,4,)+VLOOKUP($B86,'A1.3.7'!$B$28:$O$118,9,))))</f>
        <v>-0.38740609317075642</v>
      </c>
      <c r="BK86" s="2644">
        <f>IF('A1.3.8'!G$33="","",IF(OR(VLOOKUP($B86,'A1.3.11'!$B$26:$AM$105,BK$22,)="",VLOOKUP($B86,'A1.3.7'!$B$28:$H$118,4,)=""),"",VLOOKUP($B86,'A1.3.11'!$B$26:$AM$105,BK$22,)*(VLOOKUP($B86,'A1.3.7'!$B$28:$O$118,4,)+VLOOKUP($B86,'A1.3.7'!$B$28:$O$118,9,))))</f>
        <v>2.8417820457807019E-3</v>
      </c>
      <c r="BL86" s="693" t="str">
        <f>IF('A1.3.8'!D$40="","",IF(OR(VLOOKUP($B86,'A1.3.11'!$B$26:$AM$105,BL$22,)="",VLOOKUP($B86,'A1.3.7'!$B$28:$H$118,6,)=""),"",VLOOKUP($B86,'A1.3.11'!$B$26:$AM$105,BL$22,)*VLOOKUP($B86,'A1.3.7'!$B$28:$O$118,6,)))</f>
        <v/>
      </c>
      <c r="BM86" s="691" t="str">
        <f>IF('A1.3.8'!E$40="","",IF(OR(VLOOKUP($B86,'A1.3.11'!$B$26:$AM$105,BM$22,)="",VLOOKUP($B86,'A1.3.7'!$B$28:$H$118,6,)=""),"",VLOOKUP($B86,'A1.3.11'!$B$26:$AM$105,BM$22,)*VLOOKUP($B86,'A1.3.7'!$B$28:$O$118,6,)))</f>
        <v/>
      </c>
      <c r="BN86" s="691" t="str">
        <f>IF('A1.3.8'!F$40="","",IF(OR(VLOOKUP($B86,'A1.3.11'!$B$26:$AM$105,BN$22,)="",VLOOKUP($B86,'A1.3.7'!$B$28:$H$118,6,)=""),"",VLOOKUP($B86,'A1.3.11'!$B$26:$AM$105,BN$22,)*VLOOKUP($B86,'A1.3.7'!$B$28:$O$118,6,)))</f>
        <v/>
      </c>
      <c r="BO86" s="1664" t="str">
        <f>IF('A1.3.8'!G$40="","",IF(OR(VLOOKUP($B86,'A1.3.11'!$B$26:$AM$105,BO$22,)="",VLOOKUP($B86,'A1.3.7'!$B$28:$H$118,6,)=""),"",VLOOKUP($B86,'A1.3.11'!$B$26:$AM$105,BO$22,)*VLOOKUP($B86,'A1.3.7'!$B$28:$O$118,6,)))</f>
        <v/>
      </c>
      <c r="BP86" s="693">
        <f>IF(AND(BH86="",BL86=""),"",IF(BH86="",0,(BH86*VLOOKUP($B86,'A1.3.9'!$B$26:$O$57,9,TRUE))) + IF(BL86="",0,(BL86*VLOOKUP($B86,'A1.3.9'!$B$26:$O$57,10,TRUE))))</f>
        <v>405.64577725191441</v>
      </c>
      <c r="BQ86" s="691">
        <f>IF(AND(BI86="",BM86=""),"",IF(BI86="",0,(BI86*VLOOKUP($B86,'A1.3.9'!$B$26:$O$57,9,TRUE))) + IF(BM86="",0,(BM86*VLOOKUP($B86,'A1.3.9'!$B$26:$O$57,10,TRUE))))</f>
        <v>35.64285753340446</v>
      </c>
      <c r="BR86" s="691">
        <f>IF(AND(BJ86="",BN86=""),"",IF(BJ86="",0,(BJ86*VLOOKUP($B86,'A1.3.9'!$B$26:$O$57,9,TRUE))) + IF(BN86="",0,(BN86*VLOOKUP($B86,'A1.3.9'!$B$26:$O$57,10,TRUE))))</f>
        <v>-0.38740609317075642</v>
      </c>
      <c r="BS86" s="2644">
        <f>IF(AND(BK86="",BO86=""),"",IF(BK86="",0,(BK86*VLOOKUP($B86,'A1.3.9'!$B$26:$O$57,9,TRUE))) + IF(BO86="",0,(BO86*VLOOKUP($B86,'A1.3.9'!$B$26:$O$57,10,TRUE))))</f>
        <v>2.8417820457807019E-3</v>
      </c>
    </row>
    <row r="87" spans="1:71" ht="13.5" customHeight="1">
      <c r="A87" s="113"/>
      <c r="B87" s="614">
        <f t="shared" si="0"/>
        <v>2070</v>
      </c>
      <c r="C87" s="147"/>
      <c r="D87" s="693">
        <f>IF('A1.3.8'!D$27="","",IF(OR(VLOOKUP($B87,'A1.3.11'!$B$26:$AM$105,D$22,)="",VLOOKUP($B87,'A1.3.7'!$B$28:$H$118,3,)=""),"",VLOOKUP($B87,'A1.3.11'!$B$26:$AM$105,D$22,)*(VLOOKUP($B87,'A1.3.7'!$B$28:$O$118,3,)+VLOOKUP($B87,'A1.3.7'!$B$28:$O$118,8,))))</f>
        <v>38.144555896361197</v>
      </c>
      <c r="E87" s="691">
        <f>IF('A1.3.8'!E$27="","",IF(OR(VLOOKUP($B87,'A1.3.11'!$B$26:$AM$105,E$22,)="",VLOOKUP($B87,'A1.3.7'!$B$28:$H$118,3,)=""),"",VLOOKUP($B87,'A1.3.11'!$B$26:$AM$105,E$22,)*(VLOOKUP($B87,'A1.3.7'!$B$28:$O$118,3,)+VLOOKUP($B87,'A1.3.7'!$B$28:$O$118,8,))))</f>
        <v>8.1063368673166281</v>
      </c>
      <c r="F87" s="691">
        <f>IF('A1.3.8'!F$27="","",IF(OR(VLOOKUP($B87,'A1.3.11'!$B$26:$AM$105,F$22,)="",VLOOKUP($B87,'A1.3.7'!$B$28:$H$118,3,)=""),"",VLOOKUP($B87,'A1.3.11'!$B$26:$AM$105,F$22,)*(VLOOKUP($B87,'A1.3.7'!$B$28:$O$118,3,)+VLOOKUP($B87,'A1.3.7'!$B$28:$O$118,8,))))</f>
        <v>-9.2340790107648424E-2</v>
      </c>
      <c r="G87" s="2644">
        <f>IF('A1.3.8'!G$27="","",IF(OR(VLOOKUP($B87,'A1.3.11'!$B$26:$AM$105,G$22,)="",VLOOKUP($B87,'A1.3.7'!$B$28:$H$118,3,)=""),"",VLOOKUP($B87,'A1.3.11'!$B$26:$AM$105,G$22,)*(VLOOKUP($B87,'A1.3.7'!$B$28:$O$118,3,)+VLOOKUP($B87,'A1.3.7'!$B$28:$O$118,8,))))</f>
        <v>6.1156562301775859E-4</v>
      </c>
      <c r="H87" s="693">
        <f>IF('A1.3.8'!D$28="","",IF(OR(VLOOKUP($B87,'A1.3.11'!$B$26:$AM$105,H$22,)="",VLOOKUP($B87,'A1.3.7'!$B$28:$H$118,4,)=""),"",VLOOKUP($B87,'A1.3.11'!$B$26:$AM$105,H$22,)*(VLOOKUP($B87,'A1.3.7'!$B$28:$O$118,4,)+VLOOKUP($B87,'A1.3.7'!$B$28:$O$118,9,))))</f>
        <v>46.949924393754387</v>
      </c>
      <c r="I87" s="691">
        <f>IF('A1.3.8'!E$28="","",IF(OR(VLOOKUP($B87,'A1.3.11'!$B$26:$AM$105,I$22,)="",VLOOKUP($B87,'A1.3.7'!$B$28:$H$118,4,)=""),"",VLOOKUP($B87,'A1.3.11'!$B$26:$AM$105,I$22,)*(VLOOKUP($B87,'A1.3.7'!$B$28:$O$118,4,)+VLOOKUP($B87,'A1.3.7'!$B$28:$O$118,9,))))</f>
        <v>6.7314580877541701</v>
      </c>
      <c r="J87" s="691">
        <f>IF('A1.3.8'!F$28="","",IF(OR(VLOOKUP($B87,'A1.3.11'!$B$26:$AM$105,J$22,)="",VLOOKUP($B87,'A1.3.7'!$B$28:$H$118,4,)=""),"",VLOOKUP($B87,'A1.3.11'!$B$26:$AM$105,J$22,)*(VLOOKUP($B87,'A1.3.7'!$B$28:$O$118,4,)+VLOOKUP($B87,'A1.3.7'!$B$28:$O$118,9,))))</f>
        <v>-6.4758502058323772E-2</v>
      </c>
      <c r="K87" s="2644">
        <f>IF('A1.3.8'!G$28="","",IF(OR(VLOOKUP($B87,'A1.3.11'!$B$26:$AM$105,K$22,)="",VLOOKUP($B87,'A1.3.7'!$B$28:$H$118,4,)=""),"",VLOOKUP($B87,'A1.3.11'!$B$26:$AM$105,K$22,)*(VLOOKUP($B87,'A1.3.7'!$B$28:$O$118,4,)+VLOOKUP($B87,'A1.3.7'!$B$28:$O$118,9,))))</f>
        <v>5.1030024520212075E-4</v>
      </c>
      <c r="L87" s="693" t="str">
        <f>IF('A1.3.8'!D$36="","",IF(OR(VLOOKUP($B87,'A1.3.11'!$B$26:$AM$105,L$22,)="",VLOOKUP($B87,'A1.3.7'!$B$28:$H$118,6,)=""),"",VLOOKUP($B87,'A1.3.11'!$B$26:$AM$105,L$22,)*VLOOKUP($B87,'A1.3.7'!$B$28:$O$118,6,)))</f>
        <v/>
      </c>
      <c r="M87" s="691">
        <f>IF('A1.3.8'!E$36="","",IF(OR(VLOOKUP($B87,'A1.3.11'!$B$26:$AM$105,M$22,)="",VLOOKUP($B87,'A1.3.7'!$B$28:$H$118,6,)=""),"",VLOOKUP($B87,'A1.3.11'!$B$26:$AM$105,M$22,)*VLOOKUP($B87,'A1.3.7'!$B$28:$O$118,6,)))</f>
        <v>1.9637608285706969</v>
      </c>
      <c r="N87" s="691" t="str">
        <f>IF('A1.3.8'!F$36="","",IF(OR(VLOOKUP($B87,'A1.3.11'!$B$26:$AM$105,N$22,)="",VLOOKUP($B87,'A1.3.7'!$B$28:$H$118,6,)=""),"",VLOOKUP($B87,'A1.3.11'!$B$26:$AM$105,N$22,)*VLOOKUP($B87,'A1.3.7'!$B$28:$O$118,6,)))</f>
        <v/>
      </c>
      <c r="O87" s="1664" t="str">
        <f>IF('A1.3.8'!G$36="","",IF(OR(VLOOKUP($B87,'A1.3.11'!$B$26:$AM$105,O$22,)="",VLOOKUP($B87,'A1.3.7'!$B$28:$H$118,6,)=""),"",VLOOKUP($B87,'A1.3.11'!$B$26:$AM$105,O$22,)*VLOOKUP($B87,'A1.3.7'!$B$28:$O$118,6,)))</f>
        <v/>
      </c>
      <c r="P87" s="693">
        <f>IF(AND(D87="",H87="",L87=""),"",IF(D87="",0,(D87*VLOOKUP($B87,'A1.3.9'!$B$26:$O$57,3,TRUE)))+IF(H87="",0,(H87*VLOOKUP($B87,'A1.3.9'!$B$26:$O$57,4,TRUE)))+IF(L87="",0,(L87*VLOOKUP($B87,'A1.3.9'!$B$26:$O$57,5,TRUE))))</f>
        <v>31.614051444229009</v>
      </c>
      <c r="Q87" s="691">
        <f>IF(AND(E87="",I87="",M87=""),"",IF(E87="",0,(E87*VLOOKUP($B87,'A1.3.9'!$B$26:$O$57,3,TRUE)))+IF(I87="",0,(I87*VLOOKUP($B87,'A1.3.9'!$B$26:$O$57,4,TRUE)))+IF(M87="",0,(M87*VLOOKUP($B87,'A1.3.9'!$B$26:$O$57,5,TRUE))))</f>
        <v>6.1929099631623057</v>
      </c>
      <c r="R87" s="691">
        <f>IF(AND(F87="",J87="",N87=""),"",IF(F87="",0,(F87*VLOOKUP($B87,'A1.3.9'!$B$26:$O$57,3,TRUE)))+IF(J87="",0,(J87*VLOOKUP($B87,'A1.3.9'!$B$26:$O$57,4,TRUE)))+IF(N87="",0,(N87*VLOOKUP($B87,'A1.3.9'!$B$26:$O$57,5,TRUE))))</f>
        <v>-6.1442994728243147E-2</v>
      </c>
      <c r="S87" s="2644">
        <f>IF(AND(G87="",K87="",O87=""),"",IF(G87="",0,(G87*VLOOKUP($B87,'A1.3.9'!$B$26:$O$57,3,TRUE)))+IF(K87="",0,(K87*VLOOKUP($B87,'A1.3.9'!$B$26:$O$57,4,TRUE)))+IF(O87="",0,(O87*VLOOKUP($B87,'A1.3.9'!$B$26:$O$57,5,TRUE))))</f>
        <v>4.3205280433346538E-4</v>
      </c>
      <c r="T87" s="693">
        <f>IF('A1.3.8'!D$29="","",IF(OR(VLOOKUP($B87,'A1.3.11'!$B$26:$AM$105,T$22,)="",VLOOKUP($B87,'A1.3.7'!$B$28:$H$118,3,)=""),"",VLOOKUP($B87,'A1.3.11'!$B$26:$AM$105,T$22,)*(VLOOKUP($B87,'A1.3.7'!$B$28:$O$118,3,)+VLOOKUP($B87,'A1.3.7'!$B$28:$O$118,8,))))</f>
        <v>27.438640481518885</v>
      </c>
      <c r="U87" s="691">
        <f>IF('A1.3.8'!E$29="","",IF(OR(VLOOKUP($B87,'A1.3.11'!$B$26:$AM$105,U$22,)="",VLOOKUP($B87,'A1.3.7'!$B$28:$H$118,3,)=""),"",VLOOKUP($B87,'A1.3.11'!$B$26:$AM$105,U$22,)*(VLOOKUP($B87,'A1.3.7'!$B$28:$O$118,3,)+VLOOKUP($B87,'A1.3.7'!$B$28:$O$118,8,))))</f>
        <v>15.386001257545411</v>
      </c>
      <c r="V87" s="691">
        <f>IF('A1.3.8'!F$29="","",IF(OR(VLOOKUP($B87,'A1.3.11'!$B$26:$AM$105,V$22,)="",VLOOKUP($B87,'A1.3.7'!$B$28:$H$118,3,)=""),"",VLOOKUP($B87,'A1.3.11'!$B$26:$AM$105,V$22,)*(VLOOKUP($B87,'A1.3.7'!$B$28:$O$118,3,)+VLOOKUP($B87,'A1.3.7'!$B$28:$O$118,8,))))</f>
        <v>-0.24150971681657243</v>
      </c>
      <c r="W87" s="2644">
        <f>IF('A1.3.8'!G$29="","",IF(OR(VLOOKUP($B87,'A1.3.11'!$B$26:$AM$105,W$22,)="",VLOOKUP($B87,'A1.3.7'!$B$28:$H$118,3,)=""),"",VLOOKUP($B87,'A1.3.11'!$B$26:$AM$105,W$22,)*(VLOOKUP($B87,'A1.3.7'!$B$28:$O$118,3,)+VLOOKUP($B87,'A1.3.7'!$B$28:$O$118,8,))))</f>
        <v>1.5596787769849431E-3</v>
      </c>
      <c r="X87" s="693">
        <f>IF('A1.3.8'!D$30="","",IF(OR(VLOOKUP($B87,'A1.3.11'!$B$26:$AM$105,X$22,)="",VLOOKUP($B87,'A1.3.7'!$B$28:$H$118,4,)=""),"",VLOOKUP($B87,'A1.3.11'!$B$26:$AM$105,X$22,)*(VLOOKUP($B87,'A1.3.7'!$B$28:$O$118,4,)+VLOOKUP($B87,'A1.3.7'!$B$28:$O$118,9,))))</f>
        <v>48.353867164425765</v>
      </c>
      <c r="Y87" s="691">
        <f>IF('A1.3.8'!E$30="","",IF(OR(VLOOKUP($B87,'A1.3.11'!$B$26:$AM$105,Y$22,)="",VLOOKUP($B87,'A1.3.7'!$B$28:$H$118,4,)=""),"",VLOOKUP($B87,'A1.3.11'!$B$26:$AM$105,Y$22,)*(VLOOKUP($B87,'A1.3.7'!$B$28:$O$118,4,)+VLOOKUP($B87,'A1.3.7'!$B$28:$O$118,9,))))</f>
        <v>11.817882193034636</v>
      </c>
      <c r="Z87" s="691">
        <f>IF('A1.3.8'!F$30="","",IF(OR(VLOOKUP($B87,'A1.3.11'!$B$26:$AM$105,Z$22,)="",VLOOKUP($B87,'A1.3.7'!$B$28:$H$118,4,)=""),"",VLOOKUP($B87,'A1.3.11'!$B$26:$AM$105,Z$22,)*(VLOOKUP($B87,'A1.3.7'!$B$28:$O$118,4,)+VLOOKUP($B87,'A1.3.7'!$B$28:$O$118,9,))))</f>
        <v>-0.17049442896166828</v>
      </c>
      <c r="AA87" s="2644">
        <f>IF('A1.3.8'!G$30="","",IF(OR(VLOOKUP($B87,'A1.3.11'!$B$26:$AM$105,AA$22,)="",VLOOKUP($B87,'A1.3.7'!$B$28:$H$118,4,)=""),"",VLOOKUP($B87,'A1.3.11'!$B$26:$AM$105,AA$22,)*(VLOOKUP($B87,'A1.3.7'!$B$28:$O$118,4,)+VLOOKUP($B87,'A1.3.7'!$B$28:$O$118,9,))))</f>
        <v>1.4434117802435949E-3</v>
      </c>
      <c r="AB87" s="693" t="str">
        <f>IF('A1.3.8'!D$37="","",IF(OR(VLOOKUP($B87,'A1.3.11'!$B$26:$AM$105,AB$22,)="",VLOOKUP($B87,'A1.3.7'!$B$28:$H$118,6,)=""),"",VLOOKUP($B87,'A1.3.11'!$B$26:$AM$105,AB$22,)*VLOOKUP($B87,'A1.3.7'!$B$28:$O$118,6,)))</f>
        <v/>
      </c>
      <c r="AC87" s="691">
        <f>IF('A1.3.8'!E$37="","",IF(OR(VLOOKUP($B87,'A1.3.11'!$B$26:$AM$105,AC$22,)="",VLOOKUP($B87,'A1.3.7'!$B$28:$H$118,6,)=""),"",VLOOKUP($B87,'A1.3.11'!$B$26:$AM$105,AC$22,)*VLOOKUP($B87,'A1.3.7'!$B$28:$O$118,6,)))</f>
        <v>4.5145632825273854</v>
      </c>
      <c r="AD87" s="691" t="str">
        <f>IF('A1.3.8'!F$37="","",IF(OR(VLOOKUP($B87,'A1.3.11'!$B$26:$AM$105,AD$22,)="",VLOOKUP($B87,'A1.3.7'!$B$28:$H$118,6,)=""),"",VLOOKUP($B87,'A1.3.11'!$B$26:$AM$105,AD$22,)*VLOOKUP($B87,'A1.3.7'!$B$28:$O$118,6,)))</f>
        <v/>
      </c>
      <c r="AE87" s="1664" t="str">
        <f>IF('A1.3.8'!G$37="","",IF(OR(VLOOKUP($B87,'A1.3.11'!$B$26:$AM$105,AE$22,)="",VLOOKUP($B87,'A1.3.7'!$B$28:$H$118,6,)=""),"",VLOOKUP($B87,'A1.3.11'!$B$26:$AM$105,AE$22,)*VLOOKUP($B87,'A1.3.7'!$B$28:$O$118,6,)))</f>
        <v/>
      </c>
      <c r="AF87" s="693">
        <f>IF(AND(T87="",X87="",AB87=""),"",IF(T87="",0,(T87*VLOOKUP('A1.3.12'!$B87,'A1.3.9'!$B$26:$O$57,6,TRUE))) + IF(X87="",0,(X87*VLOOKUP('A1.3.12'!$B87,'A1.3.9'!$B$26:$O$57,7,TRUE))) + IF(AB87="",0,(AB87*VLOOKUP('A1.3.12'!$B87,'A1.3.9'!$B$26:$O$57,8,TRUE))))</f>
        <v>42.904360619586335</v>
      </c>
      <c r="AG87" s="691">
        <f>IF(AND(U87="",Y87="",AC87=""),"",IF(U87="",0,(U87*VLOOKUP('A1.3.12'!$B87,'A1.3.9'!$B$26:$O$57,6,TRUE))) + IF(Y87="",0,(Y87*VLOOKUP('A1.3.12'!$B87,'A1.3.9'!$B$26:$O$57,7,TRUE))) + IF(AC87="",0,(AC87*VLOOKUP('A1.3.12'!$B87,'A1.3.9'!$B$26:$O$57,8,TRUE))))</f>
        <v>11.04579513901076</v>
      </c>
      <c r="AH87" s="691">
        <f>IF(AND(V87="",Z87="",AD87=""),"",IF(V87="",0,(V87*VLOOKUP('A1.3.12'!$B87,'A1.3.9'!$B$26:$O$57,6,TRUE))) + IF(Z87="",0,(Z87*VLOOKUP('A1.3.12'!$B87,'A1.3.9'!$B$26:$O$57,7,TRUE))) + IF(AD87="",0,(AD87*VLOOKUP('A1.3.12'!$B87,'A1.3.9'!$B$26:$O$57,8,TRUE))))</f>
        <v>-0.15237710861998907</v>
      </c>
      <c r="AI87" s="2644">
        <f>IF(AND(W87="",AA87="",AE87=""),"",IF(W87="",0,(W87*VLOOKUP('A1.3.12'!$B87,'A1.3.9'!$B$26:$O$57,6,TRUE))) + IF(AA87="",0,(AA87*VLOOKUP('A1.3.12'!$B87,'A1.3.9'!$B$26:$O$57,7,TRUE))) + IF(AE87="",0,(AE87*VLOOKUP('A1.3.12'!$B87,'A1.3.9'!$B$26:$O$57,8,TRUE))))</f>
        <v>1.2863533235657073E-3</v>
      </c>
      <c r="AJ87" s="693">
        <f>IF('A1.3.8'!D$31="","",IF(OR(VLOOKUP($B87,'A1.3.11'!$B$26:$AM$105,AJ$22,)="",VLOOKUP($B87,'A1.3.7'!$B$28:$H$118,4,)=""),"",VLOOKUP($B87,'A1.3.11'!$B$26:$AM$105,AJ$22,)*(VLOOKUP($B87,'A1.3.7'!$B$28:$O$118,4,)+VLOOKUP($B87,'A1.3.7'!$B$28:$O$118,9,))))</f>
        <v>326.87034290920235</v>
      </c>
      <c r="AK87" s="691">
        <f>IF('A1.3.8'!E$31="","",IF(OR(VLOOKUP($B87,'A1.3.11'!$B$26:$AM$105,AK$22,)="",VLOOKUP($B87,'A1.3.7'!$B$28:$H$118,4,)=""),"",VLOOKUP($B87,'A1.3.11'!$B$26:$AM$105,AK$22,)*(VLOOKUP($B87,'A1.3.7'!$B$28:$O$118,4,)+VLOOKUP($B87,'A1.3.7'!$B$28:$O$118,9,))))</f>
        <v>17.342826883903555</v>
      </c>
      <c r="AL87" s="691">
        <f>IF('A1.3.8'!F$31="","",IF(OR(VLOOKUP($B87,'A1.3.11'!$B$26:$AM$105,AL$22,)="",VLOOKUP($B87,'A1.3.7'!$B$28:$H$118,4,)=""),"",VLOOKUP($B87,'A1.3.11'!$B$26:$AM$105,AL$22,)*(VLOOKUP($B87,'A1.3.7'!$B$28:$O$118,4,)+VLOOKUP($B87,'A1.3.7'!$B$28:$O$118,9,))))</f>
        <v>-0.12535406283088887</v>
      </c>
      <c r="AM87" s="2644">
        <f>IF('A1.3.8'!G$31="","",IF(OR(VLOOKUP($B87,'A1.3.11'!$B$26:$AM$105,AM$22,)="",VLOOKUP($B87,'A1.3.7'!$B$28:$H$118,4,)=""),"",VLOOKUP($B87,'A1.3.11'!$B$26:$AM$105,AM$22,)*(VLOOKUP($B87,'A1.3.7'!$B$28:$O$118,4,)+VLOOKUP($B87,'A1.3.7'!$B$28:$O$118,9,))))</f>
        <v>1.3690674971497325E-3</v>
      </c>
      <c r="AN87" s="693" t="str">
        <f>IF('A1.3.8'!D$38="","",IF(OR(VLOOKUP($B87,'A1.3.11'!$B$26:$AM$105,AN$22,)="",VLOOKUP($B87,'A1.3.7'!$B$28:$H$118,6,)=""),"",VLOOKUP($B87,'A1.3.11'!$B$26:$AM$105,AN$22,)*VLOOKUP($B87,'A1.3.7'!$B$28:$O$118,6,)))</f>
        <v/>
      </c>
      <c r="AO87" s="691" t="str">
        <f>IF('A1.3.8'!E$38="","",IF(OR(VLOOKUP($B87,'A1.3.11'!$B$26:$AM$105,AO$22,)="",VLOOKUP($B87,'A1.3.7'!$B$28:$H$118,6,)=""),"",VLOOKUP($B87,'A1.3.11'!$B$26:$AM$105,AO$22,)*VLOOKUP($B87,'A1.3.7'!$B$28:$O$118,6,)))</f>
        <v/>
      </c>
      <c r="AP87" s="691" t="str">
        <f>IF('A1.3.8'!F$38="","",IF(OR(VLOOKUP($B87,'A1.3.11'!$B$26:$AM$105,AP$22,)="",VLOOKUP($B87,'A1.3.7'!$B$28:$H$118,6,)=""),"",VLOOKUP($B87,'A1.3.11'!$B$26:$AM$105,AP$22,)*VLOOKUP($B87,'A1.3.7'!$B$28:$O$118,6,)))</f>
        <v/>
      </c>
      <c r="AQ87" s="1664" t="str">
        <f>IF('A1.3.8'!G$38="","",IF(OR(VLOOKUP($B87,'A1.3.11'!$B$26:$AM$105,AQ$22,)="",VLOOKUP($B87,'A1.3.7'!$B$28:$H$118,6,)=""),"",VLOOKUP($B87,'A1.3.11'!$B$26:$AM$105,AQ$22,)*VLOOKUP($B87,'A1.3.7'!$B$28:$O$118,6,)))</f>
        <v/>
      </c>
      <c r="AR87" s="693">
        <f>IF(AND(AJ87="",AN87=""),"",IF(AJ87="",0,(AJ87*VLOOKUP($B87,'A1.3.9'!$B$26:$O$57,9,TRUE))) + IF(AN87="",0,(AN87*VLOOKUP($B87,'A1.3.9'!$B$26:$O$57,10,TRUE))))</f>
        <v>326.87034290920235</v>
      </c>
      <c r="AS87" s="691">
        <f>IF(AND(AK87="",AO87=""),"",IF(AK87="",0,(AK87*VLOOKUP($B87,'A1.3.9'!$B$26:$O$57,9,TRUE))) + IF(AO87="",0,(AO87*VLOOKUP($B87,'A1.3.9'!$B$26:$O$57,10,TRUE))))</f>
        <v>17.342826883903555</v>
      </c>
      <c r="AT87" s="691">
        <f>IF(AND(AL87="",AP87=""),"",IF(AL87="",0,(AL87*VLOOKUP($B87,'A1.3.9'!$B$26:$O$57,9,TRUE))) + IF(AP87="",0,(AP87*VLOOKUP($B87,'A1.3.9'!$B$26:$O$57,10,TRUE))))</f>
        <v>-0.12535406283088887</v>
      </c>
      <c r="AU87" s="2644">
        <f>IF(AND(AM87="",AQ87=""),"",IF(AM87="",0,(AM87*VLOOKUP($B87,'A1.3.9'!$B$26:$O$57,9,TRUE))) + IF(AQ87="",0,(AQ87*VLOOKUP($B87,'A1.3.9'!$B$26:$O$57,10,TRUE))))</f>
        <v>1.3690674971497325E-3</v>
      </c>
      <c r="AV87" s="693">
        <f>IF('A1.3.8'!D$32="","",IF(OR(VLOOKUP($B87,'A1.3.11'!$B$26:$AM$105,AV$22,)="",VLOOKUP($B87,'A1.3.7'!$B$28:$H$118,4,)=""),"",VLOOKUP($B87,'A1.3.11'!$B$26:$AM$105,AV$22,)*(VLOOKUP($B87,'A1.3.7'!$B$28:$O$118,4,)+VLOOKUP($B87,'A1.3.7'!$B$28:$O$118,9,))))</f>
        <v>686.83976526029039</v>
      </c>
      <c r="AW87" s="691">
        <f>IF('A1.3.8'!E$32="","",IF(OR(VLOOKUP($B87,'A1.3.11'!$B$26:$AM$105,AW$22,)="",VLOOKUP($B87,'A1.3.7'!$B$28:$H$118,4,)=""),"",VLOOKUP($B87,'A1.3.11'!$B$26:$AM$105,AW$22,)*(VLOOKUP($B87,'A1.3.7'!$B$28:$O$118,4,)+VLOOKUP($B87,'A1.3.7'!$B$28:$O$118,9,))))</f>
        <v>35.668806022475451</v>
      </c>
      <c r="AX87" s="691">
        <f>IF('A1.3.8'!F$32="","",IF(OR(VLOOKUP($B87,'A1.3.11'!$B$26:$AM$105,AX$22,)="",VLOOKUP($B87,'A1.3.7'!$B$28:$H$118,4,)=""),"",VLOOKUP($B87,'A1.3.11'!$B$26:$AM$105,AX$22,)*(VLOOKUP($B87,'A1.3.7'!$B$28:$O$118,4,)+VLOOKUP($B87,'A1.3.7'!$B$28:$O$118,9,))))</f>
        <v>-0.23632460394852192</v>
      </c>
      <c r="AY87" s="2644">
        <f>IF('A1.3.8'!G$32="","",IF(OR(VLOOKUP($B87,'A1.3.11'!$B$26:$AM$105,AY$22,)="",VLOOKUP($B87,'A1.3.7'!$B$28:$H$118,4,)=""),"",VLOOKUP($B87,'A1.3.11'!$B$26:$AM$105,AY$22,)*(VLOOKUP($B87,'A1.3.7'!$B$28:$O$118,4,)+VLOOKUP($B87,'A1.3.7'!$B$28:$O$118,9,))))</f>
        <v>1.408592910927875E-3</v>
      </c>
      <c r="AZ87" s="693" t="str">
        <f>IF('A1.3.8'!D$39="","",IF(OR(VLOOKUP($B87,'A1.3.11'!$B$26:$AM$105,AZ$22,)="",VLOOKUP($B87,'A1.3.7'!$B$28:$H$118,6,)=""),"",VLOOKUP($B87,'A1.3.11'!$B$26:$AM$105,AZ$22,)*VLOOKUP($B87,'A1.3.7'!$B$28:$O$118,6,)))</f>
        <v/>
      </c>
      <c r="BA87" s="691" t="str">
        <f>IF('A1.3.8'!E$39="","",IF(OR(VLOOKUP($B87,'A1.3.11'!$B$26:$AM$105,BA$22,)="",VLOOKUP($B87,'A1.3.7'!$B$28:$H$118,6,)=""),"",VLOOKUP($B87,'A1.3.11'!$B$26:$AM$105,BA$22,)*VLOOKUP($B87,'A1.3.7'!$B$28:$O$118,6,)))</f>
        <v/>
      </c>
      <c r="BB87" s="691" t="str">
        <f>IF('A1.3.8'!F$39="","",IF(OR(VLOOKUP($B87,'A1.3.11'!$B$26:$AM$105,BB$22,)="",VLOOKUP($B87,'A1.3.7'!$B$28:$H$118,6,)=""),"",VLOOKUP($B87,'A1.3.11'!$B$26:$AM$105,BB$22,)*VLOOKUP($B87,'A1.3.7'!$B$28:$O$118,6,)))</f>
        <v/>
      </c>
      <c r="BC87" s="1664" t="str">
        <f>IF('A1.3.8'!G$39="","",IF(OR(VLOOKUP($B87,'A1.3.11'!$B$26:$AM$105,BC$22,)="",VLOOKUP($B87,'A1.3.7'!$B$28:$H$118,6,)=""),"",VLOOKUP($B87,'A1.3.11'!$B$26:$AM$105,BC$22,)*VLOOKUP($B87,'A1.3.7'!$B$28:$O$118,6,)))</f>
        <v/>
      </c>
      <c r="BD87" s="693">
        <f>IF(AND(AV87="",AZ87=""),"",IF(AV87="",0,(AV87*VLOOKUP($B87,'A1.3.9'!$B$26:$O$57,9,TRUE))) + IF(AZ87="",0,(AZ87*VLOOKUP($B87,'A1.3.9'!$B$26:$O$57,10,TRUE))))</f>
        <v>686.83976526029039</v>
      </c>
      <c r="BE87" s="691">
        <f>IF(AND(AW87="",BA87=""),"",IF(AW87="",0,(AW87*VLOOKUP($B87,'A1.3.9'!$B$26:$O$57,9,TRUE))) + IF(BA87="",0,(BA87*VLOOKUP($B87,'A1.3.9'!$B$26:$O$57,10,TRUE))))</f>
        <v>35.668806022475451</v>
      </c>
      <c r="BF87" s="691">
        <f>IF(AND(AX87="",BB87=""),"",IF(AX87="",0,(AX87*VLOOKUP($B87,'A1.3.9'!$B$26:$O$57,9,TRUE))) + IF(BB87="",0,(BB87*VLOOKUP($B87,'A1.3.9'!$B$26:$O$57,10,TRUE))))</f>
        <v>-0.23632460394852192</v>
      </c>
      <c r="BG87" s="2644">
        <f>IF(AND(AY87="",BC87=""),"",IF(AY87="",0,(AY87*VLOOKUP($B87,'A1.3.9'!$B$26:$O$57,9,TRUE))) + IF(BC87="",0,(BC87*VLOOKUP($B87,'A1.3.9'!$B$26:$O$57,10,TRUE))))</f>
        <v>1.408592910927875E-3</v>
      </c>
      <c r="BH87" s="693">
        <f>IF('A1.3.8'!D$33="","",IF(OR(VLOOKUP($B87,'A1.3.11'!$B$26:$AM$105,BH$22,)="",VLOOKUP($B87,'A1.3.7'!$B$28:$H$118,4,)=""),"",VLOOKUP($B87,'A1.3.11'!$B$26:$AM$105,BH$22,)*(VLOOKUP($B87,'A1.3.7'!$B$28:$O$118,4,)+VLOOKUP($B87,'A1.3.7'!$B$28:$O$118,9,))))</f>
        <v>407.35513328831217</v>
      </c>
      <c r="BI87" s="691">
        <f>IF('A1.3.8'!E$33="","",IF(OR(VLOOKUP($B87,'A1.3.11'!$B$26:$AM$105,BI$22,)="",VLOOKUP($B87,'A1.3.7'!$B$28:$H$118,4,)=""),"",VLOOKUP($B87,'A1.3.11'!$B$26:$AM$105,BI$22,)*(VLOOKUP($B87,'A1.3.7'!$B$28:$O$118,4,)+VLOOKUP($B87,'A1.3.7'!$B$28:$O$118,9,))))</f>
        <v>35.793053436075859</v>
      </c>
      <c r="BJ87" s="691">
        <f>IF('A1.3.8'!F$33="","",IF(OR(VLOOKUP($B87,'A1.3.11'!$B$26:$AM$105,BJ$22,)="",VLOOKUP($B87,'A1.3.7'!$B$28:$H$118,4,)=""),"",VLOOKUP($B87,'A1.3.11'!$B$26:$AM$105,BJ$22,)*(VLOOKUP($B87,'A1.3.7'!$B$28:$O$118,4,)+VLOOKUP($B87,'A1.3.7'!$B$28:$O$118,9,))))</f>
        <v>-0.38903858876428865</v>
      </c>
      <c r="BK87" s="2644">
        <f>IF('A1.3.8'!G$33="","",IF(OR(VLOOKUP($B87,'A1.3.11'!$B$26:$AM$105,BK$22,)="",VLOOKUP($B87,'A1.3.7'!$B$28:$H$118,4,)=""),"",VLOOKUP($B87,'A1.3.11'!$B$26:$AM$105,BK$22,)*(VLOOKUP($B87,'A1.3.7'!$B$28:$O$118,4,)+VLOOKUP($B87,'A1.3.7'!$B$28:$O$118,9,))))</f>
        <v>2.8537570682423937E-3</v>
      </c>
      <c r="BL87" s="693" t="str">
        <f>IF('A1.3.8'!D$40="","",IF(OR(VLOOKUP($B87,'A1.3.11'!$B$26:$AM$105,BL$22,)="",VLOOKUP($B87,'A1.3.7'!$B$28:$H$118,6,)=""),"",VLOOKUP($B87,'A1.3.11'!$B$26:$AM$105,BL$22,)*VLOOKUP($B87,'A1.3.7'!$B$28:$O$118,6,)))</f>
        <v/>
      </c>
      <c r="BM87" s="691" t="str">
        <f>IF('A1.3.8'!E$40="","",IF(OR(VLOOKUP($B87,'A1.3.11'!$B$26:$AM$105,BM$22,)="",VLOOKUP($B87,'A1.3.7'!$B$28:$H$118,6,)=""),"",VLOOKUP($B87,'A1.3.11'!$B$26:$AM$105,BM$22,)*VLOOKUP($B87,'A1.3.7'!$B$28:$O$118,6,)))</f>
        <v/>
      </c>
      <c r="BN87" s="691" t="str">
        <f>IF('A1.3.8'!F$40="","",IF(OR(VLOOKUP($B87,'A1.3.11'!$B$26:$AM$105,BN$22,)="",VLOOKUP($B87,'A1.3.7'!$B$28:$H$118,6,)=""),"",VLOOKUP($B87,'A1.3.11'!$B$26:$AM$105,BN$22,)*VLOOKUP($B87,'A1.3.7'!$B$28:$O$118,6,)))</f>
        <v/>
      </c>
      <c r="BO87" s="1664" t="str">
        <f>IF('A1.3.8'!G$40="","",IF(OR(VLOOKUP($B87,'A1.3.11'!$B$26:$AM$105,BO$22,)="",VLOOKUP($B87,'A1.3.7'!$B$28:$H$118,6,)=""),"",VLOOKUP($B87,'A1.3.11'!$B$26:$AM$105,BO$22,)*VLOOKUP($B87,'A1.3.7'!$B$28:$O$118,6,)))</f>
        <v/>
      </c>
      <c r="BP87" s="693">
        <f>IF(AND(BH87="",BL87=""),"",IF(BH87="",0,(BH87*VLOOKUP($B87,'A1.3.9'!$B$26:$O$57,9,TRUE))) + IF(BL87="",0,(BL87*VLOOKUP($B87,'A1.3.9'!$B$26:$O$57,10,TRUE))))</f>
        <v>407.35513328831217</v>
      </c>
      <c r="BQ87" s="691">
        <f>IF(AND(BI87="",BM87=""),"",IF(BI87="",0,(BI87*VLOOKUP($B87,'A1.3.9'!$B$26:$O$57,9,TRUE))) + IF(BM87="",0,(BM87*VLOOKUP($B87,'A1.3.9'!$B$26:$O$57,10,TRUE))))</f>
        <v>35.793053436075859</v>
      </c>
      <c r="BR87" s="691">
        <f>IF(AND(BJ87="",BN87=""),"",IF(BJ87="",0,(BJ87*VLOOKUP($B87,'A1.3.9'!$B$26:$O$57,9,TRUE))) + IF(BN87="",0,(BN87*VLOOKUP($B87,'A1.3.9'!$B$26:$O$57,10,TRUE))))</f>
        <v>-0.38903858876428865</v>
      </c>
      <c r="BS87" s="2644">
        <f>IF(AND(BK87="",BO87=""),"",IF(BK87="",0,(BK87*VLOOKUP($B87,'A1.3.9'!$B$26:$O$57,9,TRUE))) + IF(BO87="",0,(BO87*VLOOKUP($B87,'A1.3.9'!$B$26:$O$57,10,TRUE))))</f>
        <v>2.8537570682423937E-3</v>
      </c>
    </row>
    <row r="88" spans="1:71" ht="13.5" customHeight="1">
      <c r="A88" s="113"/>
      <c r="B88" s="614">
        <f t="shared" si="0"/>
        <v>2071</v>
      </c>
      <c r="C88" s="147"/>
      <c r="D88" s="693">
        <f>IF('A1.3.8'!D$27="","",IF(OR(VLOOKUP($B88,'A1.3.11'!$B$26:$AM$105,D$22,)="",VLOOKUP($B88,'A1.3.7'!$B$28:$H$118,3,)=""),"",VLOOKUP($B88,'A1.3.11'!$B$26:$AM$105,D$22,)*(VLOOKUP($B88,'A1.3.7'!$B$28:$O$118,3,)+VLOOKUP($B88,'A1.3.7'!$B$28:$O$118,8,))))</f>
        <v>38.311158291963103</v>
      </c>
      <c r="E88" s="691">
        <f>IF('A1.3.8'!E$27="","",IF(OR(VLOOKUP($B88,'A1.3.11'!$B$26:$AM$105,E$22,)="",VLOOKUP($B88,'A1.3.7'!$B$28:$H$118,3,)=""),"",VLOOKUP($B88,'A1.3.11'!$B$26:$AM$105,E$22,)*(VLOOKUP($B88,'A1.3.7'!$B$28:$O$118,3,)+VLOOKUP($B88,'A1.3.7'!$B$28:$O$118,8,))))</f>
        <v>8.1417425788241982</v>
      </c>
      <c r="F88" s="691">
        <f>IF('A1.3.8'!F$27="","",IF(OR(VLOOKUP($B88,'A1.3.11'!$B$26:$AM$105,F$22,)="",VLOOKUP($B88,'A1.3.7'!$B$28:$H$118,3,)=""),"",VLOOKUP($B88,'A1.3.11'!$B$26:$AM$105,F$22,)*(VLOOKUP($B88,'A1.3.7'!$B$28:$O$118,3,)+VLOOKUP($B88,'A1.3.7'!$B$28:$O$118,8,))))</f>
        <v>-9.2744103148846374E-2</v>
      </c>
      <c r="G88" s="2644">
        <f>IF('A1.3.8'!G$27="","",IF(OR(VLOOKUP($B88,'A1.3.11'!$B$26:$AM$105,G$22,)="",VLOOKUP($B88,'A1.3.7'!$B$28:$H$118,3,)=""),"",VLOOKUP($B88,'A1.3.11'!$B$26:$AM$105,G$22,)*(VLOOKUP($B88,'A1.3.7'!$B$28:$O$118,3,)+VLOOKUP($B88,'A1.3.7'!$B$28:$O$118,8,))))</f>
        <v>6.1423673283849832E-4</v>
      </c>
      <c r="H88" s="693">
        <f>IF('A1.3.8'!D$28="","",IF(OR(VLOOKUP($B88,'A1.3.11'!$B$26:$AM$105,H$22,)="",VLOOKUP($B88,'A1.3.7'!$B$28:$H$118,4,)=""),"",VLOOKUP($B88,'A1.3.11'!$B$26:$AM$105,H$22,)*(VLOOKUP($B88,'A1.3.7'!$B$28:$O$118,4,)+VLOOKUP($B88,'A1.3.7'!$B$28:$O$118,9,))))</f>
        <v>47.148285181696068</v>
      </c>
      <c r="I88" s="691">
        <f>IF('A1.3.8'!E$28="","",IF(OR(VLOOKUP($B88,'A1.3.11'!$B$26:$AM$105,I$22,)="",VLOOKUP($B88,'A1.3.7'!$B$28:$H$118,4,)=""),"",VLOOKUP($B88,'A1.3.11'!$B$26:$AM$105,I$22,)*(VLOOKUP($B88,'A1.3.7'!$B$28:$O$118,4,)+VLOOKUP($B88,'A1.3.7'!$B$28:$O$118,9,))))</f>
        <v>6.7598981192882981</v>
      </c>
      <c r="J88" s="691">
        <f>IF('A1.3.8'!F$28="","",IF(OR(VLOOKUP($B88,'A1.3.11'!$B$26:$AM$105,J$22,)="",VLOOKUP($B88,'A1.3.7'!$B$28:$H$118,4,)=""),"",VLOOKUP($B88,'A1.3.11'!$B$26:$AM$105,J$22,)*(VLOOKUP($B88,'A1.3.7'!$B$28:$O$118,4,)+VLOOKUP($B88,'A1.3.7'!$B$28:$O$118,9,))))</f>
        <v>-6.5032103084525228E-2</v>
      </c>
      <c r="K88" s="2644">
        <f>IF('A1.3.8'!G$28="","",IF(OR(VLOOKUP($B88,'A1.3.11'!$B$26:$AM$105,K$22,)="",VLOOKUP($B88,'A1.3.7'!$B$28:$H$118,4,)=""),"",VLOOKUP($B88,'A1.3.11'!$B$26:$AM$105,K$22,)*(VLOOKUP($B88,'A1.3.7'!$B$28:$O$118,4,)+VLOOKUP($B88,'A1.3.7'!$B$28:$O$118,9,))))</f>
        <v>5.1245623501535646E-4</v>
      </c>
      <c r="L88" s="693" t="str">
        <f>IF('A1.3.8'!D$36="","",IF(OR(VLOOKUP($B88,'A1.3.11'!$B$26:$AM$105,L$22,)="",VLOOKUP($B88,'A1.3.7'!$B$28:$H$118,6,)=""),"",VLOOKUP($B88,'A1.3.11'!$B$26:$AM$105,L$22,)*VLOOKUP($B88,'A1.3.7'!$B$28:$O$118,6,)))</f>
        <v/>
      </c>
      <c r="M88" s="691">
        <f>IF('A1.3.8'!E$36="","",IF(OR(VLOOKUP($B88,'A1.3.11'!$B$26:$AM$105,M$22,)="",VLOOKUP($B88,'A1.3.7'!$B$28:$H$118,6,)=""),"",VLOOKUP($B88,'A1.3.11'!$B$26:$AM$105,M$22,)*VLOOKUP($B88,'A1.3.7'!$B$28:$O$118,6,)))</f>
        <v>1.9637608285706969</v>
      </c>
      <c r="N88" s="691" t="str">
        <f>IF('A1.3.8'!F$36="","",IF(OR(VLOOKUP($B88,'A1.3.11'!$B$26:$AM$105,N$22,)="",VLOOKUP($B88,'A1.3.7'!$B$28:$H$118,6,)=""),"",VLOOKUP($B88,'A1.3.11'!$B$26:$AM$105,N$22,)*VLOOKUP($B88,'A1.3.7'!$B$28:$O$118,6,)))</f>
        <v/>
      </c>
      <c r="O88" s="1664" t="str">
        <f>IF('A1.3.8'!G$36="","",IF(OR(VLOOKUP($B88,'A1.3.11'!$B$26:$AM$105,O$22,)="",VLOOKUP($B88,'A1.3.7'!$B$28:$H$118,6,)=""),"",VLOOKUP($B88,'A1.3.11'!$B$26:$AM$105,O$22,)*VLOOKUP($B88,'A1.3.7'!$B$28:$O$118,6,)))</f>
        <v/>
      </c>
      <c r="P88" s="693">
        <f>IF(AND(D88="",H88="",L88=""),"",IF(D88="",0,(D88*VLOOKUP($B88,'A1.3.9'!$B$26:$O$57,3,TRUE)))+IF(H88="",0,(H88*VLOOKUP($B88,'A1.3.9'!$B$26:$O$57,4,TRUE)))+IF(L88="",0,(L88*VLOOKUP($B88,'A1.3.9'!$B$26:$O$57,5,TRUE))))</f>
        <v>31.750063256479919</v>
      </c>
      <c r="Q88" s="691">
        <f>IF(AND(E88="",I88="",M88=""),"",IF(E88="",0,(E88*VLOOKUP($B88,'A1.3.9'!$B$26:$O$57,3,TRUE)))+IF(I88="",0,(I88*VLOOKUP($B88,'A1.3.9'!$B$26:$O$57,4,TRUE)))+IF(M88="",0,(M88*VLOOKUP($B88,'A1.3.9'!$B$26:$O$57,5,TRUE))))</f>
        <v>6.2175826631961053</v>
      </c>
      <c r="R88" s="691">
        <f>IF(AND(F88="",J88="",N88=""),"",IF(F88="",0,(F88*VLOOKUP($B88,'A1.3.9'!$B$26:$O$57,3,TRUE)))+IF(J88="",0,(J88*VLOOKUP($B88,'A1.3.9'!$B$26:$O$57,4,TRUE)))+IF(N88="",0,(N88*VLOOKUP($B88,'A1.3.9'!$B$26:$O$57,5,TRUE))))</f>
        <v>-6.170850492962459E-2</v>
      </c>
      <c r="S88" s="2644">
        <f>IF(AND(G88="",K88="",O88=""),"",IF(G88="",0,(G88*VLOOKUP($B88,'A1.3.9'!$B$26:$O$57,3,TRUE)))+IF(K88="",0,(K88*VLOOKUP($B88,'A1.3.9'!$B$26:$O$57,4,TRUE)))+IF(O88="",0,(O88*VLOOKUP($B88,'A1.3.9'!$B$26:$O$57,5,TRUE))))</f>
        <v>4.3391739097475347E-4</v>
      </c>
      <c r="T88" s="693">
        <f>IF('A1.3.8'!D$29="","",IF(OR(VLOOKUP($B88,'A1.3.11'!$B$26:$AM$105,T$22,)="",VLOOKUP($B88,'A1.3.7'!$B$28:$H$118,3,)=""),"",VLOOKUP($B88,'A1.3.11'!$B$26:$AM$105,T$22,)*(VLOOKUP($B88,'A1.3.7'!$B$28:$O$118,3,)+VLOOKUP($B88,'A1.3.7'!$B$28:$O$118,8,))))</f>
        <v>27.55848309415018</v>
      </c>
      <c r="U88" s="691">
        <f>IF('A1.3.8'!E$29="","",IF(OR(VLOOKUP($B88,'A1.3.11'!$B$26:$AM$105,U$22,)="",VLOOKUP($B88,'A1.3.7'!$B$28:$H$118,3,)=""),"",VLOOKUP($B88,'A1.3.11'!$B$26:$AM$105,U$22,)*(VLOOKUP($B88,'A1.3.7'!$B$28:$O$118,3,)+VLOOKUP($B88,'A1.3.7'!$B$28:$O$118,8,))))</f>
        <v>15.453202057450005</v>
      </c>
      <c r="V88" s="691">
        <f>IF('A1.3.8'!F$29="","",IF(OR(VLOOKUP($B88,'A1.3.11'!$B$26:$AM$105,V$22,)="",VLOOKUP($B88,'A1.3.7'!$B$28:$H$118,3,)=""),"",VLOOKUP($B88,'A1.3.11'!$B$26:$AM$105,V$22,)*(VLOOKUP($B88,'A1.3.7'!$B$28:$O$118,3,)+VLOOKUP($B88,'A1.3.7'!$B$28:$O$118,8,))))</f>
        <v>-0.24256454879553424</v>
      </c>
      <c r="W88" s="2644">
        <f>IF('A1.3.8'!G$29="","",IF(OR(VLOOKUP($B88,'A1.3.11'!$B$26:$AM$105,W$22,)="",VLOOKUP($B88,'A1.3.7'!$B$28:$H$118,3,)=""),"",VLOOKUP($B88,'A1.3.11'!$B$26:$AM$105,W$22,)*(VLOOKUP($B88,'A1.3.7'!$B$28:$O$118,3,)+VLOOKUP($B88,'A1.3.7'!$B$28:$O$118,8,))))</f>
        <v>1.566490921326619E-3</v>
      </c>
      <c r="X88" s="693">
        <f>IF('A1.3.8'!D$30="","",IF(OR(VLOOKUP($B88,'A1.3.11'!$B$26:$AM$105,X$22,)="",VLOOKUP($B88,'A1.3.7'!$B$28:$H$118,4,)=""),"",VLOOKUP($B88,'A1.3.11'!$B$26:$AM$105,X$22,)*(VLOOKUP($B88,'A1.3.7'!$B$28:$O$118,4,)+VLOOKUP($B88,'A1.3.7'!$B$28:$O$118,9,))))</f>
        <v>48.558159531551247</v>
      </c>
      <c r="Y88" s="691">
        <f>IF('A1.3.8'!E$30="","",IF(OR(VLOOKUP($B88,'A1.3.11'!$B$26:$AM$105,Y$22,)="",VLOOKUP($B88,'A1.3.7'!$B$28:$H$118,4,)=""),"",VLOOKUP($B88,'A1.3.11'!$B$26:$AM$105,Y$22,)*(VLOOKUP($B88,'A1.3.7'!$B$28:$O$118,4,)+VLOOKUP($B88,'A1.3.7'!$B$28:$O$118,9,))))</f>
        <v>11.86781208011927</v>
      </c>
      <c r="Z88" s="691">
        <f>IF('A1.3.8'!F$30="","",IF(OR(VLOOKUP($B88,'A1.3.11'!$B$26:$AM$105,Z$22,)="",VLOOKUP($B88,'A1.3.7'!$B$28:$H$118,4,)=""),"",VLOOKUP($B88,'A1.3.11'!$B$26:$AM$105,Z$22,)*(VLOOKUP($B88,'A1.3.7'!$B$28:$O$118,4,)+VLOOKUP($B88,'A1.3.7'!$B$28:$O$118,9,))))</f>
        <v>-0.17121475832758737</v>
      </c>
      <c r="AA88" s="2644">
        <f>IF('A1.3.8'!G$30="","",IF(OR(VLOOKUP($B88,'A1.3.11'!$B$26:$AM$105,AA$22,)="",VLOOKUP($B88,'A1.3.7'!$B$28:$H$118,4,)=""),"",VLOOKUP($B88,'A1.3.11'!$B$26:$AM$105,AA$22,)*(VLOOKUP($B88,'A1.3.7'!$B$28:$O$118,4,)+VLOOKUP($B88,'A1.3.7'!$B$28:$O$118,9,))))</f>
        <v>1.4495101137712949E-3</v>
      </c>
      <c r="AB88" s="693" t="str">
        <f>IF('A1.3.8'!D$37="","",IF(OR(VLOOKUP($B88,'A1.3.11'!$B$26:$AM$105,AB$22,)="",VLOOKUP($B88,'A1.3.7'!$B$28:$H$118,6,)=""),"",VLOOKUP($B88,'A1.3.11'!$B$26:$AM$105,AB$22,)*VLOOKUP($B88,'A1.3.7'!$B$28:$O$118,6,)))</f>
        <v/>
      </c>
      <c r="AC88" s="691">
        <f>IF('A1.3.8'!E$37="","",IF(OR(VLOOKUP($B88,'A1.3.11'!$B$26:$AM$105,AC$22,)="",VLOOKUP($B88,'A1.3.7'!$B$28:$H$118,6,)=""),"",VLOOKUP($B88,'A1.3.11'!$B$26:$AM$105,AC$22,)*VLOOKUP($B88,'A1.3.7'!$B$28:$O$118,6,)))</f>
        <v>4.5145632825273854</v>
      </c>
      <c r="AD88" s="691" t="str">
        <f>IF('A1.3.8'!F$37="","",IF(OR(VLOOKUP($B88,'A1.3.11'!$B$26:$AM$105,AD$22,)="",VLOOKUP($B88,'A1.3.7'!$B$28:$H$118,6,)=""),"",VLOOKUP($B88,'A1.3.11'!$B$26:$AM$105,AD$22,)*VLOOKUP($B88,'A1.3.7'!$B$28:$O$118,6,)))</f>
        <v/>
      </c>
      <c r="AE88" s="1664" t="str">
        <f>IF('A1.3.8'!G$37="","",IF(OR(VLOOKUP($B88,'A1.3.11'!$B$26:$AM$105,AE$22,)="",VLOOKUP($B88,'A1.3.7'!$B$28:$H$118,6,)=""),"",VLOOKUP($B88,'A1.3.11'!$B$26:$AM$105,AE$22,)*VLOOKUP($B88,'A1.3.7'!$B$28:$O$118,6,)))</f>
        <v/>
      </c>
      <c r="AF88" s="693">
        <f>IF(AND(T88="",X88="",AB88=""),"",IF(T88="",0,(T88*VLOOKUP('A1.3.12'!$B88,'A1.3.9'!$B$26:$O$57,6,TRUE))) + IF(X88="",0,(X88*VLOOKUP('A1.3.12'!$B88,'A1.3.9'!$B$26:$O$57,7,TRUE))) + IF(AB88="",0,(AB88*VLOOKUP('A1.3.12'!$B88,'A1.3.9'!$B$26:$O$57,8,TRUE))))</f>
        <v>43.08565881617465</v>
      </c>
      <c r="AG88" s="691">
        <f>IF(AND(U88="",Y88="",AC88=""),"",IF(U88="",0,(U88*VLOOKUP('A1.3.12'!$B88,'A1.3.9'!$B$26:$O$57,6,TRUE))) + IF(Y88="",0,(Y88*VLOOKUP('A1.3.12'!$B88,'A1.3.9'!$B$26:$O$57,7,TRUE))) + IF(AC88="",0,(AC88*VLOOKUP('A1.3.12'!$B88,'A1.3.9'!$B$26:$O$57,8,TRUE))))</f>
        <v>11.090392572633908</v>
      </c>
      <c r="AH88" s="691">
        <f>IF(AND(V88="",Z88="",AD88=""),"",IF(V88="",0,(V88*VLOOKUP('A1.3.12'!$B88,'A1.3.9'!$B$26:$O$57,6,TRUE))) + IF(Z88="",0,(Z88*VLOOKUP('A1.3.12'!$B88,'A1.3.9'!$B$26:$O$57,7,TRUE))) + IF(AD88="",0,(AD88*VLOOKUP('A1.3.12'!$B88,'A1.3.9'!$B$26:$O$57,8,TRUE))))</f>
        <v>-0.15302115463434798</v>
      </c>
      <c r="AI88" s="2644">
        <f>IF(AND(W88="",AA88="",AE88=""),"",IF(W88="",0,(W88*VLOOKUP('A1.3.12'!$B88,'A1.3.9'!$B$26:$O$57,6,TRUE))) + IF(AA88="",0,(AA88*VLOOKUP('A1.3.12'!$B88,'A1.3.9'!$B$26:$O$57,7,TRUE))) + IF(AE88="",0,(AE88*VLOOKUP('A1.3.12'!$B88,'A1.3.9'!$B$26:$O$57,8,TRUE))))</f>
        <v>1.291789781485358E-3</v>
      </c>
      <c r="AJ88" s="693">
        <f>IF('A1.3.8'!D$31="","",IF(OR(VLOOKUP($B88,'A1.3.11'!$B$26:$AM$105,AJ$22,)="",VLOOKUP($B88,'A1.3.7'!$B$28:$H$118,4,)=""),"",VLOOKUP($B88,'A1.3.11'!$B$26:$AM$105,AJ$22,)*(VLOOKUP($B88,'A1.3.7'!$B$28:$O$118,4,)+VLOOKUP($B88,'A1.3.7'!$B$28:$O$118,9,))))</f>
        <v>328.25135170978012</v>
      </c>
      <c r="AK88" s="691">
        <f>IF('A1.3.8'!E$31="","",IF(OR(VLOOKUP($B88,'A1.3.11'!$B$26:$AM$105,AK$22,)="",VLOOKUP($B88,'A1.3.7'!$B$28:$H$118,4,)=""),"",VLOOKUP($B88,'A1.3.11'!$B$26:$AM$105,AK$22,)*(VLOOKUP($B88,'A1.3.7'!$B$28:$O$118,4,)+VLOOKUP($B88,'A1.3.7'!$B$28:$O$118,9,))))</f>
        <v>17.416099351330249</v>
      </c>
      <c r="AL88" s="691">
        <f>IF('A1.3.8'!F$31="","",IF(OR(VLOOKUP($B88,'A1.3.11'!$B$26:$AM$105,AL$22,)="",VLOOKUP($B88,'A1.3.7'!$B$28:$H$118,4,)=""),"",VLOOKUP($B88,'A1.3.11'!$B$26:$AM$105,AL$22,)*(VLOOKUP($B88,'A1.3.7'!$B$28:$O$118,4,)+VLOOKUP($B88,'A1.3.7'!$B$28:$O$118,9,))))</f>
        <v>-0.12588367669067463</v>
      </c>
      <c r="AM88" s="2644">
        <f>IF('A1.3.8'!G$31="","",IF(OR(VLOOKUP($B88,'A1.3.11'!$B$26:$AM$105,AM$22,)="",VLOOKUP($B88,'A1.3.7'!$B$28:$H$118,4,)=""),"",VLOOKUP($B88,'A1.3.11'!$B$26:$AM$105,AM$22,)*(VLOOKUP($B88,'A1.3.7'!$B$28:$O$118,4,)+VLOOKUP($B88,'A1.3.7'!$B$28:$O$118,9,))))</f>
        <v>1.374851730265901E-3</v>
      </c>
      <c r="AN88" s="693" t="str">
        <f>IF('A1.3.8'!D$38="","",IF(OR(VLOOKUP($B88,'A1.3.11'!$B$26:$AM$105,AN$22,)="",VLOOKUP($B88,'A1.3.7'!$B$28:$H$118,6,)=""),"",VLOOKUP($B88,'A1.3.11'!$B$26:$AM$105,AN$22,)*VLOOKUP($B88,'A1.3.7'!$B$28:$O$118,6,)))</f>
        <v/>
      </c>
      <c r="AO88" s="691" t="str">
        <f>IF('A1.3.8'!E$38="","",IF(OR(VLOOKUP($B88,'A1.3.11'!$B$26:$AM$105,AO$22,)="",VLOOKUP($B88,'A1.3.7'!$B$28:$H$118,6,)=""),"",VLOOKUP($B88,'A1.3.11'!$B$26:$AM$105,AO$22,)*VLOOKUP($B88,'A1.3.7'!$B$28:$O$118,6,)))</f>
        <v/>
      </c>
      <c r="AP88" s="691" t="str">
        <f>IF('A1.3.8'!F$38="","",IF(OR(VLOOKUP($B88,'A1.3.11'!$B$26:$AM$105,AP$22,)="",VLOOKUP($B88,'A1.3.7'!$B$28:$H$118,6,)=""),"",VLOOKUP($B88,'A1.3.11'!$B$26:$AM$105,AP$22,)*VLOOKUP($B88,'A1.3.7'!$B$28:$O$118,6,)))</f>
        <v/>
      </c>
      <c r="AQ88" s="1664" t="str">
        <f>IF('A1.3.8'!G$38="","",IF(OR(VLOOKUP($B88,'A1.3.11'!$B$26:$AM$105,AQ$22,)="",VLOOKUP($B88,'A1.3.7'!$B$28:$H$118,6,)=""),"",VLOOKUP($B88,'A1.3.11'!$B$26:$AM$105,AQ$22,)*VLOOKUP($B88,'A1.3.7'!$B$28:$O$118,6,)))</f>
        <v/>
      </c>
      <c r="AR88" s="693">
        <f>IF(AND(AJ88="",AN88=""),"",IF(AJ88="",0,(AJ88*VLOOKUP($B88,'A1.3.9'!$B$26:$O$57,9,TRUE))) + IF(AN88="",0,(AN88*VLOOKUP($B88,'A1.3.9'!$B$26:$O$57,10,TRUE))))</f>
        <v>328.25135170978012</v>
      </c>
      <c r="AS88" s="691">
        <f>IF(AND(AK88="",AO88=""),"",IF(AK88="",0,(AK88*VLOOKUP($B88,'A1.3.9'!$B$26:$O$57,9,TRUE))) + IF(AO88="",0,(AO88*VLOOKUP($B88,'A1.3.9'!$B$26:$O$57,10,TRUE))))</f>
        <v>17.416099351330249</v>
      </c>
      <c r="AT88" s="691">
        <f>IF(AND(AL88="",AP88=""),"",IF(AL88="",0,(AL88*VLOOKUP($B88,'A1.3.9'!$B$26:$O$57,9,TRUE))) + IF(AP88="",0,(AP88*VLOOKUP($B88,'A1.3.9'!$B$26:$O$57,10,TRUE))))</f>
        <v>-0.12588367669067463</v>
      </c>
      <c r="AU88" s="2644">
        <f>IF(AND(AM88="",AQ88=""),"",IF(AM88="",0,(AM88*VLOOKUP($B88,'A1.3.9'!$B$26:$O$57,9,TRUE))) + IF(AQ88="",0,(AQ88*VLOOKUP($B88,'A1.3.9'!$B$26:$O$57,10,TRUE))))</f>
        <v>1.374851730265901E-3</v>
      </c>
      <c r="AV88" s="693">
        <f>IF('A1.3.8'!D$32="","",IF(OR(VLOOKUP($B88,'A1.3.11'!$B$26:$AM$105,AV$22,)="",VLOOKUP($B88,'A1.3.7'!$B$28:$H$118,4,)=""),"",VLOOKUP($B88,'A1.3.11'!$B$26:$AM$105,AV$22,)*(VLOOKUP($B88,'A1.3.7'!$B$28:$O$118,4,)+VLOOKUP($B88,'A1.3.7'!$B$28:$O$118,9,))))</f>
        <v>689.74162460907417</v>
      </c>
      <c r="AW88" s="691">
        <f>IF('A1.3.8'!E$32="","",IF(OR(VLOOKUP($B88,'A1.3.11'!$B$26:$AM$105,AW$22,)="",VLOOKUP($B88,'A1.3.7'!$B$28:$H$118,4,)=""),"",VLOOKUP($B88,'A1.3.11'!$B$26:$AM$105,AW$22,)*(VLOOKUP($B88,'A1.3.7'!$B$28:$O$118,4,)+VLOOKUP($B88,'A1.3.7'!$B$28:$O$118,9,))))</f>
        <v>35.81950472026714</v>
      </c>
      <c r="AX88" s="691">
        <f>IF('A1.3.8'!F$32="","",IF(OR(VLOOKUP($B88,'A1.3.11'!$B$26:$AM$105,AX$22,)="",VLOOKUP($B88,'A1.3.7'!$B$28:$H$118,4,)=""),"",VLOOKUP($B88,'A1.3.11'!$B$26:$AM$105,AX$22,)*(VLOOKUP($B88,'A1.3.7'!$B$28:$O$118,4,)+VLOOKUP($B88,'A1.3.7'!$B$28:$O$118,9,))))</f>
        <v>-0.23732306209844536</v>
      </c>
      <c r="AY88" s="2644">
        <f>IF('A1.3.8'!G$32="","",IF(OR(VLOOKUP($B88,'A1.3.11'!$B$26:$AM$105,AY$22,)="",VLOOKUP($B88,'A1.3.7'!$B$28:$H$118,4,)=""),"",VLOOKUP($B88,'A1.3.11'!$B$26:$AM$105,AY$22,)*(VLOOKUP($B88,'A1.3.7'!$B$28:$O$118,4,)+VLOOKUP($B88,'A1.3.7'!$B$28:$O$118,9,))))</f>
        <v>1.4145441366925299E-3</v>
      </c>
      <c r="AZ88" s="693" t="str">
        <f>IF('A1.3.8'!D$39="","",IF(OR(VLOOKUP($B88,'A1.3.11'!$B$26:$AM$105,AZ$22,)="",VLOOKUP($B88,'A1.3.7'!$B$28:$H$118,6,)=""),"",VLOOKUP($B88,'A1.3.11'!$B$26:$AM$105,AZ$22,)*VLOOKUP($B88,'A1.3.7'!$B$28:$O$118,6,)))</f>
        <v/>
      </c>
      <c r="BA88" s="691" t="str">
        <f>IF('A1.3.8'!E$39="","",IF(OR(VLOOKUP($B88,'A1.3.11'!$B$26:$AM$105,BA$22,)="",VLOOKUP($B88,'A1.3.7'!$B$28:$H$118,6,)=""),"",VLOOKUP($B88,'A1.3.11'!$B$26:$AM$105,BA$22,)*VLOOKUP($B88,'A1.3.7'!$B$28:$O$118,6,)))</f>
        <v/>
      </c>
      <c r="BB88" s="691" t="str">
        <f>IF('A1.3.8'!F$39="","",IF(OR(VLOOKUP($B88,'A1.3.11'!$B$26:$AM$105,BB$22,)="",VLOOKUP($B88,'A1.3.7'!$B$28:$H$118,6,)=""),"",VLOOKUP($B88,'A1.3.11'!$B$26:$AM$105,BB$22,)*VLOOKUP($B88,'A1.3.7'!$B$28:$O$118,6,)))</f>
        <v/>
      </c>
      <c r="BC88" s="1664" t="str">
        <f>IF('A1.3.8'!G$39="","",IF(OR(VLOOKUP($B88,'A1.3.11'!$B$26:$AM$105,BC$22,)="",VLOOKUP($B88,'A1.3.7'!$B$28:$H$118,6,)=""),"",VLOOKUP($B88,'A1.3.11'!$B$26:$AM$105,BC$22,)*VLOOKUP($B88,'A1.3.7'!$B$28:$O$118,6,)))</f>
        <v/>
      </c>
      <c r="BD88" s="693">
        <f>IF(AND(AV88="",AZ88=""),"",IF(AV88="",0,(AV88*VLOOKUP($B88,'A1.3.9'!$B$26:$O$57,9,TRUE))) + IF(AZ88="",0,(AZ88*VLOOKUP($B88,'A1.3.9'!$B$26:$O$57,10,TRUE))))</f>
        <v>689.74162460907417</v>
      </c>
      <c r="BE88" s="691">
        <f>IF(AND(AW88="",BA88=""),"",IF(AW88="",0,(AW88*VLOOKUP($B88,'A1.3.9'!$B$26:$O$57,9,TRUE))) + IF(BA88="",0,(BA88*VLOOKUP($B88,'A1.3.9'!$B$26:$O$57,10,TRUE))))</f>
        <v>35.81950472026714</v>
      </c>
      <c r="BF88" s="691">
        <f>IF(AND(AX88="",BB88=""),"",IF(AX88="",0,(AX88*VLOOKUP($B88,'A1.3.9'!$B$26:$O$57,9,TRUE))) + IF(BB88="",0,(BB88*VLOOKUP($B88,'A1.3.9'!$B$26:$O$57,10,TRUE))))</f>
        <v>-0.23732306209844536</v>
      </c>
      <c r="BG88" s="2644">
        <f>IF(AND(AY88="",BC88=""),"",IF(AY88="",0,(AY88*VLOOKUP($B88,'A1.3.9'!$B$26:$O$57,9,TRUE))) + IF(BC88="",0,(BC88*VLOOKUP($B88,'A1.3.9'!$B$26:$O$57,10,TRUE))))</f>
        <v>1.4145441366925299E-3</v>
      </c>
      <c r="BH88" s="693">
        <f>IF('A1.3.8'!D$33="","",IF(OR(VLOOKUP($B88,'A1.3.11'!$B$26:$AM$105,BH$22,)="",VLOOKUP($B88,'A1.3.7'!$B$28:$H$118,4,)=""),"",VLOOKUP($B88,'A1.3.11'!$B$26:$AM$105,BH$22,)*(VLOOKUP($B88,'A1.3.7'!$B$28:$O$118,4,)+VLOOKUP($B88,'A1.3.7'!$B$28:$O$118,9,))))</f>
        <v>409.07618579807735</v>
      </c>
      <c r="BI88" s="691">
        <f>IF('A1.3.8'!E$33="","",IF(OR(VLOOKUP($B88,'A1.3.11'!$B$26:$AM$105,BI$22,)="",VLOOKUP($B88,'A1.3.7'!$B$28:$H$118,4,)=""),"",VLOOKUP($B88,'A1.3.11'!$B$26:$AM$105,BI$22,)*(VLOOKUP($B88,'A1.3.7'!$B$28:$O$118,4,)+VLOOKUP($B88,'A1.3.7'!$B$28:$O$118,9,))))</f>
        <v>35.94427707219662</v>
      </c>
      <c r="BJ88" s="691">
        <f>IF('A1.3.8'!F$33="","",IF(OR(VLOOKUP($B88,'A1.3.11'!$B$26:$AM$105,BJ$22,)="",VLOOKUP($B88,'A1.3.7'!$B$28:$H$118,4,)=""),"",VLOOKUP($B88,'A1.3.11'!$B$26:$AM$105,BJ$22,)*(VLOOKUP($B88,'A1.3.7'!$B$28:$O$118,4,)+VLOOKUP($B88,'A1.3.7'!$B$28:$O$118,9,))))</f>
        <v>-0.39068225490440428</v>
      </c>
      <c r="BK88" s="2644">
        <f>IF('A1.3.8'!G$33="","",IF(OR(VLOOKUP($B88,'A1.3.11'!$B$26:$AM$105,BK$22,)="",VLOOKUP($B88,'A1.3.7'!$B$28:$H$118,4,)=""),"",VLOOKUP($B88,'A1.3.11'!$B$26:$AM$105,BK$22,)*(VLOOKUP($B88,'A1.3.7'!$B$28:$O$118,4,)+VLOOKUP($B88,'A1.3.7'!$B$28:$O$118,9,))))</f>
        <v>2.8658140312292392E-3</v>
      </c>
      <c r="BL88" s="693" t="str">
        <f>IF('A1.3.8'!D$40="","",IF(OR(VLOOKUP($B88,'A1.3.11'!$B$26:$AM$105,BL$22,)="",VLOOKUP($B88,'A1.3.7'!$B$28:$H$118,6,)=""),"",VLOOKUP($B88,'A1.3.11'!$B$26:$AM$105,BL$22,)*VLOOKUP($B88,'A1.3.7'!$B$28:$O$118,6,)))</f>
        <v/>
      </c>
      <c r="BM88" s="691" t="str">
        <f>IF('A1.3.8'!E$40="","",IF(OR(VLOOKUP($B88,'A1.3.11'!$B$26:$AM$105,BM$22,)="",VLOOKUP($B88,'A1.3.7'!$B$28:$H$118,6,)=""),"",VLOOKUP($B88,'A1.3.11'!$B$26:$AM$105,BM$22,)*VLOOKUP($B88,'A1.3.7'!$B$28:$O$118,6,)))</f>
        <v/>
      </c>
      <c r="BN88" s="691" t="str">
        <f>IF('A1.3.8'!F$40="","",IF(OR(VLOOKUP($B88,'A1.3.11'!$B$26:$AM$105,BN$22,)="",VLOOKUP($B88,'A1.3.7'!$B$28:$H$118,6,)=""),"",VLOOKUP($B88,'A1.3.11'!$B$26:$AM$105,BN$22,)*VLOOKUP($B88,'A1.3.7'!$B$28:$O$118,6,)))</f>
        <v/>
      </c>
      <c r="BO88" s="1664" t="str">
        <f>IF('A1.3.8'!G$40="","",IF(OR(VLOOKUP($B88,'A1.3.11'!$B$26:$AM$105,BO$22,)="",VLOOKUP($B88,'A1.3.7'!$B$28:$H$118,6,)=""),"",VLOOKUP($B88,'A1.3.11'!$B$26:$AM$105,BO$22,)*VLOOKUP($B88,'A1.3.7'!$B$28:$O$118,6,)))</f>
        <v/>
      </c>
      <c r="BP88" s="693">
        <f>IF(AND(BH88="",BL88=""),"",IF(BH88="",0,(BH88*VLOOKUP($B88,'A1.3.9'!$B$26:$O$57,9,TRUE))) + IF(BL88="",0,(BL88*VLOOKUP($B88,'A1.3.9'!$B$26:$O$57,10,TRUE))))</f>
        <v>409.07618579807735</v>
      </c>
      <c r="BQ88" s="691">
        <f>IF(AND(BI88="",BM88=""),"",IF(BI88="",0,(BI88*VLOOKUP($B88,'A1.3.9'!$B$26:$O$57,9,TRUE))) + IF(BM88="",0,(BM88*VLOOKUP($B88,'A1.3.9'!$B$26:$O$57,10,TRUE))))</f>
        <v>35.94427707219662</v>
      </c>
      <c r="BR88" s="691">
        <f>IF(AND(BJ88="",BN88=""),"",IF(BJ88="",0,(BJ88*VLOOKUP($B88,'A1.3.9'!$B$26:$O$57,9,TRUE))) + IF(BN88="",0,(BN88*VLOOKUP($B88,'A1.3.9'!$B$26:$O$57,10,TRUE))))</f>
        <v>-0.39068225490440428</v>
      </c>
      <c r="BS88" s="2644">
        <f>IF(AND(BK88="",BO88=""),"",IF(BK88="",0,(BK88*VLOOKUP($B88,'A1.3.9'!$B$26:$O$57,9,TRUE))) + IF(BO88="",0,(BO88*VLOOKUP($B88,'A1.3.9'!$B$26:$O$57,10,TRUE))))</f>
        <v>2.8658140312292392E-3</v>
      </c>
    </row>
    <row r="89" spans="1:71" ht="13.5" customHeight="1">
      <c r="A89" s="113"/>
      <c r="B89" s="614">
        <f t="shared" si="0"/>
        <v>2072</v>
      </c>
      <c r="C89" s="147"/>
      <c r="D89" s="693">
        <f>IF('A1.3.8'!D$27="","",IF(OR(VLOOKUP($B89,'A1.3.11'!$B$26:$AM$105,D$22,)="",VLOOKUP($B89,'A1.3.7'!$B$28:$H$118,3,)=""),"",VLOOKUP($B89,'A1.3.11'!$B$26:$AM$105,D$22,)*(VLOOKUP($B89,'A1.3.7'!$B$28:$O$118,3,)+VLOOKUP($B89,'A1.3.7'!$B$28:$O$118,8,))))</f>
        <v>38.478900684406852</v>
      </c>
      <c r="E89" s="691">
        <f>IF('A1.3.8'!E$27="","",IF(OR(VLOOKUP($B89,'A1.3.11'!$B$26:$AM$105,E$22,)="",VLOOKUP($B89,'A1.3.7'!$B$28:$H$118,3,)=""),"",VLOOKUP($B89,'A1.3.11'!$B$26:$AM$105,E$22,)*(VLOOKUP($B89,'A1.3.7'!$B$28:$O$118,3,)+VLOOKUP($B89,'A1.3.7'!$B$28:$O$118,8,))))</f>
        <v>8.177390558152446</v>
      </c>
      <c r="F89" s="691">
        <f>IF('A1.3.8'!F$27="","",IF(OR(VLOOKUP($B89,'A1.3.11'!$B$26:$AM$105,F$22,)="",VLOOKUP($B89,'A1.3.7'!$B$28:$H$118,3,)=""),"",VLOOKUP($B89,'A1.3.11'!$B$26:$AM$105,F$22,)*(VLOOKUP($B89,'A1.3.7'!$B$28:$O$118,3,)+VLOOKUP($B89,'A1.3.7'!$B$28:$O$118,8,))))</f>
        <v>-9.315017590782379E-2</v>
      </c>
      <c r="G89" s="2644">
        <f>IF('A1.3.8'!G$27="","",IF(OR(VLOOKUP($B89,'A1.3.11'!$B$26:$AM$105,G$22,)="",VLOOKUP($B89,'A1.3.7'!$B$28:$H$118,3,)=""),"",VLOOKUP($B89,'A1.3.11'!$B$26:$AM$105,G$22,)*(VLOOKUP($B89,'A1.3.7'!$B$28:$O$118,3,)+VLOOKUP($B89,'A1.3.7'!$B$28:$O$118,8,))))</f>
        <v>6.169261200480408E-4</v>
      </c>
      <c r="H89" s="693">
        <f>IF('A1.3.8'!D$28="","",IF(OR(VLOOKUP($B89,'A1.3.11'!$B$26:$AM$105,H$22,)="",VLOOKUP($B89,'A1.3.7'!$B$28:$H$118,4,)=""),"",VLOOKUP($B89,'A1.3.11'!$B$26:$AM$105,H$22,)*(VLOOKUP($B89,'A1.3.7'!$B$28:$O$118,4,)+VLOOKUP($B89,'A1.3.7'!$B$28:$O$118,9,))))</f>
        <v>47.348003277082114</v>
      </c>
      <c r="I89" s="691">
        <f>IF('A1.3.8'!E$28="","",IF(OR(VLOOKUP($B89,'A1.3.11'!$B$26:$AM$105,I$22,)="",VLOOKUP($B89,'A1.3.7'!$B$28:$H$118,4,)=""),"",VLOOKUP($B89,'A1.3.11'!$B$26:$AM$105,I$22,)*(VLOOKUP($B89,'A1.3.7'!$B$28:$O$118,4,)+VLOOKUP($B89,'A1.3.7'!$B$28:$O$118,9,))))</f>
        <v>6.7885327551437742</v>
      </c>
      <c r="J89" s="691">
        <f>IF('A1.3.8'!F$28="","",IF(OR(VLOOKUP($B89,'A1.3.11'!$B$26:$AM$105,J$22,)="",VLOOKUP($B89,'A1.3.7'!$B$28:$H$118,4,)=""),"",VLOOKUP($B89,'A1.3.11'!$B$26:$AM$105,J$22,)*(VLOOKUP($B89,'A1.3.7'!$B$28:$O$118,4,)+VLOOKUP($B89,'A1.3.7'!$B$28:$O$118,9,))))</f>
        <v>-6.5307576258511052E-2</v>
      </c>
      <c r="K89" s="2644">
        <f>IF('A1.3.8'!G$28="","",IF(OR(VLOOKUP($B89,'A1.3.11'!$B$26:$AM$105,K$22,)="",VLOOKUP($B89,'A1.3.7'!$B$28:$H$118,4,)=""),"",VLOOKUP($B89,'A1.3.11'!$B$26:$AM$105,K$22,)*(VLOOKUP($B89,'A1.3.7'!$B$28:$O$118,4,)+VLOOKUP($B89,'A1.3.7'!$B$28:$O$118,9,))))</f>
        <v>5.1462697744706016E-4</v>
      </c>
      <c r="L89" s="693" t="str">
        <f>IF('A1.3.8'!D$36="","",IF(OR(VLOOKUP($B89,'A1.3.11'!$B$26:$AM$105,L$22,)="",VLOOKUP($B89,'A1.3.7'!$B$28:$H$118,6,)=""),"",VLOOKUP($B89,'A1.3.11'!$B$26:$AM$105,L$22,)*VLOOKUP($B89,'A1.3.7'!$B$28:$O$118,6,)))</f>
        <v/>
      </c>
      <c r="M89" s="691">
        <f>IF('A1.3.8'!E$36="","",IF(OR(VLOOKUP($B89,'A1.3.11'!$B$26:$AM$105,M$22,)="",VLOOKUP($B89,'A1.3.7'!$B$28:$H$118,6,)=""),"",VLOOKUP($B89,'A1.3.11'!$B$26:$AM$105,M$22,)*VLOOKUP($B89,'A1.3.7'!$B$28:$O$118,6,)))</f>
        <v>1.9637608285706969</v>
      </c>
      <c r="N89" s="691" t="str">
        <f>IF('A1.3.8'!F$36="","",IF(OR(VLOOKUP($B89,'A1.3.11'!$B$26:$AM$105,N$22,)="",VLOOKUP($B89,'A1.3.7'!$B$28:$H$118,6,)=""),"",VLOOKUP($B89,'A1.3.11'!$B$26:$AM$105,N$22,)*VLOOKUP($B89,'A1.3.7'!$B$28:$O$118,6,)))</f>
        <v/>
      </c>
      <c r="O89" s="1664" t="str">
        <f>IF('A1.3.8'!G$36="","",IF(OR(VLOOKUP($B89,'A1.3.11'!$B$26:$AM$105,O$22,)="",VLOOKUP($B89,'A1.3.7'!$B$28:$H$118,6,)=""),"",VLOOKUP($B89,'A1.3.11'!$B$26:$AM$105,O$22,)*VLOOKUP($B89,'A1.3.7'!$B$28:$O$118,6,)))</f>
        <v/>
      </c>
      <c r="P89" s="693">
        <f>IF(AND(D89="",H89="",L89=""),"",IF(D89="",0,(D89*VLOOKUP($B89,'A1.3.9'!$B$26:$O$57,3,TRUE)))+IF(H89="",0,(H89*VLOOKUP($B89,'A1.3.9'!$B$26:$O$57,4,TRUE)))+IF(L89="",0,(L89*VLOOKUP($B89,'A1.3.9'!$B$26:$O$57,5,TRUE))))</f>
        <v>31.887005745842995</v>
      </c>
      <c r="Q89" s="691">
        <f>IF(AND(E89="",I89="",M89=""),"",IF(E89="",0,(E89*VLOOKUP($B89,'A1.3.9'!$B$26:$O$57,3,TRUE)))+IF(I89="",0,(I89*VLOOKUP($B89,'A1.3.9'!$B$26:$O$57,4,TRUE)))+IF(M89="",0,(M89*VLOOKUP($B89,'A1.3.9'!$B$26:$O$57,5,TRUE))))</f>
        <v>6.2424241891343399</v>
      </c>
      <c r="R89" s="691">
        <f>IF(AND(F89="",J89="",N89=""),"",IF(F89="",0,(F89*VLOOKUP($B89,'A1.3.9'!$B$26:$O$57,3,TRUE)))+IF(J89="",0,(J89*VLOOKUP($B89,'A1.3.9'!$B$26:$O$57,4,TRUE)))+IF(N89="",0,(N89*VLOOKUP($B89,'A1.3.9'!$B$26:$O$57,5,TRUE))))</f>
        <v>-6.1975831916352732E-2</v>
      </c>
      <c r="S89" s="2644">
        <f>IF(AND(G89="",K89="",O89=""),"",IF(G89="",0,(G89*VLOOKUP($B89,'A1.3.9'!$B$26:$O$57,3,TRUE)))+IF(K89="",0,(K89*VLOOKUP($B89,'A1.3.9'!$B$26:$O$57,4,TRUE)))+IF(O89="",0,(O89*VLOOKUP($B89,'A1.3.9'!$B$26:$O$57,5,TRUE))))</f>
        <v>4.3579473627341104E-4</v>
      </c>
      <c r="T89" s="693">
        <f>IF('A1.3.8'!D$29="","",IF(OR(VLOOKUP($B89,'A1.3.11'!$B$26:$AM$105,T$22,)="",VLOOKUP($B89,'A1.3.7'!$B$28:$H$118,3,)=""),"",VLOOKUP($B89,'A1.3.11'!$B$26:$AM$105,T$22,)*(VLOOKUP($B89,'A1.3.7'!$B$28:$O$118,3,)+VLOOKUP($B89,'A1.3.7'!$B$28:$O$118,8,))))</f>
        <v>27.679145744209055</v>
      </c>
      <c r="U89" s="691">
        <f>IF('A1.3.8'!E$29="","",IF(OR(VLOOKUP($B89,'A1.3.11'!$B$26:$AM$105,U$22,)="",VLOOKUP($B89,'A1.3.7'!$B$28:$H$118,3,)=""),"",VLOOKUP($B89,'A1.3.11'!$B$26:$AM$105,U$22,)*(VLOOKUP($B89,'A1.3.7'!$B$28:$O$118,3,)+VLOOKUP($B89,'A1.3.7'!$B$28:$O$118,8,))))</f>
        <v>15.520862686874962</v>
      </c>
      <c r="V89" s="691">
        <f>IF('A1.3.8'!F$29="","",IF(OR(VLOOKUP($B89,'A1.3.11'!$B$26:$AM$105,V$22,)="",VLOOKUP($B89,'A1.3.7'!$B$28:$H$118,3,)=""),"",VLOOKUP($B89,'A1.3.11'!$B$26:$AM$105,V$22,)*(VLOOKUP($B89,'A1.3.7'!$B$28:$O$118,3,)+VLOOKUP($B89,'A1.3.7'!$B$28:$O$118,8,))))</f>
        <v>-0.24362659858862384</v>
      </c>
      <c r="W89" s="2644">
        <f>IF('A1.3.8'!G$29="","",IF(OR(VLOOKUP($B89,'A1.3.11'!$B$26:$AM$105,W$22,)="",VLOOKUP($B89,'A1.3.7'!$B$28:$H$118,3,)=""),"",VLOOKUP($B89,'A1.3.11'!$B$26:$AM$105,W$22,)*(VLOOKUP($B89,'A1.3.7'!$B$28:$O$118,3,)+VLOOKUP($B89,'A1.3.7'!$B$28:$O$118,8,))))</f>
        <v>1.5733496785816788E-3</v>
      </c>
      <c r="X89" s="693">
        <f>IF('A1.3.8'!D$30="","",IF(OR(VLOOKUP($B89,'A1.3.11'!$B$26:$AM$105,X$22,)="",VLOOKUP($B89,'A1.3.7'!$B$28:$H$118,4,)=""),"",VLOOKUP($B89,'A1.3.11'!$B$26:$AM$105,X$22,)*(VLOOKUP($B89,'A1.3.7'!$B$28:$O$118,4,)+VLOOKUP($B89,'A1.3.7'!$B$28:$O$118,9,))))</f>
        <v>48.763849793661954</v>
      </c>
      <c r="Y89" s="691">
        <f>IF('A1.3.8'!E$30="","",IF(OR(VLOOKUP($B89,'A1.3.11'!$B$26:$AM$105,Y$22,)="",VLOOKUP($B89,'A1.3.7'!$B$28:$H$118,4,)=""),"",VLOOKUP($B89,'A1.3.11'!$B$26:$AM$105,Y$22,)*(VLOOKUP($B89,'A1.3.7'!$B$28:$O$118,4,)+VLOOKUP($B89,'A1.3.7'!$B$28:$O$118,9,))))</f>
        <v>11.918083618435178</v>
      </c>
      <c r="Z89" s="691">
        <f>IF('A1.3.8'!F$30="","",IF(OR(VLOOKUP($B89,'A1.3.11'!$B$26:$AM$105,Z$22,)="",VLOOKUP($B89,'A1.3.7'!$B$28:$H$118,4,)=""),"",VLOOKUP($B89,'A1.3.11'!$B$26:$AM$105,Z$22,)*(VLOOKUP($B89,'A1.3.7'!$B$28:$O$118,4,)+VLOOKUP($B89,'A1.3.7'!$B$28:$O$118,9,))))</f>
        <v>-0.17194001663344924</v>
      </c>
      <c r="AA89" s="2644">
        <f>IF('A1.3.8'!G$30="","",IF(OR(VLOOKUP($B89,'A1.3.11'!$B$26:$AM$105,AA$22,)="",VLOOKUP($B89,'A1.3.7'!$B$28:$H$118,4,)=""),"",VLOOKUP($B89,'A1.3.11'!$B$26:$AM$105,AA$22,)*(VLOOKUP($B89,'A1.3.7'!$B$28:$O$118,4,)+VLOOKUP($B89,'A1.3.7'!$B$28:$O$118,9,))))</f>
        <v>1.4556501758764084E-3</v>
      </c>
      <c r="AB89" s="693" t="str">
        <f>IF('A1.3.8'!D$37="","",IF(OR(VLOOKUP($B89,'A1.3.11'!$B$26:$AM$105,AB$22,)="",VLOOKUP($B89,'A1.3.7'!$B$28:$H$118,6,)=""),"",VLOOKUP($B89,'A1.3.11'!$B$26:$AM$105,AB$22,)*VLOOKUP($B89,'A1.3.7'!$B$28:$O$118,6,)))</f>
        <v/>
      </c>
      <c r="AC89" s="691">
        <f>IF('A1.3.8'!E$37="","",IF(OR(VLOOKUP($B89,'A1.3.11'!$B$26:$AM$105,AC$22,)="",VLOOKUP($B89,'A1.3.7'!$B$28:$H$118,6,)=""),"",VLOOKUP($B89,'A1.3.11'!$B$26:$AM$105,AC$22,)*VLOOKUP($B89,'A1.3.7'!$B$28:$O$118,6,)))</f>
        <v>4.5145632825273854</v>
      </c>
      <c r="AD89" s="691" t="str">
        <f>IF('A1.3.8'!F$37="","",IF(OR(VLOOKUP($B89,'A1.3.11'!$B$26:$AM$105,AD$22,)="",VLOOKUP($B89,'A1.3.7'!$B$28:$H$118,6,)=""),"",VLOOKUP($B89,'A1.3.11'!$B$26:$AM$105,AD$22,)*VLOOKUP($B89,'A1.3.7'!$B$28:$O$118,6,)))</f>
        <v/>
      </c>
      <c r="AE89" s="1664" t="str">
        <f>IF('A1.3.8'!G$37="","",IF(OR(VLOOKUP($B89,'A1.3.11'!$B$26:$AM$105,AE$22,)="",VLOOKUP($B89,'A1.3.7'!$B$28:$H$118,6,)=""),"",VLOOKUP($B89,'A1.3.11'!$B$26:$AM$105,AE$22,)*VLOOKUP($B89,'A1.3.7'!$B$28:$O$118,6,)))</f>
        <v/>
      </c>
      <c r="AF89" s="693">
        <f>IF(AND(T89="",X89="",AB89=""),"",IF(T89="",0,(T89*VLOOKUP('A1.3.12'!$B89,'A1.3.9'!$B$26:$O$57,6,TRUE))) + IF(X89="",0,(X89*VLOOKUP('A1.3.12'!$B89,'A1.3.9'!$B$26:$O$57,7,TRUE))) + IF(AB89="",0,(AB89*VLOOKUP('A1.3.12'!$B89,'A1.3.9'!$B$26:$O$57,8,TRUE))))</f>
        <v>43.268197567382835</v>
      </c>
      <c r="AG89" s="691">
        <f>IF(AND(U89="",Y89="",AC89=""),"",IF(U89="",0,(U89*VLOOKUP('A1.3.12'!$B89,'A1.3.9'!$B$26:$O$57,6,TRUE))) + IF(Y89="",0,(Y89*VLOOKUP('A1.3.12'!$B89,'A1.3.9'!$B$26:$O$57,7,TRUE))) + IF(AC89="",0,(AC89*VLOOKUP('A1.3.12'!$B89,'A1.3.9'!$B$26:$O$57,8,TRUE))))</f>
        <v>11.135295169536981</v>
      </c>
      <c r="AH89" s="691">
        <f>IF(AND(V89="",Z89="",AD89=""),"",IF(V89="",0,(V89*VLOOKUP('A1.3.12'!$B89,'A1.3.9'!$B$26:$O$57,6,TRUE))) + IF(Z89="",0,(Z89*VLOOKUP('A1.3.12'!$B89,'A1.3.9'!$B$26:$O$57,7,TRUE))) + IF(AD89="",0,(AD89*VLOOKUP('A1.3.12'!$B89,'A1.3.9'!$B$26:$O$57,8,TRUE))))</f>
        <v>-0.15366960761068202</v>
      </c>
      <c r="AI89" s="2644">
        <f>IF(AND(W89="",AA89="",AE89=""),"",IF(W89="",0,(W89*VLOOKUP('A1.3.12'!$B89,'A1.3.9'!$B$26:$O$57,6,TRUE))) + IF(AA89="",0,(AA89*VLOOKUP('A1.3.12'!$B89,'A1.3.9'!$B$26:$O$57,7,TRUE))) + IF(AE89="",0,(AE89*VLOOKUP('A1.3.12'!$B89,'A1.3.9'!$B$26:$O$57,8,TRUE))))</f>
        <v>1.2972634390193173E-3</v>
      </c>
      <c r="AJ89" s="693">
        <f>IF('A1.3.8'!D$31="","",IF(OR(VLOOKUP($B89,'A1.3.11'!$B$26:$AM$105,AJ$22,)="",VLOOKUP($B89,'A1.3.7'!$B$28:$H$118,4,)=""),"",VLOOKUP($B89,'A1.3.11'!$B$26:$AM$105,AJ$22,)*(VLOOKUP($B89,'A1.3.7'!$B$28:$O$118,4,)+VLOOKUP($B89,'A1.3.7'!$B$28:$O$118,9,))))</f>
        <v>329.64181022844593</v>
      </c>
      <c r="AK89" s="691">
        <f>IF('A1.3.8'!E$31="","",IF(OR(VLOOKUP($B89,'A1.3.11'!$B$26:$AM$105,AK$22,)="",VLOOKUP($B89,'A1.3.7'!$B$28:$H$118,4,)=""),"",VLOOKUP($B89,'A1.3.11'!$B$26:$AM$105,AK$22,)*(VLOOKUP($B89,'A1.3.7'!$B$28:$O$118,4,)+VLOOKUP($B89,'A1.3.7'!$B$28:$O$118,9,))))</f>
        <v>17.489873194389386</v>
      </c>
      <c r="AL89" s="691">
        <f>IF('A1.3.8'!F$31="","",IF(OR(VLOOKUP($B89,'A1.3.11'!$B$26:$AM$105,AL$22,)="",VLOOKUP($B89,'A1.3.7'!$B$28:$H$118,4,)=""),"",VLOOKUP($B89,'A1.3.11'!$B$26:$AM$105,AL$22,)*(VLOOKUP($B89,'A1.3.7'!$B$28:$O$118,4,)+VLOOKUP($B89,'A1.3.7'!$B$28:$O$118,9,))))</f>
        <v>-0.12641691449671505</v>
      </c>
      <c r="AM89" s="2644">
        <f>IF('A1.3.8'!G$31="","",IF(OR(VLOOKUP($B89,'A1.3.11'!$B$26:$AM$105,AM$22,)="",VLOOKUP($B89,'A1.3.7'!$B$28:$H$118,4,)=""),"",VLOOKUP($B89,'A1.3.11'!$B$26:$AM$105,AM$22,)*(VLOOKUP($B89,'A1.3.7'!$B$28:$O$118,4,)+VLOOKUP($B89,'A1.3.7'!$B$28:$O$118,9,))))</f>
        <v>1.3806755426898048E-3</v>
      </c>
      <c r="AN89" s="693" t="str">
        <f>IF('A1.3.8'!D$38="","",IF(OR(VLOOKUP($B89,'A1.3.11'!$B$26:$AM$105,AN$22,)="",VLOOKUP($B89,'A1.3.7'!$B$28:$H$118,6,)=""),"",VLOOKUP($B89,'A1.3.11'!$B$26:$AM$105,AN$22,)*VLOOKUP($B89,'A1.3.7'!$B$28:$O$118,6,)))</f>
        <v/>
      </c>
      <c r="AO89" s="691" t="str">
        <f>IF('A1.3.8'!E$38="","",IF(OR(VLOOKUP($B89,'A1.3.11'!$B$26:$AM$105,AO$22,)="",VLOOKUP($B89,'A1.3.7'!$B$28:$H$118,6,)=""),"",VLOOKUP($B89,'A1.3.11'!$B$26:$AM$105,AO$22,)*VLOOKUP($B89,'A1.3.7'!$B$28:$O$118,6,)))</f>
        <v/>
      </c>
      <c r="AP89" s="691" t="str">
        <f>IF('A1.3.8'!F$38="","",IF(OR(VLOOKUP($B89,'A1.3.11'!$B$26:$AM$105,AP$22,)="",VLOOKUP($B89,'A1.3.7'!$B$28:$H$118,6,)=""),"",VLOOKUP($B89,'A1.3.11'!$B$26:$AM$105,AP$22,)*VLOOKUP($B89,'A1.3.7'!$B$28:$O$118,6,)))</f>
        <v/>
      </c>
      <c r="AQ89" s="1664" t="str">
        <f>IF('A1.3.8'!G$38="","",IF(OR(VLOOKUP($B89,'A1.3.11'!$B$26:$AM$105,AQ$22,)="",VLOOKUP($B89,'A1.3.7'!$B$28:$H$118,6,)=""),"",VLOOKUP($B89,'A1.3.11'!$B$26:$AM$105,AQ$22,)*VLOOKUP($B89,'A1.3.7'!$B$28:$O$118,6,)))</f>
        <v/>
      </c>
      <c r="AR89" s="693">
        <f>IF(AND(AJ89="",AN89=""),"",IF(AJ89="",0,(AJ89*VLOOKUP($B89,'A1.3.9'!$B$26:$O$57,9,TRUE))) + IF(AN89="",0,(AN89*VLOOKUP($B89,'A1.3.9'!$B$26:$O$57,10,TRUE))))</f>
        <v>329.64181022844593</v>
      </c>
      <c r="AS89" s="691">
        <f>IF(AND(AK89="",AO89=""),"",IF(AK89="",0,(AK89*VLOOKUP($B89,'A1.3.9'!$B$26:$O$57,9,TRUE))) + IF(AO89="",0,(AO89*VLOOKUP($B89,'A1.3.9'!$B$26:$O$57,10,TRUE))))</f>
        <v>17.489873194389386</v>
      </c>
      <c r="AT89" s="691">
        <f>IF(AND(AL89="",AP89=""),"",IF(AL89="",0,(AL89*VLOOKUP($B89,'A1.3.9'!$B$26:$O$57,9,TRUE))) + IF(AP89="",0,(AP89*VLOOKUP($B89,'A1.3.9'!$B$26:$O$57,10,TRUE))))</f>
        <v>-0.12641691449671505</v>
      </c>
      <c r="AU89" s="2644">
        <f>IF(AND(AM89="",AQ89=""),"",IF(AM89="",0,(AM89*VLOOKUP($B89,'A1.3.9'!$B$26:$O$57,9,TRUE))) + IF(AQ89="",0,(AQ89*VLOOKUP($B89,'A1.3.9'!$B$26:$O$57,10,TRUE))))</f>
        <v>1.3806755426898048E-3</v>
      </c>
      <c r="AV89" s="693">
        <f>IF('A1.3.8'!D$32="","",IF(OR(VLOOKUP($B89,'A1.3.11'!$B$26:$AM$105,AV$22,)="",VLOOKUP($B89,'A1.3.7'!$B$28:$H$118,4,)=""),"",VLOOKUP($B89,'A1.3.11'!$B$26:$AM$105,AV$22,)*(VLOOKUP($B89,'A1.3.7'!$B$28:$O$118,4,)+VLOOKUP($B89,'A1.3.7'!$B$28:$O$118,9,))))</f>
        <v>692.66334027793766</v>
      </c>
      <c r="AW89" s="691">
        <f>IF('A1.3.8'!E$32="","",IF(OR(VLOOKUP($B89,'A1.3.11'!$B$26:$AM$105,AW$22,)="",VLOOKUP($B89,'A1.3.7'!$B$28:$H$118,4,)=""),"",VLOOKUP($B89,'A1.3.11'!$B$26:$AM$105,AW$22,)*(VLOOKUP($B89,'A1.3.7'!$B$28:$O$118,4,)+VLOOKUP($B89,'A1.3.7'!$B$28:$O$118,9,))))</f>
        <v>35.971234591944011</v>
      </c>
      <c r="AX89" s="691">
        <f>IF('A1.3.8'!F$32="","",IF(OR(VLOOKUP($B89,'A1.3.11'!$B$26:$AM$105,AX$22,)="",VLOOKUP($B89,'A1.3.7'!$B$28:$H$118,4,)=""),"",VLOOKUP($B89,'A1.3.11'!$B$26:$AM$105,AX$22,)*(VLOOKUP($B89,'A1.3.7'!$B$28:$O$118,4,)+VLOOKUP($B89,'A1.3.7'!$B$28:$O$118,9,))))</f>
        <v>-0.23832835231782087</v>
      </c>
      <c r="AY89" s="2644">
        <f>IF('A1.3.8'!G$32="","",IF(OR(VLOOKUP($B89,'A1.3.11'!$B$26:$AM$105,AY$22,)="",VLOOKUP($B89,'A1.3.7'!$B$28:$H$118,4,)=""),"",VLOOKUP($B89,'A1.3.11'!$B$26:$AM$105,AY$22,)*(VLOOKUP($B89,'A1.3.7'!$B$28:$O$118,4,)+VLOOKUP($B89,'A1.3.7'!$B$28:$O$118,9,))))</f>
        <v>1.4205360844321141E-3</v>
      </c>
      <c r="AZ89" s="693" t="str">
        <f>IF('A1.3.8'!D$39="","",IF(OR(VLOOKUP($B89,'A1.3.11'!$B$26:$AM$105,AZ$22,)="",VLOOKUP($B89,'A1.3.7'!$B$28:$H$118,6,)=""),"",VLOOKUP($B89,'A1.3.11'!$B$26:$AM$105,AZ$22,)*VLOOKUP($B89,'A1.3.7'!$B$28:$O$118,6,)))</f>
        <v/>
      </c>
      <c r="BA89" s="691" t="str">
        <f>IF('A1.3.8'!E$39="","",IF(OR(VLOOKUP($B89,'A1.3.11'!$B$26:$AM$105,BA$22,)="",VLOOKUP($B89,'A1.3.7'!$B$28:$H$118,6,)=""),"",VLOOKUP($B89,'A1.3.11'!$B$26:$AM$105,BA$22,)*VLOOKUP($B89,'A1.3.7'!$B$28:$O$118,6,)))</f>
        <v/>
      </c>
      <c r="BB89" s="691" t="str">
        <f>IF('A1.3.8'!F$39="","",IF(OR(VLOOKUP($B89,'A1.3.11'!$B$26:$AM$105,BB$22,)="",VLOOKUP($B89,'A1.3.7'!$B$28:$H$118,6,)=""),"",VLOOKUP($B89,'A1.3.11'!$B$26:$AM$105,BB$22,)*VLOOKUP($B89,'A1.3.7'!$B$28:$O$118,6,)))</f>
        <v/>
      </c>
      <c r="BC89" s="1664" t="str">
        <f>IF('A1.3.8'!G$39="","",IF(OR(VLOOKUP($B89,'A1.3.11'!$B$26:$AM$105,BC$22,)="",VLOOKUP($B89,'A1.3.7'!$B$28:$H$118,6,)=""),"",VLOOKUP($B89,'A1.3.11'!$B$26:$AM$105,BC$22,)*VLOOKUP($B89,'A1.3.7'!$B$28:$O$118,6,)))</f>
        <v/>
      </c>
      <c r="BD89" s="693">
        <f>IF(AND(AV89="",AZ89=""),"",IF(AV89="",0,(AV89*VLOOKUP($B89,'A1.3.9'!$B$26:$O$57,9,TRUE))) + IF(AZ89="",0,(AZ89*VLOOKUP($B89,'A1.3.9'!$B$26:$O$57,10,TRUE))))</f>
        <v>692.66334027793766</v>
      </c>
      <c r="BE89" s="691">
        <f>IF(AND(AW89="",BA89=""),"",IF(AW89="",0,(AW89*VLOOKUP($B89,'A1.3.9'!$B$26:$O$57,9,TRUE))) + IF(BA89="",0,(BA89*VLOOKUP($B89,'A1.3.9'!$B$26:$O$57,10,TRUE))))</f>
        <v>35.971234591944011</v>
      </c>
      <c r="BF89" s="691">
        <f>IF(AND(AX89="",BB89=""),"",IF(AX89="",0,(AX89*VLOOKUP($B89,'A1.3.9'!$B$26:$O$57,9,TRUE))) + IF(BB89="",0,(BB89*VLOOKUP($B89,'A1.3.9'!$B$26:$O$57,10,TRUE))))</f>
        <v>-0.23832835231782087</v>
      </c>
      <c r="BG89" s="2644">
        <f>IF(AND(AY89="",BC89=""),"",IF(AY89="",0,(AY89*VLOOKUP($B89,'A1.3.9'!$B$26:$O$57,9,TRUE))) + IF(BC89="",0,(BC89*VLOOKUP($B89,'A1.3.9'!$B$26:$O$57,10,TRUE))))</f>
        <v>1.4205360844321141E-3</v>
      </c>
      <c r="BH89" s="693">
        <f>IF('A1.3.8'!D$33="","",IF(OR(VLOOKUP($B89,'A1.3.11'!$B$26:$AM$105,BH$22,)="",VLOOKUP($B89,'A1.3.7'!$B$28:$H$118,4,)=""),"",VLOOKUP($B89,'A1.3.11'!$B$26:$AM$105,BH$22,)*(VLOOKUP($B89,'A1.3.7'!$B$28:$O$118,4,)+VLOOKUP($B89,'A1.3.7'!$B$28:$O$118,9,))))</f>
        <v>410.80901481572948</v>
      </c>
      <c r="BI89" s="691">
        <f>IF('A1.3.8'!E$33="","",IF(OR(VLOOKUP($B89,'A1.3.11'!$B$26:$AM$105,BI$22,)="",VLOOKUP($B89,'A1.3.7'!$B$28:$H$118,4,)=""),"",VLOOKUP($B89,'A1.3.11'!$B$26:$AM$105,BI$22,)*(VLOOKUP($B89,'A1.3.7'!$B$28:$O$118,4,)+VLOOKUP($B89,'A1.3.7'!$B$28:$O$118,9,))))</f>
        <v>36.096535474155949</v>
      </c>
      <c r="BJ89" s="691">
        <f>IF('A1.3.8'!F$33="","",IF(OR(VLOOKUP($B89,'A1.3.11'!$B$26:$AM$105,BJ$22,)="",VLOOKUP($B89,'A1.3.7'!$B$28:$H$118,4,)=""),"",VLOOKUP($B89,'A1.3.11'!$B$26:$AM$105,BJ$22,)*(VLOOKUP($B89,'A1.3.7'!$B$28:$O$118,4,)+VLOOKUP($B89,'A1.3.7'!$B$28:$O$118,9,))))</f>
        <v>-0.39233716802690582</v>
      </c>
      <c r="BK89" s="2644">
        <f>IF('A1.3.8'!G$33="","",IF(OR(VLOOKUP($B89,'A1.3.11'!$B$26:$AM$105,BK$22,)="",VLOOKUP($B89,'A1.3.7'!$B$28:$H$118,4,)=""),"",VLOOKUP($B89,'A1.3.11'!$B$26:$AM$105,BK$22,)*(VLOOKUP($B89,'A1.3.7'!$B$28:$O$118,4,)+VLOOKUP($B89,'A1.3.7'!$B$28:$O$118,9,))))</f>
        <v>2.8779534954290935E-3</v>
      </c>
      <c r="BL89" s="693" t="str">
        <f>IF('A1.3.8'!D$40="","",IF(OR(VLOOKUP($B89,'A1.3.11'!$B$26:$AM$105,BL$22,)="",VLOOKUP($B89,'A1.3.7'!$B$28:$H$118,6,)=""),"",VLOOKUP($B89,'A1.3.11'!$B$26:$AM$105,BL$22,)*VLOOKUP($B89,'A1.3.7'!$B$28:$O$118,6,)))</f>
        <v/>
      </c>
      <c r="BM89" s="691" t="str">
        <f>IF('A1.3.8'!E$40="","",IF(OR(VLOOKUP($B89,'A1.3.11'!$B$26:$AM$105,BM$22,)="",VLOOKUP($B89,'A1.3.7'!$B$28:$H$118,6,)=""),"",VLOOKUP($B89,'A1.3.11'!$B$26:$AM$105,BM$22,)*VLOOKUP($B89,'A1.3.7'!$B$28:$O$118,6,)))</f>
        <v/>
      </c>
      <c r="BN89" s="691" t="str">
        <f>IF('A1.3.8'!F$40="","",IF(OR(VLOOKUP($B89,'A1.3.11'!$B$26:$AM$105,BN$22,)="",VLOOKUP($B89,'A1.3.7'!$B$28:$H$118,6,)=""),"",VLOOKUP($B89,'A1.3.11'!$B$26:$AM$105,BN$22,)*VLOOKUP($B89,'A1.3.7'!$B$28:$O$118,6,)))</f>
        <v/>
      </c>
      <c r="BO89" s="1664" t="str">
        <f>IF('A1.3.8'!G$40="","",IF(OR(VLOOKUP($B89,'A1.3.11'!$B$26:$AM$105,BO$22,)="",VLOOKUP($B89,'A1.3.7'!$B$28:$H$118,6,)=""),"",VLOOKUP($B89,'A1.3.11'!$B$26:$AM$105,BO$22,)*VLOOKUP($B89,'A1.3.7'!$B$28:$O$118,6,)))</f>
        <v/>
      </c>
      <c r="BP89" s="693">
        <f>IF(AND(BH89="",BL89=""),"",IF(BH89="",0,(BH89*VLOOKUP($B89,'A1.3.9'!$B$26:$O$57,9,TRUE))) + IF(BL89="",0,(BL89*VLOOKUP($B89,'A1.3.9'!$B$26:$O$57,10,TRUE))))</f>
        <v>410.80901481572948</v>
      </c>
      <c r="BQ89" s="691">
        <f>IF(AND(BI89="",BM89=""),"",IF(BI89="",0,(BI89*VLOOKUP($B89,'A1.3.9'!$B$26:$O$57,9,TRUE))) + IF(BM89="",0,(BM89*VLOOKUP($B89,'A1.3.9'!$B$26:$O$57,10,TRUE))))</f>
        <v>36.096535474155949</v>
      </c>
      <c r="BR89" s="691">
        <f>IF(AND(BJ89="",BN89=""),"",IF(BJ89="",0,(BJ89*VLOOKUP($B89,'A1.3.9'!$B$26:$O$57,9,TRUE))) + IF(BN89="",0,(BN89*VLOOKUP($B89,'A1.3.9'!$B$26:$O$57,10,TRUE))))</f>
        <v>-0.39233716802690582</v>
      </c>
      <c r="BS89" s="2644">
        <f>IF(AND(BK89="",BO89=""),"",IF(BK89="",0,(BK89*VLOOKUP($B89,'A1.3.9'!$B$26:$O$57,9,TRUE))) + IF(BO89="",0,(BO89*VLOOKUP($B89,'A1.3.9'!$B$26:$O$57,10,TRUE))))</f>
        <v>2.8779534954290935E-3</v>
      </c>
    </row>
    <row r="90" spans="1:71" ht="13.5" customHeight="1">
      <c r="A90" s="113"/>
      <c r="B90" s="614">
        <f t="shared" si="0"/>
        <v>2073</v>
      </c>
      <c r="C90" s="147"/>
      <c r="D90" s="693">
        <f>IF('A1.3.8'!D$27="","",IF(OR(VLOOKUP($B90,'A1.3.11'!$B$26:$AM$105,D$22,)="",VLOOKUP($B90,'A1.3.7'!$B$28:$H$118,3,)=""),"",VLOOKUP($B90,'A1.3.11'!$B$26:$AM$105,D$22,)*(VLOOKUP($B90,'A1.3.7'!$B$28:$O$118,3,)+VLOOKUP($B90,'A1.3.7'!$B$28:$O$118,8,))))</f>
        <v>38.647790874257346</v>
      </c>
      <c r="E90" s="691">
        <f>IF('A1.3.8'!E$27="","",IF(OR(VLOOKUP($B90,'A1.3.11'!$B$26:$AM$105,E$22,)="",VLOOKUP($B90,'A1.3.7'!$B$28:$H$118,3,)=""),"",VLOOKUP($B90,'A1.3.11'!$B$26:$AM$105,E$22,)*(VLOOKUP($B90,'A1.3.7'!$B$28:$O$118,3,)+VLOOKUP($B90,'A1.3.7'!$B$28:$O$118,8,))))</f>
        <v>8.2132824630479426</v>
      </c>
      <c r="F90" s="691">
        <f>IF('A1.3.8'!F$27="","",IF(OR(VLOOKUP($B90,'A1.3.11'!$B$26:$AM$105,F$22,)="",VLOOKUP($B90,'A1.3.7'!$B$28:$H$118,3,)=""),"",VLOOKUP($B90,'A1.3.11'!$B$26:$AM$105,F$22,)*(VLOOKUP($B90,'A1.3.7'!$B$28:$O$118,3,)+VLOOKUP($B90,'A1.3.7'!$B$28:$O$118,8,))))</f>
        <v>-9.3559027268279998E-2</v>
      </c>
      <c r="G90" s="2644">
        <f>IF('A1.3.8'!G$27="","",IF(OR(VLOOKUP($B90,'A1.3.11'!$B$26:$AM$105,G$22,)="",VLOOKUP($B90,'A1.3.7'!$B$28:$H$118,3,)=""),"",VLOOKUP($B90,'A1.3.11'!$B$26:$AM$105,G$22,)*(VLOOKUP($B90,'A1.3.7'!$B$28:$O$118,3,)+VLOOKUP($B90,'A1.3.7'!$B$28:$O$118,8,))))</f>
        <v>6.1963390971160744E-4</v>
      </c>
      <c r="H90" s="693">
        <f>IF('A1.3.8'!D$28="","",IF(OR(VLOOKUP($B90,'A1.3.11'!$B$26:$AM$105,H$22,)="",VLOOKUP($B90,'A1.3.7'!$B$28:$H$118,4,)=""),"",VLOOKUP($B90,'A1.3.11'!$B$26:$AM$105,H$22,)*(VLOOKUP($B90,'A1.3.7'!$B$28:$O$118,4,)+VLOOKUP($B90,'A1.3.7'!$B$28:$O$118,9,))))</f>
        <v>47.549087967451243</v>
      </c>
      <c r="I90" s="691">
        <f>IF('A1.3.8'!E$28="","",IF(OR(VLOOKUP($B90,'A1.3.11'!$B$26:$AM$105,I$22,)="",VLOOKUP($B90,'A1.3.7'!$B$28:$H$118,4,)=""),"",VLOOKUP($B90,'A1.3.11'!$B$26:$AM$105,I$22,)*(VLOOKUP($B90,'A1.3.7'!$B$28:$O$118,4,)+VLOOKUP($B90,'A1.3.7'!$B$28:$O$118,9,))))</f>
        <v>6.8173633269239682</v>
      </c>
      <c r="J90" s="691">
        <f>IF('A1.3.8'!F$28="","",IF(OR(VLOOKUP($B90,'A1.3.11'!$B$26:$AM$105,J$22,)="",VLOOKUP($B90,'A1.3.7'!$B$28:$H$118,4,)=""),"",VLOOKUP($B90,'A1.3.11'!$B$26:$AM$105,J$22,)*(VLOOKUP($B90,'A1.3.7'!$B$28:$O$118,4,)+VLOOKUP($B90,'A1.3.7'!$B$28:$O$118,9,))))</f>
        <v>-6.5584934390676627E-2</v>
      </c>
      <c r="K90" s="2644">
        <f>IF('A1.3.8'!G$28="","",IF(OR(VLOOKUP($B90,'A1.3.11'!$B$26:$AM$105,K$22,)="",VLOOKUP($B90,'A1.3.7'!$B$28:$H$118,4,)=""),"",VLOOKUP($B90,'A1.3.11'!$B$26:$AM$105,K$22,)*(VLOOKUP($B90,'A1.3.7'!$B$28:$O$118,4,)+VLOOKUP($B90,'A1.3.7'!$B$28:$O$118,9,))))</f>
        <v>5.1681257344379002E-4</v>
      </c>
      <c r="L90" s="693" t="str">
        <f>IF('A1.3.8'!D$36="","",IF(OR(VLOOKUP($B90,'A1.3.11'!$B$26:$AM$105,L$22,)="",VLOOKUP($B90,'A1.3.7'!$B$28:$H$118,6,)=""),"",VLOOKUP($B90,'A1.3.11'!$B$26:$AM$105,L$22,)*VLOOKUP($B90,'A1.3.7'!$B$28:$O$118,6,)))</f>
        <v/>
      </c>
      <c r="M90" s="691">
        <f>IF('A1.3.8'!E$36="","",IF(OR(VLOOKUP($B90,'A1.3.11'!$B$26:$AM$105,M$22,)="",VLOOKUP($B90,'A1.3.7'!$B$28:$H$118,6,)=""),"",VLOOKUP($B90,'A1.3.11'!$B$26:$AM$105,M$22,)*VLOOKUP($B90,'A1.3.7'!$B$28:$O$118,6,)))</f>
        <v>1.9637608285706969</v>
      </c>
      <c r="N90" s="691" t="str">
        <f>IF('A1.3.8'!F$36="","",IF(OR(VLOOKUP($B90,'A1.3.11'!$B$26:$AM$105,N$22,)="",VLOOKUP($B90,'A1.3.7'!$B$28:$H$118,6,)=""),"",VLOOKUP($B90,'A1.3.11'!$B$26:$AM$105,N$22,)*VLOOKUP($B90,'A1.3.7'!$B$28:$O$118,6,)))</f>
        <v/>
      </c>
      <c r="O90" s="1664" t="str">
        <f>IF('A1.3.8'!G$36="","",IF(OR(VLOOKUP($B90,'A1.3.11'!$B$26:$AM$105,O$22,)="",VLOOKUP($B90,'A1.3.7'!$B$28:$H$118,6,)=""),"",VLOOKUP($B90,'A1.3.11'!$B$26:$AM$105,O$22,)*VLOOKUP($B90,'A1.3.7'!$B$28:$O$118,6,)))</f>
        <v/>
      </c>
      <c r="P90" s="693">
        <f>IF(AND(D90="",H90="",L90=""),"",IF(D90="",0,(D90*VLOOKUP($B90,'A1.3.9'!$B$26:$O$57,3,TRUE)))+IF(H90="",0,(H90*VLOOKUP($B90,'A1.3.9'!$B$26:$O$57,4,TRUE)))+IF(L90="",0,(L90*VLOOKUP($B90,'A1.3.9'!$B$26:$O$57,5,TRUE))))</f>
        <v>32.024885280587824</v>
      </c>
      <c r="Q90" s="691">
        <f>IF(AND(E90="",I90="",M90=""),"",IF(E90="",0,(E90*VLOOKUP($B90,'A1.3.9'!$B$26:$O$57,3,TRUE)))+IF(I90="",0,(I90*VLOOKUP($B90,'A1.3.9'!$B$26:$O$57,4,TRUE)))+IF(M90="",0,(M90*VLOOKUP($B90,'A1.3.9'!$B$26:$O$57,5,TRUE))))</f>
        <v>6.2674356961884747</v>
      </c>
      <c r="R90" s="691">
        <f>IF(AND(F90="",J90="",N90=""),"",IF(F90="",0,(F90*VLOOKUP($B90,'A1.3.9'!$B$26:$O$57,3,TRUE)))+IF(J90="",0,(J90*VLOOKUP($B90,'A1.3.9'!$B$26:$O$57,4,TRUE)))+IF(N90="",0,(N90*VLOOKUP($B90,'A1.3.9'!$B$26:$O$57,5,TRUE))))</f>
        <v>-6.2244988119998845E-2</v>
      </c>
      <c r="S90" s="2644">
        <f>IF(AND(G90="",K90="",O90=""),"",IF(G90="",0,(G90*VLOOKUP($B90,'A1.3.9'!$B$26:$O$57,3,TRUE)))+IF(K90="",0,(K90*VLOOKUP($B90,'A1.3.9'!$B$26:$O$57,4,TRUE)))+IF(O90="",0,(O90*VLOOKUP($B90,'A1.3.9'!$B$26:$O$57,5,TRUE))))</f>
        <v>4.3768492753207895E-4</v>
      </c>
      <c r="T90" s="693">
        <f>IF('A1.3.8'!D$29="","",IF(OR(VLOOKUP($B90,'A1.3.11'!$B$26:$AM$105,T$22,)="",VLOOKUP($B90,'A1.3.7'!$B$28:$H$118,3,)=""),"",VLOOKUP($B90,'A1.3.11'!$B$26:$AM$105,T$22,)*(VLOOKUP($B90,'A1.3.7'!$B$28:$O$118,3,)+VLOOKUP($B90,'A1.3.7'!$B$28:$O$118,8,))))</f>
        <v>27.800634042899805</v>
      </c>
      <c r="U90" s="691">
        <f>IF('A1.3.8'!E$29="","",IF(OR(VLOOKUP($B90,'A1.3.11'!$B$26:$AM$105,U$22,)="",VLOOKUP($B90,'A1.3.7'!$B$28:$H$118,3,)=""),"",VLOOKUP($B90,'A1.3.11'!$B$26:$AM$105,U$22,)*(VLOOKUP($B90,'A1.3.7'!$B$28:$O$118,3,)+VLOOKUP($B90,'A1.3.7'!$B$28:$O$118,8,))))</f>
        <v>15.588986292258834</v>
      </c>
      <c r="V90" s="691">
        <f>IF('A1.3.8'!F$29="","",IF(OR(VLOOKUP($B90,'A1.3.11'!$B$26:$AM$105,V$22,)="",VLOOKUP($B90,'A1.3.7'!$B$28:$H$118,3,)=""),"",VLOOKUP($B90,'A1.3.11'!$B$26:$AM$105,V$22,)*(VLOOKUP($B90,'A1.3.7'!$B$28:$O$118,3,)+VLOOKUP($B90,'A1.3.7'!$B$28:$O$118,8,))))</f>
        <v>-0.24469591558459863</v>
      </c>
      <c r="W90" s="2644">
        <f>IF('A1.3.8'!G$29="","",IF(OR(VLOOKUP($B90,'A1.3.11'!$B$26:$AM$105,W$22,)="",VLOOKUP($B90,'A1.3.7'!$B$28:$H$118,3,)=""),"",VLOOKUP($B90,'A1.3.11'!$B$26:$AM$105,W$22,)*(VLOOKUP($B90,'A1.3.7'!$B$28:$O$118,3,)+VLOOKUP($B90,'A1.3.7'!$B$28:$O$118,8,))))</f>
        <v>1.5802553677045634E-3</v>
      </c>
      <c r="X90" s="693">
        <f>IF('A1.3.8'!D$30="","",IF(OR(VLOOKUP($B90,'A1.3.11'!$B$26:$AM$105,X$22,)="",VLOOKUP($B90,'A1.3.7'!$B$28:$H$118,4,)=""),"",VLOOKUP($B90,'A1.3.11'!$B$26:$AM$105,X$22,)*(VLOOKUP($B90,'A1.3.7'!$B$28:$O$118,4,)+VLOOKUP($B90,'A1.3.7'!$B$28:$O$118,9,))))</f>
        <v>48.970947516021695</v>
      </c>
      <c r="Y90" s="691">
        <f>IF('A1.3.8'!E$30="","",IF(OR(VLOOKUP($B90,'A1.3.11'!$B$26:$AM$105,Y$22,)="",VLOOKUP($B90,'A1.3.7'!$B$28:$H$118,4,)=""),"",VLOOKUP($B90,'A1.3.11'!$B$26:$AM$105,Y$22,)*(VLOOKUP($B90,'A1.3.7'!$B$28:$O$118,4,)+VLOOKUP($B90,'A1.3.7'!$B$28:$O$118,9,))))</f>
        <v>11.968699145771819</v>
      </c>
      <c r="Z90" s="691">
        <f>IF('A1.3.8'!F$30="","",IF(OR(VLOOKUP($B90,'A1.3.11'!$B$26:$AM$105,Z$22,)="",VLOOKUP($B90,'A1.3.7'!$B$28:$H$118,4,)=""),"",VLOOKUP($B90,'A1.3.11'!$B$26:$AM$105,Z$22,)*(VLOOKUP($B90,'A1.3.7'!$B$28:$O$118,4,)+VLOOKUP($B90,'A1.3.7'!$B$28:$O$118,9,))))</f>
        <v>-0.17267023760611558</v>
      </c>
      <c r="AA90" s="2644">
        <f>IF('A1.3.8'!G$30="","",IF(OR(VLOOKUP($B90,'A1.3.11'!$B$26:$AM$105,AA$22,)="",VLOOKUP($B90,'A1.3.7'!$B$28:$H$118,4,)=""),"",VLOOKUP($B90,'A1.3.11'!$B$26:$AM$105,AA$22,)*(VLOOKUP($B90,'A1.3.7'!$B$28:$O$118,4,)+VLOOKUP($B90,'A1.3.7'!$B$28:$O$118,9,))))</f>
        <v>1.4618322520917229E-3</v>
      </c>
      <c r="AB90" s="693" t="str">
        <f>IF('A1.3.8'!D$37="","",IF(OR(VLOOKUP($B90,'A1.3.11'!$B$26:$AM$105,AB$22,)="",VLOOKUP($B90,'A1.3.7'!$B$28:$H$118,6,)=""),"",VLOOKUP($B90,'A1.3.11'!$B$26:$AM$105,AB$22,)*VLOOKUP($B90,'A1.3.7'!$B$28:$O$118,6,)))</f>
        <v/>
      </c>
      <c r="AC90" s="691">
        <f>IF('A1.3.8'!E$37="","",IF(OR(VLOOKUP($B90,'A1.3.11'!$B$26:$AM$105,AC$22,)="",VLOOKUP($B90,'A1.3.7'!$B$28:$H$118,6,)=""),"",VLOOKUP($B90,'A1.3.11'!$B$26:$AM$105,AC$22,)*VLOOKUP($B90,'A1.3.7'!$B$28:$O$118,6,)))</f>
        <v>4.5145632825273854</v>
      </c>
      <c r="AD90" s="691" t="str">
        <f>IF('A1.3.8'!F$37="","",IF(OR(VLOOKUP($B90,'A1.3.11'!$B$26:$AM$105,AD$22,)="",VLOOKUP($B90,'A1.3.7'!$B$28:$H$118,6,)=""),"",VLOOKUP($B90,'A1.3.11'!$B$26:$AM$105,AD$22,)*VLOOKUP($B90,'A1.3.7'!$B$28:$O$118,6,)))</f>
        <v/>
      </c>
      <c r="AE90" s="1664" t="str">
        <f>IF('A1.3.8'!G$37="","",IF(OR(VLOOKUP($B90,'A1.3.11'!$B$26:$AM$105,AE$22,)="",VLOOKUP($B90,'A1.3.7'!$B$28:$H$118,6,)=""),"",VLOOKUP($B90,'A1.3.11'!$B$26:$AM$105,AE$22,)*VLOOKUP($B90,'A1.3.7'!$B$28:$O$118,6,)))</f>
        <v/>
      </c>
      <c r="AF90" s="693">
        <f>IF(AND(T90="",X90="",AB90=""),"",IF(T90="",0,(T90*VLOOKUP('A1.3.12'!$B90,'A1.3.9'!$B$26:$O$57,6,TRUE))) + IF(X90="",0,(X90*VLOOKUP('A1.3.12'!$B90,'A1.3.9'!$B$26:$O$57,7,TRUE))) + IF(AB90="",0,(AB90*VLOOKUP('A1.3.12'!$B90,'A1.3.9'!$B$26:$O$57,8,TRUE))))</f>
        <v>43.451985361854405</v>
      </c>
      <c r="AG90" s="691">
        <f>IF(AND(U90="",Y90="",AC90=""),"",IF(U90="",0,(U90*VLOOKUP('A1.3.12'!$B90,'A1.3.9'!$B$26:$O$57,6,TRUE))) + IF(Y90="",0,(Y90*VLOOKUP('A1.3.12'!$B90,'A1.3.9'!$B$26:$O$57,7,TRUE))) + IF(AC90="",0,(AC90*VLOOKUP('A1.3.12'!$B90,'A1.3.9'!$B$26:$O$57,8,TRUE))))</f>
        <v>11.180505017836261</v>
      </c>
      <c r="AH90" s="691">
        <f>IF(AND(V90="",Z90="",AD90=""),"",IF(V90="",0,(V90*VLOOKUP('A1.3.12'!$B90,'A1.3.9'!$B$26:$O$57,6,TRUE))) + IF(Z90="",0,(Z90*VLOOKUP('A1.3.12'!$B90,'A1.3.9'!$B$26:$O$57,7,TRUE))) + IF(AD90="",0,(AD90*VLOOKUP('A1.3.12'!$B90,'A1.3.9'!$B$26:$O$57,8,TRUE))))</f>
        <v>-0.15432249770415615</v>
      </c>
      <c r="AI90" s="2644">
        <f>IF(AND(W90="",AA90="",AE90=""),"",IF(W90="",0,(W90*VLOOKUP('A1.3.12'!$B90,'A1.3.9'!$B$26:$O$57,6,TRUE))) + IF(AA90="",0,(AA90*VLOOKUP('A1.3.12'!$B90,'A1.3.9'!$B$26:$O$57,7,TRUE))) + IF(AE90="",0,(AE90*VLOOKUP('A1.3.12'!$B90,'A1.3.9'!$B$26:$O$57,8,TRUE))))</f>
        <v>1.3027745507104003E-3</v>
      </c>
      <c r="AJ90" s="693">
        <f>IF('A1.3.8'!D$31="","",IF(OR(VLOOKUP($B90,'A1.3.11'!$B$26:$AM$105,AJ$22,)="",VLOOKUP($B90,'A1.3.7'!$B$28:$H$118,4,)=""),"",VLOOKUP($B90,'A1.3.11'!$B$26:$AM$105,AJ$22,)*(VLOOKUP($B90,'A1.3.7'!$B$28:$O$118,4,)+VLOOKUP($B90,'A1.3.7'!$B$28:$O$118,9,))))</f>
        <v>331.04178312602721</v>
      </c>
      <c r="AK90" s="691">
        <f>IF('A1.3.8'!E$31="","",IF(OR(VLOOKUP($B90,'A1.3.11'!$B$26:$AM$105,AK$22,)="",VLOOKUP($B90,'A1.3.7'!$B$28:$H$118,4,)=""),"",VLOOKUP($B90,'A1.3.11'!$B$26:$AM$105,AK$22,)*(VLOOKUP($B90,'A1.3.7'!$B$28:$O$118,4,)+VLOOKUP($B90,'A1.3.7'!$B$28:$O$118,9,))))</f>
        <v>17.564151843803764</v>
      </c>
      <c r="AL90" s="691">
        <f>IF('A1.3.8'!F$31="","",IF(OR(VLOOKUP($B90,'A1.3.11'!$B$26:$AM$105,AL$22,)="",VLOOKUP($B90,'A1.3.7'!$B$28:$H$118,4,)=""),"",VLOOKUP($B90,'A1.3.11'!$B$26:$AM$105,AL$22,)*(VLOOKUP($B90,'A1.3.7'!$B$28:$O$118,4,)+VLOOKUP($B90,'A1.3.7'!$B$28:$O$118,9,))))</f>
        <v>-0.12695380104629625</v>
      </c>
      <c r="AM90" s="2644">
        <f>IF('A1.3.8'!G$31="","",IF(OR(VLOOKUP($B90,'A1.3.11'!$B$26:$AM$105,AM$22,)="",VLOOKUP($B90,'A1.3.7'!$B$28:$H$118,4,)=""),"",VLOOKUP($B90,'A1.3.11'!$B$26:$AM$105,AM$22,)*(VLOOKUP($B90,'A1.3.7'!$B$28:$O$118,4,)+VLOOKUP($B90,'A1.3.7'!$B$28:$O$118,9,))))</f>
        <v>1.386539205247596E-3</v>
      </c>
      <c r="AN90" s="693" t="str">
        <f>IF('A1.3.8'!D$38="","",IF(OR(VLOOKUP($B90,'A1.3.11'!$B$26:$AM$105,AN$22,)="",VLOOKUP($B90,'A1.3.7'!$B$28:$H$118,6,)=""),"",VLOOKUP($B90,'A1.3.11'!$B$26:$AM$105,AN$22,)*VLOOKUP($B90,'A1.3.7'!$B$28:$O$118,6,)))</f>
        <v/>
      </c>
      <c r="AO90" s="691" t="str">
        <f>IF('A1.3.8'!E$38="","",IF(OR(VLOOKUP($B90,'A1.3.11'!$B$26:$AM$105,AO$22,)="",VLOOKUP($B90,'A1.3.7'!$B$28:$H$118,6,)=""),"",VLOOKUP($B90,'A1.3.11'!$B$26:$AM$105,AO$22,)*VLOOKUP($B90,'A1.3.7'!$B$28:$O$118,6,)))</f>
        <v/>
      </c>
      <c r="AP90" s="691" t="str">
        <f>IF('A1.3.8'!F$38="","",IF(OR(VLOOKUP($B90,'A1.3.11'!$B$26:$AM$105,AP$22,)="",VLOOKUP($B90,'A1.3.7'!$B$28:$H$118,6,)=""),"",VLOOKUP($B90,'A1.3.11'!$B$26:$AM$105,AP$22,)*VLOOKUP($B90,'A1.3.7'!$B$28:$O$118,6,)))</f>
        <v/>
      </c>
      <c r="AQ90" s="1664" t="str">
        <f>IF('A1.3.8'!G$38="","",IF(OR(VLOOKUP($B90,'A1.3.11'!$B$26:$AM$105,AQ$22,)="",VLOOKUP($B90,'A1.3.7'!$B$28:$H$118,6,)=""),"",VLOOKUP($B90,'A1.3.11'!$B$26:$AM$105,AQ$22,)*VLOOKUP($B90,'A1.3.7'!$B$28:$O$118,6,)))</f>
        <v/>
      </c>
      <c r="AR90" s="693">
        <f>IF(AND(AJ90="",AN90=""),"",IF(AJ90="",0,(AJ90*VLOOKUP($B90,'A1.3.9'!$B$26:$O$57,9,TRUE))) + IF(AN90="",0,(AN90*VLOOKUP($B90,'A1.3.9'!$B$26:$O$57,10,TRUE))))</f>
        <v>331.04178312602721</v>
      </c>
      <c r="AS90" s="691">
        <f>IF(AND(AK90="",AO90=""),"",IF(AK90="",0,(AK90*VLOOKUP($B90,'A1.3.9'!$B$26:$O$57,9,TRUE))) + IF(AO90="",0,(AO90*VLOOKUP($B90,'A1.3.9'!$B$26:$O$57,10,TRUE))))</f>
        <v>17.564151843803764</v>
      </c>
      <c r="AT90" s="691">
        <f>IF(AND(AL90="",AP90=""),"",IF(AL90="",0,(AL90*VLOOKUP($B90,'A1.3.9'!$B$26:$O$57,9,TRUE))) + IF(AP90="",0,(AP90*VLOOKUP($B90,'A1.3.9'!$B$26:$O$57,10,TRUE))))</f>
        <v>-0.12695380104629625</v>
      </c>
      <c r="AU90" s="2644">
        <f>IF(AND(AM90="",AQ90=""),"",IF(AM90="",0,(AM90*VLOOKUP($B90,'A1.3.9'!$B$26:$O$57,9,TRUE))) + IF(AQ90="",0,(AQ90*VLOOKUP($B90,'A1.3.9'!$B$26:$O$57,10,TRUE))))</f>
        <v>1.386539205247596E-3</v>
      </c>
      <c r="AV90" s="693">
        <f>IF('A1.3.8'!D$32="","",IF(OR(VLOOKUP($B90,'A1.3.11'!$B$26:$AM$105,AV$22,)="",VLOOKUP($B90,'A1.3.7'!$B$28:$H$118,4,)=""),"",VLOOKUP($B90,'A1.3.11'!$B$26:$AM$105,AV$22,)*(VLOOKUP($B90,'A1.3.7'!$B$28:$O$118,4,)+VLOOKUP($B90,'A1.3.7'!$B$28:$O$118,9,))))</f>
        <v>695.6050481361284</v>
      </c>
      <c r="AW90" s="691">
        <f>IF('A1.3.8'!E$32="","",IF(OR(VLOOKUP($B90,'A1.3.11'!$B$26:$AM$105,AW$22,)="",VLOOKUP($B90,'A1.3.7'!$B$28:$H$118,4,)=""),"",VLOOKUP($B90,'A1.3.11'!$B$26:$AM$105,AW$22,)*(VLOOKUP($B90,'A1.3.7'!$B$28:$O$118,4,)+VLOOKUP($B90,'A1.3.7'!$B$28:$O$118,9,))))</f>
        <v>36.124002693436843</v>
      </c>
      <c r="AX90" s="691">
        <f>IF('A1.3.8'!F$32="","",IF(OR(VLOOKUP($B90,'A1.3.11'!$B$26:$AM$105,AX$22,)="",VLOOKUP($B90,'A1.3.7'!$B$28:$H$118,4,)=""),"",VLOOKUP($B90,'A1.3.11'!$B$26:$AM$105,AX$22,)*(VLOOKUP($B90,'A1.3.7'!$B$28:$O$118,4,)+VLOOKUP($B90,'A1.3.7'!$B$28:$O$118,9,))))</f>
        <v>-0.23934052135590175</v>
      </c>
      <c r="AY90" s="2644">
        <f>IF('A1.3.8'!G$32="","",IF(OR(VLOOKUP($B90,'A1.3.11'!$B$26:$AM$105,AY$22,)="",VLOOKUP($B90,'A1.3.7'!$B$28:$H$118,4,)=""),"",VLOOKUP($B90,'A1.3.11'!$B$26:$AM$105,AY$22,)*(VLOOKUP($B90,'A1.3.7'!$B$28:$O$118,4,)+VLOOKUP($B90,'A1.3.7'!$B$28:$O$118,9,))))</f>
        <v>1.426569032791617E-3</v>
      </c>
      <c r="AZ90" s="693" t="str">
        <f>IF('A1.3.8'!D$39="","",IF(OR(VLOOKUP($B90,'A1.3.11'!$B$26:$AM$105,AZ$22,)="",VLOOKUP($B90,'A1.3.7'!$B$28:$H$118,6,)=""),"",VLOOKUP($B90,'A1.3.11'!$B$26:$AM$105,AZ$22,)*VLOOKUP($B90,'A1.3.7'!$B$28:$O$118,6,)))</f>
        <v/>
      </c>
      <c r="BA90" s="691" t="str">
        <f>IF('A1.3.8'!E$39="","",IF(OR(VLOOKUP($B90,'A1.3.11'!$B$26:$AM$105,BA$22,)="",VLOOKUP($B90,'A1.3.7'!$B$28:$H$118,6,)=""),"",VLOOKUP($B90,'A1.3.11'!$B$26:$AM$105,BA$22,)*VLOOKUP($B90,'A1.3.7'!$B$28:$O$118,6,)))</f>
        <v/>
      </c>
      <c r="BB90" s="691" t="str">
        <f>IF('A1.3.8'!F$39="","",IF(OR(VLOOKUP($B90,'A1.3.11'!$B$26:$AM$105,BB$22,)="",VLOOKUP($B90,'A1.3.7'!$B$28:$H$118,6,)=""),"",VLOOKUP($B90,'A1.3.11'!$B$26:$AM$105,BB$22,)*VLOOKUP($B90,'A1.3.7'!$B$28:$O$118,6,)))</f>
        <v/>
      </c>
      <c r="BC90" s="1664" t="str">
        <f>IF('A1.3.8'!G$39="","",IF(OR(VLOOKUP($B90,'A1.3.11'!$B$26:$AM$105,BC$22,)="",VLOOKUP($B90,'A1.3.7'!$B$28:$H$118,6,)=""),"",VLOOKUP($B90,'A1.3.11'!$B$26:$AM$105,BC$22,)*VLOOKUP($B90,'A1.3.7'!$B$28:$O$118,6,)))</f>
        <v/>
      </c>
      <c r="BD90" s="693">
        <f>IF(AND(AV90="",AZ90=""),"",IF(AV90="",0,(AV90*VLOOKUP($B90,'A1.3.9'!$B$26:$O$57,9,TRUE))) + IF(AZ90="",0,(AZ90*VLOOKUP($B90,'A1.3.9'!$B$26:$O$57,10,TRUE))))</f>
        <v>695.6050481361284</v>
      </c>
      <c r="BE90" s="691">
        <f>IF(AND(AW90="",BA90=""),"",IF(AW90="",0,(AW90*VLOOKUP($B90,'A1.3.9'!$B$26:$O$57,9,TRUE))) + IF(BA90="",0,(BA90*VLOOKUP($B90,'A1.3.9'!$B$26:$O$57,10,TRUE))))</f>
        <v>36.124002693436843</v>
      </c>
      <c r="BF90" s="691">
        <f>IF(AND(AX90="",BB90=""),"",IF(AX90="",0,(AX90*VLOOKUP($B90,'A1.3.9'!$B$26:$O$57,9,TRUE))) + IF(BB90="",0,(BB90*VLOOKUP($B90,'A1.3.9'!$B$26:$O$57,10,TRUE))))</f>
        <v>-0.23934052135590175</v>
      </c>
      <c r="BG90" s="2644">
        <f>IF(AND(AY90="",BC90=""),"",IF(AY90="",0,(AY90*VLOOKUP($B90,'A1.3.9'!$B$26:$O$57,9,TRUE))) + IF(BC90="",0,(BC90*VLOOKUP($B90,'A1.3.9'!$B$26:$O$57,10,TRUE))))</f>
        <v>1.426569032791617E-3</v>
      </c>
      <c r="BH90" s="693">
        <f>IF('A1.3.8'!D$33="","",IF(OR(VLOOKUP($B90,'A1.3.11'!$B$26:$AM$105,BH$22,)="",VLOOKUP($B90,'A1.3.7'!$B$28:$H$118,4,)=""),"",VLOOKUP($B90,'A1.3.11'!$B$26:$AM$105,BH$22,)*(VLOOKUP($B90,'A1.3.7'!$B$28:$O$118,4,)+VLOOKUP($B90,'A1.3.7'!$B$28:$O$118,9,))))</f>
        <v>412.55370092343389</v>
      </c>
      <c r="BI90" s="691">
        <f>IF('A1.3.8'!E$33="","",IF(OR(VLOOKUP($B90,'A1.3.11'!$B$26:$AM$105,BI$22,)="",VLOOKUP($B90,'A1.3.7'!$B$28:$H$118,4,)=""),"",VLOOKUP($B90,'A1.3.11'!$B$26:$AM$105,BI$22,)*(VLOOKUP($B90,'A1.3.7'!$B$28:$O$118,4,)+VLOOKUP($B90,'A1.3.7'!$B$28:$O$118,9,))))</f>
        <v>36.249835722462983</v>
      </c>
      <c r="BJ90" s="691">
        <f>IF('A1.3.8'!F$33="","",IF(OR(VLOOKUP($B90,'A1.3.11'!$B$26:$AM$105,BJ$22,)="",VLOOKUP($B90,'A1.3.7'!$B$28:$H$118,4,)=""),"",VLOOKUP($B90,'A1.3.11'!$B$26:$AM$105,BJ$22,)*(VLOOKUP($B90,'A1.3.7'!$B$28:$O$118,4,)+VLOOKUP($B90,'A1.3.7'!$B$28:$O$118,9,))))</f>
        <v>-0.39400340509061699</v>
      </c>
      <c r="BK90" s="2644">
        <f>IF('A1.3.8'!G$33="","",IF(OR(VLOOKUP($B90,'A1.3.11'!$B$26:$AM$105,BK$22,)="",VLOOKUP($B90,'A1.3.7'!$B$28:$H$118,4,)=""),"",VLOOKUP($B90,'A1.3.11'!$B$26:$AM$105,BK$22,)*(VLOOKUP($B90,'A1.3.7'!$B$28:$O$118,4,)+VLOOKUP($B90,'A1.3.7'!$B$28:$O$118,9,))))</f>
        <v>2.8901760253663852E-3</v>
      </c>
      <c r="BL90" s="693" t="str">
        <f>IF('A1.3.8'!D$40="","",IF(OR(VLOOKUP($B90,'A1.3.11'!$B$26:$AM$105,BL$22,)="",VLOOKUP($B90,'A1.3.7'!$B$28:$H$118,6,)=""),"",VLOOKUP($B90,'A1.3.11'!$B$26:$AM$105,BL$22,)*VLOOKUP($B90,'A1.3.7'!$B$28:$O$118,6,)))</f>
        <v/>
      </c>
      <c r="BM90" s="691" t="str">
        <f>IF('A1.3.8'!E$40="","",IF(OR(VLOOKUP($B90,'A1.3.11'!$B$26:$AM$105,BM$22,)="",VLOOKUP($B90,'A1.3.7'!$B$28:$H$118,6,)=""),"",VLOOKUP($B90,'A1.3.11'!$B$26:$AM$105,BM$22,)*VLOOKUP($B90,'A1.3.7'!$B$28:$O$118,6,)))</f>
        <v/>
      </c>
      <c r="BN90" s="691" t="str">
        <f>IF('A1.3.8'!F$40="","",IF(OR(VLOOKUP($B90,'A1.3.11'!$B$26:$AM$105,BN$22,)="",VLOOKUP($B90,'A1.3.7'!$B$28:$H$118,6,)=""),"",VLOOKUP($B90,'A1.3.11'!$B$26:$AM$105,BN$22,)*VLOOKUP($B90,'A1.3.7'!$B$28:$O$118,6,)))</f>
        <v/>
      </c>
      <c r="BO90" s="1664" t="str">
        <f>IF('A1.3.8'!G$40="","",IF(OR(VLOOKUP($B90,'A1.3.11'!$B$26:$AM$105,BO$22,)="",VLOOKUP($B90,'A1.3.7'!$B$28:$H$118,6,)=""),"",VLOOKUP($B90,'A1.3.11'!$B$26:$AM$105,BO$22,)*VLOOKUP($B90,'A1.3.7'!$B$28:$O$118,6,)))</f>
        <v/>
      </c>
      <c r="BP90" s="693">
        <f>IF(AND(BH90="",BL90=""),"",IF(BH90="",0,(BH90*VLOOKUP($B90,'A1.3.9'!$B$26:$O$57,9,TRUE))) + IF(BL90="",0,(BL90*VLOOKUP($B90,'A1.3.9'!$B$26:$O$57,10,TRUE))))</f>
        <v>412.55370092343389</v>
      </c>
      <c r="BQ90" s="691">
        <f>IF(AND(BI90="",BM90=""),"",IF(BI90="",0,(BI90*VLOOKUP($B90,'A1.3.9'!$B$26:$O$57,9,TRUE))) + IF(BM90="",0,(BM90*VLOOKUP($B90,'A1.3.9'!$B$26:$O$57,10,TRUE))))</f>
        <v>36.249835722462983</v>
      </c>
      <c r="BR90" s="691">
        <f>IF(AND(BJ90="",BN90=""),"",IF(BJ90="",0,(BJ90*VLOOKUP($B90,'A1.3.9'!$B$26:$O$57,9,TRUE))) + IF(BN90="",0,(BN90*VLOOKUP($B90,'A1.3.9'!$B$26:$O$57,10,TRUE))))</f>
        <v>-0.39400340509061699</v>
      </c>
      <c r="BS90" s="2644">
        <f>IF(AND(BK90="",BO90=""),"",IF(BK90="",0,(BK90*VLOOKUP($B90,'A1.3.9'!$B$26:$O$57,9,TRUE))) + IF(BO90="",0,(BO90*VLOOKUP($B90,'A1.3.9'!$B$26:$O$57,10,TRUE))))</f>
        <v>2.8901760253663852E-3</v>
      </c>
    </row>
    <row r="91" spans="1:71" ht="13.5" customHeight="1">
      <c r="A91" s="113"/>
      <c r="B91" s="614">
        <f t="shared" si="0"/>
        <v>2074</v>
      </c>
      <c r="C91" s="147"/>
      <c r="D91" s="693">
        <f>IF('A1.3.8'!D$27="","",IF(OR(VLOOKUP($B91,'A1.3.11'!$B$26:$AM$105,D$22,)="",VLOOKUP($B91,'A1.3.7'!$B$28:$H$118,3,)=""),"",VLOOKUP($B91,'A1.3.11'!$B$26:$AM$105,D$22,)*(VLOOKUP($B91,'A1.3.7'!$B$28:$O$118,3,)+VLOOKUP($B91,'A1.3.7'!$B$28:$O$118,8,))))</f>
        <v>38.817836715455783</v>
      </c>
      <c r="E91" s="691">
        <f>IF('A1.3.8'!E$27="","",IF(OR(VLOOKUP($B91,'A1.3.11'!$B$26:$AM$105,E$22,)="",VLOOKUP($B91,'A1.3.7'!$B$28:$H$118,3,)=""),"",VLOOKUP($B91,'A1.3.11'!$B$26:$AM$105,E$22,)*(VLOOKUP($B91,'A1.3.7'!$B$28:$O$118,3,)+VLOOKUP($B91,'A1.3.7'!$B$28:$O$118,8,))))</f>
        <v>8.2494199626005926</v>
      </c>
      <c r="F91" s="691">
        <f>IF('A1.3.8'!F$27="","",IF(OR(VLOOKUP($B91,'A1.3.11'!$B$26:$AM$105,F$22,)="",VLOOKUP($B91,'A1.3.7'!$B$28:$H$118,3,)=""),"",VLOOKUP($B91,'A1.3.11'!$B$26:$AM$105,F$22,)*(VLOOKUP($B91,'A1.3.7'!$B$28:$O$118,3,)+VLOOKUP($B91,'A1.3.7'!$B$28:$O$118,8,))))</f>
        <v>-9.3970676243128368E-2</v>
      </c>
      <c r="G91" s="2644">
        <f>IF('A1.3.8'!G$27="","",IF(OR(VLOOKUP($B91,'A1.3.11'!$B$26:$AM$105,G$22,)="",VLOOKUP($B91,'A1.3.7'!$B$28:$H$118,3,)=""),"",VLOOKUP($B91,'A1.3.11'!$B$26:$AM$105,G$22,)*(VLOOKUP($B91,'A1.3.7'!$B$28:$O$118,3,)+VLOOKUP($B91,'A1.3.7'!$B$28:$O$118,8,))))</f>
        <v>6.2236022775019335E-4</v>
      </c>
      <c r="H91" s="693">
        <f>IF('A1.3.8'!D$28="","",IF(OR(VLOOKUP($B91,'A1.3.11'!$B$26:$AM$105,H$22,)="",VLOOKUP($B91,'A1.3.7'!$B$28:$H$118,4,)=""),"",VLOOKUP($B91,'A1.3.11'!$B$26:$AM$105,H$22,)*(VLOOKUP($B91,'A1.3.7'!$B$28:$O$118,4,)+VLOOKUP($B91,'A1.3.7'!$B$28:$O$118,9,))))</f>
        <v>47.751548603893276</v>
      </c>
      <c r="I91" s="691">
        <f>IF('A1.3.8'!E$28="","",IF(OR(VLOOKUP($B91,'A1.3.11'!$B$26:$AM$105,I$22,)="",VLOOKUP($B91,'A1.3.7'!$B$28:$H$118,4,)=""),"",VLOOKUP($B91,'A1.3.11'!$B$26:$AM$105,I$22,)*(VLOOKUP($B91,'A1.3.7'!$B$28:$O$118,4,)+VLOOKUP($B91,'A1.3.7'!$B$28:$O$118,9,))))</f>
        <v>6.846391175343908</v>
      </c>
      <c r="J91" s="691">
        <f>IF('A1.3.8'!F$28="","",IF(OR(VLOOKUP($B91,'A1.3.11'!$B$26:$AM$105,J$22,)="",VLOOKUP($B91,'A1.3.7'!$B$28:$H$118,4,)=""),"",VLOOKUP($B91,'A1.3.11'!$B$26:$AM$105,J$22,)*(VLOOKUP($B91,'A1.3.7'!$B$28:$O$118,4,)+VLOOKUP($B91,'A1.3.7'!$B$28:$O$118,9,))))</f>
        <v>-6.5864190379074011E-2</v>
      </c>
      <c r="K91" s="2644">
        <f>IF('A1.3.8'!G$28="","",IF(OR(VLOOKUP($B91,'A1.3.11'!$B$26:$AM$105,K$22,)="",VLOOKUP($B91,'A1.3.7'!$B$28:$H$118,4,)=""),"",VLOOKUP($B91,'A1.3.11'!$B$26:$AM$105,K$22,)*(VLOOKUP($B91,'A1.3.7'!$B$28:$O$118,4,)+VLOOKUP($B91,'A1.3.7'!$B$28:$O$118,9,))))</f>
        <v>5.1901312464284349E-4</v>
      </c>
      <c r="L91" s="693" t="str">
        <f>IF('A1.3.8'!D$36="","",IF(OR(VLOOKUP($B91,'A1.3.11'!$B$26:$AM$105,L$22,)="",VLOOKUP($B91,'A1.3.7'!$B$28:$H$118,6,)=""),"",VLOOKUP($B91,'A1.3.11'!$B$26:$AM$105,L$22,)*VLOOKUP($B91,'A1.3.7'!$B$28:$O$118,6,)))</f>
        <v/>
      </c>
      <c r="M91" s="691">
        <f>IF('A1.3.8'!E$36="","",IF(OR(VLOOKUP($B91,'A1.3.11'!$B$26:$AM$105,M$22,)="",VLOOKUP($B91,'A1.3.7'!$B$28:$H$118,6,)=""),"",VLOOKUP($B91,'A1.3.11'!$B$26:$AM$105,M$22,)*VLOOKUP($B91,'A1.3.7'!$B$28:$O$118,6,)))</f>
        <v>1.9637608285706969</v>
      </c>
      <c r="N91" s="691" t="str">
        <f>IF('A1.3.8'!F$36="","",IF(OR(VLOOKUP($B91,'A1.3.11'!$B$26:$AM$105,N$22,)="",VLOOKUP($B91,'A1.3.7'!$B$28:$H$118,6,)=""),"",VLOOKUP($B91,'A1.3.11'!$B$26:$AM$105,N$22,)*VLOOKUP($B91,'A1.3.7'!$B$28:$O$118,6,)))</f>
        <v/>
      </c>
      <c r="O91" s="1664" t="str">
        <f>IF('A1.3.8'!G$36="","",IF(OR(VLOOKUP($B91,'A1.3.11'!$B$26:$AM$105,O$22,)="",VLOOKUP($B91,'A1.3.7'!$B$28:$H$118,6,)=""),"",VLOOKUP($B91,'A1.3.11'!$B$26:$AM$105,O$22,)*VLOOKUP($B91,'A1.3.7'!$B$28:$O$118,6,)))</f>
        <v/>
      </c>
      <c r="P91" s="693">
        <f>IF(AND(D91="",H91="",L91=""),"",IF(D91="",0,(D91*VLOOKUP($B91,'A1.3.9'!$B$26:$O$57,3,TRUE)))+IF(H91="",0,(H91*VLOOKUP($B91,'A1.3.9'!$B$26:$O$57,4,TRUE)))+IF(L91="",0,(L91*VLOOKUP($B91,'A1.3.9'!$B$26:$O$57,5,TRUE))))</f>
        <v>32.163708272559653</v>
      </c>
      <c r="Q91" s="691">
        <f>IF(AND(E91="",I91="",M91=""),"",IF(E91="",0,(E91*VLOOKUP($B91,'A1.3.9'!$B$26:$O$57,3,TRUE)))+IF(I91="",0,(I91*VLOOKUP($B91,'A1.3.9'!$B$26:$O$57,4,TRUE)))+IF(M91="",0,(M91*VLOOKUP($B91,'A1.3.9'!$B$26:$O$57,5,TRUE))))</f>
        <v>6.2926183474746509</v>
      </c>
      <c r="R91" s="691">
        <f>IF(AND(F91="",J91="",N91=""),"",IF(F91="",0,(F91*VLOOKUP($B91,'A1.3.9'!$B$26:$O$57,3,TRUE)))+IF(J91="",0,(J91*VLOOKUP($B91,'A1.3.9'!$B$26:$O$57,4,TRUE)))+IF(N91="",0,(N91*VLOOKUP($B91,'A1.3.9'!$B$26:$O$57,5,TRUE))))</f>
        <v>-6.2515986057198727E-2</v>
      </c>
      <c r="S91" s="2644">
        <f>IF(AND(G91="",K91="",O91=""),"",IF(G91="",0,(G91*VLOOKUP($B91,'A1.3.9'!$B$26:$O$57,3,TRUE)))+IF(K91="",0,(K91*VLOOKUP($B91,'A1.3.9'!$B$26:$O$57,4,TRUE)))+IF(O91="",0,(O91*VLOOKUP($B91,'A1.3.9'!$B$26:$O$57,5,TRUE))))</f>
        <v>4.3958805265077668E-4</v>
      </c>
      <c r="T91" s="693">
        <f>IF('A1.3.8'!D$29="","",IF(OR(VLOOKUP($B91,'A1.3.11'!$B$26:$AM$105,T$22,)="",VLOOKUP($B91,'A1.3.7'!$B$28:$H$118,3,)=""),"",VLOOKUP($B91,'A1.3.11'!$B$26:$AM$105,T$22,)*(VLOOKUP($B91,'A1.3.7'!$B$28:$O$118,3,)+VLOOKUP($B91,'A1.3.7'!$B$28:$O$118,8,))))</f>
        <v>27.922953639822062</v>
      </c>
      <c r="U91" s="691">
        <f>IF('A1.3.8'!E$29="","",IF(OR(VLOOKUP($B91,'A1.3.11'!$B$26:$AM$105,U$22,)="",VLOOKUP($B91,'A1.3.7'!$B$28:$H$118,3,)=""),"",VLOOKUP($B91,'A1.3.11'!$B$26:$AM$105,U$22,)*(VLOOKUP($B91,'A1.3.7'!$B$28:$O$118,3,)+VLOOKUP($B91,'A1.3.7'!$B$28:$O$118,8,))))</f>
        <v>15.657576041570062</v>
      </c>
      <c r="V91" s="691">
        <f>IF('A1.3.8'!F$29="","",IF(OR(VLOOKUP($B91,'A1.3.11'!$B$26:$AM$105,V$22,)="",VLOOKUP($B91,'A1.3.7'!$B$28:$H$118,3,)=""),"",VLOOKUP($B91,'A1.3.11'!$B$26:$AM$105,V$22,)*(VLOOKUP($B91,'A1.3.7'!$B$28:$O$118,3,)+VLOOKUP($B91,'A1.3.7'!$B$28:$O$118,8,))))</f>
        <v>-0.24577254951016461</v>
      </c>
      <c r="W91" s="2644">
        <f>IF('A1.3.8'!G$29="","",IF(OR(VLOOKUP($B91,'A1.3.11'!$B$26:$AM$105,W$22,)="",VLOOKUP($B91,'A1.3.7'!$B$28:$H$118,3,)=""),"",VLOOKUP($B91,'A1.3.11'!$B$26:$AM$105,W$22,)*(VLOOKUP($B91,'A1.3.7'!$B$28:$O$118,3,)+VLOOKUP($B91,'A1.3.7'!$B$28:$O$118,8,))))</f>
        <v>1.5872083098321989E-3</v>
      </c>
      <c r="X91" s="693">
        <f>IF('A1.3.8'!D$30="","",IF(OR(VLOOKUP($B91,'A1.3.11'!$B$26:$AM$105,X$22,)="",VLOOKUP($B91,'A1.3.7'!$B$28:$H$118,4,)=""),"",VLOOKUP($B91,'A1.3.11'!$B$26:$AM$105,X$22,)*(VLOOKUP($B91,'A1.3.7'!$B$28:$O$118,4,)+VLOOKUP($B91,'A1.3.7'!$B$28:$O$118,9,))))</f>
        <v>49.179462329345768</v>
      </c>
      <c r="Y91" s="691">
        <f>IF('A1.3.8'!E$30="","",IF(OR(VLOOKUP($B91,'A1.3.11'!$B$26:$AM$105,Y$22,)="",VLOOKUP($B91,'A1.3.7'!$B$28:$H$118,4,)=""),"",VLOOKUP($B91,'A1.3.11'!$B$26:$AM$105,Y$22,)*(VLOOKUP($B91,'A1.3.7'!$B$28:$O$118,4,)+VLOOKUP($B91,'A1.3.7'!$B$28:$O$118,9,))))</f>
        <v>12.019661015915256</v>
      </c>
      <c r="Z91" s="691">
        <f>IF('A1.3.8'!F$30="","",IF(OR(VLOOKUP($B91,'A1.3.11'!$B$26:$AM$105,Z$22,)="",VLOOKUP($B91,'A1.3.7'!$B$28:$H$118,4,)=""),"",VLOOKUP($B91,'A1.3.11'!$B$26:$AM$105,Z$22,)*(VLOOKUP($B91,'A1.3.7'!$B$28:$O$118,4,)+VLOOKUP($B91,'A1.3.7'!$B$28:$O$118,9,))))</f>
        <v>-0.17340545520322828</v>
      </c>
      <c r="AA91" s="2644">
        <f>IF('A1.3.8'!G$30="","",IF(OR(VLOOKUP($B91,'A1.3.11'!$B$26:$AM$105,AA$22,)="",VLOOKUP($B91,'A1.3.7'!$B$28:$H$118,4,)=""),"",VLOOKUP($B91,'A1.3.11'!$B$26:$AM$105,AA$22,)*(VLOOKUP($B91,'A1.3.7'!$B$28:$O$118,4,)+VLOOKUP($B91,'A1.3.7'!$B$28:$O$118,9,))))</f>
        <v>1.4680566299038183E-3</v>
      </c>
      <c r="AB91" s="693" t="str">
        <f>IF('A1.3.8'!D$37="","",IF(OR(VLOOKUP($B91,'A1.3.11'!$B$26:$AM$105,AB$22,)="",VLOOKUP($B91,'A1.3.7'!$B$28:$H$118,6,)=""),"",VLOOKUP($B91,'A1.3.11'!$B$26:$AM$105,AB$22,)*VLOOKUP($B91,'A1.3.7'!$B$28:$O$118,6,)))</f>
        <v/>
      </c>
      <c r="AC91" s="691">
        <f>IF('A1.3.8'!E$37="","",IF(OR(VLOOKUP($B91,'A1.3.11'!$B$26:$AM$105,AC$22,)="",VLOOKUP($B91,'A1.3.7'!$B$28:$H$118,6,)=""),"",VLOOKUP($B91,'A1.3.11'!$B$26:$AM$105,AC$22,)*VLOOKUP($B91,'A1.3.7'!$B$28:$O$118,6,)))</f>
        <v>4.5145632825273854</v>
      </c>
      <c r="AD91" s="691" t="str">
        <f>IF('A1.3.8'!F$37="","",IF(OR(VLOOKUP($B91,'A1.3.11'!$B$26:$AM$105,AD$22,)="",VLOOKUP($B91,'A1.3.7'!$B$28:$H$118,6,)=""),"",VLOOKUP($B91,'A1.3.11'!$B$26:$AM$105,AD$22,)*VLOOKUP($B91,'A1.3.7'!$B$28:$O$118,6,)))</f>
        <v/>
      </c>
      <c r="AE91" s="1664" t="str">
        <f>IF('A1.3.8'!G$37="","",IF(OR(VLOOKUP($B91,'A1.3.11'!$B$26:$AM$105,AE$22,)="",VLOOKUP($B91,'A1.3.7'!$B$28:$H$118,6,)=""),"",VLOOKUP($B91,'A1.3.11'!$B$26:$AM$105,AE$22,)*VLOOKUP($B91,'A1.3.7'!$B$28:$O$118,6,)))</f>
        <v/>
      </c>
      <c r="AF91" s="693">
        <f>IF(AND(T91="",X91="",AB91=""),"",IF(T91="",0,(T91*VLOOKUP('A1.3.12'!$B91,'A1.3.9'!$B$26:$O$57,6,TRUE))) + IF(X91="",0,(X91*VLOOKUP('A1.3.12'!$B91,'A1.3.9'!$B$26:$O$57,7,TRUE))) + IF(AB91="",0,(AB91*VLOOKUP('A1.3.12'!$B91,'A1.3.9'!$B$26:$O$57,8,TRUE))))</f>
        <v>43.637030746317464</v>
      </c>
      <c r="AG91" s="691">
        <f>IF(AND(U91="",Y91="",AC91=""),"",IF(U91="",0,(U91*VLOOKUP('A1.3.12'!$B91,'A1.3.9'!$B$26:$O$57,6,TRUE))) + IF(Y91="",0,(Y91*VLOOKUP('A1.3.12'!$B91,'A1.3.9'!$B$26:$O$57,7,TRUE))) + IF(AC91="",0,(AC91*VLOOKUP('A1.3.12'!$B91,'A1.3.9'!$B$26:$O$57,8,TRUE))))</f>
        <v>11.226024219936216</v>
      </c>
      <c r="AH91" s="691">
        <f>IF(AND(V91="",Z91="",AD91=""),"",IF(V91="",0,(V91*VLOOKUP('A1.3.12'!$B91,'A1.3.9'!$B$26:$O$57,6,TRUE))) + IF(Z91="",0,(Z91*VLOOKUP('A1.3.12'!$B91,'A1.3.9'!$B$26:$O$57,7,TRUE))) + IF(AD91="",0,(AD91*VLOOKUP('A1.3.12'!$B91,'A1.3.9'!$B$26:$O$57,8,TRUE))))</f>
        <v>-0.15497985527627572</v>
      </c>
      <c r="AI91" s="2644">
        <f>IF(AND(W91="",AA91="",AE91=""),"",IF(W91="",0,(W91*VLOOKUP('A1.3.12'!$B91,'A1.3.9'!$B$26:$O$57,6,TRUE))) + IF(AA91="",0,(AA91*VLOOKUP('A1.3.12'!$B91,'A1.3.9'!$B$26:$O$57,7,TRUE))) + IF(AE91="",0,(AE91*VLOOKUP('A1.3.12'!$B91,'A1.3.9'!$B$26:$O$57,8,TRUE))))</f>
        <v>1.3083233728431619E-3</v>
      </c>
      <c r="AJ91" s="693">
        <f>IF('A1.3.8'!D$31="","",IF(OR(VLOOKUP($B91,'A1.3.11'!$B$26:$AM$105,AJ$22,)="",VLOOKUP($B91,'A1.3.7'!$B$28:$H$118,4,)=""),"",VLOOKUP($B91,'A1.3.11'!$B$26:$AM$105,AJ$22,)*(VLOOKUP($B91,'A1.3.7'!$B$28:$O$118,4,)+VLOOKUP($B91,'A1.3.7'!$B$28:$O$118,9,))))</f>
        <v>332.45133550580113</v>
      </c>
      <c r="AK91" s="691">
        <f>IF('A1.3.8'!E$31="","",IF(OR(VLOOKUP($B91,'A1.3.11'!$B$26:$AM$105,AK$22,)="",VLOOKUP($B91,'A1.3.7'!$B$28:$H$118,4,)=""),"",VLOOKUP($B91,'A1.3.11'!$B$26:$AM$105,AK$22,)*(VLOOKUP($B91,'A1.3.7'!$B$28:$O$118,4,)+VLOOKUP($B91,'A1.3.7'!$B$28:$O$118,9,))))</f>
        <v>17.638938753771313</v>
      </c>
      <c r="AL91" s="691">
        <f>IF('A1.3.8'!F$31="","",IF(OR(VLOOKUP($B91,'A1.3.11'!$B$26:$AM$105,AL$22,)="",VLOOKUP($B91,'A1.3.7'!$B$28:$H$118,4,)=""),"",VLOOKUP($B91,'A1.3.11'!$B$26:$AM$105,AL$22,)*(VLOOKUP($B91,'A1.3.7'!$B$28:$O$118,4,)+VLOOKUP($B91,'A1.3.7'!$B$28:$O$118,9,))))</f>
        <v>-0.12749436130638289</v>
      </c>
      <c r="AM91" s="2644">
        <f>IF('A1.3.8'!G$31="","",IF(OR(VLOOKUP($B91,'A1.3.11'!$B$26:$AM$105,AM$22,)="",VLOOKUP($B91,'A1.3.7'!$B$28:$H$118,4,)=""),"",VLOOKUP($B91,'A1.3.11'!$B$26:$AM$105,AM$22,)*(VLOOKUP($B91,'A1.3.7'!$B$28:$O$118,4,)+VLOOKUP($B91,'A1.3.7'!$B$28:$O$118,9,))))</f>
        <v>1.3924429906185883E-3</v>
      </c>
      <c r="AN91" s="693" t="str">
        <f>IF('A1.3.8'!D$38="","",IF(OR(VLOOKUP($B91,'A1.3.11'!$B$26:$AM$105,AN$22,)="",VLOOKUP($B91,'A1.3.7'!$B$28:$H$118,6,)=""),"",VLOOKUP($B91,'A1.3.11'!$B$26:$AM$105,AN$22,)*VLOOKUP($B91,'A1.3.7'!$B$28:$O$118,6,)))</f>
        <v/>
      </c>
      <c r="AO91" s="691" t="str">
        <f>IF('A1.3.8'!E$38="","",IF(OR(VLOOKUP($B91,'A1.3.11'!$B$26:$AM$105,AO$22,)="",VLOOKUP($B91,'A1.3.7'!$B$28:$H$118,6,)=""),"",VLOOKUP($B91,'A1.3.11'!$B$26:$AM$105,AO$22,)*VLOOKUP($B91,'A1.3.7'!$B$28:$O$118,6,)))</f>
        <v/>
      </c>
      <c r="AP91" s="691" t="str">
        <f>IF('A1.3.8'!F$38="","",IF(OR(VLOOKUP($B91,'A1.3.11'!$B$26:$AM$105,AP$22,)="",VLOOKUP($B91,'A1.3.7'!$B$28:$H$118,6,)=""),"",VLOOKUP($B91,'A1.3.11'!$B$26:$AM$105,AP$22,)*VLOOKUP($B91,'A1.3.7'!$B$28:$O$118,6,)))</f>
        <v/>
      </c>
      <c r="AQ91" s="1664" t="str">
        <f>IF('A1.3.8'!G$38="","",IF(OR(VLOOKUP($B91,'A1.3.11'!$B$26:$AM$105,AQ$22,)="",VLOOKUP($B91,'A1.3.7'!$B$28:$H$118,6,)=""),"",VLOOKUP($B91,'A1.3.11'!$B$26:$AM$105,AQ$22,)*VLOOKUP($B91,'A1.3.7'!$B$28:$O$118,6,)))</f>
        <v/>
      </c>
      <c r="AR91" s="693">
        <f>IF(AND(AJ91="",AN91=""),"",IF(AJ91="",0,(AJ91*VLOOKUP($B91,'A1.3.9'!$B$26:$O$57,9,TRUE))) + IF(AN91="",0,(AN91*VLOOKUP($B91,'A1.3.9'!$B$26:$O$57,10,TRUE))))</f>
        <v>332.45133550580113</v>
      </c>
      <c r="AS91" s="691">
        <f>IF(AND(AK91="",AO91=""),"",IF(AK91="",0,(AK91*VLOOKUP($B91,'A1.3.9'!$B$26:$O$57,9,TRUE))) + IF(AO91="",0,(AO91*VLOOKUP($B91,'A1.3.9'!$B$26:$O$57,10,TRUE))))</f>
        <v>17.638938753771313</v>
      </c>
      <c r="AT91" s="691">
        <f>IF(AND(AL91="",AP91=""),"",IF(AL91="",0,(AL91*VLOOKUP($B91,'A1.3.9'!$B$26:$O$57,9,TRUE))) + IF(AP91="",0,(AP91*VLOOKUP($B91,'A1.3.9'!$B$26:$O$57,10,TRUE))))</f>
        <v>-0.12749436130638289</v>
      </c>
      <c r="AU91" s="2644">
        <f>IF(AND(AM91="",AQ91=""),"",IF(AM91="",0,(AM91*VLOOKUP($B91,'A1.3.9'!$B$26:$O$57,9,TRUE))) + IF(AQ91="",0,(AQ91*VLOOKUP($B91,'A1.3.9'!$B$26:$O$57,10,TRUE))))</f>
        <v>1.3924429906185883E-3</v>
      </c>
      <c r="AV91" s="693">
        <f>IF('A1.3.8'!D$32="","",IF(OR(VLOOKUP($B91,'A1.3.11'!$B$26:$AM$105,AV$22,)="",VLOOKUP($B91,'A1.3.7'!$B$28:$H$118,4,)=""),"",VLOOKUP($B91,'A1.3.11'!$B$26:$AM$105,AV$22,)*(VLOOKUP($B91,'A1.3.7'!$B$28:$O$118,4,)+VLOOKUP($B91,'A1.3.7'!$B$28:$O$118,9,))))</f>
        <v>698.56688498259609</v>
      </c>
      <c r="AW91" s="691">
        <f>IF('A1.3.8'!E$32="","",IF(OR(VLOOKUP($B91,'A1.3.11'!$B$26:$AM$105,AW$22,)="",VLOOKUP($B91,'A1.3.7'!$B$28:$H$118,4,)=""),"",VLOOKUP($B91,'A1.3.11'!$B$26:$AM$105,AW$22,)*(VLOOKUP($B91,'A1.3.7'!$B$28:$O$118,4,)+VLOOKUP($B91,'A1.3.7'!$B$28:$O$118,9,))))</f>
        <v>36.27781612895749</v>
      </c>
      <c r="AX91" s="691">
        <f>IF('A1.3.8'!F$32="","",IF(OR(VLOOKUP($B91,'A1.3.11'!$B$26:$AM$105,AX$22,)="",VLOOKUP($B91,'A1.3.7'!$B$28:$H$118,4,)=""),"",VLOOKUP($B91,'A1.3.11'!$B$26:$AM$105,AX$22,)*(VLOOKUP($B91,'A1.3.7'!$B$28:$O$118,4,)+VLOOKUP($B91,'A1.3.7'!$B$28:$O$118,9,))))</f>
        <v>-0.2403596162818287</v>
      </c>
      <c r="AY91" s="2644">
        <f>IF('A1.3.8'!G$32="","",IF(OR(VLOOKUP($B91,'A1.3.11'!$B$26:$AM$105,AY$22,)="",VLOOKUP($B91,'A1.3.7'!$B$28:$H$118,4,)=""),"",VLOOKUP($B91,'A1.3.11'!$B$26:$AM$105,AY$22,)*(VLOOKUP($B91,'A1.3.7'!$B$28:$O$118,4,)+VLOOKUP($B91,'A1.3.7'!$B$28:$O$118,9,))))</f>
        <v>1.43264326232269E-3</v>
      </c>
      <c r="AZ91" s="693" t="str">
        <f>IF('A1.3.8'!D$39="","",IF(OR(VLOOKUP($B91,'A1.3.11'!$B$26:$AM$105,AZ$22,)="",VLOOKUP($B91,'A1.3.7'!$B$28:$H$118,6,)=""),"",VLOOKUP($B91,'A1.3.11'!$B$26:$AM$105,AZ$22,)*VLOOKUP($B91,'A1.3.7'!$B$28:$O$118,6,)))</f>
        <v/>
      </c>
      <c r="BA91" s="691" t="str">
        <f>IF('A1.3.8'!E$39="","",IF(OR(VLOOKUP($B91,'A1.3.11'!$B$26:$AM$105,BA$22,)="",VLOOKUP($B91,'A1.3.7'!$B$28:$H$118,6,)=""),"",VLOOKUP($B91,'A1.3.11'!$B$26:$AM$105,BA$22,)*VLOOKUP($B91,'A1.3.7'!$B$28:$O$118,6,)))</f>
        <v/>
      </c>
      <c r="BB91" s="691" t="str">
        <f>IF('A1.3.8'!F$39="","",IF(OR(VLOOKUP($B91,'A1.3.11'!$B$26:$AM$105,BB$22,)="",VLOOKUP($B91,'A1.3.7'!$B$28:$H$118,6,)=""),"",VLOOKUP($B91,'A1.3.11'!$B$26:$AM$105,BB$22,)*VLOOKUP($B91,'A1.3.7'!$B$28:$O$118,6,)))</f>
        <v/>
      </c>
      <c r="BC91" s="1664" t="str">
        <f>IF('A1.3.8'!G$39="","",IF(OR(VLOOKUP($B91,'A1.3.11'!$B$26:$AM$105,BC$22,)="",VLOOKUP($B91,'A1.3.7'!$B$28:$H$118,6,)=""),"",VLOOKUP($B91,'A1.3.11'!$B$26:$AM$105,BC$22,)*VLOOKUP($B91,'A1.3.7'!$B$28:$O$118,6,)))</f>
        <v/>
      </c>
      <c r="BD91" s="693">
        <f>IF(AND(AV91="",AZ91=""),"",IF(AV91="",0,(AV91*VLOOKUP($B91,'A1.3.9'!$B$26:$O$57,9,TRUE))) + IF(AZ91="",0,(AZ91*VLOOKUP($B91,'A1.3.9'!$B$26:$O$57,10,TRUE))))</f>
        <v>698.56688498259609</v>
      </c>
      <c r="BE91" s="691">
        <f>IF(AND(AW91="",BA91=""),"",IF(AW91="",0,(AW91*VLOOKUP($B91,'A1.3.9'!$B$26:$O$57,9,TRUE))) + IF(BA91="",0,(BA91*VLOOKUP($B91,'A1.3.9'!$B$26:$O$57,10,TRUE))))</f>
        <v>36.27781612895749</v>
      </c>
      <c r="BF91" s="691">
        <f>IF(AND(AX91="",BB91=""),"",IF(AX91="",0,(AX91*VLOOKUP($B91,'A1.3.9'!$B$26:$O$57,9,TRUE))) + IF(BB91="",0,(BB91*VLOOKUP($B91,'A1.3.9'!$B$26:$O$57,10,TRUE))))</f>
        <v>-0.2403596162818287</v>
      </c>
      <c r="BG91" s="2644">
        <f>IF(AND(AY91="",BC91=""),"",IF(AY91="",0,(AY91*VLOOKUP($B91,'A1.3.9'!$B$26:$O$57,9,TRUE))) + IF(BC91="",0,(BC91*VLOOKUP($B91,'A1.3.9'!$B$26:$O$57,10,TRUE))))</f>
        <v>1.43264326232269E-3</v>
      </c>
      <c r="BH91" s="693">
        <f>IF('A1.3.8'!D$33="","",IF(OR(VLOOKUP($B91,'A1.3.11'!$B$26:$AM$105,BH$22,)="",VLOOKUP($B91,'A1.3.7'!$B$28:$H$118,4,)=""),"",VLOOKUP($B91,'A1.3.11'!$B$26:$AM$105,BH$22,)*(VLOOKUP($B91,'A1.3.7'!$B$28:$O$118,4,)+VLOOKUP($B91,'A1.3.7'!$B$28:$O$118,9,))))</f>
        <v>414.31032525474916</v>
      </c>
      <c r="BI91" s="691">
        <f>IF('A1.3.8'!E$33="","",IF(OR(VLOOKUP($B91,'A1.3.11'!$B$26:$AM$105,BI$22,)="",VLOOKUP($B91,'A1.3.7'!$B$28:$H$118,4,)=""),"",VLOOKUP($B91,'A1.3.11'!$B$26:$AM$105,BI$22,)*(VLOOKUP($B91,'A1.3.7'!$B$28:$O$118,4,)+VLOOKUP($B91,'A1.3.7'!$B$28:$O$118,9,))))</f>
        <v>36.404184946076121</v>
      </c>
      <c r="BJ91" s="691">
        <f>IF('A1.3.8'!F$33="","",IF(OR(VLOOKUP($B91,'A1.3.11'!$B$26:$AM$105,BJ$22,)="",VLOOKUP($B91,'A1.3.7'!$B$28:$H$118,4,)=""),"",VLOOKUP($B91,'A1.3.11'!$B$26:$AM$105,BJ$22,)*(VLOOKUP($B91,'A1.3.7'!$B$28:$O$118,4,)+VLOOKUP($B91,'A1.3.7'!$B$28:$O$118,9,))))</f>
        <v>-0.39568104358096151</v>
      </c>
      <c r="BK91" s="2644">
        <f>IF('A1.3.8'!G$33="","",IF(OR(VLOOKUP($B91,'A1.3.11'!$B$26:$AM$105,BK$22,)="",VLOOKUP($B91,'A1.3.7'!$B$28:$H$118,4,)=""),"",VLOOKUP($B91,'A1.3.11'!$B$26:$AM$105,BK$22,)*(VLOOKUP($B91,'A1.3.7'!$B$28:$O$118,4,)+VLOOKUP($B91,'A1.3.7'!$B$28:$O$118,9,))))</f>
        <v>2.9024821894283693E-3</v>
      </c>
      <c r="BL91" s="693" t="str">
        <f>IF('A1.3.8'!D$40="","",IF(OR(VLOOKUP($B91,'A1.3.11'!$B$26:$AM$105,BL$22,)="",VLOOKUP($B91,'A1.3.7'!$B$28:$H$118,6,)=""),"",VLOOKUP($B91,'A1.3.11'!$B$26:$AM$105,BL$22,)*VLOOKUP($B91,'A1.3.7'!$B$28:$O$118,6,)))</f>
        <v/>
      </c>
      <c r="BM91" s="691" t="str">
        <f>IF('A1.3.8'!E$40="","",IF(OR(VLOOKUP($B91,'A1.3.11'!$B$26:$AM$105,BM$22,)="",VLOOKUP($B91,'A1.3.7'!$B$28:$H$118,6,)=""),"",VLOOKUP($B91,'A1.3.11'!$B$26:$AM$105,BM$22,)*VLOOKUP($B91,'A1.3.7'!$B$28:$O$118,6,)))</f>
        <v/>
      </c>
      <c r="BN91" s="691" t="str">
        <f>IF('A1.3.8'!F$40="","",IF(OR(VLOOKUP($B91,'A1.3.11'!$B$26:$AM$105,BN$22,)="",VLOOKUP($B91,'A1.3.7'!$B$28:$H$118,6,)=""),"",VLOOKUP($B91,'A1.3.11'!$B$26:$AM$105,BN$22,)*VLOOKUP($B91,'A1.3.7'!$B$28:$O$118,6,)))</f>
        <v/>
      </c>
      <c r="BO91" s="1664" t="str">
        <f>IF('A1.3.8'!G$40="","",IF(OR(VLOOKUP($B91,'A1.3.11'!$B$26:$AM$105,BO$22,)="",VLOOKUP($B91,'A1.3.7'!$B$28:$H$118,6,)=""),"",VLOOKUP($B91,'A1.3.11'!$B$26:$AM$105,BO$22,)*VLOOKUP($B91,'A1.3.7'!$B$28:$O$118,6,)))</f>
        <v/>
      </c>
      <c r="BP91" s="693">
        <f>IF(AND(BH91="",BL91=""),"",IF(BH91="",0,(BH91*VLOOKUP($B91,'A1.3.9'!$B$26:$O$57,9,TRUE))) + IF(BL91="",0,(BL91*VLOOKUP($B91,'A1.3.9'!$B$26:$O$57,10,TRUE))))</f>
        <v>414.31032525474916</v>
      </c>
      <c r="BQ91" s="691">
        <f>IF(AND(BI91="",BM91=""),"",IF(BI91="",0,(BI91*VLOOKUP($B91,'A1.3.9'!$B$26:$O$57,9,TRUE))) + IF(BM91="",0,(BM91*VLOOKUP($B91,'A1.3.9'!$B$26:$O$57,10,TRUE))))</f>
        <v>36.404184946076121</v>
      </c>
      <c r="BR91" s="691">
        <f>IF(AND(BJ91="",BN91=""),"",IF(BJ91="",0,(BJ91*VLOOKUP($B91,'A1.3.9'!$B$26:$O$57,9,TRUE))) + IF(BN91="",0,(BN91*VLOOKUP($B91,'A1.3.9'!$B$26:$O$57,10,TRUE))))</f>
        <v>-0.39568104358096151</v>
      </c>
      <c r="BS91" s="2644">
        <f>IF(AND(BK91="",BO91=""),"",IF(BK91="",0,(BK91*VLOOKUP($B91,'A1.3.9'!$B$26:$O$57,9,TRUE))) + IF(BO91="",0,(BO91*VLOOKUP($B91,'A1.3.9'!$B$26:$O$57,10,TRUE))))</f>
        <v>2.9024821894283693E-3</v>
      </c>
    </row>
    <row r="92" spans="1:71" ht="13.5" customHeight="1">
      <c r="A92" s="113"/>
      <c r="B92" s="614">
        <f t="shared" si="0"/>
        <v>2075</v>
      </c>
      <c r="C92" s="147"/>
      <c r="D92" s="693">
        <f>IF('A1.3.8'!D$27="","",IF(OR(VLOOKUP($B92,'A1.3.11'!$B$26:$AM$105,D$22,)="",VLOOKUP($B92,'A1.3.7'!$B$28:$H$118,3,)=""),"",VLOOKUP($B92,'A1.3.11'!$B$26:$AM$105,D$22,)*(VLOOKUP($B92,'A1.3.7'!$B$28:$O$118,3,)+VLOOKUP($B92,'A1.3.7'!$B$28:$O$118,8,))))</f>
        <v>38.989046115684914</v>
      </c>
      <c r="E92" s="691">
        <f>IF('A1.3.8'!E$27="","",IF(OR(VLOOKUP($B92,'A1.3.11'!$B$26:$AM$105,E$22,)="",VLOOKUP($B92,'A1.3.7'!$B$28:$H$118,3,)=""),"",VLOOKUP($B92,'A1.3.11'!$B$26:$AM$105,E$22,)*(VLOOKUP($B92,'A1.3.7'!$B$28:$O$118,3,)+VLOOKUP($B92,'A1.3.7'!$B$28:$O$118,8,))))</f>
        <v>8.2858047373212482</v>
      </c>
      <c r="F92" s="691">
        <f>IF('A1.3.8'!F$27="","",IF(OR(VLOOKUP($B92,'A1.3.11'!$B$26:$AM$105,F$22,)="",VLOOKUP($B92,'A1.3.7'!$B$28:$H$118,3,)=""),"",VLOOKUP($B92,'A1.3.11'!$B$26:$AM$105,F$22,)*(VLOOKUP($B92,'A1.3.7'!$B$28:$O$118,3,)+VLOOKUP($B92,'A1.3.7'!$B$28:$O$118,8,))))</f>
        <v>-9.4385141975380407E-2</v>
      </c>
      <c r="G92" s="2644">
        <f>IF('A1.3.8'!G$27="","",IF(OR(VLOOKUP($B92,'A1.3.11'!$B$26:$AM$105,G$22,)="",VLOOKUP($B92,'A1.3.7'!$B$28:$H$118,3,)=""),"",VLOOKUP($B92,'A1.3.11'!$B$26:$AM$105,G$22,)*(VLOOKUP($B92,'A1.3.7'!$B$28:$O$118,3,)+VLOOKUP($B92,'A1.3.7'!$B$28:$O$118,8,))))</f>
        <v>6.2510520094642382E-4</v>
      </c>
      <c r="H92" s="693">
        <f>IF('A1.3.8'!D$28="","",IF(OR(VLOOKUP($B92,'A1.3.11'!$B$26:$AM$105,H$22,)="",VLOOKUP($B92,'A1.3.7'!$B$28:$H$118,4,)=""),"",VLOOKUP($B92,'A1.3.11'!$B$26:$AM$105,H$22,)*(VLOOKUP($B92,'A1.3.7'!$B$28:$O$118,4,)+VLOOKUP($B92,'A1.3.7'!$B$28:$O$118,9,))))</f>
        <v>47.955394601483995</v>
      </c>
      <c r="I92" s="691">
        <f>IF('A1.3.8'!E$28="","",IF(OR(VLOOKUP($B92,'A1.3.11'!$B$26:$AM$105,I$22,)="",VLOOKUP($B92,'A1.3.7'!$B$28:$H$118,4,)=""),"",VLOOKUP($B92,'A1.3.11'!$B$26:$AM$105,I$22,)*(VLOOKUP($B92,'A1.3.7'!$B$28:$O$118,4,)+VLOOKUP($B92,'A1.3.7'!$B$28:$O$118,9,))))</f>
        <v>6.8756176502926278</v>
      </c>
      <c r="J92" s="691">
        <f>IF('A1.3.8'!F$28="","",IF(OR(VLOOKUP($B92,'A1.3.11'!$B$26:$AM$105,J$22,)="",VLOOKUP($B92,'A1.3.7'!$B$28:$H$118,4,)=""),"",VLOOKUP($B92,'A1.3.11'!$B$26:$AM$105,J$22,)*(VLOOKUP($B92,'A1.3.7'!$B$28:$O$118,4,)+VLOOKUP($B92,'A1.3.7'!$B$28:$O$118,9,))))</f>
        <v>-6.6145357210011788E-2</v>
      </c>
      <c r="K92" s="2644">
        <f>IF('A1.3.8'!G$28="","",IF(OR(VLOOKUP($B92,'A1.3.11'!$B$26:$AM$105,K$22,)="",VLOOKUP($B92,'A1.3.7'!$B$28:$H$118,4,)=""),"",VLOOKUP($B92,'A1.3.11'!$B$26:$AM$105,K$22,)*(VLOOKUP($B92,'A1.3.7'!$B$28:$O$118,4,)+VLOOKUP($B92,'A1.3.7'!$B$28:$O$118,9,))))</f>
        <v>5.2122873337698348E-4</v>
      </c>
      <c r="L92" s="693" t="str">
        <f>IF('A1.3.8'!D$36="","",IF(OR(VLOOKUP($B92,'A1.3.11'!$B$26:$AM$105,L$22,)="",VLOOKUP($B92,'A1.3.7'!$B$28:$H$118,6,)=""),"",VLOOKUP($B92,'A1.3.11'!$B$26:$AM$105,L$22,)*VLOOKUP($B92,'A1.3.7'!$B$28:$O$118,6,)))</f>
        <v/>
      </c>
      <c r="M92" s="691">
        <f>IF('A1.3.8'!E$36="","",IF(OR(VLOOKUP($B92,'A1.3.11'!$B$26:$AM$105,M$22,)="",VLOOKUP($B92,'A1.3.7'!$B$28:$H$118,6,)=""),"",VLOOKUP($B92,'A1.3.11'!$B$26:$AM$105,M$22,)*VLOOKUP($B92,'A1.3.7'!$B$28:$O$118,6,)))</f>
        <v>1.9637608285706969</v>
      </c>
      <c r="N92" s="691" t="str">
        <f>IF('A1.3.8'!F$36="","",IF(OR(VLOOKUP($B92,'A1.3.11'!$B$26:$AM$105,N$22,)="",VLOOKUP($B92,'A1.3.7'!$B$28:$H$118,6,)=""),"",VLOOKUP($B92,'A1.3.11'!$B$26:$AM$105,N$22,)*VLOOKUP($B92,'A1.3.7'!$B$28:$O$118,6,)))</f>
        <v/>
      </c>
      <c r="O92" s="1664" t="str">
        <f>IF('A1.3.8'!G$36="","",IF(OR(VLOOKUP($B92,'A1.3.11'!$B$26:$AM$105,O$22,)="",VLOOKUP($B92,'A1.3.7'!$B$28:$H$118,6,)=""),"",VLOOKUP($B92,'A1.3.11'!$B$26:$AM$105,O$22,)*VLOOKUP($B92,'A1.3.7'!$B$28:$O$118,6,)))</f>
        <v/>
      </c>
      <c r="P92" s="693">
        <f>IF(AND(D92="",H92="",L92=""),"",IF(D92="",0,(D92*VLOOKUP($B92,'A1.3.9'!$B$26:$O$57,3,TRUE)))+IF(H92="",0,(H92*VLOOKUP($B92,'A1.3.9'!$B$26:$O$57,4,TRUE)))+IF(L92="",0,(L92*VLOOKUP($B92,'A1.3.9'!$B$26:$O$57,5,TRUE))))</f>
        <v>32.303481177477522</v>
      </c>
      <c r="Q92" s="691">
        <f>IF(AND(E92="",I92="",M92=""),"",IF(E92="",0,(E92*VLOOKUP($B92,'A1.3.9'!$B$26:$O$57,3,TRUE)))+IF(I92="",0,(I92*VLOOKUP($B92,'A1.3.9'!$B$26:$O$57,4,TRUE)))+IF(M92="",0,(M92*VLOOKUP($B92,'A1.3.9'!$B$26:$O$57,5,TRUE))))</f>
        <v>6.3179733140677712</v>
      </c>
      <c r="R92" s="691">
        <f>IF(AND(F92="",J92="",N92=""),"",IF(F92="",0,(F92*VLOOKUP($B92,'A1.3.9'!$B$26:$O$57,3,TRUE)))+IF(J92="",0,(J92*VLOOKUP($B92,'A1.3.9'!$B$26:$O$57,4,TRUE)))+IF(N92="",0,(N92*VLOOKUP($B92,'A1.3.9'!$B$26:$O$57,5,TRUE))))</f>
        <v>-6.2788838330234797E-2</v>
      </c>
      <c r="S92" s="2644">
        <f>IF(AND(G92="",K92="",O92=""),"",IF(G92="",0,(G92*VLOOKUP($B92,'A1.3.9'!$B$26:$O$57,3,TRUE)))+IF(K92="",0,(K92*VLOOKUP($B92,'A1.3.9'!$B$26:$O$57,4,TRUE)))+IF(O92="",0,(O92*VLOOKUP($B92,'A1.3.9'!$B$26:$O$57,5,TRUE))))</f>
        <v>4.4150420013099062E-4</v>
      </c>
      <c r="T92" s="693">
        <f>IF('A1.3.8'!D$29="","",IF(OR(VLOOKUP($B92,'A1.3.11'!$B$26:$AM$105,T$22,)="",VLOOKUP($B92,'A1.3.7'!$B$28:$H$118,3,)=""),"",VLOOKUP($B92,'A1.3.11'!$B$26:$AM$105,T$22,)*(VLOOKUP($B92,'A1.3.7'!$B$28:$O$118,3,)+VLOOKUP($B92,'A1.3.7'!$B$28:$O$118,8,))))</f>
        <v>28.04611022323353</v>
      </c>
      <c r="U92" s="691">
        <f>IF('A1.3.8'!E$29="","",IF(OR(VLOOKUP($B92,'A1.3.11'!$B$26:$AM$105,U$22,)="",VLOOKUP($B92,'A1.3.7'!$B$28:$H$118,3,)=""),"",VLOOKUP($B92,'A1.3.11'!$B$26:$AM$105,U$22,)*(VLOOKUP($B92,'A1.3.7'!$B$28:$O$118,3,)+VLOOKUP($B92,'A1.3.7'!$B$28:$O$118,8,))))</f>
        <v>15.726635124454292</v>
      </c>
      <c r="V92" s="691">
        <f>IF('A1.3.8'!F$29="","",IF(OR(VLOOKUP($B92,'A1.3.11'!$B$26:$AM$105,V$22,)="",VLOOKUP($B92,'A1.3.7'!$B$28:$H$118,3,)=""),"",VLOOKUP($B92,'A1.3.11'!$B$26:$AM$105,V$22,)*(VLOOKUP($B92,'A1.3.7'!$B$28:$O$118,3,)+VLOOKUP($B92,'A1.3.7'!$B$28:$O$118,8,))))</f>
        <v>-0.24685655043228877</v>
      </c>
      <c r="W92" s="2644">
        <f>IF('A1.3.8'!G$29="","",IF(OR(VLOOKUP($B92,'A1.3.11'!$B$26:$AM$105,W$22,)="",VLOOKUP($B92,'A1.3.7'!$B$28:$H$118,3,)=""),"",VLOOKUP($B92,'A1.3.11'!$B$26:$AM$105,W$22,)*(VLOOKUP($B92,'A1.3.7'!$B$28:$O$118,3,)+VLOOKUP($B92,'A1.3.7'!$B$28:$O$118,8,))))</f>
        <v>1.594208828298929E-3</v>
      </c>
      <c r="X92" s="693">
        <f>IF('A1.3.8'!D$30="","",IF(OR(VLOOKUP($B92,'A1.3.11'!$B$26:$AM$105,X$22,)="",VLOOKUP($B92,'A1.3.7'!$B$28:$H$118,4,)=""),"",VLOOKUP($B92,'A1.3.11'!$B$26:$AM$105,X$22,)*(VLOOKUP($B92,'A1.3.7'!$B$28:$O$118,4,)+VLOOKUP($B92,'A1.3.7'!$B$28:$O$118,9,))))</f>
        <v>49.389403930248804</v>
      </c>
      <c r="Y92" s="691">
        <f>IF('A1.3.8'!E$30="","",IF(OR(VLOOKUP($B92,'A1.3.11'!$B$26:$AM$105,Y$22,)="",VLOOKUP($B92,'A1.3.7'!$B$28:$H$118,4,)=""),"",VLOOKUP($B92,'A1.3.11'!$B$26:$AM$105,Y$22,)*(VLOOKUP($B92,'A1.3.7'!$B$28:$O$118,4,)+VLOOKUP($B92,'A1.3.7'!$B$28:$O$118,9,))))</f>
        <v>12.070971598757625</v>
      </c>
      <c r="Z92" s="691">
        <f>IF('A1.3.8'!F$30="","",IF(OR(VLOOKUP($B92,'A1.3.11'!$B$26:$AM$105,Z$22,)="",VLOOKUP($B92,'A1.3.7'!$B$28:$H$118,4,)=""),"",VLOOKUP($B92,'A1.3.11'!$B$26:$AM$105,Z$22,)*(VLOOKUP($B92,'A1.3.7'!$B$28:$O$118,4,)+VLOOKUP($B92,'A1.3.7'!$B$28:$O$118,9,))))</f>
        <v>-0.17414570361478854</v>
      </c>
      <c r="AA92" s="2644">
        <f>IF('A1.3.8'!G$30="","",IF(OR(VLOOKUP($B92,'A1.3.11'!$B$26:$AM$105,AA$22,)="",VLOOKUP($B92,'A1.3.7'!$B$28:$H$118,4,)=""),"",VLOOKUP($B92,'A1.3.11'!$B$26:$AM$105,AA$22,)*(VLOOKUP($B92,'A1.3.7'!$B$28:$O$118,4,)+VLOOKUP($B92,'A1.3.7'!$B$28:$O$118,9,))))</f>
        <v>1.4743235987664369E-3</v>
      </c>
      <c r="AB92" s="693" t="str">
        <f>IF('A1.3.8'!D$37="","",IF(OR(VLOOKUP($B92,'A1.3.11'!$B$26:$AM$105,AB$22,)="",VLOOKUP($B92,'A1.3.7'!$B$28:$H$118,6,)=""),"",VLOOKUP($B92,'A1.3.11'!$B$26:$AM$105,AB$22,)*VLOOKUP($B92,'A1.3.7'!$B$28:$O$118,6,)))</f>
        <v/>
      </c>
      <c r="AC92" s="691">
        <f>IF('A1.3.8'!E$37="","",IF(OR(VLOOKUP($B92,'A1.3.11'!$B$26:$AM$105,AC$22,)="",VLOOKUP($B92,'A1.3.7'!$B$28:$H$118,6,)=""),"",VLOOKUP($B92,'A1.3.11'!$B$26:$AM$105,AC$22,)*VLOOKUP($B92,'A1.3.7'!$B$28:$O$118,6,)))</f>
        <v>4.5145632825273854</v>
      </c>
      <c r="AD92" s="691" t="str">
        <f>IF('A1.3.8'!F$37="","",IF(OR(VLOOKUP($B92,'A1.3.11'!$B$26:$AM$105,AD$22,)="",VLOOKUP($B92,'A1.3.7'!$B$28:$H$118,6,)=""),"",VLOOKUP($B92,'A1.3.11'!$B$26:$AM$105,AD$22,)*VLOOKUP($B92,'A1.3.7'!$B$28:$O$118,6,)))</f>
        <v/>
      </c>
      <c r="AE92" s="1664" t="str">
        <f>IF('A1.3.8'!G$37="","",IF(OR(VLOOKUP($B92,'A1.3.11'!$B$26:$AM$105,AE$22,)="",VLOOKUP($B92,'A1.3.7'!$B$28:$H$118,6,)=""),"",VLOOKUP($B92,'A1.3.11'!$B$26:$AM$105,AE$22,)*VLOOKUP($B92,'A1.3.7'!$B$28:$O$118,6,)))</f>
        <v/>
      </c>
      <c r="AF92" s="693">
        <f>IF(AND(T92="",X92="",AB92=""),"",IF(T92="",0,(T92*VLOOKUP('A1.3.12'!$B92,'A1.3.9'!$B$26:$O$57,6,TRUE))) + IF(X92="",0,(X92*VLOOKUP('A1.3.12'!$B92,'A1.3.9'!$B$26:$O$57,7,TRUE))) + IF(AB92="",0,(AB92*VLOOKUP('A1.3.12'!$B92,'A1.3.9'!$B$26:$O$57,8,TRUE))))</f>
        <v>43.823342325982139</v>
      </c>
      <c r="AG92" s="691">
        <f>IF(AND(U92="",Y92="",AC92=""),"",IF(U92="",0,(U92*VLOOKUP('A1.3.12'!$B92,'A1.3.9'!$B$26:$O$57,6,TRUE))) + IF(Y92="",0,(Y92*VLOOKUP('A1.3.12'!$B92,'A1.3.9'!$B$26:$O$57,7,TRUE))) + IF(AC92="",0,(AC92*VLOOKUP('A1.3.12'!$B92,'A1.3.9'!$B$26:$O$57,8,TRUE))))</f>
        <v>11.271854892627278</v>
      </c>
      <c r="AH92" s="691">
        <f>IF(AND(V92="",Z92="",AD92=""),"",IF(V92="",0,(V92*VLOOKUP('A1.3.12'!$B92,'A1.3.9'!$B$26:$O$57,6,TRUE))) + IF(Z92="",0,(Z92*VLOOKUP('A1.3.12'!$B92,'A1.3.9'!$B$26:$O$57,7,TRUE))) + IF(AD92="",0,(AD92*VLOOKUP('A1.3.12'!$B92,'A1.3.9'!$B$26:$O$57,8,TRUE))))</f>
        <v>-0.15564171089629839</v>
      </c>
      <c r="AI92" s="2644">
        <f>IF(AND(W92="",AA92="",AE92=""),"",IF(W92="",0,(W92*VLOOKUP('A1.3.12'!$B92,'A1.3.9'!$B$26:$O$57,6,TRUE))) + IF(AA92="",0,(AA92*VLOOKUP('A1.3.12'!$B92,'A1.3.9'!$B$26:$O$57,7,TRUE))) + IF(AE92="",0,(AE92*VLOOKUP('A1.3.12'!$B92,'A1.3.9'!$B$26:$O$57,8,TRUE))))</f>
        <v>1.3139101634558159E-3</v>
      </c>
      <c r="AJ92" s="693">
        <f>IF('A1.3.8'!D$31="","",IF(OR(VLOOKUP($B92,'A1.3.11'!$B$26:$AM$105,AJ$22,)="",VLOOKUP($B92,'A1.3.7'!$B$28:$H$118,4,)=""),"",VLOOKUP($B92,'A1.3.11'!$B$26:$AM$105,AJ$22,)*(VLOOKUP($B92,'A1.3.7'!$B$28:$O$118,4,)+VLOOKUP($B92,'A1.3.7'!$B$28:$O$118,9,))))</f>
        <v>333.87053291652177</v>
      </c>
      <c r="AK92" s="691">
        <f>IF('A1.3.8'!E$31="","",IF(OR(VLOOKUP($B92,'A1.3.11'!$B$26:$AM$105,AK$22,)="",VLOOKUP($B92,'A1.3.7'!$B$28:$H$118,4,)=""),"",VLOOKUP($B92,'A1.3.11'!$B$26:$AM$105,AK$22,)*(VLOOKUP($B92,'A1.3.7'!$B$28:$O$118,4,)+VLOOKUP($B92,'A1.3.7'!$B$28:$O$118,9,))))</f>
        <v>17.714237402125747</v>
      </c>
      <c r="AL92" s="691">
        <f>IF('A1.3.8'!F$31="","",IF(OR(VLOOKUP($B92,'A1.3.11'!$B$26:$AM$105,AL$22,)="",VLOOKUP($B92,'A1.3.7'!$B$28:$H$118,4,)=""),"",VLOOKUP($B92,'A1.3.11'!$B$26:$AM$105,AL$22,)*(VLOOKUP($B92,'A1.3.7'!$B$28:$O$118,4,)+VLOOKUP($B92,'A1.3.7'!$B$28:$O$118,9,))))</f>
        <v>-0.12803862041477906</v>
      </c>
      <c r="AM92" s="2644">
        <f>IF('A1.3.8'!G$31="","",IF(OR(VLOOKUP($B92,'A1.3.11'!$B$26:$AM$105,AM$22,)="",VLOOKUP($B92,'A1.3.7'!$B$28:$H$118,4,)=""),"",VLOOKUP($B92,'A1.3.11'!$B$26:$AM$105,AM$22,)*(VLOOKUP($B92,'A1.3.7'!$B$28:$O$118,4,)+VLOOKUP($B92,'A1.3.7'!$B$28:$O$118,9,))))</f>
        <v>1.3983871733479355E-3</v>
      </c>
      <c r="AN92" s="693" t="str">
        <f>IF('A1.3.8'!D$38="","",IF(OR(VLOOKUP($B92,'A1.3.11'!$B$26:$AM$105,AN$22,)="",VLOOKUP($B92,'A1.3.7'!$B$28:$H$118,6,)=""),"",VLOOKUP($B92,'A1.3.11'!$B$26:$AM$105,AN$22,)*VLOOKUP($B92,'A1.3.7'!$B$28:$O$118,6,)))</f>
        <v/>
      </c>
      <c r="AO92" s="691" t="str">
        <f>IF('A1.3.8'!E$38="","",IF(OR(VLOOKUP($B92,'A1.3.11'!$B$26:$AM$105,AO$22,)="",VLOOKUP($B92,'A1.3.7'!$B$28:$H$118,6,)=""),"",VLOOKUP($B92,'A1.3.11'!$B$26:$AM$105,AO$22,)*VLOOKUP($B92,'A1.3.7'!$B$28:$O$118,6,)))</f>
        <v/>
      </c>
      <c r="AP92" s="691" t="str">
        <f>IF('A1.3.8'!F$38="","",IF(OR(VLOOKUP($B92,'A1.3.11'!$B$26:$AM$105,AP$22,)="",VLOOKUP($B92,'A1.3.7'!$B$28:$H$118,6,)=""),"",VLOOKUP($B92,'A1.3.11'!$B$26:$AM$105,AP$22,)*VLOOKUP($B92,'A1.3.7'!$B$28:$O$118,6,)))</f>
        <v/>
      </c>
      <c r="AQ92" s="1664" t="str">
        <f>IF('A1.3.8'!G$38="","",IF(OR(VLOOKUP($B92,'A1.3.11'!$B$26:$AM$105,AQ$22,)="",VLOOKUP($B92,'A1.3.7'!$B$28:$H$118,6,)=""),"",VLOOKUP($B92,'A1.3.11'!$B$26:$AM$105,AQ$22,)*VLOOKUP($B92,'A1.3.7'!$B$28:$O$118,6,)))</f>
        <v/>
      </c>
      <c r="AR92" s="693">
        <f>IF(AND(AJ92="",AN92=""),"",IF(AJ92="",0,(AJ92*VLOOKUP($B92,'A1.3.9'!$B$26:$O$57,9,TRUE))) + IF(AN92="",0,(AN92*VLOOKUP($B92,'A1.3.9'!$B$26:$O$57,10,TRUE))))</f>
        <v>333.87053291652177</v>
      </c>
      <c r="AS92" s="691">
        <f>IF(AND(AK92="",AO92=""),"",IF(AK92="",0,(AK92*VLOOKUP($B92,'A1.3.9'!$B$26:$O$57,9,TRUE))) + IF(AO92="",0,(AO92*VLOOKUP($B92,'A1.3.9'!$B$26:$O$57,10,TRUE))))</f>
        <v>17.714237402125747</v>
      </c>
      <c r="AT92" s="691">
        <f>IF(AND(AL92="",AP92=""),"",IF(AL92="",0,(AL92*VLOOKUP($B92,'A1.3.9'!$B$26:$O$57,9,TRUE))) + IF(AP92="",0,(AP92*VLOOKUP($B92,'A1.3.9'!$B$26:$O$57,10,TRUE))))</f>
        <v>-0.12803862041477906</v>
      </c>
      <c r="AU92" s="2644">
        <f>IF(AND(AM92="",AQ92=""),"",IF(AM92="",0,(AM92*VLOOKUP($B92,'A1.3.9'!$B$26:$O$57,9,TRUE))) + IF(AQ92="",0,(AQ92*VLOOKUP($B92,'A1.3.9'!$B$26:$O$57,10,TRUE))))</f>
        <v>1.3983871733479355E-3</v>
      </c>
      <c r="AV92" s="693">
        <f>IF('A1.3.8'!D$32="","",IF(OR(VLOOKUP($B92,'A1.3.11'!$B$26:$AM$105,AV$22,)="",VLOOKUP($B92,'A1.3.7'!$B$28:$H$118,4,)=""),"",VLOOKUP($B92,'A1.3.11'!$B$26:$AM$105,AV$22,)*(VLOOKUP($B92,'A1.3.7'!$B$28:$O$118,4,)+VLOOKUP($B92,'A1.3.7'!$B$28:$O$118,9,))))</f>
        <v>701.54898855235353</v>
      </c>
      <c r="AW92" s="691">
        <f>IF('A1.3.8'!E$32="","",IF(OR(VLOOKUP($B92,'A1.3.11'!$B$26:$AM$105,AW$22,)="",VLOOKUP($B92,'A1.3.7'!$B$28:$H$118,4,)=""),"",VLOOKUP($B92,'A1.3.11'!$B$26:$AM$105,AW$22,)*(VLOOKUP($B92,'A1.3.7'!$B$28:$O$118,4,)+VLOOKUP($B92,'A1.3.7'!$B$28:$O$118,9,))))</f>
        <v>36.432682051329209</v>
      </c>
      <c r="AX92" s="691">
        <f>IF('A1.3.8'!F$32="","",IF(OR(VLOOKUP($B92,'A1.3.11'!$B$26:$AM$105,AX$22,)="",VLOOKUP($B92,'A1.3.7'!$B$28:$H$118,4,)=""),"",VLOOKUP($B92,'A1.3.11'!$B$26:$AM$105,AX$22,)*(VLOOKUP($B92,'A1.3.7'!$B$28:$O$118,4,)+VLOOKUP($B92,'A1.3.7'!$B$28:$O$118,9,))))</f>
        <v>-0.24138568448681871</v>
      </c>
      <c r="AY92" s="2644">
        <f>IF('A1.3.8'!G$32="","",IF(OR(VLOOKUP($B92,'A1.3.11'!$B$26:$AM$105,AY$22,)="",VLOOKUP($B92,'A1.3.7'!$B$28:$H$118,4,)=""),"",VLOOKUP($B92,'A1.3.11'!$B$26:$AM$105,AY$22,)*(VLOOKUP($B92,'A1.3.7'!$B$28:$O$118,4,)+VLOOKUP($B92,'A1.3.7'!$B$28:$O$118,9,))))</f>
        <v>1.4387590554966936E-3</v>
      </c>
      <c r="AZ92" s="693" t="str">
        <f>IF('A1.3.8'!D$39="","",IF(OR(VLOOKUP($B92,'A1.3.11'!$B$26:$AM$105,AZ$22,)="",VLOOKUP($B92,'A1.3.7'!$B$28:$H$118,6,)=""),"",VLOOKUP($B92,'A1.3.11'!$B$26:$AM$105,AZ$22,)*VLOOKUP($B92,'A1.3.7'!$B$28:$O$118,6,)))</f>
        <v/>
      </c>
      <c r="BA92" s="691" t="str">
        <f>IF('A1.3.8'!E$39="","",IF(OR(VLOOKUP($B92,'A1.3.11'!$B$26:$AM$105,BA$22,)="",VLOOKUP($B92,'A1.3.7'!$B$28:$H$118,6,)=""),"",VLOOKUP($B92,'A1.3.11'!$B$26:$AM$105,BA$22,)*VLOOKUP($B92,'A1.3.7'!$B$28:$O$118,6,)))</f>
        <v/>
      </c>
      <c r="BB92" s="691" t="str">
        <f>IF('A1.3.8'!F$39="","",IF(OR(VLOOKUP($B92,'A1.3.11'!$B$26:$AM$105,BB$22,)="",VLOOKUP($B92,'A1.3.7'!$B$28:$H$118,6,)=""),"",VLOOKUP($B92,'A1.3.11'!$B$26:$AM$105,BB$22,)*VLOOKUP($B92,'A1.3.7'!$B$28:$O$118,6,)))</f>
        <v/>
      </c>
      <c r="BC92" s="1664" t="str">
        <f>IF('A1.3.8'!G$39="","",IF(OR(VLOOKUP($B92,'A1.3.11'!$B$26:$AM$105,BC$22,)="",VLOOKUP($B92,'A1.3.7'!$B$28:$H$118,6,)=""),"",VLOOKUP($B92,'A1.3.11'!$B$26:$AM$105,BC$22,)*VLOOKUP($B92,'A1.3.7'!$B$28:$O$118,6,)))</f>
        <v/>
      </c>
      <c r="BD92" s="693">
        <f>IF(AND(AV92="",AZ92=""),"",IF(AV92="",0,(AV92*VLOOKUP($B92,'A1.3.9'!$B$26:$O$57,9,TRUE))) + IF(AZ92="",0,(AZ92*VLOOKUP($B92,'A1.3.9'!$B$26:$O$57,10,TRUE))))</f>
        <v>701.54898855235353</v>
      </c>
      <c r="BE92" s="691">
        <f>IF(AND(AW92="",BA92=""),"",IF(AW92="",0,(AW92*VLOOKUP($B92,'A1.3.9'!$B$26:$O$57,9,TRUE))) + IF(BA92="",0,(BA92*VLOOKUP($B92,'A1.3.9'!$B$26:$O$57,10,TRUE))))</f>
        <v>36.432682051329209</v>
      </c>
      <c r="BF92" s="691">
        <f>IF(AND(AX92="",BB92=""),"",IF(AX92="",0,(AX92*VLOOKUP($B92,'A1.3.9'!$B$26:$O$57,9,TRUE))) + IF(BB92="",0,(BB92*VLOOKUP($B92,'A1.3.9'!$B$26:$O$57,10,TRUE))))</f>
        <v>-0.24138568448681871</v>
      </c>
      <c r="BG92" s="2644">
        <f>IF(AND(AY92="",BC92=""),"",IF(AY92="",0,(AY92*VLOOKUP($B92,'A1.3.9'!$B$26:$O$57,9,TRUE))) + IF(BC92="",0,(BC92*VLOOKUP($B92,'A1.3.9'!$B$26:$O$57,10,TRUE))))</f>
        <v>1.4387590554966936E-3</v>
      </c>
      <c r="BH92" s="693">
        <f>IF('A1.3.8'!D$33="","",IF(OR(VLOOKUP($B92,'A1.3.11'!$B$26:$AM$105,BH$22,)="",VLOOKUP($B92,'A1.3.7'!$B$28:$H$118,4,)=""),"",VLOOKUP($B92,'A1.3.11'!$B$26:$AM$105,BH$22,)*(VLOOKUP($B92,'A1.3.7'!$B$28:$O$118,4,)+VLOOKUP($B92,'A1.3.7'!$B$28:$O$118,9,))))</f>
        <v>416.0789694984</v>
      </c>
      <c r="BI92" s="691">
        <f>IF('A1.3.8'!E$33="","",IF(OR(VLOOKUP($B92,'A1.3.11'!$B$26:$AM$105,BI$22,)="",VLOOKUP($B92,'A1.3.7'!$B$28:$H$118,4,)=""),"",VLOOKUP($B92,'A1.3.11'!$B$26:$AM$105,BI$22,)*(VLOOKUP($B92,'A1.3.7'!$B$28:$O$118,4,)+VLOOKUP($B92,'A1.3.7'!$B$28:$O$118,9,))))</f>
        <v>36.559590322734515</v>
      </c>
      <c r="BJ92" s="691">
        <f>IF('A1.3.8'!F$33="","",IF(OR(VLOOKUP($B92,'A1.3.11'!$B$26:$AM$105,BJ$22,)="",VLOOKUP($B92,'A1.3.7'!$B$28:$H$118,4,)=""),"",VLOOKUP($B92,'A1.3.11'!$B$26:$AM$105,BJ$22,)*(VLOOKUP($B92,'A1.3.7'!$B$28:$O$118,4,)+VLOOKUP($B92,'A1.3.7'!$B$28:$O$118,9,))))</f>
        <v>-0.39737016151356652</v>
      </c>
      <c r="BK92" s="2644">
        <f>IF('A1.3.8'!G$33="","",IF(OR(VLOOKUP($B92,'A1.3.11'!$B$26:$AM$105,BK$22,)="",VLOOKUP($B92,'A1.3.7'!$B$28:$H$118,4,)=""),"",VLOOKUP($B92,'A1.3.11'!$B$26:$AM$105,BK$22,)*(VLOOKUP($B92,'A1.3.7'!$B$28:$O$118,4,)+VLOOKUP($B92,'A1.3.7'!$B$28:$O$118,9,))))</f>
        <v>2.9148725598915604E-3</v>
      </c>
      <c r="BL92" s="693" t="str">
        <f>IF('A1.3.8'!D$40="","",IF(OR(VLOOKUP($B92,'A1.3.11'!$B$26:$AM$105,BL$22,)="",VLOOKUP($B92,'A1.3.7'!$B$28:$H$118,6,)=""),"",VLOOKUP($B92,'A1.3.11'!$B$26:$AM$105,BL$22,)*VLOOKUP($B92,'A1.3.7'!$B$28:$O$118,6,)))</f>
        <v/>
      </c>
      <c r="BM92" s="691" t="str">
        <f>IF('A1.3.8'!E$40="","",IF(OR(VLOOKUP($B92,'A1.3.11'!$B$26:$AM$105,BM$22,)="",VLOOKUP($B92,'A1.3.7'!$B$28:$H$118,6,)=""),"",VLOOKUP($B92,'A1.3.11'!$B$26:$AM$105,BM$22,)*VLOOKUP($B92,'A1.3.7'!$B$28:$O$118,6,)))</f>
        <v/>
      </c>
      <c r="BN92" s="691" t="str">
        <f>IF('A1.3.8'!F$40="","",IF(OR(VLOOKUP($B92,'A1.3.11'!$B$26:$AM$105,BN$22,)="",VLOOKUP($B92,'A1.3.7'!$B$28:$H$118,6,)=""),"",VLOOKUP($B92,'A1.3.11'!$B$26:$AM$105,BN$22,)*VLOOKUP($B92,'A1.3.7'!$B$28:$O$118,6,)))</f>
        <v/>
      </c>
      <c r="BO92" s="1664" t="str">
        <f>IF('A1.3.8'!G$40="","",IF(OR(VLOOKUP($B92,'A1.3.11'!$B$26:$AM$105,BO$22,)="",VLOOKUP($B92,'A1.3.7'!$B$28:$H$118,6,)=""),"",VLOOKUP($B92,'A1.3.11'!$B$26:$AM$105,BO$22,)*VLOOKUP($B92,'A1.3.7'!$B$28:$O$118,6,)))</f>
        <v/>
      </c>
      <c r="BP92" s="693">
        <f>IF(AND(BH92="",BL92=""),"",IF(BH92="",0,(BH92*VLOOKUP($B92,'A1.3.9'!$B$26:$O$57,9,TRUE))) + IF(BL92="",0,(BL92*VLOOKUP($B92,'A1.3.9'!$B$26:$O$57,10,TRUE))))</f>
        <v>416.0789694984</v>
      </c>
      <c r="BQ92" s="691">
        <f>IF(AND(BI92="",BM92=""),"",IF(BI92="",0,(BI92*VLOOKUP($B92,'A1.3.9'!$B$26:$O$57,9,TRUE))) + IF(BM92="",0,(BM92*VLOOKUP($B92,'A1.3.9'!$B$26:$O$57,10,TRUE))))</f>
        <v>36.559590322734515</v>
      </c>
      <c r="BR92" s="691">
        <f>IF(AND(BJ92="",BN92=""),"",IF(BJ92="",0,(BJ92*VLOOKUP($B92,'A1.3.9'!$B$26:$O$57,9,TRUE))) + IF(BN92="",0,(BN92*VLOOKUP($B92,'A1.3.9'!$B$26:$O$57,10,TRUE))))</f>
        <v>-0.39737016151356652</v>
      </c>
      <c r="BS92" s="2644">
        <f>IF(AND(BK92="",BO92=""),"",IF(BK92="",0,(BK92*VLOOKUP($B92,'A1.3.9'!$B$26:$O$57,9,TRUE))) + IF(BO92="",0,(BO92*VLOOKUP($B92,'A1.3.9'!$B$26:$O$57,10,TRUE))))</f>
        <v>2.9148725598915604E-3</v>
      </c>
    </row>
    <row r="93" spans="1:71" ht="13.5" customHeight="1">
      <c r="A93" s="113"/>
      <c r="B93" s="614">
        <f t="shared" ref="B93:B105" si="1">B92+1</f>
        <v>2076</v>
      </c>
      <c r="C93" s="147"/>
      <c r="D93" s="693">
        <f>IF('A1.3.8'!D$27="","",IF(OR(VLOOKUP($B93,'A1.3.11'!$B$26:$AM$105,D$22,)="",VLOOKUP($B93,'A1.3.7'!$B$28:$H$118,3,)=""),"",VLOOKUP($B93,'A1.3.11'!$B$26:$AM$105,D$22,)*(VLOOKUP($B93,'A1.3.7'!$B$28:$O$118,3,)+VLOOKUP($B93,'A1.3.7'!$B$28:$O$118,8,))))</f>
        <v>39.161427036736725</v>
      </c>
      <c r="E93" s="691">
        <f>IF('A1.3.8'!E$27="","",IF(OR(VLOOKUP($B93,'A1.3.11'!$B$26:$AM$105,E$22,)="",VLOOKUP($B93,'A1.3.7'!$B$28:$H$118,3,)=""),"",VLOOKUP($B93,'A1.3.11'!$B$26:$AM$105,E$22,)*(VLOOKUP($B93,'A1.3.7'!$B$28:$O$118,3,)+VLOOKUP($B93,'A1.3.7'!$B$28:$O$118,8,))))</f>
        <v>8.3224384792198549</v>
      </c>
      <c r="F93" s="691">
        <f>IF('A1.3.8'!F$27="","",IF(OR(VLOOKUP($B93,'A1.3.11'!$B$26:$AM$105,F$22,)="",VLOOKUP($B93,'A1.3.7'!$B$28:$H$118,3,)=""),"",VLOOKUP($B93,'A1.3.11'!$B$26:$AM$105,F$22,)*(VLOOKUP($B93,'A1.3.7'!$B$28:$O$118,3,)+VLOOKUP($B93,'A1.3.7'!$B$28:$O$118,8,))))</f>
        <v>-9.4802443739035944E-2</v>
      </c>
      <c r="G93" s="2644">
        <f>IF('A1.3.8'!G$27="","",IF(OR(VLOOKUP($B93,'A1.3.11'!$B$26:$AM$105,G$22,)="",VLOOKUP($B93,'A1.3.7'!$B$28:$H$118,3,)=""),"",VLOOKUP($B93,'A1.3.11'!$B$26:$AM$105,G$22,)*(VLOOKUP($B93,'A1.3.7'!$B$28:$O$118,3,)+VLOOKUP($B93,'A1.3.7'!$B$28:$O$118,8,))))</f>
        <v>6.2786895695044864E-4</v>
      </c>
      <c r="H93" s="693">
        <f>IF('A1.3.8'!D$28="","",IF(OR(VLOOKUP($B93,'A1.3.11'!$B$26:$AM$105,H$22,)="",VLOOKUP($B93,'A1.3.7'!$B$28:$H$118,4,)=""),"",VLOOKUP($B93,'A1.3.11'!$B$26:$AM$105,H$22,)*(VLOOKUP($B93,'A1.3.7'!$B$28:$O$118,4,)+VLOOKUP($B93,'A1.3.7'!$B$28:$O$118,9,))))</f>
        <v>48.160635439722938</v>
      </c>
      <c r="I93" s="691">
        <f>IF('A1.3.8'!E$28="","",IF(OR(VLOOKUP($B93,'A1.3.11'!$B$26:$AM$105,I$22,)="",VLOOKUP($B93,'A1.3.7'!$B$28:$H$118,4,)=""),"",VLOOKUP($B93,'A1.3.11'!$B$26:$AM$105,I$22,)*(VLOOKUP($B93,'A1.3.7'!$B$28:$O$118,4,)+VLOOKUP($B93,'A1.3.7'!$B$28:$O$118,9,))))</f>
        <v>6.9050441108959335</v>
      </c>
      <c r="J93" s="691">
        <f>IF('A1.3.8'!F$28="","",IF(OR(VLOOKUP($B93,'A1.3.11'!$B$26:$AM$105,J$22,)="",VLOOKUP($B93,'A1.3.7'!$B$28:$H$118,4,)=""),"",VLOOKUP($B93,'A1.3.11'!$B$26:$AM$105,J$22,)*(VLOOKUP($B93,'A1.3.7'!$B$28:$O$118,4,)+VLOOKUP($B93,'A1.3.7'!$B$28:$O$118,9,))))</f>
        <v>-6.6428447958658793E-2</v>
      </c>
      <c r="K93" s="2644">
        <f>IF('A1.3.8'!G$28="","",IF(OR(VLOOKUP($B93,'A1.3.11'!$B$26:$AM$105,K$22,)="",VLOOKUP($B93,'A1.3.7'!$B$28:$H$118,4,)=""),"",VLOOKUP($B93,'A1.3.11'!$B$26:$AM$105,K$22,)*(VLOOKUP($B93,'A1.3.7'!$B$28:$O$118,4,)+VLOOKUP($B93,'A1.3.7'!$B$28:$O$118,9,))))</f>
        <v>5.2345950267919665E-4</v>
      </c>
      <c r="L93" s="693" t="str">
        <f>IF('A1.3.8'!D$36="","",IF(OR(VLOOKUP($B93,'A1.3.11'!$B$26:$AM$105,L$22,)="",VLOOKUP($B93,'A1.3.7'!$B$28:$H$118,6,)=""),"",VLOOKUP($B93,'A1.3.11'!$B$26:$AM$105,L$22,)*VLOOKUP($B93,'A1.3.7'!$B$28:$O$118,6,)))</f>
        <v/>
      </c>
      <c r="M93" s="691">
        <f>IF('A1.3.8'!E$36="","",IF(OR(VLOOKUP($B93,'A1.3.11'!$B$26:$AM$105,M$22,)="",VLOOKUP($B93,'A1.3.7'!$B$28:$H$118,6,)=""),"",VLOOKUP($B93,'A1.3.11'!$B$26:$AM$105,M$22,)*VLOOKUP($B93,'A1.3.7'!$B$28:$O$118,6,)))</f>
        <v>1.9637608285706969</v>
      </c>
      <c r="N93" s="691" t="str">
        <f>IF('A1.3.8'!F$36="","",IF(OR(VLOOKUP($B93,'A1.3.11'!$B$26:$AM$105,N$22,)="",VLOOKUP($B93,'A1.3.7'!$B$28:$H$118,6,)=""),"",VLOOKUP($B93,'A1.3.11'!$B$26:$AM$105,N$22,)*VLOOKUP($B93,'A1.3.7'!$B$28:$O$118,6,)))</f>
        <v/>
      </c>
      <c r="O93" s="1664" t="str">
        <f>IF('A1.3.8'!G$36="","",IF(OR(VLOOKUP($B93,'A1.3.11'!$B$26:$AM$105,O$22,)="",VLOOKUP($B93,'A1.3.7'!$B$28:$H$118,6,)=""),"",VLOOKUP($B93,'A1.3.11'!$B$26:$AM$105,O$22,)*VLOOKUP($B93,'A1.3.7'!$B$28:$O$118,6,)))</f>
        <v/>
      </c>
      <c r="P93" s="693">
        <f>IF(AND(D93="",H93="",L93=""),"",IF(D93="",0,(D93*VLOOKUP($B93,'A1.3.9'!$B$26:$O$57,3,TRUE)))+IF(H93="",0,(H93*VLOOKUP($B93,'A1.3.9'!$B$26:$O$57,4,TRUE)))+IF(L93="",0,(L93*VLOOKUP($B93,'A1.3.9'!$B$26:$O$57,5,TRUE))))</f>
        <v>32.444210495234522</v>
      </c>
      <c r="Q93" s="691">
        <f>IF(AND(E93="",I93="",M93=""),"",IF(E93="",0,(E93*VLOOKUP($B93,'A1.3.9'!$B$26:$O$57,3,TRUE)))+IF(I93="",0,(I93*VLOOKUP($B93,'A1.3.9'!$B$26:$O$57,4,TRUE)))+IF(M93="",0,(M93*VLOOKUP($B93,'A1.3.9'!$B$26:$O$57,5,TRUE))))</f>
        <v>6.343501775055957</v>
      </c>
      <c r="R93" s="691">
        <f>IF(AND(F93="",J93="",N93=""),"",IF(F93="",0,(F93*VLOOKUP($B93,'A1.3.9'!$B$26:$O$57,3,TRUE)))+IF(J93="",0,(J93*VLOOKUP($B93,'A1.3.9'!$B$26:$O$57,4,TRUE)))+IF(N93="",0,(N93*VLOOKUP($B93,'A1.3.9'!$B$26:$O$57,5,TRUE))))</f>
        <v>-6.3063557627622044E-2</v>
      </c>
      <c r="S93" s="2644">
        <f>IF(AND(G93="",K93="",O93=""),"",IF(G93="",0,(G93*VLOOKUP($B93,'A1.3.9'!$B$26:$O$57,3,TRUE)))+IF(K93="",0,(K93*VLOOKUP($B93,'A1.3.9'!$B$26:$O$57,4,TRUE)))+IF(O93="",0,(O93*VLOOKUP($B93,'A1.3.9'!$B$26:$O$57,5,TRUE))))</f>
        <v>4.4343345907978853E-4</v>
      </c>
      <c r="T93" s="693">
        <f>IF('A1.3.8'!D$29="","",IF(OR(VLOOKUP($B93,'A1.3.11'!$B$26:$AM$105,T$22,)="",VLOOKUP($B93,'A1.3.7'!$B$28:$H$118,3,)=""),"",VLOOKUP($B93,'A1.3.11'!$B$26:$AM$105,T$22,)*(VLOOKUP($B93,'A1.3.7'!$B$28:$O$118,3,)+VLOOKUP($B93,'A1.3.7'!$B$28:$O$118,8,))))</f>
        <v>28.17010952031448</v>
      </c>
      <c r="U93" s="691">
        <f>IF('A1.3.8'!E$29="","",IF(OR(VLOOKUP($B93,'A1.3.11'!$B$26:$AM$105,U$22,)="",VLOOKUP($B93,'A1.3.7'!$B$28:$H$118,3,)=""),"",VLOOKUP($B93,'A1.3.11'!$B$26:$AM$105,U$22,)*(VLOOKUP($B93,'A1.3.7'!$B$28:$O$118,3,)+VLOOKUP($B93,'A1.3.7'!$B$28:$O$118,8,))))</f>
        <v>15.796166752382696</v>
      </c>
      <c r="V93" s="691">
        <f>IF('A1.3.8'!F$29="","",IF(OR(VLOOKUP($B93,'A1.3.11'!$B$26:$AM$105,V$22,)="",VLOOKUP($B93,'A1.3.7'!$B$28:$H$118,3,)=""),"",VLOOKUP($B93,'A1.3.11'!$B$26:$AM$105,V$22,)*(VLOOKUP($B93,'A1.3.7'!$B$28:$O$118,3,)+VLOOKUP($B93,'A1.3.7'!$B$28:$O$118,8,))))</f>
        <v>-0.24794796876052719</v>
      </c>
      <c r="W93" s="2644">
        <f>IF('A1.3.8'!G$29="","",IF(OR(VLOOKUP($B93,'A1.3.11'!$B$26:$AM$105,W$22,)="",VLOOKUP($B93,'A1.3.7'!$B$28:$H$118,3,)=""),"",VLOOKUP($B93,'A1.3.11'!$B$26:$AM$105,W$22,)*(VLOOKUP($B93,'A1.3.7'!$B$28:$O$118,3,)+VLOOKUP($B93,'A1.3.7'!$B$28:$O$118,8,))))</f>
        <v>1.6012572486515508E-3</v>
      </c>
      <c r="X93" s="693">
        <f>IF('A1.3.8'!D$30="","",IF(OR(VLOOKUP($B93,'A1.3.11'!$B$26:$AM$105,X$22,)="",VLOOKUP($B93,'A1.3.7'!$B$28:$H$118,4,)=""),"",VLOOKUP($B93,'A1.3.11'!$B$26:$AM$105,X$22,)*(VLOOKUP($B93,'A1.3.7'!$B$28:$O$118,4,)+VLOOKUP($B93,'A1.3.7'!$B$28:$O$118,9,))))</f>
        <v>49.600782081695655</v>
      </c>
      <c r="Y93" s="691">
        <f>IF('A1.3.8'!E$30="","",IF(OR(VLOOKUP($B93,'A1.3.11'!$B$26:$AM$105,Y$22,)="",VLOOKUP($B93,'A1.3.7'!$B$28:$H$118,4,)=""),"",VLOOKUP($B93,'A1.3.11'!$B$26:$AM$105,Y$22,)*(VLOOKUP($B93,'A1.3.7'!$B$28:$O$118,4,)+VLOOKUP($B93,'A1.3.7'!$B$28:$O$118,9,))))</f>
        <v>12.122633280407323</v>
      </c>
      <c r="Z93" s="691">
        <f>IF('A1.3.8'!F$30="","",IF(OR(VLOOKUP($B93,'A1.3.11'!$B$26:$AM$105,Z$22,)="",VLOOKUP($B93,'A1.3.7'!$B$28:$H$118,4,)=""),"",VLOOKUP($B93,'A1.3.11'!$B$26:$AM$105,Z$22,)*(VLOOKUP($B93,'A1.3.7'!$B$28:$O$118,4,)+VLOOKUP($B93,'A1.3.7'!$B$28:$O$118,9,))))</f>
        <v>-0.17489101726474657</v>
      </c>
      <c r="AA93" s="2644">
        <f>IF('A1.3.8'!G$30="","",IF(OR(VLOOKUP($B93,'A1.3.11'!$B$26:$AM$105,AA$22,)="",VLOOKUP($B93,'A1.3.7'!$B$28:$H$118,4,)=""),"",VLOOKUP($B93,'A1.3.11'!$B$26:$AM$105,AA$22,)*(VLOOKUP($B93,'A1.3.7'!$B$28:$O$118,4,)+VLOOKUP($B93,'A1.3.7'!$B$28:$O$118,9,))))</f>
        <v>1.4806334501139412E-3</v>
      </c>
      <c r="AB93" s="693" t="str">
        <f>IF('A1.3.8'!D$37="","",IF(OR(VLOOKUP($B93,'A1.3.11'!$B$26:$AM$105,AB$22,)="",VLOOKUP($B93,'A1.3.7'!$B$28:$H$118,6,)=""),"",VLOOKUP($B93,'A1.3.11'!$B$26:$AM$105,AB$22,)*VLOOKUP($B93,'A1.3.7'!$B$28:$O$118,6,)))</f>
        <v/>
      </c>
      <c r="AC93" s="691">
        <f>IF('A1.3.8'!E$37="","",IF(OR(VLOOKUP($B93,'A1.3.11'!$B$26:$AM$105,AC$22,)="",VLOOKUP($B93,'A1.3.7'!$B$28:$H$118,6,)=""),"",VLOOKUP($B93,'A1.3.11'!$B$26:$AM$105,AC$22,)*VLOOKUP($B93,'A1.3.7'!$B$28:$O$118,6,)))</f>
        <v>4.5145632825273854</v>
      </c>
      <c r="AD93" s="691" t="str">
        <f>IF('A1.3.8'!F$37="","",IF(OR(VLOOKUP($B93,'A1.3.11'!$B$26:$AM$105,AD$22,)="",VLOOKUP($B93,'A1.3.7'!$B$28:$H$118,6,)=""),"",VLOOKUP($B93,'A1.3.11'!$B$26:$AM$105,AD$22,)*VLOOKUP($B93,'A1.3.7'!$B$28:$O$118,6,)))</f>
        <v/>
      </c>
      <c r="AE93" s="1664" t="str">
        <f>IF('A1.3.8'!G$37="","",IF(OR(VLOOKUP($B93,'A1.3.11'!$B$26:$AM$105,AE$22,)="",VLOOKUP($B93,'A1.3.7'!$B$28:$H$118,6,)=""),"",VLOOKUP($B93,'A1.3.11'!$B$26:$AM$105,AE$22,)*VLOOKUP($B93,'A1.3.7'!$B$28:$O$118,6,)))</f>
        <v/>
      </c>
      <c r="AF93" s="693">
        <f>IF(AND(T93="",X93="",AB93=""),"",IF(T93="",0,(T93*VLOOKUP('A1.3.12'!$B93,'A1.3.9'!$B$26:$O$57,6,TRUE))) + IF(X93="",0,(X93*VLOOKUP('A1.3.12'!$B93,'A1.3.9'!$B$26:$O$57,7,TRUE))) + IF(AB93="",0,(AB93*VLOOKUP('A1.3.12'!$B93,'A1.3.9'!$B$26:$O$57,8,TRUE))))</f>
        <v>44.010928764940708</v>
      </c>
      <c r="AG93" s="691">
        <f>IF(AND(U93="",Y93="",AC93=""),"",IF(U93="",0,(U93*VLOOKUP('A1.3.12'!$B93,'A1.3.9'!$B$26:$O$57,6,TRUE))) + IF(Y93="",0,(Y93*VLOOKUP('A1.3.12'!$B93,'A1.3.9'!$B$26:$O$57,7,TRUE))) + IF(AC93="",0,(AC93*VLOOKUP('A1.3.12'!$B93,'A1.3.9'!$B$26:$O$57,8,TRUE))))</f>
        <v>11.317999167184263</v>
      </c>
      <c r="AH93" s="691">
        <f>IF(AND(V93="",Z93="",AD93=""),"",IF(V93="",0,(V93*VLOOKUP('A1.3.12'!$B93,'A1.3.9'!$B$26:$O$57,6,TRUE))) + IF(Z93="",0,(Z93*VLOOKUP('A1.3.12'!$B93,'A1.3.9'!$B$26:$O$57,7,TRUE))) + IF(AD93="",0,(AD93*VLOOKUP('A1.3.12'!$B93,'A1.3.9'!$B$26:$O$57,8,TRUE))))</f>
        <v>-0.15630809534265552</v>
      </c>
      <c r="AI93" s="2644">
        <f>IF(AND(W93="",AA93="",AE93=""),"",IF(W93="",0,(W93*VLOOKUP('A1.3.12'!$B93,'A1.3.9'!$B$26:$O$57,6,TRUE))) + IF(AA93="",0,(AA93*VLOOKUP('A1.3.12'!$B93,'A1.3.9'!$B$26:$O$57,7,TRUE))) + IF(AE93="",0,(AE93*VLOOKUP('A1.3.12'!$B93,'A1.3.9'!$B$26:$O$57,8,TRUE))))</f>
        <v>1.3195351823522316E-3</v>
      </c>
      <c r="AJ93" s="693">
        <f>IF('A1.3.8'!D$31="","",IF(OR(VLOOKUP($B93,'A1.3.11'!$B$26:$AM$105,AJ$22,)="",VLOOKUP($B93,'A1.3.7'!$B$28:$H$118,4,)=""),"",VLOOKUP($B93,'A1.3.11'!$B$26:$AM$105,AJ$22,)*(VLOOKUP($B93,'A1.3.7'!$B$28:$O$118,4,)+VLOOKUP($B93,'A1.3.7'!$B$28:$O$118,9,))))</f>
        <v>335.29944135546828</v>
      </c>
      <c r="AK93" s="691">
        <f>IF('A1.3.8'!E$31="","",IF(OR(VLOOKUP($B93,'A1.3.11'!$B$26:$AM$105,AK$22,)="",VLOOKUP($B93,'A1.3.7'!$B$28:$H$118,4,)=""),"",VLOOKUP($B93,'A1.3.11'!$B$26:$AM$105,AK$22,)*(VLOOKUP($B93,'A1.3.7'!$B$28:$O$118,4,)+VLOOKUP($B93,'A1.3.7'!$B$28:$O$118,9,))))</f>
        <v>17.790051290498241</v>
      </c>
      <c r="AL93" s="691">
        <f>IF('A1.3.8'!F$31="","",IF(OR(VLOOKUP($B93,'A1.3.11'!$B$26:$AM$105,AL$22,)="",VLOOKUP($B93,'A1.3.7'!$B$28:$H$118,4,)=""),"",VLOOKUP($B93,'A1.3.11'!$B$26:$AM$105,AL$22,)*(VLOOKUP($B93,'A1.3.7'!$B$28:$O$118,4,)+VLOOKUP($B93,'A1.3.7'!$B$28:$O$118,9,))))</f>
        <v>-0.12858660368129718</v>
      </c>
      <c r="AM93" s="2644">
        <f>IF('A1.3.8'!G$31="","",IF(OR(VLOOKUP($B93,'A1.3.11'!$B$26:$AM$105,AM$22,)="",VLOOKUP($B93,'A1.3.7'!$B$28:$H$118,4,)=""),"",VLOOKUP($B93,'A1.3.11'!$B$26:$AM$105,AM$22,)*(VLOOKUP($B93,'A1.3.7'!$B$28:$O$118,4,)+VLOOKUP($B93,'A1.3.7'!$B$28:$O$118,9,))))</f>
        <v>1.4043720298593993E-3</v>
      </c>
      <c r="AN93" s="693" t="str">
        <f>IF('A1.3.8'!D$38="","",IF(OR(VLOOKUP($B93,'A1.3.11'!$B$26:$AM$105,AN$22,)="",VLOOKUP($B93,'A1.3.7'!$B$28:$H$118,6,)=""),"",VLOOKUP($B93,'A1.3.11'!$B$26:$AM$105,AN$22,)*VLOOKUP($B93,'A1.3.7'!$B$28:$O$118,6,)))</f>
        <v/>
      </c>
      <c r="AO93" s="691" t="str">
        <f>IF('A1.3.8'!E$38="","",IF(OR(VLOOKUP($B93,'A1.3.11'!$B$26:$AM$105,AO$22,)="",VLOOKUP($B93,'A1.3.7'!$B$28:$H$118,6,)=""),"",VLOOKUP($B93,'A1.3.11'!$B$26:$AM$105,AO$22,)*VLOOKUP($B93,'A1.3.7'!$B$28:$O$118,6,)))</f>
        <v/>
      </c>
      <c r="AP93" s="691" t="str">
        <f>IF('A1.3.8'!F$38="","",IF(OR(VLOOKUP($B93,'A1.3.11'!$B$26:$AM$105,AP$22,)="",VLOOKUP($B93,'A1.3.7'!$B$28:$H$118,6,)=""),"",VLOOKUP($B93,'A1.3.11'!$B$26:$AM$105,AP$22,)*VLOOKUP($B93,'A1.3.7'!$B$28:$O$118,6,)))</f>
        <v/>
      </c>
      <c r="AQ93" s="1664" t="str">
        <f>IF('A1.3.8'!G$38="","",IF(OR(VLOOKUP($B93,'A1.3.11'!$B$26:$AM$105,AQ$22,)="",VLOOKUP($B93,'A1.3.7'!$B$28:$H$118,6,)=""),"",VLOOKUP($B93,'A1.3.11'!$B$26:$AM$105,AQ$22,)*VLOOKUP($B93,'A1.3.7'!$B$28:$O$118,6,)))</f>
        <v/>
      </c>
      <c r="AR93" s="693">
        <f>IF(AND(AJ93="",AN93=""),"",IF(AJ93="",0,(AJ93*VLOOKUP($B93,'A1.3.9'!$B$26:$O$57,9,TRUE))) + IF(AN93="",0,(AN93*VLOOKUP($B93,'A1.3.9'!$B$26:$O$57,10,TRUE))))</f>
        <v>335.29944135546828</v>
      </c>
      <c r="AS93" s="691">
        <f>IF(AND(AK93="",AO93=""),"",IF(AK93="",0,(AK93*VLOOKUP($B93,'A1.3.9'!$B$26:$O$57,9,TRUE))) + IF(AO93="",0,(AO93*VLOOKUP($B93,'A1.3.9'!$B$26:$O$57,10,TRUE))))</f>
        <v>17.790051290498241</v>
      </c>
      <c r="AT93" s="691">
        <f>IF(AND(AL93="",AP93=""),"",IF(AL93="",0,(AL93*VLOOKUP($B93,'A1.3.9'!$B$26:$O$57,9,TRUE))) + IF(AP93="",0,(AP93*VLOOKUP($B93,'A1.3.9'!$B$26:$O$57,10,TRUE))))</f>
        <v>-0.12858660368129718</v>
      </c>
      <c r="AU93" s="2644">
        <f>IF(AND(AM93="",AQ93=""),"",IF(AM93="",0,(AM93*VLOOKUP($B93,'A1.3.9'!$B$26:$O$57,9,TRUE))) + IF(AQ93="",0,(AQ93*VLOOKUP($B93,'A1.3.9'!$B$26:$O$57,10,TRUE))))</f>
        <v>1.4043720298593993E-3</v>
      </c>
      <c r="AV93" s="693">
        <f>IF('A1.3.8'!D$32="","",IF(OR(VLOOKUP($B93,'A1.3.11'!$B$26:$AM$105,AV$22,)="",VLOOKUP($B93,'A1.3.7'!$B$28:$H$118,4,)=""),"",VLOOKUP($B93,'A1.3.11'!$B$26:$AM$105,AV$22,)*(VLOOKUP($B93,'A1.3.7'!$B$28:$O$118,4,)+VLOOKUP($B93,'A1.3.7'!$B$28:$O$118,9,))))</f>
        <v>704.55149752288162</v>
      </c>
      <c r="AW93" s="691">
        <f>IF('A1.3.8'!E$32="","",IF(OR(VLOOKUP($B93,'A1.3.11'!$B$26:$AM$105,AW$22,)="",VLOOKUP($B93,'A1.3.7'!$B$28:$H$118,4,)=""),"",VLOOKUP($B93,'A1.3.11'!$B$26:$AM$105,AW$22,)*(VLOOKUP($B93,'A1.3.7'!$B$28:$O$118,4,)+VLOOKUP($B93,'A1.3.7'!$B$28:$O$118,9,))))</f>
        <v>36.588607662319305</v>
      </c>
      <c r="AX93" s="691">
        <f>IF('A1.3.8'!F$32="","",IF(OR(VLOOKUP($B93,'A1.3.11'!$B$26:$AM$105,AX$22,)="",VLOOKUP($B93,'A1.3.7'!$B$28:$H$118,4,)=""),"",VLOOKUP($B93,'A1.3.11'!$B$26:$AM$105,AX$22,)*(VLOOKUP($B93,'A1.3.7'!$B$28:$O$118,4,)+VLOOKUP($B93,'A1.3.7'!$B$28:$O$118,9,))))</f>
        <v>-0.2424187736863688</v>
      </c>
      <c r="AY93" s="2644">
        <f>IF('A1.3.8'!G$32="","",IF(OR(VLOOKUP($B93,'A1.3.11'!$B$26:$AM$105,AY$22,)="",VLOOKUP($B93,'A1.3.7'!$B$28:$H$118,4,)=""),"",VLOOKUP($B93,'A1.3.11'!$B$26:$AM$105,AY$22,)*(VLOOKUP($B93,'A1.3.7'!$B$28:$O$118,4,)+VLOOKUP($B93,'A1.3.7'!$B$28:$O$118,9,))))</f>
        <v>1.4449166967178309E-3</v>
      </c>
      <c r="AZ93" s="693" t="str">
        <f>IF('A1.3.8'!D$39="","",IF(OR(VLOOKUP($B93,'A1.3.11'!$B$26:$AM$105,AZ$22,)="",VLOOKUP($B93,'A1.3.7'!$B$28:$H$118,6,)=""),"",VLOOKUP($B93,'A1.3.11'!$B$26:$AM$105,AZ$22,)*VLOOKUP($B93,'A1.3.7'!$B$28:$O$118,6,)))</f>
        <v/>
      </c>
      <c r="BA93" s="691" t="str">
        <f>IF('A1.3.8'!E$39="","",IF(OR(VLOOKUP($B93,'A1.3.11'!$B$26:$AM$105,BA$22,)="",VLOOKUP($B93,'A1.3.7'!$B$28:$H$118,6,)=""),"",VLOOKUP($B93,'A1.3.11'!$B$26:$AM$105,BA$22,)*VLOOKUP($B93,'A1.3.7'!$B$28:$O$118,6,)))</f>
        <v/>
      </c>
      <c r="BB93" s="691" t="str">
        <f>IF('A1.3.8'!F$39="","",IF(OR(VLOOKUP($B93,'A1.3.11'!$B$26:$AM$105,BB$22,)="",VLOOKUP($B93,'A1.3.7'!$B$28:$H$118,6,)=""),"",VLOOKUP($B93,'A1.3.11'!$B$26:$AM$105,BB$22,)*VLOOKUP($B93,'A1.3.7'!$B$28:$O$118,6,)))</f>
        <v/>
      </c>
      <c r="BC93" s="1664" t="str">
        <f>IF('A1.3.8'!G$39="","",IF(OR(VLOOKUP($B93,'A1.3.11'!$B$26:$AM$105,BC$22,)="",VLOOKUP($B93,'A1.3.7'!$B$28:$H$118,6,)=""),"",VLOOKUP($B93,'A1.3.11'!$B$26:$AM$105,BC$22,)*VLOOKUP($B93,'A1.3.7'!$B$28:$O$118,6,)))</f>
        <v/>
      </c>
      <c r="BD93" s="693">
        <f>IF(AND(AV93="",AZ93=""),"",IF(AV93="",0,(AV93*VLOOKUP($B93,'A1.3.9'!$B$26:$O$57,9,TRUE))) + IF(AZ93="",0,(AZ93*VLOOKUP($B93,'A1.3.9'!$B$26:$O$57,10,TRUE))))</f>
        <v>704.55149752288162</v>
      </c>
      <c r="BE93" s="691">
        <f>IF(AND(AW93="",BA93=""),"",IF(AW93="",0,(AW93*VLOOKUP($B93,'A1.3.9'!$B$26:$O$57,9,TRUE))) + IF(BA93="",0,(BA93*VLOOKUP($B93,'A1.3.9'!$B$26:$O$57,10,TRUE))))</f>
        <v>36.588607662319305</v>
      </c>
      <c r="BF93" s="691">
        <f>IF(AND(AX93="",BB93=""),"",IF(AX93="",0,(AX93*VLOOKUP($B93,'A1.3.9'!$B$26:$O$57,9,TRUE))) + IF(BB93="",0,(BB93*VLOOKUP($B93,'A1.3.9'!$B$26:$O$57,10,TRUE))))</f>
        <v>-0.2424187736863688</v>
      </c>
      <c r="BG93" s="2644">
        <f>IF(AND(AY93="",BC93=""),"",IF(AY93="",0,(AY93*VLOOKUP($B93,'A1.3.9'!$B$26:$O$57,9,TRUE))) + IF(BC93="",0,(BC93*VLOOKUP($B93,'A1.3.9'!$B$26:$O$57,10,TRUE))))</f>
        <v>1.4449166967178309E-3</v>
      </c>
      <c r="BH93" s="693">
        <f>IF('A1.3.8'!D$33="","",IF(OR(VLOOKUP($B93,'A1.3.11'!$B$26:$AM$105,BH$22,)="",VLOOKUP($B93,'A1.3.7'!$B$28:$H$118,4,)=""),"",VLOOKUP($B93,'A1.3.11'!$B$26:$AM$105,BH$22,)*(VLOOKUP($B93,'A1.3.7'!$B$28:$O$118,4,)+VLOOKUP($B93,'A1.3.7'!$B$28:$O$118,9,))))</f>
        <v>417.85971590207578</v>
      </c>
      <c r="BI93" s="691">
        <f>IF('A1.3.8'!E$33="","",IF(OR(VLOOKUP($B93,'A1.3.11'!$B$26:$AM$105,BI$22,)="",VLOOKUP($B93,'A1.3.7'!$B$28:$H$118,4,)=""),"",VLOOKUP($B93,'A1.3.11'!$B$26:$AM$105,BI$22,)*(VLOOKUP($B93,'A1.3.7'!$B$28:$O$118,4,)+VLOOKUP($B93,'A1.3.7'!$B$28:$O$118,9,))))</f>
        <v>36.716059079291846</v>
      </c>
      <c r="BJ93" s="691">
        <f>IF('A1.3.8'!F$33="","",IF(OR(VLOOKUP($B93,'A1.3.11'!$B$26:$AM$105,BJ$22,)="",VLOOKUP($B93,'A1.3.7'!$B$28:$H$118,4,)=""),"",VLOOKUP($B93,'A1.3.11'!$B$26:$AM$105,BJ$22,)*(VLOOKUP($B93,'A1.3.7'!$B$28:$O$118,4,)+VLOOKUP($B93,'A1.3.7'!$B$28:$O$118,9,))))</f>
        <v>-0.39907083743789029</v>
      </c>
      <c r="BK93" s="2644">
        <f>IF('A1.3.8'!G$33="","",IF(OR(VLOOKUP($B93,'A1.3.11'!$B$26:$AM$105,BK$22,)="",VLOOKUP($B93,'A1.3.7'!$B$28:$H$118,4,)=""),"",VLOOKUP($B93,'A1.3.11'!$B$26:$AM$105,BK$22,)*(VLOOKUP($B93,'A1.3.7'!$B$28:$O$118,4,)+VLOOKUP($B93,'A1.3.7'!$B$28:$O$118,9,))))</f>
        <v>2.9273477129483413E-3</v>
      </c>
      <c r="BL93" s="693" t="str">
        <f>IF('A1.3.8'!D$40="","",IF(OR(VLOOKUP($B93,'A1.3.11'!$B$26:$AM$105,BL$22,)="",VLOOKUP($B93,'A1.3.7'!$B$28:$H$118,6,)=""),"",VLOOKUP($B93,'A1.3.11'!$B$26:$AM$105,BL$22,)*VLOOKUP($B93,'A1.3.7'!$B$28:$O$118,6,)))</f>
        <v/>
      </c>
      <c r="BM93" s="691" t="str">
        <f>IF('A1.3.8'!E$40="","",IF(OR(VLOOKUP($B93,'A1.3.11'!$B$26:$AM$105,BM$22,)="",VLOOKUP($B93,'A1.3.7'!$B$28:$H$118,6,)=""),"",VLOOKUP($B93,'A1.3.11'!$B$26:$AM$105,BM$22,)*VLOOKUP($B93,'A1.3.7'!$B$28:$O$118,6,)))</f>
        <v/>
      </c>
      <c r="BN93" s="691" t="str">
        <f>IF('A1.3.8'!F$40="","",IF(OR(VLOOKUP($B93,'A1.3.11'!$B$26:$AM$105,BN$22,)="",VLOOKUP($B93,'A1.3.7'!$B$28:$H$118,6,)=""),"",VLOOKUP($B93,'A1.3.11'!$B$26:$AM$105,BN$22,)*VLOOKUP($B93,'A1.3.7'!$B$28:$O$118,6,)))</f>
        <v/>
      </c>
      <c r="BO93" s="1664" t="str">
        <f>IF('A1.3.8'!G$40="","",IF(OR(VLOOKUP($B93,'A1.3.11'!$B$26:$AM$105,BO$22,)="",VLOOKUP($B93,'A1.3.7'!$B$28:$H$118,6,)=""),"",VLOOKUP($B93,'A1.3.11'!$B$26:$AM$105,BO$22,)*VLOOKUP($B93,'A1.3.7'!$B$28:$O$118,6,)))</f>
        <v/>
      </c>
      <c r="BP93" s="693">
        <f>IF(AND(BH93="",BL93=""),"",IF(BH93="",0,(BH93*VLOOKUP($B93,'A1.3.9'!$B$26:$O$57,9,TRUE))) + IF(BL93="",0,(BL93*VLOOKUP($B93,'A1.3.9'!$B$26:$O$57,10,TRUE))))</f>
        <v>417.85971590207578</v>
      </c>
      <c r="BQ93" s="691">
        <f>IF(AND(BI93="",BM93=""),"",IF(BI93="",0,(BI93*VLOOKUP($B93,'A1.3.9'!$B$26:$O$57,9,TRUE))) + IF(BM93="",0,(BM93*VLOOKUP($B93,'A1.3.9'!$B$26:$O$57,10,TRUE))))</f>
        <v>36.716059079291846</v>
      </c>
      <c r="BR93" s="691">
        <f>IF(AND(BJ93="",BN93=""),"",IF(BJ93="",0,(BJ93*VLOOKUP($B93,'A1.3.9'!$B$26:$O$57,9,TRUE))) + IF(BN93="",0,(BN93*VLOOKUP($B93,'A1.3.9'!$B$26:$O$57,10,TRUE))))</f>
        <v>-0.39907083743789029</v>
      </c>
      <c r="BS93" s="2644">
        <f>IF(AND(BK93="",BO93=""),"",IF(BK93="",0,(BK93*VLOOKUP($B93,'A1.3.9'!$B$26:$O$57,9,TRUE))) + IF(BO93="",0,(BO93*VLOOKUP($B93,'A1.3.9'!$B$26:$O$57,10,TRUE))))</f>
        <v>2.9273477129483413E-3</v>
      </c>
    </row>
    <row r="94" spans="1:71" ht="13.5" customHeight="1">
      <c r="A94" s="113"/>
      <c r="B94" s="614">
        <f t="shared" si="1"/>
        <v>2077</v>
      </c>
      <c r="C94" s="147"/>
      <c r="D94" s="693">
        <f>IF('A1.3.8'!D$27="","",IF(OR(VLOOKUP($B94,'A1.3.11'!$B$26:$AM$105,D$22,)="",VLOOKUP($B94,'A1.3.7'!$B$28:$H$118,3,)=""),"",VLOOKUP($B94,'A1.3.11'!$B$26:$AM$105,D$22,)*(VLOOKUP($B94,'A1.3.7'!$B$28:$O$118,3,)+VLOOKUP($B94,'A1.3.7'!$B$28:$O$118,8,))))</f>
        <v>39.334987494882718</v>
      </c>
      <c r="E94" s="691">
        <f>IF('A1.3.8'!E$27="","",IF(OR(VLOOKUP($B94,'A1.3.11'!$B$26:$AM$105,E$22,)="",VLOOKUP($B94,'A1.3.7'!$B$28:$H$118,3,)=""),"",VLOOKUP($B94,'A1.3.11'!$B$26:$AM$105,E$22,)*(VLOOKUP($B94,'A1.3.7'!$B$28:$O$118,3,)+VLOOKUP($B94,'A1.3.7'!$B$28:$O$118,8,))))</f>
        <v>8.3593228918841405</v>
      </c>
      <c r="F94" s="691">
        <f>IF('A1.3.8'!F$27="","",IF(OR(VLOOKUP($B94,'A1.3.11'!$B$26:$AM$105,F$22,)="",VLOOKUP($B94,'A1.3.7'!$B$28:$H$118,3,)=""),"",VLOOKUP($B94,'A1.3.11'!$B$26:$AM$105,F$22,)*(VLOOKUP($B94,'A1.3.7'!$B$28:$O$118,3,)+VLOOKUP($B94,'A1.3.7'!$B$28:$O$118,8,))))</f>
        <v>-9.5222600939979404E-2</v>
      </c>
      <c r="G94" s="2644">
        <f>IF('A1.3.8'!G$27="","",IF(OR(VLOOKUP($B94,'A1.3.11'!$B$26:$AM$105,G$22,)="",VLOOKUP($B94,'A1.3.7'!$B$28:$H$118,3,)=""),"",VLOOKUP($B94,'A1.3.11'!$B$26:$AM$105,G$22,)*(VLOOKUP($B94,'A1.3.7'!$B$28:$O$118,3,)+VLOOKUP($B94,'A1.3.7'!$B$28:$O$118,8,))))</f>
        <v>6.3065162428587894E-4</v>
      </c>
      <c r="H94" s="693">
        <f>IF('A1.3.8'!D$28="","",IF(OR(VLOOKUP($B94,'A1.3.11'!$B$26:$AM$105,H$22,)="",VLOOKUP($B94,'A1.3.7'!$B$28:$H$118,4,)=""),"",VLOOKUP($B94,'A1.3.11'!$B$26:$AM$105,H$22,)*(VLOOKUP($B94,'A1.3.7'!$B$28:$O$118,4,)+VLOOKUP($B94,'A1.3.7'!$B$28:$O$118,9,))))</f>
        <v>48.367280662974252</v>
      </c>
      <c r="I94" s="691">
        <f>IF('A1.3.8'!E$28="","",IF(OR(VLOOKUP($B94,'A1.3.11'!$B$26:$AM$105,I$22,)="",VLOOKUP($B94,'A1.3.7'!$B$28:$H$118,4,)=""),"",VLOOKUP($B94,'A1.3.11'!$B$26:$AM$105,I$22,)*(VLOOKUP($B94,'A1.3.7'!$B$28:$O$118,4,)+VLOOKUP($B94,'A1.3.7'!$B$28:$O$118,9,))))</f>
        <v>6.9346719255796119</v>
      </c>
      <c r="J94" s="691">
        <f>IF('A1.3.8'!F$28="","",IF(OR(VLOOKUP($B94,'A1.3.11'!$B$26:$AM$105,J$22,)="",VLOOKUP($B94,'A1.3.7'!$B$28:$H$118,4,)=""),"",VLOOKUP($B94,'A1.3.11'!$B$26:$AM$105,J$22,)*(VLOOKUP($B94,'A1.3.7'!$B$28:$O$118,4,)+VLOOKUP($B94,'A1.3.7'!$B$28:$O$118,9,))))</f>
        <v>-6.6713475789652352E-2</v>
      </c>
      <c r="K94" s="2644">
        <f>IF('A1.3.8'!G$28="","",IF(OR(VLOOKUP($B94,'A1.3.11'!$B$26:$AM$105,K$22,)="",VLOOKUP($B94,'A1.3.7'!$B$28:$H$118,4,)=""),"",VLOOKUP($B94,'A1.3.11'!$B$26:$AM$105,K$22,)*(VLOOKUP($B94,'A1.3.7'!$B$28:$O$118,4,)+VLOOKUP($B94,'A1.3.7'!$B$28:$O$118,9,))))</f>
        <v>5.2570553628748557E-4</v>
      </c>
      <c r="L94" s="693" t="str">
        <f>IF('A1.3.8'!D$36="","",IF(OR(VLOOKUP($B94,'A1.3.11'!$B$26:$AM$105,L$22,)="",VLOOKUP($B94,'A1.3.7'!$B$28:$H$118,6,)=""),"",VLOOKUP($B94,'A1.3.11'!$B$26:$AM$105,L$22,)*VLOOKUP($B94,'A1.3.7'!$B$28:$O$118,6,)))</f>
        <v/>
      </c>
      <c r="M94" s="691">
        <f>IF('A1.3.8'!E$36="","",IF(OR(VLOOKUP($B94,'A1.3.11'!$B$26:$AM$105,M$22,)="",VLOOKUP($B94,'A1.3.7'!$B$28:$H$118,6,)=""),"",VLOOKUP($B94,'A1.3.11'!$B$26:$AM$105,M$22,)*VLOOKUP($B94,'A1.3.7'!$B$28:$O$118,6,)))</f>
        <v>1.9637608285706969</v>
      </c>
      <c r="N94" s="691" t="str">
        <f>IF('A1.3.8'!F$36="","",IF(OR(VLOOKUP($B94,'A1.3.11'!$B$26:$AM$105,N$22,)="",VLOOKUP($B94,'A1.3.7'!$B$28:$H$118,6,)=""),"",VLOOKUP($B94,'A1.3.11'!$B$26:$AM$105,N$22,)*VLOOKUP($B94,'A1.3.7'!$B$28:$O$118,6,)))</f>
        <v/>
      </c>
      <c r="O94" s="1664" t="str">
        <f>IF('A1.3.8'!G$36="","",IF(OR(VLOOKUP($B94,'A1.3.11'!$B$26:$AM$105,O$22,)="",VLOOKUP($B94,'A1.3.7'!$B$28:$H$118,6,)=""),"",VLOOKUP($B94,'A1.3.11'!$B$26:$AM$105,O$22,)*VLOOKUP($B94,'A1.3.7'!$B$28:$O$118,6,)))</f>
        <v/>
      </c>
      <c r="P94" s="693">
        <f>IF(AND(D94="",H94="",L94=""),"",IF(D94="",0,(D94*VLOOKUP($B94,'A1.3.9'!$B$26:$O$57,3,TRUE)))+IF(H94="",0,(H94*VLOOKUP($B94,'A1.3.9'!$B$26:$O$57,4,TRUE)))+IF(L94="",0,(L94*VLOOKUP($B94,'A1.3.9'!$B$26:$O$57,5,TRUE))))</f>
        <v>32.585902770200015</v>
      </c>
      <c r="Q94" s="691">
        <f>IF(AND(E94="",I94="",M94=""),"",IF(E94="",0,(E94*VLOOKUP($B94,'A1.3.9'!$B$26:$O$57,3,TRUE)))+IF(I94="",0,(I94*VLOOKUP($B94,'A1.3.9'!$B$26:$O$57,4,TRUE)))+IF(M94="",0,(M94*VLOOKUP($B94,'A1.3.9'!$B$26:$O$57,5,TRUE))))</f>
        <v>6.3692049175953809</v>
      </c>
      <c r="R94" s="691">
        <f>IF(AND(F94="",J94="",N94=""),"",IF(F94="",0,(F94*VLOOKUP($B94,'A1.3.9'!$B$26:$O$57,3,TRUE)))+IF(J94="",0,(J94*VLOOKUP($B94,'A1.3.9'!$B$26:$O$57,4,TRUE)))+IF(N94="",0,(N94*VLOOKUP($B94,'A1.3.9'!$B$26:$O$57,5,TRUE))))</f>
        <v>-6.334015672469813E-2</v>
      </c>
      <c r="S94" s="2644">
        <f>IF(AND(G94="",K94="",O94=""),"",IF(G94="",0,(G94*VLOOKUP($B94,'A1.3.9'!$B$26:$O$57,3,TRUE)))+IF(K94="",0,(K94*VLOOKUP($B94,'A1.3.9'!$B$26:$O$57,4,TRUE)))+IF(O94="",0,(O94*VLOOKUP($B94,'A1.3.9'!$B$26:$O$57,5,TRUE))))</f>
        <v>4.453759192139643E-4</v>
      </c>
      <c r="T94" s="693">
        <f>IF('A1.3.8'!D$29="","",IF(OR(VLOOKUP($B94,'A1.3.11'!$B$26:$AM$105,T$22,)="",VLOOKUP($B94,'A1.3.7'!$B$28:$H$118,3,)=""),"",VLOOKUP($B94,'A1.3.11'!$B$26:$AM$105,T$22,)*(VLOOKUP($B94,'A1.3.7'!$B$28:$O$118,3,)+VLOOKUP($B94,'A1.3.7'!$B$28:$O$118,8,))))</f>
        <v>28.294957297434095</v>
      </c>
      <c r="U94" s="691">
        <f>IF('A1.3.8'!E$29="","",IF(OR(VLOOKUP($B94,'A1.3.11'!$B$26:$AM$105,U$22,)="",VLOOKUP($B94,'A1.3.7'!$B$28:$H$118,3,)=""),"",VLOOKUP($B94,'A1.3.11'!$B$26:$AM$105,U$22,)*(VLOOKUP($B94,'A1.3.7'!$B$28:$O$118,3,)+VLOOKUP($B94,'A1.3.7'!$B$28:$O$118,8,))))</f>
        <v>15.86617415880132</v>
      </c>
      <c r="V94" s="691">
        <f>IF('A1.3.8'!F$29="","",IF(OR(VLOOKUP($B94,'A1.3.11'!$B$26:$AM$105,V$22,)="",VLOOKUP($B94,'A1.3.7'!$B$28:$H$118,3,)=""),"",VLOOKUP($B94,'A1.3.11'!$B$26:$AM$105,V$22,)*(VLOOKUP($B94,'A1.3.7'!$B$28:$O$118,3,)+VLOOKUP($B94,'A1.3.7'!$B$28:$O$118,8,))))</f>
        <v>-0.24904685524936929</v>
      </c>
      <c r="W94" s="2644">
        <f>IF('A1.3.8'!G$29="","",IF(OR(VLOOKUP($B94,'A1.3.11'!$B$26:$AM$105,W$22,)="",VLOOKUP($B94,'A1.3.7'!$B$28:$H$118,3,)=""),"",VLOOKUP($B94,'A1.3.11'!$B$26:$AM$105,W$22,)*(VLOOKUP($B94,'A1.3.7'!$B$28:$O$118,3,)+VLOOKUP($B94,'A1.3.7'!$B$28:$O$118,8,))))</f>
        <v>1.6083538986644537E-3</v>
      </c>
      <c r="X94" s="693">
        <f>IF('A1.3.8'!D$30="","",IF(OR(VLOOKUP($B94,'A1.3.11'!$B$26:$AM$105,X$22,)="",VLOOKUP($B94,'A1.3.7'!$B$28:$H$118,4,)=""),"",VLOOKUP($B94,'A1.3.11'!$B$26:$AM$105,X$22,)*(VLOOKUP($B94,'A1.3.7'!$B$28:$O$118,4,)+VLOOKUP($B94,'A1.3.7'!$B$28:$O$118,9,))))</f>
        <v>49.813606613455427</v>
      </c>
      <c r="Y94" s="691">
        <f>IF('A1.3.8'!E$30="","",IF(OR(VLOOKUP($B94,'A1.3.11'!$B$26:$AM$105,Y$22,)="",VLOOKUP($B94,'A1.3.7'!$B$28:$H$118,4,)=""),"",VLOOKUP($B94,'A1.3.11'!$B$26:$AM$105,Y$22,)*(VLOOKUP($B94,'A1.3.7'!$B$28:$O$118,4,)+VLOOKUP($B94,'A1.3.7'!$B$28:$O$118,9,))))</f>
        <v>12.174648463299977</v>
      </c>
      <c r="Z94" s="691">
        <f>IF('A1.3.8'!F$30="","",IF(OR(VLOOKUP($B94,'A1.3.11'!$B$26:$AM$105,Z$22,)="",VLOOKUP($B94,'A1.3.7'!$B$28:$H$118,4,)=""),"",VLOOKUP($B94,'A1.3.11'!$B$26:$AM$105,Z$22,)*(VLOOKUP($B94,'A1.3.7'!$B$28:$O$118,4,)+VLOOKUP($B94,'A1.3.7'!$B$28:$O$118,9,))))</f>
        <v>-0.17564143081260261</v>
      </c>
      <c r="AA94" s="2644">
        <f>IF('A1.3.8'!G$30="","",IF(OR(VLOOKUP($B94,'A1.3.11'!$B$26:$AM$105,AA$22,)="",VLOOKUP($B94,'A1.3.7'!$B$28:$H$118,4,)=""),"",VLOOKUP($B94,'A1.3.11'!$B$26:$AM$105,AA$22,)*(VLOOKUP($B94,'A1.3.7'!$B$28:$O$118,4,)+VLOOKUP($B94,'A1.3.7'!$B$28:$O$118,9,))))</f>
        <v>1.4869864773748688E-3</v>
      </c>
      <c r="AB94" s="693" t="str">
        <f>IF('A1.3.8'!D$37="","",IF(OR(VLOOKUP($B94,'A1.3.11'!$B$26:$AM$105,AB$22,)="",VLOOKUP($B94,'A1.3.7'!$B$28:$H$118,6,)=""),"",VLOOKUP($B94,'A1.3.11'!$B$26:$AM$105,AB$22,)*VLOOKUP($B94,'A1.3.7'!$B$28:$O$118,6,)))</f>
        <v/>
      </c>
      <c r="AC94" s="691">
        <f>IF('A1.3.8'!E$37="","",IF(OR(VLOOKUP($B94,'A1.3.11'!$B$26:$AM$105,AC$22,)="",VLOOKUP($B94,'A1.3.7'!$B$28:$H$118,6,)=""),"",VLOOKUP($B94,'A1.3.11'!$B$26:$AM$105,AC$22,)*VLOOKUP($B94,'A1.3.7'!$B$28:$O$118,6,)))</f>
        <v>4.5145632825273854</v>
      </c>
      <c r="AD94" s="691" t="str">
        <f>IF('A1.3.8'!F$37="","",IF(OR(VLOOKUP($B94,'A1.3.11'!$B$26:$AM$105,AD$22,)="",VLOOKUP($B94,'A1.3.7'!$B$28:$H$118,6,)=""),"",VLOOKUP($B94,'A1.3.11'!$B$26:$AM$105,AD$22,)*VLOOKUP($B94,'A1.3.7'!$B$28:$O$118,6,)))</f>
        <v/>
      </c>
      <c r="AE94" s="1664" t="str">
        <f>IF('A1.3.8'!G$37="","",IF(OR(VLOOKUP($B94,'A1.3.11'!$B$26:$AM$105,AE$22,)="",VLOOKUP($B94,'A1.3.7'!$B$28:$H$118,6,)=""),"",VLOOKUP($B94,'A1.3.11'!$B$26:$AM$105,AE$22,)*VLOOKUP($B94,'A1.3.7'!$B$28:$O$118,6,)))</f>
        <v/>
      </c>
      <c r="AF94" s="693">
        <f>IF(AND(T94="",X94="",AB94=""),"",IF(T94="",0,(T94*VLOOKUP('A1.3.12'!$B94,'A1.3.9'!$B$26:$O$57,6,TRUE))) + IF(X94="",0,(X94*VLOOKUP('A1.3.12'!$B94,'A1.3.9'!$B$26:$O$57,7,TRUE))) + IF(AB94="",0,(AB94*VLOOKUP('A1.3.12'!$B94,'A1.3.9'!$B$26:$O$57,8,TRUE))))</f>
        <v>44.199798786570533</v>
      </c>
      <c r="AG94" s="691">
        <f>IF(AND(U94="",Y94="",AC94=""),"",IF(U94="",0,(U94*VLOOKUP('A1.3.12'!$B94,'A1.3.9'!$B$26:$O$57,6,TRUE))) + IF(Y94="",0,(Y94*VLOOKUP('A1.3.12'!$B94,'A1.3.9'!$B$26:$O$57,7,TRUE))) + IF(AC94="",0,(AC94*VLOOKUP('A1.3.12'!$B94,'A1.3.9'!$B$26:$O$57,8,TRUE))))</f>
        <v>11.364459189465487</v>
      </c>
      <c r="AH94" s="691">
        <f>IF(AND(V94="",Z94="",AD94=""),"",IF(V94="",0,(V94*VLOOKUP('A1.3.12'!$B94,'A1.3.9'!$B$26:$O$57,6,TRUE))) + IF(Z94="",0,(Z94*VLOOKUP('A1.3.12'!$B94,'A1.3.9'!$B$26:$O$57,7,TRUE))) + IF(AD94="",0,(AD94*VLOOKUP('A1.3.12'!$B94,'A1.3.9'!$B$26:$O$57,8,TRUE))))</f>
        <v>-0.15697903960438359</v>
      </c>
      <c r="AI94" s="2644">
        <f>IF(AND(W94="",AA94="",AE94=""),"",IF(W94="",0,(W94*VLOOKUP('A1.3.12'!$B94,'A1.3.9'!$B$26:$O$57,6,TRUE))) + IF(AA94="",0,(AA94*VLOOKUP('A1.3.12'!$B94,'A1.3.9'!$B$26:$O$57,7,TRUE))) + IF(AE94="",0,(AE94*VLOOKUP('A1.3.12'!$B94,'A1.3.9'!$B$26:$O$57,8,TRUE))))</f>
        <v>1.3251986911140185E-3</v>
      </c>
      <c r="AJ94" s="693">
        <f>IF('A1.3.8'!D$31="","",IF(OR(VLOOKUP($B94,'A1.3.11'!$B$26:$AM$105,AJ$22,)="",VLOOKUP($B94,'A1.3.7'!$B$28:$H$118,4,)=""),"",VLOOKUP($B94,'A1.3.11'!$B$26:$AM$105,AJ$22,)*(VLOOKUP($B94,'A1.3.7'!$B$28:$O$118,4,)+VLOOKUP($B94,'A1.3.7'!$B$28:$O$118,9,))))</f>
        <v>336.73812727151403</v>
      </c>
      <c r="AK94" s="691">
        <f>IF('A1.3.8'!E$31="","",IF(OR(VLOOKUP($B94,'A1.3.11'!$B$26:$AM$105,AK$22,)="",VLOOKUP($B94,'A1.3.7'!$B$28:$H$118,4,)=""),"",VLOOKUP($B94,'A1.3.11'!$B$26:$AM$105,AK$22,)*(VLOOKUP($B94,'A1.3.7'!$B$28:$O$118,4,)+VLOOKUP($B94,'A1.3.7'!$B$28:$O$118,9,))))</f>
        <v>17.866383944480322</v>
      </c>
      <c r="AL94" s="691">
        <f>IF('A1.3.8'!F$31="","",IF(OR(VLOOKUP($B94,'A1.3.11'!$B$26:$AM$105,AL$22,)="",VLOOKUP($B94,'A1.3.7'!$B$28:$H$118,4,)=""),"",VLOOKUP($B94,'A1.3.11'!$B$26:$AM$105,AL$22,)*(VLOOKUP($B94,'A1.3.7'!$B$28:$O$118,4,)+VLOOKUP($B94,'A1.3.7'!$B$28:$O$118,9,))))</f>
        <v>-0.12913833658893514</v>
      </c>
      <c r="AM94" s="2644">
        <f>IF('A1.3.8'!G$31="","",IF(OR(VLOOKUP($B94,'A1.3.11'!$B$26:$AM$105,AM$22,)="",VLOOKUP($B94,'A1.3.7'!$B$28:$H$118,4,)=""),"",VLOOKUP($B94,'A1.3.11'!$B$26:$AM$105,AM$22,)*(VLOOKUP($B94,'A1.3.7'!$B$28:$O$118,4,)+VLOOKUP($B94,'A1.3.7'!$B$28:$O$118,9,))))</f>
        <v>1.4103978384682045E-3</v>
      </c>
      <c r="AN94" s="693" t="str">
        <f>IF('A1.3.8'!D$38="","",IF(OR(VLOOKUP($B94,'A1.3.11'!$B$26:$AM$105,AN$22,)="",VLOOKUP($B94,'A1.3.7'!$B$28:$H$118,6,)=""),"",VLOOKUP($B94,'A1.3.11'!$B$26:$AM$105,AN$22,)*VLOOKUP($B94,'A1.3.7'!$B$28:$O$118,6,)))</f>
        <v/>
      </c>
      <c r="AO94" s="691" t="str">
        <f>IF('A1.3.8'!E$38="","",IF(OR(VLOOKUP($B94,'A1.3.11'!$B$26:$AM$105,AO$22,)="",VLOOKUP($B94,'A1.3.7'!$B$28:$H$118,6,)=""),"",VLOOKUP($B94,'A1.3.11'!$B$26:$AM$105,AO$22,)*VLOOKUP($B94,'A1.3.7'!$B$28:$O$118,6,)))</f>
        <v/>
      </c>
      <c r="AP94" s="691" t="str">
        <f>IF('A1.3.8'!F$38="","",IF(OR(VLOOKUP($B94,'A1.3.11'!$B$26:$AM$105,AP$22,)="",VLOOKUP($B94,'A1.3.7'!$B$28:$H$118,6,)=""),"",VLOOKUP($B94,'A1.3.11'!$B$26:$AM$105,AP$22,)*VLOOKUP($B94,'A1.3.7'!$B$28:$O$118,6,)))</f>
        <v/>
      </c>
      <c r="AQ94" s="1664" t="str">
        <f>IF('A1.3.8'!G$38="","",IF(OR(VLOOKUP($B94,'A1.3.11'!$B$26:$AM$105,AQ$22,)="",VLOOKUP($B94,'A1.3.7'!$B$28:$H$118,6,)=""),"",VLOOKUP($B94,'A1.3.11'!$B$26:$AM$105,AQ$22,)*VLOOKUP($B94,'A1.3.7'!$B$28:$O$118,6,)))</f>
        <v/>
      </c>
      <c r="AR94" s="693">
        <f>IF(AND(AJ94="",AN94=""),"",IF(AJ94="",0,(AJ94*VLOOKUP($B94,'A1.3.9'!$B$26:$O$57,9,TRUE))) + IF(AN94="",0,(AN94*VLOOKUP($B94,'A1.3.9'!$B$26:$O$57,10,TRUE))))</f>
        <v>336.73812727151403</v>
      </c>
      <c r="AS94" s="691">
        <f>IF(AND(AK94="",AO94=""),"",IF(AK94="",0,(AK94*VLOOKUP($B94,'A1.3.9'!$B$26:$O$57,9,TRUE))) + IF(AO94="",0,(AO94*VLOOKUP($B94,'A1.3.9'!$B$26:$O$57,10,TRUE))))</f>
        <v>17.866383944480322</v>
      </c>
      <c r="AT94" s="691">
        <f>IF(AND(AL94="",AP94=""),"",IF(AL94="",0,(AL94*VLOOKUP($B94,'A1.3.9'!$B$26:$O$57,9,TRUE))) + IF(AP94="",0,(AP94*VLOOKUP($B94,'A1.3.9'!$B$26:$O$57,10,TRUE))))</f>
        <v>-0.12913833658893514</v>
      </c>
      <c r="AU94" s="2644">
        <f>IF(AND(AM94="",AQ94=""),"",IF(AM94="",0,(AM94*VLOOKUP($B94,'A1.3.9'!$B$26:$O$57,9,TRUE))) + IF(AQ94="",0,(AQ94*VLOOKUP($B94,'A1.3.9'!$B$26:$O$57,10,TRUE))))</f>
        <v>1.4103978384682045E-3</v>
      </c>
      <c r="AV94" s="693">
        <f>IF('A1.3.8'!D$32="","",IF(OR(VLOOKUP($B94,'A1.3.11'!$B$26:$AM$105,AV$22,)="",VLOOKUP($B94,'A1.3.7'!$B$28:$H$118,4,)=""),"",VLOOKUP($B94,'A1.3.11'!$B$26:$AM$105,AV$22,)*(VLOOKUP($B94,'A1.3.7'!$B$28:$O$118,4,)+VLOOKUP($B94,'A1.3.7'!$B$28:$O$118,9,))))</f>
        <v>707.57455152057832</v>
      </c>
      <c r="AW94" s="691">
        <f>IF('A1.3.8'!E$32="","",IF(OR(VLOOKUP($B94,'A1.3.11'!$B$26:$AM$105,AW$22,)="",VLOOKUP($B94,'A1.3.7'!$B$28:$H$118,4,)=""),"",VLOOKUP($B94,'A1.3.11'!$B$26:$AM$105,AW$22,)*(VLOOKUP($B94,'A1.3.7'!$B$28:$O$118,4,)+VLOOKUP($B94,'A1.3.7'!$B$28:$O$118,9,))))</f>
        <v>36.74560021297404</v>
      </c>
      <c r="AX94" s="691">
        <f>IF('A1.3.8'!F$32="","",IF(OR(VLOOKUP($B94,'A1.3.11'!$B$26:$AM$105,AX$22,)="",VLOOKUP($B94,'A1.3.7'!$B$28:$H$118,4,)=""),"",VLOOKUP($B94,'A1.3.11'!$B$26:$AM$105,AX$22,)*(VLOOKUP($B94,'A1.3.7'!$B$28:$O$118,4,)+VLOOKUP($B94,'A1.3.7'!$B$28:$O$118,9,))))</f>
        <v>-0.24345893192247489</v>
      </c>
      <c r="AY94" s="2644">
        <f>IF('A1.3.8'!G$32="","",IF(OR(VLOOKUP($B94,'A1.3.11'!$B$26:$AM$105,AY$22,)="",VLOOKUP($B94,'A1.3.7'!$B$28:$H$118,4,)=""),"",VLOOKUP($B94,'A1.3.11'!$B$26:$AM$105,AY$22,)*(VLOOKUP($B94,'A1.3.7'!$B$28:$O$118,4,)+VLOOKUP($B94,'A1.3.7'!$B$28:$O$118,9,))))</f>
        <v>1.4511164723363756E-3</v>
      </c>
      <c r="AZ94" s="693" t="str">
        <f>IF('A1.3.8'!D$39="","",IF(OR(VLOOKUP($B94,'A1.3.11'!$B$26:$AM$105,AZ$22,)="",VLOOKUP($B94,'A1.3.7'!$B$28:$H$118,6,)=""),"",VLOOKUP($B94,'A1.3.11'!$B$26:$AM$105,AZ$22,)*VLOOKUP($B94,'A1.3.7'!$B$28:$O$118,6,)))</f>
        <v/>
      </c>
      <c r="BA94" s="691" t="str">
        <f>IF('A1.3.8'!E$39="","",IF(OR(VLOOKUP($B94,'A1.3.11'!$B$26:$AM$105,BA$22,)="",VLOOKUP($B94,'A1.3.7'!$B$28:$H$118,6,)=""),"",VLOOKUP($B94,'A1.3.11'!$B$26:$AM$105,BA$22,)*VLOOKUP($B94,'A1.3.7'!$B$28:$O$118,6,)))</f>
        <v/>
      </c>
      <c r="BB94" s="691" t="str">
        <f>IF('A1.3.8'!F$39="","",IF(OR(VLOOKUP($B94,'A1.3.11'!$B$26:$AM$105,BB$22,)="",VLOOKUP($B94,'A1.3.7'!$B$28:$H$118,6,)=""),"",VLOOKUP($B94,'A1.3.11'!$B$26:$AM$105,BB$22,)*VLOOKUP($B94,'A1.3.7'!$B$28:$O$118,6,)))</f>
        <v/>
      </c>
      <c r="BC94" s="1664" t="str">
        <f>IF('A1.3.8'!G$39="","",IF(OR(VLOOKUP($B94,'A1.3.11'!$B$26:$AM$105,BC$22,)="",VLOOKUP($B94,'A1.3.7'!$B$28:$H$118,6,)=""),"",VLOOKUP($B94,'A1.3.11'!$B$26:$AM$105,BC$22,)*VLOOKUP($B94,'A1.3.7'!$B$28:$O$118,6,)))</f>
        <v/>
      </c>
      <c r="BD94" s="693">
        <f>IF(AND(AV94="",AZ94=""),"",IF(AV94="",0,(AV94*VLOOKUP($B94,'A1.3.9'!$B$26:$O$57,9,TRUE))) + IF(AZ94="",0,(AZ94*VLOOKUP($B94,'A1.3.9'!$B$26:$O$57,10,TRUE))))</f>
        <v>707.57455152057832</v>
      </c>
      <c r="BE94" s="691">
        <f>IF(AND(AW94="",BA94=""),"",IF(AW94="",0,(AW94*VLOOKUP($B94,'A1.3.9'!$B$26:$O$57,9,TRUE))) + IF(BA94="",0,(BA94*VLOOKUP($B94,'A1.3.9'!$B$26:$O$57,10,TRUE))))</f>
        <v>36.74560021297404</v>
      </c>
      <c r="BF94" s="691">
        <f>IF(AND(AX94="",BB94=""),"",IF(AX94="",0,(AX94*VLOOKUP($B94,'A1.3.9'!$B$26:$O$57,9,TRUE))) + IF(BB94="",0,(BB94*VLOOKUP($B94,'A1.3.9'!$B$26:$O$57,10,TRUE))))</f>
        <v>-0.24345893192247489</v>
      </c>
      <c r="BG94" s="2644">
        <f>IF(AND(AY94="",BC94=""),"",IF(AY94="",0,(AY94*VLOOKUP($B94,'A1.3.9'!$B$26:$O$57,9,TRUE))) + IF(BC94="",0,(BC94*VLOOKUP($B94,'A1.3.9'!$B$26:$O$57,10,TRUE))))</f>
        <v>1.4511164723363756E-3</v>
      </c>
      <c r="BH94" s="693">
        <f>IF('A1.3.8'!D$33="","",IF(OR(VLOOKUP($B94,'A1.3.11'!$B$26:$AM$105,BH$22,)="",VLOOKUP($B94,'A1.3.7'!$B$28:$H$118,4,)=""),"",VLOOKUP($B94,'A1.3.11'!$B$26:$AM$105,BH$22,)*(VLOOKUP($B94,'A1.3.7'!$B$28:$O$118,4,)+VLOOKUP($B94,'A1.3.7'!$B$28:$O$118,9,))))</f>
        <v>419.65264727625561</v>
      </c>
      <c r="BI94" s="691">
        <f>IF('A1.3.8'!E$33="","",IF(OR(VLOOKUP($B94,'A1.3.11'!$B$26:$AM$105,BI$22,)="",VLOOKUP($B94,'A1.3.7'!$B$28:$H$118,4,)=""),"",VLOOKUP($B94,'A1.3.11'!$B$26:$AM$105,BI$22,)*(VLOOKUP($B94,'A1.3.7'!$B$28:$O$118,4,)+VLOOKUP($B94,'A1.3.7'!$B$28:$O$118,9,))))</f>
        <v>36.873598492052402</v>
      </c>
      <c r="BJ94" s="691">
        <f>IF('A1.3.8'!F$33="","",IF(OR(VLOOKUP($B94,'A1.3.11'!$B$26:$AM$105,BJ$22,)="",VLOOKUP($B94,'A1.3.7'!$B$28:$H$118,4,)=""),"",VLOOKUP($B94,'A1.3.11'!$B$26:$AM$105,BJ$22,)*(VLOOKUP($B94,'A1.3.7'!$B$28:$O$118,4,)+VLOOKUP($B94,'A1.3.7'!$B$28:$O$118,9,))))</f>
        <v>-0.40078315044087498</v>
      </c>
      <c r="BK94" s="2644">
        <f>IF('A1.3.8'!G$33="","",IF(OR(VLOOKUP($B94,'A1.3.11'!$B$26:$AM$105,BK$22,)="",VLOOKUP($B94,'A1.3.7'!$B$28:$H$118,4,)=""),"",VLOOKUP($B94,'A1.3.11'!$B$26:$AM$105,BK$22,)*(VLOOKUP($B94,'A1.3.7'!$B$28:$O$118,4,)+VLOOKUP($B94,'A1.3.7'!$B$28:$O$118,9,))))</f>
        <v>2.9399082287337604E-3</v>
      </c>
      <c r="BL94" s="693" t="str">
        <f>IF('A1.3.8'!D$40="","",IF(OR(VLOOKUP($B94,'A1.3.11'!$B$26:$AM$105,BL$22,)="",VLOOKUP($B94,'A1.3.7'!$B$28:$H$118,6,)=""),"",VLOOKUP($B94,'A1.3.11'!$B$26:$AM$105,BL$22,)*VLOOKUP($B94,'A1.3.7'!$B$28:$O$118,6,)))</f>
        <v/>
      </c>
      <c r="BM94" s="691" t="str">
        <f>IF('A1.3.8'!E$40="","",IF(OR(VLOOKUP($B94,'A1.3.11'!$B$26:$AM$105,BM$22,)="",VLOOKUP($B94,'A1.3.7'!$B$28:$H$118,6,)=""),"",VLOOKUP($B94,'A1.3.11'!$B$26:$AM$105,BM$22,)*VLOOKUP($B94,'A1.3.7'!$B$28:$O$118,6,)))</f>
        <v/>
      </c>
      <c r="BN94" s="691" t="str">
        <f>IF('A1.3.8'!F$40="","",IF(OR(VLOOKUP($B94,'A1.3.11'!$B$26:$AM$105,BN$22,)="",VLOOKUP($B94,'A1.3.7'!$B$28:$H$118,6,)=""),"",VLOOKUP($B94,'A1.3.11'!$B$26:$AM$105,BN$22,)*VLOOKUP($B94,'A1.3.7'!$B$28:$O$118,6,)))</f>
        <v/>
      </c>
      <c r="BO94" s="1664" t="str">
        <f>IF('A1.3.8'!G$40="","",IF(OR(VLOOKUP($B94,'A1.3.11'!$B$26:$AM$105,BO$22,)="",VLOOKUP($B94,'A1.3.7'!$B$28:$H$118,6,)=""),"",VLOOKUP($B94,'A1.3.11'!$B$26:$AM$105,BO$22,)*VLOOKUP($B94,'A1.3.7'!$B$28:$O$118,6,)))</f>
        <v/>
      </c>
      <c r="BP94" s="693">
        <f>IF(AND(BH94="",BL94=""),"",IF(BH94="",0,(BH94*VLOOKUP($B94,'A1.3.9'!$B$26:$O$57,9,TRUE))) + IF(BL94="",0,(BL94*VLOOKUP($B94,'A1.3.9'!$B$26:$O$57,10,TRUE))))</f>
        <v>419.65264727625561</v>
      </c>
      <c r="BQ94" s="691">
        <f>IF(AND(BI94="",BM94=""),"",IF(BI94="",0,(BI94*VLOOKUP($B94,'A1.3.9'!$B$26:$O$57,9,TRUE))) + IF(BM94="",0,(BM94*VLOOKUP($B94,'A1.3.9'!$B$26:$O$57,10,TRUE))))</f>
        <v>36.873598492052402</v>
      </c>
      <c r="BR94" s="691">
        <f>IF(AND(BJ94="",BN94=""),"",IF(BJ94="",0,(BJ94*VLOOKUP($B94,'A1.3.9'!$B$26:$O$57,9,TRUE))) + IF(BN94="",0,(BN94*VLOOKUP($B94,'A1.3.9'!$B$26:$O$57,10,TRUE))))</f>
        <v>-0.40078315044087498</v>
      </c>
      <c r="BS94" s="2644">
        <f>IF(AND(BK94="",BO94=""),"",IF(BK94="",0,(BK94*VLOOKUP($B94,'A1.3.9'!$B$26:$O$57,9,TRUE))) + IF(BO94="",0,(BO94*VLOOKUP($B94,'A1.3.9'!$B$26:$O$57,10,TRUE))))</f>
        <v>2.9399082287337604E-3</v>
      </c>
    </row>
    <row r="95" spans="1:71" ht="13.5" customHeight="1">
      <c r="A95" s="113"/>
      <c r="B95" s="614">
        <f t="shared" si="1"/>
        <v>2078</v>
      </c>
      <c r="C95" s="147"/>
      <c r="D95" s="693">
        <f>IF('A1.3.8'!D$27="","",IF(OR(VLOOKUP($B95,'A1.3.11'!$B$26:$AM$105,D$22,)="",VLOOKUP($B95,'A1.3.7'!$B$28:$H$118,3,)=""),"",VLOOKUP($B95,'A1.3.11'!$B$26:$AM$105,D$22,)*(VLOOKUP($B95,'A1.3.7'!$B$28:$O$118,3,)+VLOOKUP($B95,'A1.3.7'!$B$28:$O$118,8,))))</f>
        <v>39.50973556124675</v>
      </c>
      <c r="E95" s="691">
        <f>IF('A1.3.8'!E$27="","",IF(OR(VLOOKUP($B95,'A1.3.11'!$B$26:$AM$105,E$22,)="",VLOOKUP($B95,'A1.3.7'!$B$28:$H$118,3,)=""),"",VLOOKUP($B95,'A1.3.11'!$B$26:$AM$105,E$22,)*(VLOOKUP($B95,'A1.3.7'!$B$28:$O$118,3,)+VLOOKUP($B95,'A1.3.7'!$B$28:$O$118,8,))))</f>
        <v>8.3964596905588404</v>
      </c>
      <c r="F95" s="691">
        <f>IF('A1.3.8'!F$27="","",IF(OR(VLOOKUP($B95,'A1.3.11'!$B$26:$AM$105,F$22,)="",VLOOKUP($B95,'A1.3.7'!$B$28:$H$118,3,)=""),"",VLOOKUP($B95,'A1.3.11'!$B$26:$AM$105,F$22,)*(VLOOKUP($B95,'A1.3.7'!$B$28:$O$118,3,)+VLOOKUP($B95,'A1.3.7'!$B$28:$O$118,8,))))</f>
        <v>-9.564563311688247E-2</v>
      </c>
      <c r="G95" s="2644">
        <f>IF('A1.3.8'!G$27="","",IF(OR(VLOOKUP($B95,'A1.3.11'!$B$26:$AM$105,G$22,)="",VLOOKUP($B95,'A1.3.7'!$B$28:$H$118,3,)=""),"",VLOOKUP($B95,'A1.3.11'!$B$26:$AM$105,G$22,)*(VLOOKUP($B95,'A1.3.7'!$B$28:$O$118,3,)+VLOOKUP($B95,'A1.3.7'!$B$28:$O$118,8,))))</f>
        <v>6.3345333235576527E-4</v>
      </c>
      <c r="H95" s="693">
        <f>IF('A1.3.8'!D$28="","",IF(OR(VLOOKUP($B95,'A1.3.11'!$B$26:$AM$105,H$22,)="",VLOOKUP($B95,'A1.3.7'!$B$28:$H$118,4,)=""),"",VLOOKUP($B95,'A1.3.11'!$B$26:$AM$105,H$22,)*(VLOOKUP($B95,'A1.3.7'!$B$28:$O$118,4,)+VLOOKUP($B95,'A1.3.7'!$B$28:$O$118,9,))))</f>
        <v>48.57533988091059</v>
      </c>
      <c r="I95" s="691">
        <f>IF('A1.3.8'!E$28="","",IF(OR(VLOOKUP($B95,'A1.3.11'!$B$26:$AM$105,I$22,)="",VLOOKUP($B95,'A1.3.7'!$B$28:$H$118,4,)=""),"",VLOOKUP($B95,'A1.3.11'!$B$26:$AM$105,I$22,)*(VLOOKUP($B95,'A1.3.7'!$B$28:$O$118,4,)+VLOOKUP($B95,'A1.3.7'!$B$28:$O$118,9,))))</f>
        <v>6.9645024721330726</v>
      </c>
      <c r="J95" s="691">
        <f>IF('A1.3.8'!F$28="","",IF(OR(VLOOKUP($B95,'A1.3.11'!$B$26:$AM$105,J$22,)="",VLOOKUP($B95,'A1.3.7'!$B$28:$H$118,4,)=""),"",VLOOKUP($B95,'A1.3.11'!$B$26:$AM$105,J$22,)*(VLOOKUP($B95,'A1.3.7'!$B$28:$O$118,4,)+VLOOKUP($B95,'A1.3.7'!$B$28:$O$118,9,))))</f>
        <v>-6.7000453957710399E-2</v>
      </c>
      <c r="K95" s="2644">
        <f>IF('A1.3.8'!G$28="","",IF(OR(VLOOKUP($B95,'A1.3.11'!$B$26:$AM$105,K$22,)="",VLOOKUP($B95,'A1.3.7'!$B$28:$H$118,4,)=""),"",VLOOKUP($B95,'A1.3.11'!$B$26:$AM$105,K$22,)*(VLOOKUP($B95,'A1.3.7'!$B$28:$O$118,4,)+VLOOKUP($B95,'A1.3.7'!$B$28:$O$118,9,))))</f>
        <v>5.2796693864969252E-4</v>
      </c>
      <c r="L95" s="693" t="str">
        <f>IF('A1.3.8'!D$36="","",IF(OR(VLOOKUP($B95,'A1.3.11'!$B$26:$AM$105,L$22,)="",VLOOKUP($B95,'A1.3.7'!$B$28:$H$118,6,)=""),"",VLOOKUP($B95,'A1.3.11'!$B$26:$AM$105,L$22,)*VLOOKUP($B95,'A1.3.7'!$B$28:$O$118,6,)))</f>
        <v/>
      </c>
      <c r="M95" s="691">
        <f>IF('A1.3.8'!E$36="","",IF(OR(VLOOKUP($B95,'A1.3.11'!$B$26:$AM$105,M$22,)="",VLOOKUP($B95,'A1.3.7'!$B$28:$H$118,6,)=""),"",VLOOKUP($B95,'A1.3.11'!$B$26:$AM$105,M$22,)*VLOOKUP($B95,'A1.3.7'!$B$28:$O$118,6,)))</f>
        <v>1.9637608285706969</v>
      </c>
      <c r="N95" s="691" t="str">
        <f>IF('A1.3.8'!F$36="","",IF(OR(VLOOKUP($B95,'A1.3.11'!$B$26:$AM$105,N$22,)="",VLOOKUP($B95,'A1.3.7'!$B$28:$H$118,6,)=""),"",VLOOKUP($B95,'A1.3.11'!$B$26:$AM$105,N$22,)*VLOOKUP($B95,'A1.3.7'!$B$28:$O$118,6,)))</f>
        <v/>
      </c>
      <c r="O95" s="1664" t="str">
        <f>IF('A1.3.8'!G$36="","",IF(OR(VLOOKUP($B95,'A1.3.11'!$B$26:$AM$105,O$22,)="",VLOOKUP($B95,'A1.3.7'!$B$28:$H$118,6,)=""),"",VLOOKUP($B95,'A1.3.11'!$B$26:$AM$105,O$22,)*VLOOKUP($B95,'A1.3.7'!$B$28:$O$118,6,)))</f>
        <v/>
      </c>
      <c r="P95" s="693">
        <f>IF(AND(D95="",H95="",L95=""),"",IF(D95="",0,(D95*VLOOKUP($B95,'A1.3.9'!$B$26:$O$57,3,TRUE)))+IF(H95="",0,(H95*VLOOKUP($B95,'A1.3.9'!$B$26:$O$57,4,TRUE)))+IF(L95="",0,(L95*VLOOKUP($B95,'A1.3.9'!$B$26:$O$57,5,TRUE))))</f>
        <v>32.728564591524034</v>
      </c>
      <c r="Q95" s="691">
        <f>IF(AND(E95="",I95="",M95=""),"",IF(E95="",0,(E95*VLOOKUP($B95,'A1.3.9'!$B$26:$O$57,3,TRUE)))+IF(I95="",0,(I95*VLOOKUP($B95,'A1.3.9'!$B$26:$O$57,4,TRUE)))+IF(M95="",0,(M95*VLOOKUP($B95,'A1.3.9'!$B$26:$O$57,5,TRUE))))</f>
        <v>6.3950839369654782</v>
      </c>
      <c r="R95" s="691">
        <f>IF(AND(F95="",J95="",N95=""),"",IF(F95="",0,(F95*VLOOKUP($B95,'A1.3.9'!$B$26:$O$57,3,TRUE)))+IF(J95="",0,(J95*VLOOKUP($B95,'A1.3.9'!$B$26:$O$57,4,TRUE)))+IF(N95="",0,(N95*VLOOKUP($B95,'A1.3.9'!$B$26:$O$57,5,TRUE))))</f>
        <v>-6.3618648484217596E-2</v>
      </c>
      <c r="S95" s="2644">
        <f>IF(AND(G95="",K95="",O95=""),"",IF(G95="",0,(G95*VLOOKUP($B95,'A1.3.9'!$B$26:$O$57,3,TRUE)))+IF(K95="",0,(K95*VLOOKUP($B95,'A1.3.9'!$B$26:$O$57,4,TRUE)))+IF(O95="",0,(O95*VLOOKUP($B95,'A1.3.9'!$B$26:$O$57,5,TRUE))))</f>
        <v>4.4733167086420981E-4</v>
      </c>
      <c r="T95" s="693">
        <f>IF('A1.3.8'!D$29="","",IF(OR(VLOOKUP($B95,'A1.3.11'!$B$26:$AM$105,T$22,)="",VLOOKUP($B95,'A1.3.7'!$B$28:$H$118,3,)=""),"",VLOOKUP($B95,'A1.3.11'!$B$26:$AM$105,T$22,)*(VLOOKUP($B95,'A1.3.7'!$B$28:$O$118,3,)+VLOOKUP($B95,'A1.3.7'!$B$28:$O$118,8,))))</f>
        <v>28.420659360418675</v>
      </c>
      <c r="U95" s="691">
        <f>IF('A1.3.8'!E$29="","",IF(OR(VLOOKUP($B95,'A1.3.11'!$B$26:$AM$105,U$22,)="",VLOOKUP($B95,'A1.3.7'!$B$28:$H$118,3,)=""),"",VLOOKUP($B95,'A1.3.11'!$B$26:$AM$105,U$22,)*(VLOOKUP($B95,'A1.3.7'!$B$28:$O$118,3,)+VLOOKUP($B95,'A1.3.7'!$B$28:$O$118,8,))))</f>
        <v>15.936660599281469</v>
      </c>
      <c r="V95" s="691">
        <f>IF('A1.3.8'!F$29="","",IF(OR(VLOOKUP($B95,'A1.3.11'!$B$26:$AM$105,V$22,)="",VLOOKUP($B95,'A1.3.7'!$B$28:$H$118,3,)=""),"",VLOOKUP($B95,'A1.3.11'!$B$26:$AM$105,V$22,)*(VLOOKUP($B95,'A1.3.7'!$B$28:$O$118,3,)+VLOOKUP($B95,'A1.3.7'!$B$28:$O$118,8,))))</f>
        <v>-0.25015326100059854</v>
      </c>
      <c r="W95" s="2644">
        <f>IF('A1.3.8'!G$29="","",IF(OR(VLOOKUP($B95,'A1.3.11'!$B$26:$AM$105,W$22,)="",VLOOKUP($B95,'A1.3.7'!$B$28:$H$118,3,)=""),"",VLOOKUP($B95,'A1.3.11'!$B$26:$AM$105,W$22,)*(VLOOKUP($B95,'A1.3.7'!$B$28:$O$118,3,)+VLOOKUP($B95,'A1.3.7'!$B$28:$O$118,8,))))</f>
        <v>1.6154991083548655E-3</v>
      </c>
      <c r="X95" s="693">
        <f>IF('A1.3.8'!D$30="","",IF(OR(VLOOKUP($B95,'A1.3.11'!$B$26:$AM$105,X$22,)="",VLOOKUP($B95,'A1.3.7'!$B$28:$H$118,4,)=""),"",VLOOKUP($B95,'A1.3.11'!$B$26:$AM$105,X$22,)*(VLOOKUP($B95,'A1.3.7'!$B$28:$O$118,4,)+VLOOKUP($B95,'A1.3.7'!$B$28:$O$118,9,))))</f>
        <v>50.027887422558635</v>
      </c>
      <c r="Y95" s="691">
        <f>IF('A1.3.8'!E$30="","",IF(OR(VLOOKUP($B95,'A1.3.11'!$B$26:$AM$105,Y$22,)="",VLOOKUP($B95,'A1.3.7'!$B$28:$H$118,4,)=""),"",VLOOKUP($B95,'A1.3.11'!$B$26:$AM$105,Y$22,)*(VLOOKUP($B95,'A1.3.7'!$B$28:$O$118,4,)+VLOOKUP($B95,'A1.3.7'!$B$28:$O$118,9,))))</f>
        <v>12.227019566310179</v>
      </c>
      <c r="Z95" s="691">
        <f>IF('A1.3.8'!F$30="","",IF(OR(VLOOKUP($B95,'A1.3.11'!$B$26:$AM$105,Z$22,)="",VLOOKUP($B95,'A1.3.7'!$B$28:$H$118,4,)=""),"",VLOOKUP($B95,'A1.3.11'!$B$26:$AM$105,Z$22,)*(VLOOKUP($B95,'A1.3.7'!$B$28:$O$118,4,)+VLOOKUP($B95,'A1.3.7'!$B$28:$O$118,9,))))</f>
        <v>-0.17639697915501881</v>
      </c>
      <c r="AA95" s="2644">
        <f>IF('A1.3.8'!G$30="","",IF(OR(VLOOKUP($B95,'A1.3.11'!$B$26:$AM$105,AA$22,)="",VLOOKUP($B95,'A1.3.7'!$B$28:$H$118,4,)=""),"",VLOOKUP($B95,'A1.3.11'!$B$26:$AM$105,AA$22,)*(VLOOKUP($B95,'A1.3.7'!$B$28:$O$118,4,)+VLOOKUP($B95,'A1.3.7'!$B$28:$O$118,9,))))</f>
        <v>1.4933829759855787E-3</v>
      </c>
      <c r="AB95" s="693" t="str">
        <f>IF('A1.3.8'!D$37="","",IF(OR(VLOOKUP($B95,'A1.3.11'!$B$26:$AM$105,AB$22,)="",VLOOKUP($B95,'A1.3.7'!$B$28:$H$118,6,)=""),"",VLOOKUP($B95,'A1.3.11'!$B$26:$AM$105,AB$22,)*VLOOKUP($B95,'A1.3.7'!$B$28:$O$118,6,)))</f>
        <v/>
      </c>
      <c r="AC95" s="691">
        <f>IF('A1.3.8'!E$37="","",IF(OR(VLOOKUP($B95,'A1.3.11'!$B$26:$AM$105,AC$22,)="",VLOOKUP($B95,'A1.3.7'!$B$28:$H$118,6,)=""),"",VLOOKUP($B95,'A1.3.11'!$B$26:$AM$105,AC$22,)*VLOOKUP($B95,'A1.3.7'!$B$28:$O$118,6,)))</f>
        <v>4.5145632825273854</v>
      </c>
      <c r="AD95" s="691" t="str">
        <f>IF('A1.3.8'!F$37="","",IF(OR(VLOOKUP($B95,'A1.3.11'!$B$26:$AM$105,AD$22,)="",VLOOKUP($B95,'A1.3.7'!$B$28:$H$118,6,)=""),"",VLOOKUP($B95,'A1.3.11'!$B$26:$AM$105,AD$22,)*VLOOKUP($B95,'A1.3.7'!$B$28:$O$118,6,)))</f>
        <v/>
      </c>
      <c r="AE95" s="1664" t="str">
        <f>IF('A1.3.8'!G$37="","",IF(OR(VLOOKUP($B95,'A1.3.11'!$B$26:$AM$105,AE$22,)="",VLOOKUP($B95,'A1.3.7'!$B$28:$H$118,6,)=""),"",VLOOKUP($B95,'A1.3.11'!$B$26:$AM$105,AE$22,)*VLOOKUP($B95,'A1.3.7'!$B$28:$O$118,6,)))</f>
        <v/>
      </c>
      <c r="AF95" s="693">
        <f>IF(AND(T95="",X95="",AB95=""),"",IF(T95="",0,(T95*VLOOKUP('A1.3.12'!$B95,'A1.3.9'!$B$26:$O$57,6,TRUE))) + IF(X95="",0,(X95*VLOOKUP('A1.3.12'!$B95,'A1.3.9'!$B$26:$O$57,7,TRUE))) + IF(AB95="",0,(AB95*VLOOKUP('A1.3.12'!$B95,'A1.3.9'!$B$26:$O$57,8,TRUE))))</f>
        <v>44.389961173939788</v>
      </c>
      <c r="AG95" s="691">
        <f>IF(AND(U95="",Y95="",AC95=""),"",IF(U95="",0,(U95*VLOOKUP('A1.3.12'!$B95,'A1.3.9'!$B$26:$O$57,6,TRUE))) + IF(Y95="",0,(Y95*VLOOKUP('A1.3.12'!$B95,'A1.3.9'!$B$26:$O$57,7,TRUE))) + IF(AC95="",0,(AC95*VLOOKUP('A1.3.12'!$B95,'A1.3.9'!$B$26:$O$57,8,TRUE))))</f>
        <v>11.411237120012567</v>
      </c>
      <c r="AH95" s="691">
        <f>IF(AND(V95="",Z95="",AD95=""),"",IF(V95="",0,(V95*VLOOKUP('A1.3.12'!$B95,'A1.3.9'!$B$26:$O$57,6,TRUE))) + IF(Z95="",0,(Z95*VLOOKUP('A1.3.12'!$B95,'A1.3.9'!$B$26:$O$57,7,TRUE))) + IF(AD95="",0,(AD95*VLOOKUP('A1.3.12'!$B95,'A1.3.9'!$B$26:$O$57,8,TRUE))))</f>
        <v>-0.15765457488256537</v>
      </c>
      <c r="AI95" s="2644">
        <f>IF(AND(W95="",AA95="",AE95=""),"",IF(W95="",0,(W95*VLOOKUP('A1.3.12'!$B95,'A1.3.9'!$B$26:$O$57,6,TRUE))) + IF(AA95="",0,(AA95*VLOOKUP('A1.3.12'!$B95,'A1.3.9'!$B$26:$O$57,7,TRUE))) + IF(AE95="",0,(AE95*VLOOKUP('A1.3.12'!$B95,'A1.3.9'!$B$26:$O$57,8,TRUE))))</f>
        <v>1.33090095311269E-3</v>
      </c>
      <c r="AJ95" s="693">
        <f>IF('A1.3.8'!D$31="","",IF(OR(VLOOKUP($B95,'A1.3.11'!$B$26:$AM$105,AJ$22,)="",VLOOKUP($B95,'A1.3.7'!$B$28:$H$118,4,)=""),"",VLOOKUP($B95,'A1.3.11'!$B$26:$AM$105,AJ$22,)*(VLOOKUP($B95,'A1.3.7'!$B$28:$O$118,4,)+VLOOKUP($B95,'A1.3.7'!$B$28:$O$118,9,))))</f>
        <v>338.18665756821707</v>
      </c>
      <c r="AK95" s="691">
        <f>IF('A1.3.8'!E$31="","",IF(OR(VLOOKUP($B95,'A1.3.11'!$B$26:$AM$105,AK$22,)="",VLOOKUP($B95,'A1.3.7'!$B$28:$H$118,4,)=""),"",VLOOKUP($B95,'A1.3.11'!$B$26:$AM$105,AK$22,)*(VLOOKUP($B95,'A1.3.7'!$B$28:$O$118,4,)+VLOOKUP($B95,'A1.3.7'!$B$28:$O$118,9,))))</f>
        <v>17.943238913787795</v>
      </c>
      <c r="AL95" s="691">
        <f>IF('A1.3.8'!F$31="","",IF(OR(VLOOKUP($B95,'A1.3.11'!$B$26:$AM$105,AL$22,)="",VLOOKUP($B95,'A1.3.7'!$B$28:$H$118,4,)=""),"",VLOOKUP($B95,'A1.3.11'!$B$26:$AM$105,AL$22,)*(VLOOKUP($B95,'A1.3.7'!$B$28:$O$118,4,)+VLOOKUP($B95,'A1.3.7'!$B$28:$O$118,9,))))</f>
        <v>-0.12969384479506141</v>
      </c>
      <c r="AM95" s="2644">
        <f>IF('A1.3.8'!G$31="","",IF(OR(VLOOKUP($B95,'A1.3.11'!$B$26:$AM$105,AM$22,)="",VLOOKUP($B95,'A1.3.7'!$B$28:$H$118,4,)=""),"",VLOOKUP($B95,'A1.3.11'!$B$26:$AM$105,AM$22,)*(VLOOKUP($B95,'A1.3.7'!$B$28:$O$118,4,)+VLOOKUP($B95,'A1.3.7'!$B$28:$O$118,9,))))</f>
        <v>1.4164648793939813E-3</v>
      </c>
      <c r="AN95" s="693" t="str">
        <f>IF('A1.3.8'!D$38="","",IF(OR(VLOOKUP($B95,'A1.3.11'!$B$26:$AM$105,AN$22,)="",VLOOKUP($B95,'A1.3.7'!$B$28:$H$118,6,)=""),"",VLOOKUP($B95,'A1.3.11'!$B$26:$AM$105,AN$22,)*VLOOKUP($B95,'A1.3.7'!$B$28:$O$118,6,)))</f>
        <v/>
      </c>
      <c r="AO95" s="691" t="str">
        <f>IF('A1.3.8'!E$38="","",IF(OR(VLOOKUP($B95,'A1.3.11'!$B$26:$AM$105,AO$22,)="",VLOOKUP($B95,'A1.3.7'!$B$28:$H$118,6,)=""),"",VLOOKUP($B95,'A1.3.11'!$B$26:$AM$105,AO$22,)*VLOOKUP($B95,'A1.3.7'!$B$28:$O$118,6,)))</f>
        <v/>
      </c>
      <c r="AP95" s="691" t="str">
        <f>IF('A1.3.8'!F$38="","",IF(OR(VLOOKUP($B95,'A1.3.11'!$B$26:$AM$105,AP$22,)="",VLOOKUP($B95,'A1.3.7'!$B$28:$H$118,6,)=""),"",VLOOKUP($B95,'A1.3.11'!$B$26:$AM$105,AP$22,)*VLOOKUP($B95,'A1.3.7'!$B$28:$O$118,6,)))</f>
        <v/>
      </c>
      <c r="AQ95" s="1664" t="str">
        <f>IF('A1.3.8'!G$38="","",IF(OR(VLOOKUP($B95,'A1.3.11'!$B$26:$AM$105,AQ$22,)="",VLOOKUP($B95,'A1.3.7'!$B$28:$H$118,6,)=""),"",VLOOKUP($B95,'A1.3.11'!$B$26:$AM$105,AQ$22,)*VLOOKUP($B95,'A1.3.7'!$B$28:$O$118,6,)))</f>
        <v/>
      </c>
      <c r="AR95" s="693">
        <f>IF(AND(AJ95="",AN95=""),"",IF(AJ95="",0,(AJ95*VLOOKUP($B95,'A1.3.9'!$B$26:$O$57,9,TRUE))) + IF(AN95="",0,(AN95*VLOOKUP($B95,'A1.3.9'!$B$26:$O$57,10,TRUE))))</f>
        <v>338.18665756821707</v>
      </c>
      <c r="AS95" s="691">
        <f>IF(AND(AK95="",AO95=""),"",IF(AK95="",0,(AK95*VLOOKUP($B95,'A1.3.9'!$B$26:$O$57,9,TRUE))) + IF(AO95="",0,(AO95*VLOOKUP($B95,'A1.3.9'!$B$26:$O$57,10,TRUE))))</f>
        <v>17.943238913787795</v>
      </c>
      <c r="AT95" s="691">
        <f>IF(AND(AL95="",AP95=""),"",IF(AL95="",0,(AL95*VLOOKUP($B95,'A1.3.9'!$B$26:$O$57,9,TRUE))) + IF(AP95="",0,(AP95*VLOOKUP($B95,'A1.3.9'!$B$26:$O$57,10,TRUE))))</f>
        <v>-0.12969384479506141</v>
      </c>
      <c r="AU95" s="2644">
        <f>IF(AND(AM95="",AQ95=""),"",IF(AM95="",0,(AM95*VLOOKUP($B95,'A1.3.9'!$B$26:$O$57,9,TRUE))) + IF(AQ95="",0,(AQ95*VLOOKUP($B95,'A1.3.9'!$B$26:$O$57,10,TRUE))))</f>
        <v>1.4164648793939813E-3</v>
      </c>
      <c r="AV95" s="693">
        <f>IF('A1.3.8'!D$32="","",IF(OR(VLOOKUP($B95,'A1.3.11'!$B$26:$AM$105,AV$22,)="",VLOOKUP($B95,'A1.3.7'!$B$28:$H$118,4,)=""),"",VLOOKUP($B95,'A1.3.11'!$B$26:$AM$105,AV$22,)*(VLOOKUP($B95,'A1.3.7'!$B$28:$O$118,4,)+VLOOKUP($B95,'A1.3.7'!$B$28:$O$118,9,))))</f>
        <v>710.61829112725252</v>
      </c>
      <c r="AW95" s="691">
        <f>IF('A1.3.8'!E$32="","",IF(OR(VLOOKUP($B95,'A1.3.11'!$B$26:$AM$105,AW$22,)="",VLOOKUP($B95,'A1.3.7'!$B$28:$H$118,4,)=""),"",VLOOKUP($B95,'A1.3.11'!$B$26:$AM$105,AW$22,)*(VLOOKUP($B95,'A1.3.7'!$B$28:$O$118,4,)+VLOOKUP($B95,'A1.3.7'!$B$28:$O$118,9,))))</f>
        <v>36.903667003955846</v>
      </c>
      <c r="AX95" s="691">
        <f>IF('A1.3.8'!F$32="","",IF(OR(VLOOKUP($B95,'A1.3.11'!$B$26:$AM$105,AX$22,)="",VLOOKUP($B95,'A1.3.7'!$B$28:$H$118,4,)=""),"",VLOOKUP($B95,'A1.3.11'!$B$26:$AM$105,AX$22,)*(VLOOKUP($B95,'A1.3.7'!$B$28:$O$118,4,)+VLOOKUP($B95,'A1.3.7'!$B$28:$O$118,9,))))</f>
        <v>-0.24450620756586625</v>
      </c>
      <c r="AY95" s="2644">
        <f>IF('A1.3.8'!G$32="","",IF(OR(VLOOKUP($B95,'A1.3.11'!$B$26:$AM$105,AY$22,)="",VLOOKUP($B95,'A1.3.7'!$B$28:$H$118,4,)=""),"",VLOOKUP($B95,'A1.3.11'!$B$26:$AM$105,AY$22,)*(VLOOKUP($B95,'A1.3.7'!$B$28:$O$118,4,)+VLOOKUP($B95,'A1.3.7'!$B$28:$O$118,9,))))</f>
        <v>1.4573586706619881E-3</v>
      </c>
      <c r="AZ95" s="693" t="str">
        <f>IF('A1.3.8'!D$39="","",IF(OR(VLOOKUP($B95,'A1.3.11'!$B$26:$AM$105,AZ$22,)="",VLOOKUP($B95,'A1.3.7'!$B$28:$H$118,6,)=""),"",VLOOKUP($B95,'A1.3.11'!$B$26:$AM$105,AZ$22,)*VLOOKUP($B95,'A1.3.7'!$B$28:$O$118,6,)))</f>
        <v/>
      </c>
      <c r="BA95" s="691" t="str">
        <f>IF('A1.3.8'!E$39="","",IF(OR(VLOOKUP($B95,'A1.3.11'!$B$26:$AM$105,BA$22,)="",VLOOKUP($B95,'A1.3.7'!$B$28:$H$118,6,)=""),"",VLOOKUP($B95,'A1.3.11'!$B$26:$AM$105,BA$22,)*VLOOKUP($B95,'A1.3.7'!$B$28:$O$118,6,)))</f>
        <v/>
      </c>
      <c r="BB95" s="691" t="str">
        <f>IF('A1.3.8'!F$39="","",IF(OR(VLOOKUP($B95,'A1.3.11'!$B$26:$AM$105,BB$22,)="",VLOOKUP($B95,'A1.3.7'!$B$28:$H$118,6,)=""),"",VLOOKUP($B95,'A1.3.11'!$B$26:$AM$105,BB$22,)*VLOOKUP($B95,'A1.3.7'!$B$28:$O$118,6,)))</f>
        <v/>
      </c>
      <c r="BC95" s="1664" t="str">
        <f>IF('A1.3.8'!G$39="","",IF(OR(VLOOKUP($B95,'A1.3.11'!$B$26:$AM$105,BC$22,)="",VLOOKUP($B95,'A1.3.7'!$B$28:$H$118,6,)=""),"",VLOOKUP($B95,'A1.3.11'!$B$26:$AM$105,BC$22,)*VLOOKUP($B95,'A1.3.7'!$B$28:$O$118,6,)))</f>
        <v/>
      </c>
      <c r="BD95" s="693">
        <f>IF(AND(AV95="",AZ95=""),"",IF(AV95="",0,(AV95*VLOOKUP($B95,'A1.3.9'!$B$26:$O$57,9,TRUE))) + IF(AZ95="",0,(AZ95*VLOOKUP($B95,'A1.3.9'!$B$26:$O$57,10,TRUE))))</f>
        <v>710.61829112725252</v>
      </c>
      <c r="BE95" s="691">
        <f>IF(AND(AW95="",BA95=""),"",IF(AW95="",0,(AW95*VLOOKUP($B95,'A1.3.9'!$B$26:$O$57,9,TRUE))) + IF(BA95="",0,(BA95*VLOOKUP($B95,'A1.3.9'!$B$26:$O$57,10,TRUE))))</f>
        <v>36.903667003955846</v>
      </c>
      <c r="BF95" s="691">
        <f>IF(AND(AX95="",BB95=""),"",IF(AX95="",0,(AX95*VLOOKUP($B95,'A1.3.9'!$B$26:$O$57,9,TRUE))) + IF(BB95="",0,(BB95*VLOOKUP($B95,'A1.3.9'!$B$26:$O$57,10,TRUE))))</f>
        <v>-0.24450620756586625</v>
      </c>
      <c r="BG95" s="2644">
        <f>IF(AND(AY95="",BC95=""),"",IF(AY95="",0,(AY95*VLOOKUP($B95,'A1.3.9'!$B$26:$O$57,9,TRUE))) + IF(BC95="",0,(BC95*VLOOKUP($B95,'A1.3.9'!$B$26:$O$57,10,TRUE))))</f>
        <v>1.4573586706619881E-3</v>
      </c>
      <c r="BH95" s="693">
        <f>IF('A1.3.8'!D$33="","",IF(OR(VLOOKUP($B95,'A1.3.11'!$B$26:$AM$105,BH$22,)="",VLOOKUP($B95,'A1.3.7'!$B$28:$H$118,4,)=""),"",VLOOKUP($B95,'A1.3.11'!$B$26:$AM$105,BH$22,)*(VLOOKUP($B95,'A1.3.7'!$B$28:$O$118,4,)+VLOOKUP($B95,'A1.3.7'!$B$28:$O$118,9,))))</f>
        <v>421.45784699805955</v>
      </c>
      <c r="BI95" s="691">
        <f>IF('A1.3.8'!E$33="","",IF(OR(VLOOKUP($B95,'A1.3.11'!$B$26:$AM$105,BI$22,)="",VLOOKUP($B95,'A1.3.7'!$B$28:$H$118,4,)=""),"",VLOOKUP($B95,'A1.3.11'!$B$26:$AM$105,BI$22,)*(VLOOKUP($B95,'A1.3.7'!$B$28:$O$118,4,)+VLOOKUP($B95,'A1.3.7'!$B$28:$O$118,9,))))</f>
        <v>37.032215887109466</v>
      </c>
      <c r="BJ95" s="691">
        <f>IF('A1.3.8'!F$33="","",IF(OR(VLOOKUP($B95,'A1.3.11'!$B$26:$AM$105,BJ$22,)="",VLOOKUP($B95,'A1.3.7'!$B$28:$H$118,4,)=""),"",VLOOKUP($B95,'A1.3.11'!$B$26:$AM$105,BJ$22,)*(VLOOKUP($B95,'A1.3.7'!$B$28:$O$118,4,)+VLOOKUP($B95,'A1.3.7'!$B$28:$O$118,9,))))</f>
        <v>-0.40250718015062509</v>
      </c>
      <c r="BK95" s="2644">
        <f>IF('A1.3.8'!G$33="","",IF(OR(VLOOKUP($B95,'A1.3.11'!$B$26:$AM$105,BK$22,)="",VLOOKUP($B95,'A1.3.7'!$B$28:$H$118,4,)=""),"",VLOOKUP($B95,'A1.3.11'!$B$26:$AM$105,BK$22,)*(VLOOKUP($B95,'A1.3.7'!$B$28:$O$118,4,)+VLOOKUP($B95,'A1.3.7'!$B$28:$O$118,9,))))</f>
        <v>2.9525546913525117E-3</v>
      </c>
      <c r="BL95" s="693" t="str">
        <f>IF('A1.3.8'!D$40="","",IF(OR(VLOOKUP($B95,'A1.3.11'!$B$26:$AM$105,BL$22,)="",VLOOKUP($B95,'A1.3.7'!$B$28:$H$118,6,)=""),"",VLOOKUP($B95,'A1.3.11'!$B$26:$AM$105,BL$22,)*VLOOKUP($B95,'A1.3.7'!$B$28:$O$118,6,)))</f>
        <v/>
      </c>
      <c r="BM95" s="691" t="str">
        <f>IF('A1.3.8'!E$40="","",IF(OR(VLOOKUP($B95,'A1.3.11'!$B$26:$AM$105,BM$22,)="",VLOOKUP($B95,'A1.3.7'!$B$28:$H$118,6,)=""),"",VLOOKUP($B95,'A1.3.11'!$B$26:$AM$105,BM$22,)*VLOOKUP($B95,'A1.3.7'!$B$28:$O$118,6,)))</f>
        <v/>
      </c>
      <c r="BN95" s="691" t="str">
        <f>IF('A1.3.8'!F$40="","",IF(OR(VLOOKUP($B95,'A1.3.11'!$B$26:$AM$105,BN$22,)="",VLOOKUP($B95,'A1.3.7'!$B$28:$H$118,6,)=""),"",VLOOKUP($B95,'A1.3.11'!$B$26:$AM$105,BN$22,)*VLOOKUP($B95,'A1.3.7'!$B$28:$O$118,6,)))</f>
        <v/>
      </c>
      <c r="BO95" s="1664" t="str">
        <f>IF('A1.3.8'!G$40="","",IF(OR(VLOOKUP($B95,'A1.3.11'!$B$26:$AM$105,BO$22,)="",VLOOKUP($B95,'A1.3.7'!$B$28:$H$118,6,)=""),"",VLOOKUP($B95,'A1.3.11'!$B$26:$AM$105,BO$22,)*VLOOKUP($B95,'A1.3.7'!$B$28:$O$118,6,)))</f>
        <v/>
      </c>
      <c r="BP95" s="693">
        <f>IF(AND(BH95="",BL95=""),"",IF(BH95="",0,(BH95*VLOOKUP($B95,'A1.3.9'!$B$26:$O$57,9,TRUE))) + IF(BL95="",0,(BL95*VLOOKUP($B95,'A1.3.9'!$B$26:$O$57,10,TRUE))))</f>
        <v>421.45784699805955</v>
      </c>
      <c r="BQ95" s="691">
        <f>IF(AND(BI95="",BM95=""),"",IF(BI95="",0,(BI95*VLOOKUP($B95,'A1.3.9'!$B$26:$O$57,9,TRUE))) + IF(BM95="",0,(BM95*VLOOKUP($B95,'A1.3.9'!$B$26:$O$57,10,TRUE))))</f>
        <v>37.032215887109466</v>
      </c>
      <c r="BR95" s="691">
        <f>IF(AND(BJ95="",BN95=""),"",IF(BJ95="",0,(BJ95*VLOOKUP($B95,'A1.3.9'!$B$26:$O$57,9,TRUE))) + IF(BN95="",0,(BN95*VLOOKUP($B95,'A1.3.9'!$B$26:$O$57,10,TRUE))))</f>
        <v>-0.40250718015062509</v>
      </c>
      <c r="BS95" s="2644">
        <f>IF(AND(BK95="",BO95=""),"",IF(BK95="",0,(BK95*VLOOKUP($B95,'A1.3.9'!$B$26:$O$57,9,TRUE))) + IF(BO95="",0,(BO95*VLOOKUP($B95,'A1.3.9'!$B$26:$O$57,10,TRUE))))</f>
        <v>2.9525546913525117E-3</v>
      </c>
    </row>
    <row r="96" spans="1:71" ht="13.5" customHeight="1">
      <c r="A96" s="113"/>
      <c r="B96" s="614">
        <f t="shared" si="1"/>
        <v>2079</v>
      </c>
      <c r="C96" s="147"/>
      <c r="D96" s="693">
        <f>IF('A1.3.8'!D$27="","",IF(OR(VLOOKUP($B96,'A1.3.11'!$B$26:$AM$105,D$22,)="",VLOOKUP($B96,'A1.3.7'!$B$28:$H$118,3,)=""),"",VLOOKUP($B96,'A1.3.11'!$B$26:$AM$105,D$22,)*(VLOOKUP($B96,'A1.3.7'!$B$28:$O$118,3,)+VLOOKUP($B96,'A1.3.7'!$B$28:$O$118,8,))))</f>
        <v>39.685679362180203</v>
      </c>
      <c r="E96" s="691">
        <f>IF('A1.3.8'!E$27="","",IF(OR(VLOOKUP($B96,'A1.3.11'!$B$26:$AM$105,E$22,)="",VLOOKUP($B96,'A1.3.7'!$B$28:$H$118,3,)=""),"",VLOOKUP($B96,'A1.3.11'!$B$26:$AM$105,E$22,)*(VLOOKUP($B96,'A1.3.7'!$B$28:$O$118,3,)+VLOOKUP($B96,'A1.3.7'!$B$28:$O$118,8,))))</f>
        <v>8.4338506022254425</v>
      </c>
      <c r="F96" s="691">
        <f>IF('A1.3.8'!F$27="","",IF(OR(VLOOKUP($B96,'A1.3.11'!$B$26:$AM$105,F$22,)="",VLOOKUP($B96,'A1.3.7'!$B$28:$H$118,3,)=""),"",VLOOKUP($B96,'A1.3.11'!$B$26:$AM$105,F$22,)*(VLOOKUP($B96,'A1.3.7'!$B$28:$O$118,3,)+VLOOKUP($B96,'A1.3.7'!$B$28:$O$118,8,))))</f>
        <v>-9.6071559942112264E-2</v>
      </c>
      <c r="G96" s="2644">
        <f>IF('A1.3.8'!G$27="","",IF(OR(VLOOKUP($B96,'A1.3.11'!$B$26:$AM$105,G$22,)="",VLOOKUP($B96,'A1.3.7'!$B$28:$H$118,3,)=""),"",VLOOKUP($B96,'A1.3.11'!$B$26:$AM$105,G$22,)*(VLOOKUP($B96,'A1.3.7'!$B$28:$O$118,3,)+VLOOKUP($B96,'A1.3.7'!$B$28:$O$118,8,))))</f>
        <v>6.3627421144861235E-4</v>
      </c>
      <c r="H96" s="693">
        <f>IF('A1.3.8'!D$28="","",IF(OR(VLOOKUP($B96,'A1.3.11'!$B$26:$AM$105,H$22,)="",VLOOKUP($B96,'A1.3.7'!$B$28:$H$118,4,)=""),"",VLOOKUP($B96,'A1.3.11'!$B$26:$AM$105,H$22,)*(VLOOKUP($B96,'A1.3.7'!$B$28:$O$118,4,)+VLOOKUP($B96,'A1.3.7'!$B$28:$O$118,9,))))</f>
        <v>48.784822768959877</v>
      </c>
      <c r="I96" s="691">
        <f>IF('A1.3.8'!E$28="","",IF(OR(VLOOKUP($B96,'A1.3.11'!$B$26:$AM$105,I$22,)="",VLOOKUP($B96,'A1.3.7'!$B$28:$H$118,4,)=""),"",VLOOKUP($B96,'A1.3.11'!$B$26:$AM$105,I$22,)*(VLOOKUP($B96,'A1.3.7'!$B$28:$O$118,4,)+VLOOKUP($B96,'A1.3.7'!$B$28:$O$118,9,))))</f>
        <v>6.994537137773408</v>
      </c>
      <c r="J96" s="691">
        <f>IF('A1.3.8'!F$28="","",IF(OR(VLOOKUP($B96,'A1.3.11'!$B$26:$AM$105,J$22,)="",VLOOKUP($B96,'A1.3.7'!$B$28:$H$118,4,)=""),"",VLOOKUP($B96,'A1.3.11'!$B$26:$AM$105,J$22,)*(VLOOKUP($B96,'A1.3.7'!$B$28:$O$118,4,)+VLOOKUP($B96,'A1.3.7'!$B$28:$O$118,9,))))</f>
        <v>-6.7289395808247818E-2</v>
      </c>
      <c r="K96" s="2644">
        <f>IF('A1.3.8'!G$28="","",IF(OR(VLOOKUP($B96,'A1.3.11'!$B$26:$AM$105,K$22,)="",VLOOKUP($B96,'A1.3.7'!$B$28:$H$118,4,)=""),"",VLOOKUP($B96,'A1.3.11'!$B$26:$AM$105,K$22,)*(VLOOKUP($B96,'A1.3.7'!$B$28:$O$118,4,)+VLOOKUP($B96,'A1.3.7'!$B$28:$O$118,9,))))</f>
        <v>5.3024381492835636E-4</v>
      </c>
      <c r="L96" s="693" t="str">
        <f>IF('A1.3.8'!D$36="","",IF(OR(VLOOKUP($B96,'A1.3.11'!$B$26:$AM$105,L$22,)="",VLOOKUP($B96,'A1.3.7'!$B$28:$H$118,6,)=""),"",VLOOKUP($B96,'A1.3.11'!$B$26:$AM$105,L$22,)*VLOOKUP($B96,'A1.3.7'!$B$28:$O$118,6,)))</f>
        <v/>
      </c>
      <c r="M96" s="691">
        <f>IF('A1.3.8'!E$36="","",IF(OR(VLOOKUP($B96,'A1.3.11'!$B$26:$AM$105,M$22,)="",VLOOKUP($B96,'A1.3.7'!$B$28:$H$118,6,)=""),"",VLOOKUP($B96,'A1.3.11'!$B$26:$AM$105,M$22,)*VLOOKUP($B96,'A1.3.7'!$B$28:$O$118,6,)))</f>
        <v>1.9637608285706969</v>
      </c>
      <c r="N96" s="691" t="str">
        <f>IF('A1.3.8'!F$36="","",IF(OR(VLOOKUP($B96,'A1.3.11'!$B$26:$AM$105,N$22,)="",VLOOKUP($B96,'A1.3.7'!$B$28:$H$118,6,)=""),"",VLOOKUP($B96,'A1.3.11'!$B$26:$AM$105,N$22,)*VLOOKUP($B96,'A1.3.7'!$B$28:$O$118,6,)))</f>
        <v/>
      </c>
      <c r="O96" s="1664" t="str">
        <f>IF('A1.3.8'!G$36="","",IF(OR(VLOOKUP($B96,'A1.3.11'!$B$26:$AM$105,O$22,)="",VLOOKUP($B96,'A1.3.7'!$B$28:$H$118,6,)=""),"",VLOOKUP($B96,'A1.3.11'!$B$26:$AM$105,O$22,)*VLOOKUP($B96,'A1.3.7'!$B$28:$O$118,6,)))</f>
        <v/>
      </c>
      <c r="P96" s="693">
        <f>IF(AND(D96="",H96="",L96=""),"",IF(D96="",0,(D96*VLOOKUP($B96,'A1.3.9'!$B$26:$O$57,3,TRUE)))+IF(H96="",0,(H96*VLOOKUP($B96,'A1.3.9'!$B$26:$O$57,4,TRUE)))+IF(L96="",0,(L96*VLOOKUP($B96,'A1.3.9'!$B$26:$O$57,5,TRUE))))</f>
        <v>32.872202593443618</v>
      </c>
      <c r="Q96" s="691">
        <f>IF(AND(E96="",I96="",M96=""),"",IF(E96="",0,(E96*VLOOKUP($B96,'A1.3.9'!$B$26:$O$57,3,TRUE)))+IF(I96="",0,(I96*VLOOKUP($B96,'A1.3.9'!$B$26:$O$57,4,TRUE)))+IF(M96="",0,(M96*VLOOKUP($B96,'A1.3.9'!$B$26:$O$57,5,TRUE))))</f>
        <v>6.4211400366245162</v>
      </c>
      <c r="R96" s="691">
        <f>IF(AND(F96="",J96="",N96=""),"",IF(F96="",0,(F96*VLOOKUP($B96,'A1.3.9'!$B$26:$O$57,3,TRUE)))+IF(J96="",0,(J96*VLOOKUP($B96,'A1.3.9'!$B$26:$O$57,4,TRUE)))+IF(N96="",0,(N96*VLOOKUP($B96,'A1.3.9'!$B$26:$O$57,5,TRUE))))</f>
        <v>-6.3899045856949777E-2</v>
      </c>
      <c r="S96" s="2644">
        <f>IF(AND(G96="",K96="",O96=""),"",IF(G96="",0,(G96*VLOOKUP($B96,'A1.3.9'!$B$26:$O$57,3,TRUE)))+IF(K96="",0,(K96*VLOOKUP($B96,'A1.3.9'!$B$26:$O$57,4,TRUE)))+IF(O96="",0,(O96*VLOOKUP($B96,'A1.3.9'!$B$26:$O$57,5,TRUE))))</f>
        <v>4.4930080497931516E-4</v>
      </c>
      <c r="T96" s="693">
        <f>IF('A1.3.8'!D$29="","",IF(OR(VLOOKUP($B96,'A1.3.11'!$B$26:$AM$105,T$22,)="",VLOOKUP($B96,'A1.3.7'!$B$28:$H$118,3,)=""),"",VLOOKUP($B96,'A1.3.11'!$B$26:$AM$105,T$22,)*(VLOOKUP($B96,'A1.3.7'!$B$28:$O$118,3,)+VLOOKUP($B96,'A1.3.7'!$B$28:$O$118,8,))))</f>
        <v>28.547221554821505</v>
      </c>
      <c r="U96" s="691">
        <f>IF('A1.3.8'!E$29="","",IF(OR(VLOOKUP($B96,'A1.3.11'!$B$26:$AM$105,U$22,)="",VLOOKUP($B96,'A1.3.7'!$B$28:$H$118,3,)=""),"",VLOOKUP($B96,'A1.3.11'!$B$26:$AM$105,U$22,)*(VLOOKUP($B96,'A1.3.7'!$B$28:$O$118,3,)+VLOOKUP($B96,'A1.3.7'!$B$28:$O$118,8,))))</f>
        <v>16.007629351671049</v>
      </c>
      <c r="V96" s="691">
        <f>IF('A1.3.8'!F$29="","",IF(OR(VLOOKUP($B96,'A1.3.11'!$B$26:$AM$105,V$22,)="",VLOOKUP($B96,'A1.3.7'!$B$28:$H$118,3,)=""),"",VLOOKUP($B96,'A1.3.11'!$B$26:$AM$105,V$22,)*(VLOOKUP($B96,'A1.3.7'!$B$28:$O$118,3,)+VLOOKUP($B96,'A1.3.7'!$B$28:$O$118,8,))))</f>
        <v>-0.25126723746566793</v>
      </c>
      <c r="W96" s="2644">
        <f>IF('A1.3.8'!G$29="","",IF(OR(VLOOKUP($B96,'A1.3.11'!$B$26:$AM$105,W$22,)="",VLOOKUP($B96,'A1.3.7'!$B$28:$H$118,3,)=""),"",VLOOKUP($B96,'A1.3.11'!$B$26:$AM$105,W$22,)*(VLOOKUP($B96,'A1.3.7'!$B$28:$O$118,3,)+VLOOKUP($B96,'A1.3.7'!$B$28:$O$118,8,))))</f>
        <v>1.6226932099981919E-3</v>
      </c>
      <c r="X96" s="693">
        <f>IF('A1.3.8'!D$30="","",IF(OR(VLOOKUP($B96,'A1.3.11'!$B$26:$AM$105,X$22,)="",VLOOKUP($B96,'A1.3.7'!$B$28:$H$118,4,)=""),"",VLOOKUP($B96,'A1.3.11'!$B$26:$AM$105,X$22,)*(VLOOKUP($B96,'A1.3.7'!$B$28:$O$118,4,)+VLOOKUP($B96,'A1.3.7'!$B$28:$O$118,9,))))</f>
        <v>50.243634473757346</v>
      </c>
      <c r="Y96" s="691">
        <f>IF('A1.3.8'!E$30="","",IF(OR(VLOOKUP($B96,'A1.3.11'!$B$26:$AM$105,Y$22,)="",VLOOKUP($B96,'A1.3.7'!$B$28:$H$118,4,)=""),"",VLOOKUP($B96,'A1.3.11'!$B$26:$AM$105,Y$22,)*(VLOOKUP($B96,'A1.3.7'!$B$28:$O$118,4,)+VLOOKUP($B96,'A1.3.7'!$B$28:$O$118,9,))))</f>
        <v>12.27974902486395</v>
      </c>
      <c r="Z96" s="691">
        <f>IF('A1.3.8'!F$30="","",IF(OR(VLOOKUP($B96,'A1.3.11'!$B$26:$AM$105,Z$22,)="",VLOOKUP($B96,'A1.3.7'!$B$28:$H$118,4,)=""),"",VLOOKUP($B96,'A1.3.11'!$B$26:$AM$105,Z$22,)*(VLOOKUP($B96,'A1.3.7'!$B$28:$O$118,4,)+VLOOKUP($B96,'A1.3.7'!$B$28:$O$118,9,))))</f>
        <v>-0.17715769742744175</v>
      </c>
      <c r="AA96" s="2644">
        <f>IF('A1.3.8'!G$30="","",IF(OR(VLOOKUP($B96,'A1.3.11'!$B$26:$AM$105,AA$22,)="",VLOOKUP($B96,'A1.3.7'!$B$28:$H$118,4,)=""),"",VLOOKUP($B96,'A1.3.11'!$B$26:$AM$105,AA$22,)*(VLOOKUP($B96,'A1.3.7'!$B$28:$O$118,4,)+VLOOKUP($B96,'A1.3.7'!$B$28:$O$118,9,))))</f>
        <v>1.4998232434039862E-3</v>
      </c>
      <c r="AB96" s="693" t="str">
        <f>IF('A1.3.8'!D$37="","",IF(OR(VLOOKUP($B96,'A1.3.11'!$B$26:$AM$105,AB$22,)="",VLOOKUP($B96,'A1.3.7'!$B$28:$H$118,6,)=""),"",VLOOKUP($B96,'A1.3.11'!$B$26:$AM$105,AB$22,)*VLOOKUP($B96,'A1.3.7'!$B$28:$O$118,6,)))</f>
        <v/>
      </c>
      <c r="AC96" s="691">
        <f>IF('A1.3.8'!E$37="","",IF(OR(VLOOKUP($B96,'A1.3.11'!$B$26:$AM$105,AC$22,)="",VLOOKUP($B96,'A1.3.7'!$B$28:$H$118,6,)=""),"",VLOOKUP($B96,'A1.3.11'!$B$26:$AM$105,AC$22,)*VLOOKUP($B96,'A1.3.7'!$B$28:$O$118,6,)))</f>
        <v>4.5145632825273854</v>
      </c>
      <c r="AD96" s="691" t="str">
        <f>IF('A1.3.8'!F$37="","",IF(OR(VLOOKUP($B96,'A1.3.11'!$B$26:$AM$105,AD$22,)="",VLOOKUP($B96,'A1.3.7'!$B$28:$H$118,6,)=""),"",VLOOKUP($B96,'A1.3.11'!$B$26:$AM$105,AD$22,)*VLOOKUP($B96,'A1.3.7'!$B$28:$O$118,6,)))</f>
        <v/>
      </c>
      <c r="AE96" s="1664" t="str">
        <f>IF('A1.3.8'!G$37="","",IF(OR(VLOOKUP($B96,'A1.3.11'!$B$26:$AM$105,AE$22,)="",VLOOKUP($B96,'A1.3.7'!$B$28:$H$118,6,)=""),"",VLOOKUP($B96,'A1.3.11'!$B$26:$AM$105,AE$22,)*VLOOKUP($B96,'A1.3.7'!$B$28:$O$118,6,)))</f>
        <v/>
      </c>
      <c r="AF96" s="693">
        <f>IF(AND(T96="",X96="",AB96=""),"",IF(T96="",0,(T96*VLOOKUP('A1.3.12'!$B96,'A1.3.9'!$B$26:$O$57,6,TRUE))) + IF(X96="",0,(X96*VLOOKUP('A1.3.12'!$B96,'A1.3.9'!$B$26:$O$57,7,TRUE))) + IF(AB96="",0,(AB96*VLOOKUP('A1.3.12'!$B96,'A1.3.9'!$B$26:$O$57,8,TRUE))))</f>
        <v>44.581424770215747</v>
      </c>
      <c r="AG96" s="691">
        <f>IF(AND(U96="",Y96="",AC96=""),"",IF(U96="",0,(U96*VLOOKUP('A1.3.12'!$B96,'A1.3.9'!$B$26:$O$57,6,TRUE))) + IF(Y96="",0,(Y96*VLOOKUP('A1.3.12'!$B96,'A1.3.9'!$B$26:$O$57,7,TRUE))) + IF(AC96="",0,(AC96*VLOOKUP('A1.3.12'!$B96,'A1.3.9'!$B$26:$O$57,8,TRUE))))</f>
        <v>11.458335134150877</v>
      </c>
      <c r="AH96" s="691">
        <f>IF(AND(V96="",Z96="",AD96=""),"",IF(V96="",0,(V96*VLOOKUP('A1.3.12'!$B96,'A1.3.9'!$B$26:$O$57,6,TRUE))) + IF(Z96="",0,(Z96*VLOOKUP('A1.3.12'!$B96,'A1.3.9'!$B$26:$O$57,7,TRUE))) + IF(AD96="",0,(AD96*VLOOKUP('A1.3.12'!$B96,'A1.3.9'!$B$26:$O$57,8,TRUE))))</f>
        <v>-0.1583347325917806</v>
      </c>
      <c r="AI96" s="2644">
        <f>IF(AND(W96="",AA96="",AE96=""),"",IF(W96="",0,(W96*VLOOKUP('A1.3.12'!$B96,'A1.3.9'!$B$26:$O$57,6,TRUE))) + IF(AA96="",0,(AA96*VLOOKUP('A1.3.12'!$B96,'A1.3.9'!$B$26:$O$57,7,TRUE))) + IF(AE96="",0,(AE96*VLOOKUP('A1.3.12'!$B96,'A1.3.9'!$B$26:$O$57,8,TRUE))))</f>
        <v>1.3366422335219096E-3</v>
      </c>
      <c r="AJ96" s="693">
        <f>IF('A1.3.8'!D$31="","",IF(OR(VLOOKUP($B96,'A1.3.11'!$B$26:$AM$105,AJ$22,)="",VLOOKUP($B96,'A1.3.7'!$B$28:$H$118,4,)=""),"",VLOOKUP($B96,'A1.3.11'!$B$26:$AM$105,AJ$22,)*(VLOOKUP($B96,'A1.3.7'!$B$28:$O$118,4,)+VLOOKUP($B96,'A1.3.7'!$B$28:$O$118,9,))))</f>
        <v>339.64509960693073</v>
      </c>
      <c r="AK96" s="691">
        <f>IF('A1.3.8'!E$31="","",IF(OR(VLOOKUP($B96,'A1.3.11'!$B$26:$AM$105,AK$22,)="",VLOOKUP($B96,'A1.3.7'!$B$28:$H$118,4,)=""),"",VLOOKUP($B96,'A1.3.11'!$B$26:$AM$105,AK$22,)*(VLOOKUP($B96,'A1.3.7'!$B$28:$O$118,4,)+VLOOKUP($B96,'A1.3.7'!$B$28:$O$118,9,))))</f>
        <v>18.020619772425817</v>
      </c>
      <c r="AL96" s="691">
        <f>IF('A1.3.8'!F$31="","",IF(OR(VLOOKUP($B96,'A1.3.11'!$B$26:$AM$105,AL$22,)="",VLOOKUP($B96,'A1.3.7'!$B$28:$H$118,4,)=""),"",VLOOKUP($B96,'A1.3.11'!$B$26:$AM$105,AL$22,)*(VLOOKUP($B96,'A1.3.7'!$B$28:$O$118,4,)+VLOOKUP($B96,'A1.3.7'!$B$28:$O$118,9,))))</f>
        <v>-0.13025315413260782</v>
      </c>
      <c r="AM96" s="2644">
        <f>IF('A1.3.8'!G$31="","",IF(OR(VLOOKUP($B96,'A1.3.11'!$B$26:$AM$105,AM$22,)="",VLOOKUP($B96,'A1.3.7'!$B$28:$H$118,4,)=""),"",VLOOKUP($B96,'A1.3.11'!$B$26:$AM$105,AM$22,)*(VLOOKUP($B96,'A1.3.7'!$B$28:$O$118,4,)+VLOOKUP($B96,'A1.3.7'!$B$28:$O$118,9,))))</f>
        <v>1.4225734347737952E-3</v>
      </c>
      <c r="AN96" s="693" t="str">
        <f>IF('A1.3.8'!D$38="","",IF(OR(VLOOKUP($B96,'A1.3.11'!$B$26:$AM$105,AN$22,)="",VLOOKUP($B96,'A1.3.7'!$B$28:$H$118,6,)=""),"",VLOOKUP($B96,'A1.3.11'!$B$26:$AM$105,AN$22,)*VLOOKUP($B96,'A1.3.7'!$B$28:$O$118,6,)))</f>
        <v/>
      </c>
      <c r="AO96" s="691" t="str">
        <f>IF('A1.3.8'!E$38="","",IF(OR(VLOOKUP($B96,'A1.3.11'!$B$26:$AM$105,AO$22,)="",VLOOKUP($B96,'A1.3.7'!$B$28:$H$118,6,)=""),"",VLOOKUP($B96,'A1.3.11'!$B$26:$AM$105,AO$22,)*VLOOKUP($B96,'A1.3.7'!$B$28:$O$118,6,)))</f>
        <v/>
      </c>
      <c r="AP96" s="691" t="str">
        <f>IF('A1.3.8'!F$38="","",IF(OR(VLOOKUP($B96,'A1.3.11'!$B$26:$AM$105,AP$22,)="",VLOOKUP($B96,'A1.3.7'!$B$28:$H$118,6,)=""),"",VLOOKUP($B96,'A1.3.11'!$B$26:$AM$105,AP$22,)*VLOOKUP($B96,'A1.3.7'!$B$28:$O$118,6,)))</f>
        <v/>
      </c>
      <c r="AQ96" s="1664" t="str">
        <f>IF('A1.3.8'!G$38="","",IF(OR(VLOOKUP($B96,'A1.3.11'!$B$26:$AM$105,AQ$22,)="",VLOOKUP($B96,'A1.3.7'!$B$28:$H$118,6,)=""),"",VLOOKUP($B96,'A1.3.11'!$B$26:$AM$105,AQ$22,)*VLOOKUP($B96,'A1.3.7'!$B$28:$O$118,6,)))</f>
        <v/>
      </c>
      <c r="AR96" s="693">
        <f>IF(AND(AJ96="",AN96=""),"",IF(AJ96="",0,(AJ96*VLOOKUP($B96,'A1.3.9'!$B$26:$O$57,9,TRUE))) + IF(AN96="",0,(AN96*VLOOKUP($B96,'A1.3.9'!$B$26:$O$57,10,TRUE))))</f>
        <v>339.64509960693073</v>
      </c>
      <c r="AS96" s="691">
        <f>IF(AND(AK96="",AO96=""),"",IF(AK96="",0,(AK96*VLOOKUP($B96,'A1.3.9'!$B$26:$O$57,9,TRUE))) + IF(AO96="",0,(AO96*VLOOKUP($B96,'A1.3.9'!$B$26:$O$57,10,TRUE))))</f>
        <v>18.020619772425817</v>
      </c>
      <c r="AT96" s="691">
        <f>IF(AND(AL96="",AP96=""),"",IF(AL96="",0,(AL96*VLOOKUP($B96,'A1.3.9'!$B$26:$O$57,9,TRUE))) + IF(AP96="",0,(AP96*VLOOKUP($B96,'A1.3.9'!$B$26:$O$57,10,TRUE))))</f>
        <v>-0.13025315413260782</v>
      </c>
      <c r="AU96" s="2644">
        <f>IF(AND(AM96="",AQ96=""),"",IF(AM96="",0,(AM96*VLOOKUP($B96,'A1.3.9'!$B$26:$O$57,9,TRUE))) + IF(AQ96="",0,(AQ96*VLOOKUP($B96,'A1.3.9'!$B$26:$O$57,10,TRUE))))</f>
        <v>1.4225734347737952E-3</v>
      </c>
      <c r="AV96" s="693">
        <f>IF('A1.3.8'!D$32="","",IF(OR(VLOOKUP($B96,'A1.3.11'!$B$26:$AM$105,AV$22,)="",VLOOKUP($B96,'A1.3.7'!$B$28:$H$118,4,)=""),"",VLOOKUP($B96,'A1.3.11'!$B$26:$AM$105,AV$22,)*(VLOOKUP($B96,'A1.3.7'!$B$28:$O$118,4,)+VLOOKUP($B96,'A1.3.7'!$B$28:$O$118,9,))))</f>
        <v>713.68285788666049</v>
      </c>
      <c r="AW96" s="691">
        <f>IF('A1.3.8'!E$32="","",IF(OR(VLOOKUP($B96,'A1.3.11'!$B$26:$AM$105,AW$22,)="",VLOOKUP($B96,'A1.3.7'!$B$28:$H$118,4,)=""),"",VLOOKUP($B96,'A1.3.11'!$B$26:$AM$105,AW$22,)*(VLOOKUP($B96,'A1.3.7'!$B$28:$O$118,4,)+VLOOKUP($B96,'A1.3.7'!$B$28:$O$118,9,))))</f>
        <v>37.062815385882779</v>
      </c>
      <c r="AX96" s="691">
        <f>IF('A1.3.8'!F$32="","",IF(OR(VLOOKUP($B96,'A1.3.11'!$B$26:$AM$105,AX$22,)="",VLOOKUP($B96,'A1.3.7'!$B$28:$H$118,4,)=""),"",VLOOKUP($B96,'A1.3.11'!$B$26:$AM$105,AX$22,)*(VLOOKUP($B96,'A1.3.7'!$B$28:$O$118,4,)+VLOOKUP($B96,'A1.3.7'!$B$28:$O$118,9,))))</f>
        <v>-0.24556064931825436</v>
      </c>
      <c r="AY96" s="2644">
        <f>IF('A1.3.8'!G$32="","",IF(OR(VLOOKUP($B96,'A1.3.11'!$B$26:$AM$105,AY$22,)="",VLOOKUP($B96,'A1.3.7'!$B$28:$H$118,4,)=""),"",VLOOKUP($B96,'A1.3.11'!$B$26:$AM$105,AY$22,)*(VLOOKUP($B96,'A1.3.7'!$B$28:$O$118,4,)+VLOOKUP($B96,'A1.3.7'!$B$28:$O$118,9,))))</f>
        <v>1.4636435819771205E-3</v>
      </c>
      <c r="AZ96" s="693" t="str">
        <f>IF('A1.3.8'!D$39="","",IF(OR(VLOOKUP($B96,'A1.3.11'!$B$26:$AM$105,AZ$22,)="",VLOOKUP($B96,'A1.3.7'!$B$28:$H$118,6,)=""),"",VLOOKUP($B96,'A1.3.11'!$B$26:$AM$105,AZ$22,)*VLOOKUP($B96,'A1.3.7'!$B$28:$O$118,6,)))</f>
        <v/>
      </c>
      <c r="BA96" s="691" t="str">
        <f>IF('A1.3.8'!E$39="","",IF(OR(VLOOKUP($B96,'A1.3.11'!$B$26:$AM$105,BA$22,)="",VLOOKUP($B96,'A1.3.7'!$B$28:$H$118,6,)=""),"",VLOOKUP($B96,'A1.3.11'!$B$26:$AM$105,BA$22,)*VLOOKUP($B96,'A1.3.7'!$B$28:$O$118,6,)))</f>
        <v/>
      </c>
      <c r="BB96" s="691" t="str">
        <f>IF('A1.3.8'!F$39="","",IF(OR(VLOOKUP($B96,'A1.3.11'!$B$26:$AM$105,BB$22,)="",VLOOKUP($B96,'A1.3.7'!$B$28:$H$118,6,)=""),"",VLOOKUP($B96,'A1.3.11'!$B$26:$AM$105,BB$22,)*VLOOKUP($B96,'A1.3.7'!$B$28:$O$118,6,)))</f>
        <v/>
      </c>
      <c r="BC96" s="1664" t="str">
        <f>IF('A1.3.8'!G$39="","",IF(OR(VLOOKUP($B96,'A1.3.11'!$B$26:$AM$105,BC$22,)="",VLOOKUP($B96,'A1.3.7'!$B$28:$H$118,6,)=""),"",VLOOKUP($B96,'A1.3.11'!$B$26:$AM$105,BC$22,)*VLOOKUP($B96,'A1.3.7'!$B$28:$O$118,6,)))</f>
        <v/>
      </c>
      <c r="BD96" s="693">
        <f>IF(AND(AV96="",AZ96=""),"",IF(AV96="",0,(AV96*VLOOKUP($B96,'A1.3.9'!$B$26:$O$57,9,TRUE))) + IF(AZ96="",0,(AZ96*VLOOKUP($B96,'A1.3.9'!$B$26:$O$57,10,TRUE))))</f>
        <v>713.68285788666049</v>
      </c>
      <c r="BE96" s="691">
        <f>IF(AND(AW96="",BA96=""),"",IF(AW96="",0,(AW96*VLOOKUP($B96,'A1.3.9'!$B$26:$O$57,9,TRUE))) + IF(BA96="",0,(BA96*VLOOKUP($B96,'A1.3.9'!$B$26:$O$57,10,TRUE))))</f>
        <v>37.062815385882779</v>
      </c>
      <c r="BF96" s="691">
        <f>IF(AND(AX96="",BB96=""),"",IF(AX96="",0,(AX96*VLOOKUP($B96,'A1.3.9'!$B$26:$O$57,9,TRUE))) + IF(BB96="",0,(BB96*VLOOKUP($B96,'A1.3.9'!$B$26:$O$57,10,TRUE))))</f>
        <v>-0.24556064931825436</v>
      </c>
      <c r="BG96" s="2644">
        <f>IF(AND(AY96="",BC96=""),"",IF(AY96="",0,(AY96*VLOOKUP($B96,'A1.3.9'!$B$26:$O$57,9,TRUE))) + IF(BC96="",0,(BC96*VLOOKUP($B96,'A1.3.9'!$B$26:$O$57,10,TRUE))))</f>
        <v>1.4636435819771205E-3</v>
      </c>
      <c r="BH96" s="693">
        <f>IF('A1.3.8'!D$33="","",IF(OR(VLOOKUP($B96,'A1.3.11'!$B$26:$AM$105,BH$22,)="",VLOOKUP($B96,'A1.3.7'!$B$28:$H$118,4,)=""),"",VLOOKUP($B96,'A1.3.11'!$B$26:$AM$105,BH$22,)*(VLOOKUP($B96,'A1.3.7'!$B$28:$O$118,4,)+VLOOKUP($B96,'A1.3.7'!$B$28:$O$118,9,))))</f>
        <v>423.27539901512495</v>
      </c>
      <c r="BI96" s="691">
        <f>IF('A1.3.8'!E$33="","",IF(OR(VLOOKUP($B96,'A1.3.11'!$B$26:$AM$105,BI$22,)="",VLOOKUP($B96,'A1.3.7'!$B$28:$H$118,4,)=""),"",VLOOKUP($B96,'A1.3.11'!$B$26:$AM$105,BI$22,)*(VLOOKUP($B96,'A1.3.7'!$B$28:$O$118,4,)+VLOOKUP($B96,'A1.3.7'!$B$28:$O$118,9,))))</f>
        <v>37.191918640685969</v>
      </c>
      <c r="BJ96" s="691">
        <f>IF('A1.3.8'!F$33="","",IF(OR(VLOOKUP($B96,'A1.3.11'!$B$26:$AM$105,BJ$22,)="",VLOOKUP($B96,'A1.3.7'!$B$28:$H$118,4,)=""),"",VLOOKUP($B96,'A1.3.11'!$B$26:$AM$105,BJ$22,)*(VLOOKUP($B96,'A1.3.7'!$B$28:$O$118,4,)+VLOOKUP($B96,'A1.3.7'!$B$28:$O$118,9,))))</f>
        <v>-0.40424300674010949</v>
      </c>
      <c r="BK96" s="2644">
        <f>IF('A1.3.8'!G$33="","",IF(OR(VLOOKUP($B96,'A1.3.11'!$B$26:$AM$105,BK$22,)="",VLOOKUP($B96,'A1.3.7'!$B$28:$H$118,4,)=""),"",VLOOKUP($B96,'A1.3.11'!$B$26:$AM$105,BK$22,)*(VLOOKUP($B96,'A1.3.7'!$B$28:$O$118,4,)+VLOOKUP($B96,'A1.3.7'!$B$28:$O$118,9,))))</f>
        <v>2.9652876889060924E-3</v>
      </c>
      <c r="BL96" s="693" t="str">
        <f>IF('A1.3.8'!D$40="","",IF(OR(VLOOKUP($B96,'A1.3.11'!$B$26:$AM$105,BL$22,)="",VLOOKUP($B96,'A1.3.7'!$B$28:$H$118,6,)=""),"",VLOOKUP($B96,'A1.3.11'!$B$26:$AM$105,BL$22,)*VLOOKUP($B96,'A1.3.7'!$B$28:$O$118,6,)))</f>
        <v/>
      </c>
      <c r="BM96" s="691" t="str">
        <f>IF('A1.3.8'!E$40="","",IF(OR(VLOOKUP($B96,'A1.3.11'!$B$26:$AM$105,BM$22,)="",VLOOKUP($B96,'A1.3.7'!$B$28:$H$118,6,)=""),"",VLOOKUP($B96,'A1.3.11'!$B$26:$AM$105,BM$22,)*VLOOKUP($B96,'A1.3.7'!$B$28:$O$118,6,)))</f>
        <v/>
      </c>
      <c r="BN96" s="691" t="str">
        <f>IF('A1.3.8'!F$40="","",IF(OR(VLOOKUP($B96,'A1.3.11'!$B$26:$AM$105,BN$22,)="",VLOOKUP($B96,'A1.3.7'!$B$28:$H$118,6,)=""),"",VLOOKUP($B96,'A1.3.11'!$B$26:$AM$105,BN$22,)*VLOOKUP($B96,'A1.3.7'!$B$28:$O$118,6,)))</f>
        <v/>
      </c>
      <c r="BO96" s="1664" t="str">
        <f>IF('A1.3.8'!G$40="","",IF(OR(VLOOKUP($B96,'A1.3.11'!$B$26:$AM$105,BO$22,)="",VLOOKUP($B96,'A1.3.7'!$B$28:$H$118,6,)=""),"",VLOOKUP($B96,'A1.3.11'!$B$26:$AM$105,BO$22,)*VLOOKUP($B96,'A1.3.7'!$B$28:$O$118,6,)))</f>
        <v/>
      </c>
      <c r="BP96" s="693">
        <f>IF(AND(BH96="",BL96=""),"",IF(BH96="",0,(BH96*VLOOKUP($B96,'A1.3.9'!$B$26:$O$57,9,TRUE))) + IF(BL96="",0,(BL96*VLOOKUP($B96,'A1.3.9'!$B$26:$O$57,10,TRUE))))</f>
        <v>423.27539901512495</v>
      </c>
      <c r="BQ96" s="691">
        <f>IF(AND(BI96="",BM96=""),"",IF(BI96="",0,(BI96*VLOOKUP($B96,'A1.3.9'!$B$26:$O$57,9,TRUE))) + IF(BM96="",0,(BM96*VLOOKUP($B96,'A1.3.9'!$B$26:$O$57,10,TRUE))))</f>
        <v>37.191918640685969</v>
      </c>
      <c r="BR96" s="691">
        <f>IF(AND(BJ96="",BN96=""),"",IF(BJ96="",0,(BJ96*VLOOKUP($B96,'A1.3.9'!$B$26:$O$57,9,TRUE))) + IF(BN96="",0,(BN96*VLOOKUP($B96,'A1.3.9'!$B$26:$O$57,10,TRUE))))</f>
        <v>-0.40424300674010949</v>
      </c>
      <c r="BS96" s="2644">
        <f>IF(AND(BK96="",BO96=""),"",IF(BK96="",0,(BK96*VLOOKUP($B96,'A1.3.9'!$B$26:$O$57,9,TRUE))) + IF(BO96="",0,(BO96*VLOOKUP($B96,'A1.3.9'!$B$26:$O$57,10,TRUE))))</f>
        <v>2.9652876889060924E-3</v>
      </c>
    </row>
    <row r="97" spans="1:71" ht="13.5" customHeight="1">
      <c r="A97" s="113"/>
      <c r="B97" s="614">
        <f t="shared" si="1"/>
        <v>2080</v>
      </c>
      <c r="C97" s="147"/>
      <c r="D97" s="693">
        <f>IF('A1.3.8'!D$27="","",IF(OR(VLOOKUP($B97,'A1.3.11'!$B$26:$AM$105,D$22,)="",VLOOKUP($B97,'A1.3.7'!$B$28:$H$118,3,)=""),"",VLOOKUP($B97,'A1.3.11'!$B$26:$AM$105,D$22,)*(VLOOKUP($B97,'A1.3.7'!$B$28:$O$118,3,)+VLOOKUP($B97,'A1.3.7'!$B$28:$O$118,8,))))</f>
        <v>39.862827079640091</v>
      </c>
      <c r="E97" s="691">
        <f>IF('A1.3.8'!E$27="","",IF(OR(VLOOKUP($B97,'A1.3.11'!$B$26:$AM$105,E$22,)="",VLOOKUP($B97,'A1.3.7'!$B$28:$H$118,3,)=""),"",VLOOKUP($B97,'A1.3.11'!$B$26:$AM$105,E$22,)*(VLOOKUP($B97,'A1.3.7'!$B$28:$O$118,3,)+VLOOKUP($B97,'A1.3.7'!$B$28:$O$118,8,))))</f>
        <v>8.4714973656825343</v>
      </c>
      <c r="F97" s="691">
        <f>IF('A1.3.8'!F$27="","",IF(OR(VLOOKUP($B97,'A1.3.11'!$B$26:$AM$105,F$22,)="",VLOOKUP($B97,'A1.3.7'!$B$28:$H$118,3,)=""),"",VLOOKUP($B97,'A1.3.11'!$B$26:$AM$105,F$22,)*(VLOOKUP($B97,'A1.3.7'!$B$28:$O$118,3,)+VLOOKUP($B97,'A1.3.7'!$B$28:$O$118,8,))))</f>
        <v>-9.6500401222646692E-2</v>
      </c>
      <c r="G97" s="2644">
        <f>IF('A1.3.8'!G$27="","",IF(OR(VLOOKUP($B97,'A1.3.11'!$B$26:$AM$105,G$22,)="",VLOOKUP($B97,'A1.3.7'!$B$28:$H$118,3,)=""),"",VLOOKUP($B97,'A1.3.11'!$B$26:$AM$105,G$22,)*(VLOOKUP($B97,'A1.3.7'!$B$28:$O$118,3,)+VLOOKUP($B97,'A1.3.7'!$B$28:$O$118,8,))))</f>
        <v>6.391143927444409E-4</v>
      </c>
      <c r="H97" s="693">
        <f>IF('A1.3.8'!D$28="","",IF(OR(VLOOKUP($B97,'A1.3.11'!$B$26:$AM$105,H$22,)="",VLOOKUP($B97,'A1.3.7'!$B$28:$H$118,4,)=""),"",VLOOKUP($B97,'A1.3.11'!$B$26:$AM$105,H$22,)*(VLOOKUP($B97,'A1.3.7'!$B$28:$O$118,4,)+VLOOKUP($B97,'A1.3.7'!$B$28:$O$118,9,))))</f>
        <v>48.995739068755348</v>
      </c>
      <c r="I97" s="691">
        <f>IF('A1.3.8'!E$28="","",IF(OR(VLOOKUP($B97,'A1.3.11'!$B$26:$AM$105,I$22,)="",VLOOKUP($B97,'A1.3.7'!$B$28:$H$118,4,)=""),"",VLOOKUP($B97,'A1.3.11'!$B$26:$AM$105,I$22,)*(VLOOKUP($B97,'A1.3.7'!$B$28:$O$118,4,)+VLOOKUP($B97,'A1.3.7'!$B$28:$O$118,9,))))</f>
        <v>7.0247773192099148</v>
      </c>
      <c r="J97" s="691">
        <f>IF('A1.3.8'!F$28="","",IF(OR(VLOOKUP($B97,'A1.3.11'!$B$26:$AM$105,J$22,)="",VLOOKUP($B97,'A1.3.7'!$B$28:$H$118,4,)=""),"",VLOOKUP($B97,'A1.3.11'!$B$26:$AM$105,J$22,)*(VLOOKUP($B97,'A1.3.7'!$B$28:$O$118,4,)+VLOOKUP($B97,'A1.3.7'!$B$28:$O$118,9,))))</f>
        <v>-6.7580314777997127E-2</v>
      </c>
      <c r="K97" s="2644">
        <f>IF('A1.3.8'!G$28="","",IF(OR(VLOOKUP($B97,'A1.3.11'!$B$26:$AM$105,K$22,)="",VLOOKUP($B97,'A1.3.7'!$B$28:$H$118,4,)=""),"",VLOOKUP($B97,'A1.3.11'!$B$26:$AM$105,K$22,)*(VLOOKUP($B97,'A1.3.7'!$B$28:$O$118,4,)+VLOOKUP($B97,'A1.3.7'!$B$28:$O$118,9,))))</f>
        <v>5.3253627100560339E-4</v>
      </c>
      <c r="L97" s="693" t="str">
        <f>IF('A1.3.8'!D$36="","",IF(OR(VLOOKUP($B97,'A1.3.11'!$B$26:$AM$105,L$22,)="",VLOOKUP($B97,'A1.3.7'!$B$28:$H$118,6,)=""),"",VLOOKUP($B97,'A1.3.11'!$B$26:$AM$105,L$22,)*VLOOKUP($B97,'A1.3.7'!$B$28:$O$118,6,)))</f>
        <v/>
      </c>
      <c r="M97" s="691">
        <f>IF('A1.3.8'!E$36="","",IF(OR(VLOOKUP($B97,'A1.3.11'!$B$26:$AM$105,M$22,)="",VLOOKUP($B97,'A1.3.7'!$B$28:$H$118,6,)=""),"",VLOOKUP($B97,'A1.3.11'!$B$26:$AM$105,M$22,)*VLOOKUP($B97,'A1.3.7'!$B$28:$O$118,6,)))</f>
        <v>1.9637608285706969</v>
      </c>
      <c r="N97" s="691" t="str">
        <f>IF('A1.3.8'!F$36="","",IF(OR(VLOOKUP($B97,'A1.3.11'!$B$26:$AM$105,N$22,)="",VLOOKUP($B97,'A1.3.7'!$B$28:$H$118,6,)=""),"",VLOOKUP($B97,'A1.3.11'!$B$26:$AM$105,N$22,)*VLOOKUP($B97,'A1.3.7'!$B$28:$O$118,6,)))</f>
        <v/>
      </c>
      <c r="O97" s="1664" t="str">
        <f>IF('A1.3.8'!G$36="","",IF(OR(VLOOKUP($B97,'A1.3.11'!$B$26:$AM$105,O$22,)="",VLOOKUP($B97,'A1.3.7'!$B$28:$H$118,6,)=""),"",VLOOKUP($B97,'A1.3.11'!$B$26:$AM$105,O$22,)*VLOOKUP($B97,'A1.3.7'!$B$28:$O$118,6,)))</f>
        <v/>
      </c>
      <c r="P97" s="693">
        <f>IF(AND(D97="",H97="",L97=""),"",IF(D97="",0,(D97*VLOOKUP($B97,'A1.3.9'!$B$26:$O$57,3,TRUE)))+IF(H97="",0,(H97*VLOOKUP($B97,'A1.3.9'!$B$26:$O$57,4,TRUE)))+IF(L97="",0,(L97*VLOOKUP($B97,'A1.3.9'!$B$26:$O$57,5,TRUE))))</f>
        <v>33.016823455591386</v>
      </c>
      <c r="Q97" s="691">
        <f>IF(AND(E97="",I97="",M97=""),"",IF(E97="",0,(E97*VLOOKUP($B97,'A1.3.9'!$B$26:$O$57,3,TRUE)))+IF(I97="",0,(I97*VLOOKUP($B97,'A1.3.9'!$B$26:$O$57,4,TRUE)))+IF(M97="",0,(M97*VLOOKUP($B97,'A1.3.9'!$B$26:$O$57,5,TRUE))))</f>
        <v>6.4473744282655829</v>
      </c>
      <c r="R97" s="691">
        <f>IF(AND(F97="",J97="",N97=""),"",IF(F97="",0,(F97*VLOOKUP($B97,'A1.3.9'!$B$26:$O$57,3,TRUE)))+IF(J97="",0,(J97*VLOOKUP($B97,'A1.3.9'!$B$26:$O$57,4,TRUE)))+IF(N97="",0,(N97*VLOOKUP($B97,'A1.3.9'!$B$26:$O$57,5,TRUE))))</f>
        <v>-6.4181361882281296E-2</v>
      </c>
      <c r="S97" s="2644">
        <f>IF(AND(G97="",K97="",O97=""),"",IF(G97="",0,(G97*VLOOKUP($B97,'A1.3.9'!$B$26:$O$57,3,TRUE)))+IF(K97="",0,(K97*VLOOKUP($B97,'A1.3.9'!$B$26:$O$57,4,TRUE)))+IF(O97="",0,(O97*VLOOKUP($B97,'A1.3.9'!$B$26:$O$57,5,TRUE))))</f>
        <v>4.5128341313039878E-4</v>
      </c>
      <c r="T97" s="693">
        <f>IF('A1.3.8'!D$29="","",IF(OR(VLOOKUP($B97,'A1.3.11'!$B$26:$AM$105,T$22,)="",VLOOKUP($B97,'A1.3.7'!$B$28:$H$118,3,)=""),"",VLOOKUP($B97,'A1.3.11'!$B$26:$AM$105,T$22,)*(VLOOKUP($B97,'A1.3.7'!$B$28:$O$118,3,)+VLOOKUP($B97,'A1.3.7'!$B$28:$O$118,8,))))</f>
        <v>28.674649766194843</v>
      </c>
      <c r="U97" s="691">
        <f>IF('A1.3.8'!E$29="","",IF(OR(VLOOKUP($B97,'A1.3.11'!$B$26:$AM$105,U$22,)="",VLOOKUP($B97,'A1.3.7'!$B$28:$H$118,3,)=""),"",VLOOKUP($B97,'A1.3.11'!$B$26:$AM$105,U$22,)*(VLOOKUP($B97,'A1.3.7'!$B$28:$O$118,3,)+VLOOKUP($B97,'A1.3.7'!$B$28:$O$118,8,))))</f>
        <v>16.079083716247077</v>
      </c>
      <c r="V97" s="691">
        <f>IF('A1.3.8'!F$29="","",IF(OR(VLOOKUP($B97,'A1.3.11'!$B$26:$AM$105,V$22,)="",VLOOKUP($B97,'A1.3.7'!$B$28:$H$118,3,)=""),"",VLOOKUP($B97,'A1.3.11'!$B$26:$AM$105,V$22,)*(VLOOKUP($B97,'A1.3.7'!$B$28:$O$118,3,)+VLOOKUP($B97,'A1.3.7'!$B$28:$O$118,8,))))</f>
        <v>-0.25238883644809368</v>
      </c>
      <c r="W97" s="2644">
        <f>IF('A1.3.8'!G$29="","",IF(OR(VLOOKUP($B97,'A1.3.11'!$B$26:$AM$105,W$22,)="",VLOOKUP($B97,'A1.3.7'!$B$28:$H$118,3,)=""),"",VLOOKUP($B97,'A1.3.11'!$B$26:$AM$105,W$22,)*(VLOOKUP($B97,'A1.3.7'!$B$28:$O$118,3,)+VLOOKUP($B97,'A1.3.7'!$B$28:$O$118,8,))))</f>
        <v>1.6299365381434771E-3</v>
      </c>
      <c r="X97" s="693">
        <f>IF('A1.3.8'!D$30="","",IF(OR(VLOOKUP($B97,'A1.3.11'!$B$26:$AM$105,X$22,)="",VLOOKUP($B97,'A1.3.7'!$B$28:$H$118,4,)=""),"",VLOOKUP($B97,'A1.3.11'!$B$26:$AM$105,X$22,)*(VLOOKUP($B97,'A1.3.7'!$B$28:$O$118,4,)+VLOOKUP($B97,'A1.3.7'!$B$28:$O$118,9,))))</f>
        <v>50.460857799988716</v>
      </c>
      <c r="Y97" s="691">
        <f>IF('A1.3.8'!E$30="","",IF(OR(VLOOKUP($B97,'A1.3.11'!$B$26:$AM$105,Y$22,)="",VLOOKUP($B97,'A1.3.7'!$B$28:$H$118,4,)=""),"",VLOOKUP($B97,'A1.3.11'!$B$26:$AM$105,Y$22,)*(VLOOKUP($B97,'A1.3.7'!$B$28:$O$118,4,)+VLOOKUP($B97,'A1.3.7'!$B$28:$O$118,9,))))</f>
        <v>12.332839291052007</v>
      </c>
      <c r="Z97" s="691">
        <f>IF('A1.3.8'!F$30="","",IF(OR(VLOOKUP($B97,'A1.3.11'!$B$26:$AM$105,Z$22,)="",VLOOKUP($B97,'A1.3.7'!$B$28:$H$118,4,)=""),"",VLOOKUP($B97,'A1.3.11'!$B$26:$AM$105,Z$22,)*(VLOOKUP($B97,'A1.3.7'!$B$28:$O$118,4,)+VLOOKUP($B97,'A1.3.7'!$B$28:$O$118,9,))))</f>
        <v>-0.17792362100573658</v>
      </c>
      <c r="AA97" s="2644">
        <f>IF('A1.3.8'!G$30="","",IF(OR(VLOOKUP($B97,'A1.3.11'!$B$26:$AM$105,AA$22,)="",VLOOKUP($B97,'A1.3.7'!$B$28:$H$118,4,)=""),"",VLOOKUP($B97,'A1.3.11'!$B$26:$AM$105,AA$22,)*(VLOOKUP($B97,'A1.3.7'!$B$28:$O$118,4,)+VLOOKUP($B97,'A1.3.7'!$B$28:$O$118,9,))))</f>
        <v>1.5063075791233993E-3</v>
      </c>
      <c r="AB97" s="693" t="str">
        <f>IF('A1.3.8'!D$37="","",IF(OR(VLOOKUP($B97,'A1.3.11'!$B$26:$AM$105,AB$22,)="",VLOOKUP($B97,'A1.3.7'!$B$28:$H$118,6,)=""),"",VLOOKUP($B97,'A1.3.11'!$B$26:$AM$105,AB$22,)*VLOOKUP($B97,'A1.3.7'!$B$28:$O$118,6,)))</f>
        <v/>
      </c>
      <c r="AC97" s="691">
        <f>IF('A1.3.8'!E$37="","",IF(OR(VLOOKUP($B97,'A1.3.11'!$B$26:$AM$105,AC$22,)="",VLOOKUP($B97,'A1.3.7'!$B$28:$H$118,6,)=""),"",VLOOKUP($B97,'A1.3.11'!$B$26:$AM$105,AC$22,)*VLOOKUP($B97,'A1.3.7'!$B$28:$O$118,6,)))</f>
        <v>4.5145632825273854</v>
      </c>
      <c r="AD97" s="691" t="str">
        <f>IF('A1.3.8'!F$37="","",IF(OR(VLOOKUP($B97,'A1.3.11'!$B$26:$AM$105,AD$22,)="",VLOOKUP($B97,'A1.3.7'!$B$28:$H$118,6,)=""),"",VLOOKUP($B97,'A1.3.11'!$B$26:$AM$105,AD$22,)*VLOOKUP($B97,'A1.3.7'!$B$28:$O$118,6,)))</f>
        <v/>
      </c>
      <c r="AE97" s="1664" t="str">
        <f>IF('A1.3.8'!G$37="","",IF(OR(VLOOKUP($B97,'A1.3.11'!$B$26:$AM$105,AE$22,)="",VLOOKUP($B97,'A1.3.7'!$B$28:$H$118,6,)=""),"",VLOOKUP($B97,'A1.3.11'!$B$26:$AM$105,AE$22,)*VLOOKUP($B97,'A1.3.7'!$B$28:$O$118,6,)))</f>
        <v/>
      </c>
      <c r="AF97" s="693">
        <f>IF(AND(T97="",X97="",AB97=""),"",IF(T97="",0,(T97*VLOOKUP('A1.3.12'!$B97,'A1.3.9'!$B$26:$O$57,6,TRUE))) + IF(X97="",0,(X97*VLOOKUP('A1.3.12'!$B97,'A1.3.9'!$B$26:$O$57,7,TRUE))) + IF(AB97="",0,(AB97*VLOOKUP('A1.3.12'!$B97,'A1.3.9'!$B$26:$O$57,8,TRUE))))</f>
        <v>44.774198479076212</v>
      </c>
      <c r="AG97" s="691">
        <f>IF(AND(U97="",Y97="",AC97=""),"",IF(U97="",0,(U97*VLOOKUP('A1.3.12'!$B97,'A1.3.9'!$B$26:$O$57,6,TRUE))) + IF(Y97="",0,(Y97*VLOOKUP('A1.3.12'!$B97,'A1.3.9'!$B$26:$O$57,7,TRUE))) + IF(AC97="",0,(AC97*VLOOKUP('A1.3.12'!$B97,'A1.3.9'!$B$26:$O$57,8,TRUE))))</f>
        <v>11.505755422090719</v>
      </c>
      <c r="AH97" s="691">
        <f>IF(AND(V97="",Z97="",AD97=""),"",IF(V97="",0,(V97*VLOOKUP('A1.3.12'!$B97,'A1.3.9'!$B$26:$O$57,6,TRUE))) + IF(Z97="",0,(Z97*VLOOKUP('A1.3.12'!$B97,'A1.3.9'!$B$26:$O$57,7,TRUE))) + IF(AD97="",0,(AD97*VLOOKUP('A1.3.12'!$B97,'A1.3.9'!$B$26:$O$57,8,TRUE))))</f>
        <v>-0.15901954436156723</v>
      </c>
      <c r="AI97" s="2644">
        <f>IF(AND(W97="",AA97="",AE97=""),"",IF(W97="",0,(W97*VLOOKUP('A1.3.12'!$B97,'A1.3.9'!$B$26:$O$57,6,TRUE))) + IF(AA97="",0,(AA97*VLOOKUP('A1.3.12'!$B97,'A1.3.9'!$B$26:$O$57,7,TRUE))) + IF(AE97="",0,(AE97*VLOOKUP('A1.3.12'!$B97,'A1.3.9'!$B$26:$O$57,8,TRUE))))</f>
        <v>1.3424227993298233E-3</v>
      </c>
      <c r="AJ97" s="693">
        <f>IF('A1.3.8'!D$31="","",IF(OR(VLOOKUP($B97,'A1.3.11'!$B$26:$AM$105,AJ$22,)="",VLOOKUP($B97,'A1.3.7'!$B$28:$H$118,4,)=""),"",VLOOKUP($B97,'A1.3.11'!$B$26:$AM$105,AJ$22,)*(VLOOKUP($B97,'A1.3.7'!$B$28:$O$118,4,)+VLOOKUP($B97,'A1.3.7'!$B$28:$O$118,9,))))</f>
        <v>341.11352120993672</v>
      </c>
      <c r="AK97" s="691">
        <f>IF('A1.3.8'!E$31="","",IF(OR(VLOOKUP($B97,'A1.3.11'!$B$26:$AM$105,AK$22,)="",VLOOKUP($B97,'A1.3.7'!$B$28:$H$118,4,)=""),"",VLOOKUP($B97,'A1.3.11'!$B$26:$AM$105,AK$22,)*(VLOOKUP($B97,'A1.3.7'!$B$28:$O$118,4,)+VLOOKUP($B97,'A1.3.7'!$B$28:$O$118,9,))))</f>
        <v>18.098530118855106</v>
      </c>
      <c r="AL97" s="691">
        <f>IF('A1.3.8'!F$31="","",IF(OR(VLOOKUP($B97,'A1.3.11'!$B$26:$AM$105,AL$22,)="",VLOOKUP($B97,'A1.3.7'!$B$28:$H$118,4,)=""),"",VLOOKUP($B97,'A1.3.11'!$B$26:$AM$105,AL$22,)*(VLOOKUP($B97,'A1.3.7'!$B$28:$O$118,4,)+VLOOKUP($B97,'A1.3.7'!$B$28:$O$118,9,))))</f>
        <v>-0.13081629061127142</v>
      </c>
      <c r="AM97" s="2644">
        <f>IF('A1.3.8'!G$31="","",IF(OR(VLOOKUP($B97,'A1.3.11'!$B$26:$AM$105,AM$22,)="",VLOOKUP($B97,'A1.3.7'!$B$28:$H$118,4,)=""),"",VLOOKUP($B97,'A1.3.11'!$B$26:$AM$105,AM$22,)*(VLOOKUP($B97,'A1.3.7'!$B$28:$O$118,4,)+VLOOKUP($B97,'A1.3.7'!$B$28:$O$118,9,))))</f>
        <v>1.4287237886752699E-3</v>
      </c>
      <c r="AN97" s="693" t="str">
        <f>IF('A1.3.8'!D$38="","",IF(OR(VLOOKUP($B97,'A1.3.11'!$B$26:$AM$105,AN$22,)="",VLOOKUP($B97,'A1.3.7'!$B$28:$H$118,6,)=""),"",VLOOKUP($B97,'A1.3.11'!$B$26:$AM$105,AN$22,)*VLOOKUP($B97,'A1.3.7'!$B$28:$O$118,6,)))</f>
        <v/>
      </c>
      <c r="AO97" s="691" t="str">
        <f>IF('A1.3.8'!E$38="","",IF(OR(VLOOKUP($B97,'A1.3.11'!$B$26:$AM$105,AO$22,)="",VLOOKUP($B97,'A1.3.7'!$B$28:$H$118,6,)=""),"",VLOOKUP($B97,'A1.3.11'!$B$26:$AM$105,AO$22,)*VLOOKUP($B97,'A1.3.7'!$B$28:$O$118,6,)))</f>
        <v/>
      </c>
      <c r="AP97" s="691" t="str">
        <f>IF('A1.3.8'!F$38="","",IF(OR(VLOOKUP($B97,'A1.3.11'!$B$26:$AM$105,AP$22,)="",VLOOKUP($B97,'A1.3.7'!$B$28:$H$118,6,)=""),"",VLOOKUP($B97,'A1.3.11'!$B$26:$AM$105,AP$22,)*VLOOKUP($B97,'A1.3.7'!$B$28:$O$118,6,)))</f>
        <v/>
      </c>
      <c r="AQ97" s="1664" t="str">
        <f>IF('A1.3.8'!G$38="","",IF(OR(VLOOKUP($B97,'A1.3.11'!$B$26:$AM$105,AQ$22,)="",VLOOKUP($B97,'A1.3.7'!$B$28:$H$118,6,)=""),"",VLOOKUP($B97,'A1.3.11'!$B$26:$AM$105,AQ$22,)*VLOOKUP($B97,'A1.3.7'!$B$28:$O$118,6,)))</f>
        <v/>
      </c>
      <c r="AR97" s="693">
        <f>IF(AND(AJ97="",AN97=""),"",IF(AJ97="",0,(AJ97*VLOOKUP($B97,'A1.3.9'!$B$26:$O$57,9,TRUE))) + IF(AN97="",0,(AN97*VLOOKUP($B97,'A1.3.9'!$B$26:$O$57,10,TRUE))))</f>
        <v>341.11352120993672</v>
      </c>
      <c r="AS97" s="691">
        <f>IF(AND(AK97="",AO97=""),"",IF(AK97="",0,(AK97*VLOOKUP($B97,'A1.3.9'!$B$26:$O$57,9,TRUE))) + IF(AO97="",0,(AO97*VLOOKUP($B97,'A1.3.9'!$B$26:$O$57,10,TRUE))))</f>
        <v>18.098530118855106</v>
      </c>
      <c r="AT97" s="691">
        <f>IF(AND(AL97="",AP97=""),"",IF(AL97="",0,(AL97*VLOOKUP($B97,'A1.3.9'!$B$26:$O$57,9,TRUE))) + IF(AP97="",0,(AP97*VLOOKUP($B97,'A1.3.9'!$B$26:$O$57,10,TRUE))))</f>
        <v>-0.13081629061127142</v>
      </c>
      <c r="AU97" s="2644">
        <f>IF(AND(AM97="",AQ97=""),"",IF(AM97="",0,(AM97*VLOOKUP($B97,'A1.3.9'!$B$26:$O$57,9,TRUE))) + IF(AQ97="",0,(AQ97*VLOOKUP($B97,'A1.3.9'!$B$26:$O$57,10,TRUE))))</f>
        <v>1.4287237886752699E-3</v>
      </c>
      <c r="AV97" s="693">
        <f>IF('A1.3.8'!D$32="","",IF(OR(VLOOKUP($B97,'A1.3.11'!$B$26:$AM$105,AV$22,)="",VLOOKUP($B97,'A1.3.7'!$B$28:$H$118,4,)=""),"",VLOOKUP($B97,'A1.3.11'!$B$26:$AM$105,AV$22,)*(VLOOKUP($B97,'A1.3.7'!$B$28:$O$118,4,)+VLOOKUP($B97,'A1.3.7'!$B$28:$O$118,9,))))</f>
        <v>716.76839431108897</v>
      </c>
      <c r="AW97" s="691">
        <f>IF('A1.3.8'!E$32="","",IF(OR(VLOOKUP($B97,'A1.3.11'!$B$26:$AM$105,AW$22,)="",VLOOKUP($B97,'A1.3.7'!$B$28:$H$118,4,)=""),"",VLOOKUP($B97,'A1.3.11'!$B$26:$AM$105,AW$22,)*(VLOOKUP($B97,'A1.3.7'!$B$28:$O$118,4,)+VLOOKUP($B97,'A1.3.7'!$B$28:$O$118,9,))))</f>
        <v>37.223052759670409</v>
      </c>
      <c r="AX97" s="691">
        <f>IF('A1.3.8'!F$32="","",IF(OR(VLOOKUP($B97,'A1.3.11'!$B$26:$AM$105,AX$22,)="",VLOOKUP($B97,'A1.3.7'!$B$28:$H$118,4,)=""),"",VLOOKUP($B97,'A1.3.11'!$B$26:$AM$105,AX$22,)*(VLOOKUP($B97,'A1.3.7'!$B$28:$O$118,4,)+VLOOKUP($B97,'A1.3.7'!$B$28:$O$118,9,))))</f>
        <v>-0.24662230621459821</v>
      </c>
      <c r="AY97" s="2644">
        <f>IF('A1.3.8'!G$32="","",IF(OR(VLOOKUP($B97,'A1.3.11'!$B$26:$AM$105,AY$22,)="",VLOOKUP($B97,'A1.3.7'!$B$28:$H$118,4,)=""),"",VLOOKUP($B97,'A1.3.11'!$B$26:$AM$105,AY$22,)*(VLOOKUP($B97,'A1.3.7'!$B$28:$O$118,4,)+VLOOKUP($B97,'A1.3.7'!$B$28:$O$118,9,))))</f>
        <v>1.4699714985505188E-3</v>
      </c>
      <c r="AZ97" s="693" t="str">
        <f>IF('A1.3.8'!D$39="","",IF(OR(VLOOKUP($B97,'A1.3.11'!$B$26:$AM$105,AZ$22,)="",VLOOKUP($B97,'A1.3.7'!$B$28:$H$118,6,)=""),"",VLOOKUP($B97,'A1.3.11'!$B$26:$AM$105,AZ$22,)*VLOOKUP($B97,'A1.3.7'!$B$28:$O$118,6,)))</f>
        <v/>
      </c>
      <c r="BA97" s="691" t="str">
        <f>IF('A1.3.8'!E$39="","",IF(OR(VLOOKUP($B97,'A1.3.11'!$B$26:$AM$105,BA$22,)="",VLOOKUP($B97,'A1.3.7'!$B$28:$H$118,6,)=""),"",VLOOKUP($B97,'A1.3.11'!$B$26:$AM$105,BA$22,)*VLOOKUP($B97,'A1.3.7'!$B$28:$O$118,6,)))</f>
        <v/>
      </c>
      <c r="BB97" s="691" t="str">
        <f>IF('A1.3.8'!F$39="","",IF(OR(VLOOKUP($B97,'A1.3.11'!$B$26:$AM$105,BB$22,)="",VLOOKUP($B97,'A1.3.7'!$B$28:$H$118,6,)=""),"",VLOOKUP($B97,'A1.3.11'!$B$26:$AM$105,BB$22,)*VLOOKUP($B97,'A1.3.7'!$B$28:$O$118,6,)))</f>
        <v/>
      </c>
      <c r="BC97" s="1664" t="str">
        <f>IF('A1.3.8'!G$39="","",IF(OR(VLOOKUP($B97,'A1.3.11'!$B$26:$AM$105,BC$22,)="",VLOOKUP($B97,'A1.3.7'!$B$28:$H$118,6,)=""),"",VLOOKUP($B97,'A1.3.11'!$B$26:$AM$105,BC$22,)*VLOOKUP($B97,'A1.3.7'!$B$28:$O$118,6,)))</f>
        <v/>
      </c>
      <c r="BD97" s="693">
        <f>IF(AND(AV97="",AZ97=""),"",IF(AV97="",0,(AV97*VLOOKUP($B97,'A1.3.9'!$B$26:$O$57,9,TRUE))) + IF(AZ97="",0,(AZ97*VLOOKUP($B97,'A1.3.9'!$B$26:$O$57,10,TRUE))))</f>
        <v>716.76839431108897</v>
      </c>
      <c r="BE97" s="691">
        <f>IF(AND(AW97="",BA97=""),"",IF(AW97="",0,(AW97*VLOOKUP($B97,'A1.3.9'!$B$26:$O$57,9,TRUE))) + IF(BA97="",0,(BA97*VLOOKUP($B97,'A1.3.9'!$B$26:$O$57,10,TRUE))))</f>
        <v>37.223052759670409</v>
      </c>
      <c r="BF97" s="691">
        <f>IF(AND(AX97="",BB97=""),"",IF(AX97="",0,(AX97*VLOOKUP($B97,'A1.3.9'!$B$26:$O$57,9,TRUE))) + IF(BB97="",0,(BB97*VLOOKUP($B97,'A1.3.9'!$B$26:$O$57,10,TRUE))))</f>
        <v>-0.24662230621459821</v>
      </c>
      <c r="BG97" s="2644">
        <f>IF(AND(AY97="",BC97=""),"",IF(AY97="",0,(AY97*VLOOKUP($B97,'A1.3.9'!$B$26:$O$57,9,TRUE))) + IF(BC97="",0,(BC97*VLOOKUP($B97,'A1.3.9'!$B$26:$O$57,10,TRUE))))</f>
        <v>1.4699714985505188E-3</v>
      </c>
      <c r="BH97" s="693">
        <f>IF('A1.3.8'!D$33="","",IF(OR(VLOOKUP($B97,'A1.3.11'!$B$26:$AM$105,BH$22,)="",VLOOKUP($B97,'A1.3.7'!$B$28:$H$118,4,)=""),"",VLOOKUP($B97,'A1.3.11'!$B$26:$AM$105,BH$22,)*(VLOOKUP($B97,'A1.3.7'!$B$28:$O$118,4,)+VLOOKUP($B97,'A1.3.7'!$B$28:$O$118,9,))))</f>
        <v>425.10538784951143</v>
      </c>
      <c r="BI97" s="691">
        <f>IF('A1.3.8'!E$33="","",IF(OR(VLOOKUP($B97,'A1.3.11'!$B$26:$AM$105,BI$22,)="",VLOOKUP($B97,'A1.3.7'!$B$28:$H$118,4,)=""),"",VLOOKUP($B97,'A1.3.11'!$B$26:$AM$105,BI$22,)*(VLOOKUP($B97,'A1.3.7'!$B$28:$O$118,4,)+VLOOKUP($B97,'A1.3.7'!$B$28:$O$118,9,))))</f>
        <v>37.352714179477573</v>
      </c>
      <c r="BJ97" s="691">
        <f>IF('A1.3.8'!F$33="","",IF(OR(VLOOKUP($B97,'A1.3.11'!$B$26:$AM$105,BJ$22,)="",VLOOKUP($B97,'A1.3.7'!$B$28:$H$118,4,)=""),"",VLOOKUP($B97,'A1.3.11'!$B$26:$AM$105,BJ$22,)*(VLOOKUP($B97,'A1.3.7'!$B$28:$O$118,4,)+VLOOKUP($B97,'A1.3.7'!$B$28:$O$118,9,))))</f>
        <v>-0.40599071093089051</v>
      </c>
      <c r="BK97" s="2644">
        <f>IF('A1.3.8'!G$33="","",IF(OR(VLOOKUP($B97,'A1.3.11'!$B$26:$AM$105,BK$22,)="",VLOOKUP($B97,'A1.3.7'!$B$28:$H$118,4,)=""),"",VLOOKUP($B97,'A1.3.11'!$B$26:$AM$105,BK$22,)*(VLOOKUP($B97,'A1.3.7'!$B$28:$O$118,4,)+VLOOKUP($B97,'A1.3.7'!$B$28:$O$118,9,))))</f>
        <v>2.9781078135201573E-3</v>
      </c>
      <c r="BL97" s="693" t="str">
        <f>IF('A1.3.8'!D$40="","",IF(OR(VLOOKUP($B97,'A1.3.11'!$B$26:$AM$105,BL$22,)="",VLOOKUP($B97,'A1.3.7'!$B$28:$H$118,6,)=""),"",VLOOKUP($B97,'A1.3.11'!$B$26:$AM$105,BL$22,)*VLOOKUP($B97,'A1.3.7'!$B$28:$O$118,6,)))</f>
        <v/>
      </c>
      <c r="BM97" s="691" t="str">
        <f>IF('A1.3.8'!E$40="","",IF(OR(VLOOKUP($B97,'A1.3.11'!$B$26:$AM$105,BM$22,)="",VLOOKUP($B97,'A1.3.7'!$B$28:$H$118,6,)=""),"",VLOOKUP($B97,'A1.3.11'!$B$26:$AM$105,BM$22,)*VLOOKUP($B97,'A1.3.7'!$B$28:$O$118,6,)))</f>
        <v/>
      </c>
      <c r="BN97" s="691" t="str">
        <f>IF('A1.3.8'!F$40="","",IF(OR(VLOOKUP($B97,'A1.3.11'!$B$26:$AM$105,BN$22,)="",VLOOKUP($B97,'A1.3.7'!$B$28:$H$118,6,)=""),"",VLOOKUP($B97,'A1.3.11'!$B$26:$AM$105,BN$22,)*VLOOKUP($B97,'A1.3.7'!$B$28:$O$118,6,)))</f>
        <v/>
      </c>
      <c r="BO97" s="1664" t="str">
        <f>IF('A1.3.8'!G$40="","",IF(OR(VLOOKUP($B97,'A1.3.11'!$B$26:$AM$105,BO$22,)="",VLOOKUP($B97,'A1.3.7'!$B$28:$H$118,6,)=""),"",VLOOKUP($B97,'A1.3.11'!$B$26:$AM$105,BO$22,)*VLOOKUP($B97,'A1.3.7'!$B$28:$O$118,6,)))</f>
        <v/>
      </c>
      <c r="BP97" s="693">
        <f>IF(AND(BH97="",BL97=""),"",IF(BH97="",0,(BH97*VLOOKUP($B97,'A1.3.9'!$B$26:$O$57,9,TRUE))) + IF(BL97="",0,(BL97*VLOOKUP($B97,'A1.3.9'!$B$26:$O$57,10,TRUE))))</f>
        <v>425.10538784951143</v>
      </c>
      <c r="BQ97" s="691">
        <f>IF(AND(BI97="",BM97=""),"",IF(BI97="",0,(BI97*VLOOKUP($B97,'A1.3.9'!$B$26:$O$57,9,TRUE))) + IF(BM97="",0,(BM97*VLOOKUP($B97,'A1.3.9'!$B$26:$O$57,10,TRUE))))</f>
        <v>37.352714179477573</v>
      </c>
      <c r="BR97" s="691">
        <f>IF(AND(BJ97="",BN97=""),"",IF(BJ97="",0,(BJ97*VLOOKUP($B97,'A1.3.9'!$B$26:$O$57,9,TRUE))) + IF(BN97="",0,(BN97*VLOOKUP($B97,'A1.3.9'!$B$26:$O$57,10,TRUE))))</f>
        <v>-0.40599071093089051</v>
      </c>
      <c r="BS97" s="2644">
        <f>IF(AND(BK97="",BO97=""),"",IF(BK97="",0,(BK97*VLOOKUP($B97,'A1.3.9'!$B$26:$O$57,9,TRUE))) + IF(BO97="",0,(BO97*VLOOKUP($B97,'A1.3.9'!$B$26:$O$57,10,TRUE))))</f>
        <v>2.9781078135201573E-3</v>
      </c>
    </row>
    <row r="98" spans="1:71" ht="13.5" customHeight="1">
      <c r="A98" s="113"/>
      <c r="B98" s="614">
        <f t="shared" si="1"/>
        <v>2081</v>
      </c>
      <c r="C98" s="147"/>
      <c r="D98" s="693">
        <f>IF('A1.3.8'!D$27="","",IF(OR(VLOOKUP($B98,'A1.3.11'!$B$26:$AM$105,D$22,)="",VLOOKUP($B98,'A1.3.7'!$B$28:$H$118,3,)=""),"",VLOOKUP($B98,'A1.3.11'!$B$26:$AM$105,D$22,)*(VLOOKUP($B98,'A1.3.7'!$B$28:$O$118,3,)+VLOOKUP($B98,'A1.3.7'!$B$28:$O$118,8,))))</f>
        <v>40.041186951569408</v>
      </c>
      <c r="E98" s="691">
        <f>IF('A1.3.8'!E$27="","",IF(OR(VLOOKUP($B98,'A1.3.11'!$B$26:$AM$105,E$22,)="",VLOOKUP($B98,'A1.3.7'!$B$28:$H$118,3,)=""),"",VLOOKUP($B98,'A1.3.11'!$B$26:$AM$105,E$22,)*(VLOOKUP($B98,'A1.3.7'!$B$28:$O$118,3,)+VLOOKUP($B98,'A1.3.7'!$B$28:$O$118,8,))))</f>
        <v>8.5094017316266246</v>
      </c>
      <c r="F98" s="691">
        <f>IF('A1.3.8'!F$27="","",IF(OR(VLOOKUP($B98,'A1.3.11'!$B$26:$AM$105,F$22,)="",VLOOKUP($B98,'A1.3.7'!$B$28:$H$118,3,)=""),"",VLOOKUP($B98,'A1.3.11'!$B$26:$AM$105,F$22,)*(VLOOKUP($B98,'A1.3.7'!$B$28:$O$118,3,)+VLOOKUP($B98,'A1.3.7'!$B$28:$O$118,8,))))</f>
        <v>-9.6932176900995162E-2</v>
      </c>
      <c r="G98" s="2644">
        <f>IF('A1.3.8'!G$27="","",IF(OR(VLOOKUP($B98,'A1.3.11'!$B$26:$AM$105,G$22,)="",VLOOKUP($B98,'A1.3.7'!$B$28:$H$118,3,)=""),"",VLOOKUP($B98,'A1.3.11'!$B$26:$AM$105,G$22,)*(VLOOKUP($B98,'A1.3.7'!$B$28:$O$118,3,)+VLOOKUP($B98,'A1.3.7'!$B$28:$O$118,8,))))</f>
        <v>6.419740083208861E-4</v>
      </c>
      <c r="H98" s="693">
        <f>IF('A1.3.8'!D$28="","",IF(OR(VLOOKUP($B98,'A1.3.11'!$B$26:$AM$105,H$22,)="",VLOOKUP($B98,'A1.3.7'!$B$28:$H$118,4,)=""),"",VLOOKUP($B98,'A1.3.11'!$B$26:$AM$105,H$22,)*(VLOOKUP($B98,'A1.3.7'!$B$28:$O$118,4,)+VLOOKUP($B98,'A1.3.7'!$B$28:$O$118,9,))))</f>
        <v>49.20809858858852</v>
      </c>
      <c r="I98" s="691">
        <f>IF('A1.3.8'!E$28="","",IF(OR(VLOOKUP($B98,'A1.3.11'!$B$26:$AM$105,I$22,)="",VLOOKUP($B98,'A1.3.7'!$B$28:$H$118,4,)=""),"",VLOOKUP($B98,'A1.3.11'!$B$26:$AM$105,I$22,)*(VLOOKUP($B98,'A1.3.7'!$B$28:$O$118,4,)+VLOOKUP($B98,'A1.3.7'!$B$28:$O$118,9,))))</f>
        <v>7.0552244227090375</v>
      </c>
      <c r="J98" s="691">
        <f>IF('A1.3.8'!F$28="","",IF(OR(VLOOKUP($B98,'A1.3.11'!$B$26:$AM$105,J$22,)="",VLOOKUP($B98,'A1.3.7'!$B$28:$H$118,4,)=""),"",VLOOKUP($B98,'A1.3.11'!$B$26:$AM$105,J$22,)*(VLOOKUP($B98,'A1.3.7'!$B$28:$O$118,4,)+VLOOKUP($B98,'A1.3.7'!$B$28:$O$118,9,))))</f>
        <v>-6.7873224395633286E-2</v>
      </c>
      <c r="K98" s="2644">
        <f>IF('A1.3.8'!G$28="","",IF(OR(VLOOKUP($B98,'A1.3.11'!$B$26:$AM$105,K$22,)="",VLOOKUP($B98,'A1.3.7'!$B$28:$H$118,4,)=""),"",VLOOKUP($B98,'A1.3.11'!$B$26:$AM$105,K$22,)*(VLOOKUP($B98,'A1.3.7'!$B$28:$O$118,4,)+VLOOKUP($B98,'A1.3.7'!$B$28:$O$118,9,))))</f>
        <v>5.3484441348807118E-4</v>
      </c>
      <c r="L98" s="693" t="str">
        <f>IF('A1.3.8'!D$36="","",IF(OR(VLOOKUP($B98,'A1.3.11'!$B$26:$AM$105,L$22,)="",VLOOKUP($B98,'A1.3.7'!$B$28:$H$118,6,)=""),"",VLOOKUP($B98,'A1.3.11'!$B$26:$AM$105,L$22,)*VLOOKUP($B98,'A1.3.7'!$B$28:$O$118,6,)))</f>
        <v/>
      </c>
      <c r="M98" s="691">
        <f>IF('A1.3.8'!E$36="","",IF(OR(VLOOKUP($B98,'A1.3.11'!$B$26:$AM$105,M$22,)="",VLOOKUP($B98,'A1.3.7'!$B$28:$H$118,6,)=""),"",VLOOKUP($B98,'A1.3.11'!$B$26:$AM$105,M$22,)*VLOOKUP($B98,'A1.3.7'!$B$28:$O$118,6,)))</f>
        <v>1.9637608285706969</v>
      </c>
      <c r="N98" s="691" t="str">
        <f>IF('A1.3.8'!F$36="","",IF(OR(VLOOKUP($B98,'A1.3.11'!$B$26:$AM$105,N$22,)="",VLOOKUP($B98,'A1.3.7'!$B$28:$H$118,6,)=""),"",VLOOKUP($B98,'A1.3.11'!$B$26:$AM$105,N$22,)*VLOOKUP($B98,'A1.3.7'!$B$28:$O$118,6,)))</f>
        <v/>
      </c>
      <c r="O98" s="1664" t="str">
        <f>IF('A1.3.8'!G$36="","",IF(OR(VLOOKUP($B98,'A1.3.11'!$B$26:$AM$105,O$22,)="",VLOOKUP($B98,'A1.3.7'!$B$28:$H$118,6,)=""),"",VLOOKUP($B98,'A1.3.11'!$B$26:$AM$105,O$22,)*VLOOKUP($B98,'A1.3.7'!$B$28:$O$118,6,)))</f>
        <v/>
      </c>
      <c r="P98" s="693">
        <f>IF(AND(D98="",H98="",L98=""),"",IF(D98="",0,(D98*VLOOKUP($B98,'A1.3.9'!$B$26:$O$57,3,TRUE)))+IF(H98="",0,(H98*VLOOKUP($B98,'A1.3.9'!$B$26:$O$57,4,TRUE)))+IF(L98="",0,(L98*VLOOKUP($B98,'A1.3.9'!$B$26:$O$57,5,TRUE))))</f>
        <v>33.162433903306152</v>
      </c>
      <c r="Q98" s="691">
        <f>IF(AND(E98="",I98="",M98=""),"",IF(E98="",0,(E98*VLOOKUP($B98,'A1.3.9'!$B$26:$O$57,3,TRUE)))+IF(I98="",0,(I98*VLOOKUP($B98,'A1.3.9'!$B$26:$O$57,4,TRUE)))+IF(M98="",0,(M98*VLOOKUP($B98,'A1.3.9'!$B$26:$O$57,5,TRUE))))</f>
        <v>6.4737883318729139</v>
      </c>
      <c r="R98" s="691">
        <f>IF(AND(F98="",J98="",N98=""),"",IF(F98="",0,(F98*VLOOKUP($B98,'A1.3.9'!$B$26:$O$57,3,TRUE)))+IF(J98="",0,(J98*VLOOKUP($B98,'A1.3.9'!$B$26:$O$57,4,TRUE)))+IF(N98="",0,(N98*VLOOKUP($B98,'A1.3.9'!$B$26:$O$57,5,TRUE))))</f>
        <v>-6.4465609688822326E-2</v>
      </c>
      <c r="S98" s="2644">
        <f>IF(AND(G98="",K98="",O98=""),"",IF(G98="",0,(G98*VLOOKUP($B98,'A1.3.9'!$B$26:$O$57,3,TRUE)))+IF(K98="",0,(K98*VLOOKUP($B98,'A1.3.9'!$B$26:$O$57,4,TRUE)))+IF(O98="",0,(O98*VLOOKUP($B98,'A1.3.9'!$B$26:$O$57,5,TRUE))))</f>
        <v>4.5327958751516532E-4</v>
      </c>
      <c r="T98" s="693">
        <f>IF('A1.3.8'!D$29="","",IF(OR(VLOOKUP($B98,'A1.3.11'!$B$26:$AM$105,T$22,)="",VLOOKUP($B98,'A1.3.7'!$B$28:$H$118,3,)=""),"",VLOOKUP($B98,'A1.3.11'!$B$26:$AM$105,T$22,)*(VLOOKUP($B98,'A1.3.7'!$B$28:$O$118,3,)+VLOOKUP($B98,'A1.3.7'!$B$28:$O$118,8,))))</f>
        <v>28.802949920363506</v>
      </c>
      <c r="U98" s="691">
        <f>IF('A1.3.8'!E$29="","",IF(OR(VLOOKUP($B98,'A1.3.11'!$B$26:$AM$105,U$22,)="",VLOOKUP($B98,'A1.3.7'!$B$28:$H$118,3,)=""),"",VLOOKUP($B98,'A1.3.11'!$B$26:$AM$105,U$22,)*(VLOOKUP($B98,'A1.3.7'!$B$28:$O$118,3,)+VLOOKUP($B98,'A1.3.7'!$B$28:$O$118,8,))))</f>
        <v>16.151027015869079</v>
      </c>
      <c r="V98" s="691">
        <f>IF('A1.3.8'!F$29="","",IF(OR(VLOOKUP($B98,'A1.3.11'!$B$26:$AM$105,V$22,)="",VLOOKUP($B98,'A1.3.7'!$B$28:$H$118,3,)=""),"",VLOOKUP($B98,'A1.3.11'!$B$26:$AM$105,V$22,)*(VLOOKUP($B98,'A1.3.7'!$B$28:$O$118,3,)+VLOOKUP($B98,'A1.3.7'!$B$28:$O$118,8,))))</f>
        <v>-0.2535181101058635</v>
      </c>
      <c r="W98" s="2644">
        <f>IF('A1.3.8'!G$29="","",IF(OR(VLOOKUP($B98,'A1.3.11'!$B$26:$AM$105,W$22,)="",VLOOKUP($B98,'A1.3.7'!$B$28:$H$118,3,)=""),"",VLOOKUP($B98,'A1.3.11'!$B$26:$AM$105,W$22,)*(VLOOKUP($B98,'A1.3.7'!$B$28:$O$118,3,)+VLOOKUP($B98,'A1.3.7'!$B$28:$O$118,8,))))</f>
        <v>1.6372294296289551E-3</v>
      </c>
      <c r="X98" s="693">
        <f>IF('A1.3.8'!D$30="","",IF(OR(VLOOKUP($B98,'A1.3.11'!$B$26:$AM$105,X$22,)="",VLOOKUP($B98,'A1.3.7'!$B$28:$H$118,4,)=""),"",VLOOKUP($B98,'A1.3.11'!$B$26:$AM$105,X$22,)*(VLOOKUP($B98,'A1.3.7'!$B$28:$O$118,4,)+VLOOKUP($B98,'A1.3.7'!$B$28:$O$118,9,))))</f>
        <v>50.679567502841408</v>
      </c>
      <c r="Y98" s="691">
        <f>IF('A1.3.8'!E$30="","",IF(OR(VLOOKUP($B98,'A1.3.11'!$B$26:$AM$105,Y$22,)="",VLOOKUP($B98,'A1.3.7'!$B$28:$H$118,4,)=""),"",VLOOKUP($B98,'A1.3.11'!$B$26:$AM$105,Y$22,)*(VLOOKUP($B98,'A1.3.7'!$B$28:$O$118,4,)+VLOOKUP($B98,'A1.3.7'!$B$28:$O$118,9,))))</f>
        <v>12.386292833743799</v>
      </c>
      <c r="Z98" s="691">
        <f>IF('A1.3.8'!F$30="","",IF(OR(VLOOKUP($B98,'A1.3.11'!$B$26:$AM$105,Z$22,)="",VLOOKUP($B98,'A1.3.7'!$B$28:$H$118,4,)=""),"",VLOOKUP($B98,'A1.3.11'!$B$26:$AM$105,Z$22,)*(VLOOKUP($B98,'A1.3.7'!$B$28:$O$118,4,)+VLOOKUP($B98,'A1.3.7'!$B$28:$O$118,9,))))</f>
        <v>-0.1786947855078321</v>
      </c>
      <c r="AA98" s="2644">
        <f>IF('A1.3.8'!G$30="","",IF(OR(VLOOKUP($B98,'A1.3.11'!$B$26:$AM$105,AA$22,)="",VLOOKUP($B98,'A1.3.7'!$B$28:$H$118,4,)=""),"",VLOOKUP($B98,'A1.3.11'!$B$26:$AM$105,AA$22,)*(VLOOKUP($B98,'A1.3.7'!$B$28:$O$118,4,)+VLOOKUP($B98,'A1.3.7'!$B$28:$O$118,9,))))</f>
        <v>1.512836284686445E-3</v>
      </c>
      <c r="AB98" s="693" t="str">
        <f>IF('A1.3.8'!D$37="","",IF(OR(VLOOKUP($B98,'A1.3.11'!$B$26:$AM$105,AB$22,)="",VLOOKUP($B98,'A1.3.7'!$B$28:$H$118,6,)=""),"",VLOOKUP($B98,'A1.3.11'!$B$26:$AM$105,AB$22,)*VLOOKUP($B98,'A1.3.7'!$B$28:$O$118,6,)))</f>
        <v/>
      </c>
      <c r="AC98" s="691">
        <f>IF('A1.3.8'!E$37="","",IF(OR(VLOOKUP($B98,'A1.3.11'!$B$26:$AM$105,AC$22,)="",VLOOKUP($B98,'A1.3.7'!$B$28:$H$118,6,)=""),"",VLOOKUP($B98,'A1.3.11'!$B$26:$AM$105,AC$22,)*VLOOKUP($B98,'A1.3.7'!$B$28:$O$118,6,)))</f>
        <v>4.5145632825273854</v>
      </c>
      <c r="AD98" s="691" t="str">
        <f>IF('A1.3.8'!F$37="","",IF(OR(VLOOKUP($B98,'A1.3.11'!$B$26:$AM$105,AD$22,)="",VLOOKUP($B98,'A1.3.7'!$B$28:$H$118,6,)=""),"",VLOOKUP($B98,'A1.3.11'!$B$26:$AM$105,AD$22,)*VLOOKUP($B98,'A1.3.7'!$B$28:$O$118,6,)))</f>
        <v/>
      </c>
      <c r="AE98" s="1664" t="str">
        <f>IF('A1.3.8'!G$37="","",IF(OR(VLOOKUP($B98,'A1.3.11'!$B$26:$AM$105,AE$22,)="",VLOOKUP($B98,'A1.3.7'!$B$28:$H$118,6,)=""),"",VLOOKUP($B98,'A1.3.11'!$B$26:$AM$105,AE$22,)*VLOOKUP($B98,'A1.3.7'!$B$28:$O$118,6,)))</f>
        <v/>
      </c>
      <c r="AF98" s="693">
        <f>IF(AND(T98="",X98="",AB98=""),"",IF(T98="",0,(T98*VLOOKUP('A1.3.12'!$B98,'A1.3.9'!$B$26:$O$57,6,TRUE))) + IF(X98="",0,(X98*VLOOKUP('A1.3.12'!$B98,'A1.3.9'!$B$26:$O$57,7,TRUE))) + IF(AB98="",0,(AB98*VLOOKUP('A1.3.12'!$B98,'A1.3.9'!$B$26:$O$57,8,TRUE))))</f>
        <v>44.968291265123398</v>
      </c>
      <c r="AG98" s="691">
        <f>IF(AND(U98="",Y98="",AC98=""),"",IF(U98="",0,(U98*VLOOKUP('A1.3.12'!$B98,'A1.3.9'!$B$26:$O$57,6,TRUE))) + IF(Y98="",0,(Y98*VLOOKUP('A1.3.12'!$B98,'A1.3.9'!$B$26:$O$57,7,TRUE))) + IF(AC98="",0,(AC98*VLOOKUP('A1.3.12'!$B98,'A1.3.9'!$B$26:$O$57,8,TRUE))))</f>
        <v>11.553500189029176</v>
      </c>
      <c r="AH98" s="691">
        <f>IF(AND(V98="",Z98="",AD98=""),"",IF(V98="",0,(V98*VLOOKUP('A1.3.12'!$B98,'A1.3.9'!$B$26:$O$57,6,TRUE))) + IF(Z98="",0,(Z98*VLOOKUP('A1.3.12'!$B98,'A1.3.9'!$B$26:$O$57,7,TRUE))) + IF(AD98="",0,(AD98*VLOOKUP('A1.3.12'!$B98,'A1.3.9'!$B$26:$O$57,8,TRUE))))</f>
        <v>-0.15970904203789202</v>
      </c>
      <c r="AI98" s="2644">
        <f>IF(AND(W98="",AA98="",AE98=""),"",IF(W98="",0,(W98*VLOOKUP('A1.3.12'!$B98,'A1.3.9'!$B$26:$O$57,6,TRUE))) + IF(AA98="",0,(AA98*VLOOKUP('A1.3.12'!$B98,'A1.3.9'!$B$26:$O$57,7,TRUE))) + IF(AE98="",0,(AE98*VLOOKUP('A1.3.12'!$B98,'A1.3.9'!$B$26:$O$57,8,TRUE))))</f>
        <v>1.3482429193514768E-3</v>
      </c>
      <c r="AJ98" s="693">
        <f>IF('A1.3.8'!D$31="","",IF(OR(VLOOKUP($B98,'A1.3.11'!$B$26:$AM$105,AJ$22,)="",VLOOKUP($B98,'A1.3.7'!$B$28:$H$118,4,)=""),"",VLOOKUP($B98,'A1.3.11'!$B$26:$AM$105,AJ$22,)*(VLOOKUP($B98,'A1.3.7'!$B$28:$O$118,4,)+VLOOKUP($B98,'A1.3.7'!$B$28:$O$118,9,))))</f>
        <v>342.59199066359866</v>
      </c>
      <c r="AK98" s="691">
        <f>IF('A1.3.8'!E$31="","",IF(OR(VLOOKUP($B98,'A1.3.11'!$B$26:$AM$105,AK$22,)="",VLOOKUP($B98,'A1.3.7'!$B$28:$H$118,4,)=""),"",VLOOKUP($B98,'A1.3.11'!$B$26:$AM$105,AK$22,)*(VLOOKUP($B98,'A1.3.7'!$B$28:$O$118,4,)+VLOOKUP($B98,'A1.3.7'!$B$28:$O$118,9,))))</f>
        <v>18.176973576159281</v>
      </c>
      <c r="AL98" s="691">
        <f>IF('A1.3.8'!F$31="","",IF(OR(VLOOKUP($B98,'A1.3.11'!$B$26:$AM$105,AL$22,)="",VLOOKUP($B98,'A1.3.7'!$B$28:$H$118,4,)=""),"",VLOOKUP($B98,'A1.3.11'!$B$26:$AM$105,AL$22,)*(VLOOKUP($B98,'A1.3.7'!$B$28:$O$118,4,)+VLOOKUP($B98,'A1.3.7'!$B$28:$O$118,9,))))</f>
        <v>-0.13138328041872352</v>
      </c>
      <c r="AM98" s="2644">
        <f>IF('A1.3.8'!G$31="","",IF(OR(VLOOKUP($B98,'A1.3.11'!$B$26:$AM$105,AM$22,)="",VLOOKUP($B98,'A1.3.7'!$B$28:$H$118,4,)=""),"",VLOOKUP($B98,'A1.3.11'!$B$26:$AM$105,AM$22,)*(VLOOKUP($B98,'A1.3.7'!$B$28:$O$118,4,)+VLOOKUP($B98,'A1.3.7'!$B$28:$O$118,9,))))</f>
        <v>1.4349162271097948E-3</v>
      </c>
      <c r="AN98" s="693" t="str">
        <f>IF('A1.3.8'!D$38="","",IF(OR(VLOOKUP($B98,'A1.3.11'!$B$26:$AM$105,AN$22,)="",VLOOKUP($B98,'A1.3.7'!$B$28:$H$118,6,)=""),"",VLOOKUP($B98,'A1.3.11'!$B$26:$AM$105,AN$22,)*VLOOKUP($B98,'A1.3.7'!$B$28:$O$118,6,)))</f>
        <v/>
      </c>
      <c r="AO98" s="691" t="str">
        <f>IF('A1.3.8'!E$38="","",IF(OR(VLOOKUP($B98,'A1.3.11'!$B$26:$AM$105,AO$22,)="",VLOOKUP($B98,'A1.3.7'!$B$28:$H$118,6,)=""),"",VLOOKUP($B98,'A1.3.11'!$B$26:$AM$105,AO$22,)*VLOOKUP($B98,'A1.3.7'!$B$28:$O$118,6,)))</f>
        <v/>
      </c>
      <c r="AP98" s="691" t="str">
        <f>IF('A1.3.8'!F$38="","",IF(OR(VLOOKUP($B98,'A1.3.11'!$B$26:$AM$105,AP$22,)="",VLOOKUP($B98,'A1.3.7'!$B$28:$H$118,6,)=""),"",VLOOKUP($B98,'A1.3.11'!$B$26:$AM$105,AP$22,)*VLOOKUP($B98,'A1.3.7'!$B$28:$O$118,6,)))</f>
        <v/>
      </c>
      <c r="AQ98" s="1664" t="str">
        <f>IF('A1.3.8'!G$38="","",IF(OR(VLOOKUP($B98,'A1.3.11'!$B$26:$AM$105,AQ$22,)="",VLOOKUP($B98,'A1.3.7'!$B$28:$H$118,6,)=""),"",VLOOKUP($B98,'A1.3.11'!$B$26:$AM$105,AQ$22,)*VLOOKUP($B98,'A1.3.7'!$B$28:$O$118,6,)))</f>
        <v/>
      </c>
      <c r="AR98" s="693">
        <f>IF(AND(AJ98="",AN98=""),"",IF(AJ98="",0,(AJ98*VLOOKUP($B98,'A1.3.9'!$B$26:$O$57,9,TRUE))) + IF(AN98="",0,(AN98*VLOOKUP($B98,'A1.3.9'!$B$26:$O$57,10,TRUE))))</f>
        <v>342.59199066359866</v>
      </c>
      <c r="AS98" s="691">
        <f>IF(AND(AK98="",AO98=""),"",IF(AK98="",0,(AK98*VLOOKUP($B98,'A1.3.9'!$B$26:$O$57,9,TRUE))) + IF(AO98="",0,(AO98*VLOOKUP($B98,'A1.3.9'!$B$26:$O$57,10,TRUE))))</f>
        <v>18.176973576159281</v>
      </c>
      <c r="AT98" s="691">
        <f>IF(AND(AL98="",AP98=""),"",IF(AL98="",0,(AL98*VLOOKUP($B98,'A1.3.9'!$B$26:$O$57,9,TRUE))) + IF(AP98="",0,(AP98*VLOOKUP($B98,'A1.3.9'!$B$26:$O$57,10,TRUE))))</f>
        <v>-0.13138328041872352</v>
      </c>
      <c r="AU98" s="2644">
        <f>IF(AND(AM98="",AQ98=""),"",IF(AM98="",0,(AM98*VLOOKUP($B98,'A1.3.9'!$B$26:$O$57,9,TRUE))) + IF(AQ98="",0,(AQ98*VLOOKUP($B98,'A1.3.9'!$B$26:$O$57,10,TRUE))))</f>
        <v>1.4349162271097948E-3</v>
      </c>
      <c r="AV98" s="693">
        <f>IF('A1.3.8'!D$32="","",IF(OR(VLOOKUP($B98,'A1.3.11'!$B$26:$AM$105,AV$22,)="",VLOOKUP($B98,'A1.3.7'!$B$28:$H$118,4,)=""),"",VLOOKUP($B98,'A1.3.11'!$B$26:$AM$105,AV$22,)*(VLOOKUP($B98,'A1.3.7'!$B$28:$O$118,4,)+VLOOKUP($B98,'A1.3.7'!$B$28:$O$118,9,))))</f>
        <v>719.87504388798175</v>
      </c>
      <c r="AW98" s="691">
        <f>IF('A1.3.8'!E$32="","",IF(OR(VLOOKUP($B98,'A1.3.11'!$B$26:$AM$105,AW$22,)="",VLOOKUP($B98,'A1.3.7'!$B$28:$H$118,4,)=""),"",VLOOKUP($B98,'A1.3.11'!$B$26:$AM$105,AW$22,)*(VLOOKUP($B98,'A1.3.7'!$B$28:$O$118,4,)+VLOOKUP($B98,'A1.3.7'!$B$28:$O$118,9,))))</f>
        <v>37.38438657687594</v>
      </c>
      <c r="AX98" s="691">
        <f>IF('A1.3.8'!F$32="","",IF(OR(VLOOKUP($B98,'A1.3.11'!$B$26:$AM$105,AX$22,)="",VLOOKUP($B98,'A1.3.7'!$B$28:$H$118,4,)=""),"",VLOOKUP($B98,'A1.3.11'!$B$26:$AM$105,AX$22,)*(VLOOKUP($B98,'A1.3.7'!$B$28:$O$118,4,)+VLOOKUP($B98,'A1.3.7'!$B$28:$O$118,9,))))</f>
        <v>-0.24769122762538434</v>
      </c>
      <c r="AY98" s="2644">
        <f>IF('A1.3.8'!G$32="","",IF(OR(VLOOKUP($B98,'A1.3.11'!$B$26:$AM$105,AY$22,)="",VLOOKUP($B98,'A1.3.7'!$B$28:$H$118,4,)=""),"",VLOOKUP($B98,'A1.3.11'!$B$26:$AM$105,AY$22,)*(VLOOKUP($B98,'A1.3.7'!$B$28:$O$118,4,)+VLOOKUP($B98,'A1.3.7'!$B$28:$O$118,9,))))</f>
        <v>1.4763427146508125E-3</v>
      </c>
      <c r="AZ98" s="693" t="str">
        <f>IF('A1.3.8'!D$39="","",IF(OR(VLOOKUP($B98,'A1.3.11'!$B$26:$AM$105,AZ$22,)="",VLOOKUP($B98,'A1.3.7'!$B$28:$H$118,6,)=""),"",VLOOKUP($B98,'A1.3.11'!$B$26:$AM$105,AZ$22,)*VLOOKUP($B98,'A1.3.7'!$B$28:$O$118,6,)))</f>
        <v/>
      </c>
      <c r="BA98" s="691" t="str">
        <f>IF('A1.3.8'!E$39="","",IF(OR(VLOOKUP($B98,'A1.3.11'!$B$26:$AM$105,BA$22,)="",VLOOKUP($B98,'A1.3.7'!$B$28:$H$118,6,)=""),"",VLOOKUP($B98,'A1.3.11'!$B$26:$AM$105,BA$22,)*VLOOKUP($B98,'A1.3.7'!$B$28:$O$118,6,)))</f>
        <v/>
      </c>
      <c r="BB98" s="691" t="str">
        <f>IF('A1.3.8'!F$39="","",IF(OR(VLOOKUP($B98,'A1.3.11'!$B$26:$AM$105,BB$22,)="",VLOOKUP($B98,'A1.3.7'!$B$28:$H$118,6,)=""),"",VLOOKUP($B98,'A1.3.11'!$B$26:$AM$105,BB$22,)*VLOOKUP($B98,'A1.3.7'!$B$28:$O$118,6,)))</f>
        <v/>
      </c>
      <c r="BC98" s="1664" t="str">
        <f>IF('A1.3.8'!G$39="","",IF(OR(VLOOKUP($B98,'A1.3.11'!$B$26:$AM$105,BC$22,)="",VLOOKUP($B98,'A1.3.7'!$B$28:$H$118,6,)=""),"",VLOOKUP($B98,'A1.3.11'!$B$26:$AM$105,BC$22,)*VLOOKUP($B98,'A1.3.7'!$B$28:$O$118,6,)))</f>
        <v/>
      </c>
      <c r="BD98" s="693">
        <f>IF(AND(AV98="",AZ98=""),"",IF(AV98="",0,(AV98*VLOOKUP($B98,'A1.3.9'!$B$26:$O$57,9,TRUE))) + IF(AZ98="",0,(AZ98*VLOOKUP($B98,'A1.3.9'!$B$26:$O$57,10,TRUE))))</f>
        <v>719.87504388798175</v>
      </c>
      <c r="BE98" s="691">
        <f>IF(AND(AW98="",BA98=""),"",IF(AW98="",0,(AW98*VLOOKUP($B98,'A1.3.9'!$B$26:$O$57,9,TRUE))) + IF(BA98="",0,(BA98*VLOOKUP($B98,'A1.3.9'!$B$26:$O$57,10,TRUE))))</f>
        <v>37.38438657687594</v>
      </c>
      <c r="BF98" s="691">
        <f>IF(AND(AX98="",BB98=""),"",IF(AX98="",0,(AX98*VLOOKUP($B98,'A1.3.9'!$B$26:$O$57,9,TRUE))) + IF(BB98="",0,(BB98*VLOOKUP($B98,'A1.3.9'!$B$26:$O$57,10,TRUE))))</f>
        <v>-0.24769122762538434</v>
      </c>
      <c r="BG98" s="2644">
        <f>IF(AND(AY98="",BC98=""),"",IF(AY98="",0,(AY98*VLOOKUP($B98,'A1.3.9'!$B$26:$O$57,9,TRUE))) + IF(BC98="",0,(BC98*VLOOKUP($B98,'A1.3.9'!$B$26:$O$57,10,TRUE))))</f>
        <v>1.4763427146508125E-3</v>
      </c>
      <c r="BH98" s="693">
        <f>IF('A1.3.8'!D$33="","",IF(OR(VLOOKUP($B98,'A1.3.11'!$B$26:$AM$105,BH$22,)="",VLOOKUP($B98,'A1.3.7'!$B$28:$H$118,4,)=""),"",VLOOKUP($B98,'A1.3.11'!$B$26:$AM$105,BH$22,)*(VLOOKUP($B98,'A1.3.7'!$B$28:$O$118,4,)+VLOOKUP($B98,'A1.3.7'!$B$28:$O$118,9,))))</f>
        <v>426.94789860163081</v>
      </c>
      <c r="BI98" s="691">
        <f>IF('A1.3.8'!E$33="","",IF(OR(VLOOKUP($B98,'A1.3.11'!$B$26:$AM$105,BI$22,)="",VLOOKUP($B98,'A1.3.7'!$B$28:$H$118,4,)=""),"",VLOOKUP($B98,'A1.3.11'!$B$26:$AM$105,BI$22,)*(VLOOKUP($B98,'A1.3.7'!$B$28:$O$118,4,)+VLOOKUP($B98,'A1.3.7'!$B$28:$O$118,9,))))</f>
        <v>37.51460998099796</v>
      </c>
      <c r="BJ98" s="691">
        <f>IF('A1.3.8'!F$33="","",IF(OR(VLOOKUP($B98,'A1.3.11'!$B$26:$AM$105,BJ$22,)="",VLOOKUP($B98,'A1.3.7'!$B$28:$H$118,4,)=""),"",VLOOKUP($B98,'A1.3.11'!$B$26:$AM$105,BJ$22,)*(VLOOKUP($B98,'A1.3.7'!$B$28:$O$118,4,)+VLOOKUP($B98,'A1.3.7'!$B$28:$O$118,9,))))</f>
        <v>-0.40775037399687725</v>
      </c>
      <c r="BK98" s="2644">
        <f>IF('A1.3.8'!G$33="","",IF(OR(VLOOKUP($B98,'A1.3.11'!$B$26:$AM$105,BK$22,)="",VLOOKUP($B98,'A1.3.7'!$B$28:$H$118,4,)=""),"",VLOOKUP($B98,'A1.3.11'!$B$26:$AM$105,BK$22,)*(VLOOKUP($B98,'A1.3.7'!$B$28:$O$118,4,)+VLOOKUP($B98,'A1.3.7'!$B$28:$O$118,9,))))</f>
        <v>2.9910156613720505E-3</v>
      </c>
      <c r="BL98" s="693" t="str">
        <f>IF('A1.3.8'!D$40="","",IF(OR(VLOOKUP($B98,'A1.3.11'!$B$26:$AM$105,BL$22,)="",VLOOKUP($B98,'A1.3.7'!$B$28:$H$118,6,)=""),"",VLOOKUP($B98,'A1.3.11'!$B$26:$AM$105,BL$22,)*VLOOKUP($B98,'A1.3.7'!$B$28:$O$118,6,)))</f>
        <v/>
      </c>
      <c r="BM98" s="691" t="str">
        <f>IF('A1.3.8'!E$40="","",IF(OR(VLOOKUP($B98,'A1.3.11'!$B$26:$AM$105,BM$22,)="",VLOOKUP($B98,'A1.3.7'!$B$28:$H$118,6,)=""),"",VLOOKUP($B98,'A1.3.11'!$B$26:$AM$105,BM$22,)*VLOOKUP($B98,'A1.3.7'!$B$28:$O$118,6,)))</f>
        <v/>
      </c>
      <c r="BN98" s="691" t="str">
        <f>IF('A1.3.8'!F$40="","",IF(OR(VLOOKUP($B98,'A1.3.11'!$B$26:$AM$105,BN$22,)="",VLOOKUP($B98,'A1.3.7'!$B$28:$H$118,6,)=""),"",VLOOKUP($B98,'A1.3.11'!$B$26:$AM$105,BN$22,)*VLOOKUP($B98,'A1.3.7'!$B$28:$O$118,6,)))</f>
        <v/>
      </c>
      <c r="BO98" s="1664" t="str">
        <f>IF('A1.3.8'!G$40="","",IF(OR(VLOOKUP($B98,'A1.3.11'!$B$26:$AM$105,BO$22,)="",VLOOKUP($B98,'A1.3.7'!$B$28:$H$118,6,)=""),"",VLOOKUP($B98,'A1.3.11'!$B$26:$AM$105,BO$22,)*VLOOKUP($B98,'A1.3.7'!$B$28:$O$118,6,)))</f>
        <v/>
      </c>
      <c r="BP98" s="693">
        <f>IF(AND(BH98="",BL98=""),"",IF(BH98="",0,(BH98*VLOOKUP($B98,'A1.3.9'!$B$26:$O$57,9,TRUE))) + IF(BL98="",0,(BL98*VLOOKUP($B98,'A1.3.9'!$B$26:$O$57,10,TRUE))))</f>
        <v>426.94789860163081</v>
      </c>
      <c r="BQ98" s="691">
        <f>IF(AND(BI98="",BM98=""),"",IF(BI98="",0,(BI98*VLOOKUP($B98,'A1.3.9'!$B$26:$O$57,9,TRUE))) + IF(BM98="",0,(BM98*VLOOKUP($B98,'A1.3.9'!$B$26:$O$57,10,TRUE))))</f>
        <v>37.51460998099796</v>
      </c>
      <c r="BR98" s="691">
        <f>IF(AND(BJ98="",BN98=""),"",IF(BJ98="",0,(BJ98*VLOOKUP($B98,'A1.3.9'!$B$26:$O$57,9,TRUE))) + IF(BN98="",0,(BN98*VLOOKUP($B98,'A1.3.9'!$B$26:$O$57,10,TRUE))))</f>
        <v>-0.40775037399687725</v>
      </c>
      <c r="BS98" s="2644">
        <f>IF(AND(BK98="",BO98=""),"",IF(BK98="",0,(BK98*VLOOKUP($B98,'A1.3.9'!$B$26:$O$57,9,TRUE))) + IF(BO98="",0,(BO98*VLOOKUP($B98,'A1.3.9'!$B$26:$O$57,10,TRUE))))</f>
        <v>2.9910156613720505E-3</v>
      </c>
    </row>
    <row r="99" spans="1:71" ht="13.5" customHeight="1">
      <c r="A99" s="113"/>
      <c r="B99" s="614">
        <f t="shared" si="1"/>
        <v>2082</v>
      </c>
      <c r="C99" s="147"/>
      <c r="D99" s="693">
        <f>IF('A1.3.8'!D$27="","",IF(OR(VLOOKUP($B99,'A1.3.11'!$B$26:$AM$105,D$22,)="",VLOOKUP($B99,'A1.3.7'!$B$28:$H$118,3,)=""),"",VLOOKUP($B99,'A1.3.11'!$B$26:$AM$105,D$22,)*(VLOOKUP($B99,'A1.3.7'!$B$28:$O$118,3,)+VLOOKUP($B99,'A1.3.7'!$B$28:$O$118,8,))))</f>
        <v>40.220767272280256</v>
      </c>
      <c r="E99" s="691">
        <f>IF('A1.3.8'!E$27="","",IF(OR(VLOOKUP($B99,'A1.3.11'!$B$26:$AM$105,E$22,)="",VLOOKUP($B99,'A1.3.7'!$B$28:$H$118,3,)=""),"",VLOOKUP($B99,'A1.3.11'!$B$26:$AM$105,E$22,)*(VLOOKUP($B99,'A1.3.7'!$B$28:$O$118,3,)+VLOOKUP($B99,'A1.3.7'!$B$28:$O$118,8,))))</f>
        <v>8.5475654627335782</v>
      </c>
      <c r="F99" s="691">
        <f>IF('A1.3.8'!F$27="","",IF(OR(VLOOKUP($B99,'A1.3.11'!$B$26:$AM$105,F$22,)="",VLOOKUP($B99,'A1.3.7'!$B$28:$H$118,3,)=""),"",VLOOKUP($B99,'A1.3.11'!$B$26:$AM$105,F$22,)*(VLOOKUP($B99,'A1.3.7'!$B$28:$O$118,3,)+VLOOKUP($B99,'A1.3.7'!$B$28:$O$118,8,))))</f>
        <v>-9.7366907056126065E-2</v>
      </c>
      <c r="G99" s="2644">
        <f>IF('A1.3.8'!G$27="","",IF(OR(VLOOKUP($B99,'A1.3.11'!$B$26:$AM$105,G$22,)="",VLOOKUP($B99,'A1.3.7'!$B$28:$H$118,3,)=""),"",VLOOKUP($B99,'A1.3.11'!$B$26:$AM$105,G$22,)*(VLOOKUP($B99,'A1.3.7'!$B$28:$O$118,3,)+VLOOKUP($B99,'A1.3.7'!$B$28:$O$118,8,))))</f>
        <v>6.4485319115934023E-4</v>
      </c>
      <c r="H99" s="693">
        <f>IF('A1.3.8'!D$28="","",IF(OR(VLOOKUP($B99,'A1.3.11'!$B$26:$AM$105,H$22,)="",VLOOKUP($B99,'A1.3.7'!$B$28:$H$118,4,)=""),"",VLOOKUP($B99,'A1.3.11'!$B$26:$AM$105,H$22,)*(VLOOKUP($B99,'A1.3.7'!$B$28:$O$118,4,)+VLOOKUP($B99,'A1.3.7'!$B$28:$O$118,9,))))</f>
        <v>49.421911203865321</v>
      </c>
      <c r="I99" s="691">
        <f>IF('A1.3.8'!E$28="","",IF(OR(VLOOKUP($B99,'A1.3.11'!$B$26:$AM$105,I$22,)="",VLOOKUP($B99,'A1.3.7'!$B$28:$H$118,4,)=""),"",VLOOKUP($B99,'A1.3.11'!$B$26:$AM$105,I$22,)*(VLOOKUP($B99,'A1.3.7'!$B$28:$O$118,4,)+VLOOKUP($B99,'A1.3.7'!$B$28:$O$118,9,))))</f>
        <v>7.0858798641597662</v>
      </c>
      <c r="J99" s="691">
        <f>IF('A1.3.8'!F$28="","",IF(OR(VLOOKUP($B99,'A1.3.11'!$B$26:$AM$105,J$22,)="",VLOOKUP($B99,'A1.3.7'!$B$28:$H$118,4,)=""),"",VLOOKUP($B99,'A1.3.11'!$B$26:$AM$105,J$22,)*(VLOOKUP($B99,'A1.3.7'!$B$28:$O$118,4,)+VLOOKUP($B99,'A1.3.7'!$B$28:$O$118,9,))))</f>
        <v>-6.8168138282402826E-2</v>
      </c>
      <c r="K99" s="2644">
        <f>IF('A1.3.8'!G$28="","",IF(OR(VLOOKUP($B99,'A1.3.11'!$B$26:$AM$105,K$22,)="",VLOOKUP($B99,'A1.3.7'!$B$28:$H$118,4,)=""),"",VLOOKUP($B99,'A1.3.11'!$B$26:$AM$105,K$22,)*(VLOOKUP($B99,'A1.3.7'!$B$28:$O$118,4,)+VLOOKUP($B99,'A1.3.7'!$B$28:$O$118,9,))))</f>
        <v>5.3716834971186567E-4</v>
      </c>
      <c r="L99" s="693" t="str">
        <f>IF('A1.3.8'!D$36="","",IF(OR(VLOOKUP($B99,'A1.3.11'!$B$26:$AM$105,L$22,)="",VLOOKUP($B99,'A1.3.7'!$B$28:$H$118,6,)=""),"",VLOOKUP($B99,'A1.3.11'!$B$26:$AM$105,L$22,)*VLOOKUP($B99,'A1.3.7'!$B$28:$O$118,6,)))</f>
        <v/>
      </c>
      <c r="M99" s="691">
        <f>IF('A1.3.8'!E$36="","",IF(OR(VLOOKUP($B99,'A1.3.11'!$B$26:$AM$105,M$22,)="",VLOOKUP($B99,'A1.3.7'!$B$28:$H$118,6,)=""),"",VLOOKUP($B99,'A1.3.11'!$B$26:$AM$105,M$22,)*VLOOKUP($B99,'A1.3.7'!$B$28:$O$118,6,)))</f>
        <v>1.9637608285706969</v>
      </c>
      <c r="N99" s="691" t="str">
        <f>IF('A1.3.8'!F$36="","",IF(OR(VLOOKUP($B99,'A1.3.11'!$B$26:$AM$105,N$22,)="",VLOOKUP($B99,'A1.3.7'!$B$28:$H$118,6,)=""),"",VLOOKUP($B99,'A1.3.11'!$B$26:$AM$105,N$22,)*VLOOKUP($B99,'A1.3.7'!$B$28:$O$118,6,)))</f>
        <v/>
      </c>
      <c r="O99" s="1664" t="str">
        <f>IF('A1.3.8'!G$36="","",IF(OR(VLOOKUP($B99,'A1.3.11'!$B$26:$AM$105,O$22,)="",VLOOKUP($B99,'A1.3.7'!$B$28:$H$118,6,)=""),"",VLOOKUP($B99,'A1.3.11'!$B$26:$AM$105,O$22,)*VLOOKUP($B99,'A1.3.7'!$B$28:$O$118,6,)))</f>
        <v/>
      </c>
      <c r="P99" s="693">
        <f>IF(AND(D99="",H99="",L99=""),"",IF(D99="",0,(D99*VLOOKUP($B99,'A1.3.9'!$B$26:$O$57,3,TRUE)))+IF(H99="",0,(H99*VLOOKUP($B99,'A1.3.9'!$B$26:$O$57,4,TRUE)))+IF(L99="",0,(L99*VLOOKUP($B99,'A1.3.9'!$B$26:$O$57,5,TRUE))))</f>
        <v>33.309040707945655</v>
      </c>
      <c r="Q99" s="691">
        <f>IF(AND(E99="",I99="",M99=""),"",IF(E99="",0,(E99*VLOOKUP($B99,'A1.3.9'!$B$26:$O$57,3,TRUE)))+IF(I99="",0,(I99*VLOOKUP($B99,'A1.3.9'!$B$26:$O$57,4,TRUE)))+IF(M99="",0,(M99*VLOOKUP($B99,'A1.3.9'!$B$26:$O$57,5,TRUE))))</f>
        <v>6.5003829757786331</v>
      </c>
      <c r="R99" s="691">
        <f>IF(AND(F99="",J99="",N99=""),"",IF(F99="",0,(F99*VLOOKUP($B99,'A1.3.9'!$B$26:$O$57,3,TRUE)))+IF(J99="",0,(J99*VLOOKUP($B99,'A1.3.9'!$B$26:$O$57,4,TRUE)))+IF(N99="",0,(N99*VLOOKUP($B99,'A1.3.9'!$B$26:$O$57,5,TRUE))))</f>
        <v>-6.4751802495017108E-2</v>
      </c>
      <c r="S99" s="2644">
        <f>IF(AND(G99="",K99="",O99=""),"",IF(G99="",0,(G99*VLOOKUP($B99,'A1.3.9'!$B$26:$O$57,3,TRUE)))+IF(K99="",0,(K99*VLOOKUP($B99,'A1.3.9'!$B$26:$O$57,4,TRUE)))+IF(O99="",0,(O99*VLOOKUP($B99,'A1.3.9'!$B$26:$O$57,5,TRUE))))</f>
        <v>4.5528942096219327E-4</v>
      </c>
      <c r="T99" s="693">
        <f>IF('A1.3.8'!D$29="","",IF(OR(VLOOKUP($B99,'A1.3.11'!$B$26:$AM$105,T$22,)="",VLOOKUP($B99,'A1.3.7'!$B$28:$H$118,3,)=""),"",VLOOKUP($B99,'A1.3.11'!$B$26:$AM$105,T$22,)*(VLOOKUP($B99,'A1.3.7'!$B$28:$O$118,3,)+VLOOKUP($B99,'A1.3.7'!$B$28:$O$118,8,))))</f>
        <v>28.932127983700475</v>
      </c>
      <c r="U99" s="691">
        <f>IF('A1.3.8'!E$29="","",IF(OR(VLOOKUP($B99,'A1.3.11'!$B$26:$AM$105,U$22,)="",VLOOKUP($B99,'A1.3.7'!$B$28:$H$118,3,)=""),"",VLOOKUP($B99,'A1.3.11'!$B$26:$AM$105,U$22,)*(VLOOKUP($B99,'A1.3.7'!$B$28:$O$118,3,)+VLOOKUP($B99,'A1.3.7'!$B$28:$O$118,8,))))</f>
        <v>16.223462596133654</v>
      </c>
      <c r="V99" s="691">
        <f>IF('A1.3.8'!F$29="","",IF(OR(VLOOKUP($B99,'A1.3.11'!$B$26:$AM$105,V$22,)="",VLOOKUP($B99,'A1.3.7'!$B$28:$H$118,3,)=""),"",VLOOKUP($B99,'A1.3.11'!$B$26:$AM$105,V$22,)*(VLOOKUP($B99,'A1.3.7'!$B$28:$O$118,3,)+VLOOKUP($B99,'A1.3.7'!$B$28:$O$118,8,))))</f>
        <v>-0.25465511095386245</v>
      </c>
      <c r="W99" s="2644">
        <f>IF('A1.3.8'!G$29="","",IF(OR(VLOOKUP($B99,'A1.3.11'!$B$26:$AM$105,W$22,)="",VLOOKUP($B99,'A1.3.7'!$B$28:$H$118,3,)=""),"",VLOOKUP($B99,'A1.3.11'!$B$26:$AM$105,W$22,)*(VLOOKUP($B99,'A1.3.7'!$B$28:$O$118,3,)+VLOOKUP($B99,'A1.3.7'!$B$28:$O$118,8,))))</f>
        <v>1.6445722235977156E-3</v>
      </c>
      <c r="X99" s="693">
        <f>IF('A1.3.8'!D$30="","",IF(OR(VLOOKUP($B99,'A1.3.11'!$B$26:$AM$105,X$22,)="",VLOOKUP($B99,'A1.3.7'!$B$28:$H$118,4,)=""),"",VLOOKUP($B99,'A1.3.11'!$B$26:$AM$105,X$22,)*(VLOOKUP($B99,'A1.3.7'!$B$28:$O$118,4,)+VLOOKUP($B99,'A1.3.7'!$B$28:$O$118,9,))))</f>
        <v>50.89977375302545</v>
      </c>
      <c r="Y99" s="691">
        <f>IF('A1.3.8'!E$30="","",IF(OR(VLOOKUP($B99,'A1.3.11'!$B$26:$AM$105,Y$22,)="",VLOOKUP($B99,'A1.3.7'!$B$28:$H$118,4,)=""),"",VLOOKUP($B99,'A1.3.11'!$B$26:$AM$105,Y$22,)*(VLOOKUP($B99,'A1.3.7'!$B$28:$O$118,4,)+VLOOKUP($B99,'A1.3.7'!$B$28:$O$118,9,))))</f>
        <v>12.440112138702295</v>
      </c>
      <c r="Z99" s="691">
        <f>IF('A1.3.8'!F$30="","",IF(OR(VLOOKUP($B99,'A1.3.11'!$B$26:$AM$105,Z$22,)="",VLOOKUP($B99,'A1.3.7'!$B$28:$H$118,4,)=""),"",VLOOKUP($B99,'A1.3.11'!$B$26:$AM$105,Z$22,)*(VLOOKUP($B99,'A1.3.7'!$B$28:$O$118,4,)+VLOOKUP($B99,'A1.3.7'!$B$28:$O$118,9,))))</f>
        <v>-0.17947122679537691</v>
      </c>
      <c r="AA99" s="2644">
        <f>IF('A1.3.8'!G$30="","",IF(OR(VLOOKUP($B99,'A1.3.11'!$B$26:$AM$105,AA$22,)="",VLOOKUP($B99,'A1.3.7'!$B$28:$H$118,4,)=""),"",VLOOKUP($B99,'A1.3.11'!$B$26:$AM$105,AA$22,)*(VLOOKUP($B99,'A1.3.7'!$B$28:$O$118,4,)+VLOOKUP($B99,'A1.3.7'!$B$28:$O$118,9,))))</f>
        <v>1.5194096636990909E-3</v>
      </c>
      <c r="AB99" s="693" t="str">
        <f>IF('A1.3.8'!D$37="","",IF(OR(VLOOKUP($B99,'A1.3.11'!$B$26:$AM$105,AB$22,)="",VLOOKUP($B99,'A1.3.7'!$B$28:$H$118,6,)=""),"",VLOOKUP($B99,'A1.3.11'!$B$26:$AM$105,AB$22,)*VLOOKUP($B99,'A1.3.7'!$B$28:$O$118,6,)))</f>
        <v/>
      </c>
      <c r="AC99" s="691">
        <f>IF('A1.3.8'!E$37="","",IF(OR(VLOOKUP($B99,'A1.3.11'!$B$26:$AM$105,AC$22,)="",VLOOKUP($B99,'A1.3.7'!$B$28:$H$118,6,)=""),"",VLOOKUP($B99,'A1.3.11'!$B$26:$AM$105,AC$22,)*VLOOKUP($B99,'A1.3.7'!$B$28:$O$118,6,)))</f>
        <v>4.5145632825273854</v>
      </c>
      <c r="AD99" s="691" t="str">
        <f>IF('A1.3.8'!F$37="","",IF(OR(VLOOKUP($B99,'A1.3.11'!$B$26:$AM$105,AD$22,)="",VLOOKUP($B99,'A1.3.7'!$B$28:$H$118,6,)=""),"",VLOOKUP($B99,'A1.3.11'!$B$26:$AM$105,AD$22,)*VLOOKUP($B99,'A1.3.7'!$B$28:$O$118,6,)))</f>
        <v/>
      </c>
      <c r="AE99" s="1664" t="str">
        <f>IF('A1.3.8'!G$37="","",IF(OR(VLOOKUP($B99,'A1.3.11'!$B$26:$AM$105,AE$22,)="",VLOOKUP($B99,'A1.3.7'!$B$28:$H$118,6,)=""),"",VLOOKUP($B99,'A1.3.11'!$B$26:$AM$105,AE$22,)*VLOOKUP($B99,'A1.3.7'!$B$28:$O$118,6,)))</f>
        <v/>
      </c>
      <c r="AF99" s="693">
        <f>IF(AND(T99="",X99="",AB99=""),"",IF(T99="",0,(T99*VLOOKUP('A1.3.12'!$B99,'A1.3.9'!$B$26:$O$57,6,TRUE))) + IF(X99="",0,(X99*VLOOKUP('A1.3.12'!$B99,'A1.3.9'!$B$26:$O$57,7,TRUE))) + IF(AB99="",0,(AB99*VLOOKUP('A1.3.12'!$B99,'A1.3.9'!$B$26:$O$57,8,TRUE))))</f>
        <v>45.16371215430091</v>
      </c>
      <c r="AG99" s="691">
        <f>IF(AND(U99="",Y99="",AC99=""),"",IF(U99="",0,(U99*VLOOKUP('A1.3.12'!$B99,'A1.3.9'!$B$26:$O$57,6,TRUE))) + IF(Y99="",0,(Y99*VLOOKUP('A1.3.12'!$B99,'A1.3.9'!$B$26:$O$57,7,TRUE))) + IF(AC99="",0,(AC99*VLOOKUP('A1.3.12'!$B99,'A1.3.9'!$B$26:$O$57,8,TRUE))))</f>
        <v>11.601571655252643</v>
      </c>
      <c r="AH99" s="691">
        <f>IF(AND(V99="",Z99="",AD99=""),"",IF(V99="",0,(V99*VLOOKUP('A1.3.12'!$B99,'A1.3.9'!$B$26:$O$57,6,TRUE))) + IF(Z99="",0,(Z99*VLOOKUP('A1.3.12'!$B99,'A1.3.9'!$B$26:$O$57,7,TRUE))) + IF(AD99="",0,(AD99*VLOOKUP('A1.3.12'!$B99,'A1.3.9'!$B$26:$O$57,8,TRUE))))</f>
        <v>-0.16040325768463151</v>
      </c>
      <c r="AI99" s="2644">
        <f>IF(AND(W99="",AA99="",AE99=""),"",IF(W99="",0,(W99*VLOOKUP('A1.3.12'!$B99,'A1.3.9'!$B$26:$O$57,6,TRUE))) + IF(AA99="",0,(AA99*VLOOKUP('A1.3.12'!$B99,'A1.3.9'!$B$26:$O$57,7,TRUE))) + IF(AE99="",0,(AE99*VLOOKUP('A1.3.12'!$B99,'A1.3.9'!$B$26:$O$57,8,TRUE))))</f>
        <v>1.3541028642413135E-3</v>
      </c>
      <c r="AJ99" s="693">
        <f>IF('A1.3.8'!D$31="","",IF(OR(VLOOKUP($B99,'A1.3.11'!$B$26:$AM$105,AJ$22,)="",VLOOKUP($B99,'A1.3.7'!$B$28:$H$118,4,)=""),"",VLOOKUP($B99,'A1.3.11'!$B$26:$AM$105,AJ$22,)*(VLOOKUP($B99,'A1.3.7'!$B$28:$O$118,4,)+VLOOKUP($B99,'A1.3.7'!$B$28:$O$118,9,))))</f>
        <v>344.0805767215378</v>
      </c>
      <c r="AK99" s="691">
        <f>IF('A1.3.8'!E$31="","",IF(OR(VLOOKUP($B99,'A1.3.11'!$B$26:$AM$105,AK$22,)="",VLOOKUP($B99,'A1.3.7'!$B$28:$H$118,4,)=""),"",VLOOKUP($B99,'A1.3.11'!$B$26:$AM$105,AK$22,)*(VLOOKUP($B99,'A1.3.7'!$B$28:$O$118,4,)+VLOOKUP($B99,'A1.3.7'!$B$28:$O$118,9,))))</f>
        <v>18.255953792213333</v>
      </c>
      <c r="AL99" s="691">
        <f>IF('A1.3.8'!F$31="","",IF(OR(VLOOKUP($B99,'A1.3.11'!$B$26:$AM$105,AL$22,)="",VLOOKUP($B99,'A1.3.7'!$B$28:$H$118,4,)=""),"",VLOOKUP($B99,'A1.3.11'!$B$26:$AM$105,AL$22,)*(VLOOKUP($B99,'A1.3.7'!$B$28:$O$118,4,)+VLOOKUP($B99,'A1.3.7'!$B$28:$O$118,9,))))</f>
        <v>-0.13195414992182775</v>
      </c>
      <c r="AM99" s="2644">
        <f>IF('A1.3.8'!G$31="","",IF(OR(VLOOKUP($B99,'A1.3.11'!$B$26:$AM$105,AM$22,)="",VLOOKUP($B99,'A1.3.7'!$B$28:$H$118,4,)=""),"",VLOOKUP($B99,'A1.3.11'!$B$26:$AM$105,AM$22,)*(VLOOKUP($B99,'A1.3.7'!$B$28:$O$118,4,)+VLOOKUP($B99,'A1.3.7'!$B$28:$O$118,9,))))</f>
        <v>1.4411510380458266E-3</v>
      </c>
      <c r="AN99" s="693" t="str">
        <f>IF('A1.3.8'!D$38="","",IF(OR(VLOOKUP($B99,'A1.3.11'!$B$26:$AM$105,AN$22,)="",VLOOKUP($B99,'A1.3.7'!$B$28:$H$118,6,)=""),"",VLOOKUP($B99,'A1.3.11'!$B$26:$AM$105,AN$22,)*VLOOKUP($B99,'A1.3.7'!$B$28:$O$118,6,)))</f>
        <v/>
      </c>
      <c r="AO99" s="691" t="str">
        <f>IF('A1.3.8'!E$38="","",IF(OR(VLOOKUP($B99,'A1.3.11'!$B$26:$AM$105,AO$22,)="",VLOOKUP($B99,'A1.3.7'!$B$28:$H$118,6,)=""),"",VLOOKUP($B99,'A1.3.11'!$B$26:$AM$105,AO$22,)*VLOOKUP($B99,'A1.3.7'!$B$28:$O$118,6,)))</f>
        <v/>
      </c>
      <c r="AP99" s="691" t="str">
        <f>IF('A1.3.8'!F$38="","",IF(OR(VLOOKUP($B99,'A1.3.11'!$B$26:$AM$105,AP$22,)="",VLOOKUP($B99,'A1.3.7'!$B$28:$H$118,6,)=""),"",VLOOKUP($B99,'A1.3.11'!$B$26:$AM$105,AP$22,)*VLOOKUP($B99,'A1.3.7'!$B$28:$O$118,6,)))</f>
        <v/>
      </c>
      <c r="AQ99" s="1664" t="str">
        <f>IF('A1.3.8'!G$38="","",IF(OR(VLOOKUP($B99,'A1.3.11'!$B$26:$AM$105,AQ$22,)="",VLOOKUP($B99,'A1.3.7'!$B$28:$H$118,6,)=""),"",VLOOKUP($B99,'A1.3.11'!$B$26:$AM$105,AQ$22,)*VLOOKUP($B99,'A1.3.7'!$B$28:$O$118,6,)))</f>
        <v/>
      </c>
      <c r="AR99" s="693">
        <f>IF(AND(AJ99="",AN99=""),"",IF(AJ99="",0,(AJ99*VLOOKUP($B99,'A1.3.9'!$B$26:$O$57,9,TRUE))) + IF(AN99="",0,(AN99*VLOOKUP($B99,'A1.3.9'!$B$26:$O$57,10,TRUE))))</f>
        <v>344.0805767215378</v>
      </c>
      <c r="AS99" s="691">
        <f>IF(AND(AK99="",AO99=""),"",IF(AK99="",0,(AK99*VLOOKUP($B99,'A1.3.9'!$B$26:$O$57,9,TRUE))) + IF(AO99="",0,(AO99*VLOOKUP($B99,'A1.3.9'!$B$26:$O$57,10,TRUE))))</f>
        <v>18.255953792213333</v>
      </c>
      <c r="AT99" s="691">
        <f>IF(AND(AL99="",AP99=""),"",IF(AL99="",0,(AL99*VLOOKUP($B99,'A1.3.9'!$B$26:$O$57,9,TRUE))) + IF(AP99="",0,(AP99*VLOOKUP($B99,'A1.3.9'!$B$26:$O$57,10,TRUE))))</f>
        <v>-0.13195414992182775</v>
      </c>
      <c r="AU99" s="2644">
        <f>IF(AND(AM99="",AQ99=""),"",IF(AM99="",0,(AM99*VLOOKUP($B99,'A1.3.9'!$B$26:$O$57,9,TRUE))) + IF(AQ99="",0,(AQ99*VLOOKUP($B99,'A1.3.9'!$B$26:$O$57,10,TRUE))))</f>
        <v>1.4411510380458266E-3</v>
      </c>
      <c r="AV99" s="693">
        <f>IF('A1.3.8'!D$32="","",IF(OR(VLOOKUP($B99,'A1.3.11'!$B$26:$AM$105,AV$22,)="",VLOOKUP($B99,'A1.3.7'!$B$28:$H$118,4,)=""),"",VLOOKUP($B99,'A1.3.11'!$B$26:$AM$105,AV$22,)*(VLOOKUP($B99,'A1.3.7'!$B$28:$O$118,4,)+VLOOKUP($B99,'A1.3.7'!$B$28:$O$118,9,))))</f>
        <v>723.00295108661271</v>
      </c>
      <c r="AW99" s="691">
        <f>IF('A1.3.8'!E$32="","",IF(OR(VLOOKUP($B99,'A1.3.11'!$B$26:$AM$105,AW$22,)="",VLOOKUP($B99,'A1.3.7'!$B$28:$H$118,4,)=""),"",VLOOKUP($B99,'A1.3.11'!$B$26:$AM$105,AW$22,)*(VLOOKUP($B99,'A1.3.7'!$B$28:$O$118,4,)+VLOOKUP($B99,'A1.3.7'!$B$28:$O$118,9,))))</f>
        <v>37.546824340044751</v>
      </c>
      <c r="AX99" s="691">
        <f>IF('A1.3.8'!F$32="","",IF(OR(VLOOKUP($B99,'A1.3.11'!$B$26:$AM$105,AX$22,)="",VLOOKUP($B99,'A1.3.7'!$B$28:$H$118,4,)=""),"",VLOOKUP($B99,'A1.3.11'!$B$26:$AM$105,AX$22,)*(VLOOKUP($B99,'A1.3.7'!$B$28:$O$118,4,)+VLOOKUP($B99,'A1.3.7'!$B$28:$O$118,9,))))</f>
        <v>-0.24876746325892263</v>
      </c>
      <c r="AY99" s="2644">
        <f>IF('A1.3.8'!G$32="","",IF(OR(VLOOKUP($B99,'A1.3.11'!$B$26:$AM$105,AY$22,)="",VLOOKUP($B99,'A1.3.7'!$B$28:$H$118,4,)=""),"",VLOOKUP($B99,'A1.3.11'!$B$26:$AM$105,AY$22,)*(VLOOKUP($B99,'A1.3.7'!$B$28:$O$118,4,)+VLOOKUP($B99,'A1.3.7'!$B$28:$O$118,9,))))</f>
        <v>1.4827575265601988E-3</v>
      </c>
      <c r="AZ99" s="693" t="str">
        <f>IF('A1.3.8'!D$39="","",IF(OR(VLOOKUP($B99,'A1.3.11'!$B$26:$AM$105,AZ$22,)="",VLOOKUP($B99,'A1.3.7'!$B$28:$H$118,6,)=""),"",VLOOKUP($B99,'A1.3.11'!$B$26:$AM$105,AZ$22,)*VLOOKUP($B99,'A1.3.7'!$B$28:$O$118,6,)))</f>
        <v/>
      </c>
      <c r="BA99" s="691" t="str">
        <f>IF('A1.3.8'!E$39="","",IF(OR(VLOOKUP($B99,'A1.3.11'!$B$26:$AM$105,BA$22,)="",VLOOKUP($B99,'A1.3.7'!$B$28:$H$118,6,)=""),"",VLOOKUP($B99,'A1.3.11'!$B$26:$AM$105,BA$22,)*VLOOKUP($B99,'A1.3.7'!$B$28:$O$118,6,)))</f>
        <v/>
      </c>
      <c r="BB99" s="691" t="str">
        <f>IF('A1.3.8'!F$39="","",IF(OR(VLOOKUP($B99,'A1.3.11'!$B$26:$AM$105,BB$22,)="",VLOOKUP($B99,'A1.3.7'!$B$28:$H$118,6,)=""),"",VLOOKUP($B99,'A1.3.11'!$B$26:$AM$105,BB$22,)*VLOOKUP($B99,'A1.3.7'!$B$28:$O$118,6,)))</f>
        <v/>
      </c>
      <c r="BC99" s="1664" t="str">
        <f>IF('A1.3.8'!G$39="","",IF(OR(VLOOKUP($B99,'A1.3.11'!$B$26:$AM$105,BC$22,)="",VLOOKUP($B99,'A1.3.7'!$B$28:$H$118,6,)=""),"",VLOOKUP($B99,'A1.3.11'!$B$26:$AM$105,BC$22,)*VLOOKUP($B99,'A1.3.7'!$B$28:$O$118,6,)))</f>
        <v/>
      </c>
      <c r="BD99" s="693">
        <f>IF(AND(AV99="",AZ99=""),"",IF(AV99="",0,(AV99*VLOOKUP($B99,'A1.3.9'!$B$26:$O$57,9,TRUE))) + IF(AZ99="",0,(AZ99*VLOOKUP($B99,'A1.3.9'!$B$26:$O$57,10,TRUE))))</f>
        <v>723.00295108661271</v>
      </c>
      <c r="BE99" s="691">
        <f>IF(AND(AW99="",BA99=""),"",IF(AW99="",0,(AW99*VLOOKUP($B99,'A1.3.9'!$B$26:$O$57,9,TRUE))) + IF(BA99="",0,(BA99*VLOOKUP($B99,'A1.3.9'!$B$26:$O$57,10,TRUE))))</f>
        <v>37.546824340044751</v>
      </c>
      <c r="BF99" s="691">
        <f>IF(AND(AX99="",BB99=""),"",IF(AX99="",0,(AX99*VLOOKUP($B99,'A1.3.9'!$B$26:$O$57,9,TRUE))) + IF(BB99="",0,(BB99*VLOOKUP($B99,'A1.3.9'!$B$26:$O$57,10,TRUE))))</f>
        <v>-0.24876746325892263</v>
      </c>
      <c r="BG99" s="2644">
        <f>IF(AND(AY99="",BC99=""),"",IF(AY99="",0,(AY99*VLOOKUP($B99,'A1.3.9'!$B$26:$O$57,9,TRUE))) + IF(BC99="",0,(BC99*VLOOKUP($B99,'A1.3.9'!$B$26:$O$57,10,TRUE))))</f>
        <v>1.4827575265601988E-3</v>
      </c>
      <c r="BH99" s="693">
        <f>IF('A1.3.8'!D$33="","",IF(OR(VLOOKUP($B99,'A1.3.11'!$B$26:$AM$105,BH$22,)="",VLOOKUP($B99,'A1.3.7'!$B$28:$H$118,4,)=""),"",VLOOKUP($B99,'A1.3.11'!$B$26:$AM$105,BH$22,)*(VLOOKUP($B99,'A1.3.7'!$B$28:$O$118,4,)+VLOOKUP($B99,'A1.3.7'!$B$28:$O$118,9,))))</f>
        <v>428.80301695420457</v>
      </c>
      <c r="BI99" s="691">
        <f>IF('A1.3.8'!E$33="","",IF(OR(VLOOKUP($B99,'A1.3.11'!$B$26:$AM$105,BI$22,)="",VLOOKUP($B99,'A1.3.7'!$B$28:$H$118,4,)=""),"",VLOOKUP($B99,'A1.3.11'!$B$26:$AM$105,BI$22,)*(VLOOKUP($B99,'A1.3.7'!$B$28:$O$118,4,)+VLOOKUP($B99,'A1.3.7'!$B$28:$O$118,9,))))</f>
        <v>37.677613573926585</v>
      </c>
      <c r="BJ99" s="691">
        <f>IF('A1.3.8'!F$33="","",IF(OR(VLOOKUP($B99,'A1.3.11'!$B$26:$AM$105,BJ$22,)="",VLOOKUP($B99,'A1.3.7'!$B$28:$H$118,4,)=""),"",VLOOKUP($B99,'A1.3.11'!$B$26:$AM$105,BJ$22,)*(VLOOKUP($B99,'A1.3.7'!$B$28:$O$118,4,)+VLOOKUP($B99,'A1.3.7'!$B$28:$O$118,9,))))</f>
        <v>-0.40952207776810534</v>
      </c>
      <c r="BK99" s="2644">
        <f>IF('A1.3.8'!G$33="","",IF(OR(VLOOKUP($B99,'A1.3.11'!$B$26:$AM$105,BK$22,)="",VLOOKUP($B99,'A1.3.7'!$B$28:$H$118,4,)=""),"",VLOOKUP($B99,'A1.3.11'!$B$26:$AM$105,BK$22,)*(VLOOKUP($B99,'A1.3.7'!$B$28:$O$118,4,)+VLOOKUP($B99,'A1.3.7'!$B$28:$O$118,9,))))</f>
        <v>3.0040118327185313E-3</v>
      </c>
      <c r="BL99" s="693" t="str">
        <f>IF('A1.3.8'!D$40="","",IF(OR(VLOOKUP($B99,'A1.3.11'!$B$26:$AM$105,BL$22,)="",VLOOKUP($B99,'A1.3.7'!$B$28:$H$118,6,)=""),"",VLOOKUP($B99,'A1.3.11'!$B$26:$AM$105,BL$22,)*VLOOKUP($B99,'A1.3.7'!$B$28:$O$118,6,)))</f>
        <v/>
      </c>
      <c r="BM99" s="691" t="str">
        <f>IF('A1.3.8'!E$40="","",IF(OR(VLOOKUP($B99,'A1.3.11'!$B$26:$AM$105,BM$22,)="",VLOOKUP($B99,'A1.3.7'!$B$28:$H$118,6,)=""),"",VLOOKUP($B99,'A1.3.11'!$B$26:$AM$105,BM$22,)*VLOOKUP($B99,'A1.3.7'!$B$28:$O$118,6,)))</f>
        <v/>
      </c>
      <c r="BN99" s="691" t="str">
        <f>IF('A1.3.8'!F$40="","",IF(OR(VLOOKUP($B99,'A1.3.11'!$B$26:$AM$105,BN$22,)="",VLOOKUP($B99,'A1.3.7'!$B$28:$H$118,6,)=""),"",VLOOKUP($B99,'A1.3.11'!$B$26:$AM$105,BN$22,)*VLOOKUP($B99,'A1.3.7'!$B$28:$O$118,6,)))</f>
        <v/>
      </c>
      <c r="BO99" s="1664" t="str">
        <f>IF('A1.3.8'!G$40="","",IF(OR(VLOOKUP($B99,'A1.3.11'!$B$26:$AM$105,BO$22,)="",VLOOKUP($B99,'A1.3.7'!$B$28:$H$118,6,)=""),"",VLOOKUP($B99,'A1.3.11'!$B$26:$AM$105,BO$22,)*VLOOKUP($B99,'A1.3.7'!$B$28:$O$118,6,)))</f>
        <v/>
      </c>
      <c r="BP99" s="693">
        <f>IF(AND(BH99="",BL99=""),"",IF(BH99="",0,(BH99*VLOOKUP($B99,'A1.3.9'!$B$26:$O$57,9,TRUE))) + IF(BL99="",0,(BL99*VLOOKUP($B99,'A1.3.9'!$B$26:$O$57,10,TRUE))))</f>
        <v>428.80301695420457</v>
      </c>
      <c r="BQ99" s="691">
        <f>IF(AND(BI99="",BM99=""),"",IF(BI99="",0,(BI99*VLOOKUP($B99,'A1.3.9'!$B$26:$O$57,9,TRUE))) + IF(BM99="",0,(BM99*VLOOKUP($B99,'A1.3.9'!$B$26:$O$57,10,TRUE))))</f>
        <v>37.677613573926585</v>
      </c>
      <c r="BR99" s="691">
        <f>IF(AND(BJ99="",BN99=""),"",IF(BJ99="",0,(BJ99*VLOOKUP($B99,'A1.3.9'!$B$26:$O$57,9,TRUE))) + IF(BN99="",0,(BN99*VLOOKUP($B99,'A1.3.9'!$B$26:$O$57,10,TRUE))))</f>
        <v>-0.40952207776810534</v>
      </c>
      <c r="BS99" s="2644">
        <f>IF(AND(BK99="",BO99=""),"",IF(BK99="",0,(BK99*VLOOKUP($B99,'A1.3.9'!$B$26:$O$57,9,TRUE))) + IF(BO99="",0,(BO99*VLOOKUP($B99,'A1.3.9'!$B$26:$O$57,10,TRUE))))</f>
        <v>3.0040118327185313E-3</v>
      </c>
    </row>
    <row r="100" spans="1:71" ht="13.5" customHeight="1">
      <c r="A100" s="113"/>
      <c r="B100" s="614">
        <f t="shared" si="1"/>
        <v>2083</v>
      </c>
      <c r="C100" s="147"/>
      <c r="D100" s="693">
        <f>IF('A1.3.8'!D$27="","",IF(OR(VLOOKUP($B100,'A1.3.11'!$B$26:$AM$105,D$22,)="",VLOOKUP($B100,'A1.3.7'!$B$28:$H$118,3,)=""),"",VLOOKUP($B100,'A1.3.11'!$B$26:$AM$105,D$22,)*(VLOOKUP($B100,'A1.3.7'!$B$28:$O$118,3,)+VLOOKUP($B100,'A1.3.7'!$B$28:$O$118,8,))))</f>
        <v>40.401576392839566</v>
      </c>
      <c r="E100" s="691">
        <f>IF('A1.3.8'!E$27="","",IF(OR(VLOOKUP($B100,'A1.3.11'!$B$26:$AM$105,E$22,)="",VLOOKUP($B100,'A1.3.7'!$B$28:$H$118,3,)=""),"",VLOOKUP($B100,'A1.3.11'!$B$26:$AM$105,E$22,)*(VLOOKUP($B100,'A1.3.7'!$B$28:$O$118,3,)+VLOOKUP($B100,'A1.3.7'!$B$28:$O$118,8,))))</f>
        <v>8.5859903337405807</v>
      </c>
      <c r="F100" s="691">
        <f>IF('A1.3.8'!F$27="","",IF(OR(VLOOKUP($B100,'A1.3.11'!$B$26:$AM$105,F$22,)="",VLOOKUP($B100,'A1.3.7'!$B$28:$H$118,3,)=""),"",VLOOKUP($B100,'A1.3.11'!$B$26:$AM$105,F$22,)*(VLOOKUP($B100,'A1.3.7'!$B$28:$O$118,3,)+VLOOKUP($B100,'A1.3.7'!$B$28:$O$118,8,))))</f>
        <v>-9.7804611904400582E-2</v>
      </c>
      <c r="G100" s="2644">
        <f>IF('A1.3.8'!G$27="","",IF(OR(VLOOKUP($B100,'A1.3.11'!$B$26:$AM$105,G$22,)="",VLOOKUP($B100,'A1.3.7'!$B$28:$H$118,3,)=""),"",VLOOKUP($B100,'A1.3.11'!$B$26:$AM$105,G$22,)*(VLOOKUP($B100,'A1.3.7'!$B$28:$O$118,3,)+VLOOKUP($B100,'A1.3.7'!$B$28:$O$118,8,))))</f>
        <v>6.4775207515113675E-4</v>
      </c>
      <c r="H100" s="693">
        <f>IF('A1.3.8'!D$28="","",IF(OR(VLOOKUP($B100,'A1.3.11'!$B$26:$AM$105,H$22,)="",VLOOKUP($B100,'A1.3.7'!$B$28:$H$118,4,)=""),"",VLOOKUP($B100,'A1.3.11'!$B$26:$AM$105,H$22,)*(VLOOKUP($B100,'A1.3.7'!$B$28:$O$118,4,)+VLOOKUP($B100,'A1.3.7'!$B$28:$O$118,9,))))</f>
        <v>49.637186857565339</v>
      </c>
      <c r="I100" s="691">
        <f>IF('A1.3.8'!E$28="","",IF(OR(VLOOKUP($B100,'A1.3.11'!$B$26:$AM$105,I$22,)="",VLOOKUP($B100,'A1.3.7'!$B$28:$H$118,4,)=""),"",VLOOKUP($B100,'A1.3.11'!$B$26:$AM$105,I$22,)*(VLOOKUP($B100,'A1.3.7'!$B$28:$O$118,4,)+VLOOKUP($B100,'A1.3.7'!$B$28:$O$118,9,))))</f>
        <v>7.116745069139486</v>
      </c>
      <c r="J100" s="691">
        <f>IF('A1.3.8'!F$28="","",IF(OR(VLOOKUP($B100,'A1.3.11'!$B$26:$AM$105,J$22,)="",VLOOKUP($B100,'A1.3.7'!$B$28:$H$118,4,)=""),"",VLOOKUP($B100,'A1.3.11'!$B$26:$AM$105,J$22,)*(VLOOKUP($B100,'A1.3.7'!$B$28:$O$118,4,)+VLOOKUP($B100,'A1.3.7'!$B$28:$O$118,9,))))</f>
        <v>-6.8465070152757337E-2</v>
      </c>
      <c r="K100" s="2644">
        <f>IF('A1.3.8'!G$28="","",IF(OR(VLOOKUP($B100,'A1.3.11'!$B$26:$AM$105,K$22,)="",VLOOKUP($B100,'A1.3.7'!$B$28:$H$118,4,)=""),"",VLOOKUP($B100,'A1.3.11'!$B$26:$AM$105,K$22,)*(VLOOKUP($B100,'A1.3.7'!$B$28:$O$118,4,)+VLOOKUP($B100,'A1.3.7'!$B$28:$O$118,9,))))</f>
        <v>5.3950818774755336E-4</v>
      </c>
      <c r="L100" s="693" t="str">
        <f>IF('A1.3.8'!D$36="","",IF(OR(VLOOKUP($B100,'A1.3.11'!$B$26:$AM$105,L$22,)="",VLOOKUP($B100,'A1.3.7'!$B$28:$H$118,6,)=""),"",VLOOKUP($B100,'A1.3.11'!$B$26:$AM$105,L$22,)*VLOOKUP($B100,'A1.3.7'!$B$28:$O$118,6,)))</f>
        <v/>
      </c>
      <c r="M100" s="691">
        <f>IF('A1.3.8'!E$36="","",IF(OR(VLOOKUP($B100,'A1.3.11'!$B$26:$AM$105,M$22,)="",VLOOKUP($B100,'A1.3.7'!$B$28:$H$118,6,)=""),"",VLOOKUP($B100,'A1.3.11'!$B$26:$AM$105,M$22,)*VLOOKUP($B100,'A1.3.7'!$B$28:$O$118,6,)))</f>
        <v>1.9637608285706969</v>
      </c>
      <c r="N100" s="691" t="str">
        <f>IF('A1.3.8'!F$36="","",IF(OR(VLOOKUP($B100,'A1.3.11'!$B$26:$AM$105,N$22,)="",VLOOKUP($B100,'A1.3.7'!$B$28:$H$118,6,)=""),"",VLOOKUP($B100,'A1.3.11'!$B$26:$AM$105,N$22,)*VLOOKUP($B100,'A1.3.7'!$B$28:$O$118,6,)))</f>
        <v/>
      </c>
      <c r="O100" s="1664" t="str">
        <f>IF('A1.3.8'!G$36="","",IF(OR(VLOOKUP($B100,'A1.3.11'!$B$26:$AM$105,O$22,)="",VLOOKUP($B100,'A1.3.7'!$B$28:$H$118,6,)=""),"",VLOOKUP($B100,'A1.3.11'!$B$26:$AM$105,O$22,)*VLOOKUP($B100,'A1.3.7'!$B$28:$O$118,6,)))</f>
        <v/>
      </c>
      <c r="P100" s="693">
        <f>IF(AND(D100="",H100="",L100=""),"",IF(D100="",0,(D100*VLOOKUP($B100,'A1.3.9'!$B$26:$O$57,3,TRUE)))+IF(H100="",0,(H100*VLOOKUP($B100,'A1.3.9'!$B$26:$O$57,4,TRUE)))+IF(L100="",0,(L100*VLOOKUP($B100,'A1.3.9'!$B$26:$O$57,5,TRUE))))</f>
        <v>33.45665068720146</v>
      </c>
      <c r="Q100" s="691">
        <f>IF(AND(E100="",I100="",M100=""),"",IF(E100="",0,(E100*VLOOKUP($B100,'A1.3.9'!$B$26:$O$57,3,TRUE)))+IF(I100="",0,(I100*VLOOKUP($B100,'A1.3.9'!$B$26:$O$57,4,TRUE)))+IF(M100="",0,(M100*VLOOKUP($B100,'A1.3.9'!$B$26:$O$57,5,TRUE))))</f>
        <v>6.5271595967198763</v>
      </c>
      <c r="R100" s="691">
        <f>IF(AND(F100="",J100="",N100=""),"",IF(F100="",0,(F100*VLOOKUP($B100,'A1.3.9'!$B$26:$O$57,3,TRUE)))+IF(J100="",0,(J100*VLOOKUP($B100,'A1.3.9'!$B$26:$O$57,4,TRUE)))+IF(N100="",0,(N100*VLOOKUP($B100,'A1.3.9'!$B$26:$O$57,5,TRUE))))</f>
        <v>-6.5039953609758699E-2</v>
      </c>
      <c r="S100" s="2644">
        <f>IF(AND(G100="",K100="",O100=""),"",IF(G100="",0,(G100*VLOOKUP($B100,'A1.3.9'!$B$26:$O$57,3,TRUE)))+IF(K100="",0,(K100*VLOOKUP($B100,'A1.3.9'!$B$26:$O$57,4,TRUE)))+IF(O100="",0,(O100*VLOOKUP($B100,'A1.3.9'!$B$26:$O$57,5,TRUE))))</f>
        <v>4.5731300693525173E-4</v>
      </c>
      <c r="T100" s="693">
        <f>IF('A1.3.8'!D$29="","",IF(OR(VLOOKUP($B100,'A1.3.11'!$B$26:$AM$105,T$22,)="",VLOOKUP($B100,'A1.3.7'!$B$28:$H$118,3,)=""),"",VLOOKUP($B100,'A1.3.11'!$B$26:$AM$105,T$22,)*(VLOOKUP($B100,'A1.3.7'!$B$28:$O$118,3,)+VLOOKUP($B100,'A1.3.7'!$B$28:$O$118,8,))))</f>
        <v>29.062189963404371</v>
      </c>
      <c r="U100" s="691">
        <f>IF('A1.3.8'!E$29="","",IF(OR(VLOOKUP($B100,'A1.3.11'!$B$26:$AM$105,U$22,)="",VLOOKUP($B100,'A1.3.7'!$B$28:$H$118,3,)=""),"",VLOOKUP($B100,'A1.3.11'!$B$26:$AM$105,U$22,)*(VLOOKUP($B100,'A1.3.7'!$B$28:$O$118,3,)+VLOOKUP($B100,'A1.3.7'!$B$28:$O$118,8,))))</f>
        <v>16.296393825530053</v>
      </c>
      <c r="V100" s="691">
        <f>IF('A1.3.8'!F$29="","",IF(OR(VLOOKUP($B100,'A1.3.11'!$B$26:$AM$105,V$22,)="",VLOOKUP($B100,'A1.3.7'!$B$28:$H$118,3,)=""),"",VLOOKUP($B100,'A1.3.11'!$B$26:$AM$105,V$22,)*(VLOOKUP($B100,'A1.3.7'!$B$28:$O$118,3,)+VLOOKUP($B100,'A1.3.7'!$B$28:$O$118,8,))))</f>
        <v>-0.25579989186631497</v>
      </c>
      <c r="W100" s="2644">
        <f>IF('A1.3.8'!G$29="","",IF(OR(VLOOKUP($B100,'A1.3.11'!$B$26:$AM$105,W$22,)="",VLOOKUP($B100,'A1.3.7'!$B$28:$H$118,3,)=""),"",VLOOKUP($B100,'A1.3.11'!$B$26:$AM$105,W$22,)*(VLOOKUP($B100,'A1.3.7'!$B$28:$O$118,3,)+VLOOKUP($B100,'A1.3.7'!$B$28:$O$118,8,))))</f>
        <v>1.6519652615134769E-3</v>
      </c>
      <c r="X100" s="693">
        <f>IF('A1.3.8'!D$30="","",IF(OR(VLOOKUP($B100,'A1.3.11'!$B$26:$AM$105,X$22,)="",VLOOKUP($B100,'A1.3.7'!$B$28:$H$118,4,)=""),"",VLOOKUP($B100,'A1.3.11'!$B$26:$AM$105,X$22,)*(VLOOKUP($B100,'A1.3.7'!$B$28:$O$118,4,)+VLOOKUP($B100,'A1.3.7'!$B$28:$O$118,9,))))</f>
        <v>51.121486790845175</v>
      </c>
      <c r="Y100" s="691">
        <f>IF('A1.3.8'!E$30="","",IF(OR(VLOOKUP($B100,'A1.3.11'!$B$26:$AM$105,Y$22,)="",VLOOKUP($B100,'A1.3.7'!$B$28:$H$118,4,)=""),"",VLOOKUP($B100,'A1.3.11'!$B$26:$AM$105,Y$22,)*(VLOOKUP($B100,'A1.3.7'!$B$28:$O$118,4,)+VLOOKUP($B100,'A1.3.7'!$B$28:$O$118,9,))))</f>
        <v>12.494299708699614</v>
      </c>
      <c r="Z100" s="691">
        <f>IF('A1.3.8'!F$30="","",IF(OR(VLOOKUP($B100,'A1.3.11'!$B$26:$AM$105,Z$22,)="",VLOOKUP($B100,'A1.3.7'!$B$28:$H$118,4,)=""),"",VLOOKUP($B100,'A1.3.11'!$B$26:$AM$105,Z$22,)*(VLOOKUP($B100,'A1.3.7'!$B$28:$O$118,4,)+VLOOKUP($B100,'A1.3.7'!$B$28:$O$118,9,))))</f>
        <v>-0.18025298097540746</v>
      </c>
      <c r="AA100" s="2644">
        <f>IF('A1.3.8'!G$30="","",IF(OR(VLOOKUP($B100,'A1.3.11'!$B$26:$AM$105,AA$22,)="",VLOOKUP($B100,'A1.3.7'!$B$28:$H$118,4,)=""),"",VLOOKUP($B100,'A1.3.11'!$B$26:$AM$105,AA$22,)*(VLOOKUP($B100,'A1.3.7'!$B$28:$O$118,4,)+VLOOKUP($B100,'A1.3.7'!$B$28:$O$118,9,))))</f>
        <v>1.5260280218447665E-3</v>
      </c>
      <c r="AB100" s="693" t="str">
        <f>IF('A1.3.8'!D$37="","",IF(OR(VLOOKUP($B100,'A1.3.11'!$B$26:$AM$105,AB$22,)="",VLOOKUP($B100,'A1.3.7'!$B$28:$H$118,6,)=""),"",VLOOKUP($B100,'A1.3.11'!$B$26:$AM$105,AB$22,)*VLOOKUP($B100,'A1.3.7'!$B$28:$O$118,6,)))</f>
        <v/>
      </c>
      <c r="AC100" s="691">
        <f>IF('A1.3.8'!E$37="","",IF(OR(VLOOKUP($B100,'A1.3.11'!$B$26:$AM$105,AC$22,)="",VLOOKUP($B100,'A1.3.7'!$B$28:$H$118,6,)=""),"",VLOOKUP($B100,'A1.3.11'!$B$26:$AM$105,AC$22,)*VLOOKUP($B100,'A1.3.7'!$B$28:$O$118,6,)))</f>
        <v>4.5145632825273854</v>
      </c>
      <c r="AD100" s="691" t="str">
        <f>IF('A1.3.8'!F$37="","",IF(OR(VLOOKUP($B100,'A1.3.11'!$B$26:$AM$105,AD$22,)="",VLOOKUP($B100,'A1.3.7'!$B$28:$H$118,6,)=""),"",VLOOKUP($B100,'A1.3.11'!$B$26:$AM$105,AD$22,)*VLOOKUP($B100,'A1.3.7'!$B$28:$O$118,6,)))</f>
        <v/>
      </c>
      <c r="AE100" s="1664" t="str">
        <f>IF('A1.3.8'!G$37="","",IF(OR(VLOOKUP($B100,'A1.3.11'!$B$26:$AM$105,AE$22,)="",VLOOKUP($B100,'A1.3.7'!$B$28:$H$118,6,)=""),"",VLOOKUP($B100,'A1.3.11'!$B$26:$AM$105,AE$22,)*VLOOKUP($B100,'A1.3.7'!$B$28:$O$118,6,)))</f>
        <v/>
      </c>
      <c r="AF100" s="693">
        <f>IF(AND(T100="",X100="",AB100=""),"",IF(T100="",0,(T100*VLOOKUP('A1.3.12'!$B100,'A1.3.9'!$B$26:$O$57,6,TRUE))) + IF(X100="",0,(X100*VLOOKUP('A1.3.12'!$B100,'A1.3.9'!$B$26:$O$57,7,TRUE))) + IF(AB100="",0,(AB100*VLOOKUP('A1.3.12'!$B100,'A1.3.9'!$B$26:$O$57,8,TRUE))))</f>
        <v>45.360470234313482</v>
      </c>
      <c r="AG100" s="691">
        <f>IF(AND(U100="",Y100="",AC100=""),"",IF(U100="",0,(U100*VLOOKUP('A1.3.12'!$B100,'A1.3.9'!$B$26:$O$57,6,TRUE))) + IF(Y100="",0,(Y100*VLOOKUP('A1.3.12'!$B100,'A1.3.9'!$B$26:$O$57,7,TRUE))) + IF(AC100="",0,(AC100*VLOOKUP('A1.3.12'!$B100,'A1.3.9'!$B$26:$O$57,8,TRUE))))</f>
        <v>11.649972056240109</v>
      </c>
      <c r="AH100" s="691">
        <f>IF(AND(V100="",Z100="",AD100=""),"",IF(V100="",0,(V100*VLOOKUP('A1.3.12'!$B100,'A1.3.9'!$B$26:$O$57,6,TRUE))) + IF(Z100="",0,(Z100*VLOOKUP('A1.3.12'!$B100,'A1.3.9'!$B$26:$O$57,7,TRUE))) + IF(AD100="",0,(AD100*VLOOKUP('A1.3.12'!$B100,'A1.3.9'!$B$26:$O$57,8,TRUE))))</f>
        <v>-0.16110222358506329</v>
      </c>
      <c r="AI100" s="2644">
        <f>IF(AND(W100="",AA100="",AE100=""),"",IF(W100="",0,(W100*VLOOKUP('A1.3.12'!$B100,'A1.3.9'!$B$26:$O$57,6,TRUE))) + IF(AA100="",0,(AA100*VLOOKUP('A1.3.12'!$B100,'A1.3.9'!$B$26:$O$57,7,TRUE))) + IF(AE100="",0,(AE100*VLOOKUP('A1.3.12'!$B100,'A1.3.9'!$B$26:$O$57,8,TRUE))))</f>
        <v>1.3600029065057634E-3</v>
      </c>
      <c r="AJ100" s="693">
        <f>IF('A1.3.8'!D$31="","",IF(OR(VLOOKUP($B100,'A1.3.11'!$B$26:$AM$105,AJ$22,)="",VLOOKUP($B100,'A1.3.7'!$B$28:$H$118,4,)=""),"",VLOOKUP($B100,'A1.3.11'!$B$26:$AM$105,AJ$22,)*(VLOOKUP($B100,'A1.3.7'!$B$28:$O$118,4,)+VLOOKUP($B100,'A1.3.7'!$B$28:$O$118,9,))))</f>
        <v>345.57934860783058</v>
      </c>
      <c r="AK100" s="691">
        <f>IF('A1.3.8'!E$31="","",IF(OR(VLOOKUP($B100,'A1.3.11'!$B$26:$AM$105,AK$22,)="",VLOOKUP($B100,'A1.3.7'!$B$28:$H$118,4,)=""),"",VLOOKUP($B100,'A1.3.11'!$B$26:$AM$105,AK$22,)*(VLOOKUP($B100,'A1.3.7'!$B$28:$O$118,4,)+VLOOKUP($B100,'A1.3.7'!$B$28:$O$118,9,))))</f>
        <v>18.335474439853297</v>
      </c>
      <c r="AL100" s="691">
        <f>IF('A1.3.8'!F$31="","",IF(OR(VLOOKUP($B100,'A1.3.11'!$B$26:$AM$105,AL$22,)="",VLOOKUP($B100,'A1.3.7'!$B$28:$H$118,4,)=""),"",VLOOKUP($B100,'A1.3.11'!$B$26:$AM$105,AL$22,)*(VLOOKUP($B100,'A1.3.7'!$B$28:$O$118,4,)+VLOOKUP($B100,'A1.3.7'!$B$28:$O$118,9,))))</f>
        <v>-0.13252892566786631</v>
      </c>
      <c r="AM100" s="2644">
        <f>IF('A1.3.8'!G$31="","",IF(OR(VLOOKUP($B100,'A1.3.11'!$B$26:$AM$105,AM$22,)="",VLOOKUP($B100,'A1.3.7'!$B$28:$H$118,4,)=""),"",VLOOKUP($B100,'A1.3.11'!$B$26:$AM$105,AM$22,)*(VLOOKUP($B100,'A1.3.7'!$B$28:$O$118,4,)+VLOOKUP($B100,'A1.3.7'!$B$28:$O$118,9,))))</f>
        <v>1.4474285114222814E-3</v>
      </c>
      <c r="AN100" s="693" t="str">
        <f>IF('A1.3.8'!D$38="","",IF(OR(VLOOKUP($B100,'A1.3.11'!$B$26:$AM$105,AN$22,)="",VLOOKUP($B100,'A1.3.7'!$B$28:$H$118,6,)=""),"",VLOOKUP($B100,'A1.3.11'!$B$26:$AM$105,AN$22,)*VLOOKUP($B100,'A1.3.7'!$B$28:$O$118,6,)))</f>
        <v/>
      </c>
      <c r="AO100" s="691" t="str">
        <f>IF('A1.3.8'!E$38="","",IF(OR(VLOOKUP($B100,'A1.3.11'!$B$26:$AM$105,AO$22,)="",VLOOKUP($B100,'A1.3.7'!$B$28:$H$118,6,)=""),"",VLOOKUP($B100,'A1.3.11'!$B$26:$AM$105,AO$22,)*VLOOKUP($B100,'A1.3.7'!$B$28:$O$118,6,)))</f>
        <v/>
      </c>
      <c r="AP100" s="691" t="str">
        <f>IF('A1.3.8'!F$38="","",IF(OR(VLOOKUP($B100,'A1.3.11'!$B$26:$AM$105,AP$22,)="",VLOOKUP($B100,'A1.3.7'!$B$28:$H$118,6,)=""),"",VLOOKUP($B100,'A1.3.11'!$B$26:$AM$105,AP$22,)*VLOOKUP($B100,'A1.3.7'!$B$28:$O$118,6,)))</f>
        <v/>
      </c>
      <c r="AQ100" s="1664" t="str">
        <f>IF('A1.3.8'!G$38="","",IF(OR(VLOOKUP($B100,'A1.3.11'!$B$26:$AM$105,AQ$22,)="",VLOOKUP($B100,'A1.3.7'!$B$28:$H$118,6,)=""),"",VLOOKUP($B100,'A1.3.11'!$B$26:$AM$105,AQ$22,)*VLOOKUP($B100,'A1.3.7'!$B$28:$O$118,6,)))</f>
        <v/>
      </c>
      <c r="AR100" s="693">
        <f>IF(AND(AJ100="",AN100=""),"",IF(AJ100="",0,(AJ100*VLOOKUP($B100,'A1.3.9'!$B$26:$O$57,9,TRUE))) + IF(AN100="",0,(AN100*VLOOKUP($B100,'A1.3.9'!$B$26:$O$57,10,TRUE))))</f>
        <v>345.57934860783058</v>
      </c>
      <c r="AS100" s="691">
        <f>IF(AND(AK100="",AO100=""),"",IF(AK100="",0,(AK100*VLOOKUP($B100,'A1.3.9'!$B$26:$O$57,9,TRUE))) + IF(AO100="",0,(AO100*VLOOKUP($B100,'A1.3.9'!$B$26:$O$57,10,TRUE))))</f>
        <v>18.335474439853297</v>
      </c>
      <c r="AT100" s="691">
        <f>IF(AND(AL100="",AP100=""),"",IF(AL100="",0,(AL100*VLOOKUP($B100,'A1.3.9'!$B$26:$O$57,9,TRUE))) + IF(AP100="",0,(AP100*VLOOKUP($B100,'A1.3.9'!$B$26:$O$57,10,TRUE))))</f>
        <v>-0.13252892566786631</v>
      </c>
      <c r="AU100" s="2644">
        <f>IF(AND(AM100="",AQ100=""),"",IF(AM100="",0,(AM100*VLOOKUP($B100,'A1.3.9'!$B$26:$O$57,9,TRUE))) + IF(AQ100="",0,(AQ100*VLOOKUP($B100,'A1.3.9'!$B$26:$O$57,10,TRUE))))</f>
        <v>1.4474285114222814E-3</v>
      </c>
      <c r="AV100" s="693">
        <f>IF('A1.3.8'!D$32="","",IF(OR(VLOOKUP($B100,'A1.3.11'!$B$26:$AM$105,AV$22,)="",VLOOKUP($B100,'A1.3.7'!$B$28:$H$118,4,)=""),"",VLOOKUP($B100,'A1.3.11'!$B$26:$AM$105,AV$22,)*(VLOOKUP($B100,'A1.3.7'!$B$28:$O$118,4,)+VLOOKUP($B100,'A1.3.7'!$B$28:$O$118,9,))))</f>
        <v>726.15226136480453</v>
      </c>
      <c r="AW100" s="691">
        <f>IF('A1.3.8'!E$32="","",IF(OR(VLOOKUP($B100,'A1.3.11'!$B$26:$AM$105,AW$22,)="",VLOOKUP($B100,'A1.3.7'!$B$28:$H$118,4,)=""),"",VLOOKUP($B100,'A1.3.11'!$B$26:$AM$105,AW$22,)*(VLOOKUP($B100,'A1.3.7'!$B$28:$O$118,4,)+VLOOKUP($B100,'A1.3.7'!$B$28:$O$118,9,))))</f>
        <v>37.71037360305931</v>
      </c>
      <c r="AX100" s="691">
        <f>IF('A1.3.8'!F$32="","",IF(OR(VLOOKUP($B100,'A1.3.11'!$B$26:$AM$105,AX$22,)="",VLOOKUP($B100,'A1.3.7'!$B$28:$H$118,4,)=""),"",VLOOKUP($B100,'A1.3.11'!$B$26:$AM$105,AX$22,)*(VLOOKUP($B100,'A1.3.7'!$B$28:$O$118,4,)+VLOOKUP($B100,'A1.3.7'!$B$28:$O$118,9,))))</f>
        <v>-0.24985106316365824</v>
      </c>
      <c r="AY100" s="2644">
        <f>IF('A1.3.8'!G$32="","",IF(OR(VLOOKUP($B100,'A1.3.11'!$B$26:$AM$105,AY$22,)="",VLOOKUP($B100,'A1.3.7'!$B$28:$H$118,4,)=""),"",VLOOKUP($B100,'A1.3.11'!$B$26:$AM$105,AY$22,)*(VLOOKUP($B100,'A1.3.7'!$B$28:$O$118,4,)+VLOOKUP($B100,'A1.3.7'!$B$28:$O$118,9,))))</f>
        <v>1.489216232588223E-3</v>
      </c>
      <c r="AZ100" s="693" t="str">
        <f>IF('A1.3.8'!D$39="","",IF(OR(VLOOKUP($B100,'A1.3.11'!$B$26:$AM$105,AZ$22,)="",VLOOKUP($B100,'A1.3.7'!$B$28:$H$118,6,)=""),"",VLOOKUP($B100,'A1.3.11'!$B$26:$AM$105,AZ$22,)*VLOOKUP($B100,'A1.3.7'!$B$28:$O$118,6,)))</f>
        <v/>
      </c>
      <c r="BA100" s="691" t="str">
        <f>IF('A1.3.8'!E$39="","",IF(OR(VLOOKUP($B100,'A1.3.11'!$B$26:$AM$105,BA$22,)="",VLOOKUP($B100,'A1.3.7'!$B$28:$H$118,6,)=""),"",VLOOKUP($B100,'A1.3.11'!$B$26:$AM$105,BA$22,)*VLOOKUP($B100,'A1.3.7'!$B$28:$O$118,6,)))</f>
        <v/>
      </c>
      <c r="BB100" s="691" t="str">
        <f>IF('A1.3.8'!F$39="","",IF(OR(VLOOKUP($B100,'A1.3.11'!$B$26:$AM$105,BB$22,)="",VLOOKUP($B100,'A1.3.7'!$B$28:$H$118,6,)=""),"",VLOOKUP($B100,'A1.3.11'!$B$26:$AM$105,BB$22,)*VLOOKUP($B100,'A1.3.7'!$B$28:$O$118,6,)))</f>
        <v/>
      </c>
      <c r="BC100" s="1664" t="str">
        <f>IF('A1.3.8'!G$39="","",IF(OR(VLOOKUP($B100,'A1.3.11'!$B$26:$AM$105,BC$22,)="",VLOOKUP($B100,'A1.3.7'!$B$28:$H$118,6,)=""),"",VLOOKUP($B100,'A1.3.11'!$B$26:$AM$105,BC$22,)*VLOOKUP($B100,'A1.3.7'!$B$28:$O$118,6,)))</f>
        <v/>
      </c>
      <c r="BD100" s="693">
        <f>IF(AND(AV100="",AZ100=""),"",IF(AV100="",0,(AV100*VLOOKUP($B100,'A1.3.9'!$B$26:$O$57,9,TRUE))) + IF(AZ100="",0,(AZ100*VLOOKUP($B100,'A1.3.9'!$B$26:$O$57,10,TRUE))))</f>
        <v>726.15226136480453</v>
      </c>
      <c r="BE100" s="691">
        <f>IF(AND(AW100="",BA100=""),"",IF(AW100="",0,(AW100*VLOOKUP($B100,'A1.3.9'!$B$26:$O$57,9,TRUE))) + IF(BA100="",0,(BA100*VLOOKUP($B100,'A1.3.9'!$B$26:$O$57,10,TRUE))))</f>
        <v>37.71037360305931</v>
      </c>
      <c r="BF100" s="691">
        <f>IF(AND(AX100="",BB100=""),"",IF(AX100="",0,(AX100*VLOOKUP($B100,'A1.3.9'!$B$26:$O$57,9,TRUE))) + IF(BB100="",0,(BB100*VLOOKUP($B100,'A1.3.9'!$B$26:$O$57,10,TRUE))))</f>
        <v>-0.24985106316365824</v>
      </c>
      <c r="BG100" s="2644">
        <f>IF(AND(AY100="",BC100=""),"",IF(AY100="",0,(AY100*VLOOKUP($B100,'A1.3.9'!$B$26:$O$57,9,TRUE))) + IF(BC100="",0,(BC100*VLOOKUP($B100,'A1.3.9'!$B$26:$O$57,10,TRUE))))</f>
        <v>1.489216232588223E-3</v>
      </c>
      <c r="BH100" s="693">
        <f>IF('A1.3.8'!D$33="","",IF(OR(VLOOKUP($B100,'A1.3.11'!$B$26:$AM$105,BH$22,)="",VLOOKUP($B100,'A1.3.7'!$B$28:$H$118,4,)=""),"",VLOOKUP($B100,'A1.3.11'!$B$26:$AM$105,BH$22,)*(VLOOKUP($B100,'A1.3.7'!$B$28:$O$118,4,)+VLOOKUP($B100,'A1.3.7'!$B$28:$O$118,9,))))</f>
        <v>430.67082917624867</v>
      </c>
      <c r="BI100" s="691">
        <f>IF('A1.3.8'!E$33="","",IF(OR(VLOOKUP($B100,'A1.3.11'!$B$26:$AM$105,BI$22,)="",VLOOKUP($B100,'A1.3.7'!$B$28:$H$118,4,)=""),"",VLOOKUP($B100,'A1.3.11'!$B$26:$AM$105,BI$22,)*(VLOOKUP($B100,'A1.3.7'!$B$28:$O$118,4,)+VLOOKUP($B100,'A1.3.7'!$B$28:$O$118,9,))))</f>
        <v>37.841732538458857</v>
      </c>
      <c r="BJ100" s="691">
        <f>IF('A1.3.8'!F$33="","",IF(OR(VLOOKUP($B100,'A1.3.11'!$B$26:$AM$105,BJ$22,)="",VLOOKUP($B100,'A1.3.7'!$B$28:$H$118,4,)=""),"",VLOOKUP($B100,'A1.3.11'!$B$26:$AM$105,BJ$22,)*(VLOOKUP($B100,'A1.3.7'!$B$28:$O$118,4,)+VLOOKUP($B100,'A1.3.7'!$B$28:$O$118,9,))))</f>
        <v>-0.41130590463454236</v>
      </c>
      <c r="BK100" s="2644">
        <f>IF('A1.3.8'!G$33="","",IF(OR(VLOOKUP($B100,'A1.3.11'!$B$26:$AM$105,BK$22,)="",VLOOKUP($B100,'A1.3.7'!$B$28:$H$118,4,)=""),"",VLOOKUP($B100,'A1.3.11'!$B$26:$AM$105,BK$22,)*(VLOOKUP($B100,'A1.3.7'!$B$28:$O$118,4,)+VLOOKUP($B100,'A1.3.7'!$B$28:$O$118,9,))))</f>
        <v>3.0170969319236896E-3</v>
      </c>
      <c r="BL100" s="693" t="str">
        <f>IF('A1.3.8'!D$40="","",IF(OR(VLOOKUP($B100,'A1.3.11'!$B$26:$AM$105,BL$22,)="",VLOOKUP($B100,'A1.3.7'!$B$28:$H$118,6,)=""),"",VLOOKUP($B100,'A1.3.11'!$B$26:$AM$105,BL$22,)*VLOOKUP($B100,'A1.3.7'!$B$28:$O$118,6,)))</f>
        <v/>
      </c>
      <c r="BM100" s="691" t="str">
        <f>IF('A1.3.8'!E$40="","",IF(OR(VLOOKUP($B100,'A1.3.11'!$B$26:$AM$105,BM$22,)="",VLOOKUP($B100,'A1.3.7'!$B$28:$H$118,6,)=""),"",VLOOKUP($B100,'A1.3.11'!$B$26:$AM$105,BM$22,)*VLOOKUP($B100,'A1.3.7'!$B$28:$O$118,6,)))</f>
        <v/>
      </c>
      <c r="BN100" s="691" t="str">
        <f>IF('A1.3.8'!F$40="","",IF(OR(VLOOKUP($B100,'A1.3.11'!$B$26:$AM$105,BN$22,)="",VLOOKUP($B100,'A1.3.7'!$B$28:$H$118,6,)=""),"",VLOOKUP($B100,'A1.3.11'!$B$26:$AM$105,BN$22,)*VLOOKUP($B100,'A1.3.7'!$B$28:$O$118,6,)))</f>
        <v/>
      </c>
      <c r="BO100" s="1664" t="str">
        <f>IF('A1.3.8'!G$40="","",IF(OR(VLOOKUP($B100,'A1.3.11'!$B$26:$AM$105,BO$22,)="",VLOOKUP($B100,'A1.3.7'!$B$28:$H$118,6,)=""),"",VLOOKUP($B100,'A1.3.11'!$B$26:$AM$105,BO$22,)*VLOOKUP($B100,'A1.3.7'!$B$28:$O$118,6,)))</f>
        <v/>
      </c>
      <c r="BP100" s="693">
        <f>IF(AND(BH100="",BL100=""),"",IF(BH100="",0,(BH100*VLOOKUP($B100,'A1.3.9'!$B$26:$O$57,9,TRUE))) + IF(BL100="",0,(BL100*VLOOKUP($B100,'A1.3.9'!$B$26:$O$57,10,TRUE))))</f>
        <v>430.67082917624867</v>
      </c>
      <c r="BQ100" s="691">
        <f>IF(AND(BI100="",BM100=""),"",IF(BI100="",0,(BI100*VLOOKUP($B100,'A1.3.9'!$B$26:$O$57,9,TRUE))) + IF(BM100="",0,(BM100*VLOOKUP($B100,'A1.3.9'!$B$26:$O$57,10,TRUE))))</f>
        <v>37.841732538458857</v>
      </c>
      <c r="BR100" s="691">
        <f>IF(AND(BJ100="",BN100=""),"",IF(BJ100="",0,(BJ100*VLOOKUP($B100,'A1.3.9'!$B$26:$O$57,9,TRUE))) + IF(BN100="",0,(BN100*VLOOKUP($B100,'A1.3.9'!$B$26:$O$57,10,TRUE))))</f>
        <v>-0.41130590463454236</v>
      </c>
      <c r="BS100" s="2644">
        <f>IF(AND(BK100="",BO100=""),"",IF(BK100="",0,(BK100*VLOOKUP($B100,'A1.3.9'!$B$26:$O$57,9,TRUE))) + IF(BO100="",0,(BO100*VLOOKUP($B100,'A1.3.9'!$B$26:$O$57,10,TRUE))))</f>
        <v>3.0170969319236896E-3</v>
      </c>
    </row>
    <row r="101" spans="1:71" ht="13.5" customHeight="1">
      <c r="A101" s="113"/>
      <c r="B101" s="614">
        <f t="shared" si="1"/>
        <v>2084</v>
      </c>
      <c r="C101" s="147"/>
      <c r="D101" s="693">
        <f>IF('A1.3.8'!D$27="","",IF(OR(VLOOKUP($B101,'A1.3.11'!$B$26:$AM$105,D$22,)="",VLOOKUP($B101,'A1.3.7'!$B$28:$H$118,3,)=""),"",VLOOKUP($B101,'A1.3.11'!$B$26:$AM$105,D$22,)*(VLOOKUP($B101,'A1.3.7'!$B$28:$O$118,3,)+VLOOKUP($B101,'A1.3.7'!$B$28:$O$118,8,))))</f>
        <v>40.583622721457438</v>
      </c>
      <c r="E101" s="691">
        <f>IF('A1.3.8'!E$27="","",IF(OR(VLOOKUP($B101,'A1.3.11'!$B$26:$AM$105,E$22,)="",VLOOKUP($B101,'A1.3.7'!$B$28:$H$118,3,)=""),"",VLOOKUP($B101,'A1.3.11'!$B$26:$AM$105,E$22,)*(VLOOKUP($B101,'A1.3.7'!$B$28:$O$118,3,)+VLOOKUP($B101,'A1.3.7'!$B$28:$O$118,8,))))</f>
        <v>8.6246781315286647</v>
      </c>
      <c r="F101" s="691">
        <f>IF('A1.3.8'!F$27="","",IF(OR(VLOOKUP($B101,'A1.3.11'!$B$26:$AM$105,F$22,)="",VLOOKUP($B101,'A1.3.7'!$B$28:$H$118,3,)=""),"",VLOOKUP($B101,'A1.3.11'!$B$26:$AM$105,F$22,)*(VLOOKUP($B101,'A1.3.7'!$B$28:$O$118,3,)+VLOOKUP($B101,'A1.3.7'!$B$28:$O$118,8,))))</f>
        <v>-9.8245311800512741E-2</v>
      </c>
      <c r="G101" s="2644">
        <f>IF('A1.3.8'!G$27="","",IF(OR(VLOOKUP($B101,'A1.3.11'!$B$26:$AM$105,G$22,)="",VLOOKUP($B101,'A1.3.7'!$B$28:$H$118,3,)=""),"",VLOOKUP($B101,'A1.3.11'!$B$26:$AM$105,G$22,)*(VLOOKUP($B101,'A1.3.7'!$B$28:$O$118,3,)+VLOOKUP($B101,'A1.3.7'!$B$28:$O$118,8,))))</f>
        <v>6.5067079510377633E-4</v>
      </c>
      <c r="H101" s="693">
        <f>IF('A1.3.8'!D$28="","",IF(OR(VLOOKUP($B101,'A1.3.11'!$B$26:$AM$105,H$22,)="",VLOOKUP($B101,'A1.3.7'!$B$28:$H$118,4,)=""),"",VLOOKUP($B101,'A1.3.11'!$B$26:$AM$105,H$22,)*(VLOOKUP($B101,'A1.3.7'!$B$28:$O$118,4,)+VLOOKUP($B101,'A1.3.7'!$B$28:$O$118,9,))))</f>
        <v>49.853935560704144</v>
      </c>
      <c r="I101" s="691">
        <f>IF('A1.3.8'!E$28="","",IF(OR(VLOOKUP($B101,'A1.3.11'!$B$26:$AM$105,I$22,)="",VLOOKUP($B101,'A1.3.7'!$B$28:$H$118,4,)=""),"",VLOOKUP($B101,'A1.3.11'!$B$26:$AM$105,I$22,)*(VLOOKUP($B101,'A1.3.7'!$B$28:$O$118,4,)+VLOOKUP($B101,'A1.3.7'!$B$28:$O$118,9,))))</f>
        <v>7.1478214729802554</v>
      </c>
      <c r="J101" s="691">
        <f>IF('A1.3.8'!F$28="","",IF(OR(VLOOKUP($B101,'A1.3.11'!$B$26:$AM$105,J$22,)="",VLOOKUP($B101,'A1.3.7'!$B$28:$H$118,4,)=""),"",VLOOKUP($B101,'A1.3.11'!$B$26:$AM$105,J$22,)*(VLOOKUP($B101,'A1.3.7'!$B$28:$O$118,4,)+VLOOKUP($B101,'A1.3.7'!$B$28:$O$118,9,))))</f>
        <v>-6.8764033814991049E-2</v>
      </c>
      <c r="K101" s="2644">
        <f>IF('A1.3.8'!G$28="","",IF(OR(VLOOKUP($B101,'A1.3.11'!$B$26:$AM$105,K$22,)="",VLOOKUP($B101,'A1.3.7'!$B$28:$H$118,4,)=""),"",VLOOKUP($B101,'A1.3.11'!$B$26:$AM$105,K$22,)*(VLOOKUP($B101,'A1.3.7'!$B$28:$O$118,4,)+VLOOKUP($B101,'A1.3.7'!$B$28:$O$118,9,))))</f>
        <v>5.4186403640518581E-4</v>
      </c>
      <c r="L101" s="693" t="str">
        <f>IF('A1.3.8'!D$36="","",IF(OR(VLOOKUP($B101,'A1.3.11'!$B$26:$AM$105,L$22,)="",VLOOKUP($B101,'A1.3.7'!$B$28:$H$118,6,)=""),"",VLOOKUP($B101,'A1.3.11'!$B$26:$AM$105,L$22,)*VLOOKUP($B101,'A1.3.7'!$B$28:$O$118,6,)))</f>
        <v/>
      </c>
      <c r="M101" s="691">
        <f>IF('A1.3.8'!E$36="","",IF(OR(VLOOKUP($B101,'A1.3.11'!$B$26:$AM$105,M$22,)="",VLOOKUP($B101,'A1.3.7'!$B$28:$H$118,6,)=""),"",VLOOKUP($B101,'A1.3.11'!$B$26:$AM$105,M$22,)*VLOOKUP($B101,'A1.3.7'!$B$28:$O$118,6,)))</f>
        <v>1.9637608285706969</v>
      </c>
      <c r="N101" s="691" t="str">
        <f>IF('A1.3.8'!F$36="","",IF(OR(VLOOKUP($B101,'A1.3.11'!$B$26:$AM$105,N$22,)="",VLOOKUP($B101,'A1.3.7'!$B$28:$H$118,6,)=""),"",VLOOKUP($B101,'A1.3.11'!$B$26:$AM$105,N$22,)*VLOOKUP($B101,'A1.3.7'!$B$28:$O$118,6,)))</f>
        <v/>
      </c>
      <c r="O101" s="1664" t="str">
        <f>IF('A1.3.8'!G$36="","",IF(OR(VLOOKUP($B101,'A1.3.11'!$B$26:$AM$105,O$22,)="",VLOOKUP($B101,'A1.3.7'!$B$28:$H$118,6,)=""),"",VLOOKUP($B101,'A1.3.11'!$B$26:$AM$105,O$22,)*VLOOKUP($B101,'A1.3.7'!$B$28:$O$118,6,)))</f>
        <v/>
      </c>
      <c r="P101" s="693">
        <f>IF(AND(D101="",H101="",L101=""),"",IF(D101="",0,(D101*VLOOKUP($B101,'A1.3.9'!$B$26:$O$57,3,TRUE)))+IF(H101="",0,(H101*VLOOKUP($B101,'A1.3.9'!$B$26:$O$57,4,TRUE)))+IF(L101="",0,(L101*VLOOKUP($B101,'A1.3.9'!$B$26:$O$57,5,TRUE))))</f>
        <v>33.605270705415997</v>
      </c>
      <c r="Q101" s="691">
        <f>IF(AND(E101="",I101="",M101=""),"",IF(E101="",0,(E101*VLOOKUP($B101,'A1.3.9'!$B$26:$O$57,3,TRUE)))+IF(I101="",0,(I101*VLOOKUP($B101,'A1.3.9'!$B$26:$O$57,4,TRUE)))+IF(M101="",0,(M101*VLOOKUP($B101,'A1.3.9'!$B$26:$O$57,5,TRUE))))</f>
        <v>6.5541194398962972</v>
      </c>
      <c r="R101" s="691">
        <f>IF(AND(F101="",J101="",N101=""),"",IF(F101="",0,(F101*VLOOKUP($B101,'A1.3.9'!$B$26:$O$57,3,TRUE)))+IF(J101="",0,(J101*VLOOKUP($B101,'A1.3.9'!$B$26:$O$57,4,TRUE)))+IF(N101="",0,(N101*VLOOKUP($B101,'A1.3.9'!$B$26:$O$57,5,TRUE))))</f>
        <v>-6.5330076433007769E-2</v>
      </c>
      <c r="S101" s="2644">
        <f>IF(AND(G101="",K101="",O101=""),"",IF(G101="",0,(G101*VLOOKUP($B101,'A1.3.9'!$B$26:$O$57,3,TRUE)))+IF(K101="",0,(K101*VLOOKUP($B101,'A1.3.9'!$B$26:$O$57,4,TRUE)))+IF(O101="",0,(O101*VLOOKUP($B101,'A1.3.9'!$B$26:$O$57,5,TRUE))))</f>
        <v>4.593504395376467E-4</v>
      </c>
      <c r="T101" s="693">
        <f>IF('A1.3.8'!D$29="","",IF(OR(VLOOKUP($B101,'A1.3.11'!$B$26:$AM$105,T$22,)="",VLOOKUP($B101,'A1.3.7'!$B$28:$H$118,3,)=""),"",VLOOKUP($B101,'A1.3.11'!$B$26:$AM$105,T$22,)*(VLOOKUP($B101,'A1.3.7'!$B$28:$O$118,3,)+VLOOKUP($B101,'A1.3.7'!$B$28:$O$118,8,))))</f>
        <v>29.193141907778763</v>
      </c>
      <c r="U101" s="691">
        <f>IF('A1.3.8'!E$29="","",IF(OR(VLOOKUP($B101,'A1.3.11'!$B$26:$AM$105,U$22,)="",VLOOKUP($B101,'A1.3.7'!$B$28:$H$118,3,)=""),"",VLOOKUP($B101,'A1.3.11'!$B$26:$AM$105,U$22,)*(VLOOKUP($B101,'A1.3.7'!$B$28:$O$118,3,)+VLOOKUP($B101,'A1.3.7'!$B$28:$O$118,8,))))</f>
        <v>16.369824095596805</v>
      </c>
      <c r="V101" s="691">
        <f>IF('A1.3.8'!F$29="","",IF(OR(VLOOKUP($B101,'A1.3.11'!$B$26:$AM$105,V$22,)="",VLOOKUP($B101,'A1.3.7'!$B$28:$H$118,3,)=""),"",VLOOKUP($B101,'A1.3.11'!$B$26:$AM$105,V$22,)*(VLOOKUP($B101,'A1.3.7'!$B$28:$O$118,3,)+VLOOKUP($B101,'A1.3.7'!$B$28:$O$118,8,))))</f>
        <v>-0.25695250607924364</v>
      </c>
      <c r="W101" s="2644">
        <f>IF('A1.3.8'!G$29="","",IF(OR(VLOOKUP($B101,'A1.3.11'!$B$26:$AM$105,W$22,)="",VLOOKUP($B101,'A1.3.7'!$B$28:$H$118,3,)=""),"",VLOOKUP($B101,'A1.3.11'!$B$26:$AM$105,W$22,)*(VLOOKUP($B101,'A1.3.7'!$B$28:$O$118,3,)+VLOOKUP($B101,'A1.3.7'!$B$28:$O$118,8,))))</f>
        <v>1.6594088871764619E-3</v>
      </c>
      <c r="X101" s="693">
        <f>IF('A1.3.8'!D$30="","",IF(OR(VLOOKUP($B101,'A1.3.11'!$B$26:$AM$105,X$22,)="",VLOOKUP($B101,'A1.3.7'!$B$28:$H$118,4,)=""),"",VLOOKUP($B101,'A1.3.11'!$B$26:$AM$105,X$22,)*(VLOOKUP($B101,'A1.3.7'!$B$28:$O$118,4,)+VLOOKUP($B101,'A1.3.7'!$B$28:$O$118,9,))))</f>
        <v>51.344716926675368</v>
      </c>
      <c r="Y101" s="691">
        <f>IF('A1.3.8'!E$30="","",IF(OR(VLOOKUP($B101,'A1.3.11'!$B$26:$AM$105,Y$22,)="",VLOOKUP($B101,'A1.3.7'!$B$28:$H$118,4,)=""),"",VLOOKUP($B101,'A1.3.11'!$B$26:$AM$105,Y$22,)*(VLOOKUP($B101,'A1.3.7'!$B$28:$O$118,4,)+VLOOKUP($B101,'A1.3.7'!$B$28:$O$118,9,))))</f>
        <v>12.548858063633368</v>
      </c>
      <c r="Z101" s="691">
        <f>IF('A1.3.8'!F$30="","",IF(OR(VLOOKUP($B101,'A1.3.11'!$B$26:$AM$105,Z$22,)="",VLOOKUP($B101,'A1.3.7'!$B$28:$H$118,4,)=""),"",VLOOKUP($B101,'A1.3.11'!$B$26:$AM$105,Z$22,)*(VLOOKUP($B101,'A1.3.7'!$B$28:$O$118,4,)+VLOOKUP($B101,'A1.3.7'!$B$28:$O$118,9,))))</f>
        <v>-0.18104008440202657</v>
      </c>
      <c r="AA101" s="2644">
        <f>IF('A1.3.8'!G$30="","",IF(OR(VLOOKUP($B101,'A1.3.11'!$B$26:$AM$105,AA$22,)="",VLOOKUP($B101,'A1.3.7'!$B$28:$H$118,4,)=""),"",VLOOKUP($B101,'A1.3.11'!$B$26:$AM$105,AA$22,)*(VLOOKUP($B101,'A1.3.7'!$B$28:$O$118,4,)+VLOOKUP($B101,'A1.3.7'!$B$28:$O$118,9,))))</f>
        <v>1.5326916668985738E-3</v>
      </c>
      <c r="AB101" s="693" t="str">
        <f>IF('A1.3.8'!D$37="","",IF(OR(VLOOKUP($B101,'A1.3.11'!$B$26:$AM$105,AB$22,)="",VLOOKUP($B101,'A1.3.7'!$B$28:$H$118,6,)=""),"",VLOOKUP($B101,'A1.3.11'!$B$26:$AM$105,AB$22,)*VLOOKUP($B101,'A1.3.7'!$B$28:$O$118,6,)))</f>
        <v/>
      </c>
      <c r="AC101" s="691">
        <f>IF('A1.3.8'!E$37="","",IF(OR(VLOOKUP($B101,'A1.3.11'!$B$26:$AM$105,AC$22,)="",VLOOKUP($B101,'A1.3.7'!$B$28:$H$118,6,)=""),"",VLOOKUP($B101,'A1.3.11'!$B$26:$AM$105,AC$22,)*VLOOKUP($B101,'A1.3.7'!$B$28:$O$118,6,)))</f>
        <v>4.5145632825273854</v>
      </c>
      <c r="AD101" s="691" t="str">
        <f>IF('A1.3.8'!F$37="","",IF(OR(VLOOKUP($B101,'A1.3.11'!$B$26:$AM$105,AD$22,)="",VLOOKUP($B101,'A1.3.7'!$B$28:$H$118,6,)=""),"",VLOOKUP($B101,'A1.3.11'!$B$26:$AM$105,AD$22,)*VLOOKUP($B101,'A1.3.7'!$B$28:$O$118,6,)))</f>
        <v/>
      </c>
      <c r="AE101" s="1664" t="str">
        <f>IF('A1.3.8'!G$37="","",IF(OR(VLOOKUP($B101,'A1.3.11'!$B$26:$AM$105,AE$22,)="",VLOOKUP($B101,'A1.3.7'!$B$28:$H$118,6,)=""),"",VLOOKUP($B101,'A1.3.11'!$B$26:$AM$105,AE$22,)*VLOOKUP($B101,'A1.3.7'!$B$28:$O$118,6,)))</f>
        <v/>
      </c>
      <c r="AF101" s="693">
        <f>IF(AND(T101="",X101="",AB101=""),"",IF(T101="",0,(T101*VLOOKUP('A1.3.12'!$B101,'A1.3.9'!$B$26:$O$57,6,TRUE))) + IF(X101="",0,(X101*VLOOKUP('A1.3.12'!$B101,'A1.3.9'!$B$26:$O$57,7,TRUE))) + IF(AB101="",0,(AB101*VLOOKUP('A1.3.12'!$B101,'A1.3.9'!$B$26:$O$57,8,TRUE))))</f>
        <v>45.558574655049483</v>
      </c>
      <c r="AG101" s="691">
        <f>IF(AND(U101="",Y101="",AC101=""),"",IF(U101="",0,(U101*VLOOKUP('A1.3.12'!$B101,'A1.3.9'!$B$26:$O$57,6,TRUE))) + IF(Y101="",0,(Y101*VLOOKUP('A1.3.12'!$B101,'A1.3.9'!$B$26:$O$57,7,TRUE))) + IF(AC101="",0,(AC101*VLOOKUP('A1.3.12'!$B101,'A1.3.9'!$B$26:$O$57,8,TRUE))))</f>
        <v>11.69870364276707</v>
      </c>
      <c r="AH101" s="691">
        <f>IF(AND(V101="",Z101="",AD101=""),"",IF(V101="",0,(V101*VLOOKUP('A1.3.12'!$B101,'A1.3.9'!$B$26:$O$57,6,TRUE))) + IF(Z101="",0,(Z101*VLOOKUP('A1.3.12'!$B101,'A1.3.9'!$B$26:$O$57,7,TRUE))) + IF(AD101="",0,(AD101*VLOOKUP('A1.3.12'!$B101,'A1.3.9'!$B$26:$O$57,8,TRUE))))</f>
        <v>-0.16180597224336699</v>
      </c>
      <c r="AI101" s="2644">
        <f>IF(AND(W101="",AA101="",AE101=""),"",IF(W101="",0,(W101*VLOOKUP('A1.3.12'!$B101,'A1.3.9'!$B$26:$O$57,6,TRUE))) + IF(AA101="",0,(AA101*VLOOKUP('A1.3.12'!$B101,'A1.3.9'!$B$26:$O$57,7,TRUE))) + IF(AE101="",0,(AE101*VLOOKUP('A1.3.12'!$B101,'A1.3.9'!$B$26:$O$57,8,TRUE))))</f>
        <v>1.3659433205159125E-3</v>
      </c>
      <c r="AJ101" s="693">
        <f>IF('A1.3.8'!D$31="","",IF(OR(VLOOKUP($B101,'A1.3.11'!$B$26:$AM$105,AJ$22,)="",VLOOKUP($B101,'A1.3.7'!$B$28:$H$118,4,)=""),"",VLOOKUP($B101,'A1.3.11'!$B$26:$AM$105,AJ$22,)*(VLOOKUP($B101,'A1.3.7'!$B$28:$O$118,4,)+VLOOKUP($B101,'A1.3.7'!$B$28:$O$118,9,))))</f>
        <v>347.08837602022675</v>
      </c>
      <c r="AK101" s="691">
        <f>IF('A1.3.8'!E$31="","",IF(OR(VLOOKUP($B101,'A1.3.11'!$B$26:$AM$105,AK$22,)="",VLOOKUP($B101,'A1.3.7'!$B$28:$H$118,4,)=""),"",VLOOKUP($B101,'A1.3.11'!$B$26:$AM$105,AK$22,)*(VLOOKUP($B101,'A1.3.7'!$B$28:$O$118,4,)+VLOOKUP($B101,'A1.3.7'!$B$28:$O$118,9,))))</f>
        <v>18.415539217046991</v>
      </c>
      <c r="AL101" s="691">
        <f>IF('A1.3.8'!F$31="","",IF(OR(VLOOKUP($B101,'A1.3.11'!$B$26:$AM$105,AL$22,)="",VLOOKUP($B101,'A1.3.7'!$B$28:$H$118,4,)=""),"",VLOOKUP($B101,'A1.3.11'!$B$26:$AM$105,AL$22,)*(VLOOKUP($B101,'A1.3.7'!$B$28:$O$118,4,)+VLOOKUP($B101,'A1.3.7'!$B$28:$O$118,9,))))</f>
        <v>-0.13310763438577403</v>
      </c>
      <c r="AM101" s="2644">
        <f>IF('A1.3.8'!G$31="","",IF(OR(VLOOKUP($B101,'A1.3.11'!$B$26:$AM$105,AM$22,)="",VLOOKUP($B101,'A1.3.7'!$B$28:$H$118,4,)=""),"",VLOOKUP($B101,'A1.3.11'!$B$26:$AM$105,AM$22,)*(VLOOKUP($B101,'A1.3.7'!$B$28:$O$118,4,)+VLOOKUP($B101,'A1.3.7'!$B$28:$O$118,9,))))</f>
        <v>1.4537489391620152E-3</v>
      </c>
      <c r="AN101" s="693" t="str">
        <f>IF('A1.3.8'!D$38="","",IF(OR(VLOOKUP($B101,'A1.3.11'!$B$26:$AM$105,AN$22,)="",VLOOKUP($B101,'A1.3.7'!$B$28:$H$118,6,)=""),"",VLOOKUP($B101,'A1.3.11'!$B$26:$AM$105,AN$22,)*VLOOKUP($B101,'A1.3.7'!$B$28:$O$118,6,)))</f>
        <v/>
      </c>
      <c r="AO101" s="691" t="str">
        <f>IF('A1.3.8'!E$38="","",IF(OR(VLOOKUP($B101,'A1.3.11'!$B$26:$AM$105,AO$22,)="",VLOOKUP($B101,'A1.3.7'!$B$28:$H$118,6,)=""),"",VLOOKUP($B101,'A1.3.11'!$B$26:$AM$105,AO$22,)*VLOOKUP($B101,'A1.3.7'!$B$28:$O$118,6,)))</f>
        <v/>
      </c>
      <c r="AP101" s="691" t="str">
        <f>IF('A1.3.8'!F$38="","",IF(OR(VLOOKUP($B101,'A1.3.11'!$B$26:$AM$105,AP$22,)="",VLOOKUP($B101,'A1.3.7'!$B$28:$H$118,6,)=""),"",VLOOKUP($B101,'A1.3.11'!$B$26:$AM$105,AP$22,)*VLOOKUP($B101,'A1.3.7'!$B$28:$O$118,6,)))</f>
        <v/>
      </c>
      <c r="AQ101" s="1664" t="str">
        <f>IF('A1.3.8'!G$38="","",IF(OR(VLOOKUP($B101,'A1.3.11'!$B$26:$AM$105,AQ$22,)="",VLOOKUP($B101,'A1.3.7'!$B$28:$H$118,6,)=""),"",VLOOKUP($B101,'A1.3.11'!$B$26:$AM$105,AQ$22,)*VLOOKUP($B101,'A1.3.7'!$B$28:$O$118,6,)))</f>
        <v/>
      </c>
      <c r="AR101" s="693">
        <f>IF(AND(AJ101="",AN101=""),"",IF(AJ101="",0,(AJ101*VLOOKUP($B101,'A1.3.9'!$B$26:$O$57,9,TRUE))) + IF(AN101="",0,(AN101*VLOOKUP($B101,'A1.3.9'!$B$26:$O$57,10,TRUE))))</f>
        <v>347.08837602022675</v>
      </c>
      <c r="AS101" s="691">
        <f>IF(AND(AK101="",AO101=""),"",IF(AK101="",0,(AK101*VLOOKUP($B101,'A1.3.9'!$B$26:$O$57,9,TRUE))) + IF(AO101="",0,(AO101*VLOOKUP($B101,'A1.3.9'!$B$26:$O$57,10,TRUE))))</f>
        <v>18.415539217046991</v>
      </c>
      <c r="AT101" s="691">
        <f>IF(AND(AL101="",AP101=""),"",IF(AL101="",0,(AL101*VLOOKUP($B101,'A1.3.9'!$B$26:$O$57,9,TRUE))) + IF(AP101="",0,(AP101*VLOOKUP($B101,'A1.3.9'!$B$26:$O$57,10,TRUE))))</f>
        <v>-0.13310763438577403</v>
      </c>
      <c r="AU101" s="2644">
        <f>IF(AND(AM101="",AQ101=""),"",IF(AM101="",0,(AM101*VLOOKUP($B101,'A1.3.9'!$B$26:$O$57,9,TRUE))) + IF(AQ101="",0,(AQ101*VLOOKUP($B101,'A1.3.9'!$B$26:$O$57,10,TRUE))))</f>
        <v>1.4537489391620152E-3</v>
      </c>
      <c r="AV101" s="693">
        <f>IF('A1.3.8'!D$32="","",IF(OR(VLOOKUP($B101,'A1.3.11'!$B$26:$AM$105,AV$22,)="",VLOOKUP($B101,'A1.3.7'!$B$28:$H$118,4,)=""),"",VLOOKUP($B101,'A1.3.11'!$B$26:$AM$105,AV$22,)*(VLOOKUP($B101,'A1.3.7'!$B$28:$O$118,4,)+VLOOKUP($B101,'A1.3.7'!$B$28:$O$118,9,))))</f>
        <v>729.32312117569131</v>
      </c>
      <c r="AW101" s="691">
        <f>IF('A1.3.8'!E$32="","",IF(OR(VLOOKUP($B101,'A1.3.11'!$B$26:$AM$105,AW$22,)="",VLOOKUP($B101,'A1.3.7'!$B$28:$H$118,4,)=""),"",VLOOKUP($B101,'A1.3.11'!$B$26:$AM$105,AW$22,)*(VLOOKUP($B101,'A1.3.7'!$B$28:$O$118,4,)+VLOOKUP($B101,'A1.3.7'!$B$28:$O$118,9,))))</f>
        <v>37.875041971490369</v>
      </c>
      <c r="AX101" s="691">
        <f>IF('A1.3.8'!F$32="","",IF(OR(VLOOKUP($B101,'A1.3.11'!$B$26:$AM$105,AX$22,)="",VLOOKUP($B101,'A1.3.7'!$B$28:$H$118,4,)=""),"",VLOOKUP($B101,'A1.3.11'!$B$26:$AM$105,AX$22,)*(VLOOKUP($B101,'A1.3.7'!$B$28:$O$118,4,)+VLOOKUP($B101,'A1.3.7'!$B$28:$O$118,9,))))</f>
        <v>-0.25094207773049848</v>
      </c>
      <c r="AY101" s="2644">
        <f>IF('A1.3.8'!G$32="","",IF(OR(VLOOKUP($B101,'A1.3.11'!$B$26:$AM$105,AY$22,)="",VLOOKUP($B101,'A1.3.7'!$B$28:$H$118,4,)=""),"",VLOOKUP($B101,'A1.3.11'!$B$26:$AM$105,AY$22,)*(VLOOKUP($B101,'A1.3.7'!$B$28:$O$118,4,)+VLOOKUP($B101,'A1.3.7'!$B$28:$O$118,9,))))</f>
        <v>1.4957191330856462E-3</v>
      </c>
      <c r="AZ101" s="693" t="str">
        <f>IF('A1.3.8'!D$39="","",IF(OR(VLOOKUP($B101,'A1.3.11'!$B$26:$AM$105,AZ$22,)="",VLOOKUP($B101,'A1.3.7'!$B$28:$H$118,6,)=""),"",VLOOKUP($B101,'A1.3.11'!$B$26:$AM$105,AZ$22,)*VLOOKUP($B101,'A1.3.7'!$B$28:$O$118,6,)))</f>
        <v/>
      </c>
      <c r="BA101" s="691" t="str">
        <f>IF('A1.3.8'!E$39="","",IF(OR(VLOOKUP($B101,'A1.3.11'!$B$26:$AM$105,BA$22,)="",VLOOKUP($B101,'A1.3.7'!$B$28:$H$118,6,)=""),"",VLOOKUP($B101,'A1.3.11'!$B$26:$AM$105,BA$22,)*VLOOKUP($B101,'A1.3.7'!$B$28:$O$118,6,)))</f>
        <v/>
      </c>
      <c r="BB101" s="691" t="str">
        <f>IF('A1.3.8'!F$39="","",IF(OR(VLOOKUP($B101,'A1.3.11'!$B$26:$AM$105,BB$22,)="",VLOOKUP($B101,'A1.3.7'!$B$28:$H$118,6,)=""),"",VLOOKUP($B101,'A1.3.11'!$B$26:$AM$105,BB$22,)*VLOOKUP($B101,'A1.3.7'!$B$28:$O$118,6,)))</f>
        <v/>
      </c>
      <c r="BC101" s="1664" t="str">
        <f>IF('A1.3.8'!G$39="","",IF(OR(VLOOKUP($B101,'A1.3.11'!$B$26:$AM$105,BC$22,)="",VLOOKUP($B101,'A1.3.7'!$B$28:$H$118,6,)=""),"",VLOOKUP($B101,'A1.3.11'!$B$26:$AM$105,BC$22,)*VLOOKUP($B101,'A1.3.7'!$B$28:$O$118,6,)))</f>
        <v/>
      </c>
      <c r="BD101" s="693">
        <f>IF(AND(AV101="",AZ101=""),"",IF(AV101="",0,(AV101*VLOOKUP($B101,'A1.3.9'!$B$26:$O$57,9,TRUE))) + IF(AZ101="",0,(AZ101*VLOOKUP($B101,'A1.3.9'!$B$26:$O$57,10,TRUE))))</f>
        <v>729.32312117569131</v>
      </c>
      <c r="BE101" s="691">
        <f>IF(AND(AW101="",BA101=""),"",IF(AW101="",0,(AW101*VLOOKUP($B101,'A1.3.9'!$B$26:$O$57,9,TRUE))) + IF(BA101="",0,(BA101*VLOOKUP($B101,'A1.3.9'!$B$26:$O$57,10,TRUE))))</f>
        <v>37.875041971490369</v>
      </c>
      <c r="BF101" s="691">
        <f>IF(AND(AX101="",BB101=""),"",IF(AX101="",0,(AX101*VLOOKUP($B101,'A1.3.9'!$B$26:$O$57,9,TRUE))) + IF(BB101="",0,(BB101*VLOOKUP($B101,'A1.3.9'!$B$26:$O$57,10,TRUE))))</f>
        <v>-0.25094207773049848</v>
      </c>
      <c r="BG101" s="2644">
        <f>IF(AND(AY101="",BC101=""),"",IF(AY101="",0,(AY101*VLOOKUP($B101,'A1.3.9'!$B$26:$O$57,9,TRUE))) + IF(BC101="",0,(BC101*VLOOKUP($B101,'A1.3.9'!$B$26:$O$57,10,TRUE))))</f>
        <v>1.4957191330856462E-3</v>
      </c>
      <c r="BH101" s="693">
        <f>IF('A1.3.8'!D$33="","",IF(OR(VLOOKUP($B101,'A1.3.11'!$B$26:$AM$105,BH$22,)="",VLOOKUP($B101,'A1.3.7'!$B$28:$H$118,4,)=""),"",VLOOKUP($B101,'A1.3.11'!$B$26:$AM$105,BH$22,)*(VLOOKUP($B101,'A1.3.7'!$B$28:$O$118,4,)+VLOOKUP($B101,'A1.3.7'!$B$28:$O$118,9,))))</f>
        <v>432.55142212708461</v>
      </c>
      <c r="BI101" s="691">
        <f>IF('A1.3.8'!E$33="","",IF(OR(VLOOKUP($B101,'A1.3.11'!$B$26:$AM$105,BI$22,)="",VLOOKUP($B101,'A1.3.7'!$B$28:$H$118,4,)=""),"",VLOOKUP($B101,'A1.3.11'!$B$26:$AM$105,BI$22,)*(VLOOKUP($B101,'A1.3.7'!$B$28:$O$118,4,)+VLOOKUP($B101,'A1.3.7'!$B$28:$O$118,9,))))</f>
        <v>38.006974506658473</v>
      </c>
      <c r="BJ101" s="691">
        <f>IF('A1.3.8'!F$33="","",IF(OR(VLOOKUP($B101,'A1.3.11'!$B$26:$AM$105,BJ$22,)="",VLOOKUP($B101,'A1.3.7'!$B$28:$H$118,4,)=""),"",VLOOKUP($B101,'A1.3.11'!$B$26:$AM$105,BJ$22,)*(VLOOKUP($B101,'A1.3.7'!$B$28:$O$118,4,)+VLOOKUP($B101,'A1.3.7'!$B$28:$O$118,9,))))</f>
        <v>-0.41310193754991859</v>
      </c>
      <c r="BK101" s="2644">
        <f>IF('A1.3.8'!G$33="","",IF(OR(VLOOKUP($B101,'A1.3.11'!$B$26:$AM$105,BK$22,)="",VLOOKUP($B101,'A1.3.7'!$B$28:$H$118,4,)=""),"",VLOOKUP($B101,'A1.3.11'!$B$26:$AM$105,BK$22,)*(VLOOKUP($B101,'A1.3.7'!$B$28:$O$118,4,)+VLOOKUP($B101,'A1.3.7'!$B$28:$O$118,9,))))</f>
        <v>3.0302715674870432E-3</v>
      </c>
      <c r="BL101" s="693" t="str">
        <f>IF('A1.3.8'!D$40="","",IF(OR(VLOOKUP($B101,'A1.3.11'!$B$26:$AM$105,BL$22,)="",VLOOKUP($B101,'A1.3.7'!$B$28:$H$118,6,)=""),"",VLOOKUP($B101,'A1.3.11'!$B$26:$AM$105,BL$22,)*VLOOKUP($B101,'A1.3.7'!$B$28:$O$118,6,)))</f>
        <v/>
      </c>
      <c r="BM101" s="691" t="str">
        <f>IF('A1.3.8'!E$40="","",IF(OR(VLOOKUP($B101,'A1.3.11'!$B$26:$AM$105,BM$22,)="",VLOOKUP($B101,'A1.3.7'!$B$28:$H$118,6,)=""),"",VLOOKUP($B101,'A1.3.11'!$B$26:$AM$105,BM$22,)*VLOOKUP($B101,'A1.3.7'!$B$28:$O$118,6,)))</f>
        <v/>
      </c>
      <c r="BN101" s="691" t="str">
        <f>IF('A1.3.8'!F$40="","",IF(OR(VLOOKUP($B101,'A1.3.11'!$B$26:$AM$105,BN$22,)="",VLOOKUP($B101,'A1.3.7'!$B$28:$H$118,6,)=""),"",VLOOKUP($B101,'A1.3.11'!$B$26:$AM$105,BN$22,)*VLOOKUP($B101,'A1.3.7'!$B$28:$O$118,6,)))</f>
        <v/>
      </c>
      <c r="BO101" s="1664" t="str">
        <f>IF('A1.3.8'!G$40="","",IF(OR(VLOOKUP($B101,'A1.3.11'!$B$26:$AM$105,BO$22,)="",VLOOKUP($B101,'A1.3.7'!$B$28:$H$118,6,)=""),"",VLOOKUP($B101,'A1.3.11'!$B$26:$AM$105,BO$22,)*VLOOKUP($B101,'A1.3.7'!$B$28:$O$118,6,)))</f>
        <v/>
      </c>
      <c r="BP101" s="693">
        <f>IF(AND(BH101="",BL101=""),"",IF(BH101="",0,(BH101*VLOOKUP($B101,'A1.3.9'!$B$26:$O$57,9,TRUE))) + IF(BL101="",0,(BL101*VLOOKUP($B101,'A1.3.9'!$B$26:$O$57,10,TRUE))))</f>
        <v>432.55142212708461</v>
      </c>
      <c r="BQ101" s="691">
        <f>IF(AND(BI101="",BM101=""),"",IF(BI101="",0,(BI101*VLOOKUP($B101,'A1.3.9'!$B$26:$O$57,9,TRUE))) + IF(BM101="",0,(BM101*VLOOKUP($B101,'A1.3.9'!$B$26:$O$57,10,TRUE))))</f>
        <v>38.006974506658473</v>
      </c>
      <c r="BR101" s="691">
        <f>IF(AND(BJ101="",BN101=""),"",IF(BJ101="",0,(BJ101*VLOOKUP($B101,'A1.3.9'!$B$26:$O$57,9,TRUE))) + IF(BN101="",0,(BN101*VLOOKUP($B101,'A1.3.9'!$B$26:$O$57,10,TRUE))))</f>
        <v>-0.41310193754991859</v>
      </c>
      <c r="BS101" s="2644">
        <f>IF(AND(BK101="",BO101=""),"",IF(BK101="",0,(BK101*VLOOKUP($B101,'A1.3.9'!$B$26:$O$57,9,TRUE))) + IF(BO101="",0,(BO101*VLOOKUP($B101,'A1.3.9'!$B$26:$O$57,10,TRUE))))</f>
        <v>3.0302715674870432E-3</v>
      </c>
    </row>
    <row r="102" spans="1:71" ht="13.5" customHeight="1">
      <c r="A102" s="113"/>
      <c r="B102" s="614">
        <f t="shared" si="1"/>
        <v>2085</v>
      </c>
      <c r="C102" s="147"/>
      <c r="D102" s="693">
        <f>IF('A1.3.8'!D$27="","",IF(OR(VLOOKUP($B102,'A1.3.11'!$B$26:$AM$105,D$22,)="",VLOOKUP($B102,'A1.3.7'!$B$28:$H$118,3,)=""),"",VLOOKUP($B102,'A1.3.11'!$B$26:$AM$105,D$22,)*(VLOOKUP($B102,'A1.3.7'!$B$28:$O$118,3,)+VLOOKUP($B102,'A1.3.7'!$B$28:$O$118,8,))))</f>
        <v>40.766914723878173</v>
      </c>
      <c r="E102" s="691">
        <f>IF('A1.3.8'!E$27="","",IF(OR(VLOOKUP($B102,'A1.3.11'!$B$26:$AM$105,E$22,)="",VLOOKUP($B102,'A1.3.7'!$B$28:$H$118,3,)=""),"",VLOOKUP($B102,'A1.3.11'!$B$26:$AM$105,E$22,)*(VLOOKUP($B102,'A1.3.7'!$B$28:$O$118,3,)+VLOOKUP($B102,'A1.3.7'!$B$28:$O$118,8,))))</f>
        <v>8.663630655205818</v>
      </c>
      <c r="F102" s="691">
        <f>IF('A1.3.8'!F$27="","",IF(OR(VLOOKUP($B102,'A1.3.11'!$B$26:$AM$105,F$22,)="",VLOOKUP($B102,'A1.3.7'!$B$28:$H$118,3,)=""),"",VLOOKUP($B102,'A1.3.11'!$B$26:$AM$105,F$22,)*(VLOOKUP($B102,'A1.3.7'!$B$28:$O$118,3,)+VLOOKUP($B102,'A1.3.7'!$B$28:$O$118,8,))))</f>
        <v>-9.8689027238436047E-2</v>
      </c>
      <c r="G102" s="2644">
        <f>IF('A1.3.8'!G$27="","",IF(OR(VLOOKUP($B102,'A1.3.11'!$B$26:$AM$105,G$22,)="",VLOOKUP($B102,'A1.3.7'!$B$28:$H$118,3,)=""),"",VLOOKUP($B102,'A1.3.11'!$B$26:$AM$105,G$22,)*(VLOOKUP($B102,'A1.3.7'!$B$28:$O$118,3,)+VLOOKUP($B102,'A1.3.7'!$B$28:$O$118,8,))))</f>
        <v>6.5360948674719646E-4</v>
      </c>
      <c r="H102" s="693">
        <f>IF('A1.3.8'!D$28="","",IF(OR(VLOOKUP($B102,'A1.3.11'!$B$26:$AM$105,H$22,)="",VLOOKUP($B102,'A1.3.7'!$B$28:$H$118,4,)=""),"",VLOOKUP($B102,'A1.3.11'!$B$26:$AM$105,H$22,)*(VLOOKUP($B102,'A1.3.7'!$B$28:$O$118,4,)+VLOOKUP($B102,'A1.3.7'!$B$28:$O$118,9,))))</f>
        <v>50.072167392798953</v>
      </c>
      <c r="I102" s="691">
        <f>IF('A1.3.8'!E$28="","",IF(OR(VLOOKUP($B102,'A1.3.11'!$B$26:$AM$105,I$22,)="",VLOOKUP($B102,'A1.3.7'!$B$28:$H$118,4,)=""),"",VLOOKUP($B102,'A1.3.11'!$B$26:$AM$105,I$22,)*(VLOOKUP($B102,'A1.3.7'!$B$28:$O$118,4,)+VLOOKUP($B102,'A1.3.7'!$B$28:$O$118,9,))))</f>
        <v>7.1791105208355797</v>
      </c>
      <c r="J102" s="691">
        <f>IF('A1.3.8'!F$28="","",IF(OR(VLOOKUP($B102,'A1.3.11'!$B$26:$AM$105,J$22,)="",VLOOKUP($B102,'A1.3.7'!$B$28:$H$118,4,)=""),"",VLOOKUP($B102,'A1.3.11'!$B$26:$AM$105,J$22,)*(VLOOKUP($B102,'A1.3.7'!$B$28:$O$118,4,)+VLOOKUP($B102,'A1.3.7'!$B$28:$O$118,9,))))</f>
        <v>-6.9065043171883292E-2</v>
      </c>
      <c r="K102" s="2644">
        <f>IF('A1.3.8'!G$28="","",IF(OR(VLOOKUP($B102,'A1.3.11'!$B$26:$AM$105,K$22,)="",VLOOKUP($B102,'A1.3.7'!$B$28:$H$118,4,)=""),"",VLOOKUP($B102,'A1.3.11'!$B$26:$AM$105,K$22,)*(VLOOKUP($B102,'A1.3.7'!$B$28:$O$118,4,)+VLOOKUP($B102,'A1.3.7'!$B$28:$O$118,9,))))</f>
        <v>5.4423600523936149E-4</v>
      </c>
      <c r="L102" s="693" t="str">
        <f>IF('A1.3.8'!D$36="","",IF(OR(VLOOKUP($B102,'A1.3.11'!$B$26:$AM$105,L$22,)="",VLOOKUP($B102,'A1.3.7'!$B$28:$H$118,6,)=""),"",VLOOKUP($B102,'A1.3.11'!$B$26:$AM$105,L$22,)*VLOOKUP($B102,'A1.3.7'!$B$28:$O$118,6,)))</f>
        <v/>
      </c>
      <c r="M102" s="691">
        <f>IF('A1.3.8'!E$36="","",IF(OR(VLOOKUP($B102,'A1.3.11'!$B$26:$AM$105,M$22,)="",VLOOKUP($B102,'A1.3.7'!$B$28:$H$118,6,)=""),"",VLOOKUP($B102,'A1.3.11'!$B$26:$AM$105,M$22,)*VLOOKUP($B102,'A1.3.7'!$B$28:$O$118,6,)))</f>
        <v>1.9637608285706969</v>
      </c>
      <c r="N102" s="691" t="str">
        <f>IF('A1.3.8'!F$36="","",IF(OR(VLOOKUP($B102,'A1.3.11'!$B$26:$AM$105,N$22,)="",VLOOKUP($B102,'A1.3.7'!$B$28:$H$118,6,)=""),"",VLOOKUP($B102,'A1.3.11'!$B$26:$AM$105,N$22,)*VLOOKUP($B102,'A1.3.7'!$B$28:$O$118,6,)))</f>
        <v/>
      </c>
      <c r="O102" s="1664" t="str">
        <f>IF('A1.3.8'!G$36="","",IF(OR(VLOOKUP($B102,'A1.3.11'!$B$26:$AM$105,O$22,)="",VLOOKUP($B102,'A1.3.7'!$B$28:$H$118,6,)=""),"",VLOOKUP($B102,'A1.3.11'!$B$26:$AM$105,O$22,)*VLOOKUP($B102,'A1.3.7'!$B$28:$O$118,6,)))</f>
        <v/>
      </c>
      <c r="P102" s="693">
        <f>IF(AND(D102="",H102="",L102=""),"",IF(D102="",0,(D102*VLOOKUP($B102,'A1.3.9'!$B$26:$O$57,3,TRUE)))+IF(H102="",0,(H102*VLOOKUP($B102,'A1.3.9'!$B$26:$O$57,4,TRUE)))+IF(L102="",0,(L102*VLOOKUP($B102,'A1.3.9'!$B$26:$O$57,5,TRUE))))</f>
        <v>33.754907673901805</v>
      </c>
      <c r="Q102" s="691">
        <f>IF(AND(E102="",I102="",M102=""),"",IF(E102="",0,(E102*VLOOKUP($B102,'A1.3.9'!$B$26:$O$57,3,TRUE)))+IF(I102="",0,(I102*VLOOKUP($B102,'A1.3.9'!$B$26:$O$57,4,TRUE)))+IF(M102="",0,(M102*VLOOKUP($B102,'A1.3.9'!$B$26:$O$57,5,TRUE))))</f>
        <v>6.5812637590279834</v>
      </c>
      <c r="R102" s="691">
        <f>IF(AND(F102="",J102="",N102=""),"",IF(F102="",0,(F102*VLOOKUP($B102,'A1.3.9'!$B$26:$O$57,3,TRUE)))+IF(J102="",0,(J102*VLOOKUP($B102,'A1.3.9'!$B$26:$O$57,4,TRUE)))+IF(N102="",0,(N102*VLOOKUP($B102,'A1.3.9'!$B$26:$O$57,5,TRUE))))</f>
        <v>-6.5622184456415947E-2</v>
      </c>
      <c r="S102" s="2644">
        <f>IF(AND(G102="",K102="",O102=""),"",IF(G102="",0,(G102*VLOOKUP($B102,'A1.3.9'!$B$26:$O$57,3,TRUE)))+IF(K102="",0,(K102*VLOOKUP($B102,'A1.3.9'!$B$26:$O$57,4,TRUE)))+IF(O102="",0,(O102*VLOOKUP($B102,'A1.3.9'!$B$26:$O$57,5,TRUE))))</f>
        <v>4.6140181351659779E-4</v>
      </c>
      <c r="T102" s="693">
        <f>IF('A1.3.8'!D$29="","",IF(OR(VLOOKUP($B102,'A1.3.11'!$B$26:$AM$105,T$22,)="",VLOOKUP($B102,'A1.3.7'!$B$28:$H$118,3,)=""),"",VLOOKUP($B102,'A1.3.11'!$B$26:$AM$105,T$22,)*(VLOOKUP($B102,'A1.3.7'!$B$28:$O$118,3,)+VLOOKUP($B102,'A1.3.7'!$B$28:$O$118,8,))))</f>
        <v>29.324989906513494</v>
      </c>
      <c r="U102" s="691">
        <f>IF('A1.3.8'!E$29="","",IF(OR(VLOOKUP($B102,'A1.3.11'!$B$26:$AM$105,U$22,)="",VLOOKUP($B102,'A1.3.7'!$B$28:$H$118,3,)=""),"",VLOOKUP($B102,'A1.3.11'!$B$26:$AM$105,U$22,)*(VLOOKUP($B102,'A1.3.7'!$B$28:$O$118,3,)+VLOOKUP($B102,'A1.3.7'!$B$28:$O$118,8,))))</f>
        <v>16.443756821079461</v>
      </c>
      <c r="V102" s="691">
        <f>IF('A1.3.8'!F$29="","",IF(OR(VLOOKUP($B102,'A1.3.11'!$B$26:$AM$105,V$22,)="",VLOOKUP($B102,'A1.3.7'!$B$28:$H$118,3,)=""),"",VLOOKUP($B102,'A1.3.11'!$B$26:$AM$105,V$22,)*(VLOOKUP($B102,'A1.3.7'!$B$28:$O$118,3,)+VLOOKUP($B102,'A1.3.7'!$B$28:$O$118,8,))))</f>
        <v>-0.25811300719294511</v>
      </c>
      <c r="W102" s="2644">
        <f>IF('A1.3.8'!G$29="","",IF(OR(VLOOKUP($B102,'A1.3.11'!$B$26:$AM$105,W$22,)="",VLOOKUP($B102,'A1.3.7'!$B$28:$H$118,3,)=""),"",VLOOKUP($B102,'A1.3.11'!$B$26:$AM$105,W$22,)*(VLOOKUP($B102,'A1.3.7'!$B$28:$O$118,3,)+VLOOKUP($B102,'A1.3.7'!$B$28:$O$118,8,))))</f>
        <v>1.6669034467393894E-3</v>
      </c>
      <c r="X102" s="693">
        <f>IF('A1.3.8'!D$30="","",IF(OR(VLOOKUP($B102,'A1.3.11'!$B$26:$AM$105,X$22,)="",VLOOKUP($B102,'A1.3.7'!$B$28:$H$118,4,)=""),"",VLOOKUP($B102,'A1.3.11'!$B$26:$AM$105,X$22,)*(VLOOKUP($B102,'A1.3.7'!$B$28:$O$118,4,)+VLOOKUP($B102,'A1.3.7'!$B$28:$O$118,9,))))</f>
        <v>51.56947454144089</v>
      </c>
      <c r="Y102" s="691">
        <f>IF('A1.3.8'!E$30="","",IF(OR(VLOOKUP($B102,'A1.3.11'!$B$26:$AM$105,Y$22,)="",VLOOKUP($B102,'A1.3.7'!$B$28:$H$118,4,)=""),"",VLOOKUP($B102,'A1.3.11'!$B$26:$AM$105,Y$22,)*(VLOOKUP($B102,'A1.3.7'!$B$28:$O$118,4,)+VLOOKUP($B102,'A1.3.7'!$B$28:$O$118,9,))))</f>
        <v>12.603789740643901</v>
      </c>
      <c r="Z102" s="691">
        <f>IF('A1.3.8'!F$30="","",IF(OR(VLOOKUP($B102,'A1.3.11'!$B$26:$AM$105,Z$22,)="",VLOOKUP($B102,'A1.3.7'!$B$28:$H$118,4,)=""),"",VLOOKUP($B102,'A1.3.11'!$B$26:$AM$105,Z$22,)*(VLOOKUP($B102,'A1.3.7'!$B$28:$O$118,4,)+VLOOKUP($B102,'A1.3.7'!$B$28:$O$118,9,))))</f>
        <v>-0.18183257367809477</v>
      </c>
      <c r="AA102" s="2644">
        <f>IF('A1.3.8'!G$30="","",IF(OR(VLOOKUP($B102,'A1.3.11'!$B$26:$AM$105,AA$22,)="",VLOOKUP($B102,'A1.3.7'!$B$28:$H$118,4,)=""),"",VLOOKUP($B102,'A1.3.11'!$B$26:$AM$105,AA$22,)*(VLOOKUP($B102,'A1.3.7'!$B$28:$O$118,4,)+VLOOKUP($B102,'A1.3.7'!$B$28:$O$118,9,))))</f>
        <v>1.5394009087416065E-3</v>
      </c>
      <c r="AB102" s="693" t="str">
        <f>IF('A1.3.8'!D$37="","",IF(OR(VLOOKUP($B102,'A1.3.11'!$B$26:$AM$105,AB$22,)="",VLOOKUP($B102,'A1.3.7'!$B$28:$H$118,6,)=""),"",VLOOKUP($B102,'A1.3.11'!$B$26:$AM$105,AB$22,)*VLOOKUP($B102,'A1.3.7'!$B$28:$O$118,6,)))</f>
        <v/>
      </c>
      <c r="AC102" s="691">
        <f>IF('A1.3.8'!E$37="","",IF(OR(VLOOKUP($B102,'A1.3.11'!$B$26:$AM$105,AC$22,)="",VLOOKUP($B102,'A1.3.7'!$B$28:$H$118,6,)=""),"",VLOOKUP($B102,'A1.3.11'!$B$26:$AM$105,AC$22,)*VLOOKUP($B102,'A1.3.7'!$B$28:$O$118,6,)))</f>
        <v>4.5145632825273854</v>
      </c>
      <c r="AD102" s="691" t="str">
        <f>IF('A1.3.8'!F$37="","",IF(OR(VLOOKUP($B102,'A1.3.11'!$B$26:$AM$105,AD$22,)="",VLOOKUP($B102,'A1.3.7'!$B$28:$H$118,6,)=""),"",VLOOKUP($B102,'A1.3.11'!$B$26:$AM$105,AD$22,)*VLOOKUP($B102,'A1.3.7'!$B$28:$O$118,6,)))</f>
        <v/>
      </c>
      <c r="AE102" s="1664" t="str">
        <f>IF('A1.3.8'!G$37="","",IF(OR(VLOOKUP($B102,'A1.3.11'!$B$26:$AM$105,AE$22,)="",VLOOKUP($B102,'A1.3.7'!$B$28:$H$118,6,)=""),"",VLOOKUP($B102,'A1.3.11'!$B$26:$AM$105,AE$22,)*VLOOKUP($B102,'A1.3.7'!$B$28:$O$118,6,)))</f>
        <v/>
      </c>
      <c r="AF102" s="693">
        <f>IF(AND(T102="",X102="",AB102=""),"",IF(T102="",0,(T102*VLOOKUP('A1.3.12'!$B102,'A1.3.9'!$B$26:$O$57,6,TRUE))) + IF(X102="",0,(X102*VLOOKUP('A1.3.12'!$B102,'A1.3.9'!$B$26:$O$57,7,TRUE))) + IF(AB102="",0,(AB102*VLOOKUP('A1.3.12'!$B102,'A1.3.9'!$B$26:$O$57,8,TRUE))))</f>
        <v>45.758034629006573</v>
      </c>
      <c r="AG102" s="691">
        <f>IF(AND(U102="",Y102="",AC102=""),"",IF(U102="",0,(U102*VLOOKUP('A1.3.12'!$B102,'A1.3.9'!$B$26:$O$57,6,TRUE))) + IF(Y102="",0,(Y102*VLOOKUP('A1.3.12'!$B102,'A1.3.9'!$B$26:$O$57,7,TRUE))) + IF(AC102="",0,(AC102*VLOOKUP('A1.3.12'!$B102,'A1.3.9'!$B$26:$O$57,8,TRUE))))</f>
        <v>11.747768681010253</v>
      </c>
      <c r="AH102" s="691">
        <f>IF(AND(V102="",Z102="",AD102=""),"",IF(V102="",0,(V102*VLOOKUP('A1.3.12'!$B102,'A1.3.9'!$B$26:$O$57,6,TRUE))) + IF(Z102="",0,(Z102*VLOOKUP('A1.3.12'!$B102,'A1.3.9'!$B$26:$O$57,7,TRUE))) + IF(AD102="",0,(AD102*VLOOKUP('A1.3.12'!$B102,'A1.3.9'!$B$26:$O$57,8,TRUE))))</f>
        <v>-0.16251453638613614</v>
      </c>
      <c r="AI102" s="2644">
        <f>IF(AND(W102="",AA102="",AE102=""),"",IF(W102="",0,(W102*VLOOKUP('A1.3.12'!$B102,'A1.3.9'!$B$26:$O$57,6,TRUE))) + IF(AA102="",0,(AA102*VLOOKUP('A1.3.12'!$B102,'A1.3.9'!$B$26:$O$57,7,TRUE))) + IF(AE102="",0,(AE102*VLOOKUP('A1.3.12'!$B102,'A1.3.9'!$B$26:$O$57,8,TRUE))))</f>
        <v>1.371924382520267E-3</v>
      </c>
      <c r="AJ102" s="693">
        <f>IF('A1.3.8'!D$31="","",IF(OR(VLOOKUP($B102,'A1.3.11'!$B$26:$AM$105,AJ$22,)="",VLOOKUP($B102,'A1.3.7'!$B$28:$H$118,4,)=""),"",VLOOKUP($B102,'A1.3.11'!$B$26:$AM$105,AJ$22,)*(VLOOKUP($B102,'A1.3.7'!$B$28:$O$118,4,)+VLOOKUP($B102,'A1.3.7'!$B$28:$O$118,9,))))</f>
        <v>348.60772913339224</v>
      </c>
      <c r="AK102" s="691">
        <f>IF('A1.3.8'!E$31="","",IF(OR(VLOOKUP($B102,'A1.3.11'!$B$26:$AM$105,AK$22,)="",VLOOKUP($B102,'A1.3.7'!$B$28:$H$118,4,)=""),"",VLOOKUP($B102,'A1.3.11'!$B$26:$AM$105,AK$22,)*(VLOOKUP($B102,'A1.3.7'!$B$28:$O$118,4,)+VLOOKUP($B102,'A1.3.7'!$B$28:$O$118,9,))))</f>
        <v>18.49615184706607</v>
      </c>
      <c r="AL102" s="691">
        <f>IF('A1.3.8'!F$31="","",IF(OR(VLOOKUP($B102,'A1.3.11'!$B$26:$AM$105,AL$22,)="",VLOOKUP($B102,'A1.3.7'!$B$28:$H$118,4,)=""),"",VLOOKUP($B102,'A1.3.11'!$B$26:$AM$105,AL$22,)*(VLOOKUP($B102,'A1.3.7'!$B$28:$O$118,4,)+VLOOKUP($B102,'A1.3.7'!$B$28:$O$118,9,))))</f>
        <v>-0.1336903029873821</v>
      </c>
      <c r="AM102" s="2644">
        <f>IF('A1.3.8'!G$31="","",IF(OR(VLOOKUP($B102,'A1.3.11'!$B$26:$AM$105,AM$22,)="",VLOOKUP($B102,'A1.3.7'!$B$28:$H$118,4,)=""),"",VLOOKUP($B102,'A1.3.11'!$B$26:$AM$105,AM$22,)*(VLOOKUP($B102,'A1.3.7'!$B$28:$O$118,4,)+VLOOKUP($B102,'A1.3.7'!$B$28:$O$118,9,))))</f>
        <v>1.4601126151854039E-3</v>
      </c>
      <c r="AN102" s="693" t="str">
        <f>IF('A1.3.8'!D$38="","",IF(OR(VLOOKUP($B102,'A1.3.11'!$B$26:$AM$105,AN$22,)="",VLOOKUP($B102,'A1.3.7'!$B$28:$H$118,6,)=""),"",VLOOKUP($B102,'A1.3.11'!$B$26:$AM$105,AN$22,)*VLOOKUP($B102,'A1.3.7'!$B$28:$O$118,6,)))</f>
        <v/>
      </c>
      <c r="AO102" s="691" t="str">
        <f>IF('A1.3.8'!E$38="","",IF(OR(VLOOKUP($B102,'A1.3.11'!$B$26:$AM$105,AO$22,)="",VLOOKUP($B102,'A1.3.7'!$B$28:$H$118,6,)=""),"",VLOOKUP($B102,'A1.3.11'!$B$26:$AM$105,AO$22,)*VLOOKUP($B102,'A1.3.7'!$B$28:$O$118,6,)))</f>
        <v/>
      </c>
      <c r="AP102" s="691" t="str">
        <f>IF('A1.3.8'!F$38="","",IF(OR(VLOOKUP($B102,'A1.3.11'!$B$26:$AM$105,AP$22,)="",VLOOKUP($B102,'A1.3.7'!$B$28:$H$118,6,)=""),"",VLOOKUP($B102,'A1.3.11'!$B$26:$AM$105,AP$22,)*VLOOKUP($B102,'A1.3.7'!$B$28:$O$118,6,)))</f>
        <v/>
      </c>
      <c r="AQ102" s="1664" t="str">
        <f>IF('A1.3.8'!G$38="","",IF(OR(VLOOKUP($B102,'A1.3.11'!$B$26:$AM$105,AQ$22,)="",VLOOKUP($B102,'A1.3.7'!$B$28:$H$118,6,)=""),"",VLOOKUP($B102,'A1.3.11'!$B$26:$AM$105,AQ$22,)*VLOOKUP($B102,'A1.3.7'!$B$28:$O$118,6,)))</f>
        <v/>
      </c>
      <c r="AR102" s="693">
        <f>IF(AND(AJ102="",AN102=""),"",IF(AJ102="",0,(AJ102*VLOOKUP($B102,'A1.3.9'!$B$26:$O$57,9,TRUE))) + IF(AN102="",0,(AN102*VLOOKUP($B102,'A1.3.9'!$B$26:$O$57,10,TRUE))))</f>
        <v>348.60772913339224</v>
      </c>
      <c r="AS102" s="691">
        <f>IF(AND(AK102="",AO102=""),"",IF(AK102="",0,(AK102*VLOOKUP($B102,'A1.3.9'!$B$26:$O$57,9,TRUE))) + IF(AO102="",0,(AO102*VLOOKUP($B102,'A1.3.9'!$B$26:$O$57,10,TRUE))))</f>
        <v>18.49615184706607</v>
      </c>
      <c r="AT102" s="691">
        <f>IF(AND(AL102="",AP102=""),"",IF(AL102="",0,(AL102*VLOOKUP($B102,'A1.3.9'!$B$26:$O$57,9,TRUE))) + IF(AP102="",0,(AP102*VLOOKUP($B102,'A1.3.9'!$B$26:$O$57,10,TRUE))))</f>
        <v>-0.1336903029873821</v>
      </c>
      <c r="AU102" s="2644">
        <f>IF(AND(AM102="",AQ102=""),"",IF(AM102="",0,(AM102*VLOOKUP($B102,'A1.3.9'!$B$26:$O$57,9,TRUE))) + IF(AQ102="",0,(AQ102*VLOOKUP($B102,'A1.3.9'!$B$26:$O$57,10,TRUE))))</f>
        <v>1.4601126151854039E-3</v>
      </c>
      <c r="AV102" s="693">
        <f>IF('A1.3.8'!D$32="","",IF(OR(VLOOKUP($B102,'A1.3.11'!$B$26:$AM$105,AV$22,)="",VLOOKUP($B102,'A1.3.7'!$B$28:$H$118,4,)=""),"",VLOOKUP($B102,'A1.3.11'!$B$26:$AM$105,AV$22,)*(VLOOKUP($B102,'A1.3.7'!$B$28:$O$118,4,)+VLOOKUP($B102,'A1.3.7'!$B$28:$O$118,9,))))</f>
        <v>732.51567797453174</v>
      </c>
      <c r="AW102" s="691">
        <f>IF('A1.3.8'!E$32="","",IF(OR(VLOOKUP($B102,'A1.3.11'!$B$26:$AM$105,AW$22,)="",VLOOKUP($B102,'A1.3.7'!$B$28:$H$118,4,)=""),"",VLOOKUP($B102,'A1.3.11'!$B$26:$AM$105,AW$22,)*(VLOOKUP($B102,'A1.3.7'!$B$28:$O$118,4,)+VLOOKUP($B102,'A1.3.7'!$B$28:$O$118,9,))))</f>
        <v>38.040837102950789</v>
      </c>
      <c r="AX102" s="691">
        <f>IF('A1.3.8'!F$32="","",IF(OR(VLOOKUP($B102,'A1.3.11'!$B$26:$AM$105,AX$22,)="",VLOOKUP($B102,'A1.3.7'!$B$28:$H$118,4,)=""),"",VLOOKUP($B102,'A1.3.11'!$B$26:$AM$105,AX$22,)*(VLOOKUP($B102,'A1.3.7'!$B$28:$O$118,4,)+VLOOKUP($B102,'A1.3.7'!$B$28:$O$118,9,))))</f>
        <v>-0.25204055769515687</v>
      </c>
      <c r="AY102" s="2644">
        <f>IF('A1.3.8'!G$32="","",IF(OR(VLOOKUP($B102,'A1.3.11'!$B$26:$AM$105,AY$22,)="",VLOOKUP($B102,'A1.3.7'!$B$28:$H$118,4,)=""),"",VLOOKUP($B102,'A1.3.11'!$B$26:$AM$105,AY$22,)*(VLOOKUP($B102,'A1.3.7'!$B$28:$O$118,4,)+VLOOKUP($B102,'A1.3.7'!$B$28:$O$118,9,))))</f>
        <v>1.5022665304584191E-3</v>
      </c>
      <c r="AZ102" s="693" t="str">
        <f>IF('A1.3.8'!D$39="","",IF(OR(VLOOKUP($B102,'A1.3.11'!$B$26:$AM$105,AZ$22,)="",VLOOKUP($B102,'A1.3.7'!$B$28:$H$118,6,)=""),"",VLOOKUP($B102,'A1.3.11'!$B$26:$AM$105,AZ$22,)*VLOOKUP($B102,'A1.3.7'!$B$28:$O$118,6,)))</f>
        <v/>
      </c>
      <c r="BA102" s="691" t="str">
        <f>IF('A1.3.8'!E$39="","",IF(OR(VLOOKUP($B102,'A1.3.11'!$B$26:$AM$105,BA$22,)="",VLOOKUP($B102,'A1.3.7'!$B$28:$H$118,6,)=""),"",VLOOKUP($B102,'A1.3.11'!$B$26:$AM$105,BA$22,)*VLOOKUP($B102,'A1.3.7'!$B$28:$O$118,6,)))</f>
        <v/>
      </c>
      <c r="BB102" s="691" t="str">
        <f>IF('A1.3.8'!F$39="","",IF(OR(VLOOKUP($B102,'A1.3.11'!$B$26:$AM$105,BB$22,)="",VLOOKUP($B102,'A1.3.7'!$B$28:$H$118,6,)=""),"",VLOOKUP($B102,'A1.3.11'!$B$26:$AM$105,BB$22,)*VLOOKUP($B102,'A1.3.7'!$B$28:$O$118,6,)))</f>
        <v/>
      </c>
      <c r="BC102" s="1664" t="str">
        <f>IF('A1.3.8'!G$39="","",IF(OR(VLOOKUP($B102,'A1.3.11'!$B$26:$AM$105,BC$22,)="",VLOOKUP($B102,'A1.3.7'!$B$28:$H$118,6,)=""),"",VLOOKUP($B102,'A1.3.11'!$B$26:$AM$105,BC$22,)*VLOOKUP($B102,'A1.3.7'!$B$28:$O$118,6,)))</f>
        <v/>
      </c>
      <c r="BD102" s="693">
        <f>IF(AND(AV102="",AZ102=""),"",IF(AV102="",0,(AV102*VLOOKUP($B102,'A1.3.9'!$B$26:$O$57,9,TRUE))) + IF(AZ102="",0,(AZ102*VLOOKUP($B102,'A1.3.9'!$B$26:$O$57,10,TRUE))))</f>
        <v>732.51567797453174</v>
      </c>
      <c r="BE102" s="691">
        <f>IF(AND(AW102="",BA102=""),"",IF(AW102="",0,(AW102*VLOOKUP($B102,'A1.3.9'!$B$26:$O$57,9,TRUE))) + IF(BA102="",0,(BA102*VLOOKUP($B102,'A1.3.9'!$B$26:$O$57,10,TRUE))))</f>
        <v>38.040837102950789</v>
      </c>
      <c r="BF102" s="691">
        <f>IF(AND(AX102="",BB102=""),"",IF(AX102="",0,(AX102*VLOOKUP($B102,'A1.3.9'!$B$26:$O$57,9,TRUE))) + IF(BB102="",0,(BB102*VLOOKUP($B102,'A1.3.9'!$B$26:$O$57,10,TRUE))))</f>
        <v>-0.25204055769515687</v>
      </c>
      <c r="BG102" s="2644">
        <f>IF(AND(AY102="",BC102=""),"",IF(AY102="",0,(AY102*VLOOKUP($B102,'A1.3.9'!$B$26:$O$57,9,TRUE))) + IF(BC102="",0,(BC102*VLOOKUP($B102,'A1.3.9'!$B$26:$O$57,10,TRUE))))</f>
        <v>1.5022665304584191E-3</v>
      </c>
      <c r="BH102" s="693">
        <f>IF('A1.3.8'!D$33="","",IF(OR(VLOOKUP($B102,'A1.3.11'!$B$26:$AM$105,BH$22,)="",VLOOKUP($B102,'A1.3.7'!$B$28:$H$118,4,)=""),"",VLOOKUP($B102,'A1.3.11'!$B$26:$AM$105,BH$22,)*(VLOOKUP($B102,'A1.3.7'!$B$28:$O$118,4,)+VLOOKUP($B102,'A1.3.7'!$B$28:$O$118,9,))))</f>
        <v>434.4448832603801</v>
      </c>
      <c r="BI102" s="691">
        <f>IF('A1.3.8'!E$33="","",IF(OR(VLOOKUP($B102,'A1.3.11'!$B$26:$AM$105,BI$22,)="",VLOOKUP($B102,'A1.3.7'!$B$28:$H$118,4,)=""),"",VLOOKUP($B102,'A1.3.11'!$B$26:$AM$105,BI$22,)*(VLOOKUP($B102,'A1.3.7'!$B$28:$O$118,4,)+VLOOKUP($B102,'A1.3.7'!$B$28:$O$118,9,))))</f>
        <v>38.173347162812554</v>
      </c>
      <c r="BJ102" s="691">
        <f>IF('A1.3.8'!F$33="","",IF(OR(VLOOKUP($B102,'A1.3.11'!$B$26:$AM$105,BJ$22,)="",VLOOKUP($B102,'A1.3.7'!$B$28:$H$118,4,)=""),"",VLOOKUP($B102,'A1.3.11'!$B$26:$AM$105,BJ$22,)*(VLOOKUP($B102,'A1.3.7'!$B$28:$O$118,4,)+VLOOKUP($B102,'A1.3.7'!$B$28:$O$118,9,))))</f>
        <v>-0.41491026003558601</v>
      </c>
      <c r="BK102" s="2644">
        <f>IF('A1.3.8'!G$33="","",IF(OR(VLOOKUP($B102,'A1.3.11'!$B$26:$AM$105,BK$22,)="",VLOOKUP($B102,'A1.3.7'!$B$28:$H$118,4,)=""),"",VLOOKUP($B102,'A1.3.11'!$B$26:$AM$105,BK$22,)*(VLOOKUP($B102,'A1.3.7'!$B$28:$O$118,4,)+VLOOKUP($B102,'A1.3.7'!$B$28:$O$118,9,))))</f>
        <v>3.0435363520718486E-3</v>
      </c>
      <c r="BL102" s="693" t="str">
        <f>IF('A1.3.8'!D$40="","",IF(OR(VLOOKUP($B102,'A1.3.11'!$B$26:$AM$105,BL$22,)="",VLOOKUP($B102,'A1.3.7'!$B$28:$H$118,6,)=""),"",VLOOKUP($B102,'A1.3.11'!$B$26:$AM$105,BL$22,)*VLOOKUP($B102,'A1.3.7'!$B$28:$O$118,6,)))</f>
        <v/>
      </c>
      <c r="BM102" s="691" t="str">
        <f>IF('A1.3.8'!E$40="","",IF(OR(VLOOKUP($B102,'A1.3.11'!$B$26:$AM$105,BM$22,)="",VLOOKUP($B102,'A1.3.7'!$B$28:$H$118,6,)=""),"",VLOOKUP($B102,'A1.3.11'!$B$26:$AM$105,BM$22,)*VLOOKUP($B102,'A1.3.7'!$B$28:$O$118,6,)))</f>
        <v/>
      </c>
      <c r="BN102" s="691" t="str">
        <f>IF('A1.3.8'!F$40="","",IF(OR(VLOOKUP($B102,'A1.3.11'!$B$26:$AM$105,BN$22,)="",VLOOKUP($B102,'A1.3.7'!$B$28:$H$118,6,)=""),"",VLOOKUP($B102,'A1.3.11'!$B$26:$AM$105,BN$22,)*VLOOKUP($B102,'A1.3.7'!$B$28:$O$118,6,)))</f>
        <v/>
      </c>
      <c r="BO102" s="1664" t="str">
        <f>IF('A1.3.8'!G$40="","",IF(OR(VLOOKUP($B102,'A1.3.11'!$B$26:$AM$105,BO$22,)="",VLOOKUP($B102,'A1.3.7'!$B$28:$H$118,6,)=""),"",VLOOKUP($B102,'A1.3.11'!$B$26:$AM$105,BO$22,)*VLOOKUP($B102,'A1.3.7'!$B$28:$O$118,6,)))</f>
        <v/>
      </c>
      <c r="BP102" s="693">
        <f>IF(AND(BH102="",BL102=""),"",IF(BH102="",0,(BH102*VLOOKUP($B102,'A1.3.9'!$B$26:$O$57,9,TRUE))) + IF(BL102="",0,(BL102*VLOOKUP($B102,'A1.3.9'!$B$26:$O$57,10,TRUE))))</f>
        <v>434.4448832603801</v>
      </c>
      <c r="BQ102" s="691">
        <f>IF(AND(BI102="",BM102=""),"",IF(BI102="",0,(BI102*VLOOKUP($B102,'A1.3.9'!$B$26:$O$57,9,TRUE))) + IF(BM102="",0,(BM102*VLOOKUP($B102,'A1.3.9'!$B$26:$O$57,10,TRUE))))</f>
        <v>38.173347162812554</v>
      </c>
      <c r="BR102" s="691">
        <f>IF(AND(BJ102="",BN102=""),"",IF(BJ102="",0,(BJ102*VLOOKUP($B102,'A1.3.9'!$B$26:$O$57,9,TRUE))) + IF(BN102="",0,(BN102*VLOOKUP($B102,'A1.3.9'!$B$26:$O$57,10,TRUE))))</f>
        <v>-0.41491026003558601</v>
      </c>
      <c r="BS102" s="2644">
        <f>IF(AND(BK102="",BO102=""),"",IF(BK102="",0,(BK102*VLOOKUP($B102,'A1.3.9'!$B$26:$O$57,9,TRUE))) + IF(BO102="",0,(BO102*VLOOKUP($B102,'A1.3.9'!$B$26:$O$57,10,TRUE))))</f>
        <v>3.0435363520718486E-3</v>
      </c>
    </row>
    <row r="103" spans="1:71" ht="13.5" customHeight="1">
      <c r="A103" s="113"/>
      <c r="B103" s="614">
        <f t="shared" si="1"/>
        <v>2086</v>
      </c>
      <c r="C103" s="147"/>
      <c r="D103" s="693">
        <f>IF('A1.3.8'!D$27="","",IF(OR(VLOOKUP($B103,'A1.3.11'!$B$26:$AM$105,D$22,)="",VLOOKUP($B103,'A1.3.7'!$B$28:$H$118,3,)=""),"",VLOOKUP($B103,'A1.3.11'!$B$26:$AM$105,D$22,)*(VLOOKUP($B103,'A1.3.7'!$B$28:$O$118,3,)+VLOOKUP($B103,'A1.3.7'!$B$28:$O$118,8,))))</f>
        <v>40.951460923773915</v>
      </c>
      <c r="E103" s="691">
        <f>IF('A1.3.8'!E$27="","",IF(OR(VLOOKUP($B103,'A1.3.11'!$B$26:$AM$105,E$22,)="",VLOOKUP($B103,'A1.3.7'!$B$28:$H$118,3,)=""),"",VLOOKUP($B103,'A1.3.11'!$B$26:$AM$105,E$22,)*(VLOOKUP($B103,'A1.3.7'!$B$28:$O$118,3,)+VLOOKUP($B103,'A1.3.7'!$B$28:$O$118,8,))))</f>
        <v>8.7028497161906309</v>
      </c>
      <c r="F103" s="691">
        <f>IF('A1.3.8'!F$27="","",IF(OR(VLOOKUP($B103,'A1.3.11'!$B$26:$AM$105,F$22,)="",VLOOKUP($B103,'A1.3.7'!$B$28:$H$118,3,)=""),"",VLOOKUP($B103,'A1.3.11'!$B$26:$AM$105,F$22,)*(VLOOKUP($B103,'A1.3.7'!$B$28:$O$118,3,)+VLOOKUP($B103,'A1.3.7'!$B$28:$O$118,8,))))</f>
        <v>-9.9135778852376386E-2</v>
      </c>
      <c r="G103" s="2644">
        <f>IF('A1.3.8'!G$27="","",IF(OR(VLOOKUP($B103,'A1.3.11'!$B$26:$AM$105,G$22,)="",VLOOKUP($B103,'A1.3.7'!$B$28:$H$118,3,)=""),"",VLOOKUP($B103,'A1.3.11'!$B$26:$AM$105,G$22,)*(VLOOKUP($B103,'A1.3.7'!$B$28:$O$118,3,)+VLOOKUP($B103,'A1.3.7'!$B$28:$O$118,8,))))</f>
        <v>6.5656828674008269E-4</v>
      </c>
      <c r="H103" s="693">
        <f>IF('A1.3.8'!D$28="","",IF(OR(VLOOKUP($B103,'A1.3.11'!$B$26:$AM$105,H$22,)="",VLOOKUP($B103,'A1.3.7'!$B$28:$H$118,4,)=""),"",VLOOKUP($B103,'A1.3.11'!$B$26:$AM$105,H$22,)*(VLOOKUP($B103,'A1.3.7'!$B$28:$O$118,4,)+VLOOKUP($B103,'A1.3.7'!$B$28:$O$118,9,))))</f>
        <v>50.291892502337191</v>
      </c>
      <c r="I103" s="691">
        <f>IF('A1.3.8'!E$28="","",IF(OR(VLOOKUP($B103,'A1.3.11'!$B$26:$AM$105,I$22,)="",VLOOKUP($B103,'A1.3.7'!$B$28:$H$118,4,)=""),"",VLOOKUP($B103,'A1.3.11'!$B$26:$AM$105,I$22,)*(VLOOKUP($B103,'A1.3.7'!$B$28:$O$118,4,)+VLOOKUP($B103,'A1.3.7'!$B$28:$O$118,9,))))</f>
        <v>7.2106136677475821</v>
      </c>
      <c r="J103" s="691">
        <f>IF('A1.3.8'!F$28="","",IF(OR(VLOOKUP($B103,'A1.3.11'!$B$26:$AM$105,J$22,)="",VLOOKUP($B103,'A1.3.7'!$B$28:$H$118,4,)=""),"",VLOOKUP($B103,'A1.3.11'!$B$26:$AM$105,J$22,)*(VLOOKUP($B103,'A1.3.7'!$B$28:$O$118,4,)+VLOOKUP($B103,'A1.3.7'!$B$28:$O$118,9,))))</f>
        <v>-6.9368112221344647E-2</v>
      </c>
      <c r="K103" s="2644">
        <f>IF('A1.3.8'!G$28="","",IF(OR(VLOOKUP($B103,'A1.3.11'!$B$26:$AM$105,K$22,)="",VLOOKUP($B103,'A1.3.7'!$B$28:$H$118,4,)=""),"",VLOOKUP($B103,'A1.3.11'!$B$26:$AM$105,K$22,)*(VLOOKUP($B103,'A1.3.7'!$B$28:$O$118,4,)+VLOOKUP($B103,'A1.3.7'!$B$28:$O$118,9,))))</f>
        <v>5.4662420455431804E-4</v>
      </c>
      <c r="L103" s="693" t="str">
        <f>IF('A1.3.8'!D$36="","",IF(OR(VLOOKUP($B103,'A1.3.11'!$B$26:$AM$105,L$22,)="",VLOOKUP($B103,'A1.3.7'!$B$28:$H$118,6,)=""),"",VLOOKUP($B103,'A1.3.11'!$B$26:$AM$105,L$22,)*VLOOKUP($B103,'A1.3.7'!$B$28:$O$118,6,)))</f>
        <v/>
      </c>
      <c r="M103" s="691">
        <f>IF('A1.3.8'!E$36="","",IF(OR(VLOOKUP($B103,'A1.3.11'!$B$26:$AM$105,M$22,)="",VLOOKUP($B103,'A1.3.7'!$B$28:$H$118,6,)=""),"",VLOOKUP($B103,'A1.3.11'!$B$26:$AM$105,M$22,)*VLOOKUP($B103,'A1.3.7'!$B$28:$O$118,6,)))</f>
        <v>1.9637608285706969</v>
      </c>
      <c r="N103" s="691" t="str">
        <f>IF('A1.3.8'!F$36="","",IF(OR(VLOOKUP($B103,'A1.3.11'!$B$26:$AM$105,N$22,)="",VLOOKUP($B103,'A1.3.7'!$B$28:$H$118,6,)=""),"",VLOOKUP($B103,'A1.3.11'!$B$26:$AM$105,N$22,)*VLOOKUP($B103,'A1.3.7'!$B$28:$O$118,6,)))</f>
        <v/>
      </c>
      <c r="O103" s="1664" t="str">
        <f>IF('A1.3.8'!G$36="","",IF(OR(VLOOKUP($B103,'A1.3.11'!$B$26:$AM$105,O$22,)="",VLOOKUP($B103,'A1.3.7'!$B$28:$H$118,6,)=""),"",VLOOKUP($B103,'A1.3.11'!$B$26:$AM$105,O$22,)*VLOOKUP($B103,'A1.3.7'!$B$28:$O$118,6,)))</f>
        <v/>
      </c>
      <c r="P103" s="693">
        <f>IF(AND(D103="",H103="",L103=""),"",IF(D103="",0,(D103*VLOOKUP($B103,'A1.3.9'!$B$26:$O$57,3,TRUE)))+IF(H103="",0,(H103*VLOOKUP($B103,'A1.3.9'!$B$26:$O$57,4,TRUE)))+IF(L103="",0,(L103*VLOOKUP($B103,'A1.3.9'!$B$26:$O$57,5,TRUE))))</f>
        <v>33.905568551262867</v>
      </c>
      <c r="Q103" s="691">
        <f>IF(AND(E103="",I103="",M103=""),"",IF(E103="",0,(E103*VLOOKUP($B103,'A1.3.9'!$B$26:$O$57,3,TRUE)))+IF(I103="",0,(I103*VLOOKUP($B103,'A1.3.9'!$B$26:$O$57,4,TRUE)))+IF(M103="",0,(M103*VLOOKUP($B103,'A1.3.9'!$B$26:$O$57,5,TRUE))))</f>
        <v>6.6085938164137437</v>
      </c>
      <c r="R103" s="691">
        <f>IF(AND(F103="",J103="",N103=""),"",IF(F103="",0,(F103*VLOOKUP($B103,'A1.3.9'!$B$26:$O$57,3,TRUE)))+IF(J103="",0,(J103*VLOOKUP($B103,'A1.3.9'!$B$26:$O$57,4,TRUE)))+IF(N103="",0,(N103*VLOOKUP($B103,'A1.3.9'!$B$26:$O$57,5,TRUE))))</f>
        <v>-6.5916291263952986E-2</v>
      </c>
      <c r="S103" s="2644">
        <f>IF(AND(G103="",K103="",O103=""),"",IF(G103="",0,(G103*VLOOKUP($B103,'A1.3.9'!$B$26:$O$57,3,TRUE)))+IF(K103="",0,(K103*VLOOKUP($B103,'A1.3.9'!$B$26:$O$57,4,TRUE)))+IF(O103="",0,(O103*VLOOKUP($B103,'A1.3.9'!$B$26:$O$57,5,TRUE))))</f>
        <v>4.6346722426764315E-4</v>
      </c>
      <c r="T103" s="693">
        <f>IF('A1.3.8'!D$29="","",IF(OR(VLOOKUP($B103,'A1.3.11'!$B$26:$AM$105,T$22,)="",VLOOKUP($B103,'A1.3.7'!$B$28:$H$118,3,)=""),"",VLOOKUP($B103,'A1.3.11'!$B$26:$AM$105,T$22,)*(VLOOKUP($B103,'A1.3.7'!$B$28:$O$118,3,)+VLOOKUP($B103,'A1.3.7'!$B$28:$O$118,8,))))</f>
        <v>29.457740090967807</v>
      </c>
      <c r="U103" s="691">
        <f>IF('A1.3.8'!E$29="","",IF(OR(VLOOKUP($B103,'A1.3.11'!$B$26:$AM$105,U$22,)="",VLOOKUP($B103,'A1.3.7'!$B$28:$H$118,3,)=""),"",VLOOKUP($B103,'A1.3.11'!$B$26:$AM$105,U$22,)*(VLOOKUP($B103,'A1.3.7'!$B$28:$O$118,3,)+VLOOKUP($B103,'A1.3.7'!$B$28:$O$118,8,))))</f>
        <v>16.518195440089361</v>
      </c>
      <c r="V103" s="691">
        <f>IF('A1.3.8'!F$29="","",IF(OR(VLOOKUP($B103,'A1.3.11'!$B$26:$AM$105,V$22,)="",VLOOKUP($B103,'A1.3.7'!$B$28:$H$118,3,)=""),"",VLOOKUP($B103,'A1.3.11'!$B$26:$AM$105,V$22,)*(VLOOKUP($B103,'A1.3.7'!$B$28:$O$118,3,)+VLOOKUP($B103,'A1.3.7'!$B$28:$O$118,8,))))</f>
        <v>-0.25928144917448215</v>
      </c>
      <c r="W103" s="2644">
        <f>IF('A1.3.8'!G$29="","",IF(OR(VLOOKUP($B103,'A1.3.11'!$B$26:$AM$105,W$22,)="",VLOOKUP($B103,'A1.3.7'!$B$28:$H$118,3,)=""),"",VLOOKUP($B103,'A1.3.11'!$B$26:$AM$105,W$22,)*(VLOOKUP($B103,'A1.3.7'!$B$28:$O$118,3,)+VLOOKUP($B103,'A1.3.7'!$B$28:$O$118,8,))))</f>
        <v>1.674449288723568E-3</v>
      </c>
      <c r="X103" s="693">
        <f>IF('A1.3.8'!D$30="","",IF(OR(VLOOKUP($B103,'A1.3.11'!$B$26:$AM$105,X$22,)="",VLOOKUP($B103,'A1.3.7'!$B$28:$H$118,4,)=""),"",VLOOKUP($B103,'A1.3.11'!$B$26:$AM$105,X$22,)*(VLOOKUP($B103,'A1.3.7'!$B$28:$O$118,4,)+VLOOKUP($B103,'A1.3.7'!$B$28:$O$118,9,))))</f>
        <v>51.795770087099193</v>
      </c>
      <c r="Y103" s="691">
        <f>IF('A1.3.8'!E$30="","",IF(OR(VLOOKUP($B103,'A1.3.11'!$B$26:$AM$105,Y$22,)="",VLOOKUP($B103,'A1.3.7'!$B$28:$H$118,4,)=""),"",VLOOKUP($B103,'A1.3.11'!$B$26:$AM$105,Y$22,)*(VLOOKUP($B103,'A1.3.7'!$B$28:$O$118,4,)+VLOOKUP($B103,'A1.3.7'!$B$28:$O$118,9,))))</f>
        <v>12.659097294232206</v>
      </c>
      <c r="Z103" s="691">
        <f>IF('A1.3.8'!F$30="","",IF(OR(VLOOKUP($B103,'A1.3.11'!$B$26:$AM$105,Z$22,)="",VLOOKUP($B103,'A1.3.7'!$B$28:$H$118,4,)=""),"",VLOOKUP($B103,'A1.3.11'!$B$26:$AM$105,Z$22,)*(VLOOKUP($B103,'A1.3.7'!$B$28:$O$118,4,)+VLOOKUP($B103,'A1.3.7'!$B$28:$O$118,9,))))</f>
        <v>-0.18263048565693163</v>
      </c>
      <c r="AA103" s="2644">
        <f>IF('A1.3.8'!G$30="","",IF(OR(VLOOKUP($B103,'A1.3.11'!$B$26:$AM$105,AA$22,)="",VLOOKUP($B103,'A1.3.7'!$B$28:$H$118,4,)=""),"",VLOOKUP($B103,'A1.3.11'!$B$26:$AM$105,AA$22,)*(VLOOKUP($B103,'A1.3.7'!$B$28:$O$118,4,)+VLOOKUP($B103,'A1.3.7'!$B$28:$O$118,9,))))</f>
        <v>1.5461560593753526E-3</v>
      </c>
      <c r="AB103" s="693" t="str">
        <f>IF('A1.3.8'!D$37="","",IF(OR(VLOOKUP($B103,'A1.3.11'!$B$26:$AM$105,AB$22,)="",VLOOKUP($B103,'A1.3.7'!$B$28:$H$118,6,)=""),"",VLOOKUP($B103,'A1.3.11'!$B$26:$AM$105,AB$22,)*VLOOKUP($B103,'A1.3.7'!$B$28:$O$118,6,)))</f>
        <v/>
      </c>
      <c r="AC103" s="691">
        <f>IF('A1.3.8'!E$37="","",IF(OR(VLOOKUP($B103,'A1.3.11'!$B$26:$AM$105,AC$22,)="",VLOOKUP($B103,'A1.3.7'!$B$28:$H$118,6,)=""),"",VLOOKUP($B103,'A1.3.11'!$B$26:$AM$105,AC$22,)*VLOOKUP($B103,'A1.3.7'!$B$28:$O$118,6,)))</f>
        <v>4.5145632825273854</v>
      </c>
      <c r="AD103" s="691" t="str">
        <f>IF('A1.3.8'!F$37="","",IF(OR(VLOOKUP($B103,'A1.3.11'!$B$26:$AM$105,AD$22,)="",VLOOKUP($B103,'A1.3.7'!$B$28:$H$118,6,)=""),"",VLOOKUP($B103,'A1.3.11'!$B$26:$AM$105,AD$22,)*VLOOKUP($B103,'A1.3.7'!$B$28:$O$118,6,)))</f>
        <v/>
      </c>
      <c r="AE103" s="1664" t="str">
        <f>IF('A1.3.8'!G$37="","",IF(OR(VLOOKUP($B103,'A1.3.11'!$B$26:$AM$105,AE$22,)="",VLOOKUP($B103,'A1.3.7'!$B$28:$H$118,6,)=""),"",VLOOKUP($B103,'A1.3.11'!$B$26:$AM$105,AE$22,)*VLOOKUP($B103,'A1.3.7'!$B$28:$O$118,6,)))</f>
        <v/>
      </c>
      <c r="AF103" s="693">
        <f>IF(AND(T103="",X103="",AB103=""),"",IF(T103="",0,(T103*VLOOKUP('A1.3.12'!$B103,'A1.3.9'!$B$26:$O$57,6,TRUE))) + IF(X103="",0,(X103*VLOOKUP('A1.3.12'!$B103,'A1.3.9'!$B$26:$O$57,7,TRUE))) + IF(AB103="",0,(AB103*VLOOKUP('A1.3.12'!$B103,'A1.3.9'!$B$26:$O$57,8,TRUE))))</f>
        <v>45.958859431719922</v>
      </c>
      <c r="AG103" s="691">
        <f>IF(AND(U103="",Y103="",AC103=""),"",IF(U103="",0,(U103*VLOOKUP('A1.3.12'!$B103,'A1.3.9'!$B$26:$O$57,6,TRUE))) + IF(Y103="",0,(Y103*VLOOKUP('A1.3.12'!$B103,'A1.3.9'!$B$26:$O$57,7,TRUE))) + IF(AC103="",0,(AC103*VLOOKUP('A1.3.12'!$B103,'A1.3.9'!$B$26:$O$57,8,TRUE))))</f>
        <v>11.797169452652941</v>
      </c>
      <c r="AH103" s="691">
        <f>IF(AND(V103="",Z103="",AD103=""),"",IF(V103="",0,(V103*VLOOKUP('A1.3.12'!$B103,'A1.3.9'!$B$26:$O$57,6,TRUE))) + IF(Z103="",0,(Z103*VLOOKUP('A1.3.12'!$B103,'A1.3.9'!$B$26:$O$57,7,TRUE))) + IF(AD103="",0,(AD103*VLOOKUP('A1.3.12'!$B103,'A1.3.9'!$B$26:$O$57,8,TRUE))))</f>
        <v>-0.16322794896389972</v>
      </c>
      <c r="AI103" s="2644">
        <f>IF(AND(W103="",AA103="",AE103=""),"",IF(W103="",0,(W103*VLOOKUP('A1.3.12'!$B103,'A1.3.9'!$B$26:$O$57,6,TRUE))) + IF(AA103="",0,(AA103*VLOOKUP('A1.3.12'!$B103,'A1.3.9'!$B$26:$O$57,7,TRUE))) + IF(AE103="",0,(AE103*VLOOKUP('A1.3.12'!$B103,'A1.3.9'!$B$26:$O$57,8,TRUE))))</f>
        <v>1.3779463706575924E-3</v>
      </c>
      <c r="AJ103" s="693">
        <f>IF('A1.3.8'!D$31="","",IF(OR(VLOOKUP($B103,'A1.3.11'!$B$26:$AM$105,AJ$22,)="",VLOOKUP($B103,'A1.3.7'!$B$28:$H$118,4,)=""),"",VLOOKUP($B103,'A1.3.11'!$B$26:$AM$105,AJ$22,)*(VLOOKUP($B103,'A1.3.7'!$B$28:$O$118,4,)+VLOOKUP($B103,'A1.3.7'!$B$28:$O$118,9,))))</f>
        <v>350.13747860217052</v>
      </c>
      <c r="AK103" s="691">
        <f>IF('A1.3.8'!E$31="","",IF(OR(VLOOKUP($B103,'A1.3.11'!$B$26:$AM$105,AK$22,)="",VLOOKUP($B103,'A1.3.7'!$B$28:$H$118,4,)=""),"",VLOOKUP($B103,'A1.3.11'!$B$26:$AM$105,AK$22,)*(VLOOKUP($B103,'A1.3.7'!$B$28:$O$118,4,)+VLOOKUP($B103,'A1.3.7'!$B$28:$O$118,9,))))</f>
        <v>18.577316078659067</v>
      </c>
      <c r="AL103" s="691">
        <f>IF('A1.3.8'!F$31="","",IF(OR(VLOOKUP($B103,'A1.3.11'!$B$26:$AM$105,AL$22,)="",VLOOKUP($B103,'A1.3.7'!$B$28:$H$118,4,)=""),"",VLOOKUP($B103,'A1.3.11'!$B$26:$AM$105,AL$22,)*(VLOOKUP($B103,'A1.3.7'!$B$28:$O$118,4,)+VLOOKUP($B103,'A1.3.7'!$B$28:$O$118,9,))))</f>
        <v>-0.1342769585686687</v>
      </c>
      <c r="AM103" s="2644">
        <f>IF('A1.3.8'!G$31="","",IF(OR(VLOOKUP($B103,'A1.3.11'!$B$26:$AM$105,AM$22,)="",VLOOKUP($B103,'A1.3.7'!$B$28:$H$118,4,)=""),"",VLOOKUP($B103,'A1.3.11'!$B$26:$AM$105,AM$22,)*(VLOOKUP($B103,'A1.3.7'!$B$28:$O$118,4,)+VLOOKUP($B103,'A1.3.7'!$B$28:$O$118,9,))))</f>
        <v>1.4665198354240053E-3</v>
      </c>
      <c r="AN103" s="693" t="str">
        <f>IF('A1.3.8'!D$38="","",IF(OR(VLOOKUP($B103,'A1.3.11'!$B$26:$AM$105,AN$22,)="",VLOOKUP($B103,'A1.3.7'!$B$28:$H$118,6,)=""),"",VLOOKUP($B103,'A1.3.11'!$B$26:$AM$105,AN$22,)*VLOOKUP($B103,'A1.3.7'!$B$28:$O$118,6,)))</f>
        <v/>
      </c>
      <c r="AO103" s="691" t="str">
        <f>IF('A1.3.8'!E$38="","",IF(OR(VLOOKUP($B103,'A1.3.11'!$B$26:$AM$105,AO$22,)="",VLOOKUP($B103,'A1.3.7'!$B$28:$H$118,6,)=""),"",VLOOKUP($B103,'A1.3.11'!$B$26:$AM$105,AO$22,)*VLOOKUP($B103,'A1.3.7'!$B$28:$O$118,6,)))</f>
        <v/>
      </c>
      <c r="AP103" s="691" t="str">
        <f>IF('A1.3.8'!F$38="","",IF(OR(VLOOKUP($B103,'A1.3.11'!$B$26:$AM$105,AP$22,)="",VLOOKUP($B103,'A1.3.7'!$B$28:$H$118,6,)=""),"",VLOOKUP($B103,'A1.3.11'!$B$26:$AM$105,AP$22,)*VLOOKUP($B103,'A1.3.7'!$B$28:$O$118,6,)))</f>
        <v/>
      </c>
      <c r="AQ103" s="1664" t="str">
        <f>IF('A1.3.8'!G$38="","",IF(OR(VLOOKUP($B103,'A1.3.11'!$B$26:$AM$105,AQ$22,)="",VLOOKUP($B103,'A1.3.7'!$B$28:$H$118,6,)=""),"",VLOOKUP($B103,'A1.3.11'!$B$26:$AM$105,AQ$22,)*VLOOKUP($B103,'A1.3.7'!$B$28:$O$118,6,)))</f>
        <v/>
      </c>
      <c r="AR103" s="693">
        <f>IF(AND(AJ103="",AN103=""),"",IF(AJ103="",0,(AJ103*VLOOKUP($B103,'A1.3.9'!$B$26:$O$57,9,TRUE))) + IF(AN103="",0,(AN103*VLOOKUP($B103,'A1.3.9'!$B$26:$O$57,10,TRUE))))</f>
        <v>350.13747860217052</v>
      </c>
      <c r="AS103" s="691">
        <f>IF(AND(AK103="",AO103=""),"",IF(AK103="",0,(AK103*VLOOKUP($B103,'A1.3.9'!$B$26:$O$57,9,TRUE))) + IF(AO103="",0,(AO103*VLOOKUP($B103,'A1.3.9'!$B$26:$O$57,10,TRUE))))</f>
        <v>18.577316078659067</v>
      </c>
      <c r="AT103" s="691">
        <f>IF(AND(AL103="",AP103=""),"",IF(AL103="",0,(AL103*VLOOKUP($B103,'A1.3.9'!$B$26:$O$57,9,TRUE))) + IF(AP103="",0,(AP103*VLOOKUP($B103,'A1.3.9'!$B$26:$O$57,10,TRUE))))</f>
        <v>-0.1342769585686687</v>
      </c>
      <c r="AU103" s="2644">
        <f>IF(AND(AM103="",AQ103=""),"",IF(AM103="",0,(AM103*VLOOKUP($B103,'A1.3.9'!$B$26:$O$57,9,TRUE))) + IF(AQ103="",0,(AQ103*VLOOKUP($B103,'A1.3.9'!$B$26:$O$57,10,TRUE))))</f>
        <v>1.4665198354240053E-3</v>
      </c>
      <c r="AV103" s="693">
        <f>IF('A1.3.8'!D$32="","",IF(OR(VLOOKUP($B103,'A1.3.11'!$B$26:$AM$105,AV$22,)="",VLOOKUP($B103,'A1.3.7'!$B$28:$H$118,4,)=""),"",VLOOKUP($B103,'A1.3.11'!$B$26:$AM$105,AV$22,)*(VLOOKUP($B103,'A1.3.7'!$B$28:$O$118,4,)+VLOOKUP($B103,'A1.3.7'!$B$28:$O$118,9,))))</f>
        <v>735.73008022556303</v>
      </c>
      <c r="AW103" s="691">
        <f>IF('A1.3.8'!E$32="","",IF(OR(VLOOKUP($B103,'A1.3.11'!$B$26:$AM$105,AW$22,)="",VLOOKUP($B103,'A1.3.7'!$B$28:$H$118,4,)=""),"",VLOOKUP($B103,'A1.3.11'!$B$26:$AM$105,AW$22,)*(VLOOKUP($B103,'A1.3.7'!$B$28:$O$118,4,)+VLOOKUP($B103,'A1.3.7'!$B$28:$O$118,9,))))</f>
        <v>38.207766707451469</v>
      </c>
      <c r="AX103" s="691">
        <f>IF('A1.3.8'!F$32="","",IF(OR(VLOOKUP($B103,'A1.3.11'!$B$26:$AM$105,AX$22,)="",VLOOKUP($B103,'A1.3.7'!$B$28:$H$118,4,)=""),"",VLOOKUP($B103,'A1.3.11'!$B$26:$AM$105,AX$22,)*(VLOOKUP($B103,'A1.3.7'!$B$28:$O$118,4,)+VLOOKUP($B103,'A1.3.7'!$B$28:$O$118,9,))))</f>
        <v>-0.25314655414051168</v>
      </c>
      <c r="AY103" s="2644">
        <f>IF('A1.3.8'!G$32="","",IF(OR(VLOOKUP($B103,'A1.3.11'!$B$26:$AM$105,AY$22,)="",VLOOKUP($B103,'A1.3.7'!$B$28:$H$118,4,)=""),"",VLOOKUP($B103,'A1.3.11'!$B$26:$AM$105,AY$22,)*(VLOOKUP($B103,'A1.3.7'!$B$28:$O$118,4,)+VLOOKUP($B103,'A1.3.7'!$B$28:$O$118,9,))))</f>
        <v>1.5088587291817376E-3</v>
      </c>
      <c r="AZ103" s="693" t="str">
        <f>IF('A1.3.8'!D$39="","",IF(OR(VLOOKUP($B103,'A1.3.11'!$B$26:$AM$105,AZ$22,)="",VLOOKUP($B103,'A1.3.7'!$B$28:$H$118,6,)=""),"",VLOOKUP($B103,'A1.3.11'!$B$26:$AM$105,AZ$22,)*VLOOKUP($B103,'A1.3.7'!$B$28:$O$118,6,)))</f>
        <v/>
      </c>
      <c r="BA103" s="691" t="str">
        <f>IF('A1.3.8'!E$39="","",IF(OR(VLOOKUP($B103,'A1.3.11'!$B$26:$AM$105,BA$22,)="",VLOOKUP($B103,'A1.3.7'!$B$28:$H$118,6,)=""),"",VLOOKUP($B103,'A1.3.11'!$B$26:$AM$105,BA$22,)*VLOOKUP($B103,'A1.3.7'!$B$28:$O$118,6,)))</f>
        <v/>
      </c>
      <c r="BB103" s="691" t="str">
        <f>IF('A1.3.8'!F$39="","",IF(OR(VLOOKUP($B103,'A1.3.11'!$B$26:$AM$105,BB$22,)="",VLOOKUP($B103,'A1.3.7'!$B$28:$H$118,6,)=""),"",VLOOKUP($B103,'A1.3.11'!$B$26:$AM$105,BB$22,)*VLOOKUP($B103,'A1.3.7'!$B$28:$O$118,6,)))</f>
        <v/>
      </c>
      <c r="BC103" s="1664" t="str">
        <f>IF('A1.3.8'!G$39="","",IF(OR(VLOOKUP($B103,'A1.3.11'!$B$26:$AM$105,BC$22,)="",VLOOKUP($B103,'A1.3.7'!$B$28:$H$118,6,)=""),"",VLOOKUP($B103,'A1.3.11'!$B$26:$AM$105,BC$22,)*VLOOKUP($B103,'A1.3.7'!$B$28:$O$118,6,)))</f>
        <v/>
      </c>
      <c r="BD103" s="693">
        <f>IF(AND(AV103="",AZ103=""),"",IF(AV103="",0,(AV103*VLOOKUP($B103,'A1.3.9'!$B$26:$O$57,9,TRUE))) + IF(AZ103="",0,(AZ103*VLOOKUP($B103,'A1.3.9'!$B$26:$O$57,10,TRUE))))</f>
        <v>735.73008022556303</v>
      </c>
      <c r="BE103" s="691">
        <f>IF(AND(AW103="",BA103=""),"",IF(AW103="",0,(AW103*VLOOKUP($B103,'A1.3.9'!$B$26:$O$57,9,TRUE))) + IF(BA103="",0,(BA103*VLOOKUP($B103,'A1.3.9'!$B$26:$O$57,10,TRUE))))</f>
        <v>38.207766707451469</v>
      </c>
      <c r="BF103" s="691">
        <f>IF(AND(AX103="",BB103=""),"",IF(AX103="",0,(AX103*VLOOKUP($B103,'A1.3.9'!$B$26:$O$57,9,TRUE))) + IF(BB103="",0,(BB103*VLOOKUP($B103,'A1.3.9'!$B$26:$O$57,10,TRUE))))</f>
        <v>-0.25314655414051168</v>
      </c>
      <c r="BG103" s="2644">
        <f>IF(AND(AY103="",BC103=""),"",IF(AY103="",0,(AY103*VLOOKUP($B103,'A1.3.9'!$B$26:$O$57,9,TRUE))) + IF(BC103="",0,(BC103*VLOOKUP($B103,'A1.3.9'!$B$26:$O$57,10,TRUE))))</f>
        <v>1.5088587291817376E-3</v>
      </c>
      <c r="BH103" s="693">
        <f>IF('A1.3.8'!D$33="","",IF(OR(VLOOKUP($B103,'A1.3.11'!$B$26:$AM$105,BH$22,)="",VLOOKUP($B103,'A1.3.7'!$B$28:$H$118,4,)=""),"",VLOOKUP($B103,'A1.3.11'!$B$26:$AM$105,BH$22,)*(VLOOKUP($B103,'A1.3.7'!$B$28:$O$118,4,)+VLOOKUP($B103,'A1.3.7'!$B$28:$O$118,9,))))</f>
        <v>436.35130062821389</v>
      </c>
      <c r="BI103" s="691">
        <f>IF('A1.3.8'!E$33="","",IF(OR(VLOOKUP($B103,'A1.3.11'!$B$26:$AM$105,BI$22,)="",VLOOKUP($B103,'A1.3.7'!$B$28:$H$118,4,)=""),"",VLOOKUP($B103,'A1.3.11'!$B$26:$AM$105,BI$22,)*(VLOOKUP($B103,'A1.3.7'!$B$28:$O$118,4,)+VLOOKUP($B103,'A1.3.7'!$B$28:$O$118,9,))))</f>
        <v>38.34085824378878</v>
      </c>
      <c r="BJ103" s="691">
        <f>IF('A1.3.8'!F$33="","",IF(OR(VLOOKUP($B103,'A1.3.11'!$B$26:$AM$105,BJ$22,)="",VLOOKUP($B103,'A1.3.7'!$B$28:$H$118,4,)=""),"",VLOOKUP($B103,'A1.3.11'!$B$26:$AM$105,BJ$22,)*(VLOOKUP($B103,'A1.3.7'!$B$28:$O$118,4,)+VLOOKUP($B103,'A1.3.7'!$B$28:$O$118,9,))))</f>
        <v>-0.41673095618440037</v>
      </c>
      <c r="BK103" s="2644">
        <f>IF('A1.3.8'!G$33="","",IF(OR(VLOOKUP($B103,'A1.3.11'!$B$26:$AM$105,BK$22,)="",VLOOKUP($B103,'A1.3.7'!$B$28:$H$118,4,)=""),"",VLOOKUP($B103,'A1.3.11'!$B$26:$AM$105,BK$22,)*(VLOOKUP($B103,'A1.3.7'!$B$28:$O$118,4,)+VLOOKUP($B103,'A1.3.7'!$B$28:$O$118,9,))))</f>
        <v>3.056891902533576E-3</v>
      </c>
      <c r="BL103" s="693" t="str">
        <f>IF('A1.3.8'!D$40="","",IF(OR(VLOOKUP($B103,'A1.3.11'!$B$26:$AM$105,BL$22,)="",VLOOKUP($B103,'A1.3.7'!$B$28:$H$118,6,)=""),"",VLOOKUP($B103,'A1.3.11'!$B$26:$AM$105,BL$22,)*VLOOKUP($B103,'A1.3.7'!$B$28:$O$118,6,)))</f>
        <v/>
      </c>
      <c r="BM103" s="691" t="str">
        <f>IF('A1.3.8'!E$40="","",IF(OR(VLOOKUP($B103,'A1.3.11'!$B$26:$AM$105,BM$22,)="",VLOOKUP($B103,'A1.3.7'!$B$28:$H$118,6,)=""),"",VLOOKUP($B103,'A1.3.11'!$B$26:$AM$105,BM$22,)*VLOOKUP($B103,'A1.3.7'!$B$28:$O$118,6,)))</f>
        <v/>
      </c>
      <c r="BN103" s="691" t="str">
        <f>IF('A1.3.8'!F$40="","",IF(OR(VLOOKUP($B103,'A1.3.11'!$B$26:$AM$105,BN$22,)="",VLOOKUP($B103,'A1.3.7'!$B$28:$H$118,6,)=""),"",VLOOKUP($B103,'A1.3.11'!$B$26:$AM$105,BN$22,)*VLOOKUP($B103,'A1.3.7'!$B$28:$O$118,6,)))</f>
        <v/>
      </c>
      <c r="BO103" s="1664" t="str">
        <f>IF('A1.3.8'!G$40="","",IF(OR(VLOOKUP($B103,'A1.3.11'!$B$26:$AM$105,BO$22,)="",VLOOKUP($B103,'A1.3.7'!$B$28:$H$118,6,)=""),"",VLOOKUP($B103,'A1.3.11'!$B$26:$AM$105,BO$22,)*VLOOKUP($B103,'A1.3.7'!$B$28:$O$118,6,)))</f>
        <v/>
      </c>
      <c r="BP103" s="693">
        <f>IF(AND(BH103="",BL103=""),"",IF(BH103="",0,(BH103*VLOOKUP($B103,'A1.3.9'!$B$26:$O$57,9,TRUE))) + IF(BL103="",0,(BL103*VLOOKUP($B103,'A1.3.9'!$B$26:$O$57,10,TRUE))))</f>
        <v>436.35130062821389</v>
      </c>
      <c r="BQ103" s="691">
        <f>IF(AND(BI103="",BM103=""),"",IF(BI103="",0,(BI103*VLOOKUP($B103,'A1.3.9'!$B$26:$O$57,9,TRUE))) + IF(BM103="",0,(BM103*VLOOKUP($B103,'A1.3.9'!$B$26:$O$57,10,TRUE))))</f>
        <v>38.34085824378878</v>
      </c>
      <c r="BR103" s="691">
        <f>IF(AND(BJ103="",BN103=""),"",IF(BJ103="",0,(BJ103*VLOOKUP($B103,'A1.3.9'!$B$26:$O$57,9,TRUE))) + IF(BN103="",0,(BN103*VLOOKUP($B103,'A1.3.9'!$B$26:$O$57,10,TRUE))))</f>
        <v>-0.41673095618440037</v>
      </c>
      <c r="BS103" s="2644">
        <f>IF(AND(BK103="",BO103=""),"",IF(BK103="",0,(BK103*VLOOKUP($B103,'A1.3.9'!$B$26:$O$57,9,TRUE))) + IF(BO103="",0,(BO103*VLOOKUP($B103,'A1.3.9'!$B$26:$O$57,10,TRUE))))</f>
        <v>3.056891902533576E-3</v>
      </c>
    </row>
    <row r="104" spans="1:71" ht="13.5" customHeight="1">
      <c r="A104" s="113"/>
      <c r="B104" s="614">
        <f t="shared" si="1"/>
        <v>2087</v>
      </c>
      <c r="C104" s="147"/>
      <c r="D104" s="693">
        <f>IF('A1.3.8'!D$27="","",IF(OR(VLOOKUP($B104,'A1.3.11'!$B$26:$AM$105,D$22,)="",VLOOKUP($B104,'A1.3.7'!$B$28:$H$118,3,)=""),"",VLOOKUP($B104,'A1.3.11'!$B$26:$AM$105,D$22,)*(VLOOKUP($B104,'A1.3.7'!$B$28:$O$118,3,)+VLOOKUP($B104,'A1.3.7'!$B$28:$O$118,8,))))</f>
        <v>41.137269903141096</v>
      </c>
      <c r="E104" s="691">
        <f>IF('A1.3.8'!E$27="","",IF(OR(VLOOKUP($B104,'A1.3.11'!$B$26:$AM$105,E$22,)="",VLOOKUP($B104,'A1.3.7'!$B$28:$H$118,3,)=""),"",VLOOKUP($B104,'A1.3.11'!$B$26:$AM$105,E$22,)*(VLOOKUP($B104,'A1.3.7'!$B$28:$O$118,3,)+VLOOKUP($B104,'A1.3.7'!$B$28:$O$118,8,))))</f>
        <v>8.7423371382965556</v>
      </c>
      <c r="F104" s="691">
        <f>IF('A1.3.8'!F$27="","",IF(OR(VLOOKUP($B104,'A1.3.11'!$B$26:$AM$105,F$22,)="",VLOOKUP($B104,'A1.3.7'!$B$28:$H$118,3,)=""),"",VLOOKUP($B104,'A1.3.11'!$B$26:$AM$105,F$22,)*(VLOOKUP($B104,'A1.3.7'!$B$28:$O$118,3,)+VLOOKUP($B104,'A1.3.7'!$B$28:$O$118,8,))))</f>
        <v>-9.9585587417731797E-2</v>
      </c>
      <c r="G104" s="2644">
        <f>IF('A1.3.8'!G$27="","",IF(OR(VLOOKUP($B104,'A1.3.11'!$B$26:$AM$105,G$22,)="",VLOOKUP($B104,'A1.3.7'!$B$28:$H$118,3,)=""),"",VLOOKUP($B104,'A1.3.11'!$B$26:$AM$105,G$22,)*(VLOOKUP($B104,'A1.3.7'!$B$28:$O$118,3,)+VLOOKUP($B104,'A1.3.7'!$B$28:$O$118,8,))))</f>
        <v>6.5954733267622426E-4</v>
      </c>
      <c r="H104" s="693">
        <f>IF('A1.3.8'!D$28="","",IF(OR(VLOOKUP($B104,'A1.3.11'!$B$26:$AM$105,H$22,)="",VLOOKUP($B104,'A1.3.7'!$B$28:$H$118,4,)=""),"",VLOOKUP($B104,'A1.3.11'!$B$26:$AM$105,H$22,)*(VLOOKUP($B104,'A1.3.7'!$B$28:$O$118,4,)+VLOOKUP($B104,'A1.3.7'!$B$28:$O$118,9,))))</f>
        <v>50.513121107248637</v>
      </c>
      <c r="I104" s="691">
        <f>IF('A1.3.8'!E$28="","",IF(OR(VLOOKUP($B104,'A1.3.11'!$B$26:$AM$105,I$22,)="",VLOOKUP($B104,'A1.3.7'!$B$28:$H$118,4,)=""),"",VLOOKUP($B104,'A1.3.11'!$B$26:$AM$105,I$22,)*(VLOOKUP($B104,'A1.3.7'!$B$28:$O$118,4,)+VLOOKUP($B104,'A1.3.7'!$B$28:$O$118,9,))))</f>
        <v>7.2423323787147034</v>
      </c>
      <c r="J104" s="691">
        <f>IF('A1.3.8'!F$28="","",IF(OR(VLOOKUP($B104,'A1.3.11'!$B$26:$AM$105,J$22,)="",VLOOKUP($B104,'A1.3.7'!$B$28:$H$118,4,)=""),"",VLOOKUP($B104,'A1.3.11'!$B$26:$AM$105,J$22,)*(VLOOKUP($B104,'A1.3.7'!$B$28:$O$118,4,)+VLOOKUP($B104,'A1.3.7'!$B$28:$O$118,9,))))</f>
        <v>-6.9673255057068229E-2</v>
      </c>
      <c r="K104" s="2644">
        <f>IF('A1.3.8'!G$28="","",IF(OR(VLOOKUP($B104,'A1.3.11'!$B$26:$AM$105,K$22,)="",VLOOKUP($B104,'A1.3.7'!$B$28:$H$118,4,)=""),"",VLOOKUP($B104,'A1.3.11'!$B$26:$AM$105,K$22,)*(VLOOKUP($B104,'A1.3.7'!$B$28:$O$118,4,)+VLOOKUP($B104,'A1.3.7'!$B$28:$O$118,9,))))</f>
        <v>5.4902874540906435E-4</v>
      </c>
      <c r="L104" s="693" t="str">
        <f>IF('A1.3.8'!D$36="","",IF(OR(VLOOKUP($B104,'A1.3.11'!$B$26:$AM$105,L$22,)="",VLOOKUP($B104,'A1.3.7'!$B$28:$H$118,6,)=""),"",VLOOKUP($B104,'A1.3.11'!$B$26:$AM$105,L$22,)*VLOOKUP($B104,'A1.3.7'!$B$28:$O$118,6,)))</f>
        <v/>
      </c>
      <c r="M104" s="691">
        <f>IF('A1.3.8'!E$36="","",IF(OR(VLOOKUP($B104,'A1.3.11'!$B$26:$AM$105,M$22,)="",VLOOKUP($B104,'A1.3.7'!$B$28:$H$118,6,)=""),"",VLOOKUP($B104,'A1.3.11'!$B$26:$AM$105,M$22,)*VLOOKUP($B104,'A1.3.7'!$B$28:$O$118,6,)))</f>
        <v>1.9637608285706969</v>
      </c>
      <c r="N104" s="691" t="str">
        <f>IF('A1.3.8'!F$36="","",IF(OR(VLOOKUP($B104,'A1.3.11'!$B$26:$AM$105,N$22,)="",VLOOKUP($B104,'A1.3.7'!$B$28:$H$118,6,)=""),"",VLOOKUP($B104,'A1.3.11'!$B$26:$AM$105,N$22,)*VLOOKUP($B104,'A1.3.7'!$B$28:$O$118,6,)))</f>
        <v/>
      </c>
      <c r="O104" s="1664" t="str">
        <f>IF('A1.3.8'!G$36="","",IF(OR(VLOOKUP($B104,'A1.3.11'!$B$26:$AM$105,O$22,)="",VLOOKUP($B104,'A1.3.7'!$B$28:$H$118,6,)=""),"",VLOOKUP($B104,'A1.3.11'!$B$26:$AM$105,O$22,)*VLOOKUP($B104,'A1.3.7'!$B$28:$O$118,6,)))</f>
        <v/>
      </c>
      <c r="P104" s="693">
        <f>IF(AND(D104="",H104="",L104=""),"",IF(D104="",0,(D104*VLOOKUP($B104,'A1.3.9'!$B$26:$O$57,3,TRUE)))+IF(H104="",0,(H104*VLOOKUP($B104,'A1.3.9'!$B$26:$O$57,4,TRUE)))+IF(L104="",0,(L104*VLOOKUP($B104,'A1.3.9'!$B$26:$O$57,5,TRUE))))</f>
        <v>34.057260343718298</v>
      </c>
      <c r="Q104" s="691">
        <f>IF(AND(E104="",I104="",M104=""),"",IF(E104="",0,(E104*VLOOKUP($B104,'A1.3.9'!$B$26:$O$57,3,TRUE)))+IF(I104="",0,(I104*VLOOKUP($B104,'A1.3.9'!$B$26:$O$57,4,TRUE)))+IF(M104="",0,(M104*VLOOKUP($B104,'A1.3.9'!$B$26:$O$57,5,TRUE))))</f>
        <v>6.6361108829898292</v>
      </c>
      <c r="R104" s="691">
        <f>IF(AND(F104="",J104="",N104=""),"",IF(F104="",0,(F104*VLOOKUP($B104,'A1.3.9'!$B$26:$O$57,3,TRUE)))+IF(J104="",0,(J104*VLOOKUP($B104,'A1.3.9'!$B$26:$O$57,4,TRUE)))+IF(N104="",0,(N104*VLOOKUP($B104,'A1.3.9'!$B$26:$O$57,5,TRUE))))</f>
        <v>-6.6212410532538707E-2</v>
      </c>
      <c r="S104" s="2644">
        <f>IF(AND(G104="",K104="",O104=""),"",IF(G104="",0,(G104*VLOOKUP($B104,'A1.3.9'!$B$26:$O$57,3,TRUE)))+IF(K104="",0,(K104*VLOOKUP($B104,'A1.3.9'!$B$26:$O$57,4,TRUE)))+IF(O104="",0,(O104*VLOOKUP($B104,'A1.3.9'!$B$26:$O$57,5,TRUE))))</f>
        <v>4.6554676783907699E-4</v>
      </c>
      <c r="T104" s="693">
        <f>IF('A1.3.8'!D$29="","",IF(OR(VLOOKUP($B104,'A1.3.11'!$B$26:$AM$105,T$22,)="",VLOOKUP($B104,'A1.3.7'!$B$28:$H$118,3,)=""),"",VLOOKUP($B104,'A1.3.11'!$B$26:$AM$105,T$22,)*(VLOOKUP($B104,'A1.3.7'!$B$28:$O$118,3,)+VLOOKUP($B104,'A1.3.7'!$B$28:$O$118,8,))))</f>
        <v>29.591398634455537</v>
      </c>
      <c r="U104" s="691">
        <f>IF('A1.3.8'!E$29="","",IF(OR(VLOOKUP($B104,'A1.3.11'!$B$26:$AM$105,U$22,)="",VLOOKUP($B104,'A1.3.7'!$B$28:$H$118,3,)=""),"",VLOOKUP($B104,'A1.3.11'!$B$26:$AM$105,U$22,)*(VLOOKUP($B104,'A1.3.7'!$B$28:$O$118,3,)+VLOOKUP($B104,'A1.3.7'!$B$28:$O$118,8,))))</f>
        <v>16.593143414263558</v>
      </c>
      <c r="V104" s="691">
        <f>IF('A1.3.8'!F$29="","",IF(OR(VLOOKUP($B104,'A1.3.11'!$B$26:$AM$105,V$22,)="",VLOOKUP($B104,'A1.3.7'!$B$28:$H$118,3,)=""),"",VLOOKUP($B104,'A1.3.11'!$B$26:$AM$105,V$22,)*(VLOOKUP($B104,'A1.3.7'!$B$28:$O$118,3,)+VLOOKUP($B104,'A1.3.7'!$B$28:$O$118,8,))))</f>
        <v>-0.26045788636019401</v>
      </c>
      <c r="W104" s="2644">
        <f>IF('A1.3.8'!G$29="","",IF(OR(VLOOKUP($B104,'A1.3.11'!$B$26:$AM$105,W$22,)="",VLOOKUP($B104,'A1.3.7'!$B$28:$H$118,3,)=""),"",VLOOKUP($B104,'A1.3.11'!$B$26:$AM$105,W$22,)*(VLOOKUP($B104,'A1.3.7'!$B$28:$O$118,3,)+VLOOKUP($B104,'A1.3.7'!$B$28:$O$118,8,))))</f>
        <v>1.6820467640351071E-3</v>
      </c>
      <c r="X104" s="693">
        <f>IF('A1.3.8'!D$30="","",IF(OR(VLOOKUP($B104,'A1.3.11'!$B$26:$AM$105,X$22,)="",VLOOKUP($B104,'A1.3.7'!$B$28:$H$118,4,)=""),"",VLOOKUP($B104,'A1.3.11'!$B$26:$AM$105,X$22,)*(VLOOKUP($B104,'A1.3.7'!$B$28:$O$118,4,)+VLOOKUP($B104,'A1.3.7'!$B$28:$O$118,9,))))</f>
        <v>52.023614087126646</v>
      </c>
      <c r="Y104" s="691">
        <f>IF('A1.3.8'!E$30="","",IF(OR(VLOOKUP($B104,'A1.3.11'!$B$26:$AM$105,Y$22,)="",VLOOKUP($B104,'A1.3.7'!$B$28:$H$118,4,)=""),"",VLOOKUP($B104,'A1.3.11'!$B$26:$AM$105,Y$22,)*(VLOOKUP($B104,'A1.3.7'!$B$28:$O$118,4,)+VLOOKUP($B104,'A1.3.7'!$B$28:$O$118,9,))))</f>
        <v>12.714783296378796</v>
      </c>
      <c r="Z104" s="691">
        <f>IF('A1.3.8'!F$30="","",IF(OR(VLOOKUP($B104,'A1.3.11'!$B$26:$AM$105,Z$22,)="",VLOOKUP($B104,'A1.3.7'!$B$28:$H$118,4,)=""),"",VLOOKUP($B104,'A1.3.11'!$B$26:$AM$105,Z$22,)*(VLOOKUP($B104,'A1.3.7'!$B$28:$O$118,4,)+VLOOKUP($B104,'A1.3.7'!$B$28:$O$118,9,))))</f>
        <v>-0.18343385744403043</v>
      </c>
      <c r="AA104" s="2644">
        <f>IF('A1.3.8'!G$30="","",IF(OR(VLOOKUP($B104,'A1.3.11'!$B$26:$AM$105,AA$22,)="",VLOOKUP($B104,'A1.3.7'!$B$28:$H$118,4,)=""),"",VLOOKUP($B104,'A1.3.11'!$B$26:$AM$105,AA$22,)*(VLOOKUP($B104,'A1.3.7'!$B$28:$O$118,4,)+VLOOKUP($B104,'A1.3.7'!$B$28:$O$118,9,))))</f>
        <v>1.552957432936212E-3</v>
      </c>
      <c r="AB104" s="693" t="str">
        <f>IF('A1.3.8'!D$37="","",IF(OR(VLOOKUP($B104,'A1.3.11'!$B$26:$AM$105,AB$22,)="",VLOOKUP($B104,'A1.3.7'!$B$28:$H$118,6,)=""),"",VLOOKUP($B104,'A1.3.11'!$B$26:$AM$105,AB$22,)*VLOOKUP($B104,'A1.3.7'!$B$28:$O$118,6,)))</f>
        <v/>
      </c>
      <c r="AC104" s="691">
        <f>IF('A1.3.8'!E$37="","",IF(OR(VLOOKUP($B104,'A1.3.11'!$B$26:$AM$105,AC$22,)="",VLOOKUP($B104,'A1.3.7'!$B$28:$H$118,6,)=""),"",VLOOKUP($B104,'A1.3.11'!$B$26:$AM$105,AC$22,)*VLOOKUP($B104,'A1.3.7'!$B$28:$O$118,6,)))</f>
        <v>4.5145632825273854</v>
      </c>
      <c r="AD104" s="691" t="str">
        <f>IF('A1.3.8'!F$37="","",IF(OR(VLOOKUP($B104,'A1.3.11'!$B$26:$AM$105,AD$22,)="",VLOOKUP($B104,'A1.3.7'!$B$28:$H$118,6,)=""),"",VLOOKUP($B104,'A1.3.11'!$B$26:$AM$105,AD$22,)*VLOOKUP($B104,'A1.3.7'!$B$28:$O$118,6,)))</f>
        <v/>
      </c>
      <c r="AE104" s="1664" t="str">
        <f>IF('A1.3.8'!G$37="","",IF(OR(VLOOKUP($B104,'A1.3.11'!$B$26:$AM$105,AE$22,)="",VLOOKUP($B104,'A1.3.7'!$B$28:$H$118,6,)=""),"",VLOOKUP($B104,'A1.3.11'!$B$26:$AM$105,AE$22,)*VLOOKUP($B104,'A1.3.7'!$B$28:$O$118,6,)))</f>
        <v/>
      </c>
      <c r="AF104" s="693">
        <f>IF(AND(T104="",X104="",AB104=""),"",IF(T104="",0,(T104*VLOOKUP('A1.3.12'!$B104,'A1.3.9'!$B$26:$O$57,6,TRUE))) + IF(X104="",0,(X104*VLOOKUP('A1.3.12'!$B104,'A1.3.9'!$B$26:$O$57,7,TRUE))) + IF(AB104="",0,(AB104*VLOOKUP('A1.3.12'!$B104,'A1.3.9'!$B$26:$O$57,8,TRUE))))</f>
        <v>46.16105840219381</v>
      </c>
      <c r="AG104" s="691">
        <f>IF(AND(U104="",Y104="",AC104=""),"",IF(U104="",0,(U104*VLOOKUP('A1.3.12'!$B104,'A1.3.9'!$B$26:$O$57,6,TRUE))) + IF(Y104="",0,(Y104*VLOOKUP('A1.3.12'!$B104,'A1.3.9'!$B$26:$O$57,7,TRUE))) + IF(AC104="",0,(AC104*VLOOKUP('A1.3.12'!$B104,'A1.3.9'!$B$26:$O$57,8,TRUE))))</f>
        <v>11.846908254991137</v>
      </c>
      <c r="AH104" s="691">
        <f>IF(AND(V104="",Z104="",AD104=""),"",IF(V104="",0,(V104*VLOOKUP('A1.3.12'!$B104,'A1.3.9'!$B$26:$O$57,6,TRUE))) + IF(Z104="",0,(Z104*VLOOKUP('A1.3.12'!$B104,'A1.3.9'!$B$26:$O$57,7,TRUE))) + IF(AD104="",0,(AD104*VLOOKUP('A1.3.12'!$B104,'A1.3.9'!$B$26:$O$57,8,TRUE))))</f>
        <v>-0.16394624315265491</v>
      </c>
      <c r="AI104" s="2644">
        <f>IF(AND(W104="",AA104="",AE104=""),"",IF(W104="",0,(W104*VLOOKUP('A1.3.12'!$B104,'A1.3.9'!$B$26:$O$57,6,TRUE))) + IF(AA104="",0,(AA104*VLOOKUP('A1.3.12'!$B104,'A1.3.9'!$B$26:$O$57,7,TRUE))) + IF(AE104="",0,(AE104*VLOOKUP('A1.3.12'!$B104,'A1.3.9'!$B$26:$O$57,8,TRUE))))</f>
        <v>1.3840095649698561E-3</v>
      </c>
      <c r="AJ104" s="693">
        <f>IF('A1.3.8'!D$31="","",IF(OR(VLOOKUP($B104,'A1.3.11'!$B$26:$AM$105,AJ$22,)="",VLOOKUP($B104,'A1.3.7'!$B$28:$H$118,4,)=""),"",VLOOKUP($B104,'A1.3.11'!$B$26:$AM$105,AJ$22,)*(VLOOKUP($B104,'A1.3.7'!$B$28:$O$118,4,)+VLOOKUP($B104,'A1.3.7'!$B$28:$O$118,9,))))</f>
        <v>351.67769556487019</v>
      </c>
      <c r="AK104" s="691">
        <f>IF('A1.3.8'!E$31="","",IF(OR(VLOOKUP($B104,'A1.3.11'!$B$26:$AM$105,AK$22,)="",VLOOKUP($B104,'A1.3.7'!$B$28:$H$118,4,)=""),"",VLOOKUP($B104,'A1.3.11'!$B$26:$AM$105,AK$22,)*(VLOOKUP($B104,'A1.3.7'!$B$28:$O$118,4,)+VLOOKUP($B104,'A1.3.7'!$B$28:$O$118,9,))))</f>
        <v>18.659035686225828</v>
      </c>
      <c r="AL104" s="691">
        <f>IF('A1.3.8'!F$31="","",IF(OR(VLOOKUP($B104,'A1.3.11'!$B$26:$AM$105,AL$22,)="",VLOOKUP($B104,'A1.3.7'!$B$28:$H$118,4,)=""),"",VLOOKUP($B104,'A1.3.11'!$B$26:$AM$105,AL$22,)*(VLOOKUP($B104,'A1.3.7'!$B$28:$O$118,4,)+VLOOKUP($B104,'A1.3.7'!$B$28:$O$118,9,))))</f>
        <v>-0.13486762841101987</v>
      </c>
      <c r="AM104" s="2644">
        <f>IF('A1.3.8'!G$31="","",IF(OR(VLOOKUP($B104,'A1.3.11'!$B$26:$AM$105,AM$22,)="",VLOOKUP($B104,'A1.3.7'!$B$28:$H$118,4,)=""),"",VLOOKUP($B104,'A1.3.11'!$B$26:$AM$105,AM$22,)*(VLOOKUP($B104,'A1.3.7'!$B$28:$O$118,4,)+VLOOKUP($B104,'A1.3.7'!$B$28:$O$118,9,))))</f>
        <v>1.4729708978343278E-3</v>
      </c>
      <c r="AN104" s="693" t="str">
        <f>IF('A1.3.8'!D$38="","",IF(OR(VLOOKUP($B104,'A1.3.11'!$B$26:$AM$105,AN$22,)="",VLOOKUP($B104,'A1.3.7'!$B$28:$H$118,6,)=""),"",VLOOKUP($B104,'A1.3.11'!$B$26:$AM$105,AN$22,)*VLOOKUP($B104,'A1.3.7'!$B$28:$O$118,6,)))</f>
        <v/>
      </c>
      <c r="AO104" s="691" t="str">
        <f>IF('A1.3.8'!E$38="","",IF(OR(VLOOKUP($B104,'A1.3.11'!$B$26:$AM$105,AO$22,)="",VLOOKUP($B104,'A1.3.7'!$B$28:$H$118,6,)=""),"",VLOOKUP($B104,'A1.3.11'!$B$26:$AM$105,AO$22,)*VLOOKUP($B104,'A1.3.7'!$B$28:$O$118,6,)))</f>
        <v/>
      </c>
      <c r="AP104" s="691" t="str">
        <f>IF('A1.3.8'!F$38="","",IF(OR(VLOOKUP($B104,'A1.3.11'!$B$26:$AM$105,AP$22,)="",VLOOKUP($B104,'A1.3.7'!$B$28:$H$118,6,)=""),"",VLOOKUP($B104,'A1.3.11'!$B$26:$AM$105,AP$22,)*VLOOKUP($B104,'A1.3.7'!$B$28:$O$118,6,)))</f>
        <v/>
      </c>
      <c r="AQ104" s="1664" t="str">
        <f>IF('A1.3.8'!G$38="","",IF(OR(VLOOKUP($B104,'A1.3.11'!$B$26:$AM$105,AQ$22,)="",VLOOKUP($B104,'A1.3.7'!$B$28:$H$118,6,)=""),"",VLOOKUP($B104,'A1.3.11'!$B$26:$AM$105,AQ$22,)*VLOOKUP($B104,'A1.3.7'!$B$28:$O$118,6,)))</f>
        <v/>
      </c>
      <c r="AR104" s="693">
        <f>IF(AND(AJ104="",AN104=""),"",IF(AJ104="",0,(AJ104*VLOOKUP($B104,'A1.3.9'!$B$26:$O$57,9,TRUE))) + IF(AN104="",0,(AN104*VLOOKUP($B104,'A1.3.9'!$B$26:$O$57,10,TRUE))))</f>
        <v>351.67769556487019</v>
      </c>
      <c r="AS104" s="691">
        <f>IF(AND(AK104="",AO104=""),"",IF(AK104="",0,(AK104*VLOOKUP($B104,'A1.3.9'!$B$26:$O$57,9,TRUE))) + IF(AO104="",0,(AO104*VLOOKUP($B104,'A1.3.9'!$B$26:$O$57,10,TRUE))))</f>
        <v>18.659035686225828</v>
      </c>
      <c r="AT104" s="691">
        <f>IF(AND(AL104="",AP104=""),"",IF(AL104="",0,(AL104*VLOOKUP($B104,'A1.3.9'!$B$26:$O$57,9,TRUE))) + IF(AP104="",0,(AP104*VLOOKUP($B104,'A1.3.9'!$B$26:$O$57,10,TRUE))))</f>
        <v>-0.13486762841101987</v>
      </c>
      <c r="AU104" s="2644">
        <f>IF(AND(AM104="",AQ104=""),"",IF(AM104="",0,(AM104*VLOOKUP($B104,'A1.3.9'!$B$26:$O$57,9,TRUE))) + IF(AQ104="",0,(AQ104*VLOOKUP($B104,'A1.3.9'!$B$26:$O$57,10,TRUE))))</f>
        <v>1.4729708978343278E-3</v>
      </c>
      <c r="AV104" s="693">
        <f>IF('A1.3.8'!D$32="","",IF(OR(VLOOKUP($B104,'A1.3.11'!$B$26:$AM$105,AV$22,)="",VLOOKUP($B104,'A1.3.7'!$B$28:$H$118,4,)=""),"",VLOOKUP($B104,'A1.3.11'!$B$26:$AM$105,AV$22,)*(VLOOKUP($B104,'A1.3.7'!$B$28:$O$118,4,)+VLOOKUP($B104,'A1.3.7'!$B$28:$O$118,9,))))</f>
        <v>738.96647740890864</v>
      </c>
      <c r="AW104" s="691">
        <f>IF('A1.3.8'!E$32="","",IF(OR(VLOOKUP($B104,'A1.3.11'!$B$26:$AM$105,AW$22,)="",VLOOKUP($B104,'A1.3.7'!$B$28:$H$118,4,)=""),"",VLOOKUP($B104,'A1.3.11'!$B$26:$AM$105,AW$22,)*(VLOOKUP($B104,'A1.3.7'!$B$28:$O$118,4,)+VLOOKUP($B104,'A1.3.7'!$B$28:$O$118,9,))))</f>
        <v>38.375838547760097</v>
      </c>
      <c r="AX104" s="691">
        <f>IF('A1.3.8'!F$32="","",IF(OR(VLOOKUP($B104,'A1.3.11'!$B$26:$AM$105,AX$22,)="",VLOOKUP($B104,'A1.3.7'!$B$28:$H$118,4,)=""),"",VLOOKUP($B104,'A1.3.11'!$B$26:$AM$105,AX$22,)*(VLOOKUP($B104,'A1.3.7'!$B$28:$O$118,4,)+VLOOKUP($B104,'A1.3.7'!$B$28:$O$118,9,))))</f>
        <v>-0.25426011849898245</v>
      </c>
      <c r="AY104" s="2644">
        <f>IF('A1.3.8'!G$32="","",IF(OR(VLOOKUP($B104,'A1.3.11'!$B$26:$AM$105,AY$22,)="",VLOOKUP($B104,'A1.3.7'!$B$28:$H$118,4,)=""),"",VLOOKUP($B104,'A1.3.11'!$B$26:$AM$105,AY$22,)*(VLOOKUP($B104,'A1.3.7'!$B$28:$O$118,4,)+VLOOKUP($B104,'A1.3.7'!$B$28:$O$118,9,))))</f>
        <v>1.5154960358142095E-3</v>
      </c>
      <c r="AZ104" s="693" t="str">
        <f>IF('A1.3.8'!D$39="","",IF(OR(VLOOKUP($B104,'A1.3.11'!$B$26:$AM$105,AZ$22,)="",VLOOKUP($B104,'A1.3.7'!$B$28:$H$118,6,)=""),"",VLOOKUP($B104,'A1.3.11'!$B$26:$AM$105,AZ$22,)*VLOOKUP($B104,'A1.3.7'!$B$28:$O$118,6,)))</f>
        <v/>
      </c>
      <c r="BA104" s="691" t="str">
        <f>IF('A1.3.8'!E$39="","",IF(OR(VLOOKUP($B104,'A1.3.11'!$B$26:$AM$105,BA$22,)="",VLOOKUP($B104,'A1.3.7'!$B$28:$H$118,6,)=""),"",VLOOKUP($B104,'A1.3.11'!$B$26:$AM$105,BA$22,)*VLOOKUP($B104,'A1.3.7'!$B$28:$O$118,6,)))</f>
        <v/>
      </c>
      <c r="BB104" s="691" t="str">
        <f>IF('A1.3.8'!F$39="","",IF(OR(VLOOKUP($B104,'A1.3.11'!$B$26:$AM$105,BB$22,)="",VLOOKUP($B104,'A1.3.7'!$B$28:$H$118,6,)=""),"",VLOOKUP($B104,'A1.3.11'!$B$26:$AM$105,BB$22,)*VLOOKUP($B104,'A1.3.7'!$B$28:$O$118,6,)))</f>
        <v/>
      </c>
      <c r="BC104" s="1664" t="str">
        <f>IF('A1.3.8'!G$39="","",IF(OR(VLOOKUP($B104,'A1.3.11'!$B$26:$AM$105,BC$22,)="",VLOOKUP($B104,'A1.3.7'!$B$28:$H$118,6,)=""),"",VLOOKUP($B104,'A1.3.11'!$B$26:$AM$105,BC$22,)*VLOOKUP($B104,'A1.3.7'!$B$28:$O$118,6,)))</f>
        <v/>
      </c>
      <c r="BD104" s="693">
        <f>IF(AND(AV104="",AZ104=""),"",IF(AV104="",0,(AV104*VLOOKUP($B104,'A1.3.9'!$B$26:$O$57,9,TRUE))) + IF(AZ104="",0,(AZ104*VLOOKUP($B104,'A1.3.9'!$B$26:$O$57,10,TRUE))))</f>
        <v>738.96647740890864</v>
      </c>
      <c r="BE104" s="691">
        <f>IF(AND(AW104="",BA104=""),"",IF(AW104="",0,(AW104*VLOOKUP($B104,'A1.3.9'!$B$26:$O$57,9,TRUE))) + IF(BA104="",0,(BA104*VLOOKUP($B104,'A1.3.9'!$B$26:$O$57,10,TRUE))))</f>
        <v>38.375838547760097</v>
      </c>
      <c r="BF104" s="691">
        <f>IF(AND(AX104="",BB104=""),"",IF(AX104="",0,(AX104*VLOOKUP($B104,'A1.3.9'!$B$26:$O$57,9,TRUE))) + IF(BB104="",0,(BB104*VLOOKUP($B104,'A1.3.9'!$B$26:$O$57,10,TRUE))))</f>
        <v>-0.25426011849898245</v>
      </c>
      <c r="BG104" s="2644">
        <f>IF(AND(AY104="",BC104=""),"",IF(AY104="",0,(AY104*VLOOKUP($B104,'A1.3.9'!$B$26:$O$57,9,TRUE))) + IF(BC104="",0,(BC104*VLOOKUP($B104,'A1.3.9'!$B$26:$O$57,10,TRUE))))</f>
        <v>1.5154960358142095E-3</v>
      </c>
      <c r="BH104" s="693">
        <f>IF('A1.3.8'!D$33="","",IF(OR(VLOOKUP($B104,'A1.3.11'!$B$26:$AM$105,BH$22,)="",VLOOKUP($B104,'A1.3.7'!$B$28:$H$118,4,)=""),"",VLOOKUP($B104,'A1.3.11'!$B$26:$AM$105,BH$22,)*(VLOOKUP($B104,'A1.3.7'!$B$28:$O$118,4,)+VLOOKUP($B104,'A1.3.7'!$B$28:$O$118,9,))))</f>
        <v>438.27076288517287</v>
      </c>
      <c r="BI104" s="691">
        <f>IF('A1.3.8'!E$33="","",IF(OR(VLOOKUP($B104,'A1.3.11'!$B$26:$AM$105,BI$22,)="",VLOOKUP($B104,'A1.3.7'!$B$28:$H$118,4,)=""),"",VLOOKUP($B104,'A1.3.11'!$B$26:$AM$105,BI$22,)*(VLOOKUP($B104,'A1.3.7'!$B$28:$O$118,4,)+VLOOKUP($B104,'A1.3.7'!$B$28:$O$118,9,))))</f>
        <v>38.509515539395352</v>
      </c>
      <c r="BJ104" s="691">
        <f>IF('A1.3.8'!F$33="","",IF(OR(VLOOKUP($B104,'A1.3.11'!$B$26:$AM$105,BJ$22,)="",VLOOKUP($B104,'A1.3.7'!$B$28:$H$118,4,)=""),"",VLOOKUP($B104,'A1.3.11'!$B$26:$AM$105,BJ$22,)*(VLOOKUP($B104,'A1.3.7'!$B$28:$O$118,4,)+VLOOKUP($B104,'A1.3.7'!$B$28:$O$118,9,))))</f>
        <v>-0.418564110664634</v>
      </c>
      <c r="BK104" s="2644">
        <f>IF('A1.3.8'!G$33="","",IF(OR(VLOOKUP($B104,'A1.3.11'!$B$26:$AM$105,BK$22,)="",VLOOKUP($B104,'A1.3.7'!$B$28:$H$118,4,)=""),"",VLOOKUP($B104,'A1.3.11'!$B$26:$AM$105,BK$22,)*(VLOOKUP($B104,'A1.3.7'!$B$28:$O$118,4,)+VLOOKUP($B104,'A1.3.7'!$B$28:$O$118,9,))))</f>
        <v>3.0703388399486112E-3</v>
      </c>
      <c r="BL104" s="693" t="str">
        <f>IF('A1.3.8'!D$40="","",IF(OR(VLOOKUP($B104,'A1.3.11'!$B$26:$AM$105,BL$22,)="",VLOOKUP($B104,'A1.3.7'!$B$28:$H$118,6,)=""),"",VLOOKUP($B104,'A1.3.11'!$B$26:$AM$105,BL$22,)*VLOOKUP($B104,'A1.3.7'!$B$28:$O$118,6,)))</f>
        <v/>
      </c>
      <c r="BM104" s="691" t="str">
        <f>IF('A1.3.8'!E$40="","",IF(OR(VLOOKUP($B104,'A1.3.11'!$B$26:$AM$105,BM$22,)="",VLOOKUP($B104,'A1.3.7'!$B$28:$H$118,6,)=""),"",VLOOKUP($B104,'A1.3.11'!$B$26:$AM$105,BM$22,)*VLOOKUP($B104,'A1.3.7'!$B$28:$O$118,6,)))</f>
        <v/>
      </c>
      <c r="BN104" s="691" t="str">
        <f>IF('A1.3.8'!F$40="","",IF(OR(VLOOKUP($B104,'A1.3.11'!$B$26:$AM$105,BN$22,)="",VLOOKUP($B104,'A1.3.7'!$B$28:$H$118,6,)=""),"",VLOOKUP($B104,'A1.3.11'!$B$26:$AM$105,BN$22,)*VLOOKUP($B104,'A1.3.7'!$B$28:$O$118,6,)))</f>
        <v/>
      </c>
      <c r="BO104" s="1664" t="str">
        <f>IF('A1.3.8'!G$40="","",IF(OR(VLOOKUP($B104,'A1.3.11'!$B$26:$AM$105,BO$22,)="",VLOOKUP($B104,'A1.3.7'!$B$28:$H$118,6,)=""),"",VLOOKUP($B104,'A1.3.11'!$B$26:$AM$105,BO$22,)*VLOOKUP($B104,'A1.3.7'!$B$28:$O$118,6,)))</f>
        <v/>
      </c>
      <c r="BP104" s="693">
        <f>IF(AND(BH104="",BL104=""),"",IF(BH104="",0,(BH104*VLOOKUP($B104,'A1.3.9'!$B$26:$O$57,9,TRUE))) + IF(BL104="",0,(BL104*VLOOKUP($B104,'A1.3.9'!$B$26:$O$57,10,TRUE))))</f>
        <v>438.27076288517287</v>
      </c>
      <c r="BQ104" s="691">
        <f>IF(AND(BI104="",BM104=""),"",IF(BI104="",0,(BI104*VLOOKUP($B104,'A1.3.9'!$B$26:$O$57,9,TRUE))) + IF(BM104="",0,(BM104*VLOOKUP($B104,'A1.3.9'!$B$26:$O$57,10,TRUE))))</f>
        <v>38.509515539395352</v>
      </c>
      <c r="BR104" s="691">
        <f>IF(AND(BJ104="",BN104=""),"",IF(BJ104="",0,(BJ104*VLOOKUP($B104,'A1.3.9'!$B$26:$O$57,9,TRUE))) + IF(BN104="",0,(BN104*VLOOKUP($B104,'A1.3.9'!$B$26:$O$57,10,TRUE))))</f>
        <v>-0.418564110664634</v>
      </c>
      <c r="BS104" s="2644">
        <f>IF(AND(BK104="",BO104=""),"",IF(BK104="",0,(BK104*VLOOKUP($B104,'A1.3.9'!$B$26:$O$57,9,TRUE))) + IF(BO104="",0,(BO104*VLOOKUP($B104,'A1.3.9'!$B$26:$O$57,10,TRUE))))</f>
        <v>3.0703388399486112E-3</v>
      </c>
    </row>
    <row r="105" spans="1:71" ht="13.5" customHeight="1">
      <c r="A105" s="113"/>
      <c r="B105" s="614">
        <f t="shared" si="1"/>
        <v>2088</v>
      </c>
      <c r="C105" s="147"/>
      <c r="D105" s="693">
        <f>IF('A1.3.8'!D$27="","",IF(OR(VLOOKUP($B105,'A1.3.11'!$B$26:$AM$105,D$22,)="",VLOOKUP($B105,'A1.3.7'!$B$28:$H$118,3,)=""),"",VLOOKUP($B105,'A1.3.11'!$B$26:$AM$105,D$22,)*(VLOOKUP($B105,'A1.3.7'!$B$28:$O$118,3,)+VLOOKUP($B105,'A1.3.7'!$B$28:$O$118,8,))))</f>
        <v>41.32435030269945</v>
      </c>
      <c r="E105" s="691">
        <f>IF('A1.3.8'!E$27="","",IF(OR(VLOOKUP($B105,'A1.3.11'!$B$26:$AM$105,E$22,)="",VLOOKUP($B105,'A1.3.7'!$B$28:$H$118,3,)=""),"",VLOOKUP($B105,'A1.3.11'!$B$26:$AM$105,E$22,)*(VLOOKUP($B105,'A1.3.7'!$B$28:$O$118,3,)+VLOOKUP($B105,'A1.3.7'!$B$28:$O$118,8,))))</f>
        <v>8.7820947578166955</v>
      </c>
      <c r="F105" s="691">
        <f>IF('A1.3.8'!F$27="","",IF(OR(VLOOKUP($B105,'A1.3.11'!$B$26:$AM$105,F$22,)="",VLOOKUP($B105,'A1.3.7'!$B$28:$H$118,3,)=""),"",VLOOKUP($B105,'A1.3.11'!$B$26:$AM$105,F$22,)*(VLOOKUP($B105,'A1.3.7'!$B$28:$O$118,3,)+VLOOKUP($B105,'A1.3.7'!$B$28:$O$118,8,))))</f>
        <v>-0.10003847385205834</v>
      </c>
      <c r="G105" s="2644">
        <f>IF('A1.3.8'!G$27="","",IF(OR(VLOOKUP($B105,'A1.3.11'!$B$26:$AM$105,G$22,)="",VLOOKUP($B105,'A1.3.7'!$B$28:$H$118,3,)=""),"",VLOOKUP($B105,'A1.3.11'!$B$26:$AM$105,G$22,)*(VLOOKUP($B105,'A1.3.7'!$B$28:$O$118,3,)+VLOOKUP($B105,'A1.3.7'!$B$28:$O$118,8,))))</f>
        <v>6.6254676309091237E-4</v>
      </c>
      <c r="H105" s="693">
        <f>IF('A1.3.8'!D$28="","",IF(OR(VLOOKUP($B105,'A1.3.11'!$B$26:$AM$105,H$22,)="",VLOOKUP($B105,'A1.3.7'!$B$28:$H$118,4,)=""),"",VLOOKUP($B105,'A1.3.11'!$B$26:$AM$105,H$22,)*(VLOOKUP($B105,'A1.3.7'!$B$28:$O$118,4,)+VLOOKUP($B105,'A1.3.7'!$B$28:$O$118,9,))))</f>
        <v>50.735863495380393</v>
      </c>
      <c r="I105" s="691">
        <f>IF('A1.3.8'!E$28="","",IF(OR(VLOOKUP($B105,'A1.3.11'!$B$26:$AM$105,I$22,)="",VLOOKUP($B105,'A1.3.7'!$B$28:$H$118,4,)=""),"",VLOOKUP($B105,'A1.3.11'!$B$26:$AM$105,I$22,)*(VLOOKUP($B105,'A1.3.7'!$B$28:$O$118,4,)+VLOOKUP($B105,'A1.3.7'!$B$28:$O$118,9,))))</f>
        <v>7.2742681287598012</v>
      </c>
      <c r="J105" s="691">
        <f>IF('A1.3.8'!F$28="","",IF(OR(VLOOKUP($B105,'A1.3.11'!$B$26:$AM$105,J$22,)="",VLOOKUP($B105,'A1.3.7'!$B$28:$H$118,4,)=""),"",VLOOKUP($B105,'A1.3.11'!$B$26:$AM$105,J$22,)*(VLOOKUP($B105,'A1.3.7'!$B$28:$O$118,4,)+VLOOKUP($B105,'A1.3.7'!$B$28:$O$118,9,))))</f>
        <v>-6.998048586918483E-2</v>
      </c>
      <c r="K105" s="2644">
        <f>IF('A1.3.8'!G$28="","",IF(OR(VLOOKUP($B105,'A1.3.11'!$B$26:$AM$105,K$22,)="",VLOOKUP($B105,'A1.3.7'!$B$28:$H$118,4,)=""),"",VLOOKUP($B105,'A1.3.11'!$B$26:$AM$105,K$22,)*(VLOOKUP($B105,'A1.3.7'!$B$28:$O$118,4,)+VLOOKUP($B105,'A1.3.7'!$B$28:$O$118,9,))))</f>
        <v>5.5144973962254298E-4</v>
      </c>
      <c r="L105" s="693" t="str">
        <f>IF('A1.3.8'!D$36="","",IF(OR(VLOOKUP($B105,'A1.3.11'!$B$26:$AM$105,L$22,)="",VLOOKUP($B105,'A1.3.7'!$B$28:$H$118,6,)=""),"",VLOOKUP($B105,'A1.3.11'!$B$26:$AM$105,L$22,)*VLOOKUP($B105,'A1.3.7'!$B$28:$O$118,6,)))</f>
        <v/>
      </c>
      <c r="M105" s="691">
        <f>IF('A1.3.8'!E$36="","",IF(OR(VLOOKUP($B105,'A1.3.11'!$B$26:$AM$105,M$22,)="",VLOOKUP($B105,'A1.3.7'!$B$28:$H$118,6,)=""),"",VLOOKUP($B105,'A1.3.11'!$B$26:$AM$105,M$22,)*VLOOKUP($B105,'A1.3.7'!$B$28:$O$118,6,)))</f>
        <v>1.9637608285706969</v>
      </c>
      <c r="N105" s="691" t="str">
        <f>IF('A1.3.8'!F$36="","",IF(OR(VLOOKUP($B105,'A1.3.11'!$B$26:$AM$105,N$22,)="",VLOOKUP($B105,'A1.3.7'!$B$28:$H$118,6,)=""),"",VLOOKUP($B105,'A1.3.11'!$B$26:$AM$105,N$22,)*VLOOKUP($B105,'A1.3.7'!$B$28:$O$118,6,)))</f>
        <v/>
      </c>
      <c r="O105" s="1664" t="str">
        <f>IF('A1.3.8'!G$36="","",IF(OR(VLOOKUP($B105,'A1.3.11'!$B$26:$AM$105,O$22,)="",VLOOKUP($B105,'A1.3.7'!$B$28:$H$118,6,)=""),"",VLOOKUP($B105,'A1.3.11'!$B$26:$AM$105,O$22,)*VLOOKUP($B105,'A1.3.7'!$B$28:$O$118,6,)))</f>
        <v/>
      </c>
      <c r="P105" s="693">
        <f>IF(AND(D105="",H105="",L105=""),"",IF(D105="",0,(D105*VLOOKUP($B105,'A1.3.9'!$B$26:$O$57,3,TRUE)))+IF(H105="",0,(H105*VLOOKUP($B105,'A1.3.9'!$B$26:$O$57,4,TRUE)))+IF(L105="",0,(L105*VLOOKUP($B105,'A1.3.9'!$B$26:$O$57,5,TRUE))))</f>
        <v>34.209990105428062</v>
      </c>
      <c r="Q105" s="691">
        <f>IF(AND(E105="",I105="",M105=""),"",IF(E105="",0,(E105*VLOOKUP($B105,'A1.3.9'!$B$26:$O$57,3,TRUE)))+IF(I105="",0,(I105*VLOOKUP($B105,'A1.3.9'!$B$26:$O$57,4,TRUE)))+IF(M105="",0,(M105*VLOOKUP($B105,'A1.3.9'!$B$26:$O$57,5,TRUE))))</f>
        <v>6.6638162383890176</v>
      </c>
      <c r="R105" s="691">
        <f>IF(AND(F105="",J105="",N105=""),"",IF(F105="",0,(F105*VLOOKUP($B105,'A1.3.9'!$B$26:$O$57,3,TRUE)))+IF(J105="",0,(J105*VLOOKUP($B105,'A1.3.9'!$B$26:$O$57,4,TRUE)))+IF(N105="",0,(N105*VLOOKUP($B105,'A1.3.9'!$B$26:$O$57,5,TRUE))))</f>
        <v>-6.6510556032678747E-2</v>
      </c>
      <c r="S105" s="2644">
        <f>IF(AND(G105="",K105="",O105=""),"",IF(G105="",0,(G105*VLOOKUP($B105,'A1.3.9'!$B$26:$O$57,3,TRUE)))+IF(K105="",0,(K105*VLOOKUP($B105,'A1.3.9'!$B$26:$O$57,4,TRUE)))+IF(O105="",0,(O105*VLOOKUP($B105,'A1.3.9'!$B$26:$O$57,5,TRUE))))</f>
        <v>4.6764054093641509E-4</v>
      </c>
      <c r="T105" s="693">
        <f>IF('A1.3.8'!D$29="","",IF(OR(VLOOKUP($B105,'A1.3.11'!$B$26:$AM$105,T$22,)="",VLOOKUP($B105,'A1.3.7'!$B$28:$H$118,3,)=""),"",VLOOKUP($B105,'A1.3.11'!$B$26:$AM$105,T$22,)*(VLOOKUP($B105,'A1.3.7'!$B$28:$O$118,3,)+VLOOKUP($B105,'A1.3.7'!$B$28:$O$118,8,))))</f>
        <v>29.725971752532139</v>
      </c>
      <c r="U105" s="691">
        <f>IF('A1.3.8'!E$29="","",IF(OR(VLOOKUP($B105,'A1.3.11'!$B$26:$AM$105,U$22,)="",VLOOKUP($B105,'A1.3.7'!$B$28:$H$118,3,)=""),"",VLOOKUP($B105,'A1.3.11'!$B$26:$AM$105,U$22,)*(VLOOKUP($B105,'A1.3.7'!$B$28:$O$118,3,)+VLOOKUP($B105,'A1.3.7'!$B$28:$O$118,8,))))</f>
        <v>16.668604228925748</v>
      </c>
      <c r="V105" s="691">
        <f>IF('A1.3.8'!F$29="","",IF(OR(VLOOKUP($B105,'A1.3.11'!$B$26:$AM$105,V$22,)="",VLOOKUP($B105,'A1.3.7'!$B$28:$H$118,3,)=""),"",VLOOKUP($B105,'A1.3.11'!$B$26:$AM$105,V$22,)*(VLOOKUP($B105,'A1.3.7'!$B$28:$O$118,3,)+VLOOKUP($B105,'A1.3.7'!$B$28:$O$118,8,))))</f>
        <v>-0.26164237345822261</v>
      </c>
      <c r="W105" s="2644">
        <f>IF('A1.3.8'!G$29="","",IF(OR(VLOOKUP($B105,'A1.3.11'!$B$26:$AM$105,W$22,)="",VLOOKUP($B105,'A1.3.7'!$B$28:$H$118,3,)=""),"",VLOOKUP($B105,'A1.3.11'!$B$26:$AM$105,W$22,)*(VLOOKUP($B105,'A1.3.7'!$B$28:$O$118,3,)+VLOOKUP($B105,'A1.3.7'!$B$28:$O$118,8,))))</f>
        <v>1.6896962259812312E-3</v>
      </c>
      <c r="X105" s="693">
        <f>IF('A1.3.8'!D$30="","",IF(OR(VLOOKUP($B105,'A1.3.11'!$B$26:$AM$105,X$22,)="",VLOOKUP($B105,'A1.3.7'!$B$28:$H$118,4,)=""),"",VLOOKUP($B105,'A1.3.11'!$B$26:$AM$105,X$22,)*(VLOOKUP($B105,'A1.3.7'!$B$28:$O$118,4,)+VLOOKUP($B105,'A1.3.7'!$B$28:$O$118,9,))))</f>
        <v>52.253017137007653</v>
      </c>
      <c r="Y105" s="691">
        <f>IF('A1.3.8'!E$30="","",IF(OR(VLOOKUP($B105,'A1.3.11'!$B$26:$AM$105,Y$22,)="",VLOOKUP($B105,'A1.3.7'!$B$28:$H$118,4,)=""),"",VLOOKUP($B105,'A1.3.11'!$B$26:$AM$105,Y$22,)*(VLOOKUP($B105,'A1.3.7'!$B$28:$O$118,4,)+VLOOKUP($B105,'A1.3.7'!$B$28:$O$118,9,))))</f>
        <v>12.770850336663242</v>
      </c>
      <c r="Z105" s="691">
        <f>IF('A1.3.8'!F$30="","",IF(OR(VLOOKUP($B105,'A1.3.11'!$B$26:$AM$105,Z$22,)="",VLOOKUP($B105,'A1.3.7'!$B$28:$H$118,4,)=""),"",VLOOKUP($B105,'A1.3.11'!$B$26:$AM$105,Z$22,)*(VLOOKUP($B105,'A1.3.7'!$B$28:$O$118,4,)+VLOOKUP($B105,'A1.3.7'!$B$28:$O$118,9,))))</f>
        <v>-0.18424272639878286</v>
      </c>
      <c r="AA105" s="2644">
        <f>IF('A1.3.8'!G$30="","",IF(OR(VLOOKUP($B105,'A1.3.11'!$B$26:$AM$105,AA$22,)="",VLOOKUP($B105,'A1.3.7'!$B$28:$H$118,4,)=""),"",VLOOKUP($B105,'A1.3.11'!$B$26:$AM$105,AA$22,)*(VLOOKUP($B105,'A1.3.7'!$B$28:$O$118,4,)+VLOOKUP($B105,'A1.3.7'!$B$28:$O$118,9,))))</f>
        <v>1.559805345710098E-3</v>
      </c>
      <c r="AB105" s="693" t="str">
        <f>IF('A1.3.8'!D$37="","",IF(OR(VLOOKUP($B105,'A1.3.11'!$B$26:$AM$105,AB$22,)="",VLOOKUP($B105,'A1.3.7'!$B$28:$H$118,6,)=""),"",VLOOKUP($B105,'A1.3.11'!$B$26:$AM$105,AB$22,)*VLOOKUP($B105,'A1.3.7'!$B$28:$O$118,6,)))</f>
        <v/>
      </c>
      <c r="AC105" s="691">
        <f>IF('A1.3.8'!E$37="","",IF(OR(VLOOKUP($B105,'A1.3.11'!$B$26:$AM$105,AC$22,)="",VLOOKUP($B105,'A1.3.7'!$B$28:$H$118,6,)=""),"",VLOOKUP($B105,'A1.3.11'!$B$26:$AM$105,AC$22,)*VLOOKUP($B105,'A1.3.7'!$B$28:$O$118,6,)))</f>
        <v>4.5145632825273854</v>
      </c>
      <c r="AD105" s="691" t="str">
        <f>IF('A1.3.8'!F$37="","",IF(OR(VLOOKUP($B105,'A1.3.11'!$B$26:$AM$105,AD$22,)="",VLOOKUP($B105,'A1.3.7'!$B$28:$H$118,6,)=""),"",VLOOKUP($B105,'A1.3.11'!$B$26:$AM$105,AD$22,)*VLOOKUP($B105,'A1.3.7'!$B$28:$O$118,6,)))</f>
        <v/>
      </c>
      <c r="AE105" s="1664" t="str">
        <f>IF('A1.3.8'!G$37="","",IF(OR(VLOOKUP($B105,'A1.3.11'!$B$26:$AM$105,AE$22,)="",VLOOKUP($B105,'A1.3.7'!$B$28:$H$118,6,)=""),"",VLOOKUP($B105,'A1.3.11'!$B$26:$AM$105,AE$22,)*VLOOKUP($B105,'A1.3.7'!$B$28:$O$118,6,)))</f>
        <v/>
      </c>
      <c r="AF105" s="693">
        <f>IF(AND(T105="",X105="",AB105=""),"",IF(T105="",0,(T105*VLOOKUP('A1.3.12'!$B105,'A1.3.9'!$B$26:$O$57,6,TRUE))) + IF(X105="",0,(X105*VLOOKUP('A1.3.12'!$B105,'A1.3.9'!$B$26:$O$57,7,TRUE))) + IF(AB105="",0,(AB105*VLOOKUP('A1.3.12'!$B105,'A1.3.9'!$B$26:$O$57,8,TRUE))))</f>
        <v>46.364640943335637</v>
      </c>
      <c r="AG105" s="691">
        <f>IF(AND(U105="",Y105="",AC105=""),"",IF(U105="",0,(U105*VLOOKUP('A1.3.12'!$B105,'A1.3.9'!$B$26:$O$57,6,TRUE))) + IF(Y105="",0,(Y105*VLOOKUP('A1.3.12'!$B105,'A1.3.9'!$B$26:$O$57,7,TRUE))) + IF(AC105="",0,(AC105*VLOOKUP('A1.3.12'!$B105,'A1.3.9'!$B$26:$O$57,8,TRUE))))</f>
        <v>11.896987401040347</v>
      </c>
      <c r="AH105" s="691">
        <f>IF(AND(V105="",Z105="",AD105=""),"",IF(V105="",0,(V105*VLOOKUP('A1.3.12'!$B105,'A1.3.9'!$B$26:$O$57,6,TRUE))) + IF(Z105="",0,(Z105*VLOOKUP('A1.3.12'!$B105,'A1.3.9'!$B$26:$O$57,7,TRUE))) + IF(AD105="",0,(AD105*VLOOKUP('A1.3.12'!$B105,'A1.3.9'!$B$26:$O$57,8,TRUE))))</f>
        <v>-0.16466945235540939</v>
      </c>
      <c r="AI105" s="2644">
        <f>IF(AND(W105="",AA105="",AE105=""),"",IF(W105="",0,(W105*VLOOKUP('A1.3.12'!$B105,'A1.3.9'!$B$26:$O$57,6,TRUE))) + IF(AA105="",0,(AA105*VLOOKUP('A1.3.12'!$B105,'A1.3.9'!$B$26:$O$57,7,TRUE))) + IF(AE105="",0,(AE105*VLOOKUP('A1.3.12'!$B105,'A1.3.9'!$B$26:$O$57,8,TRUE))))</f>
        <v>1.3901142474152439E-3</v>
      </c>
      <c r="AJ105" s="693">
        <f>IF('A1.3.8'!D$31="","",IF(OR(VLOOKUP($B105,'A1.3.11'!$B$26:$AM$105,AJ$22,)="",VLOOKUP($B105,'A1.3.7'!$B$28:$H$118,4,)=""),"",VLOOKUP($B105,'A1.3.11'!$B$26:$AM$105,AJ$22,)*(VLOOKUP($B105,'A1.3.7'!$B$28:$O$118,4,)+VLOOKUP($B105,'A1.3.7'!$B$28:$O$118,9,))))</f>
        <v>353.22845164657173</v>
      </c>
      <c r="AK105" s="691">
        <f>IF('A1.3.8'!E$31="","",IF(OR(VLOOKUP($B105,'A1.3.11'!$B$26:$AM$105,AK$22,)="",VLOOKUP($B105,'A1.3.7'!$B$28:$H$118,4,)=""),"",VLOOKUP($B105,'A1.3.11'!$B$26:$AM$105,AK$22,)*(VLOOKUP($B105,'A1.3.7'!$B$28:$O$118,4,)+VLOOKUP($B105,'A1.3.7'!$B$28:$O$118,9,))))</f>
        <v>18.741314469992947</v>
      </c>
      <c r="AL105" s="691">
        <f>IF('A1.3.8'!F$31="","",IF(OR(VLOOKUP($B105,'A1.3.11'!$B$26:$AM$105,AL$22,)="",VLOOKUP($B105,'A1.3.7'!$B$28:$H$118,4,)=""),"",VLOOKUP($B105,'A1.3.11'!$B$26:$AM$105,AL$22,)*(VLOOKUP($B105,'A1.3.7'!$B$28:$O$118,4,)+VLOOKUP($B105,'A1.3.7'!$B$28:$O$118,9,))))</f>
        <v>-0.13546233998249763</v>
      </c>
      <c r="AM105" s="2644">
        <f>IF('A1.3.8'!G$31="","",IF(OR(VLOOKUP($B105,'A1.3.11'!$B$26:$AM$105,AM$22,)="",VLOOKUP($B105,'A1.3.7'!$B$28:$H$118,4,)=""),"",VLOOKUP($B105,'A1.3.11'!$B$26:$AM$105,AM$22,)*(VLOOKUP($B105,'A1.3.7'!$B$28:$O$118,4,)+VLOOKUP($B105,'A1.3.7'!$B$28:$O$118,9,))))</f>
        <v>1.4794661024116809E-3</v>
      </c>
      <c r="AN105" s="693" t="str">
        <f>IF('A1.3.8'!D$38="","",IF(OR(VLOOKUP($B105,'A1.3.11'!$B$26:$AM$105,AN$22,)="",VLOOKUP($B105,'A1.3.7'!$B$28:$H$118,6,)=""),"",VLOOKUP($B105,'A1.3.11'!$B$26:$AM$105,AN$22,)*VLOOKUP($B105,'A1.3.7'!$B$28:$O$118,6,)))</f>
        <v/>
      </c>
      <c r="AO105" s="691" t="str">
        <f>IF('A1.3.8'!E$38="","",IF(OR(VLOOKUP($B105,'A1.3.11'!$B$26:$AM$105,AO$22,)="",VLOOKUP($B105,'A1.3.7'!$B$28:$H$118,6,)=""),"",VLOOKUP($B105,'A1.3.11'!$B$26:$AM$105,AO$22,)*VLOOKUP($B105,'A1.3.7'!$B$28:$O$118,6,)))</f>
        <v/>
      </c>
      <c r="AP105" s="691" t="str">
        <f>IF('A1.3.8'!F$38="","",IF(OR(VLOOKUP($B105,'A1.3.11'!$B$26:$AM$105,AP$22,)="",VLOOKUP($B105,'A1.3.7'!$B$28:$H$118,6,)=""),"",VLOOKUP($B105,'A1.3.11'!$B$26:$AM$105,AP$22,)*VLOOKUP($B105,'A1.3.7'!$B$28:$O$118,6,)))</f>
        <v/>
      </c>
      <c r="AQ105" s="1664" t="str">
        <f>IF('A1.3.8'!G$38="","",IF(OR(VLOOKUP($B105,'A1.3.11'!$B$26:$AM$105,AQ$22,)="",VLOOKUP($B105,'A1.3.7'!$B$28:$H$118,6,)=""),"",VLOOKUP($B105,'A1.3.11'!$B$26:$AM$105,AQ$22,)*VLOOKUP($B105,'A1.3.7'!$B$28:$O$118,6,)))</f>
        <v/>
      </c>
      <c r="AR105" s="693">
        <f>IF(AND(AJ105="",AN105=""),"",IF(AJ105="",0,(AJ105*VLOOKUP($B105,'A1.3.9'!$B$26:$O$57,9,TRUE))) + IF(AN105="",0,(AN105*VLOOKUP($B105,'A1.3.9'!$B$26:$O$57,10,TRUE))))</f>
        <v>353.22845164657173</v>
      </c>
      <c r="AS105" s="691">
        <f>IF(AND(AK105="",AO105=""),"",IF(AK105="",0,(AK105*VLOOKUP($B105,'A1.3.9'!$B$26:$O$57,9,TRUE))) + IF(AO105="",0,(AO105*VLOOKUP($B105,'A1.3.9'!$B$26:$O$57,10,TRUE))))</f>
        <v>18.741314469992947</v>
      </c>
      <c r="AT105" s="691">
        <f>IF(AND(AL105="",AP105=""),"",IF(AL105="",0,(AL105*VLOOKUP($B105,'A1.3.9'!$B$26:$O$57,9,TRUE))) + IF(AP105="",0,(AP105*VLOOKUP($B105,'A1.3.9'!$B$26:$O$57,10,TRUE))))</f>
        <v>-0.13546233998249763</v>
      </c>
      <c r="AU105" s="2644">
        <f>IF(AND(AM105="",AQ105=""),"",IF(AM105="",0,(AM105*VLOOKUP($B105,'A1.3.9'!$B$26:$O$57,9,TRUE))) + IF(AQ105="",0,(AQ105*VLOOKUP($B105,'A1.3.9'!$B$26:$O$57,10,TRUE))))</f>
        <v>1.4794661024116809E-3</v>
      </c>
      <c r="AV105" s="693">
        <f>IF('A1.3.8'!D$32="","",IF(OR(VLOOKUP($B105,'A1.3.11'!$B$26:$AM$105,AV$22,)="",VLOOKUP($B105,'A1.3.7'!$B$28:$H$118,4,)=""),"",VLOOKUP($B105,'A1.3.11'!$B$26:$AM$105,AV$22,)*(VLOOKUP($B105,'A1.3.7'!$B$28:$O$118,4,)+VLOOKUP($B105,'A1.3.7'!$B$28:$O$118,9,))))</f>
        <v>742.22502002752651</v>
      </c>
      <c r="AW105" s="691">
        <f>IF('A1.3.8'!E$32="","",IF(OR(VLOOKUP($B105,'A1.3.11'!$B$26:$AM$105,AW$22,)="",VLOOKUP($B105,'A1.3.7'!$B$28:$H$118,4,)=""),"",VLOOKUP($B105,'A1.3.11'!$B$26:$AM$105,AW$22,)*(VLOOKUP($B105,'A1.3.7'!$B$28:$O$118,4,)+VLOOKUP($B105,'A1.3.7'!$B$28:$O$118,9,))))</f>
        <v>38.54506043976194</v>
      </c>
      <c r="AX105" s="691">
        <f>IF('A1.3.8'!F$32="","",IF(OR(VLOOKUP($B105,'A1.3.11'!$B$26:$AM$105,AX$22,)="",VLOOKUP($B105,'A1.3.7'!$B$28:$H$118,4,)=""),"",VLOOKUP($B105,'A1.3.11'!$B$26:$AM$105,AX$22,)*(VLOOKUP($B105,'A1.3.7'!$B$28:$O$118,4,)+VLOOKUP($B105,'A1.3.7'!$B$28:$O$118,9,))))</f>
        <v>-0.2553813025549207</v>
      </c>
      <c r="AY105" s="2644">
        <f>IF('A1.3.8'!G$32="","",IF(OR(VLOOKUP($B105,'A1.3.11'!$B$26:$AM$105,AY$22,)="",VLOOKUP($B105,'A1.3.7'!$B$28:$H$118,4,)=""),"",VLOOKUP($B105,'A1.3.11'!$B$26:$AM$105,AY$22,)*(VLOOKUP($B105,'A1.3.7'!$B$28:$O$118,4,)+VLOOKUP($B105,'A1.3.7'!$B$28:$O$118,9,))))</f>
        <v>1.5221787590121042E-3</v>
      </c>
      <c r="AZ105" s="693" t="str">
        <f>IF('A1.3.8'!D$39="","",IF(OR(VLOOKUP($B105,'A1.3.11'!$B$26:$AM$105,AZ$22,)="",VLOOKUP($B105,'A1.3.7'!$B$28:$H$118,6,)=""),"",VLOOKUP($B105,'A1.3.11'!$B$26:$AM$105,AZ$22,)*VLOOKUP($B105,'A1.3.7'!$B$28:$O$118,6,)))</f>
        <v/>
      </c>
      <c r="BA105" s="691" t="str">
        <f>IF('A1.3.8'!E$39="","",IF(OR(VLOOKUP($B105,'A1.3.11'!$B$26:$AM$105,BA$22,)="",VLOOKUP($B105,'A1.3.7'!$B$28:$H$118,6,)=""),"",VLOOKUP($B105,'A1.3.11'!$B$26:$AM$105,BA$22,)*VLOOKUP($B105,'A1.3.7'!$B$28:$O$118,6,)))</f>
        <v/>
      </c>
      <c r="BB105" s="691" t="str">
        <f>IF('A1.3.8'!F$39="","",IF(OR(VLOOKUP($B105,'A1.3.11'!$B$26:$AM$105,BB$22,)="",VLOOKUP($B105,'A1.3.7'!$B$28:$H$118,6,)=""),"",VLOOKUP($B105,'A1.3.11'!$B$26:$AM$105,BB$22,)*VLOOKUP($B105,'A1.3.7'!$B$28:$O$118,6,)))</f>
        <v/>
      </c>
      <c r="BC105" s="1664" t="str">
        <f>IF('A1.3.8'!G$39="","",IF(OR(VLOOKUP($B105,'A1.3.11'!$B$26:$AM$105,BC$22,)="",VLOOKUP($B105,'A1.3.7'!$B$28:$H$118,6,)=""),"",VLOOKUP($B105,'A1.3.11'!$B$26:$AM$105,BC$22,)*VLOOKUP($B105,'A1.3.7'!$B$28:$O$118,6,)))</f>
        <v/>
      </c>
      <c r="BD105" s="693">
        <f>IF(AND(AV105="",AZ105=""),"",IF(AV105="",0,(AV105*VLOOKUP($B105,'A1.3.9'!$B$26:$O$57,9,TRUE))) + IF(AZ105="",0,(AZ105*VLOOKUP($B105,'A1.3.9'!$B$26:$O$57,10,TRUE))))</f>
        <v>742.22502002752651</v>
      </c>
      <c r="BE105" s="691">
        <f>IF(AND(AW105="",BA105=""),"",IF(AW105="",0,(AW105*VLOOKUP($B105,'A1.3.9'!$B$26:$O$57,9,TRUE))) + IF(BA105="",0,(BA105*VLOOKUP($B105,'A1.3.9'!$B$26:$O$57,10,TRUE))))</f>
        <v>38.54506043976194</v>
      </c>
      <c r="BF105" s="691">
        <f>IF(AND(AX105="",BB105=""),"",IF(AX105="",0,(AX105*VLOOKUP($B105,'A1.3.9'!$B$26:$O$57,9,TRUE))) + IF(BB105="",0,(BB105*VLOOKUP($B105,'A1.3.9'!$B$26:$O$57,10,TRUE))))</f>
        <v>-0.2553813025549207</v>
      </c>
      <c r="BG105" s="2644">
        <f>IF(AND(AY105="",BC105=""),"",IF(AY105="",0,(AY105*VLOOKUP($B105,'A1.3.9'!$B$26:$O$57,9,TRUE))) + IF(BC105="",0,(BC105*VLOOKUP($B105,'A1.3.9'!$B$26:$O$57,10,TRUE))))</f>
        <v>1.5221787590121042E-3</v>
      </c>
      <c r="BH105" s="693">
        <f>IF('A1.3.8'!D$33="","",IF(OR(VLOOKUP($B105,'A1.3.11'!$B$26:$AM$105,BH$22,)="",VLOOKUP($B105,'A1.3.7'!$B$28:$H$118,4,)=""),"",VLOOKUP($B105,'A1.3.11'!$B$26:$AM$105,BH$22,)*(VLOOKUP($B105,'A1.3.7'!$B$28:$O$118,4,)+VLOOKUP($B105,'A1.3.7'!$B$28:$O$118,9,))))</f>
        <v>440.20335929247267</v>
      </c>
      <c r="BI105" s="691">
        <f>IF('A1.3.8'!E$33="","",IF(OR(VLOOKUP($B105,'A1.3.11'!$B$26:$AM$105,BI$22,)="",VLOOKUP($B105,'A1.3.7'!$B$28:$H$118,4,)=""),"",VLOOKUP($B105,'A1.3.11'!$B$26:$AM$105,BI$22,)*(VLOOKUP($B105,'A1.3.7'!$B$28:$O$118,4,)+VLOOKUP($B105,'A1.3.7'!$B$28:$O$118,9,))))</f>
        <v>38.679326892743127</v>
      </c>
      <c r="BJ105" s="691">
        <f>IF('A1.3.8'!F$33="","",IF(OR(VLOOKUP($B105,'A1.3.11'!$B$26:$AM$105,BJ$22,)="",VLOOKUP($B105,'A1.3.7'!$B$28:$H$118,4,)=""),"",VLOOKUP($B105,'A1.3.11'!$B$26:$AM$105,BJ$22,)*(VLOOKUP($B105,'A1.3.7'!$B$28:$O$118,4,)+VLOOKUP($B105,'A1.3.7'!$B$28:$O$118,9,))))</f>
        <v>-0.42040980872391126</v>
      </c>
      <c r="BK105" s="2644">
        <f>IF('A1.3.8'!G$33="","",IF(OR(VLOOKUP($B105,'A1.3.11'!$B$26:$AM$105,BK$22,)="",VLOOKUP($B105,'A1.3.7'!$B$28:$H$118,4,)=""),"",VLOOKUP($B105,'A1.3.11'!$B$26:$AM$105,BK$22,)*(VLOOKUP($B105,'A1.3.7'!$B$28:$O$118,4,)+VLOOKUP($B105,'A1.3.7'!$B$28:$O$118,9,))))</f>
        <v>3.0838777896431231E-3</v>
      </c>
      <c r="BL105" s="693" t="str">
        <f>IF('A1.3.8'!D$40="","",IF(OR(VLOOKUP($B105,'A1.3.11'!$B$26:$AM$105,BL$22,)="",VLOOKUP($B105,'A1.3.7'!$B$28:$H$118,6,)=""),"",VLOOKUP($B105,'A1.3.11'!$B$26:$AM$105,BL$22,)*VLOOKUP($B105,'A1.3.7'!$B$28:$O$118,6,)))</f>
        <v/>
      </c>
      <c r="BM105" s="691" t="str">
        <f>IF('A1.3.8'!E$40="","",IF(OR(VLOOKUP($B105,'A1.3.11'!$B$26:$AM$105,BM$22,)="",VLOOKUP($B105,'A1.3.7'!$B$28:$H$118,6,)=""),"",VLOOKUP($B105,'A1.3.11'!$B$26:$AM$105,BM$22,)*VLOOKUP($B105,'A1.3.7'!$B$28:$O$118,6,)))</f>
        <v/>
      </c>
      <c r="BN105" s="691" t="str">
        <f>IF('A1.3.8'!F$40="","",IF(OR(VLOOKUP($B105,'A1.3.11'!$B$26:$AM$105,BN$22,)="",VLOOKUP($B105,'A1.3.7'!$B$28:$H$118,6,)=""),"",VLOOKUP($B105,'A1.3.11'!$B$26:$AM$105,BN$22,)*VLOOKUP($B105,'A1.3.7'!$B$28:$O$118,6,)))</f>
        <v/>
      </c>
      <c r="BO105" s="1664" t="str">
        <f>IF('A1.3.8'!G$40="","",IF(OR(VLOOKUP($B105,'A1.3.11'!$B$26:$AM$105,BO$22,)="",VLOOKUP($B105,'A1.3.7'!$B$28:$H$118,6,)=""),"",VLOOKUP($B105,'A1.3.11'!$B$26:$AM$105,BO$22,)*VLOOKUP($B105,'A1.3.7'!$B$28:$O$118,6,)))</f>
        <v/>
      </c>
      <c r="BP105" s="693">
        <f>IF(AND(BH105="",BL105=""),"",IF(BH105="",0,(BH105*VLOOKUP($B105,'A1.3.9'!$B$26:$O$57,9,TRUE))) + IF(BL105="",0,(BL105*VLOOKUP($B105,'A1.3.9'!$B$26:$O$57,10,TRUE))))</f>
        <v>440.20335929247267</v>
      </c>
      <c r="BQ105" s="691">
        <f>IF(AND(BI105="",BM105=""),"",IF(BI105="",0,(BI105*VLOOKUP($B105,'A1.3.9'!$B$26:$O$57,9,TRUE))) + IF(BM105="",0,(BM105*VLOOKUP($B105,'A1.3.9'!$B$26:$O$57,10,TRUE))))</f>
        <v>38.679326892743127</v>
      </c>
      <c r="BR105" s="691">
        <f>IF(AND(BJ105="",BN105=""),"",IF(BJ105="",0,(BJ105*VLOOKUP($B105,'A1.3.9'!$B$26:$O$57,9,TRUE))) + IF(BN105="",0,(BN105*VLOOKUP($B105,'A1.3.9'!$B$26:$O$57,10,TRUE))))</f>
        <v>-0.42040980872391126</v>
      </c>
      <c r="BS105" s="2644">
        <f>IF(AND(BK105="",BO105=""),"",IF(BK105="",0,(BK105*VLOOKUP($B105,'A1.3.9'!$B$26:$O$57,9,TRUE))) + IF(BO105="",0,(BO105*VLOOKUP($B105,'A1.3.9'!$B$26:$O$57,10,TRUE))))</f>
        <v>3.0838777896431231E-3</v>
      </c>
    </row>
    <row r="106" spans="1:71" ht="13.5" customHeight="1" thickBot="1">
      <c r="A106" s="381"/>
      <c r="B106" s="617">
        <f>B105+1</f>
        <v>2089</v>
      </c>
      <c r="C106" s="168"/>
      <c r="D106" s="1586">
        <f>IF('A1.3.8'!D$27="","",IF(OR(VLOOKUP($B106,'A1.3.11'!$B$26:$AM$105,D$22,)="",VLOOKUP($B106,'A1.3.7'!$B$28:$H$118,3,)=""),"",VLOOKUP($B106,'A1.3.11'!$B$26:$AM$105,D$22,)*(VLOOKUP($B106,'A1.3.7'!$B$28:$O$118,3,)+VLOOKUP($B106,'A1.3.7'!$B$28:$O$118,8,))))</f>
        <v>41.51271082229389</v>
      </c>
      <c r="E106" s="1585">
        <f>IF('A1.3.8'!E$27="","",IF(OR(VLOOKUP($B106,'A1.3.11'!$B$26:$AM$105,E$22,)="",VLOOKUP($B106,'A1.3.7'!$B$28:$H$118,3,)=""),"",VLOOKUP($B106,'A1.3.11'!$B$26:$AM$105,E$22,)*(VLOOKUP($B106,'A1.3.7'!$B$28:$O$118,3,)+VLOOKUP($B106,'A1.3.7'!$B$28:$O$118,8,))))</f>
        <v>8.8221244236092122</v>
      </c>
      <c r="F106" s="1585">
        <f>IF('A1.3.8'!F$27="","",IF(OR(VLOOKUP($B106,'A1.3.11'!$B$26:$AM$105,F$22,)="",VLOOKUP($B106,'A1.3.7'!$B$28:$H$118,3,)=""),"",VLOOKUP($B106,'A1.3.11'!$B$26:$AM$105,F$22,)*(VLOOKUP($B106,'A1.3.7'!$B$28:$O$118,3,)+VLOOKUP($B106,'A1.3.7'!$B$28:$O$118,8,))))</f>
        <v>-0.10049445921604307</v>
      </c>
      <c r="G106" s="2645">
        <f>IF('A1.3.8'!G$27="","",IF(OR(VLOOKUP($B106,'A1.3.11'!$B$26:$AM$105,G$22,)="",VLOOKUP($B106,'A1.3.7'!$B$28:$H$118,3,)=""),"",VLOOKUP($B106,'A1.3.11'!$B$26:$AM$105,G$22,)*(VLOOKUP($B106,'A1.3.7'!$B$28:$O$118,3,)+VLOOKUP($B106,'A1.3.7'!$B$28:$O$118,8,))))</f>
        <v>6.6556671746738241E-4</v>
      </c>
      <c r="H106" s="1586">
        <f>IF('A1.3.8'!D$28="","",IF(OR(VLOOKUP($B106,'A1.3.11'!$B$26:$AM$105,H$22,)="",VLOOKUP($B106,'A1.3.7'!$B$28:$H$118,4,)=""),"",VLOOKUP($B106,'A1.3.11'!$B$26:$AM$105,H$22,)*(VLOOKUP($B106,'A1.3.7'!$B$28:$O$118,4,)+VLOOKUP($B106,'A1.3.7'!$B$28:$O$118,9,))))</f>
        <v>50.960130024975427</v>
      </c>
      <c r="I106" s="1585">
        <f>IF('A1.3.8'!E$28="","",IF(OR(VLOOKUP($B106,'A1.3.11'!$B$26:$AM$105,I$22,)="",VLOOKUP($B106,'A1.3.7'!$B$28:$H$118,4,)=""),"",VLOOKUP($B106,'A1.3.11'!$B$26:$AM$105,I$22,)*(VLOOKUP($B106,'A1.3.7'!$B$28:$O$118,4,)+VLOOKUP($B106,'A1.3.7'!$B$28:$O$118,9,))))</f>
        <v>7.3064224029987583</v>
      </c>
      <c r="J106" s="1585">
        <f>IF('A1.3.8'!F$28="","",IF(OR(VLOOKUP($B106,'A1.3.11'!$B$26:$AM$105,J$22,)="",VLOOKUP($B106,'A1.3.7'!$B$28:$H$118,4,)=""),"",VLOOKUP($B106,'A1.3.11'!$B$26:$AM$105,J$22,)*(VLOOKUP($B106,'A1.3.7'!$B$28:$O$118,4,)+VLOOKUP($B106,'A1.3.7'!$B$28:$O$118,9,))))</f>
        <v>-7.0289818944922963E-2</v>
      </c>
      <c r="K106" s="2645">
        <f>IF('A1.3.8'!G$28="","",IF(OR(VLOOKUP($B106,'A1.3.11'!$B$26:$AM$105,K$22,)="",VLOOKUP($B106,'A1.3.7'!$B$28:$H$118,4,)=""),"",VLOOKUP($B106,'A1.3.11'!$B$26:$AM$105,K$22,)*(VLOOKUP($B106,'A1.3.7'!$B$28:$O$118,4,)+VLOOKUP($B106,'A1.3.7'!$B$28:$O$118,9,))))</f>
        <v>5.5388729977883162E-4</v>
      </c>
      <c r="L106" s="1586" t="str">
        <f>IF('A1.3.8'!D$36="","",IF(OR(VLOOKUP($B106,'A1.3.11'!$B$26:$AM$105,L$22,)="",VLOOKUP($B106,'A1.3.7'!$B$28:$H$118,6,)=""),"",VLOOKUP($B106,'A1.3.11'!$B$26:$AM$105,L$22,)*VLOOKUP($B106,'A1.3.7'!$B$28:$O$118,6,)))</f>
        <v/>
      </c>
      <c r="M106" s="1585">
        <f>IF('A1.3.8'!E$36="","",IF(OR(VLOOKUP($B106,'A1.3.11'!$B$26:$AM$105,M$22,)="",VLOOKUP($B106,'A1.3.7'!$B$28:$H$118,6,)=""),"",VLOOKUP($B106,'A1.3.11'!$B$26:$AM$105,M$22,)*VLOOKUP($B106,'A1.3.7'!$B$28:$O$118,6,)))</f>
        <v>1.9637608285706969</v>
      </c>
      <c r="N106" s="1585" t="str">
        <f>IF('A1.3.8'!F$36="","",IF(OR(VLOOKUP($B106,'A1.3.11'!$B$26:$AM$105,N$22,)="",VLOOKUP($B106,'A1.3.7'!$B$28:$H$118,6,)=""),"",VLOOKUP($B106,'A1.3.11'!$B$26:$AM$105,N$22,)*VLOOKUP($B106,'A1.3.7'!$B$28:$O$118,6,)))</f>
        <v/>
      </c>
      <c r="O106" s="1665" t="str">
        <f>IF('A1.3.8'!G$36="","",IF(OR(VLOOKUP($B106,'A1.3.11'!$B$26:$AM$105,O$22,)="",VLOOKUP($B106,'A1.3.7'!$B$28:$H$118,6,)=""),"",VLOOKUP($B106,'A1.3.11'!$B$26:$AM$105,O$22,)*VLOOKUP($B106,'A1.3.7'!$B$28:$O$118,6,)))</f>
        <v/>
      </c>
      <c r="P106" s="1586">
        <f>IF(AND(D106="",H106="",L106=""),"",IF(D106="",0,(D106*VLOOKUP($B106,'A1.3.9'!$B$26:$O$57,3,TRUE)))+IF(H106="",0,(H106*VLOOKUP($B106,'A1.3.9'!$B$26:$O$57,4,TRUE)))+IF(L106="",0,(L106*VLOOKUP($B106,'A1.3.9'!$B$26:$O$57,5,TRUE))))</f>
        <v>34.363764938821092</v>
      </c>
      <c r="Q106" s="1585">
        <f>IF(AND(E106="",I106="",M106=""),"",IF(E106="",0,(E106*VLOOKUP($B106,'A1.3.9'!$B$26:$O$57,3,TRUE)))+IF(I106="",0,(I106*VLOOKUP($B106,'A1.3.9'!$B$26:$O$57,4,TRUE)))+IF(M106="",0,(M106*VLOOKUP($B106,'A1.3.9'!$B$26:$O$57,5,TRUE))))</f>
        <v>6.6917111710001258</v>
      </c>
      <c r="R106" s="1585">
        <f>IF(AND(F106="",J106="",N106=""),"",IF(F106="",0,(F106*VLOOKUP($B106,'A1.3.9'!$B$26:$O$57,3,TRUE)))+IF(J106="",0,(J106*VLOOKUP($B106,'A1.3.9'!$B$26:$O$57,4,TRUE)))+IF(N106="",0,(N106*VLOOKUP($B106,'A1.3.9'!$B$26:$O$57,5,TRUE))))</f>
        <v>-6.6810741629105219E-2</v>
      </c>
      <c r="S106" s="2645">
        <f>IF(AND(G106="",K106="",O106=""),"",IF(G106="",0,(G106*VLOOKUP($B106,'A1.3.9'!$B$26:$O$57,3,TRUE)))+IF(K106="",0,(K106*VLOOKUP($B106,'A1.3.9'!$B$26:$O$57,4,TRUE)))+IF(O106="",0,(O106*VLOOKUP($B106,'A1.3.9'!$B$26:$O$57,5,TRUE))))</f>
        <v>4.6974864092689248E-4</v>
      </c>
      <c r="T106" s="1586">
        <f>IF('A1.3.8'!D$29="","",IF(OR(VLOOKUP($B106,'A1.3.11'!$B$26:$AM$105,T$22,)="",VLOOKUP($B106,'A1.3.7'!$B$28:$H$118,3,)=""),"",VLOOKUP($B106,'A1.3.11'!$B$26:$AM$105,T$22,)*(VLOOKUP($B106,'A1.3.7'!$B$28:$O$118,3,)+VLOOKUP($B106,'A1.3.7'!$B$28:$O$118,8,))))</f>
        <v>29.861465703283759</v>
      </c>
      <c r="U106" s="1585">
        <f>IF('A1.3.8'!E$29="","",IF(OR(VLOOKUP($B106,'A1.3.11'!$B$26:$AM$105,U$22,)="",VLOOKUP($B106,'A1.3.7'!$B$28:$H$118,3,)=""),"",VLOOKUP($B106,'A1.3.11'!$B$26:$AM$105,U$22,)*(VLOOKUP($B106,'A1.3.7'!$B$28:$O$118,3,)+VLOOKUP($B106,'A1.3.7'!$B$28:$O$118,8,))))</f>
        <v>16.744581393248389</v>
      </c>
      <c r="V106" s="1585">
        <f>IF('A1.3.8'!F$29="","",IF(OR(VLOOKUP($B106,'A1.3.11'!$B$26:$AM$105,V$22,)="",VLOOKUP($B106,'A1.3.7'!$B$28:$H$118,3,)=""),"",VLOOKUP($B106,'A1.3.11'!$B$26:$AM$105,V$22,)*(VLOOKUP($B106,'A1.3.7'!$B$28:$O$118,3,)+VLOOKUP($B106,'A1.3.7'!$B$28:$O$118,8,))))</f>
        <v>-0.2628349655510569</v>
      </c>
      <c r="W106" s="2645">
        <f>IF('A1.3.8'!G$29="","",IF(OR(VLOOKUP($B106,'A1.3.11'!$B$26:$AM$105,W$22,)="",VLOOKUP($B106,'A1.3.7'!$B$28:$H$118,3,)=""),"",VLOOKUP($B106,'A1.3.11'!$B$26:$AM$105,W$22,)*(VLOOKUP($B106,'A1.3.7'!$B$28:$O$118,3,)+VLOOKUP($B106,'A1.3.7'!$B$28:$O$118,8,))))</f>
        <v>1.6973980302867136E-3</v>
      </c>
      <c r="X106" s="1586">
        <f>IF('A1.3.8'!D$30="","",IF(OR(VLOOKUP($B106,'A1.3.11'!$B$26:$AM$105,X$22,)="",VLOOKUP($B106,'A1.3.7'!$B$28:$H$118,4,)=""),"",VLOOKUP($B106,'A1.3.11'!$B$26:$AM$105,X$22,)*(VLOOKUP($B106,'A1.3.7'!$B$28:$O$118,4,)+VLOOKUP($B106,'A1.3.7'!$B$28:$O$118,9,))))</f>
        <v>52.483989904727544</v>
      </c>
      <c r="Y106" s="1585">
        <f>IF('A1.3.8'!E$30="","",IF(OR(VLOOKUP($B106,'A1.3.11'!$B$26:$AM$105,Y$22,)="",VLOOKUP($B106,'A1.3.7'!$B$28:$H$118,4,)=""),"",VLOOKUP($B106,'A1.3.11'!$B$26:$AM$105,Y$22,)*(VLOOKUP($B106,'A1.3.7'!$B$28:$O$118,4,)+VLOOKUP($B106,'A1.3.7'!$B$28:$O$118,9,))))</f>
        <v>12.827301022384631</v>
      </c>
      <c r="Z106" s="1585">
        <f>IF('A1.3.8'!F$30="","",IF(OR(VLOOKUP($B106,'A1.3.11'!$B$26:$AM$105,Z$22,)="",VLOOKUP($B106,'A1.3.7'!$B$28:$H$118,4,)=""),"",VLOOKUP($B106,'A1.3.11'!$B$26:$AM$105,Z$22,)*(VLOOKUP($B106,'A1.3.7'!$B$28:$O$118,4,)+VLOOKUP($B106,'A1.3.7'!$B$28:$O$118,9,))))</f>
        <v>-0.18505713013621691</v>
      </c>
      <c r="AA106" s="2645">
        <f>IF('A1.3.8'!G$30="","",IF(OR(VLOOKUP($B106,'A1.3.11'!$B$26:$AM$105,AA$22,)="",VLOOKUP($B106,'A1.3.7'!$B$28:$H$118,4,)=""),"",VLOOKUP($B106,'A1.3.11'!$B$26:$AM$105,AA$22,)*(VLOOKUP($B106,'A1.3.7'!$B$28:$O$118,4,)+VLOOKUP($B106,'A1.3.7'!$B$28:$O$118,9,))))</f>
        <v>1.5667001161471486E-3</v>
      </c>
      <c r="AB106" s="1586" t="str">
        <f>IF('A1.3.8'!D$37="","",IF(OR(VLOOKUP($B106,'A1.3.11'!$B$26:$AM$105,AB$22,)="",VLOOKUP($B106,'A1.3.7'!$B$28:$H$118,6,)=""),"",VLOOKUP($B106,'A1.3.11'!$B$26:$AM$105,AB$22,)*VLOOKUP($B106,'A1.3.7'!$B$28:$O$118,6,)))</f>
        <v/>
      </c>
      <c r="AC106" s="1585">
        <f>IF('A1.3.8'!E$37="","",IF(OR(VLOOKUP($B106,'A1.3.11'!$B$26:$AM$105,AC$22,)="",VLOOKUP($B106,'A1.3.7'!$B$28:$H$118,6,)=""),"",VLOOKUP($B106,'A1.3.11'!$B$26:$AM$105,AC$22,)*VLOOKUP($B106,'A1.3.7'!$B$28:$O$118,6,)))</f>
        <v>4.5145632825273854</v>
      </c>
      <c r="AD106" s="1585" t="str">
        <f>IF('A1.3.8'!F$37="","",IF(OR(VLOOKUP($B106,'A1.3.11'!$B$26:$AM$105,AD$22,)="",VLOOKUP($B106,'A1.3.7'!$B$28:$H$118,6,)=""),"",VLOOKUP($B106,'A1.3.11'!$B$26:$AM$105,AD$22,)*VLOOKUP($B106,'A1.3.7'!$B$28:$O$118,6,)))</f>
        <v/>
      </c>
      <c r="AE106" s="1665" t="str">
        <f>IF('A1.3.8'!G$37="","",IF(OR(VLOOKUP($B106,'A1.3.11'!$B$26:$AM$105,AE$22,)="",VLOOKUP($B106,'A1.3.7'!$B$28:$H$118,6,)=""),"",VLOOKUP($B106,'A1.3.11'!$B$26:$AM$105,AE$22,)*VLOOKUP($B106,'A1.3.7'!$B$28:$O$118,6,)))</f>
        <v/>
      </c>
      <c r="AF106" s="1586">
        <f>IF(AND(T106="",X106="",AB106=""),"",IF(T106="",0,(T106*VLOOKUP('A1.3.12'!$B106,'A1.3.9'!$B$26:$O$57,6,TRUE))) + IF(X106="",0,(X106*VLOOKUP('A1.3.12'!$B106,'A1.3.9'!$B$26:$O$57,7,TRUE))) + IF(AB106="",0,(AB106*VLOOKUP('A1.3.12'!$B106,'A1.3.9'!$B$26:$O$57,8,TRUE))))</f>
        <v>46.569616522393403</v>
      </c>
      <c r="AG106" s="1585">
        <f>IF(AND(U106="",Y106="",AC106=""),"",IF(U106="",0,(U106*VLOOKUP('A1.3.12'!$B106,'A1.3.9'!$B$26:$O$57,6,TRUE))) + IF(Y106="",0,(Y106*VLOOKUP('A1.3.12'!$B106,'A1.3.9'!$B$26:$O$57,7,TRUE))) + IF(AC106="",0,(AC106*VLOOKUP('A1.3.12'!$B106,'A1.3.9'!$B$26:$O$57,8,TRUE))))</f>
        <v>11.94740921964317</v>
      </c>
      <c r="AH106" s="1585">
        <f>IF(AND(V106="",Z106="",AD106=""),"",IF(V106="",0,(V106*VLOOKUP('A1.3.12'!$B106,'A1.3.9'!$B$26:$O$57,6,TRUE))) + IF(Z106="",0,(Z106*VLOOKUP('A1.3.12'!$B106,'A1.3.9'!$B$26:$O$57,7,TRUE))) + IF(AD106="",0,(AD106*VLOOKUP('A1.3.12'!$B106,'A1.3.9'!$B$26:$O$57,8,TRUE))))</f>
        <v>-0.16539761020373503</v>
      </c>
      <c r="AI106" s="2645">
        <f>IF(AND(W106="",AA106="",AE106=""),"",IF(W106="",0,(W106*VLOOKUP('A1.3.12'!$B106,'A1.3.9'!$B$26:$O$57,6,TRUE))) + IF(AA106="",0,(AA106*VLOOKUP('A1.3.12'!$B106,'A1.3.9'!$B$26:$O$57,7,TRUE))) + IF(AE106="",0,(AE106*VLOOKUP('A1.3.12'!$B106,'A1.3.9'!$B$26:$O$57,8,TRUE))))</f>
        <v>1.3962607018812745E-3</v>
      </c>
      <c r="AJ106" s="1586">
        <f>IF('A1.3.8'!D$31="","",IF(OR(VLOOKUP($B106,'A1.3.11'!$B$26:$AM$105,AJ$22,)="",VLOOKUP($B106,'A1.3.7'!$B$28:$H$118,4,)=""),"",VLOOKUP($B106,'A1.3.11'!$B$26:$AM$105,AJ$22,)*(VLOOKUP($B106,'A1.3.7'!$B$28:$O$118,4,)+VLOOKUP($B106,'A1.3.7'!$B$28:$O$118,9,))))</f>
        <v>354.78981896245898</v>
      </c>
      <c r="AK106" s="1585">
        <f>IF('A1.3.8'!E$31="","",IF(OR(VLOOKUP($B106,'A1.3.11'!$B$26:$AM$105,AK$22,)="",VLOOKUP($B106,'A1.3.7'!$B$28:$H$118,4,)=""),"",VLOOKUP($B106,'A1.3.11'!$B$26:$AM$105,AK$22,)*(VLOOKUP($B106,'A1.3.7'!$B$28:$O$118,4,)+VLOOKUP($B106,'A1.3.7'!$B$28:$O$118,9,))))</f>
        <v>18.824156256190541</v>
      </c>
      <c r="AL106" s="1585">
        <f>IF('A1.3.8'!F$31="","",IF(OR(VLOOKUP($B106,'A1.3.11'!$B$26:$AM$105,AL$22,)="",VLOOKUP($B106,'A1.3.7'!$B$28:$H$118,4,)=""),"",VLOOKUP($B106,'A1.3.11'!$B$26:$AM$105,AL$22,)*(VLOOKUP($B106,'A1.3.7'!$B$28:$O$118,4,)+VLOOKUP($B106,'A1.3.7'!$B$28:$O$118,9,))))</f>
        <v>-0.13606112093911746</v>
      </c>
      <c r="AM106" s="2645">
        <f>IF('A1.3.8'!G$31="","",IF(OR(VLOOKUP($B106,'A1.3.11'!$B$26:$AM$105,AM$22,)="",VLOOKUP($B106,'A1.3.7'!$B$28:$H$118,4,)=""),"",VLOOKUP($B106,'A1.3.11'!$B$26:$AM$105,AM$22,)*(VLOOKUP($B106,'A1.3.7'!$B$28:$O$118,4,)+VLOOKUP($B106,'A1.3.7'!$B$28:$O$118,9,))))</f>
        <v>1.4860057512041287E-3</v>
      </c>
      <c r="AN106" s="1586" t="str">
        <f>IF('A1.3.8'!D$38="","",IF(OR(VLOOKUP($B106,'A1.3.11'!$B$26:$AM$105,AN$22,)="",VLOOKUP($B106,'A1.3.7'!$B$28:$H$118,6,)=""),"",VLOOKUP($B106,'A1.3.11'!$B$26:$AM$105,AN$22,)*VLOOKUP($B106,'A1.3.7'!$B$28:$O$118,6,)))</f>
        <v/>
      </c>
      <c r="AO106" s="1585" t="str">
        <f>IF('A1.3.8'!E$38="","",IF(OR(VLOOKUP($B106,'A1.3.11'!$B$26:$AM$105,AO$22,)="",VLOOKUP($B106,'A1.3.7'!$B$28:$H$118,6,)=""),"",VLOOKUP($B106,'A1.3.11'!$B$26:$AM$105,AO$22,)*VLOOKUP($B106,'A1.3.7'!$B$28:$O$118,6,)))</f>
        <v/>
      </c>
      <c r="AP106" s="1585" t="str">
        <f>IF('A1.3.8'!F$38="","",IF(OR(VLOOKUP($B106,'A1.3.11'!$B$26:$AM$105,AP$22,)="",VLOOKUP($B106,'A1.3.7'!$B$28:$H$118,6,)=""),"",VLOOKUP($B106,'A1.3.11'!$B$26:$AM$105,AP$22,)*VLOOKUP($B106,'A1.3.7'!$B$28:$O$118,6,)))</f>
        <v/>
      </c>
      <c r="AQ106" s="1665" t="str">
        <f>IF('A1.3.8'!G$38="","",IF(OR(VLOOKUP($B106,'A1.3.11'!$B$26:$AM$105,AQ$22,)="",VLOOKUP($B106,'A1.3.7'!$B$28:$H$118,6,)=""),"",VLOOKUP($B106,'A1.3.11'!$B$26:$AM$105,AQ$22,)*VLOOKUP($B106,'A1.3.7'!$B$28:$O$118,6,)))</f>
        <v/>
      </c>
      <c r="AR106" s="1586">
        <f>IF(AND(AJ106="",AN106=""),"",IF(AJ106="",0,(AJ106*VLOOKUP($B106,'A1.3.9'!$B$26:$O$57,9,TRUE))) + IF(AN106="",0,(AN106*VLOOKUP($B106,'A1.3.9'!$B$26:$O$57,10,TRUE))))</f>
        <v>354.78981896245898</v>
      </c>
      <c r="AS106" s="1585">
        <f>IF(AND(AK106="",AO106=""),"",IF(AK106="",0,(AK106*VLOOKUP($B106,'A1.3.9'!$B$26:$O$57,9,TRUE))) + IF(AO106="",0,(AO106*VLOOKUP($B106,'A1.3.9'!$B$26:$O$57,10,TRUE))))</f>
        <v>18.824156256190541</v>
      </c>
      <c r="AT106" s="1585">
        <f>IF(AND(AL106="",AP106=""),"",IF(AL106="",0,(AL106*VLOOKUP($B106,'A1.3.9'!$B$26:$O$57,9,TRUE))) + IF(AP106="",0,(AP106*VLOOKUP($B106,'A1.3.9'!$B$26:$O$57,10,TRUE))))</f>
        <v>-0.13606112093911746</v>
      </c>
      <c r="AU106" s="2645">
        <f>IF(AND(AM106="",AQ106=""),"",IF(AM106="",0,(AM106*VLOOKUP($B106,'A1.3.9'!$B$26:$O$57,9,TRUE))) + IF(AQ106="",0,(AQ106*VLOOKUP($B106,'A1.3.9'!$B$26:$O$57,10,TRUE))))</f>
        <v>1.4860057512041287E-3</v>
      </c>
      <c r="AV106" s="1586">
        <f>IF('A1.3.8'!D$32="","",IF(OR(VLOOKUP($B106,'A1.3.11'!$B$26:$AM$105,AV$22,)="",VLOOKUP($B106,'A1.3.7'!$B$28:$H$118,4,)=""),"",VLOOKUP($B106,'A1.3.11'!$B$26:$AM$105,AV$22,)*(VLOOKUP($B106,'A1.3.7'!$B$28:$O$118,4,)+VLOOKUP($B106,'A1.3.7'!$B$28:$O$118,9,))))</f>
        <v>745.50585961420927</v>
      </c>
      <c r="AW106" s="1585">
        <f>IF('A1.3.8'!E$32="","",IF(OR(VLOOKUP($B106,'A1.3.11'!$B$26:$AM$105,AW$22,)="",VLOOKUP($B106,'A1.3.7'!$B$28:$H$118,4,)=""),"",VLOOKUP($B106,'A1.3.11'!$B$26:$AM$105,AW$22,)*(VLOOKUP($B106,'A1.3.7'!$B$28:$O$118,4,)+VLOOKUP($B106,'A1.3.7'!$B$28:$O$118,9,))))</f>
        <v>38.715440252823434</v>
      </c>
      <c r="AX106" s="1585">
        <f>IF('A1.3.8'!F$32="","",IF(OR(VLOOKUP($B106,'A1.3.11'!$B$26:$AM$105,AX$22,)="",VLOOKUP($B106,'A1.3.7'!$B$28:$H$118,4,)=""),"",VLOOKUP($B106,'A1.3.11'!$B$26:$AM$105,AX$22,)*(VLOOKUP($B106,'A1.3.7'!$B$28:$O$118,4,)+VLOOKUP($B106,'A1.3.7'!$B$28:$O$118,9,))))</f>
        <v>-0.25651015844701897</v>
      </c>
      <c r="AY106" s="2645">
        <f>IF('A1.3.8'!G$32="","",IF(OR(VLOOKUP($B106,'A1.3.11'!$B$26:$AM$105,AY$22,)="",VLOOKUP($B106,'A1.3.7'!$B$28:$H$118,4,)=""),"",VLOOKUP($B106,'A1.3.11'!$B$26:$AM$105,AY$22,)*(VLOOKUP($B106,'A1.3.7'!$B$28:$O$118,4,)+VLOOKUP($B106,'A1.3.7'!$B$28:$O$118,9,))))</f>
        <v>1.5289072095437089E-3</v>
      </c>
      <c r="AZ106" s="1586" t="str">
        <f>IF('A1.3.8'!D$39="","",IF(OR(VLOOKUP($B106,'A1.3.11'!$B$26:$AM$105,AZ$22,)="",VLOOKUP($B106,'A1.3.7'!$B$28:$H$118,6,)=""),"",VLOOKUP($B106,'A1.3.11'!$B$26:$AM$105,AZ$22,)*VLOOKUP($B106,'A1.3.7'!$B$28:$O$118,6,)))</f>
        <v/>
      </c>
      <c r="BA106" s="1585" t="str">
        <f>IF('A1.3.8'!E$39="","",IF(OR(VLOOKUP($B106,'A1.3.11'!$B$26:$AM$105,BA$22,)="",VLOOKUP($B106,'A1.3.7'!$B$28:$H$118,6,)=""),"",VLOOKUP($B106,'A1.3.11'!$B$26:$AM$105,BA$22,)*VLOOKUP($B106,'A1.3.7'!$B$28:$O$118,6,)))</f>
        <v/>
      </c>
      <c r="BB106" s="1585" t="str">
        <f>IF('A1.3.8'!F$39="","",IF(OR(VLOOKUP($B106,'A1.3.11'!$B$26:$AM$105,BB$22,)="",VLOOKUP($B106,'A1.3.7'!$B$28:$H$118,6,)=""),"",VLOOKUP($B106,'A1.3.11'!$B$26:$AM$105,BB$22,)*VLOOKUP($B106,'A1.3.7'!$B$28:$O$118,6,)))</f>
        <v/>
      </c>
      <c r="BC106" s="1665" t="str">
        <f>IF('A1.3.8'!G$39="","",IF(OR(VLOOKUP($B106,'A1.3.11'!$B$26:$AM$105,BC$22,)="",VLOOKUP($B106,'A1.3.7'!$B$28:$H$118,6,)=""),"",VLOOKUP($B106,'A1.3.11'!$B$26:$AM$105,BC$22,)*VLOOKUP($B106,'A1.3.7'!$B$28:$O$118,6,)))</f>
        <v/>
      </c>
      <c r="BD106" s="1586">
        <f>IF(AND(AV106="",AZ106=""),"",IF(AV106="",0,(AV106*VLOOKUP($B106,'A1.3.9'!$B$26:$O$57,9,TRUE))) + IF(AZ106="",0,(AZ106*VLOOKUP($B106,'A1.3.9'!$B$26:$O$57,10,TRUE))))</f>
        <v>745.50585961420927</v>
      </c>
      <c r="BE106" s="1585">
        <f>IF(AND(AW106="",BA106=""),"",IF(AW106="",0,(AW106*VLOOKUP($B106,'A1.3.9'!$B$26:$O$57,9,TRUE))) + IF(BA106="",0,(BA106*VLOOKUP($B106,'A1.3.9'!$B$26:$O$57,10,TRUE))))</f>
        <v>38.715440252823434</v>
      </c>
      <c r="BF106" s="1585">
        <f>IF(AND(AX106="",BB106=""),"",IF(AX106="",0,(AX106*VLOOKUP($B106,'A1.3.9'!$B$26:$O$57,9,TRUE))) + IF(BB106="",0,(BB106*VLOOKUP($B106,'A1.3.9'!$B$26:$O$57,10,TRUE))))</f>
        <v>-0.25651015844701897</v>
      </c>
      <c r="BG106" s="2645">
        <f>IF(AND(AY106="",BC106=""),"",IF(AY106="",0,(AY106*VLOOKUP($B106,'A1.3.9'!$B$26:$O$57,9,TRUE))) + IF(BC106="",0,(BC106*VLOOKUP($B106,'A1.3.9'!$B$26:$O$57,10,TRUE))))</f>
        <v>1.5289072095437089E-3</v>
      </c>
      <c r="BH106" s="1586">
        <f>IF('A1.3.8'!D$33="","",IF(OR(VLOOKUP($B106,'A1.3.11'!$B$26:$AM$105,BH$22,)="",VLOOKUP($B106,'A1.3.7'!$B$28:$H$118,4,)=""),"",VLOOKUP($B106,'A1.3.11'!$B$26:$AM$105,BH$22,)*(VLOOKUP($B106,'A1.3.7'!$B$28:$O$118,4,)+VLOOKUP($B106,'A1.3.7'!$B$28:$O$118,9,))))</f>
        <v>442.14917972210998</v>
      </c>
      <c r="BI106" s="1585">
        <f>IF('A1.3.8'!E$33="","",IF(OR(VLOOKUP($B106,'A1.3.11'!$B$26:$AM$105,BI$22,)="",VLOOKUP($B106,'A1.3.7'!$B$28:$H$118,4,)=""),"",VLOOKUP($B106,'A1.3.11'!$B$26:$AM$105,BI$22,)*(VLOOKUP($B106,'A1.3.7'!$B$28:$O$118,4,)+VLOOKUP($B106,'A1.3.7'!$B$28:$O$118,9,))))</f>
        <v>38.850300200610398</v>
      </c>
      <c r="BJ106" s="1585">
        <f>IF('A1.3.8'!F$33="","",IF(OR(VLOOKUP($B106,'A1.3.11'!$B$26:$AM$105,BJ$22,)="",VLOOKUP($B106,'A1.3.7'!$B$28:$H$118,4,)=""),"",VLOOKUP($B106,'A1.3.11'!$B$26:$AM$105,BJ$22,)*(VLOOKUP($B106,'A1.3.7'!$B$28:$O$118,4,)+VLOOKUP($B106,'A1.3.7'!$B$28:$O$118,9,))))</f>
        <v>-0.42226813619317388</v>
      </c>
      <c r="BK106" s="2645">
        <f>IF('A1.3.8'!G$33="","",IF(OR(VLOOKUP($B106,'A1.3.11'!$B$26:$AM$105,BK$22,)="",VLOOKUP($B106,'A1.3.7'!$B$28:$H$118,4,)=""),"",VLOOKUP($B106,'A1.3.11'!$B$26:$AM$105,BK$22,)*(VLOOKUP($B106,'A1.3.7'!$B$28:$O$118,4,)+VLOOKUP($B106,'A1.3.7'!$B$28:$O$118,9,))))</f>
        <v>3.0975093812221537E-3</v>
      </c>
      <c r="BL106" s="1586" t="str">
        <f>IF('A1.3.8'!D$40="","",IF(OR(VLOOKUP($B106,'A1.3.11'!$B$26:$AM$105,BL$22,)="",VLOOKUP($B106,'A1.3.7'!$B$28:$H$118,6,)=""),"",VLOOKUP($B106,'A1.3.11'!$B$26:$AM$105,BL$22,)*VLOOKUP($B106,'A1.3.7'!$B$28:$O$118,6,)))</f>
        <v/>
      </c>
      <c r="BM106" s="1585" t="str">
        <f>IF('A1.3.8'!E$40="","",IF(OR(VLOOKUP($B106,'A1.3.11'!$B$26:$AM$105,BM$22,)="",VLOOKUP($B106,'A1.3.7'!$B$28:$H$118,6,)=""),"",VLOOKUP($B106,'A1.3.11'!$B$26:$AM$105,BM$22,)*VLOOKUP($B106,'A1.3.7'!$B$28:$O$118,6,)))</f>
        <v/>
      </c>
      <c r="BN106" s="1585" t="str">
        <f>IF('A1.3.8'!F$40="","",IF(OR(VLOOKUP($B106,'A1.3.11'!$B$26:$AM$105,BN$22,)="",VLOOKUP($B106,'A1.3.7'!$B$28:$H$118,6,)=""),"",VLOOKUP($B106,'A1.3.11'!$B$26:$AM$105,BN$22,)*VLOOKUP($B106,'A1.3.7'!$B$28:$O$118,6,)))</f>
        <v/>
      </c>
      <c r="BO106" s="1665" t="str">
        <f>IF('A1.3.8'!G$40="","",IF(OR(VLOOKUP($B106,'A1.3.11'!$B$26:$AM$105,BO$22,)="",VLOOKUP($B106,'A1.3.7'!$B$28:$H$118,6,)=""),"",VLOOKUP($B106,'A1.3.11'!$B$26:$AM$105,BO$22,)*VLOOKUP($B106,'A1.3.7'!$B$28:$O$118,6,)))</f>
        <v/>
      </c>
      <c r="BP106" s="1586">
        <f>IF(AND(BH106="",BL106=""),"",IF(BH106="",0,(BH106*VLOOKUP($B106,'A1.3.9'!$B$26:$O$57,9,TRUE))) + IF(BL106="",0,(BL106*VLOOKUP($B106,'A1.3.9'!$B$26:$O$57,10,TRUE))))</f>
        <v>442.14917972210998</v>
      </c>
      <c r="BQ106" s="1585">
        <f>IF(AND(BI106="",BM106=""),"",IF(BI106="",0,(BI106*VLOOKUP($B106,'A1.3.9'!$B$26:$O$57,9,TRUE))) + IF(BM106="",0,(BM106*VLOOKUP($B106,'A1.3.9'!$B$26:$O$57,10,TRUE))))</f>
        <v>38.850300200610398</v>
      </c>
      <c r="BR106" s="1585">
        <f>IF(AND(BJ106="",BN106=""),"",IF(BJ106="",0,(BJ106*VLOOKUP($B106,'A1.3.9'!$B$26:$O$57,9,TRUE))) + IF(BN106="",0,(BN106*VLOOKUP($B106,'A1.3.9'!$B$26:$O$57,10,TRUE))))</f>
        <v>-0.42226813619317388</v>
      </c>
      <c r="BS106" s="2645">
        <f>IF(AND(BK106="",BO106=""),"",IF(BK106="",0,(BK106*VLOOKUP($B106,'A1.3.9'!$B$26:$O$57,9,TRUE))) + IF(BO106="",0,(BO106*VLOOKUP($B106,'A1.3.9'!$B$26:$O$57,10,TRUE))))</f>
        <v>3.0975093812221537E-3</v>
      </c>
    </row>
    <row r="107" spans="1:71" ht="13.5" customHeight="1" thickTop="1" thickBot="1"/>
    <row r="108" spans="1:71" ht="13.5" customHeight="1" thickBot="1">
      <c r="D108" s="2414" t="s">
        <v>1489</v>
      </c>
    </row>
  </sheetData>
  <sheetProtection sheet="1" objects="1" scenarios="1"/>
  <mergeCells count="10">
    <mergeCell ref="AJ1:AY1"/>
    <mergeCell ref="BH1:BS1"/>
    <mergeCell ref="A10:B10"/>
    <mergeCell ref="A11:B11"/>
    <mergeCell ref="A12:B12"/>
    <mergeCell ref="E6:S6"/>
    <mergeCell ref="A7:B7"/>
    <mergeCell ref="A8:B8"/>
    <mergeCell ref="D1:S1"/>
    <mergeCell ref="T1:AI1"/>
  </mergeCells>
  <phoneticPr fontId="8" type="noConversion"/>
  <hyperlinks>
    <hyperlink ref="A18:B18" location="A1.2.12!D29" display="Cars"/>
    <hyperlink ref="A19:B19" location="A1.2.12!T29" display="LGVs"/>
    <hyperlink ref="A11" location="Contents!A1" display="Contents"/>
    <hyperlink ref="A11:B11" r:id="rId1" display="WebTAG Unit 3.5.6"/>
    <hyperlink ref="A10" location="Contents!A1" display="Contents"/>
    <hyperlink ref="A10:B10" location="Contents!A1" tooltip="Contents page" display="Contents"/>
    <hyperlink ref="A18" location="A1.3.12!D1" tooltip="Cars" display="Cars"/>
    <hyperlink ref="B18" location="A1.3.12!T1" tooltip="Light Goods Vehicles" display="LGVs"/>
    <hyperlink ref="A19" location="A1.3.12!AJ1" tooltip="Other Goods Vehicles" display="OGVs"/>
    <hyperlink ref="B19" location="A1.3.12!BH1" tooltip="Public Service Vehicles" display="PSVs"/>
    <hyperlink ref="A12:B12" r:id="rId2" tooltip="Unit A1.3 User &amp; Provider Impacts" display="WebTAG Unit A 1.3"/>
    <hyperlink ref="D108" location="A1.3.12!D27" tooltip="Top of this page" display="Top"/>
  </hyperlinks>
  <pageMargins left="0.75" right="0.75" top="1" bottom="1" header="0.5" footer="0.5"/>
  <pageSetup paperSize="8" scale="42" fitToWidth="2" fitToHeight="0" orientation="landscape" r:id="rId3"/>
  <headerFooter alignWithMargins="0"/>
  <colBreaks count="1" manualBreakCount="1">
    <brk id="35" max="1048575" man="1"/>
  </colBreaks>
  <drawing r:id="rId4"/>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8000"/>
    <pageSetUpPr fitToPage="1"/>
  </sheetPr>
  <dimension ref="A1:AJ109"/>
  <sheetViews>
    <sheetView showGridLines="0" topLeftCell="A6" zoomScale="85" zoomScaleNormal="85" workbookViewId="0">
      <selection activeCell="D27" sqref="D27"/>
    </sheetView>
  </sheetViews>
  <sheetFormatPr defaultColWidth="12.88671875" defaultRowHeight="13.5" customHeight="1"/>
  <cols>
    <col min="1" max="16384" width="12.88671875" style="38"/>
  </cols>
  <sheetData>
    <row r="1" spans="1:36" ht="54.9" customHeight="1">
      <c r="A1" s="28"/>
      <c r="C1" s="28"/>
      <c r="D1" s="3715"/>
      <c r="E1" s="3689"/>
      <c r="F1" s="3689"/>
      <c r="G1" s="3689"/>
      <c r="H1" s="3689"/>
      <c r="I1" s="3689"/>
      <c r="J1" s="3689"/>
      <c r="K1" s="3689"/>
      <c r="L1" s="3689"/>
      <c r="M1" s="3689"/>
      <c r="N1" s="3689"/>
      <c r="O1" s="3689"/>
      <c r="P1" s="3689"/>
      <c r="Q1" s="3689"/>
      <c r="R1" s="3689"/>
      <c r="S1" s="3689"/>
      <c r="T1" s="3688"/>
      <c r="U1" s="3688"/>
      <c r="V1" s="3688"/>
      <c r="W1" s="3688"/>
      <c r="X1" s="3688"/>
      <c r="Y1" s="3688"/>
      <c r="Z1" s="3688"/>
      <c r="AA1" s="3688"/>
      <c r="AB1" s="3688"/>
      <c r="AC1" s="3688"/>
      <c r="AD1" s="3688"/>
      <c r="AE1" s="3688"/>
      <c r="AF1" s="3688"/>
      <c r="AG1" s="3688"/>
      <c r="AH1" s="3688"/>
      <c r="AI1" s="3688"/>
    </row>
    <row r="2" spans="1:36" s="300" customFormat="1" ht="5.0999999999999996" customHeight="1">
      <c r="AH2" s="83"/>
      <c r="AJ2" s="445"/>
    </row>
    <row r="3" spans="1:36" s="300" customFormat="1" ht="20.100000000000001" customHeight="1">
      <c r="A3" s="300" t="s">
        <v>2254</v>
      </c>
      <c r="B3" s="485"/>
      <c r="C3" s="444"/>
      <c r="D3" s="46"/>
      <c r="E3" s="83"/>
      <c r="F3" s="445"/>
      <c r="H3" s="688"/>
      <c r="I3" s="485"/>
      <c r="O3" s="444"/>
      <c r="P3" s="444"/>
      <c r="Q3" s="444"/>
      <c r="R3" s="46"/>
      <c r="AH3" s="46"/>
    </row>
    <row r="4" spans="1:36" s="26" customFormat="1" ht="20.100000000000001" customHeight="1" thickBot="1">
      <c r="A4" s="529" t="s">
        <v>1379</v>
      </c>
      <c r="B4" s="447"/>
      <c r="C4" s="447"/>
      <c r="D4" s="446"/>
      <c r="E4" s="446"/>
      <c r="F4" s="446"/>
      <c r="G4" s="446"/>
      <c r="H4" s="689"/>
      <c r="I4" s="447"/>
      <c r="J4" s="446"/>
      <c r="K4" s="446"/>
      <c r="L4" s="446"/>
      <c r="M4" s="446"/>
      <c r="N4" s="446"/>
      <c r="O4" s="690"/>
      <c r="P4" s="446"/>
      <c r="Q4" s="446"/>
      <c r="R4" s="487"/>
      <c r="S4" s="446"/>
      <c r="T4" s="446"/>
      <c r="U4" s="446"/>
      <c r="V4" s="446"/>
      <c r="W4" s="446"/>
      <c r="X4" s="446"/>
      <c r="Y4" s="446"/>
      <c r="Z4" s="446"/>
      <c r="AA4" s="446"/>
      <c r="AB4" s="446"/>
      <c r="AC4" s="446"/>
      <c r="AD4" s="446"/>
      <c r="AE4" s="446"/>
      <c r="AF4" s="446"/>
      <c r="AG4" s="446"/>
      <c r="AH4" s="449"/>
      <c r="AI4" s="446"/>
    </row>
    <row r="5" spans="1:36" ht="9.9" customHeight="1" thickTop="1" thickBot="1">
      <c r="A5" s="35"/>
      <c r="B5" s="321"/>
      <c r="C5" s="72"/>
      <c r="E5" s="427"/>
      <c r="I5" s="321"/>
      <c r="K5" s="427"/>
      <c r="O5" s="315"/>
      <c r="P5" s="26"/>
      <c r="Q5" s="26"/>
      <c r="R5" s="31"/>
      <c r="AH5" s="31"/>
    </row>
    <row r="6" spans="1:36" ht="13.5" customHeight="1" thickTop="1">
      <c r="A6" s="169" t="s">
        <v>10</v>
      </c>
      <c r="B6" s="169"/>
      <c r="E6" s="3626" t="s">
        <v>255</v>
      </c>
      <c r="F6" s="3627"/>
      <c r="G6" s="3627"/>
      <c r="H6" s="3627"/>
      <c r="I6" s="3627"/>
      <c r="J6" s="3627"/>
      <c r="K6" s="3627"/>
      <c r="L6" s="3627"/>
      <c r="M6" s="3627"/>
      <c r="N6" s="3627"/>
      <c r="O6" s="3627"/>
      <c r="P6" s="3627"/>
      <c r="Q6" s="3627"/>
      <c r="R6" s="3627"/>
      <c r="S6" s="3729"/>
    </row>
    <row r="7" spans="1:36" ht="13.5" customHeight="1">
      <c r="A7" s="3644" t="str">
        <f>Audit!A12</f>
        <v>May 2019 v1.12</v>
      </c>
      <c r="B7" s="3651"/>
      <c r="D7" s="147"/>
      <c r="E7" s="1580" t="s">
        <v>132</v>
      </c>
      <c r="F7" s="29"/>
      <c r="G7" s="26"/>
      <c r="H7" s="26"/>
      <c r="I7" s="26"/>
      <c r="J7" s="26"/>
      <c r="K7" s="26"/>
      <c r="L7" s="26"/>
      <c r="M7" s="26"/>
      <c r="N7" s="26"/>
      <c r="O7" s="26"/>
      <c r="P7" s="26"/>
      <c r="Q7" s="26"/>
      <c r="R7" s="26"/>
      <c r="S7" s="147"/>
    </row>
    <row r="8" spans="1:36" ht="13.5" customHeight="1">
      <c r="A8" s="3630">
        <f>Audit!C12</f>
        <v>43586</v>
      </c>
      <c r="B8" s="3631"/>
      <c r="C8" s="321"/>
      <c r="D8" s="412"/>
      <c r="E8" s="38" t="s">
        <v>69</v>
      </c>
      <c r="F8" s="315"/>
      <c r="G8" s="26"/>
      <c r="H8" s="26"/>
      <c r="I8" s="38" t="str">
        <f>'Fuel consumption'!I7</f>
        <v>L = a/v + b + c.v + d.v2</v>
      </c>
      <c r="J8" s="26"/>
      <c r="K8" s="26"/>
      <c r="L8" s="26"/>
      <c r="M8" s="26"/>
      <c r="N8" s="26"/>
      <c r="O8" s="26"/>
      <c r="P8" s="26"/>
      <c r="Q8" s="26"/>
      <c r="R8" s="26"/>
      <c r="S8" s="147"/>
    </row>
    <row r="9" spans="1:36" ht="13.5" customHeight="1" thickBot="1">
      <c r="A9" s="172" t="s">
        <v>14</v>
      </c>
      <c r="B9" s="173"/>
      <c r="D9" s="412"/>
      <c r="E9" s="38" t="s">
        <v>1228</v>
      </c>
      <c r="F9" s="26"/>
      <c r="G9" s="26"/>
      <c r="H9" s="26"/>
      <c r="I9" s="26"/>
      <c r="J9" s="26"/>
      <c r="K9" s="26"/>
      <c r="L9" s="26"/>
      <c r="M9" s="26"/>
      <c r="N9" s="26"/>
      <c r="O9" s="26"/>
      <c r="P9" s="26"/>
      <c r="Q9" s="26"/>
      <c r="R9" s="26"/>
      <c r="S9" s="147"/>
    </row>
    <row r="10" spans="1:36" ht="13.5" customHeight="1" thickBot="1">
      <c r="A10" s="3570" t="s">
        <v>1306</v>
      </c>
      <c r="B10" s="3610"/>
      <c r="D10" s="412"/>
      <c r="E10" s="26" t="s">
        <v>70</v>
      </c>
      <c r="F10" s="26"/>
      <c r="G10" s="26"/>
      <c r="H10" s="26"/>
      <c r="I10" s="26"/>
      <c r="J10" s="26"/>
      <c r="K10" s="26"/>
      <c r="L10" s="26"/>
      <c r="M10" s="26"/>
      <c r="N10" s="26"/>
      <c r="O10" s="26"/>
      <c r="P10" s="26"/>
      <c r="Q10" s="26"/>
      <c r="R10" s="26"/>
      <c r="S10" s="147"/>
    </row>
    <row r="11" spans="1:36" ht="13.5" customHeight="1" thickBot="1">
      <c r="A11" s="3570" t="s">
        <v>2216</v>
      </c>
      <c r="B11" s="3581"/>
      <c r="D11" s="412"/>
      <c r="E11" s="38" t="s">
        <v>1230</v>
      </c>
      <c r="F11" s="53"/>
      <c r="G11" s="53"/>
      <c r="H11" s="53"/>
      <c r="I11" s="53"/>
      <c r="J11" s="53"/>
      <c r="K11" s="53"/>
      <c r="L11" s="53"/>
      <c r="M11" s="53"/>
      <c r="N11" s="53"/>
      <c r="O11" s="53"/>
      <c r="P11" s="53"/>
      <c r="Q11" s="53"/>
      <c r="R11" s="53"/>
      <c r="S11" s="379"/>
    </row>
    <row r="12" spans="1:36" ht="13.5" customHeight="1" thickBot="1">
      <c r="A12" s="3570" t="s">
        <v>2217</v>
      </c>
      <c r="B12" s="3581"/>
      <c r="D12" s="412"/>
      <c r="E12" s="38" t="s">
        <v>1231</v>
      </c>
      <c r="F12" s="26"/>
      <c r="G12" s="26"/>
      <c r="H12" s="26"/>
      <c r="I12" s="26"/>
      <c r="J12" s="26"/>
      <c r="K12" s="26"/>
      <c r="L12" s="26"/>
      <c r="M12" s="26"/>
      <c r="N12" s="26"/>
      <c r="O12" s="26"/>
      <c r="P12" s="26"/>
      <c r="Q12" s="26"/>
      <c r="R12" s="26"/>
      <c r="S12" s="147"/>
    </row>
    <row r="13" spans="1:36" ht="13.5" customHeight="1">
      <c r="A13" s="172" t="s">
        <v>252</v>
      </c>
      <c r="B13" s="194"/>
      <c r="C13" s="321"/>
      <c r="D13" s="412"/>
      <c r="E13" s="26" t="s">
        <v>142</v>
      </c>
      <c r="F13" s="26"/>
      <c r="G13" s="26"/>
      <c r="H13" s="26"/>
      <c r="I13" s="26"/>
      <c r="J13" s="26"/>
      <c r="K13" s="26"/>
      <c r="L13" s="26"/>
      <c r="M13" s="26"/>
      <c r="N13" s="26"/>
      <c r="O13" s="26"/>
      <c r="P13" s="26"/>
      <c r="Q13" s="26"/>
      <c r="R13" s="26"/>
      <c r="S13" s="147"/>
    </row>
    <row r="14" spans="1:36" ht="13.5" customHeight="1">
      <c r="A14" s="2445" t="s">
        <v>799</v>
      </c>
      <c r="B14" s="2451">
        <f>'User Parameters'!L13</f>
        <v>2010</v>
      </c>
      <c r="C14" s="321"/>
      <c r="D14" s="412"/>
      <c r="E14" s="38" t="s">
        <v>894</v>
      </c>
      <c r="F14" s="26"/>
      <c r="G14" s="26"/>
      <c r="H14" s="26"/>
      <c r="I14" s="26"/>
      <c r="J14" s="26"/>
      <c r="K14" s="26"/>
      <c r="L14" s="26"/>
      <c r="M14" s="26"/>
      <c r="N14" s="26"/>
      <c r="O14" s="26"/>
      <c r="P14" s="26"/>
      <c r="Q14" s="26"/>
      <c r="R14" s="26"/>
      <c r="S14" s="147"/>
    </row>
    <row r="15" spans="1:36" ht="13.5" customHeight="1">
      <c r="A15" s="2441" t="s">
        <v>751</v>
      </c>
      <c r="B15" s="2450">
        <f>'User Parameters'!L16</f>
        <v>2010</v>
      </c>
      <c r="C15" s="321"/>
      <c r="D15" s="412"/>
      <c r="E15" s="26" t="s">
        <v>1115</v>
      </c>
      <c r="F15" s="26"/>
      <c r="G15" s="26"/>
      <c r="H15" s="26"/>
      <c r="I15" s="26"/>
      <c r="J15" s="26"/>
      <c r="K15" s="26"/>
      <c r="L15" s="26"/>
      <c r="M15" s="26"/>
      <c r="N15" s="26"/>
      <c r="O15" s="26"/>
      <c r="P15" s="26"/>
      <c r="Q15" s="26"/>
      <c r="R15" s="26"/>
      <c r="S15" s="147"/>
    </row>
    <row r="16" spans="1:36" ht="13.5" customHeight="1">
      <c r="A16" s="2440"/>
      <c r="B16" s="2446"/>
      <c r="C16" s="321"/>
      <c r="D16" s="412"/>
      <c r="E16" s="38" t="s">
        <v>1167</v>
      </c>
      <c r="F16" s="26"/>
      <c r="G16" s="26"/>
      <c r="H16" s="26"/>
      <c r="I16" s="26"/>
      <c r="J16" s="26"/>
      <c r="K16" s="26"/>
      <c r="L16" s="26"/>
      <c r="M16" s="26"/>
      <c r="N16" s="26"/>
      <c r="O16" s="26"/>
      <c r="P16" s="26"/>
      <c r="Q16" s="26"/>
      <c r="R16" s="26"/>
      <c r="S16" s="147"/>
    </row>
    <row r="17" spans="1:35" ht="13.5" customHeight="1" thickBot="1">
      <c r="A17" s="169" t="s">
        <v>253</v>
      </c>
      <c r="B17" s="170"/>
      <c r="C17" s="321"/>
      <c r="D17" s="412"/>
      <c r="E17" s="26" t="s">
        <v>1116</v>
      </c>
      <c r="F17" s="26"/>
      <c r="G17" s="26"/>
      <c r="H17" s="26"/>
      <c r="I17" s="26"/>
      <c r="J17" s="26"/>
      <c r="K17" s="26"/>
      <c r="L17" s="26"/>
      <c r="M17" s="26"/>
      <c r="N17" s="26"/>
      <c r="O17" s="26"/>
      <c r="P17" s="26"/>
      <c r="Q17" s="26"/>
      <c r="R17" s="26"/>
      <c r="S17" s="147"/>
    </row>
    <row r="18" spans="1:35" ht="13.5" customHeight="1" thickBot="1">
      <c r="A18" s="3570" t="s">
        <v>879</v>
      </c>
      <c r="B18" s="3574"/>
      <c r="C18" s="321"/>
      <c r="D18" s="412"/>
      <c r="E18" s="38" t="s">
        <v>511</v>
      </c>
      <c r="F18" s="26"/>
      <c r="G18" s="26"/>
      <c r="H18" s="26"/>
      <c r="I18" s="26"/>
      <c r="J18" s="26"/>
      <c r="K18" s="26"/>
      <c r="L18" s="26"/>
      <c r="M18" s="26"/>
      <c r="N18" s="26"/>
      <c r="O18" s="26"/>
      <c r="P18" s="26"/>
      <c r="Q18" s="26"/>
      <c r="R18" s="26"/>
      <c r="S18" s="147"/>
    </row>
    <row r="19" spans="1:35" ht="13.5" customHeight="1" thickBot="1">
      <c r="A19" s="3570" t="s">
        <v>1431</v>
      </c>
      <c r="B19" s="3574"/>
      <c r="C19" s="321"/>
      <c r="D19" s="412"/>
      <c r="E19" s="26" t="s">
        <v>2363</v>
      </c>
      <c r="F19" s="26"/>
      <c r="G19" s="26"/>
      <c r="H19" s="26"/>
      <c r="I19" s="26"/>
      <c r="J19" s="26"/>
      <c r="K19" s="26"/>
      <c r="L19" s="26"/>
      <c r="M19" s="26"/>
      <c r="N19" s="26"/>
      <c r="O19" s="26"/>
      <c r="P19" s="26"/>
      <c r="Q19" s="26"/>
      <c r="R19" s="26"/>
      <c r="S19" s="147"/>
    </row>
    <row r="20" spans="1:35" ht="13.5" customHeight="1" thickBot="1">
      <c r="A20" s="2422"/>
      <c r="B20" s="2422"/>
      <c r="C20" s="321"/>
      <c r="D20" s="412"/>
      <c r="E20" s="381" t="s">
        <v>2253</v>
      </c>
      <c r="F20" s="163"/>
      <c r="G20" s="163"/>
      <c r="H20" s="163"/>
      <c r="I20" s="163"/>
      <c r="J20" s="163"/>
      <c r="K20" s="163"/>
      <c r="L20" s="163"/>
      <c r="M20" s="163"/>
      <c r="N20" s="163"/>
      <c r="O20" s="163"/>
      <c r="P20" s="163"/>
      <c r="Q20" s="163"/>
      <c r="R20" s="163"/>
      <c r="S20" s="382"/>
    </row>
    <row r="21" spans="1:35" ht="13.5" customHeight="1" thickTop="1">
      <c r="A21" s="3653"/>
      <c r="B21" s="3737"/>
      <c r="C21" s="72"/>
      <c r="D21" s="32"/>
      <c r="E21" s="427"/>
      <c r="I21" s="321"/>
      <c r="J21" s="592"/>
      <c r="K21" s="427"/>
      <c r="O21" s="592"/>
      <c r="AH21" s="31"/>
    </row>
    <row r="22" spans="1:35" ht="13.5" customHeight="1" thickBot="1">
      <c r="A22" s="13"/>
      <c r="B22" s="13"/>
      <c r="C22" s="13"/>
    </row>
    <row r="23" spans="1:35" ht="13.5" customHeight="1" thickTop="1" thickBot="1">
      <c r="A23" s="574" t="s">
        <v>715</v>
      </c>
      <c r="B23" s="362"/>
      <c r="C23" s="378"/>
      <c r="D23" s="574" t="str">
        <f>CONCATENATE("Average Vehicle Fuel / Energy Cost Formulae Parameter Values (p, ",$B$14," prices): Non-Work (Including VAT)")</f>
        <v>Average Vehicle Fuel / Energy Cost Formulae Parameter Values (p, 2010 prices): Non-Work (Including VAT)</v>
      </c>
      <c r="E23" s="362"/>
      <c r="F23" s="362"/>
      <c r="G23" s="362"/>
      <c r="H23" s="362"/>
      <c r="I23" s="362"/>
      <c r="J23" s="362"/>
      <c r="K23" s="362"/>
      <c r="L23" s="362"/>
      <c r="M23" s="362"/>
      <c r="N23" s="362"/>
      <c r="O23" s="362"/>
      <c r="P23" s="362"/>
      <c r="Q23" s="362"/>
      <c r="R23" s="362"/>
      <c r="S23" s="362"/>
      <c r="T23" s="362"/>
      <c r="U23" s="362"/>
      <c r="V23" s="362"/>
      <c r="W23" s="362"/>
      <c r="X23" s="362"/>
      <c r="Y23" s="362"/>
      <c r="Z23" s="362"/>
      <c r="AA23" s="362"/>
      <c r="AB23" s="362"/>
      <c r="AC23" s="362"/>
      <c r="AD23" s="362"/>
      <c r="AE23" s="362"/>
      <c r="AF23" s="362"/>
      <c r="AG23" s="362"/>
      <c r="AH23" s="362"/>
      <c r="AI23" s="378"/>
    </row>
    <row r="24" spans="1:35" ht="13.5" customHeight="1" thickTop="1" thickBot="1">
      <c r="A24" s="173"/>
      <c r="B24" s="173"/>
      <c r="C24" s="293"/>
      <c r="D24" s="631" t="s">
        <v>879</v>
      </c>
      <c r="E24" s="981"/>
      <c r="F24" s="981"/>
      <c r="G24" s="981"/>
      <c r="H24" s="981"/>
      <c r="I24" s="981"/>
      <c r="J24" s="981"/>
      <c r="K24" s="981"/>
      <c r="L24" s="981"/>
      <c r="M24" s="981"/>
      <c r="N24" s="981"/>
      <c r="O24" s="981"/>
      <c r="P24" s="981"/>
      <c r="Q24" s="981"/>
      <c r="R24" s="981"/>
      <c r="S24" s="1582"/>
      <c r="T24" s="232" t="s">
        <v>1431</v>
      </c>
      <c r="U24" s="981"/>
      <c r="V24" s="981"/>
      <c r="W24" s="981"/>
      <c r="X24" s="981"/>
      <c r="Y24" s="981"/>
      <c r="Z24" s="981"/>
      <c r="AA24" s="981"/>
      <c r="AB24" s="981"/>
      <c r="AC24" s="981"/>
      <c r="AD24" s="981"/>
      <c r="AE24" s="981"/>
      <c r="AF24" s="981"/>
      <c r="AG24" s="981"/>
      <c r="AH24" s="981"/>
      <c r="AI24" s="1582"/>
    </row>
    <row r="25" spans="1:35" ht="13.5" customHeight="1" thickTop="1" thickBot="1">
      <c r="A25" s="173"/>
      <c r="B25" s="2298"/>
      <c r="C25" s="293"/>
      <c r="D25" s="443" t="s">
        <v>573</v>
      </c>
      <c r="E25" s="39"/>
      <c r="F25" s="39"/>
      <c r="G25" s="700"/>
      <c r="H25" s="631" t="s">
        <v>574</v>
      </c>
      <c r="I25" s="39"/>
      <c r="J25" s="39"/>
      <c r="K25" s="40"/>
      <c r="L25" s="631" t="s">
        <v>409</v>
      </c>
      <c r="M25" s="39"/>
      <c r="N25" s="39"/>
      <c r="O25" s="40"/>
      <c r="P25" s="631" t="s">
        <v>1429</v>
      </c>
      <c r="Q25" s="39"/>
      <c r="R25" s="39"/>
      <c r="S25" s="40"/>
      <c r="T25" s="631" t="s">
        <v>576</v>
      </c>
      <c r="U25" s="39"/>
      <c r="V25" s="39"/>
      <c r="W25" s="40"/>
      <c r="X25" s="631" t="s">
        <v>577</v>
      </c>
      <c r="Y25" s="39"/>
      <c r="Z25" s="39"/>
      <c r="AA25" s="40"/>
      <c r="AB25" s="39" t="s">
        <v>880</v>
      </c>
      <c r="AC25" s="39"/>
      <c r="AD25" s="39"/>
      <c r="AE25" s="39"/>
      <c r="AF25" s="631" t="s">
        <v>1433</v>
      </c>
      <c r="AG25" s="39"/>
      <c r="AH25" s="39"/>
      <c r="AI25" s="40"/>
    </row>
    <row r="26" spans="1:35" ht="13.5" customHeight="1" thickTop="1" thickBot="1">
      <c r="A26" s="99"/>
      <c r="B26" s="1152" t="s">
        <v>1450</v>
      </c>
      <c r="C26" s="438"/>
      <c r="D26" s="701" t="s">
        <v>569</v>
      </c>
      <c r="E26" s="702" t="s">
        <v>570</v>
      </c>
      <c r="F26" s="702" t="s">
        <v>571</v>
      </c>
      <c r="G26" s="703" t="s">
        <v>572</v>
      </c>
      <c r="H26" s="701" t="s">
        <v>569</v>
      </c>
      <c r="I26" s="702" t="s">
        <v>570</v>
      </c>
      <c r="J26" s="702" t="s">
        <v>571</v>
      </c>
      <c r="K26" s="703" t="s">
        <v>572</v>
      </c>
      <c r="L26" s="701" t="s">
        <v>569</v>
      </c>
      <c r="M26" s="702" t="s">
        <v>570</v>
      </c>
      <c r="N26" s="702" t="s">
        <v>571</v>
      </c>
      <c r="O26" s="703" t="s">
        <v>572</v>
      </c>
      <c r="P26" s="701" t="s">
        <v>569</v>
      </c>
      <c r="Q26" s="702" t="s">
        <v>570</v>
      </c>
      <c r="R26" s="702" t="s">
        <v>571</v>
      </c>
      <c r="S26" s="703" t="s">
        <v>572</v>
      </c>
      <c r="T26" s="701" t="s">
        <v>569</v>
      </c>
      <c r="U26" s="702" t="s">
        <v>570</v>
      </c>
      <c r="V26" s="702" t="s">
        <v>571</v>
      </c>
      <c r="W26" s="703" t="s">
        <v>572</v>
      </c>
      <c r="X26" s="701" t="s">
        <v>569</v>
      </c>
      <c r="Y26" s="702" t="s">
        <v>570</v>
      </c>
      <c r="Z26" s="702" t="s">
        <v>571</v>
      </c>
      <c r="AA26" s="703" t="s">
        <v>572</v>
      </c>
      <c r="AB26" s="701" t="s">
        <v>569</v>
      </c>
      <c r="AC26" s="702" t="s">
        <v>570</v>
      </c>
      <c r="AD26" s="702" t="s">
        <v>571</v>
      </c>
      <c r="AE26" s="703" t="s">
        <v>572</v>
      </c>
      <c r="AF26" s="701" t="s">
        <v>569</v>
      </c>
      <c r="AG26" s="702" t="s">
        <v>570</v>
      </c>
      <c r="AH26" s="702" t="s">
        <v>571</v>
      </c>
      <c r="AI26" s="703" t="s">
        <v>572</v>
      </c>
    </row>
    <row r="27" spans="1:35" ht="13.5" customHeight="1" thickTop="1">
      <c r="A27" s="113"/>
      <c r="B27" s="2296">
        <f>B15</f>
        <v>2010</v>
      </c>
      <c r="C27" s="147"/>
      <c r="D27" s="1584">
        <f>IF('A1.3.12'!D27="","",'A1.3.12'!D27*(1+VLOOKUP($B27,'A1.3.7'!$B$28:$O$118,12,)/100))</f>
        <v>55.795799603310428</v>
      </c>
      <c r="E27" s="1583">
        <f>IF('A1.3.12'!E27="","",'A1.3.12'!E27*(1+VLOOKUP($B27,'A1.3.7'!$B$28:$O$118,12,)/100))</f>
        <v>11.857512474247285</v>
      </c>
      <c r="F27" s="1583">
        <f>IF('A1.3.12'!F27="","",'A1.3.12'!F27*(1+VLOOKUP($B27,'A1.3.7'!$B$28:$O$118,12,)/100))</f>
        <v>-0.1350711287360721</v>
      </c>
      <c r="G27" s="2643">
        <f>IF('A1.3.12'!G27="","",'A1.3.12'!G27*(1+VLOOKUP($B27,'A1.3.7'!$B$28:$O$118,12,)/100))</f>
        <v>8.9456521761281508E-4</v>
      </c>
      <c r="H27" s="1584">
        <f>IF('A1.3.12'!H27="","",'A1.3.12'!H27*(1+VLOOKUP($B27,'A1.3.7'!$B$28:$O$118,13,)/100))</f>
        <v>60.936041740837737</v>
      </c>
      <c r="I27" s="1583">
        <f>IF('A1.3.12'!I27="","",'A1.3.12'!I27*(1+VLOOKUP($B27,'A1.3.7'!$B$28:$O$118,13,)/100))</f>
        <v>8.7367214390371633</v>
      </c>
      <c r="J27" s="1583">
        <f>IF('A1.3.12'!J27="","",'A1.3.12'!J27*(1+VLOOKUP($B27,'A1.3.7'!$B$28:$O$118,13,)/100))</f>
        <v>-8.4049694125281391E-2</v>
      </c>
      <c r="K27" s="2643">
        <f>IF('A1.3.12'!K27="","",'A1.3.12'!K27*(1+VLOOKUP($B27,'A1.3.7'!$B$28:$O$118,13,)/100))</f>
        <v>6.6231580654329517E-4</v>
      </c>
      <c r="L27" s="1584" t="str">
        <f>IF('A1.3.12'!L27="","",'A1.3.12'!L27*(1+VLOOKUP($B27,'A1.3.7'!$B$28:$O$118,14,)/100))</f>
        <v/>
      </c>
      <c r="M27" s="1583">
        <f>IF('A1.3.12'!M27="","",'A1.3.12'!M27*(1+VLOOKUP($B27,'A1.3.7'!$B$28:$O$118,14,)/100))</f>
        <v>1.8677049969171808</v>
      </c>
      <c r="N27" s="1583" t="str">
        <f>IF('A1.3.12'!N27="","",'A1.3.12'!N27*(1+VLOOKUP($B27,'A1.3.7'!$B$28:$O$118,14,)/100))</f>
        <v/>
      </c>
      <c r="O27" s="1663" t="str">
        <f>IF('A1.3.12'!O27="","",'A1.3.12'!O27*(1+VLOOKUP($B27,'A1.3.7'!$B$28:$O$118,14,)/100))</f>
        <v/>
      </c>
      <c r="P27" s="1584">
        <f>IF(AND(D27="",H27="",L27=""),"",IF(D27="",0,D27 * VLOOKUP($B27,'A1.3.9'!$B$26:$O$57,3,TRUE)) + IF(H27="",0,H27 * VLOOKUP($B27,'A1.3.9'!$B$26:$O$57,4,TRUE)) + IF(L27="",0,L27 * VLOOKUP($B27,'A1.3.9'!$B$26:$O$57,5,TRUE)))</f>
        <v>57.852057307788797</v>
      </c>
      <c r="Q27" s="1583">
        <f>IF(AND(E27="",I27="",M27=""),"",IF(E27="",0,E27 * VLOOKUP($B27,'A1.3.9'!$B$26:$O$57,3,TRUE)) + IF(I27="",0,I27 * VLOOKUP($B27,'A1.3.9'!$B$26:$O$57,4,TRUE)) + IF(M27="",0,M27 * VLOOKUP($B27,'A1.3.9'!$B$26:$O$57,5,TRUE)))</f>
        <v>10.609098403756679</v>
      </c>
      <c r="R27" s="1583">
        <f>IF(AND(F27="",J27="",N27=""),"",IF(F27="",0,F27 * VLOOKUP($B27,'A1.3.9'!$B$26:$O$57,3,TRUE)) + IF(J27="",0,J27 * VLOOKUP($B27,'A1.3.9'!$B$26:$O$57,4,TRUE)) + IF(N27="",0,N27 * VLOOKUP($B27,'A1.3.9'!$B$26:$O$57,5,TRUE)))</f>
        <v>-0.1146609583189942</v>
      </c>
      <c r="S27" s="2643">
        <f>IF(AND(G27="",K27="",O27=""),"",IF(G27="",0,G27 * VLOOKUP($B27,'A1.3.9'!$B$26:$O$57,3,TRUE)) + IF(K27="",0,K27 * VLOOKUP($B27,'A1.3.9'!$B$26:$O$57,4,TRUE)) + IF(O27="",0,O27 * VLOOKUP($B27,'A1.3.9'!$B$26:$O$57,5,TRUE)))</f>
        <v>8.0165818559078039E-4</v>
      </c>
      <c r="T27" s="1584">
        <f>IF('A1.3.12'!T27="","",'A1.3.12'!T27*(1+VLOOKUP($B27,'A1.3.7'!$B$28:$O$118,12,)/100))</f>
        <v>39.960477661428357</v>
      </c>
      <c r="U27" s="1583">
        <f>IF('A1.3.12'!U27="","",'A1.3.12'!U27*(1+VLOOKUP($B27,'A1.3.7'!$B$28:$O$118,12,)/100))</f>
        <v>22.407522703793141</v>
      </c>
      <c r="V27" s="1583">
        <f>IF('A1.3.12'!V27="","",'A1.3.12'!V27*(1+VLOOKUP($B27,'A1.3.7'!$B$28:$O$118,12,)/100))</f>
        <v>-0.35172455611883519</v>
      </c>
      <c r="W27" s="2643">
        <f>IF('A1.3.12'!W27="","",'A1.3.12'!W27*(1+VLOOKUP($B27,'A1.3.7'!$B$28:$O$118,12,)/100))</f>
        <v>2.2714503281855251E-3</v>
      </c>
      <c r="X27" s="1584">
        <f>IF('A1.3.12'!X27="","",'A1.3.12'!X27*(1+VLOOKUP($B27,'A1.3.7'!$B$28:$O$118,13,)/100))</f>
        <v>55.956950152906174</v>
      </c>
      <c r="Y27" s="1583">
        <f>IF('A1.3.12'!Y27="","",'A1.3.12'!Y27*(1+VLOOKUP($B27,'A1.3.7'!$B$28:$O$118,13,)/100))</f>
        <v>13.676106660504576</v>
      </c>
      <c r="Z27" s="1583">
        <f>IF('A1.3.12'!Z27="","",'A1.3.12'!Z27*(1+VLOOKUP($B27,'A1.3.7'!$B$28:$O$118,13,)/100))</f>
        <v>-0.1973026941219537</v>
      </c>
      <c r="AA27" s="2643">
        <f>IF('A1.3.12'!AA27="","",'A1.3.12'!AA27*(1+VLOOKUP($B27,'A1.3.7'!$B$28:$O$118,13,)/100))</f>
        <v>1.6703714878182608E-3</v>
      </c>
      <c r="AB27" s="1584" t="str">
        <f>IF('A1.3.12'!AB27="","",'A1.3.12'!AB27*(1+VLOOKUP($B27,'A1.3.7'!$B$28:$O$118,14,)/100))</f>
        <v/>
      </c>
      <c r="AC27" s="1583">
        <f>IF('A1.3.12'!AC27="","",'A1.3.12'!AC27*(1+VLOOKUP($B27,'A1.3.7'!$B$28:$O$118,14,)/100))</f>
        <v>4.1926477515281322</v>
      </c>
      <c r="AD27" s="1583" t="str">
        <f>IF('A1.3.12'!AD27="","",'A1.3.12'!AD27*(1+VLOOKUP($B27,'A1.3.7'!$B$28:$O$118,14,)/100))</f>
        <v/>
      </c>
      <c r="AE27" s="1663" t="str">
        <f>IF('A1.3.12'!AE27="","",'A1.3.12'!AE27*(1+VLOOKUP($B27,'A1.3.7'!$B$28:$O$118,14,)/100))</f>
        <v/>
      </c>
      <c r="AF27" s="1584">
        <f>IF(AND(T27="",X27="",AB27=""),"",IF(T27="",0,T27 * VLOOKUP($B27,'A1.3.9'!$B$26:$O$57,6,TRUE)) + IF(X27="",0,X27 * VLOOKUP($B27,'A1.3.9'!$B$26:$O$57,7,TRUE)) + IF(AB27="",0,AB27 * VLOOKUP($B27,'A1.3.9'!$B$26:$O$57,8,TRUE)))</f>
        <v>55.368499521303455</v>
      </c>
      <c r="AG27" s="1583">
        <f>IF(AND(U27="",Y27="",AC27=""),"",IF(U27="",0,U27 * VLOOKUP($B27,'A1.3.9'!$B$26:$O$57,6,TRUE)) + IF(Y27="",0,Y27 * VLOOKUP($B27,'A1.3.9'!$B$26:$O$57,7,TRUE)) + IF(AC27="",0,AC27 * VLOOKUP($B27,'A1.3.9'!$B$26:$O$57,8,TRUE)))</f>
        <v>13.997302929756845</v>
      </c>
      <c r="AH27" s="1583">
        <f>IF(AND(V27="",Z27="",AD27=""),"",IF(V27="",0,V27 * VLOOKUP($B27,'A1.3.9'!$B$26:$O$57,6,TRUE)) + IF(Z27="",0,Z27 * VLOOKUP($B27,'A1.3.9'!$B$26:$O$57,7,TRUE)) + IF(AD27="",0,AD27 * VLOOKUP($B27,'A1.3.9'!$B$26:$O$57,8,TRUE)))</f>
        <v>-0.20298329915995461</v>
      </c>
      <c r="AI27" s="2643">
        <f>IF(AND(W27="",AA27="",AE27=""),"",IF(W27="",0,W27 * VLOOKUP($B27,'A1.3.9'!$B$26:$O$57,6,TRUE)) + IF(AA27="",0,AA27 * VLOOKUP($B27,'A1.3.9'!$B$26:$O$57,7,TRUE)) + IF(AE27="",0,AE27 * VLOOKUP($B27,'A1.3.9'!$B$26:$O$57,8,TRUE)))</f>
        <v>1.6924829391676492E-3</v>
      </c>
    </row>
    <row r="28" spans="1:35" ht="13.5" customHeight="1">
      <c r="A28" s="113"/>
      <c r="B28" s="2296">
        <f>B27+1</f>
        <v>2011</v>
      </c>
      <c r="C28" s="147"/>
      <c r="D28" s="693">
        <f>IF('A1.3.12'!D28="","",'A1.3.12'!D28*(1+VLOOKUP($B28,'A1.3.7'!$B$28:$O$118,12,)/100))</f>
        <v>62.086605269036099</v>
      </c>
      <c r="E28" s="691">
        <f>IF('A1.3.12'!E28="","",'A1.3.12'!E28*(1+VLOOKUP($B28,'A1.3.7'!$B$28:$O$118,12,)/100))</f>
        <v>13.194410720795259</v>
      </c>
      <c r="F28" s="691">
        <f>IF('A1.3.12'!F28="","",'A1.3.12'!F28*(1+VLOOKUP($B28,'A1.3.7'!$B$28:$O$118,12,)/100))</f>
        <v>-0.15029998517275681</v>
      </c>
      <c r="G28" s="2644">
        <f>IF('A1.3.12'!G28="","",'A1.3.12'!G28*(1+VLOOKUP($B28,'A1.3.7'!$B$28:$O$118,12,)/100))</f>
        <v>9.9542470845853681E-4</v>
      </c>
      <c r="H28" s="693">
        <f>IF('A1.3.12'!H28="","",'A1.3.12'!H28*(1+VLOOKUP($B28,'A1.3.7'!$B$28:$O$118,13,)/100))</f>
        <v>68.933351445804036</v>
      </c>
      <c r="I28" s="691">
        <f>IF('A1.3.12'!I28="","",'A1.3.12'!I28*(1+VLOOKUP($B28,'A1.3.7'!$B$28:$O$118,13,)/100))</f>
        <v>9.8833378774851823</v>
      </c>
      <c r="J28" s="691">
        <f>IF('A1.3.12'!J28="","",'A1.3.12'!J28*(1+VLOOKUP($B28,'A1.3.7'!$B$28:$O$118,13,)/100))</f>
        <v>-9.5080463688331146E-2</v>
      </c>
      <c r="K28" s="2644">
        <f>IF('A1.3.12'!K28="","",'A1.3.12'!K28*(1+VLOOKUP($B28,'A1.3.7'!$B$28:$O$118,13,)/100))</f>
        <v>7.4923882412209419E-4</v>
      </c>
      <c r="L28" s="693" t="str">
        <f>IF('A1.3.12'!L28="","",'A1.3.12'!L28*(1+VLOOKUP($B28,'A1.3.7'!$B$28:$O$118,14,)/100))</f>
        <v/>
      </c>
      <c r="M28" s="691">
        <f>IF('A1.3.12'!M28="","",'A1.3.12'!M28*(1+VLOOKUP($B28,'A1.3.7'!$B$28:$O$118,14,)/100))</f>
        <v>1.9840981542050706</v>
      </c>
      <c r="N28" s="691" t="str">
        <f>IF('A1.3.12'!N28="","",'A1.3.12'!N28*(1+VLOOKUP($B28,'A1.3.7'!$B$28:$O$118,14,)/100))</f>
        <v/>
      </c>
      <c r="O28" s="1664" t="str">
        <f>IF('A1.3.12'!O28="","",'A1.3.12'!O28*(1+VLOOKUP($B28,'A1.3.7'!$B$28:$O$118,14,)/100))</f>
        <v/>
      </c>
      <c r="P28" s="693">
        <f>IF(AND(D28="",H28="",L28=""),"",IF(D28="",0,D28 * VLOOKUP($B28,'A1.3.9'!$B$26:$O$57,3,TRUE)) + IF(H28="",0,H28 * VLOOKUP($B28,'A1.3.9'!$B$26:$O$57,4,TRUE)) + IF(L28="",0,L28 * VLOOKUP($B28,'A1.3.9'!$B$26:$O$57,5,TRUE)))</f>
        <v>64.976315739785846</v>
      </c>
      <c r="Q28" s="691">
        <f>IF(AND(E28="",I28="",M28=""),"",IF(E28="",0,E28 * VLOOKUP($B28,'A1.3.9'!$B$26:$O$57,3,TRUE)) + IF(I28="",0,I28 * VLOOKUP($B28,'A1.3.9'!$B$26:$O$57,4,TRUE)) + IF(M28="",0,M28 * VLOOKUP($B28,'A1.3.9'!$B$26:$O$57,5,TRUE)))</f>
        <v>11.794918073512498</v>
      </c>
      <c r="R28" s="691">
        <f>IF(AND(F28="",J28="",N28=""),"",IF(F28="",0,F28 * VLOOKUP($B28,'A1.3.9'!$B$26:$O$57,3,TRUE)) + IF(J28="",0,J28 * VLOOKUP($B28,'A1.3.9'!$B$26:$O$57,4,TRUE)) + IF(N28="",0,N28 * VLOOKUP($B28,'A1.3.9'!$B$26:$O$57,5,TRUE)))</f>
        <v>-0.12696213373035198</v>
      </c>
      <c r="S28" s="2644">
        <f>IF(AND(G28="",K28="",O28=""),"",IF(G28="",0,G28 * VLOOKUP($B28,'A1.3.9'!$B$26:$O$57,3,TRUE)) + IF(K28="",0,K28 * VLOOKUP($B28,'A1.3.9'!$B$26:$O$57,4,TRUE)) + IF(O28="",0,O28 * VLOOKUP($B28,'A1.3.9'!$B$26:$O$57,5,TRUE)))</f>
        <v>8.9136122185372356E-4</v>
      </c>
      <c r="T28" s="693">
        <f>IF('A1.3.12'!T28="","",'A1.3.12'!T28*(1+VLOOKUP($B28,'A1.3.7'!$B$28:$O$118,12,)/100))</f>
        <v>44.833603465635278</v>
      </c>
      <c r="U28" s="691">
        <f>IF('A1.3.12'!U28="","",'A1.3.12'!U28*(1+VLOOKUP($B28,'A1.3.7'!$B$28:$O$118,12,)/100))</f>
        <v>25.140089567016762</v>
      </c>
      <c r="V28" s="691">
        <f>IF('A1.3.12'!V28="","",'A1.3.12'!V28*(1+VLOOKUP($B28,'A1.3.7'!$B$28:$O$118,12,)/100))</f>
        <v>-0.39461688650882815</v>
      </c>
      <c r="W28" s="2644">
        <f>IF('A1.3.12'!W28="","",'A1.3.12'!W28*(1+VLOOKUP($B28,'A1.3.7'!$B$28:$O$118,12,)/100))</f>
        <v>2.5484506008309031E-3</v>
      </c>
      <c r="X28" s="693">
        <f>IF('A1.3.12'!X28="","",'A1.3.12'!X28*(1+VLOOKUP($B28,'A1.3.7'!$B$28:$O$118,13,)/100))</f>
        <v>63.760280001995064</v>
      </c>
      <c r="Y28" s="691">
        <f>IF('A1.3.12'!Y28="","",'A1.3.12'!Y28*(1+VLOOKUP($B28,'A1.3.7'!$B$28:$O$118,13,)/100))</f>
        <v>15.583272276779612</v>
      </c>
      <c r="Z28" s="691">
        <f>IF('A1.3.12'!Z28="","",'A1.3.12'!Z28*(1+VLOOKUP($B28,'A1.3.7'!$B$28:$O$118,13,)/100))</f>
        <v>-0.22481702430150033</v>
      </c>
      <c r="AA28" s="2644">
        <f>IF('A1.3.12'!AA28="","",'A1.3.12'!AA28*(1+VLOOKUP($B28,'A1.3.7'!$B$28:$O$118,13,)/100))</f>
        <v>1.9033087664644646E-3</v>
      </c>
      <c r="AB28" s="693" t="str">
        <f>IF('A1.3.12'!AB28="","",'A1.3.12'!AB28*(1+VLOOKUP($B28,'A1.3.7'!$B$28:$O$118,14,)/100))</f>
        <v/>
      </c>
      <c r="AC28" s="691">
        <f>IF('A1.3.12'!AC28="","",'A1.3.12'!AC28*(1+VLOOKUP($B28,'A1.3.7'!$B$28:$O$118,14,)/100))</f>
        <v>4.4539285801396158</v>
      </c>
      <c r="AD28" s="691" t="str">
        <f>IF('A1.3.12'!AD28="","",'A1.3.12'!AD28*(1+VLOOKUP($B28,'A1.3.7'!$B$28:$O$118,14,)/100))</f>
        <v/>
      </c>
      <c r="AE28" s="1664" t="str">
        <f>IF('A1.3.12'!AE28="","",'A1.3.12'!AE28*(1+VLOOKUP($B28,'A1.3.7'!$B$28:$O$118,14,)/100))</f>
        <v/>
      </c>
      <c r="AF28" s="693">
        <f>IF(AND(T28="",X28="",AB28=""),"",IF(T28="",0,T28 * VLOOKUP($B28,'A1.3.9'!$B$26:$O$57,6,TRUE)) + IF(X28="",0,X28 * VLOOKUP($B28,'A1.3.9'!$B$26:$O$57,7,TRUE)) + IF(AB28="",0,AB28 * VLOOKUP($B28,'A1.3.9'!$B$26:$O$57,8,TRUE)))</f>
        <v>63.141300559842236</v>
      </c>
      <c r="AG28" s="691">
        <f>IF(AND(U28="",Y28="",AC28=""),"",IF(U28="",0,U28 * VLOOKUP($B28,'A1.3.9'!$B$26:$O$57,6,TRUE)) + IF(Y28="",0,Y28 * VLOOKUP($B28,'A1.3.9'!$B$26:$O$57,7,TRUE)) + IF(AC28="",0,AC28 * VLOOKUP($B28,'A1.3.9'!$B$26:$O$57,8,TRUE)))</f>
        <v>15.89581914277076</v>
      </c>
      <c r="AH28" s="691">
        <f>IF(AND(V28="",Z28="",AD28=""),"",IF(V28="",0,V28 * VLOOKUP($B28,'A1.3.9'!$B$26:$O$57,6,TRUE)) + IF(Z28="",0,Z28 * VLOOKUP($B28,'A1.3.9'!$B$26:$O$57,7,TRUE)) + IF(AD28="",0,AD28 * VLOOKUP($B28,'A1.3.9'!$B$26:$O$57,8,TRUE)))</f>
        <v>-0.23037017166917509</v>
      </c>
      <c r="AI28" s="2644">
        <f>IF(AND(W28="",AA28="",AE28=""),"",IF(W28="",0,W28 * VLOOKUP($B28,'A1.3.9'!$B$26:$O$57,6,TRUE)) + IF(AA28="",0,AA28 * VLOOKUP($B28,'A1.3.9'!$B$26:$O$57,7,TRUE)) + IF(AE28="",0,AE28 * VLOOKUP($B28,'A1.3.9'!$B$26:$O$57,8,TRUE)))</f>
        <v>1.9244075331696724E-3</v>
      </c>
    </row>
    <row r="29" spans="1:35" ht="13.5" customHeight="1">
      <c r="A29" s="113"/>
      <c r="B29" s="614">
        <f t="shared" ref="B29:B92" si="0">B28+1</f>
        <v>2012</v>
      </c>
      <c r="C29" s="147"/>
      <c r="D29" s="693">
        <f>IF('A1.3.12'!D29="","",'A1.3.12'!D29*(1+VLOOKUP($B29,'A1.3.7'!$B$28:$O$118,12,)/100))</f>
        <v>61.627459361663654</v>
      </c>
      <c r="E29" s="691">
        <f>IF('A1.3.12'!E29="","",'A1.3.12'!E29*(1+VLOOKUP($B29,'A1.3.7'!$B$28:$O$118,12,)/100))</f>
        <v>13.096834767714995</v>
      </c>
      <c r="F29" s="691">
        <f>IF('A1.3.12'!F29="","",'A1.3.12'!F29*(1+VLOOKUP($B29,'A1.3.7'!$B$28:$O$118,12,)/100))</f>
        <v>-0.14918847935324589</v>
      </c>
      <c r="G29" s="2644">
        <f>IF('A1.3.12'!G29="","",'A1.3.12'!G29*(1+VLOOKUP($B29,'A1.3.7'!$B$28:$O$118,12,)/100))</f>
        <v>9.8806329484918171E-4</v>
      </c>
      <c r="H29" s="693">
        <f>IF('A1.3.12'!H29="","",'A1.3.12'!H29*(1+VLOOKUP($B29,'A1.3.7'!$B$28:$O$118,13,)/100))</f>
        <v>68.675188261901468</v>
      </c>
      <c r="I29" s="691">
        <f>IF('A1.3.12'!I29="","",'A1.3.12'!I29*(1+VLOOKUP($B29,'A1.3.7'!$B$28:$O$118,13,)/100))</f>
        <v>9.846323661281831</v>
      </c>
      <c r="J29" s="691">
        <f>IF('A1.3.12'!J29="","",'A1.3.12'!J29*(1+VLOOKUP($B29,'A1.3.7'!$B$28:$O$118,13,)/100))</f>
        <v>-9.4724376617009651E-2</v>
      </c>
      <c r="K29" s="2644">
        <f>IF('A1.3.12'!K29="","",'A1.3.12'!K29*(1+VLOOKUP($B29,'A1.3.7'!$B$28:$O$118,13,)/100))</f>
        <v>7.4643284013492582E-4</v>
      </c>
      <c r="L29" s="693" t="str">
        <f>IF('A1.3.12'!L29="","",'A1.3.12'!L29*(1+VLOOKUP($B29,'A1.3.7'!$B$28:$O$118,14,)/100))</f>
        <v/>
      </c>
      <c r="M29" s="691">
        <f>IF('A1.3.12'!M29="","",'A1.3.12'!M29*(1+VLOOKUP($B29,'A1.3.7'!$B$28:$O$118,14,)/100))</f>
        <v>2.0655486680169237</v>
      </c>
      <c r="N29" s="691" t="str">
        <f>IF('A1.3.12'!N29="","",'A1.3.12'!N29*(1+VLOOKUP($B29,'A1.3.7'!$B$28:$O$118,14,)/100))</f>
        <v/>
      </c>
      <c r="O29" s="1664" t="str">
        <f>IF('A1.3.12'!O29="","",'A1.3.12'!O29*(1+VLOOKUP($B29,'A1.3.7'!$B$28:$O$118,14,)/100))</f>
        <v/>
      </c>
      <c r="P29" s="693">
        <f>IF(AND(D29="",H29="",L29=""),"",IF(D29="",0,D29 * VLOOKUP($B29,'A1.3.9'!$B$26:$O$57,3,TRUE)) + IF(H29="",0,H29 * VLOOKUP($B29,'A1.3.9'!$B$26:$O$57,4,TRUE)) + IF(L29="",0,L29 * VLOOKUP($B29,'A1.3.9'!$B$26:$O$57,5,TRUE)))</f>
        <v>64.749385498715512</v>
      </c>
      <c r="Q29" s="691">
        <f>IF(AND(E29="",I29="",M29=""),"",IF(E29="",0,E29 * VLOOKUP($B29,'A1.3.9'!$B$26:$O$57,3,TRUE)) + IF(I29="",0,I29 * VLOOKUP($B29,'A1.3.9'!$B$26:$O$57,4,TRUE)) + IF(M29="",0,M29 * VLOOKUP($B29,'A1.3.9'!$B$26:$O$57,5,TRUE)))</f>
        <v>11.651573968266547</v>
      </c>
      <c r="R29" s="691">
        <f>IF(AND(F29="",J29="",N29=""),"",IF(F29="",0,F29 * VLOOKUP($B29,'A1.3.9'!$B$26:$O$57,3,TRUE)) + IF(J29="",0,J29 * VLOOKUP($B29,'A1.3.9'!$B$26:$O$57,4,TRUE)) + IF(N29="",0,N29 * VLOOKUP($B29,'A1.3.9'!$B$26:$O$57,5,TRUE)))</f>
        <v>-0.12497720426215929</v>
      </c>
      <c r="S29" s="2644">
        <f>IF(AND(G29="",K29="",O29=""),"",IF(G29="",0,G29 * VLOOKUP($B29,'A1.3.9'!$B$26:$O$57,3,TRUE)) + IF(K29="",0,K29 * VLOOKUP($B29,'A1.3.9'!$B$26:$O$57,4,TRUE)) + IF(O29="",0,O29 * VLOOKUP($B29,'A1.3.9'!$B$26:$O$57,5,TRUE)))</f>
        <v>8.8060524879088938E-4</v>
      </c>
      <c r="T29" s="693">
        <f>IF('A1.3.12'!T29="","",'A1.3.12'!T29*(1+VLOOKUP($B29,'A1.3.7'!$B$28:$O$118,12,)/100))</f>
        <v>44.940609995941792</v>
      </c>
      <c r="U29" s="691">
        <f>IF('A1.3.12'!U29="","",'A1.3.12'!U29*(1+VLOOKUP($B29,'A1.3.7'!$B$28:$O$118,12,)/100))</f>
        <v>25.20009263498839</v>
      </c>
      <c r="V29" s="691">
        <f>IF('A1.3.12'!V29="","",'A1.3.12'!V29*(1+VLOOKUP($B29,'A1.3.7'!$B$28:$O$118,12,)/100))</f>
        <v>-0.3955587377222386</v>
      </c>
      <c r="W29" s="2644">
        <f>IF('A1.3.12'!W29="","",'A1.3.12'!W29*(1+VLOOKUP($B29,'A1.3.7'!$B$28:$O$118,12,)/100))</f>
        <v>2.5545331111662926E-3</v>
      </c>
      <c r="X29" s="693">
        <f>IF('A1.3.12'!X29="","",'A1.3.12'!X29*(1+VLOOKUP($B29,'A1.3.7'!$B$28:$O$118,13,)/100))</f>
        <v>63.985037250788672</v>
      </c>
      <c r="Y29" s="691">
        <f>IF('A1.3.12'!Y29="","",'A1.3.12'!Y29*(1+VLOOKUP($B29,'A1.3.7'!$B$28:$O$118,13,)/100))</f>
        <v>15.638203864345114</v>
      </c>
      <c r="Z29" s="691">
        <f>IF('A1.3.12'!Z29="","",'A1.3.12'!Z29*(1+VLOOKUP($B29,'A1.3.7'!$B$28:$O$118,13,)/100))</f>
        <v>-0.22560951228716147</v>
      </c>
      <c r="AA29" s="2644">
        <f>IF('A1.3.12'!AA29="","",'A1.3.12'!AA29*(1+VLOOKUP($B29,'A1.3.7'!$B$28:$O$118,13,)/100))</f>
        <v>1.9100179973828661E-3</v>
      </c>
      <c r="AB29" s="693" t="str">
        <f>IF('A1.3.12'!AB29="","",'A1.3.12'!AB29*(1+VLOOKUP($B29,'A1.3.7'!$B$28:$O$118,14,)/100))</f>
        <v/>
      </c>
      <c r="AC29" s="691">
        <f>IF('A1.3.12'!AC29="","",'A1.3.12'!AC29*(1+VLOOKUP($B29,'A1.3.7'!$B$28:$O$118,14,)/100))</f>
        <v>4.6290696537066225</v>
      </c>
      <c r="AD29" s="691" t="str">
        <f>IF('A1.3.12'!AD29="","",'A1.3.12'!AD29*(1+VLOOKUP($B29,'A1.3.7'!$B$28:$O$118,14,)/100))</f>
        <v/>
      </c>
      <c r="AE29" s="1664" t="str">
        <f>IF('A1.3.12'!AE29="","",'A1.3.12'!AE29*(1+VLOOKUP($B29,'A1.3.7'!$B$28:$O$118,14,)/100))</f>
        <v/>
      </c>
      <c r="AF29" s="693">
        <f>IF(AND(T29="",X29="",AB29=""),"",IF(T29="",0,T29 * VLOOKUP($B29,'A1.3.9'!$B$26:$O$57,6,TRUE)) + IF(X29="",0,X29 * VLOOKUP($B29,'A1.3.9'!$B$26:$O$57,7,TRUE)) + IF(AB29="",0,AB29 * VLOOKUP($B29,'A1.3.9'!$B$26:$O$57,8,TRUE)))</f>
        <v>63.4208121212124</v>
      </c>
      <c r="AG29" s="691">
        <f>IF(AND(U29="",Y29="",AC29=""),"",IF(U29="",0,U29 * VLOOKUP($B29,'A1.3.9'!$B$26:$O$57,6,TRUE)) + IF(Y29="",0,Y29 * VLOOKUP($B29,'A1.3.9'!$B$26:$O$57,7,TRUE)) + IF(AC29="",0,AC29 * VLOOKUP($B29,'A1.3.9'!$B$26:$O$57,8,TRUE)))</f>
        <v>15.922600383455373</v>
      </c>
      <c r="AH29" s="691">
        <f>IF(AND(V29="",Z29="",AD29=""),"",IF(V29="",0,V29 * VLOOKUP($B29,'A1.3.9'!$B$26:$O$57,6,TRUE)) + IF(Z29="",0,Z29 * VLOOKUP($B29,'A1.3.9'!$B$26:$O$57,7,TRUE)) + IF(AD29="",0,AD29 * VLOOKUP($B29,'A1.3.9'!$B$26:$O$57,8,TRUE)))</f>
        <v>-0.2306445612523694</v>
      </c>
      <c r="AI29" s="2644">
        <f>IF(AND(W29="",AA29="",AE29=""),"",IF(W29="",0,W29 * VLOOKUP($B29,'A1.3.9'!$B$26:$O$57,6,TRUE)) + IF(AA29="",0,AA29 * VLOOKUP($B29,'A1.3.9'!$B$26:$O$57,7,TRUE)) + IF(AE29="",0,AE29 * VLOOKUP($B29,'A1.3.9'!$B$26:$O$57,8,TRUE)))</f>
        <v>1.9291129073385211E-3</v>
      </c>
    </row>
    <row r="30" spans="1:35" ht="13.5" customHeight="1">
      <c r="A30" s="113"/>
      <c r="B30" s="614">
        <f t="shared" si="0"/>
        <v>2013</v>
      </c>
      <c r="C30" s="147"/>
      <c r="D30" s="693">
        <f>IF('A1.3.12'!D30="","",'A1.3.12'!D30*(1+VLOOKUP($B30,'A1.3.7'!$B$28:$O$118,12,)/100))</f>
        <v>59.389297117838808</v>
      </c>
      <c r="E30" s="691">
        <f>IF('A1.3.12'!E30="","",'A1.3.12'!E30*(1+VLOOKUP($B30,'A1.3.7'!$B$28:$O$118,12,)/100))</f>
        <v>12.621188985877902</v>
      </c>
      <c r="F30" s="691">
        <f>IF('A1.3.12'!F30="","",'A1.3.12'!F30*(1+VLOOKUP($B30,'A1.3.7'!$B$28:$O$118,12,)/100))</f>
        <v>-0.14377030983659389</v>
      </c>
      <c r="G30" s="2644">
        <f>IF('A1.3.12'!G30="","",'A1.3.12'!G30*(1+VLOOKUP($B30,'A1.3.7'!$B$28:$O$118,12,)/100))</f>
        <v>9.5217919409366252E-4</v>
      </c>
      <c r="H30" s="693">
        <f>IF('A1.3.12'!H30="","",'A1.3.12'!H30*(1+VLOOKUP($B30,'A1.3.7'!$B$28:$O$118,13,)/100))</f>
        <v>65.946906108683805</v>
      </c>
      <c r="I30" s="691">
        <f>IF('A1.3.12'!I30="","",'A1.3.12'!I30*(1+VLOOKUP($B30,'A1.3.7'!$B$28:$O$118,13,)/100))</f>
        <v>9.455155470851361</v>
      </c>
      <c r="J30" s="691">
        <f>IF('A1.3.12'!J30="","",'A1.3.12'!J30*(1+VLOOKUP($B30,'A1.3.7'!$B$28:$O$118,13,)/100))</f>
        <v>-9.0961229653170508E-2</v>
      </c>
      <c r="K30" s="2644">
        <f>IF('A1.3.12'!K30="","",'A1.3.12'!K30*(1+VLOOKUP($B30,'A1.3.7'!$B$28:$O$118,13,)/100))</f>
        <v>7.16779053259973E-4</v>
      </c>
      <c r="L30" s="693" t="str">
        <f>IF('A1.3.12'!L30="","",'A1.3.12'!L30*(1+VLOOKUP($B30,'A1.3.7'!$B$28:$O$118,14,)/100))</f>
        <v/>
      </c>
      <c r="M30" s="691">
        <f>IF('A1.3.12'!M30="","",'A1.3.12'!M30*(1+VLOOKUP($B30,'A1.3.7'!$B$28:$O$118,14,)/100))</f>
        <v>2.1548333438739098</v>
      </c>
      <c r="N30" s="691" t="str">
        <f>IF('A1.3.12'!N30="","",'A1.3.12'!N30*(1+VLOOKUP($B30,'A1.3.7'!$B$28:$O$118,14,)/100))</f>
        <v/>
      </c>
      <c r="O30" s="1664" t="str">
        <f>IF('A1.3.12'!O30="","",'A1.3.12'!O30*(1+VLOOKUP($B30,'A1.3.7'!$B$28:$O$118,14,)/100))</f>
        <v/>
      </c>
      <c r="P30" s="693">
        <f>IF(AND(D30="",H30="",L30=""),"",IF(D30="",0,D30 * VLOOKUP($B30,'A1.3.9'!$B$26:$O$57,3,TRUE)) + IF(H30="",0,H30 * VLOOKUP($B30,'A1.3.9'!$B$26:$O$57,4,TRUE)) + IF(L30="",0,L30 * VLOOKUP($B30,'A1.3.9'!$B$26:$O$57,5,TRUE)))</f>
        <v>62.430913765900321</v>
      </c>
      <c r="Q30" s="691">
        <f>IF(AND(E30="",I30="",M30=""),"",IF(E30="",0,E30 * VLOOKUP($B30,'A1.3.9'!$B$26:$O$57,3,TRUE)) + IF(I30="",0,I30 * VLOOKUP($B30,'A1.3.9'!$B$26:$O$57,4,TRUE)) + IF(M30="",0,M30 * VLOOKUP($B30,'A1.3.9'!$B$26:$O$57,5,TRUE)))</f>
        <v>11.142839085796419</v>
      </c>
      <c r="R30" s="691">
        <f>IF(AND(F30="",J30="",N30=""),"",IF(F30="",0,F30 * VLOOKUP($B30,'A1.3.9'!$B$26:$O$57,3,TRUE)) + IF(J30="",0,J30 * VLOOKUP($B30,'A1.3.9'!$B$26:$O$57,4,TRUE)) + IF(N30="",0,N30 * VLOOKUP($B30,'A1.3.9'!$B$26:$O$57,5,TRUE)))</f>
        <v>-0.11911935266383922</v>
      </c>
      <c r="S30" s="2644">
        <f>IF(AND(G30="",K30="",O30=""),"",IF(G30="",0,G30 * VLOOKUP($B30,'A1.3.9'!$B$26:$O$57,3,TRUE)) + IF(K30="",0,K30 * VLOOKUP($B30,'A1.3.9'!$B$26:$O$57,4,TRUE)) + IF(O30="",0,O30 * VLOOKUP($B30,'A1.3.9'!$B$26:$O$57,5,TRUE)))</f>
        <v>8.4221751005773425E-4</v>
      </c>
      <c r="T30" s="693">
        <f>IF('A1.3.12'!T30="","",'A1.3.12'!T30*(1+VLOOKUP($B30,'A1.3.7'!$B$28:$O$118,12,)/100))</f>
        <v>43.793894478089911</v>
      </c>
      <c r="U30" s="691">
        <f>IF('A1.3.12'!U30="","",'A1.3.12'!U30*(1+VLOOKUP($B30,'A1.3.7'!$B$28:$O$118,12,)/100))</f>
        <v>24.557080951825753</v>
      </c>
      <c r="V30" s="691">
        <f>IF('A1.3.12'!V30="","",'A1.3.12'!V30*(1+VLOOKUP($B30,'A1.3.7'!$B$28:$O$118,12,)/100))</f>
        <v>-0.38546556491463868</v>
      </c>
      <c r="W30" s="2644">
        <f>IF('A1.3.12'!W30="","",'A1.3.12'!W30*(1+VLOOKUP($B30,'A1.3.7'!$B$28:$O$118,12,)/100))</f>
        <v>2.4893510239693151E-3</v>
      </c>
      <c r="X30" s="693">
        <f>IF('A1.3.12'!X30="","",'A1.3.12'!X30*(1+VLOOKUP($B30,'A1.3.7'!$B$28:$O$118,13,)/100))</f>
        <v>62.121745618720183</v>
      </c>
      <c r="Y30" s="691">
        <f>IF('A1.3.12'!Y30="","",'A1.3.12'!Y30*(1+VLOOKUP($B30,'A1.3.7'!$B$28:$O$118,13,)/100))</f>
        <v>15.182807795936073</v>
      </c>
      <c r="Z30" s="691">
        <f>IF('A1.3.12'!Z30="","",'A1.3.12'!Z30*(1+VLOOKUP($B30,'A1.3.7'!$B$28:$O$118,13,)/100))</f>
        <v>-0.21903959634396905</v>
      </c>
      <c r="AA30" s="2644">
        <f>IF('A1.3.12'!AA30="","",'A1.3.12'!AA30*(1+VLOOKUP($B30,'A1.3.7'!$B$28:$O$118,13,)/100))</f>
        <v>1.8543968599335817E-3</v>
      </c>
      <c r="AB30" s="693" t="str">
        <f>IF('A1.3.12'!AB30="","",'A1.3.12'!AB30*(1+VLOOKUP($B30,'A1.3.7'!$B$28:$O$118,14,)/100))</f>
        <v/>
      </c>
      <c r="AC30" s="691">
        <f>IF('A1.3.12'!AC30="","",'A1.3.12'!AC30*(1+VLOOKUP($B30,'A1.3.7'!$B$28:$O$118,14,)/100))</f>
        <v>4.8360839935454818</v>
      </c>
      <c r="AD30" s="691" t="str">
        <f>IF('A1.3.12'!AD30="","",'A1.3.12'!AD30*(1+VLOOKUP($B30,'A1.3.7'!$B$28:$O$118,14,)/100))</f>
        <v/>
      </c>
      <c r="AE30" s="1664" t="str">
        <f>IF('A1.3.12'!AE30="","",'A1.3.12'!AE30*(1+VLOOKUP($B30,'A1.3.7'!$B$28:$O$118,14,)/100))</f>
        <v/>
      </c>
      <c r="AF30" s="693">
        <f>IF(AND(T30="",X30="",AB30=""),"",IF(T30="",0,T30 * VLOOKUP($B30,'A1.3.9'!$B$26:$O$57,6,TRUE)) + IF(X30="",0,X30 * VLOOKUP($B30,'A1.3.9'!$B$26:$O$57,7,TRUE)) + IF(AB30="",0,AB30 * VLOOKUP($B30,'A1.3.9'!$B$26:$O$57,8,TRUE)))</f>
        <v>61.624137802472326</v>
      </c>
      <c r="AG30" s="691">
        <f>IF(AND(U30="",Y30="",AC30=""),"",IF(U30="",0,U30 * VLOOKUP($B30,'A1.3.9'!$B$26:$O$57,6,TRUE)) + IF(Y30="",0,Y30 * VLOOKUP($B30,'A1.3.9'!$B$26:$O$57,7,TRUE)) + IF(AC30="",0,AC30 * VLOOKUP($B30,'A1.3.9'!$B$26:$O$57,8,TRUE)))</f>
        <v>15.422875065936386</v>
      </c>
      <c r="AH30" s="691">
        <f>IF(AND(V30="",Z30="",AD30=""),"",IF(V30="",0,V30 * VLOOKUP($B30,'A1.3.9'!$B$26:$O$57,6,TRUE)) + IF(Z30="",0,Z30 * VLOOKUP($B30,'A1.3.9'!$B$26:$O$57,7,TRUE)) + IF(AD30="",0,AD30 * VLOOKUP($B30,'A1.3.9'!$B$26:$O$57,8,TRUE)))</f>
        <v>-0.22328950071753598</v>
      </c>
      <c r="AI30" s="2644">
        <f>IF(AND(W30="",AA30="",AE30=""),"",IF(W30="",0,W30 * VLOOKUP($B30,'A1.3.9'!$B$26:$O$57,6,TRUE)) + IF(AA30="",0,AA30 * VLOOKUP($B30,'A1.3.9'!$B$26:$O$57,7,TRUE)) + IF(AE30="",0,AE30 * VLOOKUP($B30,'A1.3.9'!$B$26:$O$57,8,TRUE)))</f>
        <v>1.8702618189190526E-3</v>
      </c>
    </row>
    <row r="31" spans="1:35" ht="13.5" customHeight="1">
      <c r="A31" s="113"/>
      <c r="B31" s="614">
        <f t="shared" si="0"/>
        <v>2014</v>
      </c>
      <c r="C31" s="147"/>
      <c r="D31" s="693">
        <f>IF('A1.3.12'!D31="","",'A1.3.12'!D31*(1+VLOOKUP($B31,'A1.3.7'!$B$28:$O$118,12,)/100))</f>
        <v>54.733303654756689</v>
      </c>
      <c r="E31" s="691">
        <f>IF('A1.3.12'!E31="","",'A1.3.12'!E31*(1+VLOOKUP($B31,'A1.3.7'!$B$28:$O$118,12,)/100))</f>
        <v>11.631714850530365</v>
      </c>
      <c r="F31" s="691">
        <f>IF('A1.3.12'!F31="","",'A1.3.12'!F31*(1+VLOOKUP($B31,'A1.3.7'!$B$28:$O$118,12,)/100))</f>
        <v>-0.13249902603176492</v>
      </c>
      <c r="G31" s="2644">
        <f>IF('A1.3.12'!G31="","",'A1.3.12'!G31*(1+VLOOKUP($B31,'A1.3.7'!$B$28:$O$118,12,)/100))</f>
        <v>8.7753038835706044E-4</v>
      </c>
      <c r="H31" s="693">
        <f>IF('A1.3.12'!H31="","",'A1.3.12'!H31*(1+VLOOKUP($B31,'A1.3.7'!$B$28:$O$118,13,)/100))</f>
        <v>60.897535120386451</v>
      </c>
      <c r="I31" s="691">
        <f>IF('A1.3.12'!I31="","",'A1.3.12'!I31*(1+VLOOKUP($B31,'A1.3.7'!$B$28:$O$118,13,)/100))</f>
        <v>8.7312005419320915</v>
      </c>
      <c r="J31" s="691">
        <f>IF('A1.3.12'!J31="","",'A1.3.12'!J31*(1+VLOOKUP($B31,'A1.3.7'!$B$28:$O$118,13,)/100))</f>
        <v>-8.3996581557115355E-2</v>
      </c>
      <c r="K31" s="2644">
        <f>IF('A1.3.12'!K31="","",'A1.3.12'!K31*(1+VLOOKUP($B31,'A1.3.7'!$B$28:$O$118,13,)/100))</f>
        <v>6.6189727684144955E-4</v>
      </c>
      <c r="L31" s="693" t="str">
        <f>IF('A1.3.12'!L31="","",'A1.3.12'!L31*(1+VLOOKUP($B31,'A1.3.7'!$B$28:$O$118,14,)/100))</f>
        <v/>
      </c>
      <c r="M31" s="691">
        <f>IF('A1.3.12'!M31="","",'A1.3.12'!M31*(1+VLOOKUP($B31,'A1.3.7'!$B$28:$O$118,14,)/100))</f>
        <v>2.182296745655691</v>
      </c>
      <c r="N31" s="691" t="str">
        <f>IF('A1.3.12'!N31="","",'A1.3.12'!N31*(1+VLOOKUP($B31,'A1.3.7'!$B$28:$O$118,14,)/100))</f>
        <v/>
      </c>
      <c r="O31" s="1664" t="str">
        <f>IF('A1.3.12'!O31="","",'A1.3.12'!O31*(1+VLOOKUP($B31,'A1.3.7'!$B$28:$O$118,14,)/100))</f>
        <v/>
      </c>
      <c r="P31" s="693">
        <f>IF(AND(D31="",H31="",L31=""),"",IF(D31="",0,D31 * VLOOKUP($B31,'A1.3.9'!$B$26:$O$57,3,TRUE)) + IF(H31="",0,H31 * VLOOKUP($B31,'A1.3.9'!$B$26:$O$57,4,TRUE)) + IF(L31="",0,L31 * VLOOKUP($B31,'A1.3.9'!$B$26:$O$57,5,TRUE)))</f>
        <v>57.687445079412278</v>
      </c>
      <c r="Q31" s="691">
        <f>IF(AND(E31="",I31="",M31=""),"",IF(E31="",0,E31 * VLOOKUP($B31,'A1.3.9'!$B$26:$O$57,3,TRUE)) + IF(I31="",0,I31 * VLOOKUP($B31,'A1.3.9'!$B$26:$O$57,4,TRUE)) + IF(M31="",0,M31 * VLOOKUP($B31,'A1.3.9'!$B$26:$O$57,5,TRUE)))</f>
        <v>10.217664695685849</v>
      </c>
      <c r="R31" s="691">
        <f>IF(AND(F31="",J31="",N31=""),"",IF(F31="",0,F31 * VLOOKUP($B31,'A1.3.9'!$B$26:$O$57,3,TRUE)) + IF(J31="",0,J31 * VLOOKUP($B31,'A1.3.9'!$B$26:$O$57,4,TRUE)) + IF(N31="",0,N31 * VLOOKUP($B31,'A1.3.9'!$B$26:$O$57,5,TRUE)))</f>
        <v>-0.10887065934080384</v>
      </c>
      <c r="S31" s="2644">
        <f>IF(AND(G31="",K31="",O31=""),"",IF(G31="",0,G31 * VLOOKUP($B31,'A1.3.9'!$B$26:$O$57,3,TRUE)) + IF(K31="",0,K31 * VLOOKUP($B31,'A1.3.9'!$B$26:$O$57,4,TRUE)) + IF(O31="",0,O31 * VLOOKUP($B31,'A1.3.9'!$B$26:$O$57,5,TRUE)))</f>
        <v>7.7228619459812891E-4</v>
      </c>
      <c r="T31" s="693">
        <f>IF('A1.3.12'!T31="","",'A1.3.12'!T31*(1+VLOOKUP($B31,'A1.3.7'!$B$28:$O$118,12,)/100))</f>
        <v>40.989597492445242</v>
      </c>
      <c r="U31" s="691">
        <f>IF('A1.3.12'!U31="","",'A1.3.12'!U31*(1+VLOOKUP($B31,'A1.3.7'!$B$28:$O$118,12,)/100))</f>
        <v>22.984593532971274</v>
      </c>
      <c r="V31" s="691">
        <f>IF('A1.3.12'!V31="","",'A1.3.12'!V31*(1+VLOOKUP($B31,'A1.3.7'!$B$28:$O$118,12,)/100))</f>
        <v>-0.36078267396277908</v>
      </c>
      <c r="W31" s="2644">
        <f>IF('A1.3.12'!W31="","",'A1.3.12'!W31*(1+VLOOKUP($B31,'A1.3.7'!$B$28:$O$118,12,)/100))</f>
        <v>2.3299479917447854E-3</v>
      </c>
      <c r="X31" s="693">
        <f>IF('A1.3.12'!X31="","",'A1.3.12'!X31*(1+VLOOKUP($B31,'A1.3.7'!$B$28:$O$118,13,)/100))</f>
        <v>57.902084494011817</v>
      </c>
      <c r="Y31" s="691">
        <f>IF('A1.3.12'!Y31="","",'A1.3.12'!Y31*(1+VLOOKUP($B31,'A1.3.7'!$B$28:$O$118,13,)/100))</f>
        <v>14.151505420538488</v>
      </c>
      <c r="Z31" s="691">
        <f>IF('A1.3.12'!Z31="","",'A1.3.12'!Z31*(1+VLOOKUP($B31,'A1.3.7'!$B$28:$O$118,13,)/100))</f>
        <v>-0.20416118524558655</v>
      </c>
      <c r="AA31" s="2644">
        <f>IF('A1.3.12'!AA31="","",'A1.3.12'!AA31*(1+VLOOKUP($B31,'A1.3.7'!$B$28:$O$118,13,)/100))</f>
        <v>1.7284357128069467E-3</v>
      </c>
      <c r="AB31" s="693" t="str">
        <f>IF('A1.3.12'!AB31="","",'A1.3.12'!AB31*(1+VLOOKUP($B31,'A1.3.7'!$B$28:$O$118,14,)/100))</f>
        <v/>
      </c>
      <c r="AC31" s="691">
        <f>IF('A1.3.12'!AC31="","",'A1.3.12'!AC31*(1+VLOOKUP($B31,'A1.3.7'!$B$28:$O$118,14,)/100))</f>
        <v>4.8618501961894856</v>
      </c>
      <c r="AD31" s="691" t="str">
        <f>IF('A1.3.12'!AD31="","",'A1.3.12'!AD31*(1+VLOOKUP($B31,'A1.3.7'!$B$28:$O$118,14,)/100))</f>
        <v/>
      </c>
      <c r="AE31" s="1664" t="str">
        <f>IF('A1.3.12'!AE31="","",'A1.3.12'!AE31*(1+VLOOKUP($B31,'A1.3.7'!$B$28:$O$118,14,)/100))</f>
        <v/>
      </c>
      <c r="AF31" s="693">
        <f>IF(AND(T31="",X31="",AB31=""),"",IF(T31="",0,T31 * VLOOKUP($B31,'A1.3.9'!$B$26:$O$57,6,TRUE)) + IF(X31="",0,X31 * VLOOKUP($B31,'A1.3.9'!$B$26:$O$57,7,TRUE)) + IF(AB31="",0,AB31 * VLOOKUP($B31,'A1.3.9'!$B$26:$O$57,8,TRUE)))</f>
        <v>57.466666337111576</v>
      </c>
      <c r="AG31" s="691">
        <f>IF(AND(U31="",Y31="",AC31=""),"",IF(U31="",0,U31 * VLOOKUP($B31,'A1.3.9'!$B$26:$O$57,6,TRUE)) + IF(Y31="",0,Y31 * VLOOKUP($B31,'A1.3.9'!$B$26:$O$57,7,TRUE)) + IF(AC31="",0,AC31 * VLOOKUP($B31,'A1.3.9'!$B$26:$O$57,8,TRUE)))</f>
        <v>14.352097378072722</v>
      </c>
      <c r="AH31" s="691">
        <f>IF(AND(V31="",Z31="",AD31=""),"",IF(V31="",0,V31 * VLOOKUP($B31,'A1.3.9'!$B$26:$O$57,6,TRUE)) + IF(Z31="",0,Z31 * VLOOKUP($B31,'A1.3.9'!$B$26:$O$57,7,TRUE)) + IF(AD31="",0,AD31 * VLOOKUP($B31,'A1.3.9'!$B$26:$O$57,8,TRUE)))</f>
        <v>-0.20769116641834812</v>
      </c>
      <c r="AI31" s="2644">
        <f>IF(AND(W31="",AA31="",AE31=""),"",IF(W31="",0,W31 * VLOOKUP($B31,'A1.3.9'!$B$26:$O$57,6,TRUE)) + IF(AA31="",0,AA31 * VLOOKUP($B31,'A1.3.9'!$B$26:$O$57,7,TRUE)) + IF(AE31="",0,AE31 * VLOOKUP($B31,'A1.3.9'!$B$26:$O$57,8,TRUE)))</f>
        <v>1.7413520968908574E-3</v>
      </c>
    </row>
    <row r="32" spans="1:35" ht="13.5" customHeight="1">
      <c r="A32" s="113"/>
      <c r="B32" s="614">
        <f t="shared" si="0"/>
        <v>2015</v>
      </c>
      <c r="C32" s="147"/>
      <c r="D32" s="693">
        <f>IF('A1.3.12'!D32="","",'A1.3.12'!D32*(1+VLOOKUP($B32,'A1.3.7'!$B$28:$O$118,12,)/100))</f>
        <v>46.77875900257132</v>
      </c>
      <c r="E32" s="691">
        <f>IF('A1.3.12'!E32="","",'A1.3.12'!E32*(1+VLOOKUP($B32,'A1.3.7'!$B$28:$O$118,12,)/100))</f>
        <v>9.9412450820023235</v>
      </c>
      <c r="F32" s="691">
        <f>IF('A1.3.12'!F32="","",'A1.3.12'!F32*(1+VLOOKUP($B32,'A1.3.7'!$B$28:$O$118,12,)/100))</f>
        <v>-0.11324257066431791</v>
      </c>
      <c r="G32" s="2644">
        <f>IF('A1.3.12'!G32="","",'A1.3.12'!G32*(1+VLOOKUP($B32,'A1.3.7'!$B$28:$O$118,12,)/100))</f>
        <v>7.4999643385897171E-4</v>
      </c>
      <c r="H32" s="693">
        <f>IF('A1.3.12'!H32="","",'A1.3.12'!H32*(1+VLOOKUP($B32,'A1.3.7'!$B$28:$O$118,13,)/100))</f>
        <v>51.403872727536175</v>
      </c>
      <c r="I32" s="691">
        <f>IF('A1.3.12'!I32="","",'A1.3.12'!I32*(1+VLOOKUP($B32,'A1.3.7'!$B$28:$O$118,13,)/100))</f>
        <v>7.3700441328014117</v>
      </c>
      <c r="J32" s="691">
        <f>IF('A1.3.12'!J32="","",'A1.3.12'!J32*(1+VLOOKUP($B32,'A1.3.7'!$B$28:$O$118,13,)/100))</f>
        <v>-7.0901877709408839E-2</v>
      </c>
      <c r="K32" s="2644">
        <f>IF('A1.3.12'!K32="","",'A1.3.12'!K32*(1+VLOOKUP($B32,'A1.3.7'!$B$28:$O$118,13,)/100))</f>
        <v>5.587103535504267E-4</v>
      </c>
      <c r="L32" s="693" t="str">
        <f>IF('A1.3.12'!L32="","",'A1.3.12'!L32*(1+VLOOKUP($B32,'A1.3.7'!$B$28:$O$118,14,)/100))</f>
        <v/>
      </c>
      <c r="M32" s="691">
        <f>IF('A1.3.12'!M32="","",'A1.3.12'!M32*(1+VLOOKUP($B32,'A1.3.7'!$B$28:$O$118,14,)/100))</f>
        <v>2.1583039444171055</v>
      </c>
      <c r="N32" s="691" t="str">
        <f>IF('A1.3.12'!N32="","",'A1.3.12'!N32*(1+VLOOKUP($B32,'A1.3.7'!$B$28:$O$118,14,)/100))</f>
        <v/>
      </c>
      <c r="O32" s="1664" t="str">
        <f>IF('A1.3.12'!O32="","",'A1.3.12'!O32*(1+VLOOKUP($B32,'A1.3.7'!$B$28:$O$118,14,)/100))</f>
        <v/>
      </c>
      <c r="P32" s="693">
        <f>IF(AND(D32="",H32="",L32=""),"",IF(D32="",0,D32 * VLOOKUP($B32,'A1.3.9'!$B$26:$O$57,3,TRUE)) + IF(H32="",0,H32 * VLOOKUP($B32,'A1.3.9'!$B$26:$O$57,4,TRUE)) + IF(L32="",0,L32 * VLOOKUP($B32,'A1.3.9'!$B$26:$O$57,5,TRUE)))</f>
        <v>49.029512145683285</v>
      </c>
      <c r="Q32" s="691">
        <f>IF(AND(E32="",I32="",M32=""),"",IF(E32="",0,E32 * VLOOKUP($B32,'A1.3.9'!$B$26:$O$57,3,TRUE)) + IF(I32="",0,I32 * VLOOKUP($B32,'A1.3.9'!$B$26:$O$57,4,TRUE)) + IF(M32="",0,M32 * VLOOKUP($B32,'A1.3.9'!$B$26:$O$57,5,TRUE)))</f>
        <v>8.6409111036167268</v>
      </c>
      <c r="R32" s="691">
        <f>IF(AND(F32="",J32="",N32=""),"",IF(F32="",0,F32 * VLOOKUP($B32,'A1.3.9'!$B$26:$O$57,3,TRUE)) + IF(J32="",0,J32 * VLOOKUP($B32,'A1.3.9'!$B$26:$O$57,4,TRUE)) + IF(N32="",0,N32 * VLOOKUP($B32,'A1.3.9'!$B$26:$O$57,5,TRUE)))</f>
        <v>-9.1851282848747828E-2</v>
      </c>
      <c r="S32" s="2644">
        <f>IF(AND(G32="",K32="",O32=""),"",IF(G32="",0,G32 * VLOOKUP($B32,'A1.3.9'!$B$26:$O$57,3,TRUE)) + IF(K32="",0,K32 * VLOOKUP($B32,'A1.3.9'!$B$26:$O$57,4,TRUE)) + IF(O32="",0,O32 * VLOOKUP($B32,'A1.3.9'!$B$26:$O$57,5,TRUE)))</f>
        <v>6.5300886633570809E-4</v>
      </c>
      <c r="T32" s="693">
        <f>IF('A1.3.12'!T32="","",'A1.3.12'!T32*(1+VLOOKUP($B32,'A1.3.7'!$B$28:$O$118,12,)/100))</f>
        <v>35.641705406431065</v>
      </c>
      <c r="U32" s="691">
        <f>IF('A1.3.12'!U32="","",'A1.3.12'!U32*(1+VLOOKUP($B32,'A1.3.7'!$B$28:$O$118,12,)/100))</f>
        <v>19.98580522142748</v>
      </c>
      <c r="V32" s="691">
        <f>IF('A1.3.12'!V32="","",'A1.3.12'!V32*(1+VLOOKUP($B32,'A1.3.7'!$B$28:$O$118,12,)/100))</f>
        <v>-0.31371154067799406</v>
      </c>
      <c r="W32" s="2644">
        <f>IF('A1.3.12'!W32="","",'A1.3.12'!W32*(1+VLOOKUP($B32,'A1.3.7'!$B$28:$O$118,12,)/100))</f>
        <v>2.0259608538331941E-3</v>
      </c>
      <c r="X32" s="693">
        <f>IF('A1.3.12'!X32="","",'A1.3.12'!X32*(1+VLOOKUP($B32,'A1.3.7'!$B$28:$O$118,13,)/100))</f>
        <v>49.438218779491315</v>
      </c>
      <c r="Y32" s="691">
        <f>IF('A1.3.12'!Y32="","",'A1.3.12'!Y32*(1+VLOOKUP($B32,'A1.3.7'!$B$28:$O$118,13,)/100))</f>
        <v>12.082902146849197</v>
      </c>
      <c r="Z32" s="691">
        <f>IF('A1.3.12'!Z32="","",'A1.3.12'!Z32*(1+VLOOKUP($B32,'A1.3.7'!$B$28:$O$118,13,)/100))</f>
        <v>-0.17431782345410049</v>
      </c>
      <c r="AA32" s="2644">
        <f>IF('A1.3.12'!AA32="","",'A1.3.12'!AA32*(1+VLOOKUP($B32,'A1.3.7'!$B$28:$O$118,13,)/100))</f>
        <v>1.4757807713273792E-3</v>
      </c>
      <c r="AB32" s="693" t="str">
        <f>IF('A1.3.12'!AB32="","",'A1.3.12'!AB32*(1+VLOOKUP($B32,'A1.3.7'!$B$28:$O$118,14,)/100))</f>
        <v/>
      </c>
      <c r="AC32" s="691">
        <f>IF('A1.3.12'!AC32="","",'A1.3.12'!AC32*(1+VLOOKUP($B32,'A1.3.7'!$B$28:$O$118,14,)/100))</f>
        <v>4.7610378851266688</v>
      </c>
      <c r="AD32" s="691" t="str">
        <f>IF('A1.3.12'!AD32="","",'A1.3.12'!AD32*(1+VLOOKUP($B32,'A1.3.7'!$B$28:$O$118,14,)/100))</f>
        <v/>
      </c>
      <c r="AE32" s="1664" t="str">
        <f>IF('A1.3.12'!AE32="","",'A1.3.12'!AE32*(1+VLOOKUP($B32,'A1.3.7'!$B$28:$O$118,14,)/100))</f>
        <v/>
      </c>
      <c r="AF32" s="693">
        <f>IF(AND(T32="",X32="",AB32=""),"",IF(T32="",0,T32 * VLOOKUP($B32,'A1.3.9'!$B$26:$O$57,6,TRUE)) + IF(X32="",0,X32 * VLOOKUP($B32,'A1.3.9'!$B$26:$O$57,7,TRUE)) + IF(AB32="",0,AB32 * VLOOKUP($B32,'A1.3.9'!$B$26:$O$57,8,TRUE)))</f>
        <v>49.089720289561164</v>
      </c>
      <c r="AG32" s="691">
        <f>IF(AND(U32="",Y32="",AC32=""),"",IF(U32="",0,U32 * VLOOKUP($B32,'A1.3.9'!$B$26:$O$57,6,TRUE)) + IF(Y32="",0,Y32 * VLOOKUP($B32,'A1.3.9'!$B$26:$O$57,7,TRUE)) + IF(AC32="",0,AC32 * VLOOKUP($B32,'A1.3.9'!$B$26:$O$57,8,TRUE)))</f>
        <v>12.246071628279177</v>
      </c>
      <c r="AH32" s="691">
        <f>IF(AND(V32="",Z32="",AD32=""),"",IF(V32="",0,V32 * VLOOKUP($B32,'A1.3.9'!$B$26:$O$57,6,TRUE)) + IF(Z32="",0,Z32 * VLOOKUP($B32,'A1.3.9'!$B$26:$O$57,7,TRUE)) + IF(AD32="",0,AD32 * VLOOKUP($B32,'A1.3.9'!$B$26:$O$57,8,TRUE)))</f>
        <v>-0.17714964763099766</v>
      </c>
      <c r="AI32" s="2644">
        <f>IF(AND(W32="",AA32="",AE32=""),"",IF(W32="",0,W32 * VLOOKUP($B32,'A1.3.9'!$B$26:$O$57,6,TRUE)) + IF(AA32="",0,AA32 * VLOOKUP($B32,'A1.3.9'!$B$26:$O$57,7,TRUE)) + IF(AE32="",0,AE32 * VLOOKUP($B32,'A1.3.9'!$B$26:$O$57,8,TRUE)))</f>
        <v>1.4861520477314678E-3</v>
      </c>
    </row>
    <row r="33" spans="1:35" ht="13.5" customHeight="1">
      <c r="A33" s="113"/>
      <c r="B33" s="614">
        <f t="shared" si="0"/>
        <v>2016</v>
      </c>
      <c r="C33" s="147"/>
      <c r="D33" s="693">
        <f>IF('A1.3.12'!D33="","",'A1.3.12'!D33*(1+VLOOKUP($B33,'A1.3.7'!$B$28:$O$118,12,)/100))</f>
        <v>44.027248459199853</v>
      </c>
      <c r="E33" s="691">
        <f>IF('A1.3.12'!E33="","",'A1.3.12'!E33*(1+VLOOKUP($B33,'A1.3.7'!$B$28:$O$118,12,)/100))</f>
        <v>9.3565044595359268</v>
      </c>
      <c r="F33" s="691">
        <f>IF('A1.3.12'!F33="","",'A1.3.12'!F33*(1+VLOOKUP($B33,'A1.3.7'!$B$28:$O$118,12,)/100))</f>
        <v>-0.10658168153888745</v>
      </c>
      <c r="G33" s="2644">
        <f>IF('A1.3.12'!G33="","",'A1.3.12'!G33*(1+VLOOKUP($B33,'A1.3.7'!$B$28:$O$118,12,)/100))</f>
        <v>7.0588190112541777E-4</v>
      </c>
      <c r="H33" s="693">
        <f>IF('A1.3.12'!H33="","",'A1.3.12'!H33*(1+VLOOKUP($B33,'A1.3.7'!$B$28:$O$118,13,)/100))</f>
        <v>47.500952074922829</v>
      </c>
      <c r="I33" s="691">
        <f>IF('A1.3.12'!I33="","",'A1.3.12'!I33*(1+VLOOKUP($B33,'A1.3.7'!$B$28:$O$118,13,)/100))</f>
        <v>6.8104618303346616</v>
      </c>
      <c r="J33" s="691">
        <f>IF('A1.3.12'!J33="","",'A1.3.12'!J33*(1+VLOOKUP($B33,'A1.3.7'!$B$28:$O$118,13,)/100))</f>
        <v>-6.5518540070863926E-2</v>
      </c>
      <c r="K33" s="2644">
        <f>IF('A1.3.12'!K33="","",'A1.3.12'!K33*(1+VLOOKUP($B33,'A1.3.7'!$B$28:$O$118,13,)/100))</f>
        <v>5.1628938287261324E-4</v>
      </c>
      <c r="L33" s="693" t="str">
        <f>IF('A1.3.12'!L33="","",'A1.3.12'!L33*(1+VLOOKUP($B33,'A1.3.7'!$B$28:$O$118,14,)/100))</f>
        <v/>
      </c>
      <c r="M33" s="691">
        <f>IF('A1.3.12'!M33="","",'A1.3.12'!M33*(1+VLOOKUP($B33,'A1.3.7'!$B$28:$O$118,14,)/100))</f>
        <v>2.1214907744790712</v>
      </c>
      <c r="N33" s="691" t="str">
        <f>IF('A1.3.12'!N33="","",'A1.3.12'!N33*(1+VLOOKUP($B33,'A1.3.7'!$B$28:$O$118,14,)/100))</f>
        <v/>
      </c>
      <c r="O33" s="1664" t="str">
        <f>IF('A1.3.12'!O33="","",'A1.3.12'!O33*(1+VLOOKUP($B33,'A1.3.7'!$B$28:$O$118,14,)/100))</f>
        <v/>
      </c>
      <c r="P33" s="693">
        <f>IF(AND(D33="",H33="",L33=""),"",IF(D33="",0,D33 * VLOOKUP($B33,'A1.3.9'!$B$26:$O$57,3,TRUE)) + IF(H33="",0,H33 * VLOOKUP($B33,'A1.3.9'!$B$26:$O$57,4,TRUE)) + IF(L33="",0,L33 * VLOOKUP($B33,'A1.3.9'!$B$26:$O$57,5,TRUE)))</f>
        <v>45.731408523407545</v>
      </c>
      <c r="Q33" s="691">
        <f>IF(AND(E33="",I33="",M33=""),"",IF(E33="",0,E33 * VLOOKUP($B33,'A1.3.9'!$B$26:$O$57,3,TRUE)) + IF(I33="",0,I33 * VLOOKUP($B33,'A1.3.9'!$B$26:$O$57,4,TRUE)) + IF(M33="",0,M33 * VLOOKUP($B33,'A1.3.9'!$B$26:$O$57,5,TRUE)))</f>
        <v>8.0203512582879313</v>
      </c>
      <c r="R33" s="691">
        <f>IF(AND(F33="",J33="",N33=""),"",IF(F33="",0,F33 * VLOOKUP($B33,'A1.3.9'!$B$26:$O$57,3,TRUE)) + IF(J33="",0,J33 * VLOOKUP($B33,'A1.3.9'!$B$26:$O$57,4,TRUE)) + IF(N33="",0,N33 * VLOOKUP($B33,'A1.3.9'!$B$26:$O$57,5,TRUE)))</f>
        <v>-8.5054186201403092E-2</v>
      </c>
      <c r="S33" s="2644">
        <f>IF(AND(G33="",K33="",O33=""),"",IF(G33="",0,G33 * VLOOKUP($B33,'A1.3.9'!$B$26:$O$57,3,TRUE)) + IF(K33="",0,K33 * VLOOKUP($B33,'A1.3.9'!$B$26:$O$57,4,TRUE)) + IF(O33="",0,O33 * VLOOKUP($B33,'A1.3.9'!$B$26:$O$57,5,TRUE)))</f>
        <v>6.0601604669571828E-4</v>
      </c>
      <c r="T33" s="693">
        <f>IF('A1.3.12'!T33="","",'A1.3.12'!T33*(1+VLOOKUP($B33,'A1.3.7'!$B$28:$O$118,12,)/100))</f>
        <v>33.952031783486021</v>
      </c>
      <c r="U33" s="691">
        <f>IF('A1.3.12'!U33="","",'A1.3.12'!U33*(1+VLOOKUP($B33,'A1.3.7'!$B$28:$O$118,12,)/100))</f>
        <v>19.03833406282601</v>
      </c>
      <c r="V33" s="691">
        <f>IF('A1.3.12'!V33="","",'A1.3.12'!V33*(1+VLOOKUP($B33,'A1.3.7'!$B$28:$O$118,12,)/100))</f>
        <v>-0.29883935346213159</v>
      </c>
      <c r="W33" s="2644">
        <f>IF('A1.3.12'!W33="","",'A1.3.12'!W33*(1+VLOOKUP($B33,'A1.3.7'!$B$28:$O$118,12,)/100))</f>
        <v>1.9299157129847009E-3</v>
      </c>
      <c r="X33" s="693">
        <f>IF('A1.3.12'!X33="","",'A1.3.12'!X33*(1+VLOOKUP($B33,'A1.3.7'!$B$28:$O$118,13,)/100))</f>
        <v>46.319374784090314</v>
      </c>
      <c r="Y33" s="691">
        <f>IF('A1.3.12'!Y33="","",'A1.3.12'!Y33*(1+VLOOKUP($B33,'A1.3.7'!$B$28:$O$118,13,)/100))</f>
        <v>11.320643964049308</v>
      </c>
      <c r="Z33" s="691">
        <f>IF('A1.3.12'!Z33="","",'A1.3.12'!Z33*(1+VLOOKUP($B33,'A1.3.7'!$B$28:$O$118,13,)/100))</f>
        <v>-0.1633208638064215</v>
      </c>
      <c r="AA33" s="2644">
        <f>IF('A1.3.12'!AA33="","",'A1.3.12'!AA33*(1+VLOOKUP($B33,'A1.3.7'!$B$28:$O$118,13,)/100))</f>
        <v>1.3826801275175335E-3</v>
      </c>
      <c r="AB33" s="693" t="str">
        <f>IF('A1.3.12'!AB33="","",'A1.3.12'!AB33*(1+VLOOKUP($B33,'A1.3.7'!$B$28:$O$118,14,)/100))</f>
        <v/>
      </c>
      <c r="AC33" s="691">
        <f>IF('A1.3.12'!AC33="","",'A1.3.12'!AC33*(1+VLOOKUP($B33,'A1.3.7'!$B$28:$O$118,14,)/100))</f>
        <v>4.6735226079951842</v>
      </c>
      <c r="AD33" s="691" t="str">
        <f>IF('A1.3.12'!AD33="","",'A1.3.12'!AD33*(1+VLOOKUP($B33,'A1.3.7'!$B$28:$O$118,14,)/100))</f>
        <v/>
      </c>
      <c r="AE33" s="1664" t="str">
        <f>IF('A1.3.12'!AE33="","",'A1.3.12'!AE33*(1+VLOOKUP($B33,'A1.3.7'!$B$28:$O$118,14,)/100))</f>
        <v/>
      </c>
      <c r="AF33" s="693">
        <f>IF(AND(T33="",X33="",AB33=""),"",IF(T33="",0,T33 * VLOOKUP($B33,'A1.3.9'!$B$26:$O$57,6,TRUE)) + IF(X33="",0,X33 * VLOOKUP($B33,'A1.3.9'!$B$26:$O$57,7,TRUE)) + IF(AB33="",0,AB33 * VLOOKUP($B33,'A1.3.9'!$B$26:$O$57,8,TRUE)))</f>
        <v>46.004486021168738</v>
      </c>
      <c r="AG33" s="691">
        <f>IF(AND(U33="",Y33="",AC33=""),"",IF(U33="",0,U33 * VLOOKUP($B33,'A1.3.9'!$B$26:$O$57,6,TRUE)) + IF(Y33="",0,Y33 * VLOOKUP($B33,'A1.3.9'!$B$26:$O$57,7,TRUE)) + IF(AC33="",0,AC33 * VLOOKUP($B33,'A1.3.9'!$B$26:$O$57,8,TRUE)))</f>
        <v>11.456838129040472</v>
      </c>
      <c r="AH33" s="691">
        <f>IF(AND(V33="",Z33="",AD33=""),"",IF(V33="",0,V33 * VLOOKUP($B33,'A1.3.9'!$B$26:$O$57,6,TRUE)) + IF(Z33="",0,Z33 * VLOOKUP($B33,'A1.3.9'!$B$26:$O$57,7,TRUE)) + IF(AD33="",0,AD33 * VLOOKUP($B33,'A1.3.9'!$B$26:$O$57,8,TRUE)))</f>
        <v>-0.16563330930447234</v>
      </c>
      <c r="AI33" s="2644">
        <f>IF(AND(W33="",AA33="",AE33=""),"",IF(W33="",0,W33 * VLOOKUP($B33,'A1.3.9'!$B$26:$O$57,6,TRUE)) + IF(AA33="",0,AA33 * VLOOKUP($B33,'A1.3.9'!$B$26:$O$57,7,TRUE)) + IF(AE33="",0,AE33 * VLOOKUP($B33,'A1.3.9'!$B$26:$O$57,8,TRUE)))</f>
        <v>1.390791237777465E-3</v>
      </c>
    </row>
    <row r="34" spans="1:35" ht="13.5" customHeight="1">
      <c r="A34" s="113"/>
      <c r="B34" s="614">
        <f t="shared" si="0"/>
        <v>2017</v>
      </c>
      <c r="C34" s="147"/>
      <c r="D34" s="693">
        <f>IF('A1.3.12'!D34="","",'A1.3.12'!D34*(1+VLOOKUP($B34,'A1.3.7'!$B$28:$O$118,12,)/100))</f>
        <v>45.569926962381452</v>
      </c>
      <c r="E34" s="691">
        <f>IF('A1.3.12'!E34="","",'A1.3.12'!E34*(1+VLOOKUP($B34,'A1.3.7'!$B$28:$O$118,12,)/100))</f>
        <v>9.684348665108411</v>
      </c>
      <c r="F34" s="691">
        <f>IF('A1.3.12'!F34="","",'A1.3.12'!F34*(1+VLOOKUP($B34,'A1.3.7'!$B$28:$O$118,12,)/100))</f>
        <v>-0.11031621582611092</v>
      </c>
      <c r="G34" s="2644">
        <f>IF('A1.3.12'!G34="","",'A1.3.12'!G34*(1+VLOOKUP($B34,'A1.3.7'!$B$28:$O$118,12,)/100))</f>
        <v>7.3061542122400565E-4</v>
      </c>
      <c r="H34" s="693">
        <f>IF('A1.3.12'!H34="","",'A1.3.12'!H34*(1+VLOOKUP($B34,'A1.3.7'!$B$28:$O$118,13,)/100))</f>
        <v>49.860614099032013</v>
      </c>
      <c r="I34" s="691">
        <f>IF('A1.3.12'!I34="","",'A1.3.12'!I34*(1+VLOOKUP($B34,'A1.3.7'!$B$28:$O$118,13,)/100))</f>
        <v>7.1487790102164093</v>
      </c>
      <c r="J34" s="691">
        <f>IF('A1.3.12'!J34="","",'A1.3.12'!J34*(1+VLOOKUP($B34,'A1.3.7'!$B$28:$O$118,13,)/100))</f>
        <v>-6.8773245589954193E-2</v>
      </c>
      <c r="K34" s="2644">
        <f>IF('A1.3.12'!K34="","",'A1.3.12'!K34*(1+VLOOKUP($B34,'A1.3.7'!$B$28:$O$118,13,)/100))</f>
        <v>5.4193662565405712E-4</v>
      </c>
      <c r="L34" s="693" t="str">
        <f>IF('A1.3.12'!L34="","",'A1.3.12'!L34*(1+VLOOKUP($B34,'A1.3.7'!$B$28:$O$118,14,)/100))</f>
        <v/>
      </c>
      <c r="M34" s="691">
        <f>IF('A1.3.12'!M34="","",'A1.3.12'!M34*(1+VLOOKUP($B34,'A1.3.7'!$B$28:$O$118,14,)/100))</f>
        <v>2.1839293197430996</v>
      </c>
      <c r="N34" s="691" t="str">
        <f>IF('A1.3.12'!N34="","",'A1.3.12'!N34*(1+VLOOKUP($B34,'A1.3.7'!$B$28:$O$118,14,)/100))</f>
        <v/>
      </c>
      <c r="O34" s="1664" t="str">
        <f>IF('A1.3.12'!O34="","",'A1.3.12'!O34*(1+VLOOKUP($B34,'A1.3.7'!$B$28:$O$118,14,)/100))</f>
        <v/>
      </c>
      <c r="P34" s="693">
        <f>IF(AND(D34="",H34="",L34=""),"",IF(D34="",0,D34 * VLOOKUP($B34,'A1.3.9'!$B$26:$O$57,3,TRUE)) + IF(H34="",0,H34 * VLOOKUP($B34,'A1.3.9'!$B$26:$O$57,4,TRUE)) + IF(L34="",0,L34 * VLOOKUP($B34,'A1.3.9'!$B$26:$O$57,5,TRUE)))</f>
        <v>47.693225680006265</v>
      </c>
      <c r="Q34" s="691">
        <f>IF(AND(E34="",I34="",M34=""),"",IF(E34="",0,E34 * VLOOKUP($B34,'A1.3.9'!$B$26:$O$57,3,TRUE)) + IF(I34="",0,I34 * VLOOKUP($B34,'A1.3.9'!$B$26:$O$57,4,TRUE)) + IF(M34="",0,M34 * VLOOKUP($B34,'A1.3.9'!$B$26:$O$57,5,TRUE)))</f>
        <v>8.3109437292249986</v>
      </c>
      <c r="R34" s="691">
        <f>IF(AND(F34="",J34="",N34=""),"",IF(F34="",0,F34 * VLOOKUP($B34,'A1.3.9'!$B$26:$O$57,3,TRUE)) + IF(J34="",0,J34 * VLOOKUP($B34,'A1.3.9'!$B$26:$O$57,4,TRUE)) + IF(N34="",0,N34 * VLOOKUP($B34,'A1.3.9'!$B$26:$O$57,5,TRUE)))</f>
        <v>-8.7857563939485323E-2</v>
      </c>
      <c r="S34" s="2644">
        <f>IF(AND(G34="",K34="",O34=""),"",IF(G34="",0,G34 * VLOOKUP($B34,'A1.3.9'!$B$26:$O$57,3,TRUE)) + IF(K34="",0,K34 * VLOOKUP($B34,'A1.3.9'!$B$26:$O$57,4,TRUE)) + IF(O34="",0,O34 * VLOOKUP($B34,'A1.3.9'!$B$26:$O$57,5,TRUE)))</f>
        <v>6.2782213124573617E-4</v>
      </c>
      <c r="T34" s="693">
        <f>IF('A1.3.12'!T34="","",'A1.3.12'!T34*(1+VLOOKUP($B34,'A1.3.7'!$B$28:$O$118,12,)/100))</f>
        <v>35.459942217773971</v>
      </c>
      <c r="U34" s="691">
        <f>IF('A1.3.12'!U34="","",'A1.3.12'!U34*(1+VLOOKUP($B34,'A1.3.7'!$B$28:$O$118,12,)/100))</f>
        <v>19.883882946847688</v>
      </c>
      <c r="V34" s="691">
        <f>IF('A1.3.12'!V34="","",'A1.3.12'!V34*(1+VLOOKUP($B34,'A1.3.7'!$B$28:$O$118,12,)/100))</f>
        <v>-0.31211169551621137</v>
      </c>
      <c r="W34" s="2644">
        <f>IF('A1.3.12'!W34="","",'A1.3.12'!W34*(1+VLOOKUP($B34,'A1.3.7'!$B$28:$O$118,12,)/100))</f>
        <v>2.0156289939884425E-3</v>
      </c>
      <c r="X34" s="693">
        <f>IF('A1.3.12'!X34="","",'A1.3.12'!X34*(1+VLOOKUP($B34,'A1.3.7'!$B$28:$O$118,13,)/100))</f>
        <v>49.347568695969898</v>
      </c>
      <c r="Y34" s="691">
        <f>IF('A1.3.12'!Y34="","",'A1.3.12'!Y34*(1+VLOOKUP($B34,'A1.3.7'!$B$28:$O$118,13,)/100))</f>
        <v>12.0607468970074</v>
      </c>
      <c r="Z34" s="691">
        <f>IF('A1.3.12'!Z34="","",'A1.3.12'!Z34*(1+VLOOKUP($B34,'A1.3.7'!$B$28:$O$118,13,)/100))</f>
        <v>-0.17399819370922906</v>
      </c>
      <c r="AA34" s="2644">
        <f>IF('A1.3.12'!AA34="","",'A1.3.12'!AA34*(1+VLOOKUP($B34,'A1.3.7'!$B$28:$O$118,13,)/100))</f>
        <v>1.4730747747627208E-3</v>
      </c>
      <c r="AB34" s="693" t="str">
        <f>IF('A1.3.12'!AB34="","",'A1.3.12'!AB34*(1+VLOOKUP($B34,'A1.3.7'!$B$28:$O$118,14,)/100))</f>
        <v/>
      </c>
      <c r="AC34" s="691">
        <f>IF('A1.3.12'!AC34="","",'A1.3.12'!AC34*(1+VLOOKUP($B34,'A1.3.7'!$B$28:$O$118,14,)/100))</f>
        <v>4.837619205555681</v>
      </c>
      <c r="AD34" s="691" t="str">
        <f>IF('A1.3.12'!AD34="","",'A1.3.12'!AD34*(1+VLOOKUP($B34,'A1.3.7'!$B$28:$O$118,14,)/100))</f>
        <v/>
      </c>
      <c r="AE34" s="1664" t="str">
        <f>IF('A1.3.12'!AE34="","",'A1.3.12'!AE34*(1+VLOOKUP($B34,'A1.3.7'!$B$28:$O$118,14,)/100))</f>
        <v/>
      </c>
      <c r="AF34" s="693">
        <f>IF(AND(T34="",X34="",AB34=""),"",IF(T34="",0,T34 * VLOOKUP($B34,'A1.3.9'!$B$26:$O$57,6,TRUE)) + IF(X34="",0,X34 * VLOOKUP($B34,'A1.3.9'!$B$26:$O$57,7,TRUE)) + IF(AB34="",0,AB34 * VLOOKUP($B34,'A1.3.9'!$B$26:$O$57,8,TRUE)))</f>
        <v>48.977883412046417</v>
      </c>
      <c r="AG34" s="691">
        <f>IF(AND(U34="",Y34="",AC34=""),"",IF(U34="",0,U34 * VLOOKUP($B34,'A1.3.9'!$B$26:$O$57,6,TRUE)) + IF(Y34="",0,Y34 * VLOOKUP($B34,'A1.3.9'!$B$26:$O$57,7,TRUE)) + IF(AC34="",0,AC34 * VLOOKUP($B34,'A1.3.9'!$B$26:$O$57,8,TRUE)))</f>
        <v>12.175654912535613</v>
      </c>
      <c r="AH34" s="691">
        <f>IF(AND(V34="",Z34="",AD34=""),"",IF(V34="",0,V34 * VLOOKUP($B34,'A1.3.9'!$B$26:$O$57,6,TRUE)) + IF(Z34="",0,Z34 * VLOOKUP($B34,'A1.3.9'!$B$26:$O$57,7,TRUE)) + IF(AD34="",0,AD34 * VLOOKUP($B34,'A1.3.9'!$B$26:$O$57,8,TRUE)))</f>
        <v>-0.17590296081929366</v>
      </c>
      <c r="AI34" s="2644">
        <f>IF(AND(W34="",AA34="",AE34=""),"",IF(W34="",0,W34 * VLOOKUP($B34,'A1.3.9'!$B$26:$O$57,6,TRUE)) + IF(AA34="",0,AA34 * VLOOKUP($B34,'A1.3.9'!$B$26:$O$57,7,TRUE)) + IF(AE34="",0,AE34 * VLOOKUP($B34,'A1.3.9'!$B$26:$O$57,8,TRUE)))</f>
        <v>1.4784529294259178E-3</v>
      </c>
    </row>
    <row r="35" spans="1:35" ht="13.5" customHeight="1">
      <c r="A35" s="113"/>
      <c r="B35" s="614">
        <f t="shared" si="0"/>
        <v>2018</v>
      </c>
      <c r="C35" s="147"/>
      <c r="D35" s="693">
        <f>IF('A1.3.12'!D35="","",'A1.3.12'!D35*(1+VLOOKUP($B35,'A1.3.7'!$B$28:$O$118,12,)/100))</f>
        <v>46.109970647731679</v>
      </c>
      <c r="E35" s="691">
        <f>IF('A1.3.12'!E35="","",'A1.3.12'!E35*(1+VLOOKUP($B35,'A1.3.7'!$B$28:$O$118,12,)/100))</f>
        <v>9.799116708244382</v>
      </c>
      <c r="F35" s="691">
        <f>IF('A1.3.12'!F35="","",'A1.3.12'!F35*(1+VLOOKUP($B35,'A1.3.7'!$B$28:$O$118,12,)/100))</f>
        <v>-0.11162355993921</v>
      </c>
      <c r="G35" s="2644">
        <f>IF('A1.3.12'!G35="","",'A1.3.12'!G35*(1+VLOOKUP($B35,'A1.3.7'!$B$28:$O$118,12,)/100))</f>
        <v>7.3927385609438053E-4</v>
      </c>
      <c r="H35" s="693">
        <f>IF('A1.3.12'!H35="","",'A1.3.12'!H35*(1+VLOOKUP($B35,'A1.3.7'!$B$28:$O$118,13,)/100))</f>
        <v>51.700789568129558</v>
      </c>
      <c r="I35" s="691">
        <f>IF('A1.3.12'!I35="","",'A1.3.12'!I35*(1+VLOOKUP($B35,'A1.3.7'!$B$28:$O$118,13,)/100))</f>
        <v>7.4126146649973848</v>
      </c>
      <c r="J35" s="691">
        <f>IF('A1.3.12'!J35="","",'A1.3.12'!J35*(1+VLOOKUP($B35,'A1.3.7'!$B$28:$O$118,13,)/100))</f>
        <v>-7.1311418088461642E-2</v>
      </c>
      <c r="K35" s="2644">
        <f>IF('A1.3.12'!K35="","",'A1.3.12'!K35*(1+VLOOKUP($B35,'A1.3.7'!$B$28:$O$118,13,)/100))</f>
        <v>5.6193755228431017E-4</v>
      </c>
      <c r="L35" s="693" t="str">
        <f>IF('A1.3.12'!L35="","",'A1.3.12'!L35*(1+VLOOKUP($B35,'A1.3.7'!$B$28:$O$118,14,)/100))</f>
        <v/>
      </c>
      <c r="M35" s="691">
        <f>IF('A1.3.12'!M35="","",'A1.3.12'!M35*(1+VLOOKUP($B35,'A1.3.7'!$B$28:$O$118,14,)/100))</f>
        <v>2.3289199139579697</v>
      </c>
      <c r="N35" s="691" t="str">
        <f>IF('A1.3.12'!N35="","",'A1.3.12'!N35*(1+VLOOKUP($B35,'A1.3.7'!$B$28:$O$118,14,)/100))</f>
        <v/>
      </c>
      <c r="O35" s="1664" t="str">
        <f>IF('A1.3.12'!O35="","",'A1.3.12'!O35*(1+VLOOKUP($B35,'A1.3.7'!$B$28:$O$118,14,)/100))</f>
        <v/>
      </c>
      <c r="P35" s="693">
        <f>IF(AND(D35="",H35="",L35=""),"",IF(D35="",0,D35 * VLOOKUP($B35,'A1.3.9'!$B$26:$O$57,3,TRUE)) + IF(H35="",0,H35 * VLOOKUP($B35,'A1.3.9'!$B$26:$O$57,4,TRUE)) + IF(L35="",0,L35 * VLOOKUP($B35,'A1.3.9'!$B$26:$O$57,5,TRUE)))</f>
        <v>48.650682732991001</v>
      </c>
      <c r="Q35" s="691">
        <f>IF(AND(E35="",I35="",M35=""),"",IF(E35="",0,E35 * VLOOKUP($B35,'A1.3.9'!$B$26:$O$57,3,TRUE)) + IF(I35="",0,I35 * VLOOKUP($B35,'A1.3.9'!$B$26:$O$57,4,TRUE)) + IF(M35="",0,M35 * VLOOKUP($B35,'A1.3.9'!$B$26:$O$57,5,TRUE)))</f>
        <v>8.5249734963793955</v>
      </c>
      <c r="R35" s="691">
        <f>IF(AND(F35="",J35="",N35=""),"",IF(F35="",0,F35 * VLOOKUP($B35,'A1.3.9'!$B$26:$O$57,3,TRUE)) + IF(J35="",0,J35 * VLOOKUP($B35,'A1.3.9'!$B$26:$O$57,4,TRUE)) + IF(N35="",0,N35 * VLOOKUP($B35,'A1.3.9'!$B$26:$O$57,5,TRUE)))</f>
        <v>-9.020276208467351E-2</v>
      </c>
      <c r="S35" s="2644">
        <f>IF(AND(G35="",K35="",O35=""),"",IF(G35="",0,G35 * VLOOKUP($B35,'A1.3.9'!$B$26:$O$57,3,TRUE)) + IF(K35="",0,K35 * VLOOKUP($B35,'A1.3.9'!$B$26:$O$57,4,TRUE)) + IF(O35="",0,O35 * VLOOKUP($B35,'A1.3.9'!$B$26:$O$57,5,TRUE)))</f>
        <v>6.4330861411214123E-4</v>
      </c>
      <c r="T35" s="693">
        <f>IF('A1.3.12'!T35="","",'A1.3.12'!T35*(1+VLOOKUP($B35,'A1.3.7'!$B$28:$O$118,12,)/100))</f>
        <v>36.000919540485448</v>
      </c>
      <c r="U35" s="691">
        <f>IF('A1.3.12'!U35="","",'A1.3.12'!U35*(1+VLOOKUP($B35,'A1.3.7'!$B$28:$O$118,12,)/100))</f>
        <v>20.187231714187256</v>
      </c>
      <c r="V35" s="691">
        <f>IF('A1.3.12'!V35="","",'A1.3.12'!V35*(1+VLOOKUP($B35,'A1.3.7'!$B$28:$O$118,12,)/100))</f>
        <v>-0.31687327545309768</v>
      </c>
      <c r="W35" s="2644">
        <f>IF('A1.3.12'!W35="","",'A1.3.12'!W35*(1+VLOOKUP($B35,'A1.3.7'!$B$28:$O$118,12,)/100))</f>
        <v>2.0463794551722437E-3</v>
      </c>
      <c r="X35" s="693">
        <f>IF('A1.3.12'!X35="","",'A1.3.12'!X35*(1+VLOOKUP($B35,'A1.3.7'!$B$28:$O$118,13,)/100))</f>
        <v>51.99373281656046</v>
      </c>
      <c r="Y35" s="691">
        <f>IF('A1.3.12'!Y35="","",'A1.3.12'!Y35*(1+VLOOKUP($B35,'A1.3.7'!$B$28:$O$118,13,)/100))</f>
        <v>12.707480192076332</v>
      </c>
      <c r="Z35" s="691">
        <f>IF('A1.3.12'!Z35="","",'A1.3.12'!Z35*(1+VLOOKUP($B35,'A1.3.7'!$B$28:$O$118,13,)/100))</f>
        <v>-0.18332849689149167</v>
      </c>
      <c r="AA35" s="2644">
        <f>IF('A1.3.12'!AA35="","",'A1.3.12'!AA35*(1+VLOOKUP($B35,'A1.3.7'!$B$28:$O$118,13,)/100))</f>
        <v>1.552065446824797E-3</v>
      </c>
      <c r="AB35" s="693" t="str">
        <f>IF('A1.3.12'!AB35="","",'A1.3.12'!AB35*(1+VLOOKUP($B35,'A1.3.7'!$B$28:$O$118,14,)/100))</f>
        <v/>
      </c>
      <c r="AC35" s="691">
        <f>IF('A1.3.12'!AC35="","",'A1.3.12'!AC35*(1+VLOOKUP($B35,'A1.3.7'!$B$28:$O$118,14,)/100))</f>
        <v>5.1939098601169453</v>
      </c>
      <c r="AD35" s="691" t="str">
        <f>IF('A1.3.12'!AD35="","",'A1.3.12'!AD35*(1+VLOOKUP($B35,'A1.3.7'!$B$28:$O$118,14,)/100))</f>
        <v/>
      </c>
      <c r="AE35" s="1664" t="str">
        <f>IF('A1.3.12'!AE35="","",'A1.3.12'!AE35*(1+VLOOKUP($B35,'A1.3.7'!$B$28:$O$118,14,)/100))</f>
        <v/>
      </c>
      <c r="AF35" s="693">
        <f>IF(AND(T35="",X35="",AB35=""),"",IF(T35="",0,T35 * VLOOKUP($B35,'A1.3.9'!$B$26:$O$57,6,TRUE)) + IF(X35="",0,X35 * VLOOKUP($B35,'A1.3.9'!$B$26:$O$57,7,TRUE)) + IF(AB35="",0,AB35 * VLOOKUP($B35,'A1.3.9'!$B$26:$O$57,8,TRUE)))</f>
        <v>51.624271788409011</v>
      </c>
      <c r="AG35" s="691">
        <f>IF(AND(U35="",Y35="",AC35=""),"",IF(U35="",0,U35 * VLOOKUP($B35,'A1.3.9'!$B$26:$O$57,6,TRUE)) + IF(Y35="",0,Y35 * VLOOKUP($B35,'A1.3.9'!$B$26:$O$57,7,TRUE)) + IF(AC35="",0,AC35 * VLOOKUP($B35,'A1.3.9'!$B$26:$O$57,8,TRUE)))</f>
        <v>12.806393627171584</v>
      </c>
      <c r="AH35" s="691">
        <f>IF(AND(V35="",Z35="",AD35=""),"",IF(V35="",0,V35 * VLOOKUP($B35,'A1.3.9'!$B$26:$O$57,6,TRUE)) + IF(Z35="",0,Z35 * VLOOKUP($B35,'A1.3.9'!$B$26:$O$57,7,TRUE)) + IF(AD35="",0,AD35 * VLOOKUP($B35,'A1.3.9'!$B$26:$O$57,8,TRUE)))</f>
        <v>-0.18498036437494278</v>
      </c>
      <c r="AI35" s="2644">
        <f>IF(AND(W35="",AA35="",AE35=""),"",IF(W35="",0,W35 * VLOOKUP($B35,'A1.3.9'!$B$26:$O$57,6,TRUE)) + IF(AA35="",0,AA35 * VLOOKUP($B35,'A1.3.9'!$B$26:$O$57,7,TRUE)) + IF(AE35="",0,AE35 * VLOOKUP($B35,'A1.3.9'!$B$26:$O$57,8,TRUE)))</f>
        <v>1.5561524050523227E-3</v>
      </c>
    </row>
    <row r="36" spans="1:35" ht="13.5" customHeight="1">
      <c r="A36" s="113"/>
      <c r="B36" s="614">
        <f t="shared" si="0"/>
        <v>2019</v>
      </c>
      <c r="C36" s="147"/>
      <c r="D36" s="693">
        <f>IF('A1.3.12'!D36="","",'A1.3.12'!D36*(1+VLOOKUP($B36,'A1.3.7'!$B$28:$O$118,12,)/100))</f>
        <v>44.2659892684987</v>
      </c>
      <c r="E36" s="691">
        <f>IF('A1.3.12'!E36="","",'A1.3.12'!E36*(1+VLOOKUP($B36,'A1.3.7'!$B$28:$O$118,12,)/100))</f>
        <v>9.4072407541046861</v>
      </c>
      <c r="F36" s="691">
        <f>IF('A1.3.12'!F36="","",'A1.3.12'!F36*(1+VLOOKUP($B36,'A1.3.7'!$B$28:$O$118,12,)/100))</f>
        <v>-0.10715962810147148</v>
      </c>
      <c r="G36" s="2644">
        <f>IF('A1.3.12'!G36="","",'A1.3.12'!G36*(1+VLOOKUP($B36,'A1.3.7'!$B$28:$O$118,12,)/100))</f>
        <v>7.097095947070476E-4</v>
      </c>
      <c r="H36" s="693">
        <f>IF('A1.3.12'!H36="","",'A1.3.12'!H36*(1+VLOOKUP($B36,'A1.3.7'!$B$28:$O$118,13,)/100))</f>
        <v>49.797418815579569</v>
      </c>
      <c r="I36" s="691">
        <f>IF('A1.3.12'!I36="","",'A1.3.12'!I36*(1+VLOOKUP($B36,'A1.3.7'!$B$28:$O$118,13,)/100))</f>
        <v>7.1397183693869097</v>
      </c>
      <c r="J36" s="691">
        <f>IF('A1.3.12'!J36="","",'A1.3.12'!J36*(1+VLOOKUP($B36,'A1.3.7'!$B$28:$O$118,13,)/100))</f>
        <v>-6.8686079701055003E-2</v>
      </c>
      <c r="K36" s="2644">
        <f>IF('A1.3.12'!K36="","",'A1.3.12'!K36*(1+VLOOKUP($B36,'A1.3.7'!$B$28:$O$118,13,)/100))</f>
        <v>5.4124975407635349E-4</v>
      </c>
      <c r="L36" s="693" t="str">
        <f>IF('A1.3.12'!L36="","",'A1.3.12'!L36*(1+VLOOKUP($B36,'A1.3.7'!$B$28:$O$118,14,)/100))</f>
        <v/>
      </c>
      <c r="M36" s="691">
        <f>IF('A1.3.12'!M36="","",'A1.3.12'!M36*(1+VLOOKUP($B36,'A1.3.7'!$B$28:$O$118,14,)/100))</f>
        <v>2.3658338478453254</v>
      </c>
      <c r="N36" s="691" t="str">
        <f>IF('A1.3.12'!N36="","",'A1.3.12'!N36*(1+VLOOKUP($B36,'A1.3.7'!$B$28:$O$118,14,)/100))</f>
        <v/>
      </c>
      <c r="O36" s="1664" t="str">
        <f>IF('A1.3.12'!O36="","",'A1.3.12'!O36*(1+VLOOKUP($B36,'A1.3.7'!$B$28:$O$118,14,)/100))</f>
        <v/>
      </c>
      <c r="P36" s="693">
        <f>IF(AND(D36="",H36="",L36=""),"",IF(D36="",0,D36 * VLOOKUP($B36,'A1.3.9'!$B$26:$O$57,3,TRUE)) + IF(H36="",0,H36 * VLOOKUP($B36,'A1.3.9'!$B$26:$O$57,4,TRUE)) + IF(L36="",0,L36 * VLOOKUP($B36,'A1.3.9'!$B$26:$O$57,5,TRUE)))</f>
        <v>46.657791504884436</v>
      </c>
      <c r="Q36" s="691">
        <f>IF(AND(E36="",I36="",M36=""),"",IF(E36="",0,E36 * VLOOKUP($B36,'A1.3.9'!$B$26:$O$57,3,TRUE)) + IF(I36="",0,I36 * VLOOKUP($B36,'A1.3.9'!$B$26:$O$57,4,TRUE)) + IF(M36="",0,M36 * VLOOKUP($B36,'A1.3.9'!$B$26:$O$57,5,TRUE)))</f>
        <v>8.1912953756865843</v>
      </c>
      <c r="R36" s="691">
        <f>IF(AND(F36="",J36="",N36=""),"",IF(F36="",0,F36 * VLOOKUP($B36,'A1.3.9'!$B$26:$O$57,3,TRUE)) + IF(J36="",0,J36 * VLOOKUP($B36,'A1.3.9'!$B$26:$O$57,4,TRUE)) + IF(N36="",0,N36 * VLOOKUP($B36,'A1.3.9'!$B$26:$O$57,5,TRUE)))</f>
        <v>-8.6643528227754257E-2</v>
      </c>
      <c r="S36" s="2644">
        <f>IF(AND(G36="",K36="",O36=""),"",IF(G36="",0,G36 * VLOOKUP($B36,'A1.3.9'!$B$26:$O$57,3,TRUE)) + IF(K36="",0,K36 * VLOOKUP($B36,'A1.3.9'!$B$26:$O$57,4,TRUE)) + IF(O36="",0,O36 * VLOOKUP($B36,'A1.3.9'!$B$26:$O$57,5,TRUE)))</f>
        <v>6.1762972366968718E-4</v>
      </c>
      <c r="T36" s="693">
        <f>IF('A1.3.12'!T36="","",'A1.3.12'!T36*(1+VLOOKUP($B36,'A1.3.7'!$B$28:$O$118,12,)/100))</f>
        <v>34.839918663027774</v>
      </c>
      <c r="U36" s="691">
        <f>IF('A1.3.12'!U36="","",'A1.3.12'!U36*(1+VLOOKUP($B36,'A1.3.7'!$B$28:$O$118,12,)/100))</f>
        <v>19.536209628285928</v>
      </c>
      <c r="V36" s="691">
        <f>IF('A1.3.12'!V36="","",'A1.3.12'!V36*(1+VLOOKUP($B36,'A1.3.7'!$B$28:$O$118,12,)/100))</f>
        <v>-0.30665436561580256</v>
      </c>
      <c r="W36" s="2644">
        <f>IF('A1.3.12'!W36="","",'A1.3.12'!W36*(1+VLOOKUP($B36,'A1.3.7'!$B$28:$O$118,12,)/100))</f>
        <v>1.9803853535384081E-3</v>
      </c>
      <c r="X36" s="693">
        <f>IF('A1.3.12'!X36="","",'A1.3.12'!X36*(1+VLOOKUP($B36,'A1.3.7'!$B$28:$O$118,13,)/100))</f>
        <v>50.822923240869727</v>
      </c>
      <c r="Y36" s="691">
        <f>IF('A1.3.12'!Y36="","",'A1.3.12'!Y36*(1+VLOOKUP($B36,'A1.3.7'!$B$28:$O$118,13,)/100))</f>
        <v>12.421329560340103</v>
      </c>
      <c r="Z36" s="691">
        <f>IF('A1.3.12'!Z36="","",'A1.3.12'!Z36*(1+VLOOKUP($B36,'A1.3.7'!$B$28:$O$118,13,)/100))</f>
        <v>-0.17920025396623698</v>
      </c>
      <c r="AA36" s="2644">
        <f>IF('A1.3.12'!AA36="","",'A1.3.12'!AA36*(1+VLOOKUP($B36,'A1.3.7'!$B$28:$O$118,13,)/100))</f>
        <v>1.5171155982795432E-3</v>
      </c>
      <c r="AB36" s="693" t="str">
        <f>IF('A1.3.12'!AB36="","",'A1.3.12'!AB36*(1+VLOOKUP($B36,'A1.3.7'!$B$28:$O$118,14,)/100))</f>
        <v/>
      </c>
      <c r="AC36" s="691">
        <f>IF('A1.3.12'!AC36="","",'A1.3.12'!AC36*(1+VLOOKUP($B36,'A1.3.7'!$B$28:$O$118,14,)/100))</f>
        <v>5.2905825956270043</v>
      </c>
      <c r="AD36" s="691" t="str">
        <f>IF('A1.3.12'!AD36="","",'A1.3.12'!AD36*(1+VLOOKUP($B36,'A1.3.7'!$B$28:$O$118,14,)/100))</f>
        <v/>
      </c>
      <c r="AE36" s="1664" t="str">
        <f>IF('A1.3.12'!AE36="","",'A1.3.12'!AE36*(1+VLOOKUP($B36,'A1.3.7'!$B$28:$O$118,14,)/100))</f>
        <v/>
      </c>
      <c r="AF36" s="693">
        <f>IF(AND(T36="",X36="",AB36=""),"",IF(T36="",0,T36 * VLOOKUP($B36,'A1.3.9'!$B$26:$O$57,6,TRUE)) + IF(X36="",0,X36 * VLOOKUP($B36,'A1.3.9'!$B$26:$O$57,7,TRUE)) + IF(AB36="",0,AB36 * VLOOKUP($B36,'A1.3.9'!$B$26:$O$57,8,TRUE)))</f>
        <v>50.482200183934303</v>
      </c>
      <c r="AG36" s="691">
        <f>IF(AND(U36="",Y36="",AC36=""),"",IF(U36="",0,U36 * VLOOKUP($B36,'A1.3.9'!$B$26:$O$57,6,TRUE)) + IF(Y36="",0,Y36 * VLOOKUP($B36,'A1.3.9'!$B$26:$O$57,7,TRUE)) + IF(AC36="",0,AC36 * VLOOKUP($B36,'A1.3.9'!$B$26:$O$57,8,TRUE)))</f>
        <v>12.507512755255062</v>
      </c>
      <c r="AH36" s="691">
        <f>IF(AND(V36="",Z36="",AD36=""),"",IF(V36="",0,V36 * VLOOKUP($B36,'A1.3.9'!$B$26:$O$57,6,TRUE)) + IF(Z36="",0,Z36 * VLOOKUP($B36,'A1.3.9'!$B$26:$O$57,7,TRUE)) + IF(AD36="",0,AD36 * VLOOKUP($B36,'A1.3.9'!$B$26:$O$57,8,TRUE)))</f>
        <v>-0.1806308487639845</v>
      </c>
      <c r="AI36" s="2644">
        <f>IF(AND(W36="",AA36="",AE36=""),"",IF(W36="",0,W36 * VLOOKUP($B36,'A1.3.9'!$B$26:$O$57,6,TRUE)) + IF(AA36="",0,AA36 * VLOOKUP($B36,'A1.3.9'!$B$26:$O$57,7,TRUE)) + IF(AE36="",0,AE36 * VLOOKUP($B36,'A1.3.9'!$B$26:$O$57,8,TRUE)))</f>
        <v>1.5204099683268221E-3</v>
      </c>
    </row>
    <row r="37" spans="1:35" ht="13.5" customHeight="1">
      <c r="A37" s="113"/>
      <c r="B37" s="614">
        <f t="shared" si="0"/>
        <v>2020</v>
      </c>
      <c r="C37" s="147"/>
      <c r="D37" s="693">
        <f>IF('A1.3.12'!D37="","",'A1.3.12'!D37*(1+VLOOKUP($B37,'A1.3.7'!$B$28:$O$118,12,)/100))</f>
        <v>43.441069268479048</v>
      </c>
      <c r="E37" s="691">
        <f>IF('A1.3.12'!E37="","",'A1.3.12'!E37*(1+VLOOKUP($B37,'A1.3.7'!$B$28:$O$118,12,)/100))</f>
        <v>9.2319318731489091</v>
      </c>
      <c r="F37" s="691">
        <f>IF('A1.3.12'!F37="","",'A1.3.12'!F37*(1+VLOOKUP($B37,'A1.3.7'!$B$28:$O$118,12,)/100))</f>
        <v>-0.10516265205109142</v>
      </c>
      <c r="G37" s="2644">
        <f>IF('A1.3.12'!G37="","",'A1.3.12'!G37*(1+VLOOKUP($B37,'A1.3.7'!$B$28:$O$118,12,)/100))</f>
        <v>6.9648378300478158E-4</v>
      </c>
      <c r="H37" s="693">
        <f>IF('A1.3.12'!H37="","",'A1.3.12'!H37*(1+VLOOKUP($B37,'A1.3.7'!$B$28:$O$118,13,)/100))</f>
        <v>49.237798256090279</v>
      </c>
      <c r="I37" s="691">
        <f>IF('A1.3.12'!I37="","",'A1.3.12'!I37*(1+VLOOKUP($B37,'A1.3.7'!$B$28:$O$118,13,)/100))</f>
        <v>7.0594826205568486</v>
      </c>
      <c r="J37" s="691">
        <f>IF('A1.3.12'!J37="","",'A1.3.12'!J37*(1+VLOOKUP($B37,'A1.3.7'!$B$28:$O$118,13,)/100))</f>
        <v>-6.791418944518085E-2</v>
      </c>
      <c r="K37" s="2644">
        <f>IF('A1.3.12'!K37="","",'A1.3.12'!K37*(1+VLOOKUP($B37,'A1.3.7'!$B$28:$O$118,13,)/100))</f>
        <v>5.3516722013375326E-4</v>
      </c>
      <c r="L37" s="693" t="str">
        <f>IF('A1.3.12'!L37="","",'A1.3.12'!L37*(1+VLOOKUP($B37,'A1.3.7'!$B$28:$O$118,14,)/100))</f>
        <v/>
      </c>
      <c r="M37" s="691">
        <f>IF('A1.3.12'!M37="","",'A1.3.12'!M37*(1+VLOOKUP($B37,'A1.3.7'!$B$28:$O$118,14,)/100))</f>
        <v>2.4066624488032624</v>
      </c>
      <c r="N37" s="691" t="str">
        <f>IF('A1.3.12'!N37="","",'A1.3.12'!N37*(1+VLOOKUP($B37,'A1.3.7'!$B$28:$O$118,14,)/100))</f>
        <v/>
      </c>
      <c r="O37" s="1664" t="str">
        <f>IF('A1.3.12'!O37="","",'A1.3.12'!O37*(1+VLOOKUP($B37,'A1.3.7'!$B$28:$O$118,14,)/100))</f>
        <v/>
      </c>
      <c r="P37" s="693">
        <f>IF(AND(D37="",H37="",L37=""),"",IF(D37="",0,D37 * VLOOKUP($B37,'A1.3.9'!$B$26:$O$57,3,TRUE)) + IF(H37="",0,H37 * VLOOKUP($B37,'A1.3.9'!$B$26:$O$57,4,TRUE)) + IF(L37="",0,L37 * VLOOKUP($B37,'A1.3.9'!$B$26:$O$57,5,TRUE)))</f>
        <v>45.827700658324915</v>
      </c>
      <c r="Q37" s="691">
        <f>IF(AND(E37="",I37="",M37=""),"",IF(E37="",0,E37 * VLOOKUP($B37,'A1.3.9'!$B$26:$O$57,3,TRUE)) + IF(I37="",0,I37 * VLOOKUP($B37,'A1.3.9'!$B$26:$O$57,4,TRUE)) + IF(M37="",0,M37 * VLOOKUP($B37,'A1.3.9'!$B$26:$O$57,5,TRUE)))</f>
        <v>8.0618052408159393</v>
      </c>
      <c r="R37" s="691">
        <f>IF(AND(F37="",J37="",N37=""),"",IF(F37="",0,F37 * VLOOKUP($B37,'A1.3.9'!$B$26:$O$57,3,TRUE)) + IF(J37="",0,J37 * VLOOKUP($B37,'A1.3.9'!$B$26:$O$57,4,TRUE)) + IF(N37="",0,N37 * VLOOKUP($B37,'A1.3.9'!$B$26:$O$57,5,TRUE)))</f>
        <v>-8.5241385103705533E-2</v>
      </c>
      <c r="S37" s="2644">
        <f>IF(AND(G37="",K37="",O37=""),"",IF(G37="",0,G37 * VLOOKUP($B37,'A1.3.9'!$B$26:$O$57,3,TRUE)) + IF(K37="",0,K37 * VLOOKUP($B37,'A1.3.9'!$B$26:$O$57,4,TRUE)) + IF(O37="",0,O37 * VLOOKUP($B37,'A1.3.9'!$B$26:$O$57,5,TRUE)))</f>
        <v>6.0733227822003439E-4</v>
      </c>
      <c r="T37" s="693">
        <f>IF('A1.3.12'!T37="","",'A1.3.12'!T37*(1+VLOOKUP($B37,'A1.3.7'!$B$28:$O$118,12,)/100))</f>
        <v>34.032230589555482</v>
      </c>
      <c r="U37" s="691">
        <f>IF('A1.3.12'!U37="","",'A1.3.12'!U37*(1+VLOOKUP($B37,'A1.3.7'!$B$28:$O$118,12,)/100))</f>
        <v>19.083304910848511</v>
      </c>
      <c r="V37" s="691">
        <f>IF('A1.3.12'!V37="","",'A1.3.12'!V37*(1+VLOOKUP($B37,'A1.3.7'!$B$28:$O$118,12,)/100))</f>
        <v>-0.29954524816401779</v>
      </c>
      <c r="W37" s="2644">
        <f>IF('A1.3.12'!W37="","",'A1.3.12'!W37*(1+VLOOKUP($B37,'A1.3.7'!$B$28:$O$118,12,)/100))</f>
        <v>1.9344744073504195E-3</v>
      </c>
      <c r="X37" s="693">
        <f>IF('A1.3.12'!X37="","",'A1.3.12'!X37*(1+VLOOKUP($B37,'A1.3.7'!$B$28:$O$118,13,)/100))</f>
        <v>49.971428526153744</v>
      </c>
      <c r="Y37" s="691">
        <f>IF('A1.3.12'!Y37="","",'A1.3.12'!Y37*(1+VLOOKUP($B37,'A1.3.7'!$B$28:$O$118,13,)/100))</f>
        <v>12.213220781940093</v>
      </c>
      <c r="Z37" s="691">
        <f>IF('A1.3.12'!Z37="","",'A1.3.12'!Z37*(1+VLOOKUP($B37,'A1.3.7'!$B$28:$O$118,13,)/100))</f>
        <v>-0.1761979066119764</v>
      </c>
      <c r="AA37" s="2644">
        <f>IF('A1.3.12'!AA37="","",'A1.3.12'!AA37*(1+VLOOKUP($B37,'A1.3.7'!$B$28:$O$118,13,)/100))</f>
        <v>1.4916976208950901E-3</v>
      </c>
      <c r="AB37" s="693" t="str">
        <f>IF('A1.3.12'!AB37="","",'A1.3.12'!AB37*(1+VLOOKUP($B37,'A1.3.7'!$B$28:$O$118,14,)/100))</f>
        <v/>
      </c>
      <c r="AC37" s="691">
        <f>IF('A1.3.12'!AC37="","",'A1.3.12'!AC37*(1+VLOOKUP($B37,'A1.3.7'!$B$28:$O$118,14,)/100))</f>
        <v>5.3868728343524346</v>
      </c>
      <c r="AD37" s="691" t="str">
        <f>IF('A1.3.12'!AD37="","",'A1.3.12'!AD37*(1+VLOOKUP($B37,'A1.3.7'!$B$28:$O$118,14,)/100))</f>
        <v/>
      </c>
      <c r="AE37" s="1664" t="str">
        <f>IF('A1.3.12'!AE37="","",'A1.3.12'!AE37*(1+VLOOKUP($B37,'A1.3.7'!$B$28:$O$118,14,)/100))</f>
        <v/>
      </c>
      <c r="AF37" s="693">
        <f>IF(AND(T37="",X37="",AB37=""),"",IF(T37="",0,T37 * VLOOKUP($B37,'A1.3.9'!$B$26:$O$57,6,TRUE)) + IF(X37="",0,X37 * VLOOKUP($B37,'A1.3.9'!$B$26:$O$57,7,TRUE)) + IF(AB37="",0,AB37 * VLOOKUP($B37,'A1.3.9'!$B$26:$O$57,8,TRUE)))</f>
        <v>49.643268225513076</v>
      </c>
      <c r="AG37" s="691">
        <f>IF(AND(U37="",Y37="",AC37=""),"",IF(U37="",0,U37 * VLOOKUP($B37,'A1.3.9'!$B$26:$O$57,6,TRUE)) + IF(Y37="",0,Y37 * VLOOKUP($B37,'A1.3.9'!$B$26:$O$57,7,TRUE)) + IF(AC37="",0,AC37 * VLOOKUP($B37,'A1.3.9'!$B$26:$O$57,8,TRUE)))</f>
        <v>12.289493658923133</v>
      </c>
      <c r="AH37" s="691">
        <f>IF(AND(V37="",Z37="",AD37=""),"",IF(V37="",0,V37 * VLOOKUP($B37,'A1.3.9'!$B$26:$O$57,6,TRUE)) + IF(Z37="",0,Z37 * VLOOKUP($B37,'A1.3.9'!$B$26:$O$57,7,TRUE)) + IF(AD37="",0,AD37 * VLOOKUP($B37,'A1.3.9'!$B$26:$O$57,8,TRUE)))</f>
        <v>-0.17744409884767759</v>
      </c>
      <c r="AI37" s="2644">
        <f>IF(AND(W37="",AA37="",AE37=""),"",IF(W37="",0,W37 * VLOOKUP($B37,'A1.3.9'!$B$26:$O$57,6,TRUE)) + IF(AA37="",0,AA37 * VLOOKUP($B37,'A1.3.9'!$B$26:$O$57,7,TRUE)) + IF(AE37="",0,AE37 * VLOOKUP($B37,'A1.3.9'!$B$26:$O$57,8,TRUE)))</f>
        <v>1.4941969705632835E-3</v>
      </c>
    </row>
    <row r="38" spans="1:35" ht="13.5" customHeight="1">
      <c r="A38" s="113"/>
      <c r="B38" s="614">
        <f t="shared" si="0"/>
        <v>2021</v>
      </c>
      <c r="C38" s="147"/>
      <c r="D38" s="693">
        <f>IF('A1.3.12'!D38="","",'A1.3.12'!D38*(1+VLOOKUP($B38,'A1.3.7'!$B$28:$O$118,12,)/100))</f>
        <v>42.521598686552835</v>
      </c>
      <c r="E38" s="691">
        <f>IF('A1.3.12'!E38="","",'A1.3.12'!E38*(1+VLOOKUP($B38,'A1.3.7'!$B$28:$O$118,12,)/100))</f>
        <v>9.0365294598416774</v>
      </c>
      <c r="F38" s="691">
        <f>IF('A1.3.12'!F38="","",'A1.3.12'!F38*(1+VLOOKUP($B38,'A1.3.7'!$B$28:$O$118,12,)/100))</f>
        <v>-0.10293678683859576</v>
      </c>
      <c r="G38" s="2644">
        <f>IF('A1.3.12'!G38="","",'A1.3.12'!G38*(1+VLOOKUP($B38,'A1.3.7'!$B$28:$O$118,12,)/100))</f>
        <v>6.8174205679855657E-4</v>
      </c>
      <c r="H38" s="693">
        <f>IF('A1.3.12'!H38="","",'A1.3.12'!H38*(1+VLOOKUP($B38,'A1.3.7'!$B$28:$O$118,13,)/100))</f>
        <v>48.696475230016283</v>
      </c>
      <c r="I38" s="691">
        <f>IF('A1.3.12'!I38="","",'A1.3.12'!I38*(1+VLOOKUP($B38,'A1.3.7'!$B$28:$O$118,13,)/100))</f>
        <v>6.981870285521051</v>
      </c>
      <c r="J38" s="691">
        <f>IF('A1.3.12'!J38="","",'A1.3.12'!J38*(1+VLOOKUP($B38,'A1.3.7'!$B$28:$O$118,13,)/100))</f>
        <v>-6.716753716083991E-2</v>
      </c>
      <c r="K38" s="2644">
        <f>IF('A1.3.12'!K38="","",'A1.3.12'!K38*(1+VLOOKUP($B38,'A1.3.7'!$B$28:$O$118,13,)/100))</f>
        <v>5.2928356267304257E-4</v>
      </c>
      <c r="L38" s="693" t="str">
        <f>IF('A1.3.12'!L38="","",'A1.3.12'!L38*(1+VLOOKUP($B38,'A1.3.7'!$B$28:$O$118,14,)/100))</f>
        <v/>
      </c>
      <c r="M38" s="691">
        <f>IF('A1.3.12'!M38="","",'A1.3.12'!M38*(1+VLOOKUP($B38,'A1.3.7'!$B$28:$O$118,14,)/100))</f>
        <v>2.3571977337439423</v>
      </c>
      <c r="N38" s="691" t="str">
        <f>IF('A1.3.12'!N38="","",'A1.3.12'!N38*(1+VLOOKUP($B38,'A1.3.7'!$B$28:$O$118,14,)/100))</f>
        <v/>
      </c>
      <c r="O38" s="1664" t="str">
        <f>IF('A1.3.12'!O38="","",'A1.3.12'!O38*(1+VLOOKUP($B38,'A1.3.7'!$B$28:$O$118,14,)/100))</f>
        <v/>
      </c>
      <c r="P38" s="693">
        <f>IF(AND(D38="",H38="",L38=""),"",IF(D38="",0,D38 * VLOOKUP($B38,'A1.3.9'!$B$26:$O$57,3,TRUE)) + IF(H38="",0,H38 * VLOOKUP($B38,'A1.3.9'!$B$26:$O$57,4,TRUE)) + IF(L38="",0,L38 * VLOOKUP($B38,'A1.3.9'!$B$26:$O$57,5,TRUE)))</f>
        <v>44.840461627092139</v>
      </c>
      <c r="Q38" s="691">
        <f>IF(AND(E38="",I38="",M38=""),"",IF(E38="",0,E38 * VLOOKUP($B38,'A1.3.9'!$B$26:$O$57,3,TRUE)) + IF(I38="",0,I38 * VLOOKUP($B38,'A1.3.9'!$B$26:$O$57,4,TRUE)) + IF(M38="",0,M38 * VLOOKUP($B38,'A1.3.9'!$B$26:$O$57,5,TRUE)))</f>
        <v>7.9089978634637745</v>
      </c>
      <c r="R38" s="691">
        <f>IF(AND(F38="",J38="",N38=""),"",IF(F38="",0,F38 * VLOOKUP($B38,'A1.3.9'!$B$26:$O$57,3,TRUE)) + IF(J38="",0,J38 * VLOOKUP($B38,'A1.3.9'!$B$26:$O$57,4,TRUE)) + IF(N38="",0,N38 * VLOOKUP($B38,'A1.3.9'!$B$26:$O$57,5,TRUE)))</f>
        <v>-8.3535779230822366E-2</v>
      </c>
      <c r="S38" s="2644">
        <f>IF(AND(G38="",K38="",O38=""),"",IF(G38="",0,G38 * VLOOKUP($B38,'A1.3.9'!$B$26:$O$57,3,TRUE)) + IF(K38="",0,K38 * VLOOKUP($B38,'A1.3.9'!$B$26:$O$57,4,TRUE)) + IF(O38="",0,O38 * VLOOKUP($B38,'A1.3.9'!$B$26:$O$57,5,TRUE)))</f>
        <v>5.9489688871666507E-4</v>
      </c>
      <c r="T38" s="693">
        <f>IF('A1.3.12'!T38="","",'A1.3.12'!T38*(1+VLOOKUP($B38,'A1.3.7'!$B$28:$O$118,12,)/100))</f>
        <v>33.270145779387647</v>
      </c>
      <c r="U38" s="691">
        <f>IF('A1.3.12'!U38="","",'A1.3.12'!U38*(1+VLOOKUP($B38,'A1.3.7'!$B$28:$O$118,12,)/100))</f>
        <v>18.655971863662877</v>
      </c>
      <c r="V38" s="691">
        <f>IF('A1.3.12'!V38="","",'A1.3.12'!V38*(1+VLOOKUP($B38,'A1.3.7'!$B$28:$O$118,12,)/100))</f>
        <v>-0.29283752199887447</v>
      </c>
      <c r="W38" s="2644">
        <f>IF('A1.3.12'!W38="","",'A1.3.12'!W38*(1+VLOOKUP($B38,'A1.3.7'!$B$28:$O$118,12,)/100))</f>
        <v>1.8911556610924933E-3</v>
      </c>
      <c r="X38" s="693">
        <f>IF('A1.3.12'!X38="","",'A1.3.12'!X38*(1+VLOOKUP($B38,'A1.3.7'!$B$28:$O$118,13,)/100))</f>
        <v>49.31237234439233</v>
      </c>
      <c r="Y38" s="691">
        <f>IF('A1.3.12'!Y38="","",'A1.3.12'!Y38*(1+VLOOKUP($B38,'A1.3.7'!$B$28:$O$118,13,)/100))</f>
        <v>12.052144765245037</v>
      </c>
      <c r="Z38" s="691">
        <f>IF('A1.3.12'!Z38="","",'A1.3.12'!Z38*(1+VLOOKUP($B38,'A1.3.7'!$B$28:$O$118,13,)/100))</f>
        <v>-0.17387409232467291</v>
      </c>
      <c r="AA38" s="2644">
        <f>IF('A1.3.12'!AA38="","",'A1.3.12'!AA38*(1+VLOOKUP($B38,'A1.3.7'!$B$28:$O$118,13,)/100))</f>
        <v>1.472024128114007E-3</v>
      </c>
      <c r="AB38" s="693" t="str">
        <f>IF('A1.3.12'!AB38="","",'A1.3.12'!AB38*(1+VLOOKUP($B38,'A1.3.7'!$B$28:$O$118,14,)/100))</f>
        <v/>
      </c>
      <c r="AC38" s="691">
        <f>IF('A1.3.12'!AC38="","",'A1.3.12'!AC38*(1+VLOOKUP($B38,'A1.3.7'!$B$28:$O$118,14,)/100))</f>
        <v>5.133478794886809</v>
      </c>
      <c r="AD38" s="691" t="str">
        <f>IF('A1.3.12'!AD38="","",'A1.3.12'!AD38*(1+VLOOKUP($B38,'A1.3.7'!$B$28:$O$118,14,)/100))</f>
        <v/>
      </c>
      <c r="AE38" s="1664" t="str">
        <f>IF('A1.3.12'!AE38="","",'A1.3.12'!AE38*(1+VLOOKUP($B38,'A1.3.7'!$B$28:$O$118,14,)/100))</f>
        <v/>
      </c>
      <c r="AF38" s="693">
        <f>IF(AND(T38="",X38="",AB38=""),"",IF(T38="",0,T38 * VLOOKUP($B38,'A1.3.9'!$B$26:$O$57,6,TRUE)) + IF(X38="",0,X38 * VLOOKUP($B38,'A1.3.9'!$B$26:$O$57,7,TRUE)) + IF(AB38="",0,AB38 * VLOOKUP($B38,'A1.3.9'!$B$26:$O$57,8,TRUE)))</f>
        <v>48.972480378312646</v>
      </c>
      <c r="AG38" s="691">
        <f>IF(AND(U38="",Y38="",AC38=""),"",IF(U38="",0,U38 * VLOOKUP($B38,'A1.3.9'!$B$26:$O$57,6,TRUE)) + IF(Y38="",0,Y38 * VLOOKUP($B38,'A1.3.9'!$B$26:$O$57,7,TRUE)) + IF(AC38="",0,AC38 * VLOOKUP($B38,'A1.3.9'!$B$26:$O$57,8,TRUE)))</f>
        <v>12.116710663509206</v>
      </c>
      <c r="AH38" s="691">
        <f>IF(AND(V38="",Z38="",AD38=""),"",IF(V38="",0,V38 * VLOOKUP($B38,'A1.3.9'!$B$26:$O$57,6,TRUE)) + IF(Z38="",0,Z38 * VLOOKUP($B38,'A1.3.9'!$B$26:$O$57,7,TRUE)) + IF(AD38="",0,AD38 * VLOOKUP($B38,'A1.3.9'!$B$26:$O$57,8,TRUE)))</f>
        <v>-0.17490088835576822</v>
      </c>
      <c r="AI38" s="2644">
        <f>IF(AND(W38="",AA38="",AE38=""),"",IF(W38="",0,W38 * VLOOKUP($B38,'A1.3.9'!$B$26:$O$57,6,TRUE)) + IF(AA38="",0,AA38 * VLOOKUP($B38,'A1.3.9'!$B$26:$O$57,7,TRUE)) + IF(AE38="",0,AE38 * VLOOKUP($B38,'A1.3.9'!$B$26:$O$57,8,TRUE)))</f>
        <v>1.4732624631752839E-3</v>
      </c>
    </row>
    <row r="39" spans="1:35" ht="13.5" customHeight="1">
      <c r="A39" s="113"/>
      <c r="B39" s="614">
        <f t="shared" si="0"/>
        <v>2022</v>
      </c>
      <c r="C39" s="147"/>
      <c r="D39" s="693">
        <f>IF('A1.3.12'!D39="","",'A1.3.12'!D39*(1+VLOOKUP($B39,'A1.3.7'!$B$28:$O$118,12,)/100))</f>
        <v>41.790060296146137</v>
      </c>
      <c r="E39" s="691">
        <f>IF('A1.3.12'!E39="","",'A1.3.12'!E39*(1+VLOOKUP($B39,'A1.3.7'!$B$28:$O$118,12,)/100))</f>
        <v>8.881065685663172</v>
      </c>
      <c r="F39" s="691">
        <f>IF('A1.3.12'!F39="","",'A1.3.12'!F39*(1+VLOOKUP($B39,'A1.3.7'!$B$28:$O$118,12,)/100))</f>
        <v>-0.10116587008843704</v>
      </c>
      <c r="G39" s="2644">
        <f>IF('A1.3.12'!G39="","",'A1.3.12'!G39*(1+VLOOKUP($B39,'A1.3.7'!$B$28:$O$118,12,)/100))</f>
        <v>6.7001341765261845E-4</v>
      </c>
      <c r="H39" s="693">
        <f>IF('A1.3.12'!H39="","",'A1.3.12'!H39*(1+VLOOKUP($B39,'A1.3.7'!$B$28:$O$118,13,)/100))</f>
        <v>48.369537668613638</v>
      </c>
      <c r="I39" s="691">
        <f>IF('A1.3.12'!I39="","",'A1.3.12'!I39*(1+VLOOKUP($B39,'A1.3.7'!$B$28:$O$118,13,)/100))</f>
        <v>6.9349955243726127</v>
      </c>
      <c r="J39" s="691">
        <f>IF('A1.3.12'!J39="","",'A1.3.12'!J39*(1+VLOOKUP($B39,'A1.3.7'!$B$28:$O$118,13,)/100))</f>
        <v>-6.6716588900189389E-2</v>
      </c>
      <c r="K39" s="2644">
        <f>IF('A1.3.12'!K39="","",'A1.3.12'!K39*(1+VLOOKUP($B39,'A1.3.7'!$B$28:$O$118,13,)/100))</f>
        <v>5.2573006775470449E-4</v>
      </c>
      <c r="L39" s="693" t="str">
        <f>IF('A1.3.12'!L39="","",'A1.3.12'!L39*(1+VLOOKUP($B39,'A1.3.7'!$B$28:$O$118,14,)/100))</f>
        <v/>
      </c>
      <c r="M39" s="691">
        <f>IF('A1.3.12'!M39="","",'A1.3.12'!M39*(1+VLOOKUP($B39,'A1.3.7'!$B$28:$O$118,14,)/100))</f>
        <v>2.3406244186771024</v>
      </c>
      <c r="N39" s="691" t="str">
        <f>IF('A1.3.12'!N39="","",'A1.3.12'!N39*(1+VLOOKUP($B39,'A1.3.7'!$B$28:$O$118,14,)/100))</f>
        <v/>
      </c>
      <c r="O39" s="1664" t="str">
        <f>IF('A1.3.12'!O39="","",'A1.3.12'!O39*(1+VLOOKUP($B39,'A1.3.7'!$B$28:$O$118,14,)/100))</f>
        <v/>
      </c>
      <c r="P39" s="693">
        <f>IF(AND(D39="",H39="",L39=""),"",IF(D39="",0,D39 * VLOOKUP($B39,'A1.3.9'!$B$26:$O$57,3,TRUE)) + IF(H39="",0,H39 * VLOOKUP($B39,'A1.3.9'!$B$26:$O$57,4,TRUE)) + IF(L39="",0,L39 * VLOOKUP($B39,'A1.3.9'!$B$26:$O$57,5,TRUE)))</f>
        <v>43.993764994446195</v>
      </c>
      <c r="Q39" s="691">
        <f>IF(AND(E39="",I39="",M39=""),"",IF(E39="",0,E39 * VLOOKUP($B39,'A1.3.9'!$B$26:$O$57,3,TRUE)) + IF(I39="",0,I39 * VLOOKUP($B39,'A1.3.9'!$B$26:$O$57,4,TRUE)) + IF(M39="",0,M39 * VLOOKUP($B39,'A1.3.9'!$B$26:$O$57,5,TRUE)))</f>
        <v>7.7856765169574045</v>
      </c>
      <c r="R39" s="691">
        <f>IF(AND(F39="",J39="",N39=""),"",IF(F39="",0,F39 * VLOOKUP($B39,'A1.3.9'!$B$26:$O$57,3,TRUE)) + IF(J39="",0,J39 * VLOOKUP($B39,'A1.3.9'!$B$26:$O$57,4,TRUE)) + IF(N39="",0,N39 * VLOOKUP($B39,'A1.3.9'!$B$26:$O$57,5,TRUE)))</f>
        <v>-8.2118262664282543E-2</v>
      </c>
      <c r="S39" s="2644">
        <f>IF(AND(G39="",K39="",O39=""),"",IF(G39="",0,G39 * VLOOKUP($B39,'A1.3.9'!$B$26:$O$57,3,TRUE)) + IF(K39="",0,K39 * VLOOKUP($B39,'A1.3.9'!$B$26:$O$57,4,TRUE)) + IF(O39="",0,O39 * VLOOKUP($B39,'A1.3.9'!$B$26:$O$57,5,TRUE)))</f>
        <v>5.8445629387668928E-4</v>
      </c>
      <c r="T39" s="693">
        <f>IF('A1.3.12'!T39="","",'A1.3.12'!T39*(1+VLOOKUP($B39,'A1.3.7'!$B$28:$O$118,12,)/100))</f>
        <v>32.780172403572763</v>
      </c>
      <c r="U39" s="691">
        <f>IF('A1.3.12'!U39="","",'A1.3.12'!U39*(1+VLOOKUP($B39,'A1.3.7'!$B$28:$O$118,12,)/100))</f>
        <v>18.381223157307353</v>
      </c>
      <c r="V39" s="691">
        <f>IF('A1.3.12'!V39="","",'A1.3.12'!V39*(1+VLOOKUP($B39,'A1.3.7'!$B$28:$O$118,12,)/100))</f>
        <v>-0.28852486914275294</v>
      </c>
      <c r="W39" s="2644">
        <f>IF('A1.3.12'!W39="","",'A1.3.12'!W39*(1+VLOOKUP($B39,'A1.3.7'!$B$28:$O$118,12,)/100))</f>
        <v>1.8633043877737273E-3</v>
      </c>
      <c r="X39" s="693">
        <f>IF('A1.3.12'!X39="","",'A1.3.12'!X39*(1+VLOOKUP($B39,'A1.3.7'!$B$28:$O$118,13,)/100))</f>
        <v>49.058362950597797</v>
      </c>
      <c r="Y39" s="691">
        <f>IF('A1.3.12'!Y39="","",'A1.3.12'!Y39*(1+VLOOKUP($B39,'A1.3.7'!$B$28:$O$118,13,)/100))</f>
        <v>11.99006383422911</v>
      </c>
      <c r="Z39" s="691">
        <f>IF('A1.3.12'!Z39="","",'A1.3.12'!Z39*(1+VLOOKUP($B39,'A1.3.7'!$B$28:$O$118,13,)/100))</f>
        <v>-0.17297846206621528</v>
      </c>
      <c r="AA39" s="2644">
        <f>IF('A1.3.12'!AA39="","",'A1.3.12'!AA39*(1+VLOOKUP($B39,'A1.3.7'!$B$28:$O$118,13,)/100))</f>
        <v>1.4644416911178345E-3</v>
      </c>
      <c r="AB39" s="693" t="str">
        <f>IF('A1.3.12'!AB39="","",'A1.3.12'!AB39*(1+VLOOKUP($B39,'A1.3.7'!$B$28:$O$118,14,)/100))</f>
        <v/>
      </c>
      <c r="AC39" s="691">
        <f>IF('A1.3.12'!AC39="","",'A1.3.12'!AC39*(1+VLOOKUP($B39,'A1.3.7'!$B$28:$O$118,14,)/100))</f>
        <v>4.9832327032880439</v>
      </c>
      <c r="AD39" s="691" t="str">
        <f>IF('A1.3.12'!AD39="","",'A1.3.12'!AD39*(1+VLOOKUP($B39,'A1.3.7'!$B$28:$O$118,14,)/100))</f>
        <v/>
      </c>
      <c r="AE39" s="1664" t="str">
        <f>IF('A1.3.12'!AE39="","",'A1.3.12'!AE39*(1+VLOOKUP($B39,'A1.3.7'!$B$28:$O$118,14,)/100))</f>
        <v/>
      </c>
      <c r="AF39" s="693">
        <f>IF(AND(T39="",X39="",AB39=""),"",IF(T39="",0,T39 * VLOOKUP($B39,'A1.3.9'!$B$26:$O$57,6,TRUE)) + IF(X39="",0,X39 * VLOOKUP($B39,'A1.3.9'!$B$26:$O$57,7,TRUE)) + IF(AB39="",0,AB39 * VLOOKUP($B39,'A1.3.9'!$B$26:$O$57,8,TRUE)))</f>
        <v>48.658400023804042</v>
      </c>
      <c r="AG39" s="691">
        <f>IF(AND(U39="",Y39="",AC39=""),"",IF(U39="",0,U39 * VLOOKUP($B39,'A1.3.9'!$B$26:$O$57,6,TRUE)) + IF(Y39="",0,Y39 * VLOOKUP($B39,'A1.3.9'!$B$26:$O$57,7,TRUE)) + IF(AC39="",0,AC39 * VLOOKUP($B39,'A1.3.9'!$B$26:$O$57,8,TRUE)))</f>
        <v>12.03898954269515</v>
      </c>
      <c r="AH39" s="691">
        <f>IF(AND(V39="",Z39="",AD39=""),"",IF(V39="",0,V39 * VLOOKUP($B39,'A1.3.9'!$B$26:$O$57,6,TRUE)) + IF(Z39="",0,Z39 * VLOOKUP($B39,'A1.3.9'!$B$26:$O$57,7,TRUE)) + IF(AD39="",0,AD39 * VLOOKUP($B39,'A1.3.9'!$B$26:$O$57,8,TRUE)))</f>
        <v>-0.17367243940738375</v>
      </c>
      <c r="AI39" s="2644">
        <f>IF(AND(W39="",AA39="",AE39=""),"",IF(W39="",0,W39 * VLOOKUP($B39,'A1.3.9'!$B$26:$O$57,6,TRUE)) + IF(AA39="",0,AA39 * VLOOKUP($B39,'A1.3.9'!$B$26:$O$57,7,TRUE)) + IF(AE39="",0,AE39 * VLOOKUP($B39,'A1.3.9'!$B$26:$O$57,8,TRUE)))</f>
        <v>1.4632677544272174E-3</v>
      </c>
    </row>
    <row r="40" spans="1:35" ht="13.5" customHeight="1">
      <c r="A40" s="113"/>
      <c r="B40" s="614">
        <f t="shared" si="0"/>
        <v>2023</v>
      </c>
      <c r="C40" s="147"/>
      <c r="D40" s="693">
        <f>IF('A1.3.12'!D40="","",'A1.3.12'!D40*(1+VLOOKUP($B40,'A1.3.7'!$B$28:$O$118,12,)/100))</f>
        <v>41.306639372327332</v>
      </c>
      <c r="E40" s="691">
        <f>IF('A1.3.12'!E40="","",'A1.3.12'!E40*(1+VLOOKUP($B40,'A1.3.7'!$B$28:$O$118,12,)/100))</f>
        <v>8.7783308978252474</v>
      </c>
      <c r="F40" s="691">
        <f>IF('A1.3.12'!F40="","",'A1.3.12'!F40*(1+VLOOKUP($B40,'A1.3.7'!$B$28:$O$118,12,)/100))</f>
        <v>-9.9995599023248019E-2</v>
      </c>
      <c r="G40" s="2644">
        <f>IF('A1.3.12'!G40="","",'A1.3.12'!G40*(1+VLOOKUP($B40,'A1.3.7'!$B$28:$O$118,12,)/100))</f>
        <v>6.6226280654946843E-4</v>
      </c>
      <c r="H40" s="693">
        <f>IF('A1.3.12'!H40="","",'A1.3.12'!H40*(1+VLOOKUP($B40,'A1.3.7'!$B$28:$O$118,13,)/100))</f>
        <v>48.300561037533448</v>
      </c>
      <c r="I40" s="691">
        <f>IF('A1.3.12'!I40="","",'A1.3.12'!I40*(1+VLOOKUP($B40,'A1.3.7'!$B$28:$O$118,13,)/100))</f>
        <v>6.9251059812658617</v>
      </c>
      <c r="J40" s="691">
        <f>IF('A1.3.12'!J40="","",'A1.3.12'!J40*(1+VLOOKUP($B40,'A1.3.7'!$B$28:$O$118,13,)/100))</f>
        <v>-6.6621448740466868E-2</v>
      </c>
      <c r="K40" s="2644">
        <f>IF('A1.3.12'!K40="","",'A1.3.12'!K40*(1+VLOOKUP($B40,'A1.3.7'!$B$28:$O$118,13,)/100))</f>
        <v>5.2498035852283802E-4</v>
      </c>
      <c r="L40" s="693" t="str">
        <f>IF('A1.3.12'!L40="","",'A1.3.12'!L40*(1+VLOOKUP($B40,'A1.3.7'!$B$28:$O$118,14,)/100))</f>
        <v/>
      </c>
      <c r="M40" s="691">
        <f>IF('A1.3.12'!M40="","",'A1.3.12'!M40*(1+VLOOKUP($B40,'A1.3.7'!$B$28:$O$118,14,)/100))</f>
        <v>2.3426690867583608</v>
      </c>
      <c r="N40" s="691" t="str">
        <f>IF('A1.3.12'!N40="","",'A1.3.12'!N40*(1+VLOOKUP($B40,'A1.3.7'!$B$28:$O$118,14,)/100))</f>
        <v/>
      </c>
      <c r="O40" s="1664" t="str">
        <f>IF('A1.3.12'!O40="","",'A1.3.12'!O40*(1+VLOOKUP($B40,'A1.3.7'!$B$28:$O$118,14,)/100))</f>
        <v/>
      </c>
      <c r="P40" s="693">
        <f>IF(AND(D40="",H40="",L40=""),"",IF(D40="",0,D40 * VLOOKUP($B40,'A1.3.9'!$B$26:$O$57,3,TRUE)) + IF(H40="",0,H40 * VLOOKUP($B40,'A1.3.9'!$B$26:$O$57,4,TRUE)) + IF(L40="",0,L40 * VLOOKUP($B40,'A1.3.9'!$B$26:$O$57,5,TRUE)))</f>
        <v>43.322718668402757</v>
      </c>
      <c r="Q40" s="691">
        <f>IF(AND(E40="",I40="",M40=""),"",IF(E40="",0,E40 * VLOOKUP($B40,'A1.3.9'!$B$26:$O$57,3,TRUE)) + IF(I40="",0,I40 * VLOOKUP($B40,'A1.3.9'!$B$26:$O$57,4,TRUE)) + IF(M40="",0,M40 * VLOOKUP($B40,'A1.3.9'!$B$26:$O$57,5,TRUE)))</f>
        <v>7.6994724174712568</v>
      </c>
      <c r="R40" s="691">
        <f>IF(AND(F40="",J40="",N40=""),"",IF(F40="",0,F40 * VLOOKUP($B40,'A1.3.9'!$B$26:$O$57,3,TRUE)) + IF(J40="",0,J40 * VLOOKUP($B40,'A1.3.9'!$B$26:$O$57,4,TRUE)) + IF(N40="",0,N40 * VLOOKUP($B40,'A1.3.9'!$B$26:$O$57,5,TRUE)))</f>
        <v>-8.1065080727574179E-2</v>
      </c>
      <c r="S40" s="2644">
        <f>IF(AND(G40="",K40="",O40=""),"",IF(G40="",0,G40 * VLOOKUP($B40,'A1.3.9'!$B$26:$O$57,3,TRUE)) + IF(K40="",0,K40 * VLOOKUP($B40,'A1.3.9'!$B$26:$O$57,4,TRUE)) + IF(O40="",0,O40 * VLOOKUP($B40,'A1.3.9'!$B$26:$O$57,5,TRUE)))</f>
        <v>5.765300185546357E-4</v>
      </c>
      <c r="T40" s="693">
        <f>IF('A1.3.12'!T40="","",'A1.3.12'!T40*(1+VLOOKUP($B40,'A1.3.7'!$B$28:$O$118,12,)/100))</f>
        <v>32.374948385867683</v>
      </c>
      <c r="U40" s="691">
        <f>IF('A1.3.12'!U40="","",'A1.3.12'!U40*(1+VLOOKUP($B40,'A1.3.7'!$B$28:$O$118,12,)/100))</f>
        <v>18.153996985143419</v>
      </c>
      <c r="V40" s="691">
        <f>IF('A1.3.12'!V40="","",'A1.3.12'!V40*(1+VLOOKUP($B40,'A1.3.7'!$B$28:$O$118,12,)/100))</f>
        <v>-0.28495816408573149</v>
      </c>
      <c r="W40" s="2644">
        <f>IF('A1.3.12'!W40="","",'A1.3.12'!W40*(1+VLOOKUP($B40,'A1.3.7'!$B$28:$O$118,12,)/100))</f>
        <v>1.8402704732193645E-3</v>
      </c>
      <c r="X40" s="693">
        <f>IF('A1.3.12'!X40="","",'A1.3.12'!X40*(1+VLOOKUP($B40,'A1.3.7'!$B$28:$O$118,13,)/100))</f>
        <v>48.998599066733838</v>
      </c>
      <c r="Y40" s="691">
        <f>IF('A1.3.12'!Y40="","",'A1.3.12'!Y40*(1+VLOOKUP($B40,'A1.3.7'!$B$28:$O$118,13,)/100))</f>
        <v>11.975457297455106</v>
      </c>
      <c r="Z40" s="691">
        <f>IF('A1.3.12'!Z40="","",'A1.3.12'!Z40*(1+VLOOKUP($B40,'A1.3.7'!$B$28:$O$118,13,)/100))</f>
        <v>-0.17276773622670244</v>
      </c>
      <c r="AA40" s="2644">
        <f>IF('A1.3.12'!AA40="","",'A1.3.12'!AA40*(1+VLOOKUP($B40,'A1.3.7'!$B$28:$O$118,13,)/100))</f>
        <v>1.4626576788131099E-3</v>
      </c>
      <c r="AB40" s="693" t="str">
        <f>IF('A1.3.12'!AB40="","",'A1.3.12'!AB40*(1+VLOOKUP($B40,'A1.3.7'!$B$28:$O$118,14,)/100))</f>
        <v/>
      </c>
      <c r="AC40" s="691">
        <f>IF('A1.3.12'!AC40="","",'A1.3.12'!AC40*(1+VLOOKUP($B40,'A1.3.7'!$B$28:$O$118,14,)/100))</f>
        <v>4.8913556257668196</v>
      </c>
      <c r="AD40" s="691" t="str">
        <f>IF('A1.3.12'!AD40="","",'A1.3.12'!AD40*(1+VLOOKUP($B40,'A1.3.7'!$B$28:$O$118,14,)/100))</f>
        <v/>
      </c>
      <c r="AE40" s="1664" t="str">
        <f>IF('A1.3.12'!AE40="","",'A1.3.12'!AE40*(1+VLOOKUP($B40,'A1.3.7'!$B$28:$O$118,14,)/100))</f>
        <v/>
      </c>
      <c r="AF40" s="693">
        <f>IF(AND(T40="",X40="",AB40=""),"",IF(T40="",0,T40 * VLOOKUP($B40,'A1.3.9'!$B$26:$O$57,6,TRUE)) + IF(X40="",0,X40 * VLOOKUP($B40,'A1.3.9'!$B$26:$O$57,7,TRUE)) + IF(AB40="",0,AB40 * VLOOKUP($B40,'A1.3.9'!$B$26:$O$57,8,TRUE)))</f>
        <v>48.485563251805551</v>
      </c>
      <c r="AG40" s="691">
        <f>IF(AND(U40="",Y40="",AC40=""),"",IF(U40="",0,U40 * VLOOKUP($B40,'A1.3.9'!$B$26:$O$57,6,TRUE)) + IF(Y40="",0,Y40 * VLOOKUP($B40,'A1.3.9'!$B$26:$O$57,7,TRUE)) + IF(AC40="",0,AC40 * VLOOKUP($B40,'A1.3.9'!$B$26:$O$57,8,TRUE)))</f>
        <v>12.001620637321706</v>
      </c>
      <c r="AH40" s="691">
        <f>IF(AND(V40="",Z40="",AD40=""),"",IF(V40="",0,V40 * VLOOKUP($B40,'A1.3.9'!$B$26:$O$57,6,TRUE)) + IF(Z40="",0,Z40 * VLOOKUP($B40,'A1.3.9'!$B$26:$O$57,7,TRUE)) + IF(AD40="",0,AD40 * VLOOKUP($B40,'A1.3.9'!$B$26:$O$57,8,TRUE)))</f>
        <v>-0.17295577208219404</v>
      </c>
      <c r="AI40" s="2644">
        <f>IF(AND(W40="",AA40="",AE40=""),"",IF(W40="",0,W40 * VLOOKUP($B40,'A1.3.9'!$B$26:$O$57,6,TRUE)) + IF(AA40="",0,AA40 * VLOOKUP($B40,'A1.3.9'!$B$26:$O$57,7,TRUE)) + IF(AE40="",0,AE40 * VLOOKUP($B40,'A1.3.9'!$B$26:$O$57,8,TRUE)))</f>
        <v>1.4575597089530614E-3</v>
      </c>
    </row>
    <row r="41" spans="1:35" ht="13.5" customHeight="1">
      <c r="A41" s="113"/>
      <c r="B41" s="614">
        <f t="shared" si="0"/>
        <v>2024</v>
      </c>
      <c r="C41" s="147"/>
      <c r="D41" s="693">
        <f>IF('A1.3.12'!D41="","",'A1.3.12'!D41*(1+VLOOKUP($B41,'A1.3.7'!$B$28:$O$118,12,)/100))</f>
        <v>40.779247453712635</v>
      </c>
      <c r="E41" s="691">
        <f>IF('A1.3.12'!E41="","",'A1.3.12'!E41*(1+VLOOKUP($B41,'A1.3.7'!$B$28:$O$118,12,)/100))</f>
        <v>8.6662515603437207</v>
      </c>
      <c r="F41" s="691">
        <f>IF('A1.3.12'!F41="","",'A1.3.12'!F41*(1+VLOOKUP($B41,'A1.3.7'!$B$28:$O$118,12,)/100))</f>
        <v>-9.8718882456050663E-2</v>
      </c>
      <c r="G41" s="2644">
        <f>IF('A1.3.12'!G41="","",'A1.3.12'!G41*(1+VLOOKUP($B41,'A1.3.7'!$B$28:$O$118,12,)/100))</f>
        <v>6.5380721545126681E-4</v>
      </c>
      <c r="H41" s="693">
        <f>IF('A1.3.12'!H41="","",'A1.3.12'!H41*(1+VLOOKUP($B41,'A1.3.7'!$B$28:$O$118,13,)/100))</f>
        <v>48.134154746346269</v>
      </c>
      <c r="I41" s="691">
        <f>IF('A1.3.12'!I41="","",'A1.3.12'!I41*(1+VLOOKUP($B41,'A1.3.7'!$B$28:$O$118,13,)/100))</f>
        <v>6.9012474343325216</v>
      </c>
      <c r="J41" s="691">
        <f>IF('A1.3.12'!J41="","",'A1.3.12'!J41*(1+VLOOKUP($B41,'A1.3.7'!$B$28:$O$118,13,)/100))</f>
        <v>-6.6391922872438058E-2</v>
      </c>
      <c r="K41" s="2644">
        <f>IF('A1.3.12'!K41="","",'A1.3.12'!K41*(1+VLOOKUP($B41,'A1.3.7'!$B$28:$O$118,13,)/100))</f>
        <v>5.2317168316728642E-4</v>
      </c>
      <c r="L41" s="693" t="str">
        <f>IF('A1.3.12'!L41="","",'A1.3.12'!L41*(1+VLOOKUP($B41,'A1.3.7'!$B$28:$O$118,14,)/100))</f>
        <v/>
      </c>
      <c r="M41" s="691">
        <f>IF('A1.3.12'!M41="","",'A1.3.12'!M41*(1+VLOOKUP($B41,'A1.3.7'!$B$28:$O$118,14,)/100))</f>
        <v>2.332872654213114</v>
      </c>
      <c r="N41" s="691" t="str">
        <f>IF('A1.3.12'!N41="","",'A1.3.12'!N41*(1+VLOOKUP($B41,'A1.3.7'!$B$28:$O$118,14,)/100))</f>
        <v/>
      </c>
      <c r="O41" s="1664" t="str">
        <f>IF('A1.3.12'!O41="","",'A1.3.12'!O41*(1+VLOOKUP($B41,'A1.3.7'!$B$28:$O$118,14,)/100))</f>
        <v/>
      </c>
      <c r="P41" s="693">
        <f>IF(AND(D41="",H41="",L41=""),"",IF(D41="",0,D41 * VLOOKUP($B41,'A1.3.9'!$B$26:$O$57,3,TRUE)) + IF(H41="",0,H41 * VLOOKUP($B41,'A1.3.9'!$B$26:$O$57,4,TRUE)) + IF(L41="",0,L41 * VLOOKUP($B41,'A1.3.9'!$B$26:$O$57,5,TRUE)))</f>
        <v>42.508695905642782</v>
      </c>
      <c r="Q41" s="691">
        <f>IF(AND(E41="",I41="",M41=""),"",IF(E41="",0,E41 * VLOOKUP($B41,'A1.3.9'!$B$26:$O$57,3,TRUE)) + IF(I41="",0,I41 * VLOOKUP($B41,'A1.3.9'!$B$26:$O$57,4,TRUE)) + IF(M41="",0,M41 * VLOOKUP($B41,'A1.3.9'!$B$26:$O$57,5,TRUE)))</f>
        <v>7.5938491015085496</v>
      </c>
      <c r="R41" s="691">
        <f>IF(AND(F41="",J41="",N41=""),"",IF(F41="",0,F41 * VLOOKUP($B41,'A1.3.9'!$B$26:$O$57,3,TRUE)) + IF(J41="",0,J41 * VLOOKUP($B41,'A1.3.9'!$B$26:$O$57,4,TRUE)) + IF(N41="",0,N41 * VLOOKUP($B41,'A1.3.9'!$B$26:$O$57,5,TRUE)))</f>
        <v>-7.9781993117165884E-2</v>
      </c>
      <c r="S41" s="2644">
        <f>IF(AND(G41="",K41="",O41=""),"",IF(G41="",0,G41 * VLOOKUP($B41,'A1.3.9'!$B$26:$O$57,3,TRUE)) + IF(K41="",0,K41 * VLOOKUP($B41,'A1.3.9'!$B$26:$O$57,4,TRUE)) + IF(O41="",0,O41 * VLOOKUP($B41,'A1.3.9'!$B$26:$O$57,5,TRUE)))</f>
        <v>5.66887615422148E-4</v>
      </c>
      <c r="T41" s="693">
        <f>IF('A1.3.12'!T41="","",'A1.3.12'!T41*(1+VLOOKUP($B41,'A1.3.7'!$B$28:$O$118,12,)/100))</f>
        <v>31.983255154810259</v>
      </c>
      <c r="U41" s="691">
        <f>IF('A1.3.12'!U41="","",'A1.3.12'!U41*(1+VLOOKUP($B41,'A1.3.7'!$B$28:$O$118,12,)/100))</f>
        <v>17.934358094882779</v>
      </c>
      <c r="V41" s="691">
        <f>IF('A1.3.12'!V41="","",'A1.3.12'!V41*(1+VLOOKUP($B41,'A1.3.7'!$B$28:$O$118,12,)/100))</f>
        <v>-0.28151055445013889</v>
      </c>
      <c r="W41" s="2644">
        <f>IF('A1.3.12'!W41="","",'A1.3.12'!W41*(1+VLOOKUP($B41,'A1.3.7'!$B$28:$O$118,12,)/100))</f>
        <v>1.8180056813474641E-3</v>
      </c>
      <c r="X41" s="693">
        <f>IF('A1.3.12'!X41="","",'A1.3.12'!X41*(1+VLOOKUP($B41,'A1.3.7'!$B$28:$O$118,13,)/100))</f>
        <v>48.886222735120754</v>
      </c>
      <c r="Y41" s="691">
        <f>IF('A1.3.12'!Y41="","",'A1.3.12'!Y41*(1+VLOOKUP($B41,'A1.3.7'!$B$28:$O$118,13,)/100))</f>
        <v>11.947992064038042</v>
      </c>
      <c r="Z41" s="691">
        <f>IF('A1.3.12'!Z41="","",'A1.3.12'!Z41*(1+VLOOKUP($B41,'A1.3.7'!$B$28:$O$118,13,)/100))</f>
        <v>-0.17237150031816534</v>
      </c>
      <c r="AA41" s="2644">
        <f>IF('A1.3.12'!AA41="","",'A1.3.12'!AA41*(1+VLOOKUP($B41,'A1.3.7'!$B$28:$O$118,13,)/100))</f>
        <v>1.4593031317958196E-3</v>
      </c>
      <c r="AB41" s="693" t="str">
        <f>IF('A1.3.12'!AB41="","",'A1.3.12'!AB41*(1+VLOOKUP($B41,'A1.3.7'!$B$28:$O$118,14,)/100))</f>
        <v/>
      </c>
      <c r="AC41" s="691">
        <f>IF('A1.3.12'!AC41="","",'A1.3.12'!AC41*(1+VLOOKUP($B41,'A1.3.7'!$B$28:$O$118,14,)/100))</f>
        <v>4.7903835977493943</v>
      </c>
      <c r="AD41" s="691" t="str">
        <f>IF('A1.3.12'!AD41="","",'A1.3.12'!AD41*(1+VLOOKUP($B41,'A1.3.7'!$B$28:$O$118,14,)/100))</f>
        <v/>
      </c>
      <c r="AE41" s="1664" t="str">
        <f>IF('A1.3.12'!AE41="","",'A1.3.12'!AE41*(1+VLOOKUP($B41,'A1.3.7'!$B$28:$O$118,14,)/100))</f>
        <v/>
      </c>
      <c r="AF41" s="693">
        <f>IF(AND(T41="",X41="",AB41=""),"",IF(T41="",0,T41 * VLOOKUP($B41,'A1.3.9'!$B$26:$O$57,6,TRUE)) + IF(X41="",0,X41 * VLOOKUP($B41,'A1.3.9'!$B$26:$O$57,7,TRUE)) + IF(AB41="",0,AB41 * VLOOKUP($B41,'A1.3.9'!$B$26:$O$57,8,TRUE)))</f>
        <v>48.17884478290204</v>
      </c>
      <c r="AG41" s="691">
        <f>IF(AND(U41="",Y41="",AC41=""),"",IF(U41="",0,U41 * VLOOKUP($B41,'A1.3.9'!$B$26:$O$57,6,TRUE)) + IF(Y41="",0,Y41 * VLOOKUP($B41,'A1.3.9'!$B$26:$O$57,7,TRUE)) + IF(AC41="",0,AC41 * VLOOKUP($B41,'A1.3.9'!$B$26:$O$57,8,TRUE)))</f>
        <v>11.940303852577921</v>
      </c>
      <c r="AH41" s="691">
        <f>IF(AND(V41="",Z41="",AD41=""),"",IF(V41="",0,V41 * VLOOKUP($B41,'A1.3.9'!$B$26:$O$57,6,TRUE)) + IF(Z41="",0,Z41 * VLOOKUP($B41,'A1.3.9'!$B$26:$O$57,7,TRUE)) + IF(AD41="",0,AD41 * VLOOKUP($B41,'A1.3.9'!$B$26:$O$57,8,TRUE)))</f>
        <v>-0.17178943581774758</v>
      </c>
      <c r="AI41" s="2644">
        <f>IF(AND(W41="",AA41="",AE41=""),"",IF(W41="",0,W41 * VLOOKUP($B41,'A1.3.9'!$B$26:$O$57,6,TRUE)) + IF(AA41="",0,AA41 * VLOOKUP($B41,'A1.3.9'!$B$26:$O$57,7,TRUE)) + IF(AE41="",0,AE41 * VLOOKUP($B41,'A1.3.9'!$B$26:$O$57,8,TRUE)))</f>
        <v>1.4479697298148597E-3</v>
      </c>
    </row>
    <row r="42" spans="1:35" ht="13.5" customHeight="1">
      <c r="A42" s="113"/>
      <c r="B42" s="614">
        <f t="shared" si="0"/>
        <v>2025</v>
      </c>
      <c r="C42" s="147"/>
      <c r="D42" s="693">
        <f>IF('A1.3.12'!D42="","",'A1.3.12'!D42*(1+VLOOKUP($B42,'A1.3.7'!$B$28:$O$118,12,)/100))</f>
        <v>40.215780421484325</v>
      </c>
      <c r="E42" s="691">
        <f>IF('A1.3.12'!E42="","",'A1.3.12'!E42*(1+VLOOKUP($B42,'A1.3.7'!$B$28:$O$118,12,)/100))</f>
        <v>8.546505676048195</v>
      </c>
      <c r="F42" s="691">
        <f>IF('A1.3.12'!F42="","",'A1.3.12'!F42*(1+VLOOKUP($B42,'A1.3.7'!$B$28:$O$118,12,)/100))</f>
        <v>-9.735483482899368E-2</v>
      </c>
      <c r="G42" s="2644">
        <f>IF('A1.3.12'!G42="","",'A1.3.12'!G42*(1+VLOOKUP($B42,'A1.3.7'!$B$28:$O$118,12,)/100))</f>
        <v>6.4477323777039025E-4</v>
      </c>
      <c r="H42" s="693">
        <f>IF('A1.3.12'!H42="","",'A1.3.12'!H42*(1+VLOOKUP($B42,'A1.3.7'!$B$28:$O$118,13,)/100))</f>
        <v>47.869991879081539</v>
      </c>
      <c r="I42" s="691">
        <f>IF('A1.3.12'!I42="","",'A1.3.12'!I42*(1+VLOOKUP($B42,'A1.3.7'!$B$28:$O$118,13,)/100))</f>
        <v>6.8633730119070391</v>
      </c>
      <c r="J42" s="691">
        <f>IF('A1.3.12'!J42="","",'A1.3.12'!J42*(1+VLOOKUP($B42,'A1.3.7'!$B$28:$O$118,13,)/100))</f>
        <v>-6.6027560377622807E-2</v>
      </c>
      <c r="K42" s="2644">
        <f>IF('A1.3.12'!K42="","",'A1.3.12'!K42*(1+VLOOKUP($B42,'A1.3.7'!$B$28:$O$118,13,)/100))</f>
        <v>5.203004884278031E-4</v>
      </c>
      <c r="L42" s="693" t="str">
        <f>IF('A1.3.12'!L42="","",'A1.3.12'!L42*(1+VLOOKUP($B42,'A1.3.7'!$B$28:$O$118,14,)/100))</f>
        <v/>
      </c>
      <c r="M42" s="691">
        <f>IF('A1.3.12'!M42="","",'A1.3.12'!M42*(1+VLOOKUP($B42,'A1.3.7'!$B$28:$O$118,14,)/100))</f>
        <v>2.3469420312369578</v>
      </c>
      <c r="N42" s="691" t="str">
        <f>IF('A1.3.12'!N42="","",'A1.3.12'!N42*(1+VLOOKUP($B42,'A1.3.7'!$B$28:$O$118,14,)/100))</f>
        <v/>
      </c>
      <c r="O42" s="1664" t="str">
        <f>IF('A1.3.12'!O42="","",'A1.3.12'!O42*(1+VLOOKUP($B42,'A1.3.7'!$B$28:$O$118,14,)/100))</f>
        <v/>
      </c>
      <c r="P42" s="693">
        <f>IF(AND(D42="",H42="",L42=""),"",IF(D42="",0,D42 * VLOOKUP($B42,'A1.3.9'!$B$26:$O$57,3,TRUE)) + IF(H42="",0,H42 * VLOOKUP($B42,'A1.3.9'!$B$26:$O$57,4,TRUE)) + IF(L42="",0,L42 * VLOOKUP($B42,'A1.3.9'!$B$26:$O$57,5,TRUE)))</f>
        <v>41.515816690086865</v>
      </c>
      <c r="Q42" s="691">
        <f>IF(AND(E42="",I42="",M42=""),"",IF(E42="",0,E42 * VLOOKUP($B42,'A1.3.9'!$B$26:$O$57,3,TRUE)) + IF(I42="",0,I42 * VLOOKUP($B42,'A1.3.9'!$B$26:$O$57,4,TRUE)) + IF(M42="",0,M42 * VLOOKUP($B42,'A1.3.9'!$B$26:$O$57,5,TRUE)))</f>
        <v>7.4658593177208017</v>
      </c>
      <c r="R42" s="691">
        <f>IF(AND(F42="",J42="",N42=""),"",IF(F42="",0,F42 * VLOOKUP($B42,'A1.3.9'!$B$26:$O$57,3,TRUE)) + IF(J42="",0,J42 * VLOOKUP($B42,'A1.3.9'!$B$26:$O$57,4,TRUE)) + IF(N42="",0,N42 * VLOOKUP($B42,'A1.3.9'!$B$26:$O$57,5,TRUE)))</f>
        <v>-7.8194154212873207E-2</v>
      </c>
      <c r="S42" s="2644">
        <f>IF(AND(G42="",K42="",O42=""),"",IF(G42="",0,G42 * VLOOKUP($B42,'A1.3.9'!$B$26:$O$57,3,TRUE)) + IF(K42="",0,K42 * VLOOKUP($B42,'A1.3.9'!$B$26:$O$57,4,TRUE)) + IF(O42="",0,O42 * VLOOKUP($B42,'A1.3.9'!$B$26:$O$57,5,TRUE)))</f>
        <v>5.550133875425853E-4</v>
      </c>
      <c r="T42" s="693">
        <f>IF('A1.3.12'!T42="","",'A1.3.12'!T42*(1+VLOOKUP($B42,'A1.3.7'!$B$28:$O$118,12,)/100))</f>
        <v>31.612062327336439</v>
      </c>
      <c r="U42" s="691">
        <f>IF('A1.3.12'!U42="","",'A1.3.12'!U42*(1+VLOOKUP($B42,'A1.3.7'!$B$28:$O$118,12,)/100))</f>
        <v>17.726214644256977</v>
      </c>
      <c r="V42" s="691">
        <f>IF('A1.3.12'!V42="","",'A1.3.12'!V42*(1+VLOOKUP($B42,'A1.3.7'!$B$28:$O$118,12,)/100))</f>
        <v>-0.27824338548424477</v>
      </c>
      <c r="W42" s="2644">
        <f>IF('A1.3.12'!W42="","",'A1.3.12'!W42*(1+VLOOKUP($B42,'A1.3.7'!$B$28:$O$118,12,)/100))</f>
        <v>1.7969061820639666E-3</v>
      </c>
      <c r="X42" s="693">
        <f>IF('A1.3.12'!X42="","",'A1.3.12'!X42*(1+VLOOKUP($B42,'A1.3.7'!$B$28:$O$118,13,)/100))</f>
        <v>48.861095904677931</v>
      </c>
      <c r="Y42" s="691">
        <f>IF('A1.3.12'!Y42="","",'A1.3.12'!Y42*(1+VLOOKUP($B42,'A1.3.7'!$B$28:$O$118,13,)/100))</f>
        <v>11.941850964277647</v>
      </c>
      <c r="Z42" s="691">
        <f>IF('A1.3.12'!Z42="","",'A1.3.12'!Z42*(1+VLOOKUP($B42,'A1.3.7'!$B$28:$O$118,13,)/100))</f>
        <v>-0.17228290379302291</v>
      </c>
      <c r="AA42" s="2644">
        <f>IF('A1.3.12'!AA42="","",'A1.3.12'!AA42*(1+VLOOKUP($B42,'A1.3.7'!$B$28:$O$118,13,)/100))</f>
        <v>1.4585530705248559E-3</v>
      </c>
      <c r="AB42" s="693" t="str">
        <f>IF('A1.3.12'!AB42="","",'A1.3.12'!AB42*(1+VLOOKUP($B42,'A1.3.7'!$B$28:$O$118,14,)/100))</f>
        <v/>
      </c>
      <c r="AC42" s="691">
        <f>IF('A1.3.12'!AC42="","",'A1.3.12'!AC42*(1+VLOOKUP($B42,'A1.3.7'!$B$28:$O$118,14,)/100))</f>
        <v>4.7519601988755102</v>
      </c>
      <c r="AD42" s="691" t="str">
        <f>IF('A1.3.12'!AD42="","",'A1.3.12'!AD42*(1+VLOOKUP($B42,'A1.3.7'!$B$28:$O$118,14,)/100))</f>
        <v/>
      </c>
      <c r="AE42" s="1664" t="str">
        <f>IF('A1.3.12'!AE42="","",'A1.3.12'!AE42*(1+VLOOKUP($B42,'A1.3.7'!$B$28:$O$118,14,)/100))</f>
        <v/>
      </c>
      <c r="AF42" s="693">
        <f>IF(AND(T42="",X42="",AB42=""),"",IF(T42="",0,T42 * VLOOKUP($B42,'A1.3.9'!$B$26:$O$57,6,TRUE)) + IF(X42="",0,X42 * VLOOKUP($B42,'A1.3.9'!$B$26:$O$57,7,TRUE)) + IF(AB42="",0,AB42 * VLOOKUP($B42,'A1.3.9'!$B$26:$O$57,8,TRUE)))</f>
        <v>47.819538658548439</v>
      </c>
      <c r="AG42" s="691">
        <f>IF(AND(U42="",Y42="",AC42=""),"",IF(U42="",0,U42 * VLOOKUP($B42,'A1.3.9'!$B$26:$O$57,6,TRUE)) + IF(Y42="",0,Y42 * VLOOKUP($B42,'A1.3.9'!$B$26:$O$57,7,TRUE)) + IF(AC42="",0,AC42 * VLOOKUP($B42,'A1.3.9'!$B$26:$O$57,8,TRUE)))</f>
        <v>11.8796378868609</v>
      </c>
      <c r="AH42" s="691">
        <f>IF(AND(V42="",Z42="",AD42=""),"",IF(V42="",0,V42 * VLOOKUP($B42,'A1.3.9'!$B$26:$O$57,6,TRUE)) + IF(Z42="",0,Z42 * VLOOKUP($B42,'A1.3.9'!$B$26:$O$57,7,TRUE)) + IF(AD42="",0,AD42 * VLOOKUP($B42,'A1.3.9'!$B$26:$O$57,8,TRUE)))</f>
        <v>-0.17043503430421239</v>
      </c>
      <c r="AI42" s="2644">
        <f>IF(AND(W42="",AA42="",AE42=""),"",IF(W42="",0,W42 * VLOOKUP($B42,'A1.3.9'!$B$26:$O$57,6,TRUE)) + IF(AA42="",0,AA42 * VLOOKUP($B42,'A1.3.9'!$B$26:$O$57,7,TRUE)) + IF(AE42="",0,AE42 * VLOOKUP($B42,'A1.3.9'!$B$26:$O$57,8,TRUE)))</f>
        <v>1.4367964363994183E-3</v>
      </c>
    </row>
    <row r="43" spans="1:35" ht="13.5" customHeight="1">
      <c r="A43" s="113"/>
      <c r="B43" s="614">
        <f t="shared" si="0"/>
        <v>2026</v>
      </c>
      <c r="C43" s="147"/>
      <c r="D43" s="693">
        <f>IF('A1.3.12'!D43="","",'A1.3.12'!D43*(1+VLOOKUP($B43,'A1.3.7'!$B$28:$O$118,12,)/100))</f>
        <v>40.069192098481153</v>
      </c>
      <c r="E43" s="691">
        <f>IF('A1.3.12'!E43="","",'A1.3.12'!E43*(1+VLOOKUP($B43,'A1.3.7'!$B$28:$O$118,12,)/100))</f>
        <v>8.5153532796142883</v>
      </c>
      <c r="F43" s="691">
        <f>IF('A1.3.12'!F43="","",'A1.3.12'!F43*(1+VLOOKUP($B43,'A1.3.7'!$B$28:$O$118,12,)/100))</f>
        <v>-9.6999972090430236E-2</v>
      </c>
      <c r="G43" s="2644">
        <f>IF('A1.3.12'!G43="","",'A1.3.12'!G43*(1+VLOOKUP($B43,'A1.3.7'!$B$28:$O$118,12,)/100))</f>
        <v>6.4242301040562182E-4</v>
      </c>
      <c r="H43" s="693">
        <f>IF('A1.3.12'!H43="","",'A1.3.12'!H43*(1+VLOOKUP($B43,'A1.3.7'!$B$28:$O$118,13,)/100))</f>
        <v>48.064869883916835</v>
      </c>
      <c r="I43" s="691">
        <f>IF('A1.3.12'!I43="","",'A1.3.12'!I43*(1+VLOOKUP($B43,'A1.3.7'!$B$28:$O$118,13,)/100))</f>
        <v>6.8913136984728416</v>
      </c>
      <c r="J43" s="691">
        <f>IF('A1.3.12'!J43="","",'A1.3.12'!J43*(1+VLOOKUP($B43,'A1.3.7'!$B$28:$O$118,13,)/100))</f>
        <v>-6.6296357566121095E-2</v>
      </c>
      <c r="K43" s="2644">
        <f>IF('A1.3.12'!K43="","",'A1.3.12'!K43*(1+VLOOKUP($B43,'A1.3.7'!$B$28:$O$118,13,)/100))</f>
        <v>5.2241862375892588E-4</v>
      </c>
      <c r="L43" s="693" t="str">
        <f>IF('A1.3.12'!L43="","",'A1.3.12'!L43*(1+VLOOKUP($B43,'A1.3.7'!$B$28:$O$118,14,)/100))</f>
        <v/>
      </c>
      <c r="M43" s="691">
        <f>IF('A1.3.12'!M43="","",'A1.3.12'!M43*(1+VLOOKUP($B43,'A1.3.7'!$B$28:$O$118,14,)/100))</f>
        <v>2.3405492310479108</v>
      </c>
      <c r="N43" s="691" t="str">
        <f>IF('A1.3.12'!N43="","",'A1.3.12'!N43*(1+VLOOKUP($B43,'A1.3.7'!$B$28:$O$118,14,)/100))</f>
        <v/>
      </c>
      <c r="O43" s="1664" t="str">
        <f>IF('A1.3.12'!O43="","",'A1.3.12'!O43*(1+VLOOKUP($B43,'A1.3.7'!$B$28:$O$118,14,)/100))</f>
        <v/>
      </c>
      <c r="P43" s="693">
        <f>IF(AND(D43="",H43="",L43=""),"",IF(D43="",0,D43 * VLOOKUP($B43,'A1.3.9'!$B$26:$O$57,3,TRUE)) + IF(H43="",0,H43 * VLOOKUP($B43,'A1.3.9'!$B$26:$O$57,4,TRUE)) + IF(L43="",0,L43 * VLOOKUP($B43,'A1.3.9'!$B$26:$O$57,5,TRUE)))</f>
        <v>40.816239886469376</v>
      </c>
      <c r="Q43" s="691">
        <f>IF(AND(E43="",I43="",M43=""),"",IF(E43="",0,E43 * VLOOKUP($B43,'A1.3.9'!$B$26:$O$57,3,TRUE)) + IF(I43="",0,I43 * VLOOKUP($B43,'A1.3.9'!$B$26:$O$57,4,TRUE)) + IF(M43="",0,M43 * VLOOKUP($B43,'A1.3.9'!$B$26:$O$57,5,TRUE)))</f>
        <v>7.3956358424163708</v>
      </c>
      <c r="R43" s="691">
        <f>IF(AND(F43="",J43="",N43=""),"",IF(F43="",0,F43 * VLOOKUP($B43,'A1.3.9'!$B$26:$O$57,3,TRUE)) + IF(J43="",0,J43 * VLOOKUP($B43,'A1.3.9'!$B$26:$O$57,4,TRUE)) + IF(N43="",0,N43 * VLOOKUP($B43,'A1.3.9'!$B$26:$O$57,5,TRUE)))</f>
        <v>-7.7165824671353939E-2</v>
      </c>
      <c r="S43" s="2644">
        <f>IF(AND(G43="",K43="",O43=""),"",IF(G43="",0,G43 * VLOOKUP($B43,'A1.3.9'!$B$26:$O$57,3,TRUE)) + IF(K43="",0,K43 * VLOOKUP($B43,'A1.3.9'!$B$26:$O$57,4,TRUE)) + IF(O43="",0,O43 * VLOOKUP($B43,'A1.3.9'!$B$26:$O$57,5,TRUE)))</f>
        <v>5.470953434776061E-4</v>
      </c>
      <c r="T43" s="693">
        <f>IF('A1.3.12'!T43="","",'A1.3.12'!T43*(1+VLOOKUP($B43,'A1.3.7'!$B$28:$O$118,12,)/100))</f>
        <v>31.359536361063117</v>
      </c>
      <c r="U43" s="691">
        <f>IF('A1.3.12'!U43="","",'A1.3.12'!U43*(1+VLOOKUP($B43,'A1.3.7'!$B$28:$O$118,12,)/100))</f>
        <v>17.584612700193414</v>
      </c>
      <c r="V43" s="691">
        <f>IF('A1.3.12'!V43="","",'A1.3.12'!V43*(1+VLOOKUP($B43,'A1.3.7'!$B$28:$O$118,12,)/100))</f>
        <v>-0.27602069975589827</v>
      </c>
      <c r="W43" s="2644">
        <f>IF('A1.3.12'!W43="","",'A1.3.12'!W43*(1+VLOOKUP($B43,'A1.3.7'!$B$28:$O$118,12,)/100))</f>
        <v>1.7825519945633358E-3</v>
      </c>
      <c r="X43" s="693">
        <f>IF('A1.3.12'!X43="","",'A1.3.12'!X43*(1+VLOOKUP($B43,'A1.3.7'!$B$28:$O$118,13,)/100))</f>
        <v>49.098535932548486</v>
      </c>
      <c r="Y43" s="691">
        <f>IF('A1.3.12'!Y43="","",'A1.3.12'!Y43*(1+VLOOKUP($B43,'A1.3.7'!$B$28:$O$118,13,)/100))</f>
        <v>11.999882274736088</v>
      </c>
      <c r="Z43" s="691">
        <f>IF('A1.3.12'!Z43="","",'A1.3.12'!Z43*(1+VLOOKUP($B43,'A1.3.7'!$B$28:$O$118,13,)/100))</f>
        <v>-0.1731201109149843</v>
      </c>
      <c r="AA43" s="2644">
        <f>IF('A1.3.12'!AA43="","",'A1.3.12'!AA43*(1+VLOOKUP($B43,'A1.3.7'!$B$28:$O$118,13,)/100))</f>
        <v>1.4656408952104041E-3</v>
      </c>
      <c r="AB43" s="693" t="str">
        <f>IF('A1.3.12'!AB43="","",'A1.3.12'!AB43*(1+VLOOKUP($B43,'A1.3.7'!$B$28:$O$118,14,)/100))</f>
        <v/>
      </c>
      <c r="AC43" s="691">
        <f>IF('A1.3.12'!AC43="","",'A1.3.12'!AC43*(1+VLOOKUP($B43,'A1.3.7'!$B$28:$O$118,14,)/100))</f>
        <v>4.7883846313779861</v>
      </c>
      <c r="AD43" s="691" t="str">
        <f>IF('A1.3.12'!AD43="","",'A1.3.12'!AD43*(1+VLOOKUP($B43,'A1.3.7'!$B$28:$O$118,14,)/100))</f>
        <v/>
      </c>
      <c r="AE43" s="1664" t="str">
        <f>IF('A1.3.12'!AE43="","",'A1.3.12'!AE43*(1+VLOOKUP($B43,'A1.3.7'!$B$28:$O$118,14,)/100))</f>
        <v/>
      </c>
      <c r="AF43" s="693">
        <f>IF(AND(T43="",X43="",AB43=""),"",IF(T43="",0,T43 * VLOOKUP($B43,'A1.3.9'!$B$26:$O$57,6,TRUE)) + IF(X43="",0,X43 * VLOOKUP($B43,'A1.3.9'!$B$26:$O$57,7,TRUE)) + IF(AB43="",0,AB43 * VLOOKUP($B43,'A1.3.9'!$B$26:$O$57,8,TRUE)))</f>
        <v>47.730830318157196</v>
      </c>
      <c r="AG43" s="691">
        <f>IF(AND(U43="",Y43="",AC43=""),"",IF(U43="",0,U43 * VLOOKUP($B43,'A1.3.9'!$B$26:$O$57,6,TRUE)) + IF(Y43="",0,Y43 * VLOOKUP($B43,'A1.3.9'!$B$26:$O$57,7,TRUE)) + IF(AC43="",0,AC43 * VLOOKUP($B43,'A1.3.9'!$B$26:$O$57,8,TRUE)))</f>
        <v>11.885513405448886</v>
      </c>
      <c r="AH43" s="691">
        <f>IF(AND(V43="",Z43="",AD43=""),"",IF(V43="",0,V43 * VLOOKUP($B43,'A1.3.9'!$B$26:$O$57,6,TRUE)) + IF(Z43="",0,Z43 * VLOOKUP($B43,'A1.3.9'!$B$26:$O$57,7,TRUE)) + IF(AD43="",0,AD43 * VLOOKUP($B43,'A1.3.9'!$B$26:$O$57,8,TRUE)))</f>
        <v>-0.17004532384337648</v>
      </c>
      <c r="AI43" s="2644">
        <f>IF(AND(W43="",AA43="",AE43=""),"",IF(W43="",0,W43 * VLOOKUP($B43,'A1.3.9'!$B$26:$O$57,6,TRUE)) + IF(AA43="",0,AA43 * VLOOKUP($B43,'A1.3.9'!$B$26:$O$57,7,TRUE)) + IF(AE43="",0,AE43 * VLOOKUP($B43,'A1.3.9'!$B$26:$O$57,8,TRUE)))</f>
        <v>1.4337548397182272E-3</v>
      </c>
    </row>
    <row r="44" spans="1:35" ht="13.5" customHeight="1">
      <c r="A44" s="113"/>
      <c r="B44" s="614">
        <f t="shared" si="0"/>
        <v>2027</v>
      </c>
      <c r="C44" s="147"/>
      <c r="D44" s="693">
        <f>IF('A1.3.12'!D44="","",'A1.3.12'!D44*(1+VLOOKUP($B44,'A1.3.7'!$B$28:$O$118,12,)/100))</f>
        <v>39.853462370075547</v>
      </c>
      <c r="E44" s="691">
        <f>IF('A1.3.12'!E44="","",'A1.3.12'!E44*(1+VLOOKUP($B44,'A1.3.7'!$B$28:$O$118,12,)/100))</f>
        <v>8.4695072129959748</v>
      </c>
      <c r="F44" s="691">
        <f>IF('A1.3.12'!F44="","",'A1.3.12'!F44*(1+VLOOKUP($B44,'A1.3.7'!$B$28:$O$118,12,)/100))</f>
        <v>-9.6477731023453167E-2</v>
      </c>
      <c r="G44" s="2644">
        <f>IF('A1.3.12'!G44="","",'A1.3.12'!G44*(1+VLOOKUP($B44,'A1.3.7'!$B$28:$O$118,12,)/100))</f>
        <v>6.3896424983925714E-4</v>
      </c>
      <c r="H44" s="693">
        <f>IF('A1.3.12'!H44="","",'A1.3.12'!H44*(1+VLOOKUP($B44,'A1.3.7'!$B$28:$O$118,13,)/100))</f>
        <v>48.109643513631795</v>
      </c>
      <c r="I44" s="691">
        <f>IF('A1.3.12'!I44="","",'A1.3.12'!I44*(1+VLOOKUP($B44,'A1.3.7'!$B$28:$O$118,13,)/100))</f>
        <v>6.8977331297233624</v>
      </c>
      <c r="J44" s="691">
        <f>IF('A1.3.12'!J44="","",'A1.3.12'!J44*(1+VLOOKUP($B44,'A1.3.7'!$B$28:$O$118,13,)/100))</f>
        <v>-6.6358114283080596E-2</v>
      </c>
      <c r="K44" s="2644">
        <f>IF('A1.3.12'!K44="","",'A1.3.12'!K44*(1+VLOOKUP($B44,'A1.3.7'!$B$28:$O$118,13,)/100))</f>
        <v>5.2290526978694739E-4</v>
      </c>
      <c r="L44" s="693" t="str">
        <f>IF('A1.3.12'!L44="","",'A1.3.12'!L44*(1+VLOOKUP($B44,'A1.3.7'!$B$28:$O$118,14,)/100))</f>
        <v/>
      </c>
      <c r="M44" s="691">
        <f>IF('A1.3.12'!M44="","",'A1.3.12'!M44*(1+VLOOKUP($B44,'A1.3.7'!$B$28:$O$118,14,)/100))</f>
        <v>2.2995690998650549</v>
      </c>
      <c r="N44" s="691" t="str">
        <f>IF('A1.3.12'!N44="","",'A1.3.12'!N44*(1+VLOOKUP($B44,'A1.3.7'!$B$28:$O$118,14,)/100))</f>
        <v/>
      </c>
      <c r="O44" s="1664" t="str">
        <f>IF('A1.3.12'!O44="","",'A1.3.12'!O44*(1+VLOOKUP($B44,'A1.3.7'!$B$28:$O$118,14,)/100))</f>
        <v/>
      </c>
      <c r="P44" s="693">
        <f>IF(AND(D44="",H44="",L44=""),"",IF(D44="",0,D44 * VLOOKUP($B44,'A1.3.9'!$B$26:$O$57,3,TRUE)) + IF(H44="",0,H44 * VLOOKUP($B44,'A1.3.9'!$B$26:$O$57,4,TRUE)) + IF(L44="",0,L44 * VLOOKUP($B44,'A1.3.9'!$B$26:$O$57,5,TRUE)))</f>
        <v>39.916760440418443</v>
      </c>
      <c r="Q44" s="691">
        <f>IF(AND(E44="",I44="",M44=""),"",IF(E44="",0,E44 * VLOOKUP($B44,'A1.3.9'!$B$26:$O$57,3,TRUE)) + IF(I44="",0,I44 * VLOOKUP($B44,'A1.3.9'!$B$26:$O$57,4,TRUE)) + IF(M44="",0,M44 * VLOOKUP($B44,'A1.3.9'!$B$26:$O$57,5,TRUE)))</f>
        <v>7.2924607160336041</v>
      </c>
      <c r="R44" s="691">
        <f>IF(AND(F44="",J44="",N44=""),"",IF(F44="",0,F44 * VLOOKUP($B44,'A1.3.9'!$B$26:$O$57,3,TRUE)) + IF(J44="",0,J44 * VLOOKUP($B44,'A1.3.9'!$B$26:$O$57,4,TRUE)) + IF(N44="",0,N44 * VLOOKUP($B44,'A1.3.9'!$B$26:$O$57,5,TRUE)))</f>
        <v>-7.5764551550065465E-2</v>
      </c>
      <c r="S44" s="2644">
        <f>IF(AND(G44="",K44="",O44=""),"",IF(G44="",0,G44 * VLOOKUP($B44,'A1.3.9'!$B$26:$O$57,3,TRUE)) + IF(K44="",0,K44 * VLOOKUP($B44,'A1.3.9'!$B$26:$O$57,4,TRUE)) + IF(O44="",0,O44 * VLOOKUP($B44,'A1.3.9'!$B$26:$O$57,5,TRUE)))</f>
        <v>5.365225508301224E-4</v>
      </c>
      <c r="T44" s="693">
        <f>IF('A1.3.12'!T44="","",'A1.3.12'!T44*(1+VLOOKUP($B44,'A1.3.7'!$B$28:$O$118,12,)/100))</f>
        <v>28.543784362819768</v>
      </c>
      <c r="U44" s="691">
        <f>IF('A1.3.12'!U44="","",'A1.3.12'!U44*(1+VLOOKUP($B44,'A1.3.7'!$B$28:$O$118,12,)/100))</f>
        <v>16.005701973363191</v>
      </c>
      <c r="V44" s="691">
        <f>IF('A1.3.12'!V44="","",'A1.3.12'!V44*(1+VLOOKUP($B44,'A1.3.7'!$B$28:$O$118,12,)/100))</f>
        <v>-0.25123698395265065</v>
      </c>
      <c r="W44" s="2644">
        <f>IF('A1.3.12'!W44="","",'A1.3.12'!W44*(1+VLOOKUP($B44,'A1.3.7'!$B$28:$O$118,12,)/100))</f>
        <v>1.6224978316804817E-3</v>
      </c>
      <c r="X44" s="693">
        <f>IF('A1.3.12'!X44="","",'A1.3.12'!X44*(1+VLOOKUP($B44,'A1.3.7'!$B$28:$O$118,13,)/100))</f>
        <v>49.146355248135151</v>
      </c>
      <c r="Y44" s="691">
        <f>IF('A1.3.12'!Y44="","",'A1.3.12'!Y44*(1+VLOOKUP($B44,'A1.3.7'!$B$28:$O$118,13,)/100))</f>
        <v>12.011569510345042</v>
      </c>
      <c r="Z44" s="691">
        <f>IF('A1.3.12'!Z44="","",'A1.3.12'!Z44*(1+VLOOKUP($B44,'A1.3.7'!$B$28:$O$118,13,)/100))</f>
        <v>-0.17328872052952793</v>
      </c>
      <c r="AA44" s="2644">
        <f>IF('A1.3.12'!AA44="","",'A1.3.12'!AA44*(1+VLOOKUP($B44,'A1.3.7'!$B$28:$O$118,13,)/100))</f>
        <v>1.467068350086066E-3</v>
      </c>
      <c r="AB44" s="693" t="str">
        <f>IF('A1.3.12'!AB44="","",'A1.3.12'!AB44*(1+VLOOKUP($B44,'A1.3.7'!$B$28:$O$118,14,)/100))</f>
        <v/>
      </c>
      <c r="AC44" s="691">
        <f>IF('A1.3.12'!AC44="","",'A1.3.12'!AC44*(1+VLOOKUP($B44,'A1.3.7'!$B$28:$O$118,14,)/100))</f>
        <v>4.7594014663557367</v>
      </c>
      <c r="AD44" s="691" t="str">
        <f>IF('A1.3.12'!AD44="","",'A1.3.12'!AD44*(1+VLOOKUP($B44,'A1.3.7'!$B$28:$O$118,14,)/100))</f>
        <v/>
      </c>
      <c r="AE44" s="1664" t="str">
        <f>IF('A1.3.12'!AE44="","",'A1.3.12'!AE44*(1+VLOOKUP($B44,'A1.3.7'!$B$28:$O$118,14,)/100))</f>
        <v/>
      </c>
      <c r="AF44" s="693">
        <f>IF(AND(T44="",X44="",AB44=""),"",IF(T44="",0,T44 * VLOOKUP($B44,'A1.3.9'!$B$26:$O$57,6,TRUE)) + IF(X44="",0,X44 * VLOOKUP($B44,'A1.3.9'!$B$26:$O$57,7,TRUE)) + IF(AB44="",0,AB44 * VLOOKUP($B44,'A1.3.9'!$B$26:$O$57,8,TRUE)))</f>
        <v>47.424878710642247</v>
      </c>
      <c r="AG44" s="691">
        <f>IF(AND(U44="",Y44="",AC44=""),"",IF(U44="",0,U44 * VLOOKUP($B44,'A1.3.9'!$B$26:$O$57,6,TRUE)) + IF(Y44="",0,Y44 * VLOOKUP($B44,'A1.3.9'!$B$26:$O$57,7,TRUE)) + IF(AC44="",0,AC44 * VLOOKUP($B44,'A1.3.9'!$B$26:$O$57,8,TRUE)))</f>
        <v>11.816938256461903</v>
      </c>
      <c r="AH44" s="691">
        <f>IF(AND(V44="",Z44="",AD44=""),"",IF(V44="",0,V44 * VLOOKUP($B44,'A1.3.9'!$B$26:$O$57,6,TRUE)) + IF(Z44="",0,Z44 * VLOOKUP($B44,'A1.3.9'!$B$26:$O$57,7,TRUE)) + IF(AD44="",0,AD44 * VLOOKUP($B44,'A1.3.9'!$B$26:$O$57,8,TRUE)))</f>
        <v>-0.16849037398860342</v>
      </c>
      <c r="AI44" s="2644">
        <f>IF(AND(W44="",AA44="",AE44=""),"",IF(W44="",0,W44 * VLOOKUP($B44,'A1.3.9'!$B$26:$O$57,6,TRUE)) + IF(AA44="",0,AA44 * VLOOKUP($B44,'A1.3.9'!$B$26:$O$57,7,TRUE)) + IF(AE44="",0,AE44 * VLOOKUP($B44,'A1.3.9'!$B$26:$O$57,8,TRUE)))</f>
        <v>1.4221857549303828E-3</v>
      </c>
    </row>
    <row r="45" spans="1:35" ht="13.5" customHeight="1">
      <c r="A45" s="113"/>
      <c r="B45" s="614">
        <f t="shared" si="0"/>
        <v>2028</v>
      </c>
      <c r="C45" s="147"/>
      <c r="D45" s="693">
        <f>IF('A1.3.12'!D45="","",'A1.3.12'!D45*(1+VLOOKUP($B45,'A1.3.7'!$B$28:$O$118,12,)/100))</f>
        <v>39.576544942037224</v>
      </c>
      <c r="E45" s="691">
        <f>IF('A1.3.12'!E45="","",'A1.3.12'!E45*(1+VLOOKUP($B45,'A1.3.7'!$B$28:$O$118,12,)/100))</f>
        <v>8.4106577676856507</v>
      </c>
      <c r="F45" s="691">
        <f>IF('A1.3.12'!F45="","",'A1.3.12'!F45*(1+VLOOKUP($B45,'A1.3.7'!$B$28:$O$118,12,)/100))</f>
        <v>-9.5807366052653359E-2</v>
      </c>
      <c r="G45" s="2644">
        <f>IF('A1.3.12'!G45="","",'A1.3.12'!G45*(1+VLOOKUP($B45,'A1.3.7'!$B$28:$O$118,12,)/100))</f>
        <v>6.3452447657612462E-4</v>
      </c>
      <c r="H45" s="693">
        <f>IF('A1.3.12'!H45="","",'A1.3.12'!H45*(1+VLOOKUP($B45,'A1.3.7'!$B$28:$O$118,13,)/100))</f>
        <v>48.038644823036911</v>
      </c>
      <c r="I45" s="691">
        <f>IF('A1.3.12'!I45="","",'A1.3.12'!I45*(1+VLOOKUP($B45,'A1.3.7'!$B$28:$O$118,13,)/100))</f>
        <v>6.8875536732876794</v>
      </c>
      <c r="J45" s="691">
        <f>IF('A1.3.12'!J45="","",'A1.3.12'!J45*(1+VLOOKUP($B45,'A1.3.7'!$B$28:$O$118,13,)/100))</f>
        <v>-6.6260185076369493E-2</v>
      </c>
      <c r="K45" s="2644">
        <f>IF('A1.3.12'!K45="","",'A1.3.12'!K45*(1+VLOOKUP($B45,'A1.3.7'!$B$28:$O$118,13,)/100))</f>
        <v>5.2213358272488227E-4</v>
      </c>
      <c r="L45" s="693" t="str">
        <f>IF('A1.3.12'!L45="","",'A1.3.12'!L45*(1+VLOOKUP($B45,'A1.3.7'!$B$28:$O$118,14,)/100))</f>
        <v/>
      </c>
      <c r="M45" s="691">
        <f>IF('A1.3.12'!M45="","",'A1.3.12'!M45*(1+VLOOKUP($B45,'A1.3.7'!$B$28:$O$118,14,)/100))</f>
        <v>2.224297695812413</v>
      </c>
      <c r="N45" s="691" t="str">
        <f>IF('A1.3.12'!N45="","",'A1.3.12'!N45*(1+VLOOKUP($B45,'A1.3.7'!$B$28:$O$118,14,)/100))</f>
        <v/>
      </c>
      <c r="O45" s="1664" t="str">
        <f>IF('A1.3.12'!O45="","",'A1.3.12'!O45*(1+VLOOKUP($B45,'A1.3.7'!$B$28:$O$118,14,)/100))</f>
        <v/>
      </c>
      <c r="P45" s="693">
        <f>IF(AND(D45="",H45="",L45=""),"",IF(D45="",0,D45 * VLOOKUP($B45,'A1.3.9'!$B$26:$O$57,3,TRUE)) + IF(H45="",0,H45 * VLOOKUP($B45,'A1.3.9'!$B$26:$O$57,4,TRUE)) + IF(L45="",0,L45 * VLOOKUP($B45,'A1.3.9'!$B$26:$O$57,5,TRUE)))</f>
        <v>38.897586193673504</v>
      </c>
      <c r="Q45" s="691">
        <f>IF(AND(E45="",I45="",M45=""),"",IF(E45="",0,E45 * VLOOKUP($B45,'A1.3.9'!$B$26:$O$57,3,TRUE)) + IF(I45="",0,I45 * VLOOKUP($B45,'A1.3.9'!$B$26:$O$57,4,TRUE)) + IF(M45="",0,M45 * VLOOKUP($B45,'A1.3.9'!$B$26:$O$57,5,TRUE)))</f>
        <v>7.1648401286741574</v>
      </c>
      <c r="R45" s="691">
        <f>IF(AND(F45="",J45="",N45=""),"",IF(F45="",0,F45 * VLOOKUP($B45,'A1.3.9'!$B$26:$O$57,3,TRUE)) + IF(J45="",0,J45 * VLOOKUP($B45,'A1.3.9'!$B$26:$O$57,4,TRUE)) + IF(N45="",0,N45 * VLOOKUP($B45,'A1.3.9'!$B$26:$O$57,5,TRUE)))</f>
        <v>-7.4127099623593609E-2</v>
      </c>
      <c r="S45" s="2644">
        <f>IF(AND(G45="",K45="",O45=""),"",IF(G45="",0,G45 * VLOOKUP($B45,'A1.3.9'!$B$26:$O$57,3,TRUE)) + IF(K45="",0,K45 * VLOOKUP($B45,'A1.3.9'!$B$26:$O$57,4,TRUE)) + IF(O45="",0,O45 * VLOOKUP($B45,'A1.3.9'!$B$26:$O$57,5,TRUE)))</f>
        <v>5.2429636118772258E-4</v>
      </c>
      <c r="T45" s="693">
        <f>IF('A1.3.12'!T45="","",'A1.3.12'!T45*(1+VLOOKUP($B45,'A1.3.7'!$B$28:$O$118,12,)/100))</f>
        <v>28.437514075586346</v>
      </c>
      <c r="U45" s="691">
        <f>IF('A1.3.12'!U45="","",'A1.3.12'!U45*(1+VLOOKUP($B45,'A1.3.7'!$B$28:$O$118,12,)/100))</f>
        <v>15.946111747888486</v>
      </c>
      <c r="V45" s="691">
        <f>IF('A1.3.12'!V45="","",'A1.3.12'!V45*(1+VLOOKUP($B45,'A1.3.7'!$B$28:$O$118,12,)/100))</f>
        <v>-0.25030161301132992</v>
      </c>
      <c r="W45" s="2644">
        <f>IF('A1.3.12'!W45="","",'A1.3.12'!W45*(1+VLOOKUP($B45,'A1.3.7'!$B$28:$O$118,12,)/100))</f>
        <v>1.6164571711844307E-3</v>
      </c>
      <c r="X45" s="693">
        <f>IF('A1.3.12'!X45="","",'A1.3.12'!X45*(1+VLOOKUP($B45,'A1.3.7'!$B$28:$O$118,13,)/100))</f>
        <v>49.242569019236676</v>
      </c>
      <c r="Y45" s="691">
        <f>IF('A1.3.12'!Y45="","",'A1.3.12'!Y45*(1+VLOOKUP($B45,'A1.3.7'!$B$28:$O$118,13,)/100))</f>
        <v>12.035084548105287</v>
      </c>
      <c r="Z45" s="691">
        <f>IF('A1.3.12'!Z45="","",'A1.3.12'!Z45*(1+VLOOKUP($B45,'A1.3.7'!$B$28:$O$118,13,)/100))</f>
        <v>-0.17362796768645997</v>
      </c>
      <c r="AA45" s="2644">
        <f>IF('A1.3.12'!AA45="","",'A1.3.12'!AA45*(1+VLOOKUP($B45,'A1.3.7'!$B$28:$O$118,13,)/100))</f>
        <v>1.4699404283452331E-3</v>
      </c>
      <c r="AB45" s="693" t="str">
        <f>IF('A1.3.12'!AB45="","",'A1.3.12'!AB45*(1+VLOOKUP($B45,'A1.3.7'!$B$28:$O$118,14,)/100))</f>
        <v/>
      </c>
      <c r="AC45" s="691">
        <f>IF('A1.3.12'!AC45="","",'A1.3.12'!AC45*(1+VLOOKUP($B45,'A1.3.7'!$B$28:$O$118,14,)/100))</f>
        <v>4.6634745261703427</v>
      </c>
      <c r="AD45" s="691" t="str">
        <f>IF('A1.3.12'!AD45="","",'A1.3.12'!AD45*(1+VLOOKUP($B45,'A1.3.7'!$B$28:$O$118,14,)/100))</f>
        <v/>
      </c>
      <c r="AE45" s="1664" t="str">
        <f>IF('A1.3.12'!AE45="","",'A1.3.12'!AE45*(1+VLOOKUP($B45,'A1.3.7'!$B$28:$O$118,14,)/100))</f>
        <v/>
      </c>
      <c r="AF45" s="693">
        <f>IF(AND(T45="",X45="",AB45=""),"",IF(T45="",0,T45 * VLOOKUP($B45,'A1.3.9'!$B$26:$O$57,6,TRUE)) + IF(X45="",0,X45 * VLOOKUP($B45,'A1.3.9'!$B$26:$O$57,7,TRUE)) + IF(AB45="",0,AB45 * VLOOKUP($B45,'A1.3.9'!$B$26:$O$57,8,TRUE)))</f>
        <v>47.127678274024468</v>
      </c>
      <c r="AG45" s="691">
        <f>IF(AND(U45="",Y45="",AC45=""),"",IF(U45="",0,U45 * VLOOKUP($B45,'A1.3.9'!$B$26:$O$57,6,TRUE)) + IF(Y45="",0,Y45 * VLOOKUP($B45,'A1.3.9'!$B$26:$O$57,7,TRUE)) + IF(AC45="",0,AC45 * VLOOKUP($B45,'A1.3.9'!$B$26:$O$57,8,TRUE)))</f>
        <v>11.777271127966655</v>
      </c>
      <c r="AH45" s="691">
        <f>IF(AND(V45="",Z45="",AD45=""),"",IF(V45="",0,V45 * VLOOKUP($B45,'A1.3.9'!$B$26:$O$57,6,TRUE)) + IF(Z45="",0,Z45 * VLOOKUP($B45,'A1.3.9'!$B$26:$O$57,7,TRUE)) + IF(AD45="",0,AD45 * VLOOKUP($B45,'A1.3.9'!$B$26:$O$57,8,TRUE)))</f>
        <v>-0.16742629723688102</v>
      </c>
      <c r="AI45" s="2644">
        <f>IF(AND(W45="",AA45="",AE45=""),"",IF(W45="",0,W45 * VLOOKUP($B45,'A1.3.9'!$B$26:$O$57,6,TRUE)) + IF(AA45="",0,AA45 * VLOOKUP($B45,'A1.3.9'!$B$26:$O$57,7,TRUE)) + IF(AE45="",0,AE45 * VLOOKUP($B45,'A1.3.9'!$B$26:$O$57,8,TRUE)))</f>
        <v>1.4132313666645516E-3</v>
      </c>
    </row>
    <row r="46" spans="1:35" ht="13.5" customHeight="1">
      <c r="A46" s="113"/>
      <c r="B46" s="614">
        <f t="shared" si="0"/>
        <v>2029</v>
      </c>
      <c r="C46" s="147"/>
      <c r="D46" s="693">
        <f>IF('A1.3.12'!D46="","",'A1.3.12'!D46*(1+VLOOKUP($B46,'A1.3.7'!$B$28:$O$118,12,)/100))</f>
        <v>39.685378119582182</v>
      </c>
      <c r="E46" s="691">
        <f>IF('A1.3.12'!E46="","",'A1.3.12'!E46*(1+VLOOKUP($B46,'A1.3.7'!$B$28:$O$118,12,)/100))</f>
        <v>8.4337865832869365</v>
      </c>
      <c r="F46" s="691">
        <f>IF('A1.3.12'!F46="","",'A1.3.12'!F46*(1+VLOOKUP($B46,'A1.3.7'!$B$28:$O$118,12,)/100))</f>
        <v>-9.6070830690483541E-2</v>
      </c>
      <c r="G46" s="2644">
        <f>IF('A1.3.12'!G46="","",'A1.3.12'!G46*(1+VLOOKUP($B46,'A1.3.7'!$B$28:$O$118,12,)/100))</f>
        <v>6.3626938167375192E-4</v>
      </c>
      <c r="H46" s="693">
        <f>IF('A1.3.12'!H46="","",'A1.3.12'!H46*(1+VLOOKUP($B46,'A1.3.7'!$B$28:$O$118,13,)/100))</f>
        <v>48.418614752194379</v>
      </c>
      <c r="I46" s="691">
        <f>IF('A1.3.12'!I46="","",'A1.3.12'!I46*(1+VLOOKUP($B46,'A1.3.7'!$B$28:$O$118,13,)/100))</f>
        <v>6.9420319644831947</v>
      </c>
      <c r="J46" s="691">
        <f>IF('A1.3.12'!J46="","",'A1.3.12'!J46*(1+VLOOKUP($B46,'A1.3.7'!$B$28:$O$118,13,)/100))</f>
        <v>-6.6784281414269411E-2</v>
      </c>
      <c r="K46" s="2644">
        <f>IF('A1.3.12'!K46="","",'A1.3.12'!K46*(1+VLOOKUP($B46,'A1.3.7'!$B$28:$O$118,13,)/100))</f>
        <v>5.2626348816183931E-4</v>
      </c>
      <c r="L46" s="693" t="str">
        <f>IF('A1.3.12'!L46="","",'A1.3.12'!L46*(1+VLOOKUP($B46,'A1.3.7'!$B$28:$O$118,14,)/100))</f>
        <v/>
      </c>
      <c r="M46" s="691">
        <f>IF('A1.3.12'!M46="","",'A1.3.12'!M46*(1+VLOOKUP($B46,'A1.3.7'!$B$28:$O$118,14,)/100))</f>
        <v>2.1898321523837003</v>
      </c>
      <c r="N46" s="691" t="str">
        <f>IF('A1.3.12'!N46="","",'A1.3.12'!N46*(1+VLOOKUP($B46,'A1.3.7'!$B$28:$O$118,14,)/100))</f>
        <v/>
      </c>
      <c r="O46" s="1664" t="str">
        <f>IF('A1.3.12'!O46="","",'A1.3.12'!O46*(1+VLOOKUP($B46,'A1.3.7'!$B$28:$O$118,14,)/100))</f>
        <v/>
      </c>
      <c r="P46" s="693">
        <f>IF(AND(D46="",H46="",L46=""),"",IF(D46="",0,D46 * VLOOKUP($B46,'A1.3.9'!$B$26:$O$57,3,TRUE)) + IF(H46="",0,H46 * VLOOKUP($B46,'A1.3.9'!$B$26:$O$57,4,TRUE)) + IF(L46="",0,L46 * VLOOKUP($B46,'A1.3.9'!$B$26:$O$57,5,TRUE)))</f>
        <v>38.206592574711649</v>
      </c>
      <c r="Q46" s="691">
        <f>IF(AND(E46="",I46="",M46=""),"",IF(E46="",0,E46 * VLOOKUP($B46,'A1.3.9'!$B$26:$O$57,3,TRUE)) + IF(I46="",0,I46 * VLOOKUP($B46,'A1.3.9'!$B$26:$O$57,4,TRUE)) + IF(M46="",0,M46 * VLOOKUP($B46,'A1.3.9'!$B$26:$O$57,5,TRUE)))</f>
        <v>7.0984667127012235</v>
      </c>
      <c r="R46" s="691">
        <f>IF(AND(F46="",J46="",N46=""),"",IF(F46="",0,F46 * VLOOKUP($B46,'A1.3.9'!$B$26:$O$57,3,TRUE)) + IF(J46="",0,J46 * VLOOKUP($B46,'A1.3.9'!$B$26:$O$57,4,TRUE)) + IF(N46="",0,N46 * VLOOKUP($B46,'A1.3.9'!$B$26:$O$57,5,TRUE)))</f>
        <v>-7.3088197805383087E-2</v>
      </c>
      <c r="S46" s="2644">
        <f>IF(AND(G46="",K46="",O46=""),"",IF(G46="",0,G46 * VLOOKUP($B46,'A1.3.9'!$B$26:$O$57,3,TRUE)) + IF(K46="",0,K46 * VLOOKUP($B46,'A1.3.9'!$B$26:$O$57,4,TRUE)) + IF(O46="",0,O46 * VLOOKUP($B46,'A1.3.9'!$B$26:$O$57,5,TRUE)))</f>
        <v>5.1636049261497073E-4</v>
      </c>
      <c r="T46" s="693">
        <f>IF('A1.3.12'!T46="","",'A1.3.12'!T46*(1+VLOOKUP($B46,'A1.3.7'!$B$28:$O$118,12,)/100))</f>
        <v>28.497731443888252</v>
      </c>
      <c r="U46" s="691">
        <f>IF('A1.3.12'!U46="","",'A1.3.12'!U46*(1+VLOOKUP($B46,'A1.3.7'!$B$28:$O$118,12,)/100))</f>
        <v>15.979878162264711</v>
      </c>
      <c r="V46" s="691">
        <f>IF('A1.3.12'!V46="","",'A1.3.12'!V46*(1+VLOOKUP($B46,'A1.3.7'!$B$28:$O$118,12,)/100))</f>
        <v>-0.25083163488234167</v>
      </c>
      <c r="W46" s="2644">
        <f>IF('A1.3.12'!W46="","",'A1.3.12'!W46*(1+VLOOKUP($B46,'A1.3.7'!$B$28:$O$118,12,)/100))</f>
        <v>1.6198800722355825E-3</v>
      </c>
      <c r="X46" s="693">
        <f>IF('A1.3.12'!X46="","",'A1.3.12'!X46*(1+VLOOKUP($B46,'A1.3.7'!$B$28:$O$118,13,)/100))</f>
        <v>49.601629176086767</v>
      </c>
      <c r="Y46" s="691">
        <f>IF('A1.3.12'!Y46="","",'A1.3.12'!Y46*(1+VLOOKUP($B46,'A1.3.7'!$B$28:$O$118,13,)/100))</f>
        <v>12.122840313728702</v>
      </c>
      <c r="Z46" s="691">
        <f>IF('A1.3.12'!Z46="","",'A1.3.12'!Z46*(1+VLOOKUP($B46,'A1.3.7'!$B$28:$O$118,13,)/100))</f>
        <v>-0.17489400409667874</v>
      </c>
      <c r="AA46" s="2644">
        <f>IF('A1.3.12'!AA46="","",'A1.3.12'!AA46*(1+VLOOKUP($B46,'A1.3.7'!$B$28:$O$118,13,)/100))</f>
        <v>1.4806587367372213E-3</v>
      </c>
      <c r="AB46" s="693" t="str">
        <f>IF('A1.3.12'!AB46="","",'A1.3.12'!AB46*(1+VLOOKUP($B46,'A1.3.7'!$B$28:$O$118,14,)/100))</f>
        <v/>
      </c>
      <c r="AC46" s="691">
        <f>IF('A1.3.12'!AC46="","",'A1.3.12'!AC46*(1+VLOOKUP($B46,'A1.3.7'!$B$28:$O$118,14,)/100))</f>
        <v>4.6558558136546511</v>
      </c>
      <c r="AD46" s="691" t="str">
        <f>IF('A1.3.12'!AD46="","",'A1.3.12'!AD46*(1+VLOOKUP($B46,'A1.3.7'!$B$28:$O$118,14,)/100))</f>
        <v/>
      </c>
      <c r="AE46" s="1664" t="str">
        <f>IF('A1.3.12'!AE46="","",'A1.3.12'!AE46*(1+VLOOKUP($B46,'A1.3.7'!$B$28:$O$118,14,)/100))</f>
        <v/>
      </c>
      <c r="AF46" s="693">
        <f>IF(AND(T46="",X46="",AB46=""),"",IF(T46="",0,T46 * VLOOKUP($B46,'A1.3.9'!$B$26:$O$57,6,TRUE)) + IF(X46="",0,X46 * VLOOKUP($B46,'A1.3.9'!$B$26:$O$57,7,TRUE)) + IF(AB46="",0,AB46 * VLOOKUP($B46,'A1.3.9'!$B$26:$O$57,8,TRUE)))</f>
        <v>47.026930304303164</v>
      </c>
      <c r="AG46" s="691">
        <f>IF(AND(U46="",Y46="",AC46=""),"",IF(U46="",0,U46 * VLOOKUP($B46,'A1.3.9'!$B$26:$O$57,6,TRUE)) + IF(Y46="",0,Y46 * VLOOKUP($B46,'A1.3.9'!$B$26:$O$57,7,TRUE)) + IF(AC46="",0,AC46 * VLOOKUP($B46,'A1.3.9'!$B$26:$O$57,8,TRUE)))</f>
        <v>11.793483581890701</v>
      </c>
      <c r="AH46" s="691">
        <f>IF(AND(V46="",Z46="",AD46=""),"",IF(V46="",0,V46 * VLOOKUP($B46,'A1.3.9'!$B$26:$O$57,6,TRUE)) + IF(Z46="",0,Z46 * VLOOKUP($B46,'A1.3.9'!$B$26:$O$57,7,TRUE)) + IF(AD46="",0,AD46 * VLOOKUP($B46,'A1.3.9'!$B$26:$O$57,8,TRUE)))</f>
        <v>-0.16706046302095942</v>
      </c>
      <c r="AI46" s="2644">
        <f>IF(AND(W46="",AA46="",AE46=""),"",IF(W46="",0,W46 * VLOOKUP($B46,'A1.3.9'!$B$26:$O$57,6,TRUE)) + IF(AA46="",0,AA46 * VLOOKUP($B46,'A1.3.9'!$B$26:$O$57,7,TRUE)) + IF(AE46="",0,AE46 * VLOOKUP($B46,'A1.3.9'!$B$26:$O$57,8,TRUE)))</f>
        <v>1.4101697100023219E-3</v>
      </c>
    </row>
    <row r="47" spans="1:35" ht="13.5" customHeight="1">
      <c r="A47" s="113"/>
      <c r="B47" s="614">
        <f t="shared" si="0"/>
        <v>2030</v>
      </c>
      <c r="C47" s="147"/>
      <c r="D47" s="693">
        <f>IF('A1.3.12'!D47="","",'A1.3.12'!D47*(1+VLOOKUP($B47,'A1.3.7'!$B$28:$O$118,12,)/100))</f>
        <v>39.708506050916824</v>
      </c>
      <c r="E47" s="691">
        <f>IF('A1.3.12'!E47="","",'A1.3.12'!E47*(1+VLOOKUP($B47,'A1.3.7'!$B$28:$O$118,12,)/100))</f>
        <v>8.4387016438515978</v>
      </c>
      <c r="F47" s="691">
        <f>IF('A1.3.12'!F47="","",'A1.3.12'!F47*(1+VLOOKUP($B47,'A1.3.7'!$B$28:$O$118,12,)/100))</f>
        <v>-9.6126819059015017E-2</v>
      </c>
      <c r="G47" s="2644">
        <f>IF('A1.3.12'!G47="","",'A1.3.12'!G47*(1+VLOOKUP($B47,'A1.3.7'!$B$28:$O$118,12,)/100))</f>
        <v>6.3664018813363579E-4</v>
      </c>
      <c r="H47" s="693">
        <f>IF('A1.3.12'!H47="","",'A1.3.12'!H47*(1+VLOOKUP($B47,'A1.3.7'!$B$28:$O$118,13,)/100))</f>
        <v>48.638702539187619</v>
      </c>
      <c r="I47" s="691">
        <f>IF('A1.3.12'!I47="","",'A1.3.12'!I47*(1+VLOOKUP($B47,'A1.3.7'!$B$28:$O$118,13,)/100))</f>
        <v>6.9735871103732414</v>
      </c>
      <c r="J47" s="691">
        <f>IF('A1.3.12'!J47="","",'A1.3.12'!J47*(1+VLOOKUP($B47,'A1.3.7'!$B$28:$O$118,13,)/100))</f>
        <v>-6.7087850708385466E-2</v>
      </c>
      <c r="K47" s="2644">
        <f>IF('A1.3.12'!K47="","",'A1.3.12'!K47*(1+VLOOKUP($B47,'A1.3.7'!$B$28:$O$118,13,)/100))</f>
        <v>5.2865562942977257E-4</v>
      </c>
      <c r="L47" s="693" t="str">
        <f>IF('A1.3.12'!L47="","",'A1.3.12'!L47*(1+VLOOKUP($B47,'A1.3.7'!$B$28:$O$118,14,)/100))</f>
        <v/>
      </c>
      <c r="M47" s="691">
        <f>IF('A1.3.12'!M47="","",'A1.3.12'!M47*(1+VLOOKUP($B47,'A1.3.7'!$B$28:$O$118,14,)/100))</f>
        <v>2.1965382684021453</v>
      </c>
      <c r="N47" s="691" t="str">
        <f>IF('A1.3.12'!N47="","",'A1.3.12'!N47*(1+VLOOKUP($B47,'A1.3.7'!$B$28:$O$118,14,)/100))</f>
        <v/>
      </c>
      <c r="O47" s="1664" t="str">
        <f>IF('A1.3.12'!O47="","",'A1.3.12'!O47*(1+VLOOKUP($B47,'A1.3.7'!$B$28:$O$118,14,)/100))</f>
        <v/>
      </c>
      <c r="P47" s="693">
        <f>IF(AND(D47="",H47="",L47=""),"",IF(D47="",0,D47 * VLOOKUP($B47,'A1.3.9'!$B$26:$O$57,3,TRUE)) + IF(H47="",0,H47 * VLOOKUP($B47,'A1.3.9'!$B$26:$O$57,4,TRUE)) + IF(L47="",0,L47 * VLOOKUP($B47,'A1.3.9'!$B$26:$O$57,5,TRUE)))</f>
        <v>37.328301664450343</v>
      </c>
      <c r="Q47" s="691">
        <f>IF(AND(E47="",I47="",M47=""),"",IF(E47="",0,E47 * VLOOKUP($B47,'A1.3.9'!$B$26:$O$57,3,TRUE)) + IF(I47="",0,I47 * VLOOKUP($B47,'A1.3.9'!$B$26:$O$57,4,TRUE)) + IF(M47="",0,M47 * VLOOKUP($B47,'A1.3.9'!$B$26:$O$57,5,TRUE)))</f>
        <v>7.0056741677484977</v>
      </c>
      <c r="R47" s="691">
        <f>IF(AND(F47="",J47="",N47=""),"",IF(F47="",0,F47 * VLOOKUP($B47,'A1.3.9'!$B$26:$O$57,3,TRUE)) + IF(J47="",0,J47 * VLOOKUP($B47,'A1.3.9'!$B$26:$O$57,4,TRUE)) + IF(N47="",0,N47 * VLOOKUP($B47,'A1.3.9'!$B$26:$O$57,5,TRUE)))</f>
        <v>-7.1668332400161266E-2</v>
      </c>
      <c r="S47" s="2644">
        <f>IF(AND(G47="",K47="",O47=""),"",IF(G47="",0,G47 * VLOOKUP($B47,'A1.3.9'!$B$26:$O$57,3,TRUE)) + IF(K47="",0,K47 * VLOOKUP($B47,'A1.3.9'!$B$26:$O$57,4,TRUE)) + IF(O47="",0,O47 * VLOOKUP($B47,'A1.3.9'!$B$26:$O$57,5,TRUE)))</f>
        <v>5.0578091597081986E-4</v>
      </c>
      <c r="T47" s="693">
        <f>IF('A1.3.12'!T47="","",'A1.3.12'!T47*(1+VLOOKUP($B47,'A1.3.7'!$B$28:$O$118,12,)/100))</f>
        <v>28.484851451821793</v>
      </c>
      <c r="U47" s="691">
        <f>IF('A1.3.12'!U47="","",'A1.3.12'!U47*(1+VLOOKUP($B47,'A1.3.7'!$B$28:$O$118,12,)/100))</f>
        <v>15.972655808290384</v>
      </c>
      <c r="V47" s="691">
        <f>IF('A1.3.12'!V47="","",'A1.3.12'!V47*(1+VLOOKUP($B47,'A1.3.7'!$B$28:$O$118,12,)/100))</f>
        <v>-0.25071826763156019</v>
      </c>
      <c r="W47" s="2644">
        <f>IF('A1.3.12'!W47="","",'A1.3.12'!W47*(1+VLOOKUP($B47,'A1.3.7'!$B$28:$O$118,12,)/100))</f>
        <v>1.6191479422932363E-3</v>
      </c>
      <c r="X47" s="693">
        <f>IF('A1.3.12'!X47="","",'A1.3.12'!X47*(1+VLOOKUP($B47,'A1.3.7'!$B$28:$O$118,13,)/100))</f>
        <v>49.793984096133443</v>
      </c>
      <c r="Y47" s="691">
        <f>IF('A1.3.12'!Y47="","",'A1.3.12'!Y47*(1+VLOOKUP($B47,'A1.3.7'!$B$28:$O$118,13,)/100))</f>
        <v>12.169852640098215</v>
      </c>
      <c r="Z47" s="691">
        <f>IF('A1.3.12'!Z47="","",'A1.3.12'!Z47*(1+VLOOKUP($B47,'A1.3.7'!$B$28:$O$118,13,)/100))</f>
        <v>-0.17557224234678195</v>
      </c>
      <c r="AA47" s="2644">
        <f>IF('A1.3.12'!AA47="","",'A1.3.12'!AA47*(1+VLOOKUP($B47,'A1.3.7'!$B$28:$O$118,13,)/100))</f>
        <v>1.486400725410827E-3</v>
      </c>
      <c r="AB47" s="693" t="str">
        <f>IF('A1.3.12'!AB47="","",'A1.3.12'!AB47*(1+VLOOKUP($B47,'A1.3.7'!$B$28:$O$118,14,)/100))</f>
        <v/>
      </c>
      <c r="AC47" s="691">
        <f>IF('A1.3.12'!AC47="","",'A1.3.12'!AC47*(1+VLOOKUP($B47,'A1.3.7'!$B$28:$O$118,14,)/100))</f>
        <v>4.7402914466537549</v>
      </c>
      <c r="AD47" s="691" t="str">
        <f>IF('A1.3.12'!AD47="","",'A1.3.12'!AD47*(1+VLOOKUP($B47,'A1.3.7'!$B$28:$O$118,14,)/100))</f>
        <v/>
      </c>
      <c r="AE47" s="1664" t="str">
        <f>IF('A1.3.12'!AE47="","",'A1.3.12'!AE47*(1+VLOOKUP($B47,'A1.3.7'!$B$28:$O$118,14,)/100))</f>
        <v/>
      </c>
      <c r="AF47" s="693">
        <f>IF(AND(T47="",X47="",AB47=""),"",IF(T47="",0,T47 * VLOOKUP($B47,'A1.3.9'!$B$26:$O$57,6,TRUE)) + IF(X47="",0,X47 * VLOOKUP($B47,'A1.3.9'!$B$26:$O$57,7,TRUE)) + IF(AB47="",0,AB47 * VLOOKUP($B47,'A1.3.9'!$B$26:$O$57,8,TRUE)))</f>
        <v>46.701294613851829</v>
      </c>
      <c r="AG47" s="691">
        <f>IF(AND(U47="",Y47="",AC47=""),"",IF(U47="",0,U47 * VLOOKUP($B47,'A1.3.9'!$B$26:$O$57,6,TRUE)) + IF(Y47="",0,Y47 * VLOOKUP($B47,'A1.3.9'!$B$26:$O$57,7,TRUE)) + IF(AC47="",0,AC47 * VLOOKUP($B47,'A1.3.9'!$B$26:$O$57,8,TRUE)))</f>
        <v>11.765429572871049</v>
      </c>
      <c r="AH47" s="691">
        <f>IF(AND(V47="",Z47="",AD47=""),"",IF(V47="",0,V47 * VLOOKUP($B47,'A1.3.9'!$B$26:$O$57,6,TRUE)) + IF(Z47="",0,Z47 * VLOOKUP($B47,'A1.3.9'!$B$26:$O$57,7,TRUE)) + IF(AD47="",0,AD47 * VLOOKUP($B47,'A1.3.9'!$B$26:$O$57,8,TRUE)))</f>
        <v>-0.16589486636610487</v>
      </c>
      <c r="AI47" s="2644">
        <f>IF(AND(W47="",AA47="",AE47=""),"",IF(W47="",0,W47 * VLOOKUP($B47,'A1.3.9'!$B$26:$O$57,6,TRUE)) + IF(AA47="",0,AA47 * VLOOKUP($B47,'A1.3.9'!$B$26:$O$57,7,TRUE)) + IF(AE47="",0,AE47 * VLOOKUP($B47,'A1.3.9'!$B$26:$O$57,8,TRUE)))</f>
        <v>1.4003600648745845E-3</v>
      </c>
    </row>
    <row r="48" spans="1:35" ht="13.5" customHeight="1">
      <c r="A48" s="113"/>
      <c r="B48" s="614">
        <f t="shared" si="0"/>
        <v>2031</v>
      </c>
      <c r="C48" s="147"/>
      <c r="D48" s="693">
        <f>IF('A1.3.12'!D48="","",'A1.3.12'!D48*(1+VLOOKUP($B48,'A1.3.7'!$B$28:$O$118,12,)/100))</f>
        <v>39.485014441192497</v>
      </c>
      <c r="E48" s="691">
        <f>IF('A1.3.12'!E48="","",'A1.3.12'!E48*(1+VLOOKUP($B48,'A1.3.7'!$B$28:$O$118,12,)/100))</f>
        <v>8.3912060515482931</v>
      </c>
      <c r="F48" s="691">
        <f>IF('A1.3.12'!F48="","",'A1.3.12'!F48*(1+VLOOKUP($B48,'A1.3.7'!$B$28:$O$118,12,)/100))</f>
        <v>-9.5585787938336983E-2</v>
      </c>
      <c r="G48" s="2644">
        <f>IF('A1.3.12'!G48="","",'A1.3.12'!G48*(1+VLOOKUP($B48,'A1.3.7'!$B$28:$O$118,12,)/100))</f>
        <v>6.3305698255348281E-4</v>
      </c>
      <c r="H48" s="693">
        <f>IF('A1.3.12'!H48="","",'A1.3.12'!H48*(1+VLOOKUP($B48,'A1.3.7'!$B$28:$O$118,13,)/100))</f>
        <v>48.503955173915415</v>
      </c>
      <c r="I48" s="691">
        <f>IF('A1.3.12'!I48="","",'A1.3.12'!I48*(1+VLOOKUP($B48,'A1.3.7'!$B$28:$O$118,13,)/100))</f>
        <v>6.9542676704917605</v>
      </c>
      <c r="J48" s="691">
        <f>IF('A1.3.12'!J48="","",'A1.3.12'!J48*(1+VLOOKUP($B48,'A1.3.7'!$B$28:$O$118,13,)/100))</f>
        <v>-6.6901992314703035E-2</v>
      </c>
      <c r="K48" s="2644">
        <f>IF('A1.3.12'!K48="","",'A1.3.12'!K48*(1+VLOOKUP($B48,'A1.3.7'!$B$28:$O$118,13,)/100))</f>
        <v>5.2719105596290021E-4</v>
      </c>
      <c r="L48" s="693" t="str">
        <f>IF('A1.3.12'!L48="","",'A1.3.12'!L48*(1+VLOOKUP($B48,'A1.3.7'!$B$28:$O$118,14,)/100))</f>
        <v/>
      </c>
      <c r="M48" s="691">
        <f>IF('A1.3.12'!M48="","",'A1.3.12'!M48*(1+VLOOKUP($B48,'A1.3.7'!$B$28:$O$118,14,)/100))</f>
        <v>2.1686993400136112</v>
      </c>
      <c r="N48" s="691" t="str">
        <f>IF('A1.3.12'!N48="","",'A1.3.12'!N48*(1+VLOOKUP($B48,'A1.3.7'!$B$28:$O$118,14,)/100))</f>
        <v/>
      </c>
      <c r="O48" s="1664" t="str">
        <f>IF('A1.3.12'!O48="","",'A1.3.12'!O48*(1+VLOOKUP($B48,'A1.3.7'!$B$28:$O$118,14,)/100))</f>
        <v/>
      </c>
      <c r="P48" s="693">
        <f>IF(AND(D48="",H48="",L48=""),"",IF(D48="",0,D48 * VLOOKUP($B48,'A1.3.9'!$B$26:$O$57,3,TRUE)) + IF(H48="",0,H48 * VLOOKUP($B48,'A1.3.9'!$B$26:$O$57,4,TRUE)) + IF(L48="",0,L48 * VLOOKUP($B48,'A1.3.9'!$B$26:$O$57,5,TRUE)))</f>
        <v>36.223007159988882</v>
      </c>
      <c r="Q48" s="691">
        <f>IF(AND(E48="",I48="",M48=""),"",IF(E48="",0,E48 * VLOOKUP($B48,'A1.3.9'!$B$26:$O$57,3,TRUE)) + IF(I48="",0,I48 * VLOOKUP($B48,'A1.3.9'!$B$26:$O$57,4,TRUE)) + IF(M48="",0,M48 * VLOOKUP($B48,'A1.3.9'!$B$26:$O$57,5,TRUE)))</f>
        <v>6.8633913203909893</v>
      </c>
      <c r="R48" s="691">
        <f>IF(AND(F48="",J48="",N48=""),"",IF(F48="",0,F48 * VLOOKUP($B48,'A1.3.9'!$B$26:$O$57,3,TRUE)) + IF(J48="",0,J48 * VLOOKUP($B48,'A1.3.9'!$B$26:$O$57,4,TRUE)) + IF(N48="",0,N48 * VLOOKUP($B48,'A1.3.9'!$B$26:$O$57,5,TRUE)))</f>
        <v>-6.9771968183934455E-2</v>
      </c>
      <c r="S48" s="2644">
        <f>IF(AND(G48="",K48="",O48=""),"",IF(G48="",0,G48 * VLOOKUP($B48,'A1.3.9'!$B$26:$O$57,3,TRUE)) + IF(K48="",0,K48 * VLOOKUP($B48,'A1.3.9'!$B$26:$O$57,4,TRUE)) + IF(O48="",0,O48 * VLOOKUP($B48,'A1.3.9'!$B$26:$O$57,5,TRUE)))</f>
        <v>4.9192393309976489E-4</v>
      </c>
      <c r="T48" s="693">
        <f>IF('A1.3.12'!T48="","",'A1.3.12'!T48*(1+VLOOKUP($B48,'A1.3.7'!$B$28:$O$118,12,)/100))</f>
        <v>28.406829115786589</v>
      </c>
      <c r="U48" s="691">
        <f>IF('A1.3.12'!U48="","",'A1.3.12'!U48*(1+VLOOKUP($B48,'A1.3.7'!$B$28:$O$118,12,)/100))</f>
        <v>15.928905398675056</v>
      </c>
      <c r="V48" s="691">
        <f>IF('A1.3.12'!V48="","",'A1.3.12'!V48*(1+VLOOKUP($B48,'A1.3.7'!$B$28:$O$118,12,)/100))</f>
        <v>-0.25003152980670618</v>
      </c>
      <c r="W48" s="2644">
        <f>IF('A1.3.12'!W48="","",'A1.3.12'!W48*(1+VLOOKUP($B48,'A1.3.7'!$B$28:$O$118,12,)/100))</f>
        <v>1.6147129637553289E-3</v>
      </c>
      <c r="X48" s="693">
        <f>IF('A1.3.12'!X48="","",'A1.3.12'!X48*(1+VLOOKUP($B48,'A1.3.7'!$B$28:$O$118,13,)/100))</f>
        <v>49.822712702794583</v>
      </c>
      <c r="Y48" s="691">
        <f>IF('A1.3.12'!Y48="","",'A1.3.12'!Y48*(1+VLOOKUP($B48,'A1.3.7'!$B$28:$O$118,13,)/100))</f>
        <v>12.176874028644802</v>
      </c>
      <c r="Z48" s="691">
        <f>IF('A1.3.12'!Z48="","",'A1.3.12'!Z48*(1+VLOOKUP($B48,'A1.3.7'!$B$28:$O$118,13,)/100))</f>
        <v>-0.1756735386375399</v>
      </c>
      <c r="AA48" s="2644">
        <f>IF('A1.3.12'!AA48="","",'A1.3.12'!AA48*(1+VLOOKUP($B48,'A1.3.7'!$B$28:$O$118,13,)/100))</f>
        <v>1.487258303340296E-3</v>
      </c>
      <c r="AB48" s="693" t="str">
        <f>IF('A1.3.12'!AB48="","",'A1.3.12'!AB48*(1+VLOOKUP($B48,'A1.3.7'!$B$28:$O$118,14,)/100))</f>
        <v/>
      </c>
      <c r="AC48" s="691">
        <f>IF('A1.3.12'!AC48="","",'A1.3.12'!AC48*(1+VLOOKUP($B48,'A1.3.7'!$B$28:$O$118,14,)/100))</f>
        <v>4.7402914466537522</v>
      </c>
      <c r="AD48" s="691" t="str">
        <f>IF('A1.3.12'!AD48="","",'A1.3.12'!AD48*(1+VLOOKUP($B48,'A1.3.7'!$B$28:$O$118,14,)/100))</f>
        <v/>
      </c>
      <c r="AE48" s="1664" t="str">
        <f>IF('A1.3.12'!AE48="","",'A1.3.12'!AE48*(1+VLOOKUP($B48,'A1.3.7'!$B$28:$O$118,14,)/100))</f>
        <v/>
      </c>
      <c r="AF48" s="693">
        <f>IF(AND(T48="",X48="",AB48=""),"",IF(T48="",0,T48 * VLOOKUP($B48,'A1.3.9'!$B$26:$O$57,6,TRUE)) + IF(X48="",0,X48 * VLOOKUP($B48,'A1.3.9'!$B$26:$O$57,7,TRUE)) + IF(AB48="",0,AB48 * VLOOKUP($B48,'A1.3.9'!$B$26:$O$57,8,TRUE)))</f>
        <v>46.232415392344592</v>
      </c>
      <c r="AG48" s="691">
        <f>IF(AND(U48="",Y48="",AC48=""),"",IF(U48="",0,U48 * VLOOKUP($B48,'A1.3.9'!$B$26:$O$57,6,TRUE)) + IF(Y48="",0,Y48 * VLOOKUP($B48,'A1.3.9'!$B$26:$O$57,7,TRUE)) + IF(AC48="",0,AC48 * VLOOKUP($B48,'A1.3.9'!$B$26:$O$57,8,TRUE)))</f>
        <v>11.696940412829809</v>
      </c>
      <c r="AH48" s="691">
        <f>IF(AND(V48="",Z48="",AD48=""),"",IF(V48="",0,V48 * VLOOKUP($B48,'A1.3.9'!$B$26:$O$57,6,TRUE)) + IF(Z48="",0,Z48 * VLOOKUP($B48,'A1.3.9'!$B$26:$O$57,7,TRUE)) + IF(AD48="",0,AD48 * VLOOKUP($B48,'A1.3.9'!$B$26:$O$57,8,TRUE)))</f>
        <v>-0.16422115780884228</v>
      </c>
      <c r="AI48" s="2644">
        <f>IF(AND(W48="",AA48="",AE48=""),"",IF(W48="",0,W48 * VLOOKUP($B48,'A1.3.9'!$B$26:$O$57,6,TRUE)) + IF(AA48="",0,AA48 * VLOOKUP($B48,'A1.3.9'!$B$26:$O$57,7,TRUE)) + IF(AE48="",0,AE48 * VLOOKUP($B48,'A1.3.9'!$B$26:$O$57,8,TRUE)))</f>
        <v>1.3862589075674503E-3</v>
      </c>
    </row>
    <row r="49" spans="1:35" ht="13.5" customHeight="1">
      <c r="A49" s="113"/>
      <c r="B49" s="614">
        <f t="shared" si="0"/>
        <v>2032</v>
      </c>
      <c r="C49" s="147"/>
      <c r="D49" s="693">
        <f>IF('A1.3.12'!D49="","",'A1.3.12'!D49*(1+VLOOKUP($B49,'A1.3.7'!$B$28:$O$118,12,)/100))</f>
        <v>39.47903242886138</v>
      </c>
      <c r="E49" s="691">
        <f>IF('A1.3.12'!E49="","",'A1.3.12'!E49*(1+VLOOKUP($B49,'A1.3.7'!$B$28:$O$118,12,)/100))</f>
        <v>8.3899347768942576</v>
      </c>
      <c r="F49" s="691">
        <f>IF('A1.3.12'!F49="","",'A1.3.12'!F49*(1+VLOOKUP($B49,'A1.3.7'!$B$28:$O$118,12,)/100))</f>
        <v>-9.557130661244112E-2</v>
      </c>
      <c r="G49" s="2644">
        <f>IF('A1.3.12'!G49="","",'A1.3.12'!G49*(1+VLOOKUP($B49,'A1.3.7'!$B$28:$O$118,12,)/100))</f>
        <v>6.3296107389726149E-4</v>
      </c>
      <c r="H49" s="693">
        <f>IF('A1.3.12'!H49="","",'A1.3.12'!H49*(1+VLOOKUP($B49,'A1.3.7'!$B$28:$O$118,13,)/100))</f>
        <v>48.60330212362701</v>
      </c>
      <c r="I49" s="691">
        <f>IF('A1.3.12'!I49="","",'A1.3.12'!I49*(1+VLOOKUP($B49,'A1.3.7'!$B$28:$O$118,13,)/100))</f>
        <v>6.9685115662331301</v>
      </c>
      <c r="J49" s="691">
        <f>IF('A1.3.12'!J49="","",'A1.3.12'!J49*(1+VLOOKUP($B49,'A1.3.7'!$B$28:$O$118,13,)/100))</f>
        <v>-6.7039022559809092E-2</v>
      </c>
      <c r="K49" s="2644">
        <f>IF('A1.3.12'!K49="","",'A1.3.12'!K49*(1+VLOOKUP($B49,'A1.3.7'!$B$28:$O$118,13,)/100))</f>
        <v>5.28270861169246E-4</v>
      </c>
      <c r="L49" s="693" t="str">
        <f>IF('A1.3.12'!L49="","",'A1.3.12'!L49*(1+VLOOKUP($B49,'A1.3.7'!$B$28:$O$118,14,)/100))</f>
        <v/>
      </c>
      <c r="M49" s="691">
        <f>IF('A1.3.12'!M49="","",'A1.3.12'!M49*(1+VLOOKUP($B49,'A1.3.7'!$B$28:$O$118,14,)/100))</f>
        <v>2.1449669735453289</v>
      </c>
      <c r="N49" s="691" t="str">
        <f>IF('A1.3.12'!N49="","",'A1.3.12'!N49*(1+VLOOKUP($B49,'A1.3.7'!$B$28:$O$118,14,)/100))</f>
        <v/>
      </c>
      <c r="O49" s="1664" t="str">
        <f>IF('A1.3.12'!O49="","",'A1.3.12'!O49*(1+VLOOKUP($B49,'A1.3.7'!$B$28:$O$118,14,)/100))</f>
        <v/>
      </c>
      <c r="P49" s="693">
        <f>IF(AND(D49="",H49="",L49=""),"",IF(D49="",0,D49 * VLOOKUP($B49,'A1.3.9'!$B$26:$O$57,3,TRUE)) + IF(H49="",0,H49 * VLOOKUP($B49,'A1.3.9'!$B$26:$O$57,4,TRUE)) + IF(L49="",0,L49 * VLOOKUP($B49,'A1.3.9'!$B$26:$O$57,5,TRUE)))</f>
        <v>35.334067562470892</v>
      </c>
      <c r="Q49" s="691">
        <f>IF(AND(E49="",I49="",M49=""),"",IF(E49="",0,E49 * VLOOKUP($B49,'A1.3.9'!$B$26:$O$57,3,TRUE)) + IF(I49="",0,I49 * VLOOKUP($B49,'A1.3.9'!$B$26:$O$57,4,TRUE)) + IF(M49="",0,M49 * VLOOKUP($B49,'A1.3.9'!$B$26:$O$57,5,TRUE)))</f>
        <v>6.7557621451924721</v>
      </c>
      <c r="R49" s="691">
        <f>IF(AND(F49="",J49="",N49=""),"",IF(F49="",0,F49 * VLOOKUP($B49,'A1.3.9'!$B$26:$O$57,3,TRUE)) + IF(J49="",0,J49 * VLOOKUP($B49,'A1.3.9'!$B$26:$O$57,4,TRUE)) + IF(N49="",0,N49 * VLOOKUP($B49,'A1.3.9'!$B$26:$O$57,5,TRUE)))</f>
        <v>-6.8246808485301499E-2</v>
      </c>
      <c r="S49" s="2644">
        <f>IF(AND(G49="",K49="",O49=""),"",IF(G49="",0,G49 * VLOOKUP($B49,'A1.3.9'!$B$26:$O$57,3,TRUE)) + IF(K49="",0,K49 * VLOOKUP($B49,'A1.3.9'!$B$26:$O$57,4,TRUE)) + IF(O49="",0,O49 * VLOOKUP($B49,'A1.3.9'!$B$26:$O$57,5,TRUE)))</f>
        <v>4.8077938493905771E-4</v>
      </c>
      <c r="T49" s="693">
        <f>IF('A1.3.12'!T49="","",'A1.3.12'!T49*(1+VLOOKUP($B49,'A1.3.7'!$B$28:$O$118,12,)/100))</f>
        <v>28.371295877482996</v>
      </c>
      <c r="U49" s="691">
        <f>IF('A1.3.12'!U49="","",'A1.3.12'!U49*(1+VLOOKUP($B49,'A1.3.7'!$B$28:$O$118,12,)/100))</f>
        <v>15.908980415526125</v>
      </c>
      <c r="V49" s="691">
        <f>IF('A1.3.12'!V49="","",'A1.3.12'!V49*(1+VLOOKUP($B49,'A1.3.7'!$B$28:$O$118,12,)/100))</f>
        <v>-0.24971877297292439</v>
      </c>
      <c r="W49" s="2644">
        <f>IF('A1.3.12'!W49="","",'A1.3.12'!W49*(1+VLOOKUP($B49,'A1.3.7'!$B$28:$O$118,12,)/100))</f>
        <v>1.6126931684343111E-3</v>
      </c>
      <c r="X49" s="693">
        <f>IF('A1.3.12'!X49="","",'A1.3.12'!X49*(1+VLOOKUP($B49,'A1.3.7'!$B$28:$O$118,13,)/100))</f>
        <v>49.902644991726092</v>
      </c>
      <c r="Y49" s="691">
        <f>IF('A1.3.12'!Y49="","",'A1.3.12'!Y49*(1+VLOOKUP($B49,'A1.3.7'!$B$28:$O$118,13,)/100))</f>
        <v>12.196409805810255</v>
      </c>
      <c r="Z49" s="691">
        <f>IF('A1.3.12'!Z49="","",'A1.3.12'!Z49*(1+VLOOKUP($B49,'A1.3.7'!$B$28:$O$118,13,)/100))</f>
        <v>-0.1759553777283128</v>
      </c>
      <c r="AA49" s="2644">
        <f>IF('A1.3.12'!AA49="","",'A1.3.12'!AA49*(1+VLOOKUP($B49,'A1.3.7'!$B$28:$O$118,13,)/100))</f>
        <v>1.4896443629097043E-3</v>
      </c>
      <c r="AB49" s="693" t="str">
        <f>IF('A1.3.12'!AB49="","",'A1.3.12'!AB49*(1+VLOOKUP($B49,'A1.3.7'!$B$28:$O$118,14,)/100))</f>
        <v/>
      </c>
      <c r="AC49" s="691">
        <f>IF('A1.3.12'!AC49="","",'A1.3.12'!AC49*(1+VLOOKUP($B49,'A1.3.7'!$B$28:$O$118,14,)/100))</f>
        <v>4.7402914466537531</v>
      </c>
      <c r="AD49" s="691" t="str">
        <f>IF('A1.3.12'!AD49="","",'A1.3.12'!AD49*(1+VLOOKUP($B49,'A1.3.7'!$B$28:$O$118,14,)/100))</f>
        <v/>
      </c>
      <c r="AE49" s="1664" t="str">
        <f>IF('A1.3.12'!AE49="","",'A1.3.12'!AE49*(1+VLOOKUP($B49,'A1.3.7'!$B$28:$O$118,14,)/100))</f>
        <v/>
      </c>
      <c r="AF49" s="693">
        <f>IF(AND(T49="",X49="",AB49=""),"",IF(T49="",0,T49 * VLOOKUP($B49,'A1.3.9'!$B$26:$O$57,6,TRUE)) + IF(X49="",0,X49 * VLOOKUP($B49,'A1.3.9'!$B$26:$O$57,7,TRUE)) + IF(AB49="",0,AB49 * VLOOKUP($B49,'A1.3.9'!$B$26:$O$57,8,TRUE)))</f>
        <v>45.805850804459489</v>
      </c>
      <c r="AG49" s="691">
        <f>IF(AND(U49="",Y49="",AC49=""),"",IF(U49="",0,U49 * VLOOKUP($B49,'A1.3.9'!$B$26:$O$57,6,TRUE)) + IF(Y49="",0,Y49 * VLOOKUP($B49,'A1.3.9'!$B$26:$O$57,7,TRUE)) + IF(AC49="",0,AC49 * VLOOKUP($B49,'A1.3.9'!$B$26:$O$57,8,TRUE)))</f>
        <v>11.639286064394252</v>
      </c>
      <c r="AH49" s="691">
        <f>IF(AND(V49="",Z49="",AD49=""),"",IF(V49="",0,V49 * VLOOKUP($B49,'A1.3.9'!$B$26:$O$57,6,TRUE)) + IF(Z49="",0,Z49 * VLOOKUP($B49,'A1.3.9'!$B$26:$O$57,7,TRUE)) + IF(AD49="",0,AD49 * VLOOKUP($B49,'A1.3.9'!$B$26:$O$57,8,TRUE)))</f>
        <v>-0.1626980308775825</v>
      </c>
      <c r="AI49" s="2644">
        <f>IF(AND(W49="",AA49="",AE49=""),"",IF(W49="",0,W49 * VLOOKUP($B49,'A1.3.9'!$B$26:$O$57,6,TRUE)) + IF(AA49="",0,AA49 * VLOOKUP($B49,'A1.3.9'!$B$26:$O$57,7,TRUE)) + IF(AE49="",0,AE49 * VLOOKUP($B49,'A1.3.9'!$B$26:$O$57,8,TRUE)))</f>
        <v>1.373427951973611E-3</v>
      </c>
    </row>
    <row r="50" spans="1:35" ht="13.5" customHeight="1">
      <c r="A50" s="113"/>
      <c r="B50" s="614">
        <f t="shared" si="0"/>
        <v>2033</v>
      </c>
      <c r="C50" s="147"/>
      <c r="D50" s="693">
        <f>IF('A1.3.12'!D50="","",'A1.3.12'!D50*(1+VLOOKUP($B50,'A1.3.7'!$B$28:$O$118,12,)/100))</f>
        <v>39.531002859438352</v>
      </c>
      <c r="E50" s="691">
        <f>IF('A1.3.12'!E50="","",'A1.3.12'!E50*(1+VLOOKUP($B50,'A1.3.7'!$B$28:$O$118,12,)/100))</f>
        <v>8.4009793363994465</v>
      </c>
      <c r="F50" s="691">
        <f>IF('A1.3.12'!F50="","",'A1.3.12'!F50*(1+VLOOKUP($B50,'A1.3.7'!$B$28:$O$118,12,)/100))</f>
        <v>-9.56971172427903E-2</v>
      </c>
      <c r="G50" s="2644">
        <f>IF('A1.3.12'!G50="","",'A1.3.12'!G50*(1+VLOOKUP($B50,'A1.3.7'!$B$28:$O$118,12,)/100))</f>
        <v>6.3379430757917038E-4</v>
      </c>
      <c r="H50" s="693">
        <f>IF('A1.3.12'!H50="","",'A1.3.12'!H50*(1+VLOOKUP($B50,'A1.3.7'!$B$28:$O$118,13,)/100))</f>
        <v>48.753187753213503</v>
      </c>
      <c r="I50" s="691">
        <f>IF('A1.3.12'!I50="","",'A1.3.12'!I50*(1+VLOOKUP($B50,'A1.3.7'!$B$28:$O$118,13,)/100))</f>
        <v>6.9900014588484289</v>
      </c>
      <c r="J50" s="691">
        <f>IF('A1.3.12'!J50="","",'A1.3.12'!J50*(1+VLOOKUP($B50,'A1.3.7'!$B$28:$O$118,13,)/100))</f>
        <v>-6.7245761313437027E-2</v>
      </c>
      <c r="K50" s="2644">
        <f>IF('A1.3.12'!K50="","",'A1.3.12'!K50*(1+VLOOKUP($B50,'A1.3.7'!$B$28:$O$118,13,)/100))</f>
        <v>5.2989997292007211E-4</v>
      </c>
      <c r="L50" s="693" t="str">
        <f>IF('A1.3.12'!L50="","",'A1.3.12'!L50*(1+VLOOKUP($B50,'A1.3.7'!$B$28:$O$118,14,)/100))</f>
        <v/>
      </c>
      <c r="M50" s="691">
        <f>IF('A1.3.12'!M50="","",'A1.3.12'!M50*(1+VLOOKUP($B50,'A1.3.7'!$B$28:$O$118,14,)/100))</f>
        <v>2.1241177813519387</v>
      </c>
      <c r="N50" s="691" t="str">
        <f>IF('A1.3.12'!N50="","",'A1.3.12'!N50*(1+VLOOKUP($B50,'A1.3.7'!$B$28:$O$118,14,)/100))</f>
        <v/>
      </c>
      <c r="O50" s="1664" t="str">
        <f>IF('A1.3.12'!O50="","",'A1.3.12'!O50*(1+VLOOKUP($B50,'A1.3.7'!$B$28:$O$118,14,)/100))</f>
        <v/>
      </c>
      <c r="P50" s="693">
        <f>IF(AND(D50="",H50="",L50=""),"",IF(D50="",0,D50 * VLOOKUP($B50,'A1.3.9'!$B$26:$O$57,3,TRUE)) + IF(H50="",0,H50 * VLOOKUP($B50,'A1.3.9'!$B$26:$O$57,4,TRUE)) + IF(L50="",0,L50 * VLOOKUP($B50,'A1.3.9'!$B$26:$O$57,5,TRUE)))</f>
        <v>34.51430767021003</v>
      </c>
      <c r="Q50" s="691">
        <f>IF(AND(E50="",I50="",M50=""),"",IF(E50="",0,E50 * VLOOKUP($B50,'A1.3.9'!$B$26:$O$57,3,TRUE)) + IF(I50="",0,I50 * VLOOKUP($B50,'A1.3.9'!$B$26:$O$57,4,TRUE)) + IF(M50="",0,M50 * VLOOKUP($B50,'A1.3.9'!$B$26:$O$57,5,TRUE)))</f>
        <v>6.656495595307609</v>
      </c>
      <c r="R50" s="691">
        <f>IF(AND(F50="",J50="",N50=""),"",IF(F50="",0,F50 * VLOOKUP($B50,'A1.3.9'!$B$26:$O$57,3,TRUE)) + IF(J50="",0,J50 * VLOOKUP($B50,'A1.3.9'!$B$26:$O$57,4,TRUE)) + IF(N50="",0,N50 * VLOOKUP($B50,'A1.3.9'!$B$26:$O$57,5,TRUE)))</f>
        <v>-6.6812892534571108E-2</v>
      </c>
      <c r="S50" s="2644">
        <f>IF(AND(G50="",K50="",O50=""),"",IF(G50="",0,G50 * VLOOKUP($B50,'A1.3.9'!$B$26:$O$57,3,TRUE)) + IF(K50="",0,K50 * VLOOKUP($B50,'A1.3.9'!$B$26:$O$57,4,TRUE)) + IF(O50="",0,O50 * VLOOKUP($B50,'A1.3.9'!$B$26:$O$57,5,TRUE)))</f>
        <v>4.7036604589804448E-4</v>
      </c>
      <c r="T50" s="693">
        <f>IF('A1.3.12'!T50="","",'A1.3.12'!T50*(1+VLOOKUP($B50,'A1.3.7'!$B$28:$O$118,12,)/100))</f>
        <v>28.37127383771368</v>
      </c>
      <c r="U50" s="691">
        <f>IF('A1.3.12'!U50="","",'A1.3.12'!U50*(1+VLOOKUP($B50,'A1.3.7'!$B$28:$O$118,12,)/100))</f>
        <v>15.908968056899297</v>
      </c>
      <c r="V50" s="691">
        <f>IF('A1.3.12'!V50="","",'A1.3.12'!V50*(1+VLOOKUP($B50,'A1.3.7'!$B$28:$O$118,12,)/100))</f>
        <v>-0.24971857898304906</v>
      </c>
      <c r="W50" s="2644">
        <f>IF('A1.3.12'!W50="","",'A1.3.12'!W50*(1+VLOOKUP($B50,'A1.3.7'!$B$28:$O$118,12,)/100))</f>
        <v>1.6126919156404464E-3</v>
      </c>
      <c r="X50" s="693">
        <f>IF('A1.3.12'!X50="","",'A1.3.12'!X50*(1+VLOOKUP($B50,'A1.3.7'!$B$28:$O$118,13,)/100))</f>
        <v>50.017649433752077</v>
      </c>
      <c r="Y50" s="691">
        <f>IF('A1.3.12'!Y50="","",'A1.3.12'!Y50*(1+VLOOKUP($B50,'A1.3.7'!$B$28:$O$118,13,)/100))</f>
        <v>12.224517360122656</v>
      </c>
      <c r="Z50" s="691">
        <f>IF('A1.3.12'!Z50="","",'A1.3.12'!Z50*(1+VLOOKUP($B50,'A1.3.7'!$B$28:$O$118,13,)/100))</f>
        <v>-0.1763608802831467</v>
      </c>
      <c r="AA50" s="2644">
        <f>IF('A1.3.12'!AA50="","",'A1.3.12'!AA50*(1+VLOOKUP($B50,'A1.3.7'!$B$28:$O$118,13,)/100))</f>
        <v>1.4930773616776449E-3</v>
      </c>
      <c r="AB50" s="693" t="str">
        <f>IF('A1.3.12'!AB50="","",'A1.3.12'!AB50*(1+VLOOKUP($B50,'A1.3.7'!$B$28:$O$118,14,)/100))</f>
        <v/>
      </c>
      <c r="AC50" s="691">
        <f>IF('A1.3.12'!AC50="","",'A1.3.12'!AC50*(1+VLOOKUP($B50,'A1.3.7'!$B$28:$O$118,14,)/100))</f>
        <v>4.7402914466537522</v>
      </c>
      <c r="AD50" s="691" t="str">
        <f>IF('A1.3.12'!AD50="","",'A1.3.12'!AD50*(1+VLOOKUP($B50,'A1.3.7'!$B$28:$O$118,14,)/100))</f>
        <v/>
      </c>
      <c r="AE50" s="1664" t="str">
        <f>IF('A1.3.12'!AE50="","",'A1.3.12'!AE50*(1+VLOOKUP($B50,'A1.3.7'!$B$28:$O$118,14,)/100))</f>
        <v/>
      </c>
      <c r="AF50" s="693">
        <f>IF(AND(T50="",X50="",AB50=""),"",IF(T50="",0,T50 * VLOOKUP($B50,'A1.3.9'!$B$26:$O$57,6,TRUE)) + IF(X50="",0,X50 * VLOOKUP($B50,'A1.3.9'!$B$26:$O$57,7,TRUE)) + IF(AB50="",0,AB50 * VLOOKUP($B50,'A1.3.9'!$B$26:$O$57,8,TRUE)))</f>
        <v>45.408352095525416</v>
      </c>
      <c r="AG50" s="691">
        <f>IF(AND(U50="",Y50="",AC50=""),"",IF(U50="",0,U50 * VLOOKUP($B50,'A1.3.9'!$B$26:$O$57,6,TRUE)) + IF(Y50="",0,Y50 * VLOOKUP($B50,'A1.3.9'!$B$26:$O$57,7,TRUE)) + IF(AC50="",0,AC50 * VLOOKUP($B50,'A1.3.9'!$B$26:$O$57,8,TRUE)))</f>
        <v>11.588934443430976</v>
      </c>
      <c r="AH50" s="691">
        <f>IF(AND(V50="",Z50="",AD50=""),"",IF(V50="",0,V50 * VLOOKUP($B50,'A1.3.9'!$B$26:$O$57,6,TRUE)) + IF(Z50="",0,Z50 * VLOOKUP($B50,'A1.3.9'!$B$26:$O$57,7,TRUE)) + IF(AD50="",0,AD50 * VLOOKUP($B50,'A1.3.9'!$B$26:$O$57,8,TRUE)))</f>
        <v>-0.16127854988548518</v>
      </c>
      <c r="AI50" s="2644">
        <f>IF(AND(W50="",AA50="",AE50=""),"",IF(W50="",0,W50 * VLOOKUP($B50,'A1.3.9'!$B$26:$O$57,6,TRUE)) + IF(AA50="",0,AA50 * VLOOKUP($B50,'A1.3.9'!$B$26:$O$57,7,TRUE)) + IF(AE50="",0,AE50 * VLOOKUP($B50,'A1.3.9'!$B$26:$O$57,8,TRUE)))</f>
        <v>1.3614705790652149E-3</v>
      </c>
    </row>
    <row r="51" spans="1:35" ht="13.5" customHeight="1">
      <c r="A51" s="113"/>
      <c r="B51" s="614">
        <f t="shared" si="0"/>
        <v>2034</v>
      </c>
      <c r="C51" s="147"/>
      <c r="D51" s="693">
        <f>IF('A1.3.12'!D51="","",'A1.3.12'!D51*(1+VLOOKUP($B51,'A1.3.7'!$B$28:$O$118,12,)/100))</f>
        <v>39.475720883241969</v>
      </c>
      <c r="E51" s="691">
        <f>IF('A1.3.12'!E51="","",'A1.3.12'!E51*(1+VLOOKUP($B51,'A1.3.7'!$B$28:$O$118,12,)/100))</f>
        <v>8.389231019733856</v>
      </c>
      <c r="F51" s="691">
        <f>IF('A1.3.12'!F51="","",'A1.3.12'!F51*(1+VLOOKUP($B51,'A1.3.7'!$B$28:$O$118,12,)/100))</f>
        <v>-9.5563289983808572E-2</v>
      </c>
      <c r="G51" s="2644">
        <f>IF('A1.3.12'!G51="","",'A1.3.12'!G51*(1+VLOOKUP($B51,'A1.3.7'!$B$28:$O$118,12,)/100))</f>
        <v>6.3290798041085714E-4</v>
      </c>
      <c r="H51" s="693">
        <f>IF('A1.3.12'!H51="","",'A1.3.12'!H51*(1+VLOOKUP($B51,'A1.3.7'!$B$28:$O$118,13,)/100))</f>
        <v>48.745288868066304</v>
      </c>
      <c r="I51" s="691">
        <f>IF('A1.3.12'!I51="","",'A1.3.12'!I51*(1+VLOOKUP($B51,'A1.3.7'!$B$28:$O$118,13,)/100))</f>
        <v>6.9888689540575291</v>
      </c>
      <c r="J51" s="691">
        <f>IF('A1.3.12'!J51="","",'A1.3.12'!J51*(1+VLOOKUP($B51,'A1.3.7'!$B$28:$O$118,13,)/100))</f>
        <v>-6.7234866301854615E-2</v>
      </c>
      <c r="K51" s="2644">
        <f>IF('A1.3.12'!K51="","",'A1.3.12'!K51*(1+VLOOKUP($B51,'A1.3.7'!$B$28:$O$118,13,)/100))</f>
        <v>5.2981411968219176E-4</v>
      </c>
      <c r="L51" s="693" t="str">
        <f>IF('A1.3.12'!L51="","",'A1.3.12'!L51*(1+VLOOKUP($B51,'A1.3.7'!$B$28:$O$118,14,)/100))</f>
        <v/>
      </c>
      <c r="M51" s="691">
        <f>IF('A1.3.12'!M51="","",'A1.3.12'!M51*(1+VLOOKUP($B51,'A1.3.7'!$B$28:$O$118,14,)/100))</f>
        <v>2.1055537101878268</v>
      </c>
      <c r="N51" s="691" t="str">
        <f>IF('A1.3.12'!N51="","",'A1.3.12'!N51*(1+VLOOKUP($B51,'A1.3.7'!$B$28:$O$118,14,)/100))</f>
        <v/>
      </c>
      <c r="O51" s="1664" t="str">
        <f>IF('A1.3.12'!O51="","",'A1.3.12'!O51*(1+VLOOKUP($B51,'A1.3.7'!$B$28:$O$118,14,)/100))</f>
        <v/>
      </c>
      <c r="P51" s="693">
        <f>IF(AND(D51="",H51="",L51=""),"",IF(D51="",0,D51 * VLOOKUP($B51,'A1.3.9'!$B$26:$O$57,3,TRUE)) + IF(H51="",0,H51 * VLOOKUP($B51,'A1.3.9'!$B$26:$O$57,4,TRUE)) + IF(L51="",0,L51 * VLOOKUP($B51,'A1.3.9'!$B$26:$O$57,5,TRUE)))</f>
        <v>33.609289370223337</v>
      </c>
      <c r="Q51" s="691">
        <f>IF(AND(E51="",I51="",M51=""),"",IF(E51="",0,E51 * VLOOKUP($B51,'A1.3.9'!$B$26:$O$57,3,TRUE)) + IF(I51="",0,I51 * VLOOKUP($B51,'A1.3.9'!$B$26:$O$57,4,TRUE)) + IF(M51="",0,M51 * VLOOKUP($B51,'A1.3.9'!$B$26:$O$57,5,TRUE)))</f>
        <v>6.5390403809203033</v>
      </c>
      <c r="R51" s="691">
        <f>IF(AND(F51="",J51="",N51=""),"",IF(F51="",0,F51 * VLOOKUP($B51,'A1.3.9'!$B$26:$O$57,3,TRUE)) + IF(J51="",0,J51 * VLOOKUP($B51,'A1.3.9'!$B$26:$O$57,4,TRUE)) + IF(N51="",0,N51 * VLOOKUP($B51,'A1.3.9'!$B$26:$O$57,5,TRUE)))</f>
        <v>-6.5184720933209997E-2</v>
      </c>
      <c r="S51" s="2644">
        <f>IF(AND(G51="",K51="",O51=""),"",IF(G51="",0,G51 * VLOOKUP($B51,'A1.3.9'!$B$26:$O$57,3,TRUE)) + IF(K51="",0,K51 * VLOOKUP($B51,'A1.3.9'!$B$26:$O$57,4,TRUE)) + IF(O51="",0,O51 * VLOOKUP($B51,'A1.3.9'!$B$26:$O$57,5,TRUE)))</f>
        <v>4.5864595751907546E-4</v>
      </c>
      <c r="T51" s="693">
        <f>IF('A1.3.12'!T51="","",'A1.3.12'!T51*(1+VLOOKUP($B51,'A1.3.7'!$B$28:$O$118,12,)/100))</f>
        <v>28.406504160633979</v>
      </c>
      <c r="U51" s="691">
        <f>IF('A1.3.12'!U51="","",'A1.3.12'!U51*(1+VLOOKUP($B51,'A1.3.7'!$B$28:$O$118,12,)/100))</f>
        <v>15.928723182635959</v>
      </c>
      <c r="V51" s="691">
        <f>IF('A1.3.12'!V51="","",'A1.3.12'!V51*(1+VLOOKUP($B51,'A1.3.7'!$B$28:$O$118,12,)/100))</f>
        <v>-0.25002866961299736</v>
      </c>
      <c r="W51" s="2644">
        <f>IF('A1.3.12'!W51="","",'A1.3.12'!W51*(1+VLOOKUP($B51,'A1.3.7'!$B$28:$O$118,12,)/100))</f>
        <v>1.6146944925174648E-3</v>
      </c>
      <c r="X51" s="693">
        <f>IF('A1.3.12'!X51="","",'A1.3.12'!X51*(1+VLOOKUP($B51,'A1.3.7'!$B$28:$O$118,13,)/100))</f>
        <v>50.167620408064856</v>
      </c>
      <c r="Y51" s="691">
        <f>IF('A1.3.12'!Y51="","",'A1.3.12'!Y51*(1+VLOOKUP($B51,'A1.3.7'!$B$28:$O$118,13,)/100))</f>
        <v>12.261170877426165</v>
      </c>
      <c r="Z51" s="691">
        <f>IF('A1.3.12'!Z51="","",'A1.3.12'!Z51*(1+VLOOKUP($B51,'A1.3.7'!$B$28:$O$118,13,)/100))</f>
        <v>-0.17688967388592794</v>
      </c>
      <c r="AA51" s="2644">
        <f>IF('A1.3.12'!AA51="","",'A1.3.12'!AA51*(1+VLOOKUP($B51,'A1.3.7'!$B$28:$O$118,13,)/100))</f>
        <v>1.4975541467563142E-3</v>
      </c>
      <c r="AB51" s="693" t="str">
        <f>IF('A1.3.12'!AB51="","",'A1.3.12'!AB51*(1+VLOOKUP($B51,'A1.3.7'!$B$28:$O$118,14,)/100))</f>
        <v/>
      </c>
      <c r="AC51" s="691">
        <f>IF('A1.3.12'!AC51="","",'A1.3.12'!AC51*(1+VLOOKUP($B51,'A1.3.7'!$B$28:$O$118,14,)/100))</f>
        <v>4.7402914466537522</v>
      </c>
      <c r="AD51" s="691" t="str">
        <f>IF('A1.3.12'!AD51="","",'A1.3.12'!AD51*(1+VLOOKUP($B51,'A1.3.7'!$B$28:$O$118,14,)/100))</f>
        <v/>
      </c>
      <c r="AE51" s="1664" t="str">
        <f>IF('A1.3.12'!AE51="","",'A1.3.12'!AE51*(1+VLOOKUP($B51,'A1.3.7'!$B$28:$O$118,14,)/100))</f>
        <v/>
      </c>
      <c r="AF51" s="693">
        <f>IF(AND(T51="",X51="",AB51=""),"",IF(T51="",0,T51 * VLOOKUP($B51,'A1.3.9'!$B$26:$O$57,6,TRUE)) + IF(X51="",0,X51 * VLOOKUP($B51,'A1.3.9'!$B$26:$O$57,7,TRUE)) + IF(AB51="",0,AB51 * VLOOKUP($B51,'A1.3.9'!$B$26:$O$57,8,TRUE)))</f>
        <v>45.028379158797179</v>
      </c>
      <c r="AG51" s="691">
        <f>IF(AND(U51="",Y51="",AC51=""),"",IF(U51="",0,U51 * VLOOKUP($B51,'A1.3.9'!$B$26:$O$57,6,TRUE)) + IF(Y51="",0,Y51 * VLOOKUP($B51,'A1.3.9'!$B$26:$O$57,7,TRUE)) + IF(AC51="",0,AC51 * VLOOKUP($B51,'A1.3.9'!$B$26:$O$57,8,TRUE)))</f>
        <v>11.54405985146605</v>
      </c>
      <c r="AH51" s="691">
        <f>IF(AND(V51="",Z51="",AD51=""),"",IF(V51="",0,V51 * VLOOKUP($B51,'A1.3.9'!$B$26:$O$57,6,TRUE)) + IF(Z51="",0,Z51 * VLOOKUP($B51,'A1.3.9'!$B$26:$O$57,7,TRUE)) + IF(AD51="",0,AD51 * VLOOKUP($B51,'A1.3.9'!$B$26:$O$57,8,TRUE)))</f>
        <v>-0.15992236512012986</v>
      </c>
      <c r="AI51" s="2644">
        <f>IF(AND(W51="",AA51="",AE51=""),"",IF(W51="",0,W51 * VLOOKUP($B51,'A1.3.9'!$B$26:$O$57,6,TRUE)) + IF(AA51="",0,AA51 * VLOOKUP($B51,'A1.3.9'!$B$26:$O$57,7,TRUE)) + IF(AE51="",0,AE51 * VLOOKUP($B51,'A1.3.9'!$B$26:$O$57,8,TRUE)))</f>
        <v>1.3500440464591782E-3</v>
      </c>
    </row>
    <row r="52" spans="1:35" ht="13.5" customHeight="1">
      <c r="A52" s="113"/>
      <c r="B52" s="614">
        <f t="shared" si="0"/>
        <v>2035</v>
      </c>
      <c r="C52" s="147"/>
      <c r="D52" s="693">
        <f>IF('A1.3.12'!D52="","",'A1.3.12'!D52*(1+VLOOKUP($B52,'A1.3.7'!$B$28:$O$118,12,)/100))</f>
        <v>39.621809718435259</v>
      </c>
      <c r="E52" s="691">
        <f>IF('A1.3.12'!E52="","",'A1.3.12'!E52*(1+VLOOKUP($B52,'A1.3.7'!$B$28:$O$118,12,)/100))</f>
        <v>8.4202772669060142</v>
      </c>
      <c r="F52" s="691">
        <f>IF('A1.3.12'!F52="","",'A1.3.12'!F52*(1+VLOOKUP($B52,'A1.3.7'!$B$28:$O$118,12,)/100))</f>
        <v>-9.5916943556399806E-2</v>
      </c>
      <c r="G52" s="2644">
        <f>IF('A1.3.12'!G52="","",'A1.3.12'!G52*(1+VLOOKUP($B52,'A1.3.7'!$B$28:$O$118,12,)/100))</f>
        <v>6.352501995666828E-4</v>
      </c>
      <c r="H52" s="693">
        <f>IF('A1.3.12'!H52="","",'A1.3.12'!H52*(1+VLOOKUP($B52,'A1.3.7'!$B$28:$O$118,13,)/100))</f>
        <v>48.965906828396513</v>
      </c>
      <c r="I52" s="691">
        <f>IF('A1.3.12'!I52="","",'A1.3.12'!I52*(1+VLOOKUP($B52,'A1.3.7'!$B$28:$O$118,13,)/100))</f>
        <v>7.0205001136929237</v>
      </c>
      <c r="J52" s="691">
        <f>IF('A1.3.12'!J52="","",'A1.3.12'!J52*(1+VLOOKUP($B52,'A1.3.7'!$B$28:$O$118,13,)/100))</f>
        <v>-6.7539166869376874E-2</v>
      </c>
      <c r="K52" s="2644">
        <f>IF('A1.3.12'!K52="","",'A1.3.12'!K52*(1+VLOOKUP($B52,'A1.3.7'!$B$28:$O$118,13,)/100))</f>
        <v>5.3221202342125453E-4</v>
      </c>
      <c r="L52" s="693" t="str">
        <f>IF('A1.3.12'!L52="","",'A1.3.12'!L52*(1+VLOOKUP($B52,'A1.3.7'!$B$28:$O$118,14,)/100))</f>
        <v/>
      </c>
      <c r="M52" s="691">
        <f>IF('A1.3.12'!M52="","",'A1.3.12'!M52*(1+VLOOKUP($B52,'A1.3.7'!$B$28:$O$118,14,)/100))</f>
        <v>2.0891692552031267</v>
      </c>
      <c r="N52" s="691" t="str">
        <f>IF('A1.3.12'!N52="","",'A1.3.12'!N52*(1+VLOOKUP($B52,'A1.3.7'!$B$28:$O$118,14,)/100))</f>
        <v/>
      </c>
      <c r="O52" s="1664" t="str">
        <f>IF('A1.3.12'!O52="","",'A1.3.12'!O52*(1+VLOOKUP($B52,'A1.3.7'!$B$28:$O$118,14,)/100))</f>
        <v/>
      </c>
      <c r="P52" s="693">
        <f>IF(AND(D52="",H52="",L52=""),"",IF(D52="",0,D52 * VLOOKUP($B52,'A1.3.9'!$B$26:$O$57,3,TRUE)) + IF(H52="",0,H52 * VLOOKUP($B52,'A1.3.9'!$B$26:$O$57,4,TRUE)) + IF(L52="",0,L52 * VLOOKUP($B52,'A1.3.9'!$B$26:$O$57,5,TRUE)))</f>
        <v>32.899403007373607</v>
      </c>
      <c r="Q52" s="691">
        <f>IF(AND(E52="",I52="",M52=""),"",IF(E52="",0,E52 * VLOOKUP($B52,'A1.3.9'!$B$26:$O$57,3,TRUE)) + IF(I52="",0,I52 * VLOOKUP($B52,'A1.3.9'!$B$26:$O$57,4,TRUE)) + IF(M52="",0,M52 * VLOOKUP($B52,'A1.3.9'!$B$26:$O$57,5,TRUE)))</f>
        <v>6.4534605952821673</v>
      </c>
      <c r="R52" s="691">
        <f>IF(AND(F52="",J52="",N52=""),"",IF(F52="",0,F52 * VLOOKUP($B52,'A1.3.9'!$B$26:$O$57,3,TRUE)) + IF(J52="",0,J52 * VLOOKUP($B52,'A1.3.9'!$B$26:$O$57,4,TRUE)) + IF(N52="",0,N52 * VLOOKUP($B52,'A1.3.9'!$B$26:$O$57,5,TRUE)))</f>
        <v>-6.3906696504539132E-2</v>
      </c>
      <c r="S52" s="2644">
        <f>IF(AND(G52="",K52="",O52=""),"",IF(G52="",0,G52 * VLOOKUP($B52,'A1.3.9'!$B$26:$O$57,3,TRUE)) + IF(K52="",0,K52 * VLOOKUP($B52,'A1.3.9'!$B$26:$O$57,4,TRUE)) + IF(O52="",0,O52 * VLOOKUP($B52,'A1.3.9'!$B$26:$O$57,5,TRUE)))</f>
        <v>4.494483645427737E-4</v>
      </c>
      <c r="T52" s="693">
        <f>IF('A1.3.12'!T52="","",'A1.3.12'!T52*(1+VLOOKUP($B52,'A1.3.7'!$B$28:$O$118,12,)/100))</f>
        <v>28.472950907416806</v>
      </c>
      <c r="U52" s="691">
        <f>IF('A1.3.12'!U52="","",'A1.3.12'!U52*(1+VLOOKUP($B52,'A1.3.7'!$B$28:$O$118,12,)/100))</f>
        <v>15.965982671867906</v>
      </c>
      <c r="V52" s="691">
        <f>IF('A1.3.12'!V52="","",'A1.3.12'!V52*(1+VLOOKUP($B52,'A1.3.7'!$B$28:$O$118,12,)/100))</f>
        <v>-0.25061352129359393</v>
      </c>
      <c r="W52" s="2644">
        <f>IF('A1.3.12'!W52="","",'A1.3.12'!W52*(1+VLOOKUP($B52,'A1.3.7'!$B$28:$O$118,12,)/100))</f>
        <v>1.6184714865280345E-3</v>
      </c>
      <c r="X52" s="693">
        <f>IF('A1.3.12'!X52="","",'A1.3.12'!X52*(1+VLOOKUP($B52,'A1.3.7'!$B$28:$O$118,13,)/100))</f>
        <v>50.343169697519834</v>
      </c>
      <c r="Y52" s="691">
        <f>IF('A1.3.12'!Y52="","",'A1.3.12'!Y52*(1+VLOOKUP($B52,'A1.3.7'!$B$28:$O$118,13,)/100))</f>
        <v>12.304075839190554</v>
      </c>
      <c r="Z52" s="691">
        <f>IF('A1.3.12'!Z52="","",'A1.3.12'!Z52*(1+VLOOKUP($B52,'A1.3.7'!$B$28:$O$118,13,)/100))</f>
        <v>-0.17750865593670118</v>
      </c>
      <c r="AA52" s="2644">
        <f>IF('A1.3.12'!AA52="","",'A1.3.12'!AA52*(1+VLOOKUP($B52,'A1.3.7'!$B$28:$O$118,13,)/100))</f>
        <v>1.5027944703802981E-3</v>
      </c>
      <c r="AB52" s="693" t="str">
        <f>IF('A1.3.12'!AB52="","",'A1.3.12'!AB52*(1+VLOOKUP($B52,'A1.3.7'!$B$28:$O$118,14,)/100))</f>
        <v/>
      </c>
      <c r="AC52" s="691">
        <f>IF('A1.3.12'!AC52="","",'A1.3.12'!AC52*(1+VLOOKUP($B52,'A1.3.7'!$B$28:$O$118,14,)/100))</f>
        <v>4.7402914466537522</v>
      </c>
      <c r="AD52" s="691" t="str">
        <f>IF('A1.3.12'!AD52="","",'A1.3.12'!AD52*(1+VLOOKUP($B52,'A1.3.7'!$B$28:$O$118,14,)/100))</f>
        <v/>
      </c>
      <c r="AE52" s="1664" t="str">
        <f>IF('A1.3.12'!AE52="","",'A1.3.12'!AE52*(1+VLOOKUP($B52,'A1.3.7'!$B$28:$O$118,14,)/100))</f>
        <v/>
      </c>
      <c r="AF52" s="693">
        <f>IF(AND(T52="",X52="",AB52=""),"",IF(T52="",0,T52 * VLOOKUP($B52,'A1.3.9'!$B$26:$O$57,6,TRUE)) + IF(X52="",0,X52 * VLOOKUP($B52,'A1.3.9'!$B$26:$O$57,7,TRUE)) + IF(AB52="",0,AB52 * VLOOKUP($B52,'A1.3.9'!$B$26:$O$57,8,TRUE)))</f>
        <v>44.668751039340769</v>
      </c>
      <c r="AG52" s="691">
        <f>IF(AND(U52="",Y52="",AC52=""),"",IF(U52="",0,U52 * VLOOKUP($B52,'A1.3.9'!$B$26:$O$57,6,TRUE)) + IF(Y52="",0,Y52 * VLOOKUP($B52,'A1.3.9'!$B$26:$O$57,7,TRUE)) + IF(AC52="",0,AC52 * VLOOKUP($B52,'A1.3.9'!$B$26:$O$57,8,TRUE)))</f>
        <v>11.504199366383364</v>
      </c>
      <c r="AH52" s="691">
        <f>IF(AND(V52="",Z52="",AD52=""),"",IF(V52="",0,V52 * VLOOKUP($B52,'A1.3.9'!$B$26:$O$57,6,TRUE)) + IF(Z52="",0,Z52 * VLOOKUP($B52,'A1.3.9'!$B$26:$O$57,7,TRUE)) + IF(AD52="",0,AD52 * VLOOKUP($B52,'A1.3.9'!$B$26:$O$57,8,TRUE)))</f>
        <v>-0.15863967197486581</v>
      </c>
      <c r="AI52" s="2644">
        <f>IF(AND(W52="",AA52="",AE52=""),"",IF(W52="",0,W52 * VLOOKUP($B52,'A1.3.9'!$B$26:$O$57,6,TRUE)) + IF(AA52="",0,AA52 * VLOOKUP($B52,'A1.3.9'!$B$26:$O$57,7,TRUE)) + IF(AE52="",0,AE52 * VLOOKUP($B52,'A1.3.9'!$B$26:$O$57,8,TRUE)))</f>
        <v>1.3392338127324399E-3</v>
      </c>
    </row>
    <row r="53" spans="1:35" ht="13.5" customHeight="1">
      <c r="A53" s="113"/>
      <c r="B53" s="614">
        <f t="shared" si="0"/>
        <v>2036</v>
      </c>
      <c r="C53" s="147"/>
      <c r="D53" s="693">
        <f>IF('A1.3.12'!D53="","",'A1.3.12'!D53*(1+VLOOKUP($B53,'A1.3.7'!$B$28:$O$118,12,)/100))</f>
        <v>39.798889201094319</v>
      </c>
      <c r="E53" s="691">
        <f>IF('A1.3.12'!E53="","",'A1.3.12'!E53*(1+VLOOKUP($B53,'A1.3.7'!$B$28:$O$118,12,)/100))</f>
        <v>8.4579095293611015</v>
      </c>
      <c r="F53" s="691">
        <f>IF('A1.3.12'!F53="","",'A1.3.12'!F53*(1+VLOOKUP($B53,'A1.3.7'!$B$28:$O$118,12,)/100))</f>
        <v>-9.634561965332486E-2</v>
      </c>
      <c r="G53" s="2644">
        <f>IF('A1.3.12'!G53="","",'A1.3.12'!G53*(1+VLOOKUP($B53,'A1.3.7'!$B$28:$O$118,12,)/100))</f>
        <v>6.3808928686475753E-4</v>
      </c>
      <c r="H53" s="693">
        <f>IF('A1.3.12'!H53="","",'A1.3.12'!H53*(1+VLOOKUP($B53,'A1.3.7'!$B$28:$O$118,13,)/100))</f>
        <v>49.210146649377386</v>
      </c>
      <c r="I53" s="691">
        <f>IF('A1.3.12'!I53="","",'A1.3.12'!I53*(1+VLOOKUP($B53,'A1.3.7'!$B$28:$O$118,13,)/100))</f>
        <v>7.0555180639776758</v>
      </c>
      <c r="J53" s="691">
        <f>IF('A1.3.12'!J53="","",'A1.3.12'!J53*(1+VLOOKUP($B53,'A1.3.7'!$B$28:$O$118,13,)/100))</f>
        <v>-6.7876049306440381E-2</v>
      </c>
      <c r="K53" s="2644">
        <f>IF('A1.3.12'!K53="","",'A1.3.12'!K53*(1+VLOOKUP($B53,'A1.3.7'!$B$28:$O$118,13,)/100))</f>
        <v>5.3486667392695889E-4</v>
      </c>
      <c r="L53" s="693" t="str">
        <f>IF('A1.3.12'!L53="","",'A1.3.12'!L53*(1+VLOOKUP($B53,'A1.3.7'!$B$28:$O$118,14,)/100))</f>
        <v/>
      </c>
      <c r="M53" s="691">
        <f>IF('A1.3.12'!M53="","",'A1.3.12'!M53*(1+VLOOKUP($B53,'A1.3.7'!$B$28:$O$118,14,)/100))</f>
        <v>2.0747238060921722</v>
      </c>
      <c r="N53" s="691" t="str">
        <f>IF('A1.3.12'!N53="","",'A1.3.12'!N53*(1+VLOOKUP($B53,'A1.3.7'!$B$28:$O$118,14,)/100))</f>
        <v/>
      </c>
      <c r="O53" s="1664" t="str">
        <f>IF('A1.3.12'!O53="","",'A1.3.12'!O53*(1+VLOOKUP($B53,'A1.3.7'!$B$28:$O$118,14,)/100))</f>
        <v/>
      </c>
      <c r="P53" s="693">
        <f>IF(AND(D53="",H53="",L53=""),"",IF(D53="",0,D53 * VLOOKUP($B53,'A1.3.9'!$B$26:$O$57,3,TRUE)) + IF(H53="",0,H53 * VLOOKUP($B53,'A1.3.9'!$B$26:$O$57,4,TRUE)) + IF(L53="",0,L53 * VLOOKUP($B53,'A1.3.9'!$B$26:$O$57,5,TRUE)))</f>
        <v>33.054275929738957</v>
      </c>
      <c r="Q53" s="691">
        <f>IF(AND(E53="",I53="",M53=""),"",IF(E53="",0,E53 * VLOOKUP($B53,'A1.3.9'!$B$26:$O$57,3,TRUE)) + IF(I53="",0,I53 * VLOOKUP($B53,'A1.3.9'!$B$26:$O$57,4,TRUE)) + IF(M53="",0,M53 * VLOOKUP($B53,'A1.3.9'!$B$26:$O$57,5,TRUE)))</f>
        <v>6.4776606716711127</v>
      </c>
      <c r="R53" s="691">
        <f>IF(AND(F53="",J53="",N53=""),"",IF(F53="",0,F53 * VLOOKUP($B53,'A1.3.9'!$B$26:$O$57,3,TRUE)) + IF(J53="",0,J53 * VLOOKUP($B53,'A1.3.9'!$B$26:$O$57,4,TRUE)) + IF(N53="",0,N53 * VLOOKUP($B53,'A1.3.9'!$B$26:$O$57,5,TRUE)))</f>
        <v>-6.4203121391030959E-2</v>
      </c>
      <c r="S53" s="2644">
        <f>IF(AND(G53="",K53="",O53=""),"",IF(G53="",0,G53 * VLOOKUP($B53,'A1.3.9'!$B$26:$O$57,3,TRUE)) + IF(K53="",0,K53 * VLOOKUP($B53,'A1.3.9'!$B$26:$O$57,4,TRUE)) + IF(O53="",0,O53 * VLOOKUP($B53,'A1.3.9'!$B$26:$O$57,5,TRUE)))</f>
        <v>4.5154224446432062E-4</v>
      </c>
      <c r="T53" s="693">
        <f>IF('A1.3.12'!T53="","",'A1.3.12'!T53*(1+VLOOKUP($B53,'A1.3.7'!$B$28:$O$118,12,)/100))</f>
        <v>28.556036967471076</v>
      </c>
      <c r="U53" s="691">
        <f>IF('A1.3.12'!U53="","",'A1.3.12'!U53*(1+VLOOKUP($B53,'A1.3.7'!$B$28:$O$118,12,)/100))</f>
        <v>16.012572524792308</v>
      </c>
      <c r="V53" s="691">
        <f>IF('A1.3.12'!V53="","",'A1.3.12'!V53*(1+VLOOKUP($B53,'A1.3.7'!$B$28:$O$118,12,)/100))</f>
        <v>-0.25134482905822708</v>
      </c>
      <c r="W53" s="2644">
        <f>IF('A1.3.12'!W53="","",'A1.3.12'!W53*(1+VLOOKUP($B53,'A1.3.7'!$B$28:$O$118,12,)/100))</f>
        <v>1.6231942994027187E-3</v>
      </c>
      <c r="X53" s="693">
        <f>IF('A1.3.12'!X53="","",'A1.3.12'!X53*(1+VLOOKUP($B53,'A1.3.7'!$B$28:$O$118,13,)/100))</f>
        <v>50.536393144731854</v>
      </c>
      <c r="Y53" s="691">
        <f>IF('A1.3.12'!Y53="","",'A1.3.12'!Y53*(1+VLOOKUP($B53,'A1.3.7'!$B$28:$O$118,13,)/100))</f>
        <v>12.351300437138818</v>
      </c>
      <c r="Z53" s="691">
        <f>IF('A1.3.12'!Z53="","",'A1.3.12'!Z53*(1+VLOOKUP($B53,'A1.3.7'!$B$28:$O$118,13,)/100))</f>
        <v>-0.17818995659011935</v>
      </c>
      <c r="AA53" s="2644">
        <f>IF('A1.3.12'!AA53="","",'A1.3.12'!AA53*(1+VLOOKUP($B53,'A1.3.7'!$B$28:$O$118,13,)/100))</f>
        <v>1.5085623854671456E-3</v>
      </c>
      <c r="AB53" s="693" t="str">
        <f>IF('A1.3.12'!AB53="","",'A1.3.12'!AB53*(1+VLOOKUP($B53,'A1.3.7'!$B$28:$O$118,14,)/100))</f>
        <v/>
      </c>
      <c r="AC53" s="691">
        <f>IF('A1.3.12'!AC53="","",'A1.3.12'!AC53*(1+VLOOKUP($B53,'A1.3.7'!$B$28:$O$118,14,)/100))</f>
        <v>4.7402914466537531</v>
      </c>
      <c r="AD53" s="691" t="str">
        <f>IF('A1.3.12'!AD53="","",'A1.3.12'!AD53*(1+VLOOKUP($B53,'A1.3.7'!$B$28:$O$118,14,)/100))</f>
        <v/>
      </c>
      <c r="AE53" s="1664" t="str">
        <f>IF('A1.3.12'!AE53="","",'A1.3.12'!AE53*(1+VLOOKUP($B53,'A1.3.7'!$B$28:$O$118,14,)/100))</f>
        <v/>
      </c>
      <c r="AF53" s="693">
        <f>IF(AND(T53="",X53="",AB53=""),"",IF(T53="",0,T53 * VLOOKUP($B53,'A1.3.9'!$B$26:$O$57,6,TRUE)) + IF(X53="",0,X53 * VLOOKUP($B53,'A1.3.9'!$B$26:$O$57,7,TRUE)) + IF(AB53="",0,AB53 * VLOOKUP($B53,'A1.3.9'!$B$26:$O$57,8,TRUE)))</f>
        <v>44.839996743675655</v>
      </c>
      <c r="AG53" s="691">
        <f>IF(AND(U53="",Y53="",AC53=""),"",IF(U53="",0,U53 * VLOOKUP($B53,'A1.3.9'!$B$26:$O$57,6,TRUE)) + IF(Y53="",0,Y53 * VLOOKUP($B53,'A1.3.9'!$B$26:$O$57,7,TRUE)) + IF(AC53="",0,AC53 * VLOOKUP($B53,'A1.3.9'!$B$26:$O$57,8,TRUE)))</f>
        <v>11.546251777616044</v>
      </c>
      <c r="AH53" s="691">
        <f>IF(AND(V53="",Z53="",AD53=""),"",IF(V53="",0,V53 * VLOOKUP($B53,'A1.3.9'!$B$26:$O$57,6,TRUE)) + IF(Z53="",0,Z53 * VLOOKUP($B53,'A1.3.9'!$B$26:$O$57,7,TRUE)) + IF(AD53="",0,AD53 * VLOOKUP($B53,'A1.3.9'!$B$26:$O$57,8,TRUE)))</f>
        <v>-0.15924680298227598</v>
      </c>
      <c r="AI53" s="2644">
        <f>IF(AND(W53="",AA53="",AE53=""),"",IF(W53="",0,W53 * VLOOKUP($B53,'A1.3.9'!$B$26:$O$57,6,TRUE)) + IF(AA53="",0,AA53 * VLOOKUP($B53,'A1.3.9'!$B$26:$O$57,7,TRUE)) + IF(AE53="",0,AE53 * VLOOKUP($B53,'A1.3.9'!$B$26:$O$57,8,TRUE)))</f>
        <v>1.3443626720438728E-3</v>
      </c>
    </row>
    <row r="54" spans="1:35" ht="13.5" customHeight="1">
      <c r="A54" s="113"/>
      <c r="B54" s="614">
        <f t="shared" si="0"/>
        <v>2037</v>
      </c>
      <c r="C54" s="147"/>
      <c r="D54" s="693">
        <f>IF('A1.3.12'!D54="","",'A1.3.12'!D54*(1+VLOOKUP($B54,'A1.3.7'!$B$28:$O$118,12,)/100))</f>
        <v>39.83386656590573</v>
      </c>
      <c r="E54" s="691">
        <f>IF('A1.3.12'!E54="","",'A1.3.12'!E54*(1+VLOOKUP($B54,'A1.3.7'!$B$28:$O$118,12,)/100))</f>
        <v>8.4653427867481454</v>
      </c>
      <c r="F54" s="691">
        <f>IF('A1.3.12'!F54="","",'A1.3.12'!F54*(1+VLOOKUP($B54,'A1.3.7'!$B$28:$O$118,12,)/100))</f>
        <v>-9.6430293269956918E-2</v>
      </c>
      <c r="G54" s="2644">
        <f>IF('A1.3.12'!G54="","",'A1.3.12'!G54*(1+VLOOKUP($B54,'A1.3.7'!$B$28:$O$118,12,)/100))</f>
        <v>6.3865007341475739E-4</v>
      </c>
      <c r="H54" s="693">
        <f>IF('A1.3.12'!H54="","",'A1.3.12'!H54*(1+VLOOKUP($B54,'A1.3.7'!$B$28:$O$118,13,)/100))</f>
        <v>49.268079165189874</v>
      </c>
      <c r="I54" s="691">
        <f>IF('A1.3.12'!I54="","",'A1.3.12'!I54*(1+VLOOKUP($B54,'A1.3.7'!$B$28:$O$118,13,)/100))</f>
        <v>7.0638241540756983</v>
      </c>
      <c r="J54" s="691">
        <f>IF('A1.3.12'!J54="","",'A1.3.12'!J54*(1+VLOOKUP($B54,'A1.3.7'!$B$28:$O$118,13,)/100))</f>
        <v>-6.795595620709953E-2</v>
      </c>
      <c r="K54" s="2644">
        <f>IF('A1.3.12'!K54="","",'A1.3.12'!K54*(1+VLOOKUP($B54,'A1.3.7'!$B$28:$O$118,13,)/100))</f>
        <v>5.3549634431314201E-4</v>
      </c>
      <c r="L54" s="693" t="str">
        <f>IF('A1.3.12'!L54="","",'A1.3.12'!L54*(1+VLOOKUP($B54,'A1.3.7'!$B$28:$O$118,14,)/100))</f>
        <v/>
      </c>
      <c r="M54" s="691">
        <f>IF('A1.3.12'!M54="","",'A1.3.12'!M54*(1+VLOOKUP($B54,'A1.3.7'!$B$28:$O$118,14,)/100))</f>
        <v>2.0619488699992319</v>
      </c>
      <c r="N54" s="691" t="str">
        <f>IF('A1.3.12'!N54="","",'A1.3.12'!N54*(1+VLOOKUP($B54,'A1.3.7'!$B$28:$O$118,14,)/100))</f>
        <v/>
      </c>
      <c r="O54" s="1664" t="str">
        <f>IF('A1.3.12'!O54="","",'A1.3.12'!O54*(1+VLOOKUP($B54,'A1.3.7'!$B$28:$O$118,14,)/100))</f>
        <v/>
      </c>
      <c r="P54" s="693">
        <f>IF(AND(D54="",H54="",L54=""),"",IF(D54="",0,D54 * VLOOKUP($B54,'A1.3.9'!$B$26:$O$57,3,TRUE)) + IF(H54="",0,H54 * VLOOKUP($B54,'A1.3.9'!$B$26:$O$57,4,TRUE)) + IF(L54="",0,L54 * VLOOKUP($B54,'A1.3.9'!$B$26:$O$57,5,TRUE)))</f>
        <v>33.087856852587706</v>
      </c>
      <c r="Q54" s="691">
        <f>IF(AND(E54="",I54="",M54=""),"",IF(E54="",0,E54 * VLOOKUP($B54,'A1.3.9'!$B$26:$O$57,3,TRUE)) + IF(I54="",0,I54 * VLOOKUP($B54,'A1.3.9'!$B$26:$O$57,4,TRUE)) + IF(M54="",0,M54 * VLOOKUP($B54,'A1.3.9'!$B$26:$O$57,5,TRUE)))</f>
        <v>6.4804640781882785</v>
      </c>
      <c r="R54" s="691">
        <f>IF(AND(F54="",J54="",N54=""),"",IF(F54="",0,F54 * VLOOKUP($B54,'A1.3.9'!$B$26:$O$57,3,TRUE)) + IF(J54="",0,J54 * VLOOKUP($B54,'A1.3.9'!$B$26:$O$57,4,TRUE)) + IF(N54="",0,N54 * VLOOKUP($B54,'A1.3.9'!$B$26:$O$57,5,TRUE)))</f>
        <v>-6.4265796247836293E-2</v>
      </c>
      <c r="S54" s="2644">
        <f>IF(AND(G54="",K54="",O54=""),"",IF(G54="",0,G54 * VLOOKUP($B54,'A1.3.9'!$B$26:$O$57,3,TRUE)) + IF(K54="",0,K54 * VLOOKUP($B54,'A1.3.9'!$B$26:$O$57,4,TRUE)) + IF(O54="",0,O54 * VLOOKUP($B54,'A1.3.9'!$B$26:$O$57,5,TRUE)))</f>
        <v>4.5198833208304852E-4</v>
      </c>
      <c r="T54" s="693">
        <f>IF('A1.3.12'!T54="","",'A1.3.12'!T54*(1+VLOOKUP($B54,'A1.3.7'!$B$28:$O$118,12,)/100))</f>
        <v>28.653817510953061</v>
      </c>
      <c r="U54" s="691">
        <f>IF('A1.3.12'!U54="","",'A1.3.12'!U54*(1+VLOOKUP($B54,'A1.3.7'!$B$28:$O$118,12,)/100))</f>
        <v>16.067402193412025</v>
      </c>
      <c r="V54" s="691">
        <f>IF('A1.3.12'!V54="","",'A1.3.12'!V54*(1+VLOOKUP($B54,'A1.3.7'!$B$28:$O$118,12,)/100))</f>
        <v>-0.25220547488295048</v>
      </c>
      <c r="W54" s="2644">
        <f>IF('A1.3.12'!W54="","",'A1.3.12'!W54*(1+VLOOKUP($B54,'A1.3.7'!$B$28:$O$118,12,)/100))</f>
        <v>1.6287523823031312E-3</v>
      </c>
      <c r="X54" s="693">
        <f>IF('A1.3.12'!X54="","",'A1.3.12'!X54*(1+VLOOKUP($B54,'A1.3.7'!$B$28:$O$118,13,)/100))</f>
        <v>50.741341677579229</v>
      </c>
      <c r="Y54" s="691">
        <f>IF('A1.3.12'!Y54="","",'A1.3.12'!Y54*(1+VLOOKUP($B54,'A1.3.7'!$B$28:$O$118,13,)/100))</f>
        <v>12.401390693799977</v>
      </c>
      <c r="Z54" s="691">
        <f>IF('A1.3.12'!Z54="","",'A1.3.12'!Z54*(1+VLOOKUP($B54,'A1.3.7'!$B$28:$O$118,13,)/100))</f>
        <v>-0.17891259957864239</v>
      </c>
      <c r="AA54" s="2644">
        <f>IF('A1.3.12'!AA54="","",'A1.3.12'!AA54*(1+VLOOKUP($B54,'A1.3.7'!$B$28:$O$118,13,)/100))</f>
        <v>1.5146803062044798E-3</v>
      </c>
      <c r="AB54" s="693" t="str">
        <f>IF('A1.3.12'!AB54="","",'A1.3.12'!AB54*(1+VLOOKUP($B54,'A1.3.7'!$B$28:$O$118,14,)/100))</f>
        <v/>
      </c>
      <c r="AC54" s="691">
        <f>IF('A1.3.12'!AC54="","",'A1.3.12'!AC54*(1+VLOOKUP($B54,'A1.3.7'!$B$28:$O$118,14,)/100))</f>
        <v>4.7402914466537549</v>
      </c>
      <c r="AD54" s="691" t="str">
        <f>IF('A1.3.12'!AD54="","",'A1.3.12'!AD54*(1+VLOOKUP($B54,'A1.3.7'!$B$28:$O$118,14,)/100))</f>
        <v/>
      </c>
      <c r="AE54" s="1664" t="str">
        <f>IF('A1.3.12'!AE54="","",'A1.3.12'!AE54*(1+VLOOKUP($B54,'A1.3.7'!$B$28:$O$118,14,)/100))</f>
        <v/>
      </c>
      <c r="AF54" s="693">
        <f>IF(AND(T54="",X54="",AB54=""),"",IF(T54="",0,T54 * VLOOKUP($B54,'A1.3.9'!$B$26:$O$57,6,TRUE)) + IF(X54="",0,X54 * VLOOKUP($B54,'A1.3.9'!$B$26:$O$57,7,TRUE)) + IF(AB54="",0,AB54 * VLOOKUP($B54,'A1.3.9'!$B$26:$O$57,8,TRUE)))</f>
        <v>45.021707072229141</v>
      </c>
      <c r="AG54" s="691">
        <f>IF(AND(U54="",Y54="",AC54=""),"",IF(U54="",0,U54 * VLOOKUP($B54,'A1.3.9'!$B$26:$O$57,6,TRUE)) + IF(Y54="",0,Y54 * VLOOKUP($B54,'A1.3.9'!$B$26:$O$57,7,TRUE)) + IF(AC54="",0,AC54 * VLOOKUP($B54,'A1.3.9'!$B$26:$O$57,8,TRUE)))</f>
        <v>11.590897027064957</v>
      </c>
      <c r="AH54" s="691">
        <f>IF(AND(V54="",Z54="",AD54=""),"",IF(V54="",0,V54 * VLOOKUP($B54,'A1.3.9'!$B$26:$O$57,6,TRUE)) + IF(Z54="",0,Z54 * VLOOKUP($B54,'A1.3.9'!$B$26:$O$57,7,TRUE)) + IF(AD54="",0,AD54 * VLOOKUP($B54,'A1.3.9'!$B$26:$O$57,8,TRUE)))</f>
        <v>-0.15989141972277257</v>
      </c>
      <c r="AI54" s="2644">
        <f>IF(AND(W54="",AA54="",AE54=""),"",IF(W54="",0,W54 * VLOOKUP($B54,'A1.3.9'!$B$26:$O$57,6,TRUE)) + IF(AA54="",0,AA54 * VLOOKUP($B54,'A1.3.9'!$B$26:$O$57,7,TRUE)) + IF(AE54="",0,AE54 * VLOOKUP($B54,'A1.3.9'!$B$26:$O$57,8,TRUE)))</f>
        <v>1.3498069179179266E-3</v>
      </c>
    </row>
    <row r="55" spans="1:35" ht="13.5" customHeight="1">
      <c r="A55" s="113"/>
      <c r="B55" s="614">
        <f t="shared" si="0"/>
        <v>2038</v>
      </c>
      <c r="C55" s="147"/>
      <c r="D55" s="693">
        <f>IF('A1.3.12'!D55="","",'A1.3.12'!D55*(1+VLOOKUP($B55,'A1.3.7'!$B$28:$O$118,12,)/100))</f>
        <v>40.028618701256221</v>
      </c>
      <c r="E55" s="691">
        <f>IF('A1.3.12'!E55="","",'A1.3.12'!E55*(1+VLOOKUP($B55,'A1.3.7'!$B$28:$O$118,12,)/100))</f>
        <v>8.5067307745666376</v>
      </c>
      <c r="F55" s="691">
        <f>IF('A1.3.12'!F55="","",'A1.3.12'!F55*(1+VLOOKUP($B55,'A1.3.7'!$B$28:$O$118,12,)/100))</f>
        <v>-9.6901751532632127E-2</v>
      </c>
      <c r="G55" s="2644">
        <f>IF('A1.3.12'!G55="","",'A1.3.12'!G55*(1+VLOOKUP($B55,'A1.3.7'!$B$28:$O$118,12,)/100))</f>
        <v>6.4177250355428419E-4</v>
      </c>
      <c r="H55" s="693">
        <f>IF('A1.3.12'!H55="","",'A1.3.12'!H55*(1+VLOOKUP($B55,'A1.3.7'!$B$28:$O$118,13,)/100))</f>
        <v>49.499955705031212</v>
      </c>
      <c r="I55" s="691">
        <f>IF('A1.3.12'!I55="","",'A1.3.12'!I55*(1+VLOOKUP($B55,'A1.3.7'!$B$28:$O$118,13,)/100))</f>
        <v>7.0970695155886352</v>
      </c>
      <c r="J55" s="691">
        <f>IF('A1.3.12'!J55="","",'A1.3.12'!J55*(1+VLOOKUP($B55,'A1.3.7'!$B$28:$O$118,13,)/100))</f>
        <v>-6.8275785846369189E-2</v>
      </c>
      <c r="K55" s="2644">
        <f>IF('A1.3.12'!K55="","",'A1.3.12'!K55*(1+VLOOKUP($B55,'A1.3.7'!$B$28:$O$118,13,)/100))</f>
        <v>5.3801661791667941E-4</v>
      </c>
      <c r="L55" s="693" t="str">
        <f>IF('A1.3.12'!L55="","",'A1.3.12'!L55*(1+VLOOKUP($B55,'A1.3.7'!$B$28:$O$118,14,)/100))</f>
        <v/>
      </c>
      <c r="M55" s="691">
        <f>IF('A1.3.12'!M55="","",'A1.3.12'!M55*(1+VLOOKUP($B55,'A1.3.7'!$B$28:$O$118,14,)/100))</f>
        <v>2.0619488699992319</v>
      </c>
      <c r="N55" s="691" t="str">
        <f>IF('A1.3.12'!N55="","",'A1.3.12'!N55*(1+VLOOKUP($B55,'A1.3.7'!$B$28:$O$118,14,)/100))</f>
        <v/>
      </c>
      <c r="O55" s="1664" t="str">
        <f>IF('A1.3.12'!O55="","",'A1.3.12'!O55*(1+VLOOKUP($B55,'A1.3.7'!$B$28:$O$118,14,)/100))</f>
        <v/>
      </c>
      <c r="P55" s="693">
        <f>IF(AND(D55="",H55="",L55=""),"",IF(D55="",0,D55 * VLOOKUP($B55,'A1.3.9'!$B$26:$O$57,3,TRUE)) + IF(H55="",0,H55 * VLOOKUP($B55,'A1.3.9'!$B$26:$O$57,4,TRUE)) + IF(L55="",0,L55 * VLOOKUP($B55,'A1.3.9'!$B$26:$O$57,5,TRUE)))</f>
        <v>33.246849709641502</v>
      </c>
      <c r="Q55" s="691">
        <f>IF(AND(E55="",I55="",M55=""),"",IF(E55="",0,E55 * VLOOKUP($B55,'A1.3.9'!$B$26:$O$57,3,TRUE)) + IF(I55="",0,I55 * VLOOKUP($B55,'A1.3.9'!$B$26:$O$57,4,TRUE)) + IF(M55="",0,M55 * VLOOKUP($B55,'A1.3.9'!$B$26:$O$57,5,TRUE)))</f>
        <v>6.5093055663258585</v>
      </c>
      <c r="R55" s="691">
        <f>IF(AND(F55="",J55="",N55=""),"",IF(F55="",0,F55 * VLOOKUP($B55,'A1.3.9'!$B$26:$O$57,3,TRUE)) + IF(J55="",0,J55 * VLOOKUP($B55,'A1.3.9'!$B$26:$O$57,4,TRUE)) + IF(N55="",0,N55 * VLOOKUP($B55,'A1.3.9'!$B$26:$O$57,5,TRUE)))</f>
        <v>-6.4576168007435319E-2</v>
      </c>
      <c r="S55" s="2644">
        <f>IF(AND(G55="",K55="",O55=""),"",IF(G55="",0,G55 * VLOOKUP($B55,'A1.3.9'!$B$26:$O$57,3,TRUE)) + IF(K55="",0,K55 * VLOOKUP($B55,'A1.3.9'!$B$26:$O$57,4,TRUE)) + IF(O55="",0,O55 * VLOOKUP($B55,'A1.3.9'!$B$26:$O$57,5,TRUE)))</f>
        <v>4.5416796598702047E-4</v>
      </c>
      <c r="T55" s="693">
        <f>IF('A1.3.12'!T55="","",'A1.3.12'!T55*(1+VLOOKUP($B55,'A1.3.7'!$B$28:$O$118,12,)/100))</f>
        <v>28.793909162286198</v>
      </c>
      <c r="U55" s="691">
        <f>IF('A1.3.12'!U55="","",'A1.3.12'!U55*(1+VLOOKUP($B55,'A1.3.7'!$B$28:$O$118,12,)/100))</f>
        <v>16.145957482076383</v>
      </c>
      <c r="V55" s="691">
        <f>IF('A1.3.12'!V55="","",'A1.3.12'!V55*(1+VLOOKUP($B55,'A1.3.7'!$B$28:$O$118,12,)/100))</f>
        <v>-0.25343853506552838</v>
      </c>
      <c r="W55" s="2644">
        <f>IF('A1.3.12'!W55="","",'A1.3.12'!W55*(1+VLOOKUP($B55,'A1.3.7'!$B$28:$O$118,12,)/100))</f>
        <v>1.6367155310445653E-3</v>
      </c>
      <c r="X55" s="693">
        <f>IF('A1.3.12'!X55="","",'A1.3.12'!X55*(1+VLOOKUP($B55,'A1.3.7'!$B$28:$O$118,13,)/100))</f>
        <v>50.980152017549166</v>
      </c>
      <c r="Y55" s="691">
        <f>IF('A1.3.12'!Y55="","",'A1.3.12'!Y55*(1+VLOOKUP($B55,'A1.3.7'!$B$28:$O$118,13,)/100))</f>
        <v>12.459756914119984</v>
      </c>
      <c r="Z55" s="691">
        <f>IF('A1.3.12'!Z55="","",'A1.3.12'!Z55*(1+VLOOKUP($B55,'A1.3.7'!$B$28:$O$118,13,)/100))</f>
        <v>-0.17975463838403641</v>
      </c>
      <c r="AA55" s="2644">
        <f>IF('A1.3.12'!AA55="","",'A1.3.12'!AA55*(1+VLOOKUP($B55,'A1.3.7'!$B$28:$O$118,13,)/100))</f>
        <v>1.5218090360904356E-3</v>
      </c>
      <c r="AB55" s="693" t="str">
        <f>IF('A1.3.12'!AB55="","",'A1.3.12'!AB55*(1+VLOOKUP($B55,'A1.3.7'!$B$28:$O$118,14,)/100))</f>
        <v/>
      </c>
      <c r="AC55" s="691">
        <f>IF('A1.3.12'!AC55="","",'A1.3.12'!AC55*(1+VLOOKUP($B55,'A1.3.7'!$B$28:$O$118,14,)/100))</f>
        <v>4.7402914466537549</v>
      </c>
      <c r="AD55" s="691" t="str">
        <f>IF('A1.3.12'!AD55="","",'A1.3.12'!AD55*(1+VLOOKUP($B55,'A1.3.7'!$B$28:$O$118,14,)/100))</f>
        <v/>
      </c>
      <c r="AE55" s="1664" t="str">
        <f>IF('A1.3.12'!AE55="","",'A1.3.12'!AE55*(1+VLOOKUP($B55,'A1.3.7'!$B$28:$O$118,14,)/100))</f>
        <v/>
      </c>
      <c r="AF55" s="693">
        <f>IF(AND(T55="",X55="",AB55=""),"",IF(T55="",0,T55 * VLOOKUP($B55,'A1.3.9'!$B$26:$O$57,6,TRUE)) + IF(X55="",0,X55 * VLOOKUP($B55,'A1.3.9'!$B$26:$O$57,7,TRUE)) + IF(AB55="",0,AB55 * VLOOKUP($B55,'A1.3.9'!$B$26:$O$57,8,TRUE)))</f>
        <v>45.233638063936723</v>
      </c>
      <c r="AG55" s="691">
        <f>IF(AND(U55="",Y55="",AC55=""),"",IF(U55="",0,U55 * VLOOKUP($B55,'A1.3.9'!$B$26:$O$57,6,TRUE)) + IF(Y55="",0,Y55 * VLOOKUP($B55,'A1.3.9'!$B$26:$O$57,7,TRUE)) + IF(AC55="",0,AC55 * VLOOKUP($B55,'A1.3.9'!$B$26:$O$57,8,TRUE)))</f>
        <v>11.643029803414787</v>
      </c>
      <c r="AH55" s="691">
        <f>IF(AND(V55="",Z55="",AD55=""),"",IF(V55="",0,V55 * VLOOKUP($B55,'A1.3.9'!$B$26:$O$57,6,TRUE)) + IF(Z55="",0,Z55 * VLOOKUP($B55,'A1.3.9'!$B$26:$O$57,7,TRUE)) + IF(AD55="",0,AD55 * VLOOKUP($B55,'A1.3.9'!$B$26:$O$57,8,TRUE)))</f>
        <v>-0.16064428606726436</v>
      </c>
      <c r="AI55" s="2644">
        <f>IF(AND(W55="",AA55="",AE55=""),"",IF(W55="",0,W55 * VLOOKUP($B55,'A1.3.9'!$B$26:$O$57,6,TRUE)) + IF(AA55="",0,AA55 * VLOOKUP($B55,'A1.3.9'!$B$26:$O$57,7,TRUE)) + IF(AE55="",0,AE55 * VLOOKUP($B55,'A1.3.9'!$B$26:$O$57,8,TRUE)))</f>
        <v>1.3561619393134474E-3</v>
      </c>
    </row>
    <row r="56" spans="1:35" ht="13.5" customHeight="1">
      <c r="A56" s="113"/>
      <c r="B56" s="614">
        <f t="shared" si="0"/>
        <v>2039</v>
      </c>
      <c r="C56" s="147"/>
      <c r="D56" s="693">
        <f>IF('A1.3.12'!D56="","",'A1.3.12'!D56*(1+VLOOKUP($B56,'A1.3.7'!$B$28:$O$118,12,)/100))</f>
        <v>40.206146033046075</v>
      </c>
      <c r="E56" s="691">
        <f>IF('A1.3.12'!E56="","",'A1.3.12'!E56*(1+VLOOKUP($B56,'A1.3.7'!$B$28:$O$118,12,)/100))</f>
        <v>8.5444582122265356</v>
      </c>
      <c r="F56" s="691">
        <f>IF('A1.3.12'!F56="","",'A1.3.12'!F56*(1+VLOOKUP($B56,'A1.3.7'!$B$28:$O$118,12,)/100))</f>
        <v>-9.7331511788006933E-2</v>
      </c>
      <c r="G56" s="2644">
        <f>IF('A1.3.12'!G56="","",'A1.3.12'!G56*(1+VLOOKUP($B56,'A1.3.7'!$B$28:$O$118,12,)/100))</f>
        <v>6.4461877114653846E-4</v>
      </c>
      <c r="H56" s="693">
        <f>IF('A1.3.12'!H56="","",'A1.3.12'!H56*(1+VLOOKUP($B56,'A1.3.7'!$B$28:$O$118,13,)/100))</f>
        <v>49.711323982706922</v>
      </c>
      <c r="I56" s="691">
        <f>IF('A1.3.12'!I56="","",'A1.3.12'!I56*(1+VLOOKUP($B56,'A1.3.7'!$B$28:$O$118,13,)/100))</f>
        <v>7.1273744994757688</v>
      </c>
      <c r="J56" s="691">
        <f>IF('A1.3.12'!J56="","",'A1.3.12'!J56*(1+VLOOKUP($B56,'A1.3.7'!$B$28:$O$118,13,)/100))</f>
        <v>-6.8567328233746228E-2</v>
      </c>
      <c r="K56" s="2644">
        <f>IF('A1.3.12'!K56="","",'A1.3.12'!K56*(1+VLOOKUP($B56,'A1.3.7'!$B$28:$O$118,13,)/100))</f>
        <v>5.4031398655611041E-4</v>
      </c>
      <c r="L56" s="693" t="str">
        <f>IF('A1.3.12'!L56="","",'A1.3.12'!L56*(1+VLOOKUP($B56,'A1.3.7'!$B$28:$O$118,14,)/100))</f>
        <v/>
      </c>
      <c r="M56" s="691">
        <f>IF('A1.3.12'!M56="","",'A1.3.12'!M56*(1+VLOOKUP($B56,'A1.3.7'!$B$28:$O$118,14,)/100))</f>
        <v>2.0619488699992319</v>
      </c>
      <c r="N56" s="691" t="str">
        <f>IF('A1.3.12'!N56="","",'A1.3.12'!N56*(1+VLOOKUP($B56,'A1.3.7'!$B$28:$O$118,14,)/100))</f>
        <v/>
      </c>
      <c r="O56" s="1664" t="str">
        <f>IF('A1.3.12'!O56="","",'A1.3.12'!O56*(1+VLOOKUP($B56,'A1.3.7'!$B$28:$O$118,14,)/100))</f>
        <v/>
      </c>
      <c r="P56" s="693">
        <f>IF(AND(D56="",H56="",L56=""),"",IF(D56="",0,D56 * VLOOKUP($B56,'A1.3.9'!$B$26:$O$57,3,TRUE)) + IF(H56="",0,H56 * VLOOKUP($B56,'A1.3.9'!$B$26:$O$57,4,TRUE)) + IF(L56="",0,L56 * VLOOKUP($B56,'A1.3.9'!$B$26:$O$57,5,TRUE)))</f>
        <v>33.391780483497257</v>
      </c>
      <c r="Q56" s="691">
        <f>IF(AND(E56="",I56="",M56=""),"",IF(E56="",0,E56 * VLOOKUP($B56,'A1.3.9'!$B$26:$O$57,3,TRUE)) + IF(I56="",0,I56 * VLOOKUP($B56,'A1.3.9'!$B$26:$O$57,4,TRUE)) + IF(M56="",0,M56 * VLOOKUP($B56,'A1.3.9'!$B$26:$O$57,5,TRUE)))</f>
        <v>6.5355961763091521</v>
      </c>
      <c r="R56" s="691">
        <f>IF(AND(F56="",J56="",N56=""),"",IF(F56="",0,F56 * VLOOKUP($B56,'A1.3.9'!$B$26:$O$57,3,TRUE)) + IF(J56="",0,J56 * VLOOKUP($B56,'A1.3.9'!$B$26:$O$57,4,TRUE)) + IF(N56="",0,N56 * VLOOKUP($B56,'A1.3.9'!$B$26:$O$57,5,TRUE)))</f>
        <v>-6.4859089014927124E-2</v>
      </c>
      <c r="S56" s="2644">
        <f>IF(AND(G56="",K56="",O56=""),"",IF(G56="",0,G56 * VLOOKUP($B56,'A1.3.9'!$B$26:$O$57,3,TRUE)) + IF(K56="",0,K56 * VLOOKUP($B56,'A1.3.9'!$B$26:$O$57,4,TRUE)) + IF(O56="",0,O56 * VLOOKUP($B56,'A1.3.9'!$B$26:$O$57,5,TRUE)))</f>
        <v>4.5615482271932014E-4</v>
      </c>
      <c r="T56" s="693">
        <f>IF('A1.3.12'!T56="","",'A1.3.12'!T56*(1+VLOOKUP($B56,'A1.3.7'!$B$28:$O$118,12,)/100))</f>
        <v>28.921610442800777</v>
      </c>
      <c r="U56" s="691">
        <f>IF('A1.3.12'!U56="","",'A1.3.12'!U56*(1+VLOOKUP($B56,'A1.3.7'!$B$28:$O$118,12,)/100))</f>
        <v>16.217564968019825</v>
      </c>
      <c r="V56" s="691">
        <f>IF('A1.3.12'!V56="","",'A1.3.12'!V56*(1+VLOOKUP($B56,'A1.3.7'!$B$28:$O$118,12,)/100))</f>
        <v>-0.25456253755081776</v>
      </c>
      <c r="W56" s="2644">
        <f>IF('A1.3.12'!W56="","",'A1.3.12'!W56*(1+VLOOKUP($B56,'A1.3.7'!$B$28:$O$118,12,)/100))</f>
        <v>1.6439743811011683E-3</v>
      </c>
      <c r="X56" s="693">
        <f>IF('A1.3.12'!X56="","",'A1.3.12'!X56*(1+VLOOKUP($B56,'A1.3.7'!$B$28:$O$118,13,)/100))</f>
        <v>51.197840837147439</v>
      </c>
      <c r="Y56" s="691">
        <f>IF('A1.3.12'!Y56="","",'A1.3.12'!Y56*(1+VLOOKUP($B56,'A1.3.7'!$B$28:$O$118,13,)/100))</f>
        <v>12.512960948783954</v>
      </c>
      <c r="Z56" s="691">
        <f>IF('A1.3.12'!Z56="","",'A1.3.12'!Z56*(1+VLOOKUP($B56,'A1.3.7'!$B$28:$O$118,13,)/100))</f>
        <v>-0.18052220327936402</v>
      </c>
      <c r="AA56" s="2644">
        <f>IF('A1.3.12'!AA56="","",'A1.3.12'!AA56*(1+VLOOKUP($B56,'A1.3.7'!$B$28:$O$118,13,)/100))</f>
        <v>1.5283072672570761E-3</v>
      </c>
      <c r="AB56" s="693" t="str">
        <f>IF('A1.3.12'!AB56="","",'A1.3.12'!AB56*(1+VLOOKUP($B56,'A1.3.7'!$B$28:$O$118,14,)/100))</f>
        <v/>
      </c>
      <c r="AC56" s="691">
        <f>IF('A1.3.12'!AC56="","",'A1.3.12'!AC56*(1+VLOOKUP($B56,'A1.3.7'!$B$28:$O$118,14,)/100))</f>
        <v>4.7402914466537549</v>
      </c>
      <c r="AD56" s="691" t="str">
        <f>IF('A1.3.12'!AD56="","",'A1.3.12'!AD56*(1+VLOOKUP($B56,'A1.3.7'!$B$28:$O$118,14,)/100))</f>
        <v/>
      </c>
      <c r="AE56" s="1664" t="str">
        <f>IF('A1.3.12'!AE56="","",'A1.3.12'!AE56*(1+VLOOKUP($B56,'A1.3.7'!$B$28:$O$118,14,)/100))</f>
        <v/>
      </c>
      <c r="AF56" s="693">
        <f>IF(AND(T56="",X56="",AB56=""),"",IF(T56="",0,T56 * VLOOKUP($B56,'A1.3.9'!$B$26:$O$57,6,TRUE)) + IF(X56="",0,X56 * VLOOKUP($B56,'A1.3.9'!$B$26:$O$57,7,TRUE)) + IF(AB56="",0,AB56 * VLOOKUP($B56,'A1.3.9'!$B$26:$O$57,8,TRUE)))</f>
        <v>45.426824872459846</v>
      </c>
      <c r="AG56" s="691">
        <f>IF(AND(U56="",Y56="",AC56=""),"",IF(U56="",0,U56 * VLOOKUP($B56,'A1.3.9'!$B$26:$O$57,6,TRUE)) + IF(Y56="",0,Y56 * VLOOKUP($B56,'A1.3.9'!$B$26:$O$57,7,TRUE)) + IF(AC56="",0,AC56 * VLOOKUP($B56,'A1.3.9'!$B$26:$O$57,8,TRUE)))</f>
        <v>11.690551709490563</v>
      </c>
      <c r="AH56" s="691">
        <f>IF(AND(V56="",Z56="",AD56=""),"",IF(V56="",0,V56 * VLOOKUP($B56,'A1.3.9'!$B$26:$O$57,6,TRUE)) + IF(Z56="",0,Z56 * VLOOKUP($B56,'A1.3.9'!$B$26:$O$57,7,TRUE)) + IF(AD56="",0,AD56 * VLOOKUP($B56,'A1.3.9'!$B$26:$O$57,8,TRUE)))</f>
        <v>-0.16133056533753515</v>
      </c>
      <c r="AI56" s="2644">
        <f>IF(AND(W56="",AA56="",AE56=""),"",IF(W56="",0,W56 * VLOOKUP($B56,'A1.3.9'!$B$26:$O$57,6,TRUE)) + IF(AA56="",0,AA56 * VLOOKUP($B56,'A1.3.9'!$B$26:$O$57,7,TRUE)) + IF(AE56="",0,AE56 * VLOOKUP($B56,'A1.3.9'!$B$26:$O$57,8,TRUE)))</f>
        <v>1.3619548924422226E-3</v>
      </c>
    </row>
    <row r="57" spans="1:35" ht="13.5" customHeight="1">
      <c r="A57" s="113"/>
      <c r="B57" s="614">
        <f t="shared" si="0"/>
        <v>2040</v>
      </c>
      <c r="C57" s="147"/>
      <c r="D57" s="693">
        <f>IF('A1.3.12'!D57="","",'A1.3.12'!D57*(1+VLOOKUP($B57,'A1.3.7'!$B$28:$O$118,12,)/100))</f>
        <v>40.367973846870868</v>
      </c>
      <c r="E57" s="691">
        <f>IF('A1.3.12'!E57="","",'A1.3.12'!E57*(1+VLOOKUP($B57,'A1.3.7'!$B$28:$O$118,12,)/100))</f>
        <v>8.5788492476584182</v>
      </c>
      <c r="F57" s="691">
        <f>IF('A1.3.12'!F57="","",'A1.3.12'!F57*(1+VLOOKUP($B57,'A1.3.7'!$B$28:$O$118,12,)/100))</f>
        <v>-9.7723266465412947E-2</v>
      </c>
      <c r="G57" s="2644">
        <f>IF('A1.3.12'!G57="","",'A1.3.12'!G57*(1+VLOOKUP($B57,'A1.3.7'!$B$28:$O$118,12,)/100))</f>
        <v>6.4721333085388595E-4</v>
      </c>
      <c r="H57" s="693">
        <f>IF('A1.3.12'!H57="","",'A1.3.12'!H57*(1+VLOOKUP($B57,'A1.3.7'!$B$28:$O$118,13,)/100))</f>
        <v>49.904000039645929</v>
      </c>
      <c r="I57" s="691">
        <f>IF('A1.3.12'!I57="","",'A1.3.12'!I57*(1+VLOOKUP($B57,'A1.3.7'!$B$28:$O$118,13,)/100))</f>
        <v>7.1549994811673505</v>
      </c>
      <c r="J57" s="691">
        <f>IF('A1.3.12'!J57="","",'A1.3.12'!J57*(1+VLOOKUP($B57,'A1.3.7'!$B$28:$O$118,13,)/100))</f>
        <v>-6.883308825340527E-2</v>
      </c>
      <c r="K57" s="2644">
        <f>IF('A1.3.12'!K57="","",'A1.3.12'!K57*(1+VLOOKUP($B57,'A1.3.7'!$B$28:$O$118,13,)/100))</f>
        <v>5.4240818884440265E-4</v>
      </c>
      <c r="L57" s="693" t="str">
        <f>IF('A1.3.12'!L57="","",'A1.3.12'!L57*(1+VLOOKUP($B57,'A1.3.7'!$B$28:$O$118,14,)/100))</f>
        <v/>
      </c>
      <c r="M57" s="691">
        <f>IF('A1.3.12'!M57="","",'A1.3.12'!M57*(1+VLOOKUP($B57,'A1.3.7'!$B$28:$O$118,14,)/100))</f>
        <v>2.0619488699992319</v>
      </c>
      <c r="N57" s="691" t="str">
        <f>IF('A1.3.12'!N57="","",'A1.3.12'!N57*(1+VLOOKUP($B57,'A1.3.7'!$B$28:$O$118,14,)/100))</f>
        <v/>
      </c>
      <c r="O57" s="1664" t="str">
        <f>IF('A1.3.12'!O57="","",'A1.3.12'!O57*(1+VLOOKUP($B57,'A1.3.7'!$B$28:$O$118,14,)/100))</f>
        <v/>
      </c>
      <c r="P57" s="693">
        <f>IF(AND(D57="",H57="",L57=""),"",IF(D57="",0,D57 * VLOOKUP($B57,'A1.3.9'!$B$26:$O$57,3,TRUE)) + IF(H57="",0,H57 * VLOOKUP($B57,'A1.3.9'!$B$26:$O$57,4,TRUE)) + IF(L57="",0,L57 * VLOOKUP($B57,'A1.3.9'!$B$26:$O$57,5,TRUE)))</f>
        <v>33.5238943954935</v>
      </c>
      <c r="Q57" s="691">
        <f>IF(AND(E57="",I57="",M57=""),"",IF(E57="",0,E57 * VLOOKUP($B57,'A1.3.9'!$B$26:$O$57,3,TRUE)) + IF(I57="",0,I57 * VLOOKUP($B57,'A1.3.9'!$B$26:$O$57,4,TRUE)) + IF(M57="",0,M57 * VLOOKUP($B57,'A1.3.9'!$B$26:$O$57,5,TRUE)))</f>
        <v>6.5595617927290117</v>
      </c>
      <c r="R57" s="691">
        <f>IF(AND(F57="",J57="",N57=""),"",IF(F57="",0,F57 * VLOOKUP($B57,'A1.3.9'!$B$26:$O$57,3,TRUE)) + IF(J57="",0,J57 * VLOOKUP($B57,'A1.3.9'!$B$26:$O$57,4,TRUE)) + IF(N57="",0,N57 * VLOOKUP($B57,'A1.3.9'!$B$26:$O$57,5,TRUE)))</f>
        <v>-6.5116990081010295E-2</v>
      </c>
      <c r="S57" s="2644">
        <f>IF(AND(G57="",K57="",O57=""),"",IF(G57="",0,G57 * VLOOKUP($B57,'A1.3.9'!$B$26:$O$57,3,TRUE)) + IF(K57="",0,K57 * VLOOKUP($B57,'A1.3.9'!$B$26:$O$57,4,TRUE)) + IF(O57="",0,O57 * VLOOKUP($B57,'A1.3.9'!$B$26:$O$57,5,TRUE)))</f>
        <v>4.5796597302575145E-4</v>
      </c>
      <c r="T57" s="693">
        <f>IF('A1.3.12'!T57="","",'A1.3.12'!T57*(1+VLOOKUP($B57,'A1.3.7'!$B$28:$O$118,12,)/100))</f>
        <v>29.038018540866279</v>
      </c>
      <c r="U57" s="691">
        <f>IF('A1.3.12'!U57="","",'A1.3.12'!U57*(1+VLOOKUP($B57,'A1.3.7'!$B$28:$O$118,12,)/100))</f>
        <v>16.282839890967651</v>
      </c>
      <c r="V57" s="691">
        <f>IF('A1.3.12'!V57="","",'A1.3.12'!V57*(1+VLOOKUP($B57,'A1.3.7'!$B$28:$O$118,12,)/100))</f>
        <v>-0.25558713958304641</v>
      </c>
      <c r="W57" s="2644">
        <f>IF('A1.3.12'!W57="","",'A1.3.12'!W57*(1+VLOOKUP($B57,'A1.3.7'!$B$28:$O$118,12,)/100))</f>
        <v>1.6505912993170777E-3</v>
      </c>
      <c r="X57" s="693">
        <f>IF('A1.3.12'!X57="","",'A1.3.12'!X57*(1+VLOOKUP($B57,'A1.3.7'!$B$28:$O$118,13,)/100))</f>
        <v>51.396278482858179</v>
      </c>
      <c r="Y57" s="691">
        <f>IF('A1.3.12'!Y57="","",'A1.3.12'!Y57*(1+VLOOKUP($B57,'A1.3.7'!$B$28:$O$118,13,)/100))</f>
        <v>12.561459918094892</v>
      </c>
      <c r="Z57" s="691">
        <f>IF('A1.3.12'!Z57="","",'A1.3.12'!Z57*(1+VLOOKUP($B57,'A1.3.7'!$B$28:$O$118,13,)/100))</f>
        <v>-0.1812218890557861</v>
      </c>
      <c r="AA57" s="2644">
        <f>IF('A1.3.12'!AA57="","",'A1.3.12'!AA57*(1+VLOOKUP($B57,'A1.3.7'!$B$28:$O$118,13,)/100))</f>
        <v>1.5342308314363114E-3</v>
      </c>
      <c r="AB57" s="693" t="str">
        <f>IF('A1.3.12'!AB57="","",'A1.3.12'!AB57*(1+VLOOKUP($B57,'A1.3.7'!$B$28:$O$118,14,)/100))</f>
        <v/>
      </c>
      <c r="AC57" s="691">
        <f>IF('A1.3.12'!AC57="","",'A1.3.12'!AC57*(1+VLOOKUP($B57,'A1.3.7'!$B$28:$O$118,14,)/100))</f>
        <v>4.7402914466537549</v>
      </c>
      <c r="AD57" s="691" t="str">
        <f>IF('A1.3.12'!AD57="","",'A1.3.12'!AD57*(1+VLOOKUP($B57,'A1.3.7'!$B$28:$O$118,14,)/100))</f>
        <v/>
      </c>
      <c r="AE57" s="1664" t="str">
        <f>IF('A1.3.12'!AE57="","",'A1.3.12'!AE57*(1+VLOOKUP($B57,'A1.3.7'!$B$28:$O$118,14,)/100))</f>
        <v/>
      </c>
      <c r="AF57" s="693">
        <f>IF(AND(T57="",X57="",AB57=""),"",IF(T57="",0,T57 * VLOOKUP($B57,'A1.3.9'!$B$26:$O$57,6,TRUE)) + IF(X57="",0,X57 * VLOOKUP($B57,'A1.3.9'!$B$26:$O$57,7,TRUE)) + IF(AB57="",0,AB57 * VLOOKUP($B57,'A1.3.9'!$B$26:$O$57,8,TRUE)))</f>
        <v>45.602927327039026</v>
      </c>
      <c r="AG57" s="691">
        <f>IF(AND(U57="",Y57="",AC57=""),"",IF(U57="",0,U57 * VLOOKUP($B57,'A1.3.9'!$B$26:$O$57,6,TRUE)) + IF(Y57="",0,Y57 * VLOOKUP($B57,'A1.3.9'!$B$26:$O$57,7,TRUE)) + IF(AC57="",0,AC57 * VLOOKUP($B57,'A1.3.9'!$B$26:$O$57,8,TRUE)))</f>
        <v>11.733871045682317</v>
      </c>
      <c r="AH57" s="691">
        <f>IF(AND(V57="",Z57="",AD57=""),"",IF(V57="",0,V57 * VLOOKUP($B57,'A1.3.9'!$B$26:$O$57,6,TRUE)) + IF(Z57="",0,Z57 * VLOOKUP($B57,'A1.3.9'!$B$26:$O$57,7,TRUE)) + IF(AD57="",0,AD57 * VLOOKUP($B57,'A1.3.9'!$B$26:$O$57,8,TRUE)))</f>
        <v>-0.16195615393204332</v>
      </c>
      <c r="AI57" s="2644">
        <f>IF(AND(W57="",AA57="",AE57=""),"",IF(W57="",0,W57 * VLOOKUP($B57,'A1.3.9'!$B$26:$O$57,6,TRUE)) + IF(AA57="",0,AA57 * VLOOKUP($B57,'A1.3.9'!$B$26:$O$57,7,TRUE)) + IF(AE57="",0,AE57 * VLOOKUP($B57,'A1.3.9'!$B$26:$O$57,8,TRUE)))</f>
        <v>1.3672355494034217E-3</v>
      </c>
    </row>
    <row r="58" spans="1:35" ht="13.5" customHeight="1">
      <c r="A58" s="113"/>
      <c r="B58" s="614">
        <f t="shared" si="0"/>
        <v>2041</v>
      </c>
      <c r="C58" s="147"/>
      <c r="D58" s="693">
        <f>IF('A1.3.12'!D58="","",'A1.3.12'!D58*(1+VLOOKUP($B58,'A1.3.7'!$B$28:$O$118,12,)/100))</f>
        <v>40.530908986889976</v>
      </c>
      <c r="E58" s="691">
        <f>IF('A1.3.12'!E58="","",'A1.3.12'!E58*(1+VLOOKUP($B58,'A1.3.7'!$B$28:$O$118,12,)/100))</f>
        <v>8.6134756078684287</v>
      </c>
      <c r="F58" s="691">
        <f>IF('A1.3.12'!F58="","",'A1.3.12'!F58*(1+VLOOKUP($B58,'A1.3.7'!$B$28:$O$118,12,)/100))</f>
        <v>-9.8117701771110136E-2</v>
      </c>
      <c r="G58" s="2644">
        <f>IF('A1.3.12'!G58="","",'A1.3.12'!G58*(1+VLOOKUP($B58,'A1.3.7'!$B$28:$O$118,12,)/100))</f>
        <v>6.4982564414671885E-4</v>
      </c>
      <c r="H58" s="693">
        <f>IF('A1.3.12'!H58="","",'A1.3.12'!H58*(1+VLOOKUP($B58,'A1.3.7'!$B$28:$O$118,13,)/100))</f>
        <v>50.097994505576693</v>
      </c>
      <c r="I58" s="691">
        <f>IF('A1.3.12'!I58="","",'A1.3.12'!I58*(1+VLOOKUP($B58,'A1.3.7'!$B$28:$O$118,13,)/100))</f>
        <v>7.1828134901041345</v>
      </c>
      <c r="J58" s="691">
        <f>IF('A1.3.12'!J58="","",'A1.3.12'!J58*(1+VLOOKUP($B58,'A1.3.7'!$B$28:$O$118,13,)/100))</f>
        <v>-6.9100666767822463E-2</v>
      </c>
      <c r="K58" s="2644">
        <f>IF('A1.3.12'!K58="","",'A1.3.12'!K58*(1+VLOOKUP($B58,'A1.3.7'!$B$28:$O$118,13,)/100))</f>
        <v>5.4451672096262466E-4</v>
      </c>
      <c r="L58" s="693" t="str">
        <f>IF('A1.3.12'!L58="","",'A1.3.12'!L58*(1+VLOOKUP($B58,'A1.3.7'!$B$28:$O$118,14,)/100))</f>
        <v/>
      </c>
      <c r="M58" s="691">
        <f>IF('A1.3.12'!M58="","",'A1.3.12'!M58*(1+VLOOKUP($B58,'A1.3.7'!$B$28:$O$118,14,)/100))</f>
        <v>2.0619488699992319</v>
      </c>
      <c r="N58" s="691" t="str">
        <f>IF('A1.3.12'!N58="","",'A1.3.12'!N58*(1+VLOOKUP($B58,'A1.3.7'!$B$28:$O$118,14,)/100))</f>
        <v/>
      </c>
      <c r="O58" s="1664" t="str">
        <f>IF('A1.3.12'!O58="","",'A1.3.12'!O58*(1+VLOOKUP($B58,'A1.3.7'!$B$28:$O$118,14,)/100))</f>
        <v/>
      </c>
      <c r="P58" s="693">
        <f>IF(AND(D58="",H58="",L58=""),"",IF(D58="",0,D58 * VLOOKUP($B58,'A1.3.9'!$B$26:$O$57,3,TRUE)) + IF(H58="",0,H58 * VLOOKUP($B58,'A1.3.9'!$B$26:$O$57,4,TRUE)) + IF(L58="",0,L58 * VLOOKUP($B58,'A1.3.9'!$B$26:$O$57,5,TRUE)))</f>
        <v>33.656912312752667</v>
      </c>
      <c r="Q58" s="691">
        <f>IF(AND(E58="",I58="",M58=""),"",IF(E58="",0,E58 * VLOOKUP($B58,'A1.3.9'!$B$26:$O$57,3,TRUE)) + IF(I58="",0,I58 * VLOOKUP($B58,'A1.3.9'!$B$26:$O$57,4,TRUE)) + IF(M58="",0,M58 * VLOOKUP($B58,'A1.3.9'!$B$26:$O$57,5,TRUE)))</f>
        <v>6.5836913967490069</v>
      </c>
      <c r="R58" s="691">
        <f>IF(AND(F58="",J58="",N58=""),"",IF(F58="",0,F58 * VLOOKUP($B58,'A1.3.9'!$B$26:$O$57,3,TRUE)) + IF(J58="",0,J58 * VLOOKUP($B58,'A1.3.9'!$B$26:$O$57,4,TRUE)) + IF(N58="",0,N58 * VLOOKUP($B58,'A1.3.9'!$B$26:$O$57,5,TRUE)))</f>
        <v>-6.5376655866020733E-2</v>
      </c>
      <c r="S58" s="2644">
        <f>IF(AND(G58="",K58="",O58=""),"",IF(G58="",0,G58 * VLOOKUP($B58,'A1.3.9'!$B$26:$O$57,3,TRUE)) + IF(K58="",0,K58 * VLOOKUP($B58,'A1.3.9'!$B$26:$O$57,4,TRUE)) + IF(O58="",0,O58 * VLOOKUP($B58,'A1.3.9'!$B$26:$O$57,5,TRUE)))</f>
        <v>4.5978951634503232E-4</v>
      </c>
      <c r="T58" s="693">
        <f>IF('A1.3.12'!T58="","",'A1.3.12'!T58*(1+VLOOKUP($B58,'A1.3.7'!$B$28:$O$118,12,)/100))</f>
        <v>29.155223175282188</v>
      </c>
      <c r="U58" s="691">
        <f>IF('A1.3.12'!U58="","",'A1.3.12'!U58*(1+VLOOKUP($B58,'A1.3.7'!$B$28:$O$118,12,)/100))</f>
        <v>16.348561465392155</v>
      </c>
      <c r="V58" s="691">
        <f>IF('A1.3.12'!V58="","",'A1.3.12'!V58*(1+VLOOKUP($B58,'A1.3.7'!$B$28:$O$118,12,)/100))</f>
        <v>-0.25661875257737249</v>
      </c>
      <c r="W58" s="2644">
        <f>IF('A1.3.12'!W58="","",'A1.3.12'!W58*(1+VLOOKUP($B58,'A1.3.7'!$B$28:$O$118,12,)/100))</f>
        <v>1.6572534945882283E-3</v>
      </c>
      <c r="X58" s="693">
        <f>IF('A1.3.12'!X58="","",'A1.3.12'!X58*(1+VLOOKUP($B58,'A1.3.7'!$B$28:$O$118,13,)/100))</f>
        <v>51.596073961921782</v>
      </c>
      <c r="Y58" s="691">
        <f>IF('A1.3.12'!Y58="","",'A1.3.12'!Y58*(1+VLOOKUP($B58,'A1.3.7'!$B$28:$O$118,13,)/100))</f>
        <v>12.610290747410893</v>
      </c>
      <c r="Z58" s="691">
        <f>IF('A1.3.12'!Z58="","",'A1.3.12'!Z58*(1+VLOOKUP($B58,'A1.3.7'!$B$28:$O$118,13,)/100))</f>
        <v>-0.18192636251591779</v>
      </c>
      <c r="AA58" s="2644">
        <f>IF('A1.3.12'!AA58="","",'A1.3.12'!AA58*(1+VLOOKUP($B58,'A1.3.7'!$B$28:$O$118,13,)/100))</f>
        <v>1.5401949283127654E-3</v>
      </c>
      <c r="AB58" s="693" t="str">
        <f>IF('A1.3.12'!AB58="","",'A1.3.12'!AB58*(1+VLOOKUP($B58,'A1.3.7'!$B$28:$O$118,14,)/100))</f>
        <v/>
      </c>
      <c r="AC58" s="691">
        <f>IF('A1.3.12'!AC58="","",'A1.3.12'!AC58*(1+VLOOKUP($B58,'A1.3.7'!$B$28:$O$118,14,)/100))</f>
        <v>4.7402914466537549</v>
      </c>
      <c r="AD58" s="691" t="str">
        <f>IF('A1.3.12'!AD58="","",'A1.3.12'!AD58*(1+VLOOKUP($B58,'A1.3.7'!$B$28:$O$118,14,)/100))</f>
        <v/>
      </c>
      <c r="AE58" s="1664" t="str">
        <f>IF('A1.3.12'!AE58="","",'A1.3.12'!AE58*(1+VLOOKUP($B58,'A1.3.7'!$B$28:$O$118,14,)/100))</f>
        <v/>
      </c>
      <c r="AF58" s="693">
        <f>IF(AND(T58="",X58="",AB58=""),"",IF(T58="",0,T58 * VLOOKUP($B58,'A1.3.9'!$B$26:$O$57,6,TRUE)) + IF(X58="",0,X58 * VLOOKUP($B58,'A1.3.9'!$B$26:$O$57,7,TRUE)) + IF(AB58="",0,AB58 * VLOOKUP($B58,'A1.3.9'!$B$26:$O$57,8,TRUE)))</f>
        <v>45.780234783751197</v>
      </c>
      <c r="AG58" s="691">
        <f>IF(AND(U58="",Y58="",AC58=""),"",IF(U58="",0,U58 * VLOOKUP($B58,'A1.3.9'!$B$26:$O$57,6,TRUE)) + IF(Y58="",0,Y58 * VLOOKUP($B58,'A1.3.9'!$B$26:$O$57,7,TRUE)) + IF(AC58="",0,AC58 * VLOOKUP($B58,'A1.3.9'!$B$26:$O$57,8,TRUE)))</f>
        <v>11.777486799619279</v>
      </c>
      <c r="AH58" s="691">
        <f>IF(AND(V58="",Z58="",AD58=""),"",IF(V58="",0,V58 * VLOOKUP($B58,'A1.3.9'!$B$26:$O$57,6,TRUE)) + IF(Z58="",0,Z58 * VLOOKUP($B58,'A1.3.9'!$B$26:$O$57,7,TRUE)) + IF(AD58="",0,AD58 * VLOOKUP($B58,'A1.3.9'!$B$26:$O$57,8,TRUE)))</f>
        <v>-0.16258602319142101</v>
      </c>
      <c r="AI58" s="2644">
        <f>IF(AND(W58="",AA58="",AE58=""),"",IF(W58="",0,W58 * VLOOKUP($B58,'A1.3.9'!$B$26:$O$57,6,TRUE)) + IF(AA58="",0,AA58 * VLOOKUP($B58,'A1.3.9'!$B$26:$O$57,7,TRUE)) + IF(AE58="",0,AE58 * VLOOKUP($B58,'A1.3.9'!$B$26:$O$57,8,TRUE)))</f>
        <v>1.3725523398922146E-3</v>
      </c>
    </row>
    <row r="59" spans="1:35" ht="13.5" customHeight="1">
      <c r="A59" s="113"/>
      <c r="B59" s="614">
        <f t="shared" si="0"/>
        <v>2042</v>
      </c>
      <c r="C59" s="147"/>
      <c r="D59" s="693">
        <f>IF('A1.3.12'!D59="","",'A1.3.12'!D59*(1+VLOOKUP($B59,'A1.3.7'!$B$28:$O$118,12,)/100))</f>
        <v>40.694959030115477</v>
      </c>
      <c r="E59" s="691">
        <f>IF('A1.3.12'!E59="","",'A1.3.12'!E59*(1+VLOOKUP($B59,'A1.3.7'!$B$28:$O$118,12,)/100))</f>
        <v>8.6483389030945403</v>
      </c>
      <c r="F59" s="691">
        <f>IF('A1.3.12'!F59="","",'A1.3.12'!F59*(1+VLOOKUP($B59,'A1.3.7'!$B$28:$O$118,12,)/100))</f>
        <v>-9.8514836047618556E-2</v>
      </c>
      <c r="G59" s="2644">
        <f>IF('A1.3.12'!G59="","",'A1.3.12'!G59*(1+VLOOKUP($B59,'A1.3.7'!$B$28:$O$118,12,)/100))</f>
        <v>6.5245583250607159E-4</v>
      </c>
      <c r="H59" s="693">
        <f>IF('A1.3.12'!H59="","",'A1.3.12'!H59*(1+VLOOKUP($B59,'A1.3.7'!$B$28:$O$118,13,)/100))</f>
        <v>50.293316401870626</v>
      </c>
      <c r="I59" s="691">
        <f>IF('A1.3.12'!I59="","",'A1.3.12'!I59*(1+VLOOKUP($B59,'A1.3.7'!$B$28:$O$118,13,)/100))</f>
        <v>7.2108178197276818</v>
      </c>
      <c r="J59" s="691">
        <f>IF('A1.3.12'!J59="","",'A1.3.12'!J59*(1+VLOOKUP($B59,'A1.3.7'!$B$28:$O$118,13,)/100))</f>
        <v>-6.9370076220266003E-2</v>
      </c>
      <c r="K59" s="2644">
        <f>IF('A1.3.12'!K59="","",'A1.3.12'!K59*(1+VLOOKUP($B59,'A1.3.7'!$B$28:$O$118,13,)/100))</f>
        <v>5.4663968096435361E-4</v>
      </c>
      <c r="L59" s="693" t="str">
        <f>IF('A1.3.12'!L59="","",'A1.3.12'!L59*(1+VLOOKUP($B59,'A1.3.7'!$B$28:$O$118,14,)/100))</f>
        <v/>
      </c>
      <c r="M59" s="691">
        <f>IF('A1.3.12'!M59="","",'A1.3.12'!M59*(1+VLOOKUP($B59,'A1.3.7'!$B$28:$O$118,14,)/100))</f>
        <v>2.0619488699992319</v>
      </c>
      <c r="N59" s="691" t="str">
        <f>IF('A1.3.12'!N59="","",'A1.3.12'!N59*(1+VLOOKUP($B59,'A1.3.7'!$B$28:$O$118,14,)/100))</f>
        <v/>
      </c>
      <c r="O59" s="1664" t="str">
        <f>IF('A1.3.12'!O59="","",'A1.3.12'!O59*(1+VLOOKUP($B59,'A1.3.7'!$B$28:$O$118,14,)/100))</f>
        <v/>
      </c>
      <c r="P59" s="693">
        <f>IF(AND(D59="",H59="",L59=""),"",IF(D59="",0,D59 * VLOOKUP($B59,'A1.3.9'!$B$26:$O$57,3,TRUE)) + IF(H59="",0,H59 * VLOOKUP($B59,'A1.3.9'!$B$26:$O$57,4,TRUE)) + IF(L59="",0,L59 * VLOOKUP($B59,'A1.3.9'!$B$26:$O$57,5,TRUE)))</f>
        <v>33.790840421039036</v>
      </c>
      <c r="Q59" s="691">
        <f>IF(AND(E59="",I59="",M59=""),"",IF(E59="",0,E59 * VLOOKUP($B59,'A1.3.9'!$B$26:$O$57,3,TRUE)) + IF(I59="",0,I59 * VLOOKUP($B59,'A1.3.9'!$B$26:$O$57,4,TRUE)) + IF(M59="",0,M59 * VLOOKUP($B59,'A1.3.9'!$B$26:$O$57,5,TRUE)))</f>
        <v>6.6079861104739308</v>
      </c>
      <c r="R59" s="691">
        <f>IF(AND(F59="",J59="",N59=""),"",IF(F59="",0,F59 * VLOOKUP($B59,'A1.3.9'!$B$26:$O$57,3,TRUE)) + IF(J59="",0,J59 * VLOOKUP($B59,'A1.3.9'!$B$26:$O$57,4,TRUE)) + IF(N59="",0,N59 * VLOOKUP($B59,'A1.3.9'!$B$26:$O$57,5,TRUE)))</f>
        <v>-6.5638098445259002E-2</v>
      </c>
      <c r="S59" s="2644">
        <f>IF(AND(G59="",K59="",O59=""),"",IF(G59="",0,G59 * VLOOKUP($B59,'A1.3.9'!$B$26:$O$57,3,TRUE)) + IF(K59="",0,K59 * VLOOKUP($B59,'A1.3.9'!$B$26:$O$57,4,TRUE)) + IF(O59="",0,O59 * VLOOKUP($B59,'A1.3.9'!$B$26:$O$57,5,TRUE)))</f>
        <v>4.6162553747783704E-4</v>
      </c>
      <c r="T59" s="693">
        <f>IF('A1.3.12'!T59="","",'A1.3.12'!T59*(1+VLOOKUP($B59,'A1.3.7'!$B$28:$O$118,12,)/100))</f>
        <v>29.273229796443857</v>
      </c>
      <c r="U59" s="691">
        <f>IF('A1.3.12'!U59="","",'A1.3.12'!U59*(1+VLOOKUP($B59,'A1.3.7'!$B$28:$O$118,12,)/100))</f>
        <v>16.414732747559544</v>
      </c>
      <c r="V59" s="691">
        <f>IF('A1.3.12'!V59="","",'A1.3.12'!V59*(1+VLOOKUP($B59,'A1.3.7'!$B$28:$O$118,12,)/100))</f>
        <v>-0.25765742450714363</v>
      </c>
      <c r="W59" s="2644">
        <f>IF('A1.3.12'!W59="","",'A1.3.12'!W59*(1+VLOOKUP($B59,'A1.3.7'!$B$28:$O$118,12,)/100))</f>
        <v>1.6639612767282918E-3</v>
      </c>
      <c r="X59" s="693">
        <f>IF('A1.3.12'!X59="","",'A1.3.12'!X59*(1+VLOOKUP($B59,'A1.3.7'!$B$28:$O$118,13,)/100))</f>
        <v>51.797236565475558</v>
      </c>
      <c r="Y59" s="691">
        <f>IF('A1.3.12'!Y59="","",'A1.3.12'!Y59*(1+VLOOKUP($B59,'A1.3.7'!$B$28:$O$118,13,)/100))</f>
        <v>12.659455707523776</v>
      </c>
      <c r="Z59" s="691">
        <f>IF('A1.3.12'!Z59="","",'A1.3.12'!Z59*(1+VLOOKUP($B59,'A1.3.7'!$B$28:$O$118,13,)/100))</f>
        <v>-0.18263565642005825</v>
      </c>
      <c r="AA59" s="2644">
        <f>IF('A1.3.12'!AA59="","",'A1.3.12'!AA59*(1+VLOOKUP($B59,'A1.3.7'!$B$28:$O$118,13,)/100))</f>
        <v>1.5461998352362721E-3</v>
      </c>
      <c r="AB59" s="693" t="str">
        <f>IF('A1.3.12'!AB59="","",'A1.3.12'!AB59*(1+VLOOKUP($B59,'A1.3.7'!$B$28:$O$118,14,)/100))</f>
        <v/>
      </c>
      <c r="AC59" s="691">
        <f>IF('A1.3.12'!AC59="","",'A1.3.12'!AC59*(1+VLOOKUP($B59,'A1.3.7'!$B$28:$O$118,14,)/100))</f>
        <v>4.7402914466537549</v>
      </c>
      <c r="AD59" s="691" t="str">
        <f>IF('A1.3.12'!AD59="","",'A1.3.12'!AD59*(1+VLOOKUP($B59,'A1.3.7'!$B$28:$O$118,14,)/100))</f>
        <v/>
      </c>
      <c r="AE59" s="1664" t="str">
        <f>IF('A1.3.12'!AE59="","",'A1.3.12'!AE59*(1+VLOOKUP($B59,'A1.3.7'!$B$28:$O$118,14,)/100))</f>
        <v/>
      </c>
      <c r="AF59" s="693">
        <f>IF(AND(T59="",X59="",AB59=""),"",IF(T59="",0,T59 * VLOOKUP($B59,'A1.3.9'!$B$26:$O$57,6,TRUE)) + IF(X59="",0,X59 * VLOOKUP($B59,'A1.3.9'!$B$26:$O$57,7,TRUE)) + IF(AB59="",0,AB59 * VLOOKUP($B59,'A1.3.9'!$B$26:$O$57,8,TRUE)))</f>
        <v>45.958755487967764</v>
      </c>
      <c r="AG59" s="691">
        <f>IF(AND(U59="",Y59="",AC59=""),"",IF(U59="",0,U59 * VLOOKUP($B59,'A1.3.9'!$B$26:$O$57,6,TRUE)) + IF(Y59="",0,Y59 * VLOOKUP($B59,'A1.3.9'!$B$26:$O$57,7,TRUE)) + IF(AC59="",0,AC59 * VLOOKUP($B59,'A1.3.9'!$B$26:$O$57,8,TRUE)))</f>
        <v>11.821400999575358</v>
      </c>
      <c r="AH59" s="691">
        <f>IF(AND(V59="",Z59="",AD59=""),"",IF(V59="",0,V59 * VLOOKUP($B59,'A1.3.9'!$B$26:$O$57,6,TRUE)) + IF(Z59="",0,Z59 * VLOOKUP($B59,'A1.3.9'!$B$26:$O$57,7,TRUE)) + IF(AD59="",0,AD59 * VLOOKUP($B59,'A1.3.9'!$B$26:$O$57,8,TRUE)))</f>
        <v>-0.16322020240663027</v>
      </c>
      <c r="AI59" s="2644">
        <f>IF(AND(W59="",AA59="",AE59=""),"",IF(W59="",0,W59 * VLOOKUP($B59,'A1.3.9'!$B$26:$O$57,6,TRUE)) + IF(AA59="",0,AA59 * VLOOKUP($B59,'A1.3.9'!$B$26:$O$57,7,TRUE)) + IF(AE59="",0,AE59 * VLOOKUP($B59,'A1.3.9'!$B$26:$O$57,8,TRUE)))</f>
        <v>1.3779055111565906E-3</v>
      </c>
    </row>
    <row r="60" spans="1:35" ht="13.5" customHeight="1">
      <c r="A60" s="113"/>
      <c r="B60" s="614">
        <f t="shared" si="0"/>
        <v>2043</v>
      </c>
      <c r="C60" s="147"/>
      <c r="D60" s="693">
        <f>IF('A1.3.12'!D60="","",'A1.3.12'!D60*(1+VLOOKUP($B60,'A1.3.7'!$B$28:$O$118,12,)/100))</f>
        <v>40.860131605406046</v>
      </c>
      <c r="E60" s="691">
        <f>IF('A1.3.12'!E60="","",'A1.3.12'!E60*(1+VLOOKUP($B60,'A1.3.7'!$B$28:$O$118,12,)/100))</f>
        <v>8.6834407545929686</v>
      </c>
      <c r="F60" s="691">
        <f>IF('A1.3.12'!F60="","",'A1.3.12'!F60*(1+VLOOKUP($B60,'A1.3.7'!$B$28:$O$118,12,)/100))</f>
        <v>-9.8914687762969147E-2</v>
      </c>
      <c r="G60" s="2644">
        <f>IF('A1.3.12'!G60="","",'A1.3.12'!G60*(1+VLOOKUP($B60,'A1.3.7'!$B$28:$O$118,12,)/100))</f>
        <v>6.551040182442273E-4</v>
      </c>
      <c r="H60" s="693">
        <f>IF('A1.3.12'!H60="","",'A1.3.12'!H60*(1+VLOOKUP($B60,'A1.3.7'!$B$28:$O$118,13,)/100))</f>
        <v>50.48997481162894</v>
      </c>
      <c r="I60" s="691">
        <f>IF('A1.3.12'!I60="","",'A1.3.12'!I60*(1+VLOOKUP($B60,'A1.3.7'!$B$28:$O$118,13,)/100))</f>
        <v>7.2390137723300789</v>
      </c>
      <c r="J60" s="691">
        <f>IF('A1.3.12'!J60="","",'A1.3.12'!J60*(1+VLOOKUP($B60,'A1.3.7'!$B$28:$O$118,13,)/100))</f>
        <v>-6.9641329139148528E-2</v>
      </c>
      <c r="K60" s="2644">
        <f>IF('A1.3.12'!K60="","",'A1.3.12'!K60*(1+VLOOKUP($B60,'A1.3.7'!$B$28:$O$118,13,)/100))</f>
        <v>5.4877716757410994E-4</v>
      </c>
      <c r="L60" s="693" t="str">
        <f>IF('A1.3.12'!L60="","",'A1.3.12'!L60*(1+VLOOKUP($B60,'A1.3.7'!$B$28:$O$118,14,)/100))</f>
        <v/>
      </c>
      <c r="M60" s="691">
        <f>IF('A1.3.12'!M60="","",'A1.3.12'!M60*(1+VLOOKUP($B60,'A1.3.7'!$B$28:$O$118,14,)/100))</f>
        <v>2.0619488699992319</v>
      </c>
      <c r="N60" s="691" t="str">
        <f>IF('A1.3.12'!N60="","",'A1.3.12'!N60*(1+VLOOKUP($B60,'A1.3.7'!$B$28:$O$118,14,)/100))</f>
        <v/>
      </c>
      <c r="O60" s="1664" t="str">
        <f>IF('A1.3.12'!O60="","",'A1.3.12'!O60*(1+VLOOKUP($B60,'A1.3.7'!$B$28:$O$118,14,)/100))</f>
        <v/>
      </c>
      <c r="P60" s="693">
        <f>IF(AND(D60="",H60="",L60=""),"",IF(D60="",0,D60 * VLOOKUP($B60,'A1.3.9'!$B$26:$O$57,3,TRUE)) + IF(H60="",0,H60 * VLOOKUP($B60,'A1.3.9'!$B$26:$O$57,4,TRUE)) + IF(L60="",0,L60 * VLOOKUP($B60,'A1.3.9'!$B$26:$O$57,5,TRUE)))</f>
        <v>33.925684948443674</v>
      </c>
      <c r="Q60" s="691">
        <f>IF(AND(E60="",I60="",M60=""),"",IF(E60="",0,E60 * VLOOKUP($B60,'A1.3.9'!$B$26:$O$57,3,TRUE)) + IF(I60="",0,I60 * VLOOKUP($B60,'A1.3.9'!$B$26:$O$57,4,TRUE)) + IF(M60="",0,M60 * VLOOKUP($B60,'A1.3.9'!$B$26:$O$57,5,TRUE)))</f>
        <v>6.6324470636867066</v>
      </c>
      <c r="R60" s="691">
        <f>IF(AND(F60="",J60="",N60=""),"",IF(F60="",0,F60 * VLOOKUP($B60,'A1.3.9'!$B$26:$O$57,3,TRUE)) + IF(J60="",0,J60 * VLOOKUP($B60,'A1.3.9'!$B$26:$O$57,4,TRUE)) + IF(N60="",0,N60 * VLOOKUP($B60,'A1.3.9'!$B$26:$O$57,5,TRUE)))</f>
        <v>-6.5901329976652379E-2</v>
      </c>
      <c r="S60" s="2644">
        <f>IF(AND(G60="",K60="",O60=""),"",IF(G60="",0,G60 * VLOOKUP($B60,'A1.3.9'!$B$26:$O$57,3,TRUE)) + IF(K60="",0,K60 * VLOOKUP($B60,'A1.3.9'!$B$26:$O$57,4,TRUE)) + IF(O60="",0,O60 * VLOOKUP($B60,'A1.3.9'!$B$26:$O$57,5,TRUE)))</f>
        <v>4.634741218050989E-4</v>
      </c>
      <c r="T60" s="693">
        <f>IF('A1.3.12'!T60="","",'A1.3.12'!T60*(1+VLOOKUP($B60,'A1.3.7'!$B$28:$O$118,12,)/100))</f>
        <v>29.392043892041624</v>
      </c>
      <c r="U60" s="691">
        <f>IF('A1.3.12'!U60="","",'A1.3.12'!U60*(1+VLOOKUP($B60,'A1.3.7'!$B$28:$O$118,12,)/100))</f>
        <v>16.481356814648898</v>
      </c>
      <c r="V60" s="691">
        <f>IF('A1.3.12'!V60="","",'A1.3.12'!V60*(1+VLOOKUP($B60,'A1.3.7'!$B$28:$O$118,12,)/100))</f>
        <v>-0.25870320367397076</v>
      </c>
      <c r="W60" s="2644">
        <f>IF('A1.3.12'!W60="","",'A1.3.12'!W60*(1+VLOOKUP($B60,'A1.3.7'!$B$28:$O$118,12,)/100))</f>
        <v>1.6707149576708775E-3</v>
      </c>
      <c r="X60" s="693">
        <f>IF('A1.3.12'!X60="","",'A1.3.12'!X60*(1+VLOOKUP($B60,'A1.3.7'!$B$28:$O$118,13,)/100))</f>
        <v>51.999775648232536</v>
      </c>
      <c r="Y60" s="691">
        <f>IF('A1.3.12'!Y60="","",'A1.3.12'!Y60*(1+VLOOKUP($B60,'A1.3.7'!$B$28:$O$118,13,)/100))</f>
        <v>12.708957084763531</v>
      </c>
      <c r="Z60" s="691">
        <f>IF('A1.3.12'!Z60="","",'A1.3.12'!Z60*(1+VLOOKUP($B60,'A1.3.7'!$B$28:$O$118,13,)/100))</f>
        <v>-0.18334980375267276</v>
      </c>
      <c r="AA60" s="2644">
        <f>IF('A1.3.12'!AA60="","",'A1.3.12'!AA60*(1+VLOOKUP($B60,'A1.3.7'!$B$28:$O$118,13,)/100))</f>
        <v>1.5522458314544659E-3</v>
      </c>
      <c r="AB60" s="693" t="str">
        <f>IF('A1.3.12'!AB60="","",'A1.3.12'!AB60*(1+VLOOKUP($B60,'A1.3.7'!$B$28:$O$118,14,)/100))</f>
        <v/>
      </c>
      <c r="AC60" s="691">
        <f>IF('A1.3.12'!AC60="","",'A1.3.12'!AC60*(1+VLOOKUP($B60,'A1.3.7'!$B$28:$O$118,14,)/100))</f>
        <v>4.7402914466537549</v>
      </c>
      <c r="AD60" s="691" t="str">
        <f>IF('A1.3.12'!AD60="","",'A1.3.12'!AD60*(1+VLOOKUP($B60,'A1.3.7'!$B$28:$O$118,14,)/100))</f>
        <v/>
      </c>
      <c r="AE60" s="1664" t="str">
        <f>IF('A1.3.12'!AE60="","",'A1.3.12'!AE60*(1+VLOOKUP($B60,'A1.3.7'!$B$28:$O$118,14,)/100))</f>
        <v/>
      </c>
      <c r="AF60" s="693">
        <f>IF(AND(T60="",X60="",AB60=""),"",IF(T60="",0,T60 * VLOOKUP($B60,'A1.3.9'!$B$26:$O$57,6,TRUE)) + IF(X60="",0,X60 * VLOOKUP($B60,'A1.3.9'!$B$26:$O$57,7,TRUE)) + IF(AB60="",0,AB60 * VLOOKUP($B60,'A1.3.9'!$B$26:$O$57,8,TRUE)))</f>
        <v>46.138497741480045</v>
      </c>
      <c r="AG60" s="691">
        <f>IF(AND(U60="",Y60="",AC60=""),"",IF(U60="",0,U60 * VLOOKUP($B60,'A1.3.9'!$B$26:$O$57,6,TRUE)) + IF(Y60="",0,Y60 * VLOOKUP($B60,'A1.3.9'!$B$26:$O$57,7,TRUE)) + IF(AC60="",0,AC60 * VLOOKUP($B60,'A1.3.9'!$B$26:$O$57,8,TRUE)))</f>
        <v>11.86561568770318</v>
      </c>
      <c r="AH60" s="691">
        <f>IF(AND(V60="",Z60="",AD60=""),"",IF(V60="",0,V60 * VLOOKUP($B60,'A1.3.9'!$B$26:$O$57,6,TRUE)) + IF(Z60="",0,Z60 * VLOOKUP($B60,'A1.3.9'!$B$26:$O$57,7,TRUE)) + IF(AD60="",0,AD60 * VLOOKUP($B60,'A1.3.9'!$B$26:$O$57,8,TRUE)))</f>
        <v>-0.16385872106905991</v>
      </c>
      <c r="AI60" s="2644">
        <f>IF(AND(W60="",AA60="",AE60=""),"",IF(W60="",0,W60 * VLOOKUP($B60,'A1.3.9'!$B$26:$O$57,6,TRUE)) + IF(AA60="",0,AA60 * VLOOKUP($B60,'A1.3.9'!$B$26:$O$57,7,TRUE)) + IF(AE60="",0,AE60 * VLOOKUP($B60,'A1.3.9'!$B$26:$O$57,8,TRUE)))</f>
        <v>1.3832953121363633E-3</v>
      </c>
    </row>
    <row r="61" spans="1:35" ht="13.5" customHeight="1">
      <c r="A61" s="113"/>
      <c r="B61" s="614">
        <f t="shared" si="0"/>
        <v>2044</v>
      </c>
      <c r="C61" s="147"/>
      <c r="D61" s="693">
        <f>IF('A1.3.12'!D61="","",'A1.3.12'!D61*(1+VLOOKUP($B61,'A1.3.7'!$B$28:$O$118,12,)/100))</f>
        <v>41.026434393821781</v>
      </c>
      <c r="E61" s="691">
        <f>IF('A1.3.12'!E61="","",'A1.3.12'!E61*(1+VLOOKUP($B61,'A1.3.7'!$B$28:$O$118,12,)/100))</f>
        <v>8.7187827947135794</v>
      </c>
      <c r="F61" s="691">
        <f>IF('A1.3.12'!F61="","",'A1.3.12'!F61*(1+VLOOKUP($B61,'A1.3.7'!$B$28:$O$118,12,)/100))</f>
        <v>-9.9317275511562622E-2</v>
      </c>
      <c r="G61" s="2644">
        <f>IF('A1.3.12'!G61="","",'A1.3.12'!G61*(1+VLOOKUP($B61,'A1.3.7'!$B$28:$O$118,12,)/100))</f>
        <v>6.5777032451040576E-4</v>
      </c>
      <c r="H61" s="693">
        <f>IF('A1.3.12'!H61="","",'A1.3.12'!H61*(1+VLOOKUP($B61,'A1.3.7'!$B$28:$O$118,13,)/100))</f>
        <v>50.687978880105064</v>
      </c>
      <c r="I61" s="691">
        <f>IF('A1.3.12'!I61="","",'A1.3.12'!I61*(1+VLOOKUP($B61,'A1.3.7'!$B$28:$O$118,13,)/100))</f>
        <v>7.2674026591145084</v>
      </c>
      <c r="J61" s="691">
        <f>IF('A1.3.12'!J61="","",'A1.3.12'!J61*(1+VLOOKUP($B61,'A1.3.7'!$B$28:$O$118,13,)/100))</f>
        <v>-6.9914438138609952E-2</v>
      </c>
      <c r="K61" s="2644">
        <f>IF('A1.3.12'!K61="","",'A1.3.12'!K61*(1+VLOOKUP($B61,'A1.3.7'!$B$28:$O$118,13,)/100))</f>
        <v>5.5092928019194888E-4</v>
      </c>
      <c r="L61" s="693" t="str">
        <f>IF('A1.3.12'!L61="","",'A1.3.12'!L61*(1+VLOOKUP($B61,'A1.3.7'!$B$28:$O$118,14,)/100))</f>
        <v/>
      </c>
      <c r="M61" s="691">
        <f>IF('A1.3.12'!M61="","",'A1.3.12'!M61*(1+VLOOKUP($B61,'A1.3.7'!$B$28:$O$118,14,)/100))</f>
        <v>2.0619488699992319</v>
      </c>
      <c r="N61" s="691" t="str">
        <f>IF('A1.3.12'!N61="","",'A1.3.12'!N61*(1+VLOOKUP($B61,'A1.3.7'!$B$28:$O$118,14,)/100))</f>
        <v/>
      </c>
      <c r="O61" s="1664" t="str">
        <f>IF('A1.3.12'!O61="","",'A1.3.12'!O61*(1+VLOOKUP($B61,'A1.3.7'!$B$28:$O$118,14,)/100))</f>
        <v/>
      </c>
      <c r="P61" s="693">
        <f>IF(AND(D61="",H61="",L61=""),"",IF(D61="",0,D61 * VLOOKUP($B61,'A1.3.9'!$B$26:$O$57,3,TRUE)) + IF(H61="",0,H61 * VLOOKUP($B61,'A1.3.9'!$B$26:$O$57,4,TRUE)) + IF(L61="",0,L61 * VLOOKUP($B61,'A1.3.9'!$B$26:$O$57,5,TRUE)))</f>
        <v>34.061452165674169</v>
      </c>
      <c r="Q61" s="691">
        <f>IF(AND(E61="",I61="",M61=""),"",IF(E61="",0,E61 * VLOOKUP($B61,'A1.3.9'!$B$26:$O$57,3,TRUE)) + IF(I61="",0,I61 * VLOOKUP($B61,'A1.3.9'!$B$26:$O$57,4,TRUE)) + IF(M61="",0,M61 * VLOOKUP($B61,'A1.3.9'!$B$26:$O$57,5,TRUE)))</f>
        <v>6.6570753939009411</v>
      </c>
      <c r="R61" s="691">
        <f>IF(AND(F61="",J61="",N61=""),"",IF(F61="",0,F61 * VLOOKUP($B61,'A1.3.9'!$B$26:$O$57,3,TRUE)) + IF(J61="",0,J61 * VLOOKUP($B61,'A1.3.9'!$B$26:$O$57,4,TRUE)) + IF(N61="",0,N61 * VLOOKUP($B61,'A1.3.9'!$B$26:$O$57,5,TRUE)))</f>
        <v>-6.6166362701320203E-2</v>
      </c>
      <c r="S61" s="2644">
        <f>IF(AND(G61="",K61="",O61=""),"",IF(G61="",0,G61 * VLOOKUP($B61,'A1.3.9'!$B$26:$O$57,3,TRUE)) + IF(K61="",0,K61 * VLOOKUP($B61,'A1.3.9'!$B$26:$O$57,4,TRUE)) + IF(O61="",0,O61 * VLOOKUP($B61,'A1.3.9'!$B$26:$O$57,5,TRUE)))</f>
        <v>4.653353552919805E-4</v>
      </c>
      <c r="T61" s="693">
        <f>IF('A1.3.12'!T61="","",'A1.3.12'!T61*(1+VLOOKUP($B61,'A1.3.7'!$B$28:$O$118,12,)/100))</f>
        <v>29.511670987316016</v>
      </c>
      <c r="U61" s="691">
        <f>IF('A1.3.12'!U61="","",'A1.3.12'!U61*(1+VLOOKUP($B61,'A1.3.7'!$B$28:$O$118,12,)/100))</f>
        <v>16.548436764895268</v>
      </c>
      <c r="V61" s="691">
        <f>IF('A1.3.12'!V61="","",'A1.3.12'!V61*(1+VLOOKUP($B61,'A1.3.7'!$B$28:$O$118,12,)/100))</f>
        <v>-0.25975613870997477</v>
      </c>
      <c r="W61" s="2644">
        <f>IF('A1.3.12'!W61="","",'A1.3.12'!W61*(1+VLOOKUP($B61,'A1.3.7'!$B$28:$O$118,12,)/100))</f>
        <v>1.6775148514840386E-3</v>
      </c>
      <c r="X61" s="693">
        <f>IF('A1.3.12'!X61="","",'A1.3.12'!X61*(1+VLOOKUP($B61,'A1.3.7'!$B$28:$O$118,13,)/100))</f>
        <v>52.203700628916508</v>
      </c>
      <c r="Y61" s="691">
        <f>IF('A1.3.12'!Y61="","",'A1.3.12'!Y61*(1+VLOOKUP($B61,'A1.3.7'!$B$28:$O$118,13,)/100))</f>
        <v>12.758797181104638</v>
      </c>
      <c r="Z61" s="691">
        <f>IF('A1.3.12'!Z61="","",'A1.3.12'!Z61*(1+VLOOKUP($B61,'A1.3.7'!$B$28:$O$118,13,)/100))</f>
        <v>-0.18406883772392693</v>
      </c>
      <c r="AA61" s="2644">
        <f>IF('A1.3.12'!AA61="","",'A1.3.12'!AA61*(1+VLOOKUP($B61,'A1.3.7'!$B$28:$O$118,13,)/100))</f>
        <v>1.5583331981257656E-3</v>
      </c>
      <c r="AB61" s="693" t="str">
        <f>IF('A1.3.12'!AB61="","",'A1.3.12'!AB61*(1+VLOOKUP($B61,'A1.3.7'!$B$28:$O$118,14,)/100))</f>
        <v/>
      </c>
      <c r="AC61" s="691">
        <f>IF('A1.3.12'!AC61="","",'A1.3.12'!AC61*(1+VLOOKUP($B61,'A1.3.7'!$B$28:$O$118,14,)/100))</f>
        <v>4.7402914466537549</v>
      </c>
      <c r="AD61" s="691" t="str">
        <f>IF('A1.3.12'!AD61="","",'A1.3.12'!AD61*(1+VLOOKUP($B61,'A1.3.7'!$B$28:$O$118,14,)/100))</f>
        <v/>
      </c>
      <c r="AE61" s="1664" t="str">
        <f>IF('A1.3.12'!AE61="","",'A1.3.12'!AE61*(1+VLOOKUP($B61,'A1.3.7'!$B$28:$O$118,14,)/100))</f>
        <v/>
      </c>
      <c r="AF61" s="693">
        <f>IF(AND(T61="",X61="",AB61=""),"",IF(T61="",0,T61 * VLOOKUP($B61,'A1.3.9'!$B$26:$O$57,6,TRUE)) + IF(X61="",0,X61 * VLOOKUP($B61,'A1.3.9'!$B$26:$O$57,7,TRUE)) + IF(AB61="",0,AB61 * VLOOKUP($B61,'A1.3.9'!$B$26:$O$57,8,TRUE)))</f>
        <v>46.31946990288538</v>
      </c>
      <c r="AG61" s="691">
        <f>IF(AND(U61="",Y61="",AC61=""),"",IF(U61="",0,U61 * VLOOKUP($B61,'A1.3.9'!$B$26:$O$57,6,TRUE)) + IF(Y61="",0,Y61 * VLOOKUP($B61,'A1.3.9'!$B$26:$O$57,7,TRUE)) + IF(AC61="",0,AC61 * VLOOKUP($B61,'A1.3.9'!$B$26:$O$57,8,TRUE)))</f>
        <v>11.910132920129044</v>
      </c>
      <c r="AH61" s="691">
        <f>IF(AND(V61="",Z61="",AD61=""),"",IF(V61="",0,V61 * VLOOKUP($B61,'A1.3.9'!$B$26:$O$57,6,TRUE)) + IF(Z61="",0,Z61 * VLOOKUP($B61,'A1.3.9'!$B$26:$O$57,7,TRUE)) + IF(AD61="",0,AD61 * VLOOKUP($B61,'A1.3.9'!$B$26:$O$57,8,TRUE)))</f>
        <v>-0.16450160887189721</v>
      </c>
      <c r="AI61" s="2644">
        <f>IF(AND(W61="",AA61="",AE61=""),"",IF(W61="",0,W61 * VLOOKUP($B61,'A1.3.9'!$B$26:$O$57,6,TRUE)) + IF(AA61="",0,AA61 * VLOOKUP($B61,'A1.3.9'!$B$26:$O$57,7,TRUE)) + IF(AE61="",0,AE61 * VLOOKUP($B61,'A1.3.9'!$B$26:$O$57,8,TRUE)))</f>
        <v>1.3887219934747461E-3</v>
      </c>
    </row>
    <row r="62" spans="1:35" ht="13.5" customHeight="1">
      <c r="A62" s="113"/>
      <c r="B62" s="614">
        <f t="shared" si="0"/>
        <v>2045</v>
      </c>
      <c r="C62" s="147"/>
      <c r="D62" s="693">
        <f>IF('A1.3.12'!D62="","",'A1.3.12'!D62*(1+VLOOKUP($B62,'A1.3.7'!$B$28:$O$118,12,)/100))</f>
        <v>41.193875128981297</v>
      </c>
      <c r="E62" s="691">
        <f>IF('A1.3.12'!E62="","",'A1.3.12'!E62*(1+VLOOKUP($B62,'A1.3.7'!$B$28:$O$118,12,)/100))</f>
        <v>8.7543666669757716</v>
      </c>
      <c r="F62" s="691">
        <f>IF('A1.3.12'!F62="","",'A1.3.12'!F62*(1+VLOOKUP($B62,'A1.3.7'!$B$28:$O$118,12,)/100))</f>
        <v>-9.9722618015034015E-2</v>
      </c>
      <c r="G62" s="2644">
        <f>IF('A1.3.12'!G62="","",'A1.3.12'!G62*(1+VLOOKUP($B62,'A1.3.7'!$B$28:$O$118,12,)/100))</f>
        <v>6.6045487529648925E-4</v>
      </c>
      <c r="H62" s="693">
        <f>IF('A1.3.12'!H62="","",'A1.3.12'!H62*(1+VLOOKUP($B62,'A1.3.7'!$B$28:$O$118,13,)/100))</f>
        <v>50.887337815129868</v>
      </c>
      <c r="I62" s="691">
        <f>IF('A1.3.12'!I62="","",'A1.3.12'!I62*(1+VLOOKUP($B62,'A1.3.7'!$B$28:$O$118,13,)/100))</f>
        <v>7.2959858002562079</v>
      </c>
      <c r="J62" s="691">
        <f>IF('A1.3.12'!J62="","",'A1.3.12'!J62*(1+VLOOKUP($B62,'A1.3.7'!$B$28:$O$118,13,)/100))</f>
        <v>-7.0189415919103812E-2</v>
      </c>
      <c r="K62" s="2644">
        <f>IF('A1.3.12'!K62="","",'A1.3.12'!K62*(1+VLOOKUP($B62,'A1.3.7'!$B$28:$O$118,13,)/100))</f>
        <v>5.5309611889808169E-4</v>
      </c>
      <c r="L62" s="693" t="str">
        <f>IF('A1.3.12'!L62="","",'A1.3.12'!L62*(1+VLOOKUP($B62,'A1.3.7'!$B$28:$O$118,14,)/100))</f>
        <v/>
      </c>
      <c r="M62" s="691">
        <f>IF('A1.3.12'!M62="","",'A1.3.12'!M62*(1+VLOOKUP($B62,'A1.3.7'!$B$28:$O$118,14,)/100))</f>
        <v>2.0619488699992319</v>
      </c>
      <c r="N62" s="691" t="str">
        <f>IF('A1.3.12'!N62="","",'A1.3.12'!N62*(1+VLOOKUP($B62,'A1.3.7'!$B$28:$O$118,14,)/100))</f>
        <v/>
      </c>
      <c r="O62" s="1664" t="str">
        <f>IF('A1.3.12'!O62="","",'A1.3.12'!O62*(1+VLOOKUP($B62,'A1.3.7'!$B$28:$O$118,14,)/100))</f>
        <v/>
      </c>
      <c r="P62" s="693">
        <f>IF(AND(D62="",H62="",L62=""),"",IF(D62="",0,D62 * VLOOKUP($B62,'A1.3.9'!$B$26:$O$57,3,TRUE)) + IF(H62="",0,H62 * VLOOKUP($B62,'A1.3.9'!$B$26:$O$57,4,TRUE)) + IF(L62="",0,L62 * VLOOKUP($B62,'A1.3.9'!$B$26:$O$57,5,TRUE)))</f>
        <v>34.198148386346098</v>
      </c>
      <c r="Q62" s="691">
        <f>IF(AND(E62="",I62="",M62=""),"",IF(E62="",0,E62 * VLOOKUP($B62,'A1.3.9'!$B$26:$O$57,3,TRUE)) + IF(I62="",0,I62 * VLOOKUP($B62,'A1.3.9'!$B$26:$O$57,4,TRUE)) + IF(M62="",0,M62 * VLOOKUP($B62,'A1.3.9'!$B$26:$O$57,5,TRUE)))</f>
        <v>6.6818722464138016</v>
      </c>
      <c r="R62" s="691">
        <f>IF(AND(F62="",J62="",N62=""),"",IF(F62="",0,F62 * VLOOKUP($B62,'A1.3.9'!$B$26:$O$57,3,TRUE)) + IF(J62="",0,J62 * VLOOKUP($B62,'A1.3.9'!$B$26:$O$57,4,TRUE)) + IF(N62="",0,N62 * VLOOKUP($B62,'A1.3.9'!$B$26:$O$57,5,TRUE)))</f>
        <v>-6.6433208944143105E-2</v>
      </c>
      <c r="S62" s="2644">
        <f>IF(AND(G62="",K62="",O62=""),"",IF(G62="",0,G62 * VLOOKUP($B62,'A1.3.9'!$B$26:$O$57,3,TRUE)) + IF(K62="",0,K62 * VLOOKUP($B62,'A1.3.9'!$B$26:$O$57,4,TRUE)) + IF(O62="",0,O62 * VLOOKUP($B62,'A1.3.9'!$B$26:$O$57,5,TRUE)))</f>
        <v>4.6720932449187077E-4</v>
      </c>
      <c r="T62" s="693">
        <f>IF('A1.3.12'!T62="","",'A1.3.12'!T62*(1+VLOOKUP($B62,'A1.3.7'!$B$28:$O$118,12,)/100))</f>
        <v>29.632116645314664</v>
      </c>
      <c r="U62" s="691">
        <f>IF('A1.3.12'!U62="","",'A1.3.12'!U62*(1+VLOOKUP($B62,'A1.3.7'!$B$28:$O$118,12,)/100))</f>
        <v>16.615975717733736</v>
      </c>
      <c r="V62" s="691">
        <f>IF('A1.3.12'!V62="","",'A1.3.12'!V62*(1+VLOOKUP($B62,'A1.3.7'!$B$28:$O$118,12,)/100))</f>
        <v>-0.26081627858004713</v>
      </c>
      <c r="W62" s="2644">
        <f>IF('A1.3.12'!W62="","",'A1.3.12'!W62*(1+VLOOKUP($B62,'A1.3.7'!$B$28:$O$118,12,)/100))</f>
        <v>1.6843612743848745E-3</v>
      </c>
      <c r="X62" s="693">
        <f>IF('A1.3.12'!X62="","",'A1.3.12'!X62*(1+VLOOKUP($B62,'A1.3.7'!$B$28:$O$118,13,)/100))</f>
        <v>52.409020990699958</v>
      </c>
      <c r="Y62" s="691">
        <f>IF('A1.3.12'!Y62="","",'A1.3.12'!Y62*(1+VLOOKUP($B62,'A1.3.7'!$B$28:$O$118,13,)/100))</f>
        <v>12.808978314273096</v>
      </c>
      <c r="Z62" s="691">
        <f>IF('A1.3.12'!Z62="","",'A1.3.12'!Z62*(1+VLOOKUP($B62,'A1.3.7'!$B$28:$O$118,13,)/100))</f>
        <v>-0.18479279177123062</v>
      </c>
      <c r="AA62" s="2644">
        <f>IF('A1.3.12'!AA62="","",'A1.3.12'!AA62*(1+VLOOKUP($B62,'A1.3.7'!$B$28:$O$118,13,)/100))</f>
        <v>1.5644622183324502E-3</v>
      </c>
      <c r="AB62" s="693" t="str">
        <f>IF('A1.3.12'!AB62="","",'A1.3.12'!AB62*(1+VLOOKUP($B62,'A1.3.7'!$B$28:$O$118,14,)/100))</f>
        <v/>
      </c>
      <c r="AC62" s="691">
        <f>IF('A1.3.12'!AC62="","",'A1.3.12'!AC62*(1+VLOOKUP($B62,'A1.3.7'!$B$28:$O$118,14,)/100))</f>
        <v>4.7402914466537549</v>
      </c>
      <c r="AD62" s="691" t="str">
        <f>IF('A1.3.12'!AD62="","",'A1.3.12'!AD62*(1+VLOOKUP($B62,'A1.3.7'!$B$28:$O$118,14,)/100))</f>
        <v/>
      </c>
      <c r="AE62" s="1664" t="str">
        <f>IF('A1.3.12'!AE62="","",'A1.3.12'!AE62*(1+VLOOKUP($B62,'A1.3.7'!$B$28:$O$118,14,)/100))</f>
        <v/>
      </c>
      <c r="AF62" s="693">
        <f>IF(AND(T62="",X62="",AB62=""),"",IF(T62="",0,T62 * VLOOKUP($B62,'A1.3.9'!$B$26:$O$57,6,TRUE)) + IF(X62="",0,X62 * VLOOKUP($B62,'A1.3.9'!$B$26:$O$57,7,TRUE)) + IF(AB62="",0,AB62 * VLOOKUP($B62,'A1.3.9'!$B$26:$O$57,8,TRUE)))</f>
        <v>46.501680387975782</v>
      </c>
      <c r="AG62" s="691">
        <f>IF(AND(U62="",Y62="",AC62=""),"",IF(U62="",0,U62 * VLOOKUP($B62,'A1.3.9'!$B$26:$O$57,6,TRUE)) + IF(Y62="",0,Y62 * VLOOKUP($B62,'A1.3.9'!$B$26:$O$57,7,TRUE)) + IF(AC62="",0,AC62 * VLOOKUP($B62,'A1.3.9'!$B$26:$O$57,8,TRUE)))</f>
        <v>11.95495476704853</v>
      </c>
      <c r="AH62" s="691">
        <f>IF(AND(V62="",Z62="",AD62=""),"",IF(V62="",0,V62 * VLOOKUP($B62,'A1.3.9'!$B$26:$O$57,6,TRUE)) + IF(Z62="",0,Z62 * VLOOKUP($B62,'A1.3.9'!$B$26:$O$57,7,TRUE)) + IF(AD62="",0,AD62 * VLOOKUP($B62,'A1.3.9'!$B$26:$O$57,8,TRUE)))</f>
        <v>-0.16514889571150848</v>
      </c>
      <c r="AI62" s="2644">
        <f>IF(AND(W62="",AA62="",AE62=""),"",IF(W62="",0,W62 * VLOOKUP($B62,'A1.3.9'!$B$26:$O$57,6,TRUE)) + IF(AA62="",0,AA62 * VLOOKUP($B62,'A1.3.9'!$B$26:$O$57,7,TRUE)) + IF(AE62="",0,AE62 * VLOOKUP($B62,'A1.3.9'!$B$26:$O$57,8,TRUE)))</f>
        <v>1.3941858075300095E-3</v>
      </c>
    </row>
    <row r="63" spans="1:35" ht="13.5" customHeight="1">
      <c r="A63" s="113"/>
      <c r="B63" s="614">
        <f t="shared" si="0"/>
        <v>2046</v>
      </c>
      <c r="C63" s="147"/>
      <c r="D63" s="693">
        <f>IF('A1.3.12'!D63="","",'A1.3.12'!D63*(1+VLOOKUP($B63,'A1.3.7'!$B$28:$O$118,12,)/100))</f>
        <v>41.362461597421508</v>
      </c>
      <c r="E63" s="691">
        <f>IF('A1.3.12'!E63="","",'A1.3.12'!E63*(1+VLOOKUP($B63,'A1.3.7'!$B$28:$O$118,12,)/100))</f>
        <v>8.7901940261449454</v>
      </c>
      <c r="F63" s="691">
        <f>IF('A1.3.12'!F63="","",'A1.3.12'!F63*(1+VLOOKUP($B63,'A1.3.7'!$B$28:$O$118,12,)/100))</f>
        <v>-0.10013073412312354</v>
      </c>
      <c r="G63" s="2644">
        <f>IF('A1.3.12'!G63="","",'A1.3.12'!G63*(1+VLOOKUP($B63,'A1.3.7'!$B$28:$O$118,12,)/100))</f>
        <v>6.6315779544279068E-4</v>
      </c>
      <c r="H63" s="693">
        <f>IF('A1.3.12'!H63="","",'A1.3.12'!H63*(1+VLOOKUP($B63,'A1.3.7'!$B$28:$O$118,13,)/100))</f>
        <v>51.088060887540003</v>
      </c>
      <c r="I63" s="691">
        <f>IF('A1.3.12'!I63="","",'A1.3.12'!I63*(1+VLOOKUP($B63,'A1.3.7'!$B$28:$O$118,13,)/100))</f>
        <v>7.3247645249638849</v>
      </c>
      <c r="J63" s="691">
        <f>IF('A1.3.12'!J63="","",'A1.3.12'!J63*(1+VLOOKUP($B63,'A1.3.7'!$B$28:$O$118,13,)/100))</f>
        <v>-7.0466275267988168E-2</v>
      </c>
      <c r="K63" s="2644">
        <f>IF('A1.3.12'!K63="","",'A1.3.12'!K63*(1+VLOOKUP($B63,'A1.3.7'!$B$28:$O$118,13,)/100))</f>
        <v>5.5527778445753123E-4</v>
      </c>
      <c r="L63" s="693" t="str">
        <f>IF('A1.3.12'!L63="","",'A1.3.12'!L63*(1+VLOOKUP($B63,'A1.3.7'!$B$28:$O$118,14,)/100))</f>
        <v/>
      </c>
      <c r="M63" s="691">
        <f>IF('A1.3.12'!M63="","",'A1.3.12'!M63*(1+VLOOKUP($B63,'A1.3.7'!$B$28:$O$118,14,)/100))</f>
        <v>2.0619488699992319</v>
      </c>
      <c r="N63" s="691" t="str">
        <f>IF('A1.3.12'!N63="","",'A1.3.12'!N63*(1+VLOOKUP($B63,'A1.3.7'!$B$28:$O$118,14,)/100))</f>
        <v/>
      </c>
      <c r="O63" s="1664" t="str">
        <f>IF('A1.3.12'!O63="","",'A1.3.12'!O63*(1+VLOOKUP($B63,'A1.3.7'!$B$28:$O$118,14,)/100))</f>
        <v/>
      </c>
      <c r="P63" s="693">
        <f>IF(AND(D63="",H63="",L63=""),"",IF(D63="",0,D63 * VLOOKUP($B63,'A1.3.9'!$B$26:$O$57,3,TRUE)) + IF(H63="",0,H63 * VLOOKUP($B63,'A1.3.9'!$B$26:$O$57,4,TRUE)) + IF(L63="",0,L63 * VLOOKUP($B63,'A1.3.9'!$B$26:$O$57,5,TRUE)))</f>
        <v>34.3357799672768</v>
      </c>
      <c r="Q63" s="691">
        <f>IF(AND(E63="",I63="",M63=""),"",IF(E63="",0,E63 * VLOOKUP($B63,'A1.3.9'!$B$26:$O$57,3,TRUE)) + IF(I63="",0,I63 * VLOOKUP($B63,'A1.3.9'!$B$26:$O$57,4,TRUE)) + IF(M63="",0,M63 * VLOOKUP($B63,'A1.3.9'!$B$26:$O$57,5,TRUE)))</f>
        <v>6.7068387743593059</v>
      </c>
      <c r="R63" s="691">
        <f>IF(AND(F63="",J63="",N63=""),"",IF(F63="",0,F63 * VLOOKUP($B63,'A1.3.9'!$B$26:$O$57,3,TRUE)) + IF(J63="",0,J63 * VLOOKUP($B63,'A1.3.9'!$B$26:$O$57,4,TRUE)) + IF(N63="",0,N63 * VLOOKUP($B63,'A1.3.9'!$B$26:$O$57,5,TRUE)))</f>
        <v>-6.6701881114336267E-2</v>
      </c>
      <c r="S63" s="2644">
        <f>IF(AND(G63="",K63="",O63=""),"",IF(G63="",0,G63 * VLOOKUP($B63,'A1.3.9'!$B$26:$O$57,3,TRUE)) + IF(K63="",0,K63 * VLOOKUP($B63,'A1.3.9'!$B$26:$O$57,4,TRUE)) + IF(O63="",0,O63 * VLOOKUP($B63,'A1.3.9'!$B$26:$O$57,5,TRUE)))</f>
        <v>4.6909611655041148E-4</v>
      </c>
      <c r="T63" s="693">
        <f>IF('A1.3.12'!T63="","",'A1.3.12'!T63*(1+VLOOKUP($B63,'A1.3.7'!$B$28:$O$118,12,)/100))</f>
        <v>29.753386467151046</v>
      </c>
      <c r="U63" s="691">
        <f>IF('A1.3.12'!U63="","",'A1.3.12'!U63*(1+VLOOKUP($B63,'A1.3.7'!$B$28:$O$118,12,)/100))</f>
        <v>16.683976813944522</v>
      </c>
      <c r="V63" s="691">
        <f>IF('A1.3.12'!V63="","",'A1.3.12'!V63*(1+VLOOKUP($B63,'A1.3.7'!$B$28:$O$118,12,)/100))</f>
        <v>-0.26188367258412781</v>
      </c>
      <c r="W63" s="2644">
        <f>IF('A1.3.12'!W63="","",'A1.3.12'!W63*(1+VLOOKUP($B63,'A1.3.7'!$B$28:$O$118,12,)/100))</f>
        <v>1.6912545447542407E-3</v>
      </c>
      <c r="X63" s="693">
        <f>IF('A1.3.12'!X63="","",'A1.3.12'!X63*(1+VLOOKUP($B63,'A1.3.7'!$B$28:$O$118,13,)/100))</f>
        <v>52.61574628164518</v>
      </c>
      <c r="Y63" s="691">
        <f>IF('A1.3.12'!Y63="","",'A1.3.12'!Y63*(1+VLOOKUP($B63,'A1.3.7'!$B$28:$O$118,13,)/100))</f>
        <v>12.859502817854244</v>
      </c>
      <c r="Z63" s="691">
        <f>IF('A1.3.12'!Z63="","",'A1.3.12'!Z63*(1+VLOOKUP($B63,'A1.3.7'!$B$28:$O$118,13,)/100))</f>
        <v>-0.18552169956079351</v>
      </c>
      <c r="AA63" s="2644">
        <f>IF('A1.3.12'!AA63="","",'A1.3.12'!AA63*(1+VLOOKUP($B63,'A1.3.7'!$B$28:$O$118,13,)/100))</f>
        <v>1.5706331770938239E-3</v>
      </c>
      <c r="AB63" s="693" t="str">
        <f>IF('A1.3.12'!AB63="","",'A1.3.12'!AB63*(1+VLOOKUP($B63,'A1.3.7'!$B$28:$O$118,14,)/100))</f>
        <v/>
      </c>
      <c r="AC63" s="691">
        <f>IF('A1.3.12'!AC63="","",'A1.3.12'!AC63*(1+VLOOKUP($B63,'A1.3.7'!$B$28:$O$118,14,)/100))</f>
        <v>4.7402914466537549</v>
      </c>
      <c r="AD63" s="691" t="str">
        <f>IF('A1.3.12'!AD63="","",'A1.3.12'!AD63*(1+VLOOKUP($B63,'A1.3.7'!$B$28:$O$118,14,)/100))</f>
        <v/>
      </c>
      <c r="AE63" s="1664" t="str">
        <f>IF('A1.3.12'!AE63="","",'A1.3.12'!AE63*(1+VLOOKUP($B63,'A1.3.7'!$B$28:$O$118,14,)/100))</f>
        <v/>
      </c>
      <c r="AF63" s="693">
        <f>IF(AND(T63="",X63="",AB63=""),"",IF(T63="",0,T63 * VLOOKUP($B63,'A1.3.9'!$B$26:$O$57,6,TRUE)) + IF(X63="",0,X63 * VLOOKUP($B63,'A1.3.9'!$B$26:$O$57,7,TRUE)) + IF(AB63="",0,AB63 * VLOOKUP($B63,'A1.3.9'!$B$26:$O$57,8,TRUE)))</f>
        <v>46.685137670129365</v>
      </c>
      <c r="AG63" s="691">
        <f>IF(AND(U63="",Y63="",AC63=""),"",IF(U63="",0,U63 * VLOOKUP($B63,'A1.3.9'!$B$26:$O$57,6,TRUE)) + IF(Y63="",0,Y63 * VLOOKUP($B63,'A1.3.9'!$B$26:$O$57,7,TRUE)) + IF(AC63="",0,AC63 * VLOOKUP($B63,'A1.3.9'!$B$26:$O$57,8,TRUE)))</f>
        <v>12.000083312822794</v>
      </c>
      <c r="AH63" s="691">
        <f>IF(AND(V63="",Z63="",AD63=""),"",IF(V63="",0,V63 * VLOOKUP($B63,'A1.3.9'!$B$26:$O$57,6,TRUE)) + IF(Z63="",0,Z63 * VLOOKUP($B63,'A1.3.9'!$B$26:$O$57,7,TRUE)) + IF(AD63="",0,AD63 * VLOOKUP($B63,'A1.3.9'!$B$26:$O$57,8,TRUE)))</f>
        <v>-0.16580061168882976</v>
      </c>
      <c r="AI63" s="2644">
        <f>IF(AND(W63="",AA63="",AE63=""),"",IF(W63="",0,W63 * VLOOKUP($B63,'A1.3.9'!$B$26:$O$57,6,TRUE)) + IF(AA63="",0,AA63 * VLOOKUP($B63,'A1.3.9'!$B$26:$O$57,7,TRUE)) + IF(AE63="",0,AE63 * VLOOKUP($B63,'A1.3.9'!$B$26:$O$57,8,TRUE)))</f>
        <v>1.3996870083872149E-3</v>
      </c>
    </row>
    <row r="64" spans="1:35" ht="13.5" customHeight="1">
      <c r="A64" s="113"/>
      <c r="B64" s="614">
        <f t="shared" si="0"/>
        <v>2047</v>
      </c>
      <c r="C64" s="147"/>
      <c r="D64" s="693">
        <f>IF('A1.3.12'!D64="","",'A1.3.12'!D64*(1+VLOOKUP($B64,'A1.3.7'!$B$28:$O$118,12,)/100))</f>
        <v>41.532201638959521</v>
      </c>
      <c r="E64" s="691">
        <f>IF('A1.3.12'!E64="","",'A1.3.12'!E64*(1+VLOOKUP($B64,'A1.3.7'!$B$28:$O$118,12,)/100))</f>
        <v>8.8262665383094081</v>
      </c>
      <c r="F64" s="691">
        <f>IF('A1.3.12'!F64="","",'A1.3.12'!F64*(1+VLOOKUP($B64,'A1.3.7'!$B$28:$O$118,12,)/100))</f>
        <v>-0.10054164281455286</v>
      </c>
      <c r="G64" s="2644">
        <f>IF('A1.3.12'!G64="","",'A1.3.12'!G64*(1+VLOOKUP($B64,'A1.3.7'!$B$28:$O$118,12,)/100))</f>
        <v>6.658792106438565E-4</v>
      </c>
      <c r="H64" s="693">
        <f>IF('A1.3.12'!H64="","",'A1.3.12'!H64*(1+VLOOKUP($B64,'A1.3.7'!$B$28:$O$118,13,)/100))</f>
        <v>51.290157431608854</v>
      </c>
      <c r="I64" s="691">
        <f>IF('A1.3.12'!I64="","",'A1.3.12'!I64*(1+VLOOKUP($B64,'A1.3.7'!$B$28:$O$118,13,)/100))</f>
        <v>7.3537401715415047</v>
      </c>
      <c r="J64" s="691">
        <f>IF('A1.3.12'!J64="","",'A1.3.12'!J64*(1+VLOOKUP($B64,'A1.3.7'!$B$28:$O$118,13,)/100))</f>
        <v>-7.0745029060120021E-2</v>
      </c>
      <c r="K64" s="2644">
        <f>IF('A1.3.12'!K64="","",'A1.3.12'!K64*(1+VLOOKUP($B64,'A1.3.7'!$B$28:$O$118,13,)/100))</f>
        <v>5.5747437832481665E-4</v>
      </c>
      <c r="L64" s="693" t="str">
        <f>IF('A1.3.12'!L64="","",'A1.3.12'!L64*(1+VLOOKUP($B64,'A1.3.7'!$B$28:$O$118,14,)/100))</f>
        <v/>
      </c>
      <c r="M64" s="691">
        <f>IF('A1.3.12'!M64="","",'A1.3.12'!M64*(1+VLOOKUP($B64,'A1.3.7'!$B$28:$O$118,14,)/100))</f>
        <v>2.0619488699992319</v>
      </c>
      <c r="N64" s="691" t="str">
        <f>IF('A1.3.12'!N64="","",'A1.3.12'!N64*(1+VLOOKUP($B64,'A1.3.7'!$B$28:$O$118,14,)/100))</f>
        <v/>
      </c>
      <c r="O64" s="1664" t="str">
        <f>IF('A1.3.12'!O64="","",'A1.3.12'!O64*(1+VLOOKUP($B64,'A1.3.7'!$B$28:$O$118,14,)/100))</f>
        <v/>
      </c>
      <c r="P64" s="693">
        <f>IF(AND(D64="",H64="",L64=""),"",IF(D64="",0,D64 * VLOOKUP($B64,'A1.3.9'!$B$26:$O$57,3,TRUE)) + IF(H64="",0,H64 * VLOOKUP($B64,'A1.3.9'!$B$26:$O$57,4,TRUE)) + IF(L64="",0,L64 * VLOOKUP($B64,'A1.3.9'!$B$26:$O$57,5,TRUE)))</f>
        <v>34.474353308780813</v>
      </c>
      <c r="Q64" s="691">
        <f>IF(AND(E64="",I64="",M64=""),"",IF(E64="",0,E64 * VLOOKUP($B64,'A1.3.9'!$B$26:$O$57,3,TRUE)) + IF(I64="",0,I64 * VLOOKUP($B64,'A1.3.9'!$B$26:$O$57,4,TRUE)) + IF(M64="",0,M64 * VLOOKUP($B64,'A1.3.9'!$B$26:$O$57,5,TRUE)))</f>
        <v>6.7319761387619135</v>
      </c>
      <c r="R64" s="691">
        <f>IF(AND(F64="",J64="",N64=""),"",IF(F64="",0,F64 * VLOOKUP($B64,'A1.3.9'!$B$26:$O$57,3,TRUE)) + IF(J64="",0,J64 * VLOOKUP($B64,'A1.3.9'!$B$26:$O$57,4,TRUE)) + IF(N64="",0,N64 * VLOOKUP($B64,'A1.3.9'!$B$26:$O$57,5,TRUE)))</f>
        <v>-6.6972391706026355E-2</v>
      </c>
      <c r="S64" s="2644">
        <f>IF(AND(G64="",K64="",O64=""),"",IF(G64="",0,G64 * VLOOKUP($B64,'A1.3.9'!$B$26:$O$57,3,TRUE)) + IF(K64="",0,K64 * VLOOKUP($B64,'A1.3.9'!$B$26:$O$57,4,TRUE)) + IF(O64="",0,O64 * VLOOKUP($B64,'A1.3.9'!$B$26:$O$57,5,TRUE)))</f>
        <v>4.7099581920954827E-4</v>
      </c>
      <c r="T64" s="693">
        <f>IF('A1.3.12'!T64="","",'A1.3.12'!T64*(1+VLOOKUP($B64,'A1.3.7'!$B$28:$O$118,12,)/100))</f>
        <v>29.875486092264889</v>
      </c>
      <c r="U64" s="691">
        <f>IF('A1.3.12'!U64="","",'A1.3.12'!U64*(1+VLOOKUP($B64,'A1.3.7'!$B$28:$O$118,12,)/100))</f>
        <v>16.752443215798973</v>
      </c>
      <c r="V64" s="691">
        <f>IF('A1.3.12'!V64="","",'A1.3.12'!V64*(1+VLOOKUP($B64,'A1.3.7'!$B$28:$O$118,12,)/100))</f>
        <v>-0.26295837035949743</v>
      </c>
      <c r="W64" s="2644">
        <f>IF('A1.3.12'!W64="","",'A1.3.12'!W64*(1+VLOOKUP($B64,'A1.3.7'!$B$28:$O$118,12,)/100))</f>
        <v>1.6981949831515494E-3</v>
      </c>
      <c r="X64" s="693">
        <f>IF('A1.3.12'!X64="","",'A1.3.12'!X64*(1+VLOOKUP($B64,'A1.3.7'!$B$28:$O$118,13,)/100))</f>
        <v>52.823886115148177</v>
      </c>
      <c r="Y64" s="691">
        <f>IF('A1.3.12'!Y64="","",'A1.3.12'!Y64*(1+VLOOKUP($B64,'A1.3.7'!$B$28:$O$118,13,)/100))</f>
        <v>12.910373041401245</v>
      </c>
      <c r="Z64" s="691">
        <f>IF('A1.3.12'!Z64="","",'A1.3.12'!Z64*(1+VLOOKUP($B64,'A1.3.7'!$B$28:$O$118,13,)/100))</f>
        <v>-0.18625559498919017</v>
      </c>
      <c r="AA64" s="2644">
        <f>IF('A1.3.12'!AA64="","",'A1.3.12'!AA64*(1+VLOOKUP($B64,'A1.3.7'!$B$28:$O$118,13,)/100))</f>
        <v>1.5768463613794691E-3</v>
      </c>
      <c r="AB64" s="693" t="str">
        <f>IF('A1.3.12'!AB64="","",'A1.3.12'!AB64*(1+VLOOKUP($B64,'A1.3.7'!$B$28:$O$118,14,)/100))</f>
        <v/>
      </c>
      <c r="AC64" s="691">
        <f>IF('A1.3.12'!AC64="","",'A1.3.12'!AC64*(1+VLOOKUP($B64,'A1.3.7'!$B$28:$O$118,14,)/100))</f>
        <v>4.7402914466537549</v>
      </c>
      <c r="AD64" s="691" t="str">
        <f>IF('A1.3.12'!AD64="","",'A1.3.12'!AD64*(1+VLOOKUP($B64,'A1.3.7'!$B$28:$O$118,14,)/100))</f>
        <v/>
      </c>
      <c r="AE64" s="1664" t="str">
        <f>IF('A1.3.12'!AE64="","",'A1.3.12'!AE64*(1+VLOOKUP($B64,'A1.3.7'!$B$28:$O$118,14,)/100))</f>
        <v/>
      </c>
      <c r="AF64" s="693">
        <f>IF(AND(T64="",X64="",AB64=""),"",IF(T64="",0,T64 * VLOOKUP($B64,'A1.3.9'!$B$26:$O$57,6,TRUE)) + IF(X64="",0,X64 * VLOOKUP($B64,'A1.3.9'!$B$26:$O$57,7,TRUE)) + IF(AB64="",0,AB64 * VLOOKUP($B64,'A1.3.9'!$B$26:$O$57,8,TRUE)))</f>
        <v>46.869850280704327</v>
      </c>
      <c r="AG64" s="691">
        <f>IF(AND(U64="",Y64="",AC64=""),"",IF(U64="",0,U64 * VLOOKUP($B64,'A1.3.9'!$B$26:$O$57,6,TRUE)) + IF(Y64="",0,Y64 * VLOOKUP($B64,'A1.3.9'!$B$26:$O$57,7,TRUE)) + IF(AC64="",0,AC64 * VLOOKUP($B64,'A1.3.9'!$B$26:$O$57,8,TRUE)))</f>
        <v>12.045520656075473</v>
      </c>
      <c r="AH64" s="691">
        <f>IF(AND(V64="",Z64="",AD64=""),"",IF(V64="",0,V64 * VLOOKUP($B64,'A1.3.9'!$B$26:$O$57,6,TRUE)) + IF(Z64="",0,Z64 * VLOOKUP($B64,'A1.3.9'!$B$26:$O$57,7,TRUE)) + IF(AD64="",0,AD64 * VLOOKUP($B64,'A1.3.9'!$B$26:$O$57,8,TRUE)))</f>
        <v>-0.16645678711076611</v>
      </c>
      <c r="AI64" s="2644">
        <f>IF(AND(W64="",AA64="",AE64=""),"",IF(W64="",0,W64 * VLOOKUP($B64,'A1.3.9'!$B$26:$O$57,6,TRUE)) + IF(AA64="",0,AA64 * VLOOKUP($B64,'A1.3.9'!$B$26:$O$57,7,TRUE)) + IF(AE64="",0,AE64 * VLOOKUP($B64,'A1.3.9'!$B$26:$O$57,8,TRUE)))</f>
        <v>1.4052258518700317E-3</v>
      </c>
    </row>
    <row r="65" spans="1:35" ht="13.5" customHeight="1">
      <c r="A65" s="113"/>
      <c r="B65" s="614">
        <f t="shared" si="0"/>
        <v>2048</v>
      </c>
      <c r="C65" s="147"/>
      <c r="D65" s="693">
        <f>IF('A1.3.12'!D65="","",'A1.3.12'!D65*(1+VLOOKUP($B65,'A1.3.7'!$B$28:$O$118,12,)/100))</f>
        <v>41.70310314705744</v>
      </c>
      <c r="E65" s="691">
        <f>IF('A1.3.12'!E65="","",'A1.3.12'!E65*(1+VLOOKUP($B65,'A1.3.7'!$B$28:$O$118,12,)/100))</f>
        <v>8.8625858809578908</v>
      </c>
      <c r="F65" s="691">
        <f>IF('A1.3.12'!F65="","",'A1.3.12'!F65*(1+VLOOKUP($B65,'A1.3.7'!$B$28:$O$118,12,)/100))</f>
        <v>-0.10095536319790789</v>
      </c>
      <c r="G65" s="2644">
        <f>IF('A1.3.12'!G65="","",'A1.3.12'!G65*(1+VLOOKUP($B65,'A1.3.7'!$B$28:$O$118,12,)/100))</f>
        <v>6.6861924745431373E-4</v>
      </c>
      <c r="H65" s="693">
        <f>IF('A1.3.12'!H65="","",'A1.3.12'!H65*(1+VLOOKUP($B65,'A1.3.7'!$B$28:$O$118,13,)/100))</f>
        <v>51.493636845480722</v>
      </c>
      <c r="I65" s="691">
        <f>IF('A1.3.12'!I65="","",'A1.3.12'!I65*(1+VLOOKUP($B65,'A1.3.7'!$B$28:$O$118,13,)/100))</f>
        <v>7.3829140874505477</v>
      </c>
      <c r="J65" s="691">
        <f>IF('A1.3.12'!J65="","",'A1.3.12'!J65*(1+VLOOKUP($B65,'A1.3.7'!$B$28:$O$118,13,)/100))</f>
        <v>-7.1025690258454163E-2</v>
      </c>
      <c r="K65" s="2644">
        <f>IF('A1.3.12'!K65="","",'A1.3.12'!K65*(1+VLOOKUP($B65,'A1.3.7'!$B$28:$O$118,13,)/100))</f>
        <v>5.5968600264867207E-4</v>
      </c>
      <c r="L65" s="693" t="str">
        <f>IF('A1.3.12'!L65="","",'A1.3.12'!L65*(1+VLOOKUP($B65,'A1.3.7'!$B$28:$O$118,14,)/100))</f>
        <v/>
      </c>
      <c r="M65" s="691">
        <f>IF('A1.3.12'!M65="","",'A1.3.12'!M65*(1+VLOOKUP($B65,'A1.3.7'!$B$28:$O$118,14,)/100))</f>
        <v>2.0619488699992319</v>
      </c>
      <c r="N65" s="691" t="str">
        <f>IF('A1.3.12'!N65="","",'A1.3.12'!N65*(1+VLOOKUP($B65,'A1.3.7'!$B$28:$O$118,14,)/100))</f>
        <v/>
      </c>
      <c r="O65" s="1664" t="str">
        <f>IF('A1.3.12'!O65="","",'A1.3.12'!O65*(1+VLOOKUP($B65,'A1.3.7'!$B$28:$O$118,14,)/100))</f>
        <v/>
      </c>
      <c r="P65" s="693">
        <f>IF(AND(D65="",H65="",L65=""),"",IF(D65="",0,D65 * VLOOKUP($B65,'A1.3.9'!$B$26:$O$57,3,TRUE)) + IF(H65="",0,H65 * VLOOKUP($B65,'A1.3.9'!$B$26:$O$57,4,TRUE)) + IF(L65="",0,L65 * VLOOKUP($B65,'A1.3.9'!$B$26:$O$57,5,TRUE)))</f>
        <v>34.613874854967662</v>
      </c>
      <c r="Q65" s="691">
        <f>IF(AND(E65="",I65="",M65=""),"",IF(E65="",0,E65 * VLOOKUP($B65,'A1.3.9'!$B$26:$O$57,3,TRUE)) + IF(I65="",0,I65 * VLOOKUP($B65,'A1.3.9'!$B$26:$O$57,4,TRUE)) + IF(M65="",0,M65 * VLOOKUP($B65,'A1.3.9'!$B$26:$O$57,5,TRUE)))</f>
        <v>6.7572855085905417</v>
      </c>
      <c r="R65" s="691">
        <f>IF(AND(F65="",J65="",N65=""),"",IF(F65="",0,F65 * VLOOKUP($B65,'A1.3.9'!$B$26:$O$57,3,TRUE)) + IF(J65="",0,J65 * VLOOKUP($B65,'A1.3.9'!$B$26:$O$57,4,TRUE)) + IF(N65="",0,N65 * VLOOKUP($B65,'A1.3.9'!$B$26:$O$57,5,TRUE)))</f>
        <v>-6.7244753298832616E-2</v>
      </c>
      <c r="S65" s="2644">
        <f>IF(AND(G65="",K65="",O65=""),"",IF(G65="",0,G65 * VLOOKUP($B65,'A1.3.9'!$B$26:$O$57,3,TRUE)) + IF(K65="",0,K65 * VLOOKUP($B65,'A1.3.9'!$B$26:$O$57,4,TRUE)) + IF(O65="",0,O65 * VLOOKUP($B65,'A1.3.9'!$B$26:$O$57,5,TRUE)))</f>
        <v>4.7290852081161168E-4</v>
      </c>
      <c r="T65" s="693">
        <f>IF('A1.3.12'!T65="","",'A1.3.12'!T65*(1+VLOOKUP($B65,'A1.3.7'!$B$28:$O$118,12,)/100))</f>
        <v>29.998421198684508</v>
      </c>
      <c r="U65" s="691">
        <f>IF('A1.3.12'!U65="","",'A1.3.12'!U65*(1+VLOOKUP($B65,'A1.3.7'!$B$28:$O$118,12,)/100))</f>
        <v>16.82137810720668</v>
      </c>
      <c r="V65" s="691">
        <f>IF('A1.3.12'!V65="","",'A1.3.12'!V65*(1+VLOOKUP($B65,'A1.3.7'!$B$28:$O$118,12,)/100))</f>
        <v>-0.26404042188308563</v>
      </c>
      <c r="W65" s="2644">
        <f>IF('A1.3.12'!W65="","",'A1.3.12'!W65*(1+VLOOKUP($B65,'A1.3.7'!$B$28:$O$118,12,)/100))</f>
        <v>1.7051829123296805E-3</v>
      </c>
      <c r="X65" s="693">
        <f>IF('A1.3.12'!X65="","",'A1.3.12'!X65*(1+VLOOKUP($B65,'A1.3.7'!$B$28:$O$118,13,)/100))</f>
        <v>53.033450170385827</v>
      </c>
      <c r="Y65" s="691">
        <f>IF('A1.3.12'!Y65="","",'A1.3.12'!Y65*(1+VLOOKUP($B65,'A1.3.7'!$B$28:$O$118,13,)/100))</f>
        <v>12.961591350544369</v>
      </c>
      <c r="Z65" s="691">
        <f>IF('A1.3.12'!Z65="","",'A1.3.12'!Z65*(1+VLOOKUP($B65,'A1.3.7'!$B$28:$O$118,13,)/100))</f>
        <v>-0.1869945121849366</v>
      </c>
      <c r="AA65" s="2644">
        <f>IF('A1.3.12'!AA65="","",'A1.3.12'!AA65*(1+VLOOKUP($B65,'A1.3.7'!$B$28:$O$118,13,)/100))</f>
        <v>1.5831020601225919E-3</v>
      </c>
      <c r="AB65" s="693" t="str">
        <f>IF('A1.3.12'!AB65="","",'A1.3.12'!AB65*(1+VLOOKUP($B65,'A1.3.7'!$B$28:$O$118,14,)/100))</f>
        <v/>
      </c>
      <c r="AC65" s="691">
        <f>IF('A1.3.12'!AC65="","",'A1.3.12'!AC65*(1+VLOOKUP($B65,'A1.3.7'!$B$28:$O$118,14,)/100))</f>
        <v>4.7402914466537549</v>
      </c>
      <c r="AD65" s="691" t="str">
        <f>IF('A1.3.12'!AD65="","",'A1.3.12'!AD65*(1+VLOOKUP($B65,'A1.3.7'!$B$28:$O$118,14,)/100))</f>
        <v/>
      </c>
      <c r="AE65" s="1664" t="str">
        <f>IF('A1.3.12'!AE65="","",'A1.3.12'!AE65*(1+VLOOKUP($B65,'A1.3.7'!$B$28:$O$118,14,)/100))</f>
        <v/>
      </c>
      <c r="AF65" s="693">
        <f>IF(AND(T65="",X65="",AB65=""),"",IF(T65="",0,T65 * VLOOKUP($B65,'A1.3.9'!$B$26:$O$57,6,TRUE)) + IF(X65="",0,X65 * VLOOKUP($B65,'A1.3.9'!$B$26:$O$57,7,TRUE)) + IF(AB65="",0,AB65 * VLOOKUP($B65,'A1.3.9'!$B$26:$O$57,8,TRUE)))</f>
        <v>47.055826809435729</v>
      </c>
      <c r="AG65" s="691">
        <f>IF(AND(U65="",Y65="",AC65=""),"",IF(U65="",0,U65 * VLOOKUP($B65,'A1.3.9'!$B$26:$O$57,6,TRUE)) + IF(Y65="",0,Y65 * VLOOKUP($B65,'A1.3.9'!$B$26:$O$57,7,TRUE)) + IF(AC65="",0,AC65 * VLOOKUP($B65,'A1.3.9'!$B$26:$O$57,8,TRUE)))</f>
        <v>12.091268909790298</v>
      </c>
      <c r="AH65" s="691">
        <f>IF(AND(V65="",Z65="",AD65=""),"",IF(V65="",0,V65 * VLOOKUP($B65,'A1.3.9'!$B$26:$O$57,6,TRUE)) + IF(Z65="",0,Z65 * VLOOKUP($B65,'A1.3.9'!$B$26:$O$57,7,TRUE)) + IF(AD65="",0,AD65 * VLOOKUP($B65,'A1.3.9'!$B$26:$O$57,8,TRUE)))</f>
        <v>-0.1671174524916014</v>
      </c>
      <c r="AI65" s="2644">
        <f>IF(AND(W65="",AA65="",AE65=""),"",IF(W65="",0,W65 * VLOOKUP($B65,'A1.3.9'!$B$26:$O$57,6,TRUE)) + IF(AA65="",0,AA65 * VLOOKUP($B65,'A1.3.9'!$B$26:$O$57,7,TRUE)) + IF(AE65="",0,AE65 * VLOOKUP($B65,'A1.3.9'!$B$26:$O$57,8,TRUE)))</f>
        <v>1.4108025955526333E-3</v>
      </c>
    </row>
    <row r="66" spans="1:35" ht="13.5" customHeight="1">
      <c r="A66" s="113"/>
      <c r="B66" s="614">
        <f t="shared" si="0"/>
        <v>2049</v>
      </c>
      <c r="C66" s="147"/>
      <c r="D66" s="693">
        <f>IF('A1.3.12'!D66="","",'A1.3.12'!D66*(1+VLOOKUP($B66,'A1.3.7'!$B$28:$O$118,12,)/100))</f>
        <v>41.875174069189264</v>
      </c>
      <c r="E66" s="691">
        <f>IF('A1.3.12'!E66="","",'A1.3.12'!E66*(1+VLOOKUP($B66,'A1.3.7'!$B$28:$O$118,12,)/100))</f>
        <v>8.8991537430575374</v>
      </c>
      <c r="F66" s="691">
        <f>IF('A1.3.12'!F66="","",'A1.3.12'!F66*(1+VLOOKUP($B66,'A1.3.7'!$B$28:$O$118,12,)/100))</f>
        <v>-0.10137191451252733</v>
      </c>
      <c r="G66" s="2644">
        <f>IF('A1.3.12'!G66="","",'A1.3.12'!G66*(1+VLOOKUP($B66,'A1.3.7'!$B$28:$O$118,12,)/100))</f>
        <v>6.7137803329475468E-4</v>
      </c>
      <c r="H66" s="693">
        <f>IF('A1.3.12'!H66="","",'A1.3.12'!H66*(1+VLOOKUP($B66,'A1.3.7'!$B$28:$O$118,13,)/100))</f>
        <v>51.698508591607826</v>
      </c>
      <c r="I66" s="691">
        <f>IF('A1.3.12'!I66="","",'A1.3.12'!I66*(1+VLOOKUP($B66,'A1.3.7'!$B$28:$O$118,13,)/100))</f>
        <v>7.4122876293726518</v>
      </c>
      <c r="J66" s="691">
        <f>IF('A1.3.12'!J66="","",'A1.3.12'!J66*(1+VLOOKUP($B66,'A1.3.7'!$B$28:$O$118,13,)/100))</f>
        <v>-7.1308271914645907E-2</v>
      </c>
      <c r="K66" s="2644">
        <f>IF('A1.3.12'!K66="","",'A1.3.12'!K66*(1+VLOOKUP($B66,'A1.3.7'!$B$28:$O$118,13,)/100))</f>
        <v>5.6191276027679629E-4</v>
      </c>
      <c r="L66" s="693" t="str">
        <f>IF('A1.3.12'!L66="","",'A1.3.12'!L66*(1+VLOOKUP($B66,'A1.3.7'!$B$28:$O$118,14,)/100))</f>
        <v/>
      </c>
      <c r="M66" s="691">
        <f>IF('A1.3.12'!M66="","",'A1.3.12'!M66*(1+VLOOKUP($B66,'A1.3.7'!$B$28:$O$118,14,)/100))</f>
        <v>2.0619488699992319</v>
      </c>
      <c r="N66" s="691" t="str">
        <f>IF('A1.3.12'!N66="","",'A1.3.12'!N66*(1+VLOOKUP($B66,'A1.3.7'!$B$28:$O$118,14,)/100))</f>
        <v/>
      </c>
      <c r="O66" s="1664" t="str">
        <f>IF('A1.3.12'!O66="","",'A1.3.12'!O66*(1+VLOOKUP($B66,'A1.3.7'!$B$28:$O$118,14,)/100))</f>
        <v/>
      </c>
      <c r="P66" s="693">
        <f>IF(AND(D66="",H66="",L66=""),"",IF(D66="",0,D66 * VLOOKUP($B66,'A1.3.9'!$B$26:$O$57,3,TRUE)) + IF(H66="",0,H66 * VLOOKUP($B66,'A1.3.9'!$B$26:$O$57,4,TRUE)) + IF(L66="",0,L66 * VLOOKUP($B66,'A1.3.9'!$B$26:$O$57,5,TRUE)))</f>
        <v>34.754351094041425</v>
      </c>
      <c r="Q66" s="691">
        <f>IF(AND(E66="",I66="",M66=""),"",IF(E66="",0,E66 * VLOOKUP($B66,'A1.3.9'!$B$26:$O$57,3,TRUE)) + IF(I66="",0,I66 * VLOOKUP($B66,'A1.3.9'!$B$26:$O$57,4,TRUE)) + IF(M66="",0,M66 * VLOOKUP($B66,'A1.3.9'!$B$26:$O$57,5,TRUE)))</f>
        <v>6.7827680608129146</v>
      </c>
      <c r="R66" s="691">
        <f>IF(AND(F66="",J66="",N66=""),"",IF(F66="",0,F66 * VLOOKUP($B66,'A1.3.9'!$B$26:$O$57,3,TRUE)) + IF(J66="",0,J66 * VLOOKUP($B66,'A1.3.9'!$B$26:$O$57,4,TRUE)) + IF(N66="",0,N66 * VLOOKUP($B66,'A1.3.9'!$B$26:$O$57,5,TRUE)))</f>
        <v>-6.7518978558451806E-2</v>
      </c>
      <c r="S66" s="2644">
        <f>IF(AND(G66="",K66="",O66=""),"",IF(G66="",0,G66 * VLOOKUP($B66,'A1.3.9'!$B$26:$O$57,3,TRUE)) + IF(K66="",0,K66 * VLOOKUP($B66,'A1.3.9'!$B$26:$O$57,4,TRUE)) + IF(O66="",0,O66 * VLOOKUP($B66,'A1.3.9'!$B$26:$O$57,5,TRUE)))</f>
        <v>4.748343103034253E-4</v>
      </c>
      <c r="T66" s="693">
        <f>IF('A1.3.12'!T66="","",'A1.3.12'!T66*(1+VLOOKUP($B66,'A1.3.7'!$B$28:$O$118,12,)/100))</f>
        <v>30.122197503290767</v>
      </c>
      <c r="U66" s="691">
        <f>IF('A1.3.12'!U66="","",'A1.3.12'!U66*(1+VLOOKUP($B66,'A1.3.7'!$B$28:$O$118,12,)/100))</f>
        <v>16.890784693863516</v>
      </c>
      <c r="V66" s="691">
        <f>IF('A1.3.12'!V66="","",'A1.3.12'!V66*(1+VLOOKUP($B66,'A1.3.7'!$B$28:$O$118,12,)/100))</f>
        <v>-0.26512987747379518</v>
      </c>
      <c r="W66" s="2644">
        <f>IF('A1.3.12'!W66="","",'A1.3.12'!W66*(1+VLOOKUP($B66,'A1.3.7'!$B$28:$O$118,12,)/100))</f>
        <v>1.712218657249989E-3</v>
      </c>
      <c r="X66" s="693">
        <f>IF('A1.3.12'!X66="","",'A1.3.12'!X66*(1+VLOOKUP($B66,'A1.3.7'!$B$28:$O$118,13,)/100))</f>
        <v>53.244448192765837</v>
      </c>
      <c r="Y66" s="691">
        <f>IF('A1.3.12'!Y66="","",'A1.3.12'!Y66*(1+VLOOKUP($B66,'A1.3.7'!$B$28:$O$118,13,)/100))</f>
        <v>13.013160127100981</v>
      </c>
      <c r="Z66" s="691">
        <f>IF('A1.3.12'!Z66="","",'A1.3.12'!Z66*(1+VLOOKUP($B66,'A1.3.7'!$B$28:$O$118,13,)/100))</f>
        <v>-0.18773848551007719</v>
      </c>
      <c r="AA66" s="2644">
        <f>IF('A1.3.12'!AA66="","",'A1.3.12'!AA66*(1+VLOOKUP($B66,'A1.3.7'!$B$28:$O$118,13,)/100))</f>
        <v>1.5894005642334583E-3</v>
      </c>
      <c r="AB66" s="693" t="str">
        <f>IF('A1.3.12'!AB66="","",'A1.3.12'!AB66*(1+VLOOKUP($B66,'A1.3.7'!$B$28:$O$118,14,)/100))</f>
        <v/>
      </c>
      <c r="AC66" s="691">
        <f>IF('A1.3.12'!AC66="","",'A1.3.12'!AC66*(1+VLOOKUP($B66,'A1.3.7'!$B$28:$O$118,14,)/100))</f>
        <v>4.7402914466537549</v>
      </c>
      <c r="AD66" s="691" t="str">
        <f>IF('A1.3.12'!AD66="","",'A1.3.12'!AD66*(1+VLOOKUP($B66,'A1.3.7'!$B$28:$O$118,14,)/100))</f>
        <v/>
      </c>
      <c r="AE66" s="1664" t="str">
        <f>IF('A1.3.12'!AE66="","",'A1.3.12'!AE66*(1+VLOOKUP($B66,'A1.3.7'!$B$28:$O$118,14,)/100))</f>
        <v/>
      </c>
      <c r="AF66" s="693">
        <f>IF(AND(T66="",X66="",AB66=""),"",IF(T66="",0,T66 * VLOOKUP($B66,'A1.3.9'!$B$26:$O$57,6,TRUE)) + IF(X66="",0,X66 * VLOOKUP($B66,'A1.3.9'!$B$26:$O$57,7,TRUE)) + IF(AB66="",0,AB66 * VLOOKUP($B66,'A1.3.9'!$B$26:$O$57,8,TRUE)))</f>
        <v>47.243075904834875</v>
      </c>
      <c r="AG66" s="691">
        <f>IF(AND(U66="",Y66="",AC66=""),"",IF(U66="",0,U66 * VLOOKUP($B66,'A1.3.9'!$B$26:$O$57,6,TRUE)) + IF(Y66="",0,Y66 * VLOOKUP($B66,'A1.3.9'!$B$26:$O$57,7,TRUE)) + IF(AC66="",0,AC66 * VLOOKUP($B66,'A1.3.9'!$B$26:$O$57,8,TRUE)))</f>
        <v>12.137330201409325</v>
      </c>
      <c r="AH66" s="691">
        <f>IF(AND(V66="",Z66="",AD66=""),"",IF(V66="",0,V66 * VLOOKUP($B66,'A1.3.9'!$B$26:$O$57,6,TRUE)) + IF(Z66="",0,Z66 * VLOOKUP($B66,'A1.3.9'!$B$26:$O$57,7,TRUE)) + IF(AD66="",0,AD66 * VLOOKUP($B66,'A1.3.9'!$B$26:$O$57,8,TRUE)))</f>
        <v>-0.16778263855441697</v>
      </c>
      <c r="AI66" s="2644">
        <f>IF(AND(W66="",AA66="",AE66=""),"",IF(W66="",0,W66 * VLOOKUP($B66,'A1.3.9'!$B$26:$O$57,6,TRUE)) + IF(AA66="",0,AA66 * VLOOKUP($B66,'A1.3.9'!$B$26:$O$57,7,TRUE)) + IF(AE66="",0,AE66 * VLOOKUP($B66,'A1.3.9'!$B$26:$O$57,8,TRUE)))</f>
        <v>1.4164174987716751E-3</v>
      </c>
    </row>
    <row r="67" spans="1:35" ht="13.5" customHeight="1">
      <c r="A67" s="113"/>
      <c r="B67" s="614">
        <f t="shared" si="0"/>
        <v>2050</v>
      </c>
      <c r="C67" s="147"/>
      <c r="D67" s="693">
        <f>IF('A1.3.12'!D67="","",'A1.3.12'!D67*(1+VLOOKUP($B67,'A1.3.7'!$B$28:$O$118,12,)/100))</f>
        <v>42.048422407210545</v>
      </c>
      <c r="E67" s="691">
        <f>IF('A1.3.12'!E67="","",'A1.3.12'!E67*(1+VLOOKUP($B67,'A1.3.7'!$B$28:$O$118,12,)/100))</f>
        <v>8.9359718251324463</v>
      </c>
      <c r="F67" s="691">
        <f>IF('A1.3.12'!F67="","",'A1.3.12'!F67*(1+VLOOKUP($B67,'A1.3.7'!$B$28:$O$118,12,)/100))</f>
        <v>-0.10179131612939735</v>
      </c>
      <c r="G67" s="2644">
        <f>IF('A1.3.12'!G67="","",'A1.3.12'!G67*(1+VLOOKUP($B67,'A1.3.7'!$B$28:$O$118,12,)/100))</f>
        <v>6.741556964576619E-4</v>
      </c>
      <c r="H67" s="693">
        <f>IF('A1.3.12'!H67="","",'A1.3.12'!H67*(1+VLOOKUP($B67,'A1.3.7'!$B$28:$O$118,13,)/100))</f>
        <v>51.904782197190343</v>
      </c>
      <c r="I67" s="691">
        <f>IF('A1.3.12'!I67="","",'A1.3.12'!I67*(1+VLOOKUP($B67,'A1.3.7'!$B$28:$O$118,13,)/100))</f>
        <v>7.4418621632727184</v>
      </c>
      <c r="J67" s="691">
        <f>IF('A1.3.12'!J67="","",'A1.3.12'!J67*(1+VLOOKUP($B67,'A1.3.7'!$B$28:$O$118,13,)/100))</f>
        <v>-7.1592787169658112E-2</v>
      </c>
      <c r="K67" s="2644">
        <f>IF('A1.3.12'!K67="","",'A1.3.12'!K67*(1+VLOOKUP($B67,'A1.3.7'!$B$28:$O$118,13,)/100))</f>
        <v>5.6415475476063581E-4</v>
      </c>
      <c r="L67" s="693" t="str">
        <f>IF('A1.3.12'!L67="","",'A1.3.12'!L67*(1+VLOOKUP($B67,'A1.3.7'!$B$28:$O$118,14,)/100))</f>
        <v/>
      </c>
      <c r="M67" s="691">
        <f>IF('A1.3.12'!M67="","",'A1.3.12'!M67*(1+VLOOKUP($B67,'A1.3.7'!$B$28:$O$118,14,)/100))</f>
        <v>2.0619488699992319</v>
      </c>
      <c r="N67" s="691" t="str">
        <f>IF('A1.3.12'!N67="","",'A1.3.12'!N67*(1+VLOOKUP($B67,'A1.3.7'!$B$28:$O$118,14,)/100))</f>
        <v/>
      </c>
      <c r="O67" s="1664" t="str">
        <f>IF('A1.3.12'!O67="","",'A1.3.12'!O67*(1+VLOOKUP($B67,'A1.3.7'!$B$28:$O$118,14,)/100))</f>
        <v/>
      </c>
      <c r="P67" s="693">
        <f>IF(AND(D67="",H67="",L67=""),"",IF(D67="",0,D67 * VLOOKUP($B67,'A1.3.9'!$B$26:$O$57,3,TRUE)) + IF(H67="",0,H67 * VLOOKUP($B67,'A1.3.9'!$B$26:$O$57,4,TRUE)) + IF(L67="",0,L67 * VLOOKUP($B67,'A1.3.9'!$B$26:$O$57,5,TRUE)))</f>
        <v>34.89578855860249</v>
      </c>
      <c r="Q67" s="691">
        <f>IF(AND(E67="",I67="",M67=""),"",IF(E67="",0,E67 * VLOOKUP($B67,'A1.3.9'!$B$26:$O$57,3,TRUE)) + IF(I67="",0,I67 * VLOOKUP($B67,'A1.3.9'!$B$26:$O$57,4,TRUE)) + IF(M67="",0,M67 * VLOOKUP($B67,'A1.3.9'!$B$26:$O$57,5,TRUE)))</f>
        <v>6.8084249804502974</v>
      </c>
      <c r="R67" s="691">
        <f>IF(AND(F67="",J67="",N67=""),"",IF(F67="",0,F67 * VLOOKUP($B67,'A1.3.9'!$B$26:$O$57,3,TRUE)) + IF(J67="",0,J67 * VLOOKUP($B67,'A1.3.9'!$B$26:$O$57,4,TRUE)) + IF(N67="",0,N67 * VLOOKUP($B67,'A1.3.9'!$B$26:$O$57,5,TRUE)))</f>
        <v>-6.7795080237247271E-2</v>
      </c>
      <c r="S67" s="2644">
        <f>IF(AND(G67="",K67="",O67=""),"",IF(G67="",0,G67 * VLOOKUP($B67,'A1.3.9'!$B$26:$O$57,3,TRUE)) + IF(K67="",0,K67 * VLOOKUP($B67,'A1.3.9'!$B$26:$O$57,4,TRUE)) + IF(O67="",0,O67 * VLOOKUP($B67,'A1.3.9'!$B$26:$O$57,5,TRUE)))</f>
        <v>4.7677327724044192E-4</v>
      </c>
      <c r="T67" s="693">
        <f>IF('A1.3.12'!T67="","",'A1.3.12'!T67*(1+VLOOKUP($B67,'A1.3.7'!$B$28:$O$118,12,)/100))</f>
        <v>30.246820762082987</v>
      </c>
      <c r="U67" s="691">
        <f>IF('A1.3.12'!U67="","",'A1.3.12'!U67*(1+VLOOKUP($B67,'A1.3.7'!$B$28:$O$118,12,)/100))</f>
        <v>16.960666203400695</v>
      </c>
      <c r="V67" s="691">
        <f>IF('A1.3.12'!V67="","",'A1.3.12'!V67*(1+VLOOKUP($B67,'A1.3.7'!$B$28:$O$118,12,)/100))</f>
        <v>-0.26622678779484188</v>
      </c>
      <c r="W67" s="2644">
        <f>IF('A1.3.12'!W67="","",'A1.3.12'!W67*(1+VLOOKUP($B67,'A1.3.7'!$B$28:$O$118,12,)/100))</f>
        <v>1.7193025450974151E-3</v>
      </c>
      <c r="X67" s="693">
        <f>IF('A1.3.12'!X67="","",'A1.3.12'!X67*(1+VLOOKUP($B67,'A1.3.7'!$B$28:$O$118,13,)/100))</f>
        <v>53.456889994380134</v>
      </c>
      <c r="Y67" s="691">
        <f>IF('A1.3.12'!Y67="","",'A1.3.12'!Y67*(1+VLOOKUP($B67,'A1.3.7'!$B$28:$O$118,13,)/100))</f>
        <v>13.065081769186328</v>
      </c>
      <c r="Z67" s="691">
        <f>IF('A1.3.12'!Z67="","",'A1.3.12'!Z67*(1+VLOOKUP($B67,'A1.3.7'!$B$28:$O$118,13,)/100))</f>
        <v>-0.18848754956178274</v>
      </c>
      <c r="AA67" s="2644">
        <f>IF('A1.3.12'!AA67="","",'A1.3.12'!AA67*(1+VLOOKUP($B67,'A1.3.7'!$B$28:$O$118,13,)/100))</f>
        <v>1.5957421666129231E-3</v>
      </c>
      <c r="AB67" s="693" t="str">
        <f>IF('A1.3.12'!AB67="","",'A1.3.12'!AB67*(1+VLOOKUP($B67,'A1.3.7'!$B$28:$O$118,14,)/100))</f>
        <v/>
      </c>
      <c r="AC67" s="691">
        <f>IF('A1.3.12'!AC67="","",'A1.3.12'!AC67*(1+VLOOKUP($B67,'A1.3.7'!$B$28:$O$118,14,)/100))</f>
        <v>4.7402914466537549</v>
      </c>
      <c r="AD67" s="691" t="str">
        <f>IF('A1.3.12'!AD67="","",'A1.3.12'!AD67*(1+VLOOKUP($B67,'A1.3.7'!$B$28:$O$118,14,)/100))</f>
        <v/>
      </c>
      <c r="AE67" s="1664" t="str">
        <f>IF('A1.3.12'!AE67="","",'A1.3.12'!AE67*(1+VLOOKUP($B67,'A1.3.7'!$B$28:$O$118,14,)/100))</f>
        <v/>
      </c>
      <c r="AF67" s="693">
        <f>IF(AND(T67="",X67="",AB67=""),"",IF(T67="",0,T67 * VLOOKUP($B67,'A1.3.9'!$B$26:$O$57,6,TRUE)) + IF(X67="",0,X67 * VLOOKUP($B67,'A1.3.9'!$B$26:$O$57,7,TRUE)) + IF(AB67="",0,AB67 * VLOOKUP($B67,'A1.3.9'!$B$26:$O$57,8,TRUE)))</f>
        <v>47.431606274591608</v>
      </c>
      <c r="AG67" s="691">
        <f>IF(AND(U67="",Y67="",AC67=""),"",IF(U67="",0,U67 * VLOOKUP($B67,'A1.3.9'!$B$26:$O$57,6,TRUE)) + IF(Y67="",0,Y67 * VLOOKUP($B67,'A1.3.9'!$B$26:$O$57,7,TRUE)) + IF(AC67="",0,AC67 * VLOOKUP($B67,'A1.3.9'!$B$26:$O$57,8,TRUE)))</f>
        <v>12.183706672931905</v>
      </c>
      <c r="AH67" s="691">
        <f>IF(AND(V67="",Z67="",AD67=""),"",IF(V67="",0,V67 * VLOOKUP($B67,'A1.3.9'!$B$26:$O$57,6,TRUE)) + IF(Z67="",0,Z67 * VLOOKUP($B67,'A1.3.9'!$B$26:$O$57,7,TRUE)) + IF(AD67="",0,AD67 * VLOOKUP($B67,'A1.3.9'!$B$26:$O$57,8,TRUE)))</f>
        <v>-0.16845237623252063</v>
      </c>
      <c r="AI67" s="2644">
        <f>IF(AND(W67="",AA67="",AE67=""),"",IF(W67="",0,W67 * VLOOKUP($B67,'A1.3.9'!$B$26:$O$57,6,TRUE)) + IF(AA67="",0,AA67 * VLOOKUP($B67,'A1.3.9'!$B$26:$O$57,7,TRUE)) + IF(AE67="",0,AE67 * VLOOKUP($B67,'A1.3.9'!$B$26:$O$57,8,TRUE)))</f>
        <v>1.4220708226383542E-3</v>
      </c>
    </row>
    <row r="68" spans="1:35" ht="13.5" customHeight="1">
      <c r="A68" s="113"/>
      <c r="B68" s="614">
        <f t="shared" si="0"/>
        <v>2051</v>
      </c>
      <c r="C68" s="147"/>
      <c r="D68" s="693">
        <f>IF('A1.3.12'!D68="","",'A1.3.12'!D68*(1+VLOOKUP($B68,'A1.3.7'!$B$28:$O$118,12,)/100))</f>
        <v>42.222856217730502</v>
      </c>
      <c r="E68" s="691">
        <f>IF('A1.3.12'!E68="","",'A1.3.12'!E68*(1+VLOOKUP($B68,'A1.3.7'!$B$28:$O$118,12,)/100))</f>
        <v>8.973041839342768</v>
      </c>
      <c r="F68" s="691">
        <f>IF('A1.3.12'!F68="","",'A1.3.12'!F68*(1+VLOOKUP($B68,'A1.3.7'!$B$28:$O$118,12,)/100))</f>
        <v>-0.10221358755205238</v>
      </c>
      <c r="G68" s="2644">
        <f>IF('A1.3.12'!G68="","",'A1.3.12'!G68*(1+VLOOKUP($B68,'A1.3.7'!$B$28:$O$118,12,)/100))</f>
        <v>6.7695236611337484E-4</v>
      </c>
      <c r="H68" s="693">
        <f>IF('A1.3.12'!H68="","",'A1.3.12'!H68*(1+VLOOKUP($B68,'A1.3.7'!$B$28:$O$118,13,)/100))</f>
        <v>52.11246725461946</v>
      </c>
      <c r="I68" s="691">
        <f>IF('A1.3.12'!I68="","",'A1.3.12'!I68*(1+VLOOKUP($B68,'A1.3.7'!$B$28:$O$118,13,)/100))</f>
        <v>7.4716390644624227</v>
      </c>
      <c r="J68" s="691">
        <f>IF('A1.3.12'!J68="","",'A1.3.12'!J68*(1+VLOOKUP($B68,'A1.3.7'!$B$28:$O$118,13,)/100))</f>
        <v>-7.1879249254372266E-2</v>
      </c>
      <c r="K68" s="2644">
        <f>IF('A1.3.12'!K68="","",'A1.3.12'!K68*(1+VLOOKUP($B68,'A1.3.7'!$B$28:$O$118,13,)/100))</f>
        <v>5.6641209036020063E-4</v>
      </c>
      <c r="L68" s="693" t="str">
        <f>IF('A1.3.12'!L68="","",'A1.3.12'!L68*(1+VLOOKUP($B68,'A1.3.7'!$B$28:$O$118,14,)/100))</f>
        <v/>
      </c>
      <c r="M68" s="691">
        <f>IF('A1.3.12'!M68="","",'A1.3.12'!M68*(1+VLOOKUP($B68,'A1.3.7'!$B$28:$O$118,14,)/100))</f>
        <v>2.0619488699992319</v>
      </c>
      <c r="N68" s="691" t="str">
        <f>IF('A1.3.12'!N68="","",'A1.3.12'!N68*(1+VLOOKUP($B68,'A1.3.7'!$B$28:$O$118,14,)/100))</f>
        <v/>
      </c>
      <c r="O68" s="1664" t="str">
        <f>IF('A1.3.12'!O68="","",'A1.3.12'!O68*(1+VLOOKUP($B68,'A1.3.7'!$B$28:$O$118,14,)/100))</f>
        <v/>
      </c>
      <c r="P68" s="693">
        <f>IF(AND(D68="",H68="",L68=""),"",IF(D68="",0,D68 * VLOOKUP($B68,'A1.3.9'!$B$26:$O$57,3,TRUE)) + IF(H68="",0,H68 * VLOOKUP($B68,'A1.3.9'!$B$26:$O$57,4,TRUE)) + IF(L68="",0,L68 * VLOOKUP($B68,'A1.3.9'!$B$26:$O$57,5,TRUE)))</f>
        <v>35.038193825951353</v>
      </c>
      <c r="Q68" s="691">
        <f>IF(AND(E68="",I68="",M68=""),"",IF(E68="",0,E68 * VLOOKUP($B68,'A1.3.9'!$B$26:$O$57,3,TRUE)) + IF(I68="",0,I68 * VLOOKUP($B68,'A1.3.9'!$B$26:$O$57,4,TRUE)) + IF(M68="",0,M68 * VLOOKUP($B68,'A1.3.9'!$B$26:$O$57,5,TRUE)))</f>
        <v>6.8342574606326085</v>
      </c>
      <c r="R68" s="691">
        <f>IF(AND(F68="",J68="",N68=""),"",IF(F68="",0,F68 * VLOOKUP($B68,'A1.3.9'!$B$26:$O$57,3,TRUE)) + IF(J68="",0,J68 * VLOOKUP($B68,'A1.3.9'!$B$26:$O$57,4,TRUE)) + IF(N68="",0,N68 * VLOOKUP($B68,'A1.3.9'!$B$26:$O$57,5,TRUE)))</f>
        <v>-6.8073071174841931E-2</v>
      </c>
      <c r="S68" s="2644">
        <f>IF(AND(G68="",K68="",O68=""),"",IF(G68="",0,G68 * VLOOKUP($B68,'A1.3.9'!$B$26:$O$57,3,TRUE)) + IF(K68="",0,K68 * VLOOKUP($B68,'A1.3.9'!$B$26:$O$57,4,TRUE)) + IF(O68="",0,O68 * VLOOKUP($B68,'A1.3.9'!$B$26:$O$57,5,TRUE)))</f>
        <v>4.7872551179090831E-4</v>
      </c>
      <c r="T68" s="693">
        <f>IF('A1.3.12'!T68="","",'A1.3.12'!T68*(1+VLOOKUP($B68,'A1.3.7'!$B$28:$O$118,12,)/100))</f>
        <v>30.372296770446614</v>
      </c>
      <c r="U68" s="691">
        <f>IF('A1.3.12'!U68="","",'A1.3.12'!U68*(1+VLOOKUP($B68,'A1.3.7'!$B$28:$O$118,12,)/100))</f>
        <v>17.031025885534905</v>
      </c>
      <c r="V68" s="691">
        <f>IF('A1.3.12'!V68="","",'A1.3.12'!V68*(1+VLOOKUP($B68,'A1.3.7'!$B$28:$O$118,12,)/100))</f>
        <v>-0.26733120385611081</v>
      </c>
      <c r="W68" s="2644">
        <f>IF('A1.3.12'!W68="","",'A1.3.12'!W68*(1+VLOOKUP($B68,'A1.3.7'!$B$28:$O$118,12,)/100))</f>
        <v>1.7264349052957034E-3</v>
      </c>
      <c r="X68" s="693">
        <f>IF('A1.3.12'!X68="","",'A1.3.12'!X68*(1+VLOOKUP($B68,'A1.3.7'!$B$28:$O$118,13,)/100))</f>
        <v>53.670785454460997</v>
      </c>
      <c r="Y68" s="691">
        <f>IF('A1.3.12'!Y68="","",'A1.3.12'!Y68*(1+VLOOKUP($B68,'A1.3.7'!$B$28:$O$118,13,)/100))</f>
        <v>13.117358691325046</v>
      </c>
      <c r="Z68" s="691">
        <f>IF('A1.3.12'!Z68="","",'A1.3.12'!Z68*(1+VLOOKUP($B68,'A1.3.7'!$B$28:$O$118,13,)/100))</f>
        <v>-0.18924173917395939</v>
      </c>
      <c r="AA68" s="2644">
        <f>IF('A1.3.12'!AA68="","",'A1.3.12'!AA68*(1+VLOOKUP($B68,'A1.3.7'!$B$28:$O$118,13,)/100))</f>
        <v>1.60212716216605E-3</v>
      </c>
      <c r="AB68" s="693" t="str">
        <f>IF('A1.3.12'!AB68="","",'A1.3.12'!AB68*(1+VLOOKUP($B68,'A1.3.7'!$B$28:$O$118,14,)/100))</f>
        <v/>
      </c>
      <c r="AC68" s="691">
        <f>IF('A1.3.12'!AC68="","",'A1.3.12'!AC68*(1+VLOOKUP($B68,'A1.3.7'!$B$28:$O$118,14,)/100))</f>
        <v>4.7402914466537549</v>
      </c>
      <c r="AD68" s="691" t="str">
        <f>IF('A1.3.12'!AD68="","",'A1.3.12'!AD68*(1+VLOOKUP($B68,'A1.3.7'!$B$28:$O$118,14,)/100))</f>
        <v/>
      </c>
      <c r="AE68" s="1664" t="str">
        <f>IF('A1.3.12'!AE68="","",'A1.3.12'!AE68*(1+VLOOKUP($B68,'A1.3.7'!$B$28:$O$118,14,)/100))</f>
        <v/>
      </c>
      <c r="AF68" s="693">
        <f>IF(AND(T68="",X68="",AB68=""),"",IF(T68="",0,T68 * VLOOKUP($B68,'A1.3.9'!$B$26:$O$57,6,TRUE)) + IF(X68="",0,X68 * VLOOKUP($B68,'A1.3.9'!$B$26:$O$57,7,TRUE)) + IF(AB68="",0,AB68 * VLOOKUP($B68,'A1.3.9'!$B$26:$O$57,8,TRUE)))</f>
        <v>47.621426685979124</v>
      </c>
      <c r="AG68" s="691">
        <f>IF(AND(U68="",Y68="",AC68=""),"",IF(U68="",0,U68 * VLOOKUP($B68,'A1.3.9'!$B$26:$O$57,6,TRUE)) + IF(Y68="",0,Y68 * VLOOKUP($B68,'A1.3.9'!$B$26:$O$57,7,TRUE)) + IF(AC68="",0,AC68 * VLOOKUP($B68,'A1.3.9'!$B$26:$O$57,8,TRUE)))</f>
        <v>12.230400481014268</v>
      </c>
      <c r="AH68" s="691">
        <f>IF(AND(V68="",Z68="",AD68=""),"",IF(V68="",0,V68 * VLOOKUP($B68,'A1.3.9'!$B$26:$O$57,6,TRUE)) + IF(Z68="",0,Z68 * VLOOKUP($B68,'A1.3.9'!$B$26:$O$57,7,TRUE)) + IF(AD68="",0,AD68 * VLOOKUP($B68,'A1.3.9'!$B$26:$O$57,8,TRUE)))</f>
        <v>-0.16912669667088498</v>
      </c>
      <c r="AI68" s="2644">
        <f>IF(AND(W68="",AA68="",AE68=""),"",IF(W68="",0,W68 * VLOOKUP($B68,'A1.3.9'!$B$26:$O$57,6,TRUE)) + IF(AA68="",0,AA68 * VLOOKUP($B68,'A1.3.9'!$B$26:$O$57,7,TRUE)) + IF(AE68="",0,AE68 * VLOOKUP($B68,'A1.3.9'!$B$26:$O$57,8,TRUE)))</f>
        <v>1.4277628300505534E-3</v>
      </c>
    </row>
    <row r="69" spans="1:35" ht="13.5" customHeight="1">
      <c r="A69" s="113"/>
      <c r="B69" s="614">
        <f t="shared" si="0"/>
        <v>2052</v>
      </c>
      <c r="C69" s="147"/>
      <c r="D69" s="693">
        <f>IF('A1.3.12'!D69="","",'A1.3.12'!D69*(1+VLOOKUP($B69,'A1.3.7'!$B$28:$O$118,12,)/100))</f>
        <v>42.398483612486686</v>
      </c>
      <c r="E69" s="691">
        <f>IF('A1.3.12'!E69="","",'A1.3.12'!E69*(1+VLOOKUP($B69,'A1.3.7'!$B$28:$O$118,12,)/100))</f>
        <v>9.0103655095643056</v>
      </c>
      <c r="F69" s="691">
        <f>IF('A1.3.12'!F69="","",'A1.3.12'!F69*(1+VLOOKUP($B69,'A1.3.7'!$B$28:$O$118,12,)/100))</f>
        <v>-0.10263874841748223</v>
      </c>
      <c r="G69" s="2644">
        <f>IF('A1.3.12'!G69="","",'A1.3.12'!G69*(1+VLOOKUP($B69,'A1.3.7'!$B$28:$O$118,12,)/100))</f>
        <v>6.7976817231609691E-4</v>
      </c>
      <c r="H69" s="693">
        <f>IF('A1.3.12'!H69="","",'A1.3.12'!H69*(1+VLOOKUP($B69,'A1.3.7'!$B$28:$O$118,13,)/100))</f>
        <v>52.321573421923475</v>
      </c>
      <c r="I69" s="691">
        <f>IF('A1.3.12'!I69="","",'A1.3.12'!I69*(1+VLOOKUP($B69,'A1.3.7'!$B$28:$O$118,13,)/100))</f>
        <v>7.5016197176641803</v>
      </c>
      <c r="J69" s="691">
        <f>IF('A1.3.12'!J69="","",'A1.3.12'!J69*(1+VLOOKUP($B69,'A1.3.7'!$B$28:$O$118,13,)/100))</f>
        <v>-7.2167671490203741E-2</v>
      </c>
      <c r="K69" s="2644">
        <f>IF('A1.3.12'!K69="","",'A1.3.12'!K69*(1+VLOOKUP($B69,'A1.3.7'!$B$28:$O$118,13,)/100))</f>
        <v>5.686848720489121E-4</v>
      </c>
      <c r="L69" s="693" t="str">
        <f>IF('A1.3.12'!L69="","",'A1.3.12'!L69*(1+VLOOKUP($B69,'A1.3.7'!$B$28:$O$118,14,)/100))</f>
        <v/>
      </c>
      <c r="M69" s="691">
        <f>IF('A1.3.12'!M69="","",'A1.3.12'!M69*(1+VLOOKUP($B69,'A1.3.7'!$B$28:$O$118,14,)/100))</f>
        <v>2.0619488699992319</v>
      </c>
      <c r="N69" s="691" t="str">
        <f>IF('A1.3.12'!N69="","",'A1.3.12'!N69*(1+VLOOKUP($B69,'A1.3.7'!$B$28:$O$118,14,)/100))</f>
        <v/>
      </c>
      <c r="O69" s="1664" t="str">
        <f>IF('A1.3.12'!O69="","",'A1.3.12'!O69*(1+VLOOKUP($B69,'A1.3.7'!$B$28:$O$118,14,)/100))</f>
        <v/>
      </c>
      <c r="P69" s="693">
        <f>IF(AND(D69="",H69="",L69=""),"",IF(D69="",0,D69 * VLOOKUP($B69,'A1.3.9'!$B$26:$O$57,3,TRUE)) + IF(H69="",0,H69 * VLOOKUP($B69,'A1.3.9'!$B$26:$O$57,4,TRUE)) + IF(L69="",0,L69 * VLOOKUP($B69,'A1.3.9'!$B$26:$O$57,5,TRUE)))</f>
        <v>35.181573518394515</v>
      </c>
      <c r="Q69" s="691">
        <f>IF(AND(E69="",I69="",M69=""),"",IF(E69="",0,E69 * VLOOKUP($B69,'A1.3.9'!$B$26:$O$57,3,TRUE)) + IF(I69="",0,I69 * VLOOKUP($B69,'A1.3.9'!$B$26:$O$57,4,TRUE)) + IF(M69="",0,M69 * VLOOKUP($B69,'A1.3.9'!$B$26:$O$57,5,TRUE)))</f>
        <v>6.8602667026539006</v>
      </c>
      <c r="R69" s="691">
        <f>IF(AND(F69="",J69="",N69=""),"",IF(F69="",0,F69 * VLOOKUP($B69,'A1.3.9'!$B$26:$O$57,3,TRUE)) + IF(J69="",0,J69 * VLOOKUP($B69,'A1.3.9'!$B$26:$O$57,4,TRUE)) + IF(N69="",0,N69 * VLOOKUP($B69,'A1.3.9'!$B$26:$O$57,5,TRUE)))</f>
        <v>-6.8352964298715374E-2</v>
      </c>
      <c r="S69" s="2644">
        <f>IF(AND(G69="",K69="",O69=""),"",IF(G69="",0,G69 * VLOOKUP($B69,'A1.3.9'!$B$26:$O$57,3,TRUE)) + IF(K69="",0,K69 * VLOOKUP($B69,'A1.3.9'!$B$26:$O$57,4,TRUE)) + IF(O69="",0,O69 * VLOOKUP($B69,'A1.3.9'!$B$26:$O$57,5,TRUE)))</f>
        <v>4.8069110474005836E-4</v>
      </c>
      <c r="T69" s="693">
        <f>IF('A1.3.12'!T69="","",'A1.3.12'!T69*(1+VLOOKUP($B69,'A1.3.7'!$B$28:$O$118,12,)/100))</f>
        <v>30.49863136342271</v>
      </c>
      <c r="U69" s="691">
        <f>IF('A1.3.12'!U69="","",'A1.3.12'!U69*(1+VLOOKUP($B69,'A1.3.7'!$B$28:$O$118,12,)/100))</f>
        <v>17.101867012219405</v>
      </c>
      <c r="V69" s="691">
        <f>IF('A1.3.12'!V69="","",'A1.3.12'!V69*(1+VLOOKUP($B69,'A1.3.7'!$B$28:$O$118,12,)/100))</f>
        <v>-0.26844317701652831</v>
      </c>
      <c r="W69" s="2644">
        <f>IF('A1.3.12'!W69="","",'A1.3.12'!W69*(1+VLOOKUP($B69,'A1.3.7'!$B$28:$O$118,12,)/100))</f>
        <v>1.7336160695227199E-3</v>
      </c>
      <c r="X69" s="693">
        <f>IF('A1.3.12'!X69="","",'A1.3.12'!X69*(1+VLOOKUP($B69,'A1.3.7'!$B$28:$O$118,13,)/100))</f>
        <v>53.886144519840578</v>
      </c>
      <c r="Y69" s="691">
        <f>IF('A1.3.12'!Y69="","",'A1.3.12'!Y69*(1+VLOOKUP($B69,'A1.3.7'!$B$28:$O$118,13,)/100))</f>
        <v>13.169993324563446</v>
      </c>
      <c r="Z69" s="691">
        <f>IF('A1.3.12'!Z69="","",'A1.3.12'!Z69*(1+VLOOKUP($B69,'A1.3.7'!$B$28:$O$118,13,)/100))</f>
        <v>-0.19000108941886851</v>
      </c>
      <c r="AA69" s="2644">
        <f>IF('A1.3.12'!AA69="","",'A1.3.12'!AA69*(1+VLOOKUP($B69,'A1.3.7'!$B$28:$O$118,13,)/100))</f>
        <v>1.608555847815826E-3</v>
      </c>
      <c r="AB69" s="693" t="str">
        <f>IF('A1.3.12'!AB69="","",'A1.3.12'!AB69*(1+VLOOKUP($B69,'A1.3.7'!$B$28:$O$118,14,)/100))</f>
        <v/>
      </c>
      <c r="AC69" s="691">
        <f>IF('A1.3.12'!AC69="","",'A1.3.12'!AC69*(1+VLOOKUP($B69,'A1.3.7'!$B$28:$O$118,14,)/100))</f>
        <v>4.7402914466537549</v>
      </c>
      <c r="AD69" s="691" t="str">
        <f>IF('A1.3.12'!AD69="","",'A1.3.12'!AD69*(1+VLOOKUP($B69,'A1.3.7'!$B$28:$O$118,14,)/100))</f>
        <v/>
      </c>
      <c r="AE69" s="1664" t="str">
        <f>IF('A1.3.12'!AE69="","",'A1.3.12'!AE69*(1+VLOOKUP($B69,'A1.3.7'!$B$28:$O$118,14,)/100))</f>
        <v/>
      </c>
      <c r="AF69" s="693">
        <f>IF(AND(T69="",X69="",AB69=""),"",IF(T69="",0,T69 * VLOOKUP($B69,'A1.3.9'!$B$26:$O$57,6,TRUE)) + IF(X69="",0,X69 * VLOOKUP($B69,'A1.3.9'!$B$26:$O$57,7,TRUE)) + IF(AB69="",0,AB69 * VLOOKUP($B69,'A1.3.9'!$B$26:$O$57,8,TRUE)))</f>
        <v>47.812545966261787</v>
      </c>
      <c r="AG69" s="691">
        <f>IF(AND(U69="",Y69="",AC69=""),"",IF(U69="",0,U69 * VLOOKUP($B69,'A1.3.9'!$B$26:$O$57,6,TRUE)) + IF(Y69="",0,Y69 * VLOOKUP($B69,'A1.3.9'!$B$26:$O$57,7,TRUE)) + IF(AC69="",0,AC69 * VLOOKUP($B69,'A1.3.9'!$B$26:$O$57,8,TRUE)))</f>
        <v>12.277413797069826</v>
      </c>
      <c r="AH69" s="691">
        <f>IF(AND(V69="",Z69="",AD69=""),"",IF(V69="",0,V69 * VLOOKUP($B69,'A1.3.9'!$B$26:$O$57,6,TRUE)) + IF(Z69="",0,Z69 * VLOOKUP($B69,'A1.3.9'!$B$26:$O$57,7,TRUE)) + IF(AD69="",0,AD69 * VLOOKUP($B69,'A1.3.9'!$B$26:$O$57,8,TRUE)))</f>
        <v>-0.16980563122759598</v>
      </c>
      <c r="AI69" s="2644">
        <f>IF(AND(W69="",AA69="",AE69=""),"",IF(W69="",0,W69 * VLOOKUP($B69,'A1.3.9'!$B$26:$O$57,6,TRUE)) + IF(AA69="",0,AA69 * VLOOKUP($B69,'A1.3.9'!$B$26:$O$57,7,TRUE)) + IF(AE69="",0,AE69 * VLOOKUP($B69,'A1.3.9'!$B$26:$O$57,8,TRUE)))</f>
        <v>1.4334937857050653E-3</v>
      </c>
    </row>
    <row r="70" spans="1:35" ht="13.5" customHeight="1">
      <c r="A70" s="113"/>
      <c r="B70" s="614">
        <f t="shared" si="0"/>
        <v>2053</v>
      </c>
      <c r="C70" s="147"/>
      <c r="D70" s="693">
        <f>IF('A1.3.12'!D70="","",'A1.3.12'!D70*(1+VLOOKUP($B70,'A1.3.7'!$B$28:$O$118,12,)/100))</f>
        <v>42.575312758722127</v>
      </c>
      <c r="E70" s="691">
        <f>IF('A1.3.12'!E70="","",'A1.3.12'!E70*(1+VLOOKUP($B70,'A1.3.7'!$B$28:$O$118,12,)/100))</f>
        <v>9.0479445714686868</v>
      </c>
      <c r="F70" s="691">
        <f>IF('A1.3.12'!F70="","",'A1.3.12'!F70*(1+VLOOKUP($B70,'A1.3.7'!$B$28:$O$118,12,)/100))</f>
        <v>-0.10306681849704497</v>
      </c>
      <c r="G70" s="2644">
        <f>IF('A1.3.12'!G70="","",'A1.3.12'!G70*(1+VLOOKUP($B70,'A1.3.7'!$B$28:$O$118,12,)/100))</f>
        <v>6.8260324600994185E-4</v>
      </c>
      <c r="H70" s="693">
        <f>IF('A1.3.12'!H70="","",'A1.3.12'!H70*(1+VLOOKUP($B70,'A1.3.7'!$B$28:$O$118,13,)/100))</f>
        <v>52.532110423216849</v>
      </c>
      <c r="I70" s="691">
        <f>IF('A1.3.12'!I70="","",'A1.3.12'!I70*(1+VLOOKUP($B70,'A1.3.7'!$B$28:$O$118,13,)/100))</f>
        <v>7.5318055170755276</v>
      </c>
      <c r="J70" s="691">
        <f>IF('A1.3.12'!J70="","",'A1.3.12'!J70*(1+VLOOKUP($B70,'A1.3.7'!$B$28:$O$118,13,)/100))</f>
        <v>-7.2458067289721234E-2</v>
      </c>
      <c r="K70" s="2644">
        <f>IF('A1.3.12'!K70="","",'A1.3.12'!K70*(1+VLOOKUP($B70,'A1.3.7'!$B$28:$O$118,13,)/100))</f>
        <v>5.7097320551848462E-4</v>
      </c>
      <c r="L70" s="693" t="str">
        <f>IF('A1.3.12'!L70="","",'A1.3.12'!L70*(1+VLOOKUP($B70,'A1.3.7'!$B$28:$O$118,14,)/100))</f>
        <v/>
      </c>
      <c r="M70" s="691">
        <f>IF('A1.3.12'!M70="","",'A1.3.12'!M70*(1+VLOOKUP($B70,'A1.3.7'!$B$28:$O$118,14,)/100))</f>
        <v>2.0619488699992319</v>
      </c>
      <c r="N70" s="691" t="str">
        <f>IF('A1.3.12'!N70="","",'A1.3.12'!N70*(1+VLOOKUP($B70,'A1.3.7'!$B$28:$O$118,14,)/100))</f>
        <v/>
      </c>
      <c r="O70" s="1664" t="str">
        <f>IF('A1.3.12'!O70="","",'A1.3.12'!O70*(1+VLOOKUP($B70,'A1.3.7'!$B$28:$O$118,14,)/100))</f>
        <v/>
      </c>
      <c r="P70" s="693">
        <f>IF(AND(D70="",H70="",L70=""),"",IF(D70="",0,D70 * VLOOKUP($B70,'A1.3.9'!$B$26:$O$57,3,TRUE)) + IF(H70="",0,H70 * VLOOKUP($B70,'A1.3.9'!$B$26:$O$57,4,TRUE)) + IF(L70="",0,L70 * VLOOKUP($B70,'A1.3.9'!$B$26:$O$57,5,TRUE)))</f>
        <v>35.325934303552323</v>
      </c>
      <c r="Q70" s="691">
        <f>IF(AND(E70="",I70="",M70=""),"",IF(E70="",0,E70 * VLOOKUP($B70,'A1.3.9'!$B$26:$O$57,3,TRUE)) + IF(I70="",0,I70 * VLOOKUP($B70,'A1.3.9'!$B$26:$O$57,4,TRUE)) + IF(M70="",0,M70 * VLOOKUP($B70,'A1.3.9'!$B$26:$O$57,5,TRUE)))</f>
        <v>6.8864539160282217</v>
      </c>
      <c r="R70" s="691">
        <f>IF(AND(F70="",J70="",N70=""),"",IF(F70="",0,F70 * VLOOKUP($B70,'A1.3.9'!$B$26:$O$57,3,TRUE)) + IF(J70="",0,J70 * VLOOKUP($B70,'A1.3.9'!$B$26:$O$57,4,TRUE)) + IF(N70="",0,N70 * VLOOKUP($B70,'A1.3.9'!$B$26:$O$57,5,TRUE)))</f>
        <v>-6.8634772624804913E-2</v>
      </c>
      <c r="S70" s="2644">
        <f>IF(AND(G70="",K70="",O70=""),"",IF(G70="",0,G70 * VLOOKUP($B70,'A1.3.9'!$B$26:$O$57,3,TRUE)) + IF(K70="",0,K70 * VLOOKUP($B70,'A1.3.9'!$B$26:$O$57,4,TRUE)) + IF(O70="",0,O70 * VLOOKUP($B70,'A1.3.9'!$B$26:$O$57,5,TRUE)))</f>
        <v>4.8267014749433438E-4</v>
      </c>
      <c r="T70" s="693">
        <f>IF('A1.3.12'!T70="","",'A1.3.12'!T70*(1+VLOOKUP($B70,'A1.3.7'!$B$28:$O$118,12,)/100))</f>
        <v>30.625830415979276</v>
      </c>
      <c r="U70" s="691">
        <f>IF('A1.3.12'!U70="","",'A1.3.12'!U70*(1+VLOOKUP($B70,'A1.3.7'!$B$28:$O$118,12,)/100))</f>
        <v>17.173192877796165</v>
      </c>
      <c r="V70" s="691">
        <f>IF('A1.3.12'!V70="","",'A1.3.12'!V70*(1+VLOOKUP($B70,'A1.3.7'!$B$28:$O$118,12,)/100))</f>
        <v>-0.26956275898644999</v>
      </c>
      <c r="W70" s="2644">
        <f>IF('A1.3.12'!W70="","",'A1.3.12'!W70*(1+VLOOKUP($B70,'A1.3.7'!$B$28:$O$118,12,)/100))</f>
        <v>1.7408463717258737E-3</v>
      </c>
      <c r="X70" s="693">
        <f>IF('A1.3.12'!X70="","",'A1.3.12'!X70*(1+VLOOKUP($B70,'A1.3.7'!$B$28:$O$118,13,)/100))</f>
        <v>54.102977205413346</v>
      </c>
      <c r="Y70" s="691">
        <f>IF('A1.3.12'!Y70="","",'A1.3.12'!Y70*(1+VLOOKUP($B70,'A1.3.7'!$B$28:$O$118,13,)/100))</f>
        <v>13.222988116582554</v>
      </c>
      <c r="Z70" s="691">
        <f>IF('A1.3.12'!Z70="","",'A1.3.12'!Z70*(1+VLOOKUP($B70,'A1.3.7'!$B$28:$O$118,13,)/100))</f>
        <v>-0.19076563560875737</v>
      </c>
      <c r="AA70" s="2644">
        <f>IF('A1.3.12'!AA70="","",'A1.3.12'!AA70*(1+VLOOKUP($B70,'A1.3.7'!$B$28:$O$118,13,)/100))</f>
        <v>1.6150285225169686E-3</v>
      </c>
      <c r="AB70" s="693" t="str">
        <f>IF('A1.3.12'!AB70="","",'A1.3.12'!AB70*(1+VLOOKUP($B70,'A1.3.7'!$B$28:$O$118,14,)/100))</f>
        <v/>
      </c>
      <c r="AC70" s="691">
        <f>IF('A1.3.12'!AC70="","",'A1.3.12'!AC70*(1+VLOOKUP($B70,'A1.3.7'!$B$28:$O$118,14,)/100))</f>
        <v>4.7402914466537549</v>
      </c>
      <c r="AD70" s="691" t="str">
        <f>IF('A1.3.12'!AD70="","",'A1.3.12'!AD70*(1+VLOOKUP($B70,'A1.3.7'!$B$28:$O$118,14,)/100))</f>
        <v/>
      </c>
      <c r="AE70" s="1664" t="str">
        <f>IF('A1.3.12'!AE70="","",'A1.3.12'!AE70*(1+VLOOKUP($B70,'A1.3.7'!$B$28:$O$118,14,)/100))</f>
        <v/>
      </c>
      <c r="AF70" s="693">
        <f>IF(AND(T70="",X70="",AB70=""),"",IF(T70="",0,T70 * VLOOKUP($B70,'A1.3.9'!$B$26:$O$57,6,TRUE)) + IF(X70="",0,X70 * VLOOKUP($B70,'A1.3.9'!$B$26:$O$57,7,TRUE)) + IF(AB70="",0,AB70 * VLOOKUP($B70,'A1.3.9'!$B$26:$O$57,8,TRUE)))</f>
        <v>48.004973003105491</v>
      </c>
      <c r="AG70" s="691">
        <f>IF(AND(U70="",Y70="",AC70=""),"",IF(U70="",0,U70 * VLOOKUP($B70,'A1.3.9'!$B$26:$O$57,6,TRUE)) + IF(Y70="",0,Y70 * VLOOKUP($B70,'A1.3.9'!$B$26:$O$57,7,TRUE)) + IF(AC70="",0,AC70 * VLOOKUP($B70,'A1.3.9'!$B$26:$O$57,8,TRUE)))</f>
        <v>12.324748807370142</v>
      </c>
      <c r="AH70" s="691">
        <f>IF(AND(V70="",Z70="",AD70=""),"",IF(V70="",0,V70 * VLOOKUP($B70,'A1.3.9'!$B$26:$O$57,6,TRUE)) + IF(Z70="",0,Z70 * VLOOKUP($B70,'A1.3.9'!$B$26:$O$57,7,TRUE)) + IF(AD70="",0,AD70 * VLOOKUP($B70,'A1.3.9'!$B$26:$O$57,8,TRUE)))</f>
        <v>-0.17048921147531079</v>
      </c>
      <c r="AI70" s="2644">
        <f>IF(AND(W70="",AA70="",AE70=""),"",IF(W70="",0,W70 * VLOOKUP($B70,'A1.3.9'!$B$26:$O$57,6,TRUE)) + IF(AA70="",0,AA70 * VLOOKUP($B70,'A1.3.9'!$B$26:$O$57,7,TRUE)) + IF(AE70="",0,AE70 * VLOOKUP($B70,'A1.3.9'!$B$26:$O$57,8,TRUE)))</f>
        <v>1.4392639561099005E-3</v>
      </c>
    </row>
    <row r="71" spans="1:35" ht="13.5" customHeight="1">
      <c r="A71" s="113"/>
      <c r="B71" s="614">
        <f t="shared" si="0"/>
        <v>2054</v>
      </c>
      <c r="C71" s="147"/>
      <c r="D71" s="693">
        <f>IF('A1.3.12'!D71="","",'A1.3.12'!D71*(1+VLOOKUP($B71,'A1.3.7'!$B$28:$O$118,12,)/100))</f>
        <v>42.753351879565244</v>
      </c>
      <c r="E71" s="691">
        <f>IF('A1.3.12'!E71="","",'A1.3.12'!E71*(1+VLOOKUP($B71,'A1.3.7'!$B$28:$O$118,12,)/100))</f>
        <v>9.0857807726040853</v>
      </c>
      <c r="F71" s="691">
        <f>IF('A1.3.12'!F71="","",'A1.3.12'!F71*(1+VLOOKUP($B71,'A1.3.7'!$B$28:$O$118,12,)/100))</f>
        <v>-0.10349781769738675</v>
      </c>
      <c r="G71" s="2644">
        <f>IF('A1.3.12'!G71="","",'A1.3.12'!G71*(1+VLOOKUP($B71,'A1.3.7'!$B$28:$O$118,12,)/100))</f>
        <v>6.8545771903502542E-4</v>
      </c>
      <c r="H71" s="693">
        <f>IF('A1.3.12'!H71="","",'A1.3.12'!H71*(1+VLOOKUP($B71,'A1.3.7'!$B$28:$O$118,13,)/100))</f>
        <v>52.744088049152502</v>
      </c>
      <c r="I71" s="691">
        <f>IF('A1.3.12'!I71="","",'A1.3.12'!I71*(1+VLOOKUP($B71,'A1.3.7'!$B$28:$O$118,13,)/100))</f>
        <v>7.5621978664339711</v>
      </c>
      <c r="J71" s="691">
        <f>IF('A1.3.12'!J71="","",'A1.3.12'!J71*(1+VLOOKUP($B71,'A1.3.7'!$B$28:$O$118,13,)/100))</f>
        <v>-7.2750450157270621E-2</v>
      </c>
      <c r="K71" s="2644">
        <f>IF('A1.3.12'!K71="","",'A1.3.12'!K71*(1+VLOOKUP($B71,'A1.3.7'!$B$28:$O$118,13,)/100))</f>
        <v>5.7327719718384105E-4</v>
      </c>
      <c r="L71" s="693" t="str">
        <f>IF('A1.3.12'!L71="","",'A1.3.12'!L71*(1+VLOOKUP($B71,'A1.3.7'!$B$28:$O$118,14,)/100))</f>
        <v/>
      </c>
      <c r="M71" s="691">
        <f>IF('A1.3.12'!M71="","",'A1.3.12'!M71*(1+VLOOKUP($B71,'A1.3.7'!$B$28:$O$118,14,)/100))</f>
        <v>2.0619488699992319</v>
      </c>
      <c r="N71" s="691" t="str">
        <f>IF('A1.3.12'!N71="","",'A1.3.12'!N71*(1+VLOOKUP($B71,'A1.3.7'!$B$28:$O$118,14,)/100))</f>
        <v/>
      </c>
      <c r="O71" s="1664" t="str">
        <f>IF('A1.3.12'!O71="","",'A1.3.12'!O71*(1+VLOOKUP($B71,'A1.3.7'!$B$28:$O$118,14,)/100))</f>
        <v/>
      </c>
      <c r="P71" s="693">
        <f>IF(AND(D71="",H71="",L71=""),"",IF(D71="",0,D71 * VLOOKUP($B71,'A1.3.9'!$B$26:$O$57,3,TRUE)) + IF(H71="",0,H71 * VLOOKUP($B71,'A1.3.9'!$B$26:$O$57,4,TRUE)) + IF(L71="",0,L71 * VLOOKUP($B71,'A1.3.9'!$B$26:$O$57,5,TRUE)))</f>
        <v>35.47128289466918</v>
      </c>
      <c r="Q71" s="691">
        <f>IF(AND(E71="",I71="",M71=""),"",IF(E71="",0,E71 * VLOOKUP($B71,'A1.3.9'!$B$26:$O$57,3,TRUE)) + IF(I71="",0,I71 * VLOOKUP($B71,'A1.3.9'!$B$26:$O$57,4,TRUE)) + IF(M71="",0,M71 * VLOOKUP($B71,'A1.3.9'!$B$26:$O$57,5,TRUE)))</f>
        <v>6.9128203185458652</v>
      </c>
      <c r="R71" s="691">
        <f>IF(AND(F71="",J71="",N71=""),"",IF(F71="",0,F71 * VLOOKUP($B71,'A1.3.9'!$B$26:$O$57,3,TRUE)) + IF(J71="",0,J71 * VLOOKUP($B71,'A1.3.9'!$B$26:$O$57,4,TRUE)) + IF(N71="",0,N71 * VLOOKUP($B71,'A1.3.9'!$B$26:$O$57,5,TRUE)))</f>
        <v>-6.8918509258111105E-2</v>
      </c>
      <c r="S71" s="2644">
        <f>IF(AND(G71="",K71="",O71=""),"",IF(G71="",0,G71 * VLOOKUP($B71,'A1.3.9'!$B$26:$O$57,3,TRUE)) + IF(K71="",0,K71 * VLOOKUP($B71,'A1.3.9'!$B$26:$O$57,4,TRUE)) + IF(O71="",0,O71 * VLOOKUP($B71,'A1.3.9'!$B$26:$O$57,5,TRUE)))</f>
        <v>4.8466273208563876E-4</v>
      </c>
      <c r="T71" s="693">
        <f>IF('A1.3.12'!T71="","",'A1.3.12'!T71*(1+VLOOKUP($B71,'A1.3.7'!$B$28:$O$118,12,)/100))</f>
        <v>30.753899843284518</v>
      </c>
      <c r="U71" s="691">
        <f>IF('A1.3.12'!U71="","",'A1.3.12'!U71*(1+VLOOKUP($B71,'A1.3.7'!$B$28:$O$118,12,)/100))</f>
        <v>17.245006799149113</v>
      </c>
      <c r="V71" s="691">
        <f>IF('A1.3.12'!V71="","",'A1.3.12'!V71*(1+VLOOKUP($B71,'A1.3.7'!$B$28:$O$118,12,)/100))</f>
        <v>-0.2706900018300662</v>
      </c>
      <c r="W71" s="2644">
        <f>IF('A1.3.12'!W71="","",'A1.3.12'!W71*(1+VLOOKUP($B71,'A1.3.7'!$B$28:$O$118,12,)/100))</f>
        <v>1.7481261481376513E-3</v>
      </c>
      <c r="X71" s="693">
        <f>IF('A1.3.12'!X71="","",'A1.3.12'!X71*(1+VLOOKUP($B71,'A1.3.7'!$B$28:$O$118,13,)/100))</f>
        <v>54.321293594601954</v>
      </c>
      <c r="Y71" s="691">
        <f>IF('A1.3.12'!Y71="","",'A1.3.12'!Y71*(1+VLOOKUP($B71,'A1.3.7'!$B$28:$O$118,13,)/100))</f>
        <v>13.276345531811959</v>
      </c>
      <c r="Z71" s="691">
        <f>IF('A1.3.12'!Z71="","",'A1.3.12'!Z71*(1+VLOOKUP($B71,'A1.3.7'!$B$28:$O$118,13,)/100))</f>
        <v>-0.19153541329750176</v>
      </c>
      <c r="AA71" s="2644">
        <f>IF('A1.3.12'!AA71="","",'A1.3.12'!AA71*(1+VLOOKUP($B71,'A1.3.7'!$B$28:$O$118,13,)/100))</f>
        <v>1.62154548726983E-3</v>
      </c>
      <c r="AB71" s="693" t="str">
        <f>IF('A1.3.12'!AB71="","",'A1.3.12'!AB71*(1+VLOOKUP($B71,'A1.3.7'!$B$28:$O$118,14,)/100))</f>
        <v/>
      </c>
      <c r="AC71" s="691">
        <f>IF('A1.3.12'!AC71="","",'A1.3.12'!AC71*(1+VLOOKUP($B71,'A1.3.7'!$B$28:$O$118,14,)/100))</f>
        <v>4.7402914466537549</v>
      </c>
      <c r="AD71" s="691" t="str">
        <f>IF('A1.3.12'!AD71="","",'A1.3.12'!AD71*(1+VLOOKUP($B71,'A1.3.7'!$B$28:$O$118,14,)/100))</f>
        <v/>
      </c>
      <c r="AE71" s="1664" t="str">
        <f>IF('A1.3.12'!AE71="","",'A1.3.12'!AE71*(1+VLOOKUP($B71,'A1.3.7'!$B$28:$O$118,14,)/100))</f>
        <v/>
      </c>
      <c r="AF71" s="693">
        <f>IF(AND(T71="",X71="",AB71=""),"",IF(T71="",0,T71 * VLOOKUP($B71,'A1.3.9'!$B$26:$O$57,6,TRUE)) + IF(X71="",0,X71 * VLOOKUP($B71,'A1.3.9'!$B$26:$O$57,7,TRUE)) + IF(AB71="",0,AB71 * VLOOKUP($B71,'A1.3.9'!$B$26:$O$57,8,TRUE)))</f>
        <v>48.198716744991145</v>
      </c>
      <c r="AG71" s="691">
        <f>IF(AND(U71="",Y71="",AC71=""),"",IF(U71="",0,U71 * VLOOKUP($B71,'A1.3.9'!$B$26:$O$57,6,TRUE)) + IF(Y71="",0,Y71 * VLOOKUP($B71,'A1.3.9'!$B$26:$O$57,7,TRUE)) + IF(AC71="",0,AC71 * VLOOKUP($B71,'A1.3.9'!$B$26:$O$57,8,TRUE)))</f>
        <v>12.372407713146607</v>
      </c>
      <c r="AH71" s="691">
        <f>IF(AND(V71="",Z71="",AD71=""),"",IF(V71="",0,V71 * VLOOKUP($B71,'A1.3.9'!$B$26:$O$57,6,TRUE)) + IF(Z71="",0,Z71 * VLOOKUP($B71,'A1.3.9'!$B$26:$O$57,7,TRUE)) + IF(AD71="",0,AD71 * VLOOKUP($B71,'A1.3.9'!$B$26:$O$57,8,TRUE)))</f>
        <v>-0.1711774692027265</v>
      </c>
      <c r="AI71" s="2644">
        <f>IF(AND(W71="",AA71="",AE71=""),"",IF(W71="",0,W71 * VLOOKUP($B71,'A1.3.9'!$B$26:$O$57,6,TRUE)) + IF(AA71="",0,AA71 * VLOOKUP($B71,'A1.3.9'!$B$26:$O$57,7,TRUE)) + IF(AE71="",0,AE71 * VLOOKUP($B71,'A1.3.9'!$B$26:$O$57,8,TRUE)))</f>
        <v>1.445073609596685E-3</v>
      </c>
    </row>
    <row r="72" spans="1:35" ht="13.5" customHeight="1">
      <c r="A72" s="113"/>
      <c r="B72" s="614">
        <f t="shared" si="0"/>
        <v>2055</v>
      </c>
      <c r="C72" s="147"/>
      <c r="D72" s="693">
        <f>IF('A1.3.12'!D72="","",'A1.3.12'!D72*(1+VLOOKUP($B72,'A1.3.7'!$B$28:$O$118,12,)/100))</f>
        <v>42.932609254412171</v>
      </c>
      <c r="E72" s="691">
        <f>IF('A1.3.12'!E72="","",'A1.3.12'!E72*(1+VLOOKUP($B72,'A1.3.7'!$B$28:$O$118,12,)/100))</f>
        <v>9.1238758724764821</v>
      </c>
      <c r="F72" s="691">
        <f>IF('A1.3.12'!F72="","",'A1.3.12'!F72*(1+VLOOKUP($B72,'A1.3.7'!$B$28:$O$118,12,)/100))</f>
        <v>-0.10393176606136725</v>
      </c>
      <c r="G72" s="2644">
        <f>IF('A1.3.12'!G72="","",'A1.3.12'!G72*(1+VLOOKUP($B72,'A1.3.7'!$B$28:$O$118,12,)/100))</f>
        <v>6.8833172413359448E-4</v>
      </c>
      <c r="H72" s="693">
        <f>IF('A1.3.12'!H72="","",'A1.3.12'!H72*(1+VLOOKUP($B72,'A1.3.7'!$B$28:$O$118,13,)/100))</f>
        <v>52.957516157377064</v>
      </c>
      <c r="I72" s="691">
        <f>IF('A1.3.12'!I72="","",'A1.3.12'!I72*(1+VLOOKUP($B72,'A1.3.7'!$B$28:$O$118,13,)/100))</f>
        <v>7.5927981790822567</v>
      </c>
      <c r="J72" s="691">
        <f>IF('A1.3.12'!J72="","",'A1.3.12'!J72*(1+VLOOKUP($B72,'A1.3.7'!$B$28:$O$118,13,)/100))</f>
        <v>-7.3044833689602837E-2</v>
      </c>
      <c r="K72" s="2644">
        <f>IF('A1.3.12'!K72="","",'A1.3.12'!K72*(1+VLOOKUP($B72,'A1.3.7'!$B$28:$O$118,13,)/100))</f>
        <v>5.755969541880613E-4</v>
      </c>
      <c r="L72" s="693" t="str">
        <f>IF('A1.3.12'!L72="","",'A1.3.12'!L72*(1+VLOOKUP($B72,'A1.3.7'!$B$28:$O$118,14,)/100))</f>
        <v/>
      </c>
      <c r="M72" s="691">
        <f>IF('A1.3.12'!M72="","",'A1.3.12'!M72*(1+VLOOKUP($B72,'A1.3.7'!$B$28:$O$118,14,)/100))</f>
        <v>2.0619488699992319</v>
      </c>
      <c r="N72" s="691" t="str">
        <f>IF('A1.3.12'!N72="","",'A1.3.12'!N72*(1+VLOOKUP($B72,'A1.3.7'!$B$28:$O$118,14,)/100))</f>
        <v/>
      </c>
      <c r="O72" s="1664" t="str">
        <f>IF('A1.3.12'!O72="","",'A1.3.12'!O72*(1+VLOOKUP($B72,'A1.3.7'!$B$28:$O$118,14,)/100))</f>
        <v/>
      </c>
      <c r="P72" s="693">
        <f>IF(AND(D72="",H72="",L72=""),"",IF(D72="",0,D72 * VLOOKUP($B72,'A1.3.9'!$B$26:$O$57,3,TRUE)) + IF(H72="",0,H72 * VLOOKUP($B72,'A1.3.9'!$B$26:$O$57,4,TRUE)) + IF(L72="",0,L72 * VLOOKUP($B72,'A1.3.9'!$B$26:$O$57,5,TRUE)))</f>
        <v>35.617626050925644</v>
      </c>
      <c r="Q72" s="691">
        <f>IF(AND(E72="",I72="",M72=""),"",IF(E72="",0,E72 * VLOOKUP($B72,'A1.3.9'!$B$26:$O$57,3,TRUE)) + IF(I72="",0,I72 * VLOOKUP($B72,'A1.3.9'!$B$26:$O$57,4,TRUE)) + IF(M72="",0,M72 * VLOOKUP($B72,'A1.3.9'!$B$26:$O$57,5,TRUE)))</f>
        <v>6.9393671363300058</v>
      </c>
      <c r="R72" s="691">
        <f>IF(AND(F72="",J72="",N72=""),"",IF(F72="",0,F72 * VLOOKUP($B72,'A1.3.9'!$B$26:$O$57,3,TRUE)) + IF(J72="",0,J72 * VLOOKUP($B72,'A1.3.9'!$B$26:$O$57,4,TRUE)) + IF(N72="",0,N72 * VLOOKUP($B72,'A1.3.9'!$B$26:$O$57,5,TRUE)))</f>
        <v>-6.9204187393306985E-2</v>
      </c>
      <c r="S72" s="2644">
        <f>IF(AND(G72="",K72="",O72=""),"",IF(G72="",0,G72 * VLOOKUP($B72,'A1.3.9'!$B$26:$O$57,3,TRUE)) + IF(K72="",0,K72 * VLOOKUP($B72,'A1.3.9'!$B$26:$O$57,4,TRUE)) + IF(O72="",0,O72 * VLOOKUP($B72,'A1.3.9'!$B$26:$O$57,5,TRUE)))</f>
        <v>4.8666895117561299E-4</v>
      </c>
      <c r="T72" s="693">
        <f>IF('A1.3.12'!T72="","",'A1.3.12'!T72*(1+VLOOKUP($B72,'A1.3.7'!$B$28:$O$118,12,)/100))</f>
        <v>30.882845600981888</v>
      </c>
      <c r="U72" s="691">
        <f>IF('A1.3.12'!U72="","",'A1.3.12'!U72*(1+VLOOKUP($B72,'A1.3.7'!$B$28:$O$118,12,)/100))</f>
        <v>17.317312115858339</v>
      </c>
      <c r="V72" s="691">
        <f>IF('A1.3.12'!V72="","",'A1.3.12'!V72*(1+VLOOKUP($B72,'A1.3.7'!$B$28:$O$118,12,)/100))</f>
        <v>-0.27182495796782258</v>
      </c>
      <c r="W72" s="2644">
        <f>IF('A1.3.12'!W72="","",'A1.3.12'!W72*(1+VLOOKUP($B72,'A1.3.7'!$B$28:$O$118,12,)/100))</f>
        <v>1.7554557372912495E-3</v>
      </c>
      <c r="X72" s="693">
        <f>IF('A1.3.12'!X72="","",'A1.3.12'!X72*(1+VLOOKUP($B72,'A1.3.7'!$B$28:$O$118,13,)/100))</f>
        <v>54.541103839826086</v>
      </c>
      <c r="Y72" s="691">
        <f>IF('A1.3.12'!Y72="","",'A1.3.12'!Y72*(1+VLOOKUP($B72,'A1.3.7'!$B$28:$O$118,13,)/100))</f>
        <v>13.3300680515444</v>
      </c>
      <c r="Z72" s="691">
        <f>IF('A1.3.12'!Z72="","",'A1.3.12'!Z72*(1+VLOOKUP($B72,'A1.3.7'!$B$28:$O$118,13,)/100))</f>
        <v>-0.19231045828225915</v>
      </c>
      <c r="AA72" s="2644">
        <f>IF('A1.3.12'!AA72="","",'A1.3.12'!AA72*(1+VLOOKUP($B72,'A1.3.7'!$B$28:$O$118,13,)/100))</f>
        <v>1.6281070451343918E-3</v>
      </c>
      <c r="AB72" s="693" t="str">
        <f>IF('A1.3.12'!AB72="","",'A1.3.12'!AB72*(1+VLOOKUP($B72,'A1.3.7'!$B$28:$O$118,14,)/100))</f>
        <v/>
      </c>
      <c r="AC72" s="691">
        <f>IF('A1.3.12'!AC72="","",'A1.3.12'!AC72*(1+VLOOKUP($B72,'A1.3.7'!$B$28:$O$118,14,)/100))</f>
        <v>4.7402914466537549</v>
      </c>
      <c r="AD72" s="691" t="str">
        <f>IF('A1.3.12'!AD72="","",'A1.3.12'!AD72*(1+VLOOKUP($B72,'A1.3.7'!$B$28:$O$118,14,)/100))</f>
        <v/>
      </c>
      <c r="AE72" s="1664" t="str">
        <f>IF('A1.3.12'!AE72="","",'A1.3.12'!AE72*(1+VLOOKUP($B72,'A1.3.7'!$B$28:$O$118,14,)/100))</f>
        <v/>
      </c>
      <c r="AF72" s="693">
        <f>IF(AND(T72="",X72="",AB72=""),"",IF(T72="",0,T72 * VLOOKUP($B72,'A1.3.9'!$B$26:$O$57,6,TRUE)) + IF(X72="",0,X72 * VLOOKUP($B72,'A1.3.9'!$B$26:$O$57,7,TRUE)) + IF(AB72="",0,AB72 * VLOOKUP($B72,'A1.3.9'!$B$26:$O$57,8,TRUE)))</f>
        <v>48.393786201630675</v>
      </c>
      <c r="AG72" s="691">
        <f>IF(AND(U72="",Y72="",AC72=""),"",IF(U72="",0,U72 * VLOOKUP($B72,'A1.3.9'!$B$26:$O$57,6,TRUE)) + IF(Y72="",0,Y72 * VLOOKUP($B72,'A1.3.9'!$B$26:$O$57,7,TRUE)) + IF(AC72="",0,AC72 * VLOOKUP($B72,'A1.3.9'!$B$26:$O$57,8,TRUE)))</f>
        <v>12.420392730692804</v>
      </c>
      <c r="AH72" s="691">
        <f>IF(AND(V72="",Z72="",AD72=""),"",IF(V72="",0,V72 * VLOOKUP($B72,'A1.3.9'!$B$26:$O$57,6,TRUE)) + IF(Z72="",0,Z72 * VLOOKUP($B72,'A1.3.9'!$B$26:$O$57,7,TRUE)) + IF(AD72="",0,AD72 * VLOOKUP($B72,'A1.3.9'!$B$26:$O$57,8,TRUE)))</f>
        <v>-0.17187043641605809</v>
      </c>
      <c r="AI72" s="2644">
        <f>IF(AND(W72="",AA72="",AE72=""),"",IF(W72="",0,W72 * VLOOKUP($B72,'A1.3.9'!$B$26:$O$57,6,TRUE)) + IF(AA72="",0,AA72 * VLOOKUP($B72,'A1.3.9'!$B$26:$O$57,7,TRUE)) + IF(AE72="",0,AE72 * VLOOKUP($B72,'A1.3.9'!$B$26:$O$57,8,TRUE)))</f>
        <v>1.4509230163331345E-3</v>
      </c>
    </row>
    <row r="73" spans="1:35" ht="13.5" customHeight="1">
      <c r="A73" s="113"/>
      <c r="B73" s="614">
        <f t="shared" si="0"/>
        <v>2056</v>
      </c>
      <c r="C73" s="147"/>
      <c r="D73" s="693">
        <f>IF('A1.3.12'!D73="","",'A1.3.12'!D73*(1+VLOOKUP($B73,'A1.3.7'!$B$28:$O$118,12,)/100))</f>
        <v>43.113093219311807</v>
      </c>
      <c r="E73" s="691">
        <f>IF('A1.3.12'!E73="","",'A1.3.12'!E73*(1+VLOOKUP($B73,'A1.3.7'!$B$28:$O$118,12,)/100))</f>
        <v>9.1622316426314807</v>
      </c>
      <c r="F73" s="691">
        <f>IF('A1.3.12'!F73="","",'A1.3.12'!F73*(1+VLOOKUP($B73,'A1.3.7'!$B$28:$O$118,12,)/100))</f>
        <v>-0.10436868376899176</v>
      </c>
      <c r="G73" s="2644">
        <f>IF('A1.3.12'!G73="","",'A1.3.12'!G73*(1+VLOOKUP($B73,'A1.3.7'!$B$28:$O$118,12,)/100))</f>
        <v>6.912253949562003E-4</v>
      </c>
      <c r="H73" s="693">
        <f>IF('A1.3.12'!H73="","",'A1.3.12'!H73*(1+VLOOKUP($B73,'A1.3.7'!$B$28:$O$118,13,)/100))</f>
        <v>53.172404672989273</v>
      </c>
      <c r="I73" s="691">
        <f>IF('A1.3.12'!I73="","",'A1.3.12'!I73*(1+VLOOKUP($B73,'A1.3.7'!$B$28:$O$118,13,)/100))</f>
        <v>7.6236078780340986</v>
      </c>
      <c r="J73" s="691">
        <f>IF('A1.3.12'!J73="","",'A1.3.12'!J73*(1+VLOOKUP($B73,'A1.3.7'!$B$28:$O$118,13,)/100))</f>
        <v>-7.3341231576506252E-2</v>
      </c>
      <c r="K73" s="2644">
        <f>IF('A1.3.12'!K73="","",'A1.3.12'!K73*(1+VLOOKUP($B73,'A1.3.7'!$B$28:$O$118,13,)/100))</f>
        <v>5.7793258440736394E-4</v>
      </c>
      <c r="L73" s="693" t="str">
        <f>IF('A1.3.12'!L73="","",'A1.3.12'!L73*(1+VLOOKUP($B73,'A1.3.7'!$B$28:$O$118,14,)/100))</f>
        <v/>
      </c>
      <c r="M73" s="691">
        <f>IF('A1.3.12'!M73="","",'A1.3.12'!M73*(1+VLOOKUP($B73,'A1.3.7'!$B$28:$O$118,14,)/100))</f>
        <v>2.0619488699992319</v>
      </c>
      <c r="N73" s="691" t="str">
        <f>IF('A1.3.12'!N73="","",'A1.3.12'!N73*(1+VLOOKUP($B73,'A1.3.7'!$B$28:$O$118,14,)/100))</f>
        <v/>
      </c>
      <c r="O73" s="1664" t="str">
        <f>IF('A1.3.12'!O73="","",'A1.3.12'!O73*(1+VLOOKUP($B73,'A1.3.7'!$B$28:$O$118,14,)/100))</f>
        <v/>
      </c>
      <c r="P73" s="693">
        <f>IF(AND(D73="",H73="",L73=""),"",IF(D73="",0,D73 * VLOOKUP($B73,'A1.3.9'!$B$26:$O$57,3,TRUE)) + IF(H73="",0,H73 * VLOOKUP($B73,'A1.3.9'!$B$26:$O$57,4,TRUE)) + IF(L73="",0,L73 * VLOOKUP($B73,'A1.3.9'!$B$26:$O$57,5,TRUE)))</f>
        <v>35.76497057775277</v>
      </c>
      <c r="Q73" s="691">
        <f>IF(AND(E73="",I73="",M73=""),"",IF(E73="",0,E73 * VLOOKUP($B73,'A1.3.9'!$B$26:$O$57,3,TRUE)) + IF(I73="",0,I73 * VLOOKUP($B73,'A1.3.9'!$B$26:$O$57,4,TRUE)) + IF(M73="",0,M73 * VLOOKUP($B73,'A1.3.9'!$B$26:$O$57,5,TRUE)))</f>
        <v>6.9660956038937014</v>
      </c>
      <c r="R73" s="691">
        <f>IF(AND(F73="",J73="",N73=""),"",IF(F73="",0,F73 * VLOOKUP($B73,'A1.3.9'!$B$26:$O$57,3,TRUE)) + IF(J73="",0,J73 * VLOOKUP($B73,'A1.3.9'!$B$26:$O$57,4,TRUE)) + IF(N73="",0,N73 * VLOOKUP($B73,'A1.3.9'!$B$26:$O$57,5,TRUE)))</f>
        <v>-6.9491820315351699E-2</v>
      </c>
      <c r="S73" s="2644">
        <f>IF(AND(G73="",K73="",O73=""),"",IF(G73="",0,G73 * VLOOKUP($B73,'A1.3.9'!$B$26:$O$57,3,TRUE)) + IF(K73="",0,K73 * VLOOKUP($B73,'A1.3.9'!$B$26:$O$57,4,TRUE)) + IF(O73="",0,O73 * VLOOKUP($B73,'A1.3.9'!$B$26:$O$57,5,TRUE)))</f>
        <v>4.8868889805994654E-4</v>
      </c>
      <c r="T73" s="693">
        <f>IF('A1.3.12'!T73="","",'A1.3.12'!T73*(1+VLOOKUP($B73,'A1.3.7'!$B$28:$O$118,12,)/100))</f>
        <v>31.012673685467007</v>
      </c>
      <c r="U73" s="691">
        <f>IF('A1.3.12'!U73="","",'A1.3.12'!U73*(1+VLOOKUP($B73,'A1.3.7'!$B$28:$O$118,12,)/100))</f>
        <v>17.390112190355403</v>
      </c>
      <c r="V73" s="691">
        <f>IF('A1.3.12'!V73="","",'A1.3.12'!V73*(1+VLOOKUP($B73,'A1.3.7'!$B$28:$O$118,12,)/100))</f>
        <v>-0.27296768017885764</v>
      </c>
      <c r="W73" s="2644">
        <f>IF('A1.3.12'!W73="","",'A1.3.12'!W73*(1+VLOOKUP($B73,'A1.3.7'!$B$28:$O$118,12,)/100))</f>
        <v>1.7628354800363186E-3</v>
      </c>
      <c r="X73" s="693">
        <f>IF('A1.3.12'!X73="","",'A1.3.12'!X73*(1+VLOOKUP($B73,'A1.3.7'!$B$28:$O$118,13,)/100))</f>
        <v>54.762418162974505</v>
      </c>
      <c r="Y73" s="691">
        <f>IF('A1.3.12'!Y73="","",'A1.3.12'!Y73*(1+VLOOKUP($B73,'A1.3.7'!$B$28:$O$118,13,)/100))</f>
        <v>13.384158174051157</v>
      </c>
      <c r="Z73" s="691">
        <f>IF('A1.3.12'!Z73="","",'A1.3.12'!Z73*(1+VLOOKUP($B73,'A1.3.7'!$B$28:$O$118,13,)/100))</f>
        <v>-0.19309080660513306</v>
      </c>
      <c r="AA73" s="2644">
        <f>IF('A1.3.12'!AA73="","",'A1.3.12'!AA73*(1+VLOOKUP($B73,'A1.3.7'!$B$28:$O$118,13,)/100))</f>
        <v>1.6347135012443612E-3</v>
      </c>
      <c r="AB73" s="693" t="str">
        <f>IF('A1.3.12'!AB73="","",'A1.3.12'!AB73*(1+VLOOKUP($B73,'A1.3.7'!$B$28:$O$118,14,)/100))</f>
        <v/>
      </c>
      <c r="AC73" s="691">
        <f>IF('A1.3.12'!AC73="","",'A1.3.12'!AC73*(1+VLOOKUP($B73,'A1.3.7'!$B$28:$O$118,14,)/100))</f>
        <v>4.7402914466537549</v>
      </c>
      <c r="AD73" s="691" t="str">
        <f>IF('A1.3.12'!AD73="","",'A1.3.12'!AD73*(1+VLOOKUP($B73,'A1.3.7'!$B$28:$O$118,14,)/100))</f>
        <v/>
      </c>
      <c r="AE73" s="1664" t="str">
        <f>IF('A1.3.12'!AE73="","",'A1.3.12'!AE73*(1+VLOOKUP($B73,'A1.3.7'!$B$28:$O$118,14,)/100))</f>
        <v/>
      </c>
      <c r="AF73" s="693">
        <f>IF(AND(T73="",X73="",AB73=""),"",IF(T73="",0,T73 * VLOOKUP($B73,'A1.3.9'!$B$26:$O$57,6,TRUE)) + IF(X73="",0,X73 * VLOOKUP($B73,'A1.3.9'!$B$26:$O$57,7,TRUE)) + IF(AB73="",0,AB73 * VLOOKUP($B73,'A1.3.9'!$B$26:$O$57,8,TRUE)))</f>
        <v>48.590190444385989</v>
      </c>
      <c r="AG73" s="691">
        <f>IF(AND(U73="",Y73="",AC73=""),"",IF(U73="",0,U73 * VLOOKUP($B73,'A1.3.9'!$B$26:$O$57,6,TRUE)) + IF(Y73="",0,Y73 * VLOOKUP($B73,'A1.3.9'!$B$26:$O$57,7,TRUE)) + IF(AC73="",0,AC73 * VLOOKUP($B73,'A1.3.9'!$B$26:$O$57,8,TRUE)))</f>
        <v>12.468706091467567</v>
      </c>
      <c r="AH73" s="691">
        <f>IF(AND(V73="",Z73="",AD73=""),"",IF(V73="",0,V73 * VLOOKUP($B73,'A1.3.9'!$B$26:$O$57,6,TRUE)) + IF(Z73="",0,Z73 * VLOOKUP($B73,'A1.3.9'!$B$26:$O$57,7,TRUE)) + IF(AD73="",0,AD73 * VLOOKUP($B73,'A1.3.9'!$B$26:$O$57,8,TRUE)))</f>
        <v>-0.17256814534052681</v>
      </c>
      <c r="AI73" s="2644">
        <f>IF(AND(W73="",AA73="",AE73=""),"",IF(W73="",0,W73 * VLOOKUP($B73,'A1.3.9'!$B$26:$O$57,6,TRUE)) + IF(AA73="",0,AA73 * VLOOKUP($B73,'A1.3.9'!$B$26:$O$57,7,TRUE)) + IF(AE73="",0,AE73 * VLOOKUP($B73,'A1.3.9'!$B$26:$O$57,8,TRUE)))</f>
        <v>1.4568124483356202E-3</v>
      </c>
    </row>
    <row r="74" spans="1:35" ht="13.5" customHeight="1">
      <c r="A74" s="113"/>
      <c r="B74" s="614">
        <f t="shared" si="0"/>
        <v>2057</v>
      </c>
      <c r="C74" s="147"/>
      <c r="D74" s="693">
        <f>IF('A1.3.12'!D74="","",'A1.3.12'!D74*(1+VLOOKUP($B74,'A1.3.7'!$B$28:$O$118,12,)/100))</f>
        <v>43.294812167353484</v>
      </c>
      <c r="E74" s="691">
        <f>IF('A1.3.12'!E74="","",'A1.3.12'!E74*(1+VLOOKUP($B74,'A1.3.7'!$B$28:$O$118,12,)/100))</f>
        <v>9.2008498667367142</v>
      </c>
      <c r="F74" s="691">
        <f>IF('A1.3.12'!F74="","",'A1.3.12'!F74*(1+VLOOKUP($B74,'A1.3.7'!$B$28:$O$118,12,)/100))</f>
        <v>-0.10480859113834982</v>
      </c>
      <c r="G74" s="2644">
        <f>IF('A1.3.12'!G74="","",'A1.3.12'!G74*(1+VLOOKUP($B74,'A1.3.7'!$B$28:$O$118,12,)/100))</f>
        <v>6.9413886606791515E-4</v>
      </c>
      <c r="H74" s="693">
        <f>IF('A1.3.12'!H74="","",'A1.3.12'!H74*(1+VLOOKUP($B74,'A1.3.7'!$B$28:$O$118,13,)/100))</f>
        <v>53.388763589001577</v>
      </c>
      <c r="I74" s="691">
        <f>IF('A1.3.12'!I74="","",'A1.3.12'!I74*(1+VLOOKUP($B74,'A1.3.7'!$B$28:$O$118,13,)/100))</f>
        <v>7.6546283960403532</v>
      </c>
      <c r="J74" s="691">
        <f>IF('A1.3.12'!J74="","",'A1.3.12'!J74*(1+VLOOKUP($B74,'A1.3.7'!$B$28:$O$118,13,)/100))</f>
        <v>-7.3639657601443212E-2</v>
      </c>
      <c r="K74" s="2644">
        <f>IF('A1.3.12'!K74="","",'A1.3.12'!K74*(1+VLOOKUP($B74,'A1.3.7'!$B$28:$O$118,13,)/100))</f>
        <v>5.8028419645612429E-4</v>
      </c>
      <c r="L74" s="693" t="str">
        <f>IF('A1.3.12'!L74="","",'A1.3.12'!L74*(1+VLOOKUP($B74,'A1.3.7'!$B$28:$O$118,14,)/100))</f>
        <v/>
      </c>
      <c r="M74" s="691">
        <f>IF('A1.3.12'!M74="","",'A1.3.12'!M74*(1+VLOOKUP($B74,'A1.3.7'!$B$28:$O$118,14,)/100))</f>
        <v>2.0619488699992319</v>
      </c>
      <c r="N74" s="691" t="str">
        <f>IF('A1.3.12'!N74="","",'A1.3.12'!N74*(1+VLOOKUP($B74,'A1.3.7'!$B$28:$O$118,14,)/100))</f>
        <v/>
      </c>
      <c r="O74" s="1664" t="str">
        <f>IF('A1.3.12'!O74="","",'A1.3.12'!O74*(1+VLOOKUP($B74,'A1.3.7'!$B$28:$O$118,14,)/100))</f>
        <v/>
      </c>
      <c r="P74" s="693">
        <f>IF(AND(D74="",H74="",L74=""),"",IF(D74="",0,D74 * VLOOKUP($B74,'A1.3.9'!$B$26:$O$57,3,TRUE)) + IF(H74="",0,H74 * VLOOKUP($B74,'A1.3.9'!$B$26:$O$57,4,TRUE)) + IF(L74="",0,L74 * VLOOKUP($B74,'A1.3.9'!$B$26:$O$57,5,TRUE)))</f>
        <v>35.913323327148618</v>
      </c>
      <c r="Q74" s="691">
        <f>IF(AND(E74="",I74="",M74=""),"",IF(E74="",0,E74 * VLOOKUP($B74,'A1.3.9'!$B$26:$O$57,3,TRUE)) + IF(I74="",0,I74 * VLOOKUP($B74,'A1.3.9'!$B$26:$O$57,4,TRUE)) + IF(M74="",0,M74 * VLOOKUP($B74,'A1.3.9'!$B$26:$O$57,5,TRUE)))</f>
        <v>6.9930069641973276</v>
      </c>
      <c r="R74" s="691">
        <f>IF(AND(F74="",J74="",N74=""),"",IF(F74="",0,F74 * VLOOKUP($B74,'A1.3.9'!$B$26:$O$57,3,TRUE)) + IF(J74="",0,J74 * VLOOKUP($B74,'A1.3.9'!$B$26:$O$57,4,TRUE)) + IF(N74="",0,N74 * VLOOKUP($B74,'A1.3.9'!$B$26:$O$57,5,TRUE)))</f>
        <v>-6.9781421400108373E-2</v>
      </c>
      <c r="S74" s="2644">
        <f>IF(AND(G74="",K74="",O74=""),"",IF(G74="",0,G74 * VLOOKUP($B74,'A1.3.9'!$B$26:$O$57,3,TRUE)) + IF(K74="",0,K74 * VLOOKUP($B74,'A1.3.9'!$B$26:$O$57,4,TRUE)) + IF(O74="",0,O74 * VLOOKUP($B74,'A1.3.9'!$B$26:$O$57,5,TRUE)))</f>
        <v>4.9072266667271646E-4</v>
      </c>
      <c r="T74" s="693">
        <f>IF('A1.3.12'!T74="","",'A1.3.12'!T74*(1+VLOOKUP($B74,'A1.3.7'!$B$28:$O$118,12,)/100))</f>
        <v>31.143390134166598</v>
      </c>
      <c r="U74" s="691">
        <f>IF('A1.3.12'!U74="","",'A1.3.12'!U74*(1+VLOOKUP($B74,'A1.3.7'!$B$28:$O$118,12,)/100))</f>
        <v>17.463410408079728</v>
      </c>
      <c r="V74" s="691">
        <f>IF('A1.3.12'!V74="","",'A1.3.12'!V74*(1+VLOOKUP($B74,'A1.3.7'!$B$28:$O$118,12,)/100))</f>
        <v>-0.27411822160345817</v>
      </c>
      <c r="W74" s="2644">
        <f>IF('A1.3.12'!W74="","",'A1.3.12'!W74*(1+VLOOKUP($B74,'A1.3.7'!$B$28:$O$118,12,)/100))</f>
        <v>1.7702657195548151E-3</v>
      </c>
      <c r="X74" s="693">
        <f>IF('A1.3.12'!X74="","",'A1.3.12'!X74*(1+VLOOKUP($B74,'A1.3.7'!$B$28:$O$118,13,)/100))</f>
        <v>54.985246855880547</v>
      </c>
      <c r="Y74" s="691">
        <f>IF('A1.3.12'!Y74="","",'A1.3.12'!Y74*(1+VLOOKUP($B74,'A1.3.7'!$B$28:$O$118,13,)/100))</f>
        <v>13.438618414698237</v>
      </c>
      <c r="Z74" s="691">
        <f>IF('A1.3.12'!Z74="","",'A1.3.12'!Z74*(1+VLOOKUP($B74,'A1.3.7'!$B$28:$O$118,13,)/100))</f>
        <v>-0.19387649455484976</v>
      </c>
      <c r="AA74" s="2644">
        <f>IF('A1.3.12'!AA74="","",'A1.3.12'!AA74*(1+VLOOKUP($B74,'A1.3.7'!$B$28:$O$118,13,)/100))</f>
        <v>1.6413651628213591E-3</v>
      </c>
      <c r="AB74" s="693" t="str">
        <f>IF('A1.3.12'!AB74="","",'A1.3.12'!AB74*(1+VLOOKUP($B74,'A1.3.7'!$B$28:$O$118,14,)/100))</f>
        <v/>
      </c>
      <c r="AC74" s="691">
        <f>IF('A1.3.12'!AC74="","",'A1.3.12'!AC74*(1+VLOOKUP($B74,'A1.3.7'!$B$28:$O$118,14,)/100))</f>
        <v>4.7402914466537549</v>
      </c>
      <c r="AD74" s="691" t="str">
        <f>IF('A1.3.12'!AD74="","",'A1.3.12'!AD74*(1+VLOOKUP($B74,'A1.3.7'!$B$28:$O$118,14,)/100))</f>
        <v/>
      </c>
      <c r="AE74" s="1664" t="str">
        <f>IF('A1.3.12'!AE74="","",'A1.3.12'!AE74*(1+VLOOKUP($B74,'A1.3.7'!$B$28:$O$118,14,)/100))</f>
        <v/>
      </c>
      <c r="AF74" s="693">
        <f>IF(AND(T74="",X74="",AB74=""),"",IF(T74="",0,T74 * VLOOKUP($B74,'A1.3.9'!$B$26:$O$57,6,TRUE)) + IF(X74="",0,X74 * VLOOKUP($B74,'A1.3.9'!$B$26:$O$57,7,TRUE)) + IF(AB74="",0,AB74 * VLOOKUP($B74,'A1.3.9'!$B$26:$O$57,8,TRUE)))</f>
        <v>48.787938606690965</v>
      </c>
      <c r="AG74" s="691">
        <f>IF(AND(U74="",Y74="",AC74=""),"",IF(U74="",0,U74 * VLOOKUP($B74,'A1.3.9'!$B$26:$O$57,6,TRUE)) + IF(Y74="",0,Y74 * VLOOKUP($B74,'A1.3.9'!$B$26:$O$57,7,TRUE)) + IF(AC74="",0,AC74 * VLOOKUP($B74,'A1.3.9'!$B$26:$O$57,8,TRUE)))</f>
        <v>12.517350042198757</v>
      </c>
      <c r="AH74" s="691">
        <f>IF(AND(V74="",Z74="",AD74=""),"",IF(V74="",0,V74 * VLOOKUP($B74,'A1.3.9'!$B$26:$O$57,6,TRUE)) + IF(Z74="",0,Z74 * VLOOKUP($B74,'A1.3.9'!$B$26:$O$57,7,TRUE)) + IF(AD74="",0,AD74 * VLOOKUP($B74,'A1.3.9'!$B$26:$O$57,8,TRUE)))</f>
        <v>-0.17327062842185897</v>
      </c>
      <c r="AI74" s="2644">
        <f>IF(AND(W74="",AA74="",AE74=""),"",IF(W74="",0,W74 * VLOOKUP($B74,'A1.3.9'!$B$26:$O$57,6,TRUE)) + IF(AA74="",0,AA74 * VLOOKUP($B74,'A1.3.9'!$B$26:$O$57,7,TRUE)) + IF(AE74="",0,AE74 * VLOOKUP($B74,'A1.3.9'!$B$26:$O$57,8,TRUE)))</f>
        <v>1.4627421794818182E-3</v>
      </c>
    </row>
    <row r="75" spans="1:35" ht="13.5" customHeight="1">
      <c r="A75" s="113"/>
      <c r="B75" s="614">
        <f t="shared" si="0"/>
        <v>2058</v>
      </c>
      <c r="C75" s="147"/>
      <c r="D75" s="693">
        <f>IF('A1.3.12'!D75="","",'A1.3.12'!D75*(1+VLOOKUP($B75,'A1.3.7'!$B$28:$O$118,12,)/100))</f>
        <v>43.477774549057223</v>
      </c>
      <c r="E75" s="691">
        <f>IF('A1.3.12'!E75="","",'A1.3.12'!E75*(1+VLOOKUP($B75,'A1.3.7'!$B$28:$O$118,12,)/100))</f>
        <v>9.2397323406647587</v>
      </c>
      <c r="F75" s="691">
        <f>IF('A1.3.12'!F75="","",'A1.3.12'!F75*(1+VLOOKUP($B75,'A1.3.7'!$B$28:$O$118,12,)/100))</f>
        <v>-0.10525150862655977</v>
      </c>
      <c r="G75" s="2644">
        <f>IF('A1.3.12'!G75="","",'A1.3.12'!G75*(1+VLOOKUP($B75,'A1.3.7'!$B$28:$O$118,12,)/100))</f>
        <v>6.9707227295458794E-4</v>
      </c>
      <c r="H75" s="693">
        <f>IF('A1.3.12'!H75="","",'A1.3.12'!H75*(1+VLOOKUP($B75,'A1.3.7'!$B$28:$O$118,13,)/100))</f>
        <v>53.606602966804765</v>
      </c>
      <c r="I75" s="691">
        <f>IF('A1.3.12'!I75="","",'A1.3.12'!I75*(1+VLOOKUP($B75,'A1.3.7'!$B$28:$O$118,13,)/100))</f>
        <v>7.6858611756556421</v>
      </c>
      <c r="J75" s="691">
        <f>IF('A1.3.12'!J75="","",'A1.3.12'!J75*(1+VLOOKUP($B75,'A1.3.7'!$B$28:$O$118,13,)/100))</f>
        <v>-7.3940125642191087E-2</v>
      </c>
      <c r="K75" s="2644">
        <f>IF('A1.3.12'!K75="","",'A1.3.12'!K75*(1+VLOOKUP($B75,'A1.3.7'!$B$28:$O$118,13,)/100))</f>
        <v>5.8265189969192404E-4</v>
      </c>
      <c r="L75" s="693" t="str">
        <f>IF('A1.3.12'!L75="","",'A1.3.12'!L75*(1+VLOOKUP($B75,'A1.3.7'!$B$28:$O$118,14,)/100))</f>
        <v/>
      </c>
      <c r="M75" s="691">
        <f>IF('A1.3.12'!M75="","",'A1.3.12'!M75*(1+VLOOKUP($B75,'A1.3.7'!$B$28:$O$118,14,)/100))</f>
        <v>2.0619488699992319</v>
      </c>
      <c r="N75" s="691" t="str">
        <f>IF('A1.3.12'!N75="","",'A1.3.12'!N75*(1+VLOOKUP($B75,'A1.3.7'!$B$28:$O$118,14,)/100))</f>
        <v/>
      </c>
      <c r="O75" s="1664" t="str">
        <f>IF('A1.3.12'!O75="","",'A1.3.12'!O75*(1+VLOOKUP($B75,'A1.3.7'!$B$28:$O$118,14,)/100))</f>
        <v/>
      </c>
      <c r="P75" s="693">
        <f>IF(AND(D75="",H75="",L75=""),"",IF(D75="",0,D75 * VLOOKUP($B75,'A1.3.9'!$B$26:$O$57,3,TRUE)) + IF(H75="",0,H75 * VLOOKUP($B75,'A1.3.9'!$B$26:$O$57,4,TRUE)) + IF(L75="",0,L75 * VLOOKUP($B75,'A1.3.9'!$B$26:$O$57,5,TRUE)))</f>
        <v>36.062691197996827</v>
      </c>
      <c r="Q75" s="691">
        <f>IF(AND(E75="",I75="",M75=""),"",IF(E75="",0,E75 * VLOOKUP($B75,'A1.3.9'!$B$26:$O$57,3,TRUE)) + IF(I75="",0,I75 * VLOOKUP($B75,'A1.3.9'!$B$26:$O$57,4,TRUE)) + IF(M75="",0,M75 * VLOOKUP($B75,'A1.3.9'!$B$26:$O$57,5,TRUE)))</f>
        <v>7.0201024687063542</v>
      </c>
      <c r="R75" s="691">
        <f>IF(AND(F75="",J75="",N75=""),"",IF(F75="",0,F75 * VLOOKUP($B75,'A1.3.9'!$B$26:$O$57,3,TRUE)) + IF(J75="",0,J75 * VLOOKUP($B75,'A1.3.9'!$B$26:$O$57,4,TRUE)) + IF(N75="",0,N75 * VLOOKUP($B75,'A1.3.9'!$B$26:$O$57,5,TRUE)))</f>
        <v>-7.0073004114966003E-2</v>
      </c>
      <c r="S75" s="2644">
        <f>IF(AND(G75="",K75="",O75=""),"",IF(G75="",0,G75 * VLOOKUP($B75,'A1.3.9'!$B$26:$O$57,3,TRUE)) + IF(K75="",0,K75 * VLOOKUP($B75,'A1.3.9'!$B$26:$O$57,4,TRUE)) + IF(O75="",0,O75 * VLOOKUP($B75,'A1.3.9'!$B$26:$O$57,5,TRUE)))</f>
        <v>4.9277035159075468E-4</v>
      </c>
      <c r="T75" s="693">
        <f>IF('A1.3.12'!T75="","",'A1.3.12'!T75*(1+VLOOKUP($B75,'A1.3.7'!$B$28:$O$118,12,)/100))</f>
        <v>31.275001025819169</v>
      </c>
      <c r="U75" s="691">
        <f>IF('A1.3.12'!U75="","",'A1.3.12'!U75*(1+VLOOKUP($B75,'A1.3.7'!$B$28:$O$118,12,)/100))</f>
        <v>17.537210177635988</v>
      </c>
      <c r="V75" s="691">
        <f>IF('A1.3.12'!V75="","",'A1.3.12'!V75*(1+VLOOKUP($B75,'A1.3.7'!$B$28:$O$118,12,)/100))</f>
        <v>-0.27527663574552896</v>
      </c>
      <c r="W75" s="2644">
        <f>IF('A1.3.12'!W75="","",'A1.3.12'!W75*(1+VLOOKUP($B75,'A1.3.7'!$B$28:$O$118,12,)/100))</f>
        <v>1.777746801376957E-3</v>
      </c>
      <c r="X75" s="693">
        <f>IF('A1.3.12'!X75="","",'A1.3.12'!X75*(1+VLOOKUP($B75,'A1.3.7'!$B$28:$O$118,13,)/100))</f>
        <v>55.209600280800608</v>
      </c>
      <c r="Y75" s="691">
        <f>IF('A1.3.12'!Y75="","",'A1.3.12'!Y75*(1+VLOOKUP($B75,'A1.3.7'!$B$28:$O$118,13,)/100))</f>
        <v>13.49345130606333</v>
      </c>
      <c r="Z75" s="691">
        <f>IF('A1.3.12'!Z75="","",'A1.3.12'!Z75*(1+VLOOKUP($B75,'A1.3.7'!$B$28:$O$118,13,)/100))</f>
        <v>-0.19466755866844523</v>
      </c>
      <c r="AA75" s="2644">
        <f>IF('A1.3.12'!AA75="","",'A1.3.12'!AA75*(1+VLOOKUP($B75,'A1.3.7'!$B$28:$O$118,13,)/100))</f>
        <v>1.6480623391892063E-3</v>
      </c>
      <c r="AB75" s="693" t="str">
        <f>IF('A1.3.12'!AB75="","",'A1.3.12'!AB75*(1+VLOOKUP($B75,'A1.3.7'!$B$28:$O$118,14,)/100))</f>
        <v/>
      </c>
      <c r="AC75" s="691">
        <f>IF('A1.3.12'!AC75="","",'A1.3.12'!AC75*(1+VLOOKUP($B75,'A1.3.7'!$B$28:$O$118,14,)/100))</f>
        <v>4.7402914466537549</v>
      </c>
      <c r="AD75" s="691" t="str">
        <f>IF('A1.3.12'!AD75="","",'A1.3.12'!AD75*(1+VLOOKUP($B75,'A1.3.7'!$B$28:$O$118,14,)/100))</f>
        <v/>
      </c>
      <c r="AE75" s="1664" t="str">
        <f>IF('A1.3.12'!AE75="","",'A1.3.12'!AE75*(1+VLOOKUP($B75,'A1.3.7'!$B$28:$O$118,14,)/100))</f>
        <v/>
      </c>
      <c r="AF75" s="693">
        <f>IF(AND(T75="",X75="",AB75=""),"",IF(T75="",0,T75 * VLOOKUP($B75,'A1.3.9'!$B$26:$O$57,6,TRUE)) + IF(X75="",0,X75 * VLOOKUP($B75,'A1.3.9'!$B$26:$O$57,7,TRUE)) + IF(AB75="",0,AB75 * VLOOKUP($B75,'A1.3.9'!$B$26:$O$57,8,TRUE)))</f>
        <v>48.987039884476026</v>
      </c>
      <c r="AG75" s="691">
        <f>IF(AND(U75="",Y75="",AC75=""),"",IF(U75="",0,U75 * VLOOKUP($B75,'A1.3.9'!$B$26:$O$57,6,TRUE)) + IF(Y75="",0,Y75 * VLOOKUP($B75,'A1.3.9'!$B$26:$O$57,7,TRUE)) + IF(AC75="",0,AC75 * VLOOKUP($B75,'A1.3.9'!$B$26:$O$57,8,TRUE)))</f>
        <v>12.566326844987733</v>
      </c>
      <c r="AH75" s="691">
        <f>IF(AND(V75="",Z75="",AD75=""),"",IF(V75="",0,V75 * VLOOKUP($B75,'A1.3.9'!$B$26:$O$57,6,TRUE)) + IF(Z75="",0,Z75 * VLOOKUP($B75,'A1.3.9'!$B$26:$O$57,7,TRUE)) + IF(AD75="",0,AD75 * VLOOKUP($B75,'A1.3.9'!$B$26:$O$57,8,TRUE)))</f>
        <v>-0.17397791832779455</v>
      </c>
      <c r="AI75" s="2644">
        <f>IF(AND(W75="",AA75="",AE75=""),"",IF(W75="",0,W75 * VLOOKUP($B75,'A1.3.9'!$B$26:$O$57,6,TRUE)) + IF(AA75="",0,AA75 * VLOOKUP($B75,'A1.3.9'!$B$26:$O$57,7,TRUE)) + IF(AE75="",0,AE75 * VLOOKUP($B75,'A1.3.9'!$B$26:$O$57,8,TRUE)))</f>
        <v>1.4687124855234446E-3</v>
      </c>
    </row>
    <row r="76" spans="1:35" ht="13.5" customHeight="1">
      <c r="A76" s="113"/>
      <c r="B76" s="614">
        <f t="shared" si="0"/>
        <v>2059</v>
      </c>
      <c r="C76" s="147"/>
      <c r="D76" s="693">
        <f>IF('A1.3.12'!D76="","",'A1.3.12'!D76*(1+VLOOKUP($B76,'A1.3.7'!$B$28:$O$118,12,)/100))</f>
        <v>43.661988872766742</v>
      </c>
      <c r="E76" s="691">
        <f>IF('A1.3.12'!E76="","",'A1.3.12'!E76*(1+VLOOKUP($B76,'A1.3.7'!$B$28:$O$118,12,)/100))</f>
        <v>9.2788808725766661</v>
      </c>
      <c r="F76" s="691">
        <f>IF('A1.3.12'!F76="","",'A1.3.12'!F76*(1+VLOOKUP($B76,'A1.3.7'!$B$28:$O$118,12,)/100))</f>
        <v>-0.10569745683072029</v>
      </c>
      <c r="G76" s="2644">
        <f>IF('A1.3.12'!G76="","",'A1.3.12'!G76*(1+VLOOKUP($B76,'A1.3.7'!$B$28:$O$118,12,)/100))</f>
        <v>7.0002575202914572E-4</v>
      </c>
      <c r="H76" s="693">
        <f>IF('A1.3.12'!H76="","",'A1.3.12'!H76*(1+VLOOKUP($B76,'A1.3.7'!$B$28:$O$118,13,)/100))</f>
        <v>53.825932936635937</v>
      </c>
      <c r="I76" s="691">
        <f>IF('A1.3.12'!I76="","",'A1.3.12'!I76*(1+VLOOKUP($B76,'A1.3.7'!$B$28:$O$118,13,)/100))</f>
        <v>7.7173076693054448</v>
      </c>
      <c r="J76" s="691">
        <f>IF('A1.3.12'!J76="","",'A1.3.12'!J76*(1+VLOOKUP($B76,'A1.3.7'!$B$28:$O$118,13,)/100))</f>
        <v>-7.4242649671487568E-2</v>
      </c>
      <c r="K76" s="2644">
        <f>IF('A1.3.12'!K76="","",'A1.3.12'!K76*(1+VLOOKUP($B76,'A1.3.7'!$B$28:$O$118,13,)/100))</f>
        <v>5.8503580422063738E-4</v>
      </c>
      <c r="L76" s="693" t="str">
        <f>IF('A1.3.12'!L76="","",'A1.3.12'!L76*(1+VLOOKUP($B76,'A1.3.7'!$B$28:$O$118,14,)/100))</f>
        <v/>
      </c>
      <c r="M76" s="691">
        <f>IF('A1.3.12'!M76="","",'A1.3.12'!M76*(1+VLOOKUP($B76,'A1.3.7'!$B$28:$O$118,14,)/100))</f>
        <v>2.0619488699992319</v>
      </c>
      <c r="N76" s="691" t="str">
        <f>IF('A1.3.12'!N76="","",'A1.3.12'!N76*(1+VLOOKUP($B76,'A1.3.7'!$B$28:$O$118,14,)/100))</f>
        <v/>
      </c>
      <c r="O76" s="1664" t="str">
        <f>IF('A1.3.12'!O76="","",'A1.3.12'!O76*(1+VLOOKUP($B76,'A1.3.7'!$B$28:$O$118,14,)/100))</f>
        <v/>
      </c>
      <c r="P76" s="693">
        <f>IF(AND(D76="",H76="",L76=""),"",IF(D76="",0,D76 * VLOOKUP($B76,'A1.3.9'!$B$26:$O$57,3,TRUE)) + IF(H76="",0,H76 * VLOOKUP($B76,'A1.3.9'!$B$26:$O$57,4,TRUE)) + IF(L76="",0,L76 * VLOOKUP($B76,'A1.3.9'!$B$26:$O$57,5,TRUE)))</f>
        <v>36.213081136387487</v>
      </c>
      <c r="Q76" s="691">
        <f>IF(AND(E76="",I76="",M76=""),"",IF(E76="",0,E76 * VLOOKUP($B76,'A1.3.9'!$B$26:$O$57,3,TRUE)) + IF(I76="",0,I76 * VLOOKUP($B76,'A1.3.9'!$B$26:$O$57,4,TRUE)) + IF(M76="",0,M76 * VLOOKUP($B76,'A1.3.9'!$B$26:$O$57,5,TRUE)))</f>
        <v>7.047383377449556</v>
      </c>
      <c r="R76" s="691">
        <f>IF(AND(F76="",J76="",N76=""),"",IF(F76="",0,F76 * VLOOKUP($B76,'A1.3.9'!$B$26:$O$57,3,TRUE)) + IF(J76="",0,J76 * VLOOKUP($B76,'A1.3.9'!$B$26:$O$57,4,TRUE)) + IF(N76="",0,N76 * VLOOKUP($B76,'A1.3.9'!$B$26:$O$57,5,TRUE)))</f>
        <v>-7.036658201946587E-2</v>
      </c>
      <c r="S76" s="2644">
        <f>IF(AND(G76="",K76="",O76=""),"",IF(G76="",0,G76 * VLOOKUP($B76,'A1.3.9'!$B$26:$O$57,3,TRUE)) + IF(K76="",0,K76 * VLOOKUP($B76,'A1.3.9'!$B$26:$O$57,4,TRUE)) + IF(O76="",0,O76 * VLOOKUP($B76,'A1.3.9'!$B$26:$O$57,5,TRUE)))</f>
        <v>4.9483204803804615E-4</v>
      </c>
      <c r="T76" s="693">
        <f>IF('A1.3.12'!T76="","",'A1.3.12'!T76*(1+VLOOKUP($B76,'A1.3.7'!$B$28:$O$118,12,)/100))</f>
        <v>31.407512480757717</v>
      </c>
      <c r="U76" s="691">
        <f>IF('A1.3.12'!U76="","",'A1.3.12'!U76*(1+VLOOKUP($B76,'A1.3.7'!$B$28:$O$118,12,)/100))</f>
        <v>17.611514930952641</v>
      </c>
      <c r="V76" s="691">
        <f>IF('A1.3.12'!V76="","",'A1.3.12'!V76*(1+VLOOKUP($B76,'A1.3.7'!$B$28:$O$118,12,)/100))</f>
        <v>-0.27644297647508209</v>
      </c>
      <c r="W76" s="2644">
        <f>IF('A1.3.12'!W76="","",'A1.3.12'!W76*(1+VLOOKUP($B76,'A1.3.7'!$B$28:$O$118,12,)/100))</f>
        <v>1.7852790733972944E-3</v>
      </c>
      <c r="X76" s="693">
        <f>IF('A1.3.12'!X76="","",'A1.3.12'!X76*(1+VLOOKUP($B76,'A1.3.7'!$B$28:$O$118,13,)/100))</f>
        <v>55.435488870896073</v>
      </c>
      <c r="Y76" s="691">
        <f>IF('A1.3.12'!Y76="","",'A1.3.12'!Y76*(1+VLOOKUP($B76,'A1.3.7'!$B$28:$O$118,13,)/100))</f>
        <v>13.5486593980536</v>
      </c>
      <c r="Z76" s="691">
        <f>IF('A1.3.12'!Z76="","",'A1.3.12'!Z76*(1+VLOOKUP($B76,'A1.3.7'!$B$28:$O$118,13,)/100))</f>
        <v>-0.19546403573296464</v>
      </c>
      <c r="AA76" s="2644">
        <f>IF('A1.3.12'!AA76="","",'A1.3.12'!AA76*(1+VLOOKUP($B76,'A1.3.7'!$B$28:$O$118,13,)/100))</f>
        <v>1.6548053417883095E-3</v>
      </c>
      <c r="AB76" s="693" t="str">
        <f>IF('A1.3.12'!AB76="","",'A1.3.12'!AB76*(1+VLOOKUP($B76,'A1.3.7'!$B$28:$O$118,14,)/100))</f>
        <v/>
      </c>
      <c r="AC76" s="691">
        <f>IF('A1.3.12'!AC76="","",'A1.3.12'!AC76*(1+VLOOKUP($B76,'A1.3.7'!$B$28:$O$118,14,)/100))</f>
        <v>4.7402914466537549</v>
      </c>
      <c r="AD76" s="691" t="str">
        <f>IF('A1.3.12'!AD76="","",'A1.3.12'!AD76*(1+VLOOKUP($B76,'A1.3.7'!$B$28:$O$118,14,)/100))</f>
        <v/>
      </c>
      <c r="AE76" s="1664" t="str">
        <f>IF('A1.3.12'!AE76="","",'A1.3.12'!AE76*(1+VLOOKUP($B76,'A1.3.7'!$B$28:$O$118,14,)/100))</f>
        <v/>
      </c>
      <c r="AF76" s="693">
        <f>IF(AND(T76="",X76="",AB76=""),"",IF(T76="",0,T76 * VLOOKUP($B76,'A1.3.9'!$B$26:$O$57,6,TRUE)) + IF(X76="",0,X76 * VLOOKUP($B76,'A1.3.9'!$B$26:$O$57,7,TRUE)) + IF(AB76="",0,AB76 * VLOOKUP($B76,'A1.3.9'!$B$26:$O$57,8,TRUE)))</f>
        <v>49.187503536595884</v>
      </c>
      <c r="AG76" s="691">
        <f>IF(AND(U76="",Y76="",AC76=""),"",IF(U76="",0,U76 * VLOOKUP($B76,'A1.3.9'!$B$26:$O$57,6,TRUE)) + IF(Y76="",0,Y76 * VLOOKUP($B76,'A1.3.9'!$B$26:$O$57,7,TRUE)) + IF(AC76="",0,AC76 * VLOOKUP($B76,'A1.3.9'!$B$26:$O$57,8,TRUE)))</f>
        <v>12.615638777414564</v>
      </c>
      <c r="AH76" s="691">
        <f>IF(AND(V76="",Z76="",AD76=""),"",IF(V76="",0,V76 * VLOOKUP($B76,'A1.3.9'!$B$26:$O$57,6,TRUE)) + IF(Z76="",0,Z76 * VLOOKUP($B76,'A1.3.9'!$B$26:$O$57,7,TRUE)) + IF(AD76="",0,AD76 * VLOOKUP($B76,'A1.3.9'!$B$26:$O$57,8,TRUE)))</f>
        <v>-0.17469004794960655</v>
      </c>
      <c r="AI76" s="2644">
        <f>IF(AND(W76="",AA76="",AE76=""),"",IF(W76="",0,W76 * VLOOKUP($B76,'A1.3.9'!$B$26:$O$57,6,TRUE)) + IF(AA76="",0,AA76 * VLOOKUP($B76,'A1.3.9'!$B$26:$O$57,7,TRUE)) + IF(AE76="",0,AE76 * VLOOKUP($B76,'A1.3.9'!$B$26:$O$57,8,TRUE)))</f>
        <v>1.4747236440990803E-3</v>
      </c>
    </row>
    <row r="77" spans="1:35" ht="13.5" customHeight="1">
      <c r="A77" s="113"/>
      <c r="B77" s="614">
        <f t="shared" si="0"/>
        <v>2060</v>
      </c>
      <c r="C77" s="147"/>
      <c r="D77" s="693">
        <f>IF('A1.3.12'!D77="","",'A1.3.12'!D77*(1+VLOOKUP($B77,'A1.3.7'!$B$28:$O$118,12,)/100))</f>
        <v>43.847463705045151</v>
      </c>
      <c r="E77" s="691">
        <f>IF('A1.3.12'!E77="","",'A1.3.12'!E77*(1+VLOOKUP($B77,'A1.3.7'!$B$28:$O$118,12,)/100))</f>
        <v>9.3182972830060571</v>
      </c>
      <c r="F77" s="691">
        <f>IF('A1.3.12'!F77="","",'A1.3.12'!F77*(1+VLOOKUP($B77,'A1.3.7'!$B$28:$O$118,12,)/100))</f>
        <v>-0.10614645648886824</v>
      </c>
      <c r="G77" s="2644">
        <f>IF('A1.3.12'!G77="","",'A1.3.12'!G77*(1+VLOOKUP($B77,'A1.3.7'!$B$28:$O$118,12,)/100))</f>
        <v>7.029994406379383E-4</v>
      </c>
      <c r="H77" s="693">
        <f>IF('A1.3.12'!H77="","",'A1.3.12'!H77*(1+VLOOKUP($B77,'A1.3.7'!$B$28:$O$118,13,)/100))</f>
        <v>54.046763698049517</v>
      </c>
      <c r="I77" s="691">
        <f>IF('A1.3.12'!I77="","",'A1.3.12'!I77*(1+VLOOKUP($B77,'A1.3.7'!$B$28:$O$118,13,)/100))</f>
        <v>7.7489693393536321</v>
      </c>
      <c r="J77" s="691">
        <f>IF('A1.3.12'!J77="","",'A1.3.12'!J77*(1+VLOOKUP($B77,'A1.3.7'!$B$28:$O$118,13,)/100))</f>
        <v>-7.4547243757680487E-2</v>
      </c>
      <c r="K77" s="2644">
        <f>IF('A1.3.12'!K77="","",'A1.3.12'!K77*(1+VLOOKUP($B77,'A1.3.7'!$B$28:$O$118,13,)/100))</f>
        <v>5.8743602090155099E-4</v>
      </c>
      <c r="L77" s="693" t="str">
        <f>IF('A1.3.12'!L77="","",'A1.3.12'!L77*(1+VLOOKUP($B77,'A1.3.7'!$B$28:$O$118,14,)/100))</f>
        <v/>
      </c>
      <c r="M77" s="691">
        <f>IF('A1.3.12'!M77="","",'A1.3.12'!M77*(1+VLOOKUP($B77,'A1.3.7'!$B$28:$O$118,14,)/100))</f>
        <v>2.0619488699992319</v>
      </c>
      <c r="N77" s="691" t="str">
        <f>IF('A1.3.12'!N77="","",'A1.3.12'!N77*(1+VLOOKUP($B77,'A1.3.7'!$B$28:$O$118,14,)/100))</f>
        <v/>
      </c>
      <c r="O77" s="1664" t="str">
        <f>IF('A1.3.12'!O77="","",'A1.3.12'!O77*(1+VLOOKUP($B77,'A1.3.7'!$B$28:$O$118,14,)/100))</f>
        <v/>
      </c>
      <c r="P77" s="693">
        <f>IF(AND(D77="",H77="",L77=""),"",IF(D77="",0,D77 * VLOOKUP($B77,'A1.3.9'!$B$26:$O$57,3,TRUE)) + IF(H77="",0,H77 * VLOOKUP($B77,'A1.3.9'!$B$26:$O$57,4,TRUE)) + IF(L77="",0,L77 * VLOOKUP($B77,'A1.3.9'!$B$26:$O$57,5,TRUE)))</f>
        <v>36.364500135940162</v>
      </c>
      <c r="Q77" s="691">
        <f>IF(AND(E77="",I77="",M77=""),"",IF(E77="",0,E77 * VLOOKUP($B77,'A1.3.9'!$B$26:$O$57,3,TRUE)) + IF(I77="",0,I77 * VLOOKUP($B77,'A1.3.9'!$B$26:$O$57,4,TRUE)) + IF(M77="",0,M77 * VLOOKUP($B77,'A1.3.9'!$B$26:$O$57,5,TRUE)))</f>
        <v>7.074850959077609</v>
      </c>
      <c r="R77" s="691">
        <f>IF(AND(F77="",J77="",N77=""),"",IF(F77="",0,F77 * VLOOKUP($B77,'A1.3.9'!$B$26:$O$57,3,TRUE)) + IF(J77="",0,J77 * VLOOKUP($B77,'A1.3.9'!$B$26:$O$57,4,TRUE)) + IF(N77="",0,N77 * VLOOKUP($B77,'A1.3.9'!$B$26:$O$57,5,TRUE)))</f>
        <v>-7.0662168765931996E-2</v>
      </c>
      <c r="S77" s="2644">
        <f>IF(AND(G77="",K77="",O77=""),"",IF(G77="",0,G77 * VLOOKUP($B77,'A1.3.9'!$B$26:$O$57,3,TRUE)) + IF(K77="",0,K77 * VLOOKUP($B77,'A1.3.9'!$B$26:$O$57,4,TRUE)) + IF(O77="",0,O77 * VLOOKUP($B77,'A1.3.9'!$B$26:$O$57,5,TRUE)))</f>
        <v>4.9690785189015791E-4</v>
      </c>
      <c r="T77" s="693">
        <f>IF('A1.3.12'!T77="","",'A1.3.12'!T77*(1+VLOOKUP($B77,'A1.3.7'!$B$28:$O$118,12,)/100))</f>
        <v>31.54093066119438</v>
      </c>
      <c r="U77" s="691">
        <f>IF('A1.3.12'!U77="","",'A1.3.12'!U77*(1+VLOOKUP($B77,'A1.3.7'!$B$28:$O$118,12,)/100))</f>
        <v>17.686328123441555</v>
      </c>
      <c r="V77" s="691">
        <f>IF('A1.3.12'!V77="","",'A1.3.12'!V77*(1+VLOOKUP($B77,'A1.3.7'!$B$28:$O$118,12,)/100))</f>
        <v>-0.2776172980307417</v>
      </c>
      <c r="W77" s="2644">
        <f>IF('A1.3.12'!W77="","",'A1.3.12'!W77*(1+VLOOKUP($B77,'A1.3.7'!$B$28:$O$118,12,)/100))</f>
        <v>1.79286288589089E-3</v>
      </c>
      <c r="X77" s="693">
        <f>IF('A1.3.12'!X77="","",'A1.3.12'!X77*(1+VLOOKUP($B77,'A1.3.7'!$B$28:$O$118,13,)/100))</f>
        <v>55.662923130718475</v>
      </c>
      <c r="Y77" s="691">
        <f>IF('A1.3.12'!Y77="","",'A1.3.12'!Y77*(1+VLOOKUP($B77,'A1.3.7'!$B$28:$O$118,13,)/100))</f>
        <v>13.60424525802425</v>
      </c>
      <c r="Z77" s="691">
        <f>IF('A1.3.12'!Z77="","",'A1.3.12'!Z77*(1+VLOOKUP($B77,'A1.3.7'!$B$28:$O$118,13,)/100))</f>
        <v>-0.19626596278717279</v>
      </c>
      <c r="AA77" s="2644">
        <f>IF('A1.3.12'!AA77="","",'A1.3.12'!AA77*(1+VLOOKUP($B77,'A1.3.7'!$B$28:$O$118,13,)/100))</f>
        <v>1.6615944841901432E-3</v>
      </c>
      <c r="AB77" s="693" t="str">
        <f>IF('A1.3.12'!AB77="","",'A1.3.12'!AB77*(1+VLOOKUP($B77,'A1.3.7'!$B$28:$O$118,14,)/100))</f>
        <v/>
      </c>
      <c r="AC77" s="691">
        <f>IF('A1.3.12'!AC77="","",'A1.3.12'!AC77*(1+VLOOKUP($B77,'A1.3.7'!$B$28:$O$118,14,)/100))</f>
        <v>4.7402914466537549</v>
      </c>
      <c r="AD77" s="691" t="str">
        <f>IF('A1.3.12'!AD77="","",'A1.3.12'!AD77*(1+VLOOKUP($B77,'A1.3.7'!$B$28:$O$118,14,)/100))</f>
        <v/>
      </c>
      <c r="AE77" s="1664" t="str">
        <f>IF('A1.3.12'!AE77="","",'A1.3.12'!AE77*(1+VLOOKUP($B77,'A1.3.7'!$B$28:$O$118,14,)/100))</f>
        <v/>
      </c>
      <c r="AF77" s="693">
        <f>IF(AND(T77="",X77="",AB77=""),"",IF(T77="",0,T77 * VLOOKUP($B77,'A1.3.9'!$B$26:$O$57,6,TRUE)) + IF(X77="",0,X77 * VLOOKUP($B77,'A1.3.9'!$B$26:$O$57,7,TRUE)) + IF(AB77="",0,AB77 * VLOOKUP($B77,'A1.3.9'!$B$26:$O$57,8,TRUE)))</f>
        <v>49.389338885260052</v>
      </c>
      <c r="AG77" s="691">
        <f>IF(AND(U77="",Y77="",AC77=""),"",IF(U77="",0,U77 * VLOOKUP($B77,'A1.3.9'!$B$26:$O$57,6,TRUE)) + IF(Y77="",0,Y77 * VLOOKUP($B77,'A1.3.9'!$B$26:$O$57,7,TRUE)) + IF(AC77="",0,AC77 * VLOOKUP($B77,'A1.3.9'!$B$26:$O$57,8,TRUE)))</f>
        <v>12.665288132643921</v>
      </c>
      <c r="AH77" s="691">
        <f>IF(AND(V77="",Z77="",AD77=""),"",IF(V77="",0,V77 * VLOOKUP($B77,'A1.3.9'!$B$26:$O$57,6,TRUE)) + IF(Z77="",0,Z77 * VLOOKUP($B77,'A1.3.9'!$B$26:$O$57,7,TRUE)) + IF(AD77="",0,AD77 * VLOOKUP($B77,'A1.3.9'!$B$26:$O$57,8,TRUE)))</f>
        <v>-0.17540705040363028</v>
      </c>
      <c r="AI77" s="2644">
        <f>IF(AND(W77="",AA77="",AE77=""),"",IF(W77="",0,W77 * VLOOKUP($B77,'A1.3.9'!$B$26:$O$57,6,TRUE)) + IF(AA77="",0,AA77 * VLOOKUP($B77,'A1.3.9'!$B$26:$O$57,7,TRUE)) + IF(AE77="",0,AE77 * VLOOKUP($B77,'A1.3.9'!$B$26:$O$57,8,TRUE)))</f>
        <v>1.4807759347470807E-3</v>
      </c>
    </row>
    <row r="78" spans="1:35" ht="13.5" customHeight="1">
      <c r="A78" s="113"/>
      <c r="B78" s="614">
        <f t="shared" si="0"/>
        <v>2061</v>
      </c>
      <c r="C78" s="147"/>
      <c r="D78" s="693">
        <f>IF('A1.3.12'!D78="","",'A1.3.12'!D78*(1+VLOOKUP($B78,'A1.3.7'!$B$28:$O$118,12,)/100))</f>
        <v>44.034207671073283</v>
      </c>
      <c r="E78" s="691">
        <f>IF('A1.3.12'!E78="","",'A1.3.12'!E78*(1+VLOOKUP($B78,'A1.3.7'!$B$28:$O$118,12,)/100))</f>
        <v>9.3579834049437665</v>
      </c>
      <c r="F78" s="691">
        <f>IF('A1.3.12'!F78="","",'A1.3.12'!F78*(1+VLOOKUP($B78,'A1.3.7'!$B$28:$O$118,12,)/100))</f>
        <v>-0.10659852848094296</v>
      </c>
      <c r="G78" s="2644">
        <f>IF('A1.3.12'!G78="","",'A1.3.12'!G78*(1+VLOOKUP($B78,'A1.3.7'!$B$28:$O$118,12,)/100))</f>
        <v>7.0599347706712368E-4</v>
      </c>
      <c r="H78" s="693">
        <f>IF('A1.3.12'!H78="","",'A1.3.12'!H78*(1+VLOOKUP($B78,'A1.3.7'!$B$28:$O$118,13,)/100))</f>
        <v>54.269105520391669</v>
      </c>
      <c r="I78" s="691">
        <f>IF('A1.3.12'!I78="","",'A1.3.12'!I78*(1+VLOOKUP($B78,'A1.3.7'!$B$28:$O$118,13,)/100))</f>
        <v>7.7808476581704804</v>
      </c>
      <c r="J78" s="691">
        <f>IF('A1.3.12'!J78="","",'A1.3.12'!J78*(1+VLOOKUP($B78,'A1.3.7'!$B$28:$O$118,13,)/100))</f>
        <v>-7.485392206538212E-2</v>
      </c>
      <c r="K78" s="2644">
        <f>IF('A1.3.12'!K78="","",'A1.3.12'!K78*(1+VLOOKUP($B78,'A1.3.7'!$B$28:$O$118,13,)/100))</f>
        <v>5.8985266135252003E-4</v>
      </c>
      <c r="L78" s="693" t="str">
        <f>IF('A1.3.12'!L78="","",'A1.3.12'!L78*(1+VLOOKUP($B78,'A1.3.7'!$B$28:$O$118,14,)/100))</f>
        <v/>
      </c>
      <c r="M78" s="691">
        <f>IF('A1.3.12'!M78="","",'A1.3.12'!M78*(1+VLOOKUP($B78,'A1.3.7'!$B$28:$O$118,14,)/100))</f>
        <v>2.0619488699992319</v>
      </c>
      <c r="N78" s="691" t="str">
        <f>IF('A1.3.12'!N78="","",'A1.3.12'!N78*(1+VLOOKUP($B78,'A1.3.7'!$B$28:$O$118,14,)/100))</f>
        <v/>
      </c>
      <c r="O78" s="1664" t="str">
        <f>IF('A1.3.12'!O78="","",'A1.3.12'!O78*(1+VLOOKUP($B78,'A1.3.7'!$B$28:$O$118,14,)/100))</f>
        <v/>
      </c>
      <c r="P78" s="693">
        <f>IF(AND(D78="",H78="",L78=""),"",IF(D78="",0,D78 * VLOOKUP($B78,'A1.3.9'!$B$26:$O$57,3,TRUE)) + IF(H78="",0,H78 * VLOOKUP($B78,'A1.3.9'!$B$26:$O$57,4,TRUE)) + IF(L78="",0,L78 * VLOOKUP($B78,'A1.3.9'!$B$26:$O$57,5,TRUE)))</f>
        <v>36.516955238129086</v>
      </c>
      <c r="Q78" s="691">
        <f>IF(AND(E78="",I78="",M78=""),"",IF(E78="",0,E78 * VLOOKUP($B78,'A1.3.9'!$B$26:$O$57,3,TRUE)) + IF(I78="",0,I78 * VLOOKUP($B78,'A1.3.9'!$B$26:$O$57,4,TRUE)) + IF(M78="",0,M78 * VLOOKUP($B78,'A1.3.9'!$B$26:$O$57,5,TRUE)))</f>
        <v>7.1025064909220843</v>
      </c>
      <c r="R78" s="691">
        <f>IF(AND(F78="",J78="",N78=""),"",IF(F78="",0,F78 * VLOOKUP($B78,'A1.3.9'!$B$26:$O$57,3,TRUE)) + IF(J78="",0,J78 * VLOOKUP($B78,'A1.3.9'!$B$26:$O$57,4,TRUE)) + IF(N78="",0,N78 * VLOOKUP($B78,'A1.3.9'!$B$26:$O$57,5,TRUE)))</f>
        <v>-7.0959778100106147E-2</v>
      </c>
      <c r="S78" s="2644">
        <f>IF(AND(G78="",K78="",O78=""),"",IF(G78="",0,G78 * VLOOKUP($B78,'A1.3.9'!$B$26:$O$57,3,TRUE)) + IF(K78="",0,K78 * VLOOKUP($B78,'A1.3.9'!$B$26:$O$57,4,TRUE)) + IF(O78="",0,O78 * VLOOKUP($B78,'A1.3.9'!$B$26:$O$57,5,TRUE)))</f>
        <v>4.9899785967869677E-4</v>
      </c>
      <c r="T78" s="693">
        <f>IF('A1.3.12'!T78="","",'A1.3.12'!T78*(1+VLOOKUP($B78,'A1.3.7'!$B$28:$O$118,12,)/100))</f>
        <v>31.675261771506971</v>
      </c>
      <c r="U78" s="691">
        <f>IF('A1.3.12'!U78="","",'A1.3.12'!U78*(1+VLOOKUP($B78,'A1.3.7'!$B$28:$O$118,12,)/100))</f>
        <v>17.761653234158651</v>
      </c>
      <c r="V78" s="691">
        <f>IF('A1.3.12'!V78="","",'A1.3.12'!V78*(1+VLOOKUP($B78,'A1.3.7'!$B$28:$O$118,12,)/100))</f>
        <v>-0.27879965502226611</v>
      </c>
      <c r="W78" s="2644">
        <f>IF('A1.3.12'!W78="","",'A1.3.12'!W78*(1+VLOOKUP($B78,'A1.3.7'!$B$28:$O$118,12,)/100))</f>
        <v>1.8004985915296035E-3</v>
      </c>
      <c r="X78" s="693">
        <f>IF('A1.3.12'!X78="","",'A1.3.12'!X78*(1+VLOOKUP($B78,'A1.3.7'!$B$28:$O$118,13,)/100))</f>
        <v>55.89191363669805</v>
      </c>
      <c r="Y78" s="691">
        <f>IF('A1.3.12'!Y78="","",'A1.3.12'!Y78*(1+VLOOKUP($B78,'A1.3.7'!$B$28:$O$118,13,)/100))</f>
        <v>13.660211470897933</v>
      </c>
      <c r="Z78" s="691">
        <f>IF('A1.3.12'!Z78="","",'A1.3.12'!Z78*(1+VLOOKUP($B78,'A1.3.7'!$B$28:$O$118,13,)/100))</f>
        <v>-0.19707337712327691</v>
      </c>
      <c r="AA78" s="2644">
        <f>IF('A1.3.12'!AA78="","",'A1.3.12'!AA78*(1+VLOOKUP($B78,'A1.3.7'!$B$28:$O$118,13,)/100))</f>
        <v>1.6684300821118339E-3</v>
      </c>
      <c r="AB78" s="693" t="str">
        <f>IF('A1.3.12'!AB78="","",'A1.3.12'!AB78*(1+VLOOKUP($B78,'A1.3.7'!$B$28:$O$118,14,)/100))</f>
        <v/>
      </c>
      <c r="AC78" s="691">
        <f>IF('A1.3.12'!AC78="","",'A1.3.12'!AC78*(1+VLOOKUP($B78,'A1.3.7'!$B$28:$O$118,14,)/100))</f>
        <v>4.7402914466537549</v>
      </c>
      <c r="AD78" s="691" t="str">
        <f>IF('A1.3.12'!AD78="","",'A1.3.12'!AD78*(1+VLOOKUP($B78,'A1.3.7'!$B$28:$O$118,14,)/100))</f>
        <v/>
      </c>
      <c r="AE78" s="1664" t="str">
        <f>IF('A1.3.12'!AE78="","",'A1.3.12'!AE78*(1+VLOOKUP($B78,'A1.3.7'!$B$28:$O$118,14,)/100))</f>
        <v/>
      </c>
      <c r="AF78" s="693">
        <f>IF(AND(T78="",X78="",AB78=""),"",IF(T78="",0,T78 * VLOOKUP($B78,'A1.3.9'!$B$26:$O$57,6,TRUE)) + IF(X78="",0,X78 * VLOOKUP($B78,'A1.3.9'!$B$26:$O$57,7,TRUE)) + IF(AB78="",0,AB78 * VLOOKUP($B78,'A1.3.9'!$B$26:$O$57,8,TRUE)))</f>
        <v>49.592555316466431</v>
      </c>
      <c r="AG78" s="691">
        <f>IF(AND(U78="",Y78="",AC78=""),"",IF(U78="",0,U78 * VLOOKUP($B78,'A1.3.9'!$B$26:$O$57,6,TRUE)) + IF(Y78="",0,Y78 * VLOOKUP($B78,'A1.3.9'!$B$26:$O$57,7,TRUE)) + IF(AC78="",0,AC78 * VLOOKUP($B78,'A1.3.9'!$B$26:$O$57,8,TRUE)))</f>
        <v>12.715277219531746</v>
      </c>
      <c r="AH78" s="691">
        <f>IF(AND(V78="",Z78="",AD78=""),"",IF(V78="",0,V78 * VLOOKUP($B78,'A1.3.9'!$B$26:$O$57,6,TRUE)) + IF(Z78="",0,Z78 * VLOOKUP($B78,'A1.3.9'!$B$26:$O$57,7,TRUE)) + IF(AD78="",0,AD78 * VLOOKUP($B78,'A1.3.9'!$B$26:$O$57,8,TRUE)))</f>
        <v>-0.17612895903280387</v>
      </c>
      <c r="AI78" s="2644">
        <f>IF(AND(W78="",AA78="",AE78=""),"",IF(W78="",0,W78 * VLOOKUP($B78,'A1.3.9'!$B$26:$O$57,6,TRUE)) + IF(AA78="",0,AA78 * VLOOKUP($B78,'A1.3.9'!$B$26:$O$57,7,TRUE)) + IF(AE78="",0,AE78 * VLOOKUP($B78,'A1.3.9'!$B$26:$O$57,8,TRUE)))</f>
        <v>1.4868696389185772E-3</v>
      </c>
    </row>
    <row r="79" spans="1:35" ht="13.5" customHeight="1">
      <c r="A79" s="113"/>
      <c r="B79" s="614">
        <f t="shared" si="0"/>
        <v>2062</v>
      </c>
      <c r="C79" s="147"/>
      <c r="D79" s="693">
        <f>IF('A1.3.12'!D79="","",'A1.3.12'!D79*(1+VLOOKUP($B79,'A1.3.7'!$B$28:$O$118,12,)/100))</f>
        <v>44.222229455050766</v>
      </c>
      <c r="E79" s="691">
        <f>IF('A1.3.12'!E79="","",'A1.3.12'!E79*(1+VLOOKUP($B79,'A1.3.7'!$B$28:$O$118,12,)/100))</f>
        <v>9.3979410839230813</v>
      </c>
      <c r="F79" s="691">
        <f>IF('A1.3.12'!F79="","",'A1.3.12'!F79*(1+VLOOKUP($B79,'A1.3.7'!$B$28:$O$118,12,)/100))</f>
        <v>-0.10705369382975717</v>
      </c>
      <c r="G79" s="2644">
        <f>IF('A1.3.12'!G79="","",'A1.3.12'!G79*(1+VLOOKUP($B79,'A1.3.7'!$B$28:$O$118,12,)/100))</f>
        <v>7.0900800054909876E-4</v>
      </c>
      <c r="H79" s="693">
        <f>IF('A1.3.12'!H79="","",'A1.3.12'!H79*(1+VLOOKUP($B79,'A1.3.7'!$B$28:$O$118,13,)/100))</f>
        <v>54.492968743277686</v>
      </c>
      <c r="I79" s="691">
        <f>IF('A1.3.12'!I79="","",'A1.3.12'!I79*(1+VLOOKUP($B79,'A1.3.7'!$B$28:$O$118,13,)/100))</f>
        <v>7.8129441082011279</v>
      </c>
      <c r="J79" s="691">
        <f>IF('A1.3.12'!J79="","",'A1.3.12'!J79*(1+VLOOKUP($B79,'A1.3.7'!$B$28:$O$118,13,)/100))</f>
        <v>-7.5162698856127613E-2</v>
      </c>
      <c r="K79" s="2644">
        <f>IF('A1.3.12'!K79="","",'A1.3.12'!K79*(1+VLOOKUP($B79,'A1.3.7'!$B$28:$O$118,13,)/100))</f>
        <v>5.9228583795515731E-4</v>
      </c>
      <c r="L79" s="693" t="str">
        <f>IF('A1.3.12'!L79="","",'A1.3.12'!L79*(1+VLOOKUP($B79,'A1.3.7'!$B$28:$O$118,14,)/100))</f>
        <v/>
      </c>
      <c r="M79" s="691">
        <f>IF('A1.3.12'!M79="","",'A1.3.12'!M79*(1+VLOOKUP($B79,'A1.3.7'!$B$28:$O$118,14,)/100))</f>
        <v>2.0619488699992319</v>
      </c>
      <c r="N79" s="691" t="str">
        <f>IF('A1.3.12'!N79="","",'A1.3.12'!N79*(1+VLOOKUP($B79,'A1.3.7'!$B$28:$O$118,14,)/100))</f>
        <v/>
      </c>
      <c r="O79" s="1664" t="str">
        <f>IF('A1.3.12'!O79="","",'A1.3.12'!O79*(1+VLOOKUP($B79,'A1.3.7'!$B$28:$O$118,14,)/100))</f>
        <v/>
      </c>
      <c r="P79" s="693">
        <f>IF(AND(D79="",H79="",L79=""),"",IF(D79="",0,D79 * VLOOKUP($B79,'A1.3.9'!$B$26:$O$57,3,TRUE)) + IF(H79="",0,H79 * VLOOKUP($B79,'A1.3.9'!$B$26:$O$57,4,TRUE)) + IF(L79="",0,L79 * VLOOKUP($B79,'A1.3.9'!$B$26:$O$57,5,TRUE)))</f>
        <v>36.670453532610594</v>
      </c>
      <c r="Q79" s="691">
        <f>IF(AND(E79="",I79="",M79=""),"",IF(E79="",0,E79 * VLOOKUP($B79,'A1.3.9'!$B$26:$O$57,3,TRUE)) + IF(I79="",0,I79 * VLOOKUP($B79,'A1.3.9'!$B$26:$O$57,4,TRUE)) + IF(M79="",0,M79 * VLOOKUP($B79,'A1.3.9'!$B$26:$O$57,5,TRUE)))</f>
        <v>7.130351259054839</v>
      </c>
      <c r="R79" s="691">
        <f>IF(AND(F79="",J79="",N79=""),"",IF(F79="",0,F79 * VLOOKUP($B79,'A1.3.9'!$B$26:$O$57,3,TRUE)) + IF(J79="",0,J79 * VLOOKUP($B79,'A1.3.9'!$B$26:$O$57,4,TRUE)) + IF(N79="",0,N79 * VLOOKUP($B79,'A1.3.9'!$B$26:$O$57,5,TRUE)))</f>
        <v>-7.1259423861786839E-2</v>
      </c>
      <c r="S79" s="2644">
        <f>IF(AND(G79="",K79="",O79=""),"",IF(G79="",0,G79 * VLOOKUP($B79,'A1.3.9'!$B$26:$O$57,3,TRUE)) + IF(K79="",0,K79 * VLOOKUP($B79,'A1.3.9'!$B$26:$O$57,4,TRUE)) + IF(O79="",0,O79 * VLOOKUP($B79,'A1.3.9'!$B$26:$O$57,5,TRUE)))</f>
        <v>5.0110216859579825E-4</v>
      </c>
      <c r="T79" s="693">
        <f>IF('A1.3.12'!T79="","",'A1.3.12'!T79*(1+VLOOKUP($B79,'A1.3.7'!$B$28:$O$118,12,)/100))</f>
        <v>31.810512058527458</v>
      </c>
      <c r="U79" s="691">
        <f>IF('A1.3.12'!U79="","",'A1.3.12'!U79*(1+VLOOKUP($B79,'A1.3.7'!$B$28:$O$118,12,)/100))</f>
        <v>17.837493765965693</v>
      </c>
      <c r="V79" s="691">
        <f>IF('A1.3.12'!V79="","",'A1.3.12'!V79*(1+VLOOKUP($B79,'A1.3.7'!$B$28:$O$118,12,)/100))</f>
        <v>-0.27999010243308736</v>
      </c>
      <c r="W79" s="2644">
        <f>IF('A1.3.12'!W79="","",'A1.3.12'!W79*(1+VLOOKUP($B79,'A1.3.7'!$B$28:$O$118,12,)/100))</f>
        <v>1.8081865453984935E-3</v>
      </c>
      <c r="X79" s="693">
        <f>IF('A1.3.12'!X79="","",'A1.3.12'!X79*(1+VLOOKUP($B79,'A1.3.7'!$B$28:$O$118,13,)/100))</f>
        <v>56.122471037635442</v>
      </c>
      <c r="Y79" s="691">
        <f>IF('A1.3.12'!Y79="","",'A1.3.12'!Y79*(1+VLOOKUP($B79,'A1.3.7'!$B$28:$O$118,13,)/100))</f>
        <v>13.716560639284923</v>
      </c>
      <c r="Z79" s="691">
        <f>IF('A1.3.12'!Z79="","",'A1.3.12'!Z79*(1+VLOOKUP($B79,'A1.3.7'!$B$28:$O$118,13,)/100))</f>
        <v>-0.19788631628866024</v>
      </c>
      <c r="AA79" s="2644">
        <f>IF('A1.3.12'!AA79="","",'A1.3.12'!AA79*(1+VLOOKUP($B79,'A1.3.7'!$B$28:$O$118,13,)/100))</f>
        <v>1.6753124534308378E-3</v>
      </c>
      <c r="AB79" s="693" t="str">
        <f>IF('A1.3.12'!AB79="","",'A1.3.12'!AB79*(1+VLOOKUP($B79,'A1.3.7'!$B$28:$O$118,14,)/100))</f>
        <v/>
      </c>
      <c r="AC79" s="691">
        <f>IF('A1.3.12'!AC79="","",'A1.3.12'!AC79*(1+VLOOKUP($B79,'A1.3.7'!$B$28:$O$118,14,)/100))</f>
        <v>4.7402914466537549</v>
      </c>
      <c r="AD79" s="691" t="str">
        <f>IF('A1.3.12'!AD79="","",'A1.3.12'!AD79*(1+VLOOKUP($B79,'A1.3.7'!$B$28:$O$118,14,)/100))</f>
        <v/>
      </c>
      <c r="AE79" s="1664" t="str">
        <f>IF('A1.3.12'!AE79="","",'A1.3.12'!AE79*(1+VLOOKUP($B79,'A1.3.7'!$B$28:$O$118,14,)/100))</f>
        <v/>
      </c>
      <c r="AF79" s="693">
        <f>IF(AND(T79="",X79="",AB79=""),"",IF(T79="",0,T79 * VLOOKUP($B79,'A1.3.9'!$B$26:$O$57,6,TRUE)) + IF(X79="",0,X79 * VLOOKUP($B79,'A1.3.9'!$B$26:$O$57,7,TRUE)) + IF(AB79="",0,AB79 * VLOOKUP($B79,'A1.3.9'!$B$26:$O$57,8,TRUE)))</f>
        <v>49.797162280437647</v>
      </c>
      <c r="AG79" s="691">
        <f>IF(AND(U79="",Y79="",AC79=""),"",IF(U79="",0,U79 * VLOOKUP($B79,'A1.3.9'!$B$26:$O$57,6,TRUE)) + IF(Y79="",0,Y79 * VLOOKUP($B79,'A1.3.9'!$B$26:$O$57,7,TRUE)) + IF(AC79="",0,AC79 * VLOOKUP($B79,'A1.3.9'!$B$26:$O$57,8,TRUE)))</f>
        <v>12.765608362732584</v>
      </c>
      <c r="AH79" s="691">
        <f>IF(AND(V79="",Z79="",AD79=""),"",IF(V79="",0,V79 * VLOOKUP($B79,'A1.3.9'!$B$26:$O$57,6,TRUE)) + IF(Z79="",0,Z79 * VLOOKUP($B79,'A1.3.9'!$B$26:$O$57,7,TRUE)) + IF(AD79="",0,AD79 * VLOOKUP($B79,'A1.3.9'!$B$26:$O$57,8,TRUE)))</f>
        <v>-0.17685580740821805</v>
      </c>
      <c r="AI79" s="2644">
        <f>IF(AND(W79="",AA79="",AE79=""),"",IF(W79="",0,W79 * VLOOKUP($B79,'A1.3.9'!$B$26:$O$57,6,TRUE)) + IF(AA79="",0,AA79 * VLOOKUP($B79,'A1.3.9'!$B$26:$O$57,7,TRUE)) + IF(AE79="",0,AE79 * VLOOKUP($B79,'A1.3.9'!$B$26:$O$57,8,TRUE)))</f>
        <v>1.4930050399905627E-3</v>
      </c>
    </row>
    <row r="80" spans="1:35" ht="13.5" customHeight="1">
      <c r="A80" s="113"/>
      <c r="B80" s="614">
        <f t="shared" si="0"/>
        <v>2063</v>
      </c>
      <c r="C80" s="147"/>
      <c r="D80" s="693">
        <f>IF('A1.3.12'!D80="","",'A1.3.12'!D80*(1+VLOOKUP($B80,'A1.3.7'!$B$28:$O$118,12,)/100))</f>
        <v>44.411537800599923</v>
      </c>
      <c r="E80" s="691">
        <f>IF('A1.3.12'!E80="","",'A1.3.12'!E80*(1+VLOOKUP($B80,'A1.3.7'!$B$28:$O$118,12,)/100))</f>
        <v>9.4381721781055727</v>
      </c>
      <c r="F80" s="691">
        <f>IF('A1.3.12'!F80="","",'A1.3.12'!F80*(1+VLOOKUP($B80,'A1.3.7'!$B$28:$O$118,12,)/100))</f>
        <v>-0.10751197370197475</v>
      </c>
      <c r="G80" s="2644">
        <f>IF('A1.3.12'!G80="","",'A1.3.12'!G80*(1+VLOOKUP($B80,'A1.3.7'!$B$28:$O$118,12,)/100))</f>
        <v>7.1204315126897596E-4</v>
      </c>
      <c r="H80" s="693">
        <f>IF('A1.3.12'!H80="","",'A1.3.12'!H80*(1+VLOOKUP($B80,'A1.3.7'!$B$28:$O$118,13,)/100))</f>
        <v>54.718363777072987</v>
      </c>
      <c r="I80" s="691">
        <f>IF('A1.3.12'!I80="","",'A1.3.12'!I80*(1+VLOOKUP($B80,'A1.3.7'!$B$28:$O$118,13,)/100))</f>
        <v>7.8452601820345258</v>
      </c>
      <c r="J80" s="691">
        <f>IF('A1.3.12'!J80="","",'A1.3.12'!J80*(1+VLOOKUP($B80,'A1.3.7'!$B$28:$O$118,13,)/100))</f>
        <v>-7.5473588489038512E-2</v>
      </c>
      <c r="K80" s="2644">
        <f>IF('A1.3.12'!K80="","",'A1.3.12'!K80*(1+VLOOKUP($B80,'A1.3.7'!$B$28:$O$118,13,)/100))</f>
        <v>5.9473566386006099E-4</v>
      </c>
      <c r="L80" s="693" t="str">
        <f>IF('A1.3.12'!L80="","",'A1.3.12'!L80*(1+VLOOKUP($B80,'A1.3.7'!$B$28:$O$118,14,)/100))</f>
        <v/>
      </c>
      <c r="M80" s="691">
        <f>IF('A1.3.12'!M80="","",'A1.3.12'!M80*(1+VLOOKUP($B80,'A1.3.7'!$B$28:$O$118,14,)/100))</f>
        <v>2.0619488699992319</v>
      </c>
      <c r="N80" s="691" t="str">
        <f>IF('A1.3.12'!N80="","",'A1.3.12'!N80*(1+VLOOKUP($B80,'A1.3.7'!$B$28:$O$118,14,)/100))</f>
        <v/>
      </c>
      <c r="O80" s="1664" t="str">
        <f>IF('A1.3.12'!O80="","",'A1.3.12'!O80*(1+VLOOKUP($B80,'A1.3.7'!$B$28:$O$118,14,)/100))</f>
        <v/>
      </c>
      <c r="P80" s="693">
        <f>IF(AND(D80="",H80="",L80=""),"",IF(D80="",0,D80 * VLOOKUP($B80,'A1.3.9'!$B$26:$O$57,3,TRUE)) + IF(H80="",0,H80 * VLOOKUP($B80,'A1.3.9'!$B$26:$O$57,4,TRUE)) + IF(L80="",0,L80 * VLOOKUP($B80,'A1.3.9'!$B$26:$O$57,5,TRUE)))</f>
        <v>36.825002157552866</v>
      </c>
      <c r="Q80" s="691">
        <f>IF(AND(E80="",I80="",M80=""),"",IF(E80="",0,E80 * VLOOKUP($B80,'A1.3.9'!$B$26:$O$57,3,TRUE)) + IF(I80="",0,I80 * VLOOKUP($B80,'A1.3.9'!$B$26:$O$57,4,TRUE)) + IF(M80="",0,M80 * VLOOKUP($B80,'A1.3.9'!$B$26:$O$57,5,TRUE)))</f>
        <v>7.1583865583478339</v>
      </c>
      <c r="R80" s="691">
        <f>IF(AND(F80="",J80="",N80=""),"",IF(F80="",0,F80 * VLOOKUP($B80,'A1.3.9'!$B$26:$O$57,3,TRUE)) + IF(J80="",0,J80 * VLOOKUP($B80,'A1.3.9'!$B$26:$O$57,4,TRUE)) + IF(N80="",0,N80 * VLOOKUP($B80,'A1.3.9'!$B$26:$O$57,5,TRUE)))</f>
        <v>-7.156111998547314E-2</v>
      </c>
      <c r="S80" s="2644">
        <f>IF(AND(G80="",K80="",O80=""),"",IF(G80="",0,G80 * VLOOKUP($B80,'A1.3.9'!$B$26:$O$57,3,TRUE)) + IF(K80="",0,K80 * VLOOKUP($B80,'A1.3.9'!$B$26:$O$57,4,TRUE)) + IF(O80="",0,O80 * VLOOKUP($B80,'A1.3.9'!$B$26:$O$57,5,TRUE)))</f>
        <v>5.0322087649864729E-4</v>
      </c>
      <c r="T80" s="693">
        <f>IF('A1.3.12'!T80="","",'A1.3.12'!T80*(1+VLOOKUP($B80,'A1.3.7'!$B$28:$O$118,12,)/100))</f>
        <v>31.946687811832533</v>
      </c>
      <c r="U80" s="691">
        <f>IF('A1.3.12'!U80="","",'A1.3.12'!U80*(1+VLOOKUP($B80,'A1.3.7'!$B$28:$O$118,12,)/100))</f>
        <v>17.913853245693204</v>
      </c>
      <c r="V80" s="691">
        <f>IF('A1.3.12'!V80="","",'A1.3.12'!V80*(1+VLOOKUP($B80,'A1.3.7'!$B$28:$O$118,12,)/100))</f>
        <v>-0.28118869562286813</v>
      </c>
      <c r="W80" s="2644">
        <f>IF('A1.3.12'!W80="","",'A1.3.12'!W80*(1+VLOOKUP($B80,'A1.3.7'!$B$28:$O$118,12,)/100))</f>
        <v>1.8159271050123315E-3</v>
      </c>
      <c r="X80" s="693">
        <f>IF('A1.3.12'!X80="","",'A1.3.12'!X80*(1+VLOOKUP($B80,'A1.3.7'!$B$28:$O$118,13,)/100))</f>
        <v>56.354606055197024</v>
      </c>
      <c r="Y80" s="691">
        <f>IF('A1.3.12'!Y80="","",'A1.3.12'!Y80*(1+VLOOKUP($B80,'A1.3.7'!$B$28:$O$118,13,)/100))</f>
        <v>13.773295383604173</v>
      </c>
      <c r="Z80" s="691">
        <f>IF('A1.3.12'!Z80="","",'A1.3.12'!Z80*(1+VLOOKUP($B80,'A1.3.7'!$B$28:$O$118,13,)/100))</f>
        <v>-0.19870481808762883</v>
      </c>
      <c r="AA80" s="2644">
        <f>IF('A1.3.12'!AA80="","",'A1.3.12'!AA80*(1+VLOOKUP($B80,'A1.3.7'!$B$28:$O$118,13,)/100))</f>
        <v>1.6822419181997273E-3</v>
      </c>
      <c r="AB80" s="693" t="str">
        <f>IF('A1.3.12'!AB80="","",'A1.3.12'!AB80*(1+VLOOKUP($B80,'A1.3.7'!$B$28:$O$118,14,)/100))</f>
        <v/>
      </c>
      <c r="AC80" s="691">
        <f>IF('A1.3.12'!AC80="","",'A1.3.12'!AC80*(1+VLOOKUP($B80,'A1.3.7'!$B$28:$O$118,14,)/100))</f>
        <v>4.7402914466537549</v>
      </c>
      <c r="AD80" s="691" t="str">
        <f>IF('A1.3.12'!AD80="","",'A1.3.12'!AD80*(1+VLOOKUP($B80,'A1.3.7'!$B$28:$O$118,14,)/100))</f>
        <v/>
      </c>
      <c r="AE80" s="1664" t="str">
        <f>IF('A1.3.12'!AE80="","",'A1.3.12'!AE80*(1+VLOOKUP($B80,'A1.3.7'!$B$28:$O$118,14,)/100))</f>
        <v/>
      </c>
      <c r="AF80" s="693">
        <f>IF(AND(T80="",X80="",AB80=""),"",IF(T80="",0,T80 * VLOOKUP($B80,'A1.3.9'!$B$26:$O$57,6,TRUE)) + IF(X80="",0,X80 * VLOOKUP($B80,'A1.3.9'!$B$26:$O$57,7,TRUE)) + IF(AB80="",0,AB80 * VLOOKUP($B80,'A1.3.9'!$B$26:$O$57,8,TRUE)))</f>
        <v>50.003169292060655</v>
      </c>
      <c r="AG80" s="691">
        <f>IF(AND(U80="",Y80="",AC80=""),"",IF(U80="",0,U80 * VLOOKUP($B80,'A1.3.9'!$B$26:$O$57,6,TRUE)) + IF(Y80="",0,Y80 * VLOOKUP($B80,'A1.3.9'!$B$26:$O$57,7,TRUE)) + IF(AC80="",0,AC80 * VLOOKUP($B80,'A1.3.9'!$B$26:$O$57,8,TRUE)))</f>
        <v>12.816283902807715</v>
      </c>
      <c r="AH80" s="691">
        <f>IF(AND(V80="",Z80="",AD80=""),"",IF(V80="",0,V80 * VLOOKUP($B80,'A1.3.9'!$B$26:$O$57,6,TRUE)) + IF(Z80="",0,Z80 * VLOOKUP($B80,'A1.3.9'!$B$26:$O$57,7,TRUE)) + IF(AD80="",0,AD80 * VLOOKUP($B80,'A1.3.9'!$B$26:$O$57,8,TRUE)))</f>
        <v>-0.17758762933067809</v>
      </c>
      <c r="AI80" s="2644">
        <f>IF(AND(W80="",AA80="",AE80=""),"",IF(W80="",0,W80 * VLOOKUP($B80,'A1.3.9'!$B$26:$O$57,6,TRUE)) + IF(AA80="",0,AA80 * VLOOKUP($B80,'A1.3.9'!$B$26:$O$57,7,TRUE)) + IF(AE80="",0,AE80 * VLOOKUP($B80,'A1.3.9'!$B$26:$O$57,8,TRUE)))</f>
        <v>1.4991824232790721E-3</v>
      </c>
    </row>
    <row r="81" spans="1:35" ht="13.5" customHeight="1">
      <c r="A81" s="113"/>
      <c r="B81" s="614">
        <f t="shared" si="0"/>
        <v>2064</v>
      </c>
      <c r="C81" s="147"/>
      <c r="D81" s="693">
        <f>IF('A1.3.12'!D81="","",'A1.3.12'!D81*(1+VLOOKUP($B81,'A1.3.7'!$B$28:$O$118,12,)/100))</f>
        <v>44.60214151117242</v>
      </c>
      <c r="E81" s="691">
        <f>IF('A1.3.12'!E81="","",'A1.3.12'!E81*(1+VLOOKUP($B81,'A1.3.7'!$B$28:$O$118,12,)/100))</f>
        <v>9.4786785583675233</v>
      </c>
      <c r="F81" s="691">
        <f>IF('A1.3.12'!F81="","",'A1.3.12'!F81*(1+VLOOKUP($B81,'A1.3.7'!$B$28:$O$118,12,)/100))</f>
        <v>-0.10797338940909519</v>
      </c>
      <c r="G81" s="2644">
        <f>IF('A1.3.12'!G81="","",'A1.3.12'!G81*(1+VLOOKUP($B81,'A1.3.7'!$B$28:$O$118,12,)/100))</f>
        <v>7.1509907037110106E-4</v>
      </c>
      <c r="H81" s="693">
        <f>IF('A1.3.12'!H81="","",'A1.3.12'!H81*(1+VLOOKUP($B81,'A1.3.7'!$B$28:$O$118,13,)/100))</f>
        <v>54.945301103377169</v>
      </c>
      <c r="I81" s="691">
        <f>IF('A1.3.12'!I81="","",'A1.3.12'!I81*(1+VLOOKUP($B81,'A1.3.7'!$B$28:$O$118,13,)/100))</f>
        <v>7.8777973824728473</v>
      </c>
      <c r="J81" s="691">
        <f>IF('A1.3.12'!J81="","",'A1.3.12'!J81*(1+VLOOKUP($B81,'A1.3.7'!$B$28:$O$118,13,)/100))</f>
        <v>-7.5786605421490377E-2</v>
      </c>
      <c r="K81" s="2644">
        <f>IF('A1.3.12'!K81="","",'A1.3.12'!K81*(1+VLOOKUP($B81,'A1.3.7'!$B$28:$O$118,13,)/100))</f>
        <v>5.9720225299207544E-4</v>
      </c>
      <c r="L81" s="693" t="str">
        <f>IF('A1.3.12'!L81="","",'A1.3.12'!L81*(1+VLOOKUP($B81,'A1.3.7'!$B$28:$O$118,14,)/100))</f>
        <v/>
      </c>
      <c r="M81" s="691">
        <f>IF('A1.3.12'!M81="","",'A1.3.12'!M81*(1+VLOOKUP($B81,'A1.3.7'!$B$28:$O$118,14,)/100))</f>
        <v>2.0619488699992319</v>
      </c>
      <c r="N81" s="691" t="str">
        <f>IF('A1.3.12'!N81="","",'A1.3.12'!N81*(1+VLOOKUP($B81,'A1.3.7'!$B$28:$O$118,14,)/100))</f>
        <v/>
      </c>
      <c r="O81" s="1664" t="str">
        <f>IF('A1.3.12'!O81="","",'A1.3.12'!O81*(1+VLOOKUP($B81,'A1.3.7'!$B$28:$O$118,14,)/100))</f>
        <v/>
      </c>
      <c r="P81" s="693">
        <f>IF(AND(D81="",H81="",L81=""),"",IF(D81="",0,D81 * VLOOKUP($B81,'A1.3.9'!$B$26:$O$57,3,TRUE)) + IF(H81="",0,H81 * VLOOKUP($B81,'A1.3.9'!$B$26:$O$57,4,TRUE)) + IF(L81="",0,L81 * VLOOKUP($B81,'A1.3.9'!$B$26:$O$57,5,TRUE)))</f>
        <v>36.980608299967884</v>
      </c>
      <c r="Q81" s="691">
        <f>IF(AND(E81="",I81="",M81=""),"",IF(E81="",0,E81 * VLOOKUP($B81,'A1.3.9'!$B$26:$O$57,3,TRUE)) + IF(I81="",0,I81 * VLOOKUP($B81,'A1.3.9'!$B$26:$O$57,4,TRUE)) + IF(M81="",0,M81 * VLOOKUP($B81,'A1.3.9'!$B$26:$O$57,5,TRUE)))</f>
        <v>7.1866136925333581</v>
      </c>
      <c r="R81" s="691">
        <f>IF(AND(F81="",J81="",N81=""),"",IF(F81="",0,F81 * VLOOKUP($B81,'A1.3.9'!$B$26:$O$57,3,TRUE)) + IF(J81="",0,J81 * VLOOKUP($B81,'A1.3.9'!$B$26:$O$57,4,TRUE)) + IF(N81="",0,N81 * VLOOKUP($B81,'A1.3.9'!$B$26:$O$57,5,TRUE)))</f>
        <v>-7.1864880501012668E-2</v>
      </c>
      <c r="S81" s="2644">
        <f>IF(AND(G81="",K81="",O81=""),"",IF(G81="",0,G81 * VLOOKUP($B81,'A1.3.9'!$B$26:$O$57,3,TRUE)) + IF(K81="",0,K81 * VLOOKUP($B81,'A1.3.9'!$B$26:$O$57,4,TRUE)) + IF(O81="",0,O81 * VLOOKUP($B81,'A1.3.9'!$B$26:$O$57,5,TRUE)))</f>
        <v>5.0535408191402825E-4</v>
      </c>
      <c r="T81" s="693">
        <f>IF('A1.3.12'!T81="","",'A1.3.12'!T81*(1+VLOOKUP($B81,'A1.3.7'!$B$28:$O$118,12,)/100))</f>
        <v>32.083795364036099</v>
      </c>
      <c r="U81" s="691">
        <f>IF('A1.3.12'!U81="","",'A1.3.12'!U81*(1+VLOOKUP($B81,'A1.3.7'!$B$28:$O$118,12,)/100))</f>
        <v>17.990735224304498</v>
      </c>
      <c r="V81" s="691">
        <f>IF('A1.3.12'!V81="","",'A1.3.12'!V81*(1+VLOOKUP($B81,'A1.3.7'!$B$28:$O$118,12,)/100))</f>
        <v>-0.28239549033007671</v>
      </c>
      <c r="W81" s="2644">
        <f>IF('A1.3.12'!W81="","",'A1.3.12'!W81*(1+VLOOKUP($B81,'A1.3.7'!$B$28:$O$118,12,)/100))</f>
        <v>1.8237206303322283E-3</v>
      </c>
      <c r="X81" s="693">
        <f>IF('A1.3.12'!X81="","",'A1.3.12'!X81*(1+VLOOKUP($B81,'A1.3.7'!$B$28:$O$118,13,)/100))</f>
        <v>56.588329484413492</v>
      </c>
      <c r="Y81" s="691">
        <f>IF('A1.3.12'!Y81="","",'A1.3.12'!Y81*(1+VLOOKUP($B81,'A1.3.7'!$B$28:$O$118,13,)/100))</f>
        <v>13.830418342205187</v>
      </c>
      <c r="Z81" s="691">
        <f>IF('A1.3.12'!Z81="","",'A1.3.12'!Z81*(1+VLOOKUP($B81,'A1.3.7'!$B$28:$O$118,13,)/100))</f>
        <v>-0.19952892058316909</v>
      </c>
      <c r="AA81" s="2644">
        <f>IF('A1.3.12'!AA81="","",'A1.3.12'!AA81*(1+VLOOKUP($B81,'A1.3.7'!$B$28:$O$118,13,)/100))</f>
        <v>1.689218798661073E-3</v>
      </c>
      <c r="AB81" s="693" t="str">
        <f>IF('A1.3.12'!AB81="","",'A1.3.12'!AB81*(1+VLOOKUP($B81,'A1.3.7'!$B$28:$O$118,14,)/100))</f>
        <v/>
      </c>
      <c r="AC81" s="691">
        <f>IF('A1.3.12'!AC81="","",'A1.3.12'!AC81*(1+VLOOKUP($B81,'A1.3.7'!$B$28:$O$118,14,)/100))</f>
        <v>4.7402914466537549</v>
      </c>
      <c r="AD81" s="691" t="str">
        <f>IF('A1.3.12'!AD81="","",'A1.3.12'!AD81*(1+VLOOKUP($B81,'A1.3.7'!$B$28:$O$118,14,)/100))</f>
        <v/>
      </c>
      <c r="AE81" s="1664" t="str">
        <f>IF('A1.3.12'!AE81="","",'A1.3.12'!AE81*(1+VLOOKUP($B81,'A1.3.7'!$B$28:$O$118,14,)/100))</f>
        <v/>
      </c>
      <c r="AF81" s="693">
        <f>IF(AND(T81="",X81="",AB81=""),"",IF(T81="",0,T81 * VLOOKUP($B81,'A1.3.9'!$B$26:$O$57,6,TRUE)) + IF(X81="",0,X81 * VLOOKUP($B81,'A1.3.9'!$B$26:$O$57,7,TRUE)) + IF(AB81="",0,AB81 * VLOOKUP($B81,'A1.3.9'!$B$26:$O$57,8,TRUE)))</f>
        <v>50.210585931329192</v>
      </c>
      <c r="AG81" s="691">
        <f>IF(AND(U81="",Y81="",AC81=""),"",IF(U81="",0,U81 * VLOOKUP($B81,'A1.3.9'!$B$26:$O$57,6,TRUE)) + IF(Y81="",0,Y81 * VLOOKUP($B81,'A1.3.9'!$B$26:$O$57,7,TRUE)) + IF(AC81="",0,AC81 * VLOOKUP($B81,'A1.3.9'!$B$26:$O$57,8,TRUE)))</f>
        <v>12.867306196334001</v>
      </c>
      <c r="AH81" s="691">
        <f>IF(AND(V81="",Z81="",AD81=""),"",IF(V81="",0,V81 * VLOOKUP($B81,'A1.3.9'!$B$26:$O$57,6,TRUE)) + IF(Z81="",0,Z81 * VLOOKUP($B81,'A1.3.9'!$B$26:$O$57,7,TRUE)) + IF(AD81="",0,AD81 * VLOOKUP($B81,'A1.3.9'!$B$26:$O$57,8,TRUE)))</f>
        <v>-0.17832445883227524</v>
      </c>
      <c r="AI81" s="2644">
        <f>IF(AND(W81="",AA81="",AE81=""),"",IF(W81="",0,W81 * VLOOKUP($B81,'A1.3.9'!$B$26:$O$57,6,TRUE)) + IF(AA81="",0,AA81 * VLOOKUP($B81,'A1.3.9'!$B$26:$O$57,7,TRUE)) + IF(AE81="",0,AE81 * VLOOKUP($B81,'A1.3.9'!$B$26:$O$57,8,TRUE)))</f>
        <v>1.5054020760524494E-3</v>
      </c>
    </row>
    <row r="82" spans="1:35" ht="13.5" customHeight="1">
      <c r="A82" s="113"/>
      <c r="B82" s="614">
        <f t="shared" si="0"/>
        <v>2065</v>
      </c>
      <c r="C82" s="147"/>
      <c r="D82" s="693">
        <f>IF('A1.3.12'!D82="","",'A1.3.12'!D82*(1+VLOOKUP($B82,'A1.3.7'!$B$28:$O$118,12,)/100))</f>
        <v>44.794049450458488</v>
      </c>
      <c r="E82" s="691">
        <f>IF('A1.3.12'!E82="","",'A1.3.12'!E82*(1+VLOOKUP($B82,'A1.3.7'!$B$28:$O$118,12,)/100))</f>
        <v>9.5194621083868807</v>
      </c>
      <c r="F82" s="691">
        <f>IF('A1.3.12'!F82="","",'A1.3.12'!F82*(1+VLOOKUP($B82,'A1.3.7'!$B$28:$O$118,12,)/100))</f>
        <v>-0.10843796240844415</v>
      </c>
      <c r="G82" s="2644">
        <f>IF('A1.3.12'!G82="","",'A1.3.12'!G82*(1+VLOOKUP($B82,'A1.3.7'!$B$28:$O$118,12,)/100))</f>
        <v>7.1817589996561553E-4</v>
      </c>
      <c r="H82" s="693">
        <f>IF('A1.3.12'!H82="","",'A1.3.12'!H82*(1+VLOOKUP($B82,'A1.3.7'!$B$28:$O$118,13,)/100))</f>
        <v>55.17379127551137</v>
      </c>
      <c r="I82" s="691">
        <f>IF('A1.3.12'!I82="","",'A1.3.12'!I82*(1+VLOOKUP($B82,'A1.3.7'!$B$28:$O$118,13,)/100))</f>
        <v>7.9105572226013585</v>
      </c>
      <c r="J82" s="691">
        <f>IF('A1.3.12'!J82="","",'A1.3.12'!J82*(1+VLOOKUP($B82,'A1.3.7'!$B$28:$O$118,13,)/100))</f>
        <v>-7.6101764209784997E-2</v>
      </c>
      <c r="K82" s="2644">
        <f>IF('A1.3.12'!K82="","",'A1.3.12'!K82*(1+VLOOKUP($B82,'A1.3.7'!$B$28:$O$118,13,)/100))</f>
        <v>5.9968572005558946E-4</v>
      </c>
      <c r="L82" s="693" t="str">
        <f>IF('A1.3.12'!L82="","",'A1.3.12'!L82*(1+VLOOKUP($B82,'A1.3.7'!$B$28:$O$118,14,)/100))</f>
        <v/>
      </c>
      <c r="M82" s="691">
        <f>IF('A1.3.12'!M82="","",'A1.3.12'!M82*(1+VLOOKUP($B82,'A1.3.7'!$B$28:$O$118,14,)/100))</f>
        <v>2.0619488699992319</v>
      </c>
      <c r="N82" s="691" t="str">
        <f>IF('A1.3.12'!N82="","",'A1.3.12'!N82*(1+VLOOKUP($B82,'A1.3.7'!$B$28:$O$118,14,)/100))</f>
        <v/>
      </c>
      <c r="O82" s="1664" t="str">
        <f>IF('A1.3.12'!O82="","",'A1.3.12'!O82*(1+VLOOKUP($B82,'A1.3.7'!$B$28:$O$118,14,)/100))</f>
        <v/>
      </c>
      <c r="P82" s="693">
        <f>IF(AND(D82="",H82="",L82=""),"",IF(D82="",0,D82 * VLOOKUP($B82,'A1.3.9'!$B$26:$O$57,3,TRUE)) + IF(H82="",0,H82 * VLOOKUP($B82,'A1.3.9'!$B$26:$O$57,4,TRUE)) + IF(L82="",0,L82 * VLOOKUP($B82,'A1.3.9'!$B$26:$O$57,5,TRUE)))</f>
        <v>37.13727919604554</v>
      </c>
      <c r="Q82" s="691">
        <f>IF(AND(E82="",I82="",M82=""),"",IF(E82="",0,E82 * VLOOKUP($B82,'A1.3.9'!$B$26:$O$57,3,TRUE)) + IF(I82="",0,I82 * VLOOKUP($B82,'A1.3.9'!$B$26:$O$57,4,TRUE)) + IF(M82="",0,M82 * VLOOKUP($B82,'A1.3.9'!$B$26:$O$57,5,TRUE)))</f>
        <v>7.2150339742646228</v>
      </c>
      <c r="R82" s="691">
        <f>IF(AND(F82="",J82="",N82=""),"",IF(F82="",0,F82 * VLOOKUP($B82,'A1.3.9'!$B$26:$O$57,3,TRUE)) + IF(J82="",0,J82 * VLOOKUP($B82,'A1.3.9'!$B$26:$O$57,4,TRUE)) + IF(N82="",0,N82 * VLOOKUP($B82,'A1.3.9'!$B$26:$O$57,5,TRUE)))</f>
        <v>-7.217071953425383E-2</v>
      </c>
      <c r="S82" s="2644">
        <f>IF(AND(G82="",K82="",O82=""),"",IF(G82="",0,G82 * VLOOKUP($B82,'A1.3.9'!$B$26:$O$57,3,TRUE)) + IF(K82="",0,K82 * VLOOKUP($B82,'A1.3.9'!$B$26:$O$57,4,TRUE)) + IF(O82="",0,O82 * VLOOKUP($B82,'A1.3.9'!$B$26:$O$57,5,TRUE)))</f>
        <v>5.075018840429062E-4</v>
      </c>
      <c r="T82" s="693">
        <f>IF('A1.3.12'!T82="","",'A1.3.12'!T82*(1+VLOOKUP($B82,'A1.3.7'!$B$28:$O$118,12,)/100))</f>
        <v>32.221841091083668</v>
      </c>
      <c r="U82" s="691">
        <f>IF('A1.3.12'!U82="","",'A1.3.12'!U82*(1+VLOOKUP($B82,'A1.3.7'!$B$28:$O$118,12,)/100))</f>
        <v>18.068143277060727</v>
      </c>
      <c r="V82" s="691">
        <f>IF('A1.3.12'!V82="","",'A1.3.12'!V82*(1+VLOOKUP($B82,'A1.3.7'!$B$28:$O$118,12,)/100))</f>
        <v>-0.28361054267457797</v>
      </c>
      <c r="W82" s="2644">
        <f>IF('A1.3.12'!W82="","",'A1.3.12'!W82*(1+VLOOKUP($B82,'A1.3.7'!$B$28:$O$118,12,)/100))</f>
        <v>1.8315674837823676E-3</v>
      </c>
      <c r="X82" s="693">
        <f>IF('A1.3.12'!X82="","",'A1.3.12'!X82*(1+VLOOKUP($B82,'A1.3.7'!$B$28:$O$118,13,)/100))</f>
        <v>56.823652194181776</v>
      </c>
      <c r="Y82" s="691">
        <f>IF('A1.3.12'!Y82="","",'A1.3.12'!Y82*(1+VLOOKUP($B82,'A1.3.7'!$B$28:$O$118,13,)/100))</f>
        <v>13.887932171490659</v>
      </c>
      <c r="Z82" s="691">
        <f>IF('A1.3.12'!Z82="","",'A1.3.12'!Z82*(1+VLOOKUP($B82,'A1.3.7'!$B$28:$O$118,13,)/100))</f>
        <v>-0.20035866209871789</v>
      </c>
      <c r="AA82" s="2644">
        <f>IF('A1.3.12'!AA82="","",'A1.3.12'!AA82*(1+VLOOKUP($B82,'A1.3.7'!$B$28:$O$118,13,)/100))</f>
        <v>1.6962434192624273E-3</v>
      </c>
      <c r="AB82" s="693" t="str">
        <f>IF('A1.3.12'!AB82="","",'A1.3.12'!AB82*(1+VLOOKUP($B82,'A1.3.7'!$B$28:$O$118,14,)/100))</f>
        <v/>
      </c>
      <c r="AC82" s="691">
        <f>IF('A1.3.12'!AC82="","",'A1.3.12'!AC82*(1+VLOOKUP($B82,'A1.3.7'!$B$28:$O$118,14,)/100))</f>
        <v>4.7402914466537549</v>
      </c>
      <c r="AD82" s="691" t="str">
        <f>IF('A1.3.12'!AD82="","",'A1.3.12'!AD82*(1+VLOOKUP($B82,'A1.3.7'!$B$28:$O$118,14,)/100))</f>
        <v/>
      </c>
      <c r="AE82" s="1664" t="str">
        <f>IF('A1.3.12'!AE82="","",'A1.3.12'!AE82*(1+VLOOKUP($B82,'A1.3.7'!$B$28:$O$118,14,)/100))</f>
        <v/>
      </c>
      <c r="AF82" s="693">
        <f>IF(AND(T82="",X82="",AB82=""),"",IF(T82="",0,T82 * VLOOKUP($B82,'A1.3.9'!$B$26:$O$57,6,TRUE)) + IF(X82="",0,X82 * VLOOKUP($B82,'A1.3.9'!$B$26:$O$57,7,TRUE)) + IF(AB82="",0,AB82 * VLOOKUP($B82,'A1.3.9'!$B$26:$O$57,8,TRUE)))</f>
        <v>50.419421843789202</v>
      </c>
      <c r="AG82" s="691">
        <f>IF(AND(U82="",Y82="",AC82=""),"",IF(U82="",0,U82 * VLOOKUP($B82,'A1.3.9'!$B$26:$O$57,6,TRUE)) + IF(Y82="",0,Y82 * VLOOKUP($B82,'A1.3.9'!$B$26:$O$57,7,TRUE)) + IF(AC82="",0,AC82 * VLOOKUP($B82,'A1.3.9'!$B$26:$O$57,8,TRUE)))</f>
        <v>12.918677616013444</v>
      </c>
      <c r="AH82" s="691">
        <f>IF(AND(V82="",Z82="",AD82=""),"",IF(V82="",0,V82 * VLOOKUP($B82,'A1.3.9'!$B$26:$O$57,6,TRUE)) + IF(Z82="",0,Z82 * VLOOKUP($B82,'A1.3.9'!$B$26:$O$57,7,TRUE)) + IF(AD82="",0,AD82 * VLOOKUP($B82,'A1.3.9'!$B$26:$O$57,8,TRUE)))</f>
        <v>-0.17906633017796933</v>
      </c>
      <c r="AI82" s="2644">
        <f>IF(AND(W82="",AA82="",AE82=""),"",IF(W82="",0,W82 * VLOOKUP($B82,'A1.3.9'!$B$26:$O$57,6,TRUE)) + IF(AA82="",0,AA82 * VLOOKUP($B82,'A1.3.9'!$B$26:$O$57,7,TRUE)) + IF(AE82="",0,AE82 * VLOOKUP($B82,'A1.3.9'!$B$26:$O$57,8,TRUE)))</f>
        <v>1.5116642875447057E-3</v>
      </c>
    </row>
    <row r="83" spans="1:35" ht="13.5" customHeight="1">
      <c r="A83" s="113"/>
      <c r="B83" s="614">
        <f t="shared" si="0"/>
        <v>2066</v>
      </c>
      <c r="C83" s="147"/>
      <c r="D83" s="693">
        <f>IF('A1.3.12'!D83="","",'A1.3.12'!D83*(1+VLOOKUP($B83,'A1.3.7'!$B$28:$O$118,12,)/100))</f>
        <v>44.987270542799308</v>
      </c>
      <c r="E83" s="691">
        <f>IF('A1.3.12'!E83="","",'A1.3.12'!E83*(1+VLOOKUP($B83,'A1.3.7'!$B$28:$O$118,12,)/100))</f>
        <v>9.5605247247309073</v>
      </c>
      <c r="F83" s="691">
        <f>IF('A1.3.12'!F83="","",'A1.3.12'!F83*(1+VLOOKUP($B83,'A1.3.7'!$B$28:$O$118,12,)/100))</f>
        <v>-0.10890571430417184</v>
      </c>
      <c r="G83" s="2644">
        <f>IF('A1.3.12'!G83="","",'A1.3.12'!G83*(1+VLOOKUP($B83,'A1.3.7'!$B$28:$O$118,12,)/100))</f>
        <v>7.2127378313506833E-4</v>
      </c>
      <c r="H83" s="693">
        <f>IF('A1.3.12'!H83="","",'A1.3.12'!H83*(1+VLOOKUP($B83,'A1.3.7'!$B$28:$O$118,13,)/100))</f>
        <v>55.40384491900916</v>
      </c>
      <c r="I83" s="691">
        <f>IF('A1.3.12'!I83="","",'A1.3.12'!I83*(1+VLOOKUP($B83,'A1.3.7'!$B$28:$O$118,13,)/100))</f>
        <v>7.9435412258588061</v>
      </c>
      <c r="J83" s="691">
        <f>IF('A1.3.12'!J83="","",'A1.3.12'!J83*(1+VLOOKUP($B83,'A1.3.7'!$B$28:$O$118,13,)/100))</f>
        <v>-7.6419079509827487E-2</v>
      </c>
      <c r="K83" s="2644">
        <f>IF('A1.3.12'!K83="","",'A1.3.12'!K83*(1+VLOOKUP($B83,'A1.3.7'!$B$28:$O$118,13,)/100))</f>
        <v>6.0218618053987049E-4</v>
      </c>
      <c r="L83" s="693" t="str">
        <f>IF('A1.3.12'!L83="","",'A1.3.12'!L83*(1+VLOOKUP($B83,'A1.3.7'!$B$28:$O$118,14,)/100))</f>
        <v/>
      </c>
      <c r="M83" s="691">
        <f>IF('A1.3.12'!M83="","",'A1.3.12'!M83*(1+VLOOKUP($B83,'A1.3.7'!$B$28:$O$118,14,)/100))</f>
        <v>2.0619488699992319</v>
      </c>
      <c r="N83" s="691" t="str">
        <f>IF('A1.3.12'!N83="","",'A1.3.12'!N83*(1+VLOOKUP($B83,'A1.3.7'!$B$28:$O$118,14,)/100))</f>
        <v/>
      </c>
      <c r="O83" s="1664" t="str">
        <f>IF('A1.3.12'!O83="","",'A1.3.12'!O83*(1+VLOOKUP($B83,'A1.3.7'!$B$28:$O$118,14,)/100))</f>
        <v/>
      </c>
      <c r="P83" s="693">
        <f>IF(AND(D83="",H83="",L83=""),"",IF(D83="",0,D83 * VLOOKUP($B83,'A1.3.9'!$B$26:$O$57,3,TRUE)) + IF(H83="",0,H83 * VLOOKUP($B83,'A1.3.9'!$B$26:$O$57,4,TRUE)) + IF(L83="",0,L83 * VLOOKUP($B83,'A1.3.9'!$B$26:$O$57,5,TRUE)))</f>
        <v>37.295022131490313</v>
      </c>
      <c r="Q83" s="691">
        <f>IF(AND(E83="",I83="",M83=""),"",IF(E83="",0,E83 * VLOOKUP($B83,'A1.3.9'!$B$26:$O$57,3,TRUE)) + IF(I83="",0,I83 * VLOOKUP($B83,'A1.3.9'!$B$26:$O$57,4,TRUE)) + IF(M83="",0,M83 * VLOOKUP($B83,'A1.3.9'!$B$26:$O$57,5,TRUE)))</f>
        <v>7.2436487251768469</v>
      </c>
      <c r="R83" s="691">
        <f>IF(AND(F83="",J83="",N83=""),"",IF(F83="",0,F83 * VLOOKUP($B83,'A1.3.9'!$B$26:$O$57,3,TRUE)) + IF(J83="",0,J83 * VLOOKUP($B83,'A1.3.9'!$B$26:$O$57,4,TRUE)) + IF(N83="",0,N83 * VLOOKUP($B83,'A1.3.9'!$B$26:$O$57,5,TRUE)))</f>
        <v>-7.2478651307702868E-2</v>
      </c>
      <c r="S83" s="2644">
        <f>IF(AND(G83="",K83="",O83=""),"",IF(G83="",0,G83 * VLOOKUP($B83,'A1.3.9'!$B$26:$O$57,3,TRUE)) + IF(K83="",0,K83 * VLOOKUP($B83,'A1.3.9'!$B$26:$O$57,4,TRUE)) + IF(O83="",0,O83 * VLOOKUP($B83,'A1.3.9'!$B$26:$O$57,5,TRUE)))</f>
        <v>5.0966438276504162E-4</v>
      </c>
      <c r="T83" s="693">
        <f>IF('A1.3.12'!T83="","",'A1.3.12'!T83*(1+VLOOKUP($B83,'A1.3.7'!$B$28:$O$118,12,)/100))</f>
        <v>32.360831412548961</v>
      </c>
      <c r="U83" s="691">
        <f>IF('A1.3.12'!U83="","",'A1.3.12'!U83*(1+VLOOKUP($B83,'A1.3.7'!$B$28:$O$118,12,)/100))</f>
        <v>18.146081003687236</v>
      </c>
      <c r="V83" s="691">
        <f>IF('A1.3.12'!V83="","",'A1.3.12'!V83*(1+VLOOKUP($B83,'A1.3.7'!$B$28:$O$118,12,)/100))</f>
        <v>-0.28483390916024393</v>
      </c>
      <c r="W83" s="2644">
        <f>IF('A1.3.12'!W83="","",'A1.3.12'!W83*(1+VLOOKUP($B83,'A1.3.7'!$B$28:$O$118,12,)/100))</f>
        <v>1.8394680302668681E-3</v>
      </c>
      <c r="X83" s="693">
        <f>IF('A1.3.12'!X83="","",'A1.3.12'!X83*(1+VLOOKUP($B83,'A1.3.7'!$B$28:$O$118,13,)/100))</f>
        <v>57.060585127770572</v>
      </c>
      <c r="Y83" s="691">
        <f>IF('A1.3.12'!Y83="","",'A1.3.12'!Y83*(1+VLOOKUP($B83,'A1.3.7'!$B$28:$O$118,13,)/100))</f>
        <v>13.945839546040062</v>
      </c>
      <c r="Z83" s="691">
        <f>IF('A1.3.12'!Z83="","",'A1.3.12'!Z83*(1+VLOOKUP($B83,'A1.3.7'!$B$28:$O$118,13,)/100))</f>
        <v>-0.20119408121994492</v>
      </c>
      <c r="AA83" s="2644">
        <f>IF('A1.3.12'!AA83="","",'A1.3.12'!AA83*(1+VLOOKUP($B83,'A1.3.7'!$B$28:$O$118,13,)/100))</f>
        <v>1.7033161066714159E-3</v>
      </c>
      <c r="AB83" s="693" t="str">
        <f>IF('A1.3.12'!AB83="","",'A1.3.12'!AB83*(1+VLOOKUP($B83,'A1.3.7'!$B$28:$O$118,14,)/100))</f>
        <v/>
      </c>
      <c r="AC83" s="691">
        <f>IF('A1.3.12'!AC83="","",'A1.3.12'!AC83*(1+VLOOKUP($B83,'A1.3.7'!$B$28:$O$118,14,)/100))</f>
        <v>4.7402914466537549</v>
      </c>
      <c r="AD83" s="691" t="str">
        <f>IF('A1.3.12'!AD83="","",'A1.3.12'!AD83*(1+VLOOKUP($B83,'A1.3.7'!$B$28:$O$118,14,)/100))</f>
        <v/>
      </c>
      <c r="AE83" s="1664" t="str">
        <f>IF('A1.3.12'!AE83="","",'A1.3.12'!AE83*(1+VLOOKUP($B83,'A1.3.7'!$B$28:$O$118,14,)/100))</f>
        <v/>
      </c>
      <c r="AF83" s="693">
        <f>IF(AND(T83="",X83="",AB83=""),"",IF(T83="",0,T83 * VLOOKUP($B83,'A1.3.9'!$B$26:$O$57,6,TRUE)) + IF(X83="",0,X83 * VLOOKUP($B83,'A1.3.9'!$B$26:$O$57,7,TRUE)) + IF(AB83="",0,AB83 * VLOOKUP($B83,'A1.3.9'!$B$26:$O$57,8,TRUE)))</f>
        <v>50.629686740987459</v>
      </c>
      <c r="AG83" s="691">
        <f>IF(AND(U83="",Y83="",AC83=""),"",IF(U83="",0,U83 * VLOOKUP($B83,'A1.3.9'!$B$26:$O$57,6,TRUE)) + IF(Y83="",0,Y83 * VLOOKUP($B83,'A1.3.9'!$B$26:$O$57,7,TRUE)) + IF(AC83="",0,AC83 * VLOOKUP($B83,'A1.3.9'!$B$26:$O$57,8,TRUE)))</f>
        <v>12.970400550783559</v>
      </c>
      <c r="AH83" s="691">
        <f>IF(AND(V83="",Z83="",AD83=""),"",IF(V83="",0,V83 * VLOOKUP($B83,'A1.3.9'!$B$26:$O$57,6,TRUE)) + IF(Z83="",0,Z83 * VLOOKUP($B83,'A1.3.9'!$B$26:$O$57,7,TRUE)) + IF(AD83="",0,AD83 * VLOOKUP($B83,'A1.3.9'!$B$26:$O$57,8,TRUE)))</f>
        <v>-0.17981327786718229</v>
      </c>
      <c r="AI83" s="2644">
        <f>IF(AND(W83="",AA83="",AE83=""),"",IF(W83="",0,W83 * VLOOKUP($B83,'A1.3.9'!$B$26:$O$57,6,TRUE)) + IF(AA83="",0,AA83 * VLOOKUP($B83,'A1.3.9'!$B$26:$O$57,7,TRUE)) + IF(AE83="",0,AE83 * VLOOKUP($B83,'A1.3.9'!$B$26:$O$57,8,TRUE)))</f>
        <v>1.5179693489689719E-3</v>
      </c>
    </row>
    <row r="84" spans="1:35" ht="13.5" customHeight="1">
      <c r="A84" s="113"/>
      <c r="B84" s="614">
        <f t="shared" si="0"/>
        <v>2067</v>
      </c>
      <c r="C84" s="147"/>
      <c r="D84" s="693">
        <f>IF('A1.3.12'!D84="","",'A1.3.12'!D84*(1+VLOOKUP($B84,'A1.3.7'!$B$28:$O$118,12,)/100))</f>
        <v>45.181813773601881</v>
      </c>
      <c r="E84" s="691">
        <f>IF('A1.3.12'!E84="","",'A1.3.12'!E84*(1+VLOOKUP($B84,'A1.3.7'!$B$28:$O$118,12,)/100))</f>
        <v>9.6018683169443442</v>
      </c>
      <c r="F84" s="691">
        <f>IF('A1.3.12'!F84="","",'A1.3.12'!F84*(1+VLOOKUP($B84,'A1.3.7'!$B$28:$O$118,12,)/100))</f>
        <v>-0.10937666684825738</v>
      </c>
      <c r="G84" s="2644">
        <f>IF('A1.3.12'!G84="","",'A1.3.12'!G84*(1+VLOOKUP($B84,'A1.3.7'!$B$28:$O$118,12,)/100))</f>
        <v>7.243928639410665E-4</v>
      </c>
      <c r="H84" s="693">
        <f>IF('A1.3.12'!H84="","",'A1.3.12'!H84*(1+VLOOKUP($B84,'A1.3.7'!$B$28:$O$118,13,)/100))</f>
        <v>55.635472732110543</v>
      </c>
      <c r="I84" s="691">
        <f>IF('A1.3.12'!I84="","",'A1.3.12'!I84*(1+VLOOKUP($B84,'A1.3.7'!$B$28:$O$118,13,)/100))</f>
        <v>7.9767509261082381</v>
      </c>
      <c r="J84" s="691">
        <f>IF('A1.3.12'!J84="","",'A1.3.12'!J84*(1+VLOOKUP($B84,'A1.3.7'!$B$28:$O$118,13,)/100))</f>
        <v>-7.6738566077807699E-2</v>
      </c>
      <c r="K84" s="2644">
        <f>IF('A1.3.12'!K84="","",'A1.3.12'!K84*(1+VLOOKUP($B84,'A1.3.7'!$B$28:$O$118,13,)/100))</f>
        <v>6.0470375072443471E-4</v>
      </c>
      <c r="L84" s="693" t="str">
        <f>IF('A1.3.12'!L84="","",'A1.3.12'!L84*(1+VLOOKUP($B84,'A1.3.7'!$B$28:$O$118,14,)/100))</f>
        <v/>
      </c>
      <c r="M84" s="691">
        <f>IF('A1.3.12'!M84="","",'A1.3.12'!M84*(1+VLOOKUP($B84,'A1.3.7'!$B$28:$O$118,14,)/100))</f>
        <v>2.0619488699992319</v>
      </c>
      <c r="N84" s="691" t="str">
        <f>IF('A1.3.12'!N84="","",'A1.3.12'!N84*(1+VLOOKUP($B84,'A1.3.7'!$B$28:$O$118,14,)/100))</f>
        <v/>
      </c>
      <c r="O84" s="1664" t="str">
        <f>IF('A1.3.12'!O84="","",'A1.3.12'!O84*(1+VLOOKUP($B84,'A1.3.7'!$B$28:$O$118,14,)/100))</f>
        <v/>
      </c>
      <c r="P84" s="693">
        <f>IF(AND(D84="",H84="",L84=""),"",IF(D84="",0,D84 * VLOOKUP($B84,'A1.3.9'!$B$26:$O$57,3,TRUE)) + IF(H84="",0,H84 * VLOOKUP($B84,'A1.3.9'!$B$26:$O$57,4,TRUE)) + IF(L84="",0,L84 * VLOOKUP($B84,'A1.3.9'!$B$26:$O$57,5,TRUE)))</f>
        <v>37.453844441859914</v>
      </c>
      <c r="Q84" s="691">
        <f>IF(AND(E84="",I84="",M84=""),"",IF(E84="",0,E84 * VLOOKUP($B84,'A1.3.9'!$B$26:$O$57,3,TRUE)) + IF(I84="",0,I84 * VLOOKUP($B84,'A1.3.9'!$B$26:$O$57,4,TRUE)) + IF(M84="",0,M84 * VLOOKUP($B84,'A1.3.9'!$B$26:$O$57,5,TRUE)))</f>
        <v>7.2724592759486839</v>
      </c>
      <c r="R84" s="691">
        <f>IF(AND(F84="",J84="",N84=""),"",IF(F84="",0,F84 * VLOOKUP($B84,'A1.3.9'!$B$26:$O$57,3,TRUE)) + IF(J84="",0,J84 * VLOOKUP($B84,'A1.3.9'!$B$26:$O$57,4,TRUE)) + IF(N84="",0,N84 * VLOOKUP($B84,'A1.3.9'!$B$26:$O$57,5,TRUE)))</f>
        <v>-7.2788690141185289E-2</v>
      </c>
      <c r="S84" s="2644">
        <f>IF(AND(G84="",K84="",O84=""),"",IF(G84="",0,G84 * VLOOKUP($B84,'A1.3.9'!$B$26:$O$57,3,TRUE)) + IF(K84="",0,K84 * VLOOKUP($B84,'A1.3.9'!$B$26:$O$57,4,TRUE)) + IF(O84="",0,O84 * VLOOKUP($B84,'A1.3.9'!$B$26:$O$57,5,TRUE)))</f>
        <v>5.1184167864363312E-4</v>
      </c>
      <c r="T84" s="693">
        <f>IF('A1.3.12'!T84="","",'A1.3.12'!T84*(1+VLOOKUP($B84,'A1.3.7'!$B$28:$O$118,12,)/100))</f>
        <v>32.500772791932384</v>
      </c>
      <c r="U84" s="691">
        <f>IF('A1.3.12'!U84="","",'A1.3.12'!U84*(1+VLOOKUP($B84,'A1.3.7'!$B$28:$O$118,12,)/100))</f>
        <v>18.224552028540899</v>
      </c>
      <c r="V84" s="691">
        <f>IF('A1.3.12'!V84="","",'A1.3.12'!V84*(1+VLOOKUP($B84,'A1.3.7'!$B$28:$O$118,12,)/100))</f>
        <v>-0.286065646677581</v>
      </c>
      <c r="W84" s="2644">
        <f>IF('A1.3.12'!W84="","",'A1.3.12'!W84*(1+VLOOKUP($B84,'A1.3.7'!$B$28:$O$118,12,)/100))</f>
        <v>1.8474226371867457E-3</v>
      </c>
      <c r="X84" s="693">
        <f>IF('A1.3.12'!X84="","",'A1.3.12'!X84*(1+VLOOKUP($B84,'A1.3.7'!$B$28:$O$118,13,)/100))</f>
        <v>57.299139303329163</v>
      </c>
      <c r="Y84" s="691">
        <f>IF('A1.3.12'!Y84="","",'A1.3.12'!Y84*(1+VLOOKUP($B84,'A1.3.7'!$B$28:$O$118,13,)/100))</f>
        <v>14.004143158733983</v>
      </c>
      <c r="Z84" s="691">
        <f>IF('A1.3.12'!Z84="","",'A1.3.12'!Z84*(1+VLOOKUP($B84,'A1.3.7'!$B$28:$O$118,13,)/100))</f>
        <v>-0.2020352167965469</v>
      </c>
      <c r="AA84" s="2644">
        <f>IF('A1.3.12'!AA84="","",'A1.3.12'!AA84*(1+VLOOKUP($B84,'A1.3.7'!$B$28:$O$118,13,)/100))</f>
        <v>1.7104371897909249E-3</v>
      </c>
      <c r="AB84" s="693" t="str">
        <f>IF('A1.3.12'!AB84="","",'A1.3.12'!AB84*(1+VLOOKUP($B84,'A1.3.7'!$B$28:$O$118,14,)/100))</f>
        <v/>
      </c>
      <c r="AC84" s="691">
        <f>IF('A1.3.12'!AC84="","",'A1.3.12'!AC84*(1+VLOOKUP($B84,'A1.3.7'!$B$28:$O$118,14,)/100))</f>
        <v>4.7402914466537549</v>
      </c>
      <c r="AD84" s="691" t="str">
        <f>IF('A1.3.12'!AD84="","",'A1.3.12'!AD84*(1+VLOOKUP($B84,'A1.3.7'!$B$28:$O$118,14,)/100))</f>
        <v/>
      </c>
      <c r="AE84" s="1664" t="str">
        <f>IF('A1.3.12'!AE84="","",'A1.3.12'!AE84*(1+VLOOKUP($B84,'A1.3.7'!$B$28:$O$118,14,)/100))</f>
        <v/>
      </c>
      <c r="AF84" s="693">
        <f>IF(AND(T84="",X84="",AB84=""),"",IF(T84="",0,T84 * VLOOKUP($B84,'A1.3.9'!$B$26:$O$57,6,TRUE)) + IF(X84="",0,X84 * VLOOKUP($B84,'A1.3.9'!$B$26:$O$57,7,TRUE)) + IF(AB84="",0,AB84 * VLOOKUP($B84,'A1.3.9'!$B$26:$O$57,8,TRUE)))</f>
        <v>50.841390400923125</v>
      </c>
      <c r="AG84" s="691">
        <f>IF(AND(U84="",Y84="",AC84=""),"",IF(U84="",0,U84 * VLOOKUP($B84,'A1.3.9'!$B$26:$O$57,6,TRUE)) + IF(Y84="",0,Y84 * VLOOKUP($B84,'A1.3.9'!$B$26:$O$57,7,TRUE)) + IF(AC84="",0,AC84 * VLOOKUP($B84,'A1.3.9'!$B$26:$O$57,8,TRUE)))</f>
        <v>13.022477405928443</v>
      </c>
      <c r="AH84" s="691">
        <f>IF(AND(V84="",Z84="",AD84=""),"",IF(V84="",0,V84 * VLOOKUP($B84,'A1.3.9'!$B$26:$O$57,6,TRUE)) + IF(Z84="",0,Z84 * VLOOKUP($B84,'A1.3.9'!$B$26:$O$57,7,TRUE)) + IF(AD84="",0,AD84 * VLOOKUP($B84,'A1.3.9'!$B$26:$O$57,8,TRUE)))</f>
        <v>-0.18056533663540258</v>
      </c>
      <c r="AI84" s="2644">
        <f>IF(AND(W84="",AA84="",AE84=""),"",IF(W84="",0,W84 * VLOOKUP($B84,'A1.3.9'!$B$26:$O$57,6,TRUE)) + IF(AA84="",0,AA84 * VLOOKUP($B84,'A1.3.9'!$B$26:$O$57,7,TRUE)) + IF(AE84="",0,AE84 * VLOOKUP($B84,'A1.3.9'!$B$26:$O$57,8,TRUE)))</f>
        <v>1.5243175535310379E-3</v>
      </c>
    </row>
    <row r="85" spans="1:35" ht="13.5" customHeight="1">
      <c r="A85" s="113"/>
      <c r="B85" s="614">
        <f t="shared" si="0"/>
        <v>2068</v>
      </c>
      <c r="C85" s="147"/>
      <c r="D85" s="693">
        <f>IF('A1.3.12'!D85="","",'A1.3.12'!D85*(1+VLOOKUP($B85,'A1.3.7'!$B$28:$O$118,12,)/100))</f>
        <v>45.377688189756981</v>
      </c>
      <c r="E85" s="691">
        <f>IF('A1.3.12'!E85="","",'A1.3.12'!E85*(1+VLOOKUP($B85,'A1.3.7'!$B$28:$O$118,12,)/100))</f>
        <v>9.6434948076382252</v>
      </c>
      <c r="F85" s="691">
        <f>IF('A1.3.12'!F85="","",'A1.3.12'!F85*(1+VLOOKUP($B85,'A1.3.7'!$B$28:$O$118,12,)/100))</f>
        <v>-0.10985084194152046</v>
      </c>
      <c r="G85" s="2644">
        <f>IF('A1.3.12'!G85="","",'A1.3.12'!G85*(1+VLOOKUP($B85,'A1.3.7'!$B$28:$O$118,12,)/100))</f>
        <v>7.2753328743097674E-4</v>
      </c>
      <c r="H85" s="693">
        <f>IF('A1.3.12'!H85="","",'A1.3.12'!H85*(1+VLOOKUP($B85,'A1.3.7'!$B$28:$O$118,13,)/100))</f>
        <v>55.868685486259544</v>
      </c>
      <c r="I85" s="691">
        <f>IF('A1.3.12'!I85="","",'A1.3.12'!I85*(1+VLOOKUP($B85,'A1.3.7'!$B$28:$O$118,13,)/100))</f>
        <v>8.0101878677083533</v>
      </c>
      <c r="J85" s="691">
        <f>IF('A1.3.12'!J85="","",'A1.3.12'!J85*(1+VLOOKUP($B85,'A1.3.7'!$B$28:$O$118,13,)/100))</f>
        <v>-7.7060238770886511E-2</v>
      </c>
      <c r="K85" s="2644">
        <f>IF('A1.3.12'!K85="","",'A1.3.12'!K85*(1+VLOOKUP($B85,'A1.3.7'!$B$28:$O$118,13,)/100))</f>
        <v>6.0723854768445558E-4</v>
      </c>
      <c r="L85" s="693" t="str">
        <f>IF('A1.3.12'!L85="","",'A1.3.12'!L85*(1+VLOOKUP($B85,'A1.3.7'!$B$28:$O$118,14,)/100))</f>
        <v/>
      </c>
      <c r="M85" s="691">
        <f>IF('A1.3.12'!M85="","",'A1.3.12'!M85*(1+VLOOKUP($B85,'A1.3.7'!$B$28:$O$118,14,)/100))</f>
        <v>2.0619488699992319</v>
      </c>
      <c r="N85" s="691" t="str">
        <f>IF('A1.3.12'!N85="","",'A1.3.12'!N85*(1+VLOOKUP($B85,'A1.3.7'!$B$28:$O$118,14,)/100))</f>
        <v/>
      </c>
      <c r="O85" s="1664" t="str">
        <f>IF('A1.3.12'!O85="","",'A1.3.12'!O85*(1+VLOOKUP($B85,'A1.3.7'!$B$28:$O$118,14,)/100))</f>
        <v/>
      </c>
      <c r="P85" s="693">
        <f>IF(AND(D85="",H85="",L85=""),"",IF(D85="",0,D85 * VLOOKUP($B85,'A1.3.9'!$B$26:$O$57,3,TRUE)) + IF(H85="",0,H85 * VLOOKUP($B85,'A1.3.9'!$B$26:$O$57,4,TRUE)) + IF(L85="",0,L85 * VLOOKUP($B85,'A1.3.9'!$B$26:$O$57,5,TRUE)))</f>
        <v>37.613753512906541</v>
      </c>
      <c r="Q85" s="691">
        <f>IF(AND(E85="",I85="",M85=""),"",IF(E85="",0,E85 * VLOOKUP($B85,'A1.3.9'!$B$26:$O$57,3,TRUE)) + IF(I85="",0,I85 * VLOOKUP($B85,'A1.3.9'!$B$26:$O$57,4,TRUE)) + IF(M85="",0,M85 * VLOOKUP($B85,'A1.3.9'!$B$26:$O$57,5,TRUE)))</f>
        <v>7.3014669663641225</v>
      </c>
      <c r="R85" s="691">
        <f>IF(AND(F85="",J85="",N85=""),"",IF(F85="",0,F85 * VLOOKUP($B85,'A1.3.9'!$B$26:$O$57,3,TRUE)) + IF(J85="",0,J85 * VLOOKUP($B85,'A1.3.9'!$B$26:$O$57,4,TRUE)) + IF(N85="",0,N85 * VLOOKUP($B85,'A1.3.9'!$B$26:$O$57,5,TRUE)))</f>
        <v>-7.310085045251169E-2</v>
      </c>
      <c r="S85" s="2644">
        <f>IF(AND(G85="",K85="",O85=""),"",IF(G85="",0,G85 * VLOOKUP($B85,'A1.3.9'!$B$26:$O$57,3,TRUE)) + IF(K85="",0,K85 * VLOOKUP($B85,'A1.3.9'!$B$26:$O$57,4,TRUE)) + IF(O85="",0,O85 * VLOOKUP($B85,'A1.3.9'!$B$26:$O$57,5,TRUE)))</f>
        <v>5.1403387292999619E-4</v>
      </c>
      <c r="T85" s="693">
        <f>IF('A1.3.12'!T85="","",'A1.3.12'!T85*(1+VLOOKUP($B85,'A1.3.7'!$B$28:$O$118,12,)/100))</f>
        <v>32.641671736961648</v>
      </c>
      <c r="U85" s="691">
        <f>IF('A1.3.12'!U85="","",'A1.3.12'!U85*(1+VLOOKUP($B85,'A1.3.7'!$B$28:$O$118,12,)/100))</f>
        <v>18.303560000778706</v>
      </c>
      <c r="V85" s="691">
        <f>IF('A1.3.12'!V85="","",'A1.3.12'!V85*(1+VLOOKUP($B85,'A1.3.7'!$B$28:$O$118,12,)/100))</f>
        <v>-0.28730581250637605</v>
      </c>
      <c r="W85" s="2644">
        <f>IF('A1.3.12'!W85="","",'A1.3.12'!W85*(1+VLOOKUP($B85,'A1.3.7'!$B$28:$O$118,12,)/100))</f>
        <v>1.8554316744570044E-3</v>
      </c>
      <c r="X85" s="693">
        <f>IF('A1.3.12'!X85="","",'A1.3.12'!X85*(1+VLOOKUP($B85,'A1.3.7'!$B$28:$O$118,13,)/100))</f>
        <v>57.539325814399909</v>
      </c>
      <c r="Y85" s="691">
        <f>IF('A1.3.12'!Y85="","",'A1.3.12'!Y85*(1+VLOOKUP($B85,'A1.3.7'!$B$28:$O$118,13,)/100))</f>
        <v>14.06284572087938</v>
      </c>
      <c r="Z85" s="691">
        <f>IF('A1.3.12'!Z85="","",'A1.3.12'!Z85*(1+VLOOKUP($B85,'A1.3.7'!$B$28:$O$118,13,)/100))</f>
        <v>-0.20288210794405431</v>
      </c>
      <c r="AA85" s="2644">
        <f>IF('A1.3.12'!AA85="","",'A1.3.12'!AA85*(1+VLOOKUP($B85,'A1.3.7'!$B$28:$O$118,13,)/100))</f>
        <v>1.7176069997743998E-3</v>
      </c>
      <c r="AB85" s="693" t="str">
        <f>IF('A1.3.12'!AB85="","",'A1.3.12'!AB85*(1+VLOOKUP($B85,'A1.3.7'!$B$28:$O$118,14,)/100))</f>
        <v/>
      </c>
      <c r="AC85" s="691">
        <f>IF('A1.3.12'!AC85="","",'A1.3.12'!AC85*(1+VLOOKUP($B85,'A1.3.7'!$B$28:$O$118,14,)/100))</f>
        <v>4.7402914466537549</v>
      </c>
      <c r="AD85" s="691" t="str">
        <f>IF('A1.3.12'!AD85="","",'A1.3.12'!AD85*(1+VLOOKUP($B85,'A1.3.7'!$B$28:$O$118,14,)/100))</f>
        <v/>
      </c>
      <c r="AE85" s="1664" t="str">
        <f>IF('A1.3.12'!AE85="","",'A1.3.12'!AE85*(1+VLOOKUP($B85,'A1.3.7'!$B$28:$O$118,14,)/100))</f>
        <v/>
      </c>
      <c r="AF85" s="693">
        <f>IF(AND(T85="",X85="",AB85=""),"",IF(T85="",0,T85 * VLOOKUP($B85,'A1.3.9'!$B$26:$O$57,6,TRUE)) + IF(X85="",0,X85 * VLOOKUP($B85,'A1.3.9'!$B$26:$O$57,7,TRUE)) + IF(AB85="",0,AB85 * VLOOKUP($B85,'A1.3.9'!$B$26:$O$57,8,TRUE)))</f>
        <v>51.054542668502549</v>
      </c>
      <c r="AG85" s="691">
        <f>IF(AND(U85="",Y85="",AC85=""),"",IF(U85="",0,U85 * VLOOKUP($B85,'A1.3.9'!$B$26:$O$57,6,TRUE)) + IF(Y85="",0,Y85 * VLOOKUP($B85,'A1.3.9'!$B$26:$O$57,7,TRUE)) + IF(AC85="",0,AC85 * VLOOKUP($B85,'A1.3.9'!$B$26:$O$57,8,TRUE)))</f>
        <v>13.074910603190645</v>
      </c>
      <c r="AH85" s="691">
        <f>IF(AND(V85="",Z85="",AD85=""),"",IF(V85="",0,V85 * VLOOKUP($B85,'A1.3.9'!$B$26:$O$57,6,TRUE)) + IF(Z85="",0,Z85 * VLOOKUP($B85,'A1.3.9'!$B$26:$O$57,7,TRUE)) + IF(AD85="",0,AD85 * VLOOKUP($B85,'A1.3.9'!$B$26:$O$57,8,TRUE)))</f>
        <v>-0.18132254145580037</v>
      </c>
      <c r="AI85" s="2644">
        <f>IF(AND(W85="",AA85="",AE85=""),"",IF(W85="",0,W85 * VLOOKUP($B85,'A1.3.9'!$B$26:$O$57,6,TRUE)) + IF(AA85="",0,AA85 * VLOOKUP($B85,'A1.3.9'!$B$26:$O$57,7,TRUE)) + IF(AE85="",0,AE85 * VLOOKUP($B85,'A1.3.9'!$B$26:$O$57,8,TRUE)))</f>
        <v>1.5307091964429915E-3</v>
      </c>
    </row>
    <row r="86" spans="1:35" ht="13.5" customHeight="1">
      <c r="A86" s="113"/>
      <c r="B86" s="614">
        <f t="shared" si="0"/>
        <v>2069</v>
      </c>
      <c r="C86" s="147"/>
      <c r="D86" s="693">
        <f>IF('A1.3.12'!D86="","",'A1.3.12'!D86*(1+VLOOKUP($B86,'A1.3.7'!$B$28:$O$118,12,)/100))</f>
        <v>45.574902900059776</v>
      </c>
      <c r="E86" s="691">
        <f>IF('A1.3.12'!E86="","",'A1.3.12'!E86*(1+VLOOKUP($B86,'A1.3.7'!$B$28:$O$118,12,)/100))</f>
        <v>9.6854061325792831</v>
      </c>
      <c r="F86" s="691">
        <f>IF('A1.3.12'!F86="","",'A1.3.12'!F86*(1+VLOOKUP($B86,'A1.3.7'!$B$28:$O$118,12,)/100))</f>
        <v>-0.11032826163463971</v>
      </c>
      <c r="G86" s="2644">
        <f>IF('A1.3.12'!G86="","",'A1.3.12'!G86*(1+VLOOKUP($B86,'A1.3.7'!$B$28:$O$118,12,)/100))</f>
        <v>7.3069519964466957E-4</v>
      </c>
      <c r="H86" s="693">
        <f>IF('A1.3.12'!H86="","",'A1.3.12'!H86*(1+VLOOKUP($B86,'A1.3.7'!$B$28:$O$118,13,)/100))</f>
        <v>56.103494026605077</v>
      </c>
      <c r="I86" s="691">
        <f>IF('A1.3.12'!I86="","",'A1.3.12'!I86*(1+VLOOKUP($B86,'A1.3.7'!$B$28:$O$118,13,)/100))</f>
        <v>8.0438536055853014</v>
      </c>
      <c r="J86" s="691">
        <f>IF('A1.3.12'!J86="","",'A1.3.12'!J86*(1+VLOOKUP($B86,'A1.3.7'!$B$28:$O$118,13,)/100))</f>
        <v>-7.7384112547886685E-2</v>
      </c>
      <c r="K86" s="2644">
        <f>IF('A1.3.12'!K86="","",'A1.3.12'!K86*(1+VLOOKUP($B86,'A1.3.7'!$B$28:$O$118,13,)/100))</f>
        <v>6.0979068929620684E-4</v>
      </c>
      <c r="L86" s="693" t="str">
        <f>IF('A1.3.12'!L86="","",'A1.3.12'!L86*(1+VLOOKUP($B86,'A1.3.7'!$B$28:$O$118,14,)/100))</f>
        <v/>
      </c>
      <c r="M86" s="691">
        <f>IF('A1.3.12'!M86="","",'A1.3.12'!M86*(1+VLOOKUP($B86,'A1.3.7'!$B$28:$O$118,14,)/100))</f>
        <v>2.0619488699992319</v>
      </c>
      <c r="N86" s="691" t="str">
        <f>IF('A1.3.12'!N86="","",'A1.3.12'!N86*(1+VLOOKUP($B86,'A1.3.7'!$B$28:$O$118,14,)/100))</f>
        <v/>
      </c>
      <c r="O86" s="1664" t="str">
        <f>IF('A1.3.12'!O86="","",'A1.3.12'!O86*(1+VLOOKUP($B86,'A1.3.7'!$B$28:$O$118,14,)/100))</f>
        <v/>
      </c>
      <c r="P86" s="693">
        <f>IF(AND(D86="",H86="",L86=""),"",IF(D86="",0,D86 * VLOOKUP($B86,'A1.3.9'!$B$26:$O$57,3,TRUE)) + IF(H86="",0,H86 * VLOOKUP($B86,'A1.3.9'!$B$26:$O$57,4,TRUE)) + IF(L86="",0,L86 * VLOOKUP($B86,'A1.3.9'!$B$26:$O$57,5,TRUE)))</f>
        <v>37.774756780920256</v>
      </c>
      <c r="Q86" s="691">
        <f>IF(AND(E86="",I86="",M86=""),"",IF(E86="",0,E86 * VLOOKUP($B86,'A1.3.9'!$B$26:$O$57,3,TRUE)) + IF(I86="",0,I86 * VLOOKUP($B86,'A1.3.9'!$B$26:$O$57,4,TRUE)) + IF(M86="",0,M86 * VLOOKUP($B86,'A1.3.9'!$B$26:$O$57,5,TRUE)))</f>
        <v>7.3306731453747798</v>
      </c>
      <c r="R86" s="691">
        <f>IF(AND(F86="",J86="",N86=""),"",IF(F86="",0,F86 * VLOOKUP($B86,'A1.3.9'!$B$26:$O$57,3,TRUE)) + IF(J86="",0,J86 * VLOOKUP($B86,'A1.3.9'!$B$26:$O$57,4,TRUE)) + IF(N86="",0,N86 * VLOOKUP($B86,'A1.3.9'!$B$26:$O$57,5,TRUE)))</f>
        <v>-7.3415146758148239E-2</v>
      </c>
      <c r="S86" s="2644">
        <f>IF(AND(G86="",K86="",O86=""),"",IF(G86="",0,G86 * VLOOKUP($B86,'A1.3.9'!$B$26:$O$57,3,TRUE)) + IF(K86="",0,K86 * VLOOKUP($B86,'A1.3.9'!$B$26:$O$57,4,TRUE)) + IF(O86="",0,O86 * VLOOKUP($B86,'A1.3.9'!$B$26:$O$57,5,TRUE)))</f>
        <v>5.1624106756826996E-4</v>
      </c>
      <c r="T86" s="693">
        <f>IF('A1.3.12'!T86="","",'A1.3.12'!T86*(1+VLOOKUP($B86,'A1.3.7'!$B$28:$O$118,12,)/100))</f>
        <v>32.783534799894348</v>
      </c>
      <c r="U86" s="691">
        <f>IF('A1.3.12'!U86="","",'A1.3.12'!U86*(1+VLOOKUP($B86,'A1.3.7'!$B$28:$O$118,12,)/100))</f>
        <v>18.383108594527435</v>
      </c>
      <c r="V86" s="691">
        <f>IF('A1.3.12'!V86="","",'A1.3.12'!V86*(1+VLOOKUP($B86,'A1.3.7'!$B$28:$O$118,12,)/100))</f>
        <v>-0.28855446431835935</v>
      </c>
      <c r="W86" s="2644">
        <f>IF('A1.3.12'!W86="","",'A1.3.12'!W86*(1+VLOOKUP($B86,'A1.3.7'!$B$28:$O$118,12,)/100))</f>
        <v>1.8634955145238339E-3</v>
      </c>
      <c r="X86" s="693">
        <f>IF('A1.3.12'!X86="","",'A1.3.12'!X86*(1+VLOOKUP($B86,'A1.3.7'!$B$28:$O$118,13,)/100))</f>
        <v>57.781155830433981</v>
      </c>
      <c r="Y86" s="691">
        <f>IF('A1.3.12'!Y86="","",'A1.3.12'!Y86*(1+VLOOKUP($B86,'A1.3.7'!$B$28:$O$118,13,)/100))</f>
        <v>14.121949962335647</v>
      </c>
      <c r="Z86" s="691">
        <f>IF('A1.3.12'!Z86="","",'A1.3.12'!Z86*(1+VLOOKUP($B86,'A1.3.7'!$B$28:$O$118,13,)/100))</f>
        <v>-0.20373479404565023</v>
      </c>
      <c r="AA86" s="2644">
        <f>IF('A1.3.12'!AA86="","",'A1.3.12'!AA86*(1+VLOOKUP($B86,'A1.3.7'!$B$28:$O$118,13,)/100))</f>
        <v>1.7248258700412417E-3</v>
      </c>
      <c r="AB86" s="693" t="str">
        <f>IF('A1.3.12'!AB86="","",'A1.3.12'!AB86*(1+VLOOKUP($B86,'A1.3.7'!$B$28:$O$118,14,)/100))</f>
        <v/>
      </c>
      <c r="AC86" s="691">
        <f>IF('A1.3.12'!AC86="","",'A1.3.12'!AC86*(1+VLOOKUP($B86,'A1.3.7'!$B$28:$O$118,14,)/100))</f>
        <v>4.7402914466537549</v>
      </c>
      <c r="AD86" s="691" t="str">
        <f>IF('A1.3.12'!AD86="","",'A1.3.12'!AD86*(1+VLOOKUP($B86,'A1.3.7'!$B$28:$O$118,14,)/100))</f>
        <v/>
      </c>
      <c r="AE86" s="1664" t="str">
        <f>IF('A1.3.12'!AE86="","",'A1.3.12'!AE86*(1+VLOOKUP($B86,'A1.3.7'!$B$28:$O$118,14,)/100))</f>
        <v/>
      </c>
      <c r="AF86" s="693">
        <f>IF(AND(T86="",X86="",AB86=""),"",IF(T86="",0,T86 * VLOOKUP($B86,'A1.3.9'!$B$26:$O$57,6,TRUE)) + IF(X86="",0,X86 * VLOOKUP($B86,'A1.3.9'!$B$26:$O$57,7,TRUE)) + IF(AB86="",0,AB86 * VLOOKUP($B86,'A1.3.9'!$B$26:$O$57,8,TRUE)))</f>
        <v>51.269153455996978</v>
      </c>
      <c r="AG86" s="691">
        <f>IF(AND(U86="",Y86="",AC86=""),"",IF(U86="",0,U86 * VLOOKUP($B86,'A1.3.9'!$B$26:$O$57,6,TRUE)) + IF(Y86="",0,Y86 * VLOOKUP($B86,'A1.3.9'!$B$26:$O$57,7,TRUE)) + IF(AC86="",0,AC86 * VLOOKUP($B86,'A1.3.9'!$B$26:$O$57,8,TRUE)))</f>
        <v>13.127702580883772</v>
      </c>
      <c r="AH86" s="691">
        <f>IF(AND(V86="",Z86="",AD86=""),"",IF(V86="",0,V86 * VLOOKUP($B86,'A1.3.9'!$B$26:$O$57,6,TRUE)) + IF(Z86="",0,Z86 * VLOOKUP($B86,'A1.3.9'!$B$26:$O$57,7,TRUE)) + IF(AD86="",0,AD86 * VLOOKUP($B86,'A1.3.9'!$B$26:$O$57,8,TRUE)))</f>
        <v>-0.18208492754085384</v>
      </c>
      <c r="AI86" s="2644">
        <f>IF(AND(W86="",AA86="",AE86=""),"",IF(W86="",0,W86 * VLOOKUP($B86,'A1.3.9'!$B$26:$O$57,6,TRUE)) + IF(AA86="",0,AA86 * VLOOKUP($B86,'A1.3.9'!$B$26:$O$57,7,TRUE)) + IF(AE86="",0,AE86 * VLOOKUP($B86,'A1.3.9'!$B$26:$O$57,8,TRUE)))</f>
        <v>1.5371445749369427E-3</v>
      </c>
    </row>
    <row r="87" spans="1:35" ht="13.5" customHeight="1">
      <c r="A87" s="113"/>
      <c r="B87" s="614">
        <f t="shared" si="0"/>
        <v>2070</v>
      </c>
      <c r="C87" s="147"/>
      <c r="D87" s="693">
        <f>IF('A1.3.12'!D87="","",'A1.3.12'!D87*(1+VLOOKUP($B87,'A1.3.7'!$B$28:$O$118,12,)/100))</f>
        <v>45.773467075633434</v>
      </c>
      <c r="E87" s="691">
        <f>IF('A1.3.12'!E87="","",'A1.3.12'!E87*(1+VLOOKUP($B87,'A1.3.7'!$B$28:$O$118,12,)/100))</f>
        <v>9.7276042407799537</v>
      </c>
      <c r="F87" s="691">
        <f>IF('A1.3.12'!F87="","",'A1.3.12'!F87*(1+VLOOKUP($B87,'A1.3.7'!$B$28:$O$118,12,)/100))</f>
        <v>-0.1108089481291781</v>
      </c>
      <c r="G87" s="2644">
        <f>IF('A1.3.12'!G87="","",'A1.3.12'!G87*(1+VLOOKUP($B87,'A1.3.7'!$B$28:$O$118,12,)/100))</f>
        <v>7.3387874762131033E-4</v>
      </c>
      <c r="H87" s="693">
        <f>IF('A1.3.12'!H87="","",'A1.3.12'!H87*(1+VLOOKUP($B87,'A1.3.7'!$B$28:$O$118,13,)/100))</f>
        <v>56.33990927250526</v>
      </c>
      <c r="I87" s="691">
        <f>IF('A1.3.12'!I87="","",'A1.3.12'!I87*(1+VLOOKUP($B87,'A1.3.7'!$B$28:$O$118,13,)/100))</f>
        <v>8.0777497053050045</v>
      </c>
      <c r="J87" s="691">
        <f>IF('A1.3.12'!J87="","",'A1.3.12'!J87*(1+VLOOKUP($B87,'A1.3.7'!$B$28:$O$118,13,)/100))</f>
        <v>-7.7710202469988526E-2</v>
      </c>
      <c r="K87" s="2644">
        <f>IF('A1.3.12'!K87="","",'A1.3.12'!K87*(1+VLOOKUP($B87,'A1.3.7'!$B$28:$O$118,13,)/100))</f>
        <v>6.1236029424254488E-4</v>
      </c>
      <c r="L87" s="693" t="str">
        <f>IF('A1.3.12'!L87="","",'A1.3.12'!L87*(1+VLOOKUP($B87,'A1.3.7'!$B$28:$O$118,14,)/100))</f>
        <v/>
      </c>
      <c r="M87" s="691">
        <f>IF('A1.3.12'!M87="","",'A1.3.12'!M87*(1+VLOOKUP($B87,'A1.3.7'!$B$28:$O$118,14,)/100))</f>
        <v>2.0619488699992319</v>
      </c>
      <c r="N87" s="691" t="str">
        <f>IF('A1.3.12'!N87="","",'A1.3.12'!N87*(1+VLOOKUP($B87,'A1.3.7'!$B$28:$O$118,14,)/100))</f>
        <v/>
      </c>
      <c r="O87" s="1664" t="str">
        <f>IF('A1.3.12'!O87="","",'A1.3.12'!O87*(1+VLOOKUP($B87,'A1.3.7'!$B$28:$O$118,14,)/100))</f>
        <v/>
      </c>
      <c r="P87" s="693">
        <f>IF(AND(D87="",H87="",L87=""),"",IF(D87="",0,D87 * VLOOKUP($B87,'A1.3.9'!$B$26:$O$57,3,TRUE)) + IF(H87="",0,H87 * VLOOKUP($B87,'A1.3.9'!$B$26:$O$57,4,TRUE)) + IF(L87="",0,L87 * VLOOKUP($B87,'A1.3.9'!$B$26:$O$57,5,TRUE)))</f>
        <v>37.936861733074807</v>
      </c>
      <c r="Q87" s="691">
        <f>IF(AND(E87="",I87="",M87=""),"",IF(E87="",0,E87 * VLOOKUP($B87,'A1.3.9'!$B$26:$O$57,3,TRUE)) + IF(I87="",0,I87 * VLOOKUP($B87,'A1.3.9'!$B$26:$O$57,4,TRUE)) + IF(M87="",0,M87 * VLOOKUP($B87,'A1.3.9'!$B$26:$O$57,5,TRUE)))</f>
        <v>7.360079171162635</v>
      </c>
      <c r="R87" s="691">
        <f>IF(AND(F87="",J87="",N87=""),"",IF(F87="",0,F87 * VLOOKUP($B87,'A1.3.9'!$B$26:$O$57,3,TRUE)) + IF(J87="",0,J87 * VLOOKUP($B87,'A1.3.9'!$B$26:$O$57,4,TRUE)) + IF(N87="",0,N87 * VLOOKUP($B87,'A1.3.9'!$B$26:$O$57,5,TRUE)))</f>
        <v>-7.373159367389176E-2</v>
      </c>
      <c r="S87" s="2644">
        <f>IF(AND(G87="",K87="",O87=""),"",IF(G87="",0,G87 * VLOOKUP($B87,'A1.3.9'!$B$26:$O$57,3,TRUE)) + IF(K87="",0,K87 * VLOOKUP($B87,'A1.3.9'!$B$26:$O$57,4,TRUE)) + IF(O87="",0,O87 * VLOOKUP($B87,'A1.3.9'!$B$26:$O$57,5,TRUE)))</f>
        <v>5.1846336520015857E-4</v>
      </c>
      <c r="T87" s="693">
        <f>IF('A1.3.12'!T87="","",'A1.3.12'!T87*(1+VLOOKUP($B87,'A1.3.7'!$B$28:$O$118,12,)/100))</f>
        <v>32.926368577822657</v>
      </c>
      <c r="U87" s="691">
        <f>IF('A1.3.12'!U87="","",'A1.3.12'!U87*(1+VLOOKUP($B87,'A1.3.7'!$B$28:$O$118,12,)/100))</f>
        <v>18.463201509054493</v>
      </c>
      <c r="V87" s="691">
        <f>IF('A1.3.12'!V87="","",'A1.3.12'!V87*(1+VLOOKUP($B87,'A1.3.7'!$B$28:$O$118,12,)/100))</f>
        <v>-0.28981166017988691</v>
      </c>
      <c r="W87" s="2644">
        <f>IF('A1.3.12'!W87="","",'A1.3.12'!W87*(1+VLOOKUP($B87,'A1.3.7'!$B$28:$O$118,12,)/100))</f>
        <v>1.8716145323819317E-3</v>
      </c>
      <c r="X87" s="693">
        <f>IF('A1.3.12'!X87="","",'A1.3.12'!X87*(1+VLOOKUP($B87,'A1.3.7'!$B$28:$O$118,13,)/100))</f>
        <v>58.024640597310913</v>
      </c>
      <c r="Y87" s="691">
        <f>IF('A1.3.12'!Y87="","",'A1.3.12'!Y87*(1+VLOOKUP($B87,'A1.3.7'!$B$28:$O$118,13,)/100))</f>
        <v>14.181458631641563</v>
      </c>
      <c r="Z87" s="691">
        <f>IF('A1.3.12'!Z87="","",'A1.3.12'!Z87*(1+VLOOKUP($B87,'A1.3.7'!$B$28:$O$118,13,)/100))</f>
        <v>-0.20459331475400191</v>
      </c>
      <c r="AA87" s="2644">
        <f>IF('A1.3.12'!AA87="","",'A1.3.12'!AA87*(1+VLOOKUP($B87,'A1.3.7'!$B$28:$O$118,13,)/100))</f>
        <v>1.7320941362923138E-3</v>
      </c>
      <c r="AB87" s="693" t="str">
        <f>IF('A1.3.12'!AB87="","",'A1.3.12'!AB87*(1+VLOOKUP($B87,'A1.3.7'!$B$28:$O$118,14,)/100))</f>
        <v/>
      </c>
      <c r="AC87" s="691">
        <f>IF('A1.3.12'!AC87="","",'A1.3.12'!AC87*(1+VLOOKUP($B87,'A1.3.7'!$B$28:$O$118,14,)/100))</f>
        <v>4.7402914466537549</v>
      </c>
      <c r="AD87" s="691" t="str">
        <f>IF('A1.3.12'!AD87="","",'A1.3.12'!AD87*(1+VLOOKUP($B87,'A1.3.7'!$B$28:$O$118,14,)/100))</f>
        <v/>
      </c>
      <c r="AE87" s="1664" t="str">
        <f>IF('A1.3.12'!AE87="","",'A1.3.12'!AE87*(1+VLOOKUP($B87,'A1.3.7'!$B$28:$O$118,14,)/100))</f>
        <v/>
      </c>
      <c r="AF87" s="693">
        <f>IF(AND(T87="",X87="",AB87=""),"",IF(T87="",0,T87 * VLOOKUP($B87,'A1.3.9'!$B$26:$O$57,6,TRUE)) + IF(X87="",0,X87 * VLOOKUP($B87,'A1.3.9'!$B$26:$O$57,7,TRUE)) + IF(AB87="",0,AB87 * VLOOKUP($B87,'A1.3.9'!$B$26:$O$57,8,TRUE)))</f>
        <v>51.485232743503595</v>
      </c>
      <c r="AG87" s="691">
        <f>IF(AND(U87="",Y87="",AC87=""),"",IF(U87="",0,U87 * VLOOKUP($B87,'A1.3.9'!$B$26:$O$57,6,TRUE)) + IF(Y87="",0,Y87 * VLOOKUP($B87,'A1.3.9'!$B$26:$O$57,7,TRUE)) + IF(AC87="",0,AC87 * VLOOKUP($B87,'A1.3.9'!$B$26:$O$57,8,TRUE)))</f>
        <v>13.180855794005884</v>
      </c>
      <c r="AH87" s="691">
        <f>IF(AND(V87="",Z87="",AD87=""),"",IF(V87="",0,V87 * VLOOKUP($B87,'A1.3.9'!$B$26:$O$57,6,TRUE)) + IF(Z87="",0,Z87 * VLOOKUP($B87,'A1.3.9'!$B$26:$O$57,7,TRUE)) + IF(AD87="",0,AD87 * VLOOKUP($B87,'A1.3.9'!$B$26:$O$57,8,TRUE)))</f>
        <v>-0.18285253034398682</v>
      </c>
      <c r="AI87" s="2644">
        <f>IF(AND(W87="",AA87="",AE87=""),"",IF(W87="",0,W87 * VLOOKUP($B87,'A1.3.9'!$B$26:$O$57,6,TRUE)) + IF(AA87="",0,AA87 * VLOOKUP($B87,'A1.3.9'!$B$26:$O$57,7,TRUE)) + IF(AE87="",0,AE87 * VLOOKUP($B87,'A1.3.9'!$B$26:$O$57,8,TRUE)))</f>
        <v>1.5436239882788486E-3</v>
      </c>
    </row>
    <row r="88" spans="1:35" ht="13.5" customHeight="1">
      <c r="A88" s="113"/>
      <c r="B88" s="614">
        <f t="shared" si="0"/>
        <v>2071</v>
      </c>
      <c r="C88" s="147"/>
      <c r="D88" s="693">
        <f>IF('A1.3.12'!D88="","",'A1.3.12'!D88*(1+VLOOKUP($B88,'A1.3.7'!$B$28:$O$118,12,)/100))</f>
        <v>45.973389950355724</v>
      </c>
      <c r="E88" s="691">
        <f>IF('A1.3.12'!E88="","",'A1.3.12'!E88*(1+VLOOKUP($B88,'A1.3.7'!$B$28:$O$118,12,)/100))</f>
        <v>9.7700910945890378</v>
      </c>
      <c r="F88" s="691">
        <f>IF('A1.3.12'!F88="","",'A1.3.12'!F88*(1+VLOOKUP($B88,'A1.3.7'!$B$28:$O$118,12,)/100))</f>
        <v>-0.11129292377861565</v>
      </c>
      <c r="G88" s="2644">
        <f>IF('A1.3.12'!G88="","",'A1.3.12'!G88*(1+VLOOKUP($B88,'A1.3.7'!$B$28:$O$118,12,)/100))</f>
        <v>7.3708407940619792E-4</v>
      </c>
      <c r="H88" s="693">
        <f>IF('A1.3.12'!H88="","",'A1.3.12'!H88*(1+VLOOKUP($B88,'A1.3.7'!$B$28:$O$118,13,)/100))</f>
        <v>56.577942218035282</v>
      </c>
      <c r="I88" s="691">
        <f>IF('A1.3.12'!I88="","",'A1.3.12'!I88*(1+VLOOKUP($B88,'A1.3.7'!$B$28:$O$118,13,)/100))</f>
        <v>8.111877743145957</v>
      </c>
      <c r="J88" s="691">
        <f>IF('A1.3.12'!J88="","",'A1.3.12'!J88*(1+VLOOKUP($B88,'A1.3.7'!$B$28:$O$118,13,)/100))</f>
        <v>-7.8038523701430274E-2</v>
      </c>
      <c r="K88" s="2644">
        <f>IF('A1.3.12'!K88="","",'A1.3.12'!K88*(1+VLOOKUP($B88,'A1.3.7'!$B$28:$O$118,13,)/100))</f>
        <v>6.1494748201842769E-4</v>
      </c>
      <c r="L88" s="693" t="str">
        <f>IF('A1.3.12'!L88="","",'A1.3.12'!L88*(1+VLOOKUP($B88,'A1.3.7'!$B$28:$O$118,14,)/100))</f>
        <v/>
      </c>
      <c r="M88" s="691">
        <f>IF('A1.3.12'!M88="","",'A1.3.12'!M88*(1+VLOOKUP($B88,'A1.3.7'!$B$28:$O$118,14,)/100))</f>
        <v>2.0619488699992319</v>
      </c>
      <c r="N88" s="691" t="str">
        <f>IF('A1.3.12'!N88="","",'A1.3.12'!N88*(1+VLOOKUP($B88,'A1.3.7'!$B$28:$O$118,14,)/100))</f>
        <v/>
      </c>
      <c r="O88" s="1664" t="str">
        <f>IF('A1.3.12'!O88="","",'A1.3.12'!O88*(1+VLOOKUP($B88,'A1.3.7'!$B$28:$O$118,14,)/100))</f>
        <v/>
      </c>
      <c r="P88" s="693">
        <f>IF(AND(D88="",H88="",L88=""),"",IF(D88="",0,D88 * VLOOKUP($B88,'A1.3.9'!$B$26:$O$57,3,TRUE)) + IF(H88="",0,H88 * VLOOKUP($B88,'A1.3.9'!$B$26:$O$57,4,TRUE)) + IF(L88="",0,L88 * VLOOKUP($B88,'A1.3.9'!$B$26:$O$57,5,TRUE)))</f>
        <v>38.100075907775903</v>
      </c>
      <c r="Q88" s="691">
        <f>IF(AND(E88="",I88="",M88=""),"",IF(E88="",0,E88 * VLOOKUP($B88,'A1.3.9'!$B$26:$O$57,3,TRUE)) + IF(I88="",0,I88 * VLOOKUP($B88,'A1.3.9'!$B$26:$O$57,4,TRUE)) + IF(M88="",0,M88 * VLOOKUP($B88,'A1.3.9'!$B$26:$O$57,5,TRUE)))</f>
        <v>7.3896864112031952</v>
      </c>
      <c r="R88" s="691">
        <f>IF(AND(F88="",J88="",N88=""),"",IF(F88="",0,F88 * VLOOKUP($B88,'A1.3.9'!$B$26:$O$57,3,TRUE)) + IF(J88="",0,J88 * VLOOKUP($B88,'A1.3.9'!$B$26:$O$57,4,TRUE)) + IF(N88="",0,N88 * VLOOKUP($B88,'A1.3.9'!$B$26:$O$57,5,TRUE)))</f>
        <v>-7.4050205915549505E-2</v>
      </c>
      <c r="S88" s="2644">
        <f>IF(AND(G88="",K88="",O88=""),"",IF(G88="",0,G88 * VLOOKUP($B88,'A1.3.9'!$B$26:$O$57,3,TRUE)) + IF(K88="",0,K88 * VLOOKUP($B88,'A1.3.9'!$B$26:$O$57,4,TRUE)) + IF(O88="",0,O88 * VLOOKUP($B88,'A1.3.9'!$B$26:$O$57,5,TRUE)))</f>
        <v>5.2070086916970412E-4</v>
      </c>
      <c r="T88" s="693">
        <f>IF('A1.3.12'!T88="","",'A1.3.12'!T88*(1+VLOOKUP($B88,'A1.3.7'!$B$28:$O$118,12,)/100))</f>
        <v>33.070179712980213</v>
      </c>
      <c r="U88" s="691">
        <f>IF('A1.3.12'!U88="","",'A1.3.12'!U88*(1+VLOOKUP($B88,'A1.3.7'!$B$28:$O$118,12,)/100))</f>
        <v>18.543842468940007</v>
      </c>
      <c r="V88" s="691">
        <f>IF('A1.3.12'!V88="","",'A1.3.12'!V88*(1+VLOOKUP($B88,'A1.3.7'!$B$28:$O$118,12,)/100))</f>
        <v>-0.29107745855464107</v>
      </c>
      <c r="W88" s="2644">
        <f>IF('A1.3.12'!W88="","",'A1.3.12'!W88*(1+VLOOKUP($B88,'A1.3.7'!$B$28:$O$118,12,)/100))</f>
        <v>1.8797891055919427E-3</v>
      </c>
      <c r="X88" s="693">
        <f>IF('A1.3.12'!X88="","",'A1.3.12'!X88*(1+VLOOKUP($B88,'A1.3.7'!$B$28:$O$118,13,)/100))</f>
        <v>58.269791437861493</v>
      </c>
      <c r="Y88" s="691">
        <f>IF('A1.3.12'!Y88="","",'A1.3.12'!Y88*(1+VLOOKUP($B88,'A1.3.7'!$B$28:$O$118,13,)/100))</f>
        <v>14.241374496143123</v>
      </c>
      <c r="Z88" s="691">
        <f>IF('A1.3.12'!Z88="","",'A1.3.12'!Z88*(1+VLOOKUP($B88,'A1.3.7'!$B$28:$O$118,13,)/100))</f>
        <v>-0.20545770999310484</v>
      </c>
      <c r="AA88" s="2644">
        <f>IF('A1.3.12'!AA88="","",'A1.3.12'!AA88*(1+VLOOKUP($B88,'A1.3.7'!$B$28:$O$118,13,)/100))</f>
        <v>1.7394121365255537E-3</v>
      </c>
      <c r="AB88" s="693" t="str">
        <f>IF('A1.3.12'!AB88="","",'A1.3.12'!AB88*(1+VLOOKUP($B88,'A1.3.7'!$B$28:$O$118,14,)/100))</f>
        <v/>
      </c>
      <c r="AC88" s="691">
        <f>IF('A1.3.12'!AC88="","",'A1.3.12'!AC88*(1+VLOOKUP($B88,'A1.3.7'!$B$28:$O$118,14,)/100))</f>
        <v>4.7402914466537549</v>
      </c>
      <c r="AD88" s="691" t="str">
        <f>IF('A1.3.12'!AD88="","",'A1.3.12'!AD88*(1+VLOOKUP($B88,'A1.3.7'!$B$28:$O$118,14,)/100))</f>
        <v/>
      </c>
      <c r="AE88" s="1664" t="str">
        <f>IF('A1.3.12'!AE88="","",'A1.3.12'!AE88*(1+VLOOKUP($B88,'A1.3.7'!$B$28:$O$118,14,)/100))</f>
        <v/>
      </c>
      <c r="AF88" s="693">
        <f>IF(AND(T88="",X88="",AB88=""),"",IF(T88="",0,T88 * VLOOKUP($B88,'A1.3.9'!$B$26:$O$57,6,TRUE)) + IF(X88="",0,X88 * VLOOKUP($B88,'A1.3.9'!$B$26:$O$57,7,TRUE)) + IF(AB88="",0,AB88 * VLOOKUP($B88,'A1.3.9'!$B$26:$O$57,8,TRUE)))</f>
        <v>51.702790579409573</v>
      </c>
      <c r="AG88" s="691">
        <f>IF(AND(U88="",Y88="",AC88=""),"",IF(U88="",0,U88 * VLOOKUP($B88,'A1.3.9'!$B$26:$O$57,6,TRUE)) + IF(Y88="",0,Y88 * VLOOKUP($B88,'A1.3.9'!$B$26:$O$57,7,TRUE)) + IF(AC88="",0,AC88 * VLOOKUP($B88,'A1.3.9'!$B$26:$O$57,8,TRUE)))</f>
        <v>13.234372714353659</v>
      </c>
      <c r="AH88" s="691">
        <f>IF(AND(V88="",Z88="",AD88=""),"",IF(V88="",0,V88 * VLOOKUP($B88,'A1.3.9'!$B$26:$O$57,6,TRUE)) + IF(Z88="",0,Z88 * VLOOKUP($B88,'A1.3.9'!$B$26:$O$57,7,TRUE)) + IF(AD88="",0,AD88 * VLOOKUP($B88,'A1.3.9'!$B$26:$O$57,8,TRUE)))</f>
        <v>-0.18362538556121757</v>
      </c>
      <c r="AI88" s="2644">
        <f>IF(AND(W88="",AA88="",AE88=""),"",IF(W88="",0,W88 * VLOOKUP($B88,'A1.3.9'!$B$26:$O$57,6,TRUE)) + IF(AA88="",0,AA88 * VLOOKUP($B88,'A1.3.9'!$B$26:$O$57,7,TRUE)) + IF(AE88="",0,AE88 * VLOOKUP($B88,'A1.3.9'!$B$26:$O$57,8,TRUE)))</f>
        <v>1.5501477377824293E-3</v>
      </c>
    </row>
    <row r="89" spans="1:35" ht="13.5" customHeight="1">
      <c r="A89" s="113"/>
      <c r="B89" s="614">
        <f t="shared" si="0"/>
        <v>2072</v>
      </c>
      <c r="C89" s="147"/>
      <c r="D89" s="693">
        <f>IF('A1.3.12'!D89="","",'A1.3.12'!D89*(1+VLOOKUP($B89,'A1.3.7'!$B$28:$O$118,12,)/100))</f>
        <v>46.17468082128822</v>
      </c>
      <c r="E89" s="691">
        <f>IF('A1.3.12'!E89="","",'A1.3.12'!E89*(1+VLOOKUP($B89,'A1.3.7'!$B$28:$O$118,12,)/100))</f>
        <v>9.8128686697829348</v>
      </c>
      <c r="F89" s="691">
        <f>IF('A1.3.12'!F89="","",'A1.3.12'!F89*(1+VLOOKUP($B89,'A1.3.7'!$B$28:$O$118,12,)/100))</f>
        <v>-0.11178021108938854</v>
      </c>
      <c r="G89" s="2644">
        <f>IF('A1.3.12'!G89="","",'A1.3.12'!G89*(1+VLOOKUP($B89,'A1.3.7'!$B$28:$O$118,12,)/100))</f>
        <v>7.4031134405764891E-4</v>
      </c>
      <c r="H89" s="693">
        <f>IF('A1.3.12'!H89="","",'A1.3.12'!H89*(1+VLOOKUP($B89,'A1.3.7'!$B$28:$O$118,13,)/100))</f>
        <v>56.817603932498535</v>
      </c>
      <c r="I89" s="691">
        <f>IF('A1.3.12'!I89="","",'A1.3.12'!I89*(1+VLOOKUP($B89,'A1.3.7'!$B$28:$O$118,13,)/100))</f>
        <v>8.1462393061725287</v>
      </c>
      <c r="J89" s="691">
        <f>IF('A1.3.12'!J89="","",'A1.3.12'!J89*(1+VLOOKUP($B89,'A1.3.7'!$B$28:$O$118,13,)/100))</f>
        <v>-7.8369091510213262E-2</v>
      </c>
      <c r="K89" s="2644">
        <f>IF('A1.3.12'!K89="","",'A1.3.12'!K89*(1+VLOOKUP($B89,'A1.3.7'!$B$28:$O$118,13,)/100))</f>
        <v>6.1755237293647212E-4</v>
      </c>
      <c r="L89" s="693" t="str">
        <f>IF('A1.3.12'!L89="","",'A1.3.12'!L89*(1+VLOOKUP($B89,'A1.3.7'!$B$28:$O$118,14,)/100))</f>
        <v/>
      </c>
      <c r="M89" s="691">
        <f>IF('A1.3.12'!M89="","",'A1.3.12'!M89*(1+VLOOKUP($B89,'A1.3.7'!$B$28:$O$118,14,)/100))</f>
        <v>2.0619488699992319</v>
      </c>
      <c r="N89" s="691" t="str">
        <f>IF('A1.3.12'!N89="","",'A1.3.12'!N89*(1+VLOOKUP($B89,'A1.3.7'!$B$28:$O$118,14,)/100))</f>
        <v/>
      </c>
      <c r="O89" s="1664" t="str">
        <f>IF('A1.3.12'!O89="","",'A1.3.12'!O89*(1+VLOOKUP($B89,'A1.3.7'!$B$28:$O$118,14,)/100))</f>
        <v/>
      </c>
      <c r="P89" s="693">
        <f>IF(AND(D89="",H89="",L89=""),"",IF(D89="",0,D89 * VLOOKUP($B89,'A1.3.9'!$B$26:$O$57,3,TRUE)) + IF(H89="",0,H89 * VLOOKUP($B89,'A1.3.9'!$B$26:$O$57,4,TRUE)) + IF(L89="",0,L89 * VLOOKUP($B89,'A1.3.9'!$B$26:$O$57,5,TRUE)))</f>
        <v>38.264406895011589</v>
      </c>
      <c r="Q89" s="691">
        <f>IF(AND(E89="",I89="",M89=""),"",IF(E89="",0,E89 * VLOOKUP($B89,'A1.3.9'!$B$26:$O$57,3,TRUE)) + IF(I89="",0,I89 * VLOOKUP($B89,'A1.3.9'!$B$26:$O$57,4,TRUE)) + IF(M89="",0,M89 * VLOOKUP($B89,'A1.3.9'!$B$26:$O$57,5,TRUE)))</f>
        <v>7.4194962423290765</v>
      </c>
      <c r="R89" s="691">
        <f>IF(AND(F89="",J89="",N89=""),"",IF(F89="",0,F89 * VLOOKUP($B89,'A1.3.9'!$B$26:$O$57,3,TRUE)) + IF(J89="",0,J89 * VLOOKUP($B89,'A1.3.9'!$B$26:$O$57,4,TRUE)) + IF(N89="",0,N89 * VLOOKUP($B89,'A1.3.9'!$B$26:$O$57,5,TRUE)))</f>
        <v>-7.4370998299623278E-2</v>
      </c>
      <c r="S89" s="2644">
        <f>IF(AND(G89="",K89="",O89=""),"",IF(G89="",0,G89 * VLOOKUP($B89,'A1.3.9'!$B$26:$O$57,3,TRUE)) + IF(K89="",0,K89 * VLOOKUP($B89,'A1.3.9'!$B$26:$O$57,4,TRUE)) + IF(O89="",0,O89 * VLOOKUP($B89,'A1.3.9'!$B$26:$O$57,5,TRUE)))</f>
        <v>5.2295368352809322E-4</v>
      </c>
      <c r="T89" s="693">
        <f>IF('A1.3.12'!T89="","",'A1.3.12'!T89*(1+VLOOKUP($B89,'A1.3.7'!$B$28:$O$118,12,)/100))</f>
        <v>33.214974893050865</v>
      </c>
      <c r="U89" s="691">
        <f>IF('A1.3.12'!U89="","",'A1.3.12'!U89*(1+VLOOKUP($B89,'A1.3.7'!$B$28:$O$118,12,)/100))</f>
        <v>18.625035224249952</v>
      </c>
      <c r="V89" s="691">
        <f>IF('A1.3.12'!V89="","",'A1.3.12'!V89*(1+VLOOKUP($B89,'A1.3.7'!$B$28:$O$118,12,)/100))</f>
        <v>-0.2923519183063486</v>
      </c>
      <c r="W89" s="2644">
        <f>IF('A1.3.12'!W89="","",'A1.3.12'!W89*(1+VLOOKUP($B89,'A1.3.7'!$B$28:$O$118,12,)/100))</f>
        <v>1.8880196142980145E-3</v>
      </c>
      <c r="X89" s="693">
        <f>IF('A1.3.12'!X89="","",'A1.3.12'!X89*(1+VLOOKUP($B89,'A1.3.7'!$B$28:$O$118,13,)/100))</f>
        <v>58.516619752394341</v>
      </c>
      <c r="Y89" s="691">
        <f>IF('A1.3.12'!Y89="","",'A1.3.12'!Y89*(1+VLOOKUP($B89,'A1.3.7'!$B$28:$O$118,13,)/100))</f>
        <v>14.301700342122214</v>
      </c>
      <c r="Z89" s="691">
        <f>IF('A1.3.12'!Z89="","",'A1.3.12'!Z89*(1+VLOOKUP($B89,'A1.3.7'!$B$28:$O$118,13,)/100))</f>
        <v>-0.20632801996013908</v>
      </c>
      <c r="AA89" s="2644">
        <f>IF('A1.3.12'!AA89="","",'A1.3.12'!AA89*(1+VLOOKUP($B89,'A1.3.7'!$B$28:$O$118,13,)/100))</f>
        <v>1.7467802110516901E-3</v>
      </c>
      <c r="AB89" s="693" t="str">
        <f>IF('A1.3.12'!AB89="","",'A1.3.12'!AB89*(1+VLOOKUP($B89,'A1.3.7'!$B$28:$O$118,14,)/100))</f>
        <v/>
      </c>
      <c r="AC89" s="691">
        <f>IF('A1.3.12'!AC89="","",'A1.3.12'!AC89*(1+VLOOKUP($B89,'A1.3.7'!$B$28:$O$118,14,)/100))</f>
        <v>4.7402914466537549</v>
      </c>
      <c r="AD89" s="691" t="str">
        <f>IF('A1.3.12'!AD89="","",'A1.3.12'!AD89*(1+VLOOKUP($B89,'A1.3.7'!$B$28:$O$118,14,)/100))</f>
        <v/>
      </c>
      <c r="AE89" s="1664" t="str">
        <f>IF('A1.3.12'!AE89="","",'A1.3.12'!AE89*(1+VLOOKUP($B89,'A1.3.7'!$B$28:$O$118,14,)/100))</f>
        <v/>
      </c>
      <c r="AF89" s="693">
        <f>IF(AND(T89="",X89="",AB89=""),"",IF(T89="",0,T89 * VLOOKUP($B89,'A1.3.9'!$B$26:$O$57,6,TRUE)) + IF(X89="",0,X89 * VLOOKUP($B89,'A1.3.9'!$B$26:$O$57,7,TRUE)) + IF(AB89="",0,AB89 * VLOOKUP($B89,'A1.3.9'!$B$26:$O$57,8,TRUE)))</f>
        <v>51.921837080859397</v>
      </c>
      <c r="AG89" s="691">
        <f>IF(AND(U89="",Y89="",AC89=""),"",IF(U89="",0,U89 * VLOOKUP($B89,'A1.3.9'!$B$26:$O$57,6,TRUE)) + IF(Y89="",0,Y89 * VLOOKUP($B89,'A1.3.9'!$B$26:$O$57,7,TRUE)) + IF(AC89="",0,AC89 * VLOOKUP($B89,'A1.3.9'!$B$26:$O$57,8,TRUE)))</f>
        <v>13.288255830637349</v>
      </c>
      <c r="AH89" s="691">
        <f>IF(AND(V89="",Z89="",AD89=""),"",IF(V89="",0,V89 * VLOOKUP($B89,'A1.3.9'!$B$26:$O$57,6,TRUE)) + IF(Z89="",0,Z89 * VLOOKUP($B89,'A1.3.9'!$B$26:$O$57,7,TRUE)) + IF(AD89="",0,AD89 * VLOOKUP($B89,'A1.3.9'!$B$26:$O$57,8,TRUE)))</f>
        <v>-0.18440352913281843</v>
      </c>
      <c r="AI89" s="2644">
        <f>IF(AND(W89="",AA89="",AE89=""),"",IF(W89="",0,W89 * VLOOKUP($B89,'A1.3.9'!$B$26:$O$57,6,TRUE)) + IF(AA89="",0,AA89 * VLOOKUP($B89,'A1.3.9'!$B$26:$O$57,7,TRUE)) + IF(AE89="",0,AE89 * VLOOKUP($B89,'A1.3.9'!$B$26:$O$57,8,TRUE)))</f>
        <v>1.5567161268231807E-3</v>
      </c>
    </row>
    <row r="90" spans="1:35" ht="13.5" customHeight="1">
      <c r="A90" s="113"/>
      <c r="B90" s="614">
        <f t="shared" si="0"/>
        <v>2073</v>
      </c>
      <c r="C90" s="147"/>
      <c r="D90" s="693">
        <f>IF('A1.3.12'!D90="","",'A1.3.12'!D90*(1+VLOOKUP($B90,'A1.3.7'!$B$28:$O$118,12,)/100))</f>
        <v>46.377349049108815</v>
      </c>
      <c r="E90" s="691">
        <f>IF('A1.3.12'!E90="","",'A1.3.12'!E90*(1+VLOOKUP($B90,'A1.3.7'!$B$28:$O$118,12,)/100))</f>
        <v>9.8559389556575301</v>
      </c>
      <c r="F90" s="691">
        <f>IF('A1.3.12'!F90="","",'A1.3.12'!F90*(1+VLOOKUP($B90,'A1.3.7'!$B$28:$O$118,12,)/100))</f>
        <v>-0.112270832721936</v>
      </c>
      <c r="G90" s="2644">
        <f>IF('A1.3.12'!G90="","",'A1.3.12'!G90*(1+VLOOKUP($B90,'A1.3.7'!$B$28:$O$118,12,)/100))</f>
        <v>7.4356069165392889E-4</v>
      </c>
      <c r="H90" s="693">
        <f>IF('A1.3.12'!H90="","",'A1.3.12'!H90*(1+VLOOKUP($B90,'A1.3.7'!$B$28:$O$118,13,)/100))</f>
        <v>57.05890556094149</v>
      </c>
      <c r="I90" s="691">
        <f>IF('A1.3.12'!I90="","",'A1.3.12'!I90*(1+VLOOKUP($B90,'A1.3.7'!$B$28:$O$118,13,)/100))</f>
        <v>8.1808359923087615</v>
      </c>
      <c r="J90" s="691">
        <f>IF('A1.3.12'!J90="","",'A1.3.12'!J90*(1+VLOOKUP($B90,'A1.3.7'!$B$28:$O$118,13,)/100))</f>
        <v>-7.8701921268811953E-2</v>
      </c>
      <c r="K90" s="2644">
        <f>IF('A1.3.12'!K90="","",'A1.3.12'!K90*(1+VLOOKUP($B90,'A1.3.7'!$B$28:$O$118,13,)/100))</f>
        <v>6.2017508813254796E-4</v>
      </c>
      <c r="L90" s="693" t="str">
        <f>IF('A1.3.12'!L90="","",'A1.3.12'!L90*(1+VLOOKUP($B90,'A1.3.7'!$B$28:$O$118,14,)/100))</f>
        <v/>
      </c>
      <c r="M90" s="691">
        <f>IF('A1.3.12'!M90="","",'A1.3.12'!M90*(1+VLOOKUP($B90,'A1.3.7'!$B$28:$O$118,14,)/100))</f>
        <v>2.0619488699992319</v>
      </c>
      <c r="N90" s="691" t="str">
        <f>IF('A1.3.12'!N90="","",'A1.3.12'!N90*(1+VLOOKUP($B90,'A1.3.7'!$B$28:$O$118,14,)/100))</f>
        <v/>
      </c>
      <c r="O90" s="1664" t="str">
        <f>IF('A1.3.12'!O90="","",'A1.3.12'!O90*(1+VLOOKUP($B90,'A1.3.7'!$B$28:$O$118,14,)/100))</f>
        <v/>
      </c>
      <c r="P90" s="693">
        <f>IF(AND(D90="",H90="",L90=""),"",IF(D90="",0,D90 * VLOOKUP($B90,'A1.3.9'!$B$26:$O$57,3,TRUE)) + IF(H90="",0,H90 * VLOOKUP($B90,'A1.3.9'!$B$26:$O$57,4,TRUE)) + IF(L90="",0,L90 * VLOOKUP($B90,'A1.3.9'!$B$26:$O$57,5,TRUE)))</f>
        <v>38.429862336705398</v>
      </c>
      <c r="Q90" s="691">
        <f>IF(AND(E90="",I90="",M90=""),"",IF(E90="",0,E90 * VLOOKUP($B90,'A1.3.9'!$B$26:$O$57,3,TRUE)) + IF(I90="",0,I90 * VLOOKUP($B90,'A1.3.9'!$B$26:$O$57,4,TRUE)) + IF(M90="",0,M90 * VLOOKUP($B90,'A1.3.9'!$B$26:$O$57,5,TRUE)))</f>
        <v>7.4495100507940375</v>
      </c>
      <c r="R90" s="691">
        <f>IF(AND(F90="",J90="",N90=""),"",IF(F90="",0,F90 * VLOOKUP($B90,'A1.3.9'!$B$26:$O$57,3,TRUE)) + IF(J90="",0,J90 * VLOOKUP($B90,'A1.3.9'!$B$26:$O$57,4,TRUE)) + IF(N90="",0,N90 * VLOOKUP($B90,'A1.3.9'!$B$26:$O$57,5,TRUE)))</f>
        <v>-7.4693985743998603E-2</v>
      </c>
      <c r="S90" s="2644">
        <f>IF(AND(G90="",K90="",O90=""),"",IF(G90="",0,G90 * VLOOKUP($B90,'A1.3.9'!$B$26:$O$57,3,TRUE)) + IF(K90="",0,K90 * VLOOKUP($B90,'A1.3.9'!$B$26:$O$57,4,TRUE)) + IF(O90="",0,O90 * VLOOKUP($B90,'A1.3.9'!$B$26:$O$57,5,TRUE)))</f>
        <v>5.2522191303849472E-4</v>
      </c>
      <c r="T90" s="693">
        <f>IF('A1.3.12'!T90="","",'A1.3.12'!T90*(1+VLOOKUP($B90,'A1.3.7'!$B$28:$O$118,12,)/100))</f>
        <v>33.360760851479768</v>
      </c>
      <c r="U90" s="691">
        <f>IF('A1.3.12'!U90="","",'A1.3.12'!U90*(1+VLOOKUP($B90,'A1.3.7'!$B$28:$O$118,12,)/100))</f>
        <v>18.7067835507106</v>
      </c>
      <c r="V90" s="691">
        <f>IF('A1.3.12'!V90="","",'A1.3.12'!V90*(1+VLOOKUP($B90,'A1.3.7'!$B$28:$O$118,12,)/100))</f>
        <v>-0.29363509870151833</v>
      </c>
      <c r="W90" s="2644">
        <f>IF('A1.3.12'!W90="","",'A1.3.12'!W90*(1+VLOOKUP($B90,'A1.3.7'!$B$28:$O$118,12,)/100))</f>
        <v>1.8963064412454761E-3</v>
      </c>
      <c r="X90" s="693">
        <f>IF('A1.3.12'!X90="","",'A1.3.12'!X90*(1+VLOOKUP($B90,'A1.3.7'!$B$28:$O$118,13,)/100))</f>
        <v>58.765137019226032</v>
      </c>
      <c r="Y90" s="691">
        <f>IF('A1.3.12'!Y90="","",'A1.3.12'!Y90*(1+VLOOKUP($B90,'A1.3.7'!$B$28:$O$118,13,)/100))</f>
        <v>14.362438974926182</v>
      </c>
      <c r="Z90" s="691">
        <f>IF('A1.3.12'!Z90="","",'A1.3.12'!Z90*(1+VLOOKUP($B90,'A1.3.7'!$B$28:$O$118,13,)/100))</f>
        <v>-0.20720428512733868</v>
      </c>
      <c r="AA90" s="2644">
        <f>IF('A1.3.12'!AA90="","",'A1.3.12'!AA90*(1+VLOOKUP($B90,'A1.3.7'!$B$28:$O$118,13,)/100))</f>
        <v>1.7541987025100675E-3</v>
      </c>
      <c r="AB90" s="693" t="str">
        <f>IF('A1.3.12'!AB90="","",'A1.3.12'!AB90*(1+VLOOKUP($B90,'A1.3.7'!$B$28:$O$118,14,)/100))</f>
        <v/>
      </c>
      <c r="AC90" s="691">
        <f>IF('A1.3.12'!AC90="","",'A1.3.12'!AC90*(1+VLOOKUP($B90,'A1.3.7'!$B$28:$O$118,14,)/100))</f>
        <v>4.7402914466537549</v>
      </c>
      <c r="AD90" s="691" t="str">
        <f>IF('A1.3.12'!AD90="","",'A1.3.12'!AD90*(1+VLOOKUP($B90,'A1.3.7'!$B$28:$O$118,14,)/100))</f>
        <v/>
      </c>
      <c r="AE90" s="1664" t="str">
        <f>IF('A1.3.12'!AE90="","",'A1.3.12'!AE90*(1+VLOOKUP($B90,'A1.3.7'!$B$28:$O$118,14,)/100))</f>
        <v/>
      </c>
      <c r="AF90" s="693">
        <f>IF(AND(T90="",X90="",AB90=""),"",IF(T90="",0,T90 * VLOOKUP($B90,'A1.3.9'!$B$26:$O$57,6,TRUE)) + IF(X90="",0,X90 * VLOOKUP($B90,'A1.3.9'!$B$26:$O$57,7,TRUE)) + IF(AB90="",0,AB90 * VLOOKUP($B90,'A1.3.9'!$B$26:$O$57,8,TRUE)))</f>
        <v>52.142382434225276</v>
      </c>
      <c r="AG90" s="691">
        <f>IF(AND(U90="",Y90="",AC90=""),"",IF(U90="",0,U90 * VLOOKUP($B90,'A1.3.9'!$B$26:$O$57,6,TRUE)) + IF(Y90="",0,Y90 * VLOOKUP($B90,'A1.3.9'!$B$26:$O$57,7,TRUE)) + IF(AC90="",0,AC90 * VLOOKUP($B90,'A1.3.9'!$B$26:$O$57,8,TRUE)))</f>
        <v>13.342507648596483</v>
      </c>
      <c r="AH90" s="691">
        <f>IF(AND(V90="",Z90="",AD90=""),"",IF(V90="",0,V90 * VLOOKUP($B90,'A1.3.9'!$B$26:$O$57,6,TRUE)) + IF(Z90="",0,Z90 * VLOOKUP($B90,'A1.3.9'!$B$26:$O$57,7,TRUE)) + IF(AD90="",0,AD90 * VLOOKUP($B90,'A1.3.9'!$B$26:$O$57,8,TRUE)))</f>
        <v>-0.18518699724498738</v>
      </c>
      <c r="AI90" s="2644">
        <f>IF(AND(W90="",AA90="",AE90=""),"",IF(W90="",0,W90 * VLOOKUP($B90,'A1.3.9'!$B$26:$O$57,6,TRUE)) + IF(AA90="",0,AA90 * VLOOKUP($B90,'A1.3.9'!$B$26:$O$57,7,TRUE)) + IF(AE90="",0,AE90 * VLOOKUP($B90,'A1.3.9'!$B$26:$O$57,8,TRUE)))</f>
        <v>1.5633294608524803E-3</v>
      </c>
    </row>
    <row r="91" spans="1:35" ht="13.5" customHeight="1">
      <c r="A91" s="113"/>
      <c r="B91" s="614">
        <f t="shared" si="0"/>
        <v>2074</v>
      </c>
      <c r="C91" s="147"/>
      <c r="D91" s="693">
        <f>IF('A1.3.12'!D91="","",'A1.3.12'!D91*(1+VLOOKUP($B91,'A1.3.7'!$B$28:$O$118,12,)/100))</f>
        <v>46.581404058546937</v>
      </c>
      <c r="E91" s="691">
        <f>IF('A1.3.12'!E91="","",'A1.3.12'!E91*(1+VLOOKUP($B91,'A1.3.7'!$B$28:$O$118,12,)/100))</f>
        <v>9.8993039551207112</v>
      </c>
      <c r="F91" s="691">
        <f>IF('A1.3.12'!F91="","",'A1.3.12'!F91*(1+VLOOKUP($B91,'A1.3.7'!$B$28:$O$118,12,)/100))</f>
        <v>-0.11276481149175403</v>
      </c>
      <c r="G91" s="2644">
        <f>IF('A1.3.12'!G91="","",'A1.3.12'!G91*(1+VLOOKUP($B91,'A1.3.7'!$B$28:$O$118,12,)/100))</f>
        <v>7.4683227330023195E-4</v>
      </c>
      <c r="H91" s="693">
        <f>IF('A1.3.12'!H91="","",'A1.3.12'!H91*(1+VLOOKUP($B91,'A1.3.7'!$B$28:$O$118,13,)/100))</f>
        <v>57.301858324671933</v>
      </c>
      <c r="I91" s="691">
        <f>IF('A1.3.12'!I91="","",'A1.3.12'!I91*(1+VLOOKUP($B91,'A1.3.7'!$B$28:$O$118,13,)/100))</f>
        <v>8.2156694104126888</v>
      </c>
      <c r="J91" s="691">
        <f>IF('A1.3.12'!J91="","",'A1.3.12'!J91*(1+VLOOKUP($B91,'A1.3.7'!$B$28:$O$118,13,)/100))</f>
        <v>-7.9037028454888816E-2</v>
      </c>
      <c r="K91" s="2644">
        <f>IF('A1.3.12'!K91="","",'A1.3.12'!K91*(1+VLOOKUP($B91,'A1.3.7'!$B$28:$O$118,13,)/100))</f>
        <v>6.2281574957141219E-4</v>
      </c>
      <c r="L91" s="693" t="str">
        <f>IF('A1.3.12'!L91="","",'A1.3.12'!L91*(1+VLOOKUP($B91,'A1.3.7'!$B$28:$O$118,14,)/100))</f>
        <v/>
      </c>
      <c r="M91" s="691">
        <f>IF('A1.3.12'!M91="","",'A1.3.12'!M91*(1+VLOOKUP($B91,'A1.3.7'!$B$28:$O$118,14,)/100))</f>
        <v>2.0619488699992319</v>
      </c>
      <c r="N91" s="691" t="str">
        <f>IF('A1.3.12'!N91="","",'A1.3.12'!N91*(1+VLOOKUP($B91,'A1.3.7'!$B$28:$O$118,14,)/100))</f>
        <v/>
      </c>
      <c r="O91" s="1664" t="str">
        <f>IF('A1.3.12'!O91="","",'A1.3.12'!O91*(1+VLOOKUP($B91,'A1.3.7'!$B$28:$O$118,14,)/100))</f>
        <v/>
      </c>
      <c r="P91" s="693">
        <f>IF(AND(D91="",H91="",L91=""),"",IF(D91="",0,D91 * VLOOKUP($B91,'A1.3.9'!$B$26:$O$57,3,TRUE)) + IF(H91="",0,H91 * VLOOKUP($B91,'A1.3.9'!$B$26:$O$57,4,TRUE)) + IF(L91="",0,L91 * VLOOKUP($B91,'A1.3.9'!$B$26:$O$57,5,TRUE)))</f>
        <v>38.596449927071575</v>
      </c>
      <c r="Q91" s="691">
        <f>IF(AND(E91="",I91="",M91=""),"",IF(E91="",0,E91 * VLOOKUP($B91,'A1.3.9'!$B$26:$O$57,3,TRUE)) + IF(I91="",0,I91 * VLOOKUP($B91,'A1.3.9'!$B$26:$O$57,4,TRUE)) + IF(M91="",0,M91 * VLOOKUP($B91,'A1.3.9'!$B$26:$O$57,5,TRUE)))</f>
        <v>7.4797292323374487</v>
      </c>
      <c r="R91" s="691">
        <f>IF(AND(F91="",J91="",N91=""),"",IF(F91="",0,F91 * VLOOKUP($B91,'A1.3.9'!$B$26:$O$57,3,TRUE)) + IF(J91="",0,J91 * VLOOKUP($B91,'A1.3.9'!$B$26:$O$57,4,TRUE)) + IF(N91="",0,N91 * VLOOKUP($B91,'A1.3.9'!$B$26:$O$57,5,TRUE)))</f>
        <v>-7.5019183268638462E-2</v>
      </c>
      <c r="S91" s="2644">
        <f>IF(AND(G91="",K91="",O91=""),"",IF(G91="",0,G91 * VLOOKUP($B91,'A1.3.9'!$B$26:$O$57,3,TRUE)) + IF(K91="",0,K91 * VLOOKUP($B91,'A1.3.9'!$B$26:$O$57,4,TRUE)) + IF(O91="",0,O91 * VLOOKUP($B91,'A1.3.9'!$B$26:$O$57,5,TRUE)))</f>
        <v>5.2750566318093199E-4</v>
      </c>
      <c r="T91" s="693">
        <f>IF('A1.3.12'!T91="","",'A1.3.12'!T91*(1+VLOOKUP($B91,'A1.3.7'!$B$28:$O$118,12,)/100))</f>
        <v>33.507544367786473</v>
      </c>
      <c r="U91" s="691">
        <f>IF('A1.3.12'!U91="","",'A1.3.12'!U91*(1+VLOOKUP($B91,'A1.3.7'!$B$28:$O$118,12,)/100))</f>
        <v>18.789091249884073</v>
      </c>
      <c r="V91" s="691">
        <f>IF('A1.3.12'!V91="","",'A1.3.12'!V91*(1+VLOOKUP($B91,'A1.3.7'!$B$28:$O$118,12,)/100))</f>
        <v>-0.29492705941219755</v>
      </c>
      <c r="W91" s="2644">
        <f>IF('A1.3.12'!W91="","",'A1.3.12'!W91*(1+VLOOKUP($B91,'A1.3.7'!$B$28:$O$118,12,)/100))</f>
        <v>1.9046499717986385E-3</v>
      </c>
      <c r="X91" s="693">
        <f>IF('A1.3.12'!X91="","",'A1.3.12'!X91*(1+VLOOKUP($B91,'A1.3.7'!$B$28:$O$118,13,)/100))</f>
        <v>59.015354795214918</v>
      </c>
      <c r="Y91" s="691">
        <f>IF('A1.3.12'!Y91="","",'A1.3.12'!Y91*(1+VLOOKUP($B91,'A1.3.7'!$B$28:$O$118,13,)/100))</f>
        <v>14.423593219098306</v>
      </c>
      <c r="Z91" s="691">
        <f>IF('A1.3.12'!Z91="","",'A1.3.12'!Z91*(1+VLOOKUP($B91,'A1.3.7'!$B$28:$O$118,13,)/100))</f>
        <v>-0.20808654624387393</v>
      </c>
      <c r="AA91" s="2644">
        <f>IF('A1.3.12'!AA91="","",'A1.3.12'!AA91*(1+VLOOKUP($B91,'A1.3.7'!$B$28:$O$118,13,)/100))</f>
        <v>1.7616679558845817E-3</v>
      </c>
      <c r="AB91" s="693" t="str">
        <f>IF('A1.3.12'!AB91="","",'A1.3.12'!AB91*(1+VLOOKUP($B91,'A1.3.7'!$B$28:$O$118,14,)/100))</f>
        <v/>
      </c>
      <c r="AC91" s="691">
        <f>IF('A1.3.12'!AC91="","",'A1.3.12'!AC91*(1+VLOOKUP($B91,'A1.3.7'!$B$28:$O$118,14,)/100))</f>
        <v>4.7402914466537549</v>
      </c>
      <c r="AD91" s="691" t="str">
        <f>IF('A1.3.12'!AD91="","",'A1.3.12'!AD91*(1+VLOOKUP($B91,'A1.3.7'!$B$28:$O$118,14,)/100))</f>
        <v/>
      </c>
      <c r="AE91" s="1664" t="str">
        <f>IF('A1.3.12'!AE91="","",'A1.3.12'!AE91*(1+VLOOKUP($B91,'A1.3.7'!$B$28:$O$118,14,)/100))</f>
        <v/>
      </c>
      <c r="AF91" s="693">
        <f>IF(AND(T91="",X91="",AB91=""),"",IF(T91="",0,T91 * VLOOKUP($B91,'A1.3.9'!$B$26:$O$57,6,TRUE)) + IF(X91="",0,X91 * VLOOKUP($B91,'A1.3.9'!$B$26:$O$57,7,TRUE)) + IF(AB91="",0,AB91 * VLOOKUP($B91,'A1.3.9'!$B$26:$O$57,8,TRUE)))</f>
        <v>52.364436895580951</v>
      </c>
      <c r="AG91" s="691">
        <f>IF(AND(U91="",Y91="",AC91=""),"",IF(U91="",0,U91 * VLOOKUP($B91,'A1.3.9'!$B$26:$O$57,6,TRUE)) + IF(Y91="",0,Y91 * VLOOKUP($B91,'A1.3.9'!$B$26:$O$57,7,TRUE)) + IF(AC91="",0,AC91 * VLOOKUP($B91,'A1.3.9'!$B$26:$O$57,8,TRUE)))</f>
        <v>13.397130691116431</v>
      </c>
      <c r="AH91" s="691">
        <f>IF(AND(V91="",Z91="",AD91=""),"",IF(V91="",0,V91 * VLOOKUP($B91,'A1.3.9'!$B$26:$O$57,6,TRUE)) + IF(Z91="",0,Z91 * VLOOKUP($B91,'A1.3.9'!$B$26:$O$57,7,TRUE)) + IF(AD91="",0,AD91 * VLOOKUP($B91,'A1.3.9'!$B$26:$O$57,8,TRUE)))</f>
        <v>-0.18597582633153084</v>
      </c>
      <c r="AI91" s="2644">
        <f>IF(AND(W91="",AA91="",AE91=""),"",IF(W91="",0,W91 * VLOOKUP($B91,'A1.3.9'!$B$26:$O$57,6,TRUE)) + IF(AA91="",0,AA91 * VLOOKUP($B91,'A1.3.9'!$B$26:$O$57,7,TRUE)) + IF(AE91="",0,AE91 * VLOOKUP($B91,'A1.3.9'!$B$26:$O$57,8,TRUE)))</f>
        <v>1.5699880474117941E-3</v>
      </c>
    </row>
    <row r="92" spans="1:35" ht="13.5" customHeight="1">
      <c r="A92" s="113"/>
      <c r="B92" s="614">
        <f t="shared" si="0"/>
        <v>2075</v>
      </c>
      <c r="C92" s="147"/>
      <c r="D92" s="693">
        <f>IF('A1.3.12'!D92="","",'A1.3.12'!D92*(1+VLOOKUP($B92,'A1.3.7'!$B$28:$O$118,12,)/100))</f>
        <v>46.786855338821894</v>
      </c>
      <c r="E92" s="691">
        <f>IF('A1.3.12'!E92="","",'A1.3.12'!E92*(1+VLOOKUP($B92,'A1.3.7'!$B$28:$O$118,12,)/100))</f>
        <v>9.9429656847854968</v>
      </c>
      <c r="F92" s="691">
        <f>IF('A1.3.12'!F92="","",'A1.3.12'!F92*(1+VLOOKUP($B92,'A1.3.7'!$B$28:$O$118,12,)/100))</f>
        <v>-0.11326217037045648</v>
      </c>
      <c r="G92" s="2644">
        <f>IF('A1.3.12'!G92="","",'A1.3.12'!G92*(1+VLOOKUP($B92,'A1.3.7'!$B$28:$O$118,12,)/100))</f>
        <v>7.5012624113570856E-4</v>
      </c>
      <c r="H92" s="693">
        <f>IF('A1.3.12'!H92="","",'A1.3.12'!H92*(1+VLOOKUP($B92,'A1.3.7'!$B$28:$O$118,13,)/100))</f>
        <v>57.54647352178079</v>
      </c>
      <c r="I92" s="691">
        <f>IF('A1.3.12'!I92="","",'A1.3.12'!I92*(1+VLOOKUP($B92,'A1.3.7'!$B$28:$O$118,13,)/100))</f>
        <v>8.2507411803511523</v>
      </c>
      <c r="J92" s="691">
        <f>IF('A1.3.12'!J92="","",'A1.3.12'!J92*(1+VLOOKUP($B92,'A1.3.7'!$B$28:$O$118,13,)/100))</f>
        <v>-7.9374428652014148E-2</v>
      </c>
      <c r="K92" s="2644">
        <f>IF('A1.3.12'!K92="","",'A1.3.12'!K92*(1+VLOOKUP($B92,'A1.3.7'!$B$28:$O$118,13,)/100))</f>
        <v>6.2547448005238011E-4</v>
      </c>
      <c r="L92" s="693" t="str">
        <f>IF('A1.3.12'!L92="","",'A1.3.12'!L92*(1+VLOOKUP($B92,'A1.3.7'!$B$28:$O$118,14,)/100))</f>
        <v/>
      </c>
      <c r="M92" s="691">
        <f>IF('A1.3.12'!M92="","",'A1.3.12'!M92*(1+VLOOKUP($B92,'A1.3.7'!$B$28:$O$118,14,)/100))</f>
        <v>2.0619488699992319</v>
      </c>
      <c r="N92" s="691" t="str">
        <f>IF('A1.3.12'!N92="","",'A1.3.12'!N92*(1+VLOOKUP($B92,'A1.3.7'!$B$28:$O$118,14,)/100))</f>
        <v/>
      </c>
      <c r="O92" s="1664" t="str">
        <f>IF('A1.3.12'!O92="","",'A1.3.12'!O92*(1+VLOOKUP($B92,'A1.3.7'!$B$28:$O$118,14,)/100))</f>
        <v/>
      </c>
      <c r="P92" s="693">
        <f>IF(AND(D92="",H92="",L92=""),"",IF(D92="",0,D92 * VLOOKUP($B92,'A1.3.9'!$B$26:$O$57,3,TRUE)) + IF(H92="",0,H92 * VLOOKUP($B92,'A1.3.9'!$B$26:$O$57,4,TRUE)) + IF(L92="",0,L92 * VLOOKUP($B92,'A1.3.9'!$B$26:$O$57,5,TRUE)))</f>
        <v>38.764177412973027</v>
      </c>
      <c r="Q92" s="691">
        <f>IF(AND(E92="",I92="",M92=""),"",IF(E92="",0,E92 * VLOOKUP($B92,'A1.3.9'!$B$26:$O$57,3,TRUE)) + IF(I92="",0,I92 * VLOOKUP($B92,'A1.3.9'!$B$26:$O$57,4,TRUE)) + IF(M92="",0,M92 * VLOOKUP($B92,'A1.3.9'!$B$26:$O$57,5,TRUE)))</f>
        <v>7.5101551922491936</v>
      </c>
      <c r="R92" s="691">
        <f>IF(AND(F92="",J92="",N92=""),"",IF(F92="",0,F92 * VLOOKUP($B92,'A1.3.9'!$B$26:$O$57,3,TRUE)) + IF(J92="",0,J92 * VLOOKUP($B92,'A1.3.9'!$B$26:$O$57,4,TRUE)) + IF(N92="",0,N92 * VLOOKUP($B92,'A1.3.9'!$B$26:$O$57,5,TRUE)))</f>
        <v>-7.5346605996281749E-2</v>
      </c>
      <c r="S92" s="2644">
        <f>IF(AND(G92="",K92="",O92=""),"",IF(G92="",0,G92 * VLOOKUP($B92,'A1.3.9'!$B$26:$O$57,3,TRUE)) + IF(K92="",0,K92 * VLOOKUP($B92,'A1.3.9'!$B$26:$O$57,4,TRUE)) + IF(O92="",0,O92 * VLOOKUP($B92,'A1.3.9'!$B$26:$O$57,5,TRUE)))</f>
        <v>5.2980504015718872E-4</v>
      </c>
      <c r="T92" s="693">
        <f>IF('A1.3.12'!T92="","",'A1.3.12'!T92*(1+VLOOKUP($B92,'A1.3.7'!$B$28:$O$118,12,)/100))</f>
        <v>33.655332267880233</v>
      </c>
      <c r="U92" s="691">
        <f>IF('A1.3.12'!U92="","",'A1.3.12'!U92*(1+VLOOKUP($B92,'A1.3.7'!$B$28:$O$118,12,)/100))</f>
        <v>18.871962149345151</v>
      </c>
      <c r="V92" s="691">
        <f>IF('A1.3.12'!V92="","",'A1.3.12'!V92*(1+VLOOKUP($B92,'A1.3.7'!$B$28:$O$118,12,)/100))</f>
        <v>-0.2962278605187465</v>
      </c>
      <c r="W92" s="2644">
        <f>IF('A1.3.12'!W92="","",'A1.3.12'!W92*(1+VLOOKUP($B92,'A1.3.7'!$B$28:$O$118,12,)/100))</f>
        <v>1.9130505939587146E-3</v>
      </c>
      <c r="X92" s="693">
        <f>IF('A1.3.12'!X92="","",'A1.3.12'!X92*(1+VLOOKUP($B92,'A1.3.7'!$B$28:$O$118,13,)/100))</f>
        <v>59.267284716298562</v>
      </c>
      <c r="Y92" s="691">
        <f>IF('A1.3.12'!Y92="","",'A1.3.12'!Y92*(1+VLOOKUP($B92,'A1.3.7'!$B$28:$O$118,13,)/100))</f>
        <v>14.48516591850915</v>
      </c>
      <c r="Z92" s="691">
        <f>IF('A1.3.12'!Z92="","",'A1.3.12'!Z92*(1+VLOOKUP($B92,'A1.3.7'!$B$28:$O$118,13,)/100))</f>
        <v>-0.20897484433774624</v>
      </c>
      <c r="AA92" s="2644">
        <f>IF('A1.3.12'!AA92="","",'A1.3.12'!AA92*(1+VLOOKUP($B92,'A1.3.7'!$B$28:$O$118,13,)/100))</f>
        <v>1.7691883185197241E-3</v>
      </c>
      <c r="AB92" s="693" t="str">
        <f>IF('A1.3.12'!AB92="","",'A1.3.12'!AB92*(1+VLOOKUP($B92,'A1.3.7'!$B$28:$O$118,14,)/100))</f>
        <v/>
      </c>
      <c r="AC92" s="691">
        <f>IF('A1.3.12'!AC92="","",'A1.3.12'!AC92*(1+VLOOKUP($B92,'A1.3.7'!$B$28:$O$118,14,)/100))</f>
        <v>4.7402914466537549</v>
      </c>
      <c r="AD92" s="691" t="str">
        <f>IF('A1.3.12'!AD92="","",'A1.3.12'!AD92*(1+VLOOKUP($B92,'A1.3.7'!$B$28:$O$118,14,)/100))</f>
        <v/>
      </c>
      <c r="AE92" s="1664" t="str">
        <f>IF('A1.3.12'!AE92="","",'A1.3.12'!AE92*(1+VLOOKUP($B92,'A1.3.7'!$B$28:$O$118,14,)/100))</f>
        <v/>
      </c>
      <c r="AF92" s="693">
        <f>IF(AND(T92="",X92="",AB92=""),"",IF(T92="",0,T92 * VLOOKUP($B92,'A1.3.9'!$B$26:$O$57,6,TRUE)) + IF(X92="",0,X92 * VLOOKUP($B92,'A1.3.9'!$B$26:$O$57,7,TRUE)) + IF(AB92="",0,AB92 * VLOOKUP($B92,'A1.3.9'!$B$26:$O$57,8,TRUE)))</f>
        <v>52.588010791178561</v>
      </c>
      <c r="AG92" s="691">
        <f>IF(AND(U92="",Y92="",AC92=""),"",IF(U92="",0,U92 * VLOOKUP($B92,'A1.3.9'!$B$26:$O$57,6,TRUE)) + IF(Y92="",0,Y92 * VLOOKUP($B92,'A1.3.9'!$B$26:$O$57,7,TRUE)) + IF(AC92="",0,AC92 * VLOOKUP($B92,'A1.3.9'!$B$26:$O$57,8,TRUE)))</f>
        <v>13.452127498345707</v>
      </c>
      <c r="AH92" s="691">
        <f>IF(AND(V92="",Z92="",AD92=""),"",IF(V92="",0,V92 * VLOOKUP($B92,'A1.3.9'!$B$26:$O$57,6,TRUE)) + IF(Z92="",0,Z92 * VLOOKUP($B92,'A1.3.9'!$B$26:$O$57,7,TRUE)) + IF(AD92="",0,AD92 * VLOOKUP($B92,'A1.3.9'!$B$26:$O$57,8,TRUE)))</f>
        <v>-0.18677005307555805</v>
      </c>
      <c r="AI92" s="2644">
        <f>IF(AND(W92="",AA92="",AE92=""),"",IF(W92="",0,W92 * VLOOKUP($B92,'A1.3.9'!$B$26:$O$57,6,TRUE)) + IF(AA92="",0,AA92 * VLOOKUP($B92,'A1.3.9'!$B$26:$O$57,7,TRUE)) + IF(AE92="",0,AE92 * VLOOKUP($B92,'A1.3.9'!$B$26:$O$57,8,TRUE)))</f>
        <v>1.5766921961469791E-3</v>
      </c>
    </row>
    <row r="93" spans="1:35" ht="13.5" customHeight="1">
      <c r="A93" s="113"/>
      <c r="B93" s="614">
        <f t="shared" ref="B93:B105" si="1">B92+1</f>
        <v>2076</v>
      </c>
      <c r="C93" s="147"/>
      <c r="D93" s="693">
        <f>IF('A1.3.12'!D93="","",'A1.3.12'!D93*(1+VLOOKUP($B93,'A1.3.7'!$B$28:$O$118,12,)/100))</f>
        <v>46.993712444084068</v>
      </c>
      <c r="E93" s="691">
        <f>IF('A1.3.12'!E93="","",'A1.3.12'!E93*(1+VLOOKUP($B93,'A1.3.7'!$B$28:$O$118,12,)/100))</f>
        <v>9.9869261750638252</v>
      </c>
      <c r="F93" s="691">
        <f>IF('A1.3.12'!F93="","",'A1.3.12'!F93*(1+VLOOKUP($B93,'A1.3.7'!$B$28:$O$118,12,)/100))</f>
        <v>-0.11376293248684313</v>
      </c>
      <c r="G93" s="2644">
        <f>IF('A1.3.12'!G93="","",'A1.3.12'!G93*(1+VLOOKUP($B93,'A1.3.7'!$B$28:$O$118,12,)/100))</f>
        <v>7.534427483405383E-4</v>
      </c>
      <c r="H93" s="693">
        <f>IF('A1.3.12'!H93="","",'A1.3.12'!H93*(1+VLOOKUP($B93,'A1.3.7'!$B$28:$O$118,13,)/100))</f>
        <v>57.79276252766752</v>
      </c>
      <c r="I93" s="691">
        <f>IF('A1.3.12'!I93="","",'A1.3.12'!I93*(1+VLOOKUP($B93,'A1.3.7'!$B$28:$O$118,13,)/100))</f>
        <v>8.2860529330751191</v>
      </c>
      <c r="J93" s="691">
        <f>IF('A1.3.12'!J93="","",'A1.3.12'!J93*(1+VLOOKUP($B93,'A1.3.7'!$B$28:$O$118,13,)/100))</f>
        <v>-7.9714137550390543E-2</v>
      </c>
      <c r="K93" s="2644">
        <f>IF('A1.3.12'!K93="","",'A1.3.12'!K93*(1+VLOOKUP($B93,'A1.3.7'!$B$28:$O$118,13,)/100))</f>
        <v>6.2815140321503598E-4</v>
      </c>
      <c r="L93" s="693" t="str">
        <f>IF('A1.3.12'!L93="","",'A1.3.12'!L93*(1+VLOOKUP($B93,'A1.3.7'!$B$28:$O$118,14,)/100))</f>
        <v/>
      </c>
      <c r="M93" s="691">
        <f>IF('A1.3.12'!M93="","",'A1.3.12'!M93*(1+VLOOKUP($B93,'A1.3.7'!$B$28:$O$118,14,)/100))</f>
        <v>2.0619488699992319</v>
      </c>
      <c r="N93" s="691" t="str">
        <f>IF('A1.3.12'!N93="","",'A1.3.12'!N93*(1+VLOOKUP($B93,'A1.3.7'!$B$28:$O$118,14,)/100))</f>
        <v/>
      </c>
      <c r="O93" s="1664" t="str">
        <f>IF('A1.3.12'!O93="","",'A1.3.12'!O93*(1+VLOOKUP($B93,'A1.3.7'!$B$28:$O$118,14,)/100))</f>
        <v/>
      </c>
      <c r="P93" s="693">
        <f>IF(AND(D93="",H93="",L93=""),"",IF(D93="",0,D93 * VLOOKUP($B93,'A1.3.9'!$B$26:$O$57,3,TRUE)) + IF(H93="",0,H93 * VLOOKUP($B93,'A1.3.9'!$B$26:$O$57,4,TRUE)) + IF(L93="",0,L93 * VLOOKUP($B93,'A1.3.9'!$B$26:$O$57,5,TRUE)))</f>
        <v>38.933052594281428</v>
      </c>
      <c r="Q93" s="691">
        <f>IF(AND(E93="",I93="",M93=""),"",IF(E93="",0,E93 * VLOOKUP($B93,'A1.3.9'!$B$26:$O$57,3,TRUE)) + IF(I93="",0,I93 * VLOOKUP($B93,'A1.3.9'!$B$26:$O$57,4,TRUE)) + IF(M93="",0,M93 * VLOOKUP($B93,'A1.3.9'!$B$26:$O$57,5,TRUE)))</f>
        <v>7.5407893454350159</v>
      </c>
      <c r="R93" s="691">
        <f>IF(AND(F93="",J93="",N93=""),"",IF(F93="",0,F93 * VLOOKUP($B93,'A1.3.9'!$B$26:$O$57,3,TRUE)) + IF(J93="",0,J93 * VLOOKUP($B93,'A1.3.9'!$B$26:$O$57,4,TRUE)) + IF(N93="",0,N93 * VLOOKUP($B93,'A1.3.9'!$B$26:$O$57,5,TRUE)))</f>
        <v>-7.5676269153146444E-2</v>
      </c>
      <c r="S93" s="2644">
        <f>IF(AND(G93="",K93="",O93=""),"",IF(G93="",0,G93 * VLOOKUP($B93,'A1.3.9'!$B$26:$O$57,3,TRUE)) + IF(K93="",0,K93 * VLOOKUP($B93,'A1.3.9'!$B$26:$O$57,4,TRUE)) + IF(O93="",0,O93 * VLOOKUP($B93,'A1.3.9'!$B$26:$O$57,5,TRUE)))</f>
        <v>5.3212015089574628E-4</v>
      </c>
      <c r="T93" s="693">
        <f>IF('A1.3.12'!T93="","",'A1.3.12'!T93*(1+VLOOKUP($B93,'A1.3.7'!$B$28:$O$118,12,)/100))</f>
        <v>33.804131424377374</v>
      </c>
      <c r="U93" s="691">
        <f>IF('A1.3.12'!U93="","",'A1.3.12'!U93*(1+VLOOKUP($B93,'A1.3.7'!$B$28:$O$118,12,)/100))</f>
        <v>18.955400102859233</v>
      </c>
      <c r="V93" s="691">
        <f>IF('A1.3.12'!V93="","",'A1.3.12'!V93*(1+VLOOKUP($B93,'A1.3.7'!$B$28:$O$118,12,)/100))</f>
        <v>-0.29753756251263264</v>
      </c>
      <c r="W93" s="2644">
        <f>IF('A1.3.12'!W93="","",'A1.3.12'!W93*(1+VLOOKUP($B93,'A1.3.7'!$B$28:$O$118,12,)/100))</f>
        <v>1.9215086983818607E-3</v>
      </c>
      <c r="X93" s="693">
        <f>IF('A1.3.12'!X93="","",'A1.3.12'!X93*(1+VLOOKUP($B93,'A1.3.7'!$B$28:$O$118,13,)/100))</f>
        <v>59.520938498034781</v>
      </c>
      <c r="Y93" s="691">
        <f>IF('A1.3.12'!Y93="","",'A1.3.12'!Y93*(1+VLOOKUP($B93,'A1.3.7'!$B$28:$O$118,13,)/100))</f>
        <v>14.547159936488786</v>
      </c>
      <c r="Z93" s="691">
        <f>IF('A1.3.12'!Z93="","",'A1.3.12'!Z93*(1+VLOOKUP($B93,'A1.3.7'!$B$28:$O$118,13,)/100))</f>
        <v>-0.20986922071769587</v>
      </c>
      <c r="AA93" s="2644">
        <f>IF('A1.3.12'!AA93="","",'A1.3.12'!AA93*(1+VLOOKUP($B93,'A1.3.7'!$B$28:$O$118,13,)/100))</f>
        <v>1.7767601401367293E-3</v>
      </c>
      <c r="AB93" s="693" t="str">
        <f>IF('A1.3.12'!AB93="","",'A1.3.12'!AB93*(1+VLOOKUP($B93,'A1.3.7'!$B$28:$O$118,14,)/100))</f>
        <v/>
      </c>
      <c r="AC93" s="691">
        <f>IF('A1.3.12'!AC93="","",'A1.3.12'!AC93*(1+VLOOKUP($B93,'A1.3.7'!$B$28:$O$118,14,)/100))</f>
        <v>4.7402914466537549</v>
      </c>
      <c r="AD93" s="691" t="str">
        <f>IF('A1.3.12'!AD93="","",'A1.3.12'!AD93*(1+VLOOKUP($B93,'A1.3.7'!$B$28:$O$118,14,)/100))</f>
        <v/>
      </c>
      <c r="AE93" s="1664" t="str">
        <f>IF('A1.3.12'!AE93="","",'A1.3.12'!AE93*(1+VLOOKUP($B93,'A1.3.7'!$B$28:$O$118,14,)/100))</f>
        <v/>
      </c>
      <c r="AF93" s="693">
        <f>IF(AND(T93="",X93="",AB93=""),"",IF(T93="",0,T93 * VLOOKUP($B93,'A1.3.9'!$B$26:$O$57,6,TRUE)) + IF(X93="",0,X93 * VLOOKUP($B93,'A1.3.9'!$B$26:$O$57,7,TRUE)) + IF(AB93="",0,AB93 * VLOOKUP($B93,'A1.3.9'!$B$26:$O$57,8,TRUE)))</f>
        <v>52.813114517928845</v>
      </c>
      <c r="AG93" s="691">
        <f>IF(AND(U93="",Y93="",AC93=""),"",IF(U93="",0,U93 * VLOOKUP($B93,'A1.3.9'!$B$26:$O$57,6,TRUE)) + IF(Y93="",0,Y93 * VLOOKUP($B93,'A1.3.9'!$B$26:$O$57,7,TRUE)) + IF(AC93="",0,AC93 * VLOOKUP($B93,'A1.3.9'!$B$26:$O$57,8,TRUE)))</f>
        <v>13.507500627814087</v>
      </c>
      <c r="AH93" s="691">
        <f>IF(AND(V93="",Z93="",AD93=""),"",IF(V93="",0,V93 * VLOOKUP($B93,'A1.3.9'!$B$26:$O$57,6,TRUE)) + IF(Z93="",0,Z93 * VLOOKUP($B93,'A1.3.9'!$B$26:$O$57,7,TRUE)) + IF(AD93="",0,AD93 * VLOOKUP($B93,'A1.3.9'!$B$26:$O$57,8,TRUE)))</f>
        <v>-0.18756971441118661</v>
      </c>
      <c r="AI93" s="2644">
        <f>IF(AND(W93="",AA93="",AE93=""),"",IF(W93="",0,W93 * VLOOKUP($B93,'A1.3.9'!$B$26:$O$57,6,TRUE)) + IF(AA93="",0,AA93 * VLOOKUP($B93,'A1.3.9'!$B$26:$O$57,7,TRUE)) + IF(AE93="",0,AE93 * VLOOKUP($B93,'A1.3.9'!$B$26:$O$57,8,TRUE)))</f>
        <v>1.5834422188226779E-3</v>
      </c>
    </row>
    <row r="94" spans="1:35" ht="13.5" customHeight="1">
      <c r="A94" s="113"/>
      <c r="B94" s="614">
        <f t="shared" si="1"/>
        <v>2077</v>
      </c>
      <c r="C94" s="147"/>
      <c r="D94" s="693">
        <f>IF('A1.3.12'!D94="","",'A1.3.12'!D94*(1+VLOOKUP($B94,'A1.3.7'!$B$28:$O$118,12,)/100))</f>
        <v>47.201984993859263</v>
      </c>
      <c r="E94" s="691">
        <f>IF('A1.3.12'!E94="","",'A1.3.12'!E94*(1+VLOOKUP($B94,'A1.3.7'!$B$28:$O$118,12,)/100))</f>
        <v>10.031187470260969</v>
      </c>
      <c r="F94" s="691">
        <f>IF('A1.3.12'!F94="","",'A1.3.12'!F94*(1+VLOOKUP($B94,'A1.3.7'!$B$28:$O$118,12,)/100))</f>
        <v>-0.11426712112797528</v>
      </c>
      <c r="G94" s="2644">
        <f>IF('A1.3.12'!G94="","",'A1.3.12'!G94*(1+VLOOKUP($B94,'A1.3.7'!$B$28:$O$118,12,)/100))</f>
        <v>7.5678194914305472E-4</v>
      </c>
      <c r="H94" s="693">
        <f>IF('A1.3.12'!H94="","",'A1.3.12'!H94*(1+VLOOKUP($B94,'A1.3.7'!$B$28:$O$118,13,)/100))</f>
        <v>58.040736795569103</v>
      </c>
      <c r="I94" s="691">
        <f>IF('A1.3.12'!I94="","",'A1.3.12'!I94*(1+VLOOKUP($B94,'A1.3.7'!$B$28:$O$118,13,)/100))</f>
        <v>8.3216063106955342</v>
      </c>
      <c r="J94" s="691">
        <f>IF('A1.3.12'!J94="","",'A1.3.12'!J94*(1+VLOOKUP($B94,'A1.3.7'!$B$28:$O$118,13,)/100))</f>
        <v>-8.0056170947582814E-2</v>
      </c>
      <c r="K94" s="2644">
        <f>IF('A1.3.12'!K94="","",'A1.3.12'!K94*(1+VLOOKUP($B94,'A1.3.7'!$B$28:$O$118,13,)/100))</f>
        <v>6.3084664354498261E-4</v>
      </c>
      <c r="L94" s="693" t="str">
        <f>IF('A1.3.12'!L94="","",'A1.3.12'!L94*(1+VLOOKUP($B94,'A1.3.7'!$B$28:$O$118,14,)/100))</f>
        <v/>
      </c>
      <c r="M94" s="691">
        <f>IF('A1.3.12'!M94="","",'A1.3.12'!M94*(1+VLOOKUP($B94,'A1.3.7'!$B$28:$O$118,14,)/100))</f>
        <v>2.0619488699992319</v>
      </c>
      <c r="N94" s="691" t="str">
        <f>IF('A1.3.12'!N94="","",'A1.3.12'!N94*(1+VLOOKUP($B94,'A1.3.7'!$B$28:$O$118,14,)/100))</f>
        <v/>
      </c>
      <c r="O94" s="1664" t="str">
        <f>IF('A1.3.12'!O94="","",'A1.3.12'!O94*(1+VLOOKUP($B94,'A1.3.7'!$B$28:$O$118,14,)/100))</f>
        <v/>
      </c>
      <c r="P94" s="693">
        <f>IF(AND(D94="",H94="",L94=""),"",IF(D94="",0,D94 * VLOOKUP($B94,'A1.3.9'!$B$26:$O$57,3,TRUE)) + IF(H94="",0,H94 * VLOOKUP($B94,'A1.3.9'!$B$26:$O$57,4,TRUE)) + IF(L94="",0,L94 * VLOOKUP($B94,'A1.3.9'!$B$26:$O$57,5,TRUE)))</f>
        <v>39.103083324240018</v>
      </c>
      <c r="Q94" s="691">
        <f>IF(AND(E94="",I94="",M94=""),"",IF(E94="",0,E94 * VLOOKUP($B94,'A1.3.9'!$B$26:$O$57,3,TRUE)) + IF(I94="",0,I94 * VLOOKUP($B94,'A1.3.9'!$B$26:$O$57,4,TRUE)) + IF(M94="",0,M94 * VLOOKUP($B94,'A1.3.9'!$B$26:$O$57,5,TRUE)))</f>
        <v>7.5716331164823263</v>
      </c>
      <c r="R94" s="691">
        <f>IF(AND(F94="",J94="",N94=""),"",IF(F94="",0,F94 * VLOOKUP($B94,'A1.3.9'!$B$26:$O$57,3,TRUE)) + IF(J94="",0,J94 * VLOOKUP($B94,'A1.3.9'!$B$26:$O$57,4,TRUE)) + IF(N94="",0,N94 * VLOOKUP($B94,'A1.3.9'!$B$26:$O$57,5,TRUE)))</f>
        <v>-7.6008188069637758E-2</v>
      </c>
      <c r="S94" s="2644">
        <f>IF(AND(G94="",K94="",O94=""),"",IF(G94="",0,G94 * VLOOKUP($B94,'A1.3.9'!$B$26:$O$57,3,TRUE)) + IF(K94="",0,K94 * VLOOKUP($B94,'A1.3.9'!$B$26:$O$57,4,TRUE)) + IF(O94="",0,O94 * VLOOKUP($B94,'A1.3.9'!$B$26:$O$57,5,TRUE)))</f>
        <v>5.3445110305675716E-4</v>
      </c>
      <c r="T94" s="693">
        <f>IF('A1.3.12'!T94="","",'A1.3.12'!T94*(1+VLOOKUP($B94,'A1.3.7'!$B$28:$O$118,12,)/100))</f>
        <v>33.953948756920916</v>
      </c>
      <c r="U94" s="691">
        <f>IF('A1.3.12'!U94="","",'A1.3.12'!U94*(1+VLOOKUP($B94,'A1.3.7'!$B$28:$O$118,12,)/100))</f>
        <v>19.039408990561583</v>
      </c>
      <c r="V94" s="691">
        <f>IF('A1.3.12'!V94="","",'A1.3.12'!V94*(1+VLOOKUP($B94,'A1.3.7'!$B$28:$O$118,12,)/100))</f>
        <v>-0.29885622629924313</v>
      </c>
      <c r="W94" s="2644">
        <f>IF('A1.3.12'!W94="","",'A1.3.12'!W94*(1+VLOOKUP($B94,'A1.3.7'!$B$28:$O$118,12,)/100))</f>
        <v>1.9300246783973444E-3</v>
      </c>
      <c r="X94" s="693">
        <f>IF('A1.3.12'!X94="","",'A1.3.12'!X94*(1+VLOOKUP($B94,'A1.3.7'!$B$28:$O$118,13,)/100))</f>
        <v>59.776327936146508</v>
      </c>
      <c r="Y94" s="691">
        <f>IF('A1.3.12'!Y94="","",'A1.3.12'!Y94*(1+VLOOKUP($B94,'A1.3.7'!$B$28:$O$118,13,)/100))</f>
        <v>14.609578155959973</v>
      </c>
      <c r="Z94" s="691">
        <f>IF('A1.3.12'!Z94="","",'A1.3.12'!Z94*(1+VLOOKUP($B94,'A1.3.7'!$B$28:$O$118,13,)/100))</f>
        <v>-0.21076971697512312</v>
      </c>
      <c r="AA94" s="2644">
        <f>IF('A1.3.12'!AA94="","",'A1.3.12'!AA94*(1+VLOOKUP($B94,'A1.3.7'!$B$28:$O$118,13,)/100))</f>
        <v>1.7843837728498426E-3</v>
      </c>
      <c r="AB94" s="693" t="str">
        <f>IF('A1.3.12'!AB94="","",'A1.3.12'!AB94*(1+VLOOKUP($B94,'A1.3.7'!$B$28:$O$118,14,)/100))</f>
        <v/>
      </c>
      <c r="AC94" s="691">
        <f>IF('A1.3.12'!AC94="","",'A1.3.12'!AC94*(1+VLOOKUP($B94,'A1.3.7'!$B$28:$O$118,14,)/100))</f>
        <v>4.7402914466537549</v>
      </c>
      <c r="AD94" s="691" t="str">
        <f>IF('A1.3.12'!AD94="","",'A1.3.12'!AD94*(1+VLOOKUP($B94,'A1.3.7'!$B$28:$O$118,14,)/100))</f>
        <v/>
      </c>
      <c r="AE94" s="1664" t="str">
        <f>IF('A1.3.12'!AE94="","",'A1.3.12'!AE94*(1+VLOOKUP($B94,'A1.3.7'!$B$28:$O$118,14,)/100))</f>
        <v/>
      </c>
      <c r="AF94" s="693">
        <f>IF(AND(T94="",X94="",AB94=""),"",IF(T94="",0,T94 * VLOOKUP($B94,'A1.3.9'!$B$26:$O$57,6,TRUE)) + IF(X94="",0,X94 * VLOOKUP($B94,'A1.3.9'!$B$26:$O$57,7,TRUE)) + IF(AB94="",0,AB94 * VLOOKUP($B94,'A1.3.9'!$B$26:$O$57,8,TRUE)))</f>
        <v>53.039758543884645</v>
      </c>
      <c r="AG94" s="691">
        <f>IF(AND(U94="",Y94="",AC94=""),"",IF(U94="",0,U94 * VLOOKUP($B94,'A1.3.9'!$B$26:$O$57,6,TRUE)) + IF(Y94="",0,Y94 * VLOOKUP($B94,'A1.3.9'!$B$26:$O$57,7,TRUE)) + IF(AC94="",0,AC94 * VLOOKUP($B94,'A1.3.9'!$B$26:$O$57,8,TRUE)))</f>
        <v>13.563252654551556</v>
      </c>
      <c r="AH94" s="691">
        <f>IF(AND(V94="",Z94="",AD94=""),"",IF(V94="",0,V94 * VLOOKUP($B94,'A1.3.9'!$B$26:$O$57,6,TRUE)) + IF(Z94="",0,Z94 * VLOOKUP($B94,'A1.3.9'!$B$26:$O$57,7,TRUE)) + IF(AD94="",0,AD94 * VLOOKUP($B94,'A1.3.9'!$B$26:$O$57,8,TRUE)))</f>
        <v>-0.18837484752526029</v>
      </c>
      <c r="AI94" s="2644">
        <f>IF(AND(W94="",AA94="",AE94=""),"",IF(W94="",0,W94 * VLOOKUP($B94,'A1.3.9'!$B$26:$O$57,6,TRUE)) + IF(AA94="",0,AA94 * VLOOKUP($B94,'A1.3.9'!$B$26:$O$57,7,TRUE)) + IF(AE94="",0,AE94 * VLOOKUP($B94,'A1.3.9'!$B$26:$O$57,8,TRUE)))</f>
        <v>1.5902384293368221E-3</v>
      </c>
    </row>
    <row r="95" spans="1:35" ht="13.5" customHeight="1">
      <c r="A95" s="113"/>
      <c r="B95" s="614">
        <f t="shared" si="1"/>
        <v>2078</v>
      </c>
      <c r="C95" s="147"/>
      <c r="D95" s="693">
        <f>IF('A1.3.12'!D95="","",'A1.3.12'!D95*(1+VLOOKUP($B95,'A1.3.7'!$B$28:$O$118,12,)/100))</f>
        <v>47.411682673496095</v>
      </c>
      <c r="E95" s="691">
        <f>IF('A1.3.12'!E95="","",'A1.3.12'!E95*(1+VLOOKUP($B95,'A1.3.7'!$B$28:$O$118,12,)/100))</f>
        <v>10.075751628670607</v>
      </c>
      <c r="F95" s="691">
        <f>IF('A1.3.12'!F95="","",'A1.3.12'!F95*(1+VLOOKUP($B95,'A1.3.7'!$B$28:$O$118,12,)/100))</f>
        <v>-0.11477475974025896</v>
      </c>
      <c r="G95" s="2644">
        <f>IF('A1.3.12'!G95="","",'A1.3.12'!G95*(1+VLOOKUP($B95,'A1.3.7'!$B$28:$O$118,12,)/100))</f>
        <v>7.6014399882691833E-4</v>
      </c>
      <c r="H95" s="693">
        <f>IF('A1.3.12'!H95="","",'A1.3.12'!H95*(1+VLOOKUP($B95,'A1.3.7'!$B$28:$O$118,13,)/100))</f>
        <v>58.290407857092703</v>
      </c>
      <c r="I95" s="691">
        <f>IF('A1.3.12'!I95="","",'A1.3.12'!I95*(1+VLOOKUP($B95,'A1.3.7'!$B$28:$O$118,13,)/100))</f>
        <v>8.3574029665596861</v>
      </c>
      <c r="J95" s="691">
        <f>IF('A1.3.12'!J95="","",'A1.3.12'!J95*(1+VLOOKUP($B95,'A1.3.7'!$B$28:$O$118,13,)/100))</f>
        <v>-8.040054474925247E-2</v>
      </c>
      <c r="K95" s="2644">
        <f>IF('A1.3.12'!K95="","",'A1.3.12'!K95*(1+VLOOKUP($B95,'A1.3.7'!$B$28:$O$118,13,)/100))</f>
        <v>6.3356032637963103E-4</v>
      </c>
      <c r="L95" s="693" t="str">
        <f>IF('A1.3.12'!L95="","",'A1.3.12'!L95*(1+VLOOKUP($B95,'A1.3.7'!$B$28:$O$118,14,)/100))</f>
        <v/>
      </c>
      <c r="M95" s="691">
        <f>IF('A1.3.12'!M95="","",'A1.3.12'!M95*(1+VLOOKUP($B95,'A1.3.7'!$B$28:$O$118,14,)/100))</f>
        <v>2.0619488699992319</v>
      </c>
      <c r="N95" s="691" t="str">
        <f>IF('A1.3.12'!N95="","",'A1.3.12'!N95*(1+VLOOKUP($B95,'A1.3.7'!$B$28:$O$118,14,)/100))</f>
        <v/>
      </c>
      <c r="O95" s="1664" t="str">
        <f>IF('A1.3.12'!O95="","",'A1.3.12'!O95*(1+VLOOKUP($B95,'A1.3.7'!$B$28:$O$118,14,)/100))</f>
        <v/>
      </c>
      <c r="P95" s="693">
        <f>IF(AND(D95="",H95="",L95=""),"",IF(D95="",0,D95 * VLOOKUP($B95,'A1.3.9'!$B$26:$O$57,3,TRUE)) + IF(H95="",0,H95 * VLOOKUP($B95,'A1.3.9'!$B$26:$O$57,4,TRUE)) + IF(L95="",0,L95 * VLOOKUP($B95,'A1.3.9'!$B$26:$O$57,5,TRUE)))</f>
        <v>39.274277509828835</v>
      </c>
      <c r="Q95" s="691">
        <f>IF(AND(E95="",I95="",M95=""),"",IF(E95="",0,E95 * VLOOKUP($B95,'A1.3.9'!$B$26:$O$57,3,TRUE)) + IF(I95="",0,I95 * VLOOKUP($B95,'A1.3.9'!$B$26:$O$57,4,TRUE)) + IF(M95="",0,M95 * VLOOKUP($B95,'A1.3.9'!$B$26:$O$57,5,TRUE)))</f>
        <v>7.6026879397264411</v>
      </c>
      <c r="R95" s="691">
        <f>IF(AND(F95="",J95="",N95=""),"",IF(F95="",0,F95 * VLOOKUP($B95,'A1.3.9'!$B$26:$O$57,3,TRUE)) + IF(J95="",0,J95 * VLOOKUP($B95,'A1.3.9'!$B$26:$O$57,4,TRUE)) + IF(N95="",0,N95 * VLOOKUP($B95,'A1.3.9'!$B$26:$O$57,5,TRUE)))</f>
        <v>-7.6342378181061099E-2</v>
      </c>
      <c r="S95" s="2644">
        <f>IF(AND(G95="",K95="",O95=""),"",IF(G95="",0,G95 * VLOOKUP($B95,'A1.3.9'!$B$26:$O$57,3,TRUE)) + IF(K95="",0,K95 * VLOOKUP($B95,'A1.3.9'!$B$26:$O$57,4,TRUE)) + IF(O95="",0,O95 * VLOOKUP($B95,'A1.3.9'!$B$26:$O$57,5,TRUE)))</f>
        <v>5.3679800503705173E-4</v>
      </c>
      <c r="T95" s="693">
        <f>IF('A1.3.12'!T95="","",'A1.3.12'!T95*(1+VLOOKUP($B95,'A1.3.7'!$B$28:$O$118,12,)/100))</f>
        <v>34.104791232502407</v>
      </c>
      <c r="U95" s="691">
        <f>IF('A1.3.12'!U95="","",'A1.3.12'!U95*(1+VLOOKUP($B95,'A1.3.7'!$B$28:$O$118,12,)/100))</f>
        <v>19.12399271913776</v>
      </c>
      <c r="V95" s="691">
        <f>IF('A1.3.12'!V95="","",'A1.3.12'!V95*(1+VLOOKUP($B95,'A1.3.7'!$B$28:$O$118,12,)/100))</f>
        <v>-0.30018391320071824</v>
      </c>
      <c r="W95" s="2644">
        <f>IF('A1.3.12'!W95="","",'A1.3.12'!W95*(1+VLOOKUP($B95,'A1.3.7'!$B$28:$O$118,12,)/100))</f>
        <v>1.9385989300258386E-3</v>
      </c>
      <c r="X95" s="693">
        <f>IF('A1.3.12'!X95="","",'A1.3.12'!X95*(1+VLOOKUP($B95,'A1.3.7'!$B$28:$O$118,13,)/100))</f>
        <v>60.033464907070361</v>
      </c>
      <c r="Y95" s="691">
        <f>IF('A1.3.12'!Y95="","",'A1.3.12'!Y95*(1+VLOOKUP($B95,'A1.3.7'!$B$28:$O$118,13,)/100))</f>
        <v>14.672423479572215</v>
      </c>
      <c r="Z95" s="691">
        <f>IF('A1.3.12'!Z95="","",'A1.3.12'!Z95*(1+VLOOKUP($B95,'A1.3.7'!$B$28:$O$118,13,)/100))</f>
        <v>-0.21167637498602257</v>
      </c>
      <c r="AA95" s="2644">
        <f>IF('A1.3.12'!AA95="","",'A1.3.12'!AA95*(1+VLOOKUP($B95,'A1.3.7'!$B$28:$O$118,13,)/100))</f>
        <v>1.7920595711826944E-3</v>
      </c>
      <c r="AB95" s="693" t="str">
        <f>IF('A1.3.12'!AB95="","",'A1.3.12'!AB95*(1+VLOOKUP($B95,'A1.3.7'!$B$28:$O$118,14,)/100))</f>
        <v/>
      </c>
      <c r="AC95" s="691">
        <f>IF('A1.3.12'!AC95="","",'A1.3.12'!AC95*(1+VLOOKUP($B95,'A1.3.7'!$B$28:$O$118,14,)/100))</f>
        <v>4.7402914466537549</v>
      </c>
      <c r="AD95" s="691" t="str">
        <f>IF('A1.3.12'!AD95="","",'A1.3.12'!AD95*(1+VLOOKUP($B95,'A1.3.7'!$B$28:$O$118,14,)/100))</f>
        <v/>
      </c>
      <c r="AE95" s="1664" t="str">
        <f>IF('A1.3.12'!AE95="","",'A1.3.12'!AE95*(1+VLOOKUP($B95,'A1.3.7'!$B$28:$O$118,14,)/100))</f>
        <v/>
      </c>
      <c r="AF95" s="693">
        <f>IF(AND(T95="",X95="",AB95=""),"",IF(T95="",0,T95 * VLOOKUP($B95,'A1.3.9'!$B$26:$O$57,6,TRUE)) + IF(X95="",0,X95 * VLOOKUP($B95,'A1.3.9'!$B$26:$O$57,7,TRUE)) + IF(AB95="",0,AB95 * VLOOKUP($B95,'A1.3.9'!$B$26:$O$57,8,TRUE)))</f>
        <v>53.267953408727742</v>
      </c>
      <c r="AG95" s="691">
        <f>IF(AND(U95="",Y95="",AC95=""),"",IF(U95="",0,U95 * VLOOKUP($B95,'A1.3.9'!$B$26:$O$57,6,TRUE)) + IF(Y95="",0,Y95 * VLOOKUP($B95,'A1.3.9'!$B$26:$O$57,7,TRUE)) + IF(AC95="",0,AC95 * VLOOKUP($B95,'A1.3.9'!$B$26:$O$57,8,TRUE)))</f>
        <v>13.619386171208054</v>
      </c>
      <c r="AH95" s="691">
        <f>IF(AND(V95="",Z95="",AD95=""),"",IF(V95="",0,V95 * VLOOKUP($B95,'A1.3.9'!$B$26:$O$57,6,TRUE)) + IF(Z95="",0,Z95 * VLOOKUP($B95,'A1.3.9'!$B$26:$O$57,7,TRUE)) + IF(AD95="",0,AD95 * VLOOKUP($B95,'A1.3.9'!$B$26:$O$57,8,TRUE)))</f>
        <v>-0.18918548985907843</v>
      </c>
      <c r="AI95" s="2644">
        <f>IF(AND(W95="",AA95="",AE95=""),"",IF(W95="",0,W95 * VLOOKUP($B95,'A1.3.9'!$B$26:$O$57,6,TRUE)) + IF(AA95="",0,AA95 * VLOOKUP($B95,'A1.3.9'!$B$26:$O$57,7,TRUE)) + IF(AE95="",0,AE95 * VLOOKUP($B95,'A1.3.9'!$B$26:$O$57,8,TRUE)))</f>
        <v>1.5970811437352279E-3</v>
      </c>
    </row>
    <row r="96" spans="1:35" ht="13.5" customHeight="1">
      <c r="A96" s="113"/>
      <c r="B96" s="614">
        <f t="shared" si="1"/>
        <v>2079</v>
      </c>
      <c r="C96" s="147"/>
      <c r="D96" s="693">
        <f>IF('A1.3.12'!D96="","",'A1.3.12'!D96*(1+VLOOKUP($B96,'A1.3.7'!$B$28:$O$118,12,)/100))</f>
        <v>47.62281523461624</v>
      </c>
      <c r="E96" s="691">
        <f>IF('A1.3.12'!E96="","",'A1.3.12'!E96*(1+VLOOKUP($B96,'A1.3.7'!$B$28:$O$118,12,)/100))</f>
        <v>10.12062072267053</v>
      </c>
      <c r="F96" s="691">
        <f>IF('A1.3.12'!F96="","",'A1.3.12'!F96*(1+VLOOKUP($B96,'A1.3.7'!$B$28:$O$118,12,)/100))</f>
        <v>-0.11528587193053472</v>
      </c>
      <c r="G96" s="2644">
        <f>IF('A1.3.12'!G96="","",'A1.3.12'!G96*(1+VLOOKUP($B96,'A1.3.7'!$B$28:$O$118,12,)/100))</f>
        <v>7.6352905373833484E-4</v>
      </c>
      <c r="H96" s="693">
        <f>IF('A1.3.12'!H96="","",'A1.3.12'!H96*(1+VLOOKUP($B96,'A1.3.7'!$B$28:$O$118,13,)/100))</f>
        <v>58.541787322751851</v>
      </c>
      <c r="I96" s="691">
        <f>IF('A1.3.12'!I96="","",'A1.3.12'!I96*(1+VLOOKUP($B96,'A1.3.7'!$B$28:$O$118,13,)/100))</f>
        <v>8.3934445653280889</v>
      </c>
      <c r="J96" s="691">
        <f>IF('A1.3.12'!J96="","",'A1.3.12'!J96*(1+VLOOKUP($B96,'A1.3.7'!$B$28:$O$118,13,)/100))</f>
        <v>-8.0747274969897379E-2</v>
      </c>
      <c r="K96" s="2644">
        <f>IF('A1.3.12'!K96="","",'A1.3.12'!K96*(1+VLOOKUP($B96,'A1.3.7'!$B$28:$O$118,13,)/100))</f>
        <v>6.3629257791402761E-4</v>
      </c>
      <c r="L96" s="693" t="str">
        <f>IF('A1.3.12'!L96="","",'A1.3.12'!L96*(1+VLOOKUP($B96,'A1.3.7'!$B$28:$O$118,14,)/100))</f>
        <v/>
      </c>
      <c r="M96" s="691">
        <f>IF('A1.3.12'!M96="","",'A1.3.12'!M96*(1+VLOOKUP($B96,'A1.3.7'!$B$28:$O$118,14,)/100))</f>
        <v>2.0619488699992319</v>
      </c>
      <c r="N96" s="691" t="str">
        <f>IF('A1.3.12'!N96="","",'A1.3.12'!N96*(1+VLOOKUP($B96,'A1.3.7'!$B$28:$O$118,14,)/100))</f>
        <v/>
      </c>
      <c r="O96" s="1664" t="str">
        <f>IF('A1.3.12'!O96="","",'A1.3.12'!O96*(1+VLOOKUP($B96,'A1.3.7'!$B$28:$O$118,14,)/100))</f>
        <v/>
      </c>
      <c r="P96" s="693">
        <f>IF(AND(D96="",H96="",L96=""),"",IF(D96="",0,D96 * VLOOKUP($B96,'A1.3.9'!$B$26:$O$57,3,TRUE)) + IF(H96="",0,H96 * VLOOKUP($B96,'A1.3.9'!$B$26:$O$57,4,TRUE)) + IF(L96="",0,L96 * VLOOKUP($B96,'A1.3.9'!$B$26:$O$57,5,TRUE)))</f>
        <v>39.446643112132335</v>
      </c>
      <c r="Q96" s="691">
        <f>IF(AND(E96="",I96="",M96=""),"",IF(E96="",0,E96 * VLOOKUP($B96,'A1.3.9'!$B$26:$O$57,3,TRUE)) + IF(I96="",0,I96 * VLOOKUP($B96,'A1.3.9'!$B$26:$O$57,4,TRUE)) + IF(M96="",0,M96 * VLOOKUP($B96,'A1.3.9'!$B$26:$O$57,5,TRUE)))</f>
        <v>7.633955259317287</v>
      </c>
      <c r="R96" s="691">
        <f>IF(AND(F96="",J96="",N96=""),"",IF(F96="",0,F96 * VLOOKUP($B96,'A1.3.9'!$B$26:$O$57,3,TRUE)) + IF(J96="",0,J96 * VLOOKUP($B96,'A1.3.9'!$B$26:$O$57,4,TRUE)) + IF(N96="",0,N96 * VLOOKUP($B96,'A1.3.9'!$B$26:$O$57,5,TRUE)))</f>
        <v>-7.667885502833971E-2</v>
      </c>
      <c r="S96" s="2644">
        <f>IF(AND(G96="",K96="",O96=""),"",IF(G96="",0,G96 * VLOOKUP($B96,'A1.3.9'!$B$26:$O$57,3,TRUE)) + IF(K96="",0,K96 * VLOOKUP($B96,'A1.3.9'!$B$26:$O$57,4,TRUE)) + IF(O96="",0,O96 * VLOOKUP($B96,'A1.3.9'!$B$26:$O$57,5,TRUE)))</f>
        <v>5.3916096597517822E-4</v>
      </c>
      <c r="T96" s="693">
        <f>IF('A1.3.12'!T96="","",'A1.3.12'!T96*(1+VLOOKUP($B96,'A1.3.7'!$B$28:$O$118,12,)/100))</f>
        <v>34.256665865785806</v>
      </c>
      <c r="U96" s="691">
        <f>IF('A1.3.12'!U96="","",'A1.3.12'!U96*(1+VLOOKUP($B96,'A1.3.7'!$B$28:$O$118,12,)/100))</f>
        <v>19.209155222005258</v>
      </c>
      <c r="V96" s="691">
        <f>IF('A1.3.12'!V96="","",'A1.3.12'!V96*(1+VLOOKUP($B96,'A1.3.7'!$B$28:$O$118,12,)/100))</f>
        <v>-0.30152068495880152</v>
      </c>
      <c r="W96" s="2644">
        <f>IF('A1.3.12'!W96="","",'A1.3.12'!W96*(1+VLOOKUP($B96,'A1.3.7'!$B$28:$O$118,12,)/100))</f>
        <v>1.9472318519978301E-3</v>
      </c>
      <c r="X96" s="693">
        <f>IF('A1.3.12'!X96="","",'A1.3.12'!X96*(1+VLOOKUP($B96,'A1.3.7'!$B$28:$O$118,13,)/100))</f>
        <v>60.292361368508814</v>
      </c>
      <c r="Y96" s="691">
        <f>IF('A1.3.12'!Y96="","",'A1.3.12'!Y96*(1+VLOOKUP($B96,'A1.3.7'!$B$28:$O$118,13,)/100))</f>
        <v>14.735698829836739</v>
      </c>
      <c r="Z96" s="691">
        <f>IF('A1.3.12'!Z96="","",'A1.3.12'!Z96*(1+VLOOKUP($B96,'A1.3.7'!$B$28:$O$118,13,)/100))</f>
        <v>-0.21258923691293011</v>
      </c>
      <c r="AA96" s="2644">
        <f>IF('A1.3.12'!AA96="","",'A1.3.12'!AA96*(1+VLOOKUP($B96,'A1.3.7'!$B$28:$O$118,13,)/100))</f>
        <v>1.7997878920847834E-3</v>
      </c>
      <c r="AB96" s="693" t="str">
        <f>IF('A1.3.12'!AB96="","",'A1.3.12'!AB96*(1+VLOOKUP($B96,'A1.3.7'!$B$28:$O$118,14,)/100))</f>
        <v/>
      </c>
      <c r="AC96" s="691">
        <f>IF('A1.3.12'!AC96="","",'A1.3.12'!AC96*(1+VLOOKUP($B96,'A1.3.7'!$B$28:$O$118,14,)/100))</f>
        <v>4.7402914466537549</v>
      </c>
      <c r="AD96" s="691" t="str">
        <f>IF('A1.3.12'!AD96="","",'A1.3.12'!AD96*(1+VLOOKUP($B96,'A1.3.7'!$B$28:$O$118,14,)/100))</f>
        <v/>
      </c>
      <c r="AE96" s="1664" t="str">
        <f>IF('A1.3.12'!AE96="","",'A1.3.12'!AE96*(1+VLOOKUP($B96,'A1.3.7'!$B$28:$O$118,14,)/100))</f>
        <v/>
      </c>
      <c r="AF96" s="693">
        <f>IF(AND(T96="",X96="",AB96=""),"",IF(T96="",0,T96 * VLOOKUP($B96,'A1.3.9'!$B$26:$O$57,6,TRUE)) + IF(X96="",0,X96 * VLOOKUP($B96,'A1.3.9'!$B$26:$O$57,7,TRUE)) + IF(AB96="",0,AB96 * VLOOKUP($B96,'A1.3.9'!$B$26:$O$57,8,TRUE)))</f>
        <v>53.497709724258897</v>
      </c>
      <c r="AG96" s="691">
        <f>IF(AND(U96="",Y96="",AC96=""),"",IF(U96="",0,U96 * VLOOKUP($B96,'A1.3.9'!$B$26:$O$57,6,TRUE)) + IF(Y96="",0,Y96 * VLOOKUP($B96,'A1.3.9'!$B$26:$O$57,7,TRUE)) + IF(AC96="",0,AC96 * VLOOKUP($B96,'A1.3.9'!$B$26:$O$57,8,TRUE)))</f>
        <v>13.675903788174024</v>
      </c>
      <c r="AH96" s="691">
        <f>IF(AND(V96="",Z96="",AD96=""),"",IF(V96="",0,V96 * VLOOKUP($B96,'A1.3.9'!$B$26:$O$57,6,TRUE)) + IF(Z96="",0,Z96 * VLOOKUP($B96,'A1.3.9'!$B$26:$O$57,7,TRUE)) + IF(AD96="",0,AD96 * VLOOKUP($B96,'A1.3.9'!$B$26:$O$57,8,TRUE)))</f>
        <v>-0.19000167911013674</v>
      </c>
      <c r="AI96" s="2644">
        <f>IF(AND(W96="",AA96="",AE96=""),"",IF(W96="",0,W96 * VLOOKUP($B96,'A1.3.9'!$B$26:$O$57,6,TRUE)) + IF(AA96="",0,AA96 * VLOOKUP($B96,'A1.3.9'!$B$26:$O$57,7,TRUE)) + IF(AE96="",0,AE96 * VLOOKUP($B96,'A1.3.9'!$B$26:$O$57,8,TRUE)))</f>
        <v>1.6039706802262912E-3</v>
      </c>
    </row>
    <row r="97" spans="1:35" ht="13.5" customHeight="1">
      <c r="A97" s="113"/>
      <c r="B97" s="614">
        <f t="shared" si="1"/>
        <v>2080</v>
      </c>
      <c r="C97" s="147"/>
      <c r="D97" s="693">
        <f>IF('A1.3.12'!D97="","",'A1.3.12'!D97*(1+VLOOKUP($B97,'A1.3.7'!$B$28:$O$118,12,)/100))</f>
        <v>47.835392495568108</v>
      </c>
      <c r="E97" s="691">
        <f>IF('A1.3.12'!E97="","",'A1.3.12'!E97*(1+VLOOKUP($B97,'A1.3.7'!$B$28:$O$118,12,)/100))</f>
        <v>10.165796838819041</v>
      </c>
      <c r="F97" s="691">
        <f>IF('A1.3.12'!F97="","",'A1.3.12'!F97*(1+VLOOKUP($B97,'A1.3.7'!$B$28:$O$118,12,)/100))</f>
        <v>-0.11580048146717603</v>
      </c>
      <c r="G97" s="2644">
        <f>IF('A1.3.12'!G97="","",'A1.3.12'!G97*(1+VLOOKUP($B97,'A1.3.7'!$B$28:$O$118,12,)/100))</f>
        <v>7.6693727129332903E-4</v>
      </c>
      <c r="H97" s="693">
        <f>IF('A1.3.12'!H97="","",'A1.3.12'!H97*(1+VLOOKUP($B97,'A1.3.7'!$B$28:$O$118,13,)/100))</f>
        <v>58.794886882506418</v>
      </c>
      <c r="I97" s="691">
        <f>IF('A1.3.12'!I97="","",'A1.3.12'!I97*(1+VLOOKUP($B97,'A1.3.7'!$B$28:$O$118,13,)/100))</f>
        <v>8.4297327830518967</v>
      </c>
      <c r="J97" s="691">
        <f>IF('A1.3.12'!J97="","",'A1.3.12'!J97*(1+VLOOKUP($B97,'A1.3.7'!$B$28:$O$118,13,)/100))</f>
        <v>-8.1096377733596556E-2</v>
      </c>
      <c r="K97" s="2644">
        <f>IF('A1.3.12'!K97="","",'A1.3.12'!K97*(1+VLOOKUP($B97,'A1.3.7'!$B$28:$O$118,13,)/100))</f>
        <v>6.3904352520672409E-4</v>
      </c>
      <c r="L97" s="693" t="str">
        <f>IF('A1.3.12'!L97="","",'A1.3.12'!L97*(1+VLOOKUP($B97,'A1.3.7'!$B$28:$O$118,14,)/100))</f>
        <v/>
      </c>
      <c r="M97" s="691">
        <f>IF('A1.3.12'!M97="","",'A1.3.12'!M97*(1+VLOOKUP($B97,'A1.3.7'!$B$28:$O$118,14,)/100))</f>
        <v>2.0619488699992319</v>
      </c>
      <c r="N97" s="691" t="str">
        <f>IF('A1.3.12'!N97="","",'A1.3.12'!N97*(1+VLOOKUP($B97,'A1.3.7'!$B$28:$O$118,14,)/100))</f>
        <v/>
      </c>
      <c r="O97" s="1664" t="str">
        <f>IF('A1.3.12'!O97="","",'A1.3.12'!O97*(1+VLOOKUP($B97,'A1.3.7'!$B$28:$O$118,14,)/100))</f>
        <v/>
      </c>
      <c r="P97" s="693">
        <f>IF(AND(D97="",H97="",L97=""),"",IF(D97="",0,D97 * VLOOKUP($B97,'A1.3.9'!$B$26:$O$57,3,TRUE)) + IF(H97="",0,H97 * VLOOKUP($B97,'A1.3.9'!$B$26:$O$57,4,TRUE)) + IF(L97="",0,L97 * VLOOKUP($B97,'A1.3.9'!$B$26:$O$57,5,TRUE)))</f>
        <v>39.620188146709658</v>
      </c>
      <c r="Q97" s="691">
        <f>IF(AND(E97="",I97="",M97=""),"",IF(E97="",0,E97 * VLOOKUP($B97,'A1.3.9'!$B$26:$O$57,3,TRUE)) + IF(I97="",0,I97 * VLOOKUP($B97,'A1.3.9'!$B$26:$O$57,4,TRUE)) + IF(M97="",0,M97 * VLOOKUP($B97,'A1.3.9'!$B$26:$O$57,5,TRUE)))</f>
        <v>7.665436529286568</v>
      </c>
      <c r="R97" s="691">
        <f>IF(AND(F97="",J97="",N97=""),"",IF(F97="",0,F97 * VLOOKUP($B97,'A1.3.9'!$B$26:$O$57,3,TRUE)) + IF(J97="",0,J97 * VLOOKUP($B97,'A1.3.9'!$B$26:$O$57,4,TRUE)) + IF(N97="",0,N97 * VLOOKUP($B97,'A1.3.9'!$B$26:$O$57,5,TRUE)))</f>
        <v>-7.7017634258737547E-2</v>
      </c>
      <c r="S97" s="2644">
        <f>IF(AND(G97="",K97="",O97=""),"",IF(G97="",0,G97 * VLOOKUP($B97,'A1.3.9'!$B$26:$O$57,3,TRUE)) + IF(K97="",0,K97 * VLOOKUP($B97,'A1.3.9'!$B$26:$O$57,4,TRUE)) + IF(O97="",0,O97 * VLOOKUP($B97,'A1.3.9'!$B$26:$O$57,5,TRUE)))</f>
        <v>5.4154009575647856E-4</v>
      </c>
      <c r="T97" s="693">
        <f>IF('A1.3.12'!T97="","",'A1.3.12'!T97*(1+VLOOKUP($B97,'A1.3.7'!$B$28:$O$118,12,)/100))</f>
        <v>34.409579719433808</v>
      </c>
      <c r="U97" s="691">
        <f>IF('A1.3.12'!U97="","",'A1.3.12'!U97*(1+VLOOKUP($B97,'A1.3.7'!$B$28:$O$118,12,)/100))</f>
        <v>19.294900459496493</v>
      </c>
      <c r="V97" s="691">
        <f>IF('A1.3.12'!V97="","",'A1.3.12'!V97*(1+VLOOKUP($B97,'A1.3.7'!$B$28:$O$118,12,)/100))</f>
        <v>-0.3028666037377124</v>
      </c>
      <c r="W97" s="2644">
        <f>IF('A1.3.12'!W97="","",'A1.3.12'!W97*(1+VLOOKUP($B97,'A1.3.7'!$B$28:$O$118,12,)/100))</f>
        <v>1.9559238457721724E-3</v>
      </c>
      <c r="X97" s="693">
        <f>IF('A1.3.12'!X97="","",'A1.3.12'!X97*(1+VLOOKUP($B97,'A1.3.7'!$B$28:$O$118,13,)/100))</f>
        <v>60.553029359986454</v>
      </c>
      <c r="Y97" s="691">
        <f>IF('A1.3.12'!Y97="","",'A1.3.12'!Y97*(1+VLOOKUP($B97,'A1.3.7'!$B$28:$O$118,13,)/100))</f>
        <v>14.799407149262407</v>
      </c>
      <c r="Z97" s="691">
        <f>IF('A1.3.12'!Z97="","",'A1.3.12'!Z97*(1+VLOOKUP($B97,'A1.3.7'!$B$28:$O$118,13,)/100))</f>
        <v>-0.21350834520688389</v>
      </c>
      <c r="AA97" s="2644">
        <f>IF('A1.3.12'!AA97="","",'A1.3.12'!AA97*(1+VLOOKUP($B97,'A1.3.7'!$B$28:$O$118,13,)/100))</f>
        <v>1.8075690949480791E-3</v>
      </c>
      <c r="AB97" s="693" t="str">
        <f>IF('A1.3.12'!AB97="","",'A1.3.12'!AB97*(1+VLOOKUP($B97,'A1.3.7'!$B$28:$O$118,14,)/100))</f>
        <v/>
      </c>
      <c r="AC97" s="691">
        <f>IF('A1.3.12'!AC97="","",'A1.3.12'!AC97*(1+VLOOKUP($B97,'A1.3.7'!$B$28:$O$118,14,)/100))</f>
        <v>4.7402914466537549</v>
      </c>
      <c r="AD97" s="691" t="str">
        <f>IF('A1.3.12'!AD97="","",'A1.3.12'!AD97*(1+VLOOKUP($B97,'A1.3.7'!$B$28:$O$118,14,)/100))</f>
        <v/>
      </c>
      <c r="AE97" s="1664" t="str">
        <f>IF('A1.3.12'!AE97="","",'A1.3.12'!AE97*(1+VLOOKUP($B97,'A1.3.7'!$B$28:$O$118,14,)/100))</f>
        <v/>
      </c>
      <c r="AF97" s="693">
        <f>IF(AND(T97="",X97="",AB97=""),"",IF(T97="",0,T97 * VLOOKUP($B97,'A1.3.9'!$B$26:$O$57,6,TRUE)) + IF(X97="",0,X97 * VLOOKUP($B97,'A1.3.9'!$B$26:$O$57,7,TRUE)) + IF(AB97="",0,AB97 * VLOOKUP($B97,'A1.3.9'!$B$26:$O$57,8,TRUE)))</f>
        <v>53.72903817489145</v>
      </c>
      <c r="AG97" s="691">
        <f>IF(AND(U97="",Y97="",AC97=""),"",IF(U97="",0,U97 * VLOOKUP($B97,'A1.3.9'!$B$26:$O$57,6,TRUE)) + IF(Y97="",0,Y97 * VLOOKUP($B97,'A1.3.9'!$B$26:$O$57,7,TRUE)) + IF(AC97="",0,AC97 * VLOOKUP($B97,'A1.3.9'!$B$26:$O$57,8,TRUE)))</f>
        <v>13.732808133701836</v>
      </c>
      <c r="AH97" s="691">
        <f>IF(AND(V97="",Z97="",AD97=""),"",IF(V97="",0,V97 * VLOOKUP($B97,'A1.3.9'!$B$26:$O$57,6,TRUE)) + IF(Z97="",0,Z97 * VLOOKUP($B97,'A1.3.9'!$B$26:$O$57,7,TRUE)) + IF(AD97="",0,AD97 * VLOOKUP($B97,'A1.3.9'!$B$26:$O$57,8,TRUE)))</f>
        <v>-0.19082345323388067</v>
      </c>
      <c r="AI97" s="2644">
        <f>IF(AND(W97="",AA97="",AE97=""),"",IF(W97="",0,W97 * VLOOKUP($B97,'A1.3.9'!$B$26:$O$57,6,TRUE)) + IF(AA97="",0,AA97 * VLOOKUP($B97,'A1.3.9'!$B$26:$O$57,7,TRUE)) + IF(AE97="",0,AE97 * VLOOKUP($B97,'A1.3.9'!$B$26:$O$57,8,TRUE)))</f>
        <v>1.6109073591957879E-3</v>
      </c>
    </row>
    <row r="98" spans="1:35" ht="13.5" customHeight="1">
      <c r="A98" s="113"/>
      <c r="B98" s="614">
        <f t="shared" si="1"/>
        <v>2081</v>
      </c>
      <c r="C98" s="147"/>
      <c r="D98" s="693">
        <f>IF('A1.3.12'!D98="","",'A1.3.12'!D98*(1+VLOOKUP($B98,'A1.3.7'!$B$28:$O$118,12,)/100))</f>
        <v>48.049424341883288</v>
      </c>
      <c r="E98" s="691">
        <f>IF('A1.3.12'!E98="","",'A1.3.12'!E98*(1+VLOOKUP($B98,'A1.3.7'!$B$28:$O$118,12,)/100))</f>
        <v>10.21128207795195</v>
      </c>
      <c r="F98" s="691">
        <f>IF('A1.3.12'!F98="","",'A1.3.12'!F98*(1+VLOOKUP($B98,'A1.3.7'!$B$28:$O$118,12,)/100))</f>
        <v>-0.11631861228119419</v>
      </c>
      <c r="G98" s="2644">
        <f>IF('A1.3.12'!G98="","",'A1.3.12'!G98*(1+VLOOKUP($B98,'A1.3.7'!$B$28:$O$118,12,)/100))</f>
        <v>7.703688099850633E-4</v>
      </c>
      <c r="H98" s="693">
        <f>IF('A1.3.12'!H98="","",'A1.3.12'!H98*(1+VLOOKUP($B98,'A1.3.7'!$B$28:$O$118,13,)/100))</f>
        <v>59.049718306306218</v>
      </c>
      <c r="I98" s="691">
        <f>IF('A1.3.12'!I98="","",'A1.3.12'!I98*(1+VLOOKUP($B98,'A1.3.7'!$B$28:$O$118,13,)/100))</f>
        <v>8.4662693072508439</v>
      </c>
      <c r="J98" s="691">
        <f>IF('A1.3.12'!J98="","",'A1.3.12'!J98*(1+VLOOKUP($B98,'A1.3.7'!$B$28:$O$118,13,)/100))</f>
        <v>-8.1447869274759943E-2</v>
      </c>
      <c r="K98" s="2644">
        <f>IF('A1.3.12'!K98="","",'A1.3.12'!K98*(1+VLOOKUP($B98,'A1.3.7'!$B$28:$O$118,13,)/100))</f>
        <v>6.4181329618568544E-4</v>
      </c>
      <c r="L98" s="693" t="str">
        <f>IF('A1.3.12'!L98="","",'A1.3.12'!L98*(1+VLOOKUP($B98,'A1.3.7'!$B$28:$O$118,14,)/100))</f>
        <v/>
      </c>
      <c r="M98" s="691">
        <f>IF('A1.3.12'!M98="","",'A1.3.12'!M98*(1+VLOOKUP($B98,'A1.3.7'!$B$28:$O$118,14,)/100))</f>
        <v>2.0619488699992319</v>
      </c>
      <c r="N98" s="691" t="str">
        <f>IF('A1.3.12'!N98="","",'A1.3.12'!N98*(1+VLOOKUP($B98,'A1.3.7'!$B$28:$O$118,14,)/100))</f>
        <v/>
      </c>
      <c r="O98" s="1664" t="str">
        <f>IF('A1.3.12'!O98="","",'A1.3.12'!O98*(1+VLOOKUP($B98,'A1.3.7'!$B$28:$O$118,14,)/100))</f>
        <v/>
      </c>
      <c r="P98" s="693">
        <f>IF(AND(D98="",H98="",L98=""),"",IF(D98="",0,D98 * VLOOKUP($B98,'A1.3.9'!$B$26:$O$57,3,TRUE)) + IF(H98="",0,H98 * VLOOKUP($B98,'A1.3.9'!$B$26:$O$57,4,TRUE)) + IF(L98="",0,L98 * VLOOKUP($B98,'A1.3.9'!$B$26:$O$57,5,TRUE)))</f>
        <v>39.794920683967376</v>
      </c>
      <c r="Q98" s="691">
        <f>IF(AND(E98="",I98="",M98=""),"",IF(E98="",0,E98 * VLOOKUP($B98,'A1.3.9'!$B$26:$O$57,3,TRUE)) + IF(I98="",0,I98 * VLOOKUP($B98,'A1.3.9'!$B$26:$O$57,4,TRUE)) + IF(M98="",0,M98 * VLOOKUP($B98,'A1.3.9'!$B$26:$O$57,5,TRUE)))</f>
        <v>7.6971332136153645</v>
      </c>
      <c r="R98" s="691">
        <f>IF(AND(F98="",J98="",N98=""),"",IF(F98="",0,F98 * VLOOKUP($B98,'A1.3.9'!$B$26:$O$57,3,TRUE)) + IF(J98="",0,J98 * VLOOKUP($B98,'A1.3.9'!$B$26:$O$57,4,TRUE)) + IF(N98="",0,N98 * VLOOKUP($B98,'A1.3.9'!$B$26:$O$57,5,TRUE)))</f>
        <v>-7.7358731626586796E-2</v>
      </c>
      <c r="S98" s="2644">
        <f>IF(AND(G98="",K98="",O98=""),"",IF(G98="",0,G98 * VLOOKUP($B98,'A1.3.9'!$B$26:$O$57,3,TRUE)) + IF(K98="",0,K98 * VLOOKUP($B98,'A1.3.9'!$B$26:$O$57,4,TRUE)) + IF(O98="",0,O98 * VLOOKUP($B98,'A1.3.9'!$B$26:$O$57,5,TRUE)))</f>
        <v>5.4393550501819843E-4</v>
      </c>
      <c r="T98" s="693">
        <f>IF('A1.3.12'!T98="","",'A1.3.12'!T98*(1+VLOOKUP($B98,'A1.3.7'!$B$28:$O$118,12,)/100))</f>
        <v>34.563539904436205</v>
      </c>
      <c r="U98" s="691">
        <f>IF('A1.3.12'!U98="","",'A1.3.12'!U98*(1+VLOOKUP($B98,'A1.3.7'!$B$28:$O$118,12,)/100))</f>
        <v>19.381232419042895</v>
      </c>
      <c r="V98" s="691">
        <f>IF('A1.3.12'!V98="","",'A1.3.12'!V98*(1+VLOOKUP($B98,'A1.3.7'!$B$28:$O$118,12,)/100))</f>
        <v>-0.30422173212703618</v>
      </c>
      <c r="W98" s="2644">
        <f>IF('A1.3.12'!W98="","",'A1.3.12'!W98*(1+VLOOKUP($B98,'A1.3.7'!$B$28:$O$118,12,)/100))</f>
        <v>1.9646753155547459E-3</v>
      </c>
      <c r="X98" s="693">
        <f>IF('A1.3.12'!X98="","",'A1.3.12'!X98*(1+VLOOKUP($B98,'A1.3.7'!$B$28:$O$118,13,)/100))</f>
        <v>60.815481003409687</v>
      </c>
      <c r="Y98" s="691">
        <f>IF('A1.3.12'!Y98="","",'A1.3.12'!Y98*(1+VLOOKUP($B98,'A1.3.7'!$B$28:$O$118,13,)/100))</f>
        <v>14.863551400492558</v>
      </c>
      <c r="Z98" s="691">
        <f>IF('A1.3.12'!Z98="","",'A1.3.12'!Z98*(1+VLOOKUP($B98,'A1.3.7'!$B$28:$O$118,13,)/100))</f>
        <v>-0.21443374260939851</v>
      </c>
      <c r="AA98" s="2644">
        <f>IF('A1.3.12'!AA98="","",'A1.3.12'!AA98*(1+VLOOKUP($B98,'A1.3.7'!$B$28:$O$118,13,)/100))</f>
        <v>1.8154035416237339E-3</v>
      </c>
      <c r="AB98" s="693" t="str">
        <f>IF('A1.3.12'!AB98="","",'A1.3.12'!AB98*(1+VLOOKUP($B98,'A1.3.7'!$B$28:$O$118,14,)/100))</f>
        <v/>
      </c>
      <c r="AC98" s="691">
        <f>IF('A1.3.12'!AC98="","",'A1.3.12'!AC98*(1+VLOOKUP($B98,'A1.3.7'!$B$28:$O$118,14,)/100))</f>
        <v>4.7402914466537549</v>
      </c>
      <c r="AD98" s="691" t="str">
        <f>IF('A1.3.12'!AD98="","",'A1.3.12'!AD98*(1+VLOOKUP($B98,'A1.3.7'!$B$28:$O$118,14,)/100))</f>
        <v/>
      </c>
      <c r="AE98" s="1664" t="str">
        <f>IF('A1.3.12'!AE98="","",'A1.3.12'!AE98*(1+VLOOKUP($B98,'A1.3.7'!$B$28:$O$118,14,)/100))</f>
        <v/>
      </c>
      <c r="AF98" s="693">
        <f>IF(AND(T98="",X98="",AB98=""),"",IF(T98="",0,T98 * VLOOKUP($B98,'A1.3.9'!$B$26:$O$57,6,TRUE)) + IF(X98="",0,X98 * VLOOKUP($B98,'A1.3.9'!$B$26:$O$57,7,TRUE)) + IF(AB98="",0,AB98 * VLOOKUP($B98,'A1.3.9'!$B$26:$O$57,8,TRUE)))</f>
        <v>53.961949518148074</v>
      </c>
      <c r="AG98" s="691">
        <f>IF(AND(U98="",Y98="",AC98=""),"",IF(U98="",0,U98 * VLOOKUP($B98,'A1.3.9'!$B$26:$O$57,6,TRUE)) + IF(Y98="",0,Y98 * VLOOKUP($B98,'A1.3.9'!$B$26:$O$57,7,TRUE)) + IF(AC98="",0,AC98 * VLOOKUP($B98,'A1.3.9'!$B$26:$O$57,8,TRUE)))</f>
        <v>13.790101854027982</v>
      </c>
      <c r="AH98" s="691">
        <f>IF(AND(V98="",Z98="",AD98=""),"",IF(V98="",0,V98 * VLOOKUP($B98,'A1.3.9'!$B$26:$O$57,6,TRUE)) + IF(Z98="",0,Z98 * VLOOKUP($B98,'A1.3.9'!$B$26:$O$57,7,TRUE)) + IF(AD98="",0,AD98 * VLOOKUP($B98,'A1.3.9'!$B$26:$O$57,8,TRUE)))</f>
        <v>-0.19165085044547042</v>
      </c>
      <c r="AI98" s="2644">
        <f>IF(AND(W98="",AA98="",AE98=""),"",IF(W98="",0,W98 * VLOOKUP($B98,'A1.3.9'!$B$26:$O$57,6,TRUE)) + IF(AA98="",0,AA98 * VLOOKUP($B98,'A1.3.9'!$B$26:$O$57,7,TRUE)) + IF(AE98="",0,AE98 * VLOOKUP($B98,'A1.3.9'!$B$26:$O$57,8,TRUE)))</f>
        <v>1.617891503221772E-3</v>
      </c>
    </row>
    <row r="99" spans="1:35" ht="13.5" customHeight="1">
      <c r="A99" s="113"/>
      <c r="B99" s="614">
        <f t="shared" si="1"/>
        <v>2082</v>
      </c>
      <c r="C99" s="147"/>
      <c r="D99" s="693">
        <f>IF('A1.3.12'!D99="","",'A1.3.12'!D99*(1+VLOOKUP($B99,'A1.3.7'!$B$28:$O$118,12,)/100))</f>
        <v>48.264920726736307</v>
      </c>
      <c r="E99" s="691">
        <f>IF('A1.3.12'!E99="","",'A1.3.12'!E99*(1+VLOOKUP($B99,'A1.3.7'!$B$28:$O$118,12,)/100))</f>
        <v>10.257078555280293</v>
      </c>
      <c r="F99" s="691">
        <f>IF('A1.3.12'!F99="","",'A1.3.12'!F99*(1+VLOOKUP($B99,'A1.3.7'!$B$28:$O$118,12,)/100))</f>
        <v>-0.11684028846735127</v>
      </c>
      <c r="G99" s="2644">
        <f>IF('A1.3.12'!G99="","",'A1.3.12'!G99*(1+VLOOKUP($B99,'A1.3.7'!$B$28:$O$118,12,)/100))</f>
        <v>7.7382382939120825E-4</v>
      </c>
      <c r="H99" s="693">
        <f>IF('A1.3.12'!H99="","",'A1.3.12'!H99*(1+VLOOKUP($B99,'A1.3.7'!$B$28:$O$118,13,)/100))</f>
        <v>59.306293444638385</v>
      </c>
      <c r="I99" s="691">
        <f>IF('A1.3.12'!I99="","",'A1.3.12'!I99*(1+VLOOKUP($B99,'A1.3.7'!$B$28:$O$118,13,)/100))</f>
        <v>8.5030558369917184</v>
      </c>
      <c r="J99" s="691">
        <f>IF('A1.3.12'!J99="","",'A1.3.12'!J99*(1+VLOOKUP($B99,'A1.3.7'!$B$28:$O$118,13,)/100))</f>
        <v>-8.1801765938883386E-2</v>
      </c>
      <c r="K99" s="2644">
        <f>IF('A1.3.12'!K99="","",'A1.3.12'!K99*(1+VLOOKUP($B99,'A1.3.7'!$B$28:$O$118,13,)/100))</f>
        <v>6.4460201965423883E-4</v>
      </c>
      <c r="L99" s="693" t="str">
        <f>IF('A1.3.12'!L99="","",'A1.3.12'!L99*(1+VLOOKUP($B99,'A1.3.7'!$B$28:$O$118,14,)/100))</f>
        <v/>
      </c>
      <c r="M99" s="691">
        <f>IF('A1.3.12'!M99="","",'A1.3.12'!M99*(1+VLOOKUP($B99,'A1.3.7'!$B$28:$O$118,14,)/100))</f>
        <v>2.0619488699992319</v>
      </c>
      <c r="N99" s="691" t="str">
        <f>IF('A1.3.12'!N99="","",'A1.3.12'!N99*(1+VLOOKUP($B99,'A1.3.7'!$B$28:$O$118,14,)/100))</f>
        <v/>
      </c>
      <c r="O99" s="1664" t="str">
        <f>IF('A1.3.12'!O99="","",'A1.3.12'!O99*(1+VLOOKUP($B99,'A1.3.7'!$B$28:$O$118,14,)/100))</f>
        <v/>
      </c>
      <c r="P99" s="693">
        <f>IF(AND(D99="",H99="",L99=""),"",IF(D99="",0,D99 * VLOOKUP($B99,'A1.3.9'!$B$26:$O$57,3,TRUE)) + IF(H99="",0,H99 * VLOOKUP($B99,'A1.3.9'!$B$26:$O$57,4,TRUE)) + IF(L99="",0,L99 * VLOOKUP($B99,'A1.3.9'!$B$26:$O$57,5,TRUE)))</f>
        <v>39.970848849534775</v>
      </c>
      <c r="Q99" s="691">
        <f>IF(AND(E99="",I99="",M99=""),"",IF(E99="",0,E99 * VLOOKUP($B99,'A1.3.9'!$B$26:$O$57,3,TRUE)) + IF(I99="",0,I99 * VLOOKUP($B99,'A1.3.9'!$B$26:$O$57,4,TRUE)) + IF(M99="",0,M99 * VLOOKUP($B99,'A1.3.9'!$B$26:$O$57,5,TRUE)))</f>
        <v>7.7290467863022272</v>
      </c>
      <c r="R99" s="691">
        <f>IF(AND(F99="",J99="",N99=""),"",IF(F99="",0,F99 * VLOOKUP($B99,'A1.3.9'!$B$26:$O$57,3,TRUE)) + IF(J99="",0,J99 * VLOOKUP($B99,'A1.3.9'!$B$26:$O$57,4,TRUE)) + IF(N99="",0,N99 * VLOOKUP($B99,'A1.3.9'!$B$26:$O$57,5,TRUE)))</f>
        <v>-7.7702162994020524E-2</v>
      </c>
      <c r="S99" s="2644">
        <f>IF(AND(G99="",K99="",O99=""),"",IF(G99="",0,G99 * VLOOKUP($B99,'A1.3.9'!$B$26:$O$57,3,TRUE)) + IF(K99="",0,K99 * VLOOKUP($B99,'A1.3.9'!$B$26:$O$57,4,TRUE)) + IF(O99="",0,O99 * VLOOKUP($B99,'A1.3.9'!$B$26:$O$57,5,TRUE)))</f>
        <v>5.463473051546319E-4</v>
      </c>
      <c r="T99" s="693">
        <f>IF('A1.3.12'!T99="","",'A1.3.12'!T99*(1+VLOOKUP($B99,'A1.3.7'!$B$28:$O$118,12,)/100))</f>
        <v>34.71855358044057</v>
      </c>
      <c r="U99" s="691">
        <f>IF('A1.3.12'!U99="","",'A1.3.12'!U99*(1+VLOOKUP($B99,'A1.3.7'!$B$28:$O$118,12,)/100))</f>
        <v>19.468155115360386</v>
      </c>
      <c r="V99" s="691">
        <f>IF('A1.3.12'!V99="","",'A1.3.12'!V99*(1+VLOOKUP($B99,'A1.3.7'!$B$28:$O$118,12,)/100))</f>
        <v>-0.30558613314463495</v>
      </c>
      <c r="W99" s="2644">
        <f>IF('A1.3.12'!W99="","",'A1.3.12'!W99*(1+VLOOKUP($B99,'A1.3.7'!$B$28:$O$118,12,)/100))</f>
        <v>1.9734866683172587E-3</v>
      </c>
      <c r="X99" s="693">
        <f>IF('A1.3.12'!X99="","",'A1.3.12'!X99*(1+VLOOKUP($B99,'A1.3.7'!$B$28:$O$118,13,)/100))</f>
        <v>61.079728503630534</v>
      </c>
      <c r="Y99" s="691">
        <f>IF('A1.3.12'!Y99="","",'A1.3.12'!Y99*(1+VLOOKUP($B99,'A1.3.7'!$B$28:$O$118,13,)/100))</f>
        <v>14.928134566442754</v>
      </c>
      <c r="Z99" s="691">
        <f>IF('A1.3.12'!Z99="","",'A1.3.12'!Z99*(1+VLOOKUP($B99,'A1.3.7'!$B$28:$O$118,13,)/100))</f>
        <v>-0.21536547215445229</v>
      </c>
      <c r="AA99" s="2644">
        <f>IF('A1.3.12'!AA99="","",'A1.3.12'!AA99*(1+VLOOKUP($B99,'A1.3.7'!$B$28:$O$118,13,)/100))</f>
        <v>1.823291596438909E-3</v>
      </c>
      <c r="AB99" s="693" t="str">
        <f>IF('A1.3.12'!AB99="","",'A1.3.12'!AB99*(1+VLOOKUP($B99,'A1.3.7'!$B$28:$O$118,14,)/100))</f>
        <v/>
      </c>
      <c r="AC99" s="691">
        <f>IF('A1.3.12'!AC99="","",'A1.3.12'!AC99*(1+VLOOKUP($B99,'A1.3.7'!$B$28:$O$118,14,)/100))</f>
        <v>4.7402914466537549</v>
      </c>
      <c r="AD99" s="691" t="str">
        <f>IF('A1.3.12'!AD99="","",'A1.3.12'!AD99*(1+VLOOKUP($B99,'A1.3.7'!$B$28:$O$118,14,)/100))</f>
        <v/>
      </c>
      <c r="AE99" s="1664" t="str">
        <f>IF('A1.3.12'!AE99="","",'A1.3.12'!AE99*(1+VLOOKUP($B99,'A1.3.7'!$B$28:$O$118,14,)/100))</f>
        <v/>
      </c>
      <c r="AF99" s="693">
        <f>IF(AND(T99="",X99="",AB99=""),"",IF(T99="",0,T99 * VLOOKUP($B99,'A1.3.9'!$B$26:$O$57,6,TRUE)) + IF(X99="",0,X99 * VLOOKUP($B99,'A1.3.9'!$B$26:$O$57,7,TRUE)) + IF(AB99="",0,AB99 * VLOOKUP($B99,'A1.3.9'!$B$26:$O$57,8,TRUE)))</f>
        <v>54.196454585161092</v>
      </c>
      <c r="AG99" s="691">
        <f>IF(AND(U99="",Y99="",AC99=""),"",IF(U99="",0,U99 * VLOOKUP($B99,'A1.3.9'!$B$26:$O$57,6,TRUE)) + IF(Y99="",0,Y99 * VLOOKUP($B99,'A1.3.9'!$B$26:$O$57,7,TRUE)) + IF(AC99="",0,AC99 * VLOOKUP($B99,'A1.3.9'!$B$26:$O$57,8,TRUE)))</f>
        <v>13.847787613496143</v>
      </c>
      <c r="AH99" s="691">
        <f>IF(AND(V99="",Z99="",AD99=""),"",IF(V99="",0,V99 * VLOOKUP($B99,'A1.3.9'!$B$26:$O$57,6,TRUE)) + IF(Z99="",0,Z99 * VLOOKUP($B99,'A1.3.9'!$B$26:$O$57,7,TRUE)) + IF(AD99="",0,AD99 * VLOOKUP($B99,'A1.3.9'!$B$26:$O$57,8,TRUE)))</f>
        <v>-0.19248390922155778</v>
      </c>
      <c r="AI99" s="2644">
        <f>IF(AND(W99="",AA99="",AE99=""),"",IF(W99="",0,W99 * VLOOKUP($B99,'A1.3.9'!$B$26:$O$57,6,TRUE)) + IF(AA99="",0,AA99 * VLOOKUP($B99,'A1.3.9'!$B$26:$O$57,7,TRUE)) + IF(AE99="",0,AE99 * VLOOKUP($B99,'A1.3.9'!$B$26:$O$57,8,TRUE)))</f>
        <v>1.6249234370895758E-3</v>
      </c>
    </row>
    <row r="100" spans="1:35" ht="13.5" customHeight="1">
      <c r="A100" s="113"/>
      <c r="B100" s="614">
        <f t="shared" si="1"/>
        <v>2083</v>
      </c>
      <c r="C100" s="147"/>
      <c r="D100" s="693">
        <f>IF('A1.3.12'!D100="","",'A1.3.12'!D100*(1+VLOOKUP($B100,'A1.3.7'!$B$28:$O$118,12,)/100))</f>
        <v>48.481891671407475</v>
      </c>
      <c r="E100" s="691">
        <f>IF('A1.3.12'!E100="","",'A1.3.12'!E100*(1+VLOOKUP($B100,'A1.3.7'!$B$28:$O$118,12,)/100))</f>
        <v>10.303188400488697</v>
      </c>
      <c r="F100" s="691">
        <f>IF('A1.3.12'!F100="","",'A1.3.12'!F100*(1+VLOOKUP($B100,'A1.3.7'!$B$28:$O$118,12,)/100))</f>
        <v>-0.1173655342852807</v>
      </c>
      <c r="G100" s="2644">
        <f>IF('A1.3.12'!G100="","",'A1.3.12'!G100*(1+VLOOKUP($B100,'A1.3.7'!$B$28:$O$118,12,)/100))</f>
        <v>7.7730249018136404E-4</v>
      </c>
      <c r="H100" s="693">
        <f>IF('A1.3.12'!H100="","",'A1.3.12'!H100*(1+VLOOKUP($B100,'A1.3.7'!$B$28:$O$118,13,)/100))</f>
        <v>59.564624229078404</v>
      </c>
      <c r="I100" s="691">
        <f>IF('A1.3.12'!I100="","",'A1.3.12'!I100*(1+VLOOKUP($B100,'A1.3.7'!$B$28:$O$118,13,)/100))</f>
        <v>8.5400940829673821</v>
      </c>
      <c r="J100" s="691">
        <f>IF('A1.3.12'!J100="","",'A1.3.12'!J100*(1+VLOOKUP($B100,'A1.3.7'!$B$28:$O$118,13,)/100))</f>
        <v>-8.2158084183308805E-2</v>
      </c>
      <c r="K100" s="2644">
        <f>IF('A1.3.12'!K100="","",'A1.3.12'!K100*(1+VLOOKUP($B100,'A1.3.7'!$B$28:$O$118,13,)/100))</f>
        <v>6.4740982529706403E-4</v>
      </c>
      <c r="L100" s="693" t="str">
        <f>IF('A1.3.12'!L100="","",'A1.3.12'!L100*(1+VLOOKUP($B100,'A1.3.7'!$B$28:$O$118,14,)/100))</f>
        <v/>
      </c>
      <c r="M100" s="691">
        <f>IF('A1.3.12'!M100="","",'A1.3.12'!M100*(1+VLOOKUP($B100,'A1.3.7'!$B$28:$O$118,14,)/100))</f>
        <v>2.0619488699992319</v>
      </c>
      <c r="N100" s="691" t="str">
        <f>IF('A1.3.12'!N100="","",'A1.3.12'!N100*(1+VLOOKUP($B100,'A1.3.7'!$B$28:$O$118,14,)/100))</f>
        <v/>
      </c>
      <c r="O100" s="1664" t="str">
        <f>IF('A1.3.12'!O100="","",'A1.3.12'!O100*(1+VLOOKUP($B100,'A1.3.7'!$B$28:$O$118,14,)/100))</f>
        <v/>
      </c>
      <c r="P100" s="693">
        <f>IF(AND(D100="",H100="",L100=""),"",IF(D100="",0,D100 * VLOOKUP($B100,'A1.3.9'!$B$26:$O$57,3,TRUE)) + IF(H100="",0,H100 * VLOOKUP($B100,'A1.3.9'!$B$26:$O$57,4,TRUE)) + IF(L100="",0,L100 * VLOOKUP($B100,'A1.3.9'!$B$26:$O$57,5,TRUE)))</f>
        <v>40.147980824641749</v>
      </c>
      <c r="Q100" s="691">
        <f>IF(AND(E100="",I100="",M100=""),"",IF(E100="",0,E100 * VLOOKUP($B100,'A1.3.9'!$B$26:$O$57,3,TRUE)) + IF(I100="",0,I100 * VLOOKUP($B100,'A1.3.9'!$B$26:$O$57,4,TRUE)) + IF(M100="",0,M100 * VLOOKUP($B100,'A1.3.9'!$B$26:$O$57,5,TRUE)))</f>
        <v>7.7611787314317198</v>
      </c>
      <c r="R100" s="691">
        <f>IF(AND(F100="",J100="",N100=""),"",IF(F100="",0,F100 * VLOOKUP($B100,'A1.3.9'!$B$26:$O$57,3,TRUE)) + IF(J100="",0,J100 * VLOOKUP($B100,'A1.3.9'!$B$26:$O$57,4,TRUE)) + IF(N100="",0,N100 * VLOOKUP($B100,'A1.3.9'!$B$26:$O$57,5,TRUE)))</f>
        <v>-7.8047944331710431E-2</v>
      </c>
      <c r="S100" s="2644">
        <f>IF(AND(G100="",K100="",O100=""),"",IF(G100="",0,G100 * VLOOKUP($B100,'A1.3.9'!$B$26:$O$57,3,TRUE)) + IF(K100="",0,K100 * VLOOKUP($B100,'A1.3.9'!$B$26:$O$57,4,TRUE)) + IF(O100="",0,O100 * VLOOKUP($B100,'A1.3.9'!$B$26:$O$57,5,TRUE)))</f>
        <v>5.4877560832230208E-4</v>
      </c>
      <c r="T100" s="693">
        <f>IF('A1.3.12'!T100="","",'A1.3.12'!T100*(1+VLOOKUP($B100,'A1.3.7'!$B$28:$O$118,12,)/100))</f>
        <v>34.874627956085241</v>
      </c>
      <c r="U100" s="691">
        <f>IF('A1.3.12'!U100="","",'A1.3.12'!U100*(1+VLOOKUP($B100,'A1.3.7'!$B$28:$O$118,12,)/100))</f>
        <v>19.555672590636064</v>
      </c>
      <c r="V100" s="691">
        <f>IF('A1.3.12'!V100="","",'A1.3.12'!V100*(1+VLOOKUP($B100,'A1.3.7'!$B$28:$O$118,12,)/100))</f>
        <v>-0.30695987023957794</v>
      </c>
      <c r="W100" s="2644">
        <f>IF('A1.3.12'!W100="","",'A1.3.12'!W100*(1+VLOOKUP($B100,'A1.3.7'!$B$28:$O$118,12,)/100))</f>
        <v>1.9823583138161723E-3</v>
      </c>
      <c r="X100" s="693">
        <f>IF('A1.3.12'!X100="","",'A1.3.12'!X100*(1+VLOOKUP($B100,'A1.3.7'!$B$28:$O$118,13,)/100))</f>
        <v>61.345784149014207</v>
      </c>
      <c r="Y100" s="691">
        <f>IF('A1.3.12'!Y100="","",'A1.3.12'!Y100*(1+VLOOKUP($B100,'A1.3.7'!$B$28:$O$118,13,)/100))</f>
        <v>14.993159650439537</v>
      </c>
      <c r="Z100" s="691">
        <f>IF('A1.3.12'!Z100="","",'A1.3.12'!Z100*(1+VLOOKUP($B100,'A1.3.7'!$B$28:$O$118,13,)/100))</f>
        <v>-0.21630357717048895</v>
      </c>
      <c r="AA100" s="2644">
        <f>IF('A1.3.12'!AA100="","",'A1.3.12'!AA100*(1+VLOOKUP($B100,'A1.3.7'!$B$28:$O$118,13,)/100))</f>
        <v>1.8312336262137196E-3</v>
      </c>
      <c r="AB100" s="693" t="str">
        <f>IF('A1.3.12'!AB100="","",'A1.3.12'!AB100*(1+VLOOKUP($B100,'A1.3.7'!$B$28:$O$118,14,)/100))</f>
        <v/>
      </c>
      <c r="AC100" s="691">
        <f>IF('A1.3.12'!AC100="","",'A1.3.12'!AC100*(1+VLOOKUP($B100,'A1.3.7'!$B$28:$O$118,14,)/100))</f>
        <v>4.7402914466537549</v>
      </c>
      <c r="AD100" s="691" t="str">
        <f>IF('A1.3.12'!AD100="","",'A1.3.12'!AD100*(1+VLOOKUP($B100,'A1.3.7'!$B$28:$O$118,14,)/100))</f>
        <v/>
      </c>
      <c r="AE100" s="1664" t="str">
        <f>IF('A1.3.12'!AE100="","",'A1.3.12'!AE100*(1+VLOOKUP($B100,'A1.3.7'!$B$28:$O$118,14,)/100))</f>
        <v/>
      </c>
      <c r="AF100" s="693">
        <f>IF(AND(T100="",X100="",AB100=""),"",IF(T100="",0,T100 * VLOOKUP($B100,'A1.3.9'!$B$26:$O$57,6,TRUE)) + IF(X100="",0,X100 * VLOOKUP($B100,'A1.3.9'!$B$26:$O$57,7,TRUE)) + IF(AB100="",0,AB100 * VLOOKUP($B100,'A1.3.9'!$B$26:$O$57,8,TRUE)))</f>
        <v>54.432564281176184</v>
      </c>
      <c r="AG100" s="691">
        <f>IF(AND(U100="",Y100="",AC100=""),"",IF(U100="",0,U100 * VLOOKUP($B100,'A1.3.9'!$B$26:$O$57,6,TRUE)) + IF(Y100="",0,Y100 * VLOOKUP($B100,'A1.3.9'!$B$26:$O$57,7,TRUE)) + IF(AC100="",0,AC100 * VLOOKUP($B100,'A1.3.9'!$B$26:$O$57,8,TRUE)))</f>
        <v>13.905868094681102</v>
      </c>
      <c r="AH100" s="691">
        <f>IF(AND(V100="",Z100="",AD100=""),"",IF(V100="",0,V100 * VLOOKUP($B100,'A1.3.9'!$B$26:$O$57,6,TRUE)) + IF(Z100="",0,Z100 * VLOOKUP($B100,'A1.3.9'!$B$26:$O$57,7,TRUE)) + IF(AD100="",0,AD100 * VLOOKUP($B100,'A1.3.9'!$B$26:$O$57,8,TRUE)))</f>
        <v>-0.19332266830207595</v>
      </c>
      <c r="AI100" s="2644">
        <f>IF(AND(W100="",AA100="",AE100=""),"",IF(W100="",0,W100 * VLOOKUP($B100,'A1.3.9'!$B$26:$O$57,6,TRUE)) + IF(AA100="",0,AA100 * VLOOKUP($B100,'A1.3.9'!$B$26:$O$57,7,TRUE)) + IF(AE100="",0,AE100 * VLOOKUP($B100,'A1.3.9'!$B$26:$O$57,8,TRUE)))</f>
        <v>1.6320034878069161E-3</v>
      </c>
    </row>
    <row r="101" spans="1:35" ht="13.5" customHeight="1">
      <c r="A101" s="113"/>
      <c r="B101" s="614">
        <f t="shared" si="1"/>
        <v>2084</v>
      </c>
      <c r="C101" s="147"/>
      <c r="D101" s="693">
        <f>IF('A1.3.12'!D101="","",'A1.3.12'!D101*(1+VLOOKUP($B101,'A1.3.7'!$B$28:$O$118,12,)/100))</f>
        <v>48.700347265748924</v>
      </c>
      <c r="E101" s="691">
        <f>IF('A1.3.12'!E101="","",'A1.3.12'!E101*(1+VLOOKUP($B101,'A1.3.7'!$B$28:$O$118,12,)/100))</f>
        <v>10.349613757834398</v>
      </c>
      <c r="F101" s="691">
        <f>IF('A1.3.12'!F101="","",'A1.3.12'!F101*(1+VLOOKUP($B101,'A1.3.7'!$B$28:$O$118,12,)/100))</f>
        <v>-0.11789437416061528</v>
      </c>
      <c r="G101" s="2644">
        <f>IF('A1.3.12'!G101="","",'A1.3.12'!G101*(1+VLOOKUP($B101,'A1.3.7'!$B$28:$O$118,12,)/100))</f>
        <v>7.8080495412453162E-4</v>
      </c>
      <c r="H101" s="693">
        <f>IF('A1.3.12'!H101="","",'A1.3.12'!H101*(1+VLOOKUP($B101,'A1.3.7'!$B$28:$O$118,13,)/100))</f>
        <v>59.82472267284497</v>
      </c>
      <c r="I101" s="691">
        <f>IF('A1.3.12'!I101="","",'A1.3.12'!I101*(1+VLOOKUP($B101,'A1.3.7'!$B$28:$O$118,13,)/100))</f>
        <v>8.5773857675763061</v>
      </c>
      <c r="J101" s="691">
        <f>IF('A1.3.12'!J101="","",'A1.3.12'!J101*(1+VLOOKUP($B101,'A1.3.7'!$B$28:$O$118,13,)/100))</f>
        <v>-8.2516840577989262E-2</v>
      </c>
      <c r="K101" s="2644">
        <f>IF('A1.3.12'!K101="","",'A1.3.12'!K101*(1+VLOOKUP($B101,'A1.3.7'!$B$28:$O$118,13,)/100))</f>
        <v>6.5023684368622299E-4</v>
      </c>
      <c r="L101" s="693" t="str">
        <f>IF('A1.3.12'!L101="","",'A1.3.12'!L101*(1+VLOOKUP($B101,'A1.3.7'!$B$28:$O$118,14,)/100))</f>
        <v/>
      </c>
      <c r="M101" s="691">
        <f>IF('A1.3.12'!M101="","",'A1.3.12'!M101*(1+VLOOKUP($B101,'A1.3.7'!$B$28:$O$118,14,)/100))</f>
        <v>2.0619488699992319</v>
      </c>
      <c r="N101" s="691" t="str">
        <f>IF('A1.3.12'!N101="","",'A1.3.12'!N101*(1+VLOOKUP($B101,'A1.3.7'!$B$28:$O$118,14,)/100))</f>
        <v/>
      </c>
      <c r="O101" s="1664" t="str">
        <f>IF('A1.3.12'!O101="","",'A1.3.12'!O101*(1+VLOOKUP($B101,'A1.3.7'!$B$28:$O$118,14,)/100))</f>
        <v/>
      </c>
      <c r="P101" s="693">
        <f>IF(AND(D101="",H101="",L101=""),"",IF(D101="",0,D101 * VLOOKUP($B101,'A1.3.9'!$B$26:$O$57,3,TRUE)) + IF(H101="",0,H101 * VLOOKUP($B101,'A1.3.9'!$B$26:$O$57,4,TRUE)) + IF(L101="",0,L101 * VLOOKUP($B101,'A1.3.9'!$B$26:$O$57,5,TRUE)))</f>
        <v>40.32632484649919</v>
      </c>
      <c r="Q101" s="691">
        <f>IF(AND(E101="",I101="",M101=""),"",IF(E101="",0,E101 * VLOOKUP($B101,'A1.3.9'!$B$26:$O$57,3,TRUE)) + IF(I101="",0,I101 * VLOOKUP($B101,'A1.3.9'!$B$26:$O$57,4,TRUE)) + IF(M101="",0,M101 * VLOOKUP($B101,'A1.3.9'!$B$26:$O$57,5,TRUE)))</f>
        <v>7.793530543243425</v>
      </c>
      <c r="R101" s="691">
        <f>IF(AND(F101="",J101="",N101=""),"",IF(F101="",0,F101 * VLOOKUP($B101,'A1.3.9'!$B$26:$O$57,3,TRUE)) + IF(J101="",0,J101 * VLOOKUP($B101,'A1.3.9'!$B$26:$O$57,4,TRUE)) + IF(N101="",0,N101 * VLOOKUP($B101,'A1.3.9'!$B$26:$O$57,5,TRUE)))</f>
        <v>-7.8396091719609318E-2</v>
      </c>
      <c r="S101" s="2644">
        <f>IF(AND(G101="",K101="",O101=""),"",IF(G101="",0,G101 * VLOOKUP($B101,'A1.3.9'!$B$26:$O$57,3,TRUE)) + IF(K101="",0,K101 * VLOOKUP($B101,'A1.3.9'!$B$26:$O$57,4,TRUE)) + IF(O101="",0,O101 * VLOOKUP($B101,'A1.3.9'!$B$26:$O$57,5,TRUE)))</f>
        <v>5.5122052744517613E-4</v>
      </c>
      <c r="T101" s="693">
        <f>IF('A1.3.12'!T101="","",'A1.3.12'!T101*(1+VLOOKUP($B101,'A1.3.7'!$B$28:$O$118,12,)/100))</f>
        <v>35.031770289334517</v>
      </c>
      <c r="U101" s="691">
        <f>IF('A1.3.12'!U101="","",'A1.3.12'!U101*(1+VLOOKUP($B101,'A1.3.7'!$B$28:$O$118,12,)/100))</f>
        <v>19.643788914716165</v>
      </c>
      <c r="V101" s="691">
        <f>IF('A1.3.12'!V101="","",'A1.3.12'!V101*(1+VLOOKUP($B101,'A1.3.7'!$B$28:$O$118,12,)/100))</f>
        <v>-0.30834300729509234</v>
      </c>
      <c r="W101" s="2644">
        <f>IF('A1.3.12'!W101="","",'A1.3.12'!W101*(1+VLOOKUP($B101,'A1.3.7'!$B$28:$O$118,12,)/100))</f>
        <v>1.9912906646117542E-3</v>
      </c>
      <c r="X101" s="693">
        <f>IF('A1.3.12'!X101="","",'A1.3.12'!X101*(1+VLOOKUP($B101,'A1.3.7'!$B$28:$O$118,13,)/100))</f>
        <v>61.613660312010438</v>
      </c>
      <c r="Y101" s="691">
        <f>IF('A1.3.12'!Y101="","",'A1.3.12'!Y101*(1+VLOOKUP($B101,'A1.3.7'!$B$28:$O$118,13,)/100))</f>
        <v>15.058629676360042</v>
      </c>
      <c r="Z101" s="691">
        <f>IF('A1.3.12'!Z101="","",'A1.3.12'!Z101*(1+VLOOKUP($B101,'A1.3.7'!$B$28:$O$118,13,)/100))</f>
        <v>-0.21724810128243188</v>
      </c>
      <c r="AA101" s="2644">
        <f>IF('A1.3.12'!AA101="","",'A1.3.12'!AA101*(1+VLOOKUP($B101,'A1.3.7'!$B$28:$O$118,13,)/100))</f>
        <v>1.8392300002782885E-3</v>
      </c>
      <c r="AB101" s="693" t="str">
        <f>IF('A1.3.12'!AB101="","",'A1.3.12'!AB101*(1+VLOOKUP($B101,'A1.3.7'!$B$28:$O$118,14,)/100))</f>
        <v/>
      </c>
      <c r="AC101" s="691">
        <f>IF('A1.3.12'!AC101="","",'A1.3.12'!AC101*(1+VLOOKUP($B101,'A1.3.7'!$B$28:$O$118,14,)/100))</f>
        <v>4.7402914466537549</v>
      </c>
      <c r="AD101" s="691" t="str">
        <f>IF('A1.3.12'!AD101="","",'A1.3.12'!AD101*(1+VLOOKUP($B101,'A1.3.7'!$B$28:$O$118,14,)/100))</f>
        <v/>
      </c>
      <c r="AE101" s="1664" t="str">
        <f>IF('A1.3.12'!AE101="","",'A1.3.12'!AE101*(1+VLOOKUP($B101,'A1.3.7'!$B$28:$O$118,14,)/100))</f>
        <v/>
      </c>
      <c r="AF101" s="693">
        <f>IF(AND(T101="",X101="",AB101=""),"",IF(T101="",0,T101 * VLOOKUP($B101,'A1.3.9'!$B$26:$O$57,6,TRUE)) + IF(X101="",0,X101 * VLOOKUP($B101,'A1.3.9'!$B$26:$O$57,7,TRUE)) + IF(AB101="",0,AB101 * VLOOKUP($B101,'A1.3.9'!$B$26:$O$57,8,TRUE)))</f>
        <v>54.670289586059376</v>
      </c>
      <c r="AG101" s="691">
        <f>IF(AND(U101="",Y101="",AC101=""),"",IF(U101="",0,U101 * VLOOKUP($B101,'A1.3.9'!$B$26:$O$57,6,TRUE)) + IF(Y101="",0,Y101 * VLOOKUP($B101,'A1.3.9'!$B$26:$O$57,7,TRUE)) + IF(AC101="",0,AC101 * VLOOKUP($B101,'A1.3.9'!$B$26:$O$57,8,TRUE)))</f>
        <v>13.964345998513457</v>
      </c>
      <c r="AH101" s="691">
        <f>IF(AND(V101="",Z101="",AD101=""),"",IF(V101="",0,V101 * VLOOKUP($B101,'A1.3.9'!$B$26:$O$57,6,TRUE)) + IF(Z101="",0,Z101 * VLOOKUP($B101,'A1.3.9'!$B$26:$O$57,7,TRUE)) + IF(AD101="",0,AD101 * VLOOKUP($B101,'A1.3.9'!$B$26:$O$57,8,TRUE)))</f>
        <v>-0.19416716669204037</v>
      </c>
      <c r="AI101" s="2644">
        <f>IF(AND(W101="",AA101="",AE101=""),"",IF(W101="",0,W101 * VLOOKUP($B101,'A1.3.9'!$B$26:$O$57,6,TRUE)) + IF(AA101="",0,AA101 * VLOOKUP($B101,'A1.3.9'!$B$26:$O$57,7,TRUE)) + IF(AE101="",0,AE101 * VLOOKUP($B101,'A1.3.9'!$B$26:$O$57,8,TRUE)))</f>
        <v>1.6391319846190953E-3</v>
      </c>
    </row>
    <row r="102" spans="1:35" ht="13.5" customHeight="1">
      <c r="A102" s="113"/>
      <c r="B102" s="614">
        <f t="shared" si="1"/>
        <v>2085</v>
      </c>
      <c r="C102" s="147"/>
      <c r="D102" s="693">
        <f>IF('A1.3.12'!D102="","",'A1.3.12'!D102*(1+VLOOKUP($B102,'A1.3.7'!$B$28:$O$118,12,)/100))</f>
        <v>48.920297668653809</v>
      </c>
      <c r="E102" s="691">
        <f>IF('A1.3.12'!E102="","",'A1.3.12'!E102*(1+VLOOKUP($B102,'A1.3.7'!$B$28:$O$118,12,)/100))</f>
        <v>10.396356786246981</v>
      </c>
      <c r="F102" s="691">
        <f>IF('A1.3.12'!F102="","",'A1.3.12'!F102*(1+VLOOKUP($B102,'A1.3.7'!$B$28:$O$118,12,)/100))</f>
        <v>-0.11842683268612325</v>
      </c>
      <c r="G102" s="2644">
        <f>IF('A1.3.12'!G102="","",'A1.3.12'!G102*(1+VLOOKUP($B102,'A1.3.7'!$B$28:$O$118,12,)/100))</f>
        <v>7.8433138409663577E-4</v>
      </c>
      <c r="H102" s="693">
        <f>IF('A1.3.12'!H102="","",'A1.3.12'!H102*(1+VLOOKUP($B102,'A1.3.7'!$B$28:$O$118,13,)/100))</f>
        <v>60.086600871358741</v>
      </c>
      <c r="I102" s="691">
        <f>IF('A1.3.12'!I102="","",'A1.3.12'!I102*(1+VLOOKUP($B102,'A1.3.7'!$B$28:$O$118,13,)/100))</f>
        <v>8.6149326250026945</v>
      </c>
      <c r="J102" s="691">
        <f>IF('A1.3.12'!J102="","",'A1.3.12'!J102*(1+VLOOKUP($B102,'A1.3.7'!$B$28:$O$118,13,)/100))</f>
        <v>-8.2878051806259942E-2</v>
      </c>
      <c r="K102" s="2644">
        <f>IF('A1.3.12'!K102="","",'A1.3.12'!K102*(1+VLOOKUP($B102,'A1.3.7'!$B$28:$O$118,13,)/100))</f>
        <v>6.5308320628723376E-4</v>
      </c>
      <c r="L102" s="693" t="str">
        <f>IF('A1.3.12'!L102="","",'A1.3.12'!L102*(1+VLOOKUP($B102,'A1.3.7'!$B$28:$O$118,14,)/100))</f>
        <v/>
      </c>
      <c r="M102" s="691">
        <f>IF('A1.3.12'!M102="","",'A1.3.12'!M102*(1+VLOOKUP($B102,'A1.3.7'!$B$28:$O$118,14,)/100))</f>
        <v>2.0619488699992319</v>
      </c>
      <c r="N102" s="691" t="str">
        <f>IF('A1.3.12'!N102="","",'A1.3.12'!N102*(1+VLOOKUP($B102,'A1.3.7'!$B$28:$O$118,14,)/100))</f>
        <v/>
      </c>
      <c r="O102" s="1664" t="str">
        <f>IF('A1.3.12'!O102="","",'A1.3.12'!O102*(1+VLOOKUP($B102,'A1.3.7'!$B$28:$O$118,14,)/100))</f>
        <v/>
      </c>
      <c r="P102" s="693">
        <f>IF(AND(D102="",H102="",L102=""),"",IF(D102="",0,D102 * VLOOKUP($B102,'A1.3.9'!$B$26:$O$57,3,TRUE)) + IF(H102="",0,H102 * VLOOKUP($B102,'A1.3.9'!$B$26:$O$57,4,TRUE)) + IF(L102="",0,L102 * VLOOKUP($B102,'A1.3.9'!$B$26:$O$57,5,TRUE)))</f>
        <v>40.505889208682163</v>
      </c>
      <c r="Q102" s="691">
        <f>IF(AND(E102="",I102="",M102=""),"",IF(E102="",0,E102 * VLOOKUP($B102,'A1.3.9'!$B$26:$O$57,3,TRUE)) + IF(I102="",0,I102 * VLOOKUP($B102,'A1.3.9'!$B$26:$O$57,4,TRUE)) + IF(M102="",0,M102 * VLOOKUP($B102,'A1.3.9'!$B$26:$O$57,5,TRUE)))</f>
        <v>7.8261037262014472</v>
      </c>
      <c r="R102" s="691">
        <f>IF(AND(F102="",J102="",N102=""),"",IF(F102="",0,F102 * VLOOKUP($B102,'A1.3.9'!$B$26:$O$57,3,TRUE)) + IF(J102="",0,J102 * VLOOKUP($B102,'A1.3.9'!$B$26:$O$57,4,TRUE)) + IF(N102="",0,N102 * VLOOKUP($B102,'A1.3.9'!$B$26:$O$57,5,TRUE)))</f>
        <v>-7.8746621347699136E-2</v>
      </c>
      <c r="S102" s="2644">
        <f>IF(AND(G102="",K102="",O102=""),"",IF(G102="",0,G102 * VLOOKUP($B102,'A1.3.9'!$B$26:$O$57,3,TRUE)) + IF(K102="",0,K102 * VLOOKUP($B102,'A1.3.9'!$B$26:$O$57,4,TRUE)) + IF(O102="",0,O102 * VLOOKUP($B102,'A1.3.9'!$B$26:$O$57,5,TRUE)))</f>
        <v>5.5368217621991735E-4</v>
      </c>
      <c r="T102" s="693">
        <f>IF('A1.3.12'!T102="","",'A1.3.12'!T102*(1+VLOOKUP($B102,'A1.3.7'!$B$28:$O$118,12,)/100))</f>
        <v>35.189987887816194</v>
      </c>
      <c r="U102" s="691">
        <f>IF('A1.3.12'!U102="","",'A1.3.12'!U102*(1+VLOOKUP($B102,'A1.3.7'!$B$28:$O$118,12,)/100))</f>
        <v>19.732508185295352</v>
      </c>
      <c r="V102" s="691">
        <f>IF('A1.3.12'!V102="","",'A1.3.12'!V102*(1+VLOOKUP($B102,'A1.3.7'!$B$28:$O$118,12,)/100))</f>
        <v>-0.3097356086315341</v>
      </c>
      <c r="W102" s="2644">
        <f>IF('A1.3.12'!W102="","",'A1.3.12'!W102*(1+VLOOKUP($B102,'A1.3.7'!$B$28:$O$118,12,)/100))</f>
        <v>2.0002841360872671E-3</v>
      </c>
      <c r="X102" s="693">
        <f>IF('A1.3.12'!X102="","",'A1.3.12'!X102*(1+VLOOKUP($B102,'A1.3.7'!$B$28:$O$118,13,)/100))</f>
        <v>61.883369449729067</v>
      </c>
      <c r="Y102" s="691">
        <f>IF('A1.3.12'!Y102="","",'A1.3.12'!Y102*(1+VLOOKUP($B102,'A1.3.7'!$B$28:$O$118,13,)/100))</f>
        <v>15.12454768877268</v>
      </c>
      <c r="Z102" s="691">
        <f>IF('A1.3.12'!Z102="","",'A1.3.12'!Z102*(1+VLOOKUP($B102,'A1.3.7'!$B$28:$O$118,13,)/100))</f>
        <v>-0.21819908841371372</v>
      </c>
      <c r="AA102" s="2644">
        <f>IF('A1.3.12'!AA102="","",'A1.3.12'!AA102*(1+VLOOKUP($B102,'A1.3.7'!$B$28:$O$118,13,)/100))</f>
        <v>1.8472810904899277E-3</v>
      </c>
      <c r="AB102" s="693" t="str">
        <f>IF('A1.3.12'!AB102="","",'A1.3.12'!AB102*(1+VLOOKUP($B102,'A1.3.7'!$B$28:$O$118,14,)/100))</f>
        <v/>
      </c>
      <c r="AC102" s="691">
        <f>IF('A1.3.12'!AC102="","",'A1.3.12'!AC102*(1+VLOOKUP($B102,'A1.3.7'!$B$28:$O$118,14,)/100))</f>
        <v>4.7402914466537549</v>
      </c>
      <c r="AD102" s="691" t="str">
        <f>IF('A1.3.12'!AD102="","",'A1.3.12'!AD102*(1+VLOOKUP($B102,'A1.3.7'!$B$28:$O$118,14,)/100))</f>
        <v/>
      </c>
      <c r="AE102" s="1664" t="str">
        <f>IF('A1.3.12'!AE102="","",'A1.3.12'!AE102*(1+VLOOKUP($B102,'A1.3.7'!$B$28:$O$118,14,)/100))</f>
        <v/>
      </c>
      <c r="AF102" s="693">
        <f>IF(AND(T102="",X102="",AB102=""),"",IF(T102="",0,T102 * VLOOKUP($B102,'A1.3.9'!$B$26:$O$57,6,TRUE)) + IF(X102="",0,X102 * VLOOKUP($B102,'A1.3.9'!$B$26:$O$57,7,TRUE)) + IF(AB102="",0,AB102 * VLOOKUP($B102,'A1.3.9'!$B$26:$O$57,8,TRUE)))</f>
        <v>54.909641554807884</v>
      </c>
      <c r="AG102" s="691">
        <f>IF(AND(U102="",Y102="",AC102=""),"",IF(U102="",0,U102 * VLOOKUP($B102,'A1.3.9'!$B$26:$O$57,6,TRUE)) + IF(Y102="",0,Y102 * VLOOKUP($B102,'A1.3.9'!$B$26:$O$57,7,TRUE)) + IF(AC102="",0,AC102 * VLOOKUP($B102,'A1.3.9'!$B$26:$O$57,8,TRUE)))</f>
        <v>14.023224044405277</v>
      </c>
      <c r="AH102" s="691">
        <f>IF(AND(V102="",Z102="",AD102=""),"",IF(V102="",0,V102 * VLOOKUP($B102,'A1.3.9'!$B$26:$O$57,6,TRUE)) + IF(Z102="",0,Z102 * VLOOKUP($B102,'A1.3.9'!$B$26:$O$57,7,TRUE)) + IF(AD102="",0,AD102 * VLOOKUP($B102,'A1.3.9'!$B$26:$O$57,8,TRUE)))</f>
        <v>-0.19501744366336338</v>
      </c>
      <c r="AI102" s="2644">
        <f>IF(AND(W102="",AA102="",AE102=""),"",IF(W102="",0,W102 * VLOOKUP($B102,'A1.3.9'!$B$26:$O$57,6,TRUE)) + IF(AA102="",0,AA102 * VLOOKUP($B102,'A1.3.9'!$B$26:$O$57,7,TRUE)) + IF(AE102="",0,AE102 * VLOOKUP($B102,'A1.3.9'!$B$26:$O$57,8,TRUE)))</f>
        <v>1.6463092590243205E-3</v>
      </c>
    </row>
    <row r="103" spans="1:35" ht="13.5" customHeight="1">
      <c r="A103" s="113"/>
      <c r="B103" s="614">
        <f t="shared" si="1"/>
        <v>2086</v>
      </c>
      <c r="C103" s="147"/>
      <c r="D103" s="693">
        <f>IF('A1.3.12'!D103="","",'A1.3.12'!D103*(1+VLOOKUP($B103,'A1.3.7'!$B$28:$O$118,12,)/100))</f>
        <v>49.141753108528697</v>
      </c>
      <c r="E103" s="691">
        <f>IF('A1.3.12'!E103="","",'A1.3.12'!E103*(1+VLOOKUP($B103,'A1.3.7'!$B$28:$O$118,12,)/100))</f>
        <v>10.443419659428757</v>
      </c>
      <c r="F103" s="691">
        <f>IF('A1.3.12'!F103="","",'A1.3.12'!F103*(1+VLOOKUP($B103,'A1.3.7'!$B$28:$O$118,12,)/100))</f>
        <v>-0.11896293462285165</v>
      </c>
      <c r="G103" s="2644">
        <f>IF('A1.3.12'!G103="","",'A1.3.12'!G103*(1+VLOOKUP($B103,'A1.3.7'!$B$28:$O$118,12,)/100))</f>
        <v>7.8788194408809919E-4</v>
      </c>
      <c r="H103" s="693">
        <f>IF('A1.3.12'!H103="","",'A1.3.12'!H103*(1+VLOOKUP($B103,'A1.3.7'!$B$28:$O$118,13,)/100))</f>
        <v>60.350271002804625</v>
      </c>
      <c r="I103" s="691">
        <f>IF('A1.3.12'!I103="","",'A1.3.12'!I103*(1+VLOOKUP($B103,'A1.3.7'!$B$28:$O$118,13,)/100))</f>
        <v>8.6527364012970978</v>
      </c>
      <c r="J103" s="691">
        <f>IF('A1.3.12'!J103="","",'A1.3.12'!J103*(1+VLOOKUP($B103,'A1.3.7'!$B$28:$O$118,13,)/100))</f>
        <v>-8.3241734665613576E-2</v>
      </c>
      <c r="K103" s="2644">
        <f>IF('A1.3.12'!K103="","",'A1.3.12'!K103*(1+VLOOKUP($B103,'A1.3.7'!$B$28:$O$118,13,)/100))</f>
        <v>6.559490454651816E-4</v>
      </c>
      <c r="L103" s="693" t="str">
        <f>IF('A1.3.12'!L103="","",'A1.3.12'!L103*(1+VLOOKUP($B103,'A1.3.7'!$B$28:$O$118,14,)/100))</f>
        <v/>
      </c>
      <c r="M103" s="691">
        <f>IF('A1.3.12'!M103="","",'A1.3.12'!M103*(1+VLOOKUP($B103,'A1.3.7'!$B$28:$O$118,14,)/100))</f>
        <v>2.0619488699992319</v>
      </c>
      <c r="N103" s="691" t="str">
        <f>IF('A1.3.12'!N103="","",'A1.3.12'!N103*(1+VLOOKUP($B103,'A1.3.7'!$B$28:$O$118,14,)/100))</f>
        <v/>
      </c>
      <c r="O103" s="1664" t="str">
        <f>IF('A1.3.12'!O103="","",'A1.3.12'!O103*(1+VLOOKUP($B103,'A1.3.7'!$B$28:$O$118,14,)/100))</f>
        <v/>
      </c>
      <c r="P103" s="693">
        <f>IF(AND(D103="",H103="",L103=""),"",IF(D103="",0,D103 * VLOOKUP($B103,'A1.3.9'!$B$26:$O$57,3,TRUE)) + IF(H103="",0,H103 * VLOOKUP($B103,'A1.3.9'!$B$26:$O$57,4,TRUE)) + IF(L103="",0,L103 * VLOOKUP($B103,'A1.3.9'!$B$26:$O$57,5,TRUE)))</f>
        <v>40.686682261515443</v>
      </c>
      <c r="Q103" s="691">
        <f>IF(AND(E103="",I103="",M103=""),"",IF(E103="",0,E103 * VLOOKUP($B103,'A1.3.9'!$B$26:$O$57,3,TRUE)) + IF(I103="",0,I103 * VLOOKUP($B103,'A1.3.9'!$B$26:$O$57,4,TRUE)) + IF(M103="",0,M103 * VLOOKUP($B103,'A1.3.9'!$B$26:$O$57,5,TRUE)))</f>
        <v>7.8588997950643602</v>
      </c>
      <c r="R103" s="691">
        <f>IF(AND(F103="",J103="",N103=""),"",IF(F103="",0,F103 * VLOOKUP($B103,'A1.3.9'!$B$26:$O$57,3,TRUE)) + IF(J103="",0,J103 * VLOOKUP($B103,'A1.3.9'!$B$26:$O$57,4,TRUE)) + IF(N103="",0,N103 * VLOOKUP($B103,'A1.3.9'!$B$26:$O$57,5,TRUE)))</f>
        <v>-7.9099549516743584E-2</v>
      </c>
      <c r="S103" s="2644">
        <f>IF(AND(G103="",K103="",O103=""),"",IF(G103="",0,G103 * VLOOKUP($B103,'A1.3.9'!$B$26:$O$57,3,TRUE)) + IF(K103="",0,K103 * VLOOKUP($B103,'A1.3.9'!$B$26:$O$57,4,TRUE)) + IF(O103="",0,O103 * VLOOKUP($B103,'A1.3.9'!$B$26:$O$57,5,TRUE)))</f>
        <v>5.5616066912117176E-4</v>
      </c>
      <c r="T103" s="693">
        <f>IF('A1.3.12'!T103="","",'A1.3.12'!T103*(1+VLOOKUP($B103,'A1.3.7'!$B$28:$O$118,12,)/100))</f>
        <v>35.349288109161364</v>
      </c>
      <c r="U103" s="691">
        <f>IF('A1.3.12'!U103="","",'A1.3.12'!U103*(1+VLOOKUP($B103,'A1.3.7'!$B$28:$O$118,12,)/100))</f>
        <v>19.821834528107232</v>
      </c>
      <c r="V103" s="691">
        <f>IF('A1.3.12'!V103="","",'A1.3.12'!V103*(1+VLOOKUP($B103,'A1.3.7'!$B$28:$O$118,12,)/100))</f>
        <v>-0.31113773900937858</v>
      </c>
      <c r="W103" s="2644">
        <f>IF('A1.3.12'!W103="","",'A1.3.12'!W103*(1+VLOOKUP($B103,'A1.3.7'!$B$28:$O$118,12,)/100))</f>
        <v>2.0093391464682817E-3</v>
      </c>
      <c r="X103" s="693">
        <f>IF('A1.3.12'!X103="","",'A1.3.12'!X103*(1+VLOOKUP($B103,'A1.3.7'!$B$28:$O$118,13,)/100))</f>
        <v>62.154924104519026</v>
      </c>
      <c r="Y103" s="691">
        <f>IF('A1.3.12'!Y103="","",'A1.3.12'!Y103*(1+VLOOKUP($B103,'A1.3.7'!$B$28:$O$118,13,)/100))</f>
        <v>15.190916753078646</v>
      </c>
      <c r="Z103" s="691">
        <f>IF('A1.3.12'!Z103="","",'A1.3.12'!Z103*(1+VLOOKUP($B103,'A1.3.7'!$B$28:$O$118,13,)/100))</f>
        <v>-0.21915658278831796</v>
      </c>
      <c r="AA103" s="2644">
        <f>IF('A1.3.12'!AA103="","",'A1.3.12'!AA103*(1+VLOOKUP($B103,'A1.3.7'!$B$28:$O$118,13,)/100))</f>
        <v>1.8553872712504232E-3</v>
      </c>
      <c r="AB103" s="693" t="str">
        <f>IF('A1.3.12'!AB103="","",'A1.3.12'!AB103*(1+VLOOKUP($B103,'A1.3.7'!$B$28:$O$118,14,)/100))</f>
        <v/>
      </c>
      <c r="AC103" s="691">
        <f>IF('A1.3.12'!AC103="","",'A1.3.12'!AC103*(1+VLOOKUP($B103,'A1.3.7'!$B$28:$O$118,14,)/100))</f>
        <v>4.7402914466537549</v>
      </c>
      <c r="AD103" s="691" t="str">
        <f>IF('A1.3.12'!AD103="","",'A1.3.12'!AD103*(1+VLOOKUP($B103,'A1.3.7'!$B$28:$O$118,14,)/100))</f>
        <v/>
      </c>
      <c r="AE103" s="1664" t="str">
        <f>IF('A1.3.12'!AE103="","",'A1.3.12'!AE103*(1+VLOOKUP($B103,'A1.3.7'!$B$28:$O$118,14,)/100))</f>
        <v/>
      </c>
      <c r="AF103" s="693">
        <f>IF(AND(T103="",X103="",AB103=""),"",IF(T103="",0,T103 * VLOOKUP($B103,'A1.3.9'!$B$26:$O$57,6,TRUE)) + IF(X103="",0,X103 * VLOOKUP($B103,'A1.3.9'!$B$26:$O$57,7,TRUE)) + IF(AB103="",0,AB103 * VLOOKUP($B103,'A1.3.9'!$B$26:$O$57,8,TRUE)))</f>
        <v>55.150631318063901</v>
      </c>
      <c r="AG103" s="691">
        <f>IF(AND(U103="",Y103="",AC103=""),"",IF(U103="",0,U103 * VLOOKUP($B103,'A1.3.9'!$B$26:$O$57,6,TRUE)) + IF(Y103="",0,Y103 * VLOOKUP($B103,'A1.3.9'!$B$26:$O$57,7,TRUE)) + IF(AC103="",0,AC103 * VLOOKUP($B103,'A1.3.9'!$B$26:$O$57,8,TRUE)))</f>
        <v>14.082504970376501</v>
      </c>
      <c r="AH103" s="691">
        <f>IF(AND(V103="",Z103="",AD103=""),"",IF(V103="",0,V103 * VLOOKUP($B103,'A1.3.9'!$B$26:$O$57,6,TRUE)) + IF(Z103="",0,Z103 * VLOOKUP($B103,'A1.3.9'!$B$26:$O$57,7,TRUE)) + IF(AD103="",0,AD103 * VLOOKUP($B103,'A1.3.9'!$B$26:$O$57,8,TRUE)))</f>
        <v>-0.19587353875667965</v>
      </c>
      <c r="AI103" s="2644">
        <f>IF(AND(W103="",AA103="",AE103=""),"",IF(W103="",0,W103 * VLOOKUP($B103,'A1.3.9'!$B$26:$O$57,6,TRUE)) + IF(AA103="",0,AA103 * VLOOKUP($B103,'A1.3.9'!$B$26:$O$57,7,TRUE)) + IF(AE103="",0,AE103 * VLOOKUP($B103,'A1.3.9'!$B$26:$O$57,8,TRUE)))</f>
        <v>1.653535644789111E-3</v>
      </c>
    </row>
    <row r="104" spans="1:35" ht="13.5" customHeight="1">
      <c r="A104" s="113"/>
      <c r="B104" s="614">
        <f t="shared" si="1"/>
        <v>2087</v>
      </c>
      <c r="C104" s="147"/>
      <c r="D104" s="693">
        <f>IF('A1.3.12'!D104="","",'A1.3.12'!D104*(1+VLOOKUP($B104,'A1.3.7'!$B$28:$O$118,12,)/100))</f>
        <v>49.364723883769315</v>
      </c>
      <c r="E104" s="691">
        <f>IF('A1.3.12'!E104="","",'A1.3.12'!E104*(1+VLOOKUP($B104,'A1.3.7'!$B$28:$O$118,12,)/100))</f>
        <v>10.490804565955866</v>
      </c>
      <c r="F104" s="691">
        <f>IF('A1.3.12'!F104="","",'A1.3.12'!F104*(1+VLOOKUP($B104,'A1.3.7'!$B$28:$O$118,12,)/100))</f>
        <v>-0.11950270490127815</v>
      </c>
      <c r="G104" s="2644">
        <f>IF('A1.3.12'!G104="","",'A1.3.12'!G104*(1+VLOOKUP($B104,'A1.3.7'!$B$28:$O$118,12,)/100))</f>
        <v>7.9145679921146909E-4</v>
      </c>
      <c r="H104" s="693">
        <f>IF('A1.3.12'!H104="","",'A1.3.12'!H104*(1+VLOOKUP($B104,'A1.3.7'!$B$28:$O$118,13,)/100))</f>
        <v>60.61574532869836</v>
      </c>
      <c r="I104" s="691">
        <f>IF('A1.3.12'!I104="","",'A1.3.12'!I104*(1+VLOOKUP($B104,'A1.3.7'!$B$28:$O$118,13,)/100))</f>
        <v>8.6907988544576433</v>
      </c>
      <c r="J104" s="691">
        <f>IF('A1.3.12'!J104="","",'A1.3.12'!J104*(1+VLOOKUP($B104,'A1.3.7'!$B$28:$O$118,13,)/100))</f>
        <v>-8.3607906068481869E-2</v>
      </c>
      <c r="K104" s="2644">
        <f>IF('A1.3.12'!K104="","",'A1.3.12'!K104*(1+VLOOKUP($B104,'A1.3.7'!$B$28:$O$118,13,)/100))</f>
        <v>6.5883449449087724E-4</v>
      </c>
      <c r="L104" s="693" t="str">
        <f>IF('A1.3.12'!L104="","",'A1.3.12'!L104*(1+VLOOKUP($B104,'A1.3.7'!$B$28:$O$118,14,)/100))</f>
        <v/>
      </c>
      <c r="M104" s="691">
        <f>IF('A1.3.12'!M104="","",'A1.3.12'!M104*(1+VLOOKUP($B104,'A1.3.7'!$B$28:$O$118,14,)/100))</f>
        <v>2.0619488699992319</v>
      </c>
      <c r="N104" s="691" t="str">
        <f>IF('A1.3.12'!N104="","",'A1.3.12'!N104*(1+VLOOKUP($B104,'A1.3.7'!$B$28:$O$118,14,)/100))</f>
        <v/>
      </c>
      <c r="O104" s="1664" t="str">
        <f>IF('A1.3.12'!O104="","",'A1.3.12'!O104*(1+VLOOKUP($B104,'A1.3.7'!$B$28:$O$118,14,)/100))</f>
        <v/>
      </c>
      <c r="P104" s="693">
        <f>IF(AND(D104="",H104="",L104=""),"",IF(D104="",0,D104 * VLOOKUP($B104,'A1.3.9'!$B$26:$O$57,3,TRUE)) + IF(H104="",0,H104 * VLOOKUP($B104,'A1.3.9'!$B$26:$O$57,4,TRUE)) + IF(L104="",0,L104 * VLOOKUP($B104,'A1.3.9'!$B$26:$O$57,5,TRUE)))</f>
        <v>40.868712412461953</v>
      </c>
      <c r="Q104" s="691">
        <f>IF(AND(E104="",I104="",M104=""),"",IF(E104="",0,E104 * VLOOKUP($B104,'A1.3.9'!$B$26:$O$57,3,TRUE)) + IF(I104="",0,I104 * VLOOKUP($B104,'A1.3.9'!$B$26:$O$57,4,TRUE)) + IF(M104="",0,M104 * VLOOKUP($B104,'A1.3.9'!$B$26:$O$57,5,TRUE)))</f>
        <v>7.8919202749556643</v>
      </c>
      <c r="R104" s="691">
        <f>IF(AND(F104="",J104="",N104=""),"",IF(F104="",0,F104 * VLOOKUP($B104,'A1.3.9'!$B$26:$O$57,3,TRUE)) + IF(J104="",0,J104 * VLOOKUP($B104,'A1.3.9'!$B$26:$O$57,4,TRUE)) + IF(N104="",0,N104 * VLOOKUP($B104,'A1.3.9'!$B$26:$O$57,5,TRUE)))</f>
        <v>-7.945489263904644E-2</v>
      </c>
      <c r="S104" s="2644">
        <f>IF(AND(G104="",K104="",O104=""),"",IF(G104="",0,G104 * VLOOKUP($B104,'A1.3.9'!$B$26:$O$57,3,TRUE)) + IF(K104="",0,K104 * VLOOKUP($B104,'A1.3.9'!$B$26:$O$57,4,TRUE)) + IF(O104="",0,O104 * VLOOKUP($B104,'A1.3.9'!$B$26:$O$57,5,TRUE)))</f>
        <v>5.5865612140689239E-4</v>
      </c>
      <c r="T104" s="693">
        <f>IF('A1.3.12'!T104="","",'A1.3.12'!T104*(1+VLOOKUP($B104,'A1.3.7'!$B$28:$O$118,12,)/100))</f>
        <v>35.509678361346644</v>
      </c>
      <c r="U104" s="691">
        <f>IF('A1.3.12'!U104="","",'A1.3.12'!U104*(1+VLOOKUP($B104,'A1.3.7'!$B$28:$O$118,12,)/100))</f>
        <v>19.91177209711627</v>
      </c>
      <c r="V104" s="691">
        <f>IF('A1.3.12'!V104="","",'A1.3.12'!V104*(1+VLOOKUP($B104,'A1.3.7'!$B$28:$O$118,12,)/100))</f>
        <v>-0.31254946363223279</v>
      </c>
      <c r="W104" s="2644">
        <f>IF('A1.3.12'!W104="","",'A1.3.12'!W104*(1+VLOOKUP($B104,'A1.3.7'!$B$28:$O$118,12,)/100))</f>
        <v>2.0184561168421285E-3</v>
      </c>
      <c r="X104" s="693">
        <f>IF('A1.3.12'!X104="","",'A1.3.12'!X104*(1+VLOOKUP($B104,'A1.3.7'!$B$28:$O$118,13,)/100))</f>
        <v>62.428336904551969</v>
      </c>
      <c r="Y104" s="691">
        <f>IF('A1.3.12'!Y104="","",'A1.3.12'!Y104*(1+VLOOKUP($B104,'A1.3.7'!$B$28:$O$118,13,)/100))</f>
        <v>15.257739955654554</v>
      </c>
      <c r="Z104" s="691">
        <f>IF('A1.3.12'!Z104="","",'A1.3.12'!Z104*(1+VLOOKUP($B104,'A1.3.7'!$B$28:$O$118,13,)/100))</f>
        <v>-0.22012062893283652</v>
      </c>
      <c r="AA104" s="2644">
        <f>IF('A1.3.12'!AA104="","",'A1.3.12'!AA104*(1+VLOOKUP($B104,'A1.3.7'!$B$28:$O$118,13,)/100))</f>
        <v>1.8635489195234544E-3</v>
      </c>
      <c r="AB104" s="693" t="str">
        <f>IF('A1.3.12'!AB104="","",'A1.3.12'!AB104*(1+VLOOKUP($B104,'A1.3.7'!$B$28:$O$118,14,)/100))</f>
        <v/>
      </c>
      <c r="AC104" s="691">
        <f>IF('A1.3.12'!AC104="","",'A1.3.12'!AC104*(1+VLOOKUP($B104,'A1.3.7'!$B$28:$O$118,14,)/100))</f>
        <v>4.7402914466537549</v>
      </c>
      <c r="AD104" s="691" t="str">
        <f>IF('A1.3.12'!AD104="","",'A1.3.12'!AD104*(1+VLOOKUP($B104,'A1.3.7'!$B$28:$O$118,14,)/100))</f>
        <v/>
      </c>
      <c r="AE104" s="1664" t="str">
        <f>IF('A1.3.12'!AE104="","",'A1.3.12'!AE104*(1+VLOOKUP($B104,'A1.3.7'!$B$28:$O$118,14,)/100))</f>
        <v/>
      </c>
      <c r="AF104" s="693">
        <f>IF(AND(T104="",X104="",AB104=""),"",IF(T104="",0,T104 * VLOOKUP($B104,'A1.3.9'!$B$26:$O$57,6,TRUE)) + IF(X104="",0,X104 * VLOOKUP($B104,'A1.3.9'!$B$26:$O$57,7,TRUE)) + IF(AB104="",0,AB104 * VLOOKUP($B104,'A1.3.9'!$B$26:$O$57,8,TRUE)))</f>
        <v>55.393270082632561</v>
      </c>
      <c r="AG104" s="691">
        <f>IF(AND(U104="",Y104="",AC104=""),"",IF(U104="",0,U104 * VLOOKUP($B104,'A1.3.9'!$B$26:$O$57,6,TRUE)) + IF(Y104="",0,Y104 * VLOOKUP($B104,'A1.3.9'!$B$26:$O$57,7,TRUE)) + IF(AC104="",0,AC104 * VLOOKUP($B104,'A1.3.9'!$B$26:$O$57,8,TRUE)))</f>
        <v>14.142191533182334</v>
      </c>
      <c r="AH104" s="691">
        <f>IF(AND(V104="",Z104="",AD104=""),"",IF(V104="",0,V104 * VLOOKUP($B104,'A1.3.9'!$B$26:$O$57,6,TRUE)) + IF(Z104="",0,Z104 * VLOOKUP($B104,'A1.3.9'!$B$26:$O$57,7,TRUE)) + IF(AD104="",0,AD104 * VLOOKUP($B104,'A1.3.9'!$B$26:$O$57,8,TRUE)))</f>
        <v>-0.19673549178318589</v>
      </c>
      <c r="AI104" s="2644">
        <f>IF(AND(W104="",AA104="",AE104=""),"",IF(W104="",0,W104 * VLOOKUP($B104,'A1.3.9'!$B$26:$O$57,6,TRUE)) + IF(AA104="",0,AA104 * VLOOKUP($B104,'A1.3.9'!$B$26:$O$57,7,TRUE)) + IF(AE104="",0,AE104 * VLOOKUP($B104,'A1.3.9'!$B$26:$O$57,8,TRUE)))</f>
        <v>1.6608114779638273E-3</v>
      </c>
    </row>
    <row r="105" spans="1:35" ht="13.5" customHeight="1">
      <c r="A105" s="113"/>
      <c r="B105" s="614">
        <f t="shared" si="1"/>
        <v>2088</v>
      </c>
      <c r="C105" s="147"/>
      <c r="D105" s="693">
        <f>IF('A1.3.12'!D105="","",'A1.3.12'!D105*(1+VLOOKUP($B105,'A1.3.7'!$B$28:$O$118,12,)/100))</f>
        <v>49.589220363239342</v>
      </c>
      <c r="E105" s="691">
        <f>IF('A1.3.12'!E105="","",'A1.3.12'!E105*(1+VLOOKUP($B105,'A1.3.7'!$B$28:$O$118,12,)/100))</f>
        <v>10.538513709380034</v>
      </c>
      <c r="F105" s="691">
        <f>IF('A1.3.12'!F105="","",'A1.3.12'!F105*(1+VLOOKUP($B105,'A1.3.7'!$B$28:$O$118,12,)/100))</f>
        <v>-0.12004616862247</v>
      </c>
      <c r="G105" s="2644">
        <f>IF('A1.3.12'!G105="","",'A1.3.12'!G105*(1+VLOOKUP($B105,'A1.3.7'!$B$28:$O$118,12,)/100))</f>
        <v>7.950561157090948E-4</v>
      </c>
      <c r="H105" s="693">
        <f>IF('A1.3.12'!H105="","",'A1.3.12'!H105*(1+VLOOKUP($B105,'A1.3.7'!$B$28:$O$118,13,)/100))</f>
        <v>60.883036194456466</v>
      </c>
      <c r="I105" s="691">
        <f>IF('A1.3.12'!I105="","",'A1.3.12'!I105*(1+VLOOKUP($B105,'A1.3.7'!$B$28:$O$118,13,)/100))</f>
        <v>8.7291217545117608</v>
      </c>
      <c r="J105" s="691">
        <f>IF('A1.3.12'!J105="","",'A1.3.12'!J105*(1+VLOOKUP($B105,'A1.3.7'!$B$28:$O$118,13,)/100))</f>
        <v>-8.3976583043021788E-2</v>
      </c>
      <c r="K105" s="2644">
        <f>IF('A1.3.12'!K105="","",'A1.3.12'!K105*(1+VLOOKUP($B105,'A1.3.7'!$B$28:$O$118,13,)/100))</f>
        <v>6.6173968754705157E-4</v>
      </c>
      <c r="L105" s="693" t="str">
        <f>IF('A1.3.12'!L105="","",'A1.3.12'!L105*(1+VLOOKUP($B105,'A1.3.7'!$B$28:$O$118,14,)/100))</f>
        <v/>
      </c>
      <c r="M105" s="691">
        <f>IF('A1.3.12'!M105="","",'A1.3.12'!M105*(1+VLOOKUP($B105,'A1.3.7'!$B$28:$O$118,14,)/100))</f>
        <v>2.0619488699992319</v>
      </c>
      <c r="N105" s="691" t="str">
        <f>IF('A1.3.12'!N105="","",'A1.3.12'!N105*(1+VLOOKUP($B105,'A1.3.7'!$B$28:$O$118,14,)/100))</f>
        <v/>
      </c>
      <c r="O105" s="1664" t="str">
        <f>IF('A1.3.12'!O105="","",'A1.3.12'!O105*(1+VLOOKUP($B105,'A1.3.7'!$B$28:$O$118,14,)/100))</f>
        <v/>
      </c>
      <c r="P105" s="693">
        <f>IF(AND(D105="",H105="",L105=""),"",IF(D105="",0,D105 * VLOOKUP($B105,'A1.3.9'!$B$26:$O$57,3,TRUE)) + IF(H105="",0,H105 * VLOOKUP($B105,'A1.3.9'!$B$26:$O$57,4,TRUE)) + IF(L105="",0,L105 * VLOOKUP($B105,'A1.3.9'!$B$26:$O$57,5,TRUE)))</f>
        <v>41.051988126513677</v>
      </c>
      <c r="Q105" s="691">
        <f>IF(AND(E105="",I105="",M105=""),"",IF(E105="",0,E105 * VLOOKUP($B105,'A1.3.9'!$B$26:$O$57,3,TRUE)) + IF(I105="",0,I105 * VLOOKUP($B105,'A1.3.9'!$B$26:$O$57,4,TRUE)) + IF(M105="",0,M105 * VLOOKUP($B105,'A1.3.9'!$B$26:$O$57,5,TRUE)))</f>
        <v>7.9251667014346889</v>
      </c>
      <c r="R105" s="691">
        <f>IF(AND(F105="",J105="",N105=""),"",IF(F105="",0,F105 * VLOOKUP($B105,'A1.3.9'!$B$26:$O$57,3,TRUE)) + IF(J105="",0,J105 * VLOOKUP($B105,'A1.3.9'!$B$26:$O$57,4,TRUE)) + IF(N105="",0,N105 * VLOOKUP($B105,'A1.3.9'!$B$26:$O$57,5,TRUE)))</f>
        <v>-7.9812667239214499E-2</v>
      </c>
      <c r="S105" s="2644">
        <f>IF(AND(G105="",K105="",O105=""),"",IF(G105="",0,G105 * VLOOKUP($B105,'A1.3.9'!$B$26:$O$57,3,TRUE)) + IF(K105="",0,K105 * VLOOKUP($B105,'A1.3.9'!$B$26:$O$57,4,TRUE)) + IF(O105="",0,O105 * VLOOKUP($B105,'A1.3.9'!$B$26:$O$57,5,TRUE)))</f>
        <v>5.6116864912369806E-4</v>
      </c>
      <c r="T105" s="693">
        <f>IF('A1.3.12'!T105="","",'A1.3.12'!T105*(1+VLOOKUP($B105,'A1.3.7'!$B$28:$O$118,12,)/100))</f>
        <v>35.671166103038566</v>
      </c>
      <c r="U105" s="691">
        <f>IF('A1.3.12'!U105="","",'A1.3.12'!U105*(1+VLOOKUP($B105,'A1.3.7'!$B$28:$O$118,12,)/100))</f>
        <v>20.002325074710896</v>
      </c>
      <c r="V105" s="691">
        <f>IF('A1.3.12'!V105="","",'A1.3.12'!V105*(1+VLOOKUP($B105,'A1.3.7'!$B$28:$O$118,12,)/100))</f>
        <v>-0.31397084814986714</v>
      </c>
      <c r="W105" s="2644">
        <f>IF('A1.3.12'!W105="","",'A1.3.12'!W105*(1+VLOOKUP($B105,'A1.3.7'!$B$28:$O$118,12,)/100))</f>
        <v>2.0276354711774775E-3</v>
      </c>
      <c r="X105" s="693">
        <f>IF('A1.3.12'!X105="","",'A1.3.12'!X105*(1+VLOOKUP($B105,'A1.3.7'!$B$28:$O$118,13,)/100))</f>
        <v>62.703620564409178</v>
      </c>
      <c r="Y105" s="691">
        <f>IF('A1.3.12'!Y105="","",'A1.3.12'!Y105*(1+VLOOKUP($B105,'A1.3.7'!$B$28:$O$118,13,)/100))</f>
        <v>15.325020403995889</v>
      </c>
      <c r="Z105" s="691">
        <f>IF('A1.3.12'!Z105="","",'A1.3.12'!Z105*(1+VLOOKUP($B105,'A1.3.7'!$B$28:$O$118,13,)/100))</f>
        <v>-0.22109127167853942</v>
      </c>
      <c r="AA105" s="2644">
        <f>IF('A1.3.12'!AA105="","",'A1.3.12'!AA105*(1+VLOOKUP($B105,'A1.3.7'!$B$28:$O$118,13,)/100))</f>
        <v>1.8717664148521175E-3</v>
      </c>
      <c r="AB105" s="693" t="str">
        <f>IF('A1.3.12'!AB105="","",'A1.3.12'!AB105*(1+VLOOKUP($B105,'A1.3.7'!$B$28:$O$118,14,)/100))</f>
        <v/>
      </c>
      <c r="AC105" s="691">
        <f>IF('A1.3.12'!AC105="","",'A1.3.12'!AC105*(1+VLOOKUP($B105,'A1.3.7'!$B$28:$O$118,14,)/100))</f>
        <v>4.7402914466537549</v>
      </c>
      <c r="AD105" s="691" t="str">
        <f>IF('A1.3.12'!AD105="","",'A1.3.12'!AD105*(1+VLOOKUP($B105,'A1.3.7'!$B$28:$O$118,14,)/100))</f>
        <v/>
      </c>
      <c r="AE105" s="1664" t="str">
        <f>IF('A1.3.12'!AE105="","",'A1.3.12'!AE105*(1+VLOOKUP($B105,'A1.3.7'!$B$28:$O$118,14,)/100))</f>
        <v/>
      </c>
      <c r="AF105" s="693">
        <f>IF(AND(T105="",X105="",AB105=""),"",IF(T105="",0,T105 * VLOOKUP($B105,'A1.3.9'!$B$26:$O$57,6,TRUE)) + IF(X105="",0,X105 * VLOOKUP($B105,'A1.3.9'!$B$26:$O$57,7,TRUE)) + IF(AB105="",0,AB105 * VLOOKUP($B105,'A1.3.9'!$B$26:$O$57,8,TRUE)))</f>
        <v>55.637569132002767</v>
      </c>
      <c r="AG105" s="691">
        <f>IF(AND(U105="",Y105="",AC105=""),"",IF(U105="",0,U105 * VLOOKUP($B105,'A1.3.9'!$B$26:$O$57,6,TRUE)) + IF(Y105="",0,Y105 * VLOOKUP($B105,'A1.3.9'!$B$26:$O$57,7,TRUE)) + IF(AC105="",0,AC105 * VLOOKUP($B105,'A1.3.9'!$B$26:$O$57,8,TRUE)))</f>
        <v>14.202286508441388</v>
      </c>
      <c r="AH105" s="691">
        <f>IF(AND(V105="",Z105="",AD105=""),"",IF(V105="",0,V105 * VLOOKUP($B105,'A1.3.9'!$B$26:$O$57,6,TRUE)) + IF(Z105="",0,Z105 * VLOOKUP($B105,'A1.3.9'!$B$26:$O$57,7,TRUE)) + IF(AD105="",0,AD105 * VLOOKUP($B105,'A1.3.9'!$B$26:$O$57,8,TRUE)))</f>
        <v>-0.19760334282649125</v>
      </c>
      <c r="AI105" s="2644">
        <f>IF(AND(W105="",AA105="",AE105=""),"",IF(W105="",0,W105 * VLOOKUP($B105,'A1.3.9'!$B$26:$O$57,6,TRUE)) + IF(AA105="",0,AA105 * VLOOKUP($B105,'A1.3.9'!$B$26:$O$57,7,TRUE)) + IF(AE105="",0,AE105 * VLOOKUP($B105,'A1.3.9'!$B$26:$O$57,8,TRUE)))</f>
        <v>1.6681370968982924E-3</v>
      </c>
    </row>
    <row r="106" spans="1:35" ht="13.5" customHeight="1">
      <c r="A106" s="113"/>
      <c r="B106" s="614">
        <f>B105+1</f>
        <v>2089</v>
      </c>
      <c r="C106" s="147"/>
      <c r="D106" s="693">
        <f>IF('A1.3.12'!D106="","",'A1.3.12'!D106*(1+VLOOKUP($B106,'A1.3.7'!$B$28:$O$118,12,)/100))</f>
        <v>49.815252986752668</v>
      </c>
      <c r="E106" s="691">
        <f>IF('A1.3.12'!E106="","",'A1.3.12'!E106*(1+VLOOKUP($B106,'A1.3.7'!$B$28:$O$118,12,)/100))</f>
        <v>10.586549308331055</v>
      </c>
      <c r="F106" s="691">
        <f>IF('A1.3.12'!F106="","",'A1.3.12'!F106*(1+VLOOKUP($B106,'A1.3.7'!$B$28:$O$118,12,)/100))</f>
        <v>-0.12059335105925167</v>
      </c>
      <c r="G106" s="2644">
        <f>IF('A1.3.12'!G106="","",'A1.3.12'!G106*(1+VLOOKUP($B106,'A1.3.7'!$B$28:$O$118,12,)/100))</f>
        <v>7.9868006096085883E-4</v>
      </c>
      <c r="H106" s="693">
        <f>IF('A1.3.12'!H106="","",'A1.3.12'!H106*(1+VLOOKUP($B106,'A1.3.7'!$B$28:$O$118,13,)/100))</f>
        <v>61.152156029970513</v>
      </c>
      <c r="I106" s="691">
        <f>IF('A1.3.12'!I106="","",'A1.3.12'!I106*(1+VLOOKUP($B106,'A1.3.7'!$B$28:$O$118,13,)/100))</f>
        <v>8.7677068835985104</v>
      </c>
      <c r="J106" s="691">
        <f>IF('A1.3.12'!J106="","",'A1.3.12'!J106*(1+VLOOKUP($B106,'A1.3.7'!$B$28:$O$118,13,)/100))</f>
        <v>-8.4347782733907556E-2</v>
      </c>
      <c r="K106" s="2644">
        <f>IF('A1.3.12'!K106="","",'A1.3.12'!K106*(1+VLOOKUP($B106,'A1.3.7'!$B$28:$O$118,13,)/100))</f>
        <v>6.6466475973459796E-4</v>
      </c>
      <c r="L106" s="693" t="str">
        <f>IF('A1.3.12'!L106="","",'A1.3.12'!L106*(1+VLOOKUP($B106,'A1.3.7'!$B$28:$O$118,14,)/100))</f>
        <v/>
      </c>
      <c r="M106" s="691">
        <f>IF('A1.3.12'!M106="","",'A1.3.12'!M106*(1+VLOOKUP($B106,'A1.3.7'!$B$28:$O$118,14,)/100))</f>
        <v>2.0619488699992319</v>
      </c>
      <c r="N106" s="691" t="str">
        <f>IF('A1.3.12'!N106="","",'A1.3.12'!N106*(1+VLOOKUP($B106,'A1.3.7'!$B$28:$O$118,14,)/100))</f>
        <v/>
      </c>
      <c r="O106" s="1664" t="str">
        <f>IF('A1.3.12'!O106="","",'A1.3.12'!O106*(1+VLOOKUP($B106,'A1.3.7'!$B$28:$O$118,14,)/100))</f>
        <v/>
      </c>
      <c r="P106" s="693">
        <f>IF(AND(D106="",H106="",L106=""),"",IF(D106="",0,D106 * VLOOKUP($B106,'A1.3.9'!$B$26:$O$57,3,TRUE)) + IF(H106="",0,H106 * VLOOKUP($B106,'A1.3.9'!$B$26:$O$57,4,TRUE)) + IF(L106="",0,L106 * VLOOKUP($B106,'A1.3.9'!$B$26:$O$57,5,TRUE)))</f>
        <v>41.236517926585314</v>
      </c>
      <c r="Q106" s="691">
        <f>IF(AND(E106="",I106="",M106=""),"",IF(E106="",0,E106 * VLOOKUP($B106,'A1.3.9'!$B$26:$O$57,3,TRUE)) + IF(I106="",0,I106 * VLOOKUP($B106,'A1.3.9'!$B$26:$O$57,4,TRUE)) + IF(M106="",0,M106 * VLOOKUP($B106,'A1.3.9'!$B$26:$O$57,5,TRUE)))</f>
        <v>7.9586406205680209</v>
      </c>
      <c r="R106" s="691">
        <f>IF(AND(F106="",J106="",N106=""),"",IF(F106="",0,F106 * VLOOKUP($B106,'A1.3.9'!$B$26:$O$57,3,TRUE)) + IF(J106="",0,J106 * VLOOKUP($B106,'A1.3.9'!$B$26:$O$57,4,TRUE)) + IF(N106="",0,N106 * VLOOKUP($B106,'A1.3.9'!$B$26:$O$57,5,TRUE)))</f>
        <v>-8.0172889954926246E-2</v>
      </c>
      <c r="S106" s="2644">
        <f>IF(AND(G106="",K106="",O106=""),"",IF(G106="",0,G106 * VLOOKUP($B106,'A1.3.9'!$B$26:$O$57,3,TRUE)) + IF(K106="",0,K106 * VLOOKUP($B106,'A1.3.9'!$B$26:$O$57,4,TRUE)) + IF(O106="",0,O106 * VLOOKUP($B106,'A1.3.9'!$B$26:$O$57,5,TRUE)))</f>
        <v>5.6369836911227098E-4</v>
      </c>
      <c r="T106" s="693">
        <f>IF('A1.3.12'!T106="","",'A1.3.12'!T106*(1+VLOOKUP($B106,'A1.3.7'!$B$28:$O$118,12,)/100))</f>
        <v>35.833758843940508</v>
      </c>
      <c r="U106" s="691">
        <f>IF('A1.3.12'!U106="","",'A1.3.12'!U106*(1+VLOOKUP($B106,'A1.3.7'!$B$28:$O$118,12,)/100))</f>
        <v>20.093497671898067</v>
      </c>
      <c r="V106" s="691">
        <f>IF('A1.3.12'!V106="","",'A1.3.12'!V106*(1+VLOOKUP($B106,'A1.3.7'!$B$28:$O$118,12,)/100))</f>
        <v>-0.31540195866126824</v>
      </c>
      <c r="W106" s="2644">
        <f>IF('A1.3.12'!W106="","",'A1.3.12'!W106*(1+VLOOKUP($B106,'A1.3.7'!$B$28:$O$118,12,)/100))</f>
        <v>2.0368776363440563E-3</v>
      </c>
      <c r="X106" s="693">
        <f>IF('A1.3.12'!X106="","",'A1.3.12'!X106*(1+VLOOKUP($B106,'A1.3.7'!$B$28:$O$118,13,)/100))</f>
        <v>62.980787885673053</v>
      </c>
      <c r="Y106" s="691">
        <f>IF('A1.3.12'!Y106="","",'A1.3.12'!Y106*(1+VLOOKUP($B106,'A1.3.7'!$B$28:$O$118,13,)/100))</f>
        <v>15.392761226861557</v>
      </c>
      <c r="Z106" s="691">
        <f>IF('A1.3.12'!Z106="","",'A1.3.12'!Z106*(1+VLOOKUP($B106,'A1.3.7'!$B$28:$O$118,13,)/100))</f>
        <v>-0.2220685561634603</v>
      </c>
      <c r="AA106" s="2644">
        <f>IF('A1.3.12'!AA106="","",'A1.3.12'!AA106*(1+VLOOKUP($B106,'A1.3.7'!$B$28:$O$118,13,)/100))</f>
        <v>1.8800401393765783E-3</v>
      </c>
      <c r="AB106" s="693" t="str">
        <f>IF('A1.3.12'!AB106="","",'A1.3.12'!AB106*(1+VLOOKUP($B106,'A1.3.7'!$B$28:$O$118,14,)/100))</f>
        <v/>
      </c>
      <c r="AC106" s="691">
        <f>IF('A1.3.12'!AC106="","",'A1.3.12'!AC106*(1+VLOOKUP($B106,'A1.3.7'!$B$28:$O$118,14,)/100))</f>
        <v>4.7402914466537549</v>
      </c>
      <c r="AD106" s="691" t="str">
        <f>IF('A1.3.12'!AD106="","",'A1.3.12'!AD106*(1+VLOOKUP($B106,'A1.3.7'!$B$28:$O$118,14,)/100))</f>
        <v/>
      </c>
      <c r="AE106" s="1664" t="str">
        <f>IF('A1.3.12'!AE106="","",'A1.3.12'!AE106*(1+VLOOKUP($B106,'A1.3.7'!$B$28:$O$118,14,)/100))</f>
        <v/>
      </c>
      <c r="AF106" s="693">
        <f>IF(AND(T106="",X106="",AB106=""),"",IF(T106="",0,T106 * VLOOKUP($B106,'A1.3.9'!$B$26:$O$57,6,TRUE)) + IF(X106="",0,X106 * VLOOKUP($B106,'A1.3.9'!$B$26:$O$57,7,TRUE)) + IF(AB106="",0,AB106 * VLOOKUP($B106,'A1.3.9'!$B$26:$O$57,8,TRUE)))</f>
        <v>55.883539826872095</v>
      </c>
      <c r="AG106" s="691">
        <f>IF(AND(U106="",Y106="",AC106=""),"",IF(U106="",0,U106 * VLOOKUP($B106,'A1.3.9'!$B$26:$O$57,6,TRUE)) + IF(Y106="",0,Y106 * VLOOKUP($B106,'A1.3.9'!$B$26:$O$57,7,TRUE)) + IF(AC106="",0,AC106 * VLOOKUP($B106,'A1.3.9'!$B$26:$O$57,8,TRUE)))</f>
        <v>14.262792690764774</v>
      </c>
      <c r="AH106" s="691">
        <f>IF(AND(V106="",Z106="",AD106=""),"",IF(V106="",0,V106 * VLOOKUP($B106,'A1.3.9'!$B$26:$O$57,6,TRUE)) + IF(Z106="",0,Z106 * VLOOKUP($B106,'A1.3.9'!$B$26:$O$57,7,TRUE)) + IF(AD106="",0,AD106 * VLOOKUP($B106,'A1.3.9'!$B$26:$O$57,8,TRUE)))</f>
        <v>-0.19847713224448205</v>
      </c>
      <c r="AI106" s="2644">
        <f>IF(AND(W106="",AA106="",AE106=""),"",IF(W106="",0,W106 * VLOOKUP($B106,'A1.3.9'!$B$26:$O$57,6,TRUE)) + IF(AA106="",0,AA106 * VLOOKUP($B106,'A1.3.9'!$B$26:$O$57,7,TRUE)) + IF(AE106="",0,AE106 * VLOOKUP($B106,'A1.3.9'!$B$26:$O$57,8,TRUE)))</f>
        <v>1.6755128422575297E-3</v>
      </c>
    </row>
    <row r="107" spans="1:35" ht="13.5" customHeight="1" thickBot="1">
      <c r="A107" s="381"/>
      <c r="B107" s="13"/>
      <c r="C107" s="168"/>
      <c r="D107" s="381"/>
      <c r="E107" s="13"/>
      <c r="F107" s="13"/>
      <c r="G107" s="168"/>
      <c r="H107" s="381"/>
      <c r="I107" s="13"/>
      <c r="J107" s="13"/>
      <c r="K107" s="168"/>
      <c r="L107" s="381"/>
      <c r="M107" s="13"/>
      <c r="N107" s="13"/>
      <c r="O107" s="168"/>
      <c r="P107" s="381"/>
      <c r="Q107" s="13"/>
      <c r="R107" s="13"/>
      <c r="S107" s="168"/>
      <c r="T107" s="381"/>
      <c r="U107" s="13"/>
      <c r="V107" s="13"/>
      <c r="W107" s="168"/>
      <c r="X107" s="381"/>
      <c r="Y107" s="13"/>
      <c r="Z107" s="13"/>
      <c r="AA107" s="168"/>
      <c r="AB107" s="381"/>
      <c r="AC107" s="13"/>
      <c r="AD107" s="13"/>
      <c r="AE107" s="168"/>
      <c r="AF107" s="381"/>
      <c r="AG107" s="13"/>
      <c r="AH107" s="13"/>
      <c r="AI107" s="168"/>
    </row>
    <row r="108" spans="1:35" ht="13.5" customHeight="1" thickTop="1" thickBot="1"/>
    <row r="109" spans="1:35" ht="13.5" customHeight="1" thickBot="1">
      <c r="D109" s="2414" t="s">
        <v>1489</v>
      </c>
    </row>
  </sheetData>
  <sheetProtection sheet="1" objects="1" scenarios="1"/>
  <mergeCells count="11">
    <mergeCell ref="A21:B21"/>
    <mergeCell ref="A18:B18"/>
    <mergeCell ref="A19:B19"/>
    <mergeCell ref="A10:B10"/>
    <mergeCell ref="A11:B11"/>
    <mergeCell ref="A12:B12"/>
    <mergeCell ref="D1:S1"/>
    <mergeCell ref="T1:AI1"/>
    <mergeCell ref="E6:S6"/>
    <mergeCell ref="A7:B7"/>
    <mergeCell ref="A8:B8"/>
  </mergeCells>
  <phoneticPr fontId="8" type="noConversion"/>
  <hyperlinks>
    <hyperlink ref="A18:B18" location="A1.3.13!D1" tooltip="Cars" display="Cars"/>
    <hyperlink ref="A19:B19" location="A1.3.13!T1" tooltip="Light Goods Vehicles" display="LGV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D109" location="A1.3.13!D27" tooltip="Top of this page" display="Top"/>
  </hyperlinks>
  <pageMargins left="0.75" right="0.75" top="1" bottom="1" header="0.5" footer="0.5"/>
  <pageSetup paperSize="8" scale="43" fitToHeight="0" orientation="landscape" r:id="rId3"/>
  <headerFooter alignWithMargins="0"/>
  <drawing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17"/>
    <pageSetUpPr fitToPage="1"/>
  </sheetPr>
  <dimension ref="A1:S40"/>
  <sheetViews>
    <sheetView showGridLines="0" topLeftCell="A13" zoomScale="85" zoomScaleNormal="85" workbookViewId="0">
      <selection activeCell="G47" sqref="G47"/>
    </sheetView>
  </sheetViews>
  <sheetFormatPr defaultColWidth="12.88671875" defaultRowHeight="13.5" customHeight="1"/>
  <cols>
    <col min="1" max="16384" width="12.88671875" style="38"/>
  </cols>
  <sheetData>
    <row r="1" spans="1:19" ht="54.9" customHeight="1">
      <c r="A1" s="28"/>
      <c r="C1" s="28"/>
      <c r="D1" s="26"/>
      <c r="E1" s="28"/>
    </row>
    <row r="2" spans="1:19" s="300" customFormat="1" ht="5.0999999999999996" customHeight="1">
      <c r="D2" s="83"/>
      <c r="F2" s="83"/>
    </row>
    <row r="3" spans="1:19" s="300" customFormat="1" ht="20.100000000000001" customHeight="1">
      <c r="A3" s="300" t="s">
        <v>2255</v>
      </c>
      <c r="B3" s="485"/>
      <c r="C3" s="444"/>
      <c r="D3" s="46"/>
      <c r="E3" s="83"/>
      <c r="F3" s="445"/>
    </row>
    <row r="4" spans="1:19" s="26" customFormat="1" ht="20.100000000000001" customHeight="1" thickBot="1">
      <c r="A4" s="529" t="s">
        <v>1048</v>
      </c>
      <c r="B4" s="447"/>
      <c r="C4" s="447"/>
      <c r="D4" s="446"/>
      <c r="E4" s="446"/>
      <c r="F4" s="446"/>
      <c r="G4" s="446"/>
      <c r="H4" s="446"/>
      <c r="I4" s="446"/>
      <c r="J4" s="446"/>
      <c r="K4" s="446"/>
      <c r="L4" s="446"/>
      <c r="M4" s="446"/>
      <c r="N4" s="446"/>
      <c r="O4" s="446"/>
      <c r="P4" s="446"/>
      <c r="Q4" s="446"/>
      <c r="R4" s="446"/>
      <c r="S4" s="446"/>
    </row>
    <row r="5" spans="1:19" ht="9.9" customHeight="1" thickTop="1" thickBot="1">
      <c r="A5" s="35"/>
      <c r="B5" s="321"/>
      <c r="C5" s="72"/>
      <c r="E5" s="427"/>
    </row>
    <row r="6" spans="1:19" ht="13.5" customHeight="1" thickTop="1">
      <c r="A6" s="169" t="s">
        <v>10</v>
      </c>
      <c r="B6" s="169"/>
      <c r="E6" s="174" t="s">
        <v>255</v>
      </c>
      <c r="F6" s="1227"/>
      <c r="G6" s="1227"/>
      <c r="H6" s="1227"/>
      <c r="I6" s="1227"/>
      <c r="J6" s="1227"/>
      <c r="K6" s="1227"/>
      <c r="L6" s="1227"/>
      <c r="M6" s="1227"/>
      <c r="N6" s="1227"/>
      <c r="O6" s="1227"/>
      <c r="P6" s="1227"/>
      <c r="Q6" s="1227"/>
      <c r="R6" s="1227"/>
      <c r="S6" s="1226"/>
    </row>
    <row r="7" spans="1:19" ht="13.5" customHeight="1">
      <c r="A7" s="3644" t="str">
        <f>Audit!A12</f>
        <v>May 2019 v1.12</v>
      </c>
      <c r="B7" s="3651"/>
      <c r="D7" s="147"/>
      <c r="E7" s="113" t="str">
        <f>'VoC Non-Fuel'!E7</f>
        <v xml:space="preserve">The elements making up non-fuel vehicle operating costs include oil, tyres, maintenance, depreciation and vehicle capital saving (only for vehicles in working time). </v>
      </c>
      <c r="F7" s="29"/>
      <c r="G7" s="26"/>
      <c r="H7" s="26"/>
      <c r="I7" s="26"/>
      <c r="J7" s="26"/>
      <c r="K7" s="26"/>
      <c r="L7" s="26"/>
      <c r="M7" s="26"/>
      <c r="N7" s="26"/>
      <c r="O7" s="26"/>
      <c r="P7" s="26"/>
      <c r="Q7" s="26"/>
      <c r="R7" s="26"/>
      <c r="S7" s="147"/>
    </row>
    <row r="8" spans="1:19" ht="13.5" customHeight="1">
      <c r="A8" s="3630">
        <f>Audit!C12</f>
        <v>43586</v>
      </c>
      <c r="B8" s="3631"/>
      <c r="C8" s="321"/>
      <c r="D8" s="412"/>
      <c r="E8" s="113" t="str">
        <f>'VoC Non-Fuel'!E8</f>
        <v>The non-fuel elements of VOC are combined in a formula of the form:</v>
      </c>
      <c r="F8" s="315"/>
      <c r="G8" s="26"/>
      <c r="H8" s="26"/>
      <c r="I8" s="26"/>
      <c r="J8" s="26" t="str">
        <f>'VoC Non-Fuel'!J8</f>
        <v>C = a1 + b1/V</v>
      </c>
      <c r="K8" s="26"/>
      <c r="L8" s="26"/>
      <c r="M8" s="26"/>
      <c r="N8" s="26"/>
      <c r="O8" s="26"/>
      <c r="P8" s="26"/>
      <c r="Q8" s="26"/>
      <c r="R8" s="26"/>
      <c r="S8" s="147"/>
    </row>
    <row r="9" spans="1:19" ht="13.5" customHeight="1" thickBot="1">
      <c r="A9" s="172" t="s">
        <v>14</v>
      </c>
      <c r="B9" s="173"/>
      <c r="D9" s="412"/>
      <c r="E9" s="113" t="str">
        <f>'VoC Non-Fuel'!E9</f>
        <v>where:</v>
      </c>
      <c r="F9" s="26"/>
      <c r="G9" s="26"/>
      <c r="H9" s="26"/>
      <c r="I9" s="26"/>
      <c r="J9" s="26"/>
      <c r="K9" s="26"/>
      <c r="L9" s="26"/>
      <c r="M9" s="26"/>
      <c r="N9" s="26"/>
      <c r="O9" s="26"/>
      <c r="P9" s="26"/>
      <c r="Q9" s="26"/>
      <c r="R9" s="26"/>
      <c r="S9" s="147"/>
    </row>
    <row r="10" spans="1:19" ht="13.5" customHeight="1" thickBot="1">
      <c r="A10" s="3570" t="s">
        <v>1306</v>
      </c>
      <c r="B10" s="3610"/>
      <c r="D10" s="321"/>
      <c r="E10" s="113" t="str">
        <f>'VoC Non-Fuel'!E10</f>
        <v>C = cost in pence per kilometre travelled,</v>
      </c>
      <c r="F10" s="26"/>
      <c r="G10" s="26"/>
      <c r="H10" s="26"/>
      <c r="I10" s="26"/>
      <c r="J10" s="26"/>
      <c r="K10" s="26"/>
      <c r="L10" s="26"/>
      <c r="M10" s="26"/>
      <c r="N10" s="26"/>
      <c r="O10" s="26"/>
      <c r="P10" s="26"/>
      <c r="Q10" s="26"/>
      <c r="R10" s="26"/>
      <c r="S10" s="147"/>
    </row>
    <row r="11" spans="1:19" ht="13.5" customHeight="1" thickBot="1">
      <c r="A11" s="3570" t="s">
        <v>2216</v>
      </c>
      <c r="B11" s="3581"/>
      <c r="D11" s="321"/>
      <c r="E11" s="113" t="str">
        <f>'VoC Non-Fuel'!E11</f>
        <v>V = average link speed in kilometres per hour,</v>
      </c>
      <c r="F11" s="53"/>
      <c r="G11" s="53"/>
      <c r="H11" s="53"/>
      <c r="I11" s="53"/>
      <c r="J11" s="53"/>
      <c r="K11" s="53"/>
      <c r="L11" s="53"/>
      <c r="M11" s="53"/>
      <c r="N11" s="53"/>
      <c r="O11" s="53"/>
      <c r="P11" s="53"/>
      <c r="Q11" s="53"/>
      <c r="R11" s="53"/>
      <c r="S11" s="379"/>
    </row>
    <row r="12" spans="1:19" ht="13.5" customHeight="1" thickBot="1">
      <c r="A12" s="3570" t="s">
        <v>2217</v>
      </c>
      <c r="B12" s="3581"/>
      <c r="D12" s="321"/>
      <c r="E12" s="113" t="str">
        <f>'VoC Non-Fuel'!E12</f>
        <v>a1 is a parameter for distance related costs defined for each vehicle category,</v>
      </c>
      <c r="F12" s="26"/>
      <c r="G12" s="26"/>
      <c r="H12" s="26"/>
      <c r="I12" s="26"/>
      <c r="J12" s="26"/>
      <c r="K12" s="26"/>
      <c r="L12" s="26"/>
      <c r="M12" s="26"/>
      <c r="N12" s="26"/>
      <c r="O12" s="26"/>
      <c r="P12" s="26"/>
      <c r="Q12" s="26"/>
      <c r="R12" s="26"/>
      <c r="S12" s="147"/>
    </row>
    <row r="13" spans="1:19" ht="13.5" customHeight="1">
      <c r="A13" s="172" t="s">
        <v>252</v>
      </c>
      <c r="B13" s="194"/>
      <c r="C13" s="321"/>
      <c r="D13" s="321"/>
      <c r="E13" s="113" t="str">
        <f>'VoC Non-Fuel'!E13</f>
        <v>b1 is a parameter for vehicle capital saving defined for each vehicle category (this parameter is only relevant to working vehicles).</v>
      </c>
      <c r="F13" s="26"/>
      <c r="G13" s="26"/>
      <c r="H13" s="26"/>
      <c r="I13" s="26"/>
      <c r="J13" s="26"/>
      <c r="K13" s="26"/>
      <c r="L13" s="26"/>
      <c r="M13" s="26"/>
      <c r="N13" s="26"/>
      <c r="O13" s="26"/>
      <c r="P13" s="26"/>
      <c r="Q13" s="26"/>
      <c r="R13" s="26"/>
      <c r="S13" s="147"/>
    </row>
    <row r="14" spans="1:19" ht="13.5" customHeight="1">
      <c r="A14" s="2445" t="s">
        <v>799</v>
      </c>
      <c r="B14" s="2451">
        <f>'User Parameters'!L13</f>
        <v>2010</v>
      </c>
      <c r="C14" s="321"/>
      <c r="D14" s="321"/>
      <c r="E14" s="113"/>
      <c r="F14" s="26"/>
      <c r="G14" s="26"/>
      <c r="H14" s="26"/>
      <c r="I14" s="26"/>
      <c r="J14" s="26"/>
      <c r="K14" s="26"/>
      <c r="L14" s="26"/>
      <c r="M14" s="26"/>
      <c r="N14" s="26"/>
      <c r="O14" s="26"/>
      <c r="P14" s="26"/>
      <c r="Q14" s="26"/>
      <c r="R14" s="26"/>
      <c r="S14" s="147"/>
    </row>
    <row r="15" spans="1:19" ht="13.5" customHeight="1">
      <c r="A15" s="2441" t="s">
        <v>54</v>
      </c>
      <c r="B15" s="2450">
        <f>'User Parameters'!L19</f>
        <v>2010</v>
      </c>
      <c r="C15" s="321"/>
      <c r="D15" s="321"/>
      <c r="E15" s="113" t="str">
        <f>'VoC Non-Fuel'!E15</f>
        <v>These parameters exclude indirect taxation.</v>
      </c>
      <c r="F15" s="26"/>
      <c r="G15" s="26"/>
      <c r="H15" s="26"/>
      <c r="I15" s="26"/>
      <c r="J15" s="26"/>
      <c r="K15" s="26"/>
      <c r="L15" s="26"/>
      <c r="M15" s="26"/>
      <c r="N15" s="26"/>
      <c r="O15" s="26"/>
      <c r="P15" s="26"/>
      <c r="Q15" s="26"/>
      <c r="R15" s="26"/>
      <c r="S15" s="147"/>
    </row>
    <row r="16" spans="1:19" ht="13.5" customHeight="1">
      <c r="A16" s="2440"/>
      <c r="B16" s="2440"/>
      <c r="C16" s="321"/>
      <c r="D16" s="321"/>
      <c r="E16" s="113" t="str">
        <f>'VoC Non-Fuel'!E16</f>
        <v>The parameters by fuel type are assumed to be constant through time; however, parameters for an average car vary through time (owing to changes in the proportion of electric vehicles).</v>
      </c>
      <c r="F16" s="26"/>
      <c r="G16" s="26"/>
      <c r="H16" s="26"/>
      <c r="I16" s="26"/>
      <c r="J16" s="26"/>
      <c r="K16" s="26"/>
      <c r="L16" s="26"/>
      <c r="M16" s="26"/>
      <c r="N16" s="26"/>
      <c r="O16" s="26"/>
      <c r="P16" s="26"/>
      <c r="Q16" s="26"/>
      <c r="R16" s="26"/>
      <c r="S16" s="147"/>
    </row>
    <row r="17" spans="1:19" ht="13.5" customHeight="1">
      <c r="A17" s="169" t="s">
        <v>253</v>
      </c>
      <c r="B17" s="170"/>
      <c r="C17" s="321"/>
      <c r="D17" s="321"/>
      <c r="E17" s="207"/>
      <c r="F17" s="26"/>
      <c r="G17" s="26"/>
      <c r="H17" s="26"/>
      <c r="I17" s="26"/>
      <c r="J17" s="26"/>
      <c r="K17" s="26"/>
      <c r="L17" s="26"/>
      <c r="M17" s="26"/>
      <c r="N17" s="26"/>
      <c r="O17" s="26"/>
      <c r="P17" s="26"/>
      <c r="Q17" s="26"/>
      <c r="R17" s="26"/>
      <c r="S17" s="147"/>
    </row>
    <row r="18" spans="1:19" ht="13.5" customHeight="1">
      <c r="A18" s="3653"/>
      <c r="B18" s="3653"/>
      <c r="C18" s="321"/>
      <c r="D18" s="321"/>
      <c r="E18" s="113" t="s">
        <v>1117</v>
      </c>
      <c r="F18" s="26"/>
      <c r="G18" s="26"/>
      <c r="H18" s="26"/>
      <c r="I18" s="26"/>
      <c r="J18" s="26"/>
      <c r="K18" s="26"/>
      <c r="L18" s="26"/>
      <c r="M18" s="26"/>
      <c r="N18" s="26"/>
      <c r="O18" s="26"/>
      <c r="P18" s="26"/>
      <c r="Q18" s="26"/>
      <c r="R18" s="26"/>
      <c r="S18" s="147"/>
    </row>
    <row r="19" spans="1:19" ht="13.5" customHeight="1">
      <c r="A19" s="2409"/>
      <c r="B19" s="2409"/>
      <c r="C19" s="321"/>
      <c r="D19" s="412"/>
      <c r="E19" s="113" t="s">
        <v>2364</v>
      </c>
      <c r="F19" s="26"/>
      <c r="G19" s="26"/>
      <c r="H19" s="26"/>
      <c r="I19" s="26"/>
      <c r="J19" s="26"/>
      <c r="K19" s="26"/>
      <c r="L19" s="26"/>
      <c r="M19" s="26"/>
      <c r="N19" s="26"/>
      <c r="O19" s="26"/>
      <c r="P19" s="26"/>
      <c r="Q19" s="26"/>
      <c r="R19" s="26"/>
      <c r="S19" s="147"/>
    </row>
    <row r="20" spans="1:19" ht="13.5" customHeight="1" thickBot="1">
      <c r="A20" s="2409"/>
      <c r="B20" s="2409"/>
      <c r="C20" s="321"/>
      <c r="D20" s="412"/>
      <c r="E20" s="381" t="str">
        <f>'VoC Non-Fuel'!E20</f>
        <v>TAG 1: Unit 3.5.6 (Table 15)</v>
      </c>
      <c r="F20" s="163"/>
      <c r="G20" s="163"/>
      <c r="H20" s="163"/>
      <c r="I20" s="163"/>
      <c r="J20" s="163"/>
      <c r="K20" s="163"/>
      <c r="L20" s="163"/>
      <c r="M20" s="163"/>
      <c r="N20" s="163"/>
      <c r="O20" s="163"/>
      <c r="P20" s="163"/>
      <c r="Q20" s="163"/>
      <c r="R20" s="163"/>
      <c r="S20" s="382"/>
    </row>
    <row r="21" spans="1:19" ht="13.5" customHeight="1" thickTop="1">
      <c r="A21" s="2420"/>
      <c r="B21" s="2421"/>
      <c r="C21" s="72"/>
      <c r="D21" s="32"/>
      <c r="E21" s="427"/>
    </row>
    <row r="22" spans="1:19" ht="13.5" customHeight="1" thickBot="1">
      <c r="C22" s="13"/>
    </row>
    <row r="23" spans="1:19" ht="13.5" customHeight="1" thickTop="1">
      <c r="A23" s="174" t="s">
        <v>716</v>
      </c>
      <c r="B23" s="328"/>
      <c r="C23" s="748"/>
      <c r="D23" s="328"/>
      <c r="E23" s="225"/>
      <c r="G23" s="427"/>
    </row>
    <row r="24" spans="1:19" ht="13.5" customHeight="1" thickBot="1">
      <c r="A24" s="1629" t="str">
        <f>CONCATENATE("(",B14," prices and ",B15," values)")</f>
        <v>(2010 prices and 2010 values)</v>
      </c>
      <c r="B24" s="1606"/>
      <c r="C24" s="1606"/>
      <c r="D24" s="1630"/>
      <c r="E24" s="1631"/>
    </row>
    <row r="25" spans="1:19" ht="13.5" customHeight="1" thickTop="1" thickBot="1">
      <c r="A25" s="3739" t="s">
        <v>568</v>
      </c>
      <c r="B25" s="3654"/>
      <c r="C25" s="3655"/>
      <c r="D25" s="3719" t="s">
        <v>588</v>
      </c>
      <c r="E25" s="3738"/>
    </row>
    <row r="26" spans="1:19" ht="13.5" customHeight="1" thickTop="1" thickBot="1">
      <c r="A26" s="464"/>
      <c r="B26" s="465"/>
      <c r="C26" s="439"/>
      <c r="D26" s="746" t="s">
        <v>184</v>
      </c>
      <c r="E26" s="747" t="s">
        <v>183</v>
      </c>
    </row>
    <row r="27" spans="1:19" ht="13.5" customHeight="1" thickTop="1">
      <c r="A27" s="522" t="s">
        <v>1439</v>
      </c>
      <c r="B27" s="12" t="s">
        <v>590</v>
      </c>
      <c r="C27" s="147"/>
      <c r="D27" s="1399">
        <f>'VoC Non-Fuel'!D27 * (VLOOKUP($B$14,'Annual Parameters'!$B$33:$W$104,3,FALSE) / VLOOKUP('VoC Non-Fuel'!$B$14,'Annual Parameters'!$B$33:$W$104,3,FALSE))</f>
        <v>4.9660000000000002</v>
      </c>
      <c r="E27" s="1659">
        <f>'VoC Non-Fuel'!E27 * (VLOOKUP($B$14,'Annual Parameters'!$B$33:$W$104,3,FALSE) / VLOOKUP('VoC Non-Fuel'!$B$14,'Annual Parameters'!$B$33:$W$104,3,FALSE))</f>
        <v>135.946</v>
      </c>
    </row>
    <row r="28" spans="1:19" ht="13.5" customHeight="1">
      <c r="A28" s="113"/>
      <c r="B28" s="435" t="s">
        <v>591</v>
      </c>
      <c r="C28" s="147"/>
      <c r="D28" s="1400">
        <f>'VoC Non-Fuel'!D28 * (VLOOKUP($B$14,'Annual Parameters'!$B$33:$W$104,3,FALSE) / VLOOKUP('VoC Non-Fuel'!$B$14,'Annual Parameters'!$B$33:$W$104,3,FALSE))</f>
        <v>4.9660000000000002</v>
      </c>
      <c r="E28" s="1655">
        <f>'VoC Non-Fuel'!E28 * (VLOOKUP($B$14,'Annual Parameters'!$B$33:$W$104,3,FALSE) / VLOOKUP('VoC Non-Fuel'!$B$14,'Annual Parameters'!$B$33:$W$104,3,FALSE))</f>
        <v>135.946</v>
      </c>
    </row>
    <row r="29" spans="1:19" ht="13.5" customHeight="1">
      <c r="A29" s="113"/>
      <c r="B29" s="435" t="s">
        <v>592</v>
      </c>
      <c r="C29" s="147"/>
      <c r="D29" s="1400">
        <f>'VoC Non-Fuel'!D29 * (VLOOKUP($B$14,'Annual Parameters'!$B$33:$W$104,3,FALSE) / VLOOKUP('VoC Non-Fuel'!$B$14,'Annual Parameters'!$B$33:$W$104,3,FALSE))</f>
        <v>1.157</v>
      </c>
      <c r="E29" s="1655">
        <f>'VoC Non-Fuel'!E29 * (VLOOKUP($B$14,'Annual Parameters'!$B$33:$W$104,3,FALSE) / VLOOKUP('VoC Non-Fuel'!$B$14,'Annual Parameters'!$B$33:$W$104,3,FALSE))</f>
        <v>135.946</v>
      </c>
    </row>
    <row r="30" spans="1:19" ht="13.5" customHeight="1">
      <c r="A30" s="113"/>
      <c r="B30" s="435" t="s">
        <v>593</v>
      </c>
      <c r="C30" s="147"/>
      <c r="D30" s="1400">
        <f>'VoC Non-Fuel'!D30 * (VLOOKUP($B$14,'Annual Parameters'!$B$33:$W$104,3,FALSE) / VLOOKUP('VoC Non-Fuel'!$B$14,'Annual Parameters'!$B$33:$W$104,3,FALSE))</f>
        <v>3.8460000000000001</v>
      </c>
      <c r="E30" s="1655">
        <f>'VoC Non-Fuel'!E30 * (VLOOKUP($B$14,'Annual Parameters'!$B$33:$W$104,3,FALSE) / VLOOKUP('VoC Non-Fuel'!$B$14,'Annual Parameters'!$B$33:$W$104,3,FALSE))</f>
        <v>0</v>
      </c>
    </row>
    <row r="31" spans="1:19" ht="13.5" customHeight="1">
      <c r="A31" s="113"/>
      <c r="B31" s="435" t="s">
        <v>594</v>
      </c>
      <c r="C31" s="147"/>
      <c r="D31" s="1400">
        <f>'VoC Non-Fuel'!D31 * (VLOOKUP($B$14,'Annual Parameters'!$B$33:$W$104,3,FALSE) / VLOOKUP('VoC Non-Fuel'!$B$14,'Annual Parameters'!$B$33:$W$104,3,FALSE))</f>
        <v>3.8460000000000001</v>
      </c>
      <c r="E31" s="1655">
        <f>'VoC Non-Fuel'!E31 * (VLOOKUP($B$14,'Annual Parameters'!$B$33:$W$104,3,FALSE) / VLOOKUP('VoC Non-Fuel'!$B$14,'Annual Parameters'!$B$33:$W$104,3,FALSE))</f>
        <v>0</v>
      </c>
    </row>
    <row r="32" spans="1:19" ht="13.5" customHeight="1">
      <c r="A32" s="490"/>
      <c r="B32" s="745" t="s">
        <v>595</v>
      </c>
      <c r="C32" s="510"/>
      <c r="D32" s="1401">
        <f>'VoC Non-Fuel'!D32 * (VLOOKUP($B$14,'Annual Parameters'!$B$33:$W$104,3,FALSE) / VLOOKUP('VoC Non-Fuel'!$B$14,'Annual Parameters'!$B$33:$W$104,3,FALSE))</f>
        <v>1.157</v>
      </c>
      <c r="E32" s="1660">
        <f>'VoC Non-Fuel'!E32 * (VLOOKUP($B$14,'Annual Parameters'!$B$33:$W$104,3,FALSE) / VLOOKUP('VoC Non-Fuel'!$B$14,'Annual Parameters'!$B$33:$W$104,3,FALSE))</f>
        <v>0</v>
      </c>
    </row>
    <row r="33" spans="1:5" ht="13.5" customHeight="1">
      <c r="A33" s="743" t="s">
        <v>1431</v>
      </c>
      <c r="B33" s="435" t="s">
        <v>1441</v>
      </c>
      <c r="C33" s="147"/>
      <c r="D33" s="1402">
        <f>'VoC Non-Fuel'!D33 * (VLOOKUP($B$14,'Annual Parameters'!$B$33:$W$104,3,FALSE) / VLOOKUP('VoC Non-Fuel'!$B$14,'Annual Parameters'!$B$33:$W$104,3,FALSE))</f>
        <v>7.2130000000000001</v>
      </c>
      <c r="E33" s="1661">
        <f>'VoC Non-Fuel'!E33 * (VLOOKUP($B$14,'Annual Parameters'!$B$33:$W$104,3,FALSE) / VLOOKUP('VoC Non-Fuel'!$B$14,'Annual Parameters'!$B$33:$W$104,3,FALSE))</f>
        <v>47.113</v>
      </c>
    </row>
    <row r="34" spans="1:5" ht="13.5" customHeight="1">
      <c r="A34" s="113"/>
      <c r="B34" s="435" t="s">
        <v>592</v>
      </c>
      <c r="C34" s="26"/>
      <c r="D34" s="1400">
        <f>'VoC Non-Fuel'!D34 * (VLOOKUP($B$14,'Annual Parameters'!$B$33:$W$104,3,FALSE) / VLOOKUP('VoC Non-Fuel'!$B$14,'Annual Parameters'!$B$33:$W$104,3,FALSE))</f>
        <v>2.1699014560582421</v>
      </c>
      <c r="E34" s="3128">
        <f>'VoC Non-Fuel'!E34 * (VLOOKUP($B$14,'Annual Parameters'!$B$33:$W$104,3,FALSE) / VLOOKUP('VoC Non-Fuel'!$B$14,'Annual Parameters'!$B$33:$W$104,3,FALSE))</f>
        <v>47.113</v>
      </c>
    </row>
    <row r="35" spans="1:5" ht="13.5" customHeight="1">
      <c r="A35" s="113"/>
      <c r="B35" s="435" t="s">
        <v>596</v>
      </c>
      <c r="C35" s="26"/>
      <c r="D35" s="1400">
        <f>'VoC Non-Fuel'!D35 * (VLOOKUP($B$14,'Annual Parameters'!$B$33:$W$104,3,FALSE) / VLOOKUP('VoC Non-Fuel'!$B$14,'Annual Parameters'!$B$33:$W$104,3,FALSE))</f>
        <v>7.2130000000000001</v>
      </c>
      <c r="E35" s="3128">
        <f>'VoC Non-Fuel'!E35 * (VLOOKUP($B$14,'Annual Parameters'!$B$33:$W$104,3,FALSE) / VLOOKUP('VoC Non-Fuel'!$B$14,'Annual Parameters'!$B$33:$W$104,3,FALSE))</f>
        <v>0</v>
      </c>
    </row>
    <row r="36" spans="1:5" ht="13.5" customHeight="1">
      <c r="A36" s="490"/>
      <c r="B36" s="745" t="s">
        <v>1940</v>
      </c>
      <c r="C36" s="597"/>
      <c r="D36" s="1401">
        <f>'VoC Non-Fuel'!D36 * (VLOOKUP($B$14,'Annual Parameters'!$B$33:$W$104,3,FALSE) / VLOOKUP('VoC Non-Fuel'!$B$14,'Annual Parameters'!$B$33:$W$104,3,FALSE))</f>
        <v>2.1699014560582421</v>
      </c>
      <c r="E36" s="3129">
        <f>'VoC Non-Fuel'!E36 * (VLOOKUP($B$14,'Annual Parameters'!$B$33:$W$104,3,FALSE) / VLOOKUP('VoC Non-Fuel'!$B$14,'Annual Parameters'!$B$33:$W$104,3,FALSE))</f>
        <v>0</v>
      </c>
    </row>
    <row r="37" spans="1:5" ht="13.5" customHeight="1">
      <c r="A37" s="743" t="s">
        <v>1443</v>
      </c>
      <c r="B37" s="435" t="s">
        <v>1441</v>
      </c>
      <c r="C37" s="147"/>
      <c r="D37" s="1400">
        <f>'VoC Non-Fuel'!D37 * (VLOOKUP($B$14,'Annual Parameters'!$B$33:$W$104,3,FALSE) / VLOOKUP('VoC Non-Fuel'!$B$14,'Annual Parameters'!$B$33:$W$104,3,FALSE))</f>
        <v>6.7140000000000004</v>
      </c>
      <c r="E37" s="1655">
        <f>'VoC Non-Fuel'!E37 * (VLOOKUP($B$14,'Annual Parameters'!$B$33:$W$104,3,FALSE) / VLOOKUP('VoC Non-Fuel'!$B$14,'Annual Parameters'!$B$33:$W$104,3,FALSE))</f>
        <v>263.81700000000001</v>
      </c>
    </row>
    <row r="38" spans="1:5" ht="13.5" customHeight="1">
      <c r="A38" s="743" t="s">
        <v>1444</v>
      </c>
      <c r="B38" s="435" t="s">
        <v>1441</v>
      </c>
      <c r="C38" s="147"/>
      <c r="D38" s="1400">
        <f>'VoC Non-Fuel'!D38 * (VLOOKUP($B$14,'Annual Parameters'!$B$33:$W$104,3,FALSE) / VLOOKUP('VoC Non-Fuel'!$B$14,'Annual Parameters'!$B$33:$W$104,3,FALSE))</f>
        <v>13.061</v>
      </c>
      <c r="E38" s="1655">
        <f>'VoC Non-Fuel'!E38 * (VLOOKUP($B$14,'Annual Parameters'!$B$33:$W$104,3,FALSE) / VLOOKUP('VoC Non-Fuel'!$B$14,'Annual Parameters'!$B$33:$W$104,3,FALSE))</f>
        <v>508.52499999999998</v>
      </c>
    </row>
    <row r="39" spans="1:5" ht="13.5" customHeight="1" thickBot="1">
      <c r="A39" s="744" t="s">
        <v>1434</v>
      </c>
      <c r="B39" s="456" t="s">
        <v>1441</v>
      </c>
      <c r="C39" s="168"/>
      <c r="D39" s="1403">
        <f>'VoC Non-Fuel'!D39 * (VLOOKUP($B$14,'Annual Parameters'!$B$33:$W$104,3,FALSE) / VLOOKUP('VoC Non-Fuel'!$B$14,'Annual Parameters'!$B$33:$W$104,3,FALSE))</f>
        <v>30.460999999999999</v>
      </c>
      <c r="E39" s="1662">
        <f>'VoC Non-Fuel'!E39 * (VLOOKUP($B$14,'Annual Parameters'!$B$33:$W$104,3,FALSE) / VLOOKUP('VoC Non-Fuel'!$B$14,'Annual Parameters'!$B$33:$W$104,3,FALSE))</f>
        <v>694.54700000000003</v>
      </c>
    </row>
    <row r="40" spans="1:5" ht="13.5" customHeight="1" thickTop="1">
      <c r="B40" s="596"/>
      <c r="C40" s="26"/>
      <c r="D40" s="741"/>
      <c r="E40" s="741"/>
    </row>
  </sheetData>
  <sheetProtection sheet="1" objects="1" scenarios="1"/>
  <mergeCells count="8">
    <mergeCell ref="D25:E25"/>
    <mergeCell ref="A7:B7"/>
    <mergeCell ref="A8:B8"/>
    <mergeCell ref="A10:B10"/>
    <mergeCell ref="A12:B12"/>
    <mergeCell ref="A18:B18"/>
    <mergeCell ref="A25:C25"/>
    <mergeCell ref="A11:B11"/>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9" scale="54" fitToHeight="0" orientation="landscape" r:id="rId3"/>
  <headerFooter alignWithMargins="0"/>
  <drawing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indexed="10"/>
  </sheetPr>
  <dimension ref="A1:S40"/>
  <sheetViews>
    <sheetView showGridLines="0" topLeftCell="A34"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row r="3" spans="1:19" s="319" customFormat="1" ht="20.100000000000001" customHeight="1">
      <c r="A3" s="300" t="s">
        <v>2255</v>
      </c>
    </row>
    <row r="4" spans="1:19" s="322" customFormat="1" ht="20.100000000000001" customHeight="1" thickBot="1">
      <c r="A4" s="529" t="s">
        <v>647</v>
      </c>
      <c r="B4" s="320"/>
      <c r="C4" s="320"/>
      <c r="D4" s="320"/>
      <c r="E4" s="320"/>
      <c r="F4" s="320"/>
      <c r="G4" s="320"/>
      <c r="H4" s="320"/>
      <c r="I4" s="320"/>
      <c r="J4" s="320"/>
      <c r="K4" s="320"/>
      <c r="L4" s="320"/>
      <c r="M4" s="320"/>
      <c r="N4" s="320"/>
      <c r="O4" s="320"/>
      <c r="P4" s="320"/>
      <c r="Q4" s="320"/>
      <c r="R4" s="320"/>
      <c r="S4" s="320"/>
    </row>
    <row r="5" spans="1:19"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113" t="s">
        <v>610</v>
      </c>
      <c r="F7" s="29"/>
      <c r="G7" s="26"/>
      <c r="H7" s="26"/>
      <c r="I7" s="26"/>
      <c r="J7" s="26"/>
      <c r="K7" s="26"/>
      <c r="L7" s="26"/>
      <c r="M7" s="26"/>
      <c r="N7" s="26"/>
      <c r="O7" s="26"/>
      <c r="P7" s="26"/>
      <c r="Q7" s="26"/>
      <c r="R7" s="26"/>
      <c r="S7" s="147"/>
    </row>
    <row r="8" spans="1:19" s="38" customFormat="1" ht="13.5" customHeight="1">
      <c r="A8" s="3646">
        <f>Audit!C12</f>
        <v>43586</v>
      </c>
      <c r="B8" s="3651"/>
      <c r="C8" s="321"/>
      <c r="D8" s="321"/>
      <c r="E8" s="113" t="s">
        <v>611</v>
      </c>
      <c r="F8" s="315"/>
      <c r="G8" s="26"/>
      <c r="H8" s="26"/>
      <c r="I8" s="26"/>
      <c r="J8" s="26" t="s">
        <v>650</v>
      </c>
      <c r="K8" s="26"/>
      <c r="L8" s="26"/>
      <c r="M8" s="26"/>
      <c r="N8" s="26"/>
      <c r="O8" s="26"/>
      <c r="P8" s="26"/>
      <c r="Q8" s="26"/>
      <c r="R8" s="26"/>
      <c r="S8" s="147"/>
    </row>
    <row r="9" spans="1:19" s="38" customFormat="1" ht="13.5" customHeight="1" thickBot="1">
      <c r="A9" s="172" t="s">
        <v>14</v>
      </c>
      <c r="B9" s="173"/>
      <c r="D9" s="321"/>
      <c r="E9" s="113" t="s">
        <v>651</v>
      </c>
      <c r="F9" s="26"/>
      <c r="G9" s="26"/>
      <c r="H9" s="26"/>
      <c r="I9" s="26"/>
      <c r="J9" s="26"/>
      <c r="K9" s="26"/>
      <c r="L9" s="26"/>
      <c r="M9" s="26"/>
      <c r="N9" s="26"/>
      <c r="O9" s="26"/>
      <c r="P9" s="26"/>
      <c r="Q9" s="26"/>
      <c r="R9" s="26"/>
      <c r="S9" s="147"/>
    </row>
    <row r="10" spans="1:19" s="38" customFormat="1" ht="13.5" customHeight="1" thickBot="1">
      <c r="A10" s="3611" t="s">
        <v>1306</v>
      </c>
      <c r="B10" s="3612"/>
      <c r="D10" s="321"/>
      <c r="E10" s="113" t="s">
        <v>652</v>
      </c>
      <c r="F10" s="26"/>
      <c r="G10" s="26"/>
      <c r="H10" s="26"/>
      <c r="I10" s="26"/>
      <c r="J10" s="26"/>
      <c r="K10" s="26"/>
      <c r="L10" s="26"/>
      <c r="M10" s="26"/>
      <c r="N10" s="26"/>
      <c r="O10" s="26"/>
      <c r="P10" s="26"/>
      <c r="Q10" s="26"/>
      <c r="R10" s="26"/>
      <c r="S10" s="147"/>
    </row>
    <row r="11" spans="1:19" s="38" customFormat="1" ht="13.5" customHeight="1" thickBot="1">
      <c r="A11" s="3611" t="s">
        <v>2216</v>
      </c>
      <c r="B11" s="3639"/>
      <c r="D11" s="321"/>
      <c r="E11" s="113" t="s">
        <v>653</v>
      </c>
      <c r="F11" s="53"/>
      <c r="G11" s="53"/>
      <c r="H11" s="53"/>
      <c r="I11" s="53"/>
      <c r="J11" s="53"/>
      <c r="K11" s="53"/>
      <c r="L11" s="53"/>
      <c r="M11" s="53"/>
      <c r="N11" s="53"/>
      <c r="O11" s="53"/>
      <c r="P11" s="53"/>
      <c r="Q11" s="53"/>
      <c r="R11" s="53"/>
      <c r="S11" s="379"/>
    </row>
    <row r="12" spans="1:19" s="38" customFormat="1" ht="13.5" customHeight="1" thickBot="1">
      <c r="A12" s="3611" t="s">
        <v>2217</v>
      </c>
      <c r="B12" s="3639"/>
      <c r="D12" s="321"/>
      <c r="E12" s="113" t="s">
        <v>654</v>
      </c>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3" t="s">
        <v>655</v>
      </c>
      <c r="F13" s="26"/>
      <c r="G13" s="26"/>
      <c r="H13" s="26"/>
      <c r="I13" s="26"/>
      <c r="J13" s="26"/>
      <c r="K13" s="26"/>
      <c r="L13" s="26"/>
      <c r="M13" s="26"/>
      <c r="N13" s="26"/>
      <c r="O13" s="26"/>
      <c r="P13" s="26"/>
      <c r="Q13" s="26"/>
      <c r="R13" s="26"/>
      <c r="S13" s="147"/>
    </row>
    <row r="14" spans="1:19" s="38" customFormat="1" ht="13.5" customHeight="1">
      <c r="A14" s="56" t="s">
        <v>799</v>
      </c>
      <c r="B14" s="195">
        <f>B16</f>
        <v>2010</v>
      </c>
      <c r="C14" s="321"/>
      <c r="D14" s="321"/>
      <c r="E14" s="113"/>
      <c r="F14" s="26"/>
      <c r="G14" s="26"/>
      <c r="H14" s="26"/>
      <c r="I14" s="26"/>
      <c r="J14" s="26"/>
      <c r="K14" s="26"/>
      <c r="L14" s="26"/>
      <c r="M14" s="26"/>
      <c r="N14" s="26"/>
      <c r="O14" s="26"/>
      <c r="P14" s="26"/>
      <c r="Q14" s="26"/>
      <c r="R14" s="26"/>
      <c r="S14" s="147"/>
    </row>
    <row r="15" spans="1:19" s="38" customFormat="1" ht="13.5" customHeight="1">
      <c r="A15" s="26" t="s">
        <v>563</v>
      </c>
      <c r="B15" s="221">
        <f>B16</f>
        <v>2010</v>
      </c>
      <c r="C15" s="321"/>
      <c r="D15" s="321"/>
      <c r="E15" s="113" t="s">
        <v>648</v>
      </c>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t="s">
        <v>649</v>
      </c>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1"/>
      <c r="B19" s="31"/>
      <c r="C19" s="321"/>
      <c r="D19" s="321"/>
      <c r="E19" s="113" t="s">
        <v>1118</v>
      </c>
      <c r="F19" s="26"/>
      <c r="G19" s="26"/>
      <c r="H19" s="26"/>
      <c r="I19" s="26"/>
      <c r="J19" s="26"/>
      <c r="K19" s="26"/>
      <c r="L19" s="26"/>
      <c r="M19" s="26"/>
      <c r="N19" s="26"/>
      <c r="O19" s="26"/>
      <c r="P19" s="26"/>
      <c r="Q19" s="26"/>
      <c r="R19" s="26"/>
      <c r="S19" s="147"/>
    </row>
    <row r="20" spans="1:19" s="38" customFormat="1" ht="13.5" customHeight="1" thickBot="1">
      <c r="C20" s="321"/>
      <c r="D20" s="321"/>
      <c r="E20" s="381" t="s">
        <v>2256</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c r="A23" s="680" t="s">
        <v>921</v>
      </c>
      <c r="B23" s="1033"/>
      <c r="C23" s="1033"/>
      <c r="D23" s="1033"/>
      <c r="E23" s="850"/>
    </row>
    <row r="24" spans="1:19" ht="13.5" customHeight="1" thickBot="1">
      <c r="A24" s="1314" t="str">
        <f>CONCATENATE("(",B14," prices and ",B15," values)")</f>
        <v>(2010 prices and 2010 values)</v>
      </c>
      <c r="B24" s="527"/>
      <c r="C24" s="527"/>
      <c r="D24" s="749"/>
      <c r="E24" s="750"/>
    </row>
    <row r="25" spans="1:19" ht="13.5" customHeight="1" thickTop="1" thickBot="1">
      <c r="A25" s="3739" t="s">
        <v>568</v>
      </c>
      <c r="B25" s="3654"/>
      <c r="C25" s="3655"/>
      <c r="D25" s="3719" t="s">
        <v>588</v>
      </c>
      <c r="E25" s="3738"/>
    </row>
    <row r="26" spans="1:19" ht="13.5" customHeight="1" thickTop="1" thickBot="1">
      <c r="A26" s="464"/>
      <c r="B26" s="465"/>
      <c r="C26" s="439"/>
      <c r="D26" s="746" t="s">
        <v>184</v>
      </c>
      <c r="E26" s="747" t="s">
        <v>183</v>
      </c>
    </row>
    <row r="27" spans="1:19" ht="13.5" customHeight="1" thickTop="1">
      <c r="A27" s="522" t="s">
        <v>1439</v>
      </c>
      <c r="B27" s="12" t="s">
        <v>590</v>
      </c>
      <c r="C27" s="147"/>
      <c r="D27" s="1625">
        <v>4.9660000000000002</v>
      </c>
      <c r="E27" s="925">
        <v>135.946</v>
      </c>
    </row>
    <row r="28" spans="1:19" ht="13.5" customHeight="1">
      <c r="A28" s="113"/>
      <c r="B28" s="435" t="s">
        <v>591</v>
      </c>
      <c r="C28" s="147"/>
      <c r="D28" s="1626">
        <v>4.9660000000000002</v>
      </c>
      <c r="E28" s="925">
        <v>135.946</v>
      </c>
    </row>
    <row r="29" spans="1:19" ht="13.5" customHeight="1">
      <c r="A29" s="113"/>
      <c r="B29" s="435" t="s">
        <v>592</v>
      </c>
      <c r="C29" s="147"/>
      <c r="D29" s="1626">
        <v>1.157</v>
      </c>
      <c r="E29" s="925">
        <v>135.946</v>
      </c>
    </row>
    <row r="30" spans="1:19" ht="13.5" customHeight="1">
      <c r="A30" s="113"/>
      <c r="B30" s="435" t="s">
        <v>593</v>
      </c>
      <c r="C30" s="147"/>
      <c r="D30" s="1626">
        <v>3.8460000000000001</v>
      </c>
      <c r="E30" s="925"/>
    </row>
    <row r="31" spans="1:19" ht="13.5" customHeight="1">
      <c r="A31" s="113"/>
      <c r="B31" s="435" t="s">
        <v>594</v>
      </c>
      <c r="C31" s="147"/>
      <c r="D31" s="1626">
        <v>3.8460000000000001</v>
      </c>
      <c r="E31" s="925"/>
    </row>
    <row r="32" spans="1:19" ht="13.5" customHeight="1">
      <c r="A32" s="490"/>
      <c r="B32" s="745" t="s">
        <v>595</v>
      </c>
      <c r="C32" s="510"/>
      <c r="D32" s="1627">
        <v>1.157</v>
      </c>
      <c r="E32" s="926"/>
    </row>
    <row r="33" spans="1:5" ht="13.5" customHeight="1">
      <c r="A33" s="743" t="s">
        <v>1431</v>
      </c>
      <c r="B33" s="435" t="s">
        <v>1441</v>
      </c>
      <c r="C33" s="147"/>
      <c r="D33" s="1626">
        <v>7.2130000000000001</v>
      </c>
      <c r="E33" s="925">
        <v>47.113</v>
      </c>
    </row>
    <row r="34" spans="1:5" ht="13.5" customHeight="1">
      <c r="A34" s="743"/>
      <c r="B34" s="435" t="s">
        <v>592</v>
      </c>
      <c r="C34" s="147"/>
      <c r="D34" s="1626">
        <v>2.1699014560582421</v>
      </c>
      <c r="E34" s="925">
        <v>47.113</v>
      </c>
    </row>
    <row r="35" spans="1:5" ht="13.5" customHeight="1">
      <c r="A35" s="113"/>
      <c r="B35" s="435" t="s">
        <v>596</v>
      </c>
      <c r="C35" s="147"/>
      <c r="D35" s="1626">
        <v>7.2130000000000001</v>
      </c>
      <c r="E35" s="925"/>
    </row>
    <row r="36" spans="1:5" ht="13.5" customHeight="1">
      <c r="A36" s="490"/>
      <c r="B36" s="745" t="s">
        <v>1940</v>
      </c>
      <c r="C36" s="510"/>
      <c r="D36" s="1627">
        <v>2.1699014560582421</v>
      </c>
      <c r="E36" s="926"/>
    </row>
    <row r="37" spans="1:5" ht="13.5" customHeight="1">
      <c r="A37" s="743" t="s">
        <v>1443</v>
      </c>
      <c r="B37" s="435" t="s">
        <v>1441</v>
      </c>
      <c r="C37" s="147"/>
      <c r="D37" s="1626">
        <v>6.7140000000000004</v>
      </c>
      <c r="E37" s="925">
        <v>263.81700000000001</v>
      </c>
    </row>
    <row r="38" spans="1:5" ht="13.5" customHeight="1">
      <c r="A38" s="743" t="s">
        <v>1444</v>
      </c>
      <c r="B38" s="435" t="s">
        <v>1441</v>
      </c>
      <c r="C38" s="147"/>
      <c r="D38" s="1626">
        <v>13.061</v>
      </c>
      <c r="E38" s="925">
        <v>508.52499999999998</v>
      </c>
    </row>
    <row r="39" spans="1:5" ht="13.5" customHeight="1" thickBot="1">
      <c r="A39" s="744" t="s">
        <v>1434</v>
      </c>
      <c r="B39" s="456" t="s">
        <v>1441</v>
      </c>
      <c r="C39" s="168"/>
      <c r="D39" s="1628">
        <v>30.460999999999999</v>
      </c>
      <c r="E39" s="927">
        <v>694.54700000000003</v>
      </c>
    </row>
    <row r="40" spans="1:5" ht="13.5" customHeight="1" thickTop="1"/>
  </sheetData>
  <sheetProtection sheet="1" objects="1" scenarios="1"/>
  <mergeCells count="9">
    <mergeCell ref="D25:E25"/>
    <mergeCell ref="E6:S6"/>
    <mergeCell ref="A7:B7"/>
    <mergeCell ref="A8:B8"/>
    <mergeCell ref="A10:B10"/>
    <mergeCell ref="A11:B11"/>
    <mergeCell ref="A12:B12"/>
    <mergeCell ref="A18:B18"/>
    <mergeCell ref="A25:C25"/>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s>
  <pageMargins left="0.75" right="0.75" top="1" bottom="1" header="0.5" footer="0.5"/>
  <pageSetup paperSize="9" orientation="portrait" r:id="rId3"/>
  <headerFooter alignWithMargins="0"/>
  <drawing r:id="rId4"/>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17"/>
    <pageSetUpPr fitToPage="1"/>
  </sheetPr>
  <dimension ref="A1:S63"/>
  <sheetViews>
    <sheetView showGridLines="0" zoomScale="85" zoomScaleNormal="85" workbookViewId="0">
      <selection activeCell="B15" sqref="B15"/>
    </sheetView>
  </sheetViews>
  <sheetFormatPr defaultColWidth="12.88671875" defaultRowHeight="13.5" customHeight="1"/>
  <cols>
    <col min="1" max="16384" width="12.88671875" style="38"/>
  </cols>
  <sheetData>
    <row r="1" spans="1:19" ht="54.9" customHeight="1">
      <c r="A1" s="28"/>
      <c r="B1" s="28"/>
      <c r="C1" s="26"/>
      <c r="D1" s="28"/>
      <c r="E1" s="26"/>
    </row>
    <row r="2" spans="1:19" s="300" customFormat="1" ht="5.0999999999999996" customHeight="1">
      <c r="C2" s="83"/>
      <c r="E2" s="83"/>
    </row>
    <row r="3" spans="1:19" s="300" customFormat="1" ht="20.100000000000001" customHeight="1">
      <c r="A3" s="300" t="s">
        <v>2257</v>
      </c>
      <c r="B3" s="485"/>
      <c r="C3" s="444"/>
      <c r="D3" s="46"/>
      <c r="E3" s="83"/>
      <c r="F3" s="445"/>
    </row>
    <row r="4" spans="1:19" s="26" customFormat="1" ht="20.100000000000001" customHeight="1" thickBot="1">
      <c r="A4" s="529" t="s">
        <v>963</v>
      </c>
      <c r="B4" s="447"/>
      <c r="C4" s="447"/>
      <c r="D4" s="446"/>
      <c r="E4" s="446"/>
      <c r="F4" s="446"/>
      <c r="G4" s="450"/>
      <c r="H4" s="446"/>
      <c r="I4" s="446"/>
      <c r="J4" s="446"/>
      <c r="K4" s="446"/>
      <c r="L4" s="446"/>
      <c r="M4" s="446"/>
      <c r="N4" s="446"/>
      <c r="O4" s="446"/>
      <c r="P4" s="446"/>
      <c r="Q4" s="446"/>
      <c r="R4" s="446"/>
      <c r="S4" s="446"/>
    </row>
    <row r="5" spans="1:19" ht="9.9" customHeight="1" thickTop="1" thickBot="1">
      <c r="A5" s="35"/>
      <c r="B5" s="321"/>
      <c r="C5" s="72"/>
      <c r="D5" s="32"/>
      <c r="E5" s="427"/>
      <c r="G5" s="28"/>
    </row>
    <row r="6" spans="1:19" ht="13.5" customHeight="1" thickTop="1">
      <c r="A6" s="169" t="s">
        <v>10</v>
      </c>
      <c r="B6" s="169"/>
      <c r="E6" s="3626" t="s">
        <v>255</v>
      </c>
      <c r="F6" s="3627"/>
      <c r="G6" s="3627"/>
      <c r="H6" s="3627"/>
      <c r="I6" s="3627"/>
      <c r="J6" s="3627"/>
      <c r="K6" s="3627"/>
      <c r="L6" s="3627"/>
      <c r="M6" s="3627"/>
      <c r="N6" s="3627"/>
      <c r="O6" s="3627"/>
      <c r="P6" s="3627"/>
      <c r="Q6" s="3627"/>
      <c r="R6" s="3627"/>
      <c r="S6" s="3729"/>
    </row>
    <row r="7" spans="1:19" ht="13.5" customHeight="1">
      <c r="A7" s="3644" t="str">
        <f>Audit!A12</f>
        <v>May 2019 v1.12</v>
      </c>
      <c r="B7" s="3651"/>
      <c r="D7" s="147"/>
      <c r="E7" s="113" t="str">
        <f>'VoC Non-Fuel'!E7</f>
        <v xml:space="preserve">The elements making up non-fuel vehicle operating costs include oil, tyres, maintenance, depreciation and vehicle capital saving (only for vehicles in working time). </v>
      </c>
      <c r="F7" s="29"/>
      <c r="G7" s="26"/>
      <c r="H7" s="26"/>
      <c r="I7" s="26"/>
      <c r="J7" s="26"/>
      <c r="K7" s="26"/>
      <c r="L7" s="26"/>
      <c r="M7" s="26"/>
      <c r="N7" s="26"/>
      <c r="O7" s="26"/>
      <c r="P7" s="26"/>
      <c r="Q7" s="26"/>
      <c r="R7" s="26"/>
      <c r="S7" s="147"/>
    </row>
    <row r="8" spans="1:19" ht="13.5" customHeight="1">
      <c r="A8" s="3630">
        <f>Audit!C12</f>
        <v>43586</v>
      </c>
      <c r="B8" s="3631"/>
      <c r="C8" s="321"/>
      <c r="D8" s="412"/>
      <c r="E8" s="113" t="str">
        <f>'VoC Non-Fuel'!E8</f>
        <v>The non-fuel elements of VOC are combined in a formula of the form:</v>
      </c>
      <c r="F8" s="315"/>
      <c r="G8" s="26"/>
      <c r="H8" s="26"/>
      <c r="I8" s="26"/>
      <c r="J8" s="26" t="str">
        <f>'VoC Non-Fuel'!J8</f>
        <v>C = a1 + b1/V</v>
      </c>
      <c r="K8" s="26"/>
      <c r="L8" s="26"/>
      <c r="M8" s="26"/>
      <c r="N8" s="26"/>
      <c r="O8" s="26"/>
      <c r="P8" s="26"/>
      <c r="Q8" s="26"/>
      <c r="R8" s="26"/>
      <c r="S8" s="147"/>
    </row>
    <row r="9" spans="1:19" ht="13.5" customHeight="1" thickBot="1">
      <c r="A9" s="172" t="s">
        <v>14</v>
      </c>
      <c r="B9" s="173"/>
      <c r="D9" s="321"/>
      <c r="E9" s="113" t="str">
        <f>'VoC Non-Fuel'!E9</f>
        <v>where:</v>
      </c>
      <c r="F9" s="26"/>
      <c r="G9" s="26"/>
      <c r="H9" s="26"/>
      <c r="I9" s="26"/>
      <c r="J9" s="26"/>
      <c r="K9" s="26"/>
      <c r="L9" s="26"/>
      <c r="M9" s="26"/>
      <c r="N9" s="26"/>
      <c r="O9" s="26"/>
      <c r="P9" s="26"/>
      <c r="Q9" s="26"/>
      <c r="R9" s="26"/>
      <c r="S9" s="147"/>
    </row>
    <row r="10" spans="1:19" ht="13.5" customHeight="1" thickBot="1">
      <c r="A10" s="3570" t="s">
        <v>1306</v>
      </c>
      <c r="B10" s="3610"/>
      <c r="D10" s="321"/>
      <c r="E10" s="113" t="str">
        <f>'VoC Non-Fuel'!E10</f>
        <v>C = cost in pence per kilometre travelled,</v>
      </c>
      <c r="F10" s="26"/>
      <c r="G10" s="26"/>
      <c r="H10" s="26"/>
      <c r="I10" s="26"/>
      <c r="J10" s="26"/>
      <c r="K10" s="26"/>
      <c r="L10" s="26"/>
      <c r="M10" s="26"/>
      <c r="N10" s="26"/>
      <c r="O10" s="26"/>
      <c r="P10" s="26"/>
      <c r="Q10" s="26"/>
      <c r="R10" s="26"/>
      <c r="S10" s="147"/>
    </row>
    <row r="11" spans="1:19" ht="13.5" customHeight="1" thickBot="1">
      <c r="A11" s="3570" t="s">
        <v>2216</v>
      </c>
      <c r="B11" s="3581"/>
      <c r="D11" s="321"/>
      <c r="E11" s="113" t="str">
        <f>'VoC Non-Fuel'!E11</f>
        <v>V = average link speed in kilometres per hour,</v>
      </c>
      <c r="F11" s="53"/>
      <c r="G11" s="53"/>
      <c r="H11" s="53"/>
      <c r="I11" s="53"/>
      <c r="J11" s="53"/>
      <c r="K11" s="53"/>
      <c r="L11" s="53"/>
      <c r="M11" s="53"/>
      <c r="N11" s="53"/>
      <c r="O11" s="53"/>
      <c r="P11" s="53"/>
      <c r="Q11" s="53"/>
      <c r="R11" s="53"/>
      <c r="S11" s="379"/>
    </row>
    <row r="12" spans="1:19" ht="13.5" customHeight="1" thickBot="1">
      <c r="A12" s="3570" t="s">
        <v>2217</v>
      </c>
      <c r="B12" s="3581"/>
      <c r="D12" s="321"/>
      <c r="E12" s="113" t="str">
        <f>'VoC Non-Fuel'!E12</f>
        <v>a1 is a parameter for distance related costs defined for each vehicle category,</v>
      </c>
      <c r="F12" s="26"/>
      <c r="G12" s="26"/>
      <c r="H12" s="26"/>
      <c r="I12" s="26"/>
      <c r="J12" s="26"/>
      <c r="K12" s="26"/>
      <c r="L12" s="26"/>
      <c r="M12" s="26"/>
      <c r="N12" s="26"/>
      <c r="O12" s="26"/>
      <c r="P12" s="26"/>
      <c r="Q12" s="26"/>
      <c r="R12" s="26"/>
      <c r="S12" s="147"/>
    </row>
    <row r="13" spans="1:19" ht="13.5" customHeight="1">
      <c r="A13" s="172" t="s">
        <v>252</v>
      </c>
      <c r="B13" s="194"/>
      <c r="C13" s="321"/>
      <c r="D13" s="321"/>
      <c r="E13" s="113" t="str">
        <f>'VoC Non-Fuel'!E13</f>
        <v>b1 is a parameter for vehicle capital saving defined for each vehicle category (this parameter is only relevant to working vehicles).</v>
      </c>
      <c r="F13" s="26"/>
      <c r="G13" s="26"/>
      <c r="H13" s="26"/>
      <c r="I13" s="26"/>
      <c r="J13" s="26"/>
      <c r="K13" s="26"/>
      <c r="L13" s="26"/>
      <c r="M13" s="26"/>
      <c r="N13" s="26"/>
      <c r="O13" s="26"/>
      <c r="P13" s="26"/>
      <c r="Q13" s="26"/>
      <c r="R13" s="26"/>
      <c r="S13" s="147"/>
    </row>
    <row r="14" spans="1:19" ht="13.5" customHeight="1">
      <c r="A14" s="2445" t="s">
        <v>799</v>
      </c>
      <c r="B14" s="2451">
        <f>'User Parameters'!L13</f>
        <v>2010</v>
      </c>
      <c r="C14" s="321"/>
      <c r="D14" s="321"/>
      <c r="E14" s="113"/>
      <c r="F14" s="26"/>
      <c r="G14" s="26"/>
      <c r="H14" s="26"/>
      <c r="I14" s="26"/>
      <c r="J14" s="26"/>
      <c r="K14" s="26"/>
      <c r="L14" s="26"/>
      <c r="M14" s="26"/>
      <c r="N14" s="26"/>
      <c r="O14" s="26"/>
      <c r="P14" s="26"/>
      <c r="Q14" s="26"/>
      <c r="R14" s="26"/>
      <c r="S14" s="147"/>
    </row>
    <row r="15" spans="1:19" ht="13.5" customHeight="1">
      <c r="A15" s="2441" t="s">
        <v>751</v>
      </c>
      <c r="B15" s="2450">
        <f>'User Parameters'!L16</f>
        <v>2010</v>
      </c>
      <c r="C15" s="321"/>
      <c r="D15" s="321"/>
      <c r="E15" s="113" t="str">
        <f>'VoC Non-Fuel'!E15</f>
        <v>These parameters exclude indirect taxation.</v>
      </c>
      <c r="F15" s="26"/>
      <c r="G15" s="26"/>
      <c r="H15" s="26"/>
      <c r="I15" s="26"/>
      <c r="J15" s="26"/>
      <c r="K15" s="26"/>
      <c r="L15" s="26"/>
      <c r="M15" s="26"/>
      <c r="N15" s="26"/>
      <c r="O15" s="26"/>
      <c r="P15" s="26"/>
      <c r="Q15" s="26"/>
      <c r="R15" s="26"/>
      <c r="S15" s="147"/>
    </row>
    <row r="16" spans="1:19" ht="13.5" customHeight="1">
      <c r="A16" s="2441"/>
      <c r="B16" s="2442"/>
      <c r="C16" s="321"/>
      <c r="D16" s="321"/>
      <c r="E16" s="113" t="str">
        <f>'VoC Non-Fuel'!E16</f>
        <v>The parameters by fuel type are assumed to be constant through time; however, parameters for an average car vary through time (owing to changes in the proportion of electric vehicles).</v>
      </c>
      <c r="F16" s="26"/>
      <c r="G16" s="26"/>
      <c r="H16" s="26"/>
      <c r="I16" s="26"/>
      <c r="J16" s="26"/>
      <c r="K16" s="26"/>
      <c r="L16" s="26"/>
      <c r="M16" s="26"/>
      <c r="N16" s="26"/>
      <c r="O16" s="26"/>
      <c r="P16" s="26"/>
      <c r="Q16" s="26"/>
      <c r="R16" s="26"/>
      <c r="S16" s="147"/>
    </row>
    <row r="17" spans="1:19" ht="13.5" customHeight="1">
      <c r="A17" s="169" t="s">
        <v>253</v>
      </c>
      <c r="B17" s="170"/>
      <c r="C17" s="321"/>
      <c r="D17" s="321"/>
      <c r="E17" s="113" t="s">
        <v>927</v>
      </c>
      <c r="F17" s="26"/>
      <c r="G17" s="26"/>
      <c r="H17" s="26"/>
      <c r="I17" s="26"/>
      <c r="J17" s="26"/>
      <c r="K17" s="26"/>
      <c r="L17" s="26"/>
      <c r="M17" s="26"/>
      <c r="N17" s="26"/>
      <c r="O17" s="26"/>
      <c r="P17" s="26"/>
      <c r="Q17" s="26"/>
      <c r="R17" s="26"/>
      <c r="S17" s="147"/>
    </row>
    <row r="18" spans="1:19" ht="13.5" customHeight="1">
      <c r="A18" s="3653"/>
      <c r="B18" s="3653"/>
      <c r="C18" s="321"/>
      <c r="D18" s="321"/>
      <c r="E18" s="113" t="s">
        <v>895</v>
      </c>
      <c r="F18" s="26"/>
      <c r="G18" s="26"/>
      <c r="H18" s="26"/>
      <c r="I18" s="26"/>
      <c r="J18" s="26"/>
      <c r="K18" s="26"/>
      <c r="L18" s="26"/>
      <c r="M18" s="26"/>
      <c r="N18" s="26"/>
      <c r="O18" s="26"/>
      <c r="P18" s="26"/>
      <c r="Q18" s="26"/>
      <c r="R18" s="26"/>
      <c r="S18" s="147"/>
    </row>
    <row r="19" spans="1:19" ht="13.5" customHeight="1">
      <c r="A19" s="3653"/>
      <c r="B19" s="3653"/>
      <c r="C19" s="321"/>
      <c r="D19" s="412"/>
      <c r="E19" s="38" t="s">
        <v>2365</v>
      </c>
      <c r="F19" s="26"/>
      <c r="G19" s="26"/>
      <c r="H19" s="26"/>
      <c r="I19" s="26"/>
      <c r="J19" s="26"/>
      <c r="K19" s="26"/>
      <c r="L19" s="26"/>
      <c r="M19" s="26"/>
      <c r="N19" s="26"/>
      <c r="O19" s="26"/>
      <c r="P19" s="26"/>
      <c r="Q19" s="26"/>
      <c r="R19" s="26"/>
      <c r="S19" s="147"/>
    </row>
    <row r="20" spans="1:19" ht="13.5" customHeight="1" thickBot="1">
      <c r="A20" s="3653"/>
      <c r="B20" s="3653"/>
      <c r="C20" s="321"/>
      <c r="D20" s="412"/>
      <c r="E20" s="381" t="s">
        <v>2258</v>
      </c>
      <c r="F20" s="163"/>
      <c r="G20" s="163"/>
      <c r="H20" s="163"/>
      <c r="I20" s="163"/>
      <c r="J20" s="163"/>
      <c r="K20" s="163"/>
      <c r="L20" s="163"/>
      <c r="M20" s="163"/>
      <c r="N20" s="163"/>
      <c r="O20" s="163"/>
      <c r="P20" s="163"/>
      <c r="Q20" s="163"/>
      <c r="R20" s="163"/>
      <c r="S20" s="382"/>
    </row>
    <row r="21" spans="1:19" ht="13.5" customHeight="1" thickTop="1">
      <c r="A21" s="2420"/>
      <c r="B21" s="2421"/>
      <c r="C21" s="72"/>
      <c r="D21" s="32"/>
      <c r="E21" s="427"/>
      <c r="G21" s="28"/>
    </row>
    <row r="22" spans="1:19" ht="13.5" customHeight="1" thickBot="1">
      <c r="A22" s="13"/>
      <c r="B22" s="13"/>
      <c r="C22" s="13"/>
    </row>
    <row r="23" spans="1:19" ht="13.5" customHeight="1" thickTop="1" thickBot="1">
      <c r="A23" s="574" t="s">
        <v>717</v>
      </c>
      <c r="B23" s="362"/>
      <c r="C23" s="378"/>
      <c r="D23" s="125" t="str">
        <f>CONCATENATE("Forecast Non-Fuel Resource Vehicle Operating Costs (",B14," prices)")</f>
        <v>Forecast Non-Fuel Resource Vehicle Operating Costs (2010 prices)</v>
      </c>
      <c r="E23" s="496"/>
      <c r="F23" s="496"/>
      <c r="G23" s="496"/>
      <c r="H23" s="496"/>
      <c r="I23" s="756"/>
    </row>
    <row r="24" spans="1:19" ht="13.5" customHeight="1" thickTop="1">
      <c r="A24" s="173"/>
      <c r="B24" s="170"/>
      <c r="C24" s="293"/>
      <c r="D24" s="752" t="s">
        <v>597</v>
      </c>
      <c r="E24" s="752"/>
      <c r="F24" s="753" t="s">
        <v>598</v>
      </c>
      <c r="G24" s="754"/>
      <c r="H24" s="752" t="s">
        <v>1429</v>
      </c>
      <c r="I24" s="754"/>
    </row>
    <row r="25" spans="1:19" ht="13.5" customHeight="1" thickBot="1">
      <c r="A25" s="173"/>
      <c r="B25" s="917" t="s">
        <v>1450</v>
      </c>
      <c r="C25" s="293"/>
      <c r="D25" s="2300" t="s">
        <v>589</v>
      </c>
      <c r="E25" s="2301" t="s">
        <v>1273</v>
      </c>
      <c r="F25" s="2300" t="s">
        <v>589</v>
      </c>
      <c r="G25" s="2301" t="s">
        <v>1273</v>
      </c>
      <c r="H25" s="2300" t="s">
        <v>589</v>
      </c>
      <c r="I25" s="2712" t="s">
        <v>1273</v>
      </c>
    </row>
    <row r="26" spans="1:19" ht="13.5" customHeight="1" thickTop="1">
      <c r="A26" s="793"/>
      <c r="B26" s="2302">
        <f>B15</f>
        <v>2010</v>
      </c>
      <c r="C26" s="380"/>
      <c r="D26" s="2303">
        <f>IF(ISERROR(VLOOKUP($B26, 'A1.3.9'!$B$26:$O$57,3,)),"",'A1.3.14'!$D$27 * VLOOKUP($B26, 'A1.3.9'!$B$26:$O$57,3,TRUE) + 'A1.3.14'!$D$28 * VLOOKUP($B26, 'A1.3.9'!$B$26:$O$57,4,TRUE) + 'A1.3.14'!$D$29 * VLOOKUP($B26, 'A1.3.9'!$B$26:$O$57,5,TRUE))</f>
        <v>4.9660000000000002</v>
      </c>
      <c r="E26" s="2304">
        <f>IF(ISERROR(VLOOKUP($B26, 'A1.3.9'!$B$26:$O$57,3,)),"",'A1.3.14'!$E$27 * VLOOKUP($B26, 'A1.3.9'!$B$26:$O$57,3,TRUE) + 'A1.3.14'!$E$28 * VLOOKUP($B26, 'A1.3.9'!$B$26:$O$57,4,TRUE) + 'A1.3.14'!$E$29 * VLOOKUP($B26, 'A1.3.9'!$B$26:$O$57,5,TRUE))</f>
        <v>135.946</v>
      </c>
      <c r="F26" s="2303">
        <f>IF(ISERROR(VLOOKUP($B26, 'A1.3.9'!$B$26:$O$57,3,)),"",'A1.3.14'!$D$30 * VLOOKUP($B26, 'A1.3.9'!$B$26:$O$57,3,TRUE) + 'A1.3.14'!$D$31 * VLOOKUP($B26, 'A1.3.9'!$B$26:$O$57,4,TRUE) + 'A1.3.14'!$D$32 * VLOOKUP($B26, 'A1.3.9'!$B$26:$O$57,5,TRUE))</f>
        <v>3.8460000000000001</v>
      </c>
      <c r="G26" s="2304">
        <f>IF(ISERROR(VLOOKUP($B26, 'A1.3.9'!$B$26:$O$57,3,)),"",'A1.3.14'!$E$30 * VLOOKUP($B26, 'A1.3.9'!$B$26:$O$57,3,TRUE) + 'A1.3.14'!$E$31 * VLOOKUP($B26, 'A1.3.9'!$B$26:$O$57,4,TRUE) + 'A1.3.14'!$E$32 * VLOOKUP($B26, 'A1.3.9'!$B$26:$O$57,5,TRUE))</f>
        <v>0</v>
      </c>
      <c r="H26" s="2303">
        <f>IF(AND(D26="",F26=""),"",((D26 * 'A1.3.4'!$J$27/100) + (F26 * (1 - 'A1.3.4'!$J$27/100))))</f>
        <v>3.9810635461934734</v>
      </c>
      <c r="I26" s="2304">
        <f>IF(AND(E26="",G26=""),"",((E26 * 'A1.3.4'!$J$27/100) + (G26 * (100 - 'A1.3.4'!$J$27/100))))</f>
        <v>16.394061473944575</v>
      </c>
    </row>
    <row r="27" spans="1:19" ht="13.5" customHeight="1">
      <c r="A27" s="113"/>
      <c r="B27" s="82">
        <f>B26+1</f>
        <v>2011</v>
      </c>
      <c r="C27" s="147"/>
      <c r="D27" s="692">
        <f>IF(ISERROR(VLOOKUP($B27, 'A1.3.9'!$B$26:$O$57,3,)),"",'A1.3.14'!$D$27 * VLOOKUP($B27, 'A1.3.9'!$B$26:$O$57,3,TRUE) + 'A1.3.14'!$D$28 * VLOOKUP($B27, 'A1.3.9'!$B$26:$O$57,4,TRUE) + 'A1.3.14'!$D$29 * VLOOKUP($B27, 'A1.3.9'!$B$26:$O$57,5,TRUE))</f>
        <v>4.9658120770035978</v>
      </c>
      <c r="E27" s="675">
        <f>IF(ISERROR(VLOOKUP($B27, 'A1.3.9'!$B$26:$O$57,3,)),"",'A1.3.14'!$E$27 * VLOOKUP($B27, 'A1.3.9'!$B$26:$O$57,3,TRUE) + 'A1.3.14'!$E$28 * VLOOKUP($B27, 'A1.3.9'!$B$26:$O$57,4,TRUE) + 'A1.3.14'!$E$29 * VLOOKUP($B27, 'A1.3.9'!$B$26:$O$57,5,TRUE))</f>
        <v>135.946</v>
      </c>
      <c r="F27" s="692">
        <f>IF(ISERROR(VLOOKUP($B27, 'A1.3.9'!$B$26:$O$57,3,)),"",'A1.3.14'!$D$30 * VLOOKUP($B27, 'A1.3.9'!$B$26:$O$57,3,TRUE) + 'A1.3.14'!$D$31 * VLOOKUP($B27, 'A1.3.9'!$B$26:$O$57,4,TRUE) + 'A1.3.14'!$D$32 * VLOOKUP($B27, 'A1.3.9'!$B$26:$O$57,5,TRUE))</f>
        <v>3.8458673339623717</v>
      </c>
      <c r="G27" s="675">
        <f>IF(ISERROR(VLOOKUP($B27, 'A1.3.9'!$B$26:$O$57,3,)),"",'A1.3.14'!$E$30 * VLOOKUP($B27, 'A1.3.9'!$B$26:$O$57,3,TRUE) + 'A1.3.14'!$E$31 * VLOOKUP($B27, 'A1.3.9'!$B$26:$O$57,4,TRUE) + 'A1.3.14'!$E$32 * VLOOKUP($B27, 'A1.3.9'!$B$26:$O$57,5,TRUE))</f>
        <v>0</v>
      </c>
      <c r="H27" s="692">
        <f>IF(AND(D27="",F27=""),"",((D27 * 'A1.3.4'!$J$27/100) + (F27 * (1 - 'A1.3.4'!$J$27/100))))</f>
        <v>3.9809242165836989</v>
      </c>
      <c r="I27" s="675">
        <f>IF(AND(E27="",G27=""),"",((E27 * 'A1.3.4'!$J$27/100) + (G27 * (100 - 'A1.3.4'!$J$27/100))))</f>
        <v>16.394061473944575</v>
      </c>
    </row>
    <row r="28" spans="1:19" ht="13.5" customHeight="1">
      <c r="A28" s="113"/>
      <c r="B28" s="82">
        <f t="shared" ref="B28:B57" si="0">B27+1</f>
        <v>2012</v>
      </c>
      <c r="C28" s="147"/>
      <c r="D28" s="692">
        <f>IF(ISERROR(VLOOKUP($B28, 'A1.3.9'!$B$26:$O$57,3,)),"",'A1.3.14'!$D$27 * VLOOKUP($B28, 'A1.3.9'!$B$26:$O$57,3,TRUE) + 'A1.3.14'!$D$28 * VLOOKUP($B28, 'A1.3.9'!$B$26:$O$57,4,TRUE) + 'A1.3.14'!$D$29 * VLOOKUP($B28, 'A1.3.9'!$B$26:$O$57,5,TRUE))</f>
        <v>4.965480144389363</v>
      </c>
      <c r="E28" s="675">
        <f>IF(ISERROR(VLOOKUP($B28, 'A1.3.9'!$B$26:$O$57,3,)),"",'A1.3.14'!$E$27 * VLOOKUP($B28, 'A1.3.9'!$B$26:$O$57,3,TRUE) + 'A1.3.14'!$E$28 * VLOOKUP($B28, 'A1.3.9'!$B$26:$O$57,4,TRUE) + 'A1.3.14'!$E$29 * VLOOKUP($B28, 'A1.3.9'!$B$26:$O$57,5,TRUE))</f>
        <v>135.946</v>
      </c>
      <c r="F28" s="692">
        <f>IF(ISERROR(VLOOKUP($B28, 'A1.3.9'!$B$26:$O$57,3,)),"",'A1.3.14'!$D$30 * VLOOKUP($B28, 'A1.3.9'!$B$26:$O$57,3,TRUE) + 'A1.3.14'!$D$31 * VLOOKUP($B28, 'A1.3.9'!$B$26:$O$57,4,TRUE) + 'A1.3.14'!$D$32 * VLOOKUP($B28, 'A1.3.9'!$B$26:$O$57,5,TRUE))</f>
        <v>3.845633002956943</v>
      </c>
      <c r="G28" s="675">
        <f>IF(ISERROR(VLOOKUP($B28, 'A1.3.9'!$B$26:$O$57,3,)),"",'A1.3.14'!$E$30 * VLOOKUP($B28, 'A1.3.9'!$B$26:$O$57,3,TRUE) + 'A1.3.14'!$E$31 * VLOOKUP($B28, 'A1.3.9'!$B$26:$O$57,4,TRUE) + 'A1.3.14'!$E$32 * VLOOKUP($B28, 'A1.3.9'!$B$26:$O$57,5,TRUE))</f>
        <v>0</v>
      </c>
      <c r="H28" s="692">
        <f>IF(AND(D28="",F28=""),"",((D28 * 'A1.3.4'!$J$27/100) + (F28 * (1 - 'A1.3.4'!$J$27/100))))</f>
        <v>3.9806781155609494</v>
      </c>
      <c r="I28" s="675">
        <f>IF(AND(E28="",G28=""),"",((E28 * 'A1.3.4'!$J$27/100) + (G28 * (100 - 'A1.3.4'!$J$27/100))))</f>
        <v>16.394061473944575</v>
      </c>
      <c r="J28" s="427"/>
    </row>
    <row r="29" spans="1:19" ht="13.5" customHeight="1">
      <c r="A29" s="113"/>
      <c r="B29" s="82">
        <f t="shared" si="0"/>
        <v>2013</v>
      </c>
      <c r="C29" s="147"/>
      <c r="D29" s="692">
        <f>IF(ISERROR(VLOOKUP($B29, 'A1.3.9'!$B$26:$O$57,3,)),"",'A1.3.14'!$D$27 * VLOOKUP($B29, 'A1.3.9'!$B$26:$O$57,3,TRUE) + 'A1.3.14'!$D$28 * VLOOKUP($B29, 'A1.3.9'!$B$26:$O$57,4,TRUE) + 'A1.3.14'!$D$29 * VLOOKUP($B29, 'A1.3.9'!$B$26:$O$57,5,TRUE))</f>
        <v>4.9650415963110044</v>
      </c>
      <c r="E29" s="675">
        <f>IF(ISERROR(VLOOKUP($B29, 'A1.3.9'!$B$26:$O$57,3,)),"",'A1.3.14'!$E$27 * VLOOKUP($B29, 'A1.3.9'!$B$26:$O$57,3,TRUE) + 'A1.3.14'!$E$28 * VLOOKUP($B29, 'A1.3.9'!$B$26:$O$57,4,TRUE) + 'A1.3.14'!$E$29 * VLOOKUP($B29, 'A1.3.9'!$B$26:$O$57,5,TRUE))</f>
        <v>135.946</v>
      </c>
      <c r="F29" s="692">
        <f>IF(ISERROR(VLOOKUP($B29, 'A1.3.9'!$B$26:$O$57,3,)),"",'A1.3.14'!$D$30 * VLOOKUP($B29, 'A1.3.9'!$B$26:$O$57,3,TRUE) + 'A1.3.14'!$D$31 * VLOOKUP($B29, 'A1.3.9'!$B$26:$O$57,4,TRUE) + 'A1.3.14'!$D$32 * VLOOKUP($B29, 'A1.3.9'!$B$26:$O$57,5,TRUE))</f>
        <v>3.8453234057443653</v>
      </c>
      <c r="G29" s="675">
        <f>IF(ISERROR(VLOOKUP($B29, 'A1.3.9'!$B$26:$O$57,3,)),"",'A1.3.14'!$E$30 * VLOOKUP($B29, 'A1.3.9'!$B$26:$O$57,3,TRUE) + 'A1.3.14'!$E$31 * VLOOKUP($B29, 'A1.3.9'!$B$26:$O$57,4,TRUE) + 'A1.3.14'!$E$32 * VLOOKUP($B29, 'A1.3.9'!$B$26:$O$57,5,TRUE))</f>
        <v>0</v>
      </c>
      <c r="H29" s="692">
        <f>IF(AND(D29="",F29=""),"",((D29 * 'A1.3.4'!$J$27/100) + (F29 * (1 - 'A1.3.4'!$J$27/100))))</f>
        <v>3.9803529678472849</v>
      </c>
      <c r="I29" s="675">
        <f>IF(AND(E29="",G29=""),"",((E29 * 'A1.3.4'!$J$27/100) + (G29 * (100 - 'A1.3.4'!$J$27/100))))</f>
        <v>16.394061473944575</v>
      </c>
    </row>
    <row r="30" spans="1:19" ht="13.5" customHeight="1">
      <c r="A30" s="113"/>
      <c r="B30" s="82">
        <f t="shared" si="0"/>
        <v>2014</v>
      </c>
      <c r="C30" s="147"/>
      <c r="D30" s="692">
        <f>IF(ISERROR(VLOOKUP($B30, 'A1.3.9'!$B$26:$O$57,3,)),"",'A1.3.14'!$D$27 * VLOOKUP($B30, 'A1.3.9'!$B$26:$O$57,3,TRUE) + 'A1.3.14'!$D$28 * VLOOKUP($B30, 'A1.3.9'!$B$26:$O$57,4,TRUE) + 'A1.3.14'!$D$29 * VLOOKUP($B30, 'A1.3.9'!$B$26:$O$57,5,TRUE))</f>
        <v>4.9634021417388876</v>
      </c>
      <c r="E30" s="675">
        <f>IF(ISERROR(VLOOKUP($B30, 'A1.3.9'!$B$26:$O$57,3,)),"",'A1.3.14'!$E$27 * VLOOKUP($B30, 'A1.3.9'!$B$26:$O$57,3,TRUE) + 'A1.3.14'!$E$28 * VLOOKUP($B30, 'A1.3.9'!$B$26:$O$57,4,TRUE) + 'A1.3.14'!$E$29 * VLOOKUP($B30, 'A1.3.9'!$B$26:$O$57,5,TRUE))</f>
        <v>135.94600000000003</v>
      </c>
      <c r="F30" s="692">
        <f>IF(ISERROR(VLOOKUP($B30, 'A1.3.9'!$B$26:$O$57,3,)),"",'A1.3.14'!$D$30 * VLOOKUP($B30, 'A1.3.9'!$B$26:$O$57,3,TRUE) + 'A1.3.14'!$D$31 * VLOOKUP($B30, 'A1.3.9'!$B$26:$O$57,4,TRUE) + 'A1.3.14'!$D$32 * VLOOKUP($B30, 'A1.3.9'!$B$26:$O$57,5,TRUE))</f>
        <v>3.844166017100517</v>
      </c>
      <c r="G30" s="675">
        <f>IF(ISERROR(VLOOKUP($B30, 'A1.3.9'!$B$26:$O$57,3,)),"",'A1.3.14'!$E$30 * VLOOKUP($B30, 'A1.3.9'!$B$26:$O$57,3,TRUE) + 'A1.3.14'!$E$31 * VLOOKUP($B30, 'A1.3.9'!$B$26:$O$57,4,TRUE) + 'A1.3.14'!$E$32 * VLOOKUP($B30, 'A1.3.9'!$B$26:$O$57,5,TRUE))</f>
        <v>0</v>
      </c>
      <c r="H30" s="692">
        <f>IF(AND(D30="",F30=""),"",((D30 * 'A1.3.4'!$J$27/100) + (F30 * (1 - 'A1.3.4'!$J$27/100))))</f>
        <v>3.979137445691141</v>
      </c>
      <c r="I30" s="675">
        <f>IF(AND(E30="",G30=""),"",((E30 * 'A1.3.4'!$J$27/100) + (G30 * (100 - 'A1.3.4'!$J$27/100))))</f>
        <v>16.394061473944575</v>
      </c>
    </row>
    <row r="31" spans="1:19" ht="13.5" customHeight="1">
      <c r="A31" s="113"/>
      <c r="B31" s="82">
        <f t="shared" si="0"/>
        <v>2015</v>
      </c>
      <c r="C31" s="147"/>
      <c r="D31" s="692">
        <f>IF(ISERROR(VLOOKUP($B31, 'A1.3.9'!$B$26:$O$57,3,)),"",'A1.3.14'!$D$27 * VLOOKUP($B31, 'A1.3.9'!$B$26:$O$57,3,TRUE) + 'A1.3.14'!$D$28 * VLOOKUP($B31, 'A1.3.9'!$B$26:$O$57,4,TRUE) + 'A1.3.14'!$D$29 * VLOOKUP($B31, 'A1.3.9'!$B$26:$O$57,5,TRUE))</f>
        <v>4.9604658410414988</v>
      </c>
      <c r="E31" s="675">
        <f>IF(ISERROR(VLOOKUP($B31, 'A1.3.9'!$B$26:$O$57,3,)),"",'A1.3.14'!$E$27 * VLOOKUP($B31, 'A1.3.9'!$B$26:$O$57,3,TRUE) + 'A1.3.14'!$E$28 * VLOOKUP($B31, 'A1.3.9'!$B$26:$O$57,4,TRUE) + 'A1.3.14'!$E$29 * VLOOKUP($B31, 'A1.3.9'!$B$26:$O$57,5,TRUE))</f>
        <v>135.94600000000003</v>
      </c>
      <c r="F31" s="692">
        <f>IF(ISERROR(VLOOKUP($B31, 'A1.3.9'!$B$26:$O$57,3,)),"",'A1.3.14'!$D$30 * VLOOKUP($B31, 'A1.3.9'!$B$26:$O$57,3,TRUE) + 'A1.3.14'!$D$31 * VLOOKUP($B31, 'A1.3.9'!$B$26:$O$57,4,TRUE) + 'A1.3.14'!$D$32 * VLOOKUP($B31, 'A1.3.9'!$B$26:$O$57,5,TRUE))</f>
        <v>3.8420931075244389</v>
      </c>
      <c r="G31" s="675">
        <f>IF(ISERROR(VLOOKUP($B31, 'A1.3.9'!$B$26:$O$57,3,)),"",'A1.3.14'!$E$30 * VLOOKUP($B31, 'A1.3.9'!$B$26:$O$57,3,TRUE) + 'A1.3.14'!$E$31 * VLOOKUP($B31, 'A1.3.9'!$B$26:$O$57,4,TRUE) + 'A1.3.14'!$E$32 * VLOOKUP($B31, 'A1.3.9'!$B$26:$O$57,5,TRUE))</f>
        <v>0</v>
      </c>
      <c r="H31" s="692">
        <f>IF(AND(D31="",F31=""),"",((D31 * 'A1.3.4'!$J$27/100) + (F31 * (1 - 'A1.3.4'!$J$27/100))))</f>
        <v>3.9769604176627449</v>
      </c>
      <c r="I31" s="675">
        <f>IF(AND(E31="",G31=""),"",((E31 * 'A1.3.4'!$J$27/100) + (G31 * (100 - 'A1.3.4'!$J$27/100))))</f>
        <v>16.394061473944575</v>
      </c>
    </row>
    <row r="32" spans="1:19" ht="13.5" customHeight="1">
      <c r="A32" s="113"/>
      <c r="B32" s="82">
        <f t="shared" si="0"/>
        <v>2016</v>
      </c>
      <c r="C32" s="147"/>
      <c r="D32" s="692">
        <f>IF(ISERROR(VLOOKUP($B32, 'A1.3.9'!$B$26:$O$57,3,)),"",'A1.3.14'!$D$27 * VLOOKUP($B32, 'A1.3.9'!$B$26:$O$57,3,TRUE) + 'A1.3.14'!$D$28 * VLOOKUP($B32, 'A1.3.9'!$B$26:$O$57,4,TRUE) + 'A1.3.14'!$D$29 * VLOOKUP($B32, 'A1.3.9'!$B$26:$O$57,5,TRUE))</f>
        <v>4.9576025622709503</v>
      </c>
      <c r="E32" s="675">
        <f>IF(ISERROR(VLOOKUP($B32, 'A1.3.9'!$B$26:$O$57,3,)),"",'A1.3.14'!$E$27 * VLOOKUP($B32, 'A1.3.9'!$B$26:$O$57,3,TRUE) + 'A1.3.14'!$E$28 * VLOOKUP($B32, 'A1.3.9'!$B$26:$O$57,4,TRUE) + 'A1.3.14'!$E$29 * VLOOKUP($B32, 'A1.3.9'!$B$26:$O$57,5,TRUE))</f>
        <v>135.946</v>
      </c>
      <c r="F32" s="692">
        <f>IF(ISERROR(VLOOKUP($B32, 'A1.3.9'!$B$26:$O$57,3,)),"",'A1.3.14'!$D$30 * VLOOKUP($B32, 'A1.3.9'!$B$26:$O$57,3,TRUE) + 'A1.3.14'!$D$31 * VLOOKUP($B32, 'A1.3.9'!$B$26:$O$57,4,TRUE) + 'A1.3.14'!$D$32 * VLOOKUP($B32, 'A1.3.9'!$B$26:$O$57,5,TRUE))</f>
        <v>3.8400717484763951</v>
      </c>
      <c r="G32" s="675">
        <f>IF(ISERROR(VLOOKUP($B32, 'A1.3.9'!$B$26:$O$57,3,)),"",'A1.3.14'!$E$30 * VLOOKUP($B32, 'A1.3.9'!$B$26:$O$57,3,TRUE) + 'A1.3.14'!$E$31 * VLOOKUP($B32, 'A1.3.9'!$B$26:$O$57,4,TRUE) + 'A1.3.14'!$E$32 * VLOOKUP($B32, 'A1.3.9'!$B$26:$O$57,5,TRUE))</f>
        <v>0</v>
      </c>
      <c r="H32" s="692">
        <f>IF(AND(D32="",F32=""),"",((D32 * 'A1.3.4'!$J$27/100) + (F32 * (1 - 'A1.3.4'!$J$27/100))))</f>
        <v>3.9748375294510119</v>
      </c>
      <c r="I32" s="675">
        <f>IF(AND(E32="",G32=""),"",((E32 * 'A1.3.4'!$J$27/100) + (G32 * (100 - 'A1.3.4'!$J$27/100))))</f>
        <v>16.394061473944575</v>
      </c>
      <c r="J32" s="427"/>
    </row>
    <row r="33" spans="1:9" ht="13.5" customHeight="1">
      <c r="A33" s="113"/>
      <c r="B33" s="82">
        <f t="shared" si="0"/>
        <v>2017</v>
      </c>
      <c r="C33" s="147"/>
      <c r="D33" s="692">
        <f>IF(ISERROR(VLOOKUP($B33, 'A1.3.9'!$B$26:$O$57,3,)),"",'A1.3.14'!$D$27 * VLOOKUP($B33, 'A1.3.9'!$B$26:$O$57,3,TRUE) + 'A1.3.14'!$D$28 * VLOOKUP($B33, 'A1.3.9'!$B$26:$O$57,4,TRUE) + 'A1.3.14'!$D$29 * VLOOKUP($B33, 'A1.3.9'!$B$26:$O$57,5,TRUE))</f>
        <v>4.9528739405132214</v>
      </c>
      <c r="E33" s="675">
        <f>IF(ISERROR(VLOOKUP($B33, 'A1.3.9'!$B$26:$O$57,3,)),"",'A1.3.14'!$E$27 * VLOOKUP($B33, 'A1.3.9'!$B$26:$O$57,3,TRUE) + 'A1.3.14'!$E$28 * VLOOKUP($B33, 'A1.3.9'!$B$26:$O$57,4,TRUE) + 'A1.3.14'!$E$29 * VLOOKUP($B33, 'A1.3.9'!$B$26:$O$57,5,TRUE))</f>
        <v>135.946</v>
      </c>
      <c r="F33" s="692">
        <f>IF(ISERROR(VLOOKUP($B33, 'A1.3.9'!$B$26:$O$57,3,)),"",'A1.3.14'!$D$30 * VLOOKUP($B33, 'A1.3.9'!$B$26:$O$57,3,TRUE) + 'A1.3.14'!$D$31 * VLOOKUP($B33, 'A1.3.9'!$B$26:$O$57,4,TRUE) + 'A1.3.14'!$D$32 * VLOOKUP($B33, 'A1.3.9'!$B$26:$O$57,5,TRUE))</f>
        <v>3.8367335326962606</v>
      </c>
      <c r="G33" s="675">
        <f>IF(ISERROR(VLOOKUP($B33, 'A1.3.9'!$B$26:$O$57,3,)),"",'A1.3.14'!$E$30 * VLOOKUP($B33, 'A1.3.9'!$B$26:$O$57,3,TRUE) + 'A1.3.14'!$E$31 * VLOOKUP($B33, 'A1.3.9'!$B$26:$O$57,4,TRUE) + 'A1.3.14'!$E$32 * VLOOKUP($B33, 'A1.3.9'!$B$26:$O$57,5,TRUE))</f>
        <v>0</v>
      </c>
      <c r="H33" s="692">
        <f>IF(AND(D33="",F33=""),"",((D33 * 'A1.3.4'!$J$27/100) + (F33 * (1 - 'A1.3.4'!$J$27/100))))</f>
        <v>3.9713316412048218</v>
      </c>
      <c r="I33" s="675">
        <f>IF(AND(E33="",G33=""),"",((E33 * 'A1.3.4'!$J$27/100) + (G33 * (100 - 'A1.3.4'!$J$27/100))))</f>
        <v>16.394061473944575</v>
      </c>
    </row>
    <row r="34" spans="1:9" ht="13.5" customHeight="1">
      <c r="A34" s="113"/>
      <c r="B34" s="82">
        <f t="shared" si="0"/>
        <v>2018</v>
      </c>
      <c r="C34" s="147"/>
      <c r="D34" s="692">
        <f>IF(ISERROR(VLOOKUP($B34, 'A1.3.9'!$B$26:$O$57,3,)),"",'A1.3.14'!$D$27 * VLOOKUP($B34, 'A1.3.9'!$B$26:$O$57,3,TRUE) + 'A1.3.14'!$D$28 * VLOOKUP($B34, 'A1.3.9'!$B$26:$O$57,4,TRUE) + 'A1.3.14'!$D$29 * VLOOKUP($B34, 'A1.3.9'!$B$26:$O$57,5,TRUE))</f>
        <v>4.9394010579933294</v>
      </c>
      <c r="E34" s="675">
        <f>IF(ISERROR(VLOOKUP($B34, 'A1.3.9'!$B$26:$O$57,3,)),"",'A1.3.14'!$E$27 * VLOOKUP($B34, 'A1.3.9'!$B$26:$O$57,3,TRUE) + 'A1.3.14'!$E$28 * VLOOKUP($B34, 'A1.3.9'!$B$26:$O$57,4,TRUE) + 'A1.3.14'!$E$29 * VLOOKUP($B34, 'A1.3.9'!$B$26:$O$57,5,TRUE))</f>
        <v>135.946</v>
      </c>
      <c r="F34" s="692">
        <f>IF(ISERROR(VLOOKUP($B34, 'A1.3.9'!$B$26:$O$57,3,)),"",'A1.3.14'!$D$30 * VLOOKUP($B34, 'A1.3.9'!$B$26:$O$57,3,TRUE) + 'A1.3.14'!$D$31 * VLOOKUP($B34, 'A1.3.9'!$B$26:$O$57,4,TRUE) + 'A1.3.14'!$D$32 * VLOOKUP($B34, 'A1.3.9'!$B$26:$O$57,5,TRUE))</f>
        <v>3.8272222223533894</v>
      </c>
      <c r="G34" s="675">
        <f>IF(ISERROR(VLOOKUP($B34, 'A1.3.9'!$B$26:$O$57,3,)),"",'A1.3.14'!$E$30 * VLOOKUP($B34, 'A1.3.9'!$B$26:$O$57,3,TRUE) + 'A1.3.14'!$E$31 * VLOOKUP($B34, 'A1.3.9'!$B$26:$O$57,4,TRUE) + 'A1.3.14'!$E$32 * VLOOKUP($B34, 'A1.3.9'!$B$26:$O$57,5,TRUE))</f>
        <v>0</v>
      </c>
      <c r="H34" s="692">
        <f>IF(AND(D34="",F34=""),"",((D34 * 'A1.3.4'!$J$27/100) + (F34 * (1 - 'A1.3.4'!$J$27/100))))</f>
        <v>3.9613425951595134</v>
      </c>
      <c r="I34" s="675">
        <f>IF(AND(E34="",G34=""),"",((E34 * 'A1.3.4'!$J$27/100) + (G34 * (100 - 'A1.3.4'!$J$27/100))))</f>
        <v>16.394061473944575</v>
      </c>
    </row>
    <row r="35" spans="1:9" ht="13.5" customHeight="1">
      <c r="A35" s="113"/>
      <c r="B35" s="82">
        <f t="shared" si="0"/>
        <v>2019</v>
      </c>
      <c r="C35" s="147"/>
      <c r="D35" s="692">
        <f>IF(ISERROR(VLOOKUP($B35, 'A1.3.9'!$B$26:$O$57,3,)),"",'A1.3.14'!$D$27 * VLOOKUP($B35, 'A1.3.9'!$B$26:$O$57,3,TRUE) + 'A1.3.14'!$D$28 * VLOOKUP($B35, 'A1.3.9'!$B$26:$O$57,4,TRUE) + 'A1.3.14'!$D$29 * VLOOKUP($B35, 'A1.3.9'!$B$26:$O$57,5,TRUE))</f>
        <v>4.9303918792917889</v>
      </c>
      <c r="E35" s="675">
        <f>IF(ISERROR(VLOOKUP($B35, 'A1.3.9'!$B$26:$O$57,3,)),"",'A1.3.14'!$E$27 * VLOOKUP($B35, 'A1.3.9'!$B$26:$O$57,3,TRUE) + 'A1.3.14'!$E$28 * VLOOKUP($B35, 'A1.3.9'!$B$26:$O$57,4,TRUE) + 'A1.3.14'!$E$29 * VLOOKUP($B35, 'A1.3.9'!$B$26:$O$57,5,TRUE))</f>
        <v>135.94599999999997</v>
      </c>
      <c r="F35" s="692">
        <f>IF(ISERROR(VLOOKUP($B35, 'A1.3.9'!$B$26:$O$57,3,)),"",'A1.3.14'!$D$30 * VLOOKUP($B35, 'A1.3.9'!$B$26:$O$57,3,TRUE) + 'A1.3.14'!$D$31 * VLOOKUP($B35, 'A1.3.9'!$B$26:$O$57,4,TRUE) + 'A1.3.14'!$D$32 * VLOOKUP($B35, 'A1.3.9'!$B$26:$O$57,5,TRUE))</f>
        <v>3.8208621064362354</v>
      </c>
      <c r="G35" s="675">
        <f>IF(ISERROR(VLOOKUP($B35, 'A1.3.9'!$B$26:$O$57,3,)),"",'A1.3.14'!$E$30 * VLOOKUP($B35, 'A1.3.9'!$B$26:$O$57,3,TRUE) + 'A1.3.14'!$E$31 * VLOOKUP($B35, 'A1.3.9'!$B$26:$O$57,4,TRUE) + 'A1.3.14'!$E$32 * VLOOKUP($B35, 'A1.3.9'!$B$26:$O$57,5,TRUE))</f>
        <v>0</v>
      </c>
      <c r="H35" s="692">
        <f>IF(AND(D35="",F35=""),"",((D35 * 'A1.3.4'!$J$27/100) + (F35 * (1 - 'A1.3.4'!$J$27/100))))</f>
        <v>3.9546630222657981</v>
      </c>
      <c r="I35" s="675">
        <f>IF(AND(E35="",G35=""),"",((E35 * 'A1.3.4'!$J$27/100) + (G35 * (100 - 'A1.3.4'!$J$27/100))))</f>
        <v>16.394061473944568</v>
      </c>
    </row>
    <row r="36" spans="1:9" ht="13.5" customHeight="1">
      <c r="A36" s="113"/>
      <c r="B36" s="82">
        <f t="shared" si="0"/>
        <v>2020</v>
      </c>
      <c r="C36" s="147"/>
      <c r="D36" s="692">
        <f>IF(ISERROR(VLOOKUP($B36, 'A1.3.9'!$B$26:$O$57,3,)),"",'A1.3.14'!$D$27 * VLOOKUP($B36, 'A1.3.9'!$B$26:$O$57,3,TRUE) + 'A1.3.14'!$D$28 * VLOOKUP($B36, 'A1.3.9'!$B$26:$O$57,4,TRUE) + 'A1.3.14'!$D$29 * VLOOKUP($B36, 'A1.3.9'!$B$26:$O$57,5,TRUE))</f>
        <v>4.9205531138927485</v>
      </c>
      <c r="E36" s="675">
        <f>IF(ISERROR(VLOOKUP($B36, 'A1.3.9'!$B$26:$O$57,3,)),"",'A1.3.14'!$E$27 * VLOOKUP($B36, 'A1.3.9'!$B$26:$O$57,3,TRUE) + 'A1.3.14'!$E$28 * VLOOKUP($B36, 'A1.3.9'!$B$26:$O$57,4,TRUE) + 'A1.3.14'!$E$29 * VLOOKUP($B36, 'A1.3.9'!$B$26:$O$57,5,TRUE))</f>
        <v>135.946</v>
      </c>
      <c r="F36" s="692">
        <f>IF(ISERROR(VLOOKUP($B36, 'A1.3.9'!$B$26:$O$57,3,)),"",'A1.3.14'!$D$30 * VLOOKUP($B36, 'A1.3.9'!$B$26:$O$57,3,TRUE) + 'A1.3.14'!$D$31 * VLOOKUP($B36, 'A1.3.9'!$B$26:$O$57,4,TRUE) + 'A1.3.14'!$D$32 * VLOOKUP($B36, 'A1.3.9'!$B$26:$O$57,5,TRUE))</f>
        <v>3.8139163358512991</v>
      </c>
      <c r="G36" s="675">
        <f>IF(ISERROR(VLOOKUP($B36, 'A1.3.9'!$B$26:$O$57,3,)),"",'A1.3.14'!$E$30 * VLOOKUP($B36, 'A1.3.9'!$B$26:$O$57,3,TRUE) + 'A1.3.14'!$E$31 * VLOOKUP($B36, 'A1.3.9'!$B$26:$O$57,4,TRUE) + 'A1.3.14'!$E$32 * VLOOKUP($B36, 'A1.3.9'!$B$26:$O$57,5,TRUE))</f>
        <v>0</v>
      </c>
      <c r="H36" s="692">
        <f>IF(AND(D36="",F36=""),"",((D36 * 'A1.3.4'!$J$27/100) + (F36 * (1 - 'A1.3.4'!$J$27/100))))</f>
        <v>3.947368378342726</v>
      </c>
      <c r="I36" s="675">
        <f>IF(AND(E36="",G36=""),"",((E36 * 'A1.3.4'!$J$27/100) + (G36 * (100 - 'A1.3.4'!$J$27/100))))</f>
        <v>16.394061473944575</v>
      </c>
    </row>
    <row r="37" spans="1:9" ht="13.5" customHeight="1">
      <c r="A37" s="113"/>
      <c r="B37" s="82">
        <f t="shared" si="0"/>
        <v>2021</v>
      </c>
      <c r="C37" s="147"/>
      <c r="D37" s="692">
        <f>IF(ISERROR(VLOOKUP($B37, 'A1.3.9'!$B$26:$O$57,3,)),"",'A1.3.14'!$D$27 * VLOOKUP($B37, 'A1.3.9'!$B$26:$O$57,3,TRUE) + 'A1.3.14'!$D$28 * VLOOKUP($B37, 'A1.3.9'!$B$26:$O$57,4,TRUE) + 'A1.3.14'!$D$29 * VLOOKUP($B37, 'A1.3.9'!$B$26:$O$57,5,TRUE))</f>
        <v>4.9009063859352606</v>
      </c>
      <c r="E37" s="675">
        <f>IF(ISERROR(VLOOKUP($B37, 'A1.3.9'!$B$26:$O$57,3,)),"",'A1.3.14'!$E$27 * VLOOKUP($B37, 'A1.3.9'!$B$26:$O$57,3,TRUE) + 'A1.3.14'!$E$28 * VLOOKUP($B37, 'A1.3.9'!$B$26:$O$57,4,TRUE) + 'A1.3.14'!$E$29 * VLOOKUP($B37, 'A1.3.9'!$B$26:$O$57,5,TRUE))</f>
        <v>135.94600000000003</v>
      </c>
      <c r="F37" s="692">
        <f>IF(ISERROR(VLOOKUP($B37, 'A1.3.9'!$B$26:$O$57,3,)),"",'A1.3.14'!$D$30 * VLOOKUP($B37, 'A1.3.9'!$B$26:$O$57,3,TRUE) + 'A1.3.14'!$D$31 * VLOOKUP($B37, 'A1.3.9'!$B$26:$O$57,4,TRUE) + 'A1.3.14'!$D$32 * VLOOKUP($B37, 'A1.3.9'!$B$26:$O$57,5,TRUE))</f>
        <v>3.8000465402415116</v>
      </c>
      <c r="G37" s="675">
        <f>IF(ISERROR(VLOOKUP($B37, 'A1.3.9'!$B$26:$O$57,3,)),"",'A1.3.14'!$E$30 * VLOOKUP($B37, 'A1.3.9'!$B$26:$O$57,3,TRUE) + 'A1.3.14'!$E$31 * VLOOKUP($B37, 'A1.3.9'!$B$26:$O$57,4,TRUE) + 'A1.3.14'!$E$32 * VLOOKUP($B37, 'A1.3.9'!$B$26:$O$57,5,TRUE))</f>
        <v>0</v>
      </c>
      <c r="H37" s="692">
        <f>IF(AND(D37="",F37=""),"",((D37 * 'A1.3.4'!$J$27/100) + (F37 * (1 - 'A1.3.4'!$J$27/100))))</f>
        <v>3.9328019282963309</v>
      </c>
      <c r="I37" s="675">
        <f>IF(AND(E37="",G37=""),"",((E37 * 'A1.3.4'!$J$27/100) + (G37 * (100 - 'A1.3.4'!$J$27/100))))</f>
        <v>16.394061473944575</v>
      </c>
    </row>
    <row r="38" spans="1:9" ht="13.5" customHeight="1">
      <c r="A38" s="113"/>
      <c r="B38" s="82">
        <f t="shared" si="0"/>
        <v>2022</v>
      </c>
      <c r="C38" s="147"/>
      <c r="D38" s="692">
        <f>IF(ISERROR(VLOOKUP($B38, 'A1.3.9'!$B$26:$O$57,3,)),"",'A1.3.14'!$D$27 * VLOOKUP($B38, 'A1.3.9'!$B$26:$O$57,3,TRUE) + 'A1.3.14'!$D$28 * VLOOKUP($B38, 'A1.3.9'!$B$26:$O$57,4,TRUE) + 'A1.3.14'!$D$29 * VLOOKUP($B38, 'A1.3.9'!$B$26:$O$57,5,TRUE))</f>
        <v>4.8766083809777845</v>
      </c>
      <c r="E38" s="675">
        <f>IF(ISERROR(VLOOKUP($B38, 'A1.3.9'!$B$26:$O$57,3,)),"",'A1.3.14'!$E$27 * VLOOKUP($B38, 'A1.3.9'!$B$26:$O$57,3,TRUE) + 'A1.3.14'!$E$28 * VLOOKUP($B38, 'A1.3.9'!$B$26:$O$57,4,TRUE) + 'A1.3.14'!$E$29 * VLOOKUP($B38, 'A1.3.9'!$B$26:$O$57,5,TRUE))</f>
        <v>135.946</v>
      </c>
      <c r="F38" s="692">
        <f>IF(ISERROR(VLOOKUP($B38, 'A1.3.9'!$B$26:$O$57,3,)),"",'A1.3.14'!$D$30 * VLOOKUP($B38, 'A1.3.9'!$B$26:$O$57,3,TRUE) + 'A1.3.14'!$D$31 * VLOOKUP($B38, 'A1.3.9'!$B$26:$O$57,4,TRUE) + 'A1.3.14'!$D$32 * VLOOKUP($B38, 'A1.3.9'!$B$26:$O$57,5,TRUE))</f>
        <v>3.782893131123461</v>
      </c>
      <c r="G38" s="675">
        <f>IF(ISERROR(VLOOKUP($B38, 'A1.3.9'!$B$26:$O$57,3,)),"",'A1.3.14'!$E$30 * VLOOKUP($B38, 'A1.3.9'!$B$26:$O$57,3,TRUE) + 'A1.3.14'!$E$31 * VLOOKUP($B38, 'A1.3.9'!$B$26:$O$57,4,TRUE) + 'A1.3.14'!$E$32 * VLOOKUP($B38, 'A1.3.9'!$B$26:$O$57,5,TRUE))</f>
        <v>0</v>
      </c>
      <c r="H38" s="692">
        <f>IF(AND(D38="",F38=""),"",((D38 * 'A1.3.4'!$J$27/100) + (F38 * (1 - 'A1.3.4'!$J$27/100))))</f>
        <v>3.914786934847752</v>
      </c>
      <c r="I38" s="675">
        <f>IF(AND(E38="",G38=""),"",((E38 * 'A1.3.4'!$J$27/100) + (G38 * (100 - 'A1.3.4'!$J$27/100))))</f>
        <v>16.394061473944575</v>
      </c>
    </row>
    <row r="39" spans="1:9" ht="13.5" customHeight="1">
      <c r="A39" s="113"/>
      <c r="B39" s="82">
        <f t="shared" si="0"/>
        <v>2023</v>
      </c>
      <c r="C39" s="147"/>
      <c r="D39" s="692">
        <f>IF(ISERROR(VLOOKUP($B39, 'A1.3.9'!$B$26:$O$57,3,)),"",'A1.3.14'!$D$27 * VLOOKUP($B39, 'A1.3.9'!$B$26:$O$57,3,TRUE) + 'A1.3.14'!$D$28 * VLOOKUP($B39, 'A1.3.9'!$B$26:$O$57,4,TRUE) + 'A1.3.14'!$D$29 * VLOOKUP($B39, 'A1.3.9'!$B$26:$O$57,5,TRUE))</f>
        <v>4.8466421921185425</v>
      </c>
      <c r="E39" s="675">
        <f>IF(ISERROR(VLOOKUP($B39, 'A1.3.9'!$B$26:$O$57,3,)),"",'A1.3.14'!$E$27 * VLOOKUP($B39, 'A1.3.9'!$B$26:$O$57,3,TRUE) + 'A1.3.14'!$E$28 * VLOOKUP($B39, 'A1.3.9'!$B$26:$O$57,4,TRUE) + 'A1.3.14'!$E$29 * VLOOKUP($B39, 'A1.3.9'!$B$26:$O$57,5,TRUE))</f>
        <v>135.94599999999997</v>
      </c>
      <c r="F39" s="692">
        <f>IF(ISERROR(VLOOKUP($B39, 'A1.3.9'!$B$26:$O$57,3,)),"",'A1.3.14'!$D$30 * VLOOKUP($B39, 'A1.3.9'!$B$26:$O$57,3,TRUE) + 'A1.3.14'!$D$31 * VLOOKUP($B39, 'A1.3.9'!$B$26:$O$57,4,TRUE) + 'A1.3.14'!$D$32 * VLOOKUP($B39, 'A1.3.9'!$B$26:$O$57,5,TRUE))</f>
        <v>3.7617382133386088</v>
      </c>
      <c r="G39" s="675">
        <f>IF(ISERROR(VLOOKUP($B39, 'A1.3.9'!$B$26:$O$57,3,)),"",'A1.3.14'!$E$30 * VLOOKUP($B39, 'A1.3.9'!$B$26:$O$57,3,TRUE) + 'A1.3.14'!$E$31 * VLOOKUP($B39, 'A1.3.9'!$B$26:$O$57,4,TRUE) + 'A1.3.14'!$E$32 * VLOOKUP($B39, 'A1.3.9'!$B$26:$O$57,5,TRUE))</f>
        <v>0</v>
      </c>
      <c r="H39" s="692">
        <f>IF(AND(D39="",F39=""),"",((D39 * 'A1.3.4'!$J$27/100) + (F39 * (1 - 'A1.3.4'!$J$27/100))))</f>
        <v>3.8925694442791685</v>
      </c>
      <c r="I39" s="675">
        <f>IF(AND(E39="",G39=""),"",((E39 * 'A1.3.4'!$J$27/100) + (G39 * (100 - 'A1.3.4'!$J$27/100))))</f>
        <v>16.394061473944568</v>
      </c>
    </row>
    <row r="40" spans="1:9" ht="13.5" customHeight="1">
      <c r="A40" s="113"/>
      <c r="B40" s="82">
        <f t="shared" si="0"/>
        <v>2024</v>
      </c>
      <c r="C40" s="147"/>
      <c r="D40" s="692">
        <f>IF(ISERROR(VLOOKUP($B40, 'A1.3.9'!$B$26:$O$57,3,)),"",'A1.3.14'!$D$27 * VLOOKUP($B40, 'A1.3.9'!$B$26:$O$57,3,TRUE) + 'A1.3.14'!$D$28 * VLOOKUP($B40, 'A1.3.9'!$B$26:$O$57,4,TRUE) + 'A1.3.14'!$D$29 * VLOOKUP($B40, 'A1.3.9'!$B$26:$O$57,5,TRUE))</f>
        <v>4.8106630556428884</v>
      </c>
      <c r="E40" s="675">
        <f>IF(ISERROR(VLOOKUP($B40, 'A1.3.9'!$B$26:$O$57,3,)),"",'A1.3.14'!$E$27 * VLOOKUP($B40, 'A1.3.9'!$B$26:$O$57,3,TRUE) + 'A1.3.14'!$E$28 * VLOOKUP($B40, 'A1.3.9'!$B$26:$O$57,4,TRUE) + 'A1.3.14'!$E$29 * VLOOKUP($B40, 'A1.3.9'!$B$26:$O$57,5,TRUE))</f>
        <v>135.946</v>
      </c>
      <c r="F40" s="692">
        <f>IF(ISERROR(VLOOKUP($B40, 'A1.3.9'!$B$26:$O$57,3,)),"",'A1.3.14'!$D$30 * VLOOKUP($B40, 'A1.3.9'!$B$26:$O$57,3,TRUE) + 'A1.3.14'!$D$31 * VLOOKUP($B40, 'A1.3.9'!$B$26:$O$57,4,TRUE) + 'A1.3.14'!$D$32 * VLOOKUP($B40, 'A1.3.9'!$B$26:$O$57,5,TRUE))</f>
        <v>3.7363383976434039</v>
      </c>
      <c r="G40" s="675">
        <f>IF(ISERROR(VLOOKUP($B40, 'A1.3.9'!$B$26:$O$57,3,)),"",'A1.3.14'!$E$30 * VLOOKUP($B40, 'A1.3.9'!$B$26:$O$57,3,TRUE) + 'A1.3.14'!$E$31 * VLOOKUP($B40, 'A1.3.9'!$B$26:$O$57,4,TRUE) + 'A1.3.14'!$E$32 * VLOOKUP($B40, 'A1.3.9'!$B$26:$O$57,5,TRUE))</f>
        <v>0</v>
      </c>
      <c r="H40" s="692">
        <f>IF(AND(D40="",F40=""),"",((D40 * 'A1.3.4'!$J$27/100) + (F40 * (1 - 'A1.3.4'!$J$27/100))))</f>
        <v>3.8658938423509941</v>
      </c>
      <c r="I40" s="675">
        <f>IF(AND(E40="",G40=""),"",((E40 * 'A1.3.4'!$J$27/100) + (G40 * (100 - 'A1.3.4'!$J$27/100))))</f>
        <v>16.394061473944575</v>
      </c>
    </row>
    <row r="41" spans="1:9" ht="13.5" customHeight="1">
      <c r="A41" s="113"/>
      <c r="B41" s="82">
        <f t="shared" si="0"/>
        <v>2025</v>
      </c>
      <c r="C41" s="147"/>
      <c r="D41" s="692">
        <f>IF(ISERROR(VLOOKUP($B41, 'A1.3.9'!$B$26:$O$57,3,)),"",'A1.3.14'!$D$27 * VLOOKUP($B41, 'A1.3.9'!$B$26:$O$57,3,TRUE) + 'A1.3.14'!$D$28 * VLOOKUP($B41, 'A1.3.9'!$B$26:$O$57,4,TRUE) + 'A1.3.14'!$D$29 * VLOOKUP($B41, 'A1.3.9'!$B$26:$O$57,5,TRUE))</f>
        <v>4.7647556695081192</v>
      </c>
      <c r="E41" s="675">
        <f>IF(ISERROR(VLOOKUP($B41, 'A1.3.9'!$B$26:$O$57,3,)),"",'A1.3.14'!$E$27 * VLOOKUP($B41, 'A1.3.9'!$B$26:$O$57,3,TRUE) + 'A1.3.14'!$E$28 * VLOOKUP($B41, 'A1.3.9'!$B$26:$O$57,4,TRUE) + 'A1.3.14'!$E$29 * VLOOKUP($B41, 'A1.3.9'!$B$26:$O$57,5,TRUE))</f>
        <v>135.946</v>
      </c>
      <c r="F41" s="692">
        <f>IF(ISERROR(VLOOKUP($B41, 'A1.3.9'!$B$26:$O$57,3,)),"",'A1.3.14'!$D$30 * VLOOKUP($B41, 'A1.3.9'!$B$26:$O$57,3,TRUE) + 'A1.3.14'!$D$31 * VLOOKUP($B41, 'A1.3.9'!$B$26:$O$57,4,TRUE) + 'A1.3.14'!$D$32 * VLOOKUP($B41, 'A1.3.9'!$B$26:$O$57,5,TRUE))</f>
        <v>3.7039296390935506</v>
      </c>
      <c r="G41" s="675">
        <f>IF(ISERROR(VLOOKUP($B41, 'A1.3.9'!$B$26:$O$57,3,)),"",'A1.3.14'!$E$30 * VLOOKUP($B41, 'A1.3.9'!$B$26:$O$57,3,TRUE) + 'A1.3.14'!$E$31 * VLOOKUP($B41, 'A1.3.9'!$B$26:$O$57,4,TRUE) + 'A1.3.14'!$E$32 * VLOOKUP($B41, 'A1.3.9'!$B$26:$O$57,5,TRUE))</f>
        <v>0</v>
      </c>
      <c r="H41" s="692">
        <f>IF(AND(D41="",F41=""),"",((D41 * 'A1.3.4'!$J$27/100) + (F41 * (1 - 'A1.3.4'!$J$27/100))))</f>
        <v>3.8318572512026017</v>
      </c>
      <c r="I41" s="675">
        <f>IF(AND(E41="",G41=""),"",((E41 * 'A1.3.4'!$J$27/100) + (G41 * (100 - 'A1.3.4'!$J$27/100))))</f>
        <v>16.394061473944575</v>
      </c>
    </row>
    <row r="42" spans="1:9" ht="13.5" customHeight="1">
      <c r="A42" s="113"/>
      <c r="B42" s="82">
        <f t="shared" si="0"/>
        <v>2026</v>
      </c>
      <c r="C42" s="147"/>
      <c r="D42" s="692">
        <f>IF(ISERROR(VLOOKUP($B42, 'A1.3.9'!$B$26:$O$57,3,)),"",'A1.3.14'!$D$27 * VLOOKUP($B42, 'A1.3.9'!$B$26:$O$57,3,TRUE) + 'A1.3.14'!$D$28 * VLOOKUP($B42, 'A1.3.9'!$B$26:$O$57,4,TRUE) + 'A1.3.14'!$D$29 * VLOOKUP($B42, 'A1.3.9'!$B$26:$O$57,5,TRUE))</f>
        <v>4.7084072434548103</v>
      </c>
      <c r="E42" s="675">
        <f>IF(ISERROR(VLOOKUP($B42, 'A1.3.9'!$B$26:$O$57,3,)),"",'A1.3.14'!$E$27 * VLOOKUP($B42, 'A1.3.9'!$B$26:$O$57,3,TRUE) + 'A1.3.14'!$E$28 * VLOOKUP($B42, 'A1.3.9'!$B$26:$O$57,4,TRUE) + 'A1.3.14'!$E$29 * VLOOKUP($B42, 'A1.3.9'!$B$26:$O$57,5,TRUE))</f>
        <v>135.94600000000003</v>
      </c>
      <c r="F42" s="692">
        <f>IF(ISERROR(VLOOKUP($B42, 'A1.3.9'!$B$26:$O$57,3,)),"",'A1.3.14'!$D$30 * VLOOKUP($B42, 'A1.3.9'!$B$26:$O$57,3,TRUE) + 'A1.3.14'!$D$31 * VLOOKUP($B42, 'A1.3.9'!$B$26:$O$57,4,TRUE) + 'A1.3.14'!$D$32 * VLOOKUP($B42, 'A1.3.9'!$B$26:$O$57,5,TRUE))</f>
        <v>3.6641499284982899</v>
      </c>
      <c r="G42" s="675">
        <f>IF(ISERROR(VLOOKUP($B42, 'A1.3.9'!$B$26:$O$57,3,)),"",'A1.3.14'!$E$30 * VLOOKUP($B42, 'A1.3.9'!$B$26:$O$57,3,TRUE) + 'A1.3.14'!$E$31 * VLOOKUP($B42, 'A1.3.9'!$B$26:$O$57,4,TRUE) + 'A1.3.14'!$E$32 * VLOOKUP($B42, 'A1.3.9'!$B$26:$O$57,5,TRUE))</f>
        <v>0</v>
      </c>
      <c r="H42" s="692">
        <f>IF(AND(D42="",F42=""),"",((D42 * 'A1.3.4'!$J$27/100) + (F42 * (1 - 'A1.3.4'!$J$27/100))))</f>
        <v>3.7900794785844534</v>
      </c>
      <c r="I42" s="675">
        <f>IF(AND(E42="",G42=""),"",((E42 * 'A1.3.4'!$J$27/100) + (G42 * (100 - 'A1.3.4'!$J$27/100))))</f>
        <v>16.394061473944575</v>
      </c>
    </row>
    <row r="43" spans="1:9" ht="13.5" customHeight="1">
      <c r="A43" s="113"/>
      <c r="B43" s="82">
        <f t="shared" si="0"/>
        <v>2027</v>
      </c>
      <c r="C43" s="147"/>
      <c r="D43" s="692">
        <f>IF(ISERROR(VLOOKUP($B43, 'A1.3.9'!$B$26:$O$57,3,)),"",'A1.3.14'!$D$27 * VLOOKUP($B43, 'A1.3.9'!$B$26:$O$57,3,TRUE) + 'A1.3.14'!$D$28 * VLOOKUP($B43, 'A1.3.9'!$B$26:$O$57,4,TRUE) + 'A1.3.14'!$D$29 * VLOOKUP($B43, 'A1.3.9'!$B$26:$O$57,5,TRUE))</f>
        <v>4.6434404804148057</v>
      </c>
      <c r="E43" s="675">
        <f>IF(ISERROR(VLOOKUP($B43, 'A1.3.9'!$B$26:$O$57,3,)),"",'A1.3.14'!$E$27 * VLOOKUP($B43, 'A1.3.9'!$B$26:$O$57,3,TRUE) + 'A1.3.14'!$E$28 * VLOOKUP($B43, 'A1.3.9'!$B$26:$O$57,4,TRUE) + 'A1.3.14'!$E$29 * VLOOKUP($B43, 'A1.3.9'!$B$26:$O$57,5,TRUE))</f>
        <v>135.946</v>
      </c>
      <c r="F43" s="692">
        <f>IF(ISERROR(VLOOKUP($B43, 'A1.3.9'!$B$26:$O$57,3,)),"",'A1.3.14'!$D$30 * VLOOKUP($B43, 'A1.3.9'!$B$26:$O$57,3,TRUE) + 'A1.3.14'!$D$31 * VLOOKUP($B43, 'A1.3.9'!$B$26:$O$57,4,TRUE) + 'A1.3.14'!$D$32 * VLOOKUP($B43, 'A1.3.9'!$B$26:$O$57,5,TRUE))</f>
        <v>3.6182860204346055</v>
      </c>
      <c r="G43" s="675">
        <f>IF(ISERROR(VLOOKUP($B43, 'A1.3.9'!$B$26:$O$57,3,)),"",'A1.3.14'!$E$30 * VLOOKUP($B43, 'A1.3.9'!$B$26:$O$57,3,TRUE) + 'A1.3.14'!$E$31 * VLOOKUP($B43, 'A1.3.9'!$B$26:$O$57,4,TRUE) + 'A1.3.14'!$E$32 * VLOOKUP($B43, 'A1.3.9'!$B$26:$O$57,5,TRUE))</f>
        <v>0</v>
      </c>
      <c r="H43" s="692">
        <f>IF(AND(D43="",F43=""),"",((D43 * 'A1.3.4'!$J$27/100) + (F43 * (1 - 'A1.3.4'!$J$27/100))))</f>
        <v>3.7419119103997671</v>
      </c>
      <c r="I43" s="675">
        <f>IF(AND(E43="",G43=""),"",((E43 * 'A1.3.4'!$J$27/100) + (G43 * (100 - 'A1.3.4'!$J$27/100))))</f>
        <v>16.394061473944575</v>
      </c>
    </row>
    <row r="44" spans="1:9" ht="13.5" customHeight="1">
      <c r="A44" s="113"/>
      <c r="B44" s="82">
        <f t="shared" si="0"/>
        <v>2028</v>
      </c>
      <c r="C44" s="147"/>
      <c r="D44" s="692">
        <f>IF(ISERROR(VLOOKUP($B44, 'A1.3.9'!$B$26:$O$57,3,)),"",'A1.3.14'!$D$27 * VLOOKUP($B44, 'A1.3.9'!$B$26:$O$57,3,TRUE) + 'A1.3.14'!$D$28 * VLOOKUP($B44, 'A1.3.9'!$B$26:$O$57,4,TRUE) + 'A1.3.14'!$D$29 * VLOOKUP($B44, 'A1.3.9'!$B$26:$O$57,5,TRUE))</f>
        <v>4.574498445011943</v>
      </c>
      <c r="E44" s="675">
        <f>IF(ISERROR(VLOOKUP($B44, 'A1.3.9'!$B$26:$O$57,3,)),"",'A1.3.14'!$E$27 * VLOOKUP($B44, 'A1.3.9'!$B$26:$O$57,3,TRUE) + 'A1.3.14'!$E$28 * VLOOKUP($B44, 'A1.3.9'!$B$26:$O$57,4,TRUE) + 'A1.3.14'!$E$29 * VLOOKUP($B44, 'A1.3.9'!$B$26:$O$57,5,TRUE))</f>
        <v>135.946</v>
      </c>
      <c r="F44" s="692">
        <f>IF(ISERROR(VLOOKUP($B44, 'A1.3.9'!$B$26:$O$57,3,)),"",'A1.3.14'!$D$30 * VLOOKUP($B44, 'A1.3.9'!$B$26:$O$57,3,TRUE) + 'A1.3.14'!$D$31 * VLOOKUP($B44, 'A1.3.9'!$B$26:$O$57,4,TRUE) + 'A1.3.14'!$D$32 * VLOOKUP($B44, 'A1.3.9'!$B$26:$O$57,5,TRUE))</f>
        <v>3.5696157308052285</v>
      </c>
      <c r="G44" s="675">
        <f>IF(ISERROR(VLOOKUP($B44, 'A1.3.9'!$B$26:$O$57,3,)),"",'A1.3.14'!$E$30 * VLOOKUP($B44, 'A1.3.9'!$B$26:$O$57,3,TRUE) + 'A1.3.14'!$E$31 * VLOOKUP($B44, 'A1.3.9'!$B$26:$O$57,4,TRUE) + 'A1.3.14'!$E$32 * VLOOKUP($B44, 'A1.3.9'!$B$26:$O$57,5,TRUE))</f>
        <v>0</v>
      </c>
      <c r="H44" s="692">
        <f>IF(AND(D44="",F44=""),"",((D44 * 'A1.3.4'!$J$27/100) + (F44 * (1 - 'A1.3.4'!$J$27/100))))</f>
        <v>3.6907970012420872</v>
      </c>
      <c r="I44" s="675">
        <f>IF(AND(E44="",G44=""),"",((E44 * 'A1.3.4'!$J$27/100) + (G44 * (100 - 'A1.3.4'!$J$27/100))))</f>
        <v>16.394061473944575</v>
      </c>
    </row>
    <row r="45" spans="1:9" ht="13.5" customHeight="1">
      <c r="A45" s="113"/>
      <c r="B45" s="82">
        <f t="shared" si="0"/>
        <v>2029</v>
      </c>
      <c r="C45" s="147"/>
      <c r="D45" s="692">
        <f>IF(ISERROR(VLOOKUP($B45, 'A1.3.9'!$B$26:$O$57,3,)),"",'A1.3.14'!$D$27 * VLOOKUP($B45, 'A1.3.9'!$B$26:$O$57,3,TRUE) + 'A1.3.14'!$D$28 * VLOOKUP($B45, 'A1.3.9'!$B$26:$O$57,4,TRUE) + 'A1.3.14'!$D$29 * VLOOKUP($B45, 'A1.3.9'!$B$26:$O$57,5,TRUE))</f>
        <v>4.5015533628012756</v>
      </c>
      <c r="E45" s="675">
        <f>IF(ISERROR(VLOOKUP($B45, 'A1.3.9'!$B$26:$O$57,3,)),"",'A1.3.14'!$E$27 * VLOOKUP($B45, 'A1.3.9'!$B$26:$O$57,3,TRUE) + 'A1.3.14'!$E$28 * VLOOKUP($B45, 'A1.3.9'!$B$26:$O$57,4,TRUE) + 'A1.3.14'!$E$29 * VLOOKUP($B45, 'A1.3.9'!$B$26:$O$57,5,TRUE))</f>
        <v>135.946</v>
      </c>
      <c r="F45" s="692">
        <f>IF(ISERROR(VLOOKUP($B45, 'A1.3.9'!$B$26:$O$57,3,)),"",'A1.3.14'!$D$30 * VLOOKUP($B45, 'A1.3.9'!$B$26:$O$57,3,TRUE) + 'A1.3.14'!$D$31 * VLOOKUP($B45, 'A1.3.9'!$B$26:$O$57,4,TRUE) + 'A1.3.14'!$D$32 * VLOOKUP($B45, 'A1.3.9'!$B$26:$O$57,5,TRUE))</f>
        <v>3.5181194519749619</v>
      </c>
      <c r="G45" s="675">
        <f>IF(ISERROR(VLOOKUP($B45, 'A1.3.9'!$B$26:$O$57,3,)),"",'A1.3.14'!$E$30 * VLOOKUP($B45, 'A1.3.9'!$B$26:$O$57,3,TRUE) + 'A1.3.14'!$E$31 * VLOOKUP($B45, 'A1.3.9'!$B$26:$O$57,4,TRUE) + 'A1.3.14'!$E$32 * VLOOKUP($B45, 'A1.3.9'!$B$26:$O$57,5,TRUE))</f>
        <v>0</v>
      </c>
      <c r="H45" s="692">
        <f>IF(AND(D45="",F45=""),"",((D45 * 'A1.3.4'!$J$27/100) + (F45 * (1 - 'A1.3.4'!$J$27/100))))</f>
        <v>3.6367141586206033</v>
      </c>
      <c r="I45" s="675">
        <f>IF(AND(E45="",G45=""),"",((E45 * 'A1.3.4'!$J$27/100) + (G45 * (100 - 'A1.3.4'!$J$27/100))))</f>
        <v>16.394061473944575</v>
      </c>
    </row>
    <row r="46" spans="1:9" ht="13.5" customHeight="1">
      <c r="A46" s="113"/>
      <c r="B46" s="82">
        <f t="shared" si="0"/>
        <v>2030</v>
      </c>
      <c r="C46" s="147"/>
      <c r="D46" s="692">
        <f>IF(ISERROR(VLOOKUP($B46, 'A1.3.9'!$B$26:$O$57,3,)),"",'A1.3.14'!$D$27 * VLOOKUP($B46, 'A1.3.9'!$B$26:$O$57,3,TRUE) + 'A1.3.14'!$D$28 * VLOOKUP($B46, 'A1.3.9'!$B$26:$O$57,4,TRUE) + 'A1.3.14'!$D$29 * VLOOKUP($B46, 'A1.3.9'!$B$26:$O$57,5,TRUE))</f>
        <v>4.421521986431598</v>
      </c>
      <c r="E46" s="675">
        <f>IF(ISERROR(VLOOKUP($B46, 'A1.3.9'!$B$26:$O$57,3,)),"",'A1.3.14'!$E$27 * VLOOKUP($B46, 'A1.3.9'!$B$26:$O$57,3,TRUE) + 'A1.3.14'!$E$28 * VLOOKUP($B46, 'A1.3.9'!$B$26:$O$57,4,TRUE) + 'A1.3.14'!$E$29 * VLOOKUP($B46, 'A1.3.9'!$B$26:$O$57,5,TRUE))</f>
        <v>135.946</v>
      </c>
      <c r="F46" s="692">
        <f>IF(ISERROR(VLOOKUP($B46, 'A1.3.9'!$B$26:$O$57,3,)),"",'A1.3.14'!$D$30 * VLOOKUP($B46, 'A1.3.9'!$B$26:$O$57,3,TRUE) + 'A1.3.14'!$D$31 * VLOOKUP($B46, 'A1.3.9'!$B$26:$O$57,4,TRUE) + 'A1.3.14'!$D$32 * VLOOKUP($B46, 'A1.3.9'!$B$26:$O$57,5,TRUE))</f>
        <v>3.46162053597127</v>
      </c>
      <c r="G46" s="675">
        <f>IF(ISERROR(VLOOKUP($B46, 'A1.3.9'!$B$26:$O$57,3,)),"",'A1.3.14'!$E$30 * VLOOKUP($B46, 'A1.3.9'!$B$26:$O$57,3,TRUE) + 'A1.3.14'!$E$31 * VLOOKUP($B46, 'A1.3.9'!$B$26:$O$57,4,TRUE) + 'A1.3.14'!$E$32 * VLOOKUP($B46, 'A1.3.9'!$B$26:$O$57,5,TRUE))</f>
        <v>0</v>
      </c>
      <c r="H46" s="692">
        <f>IF(AND(D46="",F46=""),"",((D46 * 'A1.3.4'!$J$27/100) + (F46 * (1 - 'A1.3.4'!$J$27/100))))</f>
        <v>3.5773774055207617</v>
      </c>
      <c r="I46" s="675">
        <f>IF(AND(E46="",G46=""),"",((E46 * 'A1.3.4'!$J$27/100) + (G46 * (100 - 'A1.3.4'!$J$27/100))))</f>
        <v>16.394061473944575</v>
      </c>
    </row>
    <row r="47" spans="1:9" ht="13.5" customHeight="1">
      <c r="A47" s="113"/>
      <c r="B47" s="82">
        <f t="shared" si="0"/>
        <v>2031</v>
      </c>
      <c r="C47" s="147"/>
      <c r="D47" s="692">
        <f>IF(ISERROR(VLOOKUP($B47, 'A1.3.9'!$B$26:$O$57,3,)),"",'A1.3.14'!$D$27 * VLOOKUP($B47, 'A1.3.9'!$B$26:$O$57,3,TRUE) + 'A1.3.14'!$D$28 * VLOOKUP($B47, 'A1.3.9'!$B$26:$O$57,4,TRUE) + 'A1.3.14'!$D$29 * VLOOKUP($B47, 'A1.3.9'!$B$26:$O$57,5,TRUE))</f>
        <v>4.3427459090371077</v>
      </c>
      <c r="E47" s="675">
        <f>IF(ISERROR(VLOOKUP($B47, 'A1.3.9'!$B$26:$O$57,3,)),"",'A1.3.14'!$E$27 * VLOOKUP($B47, 'A1.3.9'!$B$26:$O$57,3,TRUE) + 'A1.3.14'!$E$28 * VLOOKUP($B47, 'A1.3.9'!$B$26:$O$57,4,TRUE) + 'A1.3.14'!$E$29 * VLOOKUP($B47, 'A1.3.9'!$B$26:$O$57,5,TRUE))</f>
        <v>135.94600000000003</v>
      </c>
      <c r="F47" s="692">
        <f>IF(ISERROR(VLOOKUP($B47, 'A1.3.9'!$B$26:$O$57,3,)),"",'A1.3.14'!$D$30 * VLOOKUP($B47, 'A1.3.9'!$B$26:$O$57,3,TRUE) + 'A1.3.14'!$D$31 * VLOOKUP($B47, 'A1.3.9'!$B$26:$O$57,4,TRUE) + 'A1.3.14'!$D$32 * VLOOKUP($B47, 'A1.3.9'!$B$26:$O$57,5,TRUE))</f>
        <v>3.4060078102916211</v>
      </c>
      <c r="G47" s="675">
        <f>IF(ISERROR(VLOOKUP($B47, 'A1.3.9'!$B$26:$O$57,3,)),"",'A1.3.14'!$E$30 * VLOOKUP($B47, 'A1.3.9'!$B$26:$O$57,3,TRUE) + 'A1.3.14'!$E$31 * VLOOKUP($B47, 'A1.3.9'!$B$26:$O$57,4,TRUE) + 'A1.3.14'!$E$32 * VLOOKUP($B47, 'A1.3.9'!$B$26:$O$57,5,TRUE))</f>
        <v>0</v>
      </c>
      <c r="H47" s="692">
        <f>IF(AND(D47="",F47=""),"",((D47 * 'A1.3.4'!$J$27/100) + (F47 * (1 - 'A1.3.4'!$J$27/100))))</f>
        <v>3.5189713544622441</v>
      </c>
      <c r="I47" s="675">
        <f>IF(AND(E47="",G47=""),"",((E47 * 'A1.3.4'!$J$27/100) + (G47 * (100 - 'A1.3.4'!$J$27/100))))</f>
        <v>16.394061473944575</v>
      </c>
    </row>
    <row r="48" spans="1:9" ht="13.5" customHeight="1">
      <c r="A48" s="113"/>
      <c r="B48" s="82">
        <f t="shared" si="0"/>
        <v>2032</v>
      </c>
      <c r="C48" s="147"/>
      <c r="D48" s="692">
        <f>IF(ISERROR(VLOOKUP($B48, 'A1.3.9'!$B$26:$O$57,3,)),"",'A1.3.14'!$D$27 * VLOOKUP($B48, 'A1.3.9'!$B$26:$O$57,3,TRUE) + 'A1.3.14'!$D$28 * VLOOKUP($B48, 'A1.3.9'!$B$26:$O$57,4,TRUE) + 'A1.3.14'!$D$29 * VLOOKUP($B48, 'A1.3.9'!$B$26:$O$57,5,TRUE))</f>
        <v>4.265396615277627</v>
      </c>
      <c r="E48" s="675">
        <f>IF(ISERROR(VLOOKUP($B48, 'A1.3.9'!$B$26:$O$57,3,)),"",'A1.3.14'!$E$27 * VLOOKUP($B48, 'A1.3.9'!$B$26:$O$57,3,TRUE) + 'A1.3.14'!$E$28 * VLOOKUP($B48, 'A1.3.9'!$B$26:$O$57,4,TRUE) + 'A1.3.14'!$E$29 * VLOOKUP($B48, 'A1.3.9'!$B$26:$O$57,5,TRUE))</f>
        <v>135.94600000000003</v>
      </c>
      <c r="F48" s="692">
        <f>IF(ISERROR(VLOOKUP($B48, 'A1.3.9'!$B$26:$O$57,3,)),"",'A1.3.14'!$D$30 * VLOOKUP($B48, 'A1.3.9'!$B$26:$O$57,3,TRUE) + 'A1.3.14'!$D$31 * VLOOKUP($B48, 'A1.3.9'!$B$26:$O$57,4,TRUE) + 'A1.3.14'!$D$32 * VLOOKUP($B48, 'A1.3.9'!$B$26:$O$57,5,TRUE))</f>
        <v>3.3514023361726282</v>
      </c>
      <c r="G48" s="675">
        <f>IF(ISERROR(VLOOKUP($B48, 'A1.3.9'!$B$26:$O$57,3,)),"",'A1.3.14'!$E$30 * VLOOKUP($B48, 'A1.3.9'!$B$26:$O$57,3,TRUE) + 'A1.3.14'!$E$31 * VLOOKUP($B48, 'A1.3.9'!$B$26:$O$57,4,TRUE) + 'A1.3.14'!$E$32 * VLOOKUP($B48, 'A1.3.9'!$B$26:$O$57,5,TRUE))</f>
        <v>0</v>
      </c>
      <c r="H48" s="692">
        <f>IF(AND(D48="",F48=""),"",((D48 * 'A1.3.4'!$J$27/100) + (F48 * (1 - 'A1.3.4'!$J$27/100))))</f>
        <v>3.4616231473659038</v>
      </c>
      <c r="I48" s="675">
        <f>IF(AND(E48="",G48=""),"",((E48 * 'A1.3.4'!$J$27/100) + (G48 * (100 - 'A1.3.4'!$J$27/100))))</f>
        <v>16.394061473944575</v>
      </c>
    </row>
    <row r="49" spans="1:9" ht="13.5" customHeight="1">
      <c r="A49" s="113"/>
      <c r="B49" s="82">
        <f t="shared" si="0"/>
        <v>2033</v>
      </c>
      <c r="C49" s="147"/>
      <c r="D49" s="692">
        <f>IF(ISERROR(VLOOKUP($B49, 'A1.3.9'!$B$26:$O$57,3,)),"",'A1.3.14'!$D$27 * VLOOKUP($B49, 'A1.3.9'!$B$26:$O$57,3,TRUE) + 'A1.3.14'!$D$28 * VLOOKUP($B49, 'A1.3.9'!$B$26:$O$57,4,TRUE) + 'A1.3.14'!$D$29 * VLOOKUP($B49, 'A1.3.9'!$B$26:$O$57,5,TRUE))</f>
        <v>4.1896679723243926</v>
      </c>
      <c r="E49" s="675">
        <f>IF(ISERROR(VLOOKUP($B49, 'A1.3.9'!$B$26:$O$57,3,)),"",'A1.3.14'!$E$27 * VLOOKUP($B49, 'A1.3.9'!$B$26:$O$57,3,TRUE) + 'A1.3.14'!$E$28 * VLOOKUP($B49, 'A1.3.9'!$B$26:$O$57,4,TRUE) + 'A1.3.14'!$E$29 * VLOOKUP($B49, 'A1.3.9'!$B$26:$O$57,5,TRUE))</f>
        <v>135.94599999999997</v>
      </c>
      <c r="F49" s="692">
        <f>IF(ISERROR(VLOOKUP($B49, 'A1.3.9'!$B$26:$O$57,3,)),"",'A1.3.14'!$D$30 * VLOOKUP($B49, 'A1.3.9'!$B$26:$O$57,3,TRUE) + 'A1.3.14'!$D$31 * VLOOKUP($B49, 'A1.3.9'!$B$26:$O$57,4,TRUE) + 'A1.3.14'!$D$32 * VLOOKUP($B49, 'A1.3.9'!$B$26:$O$57,5,TRUE))</f>
        <v>3.2979409759990261</v>
      </c>
      <c r="G49" s="675">
        <f>IF(ISERROR(VLOOKUP($B49, 'A1.3.9'!$B$26:$O$57,3,)),"",'A1.3.14'!$E$30 * VLOOKUP($B49, 'A1.3.9'!$B$26:$O$57,3,TRUE) + 'A1.3.14'!$E$31 * VLOOKUP($B49, 'A1.3.9'!$B$26:$O$57,4,TRUE) + 'A1.3.14'!$E$32 * VLOOKUP($B49, 'A1.3.9'!$B$26:$O$57,5,TRUE))</f>
        <v>0</v>
      </c>
      <c r="H49" s="692">
        <f>IF(AND(D49="",F49=""),"",((D49 * 'A1.3.4'!$J$27/100) + (F49 * (1 - 'A1.3.4'!$J$27/100))))</f>
        <v>3.405476520963453</v>
      </c>
      <c r="I49" s="675">
        <f>IF(AND(E49="",G49=""),"",((E49 * 'A1.3.4'!$J$27/100) + (G49 * (100 - 'A1.3.4'!$J$27/100))))</f>
        <v>16.394061473944568</v>
      </c>
    </row>
    <row r="50" spans="1:9" ht="13.5" customHeight="1">
      <c r="A50" s="113"/>
      <c r="B50" s="82">
        <f t="shared" si="0"/>
        <v>2034</v>
      </c>
      <c r="C50" s="147"/>
      <c r="D50" s="692">
        <f>IF(ISERROR(VLOOKUP($B50, 'A1.3.9'!$B$26:$O$57,3,)),"",'A1.3.14'!$D$27 * VLOOKUP($B50, 'A1.3.9'!$B$26:$O$57,3,TRUE) + 'A1.3.14'!$D$28 * VLOOKUP($B50, 'A1.3.9'!$B$26:$O$57,4,TRUE) + 'A1.3.14'!$D$29 * VLOOKUP($B50, 'A1.3.9'!$B$26:$O$57,5,TRUE))</f>
        <v>4.1149485279560913</v>
      </c>
      <c r="E50" s="675">
        <f>IF(ISERROR(VLOOKUP($B50, 'A1.3.9'!$B$26:$O$57,3,)),"",'A1.3.14'!$E$27 * VLOOKUP($B50, 'A1.3.9'!$B$26:$O$57,3,TRUE) + 'A1.3.14'!$E$28 * VLOOKUP($B50, 'A1.3.9'!$B$26:$O$57,4,TRUE) + 'A1.3.14'!$E$29 * VLOOKUP($B50, 'A1.3.9'!$B$26:$O$57,5,TRUE))</f>
        <v>135.94599999999997</v>
      </c>
      <c r="F50" s="692">
        <f>IF(ISERROR(VLOOKUP($B50, 'A1.3.9'!$B$26:$O$57,3,)),"",'A1.3.14'!$D$30 * VLOOKUP($B50, 'A1.3.9'!$B$26:$O$57,3,TRUE) + 'A1.3.14'!$D$31 * VLOOKUP($B50, 'A1.3.9'!$B$26:$O$57,4,TRUE) + 'A1.3.14'!$D$32 * VLOOKUP($B50, 'A1.3.9'!$B$26:$O$57,5,TRUE))</f>
        <v>3.2451920692239247</v>
      </c>
      <c r="G50" s="675">
        <f>IF(ISERROR(VLOOKUP($B50, 'A1.3.9'!$B$26:$O$57,3,)),"",'A1.3.14'!$E$30 * VLOOKUP($B50, 'A1.3.9'!$B$26:$O$57,3,TRUE) + 'A1.3.14'!$E$31 * VLOOKUP($B50, 'A1.3.9'!$B$26:$O$57,4,TRUE) + 'A1.3.14'!$E$32 * VLOOKUP($B50, 'A1.3.9'!$B$26:$O$57,5,TRUE))</f>
        <v>0</v>
      </c>
      <c r="H50" s="692">
        <f>IF(AND(D50="",F50=""),"",((D50 * 'A1.3.4'!$J$27/100) + (F50 * (1 - 'A1.3.4'!$J$27/100))))</f>
        <v>3.3500781331891427</v>
      </c>
      <c r="I50" s="675">
        <f>IF(AND(E50="",G50=""),"",((E50 * 'A1.3.4'!$J$27/100) + (G50 * (100 - 'A1.3.4'!$J$27/100))))</f>
        <v>16.394061473944568</v>
      </c>
    </row>
    <row r="51" spans="1:9" ht="13.5" customHeight="1">
      <c r="A51" s="113"/>
      <c r="B51" s="82">
        <f t="shared" si="0"/>
        <v>2035</v>
      </c>
      <c r="C51" s="147"/>
      <c r="D51" s="692">
        <f>IF(ISERROR(VLOOKUP($B51, 'A1.3.9'!$B$26:$O$57,3,)),"",'A1.3.14'!$D$27 * VLOOKUP($B51, 'A1.3.9'!$B$26:$O$57,3,TRUE) + 'A1.3.14'!$D$28 * VLOOKUP($B51, 'A1.3.9'!$B$26:$O$57,4,TRUE) + 'A1.3.14'!$D$29 * VLOOKUP($B51, 'A1.3.9'!$B$26:$O$57,5,TRUE))</f>
        <v>4.0425633889616162</v>
      </c>
      <c r="E51" s="675">
        <f>IF(ISERROR(VLOOKUP($B51, 'A1.3.9'!$B$26:$O$57,3,)),"",'A1.3.14'!$E$27 * VLOOKUP($B51, 'A1.3.9'!$B$26:$O$57,3,TRUE) + 'A1.3.14'!$E$28 * VLOOKUP($B51, 'A1.3.9'!$B$26:$O$57,4,TRUE) + 'A1.3.14'!$E$29 * VLOOKUP($B51, 'A1.3.9'!$B$26:$O$57,5,TRUE))</f>
        <v>135.94599999999997</v>
      </c>
      <c r="F51" s="692">
        <f>IF(ISERROR(VLOOKUP($B51, 'A1.3.9'!$B$26:$O$57,3,)),"",'A1.3.14'!$D$30 * VLOOKUP($B51, 'A1.3.9'!$B$26:$O$57,3,TRUE) + 'A1.3.14'!$D$31 * VLOOKUP($B51, 'A1.3.9'!$B$26:$O$57,4,TRUE) + 'A1.3.14'!$D$32 * VLOOKUP($B51, 'A1.3.9'!$B$26:$O$57,5,TRUE))</f>
        <v>3.1940910876654733</v>
      </c>
      <c r="G51" s="675">
        <f>IF(ISERROR(VLOOKUP($B51, 'A1.3.9'!$B$26:$O$57,3,)),"",'A1.3.14'!$E$30 * VLOOKUP($B51, 'A1.3.9'!$B$26:$O$57,3,TRUE) + 'A1.3.14'!$E$31 * VLOOKUP($B51, 'A1.3.9'!$B$26:$O$57,4,TRUE) + 'A1.3.14'!$E$32 * VLOOKUP($B51, 'A1.3.9'!$B$26:$O$57,5,TRUE))</f>
        <v>0</v>
      </c>
      <c r="H51" s="692">
        <f>IF(AND(D51="",F51=""),"",((D51 * 'A1.3.4'!$J$27/100) + (F51 * (1 - 'A1.3.4'!$J$27/100))))</f>
        <v>3.2964104428976113</v>
      </c>
      <c r="I51" s="675">
        <f>IF(AND(E51="",G51=""),"",((E51 * 'A1.3.4'!$J$27/100) + (G51 * (100 - 'A1.3.4'!$J$27/100))))</f>
        <v>16.394061473944568</v>
      </c>
    </row>
    <row r="52" spans="1:9" ht="13.5" customHeight="1">
      <c r="A52" s="113"/>
      <c r="B52" s="82">
        <f t="shared" si="0"/>
        <v>2036</v>
      </c>
      <c r="C52" s="147"/>
      <c r="D52" s="692" t="str">
        <f>IF(ISERROR(VLOOKUP($B52, 'A1.3.9'!$B$26:$O$57,3,)),"",'A1.3.14'!$D$27 * VLOOKUP($B52, 'A1.3.9'!$B$26:$O$57,3,TRUE) + 'A1.3.14'!$D$28 * VLOOKUP($B52, 'A1.3.9'!$B$26:$O$57,4,TRUE) + 'A1.3.14'!$D$29 * VLOOKUP($B52, 'A1.3.9'!$B$26:$O$57,5,TRUE))</f>
        <v/>
      </c>
      <c r="E52" s="675" t="str">
        <f>IF(ISERROR(VLOOKUP($B52, 'A1.3.9'!$B$26:$O$57,3,)),"",'A1.3.14'!$E$27 * VLOOKUP($B52, 'A1.3.9'!$B$26:$O$57,3,TRUE) + 'A1.3.14'!$E$28 * VLOOKUP($B52, 'A1.3.9'!$B$26:$O$57,4,TRUE) + 'A1.3.14'!$E$29 * VLOOKUP($B52, 'A1.3.9'!$B$26:$O$57,5,TRUE))</f>
        <v/>
      </c>
      <c r="F52" s="692" t="str">
        <f>IF(ISERROR(VLOOKUP($B52, 'A1.3.9'!$B$26:$O$57,3,)),"",'A1.3.14'!$D$30 * VLOOKUP($B52, 'A1.3.9'!$B$26:$O$57,3,TRUE) + 'A1.3.14'!$D$31 * VLOOKUP($B52, 'A1.3.9'!$B$26:$O$57,4,TRUE) + 'A1.3.14'!$D$32 * VLOOKUP($B52, 'A1.3.9'!$B$26:$O$57,5,TRUE))</f>
        <v/>
      </c>
      <c r="G52" s="675" t="str">
        <f>IF(ISERROR(VLOOKUP($B52, 'A1.3.9'!$B$26:$O$57,3,)),"",'A1.3.14'!$E$30 * VLOOKUP($B52, 'A1.3.9'!$B$26:$O$57,3,TRUE) + 'A1.3.14'!$E$31 * VLOOKUP($B52, 'A1.3.9'!$B$26:$O$57,4,TRUE) + 'A1.3.14'!$E$32 * VLOOKUP($B52, 'A1.3.9'!$B$26:$O$57,5,TRUE))</f>
        <v/>
      </c>
      <c r="H52" s="692" t="str">
        <f>IF(AND(D52="",F52=""),"",((D52 * 'A1.3.4'!$J$27/100) + (F52 * (1 - 'A1.3.4'!$J$27/100))))</f>
        <v/>
      </c>
      <c r="I52" s="675" t="str">
        <f>IF(AND(E52="",G52=""),"",((E52 * 'A1.3.4'!$J$27/100) + (G52 * (100 - 'A1.3.4'!$J$27/100))))</f>
        <v/>
      </c>
    </row>
    <row r="53" spans="1:9" ht="13.5" customHeight="1">
      <c r="A53" s="113"/>
      <c r="B53" s="82">
        <f t="shared" si="0"/>
        <v>2037</v>
      </c>
      <c r="C53" s="147"/>
      <c r="D53" s="692" t="str">
        <f>IF(ISERROR(VLOOKUP($B53, 'A1.3.9'!$B$26:$O$57,3,)),"",'A1.3.14'!$D$27 * VLOOKUP($B53, 'A1.3.9'!$B$26:$O$57,3,TRUE) + 'A1.3.14'!$D$28 * VLOOKUP($B53, 'A1.3.9'!$B$26:$O$57,4,TRUE) + 'A1.3.14'!$D$29 * VLOOKUP($B53, 'A1.3.9'!$B$26:$O$57,5,TRUE))</f>
        <v/>
      </c>
      <c r="E53" s="675" t="str">
        <f>IF(ISERROR(VLOOKUP($B53, 'A1.3.9'!$B$26:$O$57,3,)),"",'A1.3.14'!$E$27 * VLOOKUP($B53, 'A1.3.9'!$B$26:$O$57,3,TRUE) + 'A1.3.14'!$E$28 * VLOOKUP($B53, 'A1.3.9'!$B$26:$O$57,4,TRUE) + 'A1.3.14'!$E$29 * VLOOKUP($B53, 'A1.3.9'!$B$26:$O$57,5,TRUE))</f>
        <v/>
      </c>
      <c r="F53" s="692" t="str">
        <f>IF(ISERROR(VLOOKUP($B53, 'A1.3.9'!$B$26:$O$57,3,)),"",'A1.3.14'!$D$30 * VLOOKUP($B53, 'A1.3.9'!$B$26:$O$57,3,TRUE) + 'A1.3.14'!$D$31 * VLOOKUP($B53, 'A1.3.9'!$B$26:$O$57,4,TRUE) + 'A1.3.14'!$D$32 * VLOOKUP($B53, 'A1.3.9'!$B$26:$O$57,5,TRUE))</f>
        <v/>
      </c>
      <c r="G53" s="675" t="str">
        <f>IF(ISERROR(VLOOKUP($B53, 'A1.3.9'!$B$26:$O$57,3,)),"",'A1.3.14'!$E$30 * VLOOKUP($B53, 'A1.3.9'!$B$26:$O$57,3,TRUE) + 'A1.3.14'!$E$31 * VLOOKUP($B53, 'A1.3.9'!$B$26:$O$57,4,TRUE) + 'A1.3.14'!$E$32 * VLOOKUP($B53, 'A1.3.9'!$B$26:$O$57,5,TRUE))</f>
        <v/>
      </c>
      <c r="H53" s="692" t="str">
        <f>IF(AND(D53="",F53=""),"",((D53 * 'A1.3.4'!$J$27/100) + (F53 * (1 - 'A1.3.4'!$J$27/100))))</f>
        <v/>
      </c>
      <c r="I53" s="675" t="str">
        <f>IF(AND(E53="",G53=""),"",((E53 * 'A1.3.4'!$J$27/100) + (G53 * (100 - 'A1.3.4'!$J$27/100))))</f>
        <v/>
      </c>
    </row>
    <row r="54" spans="1:9" ht="13.5" customHeight="1">
      <c r="A54" s="113"/>
      <c r="B54" s="82">
        <f t="shared" si="0"/>
        <v>2038</v>
      </c>
      <c r="C54" s="147"/>
      <c r="D54" s="692" t="str">
        <f>IF(ISERROR(VLOOKUP($B54, 'A1.3.9'!$B$26:$O$57,3,)),"",'A1.3.14'!$D$27 * VLOOKUP($B54, 'A1.3.9'!$B$26:$O$57,3,TRUE) + 'A1.3.14'!$D$28 * VLOOKUP($B54, 'A1.3.9'!$B$26:$O$57,4,TRUE) + 'A1.3.14'!$D$29 * VLOOKUP($B54, 'A1.3.9'!$B$26:$O$57,5,TRUE))</f>
        <v/>
      </c>
      <c r="E54" s="675" t="str">
        <f>IF(ISERROR(VLOOKUP($B54, 'A1.3.9'!$B$26:$O$57,3,)),"",'A1.3.14'!$E$27 * VLOOKUP($B54, 'A1.3.9'!$B$26:$O$57,3,TRUE) + 'A1.3.14'!$E$28 * VLOOKUP($B54, 'A1.3.9'!$B$26:$O$57,4,TRUE) + 'A1.3.14'!$E$29 * VLOOKUP($B54, 'A1.3.9'!$B$26:$O$57,5,TRUE))</f>
        <v/>
      </c>
      <c r="F54" s="692" t="str">
        <f>IF(ISERROR(VLOOKUP($B54, 'A1.3.9'!$B$26:$O$57,3,)),"",'A1.3.14'!$D$30 * VLOOKUP($B54, 'A1.3.9'!$B$26:$O$57,3,TRUE) + 'A1.3.14'!$D$31 * VLOOKUP($B54, 'A1.3.9'!$B$26:$O$57,4,TRUE) + 'A1.3.14'!$D$32 * VLOOKUP($B54, 'A1.3.9'!$B$26:$O$57,5,TRUE))</f>
        <v/>
      </c>
      <c r="G54" s="675" t="str">
        <f>IF(ISERROR(VLOOKUP($B54, 'A1.3.9'!$B$26:$O$57,3,)),"",'A1.3.14'!$E$30 * VLOOKUP($B54, 'A1.3.9'!$B$26:$O$57,3,TRUE) + 'A1.3.14'!$E$31 * VLOOKUP($B54, 'A1.3.9'!$B$26:$O$57,4,TRUE) + 'A1.3.14'!$E$32 * VLOOKUP($B54, 'A1.3.9'!$B$26:$O$57,5,TRUE))</f>
        <v/>
      </c>
      <c r="H54" s="692" t="str">
        <f>IF(AND(D54="",F54=""),"",((D54 * 'A1.3.4'!$J$27/100) + (F54 * (1 - 'A1.3.4'!$J$27/100))))</f>
        <v/>
      </c>
      <c r="I54" s="675" t="str">
        <f>IF(AND(E54="",G54=""),"",((E54 * 'A1.3.4'!$J$27/100) + (G54 * (100 - 'A1.3.4'!$J$27/100))))</f>
        <v/>
      </c>
    </row>
    <row r="55" spans="1:9" ht="13.5" customHeight="1">
      <c r="A55" s="113"/>
      <c r="B55" s="82">
        <f t="shared" si="0"/>
        <v>2039</v>
      </c>
      <c r="C55" s="147"/>
      <c r="D55" s="692" t="str">
        <f>IF(ISERROR(VLOOKUP($B55, 'A1.3.9'!$B$26:$O$57,3,)),"",'A1.3.14'!$D$27 * VLOOKUP($B55, 'A1.3.9'!$B$26:$O$57,3,TRUE) + 'A1.3.14'!$D$28 * VLOOKUP($B55, 'A1.3.9'!$B$26:$O$57,4,TRUE) + 'A1.3.14'!$D$29 * VLOOKUP($B55, 'A1.3.9'!$B$26:$O$57,5,TRUE))</f>
        <v/>
      </c>
      <c r="E55" s="675" t="str">
        <f>IF(ISERROR(VLOOKUP($B55, 'A1.3.9'!$B$26:$O$57,3,)),"",'A1.3.14'!$E$27 * VLOOKUP($B55, 'A1.3.9'!$B$26:$O$57,3,TRUE) + 'A1.3.14'!$E$28 * VLOOKUP($B55, 'A1.3.9'!$B$26:$O$57,4,TRUE) + 'A1.3.14'!$E$29 * VLOOKUP($B55, 'A1.3.9'!$B$26:$O$57,5,TRUE))</f>
        <v/>
      </c>
      <c r="F55" s="692" t="str">
        <f>IF(ISERROR(VLOOKUP($B55, 'A1.3.9'!$B$26:$O$57,3,)),"",'A1.3.14'!$D$30 * VLOOKUP($B55, 'A1.3.9'!$B$26:$O$57,3,TRUE) + 'A1.3.14'!$D$31 * VLOOKUP($B55, 'A1.3.9'!$B$26:$O$57,4,TRUE) + 'A1.3.14'!$D$32 * VLOOKUP($B55, 'A1.3.9'!$B$26:$O$57,5,TRUE))</f>
        <v/>
      </c>
      <c r="G55" s="675" t="str">
        <f>IF(ISERROR(VLOOKUP($B55, 'A1.3.9'!$B$26:$O$57,3,)),"",'A1.3.14'!$E$30 * VLOOKUP($B55, 'A1.3.9'!$B$26:$O$57,3,TRUE) + 'A1.3.14'!$E$31 * VLOOKUP($B55, 'A1.3.9'!$B$26:$O$57,4,TRUE) + 'A1.3.14'!$E$32 * VLOOKUP($B55, 'A1.3.9'!$B$26:$O$57,5,TRUE))</f>
        <v/>
      </c>
      <c r="H55" s="692" t="str">
        <f>IF(AND(D55="",F55=""),"",((D55 * 'A1.3.4'!$J$27/100) + (F55 * (1 - 'A1.3.4'!$J$27/100))))</f>
        <v/>
      </c>
      <c r="I55" s="675" t="str">
        <f>IF(AND(E55="",G55=""),"",((E55 * 'A1.3.4'!$J$27/100) + (G55 * (100 - 'A1.3.4'!$J$27/100))))</f>
        <v/>
      </c>
    </row>
    <row r="56" spans="1:9" ht="13.5" customHeight="1">
      <c r="A56" s="113"/>
      <c r="B56" s="82">
        <f t="shared" si="0"/>
        <v>2040</v>
      </c>
      <c r="C56" s="147"/>
      <c r="D56" s="692" t="str">
        <f>IF(ISERROR(VLOOKUP($B56, 'A1.3.9'!$B$26:$O$57,3,)),"",'A1.3.14'!$D$27 * VLOOKUP($B56, 'A1.3.9'!$B$26:$O$57,3,TRUE) + 'A1.3.14'!$D$28 * VLOOKUP($B56, 'A1.3.9'!$B$26:$O$57,4,TRUE) + 'A1.3.14'!$D$29 * VLOOKUP($B56, 'A1.3.9'!$B$26:$O$57,5,TRUE))</f>
        <v/>
      </c>
      <c r="E56" s="675" t="str">
        <f>IF(ISERROR(VLOOKUP($B56, 'A1.3.9'!$B$26:$O$57,3,)),"",'A1.3.14'!$E$27 * VLOOKUP($B56, 'A1.3.9'!$B$26:$O$57,3,TRUE) + 'A1.3.14'!$E$28 * VLOOKUP($B56, 'A1.3.9'!$B$26:$O$57,4,TRUE) + 'A1.3.14'!$E$29 * VLOOKUP($B56, 'A1.3.9'!$B$26:$O$57,5,TRUE))</f>
        <v/>
      </c>
      <c r="F56" s="692" t="str">
        <f>IF(ISERROR(VLOOKUP($B56, 'A1.3.9'!$B$26:$O$57,3,)),"",'A1.3.14'!$D$30 * VLOOKUP($B56, 'A1.3.9'!$B$26:$O$57,3,TRUE) + 'A1.3.14'!$D$31 * VLOOKUP($B56, 'A1.3.9'!$B$26:$O$57,4,TRUE) + 'A1.3.14'!$D$32 * VLOOKUP($B56, 'A1.3.9'!$B$26:$O$57,5,TRUE))</f>
        <v/>
      </c>
      <c r="G56" s="675" t="str">
        <f>IF(ISERROR(VLOOKUP($B56, 'A1.3.9'!$B$26:$O$57,3,)),"",'A1.3.14'!$E$30 * VLOOKUP($B56, 'A1.3.9'!$B$26:$O$57,3,TRUE) + 'A1.3.14'!$E$31 * VLOOKUP($B56, 'A1.3.9'!$B$26:$O$57,4,TRUE) + 'A1.3.14'!$E$32 * VLOOKUP($B56, 'A1.3.9'!$B$26:$O$57,5,TRUE))</f>
        <v/>
      </c>
      <c r="H56" s="692" t="str">
        <f>IF(AND(D56="",F56=""),"",((D56 * 'A1.3.4'!$J$27/100) + (F56 * (1 - 'A1.3.4'!$J$27/100))))</f>
        <v/>
      </c>
      <c r="I56" s="675" t="str">
        <f>IF(AND(E56="",G56=""),"",((E56 * 'A1.3.4'!$J$27/100) + (G56 * (100 - 'A1.3.4'!$J$27/100))))</f>
        <v/>
      </c>
    </row>
    <row r="57" spans="1:9" ht="13.5" customHeight="1">
      <c r="A57" s="113"/>
      <c r="B57" s="82">
        <f t="shared" si="0"/>
        <v>2041</v>
      </c>
      <c r="C57" s="147"/>
      <c r="D57" s="692" t="str">
        <f>IF(ISERROR(VLOOKUP($B57, 'A1.3.9'!$B$26:$O$57,3,)),"",'A1.3.14'!$D$27 * VLOOKUP($B57, 'A1.3.9'!$B$26:$O$57,3,TRUE) + 'A1.3.14'!$D$28 * VLOOKUP($B57, 'A1.3.9'!$B$26:$O$57,4,TRUE) + 'A1.3.14'!$D$29 * VLOOKUP($B57, 'A1.3.9'!$B$26:$O$57,5,TRUE))</f>
        <v/>
      </c>
      <c r="E57" s="675" t="str">
        <f>IF(ISERROR(VLOOKUP($B57, 'A1.3.9'!$B$26:$O$57,3,)),"",'A1.3.14'!$E$27 * VLOOKUP($B57, 'A1.3.9'!$B$26:$O$57,3,TRUE) + 'A1.3.14'!$E$28 * VLOOKUP($B57, 'A1.3.9'!$B$26:$O$57,4,TRUE) + 'A1.3.14'!$E$29 * VLOOKUP($B57, 'A1.3.9'!$B$26:$O$57,5,TRUE))</f>
        <v/>
      </c>
      <c r="F57" s="692" t="str">
        <f>IF(ISERROR(VLOOKUP($B57, 'A1.3.9'!$B$26:$O$57,3,)),"",'A1.3.14'!$D$30 * VLOOKUP($B57, 'A1.3.9'!$B$26:$O$57,3,TRUE) + 'A1.3.14'!$D$31 * VLOOKUP($B57, 'A1.3.9'!$B$26:$O$57,4,TRUE) + 'A1.3.14'!$D$32 * VLOOKUP($B57, 'A1.3.9'!$B$26:$O$57,5,TRUE))</f>
        <v/>
      </c>
      <c r="G57" s="675" t="str">
        <f>IF(ISERROR(VLOOKUP($B57, 'A1.3.9'!$B$26:$O$57,3,)),"",'A1.3.14'!$E$30 * VLOOKUP($B57, 'A1.3.9'!$B$26:$O$57,3,TRUE) + 'A1.3.14'!$E$31 * VLOOKUP($B57, 'A1.3.9'!$B$26:$O$57,4,TRUE) + 'A1.3.14'!$E$32 * VLOOKUP($B57, 'A1.3.9'!$B$26:$O$57,5,TRUE))</f>
        <v/>
      </c>
      <c r="H57" s="692" t="str">
        <f>IF(AND(D57="",F57=""),"",((D57 * 'A1.3.4'!$J$27/100) + (F57 * (1 - 'A1.3.4'!$J$27/100))))</f>
        <v/>
      </c>
      <c r="I57" s="675" t="str">
        <f>IF(AND(E57="",G57=""),"",((E57 * 'A1.3.4'!$J$27/100) + (G57 * (100 - 'A1.3.4'!$J$27/100))))</f>
        <v/>
      </c>
    </row>
    <row r="58" spans="1:9" ht="13.5" customHeight="1">
      <c r="A58" s="113"/>
      <c r="B58" s="82">
        <f>B57+1</f>
        <v>2042</v>
      </c>
      <c r="C58" s="147"/>
      <c r="D58" s="692" t="str">
        <f>IF(ISERROR(VLOOKUP($B58, 'A1.3.9'!$B$26:$O$57,3,)),"",'A1.3.14'!$D$27 * VLOOKUP($B58, 'A1.3.9'!$B$26:$O$57,3,TRUE) + 'A1.3.14'!$D$28 * VLOOKUP($B58, 'A1.3.9'!$B$26:$O$57,4,TRUE) + 'A1.3.14'!$D$29 * VLOOKUP($B58, 'A1.3.9'!$B$26:$O$57,5,TRUE))</f>
        <v/>
      </c>
      <c r="E58" s="675" t="str">
        <f>IF(ISERROR(VLOOKUP($B58, 'A1.3.9'!$B$26:$O$57,3,)),"",'A1.3.14'!$E$27 * VLOOKUP($B58, 'A1.3.9'!$B$26:$O$57,3,TRUE) + 'A1.3.14'!$E$28 * VLOOKUP($B58, 'A1.3.9'!$B$26:$O$57,4,TRUE) + 'A1.3.14'!$E$29 * VLOOKUP($B58, 'A1.3.9'!$B$26:$O$57,5,TRUE))</f>
        <v/>
      </c>
      <c r="F58" s="692" t="str">
        <f>IF(ISERROR(VLOOKUP($B58, 'A1.3.9'!$B$26:$O$57,3,)),"",'A1.3.14'!$D$30 * VLOOKUP($B58, 'A1.3.9'!$B$26:$O$57,3,TRUE) + 'A1.3.14'!$D$31 * VLOOKUP($B58, 'A1.3.9'!$B$26:$O$57,4,TRUE) + 'A1.3.14'!$D$32 * VLOOKUP($B58, 'A1.3.9'!$B$26:$O$57,5,TRUE))</f>
        <v/>
      </c>
      <c r="G58" s="675" t="str">
        <f>IF(ISERROR(VLOOKUP($B58, 'A1.3.9'!$B$26:$O$57,3,)),"",'A1.3.14'!$E$30 * VLOOKUP($B58, 'A1.3.9'!$B$26:$O$57,3,TRUE) + 'A1.3.14'!$E$31 * VLOOKUP($B58, 'A1.3.9'!$B$26:$O$57,4,TRUE) + 'A1.3.14'!$E$32 * VLOOKUP($B58, 'A1.3.9'!$B$26:$O$57,5,TRUE))</f>
        <v/>
      </c>
      <c r="H58" s="692" t="str">
        <f>IF(AND(D58="",F58=""),"",((D58 * 'A1.3.4'!$J$27/100) + (F58 * (1 - 'A1.3.4'!$J$27/100))))</f>
        <v/>
      </c>
      <c r="I58" s="675" t="str">
        <f>IF(AND(E58="",G58=""),"",((E58 * 'A1.3.4'!$J$27/100) + (G58 * (100 - 'A1.3.4'!$J$27/100))))</f>
        <v/>
      </c>
    </row>
    <row r="59" spans="1:9" ht="13.5" customHeight="1">
      <c r="A59" s="113"/>
      <c r="B59" s="82">
        <f>B58+1</f>
        <v>2043</v>
      </c>
      <c r="C59" s="147"/>
      <c r="D59" s="692" t="str">
        <f>IF(ISERROR(VLOOKUP($B59, 'A1.3.9'!$B$26:$O$57,3,)),"",'A1.3.14'!$D$27 * VLOOKUP($B59, 'A1.3.9'!$B$26:$O$57,3,TRUE) + 'A1.3.14'!$D$28 * VLOOKUP($B59, 'A1.3.9'!$B$26:$O$57,4,TRUE) + 'A1.3.14'!$D$29 * VLOOKUP($B59, 'A1.3.9'!$B$26:$O$57,5,TRUE))</f>
        <v/>
      </c>
      <c r="E59" s="675" t="str">
        <f>IF(ISERROR(VLOOKUP($B59, 'A1.3.9'!$B$26:$O$57,3,)),"",'A1.3.14'!$E$27 * VLOOKUP($B59, 'A1.3.9'!$B$26:$O$57,3,TRUE) + 'A1.3.14'!$E$28 * VLOOKUP($B59, 'A1.3.9'!$B$26:$O$57,4,TRUE) + 'A1.3.14'!$E$29 * VLOOKUP($B59, 'A1.3.9'!$B$26:$O$57,5,TRUE))</f>
        <v/>
      </c>
      <c r="F59" s="692" t="str">
        <f>IF(ISERROR(VLOOKUP($B59, 'A1.3.9'!$B$26:$O$57,3,)),"",'A1.3.14'!$D$30 * VLOOKUP($B59, 'A1.3.9'!$B$26:$O$57,3,TRUE) + 'A1.3.14'!$D$31 * VLOOKUP($B59, 'A1.3.9'!$B$26:$O$57,4,TRUE) + 'A1.3.14'!$D$32 * VLOOKUP($B59, 'A1.3.9'!$B$26:$O$57,5,TRUE))</f>
        <v/>
      </c>
      <c r="G59" s="675" t="str">
        <f>IF(ISERROR(VLOOKUP($B59, 'A1.3.9'!$B$26:$O$57,3,)),"",'A1.3.14'!$E$30 * VLOOKUP($B59, 'A1.3.9'!$B$26:$O$57,3,TRUE) + 'A1.3.14'!$E$31 * VLOOKUP($B59, 'A1.3.9'!$B$26:$O$57,4,TRUE) + 'A1.3.14'!$E$32 * VLOOKUP($B59, 'A1.3.9'!$B$26:$O$57,5,TRUE))</f>
        <v/>
      </c>
      <c r="H59" s="692" t="str">
        <f>IF(AND(D59="",F59=""),"",((D59 * 'A1.3.4'!$J$27/100) + (F59 * (1 - 'A1.3.4'!$J$27/100))))</f>
        <v/>
      </c>
      <c r="I59" s="675" t="str">
        <f>IF(AND(E59="",G59=""),"",((E59 * 'A1.3.4'!$J$27/100) + (G59 * (100 - 'A1.3.4'!$J$27/100))))</f>
        <v/>
      </c>
    </row>
    <row r="60" spans="1:9" ht="13.5" customHeight="1">
      <c r="A60" s="113"/>
      <c r="B60" s="82">
        <f>B59+1</f>
        <v>2044</v>
      </c>
      <c r="C60" s="147"/>
      <c r="D60" s="692" t="str">
        <f>IF(ISERROR(VLOOKUP($B60, 'A1.3.9'!$B$26:$O$57,3,)),"",'A1.3.14'!$D$27 * VLOOKUP($B60, 'A1.3.9'!$B$26:$O$57,3,TRUE) + 'A1.3.14'!$D$28 * VLOOKUP($B60, 'A1.3.9'!$B$26:$O$57,4,TRUE) + 'A1.3.14'!$D$29 * VLOOKUP($B60, 'A1.3.9'!$B$26:$O$57,5,TRUE))</f>
        <v/>
      </c>
      <c r="E60" s="675" t="str">
        <f>IF(ISERROR(VLOOKUP($B60, 'A1.3.9'!$B$26:$O$57,3,)),"",'A1.3.14'!$E$27 * VLOOKUP($B60, 'A1.3.9'!$B$26:$O$57,3,TRUE) + 'A1.3.14'!$E$28 * VLOOKUP($B60, 'A1.3.9'!$B$26:$O$57,4,TRUE) + 'A1.3.14'!$E$29 * VLOOKUP($B60, 'A1.3.9'!$B$26:$O$57,5,TRUE))</f>
        <v/>
      </c>
      <c r="F60" s="692" t="str">
        <f>IF(ISERROR(VLOOKUP($B60, 'A1.3.9'!$B$26:$O$57,3,)),"",'A1.3.14'!$D$30 * VLOOKUP($B60, 'A1.3.9'!$B$26:$O$57,3,TRUE) + 'A1.3.14'!$D$31 * VLOOKUP($B60, 'A1.3.9'!$B$26:$O$57,4,TRUE) + 'A1.3.14'!$D$32 * VLOOKUP($B60, 'A1.3.9'!$B$26:$O$57,5,TRUE))</f>
        <v/>
      </c>
      <c r="G60" s="675" t="str">
        <f>IF(ISERROR(VLOOKUP($B60, 'A1.3.9'!$B$26:$O$57,3,)),"",'A1.3.14'!$E$30 * VLOOKUP($B60, 'A1.3.9'!$B$26:$O$57,3,TRUE) + 'A1.3.14'!$E$31 * VLOOKUP($B60, 'A1.3.9'!$B$26:$O$57,4,TRUE) + 'A1.3.14'!$E$32 * VLOOKUP($B60, 'A1.3.9'!$B$26:$O$57,5,TRUE))</f>
        <v/>
      </c>
      <c r="H60" s="692" t="str">
        <f>IF(AND(D60="",F60=""),"",((D60 * 'A1.3.4'!$J$27/100) + (F60 * (1 - 'A1.3.4'!$J$27/100))))</f>
        <v/>
      </c>
      <c r="I60" s="675" t="str">
        <f>IF(AND(E60="",G60=""),"",((E60 * 'A1.3.4'!$J$27/100) + (G60 * (100 - 'A1.3.4'!$J$27/100))))</f>
        <v/>
      </c>
    </row>
    <row r="61" spans="1:9" ht="13.5" customHeight="1" thickBot="1">
      <c r="A61" s="381"/>
      <c r="B61" s="93">
        <f>B60+1</f>
        <v>2045</v>
      </c>
      <c r="C61" s="168"/>
      <c r="D61" s="2305" t="str">
        <f>IF(ISERROR(VLOOKUP($B61, 'A1.3.9'!$B$26:$O$57,3,)),"",'A1.3.14'!$D$27 * VLOOKUP($B61, 'A1.3.9'!$B$26:$O$57,3,TRUE) + 'A1.3.14'!$D$28 * VLOOKUP($B61, 'A1.3.9'!$B$26:$O$57,4,TRUE) + 'A1.3.14'!$D$29 * VLOOKUP($B61, 'A1.3.9'!$B$26:$O$57,5,TRUE))</f>
        <v/>
      </c>
      <c r="E61" s="2306" t="str">
        <f>IF(ISERROR(VLOOKUP($B61, 'A1.3.9'!$B$26:$O$57,3,)),"",'A1.3.14'!$E$27 * VLOOKUP($B61, 'A1.3.9'!$B$26:$O$57,3,TRUE) + 'A1.3.14'!$E$28 * VLOOKUP($B61, 'A1.3.9'!$B$26:$O$57,4,TRUE) + 'A1.3.14'!$E$29 * VLOOKUP($B61, 'A1.3.9'!$B$26:$O$57,5,TRUE))</f>
        <v/>
      </c>
      <c r="F61" s="2305" t="str">
        <f>IF(ISERROR(VLOOKUP($B61, 'A1.3.9'!$B$26:$O$57,3,)),"",'A1.3.14'!$D$30 * VLOOKUP($B61, 'A1.3.9'!$B$26:$O$57,3,TRUE) + 'A1.3.14'!$D$31 * VLOOKUP($B61, 'A1.3.9'!$B$26:$O$57,4,TRUE) + 'A1.3.14'!$D$32 * VLOOKUP($B61, 'A1.3.9'!$B$26:$O$57,5,TRUE))</f>
        <v/>
      </c>
      <c r="G61" s="2306" t="str">
        <f>IF(ISERROR(VLOOKUP($B61, 'A1.3.9'!$B$26:$O$57,3,)),"",'A1.3.14'!$E$30 * VLOOKUP($B61, 'A1.3.9'!$B$26:$O$57,3,TRUE) + 'A1.3.14'!$E$31 * VLOOKUP($B61, 'A1.3.9'!$B$26:$O$57,4,TRUE) + 'A1.3.14'!$E$32 * VLOOKUP($B61, 'A1.3.9'!$B$26:$O$57,5,TRUE))</f>
        <v/>
      </c>
      <c r="H61" s="2305" t="str">
        <f>IF(AND(D61="",F61=""),"",((D61 * 'A1.3.4'!$J$27/100) + (F61 * (1 - 'A1.3.4'!$J$27/100))))</f>
        <v/>
      </c>
      <c r="I61" s="2306" t="str">
        <f>IF(AND(E61="",G61=""),"",((E61 * 'A1.3.4'!$J$27/100) + (G61 * (100 - 'A1.3.4'!$J$27/100))))</f>
        <v/>
      </c>
    </row>
    <row r="62" spans="1:9" ht="13.5" customHeight="1" thickTop="1" thickBot="1"/>
    <row r="63" spans="1:9" ht="13.5" customHeight="1" thickBot="1">
      <c r="D63" s="2414" t="s">
        <v>1489</v>
      </c>
    </row>
  </sheetData>
  <sheetProtection sheet="1" objects="1" scenarios="1"/>
  <mergeCells count="9">
    <mergeCell ref="A20:B20"/>
    <mergeCell ref="E6:S6"/>
    <mergeCell ref="A7:B7"/>
    <mergeCell ref="A8:B8"/>
    <mergeCell ref="A10:B10"/>
    <mergeCell ref="A11:B11"/>
    <mergeCell ref="A12:B12"/>
    <mergeCell ref="A18:B18"/>
    <mergeCell ref="A19:B19"/>
  </mergeCells>
  <phoneticPr fontId="8" type="noConversion"/>
  <hyperlinks>
    <hyperlink ref="A11" location="Contents!A1" display="Contents"/>
    <hyperlink ref="A11:B11" r:id="rId1" display="WebTAG Unit 3.5.6"/>
    <hyperlink ref="A10" location="Contents!A1" display="Contents"/>
    <hyperlink ref="A10:B10" location="Contents!A1" tooltip="Contents page" display="Contents"/>
    <hyperlink ref="A12:B12" r:id="rId2" tooltip="Unit A1.3 User &amp; Provider Impacts" display="WebTAG Unit A 1.3"/>
    <hyperlink ref="D63" location="A1.3.15!D26" tooltip="Top of this page" display="Top"/>
  </hyperlinks>
  <pageMargins left="0.75" right="0.75" top="1" bottom="1" header="0.5" footer="0.5"/>
  <pageSetup paperSize="9" scale="51" orientation="landscape" r:id="rId3"/>
  <headerFooter alignWithMargins="0"/>
  <drawing r:id="rId4"/>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tabColor rgb="FFFF0000"/>
  </sheetPr>
  <dimension ref="A1:S70"/>
  <sheetViews>
    <sheetView showGridLines="0" zoomScale="85" zoomScaleNormal="85" workbookViewId="0">
      <pane xSplit="3" ySplit="27" topLeftCell="D28"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2"/>
  <cols>
    <col min="1" max="16384" width="12.88671875" style="2555"/>
  </cols>
  <sheetData>
    <row r="1" spans="1:19" ht="54.9" customHeight="1">
      <c r="A1" s="3742"/>
      <c r="B1" s="3742"/>
      <c r="C1" s="112"/>
    </row>
    <row r="2" spans="1:19" ht="5.0999999999999996" customHeight="1">
      <c r="C2" s="111"/>
    </row>
    <row r="3" spans="1:19" s="20" customFormat="1" ht="20.100000000000001" customHeight="1">
      <c r="A3" s="20" t="s">
        <v>2259</v>
      </c>
    </row>
    <row r="4" spans="1:19" s="20" customFormat="1" ht="20.100000000000001" customHeight="1" thickBot="1">
      <c r="A4" s="235" t="s">
        <v>1582</v>
      </c>
      <c r="B4" s="235"/>
      <c r="C4" s="235"/>
      <c r="D4" s="235"/>
      <c r="E4" s="235"/>
      <c r="F4" s="235"/>
      <c r="G4" s="235"/>
      <c r="H4" s="235"/>
      <c r="I4" s="235"/>
      <c r="J4" s="1214"/>
      <c r="K4" s="1214"/>
      <c r="L4" s="1215"/>
      <c r="M4" s="109"/>
      <c r="N4" s="235"/>
      <c r="O4" s="235"/>
      <c r="P4" s="235"/>
      <c r="Q4" s="235"/>
      <c r="R4" s="235"/>
      <c r="S4" s="235"/>
    </row>
    <row r="5" spans="1:19" ht="9.9" customHeight="1" thickTop="1" thickBot="1">
      <c r="J5" s="35"/>
      <c r="K5" s="2556"/>
      <c r="L5" s="32"/>
      <c r="M5" s="335"/>
    </row>
    <row r="6" spans="1:19" ht="13.5" customHeight="1" thickTop="1">
      <c r="A6" s="169" t="s">
        <v>10</v>
      </c>
      <c r="B6" s="169"/>
      <c r="E6" s="3626" t="s">
        <v>255</v>
      </c>
      <c r="F6" s="3654"/>
      <c r="G6" s="3654"/>
      <c r="H6" s="3654"/>
      <c r="I6" s="3654"/>
      <c r="J6" s="3654"/>
      <c r="K6" s="3654"/>
      <c r="L6" s="3654"/>
      <c r="M6" s="3654"/>
      <c r="N6" s="3654"/>
      <c r="O6" s="3654"/>
      <c r="P6" s="3654"/>
      <c r="Q6" s="3654"/>
      <c r="R6" s="3654"/>
      <c r="S6" s="3655"/>
    </row>
    <row r="7" spans="1:19" ht="13.5" customHeight="1">
      <c r="A7" s="3644" t="str">
        <f>Audit!A12</f>
        <v>May 2019 v1.12</v>
      </c>
      <c r="B7" s="3645"/>
      <c r="E7" s="2528"/>
      <c r="G7" s="2557"/>
      <c r="H7" s="2557"/>
      <c r="I7" s="2557"/>
      <c r="J7" s="2557"/>
      <c r="K7" s="2557"/>
      <c r="L7" s="2557"/>
      <c r="M7" s="2557"/>
      <c r="N7" s="2557"/>
      <c r="O7" s="2557"/>
      <c r="P7" s="2557"/>
      <c r="Q7" s="2557"/>
      <c r="R7" s="2557"/>
      <c r="S7" s="2558"/>
    </row>
    <row r="8" spans="1:19" ht="13.5" customHeight="1">
      <c r="A8" s="3740">
        <f>Audit!C12</f>
        <v>43586</v>
      </c>
      <c r="B8" s="3741"/>
      <c r="C8" s="2559"/>
      <c r="D8" s="2559"/>
      <c r="E8" s="2560"/>
      <c r="F8" s="148"/>
      <c r="G8" s="2557"/>
      <c r="H8" s="2557"/>
      <c r="I8" s="2557"/>
      <c r="J8" s="2557"/>
      <c r="K8" s="2557"/>
      <c r="L8" s="2557"/>
      <c r="M8" s="2557"/>
      <c r="N8" s="2557"/>
      <c r="O8" s="2557"/>
      <c r="P8" s="2557"/>
      <c r="Q8" s="2557"/>
      <c r="R8" s="2557"/>
      <c r="S8" s="2558"/>
    </row>
    <row r="9" spans="1:19" ht="13.5" customHeight="1" thickBot="1">
      <c r="A9" s="172" t="s">
        <v>14</v>
      </c>
      <c r="B9" s="2561"/>
      <c r="D9" s="2559"/>
      <c r="E9" s="2528"/>
      <c r="F9" s="2557"/>
      <c r="G9" s="2557"/>
      <c r="H9" s="2557"/>
      <c r="I9" s="2557"/>
      <c r="J9" s="2557"/>
      <c r="K9" s="2557"/>
      <c r="L9" s="2557"/>
      <c r="M9" s="2557"/>
      <c r="N9" s="2557"/>
      <c r="O9" s="2557"/>
      <c r="P9" s="2557"/>
      <c r="Q9" s="2557"/>
      <c r="R9" s="2557"/>
      <c r="S9" s="2558"/>
    </row>
    <row r="10" spans="1:19" ht="13.5" customHeight="1" thickBot="1">
      <c r="A10" s="3570" t="s">
        <v>1306</v>
      </c>
      <c r="B10" s="3610"/>
      <c r="D10" s="2559"/>
      <c r="E10" s="2528"/>
      <c r="F10" s="335"/>
      <c r="G10" s="335"/>
      <c r="H10" s="335"/>
      <c r="I10" s="335"/>
      <c r="J10" s="335"/>
      <c r="K10" s="335"/>
      <c r="L10" s="335"/>
      <c r="M10" s="335"/>
      <c r="N10" s="335"/>
      <c r="O10" s="335"/>
      <c r="P10" s="335"/>
      <c r="Q10" s="335"/>
      <c r="R10" s="335"/>
      <c r="S10" s="2562"/>
    </row>
    <row r="11" spans="1:19" ht="13.5" customHeight="1" thickBot="1">
      <c r="A11" s="3653"/>
      <c r="B11" s="3653"/>
      <c r="D11" s="2559"/>
      <c r="E11" s="2528"/>
      <c r="F11" s="2563"/>
      <c r="G11" s="2563"/>
      <c r="H11" s="2563"/>
      <c r="I11" s="2563"/>
      <c r="J11" s="2563"/>
      <c r="K11" s="2563"/>
      <c r="L11" s="2563"/>
      <c r="M11" s="2563"/>
      <c r="N11" s="2563"/>
      <c r="O11" s="2563"/>
      <c r="P11" s="2563"/>
      <c r="Q11" s="2563"/>
      <c r="R11" s="2563"/>
      <c r="S11" s="2564"/>
    </row>
    <row r="12" spans="1:19" ht="13.5" customHeight="1" thickBot="1">
      <c r="A12" s="3570" t="s">
        <v>2217</v>
      </c>
      <c r="B12" s="3581"/>
      <c r="D12" s="2559"/>
      <c r="E12" s="2528"/>
      <c r="F12" s="2557"/>
      <c r="G12" s="2557"/>
      <c r="H12" s="2557"/>
      <c r="I12" s="2557"/>
      <c r="J12" s="2557"/>
      <c r="K12" s="2557"/>
      <c r="L12" s="2557"/>
      <c r="M12" s="2557"/>
      <c r="N12" s="2557"/>
      <c r="O12" s="2557"/>
      <c r="P12" s="2557"/>
      <c r="Q12" s="2557"/>
      <c r="R12" s="2557"/>
      <c r="S12" s="2558"/>
    </row>
    <row r="13" spans="1:19" ht="13.5" customHeight="1">
      <c r="A13" s="172" t="s">
        <v>252</v>
      </c>
      <c r="B13" s="2565"/>
      <c r="C13" s="2559"/>
      <c r="D13" s="2559"/>
      <c r="E13" s="2566"/>
      <c r="F13" s="2557"/>
      <c r="G13" s="2557"/>
      <c r="H13" s="2557"/>
      <c r="I13" s="2557"/>
      <c r="J13" s="2557"/>
      <c r="K13" s="2557"/>
      <c r="L13" s="2557"/>
      <c r="M13" s="2557"/>
      <c r="N13" s="2557"/>
      <c r="O13" s="2557"/>
      <c r="P13" s="2557"/>
      <c r="Q13" s="2557"/>
      <c r="R13" s="2557"/>
      <c r="S13" s="2558"/>
    </row>
    <row r="14" spans="1:19" ht="13.5" customHeight="1">
      <c r="A14" s="2567" t="s">
        <v>799</v>
      </c>
      <c r="B14" s="2450">
        <f>'User Parameters'!L13</f>
        <v>2010</v>
      </c>
      <c r="C14" s="2568"/>
      <c r="D14" s="2559"/>
      <c r="E14" s="2528"/>
      <c r="F14" s="2557"/>
      <c r="G14" s="2557"/>
      <c r="H14" s="2557"/>
      <c r="I14" s="2557"/>
      <c r="J14" s="2557"/>
      <c r="K14" s="2557"/>
      <c r="L14" s="2557"/>
      <c r="M14" s="2557"/>
      <c r="N14" s="2557"/>
      <c r="O14" s="2557"/>
      <c r="P14" s="2557"/>
      <c r="Q14" s="2557"/>
      <c r="R14" s="2557"/>
      <c r="S14" s="2558"/>
    </row>
    <row r="15" spans="1:19" ht="13.5" customHeight="1">
      <c r="A15" s="2569" t="s">
        <v>54</v>
      </c>
      <c r="B15" s="2450">
        <f>'User Parameters'!L19</f>
        <v>2010</v>
      </c>
      <c r="C15" s="2568"/>
      <c r="D15" s="2559"/>
      <c r="E15" s="2528"/>
      <c r="F15" s="335"/>
      <c r="G15" s="335"/>
      <c r="H15" s="335"/>
      <c r="I15" s="335"/>
      <c r="J15" s="335"/>
      <c r="K15" s="335"/>
      <c r="L15" s="335"/>
      <c r="M15" s="335"/>
      <c r="N15" s="335"/>
      <c r="O15" s="335"/>
      <c r="P15" s="335"/>
      <c r="Q15" s="335"/>
      <c r="R15" s="335"/>
      <c r="S15" s="2562"/>
    </row>
    <row r="16" spans="1:19" ht="13.5" customHeight="1">
      <c r="A16" s="2569"/>
      <c r="B16" s="2442"/>
      <c r="C16" s="858"/>
      <c r="D16" s="2559"/>
      <c r="E16" s="2528"/>
      <c r="F16" s="2557"/>
      <c r="G16" s="2557"/>
      <c r="H16" s="2557"/>
      <c r="I16" s="2557"/>
      <c r="J16" s="2557"/>
      <c r="K16" s="2557"/>
      <c r="L16" s="2557"/>
      <c r="M16" s="2557"/>
      <c r="N16" s="2557"/>
      <c r="O16" s="2557"/>
      <c r="P16" s="2557"/>
      <c r="Q16" s="2557"/>
      <c r="R16" s="2557"/>
      <c r="S16" s="2558"/>
    </row>
    <row r="17" spans="1:19" ht="13.5" customHeight="1">
      <c r="A17" s="169" t="s">
        <v>253</v>
      </c>
      <c r="B17" s="2570"/>
      <c r="C17" s="2559"/>
      <c r="D17" s="2559"/>
      <c r="E17" s="207"/>
      <c r="F17" s="2557"/>
      <c r="G17" s="2557"/>
      <c r="H17" s="2557"/>
      <c r="I17" s="2557"/>
      <c r="J17" s="2557"/>
      <c r="K17" s="2557"/>
      <c r="L17" s="2557"/>
      <c r="M17" s="2557"/>
      <c r="N17" s="2557"/>
      <c r="O17" s="2557"/>
      <c r="P17" s="2557"/>
      <c r="Q17" s="2557"/>
      <c r="R17" s="2557"/>
      <c r="S17" s="2558"/>
    </row>
    <row r="18" spans="1:19" ht="13.5" customHeight="1">
      <c r="A18" s="3653"/>
      <c r="B18" s="3653"/>
      <c r="C18" s="2559"/>
      <c r="D18" s="2559"/>
      <c r="E18" s="2560"/>
      <c r="F18" s="2557"/>
      <c r="G18" s="2557"/>
      <c r="H18" s="2557"/>
      <c r="I18" s="2557"/>
      <c r="J18" s="2557"/>
      <c r="K18" s="2557"/>
      <c r="L18" s="2557"/>
      <c r="M18" s="2557"/>
      <c r="N18" s="2557"/>
      <c r="O18" s="2557"/>
      <c r="P18" s="2557"/>
      <c r="Q18" s="2557"/>
      <c r="R18" s="2557"/>
      <c r="S18" s="2558"/>
    </row>
    <row r="19" spans="1:19" ht="13.5" customHeight="1">
      <c r="A19" s="3653"/>
      <c r="B19" s="3653"/>
      <c r="C19" s="2559"/>
      <c r="D19" s="2559"/>
      <c r="E19" s="2528"/>
      <c r="F19" s="2557"/>
      <c r="G19" s="2557"/>
      <c r="H19" s="2557"/>
      <c r="I19" s="2557"/>
      <c r="J19" s="2557"/>
      <c r="K19" s="2557"/>
      <c r="L19" s="2557"/>
      <c r="M19" s="2557"/>
      <c r="N19" s="2557"/>
      <c r="O19" s="2557"/>
      <c r="P19" s="2557"/>
      <c r="Q19" s="2557"/>
      <c r="R19" s="2557"/>
      <c r="S19" s="2558"/>
    </row>
    <row r="20" spans="1:19" ht="13.5" customHeight="1" thickBot="1">
      <c r="A20" s="3653"/>
      <c r="B20" s="3653"/>
      <c r="C20" s="2559"/>
      <c r="D20" s="2559"/>
      <c r="E20" s="2571"/>
      <c r="F20" s="23"/>
      <c r="G20" s="23"/>
      <c r="H20" s="23"/>
      <c r="I20" s="23"/>
      <c r="J20" s="23"/>
      <c r="K20" s="23"/>
      <c r="L20" s="23"/>
      <c r="M20" s="23"/>
      <c r="N20" s="23"/>
      <c r="O20" s="23"/>
      <c r="P20" s="23"/>
      <c r="Q20" s="23"/>
      <c r="R20" s="23"/>
      <c r="S20" s="108"/>
    </row>
    <row r="21" spans="1:19" ht="13.5" customHeight="1" thickTop="1">
      <c r="A21" s="3653"/>
      <c r="B21" s="3653"/>
      <c r="C21" s="2559"/>
      <c r="D21" s="2559"/>
      <c r="E21" s="31"/>
      <c r="G21" s="47"/>
      <c r="H21" s="335"/>
      <c r="I21" s="335"/>
      <c r="J21" s="35"/>
      <c r="K21" s="2556"/>
      <c r="L21" s="32"/>
      <c r="M21" s="335"/>
    </row>
    <row r="22" spans="1:19" ht="13.5" customHeight="1" thickBot="1">
      <c r="G22" s="335"/>
      <c r="H22" s="335"/>
      <c r="I22" s="335"/>
      <c r="J22" s="335"/>
      <c r="K22" s="335"/>
      <c r="L22" s="335"/>
    </row>
    <row r="23" spans="1:19" ht="13.5" customHeight="1" thickTop="1">
      <c r="A23" s="174"/>
      <c r="B23" s="1242"/>
      <c r="C23" s="776"/>
      <c r="D23" s="174" t="s">
        <v>1583</v>
      </c>
      <c r="E23" s="1243"/>
      <c r="F23" s="1243"/>
      <c r="G23" s="1243"/>
      <c r="H23" s="1243"/>
      <c r="I23" s="1244"/>
      <c r="J23" s="2525" t="s">
        <v>1571</v>
      </c>
      <c r="K23" s="2525" t="s">
        <v>274</v>
      </c>
    </row>
    <row r="24" spans="1:19" ht="13.5" customHeight="1" thickBot="1">
      <c r="A24" s="570"/>
      <c r="B24" s="2602"/>
      <c r="C24" s="2603"/>
      <c r="D24" s="1629" t="s">
        <v>1584</v>
      </c>
      <c r="E24" s="2594"/>
      <c r="F24" s="2594"/>
      <c r="G24" s="2594"/>
      <c r="H24" s="2594"/>
      <c r="I24" s="2595"/>
      <c r="J24" s="2526" t="s">
        <v>1572</v>
      </c>
      <c r="K24" s="2526"/>
    </row>
    <row r="25" spans="1:19" ht="13.5" customHeight="1" thickTop="1">
      <c r="A25" s="418" t="s">
        <v>1534</v>
      </c>
      <c r="B25" s="1761" t="s">
        <v>1563</v>
      </c>
      <c r="C25" s="498" t="s">
        <v>1536</v>
      </c>
      <c r="D25" s="1761" t="s">
        <v>1487</v>
      </c>
      <c r="E25" s="1761" t="s">
        <v>1537</v>
      </c>
      <c r="F25" s="1761" t="s">
        <v>1538</v>
      </c>
      <c r="G25" s="1761" t="s">
        <v>1539</v>
      </c>
      <c r="H25" s="1761" t="s">
        <v>1540</v>
      </c>
      <c r="I25" s="498" t="s">
        <v>1540</v>
      </c>
      <c r="J25" s="419"/>
      <c r="K25" s="419" t="s">
        <v>1585</v>
      </c>
    </row>
    <row r="26" spans="1:19" ht="13.5" customHeight="1">
      <c r="A26" s="420" t="s">
        <v>1541</v>
      </c>
      <c r="B26" s="286" t="s">
        <v>1564</v>
      </c>
      <c r="C26" s="285" t="s">
        <v>1542</v>
      </c>
      <c r="D26" s="286" t="s">
        <v>1543</v>
      </c>
      <c r="E26" s="286" t="s">
        <v>1544</v>
      </c>
      <c r="F26" s="286" t="s">
        <v>1545</v>
      </c>
      <c r="G26" s="286" t="s">
        <v>1546</v>
      </c>
      <c r="H26" s="286" t="s">
        <v>1547</v>
      </c>
      <c r="I26" s="285" t="s">
        <v>1548</v>
      </c>
      <c r="J26" s="421"/>
      <c r="K26" s="421" t="s">
        <v>1586</v>
      </c>
    </row>
    <row r="27" spans="1:19" ht="13.5" customHeight="1" thickBot="1">
      <c r="A27" s="1686"/>
      <c r="B27" s="1693"/>
      <c r="C27" s="668" t="s">
        <v>1549</v>
      </c>
      <c r="D27" s="1693"/>
      <c r="E27" s="1693" t="s">
        <v>1550</v>
      </c>
      <c r="F27" s="1693" t="s">
        <v>1551</v>
      </c>
      <c r="G27" s="1693" t="s">
        <v>1552</v>
      </c>
      <c r="H27" s="1693"/>
      <c r="I27" s="668"/>
      <c r="J27" s="1223"/>
      <c r="K27" s="1223"/>
    </row>
    <row r="28" spans="1:19" ht="13.5" customHeight="1" thickTop="1">
      <c r="A28" s="2575">
        <v>0</v>
      </c>
      <c r="B28" s="2576" t="s">
        <v>1553</v>
      </c>
      <c r="C28" s="2576" t="s">
        <v>1554</v>
      </c>
      <c r="D28" s="2596">
        <v>4.3999999999999997E-2</v>
      </c>
      <c r="E28" s="2597">
        <v>0.1144</v>
      </c>
      <c r="F28" s="2597">
        <v>0.1168</v>
      </c>
      <c r="G28" s="2597">
        <v>0.1031</v>
      </c>
      <c r="H28" s="2597">
        <v>0.1145</v>
      </c>
      <c r="I28" s="2598">
        <v>8.7400000000000005E-2</v>
      </c>
      <c r="J28" s="2604">
        <v>0.37309999999999999</v>
      </c>
      <c r="K28" s="2607">
        <v>3.84</v>
      </c>
    </row>
    <row r="29" spans="1:19" ht="13.5" customHeight="1">
      <c r="A29" s="2575">
        <v>0</v>
      </c>
      <c r="B29" s="2576" t="s">
        <v>1418</v>
      </c>
      <c r="C29" s="2576" t="s">
        <v>1554</v>
      </c>
      <c r="D29" s="2596">
        <v>5.4999999999999997E-3</v>
      </c>
      <c r="E29" s="2597">
        <v>5.5999999999999999E-3</v>
      </c>
      <c r="F29" s="2597">
        <v>7.1000000000000004E-3</v>
      </c>
      <c r="G29" s="2597">
        <v>4.3E-3</v>
      </c>
      <c r="H29" s="2597">
        <v>6.3E-3</v>
      </c>
      <c r="I29" s="2598">
        <v>6.0000000000000001E-3</v>
      </c>
      <c r="J29" s="2604">
        <v>5.74E-2</v>
      </c>
      <c r="K29" s="2606">
        <v>3.84</v>
      </c>
    </row>
    <row r="30" spans="1:19" ht="13.5" customHeight="1">
      <c r="A30" s="2575">
        <v>0</v>
      </c>
      <c r="B30" s="2576" t="s">
        <v>1555</v>
      </c>
      <c r="C30" s="2576" t="s">
        <v>1554</v>
      </c>
      <c r="D30" s="2596">
        <v>1.1000000000000001E-3</v>
      </c>
      <c r="E30" s="2597">
        <v>0</v>
      </c>
      <c r="F30" s="2597">
        <v>1.1000000000000001E-3</v>
      </c>
      <c r="G30" s="2597">
        <v>0</v>
      </c>
      <c r="H30" s="2597">
        <v>5.9999999999999995E-4</v>
      </c>
      <c r="I30" s="2598">
        <v>8.0000000000000004E-4</v>
      </c>
      <c r="J30" s="2604">
        <v>0</v>
      </c>
      <c r="K30" s="2606">
        <v>3.84</v>
      </c>
    </row>
    <row r="31" spans="1:19" ht="13.5" customHeight="1">
      <c r="A31" s="2575">
        <v>0</v>
      </c>
      <c r="B31" s="2576" t="s">
        <v>1556</v>
      </c>
      <c r="C31" s="2576" t="s">
        <v>1554</v>
      </c>
      <c r="D31" s="2596">
        <v>5.9999999999999995E-4</v>
      </c>
      <c r="E31" s="2597">
        <v>1E-4</v>
      </c>
      <c r="F31" s="2597">
        <v>2.0000000000000001E-4</v>
      </c>
      <c r="G31" s="2597">
        <v>2.9999999999999997E-4</v>
      </c>
      <c r="H31" s="2597">
        <v>2.0000000000000001E-4</v>
      </c>
      <c r="I31" s="2598">
        <v>2.9999999999999997E-4</v>
      </c>
      <c r="J31" s="2604">
        <v>0.17519999999999999</v>
      </c>
      <c r="K31" s="2606">
        <v>3.84</v>
      </c>
    </row>
    <row r="32" spans="1:19" ht="13.5" customHeight="1">
      <c r="A32" s="2575">
        <v>0</v>
      </c>
      <c r="B32" s="2576" t="s">
        <v>1557</v>
      </c>
      <c r="C32" s="2576" t="s">
        <v>1554</v>
      </c>
      <c r="D32" s="2596">
        <v>5.1000000000000004E-3</v>
      </c>
      <c r="E32" s="2597">
        <v>1.0800000000000001E-2</v>
      </c>
      <c r="F32" s="2597">
        <v>1.0800000000000001E-2</v>
      </c>
      <c r="G32" s="2597">
        <v>9.1999999999999998E-3</v>
      </c>
      <c r="H32" s="2597">
        <v>1.06E-2</v>
      </c>
      <c r="I32" s="2598">
        <v>8.5000000000000006E-3</v>
      </c>
      <c r="J32" s="2604">
        <v>8.9599999999999999E-2</v>
      </c>
      <c r="K32" s="2606">
        <v>3.84</v>
      </c>
    </row>
    <row r="33" spans="1:11">
      <c r="A33" s="2575">
        <v>0</v>
      </c>
      <c r="B33" s="2576" t="s">
        <v>1558</v>
      </c>
      <c r="C33" s="2576" t="s">
        <v>1554</v>
      </c>
      <c r="D33" s="2596">
        <v>1.2699999999999999E-2</v>
      </c>
      <c r="E33" s="2597">
        <v>2.3599999999999999E-2</v>
      </c>
      <c r="F33" s="2597">
        <v>2.06E-2</v>
      </c>
      <c r="G33" s="2597">
        <v>1.15E-2</v>
      </c>
      <c r="H33" s="2597">
        <v>2.0500000000000001E-2</v>
      </c>
      <c r="I33" s="2598">
        <v>1.7500000000000002E-2</v>
      </c>
      <c r="J33" s="2604">
        <v>0.19750000000000001</v>
      </c>
      <c r="K33" s="2606">
        <v>3.84</v>
      </c>
    </row>
    <row r="34" spans="1:11">
      <c r="A34" s="2575">
        <v>0</v>
      </c>
      <c r="B34" s="2576" t="s">
        <v>1559</v>
      </c>
      <c r="C34" s="2576" t="s">
        <v>1554</v>
      </c>
      <c r="D34" s="2596">
        <v>1.66E-2</v>
      </c>
      <c r="E34" s="2597">
        <v>2.86E-2</v>
      </c>
      <c r="F34" s="2597">
        <v>2.86E-2</v>
      </c>
      <c r="G34" s="2597">
        <v>2.01E-2</v>
      </c>
      <c r="H34" s="2597">
        <v>2.7699999999999999E-2</v>
      </c>
      <c r="I34" s="2598">
        <v>2.3400000000000001E-2</v>
      </c>
      <c r="J34" s="2604">
        <v>0.27950000000000003</v>
      </c>
      <c r="K34" s="2606">
        <v>3.84</v>
      </c>
    </row>
    <row r="35" spans="1:11">
      <c r="A35" s="2575">
        <v>1</v>
      </c>
      <c r="B35" s="2576" t="s">
        <v>1553</v>
      </c>
      <c r="C35" s="2576" t="s">
        <v>1554</v>
      </c>
      <c r="D35" s="2596">
        <v>2.6599999999999999E-2</v>
      </c>
      <c r="E35" s="2597">
        <v>3.8699999999999998E-2</v>
      </c>
      <c r="F35" s="2597">
        <v>6.4699999999999994E-2</v>
      </c>
      <c r="G35" s="2597">
        <v>6.9400000000000003E-2</v>
      </c>
      <c r="H35" s="2597">
        <v>5.6899999999999999E-2</v>
      </c>
      <c r="I35" s="2598">
        <v>4.53E-2</v>
      </c>
      <c r="J35" s="2604">
        <v>0.27750000000000002</v>
      </c>
      <c r="K35" s="2606">
        <v>3.84</v>
      </c>
    </row>
    <row r="36" spans="1:11">
      <c r="A36" s="2575">
        <v>1</v>
      </c>
      <c r="B36" s="2576" t="s">
        <v>1418</v>
      </c>
      <c r="C36" s="2576" t="s">
        <v>1554</v>
      </c>
      <c r="D36" s="2596">
        <v>6.4999999999999997E-3</v>
      </c>
      <c r="E36" s="2597">
        <v>4.8999999999999998E-3</v>
      </c>
      <c r="F36" s="2597">
        <v>0.01</v>
      </c>
      <c r="G36" s="2597">
        <v>3.0999999999999999E-3</v>
      </c>
      <c r="H36" s="2597">
        <v>7.6E-3</v>
      </c>
      <c r="I36" s="2598">
        <v>7.1999999999999998E-3</v>
      </c>
      <c r="J36" s="2604">
        <v>3.78E-2</v>
      </c>
      <c r="K36" s="2606">
        <v>3.84</v>
      </c>
    </row>
    <row r="37" spans="1:11">
      <c r="A37" s="2575">
        <v>1</v>
      </c>
      <c r="B37" s="2576" t="s">
        <v>1555</v>
      </c>
      <c r="C37" s="2576" t="s">
        <v>1554</v>
      </c>
      <c r="D37" s="2596">
        <v>4.0000000000000002E-4</v>
      </c>
      <c r="E37" s="2597">
        <v>1.8E-3</v>
      </c>
      <c r="F37" s="2597">
        <v>2.0000000000000001E-4</v>
      </c>
      <c r="G37" s="2597">
        <v>1.5E-3</v>
      </c>
      <c r="H37" s="2597">
        <v>8.0000000000000004E-4</v>
      </c>
      <c r="I37" s="2598">
        <v>5.9999999999999995E-4</v>
      </c>
      <c r="J37" s="2604">
        <v>0</v>
      </c>
      <c r="K37" s="2606">
        <v>3.84</v>
      </c>
    </row>
    <row r="38" spans="1:11">
      <c r="A38" s="2575">
        <v>1</v>
      </c>
      <c r="B38" s="2576" t="s">
        <v>1556</v>
      </c>
      <c r="C38" s="2576" t="s">
        <v>1554</v>
      </c>
      <c r="D38" s="2596">
        <v>4.0000000000000002E-4</v>
      </c>
      <c r="E38" s="2597">
        <v>2.9999999999999997E-4</v>
      </c>
      <c r="F38" s="2597">
        <v>0</v>
      </c>
      <c r="G38" s="2597">
        <v>4.0000000000000002E-4</v>
      </c>
      <c r="H38" s="2597">
        <v>2.0000000000000001E-4</v>
      </c>
      <c r="I38" s="2598">
        <v>2.9999999999999997E-4</v>
      </c>
      <c r="J38" s="2604">
        <v>0.1206</v>
      </c>
      <c r="K38" s="2606">
        <v>3.84</v>
      </c>
    </row>
    <row r="39" spans="1:11">
      <c r="A39" s="2575">
        <v>1</v>
      </c>
      <c r="B39" s="2576" t="s">
        <v>1557</v>
      </c>
      <c r="C39" s="2576" t="s">
        <v>1554</v>
      </c>
      <c r="D39" s="2596">
        <v>2.5999999999999999E-3</v>
      </c>
      <c r="E39" s="2597">
        <v>3.3999999999999998E-3</v>
      </c>
      <c r="F39" s="2597">
        <v>6.3E-3</v>
      </c>
      <c r="G39" s="2597">
        <v>8.6E-3</v>
      </c>
      <c r="H39" s="2597">
        <v>5.5999999999999999E-3</v>
      </c>
      <c r="I39" s="2598">
        <v>4.4999999999999997E-3</v>
      </c>
      <c r="J39" s="2604">
        <v>5.9700000000000003E-2</v>
      </c>
      <c r="K39" s="2606">
        <v>3.84</v>
      </c>
    </row>
    <row r="40" spans="1:11">
      <c r="A40" s="2575">
        <v>1</v>
      </c>
      <c r="B40" s="2576" t="s">
        <v>1558</v>
      </c>
      <c r="C40" s="2576" t="s">
        <v>1554</v>
      </c>
      <c r="D40" s="2596">
        <v>7.7999999999999996E-3</v>
      </c>
      <c r="E40" s="2597">
        <v>6.1999999999999998E-3</v>
      </c>
      <c r="F40" s="2597">
        <v>7.6E-3</v>
      </c>
      <c r="G40" s="2597">
        <v>1.03E-2</v>
      </c>
      <c r="H40" s="2597">
        <v>7.4000000000000003E-3</v>
      </c>
      <c r="I40" s="2598">
        <v>7.6E-3</v>
      </c>
      <c r="J40" s="2604">
        <v>0.1371</v>
      </c>
      <c r="K40" s="2606">
        <v>3.84</v>
      </c>
    </row>
    <row r="41" spans="1:11">
      <c r="A41" s="2575">
        <v>1</v>
      </c>
      <c r="B41" s="2576" t="s">
        <v>1559</v>
      </c>
      <c r="C41" s="2576" t="s">
        <v>1554</v>
      </c>
      <c r="D41" s="2596">
        <v>7.3000000000000001E-3</v>
      </c>
      <c r="E41" s="2597">
        <v>9.2999999999999992E-3</v>
      </c>
      <c r="F41" s="2597">
        <v>1.52E-2</v>
      </c>
      <c r="G41" s="2597">
        <v>7.4000000000000003E-3</v>
      </c>
      <c r="H41" s="2597">
        <v>1.24E-2</v>
      </c>
      <c r="I41" s="2598">
        <v>1.04E-2</v>
      </c>
      <c r="J41" s="2604">
        <v>0.20019999999999999</v>
      </c>
      <c r="K41" s="2606">
        <v>3.84</v>
      </c>
    </row>
    <row r="42" spans="1:11">
      <c r="A42" s="2577" t="s">
        <v>1560</v>
      </c>
      <c r="B42" s="2578" t="s">
        <v>1553</v>
      </c>
      <c r="C42" s="2578" t="s">
        <v>1554</v>
      </c>
      <c r="D42" s="2596">
        <v>6.3E-3</v>
      </c>
      <c r="E42" s="2597">
        <v>3.5000000000000001E-3</v>
      </c>
      <c r="F42" s="2597">
        <v>1.21E-2</v>
      </c>
      <c r="G42" s="2597">
        <v>2.5399999999999999E-2</v>
      </c>
      <c r="H42" s="2597">
        <v>1.09E-2</v>
      </c>
      <c r="I42" s="2598">
        <v>9.1000000000000004E-3</v>
      </c>
      <c r="J42" s="2604">
        <v>0.19370000000000001</v>
      </c>
      <c r="K42" s="2606">
        <v>3.84</v>
      </c>
    </row>
    <row r="43" spans="1:11">
      <c r="A43" s="2577" t="s">
        <v>1560</v>
      </c>
      <c r="B43" s="2578" t="s">
        <v>1418</v>
      </c>
      <c r="C43" s="2578" t="s">
        <v>1554</v>
      </c>
      <c r="D43" s="2596">
        <v>6.9999999999999999E-4</v>
      </c>
      <c r="E43" s="2597">
        <v>1E-3</v>
      </c>
      <c r="F43" s="2597">
        <v>1.9E-3</v>
      </c>
      <c r="G43" s="2597">
        <v>1.1000000000000001E-3</v>
      </c>
      <c r="H43" s="2597">
        <v>1.5E-3</v>
      </c>
      <c r="I43" s="2598">
        <v>1.1999999999999999E-3</v>
      </c>
      <c r="J43" s="2604">
        <v>2.4E-2</v>
      </c>
      <c r="K43" s="2606">
        <v>3.84</v>
      </c>
    </row>
    <row r="44" spans="1:11">
      <c r="A44" s="2577" t="s">
        <v>1560</v>
      </c>
      <c r="B44" s="2578" t="s">
        <v>1555</v>
      </c>
      <c r="C44" s="2578" t="s">
        <v>1554</v>
      </c>
      <c r="D44" s="2596">
        <v>0</v>
      </c>
      <c r="E44" s="2597">
        <v>0</v>
      </c>
      <c r="F44" s="2597">
        <v>0</v>
      </c>
      <c r="G44" s="2597">
        <v>4.0000000000000001E-3</v>
      </c>
      <c r="H44" s="2597">
        <v>5.0000000000000001E-4</v>
      </c>
      <c r="I44" s="2598">
        <v>2.9999999999999997E-4</v>
      </c>
      <c r="J44" s="2604">
        <v>0</v>
      </c>
      <c r="K44" s="2606">
        <v>3.84</v>
      </c>
    </row>
    <row r="45" spans="1:11">
      <c r="A45" s="2577" t="s">
        <v>1560</v>
      </c>
      <c r="B45" s="2578" t="s">
        <v>1556</v>
      </c>
      <c r="C45" s="2578" t="s">
        <v>1554</v>
      </c>
      <c r="D45" s="2596">
        <v>0</v>
      </c>
      <c r="E45" s="2597">
        <v>0</v>
      </c>
      <c r="F45" s="2597">
        <v>0</v>
      </c>
      <c r="G45" s="2597">
        <v>0</v>
      </c>
      <c r="H45" s="2597">
        <v>0</v>
      </c>
      <c r="I45" s="2598">
        <v>0</v>
      </c>
      <c r="J45" s="2604">
        <v>7.9000000000000001E-2</v>
      </c>
      <c r="K45" s="2606">
        <v>3.84</v>
      </c>
    </row>
    <row r="46" spans="1:11">
      <c r="A46" s="2577" t="s">
        <v>1560</v>
      </c>
      <c r="B46" s="2578" t="s">
        <v>1557</v>
      </c>
      <c r="C46" s="2578" t="s">
        <v>1554</v>
      </c>
      <c r="D46" s="2596">
        <v>8.0000000000000004E-4</v>
      </c>
      <c r="E46" s="2597">
        <v>0</v>
      </c>
      <c r="F46" s="2597">
        <v>1.1999999999999999E-3</v>
      </c>
      <c r="G46" s="2597">
        <v>2.8E-3</v>
      </c>
      <c r="H46" s="2597">
        <v>1E-3</v>
      </c>
      <c r="I46" s="2598">
        <v>8.9999999999999998E-4</v>
      </c>
      <c r="J46" s="2604">
        <v>3.8199999999999998E-2</v>
      </c>
      <c r="K46" s="2606">
        <v>3.84</v>
      </c>
    </row>
    <row r="47" spans="1:11">
      <c r="A47" s="2577" t="s">
        <v>1560</v>
      </c>
      <c r="B47" s="2578" t="s">
        <v>1558</v>
      </c>
      <c r="C47" s="2578" t="s">
        <v>1554</v>
      </c>
      <c r="D47" s="2596">
        <v>1.6000000000000001E-3</v>
      </c>
      <c r="E47" s="2597">
        <v>4.0000000000000002E-4</v>
      </c>
      <c r="F47" s="2597">
        <v>1.1999999999999999E-3</v>
      </c>
      <c r="G47" s="2597">
        <v>3.8999999999999998E-3</v>
      </c>
      <c r="H47" s="2597">
        <v>1.2999999999999999E-3</v>
      </c>
      <c r="I47" s="2598">
        <v>1.4E-3</v>
      </c>
      <c r="J47" s="2604">
        <v>9.0399999999999994E-2</v>
      </c>
      <c r="K47" s="2606">
        <v>3.84</v>
      </c>
    </row>
    <row r="48" spans="1:11">
      <c r="A48" s="2577" t="s">
        <v>1560</v>
      </c>
      <c r="B48" s="2578" t="s">
        <v>1559</v>
      </c>
      <c r="C48" s="2578" t="s">
        <v>1554</v>
      </c>
      <c r="D48" s="2596">
        <v>1.5E-3</v>
      </c>
      <c r="E48" s="2597">
        <v>2.9999999999999997E-4</v>
      </c>
      <c r="F48" s="2597">
        <v>1.4E-3</v>
      </c>
      <c r="G48" s="2597">
        <v>6.3E-3</v>
      </c>
      <c r="H48" s="2597">
        <v>1.6000000000000001E-3</v>
      </c>
      <c r="I48" s="2598">
        <v>1.6000000000000001E-3</v>
      </c>
      <c r="J48" s="2604">
        <v>0.13539999999999999</v>
      </c>
      <c r="K48" s="2606">
        <v>3.84</v>
      </c>
    </row>
    <row r="49" spans="1:11">
      <c r="A49" s="2577">
        <v>0</v>
      </c>
      <c r="B49" s="2578" t="s">
        <v>1553</v>
      </c>
      <c r="C49" s="2578" t="s">
        <v>1561</v>
      </c>
      <c r="D49" s="2596">
        <v>0.1303</v>
      </c>
      <c r="E49" s="2597">
        <v>0.14249999999999999</v>
      </c>
      <c r="F49" s="2597">
        <v>0.12130000000000001</v>
      </c>
      <c r="G49" s="2597">
        <v>5.9799999999999999E-2</v>
      </c>
      <c r="H49" s="2597">
        <v>0.121</v>
      </c>
      <c r="I49" s="2598">
        <v>0.1246</v>
      </c>
      <c r="J49" s="2604">
        <v>0.309</v>
      </c>
      <c r="K49" s="2606">
        <v>8.17</v>
      </c>
    </row>
    <row r="50" spans="1:11">
      <c r="A50" s="2577">
        <v>0</v>
      </c>
      <c r="B50" s="2578" t="s">
        <v>1418</v>
      </c>
      <c r="C50" s="2578" t="s">
        <v>1561</v>
      </c>
      <c r="D50" s="2596">
        <v>0.1678</v>
      </c>
      <c r="E50" s="2597">
        <v>9.3700000000000006E-2</v>
      </c>
      <c r="F50" s="2597">
        <v>5.8700000000000002E-2</v>
      </c>
      <c r="G50" s="2597">
        <v>1.9800000000000002E-2</v>
      </c>
      <c r="H50" s="2597">
        <v>6.54E-2</v>
      </c>
      <c r="I50" s="2598">
        <v>0.1048</v>
      </c>
      <c r="J50" s="2604">
        <v>4.3700000000000003E-2</v>
      </c>
      <c r="K50" s="2606">
        <v>8.17</v>
      </c>
    </row>
    <row r="51" spans="1:11">
      <c r="A51" s="2577">
        <v>0</v>
      </c>
      <c r="B51" s="2578" t="s">
        <v>1555</v>
      </c>
      <c r="C51" s="2578" t="s">
        <v>1561</v>
      </c>
      <c r="D51" s="2596">
        <v>2.29E-2</v>
      </c>
      <c r="E51" s="2597">
        <v>8.3000000000000001E-3</v>
      </c>
      <c r="F51" s="2597">
        <v>5.7000000000000002E-3</v>
      </c>
      <c r="G51" s="2597">
        <v>1.1000000000000001E-3</v>
      </c>
      <c r="H51" s="2597">
        <v>6.0000000000000001E-3</v>
      </c>
      <c r="I51" s="2598">
        <v>1.2500000000000001E-2</v>
      </c>
      <c r="J51" s="2604">
        <v>0</v>
      </c>
      <c r="K51" s="2606">
        <v>8.17</v>
      </c>
    </row>
    <row r="52" spans="1:11">
      <c r="A52" s="2577">
        <v>0</v>
      </c>
      <c r="B52" s="2578" t="s">
        <v>1556</v>
      </c>
      <c r="C52" s="2578" t="s">
        <v>1561</v>
      </c>
      <c r="D52" s="2596">
        <v>8.1199999999999994E-2</v>
      </c>
      <c r="E52" s="2597">
        <v>5.3600000000000002E-2</v>
      </c>
      <c r="F52" s="2597">
        <v>3.7199999999999997E-2</v>
      </c>
      <c r="G52" s="2597">
        <v>1.3100000000000001E-2</v>
      </c>
      <c r="H52" s="2597">
        <v>3.9699999999999999E-2</v>
      </c>
      <c r="I52" s="2598">
        <v>5.57E-2</v>
      </c>
      <c r="J52" s="2604">
        <v>0.1376</v>
      </c>
      <c r="K52" s="2606">
        <v>8.17</v>
      </c>
    </row>
    <row r="53" spans="1:11">
      <c r="A53" s="2577">
        <v>0</v>
      </c>
      <c r="B53" s="2578" t="s">
        <v>1557</v>
      </c>
      <c r="C53" s="2578" t="s">
        <v>1561</v>
      </c>
      <c r="D53" s="2596">
        <v>8.0999999999999996E-3</v>
      </c>
      <c r="E53" s="2597">
        <v>6.3E-3</v>
      </c>
      <c r="F53" s="2597">
        <v>9.9000000000000008E-3</v>
      </c>
      <c r="G53" s="2597">
        <v>2.2000000000000001E-3</v>
      </c>
      <c r="H53" s="2597">
        <v>7.9000000000000008E-3</v>
      </c>
      <c r="I53" s="2598">
        <v>8.0000000000000002E-3</v>
      </c>
      <c r="J53" s="2604">
        <v>6.88E-2</v>
      </c>
      <c r="K53" s="2606">
        <v>8.17</v>
      </c>
    </row>
    <row r="54" spans="1:11">
      <c r="A54" s="2577">
        <v>0</v>
      </c>
      <c r="B54" s="2578" t="s">
        <v>1558</v>
      </c>
      <c r="C54" s="2578" t="s">
        <v>1561</v>
      </c>
      <c r="D54" s="2596">
        <v>5.4399999999999997E-2</v>
      </c>
      <c r="E54" s="2597">
        <v>3.0599999999999999E-2</v>
      </c>
      <c r="F54" s="2597">
        <v>2.7900000000000001E-2</v>
      </c>
      <c r="G54" s="2597">
        <v>7.0000000000000001E-3</v>
      </c>
      <c r="H54" s="2597">
        <v>2.64E-2</v>
      </c>
      <c r="I54" s="2598">
        <v>3.7199999999999997E-2</v>
      </c>
      <c r="J54" s="2604">
        <v>0.156</v>
      </c>
      <c r="K54" s="2606">
        <v>8.17</v>
      </c>
    </row>
    <row r="55" spans="1:11">
      <c r="A55" s="2577">
        <v>0</v>
      </c>
      <c r="B55" s="2578" t="s">
        <v>1559</v>
      </c>
      <c r="C55" s="2578" t="s">
        <v>1561</v>
      </c>
      <c r="D55" s="2596">
        <v>7.5499999999999998E-2</v>
      </c>
      <c r="E55" s="2597">
        <v>6.3200000000000006E-2</v>
      </c>
      <c r="F55" s="2597">
        <v>5.6599999999999998E-2</v>
      </c>
      <c r="G55" s="2597">
        <v>2.7E-2</v>
      </c>
      <c r="H55" s="2597">
        <v>5.5300000000000002E-2</v>
      </c>
      <c r="I55" s="2598">
        <v>6.3100000000000003E-2</v>
      </c>
      <c r="J55" s="2604">
        <v>0.22570000000000001</v>
      </c>
      <c r="K55" s="2606">
        <v>8.17</v>
      </c>
    </row>
    <row r="56" spans="1:11">
      <c r="A56" s="2577">
        <v>1</v>
      </c>
      <c r="B56" s="2578" t="s">
        <v>1553</v>
      </c>
      <c r="C56" s="2578" t="s">
        <v>1561</v>
      </c>
      <c r="D56" s="2596">
        <v>4.9099999999999998E-2</v>
      </c>
      <c r="E56" s="2597">
        <v>5.6800000000000003E-2</v>
      </c>
      <c r="F56" s="2597">
        <v>6.3E-2</v>
      </c>
      <c r="G56" s="2597">
        <v>4.1700000000000001E-2</v>
      </c>
      <c r="H56" s="2597">
        <v>5.8599999999999999E-2</v>
      </c>
      <c r="I56" s="2598">
        <v>5.4899999999999997E-2</v>
      </c>
      <c r="J56" s="2604">
        <v>0.22389999999999999</v>
      </c>
      <c r="K56" s="2606">
        <v>8.17</v>
      </c>
    </row>
    <row r="57" spans="1:11">
      <c r="A57" s="2577">
        <v>1</v>
      </c>
      <c r="B57" s="2578" t="s">
        <v>1418</v>
      </c>
      <c r="C57" s="2578" t="s">
        <v>1561</v>
      </c>
      <c r="D57" s="2596">
        <v>8.09E-2</v>
      </c>
      <c r="E57" s="2597">
        <v>6.4500000000000002E-2</v>
      </c>
      <c r="F57" s="2597">
        <v>6.4199999999999993E-2</v>
      </c>
      <c r="G57" s="2597">
        <v>6.8599999999999994E-2</v>
      </c>
      <c r="H57" s="2597">
        <v>6.4799999999999996E-2</v>
      </c>
      <c r="I57" s="2598">
        <v>7.0999999999999994E-2</v>
      </c>
      <c r="J57" s="2604">
        <v>2.87E-2</v>
      </c>
      <c r="K57" s="2606">
        <v>8.17</v>
      </c>
    </row>
    <row r="58" spans="1:11">
      <c r="A58" s="2577">
        <v>1</v>
      </c>
      <c r="B58" s="2578" t="s">
        <v>1555</v>
      </c>
      <c r="C58" s="2578" t="s">
        <v>1561</v>
      </c>
      <c r="D58" s="2596">
        <v>1.2699999999999999E-2</v>
      </c>
      <c r="E58" s="2597">
        <v>2.5999999999999999E-3</v>
      </c>
      <c r="F58" s="2597">
        <v>5.8999999999999999E-3</v>
      </c>
      <c r="G58" s="2597">
        <v>1.5E-3</v>
      </c>
      <c r="H58" s="2597">
        <v>4.4000000000000003E-3</v>
      </c>
      <c r="I58" s="2598">
        <v>7.6E-3</v>
      </c>
      <c r="J58" s="2604">
        <v>0</v>
      </c>
      <c r="K58" s="2606">
        <v>8.17</v>
      </c>
    </row>
    <row r="59" spans="1:11">
      <c r="A59" s="2577">
        <v>1</v>
      </c>
      <c r="B59" s="2578" t="s">
        <v>1556</v>
      </c>
      <c r="C59" s="2578" t="s">
        <v>1561</v>
      </c>
      <c r="D59" s="2596">
        <v>5.3699999999999998E-2</v>
      </c>
      <c r="E59" s="2597">
        <v>6.2899999999999998E-2</v>
      </c>
      <c r="F59" s="2597">
        <v>4.3099999999999999E-2</v>
      </c>
      <c r="G59" s="2597">
        <v>8.5300000000000001E-2</v>
      </c>
      <c r="H59" s="2597">
        <v>5.4300000000000001E-2</v>
      </c>
      <c r="I59" s="2598">
        <v>5.4100000000000002E-2</v>
      </c>
      <c r="J59" s="2604">
        <v>9.3399999999999997E-2</v>
      </c>
      <c r="K59" s="2606">
        <v>8.17</v>
      </c>
    </row>
    <row r="60" spans="1:11">
      <c r="A60" s="2577">
        <v>1</v>
      </c>
      <c r="B60" s="2578" t="s">
        <v>1557</v>
      </c>
      <c r="C60" s="2578" t="s">
        <v>1561</v>
      </c>
      <c r="D60" s="2596">
        <v>3.0000000000000001E-3</v>
      </c>
      <c r="E60" s="2597">
        <v>3.2000000000000002E-3</v>
      </c>
      <c r="F60" s="2597">
        <v>3.8999999999999998E-3</v>
      </c>
      <c r="G60" s="2597">
        <v>6.3E-3</v>
      </c>
      <c r="H60" s="2597">
        <v>3.8999999999999998E-3</v>
      </c>
      <c r="I60" s="2598">
        <v>3.5999999999999999E-3</v>
      </c>
      <c r="J60" s="2604">
        <v>4.5499999999999999E-2</v>
      </c>
      <c r="K60" s="2606">
        <v>8.17</v>
      </c>
    </row>
    <row r="61" spans="1:11">
      <c r="A61" s="2577">
        <v>1</v>
      </c>
      <c r="B61" s="2578" t="s">
        <v>1558</v>
      </c>
      <c r="C61" s="2578" t="s">
        <v>1561</v>
      </c>
      <c r="D61" s="2596">
        <v>1.49E-2</v>
      </c>
      <c r="E61" s="2597">
        <v>1.2500000000000001E-2</v>
      </c>
      <c r="F61" s="2597">
        <v>1.0999999999999999E-2</v>
      </c>
      <c r="G61" s="2597">
        <v>8.5000000000000006E-3</v>
      </c>
      <c r="H61" s="2597">
        <v>1.12E-2</v>
      </c>
      <c r="I61" s="2598">
        <v>1.26E-2</v>
      </c>
      <c r="J61" s="2604">
        <v>0.1066</v>
      </c>
      <c r="K61" s="2606">
        <v>8.17</v>
      </c>
    </row>
    <row r="62" spans="1:11">
      <c r="A62" s="2577">
        <v>1</v>
      </c>
      <c r="B62" s="2578" t="s">
        <v>1559</v>
      </c>
      <c r="C62" s="2578" t="s">
        <v>1561</v>
      </c>
      <c r="D62" s="2596">
        <v>2.5499999999999998E-2</v>
      </c>
      <c r="E62" s="2597">
        <v>2.3800000000000002E-2</v>
      </c>
      <c r="F62" s="2597">
        <v>2.6800000000000001E-2</v>
      </c>
      <c r="G62" s="2597">
        <v>2.4E-2</v>
      </c>
      <c r="H62" s="2597">
        <v>2.5600000000000001E-2</v>
      </c>
      <c r="I62" s="2598">
        <v>2.5499999999999998E-2</v>
      </c>
      <c r="J62" s="2604">
        <v>0.1583</v>
      </c>
      <c r="K62" s="2606">
        <v>8.17</v>
      </c>
    </row>
    <row r="63" spans="1:11">
      <c r="A63" s="2577" t="s">
        <v>1560</v>
      </c>
      <c r="B63" s="2578" t="s">
        <v>1553</v>
      </c>
      <c r="C63" s="2578" t="s">
        <v>1561</v>
      </c>
      <c r="D63" s="2596">
        <v>1.2699999999999999E-2</v>
      </c>
      <c r="E63" s="2597">
        <v>2.6599999999999999E-2</v>
      </c>
      <c r="F63" s="2597">
        <v>3.4599999999999999E-2</v>
      </c>
      <c r="G63" s="2597">
        <v>6.5699999999999995E-2</v>
      </c>
      <c r="H63" s="2597">
        <v>3.56E-2</v>
      </c>
      <c r="I63" s="2598">
        <v>2.6800000000000001E-2</v>
      </c>
      <c r="J63" s="2604">
        <v>0.15290000000000001</v>
      </c>
      <c r="K63" s="2606">
        <v>8.17</v>
      </c>
    </row>
    <row r="64" spans="1:11">
      <c r="A64" s="2577" t="s">
        <v>1560</v>
      </c>
      <c r="B64" s="2578" t="s">
        <v>1418</v>
      </c>
      <c r="C64" s="2578" t="s">
        <v>1561</v>
      </c>
      <c r="D64" s="2596">
        <v>2.4E-2</v>
      </c>
      <c r="E64" s="2597">
        <v>2.9000000000000001E-2</v>
      </c>
      <c r="F64" s="2597">
        <v>4.3700000000000003E-2</v>
      </c>
      <c r="G64" s="2597">
        <v>3.9800000000000002E-2</v>
      </c>
      <c r="H64" s="2597">
        <v>3.85E-2</v>
      </c>
      <c r="I64" s="2598">
        <v>3.3000000000000002E-2</v>
      </c>
      <c r="J64" s="2604">
        <v>1.8100000000000002E-2</v>
      </c>
      <c r="K64" s="2606">
        <v>8.17</v>
      </c>
    </row>
    <row r="65" spans="1:11">
      <c r="A65" s="2577" t="s">
        <v>1560</v>
      </c>
      <c r="B65" s="2578" t="s">
        <v>1555</v>
      </c>
      <c r="C65" s="2578" t="s">
        <v>1561</v>
      </c>
      <c r="D65" s="2596">
        <v>1.5E-3</v>
      </c>
      <c r="E65" s="2597">
        <v>1.9E-3</v>
      </c>
      <c r="F65" s="2597">
        <v>2E-3</v>
      </c>
      <c r="G65" s="2597">
        <v>7.1000000000000004E-3</v>
      </c>
      <c r="H65" s="2597">
        <v>2.5000000000000001E-3</v>
      </c>
      <c r="I65" s="2598">
        <v>2.0999999999999999E-3</v>
      </c>
      <c r="J65" s="2604">
        <v>0</v>
      </c>
      <c r="K65" s="2606">
        <v>8.17</v>
      </c>
    </row>
    <row r="66" spans="1:11">
      <c r="A66" s="2577" t="s">
        <v>1560</v>
      </c>
      <c r="B66" s="2578" t="s">
        <v>1556</v>
      </c>
      <c r="C66" s="2578" t="s">
        <v>1561</v>
      </c>
      <c r="D66" s="2596">
        <v>1.83E-2</v>
      </c>
      <c r="E66" s="2597">
        <v>4.3299999999999998E-2</v>
      </c>
      <c r="F66" s="2597">
        <v>5.0999999999999997E-2</v>
      </c>
      <c r="G66" s="2597">
        <v>0.17979999999999999</v>
      </c>
      <c r="H66" s="2597">
        <v>6.3299999999999995E-2</v>
      </c>
      <c r="I66" s="2598">
        <v>4.5999999999999999E-2</v>
      </c>
      <c r="J66" s="2604">
        <v>6.0499999999999998E-2</v>
      </c>
      <c r="K66" s="2606">
        <v>8.17</v>
      </c>
    </row>
    <row r="67" spans="1:11">
      <c r="A67" s="2577" t="s">
        <v>1560</v>
      </c>
      <c r="B67" s="2578" t="s">
        <v>1557</v>
      </c>
      <c r="C67" s="2578" t="s">
        <v>1561</v>
      </c>
      <c r="D67" s="2596">
        <v>5.0000000000000001E-4</v>
      </c>
      <c r="E67" s="2597">
        <v>1E-3</v>
      </c>
      <c r="F67" s="2597">
        <v>1.1999999999999999E-3</v>
      </c>
      <c r="G67" s="2597">
        <v>3.3E-3</v>
      </c>
      <c r="H67" s="2597">
        <v>1.4E-3</v>
      </c>
      <c r="I67" s="2598">
        <v>1E-3</v>
      </c>
      <c r="J67" s="2604">
        <v>2.9000000000000001E-2</v>
      </c>
      <c r="K67" s="2606">
        <v>8.17</v>
      </c>
    </row>
    <row r="68" spans="1:11">
      <c r="A68" s="2577" t="s">
        <v>1560</v>
      </c>
      <c r="B68" s="2578" t="s">
        <v>1558</v>
      </c>
      <c r="C68" s="2578" t="s">
        <v>1561</v>
      </c>
      <c r="D68" s="2596">
        <v>4.7000000000000002E-3</v>
      </c>
      <c r="E68" s="2597">
        <v>4.4000000000000003E-3</v>
      </c>
      <c r="F68" s="2597">
        <v>6.4000000000000003E-3</v>
      </c>
      <c r="G68" s="2597">
        <v>1.0999999999999999E-2</v>
      </c>
      <c r="H68" s="2597">
        <v>6.3E-3</v>
      </c>
      <c r="I68" s="2598">
        <v>5.7000000000000002E-3</v>
      </c>
      <c r="J68" s="2604">
        <v>6.9500000000000006E-2</v>
      </c>
      <c r="K68" s="2606">
        <v>8.17</v>
      </c>
    </row>
    <row r="69" spans="1:11" ht="13.8" thickBot="1">
      <c r="A69" s="2579" t="s">
        <v>1560</v>
      </c>
      <c r="B69" s="2580" t="s">
        <v>1559</v>
      </c>
      <c r="C69" s="2580" t="s">
        <v>1561</v>
      </c>
      <c r="D69" s="2599">
        <v>0.01</v>
      </c>
      <c r="E69" s="2600">
        <v>1.6299999999999999E-2</v>
      </c>
      <c r="F69" s="2600">
        <v>1.8700000000000001E-2</v>
      </c>
      <c r="G69" s="2600">
        <v>3.49E-2</v>
      </c>
      <c r="H69" s="2600">
        <v>1.9800000000000002E-2</v>
      </c>
      <c r="I69" s="2601">
        <v>1.6E-2</v>
      </c>
      <c r="J69" s="2605">
        <v>0.1053</v>
      </c>
      <c r="K69" s="2608">
        <v>8.17</v>
      </c>
    </row>
    <row r="70" spans="1:11" ht="13.8" thickTop="1"/>
  </sheetData>
  <sheetProtection sheet="1" objects="1" scenarios="1"/>
  <mergeCells count="11">
    <mergeCell ref="A1:B1"/>
    <mergeCell ref="A18:B18"/>
    <mergeCell ref="A19:B19"/>
    <mergeCell ref="A20:B20"/>
    <mergeCell ref="A21:B21"/>
    <mergeCell ref="A11:B11"/>
    <mergeCell ref="E6:S6"/>
    <mergeCell ref="A7:B7"/>
    <mergeCell ref="A8:B8"/>
    <mergeCell ref="A10:B10"/>
    <mergeCell ref="A12:B12"/>
  </mergeCells>
  <hyperlinks>
    <hyperlink ref="A10" location="Contents!A1" display="Contents"/>
    <hyperlink ref="A10:B10" location="Contents!A1" tooltip="Contents page" display="Contents"/>
    <hyperlink ref="A12:B12" r:id="rId1" tooltip="Unit A1.3 User &amp; Provider Impacts" display="WebTAG Unit A 1.3"/>
  </hyperlinks>
  <pageMargins left="0.7" right="0.7" top="0.75" bottom="0.75" header="0.3" footer="0.3"/>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tabColor rgb="FF008000"/>
    <pageSetUpPr fitToPage="1"/>
  </sheetPr>
  <dimension ref="A1:S70"/>
  <sheetViews>
    <sheetView showGridLines="0" zoomScale="85" zoomScaleNormal="85" workbookViewId="0">
      <pane xSplit="3" ySplit="27" topLeftCell="D70"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2"/>
  <cols>
    <col min="1" max="16384" width="12.88671875" style="2555"/>
  </cols>
  <sheetData>
    <row r="1" spans="1:19" ht="54.9" customHeight="1">
      <c r="A1" s="3742"/>
      <c r="B1" s="3742"/>
      <c r="C1" s="112"/>
    </row>
    <row r="2" spans="1:19" ht="5.0999999999999996" customHeight="1">
      <c r="C2" s="111"/>
    </row>
    <row r="3" spans="1:19" s="20" customFormat="1" ht="20.100000000000001" customHeight="1">
      <c r="A3" s="20" t="s">
        <v>2260</v>
      </c>
    </row>
    <row r="4" spans="1:19" s="20" customFormat="1" ht="20.100000000000001" customHeight="1" thickBot="1">
      <c r="A4" s="235" t="s">
        <v>1533</v>
      </c>
      <c r="B4" s="235"/>
      <c r="C4" s="235"/>
      <c r="D4" s="235"/>
      <c r="E4" s="235"/>
      <c r="F4" s="235"/>
      <c r="G4" s="235"/>
      <c r="H4" s="235"/>
      <c r="I4" s="235"/>
      <c r="J4" s="1214"/>
      <c r="K4" s="1214"/>
      <c r="L4" s="1215"/>
      <c r="M4" s="109"/>
      <c r="N4" s="235"/>
      <c r="O4" s="235"/>
      <c r="P4" s="235"/>
      <c r="Q4" s="235"/>
      <c r="R4" s="235"/>
      <c r="S4" s="235"/>
    </row>
    <row r="5" spans="1:19" ht="9.9" customHeight="1" thickTop="1" thickBot="1">
      <c r="J5" s="35"/>
      <c r="K5" s="2556"/>
      <c r="L5" s="32"/>
      <c r="M5" s="335"/>
    </row>
    <row r="6" spans="1:19" ht="13.5" customHeight="1" thickTop="1">
      <c r="A6" s="169" t="s">
        <v>10</v>
      </c>
      <c r="B6" s="169"/>
      <c r="E6" s="3626" t="s">
        <v>255</v>
      </c>
      <c r="F6" s="3654"/>
      <c r="G6" s="3654"/>
      <c r="H6" s="3654"/>
      <c r="I6" s="3654"/>
      <c r="J6" s="3654"/>
      <c r="K6" s="3654"/>
      <c r="L6" s="3654"/>
      <c r="M6" s="3654"/>
      <c r="N6" s="3654"/>
      <c r="O6" s="3654"/>
      <c r="P6" s="3654"/>
      <c r="Q6" s="3654"/>
      <c r="R6" s="3654"/>
      <c r="S6" s="3655"/>
    </row>
    <row r="7" spans="1:19" ht="13.5" customHeight="1">
      <c r="A7" s="3644" t="str">
        <f>Audit!A12</f>
        <v>May 2019 v1.12</v>
      </c>
      <c r="B7" s="3645"/>
      <c r="E7" s="2528" t="s">
        <v>1613</v>
      </c>
      <c r="G7" s="2557"/>
      <c r="H7" s="2557"/>
      <c r="I7" s="2557"/>
      <c r="J7" s="2371" t="s">
        <v>1614</v>
      </c>
      <c r="K7" s="2557"/>
      <c r="L7" s="2557"/>
      <c r="M7" s="2557"/>
      <c r="N7" s="2557"/>
      <c r="O7" s="2557"/>
      <c r="P7" s="2557"/>
      <c r="Q7" s="2557"/>
      <c r="R7" s="2557"/>
      <c r="S7" s="2558"/>
    </row>
    <row r="8" spans="1:19" ht="13.5" customHeight="1">
      <c r="A8" s="3740">
        <f>Audit!C12</f>
        <v>43586</v>
      </c>
      <c r="B8" s="3741"/>
      <c r="C8" s="2559"/>
      <c r="D8" s="2559"/>
      <c r="E8" s="2560"/>
      <c r="F8" s="148"/>
      <c r="G8" s="2557"/>
      <c r="H8" s="2557"/>
      <c r="I8" s="2557"/>
      <c r="J8" s="2557"/>
      <c r="K8" s="2557"/>
      <c r="L8" s="2557"/>
      <c r="M8" s="2557"/>
      <c r="N8" s="2557"/>
      <c r="O8" s="2557"/>
      <c r="P8" s="2557"/>
      <c r="Q8" s="2557"/>
      <c r="R8" s="2557"/>
      <c r="S8" s="2558"/>
    </row>
    <row r="9" spans="1:19" ht="13.5" customHeight="1" thickBot="1">
      <c r="A9" s="172" t="s">
        <v>14</v>
      </c>
      <c r="B9" s="2561"/>
      <c r="D9" s="2559"/>
      <c r="E9" s="2528" t="s">
        <v>1615</v>
      </c>
      <c r="F9" s="2557"/>
      <c r="G9" s="2557"/>
      <c r="H9" s="2557"/>
      <c r="I9" s="2557"/>
      <c r="J9" s="2557"/>
      <c r="K9" s="2557"/>
      <c r="L9" s="2557"/>
      <c r="M9" s="2557"/>
      <c r="N9" s="2557"/>
      <c r="O9" s="2557"/>
      <c r="P9" s="2557"/>
      <c r="Q9" s="2557"/>
      <c r="R9" s="2557"/>
      <c r="S9" s="2558"/>
    </row>
    <row r="10" spans="1:19" ht="13.5" customHeight="1" thickBot="1">
      <c r="A10" s="3570" t="s">
        <v>1306</v>
      </c>
      <c r="B10" s="3610"/>
      <c r="D10" s="2559"/>
      <c r="E10" s="2528"/>
      <c r="F10" s="335"/>
      <c r="G10" s="335"/>
      <c r="H10" s="335"/>
      <c r="I10" s="335"/>
      <c r="J10" s="335"/>
      <c r="K10" s="335"/>
      <c r="L10" s="335"/>
      <c r="M10" s="335"/>
      <c r="N10" s="335"/>
      <c r="O10" s="335"/>
      <c r="P10" s="335"/>
      <c r="Q10" s="335"/>
      <c r="R10" s="335"/>
      <c r="S10" s="2562"/>
    </row>
    <row r="11" spans="1:19" ht="13.5" customHeight="1" thickBot="1">
      <c r="A11" s="3653"/>
      <c r="B11" s="3653"/>
      <c r="D11" s="2559"/>
      <c r="E11" s="2528"/>
      <c r="F11" s="2563"/>
      <c r="G11" s="2563"/>
      <c r="H11" s="2563"/>
      <c r="I11" s="2563"/>
      <c r="J11" s="2563"/>
      <c r="K11" s="2563"/>
      <c r="L11" s="2563"/>
      <c r="M11" s="2563"/>
      <c r="N11" s="2563"/>
      <c r="O11" s="2563"/>
      <c r="P11" s="2563"/>
      <c r="Q11" s="2563"/>
      <c r="R11" s="2563"/>
      <c r="S11" s="2564"/>
    </row>
    <row r="12" spans="1:19" ht="13.5" customHeight="1" thickBot="1">
      <c r="A12" s="3570" t="s">
        <v>2217</v>
      </c>
      <c r="B12" s="3581"/>
      <c r="D12" s="2559"/>
      <c r="E12" s="2528"/>
      <c r="F12" s="2557"/>
      <c r="G12" s="2557"/>
      <c r="H12" s="2557"/>
      <c r="I12" s="2557"/>
      <c r="J12" s="2557"/>
      <c r="K12" s="2557"/>
      <c r="L12" s="2557"/>
      <c r="M12" s="2557"/>
      <c r="N12" s="2557"/>
      <c r="O12" s="2557"/>
      <c r="P12" s="2557"/>
      <c r="Q12" s="2557"/>
      <c r="R12" s="2557"/>
      <c r="S12" s="2558"/>
    </row>
    <row r="13" spans="1:19" ht="13.5" customHeight="1">
      <c r="A13" s="172" t="s">
        <v>252</v>
      </c>
      <c r="B13" s="2565"/>
      <c r="C13" s="2559"/>
      <c r="D13" s="2559"/>
      <c r="E13" s="2566"/>
      <c r="F13" s="2557"/>
      <c r="G13" s="2557"/>
      <c r="H13" s="2557"/>
      <c r="I13" s="2557"/>
      <c r="J13" s="2557"/>
      <c r="K13" s="2557"/>
      <c r="L13" s="2557"/>
      <c r="M13" s="2557"/>
      <c r="N13" s="2557"/>
      <c r="O13" s="2557"/>
      <c r="P13" s="2557"/>
      <c r="Q13" s="2557"/>
      <c r="R13" s="2557"/>
      <c r="S13" s="2558"/>
    </row>
    <row r="14" spans="1:19" ht="13.5" customHeight="1">
      <c r="A14" s="2567"/>
      <c r="B14" s="2446"/>
      <c r="C14" s="2568"/>
      <c r="D14" s="2559"/>
      <c r="E14" s="2528"/>
      <c r="F14" s="2557"/>
      <c r="G14" s="2557"/>
      <c r="H14" s="2557"/>
      <c r="I14" s="2557"/>
      <c r="J14" s="2557"/>
      <c r="K14" s="2557"/>
      <c r="L14" s="2557"/>
      <c r="M14" s="2557"/>
      <c r="N14" s="2557"/>
      <c r="O14" s="2557"/>
      <c r="P14" s="2557"/>
      <c r="Q14" s="2557"/>
      <c r="R14" s="2557"/>
      <c r="S14" s="2558"/>
    </row>
    <row r="15" spans="1:19" ht="13.5" customHeight="1">
      <c r="A15" s="2569"/>
      <c r="B15" s="2442"/>
      <c r="C15" s="2568"/>
      <c r="D15" s="2559"/>
      <c r="E15" s="2528"/>
      <c r="F15" s="335"/>
      <c r="G15" s="335"/>
      <c r="H15" s="335"/>
      <c r="I15" s="335"/>
      <c r="J15" s="335"/>
      <c r="K15" s="335"/>
      <c r="L15" s="335"/>
      <c r="M15" s="335"/>
      <c r="N15" s="335"/>
      <c r="O15" s="335"/>
      <c r="P15" s="335"/>
      <c r="Q15" s="335"/>
      <c r="R15" s="335"/>
      <c r="S15" s="2562"/>
    </row>
    <row r="16" spans="1:19" ht="13.5" customHeight="1">
      <c r="A16" s="2569"/>
      <c r="B16" s="2442"/>
      <c r="C16" s="858"/>
      <c r="D16" s="2559"/>
      <c r="E16" s="2528"/>
      <c r="F16" s="2557"/>
      <c r="G16" s="2557"/>
      <c r="H16" s="2557"/>
      <c r="I16" s="2557"/>
      <c r="J16" s="2557"/>
      <c r="K16" s="2557"/>
      <c r="L16" s="2557"/>
      <c r="M16" s="2557"/>
      <c r="N16" s="2557"/>
      <c r="O16" s="2557"/>
      <c r="P16" s="2557"/>
      <c r="Q16" s="2557"/>
      <c r="R16" s="2557"/>
      <c r="S16" s="2558"/>
    </row>
    <row r="17" spans="1:19" ht="13.5" customHeight="1">
      <c r="A17" s="169" t="s">
        <v>253</v>
      </c>
      <c r="B17" s="2570"/>
      <c r="C17" s="2559"/>
      <c r="D17" s="2559"/>
      <c r="E17" s="207"/>
      <c r="F17" s="2557"/>
      <c r="G17" s="2557"/>
      <c r="H17" s="2557"/>
      <c r="I17" s="2557"/>
      <c r="J17" s="2557"/>
      <c r="K17" s="2557"/>
      <c r="L17" s="2557"/>
      <c r="M17" s="2557"/>
      <c r="N17" s="2557"/>
      <c r="O17" s="2557"/>
      <c r="P17" s="2557"/>
      <c r="Q17" s="2557"/>
      <c r="R17" s="2557"/>
      <c r="S17" s="2558"/>
    </row>
    <row r="18" spans="1:19" ht="13.5" customHeight="1">
      <c r="A18" s="3653"/>
      <c r="B18" s="3653"/>
      <c r="C18" s="2559"/>
      <c r="D18" s="2559"/>
      <c r="E18" s="2560"/>
      <c r="F18" s="2557"/>
      <c r="G18" s="2557"/>
      <c r="H18" s="2557"/>
      <c r="I18" s="2557"/>
      <c r="J18" s="2557"/>
      <c r="K18" s="2557"/>
      <c r="L18" s="2557"/>
      <c r="M18" s="2557"/>
      <c r="N18" s="2557"/>
      <c r="O18" s="2557"/>
      <c r="P18" s="2557"/>
      <c r="Q18" s="2557"/>
      <c r="R18" s="2557"/>
      <c r="S18" s="2558"/>
    </row>
    <row r="19" spans="1:19" ht="13.5" customHeight="1">
      <c r="A19" s="3653"/>
      <c r="B19" s="3653"/>
      <c r="C19" s="2559"/>
      <c r="D19" s="2559"/>
      <c r="E19" s="2528"/>
      <c r="F19" s="2557"/>
      <c r="G19" s="2557"/>
      <c r="H19" s="2557"/>
      <c r="I19" s="2557"/>
      <c r="J19" s="2557"/>
      <c r="K19" s="2557"/>
      <c r="L19" s="2557"/>
      <c r="M19" s="2557"/>
      <c r="N19" s="2557"/>
      <c r="O19" s="2557"/>
      <c r="P19" s="2557"/>
      <c r="Q19" s="2557"/>
      <c r="R19" s="2557"/>
      <c r="S19" s="2558"/>
    </row>
    <row r="20" spans="1:19" ht="13.5" customHeight="1" thickBot="1">
      <c r="A20" s="3653"/>
      <c r="B20" s="3653"/>
      <c r="C20" s="2559"/>
      <c r="D20" s="2559"/>
      <c r="E20" s="2571" t="s">
        <v>2366</v>
      </c>
      <c r="F20" s="23"/>
      <c r="G20" s="23"/>
      <c r="H20" s="23"/>
      <c r="I20" s="23"/>
      <c r="J20" s="23"/>
      <c r="K20" s="23"/>
      <c r="L20" s="23"/>
      <c r="M20" s="23"/>
      <c r="N20" s="23"/>
      <c r="O20" s="23"/>
      <c r="P20" s="23"/>
      <c r="Q20" s="23"/>
      <c r="R20" s="23"/>
      <c r="S20" s="108"/>
    </row>
    <row r="21" spans="1:19" ht="13.5" customHeight="1" thickTop="1">
      <c r="A21" s="3653"/>
      <c r="B21" s="3653"/>
      <c r="C21" s="2559"/>
      <c r="D21" s="2559"/>
      <c r="E21" s="31"/>
      <c r="G21" s="47"/>
      <c r="H21" s="335"/>
      <c r="I21" s="335"/>
      <c r="J21" s="35"/>
      <c r="K21" s="2556"/>
      <c r="L21" s="32"/>
      <c r="M21" s="335"/>
    </row>
    <row r="22" spans="1:19" ht="13.5" customHeight="1" thickBot="1">
      <c r="G22" s="335"/>
      <c r="H22" s="335"/>
      <c r="I22" s="335"/>
      <c r="J22" s="335"/>
      <c r="K22" s="335"/>
      <c r="L22" s="335"/>
    </row>
    <row r="23" spans="1:19" ht="13.5" customHeight="1" thickTop="1">
      <c r="A23" s="174" t="s">
        <v>1562</v>
      </c>
      <c r="B23" s="1242"/>
      <c r="C23" s="667"/>
      <c r="D23" s="1243"/>
      <c r="E23" s="1243"/>
      <c r="F23" s="1243"/>
      <c r="G23" s="1243"/>
      <c r="H23" s="1243"/>
      <c r="I23" s="1244"/>
      <c r="J23" s="29"/>
      <c r="K23" s="335"/>
      <c r="L23" s="335"/>
    </row>
    <row r="24" spans="1:19" ht="13.5" customHeight="1" thickBot="1">
      <c r="A24" s="836"/>
      <c r="B24" s="1245"/>
      <c r="C24" s="1246"/>
      <c r="D24" s="1247"/>
      <c r="E24" s="1247"/>
      <c r="F24" s="1247"/>
      <c r="G24" s="1247"/>
      <c r="H24" s="1247"/>
      <c r="I24" s="1248"/>
      <c r="J24" s="29"/>
      <c r="K24" s="335"/>
      <c r="L24" s="335"/>
    </row>
    <row r="25" spans="1:19" ht="13.5" customHeight="1" thickTop="1">
      <c r="A25" s="421" t="s">
        <v>1534</v>
      </c>
      <c r="B25" s="421" t="s">
        <v>1563</v>
      </c>
      <c r="C25" s="421" t="s">
        <v>1536</v>
      </c>
      <c r="D25" s="421" t="s">
        <v>1487</v>
      </c>
      <c r="E25" s="421" t="s">
        <v>1537</v>
      </c>
      <c r="F25" s="421" t="s">
        <v>1538</v>
      </c>
      <c r="G25" s="421" t="s">
        <v>1539</v>
      </c>
      <c r="H25" s="421" t="s">
        <v>1540</v>
      </c>
      <c r="I25" s="421" t="s">
        <v>1540</v>
      </c>
      <c r="J25" s="29"/>
      <c r="K25" s="335"/>
      <c r="L25" s="335"/>
    </row>
    <row r="26" spans="1:19" ht="13.5" customHeight="1">
      <c r="A26" s="421" t="s">
        <v>1541</v>
      </c>
      <c r="B26" s="421" t="s">
        <v>1564</v>
      </c>
      <c r="C26" s="421" t="s">
        <v>1542</v>
      </c>
      <c r="D26" s="421" t="s">
        <v>1543</v>
      </c>
      <c r="E26" s="421" t="s">
        <v>1544</v>
      </c>
      <c r="F26" s="421" t="s">
        <v>1545</v>
      </c>
      <c r="G26" s="421" t="s">
        <v>1546</v>
      </c>
      <c r="H26" s="421" t="s">
        <v>1547</v>
      </c>
      <c r="I26" s="421" t="s">
        <v>1548</v>
      </c>
      <c r="J26" s="29"/>
      <c r="K26" s="335"/>
      <c r="L26" s="335"/>
    </row>
    <row r="27" spans="1:19" ht="13.5" customHeight="1" thickBot="1">
      <c r="A27" s="1223"/>
      <c r="B27" s="1223"/>
      <c r="C27" s="1223" t="s">
        <v>1549</v>
      </c>
      <c r="D27" s="1223"/>
      <c r="E27" s="1223" t="s">
        <v>1550</v>
      </c>
      <c r="F27" s="1223" t="s">
        <v>1551</v>
      </c>
      <c r="G27" s="1223" t="s">
        <v>1552</v>
      </c>
      <c r="H27" s="1223"/>
      <c r="I27" s="1223"/>
      <c r="J27" s="48"/>
      <c r="K27" s="335"/>
      <c r="L27" s="335"/>
    </row>
    <row r="28" spans="1:19" ht="13.5" customHeight="1" thickTop="1">
      <c r="A28" s="2572">
        <v>0</v>
      </c>
      <c r="B28" s="2573" t="s">
        <v>1553</v>
      </c>
      <c r="C28" s="2573" t="s">
        <v>1554</v>
      </c>
      <c r="D28" s="2573">
        <f>'Bus Social Impacts'!D28</f>
        <v>4.3999999999999997E-2</v>
      </c>
      <c r="E28" s="2573">
        <f>'Bus Social Impacts'!E28</f>
        <v>0.1144</v>
      </c>
      <c r="F28" s="2573">
        <f>'Bus Social Impacts'!F28</f>
        <v>0.1168</v>
      </c>
      <c r="G28" s="2573">
        <f>'Bus Social Impacts'!G28</f>
        <v>0.1031</v>
      </c>
      <c r="H28" s="2573">
        <f>'Bus Social Impacts'!H28</f>
        <v>0.1145</v>
      </c>
      <c r="I28" s="2573">
        <f>'Bus Social Impacts'!I28</f>
        <v>8.7400000000000005E-2</v>
      </c>
      <c r="J28" s="2574"/>
      <c r="K28" s="335"/>
      <c r="L28" s="47"/>
    </row>
    <row r="29" spans="1:19" ht="13.5" customHeight="1">
      <c r="A29" s="2575">
        <v>0</v>
      </c>
      <c r="B29" s="2576" t="s">
        <v>1418</v>
      </c>
      <c r="C29" s="2576" t="s">
        <v>1554</v>
      </c>
      <c r="D29" s="2576">
        <f>'Bus Social Impacts'!D29</f>
        <v>5.4999999999999997E-3</v>
      </c>
      <c r="E29" s="2576">
        <f>'Bus Social Impacts'!E29</f>
        <v>5.5999999999999999E-3</v>
      </c>
      <c r="F29" s="2576">
        <f>'Bus Social Impacts'!F29</f>
        <v>7.1000000000000004E-3</v>
      </c>
      <c r="G29" s="2576">
        <f>'Bus Social Impacts'!G29</f>
        <v>4.3E-3</v>
      </c>
      <c r="H29" s="2576">
        <f>'Bus Social Impacts'!H29</f>
        <v>6.3E-3</v>
      </c>
      <c r="I29" s="2576">
        <f>'Bus Social Impacts'!I29</f>
        <v>6.0000000000000001E-3</v>
      </c>
      <c r="J29" s="2574"/>
      <c r="K29" s="335"/>
      <c r="L29" s="335"/>
    </row>
    <row r="30" spans="1:19" ht="13.5" customHeight="1">
      <c r="A30" s="2575">
        <v>0</v>
      </c>
      <c r="B30" s="2576" t="s">
        <v>1555</v>
      </c>
      <c r="C30" s="2576" t="s">
        <v>1554</v>
      </c>
      <c r="D30" s="2576">
        <f>'Bus Social Impacts'!D30</f>
        <v>1.1000000000000001E-3</v>
      </c>
      <c r="E30" s="2576">
        <f>'Bus Social Impacts'!E30</f>
        <v>0</v>
      </c>
      <c r="F30" s="2576">
        <f>'Bus Social Impacts'!F30</f>
        <v>1.1000000000000001E-3</v>
      </c>
      <c r="G30" s="2576">
        <f>'Bus Social Impacts'!G30</f>
        <v>0</v>
      </c>
      <c r="H30" s="2576">
        <f>'Bus Social Impacts'!H30</f>
        <v>5.9999999999999995E-4</v>
      </c>
      <c r="I30" s="2576">
        <f>'Bus Social Impacts'!I30</f>
        <v>8.0000000000000004E-4</v>
      </c>
      <c r="J30" s="2574"/>
      <c r="K30" s="335"/>
      <c r="L30" s="335"/>
    </row>
    <row r="31" spans="1:19" ht="13.5" customHeight="1">
      <c r="A31" s="2575">
        <v>0</v>
      </c>
      <c r="B31" s="2576" t="s">
        <v>1556</v>
      </c>
      <c r="C31" s="2576" t="s">
        <v>1554</v>
      </c>
      <c r="D31" s="2576">
        <f>'Bus Social Impacts'!D31</f>
        <v>5.9999999999999995E-4</v>
      </c>
      <c r="E31" s="2576">
        <f>'Bus Social Impacts'!E31</f>
        <v>1E-4</v>
      </c>
      <c r="F31" s="2576">
        <f>'Bus Social Impacts'!F31</f>
        <v>2.0000000000000001E-4</v>
      </c>
      <c r="G31" s="2576">
        <f>'Bus Social Impacts'!G31</f>
        <v>2.9999999999999997E-4</v>
      </c>
      <c r="H31" s="2576">
        <f>'Bus Social Impacts'!H31</f>
        <v>2.0000000000000001E-4</v>
      </c>
      <c r="I31" s="2576">
        <f>'Bus Social Impacts'!I31</f>
        <v>2.9999999999999997E-4</v>
      </c>
      <c r="J31" s="2574"/>
      <c r="K31" s="335"/>
      <c r="L31" s="335"/>
    </row>
    <row r="32" spans="1:19" ht="13.5" customHeight="1">
      <c r="A32" s="2575">
        <v>0</v>
      </c>
      <c r="B32" s="2576" t="s">
        <v>1557</v>
      </c>
      <c r="C32" s="2576" t="s">
        <v>1554</v>
      </c>
      <c r="D32" s="2576">
        <f>'Bus Social Impacts'!D32</f>
        <v>5.1000000000000004E-3</v>
      </c>
      <c r="E32" s="2576">
        <f>'Bus Social Impacts'!E32</f>
        <v>1.0800000000000001E-2</v>
      </c>
      <c r="F32" s="2576">
        <f>'Bus Social Impacts'!F32</f>
        <v>1.0800000000000001E-2</v>
      </c>
      <c r="G32" s="2576">
        <f>'Bus Social Impacts'!G32</f>
        <v>9.1999999999999998E-3</v>
      </c>
      <c r="H32" s="2576">
        <f>'Bus Social Impacts'!H32</f>
        <v>1.06E-2</v>
      </c>
      <c r="I32" s="2576">
        <f>'Bus Social Impacts'!I32</f>
        <v>8.5000000000000006E-3</v>
      </c>
      <c r="J32" s="2574"/>
      <c r="K32" s="335"/>
      <c r="L32" s="335"/>
    </row>
    <row r="33" spans="1:12">
      <c r="A33" s="2575">
        <v>0</v>
      </c>
      <c r="B33" s="2576" t="s">
        <v>1558</v>
      </c>
      <c r="C33" s="2576" t="s">
        <v>1554</v>
      </c>
      <c r="D33" s="2576">
        <f>'Bus Social Impacts'!D33</f>
        <v>1.2699999999999999E-2</v>
      </c>
      <c r="E33" s="2576">
        <f>'Bus Social Impacts'!E33</f>
        <v>2.3599999999999999E-2</v>
      </c>
      <c r="F33" s="2576">
        <f>'Bus Social Impacts'!F33</f>
        <v>2.06E-2</v>
      </c>
      <c r="G33" s="2576">
        <f>'Bus Social Impacts'!G33</f>
        <v>1.15E-2</v>
      </c>
      <c r="H33" s="2576">
        <f>'Bus Social Impacts'!H33</f>
        <v>2.0500000000000001E-2</v>
      </c>
      <c r="I33" s="2576">
        <f>'Bus Social Impacts'!I33</f>
        <v>1.7500000000000002E-2</v>
      </c>
      <c r="J33" s="2574"/>
      <c r="K33" s="335"/>
      <c r="L33" s="335"/>
    </row>
    <row r="34" spans="1:12">
      <c r="A34" s="2575">
        <v>0</v>
      </c>
      <c r="B34" s="2576" t="s">
        <v>1559</v>
      </c>
      <c r="C34" s="2576" t="s">
        <v>1554</v>
      </c>
      <c r="D34" s="2576">
        <f>'Bus Social Impacts'!D34</f>
        <v>1.66E-2</v>
      </c>
      <c r="E34" s="2576">
        <f>'Bus Social Impacts'!E34</f>
        <v>2.86E-2</v>
      </c>
      <c r="F34" s="2576">
        <f>'Bus Social Impacts'!F34</f>
        <v>2.86E-2</v>
      </c>
      <c r="G34" s="2576">
        <f>'Bus Social Impacts'!G34</f>
        <v>2.01E-2</v>
      </c>
      <c r="H34" s="2576">
        <f>'Bus Social Impacts'!H34</f>
        <v>2.7699999999999999E-2</v>
      </c>
      <c r="I34" s="2576">
        <f>'Bus Social Impacts'!I34</f>
        <v>2.3400000000000001E-2</v>
      </c>
      <c r="J34" s="2574"/>
      <c r="K34" s="335"/>
      <c r="L34" s="335"/>
    </row>
    <row r="35" spans="1:12">
      <c r="A35" s="2575">
        <v>1</v>
      </c>
      <c r="B35" s="2576" t="s">
        <v>1553</v>
      </c>
      <c r="C35" s="2576" t="s">
        <v>1554</v>
      </c>
      <c r="D35" s="2576">
        <f>'Bus Social Impacts'!D35</f>
        <v>2.6599999999999999E-2</v>
      </c>
      <c r="E35" s="2576">
        <f>'Bus Social Impacts'!E35</f>
        <v>3.8699999999999998E-2</v>
      </c>
      <c r="F35" s="2576">
        <f>'Bus Social Impacts'!F35</f>
        <v>6.4699999999999994E-2</v>
      </c>
      <c r="G35" s="2576">
        <f>'Bus Social Impacts'!G35</f>
        <v>6.9400000000000003E-2</v>
      </c>
      <c r="H35" s="2576">
        <f>'Bus Social Impacts'!H35</f>
        <v>5.6899999999999999E-2</v>
      </c>
      <c r="I35" s="2576">
        <f>'Bus Social Impacts'!I35</f>
        <v>4.53E-2</v>
      </c>
      <c r="J35" s="2574"/>
      <c r="K35" s="335"/>
      <c r="L35" s="335"/>
    </row>
    <row r="36" spans="1:12">
      <c r="A36" s="2575">
        <v>1</v>
      </c>
      <c r="B36" s="2576" t="s">
        <v>1418</v>
      </c>
      <c r="C36" s="2576" t="s">
        <v>1554</v>
      </c>
      <c r="D36" s="2576">
        <f>'Bus Social Impacts'!D36</f>
        <v>6.4999999999999997E-3</v>
      </c>
      <c r="E36" s="2576">
        <f>'Bus Social Impacts'!E36</f>
        <v>4.8999999999999998E-3</v>
      </c>
      <c r="F36" s="2576">
        <f>'Bus Social Impacts'!F36</f>
        <v>0.01</v>
      </c>
      <c r="G36" s="2576">
        <f>'Bus Social Impacts'!G36</f>
        <v>3.0999999999999999E-3</v>
      </c>
      <c r="H36" s="2576">
        <f>'Bus Social Impacts'!H36</f>
        <v>7.6E-3</v>
      </c>
      <c r="I36" s="2576">
        <f>'Bus Social Impacts'!I36</f>
        <v>7.1999999999999998E-3</v>
      </c>
      <c r="J36" s="2574"/>
      <c r="K36" s="335"/>
      <c r="L36" s="335"/>
    </row>
    <row r="37" spans="1:12">
      <c r="A37" s="2575">
        <v>1</v>
      </c>
      <c r="B37" s="2576" t="s">
        <v>1555</v>
      </c>
      <c r="C37" s="2576" t="s">
        <v>1554</v>
      </c>
      <c r="D37" s="2576">
        <f>'Bus Social Impacts'!D37</f>
        <v>4.0000000000000002E-4</v>
      </c>
      <c r="E37" s="2576">
        <f>'Bus Social Impacts'!E37</f>
        <v>1.8E-3</v>
      </c>
      <c r="F37" s="2576">
        <f>'Bus Social Impacts'!F37</f>
        <v>2.0000000000000001E-4</v>
      </c>
      <c r="G37" s="2576">
        <f>'Bus Social Impacts'!G37</f>
        <v>1.5E-3</v>
      </c>
      <c r="H37" s="2576">
        <f>'Bus Social Impacts'!H37</f>
        <v>8.0000000000000004E-4</v>
      </c>
      <c r="I37" s="2576">
        <f>'Bus Social Impacts'!I37</f>
        <v>5.9999999999999995E-4</v>
      </c>
      <c r="J37" s="2574"/>
      <c r="K37" s="335"/>
      <c r="L37" s="335"/>
    </row>
    <row r="38" spans="1:12">
      <c r="A38" s="2575">
        <v>1</v>
      </c>
      <c r="B38" s="2576" t="s">
        <v>1556</v>
      </c>
      <c r="C38" s="2576" t="s">
        <v>1554</v>
      </c>
      <c r="D38" s="2576">
        <f>'Bus Social Impacts'!D38</f>
        <v>4.0000000000000002E-4</v>
      </c>
      <c r="E38" s="2576">
        <f>'Bus Social Impacts'!E38</f>
        <v>2.9999999999999997E-4</v>
      </c>
      <c r="F38" s="2576">
        <f>'Bus Social Impacts'!F38</f>
        <v>0</v>
      </c>
      <c r="G38" s="2576">
        <f>'Bus Social Impacts'!G38</f>
        <v>4.0000000000000002E-4</v>
      </c>
      <c r="H38" s="2576">
        <f>'Bus Social Impacts'!H38</f>
        <v>2.0000000000000001E-4</v>
      </c>
      <c r="I38" s="2576">
        <f>'Bus Social Impacts'!I38</f>
        <v>2.9999999999999997E-4</v>
      </c>
      <c r="J38" s="2574"/>
      <c r="K38" s="335"/>
      <c r="L38" s="335"/>
    </row>
    <row r="39" spans="1:12">
      <c r="A39" s="2575">
        <v>1</v>
      </c>
      <c r="B39" s="2576" t="s">
        <v>1557</v>
      </c>
      <c r="C39" s="2576" t="s">
        <v>1554</v>
      </c>
      <c r="D39" s="2576">
        <f>'Bus Social Impacts'!D39</f>
        <v>2.5999999999999999E-3</v>
      </c>
      <c r="E39" s="2576">
        <f>'Bus Social Impacts'!E39</f>
        <v>3.3999999999999998E-3</v>
      </c>
      <c r="F39" s="2576">
        <f>'Bus Social Impacts'!F39</f>
        <v>6.3E-3</v>
      </c>
      <c r="G39" s="2576">
        <f>'Bus Social Impacts'!G39</f>
        <v>8.6E-3</v>
      </c>
      <c r="H39" s="2576">
        <f>'Bus Social Impacts'!H39</f>
        <v>5.5999999999999999E-3</v>
      </c>
      <c r="I39" s="2576">
        <f>'Bus Social Impacts'!I39</f>
        <v>4.4999999999999997E-3</v>
      </c>
      <c r="J39" s="2574"/>
      <c r="K39" s="335"/>
      <c r="L39" s="335"/>
    </row>
    <row r="40" spans="1:12">
      <c r="A40" s="2575">
        <v>1</v>
      </c>
      <c r="B40" s="2576" t="s">
        <v>1558</v>
      </c>
      <c r="C40" s="2576" t="s">
        <v>1554</v>
      </c>
      <c r="D40" s="2576">
        <f>'Bus Social Impacts'!D40</f>
        <v>7.7999999999999996E-3</v>
      </c>
      <c r="E40" s="2576">
        <f>'Bus Social Impacts'!E40</f>
        <v>6.1999999999999998E-3</v>
      </c>
      <c r="F40" s="2576">
        <f>'Bus Social Impacts'!F40</f>
        <v>7.6E-3</v>
      </c>
      <c r="G40" s="2576">
        <f>'Bus Social Impacts'!G40</f>
        <v>1.03E-2</v>
      </c>
      <c r="H40" s="2576">
        <f>'Bus Social Impacts'!H40</f>
        <v>7.4000000000000003E-3</v>
      </c>
      <c r="I40" s="2576">
        <f>'Bus Social Impacts'!I40</f>
        <v>7.6E-3</v>
      </c>
      <c r="J40" s="2574"/>
      <c r="K40" s="335"/>
      <c r="L40" s="335"/>
    </row>
    <row r="41" spans="1:12">
      <c r="A41" s="2575">
        <v>1</v>
      </c>
      <c r="B41" s="2576" t="s">
        <v>1559</v>
      </c>
      <c r="C41" s="2576" t="s">
        <v>1554</v>
      </c>
      <c r="D41" s="2576">
        <f>'Bus Social Impacts'!D41</f>
        <v>7.3000000000000001E-3</v>
      </c>
      <c r="E41" s="2576">
        <f>'Bus Social Impacts'!E41</f>
        <v>9.2999999999999992E-3</v>
      </c>
      <c r="F41" s="2576">
        <f>'Bus Social Impacts'!F41</f>
        <v>1.52E-2</v>
      </c>
      <c r="G41" s="2576">
        <f>'Bus Social Impacts'!G41</f>
        <v>7.4000000000000003E-3</v>
      </c>
      <c r="H41" s="2576">
        <f>'Bus Social Impacts'!H41</f>
        <v>1.24E-2</v>
      </c>
      <c r="I41" s="2576">
        <f>'Bus Social Impacts'!I41</f>
        <v>1.04E-2</v>
      </c>
      <c r="J41" s="49"/>
      <c r="K41" s="335"/>
      <c r="L41" s="335"/>
    </row>
    <row r="42" spans="1:12">
      <c r="A42" s="2577" t="s">
        <v>1560</v>
      </c>
      <c r="B42" s="2578" t="s">
        <v>1553</v>
      </c>
      <c r="C42" s="2578" t="s">
        <v>1554</v>
      </c>
      <c r="D42" s="2578">
        <f>'Bus Social Impacts'!D42</f>
        <v>6.3E-3</v>
      </c>
      <c r="E42" s="2578">
        <f>'Bus Social Impacts'!E42</f>
        <v>3.5000000000000001E-3</v>
      </c>
      <c r="F42" s="2578">
        <f>'Bus Social Impacts'!F42</f>
        <v>1.21E-2</v>
      </c>
      <c r="G42" s="2578">
        <f>'Bus Social Impacts'!G42</f>
        <v>2.5399999999999999E-2</v>
      </c>
      <c r="H42" s="2578">
        <f>'Bus Social Impacts'!H42</f>
        <v>1.09E-2</v>
      </c>
      <c r="I42" s="2578">
        <f>'Bus Social Impacts'!I42</f>
        <v>9.1000000000000004E-3</v>
      </c>
      <c r="J42" s="335"/>
      <c r="K42" s="335"/>
      <c r="L42" s="335"/>
    </row>
    <row r="43" spans="1:12">
      <c r="A43" s="2577" t="s">
        <v>1560</v>
      </c>
      <c r="B43" s="2578" t="s">
        <v>1418</v>
      </c>
      <c r="C43" s="2578" t="s">
        <v>1554</v>
      </c>
      <c r="D43" s="2578">
        <f>'Bus Social Impacts'!D43</f>
        <v>6.9999999999999999E-4</v>
      </c>
      <c r="E43" s="2578">
        <f>'Bus Social Impacts'!E43</f>
        <v>1E-3</v>
      </c>
      <c r="F43" s="2578">
        <f>'Bus Social Impacts'!F43</f>
        <v>1.9E-3</v>
      </c>
      <c r="G43" s="2578">
        <f>'Bus Social Impacts'!G43</f>
        <v>1.1000000000000001E-3</v>
      </c>
      <c r="H43" s="2578">
        <f>'Bus Social Impacts'!H43</f>
        <v>1.5E-3</v>
      </c>
      <c r="I43" s="2578">
        <f>'Bus Social Impacts'!I43</f>
        <v>1.1999999999999999E-3</v>
      </c>
    </row>
    <row r="44" spans="1:12">
      <c r="A44" s="2577" t="s">
        <v>1560</v>
      </c>
      <c r="B44" s="2578" t="s">
        <v>1555</v>
      </c>
      <c r="C44" s="2578" t="s">
        <v>1554</v>
      </c>
      <c r="D44" s="2578">
        <f>'Bus Social Impacts'!D44</f>
        <v>0</v>
      </c>
      <c r="E44" s="2578">
        <f>'Bus Social Impacts'!E44</f>
        <v>0</v>
      </c>
      <c r="F44" s="2578">
        <f>'Bus Social Impacts'!F44</f>
        <v>0</v>
      </c>
      <c r="G44" s="2578">
        <f>'Bus Social Impacts'!G44</f>
        <v>4.0000000000000001E-3</v>
      </c>
      <c r="H44" s="2578">
        <f>'Bus Social Impacts'!H44</f>
        <v>5.0000000000000001E-4</v>
      </c>
      <c r="I44" s="2578">
        <f>'Bus Social Impacts'!I44</f>
        <v>2.9999999999999997E-4</v>
      </c>
    </row>
    <row r="45" spans="1:12">
      <c r="A45" s="2577" t="s">
        <v>1560</v>
      </c>
      <c r="B45" s="2578" t="s">
        <v>1556</v>
      </c>
      <c r="C45" s="2578" t="s">
        <v>1554</v>
      </c>
      <c r="D45" s="2578">
        <f>'Bus Social Impacts'!D45</f>
        <v>0</v>
      </c>
      <c r="E45" s="2578">
        <f>'Bus Social Impacts'!E45</f>
        <v>0</v>
      </c>
      <c r="F45" s="2578">
        <f>'Bus Social Impacts'!F45</f>
        <v>0</v>
      </c>
      <c r="G45" s="2578">
        <f>'Bus Social Impacts'!G45</f>
        <v>0</v>
      </c>
      <c r="H45" s="2578">
        <f>'Bus Social Impacts'!H45</f>
        <v>0</v>
      </c>
      <c r="I45" s="2578">
        <f>'Bus Social Impacts'!I45</f>
        <v>0</v>
      </c>
    </row>
    <row r="46" spans="1:12">
      <c r="A46" s="2577" t="s">
        <v>1560</v>
      </c>
      <c r="B46" s="2578" t="s">
        <v>1557</v>
      </c>
      <c r="C46" s="2578" t="s">
        <v>1554</v>
      </c>
      <c r="D46" s="2578">
        <f>'Bus Social Impacts'!D46</f>
        <v>8.0000000000000004E-4</v>
      </c>
      <c r="E46" s="2578">
        <f>'Bus Social Impacts'!E46</f>
        <v>0</v>
      </c>
      <c r="F46" s="2578">
        <f>'Bus Social Impacts'!F46</f>
        <v>1.1999999999999999E-3</v>
      </c>
      <c r="G46" s="2578">
        <f>'Bus Social Impacts'!G46</f>
        <v>2.8E-3</v>
      </c>
      <c r="H46" s="2578">
        <f>'Bus Social Impacts'!H46</f>
        <v>1E-3</v>
      </c>
      <c r="I46" s="2578">
        <f>'Bus Social Impacts'!I46</f>
        <v>8.9999999999999998E-4</v>
      </c>
    </row>
    <row r="47" spans="1:12">
      <c r="A47" s="2577" t="s">
        <v>1560</v>
      </c>
      <c r="B47" s="2578" t="s">
        <v>1558</v>
      </c>
      <c r="C47" s="2578" t="s">
        <v>1554</v>
      </c>
      <c r="D47" s="2578">
        <f>'Bus Social Impacts'!D47</f>
        <v>1.6000000000000001E-3</v>
      </c>
      <c r="E47" s="2578">
        <f>'Bus Social Impacts'!E47</f>
        <v>4.0000000000000002E-4</v>
      </c>
      <c r="F47" s="2578">
        <f>'Bus Social Impacts'!F47</f>
        <v>1.1999999999999999E-3</v>
      </c>
      <c r="G47" s="2578">
        <f>'Bus Social Impacts'!G47</f>
        <v>3.8999999999999998E-3</v>
      </c>
      <c r="H47" s="2578">
        <f>'Bus Social Impacts'!H47</f>
        <v>1.2999999999999999E-3</v>
      </c>
      <c r="I47" s="2578">
        <f>'Bus Social Impacts'!I47</f>
        <v>1.4E-3</v>
      </c>
    </row>
    <row r="48" spans="1:12">
      <c r="A48" s="2577" t="s">
        <v>1560</v>
      </c>
      <c r="B48" s="2578" t="s">
        <v>1559</v>
      </c>
      <c r="C48" s="2578" t="s">
        <v>1554</v>
      </c>
      <c r="D48" s="2578">
        <f>'Bus Social Impacts'!D48</f>
        <v>1.5E-3</v>
      </c>
      <c r="E48" s="2578">
        <f>'Bus Social Impacts'!E48</f>
        <v>2.9999999999999997E-4</v>
      </c>
      <c r="F48" s="2578">
        <f>'Bus Social Impacts'!F48</f>
        <v>1.4E-3</v>
      </c>
      <c r="G48" s="2578">
        <f>'Bus Social Impacts'!G48</f>
        <v>6.3E-3</v>
      </c>
      <c r="H48" s="2578">
        <f>'Bus Social Impacts'!H48</f>
        <v>1.6000000000000001E-3</v>
      </c>
      <c r="I48" s="2578">
        <f>'Bus Social Impacts'!I48</f>
        <v>1.6000000000000001E-3</v>
      </c>
    </row>
    <row r="49" spans="1:9">
      <c r="A49" s="2577">
        <v>0</v>
      </c>
      <c r="B49" s="2578" t="s">
        <v>1553</v>
      </c>
      <c r="C49" s="2578" t="s">
        <v>1561</v>
      </c>
      <c r="D49" s="2578">
        <f>'Bus Social Impacts'!D49</f>
        <v>0.1303</v>
      </c>
      <c r="E49" s="2578">
        <f>'Bus Social Impacts'!E49</f>
        <v>0.14249999999999999</v>
      </c>
      <c r="F49" s="2578">
        <f>'Bus Social Impacts'!F49</f>
        <v>0.12130000000000001</v>
      </c>
      <c r="G49" s="2578">
        <f>'Bus Social Impacts'!G49</f>
        <v>5.9799999999999999E-2</v>
      </c>
      <c r="H49" s="2578">
        <f>'Bus Social Impacts'!H49</f>
        <v>0.121</v>
      </c>
      <c r="I49" s="2578">
        <f>'Bus Social Impacts'!I49</f>
        <v>0.1246</v>
      </c>
    </row>
    <row r="50" spans="1:9">
      <c r="A50" s="2577">
        <v>0</v>
      </c>
      <c r="B50" s="2578" t="s">
        <v>1418</v>
      </c>
      <c r="C50" s="2578" t="s">
        <v>1561</v>
      </c>
      <c r="D50" s="2578">
        <f>'Bus Social Impacts'!D50</f>
        <v>0.1678</v>
      </c>
      <c r="E50" s="2578">
        <f>'Bus Social Impacts'!E50</f>
        <v>9.3700000000000006E-2</v>
      </c>
      <c r="F50" s="2578">
        <f>'Bus Social Impacts'!F50</f>
        <v>5.8700000000000002E-2</v>
      </c>
      <c r="G50" s="2578">
        <f>'Bus Social Impacts'!G50</f>
        <v>1.9800000000000002E-2</v>
      </c>
      <c r="H50" s="2578">
        <f>'Bus Social Impacts'!H50</f>
        <v>6.54E-2</v>
      </c>
      <c r="I50" s="2578">
        <f>'Bus Social Impacts'!I50</f>
        <v>0.1048</v>
      </c>
    </row>
    <row r="51" spans="1:9">
      <c r="A51" s="2577">
        <v>0</v>
      </c>
      <c r="B51" s="2578" t="s">
        <v>1555</v>
      </c>
      <c r="C51" s="2578" t="s">
        <v>1561</v>
      </c>
      <c r="D51" s="2578">
        <f>'Bus Social Impacts'!D51</f>
        <v>2.29E-2</v>
      </c>
      <c r="E51" s="2578">
        <f>'Bus Social Impacts'!E51</f>
        <v>8.3000000000000001E-3</v>
      </c>
      <c r="F51" s="2578">
        <f>'Bus Social Impacts'!F51</f>
        <v>5.7000000000000002E-3</v>
      </c>
      <c r="G51" s="2578">
        <f>'Bus Social Impacts'!G51</f>
        <v>1.1000000000000001E-3</v>
      </c>
      <c r="H51" s="2578">
        <f>'Bus Social Impacts'!H51</f>
        <v>6.0000000000000001E-3</v>
      </c>
      <c r="I51" s="2578">
        <f>'Bus Social Impacts'!I51</f>
        <v>1.2500000000000001E-2</v>
      </c>
    </row>
    <row r="52" spans="1:9">
      <c r="A52" s="2577">
        <v>0</v>
      </c>
      <c r="B52" s="2578" t="s">
        <v>1556</v>
      </c>
      <c r="C52" s="2578" t="s">
        <v>1561</v>
      </c>
      <c r="D52" s="2578">
        <f>'Bus Social Impacts'!D52</f>
        <v>8.1199999999999994E-2</v>
      </c>
      <c r="E52" s="2578">
        <f>'Bus Social Impacts'!E52</f>
        <v>5.3600000000000002E-2</v>
      </c>
      <c r="F52" s="2578">
        <f>'Bus Social Impacts'!F52</f>
        <v>3.7199999999999997E-2</v>
      </c>
      <c r="G52" s="2578">
        <f>'Bus Social Impacts'!G52</f>
        <v>1.3100000000000001E-2</v>
      </c>
      <c r="H52" s="2578">
        <f>'Bus Social Impacts'!H52</f>
        <v>3.9699999999999999E-2</v>
      </c>
      <c r="I52" s="2578">
        <f>'Bus Social Impacts'!I52</f>
        <v>5.57E-2</v>
      </c>
    </row>
    <row r="53" spans="1:9">
      <c r="A53" s="2577">
        <v>0</v>
      </c>
      <c r="B53" s="2578" t="s">
        <v>1557</v>
      </c>
      <c r="C53" s="2578" t="s">
        <v>1561</v>
      </c>
      <c r="D53" s="2578">
        <f>'Bus Social Impacts'!D53</f>
        <v>8.0999999999999996E-3</v>
      </c>
      <c r="E53" s="2578">
        <f>'Bus Social Impacts'!E53</f>
        <v>6.3E-3</v>
      </c>
      <c r="F53" s="2578">
        <f>'Bus Social Impacts'!F53</f>
        <v>9.9000000000000008E-3</v>
      </c>
      <c r="G53" s="2578">
        <f>'Bus Social Impacts'!G53</f>
        <v>2.2000000000000001E-3</v>
      </c>
      <c r="H53" s="2578">
        <f>'Bus Social Impacts'!H53</f>
        <v>7.9000000000000008E-3</v>
      </c>
      <c r="I53" s="2578">
        <f>'Bus Social Impacts'!I53</f>
        <v>8.0000000000000002E-3</v>
      </c>
    </row>
    <row r="54" spans="1:9">
      <c r="A54" s="2577">
        <v>0</v>
      </c>
      <c r="B54" s="2578" t="s">
        <v>1558</v>
      </c>
      <c r="C54" s="2578" t="s">
        <v>1561</v>
      </c>
      <c r="D54" s="2578">
        <f>'Bus Social Impacts'!D54</f>
        <v>5.4399999999999997E-2</v>
      </c>
      <c r="E54" s="2578">
        <f>'Bus Social Impacts'!E54</f>
        <v>3.0599999999999999E-2</v>
      </c>
      <c r="F54" s="2578">
        <f>'Bus Social Impacts'!F54</f>
        <v>2.7900000000000001E-2</v>
      </c>
      <c r="G54" s="2578">
        <f>'Bus Social Impacts'!G54</f>
        <v>7.0000000000000001E-3</v>
      </c>
      <c r="H54" s="2578">
        <f>'Bus Social Impacts'!H54</f>
        <v>2.64E-2</v>
      </c>
      <c r="I54" s="2578">
        <f>'Bus Social Impacts'!I54</f>
        <v>3.7199999999999997E-2</v>
      </c>
    </row>
    <row r="55" spans="1:9">
      <c r="A55" s="2577">
        <v>0</v>
      </c>
      <c r="B55" s="2578" t="s">
        <v>1559</v>
      </c>
      <c r="C55" s="2578" t="s">
        <v>1561</v>
      </c>
      <c r="D55" s="2578">
        <f>'Bus Social Impacts'!D55</f>
        <v>7.5499999999999998E-2</v>
      </c>
      <c r="E55" s="2578">
        <f>'Bus Social Impacts'!E55</f>
        <v>6.3200000000000006E-2</v>
      </c>
      <c r="F55" s="2578">
        <f>'Bus Social Impacts'!F55</f>
        <v>5.6599999999999998E-2</v>
      </c>
      <c r="G55" s="2578">
        <f>'Bus Social Impacts'!G55</f>
        <v>2.7E-2</v>
      </c>
      <c r="H55" s="2578">
        <f>'Bus Social Impacts'!H55</f>
        <v>5.5300000000000002E-2</v>
      </c>
      <c r="I55" s="2578">
        <f>'Bus Social Impacts'!I55</f>
        <v>6.3100000000000003E-2</v>
      </c>
    </row>
    <row r="56" spans="1:9">
      <c r="A56" s="2577">
        <v>1</v>
      </c>
      <c r="B56" s="2578" t="s">
        <v>1553</v>
      </c>
      <c r="C56" s="2578" t="s">
        <v>1561</v>
      </c>
      <c r="D56" s="2578">
        <f>'Bus Social Impacts'!D56</f>
        <v>4.9099999999999998E-2</v>
      </c>
      <c r="E56" s="2578">
        <f>'Bus Social Impacts'!E56</f>
        <v>5.6800000000000003E-2</v>
      </c>
      <c r="F56" s="2578">
        <f>'Bus Social Impacts'!F56</f>
        <v>6.3E-2</v>
      </c>
      <c r="G56" s="2578">
        <f>'Bus Social Impacts'!G56</f>
        <v>4.1700000000000001E-2</v>
      </c>
      <c r="H56" s="2578">
        <f>'Bus Social Impacts'!H56</f>
        <v>5.8599999999999999E-2</v>
      </c>
      <c r="I56" s="2578">
        <f>'Bus Social Impacts'!I56</f>
        <v>5.4899999999999997E-2</v>
      </c>
    </row>
    <row r="57" spans="1:9">
      <c r="A57" s="2577">
        <v>1</v>
      </c>
      <c r="B57" s="2578" t="s">
        <v>1418</v>
      </c>
      <c r="C57" s="2578" t="s">
        <v>1561</v>
      </c>
      <c r="D57" s="2578">
        <f>'Bus Social Impacts'!D57</f>
        <v>8.09E-2</v>
      </c>
      <c r="E57" s="2578">
        <f>'Bus Social Impacts'!E57</f>
        <v>6.4500000000000002E-2</v>
      </c>
      <c r="F57" s="2578">
        <f>'Bus Social Impacts'!F57</f>
        <v>6.4199999999999993E-2</v>
      </c>
      <c r="G57" s="2578">
        <f>'Bus Social Impacts'!G57</f>
        <v>6.8599999999999994E-2</v>
      </c>
      <c r="H57" s="2578">
        <f>'Bus Social Impacts'!H57</f>
        <v>6.4799999999999996E-2</v>
      </c>
      <c r="I57" s="2578">
        <f>'Bus Social Impacts'!I57</f>
        <v>7.0999999999999994E-2</v>
      </c>
    </row>
    <row r="58" spans="1:9">
      <c r="A58" s="2577">
        <v>1</v>
      </c>
      <c r="B58" s="2578" t="s">
        <v>1555</v>
      </c>
      <c r="C58" s="2578" t="s">
        <v>1561</v>
      </c>
      <c r="D58" s="2578">
        <f>'Bus Social Impacts'!D58</f>
        <v>1.2699999999999999E-2</v>
      </c>
      <c r="E58" s="2578">
        <f>'Bus Social Impacts'!E58</f>
        <v>2.5999999999999999E-3</v>
      </c>
      <c r="F58" s="2578">
        <f>'Bus Social Impacts'!F58</f>
        <v>5.8999999999999999E-3</v>
      </c>
      <c r="G58" s="2578">
        <f>'Bus Social Impacts'!G58</f>
        <v>1.5E-3</v>
      </c>
      <c r="H58" s="2578">
        <f>'Bus Social Impacts'!H58</f>
        <v>4.4000000000000003E-3</v>
      </c>
      <c r="I58" s="2578">
        <f>'Bus Social Impacts'!I58</f>
        <v>7.6E-3</v>
      </c>
    </row>
    <row r="59" spans="1:9">
      <c r="A59" s="2577">
        <v>1</v>
      </c>
      <c r="B59" s="2578" t="s">
        <v>1556</v>
      </c>
      <c r="C59" s="2578" t="s">
        <v>1561</v>
      </c>
      <c r="D59" s="2578">
        <f>'Bus Social Impacts'!D59</f>
        <v>5.3699999999999998E-2</v>
      </c>
      <c r="E59" s="2578">
        <f>'Bus Social Impacts'!E59</f>
        <v>6.2899999999999998E-2</v>
      </c>
      <c r="F59" s="2578">
        <f>'Bus Social Impacts'!F59</f>
        <v>4.3099999999999999E-2</v>
      </c>
      <c r="G59" s="2578">
        <f>'Bus Social Impacts'!G59</f>
        <v>8.5300000000000001E-2</v>
      </c>
      <c r="H59" s="2578">
        <f>'Bus Social Impacts'!H59</f>
        <v>5.4300000000000001E-2</v>
      </c>
      <c r="I59" s="2578">
        <f>'Bus Social Impacts'!I59</f>
        <v>5.4100000000000002E-2</v>
      </c>
    </row>
    <row r="60" spans="1:9">
      <c r="A60" s="2577">
        <v>1</v>
      </c>
      <c r="B60" s="2578" t="s">
        <v>1557</v>
      </c>
      <c r="C60" s="2578" t="s">
        <v>1561</v>
      </c>
      <c r="D60" s="2578">
        <f>'Bus Social Impacts'!D60</f>
        <v>3.0000000000000001E-3</v>
      </c>
      <c r="E60" s="2578">
        <f>'Bus Social Impacts'!E60</f>
        <v>3.2000000000000002E-3</v>
      </c>
      <c r="F60" s="2578">
        <f>'Bus Social Impacts'!F60</f>
        <v>3.8999999999999998E-3</v>
      </c>
      <c r="G60" s="2578">
        <f>'Bus Social Impacts'!G60</f>
        <v>6.3E-3</v>
      </c>
      <c r="H60" s="2578">
        <f>'Bus Social Impacts'!H60</f>
        <v>3.8999999999999998E-3</v>
      </c>
      <c r="I60" s="2578">
        <f>'Bus Social Impacts'!I60</f>
        <v>3.5999999999999999E-3</v>
      </c>
    </row>
    <row r="61" spans="1:9">
      <c r="A61" s="2577">
        <v>1</v>
      </c>
      <c r="B61" s="2578" t="s">
        <v>1558</v>
      </c>
      <c r="C61" s="2578" t="s">
        <v>1561</v>
      </c>
      <c r="D61" s="2578">
        <f>'Bus Social Impacts'!D61</f>
        <v>1.49E-2</v>
      </c>
      <c r="E61" s="2578">
        <f>'Bus Social Impacts'!E61</f>
        <v>1.2500000000000001E-2</v>
      </c>
      <c r="F61" s="2578">
        <f>'Bus Social Impacts'!F61</f>
        <v>1.0999999999999999E-2</v>
      </c>
      <c r="G61" s="2578">
        <f>'Bus Social Impacts'!G61</f>
        <v>8.5000000000000006E-3</v>
      </c>
      <c r="H61" s="2578">
        <f>'Bus Social Impacts'!H61</f>
        <v>1.12E-2</v>
      </c>
      <c r="I61" s="2578">
        <f>'Bus Social Impacts'!I61</f>
        <v>1.26E-2</v>
      </c>
    </row>
    <row r="62" spans="1:9">
      <c r="A62" s="2577">
        <v>1</v>
      </c>
      <c r="B62" s="2578" t="s">
        <v>1559</v>
      </c>
      <c r="C62" s="2578" t="s">
        <v>1561</v>
      </c>
      <c r="D62" s="2578">
        <f>'Bus Social Impacts'!D62</f>
        <v>2.5499999999999998E-2</v>
      </c>
      <c r="E62" s="2578">
        <f>'Bus Social Impacts'!E62</f>
        <v>2.3800000000000002E-2</v>
      </c>
      <c r="F62" s="2578">
        <f>'Bus Social Impacts'!F62</f>
        <v>2.6800000000000001E-2</v>
      </c>
      <c r="G62" s="2578">
        <f>'Bus Social Impacts'!G62</f>
        <v>2.4E-2</v>
      </c>
      <c r="H62" s="2578">
        <f>'Bus Social Impacts'!H62</f>
        <v>2.5600000000000001E-2</v>
      </c>
      <c r="I62" s="2578">
        <f>'Bus Social Impacts'!I62</f>
        <v>2.5499999999999998E-2</v>
      </c>
    </row>
    <row r="63" spans="1:9">
      <c r="A63" s="2577" t="s">
        <v>1560</v>
      </c>
      <c r="B63" s="2578" t="s">
        <v>1553</v>
      </c>
      <c r="C63" s="2578" t="s">
        <v>1561</v>
      </c>
      <c r="D63" s="2578">
        <f>'Bus Social Impacts'!D63</f>
        <v>1.2699999999999999E-2</v>
      </c>
      <c r="E63" s="2578">
        <f>'Bus Social Impacts'!E63</f>
        <v>2.6599999999999999E-2</v>
      </c>
      <c r="F63" s="2578">
        <f>'Bus Social Impacts'!F63</f>
        <v>3.4599999999999999E-2</v>
      </c>
      <c r="G63" s="2578">
        <f>'Bus Social Impacts'!G63</f>
        <v>6.5699999999999995E-2</v>
      </c>
      <c r="H63" s="2578">
        <f>'Bus Social Impacts'!H63</f>
        <v>3.56E-2</v>
      </c>
      <c r="I63" s="2578">
        <f>'Bus Social Impacts'!I63</f>
        <v>2.6800000000000001E-2</v>
      </c>
    </row>
    <row r="64" spans="1:9">
      <c r="A64" s="2577" t="s">
        <v>1560</v>
      </c>
      <c r="B64" s="2578" t="s">
        <v>1418</v>
      </c>
      <c r="C64" s="2578" t="s">
        <v>1561</v>
      </c>
      <c r="D64" s="2578">
        <f>'Bus Social Impacts'!D64</f>
        <v>2.4E-2</v>
      </c>
      <c r="E64" s="2578">
        <f>'Bus Social Impacts'!E64</f>
        <v>2.9000000000000001E-2</v>
      </c>
      <c r="F64" s="2578">
        <f>'Bus Social Impacts'!F64</f>
        <v>4.3700000000000003E-2</v>
      </c>
      <c r="G64" s="2578">
        <f>'Bus Social Impacts'!G64</f>
        <v>3.9800000000000002E-2</v>
      </c>
      <c r="H64" s="2578">
        <f>'Bus Social Impacts'!H64</f>
        <v>3.85E-2</v>
      </c>
      <c r="I64" s="2578">
        <f>'Bus Social Impacts'!I64</f>
        <v>3.3000000000000002E-2</v>
      </c>
    </row>
    <row r="65" spans="1:9">
      <c r="A65" s="2577" t="s">
        <v>1560</v>
      </c>
      <c r="B65" s="2578" t="s">
        <v>1555</v>
      </c>
      <c r="C65" s="2578" t="s">
        <v>1561</v>
      </c>
      <c r="D65" s="2578">
        <f>'Bus Social Impacts'!D65</f>
        <v>1.5E-3</v>
      </c>
      <c r="E65" s="2578">
        <f>'Bus Social Impacts'!E65</f>
        <v>1.9E-3</v>
      </c>
      <c r="F65" s="2578">
        <f>'Bus Social Impacts'!F65</f>
        <v>2E-3</v>
      </c>
      <c r="G65" s="2578">
        <f>'Bus Social Impacts'!G65</f>
        <v>7.1000000000000004E-3</v>
      </c>
      <c r="H65" s="2578">
        <f>'Bus Social Impacts'!H65</f>
        <v>2.5000000000000001E-3</v>
      </c>
      <c r="I65" s="2578">
        <f>'Bus Social Impacts'!I65</f>
        <v>2.0999999999999999E-3</v>
      </c>
    </row>
    <row r="66" spans="1:9">
      <c r="A66" s="2577" t="s">
        <v>1560</v>
      </c>
      <c r="B66" s="2578" t="s">
        <v>1556</v>
      </c>
      <c r="C66" s="2578" t="s">
        <v>1561</v>
      </c>
      <c r="D66" s="2578">
        <f>'Bus Social Impacts'!D66</f>
        <v>1.83E-2</v>
      </c>
      <c r="E66" s="2578">
        <f>'Bus Social Impacts'!E66</f>
        <v>4.3299999999999998E-2</v>
      </c>
      <c r="F66" s="2578">
        <f>'Bus Social Impacts'!F66</f>
        <v>5.0999999999999997E-2</v>
      </c>
      <c r="G66" s="2578">
        <f>'Bus Social Impacts'!G66</f>
        <v>0.17979999999999999</v>
      </c>
      <c r="H66" s="2578">
        <f>'Bus Social Impacts'!H66</f>
        <v>6.3299999999999995E-2</v>
      </c>
      <c r="I66" s="2578">
        <f>'Bus Social Impacts'!I66</f>
        <v>4.5999999999999999E-2</v>
      </c>
    </row>
    <row r="67" spans="1:9">
      <c r="A67" s="2577" t="s">
        <v>1560</v>
      </c>
      <c r="B67" s="2578" t="s">
        <v>1557</v>
      </c>
      <c r="C67" s="2578" t="s">
        <v>1561</v>
      </c>
      <c r="D67" s="2578">
        <f>'Bus Social Impacts'!D67</f>
        <v>5.0000000000000001E-4</v>
      </c>
      <c r="E67" s="2578">
        <f>'Bus Social Impacts'!E67</f>
        <v>1E-3</v>
      </c>
      <c r="F67" s="2578">
        <f>'Bus Social Impacts'!F67</f>
        <v>1.1999999999999999E-3</v>
      </c>
      <c r="G67" s="2578">
        <f>'Bus Social Impacts'!G67</f>
        <v>3.3E-3</v>
      </c>
      <c r="H67" s="2578">
        <f>'Bus Social Impacts'!H67</f>
        <v>1.4E-3</v>
      </c>
      <c r="I67" s="2578">
        <f>'Bus Social Impacts'!I67</f>
        <v>1E-3</v>
      </c>
    </row>
    <row r="68" spans="1:9">
      <c r="A68" s="2577" t="s">
        <v>1560</v>
      </c>
      <c r="B68" s="2578" t="s">
        <v>1558</v>
      </c>
      <c r="C68" s="2578" t="s">
        <v>1561</v>
      </c>
      <c r="D68" s="2578">
        <f>'Bus Social Impacts'!D68</f>
        <v>4.7000000000000002E-3</v>
      </c>
      <c r="E68" s="2578">
        <f>'Bus Social Impacts'!E68</f>
        <v>4.4000000000000003E-3</v>
      </c>
      <c r="F68" s="2578">
        <f>'Bus Social Impacts'!F68</f>
        <v>6.4000000000000003E-3</v>
      </c>
      <c r="G68" s="2578">
        <f>'Bus Social Impacts'!G68</f>
        <v>1.0999999999999999E-2</v>
      </c>
      <c r="H68" s="2578">
        <f>'Bus Social Impacts'!H68</f>
        <v>6.3E-3</v>
      </c>
      <c r="I68" s="2578">
        <f>'Bus Social Impacts'!I68</f>
        <v>5.7000000000000002E-3</v>
      </c>
    </row>
    <row r="69" spans="1:9" ht="13.8" thickBot="1">
      <c r="A69" s="2579" t="s">
        <v>1560</v>
      </c>
      <c r="B69" s="2580" t="s">
        <v>1559</v>
      </c>
      <c r="C69" s="2580" t="s">
        <v>1561</v>
      </c>
      <c r="D69" s="2580">
        <f>'Bus Social Impacts'!D69</f>
        <v>0.01</v>
      </c>
      <c r="E69" s="2580">
        <f>'Bus Social Impacts'!E69</f>
        <v>1.6299999999999999E-2</v>
      </c>
      <c r="F69" s="2580">
        <f>'Bus Social Impacts'!F69</f>
        <v>1.8700000000000001E-2</v>
      </c>
      <c r="G69" s="2580">
        <f>'Bus Social Impacts'!G69</f>
        <v>3.49E-2</v>
      </c>
      <c r="H69" s="2580">
        <f>'Bus Social Impacts'!H69</f>
        <v>1.9800000000000002E-2</v>
      </c>
      <c r="I69" s="2580">
        <f>'Bus Social Impacts'!I69</f>
        <v>1.6E-2</v>
      </c>
    </row>
    <row r="70" spans="1:9" ht="13.8" thickTop="1"/>
  </sheetData>
  <sheetProtection sheet="1" objects="1" scenarios="1"/>
  <mergeCells count="11">
    <mergeCell ref="A1:B1"/>
    <mergeCell ref="A18:B18"/>
    <mergeCell ref="A19:B19"/>
    <mergeCell ref="A20:B20"/>
    <mergeCell ref="A21:B21"/>
    <mergeCell ref="A11:B11"/>
    <mergeCell ref="E6:S6"/>
    <mergeCell ref="A7:B7"/>
    <mergeCell ref="A8:B8"/>
    <mergeCell ref="A10:B10"/>
    <mergeCell ref="A12:B12"/>
  </mergeCells>
  <hyperlinks>
    <hyperlink ref="A10" location="Contents!A1" display="Contents"/>
    <hyperlink ref="A10:B10" location="Contents!A1" tooltip="Contents page" display="Contents"/>
    <hyperlink ref="A12:B12" r:id="rId1" tooltip="Unit A1.3 User &amp; Provider Impacts" display="WebTAG Unit A 1.3"/>
    <hyperlink ref="J7" r:id="rId2"/>
  </hyperlinks>
  <pageMargins left="0.75" right="0.75" top="1" bottom="1" header="0.5" footer="0.5"/>
  <pageSetup paperSize="9" scale="49" orientation="landscape" r:id="rId3"/>
  <headerFooter alignWithMargins="0"/>
  <drawing r:id="rId4"/>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tabColor rgb="FF008000"/>
    <pageSetUpPr fitToPage="1"/>
  </sheetPr>
  <dimension ref="A1:S70"/>
  <sheetViews>
    <sheetView showGridLines="0" zoomScale="85" zoomScaleNormal="85" workbookViewId="0">
      <pane xSplit="3" ySplit="27" topLeftCell="D67"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2"/>
  <cols>
    <col min="1" max="16384" width="12.88671875" style="2555"/>
  </cols>
  <sheetData>
    <row r="1" spans="1:19" ht="54.9" customHeight="1">
      <c r="A1" s="3742"/>
      <c r="B1" s="3742"/>
      <c r="C1" s="112"/>
    </row>
    <row r="2" spans="1:19" ht="5.0999999999999996" customHeight="1">
      <c r="C2" s="111"/>
    </row>
    <row r="3" spans="1:19" s="20" customFormat="1" ht="20.100000000000001" customHeight="1">
      <c r="A3" s="20" t="s">
        <v>2261</v>
      </c>
    </row>
    <row r="4" spans="1:19" s="20" customFormat="1" ht="20.100000000000001" customHeight="1" thickBot="1">
      <c r="A4" s="235" t="s">
        <v>1569</v>
      </c>
      <c r="B4" s="235"/>
      <c r="C4" s="235"/>
      <c r="D4" s="235"/>
      <c r="E4" s="235"/>
      <c r="F4" s="235"/>
      <c r="G4" s="235"/>
      <c r="H4" s="235"/>
      <c r="I4" s="235"/>
      <c r="J4" s="1214"/>
      <c r="K4" s="1214"/>
      <c r="L4" s="1215"/>
      <c r="M4" s="109"/>
      <c r="N4" s="235"/>
      <c r="O4" s="235"/>
      <c r="P4" s="235"/>
      <c r="Q4" s="235"/>
      <c r="R4" s="235"/>
      <c r="S4" s="235"/>
    </row>
    <row r="5" spans="1:19" ht="9.9" customHeight="1" thickTop="1" thickBot="1">
      <c r="J5" s="35"/>
      <c r="K5" s="2556"/>
      <c r="L5" s="32"/>
      <c r="M5" s="335"/>
    </row>
    <row r="6" spans="1:19" ht="13.5" customHeight="1" thickTop="1">
      <c r="A6" s="169" t="s">
        <v>10</v>
      </c>
      <c r="B6" s="169"/>
      <c r="E6" s="3626" t="s">
        <v>255</v>
      </c>
      <c r="F6" s="3654"/>
      <c r="G6" s="3654"/>
      <c r="H6" s="3654"/>
      <c r="I6" s="3654"/>
      <c r="J6" s="3654"/>
      <c r="K6" s="3654"/>
      <c r="L6" s="3654"/>
      <c r="M6" s="3654"/>
      <c r="N6" s="3654"/>
      <c r="O6" s="3654"/>
      <c r="P6" s="3654"/>
      <c r="Q6" s="3654"/>
      <c r="R6" s="3654"/>
      <c r="S6" s="3655"/>
    </row>
    <row r="7" spans="1:19" ht="13.5" customHeight="1">
      <c r="A7" s="3644" t="str">
        <f>Audit!A12</f>
        <v>May 2019 v1.12</v>
      </c>
      <c r="B7" s="3645"/>
      <c r="E7" s="2528" t="s">
        <v>1613</v>
      </c>
      <c r="G7" s="2557"/>
      <c r="H7" s="2557"/>
      <c r="I7" s="2557"/>
      <c r="J7" s="2371" t="s">
        <v>1614</v>
      </c>
      <c r="K7" s="2557"/>
      <c r="L7" s="2557"/>
      <c r="M7" s="2557"/>
      <c r="N7" s="2557"/>
      <c r="O7" s="2557"/>
      <c r="P7" s="2557"/>
      <c r="Q7" s="2557"/>
      <c r="R7" s="2557"/>
      <c r="S7" s="2558"/>
    </row>
    <row r="8" spans="1:19" ht="13.5" customHeight="1">
      <c r="A8" s="3740">
        <f>Audit!C12</f>
        <v>43586</v>
      </c>
      <c r="B8" s="3741"/>
      <c r="C8" s="2559"/>
      <c r="D8" s="2559"/>
      <c r="E8" s="2560"/>
      <c r="F8" s="148"/>
      <c r="G8" s="2557"/>
      <c r="H8" s="2557"/>
      <c r="I8" s="2557"/>
      <c r="J8" s="2557"/>
      <c r="K8" s="2557"/>
      <c r="L8" s="2557"/>
      <c r="M8" s="2557"/>
      <c r="N8" s="2557"/>
      <c r="O8" s="2557"/>
      <c r="P8" s="2557"/>
      <c r="Q8" s="2557"/>
      <c r="R8" s="2557"/>
      <c r="S8" s="2558"/>
    </row>
    <row r="9" spans="1:19" ht="13.5" customHeight="1" thickBot="1">
      <c r="A9" s="172" t="s">
        <v>14</v>
      </c>
      <c r="B9" s="2561"/>
      <c r="D9" s="2559"/>
      <c r="E9" s="2528" t="s">
        <v>1616</v>
      </c>
      <c r="F9" s="2557"/>
      <c r="G9" s="2557"/>
      <c r="H9" s="2557"/>
      <c r="I9" s="2557"/>
      <c r="J9" s="2557"/>
      <c r="K9" s="2557"/>
      <c r="L9" s="2557"/>
      <c r="M9" s="2557"/>
      <c r="N9" s="2557"/>
      <c r="O9" s="2557"/>
      <c r="P9" s="2557"/>
      <c r="Q9" s="2557"/>
      <c r="R9" s="2557"/>
      <c r="S9" s="2558"/>
    </row>
    <row r="10" spans="1:19" ht="13.5" customHeight="1" thickBot="1">
      <c r="A10" s="3570" t="s">
        <v>1306</v>
      </c>
      <c r="B10" s="3610"/>
      <c r="D10" s="2559"/>
      <c r="E10" s="2528" t="s">
        <v>1617</v>
      </c>
      <c r="F10" s="335"/>
      <c r="G10" s="335"/>
      <c r="H10" s="335"/>
      <c r="I10" s="335"/>
      <c r="J10" s="335"/>
      <c r="K10" s="335"/>
      <c r="L10" s="335"/>
      <c r="M10" s="335"/>
      <c r="N10" s="335"/>
      <c r="O10" s="335"/>
      <c r="P10" s="335"/>
      <c r="Q10" s="335"/>
      <c r="R10" s="335"/>
      <c r="S10" s="2562"/>
    </row>
    <row r="11" spans="1:19" ht="13.5" customHeight="1" thickBot="1">
      <c r="A11" s="3653"/>
      <c r="B11" s="3653"/>
      <c r="D11" s="2559"/>
      <c r="E11" s="2528"/>
      <c r="F11" s="2563"/>
      <c r="G11" s="2563"/>
      <c r="H11" s="2563"/>
      <c r="I11" s="2563"/>
      <c r="J11" s="2563"/>
      <c r="K11" s="2563"/>
      <c r="L11" s="2563"/>
      <c r="M11" s="2563"/>
      <c r="N11" s="2563"/>
      <c r="O11" s="2563"/>
      <c r="P11" s="2563"/>
      <c r="Q11" s="2563"/>
      <c r="R11" s="2563"/>
      <c r="S11" s="2564"/>
    </row>
    <row r="12" spans="1:19" ht="13.5" customHeight="1" thickBot="1">
      <c r="A12" s="3570" t="s">
        <v>2217</v>
      </c>
      <c r="B12" s="3581"/>
      <c r="D12" s="2559"/>
      <c r="E12" s="2528"/>
      <c r="F12" s="2557"/>
      <c r="G12" s="2557"/>
      <c r="H12" s="2557"/>
      <c r="I12" s="2557"/>
      <c r="J12" s="2557"/>
      <c r="K12" s="2557"/>
      <c r="L12" s="2557"/>
      <c r="M12" s="2557"/>
      <c r="N12" s="2557"/>
      <c r="O12" s="2557"/>
      <c r="P12" s="2557"/>
      <c r="Q12" s="2557"/>
      <c r="R12" s="2557"/>
      <c r="S12" s="2558"/>
    </row>
    <row r="13" spans="1:19" ht="13.5" customHeight="1">
      <c r="A13" s="172" t="s">
        <v>252</v>
      </c>
      <c r="B13" s="2565"/>
      <c r="C13" s="2559"/>
      <c r="D13" s="2559"/>
      <c r="E13" s="2566"/>
      <c r="F13" s="2557"/>
      <c r="G13" s="2557"/>
      <c r="H13" s="2557"/>
      <c r="I13" s="2557"/>
      <c r="J13" s="2557"/>
      <c r="K13" s="2557"/>
      <c r="L13" s="2557"/>
      <c r="M13" s="2557"/>
      <c r="N13" s="2557"/>
      <c r="O13" s="2557"/>
      <c r="P13" s="2557"/>
      <c r="Q13" s="2557"/>
      <c r="R13" s="2557"/>
      <c r="S13" s="2558"/>
    </row>
    <row r="14" spans="1:19" ht="13.5" customHeight="1">
      <c r="A14" s="2567"/>
      <c r="B14" s="2446"/>
      <c r="C14" s="2568"/>
      <c r="D14" s="2559"/>
      <c r="E14" s="2528"/>
      <c r="F14" s="2557"/>
      <c r="G14" s="2557"/>
      <c r="H14" s="2557"/>
      <c r="I14" s="2557"/>
      <c r="J14" s="2557"/>
      <c r="K14" s="2557"/>
      <c r="L14" s="2557"/>
      <c r="M14" s="2557"/>
      <c r="N14" s="2557"/>
      <c r="O14" s="2557"/>
      <c r="P14" s="2557"/>
      <c r="Q14" s="2557"/>
      <c r="R14" s="2557"/>
      <c r="S14" s="2558"/>
    </row>
    <row r="15" spans="1:19" ht="13.5" customHeight="1">
      <c r="A15" s="2569"/>
      <c r="B15" s="2442"/>
      <c r="C15" s="2568"/>
      <c r="D15" s="2559"/>
      <c r="E15" s="2528"/>
      <c r="F15" s="335"/>
      <c r="G15" s="335"/>
      <c r="H15" s="335"/>
      <c r="I15" s="335"/>
      <c r="J15" s="335"/>
      <c r="K15" s="335"/>
      <c r="L15" s="335"/>
      <c r="M15" s="335"/>
      <c r="N15" s="335"/>
      <c r="O15" s="335"/>
      <c r="P15" s="335"/>
      <c r="Q15" s="335"/>
      <c r="R15" s="335"/>
      <c r="S15" s="2562"/>
    </row>
    <row r="16" spans="1:19" ht="13.5" customHeight="1">
      <c r="A16" s="2569"/>
      <c r="B16" s="2442"/>
      <c r="C16" s="858"/>
      <c r="D16" s="2559"/>
      <c r="E16" s="2528"/>
      <c r="F16" s="2557"/>
      <c r="G16" s="2557"/>
      <c r="H16" s="2557"/>
      <c r="I16" s="2557"/>
      <c r="J16" s="2557"/>
      <c r="K16" s="2557"/>
      <c r="L16" s="2557"/>
      <c r="M16" s="2557"/>
      <c r="N16" s="2557"/>
      <c r="O16" s="2557"/>
      <c r="P16" s="2557"/>
      <c r="Q16" s="2557"/>
      <c r="R16" s="2557"/>
      <c r="S16" s="2558"/>
    </row>
    <row r="17" spans="1:19" ht="13.5" customHeight="1">
      <c r="A17" s="169" t="s">
        <v>253</v>
      </c>
      <c r="B17" s="2570"/>
      <c r="C17" s="2559"/>
      <c r="D17" s="2559"/>
      <c r="E17" s="207"/>
      <c r="F17" s="2557"/>
      <c r="G17" s="2557"/>
      <c r="H17" s="2557"/>
      <c r="I17" s="2557"/>
      <c r="J17" s="2557"/>
      <c r="K17" s="2557"/>
      <c r="L17" s="2557"/>
      <c r="M17" s="2557"/>
      <c r="N17" s="2557"/>
      <c r="O17" s="2557"/>
      <c r="P17" s="2557"/>
      <c r="Q17" s="2557"/>
      <c r="R17" s="2557"/>
      <c r="S17" s="2558"/>
    </row>
    <row r="18" spans="1:19" ht="13.5" customHeight="1">
      <c r="A18" s="3653"/>
      <c r="B18" s="3653"/>
      <c r="C18" s="2559"/>
      <c r="D18" s="2559"/>
      <c r="E18" s="2560"/>
      <c r="F18" s="2557"/>
      <c r="G18" s="2557"/>
      <c r="H18" s="2557"/>
      <c r="I18" s="2557"/>
      <c r="J18" s="2557"/>
      <c r="K18" s="2557"/>
      <c r="L18" s="2557"/>
      <c r="M18" s="2557"/>
      <c r="N18" s="2557"/>
      <c r="O18" s="2557"/>
      <c r="P18" s="2557"/>
      <c r="Q18" s="2557"/>
      <c r="R18" s="2557"/>
      <c r="S18" s="2558"/>
    </row>
    <row r="19" spans="1:19" ht="13.5" customHeight="1">
      <c r="A19" s="3653"/>
      <c r="B19" s="3653"/>
      <c r="C19" s="2559"/>
      <c r="D19" s="2559"/>
      <c r="E19" s="2528"/>
      <c r="F19" s="2557"/>
      <c r="G19" s="2557"/>
      <c r="H19" s="2557"/>
      <c r="I19" s="2557"/>
      <c r="J19" s="2557"/>
      <c r="K19" s="2557"/>
      <c r="L19" s="2557"/>
      <c r="M19" s="2557"/>
      <c r="N19" s="2557"/>
      <c r="O19" s="2557"/>
      <c r="P19" s="2557"/>
      <c r="Q19" s="2557"/>
      <c r="R19" s="2557"/>
      <c r="S19" s="2558"/>
    </row>
    <row r="20" spans="1:19" ht="13.5" customHeight="1" thickBot="1">
      <c r="A20" s="3653"/>
      <c r="B20" s="3653"/>
      <c r="C20" s="2559"/>
      <c r="D20" s="2559"/>
      <c r="E20" s="2571" t="s">
        <v>2366</v>
      </c>
      <c r="F20" s="23"/>
      <c r="G20" s="23"/>
      <c r="H20" s="23"/>
      <c r="I20" s="23"/>
      <c r="J20" s="23"/>
      <c r="K20" s="23"/>
      <c r="L20" s="23"/>
      <c r="M20" s="23"/>
      <c r="N20" s="23"/>
      <c r="O20" s="23"/>
      <c r="P20" s="23"/>
      <c r="Q20" s="23"/>
      <c r="R20" s="23"/>
      <c r="S20" s="108"/>
    </row>
    <row r="21" spans="1:19" ht="13.5" customHeight="1" thickTop="1">
      <c r="A21" s="3653"/>
      <c r="B21" s="3653"/>
      <c r="C21" s="2559"/>
      <c r="D21" s="2559"/>
      <c r="E21" s="31"/>
      <c r="G21" s="47"/>
      <c r="H21" s="335"/>
      <c r="I21" s="335"/>
      <c r="J21" s="35"/>
      <c r="K21" s="2556"/>
      <c r="L21" s="32"/>
      <c r="M21" s="335"/>
    </row>
    <row r="22" spans="1:19" ht="13.5" customHeight="1" thickBot="1">
      <c r="G22" s="335"/>
      <c r="H22" s="335"/>
      <c r="I22" s="335"/>
      <c r="J22" s="335"/>
      <c r="K22" s="335"/>
      <c r="L22" s="335"/>
    </row>
    <row r="23" spans="1:19" ht="13.5" customHeight="1" thickTop="1">
      <c r="A23" s="174" t="s">
        <v>1578</v>
      </c>
      <c r="B23" s="1242"/>
      <c r="C23" s="667"/>
      <c r="D23" s="1244"/>
      <c r="E23" s="2581"/>
      <c r="F23" s="2581"/>
      <c r="G23" s="2581"/>
      <c r="H23" s="2581"/>
      <c r="I23" s="2581"/>
      <c r="J23" s="29"/>
      <c r="K23" s="335"/>
      <c r="L23" s="335"/>
    </row>
    <row r="24" spans="1:19" ht="13.5" customHeight="1" thickBot="1">
      <c r="A24" s="836" t="s">
        <v>1570</v>
      </c>
      <c r="B24" s="1245"/>
      <c r="C24" s="1246"/>
      <c r="D24" s="1248"/>
      <c r="E24" s="2581"/>
      <c r="F24" s="2581"/>
      <c r="G24" s="2581"/>
      <c r="H24" s="2581"/>
      <c r="I24" s="2581"/>
      <c r="J24" s="29"/>
      <c r="K24" s="335"/>
      <c r="L24" s="335"/>
    </row>
    <row r="25" spans="1:19" ht="13.5" customHeight="1" thickTop="1">
      <c r="A25" s="421" t="s">
        <v>1534</v>
      </c>
      <c r="B25" s="421" t="s">
        <v>1535</v>
      </c>
      <c r="C25" s="421" t="s">
        <v>1536</v>
      </c>
      <c r="D25" s="419" t="s">
        <v>1571</v>
      </c>
      <c r="E25" s="442"/>
      <c r="F25" s="442"/>
      <c r="G25" s="442"/>
      <c r="H25" s="442"/>
      <c r="I25" s="442"/>
      <c r="J25" s="29"/>
      <c r="K25" s="335"/>
      <c r="L25" s="335"/>
    </row>
    <row r="26" spans="1:19" ht="13.5" customHeight="1">
      <c r="A26" s="421" t="s">
        <v>1541</v>
      </c>
      <c r="B26" s="421"/>
      <c r="C26" s="421" t="s">
        <v>1542</v>
      </c>
      <c r="D26" s="421" t="s">
        <v>1572</v>
      </c>
      <c r="E26" s="442"/>
      <c r="F26" s="442"/>
      <c r="G26" s="442"/>
      <c r="H26" s="442"/>
      <c r="I26" s="442"/>
      <c r="J26" s="29"/>
      <c r="K26" s="335"/>
      <c r="L26" s="335"/>
    </row>
    <row r="27" spans="1:19" ht="13.5" customHeight="1" thickBot="1">
      <c r="A27" s="1223"/>
      <c r="B27" s="1223"/>
      <c r="C27" s="1223" t="s">
        <v>1549</v>
      </c>
      <c r="D27" s="1223"/>
      <c r="E27" s="442"/>
      <c r="F27" s="442"/>
      <c r="G27" s="442"/>
      <c r="H27" s="442"/>
      <c r="I27" s="442"/>
      <c r="J27" s="48"/>
      <c r="K27" s="335"/>
      <c r="L27" s="335"/>
    </row>
    <row r="28" spans="1:19" ht="13.5" customHeight="1" thickTop="1">
      <c r="A28" s="2572">
        <v>0</v>
      </c>
      <c r="B28" s="2573" t="s">
        <v>1553</v>
      </c>
      <c r="C28" s="2573" t="s">
        <v>1554</v>
      </c>
      <c r="D28" s="2573">
        <f>'Bus Social Impacts'!J28</f>
        <v>0.37309999999999999</v>
      </c>
      <c r="E28" s="2582"/>
      <c r="F28" s="2582"/>
      <c r="G28" s="2582"/>
      <c r="H28" s="2582"/>
      <c r="I28" s="2582"/>
      <c r="J28" s="2574"/>
      <c r="K28" s="335"/>
      <c r="L28" s="47"/>
    </row>
    <row r="29" spans="1:19" ht="13.5" customHeight="1">
      <c r="A29" s="2575">
        <v>0</v>
      </c>
      <c r="B29" s="2576" t="s">
        <v>1418</v>
      </c>
      <c r="C29" s="2576" t="s">
        <v>1554</v>
      </c>
      <c r="D29" s="2576">
        <f>'Bus Social Impacts'!J29</f>
        <v>5.74E-2</v>
      </c>
      <c r="E29" s="2582"/>
      <c r="F29" s="2582"/>
      <c r="G29" s="2582"/>
      <c r="H29" s="2582"/>
      <c r="I29" s="2582"/>
      <c r="J29" s="2574"/>
      <c r="K29" s="335"/>
      <c r="L29" s="335"/>
    </row>
    <row r="30" spans="1:19" ht="13.5" customHeight="1">
      <c r="A30" s="2575">
        <v>0</v>
      </c>
      <c r="B30" s="2576" t="s">
        <v>1555</v>
      </c>
      <c r="C30" s="2576" t="s">
        <v>1554</v>
      </c>
      <c r="D30" s="2576">
        <f>'Bus Social Impacts'!J30</f>
        <v>0</v>
      </c>
      <c r="E30" s="2582"/>
      <c r="F30" s="2582"/>
      <c r="G30" s="2582"/>
      <c r="H30" s="2582"/>
      <c r="I30" s="2582"/>
      <c r="J30" s="2574"/>
      <c r="K30" s="335"/>
      <c r="L30" s="335"/>
    </row>
    <row r="31" spans="1:19" ht="13.5" customHeight="1">
      <c r="A31" s="2575">
        <v>0</v>
      </c>
      <c r="B31" s="2576" t="s">
        <v>1556</v>
      </c>
      <c r="C31" s="2576" t="s">
        <v>1554</v>
      </c>
      <c r="D31" s="2576">
        <f>'Bus Social Impacts'!J31</f>
        <v>0.17519999999999999</v>
      </c>
      <c r="E31" s="2582"/>
      <c r="F31" s="2582"/>
      <c r="G31" s="2582"/>
      <c r="H31" s="2582"/>
      <c r="I31" s="2582"/>
      <c r="J31" s="2574"/>
      <c r="K31" s="335"/>
      <c r="L31" s="335"/>
    </row>
    <row r="32" spans="1:19" ht="13.5" customHeight="1">
      <c r="A32" s="2575">
        <v>0</v>
      </c>
      <c r="B32" s="2576" t="s">
        <v>1557</v>
      </c>
      <c r="C32" s="2576" t="s">
        <v>1554</v>
      </c>
      <c r="D32" s="2576">
        <f>'Bus Social Impacts'!J32</f>
        <v>8.9599999999999999E-2</v>
      </c>
      <c r="E32" s="2582"/>
      <c r="F32" s="2582"/>
      <c r="G32" s="2582"/>
      <c r="H32" s="2582"/>
      <c r="I32" s="2582"/>
      <c r="J32" s="2574"/>
      <c r="K32" s="335"/>
      <c r="L32" s="335"/>
    </row>
    <row r="33" spans="1:12">
      <c r="A33" s="2575">
        <v>0</v>
      </c>
      <c r="B33" s="2576" t="s">
        <v>1558</v>
      </c>
      <c r="C33" s="2576" t="s">
        <v>1554</v>
      </c>
      <c r="D33" s="2576">
        <f>'Bus Social Impacts'!J33</f>
        <v>0.19750000000000001</v>
      </c>
      <c r="E33" s="2582"/>
      <c r="F33" s="2582"/>
      <c r="G33" s="2582"/>
      <c r="H33" s="2582"/>
      <c r="I33" s="2582"/>
      <c r="J33" s="2574"/>
      <c r="K33" s="335"/>
      <c r="L33" s="335"/>
    </row>
    <row r="34" spans="1:12">
      <c r="A34" s="2575">
        <v>0</v>
      </c>
      <c r="B34" s="2576" t="s">
        <v>1559</v>
      </c>
      <c r="C34" s="2576" t="s">
        <v>1554</v>
      </c>
      <c r="D34" s="2576">
        <f>'Bus Social Impacts'!J34</f>
        <v>0.27950000000000003</v>
      </c>
      <c r="E34" s="2582"/>
      <c r="F34" s="2582"/>
      <c r="G34" s="2582"/>
      <c r="H34" s="2582"/>
      <c r="I34" s="2582"/>
      <c r="J34" s="2574"/>
      <c r="K34" s="335"/>
      <c r="L34" s="335"/>
    </row>
    <row r="35" spans="1:12">
      <c r="A35" s="2575">
        <v>1</v>
      </c>
      <c r="B35" s="2576" t="s">
        <v>1553</v>
      </c>
      <c r="C35" s="2576" t="s">
        <v>1554</v>
      </c>
      <c r="D35" s="2576">
        <f>'Bus Social Impacts'!J35</f>
        <v>0.27750000000000002</v>
      </c>
      <c r="E35" s="2582"/>
      <c r="F35" s="2582"/>
      <c r="G35" s="2582"/>
      <c r="H35" s="2582"/>
      <c r="I35" s="2582"/>
      <c r="J35" s="2574"/>
      <c r="K35" s="335"/>
      <c r="L35" s="335"/>
    </row>
    <row r="36" spans="1:12">
      <c r="A36" s="2575">
        <v>1</v>
      </c>
      <c r="B36" s="2576" t="s">
        <v>1418</v>
      </c>
      <c r="C36" s="2576" t="s">
        <v>1554</v>
      </c>
      <c r="D36" s="2576">
        <f>'Bus Social Impacts'!J36</f>
        <v>3.78E-2</v>
      </c>
      <c r="E36" s="2582"/>
      <c r="F36" s="2582"/>
      <c r="G36" s="2582"/>
      <c r="H36" s="2582"/>
      <c r="I36" s="2582"/>
      <c r="J36" s="2574"/>
      <c r="K36" s="335"/>
      <c r="L36" s="335"/>
    </row>
    <row r="37" spans="1:12">
      <c r="A37" s="2575">
        <v>1</v>
      </c>
      <c r="B37" s="2576" t="s">
        <v>1555</v>
      </c>
      <c r="C37" s="2576" t="s">
        <v>1554</v>
      </c>
      <c r="D37" s="2576">
        <f>'Bus Social Impacts'!J37</f>
        <v>0</v>
      </c>
      <c r="E37" s="2582"/>
      <c r="F37" s="2582"/>
      <c r="G37" s="2582"/>
      <c r="H37" s="2582"/>
      <c r="I37" s="2582"/>
      <c r="J37" s="2574"/>
      <c r="K37" s="335"/>
      <c r="L37" s="335"/>
    </row>
    <row r="38" spans="1:12">
      <c r="A38" s="2575">
        <v>1</v>
      </c>
      <c r="B38" s="2576" t="s">
        <v>1556</v>
      </c>
      <c r="C38" s="2576" t="s">
        <v>1554</v>
      </c>
      <c r="D38" s="2576">
        <f>'Bus Social Impacts'!J38</f>
        <v>0.1206</v>
      </c>
      <c r="E38" s="2582"/>
      <c r="F38" s="2582"/>
      <c r="G38" s="2582"/>
      <c r="H38" s="2582"/>
      <c r="I38" s="2582"/>
      <c r="J38" s="2574"/>
      <c r="K38" s="335"/>
      <c r="L38" s="335"/>
    </row>
    <row r="39" spans="1:12">
      <c r="A39" s="2575">
        <v>1</v>
      </c>
      <c r="B39" s="2576" t="s">
        <v>1557</v>
      </c>
      <c r="C39" s="2576" t="s">
        <v>1554</v>
      </c>
      <c r="D39" s="2576">
        <f>'Bus Social Impacts'!J39</f>
        <v>5.9700000000000003E-2</v>
      </c>
      <c r="E39" s="2582"/>
      <c r="F39" s="2582"/>
      <c r="G39" s="2582"/>
      <c r="H39" s="2582"/>
      <c r="I39" s="2582"/>
      <c r="J39" s="2574"/>
      <c r="K39" s="335"/>
      <c r="L39" s="335"/>
    </row>
    <row r="40" spans="1:12">
      <c r="A40" s="2575">
        <v>1</v>
      </c>
      <c r="B40" s="2576" t="s">
        <v>1558</v>
      </c>
      <c r="C40" s="2576" t="s">
        <v>1554</v>
      </c>
      <c r="D40" s="2576">
        <f>'Bus Social Impacts'!J40</f>
        <v>0.1371</v>
      </c>
      <c r="E40" s="2582"/>
      <c r="F40" s="2582"/>
      <c r="G40" s="2582"/>
      <c r="H40" s="2582"/>
      <c r="I40" s="2582"/>
      <c r="J40" s="2574"/>
      <c r="K40" s="335"/>
      <c r="L40" s="335"/>
    </row>
    <row r="41" spans="1:12">
      <c r="A41" s="2575">
        <v>1</v>
      </c>
      <c r="B41" s="2576" t="s">
        <v>1559</v>
      </c>
      <c r="C41" s="2576" t="s">
        <v>1554</v>
      </c>
      <c r="D41" s="2576">
        <f>'Bus Social Impacts'!J41</f>
        <v>0.20019999999999999</v>
      </c>
      <c r="E41" s="2582"/>
      <c r="F41" s="2582"/>
      <c r="G41" s="2582"/>
      <c r="H41" s="2582"/>
      <c r="I41" s="2582"/>
      <c r="J41" s="49"/>
      <c r="K41" s="335"/>
      <c r="L41" s="335"/>
    </row>
    <row r="42" spans="1:12">
      <c r="A42" s="2577" t="s">
        <v>1560</v>
      </c>
      <c r="B42" s="2578" t="s">
        <v>1553</v>
      </c>
      <c r="C42" s="2578" t="s">
        <v>1554</v>
      </c>
      <c r="D42" s="2578">
        <f>'Bus Social Impacts'!J42</f>
        <v>0.19370000000000001</v>
      </c>
      <c r="E42" s="2583"/>
      <c r="F42" s="2583"/>
      <c r="G42" s="2583"/>
      <c r="H42" s="2583"/>
      <c r="I42" s="2583"/>
      <c r="J42" s="335"/>
      <c r="K42" s="335"/>
      <c r="L42" s="335"/>
    </row>
    <row r="43" spans="1:12">
      <c r="A43" s="2577" t="s">
        <v>1560</v>
      </c>
      <c r="B43" s="2578" t="s">
        <v>1418</v>
      </c>
      <c r="C43" s="2578" t="s">
        <v>1554</v>
      </c>
      <c r="D43" s="2578">
        <f>'Bus Social Impacts'!J43</f>
        <v>2.4E-2</v>
      </c>
      <c r="E43" s="2583"/>
      <c r="F43" s="2583"/>
      <c r="G43" s="2583"/>
      <c r="H43" s="2583"/>
      <c r="I43" s="2583"/>
    </row>
    <row r="44" spans="1:12">
      <c r="A44" s="2577" t="s">
        <v>1560</v>
      </c>
      <c r="B44" s="2578" t="s">
        <v>1555</v>
      </c>
      <c r="C44" s="2578" t="s">
        <v>1554</v>
      </c>
      <c r="D44" s="2578">
        <f>'Bus Social Impacts'!J44</f>
        <v>0</v>
      </c>
      <c r="E44" s="2583"/>
      <c r="F44" s="2583"/>
      <c r="G44" s="2583"/>
      <c r="H44" s="2583"/>
      <c r="I44" s="2583"/>
    </row>
    <row r="45" spans="1:12">
      <c r="A45" s="2577" t="s">
        <v>1560</v>
      </c>
      <c r="B45" s="2578" t="s">
        <v>1556</v>
      </c>
      <c r="C45" s="2578" t="s">
        <v>1554</v>
      </c>
      <c r="D45" s="2578">
        <f>'Bus Social Impacts'!J45</f>
        <v>7.9000000000000001E-2</v>
      </c>
      <c r="E45" s="2583"/>
      <c r="F45" s="2583"/>
      <c r="G45" s="2583"/>
      <c r="H45" s="2583"/>
      <c r="I45" s="2583"/>
    </row>
    <row r="46" spans="1:12">
      <c r="A46" s="2577" t="s">
        <v>1560</v>
      </c>
      <c r="B46" s="2578" t="s">
        <v>1557</v>
      </c>
      <c r="C46" s="2578" t="s">
        <v>1554</v>
      </c>
      <c r="D46" s="2578">
        <f>'Bus Social Impacts'!J46</f>
        <v>3.8199999999999998E-2</v>
      </c>
      <c r="E46" s="2583"/>
      <c r="F46" s="2583"/>
      <c r="G46" s="2583"/>
      <c r="H46" s="2583"/>
      <c r="I46" s="2583"/>
    </row>
    <row r="47" spans="1:12">
      <c r="A47" s="2577" t="s">
        <v>1560</v>
      </c>
      <c r="B47" s="2578" t="s">
        <v>1558</v>
      </c>
      <c r="C47" s="2578" t="s">
        <v>1554</v>
      </c>
      <c r="D47" s="2578">
        <f>'Bus Social Impacts'!J47</f>
        <v>9.0399999999999994E-2</v>
      </c>
      <c r="E47" s="2583"/>
      <c r="F47" s="2583"/>
      <c r="G47" s="2583"/>
      <c r="H47" s="2583"/>
      <c r="I47" s="2583"/>
    </row>
    <row r="48" spans="1:12">
      <c r="A48" s="2577" t="s">
        <v>1560</v>
      </c>
      <c r="B48" s="2578" t="s">
        <v>1559</v>
      </c>
      <c r="C48" s="2578" t="s">
        <v>1554</v>
      </c>
      <c r="D48" s="2578">
        <f>'Bus Social Impacts'!J48</f>
        <v>0.13539999999999999</v>
      </c>
      <c r="E48" s="2583"/>
      <c r="F48" s="2583"/>
      <c r="G48" s="2583"/>
      <c r="H48" s="2583"/>
      <c r="I48" s="2583"/>
    </row>
    <row r="49" spans="1:9">
      <c r="A49" s="2577">
        <v>0</v>
      </c>
      <c r="B49" s="2578" t="s">
        <v>1553</v>
      </c>
      <c r="C49" s="2578" t="s">
        <v>1561</v>
      </c>
      <c r="D49" s="2578">
        <f>'Bus Social Impacts'!J49</f>
        <v>0.309</v>
      </c>
      <c r="E49" s="2583"/>
      <c r="F49" s="2583"/>
      <c r="G49" s="2583"/>
      <c r="H49" s="2583"/>
      <c r="I49" s="2583"/>
    </row>
    <row r="50" spans="1:9">
      <c r="A50" s="2577">
        <v>0</v>
      </c>
      <c r="B50" s="2578" t="s">
        <v>1418</v>
      </c>
      <c r="C50" s="2578" t="s">
        <v>1561</v>
      </c>
      <c r="D50" s="2578">
        <f>'Bus Social Impacts'!J50</f>
        <v>4.3700000000000003E-2</v>
      </c>
      <c r="E50" s="2583"/>
      <c r="F50" s="2583"/>
      <c r="G50" s="2583"/>
      <c r="H50" s="2583"/>
      <c r="I50" s="2583"/>
    </row>
    <row r="51" spans="1:9">
      <c r="A51" s="2577">
        <v>0</v>
      </c>
      <c r="B51" s="2578" t="s">
        <v>1555</v>
      </c>
      <c r="C51" s="2578" t="s">
        <v>1561</v>
      </c>
      <c r="D51" s="2578">
        <f>'Bus Social Impacts'!J51</f>
        <v>0</v>
      </c>
      <c r="E51" s="2583"/>
      <c r="F51" s="2583"/>
      <c r="G51" s="2583"/>
      <c r="H51" s="2583"/>
      <c r="I51" s="2583"/>
    </row>
    <row r="52" spans="1:9">
      <c r="A52" s="2577">
        <v>0</v>
      </c>
      <c r="B52" s="2578" t="s">
        <v>1556</v>
      </c>
      <c r="C52" s="2578" t="s">
        <v>1561</v>
      </c>
      <c r="D52" s="2578">
        <f>'Bus Social Impacts'!J52</f>
        <v>0.1376</v>
      </c>
      <c r="E52" s="2583"/>
      <c r="F52" s="2583"/>
      <c r="G52" s="2583"/>
      <c r="H52" s="2583"/>
      <c r="I52" s="2583"/>
    </row>
    <row r="53" spans="1:9">
      <c r="A53" s="2577">
        <v>0</v>
      </c>
      <c r="B53" s="2578" t="s">
        <v>1557</v>
      </c>
      <c r="C53" s="2578" t="s">
        <v>1561</v>
      </c>
      <c r="D53" s="2578">
        <f>'Bus Social Impacts'!J53</f>
        <v>6.88E-2</v>
      </c>
      <c r="E53" s="2583"/>
      <c r="F53" s="2583"/>
      <c r="G53" s="2583"/>
      <c r="H53" s="2583"/>
      <c r="I53" s="2583"/>
    </row>
    <row r="54" spans="1:9">
      <c r="A54" s="2577">
        <v>0</v>
      </c>
      <c r="B54" s="2578" t="s">
        <v>1558</v>
      </c>
      <c r="C54" s="2578" t="s">
        <v>1561</v>
      </c>
      <c r="D54" s="2578">
        <f>'Bus Social Impacts'!J54</f>
        <v>0.156</v>
      </c>
      <c r="E54" s="2583"/>
      <c r="F54" s="2583"/>
      <c r="G54" s="2583"/>
      <c r="H54" s="2583"/>
      <c r="I54" s="2583"/>
    </row>
    <row r="55" spans="1:9">
      <c r="A55" s="2577">
        <v>0</v>
      </c>
      <c r="B55" s="2578" t="s">
        <v>1559</v>
      </c>
      <c r="C55" s="2578" t="s">
        <v>1561</v>
      </c>
      <c r="D55" s="2578">
        <f>'Bus Social Impacts'!J55</f>
        <v>0.22570000000000001</v>
      </c>
      <c r="E55" s="2583"/>
      <c r="F55" s="2583"/>
      <c r="G55" s="2583"/>
      <c r="H55" s="2583"/>
      <c r="I55" s="2583"/>
    </row>
    <row r="56" spans="1:9">
      <c r="A56" s="2577">
        <v>1</v>
      </c>
      <c r="B56" s="2578" t="s">
        <v>1553</v>
      </c>
      <c r="C56" s="2578" t="s">
        <v>1561</v>
      </c>
      <c r="D56" s="2578">
        <f>'Bus Social Impacts'!J56</f>
        <v>0.22389999999999999</v>
      </c>
      <c r="E56" s="2583"/>
      <c r="F56" s="2583"/>
      <c r="G56" s="2583"/>
      <c r="H56" s="2583"/>
      <c r="I56" s="2583"/>
    </row>
    <row r="57" spans="1:9">
      <c r="A57" s="2577">
        <v>1</v>
      </c>
      <c r="B57" s="2578" t="s">
        <v>1418</v>
      </c>
      <c r="C57" s="2578" t="s">
        <v>1561</v>
      </c>
      <c r="D57" s="2578">
        <f>'Bus Social Impacts'!J57</f>
        <v>2.87E-2</v>
      </c>
      <c r="E57" s="2583"/>
      <c r="F57" s="2583"/>
      <c r="G57" s="2583"/>
      <c r="H57" s="2583"/>
      <c r="I57" s="2583"/>
    </row>
    <row r="58" spans="1:9">
      <c r="A58" s="2577">
        <v>1</v>
      </c>
      <c r="B58" s="2578" t="s">
        <v>1555</v>
      </c>
      <c r="C58" s="2578" t="s">
        <v>1561</v>
      </c>
      <c r="D58" s="2578">
        <f>'Bus Social Impacts'!J58</f>
        <v>0</v>
      </c>
      <c r="E58" s="2583"/>
      <c r="F58" s="2583"/>
      <c r="G58" s="2583"/>
      <c r="H58" s="2583"/>
      <c r="I58" s="2583"/>
    </row>
    <row r="59" spans="1:9">
      <c r="A59" s="2577">
        <v>1</v>
      </c>
      <c r="B59" s="2578" t="s">
        <v>1556</v>
      </c>
      <c r="C59" s="2578" t="s">
        <v>1561</v>
      </c>
      <c r="D59" s="2578">
        <f>'Bus Social Impacts'!J59</f>
        <v>9.3399999999999997E-2</v>
      </c>
      <c r="E59" s="2583"/>
      <c r="F59" s="2583"/>
      <c r="G59" s="2583"/>
      <c r="H59" s="2583"/>
      <c r="I59" s="2583"/>
    </row>
    <row r="60" spans="1:9">
      <c r="A60" s="2577">
        <v>1</v>
      </c>
      <c r="B60" s="2578" t="s">
        <v>1557</v>
      </c>
      <c r="C60" s="2578" t="s">
        <v>1561</v>
      </c>
      <c r="D60" s="2578">
        <f>'Bus Social Impacts'!J60</f>
        <v>4.5499999999999999E-2</v>
      </c>
      <c r="E60" s="2583"/>
      <c r="F60" s="2583"/>
      <c r="G60" s="2583"/>
      <c r="H60" s="2583"/>
      <c r="I60" s="2583"/>
    </row>
    <row r="61" spans="1:9">
      <c r="A61" s="2577">
        <v>1</v>
      </c>
      <c r="B61" s="2578" t="s">
        <v>1558</v>
      </c>
      <c r="C61" s="2578" t="s">
        <v>1561</v>
      </c>
      <c r="D61" s="2578">
        <f>'Bus Social Impacts'!J61</f>
        <v>0.1066</v>
      </c>
      <c r="E61" s="2583"/>
      <c r="F61" s="2583"/>
      <c r="G61" s="2583"/>
      <c r="H61" s="2583"/>
      <c r="I61" s="2583"/>
    </row>
    <row r="62" spans="1:9">
      <c r="A62" s="2577">
        <v>1</v>
      </c>
      <c r="B62" s="2578" t="s">
        <v>1559</v>
      </c>
      <c r="C62" s="2578" t="s">
        <v>1561</v>
      </c>
      <c r="D62" s="2578">
        <f>'Bus Social Impacts'!J62</f>
        <v>0.1583</v>
      </c>
      <c r="E62" s="2583"/>
      <c r="F62" s="2583"/>
      <c r="G62" s="2583"/>
      <c r="H62" s="2583"/>
      <c r="I62" s="2583"/>
    </row>
    <row r="63" spans="1:9">
      <c r="A63" s="2577" t="s">
        <v>1560</v>
      </c>
      <c r="B63" s="2578" t="s">
        <v>1553</v>
      </c>
      <c r="C63" s="2578" t="s">
        <v>1561</v>
      </c>
      <c r="D63" s="2578">
        <f>'Bus Social Impacts'!J63</f>
        <v>0.15290000000000001</v>
      </c>
      <c r="E63" s="2583"/>
      <c r="F63" s="2583"/>
      <c r="G63" s="2583"/>
      <c r="H63" s="2583"/>
      <c r="I63" s="2583"/>
    </row>
    <row r="64" spans="1:9">
      <c r="A64" s="2577" t="s">
        <v>1560</v>
      </c>
      <c r="B64" s="2578" t="s">
        <v>1418</v>
      </c>
      <c r="C64" s="2578" t="s">
        <v>1561</v>
      </c>
      <c r="D64" s="2578">
        <f>'Bus Social Impacts'!J64</f>
        <v>1.8100000000000002E-2</v>
      </c>
      <c r="E64" s="2583"/>
      <c r="F64" s="2583"/>
      <c r="G64" s="2583"/>
      <c r="H64" s="2583"/>
      <c r="I64" s="2583"/>
    </row>
    <row r="65" spans="1:9">
      <c r="A65" s="2577" t="s">
        <v>1560</v>
      </c>
      <c r="B65" s="2578" t="s">
        <v>1555</v>
      </c>
      <c r="C65" s="2578" t="s">
        <v>1561</v>
      </c>
      <c r="D65" s="2578">
        <f>'Bus Social Impacts'!J65</f>
        <v>0</v>
      </c>
      <c r="E65" s="2583"/>
      <c r="F65" s="2583"/>
      <c r="G65" s="2583"/>
      <c r="H65" s="2583"/>
      <c r="I65" s="2583"/>
    </row>
    <row r="66" spans="1:9">
      <c r="A66" s="2577" t="s">
        <v>1560</v>
      </c>
      <c r="B66" s="2578" t="s">
        <v>1556</v>
      </c>
      <c r="C66" s="2578" t="s">
        <v>1561</v>
      </c>
      <c r="D66" s="2578">
        <f>'Bus Social Impacts'!J66</f>
        <v>6.0499999999999998E-2</v>
      </c>
      <c r="E66" s="2583"/>
      <c r="F66" s="2583"/>
      <c r="G66" s="2583"/>
      <c r="H66" s="2583"/>
      <c r="I66" s="2583"/>
    </row>
    <row r="67" spans="1:9">
      <c r="A67" s="2577" t="s">
        <v>1560</v>
      </c>
      <c r="B67" s="2578" t="s">
        <v>1557</v>
      </c>
      <c r="C67" s="2578" t="s">
        <v>1561</v>
      </c>
      <c r="D67" s="2578">
        <f>'Bus Social Impacts'!J67</f>
        <v>2.9000000000000001E-2</v>
      </c>
      <c r="E67" s="2583"/>
      <c r="F67" s="2583"/>
      <c r="G67" s="2583"/>
      <c r="H67" s="2583"/>
      <c r="I67" s="2583"/>
    </row>
    <row r="68" spans="1:9">
      <c r="A68" s="2577" t="s">
        <v>1560</v>
      </c>
      <c r="B68" s="2578" t="s">
        <v>1558</v>
      </c>
      <c r="C68" s="2578" t="s">
        <v>1561</v>
      </c>
      <c r="D68" s="2578">
        <f>'Bus Social Impacts'!J68</f>
        <v>6.9500000000000006E-2</v>
      </c>
      <c r="E68" s="2583"/>
      <c r="F68" s="2583"/>
      <c r="G68" s="2583"/>
      <c r="H68" s="2583"/>
      <c r="I68" s="2583"/>
    </row>
    <row r="69" spans="1:9" ht="13.8" thickBot="1">
      <c r="A69" s="2579" t="s">
        <v>1560</v>
      </c>
      <c r="B69" s="2580" t="s">
        <v>1559</v>
      </c>
      <c r="C69" s="2580" t="s">
        <v>1561</v>
      </c>
      <c r="D69" s="2580">
        <f>'Bus Social Impacts'!J69</f>
        <v>0.1053</v>
      </c>
      <c r="E69" s="2583"/>
      <c r="F69" s="2583"/>
      <c r="G69" s="2583"/>
      <c r="H69" s="2583"/>
      <c r="I69" s="2583"/>
    </row>
    <row r="70" spans="1:9" ht="13.8" thickTop="1"/>
  </sheetData>
  <sheetProtection sheet="1" objects="1" scenarios="1"/>
  <mergeCells count="11">
    <mergeCell ref="A1:B1"/>
    <mergeCell ref="A18:B18"/>
    <mergeCell ref="A19:B19"/>
    <mergeCell ref="A20:B20"/>
    <mergeCell ref="A21:B21"/>
    <mergeCell ref="A11:B11"/>
    <mergeCell ref="E6:S6"/>
    <mergeCell ref="A7:B7"/>
    <mergeCell ref="A8:B8"/>
    <mergeCell ref="A10:B10"/>
    <mergeCell ref="A12:B12"/>
  </mergeCells>
  <hyperlinks>
    <hyperlink ref="A10" location="Contents!A1" display="Contents"/>
    <hyperlink ref="A10:B10" location="Contents!A1" tooltip="Contents page" display="Contents"/>
    <hyperlink ref="A12:B12" r:id="rId1" tooltip="Unit A1.3 User &amp; Provider Impacts" display="WebTAG Unit A 1.3"/>
    <hyperlink ref="J7" r:id="rId2"/>
  </hyperlinks>
  <pageMargins left="0.75" right="0.75" top="1" bottom="1" header="0.5" footer="0.5"/>
  <pageSetup paperSize="9" scale="49" orientation="landscape" r:id="rId3"/>
  <headerFooter alignWithMargins="0"/>
  <drawing r:id="rId4"/>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tabColor rgb="FF008000"/>
    <pageSetUpPr fitToPage="1"/>
  </sheetPr>
  <dimension ref="A1:S42"/>
  <sheetViews>
    <sheetView showGridLines="0" topLeftCell="A9" zoomScale="85" zoomScaleNormal="85" workbookViewId="0">
      <selection activeCell="B14" sqref="B14:B15"/>
    </sheetView>
  </sheetViews>
  <sheetFormatPr defaultColWidth="12.88671875" defaultRowHeight="13.2"/>
  <cols>
    <col min="1" max="16384" width="12.88671875" style="2555"/>
  </cols>
  <sheetData>
    <row r="1" spans="1:19" ht="54.9" customHeight="1">
      <c r="A1" s="3742"/>
      <c r="B1" s="3742"/>
      <c r="C1" s="112"/>
    </row>
    <row r="2" spans="1:19" ht="5.0999999999999996" customHeight="1">
      <c r="C2" s="111"/>
    </row>
    <row r="3" spans="1:19" s="20" customFormat="1" ht="20.100000000000001" customHeight="1">
      <c r="A3" s="20" t="s">
        <v>2262</v>
      </c>
    </row>
    <row r="4" spans="1:19" s="20" customFormat="1" ht="20.100000000000001" customHeight="1" thickBot="1">
      <c r="A4" s="235" t="s">
        <v>1573</v>
      </c>
      <c r="B4" s="235"/>
      <c r="C4" s="235"/>
      <c r="D4" s="235"/>
      <c r="E4" s="235"/>
      <c r="F4" s="235"/>
      <c r="G4" s="235"/>
      <c r="H4" s="235"/>
      <c r="I4" s="235"/>
      <c r="J4" s="1214"/>
      <c r="K4" s="1214"/>
      <c r="L4" s="1215"/>
      <c r="M4" s="109"/>
      <c r="N4" s="235"/>
      <c r="O4" s="235"/>
      <c r="P4" s="235"/>
      <c r="Q4" s="235"/>
      <c r="R4" s="235"/>
      <c r="S4" s="235"/>
    </row>
    <row r="5" spans="1:19" ht="9.9" customHeight="1" thickTop="1" thickBot="1">
      <c r="J5" s="35"/>
      <c r="K5" s="2556"/>
      <c r="L5" s="32"/>
      <c r="M5" s="335"/>
    </row>
    <row r="6" spans="1:19" ht="13.5" customHeight="1" thickTop="1">
      <c r="A6" s="169" t="s">
        <v>10</v>
      </c>
      <c r="B6" s="169"/>
      <c r="E6" s="3626" t="s">
        <v>255</v>
      </c>
      <c r="F6" s="3654"/>
      <c r="G6" s="3654"/>
      <c r="H6" s="3654"/>
      <c r="I6" s="3654"/>
      <c r="J6" s="3654"/>
      <c r="K6" s="3654"/>
      <c r="L6" s="3654"/>
      <c r="M6" s="3654"/>
      <c r="N6" s="3654"/>
      <c r="O6" s="3654"/>
      <c r="P6" s="3654"/>
      <c r="Q6" s="3654"/>
      <c r="R6" s="3654"/>
      <c r="S6" s="3655"/>
    </row>
    <row r="7" spans="1:19" ht="13.5" customHeight="1">
      <c r="A7" s="3644" t="str">
        <f>Audit!A12</f>
        <v>May 2019 v1.12</v>
      </c>
      <c r="B7" s="3645"/>
      <c r="E7" s="2528" t="s">
        <v>1613</v>
      </c>
      <c r="G7" s="2557"/>
      <c r="H7" s="2557"/>
      <c r="I7" s="2557"/>
      <c r="J7" s="2371" t="s">
        <v>1614</v>
      </c>
      <c r="K7" s="2557"/>
      <c r="L7" s="2557"/>
      <c r="M7" s="2557"/>
      <c r="N7" s="2557"/>
      <c r="O7" s="2557"/>
      <c r="P7" s="2557"/>
      <c r="Q7" s="2557"/>
      <c r="R7" s="2557"/>
      <c r="S7" s="2558"/>
    </row>
    <row r="8" spans="1:19" ht="13.5" customHeight="1">
      <c r="A8" s="3740">
        <f>Audit!C12</f>
        <v>43586</v>
      </c>
      <c r="B8" s="3741"/>
      <c r="C8" s="2559"/>
      <c r="D8" s="2559"/>
      <c r="E8" s="2560"/>
      <c r="F8" s="148"/>
      <c r="G8" s="2557"/>
      <c r="H8" s="2557"/>
      <c r="I8" s="2557"/>
      <c r="J8" s="2557"/>
      <c r="K8" s="2557"/>
      <c r="L8" s="2557"/>
      <c r="M8" s="2557"/>
      <c r="N8" s="2557"/>
      <c r="O8" s="2557"/>
      <c r="P8" s="2557"/>
      <c r="Q8" s="2557"/>
      <c r="R8" s="2557"/>
      <c r="S8" s="2558"/>
    </row>
    <row r="9" spans="1:19" ht="13.5" customHeight="1" thickBot="1">
      <c r="A9" s="172" t="s">
        <v>14</v>
      </c>
      <c r="B9" s="2561"/>
      <c r="D9" s="2559"/>
      <c r="E9" s="2528" t="s">
        <v>1618</v>
      </c>
      <c r="F9" s="2557"/>
      <c r="G9" s="2557"/>
      <c r="H9" s="2557"/>
      <c r="I9" s="2557"/>
      <c r="J9" s="2557"/>
      <c r="K9" s="2557"/>
      <c r="L9" s="2557"/>
      <c r="M9" s="2557"/>
      <c r="N9" s="2557"/>
      <c r="O9" s="2557"/>
      <c r="P9" s="2557"/>
      <c r="Q9" s="2557"/>
      <c r="R9" s="2557"/>
      <c r="S9" s="2558"/>
    </row>
    <row r="10" spans="1:19" ht="13.5" customHeight="1" thickBot="1">
      <c r="A10" s="3570" t="s">
        <v>1306</v>
      </c>
      <c r="B10" s="3610"/>
      <c r="D10" s="2559"/>
      <c r="E10" s="2528" t="s">
        <v>1619</v>
      </c>
      <c r="F10" s="335"/>
      <c r="G10" s="335"/>
      <c r="H10" s="335"/>
      <c r="I10" s="335"/>
      <c r="J10" s="335"/>
      <c r="K10" s="335"/>
      <c r="L10" s="335"/>
      <c r="M10" s="335"/>
      <c r="N10" s="335"/>
      <c r="O10" s="335"/>
      <c r="P10" s="335"/>
      <c r="Q10" s="335"/>
      <c r="R10" s="335"/>
      <c r="S10" s="2562"/>
    </row>
    <row r="11" spans="1:19" ht="13.5" customHeight="1" thickBot="1">
      <c r="A11" s="3653"/>
      <c r="B11" s="3653"/>
      <c r="D11" s="2559"/>
      <c r="E11" s="2528" t="s">
        <v>1620</v>
      </c>
      <c r="F11" s="2563"/>
      <c r="G11" s="2563"/>
      <c r="H11" s="2563"/>
      <c r="I11" s="2563"/>
      <c r="J11" s="2563"/>
      <c r="K11" s="2563"/>
      <c r="L11" s="2563"/>
      <c r="M11" s="2563"/>
      <c r="N11" s="2563"/>
      <c r="O11" s="2563"/>
      <c r="P11" s="2563"/>
      <c r="Q11" s="2563"/>
      <c r="R11" s="2563"/>
      <c r="S11" s="2564"/>
    </row>
    <row r="12" spans="1:19" ht="13.5" customHeight="1" thickBot="1">
      <c r="A12" s="3570" t="s">
        <v>2217</v>
      </c>
      <c r="B12" s="3581"/>
      <c r="D12" s="2559"/>
      <c r="E12" s="2528"/>
      <c r="F12" s="2557"/>
      <c r="G12" s="2557"/>
      <c r="H12" s="2557"/>
      <c r="I12" s="2557"/>
      <c r="J12" s="2557"/>
      <c r="K12" s="2557"/>
      <c r="L12" s="2557"/>
      <c r="M12" s="2557"/>
      <c r="N12" s="2557"/>
      <c r="O12" s="2557"/>
      <c r="P12" s="2557"/>
      <c r="Q12" s="2557"/>
      <c r="R12" s="2557"/>
      <c r="S12" s="2558"/>
    </row>
    <row r="13" spans="1:19" ht="13.5" customHeight="1">
      <c r="A13" s="172" t="s">
        <v>252</v>
      </c>
      <c r="B13" s="2565"/>
      <c r="C13" s="2559"/>
      <c r="D13" s="2559"/>
      <c r="E13" s="2566"/>
      <c r="F13" s="2557"/>
      <c r="G13" s="2557"/>
      <c r="H13" s="2557"/>
      <c r="I13" s="2557"/>
      <c r="J13" s="2557"/>
      <c r="K13" s="2557"/>
      <c r="L13" s="2557"/>
      <c r="M13" s="2557"/>
      <c r="N13" s="2557"/>
      <c r="O13" s="2557"/>
      <c r="P13" s="2557"/>
      <c r="Q13" s="2557"/>
      <c r="R13" s="2557"/>
      <c r="S13" s="2558"/>
    </row>
    <row r="14" spans="1:19" ht="13.5" customHeight="1">
      <c r="A14" s="2567" t="s">
        <v>799</v>
      </c>
      <c r="B14" s="2450">
        <f>'User Parameters'!L13</f>
        <v>2010</v>
      </c>
      <c r="C14" s="2559"/>
      <c r="D14" s="2559"/>
      <c r="E14" s="2528"/>
      <c r="F14" s="2557"/>
      <c r="G14" s="2557"/>
      <c r="H14" s="2557"/>
      <c r="I14" s="2557"/>
      <c r="J14" s="2557"/>
      <c r="K14" s="2557"/>
      <c r="L14" s="2557"/>
      <c r="M14" s="2557"/>
      <c r="N14" s="2557"/>
      <c r="O14" s="2557"/>
      <c r="P14" s="2557"/>
      <c r="Q14" s="2557"/>
      <c r="R14" s="2557"/>
      <c r="S14" s="2558"/>
    </row>
    <row r="15" spans="1:19" ht="13.5" customHeight="1">
      <c r="A15" s="2569" t="s">
        <v>54</v>
      </c>
      <c r="B15" s="2450">
        <f>'User Parameters'!L19</f>
        <v>2010</v>
      </c>
      <c r="C15" s="2559"/>
      <c r="D15" s="2559"/>
      <c r="E15" s="2528"/>
      <c r="F15" s="335"/>
      <c r="G15" s="335"/>
      <c r="H15" s="335"/>
      <c r="I15" s="335"/>
      <c r="J15" s="335"/>
      <c r="K15" s="335"/>
      <c r="L15" s="335"/>
      <c r="M15" s="335"/>
      <c r="N15" s="335"/>
      <c r="O15" s="335"/>
      <c r="P15" s="335"/>
      <c r="Q15" s="335"/>
      <c r="R15" s="335"/>
      <c r="S15" s="2562"/>
    </row>
    <row r="16" spans="1:19" ht="13.5" customHeight="1">
      <c r="A16" s="2569"/>
      <c r="B16" s="2442"/>
      <c r="C16" s="858"/>
      <c r="D16" s="2559"/>
      <c r="E16" s="2528"/>
      <c r="F16" s="2557"/>
      <c r="G16" s="2557"/>
      <c r="H16" s="2557"/>
      <c r="I16" s="2557"/>
      <c r="J16" s="2557"/>
      <c r="K16" s="2557"/>
      <c r="L16" s="2557"/>
      <c r="M16" s="2557"/>
      <c r="N16" s="2557"/>
      <c r="O16" s="2557"/>
      <c r="P16" s="2557"/>
      <c r="Q16" s="2557"/>
      <c r="R16" s="2557"/>
      <c r="S16" s="2558"/>
    </row>
    <row r="17" spans="1:19" ht="13.5" customHeight="1">
      <c r="A17" s="169" t="s">
        <v>253</v>
      </c>
      <c r="B17" s="2570"/>
      <c r="C17" s="2559"/>
      <c r="D17" s="2559"/>
      <c r="E17" s="207"/>
      <c r="F17" s="2557"/>
      <c r="G17" s="2557"/>
      <c r="H17" s="2557"/>
      <c r="I17" s="2557"/>
      <c r="J17" s="2557"/>
      <c r="K17" s="2557"/>
      <c r="L17" s="2557"/>
      <c r="M17" s="2557"/>
      <c r="N17" s="2557"/>
      <c r="O17" s="2557"/>
      <c r="P17" s="2557"/>
      <c r="Q17" s="2557"/>
      <c r="R17" s="2557"/>
      <c r="S17" s="2558"/>
    </row>
    <row r="18" spans="1:19" ht="13.5" customHeight="1">
      <c r="A18" s="3653"/>
      <c r="B18" s="3653"/>
      <c r="C18" s="2559"/>
      <c r="D18" s="2559"/>
      <c r="E18" s="2560"/>
      <c r="F18" s="2557"/>
      <c r="G18" s="2557"/>
      <c r="H18" s="2557"/>
      <c r="I18" s="2557"/>
      <c r="J18" s="2557"/>
      <c r="K18" s="2557"/>
      <c r="L18" s="2557"/>
      <c r="M18" s="2557"/>
      <c r="N18" s="2557"/>
      <c r="O18" s="2557"/>
      <c r="P18" s="2557"/>
      <c r="Q18" s="2557"/>
      <c r="R18" s="2557"/>
      <c r="S18" s="2558"/>
    </row>
    <row r="19" spans="1:19" ht="13.5" customHeight="1">
      <c r="A19" s="3653"/>
      <c r="B19" s="3653"/>
      <c r="C19" s="2559"/>
      <c r="D19" s="2559"/>
      <c r="E19" s="2528"/>
      <c r="F19" s="2557"/>
      <c r="G19" s="2557"/>
      <c r="H19" s="2557"/>
      <c r="I19" s="2557"/>
      <c r="J19" s="2557"/>
      <c r="K19" s="2557"/>
      <c r="L19" s="2557"/>
      <c r="M19" s="2557"/>
      <c r="N19" s="2557"/>
      <c r="O19" s="2557"/>
      <c r="P19" s="2557"/>
      <c r="Q19" s="2557"/>
      <c r="R19" s="2557"/>
      <c r="S19" s="2558"/>
    </row>
    <row r="20" spans="1:19" ht="13.5" customHeight="1" thickBot="1">
      <c r="A20" s="3653"/>
      <c r="B20" s="3653"/>
      <c r="C20" s="2559"/>
      <c r="D20" s="2559"/>
      <c r="E20" s="2571" t="s">
        <v>2366</v>
      </c>
      <c r="F20" s="23"/>
      <c r="G20" s="23"/>
      <c r="H20" s="23"/>
      <c r="I20" s="23"/>
      <c r="J20" s="23"/>
      <c r="K20" s="23"/>
      <c r="L20" s="23"/>
      <c r="M20" s="23"/>
      <c r="N20" s="23"/>
      <c r="O20" s="23"/>
      <c r="P20" s="23"/>
      <c r="Q20" s="23"/>
      <c r="R20" s="23"/>
      <c r="S20" s="108"/>
    </row>
    <row r="21" spans="1:19" ht="13.5" customHeight="1" thickTop="1">
      <c r="A21" s="3653"/>
      <c r="B21" s="3653"/>
      <c r="C21" s="2559"/>
      <c r="D21" s="2559"/>
      <c r="E21" s="31"/>
      <c r="G21" s="47"/>
      <c r="H21" s="335"/>
      <c r="I21" s="335"/>
      <c r="J21" s="35"/>
      <c r="K21" s="2556"/>
      <c r="L21" s="32"/>
      <c r="M21" s="335"/>
    </row>
    <row r="22" spans="1:19" ht="13.5" customHeight="1" thickBot="1">
      <c r="G22" s="335"/>
      <c r="H22" s="335"/>
      <c r="I22" s="335"/>
      <c r="J22" s="335"/>
      <c r="K22" s="335"/>
      <c r="L22" s="335"/>
    </row>
    <row r="23" spans="1:19" ht="13.5" customHeight="1" thickTop="1">
      <c r="A23" s="174" t="s">
        <v>1579</v>
      </c>
      <c r="B23" s="1242"/>
      <c r="C23" s="667"/>
      <c r="D23" s="1243"/>
      <c r="E23" s="1244"/>
      <c r="F23" s="2581"/>
      <c r="G23" s="2581"/>
      <c r="H23" s="2581"/>
      <c r="I23" s="2581"/>
      <c r="J23" s="29"/>
      <c r="K23" s="335"/>
      <c r="L23" s="335"/>
    </row>
    <row r="24" spans="1:19" ht="13.5" customHeight="1" thickBot="1">
      <c r="A24" s="836" t="str">
        <f>"("&amp;B14&amp;" prices, "&amp;B15&amp;" values)"</f>
        <v>(2010 prices, 2010 values)</v>
      </c>
      <c r="B24" s="1245"/>
      <c r="C24" s="1246"/>
      <c r="D24" s="1247"/>
      <c r="E24" s="1248"/>
      <c r="F24" s="2581"/>
      <c r="G24" s="2581"/>
      <c r="H24" s="2581"/>
      <c r="I24" s="2581"/>
      <c r="J24" s="29"/>
      <c r="K24" s="335"/>
      <c r="L24" s="335"/>
    </row>
    <row r="25" spans="1:19" ht="13.5" customHeight="1" thickTop="1">
      <c r="A25" s="2584" t="s">
        <v>1574</v>
      </c>
      <c r="B25" s="1761"/>
      <c r="C25" s="498"/>
      <c r="D25" s="2584" t="s">
        <v>1575</v>
      </c>
      <c r="E25" s="498"/>
      <c r="F25" s="442"/>
      <c r="G25" s="442"/>
      <c r="H25" s="442"/>
      <c r="I25" s="442"/>
      <c r="J25" s="29"/>
      <c r="K25" s="335"/>
      <c r="L25" s="335"/>
    </row>
    <row r="26" spans="1:19" ht="13.5" customHeight="1">
      <c r="A26" s="420"/>
      <c r="B26" s="286"/>
      <c r="C26" s="285"/>
      <c r="D26" s="827" t="s">
        <v>1576</v>
      </c>
      <c r="E26" s="285"/>
      <c r="F26" s="442"/>
      <c r="G26" s="442"/>
      <c r="H26" s="442"/>
      <c r="I26" s="442"/>
      <c r="J26" s="29"/>
      <c r="K26" s="335"/>
      <c r="L26" s="335"/>
    </row>
    <row r="27" spans="1:19" ht="13.5" customHeight="1" thickBot="1">
      <c r="A27" s="1686"/>
      <c r="B27" s="1693"/>
      <c r="C27" s="668"/>
      <c r="D27" s="1686"/>
      <c r="E27" s="668"/>
      <c r="F27" s="442"/>
      <c r="G27" s="442"/>
      <c r="H27" s="442"/>
      <c r="I27" s="442"/>
      <c r="J27" s="48"/>
      <c r="K27" s="335"/>
      <c r="L27" s="335"/>
    </row>
    <row r="28" spans="1:19" ht="13.5" customHeight="1" thickTop="1">
      <c r="A28" s="2585" t="s">
        <v>1554</v>
      </c>
      <c r="B28" s="2586"/>
      <c r="C28" s="2587"/>
      <c r="D28" s="2588">
        <f>'Bus Social Impacts'!K28*VLOOKUP(B14,'Annual Parameters'!$B$33:$D$143,3,1)/VLOOKUP('Bus Social Impacts'!B14,'Annual Parameters'!$B$33:$D$143,3,1)*VLOOKUP(B15,'Annual Parameters'!$B$33:$S$143,18,1)/VLOOKUP('Bus Social Impacts'!B15,'Annual Parameters'!$B$33:$S$143,18,1)</f>
        <v>3.84</v>
      </c>
      <c r="E28" s="2587"/>
      <c r="F28" s="2582"/>
      <c r="G28" s="2582"/>
      <c r="H28" s="2582"/>
      <c r="I28" s="2582"/>
      <c r="J28" s="2574"/>
      <c r="K28" s="335"/>
      <c r="L28" s="47"/>
    </row>
    <row r="29" spans="1:19" ht="13.5" customHeight="1" thickBot="1">
      <c r="A29" s="2589" t="s">
        <v>1577</v>
      </c>
      <c r="B29" s="2590"/>
      <c r="C29" s="2591"/>
      <c r="D29" s="2592">
        <f>'Bus Social Impacts'!K49*VLOOKUP(B14,'Annual Parameters'!$B$33:$D$143,3,1)/VLOOKUP('Bus Social Impacts'!B14,'Annual Parameters'!$B$33:$D$143,3,1)*VLOOKUP(B15,'Annual Parameters'!$B$33:$S$143,18,1)/VLOOKUP('Bus Social Impacts'!B15,'Annual Parameters'!$B$33:$S$143,18,1)</f>
        <v>8.17</v>
      </c>
      <c r="E29" s="2591"/>
      <c r="F29" s="2582"/>
      <c r="G29" s="2582"/>
      <c r="H29" s="2582"/>
      <c r="I29" s="2582"/>
      <c r="J29" s="2574"/>
      <c r="K29" s="335"/>
      <c r="L29" s="335"/>
    </row>
    <row r="30" spans="1:19" ht="13.5" customHeight="1" thickTop="1">
      <c r="A30" s="335"/>
      <c r="B30" s="335"/>
    </row>
    <row r="31" spans="1:19" ht="13.5" customHeight="1">
      <c r="A31" s="335"/>
      <c r="B31" s="335"/>
    </row>
    <row r="32" spans="1:19" ht="13.5" customHeight="1">
      <c r="A32" s="335"/>
      <c r="B32" s="335"/>
    </row>
    <row r="33" spans="1:2">
      <c r="A33" s="335"/>
      <c r="B33" s="335"/>
    </row>
    <row r="34" spans="1:2">
      <c r="A34" s="335"/>
      <c r="B34" s="335"/>
    </row>
    <row r="35" spans="1:2">
      <c r="A35" s="335"/>
      <c r="B35" s="335"/>
    </row>
    <row r="36" spans="1:2">
      <c r="A36" s="335"/>
      <c r="B36" s="335"/>
    </row>
    <row r="37" spans="1:2">
      <c r="A37" s="335"/>
      <c r="B37" s="335"/>
    </row>
    <row r="38" spans="1:2">
      <c r="A38" s="335"/>
      <c r="B38" s="335"/>
    </row>
    <row r="39" spans="1:2">
      <c r="A39" s="335"/>
      <c r="B39" s="335"/>
    </row>
    <row r="40" spans="1:2">
      <c r="A40" s="335"/>
      <c r="B40" s="335"/>
    </row>
    <row r="41" spans="1:2">
      <c r="A41" s="335"/>
      <c r="B41" s="335"/>
    </row>
    <row r="42" spans="1:2">
      <c r="A42" s="335"/>
      <c r="B42" s="335"/>
    </row>
  </sheetData>
  <sheetProtection sheet="1" objects="1" scenarios="1"/>
  <mergeCells count="11">
    <mergeCell ref="A1:B1"/>
    <mergeCell ref="A18:B18"/>
    <mergeCell ref="A19:B19"/>
    <mergeCell ref="A20:B20"/>
    <mergeCell ref="A21:B21"/>
    <mergeCell ref="A11:B11"/>
    <mergeCell ref="E6:S6"/>
    <mergeCell ref="A7:B7"/>
    <mergeCell ref="A8:B8"/>
    <mergeCell ref="A10:B10"/>
    <mergeCell ref="A12:B12"/>
  </mergeCells>
  <hyperlinks>
    <hyperlink ref="A10" location="Contents!A1" display="Contents"/>
    <hyperlink ref="A10:B10" location="Contents!A1" tooltip="Contents page" display="Contents"/>
    <hyperlink ref="A12:B12" r:id="rId1" tooltip="Unit A1.3 User &amp; Provider Impacts" display="WebTAG Unit A 1.3"/>
    <hyperlink ref="J7" r:id="rId2"/>
  </hyperlinks>
  <pageMargins left="0.75" right="0.75" top="1" bottom="1" header="0.5" footer="0.5"/>
  <pageSetup paperSize="9" scale="54" fitToHeight="0" orientation="landscape" r:id="rId3"/>
  <headerFooter alignWithMargins="0"/>
  <drawing r:id="rId4"/>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17"/>
    <pageSetUpPr fitToPage="1"/>
  </sheetPr>
  <dimension ref="A1:U70"/>
  <sheetViews>
    <sheetView showGridLines="0" zoomScale="85" zoomScaleNormal="85" workbookViewId="0">
      <pane xSplit="3" ySplit="26" topLeftCell="D48" activePane="bottomRight" state="frozen"/>
      <selection activeCell="A9" sqref="A9"/>
      <selection pane="topRight" activeCell="A9" sqref="A9"/>
      <selection pane="bottomLeft" activeCell="A9" sqref="A9"/>
      <selection pane="bottomRight" activeCell="H70" sqref="H70"/>
    </sheetView>
  </sheetViews>
  <sheetFormatPr defaultColWidth="12.88671875" defaultRowHeight="13.5" customHeight="1"/>
  <cols>
    <col min="1" max="6" width="12.88671875" style="317" customWidth="1"/>
    <col min="7" max="7" width="12.88671875" style="2619" customWidth="1"/>
    <col min="8" max="16384" width="12.88671875" style="317"/>
  </cols>
  <sheetData>
    <row r="1" spans="1:21" s="2619" customFormat="1" ht="54.9" customHeight="1">
      <c r="A1" s="28"/>
      <c r="B1" s="28"/>
    </row>
    <row r="2" spans="1:21" s="83" customFormat="1" ht="5.0999999999999996" customHeight="1">
      <c r="B2" s="444"/>
      <c r="C2" s="444"/>
      <c r="D2" s="444"/>
      <c r="F2" s="444"/>
      <c r="G2" s="444"/>
      <c r="L2" s="445"/>
    </row>
    <row r="3" spans="1:21" s="300" customFormat="1" ht="20.100000000000001" customHeight="1">
      <c r="A3" s="300" t="s">
        <v>2263</v>
      </c>
      <c r="B3" s="485"/>
      <c r="C3" s="485"/>
      <c r="D3" s="46"/>
      <c r="E3" s="83"/>
      <c r="F3" s="445"/>
    </row>
    <row r="4" spans="1:21" s="335" customFormat="1" ht="20.100000000000001" customHeight="1" thickBot="1">
      <c r="A4" s="529" t="s">
        <v>1074</v>
      </c>
      <c r="B4" s="2715"/>
      <c r="C4" s="2715"/>
      <c r="D4" s="2716"/>
      <c r="E4" s="2716"/>
      <c r="F4" s="2716"/>
      <c r="G4" s="2716"/>
      <c r="H4" s="2716"/>
      <c r="I4" s="2716"/>
      <c r="J4" s="2716"/>
      <c r="K4" s="2716"/>
      <c r="L4" s="2716"/>
      <c r="M4" s="2716"/>
      <c r="N4" s="2716"/>
      <c r="O4" s="2716"/>
      <c r="P4" s="2716"/>
      <c r="Q4" s="2716"/>
      <c r="R4" s="2716"/>
      <c r="S4" s="2716"/>
      <c r="T4" s="2716"/>
      <c r="U4" s="2716"/>
    </row>
    <row r="5" spans="1:21" s="2619" customFormat="1" ht="9.9" customHeight="1" thickTop="1" thickBot="1">
      <c r="A5" s="35"/>
      <c r="B5" s="2717"/>
      <c r="C5" s="2556"/>
      <c r="E5" s="427"/>
    </row>
    <row r="6" spans="1:21" s="2619" customFormat="1" ht="13.5" customHeight="1" thickTop="1">
      <c r="A6" s="169" t="s">
        <v>10</v>
      </c>
      <c r="B6" s="169"/>
      <c r="D6" s="2562"/>
      <c r="E6" s="667" t="s">
        <v>255</v>
      </c>
      <c r="F6" s="1227"/>
      <c r="G6" s="1227"/>
      <c r="H6" s="1227"/>
      <c r="I6" s="1227"/>
      <c r="J6" s="1227"/>
      <c r="K6" s="1227"/>
      <c r="L6" s="1227"/>
      <c r="M6" s="1227"/>
      <c r="N6" s="1227"/>
      <c r="O6" s="1227"/>
      <c r="P6" s="1227"/>
      <c r="Q6" s="1227"/>
      <c r="R6" s="1227"/>
      <c r="S6" s="1227"/>
      <c r="T6" s="1227"/>
      <c r="U6" s="1226"/>
    </row>
    <row r="7" spans="1:21" s="2619" customFormat="1" ht="13.5" customHeight="1">
      <c r="A7" s="3644" t="str">
        <f>Audit!A12</f>
        <v>May 2019 v1.12</v>
      </c>
      <c r="B7" s="3651"/>
      <c r="D7" s="335"/>
      <c r="E7" s="2791" t="s">
        <v>1729</v>
      </c>
      <c r="F7" s="29"/>
      <c r="G7" s="335"/>
      <c r="H7" s="335"/>
      <c r="I7" s="335"/>
      <c r="J7" s="335"/>
      <c r="K7" s="335"/>
      <c r="L7" s="335"/>
      <c r="M7" s="335"/>
      <c r="N7" s="2685" t="s">
        <v>1725</v>
      </c>
      <c r="O7" s="335"/>
      <c r="P7" s="335"/>
      <c r="Q7" s="335"/>
      <c r="R7" s="335"/>
      <c r="S7" s="335"/>
      <c r="T7" s="335"/>
      <c r="U7" s="2562"/>
    </row>
    <row r="8" spans="1:21" s="2619" customFormat="1" ht="13.5" customHeight="1">
      <c r="A8" s="3740">
        <f>Audit!C12</f>
        <v>43586</v>
      </c>
      <c r="B8" s="3741"/>
      <c r="C8" s="2717"/>
      <c r="D8" s="2556"/>
      <c r="E8" s="2791" t="s">
        <v>1730</v>
      </c>
      <c r="F8" s="315"/>
      <c r="G8" s="335"/>
      <c r="H8" s="335"/>
      <c r="I8" s="335"/>
      <c r="J8" s="335"/>
      <c r="K8" s="335"/>
      <c r="L8" s="335"/>
      <c r="M8" s="335"/>
      <c r="N8" s="335"/>
      <c r="O8" s="335"/>
      <c r="P8" s="335"/>
      <c r="Q8" s="335"/>
      <c r="R8" s="335"/>
      <c r="S8" s="335"/>
      <c r="T8" s="335"/>
      <c r="U8" s="2562"/>
    </row>
    <row r="9" spans="1:21" s="2619" customFormat="1" ht="13.5" customHeight="1" thickBot="1">
      <c r="A9" s="172" t="s">
        <v>14</v>
      </c>
      <c r="B9" s="2561"/>
      <c r="D9" s="2717"/>
      <c r="E9" s="2791" t="s">
        <v>1731</v>
      </c>
      <c r="F9" s="335"/>
      <c r="G9" s="335"/>
      <c r="H9" s="335"/>
      <c r="I9" s="335"/>
      <c r="J9" s="335"/>
      <c r="K9" s="335"/>
      <c r="L9" s="335"/>
      <c r="M9" s="335"/>
      <c r="N9" s="335"/>
      <c r="O9" s="335"/>
      <c r="P9" s="335"/>
      <c r="Q9" s="335"/>
      <c r="R9" s="335"/>
      <c r="S9" s="335"/>
      <c r="T9" s="335"/>
      <c r="U9" s="2562"/>
    </row>
    <row r="10" spans="1:21" s="2619" customFormat="1" ht="13.5" customHeight="1" thickBot="1">
      <c r="A10" s="3570" t="s">
        <v>1306</v>
      </c>
      <c r="B10" s="3610"/>
      <c r="D10" s="2717"/>
      <c r="E10" s="2528" t="s">
        <v>1732</v>
      </c>
      <c r="F10" s="335"/>
      <c r="G10" s="335"/>
      <c r="H10" s="335"/>
      <c r="I10" s="335"/>
      <c r="J10" s="335"/>
      <c r="K10" s="335"/>
      <c r="L10" s="335"/>
      <c r="M10" s="335"/>
      <c r="N10" s="335"/>
      <c r="O10" s="335"/>
      <c r="P10" s="335"/>
      <c r="Q10" s="335"/>
      <c r="R10" s="335"/>
      <c r="S10" s="335"/>
      <c r="T10" s="335"/>
      <c r="U10" s="2562"/>
    </row>
    <row r="11" spans="1:21" s="2619" customFormat="1" ht="13.5" customHeight="1" thickBot="1">
      <c r="A11" s="3570" t="s">
        <v>2264</v>
      </c>
      <c r="B11" s="3581"/>
      <c r="D11" s="2717"/>
      <c r="E11" s="2792" t="s">
        <v>1733</v>
      </c>
      <c r="G11" s="2697"/>
      <c r="H11" s="2697"/>
      <c r="I11" s="2697"/>
      <c r="J11" s="2697"/>
      <c r="K11" s="2697"/>
      <c r="L11" s="2697"/>
      <c r="M11" s="2697"/>
      <c r="N11" s="2697"/>
      <c r="O11" s="2697"/>
      <c r="P11" s="2697"/>
      <c r="Q11" s="2697"/>
      <c r="R11" s="2697"/>
      <c r="S11" s="2697"/>
      <c r="T11" s="2697"/>
      <c r="U11" s="2719"/>
    </row>
    <row r="12" spans="1:21" s="2619" customFormat="1" ht="13.5" customHeight="1" thickBot="1">
      <c r="A12" s="3570" t="s">
        <v>2265</v>
      </c>
      <c r="B12" s="3581"/>
      <c r="D12" s="2717"/>
      <c r="E12" s="2528" t="s">
        <v>1734</v>
      </c>
      <c r="F12" s="335"/>
      <c r="G12" s="335"/>
      <c r="H12" s="335"/>
      <c r="I12" s="335"/>
      <c r="J12" s="335"/>
      <c r="K12" s="335"/>
      <c r="L12" s="335"/>
      <c r="M12" s="335"/>
      <c r="N12" s="335"/>
      <c r="O12" s="335"/>
      <c r="P12" s="335"/>
      <c r="Q12" s="335"/>
      <c r="R12" s="335"/>
      <c r="S12" s="335"/>
      <c r="T12" s="335"/>
      <c r="U12" s="2562"/>
    </row>
    <row r="13" spans="1:21" s="2619" customFormat="1" ht="13.5" customHeight="1">
      <c r="A13" s="172" t="s">
        <v>252</v>
      </c>
      <c r="B13" s="2565"/>
      <c r="C13" s="2717"/>
      <c r="D13" s="2717"/>
      <c r="E13" s="2528"/>
      <c r="F13" s="2766"/>
      <c r="G13" s="2766"/>
      <c r="H13" s="2766"/>
      <c r="I13" s="2766"/>
      <c r="J13" s="2766"/>
      <c r="K13" s="2766"/>
      <c r="L13" s="2766"/>
      <c r="M13" s="2766"/>
      <c r="N13" s="2766"/>
      <c r="O13" s="2766"/>
      <c r="P13" s="335"/>
      <c r="Q13" s="335"/>
      <c r="R13" s="335"/>
      <c r="S13" s="335"/>
      <c r="T13" s="335"/>
      <c r="U13" s="2562"/>
    </row>
    <row r="14" spans="1:21" s="2619" customFormat="1" ht="13.5" customHeight="1">
      <c r="A14" s="2767" t="s">
        <v>799</v>
      </c>
      <c r="B14" s="2450">
        <f>'User Parameters'!L13</f>
        <v>2010</v>
      </c>
      <c r="C14" s="2717"/>
      <c r="D14" s="2717"/>
      <c r="E14" s="2528" t="s">
        <v>1735</v>
      </c>
      <c r="F14" s="335"/>
      <c r="G14" s="335"/>
      <c r="H14" s="335"/>
      <c r="I14" s="335"/>
      <c r="J14" s="335"/>
      <c r="K14" s="335"/>
      <c r="L14" s="335"/>
      <c r="M14" s="335"/>
      <c r="N14" s="335"/>
      <c r="O14" s="335"/>
      <c r="P14" s="335"/>
      <c r="Q14" s="335"/>
      <c r="R14" s="335"/>
      <c r="S14" s="335"/>
      <c r="T14" s="335"/>
      <c r="U14" s="2562"/>
    </row>
    <row r="15" spans="1:21" s="2619" customFormat="1" ht="13.5" customHeight="1">
      <c r="A15" s="2569" t="s">
        <v>54</v>
      </c>
      <c r="B15" s="2450">
        <f>'User Parameters'!L19</f>
        <v>2010</v>
      </c>
      <c r="C15" s="2717"/>
      <c r="D15" s="2717"/>
      <c r="E15" s="2528"/>
      <c r="F15" s="335"/>
      <c r="G15" s="335"/>
      <c r="H15" s="335"/>
      <c r="I15" s="335"/>
      <c r="J15" s="335"/>
      <c r="K15" s="335"/>
      <c r="L15" s="335"/>
      <c r="M15" s="335"/>
      <c r="N15" s="335"/>
      <c r="O15" s="335"/>
      <c r="P15" s="335"/>
      <c r="Q15" s="335"/>
      <c r="R15" s="335"/>
      <c r="S15" s="335"/>
      <c r="T15" s="335"/>
      <c r="U15" s="2562"/>
    </row>
    <row r="16" spans="1:21" s="2619" customFormat="1" ht="13.5" customHeight="1">
      <c r="A16" s="2767"/>
      <c r="B16" s="2463"/>
      <c r="C16" s="2717"/>
      <c r="D16" s="2717"/>
      <c r="E16" s="2528"/>
      <c r="F16" s="335"/>
      <c r="G16" s="335"/>
      <c r="H16" s="335"/>
      <c r="I16" s="335"/>
      <c r="J16" s="335"/>
      <c r="K16" s="335"/>
      <c r="L16" s="335"/>
      <c r="M16" s="335"/>
      <c r="N16" s="335"/>
      <c r="O16" s="335"/>
      <c r="P16" s="335"/>
      <c r="Q16" s="335"/>
      <c r="R16" s="335"/>
      <c r="S16" s="335"/>
      <c r="T16" s="335"/>
      <c r="U16" s="2562"/>
    </row>
    <row r="17" spans="1:21" s="2619" customFormat="1" ht="13.5" customHeight="1">
      <c r="A17" s="169" t="s">
        <v>253</v>
      </c>
      <c r="B17" s="2570"/>
      <c r="C17" s="2717"/>
      <c r="D17" s="2717"/>
      <c r="E17" s="2528"/>
      <c r="F17" s="335"/>
      <c r="G17" s="335"/>
      <c r="H17" s="335"/>
      <c r="I17" s="335"/>
      <c r="J17" s="335"/>
      <c r="K17" s="335"/>
      <c r="L17" s="335"/>
      <c r="M17" s="335"/>
      <c r="N17" s="335"/>
      <c r="O17" s="335"/>
      <c r="P17" s="335"/>
      <c r="Q17" s="335"/>
      <c r="R17" s="335"/>
      <c r="S17" s="335"/>
      <c r="T17" s="335"/>
      <c r="U17" s="2562"/>
    </row>
    <row r="18" spans="1:21" s="2619" customFormat="1" ht="13.5" customHeight="1">
      <c r="A18" s="3653"/>
      <c r="B18" s="3653"/>
      <c r="C18" s="2768" t="s">
        <v>373</v>
      </c>
      <c r="D18" s="2717"/>
      <c r="E18" s="2528"/>
      <c r="F18" s="335"/>
      <c r="G18" s="335"/>
      <c r="H18" s="335"/>
      <c r="I18" s="335"/>
      <c r="J18" s="335"/>
      <c r="K18" s="335"/>
      <c r="L18" s="335"/>
      <c r="M18" s="335"/>
      <c r="N18" s="335"/>
      <c r="O18" s="335"/>
      <c r="P18" s="335"/>
      <c r="Q18" s="335"/>
      <c r="R18" s="335"/>
      <c r="S18" s="335"/>
      <c r="T18" s="335"/>
      <c r="U18" s="2562"/>
    </row>
    <row r="19" spans="1:21" s="2619" customFormat="1" ht="13.5" customHeight="1">
      <c r="A19" s="2769"/>
      <c r="B19" s="2769"/>
      <c r="C19" s="2768" t="s">
        <v>373</v>
      </c>
      <c r="D19" s="2717"/>
      <c r="E19" s="2528" t="s">
        <v>2367</v>
      </c>
      <c r="F19" s="335"/>
      <c r="G19" s="335"/>
      <c r="H19" s="335"/>
      <c r="I19" s="335"/>
      <c r="J19" s="335"/>
      <c r="K19" s="335"/>
      <c r="L19" s="335"/>
      <c r="M19" s="335"/>
      <c r="N19" s="335"/>
      <c r="O19" s="335"/>
      <c r="P19" s="335"/>
      <c r="Q19" s="335"/>
      <c r="R19" s="335"/>
      <c r="S19" s="335"/>
      <c r="T19" s="335"/>
      <c r="U19" s="2562"/>
    </row>
    <row r="20" spans="1:21" s="2619" customFormat="1" ht="13.5" customHeight="1" thickBot="1">
      <c r="A20" s="2420"/>
      <c r="B20" s="2770"/>
      <c r="C20" s="335" t="s">
        <v>1442</v>
      </c>
      <c r="D20" s="2556"/>
      <c r="E20" s="2698" t="str">
        <f>Noise!E20</f>
        <v>TAG 1: Unit 3.3.2 (Tables 1 and 2)</v>
      </c>
      <c r="F20" s="163"/>
      <c r="G20" s="163"/>
      <c r="H20" s="163"/>
      <c r="I20" s="163"/>
      <c r="J20" s="163"/>
      <c r="K20" s="163"/>
      <c r="L20" s="163"/>
      <c r="M20" s="163"/>
      <c r="N20" s="163"/>
      <c r="O20" s="163"/>
      <c r="P20" s="163"/>
      <c r="Q20" s="163"/>
      <c r="R20" s="163"/>
      <c r="S20" s="163"/>
      <c r="T20" s="163"/>
      <c r="U20" s="382"/>
    </row>
    <row r="21" spans="1:21" s="2619" customFormat="1" ht="13.5" customHeight="1" thickTop="1">
      <c r="A21" s="2420"/>
      <c r="B21" s="2770"/>
      <c r="C21" s="2556"/>
      <c r="D21" s="32"/>
      <c r="E21" s="427"/>
    </row>
    <row r="22" spans="1:21" s="2619" customFormat="1" ht="13.5" customHeight="1" thickBot="1">
      <c r="B22" s="2717"/>
      <c r="C22" s="2717"/>
      <c r="F22" s="31"/>
    </row>
    <row r="23" spans="1:21" ht="13.5" customHeight="1" thickTop="1">
      <c r="A23" s="174" t="s">
        <v>1708</v>
      </c>
      <c r="B23" s="2720"/>
      <c r="C23" s="224"/>
      <c r="D23" s="680"/>
      <c r="E23" s="224"/>
      <c r="F23" s="224"/>
      <c r="G23" s="2771"/>
      <c r="H23" s="224"/>
      <c r="I23" s="224"/>
      <c r="J23" s="2771"/>
      <c r="K23" s="2771"/>
      <c r="L23" s="224"/>
      <c r="M23" s="224"/>
      <c r="N23" s="224"/>
      <c r="O23" s="2771"/>
      <c r="P23" s="224"/>
      <c r="Q23" s="2772" t="s">
        <v>1710</v>
      </c>
      <c r="R23" s="2773"/>
      <c r="S23" s="2773"/>
      <c r="T23" s="2773"/>
      <c r="U23" s="2774"/>
    </row>
    <row r="24" spans="1:21" ht="13.5" customHeight="1" thickBot="1">
      <c r="A24" s="836" t="s">
        <v>1711</v>
      </c>
      <c r="B24" s="2724"/>
      <c r="C24" s="227"/>
      <c r="D24" s="526"/>
      <c r="E24" s="227"/>
      <c r="F24" s="227"/>
      <c r="G24" s="227"/>
      <c r="H24" s="227"/>
      <c r="I24" s="227"/>
      <c r="J24" s="2726"/>
      <c r="K24" s="2726"/>
      <c r="L24" s="227"/>
      <c r="M24" s="227"/>
      <c r="N24" s="227"/>
      <c r="O24" s="227"/>
      <c r="P24" s="227"/>
      <c r="Q24" s="2775" t="str">
        <f>CONCATENATE("(per household, ",$B$14," prices, ",$B$15," values)")</f>
        <v>(per household, 2010 prices, 2010 values)</v>
      </c>
      <c r="R24" s="2776"/>
      <c r="S24" s="2776"/>
      <c r="T24" s="2776"/>
      <c r="U24" s="2777"/>
    </row>
    <row r="25" spans="1:21" ht="13.5" customHeight="1" thickTop="1">
      <c r="A25" s="978"/>
      <c r="B25" s="2729" t="s">
        <v>1713</v>
      </c>
      <c r="C25" s="2730"/>
      <c r="D25" s="1035"/>
      <c r="E25" s="1152"/>
      <c r="F25" s="1152" t="s">
        <v>583</v>
      </c>
      <c r="G25" s="1152"/>
      <c r="H25" s="2731"/>
      <c r="I25" s="1035"/>
      <c r="J25" s="1152"/>
      <c r="K25" s="707" t="s">
        <v>584</v>
      </c>
      <c r="L25" s="1152"/>
      <c r="M25" s="1035"/>
      <c r="N25" s="1152"/>
      <c r="O25" s="707" t="s">
        <v>1714</v>
      </c>
      <c r="P25" s="812"/>
      <c r="Q25" s="2729" t="s">
        <v>1715</v>
      </c>
      <c r="R25" s="2730"/>
      <c r="S25" s="1035"/>
      <c r="T25" s="1152" t="s">
        <v>1716</v>
      </c>
      <c r="U25" s="812"/>
    </row>
    <row r="26" spans="1:21" ht="15.75" customHeight="1">
      <c r="A26" s="956"/>
      <c r="B26" s="2732"/>
      <c r="C26" s="2733"/>
      <c r="D26" s="2690"/>
      <c r="E26" s="2565"/>
      <c r="F26" s="2565"/>
      <c r="G26" s="2565"/>
      <c r="H26" s="2734" t="s">
        <v>1717</v>
      </c>
      <c r="I26" s="2690"/>
      <c r="J26" s="2565"/>
      <c r="K26" s="2565"/>
      <c r="L26" s="2565"/>
      <c r="M26" s="2690"/>
      <c r="N26" s="2565"/>
      <c r="O26" s="2565"/>
      <c r="P26" s="2735"/>
      <c r="Q26" s="2732"/>
      <c r="R26" s="2733"/>
      <c r="S26" s="2690"/>
      <c r="T26" s="2565"/>
      <c r="U26" s="2735"/>
    </row>
    <row r="27" spans="1:21" ht="13.5" customHeight="1" thickBot="1">
      <c r="A27" s="2736"/>
      <c r="B27" s="635" t="s">
        <v>1481</v>
      </c>
      <c r="C27" s="393" t="s">
        <v>1482</v>
      </c>
      <c r="D27" s="2542" t="s">
        <v>1718</v>
      </c>
      <c r="E27" s="2543" t="s">
        <v>1719</v>
      </c>
      <c r="F27" s="2543" t="s">
        <v>1720</v>
      </c>
      <c r="G27" s="2543" t="s">
        <v>1721</v>
      </c>
      <c r="H27" s="2778" t="s">
        <v>1722</v>
      </c>
      <c r="I27" s="2542" t="s">
        <v>1718</v>
      </c>
      <c r="J27" s="2543" t="s">
        <v>1719</v>
      </c>
      <c r="K27" s="2543" t="s">
        <v>1720</v>
      </c>
      <c r="L27" s="2543" t="s">
        <v>1721</v>
      </c>
      <c r="M27" s="2542" t="s">
        <v>1718</v>
      </c>
      <c r="N27" s="2543" t="s">
        <v>1719</v>
      </c>
      <c r="O27" s="2543" t="s">
        <v>1720</v>
      </c>
      <c r="P27" s="2544" t="s">
        <v>1721</v>
      </c>
      <c r="Q27" s="635" t="s">
        <v>1481</v>
      </c>
      <c r="R27" s="393" t="s">
        <v>1482</v>
      </c>
      <c r="S27" s="2542" t="s">
        <v>583</v>
      </c>
      <c r="T27" s="2543" t="s">
        <v>584</v>
      </c>
      <c r="U27" s="2544" t="s">
        <v>1714</v>
      </c>
    </row>
    <row r="28" spans="1:21" ht="13.5" customHeight="1" thickTop="1">
      <c r="A28" s="1437"/>
      <c r="B28" s="2547"/>
      <c r="C28" s="2738" t="s">
        <v>1479</v>
      </c>
      <c r="D28" s="2779"/>
      <c r="E28" s="322"/>
      <c r="F28" s="2780"/>
      <c r="G28" s="335"/>
      <c r="H28" s="2547"/>
      <c r="I28" s="2742"/>
      <c r="J28" s="2781"/>
      <c r="K28" s="2782"/>
      <c r="L28" s="2783"/>
      <c r="M28" s="2052"/>
      <c r="N28" s="2647"/>
      <c r="O28" s="2784"/>
      <c r="P28" s="64"/>
      <c r="Q28" s="2547"/>
      <c r="R28" s="2738" t="s">
        <v>1479</v>
      </c>
      <c r="S28" s="2779"/>
      <c r="T28" s="322"/>
      <c r="U28" s="2785"/>
    </row>
    <row r="29" spans="1:21" ht="13.5" customHeight="1">
      <c r="A29" s="953"/>
      <c r="B29" s="2547">
        <v>45</v>
      </c>
      <c r="C29" s="2738">
        <v>46</v>
      </c>
      <c r="D29" s="2751">
        <f>Noise!K29 * VLOOKUP($B$14,'Annual Parameters'!$B$33:$D$143,3,0) / VLOOKUP(Noise!$B$14,'Annual Parameters'!$B$33:$D$143,3,0) * VLOOKUP($B$15,'Annual Parameters'!$B$33:$P$143,15,0) / VLOOKUP(Noise!$B$15,'Annual Parameters'!$B$33:$P$143,15,0)</f>
        <v>10.024365332919309</v>
      </c>
      <c r="E29" s="2752">
        <f>Noise!L29 * VLOOKUP($B$14,'Annual Parameters'!$B$33:$D$143,3,0) / VLOOKUP(Noise!$B$14,'Annual Parameters'!$B$33:$D$143,3,0) * VLOOKUP($B$15,'Annual Parameters'!$B$33:$P$143,15,0) / VLOOKUP(Noise!$B$15,'Annual Parameters'!$B$33:$P$143,15,0)</f>
        <v>0</v>
      </c>
      <c r="F29" s="2752">
        <f>Noise!M29 * VLOOKUP($B$14,'Annual Parameters'!$B$33:$D$143,3,0) / VLOOKUP(Noise!$B$14,'Annual Parameters'!$B$33:$D$143,3,0) * VLOOKUP($B$15,'Annual Parameters'!$B$33:$P$143,15,0) / VLOOKUP(Noise!$B$15,'Annual Parameters'!$B$33:$P$143,15,0)</f>
        <v>0</v>
      </c>
      <c r="G29" s="2752">
        <f>Noise!N29 * VLOOKUP($B$14,'Annual Parameters'!$B$33:$D$143,3,0) / VLOOKUP(Noise!$B$14,'Annual Parameters'!$B$33:$D$143,3,0) * VLOOKUP($B$15,'Annual Parameters'!$B$33:$P$143,15,0) / VLOOKUP(Noise!$B$15,'Annual Parameters'!$B$33:$P$143,15,0)</f>
        <v>0</v>
      </c>
      <c r="H29" s="2752">
        <f>Noise!O29 * VLOOKUP($B$14,'Annual Parameters'!$B$33:$D$143,3,0) / VLOOKUP(Noise!$B$14,'Annual Parameters'!$B$33:$D$143,3,0) * VLOOKUP($B$15,'Annual Parameters'!$B$33:$P$143,15,0) / VLOOKUP(Noise!$B$15,'Annual Parameters'!$B$33:$P$143,15,0)</f>
        <v>0</v>
      </c>
      <c r="I29" s="2751">
        <f>Noise!P29 * VLOOKUP($B$14,'Annual Parameters'!$B$33:$D$143,3,0) / VLOOKUP(Noise!$B$14,'Annual Parameters'!$B$33:$D$143,3,0) * VLOOKUP($B$15,'Annual Parameters'!$B$33:$P$143,15,0) / VLOOKUP(Noise!$B$15,'Annual Parameters'!$B$33:$P$143,15,0)</f>
        <v>3.4557150194862882</v>
      </c>
      <c r="J29" s="2752">
        <f>Noise!Q29 * VLOOKUP($B$14,'Annual Parameters'!$B$33:$D$143,3,0) / VLOOKUP(Noise!$B$14,'Annual Parameters'!$B$33:$D$143,3,0) * VLOOKUP($B$15,'Annual Parameters'!$B$33:$P$143,15,0) / VLOOKUP(Noise!$B$15,'Annual Parameters'!$B$33:$P$143,15,0)</f>
        <v>0</v>
      </c>
      <c r="K29" s="2752">
        <f>Noise!R29 * VLOOKUP($B$14,'Annual Parameters'!$B$33:$D$143,3,0) / VLOOKUP(Noise!$B$14,'Annual Parameters'!$B$33:$D$143,3,0) * VLOOKUP($B$15,'Annual Parameters'!$B$33:$P$143,15,0) / VLOOKUP(Noise!$B$15,'Annual Parameters'!$B$33:$P$143,15,0)</f>
        <v>0</v>
      </c>
      <c r="L29" s="2752">
        <f>Noise!S29 * VLOOKUP($B$14,'Annual Parameters'!$B$33:$D$143,3,0) / VLOOKUP(Noise!$B$14,'Annual Parameters'!$B$33:$D$143,3,0) * VLOOKUP($B$15,'Annual Parameters'!$B$33:$P$143,15,0) / VLOOKUP(Noise!$B$15,'Annual Parameters'!$B$33:$P$143,15,0)</f>
        <v>0</v>
      </c>
      <c r="M29" s="2751">
        <f>Noise!T29 * VLOOKUP($B$14,'Annual Parameters'!$B$33:$D$143,3,0) / VLOOKUP(Noise!$B$14,'Annual Parameters'!$B$33:$D$143,3,0) * VLOOKUP($B$15,'Annual Parameters'!$B$33:$P$143,15,0) / VLOOKUP(Noise!$B$15,'Annual Parameters'!$B$33:$P$143,15,0)</f>
        <v>13.833305177970946</v>
      </c>
      <c r="N29" s="2752">
        <f>Noise!U29 * VLOOKUP($B$14,'Annual Parameters'!$B$33:$D$143,3,0) / VLOOKUP(Noise!$B$14,'Annual Parameters'!$B$33:$D$143,3,0) * VLOOKUP($B$15,'Annual Parameters'!$B$33:$P$143,15,0) / VLOOKUP(Noise!$B$15,'Annual Parameters'!$B$33:$P$143,15,0)</f>
        <v>0</v>
      </c>
      <c r="O29" s="2752">
        <f>Noise!V29 * VLOOKUP($B$14,'Annual Parameters'!$B$33:$D$143,3,0) / VLOOKUP(Noise!$B$14,'Annual Parameters'!$B$33:$D$143,3,0) * VLOOKUP($B$15,'Annual Parameters'!$B$33:$P$143,15,0) / VLOOKUP(Noise!$B$15,'Annual Parameters'!$B$33:$P$143,15,0)</f>
        <v>0</v>
      </c>
      <c r="P29" s="2753">
        <f>Noise!W29 * VLOOKUP($B$14,'Annual Parameters'!$B$33:$D$143,3,0) / VLOOKUP(Noise!$B$14,'Annual Parameters'!$B$33:$D$143,3,0) * VLOOKUP($B$15,'Annual Parameters'!$B$33:$P$143,15,0) / VLOOKUP(Noise!$B$15,'Annual Parameters'!$B$33:$P$143,15,0)</f>
        <v>0</v>
      </c>
      <c r="Q29" s="2547">
        <v>45</v>
      </c>
      <c r="R29" s="2738">
        <v>46</v>
      </c>
      <c r="S29" s="2751">
        <f>Noise!Z29 * VLOOKUP($B$14,'Annual Parameters'!$B$33:$D$143,3,0) / VLOOKUP(Noise!$B$14,'Annual Parameters'!$B$33:$D$143,3,0) * VLOOKUP($B$15,'Annual Parameters'!$B$33:$P$143,15,0) / VLOOKUP(Noise!$B$15,'Annual Parameters'!$B$33:$P$143,15,0)</f>
        <v>25.867864710248501</v>
      </c>
      <c r="T29" s="2752">
        <f>Noise!AA29 * VLOOKUP($B$14,'Annual Parameters'!$B$33:$D$143,3,0) / VLOOKUP(Noise!$B$14,'Annual Parameters'!$B$33:$D$143,3,0) * VLOOKUP($B$15,'Annual Parameters'!$B$33:$P$143,15,0) / VLOOKUP(Noise!$B$15,'Annual Parameters'!$B$33:$P$143,15,0)</f>
        <v>12.040461477155187</v>
      </c>
      <c r="U29" s="2753">
        <f>Noise!AB29 * VLOOKUP($B$14,'Annual Parameters'!$B$33:$D$143,3,0) / VLOOKUP(Noise!$B$14,'Annual Parameters'!$B$33:$D$143,3,0) * VLOOKUP($B$15,'Annual Parameters'!$B$33:$P$143,15,0) / VLOOKUP(Noise!$B$15,'Annual Parameters'!$B$33:$P$143,15,0)</f>
        <v>33.601009205775831</v>
      </c>
    </row>
    <row r="30" spans="1:21" ht="13.5" customHeight="1">
      <c r="A30" s="953"/>
      <c r="B30" s="2547">
        <v>46</v>
      </c>
      <c r="C30" s="2738">
        <v>47</v>
      </c>
      <c r="D30" s="2751">
        <f>Noise!K30 * VLOOKUP($B$14,'Annual Parameters'!$B$33:$D$143,3,0) / VLOOKUP(Noise!$B$14,'Annual Parameters'!$B$33:$D$143,3,0) * VLOOKUP($B$15,'Annual Parameters'!$B$33:$P$143,15,0) / VLOOKUP(Noise!$B$15,'Annual Parameters'!$B$33:$P$143,15,0)</f>
        <v>10.209311216752594</v>
      </c>
      <c r="E30" s="2752">
        <f>Noise!L30 * VLOOKUP($B$14,'Annual Parameters'!$B$33:$D$143,3,0) / VLOOKUP(Noise!$B$14,'Annual Parameters'!$B$33:$D$143,3,0) * VLOOKUP($B$15,'Annual Parameters'!$B$33:$P$143,15,0) / VLOOKUP(Noise!$B$15,'Annual Parameters'!$B$33:$P$143,15,0)</f>
        <v>0</v>
      </c>
      <c r="F30" s="2752">
        <f>Noise!M30 * VLOOKUP($B$14,'Annual Parameters'!$B$33:$D$143,3,0) / VLOOKUP(Noise!$B$14,'Annual Parameters'!$B$33:$D$143,3,0) * VLOOKUP($B$15,'Annual Parameters'!$B$33:$P$143,15,0) / VLOOKUP(Noise!$B$15,'Annual Parameters'!$B$33:$P$143,15,0)</f>
        <v>0</v>
      </c>
      <c r="G30" s="2752">
        <f>Noise!N30 * VLOOKUP($B$14,'Annual Parameters'!$B$33:$D$143,3,0) / VLOOKUP(Noise!$B$14,'Annual Parameters'!$B$33:$D$143,3,0) * VLOOKUP($B$15,'Annual Parameters'!$B$33:$P$143,15,0) / VLOOKUP(Noise!$B$15,'Annual Parameters'!$B$33:$P$143,15,0)</f>
        <v>0</v>
      </c>
      <c r="H30" s="2752">
        <f>Noise!O30 * VLOOKUP($B$14,'Annual Parameters'!$B$33:$D$143,3,0) / VLOOKUP(Noise!$B$14,'Annual Parameters'!$B$33:$D$143,3,0) * VLOOKUP($B$15,'Annual Parameters'!$B$33:$P$143,15,0) / VLOOKUP(Noise!$B$15,'Annual Parameters'!$B$33:$P$143,15,0)</f>
        <v>0</v>
      </c>
      <c r="I30" s="2751">
        <f>Noise!P30 * VLOOKUP($B$14,'Annual Parameters'!$B$33:$D$143,3,0) / VLOOKUP(Noise!$B$14,'Annual Parameters'!$B$33:$D$143,3,0) * VLOOKUP($B$15,'Annual Parameters'!$B$33:$P$143,15,0) / VLOOKUP(Noise!$B$15,'Annual Parameters'!$B$33:$P$143,15,0)</f>
        <v>3.4965887447083301</v>
      </c>
      <c r="J30" s="2752">
        <f>Noise!Q30 * VLOOKUP($B$14,'Annual Parameters'!$B$33:$D$143,3,0) / VLOOKUP(Noise!$B$14,'Annual Parameters'!$B$33:$D$143,3,0) * VLOOKUP($B$15,'Annual Parameters'!$B$33:$P$143,15,0) / VLOOKUP(Noise!$B$15,'Annual Parameters'!$B$33:$P$143,15,0)</f>
        <v>0</v>
      </c>
      <c r="K30" s="2752">
        <f>Noise!R30 * VLOOKUP($B$14,'Annual Parameters'!$B$33:$D$143,3,0) / VLOOKUP(Noise!$B$14,'Annual Parameters'!$B$33:$D$143,3,0) * VLOOKUP($B$15,'Annual Parameters'!$B$33:$P$143,15,0) / VLOOKUP(Noise!$B$15,'Annual Parameters'!$B$33:$P$143,15,0)</f>
        <v>0</v>
      </c>
      <c r="L30" s="2752">
        <f>Noise!S30 * VLOOKUP($B$14,'Annual Parameters'!$B$33:$D$143,3,0) / VLOOKUP(Noise!$B$14,'Annual Parameters'!$B$33:$D$143,3,0) * VLOOKUP($B$15,'Annual Parameters'!$B$33:$P$143,15,0) / VLOOKUP(Noise!$B$15,'Annual Parameters'!$B$33:$P$143,15,0)</f>
        <v>0</v>
      </c>
      <c r="M30" s="2751">
        <f>Noise!T30 * VLOOKUP($B$14,'Annual Parameters'!$B$33:$D$143,3,0) / VLOOKUP(Noise!$B$14,'Annual Parameters'!$B$33:$D$143,3,0) * VLOOKUP($B$15,'Annual Parameters'!$B$33:$P$143,15,0) / VLOOKUP(Noise!$B$15,'Annual Parameters'!$B$33:$P$143,15,0)</f>
        <v>15.702215429146623</v>
      </c>
      <c r="N30" s="2752">
        <f>Noise!U30 * VLOOKUP($B$14,'Annual Parameters'!$B$33:$D$143,3,0) / VLOOKUP(Noise!$B$14,'Annual Parameters'!$B$33:$D$143,3,0) * VLOOKUP($B$15,'Annual Parameters'!$B$33:$P$143,15,0) / VLOOKUP(Noise!$B$15,'Annual Parameters'!$B$33:$P$143,15,0)</f>
        <v>0</v>
      </c>
      <c r="O30" s="2752">
        <f>Noise!V30 * VLOOKUP($B$14,'Annual Parameters'!$B$33:$D$143,3,0) / VLOOKUP(Noise!$B$14,'Annual Parameters'!$B$33:$D$143,3,0) * VLOOKUP($B$15,'Annual Parameters'!$B$33:$P$143,15,0) / VLOOKUP(Noise!$B$15,'Annual Parameters'!$B$33:$P$143,15,0)</f>
        <v>0</v>
      </c>
      <c r="P30" s="2753">
        <f>Noise!W30 * VLOOKUP($B$14,'Annual Parameters'!$B$33:$D$143,3,0) / VLOOKUP(Noise!$B$14,'Annual Parameters'!$B$33:$D$143,3,0) * VLOOKUP($B$15,'Annual Parameters'!$B$33:$P$143,15,0) / VLOOKUP(Noise!$B$15,'Annual Parameters'!$B$33:$P$143,15,0)</f>
        <v>0</v>
      </c>
      <c r="Q30" s="2547">
        <v>46</v>
      </c>
      <c r="R30" s="2738">
        <v>47</v>
      </c>
      <c r="S30" s="2751">
        <f>Noise!Z30 * VLOOKUP($B$14,'Annual Parameters'!$B$33:$D$143,3,0) / VLOOKUP(Noise!$B$14,'Annual Parameters'!$B$33:$D$143,3,0) * VLOOKUP($B$15,'Annual Parameters'!$B$33:$P$143,15,0) / VLOOKUP(Noise!$B$15,'Annual Parameters'!$B$33:$P$143,15,0)</f>
        <v>28.411346941403156</v>
      </c>
      <c r="T30" s="2752">
        <f>Noise!AA30 * VLOOKUP($B$14,'Annual Parameters'!$B$33:$D$143,3,0) / VLOOKUP(Noise!$B$14,'Annual Parameters'!$B$33:$D$143,3,0) * VLOOKUP($B$15,'Annual Parameters'!$B$33:$P$143,15,0) / VLOOKUP(Noise!$B$15,'Annual Parameters'!$B$33:$P$143,15,0)</f>
        <v>13.339588673282867</v>
      </c>
      <c r="U30" s="2753">
        <f>Noise!AB30 * VLOOKUP($B$14,'Annual Parameters'!$B$33:$D$143,3,0) / VLOOKUP(Noise!$B$14,'Annual Parameters'!$B$33:$D$143,3,0) * VLOOKUP($B$15,'Annual Parameters'!$B$33:$P$143,15,0) / VLOOKUP(Noise!$B$15,'Annual Parameters'!$B$33:$P$143,15,0)</f>
        <v>36.13764491679273</v>
      </c>
    </row>
    <row r="31" spans="1:21" ht="13.5" customHeight="1">
      <c r="A31" s="953"/>
      <c r="B31" s="2547">
        <v>47</v>
      </c>
      <c r="C31" s="2738">
        <v>48</v>
      </c>
      <c r="D31" s="2751">
        <f>Noise!K31 * VLOOKUP($B$14,'Annual Parameters'!$B$33:$D$143,3,0) / VLOOKUP(Noise!$B$14,'Annual Parameters'!$B$33:$D$143,3,0) * VLOOKUP($B$15,'Annual Parameters'!$B$33:$P$143,15,0) / VLOOKUP(Noise!$B$15,'Annual Parameters'!$B$33:$P$143,15,0)</f>
        <v>10.506991312137627</v>
      </c>
      <c r="E31" s="2752">
        <f>Noise!L31 * VLOOKUP($B$14,'Annual Parameters'!$B$33:$D$143,3,0) / VLOOKUP(Noise!$B$14,'Annual Parameters'!$B$33:$D$143,3,0) * VLOOKUP($B$15,'Annual Parameters'!$B$33:$P$143,15,0) / VLOOKUP(Noise!$B$15,'Annual Parameters'!$B$33:$P$143,15,0)</f>
        <v>0</v>
      </c>
      <c r="F31" s="2752">
        <f>Noise!M31 * VLOOKUP($B$14,'Annual Parameters'!$B$33:$D$143,3,0) / VLOOKUP(Noise!$B$14,'Annual Parameters'!$B$33:$D$143,3,0) * VLOOKUP($B$15,'Annual Parameters'!$B$33:$P$143,15,0) / VLOOKUP(Noise!$B$15,'Annual Parameters'!$B$33:$P$143,15,0)</f>
        <v>2.3065900721028902</v>
      </c>
      <c r="G31" s="2752">
        <f>Noise!N31 * VLOOKUP($B$14,'Annual Parameters'!$B$33:$D$143,3,0) / VLOOKUP(Noise!$B$14,'Annual Parameters'!$B$33:$D$143,3,0) * VLOOKUP($B$15,'Annual Parameters'!$B$33:$P$143,15,0) / VLOOKUP(Noise!$B$15,'Annual Parameters'!$B$33:$P$143,15,0)</f>
        <v>3.4957708825977156</v>
      </c>
      <c r="H31" s="2752">
        <f>Noise!O31 * VLOOKUP($B$14,'Annual Parameters'!$B$33:$D$143,3,0) / VLOOKUP(Noise!$B$14,'Annual Parameters'!$B$33:$D$143,3,0) * VLOOKUP($B$15,'Annual Parameters'!$B$33:$P$143,15,0) / VLOOKUP(Noise!$B$15,'Annual Parameters'!$B$33:$P$143,15,0)</f>
        <v>0</v>
      </c>
      <c r="I31" s="2751">
        <f>Noise!P31 * VLOOKUP($B$14,'Annual Parameters'!$B$33:$D$143,3,0) / VLOOKUP(Noise!$B$14,'Annual Parameters'!$B$33:$D$143,3,0) * VLOOKUP($B$15,'Annual Parameters'!$B$33:$P$143,15,0) / VLOOKUP(Noise!$B$15,'Annual Parameters'!$B$33:$P$143,15,0)</f>
        <v>3.6436666683806203</v>
      </c>
      <c r="J31" s="2752">
        <f>Noise!Q31 * VLOOKUP($B$14,'Annual Parameters'!$B$33:$D$143,3,0) / VLOOKUP(Noise!$B$14,'Annual Parameters'!$B$33:$D$143,3,0) * VLOOKUP($B$15,'Annual Parameters'!$B$33:$P$143,15,0) / VLOOKUP(Noise!$B$15,'Annual Parameters'!$B$33:$P$143,15,0)</f>
        <v>0</v>
      </c>
      <c r="K31" s="2752">
        <f>Noise!R31 * VLOOKUP($B$14,'Annual Parameters'!$B$33:$D$143,3,0) / VLOOKUP(Noise!$B$14,'Annual Parameters'!$B$33:$D$143,3,0) * VLOOKUP($B$15,'Annual Parameters'!$B$33:$P$143,15,0) / VLOOKUP(Noise!$B$15,'Annual Parameters'!$B$33:$P$143,15,0)</f>
        <v>0</v>
      </c>
      <c r="L31" s="2752">
        <f>Noise!S31 * VLOOKUP($B$14,'Annual Parameters'!$B$33:$D$143,3,0) / VLOOKUP(Noise!$B$14,'Annual Parameters'!$B$33:$D$143,3,0) * VLOOKUP($B$15,'Annual Parameters'!$B$33:$P$143,15,0) / VLOOKUP(Noise!$B$15,'Annual Parameters'!$B$33:$P$143,15,0)</f>
        <v>0</v>
      </c>
      <c r="M31" s="2751">
        <f>Noise!T31 * VLOOKUP($B$14,'Annual Parameters'!$B$33:$D$143,3,0) / VLOOKUP(Noise!$B$14,'Annual Parameters'!$B$33:$D$143,3,0) * VLOOKUP($B$15,'Annual Parameters'!$B$33:$P$143,15,0) / VLOOKUP(Noise!$B$15,'Annual Parameters'!$B$33:$P$143,15,0)</f>
        <v>17.557629722019442</v>
      </c>
      <c r="N31" s="2752">
        <f>Noise!U31 * VLOOKUP($B$14,'Annual Parameters'!$B$33:$D$143,3,0) / VLOOKUP(Noise!$B$14,'Annual Parameters'!$B$33:$D$143,3,0) * VLOOKUP($B$15,'Annual Parameters'!$B$33:$P$143,15,0) / VLOOKUP(Noise!$B$15,'Annual Parameters'!$B$33:$P$143,15,0)</f>
        <v>0</v>
      </c>
      <c r="O31" s="2752">
        <f>Noise!V31 * VLOOKUP($B$14,'Annual Parameters'!$B$33:$D$143,3,0) / VLOOKUP(Noise!$B$14,'Annual Parameters'!$B$33:$D$143,3,0) * VLOOKUP($B$15,'Annual Parameters'!$B$33:$P$143,15,0) / VLOOKUP(Noise!$B$15,'Annual Parameters'!$B$33:$P$143,15,0)</f>
        <v>0</v>
      </c>
      <c r="P31" s="2753">
        <f>Noise!W31 * VLOOKUP($B$14,'Annual Parameters'!$B$33:$D$143,3,0) / VLOOKUP(Noise!$B$14,'Annual Parameters'!$B$33:$D$143,3,0) * VLOOKUP($B$15,'Annual Parameters'!$B$33:$P$143,15,0) / VLOOKUP(Noise!$B$15,'Annual Parameters'!$B$33:$P$143,15,0)</f>
        <v>0</v>
      </c>
      <c r="Q31" s="2547">
        <v>47</v>
      </c>
      <c r="R31" s="2738">
        <v>48</v>
      </c>
      <c r="S31" s="2751">
        <f>Noise!Z31 * VLOOKUP($B$14,'Annual Parameters'!$B$33:$D$143,3,0) / VLOOKUP(Noise!$B$14,'Annual Parameters'!$B$33:$D$143,3,0) * VLOOKUP($B$15,'Annual Parameters'!$B$33:$P$143,15,0) / VLOOKUP(Noise!$B$15,'Annual Parameters'!$B$33:$P$143,15,0)</f>
        <v>30.954829172555979</v>
      </c>
      <c r="T31" s="2752">
        <f>Noise!AA31 * VLOOKUP($B$14,'Annual Parameters'!$B$33:$D$143,3,0) / VLOOKUP(Noise!$B$14,'Annual Parameters'!$B$33:$D$143,3,0) * VLOOKUP($B$15,'Annual Parameters'!$B$33:$P$143,15,0) / VLOOKUP(Noise!$B$15,'Annual Parameters'!$B$33:$P$143,15,0)</f>
        <v>14.638715869410699</v>
      </c>
      <c r="U31" s="2753">
        <f>Noise!AB31 * VLOOKUP($B$14,'Annual Parameters'!$B$33:$D$143,3,0) / VLOOKUP(Noise!$B$14,'Annual Parameters'!$B$33:$D$143,3,0) * VLOOKUP($B$15,'Annual Parameters'!$B$33:$P$143,15,0) / VLOOKUP(Noise!$B$15,'Annual Parameters'!$B$33:$P$143,15,0)</f>
        <v>38.67428062780813</v>
      </c>
    </row>
    <row r="32" spans="1:21" ht="13.5" customHeight="1">
      <c r="A32" s="953"/>
      <c r="B32" s="2547">
        <v>48</v>
      </c>
      <c r="C32" s="2738">
        <v>49</v>
      </c>
      <c r="D32" s="2751">
        <f>Noise!K32 * VLOOKUP($B$14,'Annual Parameters'!$B$33:$D$143,3,0) / VLOOKUP(Noise!$B$14,'Annual Parameters'!$B$33:$D$143,3,0) * VLOOKUP($B$15,'Annual Parameters'!$B$33:$P$143,15,0) / VLOOKUP(Noise!$B$15,'Annual Parameters'!$B$33:$P$143,15,0)</f>
        <v>10.917405619074621</v>
      </c>
      <c r="E32" s="2752">
        <f>Noise!L32 * VLOOKUP($B$14,'Annual Parameters'!$B$33:$D$143,3,0) / VLOOKUP(Noise!$B$14,'Annual Parameters'!$B$33:$D$143,3,0) * VLOOKUP($B$15,'Annual Parameters'!$B$33:$P$143,15,0) / VLOOKUP(Noise!$B$15,'Annual Parameters'!$B$33:$P$143,15,0)</f>
        <v>0</v>
      </c>
      <c r="F32" s="2752">
        <f>Noise!M32 * VLOOKUP($B$14,'Annual Parameters'!$B$33:$D$143,3,0) / VLOOKUP(Noise!$B$14,'Annual Parameters'!$B$33:$D$143,3,0) * VLOOKUP($B$15,'Annual Parameters'!$B$33:$P$143,15,0) / VLOOKUP(Noise!$B$15,'Annual Parameters'!$B$33:$P$143,15,0)</f>
        <v>2.3123780976595234</v>
      </c>
      <c r="G32" s="2752">
        <f>Noise!N32 * VLOOKUP($B$14,'Annual Parameters'!$B$33:$D$143,3,0) / VLOOKUP(Noise!$B$14,'Annual Parameters'!$B$33:$D$143,3,0) * VLOOKUP($B$15,'Annual Parameters'!$B$33:$P$143,15,0) / VLOOKUP(Noise!$B$15,'Annual Parameters'!$B$33:$P$143,15,0)</f>
        <v>3.5032285858231185</v>
      </c>
      <c r="H32" s="2752">
        <f>Noise!O32 * VLOOKUP($B$14,'Annual Parameters'!$B$33:$D$143,3,0) / VLOOKUP(Noise!$B$14,'Annual Parameters'!$B$33:$D$143,3,0) * VLOOKUP($B$15,'Annual Parameters'!$B$33:$P$143,15,0) / VLOOKUP(Noise!$B$15,'Annual Parameters'!$B$33:$P$143,15,0)</f>
        <v>0</v>
      </c>
      <c r="I32" s="2751">
        <f>Noise!P32 * VLOOKUP($B$14,'Annual Parameters'!$B$33:$D$143,3,0) / VLOOKUP(Noise!$B$14,'Annual Parameters'!$B$33:$D$143,3,0) * VLOOKUP($B$15,'Annual Parameters'!$B$33:$P$143,15,0) / VLOOKUP(Noise!$B$15,'Annual Parameters'!$B$33:$P$143,15,0)</f>
        <v>3.896948790503143</v>
      </c>
      <c r="J32" s="2752">
        <f>Noise!Q32 * VLOOKUP($B$14,'Annual Parameters'!$B$33:$D$143,3,0) / VLOOKUP(Noise!$B$14,'Annual Parameters'!$B$33:$D$143,3,0) * VLOOKUP($B$15,'Annual Parameters'!$B$33:$P$143,15,0) / VLOOKUP(Noise!$B$15,'Annual Parameters'!$B$33:$P$143,15,0)</f>
        <v>0</v>
      </c>
      <c r="K32" s="2752">
        <f>Noise!R32 * VLOOKUP($B$14,'Annual Parameters'!$B$33:$D$143,3,0) / VLOOKUP(Noise!$B$14,'Annual Parameters'!$B$33:$D$143,3,0) * VLOOKUP($B$15,'Annual Parameters'!$B$33:$P$143,15,0) / VLOOKUP(Noise!$B$15,'Annual Parameters'!$B$33:$P$143,15,0)</f>
        <v>0</v>
      </c>
      <c r="L32" s="2752">
        <f>Noise!S32 * VLOOKUP($B$14,'Annual Parameters'!$B$33:$D$143,3,0) / VLOOKUP(Noise!$B$14,'Annual Parameters'!$B$33:$D$143,3,0) * VLOOKUP($B$15,'Annual Parameters'!$B$33:$P$143,15,0) / VLOOKUP(Noise!$B$15,'Annual Parameters'!$B$33:$P$143,15,0)</f>
        <v>0</v>
      </c>
      <c r="M32" s="2751">
        <f>Noise!T32 * VLOOKUP($B$14,'Annual Parameters'!$B$33:$D$143,3,0) / VLOOKUP(Noise!$B$14,'Annual Parameters'!$B$33:$D$143,3,0) * VLOOKUP($B$15,'Annual Parameters'!$B$33:$P$143,15,0) / VLOOKUP(Noise!$B$15,'Annual Parameters'!$B$33:$P$143,15,0)</f>
        <v>19.399548056589413</v>
      </c>
      <c r="N32" s="2752">
        <f>Noise!U32 * VLOOKUP($B$14,'Annual Parameters'!$B$33:$D$143,3,0) / VLOOKUP(Noise!$B$14,'Annual Parameters'!$B$33:$D$143,3,0) * VLOOKUP($B$15,'Annual Parameters'!$B$33:$P$143,15,0) / VLOOKUP(Noise!$B$15,'Annual Parameters'!$B$33:$P$143,15,0)</f>
        <v>0</v>
      </c>
      <c r="O32" s="2752">
        <f>Noise!V32 * VLOOKUP($B$14,'Annual Parameters'!$B$33:$D$143,3,0) / VLOOKUP(Noise!$B$14,'Annual Parameters'!$B$33:$D$143,3,0) * VLOOKUP($B$15,'Annual Parameters'!$B$33:$P$143,15,0) / VLOOKUP(Noise!$B$15,'Annual Parameters'!$B$33:$P$143,15,0)</f>
        <v>0</v>
      </c>
      <c r="P32" s="2753">
        <f>Noise!W32 * VLOOKUP($B$14,'Annual Parameters'!$B$33:$D$143,3,0) / VLOOKUP(Noise!$B$14,'Annual Parameters'!$B$33:$D$143,3,0) * VLOOKUP($B$15,'Annual Parameters'!$B$33:$P$143,15,0) / VLOOKUP(Noise!$B$15,'Annual Parameters'!$B$33:$P$143,15,0)</f>
        <v>0</v>
      </c>
      <c r="Q32" s="2547">
        <v>48</v>
      </c>
      <c r="R32" s="2738">
        <v>49</v>
      </c>
      <c r="S32" s="2751">
        <f>Noise!Z32 * VLOOKUP($B$14,'Annual Parameters'!$B$33:$D$143,3,0) / VLOOKUP(Noise!$B$14,'Annual Parameters'!$B$33:$D$143,3,0) * VLOOKUP($B$15,'Annual Parameters'!$B$33:$P$143,15,0) / VLOOKUP(Noise!$B$15,'Annual Parameters'!$B$33:$P$143,15,0)</f>
        <v>33.498311403710943</v>
      </c>
      <c r="T32" s="2752">
        <f>Noise!AA32 * VLOOKUP($B$14,'Annual Parameters'!$B$33:$D$143,3,0) / VLOOKUP(Noise!$B$14,'Annual Parameters'!$B$33:$D$143,3,0) * VLOOKUP($B$15,'Annual Parameters'!$B$33:$P$143,15,0) / VLOOKUP(Noise!$B$15,'Annual Parameters'!$B$33:$P$143,15,0)</f>
        <v>15.937843065538228</v>
      </c>
      <c r="U32" s="2753">
        <f>Noise!AB32 * VLOOKUP($B$14,'Annual Parameters'!$B$33:$D$143,3,0) / VLOOKUP(Noise!$B$14,'Annual Parameters'!$B$33:$D$143,3,0) * VLOOKUP($B$15,'Annual Parameters'!$B$33:$P$143,15,0) / VLOOKUP(Noise!$B$15,'Annual Parameters'!$B$33:$P$143,15,0)</f>
        <v>41.210916338824426</v>
      </c>
    </row>
    <row r="33" spans="1:21" ht="13.5" customHeight="1">
      <c r="A33" s="953"/>
      <c r="B33" s="2547">
        <v>49</v>
      </c>
      <c r="C33" s="2738">
        <v>50</v>
      </c>
      <c r="D33" s="2751">
        <f>Noise!K33 * VLOOKUP($B$14,'Annual Parameters'!$B$33:$D$143,3,0) / VLOOKUP(Noise!$B$14,'Annual Parameters'!$B$33:$D$143,3,0) * VLOOKUP($B$15,'Annual Parameters'!$B$33:$P$143,15,0) / VLOOKUP(Noise!$B$15,'Annual Parameters'!$B$33:$P$143,15,0)</f>
        <v>11.440554137563391</v>
      </c>
      <c r="E33" s="2752">
        <f>Noise!L33 * VLOOKUP($B$14,'Annual Parameters'!$B$33:$D$143,3,0) / VLOOKUP(Noise!$B$14,'Annual Parameters'!$B$33:$D$143,3,0) * VLOOKUP($B$15,'Annual Parameters'!$B$33:$P$143,15,0) / VLOOKUP(Noise!$B$15,'Annual Parameters'!$B$33:$P$143,15,0)</f>
        <v>0</v>
      </c>
      <c r="F33" s="2752">
        <f>Noise!M33 * VLOOKUP($B$14,'Annual Parameters'!$B$33:$D$143,3,0) / VLOOKUP(Noise!$B$14,'Annual Parameters'!$B$33:$D$143,3,0) * VLOOKUP($B$15,'Annual Parameters'!$B$33:$P$143,15,0) / VLOOKUP(Noise!$B$15,'Annual Parameters'!$B$33:$P$143,15,0)</f>
        <v>2.3181825447219362</v>
      </c>
      <c r="G33" s="2752">
        <f>Noise!N33 * VLOOKUP($B$14,'Annual Parameters'!$B$33:$D$143,3,0) / VLOOKUP(Noise!$B$14,'Annual Parameters'!$B$33:$D$143,3,0) * VLOOKUP($B$15,'Annual Parameters'!$B$33:$P$143,15,0) / VLOOKUP(Noise!$B$15,'Annual Parameters'!$B$33:$P$143,15,0)</f>
        <v>3.5107028772572306</v>
      </c>
      <c r="H33" s="2752">
        <f>Noise!O33 * VLOOKUP($B$14,'Annual Parameters'!$B$33:$D$143,3,0) / VLOOKUP(Noise!$B$14,'Annual Parameters'!$B$33:$D$143,3,0) * VLOOKUP($B$15,'Annual Parameters'!$B$33:$P$143,15,0) / VLOOKUP(Noise!$B$15,'Annual Parameters'!$B$33:$P$143,15,0)</f>
        <v>0</v>
      </c>
      <c r="I33" s="2751">
        <f>Noise!P33 * VLOOKUP($B$14,'Annual Parameters'!$B$33:$D$143,3,0) / VLOOKUP(Noise!$B$14,'Annual Parameters'!$B$33:$D$143,3,0) * VLOOKUP($B$15,'Annual Parameters'!$B$33:$P$143,15,0) / VLOOKUP(Noise!$B$15,'Annual Parameters'!$B$33:$P$143,15,0)</f>
        <v>4.2564351110759056</v>
      </c>
      <c r="J33" s="2752">
        <f>Noise!Q33 * VLOOKUP($B$14,'Annual Parameters'!$B$33:$D$143,3,0) / VLOOKUP(Noise!$B$14,'Annual Parameters'!$B$33:$D$143,3,0) * VLOOKUP($B$15,'Annual Parameters'!$B$33:$P$143,15,0) / VLOOKUP(Noise!$B$15,'Annual Parameters'!$B$33:$P$143,15,0)</f>
        <v>0</v>
      </c>
      <c r="K33" s="2752">
        <f>Noise!R33 * VLOOKUP($B$14,'Annual Parameters'!$B$33:$D$143,3,0) / VLOOKUP(Noise!$B$14,'Annual Parameters'!$B$33:$D$143,3,0) * VLOOKUP($B$15,'Annual Parameters'!$B$33:$P$143,15,0) / VLOOKUP(Noise!$B$15,'Annual Parameters'!$B$33:$P$143,15,0)</f>
        <v>0</v>
      </c>
      <c r="L33" s="2752">
        <f>Noise!S33 * VLOOKUP($B$14,'Annual Parameters'!$B$33:$D$143,3,0) / VLOOKUP(Noise!$B$14,'Annual Parameters'!$B$33:$D$143,3,0) * VLOOKUP($B$15,'Annual Parameters'!$B$33:$P$143,15,0) / VLOOKUP(Noise!$B$15,'Annual Parameters'!$B$33:$P$143,15,0)</f>
        <v>0</v>
      </c>
      <c r="M33" s="2751">
        <f>Noise!T33 * VLOOKUP($B$14,'Annual Parameters'!$B$33:$D$143,3,0) / VLOOKUP(Noise!$B$14,'Annual Parameters'!$B$33:$D$143,3,0) * VLOOKUP($B$15,'Annual Parameters'!$B$33:$P$143,15,0) / VLOOKUP(Noise!$B$15,'Annual Parameters'!$B$33:$P$143,15,0)</f>
        <v>21.227970432856512</v>
      </c>
      <c r="N33" s="2752">
        <f>Noise!U33 * VLOOKUP($B$14,'Annual Parameters'!$B$33:$D$143,3,0) / VLOOKUP(Noise!$B$14,'Annual Parameters'!$B$33:$D$143,3,0) * VLOOKUP($B$15,'Annual Parameters'!$B$33:$P$143,15,0) / VLOOKUP(Noise!$B$15,'Annual Parameters'!$B$33:$P$143,15,0)</f>
        <v>0</v>
      </c>
      <c r="O33" s="2752">
        <f>Noise!V33 * VLOOKUP($B$14,'Annual Parameters'!$B$33:$D$143,3,0) / VLOOKUP(Noise!$B$14,'Annual Parameters'!$B$33:$D$143,3,0) * VLOOKUP($B$15,'Annual Parameters'!$B$33:$P$143,15,0) / VLOOKUP(Noise!$B$15,'Annual Parameters'!$B$33:$P$143,15,0)</f>
        <v>0</v>
      </c>
      <c r="P33" s="2753">
        <f>Noise!W33 * VLOOKUP($B$14,'Annual Parameters'!$B$33:$D$143,3,0) / VLOOKUP(Noise!$B$14,'Annual Parameters'!$B$33:$D$143,3,0) * VLOOKUP($B$15,'Annual Parameters'!$B$33:$P$143,15,0) / VLOOKUP(Noise!$B$15,'Annual Parameters'!$B$33:$P$143,15,0)</f>
        <v>0</v>
      </c>
      <c r="Q33" s="2547">
        <v>49</v>
      </c>
      <c r="R33" s="2738">
        <v>50</v>
      </c>
      <c r="S33" s="2751">
        <f>Noise!Z33 * VLOOKUP($B$14,'Annual Parameters'!$B$33:$D$143,3,0) / VLOOKUP(Noise!$B$14,'Annual Parameters'!$B$33:$D$143,3,0) * VLOOKUP($B$15,'Annual Parameters'!$B$33:$P$143,15,0) / VLOOKUP(Noise!$B$15,'Annual Parameters'!$B$33:$P$143,15,0)</f>
        <v>36.041793634864668</v>
      </c>
      <c r="T33" s="2752">
        <f>Noise!AA33 * VLOOKUP($B$14,'Annual Parameters'!$B$33:$D$143,3,0) / VLOOKUP(Noise!$B$14,'Annual Parameters'!$B$33:$D$143,3,0) * VLOOKUP($B$15,'Annual Parameters'!$B$33:$P$143,15,0) / VLOOKUP(Noise!$B$15,'Annual Parameters'!$B$33:$P$143,15,0)</f>
        <v>17.236970261666066</v>
      </c>
      <c r="U33" s="2753">
        <f>Noise!AB33 * VLOOKUP($B$14,'Annual Parameters'!$B$33:$D$143,3,0) / VLOOKUP(Noise!$B$14,'Annual Parameters'!$B$33:$D$143,3,0) * VLOOKUP($B$15,'Annual Parameters'!$B$33:$P$143,15,0) / VLOOKUP(Noise!$B$15,'Annual Parameters'!$B$33:$P$143,15,0)</f>
        <v>43.747552049841346</v>
      </c>
    </row>
    <row r="34" spans="1:21" ht="13.5" customHeight="1">
      <c r="A34" s="953"/>
      <c r="B34" s="2547">
        <v>50</v>
      </c>
      <c r="C34" s="2738">
        <v>51</v>
      </c>
      <c r="D34" s="2751">
        <f>Noise!K34 * VLOOKUP($B$14,'Annual Parameters'!$B$33:$D$143,3,0) / VLOOKUP(Noise!$B$14,'Annual Parameters'!$B$33:$D$143,3,0) * VLOOKUP($B$15,'Annual Parameters'!$B$33:$P$143,15,0) / VLOOKUP(Noise!$B$15,'Annual Parameters'!$B$33:$P$143,15,0)</f>
        <v>12.076436867603972</v>
      </c>
      <c r="E34" s="2752">
        <f>Noise!L34 * VLOOKUP($B$14,'Annual Parameters'!$B$33:$D$143,3,0) / VLOOKUP(Noise!$B$14,'Annual Parameters'!$B$33:$D$143,3,0) * VLOOKUP($B$15,'Annual Parameters'!$B$33:$P$143,15,0) / VLOOKUP(Noise!$B$15,'Annual Parameters'!$B$33:$P$143,15,0)</f>
        <v>0</v>
      </c>
      <c r="F34" s="2752">
        <f>Noise!M34 * VLOOKUP($B$14,'Annual Parameters'!$B$33:$D$143,3,0) / VLOOKUP(Noise!$B$14,'Annual Parameters'!$B$33:$D$143,3,0) * VLOOKUP($B$15,'Annual Parameters'!$B$33:$P$143,15,0) / VLOOKUP(Noise!$B$15,'Annual Parameters'!$B$33:$P$143,15,0)</f>
        <v>2.3240034661643825</v>
      </c>
      <c r="G34" s="2752">
        <f>Noise!N34 * VLOOKUP($B$14,'Annual Parameters'!$B$33:$D$143,3,0) / VLOOKUP(Noise!$B$14,'Annual Parameters'!$B$33:$D$143,3,0) * VLOOKUP($B$15,'Annual Parameters'!$B$33:$P$143,15,0) / VLOOKUP(Noise!$B$15,'Annual Parameters'!$B$33:$P$143,15,0)</f>
        <v>3.5181937952839695</v>
      </c>
      <c r="H34" s="2752">
        <f>Noise!O34 * VLOOKUP($B$14,'Annual Parameters'!$B$33:$D$143,3,0) / VLOOKUP(Noise!$B$14,'Annual Parameters'!$B$33:$D$143,3,0) * VLOOKUP($B$15,'Annual Parameters'!$B$33:$P$143,15,0) / VLOOKUP(Noise!$B$15,'Annual Parameters'!$B$33:$P$143,15,0)</f>
        <v>0</v>
      </c>
      <c r="I34" s="2751">
        <f>Noise!P34 * VLOOKUP($B$14,'Annual Parameters'!$B$33:$D$143,3,0) / VLOOKUP(Noise!$B$14,'Annual Parameters'!$B$33:$D$143,3,0) * VLOOKUP($B$15,'Annual Parameters'!$B$33:$P$143,15,0) / VLOOKUP(Noise!$B$15,'Annual Parameters'!$B$33:$P$143,15,0)</f>
        <v>4.7221256300989154</v>
      </c>
      <c r="J34" s="2752">
        <f>Noise!Q34 * VLOOKUP($B$14,'Annual Parameters'!$B$33:$D$143,3,0) / VLOOKUP(Noise!$B$14,'Annual Parameters'!$B$33:$D$143,3,0) * VLOOKUP($B$15,'Annual Parameters'!$B$33:$P$143,15,0) / VLOOKUP(Noise!$B$15,'Annual Parameters'!$B$33:$P$143,15,0)</f>
        <v>0</v>
      </c>
      <c r="K34" s="2752">
        <f>Noise!R34 * VLOOKUP($B$14,'Annual Parameters'!$B$33:$D$143,3,0) / VLOOKUP(Noise!$B$14,'Annual Parameters'!$B$33:$D$143,3,0) * VLOOKUP($B$15,'Annual Parameters'!$B$33:$P$143,15,0) / VLOOKUP(Noise!$B$15,'Annual Parameters'!$B$33:$P$143,15,0)</f>
        <v>2.5129068087938351</v>
      </c>
      <c r="L34" s="2752">
        <f>Noise!S34 * VLOOKUP($B$14,'Annual Parameters'!$B$33:$D$143,3,0) / VLOOKUP(Noise!$B$14,'Annual Parameters'!$B$33:$D$143,3,0) * VLOOKUP($B$15,'Annual Parameters'!$B$33:$P$143,15,0) / VLOOKUP(Noise!$B$15,'Annual Parameters'!$B$33:$P$143,15,0)</f>
        <v>3.8071516927566478</v>
      </c>
      <c r="M34" s="2751">
        <f>Noise!T34 * VLOOKUP($B$14,'Annual Parameters'!$B$33:$D$143,3,0) / VLOOKUP(Noise!$B$14,'Annual Parameters'!$B$33:$D$143,3,0) * VLOOKUP($B$15,'Annual Parameters'!$B$33:$P$143,15,0) / VLOOKUP(Noise!$B$15,'Annual Parameters'!$B$33:$P$143,15,0)</f>
        <v>23.042896850820771</v>
      </c>
      <c r="N34" s="2752">
        <f>Noise!U34 * VLOOKUP($B$14,'Annual Parameters'!$B$33:$D$143,3,0) / VLOOKUP(Noise!$B$14,'Annual Parameters'!$B$33:$D$143,3,0) * VLOOKUP($B$15,'Annual Parameters'!$B$33:$P$143,15,0) / VLOOKUP(Noise!$B$15,'Annual Parameters'!$B$33:$P$143,15,0)</f>
        <v>0</v>
      </c>
      <c r="O34" s="2752">
        <f>Noise!V34 * VLOOKUP($B$14,'Annual Parameters'!$B$33:$D$143,3,0) / VLOOKUP(Noise!$B$14,'Annual Parameters'!$B$33:$D$143,3,0) * VLOOKUP($B$15,'Annual Parameters'!$B$33:$P$143,15,0) / VLOOKUP(Noise!$B$15,'Annual Parameters'!$B$33:$P$143,15,0)</f>
        <v>4.4801915595551023</v>
      </c>
      <c r="P34" s="2753">
        <f>Noise!W34 * VLOOKUP($B$14,'Annual Parameters'!$B$33:$D$143,3,0) / VLOOKUP(Noise!$B$14,'Annual Parameters'!$B$33:$D$143,3,0) * VLOOKUP($B$15,'Annual Parameters'!$B$33:$P$143,15,0) / VLOOKUP(Noise!$B$15,'Annual Parameters'!$B$33:$P$143,15,0)</f>
        <v>6.773269454867334</v>
      </c>
      <c r="Q34" s="2547">
        <v>50</v>
      </c>
      <c r="R34" s="2738">
        <v>51</v>
      </c>
      <c r="S34" s="2751">
        <f>Noise!Z34 * VLOOKUP($B$14,'Annual Parameters'!$B$33:$D$143,3,0) / VLOOKUP(Noise!$B$14,'Annual Parameters'!$B$33:$D$143,3,0) * VLOOKUP($B$15,'Annual Parameters'!$B$33:$P$143,15,0) / VLOOKUP(Noise!$B$15,'Annual Parameters'!$B$33:$P$143,15,0)</f>
        <v>38.585275866018712</v>
      </c>
      <c r="T34" s="2752">
        <f>Noise!AA34 * VLOOKUP($B$14,'Annual Parameters'!$B$33:$D$143,3,0) / VLOOKUP(Noise!$B$14,'Annual Parameters'!$B$33:$D$143,3,0) * VLOOKUP($B$15,'Annual Parameters'!$B$33:$P$143,15,0) / VLOOKUP(Noise!$B$15,'Annual Parameters'!$B$33:$P$143,15,0)</f>
        <v>18.536097457794195</v>
      </c>
      <c r="U34" s="2753">
        <f>Noise!AB34 * VLOOKUP($B$14,'Annual Parameters'!$B$33:$D$143,3,0) / VLOOKUP(Noise!$B$14,'Annual Parameters'!$B$33:$D$143,3,0) * VLOOKUP($B$15,'Annual Parameters'!$B$33:$P$143,15,0) / VLOOKUP(Noise!$B$15,'Annual Parameters'!$B$33:$P$143,15,0)</f>
        <v>46.284187760857037</v>
      </c>
    </row>
    <row r="35" spans="1:21" ht="13.5" customHeight="1">
      <c r="A35" s="953"/>
      <c r="B35" s="2547">
        <v>51</v>
      </c>
      <c r="C35" s="2738">
        <v>52</v>
      </c>
      <c r="D35" s="2751">
        <f>Noise!K35 * VLOOKUP($B$14,'Annual Parameters'!$B$33:$D$143,3,0) / VLOOKUP(Noise!$B$14,'Annual Parameters'!$B$33:$D$143,3,0) * VLOOKUP($B$15,'Annual Parameters'!$B$33:$P$143,15,0) / VLOOKUP(Noise!$B$15,'Annual Parameters'!$B$33:$P$143,15,0)</f>
        <v>12.825053809196325</v>
      </c>
      <c r="E35" s="2752">
        <f>Noise!L35 * VLOOKUP($B$14,'Annual Parameters'!$B$33:$D$143,3,0) / VLOOKUP(Noise!$B$14,'Annual Parameters'!$B$33:$D$143,3,0) * VLOOKUP($B$15,'Annual Parameters'!$B$33:$P$143,15,0) / VLOOKUP(Noise!$B$15,'Annual Parameters'!$B$33:$P$143,15,0)</f>
        <v>0</v>
      </c>
      <c r="F35" s="2752">
        <f>Noise!M35 * VLOOKUP($B$14,'Annual Parameters'!$B$33:$D$143,3,0) / VLOOKUP(Noise!$B$14,'Annual Parameters'!$B$33:$D$143,3,0) * VLOOKUP($B$15,'Annual Parameters'!$B$33:$P$143,15,0) / VLOOKUP(Noise!$B$15,'Annual Parameters'!$B$33:$P$143,15,0)</f>
        <v>2.3298409150516841</v>
      </c>
      <c r="G35" s="2752">
        <f>Noise!N35 * VLOOKUP($B$14,'Annual Parameters'!$B$33:$D$143,3,0) / VLOOKUP(Noise!$B$14,'Annual Parameters'!$B$33:$D$143,3,0) * VLOOKUP($B$15,'Annual Parameters'!$B$33:$P$143,15,0) / VLOOKUP(Noise!$B$15,'Annual Parameters'!$B$33:$P$143,15,0)</f>
        <v>3.5257013783791185</v>
      </c>
      <c r="H35" s="2752">
        <f>Noise!O35 * VLOOKUP($B$14,'Annual Parameters'!$B$33:$D$143,3,0) / VLOOKUP(Noise!$B$14,'Annual Parameters'!$B$33:$D$143,3,0) * VLOOKUP($B$15,'Annual Parameters'!$B$33:$P$143,15,0) / VLOOKUP(Noise!$B$15,'Annual Parameters'!$B$33:$P$143,15,0)</f>
        <v>0</v>
      </c>
      <c r="I35" s="2751">
        <f>Noise!P35 * VLOOKUP($B$14,'Annual Parameters'!$B$33:$D$143,3,0) / VLOOKUP(Noise!$B$14,'Annual Parameters'!$B$33:$D$143,3,0) * VLOOKUP($B$15,'Annual Parameters'!$B$33:$P$143,15,0) / VLOOKUP(Noise!$B$15,'Annual Parameters'!$B$33:$P$143,15,0)</f>
        <v>5.2940203475721619</v>
      </c>
      <c r="J35" s="2752">
        <f>Noise!Q35 * VLOOKUP($B$14,'Annual Parameters'!$B$33:$D$143,3,0) / VLOOKUP(Noise!$B$14,'Annual Parameters'!$B$33:$D$143,3,0) * VLOOKUP($B$15,'Annual Parameters'!$B$33:$P$143,15,0) / VLOOKUP(Noise!$B$15,'Annual Parameters'!$B$33:$P$143,15,0)</f>
        <v>0</v>
      </c>
      <c r="K35" s="2752">
        <f>Noise!R35 * VLOOKUP($B$14,'Annual Parameters'!$B$33:$D$143,3,0) / VLOOKUP(Noise!$B$14,'Annual Parameters'!$B$33:$D$143,3,0) * VLOOKUP($B$15,'Annual Parameters'!$B$33:$P$143,15,0) / VLOOKUP(Noise!$B$15,'Annual Parameters'!$B$33:$P$143,15,0)</f>
        <v>2.5197637709692939</v>
      </c>
      <c r="L35" s="2752">
        <f>Noise!S35 * VLOOKUP($B$14,'Annual Parameters'!$B$33:$D$143,3,0) / VLOOKUP(Noise!$B$14,'Annual Parameters'!$B$33:$D$143,3,0) * VLOOKUP($B$15,'Annual Parameters'!$B$33:$P$143,15,0) / VLOOKUP(Noise!$B$15,'Annual Parameters'!$B$33:$P$143,15,0)</f>
        <v>3.8159815249761238</v>
      </c>
      <c r="M35" s="2751">
        <f>Noise!T35 * VLOOKUP($B$14,'Annual Parameters'!$B$33:$D$143,3,0) / VLOOKUP(Noise!$B$14,'Annual Parameters'!$B$33:$D$143,3,0) * VLOOKUP($B$15,'Annual Parameters'!$B$33:$P$143,15,0) / VLOOKUP(Noise!$B$15,'Annual Parameters'!$B$33:$P$143,15,0)</f>
        <v>24.844327310482178</v>
      </c>
      <c r="N35" s="2752">
        <f>Noise!U35 * VLOOKUP($B$14,'Annual Parameters'!$B$33:$D$143,3,0) / VLOOKUP(Noise!$B$14,'Annual Parameters'!$B$33:$D$143,3,0) * VLOOKUP($B$15,'Annual Parameters'!$B$33:$P$143,15,0) / VLOOKUP(Noise!$B$15,'Annual Parameters'!$B$33:$P$143,15,0)</f>
        <v>0</v>
      </c>
      <c r="O35" s="2752">
        <f>Noise!V35 * VLOOKUP($B$14,'Annual Parameters'!$B$33:$D$143,3,0) / VLOOKUP(Noise!$B$14,'Annual Parameters'!$B$33:$D$143,3,0) * VLOOKUP($B$15,'Annual Parameters'!$B$33:$P$143,15,0) / VLOOKUP(Noise!$B$15,'Annual Parameters'!$B$33:$P$143,15,0)</f>
        <v>4.5020156746203428</v>
      </c>
      <c r="P35" s="2753">
        <f>Noise!W35 * VLOOKUP($B$14,'Annual Parameters'!$B$33:$D$143,3,0) / VLOOKUP(Noise!$B$14,'Annual Parameters'!$B$33:$D$143,3,0) * VLOOKUP($B$15,'Annual Parameters'!$B$33:$P$143,15,0) / VLOOKUP(Noise!$B$15,'Annual Parameters'!$B$33:$P$143,15,0)</f>
        <v>6.8011932443432705</v>
      </c>
      <c r="Q35" s="2547">
        <v>51</v>
      </c>
      <c r="R35" s="2738">
        <v>52</v>
      </c>
      <c r="S35" s="2751">
        <f>Noise!Z35 * VLOOKUP($B$14,'Annual Parameters'!$B$33:$D$143,3,0) / VLOOKUP(Noise!$B$14,'Annual Parameters'!$B$33:$D$143,3,0) * VLOOKUP($B$15,'Annual Parameters'!$B$33:$P$143,15,0) / VLOOKUP(Noise!$B$15,'Annual Parameters'!$B$33:$P$143,15,0)</f>
        <v>41.128758097172764</v>
      </c>
      <c r="T35" s="2752">
        <f>Noise!AA35 * VLOOKUP($B$14,'Annual Parameters'!$B$33:$D$143,3,0) / VLOOKUP(Noise!$B$14,'Annual Parameters'!$B$33:$D$143,3,0) * VLOOKUP($B$15,'Annual Parameters'!$B$33:$P$143,15,0) / VLOOKUP(Noise!$B$15,'Annual Parameters'!$B$33:$P$143,15,0)</f>
        <v>19.835224653921422</v>
      </c>
      <c r="U35" s="2753">
        <f>Noise!AB35 * VLOOKUP($B$14,'Annual Parameters'!$B$33:$D$143,3,0) / VLOOKUP(Noise!$B$14,'Annual Parameters'!$B$33:$D$143,3,0) * VLOOKUP($B$15,'Annual Parameters'!$B$33:$P$143,15,0) / VLOOKUP(Noise!$B$15,'Annual Parameters'!$B$33:$P$143,15,0)</f>
        <v>48.820823471873943</v>
      </c>
    </row>
    <row r="36" spans="1:21" ht="13.5" customHeight="1">
      <c r="A36" s="953"/>
      <c r="B36" s="2547">
        <v>52</v>
      </c>
      <c r="C36" s="2738">
        <v>53</v>
      </c>
      <c r="D36" s="2751">
        <f>Noise!K36 * VLOOKUP($B$14,'Annual Parameters'!$B$33:$D$143,3,0) / VLOOKUP(Noise!$B$14,'Annual Parameters'!$B$33:$D$143,3,0) * VLOOKUP($B$15,'Annual Parameters'!$B$33:$P$143,15,0) / VLOOKUP(Noise!$B$15,'Annual Parameters'!$B$33:$P$143,15,0)</f>
        <v>13.686404962340628</v>
      </c>
      <c r="E36" s="2752">
        <f>Noise!L36 * VLOOKUP($B$14,'Annual Parameters'!$B$33:$D$143,3,0) / VLOOKUP(Noise!$B$14,'Annual Parameters'!$B$33:$D$143,3,0) * VLOOKUP($B$15,'Annual Parameters'!$B$33:$P$143,15,0) / VLOOKUP(Noise!$B$15,'Annual Parameters'!$B$33:$P$143,15,0)</f>
        <v>0</v>
      </c>
      <c r="F36" s="2752">
        <f>Noise!M36 * VLOOKUP($B$14,'Annual Parameters'!$B$33:$D$143,3,0) / VLOOKUP(Noise!$B$14,'Annual Parameters'!$B$33:$D$143,3,0) * VLOOKUP($B$15,'Annual Parameters'!$B$33:$P$143,15,0) / VLOOKUP(Noise!$B$15,'Annual Parameters'!$B$33:$P$143,15,0)</f>
        <v>2.3356949446401041</v>
      </c>
      <c r="G36" s="2752">
        <f>Noise!N36 * VLOOKUP($B$14,'Annual Parameters'!$B$33:$D$143,3,0) / VLOOKUP(Noise!$B$14,'Annual Parameters'!$B$33:$D$143,3,0) * VLOOKUP($B$15,'Annual Parameters'!$B$33:$P$143,15,0) / VLOOKUP(Noise!$B$15,'Annual Parameters'!$B$33:$P$143,15,0)</f>
        <v>3.533225665110808</v>
      </c>
      <c r="H36" s="2752">
        <f>Noise!O36 * VLOOKUP($B$14,'Annual Parameters'!$B$33:$D$143,3,0) / VLOOKUP(Noise!$B$14,'Annual Parameters'!$B$33:$D$143,3,0) * VLOOKUP($B$15,'Annual Parameters'!$B$33:$P$143,15,0) / VLOOKUP(Noise!$B$15,'Annual Parameters'!$B$33:$P$143,15,0)</f>
        <v>22.777468757455061</v>
      </c>
      <c r="I36" s="2751">
        <f>Noise!P36 * VLOOKUP($B$14,'Annual Parameters'!$B$33:$D$143,3,0) / VLOOKUP(Noise!$B$14,'Annual Parameters'!$B$33:$D$143,3,0) * VLOOKUP($B$15,'Annual Parameters'!$B$33:$P$143,15,0) / VLOOKUP(Noise!$B$15,'Annual Parameters'!$B$33:$P$143,15,0)</f>
        <v>5.9721192634956584</v>
      </c>
      <c r="J36" s="2752">
        <f>Noise!Q36 * VLOOKUP($B$14,'Annual Parameters'!$B$33:$D$143,3,0) / VLOOKUP(Noise!$B$14,'Annual Parameters'!$B$33:$D$143,3,0) * VLOOKUP($B$15,'Annual Parameters'!$B$33:$P$143,15,0) / VLOOKUP(Noise!$B$15,'Annual Parameters'!$B$33:$P$143,15,0)</f>
        <v>0</v>
      </c>
      <c r="K36" s="2752">
        <f>Noise!R36 * VLOOKUP($B$14,'Annual Parameters'!$B$33:$D$143,3,0) / VLOOKUP(Noise!$B$14,'Annual Parameters'!$B$33:$D$143,3,0) * VLOOKUP($B$15,'Annual Parameters'!$B$33:$P$143,15,0) / VLOOKUP(Noise!$B$15,'Annual Parameters'!$B$33:$P$143,15,0)</f>
        <v>2.526641889736839</v>
      </c>
      <c r="L36" s="2752">
        <f>Noise!S36 * VLOOKUP($B$14,'Annual Parameters'!$B$33:$D$143,3,0) / VLOOKUP(Noise!$B$14,'Annual Parameters'!$B$33:$D$143,3,0) * VLOOKUP($B$15,'Annual Parameters'!$B$33:$P$143,15,0) / VLOOKUP(Noise!$B$15,'Annual Parameters'!$B$33:$P$143,15,0)</f>
        <v>3.8248327092580068</v>
      </c>
      <c r="M36" s="2751">
        <f>Noise!T36 * VLOOKUP($B$14,'Annual Parameters'!$B$33:$D$143,3,0) / VLOOKUP(Noise!$B$14,'Annual Parameters'!$B$33:$D$143,3,0) * VLOOKUP($B$15,'Annual Parameters'!$B$33:$P$143,15,0) / VLOOKUP(Noise!$B$15,'Annual Parameters'!$B$33:$P$143,15,0)</f>
        <v>26.632261811840724</v>
      </c>
      <c r="N36" s="2752">
        <f>Noise!U36 * VLOOKUP($B$14,'Annual Parameters'!$B$33:$D$143,3,0) / VLOOKUP(Noise!$B$14,'Annual Parameters'!$B$33:$D$143,3,0) * VLOOKUP($B$15,'Annual Parameters'!$B$33:$P$143,15,0) / VLOOKUP(Noise!$B$15,'Annual Parameters'!$B$33:$P$143,15,0)</f>
        <v>0</v>
      </c>
      <c r="O36" s="2752">
        <f>Noise!V36 * VLOOKUP($B$14,'Annual Parameters'!$B$33:$D$143,3,0) / VLOOKUP(Noise!$B$14,'Annual Parameters'!$B$33:$D$143,3,0) * VLOOKUP($B$15,'Annual Parameters'!$B$33:$P$143,15,0) / VLOOKUP(Noise!$B$15,'Annual Parameters'!$B$33:$P$143,15,0)</f>
        <v>4.5239604779448506</v>
      </c>
      <c r="P36" s="2753">
        <f>Noise!W36 * VLOOKUP($B$14,'Annual Parameters'!$B$33:$D$143,3,0) / VLOOKUP(Noise!$B$14,'Annual Parameters'!$B$33:$D$143,3,0) * VLOOKUP($B$15,'Annual Parameters'!$B$33:$P$143,15,0) / VLOOKUP(Noise!$B$15,'Annual Parameters'!$B$33:$P$143,15,0)</f>
        <v>6.8292371629061028</v>
      </c>
      <c r="Q36" s="2547">
        <v>52</v>
      </c>
      <c r="R36" s="2738">
        <v>53</v>
      </c>
      <c r="S36" s="2751">
        <f>Noise!Z36 * VLOOKUP($B$14,'Annual Parameters'!$B$33:$D$143,3,0) / VLOOKUP(Noise!$B$14,'Annual Parameters'!$B$33:$D$143,3,0) * VLOOKUP($B$15,'Annual Parameters'!$B$33:$P$143,15,0) / VLOOKUP(Noise!$B$15,'Annual Parameters'!$B$33:$P$143,15,0)</f>
        <v>43.672240328325287</v>
      </c>
      <c r="T36" s="2752">
        <f>Noise!AA36 * VLOOKUP($B$14,'Annual Parameters'!$B$33:$D$143,3,0) / VLOOKUP(Noise!$B$14,'Annual Parameters'!$B$33:$D$143,3,0) * VLOOKUP($B$15,'Annual Parameters'!$B$33:$P$143,15,0) / VLOOKUP(Noise!$B$15,'Annual Parameters'!$B$33:$P$143,15,0)</f>
        <v>21.134351850049558</v>
      </c>
      <c r="U36" s="2753">
        <f>Noise!AB36 * VLOOKUP($B$14,'Annual Parameters'!$B$33:$D$143,3,0) / VLOOKUP(Noise!$B$14,'Annual Parameters'!$B$33:$D$143,3,0) * VLOOKUP($B$15,'Annual Parameters'!$B$33:$P$143,15,0) / VLOOKUP(Noise!$B$15,'Annual Parameters'!$B$33:$P$143,15,0)</f>
        <v>51.357459182889642</v>
      </c>
    </row>
    <row r="37" spans="1:21" ht="13.5" customHeight="1">
      <c r="A37" s="953"/>
      <c r="B37" s="2547">
        <v>53</v>
      </c>
      <c r="C37" s="2738">
        <v>54</v>
      </c>
      <c r="D37" s="2751">
        <f>Noise!K37 * VLOOKUP($B$14,'Annual Parameters'!$B$33:$D$143,3,0) / VLOOKUP(Noise!$B$14,'Annual Parameters'!$B$33:$D$143,3,0) * VLOOKUP($B$15,'Annual Parameters'!$B$33:$P$143,15,0) / VLOOKUP(Noise!$B$15,'Annual Parameters'!$B$33:$P$143,15,0)</f>
        <v>14.660490327036712</v>
      </c>
      <c r="E37" s="2752">
        <f>Noise!L37 * VLOOKUP($B$14,'Annual Parameters'!$B$33:$D$143,3,0) / VLOOKUP(Noise!$B$14,'Annual Parameters'!$B$33:$D$143,3,0) * VLOOKUP($B$15,'Annual Parameters'!$B$33:$P$143,15,0) / VLOOKUP(Noise!$B$15,'Annual Parameters'!$B$33:$P$143,15,0)</f>
        <v>0</v>
      </c>
      <c r="F37" s="2752">
        <f>Noise!M37 * VLOOKUP($B$14,'Annual Parameters'!$B$33:$D$143,3,0) / VLOOKUP(Noise!$B$14,'Annual Parameters'!$B$33:$D$143,3,0) * VLOOKUP($B$15,'Annual Parameters'!$B$33:$P$143,15,0) / VLOOKUP(Noise!$B$15,'Annual Parameters'!$B$33:$P$143,15,0)</f>
        <v>2.3415656083781702</v>
      </c>
      <c r="G37" s="2752">
        <f>Noise!N37 * VLOOKUP($B$14,'Annual Parameters'!$B$33:$D$143,3,0) / VLOOKUP(Noise!$B$14,'Annual Parameters'!$B$33:$D$143,3,0) * VLOOKUP($B$15,'Annual Parameters'!$B$33:$P$143,15,0) / VLOOKUP(Noise!$B$15,'Annual Parameters'!$B$33:$P$143,15,0)</f>
        <v>3.5407666941397049</v>
      </c>
      <c r="H37" s="2752">
        <f>Noise!O37 * VLOOKUP($B$14,'Annual Parameters'!$B$33:$D$143,3,0) / VLOOKUP(Noise!$B$14,'Annual Parameters'!$B$33:$D$143,3,0) * VLOOKUP($B$15,'Annual Parameters'!$B$33:$P$143,15,0) / VLOOKUP(Noise!$B$15,'Annual Parameters'!$B$33:$P$143,15,0)</f>
        <v>24.837689364690988</v>
      </c>
      <c r="I37" s="2751">
        <f>Noise!P37 * VLOOKUP($B$14,'Annual Parameters'!$B$33:$D$143,3,0) / VLOOKUP(Noise!$B$14,'Annual Parameters'!$B$33:$D$143,3,0) * VLOOKUP($B$15,'Annual Parameters'!$B$33:$P$143,15,0) / VLOOKUP(Noise!$B$15,'Annual Parameters'!$B$33:$P$143,15,0)</f>
        <v>6.7564223778693906</v>
      </c>
      <c r="J37" s="2752">
        <f>Noise!Q37 * VLOOKUP($B$14,'Annual Parameters'!$B$33:$D$143,3,0) / VLOOKUP(Noise!$B$14,'Annual Parameters'!$B$33:$D$143,3,0) * VLOOKUP($B$15,'Annual Parameters'!$B$33:$P$143,15,0) / VLOOKUP(Noise!$B$15,'Annual Parameters'!$B$33:$P$143,15,0)</f>
        <v>0</v>
      </c>
      <c r="K37" s="2752">
        <f>Noise!R37 * VLOOKUP($B$14,'Annual Parameters'!$B$33:$D$143,3,0) / VLOOKUP(Noise!$B$14,'Annual Parameters'!$B$33:$D$143,3,0) * VLOOKUP($B$15,'Annual Parameters'!$B$33:$P$143,15,0) / VLOOKUP(Noise!$B$15,'Annual Parameters'!$B$33:$P$143,15,0)</f>
        <v>2.5335412391802317</v>
      </c>
      <c r="L37" s="2752">
        <f>Noise!S37 * VLOOKUP($B$14,'Annual Parameters'!$B$33:$D$143,3,0) / VLOOKUP(Noise!$B$14,'Annual Parameters'!$B$33:$D$143,3,0) * VLOOKUP($B$15,'Annual Parameters'!$B$33:$P$143,15,0) / VLOOKUP(Noise!$B$15,'Annual Parameters'!$B$33:$P$143,15,0)</f>
        <v>3.8337052993153877</v>
      </c>
      <c r="M37" s="2751">
        <f>Noise!T37 * VLOOKUP($B$14,'Annual Parameters'!$B$33:$D$143,3,0) / VLOOKUP(Noise!$B$14,'Annual Parameters'!$B$33:$D$143,3,0) * VLOOKUP($B$15,'Annual Parameters'!$B$33:$P$143,15,0) / VLOOKUP(Noise!$B$15,'Annual Parameters'!$B$33:$P$143,15,0)</f>
        <v>28.406700354896405</v>
      </c>
      <c r="N37" s="2752">
        <f>Noise!U37 * VLOOKUP($B$14,'Annual Parameters'!$B$33:$D$143,3,0) / VLOOKUP(Noise!$B$14,'Annual Parameters'!$B$33:$D$143,3,0) * VLOOKUP($B$15,'Annual Parameters'!$B$33:$P$143,15,0) / VLOOKUP(Noise!$B$15,'Annual Parameters'!$B$33:$P$143,15,0)</f>
        <v>0</v>
      </c>
      <c r="O37" s="2752">
        <f>Noise!V37 * VLOOKUP($B$14,'Annual Parameters'!$B$33:$D$143,3,0) / VLOOKUP(Noise!$B$14,'Annual Parameters'!$B$33:$D$143,3,0) * VLOOKUP($B$15,'Annual Parameters'!$B$33:$P$143,15,0) / VLOOKUP(Noise!$B$15,'Annual Parameters'!$B$33:$P$143,15,0)</f>
        <v>4.5460267298215964</v>
      </c>
      <c r="P37" s="2753">
        <f>Noise!W37 * VLOOKUP($B$14,'Annual Parameters'!$B$33:$D$143,3,0) / VLOOKUP(Noise!$B$14,'Annual Parameters'!$B$33:$D$143,3,0) * VLOOKUP($B$15,'Annual Parameters'!$B$33:$P$143,15,0) / VLOOKUP(Noise!$B$15,'Annual Parameters'!$B$33:$P$143,15,0)</f>
        <v>6.8574017485792096</v>
      </c>
      <c r="Q37" s="2547">
        <v>53</v>
      </c>
      <c r="R37" s="2738">
        <v>54</v>
      </c>
      <c r="S37" s="2751">
        <f>Noise!Z37 * VLOOKUP($B$14,'Annual Parameters'!$B$33:$D$143,3,0) / VLOOKUP(Noise!$B$14,'Annual Parameters'!$B$33:$D$143,3,0) * VLOOKUP($B$15,'Annual Parameters'!$B$33:$P$143,15,0) / VLOOKUP(Noise!$B$15,'Annual Parameters'!$B$33:$P$143,15,0)</f>
        <v>46.215722559480859</v>
      </c>
      <c r="T37" s="2752">
        <f>Noise!AA37 * VLOOKUP($B$14,'Annual Parameters'!$B$33:$D$143,3,0) / VLOOKUP(Noise!$B$14,'Annual Parameters'!$B$33:$D$143,3,0) * VLOOKUP($B$15,'Annual Parameters'!$B$33:$P$143,15,0) / VLOOKUP(Noise!$B$15,'Annual Parameters'!$B$33:$P$143,15,0)</f>
        <v>22.433479046177087</v>
      </c>
      <c r="U37" s="2753">
        <f>Noise!AB37 * VLOOKUP($B$14,'Annual Parameters'!$B$33:$D$143,3,0) / VLOOKUP(Noise!$B$14,'Annual Parameters'!$B$33:$D$143,3,0) * VLOOKUP($B$15,'Annual Parameters'!$B$33:$P$143,15,0) / VLOOKUP(Noise!$B$15,'Annual Parameters'!$B$33:$P$143,15,0)</f>
        <v>53.894094893906555</v>
      </c>
    </row>
    <row r="38" spans="1:21" ht="13.5" customHeight="1">
      <c r="A38" s="953"/>
      <c r="B38" s="2547">
        <v>54</v>
      </c>
      <c r="C38" s="2738">
        <v>55</v>
      </c>
      <c r="D38" s="2751">
        <f>Noise!K38 * VLOOKUP($B$14,'Annual Parameters'!$B$33:$D$143,3,0) / VLOOKUP(Noise!$B$14,'Annual Parameters'!$B$33:$D$143,3,0) * VLOOKUP($B$15,'Annual Parameters'!$B$33:$P$143,15,0) / VLOOKUP(Noise!$B$15,'Annual Parameters'!$B$33:$P$143,15,0)</f>
        <v>15.74730990328465</v>
      </c>
      <c r="E38" s="2752">
        <f>Noise!L38 * VLOOKUP($B$14,'Annual Parameters'!$B$33:$D$143,3,0) / VLOOKUP(Noise!$B$14,'Annual Parameters'!$B$33:$D$143,3,0) * VLOOKUP($B$15,'Annual Parameters'!$B$33:$P$143,15,0) / VLOOKUP(Noise!$B$15,'Annual Parameters'!$B$33:$P$143,15,0)</f>
        <v>0</v>
      </c>
      <c r="F38" s="2752">
        <f>Noise!M38 * VLOOKUP($B$14,'Annual Parameters'!$B$33:$D$143,3,0) / VLOOKUP(Noise!$B$14,'Annual Parameters'!$B$33:$D$143,3,0) * VLOOKUP($B$15,'Annual Parameters'!$B$33:$P$143,15,0) / VLOOKUP(Noise!$B$15,'Annual Parameters'!$B$33:$P$143,15,0)</f>
        <v>2.3474529599072689</v>
      </c>
      <c r="G38" s="2752">
        <f>Noise!N38 * VLOOKUP($B$14,'Annual Parameters'!$B$33:$D$143,3,0) / VLOOKUP(Noise!$B$14,'Annual Parameters'!$B$33:$D$143,3,0) * VLOOKUP($B$15,'Annual Parameters'!$B$33:$P$143,15,0) / VLOOKUP(Noise!$B$15,'Annual Parameters'!$B$33:$P$143,15,0)</f>
        <v>3.5483245042192513</v>
      </c>
      <c r="H38" s="2752">
        <f>Noise!O38 * VLOOKUP($B$14,'Annual Parameters'!$B$33:$D$143,3,0) / VLOOKUP(Noise!$B$14,'Annual Parameters'!$B$33:$D$143,3,0) * VLOOKUP($B$15,'Annual Parameters'!$B$33:$P$143,15,0) / VLOOKUP(Noise!$B$15,'Annual Parameters'!$B$33:$P$143,15,0)</f>
        <v>26.897909971924186</v>
      </c>
      <c r="I38" s="2751">
        <f>Noise!P38 * VLOOKUP($B$14,'Annual Parameters'!$B$33:$D$143,3,0) / VLOOKUP(Noise!$B$14,'Annual Parameters'!$B$33:$D$143,3,0) * VLOOKUP($B$15,'Annual Parameters'!$B$33:$P$143,15,0) / VLOOKUP(Noise!$B$15,'Annual Parameters'!$B$33:$P$143,15,0)</f>
        <v>7.6469296906933497</v>
      </c>
      <c r="J38" s="2752">
        <f>Noise!Q38 * VLOOKUP($B$14,'Annual Parameters'!$B$33:$D$143,3,0) / VLOOKUP(Noise!$B$14,'Annual Parameters'!$B$33:$D$143,3,0) * VLOOKUP($B$15,'Annual Parameters'!$B$33:$P$143,15,0) / VLOOKUP(Noise!$B$15,'Annual Parameters'!$B$33:$P$143,15,0)</f>
        <v>0</v>
      </c>
      <c r="K38" s="2752">
        <f>Noise!R38 * VLOOKUP($B$14,'Annual Parameters'!$B$33:$D$143,3,0) / VLOOKUP(Noise!$B$14,'Annual Parameters'!$B$33:$D$143,3,0) * VLOOKUP($B$15,'Annual Parameters'!$B$33:$P$143,15,0) / VLOOKUP(Noise!$B$15,'Annual Parameters'!$B$33:$P$143,15,0)</f>
        <v>2.5404618936740202</v>
      </c>
      <c r="L38" s="2752">
        <f>Noise!S38 * VLOOKUP($B$14,'Annual Parameters'!$B$33:$D$143,3,0) / VLOOKUP(Noise!$B$14,'Annual Parameters'!$B$33:$D$143,3,0) * VLOOKUP($B$15,'Annual Parameters'!$B$33:$P$143,15,0) / VLOOKUP(Noise!$B$15,'Annual Parameters'!$B$33:$P$143,15,0)</f>
        <v>3.8425993490018269</v>
      </c>
      <c r="M38" s="2751">
        <f>Noise!T38 * VLOOKUP($B$14,'Annual Parameters'!$B$33:$D$143,3,0) / VLOOKUP(Noise!$B$14,'Annual Parameters'!$B$33:$D$143,3,0) * VLOOKUP($B$15,'Annual Parameters'!$B$33:$P$143,15,0) / VLOOKUP(Noise!$B$15,'Annual Parameters'!$B$33:$P$143,15,0)</f>
        <v>30.167642939649237</v>
      </c>
      <c r="N38" s="2752">
        <f>Noise!U38 * VLOOKUP($B$14,'Annual Parameters'!$B$33:$D$143,3,0) / VLOOKUP(Noise!$B$14,'Annual Parameters'!$B$33:$D$143,3,0) * VLOOKUP($B$15,'Annual Parameters'!$B$33:$P$143,15,0) / VLOOKUP(Noise!$B$15,'Annual Parameters'!$B$33:$P$143,15,0)</f>
        <v>0</v>
      </c>
      <c r="O38" s="2752">
        <f>Noise!V38 * VLOOKUP($B$14,'Annual Parameters'!$B$33:$D$143,3,0) / VLOOKUP(Noise!$B$14,'Annual Parameters'!$B$33:$D$143,3,0) * VLOOKUP($B$15,'Annual Parameters'!$B$33:$P$143,15,0) / VLOOKUP(Noise!$B$15,'Annual Parameters'!$B$33:$P$143,15,0)</f>
        <v>4.56821519592134</v>
      </c>
      <c r="P38" s="2753">
        <f>Noise!W38 * VLOOKUP($B$14,'Annual Parameters'!$B$33:$D$143,3,0) / VLOOKUP(Noise!$B$14,'Annual Parameters'!$B$33:$D$143,3,0) * VLOOKUP($B$15,'Annual Parameters'!$B$33:$P$143,15,0) / VLOOKUP(Noise!$B$15,'Annual Parameters'!$B$33:$P$143,15,0)</f>
        <v>6.8856875418853187</v>
      </c>
      <c r="Q38" s="2547">
        <v>54</v>
      </c>
      <c r="R38" s="2738">
        <v>55</v>
      </c>
      <c r="S38" s="2751">
        <f>Noise!Z38 * VLOOKUP($B$14,'Annual Parameters'!$B$33:$D$143,3,0) / VLOOKUP(Noise!$B$14,'Annual Parameters'!$B$33:$D$143,3,0) * VLOOKUP($B$15,'Annual Parameters'!$B$33:$P$143,15,0) / VLOOKUP(Noise!$B$15,'Annual Parameters'!$B$33:$P$143,15,0)</f>
        <v>48.759204790634591</v>
      </c>
      <c r="T38" s="2752">
        <f>Noise!AA38 * VLOOKUP($B$14,'Annual Parameters'!$B$33:$D$143,3,0) / VLOOKUP(Noise!$B$14,'Annual Parameters'!$B$33:$D$143,3,0) * VLOOKUP($B$15,'Annual Parameters'!$B$33:$P$143,15,0) / VLOOKUP(Noise!$B$15,'Annual Parameters'!$B$33:$P$143,15,0)</f>
        <v>23.732606242304612</v>
      </c>
      <c r="U38" s="2753">
        <f>Noise!AB38 * VLOOKUP($B$14,'Annual Parameters'!$B$33:$D$143,3,0) / VLOOKUP(Noise!$B$14,'Annual Parameters'!$B$33:$D$143,3,0) * VLOOKUP($B$15,'Annual Parameters'!$B$33:$P$143,15,0) / VLOOKUP(Noise!$B$15,'Annual Parameters'!$B$33:$P$143,15,0)</f>
        <v>56.430730604922253</v>
      </c>
    </row>
    <row r="39" spans="1:21" ht="13.5" customHeight="1">
      <c r="A39" s="953"/>
      <c r="B39" s="2547">
        <v>55</v>
      </c>
      <c r="C39" s="2738">
        <v>56</v>
      </c>
      <c r="D39" s="2751">
        <f>Noise!K39 * VLOOKUP($B$14,'Annual Parameters'!$B$33:$D$143,3,0) / VLOOKUP(Noise!$B$14,'Annual Parameters'!$B$33:$D$143,3,0) * VLOOKUP($B$15,'Annual Parameters'!$B$33:$P$143,15,0) / VLOOKUP(Noise!$B$15,'Annual Parameters'!$B$33:$P$143,15,0)</f>
        <v>16.946863691084175</v>
      </c>
      <c r="E39" s="2752">
        <f>Noise!L39 * VLOOKUP($B$14,'Annual Parameters'!$B$33:$D$143,3,0) / VLOOKUP(Noise!$B$14,'Annual Parameters'!$B$33:$D$143,3,0) * VLOOKUP($B$15,'Annual Parameters'!$B$33:$P$143,15,0) / VLOOKUP(Noise!$B$15,'Annual Parameters'!$B$33:$P$143,15,0)</f>
        <v>0</v>
      </c>
      <c r="F39" s="2752">
        <f>Noise!M39 * VLOOKUP($B$14,'Annual Parameters'!$B$33:$D$143,3,0) / VLOOKUP(Noise!$B$14,'Annual Parameters'!$B$33:$D$143,3,0) * VLOOKUP($B$15,'Annual Parameters'!$B$33:$P$143,15,0) / VLOOKUP(Noise!$B$15,'Annual Parameters'!$B$33:$P$143,15,0)</f>
        <v>2.3533570530625423</v>
      </c>
      <c r="G39" s="2752">
        <f>Noise!N39 * VLOOKUP($B$14,'Annual Parameters'!$B$33:$D$143,3,0) / VLOOKUP(Noise!$B$14,'Annual Parameters'!$B$33:$D$143,3,0) * VLOOKUP($B$15,'Annual Parameters'!$B$33:$P$143,15,0) / VLOOKUP(Noise!$B$15,'Annual Parameters'!$B$33:$P$143,15,0)</f>
        <v>3.5558991341956121</v>
      </c>
      <c r="H39" s="2752">
        <f>Noise!O39 * VLOOKUP($B$14,'Annual Parameters'!$B$33:$D$143,3,0) / VLOOKUP(Noise!$B$14,'Annual Parameters'!$B$33:$D$143,3,0) * VLOOKUP($B$15,'Annual Parameters'!$B$33:$P$143,15,0) / VLOOKUP(Noise!$B$15,'Annual Parameters'!$B$33:$P$143,15,0)</f>
        <v>28.95813057915981</v>
      </c>
      <c r="I39" s="2751">
        <f>Noise!P39 * VLOOKUP($B$14,'Annual Parameters'!$B$33:$D$143,3,0) / VLOOKUP(Noise!$B$14,'Annual Parameters'!$B$33:$D$143,3,0) * VLOOKUP($B$15,'Annual Parameters'!$B$33:$P$143,15,0) / VLOOKUP(Noise!$B$15,'Annual Parameters'!$B$33:$P$143,15,0)</f>
        <v>8.6436412019675721</v>
      </c>
      <c r="J39" s="2752">
        <f>Noise!Q39 * VLOOKUP($B$14,'Annual Parameters'!$B$33:$D$143,3,0) / VLOOKUP(Noise!$B$14,'Annual Parameters'!$B$33:$D$143,3,0) * VLOOKUP($B$15,'Annual Parameters'!$B$33:$P$143,15,0) / VLOOKUP(Noise!$B$15,'Annual Parameters'!$B$33:$P$143,15,0)</f>
        <v>0</v>
      </c>
      <c r="K39" s="2752">
        <f>Noise!R39 * VLOOKUP($B$14,'Annual Parameters'!$B$33:$D$143,3,0) / VLOOKUP(Noise!$B$14,'Annual Parameters'!$B$33:$D$143,3,0) * VLOOKUP($B$15,'Annual Parameters'!$B$33:$P$143,15,0) / VLOOKUP(Noise!$B$15,'Annual Parameters'!$B$33:$P$143,15,0)</f>
        <v>2.5474039278844054</v>
      </c>
      <c r="L39" s="2752">
        <f>Noise!S39 * VLOOKUP($B$14,'Annual Parameters'!$B$33:$D$143,3,0) / VLOOKUP(Noise!$B$14,'Annual Parameters'!$B$33:$D$143,3,0) * VLOOKUP($B$15,'Annual Parameters'!$B$33:$P$143,15,0) / VLOOKUP(Noise!$B$15,'Annual Parameters'!$B$33:$P$143,15,0)</f>
        <v>3.8515149123110279</v>
      </c>
      <c r="M39" s="2751">
        <f>Noise!T39 * VLOOKUP($B$14,'Annual Parameters'!$B$33:$D$143,3,0) / VLOOKUP(Noise!$B$14,'Annual Parameters'!$B$33:$D$143,3,0) * VLOOKUP($B$15,'Annual Parameters'!$B$33:$P$143,15,0) / VLOOKUP(Noise!$B$15,'Annual Parameters'!$B$33:$P$143,15,0)</f>
        <v>31.915089566099191</v>
      </c>
      <c r="N39" s="2752">
        <f>Noise!U39 * VLOOKUP($B$14,'Annual Parameters'!$B$33:$D$143,3,0) / VLOOKUP(Noise!$B$14,'Annual Parameters'!$B$33:$D$143,3,0) * VLOOKUP($B$15,'Annual Parameters'!$B$33:$P$143,15,0) / VLOOKUP(Noise!$B$15,'Annual Parameters'!$B$33:$P$143,15,0)</f>
        <v>0</v>
      </c>
      <c r="O39" s="2752">
        <f>Noise!V39 * VLOOKUP($B$14,'Annual Parameters'!$B$33:$D$143,3,0) / VLOOKUP(Noise!$B$14,'Annual Parameters'!$B$33:$D$143,3,0) * VLOOKUP($B$15,'Annual Parameters'!$B$33:$P$143,15,0) / VLOOKUP(Noise!$B$15,'Annual Parameters'!$B$33:$P$143,15,0)</f>
        <v>4.5905266473347552</v>
      </c>
      <c r="P39" s="2753">
        <f>Noise!W39 * VLOOKUP($B$14,'Annual Parameters'!$B$33:$D$143,3,0) / VLOOKUP(Noise!$B$14,'Annual Parameters'!$B$33:$D$143,3,0) * VLOOKUP($B$15,'Annual Parameters'!$B$33:$P$143,15,0) / VLOOKUP(Noise!$B$15,'Annual Parameters'!$B$33:$P$143,15,0)</f>
        <v>6.9140950858591772</v>
      </c>
      <c r="Q39" s="2547">
        <v>55</v>
      </c>
      <c r="R39" s="2738">
        <v>56</v>
      </c>
      <c r="S39" s="2751">
        <f>Noise!Z39 * VLOOKUP($B$14,'Annual Parameters'!$B$33:$D$143,3,0) / VLOOKUP(Noise!$B$14,'Annual Parameters'!$B$33:$D$143,3,0) * VLOOKUP($B$15,'Annual Parameters'!$B$33:$P$143,15,0) / VLOOKUP(Noise!$B$15,'Annual Parameters'!$B$33:$P$143,15,0)</f>
        <v>51.30268702178833</v>
      </c>
      <c r="T39" s="2752">
        <f>Noise!AA39 * VLOOKUP($B$14,'Annual Parameters'!$B$33:$D$143,3,0) / VLOOKUP(Noise!$B$14,'Annual Parameters'!$B$33:$D$143,3,0) * VLOOKUP($B$15,'Annual Parameters'!$B$33:$P$143,15,0) / VLOOKUP(Noise!$B$15,'Annual Parameters'!$B$33:$P$143,15,0)</f>
        <v>25.031733438432749</v>
      </c>
      <c r="U39" s="2753">
        <f>Noise!AB39 * VLOOKUP($B$14,'Annual Parameters'!$B$33:$D$143,3,0) / VLOOKUP(Noise!$B$14,'Annual Parameters'!$B$33:$D$143,3,0) * VLOOKUP($B$15,'Annual Parameters'!$B$33:$P$143,15,0) / VLOOKUP(Noise!$B$15,'Annual Parameters'!$B$33:$P$143,15,0)</f>
        <v>58.967366315938563</v>
      </c>
    </row>
    <row r="40" spans="1:21" ht="13.5" customHeight="1">
      <c r="A40" s="953"/>
      <c r="B40" s="2547">
        <v>56</v>
      </c>
      <c r="C40" s="2738">
        <v>57</v>
      </c>
      <c r="D40" s="2751">
        <f>Noise!K40 * VLOOKUP($B$14,'Annual Parameters'!$B$33:$D$143,3,0) / VLOOKUP(Noise!$B$14,'Annual Parameters'!$B$33:$D$143,3,0) * VLOOKUP($B$15,'Annual Parameters'!$B$33:$P$143,15,0) / VLOOKUP(Noise!$B$15,'Annual Parameters'!$B$33:$P$143,15,0)</f>
        <v>18.259151690435889</v>
      </c>
      <c r="E40" s="2752">
        <f>Noise!L40 * VLOOKUP($B$14,'Annual Parameters'!$B$33:$D$143,3,0) / VLOOKUP(Noise!$B$14,'Annual Parameters'!$B$33:$D$143,3,0) * VLOOKUP($B$15,'Annual Parameters'!$B$33:$P$143,15,0) / VLOOKUP(Noise!$B$15,'Annual Parameters'!$B$33:$P$143,15,0)</f>
        <v>1.3773400836548408</v>
      </c>
      <c r="F40" s="2752">
        <f>Noise!M40 * VLOOKUP($B$14,'Annual Parameters'!$B$33:$D$143,3,0) / VLOOKUP(Noise!$B$14,'Annual Parameters'!$B$33:$D$143,3,0) * VLOOKUP($B$15,'Annual Parameters'!$B$33:$P$143,15,0) / VLOOKUP(Noise!$B$15,'Annual Parameters'!$B$33:$P$143,15,0)</f>
        <v>2.3592779418737302</v>
      </c>
      <c r="G40" s="2752">
        <f>Noise!N40 * VLOOKUP($B$14,'Annual Parameters'!$B$33:$D$143,3,0) / VLOOKUP(Noise!$B$14,'Annual Parameters'!$B$33:$D$143,3,0) * VLOOKUP($B$15,'Annual Parameters'!$B$33:$P$143,15,0) / VLOOKUP(Noise!$B$15,'Annual Parameters'!$B$33:$P$143,15,0)</f>
        <v>3.5634906230087822</v>
      </c>
      <c r="H40" s="2752">
        <f>Noise!O40 * VLOOKUP($B$14,'Annual Parameters'!$B$33:$D$143,3,0) / VLOOKUP(Noise!$B$14,'Annual Parameters'!$B$33:$D$143,3,0) * VLOOKUP($B$15,'Annual Parameters'!$B$33:$P$143,15,0) / VLOOKUP(Noise!$B$15,'Annual Parameters'!$B$33:$P$143,15,0)</f>
        <v>31.018351186394209</v>
      </c>
      <c r="I40" s="2751">
        <f>Noise!P40 * VLOOKUP($B$14,'Annual Parameters'!$B$33:$D$143,3,0) / VLOOKUP(Noise!$B$14,'Annual Parameters'!$B$33:$D$143,3,0) * VLOOKUP($B$15,'Annual Parameters'!$B$33:$P$143,15,0) / VLOOKUP(Noise!$B$15,'Annual Parameters'!$B$33:$P$143,15,0)</f>
        <v>9.7465569116920232</v>
      </c>
      <c r="J40" s="2752">
        <f>Noise!Q40 * VLOOKUP($B$14,'Annual Parameters'!$B$33:$D$143,3,0) / VLOOKUP(Noise!$B$14,'Annual Parameters'!$B$33:$D$143,3,0) * VLOOKUP($B$15,'Annual Parameters'!$B$33:$P$143,15,0) / VLOOKUP(Noise!$B$15,'Annual Parameters'!$B$33:$P$143,15,0)</f>
        <v>0</v>
      </c>
      <c r="K40" s="2752">
        <f>Noise!R40 * VLOOKUP($B$14,'Annual Parameters'!$B$33:$D$143,3,0) / VLOOKUP(Noise!$B$14,'Annual Parameters'!$B$33:$D$143,3,0) * VLOOKUP($B$15,'Annual Parameters'!$B$33:$P$143,15,0) / VLOOKUP(Noise!$B$15,'Annual Parameters'!$B$33:$P$143,15,0)</f>
        <v>2.5543674167708863</v>
      </c>
      <c r="L40" s="2752">
        <f>Noise!S40 * VLOOKUP($B$14,'Annual Parameters'!$B$33:$D$143,3,0) / VLOOKUP(Noise!$B$14,'Annual Parameters'!$B$33:$D$143,3,0) * VLOOKUP($B$15,'Annual Parameters'!$B$33:$P$143,15,0) / VLOOKUP(Noise!$B$15,'Annual Parameters'!$B$33:$P$143,15,0)</f>
        <v>3.8604520433779204</v>
      </c>
      <c r="M40" s="2751">
        <f>Noise!T40 * VLOOKUP($B$14,'Annual Parameters'!$B$33:$D$143,3,0) / VLOOKUP(Noise!$B$14,'Annual Parameters'!$B$33:$D$143,3,0) * VLOOKUP($B$15,'Annual Parameters'!$B$33:$P$143,15,0) / VLOOKUP(Noise!$B$15,'Annual Parameters'!$B$33:$P$143,15,0)</f>
        <v>33.649040234246364</v>
      </c>
      <c r="N40" s="2752">
        <f>Noise!U40 * VLOOKUP($B$14,'Annual Parameters'!$B$33:$D$143,3,0) / VLOOKUP(Noise!$B$14,'Annual Parameters'!$B$33:$D$143,3,0) * VLOOKUP($B$15,'Annual Parameters'!$B$33:$P$143,15,0) / VLOOKUP(Noise!$B$15,'Annual Parameters'!$B$33:$P$143,15,0)</f>
        <v>0</v>
      </c>
      <c r="O40" s="2752">
        <f>Noise!V40 * VLOOKUP($B$14,'Annual Parameters'!$B$33:$D$143,3,0) / VLOOKUP(Noise!$B$14,'Annual Parameters'!$B$33:$D$143,3,0) * VLOOKUP($B$15,'Annual Parameters'!$B$33:$P$143,15,0) / VLOOKUP(Noise!$B$15,'Annual Parameters'!$B$33:$P$143,15,0)</f>
        <v>4.6129618606136136</v>
      </c>
      <c r="P40" s="2753">
        <f>Noise!W40 * VLOOKUP($B$14,'Annual Parameters'!$B$33:$D$143,3,0) / VLOOKUP(Noise!$B$14,'Annual Parameters'!$B$33:$D$143,3,0) * VLOOKUP($B$15,'Annual Parameters'!$B$33:$P$143,15,0) / VLOOKUP(Noise!$B$15,'Annual Parameters'!$B$33:$P$143,15,0)</f>
        <v>6.9426249260583308</v>
      </c>
      <c r="Q40" s="2547">
        <v>56</v>
      </c>
      <c r="R40" s="2738">
        <v>57</v>
      </c>
      <c r="S40" s="2751">
        <f>Noise!Z40 * VLOOKUP($B$14,'Annual Parameters'!$B$33:$D$143,3,0) / VLOOKUP(Noise!$B$14,'Annual Parameters'!$B$33:$D$143,3,0) * VLOOKUP($B$15,'Annual Parameters'!$B$33:$P$143,15,0) / VLOOKUP(Noise!$B$15,'Annual Parameters'!$B$33:$P$143,15,0)</f>
        <v>53.84616925294268</v>
      </c>
      <c r="T40" s="2752">
        <f>Noise!AA40 * VLOOKUP($B$14,'Annual Parameters'!$B$33:$D$143,3,0) / VLOOKUP(Noise!$B$14,'Annual Parameters'!$B$33:$D$143,3,0) * VLOOKUP($B$15,'Annual Parameters'!$B$33:$P$143,15,0) / VLOOKUP(Noise!$B$15,'Annual Parameters'!$B$33:$P$143,15,0)</f>
        <v>26.330860634560576</v>
      </c>
      <c r="U40" s="2753">
        <f>Noise!AB40 * VLOOKUP($B$14,'Annual Parameters'!$B$33:$D$143,3,0) / VLOOKUP(Noise!$B$14,'Annual Parameters'!$B$33:$D$143,3,0) * VLOOKUP($B$15,'Annual Parameters'!$B$33:$P$143,15,0) / VLOOKUP(Noise!$B$15,'Annual Parameters'!$B$33:$P$143,15,0)</f>
        <v>61.504002026954844</v>
      </c>
    </row>
    <row r="41" spans="1:21" ht="13.5" customHeight="1">
      <c r="A41" s="953"/>
      <c r="B41" s="2547">
        <v>57</v>
      </c>
      <c r="C41" s="2738">
        <v>58</v>
      </c>
      <c r="D41" s="2751">
        <f>Noise!K41 * VLOOKUP($B$14,'Annual Parameters'!$B$33:$D$143,3,0) / VLOOKUP(Noise!$B$14,'Annual Parameters'!$B$33:$D$143,3,0) * VLOOKUP($B$15,'Annual Parameters'!$B$33:$P$143,15,0) / VLOOKUP(Noise!$B$15,'Annual Parameters'!$B$33:$P$143,15,0)</f>
        <v>19.68417390133931</v>
      </c>
      <c r="E41" s="2752">
        <f>Noise!L41 * VLOOKUP($B$14,'Annual Parameters'!$B$33:$D$143,3,0) / VLOOKUP(Noise!$B$14,'Annual Parameters'!$B$33:$D$143,3,0) * VLOOKUP($B$15,'Annual Parameters'!$B$33:$P$143,15,0) / VLOOKUP(Noise!$B$15,'Annual Parameters'!$B$33:$P$143,15,0)</f>
        <v>2.7231681902027316</v>
      </c>
      <c r="F41" s="2752">
        <f>Noise!M41 * VLOOKUP($B$14,'Annual Parameters'!$B$33:$D$143,3,0) / VLOOKUP(Noise!$B$14,'Annual Parameters'!$B$33:$D$143,3,0) * VLOOKUP($B$15,'Annual Parameters'!$B$33:$P$143,15,0) / VLOOKUP(Noise!$B$15,'Annual Parameters'!$B$33:$P$143,15,0)</f>
        <v>2.3652156805655986</v>
      </c>
      <c r="G41" s="2752">
        <f>Noise!N41 * VLOOKUP($B$14,'Annual Parameters'!$B$33:$D$143,3,0) / VLOOKUP(Noise!$B$14,'Annual Parameters'!$B$33:$D$143,3,0) * VLOOKUP($B$15,'Annual Parameters'!$B$33:$P$143,15,0) / VLOOKUP(Noise!$B$15,'Annual Parameters'!$B$33:$P$143,15,0)</f>
        <v>3.5710990096914283</v>
      </c>
      <c r="H41" s="2752">
        <f>Noise!O41 * VLOOKUP($B$14,'Annual Parameters'!$B$33:$D$143,3,0) / VLOOKUP(Noise!$B$14,'Annual Parameters'!$B$33:$D$143,3,0) * VLOOKUP($B$15,'Annual Parameters'!$B$33:$P$143,15,0) / VLOOKUP(Noise!$B$15,'Annual Parameters'!$B$33:$P$143,15,0)</f>
        <v>33.078571793628619</v>
      </c>
      <c r="I41" s="2751">
        <f>Noise!P41 * VLOOKUP($B$14,'Annual Parameters'!$B$33:$D$143,3,0) / VLOOKUP(Noise!$B$14,'Annual Parameters'!$B$33:$D$143,3,0) * VLOOKUP($B$15,'Annual Parameters'!$B$33:$P$143,15,0) / VLOOKUP(Noise!$B$15,'Annual Parameters'!$B$33:$P$143,15,0)</f>
        <v>10.95567681986671</v>
      </c>
      <c r="J41" s="2752">
        <f>Noise!Q41 * VLOOKUP($B$14,'Annual Parameters'!$B$33:$D$143,3,0) / VLOOKUP(Noise!$B$14,'Annual Parameters'!$B$33:$D$143,3,0) * VLOOKUP($B$15,'Annual Parameters'!$B$33:$P$143,15,0) / VLOOKUP(Noise!$B$15,'Annual Parameters'!$B$33:$P$143,15,0)</f>
        <v>0</v>
      </c>
      <c r="K41" s="2752">
        <f>Noise!R41 * VLOOKUP($B$14,'Annual Parameters'!$B$33:$D$143,3,0) / VLOOKUP(Noise!$B$14,'Annual Parameters'!$B$33:$D$143,3,0) * VLOOKUP($B$15,'Annual Parameters'!$B$33:$P$143,15,0) / VLOOKUP(Noise!$B$15,'Annual Parameters'!$B$33:$P$143,15,0)</f>
        <v>2.5613524355867154</v>
      </c>
      <c r="L41" s="2752">
        <f>Noise!S41 * VLOOKUP($B$14,'Annual Parameters'!$B$33:$D$143,3,0) / VLOOKUP(Noise!$B$14,'Annual Parameters'!$B$33:$D$143,3,0) * VLOOKUP($B$15,'Annual Parameters'!$B$33:$P$143,15,0) / VLOOKUP(Noise!$B$15,'Annual Parameters'!$B$33:$P$143,15,0)</f>
        <v>3.8694107964777533</v>
      </c>
      <c r="M41" s="2751">
        <f>Noise!T41 * VLOOKUP($B$14,'Annual Parameters'!$B$33:$D$143,3,0) / VLOOKUP(Noise!$B$14,'Annual Parameters'!$B$33:$D$143,3,0) * VLOOKUP($B$15,'Annual Parameters'!$B$33:$P$143,15,0) / VLOOKUP(Noise!$B$15,'Annual Parameters'!$B$33:$P$143,15,0)</f>
        <v>35.369494944090548</v>
      </c>
      <c r="N41" s="2752">
        <f>Noise!U41 * VLOOKUP($B$14,'Annual Parameters'!$B$33:$D$143,3,0) / VLOOKUP(Noise!$B$14,'Annual Parameters'!$B$33:$D$143,3,0) * VLOOKUP($B$15,'Annual Parameters'!$B$33:$P$143,15,0) / VLOOKUP(Noise!$B$15,'Annual Parameters'!$B$33:$P$143,15,0)</f>
        <v>0</v>
      </c>
      <c r="O41" s="2752">
        <f>Noise!V41 * VLOOKUP($B$14,'Annual Parameters'!$B$33:$D$143,3,0) / VLOOKUP(Noise!$B$14,'Annual Parameters'!$B$33:$D$143,3,0) * VLOOKUP($B$15,'Annual Parameters'!$B$33:$P$143,15,0) / VLOOKUP(Noise!$B$15,'Annual Parameters'!$B$33:$P$143,15,0)</f>
        <v>4.6355216178137777</v>
      </c>
      <c r="P41" s="2753">
        <f>Noise!W41 * VLOOKUP($B$14,'Annual Parameters'!$B$33:$D$143,3,0) / VLOOKUP(Noise!$B$14,'Annual Parameters'!$B$33:$D$143,3,0) * VLOOKUP($B$15,'Annual Parameters'!$B$33:$P$143,15,0) / VLOOKUP(Noise!$B$15,'Annual Parameters'!$B$33:$P$143,15,0)</f>
        <v>6.9712776105761609</v>
      </c>
      <c r="Q41" s="2547">
        <v>57</v>
      </c>
      <c r="R41" s="2738">
        <v>58</v>
      </c>
      <c r="S41" s="2751">
        <f>Noise!Z41 * VLOOKUP($B$14,'Annual Parameters'!$B$33:$D$143,3,0) / VLOOKUP(Noise!$B$14,'Annual Parameters'!$B$33:$D$143,3,0) * VLOOKUP($B$15,'Annual Parameters'!$B$33:$P$143,15,0) / VLOOKUP(Noise!$B$15,'Annual Parameters'!$B$33:$P$143,15,0)</f>
        <v>56.389651484095204</v>
      </c>
      <c r="T41" s="2752">
        <f>Noise!AA41 * VLOOKUP($B$14,'Annual Parameters'!$B$33:$D$143,3,0) / VLOOKUP(Noise!$B$14,'Annual Parameters'!$B$33:$D$143,3,0) * VLOOKUP($B$15,'Annual Parameters'!$B$33:$P$143,15,0) / VLOOKUP(Noise!$B$15,'Annual Parameters'!$B$33:$P$143,15,0)</f>
        <v>27.629987830688108</v>
      </c>
      <c r="U41" s="2753">
        <f>Noise!AB41 * VLOOKUP($B$14,'Annual Parameters'!$B$33:$D$143,3,0) / VLOOKUP(Noise!$B$14,'Annual Parameters'!$B$33:$D$143,3,0) * VLOOKUP($B$15,'Annual Parameters'!$B$33:$P$143,15,0) / VLOOKUP(Noise!$B$15,'Annual Parameters'!$B$33:$P$143,15,0)</f>
        <v>64.040637737971167</v>
      </c>
    </row>
    <row r="42" spans="1:21" ht="13.5" customHeight="1">
      <c r="A42" s="953"/>
      <c r="B42" s="2547">
        <v>58</v>
      </c>
      <c r="C42" s="2738">
        <v>59</v>
      </c>
      <c r="D42" s="2751">
        <f>Noise!K42 * VLOOKUP($B$14,'Annual Parameters'!$B$33:$D$143,3,0) / VLOOKUP(Noise!$B$14,'Annual Parameters'!$B$33:$D$143,3,0) * VLOOKUP($B$15,'Annual Parameters'!$B$33:$P$143,15,0) / VLOOKUP(Noise!$B$15,'Annual Parameters'!$B$33:$P$143,15,0)</f>
        <v>21.221930323794489</v>
      </c>
      <c r="E42" s="2752">
        <f>Noise!L42 * VLOOKUP($B$14,'Annual Parameters'!$B$33:$D$143,3,0) / VLOOKUP(Noise!$B$14,'Annual Parameters'!$B$33:$D$143,3,0) * VLOOKUP($B$15,'Annual Parameters'!$B$33:$P$143,15,0) / VLOOKUP(Noise!$B$15,'Annual Parameters'!$B$33:$P$143,15,0)</f>
        <v>3.8559758148962815</v>
      </c>
      <c r="F42" s="2752">
        <f>Noise!M42 * VLOOKUP($B$14,'Annual Parameters'!$B$33:$D$143,3,0) / VLOOKUP(Noise!$B$14,'Annual Parameters'!$B$33:$D$143,3,0) * VLOOKUP($B$15,'Annual Parameters'!$B$33:$P$143,15,0) / VLOOKUP(Noise!$B$15,'Annual Parameters'!$B$33:$P$143,15,0)</f>
        <v>2.3711703235591246</v>
      </c>
      <c r="G42" s="2752">
        <f>Noise!N42 * VLOOKUP($B$14,'Annual Parameters'!$B$33:$D$143,3,0) / VLOOKUP(Noise!$B$14,'Annual Parameters'!$B$33:$D$143,3,0) * VLOOKUP($B$15,'Annual Parameters'!$B$33:$P$143,15,0) / VLOOKUP(Noise!$B$15,'Annual Parameters'!$B$33:$P$143,15,0)</f>
        <v>3.5787243333705097</v>
      </c>
      <c r="H42" s="2752">
        <f>Noise!O42 * VLOOKUP($B$14,'Annual Parameters'!$B$33:$D$143,3,0) / VLOOKUP(Noise!$B$14,'Annual Parameters'!$B$33:$D$143,3,0) * VLOOKUP($B$15,'Annual Parameters'!$B$33:$P$143,15,0) / VLOOKUP(Noise!$B$15,'Annual Parameters'!$B$33:$P$143,15,0)</f>
        <v>35.138792400863323</v>
      </c>
      <c r="I42" s="2751">
        <f>Noise!P42 * VLOOKUP($B$14,'Annual Parameters'!$B$33:$D$143,3,0) / VLOOKUP(Noise!$B$14,'Annual Parameters'!$B$33:$D$143,3,0) * VLOOKUP($B$15,'Annual Parameters'!$B$33:$P$143,15,0) / VLOOKUP(Noise!$B$15,'Annual Parameters'!$B$33:$P$143,15,0)</f>
        <v>12.271000926491661</v>
      </c>
      <c r="J42" s="2752">
        <f>Noise!Q42 * VLOOKUP($B$14,'Annual Parameters'!$B$33:$D$143,3,0) / VLOOKUP(Noise!$B$14,'Annual Parameters'!$B$33:$D$143,3,0) * VLOOKUP($B$15,'Annual Parameters'!$B$33:$P$143,15,0) / VLOOKUP(Noise!$B$15,'Annual Parameters'!$B$33:$P$143,15,0)</f>
        <v>1.3773400836548408</v>
      </c>
      <c r="K42" s="2752">
        <f>Noise!R42 * VLOOKUP($B$14,'Annual Parameters'!$B$33:$D$143,3,0) / VLOOKUP(Noise!$B$14,'Annual Parameters'!$B$33:$D$143,3,0) * VLOOKUP($B$15,'Annual Parameters'!$B$33:$P$143,15,0) / VLOOKUP(Noise!$B$15,'Annual Parameters'!$B$33:$P$143,15,0)</f>
        <v>2.5683590598816117</v>
      </c>
      <c r="L42" s="2752">
        <f>Noise!S42 * VLOOKUP($B$14,'Annual Parameters'!$B$33:$D$143,3,0) / VLOOKUP(Noise!$B$14,'Annual Parameters'!$B$33:$D$143,3,0) * VLOOKUP($B$15,'Annual Parameters'!$B$33:$P$143,15,0) / VLOOKUP(Noise!$B$15,'Annual Parameters'!$B$33:$P$143,15,0)</f>
        <v>3.8783912260286635</v>
      </c>
      <c r="M42" s="2751">
        <f>Noise!T42 * VLOOKUP($B$14,'Annual Parameters'!$B$33:$D$143,3,0) / VLOOKUP(Noise!$B$14,'Annual Parameters'!$B$33:$D$143,3,0) * VLOOKUP($B$15,'Annual Parameters'!$B$33:$P$143,15,0) / VLOOKUP(Noise!$B$15,'Annual Parameters'!$B$33:$P$143,15,0)</f>
        <v>37.076453695632026</v>
      </c>
      <c r="N42" s="2752">
        <f>Noise!U42 * VLOOKUP($B$14,'Annual Parameters'!$B$33:$D$143,3,0) / VLOOKUP(Noise!$B$14,'Annual Parameters'!$B$33:$D$143,3,0) * VLOOKUP($B$15,'Annual Parameters'!$B$33:$P$143,15,0) / VLOOKUP(Noise!$B$15,'Annual Parameters'!$B$33:$P$143,15,0)</f>
        <v>1.3773400836548408</v>
      </c>
      <c r="O42" s="2752">
        <f>Noise!V42 * VLOOKUP($B$14,'Annual Parameters'!$B$33:$D$143,3,0) / VLOOKUP(Noise!$B$14,'Annual Parameters'!$B$33:$D$143,3,0) * VLOOKUP($B$15,'Annual Parameters'!$B$33:$P$143,15,0) / VLOOKUP(Noise!$B$15,'Annual Parameters'!$B$33:$P$143,15,0)</f>
        <v>4.6582067065376842</v>
      </c>
      <c r="P42" s="2753">
        <f>Noise!W42 * VLOOKUP($B$14,'Annual Parameters'!$B$33:$D$143,3,0) / VLOOKUP(Noise!$B$14,'Annual Parameters'!$B$33:$D$143,3,0) * VLOOKUP($B$15,'Annual Parameters'!$B$33:$P$143,15,0) / VLOOKUP(Noise!$B$15,'Annual Parameters'!$B$33:$P$143,15,0)</f>
        <v>7.0000536900540711</v>
      </c>
      <c r="Q42" s="2547">
        <v>58</v>
      </c>
      <c r="R42" s="2738">
        <v>59</v>
      </c>
      <c r="S42" s="2751">
        <f>Noise!Z42 * VLOOKUP($B$14,'Annual Parameters'!$B$33:$D$143,3,0) / VLOOKUP(Noise!$B$14,'Annual Parameters'!$B$33:$D$143,3,0) * VLOOKUP($B$15,'Annual Parameters'!$B$33:$P$143,15,0) / VLOOKUP(Noise!$B$15,'Annual Parameters'!$B$33:$P$143,15,0)</f>
        <v>58.933133715250158</v>
      </c>
      <c r="T42" s="2752">
        <f>Noise!AA42 * VLOOKUP($B$14,'Annual Parameters'!$B$33:$D$143,3,0) / VLOOKUP(Noise!$B$14,'Annual Parameters'!$B$33:$D$143,3,0) * VLOOKUP($B$15,'Annual Parameters'!$B$33:$P$143,15,0) / VLOOKUP(Noise!$B$15,'Annual Parameters'!$B$33:$P$143,15,0)</f>
        <v>28.929115026815943</v>
      </c>
      <c r="U42" s="2753">
        <f>Noise!AB42 * VLOOKUP($B$14,'Annual Parameters'!$B$33:$D$143,3,0) / VLOOKUP(Noise!$B$14,'Annual Parameters'!$B$33:$D$143,3,0) * VLOOKUP($B$15,'Annual Parameters'!$B$33:$P$143,15,0) / VLOOKUP(Noise!$B$15,'Annual Parameters'!$B$33:$P$143,15,0)</f>
        <v>66.577273448987441</v>
      </c>
    </row>
    <row r="43" spans="1:21" ht="13.5" customHeight="1">
      <c r="A43" s="953"/>
      <c r="B43" s="2547">
        <v>59</v>
      </c>
      <c r="C43" s="2738">
        <v>60</v>
      </c>
      <c r="D43" s="2751">
        <f>Noise!K43 * VLOOKUP($B$14,'Annual Parameters'!$B$33:$D$143,3,0) / VLOOKUP(Noise!$B$14,'Annual Parameters'!$B$33:$D$143,3,0) * VLOOKUP($B$15,'Annual Parameters'!$B$33:$P$143,15,0) / VLOOKUP(Noise!$B$15,'Annual Parameters'!$B$33:$P$143,15,0)</f>
        <v>22.872420957801378</v>
      </c>
      <c r="E43" s="2752">
        <f>Noise!L43 * VLOOKUP($B$14,'Annual Parameters'!$B$33:$D$143,3,0) / VLOOKUP(Noise!$B$14,'Annual Parameters'!$B$33:$D$143,3,0) * VLOOKUP($B$15,'Annual Parameters'!$B$33:$P$143,15,0) / VLOOKUP(Noise!$B$15,'Annual Parameters'!$B$33:$P$143,15,0)</f>
        <v>5.0238777615394596</v>
      </c>
      <c r="F43" s="2752">
        <f>Noise!M43 * VLOOKUP($B$14,'Annual Parameters'!$B$33:$D$143,3,0) / VLOOKUP(Noise!$B$14,'Annual Parameters'!$B$33:$D$143,3,0) * VLOOKUP($B$15,'Annual Parameters'!$B$33:$P$143,15,0) / VLOOKUP(Noise!$B$15,'Annual Parameters'!$B$33:$P$143,15,0)</f>
        <v>2.3771419254720292</v>
      </c>
      <c r="G43" s="2752">
        <f>Noise!N43 * VLOOKUP($B$14,'Annual Parameters'!$B$33:$D$143,3,0) / VLOOKUP(Noise!$B$14,'Annual Parameters'!$B$33:$D$143,3,0) * VLOOKUP($B$15,'Annual Parameters'!$B$33:$P$143,15,0) / VLOOKUP(Noise!$B$15,'Annual Parameters'!$B$33:$P$143,15,0)</f>
        <v>3.5863666332665973</v>
      </c>
      <c r="H43" s="2752">
        <f>Noise!O43 * VLOOKUP($B$14,'Annual Parameters'!$B$33:$D$143,3,0) / VLOOKUP(Noise!$B$14,'Annual Parameters'!$B$33:$D$143,3,0) * VLOOKUP($B$15,'Annual Parameters'!$B$33:$P$143,15,0) / VLOOKUP(Noise!$B$15,'Annual Parameters'!$B$33:$P$143,15,0)</f>
        <v>37.199013008098035</v>
      </c>
      <c r="I43" s="2751">
        <f>Noise!P43 * VLOOKUP($B$14,'Annual Parameters'!$B$33:$D$143,3,0) / VLOOKUP(Noise!$B$14,'Annual Parameters'!$B$33:$D$143,3,0) * VLOOKUP($B$15,'Annual Parameters'!$B$33:$P$143,15,0) / VLOOKUP(Noise!$B$15,'Annual Parameters'!$B$33:$P$143,15,0)</f>
        <v>13.692529231566819</v>
      </c>
      <c r="J43" s="2752">
        <f>Noise!Q43 * VLOOKUP($B$14,'Annual Parameters'!$B$33:$D$143,3,0) / VLOOKUP(Noise!$B$14,'Annual Parameters'!$B$33:$D$143,3,0) * VLOOKUP($B$15,'Annual Parameters'!$B$33:$P$143,15,0) / VLOOKUP(Noise!$B$15,'Annual Parameters'!$B$33:$P$143,15,0)</f>
        <v>2.7231681902027316</v>
      </c>
      <c r="K43" s="2752">
        <f>Noise!R43 * VLOOKUP($B$14,'Annual Parameters'!$B$33:$D$143,3,0) / VLOOKUP(Noise!$B$14,'Annual Parameters'!$B$33:$D$143,3,0) * VLOOKUP($B$15,'Annual Parameters'!$B$33:$P$143,15,0) / VLOOKUP(Noise!$B$15,'Annual Parameters'!$B$33:$P$143,15,0)</f>
        <v>2.5753873655013733</v>
      </c>
      <c r="L43" s="2752">
        <f>Noise!S43 * VLOOKUP($B$14,'Annual Parameters'!$B$33:$D$143,3,0) / VLOOKUP(Noise!$B$14,'Annual Parameters'!$B$33:$D$143,3,0) * VLOOKUP($B$15,'Annual Parameters'!$B$33:$P$143,15,0) / VLOOKUP(Noise!$B$15,'Annual Parameters'!$B$33:$P$143,15,0)</f>
        <v>3.8873933865896557</v>
      </c>
      <c r="M43" s="2751">
        <f>Noise!T43 * VLOOKUP($B$14,'Annual Parameters'!$B$33:$D$143,3,0) / VLOOKUP(Noise!$B$14,'Annual Parameters'!$B$33:$D$143,3,0) * VLOOKUP($B$15,'Annual Parameters'!$B$33:$P$143,15,0) / VLOOKUP(Noise!$B$15,'Annual Parameters'!$B$33:$P$143,15,0)</f>
        <v>38.769916488870543</v>
      </c>
      <c r="N43" s="2752">
        <f>Noise!U43 * VLOOKUP($B$14,'Annual Parameters'!$B$33:$D$143,3,0) / VLOOKUP(Noise!$B$14,'Annual Parameters'!$B$33:$D$143,3,0) * VLOOKUP($B$15,'Annual Parameters'!$B$33:$P$143,15,0) / VLOOKUP(Noise!$B$15,'Annual Parameters'!$B$33:$P$143,15,0)</f>
        <v>2.7231681902027316</v>
      </c>
      <c r="O43" s="2752">
        <f>Noise!V43 * VLOOKUP($B$14,'Annual Parameters'!$B$33:$D$143,3,0) / VLOOKUP(Noise!$B$14,'Annual Parameters'!$B$33:$D$143,3,0) * VLOOKUP($B$15,'Annual Parameters'!$B$33:$P$143,15,0) / VLOOKUP(Noise!$B$15,'Annual Parameters'!$B$33:$P$143,15,0)</f>
        <v>4.6810179199774682</v>
      </c>
      <c r="P43" s="2753">
        <f>Noise!W43 * VLOOKUP($B$14,'Annual Parameters'!$B$33:$D$143,3,0) / VLOOKUP(Noise!$B$14,'Annual Parameters'!$B$33:$D$143,3,0) * VLOOKUP($B$15,'Annual Parameters'!$B$33:$P$143,15,0) / VLOOKUP(Noise!$B$15,'Annual Parameters'!$B$33:$P$143,15,0)</f>
        <v>7.0289537176935886</v>
      </c>
      <c r="Q43" s="2547">
        <v>59</v>
      </c>
      <c r="R43" s="2738">
        <v>60</v>
      </c>
      <c r="S43" s="2751">
        <f>Noise!Z43 * VLOOKUP($B$14,'Annual Parameters'!$B$33:$D$143,3,0) / VLOOKUP(Noise!$B$14,'Annual Parameters'!$B$33:$D$143,3,0) * VLOOKUP($B$15,'Annual Parameters'!$B$33:$P$143,15,0) / VLOOKUP(Noise!$B$15,'Annual Parameters'!$B$33:$P$143,15,0)</f>
        <v>61.476615946404493</v>
      </c>
      <c r="T43" s="2752">
        <f>Noise!AA43 * VLOOKUP($B$14,'Annual Parameters'!$B$33:$D$143,3,0) / VLOOKUP(Noise!$B$14,'Annual Parameters'!$B$33:$D$143,3,0) * VLOOKUP($B$15,'Annual Parameters'!$B$33:$P$143,15,0) / VLOOKUP(Noise!$B$15,'Annual Parameters'!$B$33:$P$143,15,0)</f>
        <v>30.228242222944075</v>
      </c>
      <c r="U43" s="2753">
        <f>Noise!AB43 * VLOOKUP($B$14,'Annual Parameters'!$B$33:$D$143,3,0) / VLOOKUP(Noise!$B$14,'Annual Parameters'!$B$33:$D$143,3,0) * VLOOKUP($B$15,'Annual Parameters'!$B$33:$P$143,15,0) / VLOOKUP(Noise!$B$15,'Annual Parameters'!$B$33:$P$143,15,0)</f>
        <v>69.113909160003146</v>
      </c>
    </row>
    <row r="44" spans="1:21" ht="13.5" customHeight="1">
      <c r="A44" s="953"/>
      <c r="B44" s="2547">
        <v>60</v>
      </c>
      <c r="C44" s="2738">
        <v>61</v>
      </c>
      <c r="D44" s="2751">
        <f>Noise!K44 * VLOOKUP($B$14,'Annual Parameters'!$B$33:$D$143,3,0) / VLOOKUP(Noise!$B$14,'Annual Parameters'!$B$33:$D$143,3,0) * VLOOKUP($B$15,'Annual Parameters'!$B$33:$P$143,15,0) / VLOOKUP(Noise!$B$15,'Annual Parameters'!$B$33:$P$143,15,0)</f>
        <v>24.635645803360365</v>
      </c>
      <c r="E44" s="2752">
        <f>Noise!L44 * VLOOKUP($B$14,'Annual Parameters'!$B$33:$D$143,3,0) / VLOOKUP(Noise!$B$14,'Annual Parameters'!$B$33:$D$143,3,0) * VLOOKUP($B$15,'Annual Parameters'!$B$33:$P$143,15,0) / VLOOKUP(Noise!$B$15,'Annual Parameters'!$B$33:$P$143,15,0)</f>
        <v>6.2268740301330885</v>
      </c>
      <c r="F44" s="2752">
        <f>Noise!M44 * VLOOKUP($B$14,'Annual Parameters'!$B$33:$D$143,3,0) / VLOOKUP(Noise!$B$14,'Annual Parameters'!$B$33:$D$143,3,0) * VLOOKUP($B$15,'Annual Parameters'!$B$33:$P$143,15,0) / VLOOKUP(Noise!$B$15,'Annual Parameters'!$B$33:$P$143,15,0)</f>
        <v>2.3831305411195629</v>
      </c>
      <c r="G44" s="2752">
        <f>Noise!N44 * VLOOKUP($B$14,'Annual Parameters'!$B$33:$D$143,3,0) / VLOOKUP(Noise!$B$14,'Annual Parameters'!$B$33:$D$143,3,0) * VLOOKUP($B$15,'Annual Parameters'!$B$33:$P$143,15,0) / VLOOKUP(Noise!$B$15,'Annual Parameters'!$B$33:$P$143,15,0)</f>
        <v>3.5940259486944779</v>
      </c>
      <c r="H44" s="2752">
        <f>Noise!O44 * VLOOKUP($B$14,'Annual Parameters'!$B$33:$D$143,3,0) / VLOOKUP(Noise!$B$14,'Annual Parameters'!$B$33:$D$143,3,0) * VLOOKUP($B$15,'Annual Parameters'!$B$33:$P$143,15,0) / VLOOKUP(Noise!$B$15,'Annual Parameters'!$B$33:$P$143,15,0)</f>
        <v>39.259233615333663</v>
      </c>
      <c r="I44" s="2751">
        <f>Noise!P44 * VLOOKUP($B$14,'Annual Parameters'!$B$33:$D$143,3,0) / VLOOKUP(Noise!$B$14,'Annual Parameters'!$B$33:$D$143,3,0) * VLOOKUP($B$15,'Annual Parameters'!$B$33:$P$143,15,0) / VLOOKUP(Noise!$B$15,'Annual Parameters'!$B$33:$P$143,15,0)</f>
        <v>15.220261735092222</v>
      </c>
      <c r="J44" s="2752">
        <f>Noise!Q44 * VLOOKUP($B$14,'Annual Parameters'!$B$33:$D$143,3,0) / VLOOKUP(Noise!$B$14,'Annual Parameters'!$B$33:$D$143,3,0) * VLOOKUP($B$15,'Annual Parameters'!$B$33:$P$143,15,0) / VLOOKUP(Noise!$B$15,'Annual Parameters'!$B$33:$P$143,15,0)</f>
        <v>3.8559758148962815</v>
      </c>
      <c r="K44" s="2752">
        <f>Noise!R44 * VLOOKUP($B$14,'Annual Parameters'!$B$33:$D$143,3,0) / VLOOKUP(Noise!$B$14,'Annual Parameters'!$B$33:$D$143,3,0) * VLOOKUP($B$15,'Annual Parameters'!$B$33:$P$143,15,0) / VLOOKUP(Noise!$B$15,'Annual Parameters'!$B$33:$P$143,15,0)</f>
        <v>2.5824374285904308</v>
      </c>
      <c r="L44" s="2752">
        <f>Noise!S44 * VLOOKUP($B$14,'Annual Parameters'!$B$33:$D$143,3,0) / VLOOKUP(Noise!$B$14,'Annual Parameters'!$B$33:$D$143,3,0) * VLOOKUP($B$15,'Annual Parameters'!$B$33:$P$143,15,0) / VLOOKUP(Noise!$B$15,'Annual Parameters'!$B$33:$P$143,15,0)</f>
        <v>3.8964173328627352</v>
      </c>
      <c r="M44" s="2751">
        <f>Noise!T44 * VLOOKUP($B$14,'Annual Parameters'!$B$33:$D$143,3,0) / VLOOKUP(Noise!$B$14,'Annual Parameters'!$B$33:$D$143,3,0) * VLOOKUP($B$15,'Annual Parameters'!$B$33:$P$143,15,0) / VLOOKUP(Noise!$B$15,'Annual Parameters'!$B$33:$P$143,15,0)</f>
        <v>40.449883323806247</v>
      </c>
      <c r="N44" s="2752">
        <f>Noise!U44 * VLOOKUP($B$14,'Annual Parameters'!$B$33:$D$143,3,0) / VLOOKUP(Noise!$B$14,'Annual Parameters'!$B$33:$D$143,3,0) * VLOOKUP($B$15,'Annual Parameters'!$B$33:$P$143,15,0) / VLOOKUP(Noise!$B$15,'Annual Parameters'!$B$33:$P$143,15,0)</f>
        <v>3.8559758148962815</v>
      </c>
      <c r="O44" s="2752">
        <f>Noise!V44 * VLOOKUP($B$14,'Annual Parameters'!$B$33:$D$143,3,0) / VLOOKUP(Noise!$B$14,'Annual Parameters'!$B$33:$D$143,3,0) * VLOOKUP($B$15,'Annual Parameters'!$B$33:$P$143,15,0) / VLOOKUP(Noise!$B$15,'Annual Parameters'!$B$33:$P$143,15,0)</f>
        <v>4.7039560569579741</v>
      </c>
      <c r="P44" s="2753">
        <f>Noise!W44 * VLOOKUP($B$14,'Annual Parameters'!$B$33:$D$143,3,0) / VLOOKUP(Noise!$B$14,'Annual Parameters'!$B$33:$D$143,3,0) * VLOOKUP($B$15,'Annual Parameters'!$B$33:$P$143,15,0) / VLOOKUP(Noise!$B$15,'Annual Parameters'!$B$33:$P$143,15,0)</f>
        <v>7.057978249268035</v>
      </c>
      <c r="Q44" s="2547">
        <v>60</v>
      </c>
      <c r="R44" s="2738">
        <v>61</v>
      </c>
      <c r="S44" s="2751">
        <f>Noise!Z44 * VLOOKUP($B$14,'Annual Parameters'!$B$33:$D$143,3,0) / VLOOKUP(Noise!$B$14,'Annual Parameters'!$B$33:$D$143,3,0) * VLOOKUP($B$15,'Annual Parameters'!$B$33:$P$143,15,0) / VLOOKUP(Noise!$B$15,'Annual Parameters'!$B$33:$P$143,15,0)</f>
        <v>64.020098177558225</v>
      </c>
      <c r="T44" s="2752">
        <f>Noise!AA44 * VLOOKUP($B$14,'Annual Parameters'!$B$33:$D$143,3,0) / VLOOKUP(Noise!$B$14,'Annual Parameters'!$B$33:$D$143,3,0) * VLOOKUP($B$15,'Annual Parameters'!$B$33:$P$143,15,0) / VLOOKUP(Noise!$B$15,'Annual Parameters'!$B$33:$P$143,15,0)</f>
        <v>31.52736941907099</v>
      </c>
      <c r="U44" s="2753">
        <f>Noise!AB44 * VLOOKUP($B$14,'Annual Parameters'!$B$33:$D$143,3,0) / VLOOKUP(Noise!$B$14,'Annual Parameters'!$B$33:$D$143,3,0) * VLOOKUP($B$15,'Annual Parameters'!$B$33:$P$143,15,0) / VLOOKUP(Noise!$B$15,'Annual Parameters'!$B$33:$P$143,15,0)</f>
        <v>71.650544871020671</v>
      </c>
    </row>
    <row r="45" spans="1:21" ht="13.5" customHeight="1">
      <c r="A45" s="953"/>
      <c r="B45" s="2547">
        <v>61</v>
      </c>
      <c r="C45" s="2738">
        <v>62</v>
      </c>
      <c r="D45" s="2751">
        <f>Noise!K45 * VLOOKUP($B$14,'Annual Parameters'!$B$33:$D$143,3,0) / VLOOKUP(Noise!$B$14,'Annual Parameters'!$B$33:$D$143,3,0) * VLOOKUP($B$15,'Annual Parameters'!$B$33:$P$143,15,0) / VLOOKUP(Noise!$B$15,'Annual Parameters'!$B$33:$P$143,15,0)</f>
        <v>26.511604860471152</v>
      </c>
      <c r="E45" s="2752">
        <f>Noise!L45 * VLOOKUP($B$14,'Annual Parameters'!$B$33:$D$143,3,0) / VLOOKUP(Noise!$B$14,'Annual Parameters'!$B$33:$D$143,3,0) * VLOOKUP($B$15,'Annual Parameters'!$B$33:$P$143,15,0) / VLOOKUP(Noise!$B$15,'Annual Parameters'!$B$33:$P$143,15,0)</f>
        <v>7.4649646206757279</v>
      </c>
      <c r="F45" s="2752">
        <f>Noise!M45 * VLOOKUP($B$14,'Annual Parameters'!$B$33:$D$143,3,0) / VLOOKUP(Noise!$B$14,'Annual Parameters'!$B$33:$D$143,3,0) * VLOOKUP($B$15,'Annual Parameters'!$B$33:$P$143,15,0) / VLOOKUP(Noise!$B$15,'Annual Parameters'!$B$33:$P$143,15,0)</f>
        <v>2.3891362255154331</v>
      </c>
      <c r="G45" s="2752">
        <f>Noise!N45 * VLOOKUP($B$14,'Annual Parameters'!$B$33:$D$143,3,0) / VLOOKUP(Noise!$B$14,'Annual Parameters'!$B$33:$D$143,3,0) * VLOOKUP($B$15,'Annual Parameters'!$B$33:$P$143,15,0) / VLOOKUP(Noise!$B$15,'Annual Parameters'!$B$33:$P$143,15,0)</f>
        <v>3.6017023190633459</v>
      </c>
      <c r="H45" s="2752">
        <f>Noise!O45 * VLOOKUP($B$14,'Annual Parameters'!$B$33:$D$143,3,0) / VLOOKUP(Noise!$B$14,'Annual Parameters'!$B$33:$D$143,3,0) * VLOOKUP($B$15,'Annual Parameters'!$B$33:$P$143,15,0) / VLOOKUP(Noise!$B$15,'Annual Parameters'!$B$33:$P$143,15,0)</f>
        <v>41.319454222566861</v>
      </c>
      <c r="I45" s="2751">
        <f>Noise!P45 * VLOOKUP($B$14,'Annual Parameters'!$B$33:$D$143,3,0) / VLOOKUP(Noise!$B$14,'Annual Parameters'!$B$33:$D$143,3,0) * VLOOKUP($B$15,'Annual Parameters'!$B$33:$P$143,15,0) / VLOOKUP(Noise!$B$15,'Annual Parameters'!$B$33:$P$143,15,0)</f>
        <v>16.854198437067922</v>
      </c>
      <c r="J45" s="2752">
        <f>Noise!Q45 * VLOOKUP($B$14,'Annual Parameters'!$B$33:$D$143,3,0) / VLOOKUP(Noise!$B$14,'Annual Parameters'!$B$33:$D$143,3,0) * VLOOKUP($B$15,'Annual Parameters'!$B$33:$P$143,15,0) / VLOOKUP(Noise!$B$15,'Annual Parameters'!$B$33:$P$143,15,0)</f>
        <v>5.0238777615394596</v>
      </c>
      <c r="K45" s="2752">
        <f>Noise!R45 * VLOOKUP($B$14,'Annual Parameters'!$B$33:$D$143,3,0) / VLOOKUP(Noise!$B$14,'Annual Parameters'!$B$33:$D$143,3,0) * VLOOKUP($B$15,'Annual Parameters'!$B$33:$P$143,15,0) / VLOOKUP(Noise!$B$15,'Annual Parameters'!$B$33:$P$143,15,0)</f>
        <v>2.589509325592231</v>
      </c>
      <c r="L45" s="2752">
        <f>Noise!S45 * VLOOKUP($B$14,'Annual Parameters'!$B$33:$D$143,3,0) / VLOOKUP(Noise!$B$14,'Annual Parameters'!$B$33:$D$143,3,0) * VLOOKUP($B$15,'Annual Parameters'!$B$33:$P$143,15,0) / VLOOKUP(Noise!$B$15,'Annual Parameters'!$B$33:$P$143,15,0)</f>
        <v>3.9054631196920844</v>
      </c>
      <c r="M45" s="2751">
        <f>Noise!T45 * VLOOKUP($B$14,'Annual Parameters'!$B$33:$D$143,3,0) / VLOOKUP(Noise!$B$14,'Annual Parameters'!$B$33:$D$143,3,0) * VLOOKUP($B$15,'Annual Parameters'!$B$33:$P$143,15,0) / VLOOKUP(Noise!$B$15,'Annual Parameters'!$B$33:$P$143,15,0)</f>
        <v>42.116354200439083</v>
      </c>
      <c r="N45" s="2752">
        <f>Noise!U45 * VLOOKUP($B$14,'Annual Parameters'!$B$33:$D$143,3,0) / VLOOKUP(Noise!$B$14,'Annual Parameters'!$B$33:$D$143,3,0) * VLOOKUP($B$15,'Annual Parameters'!$B$33:$P$143,15,0) / VLOOKUP(Noise!$B$15,'Annual Parameters'!$B$33:$P$143,15,0)</f>
        <v>5.0238777615394596</v>
      </c>
      <c r="O45" s="2752">
        <f>Noise!V45 * VLOOKUP($B$14,'Annual Parameters'!$B$33:$D$143,3,0) / VLOOKUP(Noise!$B$14,'Annual Parameters'!$B$33:$D$143,3,0) * VLOOKUP($B$15,'Annual Parameters'!$B$33:$P$143,15,0) / VLOOKUP(Noise!$B$15,'Annual Parameters'!$B$33:$P$143,15,0)</f>
        <v>4.7270219219811045</v>
      </c>
      <c r="P45" s="2753">
        <f>Noise!W45 * VLOOKUP($B$14,'Annual Parameters'!$B$33:$D$143,3,0) / VLOOKUP(Noise!$B$14,'Annual Parameters'!$B$33:$D$143,3,0) * VLOOKUP($B$15,'Annual Parameters'!$B$33:$P$143,15,0) / VLOOKUP(Noise!$B$15,'Annual Parameters'!$B$33:$P$143,15,0)</f>
        <v>7.0871278431359643</v>
      </c>
      <c r="Q45" s="2547">
        <v>61</v>
      </c>
      <c r="R45" s="2738">
        <v>62</v>
      </c>
      <c r="S45" s="2751">
        <f>Noise!Z45 * VLOOKUP($B$14,'Annual Parameters'!$B$33:$D$143,3,0) / VLOOKUP(Noise!$B$14,'Annual Parameters'!$B$33:$D$143,3,0) * VLOOKUP($B$15,'Annual Parameters'!$B$33:$P$143,15,0) / VLOOKUP(Noise!$B$15,'Annual Parameters'!$B$33:$P$143,15,0)</f>
        <v>66.563580408710749</v>
      </c>
      <c r="T45" s="2752">
        <f>Noise!AA45 * VLOOKUP($B$14,'Annual Parameters'!$B$33:$D$143,3,0) / VLOOKUP(Noise!$B$14,'Annual Parameters'!$B$33:$D$143,3,0) * VLOOKUP($B$15,'Annual Parameters'!$B$33:$P$143,15,0) / VLOOKUP(Noise!$B$15,'Annual Parameters'!$B$33:$P$143,15,0)</f>
        <v>32.826496615199432</v>
      </c>
      <c r="U45" s="2753">
        <f>Noise!AB45 * VLOOKUP($B$14,'Annual Parameters'!$B$33:$D$143,3,0) / VLOOKUP(Noise!$B$14,'Annual Parameters'!$B$33:$D$143,3,0) * VLOOKUP($B$15,'Annual Parameters'!$B$33:$P$143,15,0) / VLOOKUP(Noise!$B$15,'Annual Parameters'!$B$33:$P$143,15,0)</f>
        <v>74.187180582035751</v>
      </c>
    </row>
    <row r="46" spans="1:21" ht="13.5" customHeight="1">
      <c r="A46" s="953"/>
      <c r="B46" s="2547">
        <v>62</v>
      </c>
      <c r="C46" s="2738">
        <v>63</v>
      </c>
      <c r="D46" s="2751">
        <f>Noise!K46 * VLOOKUP($B$14,'Annual Parameters'!$B$33:$D$143,3,0) / VLOOKUP(Noise!$B$14,'Annual Parameters'!$B$33:$D$143,3,0) * VLOOKUP($B$15,'Annual Parameters'!$B$33:$P$143,15,0) / VLOOKUP(Noise!$B$15,'Annual Parameters'!$B$33:$P$143,15,0)</f>
        <v>28.500298129133387</v>
      </c>
      <c r="E46" s="2752">
        <f>Noise!L46 * VLOOKUP($B$14,'Annual Parameters'!$B$33:$D$143,3,0) / VLOOKUP(Noise!$B$14,'Annual Parameters'!$B$33:$D$143,3,0) * VLOOKUP($B$15,'Annual Parameters'!$B$33:$P$143,15,0) / VLOOKUP(Noise!$B$15,'Annual Parameters'!$B$33:$P$143,15,0)</f>
        <v>8.7381495331690235</v>
      </c>
      <c r="F46" s="2752">
        <f>Noise!M46 * VLOOKUP($B$14,'Annual Parameters'!$B$33:$D$143,3,0) / VLOOKUP(Noise!$B$14,'Annual Parameters'!$B$33:$D$143,3,0) * VLOOKUP($B$15,'Annual Parameters'!$B$33:$P$143,15,0) / VLOOKUP(Noise!$B$15,'Annual Parameters'!$B$33:$P$143,15,0)</f>
        <v>2.3951590338723263</v>
      </c>
      <c r="G46" s="2752">
        <f>Noise!N46 * VLOOKUP($B$14,'Annual Parameters'!$B$33:$D$143,3,0) / VLOOKUP(Noise!$B$14,'Annual Parameters'!$B$33:$D$143,3,0) * VLOOKUP($B$15,'Annual Parameters'!$B$33:$P$143,15,0) / VLOOKUP(Noise!$B$15,'Annual Parameters'!$B$33:$P$143,15,0)</f>
        <v>3.6093957838769049</v>
      </c>
      <c r="H46" s="2752">
        <f>Noise!O46 * VLOOKUP($B$14,'Annual Parameters'!$B$33:$D$143,3,0) / VLOOKUP(Noise!$B$14,'Annual Parameters'!$B$33:$D$143,3,0) * VLOOKUP($B$15,'Annual Parameters'!$B$33:$P$143,15,0) / VLOOKUP(Noise!$B$15,'Annual Parameters'!$B$33:$P$143,15,0)</f>
        <v>43.379674829803086</v>
      </c>
      <c r="I46" s="2751">
        <f>Noise!P46 * VLOOKUP($B$14,'Annual Parameters'!$B$33:$D$143,3,0) / VLOOKUP(Noise!$B$14,'Annual Parameters'!$B$33:$D$143,3,0) * VLOOKUP($B$15,'Annual Parameters'!$B$33:$P$143,15,0) / VLOOKUP(Noise!$B$15,'Annual Parameters'!$B$33:$P$143,15,0)</f>
        <v>18.5943393374938</v>
      </c>
      <c r="J46" s="2752">
        <f>Noise!Q46 * VLOOKUP($B$14,'Annual Parameters'!$B$33:$D$143,3,0) / VLOOKUP(Noise!$B$14,'Annual Parameters'!$B$33:$D$143,3,0) * VLOOKUP($B$15,'Annual Parameters'!$B$33:$P$143,15,0) / VLOOKUP(Noise!$B$15,'Annual Parameters'!$B$33:$P$143,15,0)</f>
        <v>6.2268740301330885</v>
      </c>
      <c r="K46" s="2752">
        <f>Noise!R46 * VLOOKUP($B$14,'Annual Parameters'!$B$33:$D$143,3,0) / VLOOKUP(Noise!$B$14,'Annual Parameters'!$B$33:$D$143,3,0) * VLOOKUP($B$15,'Annual Parameters'!$B$33:$P$143,15,0) / VLOOKUP(Noise!$B$15,'Annual Parameters'!$B$33:$P$143,15,0)</f>
        <v>2.5966031332513255</v>
      </c>
      <c r="L46" s="2752">
        <f>Noise!S46 * VLOOKUP($B$14,'Annual Parameters'!$B$33:$D$143,3,0) / VLOOKUP(Noise!$B$14,'Annual Parameters'!$B$33:$D$143,3,0) * VLOOKUP($B$15,'Annual Parameters'!$B$33:$P$143,15,0) / VLOOKUP(Noise!$B$15,'Annual Parameters'!$B$33:$P$143,15,0)</f>
        <v>3.9145308020656775</v>
      </c>
      <c r="M46" s="2751">
        <f>Noise!T46 * VLOOKUP($B$14,'Annual Parameters'!$B$33:$D$143,3,0) / VLOOKUP(Noise!$B$14,'Annual Parameters'!$B$33:$D$143,3,0) * VLOOKUP($B$15,'Annual Parameters'!$B$33:$P$143,15,0) / VLOOKUP(Noise!$B$15,'Annual Parameters'!$B$33:$P$143,15,0)</f>
        <v>43.769329118769022</v>
      </c>
      <c r="N46" s="2752">
        <f>Noise!U46 * VLOOKUP($B$14,'Annual Parameters'!$B$33:$D$143,3,0) / VLOOKUP(Noise!$B$14,'Annual Parameters'!$B$33:$D$143,3,0) * VLOOKUP($B$15,'Annual Parameters'!$B$33:$P$143,15,0) / VLOOKUP(Noise!$B$15,'Annual Parameters'!$B$33:$P$143,15,0)</f>
        <v>6.2268740301330885</v>
      </c>
      <c r="O46" s="2752">
        <f>Noise!V46 * VLOOKUP($B$14,'Annual Parameters'!$B$33:$D$143,3,0) / VLOOKUP(Noise!$B$14,'Annual Parameters'!$B$33:$D$143,3,0) * VLOOKUP($B$15,'Annual Parameters'!$B$33:$P$143,15,0) / VLOOKUP(Noise!$B$15,'Annual Parameters'!$B$33:$P$143,15,0)</f>
        <v>4.7502163252693661</v>
      </c>
      <c r="P46" s="2753">
        <f>Noise!W46 * VLOOKUP($B$14,'Annual Parameters'!$B$33:$D$143,3,0) / VLOOKUP(Noise!$B$14,'Annual Parameters'!$B$33:$D$143,3,0) * VLOOKUP($B$15,'Annual Parameters'!$B$33:$P$143,15,0) / VLOOKUP(Noise!$B$15,'Annual Parameters'!$B$33:$P$143,15,0)</f>
        <v>7.1164030602526047</v>
      </c>
      <c r="Q46" s="2547">
        <v>62</v>
      </c>
      <c r="R46" s="2738">
        <v>63</v>
      </c>
      <c r="S46" s="2751">
        <f>Noise!Z46 * VLOOKUP($B$14,'Annual Parameters'!$B$33:$D$143,3,0) / VLOOKUP(Noise!$B$14,'Annual Parameters'!$B$33:$D$143,3,0) * VLOOKUP($B$15,'Annual Parameters'!$B$33:$P$143,15,0) / VLOOKUP(Noise!$B$15,'Annual Parameters'!$B$33:$P$143,15,0)</f>
        <v>69.107062639866314</v>
      </c>
      <c r="T46" s="2752">
        <f>Noise!AA46 * VLOOKUP($B$14,'Annual Parameters'!$B$33:$D$143,3,0) / VLOOKUP(Noise!$B$14,'Annual Parameters'!$B$33:$D$143,3,0) * VLOOKUP($B$15,'Annual Parameters'!$B$33:$P$143,15,0) / VLOOKUP(Noise!$B$15,'Annual Parameters'!$B$33:$P$143,15,0)</f>
        <v>34.125623811326662</v>
      </c>
      <c r="U46" s="2753">
        <f>Noise!AB46 * VLOOKUP($B$14,'Annual Parameters'!$B$33:$D$143,3,0) / VLOOKUP(Noise!$B$14,'Annual Parameters'!$B$33:$D$143,3,0) * VLOOKUP($B$15,'Annual Parameters'!$B$33:$P$143,15,0) / VLOOKUP(Noise!$B$15,'Annual Parameters'!$B$33:$P$143,15,0)</f>
        <v>76.723816293052678</v>
      </c>
    </row>
    <row r="47" spans="1:21" ht="13.5" customHeight="1">
      <c r="A47" s="953"/>
      <c r="B47" s="2547">
        <v>63</v>
      </c>
      <c r="C47" s="2738">
        <v>64</v>
      </c>
      <c r="D47" s="2751">
        <f>Noise!K47 * VLOOKUP($B$14,'Annual Parameters'!$B$33:$D$143,3,0) / VLOOKUP(Noise!$B$14,'Annual Parameters'!$B$33:$D$143,3,0) * VLOOKUP($B$15,'Annual Parameters'!$B$33:$P$143,15,0) / VLOOKUP(Noise!$B$15,'Annual Parameters'!$B$33:$P$143,15,0)</f>
        <v>30.601725609348026</v>
      </c>
      <c r="E47" s="2752">
        <f>Noise!L47 * VLOOKUP($B$14,'Annual Parameters'!$B$33:$D$143,3,0) / VLOOKUP(Noise!$B$14,'Annual Parameters'!$B$33:$D$143,3,0) * VLOOKUP($B$15,'Annual Parameters'!$B$33:$P$143,15,0) / VLOOKUP(Noise!$B$15,'Annual Parameters'!$B$33:$P$143,15,0)</f>
        <v>10.046428767612566</v>
      </c>
      <c r="F47" s="2752">
        <f>Noise!M47 * VLOOKUP($B$14,'Annual Parameters'!$B$33:$D$143,3,0) / VLOOKUP(Noise!$B$14,'Annual Parameters'!$B$33:$D$143,3,0) * VLOOKUP($B$15,'Annual Parameters'!$B$33:$P$143,15,0) / VLOOKUP(Noise!$B$15,'Annual Parameters'!$B$33:$P$143,15,0)</f>
        <v>2.401199021602995</v>
      </c>
      <c r="G47" s="2752">
        <f>Noise!N47 * VLOOKUP($B$14,'Annual Parameters'!$B$33:$D$143,3,0) / VLOOKUP(Noise!$B$14,'Annual Parameters'!$B$33:$D$143,3,0) * VLOOKUP($B$15,'Annual Parameters'!$B$33:$P$143,15,0) / VLOOKUP(Noise!$B$15,'Annual Parameters'!$B$33:$P$143,15,0)</f>
        <v>3.6171063827337901</v>
      </c>
      <c r="H47" s="2752">
        <f>Noise!O47 * VLOOKUP($B$14,'Annual Parameters'!$B$33:$D$143,3,0) / VLOOKUP(Noise!$B$14,'Annual Parameters'!$B$33:$D$143,3,0) * VLOOKUP($B$15,'Annual Parameters'!$B$33:$P$143,15,0) / VLOOKUP(Noise!$B$15,'Annual Parameters'!$B$33:$P$143,15,0)</f>
        <v>45.439895437037499</v>
      </c>
      <c r="I47" s="2751">
        <f>Noise!P47 * VLOOKUP($B$14,'Annual Parameters'!$B$33:$D$143,3,0) / VLOOKUP(Noise!$B$14,'Annual Parameters'!$B$33:$D$143,3,0) * VLOOKUP($B$15,'Annual Parameters'!$B$33:$P$143,15,0) / VLOOKUP(Noise!$B$15,'Annual Parameters'!$B$33:$P$143,15,0)</f>
        <v>20.440684436369956</v>
      </c>
      <c r="J47" s="2752">
        <f>Noise!Q47 * VLOOKUP($B$14,'Annual Parameters'!$B$33:$D$143,3,0) / VLOOKUP(Noise!$B$14,'Annual Parameters'!$B$33:$D$143,3,0) * VLOOKUP($B$15,'Annual Parameters'!$B$33:$P$143,15,0) / VLOOKUP(Noise!$B$15,'Annual Parameters'!$B$33:$P$143,15,0)</f>
        <v>7.4649646206757279</v>
      </c>
      <c r="K47" s="2752">
        <f>Noise!R47 * VLOOKUP($B$14,'Annual Parameters'!$B$33:$D$143,3,0) / VLOOKUP(Noise!$B$14,'Annual Parameters'!$B$33:$D$143,3,0) * VLOOKUP($B$15,'Annual Parameters'!$B$33:$P$143,15,0) / VLOOKUP(Noise!$B$15,'Annual Parameters'!$B$33:$P$143,15,0)</f>
        <v>2.6037189286138904</v>
      </c>
      <c r="L47" s="2752">
        <f>Noise!S47 * VLOOKUP($B$14,'Annual Parameters'!$B$33:$D$143,3,0) / VLOOKUP(Noise!$B$14,'Annual Parameters'!$B$33:$D$143,3,0) * VLOOKUP($B$15,'Annual Parameters'!$B$33:$P$143,15,0) / VLOOKUP(Noise!$B$15,'Annual Parameters'!$B$33:$P$143,15,0)</f>
        <v>3.923620435114294</v>
      </c>
      <c r="M47" s="2751">
        <f>Noise!T47 * VLOOKUP($B$14,'Annual Parameters'!$B$33:$D$143,3,0) / VLOOKUP(Noise!$B$14,'Annual Parameters'!$B$33:$D$143,3,0) * VLOOKUP($B$15,'Annual Parameters'!$B$33:$P$143,15,0) / VLOOKUP(Noise!$B$15,'Annual Parameters'!$B$33:$P$143,15,0)</f>
        <v>45.408808078796078</v>
      </c>
      <c r="N47" s="2752">
        <f>Noise!U47 * VLOOKUP($B$14,'Annual Parameters'!$B$33:$D$143,3,0) / VLOOKUP(Noise!$B$14,'Annual Parameters'!$B$33:$D$143,3,0) * VLOOKUP($B$15,'Annual Parameters'!$B$33:$P$143,15,0) / VLOOKUP(Noise!$B$15,'Annual Parameters'!$B$33:$P$143,15,0)</f>
        <v>7.4649646206757279</v>
      </c>
      <c r="O47" s="2752">
        <f>Noise!V47 * VLOOKUP($B$14,'Annual Parameters'!$B$33:$D$143,3,0) / VLOOKUP(Noise!$B$14,'Annual Parameters'!$B$33:$D$143,3,0) * VLOOKUP($B$15,'Annual Parameters'!$B$33:$P$143,15,0) / VLOOKUP(Noise!$B$15,'Annual Parameters'!$B$33:$P$143,15,0)</f>
        <v>4.7735400828109045</v>
      </c>
      <c r="P47" s="2753">
        <f>Noise!W47 * VLOOKUP($B$14,'Annual Parameters'!$B$33:$D$143,3,0) / VLOOKUP(Noise!$B$14,'Annual Parameters'!$B$33:$D$143,3,0) * VLOOKUP($B$15,'Annual Parameters'!$B$33:$P$143,15,0) / VLOOKUP(Noise!$B$15,'Annual Parameters'!$B$33:$P$143,15,0)</f>
        <v>7.1458044641832332</v>
      </c>
      <c r="Q47" s="2547">
        <v>63</v>
      </c>
      <c r="R47" s="2738">
        <v>64</v>
      </c>
      <c r="S47" s="2751">
        <f>Noise!Z47 * VLOOKUP($B$14,'Annual Parameters'!$B$33:$D$143,3,0) / VLOOKUP(Noise!$B$14,'Annual Parameters'!$B$33:$D$143,3,0) * VLOOKUP($B$15,'Annual Parameters'!$B$33:$P$143,15,0) / VLOOKUP(Noise!$B$15,'Annual Parameters'!$B$33:$P$143,15,0)</f>
        <v>71.65054487102006</v>
      </c>
      <c r="T47" s="2752">
        <f>Noise!AA47 * VLOOKUP($B$14,'Annual Parameters'!$B$33:$D$143,3,0) / VLOOKUP(Noise!$B$14,'Annual Parameters'!$B$33:$D$143,3,0) * VLOOKUP($B$15,'Annual Parameters'!$B$33:$P$143,15,0) / VLOOKUP(Noise!$B$15,'Annual Parameters'!$B$33:$P$143,15,0)</f>
        <v>35.424751007455093</v>
      </c>
      <c r="U47" s="2753">
        <f>Noise!AB47 * VLOOKUP($B$14,'Annual Parameters'!$B$33:$D$143,3,0) / VLOOKUP(Noise!$B$14,'Annual Parameters'!$B$33:$D$143,3,0) * VLOOKUP($B$15,'Annual Parameters'!$B$33:$P$143,15,0) / VLOOKUP(Noise!$B$15,'Annual Parameters'!$B$33:$P$143,15,0)</f>
        <v>79.26045200406837</v>
      </c>
    </row>
    <row r="48" spans="1:21" ht="13.5" customHeight="1">
      <c r="A48" s="953"/>
      <c r="B48" s="2547">
        <v>64</v>
      </c>
      <c r="C48" s="2738">
        <v>65</v>
      </c>
      <c r="D48" s="2751">
        <f>Noise!K48 * VLOOKUP($B$14,'Annual Parameters'!$B$33:$D$143,3,0) / VLOOKUP(Noise!$B$14,'Annual Parameters'!$B$33:$D$143,3,0) * VLOOKUP($B$15,'Annual Parameters'!$B$33:$P$143,15,0) / VLOOKUP(Noise!$B$15,'Annual Parameters'!$B$33:$P$143,15,0)</f>
        <v>32.815887301114124</v>
      </c>
      <c r="E48" s="2752">
        <f>Noise!L48 * VLOOKUP($B$14,'Annual Parameters'!$B$33:$D$143,3,0) / VLOOKUP(Noise!$B$14,'Annual Parameters'!$B$33:$D$143,3,0) * VLOOKUP($B$15,'Annual Parameters'!$B$33:$P$143,15,0) / VLOOKUP(Noise!$B$15,'Annual Parameters'!$B$33:$P$143,15,0)</f>
        <v>11.389802324005323</v>
      </c>
      <c r="F48" s="2752">
        <f>Noise!M48 * VLOOKUP($B$14,'Annual Parameters'!$B$33:$D$143,3,0) / VLOOKUP(Noise!$B$14,'Annual Parameters'!$B$33:$D$143,3,0) * VLOOKUP($B$15,'Annual Parameters'!$B$33:$P$143,15,0) / VLOOKUP(Noise!$B$15,'Annual Parameters'!$B$33:$P$143,15,0)</f>
        <v>2.4072562443210166</v>
      </c>
      <c r="G48" s="2752">
        <f>Noise!N48 * VLOOKUP($B$14,'Annual Parameters'!$B$33:$D$143,3,0) / VLOOKUP(Noise!$B$14,'Annual Parameters'!$B$33:$D$143,3,0) * VLOOKUP($B$15,'Annual Parameters'!$B$33:$P$143,15,0) / VLOOKUP(Noise!$B$15,'Annual Parameters'!$B$33:$P$143,15,0)</f>
        <v>3.6248341553278545</v>
      </c>
      <c r="H48" s="2752">
        <f>Noise!O48 * VLOOKUP($B$14,'Annual Parameters'!$B$33:$D$143,3,0) / VLOOKUP(Noise!$B$14,'Annual Parameters'!$B$33:$D$143,3,0) * VLOOKUP($B$15,'Annual Parameters'!$B$33:$P$143,15,0) / VLOOKUP(Noise!$B$15,'Annual Parameters'!$B$33:$P$143,15,0)</f>
        <v>47.500116044272517</v>
      </c>
      <c r="I48" s="2751">
        <f>Noise!P48 * VLOOKUP($B$14,'Annual Parameters'!$B$33:$D$143,3,0) / VLOOKUP(Noise!$B$14,'Annual Parameters'!$B$33:$D$143,3,0) * VLOOKUP($B$15,'Annual Parameters'!$B$33:$P$143,15,0) / VLOOKUP(Noise!$B$15,'Annual Parameters'!$B$33:$P$143,15,0)</f>
        <v>22.393233733696299</v>
      </c>
      <c r="J48" s="2752">
        <f>Noise!Q48 * VLOOKUP($B$14,'Annual Parameters'!$B$33:$D$143,3,0) / VLOOKUP(Noise!$B$14,'Annual Parameters'!$B$33:$D$143,3,0) * VLOOKUP($B$15,'Annual Parameters'!$B$33:$P$143,15,0) / VLOOKUP(Noise!$B$15,'Annual Parameters'!$B$33:$P$143,15,0)</f>
        <v>8.7381495331690235</v>
      </c>
      <c r="K48" s="2752">
        <f>Noise!R48 * VLOOKUP($B$14,'Annual Parameters'!$B$33:$D$143,3,0) / VLOOKUP(Noise!$B$14,'Annual Parameters'!$B$33:$D$143,3,0) * VLOOKUP($B$15,'Annual Parameters'!$B$33:$P$143,15,0) / VLOOKUP(Noise!$B$15,'Annual Parameters'!$B$33:$P$143,15,0)</f>
        <v>2.6108567890297234</v>
      </c>
      <c r="L48" s="2752">
        <f>Noise!S48 * VLOOKUP($B$14,'Annual Parameters'!$B$33:$D$143,3,0) / VLOOKUP(Noise!$B$14,'Annual Parameters'!$B$33:$D$143,3,0) * VLOOKUP($B$15,'Annual Parameters'!$B$33:$P$143,15,0) / VLOOKUP(Noise!$B$15,'Annual Parameters'!$B$33:$P$143,15,0)</f>
        <v>3.9327320741132534</v>
      </c>
      <c r="M48" s="2751">
        <f>Noise!T48 * VLOOKUP($B$14,'Annual Parameters'!$B$33:$D$143,3,0) / VLOOKUP(Noise!$B$14,'Annual Parameters'!$B$33:$D$143,3,0) * VLOOKUP($B$15,'Annual Parameters'!$B$33:$P$143,15,0) / VLOOKUP(Noise!$B$15,'Annual Parameters'!$B$33:$P$143,15,0)</f>
        <v>47.034791080520527</v>
      </c>
      <c r="N48" s="2752">
        <f>Noise!U48 * VLOOKUP($B$14,'Annual Parameters'!$B$33:$D$143,3,0) / VLOOKUP(Noise!$B$14,'Annual Parameters'!$B$33:$D$143,3,0) * VLOOKUP($B$15,'Annual Parameters'!$B$33:$P$143,15,0) / VLOOKUP(Noise!$B$15,'Annual Parameters'!$B$33:$P$143,15,0)</f>
        <v>8.7381495331690235</v>
      </c>
      <c r="O48" s="2752">
        <f>Noise!V48 * VLOOKUP($B$14,'Annual Parameters'!$B$33:$D$143,3,0) / VLOOKUP(Noise!$B$14,'Annual Parameters'!$B$33:$D$143,3,0) * VLOOKUP($B$15,'Annual Parameters'!$B$33:$P$143,15,0) / VLOOKUP(Noise!$B$15,'Annual Parameters'!$B$33:$P$143,15,0)</f>
        <v>4.7969940164036533</v>
      </c>
      <c r="P48" s="2753">
        <f>Noise!W48 * VLOOKUP($B$14,'Annual Parameters'!$B$33:$D$143,3,0) / VLOOKUP(Noise!$B$14,'Annual Parameters'!$B$33:$D$143,3,0) * VLOOKUP($B$15,'Annual Parameters'!$B$33:$P$143,15,0) / VLOOKUP(Noise!$B$15,'Annual Parameters'!$B$33:$P$143,15,0)</f>
        <v>7.1753326211145279</v>
      </c>
      <c r="Q48" s="2547">
        <v>64</v>
      </c>
      <c r="R48" s="2738">
        <v>65</v>
      </c>
      <c r="S48" s="2751">
        <f>Noise!Z48 * VLOOKUP($B$14,'Annual Parameters'!$B$33:$D$143,3,0) / VLOOKUP(Noise!$B$14,'Annual Parameters'!$B$33:$D$143,3,0) * VLOOKUP($B$15,'Annual Parameters'!$B$33:$P$143,15,0) / VLOOKUP(Noise!$B$15,'Annual Parameters'!$B$33:$P$143,15,0)</f>
        <v>74.194027102173791</v>
      </c>
      <c r="T48" s="2752">
        <f>Noise!AA48 * VLOOKUP($B$14,'Annual Parameters'!$B$33:$D$143,3,0) / VLOOKUP(Noise!$B$14,'Annual Parameters'!$B$33:$D$143,3,0) * VLOOKUP($B$15,'Annual Parameters'!$B$33:$P$143,15,0) / VLOOKUP(Noise!$B$15,'Annual Parameters'!$B$33:$P$143,15,0)</f>
        <v>36.723878203582935</v>
      </c>
      <c r="U48" s="2753">
        <f>Noise!AB48 * VLOOKUP($B$14,'Annual Parameters'!$B$33:$D$143,3,0) / VLOOKUP(Noise!$B$14,'Annual Parameters'!$B$33:$D$143,3,0) * VLOOKUP($B$15,'Annual Parameters'!$B$33:$P$143,15,0) / VLOOKUP(Noise!$B$15,'Annual Parameters'!$B$33:$P$143,15,0)</f>
        <v>81.797087715084672</v>
      </c>
    </row>
    <row r="49" spans="1:21" ht="13.5" customHeight="1">
      <c r="A49" s="953"/>
      <c r="B49" s="2547">
        <v>65</v>
      </c>
      <c r="C49" s="2738">
        <v>66</v>
      </c>
      <c r="D49" s="2751">
        <f>Noise!K49 * VLOOKUP($B$14,'Annual Parameters'!$B$33:$D$143,3,0) / VLOOKUP(Noise!$B$14,'Annual Parameters'!$B$33:$D$143,3,0) * VLOOKUP($B$15,'Annual Parameters'!$B$33:$P$143,15,0) / VLOOKUP(Noise!$B$15,'Annual Parameters'!$B$33:$P$143,15,0)</f>
        <v>35.142783204432099</v>
      </c>
      <c r="E49" s="2752">
        <f>Noise!L49 * VLOOKUP($B$14,'Annual Parameters'!$B$33:$D$143,3,0) / VLOOKUP(Noise!$B$14,'Annual Parameters'!$B$33:$D$143,3,0) * VLOOKUP($B$15,'Annual Parameters'!$B$33:$P$143,15,0) / VLOOKUP(Noise!$B$15,'Annual Parameters'!$B$33:$P$143,15,0)</f>
        <v>12.768270202347708</v>
      </c>
      <c r="F49" s="2752">
        <f>Noise!M49 * VLOOKUP($B$14,'Annual Parameters'!$B$33:$D$143,3,0) / VLOOKUP(Noise!$B$14,'Annual Parameters'!$B$33:$D$143,3,0) * VLOOKUP($B$15,'Annual Parameters'!$B$33:$P$143,15,0) / VLOOKUP(Noise!$B$15,'Annual Parameters'!$B$33:$P$143,15,0)</f>
        <v>2.4133307578411176</v>
      </c>
      <c r="G49" s="2752">
        <f>Noise!N49 * VLOOKUP($B$14,'Annual Parameters'!$B$33:$D$143,3,0) / VLOOKUP(Noise!$B$14,'Annual Parameters'!$B$33:$D$143,3,0) * VLOOKUP($B$15,'Annual Parameters'!$B$33:$P$143,15,0) / VLOOKUP(Noise!$B$15,'Annual Parameters'!$B$33:$P$143,15,0)</f>
        <v>3.6325791414478981</v>
      </c>
      <c r="H49" s="2752">
        <f>Noise!O49 * VLOOKUP($B$14,'Annual Parameters'!$B$33:$D$143,3,0) / VLOOKUP(Noise!$B$14,'Annual Parameters'!$B$33:$D$143,3,0) * VLOOKUP($B$15,'Annual Parameters'!$B$33:$P$143,15,0) / VLOOKUP(Noise!$B$15,'Annual Parameters'!$B$33:$P$143,15,0)</f>
        <v>49.5603366515057</v>
      </c>
      <c r="I49" s="2751">
        <f>Noise!P49 * VLOOKUP($B$14,'Annual Parameters'!$B$33:$D$143,3,0) / VLOOKUP(Noise!$B$14,'Annual Parameters'!$B$33:$D$143,3,0) * VLOOKUP($B$15,'Annual Parameters'!$B$33:$P$143,15,0) / VLOOKUP(Noise!$B$15,'Annual Parameters'!$B$33:$P$143,15,0)</f>
        <v>24.451987229472984</v>
      </c>
      <c r="J49" s="2752">
        <f>Noise!Q49 * VLOOKUP($B$14,'Annual Parameters'!$B$33:$D$143,3,0) / VLOOKUP(Noise!$B$14,'Annual Parameters'!$B$33:$D$143,3,0) * VLOOKUP($B$15,'Annual Parameters'!$B$33:$P$143,15,0) / VLOOKUP(Noise!$B$15,'Annual Parameters'!$B$33:$P$143,15,0)</f>
        <v>10.046428767612566</v>
      </c>
      <c r="K49" s="2752">
        <f>Noise!R49 * VLOOKUP($B$14,'Annual Parameters'!$B$33:$D$143,3,0) / VLOOKUP(Noise!$B$14,'Annual Parameters'!$B$33:$D$143,3,0) * VLOOKUP($B$15,'Annual Parameters'!$B$33:$P$143,15,0) / VLOOKUP(Noise!$B$15,'Annual Parameters'!$B$33:$P$143,15,0)</f>
        <v>2.618016792153008</v>
      </c>
      <c r="L49" s="2752">
        <f>Noise!S49 * VLOOKUP($B$14,'Annual Parameters'!$B$33:$D$143,3,0) / VLOOKUP(Noise!$B$14,'Annual Parameters'!$B$33:$D$143,3,0) * VLOOKUP($B$15,'Annual Parameters'!$B$33:$P$143,15,0) / VLOOKUP(Noise!$B$15,'Annual Parameters'!$B$33:$P$143,15,0)</f>
        <v>3.9418657744816463</v>
      </c>
      <c r="M49" s="2751">
        <f>Noise!T49 * VLOOKUP($B$14,'Annual Parameters'!$B$33:$D$143,3,0) / VLOOKUP(Noise!$B$14,'Annual Parameters'!$B$33:$D$143,3,0) * VLOOKUP($B$15,'Annual Parameters'!$B$33:$P$143,15,0) / VLOOKUP(Noise!$B$15,'Annual Parameters'!$B$33:$P$143,15,0)</f>
        <v>48.647278123941916</v>
      </c>
      <c r="N49" s="2752">
        <f>Noise!U49 * VLOOKUP($B$14,'Annual Parameters'!$B$33:$D$143,3,0) / VLOOKUP(Noise!$B$14,'Annual Parameters'!$B$33:$D$143,3,0) * VLOOKUP($B$15,'Annual Parameters'!$B$33:$P$143,15,0) / VLOOKUP(Noise!$B$15,'Annual Parameters'!$B$33:$P$143,15,0)</f>
        <v>10.046428767612566</v>
      </c>
      <c r="O49" s="2752">
        <f>Noise!V49 * VLOOKUP($B$14,'Annual Parameters'!$B$33:$D$143,3,0) / VLOOKUP(Noise!$B$14,'Annual Parameters'!$B$33:$D$143,3,0) * VLOOKUP($B$15,'Annual Parameters'!$B$33:$P$143,15,0) / VLOOKUP(Noise!$B$15,'Annual Parameters'!$B$33:$P$143,15,0)</f>
        <v>4.8205789537013883</v>
      </c>
      <c r="P49" s="2753">
        <f>Noise!W49 * VLOOKUP($B$14,'Annual Parameters'!$B$33:$D$143,3,0) / VLOOKUP(Noise!$B$14,'Annual Parameters'!$B$33:$D$143,3,0) * VLOOKUP($B$15,'Annual Parameters'!$B$33:$P$143,15,0) / VLOOKUP(Noise!$B$15,'Annual Parameters'!$B$33:$P$143,15,0)</f>
        <v>7.2049880998685456</v>
      </c>
      <c r="Q49" s="2547">
        <v>65</v>
      </c>
      <c r="R49" s="2738">
        <v>66</v>
      </c>
      <c r="S49" s="2751">
        <f>Noise!Z49 * VLOOKUP($B$14,'Annual Parameters'!$B$33:$D$143,3,0) / VLOOKUP(Noise!$B$14,'Annual Parameters'!$B$33:$D$143,3,0) * VLOOKUP($B$15,'Annual Parameters'!$B$33:$P$143,15,0) / VLOOKUP(Noise!$B$15,'Annual Parameters'!$B$33:$P$143,15,0)</f>
        <v>76.737509333328134</v>
      </c>
      <c r="T49" s="2752">
        <f>Noise!AA49 * VLOOKUP($B$14,'Annual Parameters'!$B$33:$D$143,3,0) / VLOOKUP(Noise!$B$14,'Annual Parameters'!$B$33:$D$143,3,0) * VLOOKUP($B$15,'Annual Parameters'!$B$33:$P$143,15,0) / VLOOKUP(Noise!$B$15,'Annual Parameters'!$B$33:$P$143,15,0)</f>
        <v>38.023005399709852</v>
      </c>
      <c r="U49" s="2753">
        <f>Noise!AB49 * VLOOKUP($B$14,'Annual Parameters'!$B$33:$D$143,3,0) / VLOOKUP(Noise!$B$14,'Annual Parameters'!$B$33:$D$143,3,0) * VLOOKUP($B$15,'Annual Parameters'!$B$33:$P$143,15,0) / VLOOKUP(Noise!$B$15,'Annual Parameters'!$B$33:$P$143,15,0)</f>
        <v>84.333723426101585</v>
      </c>
    </row>
    <row r="50" spans="1:21" ht="13.5" customHeight="1">
      <c r="A50" s="953"/>
      <c r="B50" s="2547">
        <v>66</v>
      </c>
      <c r="C50" s="2738">
        <v>67</v>
      </c>
      <c r="D50" s="2751">
        <f>Noise!K50 * VLOOKUP($B$14,'Annual Parameters'!$B$33:$D$143,3,0) / VLOOKUP(Noise!$B$14,'Annual Parameters'!$B$33:$D$143,3,0) * VLOOKUP($B$15,'Annual Parameters'!$B$33:$P$143,15,0) / VLOOKUP(Noise!$B$15,'Annual Parameters'!$B$33:$P$143,15,0)</f>
        <v>37.582413319301956</v>
      </c>
      <c r="E50" s="2752">
        <f>Noise!L50 * VLOOKUP($B$14,'Annual Parameters'!$B$33:$D$143,3,0) / VLOOKUP(Noise!$B$14,'Annual Parameters'!$B$33:$D$143,3,0) * VLOOKUP($B$15,'Annual Parameters'!$B$33:$P$143,15,0) / VLOOKUP(Noise!$B$15,'Annual Parameters'!$B$33:$P$143,15,0)</f>
        <v>14.181832402640962</v>
      </c>
      <c r="F50" s="2752">
        <f>Noise!M50 * VLOOKUP($B$14,'Annual Parameters'!$B$33:$D$143,3,0) / VLOOKUP(Noise!$B$14,'Annual Parameters'!$B$33:$D$143,3,0) * VLOOKUP($B$15,'Annual Parameters'!$B$33:$P$143,15,0) / VLOOKUP(Noise!$B$15,'Annual Parameters'!$B$33:$P$143,15,0)</f>
        <v>2.4194226181807821</v>
      </c>
      <c r="G50" s="2752">
        <f>Noise!N50 * VLOOKUP($B$14,'Annual Parameters'!$B$33:$D$143,3,0) / VLOOKUP(Noise!$B$14,'Annual Parameters'!$B$33:$D$143,3,0) * VLOOKUP($B$15,'Annual Parameters'!$B$33:$P$143,15,0) / VLOOKUP(Noise!$B$15,'Annual Parameters'!$B$33:$P$143,15,0)</f>
        <v>3.6403413809787004</v>
      </c>
      <c r="H50" s="2752">
        <f>Noise!O50 * VLOOKUP($B$14,'Annual Parameters'!$B$33:$D$143,3,0) / VLOOKUP(Noise!$B$14,'Annual Parameters'!$B$33:$D$143,3,0) * VLOOKUP($B$15,'Annual Parameters'!$B$33:$P$143,15,0) / VLOOKUP(Noise!$B$15,'Annual Parameters'!$B$33:$P$143,15,0)</f>
        <v>51.620557258741336</v>
      </c>
      <c r="I50" s="2751">
        <f>Noise!P50 * VLOOKUP($B$14,'Annual Parameters'!$B$33:$D$143,3,0) / VLOOKUP(Noise!$B$14,'Annual Parameters'!$B$33:$D$143,3,0) * VLOOKUP($B$15,'Annual Parameters'!$B$33:$P$143,15,0) / VLOOKUP(Noise!$B$15,'Annual Parameters'!$B$33:$P$143,15,0)</f>
        <v>26.61694492369978</v>
      </c>
      <c r="J50" s="2752">
        <f>Noise!Q50 * VLOOKUP($B$14,'Annual Parameters'!$B$33:$D$143,3,0) / VLOOKUP(Noise!$B$14,'Annual Parameters'!$B$33:$D$143,3,0) * VLOOKUP($B$15,'Annual Parameters'!$B$33:$P$143,15,0) / VLOOKUP(Noise!$B$15,'Annual Parameters'!$B$33:$P$143,15,0)</f>
        <v>11.389802324005323</v>
      </c>
      <c r="K50" s="2752">
        <f>Noise!R50 * VLOOKUP($B$14,'Annual Parameters'!$B$33:$D$143,3,0) / VLOOKUP(Noise!$B$14,'Annual Parameters'!$B$33:$D$143,3,0) * VLOOKUP($B$15,'Annual Parameters'!$B$33:$P$143,15,0) / VLOOKUP(Noise!$B$15,'Annual Parameters'!$B$33:$P$143,15,0)</f>
        <v>2.6251990159438758</v>
      </c>
      <c r="L50" s="2752">
        <f>Noise!S50 * VLOOKUP($B$14,'Annual Parameters'!$B$33:$D$143,3,0) / VLOOKUP(Noise!$B$14,'Annual Parameters'!$B$33:$D$143,3,0) * VLOOKUP($B$15,'Annual Parameters'!$B$33:$P$143,15,0) / VLOOKUP(Noise!$B$15,'Annual Parameters'!$B$33:$P$143,15,0)</f>
        <v>3.9510215917835576</v>
      </c>
      <c r="M50" s="2751">
        <f>Noise!T50 * VLOOKUP($B$14,'Annual Parameters'!$B$33:$D$143,3,0) / VLOOKUP(Noise!$B$14,'Annual Parameters'!$B$33:$D$143,3,0) * VLOOKUP($B$15,'Annual Parameters'!$B$33:$P$143,15,0) / VLOOKUP(Noise!$B$15,'Annual Parameters'!$B$33:$P$143,15,0)</f>
        <v>50.246269209060323</v>
      </c>
      <c r="N50" s="2752">
        <f>Noise!U50 * VLOOKUP($B$14,'Annual Parameters'!$B$33:$D$143,3,0) / VLOOKUP(Noise!$B$14,'Annual Parameters'!$B$33:$D$143,3,0) * VLOOKUP($B$15,'Annual Parameters'!$B$33:$P$143,15,0) / VLOOKUP(Noise!$B$15,'Annual Parameters'!$B$33:$P$143,15,0)</f>
        <v>11.389802324005323</v>
      </c>
      <c r="O50" s="2752">
        <f>Noise!V50 * VLOOKUP($B$14,'Annual Parameters'!$B$33:$D$143,3,0) / VLOOKUP(Noise!$B$14,'Annual Parameters'!$B$33:$D$143,3,0) * VLOOKUP($B$15,'Annual Parameters'!$B$33:$P$143,15,0) / VLOOKUP(Noise!$B$15,'Annual Parameters'!$B$33:$P$143,15,0)</f>
        <v>4.8442957282585883</v>
      </c>
      <c r="P50" s="2753">
        <f>Noise!W50 * VLOOKUP($B$14,'Annual Parameters'!$B$33:$D$143,3,0) / VLOOKUP(Noise!$B$14,'Annual Parameters'!$B$33:$D$143,3,0) * VLOOKUP($B$15,'Annual Parameters'!$B$33:$P$143,15,0) / VLOOKUP(Noise!$B$15,'Annual Parameters'!$B$33:$P$143,15,0)</f>
        <v>7.2347714719143683</v>
      </c>
      <c r="Q50" s="2547">
        <v>66</v>
      </c>
      <c r="R50" s="2738">
        <v>67</v>
      </c>
      <c r="S50" s="2751">
        <f>Noise!Z50 * VLOOKUP($B$14,'Annual Parameters'!$B$33:$D$143,3,0) / VLOOKUP(Noise!$B$14,'Annual Parameters'!$B$33:$D$143,3,0) * VLOOKUP($B$15,'Annual Parameters'!$B$33:$P$143,15,0) / VLOOKUP(Noise!$B$15,'Annual Parameters'!$B$33:$P$143,15,0)</f>
        <v>76.737509333328134</v>
      </c>
      <c r="T50" s="2752">
        <f>Noise!AA50 * VLOOKUP($B$14,'Annual Parameters'!$B$33:$D$143,3,0) / VLOOKUP(Noise!$B$14,'Annual Parameters'!$B$33:$D$143,3,0) * VLOOKUP($B$15,'Annual Parameters'!$B$33:$P$143,15,0) / VLOOKUP(Noise!$B$15,'Annual Parameters'!$B$33:$P$143,15,0)</f>
        <v>38.023005399709852</v>
      </c>
      <c r="U50" s="2753">
        <f>Noise!AB50 * VLOOKUP($B$14,'Annual Parameters'!$B$33:$D$143,3,0) / VLOOKUP(Noise!$B$14,'Annual Parameters'!$B$33:$D$143,3,0) * VLOOKUP($B$15,'Annual Parameters'!$B$33:$P$143,15,0) / VLOOKUP(Noise!$B$15,'Annual Parameters'!$B$33:$P$143,15,0)</f>
        <v>84.333723426101585</v>
      </c>
    </row>
    <row r="51" spans="1:21" ht="13.5" customHeight="1">
      <c r="A51" s="953"/>
      <c r="B51" s="2547">
        <v>67</v>
      </c>
      <c r="C51" s="2738">
        <v>68</v>
      </c>
      <c r="D51" s="2751">
        <f>Noise!K51 * VLOOKUP($B$14,'Annual Parameters'!$B$33:$D$143,3,0) / VLOOKUP(Noise!$B$14,'Annual Parameters'!$B$33:$D$143,3,0) * VLOOKUP($B$15,'Annual Parameters'!$B$33:$P$143,15,0) / VLOOKUP(Noise!$B$15,'Annual Parameters'!$B$33:$P$143,15,0)</f>
        <v>40.134777645723702</v>
      </c>
      <c r="E51" s="2752">
        <f>Noise!L51 * VLOOKUP($B$14,'Annual Parameters'!$B$33:$D$143,3,0) / VLOOKUP(Noise!$B$14,'Annual Parameters'!$B$33:$D$143,3,0) * VLOOKUP($B$15,'Annual Parameters'!$B$33:$P$143,15,0) / VLOOKUP(Noise!$B$15,'Annual Parameters'!$B$33:$P$143,15,0)</f>
        <v>15.630488924884661</v>
      </c>
      <c r="F51" s="2752">
        <f>Noise!M51 * VLOOKUP($B$14,'Annual Parameters'!$B$33:$D$143,3,0) / VLOOKUP(Noise!$B$14,'Annual Parameters'!$B$33:$D$143,3,0) * VLOOKUP($B$15,'Annual Parameters'!$B$33:$P$143,15,0) / VLOOKUP(Noise!$B$15,'Annual Parameters'!$B$33:$P$143,15,0)</f>
        <v>2.4255318815600955</v>
      </c>
      <c r="G51" s="2752">
        <f>Noise!N51 * VLOOKUP($B$14,'Annual Parameters'!$B$33:$D$143,3,0) / VLOOKUP(Noise!$B$14,'Annual Parameters'!$B$33:$D$143,3,0) * VLOOKUP($B$15,'Annual Parameters'!$B$33:$P$143,15,0) / VLOOKUP(Noise!$B$15,'Annual Parameters'!$B$33:$P$143,15,0)</f>
        <v>3.6481209139003155</v>
      </c>
      <c r="H51" s="2752">
        <f>Noise!O51 * VLOOKUP($B$14,'Annual Parameters'!$B$33:$D$143,3,0) / VLOOKUP(Noise!$B$14,'Annual Parameters'!$B$33:$D$143,3,0) * VLOOKUP($B$15,'Annual Parameters'!$B$33:$P$143,15,0) / VLOOKUP(Noise!$B$15,'Annual Parameters'!$B$33:$P$143,15,0)</f>
        <v>53.680777865975735</v>
      </c>
      <c r="I51" s="2751">
        <f>Noise!P51 * VLOOKUP($B$14,'Annual Parameters'!$B$33:$D$143,3,0) / VLOOKUP(Noise!$B$14,'Annual Parameters'!$B$33:$D$143,3,0) * VLOOKUP($B$15,'Annual Parameters'!$B$33:$P$143,15,0) / VLOOKUP(Noise!$B$15,'Annual Parameters'!$B$33:$P$143,15,0)</f>
        <v>28.888106816376933</v>
      </c>
      <c r="J51" s="2752">
        <f>Noise!Q51 * VLOOKUP($B$14,'Annual Parameters'!$B$33:$D$143,3,0) / VLOOKUP(Noise!$B$14,'Annual Parameters'!$B$33:$D$143,3,0) * VLOOKUP($B$15,'Annual Parameters'!$B$33:$P$143,15,0) / VLOOKUP(Noise!$B$15,'Annual Parameters'!$B$33:$P$143,15,0)</f>
        <v>12.768270202347708</v>
      </c>
      <c r="K51" s="2752">
        <f>Noise!R51 * VLOOKUP($B$14,'Annual Parameters'!$B$33:$D$143,3,0) / VLOOKUP(Noise!$B$14,'Annual Parameters'!$B$33:$D$143,3,0) * VLOOKUP($B$15,'Annual Parameters'!$B$33:$P$143,15,0) / VLOOKUP(Noise!$B$15,'Annual Parameters'!$B$33:$P$143,15,0)</f>
        <v>2.6324035386696196</v>
      </c>
      <c r="L51" s="2752">
        <f>Noise!S51 * VLOOKUP($B$14,'Annual Parameters'!$B$33:$D$143,3,0) / VLOOKUP(Noise!$B$14,'Annual Parameters'!$B$33:$D$143,3,0) * VLOOKUP($B$15,'Annual Parameters'!$B$33:$P$143,15,0) / VLOOKUP(Noise!$B$15,'Annual Parameters'!$B$33:$P$143,15,0)</f>
        <v>3.9601995817276423</v>
      </c>
      <c r="M51" s="2751">
        <f>Noise!T51 * VLOOKUP($B$14,'Annual Parameters'!$B$33:$D$143,3,0) / VLOOKUP(Noise!$B$14,'Annual Parameters'!$B$33:$D$143,3,0) * VLOOKUP($B$15,'Annual Parameters'!$B$33:$P$143,15,0) / VLOOKUP(Noise!$B$15,'Annual Parameters'!$B$33:$P$143,15,0)</f>
        <v>51.831764335876095</v>
      </c>
      <c r="N51" s="2752">
        <f>Noise!U51 * VLOOKUP($B$14,'Annual Parameters'!$B$33:$D$143,3,0) / VLOOKUP(Noise!$B$14,'Annual Parameters'!$B$33:$D$143,3,0) * VLOOKUP($B$15,'Annual Parameters'!$B$33:$P$143,15,0) / VLOOKUP(Noise!$B$15,'Annual Parameters'!$B$33:$P$143,15,0)</f>
        <v>12.768270202347708</v>
      </c>
      <c r="O51" s="2752">
        <f>Noise!V51 * VLOOKUP($B$14,'Annual Parameters'!$B$33:$D$143,3,0) / VLOOKUP(Noise!$B$14,'Annual Parameters'!$B$33:$D$143,3,0) * VLOOKUP($B$15,'Annual Parameters'!$B$33:$P$143,15,0) / VLOOKUP(Noise!$B$15,'Annual Parameters'!$B$33:$P$143,15,0)</f>
        <v>4.8681451795768673</v>
      </c>
      <c r="P51" s="2753">
        <f>Noise!W51 * VLOOKUP($B$14,'Annual Parameters'!$B$33:$D$143,3,0) / VLOOKUP(Noise!$B$14,'Annual Parameters'!$B$33:$D$143,3,0) * VLOOKUP($B$15,'Annual Parameters'!$B$33:$P$143,15,0) / VLOOKUP(Noise!$B$15,'Annual Parameters'!$B$33:$P$143,15,0)</f>
        <v>7.2646833113812539</v>
      </c>
      <c r="Q51" s="2547">
        <v>67</v>
      </c>
      <c r="R51" s="2738">
        <v>68</v>
      </c>
      <c r="S51" s="2751">
        <f>Noise!Z51 * VLOOKUP($B$14,'Annual Parameters'!$B$33:$D$143,3,0) / VLOOKUP(Noise!$B$14,'Annual Parameters'!$B$33:$D$143,3,0) * VLOOKUP($B$15,'Annual Parameters'!$B$33:$P$143,15,0) / VLOOKUP(Noise!$B$15,'Annual Parameters'!$B$33:$P$143,15,0)</f>
        <v>76.737509333328134</v>
      </c>
      <c r="T51" s="2752">
        <f>Noise!AA51 * VLOOKUP($B$14,'Annual Parameters'!$B$33:$D$143,3,0) / VLOOKUP(Noise!$B$14,'Annual Parameters'!$B$33:$D$143,3,0) * VLOOKUP($B$15,'Annual Parameters'!$B$33:$P$143,15,0) / VLOOKUP(Noise!$B$15,'Annual Parameters'!$B$33:$P$143,15,0)</f>
        <v>38.023005399709852</v>
      </c>
      <c r="U51" s="2753">
        <f>Noise!AB51 * VLOOKUP($B$14,'Annual Parameters'!$B$33:$D$143,3,0) / VLOOKUP(Noise!$B$14,'Annual Parameters'!$B$33:$D$143,3,0) * VLOOKUP($B$15,'Annual Parameters'!$B$33:$P$143,15,0) / VLOOKUP(Noise!$B$15,'Annual Parameters'!$B$33:$P$143,15,0)</f>
        <v>84.333723426101585</v>
      </c>
    </row>
    <row r="52" spans="1:21" ht="13.5" customHeight="1">
      <c r="A52" s="953"/>
      <c r="B52" s="2547">
        <v>68</v>
      </c>
      <c r="C52" s="2738">
        <v>69</v>
      </c>
      <c r="D52" s="2751">
        <f>Noise!K52 * VLOOKUP($B$14,'Annual Parameters'!$B$33:$D$143,3,0) / VLOOKUP(Noise!$B$14,'Annual Parameters'!$B$33:$D$143,3,0) * VLOOKUP($B$15,'Annual Parameters'!$B$33:$P$143,15,0) / VLOOKUP(Noise!$B$15,'Annual Parameters'!$B$33:$P$143,15,0)</f>
        <v>42.799876183697158</v>
      </c>
      <c r="E52" s="2752">
        <f>Noise!L52 * VLOOKUP($B$14,'Annual Parameters'!$B$33:$D$143,3,0) / VLOOKUP(Noise!$B$14,'Annual Parameters'!$B$33:$D$143,3,0) * VLOOKUP($B$15,'Annual Parameters'!$B$33:$P$143,15,0) / VLOOKUP(Noise!$B$15,'Annual Parameters'!$B$33:$P$143,15,0)</f>
        <v>17.114239769076754</v>
      </c>
      <c r="F52" s="2752">
        <f>Noise!M52 * VLOOKUP($B$14,'Annual Parameters'!$B$33:$D$143,3,0) / VLOOKUP(Noise!$B$14,'Annual Parameters'!$B$33:$D$143,3,0) * VLOOKUP($B$15,'Annual Parameters'!$B$33:$P$143,15,0) / VLOOKUP(Noise!$B$15,'Annual Parameters'!$B$33:$P$143,15,0)</f>
        <v>2.4316586044036717</v>
      </c>
      <c r="G52" s="2752">
        <f>Noise!N52 * VLOOKUP($B$14,'Annual Parameters'!$B$33:$D$143,3,0) / VLOOKUP(Noise!$B$14,'Annual Parameters'!$B$33:$D$143,3,0) * VLOOKUP($B$15,'Annual Parameters'!$B$33:$P$143,15,0) / VLOOKUP(Noise!$B$15,'Annual Parameters'!$B$33:$P$143,15,0)</f>
        <v>3.6559177802894469</v>
      </c>
      <c r="H52" s="2752">
        <f>Noise!O52 * VLOOKUP($B$14,'Annual Parameters'!$B$33:$D$143,3,0) / VLOOKUP(Noise!$B$14,'Annual Parameters'!$B$33:$D$143,3,0) * VLOOKUP($B$15,'Annual Parameters'!$B$33:$P$143,15,0) / VLOOKUP(Noise!$B$15,'Annual Parameters'!$B$33:$P$143,15,0)</f>
        <v>55.740998473210141</v>
      </c>
      <c r="I52" s="2751">
        <f>Noise!P52 * VLOOKUP($B$14,'Annual Parameters'!$B$33:$D$143,3,0) / VLOOKUP(Noise!$B$14,'Annual Parameters'!$B$33:$D$143,3,0) * VLOOKUP($B$15,'Annual Parameters'!$B$33:$P$143,15,0) / VLOOKUP(Noise!$B$15,'Annual Parameters'!$B$33:$P$143,15,0)</f>
        <v>31.265472907504197</v>
      </c>
      <c r="J52" s="2752">
        <f>Noise!Q52 * VLOOKUP($B$14,'Annual Parameters'!$B$33:$D$143,3,0) / VLOOKUP(Noise!$B$14,'Annual Parameters'!$B$33:$D$143,3,0) * VLOOKUP($B$15,'Annual Parameters'!$B$33:$P$143,15,0) / VLOOKUP(Noise!$B$15,'Annual Parameters'!$B$33:$P$143,15,0)</f>
        <v>14.181832402640962</v>
      </c>
      <c r="K52" s="2752">
        <f>Noise!R52 * VLOOKUP($B$14,'Annual Parameters'!$B$33:$D$143,3,0) / VLOOKUP(Noise!$B$14,'Annual Parameters'!$B$33:$D$143,3,0) * VLOOKUP($B$15,'Annual Parameters'!$B$33:$P$143,15,0) / VLOOKUP(Noise!$B$15,'Annual Parameters'!$B$33:$P$143,15,0)</f>
        <v>2.6396304389064356</v>
      </c>
      <c r="L52" s="2752">
        <f>Noise!S52 * VLOOKUP($B$14,'Annual Parameters'!$B$33:$D$143,3,0) / VLOOKUP(Noise!$B$14,'Annual Parameters'!$B$33:$D$143,3,0) * VLOOKUP($B$15,'Annual Parameters'!$B$33:$P$143,15,0) / VLOOKUP(Noise!$B$15,'Annual Parameters'!$B$33:$P$143,15,0)</f>
        <v>3.9693998001690542</v>
      </c>
      <c r="M52" s="2751">
        <f>Noise!T52 * VLOOKUP($B$14,'Annual Parameters'!$B$33:$D$143,3,0) / VLOOKUP(Noise!$B$14,'Annual Parameters'!$B$33:$D$143,3,0) * VLOOKUP($B$15,'Annual Parameters'!$B$33:$P$143,15,0) / VLOOKUP(Noise!$B$15,'Annual Parameters'!$B$33:$P$143,15,0)</f>
        <v>53.403763504388998</v>
      </c>
      <c r="N52" s="2752">
        <f>Noise!U52 * VLOOKUP($B$14,'Annual Parameters'!$B$33:$D$143,3,0) / VLOOKUP(Noise!$B$14,'Annual Parameters'!$B$33:$D$143,3,0) * VLOOKUP($B$15,'Annual Parameters'!$B$33:$P$143,15,0) / VLOOKUP(Noise!$B$15,'Annual Parameters'!$B$33:$P$143,15,0)</f>
        <v>14.181832402640962</v>
      </c>
      <c r="O52" s="2752">
        <f>Noise!V52 * VLOOKUP($B$14,'Annual Parameters'!$B$33:$D$143,3,0) / VLOOKUP(Noise!$B$14,'Annual Parameters'!$B$33:$D$143,3,0) * VLOOKUP($B$15,'Annual Parameters'!$B$33:$P$143,15,0) / VLOOKUP(Noise!$B$15,'Annual Parameters'!$B$33:$P$143,15,0)</f>
        <v>4.8921281531509857</v>
      </c>
      <c r="P52" s="2753">
        <f>Noise!W52 * VLOOKUP($B$14,'Annual Parameters'!$B$33:$D$143,3,0) / VLOOKUP(Noise!$B$14,'Annual Parameters'!$B$33:$D$143,3,0) * VLOOKUP($B$15,'Annual Parameters'!$B$33:$P$143,15,0) / VLOOKUP(Noise!$B$15,'Annual Parameters'!$B$33:$P$143,15,0)</f>
        <v>7.294724195071006</v>
      </c>
      <c r="Q52" s="2547">
        <v>68</v>
      </c>
      <c r="R52" s="2738">
        <v>69</v>
      </c>
      <c r="S52" s="2751">
        <f>Noise!Z52 * VLOOKUP($B$14,'Annual Parameters'!$B$33:$D$143,3,0) / VLOOKUP(Noise!$B$14,'Annual Parameters'!$B$33:$D$143,3,0) * VLOOKUP($B$15,'Annual Parameters'!$B$33:$P$143,15,0) / VLOOKUP(Noise!$B$15,'Annual Parameters'!$B$33:$P$143,15,0)</f>
        <v>76.737509333328134</v>
      </c>
      <c r="T52" s="2752">
        <f>Noise!AA52 * VLOOKUP($B$14,'Annual Parameters'!$B$33:$D$143,3,0) / VLOOKUP(Noise!$B$14,'Annual Parameters'!$B$33:$D$143,3,0) * VLOOKUP($B$15,'Annual Parameters'!$B$33:$P$143,15,0) / VLOOKUP(Noise!$B$15,'Annual Parameters'!$B$33:$P$143,15,0)</f>
        <v>38.023005399709852</v>
      </c>
      <c r="U52" s="2753">
        <f>Noise!AB52 * VLOOKUP($B$14,'Annual Parameters'!$B$33:$D$143,3,0) / VLOOKUP(Noise!$B$14,'Annual Parameters'!$B$33:$D$143,3,0) * VLOOKUP($B$15,'Annual Parameters'!$B$33:$P$143,15,0) / VLOOKUP(Noise!$B$15,'Annual Parameters'!$B$33:$P$143,15,0)</f>
        <v>84.333723426101585</v>
      </c>
    </row>
    <row r="53" spans="1:21" ht="13.5" customHeight="1">
      <c r="A53" s="953"/>
      <c r="B53" s="2547">
        <v>69</v>
      </c>
      <c r="C53" s="2738">
        <v>70</v>
      </c>
      <c r="D53" s="2751">
        <f>Noise!K53 * VLOOKUP($B$14,'Annual Parameters'!$B$33:$D$143,3,0) / VLOOKUP(Noise!$B$14,'Annual Parameters'!$B$33:$D$143,3,0) * VLOOKUP($B$15,'Annual Parameters'!$B$33:$P$143,15,0) / VLOOKUP(Noise!$B$15,'Annual Parameters'!$B$33:$P$143,15,0)</f>
        <v>45.577708933222503</v>
      </c>
      <c r="E53" s="2752">
        <f>Noise!L53 * VLOOKUP($B$14,'Annual Parameters'!$B$33:$D$143,3,0) / VLOOKUP(Noise!$B$14,'Annual Parameters'!$B$33:$D$143,3,0) * VLOOKUP($B$15,'Annual Parameters'!$B$33:$P$143,15,0) / VLOOKUP(Noise!$B$15,'Annual Parameters'!$B$33:$P$143,15,0)</f>
        <v>18.633084935219298</v>
      </c>
      <c r="F53" s="2752">
        <f>Noise!M53 * VLOOKUP($B$14,'Annual Parameters'!$B$33:$D$143,3,0) / VLOOKUP(Noise!$B$14,'Annual Parameters'!$B$33:$D$143,3,0) * VLOOKUP($B$15,'Annual Parameters'!$B$33:$P$143,15,0) / VLOOKUP(Noise!$B$15,'Annual Parameters'!$B$33:$P$143,15,0)</f>
        <v>2.4378028433403967</v>
      </c>
      <c r="G53" s="2752">
        <f>Noise!N53 * VLOOKUP($B$14,'Annual Parameters'!$B$33:$D$143,3,0) / VLOOKUP(Noise!$B$14,'Annual Parameters'!$B$33:$D$143,3,0) * VLOOKUP($B$15,'Annual Parameters'!$B$33:$P$143,15,0) / VLOOKUP(Noise!$B$15,'Annual Parameters'!$B$33:$P$143,15,0)</f>
        <v>3.663732020318712</v>
      </c>
      <c r="H53" s="2752">
        <f>Noise!O53 * VLOOKUP($B$14,'Annual Parameters'!$B$33:$D$143,3,0) / VLOOKUP(Noise!$B$14,'Annual Parameters'!$B$33:$D$143,3,0) * VLOOKUP($B$15,'Annual Parameters'!$B$33:$P$143,15,0) / VLOOKUP(Noise!$B$15,'Annual Parameters'!$B$33:$P$143,15,0)</f>
        <v>57.801219080445762</v>
      </c>
      <c r="I53" s="2751">
        <f>Noise!P53 * VLOOKUP($B$14,'Annual Parameters'!$B$33:$D$143,3,0) / VLOOKUP(Noise!$B$14,'Annual Parameters'!$B$33:$D$143,3,0) * VLOOKUP($B$15,'Annual Parameters'!$B$33:$P$143,15,0) / VLOOKUP(Noise!$B$15,'Annual Parameters'!$B$33:$P$143,15,0)</f>
        <v>33.749043197081882</v>
      </c>
      <c r="J53" s="2752">
        <f>Noise!Q53 * VLOOKUP($B$14,'Annual Parameters'!$B$33:$D$143,3,0) / VLOOKUP(Noise!$B$14,'Annual Parameters'!$B$33:$D$143,3,0) * VLOOKUP($B$15,'Annual Parameters'!$B$33:$P$143,15,0) / VLOOKUP(Noise!$B$15,'Annual Parameters'!$B$33:$P$143,15,0)</f>
        <v>15.630488924884661</v>
      </c>
      <c r="K53" s="2752">
        <f>Noise!R53 * VLOOKUP($B$14,'Annual Parameters'!$B$33:$D$143,3,0) / VLOOKUP(Noise!$B$14,'Annual Parameters'!$B$33:$D$143,3,0) * VLOOKUP($B$15,'Annual Parameters'!$B$33:$P$143,15,0) / VLOOKUP(Noise!$B$15,'Annual Parameters'!$B$33:$P$143,15,0)</f>
        <v>2.6468797955398289</v>
      </c>
      <c r="L53" s="2752">
        <f>Noise!S53 * VLOOKUP($B$14,'Annual Parameters'!$B$33:$D$143,3,0) / VLOOKUP(Noise!$B$14,'Annual Parameters'!$B$33:$D$143,3,0) * VLOOKUP($B$15,'Annual Parameters'!$B$33:$P$143,15,0) / VLOOKUP(Noise!$B$15,'Annual Parameters'!$B$33:$P$143,15,0)</f>
        <v>3.978622303107394</v>
      </c>
      <c r="M53" s="2751">
        <f>Noise!T53 * VLOOKUP($B$14,'Annual Parameters'!$B$33:$D$143,3,0) / VLOOKUP(Noise!$B$14,'Annual Parameters'!$B$33:$D$143,3,0) * VLOOKUP($B$15,'Annual Parameters'!$B$33:$P$143,15,0) / VLOOKUP(Noise!$B$15,'Annual Parameters'!$B$33:$P$143,15,0)</f>
        <v>54.962266714598925</v>
      </c>
      <c r="N53" s="2752">
        <f>Noise!U53 * VLOOKUP($B$14,'Annual Parameters'!$B$33:$D$143,3,0) / VLOOKUP(Noise!$B$14,'Annual Parameters'!$B$33:$D$143,3,0) * VLOOKUP($B$15,'Annual Parameters'!$B$33:$P$143,15,0) / VLOOKUP(Noise!$B$15,'Annual Parameters'!$B$33:$P$143,15,0)</f>
        <v>15.630488924884661</v>
      </c>
      <c r="O53" s="2752">
        <f>Noise!V53 * VLOOKUP($B$14,'Annual Parameters'!$B$33:$D$143,3,0) / VLOOKUP(Noise!$B$14,'Annual Parameters'!$B$33:$D$143,3,0) * VLOOKUP($B$15,'Annual Parameters'!$B$33:$P$143,15,0) / VLOOKUP(Noise!$B$15,'Annual Parameters'!$B$33:$P$143,15,0)</f>
        <v>4.9162455005162284</v>
      </c>
      <c r="P53" s="2753">
        <f>Noise!W53 * VLOOKUP($B$14,'Annual Parameters'!$B$33:$D$143,3,0) / VLOOKUP(Noise!$B$14,'Annual Parameters'!$B$33:$D$143,3,0) * VLOOKUP($B$15,'Annual Parameters'!$B$33:$P$143,15,0) / VLOOKUP(Noise!$B$15,'Annual Parameters'!$B$33:$P$143,15,0)</f>
        <v>7.3248947024718882</v>
      </c>
      <c r="Q53" s="2547">
        <v>69</v>
      </c>
      <c r="R53" s="2738">
        <v>70</v>
      </c>
      <c r="S53" s="2751">
        <f>Noise!Z53 * VLOOKUP($B$14,'Annual Parameters'!$B$33:$D$143,3,0) / VLOOKUP(Noise!$B$14,'Annual Parameters'!$B$33:$D$143,3,0) * VLOOKUP($B$15,'Annual Parameters'!$B$33:$P$143,15,0) / VLOOKUP(Noise!$B$15,'Annual Parameters'!$B$33:$P$143,15,0)</f>
        <v>76.737509333328134</v>
      </c>
      <c r="T53" s="2752">
        <f>Noise!AA53 * VLOOKUP($B$14,'Annual Parameters'!$B$33:$D$143,3,0) / VLOOKUP(Noise!$B$14,'Annual Parameters'!$B$33:$D$143,3,0) * VLOOKUP($B$15,'Annual Parameters'!$B$33:$P$143,15,0) / VLOOKUP(Noise!$B$15,'Annual Parameters'!$B$33:$P$143,15,0)</f>
        <v>38.023005399709852</v>
      </c>
      <c r="U53" s="2753">
        <f>Noise!AB53 * VLOOKUP($B$14,'Annual Parameters'!$B$33:$D$143,3,0) / VLOOKUP(Noise!$B$14,'Annual Parameters'!$B$33:$D$143,3,0) * VLOOKUP($B$15,'Annual Parameters'!$B$33:$P$143,15,0) / VLOOKUP(Noise!$B$15,'Annual Parameters'!$B$33:$P$143,15,0)</f>
        <v>84.333723426101585</v>
      </c>
    </row>
    <row r="54" spans="1:21" ht="13.5" customHeight="1">
      <c r="A54" s="953"/>
      <c r="B54" s="2547">
        <v>70</v>
      </c>
      <c r="C54" s="2738">
        <v>71</v>
      </c>
      <c r="D54" s="2751">
        <f>Noise!K54 * VLOOKUP($B$14,'Annual Parameters'!$B$33:$D$143,3,0) / VLOOKUP(Noise!$B$14,'Annual Parameters'!$B$33:$D$143,3,0) * VLOOKUP($B$15,'Annual Parameters'!$B$33:$P$143,15,0) / VLOOKUP(Noise!$B$15,'Annual Parameters'!$B$33:$P$143,15,0)</f>
        <v>48.46827589429877</v>
      </c>
      <c r="E54" s="2752">
        <f>Noise!L54 * VLOOKUP($B$14,'Annual Parameters'!$B$33:$D$143,3,0) / VLOOKUP(Noise!$B$14,'Annual Parameters'!$B$33:$D$143,3,0) * VLOOKUP($B$15,'Annual Parameters'!$B$33:$P$143,15,0) / VLOOKUP(Noise!$B$15,'Annual Parameters'!$B$33:$P$143,15,0)</f>
        <v>20.187024423312295</v>
      </c>
      <c r="F54" s="2752">
        <f>Noise!M54 * VLOOKUP($B$14,'Annual Parameters'!$B$33:$D$143,3,0) / VLOOKUP(Noise!$B$14,'Annual Parameters'!$B$33:$D$143,3,0) * VLOOKUP($B$15,'Annual Parameters'!$B$33:$P$143,15,0) / VLOOKUP(Noise!$B$15,'Annual Parameters'!$B$33:$P$143,15,0)</f>
        <v>2.4439646552047538</v>
      </c>
      <c r="G54" s="2752">
        <f>Noise!N54 * VLOOKUP($B$14,'Annual Parameters'!$B$33:$D$143,3,0) / VLOOKUP(Noise!$B$14,'Annual Parameters'!$B$33:$D$143,3,0) * VLOOKUP($B$15,'Annual Parameters'!$B$33:$P$143,15,0) / VLOOKUP(Noise!$B$15,'Annual Parameters'!$B$33:$P$143,15,0)</f>
        <v>3.6715636742569933</v>
      </c>
      <c r="H54" s="2752">
        <f>Noise!O54 * VLOOKUP($B$14,'Annual Parameters'!$B$33:$D$143,3,0) / VLOOKUP(Noise!$B$14,'Annual Parameters'!$B$33:$D$143,3,0) * VLOOKUP($B$15,'Annual Parameters'!$B$33:$P$143,15,0) / VLOOKUP(Noise!$B$15,'Annual Parameters'!$B$33:$P$143,15,0)</f>
        <v>59.861439687680175</v>
      </c>
      <c r="I54" s="2751">
        <f>Noise!P54 * VLOOKUP($B$14,'Annual Parameters'!$B$33:$D$143,3,0) / VLOOKUP(Noise!$B$14,'Annual Parameters'!$B$33:$D$143,3,0) * VLOOKUP($B$15,'Annual Parameters'!$B$33:$P$143,15,0) / VLOOKUP(Noise!$B$15,'Annual Parameters'!$B$33:$P$143,15,0)</f>
        <v>36.33881768510971</v>
      </c>
      <c r="J54" s="2752">
        <f>Noise!Q54 * VLOOKUP($B$14,'Annual Parameters'!$B$33:$D$143,3,0) / VLOOKUP(Noise!$B$14,'Annual Parameters'!$B$33:$D$143,3,0) * VLOOKUP($B$15,'Annual Parameters'!$B$33:$P$143,15,0) / VLOOKUP(Noise!$B$15,'Annual Parameters'!$B$33:$P$143,15,0)</f>
        <v>17.114239769076754</v>
      </c>
      <c r="K54" s="2752">
        <f>Noise!R54 * VLOOKUP($B$14,'Annual Parameters'!$B$33:$D$143,3,0) / VLOOKUP(Noise!$B$14,'Annual Parameters'!$B$33:$D$143,3,0) * VLOOKUP($B$15,'Annual Parameters'!$B$33:$P$143,15,0) / VLOOKUP(Noise!$B$15,'Annual Parameters'!$B$33:$P$143,15,0)</f>
        <v>2.6541516877669311</v>
      </c>
      <c r="L54" s="2752">
        <f>Noise!S54 * VLOOKUP($B$14,'Annual Parameters'!$B$33:$D$143,3,0) / VLOOKUP(Noise!$B$14,'Annual Parameters'!$B$33:$D$143,3,0) * VLOOKUP($B$15,'Annual Parameters'!$B$33:$P$143,15,0) / VLOOKUP(Noise!$B$15,'Annual Parameters'!$B$33:$P$143,15,0)</f>
        <v>3.9878671466894637</v>
      </c>
      <c r="M54" s="2751">
        <f>Noise!T54 * VLOOKUP($B$14,'Annual Parameters'!$B$33:$D$143,3,0) / VLOOKUP(Noise!$B$14,'Annual Parameters'!$B$33:$D$143,3,0) * VLOOKUP($B$15,'Annual Parameters'!$B$33:$P$143,15,0) / VLOOKUP(Noise!$B$15,'Annual Parameters'!$B$33:$P$143,15,0)</f>
        <v>56.507273966505977</v>
      </c>
      <c r="N54" s="2752">
        <f>Noise!U54 * VLOOKUP($B$14,'Annual Parameters'!$B$33:$D$143,3,0) / VLOOKUP(Noise!$B$14,'Annual Parameters'!$B$33:$D$143,3,0) * VLOOKUP($B$15,'Annual Parameters'!$B$33:$P$143,15,0) / VLOOKUP(Noise!$B$15,'Annual Parameters'!$B$33:$P$143,15,0)</f>
        <v>17.114239769076754</v>
      </c>
      <c r="O54" s="2752">
        <f>Noise!V54 * VLOOKUP($B$14,'Annual Parameters'!$B$33:$D$143,3,0) / VLOOKUP(Noise!$B$14,'Annual Parameters'!$B$33:$D$143,3,0) * VLOOKUP($B$15,'Annual Parameters'!$B$33:$P$143,15,0) / VLOOKUP(Noise!$B$15,'Annual Parameters'!$B$33:$P$143,15,0)</f>
        <v>4.9404980792943594</v>
      </c>
      <c r="P54" s="2753">
        <f>Noise!W54 * VLOOKUP($B$14,'Annual Parameters'!$B$33:$D$143,3,0) / VLOOKUP(Noise!$B$14,'Annual Parameters'!$B$33:$D$143,3,0) * VLOOKUP($B$15,'Annual Parameters'!$B$33:$P$143,15,0) / VLOOKUP(Noise!$B$15,'Annual Parameters'!$B$33:$P$143,15,0)</f>
        <v>7.3551954157698471</v>
      </c>
      <c r="Q54" s="2547">
        <v>70</v>
      </c>
      <c r="R54" s="2738">
        <v>71</v>
      </c>
      <c r="S54" s="2751">
        <f>Noise!Z54 * VLOOKUP($B$14,'Annual Parameters'!$B$33:$D$143,3,0) / VLOOKUP(Noise!$B$14,'Annual Parameters'!$B$33:$D$143,3,0) * VLOOKUP($B$15,'Annual Parameters'!$B$33:$P$143,15,0) / VLOOKUP(Noise!$B$15,'Annual Parameters'!$B$33:$P$143,15,0)</f>
        <v>76.737509333328134</v>
      </c>
      <c r="T54" s="2752">
        <f>Noise!AA54 * VLOOKUP($B$14,'Annual Parameters'!$B$33:$D$143,3,0) / VLOOKUP(Noise!$B$14,'Annual Parameters'!$B$33:$D$143,3,0) * VLOOKUP($B$15,'Annual Parameters'!$B$33:$P$143,15,0) / VLOOKUP(Noise!$B$15,'Annual Parameters'!$B$33:$P$143,15,0)</f>
        <v>38.023005399709852</v>
      </c>
      <c r="U54" s="2753">
        <f>Noise!AB54 * VLOOKUP($B$14,'Annual Parameters'!$B$33:$D$143,3,0) / VLOOKUP(Noise!$B$14,'Annual Parameters'!$B$33:$D$143,3,0) * VLOOKUP($B$15,'Annual Parameters'!$B$33:$P$143,15,0) / VLOOKUP(Noise!$B$15,'Annual Parameters'!$B$33:$P$143,15,0)</f>
        <v>84.333723426101585</v>
      </c>
    </row>
    <row r="55" spans="1:21" ht="13.5" customHeight="1">
      <c r="A55" s="953"/>
      <c r="B55" s="2547">
        <v>71</v>
      </c>
      <c r="C55" s="2738">
        <v>72</v>
      </c>
      <c r="D55" s="2751">
        <f>Noise!K55 * VLOOKUP($B$14,'Annual Parameters'!$B$33:$D$143,3,0) / VLOOKUP(Noise!$B$14,'Annual Parameters'!$B$33:$D$143,3,0) * VLOOKUP($B$15,'Annual Parameters'!$B$33:$P$143,15,0) / VLOOKUP(Noise!$B$15,'Annual Parameters'!$B$33:$P$143,15,0)</f>
        <v>51.471577066928575</v>
      </c>
      <c r="E55" s="2752">
        <f>Noise!L55 * VLOOKUP($B$14,'Annual Parameters'!$B$33:$D$143,3,0) / VLOOKUP(Noise!$B$14,'Annual Parameters'!$B$33:$D$143,3,0) * VLOOKUP($B$15,'Annual Parameters'!$B$33:$P$143,15,0) / VLOOKUP(Noise!$B$15,'Annual Parameters'!$B$33:$P$143,15,0)</f>
        <v>21.776058233355336</v>
      </c>
      <c r="F55" s="2752">
        <f>Noise!M55 * VLOOKUP($B$14,'Annual Parameters'!$B$33:$D$143,3,0) / VLOOKUP(Noise!$B$14,'Annual Parameters'!$B$33:$D$143,3,0) * VLOOKUP($B$15,'Annual Parameters'!$B$33:$P$143,15,0) / VLOOKUP(Noise!$B$15,'Annual Parameters'!$B$33:$P$143,15,0)</f>
        <v>2.4501440970377266</v>
      </c>
      <c r="G55" s="2752">
        <f>Noise!N55 * VLOOKUP($B$14,'Annual Parameters'!$B$33:$D$143,3,0) / VLOOKUP(Noise!$B$14,'Annual Parameters'!$B$33:$D$143,3,0) * VLOOKUP($B$15,'Annual Parameters'!$B$33:$P$143,15,0) / VLOOKUP(Noise!$B$15,'Annual Parameters'!$B$33:$P$143,15,0)</f>
        <v>3.6794127824703535</v>
      </c>
      <c r="H55" s="2752">
        <f>Noise!O55 * VLOOKUP($B$14,'Annual Parameters'!$B$33:$D$143,3,0) / VLOOKUP(Noise!$B$14,'Annual Parameters'!$B$33:$D$143,3,0) * VLOOKUP($B$15,'Annual Parameters'!$B$33:$P$143,15,0) / VLOOKUP(Noise!$B$15,'Annual Parameters'!$B$33:$P$143,15,0)</f>
        <v>61.921660294914574</v>
      </c>
      <c r="I55" s="2751">
        <f>Noise!P55 * VLOOKUP($B$14,'Annual Parameters'!$B$33:$D$143,3,0) / VLOOKUP(Noise!$B$14,'Annual Parameters'!$B$33:$D$143,3,0) * VLOOKUP($B$15,'Annual Parameters'!$B$33:$P$143,15,0) / VLOOKUP(Noise!$B$15,'Annual Parameters'!$B$33:$P$143,15,0)</f>
        <v>39.034796371587809</v>
      </c>
      <c r="J55" s="2752">
        <f>Noise!Q55 * VLOOKUP($B$14,'Annual Parameters'!$B$33:$D$143,3,0) / VLOOKUP(Noise!$B$14,'Annual Parameters'!$B$33:$D$143,3,0) * VLOOKUP($B$15,'Annual Parameters'!$B$33:$P$143,15,0) / VLOOKUP(Noise!$B$15,'Annual Parameters'!$B$33:$P$143,15,0)</f>
        <v>18.633084935219298</v>
      </c>
      <c r="K55" s="2752">
        <f>Noise!R55 * VLOOKUP($B$14,'Annual Parameters'!$B$33:$D$143,3,0) / VLOOKUP(Noise!$B$14,'Annual Parameters'!$B$33:$D$143,3,0) * VLOOKUP($B$15,'Annual Parameters'!$B$33:$P$143,15,0) / VLOOKUP(Noise!$B$15,'Annual Parameters'!$B$33:$P$143,15,0)</f>
        <v>2.6614461950973403</v>
      </c>
      <c r="L55" s="2752">
        <f>Noise!S55 * VLOOKUP($B$14,'Annual Parameters'!$B$33:$D$143,3,0) / VLOOKUP(Noise!$B$14,'Annual Parameters'!$B$33:$D$143,3,0) * VLOOKUP($B$15,'Annual Parameters'!$B$33:$P$143,15,0) / VLOOKUP(Noise!$B$15,'Annual Parameters'!$B$33:$P$143,15,0)</f>
        <v>3.9971343872085181</v>
      </c>
      <c r="M55" s="2751">
        <f>Noise!T55 * VLOOKUP($B$14,'Annual Parameters'!$B$33:$D$143,3,0) / VLOOKUP(Noise!$B$14,'Annual Parameters'!$B$33:$D$143,3,0) * VLOOKUP($B$15,'Annual Parameters'!$B$33:$P$143,15,0) / VLOOKUP(Noise!$B$15,'Annual Parameters'!$B$33:$P$143,15,0)</f>
        <v>58.038785260110309</v>
      </c>
      <c r="N55" s="2752">
        <f>Noise!U55 * VLOOKUP($B$14,'Annual Parameters'!$B$33:$D$143,3,0) / VLOOKUP(Noise!$B$14,'Annual Parameters'!$B$33:$D$143,3,0) * VLOOKUP($B$15,'Annual Parameters'!$B$33:$P$143,15,0) / VLOOKUP(Noise!$B$15,'Annual Parameters'!$B$33:$P$143,15,0)</f>
        <v>18.633084935219298</v>
      </c>
      <c r="O55" s="2752">
        <f>Noise!V55 * VLOOKUP($B$14,'Annual Parameters'!$B$33:$D$143,3,0) / VLOOKUP(Noise!$B$14,'Annual Parameters'!$B$33:$D$143,3,0) * VLOOKUP($B$15,'Annual Parameters'!$B$33:$P$143,15,0) / VLOOKUP(Noise!$B$15,'Annual Parameters'!$B$33:$P$143,15,0)</f>
        <v>4.964886753242495</v>
      </c>
      <c r="P55" s="2753">
        <f>Noise!W55 * VLOOKUP($B$14,'Annual Parameters'!$B$33:$D$143,3,0) / VLOOKUP(Noise!$B$14,'Annual Parameters'!$B$33:$D$143,3,0) * VLOOKUP($B$15,'Annual Parameters'!$B$33:$P$143,15,0) / VLOOKUP(Noise!$B$15,'Annual Parameters'!$B$33:$P$143,15,0)</f>
        <v>7.3856269198631814</v>
      </c>
      <c r="Q55" s="2547">
        <v>71</v>
      </c>
      <c r="R55" s="2738">
        <v>72</v>
      </c>
      <c r="S55" s="2751">
        <f>Noise!Z55 * VLOOKUP($B$14,'Annual Parameters'!$B$33:$D$143,3,0) / VLOOKUP(Noise!$B$14,'Annual Parameters'!$B$33:$D$143,3,0) * VLOOKUP($B$15,'Annual Parameters'!$B$33:$P$143,15,0) / VLOOKUP(Noise!$B$15,'Annual Parameters'!$B$33:$P$143,15,0)</f>
        <v>76.737509333328134</v>
      </c>
      <c r="T55" s="2752">
        <f>Noise!AA55 * VLOOKUP($B$14,'Annual Parameters'!$B$33:$D$143,3,0) / VLOOKUP(Noise!$B$14,'Annual Parameters'!$B$33:$D$143,3,0) * VLOOKUP($B$15,'Annual Parameters'!$B$33:$P$143,15,0) / VLOOKUP(Noise!$B$15,'Annual Parameters'!$B$33:$P$143,15,0)</f>
        <v>38.023005399709852</v>
      </c>
      <c r="U55" s="2753">
        <f>Noise!AB55 * VLOOKUP($B$14,'Annual Parameters'!$B$33:$D$143,3,0) / VLOOKUP(Noise!$B$14,'Annual Parameters'!$B$33:$D$143,3,0) * VLOOKUP($B$15,'Annual Parameters'!$B$33:$P$143,15,0) / VLOOKUP(Noise!$B$15,'Annual Parameters'!$B$33:$P$143,15,0)</f>
        <v>84.333723426101585</v>
      </c>
    </row>
    <row r="56" spans="1:21" ht="13.5" customHeight="1">
      <c r="A56" s="953"/>
      <c r="B56" s="2547">
        <v>72</v>
      </c>
      <c r="C56" s="2738">
        <v>73</v>
      </c>
      <c r="D56" s="2751">
        <f>Noise!K56 * VLOOKUP($B$14,'Annual Parameters'!$B$33:$D$143,3,0) / VLOOKUP(Noise!$B$14,'Annual Parameters'!$B$33:$D$143,3,0) * VLOOKUP($B$15,'Annual Parameters'!$B$33:$P$143,15,0) / VLOOKUP(Noise!$B$15,'Annual Parameters'!$B$33:$P$143,15,0)</f>
        <v>54.587612451109493</v>
      </c>
      <c r="E56" s="2752">
        <f>Noise!L56 * VLOOKUP($B$14,'Annual Parameters'!$B$33:$D$143,3,0) / VLOOKUP(Noise!$B$14,'Annual Parameters'!$B$33:$D$143,3,0) * VLOOKUP($B$15,'Annual Parameters'!$B$33:$P$143,15,0) / VLOOKUP(Noise!$B$15,'Annual Parameters'!$B$33:$P$143,15,0)</f>
        <v>23.400186365347995</v>
      </c>
      <c r="F56" s="2752">
        <f>Noise!M56 * VLOOKUP($B$14,'Annual Parameters'!$B$33:$D$143,3,0) / VLOOKUP(Noise!$B$14,'Annual Parameters'!$B$33:$D$143,3,0) * VLOOKUP($B$15,'Annual Parameters'!$B$33:$P$143,15,0) / VLOOKUP(Noise!$B$15,'Annual Parameters'!$B$33:$P$143,15,0)</f>
        <v>2.4563412260874178</v>
      </c>
      <c r="G56" s="2752">
        <f>Noise!N56 * VLOOKUP($B$14,'Annual Parameters'!$B$33:$D$143,3,0) / VLOOKUP(Noise!$B$14,'Annual Parameters'!$B$33:$D$143,3,0) * VLOOKUP($B$15,'Annual Parameters'!$B$33:$P$143,15,0) / VLOOKUP(Noise!$B$15,'Annual Parameters'!$B$33:$P$143,15,0)</f>
        <v>3.6872793854217618</v>
      </c>
      <c r="H56" s="2752">
        <f>Noise!O56 * VLOOKUP($B$14,'Annual Parameters'!$B$33:$D$143,3,0) / VLOOKUP(Noise!$B$14,'Annual Parameters'!$B$33:$D$143,3,0) * VLOOKUP($B$15,'Annual Parameters'!$B$33:$P$143,15,0) / VLOOKUP(Noise!$B$15,'Annual Parameters'!$B$33:$P$143,15,0)</f>
        <v>63.981880902148994</v>
      </c>
      <c r="I56" s="2751">
        <f>Noise!P56 * VLOOKUP($B$14,'Annual Parameters'!$B$33:$D$143,3,0) / VLOOKUP(Noise!$B$14,'Annual Parameters'!$B$33:$D$143,3,0) * VLOOKUP($B$15,'Annual Parameters'!$B$33:$P$143,15,0) / VLOOKUP(Noise!$B$15,'Annual Parameters'!$B$33:$P$143,15,0)</f>
        <v>41.836979256516017</v>
      </c>
      <c r="J56" s="2752">
        <f>Noise!Q56 * VLOOKUP($B$14,'Annual Parameters'!$B$33:$D$143,3,0) / VLOOKUP(Noise!$B$14,'Annual Parameters'!$B$33:$D$143,3,0) * VLOOKUP($B$15,'Annual Parameters'!$B$33:$P$143,15,0) / VLOOKUP(Noise!$B$15,'Annual Parameters'!$B$33:$P$143,15,0)</f>
        <v>20.187024423312295</v>
      </c>
      <c r="K56" s="2752">
        <f>Noise!R56 * VLOOKUP($B$14,'Annual Parameters'!$B$33:$D$143,3,0) / VLOOKUP(Noise!$B$14,'Annual Parameters'!$B$33:$D$143,3,0) * VLOOKUP($B$15,'Annual Parameters'!$B$33:$P$143,15,0) / VLOOKUP(Noise!$B$15,'Annual Parameters'!$B$33:$P$143,15,0)</f>
        <v>2.6687633973544149</v>
      </c>
      <c r="L56" s="2752">
        <f>Noise!S56 * VLOOKUP($B$14,'Annual Parameters'!$B$33:$D$143,3,0) / VLOOKUP(Noise!$B$14,'Annual Parameters'!$B$33:$D$143,3,0) * VLOOKUP($B$15,'Annual Parameters'!$B$33:$P$143,15,0) / VLOOKUP(Noise!$B$15,'Annual Parameters'!$B$33:$P$143,15,0)</f>
        <v>4.0064240811044742</v>
      </c>
      <c r="M56" s="2751">
        <f>Noise!T56 * VLOOKUP($B$14,'Annual Parameters'!$B$33:$D$143,3,0) / VLOOKUP(Noise!$B$14,'Annual Parameters'!$B$33:$D$143,3,0) * VLOOKUP($B$15,'Annual Parameters'!$B$33:$P$143,15,0) / VLOOKUP(Noise!$B$15,'Annual Parameters'!$B$33:$P$143,15,0)</f>
        <v>59.556800595411936</v>
      </c>
      <c r="N56" s="2752">
        <f>Noise!U56 * VLOOKUP($B$14,'Annual Parameters'!$B$33:$D$143,3,0) / VLOOKUP(Noise!$B$14,'Annual Parameters'!$B$33:$D$143,3,0) * VLOOKUP($B$15,'Annual Parameters'!$B$33:$P$143,15,0) / VLOOKUP(Noise!$B$15,'Annual Parameters'!$B$33:$P$143,15,0)</f>
        <v>20.187024423312295</v>
      </c>
      <c r="O56" s="2752">
        <f>Noise!V56 * VLOOKUP($B$14,'Annual Parameters'!$B$33:$D$143,3,0) / VLOOKUP(Noise!$B$14,'Annual Parameters'!$B$33:$D$143,3,0) * VLOOKUP($B$15,'Annual Parameters'!$B$33:$P$143,15,0) / VLOOKUP(Noise!$B$15,'Annual Parameters'!$B$33:$P$143,15,0)</f>
        <v>4.989412392300193</v>
      </c>
      <c r="P56" s="2753">
        <f>Noise!W56 * VLOOKUP($B$14,'Annual Parameters'!$B$33:$D$143,3,0) / VLOOKUP(Noise!$B$14,'Annual Parameters'!$B$33:$D$143,3,0) * VLOOKUP($B$15,'Annual Parameters'!$B$33:$P$143,15,0) / VLOOKUP(Noise!$B$15,'Annual Parameters'!$B$33:$P$143,15,0)</f>
        <v>7.4161898023745634</v>
      </c>
      <c r="Q56" s="2547">
        <v>72</v>
      </c>
      <c r="R56" s="2738">
        <v>73</v>
      </c>
      <c r="S56" s="2751">
        <f>Noise!Z56 * VLOOKUP($B$14,'Annual Parameters'!$B$33:$D$143,3,0) / VLOOKUP(Noise!$B$14,'Annual Parameters'!$B$33:$D$143,3,0) * VLOOKUP($B$15,'Annual Parameters'!$B$33:$P$143,15,0) / VLOOKUP(Noise!$B$15,'Annual Parameters'!$B$33:$P$143,15,0)</f>
        <v>76.737509333328134</v>
      </c>
      <c r="T56" s="2752">
        <f>Noise!AA56 * VLOOKUP($B$14,'Annual Parameters'!$B$33:$D$143,3,0) / VLOOKUP(Noise!$B$14,'Annual Parameters'!$B$33:$D$143,3,0) * VLOOKUP($B$15,'Annual Parameters'!$B$33:$P$143,15,0) / VLOOKUP(Noise!$B$15,'Annual Parameters'!$B$33:$P$143,15,0)</f>
        <v>38.023005399709852</v>
      </c>
      <c r="U56" s="2753">
        <f>Noise!AB56 * VLOOKUP($B$14,'Annual Parameters'!$B$33:$D$143,3,0) / VLOOKUP(Noise!$B$14,'Annual Parameters'!$B$33:$D$143,3,0) * VLOOKUP($B$15,'Annual Parameters'!$B$33:$P$143,15,0) / VLOOKUP(Noise!$B$15,'Annual Parameters'!$B$33:$P$143,15,0)</f>
        <v>84.333723426101585</v>
      </c>
    </row>
    <row r="57" spans="1:21" ht="13.5" customHeight="1">
      <c r="A57" s="953"/>
      <c r="B57" s="2547">
        <v>73</v>
      </c>
      <c r="C57" s="2738">
        <v>74</v>
      </c>
      <c r="D57" s="2751">
        <f>Noise!K57 * VLOOKUP($B$14,'Annual Parameters'!$B$33:$D$143,3,0) / VLOOKUP(Noise!$B$14,'Annual Parameters'!$B$33:$D$143,3,0) * VLOOKUP($B$15,'Annual Parameters'!$B$33:$P$143,15,0) / VLOOKUP(Noise!$B$15,'Annual Parameters'!$B$33:$P$143,15,0)</f>
        <v>57.816382046841767</v>
      </c>
      <c r="E57" s="2752">
        <f>Noise!L57 * VLOOKUP($B$14,'Annual Parameters'!$B$33:$D$143,3,0) / VLOOKUP(Noise!$B$14,'Annual Parameters'!$B$33:$D$143,3,0) * VLOOKUP($B$15,'Annual Parameters'!$B$33:$P$143,15,0) / VLOOKUP(Noise!$B$15,'Annual Parameters'!$B$33:$P$143,15,0)</f>
        <v>25.05940881929028</v>
      </c>
      <c r="F57" s="2752">
        <f>Noise!M57 * VLOOKUP($B$14,'Annual Parameters'!$B$33:$D$143,3,0) / VLOOKUP(Noise!$B$14,'Annual Parameters'!$B$33:$D$143,3,0) * VLOOKUP($B$15,'Annual Parameters'!$B$33:$P$143,15,0) / VLOOKUP(Noise!$B$15,'Annual Parameters'!$B$33:$P$143,15,0)</f>
        <v>2.4625560998098646</v>
      </c>
      <c r="G57" s="2752">
        <f>Noise!N57 * VLOOKUP($B$14,'Annual Parameters'!$B$33:$D$143,3,0) / VLOOKUP(Noise!$B$14,'Annual Parameters'!$B$33:$D$143,3,0) * VLOOKUP($B$15,'Annual Parameters'!$B$33:$P$143,15,0) / VLOOKUP(Noise!$B$15,'Annual Parameters'!$B$33:$P$143,15,0)</f>
        <v>3.6951635236711717</v>
      </c>
      <c r="H57" s="2752">
        <f>Noise!O57 * VLOOKUP($B$14,'Annual Parameters'!$B$33:$D$143,3,0) / VLOOKUP(Noise!$B$14,'Annual Parameters'!$B$33:$D$143,3,0) * VLOOKUP($B$15,'Annual Parameters'!$B$33:$P$143,15,0) / VLOOKUP(Noise!$B$15,'Annual Parameters'!$B$33:$P$143,15,0)</f>
        <v>66.042101509385219</v>
      </c>
      <c r="I57" s="2751">
        <f>Noise!P57 * VLOOKUP($B$14,'Annual Parameters'!$B$33:$D$143,3,0) / VLOOKUP(Noise!$B$14,'Annual Parameters'!$B$33:$D$143,3,0) * VLOOKUP($B$15,'Annual Parameters'!$B$33:$P$143,15,0) / VLOOKUP(Noise!$B$15,'Annual Parameters'!$B$33:$P$143,15,0)</f>
        <v>44.745366339894538</v>
      </c>
      <c r="J57" s="2752">
        <f>Noise!Q57 * VLOOKUP($B$14,'Annual Parameters'!$B$33:$D$143,3,0) / VLOOKUP(Noise!$B$14,'Annual Parameters'!$B$33:$D$143,3,0) * VLOOKUP($B$15,'Annual Parameters'!$B$33:$P$143,15,0) / VLOOKUP(Noise!$B$15,'Annual Parameters'!$B$33:$P$143,15,0)</f>
        <v>21.776058233355336</v>
      </c>
      <c r="K57" s="2752">
        <f>Noise!R57 * VLOOKUP($B$14,'Annual Parameters'!$B$33:$D$143,3,0) / VLOOKUP(Noise!$B$14,'Annual Parameters'!$B$33:$D$143,3,0) * VLOOKUP($B$15,'Annual Parameters'!$B$33:$P$143,15,0) / VLOOKUP(Noise!$B$15,'Annual Parameters'!$B$33:$P$143,15,0)</f>
        <v>2.6761033746770129</v>
      </c>
      <c r="L57" s="2752">
        <f>Noise!S57 * VLOOKUP($B$14,'Annual Parameters'!$B$33:$D$143,3,0) / VLOOKUP(Noise!$B$14,'Annual Parameters'!$B$33:$D$143,3,0) * VLOOKUP($B$15,'Annual Parameters'!$B$33:$P$143,15,0) / VLOOKUP(Noise!$B$15,'Annual Parameters'!$B$33:$P$143,15,0)</f>
        <v>4.0157362849652225</v>
      </c>
      <c r="M57" s="2751">
        <f>Noise!T57 * VLOOKUP($B$14,'Annual Parameters'!$B$33:$D$143,3,0) / VLOOKUP(Noise!$B$14,'Annual Parameters'!$B$33:$D$143,3,0) * VLOOKUP($B$15,'Annual Parameters'!$B$33:$P$143,15,0) / VLOOKUP(Noise!$B$15,'Annual Parameters'!$B$33:$P$143,15,0)</f>
        <v>61.061319972410317</v>
      </c>
      <c r="N57" s="2752">
        <f>Noise!U57 * VLOOKUP($B$14,'Annual Parameters'!$B$33:$D$143,3,0) / VLOOKUP(Noise!$B$14,'Annual Parameters'!$B$33:$D$143,3,0) * VLOOKUP($B$15,'Annual Parameters'!$B$33:$P$143,15,0) / VLOOKUP(Noise!$B$15,'Annual Parameters'!$B$33:$P$143,15,0)</f>
        <v>21.776058233355336</v>
      </c>
      <c r="O57" s="2752">
        <f>Noise!V57 * VLOOKUP($B$14,'Annual Parameters'!$B$33:$D$143,3,0) / VLOOKUP(Noise!$B$14,'Annual Parameters'!$B$33:$D$143,3,0) * VLOOKUP($B$15,'Annual Parameters'!$B$33:$P$143,15,0) / VLOOKUP(Noise!$B$15,'Annual Parameters'!$B$33:$P$143,15,0)</f>
        <v>5.0140758726377346</v>
      </c>
      <c r="P57" s="2753">
        <f>Noise!W57 * VLOOKUP($B$14,'Annual Parameters'!$B$33:$D$143,3,0) / VLOOKUP(Noise!$B$14,'Annual Parameters'!$B$33:$D$143,3,0) * VLOOKUP($B$15,'Annual Parameters'!$B$33:$P$143,15,0) / VLOOKUP(Noise!$B$15,'Annual Parameters'!$B$33:$P$143,15,0)</f>
        <v>7.4468846536640987</v>
      </c>
      <c r="Q57" s="2547">
        <v>73</v>
      </c>
      <c r="R57" s="2738">
        <v>74</v>
      </c>
      <c r="S57" s="2751">
        <f>Noise!Z57 * VLOOKUP($B$14,'Annual Parameters'!$B$33:$D$143,3,0) / VLOOKUP(Noise!$B$14,'Annual Parameters'!$B$33:$D$143,3,0) * VLOOKUP($B$15,'Annual Parameters'!$B$33:$P$143,15,0) / VLOOKUP(Noise!$B$15,'Annual Parameters'!$B$33:$P$143,15,0)</f>
        <v>76.737509333328134</v>
      </c>
      <c r="T57" s="2752">
        <f>Noise!AA57 * VLOOKUP($B$14,'Annual Parameters'!$B$33:$D$143,3,0) / VLOOKUP(Noise!$B$14,'Annual Parameters'!$B$33:$D$143,3,0) * VLOOKUP($B$15,'Annual Parameters'!$B$33:$P$143,15,0) / VLOOKUP(Noise!$B$15,'Annual Parameters'!$B$33:$P$143,15,0)</f>
        <v>38.023005399709852</v>
      </c>
      <c r="U57" s="2753">
        <f>Noise!AB57 * VLOOKUP($B$14,'Annual Parameters'!$B$33:$D$143,3,0) / VLOOKUP(Noise!$B$14,'Annual Parameters'!$B$33:$D$143,3,0) * VLOOKUP($B$15,'Annual Parameters'!$B$33:$P$143,15,0) / VLOOKUP(Noise!$B$15,'Annual Parameters'!$B$33:$P$143,15,0)</f>
        <v>84.333723426101585</v>
      </c>
    </row>
    <row r="58" spans="1:21" ht="13.5" customHeight="1">
      <c r="A58" s="953"/>
      <c r="B58" s="2547">
        <v>74</v>
      </c>
      <c r="C58" s="2738">
        <v>75</v>
      </c>
      <c r="D58" s="2751">
        <f>Noise!K58 * VLOOKUP($B$14,'Annual Parameters'!$B$33:$D$143,3,0) / VLOOKUP(Noise!$B$14,'Annual Parameters'!$B$33:$D$143,3,0) * VLOOKUP($B$15,'Annual Parameters'!$B$33:$P$143,15,0) / VLOOKUP(Noise!$B$15,'Annual Parameters'!$B$33:$P$143,15,0)</f>
        <v>61.157885854126782</v>
      </c>
      <c r="E58" s="2752">
        <f>Noise!L58 * VLOOKUP($B$14,'Annual Parameters'!$B$33:$D$143,3,0) / VLOOKUP(Noise!$B$14,'Annual Parameters'!$B$33:$D$143,3,0) * VLOOKUP($B$15,'Annual Parameters'!$B$33:$P$143,15,0) / VLOOKUP(Noise!$B$15,'Annual Parameters'!$B$33:$P$143,15,0)</f>
        <v>26.753725595182619</v>
      </c>
      <c r="F58" s="2752">
        <f>Noise!M58 * VLOOKUP($B$14,'Annual Parameters'!$B$33:$D$143,3,0) / VLOOKUP(Noise!$B$14,'Annual Parameters'!$B$33:$D$143,3,0) * VLOOKUP($B$15,'Annual Parameters'!$B$33:$P$143,15,0) / VLOOKUP(Noise!$B$15,'Annual Parameters'!$B$33:$P$143,15,0)</f>
        <v>2.468788775870046</v>
      </c>
      <c r="G58" s="2752">
        <f>Noise!N58 * VLOOKUP($B$14,'Annual Parameters'!$B$33:$D$143,3,0) / VLOOKUP(Noise!$B$14,'Annual Parameters'!$B$33:$D$143,3,0) * VLOOKUP($B$15,'Annual Parameters'!$B$33:$P$143,15,0) / VLOOKUP(Noise!$B$15,'Annual Parameters'!$B$33:$P$143,15,0)</f>
        <v>3.7030652378763294</v>
      </c>
      <c r="H58" s="2752">
        <f>Noise!O58 * VLOOKUP($B$14,'Annual Parameters'!$B$33:$D$143,3,0) / VLOOKUP(Noise!$B$14,'Annual Parameters'!$B$33:$D$143,3,0) * VLOOKUP($B$15,'Annual Parameters'!$B$33:$P$143,15,0) / VLOOKUP(Noise!$B$15,'Annual Parameters'!$B$33:$P$143,15,0)</f>
        <v>68.10232211661841</v>
      </c>
      <c r="I58" s="2751">
        <f>Noise!P58 * VLOOKUP($B$14,'Annual Parameters'!$B$33:$D$143,3,0) / VLOOKUP(Noise!$B$14,'Annual Parameters'!$B$33:$D$143,3,0) * VLOOKUP($B$15,'Annual Parameters'!$B$33:$P$143,15,0) / VLOOKUP(Noise!$B$15,'Annual Parameters'!$B$33:$P$143,15,0)</f>
        <v>47.759957621723316</v>
      </c>
      <c r="J58" s="2752">
        <f>Noise!Q58 * VLOOKUP($B$14,'Annual Parameters'!$B$33:$D$143,3,0) / VLOOKUP(Noise!$B$14,'Annual Parameters'!$B$33:$D$143,3,0) * VLOOKUP($B$15,'Annual Parameters'!$B$33:$P$143,15,0) / VLOOKUP(Noise!$B$15,'Annual Parameters'!$B$33:$P$143,15,0)</f>
        <v>23.400186365347995</v>
      </c>
      <c r="K58" s="2752">
        <f>Noise!R58 * VLOOKUP($B$14,'Annual Parameters'!$B$33:$D$143,3,0) / VLOOKUP(Noise!$B$14,'Annual Parameters'!$B$33:$D$143,3,0) * VLOOKUP($B$15,'Annual Parameters'!$B$33:$P$143,15,0) / VLOOKUP(Noise!$B$15,'Annual Parameters'!$B$33:$P$143,15,0)</f>
        <v>2.6834662075202811</v>
      </c>
      <c r="L58" s="2752">
        <f>Noise!S58 * VLOOKUP($B$14,'Annual Parameters'!$B$33:$D$143,3,0) / VLOOKUP(Noise!$B$14,'Annual Parameters'!$B$33:$D$143,3,0) * VLOOKUP($B$15,'Annual Parameters'!$B$33:$P$143,15,0) / VLOOKUP(Noise!$B$15,'Annual Parameters'!$B$33:$P$143,15,0)</f>
        <v>4.0250710555258244</v>
      </c>
      <c r="M58" s="2751">
        <f>Noise!T58 * VLOOKUP($B$14,'Annual Parameters'!$B$33:$D$143,3,0) / VLOOKUP(Noise!$B$14,'Annual Parameters'!$B$33:$D$143,3,0) * VLOOKUP($B$15,'Annual Parameters'!$B$33:$P$143,15,0) / VLOOKUP(Noise!$B$15,'Annual Parameters'!$B$33:$P$143,15,0)</f>
        <v>62.552343391105843</v>
      </c>
      <c r="N58" s="2752">
        <f>Noise!U58 * VLOOKUP($B$14,'Annual Parameters'!$B$33:$D$143,3,0) / VLOOKUP(Noise!$B$14,'Annual Parameters'!$B$33:$D$143,3,0) * VLOOKUP($B$15,'Annual Parameters'!$B$33:$P$143,15,0) / VLOOKUP(Noise!$B$15,'Annual Parameters'!$B$33:$P$143,15,0)</f>
        <v>23.400186365347995</v>
      </c>
      <c r="O58" s="2752">
        <f>Noise!V58 * VLOOKUP($B$14,'Annual Parameters'!$B$33:$D$143,3,0) / VLOOKUP(Noise!$B$14,'Annual Parameters'!$B$33:$D$143,3,0) * VLOOKUP($B$15,'Annual Parameters'!$B$33:$P$143,15,0) / VLOOKUP(Noise!$B$15,'Annual Parameters'!$B$33:$P$143,15,0)</f>
        <v>5.0388780767055126</v>
      </c>
      <c r="P58" s="2753">
        <f>Noise!W58 * VLOOKUP($B$14,'Annual Parameters'!$B$33:$D$143,3,0) / VLOOKUP(Noise!$B$14,'Annual Parameters'!$B$33:$D$143,3,0) * VLOOKUP($B$15,'Annual Parameters'!$B$33:$P$143,15,0) / VLOOKUP(Noise!$B$15,'Annual Parameters'!$B$33:$P$143,15,0)</f>
        <v>7.4777120668436572</v>
      </c>
      <c r="Q58" s="2547">
        <v>74</v>
      </c>
      <c r="R58" s="2738">
        <v>75</v>
      </c>
      <c r="S58" s="2751">
        <f>Noise!Z58 * VLOOKUP($B$14,'Annual Parameters'!$B$33:$D$143,3,0) / VLOOKUP(Noise!$B$14,'Annual Parameters'!$B$33:$D$143,3,0) * VLOOKUP($B$15,'Annual Parameters'!$B$33:$P$143,15,0) / VLOOKUP(Noise!$B$15,'Annual Parameters'!$B$33:$P$143,15,0)</f>
        <v>76.737509333328134</v>
      </c>
      <c r="T58" s="2752">
        <f>Noise!AA58 * VLOOKUP($B$14,'Annual Parameters'!$B$33:$D$143,3,0) / VLOOKUP(Noise!$B$14,'Annual Parameters'!$B$33:$D$143,3,0) * VLOOKUP($B$15,'Annual Parameters'!$B$33:$P$143,15,0) / VLOOKUP(Noise!$B$15,'Annual Parameters'!$B$33:$P$143,15,0)</f>
        <v>38.023005399709852</v>
      </c>
      <c r="U58" s="2753">
        <f>Noise!AB58 * VLOOKUP($B$14,'Annual Parameters'!$B$33:$D$143,3,0) / VLOOKUP(Noise!$B$14,'Annual Parameters'!$B$33:$D$143,3,0) * VLOOKUP($B$15,'Annual Parameters'!$B$33:$P$143,15,0) / VLOOKUP(Noise!$B$15,'Annual Parameters'!$B$33:$P$143,15,0)</f>
        <v>84.333723426101585</v>
      </c>
    </row>
    <row r="59" spans="1:21" ht="13.5" customHeight="1">
      <c r="A59" s="953"/>
      <c r="B59" s="2547">
        <v>75</v>
      </c>
      <c r="C59" s="2738">
        <v>76</v>
      </c>
      <c r="D59" s="2751">
        <f>Noise!K59 * VLOOKUP($B$14,'Annual Parameters'!$B$33:$D$143,3,0) / VLOOKUP(Noise!$B$14,'Annual Parameters'!$B$33:$D$143,3,0) * VLOOKUP($B$15,'Annual Parameters'!$B$33:$P$143,15,0) / VLOOKUP(Noise!$B$15,'Annual Parameters'!$B$33:$P$143,15,0)</f>
        <v>64.612123872962641</v>
      </c>
      <c r="E59" s="2752">
        <f>Noise!L59 * VLOOKUP($B$14,'Annual Parameters'!$B$33:$D$143,3,0) / VLOOKUP(Noise!$B$14,'Annual Parameters'!$B$33:$D$143,3,0) * VLOOKUP($B$15,'Annual Parameters'!$B$33:$P$143,15,0) / VLOOKUP(Noise!$B$15,'Annual Parameters'!$B$33:$P$143,15,0)</f>
        <v>28.483136693025809</v>
      </c>
      <c r="F59" s="2752">
        <f>Noise!M59 * VLOOKUP($B$14,'Annual Parameters'!$B$33:$D$143,3,0) / VLOOKUP(Noise!$B$14,'Annual Parameters'!$B$33:$D$143,3,0) * VLOOKUP($B$15,'Annual Parameters'!$B$33:$P$143,15,0) / VLOOKUP(Noise!$B$15,'Annual Parameters'!$B$33:$P$143,15,0)</f>
        <v>2.4750393121422278</v>
      </c>
      <c r="G59" s="2752">
        <f>Noise!N59 * VLOOKUP($B$14,'Annual Parameters'!$B$33:$D$143,3,0) / VLOOKUP(Noise!$B$14,'Annual Parameters'!$B$33:$D$143,3,0) * VLOOKUP($B$15,'Annual Parameters'!$B$33:$P$143,15,0) / VLOOKUP(Noise!$B$15,'Annual Parameters'!$B$33:$P$143,15,0)</f>
        <v>3.710984568792044</v>
      </c>
      <c r="H59" s="2752">
        <f>Noise!O59 * VLOOKUP($B$14,'Annual Parameters'!$B$33:$D$143,3,0) / VLOOKUP(Noise!$B$14,'Annual Parameters'!$B$33:$D$143,3,0) * VLOOKUP($B$15,'Annual Parameters'!$B$33:$P$143,15,0) / VLOOKUP(Noise!$B$15,'Annual Parameters'!$B$33:$P$143,15,0)</f>
        <v>68.10232211661841</v>
      </c>
      <c r="I59" s="2751">
        <f>Noise!P59 * VLOOKUP($B$14,'Annual Parameters'!$B$33:$D$143,3,0) / VLOOKUP(Noise!$B$14,'Annual Parameters'!$B$33:$D$143,3,0) * VLOOKUP($B$15,'Annual Parameters'!$B$33:$P$143,15,0) / VLOOKUP(Noise!$B$15,'Annual Parameters'!$B$33:$P$143,15,0)</f>
        <v>50.88075310200265</v>
      </c>
      <c r="J59" s="2752">
        <f>Noise!Q59 * VLOOKUP($B$14,'Annual Parameters'!$B$33:$D$143,3,0) / VLOOKUP(Noise!$B$14,'Annual Parameters'!$B$33:$D$143,3,0) * VLOOKUP($B$15,'Annual Parameters'!$B$33:$P$143,15,0) / VLOOKUP(Noise!$B$15,'Annual Parameters'!$B$33:$P$143,15,0)</f>
        <v>25.05940881929028</v>
      </c>
      <c r="K59" s="2752">
        <f>Noise!R59 * VLOOKUP($B$14,'Annual Parameters'!$B$33:$D$143,3,0) / VLOOKUP(Noise!$B$14,'Annual Parameters'!$B$33:$D$143,3,0) * VLOOKUP($B$15,'Annual Parameters'!$B$33:$P$143,15,0) / VLOOKUP(Noise!$B$15,'Annual Parameters'!$B$33:$P$143,15,0)</f>
        <v>2.6908519766577523</v>
      </c>
      <c r="L59" s="2752">
        <f>Noise!S59 * VLOOKUP($B$14,'Annual Parameters'!$B$33:$D$143,3,0) / VLOOKUP(Noise!$B$14,'Annual Parameters'!$B$33:$D$143,3,0) * VLOOKUP($B$15,'Annual Parameters'!$B$33:$P$143,15,0) / VLOOKUP(Noise!$B$15,'Annual Parameters'!$B$33:$P$143,15,0)</f>
        <v>4.0344284496702043</v>
      </c>
      <c r="M59" s="2751">
        <f>Noise!T59 * VLOOKUP($B$14,'Annual Parameters'!$B$33:$D$143,3,0) / VLOOKUP(Noise!$B$14,'Annual Parameters'!$B$33:$D$143,3,0) * VLOOKUP($B$15,'Annual Parameters'!$B$33:$P$143,15,0) / VLOOKUP(Noise!$B$15,'Annual Parameters'!$B$33:$P$143,15,0)</f>
        <v>64.029870851498998</v>
      </c>
      <c r="N59" s="2752">
        <f>Noise!U59 * VLOOKUP($B$14,'Annual Parameters'!$B$33:$D$143,3,0) / VLOOKUP(Noise!$B$14,'Annual Parameters'!$B$33:$D$143,3,0) * VLOOKUP($B$15,'Annual Parameters'!$B$33:$P$143,15,0) / VLOOKUP(Noise!$B$15,'Annual Parameters'!$B$33:$P$143,15,0)</f>
        <v>25.05940881929028</v>
      </c>
      <c r="O59" s="2752">
        <f>Noise!V59 * VLOOKUP($B$14,'Annual Parameters'!$B$33:$D$143,3,0) / VLOOKUP(Noise!$B$14,'Annual Parameters'!$B$33:$D$143,3,0) * VLOOKUP($B$15,'Annual Parameters'!$B$33:$P$143,15,0) / VLOOKUP(Noise!$B$15,'Annual Parameters'!$B$33:$P$143,15,0)</f>
        <v>5.0638198932821004</v>
      </c>
      <c r="P59" s="2753">
        <f>Noise!W59 * VLOOKUP($B$14,'Annual Parameters'!$B$33:$D$143,3,0) / VLOOKUP(Noise!$B$14,'Annual Parameters'!$B$33:$D$143,3,0) * VLOOKUP($B$15,'Annual Parameters'!$B$33:$P$143,15,0) / VLOOKUP(Noise!$B$15,'Annual Parameters'!$B$33:$P$143,15,0)</f>
        <v>7.5086726377881412</v>
      </c>
      <c r="Q59" s="2547">
        <v>75</v>
      </c>
      <c r="R59" s="2738">
        <v>76</v>
      </c>
      <c r="S59" s="2751">
        <f>Noise!Z59 * VLOOKUP($B$14,'Annual Parameters'!$B$33:$D$143,3,0) / VLOOKUP(Noise!$B$14,'Annual Parameters'!$B$33:$D$143,3,0) * VLOOKUP($B$15,'Annual Parameters'!$B$33:$P$143,15,0) / VLOOKUP(Noise!$B$15,'Annual Parameters'!$B$33:$P$143,15,0)</f>
        <v>76.737509333328134</v>
      </c>
      <c r="T59" s="2752">
        <f>Noise!AA59 * VLOOKUP($B$14,'Annual Parameters'!$B$33:$D$143,3,0) / VLOOKUP(Noise!$B$14,'Annual Parameters'!$B$33:$D$143,3,0) * VLOOKUP($B$15,'Annual Parameters'!$B$33:$P$143,15,0) / VLOOKUP(Noise!$B$15,'Annual Parameters'!$B$33:$P$143,15,0)</f>
        <v>38.023005399709852</v>
      </c>
      <c r="U59" s="2753">
        <f>Noise!AB59 * VLOOKUP($B$14,'Annual Parameters'!$B$33:$D$143,3,0) / VLOOKUP(Noise!$B$14,'Annual Parameters'!$B$33:$D$143,3,0) * VLOOKUP($B$15,'Annual Parameters'!$B$33:$P$143,15,0) / VLOOKUP(Noise!$B$15,'Annual Parameters'!$B$33:$P$143,15,0)</f>
        <v>84.333723426101585</v>
      </c>
    </row>
    <row r="60" spans="1:21" ht="13.5" customHeight="1">
      <c r="A60" s="953"/>
      <c r="B60" s="2547">
        <v>76</v>
      </c>
      <c r="C60" s="2738">
        <v>77</v>
      </c>
      <c r="D60" s="2751">
        <f>Noise!K60 * VLOOKUP($B$14,'Annual Parameters'!$B$33:$D$143,3,0) / VLOOKUP(Noise!$B$14,'Annual Parameters'!$B$33:$D$143,3,0) * VLOOKUP($B$15,'Annual Parameters'!$B$33:$P$143,15,0) / VLOOKUP(Noise!$B$15,'Annual Parameters'!$B$33:$P$143,15,0)</f>
        <v>64.612123872962641</v>
      </c>
      <c r="E60" s="2752">
        <f>Noise!L60 * VLOOKUP($B$14,'Annual Parameters'!$B$33:$D$143,3,0) / VLOOKUP(Noise!$B$14,'Annual Parameters'!$B$33:$D$143,3,0) * VLOOKUP($B$15,'Annual Parameters'!$B$33:$P$143,15,0) / VLOOKUP(Noise!$B$15,'Annual Parameters'!$B$33:$P$143,15,0)</f>
        <v>30.247642112817815</v>
      </c>
      <c r="F60" s="2752">
        <f>Noise!M60 * VLOOKUP($B$14,'Annual Parameters'!$B$33:$D$143,3,0) / VLOOKUP(Noise!$B$14,'Annual Parameters'!$B$33:$D$143,3,0) * VLOOKUP($B$15,'Annual Parameters'!$B$33:$P$143,15,0) / VLOOKUP(Noise!$B$15,'Annual Parameters'!$B$33:$P$143,15,0)</f>
        <v>2.4750393121422278</v>
      </c>
      <c r="G60" s="2752">
        <f>Noise!N60 * VLOOKUP($B$14,'Annual Parameters'!$B$33:$D$143,3,0) / VLOOKUP(Noise!$B$14,'Annual Parameters'!$B$33:$D$143,3,0) * VLOOKUP($B$15,'Annual Parameters'!$B$33:$P$143,15,0) / VLOOKUP(Noise!$B$15,'Annual Parameters'!$B$33:$P$143,15,0)</f>
        <v>3.710984568792044</v>
      </c>
      <c r="H60" s="2752">
        <f>Noise!O60 * VLOOKUP($B$14,'Annual Parameters'!$B$33:$D$143,3,0) / VLOOKUP(Noise!$B$14,'Annual Parameters'!$B$33:$D$143,3,0) * VLOOKUP($B$15,'Annual Parameters'!$B$33:$P$143,15,0) / VLOOKUP(Noise!$B$15,'Annual Parameters'!$B$33:$P$143,15,0)</f>
        <v>68.10232211661841</v>
      </c>
      <c r="I60" s="2751">
        <f>Noise!P60 * VLOOKUP($B$14,'Annual Parameters'!$B$33:$D$143,3,0) / VLOOKUP(Noise!$B$14,'Annual Parameters'!$B$33:$D$143,3,0) * VLOOKUP($B$15,'Annual Parameters'!$B$33:$P$143,15,0) / VLOOKUP(Noise!$B$15,'Annual Parameters'!$B$33:$P$143,15,0)</f>
        <v>50.88075310200265</v>
      </c>
      <c r="J60" s="2752">
        <f>Noise!Q60 * VLOOKUP($B$14,'Annual Parameters'!$B$33:$D$143,3,0) / VLOOKUP(Noise!$B$14,'Annual Parameters'!$B$33:$D$143,3,0) * VLOOKUP($B$15,'Annual Parameters'!$B$33:$P$143,15,0) / VLOOKUP(Noise!$B$15,'Annual Parameters'!$B$33:$P$143,15,0)</f>
        <v>26.753725595182619</v>
      </c>
      <c r="K60" s="2752">
        <f>Noise!R60 * VLOOKUP($B$14,'Annual Parameters'!$B$33:$D$143,3,0) / VLOOKUP(Noise!$B$14,'Annual Parameters'!$B$33:$D$143,3,0) * VLOOKUP($B$15,'Annual Parameters'!$B$33:$P$143,15,0) / VLOOKUP(Noise!$B$15,'Annual Parameters'!$B$33:$P$143,15,0)</f>
        <v>2.6908519766577523</v>
      </c>
      <c r="L60" s="2752">
        <f>Noise!S60 * VLOOKUP($B$14,'Annual Parameters'!$B$33:$D$143,3,0) / VLOOKUP(Noise!$B$14,'Annual Parameters'!$B$33:$D$143,3,0) * VLOOKUP($B$15,'Annual Parameters'!$B$33:$P$143,15,0) / VLOOKUP(Noise!$B$15,'Annual Parameters'!$B$33:$P$143,15,0)</f>
        <v>4.0344284496702043</v>
      </c>
      <c r="M60" s="2751">
        <f>Noise!T60 * VLOOKUP($B$14,'Annual Parameters'!$B$33:$D$143,3,0) / VLOOKUP(Noise!$B$14,'Annual Parameters'!$B$33:$D$143,3,0) * VLOOKUP($B$15,'Annual Parameters'!$B$33:$P$143,15,0) / VLOOKUP(Noise!$B$15,'Annual Parameters'!$B$33:$P$143,15,0)</f>
        <v>64.029870851498998</v>
      </c>
      <c r="N60" s="2752">
        <f>Noise!U60 * VLOOKUP($B$14,'Annual Parameters'!$B$33:$D$143,3,0) / VLOOKUP(Noise!$B$14,'Annual Parameters'!$B$33:$D$143,3,0) * VLOOKUP($B$15,'Annual Parameters'!$B$33:$P$143,15,0) / VLOOKUP(Noise!$B$15,'Annual Parameters'!$B$33:$P$143,15,0)</f>
        <v>26.753725595182619</v>
      </c>
      <c r="O60" s="2752">
        <f>Noise!V60 * VLOOKUP($B$14,'Annual Parameters'!$B$33:$D$143,3,0) / VLOOKUP(Noise!$B$14,'Annual Parameters'!$B$33:$D$143,3,0) * VLOOKUP($B$15,'Annual Parameters'!$B$33:$P$143,15,0) / VLOOKUP(Noise!$B$15,'Annual Parameters'!$B$33:$P$143,15,0)</f>
        <v>5.0638198932821004</v>
      </c>
      <c r="P60" s="2753">
        <f>Noise!W60 * VLOOKUP($B$14,'Annual Parameters'!$B$33:$D$143,3,0) / VLOOKUP(Noise!$B$14,'Annual Parameters'!$B$33:$D$143,3,0) * VLOOKUP($B$15,'Annual Parameters'!$B$33:$P$143,15,0) / VLOOKUP(Noise!$B$15,'Annual Parameters'!$B$33:$P$143,15,0)</f>
        <v>7.5086726377881412</v>
      </c>
      <c r="Q60" s="2547">
        <v>76</v>
      </c>
      <c r="R60" s="2738">
        <v>77</v>
      </c>
      <c r="S60" s="2751">
        <f>Noise!Z60 * VLOOKUP($B$14,'Annual Parameters'!$B$33:$D$143,3,0) / VLOOKUP(Noise!$B$14,'Annual Parameters'!$B$33:$D$143,3,0) * VLOOKUP($B$15,'Annual Parameters'!$B$33:$P$143,15,0) / VLOOKUP(Noise!$B$15,'Annual Parameters'!$B$33:$P$143,15,0)</f>
        <v>76.737509333328134</v>
      </c>
      <c r="T60" s="2752">
        <f>Noise!AA60 * VLOOKUP($B$14,'Annual Parameters'!$B$33:$D$143,3,0) / VLOOKUP(Noise!$B$14,'Annual Parameters'!$B$33:$D$143,3,0) * VLOOKUP($B$15,'Annual Parameters'!$B$33:$P$143,15,0) / VLOOKUP(Noise!$B$15,'Annual Parameters'!$B$33:$P$143,15,0)</f>
        <v>38.023005399709852</v>
      </c>
      <c r="U60" s="2753">
        <f>Noise!AB60 * VLOOKUP($B$14,'Annual Parameters'!$B$33:$D$143,3,0) / VLOOKUP(Noise!$B$14,'Annual Parameters'!$B$33:$D$143,3,0) * VLOOKUP($B$15,'Annual Parameters'!$B$33:$P$143,15,0) / VLOOKUP(Noise!$B$15,'Annual Parameters'!$B$33:$P$143,15,0)</f>
        <v>84.333723426101585</v>
      </c>
    </row>
    <row r="61" spans="1:21" ht="13.5" customHeight="1">
      <c r="A61" s="953"/>
      <c r="B61" s="2547">
        <v>77</v>
      </c>
      <c r="C61" s="2738">
        <v>78</v>
      </c>
      <c r="D61" s="2751">
        <f>Noise!K61 * VLOOKUP($B$14,'Annual Parameters'!$B$33:$D$143,3,0) / VLOOKUP(Noise!$B$14,'Annual Parameters'!$B$33:$D$143,3,0) * VLOOKUP($B$15,'Annual Parameters'!$B$33:$P$143,15,0) / VLOOKUP(Noise!$B$15,'Annual Parameters'!$B$33:$P$143,15,0)</f>
        <v>64.612123872962641</v>
      </c>
      <c r="E61" s="2752">
        <f>Noise!L61 * VLOOKUP($B$14,'Annual Parameters'!$B$33:$D$143,3,0) / VLOOKUP(Noise!$B$14,'Annual Parameters'!$B$33:$D$143,3,0) * VLOOKUP($B$15,'Annual Parameters'!$B$33:$P$143,15,0) / VLOOKUP(Noise!$B$15,'Annual Parameters'!$B$33:$P$143,15,0)</f>
        <v>32.047241854560269</v>
      </c>
      <c r="F61" s="2752">
        <f>Noise!M61 * VLOOKUP($B$14,'Annual Parameters'!$B$33:$D$143,3,0) / VLOOKUP(Noise!$B$14,'Annual Parameters'!$B$33:$D$143,3,0) * VLOOKUP($B$15,'Annual Parameters'!$B$33:$P$143,15,0) / VLOOKUP(Noise!$B$15,'Annual Parameters'!$B$33:$P$143,15,0)</f>
        <v>2.4750393121422278</v>
      </c>
      <c r="G61" s="2752">
        <f>Noise!N61 * VLOOKUP($B$14,'Annual Parameters'!$B$33:$D$143,3,0) / VLOOKUP(Noise!$B$14,'Annual Parameters'!$B$33:$D$143,3,0) * VLOOKUP($B$15,'Annual Parameters'!$B$33:$P$143,15,0) / VLOOKUP(Noise!$B$15,'Annual Parameters'!$B$33:$P$143,15,0)</f>
        <v>3.710984568792044</v>
      </c>
      <c r="H61" s="2752">
        <f>Noise!O61 * VLOOKUP($B$14,'Annual Parameters'!$B$33:$D$143,3,0) / VLOOKUP(Noise!$B$14,'Annual Parameters'!$B$33:$D$143,3,0) * VLOOKUP($B$15,'Annual Parameters'!$B$33:$P$143,15,0) / VLOOKUP(Noise!$B$15,'Annual Parameters'!$B$33:$P$143,15,0)</f>
        <v>68.10232211661841</v>
      </c>
      <c r="I61" s="2751">
        <f>Noise!P61 * VLOOKUP($B$14,'Annual Parameters'!$B$33:$D$143,3,0) / VLOOKUP(Noise!$B$14,'Annual Parameters'!$B$33:$D$143,3,0) * VLOOKUP($B$15,'Annual Parameters'!$B$33:$P$143,15,0) / VLOOKUP(Noise!$B$15,'Annual Parameters'!$B$33:$P$143,15,0)</f>
        <v>50.88075310200265</v>
      </c>
      <c r="J61" s="2752">
        <f>Noise!Q61 * VLOOKUP($B$14,'Annual Parameters'!$B$33:$D$143,3,0) / VLOOKUP(Noise!$B$14,'Annual Parameters'!$B$33:$D$143,3,0) * VLOOKUP($B$15,'Annual Parameters'!$B$33:$P$143,15,0) / VLOOKUP(Noise!$B$15,'Annual Parameters'!$B$33:$P$143,15,0)</f>
        <v>28.483136693025809</v>
      </c>
      <c r="K61" s="2752">
        <f>Noise!R61 * VLOOKUP($B$14,'Annual Parameters'!$B$33:$D$143,3,0) / VLOOKUP(Noise!$B$14,'Annual Parameters'!$B$33:$D$143,3,0) * VLOOKUP($B$15,'Annual Parameters'!$B$33:$P$143,15,0) / VLOOKUP(Noise!$B$15,'Annual Parameters'!$B$33:$P$143,15,0)</f>
        <v>2.6908519766577523</v>
      </c>
      <c r="L61" s="2752">
        <f>Noise!S61 * VLOOKUP($B$14,'Annual Parameters'!$B$33:$D$143,3,0) / VLOOKUP(Noise!$B$14,'Annual Parameters'!$B$33:$D$143,3,0) * VLOOKUP($B$15,'Annual Parameters'!$B$33:$P$143,15,0) / VLOOKUP(Noise!$B$15,'Annual Parameters'!$B$33:$P$143,15,0)</f>
        <v>4.0344284496702043</v>
      </c>
      <c r="M61" s="2751">
        <f>Noise!T61 * VLOOKUP($B$14,'Annual Parameters'!$B$33:$D$143,3,0) / VLOOKUP(Noise!$B$14,'Annual Parameters'!$B$33:$D$143,3,0) * VLOOKUP($B$15,'Annual Parameters'!$B$33:$P$143,15,0) / VLOOKUP(Noise!$B$15,'Annual Parameters'!$B$33:$P$143,15,0)</f>
        <v>64.029870851498998</v>
      </c>
      <c r="N61" s="2752">
        <f>Noise!U61 * VLOOKUP($B$14,'Annual Parameters'!$B$33:$D$143,3,0) / VLOOKUP(Noise!$B$14,'Annual Parameters'!$B$33:$D$143,3,0) * VLOOKUP($B$15,'Annual Parameters'!$B$33:$P$143,15,0) / VLOOKUP(Noise!$B$15,'Annual Parameters'!$B$33:$P$143,15,0)</f>
        <v>28.483136693025809</v>
      </c>
      <c r="O61" s="2752">
        <f>Noise!V61 * VLOOKUP($B$14,'Annual Parameters'!$B$33:$D$143,3,0) / VLOOKUP(Noise!$B$14,'Annual Parameters'!$B$33:$D$143,3,0) * VLOOKUP($B$15,'Annual Parameters'!$B$33:$P$143,15,0) / VLOOKUP(Noise!$B$15,'Annual Parameters'!$B$33:$P$143,15,0)</f>
        <v>5.0638198932821004</v>
      </c>
      <c r="P61" s="2753">
        <f>Noise!W61 * VLOOKUP($B$14,'Annual Parameters'!$B$33:$D$143,3,0) / VLOOKUP(Noise!$B$14,'Annual Parameters'!$B$33:$D$143,3,0) * VLOOKUP($B$15,'Annual Parameters'!$B$33:$P$143,15,0) / VLOOKUP(Noise!$B$15,'Annual Parameters'!$B$33:$P$143,15,0)</f>
        <v>7.5086726377881412</v>
      </c>
      <c r="Q61" s="2547">
        <v>77</v>
      </c>
      <c r="R61" s="2738">
        <v>78</v>
      </c>
      <c r="S61" s="2751">
        <f>Noise!Z61 * VLOOKUP($B$14,'Annual Parameters'!$B$33:$D$143,3,0) / VLOOKUP(Noise!$B$14,'Annual Parameters'!$B$33:$D$143,3,0) * VLOOKUP($B$15,'Annual Parameters'!$B$33:$P$143,15,0) / VLOOKUP(Noise!$B$15,'Annual Parameters'!$B$33:$P$143,15,0)</f>
        <v>76.737509333328134</v>
      </c>
      <c r="T61" s="2752">
        <f>Noise!AA61 * VLOOKUP($B$14,'Annual Parameters'!$B$33:$D$143,3,0) / VLOOKUP(Noise!$B$14,'Annual Parameters'!$B$33:$D$143,3,0) * VLOOKUP($B$15,'Annual Parameters'!$B$33:$P$143,15,0) / VLOOKUP(Noise!$B$15,'Annual Parameters'!$B$33:$P$143,15,0)</f>
        <v>38.023005399709852</v>
      </c>
      <c r="U61" s="2753">
        <f>Noise!AB61 * VLOOKUP($B$14,'Annual Parameters'!$B$33:$D$143,3,0) / VLOOKUP(Noise!$B$14,'Annual Parameters'!$B$33:$D$143,3,0) * VLOOKUP($B$15,'Annual Parameters'!$B$33:$P$143,15,0) / VLOOKUP(Noise!$B$15,'Annual Parameters'!$B$33:$P$143,15,0)</f>
        <v>84.333723426101585</v>
      </c>
    </row>
    <row r="62" spans="1:21" ht="13.5" customHeight="1">
      <c r="A62" s="953"/>
      <c r="B62" s="2547">
        <v>78</v>
      </c>
      <c r="C62" s="2738">
        <v>79</v>
      </c>
      <c r="D62" s="2751">
        <f>Noise!K62 * VLOOKUP($B$14,'Annual Parameters'!$B$33:$D$143,3,0) / VLOOKUP(Noise!$B$14,'Annual Parameters'!$B$33:$D$143,3,0) * VLOOKUP($B$15,'Annual Parameters'!$B$33:$P$143,15,0) / VLOOKUP(Noise!$B$15,'Annual Parameters'!$B$33:$P$143,15,0)</f>
        <v>64.612123872962641</v>
      </c>
      <c r="E62" s="2752">
        <f>Noise!L62 * VLOOKUP($B$14,'Annual Parameters'!$B$33:$D$143,3,0) / VLOOKUP(Noise!$B$14,'Annual Parameters'!$B$33:$D$143,3,0) * VLOOKUP($B$15,'Annual Parameters'!$B$33:$P$143,15,0) / VLOOKUP(Noise!$B$15,'Annual Parameters'!$B$33:$P$143,15,0)</f>
        <v>33.881935918253149</v>
      </c>
      <c r="F62" s="2752">
        <f>Noise!M62 * VLOOKUP($B$14,'Annual Parameters'!$B$33:$D$143,3,0) / VLOOKUP(Noise!$B$14,'Annual Parameters'!$B$33:$D$143,3,0) * VLOOKUP($B$15,'Annual Parameters'!$B$33:$P$143,15,0) / VLOOKUP(Noise!$B$15,'Annual Parameters'!$B$33:$P$143,15,0)</f>
        <v>2.4750393121422278</v>
      </c>
      <c r="G62" s="2752">
        <f>Noise!N62 * VLOOKUP($B$14,'Annual Parameters'!$B$33:$D$143,3,0) / VLOOKUP(Noise!$B$14,'Annual Parameters'!$B$33:$D$143,3,0) * VLOOKUP($B$15,'Annual Parameters'!$B$33:$P$143,15,0) / VLOOKUP(Noise!$B$15,'Annual Parameters'!$B$33:$P$143,15,0)</f>
        <v>3.710984568792044</v>
      </c>
      <c r="H62" s="2752">
        <f>Noise!O62 * VLOOKUP($B$14,'Annual Parameters'!$B$33:$D$143,3,0) / VLOOKUP(Noise!$B$14,'Annual Parameters'!$B$33:$D$143,3,0) * VLOOKUP($B$15,'Annual Parameters'!$B$33:$P$143,15,0) / VLOOKUP(Noise!$B$15,'Annual Parameters'!$B$33:$P$143,15,0)</f>
        <v>68.10232211661841</v>
      </c>
      <c r="I62" s="2751">
        <f>Noise!P62 * VLOOKUP($B$14,'Annual Parameters'!$B$33:$D$143,3,0) / VLOOKUP(Noise!$B$14,'Annual Parameters'!$B$33:$D$143,3,0) * VLOOKUP($B$15,'Annual Parameters'!$B$33:$P$143,15,0) / VLOOKUP(Noise!$B$15,'Annual Parameters'!$B$33:$P$143,15,0)</f>
        <v>50.88075310200265</v>
      </c>
      <c r="J62" s="2752">
        <f>Noise!Q62 * VLOOKUP($B$14,'Annual Parameters'!$B$33:$D$143,3,0) / VLOOKUP(Noise!$B$14,'Annual Parameters'!$B$33:$D$143,3,0) * VLOOKUP($B$15,'Annual Parameters'!$B$33:$P$143,15,0) / VLOOKUP(Noise!$B$15,'Annual Parameters'!$B$33:$P$143,15,0)</f>
        <v>30.247642112817815</v>
      </c>
      <c r="K62" s="2752">
        <f>Noise!R62 * VLOOKUP($B$14,'Annual Parameters'!$B$33:$D$143,3,0) / VLOOKUP(Noise!$B$14,'Annual Parameters'!$B$33:$D$143,3,0) * VLOOKUP($B$15,'Annual Parameters'!$B$33:$P$143,15,0) / VLOOKUP(Noise!$B$15,'Annual Parameters'!$B$33:$P$143,15,0)</f>
        <v>2.6908519766577523</v>
      </c>
      <c r="L62" s="2752">
        <f>Noise!S62 * VLOOKUP($B$14,'Annual Parameters'!$B$33:$D$143,3,0) / VLOOKUP(Noise!$B$14,'Annual Parameters'!$B$33:$D$143,3,0) * VLOOKUP($B$15,'Annual Parameters'!$B$33:$P$143,15,0) / VLOOKUP(Noise!$B$15,'Annual Parameters'!$B$33:$P$143,15,0)</f>
        <v>4.0344284496702043</v>
      </c>
      <c r="M62" s="2751">
        <f>Noise!T62 * VLOOKUP($B$14,'Annual Parameters'!$B$33:$D$143,3,0) / VLOOKUP(Noise!$B$14,'Annual Parameters'!$B$33:$D$143,3,0) * VLOOKUP($B$15,'Annual Parameters'!$B$33:$P$143,15,0) / VLOOKUP(Noise!$B$15,'Annual Parameters'!$B$33:$P$143,15,0)</f>
        <v>64.029870851498998</v>
      </c>
      <c r="N62" s="2752">
        <f>Noise!U62 * VLOOKUP($B$14,'Annual Parameters'!$B$33:$D$143,3,0) / VLOOKUP(Noise!$B$14,'Annual Parameters'!$B$33:$D$143,3,0) * VLOOKUP($B$15,'Annual Parameters'!$B$33:$P$143,15,0) / VLOOKUP(Noise!$B$15,'Annual Parameters'!$B$33:$P$143,15,0)</f>
        <v>30.247642112817815</v>
      </c>
      <c r="O62" s="2752">
        <f>Noise!V62 * VLOOKUP($B$14,'Annual Parameters'!$B$33:$D$143,3,0) / VLOOKUP(Noise!$B$14,'Annual Parameters'!$B$33:$D$143,3,0) * VLOOKUP($B$15,'Annual Parameters'!$B$33:$P$143,15,0) / VLOOKUP(Noise!$B$15,'Annual Parameters'!$B$33:$P$143,15,0)</f>
        <v>5.0638198932821004</v>
      </c>
      <c r="P62" s="2753">
        <f>Noise!W62 * VLOOKUP($B$14,'Annual Parameters'!$B$33:$D$143,3,0) / VLOOKUP(Noise!$B$14,'Annual Parameters'!$B$33:$D$143,3,0) * VLOOKUP($B$15,'Annual Parameters'!$B$33:$P$143,15,0) / VLOOKUP(Noise!$B$15,'Annual Parameters'!$B$33:$P$143,15,0)</f>
        <v>7.5086726377881412</v>
      </c>
      <c r="Q62" s="2547">
        <v>78</v>
      </c>
      <c r="R62" s="2738">
        <v>79</v>
      </c>
      <c r="S62" s="2751">
        <f>Noise!Z62 * VLOOKUP($B$14,'Annual Parameters'!$B$33:$D$143,3,0) / VLOOKUP(Noise!$B$14,'Annual Parameters'!$B$33:$D$143,3,0) * VLOOKUP($B$15,'Annual Parameters'!$B$33:$P$143,15,0) / VLOOKUP(Noise!$B$15,'Annual Parameters'!$B$33:$P$143,15,0)</f>
        <v>76.737509333328134</v>
      </c>
      <c r="T62" s="2752">
        <f>Noise!AA62 * VLOOKUP($B$14,'Annual Parameters'!$B$33:$D$143,3,0) / VLOOKUP(Noise!$B$14,'Annual Parameters'!$B$33:$D$143,3,0) * VLOOKUP($B$15,'Annual Parameters'!$B$33:$P$143,15,0) / VLOOKUP(Noise!$B$15,'Annual Parameters'!$B$33:$P$143,15,0)</f>
        <v>38.023005399709852</v>
      </c>
      <c r="U62" s="2753">
        <f>Noise!AB62 * VLOOKUP($B$14,'Annual Parameters'!$B$33:$D$143,3,0) / VLOOKUP(Noise!$B$14,'Annual Parameters'!$B$33:$D$143,3,0) * VLOOKUP($B$15,'Annual Parameters'!$B$33:$P$143,15,0) / VLOOKUP(Noise!$B$15,'Annual Parameters'!$B$33:$P$143,15,0)</f>
        <v>84.333723426101585</v>
      </c>
    </row>
    <row r="63" spans="1:21" ht="13.5" customHeight="1">
      <c r="A63" s="953"/>
      <c r="B63" s="2547">
        <v>79</v>
      </c>
      <c r="C63" s="2738">
        <v>80</v>
      </c>
      <c r="D63" s="2751">
        <f>Noise!K63 * VLOOKUP($B$14,'Annual Parameters'!$B$33:$D$143,3,0) / VLOOKUP(Noise!$B$14,'Annual Parameters'!$B$33:$D$143,3,0) * VLOOKUP($B$15,'Annual Parameters'!$B$33:$P$143,15,0) / VLOOKUP(Noise!$B$15,'Annual Parameters'!$B$33:$P$143,15,0)</f>
        <v>64.612123872962641</v>
      </c>
      <c r="E63" s="2752">
        <f>Noise!L63 * VLOOKUP($B$14,'Annual Parameters'!$B$33:$D$143,3,0) / VLOOKUP(Noise!$B$14,'Annual Parameters'!$B$33:$D$143,3,0) * VLOOKUP($B$15,'Annual Parameters'!$B$33:$P$143,15,0) / VLOOKUP(Noise!$B$15,'Annual Parameters'!$B$33:$P$143,15,0)</f>
        <v>33.881935918253149</v>
      </c>
      <c r="F63" s="2752">
        <f>Noise!M63 * VLOOKUP($B$14,'Annual Parameters'!$B$33:$D$143,3,0) / VLOOKUP(Noise!$B$14,'Annual Parameters'!$B$33:$D$143,3,0) * VLOOKUP($B$15,'Annual Parameters'!$B$33:$P$143,15,0) / VLOOKUP(Noise!$B$15,'Annual Parameters'!$B$33:$P$143,15,0)</f>
        <v>2.4750393121422278</v>
      </c>
      <c r="G63" s="2752">
        <f>Noise!N63 * VLOOKUP($B$14,'Annual Parameters'!$B$33:$D$143,3,0) / VLOOKUP(Noise!$B$14,'Annual Parameters'!$B$33:$D$143,3,0) * VLOOKUP($B$15,'Annual Parameters'!$B$33:$P$143,15,0) / VLOOKUP(Noise!$B$15,'Annual Parameters'!$B$33:$P$143,15,0)</f>
        <v>3.710984568792044</v>
      </c>
      <c r="H63" s="2752">
        <f>Noise!O63 * VLOOKUP($B$14,'Annual Parameters'!$B$33:$D$143,3,0) / VLOOKUP(Noise!$B$14,'Annual Parameters'!$B$33:$D$143,3,0) * VLOOKUP($B$15,'Annual Parameters'!$B$33:$P$143,15,0) / VLOOKUP(Noise!$B$15,'Annual Parameters'!$B$33:$P$143,15,0)</f>
        <v>68.10232211661841</v>
      </c>
      <c r="I63" s="2751">
        <f>Noise!P63 * VLOOKUP($B$14,'Annual Parameters'!$B$33:$D$143,3,0) / VLOOKUP(Noise!$B$14,'Annual Parameters'!$B$33:$D$143,3,0) * VLOOKUP($B$15,'Annual Parameters'!$B$33:$P$143,15,0) / VLOOKUP(Noise!$B$15,'Annual Parameters'!$B$33:$P$143,15,0)</f>
        <v>50.88075310200265</v>
      </c>
      <c r="J63" s="2752">
        <f>Noise!Q63 * VLOOKUP($B$14,'Annual Parameters'!$B$33:$D$143,3,0) / VLOOKUP(Noise!$B$14,'Annual Parameters'!$B$33:$D$143,3,0) * VLOOKUP($B$15,'Annual Parameters'!$B$33:$P$143,15,0) / VLOOKUP(Noise!$B$15,'Annual Parameters'!$B$33:$P$143,15,0)</f>
        <v>32.047241854560269</v>
      </c>
      <c r="K63" s="2752">
        <f>Noise!R63 * VLOOKUP($B$14,'Annual Parameters'!$B$33:$D$143,3,0) / VLOOKUP(Noise!$B$14,'Annual Parameters'!$B$33:$D$143,3,0) * VLOOKUP($B$15,'Annual Parameters'!$B$33:$P$143,15,0) / VLOOKUP(Noise!$B$15,'Annual Parameters'!$B$33:$P$143,15,0)</f>
        <v>2.6908519766577523</v>
      </c>
      <c r="L63" s="2752">
        <f>Noise!S63 * VLOOKUP($B$14,'Annual Parameters'!$B$33:$D$143,3,0) / VLOOKUP(Noise!$B$14,'Annual Parameters'!$B$33:$D$143,3,0) * VLOOKUP($B$15,'Annual Parameters'!$B$33:$P$143,15,0) / VLOOKUP(Noise!$B$15,'Annual Parameters'!$B$33:$P$143,15,0)</f>
        <v>4.0344284496702043</v>
      </c>
      <c r="M63" s="2751">
        <f>Noise!T63 * VLOOKUP($B$14,'Annual Parameters'!$B$33:$D$143,3,0) / VLOOKUP(Noise!$B$14,'Annual Parameters'!$B$33:$D$143,3,0) * VLOOKUP($B$15,'Annual Parameters'!$B$33:$P$143,15,0) / VLOOKUP(Noise!$B$15,'Annual Parameters'!$B$33:$P$143,15,0)</f>
        <v>64.029870851498998</v>
      </c>
      <c r="N63" s="2752">
        <f>Noise!U63 * VLOOKUP($B$14,'Annual Parameters'!$B$33:$D$143,3,0) / VLOOKUP(Noise!$B$14,'Annual Parameters'!$B$33:$D$143,3,0) * VLOOKUP($B$15,'Annual Parameters'!$B$33:$P$143,15,0) / VLOOKUP(Noise!$B$15,'Annual Parameters'!$B$33:$P$143,15,0)</f>
        <v>32.047241854560269</v>
      </c>
      <c r="O63" s="2752">
        <f>Noise!V63 * VLOOKUP($B$14,'Annual Parameters'!$B$33:$D$143,3,0) / VLOOKUP(Noise!$B$14,'Annual Parameters'!$B$33:$D$143,3,0) * VLOOKUP($B$15,'Annual Parameters'!$B$33:$P$143,15,0) / VLOOKUP(Noise!$B$15,'Annual Parameters'!$B$33:$P$143,15,0)</f>
        <v>5.0638198932821004</v>
      </c>
      <c r="P63" s="2753">
        <f>Noise!W63 * VLOOKUP($B$14,'Annual Parameters'!$B$33:$D$143,3,0) / VLOOKUP(Noise!$B$14,'Annual Parameters'!$B$33:$D$143,3,0) * VLOOKUP($B$15,'Annual Parameters'!$B$33:$P$143,15,0) / VLOOKUP(Noise!$B$15,'Annual Parameters'!$B$33:$P$143,15,0)</f>
        <v>7.5086726377881412</v>
      </c>
      <c r="Q63" s="2547">
        <v>79</v>
      </c>
      <c r="R63" s="2738">
        <v>80</v>
      </c>
      <c r="S63" s="2751">
        <f>Noise!Z63 * VLOOKUP($B$14,'Annual Parameters'!$B$33:$D$143,3,0) / VLOOKUP(Noise!$B$14,'Annual Parameters'!$B$33:$D$143,3,0) * VLOOKUP($B$15,'Annual Parameters'!$B$33:$P$143,15,0) / VLOOKUP(Noise!$B$15,'Annual Parameters'!$B$33:$P$143,15,0)</f>
        <v>76.737509333328134</v>
      </c>
      <c r="T63" s="2752">
        <f>Noise!AA63 * VLOOKUP($B$14,'Annual Parameters'!$B$33:$D$143,3,0) / VLOOKUP(Noise!$B$14,'Annual Parameters'!$B$33:$D$143,3,0) * VLOOKUP($B$15,'Annual Parameters'!$B$33:$P$143,15,0) / VLOOKUP(Noise!$B$15,'Annual Parameters'!$B$33:$P$143,15,0)</f>
        <v>38.023005399709852</v>
      </c>
      <c r="U63" s="2753">
        <f>Noise!AB63 * VLOOKUP($B$14,'Annual Parameters'!$B$33:$D$143,3,0) / VLOOKUP(Noise!$B$14,'Annual Parameters'!$B$33:$D$143,3,0) * VLOOKUP($B$15,'Annual Parameters'!$B$33:$P$143,15,0) / VLOOKUP(Noise!$B$15,'Annual Parameters'!$B$33:$P$143,15,0)</f>
        <v>84.333723426101585</v>
      </c>
    </row>
    <row r="64" spans="1:21" ht="13.5" customHeight="1">
      <c r="A64" s="953"/>
      <c r="B64" s="2547">
        <v>80</v>
      </c>
      <c r="C64" s="2738">
        <v>81</v>
      </c>
      <c r="D64" s="2751">
        <f>Noise!K64 * VLOOKUP($B$14,'Annual Parameters'!$B$33:$D$143,3,0) / VLOOKUP(Noise!$B$14,'Annual Parameters'!$B$33:$D$143,3,0) * VLOOKUP($B$15,'Annual Parameters'!$B$33:$P$143,15,0) / VLOOKUP(Noise!$B$15,'Annual Parameters'!$B$33:$P$143,15,0)</f>
        <v>64.612123872962641</v>
      </c>
      <c r="E64" s="2752">
        <f>Noise!L64 * VLOOKUP($B$14,'Annual Parameters'!$B$33:$D$143,3,0) / VLOOKUP(Noise!$B$14,'Annual Parameters'!$B$33:$D$143,3,0) * VLOOKUP($B$15,'Annual Parameters'!$B$33:$P$143,15,0) / VLOOKUP(Noise!$B$15,'Annual Parameters'!$B$33:$P$143,15,0)</f>
        <v>33.881935918253149</v>
      </c>
      <c r="F64" s="2752">
        <f>Noise!M64 * VLOOKUP($B$14,'Annual Parameters'!$B$33:$D$143,3,0) / VLOOKUP(Noise!$B$14,'Annual Parameters'!$B$33:$D$143,3,0) * VLOOKUP($B$15,'Annual Parameters'!$B$33:$P$143,15,0) / VLOOKUP(Noise!$B$15,'Annual Parameters'!$B$33:$P$143,15,0)</f>
        <v>2.4750393121422278</v>
      </c>
      <c r="G64" s="2752">
        <f>Noise!N64 * VLOOKUP($B$14,'Annual Parameters'!$B$33:$D$143,3,0) / VLOOKUP(Noise!$B$14,'Annual Parameters'!$B$33:$D$143,3,0) * VLOOKUP($B$15,'Annual Parameters'!$B$33:$P$143,15,0) / VLOOKUP(Noise!$B$15,'Annual Parameters'!$B$33:$P$143,15,0)</f>
        <v>3.710984568792044</v>
      </c>
      <c r="H64" s="2752">
        <f>Noise!O64 * VLOOKUP($B$14,'Annual Parameters'!$B$33:$D$143,3,0) / VLOOKUP(Noise!$B$14,'Annual Parameters'!$B$33:$D$143,3,0) * VLOOKUP($B$15,'Annual Parameters'!$B$33:$P$143,15,0) / VLOOKUP(Noise!$B$15,'Annual Parameters'!$B$33:$P$143,15,0)</f>
        <v>68.10232211661841</v>
      </c>
      <c r="I64" s="2751">
        <f>Noise!P64 * VLOOKUP($B$14,'Annual Parameters'!$B$33:$D$143,3,0) / VLOOKUP(Noise!$B$14,'Annual Parameters'!$B$33:$D$143,3,0) * VLOOKUP($B$15,'Annual Parameters'!$B$33:$P$143,15,0) / VLOOKUP(Noise!$B$15,'Annual Parameters'!$B$33:$P$143,15,0)</f>
        <v>50.88075310200265</v>
      </c>
      <c r="J64" s="2752">
        <f>Noise!Q64 * VLOOKUP($B$14,'Annual Parameters'!$B$33:$D$143,3,0) / VLOOKUP(Noise!$B$14,'Annual Parameters'!$B$33:$D$143,3,0) * VLOOKUP($B$15,'Annual Parameters'!$B$33:$P$143,15,0) / VLOOKUP(Noise!$B$15,'Annual Parameters'!$B$33:$P$143,15,0)</f>
        <v>33.881935918253149</v>
      </c>
      <c r="K64" s="2752">
        <f>Noise!R64 * VLOOKUP($B$14,'Annual Parameters'!$B$33:$D$143,3,0) / VLOOKUP(Noise!$B$14,'Annual Parameters'!$B$33:$D$143,3,0) * VLOOKUP($B$15,'Annual Parameters'!$B$33:$P$143,15,0) / VLOOKUP(Noise!$B$15,'Annual Parameters'!$B$33:$P$143,15,0)</f>
        <v>2.6908519766577523</v>
      </c>
      <c r="L64" s="2752">
        <f>Noise!S64 * VLOOKUP($B$14,'Annual Parameters'!$B$33:$D$143,3,0) / VLOOKUP(Noise!$B$14,'Annual Parameters'!$B$33:$D$143,3,0) * VLOOKUP($B$15,'Annual Parameters'!$B$33:$P$143,15,0) / VLOOKUP(Noise!$B$15,'Annual Parameters'!$B$33:$P$143,15,0)</f>
        <v>4.0344284496702043</v>
      </c>
      <c r="M64" s="2751">
        <f>Noise!T64 * VLOOKUP($B$14,'Annual Parameters'!$B$33:$D$143,3,0) / VLOOKUP(Noise!$B$14,'Annual Parameters'!$B$33:$D$143,3,0) * VLOOKUP($B$15,'Annual Parameters'!$B$33:$P$143,15,0) / VLOOKUP(Noise!$B$15,'Annual Parameters'!$B$33:$P$143,15,0)</f>
        <v>64.029870851498998</v>
      </c>
      <c r="N64" s="2752">
        <f>Noise!U64 * VLOOKUP($B$14,'Annual Parameters'!$B$33:$D$143,3,0) / VLOOKUP(Noise!$B$14,'Annual Parameters'!$B$33:$D$143,3,0) * VLOOKUP($B$15,'Annual Parameters'!$B$33:$P$143,15,0) / VLOOKUP(Noise!$B$15,'Annual Parameters'!$B$33:$P$143,15,0)</f>
        <v>33.881935918253149</v>
      </c>
      <c r="O64" s="2752">
        <f>Noise!V64 * VLOOKUP($B$14,'Annual Parameters'!$B$33:$D$143,3,0) / VLOOKUP(Noise!$B$14,'Annual Parameters'!$B$33:$D$143,3,0) * VLOOKUP($B$15,'Annual Parameters'!$B$33:$P$143,15,0) / VLOOKUP(Noise!$B$15,'Annual Parameters'!$B$33:$P$143,15,0)</f>
        <v>5.0638198932821004</v>
      </c>
      <c r="P64" s="2753">
        <f>Noise!W64 * VLOOKUP($B$14,'Annual Parameters'!$B$33:$D$143,3,0) / VLOOKUP(Noise!$B$14,'Annual Parameters'!$B$33:$D$143,3,0) * VLOOKUP($B$15,'Annual Parameters'!$B$33:$P$143,15,0) / VLOOKUP(Noise!$B$15,'Annual Parameters'!$B$33:$P$143,15,0)</f>
        <v>7.5086726377881412</v>
      </c>
      <c r="Q64" s="2547">
        <v>80</v>
      </c>
      <c r="R64" s="2738">
        <v>81</v>
      </c>
      <c r="S64" s="2751">
        <f>Noise!Z64 * VLOOKUP($B$14,'Annual Parameters'!$B$33:$D$143,3,0) / VLOOKUP(Noise!$B$14,'Annual Parameters'!$B$33:$D$143,3,0) * VLOOKUP($B$15,'Annual Parameters'!$B$33:$P$143,15,0) / VLOOKUP(Noise!$B$15,'Annual Parameters'!$B$33:$P$143,15,0)</f>
        <v>76.737509333328134</v>
      </c>
      <c r="T64" s="2752">
        <f>Noise!AA64 * VLOOKUP($B$14,'Annual Parameters'!$B$33:$D$143,3,0) / VLOOKUP(Noise!$B$14,'Annual Parameters'!$B$33:$D$143,3,0) * VLOOKUP($B$15,'Annual Parameters'!$B$33:$P$143,15,0) / VLOOKUP(Noise!$B$15,'Annual Parameters'!$B$33:$P$143,15,0)</f>
        <v>38.023005399709852</v>
      </c>
      <c r="U64" s="2753">
        <f>Noise!AB64 * VLOOKUP($B$14,'Annual Parameters'!$B$33:$D$143,3,0) / VLOOKUP(Noise!$B$14,'Annual Parameters'!$B$33:$D$143,3,0) * VLOOKUP($B$15,'Annual Parameters'!$B$33:$P$143,15,0) / VLOOKUP(Noise!$B$15,'Annual Parameters'!$B$33:$P$143,15,0)</f>
        <v>84.333723426101585</v>
      </c>
    </row>
    <row r="65" spans="1:21" ht="13.5" customHeight="1">
      <c r="A65" s="953"/>
      <c r="B65" s="757" t="s">
        <v>1480</v>
      </c>
      <c r="C65" s="2738"/>
      <c r="D65" s="2751">
        <f>Noise!K65 * VLOOKUP($B$14,'Annual Parameters'!$B$33:$D$143,3,0) / VLOOKUP(Noise!$B$14,'Annual Parameters'!$B$33:$D$143,3,0) * VLOOKUP($B$15,'Annual Parameters'!$B$33:$P$143,15,0) / VLOOKUP(Noise!$B$15,'Annual Parameters'!$B$33:$P$143,15,0)</f>
        <v>64.612123872962641</v>
      </c>
      <c r="E65" s="2752">
        <f>Noise!L65 * VLOOKUP($B$14,'Annual Parameters'!$B$33:$D$143,3,0) / VLOOKUP(Noise!$B$14,'Annual Parameters'!$B$33:$D$143,3,0) * VLOOKUP($B$15,'Annual Parameters'!$B$33:$P$143,15,0) / VLOOKUP(Noise!$B$15,'Annual Parameters'!$B$33:$P$143,15,0)</f>
        <v>33.881935918253149</v>
      </c>
      <c r="F65" s="2752">
        <f>Noise!M65 * VLOOKUP($B$14,'Annual Parameters'!$B$33:$D$143,3,0) / VLOOKUP(Noise!$B$14,'Annual Parameters'!$B$33:$D$143,3,0) * VLOOKUP($B$15,'Annual Parameters'!$B$33:$P$143,15,0) / VLOOKUP(Noise!$B$15,'Annual Parameters'!$B$33:$P$143,15,0)</f>
        <v>2.4750393121422278</v>
      </c>
      <c r="G65" s="2752">
        <f>Noise!N65 * VLOOKUP($B$14,'Annual Parameters'!$B$33:$D$143,3,0) / VLOOKUP(Noise!$B$14,'Annual Parameters'!$B$33:$D$143,3,0) * VLOOKUP($B$15,'Annual Parameters'!$B$33:$P$143,15,0) / VLOOKUP(Noise!$B$15,'Annual Parameters'!$B$33:$P$143,15,0)</f>
        <v>3.710984568792044</v>
      </c>
      <c r="H65" s="2752">
        <f>Noise!O65 * VLOOKUP($B$14,'Annual Parameters'!$B$33:$D$143,3,0) / VLOOKUP(Noise!$B$14,'Annual Parameters'!$B$33:$D$143,3,0) * VLOOKUP($B$15,'Annual Parameters'!$B$33:$P$143,15,0) / VLOOKUP(Noise!$B$15,'Annual Parameters'!$B$33:$P$143,15,0)</f>
        <v>68.10232211661841</v>
      </c>
      <c r="I65" s="2751">
        <f>Noise!P65 * VLOOKUP($B$14,'Annual Parameters'!$B$33:$D$143,3,0) / VLOOKUP(Noise!$B$14,'Annual Parameters'!$B$33:$D$143,3,0) * VLOOKUP($B$15,'Annual Parameters'!$B$33:$P$143,15,0) / VLOOKUP(Noise!$B$15,'Annual Parameters'!$B$33:$P$143,15,0)</f>
        <v>50.88075310200265</v>
      </c>
      <c r="J65" s="2752">
        <f>Noise!Q65 * VLOOKUP($B$14,'Annual Parameters'!$B$33:$D$143,3,0) / VLOOKUP(Noise!$B$14,'Annual Parameters'!$B$33:$D$143,3,0) * VLOOKUP($B$15,'Annual Parameters'!$B$33:$P$143,15,0) / VLOOKUP(Noise!$B$15,'Annual Parameters'!$B$33:$P$143,15,0)</f>
        <v>33.881935918253149</v>
      </c>
      <c r="K65" s="2752">
        <f>Noise!R65 * VLOOKUP($B$14,'Annual Parameters'!$B$33:$D$143,3,0) / VLOOKUP(Noise!$B$14,'Annual Parameters'!$B$33:$D$143,3,0) * VLOOKUP($B$15,'Annual Parameters'!$B$33:$P$143,15,0) / VLOOKUP(Noise!$B$15,'Annual Parameters'!$B$33:$P$143,15,0)</f>
        <v>2.6908519766577523</v>
      </c>
      <c r="L65" s="2752">
        <f>Noise!S65 * VLOOKUP($B$14,'Annual Parameters'!$B$33:$D$143,3,0) / VLOOKUP(Noise!$B$14,'Annual Parameters'!$B$33:$D$143,3,0) * VLOOKUP($B$15,'Annual Parameters'!$B$33:$P$143,15,0) / VLOOKUP(Noise!$B$15,'Annual Parameters'!$B$33:$P$143,15,0)</f>
        <v>4.0344284496702043</v>
      </c>
      <c r="M65" s="2751">
        <f>Noise!T65 * VLOOKUP($B$14,'Annual Parameters'!$B$33:$D$143,3,0) / VLOOKUP(Noise!$B$14,'Annual Parameters'!$B$33:$D$143,3,0) * VLOOKUP($B$15,'Annual Parameters'!$B$33:$P$143,15,0) / VLOOKUP(Noise!$B$15,'Annual Parameters'!$B$33:$P$143,15,0)</f>
        <v>64.029870851498998</v>
      </c>
      <c r="N65" s="2752">
        <f>Noise!U65 * VLOOKUP($B$14,'Annual Parameters'!$B$33:$D$143,3,0) / VLOOKUP(Noise!$B$14,'Annual Parameters'!$B$33:$D$143,3,0) * VLOOKUP($B$15,'Annual Parameters'!$B$33:$P$143,15,0) / VLOOKUP(Noise!$B$15,'Annual Parameters'!$B$33:$P$143,15,0)</f>
        <v>33.881935918253149</v>
      </c>
      <c r="O65" s="2752">
        <f>Noise!V65 * VLOOKUP($B$14,'Annual Parameters'!$B$33:$D$143,3,0) / VLOOKUP(Noise!$B$14,'Annual Parameters'!$B$33:$D$143,3,0) * VLOOKUP($B$15,'Annual Parameters'!$B$33:$P$143,15,0) / VLOOKUP(Noise!$B$15,'Annual Parameters'!$B$33:$P$143,15,0)</f>
        <v>5.0638198932821004</v>
      </c>
      <c r="P65" s="2753">
        <f>Noise!W65 * VLOOKUP($B$14,'Annual Parameters'!$B$33:$D$143,3,0) / VLOOKUP(Noise!$B$14,'Annual Parameters'!$B$33:$D$143,3,0) * VLOOKUP($B$15,'Annual Parameters'!$B$33:$P$143,15,0) / VLOOKUP(Noise!$B$15,'Annual Parameters'!$B$33:$P$143,15,0)</f>
        <v>7.5086726377881412</v>
      </c>
      <c r="Q65" s="2786" t="s">
        <v>1480</v>
      </c>
      <c r="R65" s="2738"/>
      <c r="S65" s="2751">
        <f>Noise!Z65 * VLOOKUP($B$14,'Annual Parameters'!$B$33:$D$143,3,0) / VLOOKUP(Noise!$B$14,'Annual Parameters'!$B$33:$D$143,3,0) * VLOOKUP($B$15,'Annual Parameters'!$B$33:$P$143,15,0) / VLOOKUP(Noise!$B$15,'Annual Parameters'!$B$33:$P$143,15,0)</f>
        <v>76.737509333328134</v>
      </c>
      <c r="T65" s="2752">
        <f>Noise!AA65 * VLOOKUP($B$14,'Annual Parameters'!$B$33:$D$143,3,0) / VLOOKUP(Noise!$B$14,'Annual Parameters'!$B$33:$D$143,3,0) * VLOOKUP($B$15,'Annual Parameters'!$B$33:$P$143,15,0) / VLOOKUP(Noise!$B$15,'Annual Parameters'!$B$33:$P$143,15,0)</f>
        <v>38.023005399709852</v>
      </c>
      <c r="U65" s="2753">
        <f>Noise!AB65 * VLOOKUP($B$14,'Annual Parameters'!$B$33:$D$143,3,0) / VLOOKUP(Noise!$B$14,'Annual Parameters'!$B$33:$D$143,3,0) * VLOOKUP($B$15,'Annual Parameters'!$B$33:$P$143,15,0) / VLOOKUP(Noise!$B$15,'Annual Parameters'!$B$33:$P$143,15,0)</f>
        <v>84.333723426101585</v>
      </c>
    </row>
    <row r="66" spans="1:21" ht="13.5" customHeight="1" thickBot="1">
      <c r="A66" s="960"/>
      <c r="B66" s="758"/>
      <c r="C66" s="377"/>
      <c r="D66" s="2762"/>
      <c r="E66" s="2763"/>
      <c r="F66" s="2763"/>
      <c r="G66" s="2763"/>
      <c r="H66" s="2763"/>
      <c r="I66" s="960"/>
      <c r="J66" s="376"/>
      <c r="K66" s="376"/>
      <c r="L66" s="376"/>
      <c r="M66" s="960"/>
      <c r="N66" s="376"/>
      <c r="O66" s="376"/>
      <c r="P66" s="377"/>
      <c r="Q66" s="2787"/>
      <c r="R66" s="377"/>
      <c r="S66" s="2788"/>
      <c r="T66" s="376"/>
      <c r="U66" s="2789"/>
    </row>
    <row r="67" spans="1:21" s="2619" customFormat="1" ht="13.5" customHeight="1" thickTop="1" thickBot="1">
      <c r="B67" s="28"/>
      <c r="D67" s="2414" t="s">
        <v>1489</v>
      </c>
    </row>
    <row r="68" spans="1:21" s="2619" customFormat="1" ht="13.5" customHeight="1"/>
    <row r="69" spans="1:21" ht="13.5" customHeight="1">
      <c r="D69" s="2790"/>
      <c r="E69" s="2790"/>
    </row>
    <row r="70" spans="1:21" ht="13.5" customHeight="1">
      <c r="B70" s="607"/>
    </row>
  </sheetData>
  <sheetProtection sheet="1" objects="1" scenarios="1"/>
  <mergeCells count="6">
    <mergeCell ref="A18:B18"/>
    <mergeCell ref="A12:B12"/>
    <mergeCell ref="A7:B7"/>
    <mergeCell ref="A8:B8"/>
    <mergeCell ref="A10:B10"/>
    <mergeCell ref="A11:B11"/>
  </mergeCells>
  <phoneticPr fontId="8" type="noConversion"/>
  <hyperlinks>
    <hyperlink ref="D67" location="A3.1!D27" tooltip="Top of this page" display="Top"/>
    <hyperlink ref="A11" location="Contents!A1" display="Contents"/>
    <hyperlink ref="A11:B11" r:id="rId1" display="WebTAG1 Unit 3.3.2"/>
    <hyperlink ref="A10" location="Contents!A1" display="Contents"/>
    <hyperlink ref="A10:B10" location="Contents!A1" tooltip="Contents page" display="Contents"/>
    <hyperlink ref="A12:B12" r:id="rId2" tooltip="Unit A3  Environmental Impact Appraisal" display="WebTAG Unit A 3"/>
    <hyperlink ref="N7" r:id="rId3"/>
  </hyperlinks>
  <pageMargins left="0.75" right="0.75" top="1" bottom="1" header="0.5" footer="0.5"/>
  <pageSetup paperSize="9" scale="49" orientation="landscape" r:id="rId4"/>
  <headerFooter alignWithMargins="0"/>
  <drawing r:id="rId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10"/>
  </sheetPr>
  <dimension ref="A1:AB68"/>
  <sheetViews>
    <sheetView showGridLines="0" zoomScale="85" zoomScaleNormal="85" workbookViewId="0">
      <pane xSplit="3" ySplit="26" topLeftCell="D48"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317"/>
  </cols>
  <sheetData>
    <row r="1" spans="1:19" s="2619" customFormat="1" ht="54.9" customHeight="1">
      <c r="A1" s="28"/>
      <c r="C1" s="28"/>
    </row>
    <row r="2" spans="1:19" s="300" customFormat="1" ht="5.0999999999999996" customHeight="1">
      <c r="D2" s="83"/>
    </row>
    <row r="3" spans="1:19" s="300" customFormat="1" ht="20.100000000000001" customHeight="1">
      <c r="A3" s="426" t="s">
        <v>2263</v>
      </c>
      <c r="B3" s="485"/>
      <c r="D3" s="46"/>
      <c r="F3" s="445"/>
    </row>
    <row r="4" spans="1:19" s="335" customFormat="1" ht="20.100000000000001" customHeight="1" thickBot="1">
      <c r="A4" s="529" t="s">
        <v>1074</v>
      </c>
      <c r="B4" s="2715"/>
      <c r="C4" s="2715"/>
      <c r="D4" s="487"/>
      <c r="E4" s="2716"/>
      <c r="F4" s="2716"/>
      <c r="G4" s="2716"/>
      <c r="H4" s="2716"/>
      <c r="I4" s="487"/>
      <c r="J4" s="2716"/>
      <c r="K4" s="2716"/>
      <c r="L4" s="2716"/>
      <c r="M4" s="2716"/>
      <c r="N4" s="2716"/>
      <c r="O4" s="2716"/>
      <c r="P4" s="2716"/>
      <c r="Q4" s="2716"/>
      <c r="R4" s="2716"/>
      <c r="S4" s="2716"/>
    </row>
    <row r="5" spans="1:19" s="2619" customFormat="1" ht="9.9" customHeight="1" thickTop="1" thickBot="1">
      <c r="C5" s="2556"/>
      <c r="D5" s="32"/>
      <c r="E5" s="335"/>
      <c r="F5" s="31"/>
      <c r="G5" s="335"/>
      <c r="H5" s="335"/>
      <c r="I5" s="32"/>
    </row>
    <row r="6" spans="1:19" s="2619" customFormat="1" ht="13.5" customHeight="1" thickTop="1">
      <c r="A6" s="169" t="s">
        <v>10</v>
      </c>
      <c r="B6" s="169"/>
      <c r="E6" s="3626" t="s">
        <v>255</v>
      </c>
      <c r="F6" s="3743"/>
      <c r="G6" s="3743"/>
      <c r="H6" s="3743"/>
      <c r="I6" s="3743"/>
      <c r="J6" s="3743"/>
      <c r="K6" s="3743"/>
      <c r="L6" s="3743"/>
      <c r="M6" s="3743"/>
      <c r="N6" s="3743"/>
      <c r="O6" s="3743"/>
      <c r="P6" s="3743"/>
      <c r="Q6" s="3743"/>
      <c r="R6" s="3743"/>
      <c r="S6" s="3744"/>
    </row>
    <row r="7" spans="1:19" s="2619" customFormat="1" ht="13.5" customHeight="1">
      <c r="A7" s="3644" t="str">
        <f>Audit!A12</f>
        <v>May 2019 v1.12</v>
      </c>
      <c r="B7" s="3651"/>
      <c r="D7" s="2562"/>
      <c r="E7" s="2791" t="s">
        <v>1724</v>
      </c>
      <c r="F7" s="29"/>
      <c r="G7" s="335"/>
      <c r="H7" s="335"/>
      <c r="I7" s="335"/>
      <c r="J7" s="2685" t="s">
        <v>1725</v>
      </c>
      <c r="K7" s="335"/>
      <c r="L7" s="335"/>
      <c r="M7" s="335"/>
      <c r="N7" s="335"/>
      <c r="O7" s="335"/>
      <c r="P7" s="335"/>
      <c r="Q7" s="335"/>
      <c r="R7" s="335"/>
      <c r="S7" s="2562"/>
    </row>
    <row r="8" spans="1:19" s="2619" customFormat="1" ht="13.5" customHeight="1">
      <c r="A8" s="3646">
        <f>Audit!C12</f>
        <v>43586</v>
      </c>
      <c r="B8" s="3651"/>
      <c r="C8" s="2717"/>
      <c r="D8" s="2718"/>
      <c r="E8" s="2791" t="s">
        <v>1726</v>
      </c>
      <c r="F8" s="315"/>
      <c r="G8" s="335"/>
      <c r="H8" s="335"/>
      <c r="I8" s="335"/>
      <c r="J8" s="335"/>
      <c r="K8" s="335"/>
      <c r="L8" s="335"/>
      <c r="M8" s="335"/>
      <c r="N8" s="335"/>
      <c r="O8" s="335"/>
      <c r="P8" s="335"/>
      <c r="Q8" s="335"/>
      <c r="R8" s="335"/>
      <c r="S8" s="2562"/>
    </row>
    <row r="9" spans="1:19" s="2619" customFormat="1" ht="13.5" customHeight="1" thickBot="1">
      <c r="A9" s="172" t="s">
        <v>14</v>
      </c>
      <c r="B9" s="2561"/>
      <c r="D9" s="2718"/>
      <c r="E9" s="2791" t="s">
        <v>1727</v>
      </c>
      <c r="F9" s="335"/>
      <c r="G9" s="335"/>
      <c r="H9" s="335"/>
      <c r="I9" s="335"/>
      <c r="J9" s="335"/>
      <c r="K9" s="315"/>
      <c r="L9" s="335"/>
      <c r="M9" s="335"/>
      <c r="N9" s="335"/>
      <c r="O9" s="335"/>
      <c r="P9" s="335"/>
      <c r="Q9" s="335"/>
      <c r="R9" s="335"/>
      <c r="S9" s="2562"/>
    </row>
    <row r="10" spans="1:19" s="2619" customFormat="1" ht="13.5" customHeight="1" thickBot="1">
      <c r="A10" s="3611" t="s">
        <v>1306</v>
      </c>
      <c r="B10" s="3612"/>
      <c r="D10" s="2718"/>
      <c r="E10" s="2791" t="s">
        <v>1706</v>
      </c>
      <c r="F10" s="335"/>
      <c r="G10" s="335"/>
      <c r="H10" s="335"/>
      <c r="I10" s="335"/>
      <c r="J10" s="335"/>
      <c r="K10" s="335"/>
      <c r="L10" s="335"/>
      <c r="M10" s="335"/>
      <c r="N10" s="335"/>
      <c r="O10" s="335"/>
      <c r="P10" s="335"/>
      <c r="Q10" s="335"/>
      <c r="R10" s="335"/>
      <c r="S10" s="2562"/>
    </row>
    <row r="11" spans="1:19" s="2619" customFormat="1" ht="13.5" customHeight="1" thickBot="1">
      <c r="A11" s="3611" t="s">
        <v>2264</v>
      </c>
      <c r="B11" s="3639"/>
      <c r="D11" s="2718"/>
      <c r="E11" s="2528" t="s">
        <v>1728</v>
      </c>
      <c r="G11" s="335"/>
      <c r="H11" s="335"/>
      <c r="I11" s="335"/>
      <c r="J11" s="335"/>
      <c r="K11" s="335"/>
      <c r="L11" s="335"/>
      <c r="M11" s="335"/>
      <c r="N11" s="335"/>
      <c r="O11" s="335"/>
      <c r="P11" s="335"/>
      <c r="Q11" s="335"/>
      <c r="R11" s="335"/>
      <c r="S11" s="2562"/>
    </row>
    <row r="12" spans="1:19" s="2619" customFormat="1" ht="13.5" customHeight="1" thickBot="1">
      <c r="A12" s="3611" t="s">
        <v>2265</v>
      </c>
      <c r="B12" s="3639"/>
      <c r="D12" s="2718"/>
      <c r="E12" s="2792" t="s">
        <v>1707</v>
      </c>
      <c r="G12" s="2697"/>
      <c r="H12" s="2697"/>
      <c r="I12" s="2697"/>
      <c r="J12" s="2697"/>
      <c r="K12" s="2697"/>
      <c r="L12" s="2697"/>
      <c r="M12" s="2697"/>
      <c r="N12" s="2697"/>
      <c r="O12" s="2697"/>
      <c r="P12" s="2697"/>
      <c r="Q12" s="2697"/>
      <c r="R12" s="2697"/>
      <c r="S12" s="2719"/>
    </row>
    <row r="13" spans="1:19" s="2619" customFormat="1" ht="13.5" customHeight="1">
      <c r="A13" s="172" t="s">
        <v>252</v>
      </c>
      <c r="B13" s="2565"/>
      <c r="C13" s="2717"/>
      <c r="D13" s="2718"/>
      <c r="E13" s="2528"/>
      <c r="F13" s="335"/>
      <c r="G13" s="335"/>
      <c r="H13" s="335"/>
      <c r="I13" s="335"/>
      <c r="J13" s="335"/>
      <c r="K13" s="335"/>
      <c r="L13" s="335"/>
      <c r="M13" s="335"/>
      <c r="N13" s="335"/>
      <c r="O13" s="335"/>
      <c r="P13" s="335"/>
      <c r="Q13" s="335"/>
      <c r="R13" s="335"/>
      <c r="S13" s="2562"/>
    </row>
    <row r="14" spans="1:19" s="2619" customFormat="1" ht="13.5" customHeight="1">
      <c r="A14" s="59" t="s">
        <v>799</v>
      </c>
      <c r="B14" s="195">
        <f>B16</f>
        <v>2014</v>
      </c>
      <c r="D14" s="2717"/>
      <c r="E14" s="2528"/>
      <c r="F14" s="335"/>
      <c r="G14" s="335"/>
      <c r="H14" s="335"/>
      <c r="I14" s="335"/>
      <c r="J14" s="335"/>
      <c r="K14" s="335"/>
      <c r="L14" s="335"/>
      <c r="M14" s="335"/>
      <c r="N14" s="335"/>
      <c r="O14" s="335"/>
      <c r="P14" s="335"/>
      <c r="Q14" s="335"/>
      <c r="R14" s="335"/>
      <c r="S14" s="2562"/>
    </row>
    <row r="15" spans="1:19" s="2619" customFormat="1" ht="13.5" customHeight="1">
      <c r="A15" s="335" t="s">
        <v>54</v>
      </c>
      <c r="B15" s="195">
        <f>B16</f>
        <v>2014</v>
      </c>
      <c r="D15" s="2717"/>
      <c r="E15" s="2528"/>
      <c r="F15" s="335"/>
      <c r="G15" s="335"/>
      <c r="H15" s="335"/>
      <c r="I15" s="335"/>
      <c r="J15" s="335"/>
      <c r="K15" s="335"/>
      <c r="L15" s="335"/>
      <c r="M15" s="335"/>
      <c r="N15" s="335"/>
      <c r="O15" s="335"/>
      <c r="P15" s="335"/>
      <c r="Q15" s="335"/>
      <c r="R15" s="335"/>
      <c r="S15" s="2562"/>
    </row>
    <row r="16" spans="1:19" s="2619" customFormat="1" ht="13.5" customHeight="1">
      <c r="A16" s="59" t="s">
        <v>436</v>
      </c>
      <c r="B16" s="1221">
        <v>2014</v>
      </c>
      <c r="C16" s="2717"/>
      <c r="D16" s="2717"/>
      <c r="E16" s="2528"/>
      <c r="F16" s="335"/>
      <c r="G16" s="335"/>
      <c r="H16" s="335"/>
      <c r="I16" s="335"/>
      <c r="J16" s="335"/>
      <c r="K16" s="335"/>
      <c r="L16" s="335"/>
      <c r="M16" s="335"/>
      <c r="N16" s="335"/>
      <c r="O16" s="335"/>
      <c r="P16" s="335"/>
      <c r="Q16" s="335"/>
      <c r="R16" s="335"/>
      <c r="S16" s="2562"/>
    </row>
    <row r="17" spans="1:28" s="2619" customFormat="1" ht="13.5" customHeight="1">
      <c r="A17" s="169" t="s">
        <v>253</v>
      </c>
      <c r="B17" s="2570"/>
      <c r="C17" s="2717"/>
      <c r="D17" s="2717"/>
      <c r="E17" s="2528"/>
      <c r="F17" s="335"/>
      <c r="G17" s="335"/>
      <c r="H17" s="335"/>
      <c r="I17" s="335"/>
      <c r="J17" s="335"/>
      <c r="K17" s="335"/>
      <c r="L17" s="335"/>
      <c r="M17" s="335"/>
      <c r="N17" s="335"/>
      <c r="O17" s="335"/>
      <c r="P17" s="335"/>
      <c r="Q17" s="335"/>
      <c r="R17" s="335"/>
      <c r="S17" s="2562"/>
    </row>
    <row r="18" spans="1:28" s="2619" customFormat="1" ht="13.5" customHeight="1">
      <c r="A18" s="3615"/>
      <c r="B18" s="3615"/>
      <c r="C18" s="2717"/>
      <c r="D18" s="2717"/>
      <c r="E18" s="2528"/>
      <c r="F18" s="335"/>
      <c r="G18" s="335"/>
      <c r="H18" s="335"/>
      <c r="I18" s="335"/>
      <c r="J18" s="335"/>
      <c r="K18" s="335"/>
      <c r="L18" s="335"/>
      <c r="M18" s="335"/>
      <c r="N18" s="335"/>
      <c r="O18" s="335"/>
      <c r="P18" s="335"/>
      <c r="Q18" s="335"/>
      <c r="R18" s="335"/>
      <c r="S18" s="2562"/>
    </row>
    <row r="19" spans="1:28" s="2619" customFormat="1" ht="13.5" customHeight="1">
      <c r="A19" s="3615"/>
      <c r="B19" s="3615"/>
      <c r="C19" s="2717"/>
      <c r="D19" s="2717"/>
      <c r="E19" s="2528" t="s">
        <v>1183</v>
      </c>
      <c r="F19" s="335"/>
      <c r="G19" s="335"/>
      <c r="H19" s="335"/>
      <c r="I19" s="335"/>
      <c r="J19" s="335"/>
      <c r="K19" s="335"/>
      <c r="L19" s="335"/>
      <c r="M19" s="335"/>
      <c r="N19" s="335"/>
      <c r="O19" s="335"/>
      <c r="P19" s="335"/>
      <c r="Q19" s="335"/>
      <c r="R19" s="335"/>
      <c r="S19" s="2562"/>
    </row>
    <row r="20" spans="1:28" s="2619" customFormat="1" ht="13.5" customHeight="1" thickBot="1">
      <c r="A20" s="3615"/>
      <c r="B20" s="3615"/>
      <c r="C20" s="2717"/>
      <c r="D20" s="2718"/>
      <c r="E20" s="2698" t="s">
        <v>2266</v>
      </c>
      <c r="F20" s="163"/>
      <c r="G20" s="163"/>
      <c r="H20" s="163"/>
      <c r="I20" s="163"/>
      <c r="J20" s="163"/>
      <c r="K20" s="163"/>
      <c r="L20" s="163"/>
      <c r="M20" s="163"/>
      <c r="N20" s="163"/>
      <c r="O20" s="163"/>
      <c r="P20" s="163"/>
      <c r="Q20" s="163"/>
      <c r="R20" s="163"/>
      <c r="S20" s="382"/>
    </row>
    <row r="21" spans="1:28" s="2619" customFormat="1" ht="13.5" customHeight="1" thickTop="1">
      <c r="A21" s="35"/>
      <c r="B21" s="2717"/>
      <c r="C21" s="2717"/>
      <c r="D21" s="32"/>
      <c r="F21" s="31"/>
      <c r="I21" s="32"/>
    </row>
    <row r="22" spans="1:28" s="2619" customFormat="1" ht="13.5" customHeight="1" thickBot="1">
      <c r="B22" s="2717"/>
      <c r="C22" s="2717"/>
      <c r="D22" s="2717"/>
      <c r="E22" s="2717"/>
      <c r="F22" s="2717"/>
      <c r="G22" s="31"/>
    </row>
    <row r="23" spans="1:28" s="2619" customFormat="1" ht="13.5" customHeight="1" thickTop="1">
      <c r="A23" s="174" t="s">
        <v>1708</v>
      </c>
      <c r="B23" s="2720"/>
      <c r="C23" s="224"/>
      <c r="D23" s="436" t="s">
        <v>1709</v>
      </c>
      <c r="E23" s="1602"/>
      <c r="F23" s="1602"/>
      <c r="G23" s="2721"/>
      <c r="H23" s="1602"/>
      <c r="I23" s="436" t="str">
        <f>"Values in Laeq, 16hr"&amp;CONCATENATE(" (per household, ",$B$14," prices, ",$B$15," values)")</f>
        <v>Values in Laeq, 16hr (per household, 2014 prices, 2014 values)</v>
      </c>
      <c r="J23" s="2721"/>
      <c r="K23" s="1602"/>
      <c r="L23" s="1602"/>
      <c r="M23" s="2721"/>
      <c r="N23" s="2721"/>
      <c r="O23" s="2721"/>
      <c r="P23" s="1602"/>
      <c r="Q23" s="2721"/>
      <c r="R23" s="2721"/>
      <c r="S23" s="2721"/>
      <c r="T23" s="2721"/>
      <c r="U23" s="2721"/>
      <c r="V23" s="2721"/>
      <c r="W23" s="2722"/>
      <c r="X23" s="2723" t="s">
        <v>1710</v>
      </c>
      <c r="Y23" s="2721"/>
      <c r="Z23" s="2721"/>
      <c r="AA23" s="2721"/>
      <c r="AB23" s="2722"/>
    </row>
    <row r="24" spans="1:28" s="2619" customFormat="1" ht="13.5" customHeight="1" thickBot="1">
      <c r="A24" s="836" t="s">
        <v>1711</v>
      </c>
      <c r="B24" s="2724"/>
      <c r="C24" s="227"/>
      <c r="D24" s="1605" t="str">
        <f>CONCATENATE(" (per household, ",$B$14," prices, ",$B$15," values)")</f>
        <v xml:space="preserve"> (per household, 2014 prices, 2014 values)</v>
      </c>
      <c r="E24" s="227"/>
      <c r="F24" s="227"/>
      <c r="G24" s="2725"/>
      <c r="H24" s="1605"/>
      <c r="I24" s="526"/>
      <c r="J24" s="2725"/>
      <c r="K24" s="1605"/>
      <c r="L24" s="227"/>
      <c r="M24" s="2726"/>
      <c r="N24" s="2726"/>
      <c r="O24" s="2726"/>
      <c r="P24" s="227"/>
      <c r="Q24" s="2726"/>
      <c r="R24" s="2726"/>
      <c r="S24" s="2726"/>
      <c r="T24" s="2726"/>
      <c r="U24" s="2726"/>
      <c r="V24" s="2726"/>
      <c r="W24" s="2727"/>
      <c r="X24" s="2728" t="str">
        <f>CONCATENATE("(per household, ",$B$14," prices, ",$B$15," values)")</f>
        <v>(per household, 2014 prices, 2014 values)</v>
      </c>
      <c r="Y24" s="2726"/>
      <c r="Z24" s="2726"/>
      <c r="AA24" s="2726"/>
      <c r="AB24" s="2727"/>
    </row>
    <row r="25" spans="1:28" ht="13.5" customHeight="1" thickTop="1">
      <c r="A25" s="978"/>
      <c r="B25" s="2729" t="s">
        <v>1712</v>
      </c>
      <c r="C25" s="2730"/>
      <c r="D25" s="1035"/>
      <c r="E25" s="1152"/>
      <c r="F25" s="1152" t="s">
        <v>583</v>
      </c>
      <c r="G25" s="1152"/>
      <c r="H25" s="2731"/>
      <c r="I25" s="2729" t="s">
        <v>1713</v>
      </c>
      <c r="J25" s="2730"/>
      <c r="K25" s="1035"/>
      <c r="L25" s="1152"/>
      <c r="M25" s="1152" t="s">
        <v>583</v>
      </c>
      <c r="N25" s="1152"/>
      <c r="O25" s="2731"/>
      <c r="P25" s="1035"/>
      <c r="Q25" s="1152"/>
      <c r="R25" s="707" t="s">
        <v>584</v>
      </c>
      <c r="S25" s="1152"/>
      <c r="T25" s="1035"/>
      <c r="U25" s="1152"/>
      <c r="V25" s="707" t="s">
        <v>1714</v>
      </c>
      <c r="W25" s="812"/>
      <c r="X25" s="2729" t="s">
        <v>1715</v>
      </c>
      <c r="Y25" s="2730"/>
      <c r="Z25" s="1035"/>
      <c r="AA25" s="1152" t="s">
        <v>1716</v>
      </c>
      <c r="AB25" s="812"/>
    </row>
    <row r="26" spans="1:28" ht="13.5" customHeight="1">
      <c r="A26" s="956"/>
      <c r="B26" s="2732"/>
      <c r="C26" s="2733"/>
      <c r="D26" s="2690"/>
      <c r="E26" s="2565"/>
      <c r="F26" s="2565"/>
      <c r="G26" s="2565"/>
      <c r="H26" s="2734" t="s">
        <v>1717</v>
      </c>
      <c r="I26" s="2732"/>
      <c r="J26" s="2733"/>
      <c r="K26" s="2690"/>
      <c r="L26" s="2565"/>
      <c r="M26" s="2565"/>
      <c r="N26" s="2565"/>
      <c r="O26" s="2734" t="s">
        <v>1717</v>
      </c>
      <c r="P26" s="2690"/>
      <c r="Q26" s="2565"/>
      <c r="R26" s="2565"/>
      <c r="S26" s="2565"/>
      <c r="T26" s="2690"/>
      <c r="U26" s="2565"/>
      <c r="V26" s="2565"/>
      <c r="W26" s="2735"/>
      <c r="X26" s="2732"/>
      <c r="Y26" s="2733"/>
      <c r="Z26" s="2690"/>
      <c r="AA26" s="2565"/>
      <c r="AB26" s="2735"/>
    </row>
    <row r="27" spans="1:28" s="2619" customFormat="1" ht="13.5" customHeight="1" thickBot="1">
      <c r="A27" s="2736"/>
      <c r="B27" s="635" t="s">
        <v>1481</v>
      </c>
      <c r="C27" s="393" t="s">
        <v>1482</v>
      </c>
      <c r="D27" s="2542" t="s">
        <v>1718</v>
      </c>
      <c r="E27" s="2543" t="s">
        <v>1719</v>
      </c>
      <c r="F27" s="2543" t="s">
        <v>1720</v>
      </c>
      <c r="G27" s="2543" t="s">
        <v>1721</v>
      </c>
      <c r="H27" s="2737" t="s">
        <v>1722</v>
      </c>
      <c r="I27" s="635" t="s">
        <v>1481</v>
      </c>
      <c r="J27" s="393" t="s">
        <v>1482</v>
      </c>
      <c r="K27" s="2542" t="s">
        <v>1718</v>
      </c>
      <c r="L27" s="2543" t="s">
        <v>1719</v>
      </c>
      <c r="M27" s="2543" t="s">
        <v>1720</v>
      </c>
      <c r="N27" s="2543" t="s">
        <v>1721</v>
      </c>
      <c r="O27" s="2737" t="s">
        <v>1722</v>
      </c>
      <c r="P27" s="2542" t="s">
        <v>1718</v>
      </c>
      <c r="Q27" s="2543" t="s">
        <v>1719</v>
      </c>
      <c r="R27" s="2543" t="s">
        <v>1720</v>
      </c>
      <c r="S27" s="2543" t="s">
        <v>1721</v>
      </c>
      <c r="T27" s="2542" t="s">
        <v>1718</v>
      </c>
      <c r="U27" s="2543" t="s">
        <v>1719</v>
      </c>
      <c r="V27" s="2543" t="s">
        <v>1720</v>
      </c>
      <c r="W27" s="2544" t="s">
        <v>1721</v>
      </c>
      <c r="X27" s="635" t="s">
        <v>1481</v>
      </c>
      <c r="Y27" s="393" t="s">
        <v>1482</v>
      </c>
      <c r="Z27" s="2542" t="s">
        <v>583</v>
      </c>
      <c r="AA27" s="2543" t="s">
        <v>584</v>
      </c>
      <c r="AB27" s="2544" t="s">
        <v>1714</v>
      </c>
    </row>
    <row r="28" spans="1:28" s="2619" customFormat="1" ht="13.5" customHeight="1" thickTop="1">
      <c r="A28" s="1437"/>
      <c r="B28" s="2547"/>
      <c r="C28" s="2738" t="s">
        <v>1479</v>
      </c>
      <c r="D28" s="2739"/>
      <c r="E28" s="2740"/>
      <c r="F28" s="2740"/>
      <c r="G28" s="2740"/>
      <c r="H28" s="2741"/>
      <c r="I28" s="2547"/>
      <c r="J28" s="2738" t="s">
        <v>1479</v>
      </c>
      <c r="K28" s="1308"/>
      <c r="L28" s="322"/>
      <c r="M28" s="1080"/>
      <c r="N28" s="335"/>
      <c r="O28" s="2738"/>
      <c r="P28" s="2742"/>
      <c r="Q28" s="2743"/>
      <c r="R28" s="2744"/>
      <c r="S28" s="2745"/>
      <c r="T28" s="2052"/>
      <c r="U28" s="2647"/>
      <c r="V28" s="2746"/>
      <c r="W28" s="425"/>
      <c r="X28" s="2547"/>
      <c r="Y28" s="2738" t="s">
        <v>1479</v>
      </c>
      <c r="Z28" s="1308"/>
      <c r="AA28" s="322"/>
      <c r="AB28" s="2747"/>
    </row>
    <row r="29" spans="1:28" s="2619" customFormat="1" ht="13.5" customHeight="1">
      <c r="A29" s="953"/>
      <c r="B29" s="2547">
        <v>45</v>
      </c>
      <c r="C29" s="2738">
        <v>46</v>
      </c>
      <c r="D29" s="2748">
        <v>11.279219241277465</v>
      </c>
      <c r="E29" s="2749">
        <v>0</v>
      </c>
      <c r="F29" s="2749">
        <v>0</v>
      </c>
      <c r="G29" s="2749">
        <v>0</v>
      </c>
      <c r="H29" s="2750">
        <v>0</v>
      </c>
      <c r="I29" s="2547">
        <v>45</v>
      </c>
      <c r="J29" s="2738">
        <v>46</v>
      </c>
      <c r="K29" s="2751">
        <f>D31</f>
        <v>11.314988305704976</v>
      </c>
      <c r="L29" s="2752">
        <f t="shared" ref="K29:O62" si="0">E31</f>
        <v>0</v>
      </c>
      <c r="M29" s="2752">
        <f t="shared" si="0"/>
        <v>0</v>
      </c>
      <c r="N29" s="2752">
        <f t="shared" si="0"/>
        <v>0</v>
      </c>
      <c r="O29" s="2753">
        <f t="shared" si="0"/>
        <v>0</v>
      </c>
      <c r="P29" s="2748">
        <v>3.9006334799999989</v>
      </c>
      <c r="Q29" s="2749">
        <v>0</v>
      </c>
      <c r="R29" s="2749">
        <v>0</v>
      </c>
      <c r="S29" s="2750">
        <v>0</v>
      </c>
      <c r="T29" s="2749">
        <v>15.614323812000004</v>
      </c>
      <c r="U29" s="2749">
        <v>0</v>
      </c>
      <c r="V29" s="2749">
        <v>0</v>
      </c>
      <c r="W29" s="2750">
        <v>0</v>
      </c>
      <c r="X29" s="2547">
        <v>45</v>
      </c>
      <c r="Y29" s="2738">
        <v>46</v>
      </c>
      <c r="Z29" s="2748">
        <v>29.1983159999997</v>
      </c>
      <c r="AA29" s="2749">
        <v>13.590654000000107</v>
      </c>
      <c r="AB29" s="2750">
        <v>37.927091999999746</v>
      </c>
    </row>
    <row r="30" spans="1:28" s="2619" customFormat="1" ht="13.5" customHeight="1">
      <c r="A30" s="953"/>
      <c r="B30" s="2547">
        <v>46</v>
      </c>
      <c r="C30" s="2738">
        <v>47</v>
      </c>
      <c r="D30" s="2748">
        <v>11.233479481927697</v>
      </c>
      <c r="E30" s="2749">
        <v>0</v>
      </c>
      <c r="F30" s="2749">
        <v>0</v>
      </c>
      <c r="G30" s="2749">
        <v>0</v>
      </c>
      <c r="H30" s="2750">
        <v>0</v>
      </c>
      <c r="I30" s="2547">
        <v>46</v>
      </c>
      <c r="J30" s="2738">
        <v>47</v>
      </c>
      <c r="K30" s="2751">
        <f t="shared" si="0"/>
        <v>11.523745712609305</v>
      </c>
      <c r="L30" s="2752">
        <f t="shared" si="0"/>
        <v>0</v>
      </c>
      <c r="M30" s="2752">
        <f t="shared" si="0"/>
        <v>0</v>
      </c>
      <c r="N30" s="2752">
        <f t="shared" si="0"/>
        <v>0</v>
      </c>
      <c r="O30" s="2753">
        <f t="shared" si="0"/>
        <v>0</v>
      </c>
      <c r="P30" s="2748">
        <v>3.9467696399999976</v>
      </c>
      <c r="Q30" s="2749">
        <v>0</v>
      </c>
      <c r="R30" s="2749">
        <v>0</v>
      </c>
      <c r="S30" s="2750">
        <v>0</v>
      </c>
      <c r="T30" s="2749">
        <v>17.723853636000001</v>
      </c>
      <c r="U30" s="2749">
        <v>0</v>
      </c>
      <c r="V30" s="2749">
        <v>0</v>
      </c>
      <c r="W30" s="2750">
        <v>0</v>
      </c>
      <c r="X30" s="2547">
        <v>46</v>
      </c>
      <c r="Y30" s="2738">
        <v>47</v>
      </c>
      <c r="Z30" s="2748">
        <v>32.069268000000491</v>
      </c>
      <c r="AA30" s="2749">
        <v>15.057042000000017</v>
      </c>
      <c r="AB30" s="2750">
        <v>40.790316000000473</v>
      </c>
    </row>
    <row r="31" spans="1:28" s="2619" customFormat="1" ht="13.5" customHeight="1">
      <c r="A31" s="953"/>
      <c r="B31" s="2547">
        <v>47</v>
      </c>
      <c r="C31" s="2738">
        <v>48</v>
      </c>
      <c r="D31" s="2748">
        <v>11.314988305704976</v>
      </c>
      <c r="E31" s="2749">
        <v>0</v>
      </c>
      <c r="F31" s="2749">
        <v>0</v>
      </c>
      <c r="G31" s="2749">
        <v>0</v>
      </c>
      <c r="H31" s="2750">
        <v>0</v>
      </c>
      <c r="I31" s="2547">
        <v>47</v>
      </c>
      <c r="J31" s="2738">
        <v>48</v>
      </c>
      <c r="K31" s="2751">
        <f t="shared" si="0"/>
        <v>11.859751702640585</v>
      </c>
      <c r="L31" s="2752">
        <f t="shared" si="0"/>
        <v>0</v>
      </c>
      <c r="M31" s="2752">
        <f t="shared" si="0"/>
        <v>2.6035603078223808</v>
      </c>
      <c r="N31" s="2752">
        <f t="shared" si="0"/>
        <v>3.9458464792900729</v>
      </c>
      <c r="O31" s="2753">
        <f>H33</f>
        <v>0</v>
      </c>
      <c r="P31" s="2748">
        <v>4.1127836400000035</v>
      </c>
      <c r="Q31" s="2749">
        <v>0</v>
      </c>
      <c r="R31" s="2749">
        <v>0</v>
      </c>
      <c r="S31" s="2750">
        <v>0</v>
      </c>
      <c r="T31" s="2749">
        <v>19.818149915999992</v>
      </c>
      <c r="U31" s="2749">
        <v>0</v>
      </c>
      <c r="V31" s="2749">
        <v>0</v>
      </c>
      <c r="W31" s="2750">
        <v>0</v>
      </c>
      <c r="X31" s="2547">
        <v>47</v>
      </c>
      <c r="Y31" s="2738">
        <v>48</v>
      </c>
      <c r="Z31" s="2748">
        <v>34.940219999999222</v>
      </c>
      <c r="AA31" s="2749">
        <v>16.523430000000101</v>
      </c>
      <c r="AB31" s="2750">
        <v>43.653539999999509</v>
      </c>
    </row>
    <row r="32" spans="1:28" s="2619" customFormat="1" ht="13.5" customHeight="1">
      <c r="A32" s="953"/>
      <c r="B32" s="2547">
        <v>48</v>
      </c>
      <c r="C32" s="2738">
        <v>49</v>
      </c>
      <c r="D32" s="2748">
        <v>11.523745712609305</v>
      </c>
      <c r="E32" s="2749">
        <v>0</v>
      </c>
      <c r="F32" s="2749">
        <v>0</v>
      </c>
      <c r="G32" s="2749">
        <v>0</v>
      </c>
      <c r="H32" s="2750">
        <v>0</v>
      </c>
      <c r="I32" s="2547">
        <v>48</v>
      </c>
      <c r="J32" s="2738">
        <v>49</v>
      </c>
      <c r="K32" s="2751">
        <f t="shared" si="0"/>
        <v>12.323006275799056</v>
      </c>
      <c r="L32" s="2752">
        <f t="shared" si="0"/>
        <v>0</v>
      </c>
      <c r="M32" s="2752">
        <f t="shared" si="0"/>
        <v>2.6100935335490361</v>
      </c>
      <c r="N32" s="2752">
        <f t="shared" si="0"/>
        <v>3.9542643513428537</v>
      </c>
      <c r="O32" s="2753">
        <f t="shared" si="0"/>
        <v>0</v>
      </c>
      <c r="P32" s="2748">
        <v>4.3986754800000005</v>
      </c>
      <c r="Q32" s="2749">
        <v>0</v>
      </c>
      <c r="R32" s="2749">
        <v>0</v>
      </c>
      <c r="S32" s="2750">
        <v>0</v>
      </c>
      <c r="T32" s="2749">
        <v>21.897212652</v>
      </c>
      <c r="U32" s="2749">
        <v>0</v>
      </c>
      <c r="V32" s="2749">
        <v>0</v>
      </c>
      <c r="W32" s="2750">
        <v>0</v>
      </c>
      <c r="X32" s="2547">
        <v>48</v>
      </c>
      <c r="Y32" s="2738">
        <v>49</v>
      </c>
      <c r="Z32" s="2748">
        <v>37.811172000000361</v>
      </c>
      <c r="AA32" s="2749">
        <v>17.98981799999984</v>
      </c>
      <c r="AB32" s="2750">
        <v>46.516763999999561</v>
      </c>
    </row>
    <row r="33" spans="1:28" s="2619" customFormat="1" ht="13.5" customHeight="1">
      <c r="A33" s="953"/>
      <c r="B33" s="2547">
        <v>49</v>
      </c>
      <c r="C33" s="2738">
        <v>50</v>
      </c>
      <c r="D33" s="2748">
        <v>11.859751702640585</v>
      </c>
      <c r="E33" s="2749">
        <v>0</v>
      </c>
      <c r="F33" s="2749">
        <v>2.6035603078223808</v>
      </c>
      <c r="G33" s="2749">
        <v>3.9458464792900729</v>
      </c>
      <c r="H33" s="2750">
        <v>0</v>
      </c>
      <c r="I33" s="2547">
        <v>49</v>
      </c>
      <c r="J33" s="2738">
        <v>50</v>
      </c>
      <c r="K33" s="2751">
        <f t="shared" si="0"/>
        <v>12.913509432084506</v>
      </c>
      <c r="L33" s="2752">
        <f t="shared" si="0"/>
        <v>0</v>
      </c>
      <c r="M33" s="2752">
        <f t="shared" si="0"/>
        <v>2.6166452950273027</v>
      </c>
      <c r="N33" s="2752">
        <f t="shared" si="0"/>
        <v>3.9627009473129435</v>
      </c>
      <c r="O33" s="2753">
        <f t="shared" si="0"/>
        <v>0</v>
      </c>
      <c r="P33" s="2748">
        <v>4.8044451599999967</v>
      </c>
      <c r="Q33" s="2749">
        <v>0</v>
      </c>
      <c r="R33" s="2749">
        <v>0</v>
      </c>
      <c r="S33" s="2750">
        <v>0</v>
      </c>
      <c r="T33" s="2749">
        <v>23.96104184399999</v>
      </c>
      <c r="U33" s="2749">
        <v>0</v>
      </c>
      <c r="V33" s="2749">
        <v>0</v>
      </c>
      <c r="W33" s="2750">
        <v>0</v>
      </c>
      <c r="X33" s="2547">
        <v>49</v>
      </c>
      <c r="Y33" s="2738">
        <v>50</v>
      </c>
      <c r="Z33" s="2748">
        <v>40.682124000000108</v>
      </c>
      <c r="AA33" s="2749">
        <v>19.456205999999927</v>
      </c>
      <c r="AB33" s="2750">
        <v>49.379988000000303</v>
      </c>
    </row>
    <row r="34" spans="1:28" s="2619" customFormat="1" ht="13.5" customHeight="1">
      <c r="A34" s="953"/>
      <c r="B34" s="2547">
        <v>50</v>
      </c>
      <c r="C34" s="2738">
        <v>51</v>
      </c>
      <c r="D34" s="2748">
        <v>12.323006275799056</v>
      </c>
      <c r="E34" s="2749">
        <v>0</v>
      </c>
      <c r="F34" s="2749">
        <v>2.6100935335490361</v>
      </c>
      <c r="G34" s="2749">
        <v>3.9542643513428537</v>
      </c>
      <c r="H34" s="2750">
        <v>0</v>
      </c>
      <c r="I34" s="2547">
        <v>50</v>
      </c>
      <c r="J34" s="2738">
        <v>51</v>
      </c>
      <c r="K34" s="2751">
        <f t="shared" si="0"/>
        <v>13.631261171496979</v>
      </c>
      <c r="L34" s="2752">
        <f t="shared" si="0"/>
        <v>0</v>
      </c>
      <c r="M34" s="2752">
        <f t="shared" si="0"/>
        <v>2.623215651938918</v>
      </c>
      <c r="N34" s="2752">
        <f t="shared" si="0"/>
        <v>3.9711563105261334</v>
      </c>
      <c r="O34" s="2753">
        <f t="shared" si="0"/>
        <v>0</v>
      </c>
      <c r="P34" s="2748">
        <v>5.330092679999999</v>
      </c>
      <c r="Q34" s="2749">
        <v>0</v>
      </c>
      <c r="R34" s="2749">
        <v>2.8364400349072478</v>
      </c>
      <c r="S34" s="2750">
        <v>4.2973171319007761</v>
      </c>
      <c r="T34" s="2749">
        <v>26.009637491999989</v>
      </c>
      <c r="U34" s="2749">
        <v>0</v>
      </c>
      <c r="V34" s="2749">
        <v>5.0570099372985577</v>
      </c>
      <c r="W34" s="2750">
        <v>7.6453183945255869</v>
      </c>
      <c r="X34" s="2547">
        <v>50</v>
      </c>
      <c r="Y34" s="2738">
        <v>51</v>
      </c>
      <c r="Z34" s="2748">
        <v>43.553076000000218</v>
      </c>
      <c r="AA34" s="2749">
        <v>20.922594000000348</v>
      </c>
      <c r="AB34" s="2750">
        <v>52.243211999999666</v>
      </c>
    </row>
    <row r="35" spans="1:28" s="2619" customFormat="1" ht="13.5" customHeight="1">
      <c r="A35" s="953"/>
      <c r="B35" s="2547">
        <v>51</v>
      </c>
      <c r="C35" s="2738">
        <v>52</v>
      </c>
      <c r="D35" s="2748">
        <v>12.913509432084506</v>
      </c>
      <c r="E35" s="2749">
        <v>0</v>
      </c>
      <c r="F35" s="2749">
        <v>2.6166452950273027</v>
      </c>
      <c r="G35" s="2749">
        <v>3.9627009473129435</v>
      </c>
      <c r="H35" s="2750">
        <v>0</v>
      </c>
      <c r="I35" s="2547">
        <v>51</v>
      </c>
      <c r="J35" s="2738">
        <v>52</v>
      </c>
      <c r="K35" s="2751">
        <f t="shared" si="0"/>
        <v>14.476261494036429</v>
      </c>
      <c r="L35" s="2752">
        <f t="shared" si="0"/>
        <v>0</v>
      </c>
      <c r="M35" s="2752">
        <f t="shared" si="0"/>
        <v>2.6298046641807269</v>
      </c>
      <c r="N35" s="2752">
        <f t="shared" si="0"/>
        <v>3.9796304844119104</v>
      </c>
      <c r="O35" s="2753">
        <f t="shared" si="0"/>
        <v>0</v>
      </c>
      <c r="P35" s="2748">
        <v>5.9756180399999961</v>
      </c>
      <c r="Q35" s="2749">
        <v>0</v>
      </c>
      <c r="R35" s="2749">
        <v>2.8441798213427236</v>
      </c>
      <c r="S35" s="2750">
        <v>4.3072837926305683</v>
      </c>
      <c r="T35" s="2749">
        <v>28.042999596000001</v>
      </c>
      <c r="U35" s="2749">
        <v>0</v>
      </c>
      <c r="V35" s="2749">
        <v>5.0816438765599914</v>
      </c>
      <c r="W35" s="2750">
        <v>7.6768373327204662</v>
      </c>
      <c r="X35" s="2547">
        <v>51</v>
      </c>
      <c r="Y35" s="2738">
        <v>52</v>
      </c>
      <c r="Z35" s="2748">
        <v>46.424028000000327</v>
      </c>
      <c r="AA35" s="2749">
        <v>22.388981999999746</v>
      </c>
      <c r="AB35" s="2750">
        <v>55.106436000000407</v>
      </c>
    </row>
    <row r="36" spans="1:28" ht="13.5" customHeight="1">
      <c r="A36" s="953"/>
      <c r="B36" s="2547">
        <v>52</v>
      </c>
      <c r="C36" s="2738">
        <v>53</v>
      </c>
      <c r="D36" s="2748">
        <v>13.631261171496979</v>
      </c>
      <c r="E36" s="2749">
        <v>0</v>
      </c>
      <c r="F36" s="2749">
        <v>2.623215651938918</v>
      </c>
      <c r="G36" s="2749">
        <v>3.9711563105261334</v>
      </c>
      <c r="H36" s="2750">
        <v>0</v>
      </c>
      <c r="I36" s="2547">
        <v>52</v>
      </c>
      <c r="J36" s="2738">
        <v>53</v>
      </c>
      <c r="K36" s="2751">
        <f t="shared" si="0"/>
        <v>15.448510399703059</v>
      </c>
      <c r="L36" s="2752">
        <f t="shared" si="0"/>
        <v>0</v>
      </c>
      <c r="M36" s="2752">
        <f t="shared" si="0"/>
        <v>2.6364123918656608</v>
      </c>
      <c r="N36" s="2752">
        <f t="shared" si="0"/>
        <v>3.9881235125039991</v>
      </c>
      <c r="O36" s="2753">
        <f t="shared" si="0"/>
        <v>25.710035903999611</v>
      </c>
      <c r="P36" s="2748">
        <v>6.7410212400000047</v>
      </c>
      <c r="Q36" s="2749">
        <v>0</v>
      </c>
      <c r="R36" s="2749">
        <v>2.8519434882518344</v>
      </c>
      <c r="S36" s="2750">
        <v>4.3172745544708482</v>
      </c>
      <c r="T36" s="2749">
        <v>30.061128156000002</v>
      </c>
      <c r="U36" s="2749">
        <v>0</v>
      </c>
      <c r="V36" s="2749">
        <v>5.1064140425247517</v>
      </c>
      <c r="W36" s="2750">
        <v>7.7084918664536444</v>
      </c>
      <c r="X36" s="2547">
        <v>52</v>
      </c>
      <c r="Y36" s="2738">
        <v>53</v>
      </c>
      <c r="Z36" s="2748">
        <v>49.294979999998716</v>
      </c>
      <c r="AA36" s="2749">
        <v>23.855370000000175</v>
      </c>
      <c r="AB36" s="2750">
        <v>57.969659999999777</v>
      </c>
    </row>
    <row r="37" spans="1:28" ht="13.5" customHeight="1">
      <c r="A37" s="953"/>
      <c r="B37" s="2547">
        <v>53</v>
      </c>
      <c r="C37" s="2738">
        <v>54</v>
      </c>
      <c r="D37" s="2748">
        <v>14.476261494036429</v>
      </c>
      <c r="E37" s="2749">
        <v>0</v>
      </c>
      <c r="F37" s="2749">
        <v>2.6298046641807269</v>
      </c>
      <c r="G37" s="2749">
        <v>3.9796304844119104</v>
      </c>
      <c r="H37" s="2750">
        <v>0</v>
      </c>
      <c r="I37" s="2547">
        <v>53</v>
      </c>
      <c r="J37" s="2738">
        <v>54</v>
      </c>
      <c r="K37" s="2751">
        <f t="shared" si="0"/>
        <v>16.54800788849667</v>
      </c>
      <c r="L37" s="2752">
        <f t="shared" si="0"/>
        <v>0</v>
      </c>
      <c r="M37" s="2752">
        <f t="shared" si="0"/>
        <v>2.6430388953236705</v>
      </c>
      <c r="N37" s="2752">
        <f t="shared" si="0"/>
        <v>3.9966354384405713</v>
      </c>
      <c r="O37" s="2753">
        <f t="shared" si="0"/>
        <v>28.035507024000996</v>
      </c>
      <c r="P37" s="2748">
        <v>7.6263022800000071</v>
      </c>
      <c r="Q37" s="2749">
        <v>0</v>
      </c>
      <c r="R37" s="2749">
        <v>2.8597311192565216</v>
      </c>
      <c r="S37" s="2750">
        <v>4.3272894780501892</v>
      </c>
      <c r="T37" s="2749">
        <v>32.064023171999999</v>
      </c>
      <c r="U37" s="2749">
        <v>0</v>
      </c>
      <c r="V37" s="2749">
        <v>5.131321293372463</v>
      </c>
      <c r="W37" s="2750">
        <v>7.7402826030182528</v>
      </c>
      <c r="X37" s="2547">
        <v>53</v>
      </c>
      <c r="Y37" s="2738">
        <v>54</v>
      </c>
      <c r="Z37" s="2748">
        <v>52.165932000000538</v>
      </c>
      <c r="AA37" s="2749">
        <v>25.321757999999914</v>
      </c>
      <c r="AB37" s="2750">
        <v>60.832884000000512</v>
      </c>
    </row>
    <row r="38" spans="1:28" ht="13.5" customHeight="1">
      <c r="A38" s="953"/>
      <c r="B38" s="2547">
        <v>54</v>
      </c>
      <c r="C38" s="2738">
        <v>55</v>
      </c>
      <c r="D38" s="2748">
        <v>15.448510399703059</v>
      </c>
      <c r="E38" s="2749">
        <v>0</v>
      </c>
      <c r="F38" s="2749">
        <v>2.6364123918656608</v>
      </c>
      <c r="G38" s="2749">
        <v>3.9881235125039991</v>
      </c>
      <c r="H38" s="2750">
        <v>25.710035903999611</v>
      </c>
      <c r="I38" s="2547">
        <v>54</v>
      </c>
      <c r="J38" s="2738">
        <v>55</v>
      </c>
      <c r="K38" s="2751">
        <f t="shared" si="0"/>
        <v>17.77475396041736</v>
      </c>
      <c r="L38" s="2752">
        <f t="shared" si="0"/>
        <v>0</v>
      </c>
      <c r="M38" s="2752">
        <f t="shared" si="0"/>
        <v>2.6496842351023964</v>
      </c>
      <c r="N38" s="2752">
        <f t="shared" si="0"/>
        <v>4.0051663059645213</v>
      </c>
      <c r="O38" s="2753">
        <f t="shared" si="0"/>
        <v>30.360978143999294</v>
      </c>
      <c r="P38" s="2748">
        <v>8.6314611599999918</v>
      </c>
      <c r="Q38" s="2749">
        <v>0</v>
      </c>
      <c r="R38" s="2749">
        <v>2.8675427983069532</v>
      </c>
      <c r="S38" s="2750">
        <v>4.3373286241557212</v>
      </c>
      <c r="T38" s="2749">
        <v>34.051684643999998</v>
      </c>
      <c r="U38" s="2749">
        <v>0</v>
      </c>
      <c r="V38" s="2749">
        <v>5.1563664933529205</v>
      </c>
      <c r="W38" s="2750">
        <v>7.7722101525285634</v>
      </c>
      <c r="X38" s="2547">
        <v>54</v>
      </c>
      <c r="Y38" s="2738">
        <v>55</v>
      </c>
      <c r="Z38" s="2748">
        <v>55.036884000000299</v>
      </c>
      <c r="AA38" s="2749">
        <v>26.788145999999653</v>
      </c>
      <c r="AB38" s="2750">
        <v>63.696107999999882</v>
      </c>
    </row>
    <row r="39" spans="1:28" ht="13.5" customHeight="1">
      <c r="A39" s="953"/>
      <c r="B39" s="2547">
        <v>55</v>
      </c>
      <c r="C39" s="2738">
        <v>56</v>
      </c>
      <c r="D39" s="2748">
        <v>16.54800788849667</v>
      </c>
      <c r="E39" s="2749">
        <v>0</v>
      </c>
      <c r="F39" s="2749">
        <v>2.6430388953236705</v>
      </c>
      <c r="G39" s="2749">
        <v>3.9966354384405713</v>
      </c>
      <c r="H39" s="2750">
        <v>28.035507024000996</v>
      </c>
      <c r="I39" s="2547">
        <v>55</v>
      </c>
      <c r="J39" s="2738">
        <v>56</v>
      </c>
      <c r="K39" s="2751">
        <f t="shared" si="0"/>
        <v>19.128748615464811</v>
      </c>
      <c r="L39" s="2752">
        <f t="shared" si="0"/>
        <v>0</v>
      </c>
      <c r="M39" s="2752">
        <f t="shared" si="0"/>
        <v>2.6563484719681787</v>
      </c>
      <c r="N39" s="2752">
        <f t="shared" si="0"/>
        <v>4.0137161589234012</v>
      </c>
      <c r="O39" s="2753">
        <f t="shared" si="0"/>
        <v>32.686449264000338</v>
      </c>
      <c r="P39" s="2748">
        <v>9.7564978800000048</v>
      </c>
      <c r="Q39" s="2749">
        <v>0</v>
      </c>
      <c r="R39" s="2749">
        <v>2.8753786096824996</v>
      </c>
      <c r="S39" s="2750">
        <v>4.347392053732765</v>
      </c>
      <c r="T39" s="2749">
        <v>36.024112571999979</v>
      </c>
      <c r="U39" s="2749">
        <v>0</v>
      </c>
      <c r="V39" s="2749">
        <v>5.1815505128336419</v>
      </c>
      <c r="W39" s="2750">
        <v>7.8042751279342824</v>
      </c>
      <c r="X39" s="2547">
        <v>55</v>
      </c>
      <c r="Y39" s="2738">
        <v>56</v>
      </c>
      <c r="Z39" s="2748">
        <v>57.90783600000006</v>
      </c>
      <c r="AA39" s="2749">
        <v>28.254534000000081</v>
      </c>
      <c r="AB39" s="2750">
        <v>66.559331999999941</v>
      </c>
    </row>
    <row r="40" spans="1:28" ht="13.5" customHeight="1">
      <c r="A40" s="953"/>
      <c r="B40" s="2547">
        <v>56</v>
      </c>
      <c r="C40" s="2738">
        <v>57</v>
      </c>
      <c r="D40" s="2748">
        <v>17.77475396041736</v>
      </c>
      <c r="E40" s="2749">
        <v>0</v>
      </c>
      <c r="F40" s="2749">
        <v>2.6496842351023964</v>
      </c>
      <c r="G40" s="2749">
        <v>4.0051663059645213</v>
      </c>
      <c r="H40" s="2750">
        <v>30.360978143999294</v>
      </c>
      <c r="I40" s="2547">
        <v>56</v>
      </c>
      <c r="J40" s="2738">
        <v>57</v>
      </c>
      <c r="K40" s="2751">
        <f t="shared" si="0"/>
        <v>20.609991853639713</v>
      </c>
      <c r="L40" s="2752">
        <f t="shared" si="0"/>
        <v>1.5546706870662972</v>
      </c>
      <c r="M40" s="2752">
        <f t="shared" si="0"/>
        <v>2.6630316669070107</v>
      </c>
      <c r="N40" s="2752">
        <f t="shared" si="0"/>
        <v>4.0222850412706785</v>
      </c>
      <c r="O40" s="2753">
        <f t="shared" si="0"/>
        <v>35.011920384000007</v>
      </c>
      <c r="P40" s="2748">
        <v>11.001412440000001</v>
      </c>
      <c r="Q40" s="2749">
        <v>0</v>
      </c>
      <c r="R40" s="2749">
        <v>2.8832386379935877</v>
      </c>
      <c r="S40" s="2750">
        <v>4.357479827886042</v>
      </c>
      <c r="T40" s="2749">
        <v>37.981306956000033</v>
      </c>
      <c r="U40" s="2749">
        <v>0</v>
      </c>
      <c r="V40" s="2749">
        <v>5.2068742283463472</v>
      </c>
      <c r="W40" s="2750">
        <v>7.8364781450327268</v>
      </c>
      <c r="X40" s="2547">
        <v>56</v>
      </c>
      <c r="Y40" s="2738">
        <v>57</v>
      </c>
      <c r="Z40" s="2748">
        <v>60.778788000000503</v>
      </c>
      <c r="AA40" s="2749">
        <v>29.720922000000161</v>
      </c>
      <c r="AB40" s="2750">
        <v>69.422555999999986</v>
      </c>
    </row>
    <row r="41" spans="1:28" ht="13.5" customHeight="1">
      <c r="A41" s="953"/>
      <c r="B41" s="2547">
        <v>57</v>
      </c>
      <c r="C41" s="2738">
        <v>58</v>
      </c>
      <c r="D41" s="2748">
        <v>19.128748615464811</v>
      </c>
      <c r="E41" s="2749">
        <v>0</v>
      </c>
      <c r="F41" s="2749">
        <v>2.6563484719681787</v>
      </c>
      <c r="G41" s="2749">
        <v>4.0137161589234012</v>
      </c>
      <c r="H41" s="2750">
        <v>32.686449264000338</v>
      </c>
      <c r="I41" s="2547">
        <v>57</v>
      </c>
      <c r="J41" s="2738">
        <v>58</v>
      </c>
      <c r="K41" s="2751">
        <f t="shared" si="0"/>
        <v>22.218483674941517</v>
      </c>
      <c r="L41" s="2752">
        <f t="shared" si="0"/>
        <v>3.0737722741833076</v>
      </c>
      <c r="M41" s="2752">
        <f t="shared" si="0"/>
        <v>2.6697338811250213</v>
      </c>
      <c r="N41" s="2752">
        <f t="shared" si="0"/>
        <v>4.0308729970644208</v>
      </c>
      <c r="O41" s="2753">
        <f t="shared" si="0"/>
        <v>37.337391503999669</v>
      </c>
      <c r="P41" s="2748">
        <v>12.366204839999991</v>
      </c>
      <c r="Q41" s="2749">
        <v>0</v>
      </c>
      <c r="R41" s="2749">
        <v>2.8911229681822217</v>
      </c>
      <c r="S41" s="2750">
        <v>4.3675920078786676</v>
      </c>
      <c r="T41" s="2749">
        <v>39.923267795999955</v>
      </c>
      <c r="U41" s="2749">
        <v>0</v>
      </c>
      <c r="V41" s="2749">
        <v>5.2323385226354961</v>
      </c>
      <c r="W41" s="2750">
        <v>7.8688198224835313</v>
      </c>
      <c r="X41" s="2547">
        <v>57</v>
      </c>
      <c r="Y41" s="2738">
        <v>58</v>
      </c>
      <c r="Z41" s="2748">
        <v>63.649739999998893</v>
      </c>
      <c r="AA41" s="2749">
        <v>31.187309999999901</v>
      </c>
      <c r="AB41" s="2750">
        <v>72.285780000000045</v>
      </c>
    </row>
    <row r="42" spans="1:28" ht="13.5" customHeight="1">
      <c r="A42" s="953"/>
      <c r="B42" s="2547">
        <v>58</v>
      </c>
      <c r="C42" s="2738">
        <v>59</v>
      </c>
      <c r="D42" s="2748">
        <v>20.609991853639713</v>
      </c>
      <c r="E42" s="2749">
        <v>1.5546706870662972</v>
      </c>
      <c r="F42" s="2749">
        <v>2.6630316669070107</v>
      </c>
      <c r="G42" s="2749">
        <v>4.0222850412706785</v>
      </c>
      <c r="H42" s="2750">
        <v>35.011920384000007</v>
      </c>
      <c r="I42" s="2547">
        <v>58</v>
      </c>
      <c r="J42" s="2738">
        <v>59</v>
      </c>
      <c r="K42" s="2751">
        <f t="shared" si="0"/>
        <v>23.954224079370281</v>
      </c>
      <c r="L42" s="2752">
        <f t="shared" si="0"/>
        <v>4.3524272912673823</v>
      </c>
      <c r="M42" s="2752">
        <f t="shared" si="0"/>
        <v>2.6764551760498119</v>
      </c>
      <c r="N42" s="2752">
        <f t="shared" si="0"/>
        <v>4.0394800704691249</v>
      </c>
      <c r="O42" s="2753">
        <f t="shared" si="0"/>
        <v>39.662862623999686</v>
      </c>
      <c r="P42" s="2748">
        <v>13.85087508000001</v>
      </c>
      <c r="Q42" s="2749">
        <v>1.5546706870662972</v>
      </c>
      <c r="R42" s="2749">
        <v>2.899031685525042</v>
      </c>
      <c r="S42" s="2750">
        <v>4.3777286551350345</v>
      </c>
      <c r="T42" s="2749">
        <v>41.849995092000036</v>
      </c>
      <c r="U42" s="2749">
        <v>1.5546706870662972</v>
      </c>
      <c r="V42" s="2749">
        <v>5.2579442847062339</v>
      </c>
      <c r="W42" s="2750">
        <v>7.9013007818224068</v>
      </c>
      <c r="X42" s="2547">
        <v>58</v>
      </c>
      <c r="Y42" s="2738">
        <v>59</v>
      </c>
      <c r="Z42" s="2754">
        <v>66.520692000000025</v>
      </c>
      <c r="AA42" s="2755">
        <v>32.653697999999984</v>
      </c>
      <c r="AB42" s="2756">
        <v>75.14900400000009</v>
      </c>
    </row>
    <row r="43" spans="1:28" ht="13.5" customHeight="1">
      <c r="A43" s="953"/>
      <c r="B43" s="2547">
        <v>59</v>
      </c>
      <c r="C43" s="2738">
        <v>60</v>
      </c>
      <c r="D43" s="2754">
        <v>22.218483674941517</v>
      </c>
      <c r="E43" s="2755">
        <v>3.0737722741833076</v>
      </c>
      <c r="F43" s="2755">
        <v>2.6697338811250213</v>
      </c>
      <c r="G43" s="2755">
        <v>4.0308729970644208</v>
      </c>
      <c r="H43" s="2756">
        <v>37.337391503999669</v>
      </c>
      <c r="I43" s="2547">
        <v>59</v>
      </c>
      <c r="J43" s="2738">
        <v>60</v>
      </c>
      <c r="K43" s="2751">
        <f t="shared" si="0"/>
        <v>25.817213066925955</v>
      </c>
      <c r="L43" s="2752">
        <f t="shared" si="0"/>
        <v>5.6706949750160147</v>
      </c>
      <c r="M43" s="2752">
        <f t="shared" si="0"/>
        <v>2.6831956133310579</v>
      </c>
      <c r="N43" s="2752">
        <f t="shared" si="0"/>
        <v>4.0481063057549598</v>
      </c>
      <c r="O43" s="2753">
        <f t="shared" si="0"/>
        <v>41.988333743999696</v>
      </c>
      <c r="P43" s="2754">
        <v>15.455423159999988</v>
      </c>
      <c r="Q43" s="2755">
        <v>3.0737722741833076</v>
      </c>
      <c r="R43" s="2755">
        <v>2.9069648756328847</v>
      </c>
      <c r="S43" s="2756">
        <v>4.3878898312385433</v>
      </c>
      <c r="T43" s="2755">
        <v>43.761488843999999</v>
      </c>
      <c r="U43" s="2755">
        <v>3.0737722741833076</v>
      </c>
      <c r="V43" s="2755">
        <v>5.2836924098730691</v>
      </c>
      <c r="W43" s="2756">
        <v>7.9339216474748033</v>
      </c>
      <c r="X43" s="2547">
        <v>59</v>
      </c>
      <c r="Y43" s="2738">
        <v>60</v>
      </c>
      <c r="Z43" s="2748">
        <v>69.391644000000468</v>
      </c>
      <c r="AA43" s="2749">
        <v>34.120086000000413</v>
      </c>
      <c r="AB43" s="2750">
        <v>78.012227999999453</v>
      </c>
    </row>
    <row r="44" spans="1:28" s="2619" customFormat="1" ht="13.5" customHeight="1">
      <c r="A44" s="953"/>
      <c r="B44" s="2547">
        <v>60</v>
      </c>
      <c r="C44" s="2738">
        <v>61</v>
      </c>
      <c r="D44" s="2748">
        <v>23.954224079370281</v>
      </c>
      <c r="E44" s="2749">
        <v>4.3524272912673823</v>
      </c>
      <c r="F44" s="2749">
        <v>2.6764551760498119</v>
      </c>
      <c r="G44" s="2749">
        <v>4.0394800704691249</v>
      </c>
      <c r="H44" s="2750">
        <v>39.662862623999686</v>
      </c>
      <c r="I44" s="2547">
        <v>60</v>
      </c>
      <c r="J44" s="2738">
        <v>61</v>
      </c>
      <c r="K44" s="2751">
        <f t="shared" si="0"/>
        <v>27.807450637608977</v>
      </c>
      <c r="L44" s="2752">
        <f t="shared" si="0"/>
        <v>7.0285753254301353</v>
      </c>
      <c r="M44" s="2752">
        <f t="shared" si="0"/>
        <v>2.6899552548413963</v>
      </c>
      <c r="N44" s="2752">
        <f t="shared" si="0"/>
        <v>4.056751747298434</v>
      </c>
      <c r="O44" s="2753">
        <f t="shared" si="0"/>
        <v>44.313804864000744</v>
      </c>
      <c r="P44" s="2748">
        <v>17.179849079999972</v>
      </c>
      <c r="Q44" s="2749">
        <v>4.3524272912673823</v>
      </c>
      <c r="R44" s="2749">
        <v>2.9149226244536708</v>
      </c>
      <c r="S44" s="2750">
        <v>4.3980755979340067</v>
      </c>
      <c r="T44" s="2749">
        <v>45.657749052000021</v>
      </c>
      <c r="U44" s="2749">
        <v>4.3524272912673823</v>
      </c>
      <c r="V44" s="2749">
        <v>5.3095837998084265</v>
      </c>
      <c r="W44" s="2750">
        <v>7.9666830467690737</v>
      </c>
      <c r="X44" s="2547">
        <v>60</v>
      </c>
      <c r="Y44" s="2738">
        <v>61</v>
      </c>
      <c r="Z44" s="2748">
        <v>72.262596000000229</v>
      </c>
      <c r="AA44" s="2749">
        <v>35.586473999999463</v>
      </c>
      <c r="AB44" s="2750">
        <v>80.875452000000877</v>
      </c>
    </row>
    <row r="45" spans="1:28" s="2619" customFormat="1" ht="13.5" customHeight="1">
      <c r="A45" s="953"/>
      <c r="B45" s="2547">
        <v>61</v>
      </c>
      <c r="C45" s="2738">
        <v>62</v>
      </c>
      <c r="D45" s="2748">
        <v>25.817213066925955</v>
      </c>
      <c r="E45" s="2749">
        <v>5.6706949750160147</v>
      </c>
      <c r="F45" s="2749">
        <v>2.6831956133310579</v>
      </c>
      <c r="G45" s="2749">
        <v>4.0481063057549598</v>
      </c>
      <c r="H45" s="2750">
        <v>41.988333743999696</v>
      </c>
      <c r="I45" s="2547">
        <v>61</v>
      </c>
      <c r="J45" s="2738">
        <v>62</v>
      </c>
      <c r="K45" s="2751">
        <f t="shared" si="0"/>
        <v>29.924936791419004</v>
      </c>
      <c r="L45" s="2752">
        <f t="shared" si="0"/>
        <v>8.4260683425081169</v>
      </c>
      <c r="M45" s="2752">
        <f t="shared" si="0"/>
        <v>2.6967341626774739</v>
      </c>
      <c r="N45" s="2752">
        <f t="shared" si="0"/>
        <v>4.0654164395826182</v>
      </c>
      <c r="O45" s="2753">
        <f t="shared" si="0"/>
        <v>46.639275983999042</v>
      </c>
      <c r="P45" s="2748">
        <v>19.024152840000021</v>
      </c>
      <c r="Q45" s="2749">
        <v>5.6706949750160147</v>
      </c>
      <c r="R45" s="2749">
        <v>2.9229050182728336</v>
      </c>
      <c r="S45" s="2750">
        <v>4.4082860171267182</v>
      </c>
      <c r="T45" s="2749">
        <v>47.538775716000018</v>
      </c>
      <c r="U45" s="2749">
        <v>5.6706949750160147</v>
      </c>
      <c r="V45" s="2749">
        <v>5.3356193625926975</v>
      </c>
      <c r="W45" s="2750">
        <v>7.9995856099516578</v>
      </c>
      <c r="X45" s="2547">
        <v>61</v>
      </c>
      <c r="Y45" s="2738">
        <v>62</v>
      </c>
      <c r="Z45" s="2748">
        <v>75.133547999998612</v>
      </c>
      <c r="AA45" s="2749">
        <v>37.052862000000232</v>
      </c>
      <c r="AB45" s="2750">
        <v>83.738675999999558</v>
      </c>
    </row>
    <row r="46" spans="1:28" ht="13.5" customHeight="1">
      <c r="A46" s="953"/>
      <c r="B46" s="2547">
        <v>62</v>
      </c>
      <c r="C46" s="2738">
        <v>63</v>
      </c>
      <c r="D46" s="2748">
        <v>27.807450637608977</v>
      </c>
      <c r="E46" s="2749">
        <v>7.0285753254301353</v>
      </c>
      <c r="F46" s="2749">
        <v>2.6899552548413963</v>
      </c>
      <c r="G46" s="2749">
        <v>4.056751747298434</v>
      </c>
      <c r="H46" s="2750">
        <v>44.313804864000744</v>
      </c>
      <c r="I46" s="2547">
        <v>62</v>
      </c>
      <c r="J46" s="2738">
        <v>63</v>
      </c>
      <c r="K46" s="2751">
        <f t="shared" si="0"/>
        <v>32.169671528355643</v>
      </c>
      <c r="L46" s="2752">
        <f t="shared" si="0"/>
        <v>9.8631740262518175</v>
      </c>
      <c r="M46" s="2752">
        <f t="shared" si="0"/>
        <v>2.7035323991605313</v>
      </c>
      <c r="N46" s="2752">
        <f t="shared" si="0"/>
        <v>4.0741004271972656</v>
      </c>
      <c r="O46" s="2753">
        <f t="shared" si="0"/>
        <v>48.964747104000764</v>
      </c>
      <c r="P46" s="2748">
        <v>20.988334439999992</v>
      </c>
      <c r="Q46" s="2749">
        <v>7.0285753254301353</v>
      </c>
      <c r="R46" s="2749">
        <v>2.9309121437156769</v>
      </c>
      <c r="S46" s="2750">
        <v>4.418521150884275</v>
      </c>
      <c r="T46" s="2749">
        <v>49.404568835999974</v>
      </c>
      <c r="U46" s="2749">
        <v>7.0285753254301353</v>
      </c>
      <c r="V46" s="2749">
        <v>5.3618000127634007</v>
      </c>
      <c r="W46" s="2750">
        <v>8.0326299701999773</v>
      </c>
      <c r="X46" s="2547">
        <v>62</v>
      </c>
      <c r="Y46" s="2738">
        <v>63</v>
      </c>
      <c r="Z46" s="2748">
        <v>78.004500000000434</v>
      </c>
      <c r="AA46" s="2749">
        <v>38.519249999999623</v>
      </c>
      <c r="AB46" s="2750">
        <v>86.601900000000313</v>
      </c>
    </row>
    <row r="47" spans="1:28" ht="13.5" customHeight="1">
      <c r="A47" s="953"/>
      <c r="B47" s="2547">
        <v>63</v>
      </c>
      <c r="C47" s="2738">
        <v>64</v>
      </c>
      <c r="D47" s="2748">
        <v>29.924936791419004</v>
      </c>
      <c r="E47" s="2749">
        <v>8.4260683425081169</v>
      </c>
      <c r="F47" s="2749">
        <v>2.6967341626774739</v>
      </c>
      <c r="G47" s="2749">
        <v>4.0654164395826182</v>
      </c>
      <c r="H47" s="2750">
        <v>46.639275983999042</v>
      </c>
      <c r="I47" s="2547">
        <v>63</v>
      </c>
      <c r="J47" s="2738">
        <v>64</v>
      </c>
      <c r="K47" s="2751">
        <f t="shared" si="0"/>
        <v>34.541654848419974</v>
      </c>
      <c r="L47" s="2752">
        <f t="shared" si="0"/>
        <v>11.339892376660774</v>
      </c>
      <c r="M47" s="2752">
        <f t="shared" si="0"/>
        <v>2.7103500268376357</v>
      </c>
      <c r="N47" s="2752">
        <f t="shared" si="0"/>
        <v>4.0828037548392793</v>
      </c>
      <c r="O47" s="2753">
        <f t="shared" si="0"/>
        <v>51.290218224000434</v>
      </c>
      <c r="P47" s="2748">
        <v>23.072393880000011</v>
      </c>
      <c r="Q47" s="2749">
        <v>8.4260683425081169</v>
      </c>
      <c r="R47" s="2749">
        <v>2.9389440877479642</v>
      </c>
      <c r="S47" s="2750">
        <v>4.428781061435469</v>
      </c>
      <c r="T47" s="2749">
        <v>51.255128411999898</v>
      </c>
      <c r="U47" s="2749">
        <v>8.4260683425081169</v>
      </c>
      <c r="V47" s="2749">
        <v>5.3881266713660096</v>
      </c>
      <c r="W47" s="2750">
        <v>8.0658167636375513</v>
      </c>
      <c r="X47" s="2547">
        <v>63</v>
      </c>
      <c r="Y47" s="2738">
        <v>64</v>
      </c>
      <c r="Z47" s="2748">
        <v>80.875452000000195</v>
      </c>
      <c r="AA47" s="2749">
        <v>39.985638000000392</v>
      </c>
      <c r="AB47" s="2750">
        <v>89.46512399999969</v>
      </c>
    </row>
    <row r="48" spans="1:28" ht="13.5" customHeight="1">
      <c r="A48" s="953"/>
      <c r="B48" s="2547">
        <v>64</v>
      </c>
      <c r="C48" s="2738">
        <v>65</v>
      </c>
      <c r="D48" s="2748">
        <v>32.169671528355643</v>
      </c>
      <c r="E48" s="2749">
        <v>9.8631740262518175</v>
      </c>
      <c r="F48" s="2749">
        <v>2.7035323991605313</v>
      </c>
      <c r="G48" s="2749">
        <v>4.0741004271972656</v>
      </c>
      <c r="H48" s="2750">
        <v>48.964747104000764</v>
      </c>
      <c r="I48" s="2547">
        <v>64</v>
      </c>
      <c r="J48" s="2738">
        <v>65</v>
      </c>
      <c r="K48" s="2751">
        <f t="shared" si="0"/>
        <v>37.040886751610927</v>
      </c>
      <c r="L48" s="2752">
        <f t="shared" si="0"/>
        <v>12.856223393733824</v>
      </c>
      <c r="M48" s="2752">
        <f t="shared" si="0"/>
        <v>2.7171871084825345</v>
      </c>
      <c r="N48" s="2752">
        <f t="shared" si="0"/>
        <v>4.0915264673130398</v>
      </c>
      <c r="O48" s="2753">
        <f t="shared" si="0"/>
        <v>53.615689344000792</v>
      </c>
      <c r="P48" s="2748">
        <v>25.276331159999966</v>
      </c>
      <c r="Q48" s="2749">
        <v>9.8631740262518175</v>
      </c>
      <c r="R48" s="2749">
        <v>2.9470009376781721</v>
      </c>
      <c r="S48" s="2750">
        <v>4.4390658111722399</v>
      </c>
      <c r="T48" s="2749">
        <v>53.090454444000095</v>
      </c>
      <c r="U48" s="2749">
        <v>9.8631740262518175</v>
      </c>
      <c r="V48" s="2749">
        <v>5.4146002660037915</v>
      </c>
      <c r="W48" s="2750">
        <v>8.099146629346798</v>
      </c>
      <c r="X48" s="2547">
        <v>64</v>
      </c>
      <c r="Y48" s="2738">
        <v>65</v>
      </c>
      <c r="Z48" s="2748">
        <v>83.746403999999956</v>
      </c>
      <c r="AA48" s="2749">
        <v>41.452026000000487</v>
      </c>
      <c r="AB48" s="2750">
        <v>92.328347999999735</v>
      </c>
    </row>
    <row r="49" spans="1:28" ht="13.5" customHeight="1">
      <c r="A49" s="953"/>
      <c r="B49" s="2547">
        <v>65</v>
      </c>
      <c r="C49" s="2738">
        <v>66</v>
      </c>
      <c r="D49" s="2748">
        <v>34.541654848419974</v>
      </c>
      <c r="E49" s="2749">
        <v>11.339892376660774</v>
      </c>
      <c r="F49" s="2749">
        <v>2.7103500268376357</v>
      </c>
      <c r="G49" s="2749">
        <v>4.0828037548392793</v>
      </c>
      <c r="H49" s="2750">
        <v>51.290218224000434</v>
      </c>
      <c r="I49" s="2547">
        <v>65</v>
      </c>
      <c r="J49" s="2738">
        <v>66</v>
      </c>
      <c r="K49" s="2751">
        <f t="shared" si="0"/>
        <v>39.667367237928978</v>
      </c>
      <c r="L49" s="2752">
        <f t="shared" si="0"/>
        <v>14.41216707747143</v>
      </c>
      <c r="M49" s="2752">
        <f t="shared" si="0"/>
        <v>2.7240437070960231</v>
      </c>
      <c r="N49" s="2752">
        <f t="shared" si="0"/>
        <v>4.1002686095300991</v>
      </c>
      <c r="O49" s="2753">
        <f t="shared" si="0"/>
        <v>55.94116046399909</v>
      </c>
      <c r="P49" s="2748">
        <v>27.60014628000004</v>
      </c>
      <c r="Q49" s="2749">
        <v>11.339892376660774</v>
      </c>
      <c r="R49" s="2749">
        <v>2.9550827811583495</v>
      </c>
      <c r="S49" s="2750">
        <v>4.4493754626488071</v>
      </c>
      <c r="T49" s="2749">
        <v>54.910546932000067</v>
      </c>
      <c r="U49" s="2749">
        <v>11.339892376660774</v>
      </c>
      <c r="V49" s="2749">
        <v>5.4412217308897839</v>
      </c>
      <c r="W49" s="2750">
        <v>8.1326202093848146</v>
      </c>
      <c r="X49" s="2547">
        <v>65</v>
      </c>
      <c r="Y49" s="2738">
        <v>66</v>
      </c>
      <c r="Z49" s="2748">
        <v>86.617356000000399</v>
      </c>
      <c r="AA49" s="2749">
        <v>42.91841399999953</v>
      </c>
      <c r="AB49" s="2750">
        <v>95.191572000000477</v>
      </c>
    </row>
    <row r="50" spans="1:28" ht="13.5" customHeight="1">
      <c r="A50" s="953"/>
      <c r="B50" s="2547">
        <v>66</v>
      </c>
      <c r="C50" s="2738">
        <v>67</v>
      </c>
      <c r="D50" s="2748">
        <v>37.040886751610927</v>
      </c>
      <c r="E50" s="2749">
        <v>12.856223393733824</v>
      </c>
      <c r="F50" s="2749">
        <v>2.7171871084825345</v>
      </c>
      <c r="G50" s="2749">
        <v>4.0915264673130398</v>
      </c>
      <c r="H50" s="2750">
        <v>53.615689344000792</v>
      </c>
      <c r="I50" s="2547">
        <v>66</v>
      </c>
      <c r="J50" s="2738">
        <v>67</v>
      </c>
      <c r="K50" s="2751">
        <f t="shared" si="0"/>
        <v>42.421096307374128</v>
      </c>
      <c r="L50" s="2752">
        <f t="shared" si="0"/>
        <v>16.007723427874996</v>
      </c>
      <c r="M50" s="2752">
        <f t="shared" si="0"/>
        <v>2.7309198859077561</v>
      </c>
      <c r="N50" s="2752">
        <f t="shared" si="0"/>
        <v>4.1090302265103471</v>
      </c>
      <c r="O50" s="2753">
        <f t="shared" si="0"/>
        <v>58.26663158400013</v>
      </c>
      <c r="P50" s="2748">
        <v>30.043839239999961</v>
      </c>
      <c r="Q50" s="2749">
        <v>12.856223393733824</v>
      </c>
      <c r="R50" s="2749">
        <v>2.9631897061858878</v>
      </c>
      <c r="S50" s="2750">
        <v>4.4597100785830532</v>
      </c>
      <c r="T50" s="2749">
        <v>56.715405875999892</v>
      </c>
      <c r="U50" s="2749">
        <v>12.856223393733824</v>
      </c>
      <c r="V50" s="2749">
        <v>5.4679920068974326</v>
      </c>
      <c r="W50" s="2750">
        <v>8.1662381487965252</v>
      </c>
      <c r="X50" s="2547">
        <v>66</v>
      </c>
      <c r="Y50" s="2738">
        <v>67</v>
      </c>
      <c r="Z50" s="2748">
        <v>86.617356000000399</v>
      </c>
      <c r="AA50" s="2749">
        <v>42.91841399999953</v>
      </c>
      <c r="AB50" s="2750">
        <v>95.191572000000477</v>
      </c>
    </row>
    <row r="51" spans="1:28" ht="13.5" customHeight="1">
      <c r="A51" s="953"/>
      <c r="B51" s="2547">
        <v>67</v>
      </c>
      <c r="C51" s="2738">
        <v>68</v>
      </c>
      <c r="D51" s="2748">
        <v>39.667367237928978</v>
      </c>
      <c r="E51" s="2749">
        <v>14.41216707747143</v>
      </c>
      <c r="F51" s="2749">
        <v>2.7240437070960231</v>
      </c>
      <c r="G51" s="2749">
        <v>4.1002686095300991</v>
      </c>
      <c r="H51" s="2750">
        <v>55.94116046399909</v>
      </c>
      <c r="I51" s="2547">
        <v>67</v>
      </c>
      <c r="J51" s="2738">
        <v>68</v>
      </c>
      <c r="K51" s="2751">
        <f t="shared" si="0"/>
        <v>45.302073959946391</v>
      </c>
      <c r="L51" s="2752">
        <f t="shared" si="0"/>
        <v>17.642892444944042</v>
      </c>
      <c r="M51" s="2752">
        <f t="shared" si="0"/>
        <v>2.7378157083760764</v>
      </c>
      <c r="N51" s="2752">
        <f t="shared" si="0"/>
        <v>4.1178113633812119</v>
      </c>
      <c r="O51" s="2753">
        <f t="shared" si="0"/>
        <v>60.592102703999799</v>
      </c>
      <c r="P51" s="2748">
        <v>32.607410040000019</v>
      </c>
      <c r="Q51" s="2749">
        <v>14.41216707747143</v>
      </c>
      <c r="R51" s="2749">
        <v>2.9713218011048821</v>
      </c>
      <c r="S51" s="2750">
        <v>4.4700697218560466</v>
      </c>
      <c r="T51" s="2749">
        <v>58.50503127599999</v>
      </c>
      <c r="U51" s="2749">
        <v>14.41216707747143</v>
      </c>
      <c r="V51" s="2749">
        <v>5.4949120416130075</v>
      </c>
      <c r="W51" s="2750">
        <v>8.2000010956295277</v>
      </c>
      <c r="X51" s="2547">
        <v>67</v>
      </c>
      <c r="Y51" s="2738">
        <v>68</v>
      </c>
      <c r="Z51" s="2748">
        <v>86.617356000000399</v>
      </c>
      <c r="AA51" s="2749">
        <v>42.91841399999953</v>
      </c>
      <c r="AB51" s="2750">
        <v>95.191572000000477</v>
      </c>
    </row>
    <row r="52" spans="1:28" ht="13.5" customHeight="1">
      <c r="A52" s="953"/>
      <c r="B52" s="2547">
        <v>68</v>
      </c>
      <c r="C52" s="2738">
        <v>69</v>
      </c>
      <c r="D52" s="2748">
        <v>42.421096307374128</v>
      </c>
      <c r="E52" s="2749">
        <v>16.007723427874996</v>
      </c>
      <c r="F52" s="2749">
        <v>2.7309198859077561</v>
      </c>
      <c r="G52" s="2749">
        <v>4.1090302265103471</v>
      </c>
      <c r="H52" s="2750">
        <v>58.26663158400013</v>
      </c>
      <c r="I52" s="2547">
        <v>68</v>
      </c>
      <c r="J52" s="2738">
        <v>69</v>
      </c>
      <c r="K52" s="2751">
        <f t="shared" si="0"/>
        <v>48.31030019564556</v>
      </c>
      <c r="L52" s="2752">
        <f t="shared" si="0"/>
        <v>19.317674128676256</v>
      </c>
      <c r="M52" s="2752">
        <f t="shared" si="0"/>
        <v>2.7447312381901896</v>
      </c>
      <c r="N52" s="2752">
        <f t="shared" si="0"/>
        <v>4.1266120653792182</v>
      </c>
      <c r="O52" s="2753">
        <f t="shared" si="0"/>
        <v>62.917573823999469</v>
      </c>
      <c r="P52" s="2748">
        <v>35.290858679999928</v>
      </c>
      <c r="Q52" s="2749">
        <v>16.007723427874996</v>
      </c>
      <c r="R52" s="2749">
        <v>2.9794791546081041</v>
      </c>
      <c r="S52" s="2750">
        <v>4.4804544555142112</v>
      </c>
      <c r="T52" s="2749">
        <v>60.279423132000055</v>
      </c>
      <c r="U52" s="2749">
        <v>16.007723427874996</v>
      </c>
      <c r="V52" s="2749">
        <v>5.5219827893875353</v>
      </c>
      <c r="W52" s="2750">
        <v>8.2339097009480433</v>
      </c>
      <c r="X52" s="2547">
        <v>68</v>
      </c>
      <c r="Y52" s="2738">
        <v>69</v>
      </c>
      <c r="Z52" s="2748">
        <v>86.617356000000399</v>
      </c>
      <c r="AA52" s="2749">
        <v>42.91841399999953</v>
      </c>
      <c r="AB52" s="2750">
        <v>95.191572000000477</v>
      </c>
    </row>
    <row r="53" spans="1:28" ht="13.5" customHeight="1">
      <c r="A53" s="953"/>
      <c r="B53" s="2547">
        <v>69</v>
      </c>
      <c r="C53" s="2738">
        <v>70</v>
      </c>
      <c r="D53" s="2748">
        <v>45.302073959946391</v>
      </c>
      <c r="E53" s="2749">
        <v>17.642892444944042</v>
      </c>
      <c r="F53" s="2749">
        <v>2.7378157083760764</v>
      </c>
      <c r="G53" s="2749">
        <v>4.1178113633812119</v>
      </c>
      <c r="H53" s="2750">
        <v>60.592102703999799</v>
      </c>
      <c r="I53" s="2547">
        <v>69</v>
      </c>
      <c r="J53" s="2738">
        <v>70</v>
      </c>
      <c r="K53" s="2751">
        <f t="shared" si="0"/>
        <v>51.445775014471828</v>
      </c>
      <c r="L53" s="2752">
        <f t="shared" si="0"/>
        <v>21.032068479073956</v>
      </c>
      <c r="M53" s="2752">
        <f t="shared" si="0"/>
        <v>2.7516665392698694</v>
      </c>
      <c r="N53" s="2752">
        <f t="shared" si="0"/>
        <v>4.13543237784915</v>
      </c>
      <c r="O53" s="2753">
        <f t="shared" si="0"/>
        <v>65.243044944000516</v>
      </c>
      <c r="P53" s="2748">
        <v>38.094185160000031</v>
      </c>
      <c r="Q53" s="2749">
        <v>17.642892444944042</v>
      </c>
      <c r="R53" s="2749">
        <v>2.9876618557374575</v>
      </c>
      <c r="S53" s="2750">
        <v>4.4908643427670185</v>
      </c>
      <c r="T53" s="2749">
        <v>62.038581443999995</v>
      </c>
      <c r="U53" s="2749">
        <v>17.642892444944042</v>
      </c>
      <c r="V53" s="2749">
        <v>5.5492052113902739</v>
      </c>
      <c r="W53" s="2750">
        <v>8.2679646188486426</v>
      </c>
      <c r="X53" s="2547">
        <v>69</v>
      </c>
      <c r="Y53" s="2738">
        <v>70</v>
      </c>
      <c r="Z53" s="2748">
        <v>86.617356000000399</v>
      </c>
      <c r="AA53" s="2749">
        <v>42.91841399999953</v>
      </c>
      <c r="AB53" s="2750">
        <v>95.191572000000477</v>
      </c>
    </row>
    <row r="54" spans="1:28" ht="13.5" customHeight="1">
      <c r="A54" s="953"/>
      <c r="B54" s="2547">
        <v>70</v>
      </c>
      <c r="C54" s="2738">
        <v>71</v>
      </c>
      <c r="D54" s="2748">
        <v>48.31030019564556</v>
      </c>
      <c r="E54" s="2749">
        <v>19.317674128676256</v>
      </c>
      <c r="F54" s="2749">
        <v>2.7447312381901896</v>
      </c>
      <c r="G54" s="2749">
        <v>4.1266120653792182</v>
      </c>
      <c r="H54" s="2750">
        <v>62.917573823999469</v>
      </c>
      <c r="I54" s="2547">
        <v>70</v>
      </c>
      <c r="J54" s="2738">
        <v>71</v>
      </c>
      <c r="K54" s="2751">
        <f t="shared" si="0"/>
        <v>54.708498416424128</v>
      </c>
      <c r="L54" s="2752">
        <f t="shared" si="0"/>
        <v>22.786075496137148</v>
      </c>
      <c r="M54" s="2752">
        <f t="shared" si="0"/>
        <v>2.7586216757669599</v>
      </c>
      <c r="N54" s="2752">
        <f t="shared" si="0"/>
        <v>4.1442723462444535</v>
      </c>
      <c r="O54" s="2753">
        <f t="shared" si="0"/>
        <v>67.568516064000178</v>
      </c>
      <c r="P54" s="2748">
        <v>41.017389480000027</v>
      </c>
      <c r="Q54" s="2749">
        <v>19.317674128676256</v>
      </c>
      <c r="R54" s="2749">
        <v>2.9958699938865934</v>
      </c>
      <c r="S54" s="2750">
        <v>4.5012994469900933</v>
      </c>
      <c r="T54" s="2749">
        <v>63.782506211999909</v>
      </c>
      <c r="U54" s="2749">
        <v>19.317674128676256</v>
      </c>
      <c r="V54" s="2749">
        <v>5.5765802756605849</v>
      </c>
      <c r="W54" s="2750">
        <v>8.3021665064728918</v>
      </c>
      <c r="X54" s="2547">
        <v>70</v>
      </c>
      <c r="Y54" s="2738">
        <v>71</v>
      </c>
      <c r="Z54" s="2748">
        <v>86.617356000000399</v>
      </c>
      <c r="AA54" s="2749">
        <v>42.91841399999953</v>
      </c>
      <c r="AB54" s="2750">
        <v>95.191572000000477</v>
      </c>
    </row>
    <row r="55" spans="1:28" ht="13.5" customHeight="1">
      <c r="A55" s="953"/>
      <c r="B55" s="2547">
        <v>71</v>
      </c>
      <c r="C55" s="2738">
        <v>72</v>
      </c>
      <c r="D55" s="2748">
        <v>51.445775014471828</v>
      </c>
      <c r="E55" s="2749">
        <v>21.032068479073956</v>
      </c>
      <c r="F55" s="2749">
        <v>2.7516665392698694</v>
      </c>
      <c r="G55" s="2749">
        <v>4.13543237784915</v>
      </c>
      <c r="H55" s="2750">
        <v>65.243044944000516</v>
      </c>
      <c r="I55" s="2547">
        <v>71</v>
      </c>
      <c r="J55" s="2738">
        <v>72</v>
      </c>
      <c r="K55" s="2751">
        <f t="shared" si="0"/>
        <v>58.098470401505388</v>
      </c>
      <c r="L55" s="2752">
        <f t="shared" si="0"/>
        <v>24.579695179865357</v>
      </c>
      <c r="M55" s="2752">
        <f t="shared" si="0"/>
        <v>2.7655967120663907</v>
      </c>
      <c r="N55" s="2752">
        <f t="shared" si="0"/>
        <v>4.1531320161282652</v>
      </c>
      <c r="O55" s="2753">
        <f t="shared" si="0"/>
        <v>69.89398718399984</v>
      </c>
      <c r="P55" s="2748">
        <v>44.060471640000067</v>
      </c>
      <c r="Q55" s="2749">
        <v>21.032068479073956</v>
      </c>
      <c r="R55" s="2749">
        <v>3.0041036588018586</v>
      </c>
      <c r="S55" s="2750">
        <v>4.5117598317243672</v>
      </c>
      <c r="T55" s="2749">
        <v>65.511197435999975</v>
      </c>
      <c r="U55" s="2749">
        <v>21.032068479073956</v>
      </c>
      <c r="V55" s="2749">
        <v>5.6041089571631018</v>
      </c>
      <c r="W55" s="2750">
        <v>8.3365160240239256</v>
      </c>
      <c r="X55" s="2547">
        <v>71</v>
      </c>
      <c r="Y55" s="2738">
        <v>72</v>
      </c>
      <c r="Z55" s="2748">
        <v>86.617356000000399</v>
      </c>
      <c r="AA55" s="2749">
        <v>42.91841399999953</v>
      </c>
      <c r="AB55" s="2750">
        <v>95.191572000000477</v>
      </c>
    </row>
    <row r="56" spans="1:28" ht="13.5" customHeight="1">
      <c r="A56" s="953"/>
      <c r="B56" s="2547">
        <v>72</v>
      </c>
      <c r="C56" s="2738">
        <v>73</v>
      </c>
      <c r="D56" s="2748">
        <v>54.708498416424128</v>
      </c>
      <c r="E56" s="2749">
        <v>22.786075496137148</v>
      </c>
      <c r="F56" s="2749">
        <v>2.7586216757669599</v>
      </c>
      <c r="G56" s="2749">
        <v>4.1442723462444535</v>
      </c>
      <c r="H56" s="2750">
        <v>67.568516064000178</v>
      </c>
      <c r="I56" s="2547">
        <v>72</v>
      </c>
      <c r="J56" s="2738">
        <v>73</v>
      </c>
      <c r="K56" s="2751">
        <f t="shared" si="0"/>
        <v>61.615690969712887</v>
      </c>
      <c r="L56" s="2752">
        <f t="shared" si="0"/>
        <v>26.41292753025812</v>
      </c>
      <c r="M56" s="2752">
        <f t="shared" si="0"/>
        <v>2.7725917127868787</v>
      </c>
      <c r="N56" s="2752">
        <f t="shared" si="0"/>
        <v>4.1620114331731024</v>
      </c>
      <c r="O56" s="2753">
        <f t="shared" si="0"/>
        <v>72.219458303999517</v>
      </c>
      <c r="P56" s="2748">
        <v>47.223431639999951</v>
      </c>
      <c r="Q56" s="2749">
        <v>22.786075496137148</v>
      </c>
      <c r="R56" s="2749">
        <v>3.0123629405837575</v>
      </c>
      <c r="S56" s="2750">
        <v>4.5222455606763186</v>
      </c>
      <c r="T56" s="2749">
        <v>67.224655116000207</v>
      </c>
      <c r="U56" s="2749">
        <v>22.786075496137148</v>
      </c>
      <c r="V56" s="2749">
        <v>5.6317922378408793</v>
      </c>
      <c r="W56" s="2750">
        <v>8.3710138347800118</v>
      </c>
      <c r="X56" s="2547">
        <v>72</v>
      </c>
      <c r="Y56" s="2738">
        <v>73</v>
      </c>
      <c r="Z56" s="2748">
        <v>86.617356000000399</v>
      </c>
      <c r="AA56" s="2749">
        <v>42.91841399999953</v>
      </c>
      <c r="AB56" s="2750">
        <v>95.191572000000477</v>
      </c>
    </row>
    <row r="57" spans="1:28" ht="13.5" customHeight="1">
      <c r="A57" s="953"/>
      <c r="B57" s="2547">
        <v>73</v>
      </c>
      <c r="C57" s="2738">
        <v>74</v>
      </c>
      <c r="D57" s="2748">
        <v>58.098470401505388</v>
      </c>
      <c r="E57" s="2749">
        <v>24.579695179865357</v>
      </c>
      <c r="F57" s="2749">
        <v>2.7655967120663907</v>
      </c>
      <c r="G57" s="2749">
        <v>4.1531320161282652</v>
      </c>
      <c r="H57" s="2750">
        <v>69.89398718399984</v>
      </c>
      <c r="I57" s="2547">
        <v>73</v>
      </c>
      <c r="J57" s="2738">
        <v>74</v>
      </c>
      <c r="K57" s="2751">
        <f t="shared" si="0"/>
        <v>65.26016012104688</v>
      </c>
      <c r="L57" s="2752">
        <f t="shared" si="0"/>
        <v>28.285772547315446</v>
      </c>
      <c r="M57" s="2752">
        <f t="shared" si="0"/>
        <v>2.7796067427818434</v>
      </c>
      <c r="N57" s="2752">
        <f t="shared" si="0"/>
        <v>4.1709106431609584</v>
      </c>
      <c r="O57" s="2753">
        <f t="shared" si="0"/>
        <v>74.544929424001239</v>
      </c>
      <c r="P57" s="2748">
        <v>50.506269479999915</v>
      </c>
      <c r="Q57" s="2749">
        <v>24.579695179865357</v>
      </c>
      <c r="R57" s="2749">
        <v>3.0206479296889133</v>
      </c>
      <c r="S57" s="2750">
        <v>4.5327566977194476</v>
      </c>
      <c r="T57" s="2749">
        <v>68.922879252000016</v>
      </c>
      <c r="U57" s="2749">
        <v>24.579695179865357</v>
      </c>
      <c r="V57" s="2749">
        <v>5.6596311066698943</v>
      </c>
      <c r="W57" s="2750">
        <v>8.4056606051092899</v>
      </c>
      <c r="X57" s="2547">
        <v>73</v>
      </c>
      <c r="Y57" s="2738">
        <v>74</v>
      </c>
      <c r="Z57" s="2748">
        <v>86.617356000000399</v>
      </c>
      <c r="AA57" s="2749">
        <v>42.91841399999953</v>
      </c>
      <c r="AB57" s="2750">
        <v>95.191572000000477</v>
      </c>
    </row>
    <row r="58" spans="1:28" ht="13.5" customHeight="1">
      <c r="A58" s="953"/>
      <c r="B58" s="2547">
        <v>74</v>
      </c>
      <c r="C58" s="2738">
        <v>75</v>
      </c>
      <c r="D58" s="2748">
        <v>61.615690969712887</v>
      </c>
      <c r="E58" s="2749">
        <v>26.41292753025812</v>
      </c>
      <c r="F58" s="2749">
        <v>2.7725917127868787</v>
      </c>
      <c r="G58" s="2749">
        <v>4.1620114331731024</v>
      </c>
      <c r="H58" s="2750">
        <v>72.219458303999517</v>
      </c>
      <c r="I58" s="2547">
        <v>74</v>
      </c>
      <c r="J58" s="2738">
        <v>75</v>
      </c>
      <c r="K58" s="2751">
        <f t="shared" si="0"/>
        <v>69.031877855508966</v>
      </c>
      <c r="L58" s="2752">
        <f t="shared" si="0"/>
        <v>30.198230231037801</v>
      </c>
      <c r="M58" s="2752">
        <f t="shared" si="0"/>
        <v>2.7866418671405504</v>
      </c>
      <c r="N58" s="2752">
        <f t="shared" si="0"/>
        <v>4.1798296919842075</v>
      </c>
      <c r="O58" s="2753">
        <f t="shared" si="0"/>
        <v>76.870400543999551</v>
      </c>
      <c r="P58" s="2748">
        <v>53.908985159999901</v>
      </c>
      <c r="Q58" s="2749">
        <v>26.41292753025812</v>
      </c>
      <c r="R58" s="2749">
        <v>3.0289587169309597</v>
      </c>
      <c r="S58" s="2750">
        <v>4.543293306893375</v>
      </c>
      <c r="T58" s="2749">
        <v>70.605869843999798</v>
      </c>
      <c r="U58" s="2749">
        <v>26.41292753025812</v>
      </c>
      <c r="V58" s="2749">
        <v>5.6876265597147899</v>
      </c>
      <c r="W58" s="2750">
        <v>8.440457004485955</v>
      </c>
      <c r="X58" s="2547">
        <v>74</v>
      </c>
      <c r="Y58" s="2738">
        <v>75</v>
      </c>
      <c r="Z58" s="2748">
        <v>86.617356000000399</v>
      </c>
      <c r="AA58" s="2749">
        <v>42.91841399999953</v>
      </c>
      <c r="AB58" s="2750">
        <v>95.191572000000477</v>
      </c>
    </row>
    <row r="59" spans="1:28" ht="13.5" customHeight="1">
      <c r="A59" s="953"/>
      <c r="B59" s="2547">
        <v>75</v>
      </c>
      <c r="C59" s="2738">
        <v>76</v>
      </c>
      <c r="D59" s="2748">
        <v>65.26016012104688</v>
      </c>
      <c r="E59" s="2749">
        <v>28.285772547315446</v>
      </c>
      <c r="F59" s="2749">
        <v>2.7796067427818434</v>
      </c>
      <c r="G59" s="2749">
        <v>4.1709106431609584</v>
      </c>
      <c r="H59" s="2750">
        <v>74.544929424001239</v>
      </c>
      <c r="I59" s="2547">
        <v>75</v>
      </c>
      <c r="J59" s="2738">
        <v>76</v>
      </c>
      <c r="K59" s="2751">
        <f t="shared" si="0"/>
        <v>72.930844173096972</v>
      </c>
      <c r="L59" s="2752">
        <f t="shared" si="0"/>
        <v>32.150300581426102</v>
      </c>
      <c r="M59" s="2752">
        <f t="shared" si="0"/>
        <v>2.7936971511884963</v>
      </c>
      <c r="N59" s="2752">
        <f t="shared" si="0"/>
        <v>4.1887686256447809</v>
      </c>
      <c r="O59" s="2753">
        <f t="shared" si="0"/>
        <v>76.870400543999551</v>
      </c>
      <c r="P59" s="2748">
        <v>57.43157868000025</v>
      </c>
      <c r="Q59" s="2749">
        <v>28.285772547315446</v>
      </c>
      <c r="R59" s="2749">
        <v>3.0372953934829088</v>
      </c>
      <c r="S59" s="2750">
        <v>4.5538554524057542</v>
      </c>
      <c r="T59" s="2749">
        <v>72.273626892000138</v>
      </c>
      <c r="U59" s="2749">
        <v>28.285772547315446</v>
      </c>
      <c r="V59" s="2749">
        <v>5.715779600183132</v>
      </c>
      <c r="W59" s="2750">
        <v>8.4754037055029627</v>
      </c>
      <c r="X59" s="2547">
        <v>75</v>
      </c>
      <c r="Y59" s="2738">
        <v>76</v>
      </c>
      <c r="Z59" s="2748">
        <v>86.617356000000399</v>
      </c>
      <c r="AA59" s="2749">
        <v>42.91841399999953</v>
      </c>
      <c r="AB59" s="2750">
        <v>95.191572000000477</v>
      </c>
    </row>
    <row r="60" spans="1:28" ht="13.5" customHeight="1">
      <c r="A60" s="953"/>
      <c r="B60" s="2547">
        <v>76</v>
      </c>
      <c r="C60" s="2738">
        <v>77</v>
      </c>
      <c r="D60" s="2748">
        <v>69.031877855508966</v>
      </c>
      <c r="E60" s="2749">
        <v>30.198230231037801</v>
      </c>
      <c r="F60" s="2749">
        <v>2.7866418671405504</v>
      </c>
      <c r="G60" s="2749">
        <v>4.1798296919842075</v>
      </c>
      <c r="H60" s="2750">
        <v>76.870400543999551</v>
      </c>
      <c r="I60" s="2547">
        <v>76</v>
      </c>
      <c r="J60" s="2738">
        <v>77</v>
      </c>
      <c r="K60" s="2751">
        <f>D62</f>
        <v>72.930844173096972</v>
      </c>
      <c r="L60" s="2752">
        <f t="shared" si="0"/>
        <v>34.141983598478035</v>
      </c>
      <c r="M60" s="2752">
        <f t="shared" si="0"/>
        <v>2.7936971511884963</v>
      </c>
      <c r="N60" s="2752">
        <f t="shared" si="0"/>
        <v>4.1887686256447809</v>
      </c>
      <c r="O60" s="2753">
        <f t="shared" si="0"/>
        <v>76.870400543999551</v>
      </c>
      <c r="P60" s="2748">
        <v>57.43157868000025</v>
      </c>
      <c r="Q60" s="2749">
        <v>30.198230231037801</v>
      </c>
      <c r="R60" s="2749">
        <v>3.0372953934829088</v>
      </c>
      <c r="S60" s="2750">
        <v>4.5538554524057542</v>
      </c>
      <c r="T60" s="2749">
        <v>72.273626892000138</v>
      </c>
      <c r="U60" s="2749">
        <v>30.198230231037801</v>
      </c>
      <c r="V60" s="2749">
        <v>5.715779600183132</v>
      </c>
      <c r="W60" s="2750">
        <v>8.4754037055029627</v>
      </c>
      <c r="X60" s="2547">
        <v>76</v>
      </c>
      <c r="Y60" s="2738">
        <v>77</v>
      </c>
      <c r="Z60" s="2748">
        <v>86.617356000000399</v>
      </c>
      <c r="AA60" s="2749">
        <v>42.91841399999953</v>
      </c>
      <c r="AB60" s="2750">
        <v>95.191572000000477</v>
      </c>
    </row>
    <row r="61" spans="1:28" ht="13.5" customHeight="1">
      <c r="A61" s="953"/>
      <c r="B61" s="2547">
        <v>77</v>
      </c>
      <c r="C61" s="2738">
        <v>78</v>
      </c>
      <c r="D61" s="2748">
        <v>72.930844173096972</v>
      </c>
      <c r="E61" s="2749">
        <v>32.150300581426102</v>
      </c>
      <c r="F61" s="2749">
        <v>2.7936971511884963</v>
      </c>
      <c r="G61" s="2749">
        <v>4.1887686256447809</v>
      </c>
      <c r="H61" s="2750">
        <v>76.870400543999551</v>
      </c>
      <c r="I61" s="2547">
        <v>77</v>
      </c>
      <c r="J61" s="2738">
        <v>78</v>
      </c>
      <c r="K61" s="2751">
        <f>D63</f>
        <v>72.930844173096972</v>
      </c>
      <c r="L61" s="2752">
        <f t="shared" si="0"/>
        <v>36.173279282195452</v>
      </c>
      <c r="M61" s="2752">
        <f t="shared" si="0"/>
        <v>2.7936971511884963</v>
      </c>
      <c r="N61" s="2752">
        <f t="shared" si="0"/>
        <v>4.1887686256447809</v>
      </c>
      <c r="O61" s="2753">
        <f t="shared" si="0"/>
        <v>76.870400543999551</v>
      </c>
      <c r="P61" s="2748">
        <v>57.43157868000025</v>
      </c>
      <c r="Q61" s="2749">
        <v>32.150300581426102</v>
      </c>
      <c r="R61" s="2749">
        <v>3.0372953934829088</v>
      </c>
      <c r="S61" s="2750">
        <v>4.5538554524057542</v>
      </c>
      <c r="T61" s="2749">
        <v>72.273626892000138</v>
      </c>
      <c r="U61" s="2749">
        <v>32.150300581426102</v>
      </c>
      <c r="V61" s="2749">
        <v>5.715779600183132</v>
      </c>
      <c r="W61" s="2750">
        <v>8.4754037055029627</v>
      </c>
      <c r="X61" s="2547">
        <v>77</v>
      </c>
      <c r="Y61" s="2738">
        <v>78</v>
      </c>
      <c r="Z61" s="2748">
        <v>86.617356000000399</v>
      </c>
      <c r="AA61" s="2749">
        <v>42.91841399999953</v>
      </c>
      <c r="AB61" s="2750">
        <v>95.191572000000477</v>
      </c>
    </row>
    <row r="62" spans="1:28" ht="13.5" customHeight="1">
      <c r="A62" s="953"/>
      <c r="B62" s="2547">
        <v>78</v>
      </c>
      <c r="C62" s="2738">
        <v>79</v>
      </c>
      <c r="D62" s="2748">
        <v>72.930844173096972</v>
      </c>
      <c r="E62" s="2749">
        <v>34.141983598478035</v>
      </c>
      <c r="F62" s="2749">
        <v>2.7936971511884963</v>
      </c>
      <c r="G62" s="2749">
        <v>4.1887686256447809</v>
      </c>
      <c r="H62" s="2750">
        <v>76.870400543999551</v>
      </c>
      <c r="I62" s="2547">
        <v>78</v>
      </c>
      <c r="J62" s="2738">
        <v>79</v>
      </c>
      <c r="K62" s="2751">
        <f>D64</f>
        <v>72.930844173096972</v>
      </c>
      <c r="L62" s="2752">
        <f t="shared" si="0"/>
        <v>38.244187632578353</v>
      </c>
      <c r="M62" s="2752">
        <f t="shared" si="0"/>
        <v>2.7936971511884963</v>
      </c>
      <c r="N62" s="2752">
        <f t="shared" si="0"/>
        <v>4.1887686256447809</v>
      </c>
      <c r="O62" s="2753">
        <f t="shared" si="0"/>
        <v>76.870400543999551</v>
      </c>
      <c r="P62" s="2748">
        <v>57.43157868000025</v>
      </c>
      <c r="Q62" s="2749">
        <v>34.141983598478035</v>
      </c>
      <c r="R62" s="2749">
        <v>3.0372953934829088</v>
      </c>
      <c r="S62" s="2750">
        <v>4.5538554524057542</v>
      </c>
      <c r="T62" s="2749">
        <v>72.273626892000138</v>
      </c>
      <c r="U62" s="2749">
        <v>34.141983598478035</v>
      </c>
      <c r="V62" s="2749">
        <v>5.715779600183132</v>
      </c>
      <c r="W62" s="2750">
        <v>8.4754037055029627</v>
      </c>
      <c r="X62" s="2547">
        <v>78</v>
      </c>
      <c r="Y62" s="2738">
        <v>79</v>
      </c>
      <c r="Z62" s="2748">
        <v>86.617356000000399</v>
      </c>
      <c r="AA62" s="2749">
        <v>42.91841399999953</v>
      </c>
      <c r="AB62" s="2750">
        <v>95.191572000000477</v>
      </c>
    </row>
    <row r="63" spans="1:28" ht="13.5" customHeight="1">
      <c r="A63" s="953"/>
      <c r="B63" s="2547">
        <v>79</v>
      </c>
      <c r="C63" s="2738">
        <v>80</v>
      </c>
      <c r="D63" s="2748">
        <v>72.930844173096972</v>
      </c>
      <c r="E63" s="2749">
        <v>36.173279282195452</v>
      </c>
      <c r="F63" s="2749">
        <v>2.7936971511884963</v>
      </c>
      <c r="G63" s="2749">
        <v>4.1887686256447809</v>
      </c>
      <c r="H63" s="2750">
        <v>76.870400543999551</v>
      </c>
      <c r="I63" s="2547">
        <v>79</v>
      </c>
      <c r="J63" s="2738">
        <v>80</v>
      </c>
      <c r="K63" s="2751">
        <f>K62</f>
        <v>72.930844173096972</v>
      </c>
      <c r="L63" s="2752">
        <f t="shared" ref="L63:O64" si="1">L62</f>
        <v>38.244187632578353</v>
      </c>
      <c r="M63" s="2752">
        <f t="shared" si="1"/>
        <v>2.7936971511884963</v>
      </c>
      <c r="N63" s="2752">
        <f t="shared" si="1"/>
        <v>4.1887686256447809</v>
      </c>
      <c r="O63" s="2753">
        <f t="shared" si="1"/>
        <v>76.870400543999551</v>
      </c>
      <c r="P63" s="2748">
        <v>57.43157868000025</v>
      </c>
      <c r="Q63" s="2749">
        <v>36.173279282195452</v>
      </c>
      <c r="R63" s="2749">
        <v>3.0372953934829088</v>
      </c>
      <c r="S63" s="2750">
        <v>4.5538554524057542</v>
      </c>
      <c r="T63" s="2749">
        <v>72.273626892000138</v>
      </c>
      <c r="U63" s="2749">
        <v>36.173279282195452</v>
      </c>
      <c r="V63" s="2749">
        <v>5.715779600183132</v>
      </c>
      <c r="W63" s="2750">
        <v>8.4754037055029627</v>
      </c>
      <c r="X63" s="2547">
        <v>79</v>
      </c>
      <c r="Y63" s="2738">
        <v>80</v>
      </c>
      <c r="Z63" s="2748">
        <v>86.617356000000399</v>
      </c>
      <c r="AA63" s="2749">
        <v>42.91841399999953</v>
      </c>
      <c r="AB63" s="2750">
        <v>95.191572000000477</v>
      </c>
    </row>
    <row r="64" spans="1:28" ht="13.5" customHeight="1">
      <c r="A64" s="953"/>
      <c r="B64" s="2547">
        <v>80</v>
      </c>
      <c r="C64" s="2738">
        <v>81</v>
      </c>
      <c r="D64" s="2748">
        <v>72.930844173096972</v>
      </c>
      <c r="E64" s="2749">
        <v>38.244187632578353</v>
      </c>
      <c r="F64" s="2749">
        <v>2.7936971511884963</v>
      </c>
      <c r="G64" s="2749">
        <v>4.1887686256447809</v>
      </c>
      <c r="H64" s="2750">
        <v>76.870400543999551</v>
      </c>
      <c r="I64" s="2547">
        <v>80</v>
      </c>
      <c r="J64" s="2738">
        <v>81</v>
      </c>
      <c r="K64" s="2751">
        <f>K63</f>
        <v>72.930844173096972</v>
      </c>
      <c r="L64" s="2752">
        <f t="shared" si="1"/>
        <v>38.244187632578353</v>
      </c>
      <c r="M64" s="2752">
        <f t="shared" si="1"/>
        <v>2.7936971511884963</v>
      </c>
      <c r="N64" s="2752">
        <f t="shared" si="1"/>
        <v>4.1887686256447809</v>
      </c>
      <c r="O64" s="2753">
        <f t="shared" si="1"/>
        <v>76.870400543999551</v>
      </c>
      <c r="P64" s="2748">
        <v>57.43157868000025</v>
      </c>
      <c r="Q64" s="2749">
        <v>38.244187632578353</v>
      </c>
      <c r="R64" s="2749">
        <v>3.0372953934829088</v>
      </c>
      <c r="S64" s="2750">
        <v>4.5538554524057542</v>
      </c>
      <c r="T64" s="2749">
        <v>72.273626892000138</v>
      </c>
      <c r="U64" s="2749">
        <v>38.244187632578353</v>
      </c>
      <c r="V64" s="2749">
        <v>5.715779600183132</v>
      </c>
      <c r="W64" s="2750">
        <v>8.4754037055029627</v>
      </c>
      <c r="X64" s="2547">
        <v>80</v>
      </c>
      <c r="Y64" s="2738">
        <v>81</v>
      </c>
      <c r="Z64" s="2748">
        <v>86.617356000000399</v>
      </c>
      <c r="AA64" s="2749">
        <v>42.91841399999953</v>
      </c>
      <c r="AB64" s="2750">
        <v>95.191572000000477</v>
      </c>
    </row>
    <row r="65" spans="1:28" ht="13.5" customHeight="1">
      <c r="A65" s="953"/>
      <c r="B65" s="757" t="s">
        <v>1480</v>
      </c>
      <c r="C65" s="2738"/>
      <c r="D65" s="2748"/>
      <c r="E65" s="2749"/>
      <c r="F65" s="2749"/>
      <c r="G65" s="2749"/>
      <c r="H65" s="2750"/>
      <c r="I65" s="757" t="s">
        <v>1480</v>
      </c>
      <c r="J65" s="2738"/>
      <c r="K65" s="2751">
        <f>K64</f>
        <v>72.930844173096972</v>
      </c>
      <c r="L65" s="2752">
        <f>L64</f>
        <v>38.244187632578353</v>
      </c>
      <c r="M65" s="2752">
        <f>M64</f>
        <v>2.7936971511884963</v>
      </c>
      <c r="N65" s="2752">
        <f>N64</f>
        <v>4.1887686256447809</v>
      </c>
      <c r="O65" s="2753">
        <f>O64</f>
        <v>76.870400543999551</v>
      </c>
      <c r="P65" s="2757">
        <f>P64</f>
        <v>57.43157868000025</v>
      </c>
      <c r="Q65" s="2758">
        <f t="shared" ref="Q65:W65" si="2">Q64</f>
        <v>38.244187632578353</v>
      </c>
      <c r="R65" s="2758">
        <f t="shared" si="2"/>
        <v>3.0372953934829088</v>
      </c>
      <c r="S65" s="2759">
        <f t="shared" si="2"/>
        <v>4.5538554524057542</v>
      </c>
      <c r="T65" s="2758">
        <f t="shared" si="2"/>
        <v>72.273626892000138</v>
      </c>
      <c r="U65" s="2758">
        <f t="shared" si="2"/>
        <v>38.244187632578353</v>
      </c>
      <c r="V65" s="2758">
        <f t="shared" si="2"/>
        <v>5.715779600183132</v>
      </c>
      <c r="W65" s="2758">
        <f t="shared" si="2"/>
        <v>8.4754037055029627</v>
      </c>
      <c r="X65" s="2760" t="s">
        <v>1480</v>
      </c>
      <c r="Y65" s="2738"/>
      <c r="Z65" s="2751">
        <f>Z64</f>
        <v>86.617356000000399</v>
      </c>
      <c r="AA65" s="2752">
        <f>AA64</f>
        <v>42.91841399999953</v>
      </c>
      <c r="AB65" s="2753">
        <f>AB64</f>
        <v>95.191572000000477</v>
      </c>
    </row>
    <row r="66" spans="1:28" ht="13.5" customHeight="1" thickBot="1">
      <c r="A66" s="960"/>
      <c r="B66" s="758"/>
      <c r="C66" s="377"/>
      <c r="D66" s="2761"/>
      <c r="E66" s="376"/>
      <c r="F66" s="1086"/>
      <c r="G66" s="2707"/>
      <c r="H66" s="377"/>
      <c r="I66" s="758"/>
      <c r="J66" s="377"/>
      <c r="K66" s="2762"/>
      <c r="L66" s="2763"/>
      <c r="M66" s="2763"/>
      <c r="N66" s="2763"/>
      <c r="O66" s="2764"/>
      <c r="P66" s="960"/>
      <c r="Q66" s="376"/>
      <c r="R66" s="376"/>
      <c r="S66" s="377"/>
      <c r="T66" s="960"/>
      <c r="U66" s="376"/>
      <c r="V66" s="376"/>
      <c r="W66" s="377"/>
      <c r="X66" s="758"/>
      <c r="Y66" s="377"/>
      <c r="Z66" s="1309"/>
      <c r="AA66" s="376"/>
      <c r="AB66" s="2765"/>
    </row>
    <row r="67" spans="1:28" ht="13.5" customHeight="1" thickTop="1" thickBot="1"/>
    <row r="68" spans="1:28" ht="13.5" customHeight="1" thickBot="1">
      <c r="D68" s="528" t="s">
        <v>1489</v>
      </c>
    </row>
  </sheetData>
  <sheetProtection sheet="1" objects="1" scenarios="1"/>
  <mergeCells count="9">
    <mergeCell ref="A11:B11"/>
    <mergeCell ref="A20:B20"/>
    <mergeCell ref="E6:S6"/>
    <mergeCell ref="A7:B7"/>
    <mergeCell ref="A8:B8"/>
    <mergeCell ref="A10:B10"/>
    <mergeCell ref="A12:B12"/>
    <mergeCell ref="A18:B18"/>
    <mergeCell ref="A19:B19"/>
  </mergeCells>
  <phoneticPr fontId="8" type="noConversion"/>
  <hyperlinks>
    <hyperlink ref="D68" location="Noise!D27" tooltip="Top of this page" display="Top"/>
    <hyperlink ref="A11" location="Contents!A1" display="Contents"/>
    <hyperlink ref="A11:B11" r:id="rId1" display="WebTAG1 Unit 3.3.2"/>
    <hyperlink ref="A10" location="Contents!A1" display="Contents"/>
    <hyperlink ref="A10:B10" location="Contents!A1" tooltip="Contents page" display="Contents"/>
    <hyperlink ref="A12:B12" r:id="rId2" tooltip="Unit A3  Environmental Impact Appraisal" display="WebTAG Unit A 3"/>
    <hyperlink ref="J7" r:id="rId3"/>
  </hyperlinks>
  <pageMargins left="0.75" right="0.75" top="1" bottom="1" header="0.5" footer="0.5"/>
  <pageSetup paperSize="9" orientation="portrait" r:id="rId4"/>
  <headerFooter alignWithMargins="0"/>
  <drawing r:id="rId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17"/>
    <pageSetUpPr fitToPage="1"/>
  </sheetPr>
  <dimension ref="A1:S65"/>
  <sheetViews>
    <sheetView showGridLines="0" topLeftCell="A8" zoomScale="70" zoomScaleNormal="70" workbookViewId="0">
      <selection activeCell="K27" sqref="K27"/>
    </sheetView>
  </sheetViews>
  <sheetFormatPr defaultColWidth="12.88671875" defaultRowHeight="13.5" customHeight="1"/>
  <cols>
    <col min="1" max="3" width="12.88671875" style="599"/>
    <col min="4" max="4" width="13.44140625" style="599" bestFit="1" customWidth="1"/>
    <col min="5" max="16384" width="12.88671875" style="599"/>
  </cols>
  <sheetData>
    <row r="1" spans="1:19" s="38" customFormat="1" ht="54.9" customHeight="1">
      <c r="A1" s="28"/>
      <c r="B1" s="28"/>
    </row>
    <row r="2" spans="1:19" s="300" customFormat="1" ht="5.0999999999999996" customHeight="1"/>
    <row r="3" spans="1:19" s="83" customFormat="1" ht="20.100000000000001" customHeight="1">
      <c r="A3" s="300" t="s">
        <v>2267</v>
      </c>
      <c r="B3" s="444"/>
      <c r="C3" s="46"/>
      <c r="E3" s="445"/>
    </row>
    <row r="4" spans="1:19" s="26" customFormat="1" ht="20.100000000000001" customHeight="1" thickBot="1">
      <c r="A4" s="529" t="s">
        <v>159</v>
      </c>
      <c r="B4" s="447"/>
      <c r="C4" s="446"/>
      <c r="D4" s="446"/>
      <c r="E4" s="446"/>
      <c r="F4" s="446"/>
      <c r="G4" s="487"/>
      <c r="H4" s="446"/>
      <c r="I4" s="446"/>
      <c r="J4" s="446"/>
      <c r="K4" s="446"/>
      <c r="L4" s="446"/>
      <c r="M4" s="446"/>
      <c r="N4" s="446"/>
      <c r="O4" s="446"/>
      <c r="P4" s="446"/>
      <c r="Q4" s="446"/>
      <c r="R4" s="446"/>
      <c r="S4" s="446"/>
    </row>
    <row r="5" spans="1:19" s="38" customFormat="1" ht="9.9" customHeight="1" thickTop="1" thickBot="1">
      <c r="A5" s="35"/>
      <c r="B5" s="321"/>
      <c r="E5" s="427"/>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E7" s="180" t="s">
        <v>778</v>
      </c>
      <c r="G7" s="26"/>
      <c r="H7" s="26"/>
      <c r="I7" s="26"/>
      <c r="J7" s="26"/>
      <c r="K7" s="26"/>
      <c r="L7" s="26"/>
      <c r="M7" s="26"/>
      <c r="N7" s="26"/>
      <c r="O7" s="26"/>
      <c r="P7" s="26"/>
      <c r="Q7" s="26"/>
      <c r="R7" s="26"/>
      <c r="S7" s="147"/>
    </row>
    <row r="8" spans="1:19" s="38" customFormat="1" ht="13.5" customHeight="1">
      <c r="A8" s="3630">
        <f>Audit!C12</f>
        <v>43586</v>
      </c>
      <c r="B8" s="3631"/>
      <c r="C8" s="321"/>
      <c r="D8" s="321"/>
      <c r="E8" s="2528" t="s">
        <v>2189</v>
      </c>
      <c r="F8" s="26"/>
      <c r="J8" s="878" t="s">
        <v>1383</v>
      </c>
      <c r="K8" s="26"/>
      <c r="L8" s="26"/>
      <c r="M8" s="26"/>
      <c r="N8" s="26"/>
      <c r="O8" s="26"/>
      <c r="P8" s="26"/>
      <c r="Q8" s="26"/>
      <c r="R8" s="26"/>
      <c r="S8" s="147"/>
    </row>
    <row r="9" spans="1:19" s="38" customFormat="1" ht="13.5" customHeight="1" thickBot="1">
      <c r="A9" s="172" t="s">
        <v>14</v>
      </c>
      <c r="B9" s="173"/>
      <c r="D9" s="321"/>
      <c r="E9" s="113" t="s">
        <v>875</v>
      </c>
      <c r="J9" s="1556" t="s">
        <v>874</v>
      </c>
      <c r="K9" s="26"/>
      <c r="L9" s="26"/>
      <c r="M9" s="26"/>
      <c r="N9" s="26"/>
      <c r="O9" s="26"/>
      <c r="P9" s="26"/>
      <c r="Q9" s="26"/>
      <c r="R9" s="26"/>
      <c r="S9" s="147"/>
    </row>
    <row r="10" spans="1:19" s="38" customFormat="1" ht="13.5" customHeight="1" thickBot="1">
      <c r="A10" s="3570" t="s">
        <v>1306</v>
      </c>
      <c r="B10" s="3610"/>
      <c r="D10" s="321"/>
      <c r="E10" s="113"/>
      <c r="H10" s="26"/>
      <c r="I10" s="26"/>
      <c r="J10" s="26"/>
      <c r="K10" s="26"/>
      <c r="L10" s="26"/>
      <c r="M10" s="26"/>
      <c r="N10" s="26"/>
      <c r="O10" s="26"/>
      <c r="P10" s="26"/>
      <c r="Q10" s="26"/>
      <c r="R10" s="26"/>
      <c r="S10" s="147"/>
    </row>
    <row r="11" spans="1:19" s="38" customFormat="1" ht="13.5" customHeight="1" thickBot="1">
      <c r="A11" s="3570" t="s">
        <v>2268</v>
      </c>
      <c r="B11" s="3581"/>
      <c r="D11" s="321"/>
      <c r="E11" s="113"/>
      <c r="H11" s="53"/>
      <c r="I11" s="53"/>
      <c r="J11" s="53"/>
      <c r="K11" s="53"/>
      <c r="L11" s="53"/>
      <c r="M11" s="53"/>
      <c r="N11" s="53"/>
      <c r="O11" s="53"/>
      <c r="P11" s="53"/>
      <c r="Q11" s="53"/>
      <c r="R11" s="53"/>
      <c r="S11" s="379"/>
    </row>
    <row r="12" spans="1:19" s="38" customFormat="1" ht="13.5" customHeight="1" thickBot="1">
      <c r="A12" s="3570" t="s">
        <v>2265</v>
      </c>
      <c r="B12" s="3581"/>
      <c r="D12" s="321"/>
      <c r="E12" s="2528" t="s">
        <v>2187</v>
      </c>
      <c r="F12" s="53"/>
      <c r="G12" s="53"/>
      <c r="H12" s="26"/>
      <c r="I12" s="26"/>
      <c r="J12" s="26"/>
      <c r="K12" s="26"/>
      <c r="L12" s="26"/>
      <c r="M12" s="26"/>
      <c r="N12" s="26"/>
      <c r="O12" s="26"/>
      <c r="P12" s="26"/>
      <c r="Q12" s="26"/>
      <c r="R12" s="26"/>
      <c r="S12" s="147"/>
    </row>
    <row r="13" spans="1:19" s="38" customFormat="1" ht="13.5" customHeight="1">
      <c r="A13" s="172" t="s">
        <v>252</v>
      </c>
      <c r="B13" s="194"/>
      <c r="C13" s="321"/>
      <c r="D13" s="321"/>
      <c r="E13" s="113" t="s">
        <v>454</v>
      </c>
      <c r="F13" s="26"/>
      <c r="G13" s="26"/>
      <c r="H13" s="26"/>
      <c r="I13" s="26"/>
      <c r="J13" s="26"/>
      <c r="K13" s="26"/>
      <c r="L13" s="26"/>
      <c r="M13" s="26"/>
      <c r="N13" s="26"/>
      <c r="O13" s="26"/>
      <c r="P13" s="26"/>
      <c r="Q13" s="26"/>
      <c r="R13" s="26"/>
      <c r="S13" s="147"/>
    </row>
    <row r="14" spans="1:19" s="38" customFormat="1" ht="13.5" customHeight="1">
      <c r="A14" s="2445" t="s">
        <v>799</v>
      </c>
      <c r="B14" s="2451">
        <f>'User Parameters'!L13</f>
        <v>2010</v>
      </c>
      <c r="C14" s="321"/>
      <c r="D14" s="321"/>
      <c r="E14" s="2528" t="s">
        <v>2186</v>
      </c>
      <c r="F14" s="26"/>
      <c r="G14" s="26"/>
      <c r="H14" s="26"/>
      <c r="I14" s="26"/>
      <c r="J14" s="26"/>
      <c r="K14" s="26"/>
      <c r="L14" s="26"/>
      <c r="M14" s="26"/>
      <c r="N14" s="26"/>
      <c r="O14" s="26"/>
      <c r="P14" s="26"/>
      <c r="Q14" s="26"/>
      <c r="R14" s="26"/>
      <c r="S14" s="147"/>
    </row>
    <row r="15" spans="1:19" s="38" customFormat="1" ht="13.5" customHeight="1">
      <c r="A15" s="2441" t="s">
        <v>54</v>
      </c>
      <c r="B15" s="2450">
        <f>'User Parameters'!L19</f>
        <v>2010</v>
      </c>
      <c r="C15" s="321"/>
      <c r="D15" s="321"/>
      <c r="E15" s="2528" t="s">
        <v>2188</v>
      </c>
      <c r="F15" s="26"/>
      <c r="G15" s="26"/>
      <c r="H15" s="26"/>
      <c r="I15" s="26"/>
      <c r="J15" s="26"/>
      <c r="K15" s="26"/>
      <c r="L15" s="26"/>
      <c r="M15" s="26"/>
      <c r="N15" s="26"/>
      <c r="O15" s="26"/>
      <c r="P15" s="26"/>
      <c r="Q15" s="26"/>
      <c r="R15" s="26"/>
      <c r="S15" s="147"/>
    </row>
    <row r="16" spans="1:19" s="38" customFormat="1" ht="13.5" customHeight="1">
      <c r="A16" s="2445"/>
      <c r="B16" s="2463"/>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113"/>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2528" t="s">
        <v>2368</v>
      </c>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t="s">
        <v>2269</v>
      </c>
      <c r="F20" s="163"/>
      <c r="G20" s="163"/>
      <c r="H20" s="163"/>
      <c r="I20" s="163"/>
      <c r="J20" s="163"/>
      <c r="K20" s="163"/>
      <c r="L20" s="163"/>
      <c r="M20" s="163"/>
      <c r="N20" s="163"/>
      <c r="O20" s="163"/>
      <c r="P20" s="163"/>
      <c r="Q20" s="163"/>
      <c r="R20" s="163"/>
      <c r="S20" s="382"/>
    </row>
    <row r="21" spans="1:19" s="38" customFormat="1" ht="13.5" customHeight="1" thickTop="1" thickBot="1">
      <c r="A21" s="2420"/>
      <c r="B21" s="2421"/>
      <c r="C21" s="714"/>
      <c r="E21" s="427"/>
    </row>
    <row r="22" spans="1:19" ht="13.5" customHeight="1" thickTop="1">
      <c r="A22" s="3751" t="str">
        <f>CONCATENATE("Table A 3.2.1: Damage cost values (per tonne)")</f>
        <v>Table A 3.2.1: Damage cost values (per tonne)</v>
      </c>
      <c r="B22" s="3751"/>
      <c r="C22" s="3751"/>
      <c r="D22" s="3751"/>
      <c r="E22" s="3751"/>
      <c r="F22" s="3751"/>
      <c r="G22" s="3751"/>
      <c r="H22" s="3751"/>
      <c r="I22" s="3751"/>
      <c r="J22" s="3751"/>
      <c r="K22" s="3751"/>
      <c r="L22" s="3751"/>
      <c r="M22" s="3752"/>
    </row>
    <row r="23" spans="1:19" ht="13.5" customHeight="1" thickBot="1">
      <c r="A23" s="3755" t="str">
        <f>"by pollutant (" &amp; B14 &amp; " prices, " &amp; B15 &amp; " values)"</f>
        <v>by pollutant (2010 prices, 2010 values)</v>
      </c>
      <c r="B23" s="3755"/>
      <c r="C23" s="3755"/>
      <c r="D23" s="3755"/>
      <c r="E23" s="3755"/>
      <c r="F23" s="3755"/>
      <c r="G23" s="3755"/>
      <c r="H23" s="3755"/>
      <c r="I23" s="3755"/>
      <c r="J23" s="3755"/>
      <c r="K23" s="3755"/>
      <c r="L23" s="3755"/>
      <c r="M23" s="3756"/>
    </row>
    <row r="24" spans="1:19" ht="13.5" customHeight="1" thickTop="1">
      <c r="A24" s="99"/>
      <c r="B24" s="100"/>
      <c r="C24" s="438"/>
      <c r="D24" s="99"/>
      <c r="E24" s="2669" t="s">
        <v>2180</v>
      </c>
      <c r="F24" s="438"/>
      <c r="G24" s="99"/>
      <c r="H24" s="2669" t="s">
        <v>2181</v>
      </c>
      <c r="I24" s="438"/>
      <c r="J24" s="3757" t="s">
        <v>2179</v>
      </c>
      <c r="K24" s="99"/>
      <c r="L24" s="2669" t="s">
        <v>2182</v>
      </c>
      <c r="M24" s="438"/>
    </row>
    <row r="25" spans="1:19" ht="13.5" customHeight="1">
      <c r="A25" s="104"/>
      <c r="B25" s="173"/>
      <c r="C25" s="293"/>
      <c r="D25" s="104"/>
      <c r="E25" s="2561"/>
      <c r="F25" s="293"/>
      <c r="G25" s="104"/>
      <c r="H25" s="173"/>
      <c r="I25" s="293"/>
      <c r="J25" s="3758"/>
      <c r="K25" s="104"/>
      <c r="L25" s="173"/>
      <c r="M25" s="293"/>
    </row>
    <row r="26" spans="1:19" ht="13.5" customHeight="1" thickBot="1">
      <c r="A26" s="464"/>
      <c r="B26" s="465"/>
      <c r="C26" s="439"/>
      <c r="D26" s="2542" t="s">
        <v>2178</v>
      </c>
      <c r="E26" s="2543" t="s">
        <v>1481</v>
      </c>
      <c r="F26" s="2544" t="s">
        <v>1482</v>
      </c>
      <c r="G26" s="2542" t="s">
        <v>656</v>
      </c>
      <c r="H26" s="2543" t="s">
        <v>1481</v>
      </c>
      <c r="I26" s="2544" t="s">
        <v>1482</v>
      </c>
      <c r="J26" s="3759"/>
      <c r="K26" s="2542" t="s">
        <v>656</v>
      </c>
      <c r="L26" s="2543" t="s">
        <v>1481</v>
      </c>
      <c r="M26" s="2544" t="s">
        <v>1482</v>
      </c>
    </row>
    <row r="27" spans="1:19" ht="13.5" customHeight="1" thickTop="1">
      <c r="A27" s="3281" t="s">
        <v>2175</v>
      </c>
      <c r="C27" s="3290"/>
      <c r="D27" s="3284">
        <f>'NOx damage'!D27* (VLOOKUP($B$14,'Annual Parameters'!$B$33:$W$104,3,FALSE) / VLOOKUP('NOx damage'!$B$14,'Annual Parameters'!$B$33:$W$104,3,FALSE)) * (VLOOKUP($B$15,'Annual Parameters'!$B$33:$W$104,15,FALSE) / VLOOKUP('NOx damage'!$B$15,'Annual Parameters'!$B$33:$W$104,15,FALSE))</f>
        <v>5526.5369224528122</v>
      </c>
      <c r="E27" s="3284">
        <f>'NOx damage'!E27* (VLOOKUP($B$14,'Annual Parameters'!$B$33:$W$104,3,FALSE) / VLOOKUP('NOx damage'!$B$14,'Annual Parameters'!$B$33:$W$104,3,FALSE)) * (VLOOKUP($B$15,'Annual Parameters'!$B$33:$W$104,15,FALSE) / VLOOKUP('NOx damage'!$B$15,'Annual Parameters'!$B$33:$W$104,15,FALSE))</f>
        <v>565.04324057652968</v>
      </c>
      <c r="F27" s="3284">
        <f>'NOx damage'!F27* (VLOOKUP($B$14,'Annual Parameters'!$B$33:$W$104,3,FALSE) / VLOOKUP('NOx damage'!$B$14,'Annual Parameters'!$B$33:$W$104,3,FALSE)) * (VLOOKUP($B$15,'Annual Parameters'!$B$33:$W$104,15,FALSE) / VLOOKUP('NOx damage'!$B$15,'Annual Parameters'!$B$33:$W$104,15,FALSE))</f>
        <v>20641.621477270342</v>
      </c>
      <c r="G27" s="3298">
        <f>'PM Emissions'!D27* (VLOOKUP($B$14,'Annual Parameters'!$B$33:$W$104,3,FALSE) / VLOOKUP('PM Emissions'!$B$14,'Annual Parameters'!$B$33:$W$104,3,FALSE)) * (VLOOKUP($B$15,'Annual Parameters'!$B$33:$W$104,15,FALSE) / VLOOKUP('PM Emissions'!$B$15,'Annual Parameters'!$B$33:$W$104,15,FALSE))</f>
        <v>94358.28245873157</v>
      </c>
      <c r="H27" s="3299">
        <f>'PM Emissions'!E27* (VLOOKUP($B$14,'Annual Parameters'!$B$33:$W$104,3,FALSE) / VLOOKUP('PM Emissions'!$B$14,'Annual Parameters'!$B$33:$W$104,3,FALSE)) * (VLOOKUP($B$15,'Annual Parameters'!$B$33:$W$104,15,FALSE) / VLOOKUP('PM Emissions'!$B$15,'Annual Parameters'!$B$33:$W$104,15,FALSE))</f>
        <v>20138.616726506069</v>
      </c>
      <c r="I27" s="3299">
        <f>'PM Emissions'!F27* (VLOOKUP($B$14,'Annual Parameters'!$B$33:$W$104,3,FALSE) / VLOOKUP('PM Emissions'!$B$14,'Annual Parameters'!$B$33:$W$104,3,FALSE)) * (VLOOKUP($B$15,'Annual Parameters'!$B$33:$W$104,15,FALSE) / VLOOKUP('PM Emissions'!$B$15,'Annual Parameters'!$B$33:$W$104,15,FALSE))</f>
        <v>292363.9621182917</v>
      </c>
      <c r="J27" s="3285">
        <f>'PM Emissions'!G27</f>
        <v>0.64200000000000002</v>
      </c>
      <c r="K27" s="3299">
        <f>'PM Emissions'!H27* (VLOOKUP($B$14,'Annual Parameters'!$B$33:$W$104,3,FALSE) / VLOOKUP('PM Emissions'!$B$14,'Annual Parameters'!$B$33:$W$104,3,FALSE)) * (VLOOKUP($B$15,'Annual Parameters'!$B$33:$W$104,15,FALSE) / VLOOKUP('PM Emissions'!$B$15,'Annual Parameters'!$B$33:$W$104,15,FALSE))</f>
        <v>60578.01733850567</v>
      </c>
      <c r="L27" s="3299">
        <f>'PM Emissions'!I27* (VLOOKUP($B$14,'Annual Parameters'!$B$33:$W$104,3,FALSE) / VLOOKUP('PM Emissions'!$B$14,'Annual Parameters'!$B$33:$W$104,3,FALSE)) * (VLOOKUP($B$15,'Annual Parameters'!$B$33:$W$104,15,FALSE) / VLOOKUP('PM Emissions'!$B$15,'Annual Parameters'!$B$33:$W$104,15,FALSE))</f>
        <v>12928.991938416897</v>
      </c>
      <c r="M27" s="3300">
        <f>'PM Emissions'!J27* (VLOOKUP($B$14,'Annual Parameters'!$B$33:$W$104,3,FALSE) / VLOOKUP('PM Emissions'!$B$14,'Annual Parameters'!$B$33:$W$104,3,FALSE)) * (VLOOKUP($B$15,'Annual Parameters'!$B$33:$W$104,15,FALSE) / VLOOKUP('PM Emissions'!$B$15,'Annual Parameters'!$B$33:$W$104,15,FALSE))</f>
        <v>187697.66367994327</v>
      </c>
    </row>
    <row r="28" spans="1:19" ht="13.5" customHeight="1">
      <c r="A28" s="59" t="s">
        <v>2174</v>
      </c>
      <c r="C28" s="42"/>
      <c r="D28" s="3286">
        <f>'NOx damage'!D28* (VLOOKUP($B$14,'Annual Parameters'!$B$33:$W$104,3,FALSE) / VLOOKUP('NOx damage'!$B$14,'Annual Parameters'!$B$33:$W$104,3,FALSE)) * (VLOOKUP($B$15,'Annual Parameters'!$B$33:$W$104,15,FALSE) / VLOOKUP('NOx damage'!$B$15,'Annual Parameters'!$B$33:$W$104,15,FALSE))</f>
        <v>10406.486751878816</v>
      </c>
      <c r="E28" s="3286">
        <f>'NOx damage'!E28* (VLOOKUP($B$14,'Annual Parameters'!$B$33:$W$104,3,FALSE) / VLOOKUP('NOx damage'!$B$14,'Annual Parameters'!$B$33:$W$104,3,FALSE)) * (VLOOKUP($B$15,'Annual Parameters'!$B$33:$W$104,15,FALSE) / VLOOKUP('NOx damage'!$B$15,'Annual Parameters'!$B$33:$W$104,15,FALSE))</f>
        <v>939.95790232150341</v>
      </c>
      <c r="F28" s="3286">
        <f>'NOx damage'!F28* (VLOOKUP($B$14,'Annual Parameters'!$B$33:$W$104,3,FALSE) / VLOOKUP('NOx damage'!$B$14,'Annual Parameters'!$B$33:$W$104,3,FALSE)) * (VLOOKUP($B$15,'Annual Parameters'!$B$33:$W$104,15,FALSE) / VLOOKUP('NOx damage'!$B$15,'Annual Parameters'!$B$33:$W$104,15,FALSE))</f>
        <v>39880.423443934866</v>
      </c>
      <c r="G28" s="3301">
        <f>'PM Emissions'!D28* (VLOOKUP($B$14,'Annual Parameters'!$B$33:$W$104,3,FALSE) / VLOOKUP('PM Emissions'!$B$14,'Annual Parameters'!$B$33:$W$104,3,FALSE)) * (VLOOKUP($B$15,'Annual Parameters'!$B$33:$W$104,15,FALSE) / VLOOKUP('PM Emissions'!$B$15,'Annual Parameters'!$B$33:$W$104,15,FALSE))</f>
        <v>173200.40536879862</v>
      </c>
      <c r="H28" s="1475">
        <f>'PM Emissions'!E28* (VLOOKUP($B$14,'Annual Parameters'!$B$33:$W$104,3,FALSE) / VLOOKUP('PM Emissions'!$B$14,'Annual Parameters'!$B$33:$W$104,3,FALSE)) * (VLOOKUP($B$15,'Annual Parameters'!$B$33:$W$104,15,FALSE) / VLOOKUP('PM Emissions'!$B$15,'Annual Parameters'!$B$33:$W$104,15,FALSE))</f>
        <v>36171.485955160817</v>
      </c>
      <c r="I28" s="1475">
        <f>'PM Emissions'!F28* (VLOOKUP($B$14,'Annual Parameters'!$B$33:$W$104,3,FALSE) / VLOOKUP('PM Emissions'!$B$14,'Annual Parameters'!$B$33:$W$104,3,FALSE)) * (VLOOKUP($B$15,'Annual Parameters'!$B$33:$W$104,15,FALSE) / VLOOKUP('PM Emissions'!$B$15,'Annual Parameters'!$B$33:$W$104,15,FALSE))</f>
        <v>499550.65427033708</v>
      </c>
      <c r="J28" s="3287">
        <f>'PM Emissions'!G28</f>
        <v>1</v>
      </c>
      <c r="K28" s="1475">
        <f>'PM Emissions'!H28* (VLOOKUP($B$14,'Annual Parameters'!$B$33:$W$104,3,FALSE) / VLOOKUP('PM Emissions'!$B$14,'Annual Parameters'!$B$33:$W$104,3,FALSE)) * (VLOOKUP($B$15,'Annual Parameters'!$B$33:$W$104,15,FALSE) / VLOOKUP('PM Emissions'!$B$15,'Annual Parameters'!$B$33:$W$104,15,FALSE))</f>
        <v>173200.40536879862</v>
      </c>
      <c r="L28" s="1475">
        <f>'PM Emissions'!I28* (VLOOKUP($B$14,'Annual Parameters'!$B$33:$W$104,3,FALSE) / VLOOKUP('PM Emissions'!$B$14,'Annual Parameters'!$B$33:$W$104,3,FALSE)) * (VLOOKUP($B$15,'Annual Parameters'!$B$33:$W$104,15,FALSE) / VLOOKUP('PM Emissions'!$B$15,'Annual Parameters'!$B$33:$W$104,15,FALSE))</f>
        <v>36171.485955160817</v>
      </c>
      <c r="M28" s="1476">
        <f>'PM Emissions'!J28* (VLOOKUP($B$14,'Annual Parameters'!$B$33:$W$104,3,FALSE) / VLOOKUP('PM Emissions'!$B$14,'Annual Parameters'!$B$33:$W$104,3,FALSE)) * (VLOOKUP($B$15,'Annual Parameters'!$B$33:$W$104,15,FALSE) / VLOOKUP('PM Emissions'!$B$15,'Annual Parameters'!$B$33:$W$104,15,FALSE))</f>
        <v>499550.65427033708</v>
      </c>
    </row>
    <row r="29" spans="1:19" ht="13.5" customHeight="1">
      <c r="A29" s="59" t="s">
        <v>2173</v>
      </c>
      <c r="C29" s="42"/>
      <c r="D29" s="3286">
        <f>'NOx damage'!D29* (VLOOKUP($B$14,'Annual Parameters'!$B$33:$W$104,3,FALSE) / VLOOKUP('NOx damage'!$B$14,'Annual Parameters'!$B$33:$W$104,3,FALSE)) * (VLOOKUP($B$15,'Annual Parameters'!$B$33:$W$104,15,FALSE) / VLOOKUP('NOx damage'!$B$15,'Annual Parameters'!$B$33:$W$104,15,FALSE))</f>
        <v>8031.7175827976971</v>
      </c>
      <c r="E29" s="3286">
        <f>'NOx damage'!E29* (VLOOKUP($B$14,'Annual Parameters'!$B$33:$W$104,3,FALSE) / VLOOKUP('NOx damage'!$B$14,'Annual Parameters'!$B$33:$W$104,3,FALSE)) * (VLOOKUP($B$15,'Annual Parameters'!$B$33:$W$104,15,FALSE) / VLOOKUP('NOx damage'!$B$15,'Annual Parameters'!$B$33:$W$104,15,FALSE))</f>
        <v>757.51017009693567</v>
      </c>
      <c r="F29" s="3286">
        <f>'NOx damage'!F29* (VLOOKUP($B$14,'Annual Parameters'!$B$33:$W$104,3,FALSE) / VLOOKUP('NOx damage'!$B$14,'Annual Parameters'!$B$33:$W$104,3,FALSE)) * (VLOOKUP($B$15,'Annual Parameters'!$B$33:$W$104,15,FALSE) / VLOOKUP('NOx damage'!$B$15,'Annual Parameters'!$B$33:$W$104,15,FALSE))</f>
        <v>30518.090764816716</v>
      </c>
      <c r="G29" s="3301">
        <f>'PM Emissions'!D29* (VLOOKUP($B$14,'Annual Parameters'!$B$33:$W$104,3,FALSE) / VLOOKUP('PM Emissions'!$B$14,'Annual Parameters'!$B$33:$W$104,3,FALSE)) * (VLOOKUP($B$15,'Annual Parameters'!$B$33:$W$104,15,FALSE) / VLOOKUP('PM Emissions'!$B$15,'Annual Parameters'!$B$33:$W$104,15,FALSE))</f>
        <v>145690.75644831147</v>
      </c>
      <c r="H29" s="1475">
        <f>'PM Emissions'!E29* (VLOOKUP($B$14,'Annual Parameters'!$B$33:$W$104,3,FALSE) / VLOOKUP('PM Emissions'!$B$14,'Annual Parameters'!$B$33:$W$104,3,FALSE)) * (VLOOKUP($B$15,'Annual Parameters'!$B$33:$W$104,15,FALSE) / VLOOKUP('PM Emissions'!$B$15,'Annual Parameters'!$B$33:$W$104,15,FALSE))</f>
        <v>30526.285845220496</v>
      </c>
      <c r="I29" s="1475">
        <f>'PM Emissions'!F29* (VLOOKUP($B$14,'Annual Parameters'!$B$33:$W$104,3,FALSE) / VLOOKUP('PM Emissions'!$B$14,'Annual Parameters'!$B$33:$W$104,3,FALSE)) * (VLOOKUP($B$15,'Annual Parameters'!$B$33:$W$104,15,FALSE) / VLOOKUP('PM Emissions'!$B$15,'Annual Parameters'!$B$33:$W$104,15,FALSE))</f>
        <v>424492.87997378653</v>
      </c>
      <c r="J29" s="3287">
        <f>'PM Emissions'!G29</f>
        <v>0.92900000000000005</v>
      </c>
      <c r="K29" s="1475">
        <f>'PM Emissions'!H29* (VLOOKUP($B$14,'Annual Parameters'!$B$33:$W$104,3,FALSE) / VLOOKUP('PM Emissions'!$B$14,'Annual Parameters'!$B$33:$W$104,3,FALSE)) * (VLOOKUP($B$15,'Annual Parameters'!$B$33:$W$104,15,FALSE) / VLOOKUP('PM Emissions'!$B$15,'Annual Parameters'!$B$33:$W$104,15,FALSE))</f>
        <v>135346.71274048137</v>
      </c>
      <c r="L29" s="1475">
        <f>'PM Emissions'!I29* (VLOOKUP($B$14,'Annual Parameters'!$B$33:$W$104,3,FALSE) / VLOOKUP('PM Emissions'!$B$14,'Annual Parameters'!$B$33:$W$104,3,FALSE)) * (VLOOKUP($B$15,'Annual Parameters'!$B$33:$W$104,15,FALSE) / VLOOKUP('PM Emissions'!$B$15,'Annual Parameters'!$B$33:$W$104,15,FALSE))</f>
        <v>28358.919550209841</v>
      </c>
      <c r="M29" s="1476">
        <f>'PM Emissions'!J29* (VLOOKUP($B$14,'Annual Parameters'!$B$33:$W$104,3,FALSE) / VLOOKUP('PM Emissions'!$B$14,'Annual Parameters'!$B$33:$W$104,3,FALSE)) * (VLOOKUP($B$15,'Annual Parameters'!$B$33:$W$104,15,FALSE) / VLOOKUP('PM Emissions'!$B$15,'Annual Parameters'!$B$33:$W$104,15,FALSE))</f>
        <v>394353.88549564773</v>
      </c>
    </row>
    <row r="30" spans="1:19" ht="13.5" customHeight="1">
      <c r="A30" s="59" t="s">
        <v>2172</v>
      </c>
      <c r="C30" s="42"/>
      <c r="D30" s="3286">
        <f>'NOx damage'!D30* (VLOOKUP($B$14,'Annual Parameters'!$B$33:$W$104,3,FALSE) / VLOOKUP('NOx damage'!$B$14,'Annual Parameters'!$B$33:$W$104,3,FALSE)) * (VLOOKUP($B$15,'Annual Parameters'!$B$33:$W$104,15,FALSE) / VLOOKUP('NOx damage'!$B$15,'Annual Parameters'!$B$33:$W$104,15,FALSE))</f>
        <v>2233.8264212560425</v>
      </c>
      <c r="E30" s="3286">
        <f>'NOx damage'!E30* (VLOOKUP($B$14,'Annual Parameters'!$B$33:$W$104,3,FALSE) / VLOOKUP('NOx damage'!$B$14,'Annual Parameters'!$B$33:$W$104,3,FALSE)) * (VLOOKUP($B$15,'Annual Parameters'!$B$33:$W$104,15,FALSE) / VLOOKUP('NOx damage'!$B$15,'Annual Parameters'!$B$33:$W$104,15,FALSE))</f>
        <v>312.07231117549622</v>
      </c>
      <c r="F30" s="3286">
        <f>'NOx damage'!F30* (VLOOKUP($B$14,'Annual Parameters'!$B$33:$W$104,3,FALSE) / VLOOKUP('NOx damage'!$B$14,'Annual Parameters'!$B$33:$W$104,3,FALSE)) * (VLOOKUP($B$15,'Annual Parameters'!$B$33:$W$104,15,FALSE) / VLOOKUP('NOx damage'!$B$15,'Annual Parameters'!$B$33:$W$104,15,FALSE))</f>
        <v>7660.3803825166115</v>
      </c>
      <c r="G30" s="3301">
        <f>'PM Emissions'!D30* (VLOOKUP($B$14,'Annual Parameters'!$B$33:$W$104,3,FALSE) / VLOOKUP('PM Emissions'!$B$14,'Annual Parameters'!$B$33:$W$104,3,FALSE)) * (VLOOKUP($B$15,'Annual Parameters'!$B$33:$W$104,15,FALSE) / VLOOKUP('PM Emissions'!$B$15,'Annual Parameters'!$B$33:$W$104,15,FALSE))</f>
        <v>30080.433775499525</v>
      </c>
      <c r="H30" s="1475">
        <f>'PM Emissions'!E30* (VLOOKUP($B$14,'Annual Parameters'!$B$33:$W$104,3,FALSE) / VLOOKUP('PM Emissions'!$B$14,'Annual Parameters'!$B$33:$W$104,3,FALSE)) * (VLOOKUP($B$15,'Annual Parameters'!$B$33:$W$104,15,FALSE) / VLOOKUP('PM Emissions'!$B$15,'Annual Parameters'!$B$33:$W$104,15,FALSE))</f>
        <v>6635.7900151797639</v>
      </c>
      <c r="I30" s="1475">
        <f>'PM Emissions'!F30* (VLOOKUP($B$14,'Annual Parameters'!$B$33:$W$104,3,FALSE) / VLOOKUP('PM Emissions'!$B$14,'Annual Parameters'!$B$33:$W$104,3,FALSE)) * (VLOOKUP($B$15,'Annual Parameters'!$B$33:$W$104,15,FALSE) / VLOOKUP('PM Emissions'!$B$15,'Annual Parameters'!$B$33:$W$104,15,FALSE))</f>
        <v>86591.122915253713</v>
      </c>
      <c r="J30" s="3287">
        <f>'PM Emissions'!G30</f>
        <v>0.94699999999999995</v>
      </c>
      <c r="K30" s="1475">
        <f>'PM Emissions'!H30* (VLOOKUP($B$14,'Annual Parameters'!$B$33:$W$104,3,FALSE) / VLOOKUP('PM Emissions'!$B$14,'Annual Parameters'!$B$33:$W$104,3,FALSE)) * (VLOOKUP($B$15,'Annual Parameters'!$B$33:$W$104,15,FALSE) / VLOOKUP('PM Emissions'!$B$15,'Annual Parameters'!$B$33:$W$104,15,FALSE))</f>
        <v>28486.170785398048</v>
      </c>
      <c r="L30" s="1475">
        <f>'PM Emissions'!I30* (VLOOKUP($B$14,'Annual Parameters'!$B$33:$W$104,3,FALSE) / VLOOKUP('PM Emissions'!$B$14,'Annual Parameters'!$B$33:$W$104,3,FALSE)) * (VLOOKUP($B$15,'Annual Parameters'!$B$33:$W$104,15,FALSE) / VLOOKUP('PM Emissions'!$B$15,'Annual Parameters'!$B$33:$W$104,15,FALSE))</f>
        <v>6284.0931443752361</v>
      </c>
      <c r="M30" s="1476">
        <f>'PM Emissions'!J30* (VLOOKUP($B$14,'Annual Parameters'!$B$33:$W$104,3,FALSE) / VLOOKUP('PM Emissions'!$B$14,'Annual Parameters'!$B$33:$W$104,3,FALSE)) * (VLOOKUP($B$15,'Annual Parameters'!$B$33:$W$104,15,FALSE) / VLOOKUP('PM Emissions'!$B$15,'Annual Parameters'!$B$33:$W$104,15,FALSE))</f>
        <v>82001.793400745257</v>
      </c>
    </row>
    <row r="31" spans="1:19" ht="13.5" customHeight="1">
      <c r="A31" s="59" t="s">
        <v>2161</v>
      </c>
      <c r="C31" s="42"/>
      <c r="D31" s="3286">
        <f>'NOx damage'!D31* (VLOOKUP($B$14,'Annual Parameters'!$B$33:$W$104,3,FALSE) / VLOOKUP('NOx damage'!$B$14,'Annual Parameters'!$B$33:$W$104,3,FALSE)) * (VLOOKUP($B$15,'Annual Parameters'!$B$33:$W$104,15,FALSE) / VLOOKUP('NOx damage'!$B$15,'Annual Parameters'!$B$33:$W$104,15,FALSE))</f>
        <v>9539.0254722476438</v>
      </c>
      <c r="E31" s="3286">
        <f>'NOx damage'!E31* (VLOOKUP($B$14,'Annual Parameters'!$B$33:$W$104,3,FALSE) / VLOOKUP('NOx damage'!$B$14,'Annual Parameters'!$B$33:$W$104,3,FALSE)) * (VLOOKUP($B$15,'Annual Parameters'!$B$33:$W$104,15,FALSE) / VLOOKUP('NOx damage'!$B$15,'Annual Parameters'!$B$33:$W$104,15,FALSE))</f>
        <v>873.31296464843786</v>
      </c>
      <c r="F31" s="3286">
        <f>'NOx damage'!F31* (VLOOKUP($B$14,'Annual Parameters'!$B$33:$W$104,3,FALSE) / VLOOKUP('NOx damage'!$B$14,'Annual Parameters'!$B$33:$W$104,3,FALSE)) * (VLOOKUP($B$15,'Annual Parameters'!$B$33:$W$104,15,FALSE) / VLOOKUP('NOx damage'!$B$15,'Annual Parameters'!$B$33:$W$104,15,FALSE))</f>
        <v>36460.528495027873</v>
      </c>
      <c r="G31" s="3301">
        <f>'PM Emissions'!D31* (VLOOKUP($B$14,'Annual Parameters'!$B$33:$W$104,3,FALSE) / VLOOKUP('PM Emissions'!$B$14,'Annual Parameters'!$B$33:$W$104,3,FALSE)) * (VLOOKUP($B$15,'Annual Parameters'!$B$33:$W$104,15,FALSE) / VLOOKUP('PM Emissions'!$B$15,'Annual Parameters'!$B$33:$W$104,15,FALSE))</f>
        <v>181279.81894410617</v>
      </c>
      <c r="H31" s="1475">
        <f>'PM Emissions'!E31* (VLOOKUP($B$14,'Annual Parameters'!$B$33:$W$104,3,FALSE) / VLOOKUP('PM Emissions'!$B$14,'Annual Parameters'!$B$33:$W$104,3,FALSE)) * (VLOOKUP($B$15,'Annual Parameters'!$B$33:$W$104,15,FALSE) / VLOOKUP('PM Emissions'!$B$15,'Annual Parameters'!$B$33:$W$104,15,FALSE))</f>
        <v>38080.865275659096</v>
      </c>
      <c r="I31" s="1475">
        <f>'PM Emissions'!F31* (VLOOKUP($B$14,'Annual Parameters'!$B$33:$W$104,3,FALSE) / VLOOKUP('PM Emissions'!$B$14,'Annual Parameters'!$B$33:$W$104,3,FALSE)) * (VLOOKUP($B$15,'Annual Parameters'!$B$33:$W$104,15,FALSE) / VLOOKUP('PM Emissions'!$B$15,'Annual Parameters'!$B$33:$W$104,15,FALSE))</f>
        <v>558045.43962820002</v>
      </c>
      <c r="J31" s="3287">
        <f>'PM Emissions'!G31</f>
        <v>0.67300000000000004</v>
      </c>
      <c r="K31" s="1475">
        <f>'PM Emissions'!H31* (VLOOKUP($B$14,'Annual Parameters'!$B$33:$W$104,3,FALSE) / VLOOKUP('PM Emissions'!$B$14,'Annual Parameters'!$B$33:$W$104,3,FALSE)) * (VLOOKUP($B$15,'Annual Parameters'!$B$33:$W$104,15,FALSE) / VLOOKUP('PM Emissions'!$B$15,'Annual Parameters'!$B$33:$W$104,15,FALSE))</f>
        <v>122001.31814938346</v>
      </c>
      <c r="L31" s="1475">
        <f>'PM Emissions'!I31* (VLOOKUP($B$14,'Annual Parameters'!$B$33:$W$104,3,FALSE) / VLOOKUP('PM Emissions'!$B$14,'Annual Parameters'!$B$33:$W$104,3,FALSE)) * (VLOOKUP($B$15,'Annual Parameters'!$B$33:$W$104,15,FALSE) / VLOOKUP('PM Emissions'!$B$15,'Annual Parameters'!$B$33:$W$104,15,FALSE))</f>
        <v>25628.422330518573</v>
      </c>
      <c r="M31" s="1476">
        <f>'PM Emissions'!J31* (VLOOKUP($B$14,'Annual Parameters'!$B$33:$W$104,3,FALSE) / VLOOKUP('PM Emissions'!$B$14,'Annual Parameters'!$B$33:$W$104,3,FALSE)) * (VLOOKUP($B$15,'Annual Parameters'!$B$33:$W$104,15,FALSE) / VLOOKUP('PM Emissions'!$B$15,'Annual Parameters'!$B$33:$W$104,15,FALSE))</f>
        <v>375564.58086977864</v>
      </c>
    </row>
    <row r="32" spans="1:19" ht="13.5" customHeight="1">
      <c r="A32" s="59" t="s">
        <v>2171</v>
      </c>
      <c r="C32" s="42"/>
      <c r="D32" s="3286">
        <f>'NOx damage'!D32* (VLOOKUP($B$14,'Annual Parameters'!$B$33:$W$104,3,FALSE) / VLOOKUP('NOx damage'!$B$14,'Annual Parameters'!$B$33:$W$104,3,FALSE)) * (VLOOKUP($B$15,'Annual Parameters'!$B$33:$W$104,15,FALSE) / VLOOKUP('NOx damage'!$B$15,'Annual Parameters'!$B$33:$W$104,15,FALSE))</f>
        <v>51279.601207300831</v>
      </c>
      <c r="E32" s="3286">
        <f>'NOx damage'!E32* (VLOOKUP($B$14,'Annual Parameters'!$B$33:$W$104,3,FALSE) / VLOOKUP('NOx damage'!$B$14,'Annual Parameters'!$B$33:$W$104,3,FALSE)) * (VLOOKUP($B$15,'Annual Parameters'!$B$33:$W$104,15,FALSE) / VLOOKUP('NOx damage'!$B$15,'Annual Parameters'!$B$33:$W$104,15,FALSE))</f>
        <v>4080.1397517567475</v>
      </c>
      <c r="F32" s="3286">
        <f>'NOx damage'!F32* (VLOOKUP($B$14,'Annual Parameters'!$B$33:$W$104,3,FALSE) / VLOOKUP('NOx damage'!$B$14,'Annual Parameters'!$B$33:$W$104,3,FALSE)) * (VLOOKUP($B$15,'Annual Parameters'!$B$33:$W$104,15,FALSE) / VLOOKUP('NOx damage'!$B$15,'Annual Parameters'!$B$33:$W$104,15,FALSE))</f>
        <v>201019.3249193154</v>
      </c>
      <c r="G32" s="3301">
        <f>'PM Emissions'!D32* (VLOOKUP($B$14,'Annual Parameters'!$B$33:$W$104,3,FALSE) / VLOOKUP('PM Emissions'!$B$14,'Annual Parameters'!$B$33:$W$104,3,FALSE)) * (VLOOKUP($B$15,'Annual Parameters'!$B$33:$W$104,15,FALSE) / VLOOKUP('PM Emissions'!$B$15,'Annual Parameters'!$B$33:$W$104,15,FALSE))</f>
        <v>991253.36672068515</v>
      </c>
      <c r="H32" s="1475">
        <f>'PM Emissions'!E32* (VLOOKUP($B$14,'Annual Parameters'!$B$33:$W$104,3,FALSE) / VLOOKUP('PM Emissions'!$B$14,'Annual Parameters'!$B$33:$W$104,3,FALSE)) * (VLOOKUP($B$15,'Annual Parameters'!$B$33:$W$104,15,FALSE) / VLOOKUP('PM Emissions'!$B$15,'Annual Parameters'!$B$33:$W$104,15,FALSE))</f>
        <v>205575.04110816252</v>
      </c>
      <c r="I32" s="1475">
        <f>'PM Emissions'!F32* (VLOOKUP($B$14,'Annual Parameters'!$B$33:$W$104,3,FALSE) / VLOOKUP('PM Emissions'!$B$14,'Annual Parameters'!$B$33:$W$104,3,FALSE)) * (VLOOKUP($B$15,'Annual Parameters'!$B$33:$W$104,15,FALSE) / VLOOKUP('PM Emissions'!$B$15,'Annual Parameters'!$B$33:$W$104,15,FALSE))</f>
        <v>3058423.3733732328</v>
      </c>
      <c r="J32" s="3287">
        <f>'PM Emissions'!G32</f>
        <v>0.67300000000000004</v>
      </c>
      <c r="K32" s="1475">
        <f>'PM Emissions'!H32* (VLOOKUP($B$14,'Annual Parameters'!$B$33:$W$104,3,FALSE) / VLOOKUP('PM Emissions'!$B$14,'Annual Parameters'!$B$33:$W$104,3,FALSE)) * (VLOOKUP($B$15,'Annual Parameters'!$B$33:$W$104,15,FALSE) / VLOOKUP('PM Emissions'!$B$15,'Annual Parameters'!$B$33:$W$104,15,FALSE))</f>
        <v>667113.51580302115</v>
      </c>
      <c r="L32" s="1475">
        <f>'PM Emissions'!I32* (VLOOKUP($B$14,'Annual Parameters'!$B$33:$W$104,3,FALSE) / VLOOKUP('PM Emissions'!$B$14,'Annual Parameters'!$B$33:$W$104,3,FALSE)) * (VLOOKUP($B$15,'Annual Parameters'!$B$33:$W$104,15,FALSE) / VLOOKUP('PM Emissions'!$B$15,'Annual Parameters'!$B$33:$W$104,15,FALSE))</f>
        <v>138352.00266579338</v>
      </c>
      <c r="M32" s="1476">
        <f>'PM Emissions'!J32* (VLOOKUP($B$14,'Annual Parameters'!$B$33:$W$104,3,FALSE) / VLOOKUP('PM Emissions'!$B$14,'Annual Parameters'!$B$33:$W$104,3,FALSE)) * (VLOOKUP($B$15,'Annual Parameters'!$B$33:$W$104,15,FALSE) / VLOOKUP('PM Emissions'!$B$15,'Annual Parameters'!$B$33:$W$104,15,FALSE))</f>
        <v>2058318.9302801858</v>
      </c>
    </row>
    <row r="33" spans="1:13" ht="13.5" customHeight="1">
      <c r="A33" s="59" t="s">
        <v>2170</v>
      </c>
      <c r="C33" s="42"/>
      <c r="D33" s="3286">
        <f>'NOx damage'!D33* (VLOOKUP($B$14,'Annual Parameters'!$B$33:$W$104,3,FALSE) / VLOOKUP('NOx damage'!$B$14,'Annual Parameters'!$B$33:$W$104,3,FALSE)) * (VLOOKUP($B$15,'Annual Parameters'!$B$33:$W$104,15,FALSE) / VLOOKUP('NOx damage'!$B$15,'Annual Parameters'!$B$33:$W$104,15,FALSE))</f>
        <v>52572.423754717238</v>
      </c>
      <c r="E33" s="3286">
        <f>'NOx damage'!E33* (VLOOKUP($B$14,'Annual Parameters'!$B$33:$W$104,3,FALSE) / VLOOKUP('NOx damage'!$B$14,'Annual Parameters'!$B$33:$W$104,3,FALSE)) * (VLOOKUP($B$15,'Annual Parameters'!$B$33:$W$104,15,FALSE) / VLOOKUP('NOx damage'!$B$15,'Annual Parameters'!$B$33:$W$104,15,FALSE))</f>
        <v>4179.464159794341</v>
      </c>
      <c r="F33" s="3286">
        <f>'NOx damage'!F33* (VLOOKUP($B$14,'Annual Parameters'!$B$33:$W$104,3,FALSE) / VLOOKUP('NOx damage'!$B$14,'Annual Parameters'!$B$33:$W$104,3,FALSE)) * (VLOOKUP($B$15,'Annual Parameters'!$B$33:$W$104,15,FALSE) / VLOOKUP('NOx damage'!$B$15,'Annual Parameters'!$B$33:$W$104,15,FALSE))</f>
        <v>206116.1717798718</v>
      </c>
      <c r="G33" s="3301">
        <f>'PM Emissions'!D33* (VLOOKUP($B$14,'Annual Parameters'!$B$33:$W$104,3,FALSE) / VLOOKUP('PM Emissions'!$B$14,'Annual Parameters'!$B$33:$W$104,3,FALSE)) * (VLOOKUP($B$15,'Annual Parameters'!$B$33:$W$104,15,FALSE) / VLOOKUP('PM Emissions'!$B$15,'Annual Parameters'!$B$33:$W$104,15,FALSE))</f>
        <v>1009926.5755508684</v>
      </c>
      <c r="H33" s="1475">
        <f>'PM Emissions'!E33* (VLOOKUP($B$14,'Annual Parameters'!$B$33:$W$104,3,FALSE) / VLOOKUP('PM Emissions'!$B$14,'Annual Parameters'!$B$33:$W$104,3,FALSE)) * (VLOOKUP($B$15,'Annual Parameters'!$B$33:$W$104,15,FALSE) / VLOOKUP('PM Emissions'!$B$15,'Annual Parameters'!$B$33:$W$104,15,FALSE))</f>
        <v>209436.4681038284</v>
      </c>
      <c r="I33" s="1475">
        <f>'PM Emissions'!F33* (VLOOKUP($B$14,'Annual Parameters'!$B$33:$W$104,3,FALSE) / VLOOKUP('PM Emissions'!$B$14,'Annual Parameters'!$B$33:$W$104,3,FALSE)) * (VLOOKUP($B$15,'Annual Parameters'!$B$33:$W$104,15,FALSE) / VLOOKUP('PM Emissions'!$B$15,'Annual Parameters'!$B$33:$W$104,15,FALSE))</f>
        <v>3116067.3290794035</v>
      </c>
      <c r="J33" s="3287">
        <f>'PM Emissions'!G33</f>
        <v>0.67300000000000004</v>
      </c>
      <c r="K33" s="1475">
        <f>'PM Emissions'!H33* (VLOOKUP($B$14,'Annual Parameters'!$B$33:$W$104,3,FALSE) / VLOOKUP('PM Emissions'!$B$14,'Annual Parameters'!$B$33:$W$104,3,FALSE)) * (VLOOKUP($B$15,'Annual Parameters'!$B$33:$W$104,15,FALSE) / VLOOKUP('PM Emissions'!$B$15,'Annual Parameters'!$B$33:$W$104,15,FALSE))</f>
        <v>679680.58534573449</v>
      </c>
      <c r="L33" s="1475">
        <f>'PM Emissions'!I33* (VLOOKUP($B$14,'Annual Parameters'!$B$33:$W$104,3,FALSE) / VLOOKUP('PM Emissions'!$B$14,'Annual Parameters'!$B$33:$W$104,3,FALSE)) * (VLOOKUP($B$15,'Annual Parameters'!$B$33:$W$104,15,FALSE) / VLOOKUP('PM Emissions'!$B$15,'Annual Parameters'!$B$33:$W$104,15,FALSE))</f>
        <v>140950.74303387653</v>
      </c>
      <c r="M33" s="1476">
        <f>'PM Emissions'!J33* (VLOOKUP($B$14,'Annual Parameters'!$B$33:$W$104,3,FALSE) / VLOOKUP('PM Emissions'!$B$14,'Annual Parameters'!$B$33:$W$104,3,FALSE)) * (VLOOKUP($B$15,'Annual Parameters'!$B$33:$W$104,15,FALSE) / VLOOKUP('PM Emissions'!$B$15,'Annual Parameters'!$B$33:$W$104,15,FALSE))</f>
        <v>2097113.3124704387</v>
      </c>
    </row>
    <row r="34" spans="1:13" ht="13.5" customHeight="1">
      <c r="A34" s="59" t="s">
        <v>2169</v>
      </c>
      <c r="C34" s="42"/>
      <c r="D34" s="3286">
        <f>'NOx damage'!D34* (VLOOKUP($B$14,'Annual Parameters'!$B$33:$W$104,3,FALSE) / VLOOKUP('NOx damage'!$B$14,'Annual Parameters'!$B$33:$W$104,3,FALSE)) * (VLOOKUP($B$15,'Annual Parameters'!$B$33:$W$104,15,FALSE) / VLOOKUP('NOx damage'!$B$15,'Annual Parameters'!$B$33:$W$104,15,FALSE))</f>
        <v>27928.785451567139</v>
      </c>
      <c r="E34" s="3286">
        <f>'NOx damage'!E34* (VLOOKUP($B$14,'Annual Parameters'!$B$33:$W$104,3,FALSE) / VLOOKUP('NOx damage'!$B$14,'Annual Parameters'!$B$33:$W$104,3,FALSE)) * (VLOOKUP($B$15,'Annual Parameters'!$B$33:$W$104,15,FALSE) / VLOOKUP('NOx damage'!$B$15,'Annual Parameters'!$B$33:$W$104,15,FALSE))</f>
        <v>2286.1534411311213</v>
      </c>
      <c r="F34" s="3286">
        <f>'NOx damage'!F34* (VLOOKUP($B$14,'Annual Parameters'!$B$33:$W$104,3,FALSE) / VLOOKUP('NOx damage'!$B$14,'Annual Parameters'!$B$33:$W$104,3,FALSE)) * (VLOOKUP($B$15,'Annual Parameters'!$B$33:$W$104,15,FALSE) / VLOOKUP('NOx damage'!$B$15,'Annual Parameters'!$B$33:$W$104,15,FALSE))</f>
        <v>108960.64895184722</v>
      </c>
      <c r="G34" s="3301">
        <f>'PM Emissions'!D34* (VLOOKUP($B$14,'Annual Parameters'!$B$33:$W$104,3,FALSE) / VLOOKUP('PM Emissions'!$B$14,'Annual Parameters'!$B$33:$W$104,3,FALSE)) * (VLOOKUP($B$15,'Annual Parameters'!$B$33:$W$104,15,FALSE) / VLOOKUP('PM Emissions'!$B$15,'Annual Parameters'!$B$33:$W$104,15,FALSE))</f>
        <v>536892.10721411149</v>
      </c>
      <c r="H34" s="1475">
        <f>'PM Emissions'!E34* (VLOOKUP($B$14,'Annual Parameters'!$B$33:$W$104,3,FALSE) / VLOOKUP('PM Emissions'!$B$14,'Annual Parameters'!$B$33:$W$104,3,FALSE)) * (VLOOKUP($B$15,'Annual Parameters'!$B$33:$W$104,15,FALSE) / VLOOKUP('PM Emissions'!$B$15,'Annual Parameters'!$B$33:$W$104,15,FALSE))</f>
        <v>111617.81880111533</v>
      </c>
      <c r="I34" s="1475">
        <f>'PM Emissions'!F34* (VLOOKUP($B$14,'Annual Parameters'!$B$33:$W$104,3,FALSE) / VLOOKUP('PM Emissions'!$B$14,'Annual Parameters'!$B$33:$W$104,3,FALSE)) * (VLOOKUP($B$15,'Annual Parameters'!$B$33:$W$104,15,FALSE) / VLOOKUP('PM Emissions'!$B$15,'Annual Parameters'!$B$33:$W$104,15,FALSE))</f>
        <v>1655816.0038641614</v>
      </c>
      <c r="J34" s="3287">
        <f>'PM Emissions'!G34</f>
        <v>0.67300000000000004</v>
      </c>
      <c r="K34" s="1475">
        <f>'PM Emissions'!H34* (VLOOKUP($B$14,'Annual Parameters'!$B$33:$W$104,3,FALSE) / VLOOKUP('PM Emissions'!$B$14,'Annual Parameters'!$B$33:$W$104,3,FALSE)) * (VLOOKUP($B$15,'Annual Parameters'!$B$33:$W$104,15,FALSE) / VLOOKUP('PM Emissions'!$B$15,'Annual Parameters'!$B$33:$W$104,15,FALSE))</f>
        <v>361328.38815509703</v>
      </c>
      <c r="L34" s="1475">
        <f>'PM Emissions'!I34* (VLOOKUP($B$14,'Annual Parameters'!$B$33:$W$104,3,FALSE) / VLOOKUP('PM Emissions'!$B$14,'Annual Parameters'!$B$33:$W$104,3,FALSE)) * (VLOOKUP($B$15,'Annual Parameters'!$B$33:$W$104,15,FALSE) / VLOOKUP('PM Emissions'!$B$15,'Annual Parameters'!$B$33:$W$104,15,FALSE))</f>
        <v>75118.792053150624</v>
      </c>
      <c r="M34" s="1476">
        <f>'PM Emissions'!J34* (VLOOKUP($B$14,'Annual Parameters'!$B$33:$W$104,3,FALSE) / VLOOKUP('PM Emissions'!$B$14,'Annual Parameters'!$B$33:$W$104,3,FALSE)) * (VLOOKUP($B$15,'Annual Parameters'!$B$33:$W$104,15,FALSE) / VLOOKUP('PM Emissions'!$B$15,'Annual Parameters'!$B$33:$W$104,15,FALSE))</f>
        <v>1114364.1706005808</v>
      </c>
    </row>
    <row r="35" spans="1:13" ht="13.5" customHeight="1">
      <c r="A35" s="59" t="s">
        <v>2168</v>
      </c>
      <c r="C35" s="42"/>
      <c r="D35" s="3286">
        <f>'NOx damage'!D35* (VLOOKUP($B$14,'Annual Parameters'!$B$33:$W$104,3,FALSE) / VLOOKUP('NOx damage'!$B$14,'Annual Parameters'!$B$33:$W$104,3,FALSE)) * (VLOOKUP($B$15,'Annual Parameters'!$B$33:$W$104,15,FALSE) / VLOOKUP('NOx damage'!$B$15,'Annual Parameters'!$B$33:$W$104,15,FALSE))</f>
        <v>19618.766381585894</v>
      </c>
      <c r="E35" s="3286">
        <f>'NOx damage'!E35* (VLOOKUP($B$14,'Annual Parameters'!$B$33:$W$104,3,FALSE) / VLOOKUP('NOx damage'!$B$14,'Annual Parameters'!$B$33:$W$104,3,FALSE)) * (VLOOKUP($B$15,'Annual Parameters'!$B$33:$W$104,15,FALSE) / VLOOKUP('NOx damage'!$B$15,'Annual Parameters'!$B$33:$W$104,15,FALSE))</f>
        <v>1647.714912536092</v>
      </c>
      <c r="F35" s="3286">
        <f>'NOx damage'!F35* (VLOOKUP($B$14,'Annual Parameters'!$B$33:$W$104,3,FALSE) / VLOOKUP('NOx damage'!$B$14,'Annual Parameters'!$B$33:$W$104,3,FALSE)) * (VLOOKUP($B$15,'Annual Parameters'!$B$33:$W$104,15,FALSE) / VLOOKUP('NOx damage'!$B$15,'Annual Parameters'!$B$33:$W$104,15,FALSE))</f>
        <v>76199.080326175535</v>
      </c>
      <c r="G35" s="3301">
        <f>'PM Emissions'!D35* (VLOOKUP($B$14,'Annual Parameters'!$B$33:$W$104,3,FALSE) / VLOOKUP('PM Emissions'!$B$14,'Annual Parameters'!$B$33:$W$104,3,FALSE)) * (VLOOKUP($B$15,'Annual Parameters'!$B$33:$W$104,15,FALSE) / VLOOKUP('PM Emissions'!$B$15,'Annual Parameters'!$B$33:$W$104,15,FALSE))</f>
        <v>374917.71538138669</v>
      </c>
      <c r="H35" s="1475">
        <f>'PM Emissions'!E35* (VLOOKUP($B$14,'Annual Parameters'!$B$33:$W$104,3,FALSE) / VLOOKUP('PM Emissions'!$B$14,'Annual Parameters'!$B$33:$W$104,3,FALSE)) * (VLOOKUP($B$15,'Annual Parameters'!$B$33:$W$104,15,FALSE) / VLOOKUP('PM Emissions'!$B$15,'Annual Parameters'!$B$33:$W$104,15,FALSE))</f>
        <v>78123.185130094964</v>
      </c>
      <c r="I35" s="1475">
        <f>'PM Emissions'!F35* (VLOOKUP($B$14,'Annual Parameters'!$B$33:$W$104,3,FALSE) / VLOOKUP('PM Emissions'!$B$14,'Annual Parameters'!$B$33:$W$104,3,FALSE)) * (VLOOKUP($B$15,'Annual Parameters'!$B$33:$W$104,15,FALSE) / VLOOKUP('PM Emissions'!$B$15,'Annual Parameters'!$B$33:$W$104,15,FALSE))</f>
        <v>1155803.1376637088</v>
      </c>
      <c r="J35" s="3287">
        <f>'PM Emissions'!G35</f>
        <v>0.67300000000000004</v>
      </c>
      <c r="K35" s="1475">
        <f>'PM Emissions'!H35* (VLOOKUP($B$14,'Annual Parameters'!$B$33:$W$104,3,FALSE) / VLOOKUP('PM Emissions'!$B$14,'Annual Parameters'!$B$33:$W$104,3,FALSE)) * (VLOOKUP($B$15,'Annual Parameters'!$B$33:$W$104,15,FALSE) / VLOOKUP('PM Emissions'!$B$15,'Annual Parameters'!$B$33:$W$104,15,FALSE))</f>
        <v>252319.62245167326</v>
      </c>
      <c r="L35" s="1475">
        <f>'PM Emissions'!I35* (VLOOKUP($B$14,'Annual Parameters'!$B$33:$W$104,3,FALSE) / VLOOKUP('PM Emissions'!$B$14,'Annual Parameters'!$B$33:$W$104,3,FALSE)) * (VLOOKUP($B$15,'Annual Parameters'!$B$33:$W$104,15,FALSE) / VLOOKUP('PM Emissions'!$B$15,'Annual Parameters'!$B$33:$W$104,15,FALSE))</f>
        <v>52576.903592553914</v>
      </c>
      <c r="M35" s="1476">
        <f>'PM Emissions'!J35* (VLOOKUP($B$14,'Annual Parameters'!$B$33:$W$104,3,FALSE) / VLOOKUP('PM Emissions'!$B$14,'Annual Parameters'!$B$33:$W$104,3,FALSE)) * (VLOOKUP($B$15,'Annual Parameters'!$B$33:$W$104,15,FALSE) / VLOOKUP('PM Emissions'!$B$15,'Annual Parameters'!$B$33:$W$104,15,FALSE))</f>
        <v>777855.511647676</v>
      </c>
    </row>
    <row r="36" spans="1:13" ht="13.5" customHeight="1">
      <c r="A36" s="59" t="s">
        <v>2167</v>
      </c>
      <c r="C36" s="42"/>
      <c r="D36" s="3286">
        <f>'NOx damage'!D36* (VLOOKUP($B$14,'Annual Parameters'!$B$33:$W$104,3,FALSE) / VLOOKUP('NOx damage'!$B$14,'Annual Parameters'!$B$33:$W$104,3,FALSE)) * (VLOOKUP($B$15,'Annual Parameters'!$B$33:$W$104,15,FALSE) / VLOOKUP('NOx damage'!$B$15,'Annual Parameters'!$B$33:$W$104,15,FALSE))</f>
        <v>11768.387751127504</v>
      </c>
      <c r="E36" s="3286">
        <f>'NOx damage'!E36* (VLOOKUP($B$14,'Annual Parameters'!$B$33:$W$104,3,FALSE) / VLOOKUP('NOx damage'!$B$14,'Annual Parameters'!$B$33:$W$104,3,FALSE)) * (VLOOKUP($B$15,'Annual Parameters'!$B$33:$W$104,15,FALSE) / VLOOKUP('NOx damage'!$B$15,'Annual Parameters'!$B$33:$W$104,15,FALSE))</f>
        <v>1044.5894395935825</v>
      </c>
      <c r="F36" s="3286">
        <f>'NOx damage'!F36* (VLOOKUP($B$14,'Annual Parameters'!$B$33:$W$104,3,FALSE) / VLOOKUP('NOx damage'!$B$14,'Annual Parameters'!$B$33:$W$104,3,FALSE)) * (VLOOKUP($B$15,'Annual Parameters'!$B$33:$W$104,15,FALSE) / VLOOKUP('NOx damage'!$B$15,'Annual Parameters'!$B$33:$W$104,15,FALSE))</f>
        <v>45249.606435275156</v>
      </c>
      <c r="G36" s="3301">
        <f>'PM Emissions'!D36* (VLOOKUP($B$14,'Annual Parameters'!$B$33:$W$104,3,FALSE) / VLOOKUP('PM Emissions'!$B$14,'Annual Parameters'!$B$33:$W$104,3,FALSE)) * (VLOOKUP($B$15,'Annual Parameters'!$B$33:$W$104,15,FALSE) / VLOOKUP('PM Emissions'!$B$15,'Annual Parameters'!$B$33:$W$104,15,FALSE))</f>
        <v>223084.55169725328</v>
      </c>
      <c r="H36" s="1475">
        <f>'PM Emissions'!E36* (VLOOKUP($B$14,'Annual Parameters'!$B$33:$W$104,3,FALSE) / VLOOKUP('PM Emissions'!$B$14,'Annual Parameters'!$B$33:$W$104,3,FALSE)) * (VLOOKUP($B$15,'Annual Parameters'!$B$33:$W$104,15,FALSE) / VLOOKUP('PM Emissions'!$B$15,'Annual Parameters'!$B$33:$W$104,15,FALSE))</f>
        <v>46725.652846324148</v>
      </c>
      <c r="I36" s="1475">
        <f>'PM Emissions'!F36* (VLOOKUP($B$14,'Annual Parameters'!$B$33:$W$104,3,FALSE) / VLOOKUP('PM Emissions'!$B$14,'Annual Parameters'!$B$33:$W$104,3,FALSE)) * (VLOOKUP($B$15,'Annual Parameters'!$B$33:$W$104,15,FALSE) / VLOOKUP('PM Emissions'!$B$15,'Annual Parameters'!$B$33:$W$104,15,FALSE))</f>
        <v>687096.11244215956</v>
      </c>
      <c r="J36" s="3287">
        <f>'PM Emissions'!G36</f>
        <v>0.67300000000000004</v>
      </c>
      <c r="K36" s="1475">
        <f>'PM Emissions'!H36* (VLOOKUP($B$14,'Annual Parameters'!$B$33:$W$104,3,FALSE) / VLOOKUP('PM Emissions'!$B$14,'Annual Parameters'!$B$33:$W$104,3,FALSE)) * (VLOOKUP($B$15,'Annual Parameters'!$B$33:$W$104,15,FALSE) / VLOOKUP('PM Emissions'!$B$15,'Annual Parameters'!$B$33:$W$104,15,FALSE))</f>
        <v>150135.90329225146</v>
      </c>
      <c r="L36" s="1475">
        <f>'PM Emissions'!I36* (VLOOKUP($B$14,'Annual Parameters'!$B$33:$W$104,3,FALSE) / VLOOKUP('PM Emissions'!$B$14,'Annual Parameters'!$B$33:$W$104,3,FALSE)) * (VLOOKUP($B$15,'Annual Parameters'!$B$33:$W$104,15,FALSE) / VLOOKUP('PM Emissions'!$B$15,'Annual Parameters'!$B$33:$W$104,15,FALSE))</f>
        <v>31446.364365576155</v>
      </c>
      <c r="M36" s="1476">
        <f>'PM Emissions'!J36* (VLOOKUP($B$14,'Annual Parameters'!$B$33:$W$104,3,FALSE) / VLOOKUP('PM Emissions'!$B$14,'Annual Parameters'!$B$33:$W$104,3,FALSE)) * (VLOOKUP($B$15,'Annual Parameters'!$B$33:$W$104,15,FALSE) / VLOOKUP('PM Emissions'!$B$15,'Annual Parameters'!$B$33:$W$104,15,FALSE))</f>
        <v>462415.68367357343</v>
      </c>
    </row>
    <row r="37" spans="1:13" ht="13.5" customHeight="1">
      <c r="A37" s="59" t="s">
        <v>2166</v>
      </c>
      <c r="C37" s="42"/>
      <c r="D37" s="3286">
        <f>'NOx damage'!D37* (VLOOKUP($B$14,'Annual Parameters'!$B$33:$W$104,3,FALSE) / VLOOKUP('NOx damage'!$B$14,'Annual Parameters'!$B$33:$W$104,3,FALSE)) * (VLOOKUP($B$15,'Annual Parameters'!$B$33:$W$104,15,FALSE) / VLOOKUP('NOx damage'!$B$15,'Annual Parameters'!$B$33:$W$104,15,FALSE))</f>
        <v>14274.130073631699</v>
      </c>
      <c r="E37" s="3286">
        <f>'NOx damage'!E37* (VLOOKUP($B$14,'Annual Parameters'!$B$33:$W$104,3,FALSE) / VLOOKUP('NOx damage'!$B$14,'Annual Parameters'!$B$33:$W$104,3,FALSE)) * (VLOOKUP($B$15,'Annual Parameters'!$B$33:$W$104,15,FALSE) / VLOOKUP('NOx damage'!$B$15,'Annual Parameters'!$B$33:$W$104,15,FALSE))</f>
        <v>1237.0995202499291</v>
      </c>
      <c r="F37" s="3286">
        <f>'NOx damage'!F37* (VLOOKUP($B$14,'Annual Parameters'!$B$33:$W$104,3,FALSE) / VLOOKUP('NOx damage'!$B$14,'Annual Parameters'!$B$33:$W$104,3,FALSE)) * (VLOOKUP($B$15,'Annual Parameters'!$B$33:$W$104,15,FALSE) / VLOOKUP('NOx damage'!$B$15,'Annual Parameters'!$B$33:$W$104,15,FALSE))</f>
        <v>55128.290029819109</v>
      </c>
      <c r="G37" s="3301">
        <f>'PM Emissions'!D37* (VLOOKUP($B$14,'Annual Parameters'!$B$33:$W$104,3,FALSE) / VLOOKUP('PM Emissions'!$B$14,'Annual Parameters'!$B$33:$W$104,3,FALSE)) * (VLOOKUP($B$15,'Annual Parameters'!$B$33:$W$104,15,FALSE) / VLOOKUP('PM Emissions'!$B$15,'Annual Parameters'!$B$33:$W$104,15,FALSE))</f>
        <v>272258.95231824397</v>
      </c>
      <c r="H37" s="1475">
        <f>'PM Emissions'!E37* (VLOOKUP($B$14,'Annual Parameters'!$B$33:$W$104,3,FALSE) / VLOOKUP('PM Emissions'!$B$14,'Annual Parameters'!$B$33:$W$104,3,FALSE)) * (VLOOKUP($B$15,'Annual Parameters'!$B$33:$W$104,15,FALSE) / VLOOKUP('PM Emissions'!$B$15,'Annual Parameters'!$B$33:$W$104,15,FALSE))</f>
        <v>56894.411723301826</v>
      </c>
      <c r="I37" s="1475">
        <f>'PM Emissions'!F37* (VLOOKUP($B$14,'Annual Parameters'!$B$33:$W$104,3,FALSE) / VLOOKUP('PM Emissions'!$B$14,'Annual Parameters'!$B$33:$W$104,3,FALSE)) * (VLOOKUP($B$15,'Annual Parameters'!$B$33:$W$104,15,FALSE) / VLOOKUP('PM Emissions'!$B$15,'Annual Parameters'!$B$33:$W$104,15,FALSE))</f>
        <v>838896.8552631815</v>
      </c>
      <c r="J37" s="3287">
        <f>'PM Emissions'!G37</f>
        <v>0.67300000000000004</v>
      </c>
      <c r="K37" s="1475">
        <f>'PM Emissions'!H37* (VLOOKUP($B$14,'Annual Parameters'!$B$33:$W$104,3,FALSE) / VLOOKUP('PM Emissions'!$B$14,'Annual Parameters'!$B$33:$W$104,3,FALSE)) * (VLOOKUP($B$15,'Annual Parameters'!$B$33:$W$104,15,FALSE) / VLOOKUP('PM Emissions'!$B$15,'Annual Parameters'!$B$33:$W$104,15,FALSE))</f>
        <v>183230.27491017821</v>
      </c>
      <c r="L37" s="1475">
        <f>'PM Emissions'!I37* (VLOOKUP($B$14,'Annual Parameters'!$B$33:$W$104,3,FALSE) / VLOOKUP('PM Emissions'!$B$14,'Annual Parameters'!$B$33:$W$104,3,FALSE)) * (VLOOKUP($B$15,'Annual Parameters'!$B$33:$W$104,15,FALSE) / VLOOKUP('PM Emissions'!$B$15,'Annual Parameters'!$B$33:$W$104,15,FALSE))</f>
        <v>38289.939089782129</v>
      </c>
      <c r="M37" s="1476">
        <f>'PM Emissions'!J37* (VLOOKUP($B$14,'Annual Parameters'!$B$33:$W$104,3,FALSE) / VLOOKUP('PM Emissions'!$B$14,'Annual Parameters'!$B$33:$W$104,3,FALSE)) * (VLOOKUP($B$15,'Annual Parameters'!$B$33:$W$104,15,FALSE) / VLOOKUP('PM Emissions'!$B$15,'Annual Parameters'!$B$33:$W$104,15,FALSE))</f>
        <v>564577.58359212114</v>
      </c>
    </row>
    <row r="38" spans="1:13" ht="13.5" customHeight="1">
      <c r="A38" s="59" t="s">
        <v>2165</v>
      </c>
      <c r="C38" s="42"/>
      <c r="D38" s="3286">
        <f>'NOx damage'!D38* (VLOOKUP($B$14,'Annual Parameters'!$B$33:$W$104,3,FALSE) / VLOOKUP('NOx damage'!$B$14,'Annual Parameters'!$B$33:$W$104,3,FALSE)) * (VLOOKUP($B$15,'Annual Parameters'!$B$33:$W$104,15,FALSE) / VLOOKUP('NOx damage'!$B$15,'Annual Parameters'!$B$33:$W$104,15,FALSE))</f>
        <v>11584.398897384037</v>
      </c>
      <c r="E38" s="3286">
        <f>'NOx damage'!E38* (VLOOKUP($B$14,'Annual Parameters'!$B$33:$W$104,3,FALSE) / VLOOKUP('NOx damage'!$B$14,'Annual Parameters'!$B$33:$W$104,3,FALSE)) * (VLOOKUP($B$15,'Annual Parameters'!$B$33:$W$104,15,FALSE) / VLOOKUP('NOx damage'!$B$15,'Annual Parameters'!$B$33:$W$104,15,FALSE))</f>
        <v>1030.4540240099782</v>
      </c>
      <c r="F38" s="3286">
        <f>'NOx damage'!F38* (VLOOKUP($B$14,'Annual Parameters'!$B$33:$W$104,3,FALSE) / VLOOKUP('NOx damage'!$B$14,'Annual Parameters'!$B$33:$W$104,3,FALSE)) * (VLOOKUP($B$15,'Annual Parameters'!$B$33:$W$104,15,FALSE) / VLOOKUP('NOx damage'!$B$15,'Annual Parameters'!$B$33:$W$104,15,FALSE))</f>
        <v>44524.245469492329</v>
      </c>
      <c r="G38" s="3301">
        <f>'PM Emissions'!D38* (VLOOKUP($B$14,'Annual Parameters'!$B$33:$W$104,3,FALSE) / VLOOKUP('PM Emissions'!$B$14,'Annual Parameters'!$B$33:$W$104,3,FALSE)) * (VLOOKUP($B$15,'Annual Parameters'!$B$33:$W$104,15,FALSE) / VLOOKUP('PM Emissions'!$B$15,'Annual Parameters'!$B$33:$W$104,15,FALSE))</f>
        <v>220252.90617504087</v>
      </c>
      <c r="H38" s="1475">
        <f>'PM Emissions'!E38* (VLOOKUP($B$14,'Annual Parameters'!$B$33:$W$104,3,FALSE) / VLOOKUP('PM Emissions'!$B$14,'Annual Parameters'!$B$33:$W$104,3,FALSE)) * (VLOOKUP($B$15,'Annual Parameters'!$B$33:$W$104,15,FALSE) / VLOOKUP('PM Emissions'!$B$15,'Annual Parameters'!$B$33:$W$104,15,FALSE))</f>
        <v>46140.097757155243</v>
      </c>
      <c r="I38" s="1475">
        <f>'PM Emissions'!F38* (VLOOKUP($B$14,'Annual Parameters'!$B$33:$W$104,3,FALSE) / VLOOKUP('PM Emissions'!$B$14,'Annual Parameters'!$B$33:$W$104,3,FALSE)) * (VLOOKUP($B$15,'Annual Parameters'!$B$33:$W$104,15,FALSE) / VLOOKUP('PM Emissions'!$B$15,'Annual Parameters'!$B$33:$W$104,15,FALSE))</f>
        <v>678354.85910201853</v>
      </c>
      <c r="J38" s="3287">
        <f>'PM Emissions'!G38</f>
        <v>0.67300000000000004</v>
      </c>
      <c r="K38" s="1475">
        <f>'PM Emissions'!H38* (VLOOKUP($B$14,'Annual Parameters'!$B$33:$W$104,3,FALSE) / VLOOKUP('PM Emissions'!$B$14,'Annual Parameters'!$B$33:$W$104,3,FALSE)) * (VLOOKUP($B$15,'Annual Parameters'!$B$33:$W$104,15,FALSE) / VLOOKUP('PM Emissions'!$B$15,'Annual Parameters'!$B$33:$W$104,15,FALSE))</f>
        <v>148230.20585580252</v>
      </c>
      <c r="L38" s="1475">
        <f>'PM Emissions'!I38* (VLOOKUP($B$14,'Annual Parameters'!$B$33:$W$104,3,FALSE) / VLOOKUP('PM Emissions'!$B$14,'Annual Parameters'!$B$33:$W$104,3,FALSE)) * (VLOOKUP($B$15,'Annual Parameters'!$B$33:$W$104,15,FALSE) / VLOOKUP('PM Emissions'!$B$15,'Annual Parameters'!$B$33:$W$104,15,FALSE))</f>
        <v>31052.285790565482</v>
      </c>
      <c r="M38" s="1476">
        <f>'PM Emissions'!J38* (VLOOKUP($B$14,'Annual Parameters'!$B$33:$W$104,3,FALSE) / VLOOKUP('PM Emissions'!$B$14,'Annual Parameters'!$B$33:$W$104,3,FALSE)) * (VLOOKUP($B$15,'Annual Parameters'!$B$33:$W$104,15,FALSE) / VLOOKUP('PM Emissions'!$B$15,'Annual Parameters'!$B$33:$W$104,15,FALSE))</f>
        <v>456532.8201756585</v>
      </c>
    </row>
    <row r="39" spans="1:13" ht="13.5" customHeight="1">
      <c r="A39" s="59" t="s">
        <v>2164</v>
      </c>
      <c r="C39" s="42"/>
      <c r="D39" s="3286">
        <f>'NOx damage'!D39* (VLOOKUP($B$14,'Annual Parameters'!$B$33:$W$104,3,FALSE) / VLOOKUP('NOx damage'!$B$14,'Annual Parameters'!$B$33:$W$104,3,FALSE)) * (VLOOKUP($B$15,'Annual Parameters'!$B$33:$W$104,15,FALSE) / VLOOKUP('NOx damage'!$B$15,'Annual Parameters'!$B$33:$W$104,15,FALSE))</f>
        <v>9667.8561379843377</v>
      </c>
      <c r="E39" s="3286">
        <f>'NOx damage'!E39* (VLOOKUP($B$14,'Annual Parameters'!$B$33:$W$104,3,FALSE) / VLOOKUP('NOx damage'!$B$14,'Annual Parameters'!$B$33:$W$104,3,FALSE)) * (VLOOKUP($B$15,'Annual Parameters'!$B$33:$W$104,15,FALSE) / VLOOKUP('NOx damage'!$B$15,'Annual Parameters'!$B$33:$W$104,15,FALSE))</f>
        <v>883.21071096865637</v>
      </c>
      <c r="F39" s="3286">
        <f>'NOx damage'!F39* (VLOOKUP($B$14,'Annual Parameters'!$B$33:$W$104,3,FALSE) / VLOOKUP('NOx damage'!$B$14,'Annual Parameters'!$B$33:$W$104,3,FALSE)) * (VLOOKUP($B$15,'Annual Parameters'!$B$33:$W$104,15,FALSE) / VLOOKUP('NOx damage'!$B$15,'Annual Parameters'!$B$33:$W$104,15,FALSE))</f>
        <v>36968.432828469216</v>
      </c>
      <c r="G39" s="3301">
        <f>'PM Emissions'!D39* (VLOOKUP($B$14,'Annual Parameters'!$B$33:$W$104,3,FALSE) / VLOOKUP('PM Emissions'!$B$14,'Annual Parameters'!$B$33:$W$104,3,FALSE)) * (VLOOKUP($B$15,'Annual Parameters'!$B$33:$W$104,15,FALSE) / VLOOKUP('PM Emissions'!$B$15,'Annual Parameters'!$B$33:$W$104,15,FALSE))</f>
        <v>181305.01543109349</v>
      </c>
      <c r="H39" s="1475">
        <f>'PM Emissions'!E39* (VLOOKUP($B$14,'Annual Parameters'!$B$33:$W$104,3,FALSE) / VLOOKUP('PM Emissions'!$B$14,'Annual Parameters'!$B$33:$W$104,3,FALSE)) * (VLOOKUP($B$15,'Annual Parameters'!$B$33:$W$104,15,FALSE) / VLOOKUP('PM Emissions'!$B$15,'Annual Parameters'!$B$33:$W$104,15,FALSE))</f>
        <v>38086.075649298335</v>
      </c>
      <c r="I39" s="1475">
        <f>'PM Emissions'!F39* (VLOOKUP($B$14,'Annual Parameters'!$B$33:$W$104,3,FALSE) / VLOOKUP('PM Emissions'!$B$14,'Annual Parameters'!$B$33:$W$104,3,FALSE)) * (VLOOKUP($B$15,'Annual Parameters'!$B$33:$W$104,15,FALSE) / VLOOKUP('PM Emissions'!$B$15,'Annual Parameters'!$B$33:$W$104,15,FALSE))</f>
        <v>558123.22085975227</v>
      </c>
      <c r="J39" s="3287">
        <f>'PM Emissions'!G39</f>
        <v>0.67300000000000004</v>
      </c>
      <c r="K39" s="1475">
        <f>'PM Emissions'!H39* (VLOOKUP($B$14,'Annual Parameters'!$B$33:$W$104,3,FALSE) / VLOOKUP('PM Emissions'!$B$14,'Annual Parameters'!$B$33:$W$104,3,FALSE)) * (VLOOKUP($B$15,'Annual Parameters'!$B$33:$W$104,15,FALSE) / VLOOKUP('PM Emissions'!$B$15,'Annual Parameters'!$B$33:$W$104,15,FALSE))</f>
        <v>122018.27538512592</v>
      </c>
      <c r="L39" s="1475">
        <f>'PM Emissions'!I39* (VLOOKUP($B$14,'Annual Parameters'!$B$33:$W$104,3,FALSE) / VLOOKUP('PM Emissions'!$B$14,'Annual Parameters'!$B$33:$W$104,3,FALSE)) * (VLOOKUP($B$15,'Annual Parameters'!$B$33:$W$104,15,FALSE) / VLOOKUP('PM Emissions'!$B$15,'Annual Parameters'!$B$33:$W$104,15,FALSE))</f>
        <v>25631.928911977782</v>
      </c>
      <c r="M39" s="1476">
        <f>'PM Emissions'!J39* (VLOOKUP($B$14,'Annual Parameters'!$B$33:$W$104,3,FALSE) / VLOOKUP('PM Emissions'!$B$14,'Annual Parameters'!$B$33:$W$104,3,FALSE)) * (VLOOKUP($B$15,'Annual Parameters'!$B$33:$W$104,15,FALSE) / VLOOKUP('PM Emissions'!$B$15,'Annual Parameters'!$B$33:$W$104,15,FALSE))</f>
        <v>375616.92763861333</v>
      </c>
    </row>
    <row r="40" spans="1:13" ht="13.5" customHeight="1">
      <c r="A40" s="59" t="s">
        <v>2163</v>
      </c>
      <c r="C40" s="42"/>
      <c r="D40" s="3286">
        <f>'NOx damage'!D40* (VLOOKUP($B$14,'Annual Parameters'!$B$33:$W$104,3,FALSE) / VLOOKUP('NOx damage'!$B$14,'Annual Parameters'!$B$33:$W$104,3,FALSE)) * (VLOOKUP($B$15,'Annual Parameters'!$B$33:$W$104,15,FALSE) / VLOOKUP('NOx damage'!$B$15,'Annual Parameters'!$B$33:$W$104,15,FALSE))</f>
        <v>7437.9275223082614</v>
      </c>
      <c r="E40" s="3286">
        <f>'NOx damage'!E40* (VLOOKUP($B$14,'Annual Parameters'!$B$33:$W$104,3,FALSE) / VLOOKUP('NOx damage'!$B$14,'Annual Parameters'!$B$33:$W$104,3,FALSE)) * (VLOOKUP($B$15,'Annual Parameters'!$B$33:$W$104,15,FALSE) / VLOOKUP('NOx damage'!$B$15,'Annual Parameters'!$B$33:$W$104,15,FALSE))</f>
        <v>711.89072574660122</v>
      </c>
      <c r="F40" s="3286">
        <f>'NOx damage'!F40* (VLOOKUP($B$14,'Annual Parameters'!$B$33:$W$104,3,FALSE) / VLOOKUP('NOx damage'!$B$14,'Annual Parameters'!$B$33:$W$104,3,FALSE)) * (VLOOKUP($B$15,'Annual Parameters'!$B$33:$W$104,15,FALSE) / VLOOKUP('NOx damage'!$B$15,'Annual Parameters'!$B$33:$W$104,15,FALSE))</f>
        <v>28177.122151851756</v>
      </c>
      <c r="G40" s="3301">
        <f>'PM Emissions'!D40* (VLOOKUP($B$14,'Annual Parameters'!$B$33:$W$104,3,FALSE) / VLOOKUP('PM Emissions'!$B$14,'Annual Parameters'!$B$33:$W$104,3,FALSE)) * (VLOOKUP($B$15,'Annual Parameters'!$B$33:$W$104,15,FALSE) / VLOOKUP('PM Emissions'!$B$15,'Annual Parameters'!$B$33:$W$104,15,FALSE))</f>
        <v>136134.15649811289</v>
      </c>
      <c r="H40" s="1475">
        <f>'PM Emissions'!E40* (VLOOKUP($B$14,'Annual Parameters'!$B$33:$W$104,3,FALSE) / VLOOKUP('PM Emissions'!$B$14,'Annual Parameters'!$B$33:$W$104,3,FALSE)) * (VLOOKUP($B$15,'Annual Parameters'!$B$33:$W$104,15,FALSE) / VLOOKUP('PM Emissions'!$B$15,'Annual Parameters'!$B$33:$W$104,15,FALSE))</f>
        <v>28745.207901957037</v>
      </c>
      <c r="I40" s="1475">
        <f>'PM Emissions'!F40* (VLOOKUP($B$14,'Annual Parameters'!$B$33:$W$104,3,FALSE) / VLOOKUP('PM Emissions'!$B$14,'Annual Parameters'!$B$33:$W$104,3,FALSE)) * (VLOOKUP($B$15,'Annual Parameters'!$B$33:$W$104,15,FALSE) / VLOOKUP('PM Emissions'!$B$15,'Annual Parameters'!$B$33:$W$104,15,FALSE))</f>
        <v>418681.35978370573</v>
      </c>
      <c r="J40" s="3287">
        <f>'PM Emissions'!G40</f>
        <v>0.67300000000000004</v>
      </c>
      <c r="K40" s="1475">
        <f>'PM Emissions'!H40* (VLOOKUP($B$14,'Annual Parameters'!$B$33:$W$104,3,FALSE) / VLOOKUP('PM Emissions'!$B$14,'Annual Parameters'!$B$33:$W$104,3,FALSE)) * (VLOOKUP($B$15,'Annual Parameters'!$B$33:$W$104,15,FALSE) / VLOOKUP('PM Emissions'!$B$15,'Annual Parameters'!$B$33:$W$104,15,FALSE))</f>
        <v>91618.287323229975</v>
      </c>
      <c r="L40" s="1475">
        <f>'PM Emissions'!I40* (VLOOKUP($B$14,'Annual Parameters'!$B$33:$W$104,3,FALSE) / VLOOKUP('PM Emissions'!$B$14,'Annual Parameters'!$B$33:$W$104,3,FALSE)) * (VLOOKUP($B$15,'Annual Parameters'!$B$33:$W$104,15,FALSE) / VLOOKUP('PM Emissions'!$B$15,'Annual Parameters'!$B$33:$W$104,15,FALSE))</f>
        <v>19345.524918017087</v>
      </c>
      <c r="M40" s="1476">
        <f>'PM Emissions'!J40* (VLOOKUP($B$14,'Annual Parameters'!$B$33:$W$104,3,FALSE) / VLOOKUP('PM Emissions'!$B$14,'Annual Parameters'!$B$33:$W$104,3,FALSE)) * (VLOOKUP($B$15,'Annual Parameters'!$B$33:$W$104,15,FALSE) / VLOOKUP('PM Emissions'!$B$15,'Annual Parameters'!$B$33:$W$104,15,FALSE))</f>
        <v>281772.55513443396</v>
      </c>
    </row>
    <row r="41" spans="1:13" ht="13.5" customHeight="1" thickBot="1">
      <c r="A41" s="3282" t="s">
        <v>2162</v>
      </c>
      <c r="B41" s="627"/>
      <c r="C41" s="3270"/>
      <c r="D41" s="3288">
        <f>'NOx damage'!D41* (VLOOKUP($B$14,'Annual Parameters'!$B$33:$W$104,3,FALSE) / VLOOKUP('NOx damage'!$B$14,'Annual Parameters'!$B$33:$W$104,3,FALSE)) * (VLOOKUP($B$15,'Annual Parameters'!$B$33:$W$104,15,FALSE) / VLOOKUP('NOx damage'!$B$15,'Annual Parameters'!$B$33:$W$104,15,FALSE))</f>
        <v>3736.557522921868</v>
      </c>
      <c r="E41" s="3288">
        <f>'NOx damage'!E41* (VLOOKUP($B$14,'Annual Parameters'!$B$33:$W$104,3,FALSE) / VLOOKUP('NOx damage'!$B$14,'Annual Parameters'!$B$33:$W$104,3,FALSE)) * (VLOOKUP($B$15,'Annual Parameters'!$B$33:$W$104,15,FALSE) / VLOOKUP('NOx damage'!$B$15,'Annual Parameters'!$B$33:$W$104,15,FALSE))</f>
        <v>427.52348226693414</v>
      </c>
      <c r="F41" s="3288">
        <f>'NOx damage'!F41* (VLOOKUP($B$14,'Annual Parameters'!$B$33:$W$104,3,FALSE) / VLOOKUP('NOx damage'!$B$14,'Annual Parameters'!$B$33:$W$104,3,FALSE)) * (VLOOKUP($B$15,'Annual Parameters'!$B$33:$W$104,15,FALSE) / VLOOKUP('NOx damage'!$B$15,'Annual Parameters'!$B$33:$W$104,15,FALSE))</f>
        <v>13584.774502260458</v>
      </c>
      <c r="G41" s="3302">
        <f>'PM Emissions'!D41* (VLOOKUP($B$14,'Annual Parameters'!$B$33:$W$104,3,FALSE) / VLOOKUP('PM Emissions'!$B$14,'Annual Parameters'!$B$33:$W$104,3,FALSE)) * (VLOOKUP($B$15,'Annual Parameters'!$B$33:$W$104,15,FALSE) / VLOOKUP('PM Emissions'!$B$15,'Annual Parameters'!$B$33:$W$104,15,FALSE))</f>
        <v>62180.96880018463</v>
      </c>
      <c r="H41" s="3303">
        <f>'PM Emissions'!E41* (VLOOKUP($B$14,'Annual Parameters'!$B$33:$W$104,3,FALSE) / VLOOKUP('PM Emissions'!$B$14,'Annual Parameters'!$B$33:$W$104,3,FALSE)) * (VLOOKUP($B$15,'Annual Parameters'!$B$33:$W$104,15,FALSE) / VLOOKUP('PM Emissions'!$B$15,'Annual Parameters'!$B$33:$W$104,15,FALSE))</f>
        <v>13452.451419164279</v>
      </c>
      <c r="I41" s="3303">
        <f>'PM Emissions'!F41* (VLOOKUP($B$14,'Annual Parameters'!$B$33:$W$104,3,FALSE) / VLOOKUP('PM Emissions'!$B$14,'Annual Parameters'!$B$33:$W$104,3,FALSE)) * (VLOOKUP($B$15,'Annual Parameters'!$B$33:$W$104,15,FALSE) / VLOOKUP('PM Emissions'!$B$15,'Annual Parameters'!$B$33:$W$104,15,FALSE))</f>
        <v>190388.81966607485</v>
      </c>
      <c r="J41" s="3289">
        <f>'PM Emissions'!G41</f>
        <v>0.67300000000000004</v>
      </c>
      <c r="K41" s="3303">
        <f>'PM Emissions'!H41* (VLOOKUP($B$14,'Annual Parameters'!$B$33:$W$104,3,FALSE) / VLOOKUP('PM Emissions'!$B$14,'Annual Parameters'!$B$33:$W$104,3,FALSE)) * (VLOOKUP($B$15,'Annual Parameters'!$B$33:$W$104,15,FALSE) / VLOOKUP('PM Emissions'!$B$15,'Annual Parameters'!$B$33:$W$104,15,FALSE))</f>
        <v>41847.792002524257</v>
      </c>
      <c r="L41" s="3303">
        <f>'PM Emissions'!I41* (VLOOKUP($B$14,'Annual Parameters'!$B$33:$W$104,3,FALSE) / VLOOKUP('PM Emissions'!$B$14,'Annual Parameters'!$B$33:$W$104,3,FALSE)) * (VLOOKUP($B$15,'Annual Parameters'!$B$33:$W$104,15,FALSE) / VLOOKUP('PM Emissions'!$B$15,'Annual Parameters'!$B$33:$W$104,15,FALSE))</f>
        <v>9053.499805097561</v>
      </c>
      <c r="M41" s="3304">
        <f>'PM Emissions'!J41* (VLOOKUP($B$14,'Annual Parameters'!$B$33:$W$104,3,FALSE) / VLOOKUP('PM Emissions'!$B$14,'Annual Parameters'!$B$33:$W$104,3,FALSE)) * (VLOOKUP($B$15,'Annual Parameters'!$B$33:$W$104,15,FALSE) / VLOOKUP('PM Emissions'!$B$15,'Annual Parameters'!$B$33:$W$104,15,FALSE))</f>
        <v>128131.67563526839</v>
      </c>
    </row>
    <row r="42" spans="1:13" ht="13.5" customHeight="1" thickTop="1"/>
    <row r="43" spans="1:13" ht="13.5" customHeight="1" thickBot="1"/>
    <row r="44" spans="1:13" ht="13.5" customHeight="1" thickTop="1" thickBot="1">
      <c r="A44" s="3753" t="str">
        <f>CONCATENATE("Table A 3.2.2: Marginal abatement cost values")</f>
        <v>Table A 3.2.2: Marginal abatement cost values</v>
      </c>
      <c r="B44" s="3751"/>
      <c r="C44" s="3751"/>
      <c r="D44" s="3751"/>
      <c r="E44" s="3751"/>
      <c r="F44" s="3752"/>
      <c r="H44" s="3658" t="s">
        <v>2482</v>
      </c>
      <c r="I44" s="3760"/>
      <c r="J44" s="3760"/>
      <c r="K44" s="3761"/>
    </row>
    <row r="45" spans="1:13" ht="13.5" customHeight="1" thickTop="1" thickBot="1">
      <c r="A45" s="3754" t="str">
        <f>"by pollutant (" &amp; B14 &amp; " prices, " &amp; B15 &amp; " values)"</f>
        <v>by pollutant (2010 prices, 2010 values)</v>
      </c>
      <c r="B45" s="3755"/>
      <c r="C45" s="3755"/>
      <c r="D45" s="3755"/>
      <c r="E45" s="3755"/>
      <c r="F45" s="3756"/>
      <c r="H45" s="3762" t="s">
        <v>2476</v>
      </c>
      <c r="I45" s="3763"/>
      <c r="J45" s="3763"/>
      <c r="K45" s="3447">
        <f>'PM conversion'!D24</f>
        <v>0.67300000000000004</v>
      </c>
    </row>
    <row r="46" spans="1:13" ht="13.5" customHeight="1" thickTop="1" thickBot="1">
      <c r="A46" s="3291"/>
      <c r="B46" s="1045"/>
      <c r="C46" s="1046"/>
      <c r="D46" s="3292" t="s">
        <v>656</v>
      </c>
      <c r="E46" s="3292" t="s">
        <v>1481</v>
      </c>
      <c r="F46" s="3293" t="s">
        <v>1482</v>
      </c>
      <c r="H46" s="3745" t="s">
        <v>2475</v>
      </c>
      <c r="I46" s="3746"/>
      <c r="J46" s="3747"/>
      <c r="K46" s="3446">
        <f>'PM conversion'!D25</f>
        <v>0.64200000000000002</v>
      </c>
    </row>
    <row r="47" spans="1:13" ht="13.5" customHeight="1" thickTop="1" thickBot="1">
      <c r="A47" s="381" t="s">
        <v>851</v>
      </c>
      <c r="B47" s="627"/>
      <c r="C47" s="620"/>
      <c r="D47" s="1477">
        <f>'NOx abatement'!E27 * (VLOOKUP($B$14,'Annual Parameters'!$B$33:$W$104,3,FALSE) / VLOOKUP('NOx abatement'!$B$14,'Annual Parameters'!$B$33:$W$104,3,FALSE))</f>
        <v>29000</v>
      </c>
      <c r="E47" s="1477">
        <f>'NOx abatement'!E26 * (VLOOKUP($B$14,'Annual Parameters'!$B$33:$W$104,3,FALSE) / VLOOKUP('NOx abatement'!$B$14,'Annual Parameters'!$B$33:$W$104,3,FALSE))</f>
        <v>27000</v>
      </c>
      <c r="F47" s="1478">
        <f>'NOx abatement'!E28 * (VLOOKUP($B$14,'Annual Parameters'!$B$33:$W$104,3,FALSE) / VLOOKUP('NOx abatement'!$B$14,'Annual Parameters'!$B$33:$W$104,3,FALSE))</f>
        <v>73000</v>
      </c>
      <c r="H47" s="3745" t="s">
        <v>2462</v>
      </c>
      <c r="I47" s="3746"/>
      <c r="J47" s="3747"/>
      <c r="K47" s="3446">
        <f>'PM conversion'!D26</f>
        <v>1</v>
      </c>
    </row>
    <row r="48" spans="1:13" ht="13.5" customHeight="1" thickTop="1">
      <c r="H48" s="3745" t="s">
        <v>584</v>
      </c>
      <c r="I48" s="3746"/>
      <c r="J48" s="3747"/>
      <c r="K48" s="3446">
        <f>'PM conversion'!D27</f>
        <v>0.92900000000000005</v>
      </c>
    </row>
    <row r="49" spans="1:11" ht="13.5" customHeight="1" thickBot="1">
      <c r="H49" s="3745" t="s">
        <v>2463</v>
      </c>
      <c r="I49" s="3746"/>
      <c r="J49" s="3747"/>
      <c r="K49" s="3446">
        <f>'PM conversion'!D28</f>
        <v>0.94699999999999995</v>
      </c>
    </row>
    <row r="50" spans="1:11" ht="13.5" customHeight="1" thickTop="1">
      <c r="A50" s="3751" t="str">
        <f>CONCATENATE("Table A 3.2.3: Damage cost values (concentration based)")</f>
        <v>Table A 3.2.3: Damage cost values (concentration based)</v>
      </c>
      <c r="B50" s="3751"/>
      <c r="C50" s="3751"/>
      <c r="D50" s="3751"/>
      <c r="E50" s="3751"/>
      <c r="F50" s="3752"/>
      <c r="G50"/>
      <c r="H50" s="3745" t="s">
        <v>2464</v>
      </c>
      <c r="I50" s="3746"/>
      <c r="J50" s="3747"/>
      <c r="K50" s="3446">
        <f>'PM conversion'!D29</f>
        <v>0.67300000000000004</v>
      </c>
    </row>
    <row r="51" spans="1:11" ht="13.5" customHeight="1" thickBot="1">
      <c r="A51" s="3755" t="str">
        <f>"by pollutant (" &amp; B14 &amp; " prices, " &amp; B15 &amp; " values)"</f>
        <v>by pollutant (2010 prices, 2010 values)</v>
      </c>
      <c r="B51" s="3755"/>
      <c r="C51" s="3755"/>
      <c r="D51" s="3755"/>
      <c r="E51" s="3755"/>
      <c r="F51" s="3756"/>
      <c r="G51"/>
      <c r="H51" s="3745" t="s">
        <v>2465</v>
      </c>
      <c r="I51" s="3746"/>
      <c r="J51" s="3747"/>
      <c r="K51" s="3446">
        <f>'PM conversion'!D30</f>
        <v>0.67300000000000004</v>
      </c>
    </row>
    <row r="52" spans="1:11" ht="13.5" customHeight="1" thickTop="1" thickBot="1">
      <c r="A52" s="3291"/>
      <c r="B52" s="1045"/>
      <c r="C52" s="1046"/>
      <c r="D52" s="3297" t="s">
        <v>656</v>
      </c>
      <c r="E52" s="3297" t="s">
        <v>1481</v>
      </c>
      <c r="F52" s="3297" t="s">
        <v>1482</v>
      </c>
      <c r="H52" s="3745" t="s">
        <v>2466</v>
      </c>
      <c r="I52" s="3746"/>
      <c r="J52" s="3747"/>
      <c r="K52" s="3446">
        <f>'PM conversion'!D31</f>
        <v>0.67300000000000004</v>
      </c>
    </row>
    <row r="53" spans="1:11" ht="13.5" customHeight="1" thickTop="1">
      <c r="A53" s="3296" t="s">
        <v>2184</v>
      </c>
      <c r="B53" s="609"/>
      <c r="C53" s="624"/>
      <c r="D53" s="734"/>
      <c r="E53" s="734"/>
      <c r="F53" s="734"/>
      <c r="H53" s="3745" t="s">
        <v>2467</v>
      </c>
      <c r="I53" s="3746"/>
      <c r="J53" s="3747"/>
      <c r="K53" s="3446">
        <f>'PM conversion'!D32</f>
        <v>0.67300000000000004</v>
      </c>
    </row>
    <row r="54" spans="1:11" ht="13.5" customHeight="1">
      <c r="A54" s="953" t="s">
        <v>2183</v>
      </c>
      <c r="B54" s="609"/>
      <c r="C54" s="624"/>
      <c r="D54" s="3294">
        <f>'NO2 concentration'!E27 * (VLOOKUP(B14,'Annual Parameters'!$B$33:$W$104,3,FALSE) / VLOOKUP('PM2.5 concentration'!$B$14,'Annual Parameters'!$B$33:$W$104,3,FALSE)) * (VLOOKUP(B15,'Annual Parameters'!$B$33:$W$104,18,FALSE) / VLOOKUP('NO2 concentration'!$B$15,'Annual Parameters'!$B$33:$W$104,18,FALSE))</f>
        <v>13.647074408568717</v>
      </c>
      <c r="E54" s="3294">
        <f>'NO2 concentration'!E26 * (VLOOKUP(B14,'Annual Parameters'!$B$33:$W$104,3,FALSE) / VLOOKUP('PM2.5 concentration'!$B$14,'Annual Parameters'!$B$33:$W$104,3,FALSE)) * (VLOOKUP(B15,'Annual Parameters'!$B$33:$W$104,18,FALSE) / VLOOKUP('NO2 concentration'!$B$15,'Annual Parameters'!$B$33:$W$104,18,FALSE))</f>
        <v>1.0484714934659178</v>
      </c>
      <c r="F54" s="3294">
        <f>'NO2 concentration'!E28 * (VLOOKUP(B14,'Annual Parameters'!$B$33:$W$104,3,FALSE) / VLOOKUP('PM2.5 concentration'!$B$14,'Annual Parameters'!$B$33:$W$104,3,FALSE)) * (VLOOKUP(B15,'Annual Parameters'!$B$33:$W$104,18,FALSE) / VLOOKUP('NO2 concentration'!$B$15,'Annual Parameters'!$B$33:$W$104,18,FALSE))</f>
        <v>53.802471572063531</v>
      </c>
      <c r="H54" s="3745" t="s">
        <v>2468</v>
      </c>
      <c r="I54" s="3746"/>
      <c r="J54" s="3747"/>
      <c r="K54" s="3446">
        <f>'PM conversion'!D33</f>
        <v>0.67300000000000004</v>
      </c>
    </row>
    <row r="55" spans="1:11" ht="13.5" customHeight="1">
      <c r="A55" s="953" t="s">
        <v>2185</v>
      </c>
      <c r="B55" s="609"/>
      <c r="C55" s="624"/>
      <c r="D55" s="3294">
        <f>'NO2 concentration'!J27 * (VLOOKUP(B14,'Annual Parameters'!$B$33:$W$104,3,FALSE) / VLOOKUP('PM2.5 concentration'!$B$14,'Annual Parameters'!$B$33:$W$104,3,FALSE)) * (VLOOKUP(B15,'Annual Parameters'!$B$33:$W$104,18,FALSE) / VLOOKUP('NO2 concentration'!$B$15,'Annual Parameters'!$B$33:$W$104,18,FALSE))</f>
        <v>1282.6412721729605</v>
      </c>
      <c r="E55" s="3294">
        <f>'NO2 concentration'!J26 * (VLOOKUP(B14,'Annual Parameters'!$B$33:$W$104,3,FALSE) / VLOOKUP('PM2.5 concentration'!$B$14,'Annual Parameters'!$B$33:$W$104,3,FALSE)) * (VLOOKUP(B15,'Annual Parameters'!$B$33:$W$104,18,FALSE) / VLOOKUP('NO2 concentration'!$B$15,'Annual Parameters'!$B$33:$W$104,18,FALSE))</f>
        <v>238.99507249673869</v>
      </c>
      <c r="F55" s="3294">
        <f>'NO2 concentration'!J28 * (VLOOKUP(B14,'Annual Parameters'!$B$33:$W$104,3,FALSE) / VLOOKUP('PM2.5 concentration'!$B$14,'Annual Parameters'!$B$33:$W$104,3,FALSE)) * (VLOOKUP(B15,'Annual Parameters'!$B$33:$W$104,18,FALSE) / VLOOKUP('NO2 concentration'!$B$15,'Annual Parameters'!$B$33:$W$104,18,FALSE))</f>
        <v>3910.41</v>
      </c>
      <c r="H55" s="3745" t="s">
        <v>2469</v>
      </c>
      <c r="I55" s="3746"/>
      <c r="J55" s="3747"/>
      <c r="K55" s="3446">
        <f>'PM conversion'!D34</f>
        <v>0.67300000000000004</v>
      </c>
    </row>
    <row r="56" spans="1:11" ht="13.5" customHeight="1">
      <c r="A56" s="3296" t="s">
        <v>2176</v>
      </c>
      <c r="B56" s="609"/>
      <c r="C56" s="624"/>
      <c r="D56" s="3294"/>
      <c r="E56" s="3294"/>
      <c r="F56" s="3294"/>
      <c r="H56" s="3745" t="s">
        <v>2470</v>
      </c>
      <c r="I56" s="3746"/>
      <c r="J56" s="3747"/>
      <c r="K56" s="3446">
        <f>'PM conversion'!D35</f>
        <v>0.67300000000000004</v>
      </c>
    </row>
    <row r="57" spans="1:11" ht="13.5" customHeight="1">
      <c r="A57" s="953" t="s">
        <v>2183</v>
      </c>
      <c r="B57" s="609"/>
      <c r="C57" s="624"/>
      <c r="D57" s="3294">
        <f>'PM2.5 concentration'!E27 * (VLOOKUP(B14,'Annual Parameters'!$B$33:$W$104,3,FALSE) / VLOOKUP('PM2.5 concentration'!$B$14,'Annual Parameters'!$B$33:$W$104,3,FALSE)) * (VLOOKUP(B15,'Annual Parameters'!$B$33:$W$104,18,FALSE) / VLOOKUP('PM2.5 concentration'!$B$15,'Annual Parameters'!$B$33:$W$104,18,FALSE))</f>
        <v>108.39979279774268</v>
      </c>
      <c r="E57" s="3294">
        <f>'PM2.5 concentration'!E26 * (VLOOKUP(B14,'Annual Parameters'!$B$33:$W$104,3,FALSE) / VLOOKUP('PM2.5 concentration'!$B$14,'Annual Parameters'!$B$33:$W$104,3,FALSE)) * (VLOOKUP(B15,'Annual Parameters'!$B$33:$W$104,18,FALSE) / VLOOKUP('PM2.5 concentration'!$B$15,'Annual Parameters'!$B$33:$W$104,18,FALSE))</f>
        <v>22.420063722620107</v>
      </c>
      <c r="F57" s="3294">
        <f>'PM2.5 concentration'!E28 * (VLOOKUP(B14,'Annual Parameters'!$B$33:$W$104,3,FALSE) / VLOOKUP('PM2.5 concentration'!$B$14,'Annual Parameters'!$B$33:$W$104,3,FALSE)) * (VLOOKUP(B15,'Annual Parameters'!$B$33:$W$104,18,FALSE) / VLOOKUP('PM2.5 concentration'!$B$15,'Annual Parameters'!$B$33:$W$104,18,FALSE))</f>
        <v>337.77935850323212</v>
      </c>
      <c r="H57" s="3745" t="s">
        <v>2471</v>
      </c>
      <c r="I57" s="3746"/>
      <c r="J57" s="3747"/>
      <c r="K57" s="3446">
        <f>'PM conversion'!D36</f>
        <v>0.67300000000000004</v>
      </c>
    </row>
    <row r="58" spans="1:11" ht="13.5" customHeight="1" thickBot="1">
      <c r="A58" s="960" t="s">
        <v>2185</v>
      </c>
      <c r="B58" s="627"/>
      <c r="C58" s="620"/>
      <c r="D58" s="3295">
        <f>'PM2.5 concentration'!J27 * (VLOOKUP(B14,'Annual Parameters'!$B$33:$W$104,3,FALSE) / VLOOKUP('PM2.5 concentration'!$B$14,'Annual Parameters'!$B$33:$W$104,3,FALSE)) * (VLOOKUP(B15,'Annual Parameters'!$B$33:$W$104,18,FALSE) / VLOOKUP('PM2.5 concentration'!$B$15,'Annual Parameters'!$B$33:$W$104,18,FALSE))</f>
        <v>785.105694456008</v>
      </c>
      <c r="E58" s="3295">
        <f>'PM2.5 concentration'!J26 * (VLOOKUP(B14,'Annual Parameters'!$B$33:$W$104,3,FALSE) / VLOOKUP('PM2.5 concentration'!$B$14,'Annual Parameters'!$B$33:$W$104,3,FALSE)) * (VLOOKUP(B15,'Annual Parameters'!$B$33:$W$104,18,FALSE) / VLOOKUP('PM2.5 concentration'!$B$15,'Annual Parameters'!$B$33:$W$104,18,FALSE))</f>
        <v>785.105694456008</v>
      </c>
      <c r="F58" s="3295">
        <f>'PM2.5 concentration'!J28 * (VLOOKUP(B14,'Annual Parameters'!$B$33:$W$104,3,FALSE) / VLOOKUP('PM2.5 concentration'!$B$14,'Annual Parameters'!$B$33:$W$104,3,FALSE)) * (VLOOKUP(B15,'Annual Parameters'!$B$33:$W$104,18,FALSE) / VLOOKUP('PM2.5 concentration'!$B$15,'Annual Parameters'!$B$33:$W$104,18,FALSE))</f>
        <v>785.105694456008</v>
      </c>
      <c r="H58" s="3745" t="s">
        <v>2472</v>
      </c>
      <c r="I58" s="3746"/>
      <c r="J58" s="3747"/>
      <c r="K58" s="3446">
        <f>'PM conversion'!D37</f>
        <v>0.67300000000000004</v>
      </c>
    </row>
    <row r="59" spans="1:11" ht="13.5" customHeight="1" thickTop="1">
      <c r="H59" s="3745" t="s">
        <v>2473</v>
      </c>
      <c r="I59" s="3746"/>
      <c r="J59" s="3747"/>
      <c r="K59" s="3446">
        <f>'PM conversion'!D38</f>
        <v>0.67300000000000004</v>
      </c>
    </row>
    <row r="60" spans="1:11" ht="13.5" customHeight="1">
      <c r="H60" s="3745" t="s">
        <v>2474</v>
      </c>
      <c r="I60" s="3746"/>
      <c r="J60" s="3747"/>
      <c r="K60" s="3446">
        <f>'PM conversion'!D39</f>
        <v>0.67300000000000004</v>
      </c>
    </row>
    <row r="61" spans="1:11" ht="13.5" customHeight="1">
      <c r="H61" s="3745" t="s">
        <v>2477</v>
      </c>
      <c r="I61" s="3746"/>
      <c r="J61" s="3747"/>
      <c r="K61" s="3446">
        <f>'PM conversion'!D40</f>
        <v>0.99999999999999889</v>
      </c>
    </row>
    <row r="62" spans="1:11" ht="13.5" customHeight="1">
      <c r="H62" s="3745" t="s">
        <v>2478</v>
      </c>
      <c r="I62" s="3746"/>
      <c r="J62" s="3747"/>
      <c r="K62" s="3446">
        <f>'PM conversion'!D41</f>
        <v>0.39999999999999941</v>
      </c>
    </row>
    <row r="63" spans="1:11" ht="13.5" customHeight="1">
      <c r="H63" s="3745" t="s">
        <v>2479</v>
      </c>
      <c r="I63" s="3746"/>
      <c r="J63" s="3747"/>
      <c r="K63" s="3446">
        <f>'PM conversion'!D42</f>
        <v>0.71000000000000063</v>
      </c>
    </row>
    <row r="64" spans="1:11" ht="13.5" customHeight="1" thickBot="1">
      <c r="H64" s="3748" t="s">
        <v>2480</v>
      </c>
      <c r="I64" s="3749"/>
      <c r="J64" s="3750"/>
      <c r="K64" s="3445">
        <f>'PM conversion'!D43</f>
        <v>0.54489781581681007</v>
      </c>
    </row>
    <row r="65" ht="13.5" customHeight="1" thickTop="1"/>
  </sheetData>
  <sheetProtection sheet="1" objects="1" scenarios="1"/>
  <mergeCells count="37">
    <mergeCell ref="A22:M22"/>
    <mergeCell ref="A44:F44"/>
    <mergeCell ref="A45:F45"/>
    <mergeCell ref="A50:F50"/>
    <mergeCell ref="A51:F51"/>
    <mergeCell ref="J24:J26"/>
    <mergeCell ref="A23:M23"/>
    <mergeCell ref="H44:K44"/>
    <mergeCell ref="H45:J45"/>
    <mergeCell ref="H46:J46"/>
    <mergeCell ref="H47:J47"/>
    <mergeCell ref="H48:J48"/>
    <mergeCell ref="H49:J49"/>
    <mergeCell ref="H50:J50"/>
    <mergeCell ref="H51:J51"/>
    <mergeCell ref="A18:B18"/>
    <mergeCell ref="A19:B19"/>
    <mergeCell ref="A20:B20"/>
    <mergeCell ref="A11:B11"/>
    <mergeCell ref="E6:S6"/>
    <mergeCell ref="A7:B7"/>
    <mergeCell ref="A8:B8"/>
    <mergeCell ref="A10:B10"/>
    <mergeCell ref="A12:B12"/>
    <mergeCell ref="H52:J52"/>
    <mergeCell ref="H53:J53"/>
    <mergeCell ref="H54:J54"/>
    <mergeCell ref="H55:J55"/>
    <mergeCell ref="H56:J56"/>
    <mergeCell ref="H62:J62"/>
    <mergeCell ref="H63:J63"/>
    <mergeCell ref="H64:J64"/>
    <mergeCell ref="H57:J57"/>
    <mergeCell ref="H58:J58"/>
    <mergeCell ref="H59:J59"/>
    <mergeCell ref="H60:J60"/>
    <mergeCell ref="H61:J61"/>
  </mergeCells>
  <phoneticPr fontId="8" type="noConversion"/>
  <hyperlinks>
    <hyperlink ref="J8" r:id="rId1"/>
    <hyperlink ref="J9" r:id="rId2"/>
    <hyperlink ref="A11" location="Contents!A1" display="Contents"/>
    <hyperlink ref="A11:B11" r:id="rId3" display="WebTAG Unit 3.3.3"/>
    <hyperlink ref="A10" location="Contents!A1" display="Contents"/>
    <hyperlink ref="A10:B10" location="Contents!A1" tooltip="Contents page" display="Contents"/>
    <hyperlink ref="A12:B12" r:id="rId4" tooltip="Unit A3  Environmental Impact Appraisal" display="WebTAG Unit A 3"/>
  </hyperlinks>
  <pageMargins left="0.75" right="0.75" top="1" bottom="1" header="0.5" footer="0.5"/>
  <pageSetup paperSize="9" scale="54" fitToHeight="0" orientation="landscape" r:id="rId5"/>
  <headerFooter alignWithMargins="0"/>
  <drawing r:id="rId6"/>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10"/>
  </sheetPr>
  <dimension ref="A1:S59"/>
  <sheetViews>
    <sheetView showGridLines="0" topLeftCell="A28" zoomScale="85" zoomScaleNormal="85" workbookViewId="0">
      <selection activeCell="E23" sqref="E23:F23"/>
    </sheetView>
  </sheetViews>
  <sheetFormatPr defaultColWidth="12.88671875" defaultRowHeight="13.5" customHeight="1"/>
  <cols>
    <col min="1" max="16384" width="12.88671875" style="599"/>
  </cols>
  <sheetData>
    <row r="1" spans="1:19" s="38" customFormat="1" ht="54.9" customHeight="1">
      <c r="A1" s="28"/>
      <c r="B1" s="28"/>
    </row>
    <row r="2" spans="1:19" s="300" customFormat="1" ht="5.0999999999999996" customHeight="1">
      <c r="D2" s="83"/>
    </row>
    <row r="3" spans="1:19" s="300" customFormat="1" ht="20.100000000000001" customHeight="1">
      <c r="A3" s="426" t="s">
        <v>2267</v>
      </c>
      <c r="B3" s="485"/>
      <c r="C3" s="46"/>
      <c r="D3" s="83"/>
      <c r="E3" s="445"/>
    </row>
    <row r="4" spans="1:19" s="26" customFormat="1" ht="20.100000000000001" customHeight="1" thickBot="1">
      <c r="A4" s="529" t="s">
        <v>159</v>
      </c>
      <c r="B4" s="447"/>
      <c r="C4" s="446"/>
      <c r="D4" s="446"/>
      <c r="E4" s="446"/>
      <c r="F4" s="446"/>
      <c r="G4" s="446"/>
      <c r="H4" s="446"/>
      <c r="I4" s="446"/>
      <c r="J4" s="446"/>
      <c r="K4" s="446"/>
      <c r="L4" s="446"/>
      <c r="M4" s="446"/>
      <c r="N4" s="446"/>
      <c r="O4" s="446"/>
      <c r="P4" s="446"/>
      <c r="Q4" s="446"/>
      <c r="R4" s="446"/>
      <c r="S4" s="446"/>
    </row>
    <row r="5" spans="1:19" s="38" customFormat="1" ht="9.9" customHeight="1" thickTop="1" thickBot="1">
      <c r="A5" s="35"/>
      <c r="B5" s="321"/>
      <c r="E5" s="427"/>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D7" s="147"/>
      <c r="E7" s="28" t="s">
        <v>1451</v>
      </c>
      <c r="F7" s="878" t="s">
        <v>1383</v>
      </c>
      <c r="G7" s="26"/>
      <c r="H7" s="26"/>
      <c r="I7" s="26"/>
      <c r="J7" s="26"/>
      <c r="K7" s="26"/>
      <c r="L7" s="26"/>
      <c r="M7" s="26"/>
      <c r="N7" s="26"/>
      <c r="O7" s="26"/>
      <c r="P7" s="26"/>
      <c r="Q7" s="26"/>
      <c r="R7" s="26"/>
      <c r="S7" s="147"/>
    </row>
    <row r="8" spans="1:19" s="38" customFormat="1" ht="13.5" customHeight="1">
      <c r="A8" s="3646">
        <f>Audit!C12</f>
        <v>43586</v>
      </c>
      <c r="B8" s="3651"/>
      <c r="C8" s="321"/>
      <c r="D8" s="412"/>
      <c r="E8" s="26"/>
      <c r="F8" s="315"/>
      <c r="G8" s="26"/>
      <c r="H8" s="26"/>
      <c r="I8" s="26"/>
      <c r="J8" s="26"/>
      <c r="K8" s="26"/>
      <c r="L8" s="26"/>
      <c r="M8" s="26"/>
      <c r="N8" s="26"/>
      <c r="O8" s="26"/>
      <c r="P8" s="26"/>
      <c r="Q8" s="26"/>
      <c r="R8" s="26"/>
      <c r="S8" s="147"/>
    </row>
    <row r="9" spans="1:19" s="38" customFormat="1" ht="13.5" customHeight="1" thickBot="1">
      <c r="A9" s="172" t="s">
        <v>14</v>
      </c>
      <c r="B9" s="173"/>
      <c r="D9" s="412"/>
      <c r="E9" s="38" t="s">
        <v>1385</v>
      </c>
      <c r="F9" s="26"/>
      <c r="G9" s="26"/>
      <c r="H9" s="26"/>
      <c r="I9" s="26"/>
      <c r="J9" s="26"/>
      <c r="K9" s="26"/>
      <c r="L9" s="26"/>
      <c r="M9" s="26"/>
      <c r="N9" s="26"/>
      <c r="O9" s="26"/>
      <c r="P9" s="26"/>
      <c r="Q9" s="26"/>
      <c r="R9" s="26"/>
      <c r="S9" s="147"/>
    </row>
    <row r="10" spans="1:19" s="38" customFormat="1" ht="13.5" customHeight="1" thickBot="1">
      <c r="A10" s="3611" t="s">
        <v>1306</v>
      </c>
      <c r="B10" s="3612"/>
      <c r="D10" s="412"/>
      <c r="E10" s="2619" t="s">
        <v>2192</v>
      </c>
      <c r="F10" s="26"/>
      <c r="G10" s="26"/>
      <c r="H10" s="26"/>
      <c r="I10" s="26"/>
      <c r="J10" s="26"/>
      <c r="K10" s="26"/>
      <c r="L10" s="26"/>
      <c r="M10" s="26"/>
      <c r="N10" s="26"/>
      <c r="O10" s="26"/>
      <c r="P10" s="26"/>
      <c r="Q10" s="26"/>
      <c r="R10" s="26"/>
      <c r="S10" s="147"/>
    </row>
    <row r="11" spans="1:19" s="38" customFormat="1" ht="13.5" customHeight="1" thickBot="1">
      <c r="A11" s="3611" t="s">
        <v>2268</v>
      </c>
      <c r="B11" s="3639"/>
      <c r="D11" s="412"/>
      <c r="E11" s="2619" t="s">
        <v>2190</v>
      </c>
      <c r="F11" s="53"/>
      <c r="G11" s="53"/>
      <c r="H11" s="53"/>
      <c r="I11" s="53"/>
      <c r="J11" s="53"/>
      <c r="K11" s="53"/>
      <c r="L11" s="53"/>
      <c r="M11" s="53"/>
      <c r="N11" s="53"/>
      <c r="O11" s="53"/>
      <c r="P11" s="53"/>
      <c r="Q11" s="53"/>
      <c r="R11" s="53"/>
      <c r="S11" s="379"/>
    </row>
    <row r="12" spans="1:19" s="38" customFormat="1" ht="13.5" customHeight="1" thickBot="1">
      <c r="A12" s="3611" t="s">
        <v>2265</v>
      </c>
      <c r="B12" s="3639"/>
      <c r="D12" s="412"/>
      <c r="E12" s="26"/>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56" t="s">
        <v>799</v>
      </c>
      <c r="B14" s="221">
        <f>B16</f>
        <v>2010</v>
      </c>
      <c r="C14" s="321"/>
      <c r="D14" s="321"/>
      <c r="E14" s="113"/>
      <c r="F14" s="26"/>
      <c r="G14" s="26"/>
      <c r="H14" s="26"/>
      <c r="I14" s="26"/>
      <c r="J14" s="26"/>
      <c r="K14" s="26"/>
      <c r="L14" s="26"/>
      <c r="M14" s="26"/>
      <c r="N14" s="26"/>
      <c r="O14" s="26"/>
      <c r="P14" s="26"/>
      <c r="Q14" s="26"/>
      <c r="R14" s="26"/>
      <c r="S14" s="147"/>
    </row>
    <row r="15" spans="1:19" s="38" customFormat="1" ht="13.5" customHeight="1">
      <c r="A15" s="26" t="s">
        <v>54</v>
      </c>
      <c r="B15" s="221">
        <f>B16</f>
        <v>2010</v>
      </c>
      <c r="C15" s="321"/>
      <c r="D15" s="321"/>
      <c r="E15" s="113"/>
      <c r="F15" s="26"/>
      <c r="G15" s="26"/>
      <c r="H15" s="26"/>
      <c r="I15" s="26"/>
      <c r="J15" s="26"/>
      <c r="K15" s="26"/>
      <c r="L15" s="26"/>
      <c r="M15" s="26"/>
      <c r="N15" s="26"/>
      <c r="O15" s="26"/>
      <c r="P15" s="26"/>
      <c r="Q15" s="26"/>
      <c r="R15" s="26"/>
      <c r="S15" s="147"/>
    </row>
    <row r="16" spans="1:19" s="38" customFormat="1" ht="13.5" customHeight="1">
      <c r="A16" s="56" t="s">
        <v>436</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929</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381" t="s">
        <v>2270</v>
      </c>
      <c r="F20" s="163"/>
      <c r="G20" s="163"/>
      <c r="H20" s="163"/>
      <c r="I20" s="163"/>
      <c r="J20" s="163"/>
      <c r="K20" s="163"/>
      <c r="L20" s="163"/>
      <c r="M20" s="163"/>
      <c r="N20" s="163"/>
      <c r="O20" s="163"/>
      <c r="P20" s="163"/>
      <c r="Q20" s="163"/>
      <c r="R20" s="163"/>
      <c r="S20" s="382"/>
    </row>
    <row r="21" spans="1:19" s="38" customFormat="1" ht="13.5" customHeight="1" thickTop="1">
      <c r="A21" s="35"/>
      <c r="B21" s="321"/>
      <c r="C21" s="32"/>
      <c r="E21" s="427"/>
    </row>
    <row r="22" spans="1:19" s="38" customFormat="1" ht="13.5" customHeight="1" thickBot="1"/>
    <row r="23" spans="1:19" s="573" customFormat="1" ht="13.5" customHeight="1" thickTop="1" thickBot="1">
      <c r="A23" s="1038" t="str">
        <f>CONCATENATE("Damage cost values in £ per tonne (",B14," prices, ",B15," values)")</f>
        <v>Damage cost values in £ per tonne (2010 prices, 2010 values)</v>
      </c>
      <c r="B23" s="783"/>
      <c r="C23" s="363"/>
      <c r="D23" s="363"/>
      <c r="E23" s="363"/>
      <c r="F23" s="784"/>
      <c r="G23" s="38"/>
    </row>
    <row r="24" spans="1:19" s="38" customFormat="1" ht="13.5" customHeight="1" thickTop="1" thickBot="1">
      <c r="A24" s="99"/>
      <c r="B24" s="100"/>
      <c r="C24" s="438"/>
      <c r="D24" s="508"/>
      <c r="E24" s="687" t="s">
        <v>1384</v>
      </c>
      <c r="F24" s="698"/>
    </row>
    <row r="25" spans="1:19" s="38" customFormat="1" ht="13.5" customHeight="1" thickTop="1">
      <c r="A25" s="104"/>
      <c r="B25" s="173"/>
      <c r="C25" s="293"/>
      <c r="D25" s="770" t="s">
        <v>1483</v>
      </c>
      <c r="E25" s="771" t="s">
        <v>564</v>
      </c>
      <c r="F25" s="772" t="s">
        <v>565</v>
      </c>
      <c r="M25" s="26"/>
    </row>
    <row r="26" spans="1:19" s="38" customFormat="1" ht="13.5" customHeight="1" thickBot="1">
      <c r="A26" s="464"/>
      <c r="B26" s="465"/>
      <c r="C26" s="439"/>
      <c r="D26" s="173"/>
      <c r="E26" s="3247"/>
      <c r="F26" s="3248"/>
      <c r="H26"/>
      <c r="M26" s="26"/>
    </row>
    <row r="27" spans="1:19" s="38" customFormat="1" ht="13.5" customHeight="1" thickTop="1">
      <c r="A27" s="3266"/>
      <c r="B27" s="3267" t="s">
        <v>2144</v>
      </c>
      <c r="C27" s="3268"/>
      <c r="D27" s="3249">
        <v>5526.5369224528122</v>
      </c>
      <c r="E27" s="3249">
        <v>565.04324057652968</v>
      </c>
      <c r="F27" s="3271">
        <v>20641.621477270342</v>
      </c>
      <c r="H27"/>
    </row>
    <row r="28" spans="1:19" s="38" customFormat="1" ht="13.5" customHeight="1">
      <c r="A28" s="3269"/>
      <c r="B28" s="82" t="s">
        <v>2145</v>
      </c>
      <c r="C28" s="412"/>
      <c r="D28" s="3251">
        <v>10406.486751878816</v>
      </c>
      <c r="E28" s="3251">
        <v>939.95790232150341</v>
      </c>
      <c r="F28" s="3272">
        <v>39880.423443934866</v>
      </c>
      <c r="H28"/>
    </row>
    <row r="29" spans="1:19" s="38" customFormat="1" ht="13.5" customHeight="1">
      <c r="A29" s="3269"/>
      <c r="B29" s="82" t="s">
        <v>2146</v>
      </c>
      <c r="C29" s="412"/>
      <c r="D29" s="3251">
        <v>8031.7175827976971</v>
      </c>
      <c r="E29" s="3251">
        <v>757.51017009693567</v>
      </c>
      <c r="F29" s="3272">
        <v>30518.090764816716</v>
      </c>
      <c r="H29"/>
    </row>
    <row r="30" spans="1:19" s="38" customFormat="1" ht="13.5" customHeight="1">
      <c r="A30" s="3269"/>
      <c r="B30" s="82" t="s">
        <v>2147</v>
      </c>
      <c r="C30" s="412"/>
      <c r="D30" s="3251">
        <v>2233.8264212560425</v>
      </c>
      <c r="E30" s="3251">
        <v>312.07231117549622</v>
      </c>
      <c r="F30" s="3272">
        <v>7660.3803825166115</v>
      </c>
      <c r="H30"/>
    </row>
    <row r="31" spans="1:19" ht="13.5" customHeight="1">
      <c r="A31" s="623"/>
      <c r="B31" s="82" t="s">
        <v>2160</v>
      </c>
      <c r="C31" s="2904"/>
      <c r="D31" s="3251">
        <v>9539.0254722476438</v>
      </c>
      <c r="E31" s="3251">
        <v>873.31296464843786</v>
      </c>
      <c r="F31" s="3272">
        <v>36460.528495027873</v>
      </c>
      <c r="H31"/>
    </row>
    <row r="32" spans="1:19" ht="13.5" customHeight="1">
      <c r="A32" s="3269"/>
      <c r="B32" s="82" t="s">
        <v>2148</v>
      </c>
      <c r="C32" s="412"/>
      <c r="D32" s="3251">
        <v>51279.601207300831</v>
      </c>
      <c r="E32" s="3251">
        <v>4080.1397517567475</v>
      </c>
      <c r="F32" s="3272">
        <v>201019.3249193154</v>
      </c>
      <c r="H32"/>
    </row>
    <row r="33" spans="1:9" ht="13.5" customHeight="1">
      <c r="A33" s="3269"/>
      <c r="B33" s="82" t="s">
        <v>2149</v>
      </c>
      <c r="C33" s="412"/>
      <c r="D33" s="3251">
        <v>52572.423754717238</v>
      </c>
      <c r="E33" s="3251">
        <v>4179.464159794341</v>
      </c>
      <c r="F33" s="3272">
        <v>206116.1717798718</v>
      </c>
      <c r="H33"/>
    </row>
    <row r="34" spans="1:9" ht="13.5" customHeight="1">
      <c r="A34" s="3269"/>
      <c r="B34" s="82" t="s">
        <v>2150</v>
      </c>
      <c r="C34" s="412"/>
      <c r="D34" s="3251">
        <v>27928.785451567139</v>
      </c>
      <c r="E34" s="3251">
        <v>2286.1534411311213</v>
      </c>
      <c r="F34" s="3272">
        <v>108960.64895184722</v>
      </c>
      <c r="H34"/>
    </row>
    <row r="35" spans="1:9" ht="13.5" customHeight="1">
      <c r="A35" s="3269"/>
      <c r="B35" s="82" t="s">
        <v>2151</v>
      </c>
      <c r="C35" s="412"/>
      <c r="D35" s="3251">
        <v>19618.766381585894</v>
      </c>
      <c r="E35" s="3251">
        <v>1647.714912536092</v>
      </c>
      <c r="F35" s="3272">
        <v>76199.080326175535</v>
      </c>
      <c r="H35"/>
    </row>
    <row r="36" spans="1:9" ht="13.5" customHeight="1">
      <c r="A36" s="3269"/>
      <c r="B36" s="82" t="s">
        <v>2152</v>
      </c>
      <c r="C36" s="412"/>
      <c r="D36" s="3251">
        <v>11768.387751127504</v>
      </c>
      <c r="E36" s="3251">
        <v>1044.5894395935825</v>
      </c>
      <c r="F36" s="3272">
        <v>45249.606435275156</v>
      </c>
      <c r="H36"/>
    </row>
    <row r="37" spans="1:9" ht="13.5" customHeight="1">
      <c r="A37" s="3269"/>
      <c r="B37" s="82" t="s">
        <v>2153</v>
      </c>
      <c r="C37" s="412"/>
      <c r="D37" s="3251">
        <v>14274.130073631699</v>
      </c>
      <c r="E37" s="3251">
        <v>1237.0995202499291</v>
      </c>
      <c r="F37" s="3272">
        <v>55128.290029819109</v>
      </c>
      <c r="H37"/>
    </row>
    <row r="38" spans="1:9" ht="13.5" customHeight="1">
      <c r="A38" s="3269"/>
      <c r="B38" s="82" t="s">
        <v>2154</v>
      </c>
      <c r="C38" s="412"/>
      <c r="D38" s="3251">
        <v>11584.398897384037</v>
      </c>
      <c r="E38" s="3251">
        <v>1030.4540240099782</v>
      </c>
      <c r="F38" s="3272">
        <v>44524.245469492329</v>
      </c>
      <c r="H38"/>
    </row>
    <row r="39" spans="1:9" ht="13.5" customHeight="1">
      <c r="A39" s="3269"/>
      <c r="B39" s="82" t="s">
        <v>2155</v>
      </c>
      <c r="C39" s="412"/>
      <c r="D39" s="3251">
        <v>9667.8561379843377</v>
      </c>
      <c r="E39" s="3251">
        <v>883.21071096865637</v>
      </c>
      <c r="F39" s="3272">
        <v>36968.432828469216</v>
      </c>
      <c r="H39"/>
    </row>
    <row r="40" spans="1:9" ht="13.5" customHeight="1">
      <c r="A40" s="3269"/>
      <c r="B40" s="82" t="s">
        <v>2156</v>
      </c>
      <c r="C40" s="412"/>
      <c r="D40" s="3251">
        <v>7437.9275223082614</v>
      </c>
      <c r="E40" s="3251">
        <v>711.89072574660122</v>
      </c>
      <c r="F40" s="3272">
        <v>28177.122151851756</v>
      </c>
      <c r="H40"/>
    </row>
    <row r="41" spans="1:9" ht="13.5" customHeight="1" thickBot="1">
      <c r="A41" s="3275"/>
      <c r="B41" s="93" t="s">
        <v>2157</v>
      </c>
      <c r="C41" s="3276"/>
      <c r="D41" s="3273">
        <v>3736.557522921868</v>
      </c>
      <c r="E41" s="3273">
        <v>427.52348226693414</v>
      </c>
      <c r="F41" s="3274">
        <v>13584.774502260458</v>
      </c>
      <c r="H41"/>
    </row>
    <row r="42" spans="1:9" ht="13.5" customHeight="1" thickTop="1">
      <c r="A42"/>
      <c r="B42"/>
      <c r="C42"/>
      <c r="D42"/>
      <c r="E42"/>
      <c r="F42"/>
      <c r="G42"/>
      <c r="H42"/>
      <c r="I42"/>
    </row>
    <row r="43" spans="1:9" ht="13.5" customHeight="1">
      <c r="A43"/>
      <c r="B43"/>
      <c r="C43"/>
      <c r="D43"/>
      <c r="E43"/>
      <c r="F43"/>
      <c r="G43"/>
      <c r="H43"/>
      <c r="I43"/>
    </row>
    <row r="44" spans="1:9" ht="13.5" customHeight="1">
      <c r="A44"/>
      <c r="B44"/>
      <c r="C44"/>
      <c r="D44"/>
      <c r="E44"/>
      <c r="F44"/>
      <c r="G44"/>
      <c r="H44"/>
      <c r="I44"/>
    </row>
    <row r="45" spans="1:9" ht="13.5" customHeight="1">
      <c r="F45"/>
      <c r="G45"/>
      <c r="H45"/>
      <c r="I45"/>
    </row>
    <row r="46" spans="1:9" ht="13.5" customHeight="1">
      <c r="G46"/>
      <c r="H46"/>
      <c r="I46"/>
    </row>
    <row r="47" spans="1:9" ht="13.5" customHeight="1">
      <c r="G47"/>
      <c r="H47"/>
      <c r="I47"/>
    </row>
    <row r="48" spans="1:9" ht="13.5" customHeight="1">
      <c r="G48"/>
      <c r="H48"/>
      <c r="I48"/>
    </row>
    <row r="49" spans="7:9" ht="13.5" customHeight="1">
      <c r="G49"/>
      <c r="H49"/>
      <c r="I49"/>
    </row>
    <row r="50" spans="7:9" ht="13.5" customHeight="1">
      <c r="G50"/>
      <c r="H50"/>
      <c r="I50"/>
    </row>
    <row r="51" spans="7:9" ht="13.5" customHeight="1">
      <c r="G51"/>
      <c r="H51"/>
      <c r="I51"/>
    </row>
    <row r="52" spans="7:9" ht="13.5" customHeight="1">
      <c r="G52"/>
      <c r="H52"/>
      <c r="I52"/>
    </row>
    <row r="53" spans="7:9" ht="13.5" customHeight="1">
      <c r="G53"/>
      <c r="H53"/>
      <c r="I53"/>
    </row>
    <row r="54" spans="7:9" ht="13.5" customHeight="1">
      <c r="G54"/>
      <c r="H54"/>
      <c r="I54"/>
    </row>
    <row r="55" spans="7:9" ht="13.5" customHeight="1">
      <c r="G55"/>
      <c r="H55"/>
      <c r="I55"/>
    </row>
    <row r="56" spans="7:9" ht="13.5" customHeight="1">
      <c r="G56"/>
      <c r="H56"/>
      <c r="I56"/>
    </row>
    <row r="57" spans="7:9" ht="13.5" customHeight="1">
      <c r="G57"/>
      <c r="H57"/>
      <c r="I57"/>
    </row>
    <row r="58" spans="7:9" ht="13.5" customHeight="1">
      <c r="G58"/>
      <c r="H58"/>
      <c r="I58"/>
    </row>
    <row r="59" spans="7:9" ht="13.5" customHeight="1">
      <c r="G59"/>
      <c r="H59"/>
      <c r="I59"/>
    </row>
  </sheetData>
  <sheetProtection sheet="1" objects="1" scenarios="1"/>
  <mergeCells count="9">
    <mergeCell ref="E6:S6"/>
    <mergeCell ref="A18:B18"/>
    <mergeCell ref="A19:B19"/>
    <mergeCell ref="A20:B20"/>
    <mergeCell ref="A7:B7"/>
    <mergeCell ref="A8:B8"/>
    <mergeCell ref="A10:B10"/>
    <mergeCell ref="A12:B12"/>
    <mergeCell ref="A11:B11"/>
  </mergeCells>
  <phoneticPr fontId="8" type="noConversion"/>
  <hyperlinks>
    <hyperlink ref="F7" r:id="rId1"/>
    <hyperlink ref="A11" location="Contents!A1" display="Contents"/>
    <hyperlink ref="A11:B11" r:id="rId2" display="WebTAG Unit 3.3.3"/>
    <hyperlink ref="A10" location="Contents!A1" display="Contents"/>
    <hyperlink ref="A10:B10" location="Contents!A1" tooltip="Contents page" display="Contents"/>
    <hyperlink ref="A12:B12" r:id="rId3" tooltip="Unit A3  Environmental Impact Appraisal" display="WebTAG Unit A 3"/>
  </hyperlinks>
  <pageMargins left="0.75" right="0.75" top="1" bottom="1" header="0.5" footer="0.5"/>
  <pageSetup paperSize="9" orientation="portrait" r:id="rId4"/>
  <headerFooter alignWithMargins="0"/>
  <drawing r:id="rId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tabColor indexed="10"/>
  </sheetPr>
  <dimension ref="A1:S44"/>
  <sheetViews>
    <sheetView showGridLines="0" topLeftCell="A7" zoomScale="85" zoomScaleNormal="85" workbookViewId="0">
      <selection activeCell="E23" sqref="E23:F23"/>
    </sheetView>
  </sheetViews>
  <sheetFormatPr defaultColWidth="12.88671875" defaultRowHeight="13.5" customHeight="1"/>
  <cols>
    <col min="1" max="16384" width="12.88671875" style="599"/>
  </cols>
  <sheetData>
    <row r="1" spans="1:19" s="3241" customFormat="1" ht="54.9" customHeight="1">
      <c r="A1" s="28"/>
      <c r="B1" s="28"/>
    </row>
    <row r="2" spans="1:19" s="300" customFormat="1" ht="5.0999999999999996" customHeight="1">
      <c r="D2" s="83"/>
    </row>
    <row r="3" spans="1:19" s="300" customFormat="1" ht="20.100000000000001" customHeight="1">
      <c r="A3" s="426" t="s">
        <v>2267</v>
      </c>
      <c r="B3" s="485"/>
      <c r="C3" s="46"/>
      <c r="D3" s="83"/>
      <c r="E3" s="445"/>
    </row>
    <row r="4" spans="1:19" s="3242" customFormat="1" ht="20.100000000000001" customHeight="1" thickBot="1">
      <c r="A4" s="529" t="s">
        <v>159</v>
      </c>
      <c r="B4" s="447"/>
      <c r="C4" s="446"/>
      <c r="D4" s="446"/>
      <c r="E4" s="446"/>
      <c r="F4" s="446"/>
      <c r="G4" s="446"/>
      <c r="H4" s="446"/>
      <c r="I4" s="446"/>
      <c r="J4" s="446"/>
      <c r="K4" s="446"/>
      <c r="L4" s="446"/>
      <c r="M4" s="446"/>
      <c r="N4" s="446"/>
      <c r="O4" s="446"/>
      <c r="P4" s="446"/>
      <c r="Q4" s="446"/>
      <c r="R4" s="446"/>
      <c r="S4" s="446"/>
    </row>
    <row r="5" spans="1:19" s="3241" customFormat="1" ht="9.9" customHeight="1" thickTop="1" thickBot="1">
      <c r="A5" s="35"/>
      <c r="B5" s="321"/>
      <c r="E5" s="427"/>
    </row>
    <row r="6" spans="1:19" s="3241"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241" customFormat="1" ht="13.5" customHeight="1">
      <c r="A7" s="3644" t="str">
        <f>Audit!A12</f>
        <v>May 2019 v1.12</v>
      </c>
      <c r="B7" s="3651"/>
      <c r="D7" s="147"/>
      <c r="E7" s="28" t="s">
        <v>1451</v>
      </c>
      <c r="F7" s="878" t="s">
        <v>1383</v>
      </c>
      <c r="G7" s="3242"/>
      <c r="H7" s="3242"/>
      <c r="I7" s="3242"/>
      <c r="J7" s="3242"/>
      <c r="K7" s="3242"/>
      <c r="L7" s="3242"/>
      <c r="M7" s="3242"/>
      <c r="N7" s="3242"/>
      <c r="O7" s="3242"/>
      <c r="P7" s="3242"/>
      <c r="Q7" s="3242"/>
      <c r="R7" s="3242"/>
      <c r="S7" s="147"/>
    </row>
    <row r="8" spans="1:19" s="3241" customFormat="1" ht="13.5" customHeight="1">
      <c r="A8" s="3646">
        <f>Audit!C12</f>
        <v>43586</v>
      </c>
      <c r="B8" s="3651"/>
      <c r="C8" s="321"/>
      <c r="D8" s="412"/>
      <c r="E8" s="3242"/>
      <c r="F8" s="315"/>
      <c r="G8" s="3242"/>
      <c r="H8" s="3242"/>
      <c r="I8" s="3242"/>
      <c r="J8" s="3242"/>
      <c r="K8" s="3242"/>
      <c r="L8" s="3242"/>
      <c r="M8" s="3242"/>
      <c r="N8" s="3242"/>
      <c r="O8" s="3242"/>
      <c r="P8" s="3242"/>
      <c r="Q8" s="3242"/>
      <c r="R8" s="3242"/>
      <c r="S8" s="147"/>
    </row>
    <row r="9" spans="1:19" s="3241" customFormat="1" ht="13.5" customHeight="1" thickBot="1">
      <c r="A9" s="3240" t="s">
        <v>14</v>
      </c>
      <c r="B9" s="173"/>
      <c r="D9" s="412"/>
      <c r="E9" s="3241" t="s">
        <v>1385</v>
      </c>
      <c r="F9" s="3242"/>
      <c r="G9" s="3242"/>
      <c r="H9" s="3242"/>
      <c r="I9" s="3242"/>
      <c r="J9" s="3242"/>
      <c r="K9" s="3242"/>
      <c r="L9" s="3242"/>
      <c r="M9" s="3242"/>
      <c r="N9" s="3242"/>
      <c r="O9" s="3242"/>
      <c r="P9" s="3242"/>
      <c r="Q9" s="3242"/>
      <c r="R9" s="3242"/>
      <c r="S9" s="147"/>
    </row>
    <row r="10" spans="1:19" s="3241" customFormat="1" ht="13.5" customHeight="1" thickBot="1">
      <c r="A10" s="3611" t="s">
        <v>1306</v>
      </c>
      <c r="B10" s="3612"/>
      <c r="D10" s="412"/>
      <c r="E10" s="2619" t="s">
        <v>2191</v>
      </c>
      <c r="F10" s="3242"/>
      <c r="G10" s="3242"/>
      <c r="H10" s="3242"/>
      <c r="I10" s="3242"/>
      <c r="J10" s="3242"/>
      <c r="K10" s="3242"/>
      <c r="L10" s="3242"/>
      <c r="M10" s="3242"/>
      <c r="N10" s="3242"/>
      <c r="O10" s="3242"/>
      <c r="P10" s="3242"/>
      <c r="Q10" s="3242"/>
      <c r="R10" s="3242"/>
      <c r="S10" s="147"/>
    </row>
    <row r="11" spans="1:19" s="3241" customFormat="1" ht="13.5" customHeight="1" thickBot="1">
      <c r="A11" s="3611" t="s">
        <v>2268</v>
      </c>
      <c r="B11" s="3639"/>
      <c r="D11" s="412"/>
      <c r="E11" s="2619" t="s">
        <v>2190</v>
      </c>
      <c r="F11" s="3244"/>
      <c r="G11" s="3244"/>
      <c r="H11" s="3244"/>
      <c r="I11" s="3244"/>
      <c r="J11" s="3244"/>
      <c r="K11" s="3244"/>
      <c r="L11" s="3244"/>
      <c r="M11" s="3244"/>
      <c r="N11" s="3244"/>
      <c r="O11" s="3244"/>
      <c r="P11" s="3244"/>
      <c r="Q11" s="3244"/>
      <c r="R11" s="3244"/>
      <c r="S11" s="379"/>
    </row>
    <row r="12" spans="1:19" s="3241" customFormat="1" ht="13.5" customHeight="1" thickBot="1">
      <c r="A12" s="3611" t="s">
        <v>2265</v>
      </c>
      <c r="B12" s="3639"/>
      <c r="D12" s="412"/>
      <c r="E12" s="3242"/>
      <c r="F12" s="3242"/>
      <c r="G12" s="3242"/>
      <c r="H12" s="3242"/>
      <c r="I12" s="3242"/>
      <c r="J12" s="3242"/>
      <c r="K12" s="3242"/>
      <c r="L12" s="3242"/>
      <c r="M12" s="3242"/>
      <c r="N12" s="3242"/>
      <c r="O12" s="3242"/>
      <c r="P12" s="3242"/>
      <c r="Q12" s="3242"/>
      <c r="R12" s="3242"/>
      <c r="S12" s="147"/>
    </row>
    <row r="13" spans="1:19" s="3241" customFormat="1" ht="13.5" customHeight="1">
      <c r="A13" s="3240" t="s">
        <v>252</v>
      </c>
      <c r="B13" s="194"/>
      <c r="C13" s="321"/>
      <c r="D13" s="321"/>
      <c r="E13" s="3243"/>
      <c r="F13" s="3242"/>
      <c r="G13" s="3242"/>
      <c r="H13" s="3242"/>
      <c r="I13" s="3242"/>
      <c r="J13" s="3242"/>
      <c r="K13" s="3242"/>
      <c r="L13" s="3242"/>
      <c r="M13" s="3242"/>
      <c r="N13" s="3242"/>
      <c r="O13" s="3242"/>
      <c r="P13" s="3242"/>
      <c r="Q13" s="3242"/>
      <c r="R13" s="3242"/>
      <c r="S13" s="147"/>
    </row>
    <row r="14" spans="1:19" s="3241" customFormat="1" ht="13.5" customHeight="1">
      <c r="A14" s="56" t="s">
        <v>799</v>
      </c>
      <c r="B14" s="221">
        <f>B16</f>
        <v>2010</v>
      </c>
      <c r="C14" s="321"/>
      <c r="D14" s="321"/>
      <c r="E14" s="113"/>
      <c r="F14" s="3242"/>
      <c r="G14" s="3242"/>
      <c r="H14" s="3242"/>
      <c r="I14" s="3242"/>
      <c r="J14" s="3242"/>
      <c r="K14" s="3242"/>
      <c r="L14" s="3242"/>
      <c r="M14" s="3242"/>
      <c r="N14" s="3242"/>
      <c r="O14" s="3242"/>
      <c r="P14" s="3242"/>
      <c r="Q14" s="3242"/>
      <c r="R14" s="3242"/>
      <c r="S14" s="147"/>
    </row>
    <row r="15" spans="1:19" s="3241" customFormat="1" ht="13.5" customHeight="1">
      <c r="A15" s="3242" t="s">
        <v>54</v>
      </c>
      <c r="B15" s="221">
        <f>B16</f>
        <v>2010</v>
      </c>
      <c r="C15" s="321"/>
      <c r="D15" s="321"/>
      <c r="E15" s="113"/>
      <c r="F15" s="3242"/>
      <c r="G15" s="3242"/>
      <c r="H15" s="3242"/>
      <c r="I15" s="3242"/>
      <c r="J15" s="3242"/>
      <c r="K15" s="3242"/>
      <c r="L15" s="3242"/>
      <c r="M15" s="3242"/>
      <c r="N15" s="3242"/>
      <c r="O15" s="3242"/>
      <c r="P15" s="3242"/>
      <c r="Q15" s="3242"/>
      <c r="R15" s="3242"/>
      <c r="S15" s="147"/>
    </row>
    <row r="16" spans="1:19" s="3241" customFormat="1" ht="13.5" customHeight="1">
      <c r="A16" s="56" t="s">
        <v>436</v>
      </c>
      <c r="B16" s="1221">
        <v>2010</v>
      </c>
      <c r="C16" s="321"/>
      <c r="D16" s="321"/>
      <c r="E16" s="113"/>
      <c r="F16" s="3242"/>
      <c r="G16" s="3242"/>
      <c r="H16" s="3242"/>
      <c r="I16" s="3242"/>
      <c r="J16" s="3242"/>
      <c r="K16" s="3242"/>
      <c r="L16" s="3242"/>
      <c r="M16" s="3242"/>
      <c r="N16" s="3242"/>
      <c r="O16" s="3242"/>
      <c r="P16" s="3242"/>
      <c r="Q16" s="3242"/>
      <c r="R16" s="3242"/>
      <c r="S16" s="147"/>
    </row>
    <row r="17" spans="1:19" s="3241" customFormat="1" ht="13.5" customHeight="1">
      <c r="A17" s="169" t="s">
        <v>253</v>
      </c>
      <c r="B17" s="170"/>
      <c r="C17" s="321"/>
      <c r="D17" s="321"/>
      <c r="E17" s="207"/>
      <c r="F17" s="3242"/>
      <c r="G17" s="3242"/>
      <c r="H17" s="3242"/>
      <c r="I17" s="3242"/>
      <c r="J17" s="3242"/>
      <c r="K17" s="3242"/>
      <c r="L17" s="3242"/>
      <c r="M17" s="3242"/>
      <c r="N17" s="3242"/>
      <c r="O17" s="3242"/>
      <c r="P17" s="3242"/>
      <c r="Q17" s="3242"/>
      <c r="R17" s="3242"/>
      <c r="S17" s="147"/>
    </row>
    <row r="18" spans="1:19" s="3241" customFormat="1" ht="13.5" customHeight="1">
      <c r="A18" s="3615"/>
      <c r="B18" s="3615"/>
      <c r="C18" s="321"/>
      <c r="D18" s="321"/>
      <c r="E18" s="113"/>
      <c r="F18" s="3242"/>
      <c r="G18" s="3242"/>
      <c r="H18" s="3242"/>
      <c r="I18" s="3242"/>
      <c r="J18" s="3242"/>
      <c r="K18" s="3242"/>
      <c r="L18" s="3242"/>
      <c r="M18" s="3242"/>
      <c r="N18" s="3242"/>
      <c r="O18" s="3242"/>
      <c r="P18" s="3242"/>
      <c r="Q18" s="3242"/>
      <c r="R18" s="3242"/>
      <c r="S18" s="147"/>
    </row>
    <row r="19" spans="1:19" s="3241" customFormat="1" ht="13.5" customHeight="1">
      <c r="A19" s="3615"/>
      <c r="B19" s="3615"/>
      <c r="C19" s="321"/>
      <c r="D19" s="321"/>
      <c r="E19" s="113" t="s">
        <v>929</v>
      </c>
      <c r="F19" s="3242"/>
      <c r="G19" s="3242"/>
      <c r="H19" s="3242"/>
      <c r="I19" s="3242"/>
      <c r="J19" s="3242"/>
      <c r="K19" s="3242"/>
      <c r="L19" s="3242"/>
      <c r="M19" s="3242"/>
      <c r="N19" s="3242"/>
      <c r="O19" s="3242"/>
      <c r="P19" s="3242"/>
      <c r="Q19" s="3242"/>
      <c r="R19" s="3242"/>
      <c r="S19" s="147"/>
    </row>
    <row r="20" spans="1:19" s="3241" customFormat="1" ht="13.5" customHeight="1" thickBot="1">
      <c r="A20" s="3615"/>
      <c r="B20" s="3615"/>
      <c r="C20" s="321"/>
      <c r="D20" s="412"/>
      <c r="E20" s="381" t="s">
        <v>2270</v>
      </c>
      <c r="F20" s="163"/>
      <c r="G20" s="163"/>
      <c r="H20" s="163"/>
      <c r="I20" s="163"/>
      <c r="J20" s="163"/>
      <c r="K20" s="163"/>
      <c r="L20" s="163"/>
      <c r="M20" s="163"/>
      <c r="N20" s="163"/>
      <c r="O20" s="163"/>
      <c r="P20" s="163"/>
      <c r="Q20" s="163"/>
      <c r="R20" s="163"/>
      <c r="S20" s="382"/>
    </row>
    <row r="21" spans="1:19" s="3241" customFormat="1" ht="13.5" customHeight="1" thickTop="1" thickBot="1">
      <c r="A21" s="35"/>
      <c r="B21" s="321"/>
      <c r="C21" s="32"/>
      <c r="E21" s="427"/>
    </row>
    <row r="22" spans="1:19" s="3241" customFormat="1" ht="13.5" customHeight="1" thickTop="1" thickBot="1">
      <c r="A22" s="1038" t="str">
        <f>CONCATENATE("Damage cost values in £ per tonne (",B14," prices, ",B15," values)")</f>
        <v>Damage cost values in £ per tonne (2010 prices, 2010 values)</v>
      </c>
      <c r="B22" s="783"/>
      <c r="C22" s="363"/>
      <c r="D22" s="363"/>
      <c r="E22" s="363"/>
      <c r="F22" s="784"/>
      <c r="G22" s="784"/>
      <c r="H22" s="784"/>
      <c r="I22" s="784"/>
      <c r="J22" s="784"/>
    </row>
    <row r="23" spans="1:19" s="3245" customFormat="1" ht="13.5" customHeight="1" thickTop="1" thickBot="1">
      <c r="A23" s="99"/>
      <c r="B23" s="100"/>
      <c r="C23" s="438"/>
      <c r="D23" s="508"/>
      <c r="E23" s="3246" t="s">
        <v>2176</v>
      </c>
      <c r="F23" s="698"/>
      <c r="G23" s="508"/>
      <c r="H23" s="508"/>
      <c r="I23" s="3246" t="s">
        <v>2177</v>
      </c>
      <c r="J23" s="698"/>
    </row>
    <row r="24" spans="1:19" s="3241" customFormat="1" ht="13.5" customHeight="1" thickTop="1" thickBot="1">
      <c r="A24" s="99"/>
      <c r="B24" s="100"/>
      <c r="C24" s="438"/>
      <c r="D24" s="508"/>
      <c r="E24" s="687" t="s">
        <v>1384</v>
      </c>
      <c r="F24" s="698"/>
      <c r="G24" s="508"/>
      <c r="H24" s="508"/>
      <c r="I24" s="687" t="s">
        <v>1384</v>
      </c>
      <c r="J24" s="698"/>
    </row>
    <row r="25" spans="1:19" s="3241" customFormat="1" ht="13.5" customHeight="1" thickTop="1">
      <c r="A25" s="104"/>
      <c r="B25" s="173"/>
      <c r="C25" s="293"/>
      <c r="D25" s="770" t="s">
        <v>1483</v>
      </c>
      <c r="E25" s="771" t="s">
        <v>564</v>
      </c>
      <c r="F25" s="772" t="s">
        <v>565</v>
      </c>
      <c r="G25" s="3764" t="s">
        <v>2179</v>
      </c>
      <c r="H25" s="770" t="s">
        <v>1483</v>
      </c>
      <c r="I25" s="771" t="s">
        <v>564</v>
      </c>
      <c r="J25" s="772" t="s">
        <v>565</v>
      </c>
      <c r="M25" s="3242"/>
    </row>
    <row r="26" spans="1:19" s="3241" customFormat="1" ht="13.5" customHeight="1" thickBot="1">
      <c r="A26" s="464"/>
      <c r="B26" s="465"/>
      <c r="C26" s="439"/>
      <c r="D26" s="173"/>
      <c r="E26" s="3247"/>
      <c r="F26" s="3248"/>
      <c r="G26" s="3765"/>
      <c r="H26" s="173"/>
      <c r="I26" s="3247"/>
      <c r="J26" s="3248"/>
      <c r="M26" s="3242"/>
    </row>
    <row r="27" spans="1:19" s="3241" customFormat="1" ht="13.5" customHeight="1" thickTop="1">
      <c r="A27" s="3266"/>
      <c r="B27" s="3278" t="s">
        <v>2175</v>
      </c>
      <c r="C27" s="3268"/>
      <c r="D27" s="3249">
        <v>94358.28245873157</v>
      </c>
      <c r="E27" s="3305">
        <v>20138.616726506069</v>
      </c>
      <c r="F27" s="3250">
        <v>292363.9621182917</v>
      </c>
      <c r="G27" s="3279">
        <v>0.64200000000000002</v>
      </c>
      <c r="H27" s="3249">
        <f>D27*$G27</f>
        <v>60578.01733850567</v>
      </c>
      <c r="I27" s="3305">
        <f t="shared" ref="I27:J27" si="0">E27*$G27</f>
        <v>12928.991938416897</v>
      </c>
      <c r="J27" s="3250">
        <f t="shared" si="0"/>
        <v>187697.66367994327</v>
      </c>
    </row>
    <row r="28" spans="1:19" s="3241" customFormat="1" ht="13.5" customHeight="1">
      <c r="A28" s="3269"/>
      <c r="B28" s="2647" t="s">
        <v>2174</v>
      </c>
      <c r="C28" s="412"/>
      <c r="D28" s="3251">
        <v>173200.40536879862</v>
      </c>
      <c r="E28" s="3306">
        <v>36171.485955160817</v>
      </c>
      <c r="F28" s="3252">
        <v>499550.65427033708</v>
      </c>
      <c r="G28" s="3280">
        <v>1</v>
      </c>
      <c r="H28" s="3251">
        <f>D28*$G28</f>
        <v>173200.40536879862</v>
      </c>
      <c r="I28" s="3306">
        <f t="shared" ref="I28:I41" si="1">E28*$G28</f>
        <v>36171.485955160817</v>
      </c>
      <c r="J28" s="3252">
        <f t="shared" ref="J28:J41" si="2">F28*$G28</f>
        <v>499550.65427033708</v>
      </c>
    </row>
    <row r="29" spans="1:19" s="3241" customFormat="1" ht="13.5" customHeight="1">
      <c r="A29" s="3269"/>
      <c r="B29" s="2647" t="s">
        <v>2173</v>
      </c>
      <c r="C29" s="412"/>
      <c r="D29" s="3251">
        <v>145690.75644831147</v>
      </c>
      <c r="E29" s="3306">
        <v>30526.285845220496</v>
      </c>
      <c r="F29" s="3252">
        <v>424492.87997378653</v>
      </c>
      <c r="G29" s="3280">
        <v>0.92900000000000005</v>
      </c>
      <c r="H29" s="3251">
        <f t="shared" ref="H29:H41" si="3">D29*$G29</f>
        <v>135346.71274048137</v>
      </c>
      <c r="I29" s="3306">
        <f t="shared" si="1"/>
        <v>28358.919550209841</v>
      </c>
      <c r="J29" s="3252">
        <f t="shared" si="2"/>
        <v>394353.88549564773</v>
      </c>
    </row>
    <row r="30" spans="1:19" s="3241" customFormat="1" ht="13.5" customHeight="1">
      <c r="A30" s="3269"/>
      <c r="B30" s="2647" t="s">
        <v>2172</v>
      </c>
      <c r="C30" s="412"/>
      <c r="D30" s="3251">
        <v>30080.433775499525</v>
      </c>
      <c r="E30" s="3306">
        <v>6635.7900151797639</v>
      </c>
      <c r="F30" s="3252">
        <v>86591.122915253713</v>
      </c>
      <c r="G30" s="3280">
        <v>0.94699999999999995</v>
      </c>
      <c r="H30" s="3251">
        <f t="shared" si="3"/>
        <v>28486.170785398048</v>
      </c>
      <c r="I30" s="3306">
        <f t="shared" si="1"/>
        <v>6284.0931443752361</v>
      </c>
      <c r="J30" s="3252">
        <f t="shared" si="2"/>
        <v>82001.793400745257</v>
      </c>
    </row>
    <row r="31" spans="1:19" ht="13.5" customHeight="1">
      <c r="A31" s="3269"/>
      <c r="B31" s="2647" t="s">
        <v>2161</v>
      </c>
      <c r="C31" s="412"/>
      <c r="D31" s="3251">
        <v>181279.81894410617</v>
      </c>
      <c r="E31" s="3306">
        <v>38080.865275659096</v>
      </c>
      <c r="F31" s="3252">
        <v>558045.43962820002</v>
      </c>
      <c r="G31" s="3280">
        <v>0.67300000000000004</v>
      </c>
      <c r="H31" s="3251">
        <f t="shared" si="3"/>
        <v>122001.31814938346</v>
      </c>
      <c r="I31" s="3306">
        <f t="shared" si="1"/>
        <v>25628.422330518573</v>
      </c>
      <c r="J31" s="3252">
        <f t="shared" si="2"/>
        <v>375564.58086977864</v>
      </c>
    </row>
    <row r="32" spans="1:19" ht="13.5" customHeight="1">
      <c r="A32" s="3269"/>
      <c r="B32" s="2647" t="s">
        <v>2171</v>
      </c>
      <c r="C32" s="412"/>
      <c r="D32" s="3251">
        <v>991253.36672068515</v>
      </c>
      <c r="E32" s="3306">
        <v>205575.04110816252</v>
      </c>
      <c r="F32" s="3252">
        <v>3058423.3733732328</v>
      </c>
      <c r="G32" s="3280">
        <v>0.67300000000000004</v>
      </c>
      <c r="H32" s="3251">
        <f t="shared" si="3"/>
        <v>667113.51580302115</v>
      </c>
      <c r="I32" s="3306">
        <f t="shared" si="1"/>
        <v>138352.00266579338</v>
      </c>
      <c r="J32" s="3252">
        <f t="shared" si="2"/>
        <v>2058318.9302801858</v>
      </c>
    </row>
    <row r="33" spans="1:10" ht="13.5" customHeight="1">
      <c r="A33" s="3269"/>
      <c r="B33" s="2647" t="s">
        <v>2170</v>
      </c>
      <c r="C33" s="412"/>
      <c r="D33" s="3251">
        <v>1009926.5755508684</v>
      </c>
      <c r="E33" s="3306">
        <v>209436.4681038284</v>
      </c>
      <c r="F33" s="3252">
        <v>3116067.3290794035</v>
      </c>
      <c r="G33" s="3280">
        <v>0.67300000000000004</v>
      </c>
      <c r="H33" s="3251">
        <f t="shared" si="3"/>
        <v>679680.58534573449</v>
      </c>
      <c r="I33" s="3306">
        <f t="shared" si="1"/>
        <v>140950.74303387653</v>
      </c>
      <c r="J33" s="3252">
        <f t="shared" si="2"/>
        <v>2097113.3124704387</v>
      </c>
    </row>
    <row r="34" spans="1:10" ht="13.5" customHeight="1">
      <c r="A34" s="3269"/>
      <c r="B34" s="2647" t="s">
        <v>2169</v>
      </c>
      <c r="C34" s="412"/>
      <c r="D34" s="3251">
        <v>536892.10721411149</v>
      </c>
      <c r="E34" s="3306">
        <v>111617.81880111533</v>
      </c>
      <c r="F34" s="3252">
        <v>1655816.0038641614</v>
      </c>
      <c r="G34" s="3280">
        <v>0.67300000000000004</v>
      </c>
      <c r="H34" s="3251">
        <f t="shared" si="3"/>
        <v>361328.38815509703</v>
      </c>
      <c r="I34" s="3306">
        <f t="shared" si="1"/>
        <v>75118.792053150624</v>
      </c>
      <c r="J34" s="3252">
        <f t="shared" si="2"/>
        <v>1114364.1706005808</v>
      </c>
    </row>
    <row r="35" spans="1:10" ht="13.5" customHeight="1">
      <c r="A35" s="3269"/>
      <c r="B35" s="2647" t="s">
        <v>2168</v>
      </c>
      <c r="C35" s="412"/>
      <c r="D35" s="3251">
        <v>374917.71538138669</v>
      </c>
      <c r="E35" s="3306">
        <v>78123.185130094964</v>
      </c>
      <c r="F35" s="3252">
        <v>1155803.1376637088</v>
      </c>
      <c r="G35" s="3280">
        <v>0.67300000000000004</v>
      </c>
      <c r="H35" s="3251">
        <f t="shared" si="3"/>
        <v>252319.62245167326</v>
      </c>
      <c r="I35" s="3306">
        <f t="shared" si="1"/>
        <v>52576.903592553914</v>
      </c>
      <c r="J35" s="3252">
        <f t="shared" si="2"/>
        <v>777855.511647676</v>
      </c>
    </row>
    <row r="36" spans="1:10" ht="13.5" customHeight="1">
      <c r="A36" s="3269"/>
      <c r="B36" s="2647" t="s">
        <v>2167</v>
      </c>
      <c r="C36" s="412"/>
      <c r="D36" s="3251">
        <v>223084.55169725328</v>
      </c>
      <c r="E36" s="3306">
        <v>46725.652846324148</v>
      </c>
      <c r="F36" s="3252">
        <v>687096.11244215956</v>
      </c>
      <c r="G36" s="3280">
        <v>0.67300000000000004</v>
      </c>
      <c r="H36" s="3251">
        <f t="shared" si="3"/>
        <v>150135.90329225146</v>
      </c>
      <c r="I36" s="3306">
        <f t="shared" si="1"/>
        <v>31446.364365576155</v>
      </c>
      <c r="J36" s="3252">
        <f t="shared" si="2"/>
        <v>462415.68367357343</v>
      </c>
    </row>
    <row r="37" spans="1:10" ht="13.5" customHeight="1">
      <c r="A37" s="3269"/>
      <c r="B37" s="2647" t="s">
        <v>2166</v>
      </c>
      <c r="C37" s="412"/>
      <c r="D37" s="3251">
        <v>272258.95231824397</v>
      </c>
      <c r="E37" s="3306">
        <v>56894.411723301826</v>
      </c>
      <c r="F37" s="3252">
        <v>838896.8552631815</v>
      </c>
      <c r="G37" s="3280">
        <v>0.67300000000000004</v>
      </c>
      <c r="H37" s="3251">
        <f t="shared" si="3"/>
        <v>183230.27491017821</v>
      </c>
      <c r="I37" s="3306">
        <f t="shared" si="1"/>
        <v>38289.939089782129</v>
      </c>
      <c r="J37" s="3252">
        <f t="shared" si="2"/>
        <v>564577.58359212114</v>
      </c>
    </row>
    <row r="38" spans="1:10" ht="13.5" customHeight="1">
      <c r="A38" s="3269"/>
      <c r="B38" s="2647" t="s">
        <v>2165</v>
      </c>
      <c r="C38" s="412"/>
      <c r="D38" s="3251">
        <v>220252.90617504087</v>
      </c>
      <c r="E38" s="3306">
        <v>46140.097757155243</v>
      </c>
      <c r="F38" s="3252">
        <v>678354.85910201853</v>
      </c>
      <c r="G38" s="3280">
        <v>0.67300000000000004</v>
      </c>
      <c r="H38" s="3251">
        <f t="shared" si="3"/>
        <v>148230.20585580252</v>
      </c>
      <c r="I38" s="3306">
        <f t="shared" si="1"/>
        <v>31052.285790565482</v>
      </c>
      <c r="J38" s="3252">
        <f t="shared" si="2"/>
        <v>456532.8201756585</v>
      </c>
    </row>
    <row r="39" spans="1:10" ht="13.5" customHeight="1">
      <c r="A39" s="3269"/>
      <c r="B39" s="2647" t="s">
        <v>2164</v>
      </c>
      <c r="C39" s="412"/>
      <c r="D39" s="3251">
        <v>181305.01543109349</v>
      </c>
      <c r="E39" s="3306">
        <v>38086.075649298335</v>
      </c>
      <c r="F39" s="3252">
        <v>558123.22085975227</v>
      </c>
      <c r="G39" s="3280">
        <v>0.67300000000000004</v>
      </c>
      <c r="H39" s="3251">
        <f t="shared" si="3"/>
        <v>122018.27538512592</v>
      </c>
      <c r="I39" s="3306">
        <f t="shared" si="1"/>
        <v>25631.928911977782</v>
      </c>
      <c r="J39" s="3252">
        <f t="shared" si="2"/>
        <v>375616.92763861333</v>
      </c>
    </row>
    <row r="40" spans="1:10" ht="13.5" customHeight="1">
      <c r="A40" s="3269"/>
      <c r="B40" s="2647" t="s">
        <v>2163</v>
      </c>
      <c r="C40" s="412"/>
      <c r="D40" s="3251">
        <v>136134.15649811289</v>
      </c>
      <c r="E40" s="3306">
        <v>28745.207901957037</v>
      </c>
      <c r="F40" s="3252">
        <v>418681.35978370573</v>
      </c>
      <c r="G40" s="3280">
        <v>0.67300000000000004</v>
      </c>
      <c r="H40" s="3251">
        <f t="shared" si="3"/>
        <v>91618.287323229975</v>
      </c>
      <c r="I40" s="3306">
        <f t="shared" si="1"/>
        <v>19345.524918017087</v>
      </c>
      <c r="J40" s="3252">
        <f t="shared" si="2"/>
        <v>281772.55513443396</v>
      </c>
    </row>
    <row r="41" spans="1:10" ht="13.5" customHeight="1" thickBot="1">
      <c r="A41" s="3275"/>
      <c r="B41" s="2710" t="s">
        <v>2162</v>
      </c>
      <c r="C41" s="3276"/>
      <c r="D41" s="3273">
        <v>62180.96880018463</v>
      </c>
      <c r="E41" s="3307">
        <v>13452.451419164279</v>
      </c>
      <c r="F41" s="3277">
        <v>190388.81966607485</v>
      </c>
      <c r="G41" s="3283">
        <v>0.67300000000000004</v>
      </c>
      <c r="H41" s="3273">
        <f t="shared" si="3"/>
        <v>41847.792002524257</v>
      </c>
      <c r="I41" s="3307">
        <f t="shared" si="1"/>
        <v>9053.499805097561</v>
      </c>
      <c r="J41" s="3277">
        <f t="shared" si="2"/>
        <v>128131.67563526839</v>
      </c>
    </row>
    <row r="42" spans="1:10" ht="13.5" customHeight="1" thickTop="1">
      <c r="A42"/>
      <c r="B42"/>
      <c r="C42"/>
      <c r="D42"/>
      <c r="E42"/>
      <c r="F42"/>
      <c r="G42"/>
      <c r="H42"/>
      <c r="I42"/>
      <c r="J42"/>
    </row>
    <row r="43" spans="1:10" ht="13.5" customHeight="1">
      <c r="A43"/>
      <c r="B43"/>
      <c r="C43"/>
      <c r="D43"/>
      <c r="E43"/>
      <c r="F43"/>
    </row>
    <row r="44" spans="1:10" ht="13.5" customHeight="1">
      <c r="A44"/>
      <c r="B44"/>
      <c r="C44"/>
      <c r="D44"/>
      <c r="E44"/>
      <c r="F44"/>
    </row>
  </sheetData>
  <sheetProtection sheet="1" objects="1" scenarios="1"/>
  <mergeCells count="10">
    <mergeCell ref="G25:G26"/>
    <mergeCell ref="A18:B18"/>
    <mergeCell ref="A19:B19"/>
    <mergeCell ref="A20:B20"/>
    <mergeCell ref="E6:S6"/>
    <mergeCell ref="A7:B7"/>
    <mergeCell ref="A8:B8"/>
    <mergeCell ref="A10:B10"/>
    <mergeCell ref="A11:B11"/>
    <mergeCell ref="A12:B12"/>
  </mergeCells>
  <hyperlinks>
    <hyperlink ref="F7" r:id="rId1"/>
    <hyperlink ref="A11" location="Contents!A1" display="Contents"/>
    <hyperlink ref="A11:B11" r:id="rId2" display="WebTAG Unit 3.3.3"/>
    <hyperlink ref="A10" location="Contents!A1" display="Contents"/>
    <hyperlink ref="A10:B10" location="Contents!A1" tooltip="Contents page" display="Contents"/>
    <hyperlink ref="A12:B12" r:id="rId3" tooltip="Unit A3  Environmental Impact Appraisal" display="WebTAG Unit A 3"/>
  </hyperlinks>
  <pageMargins left="0.75" right="0.75" top="1" bottom="1" header="0.5" footer="0.5"/>
  <pageSetup paperSize="9" orientation="portrait" r:id="rId4"/>
  <headerFooter alignWithMargins="0"/>
  <drawing r:id="rId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tabColor indexed="10"/>
  </sheetPr>
  <dimension ref="A1:S29"/>
  <sheetViews>
    <sheetView showGridLines="0" zoomScale="85" zoomScaleNormal="85" workbookViewId="0">
      <selection activeCell="A23" sqref="A23:J23"/>
    </sheetView>
  </sheetViews>
  <sheetFormatPr defaultColWidth="12.88671875" defaultRowHeight="13.5" customHeight="1"/>
  <cols>
    <col min="1" max="16384" width="12.88671875" style="317"/>
  </cols>
  <sheetData>
    <row r="1" spans="1:19" ht="54.9" customHeight="1"/>
    <row r="2" spans="1:19" s="319" customFormat="1" ht="5.0999999999999996" customHeight="1"/>
    <row r="3" spans="1:19" s="319" customFormat="1" ht="20.100000000000001" customHeight="1">
      <c r="A3" s="300" t="s">
        <v>2267</v>
      </c>
    </row>
    <row r="4" spans="1:19" s="322" customFormat="1" ht="20.100000000000001" customHeight="1" thickBot="1">
      <c r="A4" s="529" t="s">
        <v>159</v>
      </c>
      <c r="B4" s="320"/>
      <c r="C4" s="320"/>
      <c r="D4" s="320"/>
      <c r="E4" s="320"/>
      <c r="F4" s="320"/>
      <c r="G4" s="320"/>
      <c r="H4" s="320"/>
      <c r="I4" s="320"/>
      <c r="J4" s="320"/>
      <c r="K4" s="320"/>
      <c r="L4" s="320"/>
      <c r="M4" s="320"/>
      <c r="N4" s="320"/>
      <c r="O4" s="320"/>
      <c r="P4" s="320"/>
      <c r="Q4" s="320"/>
      <c r="R4" s="320"/>
      <c r="S4" s="320"/>
    </row>
    <row r="5" spans="1:19" ht="9.9" customHeight="1" thickTop="1" thickBot="1"/>
    <row r="6" spans="1:19" s="3241"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241" customFormat="1" ht="13.5" customHeight="1">
      <c r="A7" s="3644" t="str">
        <f>Audit!A12</f>
        <v>May 2019 v1.12</v>
      </c>
      <c r="B7" s="3651"/>
      <c r="E7" s="113"/>
      <c r="F7" s="29"/>
      <c r="G7" s="3242"/>
      <c r="H7" s="3242"/>
      <c r="I7" s="3242"/>
      <c r="J7" s="3242"/>
      <c r="K7" s="3242"/>
      <c r="L7" s="3242"/>
      <c r="M7" s="3242"/>
      <c r="N7" s="3242"/>
      <c r="O7" s="3242"/>
      <c r="P7" s="3242"/>
      <c r="Q7" s="3242"/>
      <c r="R7" s="3242"/>
      <c r="S7" s="147"/>
    </row>
    <row r="8" spans="1:19" s="3241" customFormat="1" ht="13.5" customHeight="1">
      <c r="A8" s="3646">
        <f>Audit!C12</f>
        <v>43586</v>
      </c>
      <c r="B8" s="3651"/>
      <c r="C8" s="321"/>
      <c r="D8" s="321"/>
      <c r="E8" s="2528" t="s">
        <v>2192</v>
      </c>
      <c r="F8" s="315"/>
      <c r="G8" s="3242"/>
      <c r="H8" s="3242"/>
      <c r="I8" s="3242"/>
      <c r="J8" s="3242"/>
      <c r="K8" s="3242"/>
      <c r="L8" s="3242"/>
      <c r="M8" s="3242"/>
      <c r="N8" s="3242"/>
      <c r="O8" s="3242"/>
      <c r="P8" s="3242"/>
      <c r="Q8" s="3242"/>
      <c r="R8" s="3242"/>
      <c r="S8" s="147"/>
    </row>
    <row r="9" spans="1:19" s="3241" customFormat="1" ht="13.5" customHeight="1" thickBot="1">
      <c r="A9" s="3240" t="s">
        <v>14</v>
      </c>
      <c r="B9" s="173"/>
      <c r="D9" s="321"/>
      <c r="E9" s="2528" t="s">
        <v>2190</v>
      </c>
      <c r="F9" s="3242"/>
      <c r="G9" s="3242"/>
      <c r="H9" s="3242"/>
      <c r="I9" s="3242"/>
      <c r="J9" s="3242"/>
      <c r="K9" s="3242"/>
      <c r="L9" s="3242"/>
      <c r="M9" s="3242"/>
      <c r="N9" s="3242"/>
      <c r="O9" s="3242"/>
      <c r="P9" s="3242"/>
      <c r="Q9" s="3242"/>
      <c r="R9" s="3242"/>
      <c r="S9" s="147"/>
    </row>
    <row r="10" spans="1:19" s="3241" customFormat="1" ht="13.5" customHeight="1" thickBot="1">
      <c r="A10" s="3611" t="s">
        <v>1306</v>
      </c>
      <c r="B10" s="3612"/>
      <c r="D10" s="321"/>
      <c r="E10" s="113"/>
      <c r="F10" s="3242"/>
      <c r="G10" s="3242"/>
      <c r="H10" s="3242"/>
      <c r="I10" s="3242"/>
      <c r="J10" s="3242"/>
      <c r="K10" s="3242"/>
      <c r="L10" s="3242"/>
      <c r="M10" s="3242"/>
      <c r="N10" s="3242"/>
      <c r="O10" s="3242"/>
      <c r="P10" s="3242"/>
      <c r="Q10" s="3242"/>
      <c r="R10" s="3242"/>
      <c r="S10" s="147"/>
    </row>
    <row r="11" spans="1:19" s="3241" customFormat="1" ht="13.5" customHeight="1" thickBot="1">
      <c r="A11" s="3611" t="s">
        <v>2268</v>
      </c>
      <c r="B11" s="3639"/>
      <c r="D11" s="321"/>
      <c r="E11" s="113"/>
      <c r="F11" s="3244"/>
      <c r="G11" s="3244"/>
      <c r="H11" s="3244"/>
      <c r="I11" s="3244"/>
      <c r="J11" s="3244"/>
      <c r="K11" s="3244"/>
      <c r="L11" s="3244"/>
      <c r="M11" s="3244"/>
      <c r="N11" s="3244"/>
      <c r="O11" s="3244"/>
      <c r="P11" s="3244"/>
      <c r="Q11" s="3244"/>
      <c r="R11" s="3244"/>
      <c r="S11" s="379"/>
    </row>
    <row r="12" spans="1:19" s="3241" customFormat="1" ht="13.5" customHeight="1" thickBot="1">
      <c r="A12" s="3611" t="s">
        <v>2265</v>
      </c>
      <c r="B12" s="3639"/>
      <c r="D12" s="321"/>
      <c r="E12" s="113"/>
      <c r="F12" s="3242"/>
      <c r="G12" s="3242"/>
      <c r="H12" s="3242"/>
      <c r="I12" s="3242"/>
      <c r="J12" s="3242"/>
      <c r="K12" s="3242"/>
      <c r="L12" s="3242"/>
      <c r="M12" s="3242"/>
      <c r="N12" s="3242"/>
      <c r="O12" s="3242"/>
      <c r="P12" s="3242"/>
      <c r="Q12" s="3242"/>
      <c r="R12" s="3242"/>
      <c r="S12" s="147"/>
    </row>
    <row r="13" spans="1:19" s="3241" customFormat="1" ht="13.5" customHeight="1">
      <c r="A13" s="3240" t="s">
        <v>252</v>
      </c>
      <c r="B13" s="194"/>
      <c r="C13" s="321"/>
      <c r="D13" s="321"/>
      <c r="E13" s="3243"/>
      <c r="F13" s="3242"/>
      <c r="G13" s="3242"/>
      <c r="H13" s="3242"/>
      <c r="I13" s="3242"/>
      <c r="J13" s="3242"/>
      <c r="K13" s="3242"/>
      <c r="L13" s="3242"/>
      <c r="M13" s="3242"/>
      <c r="N13" s="3242"/>
      <c r="O13" s="3242"/>
      <c r="P13" s="3242"/>
      <c r="Q13" s="3242"/>
      <c r="R13" s="3242"/>
      <c r="S13" s="147"/>
    </row>
    <row r="14" spans="1:19" s="3241" customFormat="1" ht="13.5" customHeight="1">
      <c r="A14" s="56" t="s">
        <v>799</v>
      </c>
      <c r="B14" s="221">
        <f>B16</f>
        <v>2010</v>
      </c>
      <c r="C14" s="321"/>
      <c r="D14" s="321"/>
      <c r="E14" s="113"/>
      <c r="F14" s="3242"/>
      <c r="G14" s="3242"/>
      <c r="H14" s="3242"/>
      <c r="I14" s="3242"/>
      <c r="J14" s="3242"/>
      <c r="K14" s="3242"/>
      <c r="L14" s="3242"/>
      <c r="M14" s="3242"/>
      <c r="N14" s="3242"/>
      <c r="O14" s="3242"/>
      <c r="P14" s="3242"/>
      <c r="Q14" s="3242"/>
      <c r="R14" s="3242"/>
      <c r="S14" s="147"/>
    </row>
    <row r="15" spans="1:19" s="3241" customFormat="1" ht="13.5" customHeight="1">
      <c r="A15" s="3242" t="s">
        <v>54</v>
      </c>
      <c r="B15" s="221">
        <f>B16</f>
        <v>2010</v>
      </c>
      <c r="C15" s="321"/>
      <c r="D15" s="321"/>
      <c r="E15" s="113"/>
      <c r="F15" s="3242"/>
      <c r="G15" s="3242"/>
      <c r="H15" s="3242"/>
      <c r="I15" s="3242"/>
      <c r="J15" s="3242"/>
      <c r="K15" s="3242"/>
      <c r="L15" s="3242"/>
      <c r="M15" s="3242"/>
      <c r="N15" s="3242"/>
      <c r="O15" s="3242"/>
      <c r="P15" s="3242"/>
      <c r="Q15" s="3242"/>
      <c r="R15" s="3242"/>
      <c r="S15" s="147"/>
    </row>
    <row r="16" spans="1:19" s="3241" customFormat="1" ht="13.5" customHeight="1">
      <c r="A16" s="3241" t="s">
        <v>370</v>
      </c>
      <c r="B16" s="1221">
        <v>2010</v>
      </c>
      <c r="C16" s="321"/>
      <c r="D16" s="321"/>
      <c r="E16" s="113"/>
      <c r="F16" s="3242"/>
      <c r="G16" s="3242"/>
      <c r="H16" s="3242"/>
      <c r="I16" s="3242"/>
      <c r="J16" s="3242"/>
      <c r="K16" s="3242"/>
      <c r="L16" s="3242"/>
      <c r="M16" s="3242"/>
      <c r="N16" s="3242"/>
      <c r="O16" s="3242"/>
      <c r="P16" s="3242"/>
      <c r="Q16" s="3242"/>
      <c r="R16" s="3242"/>
      <c r="S16" s="147"/>
    </row>
    <row r="17" spans="1:19" s="3241" customFormat="1" ht="13.5" customHeight="1">
      <c r="A17" s="169" t="s">
        <v>253</v>
      </c>
      <c r="B17" s="170"/>
      <c r="C17" s="321"/>
      <c r="D17" s="321"/>
      <c r="E17" s="207"/>
      <c r="F17" s="3242"/>
      <c r="G17" s="3242"/>
      <c r="H17" s="3242"/>
      <c r="I17" s="3242"/>
      <c r="J17" s="3242"/>
      <c r="K17" s="3242"/>
      <c r="L17" s="3242"/>
      <c r="M17" s="3242"/>
      <c r="N17" s="3242"/>
      <c r="O17" s="3242"/>
      <c r="P17" s="3242"/>
      <c r="Q17" s="3242"/>
      <c r="R17" s="3242"/>
      <c r="S17" s="147"/>
    </row>
    <row r="18" spans="1:19" s="3241" customFormat="1" ht="13.5" customHeight="1">
      <c r="A18" s="3615"/>
      <c r="B18" s="3615"/>
      <c r="C18" s="321"/>
      <c r="D18" s="321"/>
      <c r="E18" s="113"/>
      <c r="F18" s="3242"/>
      <c r="G18" s="3242"/>
      <c r="H18" s="3242"/>
      <c r="I18" s="3242"/>
      <c r="J18" s="3242"/>
      <c r="K18" s="3242"/>
      <c r="L18" s="3242"/>
      <c r="M18" s="3242"/>
      <c r="N18" s="3242"/>
      <c r="O18" s="3242"/>
      <c r="P18" s="3242"/>
      <c r="Q18" s="3242"/>
      <c r="R18" s="3242"/>
      <c r="S18" s="147"/>
    </row>
    <row r="19" spans="1:19" s="3241" customFormat="1" ht="13.5" customHeight="1">
      <c r="A19" s="3239"/>
      <c r="B19" s="3239"/>
      <c r="C19" s="321"/>
      <c r="D19" s="321"/>
      <c r="E19" s="113" t="s">
        <v>929</v>
      </c>
      <c r="F19" s="3242"/>
      <c r="G19" s="3242"/>
      <c r="H19" s="3242"/>
      <c r="I19" s="3242"/>
      <c r="J19" s="3242"/>
      <c r="K19" s="3242"/>
      <c r="L19" s="3242"/>
      <c r="M19" s="3242"/>
      <c r="N19" s="3242"/>
      <c r="O19" s="3242"/>
      <c r="P19" s="3242"/>
      <c r="Q19" s="3242"/>
      <c r="R19" s="3242"/>
      <c r="S19" s="147"/>
    </row>
    <row r="20" spans="1:19" s="3241" customFormat="1" ht="13.5" customHeight="1" thickBot="1">
      <c r="C20" s="321"/>
      <c r="D20" s="321"/>
      <c r="E20" s="381" t="s">
        <v>2271</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c r="A23" s="3751" t="s">
        <v>496</v>
      </c>
      <c r="B23" s="3751"/>
      <c r="C23" s="3751"/>
      <c r="D23" s="3751"/>
      <c r="E23" s="3751"/>
      <c r="F23" s="3751"/>
      <c r="G23" s="3751"/>
      <c r="H23" s="3751"/>
      <c r="I23" s="3751"/>
      <c r="J23" s="3752"/>
    </row>
    <row r="24" spans="1:19" ht="13.5" customHeight="1" thickBot="1">
      <c r="A24" s="3755" t="str">
        <f>CONCATENATE("(",B14," prices, ",B15," values)")</f>
        <v>(2010 prices, 2010 values)</v>
      </c>
      <c r="B24" s="3755"/>
      <c r="C24" s="3755"/>
      <c r="D24" s="3755"/>
      <c r="E24" s="3755"/>
      <c r="F24" s="3755"/>
      <c r="G24" s="3755"/>
      <c r="H24" s="3755"/>
      <c r="I24" s="3755"/>
      <c r="J24" s="3756"/>
    </row>
    <row r="25" spans="1:19" ht="13.5" customHeight="1" thickTop="1" thickBot="1">
      <c r="A25" s="777" t="s">
        <v>497</v>
      </c>
      <c r="B25" s="781"/>
      <c r="C25" s="778"/>
      <c r="D25" s="779"/>
      <c r="E25" s="780"/>
      <c r="F25" s="777" t="s">
        <v>2158</v>
      </c>
      <c r="G25" s="778"/>
      <c r="H25" s="778"/>
      <c r="I25" s="779"/>
      <c r="J25" s="780"/>
    </row>
    <row r="26" spans="1:19" ht="13.5" customHeight="1" thickTop="1">
      <c r="A26" s="621"/>
      <c r="B26" s="775" t="s">
        <v>1481</v>
      </c>
      <c r="C26" s="622"/>
      <c r="D26" s="3253"/>
      <c r="E26" s="3254">
        <v>1.0484714934659178</v>
      </c>
      <c r="F26" s="3255"/>
      <c r="G26" s="3256" t="s">
        <v>1481</v>
      </c>
      <c r="H26" s="3257"/>
      <c r="I26" s="3253"/>
      <c r="J26" s="3254">
        <v>238.99507249673869</v>
      </c>
    </row>
    <row r="27" spans="1:19" ht="13.5" customHeight="1">
      <c r="A27" s="623"/>
      <c r="B27" s="773" t="s">
        <v>656</v>
      </c>
      <c r="C27" s="624"/>
      <c r="D27" s="3258"/>
      <c r="E27" s="432">
        <v>13.647074408568717</v>
      </c>
      <c r="F27" s="3259"/>
      <c r="G27" s="3260" t="s">
        <v>656</v>
      </c>
      <c r="H27" s="3261"/>
      <c r="I27" s="3258"/>
      <c r="J27" s="432">
        <v>1282.6412721729605</v>
      </c>
    </row>
    <row r="28" spans="1:19" ht="13.5" customHeight="1" thickBot="1">
      <c r="A28" s="619"/>
      <c r="B28" s="774" t="s">
        <v>1482</v>
      </c>
      <c r="C28" s="620"/>
      <c r="D28" s="3262"/>
      <c r="E28" s="1384">
        <v>53.802471572063531</v>
      </c>
      <c r="F28" s="3263"/>
      <c r="G28" s="3264" t="s">
        <v>1482</v>
      </c>
      <c r="H28" s="3265"/>
      <c r="I28" s="3262"/>
      <c r="J28" s="1384">
        <v>3910.41</v>
      </c>
    </row>
    <row r="29" spans="1:19" ht="13.5" customHeight="1" thickTop="1"/>
  </sheetData>
  <sheetProtection sheet="1" objects="1" scenarios="1"/>
  <mergeCells count="9">
    <mergeCell ref="A18:B18"/>
    <mergeCell ref="A23:J23"/>
    <mergeCell ref="A24:J24"/>
    <mergeCell ref="E6:S6"/>
    <mergeCell ref="A7:B7"/>
    <mergeCell ref="A8:B8"/>
    <mergeCell ref="A10:B10"/>
    <mergeCell ref="A11:B11"/>
    <mergeCell ref="A12:B12"/>
  </mergeCells>
  <hyperlinks>
    <hyperlink ref="A11" location="Contents!A1" display="Contents"/>
    <hyperlink ref="A11:B11" r:id="rId1" display="WebTAG Unit 3.3.3"/>
    <hyperlink ref="A10" location="Contents!A1" display="Contents"/>
    <hyperlink ref="A10:B10" location="Contents!A1" tooltip="Contents page" display="Contents"/>
    <hyperlink ref="A12:B12" r:id="rId2" tooltip="Unit A3  Environmental Impact Appraisal" display="WebTAG Unit A 3"/>
  </hyperlinks>
  <pageMargins left="0.75" right="0.75" top="1" bottom="1" header="0.5" footer="0.5"/>
  <pageSetup paperSize="9" orientation="portrait" r:id="rId3"/>
  <headerFooter alignWithMargins="0"/>
  <drawing r:id="rId4"/>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indexed="10"/>
  </sheetPr>
  <dimension ref="A1:S29"/>
  <sheetViews>
    <sheetView showGridLines="0" zoomScale="85" zoomScaleNormal="85" workbookViewId="0">
      <selection activeCell="A23" sqref="A23:J23"/>
    </sheetView>
  </sheetViews>
  <sheetFormatPr defaultColWidth="12.88671875" defaultRowHeight="13.5" customHeight="1"/>
  <cols>
    <col min="1" max="16384" width="12.88671875" style="317"/>
  </cols>
  <sheetData>
    <row r="1" spans="1:19" ht="54.9" customHeight="1"/>
    <row r="2" spans="1:19" s="319" customFormat="1" ht="5.0999999999999996" customHeight="1"/>
    <row r="3" spans="1:19" s="319" customFormat="1" ht="20.100000000000001" customHeight="1">
      <c r="A3" s="300" t="s">
        <v>2267</v>
      </c>
    </row>
    <row r="4" spans="1:19" s="322" customFormat="1" ht="20.100000000000001" customHeight="1" thickBot="1">
      <c r="A4" s="529" t="s">
        <v>159</v>
      </c>
      <c r="B4" s="320"/>
      <c r="C4" s="320"/>
      <c r="D4" s="320"/>
      <c r="E4" s="320"/>
      <c r="F4" s="320"/>
      <c r="G4" s="320"/>
      <c r="H4" s="320"/>
      <c r="I4" s="320"/>
      <c r="J4" s="320"/>
      <c r="K4" s="320"/>
      <c r="L4" s="320"/>
      <c r="M4" s="320"/>
      <c r="N4" s="320"/>
      <c r="O4" s="320"/>
      <c r="P4" s="320"/>
      <c r="Q4" s="320"/>
      <c r="R4" s="320"/>
      <c r="S4" s="320"/>
    </row>
    <row r="5" spans="1:19"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113"/>
      <c r="F7" s="29"/>
      <c r="G7" s="26"/>
      <c r="H7" s="26"/>
      <c r="I7" s="26"/>
      <c r="J7" s="26"/>
      <c r="K7" s="26"/>
      <c r="L7" s="26"/>
      <c r="M7" s="26"/>
      <c r="N7" s="26"/>
      <c r="O7" s="26"/>
      <c r="P7" s="26"/>
      <c r="Q7" s="26"/>
      <c r="R7" s="26"/>
      <c r="S7" s="147"/>
    </row>
    <row r="8" spans="1:19" s="38" customFormat="1" ht="13.5" customHeight="1">
      <c r="A8" s="3646">
        <f>Audit!C12</f>
        <v>43586</v>
      </c>
      <c r="B8" s="3651"/>
      <c r="C8" s="321"/>
      <c r="D8" s="321"/>
      <c r="E8" s="2528" t="s">
        <v>2192</v>
      </c>
      <c r="F8" s="315"/>
      <c r="G8" s="26"/>
      <c r="H8" s="26"/>
      <c r="I8" s="26"/>
      <c r="J8" s="26"/>
      <c r="K8" s="26"/>
      <c r="L8" s="26"/>
      <c r="M8" s="26"/>
      <c r="N8" s="26"/>
      <c r="O8" s="26"/>
      <c r="P8" s="26"/>
      <c r="Q8" s="26"/>
      <c r="R8" s="26"/>
      <c r="S8" s="147"/>
    </row>
    <row r="9" spans="1:19" s="38" customFormat="1" ht="13.5" customHeight="1" thickBot="1">
      <c r="A9" s="172" t="s">
        <v>14</v>
      </c>
      <c r="B9" s="173"/>
      <c r="D9" s="321"/>
      <c r="E9" s="2528" t="s">
        <v>2190</v>
      </c>
      <c r="F9" s="26"/>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2268</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2265</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56" t="s">
        <v>799</v>
      </c>
      <c r="B14" s="221">
        <f>B16</f>
        <v>2010</v>
      </c>
      <c r="C14" s="321"/>
      <c r="D14" s="321"/>
      <c r="E14" s="113"/>
      <c r="F14" s="26"/>
      <c r="G14" s="26"/>
      <c r="H14" s="26"/>
      <c r="I14" s="26"/>
      <c r="J14" s="26"/>
      <c r="K14" s="26"/>
      <c r="L14" s="26"/>
      <c r="M14" s="26"/>
      <c r="N14" s="26"/>
      <c r="O14" s="26"/>
      <c r="P14" s="26"/>
      <c r="Q14" s="26"/>
      <c r="R14" s="26"/>
      <c r="S14" s="147"/>
    </row>
    <row r="15" spans="1:19" s="38" customFormat="1" ht="13.5" customHeight="1">
      <c r="A15" s="26" t="s">
        <v>54</v>
      </c>
      <c r="B15" s="221">
        <f>B16</f>
        <v>2010</v>
      </c>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1"/>
      <c r="B19" s="31"/>
      <c r="C19" s="321"/>
      <c r="D19" s="321"/>
      <c r="E19" s="113" t="s">
        <v>929</v>
      </c>
      <c r="F19" s="26"/>
      <c r="G19" s="26"/>
      <c r="H19" s="26"/>
      <c r="I19" s="26"/>
      <c r="J19" s="26"/>
      <c r="K19" s="26"/>
      <c r="L19" s="26"/>
      <c r="M19" s="26"/>
      <c r="N19" s="26"/>
      <c r="O19" s="26"/>
      <c r="P19" s="26"/>
      <c r="Q19" s="26"/>
      <c r="R19" s="26"/>
      <c r="S19" s="147"/>
    </row>
    <row r="20" spans="1:19" s="38" customFormat="1" ht="13.5" customHeight="1" thickBot="1">
      <c r="C20" s="321"/>
      <c r="D20" s="321"/>
      <c r="E20" s="381" t="s">
        <v>2271</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c r="A23" s="3751" t="s">
        <v>2159</v>
      </c>
      <c r="B23" s="3751"/>
      <c r="C23" s="3751"/>
      <c r="D23" s="3751"/>
      <c r="E23" s="3751"/>
      <c r="F23" s="3751"/>
      <c r="G23" s="3751"/>
      <c r="H23" s="3751"/>
      <c r="I23" s="3751"/>
      <c r="J23" s="3752"/>
    </row>
    <row r="24" spans="1:19" ht="13.5" customHeight="1" thickBot="1">
      <c r="A24" s="3755" t="str">
        <f>CONCATENATE("(",B14," prices, ",B15," values)")</f>
        <v>(2010 prices, 2010 values)</v>
      </c>
      <c r="B24" s="3755"/>
      <c r="C24" s="3755"/>
      <c r="D24" s="3755"/>
      <c r="E24" s="3755"/>
      <c r="F24" s="3755"/>
      <c r="G24" s="3755"/>
      <c r="H24" s="3755"/>
      <c r="I24" s="3755"/>
      <c r="J24" s="3756"/>
    </row>
    <row r="25" spans="1:19" ht="13.5" customHeight="1" thickTop="1" thickBot="1">
      <c r="A25" s="777" t="s">
        <v>497</v>
      </c>
      <c r="B25" s="781"/>
      <c r="C25" s="778"/>
      <c r="D25" s="779"/>
      <c r="E25" s="780"/>
      <c r="F25" s="777" t="s">
        <v>2158</v>
      </c>
      <c r="G25" s="778"/>
      <c r="H25" s="778"/>
      <c r="I25" s="779"/>
      <c r="J25" s="780"/>
    </row>
    <row r="26" spans="1:19" ht="13.5" customHeight="1" thickTop="1">
      <c r="A26" s="621"/>
      <c r="B26" s="775" t="s">
        <v>1481</v>
      </c>
      <c r="C26" s="622"/>
      <c r="D26" s="1437"/>
      <c r="E26" s="3254">
        <v>22.420063722620107</v>
      </c>
      <c r="F26" s="3255"/>
      <c r="G26" s="3256" t="s">
        <v>1481</v>
      </c>
      <c r="H26" s="3257"/>
      <c r="I26" s="3253"/>
      <c r="J26" s="3254">
        <v>785.105694456008</v>
      </c>
    </row>
    <row r="27" spans="1:19" ht="13.5" customHeight="1">
      <c r="A27" s="623"/>
      <c r="B27" s="773" t="s">
        <v>656</v>
      </c>
      <c r="C27" s="624"/>
      <c r="D27" s="953"/>
      <c r="E27" s="432">
        <v>108.39979279774268</v>
      </c>
      <c r="F27" s="3259"/>
      <c r="G27" s="3260" t="s">
        <v>656</v>
      </c>
      <c r="H27" s="3261"/>
      <c r="I27" s="3258"/>
      <c r="J27" s="432">
        <v>785.105694456008</v>
      </c>
    </row>
    <row r="28" spans="1:19" ht="13.5" customHeight="1" thickBot="1">
      <c r="A28" s="619"/>
      <c r="B28" s="774" t="s">
        <v>1482</v>
      </c>
      <c r="C28" s="620"/>
      <c r="D28" s="960"/>
      <c r="E28" s="1384">
        <v>337.77935850323212</v>
      </c>
      <c r="F28" s="3263"/>
      <c r="G28" s="3264" t="s">
        <v>1482</v>
      </c>
      <c r="H28" s="3265"/>
      <c r="I28" s="3262"/>
      <c r="J28" s="1384">
        <v>785.105694456008</v>
      </c>
    </row>
    <row r="29" spans="1:19" ht="13.5" customHeight="1" thickTop="1"/>
  </sheetData>
  <sheetProtection sheet="1" objects="1" scenarios="1"/>
  <mergeCells count="9">
    <mergeCell ref="A24:J24"/>
    <mergeCell ref="A12:B12"/>
    <mergeCell ref="A18:B18"/>
    <mergeCell ref="A11:B11"/>
    <mergeCell ref="E6:S6"/>
    <mergeCell ref="A7:B7"/>
    <mergeCell ref="A8:B8"/>
    <mergeCell ref="A10:B10"/>
    <mergeCell ref="A23:J23"/>
  </mergeCells>
  <phoneticPr fontId="8" type="noConversion"/>
  <hyperlinks>
    <hyperlink ref="A11" location="Contents!A1" display="Contents"/>
    <hyperlink ref="A11:B11" r:id="rId1" display="WebTAG Unit 3.3.3"/>
    <hyperlink ref="A10" location="Contents!A1" display="Contents"/>
    <hyperlink ref="A10:B10" location="Contents!A1" tooltip="Contents page" display="Contents"/>
    <hyperlink ref="A12:B12" r:id="rId2" tooltip="Unit A3  Environmental Impact Appraisal" display="WebTAG Unit A 3"/>
  </hyperlinks>
  <pageMargins left="0.75" right="0.75" top="1" bottom="1" header="0.5" footer="0.5"/>
  <headerFooter alignWithMargins="0"/>
  <drawing r:id="rId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indexed="10"/>
  </sheetPr>
  <dimension ref="A1:S29"/>
  <sheetViews>
    <sheetView showGridLines="0" zoomScale="85" zoomScaleNormal="85" workbookViewId="0">
      <selection activeCell="E23" sqref="E23:F23"/>
    </sheetView>
  </sheetViews>
  <sheetFormatPr defaultColWidth="12.88671875" defaultRowHeight="13.5" customHeight="1"/>
  <cols>
    <col min="1" max="16384" width="12.88671875" style="317"/>
  </cols>
  <sheetData>
    <row r="1" spans="1:19" ht="54.9" customHeight="1"/>
    <row r="2" spans="1:19" s="319" customFormat="1" ht="5.0999999999999996" customHeight="1"/>
    <row r="3" spans="1:19" s="319" customFormat="1" ht="20.100000000000001" customHeight="1">
      <c r="A3" s="300" t="s">
        <v>2267</v>
      </c>
    </row>
    <row r="4" spans="1:19" s="322" customFormat="1" ht="20.100000000000001" customHeight="1" thickBot="1">
      <c r="A4" s="529" t="s">
        <v>159</v>
      </c>
      <c r="B4" s="320"/>
      <c r="C4" s="320"/>
      <c r="D4" s="320"/>
      <c r="E4" s="320"/>
      <c r="F4" s="320"/>
      <c r="G4" s="320"/>
      <c r="H4" s="320"/>
      <c r="I4" s="320"/>
      <c r="J4" s="320"/>
      <c r="K4" s="320"/>
      <c r="L4" s="320"/>
      <c r="M4" s="320"/>
      <c r="N4" s="320"/>
      <c r="O4" s="320"/>
      <c r="P4" s="320"/>
      <c r="Q4" s="320"/>
      <c r="R4" s="320"/>
      <c r="S4" s="320"/>
    </row>
    <row r="5" spans="1:19"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E7" s="113"/>
      <c r="F7" s="29"/>
      <c r="G7" s="26"/>
      <c r="H7" s="26"/>
      <c r="I7" s="26"/>
      <c r="J7" s="26"/>
      <c r="K7" s="26"/>
      <c r="L7" s="26"/>
      <c r="M7" s="26"/>
      <c r="N7" s="26"/>
      <c r="O7" s="26"/>
      <c r="P7" s="26"/>
      <c r="Q7" s="26"/>
      <c r="R7" s="26"/>
      <c r="S7" s="147"/>
    </row>
    <row r="8" spans="1:19" s="38" customFormat="1" ht="13.5" customHeight="1">
      <c r="A8" s="3646">
        <f>Audit!C12</f>
        <v>43586</v>
      </c>
      <c r="B8" s="3651"/>
      <c r="C8" s="321"/>
      <c r="D8" s="321"/>
      <c r="E8" s="113"/>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2268</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2265</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56" t="s">
        <v>799</v>
      </c>
      <c r="B14" s="221">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6" t="s">
        <v>54</v>
      </c>
      <c r="B15" s="221">
        <f>'User Parameters'!L19</f>
        <v>2010</v>
      </c>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1"/>
      <c r="B19" s="31"/>
      <c r="C19" s="321"/>
      <c r="D19" s="321"/>
      <c r="E19" s="113" t="s">
        <v>929</v>
      </c>
      <c r="F19" s="26"/>
      <c r="G19" s="26"/>
      <c r="H19" s="26"/>
      <c r="I19" s="26"/>
      <c r="J19" s="26"/>
      <c r="K19" s="26"/>
      <c r="L19" s="26"/>
      <c r="M19" s="26"/>
      <c r="N19" s="26"/>
      <c r="O19" s="26"/>
      <c r="P19" s="26"/>
      <c r="Q19" s="26"/>
      <c r="R19" s="26"/>
      <c r="S19" s="147"/>
    </row>
    <row r="20" spans="1:19" s="38" customFormat="1" ht="13.5" customHeight="1" thickBot="1">
      <c r="C20" s="321"/>
      <c r="D20" s="321"/>
      <c r="E20" s="381" t="s">
        <v>2272</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c r="A23" s="680"/>
      <c r="B23" s="667" t="s">
        <v>442</v>
      </c>
      <c r="C23" s="776"/>
      <c r="D23" s="328"/>
      <c r="E23" s="225"/>
    </row>
    <row r="24" spans="1:19" ht="13.5" customHeight="1" thickBot="1">
      <c r="A24" s="227" t="str">
        <f>CONCATENATE("(",B14," prices, ",B15," values)")</f>
        <v>(2010 prices, 2010 values)</v>
      </c>
      <c r="B24" s="782"/>
      <c r="C24" s="227"/>
      <c r="D24" s="227"/>
      <c r="E24" s="523"/>
    </row>
    <row r="25" spans="1:19" ht="13.5" customHeight="1" thickTop="1" thickBot="1">
      <c r="A25" s="777" t="s">
        <v>1176</v>
      </c>
      <c r="B25" s="781"/>
      <c r="C25" s="778"/>
      <c r="D25" s="779"/>
      <c r="E25" s="780"/>
    </row>
    <row r="26" spans="1:19" ht="13.5" customHeight="1" thickTop="1">
      <c r="A26" s="621"/>
      <c r="B26" s="775" t="s">
        <v>564</v>
      </c>
      <c r="C26" s="622"/>
      <c r="D26" s="1437"/>
      <c r="E26" s="1472">
        <v>27000</v>
      </c>
    </row>
    <row r="27" spans="1:19" ht="13.5" customHeight="1">
      <c r="A27" s="623"/>
      <c r="B27" s="773" t="s">
        <v>335</v>
      </c>
      <c r="C27" s="624"/>
      <c r="D27" s="953"/>
      <c r="E27" s="1473">
        <v>29000</v>
      </c>
    </row>
    <row r="28" spans="1:19" ht="13.5" customHeight="1" thickBot="1">
      <c r="A28" s="619"/>
      <c r="B28" s="774" t="s">
        <v>565</v>
      </c>
      <c r="C28" s="620"/>
      <c r="D28" s="960"/>
      <c r="E28" s="1474">
        <v>73000</v>
      </c>
    </row>
    <row r="29" spans="1:19" ht="13.5" customHeight="1" thickTop="1"/>
  </sheetData>
  <sheetProtection sheet="1" objects="1" scenarios="1"/>
  <mergeCells count="7">
    <mergeCell ref="A12:B12"/>
    <mergeCell ref="A18:B18"/>
    <mergeCell ref="A11:B11"/>
    <mergeCell ref="E6:S6"/>
    <mergeCell ref="A7:B7"/>
    <mergeCell ref="A8:B8"/>
    <mergeCell ref="A10:B10"/>
  </mergeCells>
  <phoneticPr fontId="8" type="noConversion"/>
  <hyperlinks>
    <hyperlink ref="A11" location="Contents!A1" display="Contents"/>
    <hyperlink ref="A11:B11" r:id="rId1" display="WebTAG Unit 3.3.3"/>
    <hyperlink ref="A10" location="Contents!A1" display="Contents"/>
    <hyperlink ref="A10:B10" location="Contents!A1" tooltip="Contents page" display="Contents"/>
    <hyperlink ref="A12:B12" r:id="rId2" tooltip="Unit A3  Environmental Impact Appraisal" display="WebTAG Unit A 3"/>
  </hyperlinks>
  <pageMargins left="0.75" right="0.75" top="1" bottom="1" header="0.5" footer="0.5"/>
  <headerFooter alignWithMargins="0"/>
  <drawing r:id="rId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tabColor indexed="10"/>
  </sheetPr>
  <dimension ref="A1:S44"/>
  <sheetViews>
    <sheetView showGridLines="0" topLeftCell="A28" zoomScale="85" zoomScaleNormal="85" workbookViewId="0">
      <selection activeCell="E23" sqref="E23:F23"/>
    </sheetView>
  </sheetViews>
  <sheetFormatPr defaultColWidth="12.88671875" defaultRowHeight="13.5" customHeight="1"/>
  <cols>
    <col min="1" max="1" width="12.88671875" style="317"/>
    <col min="2" max="2" width="12.88671875" style="317" customWidth="1"/>
    <col min="3" max="4" width="12.88671875" style="317"/>
    <col min="5" max="5" width="21.109375" style="317" bestFit="1" customWidth="1"/>
    <col min="6" max="16384" width="12.88671875" style="317"/>
  </cols>
  <sheetData>
    <row r="1" spans="1:19" ht="54.9" customHeight="1"/>
    <row r="2" spans="1:19" s="319" customFormat="1" ht="5.0999999999999996" customHeight="1"/>
    <row r="3" spans="1:19" s="319" customFormat="1" ht="20.100000000000001" customHeight="1">
      <c r="A3" s="300" t="s">
        <v>2267</v>
      </c>
    </row>
    <row r="4" spans="1:19" s="322" customFormat="1" ht="20.100000000000001" customHeight="1" thickBot="1">
      <c r="A4" s="529" t="s">
        <v>159</v>
      </c>
      <c r="B4" s="320"/>
      <c r="C4" s="320"/>
      <c r="D4" s="320"/>
      <c r="E4" s="320"/>
      <c r="F4" s="320"/>
      <c r="G4" s="320"/>
      <c r="H4" s="320"/>
      <c r="I4" s="320"/>
      <c r="J4" s="320"/>
      <c r="K4" s="320"/>
      <c r="L4" s="320"/>
      <c r="M4" s="320"/>
      <c r="N4" s="320"/>
      <c r="O4" s="320"/>
      <c r="P4" s="320"/>
      <c r="Q4" s="320"/>
      <c r="R4" s="320"/>
      <c r="S4" s="320"/>
    </row>
    <row r="5" spans="1:19" ht="9.9" customHeight="1" thickTop="1" thickBot="1"/>
    <row r="6" spans="1:19" s="3342"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342" customFormat="1" ht="13.5" customHeight="1">
      <c r="A7" s="3644" t="str">
        <f>Audit!A12</f>
        <v>May 2019 v1.12</v>
      </c>
      <c r="B7" s="3651"/>
      <c r="E7" s="113"/>
      <c r="F7" s="29"/>
      <c r="G7" s="3343"/>
      <c r="H7" s="3343"/>
      <c r="I7" s="3343"/>
      <c r="J7" s="3343"/>
      <c r="K7" s="3343"/>
      <c r="L7" s="3343"/>
      <c r="M7" s="3343"/>
      <c r="N7" s="3343"/>
      <c r="O7" s="3343"/>
      <c r="P7" s="3343"/>
      <c r="Q7" s="3343"/>
      <c r="R7" s="3343"/>
      <c r="S7" s="147"/>
    </row>
    <row r="8" spans="1:19" s="3342" customFormat="1" ht="13.5" customHeight="1">
      <c r="A8" s="3646">
        <f>Audit!C12</f>
        <v>43586</v>
      </c>
      <c r="B8" s="3651"/>
      <c r="C8" s="321"/>
      <c r="D8" s="321"/>
      <c r="E8" s="113"/>
      <c r="F8" s="315"/>
      <c r="G8" s="3343"/>
      <c r="H8" s="3343"/>
      <c r="I8" s="3343"/>
      <c r="J8" s="3343"/>
      <c r="K8" s="3343"/>
      <c r="L8" s="3343"/>
      <c r="M8" s="3343"/>
      <c r="N8" s="3343"/>
      <c r="O8" s="3343"/>
      <c r="P8" s="3343"/>
      <c r="Q8" s="3343"/>
      <c r="R8" s="3343"/>
      <c r="S8" s="147"/>
    </row>
    <row r="9" spans="1:19" s="3342" customFormat="1" ht="13.5" customHeight="1" thickBot="1">
      <c r="A9" s="3341" t="s">
        <v>14</v>
      </c>
      <c r="B9" s="173"/>
      <c r="D9" s="321"/>
      <c r="E9" s="113"/>
      <c r="F9" s="3343"/>
      <c r="G9" s="3343"/>
      <c r="H9" s="3343"/>
      <c r="I9" s="3343"/>
      <c r="J9" s="3343"/>
      <c r="K9" s="3343"/>
      <c r="L9" s="3343"/>
      <c r="M9" s="3343"/>
      <c r="N9" s="3343"/>
      <c r="O9" s="3343"/>
      <c r="P9" s="3343"/>
      <c r="Q9" s="3343"/>
      <c r="R9" s="3343"/>
      <c r="S9" s="147"/>
    </row>
    <row r="10" spans="1:19" s="3342" customFormat="1" ht="13.5" customHeight="1" thickBot="1">
      <c r="A10" s="3611" t="s">
        <v>1306</v>
      </c>
      <c r="B10" s="3612"/>
      <c r="D10" s="321"/>
      <c r="E10" s="113"/>
      <c r="F10" s="3343"/>
      <c r="G10" s="3343"/>
      <c r="H10" s="3343"/>
      <c r="I10" s="3343"/>
      <c r="J10" s="3343"/>
      <c r="K10" s="3343"/>
      <c r="L10" s="3343"/>
      <c r="M10" s="3343"/>
      <c r="N10" s="3343"/>
      <c r="O10" s="3343"/>
      <c r="P10" s="3343"/>
      <c r="Q10" s="3343"/>
      <c r="R10" s="3343"/>
      <c r="S10" s="147"/>
    </row>
    <row r="11" spans="1:19" s="3342" customFormat="1" ht="13.5" customHeight="1" thickBot="1">
      <c r="A11" s="3611" t="s">
        <v>2268</v>
      </c>
      <c r="B11" s="3639"/>
      <c r="D11" s="321"/>
      <c r="E11" s="113"/>
      <c r="F11" s="3345"/>
      <c r="G11" s="3345"/>
      <c r="H11" s="3345"/>
      <c r="I11" s="3345"/>
      <c r="J11" s="3345"/>
      <c r="K11" s="3345"/>
      <c r="L11" s="3345"/>
      <c r="M11" s="3345"/>
      <c r="N11" s="3345"/>
      <c r="O11" s="3345"/>
      <c r="P11" s="3345"/>
      <c r="Q11" s="3345"/>
      <c r="R11" s="3345"/>
      <c r="S11" s="379"/>
    </row>
    <row r="12" spans="1:19" s="3342" customFormat="1" ht="13.5" customHeight="1" thickBot="1">
      <c r="A12" s="3611" t="s">
        <v>2265</v>
      </c>
      <c r="B12" s="3639"/>
      <c r="D12" s="321"/>
      <c r="E12" s="113"/>
      <c r="F12" s="3343"/>
      <c r="G12" s="3343"/>
      <c r="H12" s="3343"/>
      <c r="I12" s="3343"/>
      <c r="J12" s="3343"/>
      <c r="K12" s="3343"/>
      <c r="L12" s="3343"/>
      <c r="M12" s="3343"/>
      <c r="N12" s="3343"/>
      <c r="O12" s="3343"/>
      <c r="P12" s="3343"/>
      <c r="Q12" s="3343"/>
      <c r="R12" s="3343"/>
      <c r="S12" s="147"/>
    </row>
    <row r="13" spans="1:19" s="3342" customFormat="1" ht="13.5" customHeight="1">
      <c r="A13" s="3341" t="s">
        <v>252</v>
      </c>
      <c r="B13" s="194"/>
      <c r="C13" s="321"/>
      <c r="D13" s="321"/>
      <c r="E13" s="3344"/>
      <c r="F13" s="3343"/>
      <c r="G13" s="3343"/>
      <c r="H13" s="3343"/>
      <c r="I13" s="3343"/>
      <c r="J13" s="3343"/>
      <c r="K13" s="3343"/>
      <c r="L13" s="3343"/>
      <c r="M13" s="3343"/>
      <c r="N13" s="3343"/>
      <c r="O13" s="3343"/>
      <c r="P13" s="3343"/>
      <c r="Q13" s="3343"/>
      <c r="R13" s="3343"/>
      <c r="S13" s="147"/>
    </row>
    <row r="14" spans="1:19" s="3342" customFormat="1" ht="13.5" customHeight="1">
      <c r="A14" s="56" t="s">
        <v>799</v>
      </c>
      <c r="B14" s="221">
        <f>'User Parameters'!L13</f>
        <v>2010</v>
      </c>
      <c r="C14" s="321"/>
      <c r="D14" s="321"/>
      <c r="E14" s="113"/>
      <c r="F14" s="3343"/>
      <c r="G14" s="3343"/>
      <c r="H14" s="3343"/>
      <c r="I14" s="3343"/>
      <c r="J14" s="3343"/>
      <c r="K14" s="3343"/>
      <c r="L14" s="3343"/>
      <c r="M14" s="3343"/>
      <c r="N14" s="3343"/>
      <c r="O14" s="3343"/>
      <c r="P14" s="3343"/>
      <c r="Q14" s="3343"/>
      <c r="R14" s="3343"/>
      <c r="S14" s="147"/>
    </row>
    <row r="15" spans="1:19" s="3342" customFormat="1" ht="13.5" customHeight="1">
      <c r="A15" s="3343" t="s">
        <v>54</v>
      </c>
      <c r="B15" s="221">
        <f>'User Parameters'!L19</f>
        <v>2010</v>
      </c>
      <c r="C15" s="321"/>
      <c r="D15" s="321"/>
      <c r="E15" s="113"/>
      <c r="F15" s="3343"/>
      <c r="G15" s="3343"/>
      <c r="H15" s="3343"/>
      <c r="I15" s="3343"/>
      <c r="J15" s="3343"/>
      <c r="K15" s="3343"/>
      <c r="L15" s="3343"/>
      <c r="M15" s="3343"/>
      <c r="N15" s="3343"/>
      <c r="O15" s="3343"/>
      <c r="P15" s="3343"/>
      <c r="Q15" s="3343"/>
      <c r="R15" s="3343"/>
      <c r="S15" s="147"/>
    </row>
    <row r="16" spans="1:19" s="3342" customFormat="1" ht="13.5" customHeight="1">
      <c r="A16" s="3342" t="s">
        <v>370</v>
      </c>
      <c r="B16" s="1221">
        <v>2010</v>
      </c>
      <c r="C16" s="321"/>
      <c r="D16" s="321"/>
      <c r="E16" s="113"/>
      <c r="F16" s="3343"/>
      <c r="G16" s="3343"/>
      <c r="H16" s="3343"/>
      <c r="I16" s="3343"/>
      <c r="J16" s="3343"/>
      <c r="K16" s="3343"/>
      <c r="L16" s="3343"/>
      <c r="M16" s="3343"/>
      <c r="N16" s="3343"/>
      <c r="O16" s="3343"/>
      <c r="P16" s="3343"/>
      <c r="Q16" s="3343"/>
      <c r="R16" s="3343"/>
      <c r="S16" s="147"/>
    </row>
    <row r="17" spans="1:19" s="3342" customFormat="1" ht="13.5" customHeight="1">
      <c r="A17" s="169" t="s">
        <v>253</v>
      </c>
      <c r="B17" s="170"/>
      <c r="C17" s="321"/>
      <c r="D17" s="321"/>
      <c r="E17" s="207"/>
      <c r="F17" s="3343"/>
      <c r="G17" s="3343"/>
      <c r="H17" s="3343"/>
      <c r="I17" s="3343"/>
      <c r="J17" s="3343"/>
      <c r="K17" s="3343"/>
      <c r="L17" s="3343"/>
      <c r="M17" s="3343"/>
      <c r="N17" s="3343"/>
      <c r="O17" s="3343"/>
      <c r="P17" s="3343"/>
      <c r="Q17" s="3343"/>
      <c r="R17" s="3343"/>
      <c r="S17" s="147"/>
    </row>
    <row r="18" spans="1:19" s="3342" customFormat="1" ht="13.5" customHeight="1">
      <c r="A18" s="3615"/>
      <c r="B18" s="3615"/>
      <c r="C18" s="321"/>
      <c r="D18" s="321"/>
      <c r="E18" s="113"/>
      <c r="F18" s="3343"/>
      <c r="G18" s="3343"/>
      <c r="H18" s="3343"/>
      <c r="I18" s="3343"/>
      <c r="J18" s="3343"/>
      <c r="K18" s="3343"/>
      <c r="L18" s="3343"/>
      <c r="M18" s="3343"/>
      <c r="N18" s="3343"/>
      <c r="O18" s="3343"/>
      <c r="P18" s="3343"/>
      <c r="Q18" s="3343"/>
      <c r="R18" s="3343"/>
      <c r="S18" s="147"/>
    </row>
    <row r="19" spans="1:19" s="3342" customFormat="1" ht="13.5" customHeight="1">
      <c r="A19" s="3339"/>
      <c r="B19" s="3339"/>
      <c r="C19" s="321"/>
      <c r="D19" s="321"/>
      <c r="E19" s="113" t="s">
        <v>929</v>
      </c>
      <c r="F19" s="3343"/>
      <c r="G19" s="3343"/>
      <c r="H19" s="3343"/>
      <c r="I19" s="3343"/>
      <c r="J19" s="3343"/>
      <c r="K19" s="3343"/>
      <c r="L19" s="3343"/>
      <c r="M19" s="3343"/>
      <c r="N19" s="3343"/>
      <c r="O19" s="3343"/>
      <c r="P19" s="3343"/>
      <c r="Q19" s="3343"/>
      <c r="R19" s="3343"/>
      <c r="S19" s="147"/>
    </row>
    <row r="20" spans="1:19" s="3342" customFormat="1" ht="13.5" customHeight="1" thickBot="1">
      <c r="C20" s="321"/>
      <c r="D20" s="321"/>
      <c r="E20" s="381" t="s">
        <v>2272</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thickBot="1">
      <c r="A23" s="3658" t="s">
        <v>2481</v>
      </c>
      <c r="B23" s="3760"/>
      <c r="C23" s="3760"/>
      <c r="D23" s="3761"/>
    </row>
    <row r="24" spans="1:19" ht="13.5" customHeight="1" thickTop="1">
      <c r="A24" s="3762" t="s">
        <v>2476</v>
      </c>
      <c r="B24" s="3763"/>
      <c r="C24" s="3763"/>
      <c r="D24" s="3447">
        <f>'PM Emissions'!G31</f>
        <v>0.67300000000000004</v>
      </c>
      <c r="E24" s="3448"/>
    </row>
    <row r="25" spans="1:19" ht="13.5" customHeight="1">
      <c r="A25" s="3745" t="s">
        <v>2475</v>
      </c>
      <c r="B25" s="3746"/>
      <c r="C25" s="3747"/>
      <c r="D25" s="3446">
        <v>0.64200000000000002</v>
      </c>
    </row>
    <row r="26" spans="1:19" ht="13.5" customHeight="1">
      <c r="A26" s="3745" t="s">
        <v>2462</v>
      </c>
      <c r="B26" s="3746"/>
      <c r="C26" s="3747"/>
      <c r="D26" s="3446">
        <v>1</v>
      </c>
      <c r="F26" s="317" t="s">
        <v>1442</v>
      </c>
    </row>
    <row r="27" spans="1:19" ht="13.5" customHeight="1">
      <c r="A27" s="3745" t="s">
        <v>584</v>
      </c>
      <c r="B27" s="3746"/>
      <c r="C27" s="3747"/>
      <c r="D27" s="3446">
        <v>0.92900000000000005</v>
      </c>
    </row>
    <row r="28" spans="1:19" ht="13.5" customHeight="1">
      <c r="A28" s="3745" t="s">
        <v>2463</v>
      </c>
      <c r="B28" s="3746"/>
      <c r="C28" s="3747"/>
      <c r="D28" s="3446">
        <v>0.94699999999999995</v>
      </c>
    </row>
    <row r="29" spans="1:19" ht="13.5" customHeight="1">
      <c r="A29" s="3745" t="s">
        <v>2464</v>
      </c>
      <c r="B29" s="3746"/>
      <c r="C29" s="3747"/>
      <c r="D29" s="3446">
        <v>0.67300000000000004</v>
      </c>
    </row>
    <row r="30" spans="1:19" ht="13.5" customHeight="1">
      <c r="A30" s="3745" t="s">
        <v>2465</v>
      </c>
      <c r="B30" s="3746"/>
      <c r="C30" s="3747"/>
      <c r="D30" s="3446">
        <v>0.67300000000000004</v>
      </c>
    </row>
    <row r="31" spans="1:19" ht="13.5" customHeight="1">
      <c r="A31" s="3745" t="s">
        <v>2466</v>
      </c>
      <c r="B31" s="3746"/>
      <c r="C31" s="3747"/>
      <c r="D31" s="3446">
        <v>0.67300000000000004</v>
      </c>
    </row>
    <row r="32" spans="1:19" ht="13.5" customHeight="1">
      <c r="A32" s="3745" t="s">
        <v>2467</v>
      </c>
      <c r="B32" s="3746"/>
      <c r="C32" s="3747"/>
      <c r="D32" s="3446">
        <v>0.67300000000000004</v>
      </c>
    </row>
    <row r="33" spans="1:4" ht="13.5" customHeight="1">
      <c r="A33" s="3745" t="s">
        <v>2468</v>
      </c>
      <c r="B33" s="3746"/>
      <c r="C33" s="3747"/>
      <c r="D33" s="3446">
        <v>0.67300000000000004</v>
      </c>
    </row>
    <row r="34" spans="1:4" ht="13.5" customHeight="1">
      <c r="A34" s="3745" t="s">
        <v>2469</v>
      </c>
      <c r="B34" s="3746"/>
      <c r="C34" s="3747"/>
      <c r="D34" s="3446">
        <v>0.67300000000000004</v>
      </c>
    </row>
    <row r="35" spans="1:4" ht="13.5" customHeight="1">
      <c r="A35" s="3745" t="s">
        <v>2470</v>
      </c>
      <c r="B35" s="3746"/>
      <c r="C35" s="3747"/>
      <c r="D35" s="3446">
        <v>0.67300000000000004</v>
      </c>
    </row>
    <row r="36" spans="1:4" ht="13.5" customHeight="1">
      <c r="A36" s="3745" t="s">
        <v>2471</v>
      </c>
      <c r="B36" s="3746"/>
      <c r="C36" s="3747"/>
      <c r="D36" s="3446">
        <v>0.67300000000000004</v>
      </c>
    </row>
    <row r="37" spans="1:4" ht="13.5" customHeight="1">
      <c r="A37" s="3745" t="s">
        <v>2472</v>
      </c>
      <c r="B37" s="3746"/>
      <c r="C37" s="3747"/>
      <c r="D37" s="3446">
        <v>0.67300000000000004</v>
      </c>
    </row>
    <row r="38" spans="1:4" ht="13.5" customHeight="1">
      <c r="A38" s="3745" t="s">
        <v>2473</v>
      </c>
      <c r="B38" s="3746"/>
      <c r="C38" s="3747"/>
      <c r="D38" s="3446">
        <v>0.67300000000000004</v>
      </c>
    </row>
    <row r="39" spans="1:4" ht="15.6" customHeight="1">
      <c r="A39" s="3745" t="s">
        <v>2474</v>
      </c>
      <c r="B39" s="3746"/>
      <c r="C39" s="3747"/>
      <c r="D39" s="3446">
        <v>0.67300000000000004</v>
      </c>
    </row>
    <row r="40" spans="1:4" ht="13.5" customHeight="1">
      <c r="A40" s="3745" t="s">
        <v>2477</v>
      </c>
      <c r="B40" s="3746"/>
      <c r="C40" s="3747"/>
      <c r="D40" s="3446">
        <v>0.99999999999999889</v>
      </c>
    </row>
    <row r="41" spans="1:4" ht="13.5" customHeight="1">
      <c r="A41" s="3745" t="s">
        <v>2478</v>
      </c>
      <c r="B41" s="3746"/>
      <c r="C41" s="3747"/>
      <c r="D41" s="3446">
        <v>0.39999999999999941</v>
      </c>
    </row>
    <row r="42" spans="1:4" ht="13.5" customHeight="1">
      <c r="A42" s="3745" t="s">
        <v>2479</v>
      </c>
      <c r="B42" s="3746"/>
      <c r="C42" s="3747"/>
      <c r="D42" s="3446">
        <v>0.71000000000000063</v>
      </c>
    </row>
    <row r="43" spans="1:4" ht="13.5" customHeight="1" thickBot="1">
      <c r="A43" s="3748" t="s">
        <v>2480</v>
      </c>
      <c r="B43" s="3749"/>
      <c r="C43" s="3750"/>
      <c r="D43" s="3445">
        <v>0.54489781581681007</v>
      </c>
    </row>
    <row r="44" spans="1:4" ht="13.5" customHeight="1" thickTop="1"/>
  </sheetData>
  <sheetProtection sheet="1" objects="1" scenarios="1"/>
  <mergeCells count="28">
    <mergeCell ref="A39:C39"/>
    <mergeCell ref="A34:C34"/>
    <mergeCell ref="A35:C35"/>
    <mergeCell ref="A36:C36"/>
    <mergeCell ref="A37:C37"/>
    <mergeCell ref="A38:C38"/>
    <mergeCell ref="A12:B12"/>
    <mergeCell ref="E6:S6"/>
    <mergeCell ref="A7:B7"/>
    <mergeCell ref="A8:B8"/>
    <mergeCell ref="A10:B10"/>
    <mergeCell ref="A11:B11"/>
    <mergeCell ref="A43:C43"/>
    <mergeCell ref="A40:C40"/>
    <mergeCell ref="A41:C41"/>
    <mergeCell ref="A42:C42"/>
    <mergeCell ref="A18:B18"/>
    <mergeCell ref="A24:C24"/>
    <mergeCell ref="A23:D23"/>
    <mergeCell ref="A25:C25"/>
    <mergeCell ref="A26:C26"/>
    <mergeCell ref="A27:C27"/>
    <mergeCell ref="A28:C28"/>
    <mergeCell ref="A29:C29"/>
    <mergeCell ref="A30:C30"/>
    <mergeCell ref="A31:C31"/>
    <mergeCell ref="A32:C32"/>
    <mergeCell ref="A33:C33"/>
  </mergeCells>
  <hyperlinks>
    <hyperlink ref="A11" location="Contents!A1" display="Contents"/>
    <hyperlink ref="A11:B11" r:id="rId1" display="WebTAG Unit 3.3.3"/>
    <hyperlink ref="A10" location="Contents!A1" display="Contents"/>
    <hyperlink ref="A10:B10" location="Contents!A1" tooltip="Contents page" display="Contents"/>
    <hyperlink ref="A12:B12" r:id="rId2" tooltip="Unit A3  Environmental Impact Appraisal" display="WebTAG Unit A 3"/>
  </hyperlinks>
  <pageMargins left="0.75" right="0.75" top="1" bottom="1" header="0.5" footer="0.5"/>
  <pageSetup paperSize="9" orientation="portrait" r:id="rId3"/>
  <headerFooter alignWithMargins="0"/>
  <drawing r:id="rId4"/>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8000"/>
    <pageSetUpPr fitToPage="1"/>
  </sheetPr>
  <dimension ref="A1:U172"/>
  <sheetViews>
    <sheetView showGridLines="0" zoomScale="85" zoomScaleNormal="85" workbookViewId="0">
      <selection activeCell="F7" sqref="F7"/>
    </sheetView>
  </sheetViews>
  <sheetFormatPr defaultColWidth="12.88671875" defaultRowHeight="13.5" customHeight="1"/>
  <cols>
    <col min="1" max="16384" width="12.88671875" style="599"/>
  </cols>
  <sheetData>
    <row r="1" spans="1:21" s="38" customFormat="1" ht="54.9" customHeight="1">
      <c r="A1" s="28"/>
      <c r="B1" s="28"/>
    </row>
    <row r="2" spans="1:21" s="300" customFormat="1" ht="5.0999999999999996" customHeight="1">
      <c r="O2" s="737"/>
    </row>
    <row r="3" spans="1:21" s="83" customFormat="1" ht="20.100000000000001" customHeight="1">
      <c r="A3" s="300" t="s">
        <v>2273</v>
      </c>
      <c r="B3" s="485"/>
      <c r="D3" s="46"/>
      <c r="H3" s="445"/>
      <c r="M3" s="426"/>
    </row>
    <row r="4" spans="1:21" s="26" customFormat="1" ht="20.100000000000001" customHeight="1" thickBot="1">
      <c r="A4" s="529" t="s">
        <v>514</v>
      </c>
      <c r="B4" s="447"/>
      <c r="C4" s="447"/>
      <c r="D4" s="487"/>
      <c r="E4" s="446"/>
      <c r="F4" s="446"/>
      <c r="G4" s="446"/>
      <c r="H4" s="446"/>
      <c r="I4" s="446"/>
      <c r="J4" s="448"/>
      <c r="K4" s="447"/>
      <c r="L4" s="602"/>
      <c r="M4" s="1216"/>
      <c r="N4" s="446"/>
      <c r="O4" s="446"/>
      <c r="P4" s="446"/>
      <c r="Q4" s="446"/>
      <c r="R4" s="446"/>
      <c r="S4" s="446"/>
      <c r="T4" s="446"/>
      <c r="U4" s="446"/>
    </row>
    <row r="5" spans="1:21" s="38" customFormat="1" ht="9.9" customHeight="1" thickTop="1" thickBot="1">
      <c r="A5" s="35"/>
      <c r="B5" s="321"/>
      <c r="C5" s="321"/>
      <c r="D5" s="32"/>
    </row>
    <row r="6" spans="1:21" s="38" customFormat="1" ht="13.5" customHeight="1" thickTop="1">
      <c r="A6" s="169" t="s">
        <v>10</v>
      </c>
      <c r="B6" s="169"/>
      <c r="E6" s="3626" t="s">
        <v>255</v>
      </c>
      <c r="F6" s="3698"/>
      <c r="G6" s="3698"/>
      <c r="H6" s="3627"/>
      <c r="I6" s="3627"/>
      <c r="J6" s="3627"/>
      <c r="K6" s="3627"/>
      <c r="L6" s="3627"/>
      <c r="M6" s="3627"/>
      <c r="N6" s="3627"/>
      <c r="O6" s="3627"/>
      <c r="P6" s="3627"/>
      <c r="Q6" s="3627"/>
      <c r="R6" s="3627"/>
      <c r="S6" s="3627"/>
      <c r="T6" s="3627"/>
      <c r="U6" s="3729"/>
    </row>
    <row r="7" spans="1:21" s="38" customFormat="1" ht="13.5" customHeight="1">
      <c r="A7" s="3644" t="str">
        <f>Audit!A12</f>
        <v>May 2019 v1.12</v>
      </c>
      <c r="B7" s="3651"/>
      <c r="D7" s="147"/>
      <c r="E7" s="43" t="s">
        <v>1451</v>
      </c>
      <c r="F7" s="3176" t="s">
        <v>2141</v>
      </c>
      <c r="G7" s="59" t="s">
        <v>1612</v>
      </c>
      <c r="I7" s="26"/>
      <c r="J7" s="26"/>
      <c r="K7" s="26"/>
      <c r="L7" s="26"/>
      <c r="M7" s="26"/>
      <c r="N7" s="26"/>
      <c r="O7" s="26"/>
      <c r="P7" s="26"/>
      <c r="Q7" s="26"/>
      <c r="R7" s="26"/>
      <c r="S7" s="26"/>
      <c r="T7" s="26"/>
      <c r="U7" s="147"/>
    </row>
    <row r="8" spans="1:21" s="38" customFormat="1" ht="13.5" customHeight="1">
      <c r="A8" s="3630">
        <f>Audit!C12</f>
        <v>43586</v>
      </c>
      <c r="B8" s="3631"/>
      <c r="C8" s="321"/>
      <c r="D8" s="412"/>
      <c r="E8" s="26"/>
      <c r="F8" s="47"/>
      <c r="G8" s="26"/>
      <c r="H8" s="315"/>
      <c r="I8" s="26"/>
      <c r="J8" s="26"/>
      <c r="K8" s="26"/>
      <c r="L8" s="26"/>
      <c r="M8" s="26"/>
      <c r="N8" s="26"/>
      <c r="O8" s="26"/>
      <c r="P8" s="26"/>
      <c r="Q8" s="26"/>
      <c r="R8" s="26"/>
      <c r="S8" s="26"/>
      <c r="T8" s="26"/>
      <c r="U8" s="147"/>
    </row>
    <row r="9" spans="1:21" s="38" customFormat="1" ht="13.5" customHeight="1" thickBot="1">
      <c r="A9" s="172" t="s">
        <v>14</v>
      </c>
      <c r="B9" s="173"/>
      <c r="D9" s="321"/>
      <c r="E9" s="180" t="s">
        <v>294</v>
      </c>
      <c r="F9" s="3124" t="s">
        <v>1933</v>
      </c>
      <c r="G9" s="26"/>
      <c r="H9" s="26"/>
      <c r="I9" s="26"/>
      <c r="J9" s="26"/>
      <c r="K9" s="26"/>
      <c r="L9" s="26"/>
      <c r="M9" s="26"/>
      <c r="N9" s="26"/>
      <c r="O9" s="26"/>
      <c r="P9" s="26"/>
      <c r="Q9" s="26"/>
      <c r="R9" s="26"/>
      <c r="S9" s="26"/>
      <c r="T9" s="26"/>
      <c r="U9" s="147"/>
    </row>
    <row r="10" spans="1:21" s="38" customFormat="1" ht="13.5" customHeight="1" thickBot="1">
      <c r="A10" s="3570" t="s">
        <v>1306</v>
      </c>
      <c r="B10" s="3610"/>
      <c r="D10" s="321"/>
      <c r="E10" s="113"/>
      <c r="F10" s="3124" t="s">
        <v>1935</v>
      </c>
      <c r="G10" s="26"/>
      <c r="H10" s="26"/>
      <c r="I10" s="26"/>
      <c r="J10" s="26"/>
      <c r="K10" s="26"/>
      <c r="L10" s="26"/>
      <c r="M10" s="26"/>
      <c r="N10" s="26"/>
      <c r="O10" s="26"/>
      <c r="P10" s="26"/>
      <c r="Q10" s="26"/>
      <c r="R10" s="26"/>
      <c r="S10" s="26"/>
      <c r="T10" s="26"/>
      <c r="U10" s="147"/>
    </row>
    <row r="11" spans="1:21" s="38" customFormat="1" ht="13.5" customHeight="1" thickBot="1">
      <c r="A11" s="3570" t="s">
        <v>2274</v>
      </c>
      <c r="B11" s="3581"/>
      <c r="D11" s="321"/>
      <c r="E11" s="113"/>
      <c r="F11" s="2681" t="s">
        <v>1936</v>
      </c>
      <c r="H11" s="53"/>
      <c r="I11" s="53"/>
      <c r="J11" s="53"/>
      <c r="K11" s="53"/>
      <c r="L11" s="53"/>
      <c r="M11" s="53"/>
      <c r="N11" s="53"/>
      <c r="O11" s="53"/>
      <c r="P11" s="53"/>
      <c r="Q11" s="53"/>
      <c r="R11" s="53"/>
      <c r="S11" s="53"/>
      <c r="T11" s="53"/>
      <c r="U11" s="379"/>
    </row>
    <row r="12" spans="1:21" s="38" customFormat="1" ht="13.5" customHeight="1" thickBot="1">
      <c r="A12" s="3570" t="s">
        <v>2265</v>
      </c>
      <c r="B12" s="3581"/>
      <c r="D12" s="321"/>
      <c r="E12" s="113"/>
      <c r="F12" s="2681" t="s">
        <v>1934</v>
      </c>
      <c r="G12" s="26"/>
      <c r="H12" s="26"/>
      <c r="I12" s="26"/>
      <c r="J12" s="26"/>
      <c r="K12" s="26"/>
      <c r="L12" s="26"/>
      <c r="M12" s="26"/>
      <c r="N12" s="26"/>
      <c r="O12" s="26"/>
      <c r="P12" s="26"/>
      <c r="Q12" s="26"/>
      <c r="R12" s="26"/>
      <c r="S12" s="26"/>
      <c r="T12" s="26"/>
      <c r="U12" s="147"/>
    </row>
    <row r="13" spans="1:21" s="38" customFormat="1" ht="13.5" customHeight="1">
      <c r="A13" s="172" t="s">
        <v>252</v>
      </c>
      <c r="B13" s="194"/>
      <c r="C13" s="321"/>
      <c r="D13" s="321"/>
      <c r="E13" s="114"/>
      <c r="F13" s="53"/>
      <c r="G13" s="53"/>
      <c r="H13" s="26"/>
      <c r="I13" s="26"/>
      <c r="J13" s="26"/>
      <c r="K13" s="26"/>
      <c r="L13" s="26"/>
      <c r="M13" s="26"/>
      <c r="N13" s="26"/>
      <c r="O13" s="26"/>
      <c r="P13" s="26"/>
      <c r="Q13" s="26"/>
      <c r="R13" s="26"/>
      <c r="S13" s="26"/>
      <c r="T13" s="26"/>
      <c r="U13" s="147"/>
    </row>
    <row r="14" spans="1:21" s="38" customFormat="1" ht="13.5" customHeight="1">
      <c r="A14" s="2441"/>
      <c r="B14" s="2442"/>
      <c r="C14" s="321"/>
      <c r="D14" s="321"/>
      <c r="E14" s="113"/>
      <c r="F14" s="26"/>
      <c r="G14" s="26"/>
      <c r="H14" s="26"/>
      <c r="I14" s="26"/>
      <c r="J14" s="26"/>
      <c r="K14" s="26"/>
      <c r="L14" s="26"/>
      <c r="M14" s="26"/>
      <c r="N14" s="26"/>
      <c r="O14" s="26"/>
      <c r="P14" s="26"/>
      <c r="Q14" s="26"/>
      <c r="R14" s="26"/>
      <c r="S14" s="26"/>
      <c r="T14" s="26"/>
      <c r="U14" s="147"/>
    </row>
    <row r="15" spans="1:21" s="38" customFormat="1" ht="13.5" customHeight="1">
      <c r="A15" s="2445"/>
      <c r="B15" s="2446"/>
      <c r="C15" s="321"/>
      <c r="D15" s="321"/>
      <c r="E15" s="113"/>
      <c r="F15" s="26"/>
      <c r="G15" s="26"/>
      <c r="H15" s="26"/>
      <c r="I15" s="26"/>
      <c r="J15" s="26"/>
      <c r="K15" s="26"/>
      <c r="L15" s="26"/>
      <c r="M15" s="26"/>
      <c r="N15" s="26"/>
      <c r="O15" s="26"/>
      <c r="P15" s="26"/>
      <c r="Q15" s="26"/>
      <c r="R15" s="26"/>
      <c r="S15" s="26"/>
      <c r="T15" s="26"/>
      <c r="U15" s="147"/>
    </row>
    <row r="16" spans="1:21" s="38" customFormat="1" ht="13.5" customHeight="1">
      <c r="A16" s="2441" t="s">
        <v>751</v>
      </c>
      <c r="B16" s="2450">
        <f>'User Parameters'!L16</f>
        <v>2010</v>
      </c>
      <c r="C16" s="321"/>
      <c r="D16" s="321"/>
      <c r="E16" s="113"/>
      <c r="F16" s="26"/>
      <c r="G16" s="26"/>
      <c r="H16" s="26"/>
      <c r="I16" s="26"/>
      <c r="J16" s="26"/>
      <c r="K16" s="26"/>
      <c r="L16" s="26"/>
      <c r="M16" s="26"/>
      <c r="N16" s="26"/>
      <c r="O16" s="26"/>
      <c r="P16" s="26"/>
      <c r="Q16" s="26"/>
      <c r="R16" s="26"/>
      <c r="S16" s="26"/>
      <c r="T16" s="26"/>
      <c r="U16" s="147"/>
    </row>
    <row r="17" spans="1:21" s="38" customFormat="1" ht="13.5" customHeight="1">
      <c r="A17" s="169" t="s">
        <v>253</v>
      </c>
      <c r="B17" s="170"/>
      <c r="C17" s="321"/>
      <c r="D17" s="321"/>
      <c r="E17" s="207"/>
      <c r="F17" s="43"/>
      <c r="G17" s="43"/>
      <c r="H17" s="26"/>
      <c r="I17" s="26"/>
      <c r="J17" s="26"/>
      <c r="K17" s="26"/>
      <c r="L17" s="26"/>
      <c r="M17" s="26"/>
      <c r="N17" s="26"/>
      <c r="O17" s="26"/>
      <c r="P17" s="26"/>
      <c r="Q17" s="26"/>
      <c r="R17" s="26"/>
      <c r="S17" s="26"/>
      <c r="T17" s="26"/>
      <c r="U17" s="147"/>
    </row>
    <row r="18" spans="1:21" s="38" customFormat="1" ht="13.5" customHeight="1">
      <c r="A18" s="3653"/>
      <c r="B18" s="3653"/>
      <c r="C18" s="321"/>
      <c r="D18" s="321"/>
      <c r="E18" s="2528"/>
      <c r="F18" s="26"/>
      <c r="G18" s="26"/>
      <c r="H18" s="26"/>
      <c r="I18" s="26"/>
      <c r="J18" s="26"/>
      <c r="K18" s="26"/>
      <c r="L18" s="26"/>
      <c r="M18" s="26"/>
      <c r="N18" s="26"/>
      <c r="O18" s="26"/>
      <c r="P18" s="26"/>
      <c r="Q18" s="26"/>
      <c r="R18" s="26"/>
      <c r="S18" s="26"/>
      <c r="T18" s="26"/>
      <c r="U18" s="147"/>
    </row>
    <row r="19" spans="1:21" s="38" customFormat="1" ht="13.5" customHeight="1">
      <c r="A19" s="3653"/>
      <c r="B19" s="3653"/>
      <c r="C19" s="321"/>
      <c r="D19" s="321"/>
      <c r="E19" s="113" t="s">
        <v>1036</v>
      </c>
      <c r="F19" s="26"/>
      <c r="G19" s="26"/>
      <c r="H19" s="26"/>
      <c r="I19" s="26"/>
      <c r="J19" s="26"/>
      <c r="K19" s="26"/>
      <c r="L19" s="26"/>
      <c r="M19" s="26"/>
      <c r="N19" s="26"/>
      <c r="O19" s="26"/>
      <c r="P19" s="26"/>
      <c r="Q19" s="26"/>
      <c r="R19" s="26"/>
      <c r="S19" s="26"/>
      <c r="T19" s="26"/>
      <c r="U19" s="147"/>
    </row>
    <row r="20" spans="1:21" s="38" customFormat="1" ht="13.5" customHeight="1" thickBot="1">
      <c r="A20" s="3653"/>
      <c r="B20" s="3653"/>
      <c r="C20" s="321"/>
      <c r="D20" s="412"/>
      <c r="E20" s="381" t="s">
        <v>2275</v>
      </c>
      <c r="F20" s="13"/>
      <c r="G20" s="13"/>
      <c r="H20" s="163"/>
      <c r="I20" s="163"/>
      <c r="J20" s="163"/>
      <c r="K20" s="163"/>
      <c r="L20" s="163"/>
      <c r="M20" s="163"/>
      <c r="N20" s="163"/>
      <c r="O20" s="163"/>
      <c r="P20" s="163"/>
      <c r="Q20" s="163"/>
      <c r="R20" s="163"/>
      <c r="S20" s="163"/>
      <c r="T20" s="163"/>
      <c r="U20" s="382"/>
    </row>
    <row r="21" spans="1:21" s="38" customFormat="1" ht="13.5" customHeight="1" thickTop="1">
      <c r="A21" s="2420"/>
      <c r="B21" s="2421"/>
      <c r="C21" s="321"/>
      <c r="D21" s="32"/>
      <c r="E21" s="348"/>
      <c r="F21" s="26"/>
      <c r="G21" s="26"/>
      <c r="H21" s="35"/>
      <c r="I21" s="738"/>
    </row>
    <row r="22" spans="1:21" ht="13.5" customHeight="1" thickBot="1">
      <c r="B22" s="627"/>
      <c r="C22" s="627"/>
      <c r="D22" s="13"/>
      <c r="E22" s="13"/>
      <c r="F22" s="13"/>
      <c r="G22" s="13"/>
      <c r="H22" s="627"/>
      <c r="I22" s="29"/>
      <c r="J22" s="29"/>
      <c r="K22" s="29"/>
      <c r="L22" s="29"/>
      <c r="M22" s="29"/>
      <c r="N22" s="29"/>
      <c r="O22" s="29"/>
    </row>
    <row r="23" spans="1:21" ht="13.5" customHeight="1" thickTop="1" thickBot="1">
      <c r="A23" s="3766" t="s">
        <v>930</v>
      </c>
      <c r="B23" s="3767"/>
      <c r="C23" s="3767"/>
      <c r="D23" s="3767"/>
      <c r="E23" s="3767"/>
      <c r="F23" s="3767"/>
      <c r="G23" s="3767"/>
      <c r="H23" s="3768"/>
      <c r="I23" s="609"/>
      <c r="J23" s="609"/>
      <c r="K23" s="609"/>
      <c r="L23" s="609"/>
      <c r="M23" s="609"/>
      <c r="N23" s="609"/>
      <c r="O23" s="609"/>
    </row>
    <row r="24" spans="1:21" ht="13.5" customHeight="1" thickTop="1">
      <c r="A24" s="765"/>
      <c r="B24" s="792"/>
      <c r="C24" s="767"/>
      <c r="D24" s="786" t="s">
        <v>579</v>
      </c>
      <c r="E24" s="786" t="s">
        <v>580</v>
      </c>
      <c r="F24" s="787" t="s">
        <v>819</v>
      </c>
      <c r="G24" s="787" t="s">
        <v>581</v>
      </c>
      <c r="H24" s="787" t="s">
        <v>581</v>
      </c>
      <c r="I24" s="609"/>
      <c r="J24" s="609"/>
      <c r="K24" s="609"/>
      <c r="L24" s="609"/>
      <c r="M24" s="609"/>
      <c r="N24" s="609"/>
      <c r="O24" s="609"/>
    </row>
    <row r="25" spans="1:21" ht="13.5" customHeight="1">
      <c r="A25" s="1633"/>
      <c r="B25" s="2133"/>
      <c r="C25" s="825"/>
      <c r="D25" s="2038"/>
      <c r="E25" s="2038"/>
      <c r="F25" s="787" t="s">
        <v>1664</v>
      </c>
      <c r="G25" s="787" t="s">
        <v>820</v>
      </c>
      <c r="H25" s="787" t="s">
        <v>584</v>
      </c>
      <c r="I25" s="609"/>
      <c r="J25" s="609"/>
      <c r="K25" s="609"/>
      <c r="L25" s="609"/>
      <c r="M25" s="609"/>
      <c r="N25" s="609"/>
      <c r="O25" s="609"/>
    </row>
    <row r="26" spans="1:21" ht="13.5" customHeight="1" thickBot="1">
      <c r="A26" s="634"/>
      <c r="B26" s="791" t="s">
        <v>1450</v>
      </c>
      <c r="C26" s="636"/>
      <c r="D26" s="789" t="s">
        <v>86</v>
      </c>
      <c r="E26" s="789" t="s">
        <v>86</v>
      </c>
      <c r="F26" s="789" t="s">
        <v>86</v>
      </c>
      <c r="G26" s="789" t="s">
        <v>87</v>
      </c>
      <c r="H26" s="790" t="s">
        <v>87</v>
      </c>
      <c r="I26" s="609"/>
      <c r="J26" s="609"/>
      <c r="K26" s="609"/>
      <c r="L26" s="609"/>
      <c r="M26" s="609"/>
      <c r="N26" s="609"/>
      <c r="O26" s="609"/>
    </row>
    <row r="27" spans="1:21" ht="13.5" customHeight="1" thickTop="1">
      <c r="A27" s="623"/>
      <c r="B27" s="1381">
        <f>B16</f>
        <v>2010</v>
      </c>
      <c r="D27" s="2637">
        <f>IF($B27&lt;'CO2'!$B$27,"",VLOOKUP($B27,'CO2'!$B$27:$H$69,3))</f>
        <v>2.2299199768831395</v>
      </c>
      <c r="E27" s="2637">
        <f>IF($B27&lt;'CO2'!$B$27,"",VLOOKUP($B27,'CO2'!$B$27:$H$69,4))</f>
        <v>2.5617129175583555</v>
      </c>
      <c r="F27" s="2637">
        <f>IF($B27&lt;'CO2'!$B$27,"",VLOOKUP($B27,'CO2'!$B$27:$H$69,5))</f>
        <v>2.9257703749999999</v>
      </c>
      <c r="G27" s="2637">
        <f>IF($B27&lt;'CO2'!$B$27,"",VLOOKUP($B27,'CO2'!$B$27:$H$69,6))</f>
        <v>0.38937841888483038</v>
      </c>
      <c r="H27" s="2637">
        <f>IF($B27&lt;'CO2'!$B$27,"",VLOOKUP($B27,'CO2'!$B$27:$H$69,7))</f>
        <v>0.36250442113580411</v>
      </c>
    </row>
    <row r="28" spans="1:21" ht="13.5" customHeight="1">
      <c r="A28" s="623"/>
      <c r="B28" s="1381">
        <f>B27+1</f>
        <v>2011</v>
      </c>
      <c r="D28" s="2637">
        <f>IF($B28&lt;'CO2'!$B$27,"",VLOOKUP($B28,'CO2'!$B$27:$H$69,3))</f>
        <v>2.2111007756537502</v>
      </c>
      <c r="E28" s="2637">
        <f>IF($B28&lt;'CO2'!$B$27,"",VLOOKUP($B28,'CO2'!$B$27:$H$69,4))</f>
        <v>2.5665344417062501</v>
      </c>
      <c r="F28" s="2637">
        <f>IF($B28&lt;'CO2'!$B$27,"",VLOOKUP($B28,'CO2'!$B$27:$H$69,5))</f>
        <v>2.9257703749999999</v>
      </c>
      <c r="G28" s="2637">
        <f>IF($B28&lt;'CO2'!$B$27,"",VLOOKUP($B28,'CO2'!$B$27:$H$69,6))</f>
        <v>0.38377758893819225</v>
      </c>
      <c r="H28" s="2637">
        <f>IF($B28&lt;'CO2'!$B$27,"",VLOOKUP($B28,'CO2'!$B$27:$H$69,7))</f>
        <v>0.35568372953447902</v>
      </c>
      <c r="I28" s="3126"/>
    </row>
    <row r="29" spans="1:21" ht="13.5" customHeight="1">
      <c r="A29" s="623"/>
      <c r="B29" s="1381">
        <f t="shared" ref="B29:B92" si="0">B28+1</f>
        <v>2012</v>
      </c>
      <c r="D29" s="2637">
        <f>IF($B29&lt;'CO2'!$B$27,"",VLOOKUP($B29,'CO2'!$B$27:$H$69,3))</f>
        <v>2.210582655733675</v>
      </c>
      <c r="E29" s="2637">
        <f>IF($B29&lt;'CO2'!$B$27,"",VLOOKUP($B29,'CO2'!$B$27:$H$69,4))</f>
        <v>2.6087021457169537</v>
      </c>
      <c r="F29" s="2637">
        <f>IF($B29&lt;'CO2'!$B$27,"",VLOOKUP($B29,'CO2'!$B$27:$H$69,5))</f>
        <v>2.9257703749999999</v>
      </c>
      <c r="G29" s="2637">
        <f>IF($B29&lt;'CO2'!$B$27,"",VLOOKUP($B29,'CO2'!$B$27:$H$69,6))</f>
        <v>0.37657132794163034</v>
      </c>
      <c r="H29" s="2637">
        <f>IF($B29&lt;'CO2'!$B$27,"",VLOOKUP($B29,'CO2'!$B$27:$H$69,7))</f>
        <v>0.34847589599259055</v>
      </c>
      <c r="I29" s="3126"/>
    </row>
    <row r="30" spans="1:21" ht="13.5" customHeight="1">
      <c r="A30" s="623"/>
      <c r="B30" s="1381">
        <f t="shared" si="0"/>
        <v>2013</v>
      </c>
      <c r="D30" s="2637">
        <f>IF($B30&lt;'CO2'!$B$27,"",VLOOKUP($B30,'CO2'!$B$27:$H$69,3))</f>
        <v>2.2009017860009048</v>
      </c>
      <c r="E30" s="2637">
        <f>IF($B30&lt;'CO2'!$B$27,"",VLOOKUP($B30,'CO2'!$B$27:$H$69,4))</f>
        <v>2.5973386501148656</v>
      </c>
      <c r="F30" s="2637">
        <f>IF($B30&lt;'CO2'!$B$27,"",VLOOKUP($B30,'CO2'!$B$27:$H$69,5))</f>
        <v>2.8518362828182298</v>
      </c>
      <c r="G30" s="2637">
        <f>IF($B30&lt;'CO2'!$B$27,"",VLOOKUP($B30,'CO2'!$B$27:$H$69,6))</f>
        <v>0.36739163602512309</v>
      </c>
      <c r="H30" s="2637">
        <f>IF($B30&lt;'CO2'!$B$27,"",VLOOKUP($B30,'CO2'!$B$27:$H$69,7))</f>
        <v>0.34085894636280811</v>
      </c>
      <c r="I30" s="3126"/>
    </row>
    <row r="31" spans="1:21" ht="13.5" customHeight="1">
      <c r="A31" s="623"/>
      <c r="B31" s="1381">
        <f t="shared" si="0"/>
        <v>2014</v>
      </c>
      <c r="D31" s="2637">
        <f>IF($B31&lt;'CO2'!$B$27,"",VLOOKUP($B31,'CO2'!$B$27:$H$69,3))</f>
        <v>2.1890887342243337</v>
      </c>
      <c r="E31" s="2637">
        <f>IF($B31&lt;'CO2'!$B$27,"",VLOOKUP($B31,'CO2'!$B$27:$H$69,4))</f>
        <v>2.6013091383329261</v>
      </c>
      <c r="F31" s="2637">
        <f>IF($B31&lt;'CO2'!$B$27,"",VLOOKUP($B31,'CO2'!$B$27:$H$69,5))</f>
        <v>2.8559245042628429</v>
      </c>
      <c r="G31" s="2637">
        <f>IF($B31&lt;'CO2'!$B$27,"",VLOOKUP($B31,'CO2'!$B$27:$H$69,6))</f>
        <v>0.36044300365091569</v>
      </c>
      <c r="H31" s="2637">
        <f>IF($B31&lt;'CO2'!$B$27,"",VLOOKUP($B31,'CO2'!$B$27:$H$69,7))</f>
        <v>0.33280965924685701</v>
      </c>
      <c r="I31" s="3126"/>
    </row>
    <row r="32" spans="1:21" ht="13.5" customHeight="1">
      <c r="A32" s="623"/>
      <c r="B32" s="1381">
        <f t="shared" si="0"/>
        <v>2015</v>
      </c>
      <c r="D32" s="2637">
        <f>IF($B32&lt;'CO2'!$B$27,"",VLOOKUP($B32,'CO2'!$B$27:$H$69,3))</f>
        <v>2.1890887342243337</v>
      </c>
      <c r="E32" s="2637">
        <f>IF($B32&lt;'CO2'!$B$27,"",VLOOKUP($B32,'CO2'!$B$27:$H$69,4))</f>
        <v>2.6014175797454899</v>
      </c>
      <c r="F32" s="2637">
        <f>IF($B32&lt;'CO2'!$B$27,"",VLOOKUP($B32,'CO2'!$B$27:$H$69,5))</f>
        <v>2.8560361611886367</v>
      </c>
      <c r="G32" s="2637">
        <f>IF($B32&lt;'CO2'!$B$27,"",VLOOKUP($B32,'CO2'!$B$27:$H$69,6))</f>
        <v>0.35022013638393001</v>
      </c>
      <c r="H32" s="2637">
        <f>IF($B32&lt;'CO2'!$B$27,"",VLOOKUP($B32,'CO2'!$B$27:$H$69,7))</f>
        <v>0.32430349520164908</v>
      </c>
      <c r="I32" s="3126"/>
    </row>
    <row r="33" spans="1:9" ht="13.5" customHeight="1">
      <c r="A33" s="623"/>
      <c r="B33" s="1381">
        <f t="shared" si="0"/>
        <v>2016</v>
      </c>
      <c r="D33" s="2637">
        <f>IF($B33&lt;'CO2'!$B$27,"",VLOOKUP($B33,'CO2'!$B$27:$H$69,3))</f>
        <v>2.1890887342243337</v>
      </c>
      <c r="E33" s="2637">
        <f>IF($B33&lt;'CO2'!$B$27,"",VLOOKUP($B33,'CO2'!$B$27:$H$69,4))</f>
        <v>2.6015089173819628</v>
      </c>
      <c r="F33" s="2637">
        <f>IF($B33&lt;'CO2'!$B$27,"",VLOOKUP($B33,'CO2'!$B$27:$H$69,5))</f>
        <v>2.856130207175835</v>
      </c>
      <c r="G33" s="2637">
        <f>IF($B33&lt;'CO2'!$B$27,"",VLOOKUP($B33,'CO2'!$B$27:$H$69,6))</f>
        <v>0.33960660597723208</v>
      </c>
      <c r="H33" s="2637">
        <f>IF($B33&lt;'CO2'!$B$27,"",VLOOKUP($B33,'CO2'!$B$27:$H$69,7))</f>
        <v>0.31531452192715809</v>
      </c>
      <c r="I33" s="3126"/>
    </row>
    <row r="34" spans="1:9" ht="13.5" customHeight="1">
      <c r="A34" s="623"/>
      <c r="B34" s="1381">
        <f t="shared" si="0"/>
        <v>2017</v>
      </c>
      <c r="D34" s="2637">
        <f>IF($B34&lt;'CO2'!$B$27,"",VLOOKUP($B34,'CO2'!$B$27:$H$69,3))</f>
        <v>2.1595005987432501</v>
      </c>
      <c r="E34" s="2637">
        <f>IF($B34&lt;'CO2'!$B$27,"",VLOOKUP($B34,'CO2'!$B$27:$H$69,4))</f>
        <v>2.5561288764705132</v>
      </c>
      <c r="F34" s="2637">
        <f>IF($B34&lt;'CO2'!$B$27,"",VLOOKUP($B34,'CO2'!$B$27:$H$69,5))</f>
        <v>2.809404553749201</v>
      </c>
      <c r="G34" s="2637">
        <f>IF($B34&lt;'CO2'!$B$27,"",VLOOKUP($B34,'CO2'!$B$27:$H$69,6))</f>
        <v>0.329934063912868</v>
      </c>
      <c r="H34" s="2637">
        <f>IF($B34&lt;'CO2'!$B$27,"",VLOOKUP($B34,'CO2'!$B$27:$H$69,7))</f>
        <v>0.30581533520796539</v>
      </c>
      <c r="I34" s="3126"/>
    </row>
    <row r="35" spans="1:9" ht="13.5" customHeight="1">
      <c r="A35" s="623"/>
      <c r="B35" s="1381">
        <f t="shared" si="0"/>
        <v>2018</v>
      </c>
      <c r="D35" s="2637">
        <f>IF($B35&lt;'CO2'!$B$27,"",VLOOKUP($B35,'CO2'!$B$27:$H$69,3))</f>
        <v>2.1299124632621669</v>
      </c>
      <c r="E35" s="2637">
        <f>IF($B35&lt;'CO2'!$B$27,"",VLOOKUP($B35,'CO2'!$B$27:$H$69,4))</f>
        <v>2.5107488355590641</v>
      </c>
      <c r="F35" s="2637">
        <f>IF($B35&lt;'CO2'!$B$27,"",VLOOKUP($B35,'CO2'!$B$27:$H$69,5))</f>
        <v>2.7626789003225665</v>
      </c>
      <c r="G35" s="2637">
        <f>IF($B35&lt;'CO2'!$B$27,"",VLOOKUP($B35,'CO2'!$B$27:$H$69,6))</f>
        <v>0.31910400905329878</v>
      </c>
      <c r="H35" s="2637">
        <f>IF($B35&lt;'CO2'!$B$27,"",VLOOKUP($B35,'CO2'!$B$27:$H$69,7))</f>
        <v>0.29577697536745345</v>
      </c>
      <c r="I35" s="3126"/>
    </row>
    <row r="36" spans="1:9" ht="13.5" customHeight="1">
      <c r="A36" s="623"/>
      <c r="B36" s="1381">
        <f t="shared" si="0"/>
        <v>2019</v>
      </c>
      <c r="D36" s="2637">
        <f>IF($B36&lt;'CO2'!$B$27,"",VLOOKUP($B36,'CO2'!$B$27:$H$69,3))</f>
        <v>2.1003243277810837</v>
      </c>
      <c r="E36" s="2637">
        <f>IF($B36&lt;'CO2'!$B$27,"",VLOOKUP($B36,'CO2'!$B$27:$H$69,4))</f>
        <v>2.4653687946476155</v>
      </c>
      <c r="F36" s="2637">
        <f>IF($B36&lt;'CO2'!$B$27,"",VLOOKUP($B36,'CO2'!$B$27:$H$69,5))</f>
        <v>2.7159532468959324</v>
      </c>
      <c r="G36" s="2637">
        <f>IF($B36&lt;'CO2'!$B$27,"",VLOOKUP($B36,'CO2'!$B$27:$H$69,6))</f>
        <v>0.30765924109719711</v>
      </c>
      <c r="H36" s="2637">
        <f>IF($B36&lt;'CO2'!$B$27,"",VLOOKUP($B36,'CO2'!$B$27:$H$69,7))</f>
        <v>0.28516883897994511</v>
      </c>
      <c r="I36" s="3126"/>
    </row>
    <row r="37" spans="1:9" ht="13.5" customHeight="1">
      <c r="A37" s="623"/>
      <c r="B37" s="1381">
        <f t="shared" si="0"/>
        <v>2020</v>
      </c>
      <c r="D37" s="2637">
        <f>IF($B37&lt;'CO2'!$B$27,"",VLOOKUP($B37,'CO2'!$B$27:$H$69,3))</f>
        <v>2.0707361923000001</v>
      </c>
      <c r="E37" s="2637">
        <f>IF($B37&lt;'CO2'!$B$27,"",VLOOKUP($B37,'CO2'!$B$27:$H$69,4))</f>
        <v>2.4199887537361664</v>
      </c>
      <c r="F37" s="2637">
        <f>IF($B37&lt;'CO2'!$B$27,"",VLOOKUP($B37,'CO2'!$B$27:$H$69,5))</f>
        <v>2.6692275934692988</v>
      </c>
      <c r="G37" s="2637">
        <f>IF($B37&lt;'CO2'!$B$27,"",VLOOKUP($B37,'CO2'!$B$27:$H$69,6))</f>
        <v>0.29556486897559364</v>
      </c>
      <c r="H37" s="2637">
        <f>IF($B37&lt;'CO2'!$B$27,"",VLOOKUP($B37,'CO2'!$B$27:$H$69,7))</f>
        <v>0.27395858557163133</v>
      </c>
      <c r="I37" s="3126"/>
    </row>
    <row r="38" spans="1:9" ht="13.5" customHeight="1">
      <c r="A38" s="623"/>
      <c r="B38" s="1381">
        <f t="shared" si="0"/>
        <v>2021</v>
      </c>
      <c r="D38" s="2637">
        <f>IF($B38&lt;'CO2'!$B$27,"",VLOOKUP($B38,'CO2'!$B$27:$H$69,3))</f>
        <v>2.0707361923000001</v>
      </c>
      <c r="E38" s="2637">
        <f>IF($B38&lt;'CO2'!$B$27,"",VLOOKUP($B38,'CO2'!$B$27:$H$69,4))</f>
        <v>2.4199887537361664</v>
      </c>
      <c r="F38" s="2637">
        <f>IF($B38&lt;'CO2'!$B$27,"",VLOOKUP($B38,'CO2'!$B$27:$H$69,5))</f>
        <v>2.6692275934692988</v>
      </c>
      <c r="G38" s="2637">
        <f>IF($B38&lt;'CO2'!$B$27,"",VLOOKUP($B38,'CO2'!$B$27:$H$69,6))</f>
        <v>0.28278402120507734</v>
      </c>
      <c r="H38" s="2637">
        <f>IF($B38&lt;'CO2'!$B$27,"",VLOOKUP($B38,'CO2'!$B$27:$H$69,7))</f>
        <v>0.26211203902585051</v>
      </c>
      <c r="I38" s="3126"/>
    </row>
    <row r="39" spans="1:9" ht="13.5" customHeight="1">
      <c r="A39" s="623"/>
      <c r="B39" s="1381">
        <f t="shared" si="0"/>
        <v>2022</v>
      </c>
      <c r="D39" s="2637">
        <f>IF($B39&lt;'CO2'!$B$27,"",VLOOKUP($B39,'CO2'!$B$27:$H$69,3))</f>
        <v>2.0707361923000001</v>
      </c>
      <c r="E39" s="2637">
        <f>IF($B39&lt;'CO2'!$B$27,"",VLOOKUP($B39,'CO2'!$B$27:$H$69,4))</f>
        <v>2.4199887537361664</v>
      </c>
      <c r="F39" s="2637">
        <f>IF($B39&lt;'CO2'!$B$27,"",VLOOKUP($B39,'CO2'!$B$27:$H$69,5))</f>
        <v>2.6692275934692988</v>
      </c>
      <c r="G39" s="2637">
        <f>IF($B39&lt;'CO2'!$B$27,"",VLOOKUP($B39,'CO2'!$B$27:$H$69,6))</f>
        <v>0.2692777334796212</v>
      </c>
      <c r="H39" s="2637">
        <f>IF($B39&lt;'CO2'!$B$27,"",VLOOKUP($B39,'CO2'!$B$27:$H$69,7))</f>
        <v>0.24959308339213818</v>
      </c>
      <c r="I39" s="3126"/>
    </row>
    <row r="40" spans="1:9" ht="13.5" customHeight="1">
      <c r="A40" s="623"/>
      <c r="B40" s="1381">
        <f t="shared" si="0"/>
        <v>2023</v>
      </c>
      <c r="D40" s="2637">
        <f>IF($B40&lt;'CO2'!$B$27,"",VLOOKUP($B40,'CO2'!$B$27:$H$69,3))</f>
        <v>2.0707361923000001</v>
      </c>
      <c r="E40" s="2637">
        <f>IF($B40&lt;'CO2'!$B$27,"",VLOOKUP($B40,'CO2'!$B$27:$H$69,4))</f>
        <v>2.4199887537361664</v>
      </c>
      <c r="F40" s="2637">
        <f>IF($B40&lt;'CO2'!$B$27,"",VLOOKUP($B40,'CO2'!$B$27:$H$69,5))</f>
        <v>2.6692275934692988</v>
      </c>
      <c r="G40" s="2637">
        <f>IF($B40&lt;'CO2'!$B$27,"",VLOOKUP($B40,'CO2'!$B$27:$H$69,6))</f>
        <v>0.25500482988212858</v>
      </c>
      <c r="H40" s="2637">
        <f>IF($B40&lt;'CO2'!$B$27,"",VLOOKUP($B40,'CO2'!$B$27:$H$69,7))</f>
        <v>0.23636355278140711</v>
      </c>
      <c r="I40" s="3126"/>
    </row>
    <row r="41" spans="1:9" ht="13.5" customHeight="1">
      <c r="A41" s="623"/>
      <c r="B41" s="1381">
        <f t="shared" si="0"/>
        <v>2024</v>
      </c>
      <c r="D41" s="2637">
        <f>IF($B41&lt;'CO2'!$B$27,"",VLOOKUP($B41,'CO2'!$B$27:$H$69,3))</f>
        <v>2.0707361923000001</v>
      </c>
      <c r="E41" s="2637">
        <f>IF($B41&lt;'CO2'!$B$27,"",VLOOKUP($B41,'CO2'!$B$27:$H$69,4))</f>
        <v>2.4199887537361664</v>
      </c>
      <c r="F41" s="2637">
        <f>IF($B41&lt;'CO2'!$B$27,"",VLOOKUP($B41,'CO2'!$B$27:$H$69,5))</f>
        <v>2.6692275934692988</v>
      </c>
      <c r="G41" s="2637">
        <f>IF($B41&lt;'CO2'!$B$27,"",VLOOKUP($B41,'CO2'!$B$27:$H$69,6))</f>
        <v>0.23992179735355579</v>
      </c>
      <c r="H41" s="2637">
        <f>IF($B41&lt;'CO2'!$B$27,"",VLOOKUP($B41,'CO2'!$B$27:$H$69,7))</f>
        <v>0.22238311501158572</v>
      </c>
      <c r="I41" s="3126"/>
    </row>
    <row r="42" spans="1:9" ht="13.5" customHeight="1">
      <c r="A42" s="623"/>
      <c r="B42" s="1381">
        <f t="shared" si="0"/>
        <v>2025</v>
      </c>
      <c r="D42" s="2637">
        <f>IF($B42&lt;'CO2'!$B$27,"",VLOOKUP($B42,'CO2'!$B$27:$H$69,3))</f>
        <v>2.0707361923000001</v>
      </c>
      <c r="E42" s="2637">
        <f>IF($B42&lt;'CO2'!$B$27,"",VLOOKUP($B42,'CO2'!$B$27:$H$69,4))</f>
        <v>2.4199887537361664</v>
      </c>
      <c r="F42" s="2637">
        <f>IF($B42&lt;'CO2'!$B$27,"",VLOOKUP($B42,'CO2'!$B$27:$H$69,5))</f>
        <v>2.6692275934692988</v>
      </c>
      <c r="G42" s="2637">
        <f>IF($B42&lt;'CO2'!$B$27,"",VLOOKUP($B42,'CO2'!$B$27:$H$69,6))</f>
        <v>0.22398265303691164</v>
      </c>
      <c r="H42" s="2637">
        <f>IF($B42&lt;'CO2'!$B$27,"",VLOOKUP($B42,'CO2'!$B$27:$H$69,7))</f>
        <v>0.20760914864899169</v>
      </c>
      <c r="I42" s="3126"/>
    </row>
    <row r="43" spans="1:9" ht="13.5" customHeight="1">
      <c r="A43" s="623"/>
      <c r="B43" s="1381">
        <f t="shared" si="0"/>
        <v>2026</v>
      </c>
      <c r="D43" s="2637">
        <f>IF($B43&lt;'CO2'!$B$27,"",VLOOKUP($B43,'CO2'!$B$27:$H$69,3))</f>
        <v>2.0707361923000001</v>
      </c>
      <c r="E43" s="2637">
        <f>IF($B43&lt;'CO2'!$B$27,"",VLOOKUP($B43,'CO2'!$B$27:$H$69,4))</f>
        <v>2.4199887537361664</v>
      </c>
      <c r="F43" s="2637">
        <f>IF($B43&lt;'CO2'!$B$27,"",VLOOKUP($B43,'CO2'!$B$27:$H$69,5))</f>
        <v>2.6692275934692988</v>
      </c>
      <c r="G43" s="2637">
        <f>IF($B43&lt;'CO2'!$B$27,"",VLOOKUP($B43,'CO2'!$B$27:$H$69,6))</f>
        <v>0.20713880409171231</v>
      </c>
      <c r="H43" s="2637">
        <f>IF($B43&lt;'CO2'!$B$27,"",VLOOKUP($B43,'CO2'!$B$27:$H$69,7))</f>
        <v>0.19199661307058344</v>
      </c>
      <c r="I43" s="3126"/>
    </row>
    <row r="44" spans="1:9" ht="13.5" customHeight="1">
      <c r="A44" s="623"/>
      <c r="B44" s="1381">
        <f t="shared" si="0"/>
        <v>2027</v>
      </c>
      <c r="D44" s="2637">
        <f>IF($B44&lt;'CO2'!$B$27,"",VLOOKUP($B44,'CO2'!$B$27:$H$69,3))</f>
        <v>2.0707361923000001</v>
      </c>
      <c r="E44" s="2637">
        <f>IF($B44&lt;'CO2'!$B$27,"",VLOOKUP($B44,'CO2'!$B$27:$H$69,4))</f>
        <v>2.4199887537361664</v>
      </c>
      <c r="F44" s="2637">
        <f>IF($B44&lt;'CO2'!$B$27,"",VLOOKUP($B44,'CO2'!$B$27:$H$69,5))</f>
        <v>2.6692275934692988</v>
      </c>
      <c r="G44" s="2637">
        <f>IF($B44&lt;'CO2'!$B$27,"",VLOOKUP($B44,'CO2'!$B$27:$H$69,6))</f>
        <v>0.18933889955151495</v>
      </c>
      <c r="H44" s="2637">
        <f>IF($B44&lt;'CO2'!$B$27,"",VLOOKUP($B44,'CO2'!$B$27:$H$69,7))</f>
        <v>0.17549791115095442</v>
      </c>
    </row>
    <row r="45" spans="1:9" ht="13.5" customHeight="1">
      <c r="A45" s="623"/>
      <c r="B45" s="1381">
        <f t="shared" si="0"/>
        <v>2028</v>
      </c>
      <c r="D45" s="2637">
        <f>IF($B45&lt;'CO2'!$B$27,"",VLOOKUP($B45,'CO2'!$B$27:$H$69,3))</f>
        <v>2.0707361923000001</v>
      </c>
      <c r="E45" s="2637">
        <f>IF($B45&lt;'CO2'!$B$27,"",VLOOKUP($B45,'CO2'!$B$27:$H$69,4))</f>
        <v>2.4199887537361664</v>
      </c>
      <c r="F45" s="2637">
        <f>IF($B45&lt;'CO2'!$B$27,"",VLOOKUP($B45,'CO2'!$B$27:$H$69,5))</f>
        <v>2.6692275934692988</v>
      </c>
      <c r="G45" s="2637">
        <f>IF($B45&lt;'CO2'!$B$27,"",VLOOKUP($B45,'CO2'!$B$27:$H$69,6))</f>
        <v>0.17052867377289696</v>
      </c>
      <c r="H45" s="2637">
        <f>IF($B45&lt;'CO2'!$B$27,"",VLOOKUP($B45,'CO2'!$B$27:$H$69,7))</f>
        <v>0.15806274415545216</v>
      </c>
    </row>
    <row r="46" spans="1:9" ht="13.5" customHeight="1">
      <c r="A46" s="623"/>
      <c r="B46" s="1381">
        <f t="shared" si="0"/>
        <v>2029</v>
      </c>
      <c r="D46" s="2637">
        <f>IF($B46&lt;'CO2'!$B$27,"",VLOOKUP($B46,'CO2'!$B$27:$H$69,3))</f>
        <v>2.0707361923000001</v>
      </c>
      <c r="E46" s="2637">
        <f>IF($B46&lt;'CO2'!$B$27,"",VLOOKUP($B46,'CO2'!$B$27:$H$69,4))</f>
        <v>2.4199887537361664</v>
      </c>
      <c r="F46" s="2637">
        <f>IF($B46&lt;'CO2'!$B$27,"",VLOOKUP($B46,'CO2'!$B$27:$H$69,5))</f>
        <v>2.6692275934692988</v>
      </c>
      <c r="G46" s="2637">
        <f>IF($B46&lt;'CO2'!$B$27,"",VLOOKUP($B46,'CO2'!$B$27:$H$69,6))</f>
        <v>0.1506507809986099</v>
      </c>
      <c r="H46" s="2637">
        <f>IF($B46&lt;'CO2'!$B$27,"",VLOOKUP($B46,'CO2'!$B$27:$H$69,7))</f>
        <v>0.1396379583970408</v>
      </c>
    </row>
    <row r="47" spans="1:9" ht="13.5" customHeight="1">
      <c r="A47" s="623"/>
      <c r="B47" s="1381">
        <f t="shared" si="0"/>
        <v>2030</v>
      </c>
      <c r="D47" s="2637">
        <f>IF($B47&lt;'CO2'!$B$27,"",VLOOKUP($B47,'CO2'!$B$27:$H$69,3))</f>
        <v>2.0707361923000001</v>
      </c>
      <c r="E47" s="2637">
        <f>IF($B47&lt;'CO2'!$B$27,"",VLOOKUP($B47,'CO2'!$B$27:$H$69,4))</f>
        <v>2.4199887537361664</v>
      </c>
      <c r="F47" s="2637">
        <f>IF($B47&lt;'CO2'!$B$27,"",VLOOKUP($B47,'CO2'!$B$27:$H$69,5))</f>
        <v>2.6692275934692988</v>
      </c>
      <c r="G47" s="2637">
        <f>IF($B47&lt;'CO2'!$B$27,"",VLOOKUP($B47,'CO2'!$B$27:$H$69,6))</f>
        <v>0.12964462053055192</v>
      </c>
      <c r="H47" s="2637">
        <f>IF($B47&lt;'CO2'!$B$27,"",VLOOKUP($B47,'CO2'!$B$27:$H$69,7))</f>
        <v>0.12016738318942002</v>
      </c>
    </row>
    <row r="48" spans="1:9" ht="13.5" customHeight="1">
      <c r="A48" s="623"/>
      <c r="B48" s="1381">
        <f t="shared" si="0"/>
        <v>2031</v>
      </c>
      <c r="D48" s="2637">
        <f>IF($B48&lt;'CO2'!$B$27,"",VLOOKUP($B48,'CO2'!$B$27:$H$69,3))</f>
        <v>2.0707361923000001</v>
      </c>
      <c r="E48" s="2637">
        <f>IF($B48&lt;'CO2'!$B$27,"",VLOOKUP($B48,'CO2'!$B$27:$H$69,4))</f>
        <v>2.4199887537361664</v>
      </c>
      <c r="F48" s="2637">
        <f>IF($B48&lt;'CO2'!$B$27,"",VLOOKUP($B48,'CO2'!$B$27:$H$69,5))</f>
        <v>2.6692275934692988</v>
      </c>
      <c r="G48" s="2637">
        <f>IF($B48&lt;'CO2'!$B$27,"",VLOOKUP($B48,'CO2'!$B$27:$H$69,6))</f>
        <v>0.11551638230192907</v>
      </c>
      <c r="H48" s="2637">
        <f>IF($B48&lt;'CO2'!$B$27,"",VLOOKUP($B48,'CO2'!$B$27:$H$69,7))</f>
        <v>0.10707194266853667</v>
      </c>
    </row>
    <row r="49" spans="1:8" ht="13.5" customHeight="1">
      <c r="A49" s="623"/>
      <c r="B49" s="1381">
        <f t="shared" si="0"/>
        <v>2032</v>
      </c>
      <c r="D49" s="2637">
        <f>IF($B49&lt;'CO2'!$B$27,"",VLOOKUP($B49,'CO2'!$B$27:$H$69,3))</f>
        <v>2.0707361923000001</v>
      </c>
      <c r="E49" s="2637">
        <f>IF($B49&lt;'CO2'!$B$27,"",VLOOKUP($B49,'CO2'!$B$27:$H$69,4))</f>
        <v>2.4199887537361664</v>
      </c>
      <c r="F49" s="2637">
        <f>IF($B49&lt;'CO2'!$B$27,"",VLOOKUP($B49,'CO2'!$B$27:$H$69,5))</f>
        <v>2.6692275934692988</v>
      </c>
      <c r="G49" s="2637">
        <f>IF($B49&lt;'CO2'!$B$27,"",VLOOKUP($B49,'CO2'!$B$27:$H$69,6))</f>
        <v>0.10292779234122398</v>
      </c>
      <c r="H49" s="2637">
        <f>IF($B49&lt;'CO2'!$B$27,"",VLOOKUP($B49,'CO2'!$B$27:$H$69,7))</f>
        <v>9.540359956697278E-2</v>
      </c>
    </row>
    <row r="50" spans="1:8" ht="13.5" customHeight="1">
      <c r="A50" s="623"/>
      <c r="B50" s="1381">
        <f t="shared" si="0"/>
        <v>2033</v>
      </c>
      <c r="D50" s="2637">
        <f>IF($B50&lt;'CO2'!$B$27,"",VLOOKUP($B50,'CO2'!$B$27:$H$69,3))</f>
        <v>2.0707361923000001</v>
      </c>
      <c r="E50" s="2637">
        <f>IF($B50&lt;'CO2'!$B$27,"",VLOOKUP($B50,'CO2'!$B$27:$H$69,4))</f>
        <v>2.4199887537361664</v>
      </c>
      <c r="F50" s="2637">
        <f>IF($B50&lt;'CO2'!$B$27,"",VLOOKUP($B50,'CO2'!$B$27:$H$69,5))</f>
        <v>2.6692275934692988</v>
      </c>
      <c r="G50" s="2637">
        <f>IF($B50&lt;'CO2'!$B$27,"",VLOOKUP($B50,'CO2'!$B$27:$H$69,6))</f>
        <v>9.1711064916730936E-2</v>
      </c>
      <c r="H50" s="2637">
        <f>IF($B50&lt;'CO2'!$B$27,"",VLOOKUP($B50,'CO2'!$B$27:$H$69,7))</f>
        <v>8.500683356901384E-2</v>
      </c>
    </row>
    <row r="51" spans="1:8" ht="13.5" customHeight="1">
      <c r="A51" s="623"/>
      <c r="B51" s="1381">
        <f t="shared" si="0"/>
        <v>2034</v>
      </c>
      <c r="D51" s="2637">
        <f>IF($B51&lt;'CO2'!$B$27,"",VLOOKUP($B51,'CO2'!$B$27:$H$69,3))</f>
        <v>2.0707361923000001</v>
      </c>
      <c r="E51" s="2637">
        <f>IF($B51&lt;'CO2'!$B$27,"",VLOOKUP($B51,'CO2'!$B$27:$H$69,4))</f>
        <v>2.4199887537361664</v>
      </c>
      <c r="F51" s="2637">
        <f>IF($B51&lt;'CO2'!$B$27,"",VLOOKUP($B51,'CO2'!$B$27:$H$69,5))</f>
        <v>2.6692275934692988</v>
      </c>
      <c r="G51" s="2637">
        <f>IF($B51&lt;'CO2'!$B$27,"",VLOOKUP($B51,'CO2'!$B$27:$H$69,6))</f>
        <v>8.1716699026023409E-2</v>
      </c>
      <c r="H51" s="2637">
        <f>IF($B51&lt;'CO2'!$B$27,"",VLOOKUP($B51,'CO2'!$B$27:$H$69,7))</f>
        <v>7.5743072444109341E-2</v>
      </c>
    </row>
    <row r="52" spans="1:8" ht="13.5" customHeight="1">
      <c r="A52" s="623"/>
      <c r="B52" s="1381">
        <f t="shared" si="0"/>
        <v>2035</v>
      </c>
      <c r="D52" s="2637">
        <f>IF($B52&lt;'CO2'!$B$27,"",VLOOKUP($B52,'CO2'!$B$27:$H$69,3))</f>
        <v>2.0707361923000001</v>
      </c>
      <c r="E52" s="2637">
        <f>IF($B52&lt;'CO2'!$B$27,"",VLOOKUP($B52,'CO2'!$B$27:$H$69,4))</f>
        <v>2.4199887537361664</v>
      </c>
      <c r="F52" s="2637">
        <f>IF($B52&lt;'CO2'!$B$27,"",VLOOKUP($B52,'CO2'!$B$27:$H$69,5))</f>
        <v>2.6692275934692988</v>
      </c>
      <c r="G52" s="2637">
        <f>IF($B52&lt;'CO2'!$B$27,"",VLOOKUP($B52,'CO2'!$B$27:$H$69,6))</f>
        <v>7.2811485787158153E-2</v>
      </c>
      <c r="H52" s="2637">
        <f>IF($B52&lt;'CO2'!$B$27,"",VLOOKUP($B52,'CO2'!$B$27:$H$69,7))</f>
        <v>6.7488845101093334E-2</v>
      </c>
    </row>
    <row r="53" spans="1:8" ht="13.5" customHeight="1">
      <c r="A53" s="623"/>
      <c r="B53" s="1381">
        <f t="shared" si="0"/>
        <v>2036</v>
      </c>
      <c r="D53" s="2637">
        <f>IF($B53&lt;'CO2'!$B$27,"",VLOOKUP($B53,'CO2'!$B$27:$H$69,3))</f>
        <v>2.0707361923000001</v>
      </c>
      <c r="E53" s="2637">
        <f>IF($B53&lt;'CO2'!$B$27,"",VLOOKUP($B53,'CO2'!$B$27:$H$69,4))</f>
        <v>2.4199887537361664</v>
      </c>
      <c r="F53" s="2637">
        <f>IF($B53&lt;'CO2'!$B$27,"",VLOOKUP($B53,'CO2'!$B$27:$H$69,5))</f>
        <v>2.6692275934692988</v>
      </c>
      <c r="G53" s="2637">
        <f>IF($B53&lt;'CO2'!$B$27,"",VLOOKUP($B53,'CO2'!$B$27:$H$69,6))</f>
        <v>6.4876732977738383E-2</v>
      </c>
      <c r="H53" s="2637">
        <f>IF($B53&lt;'CO2'!$B$27,"",VLOOKUP($B53,'CO2'!$B$27:$H$69,7))</f>
        <v>6.0134135916394285E-2</v>
      </c>
    </row>
    <row r="54" spans="1:8" ht="13.5" customHeight="1">
      <c r="A54" s="623"/>
      <c r="B54" s="1381">
        <f t="shared" si="0"/>
        <v>2037</v>
      </c>
      <c r="D54" s="2637">
        <f>IF($B54&lt;'CO2'!$B$27,"",VLOOKUP($B54,'CO2'!$B$27:$H$69,3))</f>
        <v>2.0707361923000001</v>
      </c>
      <c r="E54" s="2637">
        <f>IF($B54&lt;'CO2'!$B$27,"",VLOOKUP($B54,'CO2'!$B$27:$H$69,4))</f>
        <v>2.4199887537361664</v>
      </c>
      <c r="F54" s="2637">
        <f>IF($B54&lt;'CO2'!$B$27,"",VLOOKUP($B54,'CO2'!$B$27:$H$69,5))</f>
        <v>2.6692275934692988</v>
      </c>
      <c r="G54" s="2637">
        <f>IF($B54&lt;'CO2'!$B$27,"",VLOOKUP($B54,'CO2'!$B$27:$H$69,6))</f>
        <v>5.7806683057786343E-2</v>
      </c>
      <c r="H54" s="2637">
        <f>IF($B54&lt;'CO2'!$B$27,"",VLOOKUP($B54,'CO2'!$B$27:$H$69,7))</f>
        <v>5.3580918402066406E-2</v>
      </c>
    </row>
    <row r="55" spans="1:8" ht="13.5" customHeight="1">
      <c r="A55" s="623"/>
      <c r="B55" s="1381">
        <f t="shared" si="0"/>
        <v>2038</v>
      </c>
      <c r="D55" s="2637">
        <f>IF($B55&lt;'CO2'!$B$27,"",VLOOKUP($B55,'CO2'!$B$27:$H$69,3))</f>
        <v>2.0707361923000001</v>
      </c>
      <c r="E55" s="2637">
        <f>IF($B55&lt;'CO2'!$B$27,"",VLOOKUP($B55,'CO2'!$B$27:$H$69,4))</f>
        <v>2.4199887537361664</v>
      </c>
      <c r="F55" s="2637">
        <f>IF($B55&lt;'CO2'!$B$27,"",VLOOKUP($B55,'CO2'!$B$27:$H$69,5))</f>
        <v>2.6692275934692988</v>
      </c>
      <c r="G55" s="2637">
        <f>IF($B55&lt;'CO2'!$B$27,"",VLOOKUP($B55,'CO2'!$B$27:$H$69,6))</f>
        <v>5.1507103591205715E-2</v>
      </c>
      <c r="H55" s="2637">
        <f>IF($B55&lt;'CO2'!$B$27,"",VLOOKUP($B55,'CO2'!$B$27:$H$69,7))</f>
        <v>4.7741848669786993E-2</v>
      </c>
    </row>
    <row r="56" spans="1:8" ht="13.5" customHeight="1">
      <c r="A56" s="623"/>
      <c r="B56" s="1381">
        <f t="shared" si="0"/>
        <v>2039</v>
      </c>
      <c r="D56" s="2637">
        <f>IF($B56&lt;'CO2'!$B$27,"",VLOOKUP($B56,'CO2'!$B$27:$H$69,3))</f>
        <v>2.0707361923000001</v>
      </c>
      <c r="E56" s="2637">
        <f>IF($B56&lt;'CO2'!$B$27,"",VLOOKUP($B56,'CO2'!$B$27:$H$69,4))</f>
        <v>2.4199887537361664</v>
      </c>
      <c r="F56" s="2637">
        <f>IF($B56&lt;'CO2'!$B$27,"",VLOOKUP($B56,'CO2'!$B$27:$H$69,5))</f>
        <v>2.6692275934692988</v>
      </c>
      <c r="G56" s="2637">
        <f>IF($B56&lt;'CO2'!$B$27,"",VLOOKUP($B56,'CO2'!$B$27:$H$69,6))</f>
        <v>4.5894031278410297E-2</v>
      </c>
      <c r="H56" s="2637">
        <f>IF($B56&lt;'CO2'!$B$27,"",VLOOKUP($B56,'CO2'!$B$27:$H$69,7))</f>
        <v>4.253910127678847E-2</v>
      </c>
    </row>
    <row r="57" spans="1:8" ht="13.5" customHeight="1">
      <c r="A57" s="623"/>
      <c r="B57" s="1381">
        <f t="shared" si="0"/>
        <v>2040</v>
      </c>
      <c r="D57" s="2637">
        <f>IF($B57&lt;'CO2'!$B$27,"",VLOOKUP($B57,'CO2'!$B$27:$H$69,3))</f>
        <v>2.0707361923000001</v>
      </c>
      <c r="E57" s="2637">
        <f>IF($B57&lt;'CO2'!$B$27,"",VLOOKUP($B57,'CO2'!$B$27:$H$69,4))</f>
        <v>2.4199887537361664</v>
      </c>
      <c r="F57" s="2637">
        <f>IF($B57&lt;'CO2'!$B$27,"",VLOOKUP($B57,'CO2'!$B$27:$H$69,5))</f>
        <v>2.6692275934692988</v>
      </c>
      <c r="G57" s="2637">
        <f>IF($B57&lt;'CO2'!$B$27,"",VLOOKUP($B57,'CO2'!$B$27:$H$69,6))</f>
        <v>4.0892652860086767E-2</v>
      </c>
      <c r="H57" s="2637">
        <f>IF($B57&lt;'CO2'!$B$27,"",VLOOKUP($B57,'CO2'!$B$27:$H$69,7))</f>
        <v>3.7903331937417017E-2</v>
      </c>
    </row>
    <row r="58" spans="1:8" ht="13.5" customHeight="1">
      <c r="A58" s="623"/>
      <c r="B58" s="1381">
        <f t="shared" si="0"/>
        <v>2041</v>
      </c>
      <c r="D58" s="2637">
        <f>IF($B58&lt;'CO2'!$B$27,"",VLOOKUP($B58,'CO2'!$B$27:$H$69,3))</f>
        <v>2.0707361923000001</v>
      </c>
      <c r="E58" s="2637">
        <f>IF($B58&lt;'CO2'!$B$27,"",VLOOKUP($B58,'CO2'!$B$27:$H$69,4))</f>
        <v>2.4199887537361664</v>
      </c>
      <c r="F58" s="2637">
        <f>IF($B58&lt;'CO2'!$B$27,"",VLOOKUP($B58,'CO2'!$B$27:$H$69,5))</f>
        <v>2.6692275934692988</v>
      </c>
      <c r="G58" s="2637">
        <f>IF($B58&lt;'CO2'!$B$27,"",VLOOKUP($B58,'CO2'!$B$27:$H$69,6))</f>
        <v>3.9563233790948664E-2</v>
      </c>
      <c r="H58" s="2637">
        <f>IF($B58&lt;'CO2'!$B$27,"",VLOOKUP($B58,'CO2'!$B$27:$H$69,7))</f>
        <v>3.667109561286553E-2</v>
      </c>
    </row>
    <row r="59" spans="1:8" ht="13.5" customHeight="1">
      <c r="A59" s="623"/>
      <c r="B59" s="1381">
        <f t="shared" si="0"/>
        <v>2042</v>
      </c>
      <c r="D59" s="2637">
        <f>IF($B59&lt;'CO2'!$B$27,"",VLOOKUP($B59,'CO2'!$B$27:$H$69,3))</f>
        <v>2.0707361923000001</v>
      </c>
      <c r="E59" s="2637">
        <f>IF($B59&lt;'CO2'!$B$27,"",VLOOKUP($B59,'CO2'!$B$27:$H$69,4))</f>
        <v>2.4199887537361664</v>
      </c>
      <c r="F59" s="2637">
        <f>IF($B59&lt;'CO2'!$B$27,"",VLOOKUP($B59,'CO2'!$B$27:$H$69,5))</f>
        <v>2.6692275934692988</v>
      </c>
      <c r="G59" s="2637">
        <f>IF($B59&lt;'CO2'!$B$27,"",VLOOKUP($B59,'CO2'!$B$27:$H$69,6))</f>
        <v>3.8233814721810568E-2</v>
      </c>
      <c r="H59" s="2637">
        <f>IF($B59&lt;'CO2'!$B$27,"",VLOOKUP($B59,'CO2'!$B$27:$H$69,7))</f>
        <v>3.5438859288314035E-2</v>
      </c>
    </row>
    <row r="60" spans="1:8" ht="13.5" customHeight="1">
      <c r="A60" s="623"/>
      <c r="B60" s="1381">
        <f t="shared" si="0"/>
        <v>2043</v>
      </c>
      <c r="D60" s="2637">
        <f>IF($B60&lt;'CO2'!$B$27,"",VLOOKUP($B60,'CO2'!$B$27:$H$69,3))</f>
        <v>2.0707361923000001</v>
      </c>
      <c r="E60" s="2637">
        <f>IF($B60&lt;'CO2'!$B$27,"",VLOOKUP($B60,'CO2'!$B$27:$H$69,4))</f>
        <v>2.4199887537361664</v>
      </c>
      <c r="F60" s="2637">
        <f>IF($B60&lt;'CO2'!$B$27,"",VLOOKUP($B60,'CO2'!$B$27:$H$69,5))</f>
        <v>2.6692275934692988</v>
      </c>
      <c r="G60" s="2637">
        <f>IF($B60&lt;'CO2'!$B$27,"",VLOOKUP($B60,'CO2'!$B$27:$H$69,6))</f>
        <v>3.6904395652672464E-2</v>
      </c>
      <c r="H60" s="2637">
        <f>IF($B60&lt;'CO2'!$B$27,"",VLOOKUP($B60,'CO2'!$B$27:$H$69,7))</f>
        <v>3.4206622963762541E-2</v>
      </c>
    </row>
    <row r="61" spans="1:8" ht="13.5" customHeight="1">
      <c r="A61" s="623"/>
      <c r="B61" s="1381">
        <f t="shared" si="0"/>
        <v>2044</v>
      </c>
      <c r="D61" s="2637">
        <f>IF($B61&lt;'CO2'!$B$27,"",VLOOKUP($B61,'CO2'!$B$27:$H$69,3))</f>
        <v>2.0707361923000001</v>
      </c>
      <c r="E61" s="2637">
        <f>IF($B61&lt;'CO2'!$B$27,"",VLOOKUP($B61,'CO2'!$B$27:$H$69,4))</f>
        <v>2.4199887537361664</v>
      </c>
      <c r="F61" s="2637">
        <f>IF($B61&lt;'CO2'!$B$27,"",VLOOKUP($B61,'CO2'!$B$27:$H$69,5))</f>
        <v>2.6692275934692988</v>
      </c>
      <c r="G61" s="2637">
        <f>IF($B61&lt;'CO2'!$B$27,"",VLOOKUP($B61,'CO2'!$B$27:$H$69,6))</f>
        <v>3.5574976583534361E-2</v>
      </c>
      <c r="H61" s="2637">
        <f>IF($B61&lt;'CO2'!$B$27,"",VLOOKUP($B61,'CO2'!$B$27:$H$69,7))</f>
        <v>3.2974386639211054E-2</v>
      </c>
    </row>
    <row r="62" spans="1:8" ht="13.5" customHeight="1">
      <c r="A62" s="623"/>
      <c r="B62" s="1381">
        <f t="shared" si="0"/>
        <v>2045</v>
      </c>
      <c r="D62" s="2637">
        <f>IF($B62&lt;'CO2'!$B$27,"",VLOOKUP($B62,'CO2'!$B$27:$H$69,3))</f>
        <v>2.0707361923000001</v>
      </c>
      <c r="E62" s="2637">
        <f>IF($B62&lt;'CO2'!$B$27,"",VLOOKUP($B62,'CO2'!$B$27:$H$69,4))</f>
        <v>2.4199887537361664</v>
      </c>
      <c r="F62" s="2637">
        <f>IF($B62&lt;'CO2'!$B$27,"",VLOOKUP($B62,'CO2'!$B$27:$H$69,5))</f>
        <v>2.6692275934692988</v>
      </c>
      <c r="G62" s="2637">
        <f>IF($B62&lt;'CO2'!$B$27,"",VLOOKUP($B62,'CO2'!$B$27:$H$69,6))</f>
        <v>3.4245557514396265E-2</v>
      </c>
      <c r="H62" s="2637">
        <f>IF($B62&lt;'CO2'!$B$27,"",VLOOKUP($B62,'CO2'!$B$27:$H$69,7))</f>
        <v>3.1742150314659559E-2</v>
      </c>
    </row>
    <row r="63" spans="1:8" ht="13.5" customHeight="1">
      <c r="A63" s="623"/>
      <c r="B63" s="1381">
        <f t="shared" si="0"/>
        <v>2046</v>
      </c>
      <c r="D63" s="2637">
        <f>IF($B63&lt;'CO2'!$B$27,"",VLOOKUP($B63,'CO2'!$B$27:$H$69,3))</f>
        <v>2.0707361923000001</v>
      </c>
      <c r="E63" s="2637">
        <f>IF($B63&lt;'CO2'!$B$27,"",VLOOKUP($B63,'CO2'!$B$27:$H$69,4))</f>
        <v>2.4199887537361664</v>
      </c>
      <c r="F63" s="2637">
        <f>IF($B63&lt;'CO2'!$B$27,"",VLOOKUP($B63,'CO2'!$B$27:$H$69,5))</f>
        <v>2.6692275934692988</v>
      </c>
      <c r="G63" s="2637">
        <f>IF($B63&lt;'CO2'!$B$27,"",VLOOKUP($B63,'CO2'!$B$27:$H$69,6))</f>
        <v>3.2916138445258161E-2</v>
      </c>
      <c r="H63" s="2637">
        <f>IF($B63&lt;'CO2'!$B$27,"",VLOOKUP($B63,'CO2'!$B$27:$H$69,7))</f>
        <v>3.0509913990108065E-2</v>
      </c>
    </row>
    <row r="64" spans="1:8" ht="13.5" customHeight="1">
      <c r="A64" s="623"/>
      <c r="B64" s="1381">
        <f t="shared" si="0"/>
        <v>2047</v>
      </c>
      <c r="D64" s="2637">
        <f>IF($B64&lt;'CO2'!$B$27,"",VLOOKUP($B64,'CO2'!$B$27:$H$69,3))</f>
        <v>2.0707361923000001</v>
      </c>
      <c r="E64" s="2637">
        <f>IF($B64&lt;'CO2'!$B$27,"",VLOOKUP($B64,'CO2'!$B$27:$H$69,4))</f>
        <v>2.4199887537361664</v>
      </c>
      <c r="F64" s="2637">
        <f>IF($B64&lt;'CO2'!$B$27,"",VLOOKUP($B64,'CO2'!$B$27:$H$69,5))</f>
        <v>2.6692275934692988</v>
      </c>
      <c r="G64" s="2637">
        <f>IF($B64&lt;'CO2'!$B$27,"",VLOOKUP($B64,'CO2'!$B$27:$H$69,6))</f>
        <v>3.1586719376120058E-2</v>
      </c>
      <c r="H64" s="2637">
        <f>IF($B64&lt;'CO2'!$B$27,"",VLOOKUP($B64,'CO2'!$B$27:$H$69,7))</f>
        <v>2.9277677665556574E-2</v>
      </c>
    </row>
    <row r="65" spans="1:8" ht="13.5" customHeight="1">
      <c r="A65" s="623"/>
      <c r="B65" s="1381">
        <f t="shared" si="0"/>
        <v>2048</v>
      </c>
      <c r="D65" s="2637">
        <f>IF($B65&lt;'CO2'!$B$27,"",VLOOKUP($B65,'CO2'!$B$27:$H$69,3))</f>
        <v>2.0707361923000001</v>
      </c>
      <c r="E65" s="2637">
        <f>IF($B65&lt;'CO2'!$B$27,"",VLOOKUP($B65,'CO2'!$B$27:$H$69,4))</f>
        <v>2.4199887537361664</v>
      </c>
      <c r="F65" s="2637">
        <f>IF($B65&lt;'CO2'!$B$27,"",VLOOKUP($B65,'CO2'!$B$27:$H$69,5))</f>
        <v>2.6692275934692988</v>
      </c>
      <c r="G65" s="2637">
        <f>IF($B65&lt;'CO2'!$B$27,"",VLOOKUP($B65,'CO2'!$B$27:$H$69,6))</f>
        <v>3.0257300306981962E-2</v>
      </c>
      <c r="H65" s="2637">
        <f>IF($B65&lt;'CO2'!$B$27,"",VLOOKUP($B65,'CO2'!$B$27:$H$69,7))</f>
        <v>2.8045441341005083E-2</v>
      </c>
    </row>
    <row r="66" spans="1:8" ht="13.5" customHeight="1">
      <c r="A66" s="623"/>
      <c r="B66" s="1381">
        <f t="shared" si="0"/>
        <v>2049</v>
      </c>
      <c r="D66" s="2637">
        <f>IF($B66&lt;'CO2'!$B$27,"",VLOOKUP($B66,'CO2'!$B$27:$H$69,3))</f>
        <v>2.0707361923000001</v>
      </c>
      <c r="E66" s="2637">
        <f>IF($B66&lt;'CO2'!$B$27,"",VLOOKUP($B66,'CO2'!$B$27:$H$69,4))</f>
        <v>2.4199887537361664</v>
      </c>
      <c r="F66" s="2637">
        <f>IF($B66&lt;'CO2'!$B$27,"",VLOOKUP($B66,'CO2'!$B$27:$H$69,5))</f>
        <v>2.6692275934692988</v>
      </c>
      <c r="G66" s="2637">
        <f>IF($B66&lt;'CO2'!$B$27,"",VLOOKUP($B66,'CO2'!$B$27:$H$69,6))</f>
        <v>2.8927881237843858E-2</v>
      </c>
      <c r="H66" s="2637">
        <f>IF($B66&lt;'CO2'!$B$27,"",VLOOKUP($B66,'CO2'!$B$27:$H$69,7))</f>
        <v>2.6813205016453588E-2</v>
      </c>
    </row>
    <row r="67" spans="1:8" ht="13.5" customHeight="1">
      <c r="A67" s="623"/>
      <c r="B67" s="1381">
        <f t="shared" si="0"/>
        <v>2050</v>
      </c>
      <c r="D67" s="2637">
        <f>IF($B67&lt;'CO2'!$B$27,"",VLOOKUP($B67,'CO2'!$B$27:$H$69,3))</f>
        <v>2.0707361923000001</v>
      </c>
      <c r="E67" s="2637">
        <f>IF($B67&lt;'CO2'!$B$27,"",VLOOKUP($B67,'CO2'!$B$27:$H$69,4))</f>
        <v>2.4199887537361664</v>
      </c>
      <c r="F67" s="2637">
        <f>IF($B67&lt;'CO2'!$B$27,"",VLOOKUP($B67,'CO2'!$B$27:$H$69,5))</f>
        <v>2.6692275934692988</v>
      </c>
      <c r="G67" s="2637">
        <f>IF($B67&lt;'CO2'!$B$27,"",VLOOKUP($B67,'CO2'!$B$27:$H$69,6))</f>
        <v>2.7598462168705772E-2</v>
      </c>
      <c r="H67" s="2637">
        <f>IF($B67&lt;'CO2'!$B$27,"",VLOOKUP($B67,'CO2'!$B$27:$H$69,7))</f>
        <v>2.5580968691902111E-2</v>
      </c>
    </row>
    <row r="68" spans="1:8" ht="13.5" customHeight="1">
      <c r="A68" s="623"/>
      <c r="B68" s="1381">
        <f t="shared" si="0"/>
        <v>2051</v>
      </c>
      <c r="D68" s="2637">
        <f>IF($B68&lt;'CO2'!$B$27,"",VLOOKUP($B68,'CO2'!$B$27:$H$69,3))</f>
        <v>2.0707361923000001</v>
      </c>
      <c r="E68" s="2637">
        <f>IF($B68&lt;'CO2'!$B$27,"",VLOOKUP($B68,'CO2'!$B$27:$H$69,4))</f>
        <v>2.4199887537361664</v>
      </c>
      <c r="F68" s="2637">
        <f>IF($B68&lt;'CO2'!$B$27,"",VLOOKUP($B68,'CO2'!$B$27:$H$69,5))</f>
        <v>2.6692275934692988</v>
      </c>
      <c r="G68" s="2637">
        <f>IF($B68&lt;'CO2'!$B$27,"",VLOOKUP($B68,'CO2'!$B$27:$H$69,6))</f>
        <v>2.7598462168705772E-2</v>
      </c>
      <c r="H68" s="2637">
        <f>IF($B68&lt;'CO2'!$B$27,"",VLOOKUP($B68,'CO2'!$B$27:$H$69,7))</f>
        <v>2.5580968691902111E-2</v>
      </c>
    </row>
    <row r="69" spans="1:8" ht="13.5" customHeight="1">
      <c r="A69" s="623"/>
      <c r="B69" s="1381">
        <f t="shared" si="0"/>
        <v>2052</v>
      </c>
      <c r="D69" s="2637">
        <f>IF($B69&lt;'CO2'!$B$27,"",VLOOKUP($B69,'CO2'!$B$27:$H$69,3))</f>
        <v>2.0707361923000001</v>
      </c>
      <c r="E69" s="2637">
        <f>IF($B69&lt;'CO2'!$B$27,"",VLOOKUP($B69,'CO2'!$B$27:$H$69,4))</f>
        <v>2.4199887537361664</v>
      </c>
      <c r="F69" s="2637">
        <f>IF($B69&lt;'CO2'!$B$27,"",VLOOKUP($B69,'CO2'!$B$27:$H$69,5))</f>
        <v>2.6692275934692988</v>
      </c>
      <c r="G69" s="2637">
        <f>IF($B69&lt;'CO2'!$B$27,"",VLOOKUP($B69,'CO2'!$B$27:$H$69,6))</f>
        <v>2.7598462168705772E-2</v>
      </c>
      <c r="H69" s="2637">
        <f>IF($B69&lt;'CO2'!$B$27,"",VLOOKUP($B69,'CO2'!$B$27:$H$69,7))</f>
        <v>2.5580968691902111E-2</v>
      </c>
    </row>
    <row r="70" spans="1:8" ht="13.5" customHeight="1">
      <c r="A70" s="623"/>
      <c r="B70" s="1381">
        <f t="shared" si="0"/>
        <v>2053</v>
      </c>
      <c r="D70" s="2637">
        <f>IF($B70&lt;'CO2'!$B$27,"",VLOOKUP($B70,'CO2'!$B$27:$H$69,3))</f>
        <v>2.0707361923000001</v>
      </c>
      <c r="E70" s="2637">
        <f>IF($B70&lt;'CO2'!$B$27,"",VLOOKUP($B70,'CO2'!$B$27:$H$69,4))</f>
        <v>2.4199887537361664</v>
      </c>
      <c r="F70" s="2637">
        <f>IF($B70&lt;'CO2'!$B$27,"",VLOOKUP($B70,'CO2'!$B$27:$H$69,5))</f>
        <v>2.6692275934692988</v>
      </c>
      <c r="G70" s="2637">
        <f>IF($B70&lt;'CO2'!$B$27,"",VLOOKUP($B70,'CO2'!$B$27:$H$69,6))</f>
        <v>2.7598462168705772E-2</v>
      </c>
      <c r="H70" s="2637">
        <f>IF($B70&lt;'CO2'!$B$27,"",VLOOKUP($B70,'CO2'!$B$27:$H$69,7))</f>
        <v>2.5580968691902111E-2</v>
      </c>
    </row>
    <row r="71" spans="1:8" ht="13.5" customHeight="1">
      <c r="A71" s="623"/>
      <c r="B71" s="1381">
        <f t="shared" si="0"/>
        <v>2054</v>
      </c>
      <c r="D71" s="2637">
        <f>IF($B71&lt;'CO2'!$B$27,"",VLOOKUP($B71,'CO2'!$B$27:$H$69,3))</f>
        <v>2.0707361923000001</v>
      </c>
      <c r="E71" s="2637">
        <f>IF($B71&lt;'CO2'!$B$27,"",VLOOKUP($B71,'CO2'!$B$27:$H$69,4))</f>
        <v>2.4199887537361664</v>
      </c>
      <c r="F71" s="2637">
        <f>IF($B71&lt;'CO2'!$B$27,"",VLOOKUP($B71,'CO2'!$B$27:$H$69,5))</f>
        <v>2.6692275934692988</v>
      </c>
      <c r="G71" s="2637">
        <f>IF($B71&lt;'CO2'!$B$27,"",VLOOKUP($B71,'CO2'!$B$27:$H$69,6))</f>
        <v>2.7598462168705772E-2</v>
      </c>
      <c r="H71" s="2637">
        <f>IF($B71&lt;'CO2'!$B$27,"",VLOOKUP($B71,'CO2'!$B$27:$H$69,7))</f>
        <v>2.5580968691902111E-2</v>
      </c>
    </row>
    <row r="72" spans="1:8" ht="13.5" customHeight="1">
      <c r="A72" s="623"/>
      <c r="B72" s="1381">
        <f t="shared" si="0"/>
        <v>2055</v>
      </c>
      <c r="D72" s="2637">
        <f>IF($B72&lt;'CO2'!$B$27,"",VLOOKUP($B72,'CO2'!$B$27:$H$69,3))</f>
        <v>2.0707361923000001</v>
      </c>
      <c r="E72" s="2637">
        <f>IF($B72&lt;'CO2'!$B$27,"",VLOOKUP($B72,'CO2'!$B$27:$H$69,4))</f>
        <v>2.4199887537361664</v>
      </c>
      <c r="F72" s="2637">
        <f>IF($B72&lt;'CO2'!$B$27,"",VLOOKUP($B72,'CO2'!$B$27:$H$69,5))</f>
        <v>2.6692275934692988</v>
      </c>
      <c r="G72" s="2637">
        <f>IF($B72&lt;'CO2'!$B$27,"",VLOOKUP($B72,'CO2'!$B$27:$H$69,6))</f>
        <v>2.7598462168705772E-2</v>
      </c>
      <c r="H72" s="2637">
        <f>IF($B72&lt;'CO2'!$B$27,"",VLOOKUP($B72,'CO2'!$B$27:$H$69,7))</f>
        <v>2.5580968691902111E-2</v>
      </c>
    </row>
    <row r="73" spans="1:8" ht="13.5" customHeight="1">
      <c r="A73" s="623"/>
      <c r="B73" s="1381">
        <f t="shared" si="0"/>
        <v>2056</v>
      </c>
      <c r="D73" s="2637">
        <f>IF($B73&lt;'CO2'!$B$27,"",VLOOKUP($B73,'CO2'!$B$27:$H$69,3))</f>
        <v>2.0707361923000001</v>
      </c>
      <c r="E73" s="2637">
        <f>IF($B73&lt;'CO2'!$B$27,"",VLOOKUP($B73,'CO2'!$B$27:$H$69,4))</f>
        <v>2.4199887537361664</v>
      </c>
      <c r="F73" s="2637">
        <f>IF($B73&lt;'CO2'!$B$27,"",VLOOKUP($B73,'CO2'!$B$27:$H$69,5))</f>
        <v>2.6692275934692988</v>
      </c>
      <c r="G73" s="2637">
        <f>IF($B73&lt;'CO2'!$B$27,"",VLOOKUP($B73,'CO2'!$B$27:$H$69,6))</f>
        <v>2.7598462168705772E-2</v>
      </c>
      <c r="H73" s="2637">
        <f>IF($B73&lt;'CO2'!$B$27,"",VLOOKUP($B73,'CO2'!$B$27:$H$69,7))</f>
        <v>2.5580968691902111E-2</v>
      </c>
    </row>
    <row r="74" spans="1:8" ht="13.5" customHeight="1">
      <c r="A74" s="623"/>
      <c r="B74" s="1381">
        <f t="shared" si="0"/>
        <v>2057</v>
      </c>
      <c r="D74" s="2637">
        <f>IF($B74&lt;'CO2'!$B$27,"",VLOOKUP($B74,'CO2'!$B$27:$H$69,3))</f>
        <v>2.0707361923000001</v>
      </c>
      <c r="E74" s="2637">
        <f>IF($B74&lt;'CO2'!$B$27,"",VLOOKUP($B74,'CO2'!$B$27:$H$69,4))</f>
        <v>2.4199887537361664</v>
      </c>
      <c r="F74" s="2637">
        <f>IF($B74&lt;'CO2'!$B$27,"",VLOOKUP($B74,'CO2'!$B$27:$H$69,5))</f>
        <v>2.6692275934692988</v>
      </c>
      <c r="G74" s="2637">
        <f>IF($B74&lt;'CO2'!$B$27,"",VLOOKUP($B74,'CO2'!$B$27:$H$69,6))</f>
        <v>2.7598462168705772E-2</v>
      </c>
      <c r="H74" s="2637">
        <f>IF($B74&lt;'CO2'!$B$27,"",VLOOKUP($B74,'CO2'!$B$27:$H$69,7))</f>
        <v>2.5580968691902111E-2</v>
      </c>
    </row>
    <row r="75" spans="1:8" ht="13.5" customHeight="1">
      <c r="A75" s="623"/>
      <c r="B75" s="1381">
        <f t="shared" si="0"/>
        <v>2058</v>
      </c>
      <c r="D75" s="2637">
        <f>IF($B75&lt;'CO2'!$B$27,"",VLOOKUP($B75,'CO2'!$B$27:$H$69,3))</f>
        <v>2.0707361923000001</v>
      </c>
      <c r="E75" s="2637">
        <f>IF($B75&lt;'CO2'!$B$27,"",VLOOKUP($B75,'CO2'!$B$27:$H$69,4))</f>
        <v>2.4199887537361664</v>
      </c>
      <c r="F75" s="2637">
        <f>IF($B75&lt;'CO2'!$B$27,"",VLOOKUP($B75,'CO2'!$B$27:$H$69,5))</f>
        <v>2.6692275934692988</v>
      </c>
      <c r="G75" s="2637">
        <f>IF($B75&lt;'CO2'!$B$27,"",VLOOKUP($B75,'CO2'!$B$27:$H$69,6))</f>
        <v>2.7598462168705772E-2</v>
      </c>
      <c r="H75" s="2637">
        <f>IF($B75&lt;'CO2'!$B$27,"",VLOOKUP($B75,'CO2'!$B$27:$H$69,7))</f>
        <v>2.5580968691902111E-2</v>
      </c>
    </row>
    <row r="76" spans="1:8" ht="13.5" customHeight="1">
      <c r="A76" s="623"/>
      <c r="B76" s="1381">
        <f t="shared" si="0"/>
        <v>2059</v>
      </c>
      <c r="D76" s="2637">
        <f>IF($B76&lt;'CO2'!$B$27,"",VLOOKUP($B76,'CO2'!$B$27:$H$69,3))</f>
        <v>2.0707361923000001</v>
      </c>
      <c r="E76" s="2637">
        <f>IF($B76&lt;'CO2'!$B$27,"",VLOOKUP($B76,'CO2'!$B$27:$H$69,4))</f>
        <v>2.4199887537361664</v>
      </c>
      <c r="F76" s="2637">
        <f>IF($B76&lt;'CO2'!$B$27,"",VLOOKUP($B76,'CO2'!$B$27:$H$69,5))</f>
        <v>2.6692275934692988</v>
      </c>
      <c r="G76" s="2637">
        <f>IF($B76&lt;'CO2'!$B$27,"",VLOOKUP($B76,'CO2'!$B$27:$H$69,6))</f>
        <v>2.7598462168705772E-2</v>
      </c>
      <c r="H76" s="2637">
        <f>IF($B76&lt;'CO2'!$B$27,"",VLOOKUP($B76,'CO2'!$B$27:$H$69,7))</f>
        <v>2.5580968691902111E-2</v>
      </c>
    </row>
    <row r="77" spans="1:8" ht="13.5" customHeight="1">
      <c r="A77" s="623"/>
      <c r="B77" s="1381">
        <f t="shared" si="0"/>
        <v>2060</v>
      </c>
      <c r="D77" s="2637">
        <f>IF($B77&lt;'CO2'!$B$27,"",VLOOKUP($B77,'CO2'!$B$27:$H$69,3))</f>
        <v>2.0707361923000001</v>
      </c>
      <c r="E77" s="2637">
        <f>IF($B77&lt;'CO2'!$B$27,"",VLOOKUP($B77,'CO2'!$B$27:$H$69,4))</f>
        <v>2.4199887537361664</v>
      </c>
      <c r="F77" s="2637">
        <f>IF($B77&lt;'CO2'!$B$27,"",VLOOKUP($B77,'CO2'!$B$27:$H$69,5))</f>
        <v>2.6692275934692988</v>
      </c>
      <c r="G77" s="2637">
        <f>IF($B77&lt;'CO2'!$B$27,"",VLOOKUP($B77,'CO2'!$B$27:$H$69,6))</f>
        <v>2.7598462168705772E-2</v>
      </c>
      <c r="H77" s="2637">
        <f>IF($B77&lt;'CO2'!$B$27,"",VLOOKUP($B77,'CO2'!$B$27:$H$69,7))</f>
        <v>2.5580968691902111E-2</v>
      </c>
    </row>
    <row r="78" spans="1:8" ht="13.5" customHeight="1">
      <c r="A78" s="623"/>
      <c r="B78" s="1381">
        <f t="shared" si="0"/>
        <v>2061</v>
      </c>
      <c r="D78" s="2637">
        <f>IF($B78&lt;'CO2'!$B$27,"",VLOOKUP($B78,'CO2'!$B$27:$H$69,3))</f>
        <v>2.0707361923000001</v>
      </c>
      <c r="E78" s="2637">
        <f>IF($B78&lt;'CO2'!$B$27,"",VLOOKUP($B78,'CO2'!$B$27:$H$69,4))</f>
        <v>2.4199887537361664</v>
      </c>
      <c r="F78" s="2637">
        <f>IF($B78&lt;'CO2'!$B$27,"",VLOOKUP($B78,'CO2'!$B$27:$H$69,5))</f>
        <v>2.6692275934692988</v>
      </c>
      <c r="G78" s="2637">
        <f>IF($B78&lt;'CO2'!$B$27,"",VLOOKUP($B78,'CO2'!$B$27:$H$69,6))</f>
        <v>2.7598462168705772E-2</v>
      </c>
      <c r="H78" s="2637">
        <f>IF($B78&lt;'CO2'!$B$27,"",VLOOKUP($B78,'CO2'!$B$27:$H$69,7))</f>
        <v>2.5580968691902111E-2</v>
      </c>
    </row>
    <row r="79" spans="1:8" ht="13.5" customHeight="1">
      <c r="A79" s="623"/>
      <c r="B79" s="1381">
        <f t="shared" si="0"/>
        <v>2062</v>
      </c>
      <c r="D79" s="2637">
        <f>IF($B79&lt;'CO2'!$B$27,"",VLOOKUP($B79,'CO2'!$B$27:$H$69,3))</f>
        <v>2.0707361923000001</v>
      </c>
      <c r="E79" s="2637">
        <f>IF($B79&lt;'CO2'!$B$27,"",VLOOKUP($B79,'CO2'!$B$27:$H$69,4))</f>
        <v>2.4199887537361664</v>
      </c>
      <c r="F79" s="2637">
        <f>IF($B79&lt;'CO2'!$B$27,"",VLOOKUP($B79,'CO2'!$B$27:$H$69,5))</f>
        <v>2.6692275934692988</v>
      </c>
      <c r="G79" s="2637">
        <f>IF($B79&lt;'CO2'!$B$27,"",VLOOKUP($B79,'CO2'!$B$27:$H$69,6))</f>
        <v>2.7598462168705772E-2</v>
      </c>
      <c r="H79" s="2637">
        <f>IF($B79&lt;'CO2'!$B$27,"",VLOOKUP($B79,'CO2'!$B$27:$H$69,7))</f>
        <v>2.5580968691902111E-2</v>
      </c>
    </row>
    <row r="80" spans="1:8" ht="13.5" customHeight="1">
      <c r="A80" s="623"/>
      <c r="B80" s="1381">
        <f t="shared" si="0"/>
        <v>2063</v>
      </c>
      <c r="D80" s="2637">
        <f>IF($B80&lt;'CO2'!$B$27,"",VLOOKUP($B80,'CO2'!$B$27:$H$69,3))</f>
        <v>2.0707361923000001</v>
      </c>
      <c r="E80" s="2637">
        <f>IF($B80&lt;'CO2'!$B$27,"",VLOOKUP($B80,'CO2'!$B$27:$H$69,4))</f>
        <v>2.4199887537361664</v>
      </c>
      <c r="F80" s="2637">
        <f>IF($B80&lt;'CO2'!$B$27,"",VLOOKUP($B80,'CO2'!$B$27:$H$69,5))</f>
        <v>2.6692275934692988</v>
      </c>
      <c r="G80" s="2637">
        <f>IF($B80&lt;'CO2'!$B$27,"",VLOOKUP($B80,'CO2'!$B$27:$H$69,6))</f>
        <v>2.7598462168705772E-2</v>
      </c>
      <c r="H80" s="2637">
        <f>IF($B80&lt;'CO2'!$B$27,"",VLOOKUP($B80,'CO2'!$B$27:$H$69,7))</f>
        <v>2.5580968691902111E-2</v>
      </c>
    </row>
    <row r="81" spans="1:8" ht="13.5" customHeight="1">
      <c r="A81" s="623"/>
      <c r="B81" s="1381">
        <f t="shared" si="0"/>
        <v>2064</v>
      </c>
      <c r="D81" s="2637">
        <f>IF($B81&lt;'CO2'!$B$27,"",VLOOKUP($B81,'CO2'!$B$27:$H$69,3))</f>
        <v>2.0707361923000001</v>
      </c>
      <c r="E81" s="2637">
        <f>IF($B81&lt;'CO2'!$B$27,"",VLOOKUP($B81,'CO2'!$B$27:$H$69,4))</f>
        <v>2.4199887537361664</v>
      </c>
      <c r="F81" s="2637">
        <f>IF($B81&lt;'CO2'!$B$27,"",VLOOKUP($B81,'CO2'!$B$27:$H$69,5))</f>
        <v>2.6692275934692988</v>
      </c>
      <c r="G81" s="2637">
        <f>IF($B81&lt;'CO2'!$B$27,"",VLOOKUP($B81,'CO2'!$B$27:$H$69,6))</f>
        <v>2.7598462168705772E-2</v>
      </c>
      <c r="H81" s="2637">
        <f>IF($B81&lt;'CO2'!$B$27,"",VLOOKUP($B81,'CO2'!$B$27:$H$69,7))</f>
        <v>2.5580968691902111E-2</v>
      </c>
    </row>
    <row r="82" spans="1:8" ht="13.5" customHeight="1">
      <c r="A82" s="623"/>
      <c r="B82" s="1381">
        <f t="shared" si="0"/>
        <v>2065</v>
      </c>
      <c r="D82" s="2637">
        <f>IF($B82&lt;'CO2'!$B$27,"",VLOOKUP($B82,'CO2'!$B$27:$H$69,3))</f>
        <v>2.0707361923000001</v>
      </c>
      <c r="E82" s="2637">
        <f>IF($B82&lt;'CO2'!$B$27,"",VLOOKUP($B82,'CO2'!$B$27:$H$69,4))</f>
        <v>2.4199887537361664</v>
      </c>
      <c r="F82" s="2637">
        <f>IF($B82&lt;'CO2'!$B$27,"",VLOOKUP($B82,'CO2'!$B$27:$H$69,5))</f>
        <v>2.6692275934692988</v>
      </c>
      <c r="G82" s="2637">
        <f>IF($B82&lt;'CO2'!$B$27,"",VLOOKUP($B82,'CO2'!$B$27:$H$69,6))</f>
        <v>2.7598462168705772E-2</v>
      </c>
      <c r="H82" s="2637">
        <f>IF($B82&lt;'CO2'!$B$27,"",VLOOKUP($B82,'CO2'!$B$27:$H$69,7))</f>
        <v>2.5580968691902111E-2</v>
      </c>
    </row>
    <row r="83" spans="1:8" ht="13.5" customHeight="1">
      <c r="A83" s="623"/>
      <c r="B83" s="1381">
        <f t="shared" si="0"/>
        <v>2066</v>
      </c>
      <c r="D83" s="2637">
        <f>IF($B83&lt;'CO2'!$B$27,"",VLOOKUP($B83,'CO2'!$B$27:$H$69,3))</f>
        <v>2.0707361923000001</v>
      </c>
      <c r="E83" s="2637">
        <f>IF($B83&lt;'CO2'!$B$27,"",VLOOKUP($B83,'CO2'!$B$27:$H$69,4))</f>
        <v>2.4199887537361664</v>
      </c>
      <c r="F83" s="2637">
        <f>IF($B83&lt;'CO2'!$B$27,"",VLOOKUP($B83,'CO2'!$B$27:$H$69,5))</f>
        <v>2.6692275934692988</v>
      </c>
      <c r="G83" s="2637">
        <f>IF($B83&lt;'CO2'!$B$27,"",VLOOKUP($B83,'CO2'!$B$27:$H$69,6))</f>
        <v>2.7598462168705772E-2</v>
      </c>
      <c r="H83" s="2637">
        <f>IF($B83&lt;'CO2'!$B$27,"",VLOOKUP($B83,'CO2'!$B$27:$H$69,7))</f>
        <v>2.5580968691902111E-2</v>
      </c>
    </row>
    <row r="84" spans="1:8" ht="13.5" customHeight="1">
      <c r="A84" s="623"/>
      <c r="B84" s="1381">
        <f t="shared" si="0"/>
        <v>2067</v>
      </c>
      <c r="D84" s="2637">
        <f>IF($B84&lt;'CO2'!$B$27,"",VLOOKUP($B84,'CO2'!$B$27:$H$69,3))</f>
        <v>2.0707361923000001</v>
      </c>
      <c r="E84" s="2637">
        <f>IF($B84&lt;'CO2'!$B$27,"",VLOOKUP($B84,'CO2'!$B$27:$H$69,4))</f>
        <v>2.4199887537361664</v>
      </c>
      <c r="F84" s="2637">
        <f>IF($B84&lt;'CO2'!$B$27,"",VLOOKUP($B84,'CO2'!$B$27:$H$69,5))</f>
        <v>2.6692275934692988</v>
      </c>
      <c r="G84" s="2637">
        <f>IF($B84&lt;'CO2'!$B$27,"",VLOOKUP($B84,'CO2'!$B$27:$H$69,6))</f>
        <v>2.7598462168705772E-2</v>
      </c>
      <c r="H84" s="2637">
        <f>IF($B84&lt;'CO2'!$B$27,"",VLOOKUP($B84,'CO2'!$B$27:$H$69,7))</f>
        <v>2.5580968691902111E-2</v>
      </c>
    </row>
    <row r="85" spans="1:8" ht="13.5" customHeight="1">
      <c r="A85" s="623"/>
      <c r="B85" s="1381">
        <f t="shared" si="0"/>
        <v>2068</v>
      </c>
      <c r="D85" s="2637">
        <f>IF($B85&lt;'CO2'!$B$27,"",VLOOKUP($B85,'CO2'!$B$27:$H$69,3))</f>
        <v>2.0707361923000001</v>
      </c>
      <c r="E85" s="2637">
        <f>IF($B85&lt;'CO2'!$B$27,"",VLOOKUP($B85,'CO2'!$B$27:$H$69,4))</f>
        <v>2.4199887537361664</v>
      </c>
      <c r="F85" s="2637">
        <f>IF($B85&lt;'CO2'!$B$27,"",VLOOKUP($B85,'CO2'!$B$27:$H$69,5))</f>
        <v>2.6692275934692988</v>
      </c>
      <c r="G85" s="2637">
        <f>IF($B85&lt;'CO2'!$B$27,"",VLOOKUP($B85,'CO2'!$B$27:$H$69,6))</f>
        <v>2.7598462168705772E-2</v>
      </c>
      <c r="H85" s="2637">
        <f>IF($B85&lt;'CO2'!$B$27,"",VLOOKUP($B85,'CO2'!$B$27:$H$69,7))</f>
        <v>2.5580968691902111E-2</v>
      </c>
    </row>
    <row r="86" spans="1:8" ht="13.5" customHeight="1">
      <c r="A86" s="623"/>
      <c r="B86" s="1381">
        <f t="shared" si="0"/>
        <v>2069</v>
      </c>
      <c r="D86" s="2637">
        <f>IF($B86&lt;'CO2'!$B$27,"",VLOOKUP($B86,'CO2'!$B$27:$H$69,3))</f>
        <v>2.0707361923000001</v>
      </c>
      <c r="E86" s="2637">
        <f>IF($B86&lt;'CO2'!$B$27,"",VLOOKUP($B86,'CO2'!$B$27:$H$69,4))</f>
        <v>2.4199887537361664</v>
      </c>
      <c r="F86" s="2637">
        <f>IF($B86&lt;'CO2'!$B$27,"",VLOOKUP($B86,'CO2'!$B$27:$H$69,5))</f>
        <v>2.6692275934692988</v>
      </c>
      <c r="G86" s="2637">
        <f>IF($B86&lt;'CO2'!$B$27,"",VLOOKUP($B86,'CO2'!$B$27:$H$69,6))</f>
        <v>2.7598462168705772E-2</v>
      </c>
      <c r="H86" s="2637">
        <f>IF($B86&lt;'CO2'!$B$27,"",VLOOKUP($B86,'CO2'!$B$27:$H$69,7))</f>
        <v>2.5580968691902111E-2</v>
      </c>
    </row>
    <row r="87" spans="1:8" ht="13.5" customHeight="1">
      <c r="A87" s="623"/>
      <c r="B87" s="1381">
        <f t="shared" si="0"/>
        <v>2070</v>
      </c>
      <c r="D87" s="2637">
        <f>IF($B87&lt;'CO2'!$B$27,"",VLOOKUP($B87,'CO2'!$B$27:$H$69,3))</f>
        <v>2.0707361923000001</v>
      </c>
      <c r="E87" s="2637">
        <f>IF($B87&lt;'CO2'!$B$27,"",VLOOKUP($B87,'CO2'!$B$27:$H$69,4))</f>
        <v>2.4199887537361664</v>
      </c>
      <c r="F87" s="2637">
        <f>IF($B87&lt;'CO2'!$B$27,"",VLOOKUP($B87,'CO2'!$B$27:$H$69,5))</f>
        <v>2.6692275934692988</v>
      </c>
      <c r="G87" s="2637">
        <f>IF($B87&lt;'CO2'!$B$27,"",VLOOKUP($B87,'CO2'!$B$27:$H$69,6))</f>
        <v>2.7598462168705772E-2</v>
      </c>
      <c r="H87" s="2637">
        <f>IF($B87&lt;'CO2'!$B$27,"",VLOOKUP($B87,'CO2'!$B$27:$H$69,7))</f>
        <v>2.5580968691902111E-2</v>
      </c>
    </row>
    <row r="88" spans="1:8" ht="13.5" customHeight="1">
      <c r="A88" s="623"/>
      <c r="B88" s="1381">
        <f t="shared" si="0"/>
        <v>2071</v>
      </c>
      <c r="D88" s="2637">
        <f>IF($B88&lt;'CO2'!$B$27,"",VLOOKUP($B88,'CO2'!$B$27:$H$69,3))</f>
        <v>2.0707361923000001</v>
      </c>
      <c r="E88" s="2637">
        <f>IF($B88&lt;'CO2'!$B$27,"",VLOOKUP($B88,'CO2'!$B$27:$H$69,4))</f>
        <v>2.4199887537361664</v>
      </c>
      <c r="F88" s="2637">
        <f>IF($B88&lt;'CO2'!$B$27,"",VLOOKUP($B88,'CO2'!$B$27:$H$69,5))</f>
        <v>2.6692275934692988</v>
      </c>
      <c r="G88" s="2637">
        <f>IF($B88&lt;'CO2'!$B$27,"",VLOOKUP($B88,'CO2'!$B$27:$H$69,6))</f>
        <v>2.7598462168705772E-2</v>
      </c>
      <c r="H88" s="2637">
        <f>IF($B88&lt;'CO2'!$B$27,"",VLOOKUP($B88,'CO2'!$B$27:$H$69,7))</f>
        <v>2.5580968691902111E-2</v>
      </c>
    </row>
    <row r="89" spans="1:8" ht="13.5" customHeight="1">
      <c r="A89" s="623"/>
      <c r="B89" s="1381">
        <f t="shared" si="0"/>
        <v>2072</v>
      </c>
      <c r="D89" s="2637">
        <f>IF($B89&lt;'CO2'!$B$27,"",VLOOKUP($B89,'CO2'!$B$27:$H$69,3))</f>
        <v>2.0707361923000001</v>
      </c>
      <c r="E89" s="2637">
        <f>IF($B89&lt;'CO2'!$B$27,"",VLOOKUP($B89,'CO2'!$B$27:$H$69,4))</f>
        <v>2.4199887537361664</v>
      </c>
      <c r="F89" s="2637">
        <f>IF($B89&lt;'CO2'!$B$27,"",VLOOKUP($B89,'CO2'!$B$27:$H$69,5))</f>
        <v>2.6692275934692988</v>
      </c>
      <c r="G89" s="2637">
        <f>IF($B89&lt;'CO2'!$B$27,"",VLOOKUP($B89,'CO2'!$B$27:$H$69,6))</f>
        <v>2.7598462168705772E-2</v>
      </c>
      <c r="H89" s="2637">
        <f>IF($B89&lt;'CO2'!$B$27,"",VLOOKUP($B89,'CO2'!$B$27:$H$69,7))</f>
        <v>2.5580968691902111E-2</v>
      </c>
    </row>
    <row r="90" spans="1:8" ht="13.5" customHeight="1">
      <c r="A90" s="623"/>
      <c r="B90" s="1381">
        <f t="shared" si="0"/>
        <v>2073</v>
      </c>
      <c r="D90" s="2637">
        <f>IF($B90&lt;'CO2'!$B$27,"",VLOOKUP($B90,'CO2'!$B$27:$H$69,3))</f>
        <v>2.0707361923000001</v>
      </c>
      <c r="E90" s="2637">
        <f>IF($B90&lt;'CO2'!$B$27,"",VLOOKUP($B90,'CO2'!$B$27:$H$69,4))</f>
        <v>2.4199887537361664</v>
      </c>
      <c r="F90" s="2637">
        <f>IF($B90&lt;'CO2'!$B$27,"",VLOOKUP($B90,'CO2'!$B$27:$H$69,5))</f>
        <v>2.6692275934692988</v>
      </c>
      <c r="G90" s="2637">
        <f>IF($B90&lt;'CO2'!$B$27,"",VLOOKUP($B90,'CO2'!$B$27:$H$69,6))</f>
        <v>2.7598462168705772E-2</v>
      </c>
      <c r="H90" s="2637">
        <f>IF($B90&lt;'CO2'!$B$27,"",VLOOKUP($B90,'CO2'!$B$27:$H$69,7))</f>
        <v>2.5580968691902111E-2</v>
      </c>
    </row>
    <row r="91" spans="1:8" ht="13.5" customHeight="1">
      <c r="A91" s="623"/>
      <c r="B91" s="1381">
        <f t="shared" si="0"/>
        <v>2074</v>
      </c>
      <c r="D91" s="2637">
        <f>IF($B91&lt;'CO2'!$B$27,"",VLOOKUP($B91,'CO2'!$B$27:$H$69,3))</f>
        <v>2.0707361923000001</v>
      </c>
      <c r="E91" s="2637">
        <f>IF($B91&lt;'CO2'!$B$27,"",VLOOKUP($B91,'CO2'!$B$27:$H$69,4))</f>
        <v>2.4199887537361664</v>
      </c>
      <c r="F91" s="2637">
        <f>IF($B91&lt;'CO2'!$B$27,"",VLOOKUP($B91,'CO2'!$B$27:$H$69,5))</f>
        <v>2.6692275934692988</v>
      </c>
      <c r="G91" s="2637">
        <f>IF($B91&lt;'CO2'!$B$27,"",VLOOKUP($B91,'CO2'!$B$27:$H$69,6))</f>
        <v>2.7598462168705772E-2</v>
      </c>
      <c r="H91" s="2637">
        <f>IF($B91&lt;'CO2'!$B$27,"",VLOOKUP($B91,'CO2'!$B$27:$H$69,7))</f>
        <v>2.5580968691902111E-2</v>
      </c>
    </row>
    <row r="92" spans="1:8" ht="13.5" customHeight="1">
      <c r="A92" s="623"/>
      <c r="B92" s="1381">
        <f t="shared" si="0"/>
        <v>2075</v>
      </c>
      <c r="D92" s="2637">
        <f>IF($B92&lt;'CO2'!$B$27,"",VLOOKUP($B92,'CO2'!$B$27:$H$69,3))</f>
        <v>2.0707361923000001</v>
      </c>
      <c r="E92" s="2637">
        <f>IF($B92&lt;'CO2'!$B$27,"",VLOOKUP($B92,'CO2'!$B$27:$H$69,4))</f>
        <v>2.4199887537361664</v>
      </c>
      <c r="F92" s="2637">
        <f>IF($B92&lt;'CO2'!$B$27,"",VLOOKUP($B92,'CO2'!$B$27:$H$69,5))</f>
        <v>2.6692275934692988</v>
      </c>
      <c r="G92" s="2637">
        <f>IF($B92&lt;'CO2'!$B$27,"",VLOOKUP($B92,'CO2'!$B$27:$H$69,6))</f>
        <v>2.7598462168705772E-2</v>
      </c>
      <c r="H92" s="2637">
        <f>IF($B92&lt;'CO2'!$B$27,"",VLOOKUP($B92,'CO2'!$B$27:$H$69,7))</f>
        <v>2.5580968691902111E-2</v>
      </c>
    </row>
    <row r="93" spans="1:8" ht="13.5" customHeight="1">
      <c r="A93" s="623"/>
      <c r="B93" s="1381">
        <f t="shared" ref="B93:B117" si="1">B92+1</f>
        <v>2076</v>
      </c>
      <c r="D93" s="2637">
        <f>IF($B93&lt;'CO2'!$B$27,"",VLOOKUP($B93,'CO2'!$B$27:$H$69,3))</f>
        <v>2.0707361923000001</v>
      </c>
      <c r="E93" s="2637">
        <f>IF($B93&lt;'CO2'!$B$27,"",VLOOKUP($B93,'CO2'!$B$27:$H$69,4))</f>
        <v>2.4199887537361664</v>
      </c>
      <c r="F93" s="2637">
        <f>IF($B93&lt;'CO2'!$B$27,"",VLOOKUP($B93,'CO2'!$B$27:$H$69,5))</f>
        <v>2.6692275934692988</v>
      </c>
      <c r="G93" s="2637">
        <f>IF($B93&lt;'CO2'!$B$27,"",VLOOKUP($B93,'CO2'!$B$27:$H$69,6))</f>
        <v>2.7598462168705772E-2</v>
      </c>
      <c r="H93" s="2637">
        <f>IF($B93&lt;'CO2'!$B$27,"",VLOOKUP($B93,'CO2'!$B$27:$H$69,7))</f>
        <v>2.5580968691902111E-2</v>
      </c>
    </row>
    <row r="94" spans="1:8" ht="13.5" customHeight="1">
      <c r="A94" s="623"/>
      <c r="B94" s="1381">
        <f t="shared" si="1"/>
        <v>2077</v>
      </c>
      <c r="D94" s="2637">
        <f>IF($B94&lt;'CO2'!$B$27,"",VLOOKUP($B94,'CO2'!$B$27:$H$69,3))</f>
        <v>2.0707361923000001</v>
      </c>
      <c r="E94" s="2637">
        <f>IF($B94&lt;'CO2'!$B$27,"",VLOOKUP($B94,'CO2'!$B$27:$H$69,4))</f>
        <v>2.4199887537361664</v>
      </c>
      <c r="F94" s="2637">
        <f>IF($B94&lt;'CO2'!$B$27,"",VLOOKUP($B94,'CO2'!$B$27:$H$69,5))</f>
        <v>2.6692275934692988</v>
      </c>
      <c r="G94" s="2637">
        <f>IF($B94&lt;'CO2'!$B$27,"",VLOOKUP($B94,'CO2'!$B$27:$H$69,6))</f>
        <v>2.7598462168705772E-2</v>
      </c>
      <c r="H94" s="2637">
        <f>IF($B94&lt;'CO2'!$B$27,"",VLOOKUP($B94,'CO2'!$B$27:$H$69,7))</f>
        <v>2.5580968691902111E-2</v>
      </c>
    </row>
    <row r="95" spans="1:8" ht="13.5" customHeight="1">
      <c r="A95" s="623"/>
      <c r="B95" s="1381">
        <f t="shared" si="1"/>
        <v>2078</v>
      </c>
      <c r="D95" s="2637">
        <f>IF($B95&lt;'CO2'!$B$27,"",VLOOKUP($B95,'CO2'!$B$27:$H$69,3))</f>
        <v>2.0707361923000001</v>
      </c>
      <c r="E95" s="2637">
        <f>IF($B95&lt;'CO2'!$B$27,"",VLOOKUP($B95,'CO2'!$B$27:$H$69,4))</f>
        <v>2.4199887537361664</v>
      </c>
      <c r="F95" s="2637">
        <f>IF($B95&lt;'CO2'!$B$27,"",VLOOKUP($B95,'CO2'!$B$27:$H$69,5))</f>
        <v>2.6692275934692988</v>
      </c>
      <c r="G95" s="2637">
        <f>IF($B95&lt;'CO2'!$B$27,"",VLOOKUP($B95,'CO2'!$B$27:$H$69,6))</f>
        <v>2.7598462168705772E-2</v>
      </c>
      <c r="H95" s="2637">
        <f>IF($B95&lt;'CO2'!$B$27,"",VLOOKUP($B95,'CO2'!$B$27:$H$69,7))</f>
        <v>2.5580968691902111E-2</v>
      </c>
    </row>
    <row r="96" spans="1:8" ht="13.5" customHeight="1">
      <c r="A96" s="623"/>
      <c r="B96" s="1381">
        <f t="shared" si="1"/>
        <v>2079</v>
      </c>
      <c r="D96" s="2637">
        <f>IF($B96&lt;'CO2'!$B$27,"",VLOOKUP($B96,'CO2'!$B$27:$H$69,3))</f>
        <v>2.0707361923000001</v>
      </c>
      <c r="E96" s="2637">
        <f>IF($B96&lt;'CO2'!$B$27,"",VLOOKUP($B96,'CO2'!$B$27:$H$69,4))</f>
        <v>2.4199887537361664</v>
      </c>
      <c r="F96" s="2637">
        <f>IF($B96&lt;'CO2'!$B$27,"",VLOOKUP($B96,'CO2'!$B$27:$H$69,5))</f>
        <v>2.6692275934692988</v>
      </c>
      <c r="G96" s="2637">
        <f>IF($B96&lt;'CO2'!$B$27,"",VLOOKUP($B96,'CO2'!$B$27:$H$69,6))</f>
        <v>2.7598462168705772E-2</v>
      </c>
      <c r="H96" s="2637">
        <f>IF($B96&lt;'CO2'!$B$27,"",VLOOKUP($B96,'CO2'!$B$27:$H$69,7))</f>
        <v>2.5580968691902111E-2</v>
      </c>
    </row>
    <row r="97" spans="1:8" ht="13.5" customHeight="1">
      <c r="A97" s="623"/>
      <c r="B97" s="1381">
        <f t="shared" si="1"/>
        <v>2080</v>
      </c>
      <c r="D97" s="2637">
        <f>IF($B97&lt;'CO2'!$B$27,"",VLOOKUP($B97,'CO2'!$B$27:$H$69,3))</f>
        <v>2.0707361923000001</v>
      </c>
      <c r="E97" s="2637">
        <f>IF($B97&lt;'CO2'!$B$27,"",VLOOKUP($B97,'CO2'!$B$27:$H$69,4))</f>
        <v>2.4199887537361664</v>
      </c>
      <c r="F97" s="2637">
        <f>IF($B97&lt;'CO2'!$B$27,"",VLOOKUP($B97,'CO2'!$B$27:$H$69,5))</f>
        <v>2.6692275934692988</v>
      </c>
      <c r="G97" s="2637">
        <f>IF($B97&lt;'CO2'!$B$27,"",VLOOKUP($B97,'CO2'!$B$27:$H$69,6))</f>
        <v>2.7598462168705772E-2</v>
      </c>
      <c r="H97" s="2637">
        <f>IF($B97&lt;'CO2'!$B$27,"",VLOOKUP($B97,'CO2'!$B$27:$H$69,7))</f>
        <v>2.5580968691902111E-2</v>
      </c>
    </row>
    <row r="98" spans="1:8" ht="13.5" customHeight="1">
      <c r="A98" s="623"/>
      <c r="B98" s="1381">
        <f t="shared" si="1"/>
        <v>2081</v>
      </c>
      <c r="D98" s="2637">
        <f>IF($B98&lt;'CO2'!$B$27,"",VLOOKUP($B98,'CO2'!$B$27:$H$69,3))</f>
        <v>2.0707361923000001</v>
      </c>
      <c r="E98" s="2637">
        <f>IF($B98&lt;'CO2'!$B$27,"",VLOOKUP($B98,'CO2'!$B$27:$H$69,4))</f>
        <v>2.4199887537361664</v>
      </c>
      <c r="F98" s="2637">
        <f>IF($B98&lt;'CO2'!$B$27,"",VLOOKUP($B98,'CO2'!$B$27:$H$69,5))</f>
        <v>2.6692275934692988</v>
      </c>
      <c r="G98" s="2637">
        <f>IF($B98&lt;'CO2'!$B$27,"",VLOOKUP($B98,'CO2'!$B$27:$H$69,6))</f>
        <v>2.7598462168705772E-2</v>
      </c>
      <c r="H98" s="2637">
        <f>IF($B98&lt;'CO2'!$B$27,"",VLOOKUP($B98,'CO2'!$B$27:$H$69,7))</f>
        <v>2.5580968691902111E-2</v>
      </c>
    </row>
    <row r="99" spans="1:8" ht="13.5" customHeight="1">
      <c r="A99" s="623"/>
      <c r="B99" s="1381">
        <f t="shared" si="1"/>
        <v>2082</v>
      </c>
      <c r="D99" s="2637">
        <f>IF($B99&lt;'CO2'!$B$27,"",VLOOKUP($B99,'CO2'!$B$27:$H$69,3))</f>
        <v>2.0707361923000001</v>
      </c>
      <c r="E99" s="2637">
        <f>IF($B99&lt;'CO2'!$B$27,"",VLOOKUP($B99,'CO2'!$B$27:$H$69,4))</f>
        <v>2.4199887537361664</v>
      </c>
      <c r="F99" s="2637">
        <f>IF($B99&lt;'CO2'!$B$27,"",VLOOKUP($B99,'CO2'!$B$27:$H$69,5))</f>
        <v>2.6692275934692988</v>
      </c>
      <c r="G99" s="2637">
        <f>IF($B99&lt;'CO2'!$B$27,"",VLOOKUP($B99,'CO2'!$B$27:$H$69,6))</f>
        <v>2.7598462168705772E-2</v>
      </c>
      <c r="H99" s="2637">
        <f>IF($B99&lt;'CO2'!$B$27,"",VLOOKUP($B99,'CO2'!$B$27:$H$69,7))</f>
        <v>2.5580968691902111E-2</v>
      </c>
    </row>
    <row r="100" spans="1:8" ht="13.5" customHeight="1">
      <c r="A100" s="623"/>
      <c r="B100" s="1381">
        <f t="shared" si="1"/>
        <v>2083</v>
      </c>
      <c r="D100" s="2637">
        <f>IF($B100&lt;'CO2'!$B$27,"",VLOOKUP($B100,'CO2'!$B$27:$H$69,3))</f>
        <v>2.0707361923000001</v>
      </c>
      <c r="E100" s="2637">
        <f>IF($B100&lt;'CO2'!$B$27,"",VLOOKUP($B100,'CO2'!$B$27:$H$69,4))</f>
        <v>2.4199887537361664</v>
      </c>
      <c r="F100" s="2637">
        <f>IF($B100&lt;'CO2'!$B$27,"",VLOOKUP($B100,'CO2'!$B$27:$H$69,5))</f>
        <v>2.6692275934692988</v>
      </c>
      <c r="G100" s="2637">
        <f>IF($B100&lt;'CO2'!$B$27,"",VLOOKUP($B100,'CO2'!$B$27:$H$69,6))</f>
        <v>2.7598462168705772E-2</v>
      </c>
      <c r="H100" s="2637">
        <f>IF($B100&lt;'CO2'!$B$27,"",VLOOKUP($B100,'CO2'!$B$27:$H$69,7))</f>
        <v>2.5580968691902111E-2</v>
      </c>
    </row>
    <row r="101" spans="1:8" ht="13.5" customHeight="1">
      <c r="A101" s="623"/>
      <c r="B101" s="1381">
        <f t="shared" si="1"/>
        <v>2084</v>
      </c>
      <c r="D101" s="2637">
        <f>IF($B101&lt;'CO2'!$B$27,"",VLOOKUP($B101,'CO2'!$B$27:$H$69,3))</f>
        <v>2.0707361923000001</v>
      </c>
      <c r="E101" s="2637">
        <f>IF($B101&lt;'CO2'!$B$27,"",VLOOKUP($B101,'CO2'!$B$27:$H$69,4))</f>
        <v>2.4199887537361664</v>
      </c>
      <c r="F101" s="2637">
        <f>IF($B101&lt;'CO2'!$B$27,"",VLOOKUP($B101,'CO2'!$B$27:$H$69,5))</f>
        <v>2.6692275934692988</v>
      </c>
      <c r="G101" s="2637">
        <f>IF($B101&lt;'CO2'!$B$27,"",VLOOKUP($B101,'CO2'!$B$27:$H$69,6))</f>
        <v>2.7598462168705772E-2</v>
      </c>
      <c r="H101" s="2637">
        <f>IF($B101&lt;'CO2'!$B$27,"",VLOOKUP($B101,'CO2'!$B$27:$H$69,7))</f>
        <v>2.5580968691902111E-2</v>
      </c>
    </row>
    <row r="102" spans="1:8" ht="13.5" customHeight="1">
      <c r="A102" s="623"/>
      <c r="B102" s="1381">
        <f t="shared" si="1"/>
        <v>2085</v>
      </c>
      <c r="D102" s="2637">
        <f>IF($B102&lt;'CO2'!$B$27,"",VLOOKUP($B102,'CO2'!$B$27:$H$69,3))</f>
        <v>2.0707361923000001</v>
      </c>
      <c r="E102" s="2637">
        <f>IF($B102&lt;'CO2'!$B$27,"",VLOOKUP($B102,'CO2'!$B$27:$H$69,4))</f>
        <v>2.4199887537361664</v>
      </c>
      <c r="F102" s="2637">
        <f>IF($B102&lt;'CO2'!$B$27,"",VLOOKUP($B102,'CO2'!$B$27:$H$69,5))</f>
        <v>2.6692275934692988</v>
      </c>
      <c r="G102" s="2637">
        <f>IF($B102&lt;'CO2'!$B$27,"",VLOOKUP($B102,'CO2'!$B$27:$H$69,6))</f>
        <v>2.7598462168705772E-2</v>
      </c>
      <c r="H102" s="2637">
        <f>IF($B102&lt;'CO2'!$B$27,"",VLOOKUP($B102,'CO2'!$B$27:$H$69,7))</f>
        <v>2.5580968691902111E-2</v>
      </c>
    </row>
    <row r="103" spans="1:8" ht="13.5" customHeight="1">
      <c r="A103" s="623"/>
      <c r="B103" s="1381">
        <f t="shared" si="1"/>
        <v>2086</v>
      </c>
      <c r="D103" s="2637">
        <f>IF($B103&lt;'CO2'!$B$27,"",VLOOKUP($B103,'CO2'!$B$27:$H$69,3))</f>
        <v>2.0707361923000001</v>
      </c>
      <c r="E103" s="2637">
        <f>IF($B103&lt;'CO2'!$B$27,"",VLOOKUP($B103,'CO2'!$B$27:$H$69,4))</f>
        <v>2.4199887537361664</v>
      </c>
      <c r="F103" s="2637">
        <f>IF($B103&lt;'CO2'!$B$27,"",VLOOKUP($B103,'CO2'!$B$27:$H$69,5))</f>
        <v>2.6692275934692988</v>
      </c>
      <c r="G103" s="2637">
        <f>IF($B103&lt;'CO2'!$B$27,"",VLOOKUP($B103,'CO2'!$B$27:$H$69,6))</f>
        <v>2.7598462168705772E-2</v>
      </c>
      <c r="H103" s="2637">
        <f>IF($B103&lt;'CO2'!$B$27,"",VLOOKUP($B103,'CO2'!$B$27:$H$69,7))</f>
        <v>2.5580968691902111E-2</v>
      </c>
    </row>
    <row r="104" spans="1:8" ht="13.5" customHeight="1">
      <c r="A104" s="623"/>
      <c r="B104" s="1381">
        <f t="shared" si="1"/>
        <v>2087</v>
      </c>
      <c r="D104" s="2637">
        <f>IF($B104&lt;'CO2'!$B$27,"",VLOOKUP($B104,'CO2'!$B$27:$H$69,3))</f>
        <v>2.0707361923000001</v>
      </c>
      <c r="E104" s="2637">
        <f>IF($B104&lt;'CO2'!$B$27,"",VLOOKUP($B104,'CO2'!$B$27:$H$69,4))</f>
        <v>2.4199887537361664</v>
      </c>
      <c r="F104" s="2637">
        <f>IF($B104&lt;'CO2'!$B$27,"",VLOOKUP($B104,'CO2'!$B$27:$H$69,5))</f>
        <v>2.6692275934692988</v>
      </c>
      <c r="G104" s="2637">
        <f>IF($B104&lt;'CO2'!$B$27,"",VLOOKUP($B104,'CO2'!$B$27:$H$69,6))</f>
        <v>2.7598462168705772E-2</v>
      </c>
      <c r="H104" s="2637">
        <f>IF($B104&lt;'CO2'!$B$27,"",VLOOKUP($B104,'CO2'!$B$27:$H$69,7))</f>
        <v>2.5580968691902111E-2</v>
      </c>
    </row>
    <row r="105" spans="1:8" ht="13.5" customHeight="1">
      <c r="A105" s="623"/>
      <c r="B105" s="1381">
        <f t="shared" si="1"/>
        <v>2088</v>
      </c>
      <c r="D105" s="2637">
        <f>IF($B105&lt;'CO2'!$B$27,"",VLOOKUP($B105,'CO2'!$B$27:$H$69,3))</f>
        <v>2.0707361923000001</v>
      </c>
      <c r="E105" s="2637">
        <f>IF($B105&lt;'CO2'!$B$27,"",VLOOKUP($B105,'CO2'!$B$27:$H$69,4))</f>
        <v>2.4199887537361664</v>
      </c>
      <c r="F105" s="2637">
        <f>IF($B105&lt;'CO2'!$B$27,"",VLOOKUP($B105,'CO2'!$B$27:$H$69,5))</f>
        <v>2.6692275934692988</v>
      </c>
      <c r="G105" s="2637">
        <f>IF($B105&lt;'CO2'!$B$27,"",VLOOKUP($B105,'CO2'!$B$27:$H$69,6))</f>
        <v>2.7598462168705772E-2</v>
      </c>
      <c r="H105" s="2637">
        <f>IF($B105&lt;'CO2'!$B$27,"",VLOOKUP($B105,'CO2'!$B$27:$H$69,7))</f>
        <v>2.5580968691902111E-2</v>
      </c>
    </row>
    <row r="106" spans="1:8" ht="13.5" customHeight="1">
      <c r="A106" s="623"/>
      <c r="B106" s="1381">
        <f t="shared" si="1"/>
        <v>2089</v>
      </c>
      <c r="C106" s="609"/>
      <c r="D106" s="2637">
        <f>IF($B106&lt;'CO2'!$B$27,"",VLOOKUP($B106,'CO2'!$B$27:$H$69,3))</f>
        <v>2.0707361923000001</v>
      </c>
      <c r="E106" s="2637">
        <f>IF($B106&lt;'CO2'!$B$27,"",VLOOKUP($B106,'CO2'!$B$27:$H$69,4))</f>
        <v>2.4199887537361664</v>
      </c>
      <c r="F106" s="2637">
        <f>IF($B106&lt;'CO2'!$B$27,"",VLOOKUP($B106,'CO2'!$B$27:$H$69,5))</f>
        <v>2.6692275934692988</v>
      </c>
      <c r="G106" s="2637">
        <f>IF($B106&lt;'CO2'!$B$27,"",VLOOKUP($B106,'CO2'!$B$27:$H$69,6))</f>
        <v>2.7598462168705772E-2</v>
      </c>
      <c r="H106" s="2637">
        <f>IF($B106&lt;'CO2'!$B$27,"",VLOOKUP($B106,'CO2'!$B$27:$H$69,7))</f>
        <v>2.5580968691902111E-2</v>
      </c>
    </row>
    <row r="107" spans="1:8" ht="13.5" customHeight="1">
      <c r="A107" s="623"/>
      <c r="B107" s="1381">
        <f t="shared" si="1"/>
        <v>2090</v>
      </c>
      <c r="C107" s="609"/>
      <c r="D107" s="2637">
        <f>IF($B107&lt;'CO2'!$B$27,"",VLOOKUP($B107,'CO2'!$B$27:$H$69,3))</f>
        <v>2.0707361923000001</v>
      </c>
      <c r="E107" s="2637">
        <f>IF($B107&lt;'CO2'!$B$27,"",VLOOKUP($B107,'CO2'!$B$27:$H$69,4))</f>
        <v>2.4199887537361664</v>
      </c>
      <c r="F107" s="2637">
        <f>IF($B107&lt;'CO2'!$B$27,"",VLOOKUP($B107,'CO2'!$B$27:$H$69,5))</f>
        <v>2.6692275934692988</v>
      </c>
      <c r="G107" s="2637">
        <f>IF($B107&lt;'CO2'!$B$27,"",VLOOKUP($B107,'CO2'!$B$27:$H$69,6))</f>
        <v>2.7598462168705772E-2</v>
      </c>
      <c r="H107" s="2637">
        <f>IF($B107&lt;'CO2'!$B$27,"",VLOOKUP($B107,'CO2'!$B$27:$H$69,7))</f>
        <v>2.5580968691902111E-2</v>
      </c>
    </row>
    <row r="108" spans="1:8" ht="13.5" customHeight="1">
      <c r="A108" s="623"/>
      <c r="B108" s="1381">
        <f t="shared" si="1"/>
        <v>2091</v>
      </c>
      <c r="C108" s="609"/>
      <c r="D108" s="2637">
        <f>IF($B108&lt;'CO2'!$B$27,"",VLOOKUP($B108,'CO2'!$B$27:$H$69,3))</f>
        <v>2.0707361923000001</v>
      </c>
      <c r="E108" s="2637">
        <f>IF($B108&lt;'CO2'!$B$27,"",VLOOKUP($B108,'CO2'!$B$27:$H$69,4))</f>
        <v>2.4199887537361664</v>
      </c>
      <c r="F108" s="2637">
        <f>IF($B108&lt;'CO2'!$B$27,"",VLOOKUP($B108,'CO2'!$B$27:$H$69,5))</f>
        <v>2.6692275934692988</v>
      </c>
      <c r="G108" s="2637">
        <f>IF($B108&lt;'CO2'!$B$27,"",VLOOKUP($B108,'CO2'!$B$27:$H$69,6))</f>
        <v>2.7598462168705772E-2</v>
      </c>
      <c r="H108" s="2637">
        <f>IF($B108&lt;'CO2'!$B$27,"",VLOOKUP($B108,'CO2'!$B$27:$H$69,7))</f>
        <v>2.5580968691902111E-2</v>
      </c>
    </row>
    <row r="109" spans="1:8" ht="13.5" customHeight="1">
      <c r="A109" s="623"/>
      <c r="B109" s="1381">
        <f t="shared" si="1"/>
        <v>2092</v>
      </c>
      <c r="C109" s="609"/>
      <c r="D109" s="2637">
        <f>IF($B109&lt;'CO2'!$B$27,"",VLOOKUP($B109,'CO2'!$B$27:$H$69,3))</f>
        <v>2.0707361923000001</v>
      </c>
      <c r="E109" s="2637">
        <f>IF($B109&lt;'CO2'!$B$27,"",VLOOKUP($B109,'CO2'!$B$27:$H$69,4))</f>
        <v>2.4199887537361664</v>
      </c>
      <c r="F109" s="2637">
        <f>IF($B109&lt;'CO2'!$B$27,"",VLOOKUP($B109,'CO2'!$B$27:$H$69,5))</f>
        <v>2.6692275934692988</v>
      </c>
      <c r="G109" s="2637">
        <f>IF($B109&lt;'CO2'!$B$27,"",VLOOKUP($B109,'CO2'!$B$27:$H$69,6))</f>
        <v>2.7598462168705772E-2</v>
      </c>
      <c r="H109" s="2637">
        <f>IF($B109&lt;'CO2'!$B$27,"",VLOOKUP($B109,'CO2'!$B$27:$H$69,7))</f>
        <v>2.5580968691902111E-2</v>
      </c>
    </row>
    <row r="110" spans="1:8" ht="13.5" customHeight="1">
      <c r="A110" s="623"/>
      <c r="B110" s="1381">
        <f t="shared" si="1"/>
        <v>2093</v>
      </c>
      <c r="C110" s="609"/>
      <c r="D110" s="2637">
        <f>IF($B110&lt;'CO2'!$B$27,"",VLOOKUP($B110,'CO2'!$B$27:$H$69,3))</f>
        <v>2.0707361923000001</v>
      </c>
      <c r="E110" s="2637">
        <f>IF($B110&lt;'CO2'!$B$27,"",VLOOKUP($B110,'CO2'!$B$27:$H$69,4))</f>
        <v>2.4199887537361664</v>
      </c>
      <c r="F110" s="2637">
        <f>IF($B110&lt;'CO2'!$B$27,"",VLOOKUP($B110,'CO2'!$B$27:$H$69,5))</f>
        <v>2.6692275934692988</v>
      </c>
      <c r="G110" s="2637">
        <f>IF($B110&lt;'CO2'!$B$27,"",VLOOKUP($B110,'CO2'!$B$27:$H$69,6))</f>
        <v>2.7598462168705772E-2</v>
      </c>
      <c r="H110" s="2637">
        <f>IF($B110&lt;'CO2'!$B$27,"",VLOOKUP($B110,'CO2'!$B$27:$H$69,7))</f>
        <v>2.5580968691902111E-2</v>
      </c>
    </row>
    <row r="111" spans="1:8" ht="13.5" customHeight="1">
      <c r="A111" s="623"/>
      <c r="B111" s="1381">
        <f t="shared" si="1"/>
        <v>2094</v>
      </c>
      <c r="C111" s="609"/>
      <c r="D111" s="2637">
        <f>IF($B111&lt;'CO2'!$B$27,"",VLOOKUP($B111,'CO2'!$B$27:$H$69,3))</f>
        <v>2.0707361923000001</v>
      </c>
      <c r="E111" s="2637">
        <f>IF($B111&lt;'CO2'!$B$27,"",VLOOKUP($B111,'CO2'!$B$27:$H$69,4))</f>
        <v>2.4199887537361664</v>
      </c>
      <c r="F111" s="2637">
        <f>IF($B111&lt;'CO2'!$B$27,"",VLOOKUP($B111,'CO2'!$B$27:$H$69,5))</f>
        <v>2.6692275934692988</v>
      </c>
      <c r="G111" s="2637">
        <f>IF($B111&lt;'CO2'!$B$27,"",VLOOKUP($B111,'CO2'!$B$27:$H$69,6))</f>
        <v>2.7598462168705772E-2</v>
      </c>
      <c r="H111" s="2637">
        <f>IF($B111&lt;'CO2'!$B$27,"",VLOOKUP($B111,'CO2'!$B$27:$H$69,7))</f>
        <v>2.5580968691902111E-2</v>
      </c>
    </row>
    <row r="112" spans="1:8" ht="13.5" customHeight="1">
      <c r="A112" s="623"/>
      <c r="B112" s="1381">
        <f t="shared" si="1"/>
        <v>2095</v>
      </c>
      <c r="C112" s="609"/>
      <c r="D112" s="2637">
        <f>IF($B112&lt;'CO2'!$B$27,"",VLOOKUP($B112,'CO2'!$B$27:$H$69,3))</f>
        <v>2.0707361923000001</v>
      </c>
      <c r="E112" s="2637">
        <f>IF($B112&lt;'CO2'!$B$27,"",VLOOKUP($B112,'CO2'!$B$27:$H$69,4))</f>
        <v>2.4199887537361664</v>
      </c>
      <c r="F112" s="2637">
        <f>IF($B112&lt;'CO2'!$B$27,"",VLOOKUP($B112,'CO2'!$B$27:$H$69,5))</f>
        <v>2.6692275934692988</v>
      </c>
      <c r="G112" s="2637">
        <f>IF($B112&lt;'CO2'!$B$27,"",VLOOKUP($B112,'CO2'!$B$27:$H$69,6))</f>
        <v>2.7598462168705772E-2</v>
      </c>
      <c r="H112" s="2637">
        <f>IF($B112&lt;'CO2'!$B$27,"",VLOOKUP($B112,'CO2'!$B$27:$H$69,7))</f>
        <v>2.5580968691902111E-2</v>
      </c>
    </row>
    <row r="113" spans="1:8" ht="13.5" customHeight="1">
      <c r="A113" s="623"/>
      <c r="B113" s="1381">
        <f t="shared" si="1"/>
        <v>2096</v>
      </c>
      <c r="C113" s="609"/>
      <c r="D113" s="2637">
        <f>IF($B113&lt;'CO2'!$B$27,"",VLOOKUP($B113,'CO2'!$B$27:$H$69,3))</f>
        <v>2.0707361923000001</v>
      </c>
      <c r="E113" s="2637">
        <f>IF($B113&lt;'CO2'!$B$27,"",VLOOKUP($B113,'CO2'!$B$27:$H$69,4))</f>
        <v>2.4199887537361664</v>
      </c>
      <c r="F113" s="2637">
        <f>IF($B113&lt;'CO2'!$B$27,"",VLOOKUP($B113,'CO2'!$B$27:$H$69,5))</f>
        <v>2.6692275934692988</v>
      </c>
      <c r="G113" s="2637">
        <f>IF($B113&lt;'CO2'!$B$27,"",VLOOKUP($B113,'CO2'!$B$27:$H$69,6))</f>
        <v>2.7598462168705772E-2</v>
      </c>
      <c r="H113" s="2637">
        <f>IF($B113&lt;'CO2'!$B$27,"",VLOOKUP($B113,'CO2'!$B$27:$H$69,7))</f>
        <v>2.5580968691902111E-2</v>
      </c>
    </row>
    <row r="114" spans="1:8" ht="13.5" customHeight="1">
      <c r="A114" s="623"/>
      <c r="B114" s="1381">
        <f t="shared" si="1"/>
        <v>2097</v>
      </c>
      <c r="C114" s="609"/>
      <c r="D114" s="2637">
        <f>IF($B114&lt;'CO2'!$B$27,"",VLOOKUP($B114,'CO2'!$B$27:$H$69,3))</f>
        <v>2.0707361923000001</v>
      </c>
      <c r="E114" s="2637">
        <f>IF($B114&lt;'CO2'!$B$27,"",VLOOKUP($B114,'CO2'!$B$27:$H$69,4))</f>
        <v>2.4199887537361664</v>
      </c>
      <c r="F114" s="2637">
        <f>IF($B114&lt;'CO2'!$B$27,"",VLOOKUP($B114,'CO2'!$B$27:$H$69,5))</f>
        <v>2.6692275934692988</v>
      </c>
      <c r="G114" s="2637">
        <f>IF($B114&lt;'CO2'!$B$27,"",VLOOKUP($B114,'CO2'!$B$27:$H$69,6))</f>
        <v>2.7598462168705772E-2</v>
      </c>
      <c r="H114" s="2637">
        <f>IF($B114&lt;'CO2'!$B$27,"",VLOOKUP($B114,'CO2'!$B$27:$H$69,7))</f>
        <v>2.5580968691902111E-2</v>
      </c>
    </row>
    <row r="115" spans="1:8" ht="13.5" customHeight="1">
      <c r="A115" s="623"/>
      <c r="B115" s="1381">
        <f t="shared" si="1"/>
        <v>2098</v>
      </c>
      <c r="C115" s="609"/>
      <c r="D115" s="2637">
        <f>IF($B115&lt;'CO2'!$B$27,"",VLOOKUP($B115,'CO2'!$B$27:$H$69,3))</f>
        <v>2.0707361923000001</v>
      </c>
      <c r="E115" s="2637">
        <f>IF($B115&lt;'CO2'!$B$27,"",VLOOKUP($B115,'CO2'!$B$27:$H$69,4))</f>
        <v>2.4199887537361664</v>
      </c>
      <c r="F115" s="2637">
        <f>IF($B115&lt;'CO2'!$B$27,"",VLOOKUP($B115,'CO2'!$B$27:$H$69,5))</f>
        <v>2.6692275934692988</v>
      </c>
      <c r="G115" s="2637">
        <f>IF($B115&lt;'CO2'!$B$27,"",VLOOKUP($B115,'CO2'!$B$27:$H$69,6))</f>
        <v>2.7598462168705772E-2</v>
      </c>
      <c r="H115" s="2637">
        <f>IF($B115&lt;'CO2'!$B$27,"",VLOOKUP($B115,'CO2'!$B$27:$H$69,7))</f>
        <v>2.5580968691902111E-2</v>
      </c>
    </row>
    <row r="116" spans="1:8" ht="13.5" customHeight="1">
      <c r="A116" s="623"/>
      <c r="B116" s="1381">
        <f t="shared" si="1"/>
        <v>2099</v>
      </c>
      <c r="C116" s="609"/>
      <c r="D116" s="2637">
        <f>IF($B116&lt;'CO2'!$B$27,"",VLOOKUP($B116,'CO2'!$B$27:$H$69,3))</f>
        <v>2.0707361923000001</v>
      </c>
      <c r="E116" s="2637">
        <f>IF($B116&lt;'CO2'!$B$27,"",VLOOKUP($B116,'CO2'!$B$27:$H$69,4))</f>
        <v>2.4199887537361664</v>
      </c>
      <c r="F116" s="2637">
        <f>IF($B116&lt;'CO2'!$B$27,"",VLOOKUP($B116,'CO2'!$B$27:$H$69,5))</f>
        <v>2.6692275934692988</v>
      </c>
      <c r="G116" s="2637">
        <f>IF($B116&lt;'CO2'!$B$27,"",VLOOKUP($B116,'CO2'!$B$27:$H$69,6))</f>
        <v>2.7598462168705772E-2</v>
      </c>
      <c r="H116" s="2637">
        <f>IF($B116&lt;'CO2'!$B$27,"",VLOOKUP($B116,'CO2'!$B$27:$H$69,7))</f>
        <v>2.5580968691902111E-2</v>
      </c>
    </row>
    <row r="117" spans="1:8" ht="13.5" customHeight="1" thickBot="1">
      <c r="A117" s="3212"/>
      <c r="B117" s="3213">
        <f t="shared" si="1"/>
        <v>2100</v>
      </c>
      <c r="C117" s="3214"/>
      <c r="D117" s="3215">
        <f>IF($B117&lt;'CO2'!$B$27,"",VLOOKUP($B117,'CO2'!$B$27:$H$69,3))</f>
        <v>2.0707361923000001</v>
      </c>
      <c r="E117" s="3215">
        <f>IF($B117&lt;'CO2'!$B$27,"",VLOOKUP($B117,'CO2'!$B$27:$H$69,4))</f>
        <v>2.4199887537361664</v>
      </c>
      <c r="F117" s="3215">
        <f>IF($B117&lt;'CO2'!$B$27,"",VLOOKUP($B117,'CO2'!$B$27:$H$69,5))</f>
        <v>2.6692275934692988</v>
      </c>
      <c r="G117" s="3215">
        <f>IF($B117&lt;'CO2'!$B$27,"",VLOOKUP($B117,'CO2'!$B$27:$H$69,6))</f>
        <v>2.7598462168705772E-2</v>
      </c>
      <c r="H117" s="3215">
        <f>IF($B117&lt;'CO2'!$B$27,"",VLOOKUP($B117,'CO2'!$B$27:$H$69,7))</f>
        <v>2.5580968691902111E-2</v>
      </c>
    </row>
    <row r="118" spans="1:8" ht="13.5" customHeight="1" thickTop="1" thickBot="1"/>
    <row r="119" spans="1:8" ht="13.5" customHeight="1" thickBot="1">
      <c r="D119" s="2414" t="s">
        <v>1489</v>
      </c>
    </row>
    <row r="167" spans="9:9" ht="13.5" customHeight="1">
      <c r="I167" s="618"/>
    </row>
    <row r="168" spans="9:9" ht="13.5" customHeight="1">
      <c r="I168" s="618"/>
    </row>
    <row r="169" spans="9:9" ht="13.5" customHeight="1">
      <c r="I169" s="618"/>
    </row>
    <row r="170" spans="9:9" ht="13.5" customHeight="1">
      <c r="I170" s="618"/>
    </row>
    <row r="171" spans="9:9" ht="13.5" customHeight="1">
      <c r="I171" s="618"/>
    </row>
    <row r="172" spans="9:9" ht="13.5" customHeight="1">
      <c r="I172" s="618"/>
    </row>
  </sheetData>
  <sheetProtection sheet="1" objects="1" scenarios="1"/>
  <mergeCells count="10">
    <mergeCell ref="A23:H23"/>
    <mergeCell ref="A20:B20"/>
    <mergeCell ref="E6:U6"/>
    <mergeCell ref="A7:B7"/>
    <mergeCell ref="A8:B8"/>
    <mergeCell ref="A10:B10"/>
    <mergeCell ref="A11:B11"/>
    <mergeCell ref="A12:B12"/>
    <mergeCell ref="A18:B18"/>
    <mergeCell ref="A19:B19"/>
  </mergeCells>
  <phoneticPr fontId="8" type="noConversion"/>
  <hyperlinks>
    <hyperlink ref="M4" r:id="rId1" location="basket" display="DECC "/>
    <hyperlink ref="D119" location="A3.3!D27" tooltip="Top of this page" display="Top"/>
    <hyperlink ref="A11" location="Contents!A1" display="Contents"/>
    <hyperlink ref="A11:B11" r:id="rId2" display="WebTAG Unit 3.3.5"/>
    <hyperlink ref="A10" location="Contents!A1" display="Contents"/>
    <hyperlink ref="A10:B10" location="Contents!A1" tooltip="Contents page" display="Contents"/>
    <hyperlink ref="A12:B12" r:id="rId3" tooltip="Unit A3  Environmental Impact Appraisal" display="WebTAG Unit A 3"/>
    <hyperlink ref="F7" r:id="rId4"/>
  </hyperlinks>
  <pageMargins left="0.75" right="0.75" top="1" bottom="1" header="0.5" footer="0.5"/>
  <pageSetup paperSize="9" scale="49" fitToHeight="2" orientation="landscape" r:id="rId5"/>
  <headerFooter alignWithMargins="0"/>
  <drawing r:id="rId6"/>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indexed="10"/>
  </sheetPr>
  <dimension ref="A1:U124"/>
  <sheetViews>
    <sheetView showGridLines="0" topLeftCell="A2" zoomScale="85" zoomScaleNormal="85" workbookViewId="0">
      <selection activeCell="E23" sqref="E23:F23"/>
    </sheetView>
  </sheetViews>
  <sheetFormatPr defaultColWidth="12.88671875" defaultRowHeight="13.5" customHeight="1"/>
  <cols>
    <col min="1" max="1" width="16.33203125" style="599" customWidth="1"/>
    <col min="2" max="16384" width="12.88671875" style="599"/>
  </cols>
  <sheetData>
    <row r="1" spans="1:21" s="38" customFormat="1" ht="54.9" customHeight="1">
      <c r="A1" s="28"/>
      <c r="B1" s="28"/>
    </row>
    <row r="2" spans="1:21" s="300" customFormat="1" ht="5.0999999999999996" customHeight="1">
      <c r="O2" s="737"/>
    </row>
    <row r="3" spans="1:21" s="83" customFormat="1" ht="20.100000000000001" customHeight="1">
      <c r="A3" s="300" t="s">
        <v>2273</v>
      </c>
      <c r="B3" s="485"/>
      <c r="D3" s="46"/>
      <c r="H3" s="445"/>
      <c r="M3" s="426"/>
    </row>
    <row r="4" spans="1:21" s="26" customFormat="1" ht="20.100000000000001" customHeight="1" thickBot="1">
      <c r="A4" s="529" t="s">
        <v>872</v>
      </c>
      <c r="B4" s="447"/>
      <c r="C4" s="447"/>
      <c r="D4" s="487"/>
      <c r="E4" s="446"/>
      <c r="F4" s="446"/>
      <c r="G4" s="446"/>
      <c r="H4" s="446"/>
      <c r="I4" s="446"/>
      <c r="J4" s="448"/>
      <c r="K4" s="447"/>
      <c r="L4" s="602"/>
      <c r="M4" s="1216"/>
      <c r="N4" s="446"/>
      <c r="O4" s="446"/>
      <c r="P4" s="446"/>
      <c r="Q4" s="446"/>
      <c r="R4" s="446"/>
      <c r="S4" s="446"/>
      <c r="T4" s="446"/>
      <c r="U4" s="446"/>
    </row>
    <row r="5" spans="1:21" s="38" customFormat="1" ht="9.9" customHeight="1" thickTop="1" thickBot="1">
      <c r="A5" s="35"/>
      <c r="B5" s="321"/>
      <c r="C5" s="321"/>
      <c r="D5" s="32"/>
    </row>
    <row r="6" spans="1:21" s="38" customFormat="1" ht="13.5" customHeight="1" thickTop="1">
      <c r="A6" s="169" t="s">
        <v>10</v>
      </c>
      <c r="B6" s="169"/>
      <c r="E6" s="3626" t="s">
        <v>255</v>
      </c>
      <c r="F6" s="3698"/>
      <c r="G6" s="3698"/>
      <c r="H6" s="3627"/>
      <c r="I6" s="3627"/>
      <c r="J6" s="3627"/>
      <c r="K6" s="3627"/>
      <c r="L6" s="3627"/>
      <c r="M6" s="3627"/>
      <c r="N6" s="3627"/>
      <c r="O6" s="3627"/>
      <c r="P6" s="3627"/>
      <c r="Q6" s="3627"/>
      <c r="R6" s="3627"/>
      <c r="S6" s="3627"/>
      <c r="T6" s="3627"/>
      <c r="U6" s="3729"/>
    </row>
    <row r="7" spans="1:21" s="38" customFormat="1" ht="13.5" customHeight="1">
      <c r="A7" s="3644" t="str">
        <f>Audit!A12</f>
        <v>May 2019 v1.12</v>
      </c>
      <c r="B7" s="3651"/>
      <c r="D7" s="147"/>
      <c r="E7" s="43" t="s">
        <v>1451</v>
      </c>
      <c r="F7" s="3176" t="s">
        <v>2141</v>
      </c>
      <c r="G7" s="59" t="s">
        <v>1612</v>
      </c>
      <c r="I7" s="26"/>
      <c r="J7" s="26"/>
      <c r="K7" s="26"/>
      <c r="L7" s="26"/>
      <c r="M7" s="26"/>
      <c r="N7" s="26"/>
      <c r="O7" s="26"/>
      <c r="P7" s="26"/>
      <c r="Q7" s="26"/>
      <c r="R7" s="26"/>
      <c r="S7" s="26"/>
      <c r="T7" s="26"/>
      <c r="U7" s="147"/>
    </row>
    <row r="8" spans="1:21" s="38" customFormat="1" ht="13.5" customHeight="1">
      <c r="A8" s="3646">
        <f>Audit!C12</f>
        <v>43586</v>
      </c>
      <c r="B8" s="3651"/>
      <c r="C8" s="321"/>
      <c r="D8" s="412"/>
      <c r="E8" s="26"/>
      <c r="F8" s="47"/>
      <c r="G8" s="26"/>
      <c r="H8" s="315"/>
      <c r="I8" s="26"/>
      <c r="J8" s="26"/>
      <c r="K8" s="26"/>
      <c r="L8" s="26"/>
      <c r="M8" s="26"/>
      <c r="N8" s="26"/>
      <c r="O8" s="26"/>
      <c r="P8" s="26"/>
      <c r="Q8" s="26"/>
      <c r="R8" s="26"/>
      <c r="S8" s="26"/>
      <c r="T8" s="26"/>
      <c r="U8" s="147"/>
    </row>
    <row r="9" spans="1:21" s="38" customFormat="1" ht="13.5" customHeight="1" thickBot="1">
      <c r="A9" s="172" t="s">
        <v>14</v>
      </c>
      <c r="B9" s="173"/>
      <c r="D9" s="321"/>
      <c r="E9" s="180" t="s">
        <v>294</v>
      </c>
      <c r="F9" s="3124" t="s">
        <v>1933</v>
      </c>
      <c r="G9" s="26"/>
      <c r="H9" s="26"/>
      <c r="I9" s="26"/>
      <c r="J9" s="26"/>
      <c r="K9" s="26"/>
      <c r="L9" s="26"/>
      <c r="M9" s="26"/>
      <c r="N9" s="26"/>
      <c r="O9" s="26"/>
      <c r="P9" s="26"/>
      <c r="Q9" s="26"/>
      <c r="R9" s="26"/>
      <c r="S9" s="26"/>
      <c r="T9" s="26"/>
      <c r="U9" s="147"/>
    </row>
    <row r="10" spans="1:21" s="38" customFormat="1" ht="13.5" customHeight="1" thickBot="1">
      <c r="A10" s="3611" t="s">
        <v>1306</v>
      </c>
      <c r="B10" s="3612"/>
      <c r="D10" s="321"/>
      <c r="E10" s="113"/>
      <c r="F10" s="3124" t="s">
        <v>1935</v>
      </c>
      <c r="G10" s="26"/>
      <c r="H10" s="26"/>
      <c r="I10" s="26"/>
      <c r="J10" s="26"/>
      <c r="K10" s="26"/>
      <c r="L10" s="26"/>
      <c r="M10" s="26"/>
      <c r="N10" s="26"/>
      <c r="O10" s="26"/>
      <c r="P10" s="26"/>
      <c r="Q10" s="26"/>
      <c r="R10" s="26"/>
      <c r="S10" s="26"/>
      <c r="T10" s="26"/>
      <c r="U10" s="147"/>
    </row>
    <row r="11" spans="1:21" s="38" customFormat="1" ht="13.5" customHeight="1" thickBot="1">
      <c r="A11" s="3611" t="s">
        <v>2274</v>
      </c>
      <c r="B11" s="3639"/>
      <c r="D11" s="321"/>
      <c r="E11" s="113"/>
      <c r="F11" s="2681" t="s">
        <v>1936</v>
      </c>
      <c r="H11" s="53"/>
      <c r="I11" s="53"/>
      <c r="J11" s="53"/>
      <c r="K11" s="53"/>
      <c r="L11" s="53"/>
      <c r="M11" s="53"/>
      <c r="N11" s="53"/>
      <c r="O11" s="53"/>
      <c r="P11" s="53"/>
      <c r="Q11" s="53"/>
      <c r="R11" s="53"/>
      <c r="S11" s="53"/>
      <c r="T11" s="53"/>
      <c r="U11" s="379"/>
    </row>
    <row r="12" spans="1:21" s="38" customFormat="1" ht="13.5" customHeight="1" thickBot="1">
      <c r="A12" s="3611" t="s">
        <v>2265</v>
      </c>
      <c r="B12" s="3639"/>
      <c r="D12" s="321"/>
      <c r="E12" s="113"/>
      <c r="F12" s="2681" t="s">
        <v>1934</v>
      </c>
      <c r="G12" s="26"/>
      <c r="H12" s="26"/>
      <c r="I12" s="26"/>
      <c r="J12" s="26"/>
      <c r="K12" s="26"/>
      <c r="L12" s="26"/>
      <c r="M12" s="26"/>
      <c r="N12" s="26"/>
      <c r="O12" s="26"/>
      <c r="P12" s="26"/>
      <c r="Q12" s="26"/>
      <c r="R12" s="26"/>
      <c r="S12" s="26"/>
      <c r="T12" s="26"/>
      <c r="U12" s="147"/>
    </row>
    <row r="13" spans="1:21" s="38" customFormat="1" ht="13.5" customHeight="1">
      <c r="A13" s="172" t="s">
        <v>252</v>
      </c>
      <c r="B13" s="194"/>
      <c r="C13" s="321"/>
      <c r="D13" s="321"/>
      <c r="E13" s="114"/>
      <c r="F13" s="53"/>
      <c r="G13" s="53"/>
      <c r="H13" s="26"/>
      <c r="I13" s="26"/>
      <c r="J13" s="26"/>
      <c r="K13" s="26"/>
      <c r="L13" s="26"/>
      <c r="M13" s="26"/>
      <c r="N13" s="26"/>
      <c r="O13" s="26"/>
      <c r="P13" s="26"/>
      <c r="Q13" s="26"/>
      <c r="R13" s="26"/>
      <c r="S13" s="26"/>
      <c r="T13" s="26"/>
      <c r="U13" s="147"/>
    </row>
    <row r="14" spans="1:21" s="38" customFormat="1" ht="13.5" customHeight="1">
      <c r="A14" s="26"/>
      <c r="B14" s="316"/>
      <c r="C14" s="321"/>
      <c r="D14" s="321"/>
      <c r="E14" s="113"/>
      <c r="F14" s="26"/>
      <c r="G14" s="26"/>
      <c r="H14" s="26"/>
      <c r="I14" s="26"/>
      <c r="J14" s="26"/>
      <c r="K14" s="26"/>
      <c r="L14" s="26"/>
      <c r="M14" s="26"/>
      <c r="N14" s="26"/>
      <c r="O14" s="26"/>
      <c r="P14" s="26"/>
      <c r="Q14" s="26"/>
      <c r="R14" s="26"/>
      <c r="S14" s="26"/>
      <c r="T14" s="26"/>
      <c r="U14" s="147"/>
    </row>
    <row r="15" spans="1:21" s="38" customFormat="1" ht="13.5" customHeight="1">
      <c r="A15" s="59" t="s">
        <v>1824</v>
      </c>
      <c r="B15" s="3019">
        <v>1.4999999999999999E-2</v>
      </c>
      <c r="C15" s="321"/>
      <c r="D15" s="321"/>
      <c r="E15" s="113"/>
      <c r="F15" s="26"/>
      <c r="G15" s="26"/>
      <c r="H15" s="26"/>
      <c r="I15" s="26"/>
      <c r="J15" s="26"/>
      <c r="K15" s="26"/>
      <c r="L15" s="26"/>
      <c r="M15" s="26"/>
      <c r="N15" s="26"/>
      <c r="O15" s="26"/>
      <c r="P15" s="26"/>
      <c r="Q15" s="26"/>
      <c r="R15" s="26"/>
      <c r="S15" s="26"/>
      <c r="T15" s="26"/>
      <c r="U15" s="147"/>
    </row>
    <row r="16" spans="1:21" s="38" customFormat="1" ht="13.5" customHeight="1">
      <c r="A16" s="38" t="s">
        <v>370</v>
      </c>
      <c r="B16" s="1221">
        <v>2015</v>
      </c>
      <c r="C16" s="321"/>
      <c r="D16" s="321"/>
      <c r="E16" s="113"/>
      <c r="F16" s="26"/>
      <c r="G16" s="26"/>
      <c r="H16" s="26"/>
      <c r="I16" s="26"/>
      <c r="J16" s="26"/>
      <c r="K16" s="26"/>
      <c r="L16" s="26"/>
      <c r="M16" s="26"/>
      <c r="N16" s="26"/>
      <c r="O16" s="26"/>
      <c r="P16" s="26"/>
      <c r="Q16" s="26"/>
      <c r="R16" s="26"/>
      <c r="S16" s="26"/>
      <c r="T16" s="26"/>
      <c r="U16" s="147"/>
    </row>
    <row r="17" spans="1:21" s="38" customFormat="1" ht="13.5" customHeight="1">
      <c r="A17" s="169" t="s">
        <v>253</v>
      </c>
      <c r="B17" s="170"/>
      <c r="C17" s="321"/>
      <c r="D17" s="321"/>
      <c r="E17" s="207"/>
      <c r="F17" s="43"/>
      <c r="G17" s="43"/>
      <c r="H17" s="26"/>
      <c r="I17" s="26"/>
      <c r="J17" s="26"/>
      <c r="K17" s="26"/>
      <c r="L17" s="26"/>
      <c r="M17" s="26"/>
      <c r="N17" s="26"/>
      <c r="O17" s="26"/>
      <c r="P17" s="26"/>
      <c r="Q17" s="26"/>
      <c r="R17" s="26"/>
      <c r="S17" s="26"/>
      <c r="T17" s="26"/>
      <c r="U17" s="147"/>
    </row>
    <row r="18" spans="1:21" s="38" customFormat="1" ht="13.5" customHeight="1">
      <c r="A18" s="3615"/>
      <c r="B18" s="3615"/>
      <c r="C18" s="321"/>
      <c r="D18" s="321"/>
      <c r="E18" s="2528"/>
      <c r="F18" s="26"/>
      <c r="G18" s="26"/>
      <c r="H18" s="26"/>
      <c r="J18" s="26"/>
      <c r="K18" s="26"/>
      <c r="L18" s="26"/>
      <c r="M18" s="26"/>
      <c r="N18" s="26"/>
      <c r="O18" s="26"/>
      <c r="P18" s="26"/>
      <c r="Q18" s="26"/>
      <c r="R18" s="26"/>
      <c r="S18" s="26"/>
      <c r="T18" s="26"/>
      <c r="U18" s="147"/>
    </row>
    <row r="19" spans="1:21" s="38" customFormat="1" ht="13.5" customHeight="1">
      <c r="A19" s="3615"/>
      <c r="B19" s="3615"/>
      <c r="C19" s="321"/>
      <c r="D19" s="321"/>
      <c r="E19" s="113" t="s">
        <v>1036</v>
      </c>
      <c r="F19" s="26"/>
      <c r="G19" s="26"/>
      <c r="H19" s="26"/>
      <c r="I19" s="26"/>
      <c r="J19" s="26"/>
      <c r="K19" s="26"/>
      <c r="L19" s="26"/>
      <c r="M19" s="26"/>
      <c r="N19" s="26"/>
      <c r="O19" s="26"/>
      <c r="P19" s="26"/>
      <c r="Q19" s="26"/>
      <c r="R19" s="26"/>
      <c r="S19" s="26"/>
      <c r="T19" s="26"/>
      <c r="U19" s="147"/>
    </row>
    <row r="20" spans="1:21" s="38" customFormat="1" ht="13.5" customHeight="1" thickBot="1">
      <c r="A20" s="3615"/>
      <c r="B20" s="3615"/>
      <c r="C20" s="321"/>
      <c r="D20" s="412"/>
      <c r="E20" s="381" t="s">
        <v>2275</v>
      </c>
      <c r="F20" s="13"/>
      <c r="G20" s="13"/>
      <c r="H20" s="163"/>
      <c r="I20" s="163"/>
      <c r="J20" s="163"/>
      <c r="K20" s="163"/>
      <c r="L20" s="163"/>
      <c r="M20" s="163"/>
      <c r="N20" s="163"/>
      <c r="O20" s="163"/>
      <c r="P20" s="163"/>
      <c r="Q20" s="163"/>
      <c r="R20" s="163"/>
      <c r="S20" s="163"/>
      <c r="T20" s="163"/>
      <c r="U20" s="382"/>
    </row>
    <row r="21" spans="1:21" s="38" customFormat="1" ht="13.5" customHeight="1" thickTop="1">
      <c r="A21" s="35"/>
      <c r="B21" s="321"/>
      <c r="C21" s="321"/>
      <c r="D21" s="32"/>
      <c r="E21" s="348"/>
      <c r="F21" s="26"/>
      <c r="G21" s="26"/>
      <c r="H21" s="35"/>
      <c r="I21" s="738"/>
    </row>
    <row r="22" spans="1:21" ht="13.5" customHeight="1" thickBot="1">
      <c r="B22" s="627"/>
      <c r="C22" s="627"/>
      <c r="D22" s="13"/>
      <c r="E22" s="13"/>
      <c r="F22" s="13"/>
      <c r="G22" s="13"/>
      <c r="H22" s="627"/>
      <c r="I22" s="163"/>
      <c r="J22" s="29"/>
      <c r="K22" s="29"/>
      <c r="L22" s="29"/>
      <c r="M22" s="29"/>
      <c r="N22" s="29"/>
      <c r="O22" s="29"/>
    </row>
    <row r="23" spans="1:21" ht="13.5" customHeight="1" thickTop="1" thickBot="1">
      <c r="A23" s="1038" t="s">
        <v>1315</v>
      </c>
      <c r="B23" s="1313"/>
      <c r="C23" s="783"/>
      <c r="D23" s="783"/>
      <c r="E23" s="783"/>
      <c r="F23" s="783"/>
      <c r="G23" s="783"/>
      <c r="H23" s="1313"/>
      <c r="I23" s="1048"/>
      <c r="J23" s="718"/>
      <c r="K23" s="718"/>
      <c r="L23" s="718"/>
      <c r="M23" s="609"/>
      <c r="N23" s="609"/>
      <c r="O23" s="609"/>
      <c r="P23" s="609"/>
      <c r="Q23" s="609"/>
    </row>
    <row r="24" spans="1:21" ht="13.5" customHeight="1" thickTop="1">
      <c r="A24" s="765"/>
      <c r="B24" s="792"/>
      <c r="C24" s="767"/>
      <c r="D24" s="786" t="s">
        <v>579</v>
      </c>
      <c r="E24" s="786" t="s">
        <v>580</v>
      </c>
      <c r="F24" s="787" t="s">
        <v>819</v>
      </c>
      <c r="G24" s="787" t="s">
        <v>581</v>
      </c>
      <c r="H24" s="2133" t="s">
        <v>581</v>
      </c>
      <c r="I24" s="3014" t="s">
        <v>1374</v>
      </c>
      <c r="J24" s="32"/>
      <c r="K24" s="35"/>
      <c r="L24" s="1900"/>
      <c r="M24" s="718"/>
      <c r="N24" s="609"/>
      <c r="O24" s="609"/>
      <c r="P24" s="609"/>
      <c r="Q24" s="609"/>
    </row>
    <row r="25" spans="1:21" ht="13.5" customHeight="1">
      <c r="A25" s="1633"/>
      <c r="B25" s="2133"/>
      <c r="C25" s="825"/>
      <c r="D25" s="2038"/>
      <c r="E25" s="2038"/>
      <c r="F25" s="787"/>
      <c r="G25" s="787" t="s">
        <v>820</v>
      </c>
      <c r="H25" s="2133" t="s">
        <v>584</v>
      </c>
      <c r="I25" s="3015" t="s">
        <v>1375</v>
      </c>
      <c r="J25" s="455"/>
      <c r="K25" s="714"/>
      <c r="L25" s="714"/>
      <c r="M25" s="739"/>
      <c r="N25" s="609"/>
      <c r="O25" s="609"/>
      <c r="P25" s="609"/>
      <c r="Q25" s="609"/>
    </row>
    <row r="26" spans="1:21" ht="13.5" customHeight="1" thickBot="1">
      <c r="A26" s="634"/>
      <c r="B26" s="791" t="s">
        <v>1450</v>
      </c>
      <c r="C26" s="636"/>
      <c r="D26" s="789" t="s">
        <v>1609</v>
      </c>
      <c r="E26" s="789" t="s">
        <v>1609</v>
      </c>
      <c r="F26" s="789" t="s">
        <v>1609</v>
      </c>
      <c r="G26" s="789" t="s">
        <v>1610</v>
      </c>
      <c r="H26" s="3018" t="s">
        <v>1610</v>
      </c>
      <c r="I26" s="2372" t="s">
        <v>1168</v>
      </c>
      <c r="J26" s="455"/>
      <c r="K26" s="455"/>
      <c r="L26" s="455"/>
      <c r="M26" s="2"/>
      <c r="N26" s="609"/>
      <c r="O26" s="609"/>
      <c r="P26" s="609"/>
      <c r="Q26" s="609"/>
    </row>
    <row r="27" spans="1:21" ht="13.5" customHeight="1" thickTop="1">
      <c r="A27" s="623"/>
      <c r="B27" s="2339">
        <v>2010</v>
      </c>
      <c r="D27" s="2633">
        <v>2.2299199768831395</v>
      </c>
      <c r="E27" s="2633">
        <v>2.5617129175583555</v>
      </c>
      <c r="F27" s="2634">
        <v>2.9257703749999999</v>
      </c>
      <c r="G27" s="2635">
        <v>0.38937841888483038</v>
      </c>
      <c r="H27" s="2636">
        <f t="shared" ref="H27:H68" si="0">I27*(1+$B$15)</f>
        <v>0.36250442113580411</v>
      </c>
      <c r="I27" s="3016">
        <v>0.35714721294167895</v>
      </c>
      <c r="J27" s="609"/>
      <c r="K27" s="2289"/>
      <c r="L27" s="2290"/>
      <c r="M27" s="2268"/>
      <c r="N27" s="609"/>
      <c r="O27" s="609"/>
      <c r="P27" s="2269"/>
      <c r="Q27" s="609"/>
    </row>
    <row r="28" spans="1:21" ht="13.5" customHeight="1">
      <c r="A28" s="623"/>
      <c r="B28" s="739">
        <f>B27+1</f>
        <v>2011</v>
      </c>
      <c r="D28" s="2633">
        <v>2.2111007756537502</v>
      </c>
      <c r="E28" s="2633">
        <v>2.5665344417062501</v>
      </c>
      <c r="F28" s="2634">
        <v>2.9257703749999999</v>
      </c>
      <c r="G28" s="2633">
        <v>0.38377758893819225</v>
      </c>
      <c r="H28" s="2636">
        <f>I28*(1+$B$15)</f>
        <v>0.35568372953447902</v>
      </c>
      <c r="I28" s="3017">
        <v>0.35042731973840302</v>
      </c>
      <c r="J28" s="609"/>
      <c r="K28" s="2289"/>
      <c r="L28" s="2290"/>
      <c r="M28" s="2268"/>
      <c r="N28" s="609"/>
      <c r="O28" s="609"/>
      <c r="P28" s="2269"/>
      <c r="Q28" s="609"/>
    </row>
    <row r="29" spans="1:21" ht="13.5" customHeight="1">
      <c r="A29" s="623"/>
      <c r="B29" s="739">
        <f t="shared" ref="B29:B67" si="1">B28+1</f>
        <v>2012</v>
      </c>
      <c r="D29" s="2633">
        <v>2.210582655733675</v>
      </c>
      <c r="E29" s="2633">
        <v>2.6087021457169537</v>
      </c>
      <c r="F29" s="2634">
        <v>2.9257703749999999</v>
      </c>
      <c r="G29" s="2633">
        <v>0.37657132794163034</v>
      </c>
      <c r="H29" s="2636">
        <f t="shared" si="0"/>
        <v>0.34847589599259055</v>
      </c>
      <c r="I29" s="3017">
        <v>0.34332600590403012</v>
      </c>
      <c r="J29" s="609"/>
      <c r="K29" s="2289"/>
      <c r="L29" s="2290"/>
      <c r="M29" s="2268"/>
      <c r="N29" s="609"/>
      <c r="O29" s="609"/>
      <c r="P29" s="2269"/>
      <c r="Q29" s="609"/>
    </row>
    <row r="30" spans="1:21" ht="13.5" customHeight="1">
      <c r="A30" s="623"/>
      <c r="B30" s="739">
        <f t="shared" si="1"/>
        <v>2013</v>
      </c>
      <c r="D30" s="2633">
        <v>2.2009017860009048</v>
      </c>
      <c r="E30" s="2633">
        <v>2.5973386501148656</v>
      </c>
      <c r="F30" s="2634">
        <v>2.8518362828182298</v>
      </c>
      <c r="G30" s="2633">
        <v>0.36739163602512309</v>
      </c>
      <c r="H30" s="2636">
        <f t="shared" si="0"/>
        <v>0.34085894636280811</v>
      </c>
      <c r="I30" s="3017">
        <v>0.3358216220323233</v>
      </c>
      <c r="J30" s="609"/>
      <c r="K30" s="2289"/>
      <c r="L30" s="2290"/>
      <c r="M30" s="2268"/>
      <c r="N30" s="609"/>
      <c r="O30" s="609"/>
      <c r="P30" s="2269"/>
      <c r="Q30" s="609"/>
    </row>
    <row r="31" spans="1:21" ht="13.5" customHeight="1">
      <c r="A31" s="623"/>
      <c r="B31" s="739">
        <f t="shared" si="1"/>
        <v>2014</v>
      </c>
      <c r="D31" s="2633">
        <v>2.1890887342243337</v>
      </c>
      <c r="E31" s="2633">
        <v>2.6013091383329261</v>
      </c>
      <c r="F31" s="2634">
        <v>2.8559245042628429</v>
      </c>
      <c r="G31" s="2633">
        <v>0.36044300365091569</v>
      </c>
      <c r="H31" s="2636">
        <f>I31*(1+$B$15)</f>
        <v>0.33280965924685701</v>
      </c>
      <c r="I31" s="3017">
        <v>0.32789128989838134</v>
      </c>
      <c r="J31" s="609"/>
      <c r="K31" s="2289"/>
      <c r="L31" s="2290"/>
      <c r="M31" s="2268"/>
      <c r="N31" s="609"/>
      <c r="O31" s="609"/>
      <c r="P31" s="2269"/>
      <c r="Q31" s="609"/>
    </row>
    <row r="32" spans="1:21" ht="13.5" customHeight="1">
      <c r="A32" s="623"/>
      <c r="B32" s="739">
        <f t="shared" si="1"/>
        <v>2015</v>
      </c>
      <c r="D32" s="2633">
        <v>2.1890887342243337</v>
      </c>
      <c r="E32" s="2633">
        <v>2.6014175797454899</v>
      </c>
      <c r="F32" s="2634">
        <v>2.8560361611886367</v>
      </c>
      <c r="G32" s="2633">
        <v>0.35022013638393001</v>
      </c>
      <c r="H32" s="2636">
        <f t="shared" si="0"/>
        <v>0.32430349520164908</v>
      </c>
      <c r="I32" s="3017">
        <v>0.31951083271098435</v>
      </c>
      <c r="J32" s="609"/>
      <c r="K32" s="2289"/>
      <c r="L32" s="2290"/>
      <c r="M32" s="2268"/>
      <c r="N32" s="609"/>
      <c r="O32" s="609"/>
      <c r="P32" s="2269"/>
      <c r="Q32" s="609"/>
    </row>
    <row r="33" spans="1:17" ht="13.5" customHeight="1">
      <c r="A33" s="623"/>
      <c r="B33" s="739">
        <f t="shared" si="1"/>
        <v>2016</v>
      </c>
      <c r="D33" s="2633">
        <v>2.1890887342243337</v>
      </c>
      <c r="E33" s="2633">
        <v>2.6015089173819628</v>
      </c>
      <c r="F33" s="2634">
        <v>2.856130207175835</v>
      </c>
      <c r="G33" s="2633">
        <v>0.33960660597723208</v>
      </c>
      <c r="H33" s="2636">
        <f t="shared" si="0"/>
        <v>0.31531452192715809</v>
      </c>
      <c r="I33" s="3017">
        <v>0.3106547014060671</v>
      </c>
      <c r="J33" s="609"/>
      <c r="K33" s="2289"/>
      <c r="L33" s="2290"/>
      <c r="M33" s="2268"/>
      <c r="N33" s="609"/>
      <c r="O33" s="609"/>
      <c r="P33" s="2269"/>
      <c r="Q33" s="609"/>
    </row>
    <row r="34" spans="1:17" ht="13.5" customHeight="1">
      <c r="A34" s="623"/>
      <c r="B34" s="739">
        <f t="shared" si="1"/>
        <v>2017</v>
      </c>
      <c r="D34" s="2633">
        <v>2.1595005987432501</v>
      </c>
      <c r="E34" s="2633">
        <v>2.5561288764705132</v>
      </c>
      <c r="F34" s="2634">
        <v>2.809404553749201</v>
      </c>
      <c r="G34" s="2633">
        <v>0.329934063912868</v>
      </c>
      <c r="H34" s="2636">
        <f t="shared" si="0"/>
        <v>0.30581533520796539</v>
      </c>
      <c r="I34" s="3017">
        <v>0.30129589675661617</v>
      </c>
      <c r="J34" s="609"/>
      <c r="K34" s="2289"/>
      <c r="L34" s="2290"/>
      <c r="M34" s="2268"/>
      <c r="N34" s="609"/>
      <c r="O34" s="609"/>
      <c r="P34" s="2269"/>
      <c r="Q34" s="609"/>
    </row>
    <row r="35" spans="1:17" ht="13.5" customHeight="1">
      <c r="A35" s="623"/>
      <c r="B35" s="739">
        <f t="shared" si="1"/>
        <v>2018</v>
      </c>
      <c r="D35" s="2633">
        <v>2.1299124632621669</v>
      </c>
      <c r="E35" s="2633">
        <v>2.5107488355590641</v>
      </c>
      <c r="F35" s="2634">
        <v>2.7626789003225665</v>
      </c>
      <c r="G35" s="2633">
        <v>0.31910400905329878</v>
      </c>
      <c r="H35" s="2636">
        <f t="shared" si="0"/>
        <v>0.29577697536745345</v>
      </c>
      <c r="I35" s="3017">
        <v>0.29140588706153053</v>
      </c>
      <c r="J35" s="609"/>
      <c r="K35" s="2289"/>
      <c r="L35" s="2290"/>
      <c r="M35" s="2268"/>
      <c r="N35" s="609"/>
      <c r="O35" s="609"/>
      <c r="P35" s="2269"/>
      <c r="Q35" s="609"/>
    </row>
    <row r="36" spans="1:17" ht="13.5" customHeight="1">
      <c r="A36" s="623"/>
      <c r="B36" s="739">
        <f t="shared" si="1"/>
        <v>2019</v>
      </c>
      <c r="D36" s="2633">
        <v>2.1003243277810837</v>
      </c>
      <c r="E36" s="2633">
        <v>2.4653687946476155</v>
      </c>
      <c r="F36" s="2634">
        <v>2.7159532468959324</v>
      </c>
      <c r="G36" s="2633">
        <v>0.30765924109719711</v>
      </c>
      <c r="H36" s="2636">
        <f t="shared" si="0"/>
        <v>0.28516883897994511</v>
      </c>
      <c r="I36" s="3017">
        <v>0.28095452116250752</v>
      </c>
      <c r="J36" s="609"/>
      <c r="K36" s="2289"/>
      <c r="L36" s="2290"/>
      <c r="M36" s="2268"/>
      <c r="N36" s="609"/>
      <c r="O36" s="609"/>
      <c r="P36" s="2269"/>
      <c r="Q36" s="609"/>
    </row>
    <row r="37" spans="1:17" ht="13.5" customHeight="1">
      <c r="A37" s="623"/>
      <c r="B37" s="739">
        <f t="shared" si="1"/>
        <v>2020</v>
      </c>
      <c r="D37" s="2633">
        <v>2.0707361923000001</v>
      </c>
      <c r="E37" s="2633">
        <v>2.4199887537361664</v>
      </c>
      <c r="F37" s="2634">
        <v>2.6692275934692988</v>
      </c>
      <c r="G37" s="2633">
        <v>0.29556486897559364</v>
      </c>
      <c r="H37" s="2636">
        <f t="shared" si="0"/>
        <v>0.27395858557163133</v>
      </c>
      <c r="I37" s="3017">
        <v>0.26990993652377476</v>
      </c>
      <c r="J37" s="609"/>
      <c r="K37" s="2289"/>
      <c r="L37" s="2290"/>
      <c r="M37" s="2268"/>
      <c r="N37" s="609"/>
      <c r="O37" s="609"/>
      <c r="P37" s="2269"/>
      <c r="Q37" s="609"/>
    </row>
    <row r="38" spans="1:17" ht="13.5" customHeight="1">
      <c r="A38" s="623"/>
      <c r="B38" s="739">
        <f t="shared" si="1"/>
        <v>2021</v>
      </c>
      <c r="D38" s="2633">
        <v>2.0707361923000001</v>
      </c>
      <c r="E38" s="2633">
        <v>2.4199887537361664</v>
      </c>
      <c r="F38" s="2634">
        <v>2.6692275934692988</v>
      </c>
      <c r="G38" s="2633">
        <v>0.28278402120507734</v>
      </c>
      <c r="H38" s="2636">
        <f t="shared" si="0"/>
        <v>0.26211203902585051</v>
      </c>
      <c r="I38" s="3017">
        <v>0.25823846209443402</v>
      </c>
      <c r="J38" s="609"/>
      <c r="K38" s="2289"/>
      <c r="L38" s="2290"/>
      <c r="M38" s="2268"/>
      <c r="N38" s="609"/>
      <c r="O38" s="609"/>
      <c r="P38" s="2269"/>
      <c r="Q38" s="609"/>
    </row>
    <row r="39" spans="1:17" ht="13.5" customHeight="1">
      <c r="A39" s="623"/>
      <c r="B39" s="739">
        <f t="shared" si="1"/>
        <v>2022</v>
      </c>
      <c r="D39" s="2633">
        <v>2.0707361923000001</v>
      </c>
      <c r="E39" s="2633">
        <v>2.4199887537361664</v>
      </c>
      <c r="F39" s="2634">
        <v>2.6692275934692988</v>
      </c>
      <c r="G39" s="2633">
        <v>0.2692777334796212</v>
      </c>
      <c r="H39" s="2636">
        <f t="shared" si="0"/>
        <v>0.24959308339213818</v>
      </c>
      <c r="I39" s="3017">
        <v>0.24590451565727903</v>
      </c>
      <c r="J39" s="609"/>
      <c r="K39" s="2289"/>
      <c r="L39" s="2290"/>
      <c r="M39" s="2268"/>
      <c r="N39" s="609"/>
      <c r="O39" s="609"/>
      <c r="P39" s="2269"/>
      <c r="Q39" s="609"/>
    </row>
    <row r="40" spans="1:17" ht="13.5" customHeight="1">
      <c r="A40" s="623"/>
      <c r="B40" s="739">
        <f t="shared" si="1"/>
        <v>2023</v>
      </c>
      <c r="D40" s="2633">
        <v>2.0707361923000001</v>
      </c>
      <c r="E40" s="2633">
        <v>2.4199887537361664</v>
      </c>
      <c r="F40" s="2634">
        <v>2.6692275934692988</v>
      </c>
      <c r="G40" s="2633">
        <v>0.25500482988212858</v>
      </c>
      <c r="H40" s="2636">
        <f t="shared" si="0"/>
        <v>0.23636355278140711</v>
      </c>
      <c r="I40" s="3017">
        <v>0.23287049535114004</v>
      </c>
      <c r="J40" s="609"/>
      <c r="K40" s="2289"/>
      <c r="L40" s="2290"/>
      <c r="M40" s="2268"/>
      <c r="N40" s="609"/>
      <c r="O40" s="609"/>
      <c r="P40" s="2269"/>
      <c r="Q40" s="609"/>
    </row>
    <row r="41" spans="1:17" ht="13.5" customHeight="1">
      <c r="A41" s="623"/>
      <c r="B41" s="739">
        <f t="shared" si="1"/>
        <v>2024</v>
      </c>
      <c r="D41" s="2633">
        <v>2.0707361923000001</v>
      </c>
      <c r="E41" s="2633">
        <v>2.4199887537361664</v>
      </c>
      <c r="F41" s="2634">
        <v>2.6692275934692988</v>
      </c>
      <c r="G41" s="2633">
        <v>0.23992179735355579</v>
      </c>
      <c r="H41" s="2636">
        <f t="shared" si="0"/>
        <v>0.22238311501158572</v>
      </c>
      <c r="I41" s="3017">
        <v>0.21909666503604508</v>
      </c>
      <c r="J41" s="609"/>
      <c r="K41" s="2289"/>
      <c r="L41" s="2290"/>
      <c r="M41" s="2268"/>
      <c r="N41" s="609"/>
      <c r="O41" s="609"/>
      <c r="P41" s="2269"/>
      <c r="Q41" s="609"/>
    </row>
    <row r="42" spans="1:17" ht="13.5" customHeight="1">
      <c r="A42" s="623"/>
      <c r="B42" s="739">
        <f t="shared" si="1"/>
        <v>2025</v>
      </c>
      <c r="D42" s="2633">
        <v>2.0707361923000001</v>
      </c>
      <c r="E42" s="2633">
        <v>2.4199887537361664</v>
      </c>
      <c r="F42" s="2634">
        <v>2.6692275934692988</v>
      </c>
      <c r="G42" s="2633">
        <v>0.22398265303691164</v>
      </c>
      <c r="H42" s="2636">
        <f t="shared" si="0"/>
        <v>0.20760914864899169</v>
      </c>
      <c r="I42" s="3017">
        <v>0.20454103315171596</v>
      </c>
      <c r="J42" s="609"/>
      <c r="K42" s="2289"/>
      <c r="L42" s="2290"/>
      <c r="M42" s="2268"/>
      <c r="N42" s="609"/>
      <c r="O42" s="609"/>
      <c r="P42" s="2269"/>
      <c r="Q42" s="609"/>
    </row>
    <row r="43" spans="1:17" ht="13.5" customHeight="1">
      <c r="A43" s="623"/>
      <c r="B43" s="739">
        <f t="shared" si="1"/>
        <v>2026</v>
      </c>
      <c r="D43" s="2633">
        <v>2.0707361923000001</v>
      </c>
      <c r="E43" s="2633">
        <v>2.4199887537361664</v>
      </c>
      <c r="F43" s="2634">
        <v>2.6692275934692988</v>
      </c>
      <c r="G43" s="2633">
        <v>0.20713880409171231</v>
      </c>
      <c r="H43" s="2636">
        <f t="shared" si="0"/>
        <v>0.19199661307058344</v>
      </c>
      <c r="I43" s="3017">
        <v>0.18915922470008223</v>
      </c>
      <c r="J43" s="609"/>
      <c r="K43" s="2289"/>
      <c r="L43" s="2290"/>
      <c r="M43" s="2268"/>
      <c r="N43" s="609"/>
      <c r="O43" s="609"/>
      <c r="P43" s="2269"/>
      <c r="Q43" s="609"/>
    </row>
    <row r="44" spans="1:17" ht="13.5" customHeight="1">
      <c r="A44" s="623"/>
      <c r="B44" s="739">
        <f t="shared" si="1"/>
        <v>2027</v>
      </c>
      <c r="D44" s="2633">
        <v>2.0707361923000001</v>
      </c>
      <c r="E44" s="2633">
        <v>2.4199887537361664</v>
      </c>
      <c r="F44" s="2634">
        <v>2.6692275934692988</v>
      </c>
      <c r="G44" s="2633">
        <v>0.18933889955151495</v>
      </c>
      <c r="H44" s="2636">
        <f t="shared" si="0"/>
        <v>0.17549791115095442</v>
      </c>
      <c r="I44" s="3017">
        <v>0.17290434596153148</v>
      </c>
      <c r="J44" s="609"/>
      <c r="K44" s="2289"/>
      <c r="L44" s="2290"/>
      <c r="M44" s="2268"/>
      <c r="N44" s="609"/>
      <c r="O44" s="609"/>
      <c r="P44" s="2269"/>
      <c r="Q44" s="609"/>
    </row>
    <row r="45" spans="1:17" ht="13.5" customHeight="1">
      <c r="A45" s="623"/>
      <c r="B45" s="739">
        <f t="shared" si="1"/>
        <v>2028</v>
      </c>
      <c r="D45" s="2633">
        <v>2.0707361923000001</v>
      </c>
      <c r="E45" s="2633">
        <v>2.4199887537361664</v>
      </c>
      <c r="F45" s="2634">
        <v>2.6692275934692988</v>
      </c>
      <c r="G45" s="2633">
        <v>0.17052867377289696</v>
      </c>
      <c r="H45" s="2636">
        <f t="shared" si="0"/>
        <v>0.15806274415545216</v>
      </c>
      <c r="I45" s="3017">
        <v>0.15572684153246519</v>
      </c>
      <c r="J45" s="609"/>
      <c r="K45" s="2289"/>
      <c r="L45" s="2290"/>
      <c r="M45" s="2268"/>
      <c r="N45" s="609"/>
      <c r="O45" s="609"/>
      <c r="P45" s="2269"/>
      <c r="Q45" s="609"/>
    </row>
    <row r="46" spans="1:17" ht="13.5" customHeight="1">
      <c r="A46" s="623"/>
      <c r="B46" s="739">
        <f t="shared" si="1"/>
        <v>2029</v>
      </c>
      <c r="D46" s="2633">
        <v>2.0707361923000001</v>
      </c>
      <c r="E46" s="2633">
        <v>2.4199887537361664</v>
      </c>
      <c r="F46" s="2634">
        <v>2.6692275934692988</v>
      </c>
      <c r="G46" s="2633">
        <v>0.1506507809986099</v>
      </c>
      <c r="H46" s="2636">
        <f t="shared" si="0"/>
        <v>0.1396379583970408</v>
      </c>
      <c r="I46" s="3017">
        <v>0.13757434324831608</v>
      </c>
      <c r="J46" s="609"/>
      <c r="K46" s="2289"/>
      <c r="L46" s="2290"/>
      <c r="M46" s="2268"/>
      <c r="N46" s="609"/>
      <c r="O46" s="609"/>
      <c r="P46" s="2269"/>
      <c r="Q46" s="609"/>
    </row>
    <row r="47" spans="1:17" ht="13.5" customHeight="1">
      <c r="A47" s="623"/>
      <c r="B47" s="739">
        <f t="shared" si="1"/>
        <v>2030</v>
      </c>
      <c r="D47" s="2633">
        <v>2.0707361923000001</v>
      </c>
      <c r="E47" s="2633">
        <v>2.4199887537361664</v>
      </c>
      <c r="F47" s="2634">
        <v>2.6692275934692988</v>
      </c>
      <c r="G47" s="2633">
        <v>0.12964462053055192</v>
      </c>
      <c r="H47" s="2636">
        <f t="shared" si="0"/>
        <v>0.12016738318942002</v>
      </c>
      <c r="I47" s="3017">
        <v>0.11839151053144831</v>
      </c>
      <c r="J47" s="609"/>
      <c r="K47" s="2289"/>
      <c r="L47" s="2290"/>
      <c r="M47" s="2268"/>
      <c r="N47" s="609"/>
      <c r="O47" s="609"/>
      <c r="P47" s="2269"/>
      <c r="Q47" s="609"/>
    </row>
    <row r="48" spans="1:17" ht="13.5" customHeight="1">
      <c r="A48" s="623"/>
      <c r="B48" s="739">
        <f t="shared" si="1"/>
        <v>2031</v>
      </c>
      <c r="D48" s="2633">
        <v>2.0707361923000001</v>
      </c>
      <c r="E48" s="2633">
        <v>2.4199887537361664</v>
      </c>
      <c r="F48" s="2634">
        <v>2.6692275934692988</v>
      </c>
      <c r="G48" s="2633">
        <v>0.11551638230192907</v>
      </c>
      <c r="H48" s="2636">
        <f t="shared" si="0"/>
        <v>0.10707194266853667</v>
      </c>
      <c r="I48" s="3017">
        <v>0.10548959868821348</v>
      </c>
      <c r="J48" s="609"/>
      <c r="K48" s="2289"/>
      <c r="L48" s="2290"/>
      <c r="M48" s="2268"/>
      <c r="N48" s="609"/>
      <c r="O48" s="609"/>
      <c r="P48" s="2269"/>
      <c r="Q48" s="609"/>
    </row>
    <row r="49" spans="1:17" ht="13.5" customHeight="1">
      <c r="A49" s="623"/>
      <c r="B49" s="739">
        <f t="shared" si="1"/>
        <v>2032</v>
      </c>
      <c r="D49" s="2633">
        <v>2.0707361923000001</v>
      </c>
      <c r="E49" s="2633">
        <v>2.4199887537361664</v>
      </c>
      <c r="F49" s="2634">
        <v>2.6692275934692988</v>
      </c>
      <c r="G49" s="2633">
        <v>0.10292779234122398</v>
      </c>
      <c r="H49" s="2636">
        <f t="shared" si="0"/>
        <v>9.540359956697278E-2</v>
      </c>
      <c r="I49" s="3017">
        <v>9.3993694154652987E-2</v>
      </c>
      <c r="J49" s="609"/>
      <c r="K49" s="2289"/>
      <c r="L49" s="2290"/>
      <c r="M49" s="2268"/>
      <c r="N49" s="609"/>
      <c r="O49" s="609"/>
      <c r="P49" s="2269"/>
      <c r="Q49" s="609"/>
    </row>
    <row r="50" spans="1:17" ht="13.5" customHeight="1">
      <c r="A50" s="623"/>
      <c r="B50" s="739">
        <f t="shared" si="1"/>
        <v>2033</v>
      </c>
      <c r="D50" s="2633">
        <v>2.0707361923000001</v>
      </c>
      <c r="E50" s="2633">
        <v>2.4199887537361664</v>
      </c>
      <c r="F50" s="2634">
        <v>2.6692275934692988</v>
      </c>
      <c r="G50" s="2633">
        <v>9.1711064916730936E-2</v>
      </c>
      <c r="H50" s="2636">
        <f t="shared" si="0"/>
        <v>8.500683356901384E-2</v>
      </c>
      <c r="I50" s="3017">
        <v>8.3750574944841227E-2</v>
      </c>
      <c r="J50" s="609"/>
      <c r="K50" s="2289"/>
      <c r="L50" s="2290"/>
      <c r="M50" s="2268"/>
      <c r="N50" s="609"/>
      <c r="O50" s="609"/>
      <c r="P50" s="2269"/>
      <c r="Q50" s="609"/>
    </row>
    <row r="51" spans="1:17" ht="13.5" customHeight="1">
      <c r="A51" s="623"/>
      <c r="B51" s="739">
        <f t="shared" si="1"/>
        <v>2034</v>
      </c>
      <c r="D51" s="2633">
        <v>2.0707361923000001</v>
      </c>
      <c r="E51" s="2633">
        <v>2.4199887537361664</v>
      </c>
      <c r="F51" s="2634">
        <v>2.6692275934692988</v>
      </c>
      <c r="G51" s="2633">
        <v>8.1716699026023409E-2</v>
      </c>
      <c r="H51" s="2636">
        <f t="shared" si="0"/>
        <v>7.5743072444109341E-2</v>
      </c>
      <c r="I51" s="3017">
        <v>7.4623716693703795E-2</v>
      </c>
      <c r="J51" s="609"/>
      <c r="K51" s="2289"/>
      <c r="L51" s="2290"/>
      <c r="M51" s="2268"/>
      <c r="N51" s="609"/>
      <c r="O51" s="609"/>
      <c r="P51" s="2269"/>
      <c r="Q51" s="609"/>
    </row>
    <row r="52" spans="1:17" ht="13.5" customHeight="1">
      <c r="A52" s="623"/>
      <c r="B52" s="739">
        <f t="shared" si="1"/>
        <v>2035</v>
      </c>
      <c r="D52" s="2633">
        <v>2.0707361923000001</v>
      </c>
      <c r="E52" s="2633">
        <v>2.4199887537361664</v>
      </c>
      <c r="F52" s="2634">
        <v>2.6692275934692988</v>
      </c>
      <c r="G52" s="2633">
        <v>7.2811485787158153E-2</v>
      </c>
      <c r="H52" s="2636">
        <f t="shared" si="0"/>
        <v>6.7488845101093334E-2</v>
      </c>
      <c r="I52" s="3017">
        <v>6.649147300600329E-2</v>
      </c>
      <c r="J52" s="609"/>
      <c r="K52" s="2289"/>
      <c r="L52" s="2290"/>
      <c r="M52" s="2268"/>
      <c r="N52" s="609"/>
      <c r="O52" s="609"/>
      <c r="P52" s="2269"/>
      <c r="Q52" s="609"/>
    </row>
    <row r="53" spans="1:17" ht="13.5" customHeight="1">
      <c r="A53" s="623"/>
      <c r="B53" s="739">
        <f t="shared" si="1"/>
        <v>2036</v>
      </c>
      <c r="D53" s="2633">
        <v>2.0707361923000001</v>
      </c>
      <c r="E53" s="2633">
        <v>2.4199887537361664</v>
      </c>
      <c r="F53" s="2634">
        <v>2.6692275934692988</v>
      </c>
      <c r="G53" s="2633">
        <v>6.4876732977738383E-2</v>
      </c>
      <c r="H53" s="2636">
        <f t="shared" si="0"/>
        <v>6.0134135916394285E-2</v>
      </c>
      <c r="I53" s="3017">
        <v>5.924545410482196E-2</v>
      </c>
      <c r="J53" s="609"/>
      <c r="K53" s="2289"/>
      <c r="L53" s="2290"/>
      <c r="M53" s="2268"/>
      <c r="N53" s="609"/>
      <c r="O53" s="609"/>
      <c r="P53" s="2269"/>
      <c r="Q53" s="609"/>
    </row>
    <row r="54" spans="1:17" ht="13.5" customHeight="1">
      <c r="A54" s="623"/>
      <c r="B54" s="739">
        <f t="shared" si="1"/>
        <v>2037</v>
      </c>
      <c r="D54" s="2633">
        <v>2.0707361923000001</v>
      </c>
      <c r="E54" s="2633">
        <v>2.4199887537361664</v>
      </c>
      <c r="F54" s="2634">
        <v>2.6692275934692988</v>
      </c>
      <c r="G54" s="2633">
        <v>5.7806683057786343E-2</v>
      </c>
      <c r="H54" s="2636">
        <f t="shared" si="0"/>
        <v>5.3580918402066406E-2</v>
      </c>
      <c r="I54" s="3017">
        <v>5.2789082169523556E-2</v>
      </c>
      <c r="J54" s="609"/>
      <c r="K54" s="2289"/>
      <c r="L54" s="2290"/>
      <c r="M54" s="2268"/>
      <c r="N54" s="609"/>
      <c r="O54" s="609"/>
      <c r="P54" s="2269"/>
      <c r="Q54" s="609"/>
    </row>
    <row r="55" spans="1:17" ht="13.5" customHeight="1">
      <c r="A55" s="623"/>
      <c r="B55" s="739">
        <f t="shared" si="1"/>
        <v>2038</v>
      </c>
      <c r="D55" s="2633">
        <v>2.0707361923000001</v>
      </c>
      <c r="E55" s="2633">
        <v>2.4199887537361664</v>
      </c>
      <c r="F55" s="2634">
        <v>2.6692275934692988</v>
      </c>
      <c r="G55" s="2633">
        <v>5.1507103591205715E-2</v>
      </c>
      <c r="H55" s="2636">
        <f t="shared" si="0"/>
        <v>4.7741848669786993E-2</v>
      </c>
      <c r="I55" s="3017">
        <v>4.7036304108164527E-2</v>
      </c>
      <c r="J55" s="609"/>
      <c r="K55" s="2289"/>
      <c r="L55" s="2290"/>
      <c r="M55" s="2268"/>
      <c r="N55" s="609"/>
      <c r="O55" s="609"/>
      <c r="P55" s="2269"/>
      <c r="Q55" s="609"/>
    </row>
    <row r="56" spans="1:17" ht="13.5" customHeight="1">
      <c r="A56" s="623"/>
      <c r="B56" s="739">
        <f t="shared" si="1"/>
        <v>2039</v>
      </c>
      <c r="D56" s="2633">
        <v>2.0707361923000001</v>
      </c>
      <c r="E56" s="2633">
        <v>2.4199887537361664</v>
      </c>
      <c r="F56" s="2634">
        <v>2.6692275934692988</v>
      </c>
      <c r="G56" s="2633">
        <v>4.5894031278410297E-2</v>
      </c>
      <c r="H56" s="2636">
        <f t="shared" si="0"/>
        <v>4.253910127678847E-2</v>
      </c>
      <c r="I56" s="3017">
        <v>4.1910444607673375E-2</v>
      </c>
      <c r="J56" s="609"/>
      <c r="K56" s="2289"/>
      <c r="L56" s="2290"/>
      <c r="M56" s="2268"/>
      <c r="N56" s="609"/>
      <c r="O56" s="609"/>
      <c r="P56" s="2269"/>
      <c r="Q56" s="609"/>
    </row>
    <row r="57" spans="1:17" ht="13.5" customHeight="1">
      <c r="A57" s="623"/>
      <c r="B57" s="739">
        <f t="shared" si="1"/>
        <v>2040</v>
      </c>
      <c r="D57" s="2633">
        <v>2.0707361923000001</v>
      </c>
      <c r="E57" s="2633">
        <v>2.4199887537361664</v>
      </c>
      <c r="F57" s="2634">
        <v>2.6692275934692988</v>
      </c>
      <c r="G57" s="2633">
        <v>4.0892652860086767E-2</v>
      </c>
      <c r="H57" s="2636">
        <f t="shared" si="0"/>
        <v>3.7903331937417017E-2</v>
      </c>
      <c r="I57" s="3017">
        <v>3.7343184174795097E-2</v>
      </c>
      <c r="J57" s="609"/>
      <c r="K57" s="2289"/>
      <c r="L57" s="2290"/>
      <c r="M57" s="2268"/>
      <c r="N57" s="609"/>
      <c r="O57" s="609"/>
      <c r="P57" s="2269"/>
      <c r="Q57" s="609"/>
    </row>
    <row r="58" spans="1:17" ht="13.5" customHeight="1">
      <c r="A58" s="623"/>
      <c r="B58" s="739">
        <f t="shared" si="1"/>
        <v>2041</v>
      </c>
      <c r="D58" s="2633">
        <v>2.0707361923000001</v>
      </c>
      <c r="E58" s="2633">
        <v>2.4199887537361664</v>
      </c>
      <c r="F58" s="2634">
        <v>2.6692275934692988</v>
      </c>
      <c r="G58" s="2633">
        <v>3.9563233790948664E-2</v>
      </c>
      <c r="H58" s="2636">
        <f t="shared" si="0"/>
        <v>3.667109561286553E-2</v>
      </c>
      <c r="I58" s="3017">
        <v>3.6129158239276385E-2</v>
      </c>
      <c r="J58" s="609"/>
      <c r="K58" s="2289"/>
      <c r="L58" s="2290"/>
      <c r="M58" s="2268"/>
      <c r="N58" s="609"/>
      <c r="O58" s="609"/>
      <c r="P58" s="2269"/>
      <c r="Q58" s="609"/>
    </row>
    <row r="59" spans="1:17" ht="13.5" customHeight="1">
      <c r="A59" s="623"/>
      <c r="B59" s="739">
        <f t="shared" si="1"/>
        <v>2042</v>
      </c>
      <c r="D59" s="2633">
        <v>2.0707361923000001</v>
      </c>
      <c r="E59" s="2633">
        <v>2.4199887537361664</v>
      </c>
      <c r="F59" s="2634">
        <v>2.6692275934692988</v>
      </c>
      <c r="G59" s="2633">
        <v>3.8233814721810568E-2</v>
      </c>
      <c r="H59" s="2636">
        <f t="shared" si="0"/>
        <v>3.5438859288314035E-2</v>
      </c>
      <c r="I59" s="3017">
        <v>3.4915132303757673E-2</v>
      </c>
      <c r="J59" s="609"/>
      <c r="K59" s="2289"/>
      <c r="L59" s="2290"/>
      <c r="M59" s="2268"/>
      <c r="N59" s="609"/>
      <c r="O59" s="609"/>
      <c r="P59" s="2269"/>
      <c r="Q59" s="609"/>
    </row>
    <row r="60" spans="1:17" ht="13.5" customHeight="1">
      <c r="A60" s="623"/>
      <c r="B60" s="739">
        <f t="shared" si="1"/>
        <v>2043</v>
      </c>
      <c r="D60" s="2633">
        <v>2.0707361923000001</v>
      </c>
      <c r="E60" s="2633">
        <v>2.4199887537361664</v>
      </c>
      <c r="F60" s="2634">
        <v>2.6692275934692988</v>
      </c>
      <c r="G60" s="2633">
        <v>3.6904395652672464E-2</v>
      </c>
      <c r="H60" s="2636">
        <f t="shared" si="0"/>
        <v>3.4206622963762541E-2</v>
      </c>
      <c r="I60" s="3017">
        <v>3.3701106368238962E-2</v>
      </c>
      <c r="J60" s="609"/>
      <c r="K60" s="2289"/>
      <c r="L60" s="2290"/>
      <c r="M60" s="2268"/>
      <c r="N60" s="609"/>
      <c r="O60" s="609"/>
      <c r="P60" s="2269"/>
      <c r="Q60" s="609"/>
    </row>
    <row r="61" spans="1:17" ht="13.5" customHeight="1">
      <c r="A61" s="623"/>
      <c r="B61" s="739">
        <f t="shared" si="1"/>
        <v>2044</v>
      </c>
      <c r="D61" s="2633">
        <v>2.0707361923000001</v>
      </c>
      <c r="E61" s="2633">
        <v>2.4199887537361664</v>
      </c>
      <c r="F61" s="2634">
        <v>2.6692275934692988</v>
      </c>
      <c r="G61" s="2633">
        <v>3.5574976583534361E-2</v>
      </c>
      <c r="H61" s="2636">
        <f t="shared" si="0"/>
        <v>3.2974386639211054E-2</v>
      </c>
      <c r="I61" s="3017">
        <v>3.248708043272025E-2</v>
      </c>
      <c r="J61" s="609"/>
      <c r="K61" s="2289"/>
      <c r="L61" s="2290"/>
      <c r="M61" s="2268"/>
      <c r="N61" s="609"/>
      <c r="O61" s="609"/>
      <c r="P61" s="2269"/>
      <c r="Q61" s="609"/>
    </row>
    <row r="62" spans="1:17" ht="13.5" customHeight="1">
      <c r="A62" s="623"/>
      <c r="B62" s="739">
        <f t="shared" si="1"/>
        <v>2045</v>
      </c>
      <c r="D62" s="2633">
        <v>2.0707361923000001</v>
      </c>
      <c r="E62" s="2633">
        <v>2.4199887537361664</v>
      </c>
      <c r="F62" s="2634">
        <v>2.6692275934692988</v>
      </c>
      <c r="G62" s="2633">
        <v>3.4245557514396265E-2</v>
      </c>
      <c r="H62" s="2636">
        <f t="shared" si="0"/>
        <v>3.1742150314659559E-2</v>
      </c>
      <c r="I62" s="3017">
        <v>3.1273054497201538E-2</v>
      </c>
      <c r="J62" s="609"/>
      <c r="K62" s="2289"/>
      <c r="L62" s="2290"/>
      <c r="M62" s="2268"/>
      <c r="N62" s="609"/>
      <c r="O62" s="609"/>
      <c r="P62" s="2269"/>
      <c r="Q62" s="609"/>
    </row>
    <row r="63" spans="1:17" ht="13.5" customHeight="1">
      <c r="A63" s="623"/>
      <c r="B63" s="739">
        <f t="shared" si="1"/>
        <v>2046</v>
      </c>
      <c r="D63" s="2633">
        <v>2.0707361923000001</v>
      </c>
      <c r="E63" s="2633">
        <v>2.4199887537361664</v>
      </c>
      <c r="F63" s="2634">
        <v>2.6692275934692988</v>
      </c>
      <c r="G63" s="2633">
        <v>3.2916138445258161E-2</v>
      </c>
      <c r="H63" s="2636">
        <f t="shared" si="0"/>
        <v>3.0509913990108065E-2</v>
      </c>
      <c r="I63" s="3017">
        <v>3.0059028561682827E-2</v>
      </c>
      <c r="J63" s="609"/>
      <c r="K63" s="2289"/>
      <c r="L63" s="2290"/>
      <c r="M63" s="2268"/>
      <c r="N63" s="609"/>
      <c r="O63" s="609"/>
      <c r="P63" s="2269"/>
      <c r="Q63" s="609"/>
    </row>
    <row r="64" spans="1:17" ht="13.5" customHeight="1">
      <c r="A64" s="623"/>
      <c r="B64" s="739">
        <f t="shared" si="1"/>
        <v>2047</v>
      </c>
      <c r="D64" s="2633">
        <v>2.0707361923000001</v>
      </c>
      <c r="E64" s="2633">
        <v>2.4199887537361664</v>
      </c>
      <c r="F64" s="2634">
        <v>2.6692275934692988</v>
      </c>
      <c r="G64" s="2633">
        <v>3.1586719376120058E-2</v>
      </c>
      <c r="H64" s="2636">
        <f t="shared" si="0"/>
        <v>2.9277677665556574E-2</v>
      </c>
      <c r="I64" s="3017">
        <v>2.8845002626164115E-2</v>
      </c>
      <c r="J64" s="609"/>
      <c r="K64" s="2289"/>
      <c r="L64" s="2290"/>
      <c r="M64" s="2268"/>
      <c r="N64" s="609"/>
      <c r="O64" s="609"/>
      <c r="P64" s="2269"/>
      <c r="Q64" s="609"/>
    </row>
    <row r="65" spans="1:17" ht="13.5" customHeight="1">
      <c r="A65" s="623"/>
      <c r="B65" s="739">
        <f t="shared" si="1"/>
        <v>2048</v>
      </c>
      <c r="D65" s="2633">
        <v>2.0707361923000001</v>
      </c>
      <c r="E65" s="2633">
        <v>2.4199887537361664</v>
      </c>
      <c r="F65" s="2634">
        <v>2.6692275934692988</v>
      </c>
      <c r="G65" s="2633">
        <v>3.0257300306981962E-2</v>
      </c>
      <c r="H65" s="2636">
        <f t="shared" si="0"/>
        <v>2.8045441341005083E-2</v>
      </c>
      <c r="I65" s="3017">
        <v>2.7630976690645404E-2</v>
      </c>
      <c r="J65" s="609"/>
      <c r="K65" s="2289"/>
      <c r="L65" s="2290"/>
      <c r="M65" s="2268"/>
      <c r="N65" s="609"/>
      <c r="O65" s="609"/>
      <c r="P65" s="2269"/>
      <c r="Q65" s="609"/>
    </row>
    <row r="66" spans="1:17" ht="13.5" customHeight="1">
      <c r="A66" s="623"/>
      <c r="B66" s="739">
        <f t="shared" si="1"/>
        <v>2049</v>
      </c>
      <c r="D66" s="2633">
        <v>2.0707361923000001</v>
      </c>
      <c r="E66" s="2633">
        <v>2.4199887537361664</v>
      </c>
      <c r="F66" s="2634">
        <v>2.6692275934692988</v>
      </c>
      <c r="G66" s="2633">
        <v>2.8927881237843858E-2</v>
      </c>
      <c r="H66" s="2636">
        <f t="shared" si="0"/>
        <v>2.6813205016453588E-2</v>
      </c>
      <c r="I66" s="3017">
        <v>2.6416950755126692E-2</v>
      </c>
      <c r="J66" s="609"/>
      <c r="K66" s="2289"/>
      <c r="L66" s="2290"/>
      <c r="M66" s="2268"/>
      <c r="N66" s="609"/>
      <c r="O66" s="609"/>
      <c r="P66" s="2269"/>
      <c r="Q66" s="609"/>
    </row>
    <row r="67" spans="1:17" ht="13.5" customHeight="1">
      <c r="A67" s="623"/>
      <c r="B67" s="739">
        <f t="shared" si="1"/>
        <v>2050</v>
      </c>
      <c r="D67" s="2633">
        <v>2.0707361923000001</v>
      </c>
      <c r="E67" s="2633">
        <v>2.4199887537361664</v>
      </c>
      <c r="F67" s="2634">
        <v>2.6692275934692988</v>
      </c>
      <c r="G67" s="2633">
        <v>2.7598462168705772E-2</v>
      </c>
      <c r="H67" s="2636">
        <f t="shared" si="0"/>
        <v>2.5580968691902111E-2</v>
      </c>
      <c r="I67" s="3017">
        <v>2.5202924819607994E-2</v>
      </c>
      <c r="J67" s="609"/>
      <c r="K67" s="2289"/>
      <c r="L67" s="2290"/>
      <c r="M67" s="2268"/>
      <c r="N67" s="609"/>
      <c r="O67" s="609"/>
      <c r="P67" s="2269"/>
      <c r="Q67" s="609"/>
    </row>
    <row r="68" spans="1:17" ht="13.5" customHeight="1">
      <c r="A68" s="623"/>
      <c r="B68" s="1666" t="s">
        <v>178</v>
      </c>
      <c r="D68" s="2633">
        <v>2.0707361923000001</v>
      </c>
      <c r="E68" s="2633">
        <v>2.4199887537361664</v>
      </c>
      <c r="F68" s="2634">
        <v>2.6692275934692988</v>
      </c>
      <c r="G68" s="2633">
        <v>2.7598462168705772E-2</v>
      </c>
      <c r="H68" s="2636">
        <f t="shared" si="0"/>
        <v>2.5580968691902111E-2</v>
      </c>
      <c r="I68" s="3017">
        <v>2.5202924819607994E-2</v>
      </c>
      <c r="J68" s="609"/>
    </row>
    <row r="69" spans="1:17" ht="13.5" customHeight="1" thickBot="1">
      <c r="A69" s="619"/>
      <c r="B69" s="627"/>
      <c r="C69" s="620"/>
      <c r="D69" s="712"/>
      <c r="E69" s="712"/>
      <c r="F69" s="620"/>
      <c r="G69" s="620"/>
      <c r="H69" s="619"/>
      <c r="I69" s="712"/>
    </row>
    <row r="70" spans="1:17" ht="13.5" customHeight="1" thickTop="1"/>
    <row r="119" spans="9:9" ht="13.5" customHeight="1">
      <c r="I119" s="618"/>
    </row>
    <row r="120" spans="9:9" ht="13.5" customHeight="1">
      <c r="I120" s="618"/>
    </row>
    <row r="121" spans="9:9" ht="13.5" customHeight="1">
      <c r="I121" s="618"/>
    </row>
    <row r="122" spans="9:9" ht="13.5" customHeight="1">
      <c r="I122" s="618"/>
    </row>
    <row r="123" spans="9:9" ht="13.5" customHeight="1">
      <c r="I123" s="618"/>
    </row>
    <row r="124" spans="9:9" ht="13.5" customHeight="1">
      <c r="I124" s="618"/>
    </row>
  </sheetData>
  <sheetProtection sheet="1" objects="1" scenarios="1"/>
  <mergeCells count="9">
    <mergeCell ref="A20:B20"/>
    <mergeCell ref="E6:U6"/>
    <mergeCell ref="A7:B7"/>
    <mergeCell ref="A8:B8"/>
    <mergeCell ref="A10:B10"/>
    <mergeCell ref="A11:B11"/>
    <mergeCell ref="A12:B12"/>
    <mergeCell ref="A18:B18"/>
    <mergeCell ref="A19:B19"/>
  </mergeCells>
  <phoneticPr fontId="8" type="noConversion"/>
  <hyperlinks>
    <hyperlink ref="M4" r:id="rId1" location="basket" display="DECC "/>
    <hyperlink ref="A11" location="Contents!A1" display="Contents"/>
    <hyperlink ref="A11:B11" r:id="rId2" display="WebTAG Unit 3.3.5"/>
    <hyperlink ref="A10" location="Contents!A1" display="Contents"/>
    <hyperlink ref="A10:B10" location="Contents!A1" tooltip="Contents page" display="Contents"/>
    <hyperlink ref="A12:B12" r:id="rId3" tooltip="Unit A3  Environmental Impact Appraisal" display="WebTAG Unit A 3"/>
    <hyperlink ref="F7" r:id="rId4"/>
  </hyperlinks>
  <pageMargins left="0.75" right="0.75" top="1" bottom="1" header="0.5" footer="0.5"/>
  <pageSetup paperSize="9" orientation="portrait" r:id="rId5"/>
  <headerFooter alignWithMargins="0"/>
  <drawing r:id="rId6"/>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008000"/>
    <pageSetUpPr fitToPage="1"/>
  </sheetPr>
  <dimension ref="A1:S116"/>
  <sheetViews>
    <sheetView showGridLines="0" topLeftCell="A13" zoomScale="85" zoomScaleNormal="85" workbookViewId="0">
      <selection activeCell="J36" sqref="J36"/>
    </sheetView>
  </sheetViews>
  <sheetFormatPr defaultColWidth="12.88671875" defaultRowHeight="13.5" customHeight="1"/>
  <cols>
    <col min="1" max="16384" width="12.88671875" style="599"/>
  </cols>
  <sheetData>
    <row r="1" spans="1:19" s="38" customFormat="1" ht="54.9" customHeight="1">
      <c r="A1" s="28"/>
      <c r="B1" s="28"/>
    </row>
    <row r="2" spans="1:19" s="300" customFormat="1" ht="5.0999999999999996" customHeight="1"/>
    <row r="3" spans="1:19" s="300" customFormat="1" ht="20.100000000000001" customHeight="1">
      <c r="A3" s="300" t="s">
        <v>2276</v>
      </c>
      <c r="B3" s="485"/>
      <c r="C3" s="83"/>
      <c r="D3" s="46"/>
      <c r="E3" s="83"/>
      <c r="F3" s="445"/>
      <c r="G3" s="83"/>
      <c r="H3" s="444"/>
    </row>
    <row r="4" spans="1:19" s="26" customFormat="1" ht="20.100000000000001" customHeight="1" thickBot="1">
      <c r="A4" s="529" t="s">
        <v>397</v>
      </c>
      <c r="B4" s="447"/>
      <c r="C4" s="447"/>
      <c r="D4" s="446"/>
      <c r="E4" s="446"/>
      <c r="F4" s="446"/>
      <c r="G4" s="446"/>
      <c r="H4" s="448"/>
      <c r="I4" s="447"/>
      <c r="J4" s="602"/>
      <c r="K4" s="1216"/>
      <c r="L4" s="446"/>
      <c r="M4" s="446"/>
      <c r="N4" s="446"/>
      <c r="O4" s="446"/>
      <c r="P4" s="446"/>
      <c r="Q4" s="446"/>
      <c r="R4" s="446"/>
      <c r="S4" s="446"/>
    </row>
    <row r="5" spans="1:19" s="38" customFormat="1" ht="9.9" customHeight="1" thickTop="1" thickBot="1">
      <c r="A5" s="35"/>
      <c r="B5" s="321"/>
      <c r="C5" s="321"/>
      <c r="D5" s="32"/>
      <c r="F5" s="165"/>
      <c r="I5" s="427"/>
    </row>
    <row r="6" spans="1:19" s="38" customFormat="1" ht="13.5" customHeight="1" thickTop="1">
      <c r="A6" s="169" t="s">
        <v>10</v>
      </c>
      <c r="B6" s="169"/>
      <c r="D6" s="147"/>
      <c r="E6" s="3698" t="s">
        <v>255</v>
      </c>
      <c r="F6" s="3728"/>
      <c r="G6" s="3627"/>
      <c r="H6" s="3627"/>
      <c r="I6" s="3627"/>
      <c r="J6" s="3627"/>
      <c r="K6" s="3627"/>
      <c r="L6" s="3627"/>
      <c r="M6" s="3627"/>
      <c r="N6" s="3627"/>
      <c r="O6" s="3627"/>
      <c r="P6" s="3627"/>
      <c r="Q6" s="3627"/>
      <c r="R6" s="3627"/>
      <c r="S6" s="3729"/>
    </row>
    <row r="7" spans="1:19" s="38" customFormat="1" ht="13.5" customHeight="1">
      <c r="A7" s="3644" t="str">
        <f>Audit!A12</f>
        <v>May 2019 v1.12</v>
      </c>
      <c r="B7" s="3651"/>
      <c r="D7" s="147"/>
      <c r="E7" s="43" t="s">
        <v>1451</v>
      </c>
      <c r="F7" s="3176" t="s">
        <v>2141</v>
      </c>
      <c r="G7" s="335" t="s">
        <v>1611</v>
      </c>
      <c r="H7" s="26"/>
      <c r="I7" s="26"/>
      <c r="J7" s="26"/>
      <c r="K7" s="26"/>
      <c r="L7" s="26"/>
      <c r="M7" s="26"/>
      <c r="N7" s="26"/>
      <c r="O7" s="26"/>
      <c r="P7" s="26"/>
      <c r="Q7" s="26"/>
      <c r="R7" s="26"/>
      <c r="S7" s="147"/>
    </row>
    <row r="8" spans="1:19" s="38" customFormat="1" ht="13.5" customHeight="1">
      <c r="A8" s="3630">
        <f>Audit!C12</f>
        <v>43586</v>
      </c>
      <c r="B8" s="3631"/>
      <c r="C8" s="321"/>
      <c r="D8" s="412"/>
      <c r="F8"/>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570" t="s">
        <v>2274</v>
      </c>
      <c r="B11" s="3581"/>
      <c r="D11" s="321"/>
      <c r="E11" s="113"/>
      <c r="F11" s="53"/>
      <c r="G11" s="53"/>
      <c r="H11" s="53"/>
      <c r="I11" s="53"/>
      <c r="J11" s="53"/>
      <c r="K11" s="53"/>
      <c r="L11" s="53"/>
      <c r="M11" s="53"/>
      <c r="N11" s="53"/>
      <c r="O11" s="53"/>
      <c r="P11" s="53"/>
      <c r="Q11" s="53"/>
      <c r="R11" s="53"/>
      <c r="S11" s="379"/>
    </row>
    <row r="12" spans="1:19" s="38" customFormat="1" ht="13.5" customHeight="1" thickBot="1">
      <c r="A12" s="3570" t="s">
        <v>2265</v>
      </c>
      <c r="B12" s="3581"/>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445" t="s">
        <v>799</v>
      </c>
      <c r="B14" s="2450">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441"/>
      <c r="B15" s="2469"/>
      <c r="C15" s="321"/>
      <c r="D15" s="321"/>
      <c r="E15" s="113"/>
      <c r="F15" s="26"/>
      <c r="G15" s="26"/>
      <c r="H15" s="26"/>
      <c r="I15" s="26"/>
      <c r="J15" s="26"/>
      <c r="K15" s="26"/>
      <c r="L15" s="26"/>
      <c r="M15" s="26"/>
      <c r="N15" s="26"/>
      <c r="O15" s="26"/>
      <c r="P15" s="26"/>
      <c r="Q15" s="26"/>
      <c r="R15" s="26"/>
      <c r="S15" s="147"/>
    </row>
    <row r="16" spans="1:19" s="38" customFormat="1" ht="13.5" customHeight="1">
      <c r="A16" s="2441" t="s">
        <v>751</v>
      </c>
      <c r="B16" s="2450">
        <f>'User Parameters'!L16</f>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23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412"/>
      <c r="E19" s="599" t="s">
        <v>2369</v>
      </c>
      <c r="F19" s="599"/>
      <c r="G19" s="1255"/>
      <c r="H19" s="26"/>
      <c r="I19" s="26"/>
      <c r="J19" s="26"/>
      <c r="K19" s="26"/>
      <c r="L19" s="26"/>
      <c r="M19" s="26"/>
      <c r="N19" s="26"/>
      <c r="O19" s="26"/>
      <c r="P19" s="26"/>
      <c r="Q19" s="26"/>
      <c r="R19" s="26"/>
      <c r="S19" s="147"/>
    </row>
    <row r="20" spans="1:19" s="38" customFormat="1" ht="13.5" customHeight="1" thickBot="1">
      <c r="A20" s="3653"/>
      <c r="B20" s="3653"/>
      <c r="C20" s="321"/>
      <c r="D20" s="412"/>
      <c r="E20" s="381" t="s">
        <v>2277</v>
      </c>
      <c r="F20" s="163"/>
      <c r="G20" s="163"/>
      <c r="H20" s="163"/>
      <c r="I20" s="163"/>
      <c r="J20" s="163"/>
      <c r="K20" s="163"/>
      <c r="L20" s="163"/>
      <c r="M20" s="163"/>
      <c r="N20" s="163"/>
      <c r="O20" s="163"/>
      <c r="P20" s="163"/>
      <c r="Q20" s="163"/>
      <c r="R20" s="163"/>
      <c r="S20" s="382"/>
    </row>
    <row r="21" spans="1:19" s="38" customFormat="1" ht="13.5" customHeight="1" thickTop="1">
      <c r="A21" s="2420"/>
      <c r="B21" s="2421"/>
      <c r="C21" s="321"/>
      <c r="D21" s="32"/>
      <c r="F21" s="31"/>
      <c r="I21" s="427"/>
    </row>
    <row r="22" spans="1:19" s="38" customFormat="1" ht="13.5" customHeight="1" thickBot="1">
      <c r="I22" s="427"/>
    </row>
    <row r="23" spans="1:19" s="38" customFormat="1" ht="13.5" customHeight="1" thickTop="1" thickBot="1">
      <c r="A23" s="122" t="str">
        <f>CONCATENATE("Table A 3.4: Non Traded Values, £ per Tonne of CO2e (",B14," prices)")</f>
        <v>Table A 3.4: Non Traded Values, £ per Tonne of CO2e (2010 prices)</v>
      </c>
      <c r="B23" s="362"/>
      <c r="C23" s="783"/>
      <c r="D23" s="783"/>
      <c r="E23" s="783"/>
      <c r="F23" s="784"/>
      <c r="G23" s="2082"/>
      <c r="H23" s="2082"/>
      <c r="I23" s="97"/>
    </row>
    <row r="24" spans="1:19" ht="13.5" customHeight="1" thickTop="1" thickBot="1">
      <c r="A24" s="634"/>
      <c r="B24" s="791" t="s">
        <v>1450</v>
      </c>
      <c r="C24" s="636"/>
      <c r="D24" s="797" t="s">
        <v>1481</v>
      </c>
      <c r="E24" s="795" t="s">
        <v>656</v>
      </c>
      <c r="F24" s="796" t="s">
        <v>730</v>
      </c>
    </row>
    <row r="25" spans="1:19" ht="13.5" customHeight="1" thickTop="1">
      <c r="A25" s="621"/>
      <c r="B25" s="1382">
        <f>B16</f>
        <v>2010</v>
      </c>
      <c r="C25" s="622"/>
      <c r="D25" s="735">
        <f>IF(ISERROR(MATCH($B25,GHG!$B$27:$B$119,0)),"",VLOOKUP($B25,GHG!$B$27:$I$119,6)*VLOOKUP($B$14,'Annual Parameters'!$B$32:$D$103,3,)/VLOOKUP(GHG!$B$14,'Annual Parameters'!$B$32:$D$103,3,))</f>
        <v>26.203349999999997</v>
      </c>
      <c r="E25" s="735">
        <f>IF(ISERROR(MATCH($B25,GHG!$B$27:$B$119,0)),"",VLOOKUP($B25,GHG!$B$27:$I$119,7)*VLOOKUP($B$14,'Annual Parameters'!$B$32:$D$103,3,)/VLOOKUP(GHG!$B$14,'Annual Parameters'!$B$32:$D$103,3,))</f>
        <v>52.406699999999994</v>
      </c>
      <c r="F25" s="736">
        <f>IF(ISERROR(MATCH($B25,GHG!$B$27:$B$119,0)),"",VLOOKUP($B25,GHG!$B$27:$I$119,8)*VLOOKUP($B$14,'Annual Parameters'!$B$32:$D$103,3,)/VLOOKUP(GHG!$B$14,'Annual Parameters'!$B$32:$D$103,3,))</f>
        <v>78.610049999999987</v>
      </c>
      <c r="H25" s="2308"/>
    </row>
    <row r="26" spans="1:19" ht="13.5" customHeight="1">
      <c r="A26" s="623"/>
      <c r="B26" s="1383">
        <f>B25+1</f>
        <v>2011</v>
      </c>
      <c r="C26" s="624"/>
      <c r="D26" s="735">
        <f>IF(ISERROR(MATCH($B26,GHG!$B$27:$B$119,0)),"",VLOOKUP($B26,GHG!$B$27:$I$119,6)*VLOOKUP($B$14,'Annual Parameters'!$B$32:$D$103,3,)/VLOOKUP(GHG!$B$14,'Annual Parameters'!$B$32:$D$103,3,))</f>
        <v>26.203349999999997</v>
      </c>
      <c r="E26" s="735">
        <f>IF(ISERROR(MATCH($B26,GHG!$B$27:$B$119,0)),"",VLOOKUP($B26,GHG!$B$27:$I$119,7)*VLOOKUP($B$14,'Annual Parameters'!$B$32:$D$103,3,)/VLOOKUP(GHG!$B$14,'Annual Parameters'!$B$32:$D$103,3,))</f>
        <v>53.280144999999997</v>
      </c>
      <c r="F26" s="736">
        <f>IF(ISERROR(MATCH($B26,GHG!$B$27:$B$119,0)),"",VLOOKUP($B26,GHG!$B$27:$I$119,8)*VLOOKUP($B$14,'Annual Parameters'!$B$32:$D$103,3,)/VLOOKUP(GHG!$B$14,'Annual Parameters'!$B$32:$D$103,3,))</f>
        <v>79.483494999999991</v>
      </c>
      <c r="H26" s="2308"/>
    </row>
    <row r="27" spans="1:19" ht="13.5" customHeight="1">
      <c r="A27" s="623"/>
      <c r="B27" s="1383">
        <f t="shared" ref="B27:B90" si="0">B26+1</f>
        <v>2012</v>
      </c>
      <c r="C27" s="624"/>
      <c r="D27" s="735">
        <f>IF(ISERROR(MATCH($B27,GHG!$B$27:$B$119,0)),"",VLOOKUP($B27,GHG!$B$27:$I$119,6)*VLOOKUP($B$14,'Annual Parameters'!$B$32:$D$103,3,)/VLOOKUP(GHG!$B$14,'Annual Parameters'!$B$32:$D$103,3,))</f>
        <v>27.076794999999997</v>
      </c>
      <c r="E27" s="735">
        <f>IF(ISERROR(MATCH($B27,GHG!$B$27:$B$119,0)),"",VLOOKUP($B27,GHG!$B$27:$I$119,7)*VLOOKUP($B$14,'Annual Parameters'!$B$32:$D$103,3,)/VLOOKUP(GHG!$B$14,'Annual Parameters'!$B$32:$D$103,3,))</f>
        <v>53.280144999999997</v>
      </c>
      <c r="F27" s="736">
        <f>IF(ISERROR(MATCH($B27,GHG!$B$27:$B$119,0)),"",VLOOKUP($B27,GHG!$B$27:$I$119,8)*VLOOKUP($B$14,'Annual Parameters'!$B$32:$D$103,3,)/VLOOKUP(GHG!$B$14,'Annual Parameters'!$B$32:$D$103,3,))</f>
        <v>80.356939999999994</v>
      </c>
      <c r="H27" s="2308"/>
    </row>
    <row r="28" spans="1:19" ht="13.5" customHeight="1">
      <c r="A28" s="623"/>
      <c r="B28" s="1383">
        <f t="shared" si="0"/>
        <v>2013</v>
      </c>
      <c r="C28" s="624"/>
      <c r="D28" s="735">
        <f>IF(ISERROR(MATCH($B28,GHG!$B$27:$B$119,0)),"",VLOOKUP($B28,GHG!$B$27:$I$119,6)*VLOOKUP($B$14,'Annual Parameters'!$B$32:$D$103,3,)/VLOOKUP(GHG!$B$14,'Annual Parameters'!$B$32:$D$103,3,))</f>
        <v>27.076794999999997</v>
      </c>
      <c r="E28" s="735">
        <f>IF(ISERROR(MATCH($B28,GHG!$B$27:$B$119,0)),"",VLOOKUP($B28,GHG!$B$27:$I$119,7)*VLOOKUP($B$14,'Annual Parameters'!$B$32:$D$103,3,)/VLOOKUP(GHG!$B$14,'Annual Parameters'!$B$32:$D$103,3,))</f>
        <v>54.153589999999994</v>
      </c>
      <c r="F28" s="736">
        <f>IF(ISERROR(MATCH($B28,GHG!$B$27:$B$119,0)),"",VLOOKUP($B28,GHG!$B$27:$I$119,8)*VLOOKUP($B$14,'Annual Parameters'!$B$32:$D$103,3,)/VLOOKUP(GHG!$B$14,'Annual Parameters'!$B$32:$D$103,3,))</f>
        <v>82.103829999999988</v>
      </c>
      <c r="H28" s="2308"/>
    </row>
    <row r="29" spans="1:19" ht="13.5" customHeight="1">
      <c r="A29" s="623"/>
      <c r="B29" s="1383">
        <f t="shared" si="0"/>
        <v>2014</v>
      </c>
      <c r="C29" s="624"/>
      <c r="D29" s="735">
        <f>IF(ISERROR(MATCH($B29,GHG!$B$27:$B$119,0)),"",VLOOKUP($B29,GHG!$B$27:$I$119,6)*VLOOKUP($B$14,'Annual Parameters'!$B$32:$D$103,3,)/VLOOKUP(GHG!$B$14,'Annual Parameters'!$B$32:$D$103,3,))</f>
        <v>27.950239999999997</v>
      </c>
      <c r="E29" s="735">
        <f>IF(ISERROR(MATCH($B29,GHG!$B$27:$B$119,0)),"",VLOOKUP($B29,GHG!$B$27:$I$119,7)*VLOOKUP($B$14,'Annual Parameters'!$B$32:$D$103,3,)/VLOOKUP(GHG!$B$14,'Annual Parameters'!$B$32:$D$103,3,))</f>
        <v>55.027034999999998</v>
      </c>
      <c r="F29" s="736">
        <f>IF(ISERROR(MATCH($B29,GHG!$B$27:$B$119,0)),"",VLOOKUP($B29,GHG!$B$27:$I$119,8)*VLOOKUP($B$14,'Annual Parameters'!$B$32:$D$103,3,)/VLOOKUP(GHG!$B$14,'Annual Parameters'!$B$32:$D$103,3,))</f>
        <v>82.977274999999992</v>
      </c>
      <c r="H29" s="2308"/>
    </row>
    <row r="30" spans="1:19" ht="13.5" customHeight="1">
      <c r="A30" s="623"/>
      <c r="B30" s="1383">
        <f t="shared" si="0"/>
        <v>2015</v>
      </c>
      <c r="C30" s="624"/>
      <c r="D30" s="735">
        <f>IF(ISERROR(MATCH($B30,GHG!$B$27:$B$119,0)),"",VLOOKUP($B30,GHG!$B$27:$I$119,6)*VLOOKUP($B$14,'Annual Parameters'!$B$32:$D$103,3,)/VLOOKUP(GHG!$B$14,'Annual Parameters'!$B$32:$D$103,3,))</f>
        <v>27.950239999999997</v>
      </c>
      <c r="E30" s="735">
        <f>IF(ISERROR(MATCH($B30,GHG!$B$27:$B$119,0)),"",VLOOKUP($B30,GHG!$B$27:$I$119,7)*VLOOKUP($B$14,'Annual Parameters'!$B$32:$D$103,3,)/VLOOKUP(GHG!$B$14,'Annual Parameters'!$B$32:$D$103,3,))</f>
        <v>55.900479999999995</v>
      </c>
      <c r="F30" s="736">
        <f>IF(ISERROR(MATCH($B30,GHG!$B$27:$B$119,0)),"",VLOOKUP($B30,GHG!$B$27:$I$119,8)*VLOOKUP($B$14,'Annual Parameters'!$B$32:$D$103,3,)/VLOOKUP(GHG!$B$14,'Annual Parameters'!$B$32:$D$103,3,))</f>
        <v>83.850719999999995</v>
      </c>
      <c r="H30" s="2308"/>
    </row>
    <row r="31" spans="1:19" ht="13.5" customHeight="1">
      <c r="A31" s="623"/>
      <c r="B31" s="1383">
        <f t="shared" si="0"/>
        <v>2016</v>
      </c>
      <c r="C31" s="624"/>
      <c r="D31" s="735">
        <f>IF(ISERROR(MATCH($B31,GHG!$B$27:$B$119,0)),"",VLOOKUP($B31,GHG!$B$27:$I$119,6)*VLOOKUP($B$14,'Annual Parameters'!$B$32:$D$103,3,)/VLOOKUP(GHG!$B$14,'Annual Parameters'!$B$32:$D$103,3,))</f>
        <v>28.823684999999998</v>
      </c>
      <c r="E31" s="735">
        <f>IF(ISERROR(MATCH($B31,GHG!$B$27:$B$119,0)),"",VLOOKUP($B31,GHG!$B$27:$I$119,7)*VLOOKUP($B$14,'Annual Parameters'!$B$32:$D$103,3,)/VLOOKUP(GHG!$B$14,'Annual Parameters'!$B$32:$D$103,3,))</f>
        <v>56.773924999999991</v>
      </c>
      <c r="F31" s="736">
        <f>IF(ISERROR(MATCH($B31,GHG!$B$27:$B$119,0)),"",VLOOKUP($B31,GHG!$B$27:$I$119,8)*VLOOKUP($B$14,'Annual Parameters'!$B$32:$D$103,3,)/VLOOKUP(GHG!$B$14,'Annual Parameters'!$B$32:$D$103,3,))</f>
        <v>85.597609999999989</v>
      </c>
      <c r="H31" s="2308"/>
    </row>
    <row r="32" spans="1:19" ht="13.5" customHeight="1">
      <c r="A32" s="623"/>
      <c r="B32" s="1383">
        <f t="shared" si="0"/>
        <v>2017</v>
      </c>
      <c r="C32" s="624"/>
      <c r="D32" s="735">
        <f>IF(ISERROR(MATCH($B32,GHG!$B$27:$B$119,0)),"",VLOOKUP($B32,GHG!$B$27:$I$119,6)*VLOOKUP($B$14,'Annual Parameters'!$B$32:$D$103,3,)/VLOOKUP(GHG!$B$14,'Annual Parameters'!$B$32:$D$103,3,))</f>
        <v>28.823684999999998</v>
      </c>
      <c r="E32" s="735">
        <f>IF(ISERROR(MATCH($B32,GHG!$B$27:$B$119,0)),"",VLOOKUP($B32,GHG!$B$27:$I$119,7)*VLOOKUP($B$14,'Annual Parameters'!$B$32:$D$103,3,)/VLOOKUP(GHG!$B$14,'Annual Parameters'!$B$32:$D$103,3,))</f>
        <v>57.647369999999995</v>
      </c>
      <c r="F32" s="736">
        <f>IF(ISERROR(MATCH($B32,GHG!$B$27:$B$119,0)),"",VLOOKUP($B32,GHG!$B$27:$I$119,8)*VLOOKUP($B$14,'Annual Parameters'!$B$32:$D$103,3,)/VLOOKUP(GHG!$B$14,'Annual Parameters'!$B$32:$D$103,3,))</f>
        <v>86.471054999999993</v>
      </c>
      <c r="H32" s="2308"/>
    </row>
    <row r="33" spans="1:8" ht="13.5" customHeight="1">
      <c r="A33" s="623"/>
      <c r="B33" s="1383">
        <f t="shared" si="0"/>
        <v>2018</v>
      </c>
      <c r="C33" s="624"/>
      <c r="D33" s="735">
        <f>IF(ISERROR(MATCH($B33,GHG!$B$27:$B$119,0)),"",VLOOKUP($B33,GHG!$B$27:$I$119,6)*VLOOKUP($B$14,'Annual Parameters'!$B$32:$D$103,3,)/VLOOKUP(GHG!$B$14,'Annual Parameters'!$B$32:$D$103,3,))</f>
        <v>29.697129999999998</v>
      </c>
      <c r="E33" s="735">
        <f>IF(ISERROR(MATCH($B33,GHG!$B$27:$B$119,0)),"",VLOOKUP($B33,GHG!$B$27:$I$119,7)*VLOOKUP($B$14,'Annual Parameters'!$B$32:$D$103,3,)/VLOOKUP(GHG!$B$14,'Annual Parameters'!$B$32:$D$103,3,))</f>
        <v>58.520814999999992</v>
      </c>
      <c r="F33" s="736">
        <f>IF(ISERROR(MATCH($B33,GHG!$B$27:$B$119,0)),"",VLOOKUP($B33,GHG!$B$27:$I$119,8)*VLOOKUP($B$14,'Annual Parameters'!$B$32:$D$103,3,)/VLOOKUP(GHG!$B$14,'Annual Parameters'!$B$32:$D$103,3,))</f>
        <v>88.217944999999986</v>
      </c>
      <c r="H33" s="2308"/>
    </row>
    <row r="34" spans="1:8" ht="13.5" customHeight="1">
      <c r="A34" s="623"/>
      <c r="B34" s="1383">
        <f t="shared" si="0"/>
        <v>2019</v>
      </c>
      <c r="C34" s="624"/>
      <c r="D34" s="735">
        <f>IF(ISERROR(MATCH($B34,GHG!$B$27:$B$119,0)),"",VLOOKUP($B34,GHG!$B$27:$I$119,6)*VLOOKUP($B$14,'Annual Parameters'!$B$32:$D$103,3,)/VLOOKUP(GHG!$B$14,'Annual Parameters'!$B$32:$D$103,3,))</f>
        <v>29.697129999999998</v>
      </c>
      <c r="E34" s="735">
        <f>IF(ISERROR(MATCH($B34,GHG!$B$27:$B$119,0)),"",VLOOKUP($B34,GHG!$B$27:$I$119,7)*VLOOKUP($B$14,'Annual Parameters'!$B$32:$D$103,3,)/VLOOKUP(GHG!$B$14,'Annual Parameters'!$B$32:$D$103,3,))</f>
        <v>59.394259999999996</v>
      </c>
      <c r="F34" s="736">
        <f>IF(ISERROR(MATCH($B34,GHG!$B$27:$B$119,0)),"",VLOOKUP($B34,GHG!$B$27:$I$119,8)*VLOOKUP($B$14,'Annual Parameters'!$B$32:$D$103,3,)/VLOOKUP(GHG!$B$14,'Annual Parameters'!$B$32:$D$103,3,))</f>
        <v>89.09138999999999</v>
      </c>
      <c r="H34" s="2308"/>
    </row>
    <row r="35" spans="1:8" ht="13.5" customHeight="1">
      <c r="A35" s="623"/>
      <c r="B35" s="1383">
        <f t="shared" si="0"/>
        <v>2020</v>
      </c>
      <c r="C35" s="624"/>
      <c r="D35" s="735">
        <f>IF(ISERROR(MATCH($B35,GHG!$B$27:$B$119,0)),"",VLOOKUP($B35,GHG!$B$27:$I$119,6)*VLOOKUP($B$14,'Annual Parameters'!$B$32:$D$103,3,)/VLOOKUP(GHG!$B$14,'Annual Parameters'!$B$32:$D$103,3,))</f>
        <v>30.570574999999998</v>
      </c>
      <c r="E35" s="735">
        <f>IF(ISERROR(MATCH($B35,GHG!$B$27:$B$119,0)),"",VLOOKUP($B35,GHG!$B$27:$I$119,7)*VLOOKUP($B$14,'Annual Parameters'!$B$32:$D$103,3,)/VLOOKUP(GHG!$B$14,'Annual Parameters'!$B$32:$D$103,3,))</f>
        <v>60.267704999999992</v>
      </c>
      <c r="F35" s="736">
        <f>IF(ISERROR(MATCH($B35,GHG!$B$27:$B$119,0)),"",VLOOKUP($B35,GHG!$B$27:$I$119,8)*VLOOKUP($B$14,'Annual Parameters'!$B$32:$D$103,3,)/VLOOKUP(GHG!$B$14,'Annual Parameters'!$B$32:$D$103,3,))</f>
        <v>90.838279999999997</v>
      </c>
      <c r="H35" s="2308"/>
    </row>
    <row r="36" spans="1:8" ht="13.5" customHeight="1">
      <c r="A36" s="623"/>
      <c r="B36" s="1383">
        <f t="shared" si="0"/>
        <v>2021</v>
      </c>
      <c r="C36" s="624"/>
      <c r="D36" s="735">
        <f>IF(ISERROR(MATCH($B36,GHG!$B$27:$B$119,0)),"",VLOOKUP($B36,GHG!$B$27:$I$119,6)*VLOOKUP($B$14,'Annual Parameters'!$B$32:$D$103,3,)/VLOOKUP(GHG!$B$14,'Annual Parameters'!$B$32:$D$103,3,))</f>
        <v>30.570574999999998</v>
      </c>
      <c r="E36" s="735">
        <f>IF(ISERROR(MATCH($B36,GHG!$B$27:$B$119,0)),"",VLOOKUP($B36,GHG!$B$27:$I$119,7)*VLOOKUP($B$14,'Annual Parameters'!$B$32:$D$103,3,)/VLOOKUP(GHG!$B$14,'Annual Parameters'!$B$32:$D$103,3,))</f>
        <v>61.141149999999996</v>
      </c>
      <c r="F36" s="736">
        <f>IF(ISERROR(MATCH($B36,GHG!$B$27:$B$119,0)),"",VLOOKUP($B36,GHG!$B$27:$I$119,8)*VLOOKUP($B$14,'Annual Parameters'!$B$32:$D$103,3,)/VLOOKUP(GHG!$B$14,'Annual Parameters'!$B$32:$D$103,3,))</f>
        <v>92.585169999999991</v>
      </c>
      <c r="H36" s="2308"/>
    </row>
    <row r="37" spans="1:8" ht="13.5" customHeight="1">
      <c r="A37" s="623"/>
      <c r="B37" s="1383">
        <f t="shared" si="0"/>
        <v>2022</v>
      </c>
      <c r="C37" s="624"/>
      <c r="D37" s="735">
        <f>IF(ISERROR(MATCH($B37,GHG!$B$27:$B$119,0)),"",VLOOKUP($B37,GHG!$B$27:$I$119,6)*VLOOKUP($B$14,'Annual Parameters'!$B$32:$D$103,3,)/VLOOKUP(GHG!$B$14,'Annual Parameters'!$B$32:$D$103,3,))</f>
        <v>31.444019999999998</v>
      </c>
      <c r="E37" s="735">
        <f>IF(ISERROR(MATCH($B37,GHG!$B$27:$B$119,0)),"",VLOOKUP($B37,GHG!$B$27:$I$119,7)*VLOOKUP($B$14,'Annual Parameters'!$B$32:$D$103,3,)/VLOOKUP(GHG!$B$14,'Annual Parameters'!$B$32:$D$103,3,))</f>
        <v>62.888039999999997</v>
      </c>
      <c r="F37" s="736">
        <f>IF(ISERROR(MATCH($B37,GHG!$B$27:$B$119,0)),"",VLOOKUP($B37,GHG!$B$27:$I$119,8)*VLOOKUP($B$14,'Annual Parameters'!$B$32:$D$103,3,)/VLOOKUP(GHG!$B$14,'Annual Parameters'!$B$32:$D$103,3,))</f>
        <v>93.458614999999995</v>
      </c>
      <c r="H37" s="2308"/>
    </row>
    <row r="38" spans="1:8" ht="13.5" customHeight="1">
      <c r="A38" s="623"/>
      <c r="B38" s="1383">
        <f t="shared" si="0"/>
        <v>2023</v>
      </c>
      <c r="C38" s="624"/>
      <c r="D38" s="735">
        <f>IF(ISERROR(MATCH($B38,GHG!$B$27:$B$119,0)),"",VLOOKUP($B38,GHG!$B$27:$I$119,6)*VLOOKUP($B$14,'Annual Parameters'!$B$32:$D$103,3,)/VLOOKUP(GHG!$B$14,'Annual Parameters'!$B$32:$D$103,3,))</f>
        <v>31.444019999999998</v>
      </c>
      <c r="E38" s="735">
        <f>IF(ISERROR(MATCH($B38,GHG!$B$27:$B$119,0)),"",VLOOKUP($B38,GHG!$B$27:$I$119,7)*VLOOKUP($B$14,'Annual Parameters'!$B$32:$D$103,3,)/VLOOKUP(GHG!$B$14,'Annual Parameters'!$B$32:$D$103,3,))</f>
        <v>63.761484999999993</v>
      </c>
      <c r="F38" s="736">
        <f>IF(ISERROR(MATCH($B38,GHG!$B$27:$B$119,0)),"",VLOOKUP($B38,GHG!$B$27:$I$119,8)*VLOOKUP($B$14,'Annual Parameters'!$B$32:$D$103,3,)/VLOOKUP(GHG!$B$14,'Annual Parameters'!$B$32:$D$103,3,))</f>
        <v>95.205504999999988</v>
      </c>
      <c r="H38" s="2308"/>
    </row>
    <row r="39" spans="1:8" ht="13.5" customHeight="1">
      <c r="A39" s="623"/>
      <c r="B39" s="1383">
        <f t="shared" si="0"/>
        <v>2024</v>
      </c>
      <c r="C39" s="624"/>
      <c r="D39" s="735">
        <f>IF(ISERROR(MATCH($B39,GHG!$B$27:$B$119,0)),"",VLOOKUP($B39,GHG!$B$27:$I$119,6)*VLOOKUP($B$14,'Annual Parameters'!$B$32:$D$103,3,)/VLOOKUP(GHG!$B$14,'Annual Parameters'!$B$32:$D$103,3,))</f>
        <v>32.317464999999999</v>
      </c>
      <c r="E39" s="735">
        <f>IF(ISERROR(MATCH($B39,GHG!$B$27:$B$119,0)),"",VLOOKUP($B39,GHG!$B$27:$I$119,7)*VLOOKUP($B$14,'Annual Parameters'!$B$32:$D$103,3,)/VLOOKUP(GHG!$B$14,'Annual Parameters'!$B$32:$D$103,3,))</f>
        <v>64.634929999999997</v>
      </c>
      <c r="F39" s="736">
        <f>IF(ISERROR(MATCH($B39,GHG!$B$27:$B$119,0)),"",VLOOKUP($B39,GHG!$B$27:$I$119,8)*VLOOKUP($B$14,'Annual Parameters'!$B$32:$D$103,3,)/VLOOKUP(GHG!$B$14,'Annual Parameters'!$B$32:$D$103,3,))</f>
        <v>96.952394999999996</v>
      </c>
      <c r="H39" s="2308"/>
    </row>
    <row r="40" spans="1:8" ht="13.5" customHeight="1">
      <c r="A40" s="623"/>
      <c r="B40" s="1383">
        <f t="shared" si="0"/>
        <v>2025</v>
      </c>
      <c r="C40" s="624"/>
      <c r="D40" s="735">
        <f>IF(ISERROR(MATCH($B40,GHG!$B$27:$B$119,0)),"",VLOOKUP($B40,GHG!$B$27:$I$119,6)*VLOOKUP($B$14,'Annual Parameters'!$B$32:$D$103,3,)/VLOOKUP(GHG!$B$14,'Annual Parameters'!$B$32:$D$103,3,))</f>
        <v>33.190909999999995</v>
      </c>
      <c r="E40" s="735">
        <f>IF(ISERROR(MATCH($B40,GHG!$B$27:$B$119,0)),"",VLOOKUP($B40,GHG!$B$27:$I$119,7)*VLOOKUP($B$14,'Annual Parameters'!$B$32:$D$103,3,)/VLOOKUP(GHG!$B$14,'Annual Parameters'!$B$32:$D$103,3,))</f>
        <v>65.508374999999987</v>
      </c>
      <c r="F40" s="736">
        <f>IF(ISERROR(MATCH($B40,GHG!$B$27:$B$119,0)),"",VLOOKUP($B40,GHG!$B$27:$I$119,8)*VLOOKUP($B$14,'Annual Parameters'!$B$32:$D$103,3,)/VLOOKUP(GHG!$B$14,'Annual Parameters'!$B$32:$D$103,3,))</f>
        <v>98.699284999999989</v>
      </c>
      <c r="H40" s="2308"/>
    </row>
    <row r="41" spans="1:8" ht="13.5" customHeight="1">
      <c r="A41" s="623"/>
      <c r="B41" s="1383">
        <f t="shared" si="0"/>
        <v>2026</v>
      </c>
      <c r="C41" s="624"/>
      <c r="D41" s="735">
        <f>IF(ISERROR(MATCH($B41,GHG!$B$27:$B$119,0)),"",VLOOKUP($B41,GHG!$B$27:$I$119,6)*VLOOKUP($B$14,'Annual Parameters'!$B$32:$D$103,3,)/VLOOKUP(GHG!$B$14,'Annual Parameters'!$B$32:$D$103,3,))</f>
        <v>33.190909999999995</v>
      </c>
      <c r="E41" s="735">
        <f>IF(ISERROR(MATCH($B41,GHG!$B$27:$B$119,0)),"",VLOOKUP($B41,GHG!$B$27:$I$119,7)*VLOOKUP($B$14,'Annual Parameters'!$B$32:$D$103,3,)/VLOOKUP(GHG!$B$14,'Annual Parameters'!$B$32:$D$103,3,))</f>
        <v>66.381819999999991</v>
      </c>
      <c r="F41" s="736">
        <f>IF(ISERROR(MATCH($B41,GHG!$B$27:$B$119,0)),"",VLOOKUP($B41,GHG!$B$27:$I$119,8)*VLOOKUP($B$14,'Annual Parameters'!$B$32:$D$103,3,)/VLOOKUP(GHG!$B$14,'Annual Parameters'!$B$32:$D$103,3,))</f>
        <v>99.572729999999993</v>
      </c>
      <c r="H41" s="2308"/>
    </row>
    <row r="42" spans="1:8" ht="13.5" customHeight="1">
      <c r="A42" s="623"/>
      <c r="B42" s="1383">
        <f t="shared" si="0"/>
        <v>2027</v>
      </c>
      <c r="C42" s="624"/>
      <c r="D42" s="735">
        <f>IF(ISERROR(MATCH($B42,GHG!$B$27:$B$119,0)),"",VLOOKUP($B42,GHG!$B$27:$I$119,6)*VLOOKUP($B$14,'Annual Parameters'!$B$32:$D$103,3,)/VLOOKUP(GHG!$B$14,'Annual Parameters'!$B$32:$D$103,3,))</f>
        <v>34.064354999999999</v>
      </c>
      <c r="E42" s="735">
        <f>IF(ISERROR(MATCH($B42,GHG!$B$27:$B$119,0)),"",VLOOKUP($B42,GHG!$B$27:$I$119,7)*VLOOKUP($B$14,'Annual Parameters'!$B$32:$D$103,3,)/VLOOKUP(GHG!$B$14,'Annual Parameters'!$B$32:$D$103,3,))</f>
        <v>67.255264999999994</v>
      </c>
      <c r="F42" s="736">
        <f>IF(ISERROR(MATCH($B42,GHG!$B$27:$B$119,0)),"",VLOOKUP($B42,GHG!$B$27:$I$119,8)*VLOOKUP($B$14,'Annual Parameters'!$B$32:$D$103,3,)/VLOOKUP(GHG!$B$14,'Annual Parameters'!$B$32:$D$103,3,))</f>
        <v>101.31961999999999</v>
      </c>
      <c r="H42" s="2308"/>
    </row>
    <row r="43" spans="1:8" ht="13.5" customHeight="1">
      <c r="A43" s="623"/>
      <c r="B43" s="1383">
        <f t="shared" si="0"/>
        <v>2028</v>
      </c>
      <c r="C43" s="624"/>
      <c r="D43" s="735">
        <f>IF(ISERROR(MATCH($B43,GHG!$B$27:$B$119,0)),"",VLOOKUP($B43,GHG!$B$27:$I$119,6)*VLOOKUP($B$14,'Annual Parameters'!$B$32:$D$103,3,)/VLOOKUP(GHG!$B$14,'Annual Parameters'!$B$32:$D$103,3,))</f>
        <v>34.064354999999999</v>
      </c>
      <c r="E43" s="735">
        <f>IF(ISERROR(MATCH($B43,GHG!$B$27:$B$119,0)),"",VLOOKUP($B43,GHG!$B$27:$I$119,7)*VLOOKUP($B$14,'Annual Parameters'!$B$32:$D$103,3,)/VLOOKUP(GHG!$B$14,'Annual Parameters'!$B$32:$D$103,3,))</f>
        <v>69.002154999999988</v>
      </c>
      <c r="F43" s="736">
        <f>IF(ISERROR(MATCH($B43,GHG!$B$27:$B$119,0)),"",VLOOKUP($B43,GHG!$B$27:$I$119,8)*VLOOKUP($B$14,'Annual Parameters'!$B$32:$D$103,3,)/VLOOKUP(GHG!$B$14,'Annual Parameters'!$B$32:$D$103,3,))</f>
        <v>103.06650999999999</v>
      </c>
      <c r="H43" s="2308"/>
    </row>
    <row r="44" spans="1:8" ht="13.5" customHeight="1">
      <c r="A44" s="623"/>
      <c r="B44" s="1383">
        <f t="shared" si="0"/>
        <v>2029</v>
      </c>
      <c r="C44" s="624"/>
      <c r="D44" s="735">
        <f>IF(ISERROR(MATCH($B44,GHG!$B$27:$B$119,0)),"",VLOOKUP($B44,GHG!$B$27:$I$119,6)*VLOOKUP($B$14,'Annual Parameters'!$B$32:$D$103,3,)/VLOOKUP(GHG!$B$14,'Annual Parameters'!$B$32:$D$103,3,))</f>
        <v>34.937799999999996</v>
      </c>
      <c r="E44" s="735">
        <f>IF(ISERROR(MATCH($B44,GHG!$B$27:$B$119,0)),"",VLOOKUP($B44,GHG!$B$27:$I$119,7)*VLOOKUP($B$14,'Annual Parameters'!$B$32:$D$103,3,)/VLOOKUP(GHG!$B$14,'Annual Parameters'!$B$32:$D$103,3,))</f>
        <v>69.875599999999991</v>
      </c>
      <c r="F44" s="736">
        <f>IF(ISERROR(MATCH($B44,GHG!$B$27:$B$119,0)),"",VLOOKUP($B44,GHG!$B$27:$I$119,8)*VLOOKUP($B$14,'Annual Parameters'!$B$32:$D$103,3,)/VLOOKUP(GHG!$B$14,'Annual Parameters'!$B$32:$D$103,3,))</f>
        <v>104.81339999999999</v>
      </c>
      <c r="H44" s="2308"/>
    </row>
    <row r="45" spans="1:8" ht="13.5" customHeight="1">
      <c r="A45" s="623"/>
      <c r="B45" s="1383">
        <f t="shared" si="0"/>
        <v>2030</v>
      </c>
      <c r="C45" s="624"/>
      <c r="D45" s="735">
        <f>IF(ISERROR(MATCH($B45,GHG!$B$27:$B$119,0)),"",VLOOKUP($B45,GHG!$B$27:$I$119,6)*VLOOKUP($B$14,'Annual Parameters'!$B$32:$D$103,3,)/VLOOKUP(GHG!$B$14,'Annual Parameters'!$B$32:$D$103,3,))</f>
        <v>34.937799999999996</v>
      </c>
      <c r="E45" s="735">
        <f>IF(ISERROR(MATCH($B45,GHG!$B$27:$B$119,0)),"",VLOOKUP($B45,GHG!$B$27:$I$119,7)*VLOOKUP($B$14,'Annual Parameters'!$B$32:$D$103,3,)/VLOOKUP(GHG!$B$14,'Annual Parameters'!$B$32:$D$103,3,))</f>
        <v>70.749044999999995</v>
      </c>
      <c r="F45" s="736">
        <f>IF(ISERROR(MATCH($B45,GHG!$B$27:$B$119,0)),"",VLOOKUP($B45,GHG!$B$27:$I$119,8)*VLOOKUP($B$14,'Annual Parameters'!$B$32:$D$103,3,)/VLOOKUP(GHG!$B$14,'Annual Parameters'!$B$32:$D$103,3,))</f>
        <v>105.68684499999999</v>
      </c>
      <c r="H45" s="2308"/>
    </row>
    <row r="46" spans="1:8" ht="13.5" customHeight="1">
      <c r="A46" s="623"/>
      <c r="B46" s="1383">
        <f t="shared" si="0"/>
        <v>2031</v>
      </c>
      <c r="C46" s="624"/>
      <c r="D46" s="735">
        <f>IF(ISERROR(MATCH($B46,GHG!$B$27:$B$119,0)),"",VLOOKUP($B46,GHG!$B$27:$I$119,6)*VLOOKUP($B$14,'Annual Parameters'!$B$32:$D$103,3,)/VLOOKUP(GHG!$B$14,'Annual Parameters'!$B$32:$D$103,3,))</f>
        <v>38.431579999999997</v>
      </c>
      <c r="E46" s="735">
        <f>IF(ISERROR(MATCH($B46,GHG!$B$27:$B$119,0)),"",VLOOKUP($B46,GHG!$B$27:$I$119,7)*VLOOKUP($B$14,'Annual Parameters'!$B$32:$D$103,3,)/VLOOKUP(GHG!$B$14,'Annual Parameters'!$B$32:$D$103,3,))</f>
        <v>76.863159999999993</v>
      </c>
      <c r="F46" s="736">
        <f>IF(ISERROR(MATCH($B46,GHG!$B$27:$B$119,0)),"",VLOOKUP($B46,GHG!$B$27:$I$119,8)*VLOOKUP($B$14,'Annual Parameters'!$B$32:$D$103,3,)/VLOOKUP(GHG!$B$14,'Annual Parameters'!$B$32:$D$103,3,))</f>
        <v>115.29473999999999</v>
      </c>
      <c r="H46" s="2308"/>
    </row>
    <row r="47" spans="1:8" ht="13.5" customHeight="1">
      <c r="A47" s="623"/>
      <c r="B47" s="1383">
        <f t="shared" si="0"/>
        <v>2032</v>
      </c>
      <c r="C47" s="624"/>
      <c r="D47" s="735">
        <f>IF(ISERROR(MATCH($B47,GHG!$B$27:$B$119,0)),"",VLOOKUP($B47,GHG!$B$27:$I$119,6)*VLOOKUP($B$14,'Annual Parameters'!$B$32:$D$103,3,)/VLOOKUP(GHG!$B$14,'Annual Parameters'!$B$32:$D$103,3,))</f>
        <v>41.925359999999998</v>
      </c>
      <c r="E47" s="735">
        <f>IF(ISERROR(MATCH($B47,GHG!$B$27:$B$119,0)),"",VLOOKUP($B47,GHG!$B$27:$I$119,7)*VLOOKUP($B$14,'Annual Parameters'!$B$32:$D$103,3,)/VLOOKUP(GHG!$B$14,'Annual Parameters'!$B$32:$D$103,3,))</f>
        <v>83.850719999999995</v>
      </c>
      <c r="F47" s="736">
        <f>IF(ISERROR(MATCH($B47,GHG!$B$27:$B$119,0)),"",VLOOKUP($B47,GHG!$B$27:$I$119,8)*VLOOKUP($B$14,'Annual Parameters'!$B$32:$D$103,3,)/VLOOKUP(GHG!$B$14,'Annual Parameters'!$B$32:$D$103,3,))</f>
        <v>125.77607999999999</v>
      </c>
      <c r="H47" s="2308"/>
    </row>
    <row r="48" spans="1:8" ht="13.5" customHeight="1">
      <c r="A48" s="623"/>
      <c r="B48" s="1383">
        <f t="shared" si="0"/>
        <v>2033</v>
      </c>
      <c r="C48" s="624"/>
      <c r="D48" s="735">
        <f>IF(ISERROR(MATCH($B48,GHG!$B$27:$B$119,0)),"",VLOOKUP($B48,GHG!$B$27:$I$119,6)*VLOOKUP($B$14,'Annual Parameters'!$B$32:$D$103,3,)/VLOOKUP(GHG!$B$14,'Annual Parameters'!$B$32:$D$103,3,))</f>
        <v>45.419139999999999</v>
      </c>
      <c r="E48" s="735">
        <f>IF(ISERROR(MATCH($B48,GHG!$B$27:$B$119,0)),"",VLOOKUP($B48,GHG!$B$27:$I$119,7)*VLOOKUP($B$14,'Annual Parameters'!$B$32:$D$103,3,)/VLOOKUP(GHG!$B$14,'Annual Parameters'!$B$32:$D$103,3,))</f>
        <v>89.964834999999994</v>
      </c>
      <c r="F48" s="736">
        <f>IF(ISERROR(MATCH($B48,GHG!$B$27:$B$119,0)),"",VLOOKUP($B48,GHG!$B$27:$I$119,8)*VLOOKUP($B$14,'Annual Parameters'!$B$32:$D$103,3,)/VLOOKUP(GHG!$B$14,'Annual Parameters'!$B$32:$D$103,3,))</f>
        <v>135.38397499999999</v>
      </c>
      <c r="H48" s="2308"/>
    </row>
    <row r="49" spans="1:8" ht="13.5" customHeight="1">
      <c r="A49" s="623"/>
      <c r="B49" s="1383">
        <f t="shared" si="0"/>
        <v>2034</v>
      </c>
      <c r="C49" s="624"/>
      <c r="D49" s="735">
        <f>IF(ISERROR(MATCH($B49,GHG!$B$27:$B$119,0)),"",VLOOKUP($B49,GHG!$B$27:$I$119,6)*VLOOKUP($B$14,'Annual Parameters'!$B$32:$D$103,3,)/VLOOKUP(GHG!$B$14,'Annual Parameters'!$B$32:$D$103,3,))</f>
        <v>48.039474999999996</v>
      </c>
      <c r="E49" s="735">
        <f>IF(ISERROR(MATCH($B49,GHG!$B$27:$B$119,0)),"",VLOOKUP($B49,GHG!$B$27:$I$119,7)*VLOOKUP($B$14,'Annual Parameters'!$B$32:$D$103,3,)/VLOOKUP(GHG!$B$14,'Annual Parameters'!$B$32:$D$103,3,))</f>
        <v>96.952394999999996</v>
      </c>
      <c r="F49" s="736">
        <f>IF(ISERROR(MATCH($B49,GHG!$B$27:$B$119,0)),"",VLOOKUP($B49,GHG!$B$27:$I$119,8)*VLOOKUP($B$14,'Annual Parameters'!$B$32:$D$103,3,)/VLOOKUP(GHG!$B$14,'Annual Parameters'!$B$32:$D$103,3,))</f>
        <v>144.99186999999998</v>
      </c>
      <c r="H49" s="2308"/>
    </row>
    <row r="50" spans="1:8" ht="13.5" customHeight="1">
      <c r="A50" s="623"/>
      <c r="B50" s="1383">
        <f t="shared" si="0"/>
        <v>2035</v>
      </c>
      <c r="C50" s="624"/>
      <c r="D50" s="735">
        <f>IF(ISERROR(MATCH($B50,GHG!$B$27:$B$119,0)),"",VLOOKUP($B50,GHG!$B$27:$I$119,6)*VLOOKUP($B$14,'Annual Parameters'!$B$32:$D$103,3,)/VLOOKUP(GHG!$B$14,'Annual Parameters'!$B$32:$D$103,3,))</f>
        <v>51.533254999999997</v>
      </c>
      <c r="E50" s="735">
        <f>IF(ISERROR(MATCH($B50,GHG!$B$27:$B$119,0)),"",VLOOKUP($B50,GHG!$B$27:$I$119,7)*VLOOKUP($B$14,'Annual Parameters'!$B$32:$D$103,3,)/VLOOKUP(GHG!$B$14,'Annual Parameters'!$B$32:$D$103,3,))</f>
        <v>103.06650999999999</v>
      </c>
      <c r="F50" s="736">
        <f>IF(ISERROR(MATCH($B50,GHG!$B$27:$B$119,0)),"",VLOOKUP($B50,GHG!$B$27:$I$119,8)*VLOOKUP($B$14,'Annual Parameters'!$B$32:$D$103,3,)/VLOOKUP(GHG!$B$14,'Annual Parameters'!$B$32:$D$103,3,))</f>
        <v>155.47320999999999</v>
      </c>
    </row>
    <row r="51" spans="1:8" ht="13.5" customHeight="1">
      <c r="A51" s="623"/>
      <c r="B51" s="1383">
        <f t="shared" si="0"/>
        <v>2036</v>
      </c>
      <c r="C51" s="624"/>
      <c r="D51" s="735">
        <f>IF(ISERROR(MATCH($B51,GHG!$B$27:$B$119,0)),"",VLOOKUP($B51,GHG!$B$27:$I$119,6)*VLOOKUP($B$14,'Annual Parameters'!$B$32:$D$103,3,)/VLOOKUP(GHG!$B$14,'Annual Parameters'!$B$32:$D$103,3,))</f>
        <v>55.027034999999998</v>
      </c>
      <c r="E51" s="735">
        <f>IF(ISERROR(MATCH($B51,GHG!$B$27:$B$119,0)),"",VLOOKUP($B51,GHG!$B$27:$I$119,7)*VLOOKUP($B$14,'Annual Parameters'!$B$32:$D$103,3,)/VLOOKUP(GHG!$B$14,'Annual Parameters'!$B$32:$D$103,3,))</f>
        <v>110.05407</v>
      </c>
      <c r="F51" s="736">
        <f>IF(ISERROR(MATCH($B51,GHG!$B$27:$B$119,0)),"",VLOOKUP($B51,GHG!$B$27:$I$119,8)*VLOOKUP($B$14,'Annual Parameters'!$B$32:$D$103,3,)/VLOOKUP(GHG!$B$14,'Annual Parameters'!$B$32:$D$103,3,))</f>
        <v>165.08110499999998</v>
      </c>
    </row>
    <row r="52" spans="1:8" ht="13.5" customHeight="1">
      <c r="A52" s="623"/>
      <c r="B52" s="1383">
        <f t="shared" si="0"/>
        <v>2037</v>
      </c>
      <c r="C52" s="624"/>
      <c r="D52" s="735">
        <f>IF(ISERROR(MATCH($B52,GHG!$B$27:$B$119,0)),"",VLOOKUP($B52,GHG!$B$27:$I$119,6)*VLOOKUP($B$14,'Annual Parameters'!$B$32:$D$103,3,)/VLOOKUP(GHG!$B$14,'Annual Parameters'!$B$32:$D$103,3,))</f>
        <v>58.520814999999992</v>
      </c>
      <c r="E52" s="735">
        <f>IF(ISERROR(MATCH($B52,GHG!$B$27:$B$119,0)),"",VLOOKUP($B52,GHG!$B$27:$I$119,7)*VLOOKUP($B$14,'Annual Parameters'!$B$32:$D$103,3,)/VLOOKUP(GHG!$B$14,'Annual Parameters'!$B$32:$D$103,3,))</f>
        <v>116.16818499999999</v>
      </c>
      <c r="F52" s="736">
        <f>IF(ISERROR(MATCH($B52,GHG!$B$27:$B$119,0)),"",VLOOKUP($B52,GHG!$B$27:$I$119,8)*VLOOKUP($B$14,'Annual Parameters'!$B$32:$D$103,3,)/VLOOKUP(GHG!$B$14,'Annual Parameters'!$B$32:$D$103,3,))</f>
        <v>174.68899999999999</v>
      </c>
    </row>
    <row r="53" spans="1:8" ht="13.5" customHeight="1">
      <c r="A53" s="623"/>
      <c r="B53" s="1383">
        <f t="shared" si="0"/>
        <v>2038</v>
      </c>
      <c r="C53" s="624"/>
      <c r="D53" s="735">
        <f>IF(ISERROR(MATCH($B53,GHG!$B$27:$B$119,0)),"",VLOOKUP($B53,GHG!$B$27:$I$119,6)*VLOOKUP($B$14,'Annual Parameters'!$B$32:$D$103,3,)/VLOOKUP(GHG!$B$14,'Annual Parameters'!$B$32:$D$103,3,))</f>
        <v>61.141149999999996</v>
      </c>
      <c r="E53" s="735">
        <f>IF(ISERROR(MATCH($B53,GHG!$B$27:$B$119,0)),"",VLOOKUP($B53,GHG!$B$27:$I$119,7)*VLOOKUP($B$14,'Annual Parameters'!$B$32:$D$103,3,)/VLOOKUP(GHG!$B$14,'Annual Parameters'!$B$32:$D$103,3,))</f>
        <v>123.15574499999998</v>
      </c>
      <c r="F53" s="736">
        <f>IF(ISERROR(MATCH($B53,GHG!$B$27:$B$119,0)),"",VLOOKUP($B53,GHG!$B$27:$I$119,8)*VLOOKUP($B$14,'Annual Parameters'!$B$32:$D$103,3,)/VLOOKUP(GHG!$B$14,'Annual Parameters'!$B$32:$D$103,3,))</f>
        <v>184.29689499999998</v>
      </c>
    </row>
    <row r="54" spans="1:8" ht="13.5" customHeight="1">
      <c r="A54" s="623"/>
      <c r="B54" s="1383">
        <f t="shared" si="0"/>
        <v>2039</v>
      </c>
      <c r="C54" s="624"/>
      <c r="D54" s="735">
        <f>IF(ISERROR(MATCH($B54,GHG!$B$27:$B$119,0)),"",VLOOKUP($B54,GHG!$B$27:$I$119,6)*VLOOKUP($B$14,'Annual Parameters'!$B$32:$D$103,3,)/VLOOKUP(GHG!$B$14,'Annual Parameters'!$B$32:$D$103,3,))</f>
        <v>64.634929999999997</v>
      </c>
      <c r="E54" s="735">
        <f>IF(ISERROR(MATCH($B54,GHG!$B$27:$B$119,0)),"",VLOOKUP($B54,GHG!$B$27:$I$119,7)*VLOOKUP($B$14,'Annual Parameters'!$B$32:$D$103,3,)/VLOOKUP(GHG!$B$14,'Annual Parameters'!$B$32:$D$103,3,))</f>
        <v>129.26985999999999</v>
      </c>
      <c r="F54" s="736">
        <f>IF(ISERROR(MATCH($B54,GHG!$B$27:$B$119,0)),"",VLOOKUP($B54,GHG!$B$27:$I$119,8)*VLOOKUP($B$14,'Annual Parameters'!$B$32:$D$103,3,)/VLOOKUP(GHG!$B$14,'Annual Parameters'!$B$32:$D$103,3,))</f>
        <v>194.778235</v>
      </c>
    </row>
    <row r="55" spans="1:8" ht="13.5" customHeight="1">
      <c r="A55" s="623"/>
      <c r="B55" s="1383">
        <f t="shared" si="0"/>
        <v>2040</v>
      </c>
      <c r="C55" s="624"/>
      <c r="D55" s="735">
        <f>IF(ISERROR(MATCH($B55,GHG!$B$27:$B$119,0)),"",VLOOKUP($B55,GHG!$B$27:$I$119,6)*VLOOKUP($B$14,'Annual Parameters'!$B$32:$D$103,3,)/VLOOKUP(GHG!$B$14,'Annual Parameters'!$B$32:$D$103,3,))</f>
        <v>68.128709999999998</v>
      </c>
      <c r="E55" s="735">
        <f>IF(ISERROR(MATCH($B55,GHG!$B$27:$B$119,0)),"",VLOOKUP($B55,GHG!$B$27:$I$119,7)*VLOOKUP($B$14,'Annual Parameters'!$B$32:$D$103,3,)/VLOOKUP(GHG!$B$14,'Annual Parameters'!$B$32:$D$103,3,))</f>
        <v>136.25742</v>
      </c>
      <c r="F55" s="736">
        <f>IF(ISERROR(MATCH($B55,GHG!$B$27:$B$119,0)),"",VLOOKUP($B55,GHG!$B$27:$I$119,8)*VLOOKUP($B$14,'Annual Parameters'!$B$32:$D$103,3,)/VLOOKUP(GHG!$B$14,'Annual Parameters'!$B$32:$D$103,3,))</f>
        <v>204.38612999999998</v>
      </c>
    </row>
    <row r="56" spans="1:8" ht="13.5" customHeight="1">
      <c r="A56" s="623"/>
      <c r="B56" s="1383">
        <f t="shared" si="0"/>
        <v>2041</v>
      </c>
      <c r="C56" s="624"/>
      <c r="D56" s="735">
        <f>IF(ISERROR(MATCH($B56,GHG!$B$27:$B$119,0)),"",VLOOKUP($B56,GHG!$B$27:$I$119,6)*VLOOKUP($B$14,'Annual Parameters'!$B$32:$D$103,3,)/VLOOKUP(GHG!$B$14,'Annual Parameters'!$B$32:$D$103,3,))</f>
        <v>71.622489999999999</v>
      </c>
      <c r="E56" s="735">
        <f>IF(ISERROR(MATCH($B56,GHG!$B$27:$B$119,0)),"",VLOOKUP($B56,GHG!$B$27:$I$119,7)*VLOOKUP($B$14,'Annual Parameters'!$B$32:$D$103,3,)/VLOOKUP(GHG!$B$14,'Annual Parameters'!$B$32:$D$103,3,))</f>
        <v>142.37153499999999</v>
      </c>
      <c r="F56" s="736">
        <f>IF(ISERROR(MATCH($B56,GHG!$B$27:$B$119,0)),"",VLOOKUP($B56,GHG!$B$27:$I$119,8)*VLOOKUP($B$14,'Annual Parameters'!$B$32:$D$103,3,)/VLOOKUP(GHG!$B$14,'Annual Parameters'!$B$32:$D$103,3,))</f>
        <v>213.99402499999997</v>
      </c>
    </row>
    <row r="57" spans="1:8" ht="13.5" customHeight="1">
      <c r="A57" s="623"/>
      <c r="B57" s="1383">
        <f t="shared" si="0"/>
        <v>2042</v>
      </c>
      <c r="C57" s="624"/>
      <c r="D57" s="735">
        <f>IF(ISERROR(MATCH($B57,GHG!$B$27:$B$119,0)),"",VLOOKUP($B57,GHG!$B$27:$I$119,6)*VLOOKUP($B$14,'Annual Parameters'!$B$32:$D$103,3,)/VLOOKUP(GHG!$B$14,'Annual Parameters'!$B$32:$D$103,3,))</f>
        <v>74.242824999999996</v>
      </c>
      <c r="E57" s="735">
        <f>IF(ISERROR(MATCH($B57,GHG!$B$27:$B$119,0)),"",VLOOKUP($B57,GHG!$B$27:$I$119,7)*VLOOKUP($B$14,'Annual Parameters'!$B$32:$D$103,3,)/VLOOKUP(GHG!$B$14,'Annual Parameters'!$B$32:$D$103,3,))</f>
        <v>149.359095</v>
      </c>
      <c r="F57" s="736">
        <f>IF(ISERROR(MATCH($B57,GHG!$B$27:$B$119,0)),"",VLOOKUP($B57,GHG!$B$27:$I$119,8)*VLOOKUP($B$14,'Annual Parameters'!$B$32:$D$103,3,)/VLOOKUP(GHG!$B$14,'Annual Parameters'!$B$32:$D$103,3,))</f>
        <v>223.60191999999998</v>
      </c>
    </row>
    <row r="58" spans="1:8" ht="13.5" customHeight="1">
      <c r="A58" s="623"/>
      <c r="B58" s="1383">
        <f t="shared" si="0"/>
        <v>2043</v>
      </c>
      <c r="C58" s="624"/>
      <c r="D58" s="735">
        <f>IF(ISERROR(MATCH($B58,GHG!$B$27:$B$119,0)),"",VLOOKUP($B58,GHG!$B$27:$I$119,6)*VLOOKUP($B$14,'Annual Parameters'!$B$32:$D$103,3,)/VLOOKUP(GHG!$B$14,'Annual Parameters'!$B$32:$D$103,3,))</f>
        <v>77.736604999999997</v>
      </c>
      <c r="E58" s="735">
        <f>IF(ISERROR(MATCH($B58,GHG!$B$27:$B$119,0)),"",VLOOKUP($B58,GHG!$B$27:$I$119,7)*VLOOKUP($B$14,'Annual Parameters'!$B$32:$D$103,3,)/VLOOKUP(GHG!$B$14,'Annual Parameters'!$B$32:$D$103,3,))</f>
        <v>155.47320999999999</v>
      </c>
      <c r="F58" s="736">
        <f>IF(ISERROR(MATCH($B58,GHG!$B$27:$B$119,0)),"",VLOOKUP($B58,GHG!$B$27:$I$119,8)*VLOOKUP($B$14,'Annual Parameters'!$B$32:$D$103,3,)/VLOOKUP(GHG!$B$14,'Annual Parameters'!$B$32:$D$103,3,))</f>
        <v>234.08325999999997</v>
      </c>
    </row>
    <row r="59" spans="1:8" ht="13.5" customHeight="1">
      <c r="A59" s="623"/>
      <c r="B59" s="1383">
        <f t="shared" si="0"/>
        <v>2044</v>
      </c>
      <c r="C59" s="624"/>
      <c r="D59" s="735">
        <f>IF(ISERROR(MATCH($B59,GHG!$B$27:$B$119,0)),"",VLOOKUP($B59,GHG!$B$27:$I$119,6)*VLOOKUP($B$14,'Annual Parameters'!$B$32:$D$103,3,)/VLOOKUP(GHG!$B$14,'Annual Parameters'!$B$32:$D$103,3,))</f>
        <v>81.230384999999998</v>
      </c>
      <c r="E59" s="735">
        <f>IF(ISERROR(MATCH($B59,GHG!$B$27:$B$119,0)),"",VLOOKUP($B59,GHG!$B$27:$I$119,7)*VLOOKUP($B$14,'Annual Parameters'!$B$32:$D$103,3,)/VLOOKUP(GHG!$B$14,'Annual Parameters'!$B$32:$D$103,3,))</f>
        <v>162.46077</v>
      </c>
      <c r="F59" s="736">
        <f>IF(ISERROR(MATCH($B59,GHG!$B$27:$B$119,0)),"",VLOOKUP($B59,GHG!$B$27:$I$119,8)*VLOOKUP($B$14,'Annual Parameters'!$B$32:$D$103,3,)/VLOOKUP(GHG!$B$14,'Annual Parameters'!$B$32:$D$103,3,))</f>
        <v>243.69115499999998</v>
      </c>
    </row>
    <row r="60" spans="1:8" ht="13.5" customHeight="1">
      <c r="A60" s="623"/>
      <c r="B60" s="1383">
        <f t="shared" si="0"/>
        <v>2045</v>
      </c>
      <c r="C60" s="624"/>
      <c r="D60" s="735">
        <f>IF(ISERROR(MATCH($B60,GHG!$B$27:$B$119,0)),"",VLOOKUP($B60,GHG!$B$27:$I$119,6)*VLOOKUP($B$14,'Annual Parameters'!$B$32:$D$103,3,)/VLOOKUP(GHG!$B$14,'Annual Parameters'!$B$32:$D$103,3,))</f>
        <v>84.724164999999985</v>
      </c>
      <c r="E60" s="735">
        <f>IF(ISERROR(MATCH($B60,GHG!$B$27:$B$119,0)),"",VLOOKUP($B60,GHG!$B$27:$I$119,7)*VLOOKUP($B$14,'Annual Parameters'!$B$32:$D$103,3,)/VLOOKUP(GHG!$B$14,'Annual Parameters'!$B$32:$D$103,3,))</f>
        <v>168.57488499999999</v>
      </c>
      <c r="F60" s="736">
        <f>IF(ISERROR(MATCH($B60,GHG!$B$27:$B$119,0)),"",VLOOKUP($B60,GHG!$B$27:$I$119,8)*VLOOKUP($B$14,'Annual Parameters'!$B$32:$D$103,3,)/VLOOKUP(GHG!$B$14,'Annual Parameters'!$B$32:$D$103,3,))</f>
        <v>253.29904999999997</v>
      </c>
    </row>
    <row r="61" spans="1:8" ht="13.5" customHeight="1">
      <c r="A61" s="623"/>
      <c r="B61" s="1383">
        <f t="shared" si="0"/>
        <v>2046</v>
      </c>
      <c r="C61" s="624"/>
      <c r="D61" s="735">
        <f>IF(ISERROR(MATCH($B61,GHG!$B$27:$B$119,0)),"",VLOOKUP($B61,GHG!$B$27:$I$119,6)*VLOOKUP($B$14,'Annual Parameters'!$B$32:$D$103,3,)/VLOOKUP(GHG!$B$14,'Annual Parameters'!$B$32:$D$103,3,))</f>
        <v>87.344499999999996</v>
      </c>
      <c r="E61" s="735">
        <f>IF(ISERROR(MATCH($B61,GHG!$B$27:$B$119,0)),"",VLOOKUP($B61,GHG!$B$27:$I$119,7)*VLOOKUP($B$14,'Annual Parameters'!$B$32:$D$103,3,)/VLOOKUP(GHG!$B$14,'Annual Parameters'!$B$32:$D$103,3,))</f>
        <v>175.562445</v>
      </c>
      <c r="F61" s="736">
        <f>IF(ISERROR(MATCH($B61,GHG!$B$27:$B$119,0)),"",VLOOKUP($B61,GHG!$B$27:$I$119,8)*VLOOKUP($B$14,'Annual Parameters'!$B$32:$D$103,3,)/VLOOKUP(GHG!$B$14,'Annual Parameters'!$B$32:$D$103,3,))</f>
        <v>262.90694499999995</v>
      </c>
    </row>
    <row r="62" spans="1:8" ht="13.5" customHeight="1">
      <c r="A62" s="623"/>
      <c r="B62" s="1383">
        <f t="shared" si="0"/>
        <v>2047</v>
      </c>
      <c r="C62" s="624"/>
      <c r="D62" s="735">
        <f>IF(ISERROR(MATCH($B62,GHG!$B$27:$B$119,0)),"",VLOOKUP($B62,GHG!$B$27:$I$119,6)*VLOOKUP($B$14,'Annual Parameters'!$B$32:$D$103,3,)/VLOOKUP(GHG!$B$14,'Annual Parameters'!$B$32:$D$103,3,))</f>
        <v>90.838279999999997</v>
      </c>
      <c r="E62" s="735">
        <f>IF(ISERROR(MATCH($B62,GHG!$B$27:$B$119,0)),"",VLOOKUP($B62,GHG!$B$27:$I$119,7)*VLOOKUP($B$14,'Annual Parameters'!$B$32:$D$103,3,)/VLOOKUP(GHG!$B$14,'Annual Parameters'!$B$32:$D$103,3,))</f>
        <v>181.67655999999999</v>
      </c>
      <c r="F62" s="736">
        <f>IF(ISERROR(MATCH($B62,GHG!$B$27:$B$119,0)),"",VLOOKUP($B62,GHG!$B$27:$I$119,8)*VLOOKUP($B$14,'Annual Parameters'!$B$32:$D$103,3,)/VLOOKUP(GHG!$B$14,'Annual Parameters'!$B$32:$D$103,3,))</f>
        <v>273.388285</v>
      </c>
    </row>
    <row r="63" spans="1:8" ht="13.5" customHeight="1">
      <c r="A63" s="623"/>
      <c r="B63" s="1383">
        <f t="shared" si="0"/>
        <v>2048</v>
      </c>
      <c r="C63" s="624"/>
      <c r="D63" s="735">
        <f>IF(ISERROR(MATCH($B63,GHG!$B$27:$B$119,0)),"",VLOOKUP($B63,GHG!$B$27:$I$119,6)*VLOOKUP($B$14,'Annual Parameters'!$B$32:$D$103,3,)/VLOOKUP(GHG!$B$14,'Annual Parameters'!$B$32:$D$103,3,))</f>
        <v>94.332059999999984</v>
      </c>
      <c r="E63" s="735">
        <f>IF(ISERROR(MATCH($B63,GHG!$B$27:$B$119,0)),"",VLOOKUP($B63,GHG!$B$27:$I$119,7)*VLOOKUP($B$14,'Annual Parameters'!$B$32:$D$103,3,)/VLOOKUP(GHG!$B$14,'Annual Parameters'!$B$32:$D$103,3,))</f>
        <v>188.66411999999997</v>
      </c>
      <c r="F63" s="736">
        <f>IF(ISERROR(MATCH($B63,GHG!$B$27:$B$119,0)),"",VLOOKUP($B63,GHG!$B$27:$I$119,8)*VLOOKUP($B$14,'Annual Parameters'!$B$32:$D$103,3,)/VLOOKUP(GHG!$B$14,'Annual Parameters'!$B$32:$D$103,3,))</f>
        <v>282.99617999999998</v>
      </c>
    </row>
    <row r="64" spans="1:8" ht="13.5" customHeight="1">
      <c r="A64" s="623"/>
      <c r="B64" s="1383">
        <f t="shared" si="0"/>
        <v>2049</v>
      </c>
      <c r="C64" s="624"/>
      <c r="D64" s="735">
        <f>IF(ISERROR(MATCH($B64,GHG!$B$27:$B$119,0)),"",VLOOKUP($B64,GHG!$B$27:$I$119,6)*VLOOKUP($B$14,'Annual Parameters'!$B$32:$D$103,3,)/VLOOKUP(GHG!$B$14,'Annual Parameters'!$B$32:$D$103,3,))</f>
        <v>97.825839999999985</v>
      </c>
      <c r="E64" s="735">
        <f>IF(ISERROR(MATCH($B64,GHG!$B$27:$B$119,0)),"",VLOOKUP($B64,GHG!$B$27:$I$119,7)*VLOOKUP($B$14,'Annual Parameters'!$B$32:$D$103,3,)/VLOOKUP(GHG!$B$14,'Annual Parameters'!$B$32:$D$103,3,))</f>
        <v>194.778235</v>
      </c>
      <c r="F64" s="736">
        <f>IF(ISERROR(MATCH($B64,GHG!$B$27:$B$119,0)),"",VLOOKUP($B64,GHG!$B$27:$I$119,8)*VLOOKUP($B$14,'Annual Parameters'!$B$32:$D$103,3,)/VLOOKUP(GHG!$B$14,'Annual Parameters'!$B$32:$D$103,3,))</f>
        <v>292.60407499999997</v>
      </c>
    </row>
    <row r="65" spans="1:6" ht="13.5" customHeight="1">
      <c r="A65" s="623"/>
      <c r="B65" s="1383">
        <f t="shared" si="0"/>
        <v>2050</v>
      </c>
      <c r="C65" s="624"/>
      <c r="D65" s="735">
        <f>IF(ISERROR(MATCH($B65,GHG!$B$27:$B$119,0)),"",VLOOKUP($B65,GHG!$B$27:$I$119,6)*VLOOKUP($B$14,'Annual Parameters'!$B$32:$D$103,3,)/VLOOKUP(GHG!$B$14,'Annual Parameters'!$B$32:$D$103,3,))</f>
        <v>100.446175</v>
      </c>
      <c r="E65" s="735">
        <f>IF(ISERROR(MATCH($B65,GHG!$B$27:$B$119,0)),"",VLOOKUP($B65,GHG!$B$27:$I$119,7)*VLOOKUP($B$14,'Annual Parameters'!$B$32:$D$103,3,)/VLOOKUP(GHG!$B$14,'Annual Parameters'!$B$32:$D$103,3,))</f>
        <v>201.76579499999997</v>
      </c>
      <c r="F65" s="736">
        <f>IF(ISERROR(MATCH($B65,GHG!$B$27:$B$119,0)),"",VLOOKUP($B65,GHG!$B$27:$I$119,8)*VLOOKUP($B$14,'Annual Parameters'!$B$32:$D$103,3,)/VLOOKUP(GHG!$B$14,'Annual Parameters'!$B$32:$D$103,3,))</f>
        <v>302.21196999999995</v>
      </c>
    </row>
    <row r="66" spans="1:6" ht="13.5" customHeight="1">
      <c r="A66" s="623"/>
      <c r="B66" s="1383">
        <f t="shared" si="0"/>
        <v>2051</v>
      </c>
      <c r="C66" s="624"/>
      <c r="D66" s="735">
        <f>IF(ISERROR(MATCH($B66,GHG!$B$27:$B$119,0)),"",VLOOKUP($B66,GHG!$B$27:$I$119,6)*VLOOKUP($B$14,'Annual Parameters'!$B$32:$D$103,3,)/VLOOKUP(GHG!$B$14,'Annual Parameters'!$B$32:$D$103,3,))</f>
        <v>103.06650999999999</v>
      </c>
      <c r="E66" s="735">
        <f>IF(ISERROR(MATCH($B66,GHG!$B$27:$B$119,0)),"",VLOOKUP($B66,GHG!$B$27:$I$119,7)*VLOOKUP($B$14,'Annual Parameters'!$B$32:$D$103,3,)/VLOOKUP(GHG!$B$14,'Annual Parameters'!$B$32:$D$103,3,))</f>
        <v>208.75335499999997</v>
      </c>
      <c r="F66" s="736">
        <f>IF(ISERROR(MATCH($B66,GHG!$B$27:$B$119,0)),"",VLOOKUP($B66,GHG!$B$27:$I$119,8)*VLOOKUP($B$14,'Annual Parameters'!$B$32:$D$103,3,)/VLOOKUP(GHG!$B$14,'Annual Parameters'!$B$32:$D$103,3,))</f>
        <v>314.44019999999995</v>
      </c>
    </row>
    <row r="67" spans="1:6" ht="13.5" customHeight="1">
      <c r="A67" s="623"/>
      <c r="B67" s="1383">
        <f t="shared" si="0"/>
        <v>2052</v>
      </c>
      <c r="C67" s="624"/>
      <c r="D67" s="735">
        <f>IF(ISERROR(MATCH($B67,GHG!$B$27:$B$119,0)),"",VLOOKUP($B67,GHG!$B$27:$I$119,6)*VLOOKUP($B$14,'Annual Parameters'!$B$32:$D$103,3,)/VLOOKUP(GHG!$B$14,'Annual Parameters'!$B$32:$D$103,3,))</f>
        <v>105.68684499999999</v>
      </c>
      <c r="E67" s="735">
        <f>IF(ISERROR(MATCH($B67,GHG!$B$27:$B$119,0)),"",VLOOKUP($B67,GHG!$B$27:$I$119,7)*VLOOKUP($B$14,'Annual Parameters'!$B$32:$D$103,3,)/VLOOKUP(GHG!$B$14,'Annual Parameters'!$B$32:$D$103,3,))</f>
        <v>215.74091499999997</v>
      </c>
      <c r="F67" s="736">
        <f>IF(ISERROR(MATCH($B67,GHG!$B$27:$B$119,0)),"",VLOOKUP($B67,GHG!$B$27:$I$119,8)*VLOOKUP($B$14,'Annual Parameters'!$B$32:$D$103,3,)/VLOOKUP(GHG!$B$14,'Annual Parameters'!$B$32:$D$103,3,))</f>
        <v>325.79498499999994</v>
      </c>
    </row>
    <row r="68" spans="1:6" ht="13.5" customHeight="1">
      <c r="A68" s="623"/>
      <c r="B68" s="1383">
        <f t="shared" si="0"/>
        <v>2053</v>
      </c>
      <c r="C68" s="624"/>
      <c r="D68" s="735">
        <f>IF(ISERROR(MATCH($B68,GHG!$B$27:$B$119,0)),"",VLOOKUP($B68,GHG!$B$27:$I$119,6)*VLOOKUP($B$14,'Annual Parameters'!$B$32:$D$103,3,)/VLOOKUP(GHG!$B$14,'Annual Parameters'!$B$32:$D$103,3,))</f>
        <v>108.30717999999999</v>
      </c>
      <c r="E68" s="735">
        <f>IF(ISERROR(MATCH($B68,GHG!$B$27:$B$119,0)),"",VLOOKUP($B68,GHG!$B$27:$I$119,7)*VLOOKUP($B$14,'Annual Parameters'!$B$32:$D$103,3,)/VLOOKUP(GHG!$B$14,'Annual Parameters'!$B$32:$D$103,3,))</f>
        <v>222.72847499999997</v>
      </c>
      <c r="F68" s="736">
        <f>IF(ISERROR(MATCH($B68,GHG!$B$27:$B$119,0)),"",VLOOKUP($B68,GHG!$B$27:$I$119,8)*VLOOKUP($B$14,'Annual Parameters'!$B$32:$D$103,3,)/VLOOKUP(GHG!$B$14,'Annual Parameters'!$B$32:$D$103,3,))</f>
        <v>337.14976999999999</v>
      </c>
    </row>
    <row r="69" spans="1:6" ht="13.5" customHeight="1">
      <c r="A69" s="623"/>
      <c r="B69" s="1383">
        <f t="shared" si="0"/>
        <v>2054</v>
      </c>
      <c r="C69" s="624"/>
      <c r="D69" s="735">
        <f>IF(ISERROR(MATCH($B69,GHG!$B$27:$B$119,0)),"",VLOOKUP($B69,GHG!$B$27:$I$119,6)*VLOOKUP($B$14,'Annual Parameters'!$B$32:$D$103,3,)/VLOOKUP(GHG!$B$14,'Annual Parameters'!$B$32:$D$103,3,))</f>
        <v>110.05407</v>
      </c>
      <c r="E69" s="735">
        <f>IF(ISERROR(MATCH($B69,GHG!$B$27:$B$119,0)),"",VLOOKUP($B69,GHG!$B$27:$I$119,7)*VLOOKUP($B$14,'Annual Parameters'!$B$32:$D$103,3,)/VLOOKUP(GHG!$B$14,'Annual Parameters'!$B$32:$D$103,3,))</f>
        <v>229.71603499999998</v>
      </c>
      <c r="F69" s="736">
        <f>IF(ISERROR(MATCH($B69,GHG!$B$27:$B$119,0)),"",VLOOKUP($B69,GHG!$B$27:$I$119,8)*VLOOKUP($B$14,'Annual Parameters'!$B$32:$D$103,3,)/VLOOKUP(GHG!$B$14,'Annual Parameters'!$B$32:$D$103,3,))</f>
        <v>349.37799999999999</v>
      </c>
    </row>
    <row r="70" spans="1:6" ht="13.5" customHeight="1">
      <c r="A70" s="623"/>
      <c r="B70" s="1383">
        <f t="shared" si="0"/>
        <v>2055</v>
      </c>
      <c r="C70" s="624"/>
      <c r="D70" s="735">
        <f>IF(ISERROR(MATCH($B70,GHG!$B$27:$B$119,0)),"",VLOOKUP($B70,GHG!$B$27:$I$119,6)*VLOOKUP($B$14,'Annual Parameters'!$B$32:$D$103,3,)/VLOOKUP(GHG!$B$14,'Annual Parameters'!$B$32:$D$103,3,))</f>
        <v>112.67440499999999</v>
      </c>
      <c r="E70" s="735">
        <f>IF(ISERROR(MATCH($B70,GHG!$B$27:$B$119,0)),"",VLOOKUP($B70,GHG!$B$27:$I$119,7)*VLOOKUP($B$14,'Annual Parameters'!$B$32:$D$103,3,)/VLOOKUP(GHG!$B$14,'Annual Parameters'!$B$32:$D$103,3,))</f>
        <v>236.70359499999998</v>
      </c>
      <c r="F70" s="736">
        <f>IF(ISERROR(MATCH($B70,GHG!$B$27:$B$119,0)),"",VLOOKUP($B70,GHG!$B$27:$I$119,8)*VLOOKUP($B$14,'Annual Parameters'!$B$32:$D$103,3,)/VLOOKUP(GHG!$B$14,'Annual Parameters'!$B$32:$D$103,3,))</f>
        <v>360.73278499999998</v>
      </c>
    </row>
    <row r="71" spans="1:6" ht="13.5" customHeight="1">
      <c r="A71" s="623"/>
      <c r="B71" s="1383">
        <f t="shared" si="0"/>
        <v>2056</v>
      </c>
      <c r="C71" s="624"/>
      <c r="D71" s="735">
        <f>IF(ISERROR(MATCH($B71,GHG!$B$27:$B$119,0)),"",VLOOKUP($B71,GHG!$B$27:$I$119,6)*VLOOKUP($B$14,'Annual Parameters'!$B$32:$D$103,3,)/VLOOKUP(GHG!$B$14,'Annual Parameters'!$B$32:$D$103,3,))</f>
        <v>114.42129499999999</v>
      </c>
      <c r="E71" s="735">
        <f>IF(ISERROR(MATCH($B71,GHG!$B$27:$B$119,0)),"",VLOOKUP($B71,GHG!$B$27:$I$119,7)*VLOOKUP($B$14,'Annual Parameters'!$B$32:$D$103,3,)/VLOOKUP(GHG!$B$14,'Annual Parameters'!$B$32:$D$103,3,))</f>
        <v>242.81770999999998</v>
      </c>
      <c r="F71" s="736">
        <f>IF(ISERROR(MATCH($B71,GHG!$B$27:$B$119,0)),"",VLOOKUP($B71,GHG!$B$27:$I$119,8)*VLOOKUP($B$14,'Annual Parameters'!$B$32:$D$103,3,)/VLOOKUP(GHG!$B$14,'Annual Parameters'!$B$32:$D$103,3,))</f>
        <v>372.08756999999997</v>
      </c>
    </row>
    <row r="72" spans="1:6" ht="13.5" customHeight="1">
      <c r="A72" s="623"/>
      <c r="B72" s="1383">
        <f t="shared" si="0"/>
        <v>2057</v>
      </c>
      <c r="C72" s="624"/>
      <c r="D72" s="735">
        <f>IF(ISERROR(MATCH($B72,GHG!$B$27:$B$119,0)),"",VLOOKUP($B72,GHG!$B$27:$I$119,6)*VLOOKUP($B$14,'Annual Parameters'!$B$32:$D$103,3,)/VLOOKUP(GHG!$B$14,'Annual Parameters'!$B$32:$D$103,3,))</f>
        <v>116.16818499999999</v>
      </c>
      <c r="E72" s="735">
        <f>IF(ISERROR(MATCH($B72,GHG!$B$27:$B$119,0)),"",VLOOKUP($B72,GHG!$B$27:$I$119,7)*VLOOKUP($B$14,'Annual Parameters'!$B$32:$D$103,3,)/VLOOKUP(GHG!$B$14,'Annual Parameters'!$B$32:$D$103,3,))</f>
        <v>249.80526999999998</v>
      </c>
      <c r="F72" s="736">
        <f>IF(ISERROR(MATCH($B72,GHG!$B$27:$B$119,0)),"",VLOOKUP($B72,GHG!$B$27:$I$119,8)*VLOOKUP($B$14,'Annual Parameters'!$B$32:$D$103,3,)/VLOOKUP(GHG!$B$14,'Annual Parameters'!$B$32:$D$103,3,))</f>
        <v>383.44235499999996</v>
      </c>
    </row>
    <row r="73" spans="1:6" ht="13.5" customHeight="1">
      <c r="A73" s="623"/>
      <c r="B73" s="1383">
        <f t="shared" si="0"/>
        <v>2058</v>
      </c>
      <c r="C73" s="624"/>
      <c r="D73" s="735">
        <f>IF(ISERROR(MATCH($B73,GHG!$B$27:$B$119,0)),"",VLOOKUP($B73,GHG!$B$27:$I$119,6)*VLOOKUP($B$14,'Annual Parameters'!$B$32:$D$103,3,)/VLOOKUP(GHG!$B$14,'Annual Parameters'!$B$32:$D$103,3,))</f>
        <v>117.91507499999999</v>
      </c>
      <c r="E73" s="735">
        <f>IF(ISERROR(MATCH($B73,GHG!$B$27:$B$119,0)),"",VLOOKUP($B73,GHG!$B$27:$I$119,7)*VLOOKUP($B$14,'Annual Parameters'!$B$32:$D$103,3,)/VLOOKUP(GHG!$B$14,'Annual Parameters'!$B$32:$D$103,3,))</f>
        <v>255.91938499999998</v>
      </c>
      <c r="F73" s="736">
        <f>IF(ISERROR(MATCH($B73,GHG!$B$27:$B$119,0)),"",VLOOKUP($B73,GHG!$B$27:$I$119,8)*VLOOKUP($B$14,'Annual Parameters'!$B$32:$D$103,3,)/VLOOKUP(GHG!$B$14,'Annual Parameters'!$B$32:$D$103,3,))</f>
        <v>393.92369499999995</v>
      </c>
    </row>
    <row r="74" spans="1:6" ht="13.5" customHeight="1">
      <c r="A74" s="623"/>
      <c r="B74" s="1383">
        <f t="shared" si="0"/>
        <v>2059</v>
      </c>
      <c r="C74" s="624"/>
      <c r="D74" s="735">
        <f>IF(ISERROR(MATCH($B74,GHG!$B$27:$B$119,0)),"",VLOOKUP($B74,GHG!$B$27:$I$119,6)*VLOOKUP($B$14,'Annual Parameters'!$B$32:$D$103,3,)/VLOOKUP(GHG!$B$14,'Annual Parameters'!$B$32:$D$103,3,))</f>
        <v>119.661965</v>
      </c>
      <c r="E74" s="735">
        <f>IF(ISERROR(MATCH($B74,GHG!$B$27:$B$119,0)),"",VLOOKUP($B74,GHG!$B$27:$I$119,7)*VLOOKUP($B$14,'Annual Parameters'!$B$32:$D$103,3,)/VLOOKUP(GHG!$B$14,'Annual Parameters'!$B$32:$D$103,3,))</f>
        <v>262.03349999999995</v>
      </c>
      <c r="F74" s="736">
        <f>IF(ISERROR(MATCH($B74,GHG!$B$27:$B$119,0)),"",VLOOKUP($B74,GHG!$B$27:$I$119,8)*VLOOKUP($B$14,'Annual Parameters'!$B$32:$D$103,3,)/VLOOKUP(GHG!$B$14,'Annual Parameters'!$B$32:$D$103,3,))</f>
        <v>405.27847999999994</v>
      </c>
    </row>
    <row r="75" spans="1:6" ht="13.5" customHeight="1">
      <c r="A75" s="623"/>
      <c r="B75" s="1383">
        <f t="shared" si="0"/>
        <v>2060</v>
      </c>
      <c r="C75" s="624"/>
      <c r="D75" s="735">
        <f>IF(ISERROR(MATCH($B75,GHG!$B$27:$B$119,0)),"",VLOOKUP($B75,GHG!$B$27:$I$119,6)*VLOOKUP($B$14,'Annual Parameters'!$B$32:$D$103,3,)/VLOOKUP(GHG!$B$14,'Annual Parameters'!$B$32:$D$103,3,))</f>
        <v>120.53540999999998</v>
      </c>
      <c r="E75" s="735">
        <f>IF(ISERROR(MATCH($B75,GHG!$B$27:$B$119,0)),"",VLOOKUP($B75,GHG!$B$27:$I$119,7)*VLOOKUP($B$14,'Annual Parameters'!$B$32:$D$103,3,)/VLOOKUP(GHG!$B$14,'Annual Parameters'!$B$32:$D$103,3,))</f>
        <v>268.14761499999997</v>
      </c>
      <c r="F75" s="736">
        <f>IF(ISERROR(MATCH($B75,GHG!$B$27:$B$119,0)),"",VLOOKUP($B75,GHG!$B$27:$I$119,8)*VLOOKUP($B$14,'Annual Parameters'!$B$32:$D$103,3,)/VLOOKUP(GHG!$B$14,'Annual Parameters'!$B$32:$D$103,3,))</f>
        <v>415.75981999999993</v>
      </c>
    </row>
    <row r="76" spans="1:6" ht="13.5" customHeight="1">
      <c r="A76" s="623"/>
      <c r="B76" s="1383">
        <f t="shared" si="0"/>
        <v>2061</v>
      </c>
      <c r="C76" s="624"/>
      <c r="D76" s="735">
        <f>IF(ISERROR(MATCH($B76,GHG!$B$27:$B$119,0)),"",VLOOKUP($B76,GHG!$B$27:$I$119,6)*VLOOKUP($B$14,'Annual Parameters'!$B$32:$D$103,3,)/VLOOKUP(GHG!$B$14,'Annual Parameters'!$B$32:$D$103,3,))</f>
        <v>121.40885499999999</v>
      </c>
      <c r="E76" s="735">
        <f>IF(ISERROR(MATCH($B76,GHG!$B$27:$B$119,0)),"",VLOOKUP($B76,GHG!$B$27:$I$119,7)*VLOOKUP($B$14,'Annual Parameters'!$B$32:$D$103,3,)/VLOOKUP(GHG!$B$14,'Annual Parameters'!$B$32:$D$103,3,))</f>
        <v>273.388285</v>
      </c>
      <c r="F76" s="736">
        <f>IF(ISERROR(MATCH($B76,GHG!$B$27:$B$119,0)),"",VLOOKUP($B76,GHG!$B$27:$I$119,8)*VLOOKUP($B$14,'Annual Parameters'!$B$32:$D$103,3,)/VLOOKUP(GHG!$B$14,'Annual Parameters'!$B$32:$D$103,3,))</f>
        <v>424.49426999999997</v>
      </c>
    </row>
    <row r="77" spans="1:6" ht="13.5" customHeight="1">
      <c r="A77" s="623"/>
      <c r="B77" s="1383">
        <f t="shared" si="0"/>
        <v>2062</v>
      </c>
      <c r="C77" s="624"/>
      <c r="D77" s="735">
        <f>IF(ISERROR(MATCH($B77,GHG!$B$27:$B$119,0)),"",VLOOKUP($B77,GHG!$B$27:$I$119,6)*VLOOKUP($B$14,'Annual Parameters'!$B$32:$D$103,3,)/VLOOKUP(GHG!$B$14,'Annual Parameters'!$B$32:$D$103,3,))</f>
        <v>122.28229999999999</v>
      </c>
      <c r="E77" s="735">
        <f>IF(ISERROR(MATCH($B77,GHG!$B$27:$B$119,0)),"",VLOOKUP($B77,GHG!$B$27:$I$119,7)*VLOOKUP($B$14,'Annual Parameters'!$B$32:$D$103,3,)/VLOOKUP(GHG!$B$14,'Annual Parameters'!$B$32:$D$103,3,))</f>
        <v>277.75550999999996</v>
      </c>
      <c r="F77" s="736">
        <f>IF(ISERROR(MATCH($B77,GHG!$B$27:$B$119,0)),"",VLOOKUP($B77,GHG!$B$27:$I$119,8)*VLOOKUP($B$14,'Annual Parameters'!$B$32:$D$103,3,)/VLOOKUP(GHG!$B$14,'Annual Parameters'!$B$32:$D$103,3,))</f>
        <v>434.10216499999996</v>
      </c>
    </row>
    <row r="78" spans="1:6" ht="13.5" customHeight="1">
      <c r="A78" s="623"/>
      <c r="B78" s="1383">
        <f t="shared" si="0"/>
        <v>2063</v>
      </c>
      <c r="C78" s="624"/>
      <c r="D78" s="735">
        <f>IF(ISERROR(MATCH($B78,GHG!$B$27:$B$119,0)),"",VLOOKUP($B78,GHG!$B$27:$I$119,6)*VLOOKUP($B$14,'Annual Parameters'!$B$32:$D$103,3,)/VLOOKUP(GHG!$B$14,'Annual Parameters'!$B$32:$D$103,3,))</f>
        <v>123.15574499999998</v>
      </c>
      <c r="E78" s="735">
        <f>IF(ISERROR(MATCH($B78,GHG!$B$27:$B$119,0)),"",VLOOKUP($B78,GHG!$B$27:$I$119,7)*VLOOKUP($B$14,'Annual Parameters'!$B$32:$D$103,3,)/VLOOKUP(GHG!$B$14,'Annual Parameters'!$B$32:$D$103,3,))</f>
        <v>282.12273499999998</v>
      </c>
      <c r="F78" s="736">
        <f>IF(ISERROR(MATCH($B78,GHG!$B$27:$B$119,0)),"",VLOOKUP($B78,GHG!$B$27:$I$119,8)*VLOOKUP($B$14,'Annual Parameters'!$B$32:$D$103,3,)/VLOOKUP(GHG!$B$14,'Annual Parameters'!$B$32:$D$103,3,))</f>
        <v>441.96316999999993</v>
      </c>
    </row>
    <row r="79" spans="1:6" ht="13.5" customHeight="1">
      <c r="A79" s="623"/>
      <c r="B79" s="1383">
        <f t="shared" si="0"/>
        <v>2064</v>
      </c>
      <c r="C79" s="624"/>
      <c r="D79" s="735">
        <f>IF(ISERROR(MATCH($B79,GHG!$B$27:$B$119,0)),"",VLOOKUP($B79,GHG!$B$27:$I$119,6)*VLOOKUP($B$14,'Annual Parameters'!$B$32:$D$103,3,)/VLOOKUP(GHG!$B$14,'Annual Parameters'!$B$32:$D$103,3,))</f>
        <v>123.15574499999998</v>
      </c>
      <c r="E79" s="735">
        <f>IF(ISERROR(MATCH($B79,GHG!$B$27:$B$119,0)),"",VLOOKUP($B79,GHG!$B$27:$I$119,7)*VLOOKUP($B$14,'Annual Parameters'!$B$32:$D$103,3,)/VLOOKUP(GHG!$B$14,'Annual Parameters'!$B$32:$D$103,3,))</f>
        <v>286.48996</v>
      </c>
      <c r="F79" s="736">
        <f>IF(ISERROR(MATCH($B79,GHG!$B$27:$B$119,0)),"",VLOOKUP($B79,GHG!$B$27:$I$119,8)*VLOOKUP($B$14,'Annual Parameters'!$B$32:$D$103,3,)/VLOOKUP(GHG!$B$14,'Annual Parameters'!$B$32:$D$103,3,))</f>
        <v>449.82417499999997</v>
      </c>
    </row>
    <row r="80" spans="1:6" ht="13.5" customHeight="1">
      <c r="A80" s="623"/>
      <c r="B80" s="1383">
        <f t="shared" si="0"/>
        <v>2065</v>
      </c>
      <c r="C80" s="624"/>
      <c r="D80" s="735">
        <f>IF(ISERROR(MATCH($B80,GHG!$B$27:$B$119,0)),"",VLOOKUP($B80,GHG!$B$27:$I$119,6)*VLOOKUP($B$14,'Annual Parameters'!$B$32:$D$103,3,)/VLOOKUP(GHG!$B$14,'Annual Parameters'!$B$32:$D$103,3,))</f>
        <v>123.15574499999998</v>
      </c>
      <c r="E80" s="735">
        <f>IF(ISERROR(MATCH($B80,GHG!$B$27:$B$119,0)),"",VLOOKUP($B80,GHG!$B$27:$I$119,7)*VLOOKUP($B$14,'Annual Parameters'!$B$32:$D$103,3,)/VLOOKUP(GHG!$B$14,'Annual Parameters'!$B$32:$D$103,3,))</f>
        <v>289.98373999999995</v>
      </c>
      <c r="F80" s="736">
        <f>IF(ISERROR(MATCH($B80,GHG!$B$27:$B$119,0)),"",VLOOKUP($B80,GHG!$B$27:$I$119,8)*VLOOKUP($B$14,'Annual Parameters'!$B$32:$D$103,3,)/VLOOKUP(GHG!$B$14,'Annual Parameters'!$B$32:$D$103,3,))</f>
        <v>456.81173499999994</v>
      </c>
    </row>
    <row r="81" spans="1:6" ht="13.5" customHeight="1">
      <c r="A81" s="623"/>
      <c r="B81" s="1383">
        <f t="shared" si="0"/>
        <v>2066</v>
      </c>
      <c r="C81" s="624"/>
      <c r="D81" s="735">
        <f>IF(ISERROR(MATCH($B81,GHG!$B$27:$B$119,0)),"",VLOOKUP($B81,GHG!$B$27:$I$119,6)*VLOOKUP($B$14,'Annual Parameters'!$B$32:$D$103,3,)/VLOOKUP(GHG!$B$14,'Annual Parameters'!$B$32:$D$103,3,))</f>
        <v>123.15574499999998</v>
      </c>
      <c r="E81" s="735">
        <f>IF(ISERROR(MATCH($B81,GHG!$B$27:$B$119,0)),"",VLOOKUP($B81,GHG!$B$27:$I$119,7)*VLOOKUP($B$14,'Annual Parameters'!$B$32:$D$103,3,)/VLOOKUP(GHG!$B$14,'Annual Parameters'!$B$32:$D$103,3,))</f>
        <v>293.47751999999997</v>
      </c>
      <c r="F81" s="736">
        <f>IF(ISERROR(MATCH($B81,GHG!$B$27:$B$119,0)),"",VLOOKUP($B81,GHG!$B$27:$I$119,8)*VLOOKUP($B$14,'Annual Parameters'!$B$32:$D$103,3,)/VLOOKUP(GHG!$B$14,'Annual Parameters'!$B$32:$D$103,3,))</f>
        <v>463.79929499999997</v>
      </c>
    </row>
    <row r="82" spans="1:6" ht="13.5" customHeight="1">
      <c r="A82" s="623"/>
      <c r="B82" s="1383">
        <f t="shared" si="0"/>
        <v>2067</v>
      </c>
      <c r="C82" s="624"/>
      <c r="D82" s="735">
        <f>IF(ISERROR(MATCH($B82,GHG!$B$27:$B$119,0)),"",VLOOKUP($B82,GHG!$B$27:$I$119,6)*VLOOKUP($B$14,'Annual Parameters'!$B$32:$D$103,3,)/VLOOKUP(GHG!$B$14,'Annual Parameters'!$B$32:$D$103,3,))</f>
        <v>123.15574499999998</v>
      </c>
      <c r="E82" s="735">
        <f>IF(ISERROR(MATCH($B82,GHG!$B$27:$B$119,0)),"",VLOOKUP($B82,GHG!$B$27:$I$119,7)*VLOOKUP($B$14,'Annual Parameters'!$B$32:$D$103,3,)/VLOOKUP(GHG!$B$14,'Annual Parameters'!$B$32:$D$103,3,))</f>
        <v>296.97129999999999</v>
      </c>
      <c r="F82" s="736">
        <f>IF(ISERROR(MATCH($B82,GHG!$B$27:$B$119,0)),"",VLOOKUP($B82,GHG!$B$27:$I$119,8)*VLOOKUP($B$14,'Annual Parameters'!$B$32:$D$103,3,)/VLOOKUP(GHG!$B$14,'Annual Parameters'!$B$32:$D$103,3,))</f>
        <v>469.91340999999994</v>
      </c>
    </row>
    <row r="83" spans="1:6" ht="13.5" customHeight="1">
      <c r="A83" s="623"/>
      <c r="B83" s="1383">
        <f t="shared" si="0"/>
        <v>2068</v>
      </c>
      <c r="C83" s="624"/>
      <c r="D83" s="735">
        <f>IF(ISERROR(MATCH($B83,GHG!$B$27:$B$119,0)),"",VLOOKUP($B83,GHG!$B$27:$I$119,6)*VLOOKUP($B$14,'Annual Parameters'!$B$32:$D$103,3,)/VLOOKUP(GHG!$B$14,'Annual Parameters'!$B$32:$D$103,3,))</f>
        <v>122.28229999999999</v>
      </c>
      <c r="E83" s="735">
        <f>IF(ISERROR(MATCH($B83,GHG!$B$27:$B$119,0)),"",VLOOKUP($B83,GHG!$B$27:$I$119,7)*VLOOKUP($B$14,'Annual Parameters'!$B$32:$D$103,3,)/VLOOKUP(GHG!$B$14,'Annual Parameters'!$B$32:$D$103,3,))</f>
        <v>299.591635</v>
      </c>
      <c r="F83" s="736">
        <f>IF(ISERROR(MATCH($B83,GHG!$B$27:$B$119,0)),"",VLOOKUP($B83,GHG!$B$27:$I$119,8)*VLOOKUP($B$14,'Annual Parameters'!$B$32:$D$103,3,)/VLOOKUP(GHG!$B$14,'Annual Parameters'!$B$32:$D$103,3,))</f>
        <v>476.02752499999997</v>
      </c>
    </row>
    <row r="84" spans="1:6" ht="13.5" customHeight="1">
      <c r="A84" s="623"/>
      <c r="B84" s="1383">
        <f t="shared" si="0"/>
        <v>2069</v>
      </c>
      <c r="C84" s="624"/>
      <c r="D84" s="735">
        <f>IF(ISERROR(MATCH($B84,GHG!$B$27:$B$119,0)),"",VLOOKUP($B84,GHG!$B$27:$I$119,6)*VLOOKUP($B$14,'Annual Parameters'!$B$32:$D$103,3,)/VLOOKUP(GHG!$B$14,'Annual Parameters'!$B$32:$D$103,3,))</f>
        <v>122.28229999999999</v>
      </c>
      <c r="E84" s="735">
        <f>IF(ISERROR(MATCH($B84,GHG!$B$27:$B$119,0)),"",VLOOKUP($B84,GHG!$B$27:$I$119,7)*VLOOKUP($B$14,'Annual Parameters'!$B$32:$D$103,3,)/VLOOKUP(GHG!$B$14,'Annual Parameters'!$B$32:$D$103,3,))</f>
        <v>301.33852499999995</v>
      </c>
      <c r="F84" s="736">
        <f>IF(ISERROR(MATCH($B84,GHG!$B$27:$B$119,0)),"",VLOOKUP($B84,GHG!$B$27:$I$119,8)*VLOOKUP($B$14,'Annual Parameters'!$B$32:$D$103,3,)/VLOOKUP(GHG!$B$14,'Annual Parameters'!$B$32:$D$103,3,))</f>
        <v>481.26819499999993</v>
      </c>
    </row>
    <row r="85" spans="1:6" ht="13.5" customHeight="1">
      <c r="A85" s="623"/>
      <c r="B85" s="1383">
        <f t="shared" si="0"/>
        <v>2070</v>
      </c>
      <c r="C85" s="624"/>
      <c r="D85" s="735">
        <f>IF(ISERROR(MATCH($B85,GHG!$B$27:$B$119,0)),"",VLOOKUP($B85,GHG!$B$27:$I$119,6)*VLOOKUP($B$14,'Annual Parameters'!$B$32:$D$103,3,)/VLOOKUP(GHG!$B$14,'Annual Parameters'!$B$32:$D$103,3,))</f>
        <v>121.40885499999999</v>
      </c>
      <c r="E85" s="735">
        <f>IF(ISERROR(MATCH($B85,GHG!$B$27:$B$119,0)),"",VLOOKUP($B85,GHG!$B$27:$I$119,7)*VLOOKUP($B$14,'Annual Parameters'!$B$32:$D$103,3,)/VLOOKUP(GHG!$B$14,'Annual Parameters'!$B$32:$D$103,3,))</f>
        <v>303.95885999999996</v>
      </c>
      <c r="F85" s="736">
        <f>IF(ISERROR(MATCH($B85,GHG!$B$27:$B$119,0)),"",VLOOKUP($B85,GHG!$B$27:$I$119,8)*VLOOKUP($B$14,'Annual Parameters'!$B$32:$D$103,3,)/VLOOKUP(GHG!$B$14,'Annual Parameters'!$B$32:$D$103,3,))</f>
        <v>485.63541999999995</v>
      </c>
    </row>
    <row r="86" spans="1:6" ht="13.5" customHeight="1">
      <c r="A86" s="623"/>
      <c r="B86" s="1383">
        <f t="shared" si="0"/>
        <v>2071</v>
      </c>
      <c r="C86" s="624"/>
      <c r="D86" s="735">
        <f>IF(ISERROR(MATCH($B86,GHG!$B$27:$B$119,0)),"",VLOOKUP($B86,GHG!$B$27:$I$119,6)*VLOOKUP($B$14,'Annual Parameters'!$B$32:$D$103,3,)/VLOOKUP(GHG!$B$14,'Annual Parameters'!$B$32:$D$103,3,))</f>
        <v>120.53540999999998</v>
      </c>
      <c r="E86" s="735">
        <f>IF(ISERROR(MATCH($B86,GHG!$B$27:$B$119,0)),"",VLOOKUP($B86,GHG!$B$27:$I$119,7)*VLOOKUP($B$14,'Annual Parameters'!$B$32:$D$103,3,)/VLOOKUP(GHG!$B$14,'Annual Parameters'!$B$32:$D$103,3,))</f>
        <v>305.70574999999997</v>
      </c>
      <c r="F86" s="736">
        <f>IF(ISERROR(MATCH($B86,GHG!$B$27:$B$119,0)),"",VLOOKUP($B86,GHG!$B$27:$I$119,8)*VLOOKUP($B$14,'Annual Parameters'!$B$32:$D$103,3,)/VLOOKUP(GHG!$B$14,'Annual Parameters'!$B$32:$D$103,3,))</f>
        <v>490.00264499999997</v>
      </c>
    </row>
    <row r="87" spans="1:6" ht="13.5" customHeight="1">
      <c r="A87" s="623"/>
      <c r="B87" s="1383">
        <f t="shared" si="0"/>
        <v>2072</v>
      </c>
      <c r="C87" s="624"/>
      <c r="D87" s="735">
        <f>IF(ISERROR(MATCH($B87,GHG!$B$27:$B$119,0)),"",VLOOKUP($B87,GHG!$B$27:$I$119,6)*VLOOKUP($B$14,'Annual Parameters'!$B$32:$D$103,3,)/VLOOKUP(GHG!$B$14,'Annual Parameters'!$B$32:$D$103,3,))</f>
        <v>119.661965</v>
      </c>
      <c r="E87" s="735">
        <f>IF(ISERROR(MATCH($B87,GHG!$B$27:$B$119,0)),"",VLOOKUP($B87,GHG!$B$27:$I$119,7)*VLOOKUP($B$14,'Annual Parameters'!$B$32:$D$103,3,)/VLOOKUP(GHG!$B$14,'Annual Parameters'!$B$32:$D$103,3,))</f>
        <v>307.45263999999997</v>
      </c>
      <c r="F87" s="736">
        <f>IF(ISERROR(MATCH($B87,GHG!$B$27:$B$119,0)),"",VLOOKUP($B87,GHG!$B$27:$I$119,8)*VLOOKUP($B$14,'Annual Parameters'!$B$32:$D$103,3,)/VLOOKUP(GHG!$B$14,'Annual Parameters'!$B$32:$D$103,3,))</f>
        <v>494.36986999999993</v>
      </c>
    </row>
    <row r="88" spans="1:6" ht="13.5" customHeight="1">
      <c r="A88" s="623"/>
      <c r="B88" s="1383">
        <f t="shared" si="0"/>
        <v>2073</v>
      </c>
      <c r="C88" s="624"/>
      <c r="D88" s="735">
        <f>IF(ISERROR(MATCH($B88,GHG!$B$27:$B$119,0)),"",VLOOKUP($B88,GHG!$B$27:$I$119,6)*VLOOKUP($B$14,'Annual Parameters'!$B$32:$D$103,3,)/VLOOKUP(GHG!$B$14,'Annual Parameters'!$B$32:$D$103,3,))</f>
        <v>118.78851999999999</v>
      </c>
      <c r="E88" s="735">
        <f>IF(ISERROR(MATCH($B88,GHG!$B$27:$B$119,0)),"",VLOOKUP($B88,GHG!$B$27:$I$119,7)*VLOOKUP($B$14,'Annual Parameters'!$B$32:$D$103,3,)/VLOOKUP(GHG!$B$14,'Annual Parameters'!$B$32:$D$103,3,))</f>
        <v>308.32608499999998</v>
      </c>
      <c r="F88" s="736">
        <f>IF(ISERROR(MATCH($B88,GHG!$B$27:$B$119,0)),"",VLOOKUP($B88,GHG!$B$27:$I$119,8)*VLOOKUP($B$14,'Annual Parameters'!$B$32:$D$103,3,)/VLOOKUP(GHG!$B$14,'Annual Parameters'!$B$32:$D$103,3,))</f>
        <v>497.86364999999995</v>
      </c>
    </row>
    <row r="89" spans="1:6" ht="13.5" customHeight="1">
      <c r="A89" s="623"/>
      <c r="B89" s="1383">
        <f t="shared" si="0"/>
        <v>2074</v>
      </c>
      <c r="C89" s="624"/>
      <c r="D89" s="735">
        <f>IF(ISERROR(MATCH($B89,GHG!$B$27:$B$119,0)),"",VLOOKUP($B89,GHG!$B$27:$I$119,6)*VLOOKUP($B$14,'Annual Parameters'!$B$32:$D$103,3,)/VLOOKUP(GHG!$B$14,'Annual Parameters'!$B$32:$D$103,3,))</f>
        <v>117.91507499999999</v>
      </c>
      <c r="E89" s="735">
        <f>IF(ISERROR(MATCH($B89,GHG!$B$27:$B$119,0)),"",VLOOKUP($B89,GHG!$B$27:$I$119,7)*VLOOKUP($B$14,'Annual Parameters'!$B$32:$D$103,3,)/VLOOKUP(GHG!$B$14,'Annual Parameters'!$B$32:$D$103,3,))</f>
        <v>309.19952999999998</v>
      </c>
      <c r="F89" s="736">
        <f>IF(ISERROR(MATCH($B89,GHG!$B$27:$B$119,0)),"",VLOOKUP($B89,GHG!$B$27:$I$119,8)*VLOOKUP($B$14,'Annual Parameters'!$B$32:$D$103,3,)/VLOOKUP(GHG!$B$14,'Annual Parameters'!$B$32:$D$103,3,))</f>
        <v>501.35742999999997</v>
      </c>
    </row>
    <row r="90" spans="1:6" ht="13.5" customHeight="1">
      <c r="A90" s="623"/>
      <c r="B90" s="1383">
        <f t="shared" si="0"/>
        <v>2075</v>
      </c>
      <c r="C90" s="624"/>
      <c r="D90" s="735">
        <f>IF(ISERROR(MATCH($B90,GHG!$B$27:$B$119,0)),"",VLOOKUP($B90,GHG!$B$27:$I$119,6)*VLOOKUP($B$14,'Annual Parameters'!$B$32:$D$103,3,)/VLOOKUP(GHG!$B$14,'Annual Parameters'!$B$32:$D$103,3,))</f>
        <v>116.16818499999999</v>
      </c>
      <c r="E90" s="735">
        <f>IF(ISERROR(MATCH($B90,GHG!$B$27:$B$119,0)),"",VLOOKUP($B90,GHG!$B$27:$I$119,7)*VLOOKUP($B$14,'Annual Parameters'!$B$32:$D$103,3,)/VLOOKUP(GHG!$B$14,'Annual Parameters'!$B$32:$D$103,3,))</f>
        <v>310.07297499999999</v>
      </c>
      <c r="F90" s="736">
        <f>IF(ISERROR(MATCH($B90,GHG!$B$27:$B$119,0)),"",VLOOKUP($B90,GHG!$B$27:$I$119,8)*VLOOKUP($B$14,'Annual Parameters'!$B$32:$D$103,3,)/VLOOKUP(GHG!$B$14,'Annual Parameters'!$B$32:$D$103,3,))</f>
        <v>503.97776499999998</v>
      </c>
    </row>
    <row r="91" spans="1:6" ht="13.5" customHeight="1">
      <c r="A91" s="623"/>
      <c r="B91" s="1383">
        <f t="shared" ref="B91:B115" si="1">B90+1</f>
        <v>2076</v>
      </c>
      <c r="C91" s="624"/>
      <c r="D91" s="735">
        <f>IF(ISERROR(MATCH($B91,GHG!$B$27:$B$119,0)),"",VLOOKUP($B91,GHG!$B$27:$I$119,6)*VLOOKUP($B$14,'Annual Parameters'!$B$32:$D$103,3,)/VLOOKUP(GHG!$B$14,'Annual Parameters'!$B$32:$D$103,3,))</f>
        <v>114.42129499999999</v>
      </c>
      <c r="E91" s="735">
        <f>IF(ISERROR(MATCH($B91,GHG!$B$27:$B$119,0)),"",VLOOKUP($B91,GHG!$B$27:$I$119,7)*VLOOKUP($B$14,'Annual Parameters'!$B$32:$D$103,3,)/VLOOKUP(GHG!$B$14,'Annual Parameters'!$B$32:$D$103,3,))</f>
        <v>310.07297499999999</v>
      </c>
      <c r="F91" s="736">
        <f>IF(ISERROR(MATCH($B91,GHG!$B$27:$B$119,0)),"",VLOOKUP($B91,GHG!$B$27:$I$119,8)*VLOOKUP($B$14,'Annual Parameters'!$B$32:$D$103,3,)/VLOOKUP(GHG!$B$14,'Annual Parameters'!$B$32:$D$103,3,))</f>
        <v>505.72465499999993</v>
      </c>
    </row>
    <row r="92" spans="1:6" ht="13.5" customHeight="1">
      <c r="A92" s="623"/>
      <c r="B92" s="1383">
        <f t="shared" si="1"/>
        <v>2077</v>
      </c>
      <c r="C92" s="624"/>
      <c r="D92" s="735">
        <f>IF(ISERROR(MATCH($B92,GHG!$B$27:$B$119,0)),"",VLOOKUP($B92,GHG!$B$27:$I$119,6)*VLOOKUP($B$14,'Annual Parameters'!$B$32:$D$103,3,)/VLOOKUP(GHG!$B$14,'Annual Parameters'!$B$32:$D$103,3,))</f>
        <v>113.54784999999998</v>
      </c>
      <c r="E92" s="735">
        <f>IF(ISERROR(MATCH($B92,GHG!$B$27:$B$119,0)),"",VLOOKUP($B92,GHG!$B$27:$I$119,7)*VLOOKUP($B$14,'Annual Parameters'!$B$32:$D$103,3,)/VLOOKUP(GHG!$B$14,'Annual Parameters'!$B$32:$D$103,3,))</f>
        <v>310.07297499999999</v>
      </c>
      <c r="F92" s="736">
        <f>IF(ISERROR(MATCH($B92,GHG!$B$27:$B$119,0)),"",VLOOKUP($B92,GHG!$B$27:$I$119,8)*VLOOKUP($B$14,'Annual Parameters'!$B$32:$D$103,3,)/VLOOKUP(GHG!$B$14,'Annual Parameters'!$B$32:$D$103,3,))</f>
        <v>507.47154499999994</v>
      </c>
    </row>
    <row r="93" spans="1:6" ht="13.5" customHeight="1">
      <c r="A93" s="623"/>
      <c r="B93" s="1383">
        <f t="shared" si="1"/>
        <v>2078</v>
      </c>
      <c r="C93" s="624"/>
      <c r="D93" s="735">
        <f>IF(ISERROR(MATCH($B93,GHG!$B$27:$B$119,0)),"",VLOOKUP($B93,GHG!$B$27:$I$119,6)*VLOOKUP($B$14,'Annual Parameters'!$B$32:$D$103,3,)/VLOOKUP(GHG!$B$14,'Annual Parameters'!$B$32:$D$103,3,))</f>
        <v>111.80095999999999</v>
      </c>
      <c r="E93" s="735">
        <f>IF(ISERROR(MATCH($B93,GHG!$B$27:$B$119,0)),"",VLOOKUP($B93,GHG!$B$27:$I$119,7)*VLOOKUP($B$14,'Annual Parameters'!$B$32:$D$103,3,)/VLOOKUP(GHG!$B$14,'Annual Parameters'!$B$32:$D$103,3,))</f>
        <v>310.07297499999999</v>
      </c>
      <c r="F93" s="736">
        <f>IF(ISERROR(MATCH($B93,GHG!$B$27:$B$119,0)),"",VLOOKUP($B93,GHG!$B$27:$I$119,8)*VLOOKUP($B$14,'Annual Parameters'!$B$32:$D$103,3,)/VLOOKUP(GHG!$B$14,'Annual Parameters'!$B$32:$D$103,3,))</f>
        <v>508.34498999999994</v>
      </c>
    </row>
    <row r="94" spans="1:6" ht="13.5" customHeight="1">
      <c r="A94" s="623"/>
      <c r="B94" s="1383">
        <f t="shared" si="1"/>
        <v>2079</v>
      </c>
      <c r="C94" s="624"/>
      <c r="D94" s="735">
        <f>IF(ISERROR(MATCH($B94,GHG!$B$27:$B$119,0)),"",VLOOKUP($B94,GHG!$B$27:$I$119,6)*VLOOKUP($B$14,'Annual Parameters'!$B$32:$D$103,3,)/VLOOKUP(GHG!$B$14,'Annual Parameters'!$B$32:$D$103,3,))</f>
        <v>110.05407</v>
      </c>
      <c r="E94" s="735">
        <f>IF(ISERROR(MATCH($B94,GHG!$B$27:$B$119,0)),"",VLOOKUP($B94,GHG!$B$27:$I$119,7)*VLOOKUP($B$14,'Annual Parameters'!$B$32:$D$103,3,)/VLOOKUP(GHG!$B$14,'Annual Parameters'!$B$32:$D$103,3,))</f>
        <v>309.19952999999998</v>
      </c>
      <c r="F94" s="736">
        <f>IF(ISERROR(MATCH($B94,GHG!$B$27:$B$119,0)),"",VLOOKUP($B94,GHG!$B$27:$I$119,8)*VLOOKUP($B$14,'Annual Parameters'!$B$32:$D$103,3,)/VLOOKUP(GHG!$B$14,'Annual Parameters'!$B$32:$D$103,3,))</f>
        <v>509.21843499999994</v>
      </c>
    </row>
    <row r="95" spans="1:6" ht="13.5" customHeight="1">
      <c r="A95" s="623"/>
      <c r="B95" s="1383">
        <f t="shared" si="1"/>
        <v>2080</v>
      </c>
      <c r="C95" s="624"/>
      <c r="D95" s="735">
        <f>IF(ISERROR(MATCH($B95,GHG!$B$27:$B$119,0)),"",VLOOKUP($B95,GHG!$B$27:$I$119,6)*VLOOKUP($B$14,'Annual Parameters'!$B$32:$D$103,3,)/VLOOKUP(GHG!$B$14,'Annual Parameters'!$B$32:$D$103,3,))</f>
        <v>108.30717999999999</v>
      </c>
      <c r="E95" s="735">
        <f>IF(ISERROR(MATCH($B95,GHG!$B$27:$B$119,0)),"",VLOOKUP($B95,GHG!$B$27:$I$119,7)*VLOOKUP($B$14,'Annual Parameters'!$B$32:$D$103,3,)/VLOOKUP(GHG!$B$14,'Annual Parameters'!$B$32:$D$103,3,))</f>
        <v>308.32608499999998</v>
      </c>
      <c r="F95" s="736">
        <f>IF(ISERROR(MATCH($B95,GHG!$B$27:$B$119,0)),"",VLOOKUP($B95,GHG!$B$27:$I$119,8)*VLOOKUP($B$14,'Annual Parameters'!$B$32:$D$103,3,)/VLOOKUP(GHG!$B$14,'Annual Parameters'!$B$32:$D$103,3,))</f>
        <v>508.34498999999994</v>
      </c>
    </row>
    <row r="96" spans="1:6" ht="13.5" customHeight="1">
      <c r="A96" s="623"/>
      <c r="B96" s="1383">
        <f t="shared" si="1"/>
        <v>2081</v>
      </c>
      <c r="C96" s="624"/>
      <c r="D96" s="735">
        <f>IF(ISERROR(MATCH($B96,GHG!$B$27:$B$119,0)),"",VLOOKUP($B96,GHG!$B$27:$I$119,6)*VLOOKUP($B$14,'Annual Parameters'!$B$32:$D$103,3,)/VLOOKUP(GHG!$B$14,'Annual Parameters'!$B$32:$D$103,3,))</f>
        <v>106.56028999999999</v>
      </c>
      <c r="E96" s="735">
        <f>IF(ISERROR(MATCH($B96,GHG!$B$27:$B$119,0)),"",VLOOKUP($B96,GHG!$B$27:$I$119,7)*VLOOKUP($B$14,'Annual Parameters'!$B$32:$D$103,3,)/VLOOKUP(GHG!$B$14,'Annual Parameters'!$B$32:$D$103,3,))</f>
        <v>308.32608499999998</v>
      </c>
      <c r="F96" s="736">
        <f>IF(ISERROR(MATCH($B96,GHG!$B$27:$B$119,0)),"",VLOOKUP($B96,GHG!$B$27:$I$119,8)*VLOOKUP($B$14,'Annual Parameters'!$B$32:$D$103,3,)/VLOOKUP(GHG!$B$14,'Annual Parameters'!$B$32:$D$103,3,))</f>
        <v>510.09187999999995</v>
      </c>
    </row>
    <row r="97" spans="1:10" ht="13.5" customHeight="1">
      <c r="A97" s="623"/>
      <c r="B97" s="1383">
        <f t="shared" si="1"/>
        <v>2082</v>
      </c>
      <c r="C97" s="624"/>
      <c r="D97" s="735">
        <f>IF(ISERROR(MATCH($B97,GHG!$B$27:$B$119,0)),"",VLOOKUP($B97,GHG!$B$27:$I$119,6)*VLOOKUP($B$14,'Annual Parameters'!$B$32:$D$103,3,)/VLOOKUP(GHG!$B$14,'Annual Parameters'!$B$32:$D$103,3,))</f>
        <v>104.81339999999999</v>
      </c>
      <c r="E97" s="735">
        <f>IF(ISERROR(MATCH($B97,GHG!$B$27:$B$119,0)),"",VLOOKUP($B97,GHG!$B$27:$I$119,7)*VLOOKUP($B$14,'Annual Parameters'!$B$32:$D$103,3,)/VLOOKUP(GHG!$B$14,'Annual Parameters'!$B$32:$D$103,3,))</f>
        <v>307.45263999999997</v>
      </c>
      <c r="F97" s="736">
        <f>IF(ISERROR(MATCH($B97,GHG!$B$27:$B$119,0)),"",VLOOKUP($B97,GHG!$B$27:$I$119,8)*VLOOKUP($B$14,'Annual Parameters'!$B$32:$D$103,3,)/VLOOKUP(GHG!$B$14,'Annual Parameters'!$B$32:$D$103,3,))</f>
        <v>510.09187999999995</v>
      </c>
    </row>
    <row r="98" spans="1:10" ht="13.5" customHeight="1">
      <c r="A98" s="623"/>
      <c r="B98" s="1383">
        <f t="shared" si="1"/>
        <v>2083</v>
      </c>
      <c r="C98" s="624"/>
      <c r="D98" s="735">
        <f>IF(ISERROR(MATCH($B98,GHG!$B$27:$B$119,0)),"",VLOOKUP($B98,GHG!$B$27:$I$119,6)*VLOOKUP($B$14,'Annual Parameters'!$B$32:$D$103,3,)/VLOOKUP(GHG!$B$14,'Annual Parameters'!$B$32:$D$103,3,))</f>
        <v>103.06650999999999</v>
      </c>
      <c r="E98" s="735">
        <f>IF(ISERROR(MATCH($B98,GHG!$B$27:$B$119,0)),"",VLOOKUP($B98,GHG!$B$27:$I$119,7)*VLOOKUP($B$14,'Annual Parameters'!$B$32:$D$103,3,)/VLOOKUP(GHG!$B$14,'Annual Parameters'!$B$32:$D$103,3,))</f>
        <v>306.57919499999997</v>
      </c>
      <c r="F98" s="736">
        <f>IF(ISERROR(MATCH($B98,GHG!$B$27:$B$119,0)),"",VLOOKUP($B98,GHG!$B$27:$I$119,8)*VLOOKUP($B$14,'Annual Parameters'!$B$32:$D$103,3,)/VLOOKUP(GHG!$B$14,'Annual Parameters'!$B$32:$D$103,3,))</f>
        <v>510.09187999999995</v>
      </c>
    </row>
    <row r="99" spans="1:10" ht="13.5" customHeight="1">
      <c r="A99" s="623"/>
      <c r="B99" s="1383">
        <f t="shared" si="1"/>
        <v>2084</v>
      </c>
      <c r="C99" s="624"/>
      <c r="D99" s="735">
        <f>IF(ISERROR(MATCH($B99,GHG!$B$27:$B$119,0)),"",VLOOKUP($B99,GHG!$B$27:$I$119,6)*VLOOKUP($B$14,'Annual Parameters'!$B$32:$D$103,3,)/VLOOKUP(GHG!$B$14,'Annual Parameters'!$B$32:$D$103,3,))</f>
        <v>100.446175</v>
      </c>
      <c r="E99" s="735">
        <f>IF(ISERROR(MATCH($B99,GHG!$B$27:$B$119,0)),"",VLOOKUP($B99,GHG!$B$27:$I$119,7)*VLOOKUP($B$14,'Annual Parameters'!$B$32:$D$103,3,)/VLOOKUP(GHG!$B$14,'Annual Parameters'!$B$32:$D$103,3,))</f>
        <v>305.70574999999997</v>
      </c>
      <c r="F99" s="736">
        <f>IF(ISERROR(MATCH($B99,GHG!$B$27:$B$119,0)),"",VLOOKUP($B99,GHG!$B$27:$I$119,8)*VLOOKUP($B$14,'Annual Parameters'!$B$32:$D$103,3,)/VLOOKUP(GHG!$B$14,'Annual Parameters'!$B$32:$D$103,3,))</f>
        <v>510.09187999999995</v>
      </c>
    </row>
    <row r="100" spans="1:10" ht="13.5" customHeight="1">
      <c r="A100" s="623"/>
      <c r="B100" s="1383">
        <f t="shared" si="1"/>
        <v>2085</v>
      </c>
      <c r="C100" s="624"/>
      <c r="D100" s="735">
        <f>IF(ISERROR(MATCH($B100,GHG!$B$27:$B$119,0)),"",VLOOKUP($B100,GHG!$B$27:$I$119,6)*VLOOKUP($B$14,'Annual Parameters'!$B$32:$D$103,3,)/VLOOKUP(GHG!$B$14,'Annual Parameters'!$B$32:$D$103,3,))</f>
        <v>98.699284999999989</v>
      </c>
      <c r="E100" s="735">
        <f>IF(ISERROR(MATCH($B100,GHG!$B$27:$B$119,0)),"",VLOOKUP($B100,GHG!$B$27:$I$119,7)*VLOOKUP($B$14,'Annual Parameters'!$B$32:$D$103,3,)/VLOOKUP(GHG!$B$14,'Annual Parameters'!$B$32:$D$103,3,))</f>
        <v>304.83230499999996</v>
      </c>
      <c r="F100" s="736">
        <f>IF(ISERROR(MATCH($B100,GHG!$B$27:$B$119,0)),"",VLOOKUP($B100,GHG!$B$27:$I$119,8)*VLOOKUP($B$14,'Annual Parameters'!$B$32:$D$103,3,)/VLOOKUP(GHG!$B$14,'Annual Parameters'!$B$32:$D$103,3,))</f>
        <v>510.09187999999995</v>
      </c>
    </row>
    <row r="101" spans="1:10" ht="13.5" customHeight="1">
      <c r="A101" s="623"/>
      <c r="B101" s="1383">
        <f t="shared" si="1"/>
        <v>2086</v>
      </c>
      <c r="C101" s="624"/>
      <c r="D101" s="735">
        <f>IF(ISERROR(MATCH($B101,GHG!$B$27:$B$119,0)),"",VLOOKUP($B101,GHG!$B$27:$I$119,6)*VLOOKUP($B$14,'Annual Parameters'!$B$32:$D$103,3,)/VLOOKUP(GHG!$B$14,'Annual Parameters'!$B$32:$D$103,3,))</f>
        <v>96.952394999999996</v>
      </c>
      <c r="E101" s="735">
        <f>IF(ISERROR(MATCH($B101,GHG!$B$27:$B$119,0)),"",VLOOKUP($B101,GHG!$B$27:$I$119,7)*VLOOKUP($B$14,'Annual Parameters'!$B$32:$D$103,3,)/VLOOKUP(GHG!$B$14,'Annual Parameters'!$B$32:$D$103,3,))</f>
        <v>303.08541499999995</v>
      </c>
      <c r="F101" s="736">
        <f>IF(ISERROR(MATCH($B101,GHG!$B$27:$B$119,0)),"",VLOOKUP($B101,GHG!$B$27:$I$119,8)*VLOOKUP($B$14,'Annual Parameters'!$B$32:$D$103,3,)/VLOOKUP(GHG!$B$14,'Annual Parameters'!$B$32:$D$103,3,))</f>
        <v>508.34498999999994</v>
      </c>
    </row>
    <row r="102" spans="1:10" ht="13.5" customHeight="1">
      <c r="A102" s="623"/>
      <c r="B102" s="1383">
        <f t="shared" si="1"/>
        <v>2087</v>
      </c>
      <c r="C102" s="624"/>
      <c r="D102" s="735">
        <f>IF(ISERROR(MATCH($B102,GHG!$B$27:$B$119,0)),"",VLOOKUP($B102,GHG!$B$27:$I$119,6)*VLOOKUP($B$14,'Annual Parameters'!$B$32:$D$103,3,)/VLOOKUP(GHG!$B$14,'Annual Parameters'!$B$32:$D$103,3,))</f>
        <v>95.205504999999988</v>
      </c>
      <c r="E102" s="735">
        <f>IF(ISERROR(MATCH($B102,GHG!$B$27:$B$119,0)),"",VLOOKUP($B102,GHG!$B$27:$I$119,7)*VLOOKUP($B$14,'Annual Parameters'!$B$32:$D$103,3,)/VLOOKUP(GHG!$B$14,'Annual Parameters'!$B$32:$D$103,3,))</f>
        <v>301.33852499999995</v>
      </c>
      <c r="F102" s="736">
        <f>IF(ISERROR(MATCH($B102,GHG!$B$27:$B$119,0)),"",VLOOKUP($B102,GHG!$B$27:$I$119,8)*VLOOKUP($B$14,'Annual Parameters'!$B$32:$D$103,3,)/VLOOKUP(GHG!$B$14,'Annual Parameters'!$B$32:$D$103,3,))</f>
        <v>507.47154499999994</v>
      </c>
    </row>
    <row r="103" spans="1:10" ht="13.5" customHeight="1">
      <c r="A103" s="623"/>
      <c r="B103" s="1383">
        <f t="shared" si="1"/>
        <v>2088</v>
      </c>
      <c r="C103" s="624"/>
      <c r="D103" s="735">
        <f>IF(ISERROR(MATCH($B103,GHG!$B$27:$B$119,0)),"",VLOOKUP($B103,GHG!$B$27:$I$119,6)*VLOOKUP($B$14,'Annual Parameters'!$B$32:$D$103,3,)/VLOOKUP(GHG!$B$14,'Annual Parameters'!$B$32:$D$103,3,))</f>
        <v>92.585169999999991</v>
      </c>
      <c r="E103" s="735">
        <f>IF(ISERROR(MATCH($B103,GHG!$B$27:$B$119,0)),"",VLOOKUP($B103,GHG!$B$27:$I$119,7)*VLOOKUP($B$14,'Annual Parameters'!$B$32:$D$103,3,)/VLOOKUP(GHG!$B$14,'Annual Parameters'!$B$32:$D$103,3,))</f>
        <v>299.591635</v>
      </c>
      <c r="F103" s="736">
        <f>IF(ISERROR(MATCH($B103,GHG!$B$27:$B$119,0)),"",VLOOKUP($B103,GHG!$B$27:$I$119,8)*VLOOKUP($B$14,'Annual Parameters'!$B$32:$D$103,3,)/VLOOKUP(GHG!$B$14,'Annual Parameters'!$B$32:$D$103,3,))</f>
        <v>505.72465499999993</v>
      </c>
    </row>
    <row r="104" spans="1:10" ht="13.5" customHeight="1">
      <c r="A104" s="623"/>
      <c r="B104" s="1383">
        <f t="shared" si="1"/>
        <v>2089</v>
      </c>
      <c r="C104" s="624"/>
      <c r="D104" s="735">
        <f>IF(ISERROR(MATCH($B104,GHG!$B$27:$B$119,0)),"",VLOOKUP($B104,GHG!$B$27:$I$119,6)*VLOOKUP($B$14,'Annual Parameters'!$B$32:$D$103,3,)/VLOOKUP(GHG!$B$14,'Annual Parameters'!$B$32:$D$103,3,))</f>
        <v>90.838279999999997</v>
      </c>
      <c r="E104" s="735">
        <f>IF(ISERROR(MATCH($B104,GHG!$B$27:$B$119,0)),"",VLOOKUP($B104,GHG!$B$27:$I$119,7)*VLOOKUP($B$14,'Annual Parameters'!$B$32:$D$103,3,)/VLOOKUP(GHG!$B$14,'Annual Parameters'!$B$32:$D$103,3,))</f>
        <v>296.97129999999999</v>
      </c>
      <c r="F104" s="736">
        <f>IF(ISERROR(MATCH($B104,GHG!$B$27:$B$119,0)),"",VLOOKUP($B104,GHG!$B$27:$I$119,8)*VLOOKUP($B$14,'Annual Parameters'!$B$32:$D$103,3,)/VLOOKUP(GHG!$B$14,'Annual Parameters'!$B$32:$D$103,3,))</f>
        <v>503.10431999999997</v>
      </c>
    </row>
    <row r="105" spans="1:10" ht="13.5" customHeight="1">
      <c r="A105" s="623"/>
      <c r="B105" s="1383">
        <f t="shared" si="1"/>
        <v>2090</v>
      </c>
      <c r="C105" s="624"/>
      <c r="D105" s="735">
        <f>IF(ISERROR(MATCH($B105,GHG!$B$27:$B$119,0)),"",VLOOKUP($B105,GHG!$B$27:$I$119,6)*VLOOKUP($B$14,'Annual Parameters'!$B$32:$D$103,3,)/VLOOKUP(GHG!$B$14,'Annual Parameters'!$B$32:$D$103,3,))</f>
        <v>88.217944999999986</v>
      </c>
      <c r="E105" s="735">
        <f>IF(ISERROR(MATCH($B105,GHG!$B$27:$B$119,0)),"",VLOOKUP($B105,GHG!$B$27:$I$119,7)*VLOOKUP($B$14,'Annual Parameters'!$B$32:$D$103,3,)/VLOOKUP(GHG!$B$14,'Annual Parameters'!$B$32:$D$103,3,))</f>
        <v>295.22440999999998</v>
      </c>
      <c r="F105" s="736">
        <f>IF(ISERROR(MATCH($B105,GHG!$B$27:$B$119,0)),"",VLOOKUP($B105,GHG!$B$27:$I$119,8)*VLOOKUP($B$14,'Annual Parameters'!$B$32:$D$103,3,)/VLOOKUP(GHG!$B$14,'Annual Parameters'!$B$32:$D$103,3,))</f>
        <v>501.35742999999997</v>
      </c>
      <c r="G105" s="623"/>
      <c r="H105" s="609"/>
      <c r="I105" s="609"/>
      <c r="J105" s="609"/>
    </row>
    <row r="106" spans="1:10" ht="13.5" customHeight="1">
      <c r="A106" s="609"/>
      <c r="B106" s="1383">
        <f t="shared" si="1"/>
        <v>2091</v>
      </c>
      <c r="C106" s="624"/>
      <c r="D106" s="735">
        <f>IF(ISERROR(MATCH($B106,GHG!$B$27:$B$119,0)),"",VLOOKUP($B106,GHG!$B$27:$I$119,6)*VLOOKUP($B$14,'Annual Parameters'!$B$32:$D$103,3,)/VLOOKUP(GHG!$B$14,'Annual Parameters'!$B$32:$D$103,3,))</f>
        <v>86.471054999999993</v>
      </c>
      <c r="E106" s="735">
        <f>IF(ISERROR(MATCH($B106,GHG!$B$27:$B$119,0)),"",VLOOKUP($B106,GHG!$B$27:$I$119,7)*VLOOKUP($B$14,'Annual Parameters'!$B$32:$D$103,3,)/VLOOKUP(GHG!$B$14,'Annual Parameters'!$B$32:$D$103,3,))</f>
        <v>292.60407499999997</v>
      </c>
      <c r="F106" s="736">
        <f>IF(ISERROR(MATCH($B106,GHG!$B$27:$B$119,0)),"",VLOOKUP($B106,GHG!$B$27:$I$119,8)*VLOOKUP($B$14,'Annual Parameters'!$B$32:$D$103,3,)/VLOOKUP(GHG!$B$14,'Annual Parameters'!$B$32:$D$103,3,))</f>
        <v>499.61053999999996</v>
      </c>
      <c r="G106" s="609"/>
      <c r="H106" s="609"/>
      <c r="I106" s="609"/>
    </row>
    <row r="107" spans="1:10" ht="13.5" customHeight="1">
      <c r="B107" s="1383">
        <f t="shared" si="1"/>
        <v>2092</v>
      </c>
      <c r="C107" s="624"/>
      <c r="D107" s="735">
        <f>IF(ISERROR(MATCH($B107,GHG!$B$27:$B$119,0)),"",VLOOKUP($B107,GHG!$B$27:$I$119,6)*VLOOKUP($B$14,'Annual Parameters'!$B$32:$D$103,3,)/VLOOKUP(GHG!$B$14,'Annual Parameters'!$B$32:$D$103,3,))</f>
        <v>84.724164999999985</v>
      </c>
      <c r="E107" s="735">
        <f>IF(ISERROR(MATCH($B107,GHG!$B$27:$B$119,0)),"",VLOOKUP($B107,GHG!$B$27:$I$119,7)*VLOOKUP($B$14,'Annual Parameters'!$B$32:$D$103,3,)/VLOOKUP(GHG!$B$14,'Annual Parameters'!$B$32:$D$103,3,))</f>
        <v>290.85718499999996</v>
      </c>
      <c r="F107" s="736">
        <f>IF(ISERROR(MATCH($B107,GHG!$B$27:$B$119,0)),"",VLOOKUP($B107,GHG!$B$27:$I$119,8)*VLOOKUP($B$14,'Annual Parameters'!$B$32:$D$103,3,)/VLOOKUP(GHG!$B$14,'Annual Parameters'!$B$32:$D$103,3,))</f>
        <v>497.86364999999995</v>
      </c>
    </row>
    <row r="108" spans="1:10" ht="13.5" customHeight="1">
      <c r="B108" s="1383">
        <f t="shared" si="1"/>
        <v>2093</v>
      </c>
      <c r="C108" s="624"/>
      <c r="D108" s="735">
        <f>IF(ISERROR(MATCH($B108,GHG!$B$27:$B$119,0)),"",VLOOKUP($B108,GHG!$B$27:$I$119,6)*VLOOKUP($B$14,'Annual Parameters'!$B$32:$D$103,3,)/VLOOKUP(GHG!$B$14,'Annual Parameters'!$B$32:$D$103,3,))</f>
        <v>82.103829999999988</v>
      </c>
      <c r="E108" s="735">
        <f>IF(ISERROR(MATCH($B108,GHG!$B$27:$B$119,0)),"",VLOOKUP($B108,GHG!$B$27:$I$119,7)*VLOOKUP($B$14,'Annual Parameters'!$B$32:$D$103,3,)/VLOOKUP(GHG!$B$14,'Annual Parameters'!$B$32:$D$103,3,))</f>
        <v>289.11029499999995</v>
      </c>
      <c r="F108" s="736">
        <f>IF(ISERROR(MATCH($B108,GHG!$B$27:$B$119,0)),"",VLOOKUP($B108,GHG!$B$27:$I$119,8)*VLOOKUP($B$14,'Annual Parameters'!$B$32:$D$103,3,)/VLOOKUP(GHG!$B$14,'Annual Parameters'!$B$32:$D$103,3,))</f>
        <v>495.24331499999994</v>
      </c>
    </row>
    <row r="109" spans="1:10" ht="13.5" customHeight="1">
      <c r="B109" s="1383">
        <f t="shared" si="1"/>
        <v>2094</v>
      </c>
      <c r="C109" s="624"/>
      <c r="D109" s="735">
        <f>IF(ISERROR(MATCH($B109,GHG!$B$27:$B$119,0)),"",VLOOKUP($B109,GHG!$B$27:$I$119,6)*VLOOKUP($B$14,'Annual Parameters'!$B$32:$D$103,3,)/VLOOKUP(GHG!$B$14,'Annual Parameters'!$B$32:$D$103,3,))</f>
        <v>80.356939999999994</v>
      </c>
      <c r="E109" s="735">
        <f>IF(ISERROR(MATCH($B109,GHG!$B$27:$B$119,0)),"",VLOOKUP($B109,GHG!$B$27:$I$119,7)*VLOOKUP($B$14,'Annual Parameters'!$B$32:$D$103,3,)/VLOOKUP(GHG!$B$14,'Annual Parameters'!$B$32:$D$103,3,))</f>
        <v>286.48996</v>
      </c>
      <c r="F109" s="736">
        <f>IF(ISERROR(MATCH($B109,GHG!$B$27:$B$119,0)),"",VLOOKUP($B109,GHG!$B$27:$I$119,8)*VLOOKUP($B$14,'Annual Parameters'!$B$32:$D$103,3,)/VLOOKUP(GHG!$B$14,'Annual Parameters'!$B$32:$D$103,3,))</f>
        <v>492.62297999999993</v>
      </c>
    </row>
    <row r="110" spans="1:10" ht="13.5" customHeight="1">
      <c r="B110" s="1383">
        <f t="shared" si="1"/>
        <v>2095</v>
      </c>
      <c r="C110" s="624"/>
      <c r="D110" s="735">
        <f>IF(ISERROR(MATCH($B110,GHG!$B$27:$B$119,0)),"",VLOOKUP($B110,GHG!$B$27:$I$119,6)*VLOOKUP($B$14,'Annual Parameters'!$B$32:$D$103,3,)/VLOOKUP(GHG!$B$14,'Annual Parameters'!$B$32:$D$103,3,))</f>
        <v>77.736604999999997</v>
      </c>
      <c r="E110" s="735">
        <f>IF(ISERROR(MATCH($B110,GHG!$B$27:$B$119,0)),"",VLOOKUP($B110,GHG!$B$27:$I$119,7)*VLOOKUP($B$14,'Annual Parameters'!$B$32:$D$103,3,)/VLOOKUP(GHG!$B$14,'Annual Parameters'!$B$32:$D$103,3,))</f>
        <v>283.86962499999998</v>
      </c>
      <c r="F110" s="736">
        <f>IF(ISERROR(MATCH($B110,GHG!$B$27:$B$119,0)),"",VLOOKUP($B110,GHG!$B$27:$I$119,8)*VLOOKUP($B$14,'Annual Parameters'!$B$32:$D$103,3,)/VLOOKUP(GHG!$B$14,'Annual Parameters'!$B$32:$D$103,3,))</f>
        <v>490.00264499999997</v>
      </c>
    </row>
    <row r="111" spans="1:10" ht="13.5" customHeight="1">
      <c r="B111" s="1383">
        <f t="shared" si="1"/>
        <v>2096</v>
      </c>
      <c r="C111" s="624"/>
      <c r="D111" s="735">
        <f>IF(ISERROR(MATCH($B111,GHG!$B$27:$B$119,0)),"",VLOOKUP($B111,GHG!$B$27:$I$119,6)*VLOOKUP($B$14,'Annual Parameters'!$B$32:$D$103,3,)/VLOOKUP(GHG!$B$14,'Annual Parameters'!$B$32:$D$103,3,))</f>
        <v>75.98971499999999</v>
      </c>
      <c r="E111" s="735">
        <f>IF(ISERROR(MATCH($B111,GHG!$B$27:$B$119,0)),"",VLOOKUP($B111,GHG!$B$27:$I$119,7)*VLOOKUP($B$14,'Annual Parameters'!$B$32:$D$103,3,)/VLOOKUP(GHG!$B$14,'Annual Parameters'!$B$32:$D$103,3,))</f>
        <v>281.24928999999997</v>
      </c>
      <c r="F111" s="736">
        <f>IF(ISERROR(MATCH($B111,GHG!$B$27:$B$119,0)),"",VLOOKUP($B111,GHG!$B$27:$I$119,8)*VLOOKUP($B$14,'Annual Parameters'!$B$32:$D$103,3,)/VLOOKUP(GHG!$B$14,'Annual Parameters'!$B$32:$D$103,3,))</f>
        <v>486.50886499999996</v>
      </c>
    </row>
    <row r="112" spans="1:10" ht="13.5" customHeight="1">
      <c r="B112" s="1383">
        <f t="shared" si="1"/>
        <v>2097</v>
      </c>
      <c r="C112" s="624"/>
      <c r="D112" s="735">
        <f>IF(ISERROR(MATCH($B112,GHG!$B$27:$B$119,0)),"",VLOOKUP($B112,GHG!$B$27:$I$119,6)*VLOOKUP($B$14,'Annual Parameters'!$B$32:$D$103,3,)/VLOOKUP(GHG!$B$14,'Annual Parameters'!$B$32:$D$103,3,))</f>
        <v>74.242824999999996</v>
      </c>
      <c r="E112" s="735">
        <f>IF(ISERROR(MATCH($B112,GHG!$B$27:$B$119,0)),"",VLOOKUP($B112,GHG!$B$27:$I$119,7)*VLOOKUP($B$14,'Annual Parameters'!$B$32:$D$103,3,)/VLOOKUP(GHG!$B$14,'Annual Parameters'!$B$32:$D$103,3,))</f>
        <v>278.62895499999996</v>
      </c>
      <c r="F112" s="736">
        <f>IF(ISERROR(MATCH($B112,GHG!$B$27:$B$119,0)),"",VLOOKUP($B112,GHG!$B$27:$I$119,8)*VLOOKUP($B$14,'Annual Parameters'!$B$32:$D$103,3,)/VLOOKUP(GHG!$B$14,'Annual Parameters'!$B$32:$D$103,3,))</f>
        <v>483.88852999999995</v>
      </c>
    </row>
    <row r="113" spans="1:6" ht="13.5" customHeight="1">
      <c r="B113" s="1383">
        <f t="shared" si="1"/>
        <v>2098</v>
      </c>
      <c r="C113" s="624"/>
      <c r="D113" s="735">
        <f>IF(ISERROR(MATCH($B113,GHG!$B$27:$B$119,0)),"",VLOOKUP($B113,GHG!$B$27:$I$119,6)*VLOOKUP($B$14,'Annual Parameters'!$B$32:$D$103,3,)/VLOOKUP(GHG!$B$14,'Annual Parameters'!$B$32:$D$103,3,))</f>
        <v>71.622489999999999</v>
      </c>
      <c r="E113" s="735">
        <f>IF(ISERROR(MATCH($B113,GHG!$B$27:$B$119,0)),"",VLOOKUP($B113,GHG!$B$27:$I$119,7)*VLOOKUP($B$14,'Annual Parameters'!$B$32:$D$103,3,)/VLOOKUP(GHG!$B$14,'Annual Parameters'!$B$32:$D$103,3,))</f>
        <v>276.00861999999995</v>
      </c>
      <c r="F113" s="736">
        <f>IF(ISERROR(MATCH($B113,GHG!$B$27:$B$119,0)),"",VLOOKUP($B113,GHG!$B$27:$I$119,8)*VLOOKUP($B$14,'Annual Parameters'!$B$32:$D$103,3,)/VLOOKUP(GHG!$B$14,'Annual Parameters'!$B$32:$D$103,3,))</f>
        <v>479.52130499999993</v>
      </c>
    </row>
    <row r="114" spans="1:6" ht="13.5" customHeight="1">
      <c r="B114" s="1383">
        <f t="shared" si="1"/>
        <v>2099</v>
      </c>
      <c r="C114" s="624"/>
      <c r="D114" s="735">
        <f>IF(ISERROR(MATCH($B114,GHG!$B$27:$B$119,0)),"",VLOOKUP($B114,GHG!$B$27:$I$119,6)*VLOOKUP($B$14,'Annual Parameters'!$B$32:$D$103,3,)/VLOOKUP(GHG!$B$14,'Annual Parameters'!$B$32:$D$103,3,))</f>
        <v>69.875599999999991</v>
      </c>
      <c r="E114" s="735">
        <f>IF(ISERROR(MATCH($B114,GHG!$B$27:$B$119,0)),"",VLOOKUP($B114,GHG!$B$27:$I$119,7)*VLOOKUP($B$14,'Annual Parameters'!$B$32:$D$103,3,)/VLOOKUP(GHG!$B$14,'Annual Parameters'!$B$32:$D$103,3,))</f>
        <v>273.388285</v>
      </c>
      <c r="F114" s="736">
        <f>IF(ISERROR(MATCH($B114,GHG!$B$27:$B$119,0)),"",VLOOKUP($B114,GHG!$B$27:$I$119,8)*VLOOKUP($B$14,'Annual Parameters'!$B$32:$D$103,3,)/VLOOKUP(GHG!$B$14,'Annual Parameters'!$B$32:$D$103,3,))</f>
        <v>476.90096999999997</v>
      </c>
    </row>
    <row r="115" spans="1:6" ht="13.5" customHeight="1" thickBot="1">
      <c r="A115" s="627"/>
      <c r="B115" s="2871">
        <f t="shared" si="1"/>
        <v>2100</v>
      </c>
      <c r="C115" s="620"/>
      <c r="D115" s="2872">
        <f>IF(ISERROR(MATCH($B115,GHG!$B$27:$B$119,0)),"",VLOOKUP($B115,GHG!$B$27:$I$119,6)*VLOOKUP($B$14,'Annual Parameters'!$B$32:$D$103,3,)/VLOOKUP(GHG!$B$14,'Annual Parameters'!$B$32:$D$103,3,))</f>
        <v>67.255264999999994</v>
      </c>
      <c r="E115" s="2872">
        <f>IF(ISERROR(MATCH($B115,GHG!$B$27:$B$119,0)),"",VLOOKUP($B115,GHG!$B$27:$I$119,7)*VLOOKUP($B$14,'Annual Parameters'!$B$32:$D$103,3,)/VLOOKUP(GHG!$B$14,'Annual Parameters'!$B$32:$D$103,3,))</f>
        <v>269.89450499999998</v>
      </c>
      <c r="F115" s="2873">
        <f>IF(ISERROR(MATCH($B115,GHG!$B$27:$B$119,0)),"",VLOOKUP($B115,GHG!$B$27:$I$119,8)*VLOOKUP($B$14,'Annual Parameters'!$B$32:$D$103,3,)/VLOOKUP(GHG!$B$14,'Annual Parameters'!$B$32:$D$103,3,))</f>
        <v>472.53374499999995</v>
      </c>
    </row>
    <row r="116" spans="1:6" ht="13.5" customHeight="1" thickTop="1"/>
  </sheetData>
  <sheetProtection sheet="1" objects="1" scenarios="1"/>
  <mergeCells count="9">
    <mergeCell ref="A20:B20"/>
    <mergeCell ref="E6:S6"/>
    <mergeCell ref="A7:B7"/>
    <mergeCell ref="A8:B8"/>
    <mergeCell ref="A10:B10"/>
    <mergeCell ref="A11:B11"/>
    <mergeCell ref="A12:B12"/>
    <mergeCell ref="A18:B18"/>
    <mergeCell ref="A19:B19"/>
  </mergeCells>
  <phoneticPr fontId="8" type="noConversion"/>
  <hyperlinks>
    <hyperlink ref="A11" location="Contents!A1" display="Contents"/>
    <hyperlink ref="A11:B11" r:id="rId1" display="WebTAG Unit 3.3.5"/>
    <hyperlink ref="A10" location="Contents!A1" display="Contents"/>
    <hyperlink ref="A10:B10" location="Contents!A1" tooltip="Contents page" display="Contents"/>
    <hyperlink ref="A12:B12" r:id="rId2" tooltip="Unit A3  Environmental Impact Appraisal" display="WebTAG Unit A 3"/>
    <hyperlink ref="F7" r:id="rId3"/>
  </hyperlinks>
  <pageMargins left="0.75" right="0.75" top="1" bottom="1" header="0.5" footer="0.5"/>
  <pageSetup paperSize="9" scale="54" fitToHeight="2" orientation="landscape" r:id="rId4"/>
  <headerFooter alignWithMargins="0"/>
  <drawing r:id="rId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tabColor rgb="FF008000"/>
    <pageSetUpPr fitToPage="1"/>
  </sheetPr>
  <dimension ref="A1:Z115"/>
  <sheetViews>
    <sheetView showGridLines="0" zoomScale="70" zoomScaleNormal="70" workbookViewId="0">
      <selection activeCell="A7" sqref="A7:B7"/>
    </sheetView>
  </sheetViews>
  <sheetFormatPr defaultColWidth="12.88671875" defaultRowHeight="13.5" customHeight="1"/>
  <cols>
    <col min="1" max="1" width="14.6640625" style="599" customWidth="1"/>
    <col min="2" max="16384" width="12.88671875" style="599"/>
  </cols>
  <sheetData>
    <row r="1" spans="1:19" s="3456" customFormat="1" ht="54.9" customHeight="1">
      <c r="A1" s="28"/>
      <c r="B1" s="28"/>
    </row>
    <row r="2" spans="1:19" s="300" customFormat="1" ht="5.0999999999999996" customHeight="1"/>
    <row r="3" spans="1:19" s="300" customFormat="1" ht="20.100000000000001" customHeight="1">
      <c r="A3" s="300" t="s">
        <v>2483</v>
      </c>
      <c r="B3" s="485"/>
      <c r="C3" s="83"/>
      <c r="D3" s="46"/>
      <c r="E3" s="83"/>
      <c r="F3" s="445"/>
      <c r="G3" s="83"/>
      <c r="H3" s="444"/>
    </row>
    <row r="4" spans="1:19" s="3457" customFormat="1" ht="20.100000000000001" customHeight="1" thickBot="1">
      <c r="A4" s="529" t="s">
        <v>2484</v>
      </c>
      <c r="B4" s="447"/>
      <c r="C4" s="447"/>
      <c r="D4" s="446"/>
      <c r="E4" s="446"/>
      <c r="F4" s="446"/>
      <c r="G4" s="446"/>
      <c r="H4" s="448"/>
      <c r="I4" s="447"/>
      <c r="J4" s="602"/>
      <c r="K4" s="1216"/>
      <c r="L4" s="446"/>
      <c r="M4" s="446"/>
      <c r="N4" s="446"/>
      <c r="O4" s="446"/>
      <c r="P4" s="446"/>
      <c r="Q4" s="446"/>
      <c r="R4" s="446"/>
      <c r="S4" s="446"/>
    </row>
    <row r="5" spans="1:19" s="3456" customFormat="1" ht="9.9" customHeight="1" thickTop="1" thickBot="1">
      <c r="A5" s="35"/>
      <c r="B5" s="321"/>
      <c r="C5" s="321"/>
      <c r="D5" s="32"/>
      <c r="F5" s="165"/>
      <c r="I5" s="427"/>
    </row>
    <row r="6" spans="1:19" s="3456" customFormat="1" ht="13.5" customHeight="1" thickTop="1">
      <c r="A6" s="169" t="s">
        <v>10</v>
      </c>
      <c r="B6" s="169"/>
      <c r="D6" s="147"/>
      <c r="E6" s="3698" t="s">
        <v>255</v>
      </c>
      <c r="F6" s="3728"/>
      <c r="G6" s="3627"/>
      <c r="H6" s="3627"/>
      <c r="I6" s="3627"/>
      <c r="J6" s="3627"/>
      <c r="K6" s="3627"/>
      <c r="L6" s="3627"/>
      <c r="M6" s="3627"/>
      <c r="N6" s="3627"/>
      <c r="O6" s="3627"/>
      <c r="P6" s="3627"/>
      <c r="Q6" s="3627"/>
      <c r="R6" s="3627"/>
      <c r="S6" s="3729"/>
    </row>
    <row r="7" spans="1:19" s="3456" customFormat="1" ht="13.5" customHeight="1">
      <c r="A7" s="3644" t="str">
        <f>Audit!A12</f>
        <v>May 2019 v1.12</v>
      </c>
      <c r="B7" s="3651"/>
      <c r="D7" s="147"/>
      <c r="E7" s="43" t="s">
        <v>1451</v>
      </c>
      <c r="F7" s="3176"/>
      <c r="G7" s="799"/>
      <c r="H7" s="3457"/>
      <c r="I7" s="3457"/>
      <c r="J7" s="3457"/>
      <c r="K7" s="3457"/>
      <c r="L7" s="3457"/>
      <c r="M7" s="3457"/>
      <c r="N7" s="3457"/>
      <c r="O7" s="3457"/>
      <c r="P7" s="3457"/>
      <c r="Q7" s="3457"/>
      <c r="R7" s="3457"/>
      <c r="S7" s="147"/>
    </row>
    <row r="8" spans="1:19" s="3456" customFormat="1" ht="13.5" customHeight="1">
      <c r="A8" s="3630">
        <f>Audit!C12</f>
        <v>43586</v>
      </c>
      <c r="B8" s="3631"/>
      <c r="C8" s="321"/>
      <c r="D8" s="412"/>
      <c r="F8"/>
      <c r="H8" s="3457"/>
      <c r="I8" s="3457"/>
      <c r="J8" s="3457"/>
      <c r="K8" s="3457"/>
      <c r="L8" s="3457"/>
      <c r="M8" s="3457"/>
      <c r="N8" s="3457"/>
      <c r="O8" s="3457"/>
      <c r="P8" s="3457"/>
      <c r="Q8" s="3457"/>
      <c r="R8" s="3457"/>
      <c r="S8" s="147"/>
    </row>
    <row r="9" spans="1:19" s="3456" customFormat="1" ht="13.5" customHeight="1" thickBot="1">
      <c r="A9" s="3455" t="s">
        <v>14</v>
      </c>
      <c r="B9" s="173"/>
      <c r="D9" s="321"/>
      <c r="E9" s="113"/>
      <c r="F9" s="3457"/>
      <c r="G9" s="3457"/>
      <c r="H9" s="3457"/>
      <c r="I9" s="3457"/>
      <c r="J9" s="3457"/>
      <c r="K9" s="3457"/>
      <c r="L9" s="3457"/>
      <c r="M9" s="3457"/>
      <c r="N9" s="3457"/>
      <c r="O9" s="3457"/>
      <c r="P9" s="3457"/>
      <c r="Q9" s="3457"/>
      <c r="R9" s="3457"/>
      <c r="S9" s="147"/>
    </row>
    <row r="10" spans="1:19" s="3456" customFormat="1" ht="13.5" customHeight="1" thickBot="1">
      <c r="A10" s="3570" t="s">
        <v>1306</v>
      </c>
      <c r="B10" s="3610"/>
      <c r="D10" s="321"/>
      <c r="E10" s="113"/>
      <c r="F10" s="3457"/>
      <c r="G10" s="3457"/>
      <c r="H10" s="3457"/>
      <c r="I10" s="3457"/>
      <c r="J10" s="3457"/>
      <c r="K10" s="3457"/>
      <c r="L10" s="3457"/>
      <c r="M10" s="3457"/>
      <c r="N10" s="3457"/>
      <c r="O10" s="3457"/>
      <c r="P10" s="3457"/>
      <c r="Q10" s="3457"/>
      <c r="R10" s="3457"/>
      <c r="S10" s="147"/>
    </row>
    <row r="11" spans="1:19" s="3456" customFormat="1" ht="13.5" customHeight="1" thickBot="1">
      <c r="A11" s="3570" t="s">
        <v>2274</v>
      </c>
      <c r="B11" s="3581"/>
      <c r="D11" s="321"/>
      <c r="E11" s="113"/>
      <c r="F11" s="3459"/>
      <c r="G11" s="3459"/>
      <c r="H11" s="3459"/>
      <c r="I11" s="3459"/>
      <c r="J11" s="3459"/>
      <c r="K11" s="3459"/>
      <c r="L11" s="3459"/>
      <c r="M11" s="3459"/>
      <c r="N11" s="3459"/>
      <c r="O11" s="3459"/>
      <c r="P11" s="3459"/>
      <c r="Q11" s="3459"/>
      <c r="R11" s="3459"/>
      <c r="S11" s="379"/>
    </row>
    <row r="12" spans="1:19" s="3456" customFormat="1" ht="13.5" customHeight="1" thickBot="1">
      <c r="A12" s="3570" t="s">
        <v>2265</v>
      </c>
      <c r="B12" s="3581"/>
      <c r="D12" s="321"/>
      <c r="E12" s="113"/>
      <c r="F12" s="3457"/>
      <c r="G12" s="3457"/>
      <c r="H12" s="3457"/>
      <c r="I12" s="3457"/>
      <c r="J12" s="3457"/>
      <c r="K12" s="3457"/>
      <c r="L12" s="3457"/>
      <c r="M12" s="3457"/>
      <c r="N12" s="3457"/>
      <c r="O12" s="3457"/>
      <c r="P12" s="3457"/>
      <c r="Q12" s="3457"/>
      <c r="R12" s="3457"/>
      <c r="S12" s="147"/>
    </row>
    <row r="13" spans="1:19" s="3456" customFormat="1" ht="13.5" customHeight="1">
      <c r="A13" s="3455" t="s">
        <v>252</v>
      </c>
      <c r="B13" s="194"/>
      <c r="C13" s="321"/>
      <c r="D13" s="321"/>
      <c r="E13" s="3458"/>
      <c r="F13" s="3457"/>
      <c r="G13" s="3457"/>
      <c r="H13" s="3457"/>
      <c r="I13" s="3457"/>
      <c r="J13" s="3457"/>
      <c r="K13" s="3457"/>
      <c r="L13" s="3457"/>
      <c r="M13" s="3457"/>
      <c r="N13" s="3457"/>
      <c r="O13" s="3457"/>
      <c r="P13" s="3457"/>
      <c r="Q13" s="3457"/>
      <c r="R13" s="3457"/>
      <c r="S13" s="147"/>
    </row>
    <row r="14" spans="1:19" s="3456" customFormat="1" ht="13.5" customHeight="1">
      <c r="A14" s="2445" t="s">
        <v>799</v>
      </c>
      <c r="B14" s="2450">
        <f>'User Parameters'!L13</f>
        <v>2010</v>
      </c>
      <c r="C14" s="321"/>
      <c r="D14" s="321"/>
      <c r="E14" s="113"/>
      <c r="F14" s="3457"/>
      <c r="G14" s="3457"/>
      <c r="H14" s="3457"/>
      <c r="I14" s="3457"/>
      <c r="J14" s="3457"/>
      <c r="K14" s="3457"/>
      <c r="L14" s="3457"/>
      <c r="M14" s="3457"/>
      <c r="N14" s="3457"/>
      <c r="O14" s="3457"/>
      <c r="P14" s="3457"/>
      <c r="Q14" s="3457"/>
      <c r="R14" s="3457"/>
      <c r="S14" s="147"/>
    </row>
    <row r="15" spans="1:19" s="3456" customFormat="1" ht="13.5" customHeight="1">
      <c r="A15" s="2441"/>
      <c r="B15" s="2469"/>
      <c r="C15" s="321"/>
      <c r="D15" s="321"/>
      <c r="E15" s="113"/>
      <c r="F15" s="3457"/>
      <c r="G15" s="3457"/>
      <c r="H15" s="3457"/>
      <c r="I15" s="3457"/>
      <c r="J15" s="3457"/>
      <c r="K15" s="3457"/>
      <c r="L15" s="3457"/>
      <c r="M15" s="3457"/>
      <c r="N15" s="3457"/>
      <c r="O15" s="3457"/>
      <c r="P15" s="3457"/>
      <c r="Q15" s="3457"/>
      <c r="R15" s="3457"/>
      <c r="S15" s="147"/>
    </row>
    <row r="16" spans="1:19" s="3456" customFormat="1" ht="13.5" customHeight="1">
      <c r="A16" s="2441" t="s">
        <v>751</v>
      </c>
      <c r="B16" s="2450">
        <f>'User Parameters'!L16</f>
        <v>2010</v>
      </c>
      <c r="C16" s="321"/>
      <c r="D16" s="321"/>
      <c r="E16" s="113"/>
      <c r="F16" s="3457"/>
      <c r="G16" s="3457"/>
      <c r="H16" s="3457"/>
      <c r="I16" s="3457"/>
      <c r="J16" s="3457"/>
      <c r="K16" s="3457"/>
      <c r="L16" s="3457"/>
      <c r="M16" s="3457"/>
      <c r="N16" s="3457"/>
      <c r="O16" s="3457"/>
      <c r="P16" s="3457"/>
      <c r="Q16" s="3457"/>
      <c r="R16" s="3457"/>
      <c r="S16" s="147"/>
    </row>
    <row r="17" spans="1:26" s="3456" customFormat="1" ht="13.5" customHeight="1">
      <c r="A17" s="169" t="s">
        <v>253</v>
      </c>
      <c r="B17" s="1230"/>
      <c r="C17" s="321"/>
      <c r="D17" s="321"/>
      <c r="E17" s="207"/>
      <c r="F17" s="3457"/>
      <c r="G17" s="3457"/>
      <c r="H17" s="3457"/>
      <c r="I17" s="3457"/>
      <c r="J17" s="3457"/>
      <c r="K17" s="3457"/>
      <c r="L17" s="3457"/>
      <c r="M17" s="3457"/>
      <c r="N17" s="3457"/>
      <c r="O17" s="3457"/>
      <c r="P17" s="3457"/>
      <c r="Q17" s="3457"/>
      <c r="R17" s="3457"/>
      <c r="S17" s="147"/>
    </row>
    <row r="18" spans="1:26" s="3456" customFormat="1" ht="13.5" customHeight="1">
      <c r="A18" s="3653"/>
      <c r="B18" s="3653"/>
      <c r="C18" s="321"/>
      <c r="D18" s="321"/>
      <c r="E18" s="113"/>
      <c r="F18" s="3457"/>
      <c r="G18" s="3457"/>
      <c r="H18" s="3457"/>
      <c r="I18" s="3457"/>
      <c r="J18" s="3457"/>
      <c r="K18" s="3457"/>
      <c r="L18" s="3457"/>
      <c r="M18" s="3457"/>
      <c r="N18" s="3457"/>
      <c r="O18" s="3457"/>
      <c r="P18" s="3457"/>
      <c r="Q18" s="3457"/>
      <c r="R18" s="3457"/>
      <c r="S18" s="147"/>
    </row>
    <row r="19" spans="1:26" s="3456" customFormat="1" ht="13.5" customHeight="1">
      <c r="A19" s="3653"/>
      <c r="B19" s="3653"/>
      <c r="C19" s="321"/>
      <c r="D19" s="412"/>
      <c r="E19" s="599" t="s">
        <v>2369</v>
      </c>
      <c r="F19" s="599"/>
      <c r="G19" s="1255"/>
      <c r="H19" s="3457"/>
      <c r="I19" s="3457"/>
      <c r="J19" s="3457"/>
      <c r="K19" s="3457"/>
      <c r="L19" s="3457"/>
      <c r="M19" s="3457"/>
      <c r="N19" s="3457"/>
      <c r="O19" s="3457"/>
      <c r="P19" s="3457"/>
      <c r="Q19" s="3457"/>
      <c r="R19" s="3457"/>
      <c r="S19" s="147"/>
    </row>
    <row r="20" spans="1:26" s="3456" customFormat="1" ht="13.5" customHeight="1" thickBot="1">
      <c r="A20" s="3653"/>
      <c r="B20" s="3653"/>
      <c r="C20" s="321"/>
      <c r="D20" s="412"/>
      <c r="E20" s="381" t="s">
        <v>2277</v>
      </c>
      <c r="F20" s="163"/>
      <c r="G20" s="163"/>
      <c r="H20" s="163"/>
      <c r="I20" s="163"/>
      <c r="J20" s="163"/>
      <c r="K20" s="163"/>
      <c r="L20" s="163"/>
      <c r="M20" s="163"/>
      <c r="N20" s="163"/>
      <c r="O20" s="163"/>
      <c r="P20" s="163"/>
      <c r="Q20" s="163"/>
      <c r="R20" s="163"/>
      <c r="S20" s="382"/>
    </row>
    <row r="21" spans="1:26" s="3456" customFormat="1" ht="13.5" customHeight="1" thickTop="1">
      <c r="A21" s="2420"/>
      <c r="B21" s="2421"/>
      <c r="C21" s="321"/>
      <c r="D21" s="32"/>
      <c r="F21" s="3453"/>
      <c r="I21" s="427"/>
    </row>
    <row r="22" spans="1:26" s="3456" customFormat="1" ht="13.5" customHeight="1" thickBot="1">
      <c r="I22" s="427"/>
    </row>
    <row r="23" spans="1:26" s="3456" customFormat="1" ht="13.5" customHeight="1" thickTop="1">
      <c r="A23" s="3454" t="s">
        <v>2489</v>
      </c>
      <c r="B23" s="680" t="s">
        <v>2414</v>
      </c>
      <c r="C23" s="224"/>
      <c r="D23" s="224"/>
      <c r="E23" s="462"/>
      <c r="F23" s="462"/>
      <c r="G23" s="462"/>
      <c r="H23" s="680"/>
      <c r="I23" s="224"/>
      <c r="J23" s="462"/>
      <c r="L23" s="3454" t="s">
        <v>2488</v>
      </c>
      <c r="M23" s="680" t="s">
        <v>2401</v>
      </c>
      <c r="N23" s="224"/>
      <c r="O23" s="224"/>
      <c r="P23" s="462"/>
      <c r="Q23" s="462"/>
      <c r="R23" s="462"/>
      <c r="S23" s="680"/>
      <c r="T23" s="224"/>
      <c r="U23" s="462"/>
      <c r="W23" s="3434" t="s">
        <v>2485</v>
      </c>
      <c r="X23" s="680" t="s">
        <v>2434</v>
      </c>
      <c r="Y23" s="462"/>
    </row>
    <row r="24" spans="1:26" ht="13.5" customHeight="1" thickBot="1">
      <c r="A24" s="836"/>
      <c r="B24" s="526" t="s">
        <v>2400</v>
      </c>
      <c r="C24" s="227"/>
      <c r="D24" s="227"/>
      <c r="E24" s="523"/>
      <c r="F24" s="523"/>
      <c r="G24" s="523"/>
      <c r="H24" s="526"/>
      <c r="I24" s="227"/>
      <c r="J24" s="523"/>
      <c r="K24" s="3456"/>
      <c r="L24" s="836"/>
      <c r="M24" s="526" t="s">
        <v>2400</v>
      </c>
      <c r="N24" s="227"/>
      <c r="O24" s="227"/>
      <c r="P24" s="523"/>
      <c r="Q24" s="523"/>
      <c r="R24" s="523"/>
      <c r="S24" s="526"/>
      <c r="T24" s="227"/>
      <c r="U24" s="523"/>
      <c r="V24" s="3456"/>
      <c r="W24" s="836"/>
      <c r="X24" s="526" t="s">
        <v>2435</v>
      </c>
      <c r="Y24" s="523"/>
      <c r="Z24" s="3456"/>
    </row>
    <row r="25" spans="1:26" ht="13.5" customHeight="1" thickTop="1" thickBot="1">
      <c r="A25" s="464"/>
      <c r="B25" s="3720" t="s">
        <v>1399</v>
      </c>
      <c r="C25" s="3721"/>
      <c r="D25" s="3721"/>
      <c r="E25" s="3721"/>
      <c r="F25" s="3721"/>
      <c r="G25" s="3721"/>
      <c r="H25" s="3722"/>
      <c r="I25" s="414" t="s">
        <v>2399</v>
      </c>
      <c r="J25" s="414" t="s">
        <v>2398</v>
      </c>
      <c r="K25" s="3456"/>
      <c r="L25" s="464"/>
      <c r="M25" s="3720" t="s">
        <v>1399</v>
      </c>
      <c r="N25" s="3721"/>
      <c r="O25" s="3721"/>
      <c r="P25" s="3721"/>
      <c r="Q25" s="3721"/>
      <c r="R25" s="3721"/>
      <c r="S25" s="3722"/>
      <c r="T25" s="414" t="s">
        <v>2399</v>
      </c>
      <c r="U25" s="414" t="s">
        <v>2398</v>
      </c>
      <c r="V25" s="3456"/>
      <c r="W25" s="414"/>
      <c r="X25" s="414" t="s">
        <v>2409</v>
      </c>
      <c r="Y25" s="414" t="s">
        <v>2177</v>
      </c>
      <c r="Z25" s="3456"/>
    </row>
    <row r="26" spans="1:26" ht="13.5" customHeight="1" thickTop="1" thickBot="1">
      <c r="A26" s="3430" t="s">
        <v>568</v>
      </c>
      <c r="B26" s="414" t="s">
        <v>569</v>
      </c>
      <c r="C26" s="414" t="s">
        <v>570</v>
      </c>
      <c r="D26" s="414" t="s">
        <v>571</v>
      </c>
      <c r="E26" s="414" t="s">
        <v>572</v>
      </c>
      <c r="F26" s="414" t="s">
        <v>2395</v>
      </c>
      <c r="G26" s="414" t="s">
        <v>2396</v>
      </c>
      <c r="H26" s="414" t="s">
        <v>2397</v>
      </c>
      <c r="I26" s="3719" t="s">
        <v>1698</v>
      </c>
      <c r="J26" s="3703"/>
      <c r="K26" s="3456"/>
      <c r="L26" s="3430" t="s">
        <v>568</v>
      </c>
      <c r="M26" s="414" t="s">
        <v>569</v>
      </c>
      <c r="N26" s="414" t="s">
        <v>570</v>
      </c>
      <c r="O26" s="414" t="s">
        <v>571</v>
      </c>
      <c r="P26" s="414" t="s">
        <v>572</v>
      </c>
      <c r="Q26" s="414" t="s">
        <v>2395</v>
      </c>
      <c r="R26" s="414" t="s">
        <v>2396</v>
      </c>
      <c r="S26" s="414" t="s">
        <v>2397</v>
      </c>
      <c r="T26" s="3719" t="s">
        <v>1698</v>
      </c>
      <c r="U26" s="3703"/>
      <c r="V26" s="3456"/>
      <c r="W26" s="3425" t="s">
        <v>2410</v>
      </c>
      <c r="X26" s="3431">
        <v>8.1000000000000003E-2</v>
      </c>
      <c r="Y26" s="3431" t="s">
        <v>2021</v>
      </c>
      <c r="Z26" s="3456"/>
    </row>
    <row r="27" spans="1:26" ht="13.5" customHeight="1" thickTop="1">
      <c r="A27" s="3425">
        <v>2015</v>
      </c>
      <c r="B27" s="3460">
        <f>'AQ emits'!B47</f>
        <v>9.4189993365766209E-4</v>
      </c>
      <c r="C27" s="3460">
        <v>7.7743483527653405E-4</v>
      </c>
      <c r="D27" s="3460">
        <v>9.6145978207217605E-6</v>
      </c>
      <c r="E27" s="3460">
        <v>-4.3993369304548699E-7</v>
      </c>
      <c r="F27" s="3460">
        <v>9.0084105620552902E-9</v>
      </c>
      <c r="G27" s="3460">
        <v>-9.0160326700270902E-11</v>
      </c>
      <c r="H27" s="3460">
        <v>3.5120510311104898E-13</v>
      </c>
      <c r="I27" s="402">
        <v>10</v>
      </c>
      <c r="J27" s="402">
        <v>130</v>
      </c>
      <c r="K27" s="3456"/>
      <c r="L27" s="3425">
        <v>2015</v>
      </c>
      <c r="M27" s="3427">
        <v>-2.75192545432511E-2</v>
      </c>
      <c r="N27" s="3427">
        <v>0.13346473099619099</v>
      </c>
      <c r="O27" s="3427">
        <v>-1.2219517890502199E-3</v>
      </c>
      <c r="P27" s="3427">
        <v>-1.0649575670486801E-5</v>
      </c>
      <c r="Q27" s="3427">
        <v>4.7477759586424998E-7</v>
      </c>
      <c r="R27" s="3427">
        <v>-4.3698612588158098E-9</v>
      </c>
      <c r="S27" s="3427">
        <v>1.40096506941682E-11</v>
      </c>
      <c r="T27" s="402">
        <v>10</v>
      </c>
      <c r="U27" s="402">
        <v>130</v>
      </c>
      <c r="V27" s="3456"/>
      <c r="W27" s="3425" t="s">
        <v>2411</v>
      </c>
      <c r="X27" s="3431">
        <v>0.36599999999999999</v>
      </c>
      <c r="Y27" s="3431">
        <v>3.4000000000000002E-2</v>
      </c>
      <c r="Z27" s="3456"/>
    </row>
    <row r="28" spans="1:26" ht="13.5" customHeight="1">
      <c r="A28" s="3425">
        <v>2020</v>
      </c>
      <c r="B28" s="3461">
        <v>2.3790698801005902E-3</v>
      </c>
      <c r="C28" s="3461">
        <v>6.2231577319743004E-4</v>
      </c>
      <c r="D28" s="3461">
        <v>5.75808913362796E-6</v>
      </c>
      <c r="E28" s="3461">
        <v>-3.3866354067131402E-7</v>
      </c>
      <c r="F28" s="3461">
        <v>6.5654696056210996E-9</v>
      </c>
      <c r="G28" s="3461">
        <v>-6.2935358467106902E-11</v>
      </c>
      <c r="H28" s="3461">
        <v>2.4829119098315999E-13</v>
      </c>
      <c r="I28" s="1648">
        <v>10</v>
      </c>
      <c r="J28" s="1648">
        <v>130</v>
      </c>
      <c r="K28" s="3456"/>
      <c r="L28" s="3425">
        <v>2020</v>
      </c>
      <c r="M28" s="3428">
        <v>1.44526759397721E-2</v>
      </c>
      <c r="N28" s="3428">
        <v>9.3061728383802597E-2</v>
      </c>
      <c r="O28" s="3428">
        <v>-1.2240426881247001E-3</v>
      </c>
      <c r="P28" s="3428">
        <v>1.02637242111328E-5</v>
      </c>
      <c r="Q28" s="3428">
        <v>2.5307388473950399E-9</v>
      </c>
      <c r="R28" s="3428">
        <v>-4.06549342407426E-10</v>
      </c>
      <c r="S28" s="3428">
        <v>1.7108796727140099E-12</v>
      </c>
      <c r="T28" s="1648">
        <v>10</v>
      </c>
      <c r="U28" s="1648">
        <v>130</v>
      </c>
      <c r="V28" s="3456"/>
      <c r="W28" s="3425" t="s">
        <v>2412</v>
      </c>
      <c r="X28" s="3431">
        <v>0.124</v>
      </c>
      <c r="Y28" s="3431" t="s">
        <v>2021</v>
      </c>
      <c r="Z28" s="3456"/>
    </row>
    <row r="29" spans="1:26" ht="13.5" customHeight="1" thickBot="1">
      <c r="A29" s="3425">
        <v>2025</v>
      </c>
      <c r="B29" s="3461">
        <v>1.8728664150767199E-3</v>
      </c>
      <c r="C29" s="3461">
        <v>7.3068519555765103E-4</v>
      </c>
      <c r="D29" s="3461">
        <v>4.2050087783048597E-6</v>
      </c>
      <c r="E29" s="3461">
        <v>-3.1676940761949302E-7</v>
      </c>
      <c r="F29" s="3461">
        <v>5.8454637119260503E-9</v>
      </c>
      <c r="G29" s="3461">
        <v>-5.343760679746E-11</v>
      </c>
      <c r="H29" s="3461">
        <v>2.1158310445189501E-13</v>
      </c>
      <c r="I29" s="402">
        <v>10</v>
      </c>
      <c r="J29" s="402">
        <v>130</v>
      </c>
      <c r="K29" s="3456"/>
      <c r="L29" s="3425">
        <v>2025</v>
      </c>
      <c r="M29" s="3428">
        <v>1.9012890653919999E-2</v>
      </c>
      <c r="N29" s="3428">
        <v>8.7126949883114799E-2</v>
      </c>
      <c r="O29" s="3428">
        <v>-1.27847465795829E-3</v>
      </c>
      <c r="P29" s="3428">
        <v>1.71941537345734E-5</v>
      </c>
      <c r="Q29" s="3428">
        <v>-1.28595456579676E-7</v>
      </c>
      <c r="R29" s="3428">
        <v>5.9454120412796199E-10</v>
      </c>
      <c r="S29" s="3428">
        <v>-1.1625952850603201E-12</v>
      </c>
      <c r="T29" s="402">
        <v>10</v>
      </c>
      <c r="U29" s="402">
        <v>130</v>
      </c>
      <c r="V29" s="3456"/>
      <c r="W29" s="3426" t="s">
        <v>2413</v>
      </c>
      <c r="X29" s="3432">
        <v>0.65400000000000003</v>
      </c>
      <c r="Y29" s="3432">
        <v>3.6999999999999998E-2</v>
      </c>
      <c r="Z29" s="3456"/>
    </row>
    <row r="30" spans="1:26" ht="13.5" customHeight="1" thickTop="1" thickBot="1">
      <c r="A30" s="3425">
        <v>2030</v>
      </c>
      <c r="B30" s="3461">
        <v>1.4671757340891001E-3</v>
      </c>
      <c r="C30" s="3461">
        <v>7.8165580826272695E-4</v>
      </c>
      <c r="D30" s="3461">
        <v>3.1582269819569901E-6</v>
      </c>
      <c r="E30" s="3461">
        <v>-2.8940909906115701E-7</v>
      </c>
      <c r="F30" s="3461">
        <v>5.1598265542293502E-9</v>
      </c>
      <c r="G30" s="3461">
        <v>-4.5431820247312801E-11</v>
      </c>
      <c r="H30" s="3461">
        <v>1.79832643402635E-13</v>
      </c>
      <c r="I30" s="402">
        <v>10</v>
      </c>
      <c r="J30" s="402">
        <v>130</v>
      </c>
      <c r="K30" s="3456"/>
      <c r="L30" s="3425">
        <v>2030</v>
      </c>
      <c r="M30" s="3428">
        <v>1.6552343465818398E-2</v>
      </c>
      <c r="N30" s="3428">
        <v>8.8048273363696805E-2</v>
      </c>
      <c r="O30" s="3428">
        <v>-1.30898364917632E-3</v>
      </c>
      <c r="P30" s="3428">
        <v>1.8108594971755901E-5</v>
      </c>
      <c r="Q30" s="3428">
        <v>-1.4274768369976501E-7</v>
      </c>
      <c r="R30" s="3428">
        <v>6.9286529328185202E-10</v>
      </c>
      <c r="S30" s="3428">
        <v>-1.42287115090939E-12</v>
      </c>
      <c r="T30" s="402">
        <v>10</v>
      </c>
      <c r="U30" s="402">
        <v>130</v>
      </c>
      <c r="V30" s="3456"/>
      <c r="W30" s="3456"/>
      <c r="X30" s="3456"/>
      <c r="Y30" s="3456"/>
      <c r="Z30" s="3456"/>
    </row>
    <row r="31" spans="1:26" ht="13.5" customHeight="1" thickTop="1" thickBot="1">
      <c r="A31" s="3426">
        <v>2035</v>
      </c>
      <c r="B31" s="3462">
        <v>1.38804479700541E-3</v>
      </c>
      <c r="C31" s="3462">
        <v>7.9045137187353301E-4</v>
      </c>
      <c r="D31" s="3462">
        <v>2.9805442836197502E-6</v>
      </c>
      <c r="E31" s="3462">
        <v>-2.8469451137292901E-7</v>
      </c>
      <c r="F31" s="3462">
        <v>5.0400158439934702E-9</v>
      </c>
      <c r="G31" s="3462">
        <v>-4.4003831415734499E-11</v>
      </c>
      <c r="H31" s="3462">
        <v>1.74032326077764E-13</v>
      </c>
      <c r="I31" s="403">
        <v>10</v>
      </c>
      <c r="J31" s="403">
        <v>130</v>
      </c>
      <c r="K31" s="3456"/>
      <c r="L31" s="3426">
        <v>2035</v>
      </c>
      <c r="M31" s="3429">
        <v>1.5820274429745901E-2</v>
      </c>
      <c r="N31" s="3429">
        <v>8.8398260635171796E-2</v>
      </c>
      <c r="O31" s="3429">
        <v>-1.3165124658178001E-3</v>
      </c>
      <c r="P31" s="3429">
        <v>1.8198597221632399E-5</v>
      </c>
      <c r="Q31" s="3429">
        <v>-1.43564091781183E-7</v>
      </c>
      <c r="R31" s="3429">
        <v>6.9713353246075195E-10</v>
      </c>
      <c r="S31" s="3429">
        <v>-1.4322756087486199E-12</v>
      </c>
      <c r="T31" s="403">
        <v>10</v>
      </c>
      <c r="U31" s="403">
        <v>130</v>
      </c>
      <c r="V31" s="3456"/>
      <c r="W31" s="3434" t="s">
        <v>2486</v>
      </c>
      <c r="X31" s="680" t="s">
        <v>2439</v>
      </c>
      <c r="Y31" s="462"/>
      <c r="Z31" s="1577"/>
    </row>
    <row r="32" spans="1:26" ht="13.5" customHeight="1" thickTop="1" thickBot="1">
      <c r="A32" s="3456"/>
      <c r="B32" s="594"/>
      <c r="C32" s="14"/>
      <c r="D32" s="14"/>
      <c r="E32" s="14"/>
      <c r="F32" s="14"/>
      <c r="G32" s="3456"/>
      <c r="H32" s="3456"/>
      <c r="I32" s="3456"/>
      <c r="J32" s="3456"/>
      <c r="K32" s="3456"/>
      <c r="L32" s="3456"/>
      <c r="M32" s="594"/>
      <c r="N32" s="14"/>
      <c r="O32" s="14"/>
      <c r="P32" s="14"/>
      <c r="Q32" s="14"/>
      <c r="R32" s="3456"/>
      <c r="S32" s="3456"/>
      <c r="T32" s="3456"/>
      <c r="U32" s="3456"/>
      <c r="V32" s="3456"/>
      <c r="W32" s="836"/>
      <c r="X32" s="526" t="s">
        <v>2436</v>
      </c>
      <c r="Y32" s="523"/>
      <c r="Z32" s="3433"/>
    </row>
    <row r="33" spans="1:26" ht="13.5" customHeight="1" thickTop="1" thickBot="1">
      <c r="A33" s="3454" t="s">
        <v>2489</v>
      </c>
      <c r="B33" s="680" t="s">
        <v>2415</v>
      </c>
      <c r="C33" s="224"/>
      <c r="D33" s="224"/>
      <c r="E33" s="462"/>
      <c r="F33" s="462"/>
      <c r="G33" s="462"/>
      <c r="H33" s="680"/>
      <c r="I33" s="224"/>
      <c r="J33" s="462"/>
      <c r="K33" s="3456"/>
      <c r="L33" s="3454" t="s">
        <v>2488</v>
      </c>
      <c r="M33" s="680" t="s">
        <v>2402</v>
      </c>
      <c r="N33" s="224"/>
      <c r="O33" s="224"/>
      <c r="P33" s="462"/>
      <c r="Q33" s="462"/>
      <c r="R33" s="462"/>
      <c r="S33" s="680"/>
      <c r="T33" s="224"/>
      <c r="U33" s="462"/>
      <c r="V33" s="3456"/>
      <c r="W33" s="414"/>
      <c r="X33" s="414" t="s">
        <v>2426</v>
      </c>
      <c r="Y33" s="414" t="s">
        <v>2427</v>
      </c>
      <c r="Z33" s="414" t="s">
        <v>2428</v>
      </c>
    </row>
    <row r="34" spans="1:26" ht="13.5" customHeight="1" thickTop="1" thickBot="1">
      <c r="A34" s="836"/>
      <c r="B34" s="526" t="s">
        <v>2400</v>
      </c>
      <c r="C34" s="227"/>
      <c r="D34" s="227"/>
      <c r="E34" s="523"/>
      <c r="F34" s="523"/>
      <c r="G34" s="523"/>
      <c r="H34" s="526"/>
      <c r="I34" s="227"/>
      <c r="J34" s="523"/>
      <c r="K34" s="3456"/>
      <c r="L34" s="836"/>
      <c r="M34" s="526" t="s">
        <v>2400</v>
      </c>
      <c r="N34" s="227"/>
      <c r="O34" s="227"/>
      <c r="P34" s="523"/>
      <c r="Q34" s="523"/>
      <c r="R34" s="523"/>
      <c r="S34" s="526"/>
      <c r="T34" s="227"/>
      <c r="U34" s="523"/>
      <c r="V34" s="3456"/>
      <c r="W34" s="3438" t="s">
        <v>879</v>
      </c>
      <c r="X34" s="3435">
        <v>7.4999999999999997E-3</v>
      </c>
      <c r="Y34" s="3435">
        <v>7.3000000000000001E-3</v>
      </c>
      <c r="Z34" s="3435">
        <v>7.0000000000000001E-3</v>
      </c>
    </row>
    <row r="35" spans="1:26" ht="13.5" customHeight="1" thickTop="1" thickBot="1">
      <c r="A35" s="464"/>
      <c r="B35" s="3720" t="s">
        <v>1399</v>
      </c>
      <c r="C35" s="3721"/>
      <c r="D35" s="3721"/>
      <c r="E35" s="3721"/>
      <c r="F35" s="3721"/>
      <c r="G35" s="3721"/>
      <c r="H35" s="3722"/>
      <c r="I35" s="414" t="s">
        <v>2399</v>
      </c>
      <c r="J35" s="414" t="s">
        <v>2398</v>
      </c>
      <c r="K35" s="3456"/>
      <c r="L35" s="464"/>
      <c r="M35" s="3720" t="s">
        <v>1399</v>
      </c>
      <c r="N35" s="3721"/>
      <c r="O35" s="3721"/>
      <c r="P35" s="3721"/>
      <c r="Q35" s="3721"/>
      <c r="R35" s="3721"/>
      <c r="S35" s="3722"/>
      <c r="T35" s="414" t="s">
        <v>2399</v>
      </c>
      <c r="U35" s="414" t="s">
        <v>2398</v>
      </c>
      <c r="V35" s="3456"/>
      <c r="W35" s="3439" t="s">
        <v>878</v>
      </c>
      <c r="X35" s="3436">
        <v>7.4999999999999997E-3</v>
      </c>
      <c r="Y35" s="3436">
        <v>1.14E-2</v>
      </c>
      <c r="Z35" s="3436">
        <v>1.0500000000000001E-2</v>
      </c>
    </row>
    <row r="36" spans="1:26" ht="13.5" customHeight="1" thickTop="1" thickBot="1">
      <c r="A36" s="3430" t="s">
        <v>568</v>
      </c>
      <c r="B36" s="414" t="s">
        <v>569</v>
      </c>
      <c r="C36" s="414" t="s">
        <v>570</v>
      </c>
      <c r="D36" s="414" t="s">
        <v>571</v>
      </c>
      <c r="E36" s="414" t="s">
        <v>572</v>
      </c>
      <c r="F36" s="414" t="s">
        <v>2395</v>
      </c>
      <c r="G36" s="414" t="s">
        <v>2396</v>
      </c>
      <c r="H36" s="414" t="s">
        <v>2397</v>
      </c>
      <c r="I36" s="3719" t="s">
        <v>1698</v>
      </c>
      <c r="J36" s="3703"/>
      <c r="K36" s="3456"/>
      <c r="L36" s="3430" t="s">
        <v>568</v>
      </c>
      <c r="M36" s="414" t="s">
        <v>569</v>
      </c>
      <c r="N36" s="414" t="s">
        <v>570</v>
      </c>
      <c r="O36" s="414" t="s">
        <v>571</v>
      </c>
      <c r="P36" s="414" t="s">
        <v>572</v>
      </c>
      <c r="Q36" s="414" t="s">
        <v>2395</v>
      </c>
      <c r="R36" s="414" t="s">
        <v>2396</v>
      </c>
      <c r="S36" s="414" t="s">
        <v>2397</v>
      </c>
      <c r="T36" s="3719" t="s">
        <v>1698</v>
      </c>
      <c r="U36" s="3703"/>
      <c r="V36" s="3456"/>
      <c r="W36" s="3439" t="s">
        <v>2429</v>
      </c>
      <c r="X36" s="3436">
        <v>3.7999999999999999E-2</v>
      </c>
      <c r="Y36" s="3436">
        <v>2.6600000000000002E-2</v>
      </c>
      <c r="Z36" s="3436">
        <v>2.18E-2</v>
      </c>
    </row>
    <row r="37" spans="1:26" ht="13.5" customHeight="1" thickTop="1">
      <c r="A37" s="3425">
        <v>2015</v>
      </c>
      <c r="B37" s="3427">
        <v>1.20401533182911E-2</v>
      </c>
      <c r="C37" s="3427">
        <v>1.6028620530593202E-2</v>
      </c>
      <c r="D37" s="3427">
        <v>-2.36830444553702E-4</v>
      </c>
      <c r="E37" s="3427">
        <v>2.2260610500099701E-6</v>
      </c>
      <c r="F37" s="3427">
        <v>-7.84992142890768E-9</v>
      </c>
      <c r="G37" s="3427">
        <v>4.1967499044362603E-11</v>
      </c>
      <c r="H37" s="3427">
        <v>-9.0995460023675395E-14</v>
      </c>
      <c r="I37" s="402">
        <v>10</v>
      </c>
      <c r="J37" s="402">
        <v>130</v>
      </c>
      <c r="K37" s="3456"/>
      <c r="L37" s="3425">
        <v>2015</v>
      </c>
      <c r="M37" s="3427">
        <v>1.84399251721172</v>
      </c>
      <c r="N37" s="3427">
        <v>0.93317395754800103</v>
      </c>
      <c r="O37" s="3427">
        <v>-1.4067924869423E-2</v>
      </c>
      <c r="P37" s="3427">
        <v>9.5366909612947499E-5</v>
      </c>
      <c r="Q37" s="3427">
        <v>4.8822875968462896E-7</v>
      </c>
      <c r="R37" s="3427">
        <v>-8.1438351309097199E-9</v>
      </c>
      <c r="S37" s="3427">
        <v>3.94983009047297E-11</v>
      </c>
      <c r="T37" s="402">
        <v>10</v>
      </c>
      <c r="U37" s="402">
        <v>120</v>
      </c>
      <c r="V37" s="3456"/>
      <c r="W37" s="3439" t="s">
        <v>2424</v>
      </c>
      <c r="X37" s="3436">
        <v>3.7999999999999999E-2</v>
      </c>
      <c r="Y37" s="3436">
        <v>1.9399999999999997E-2</v>
      </c>
      <c r="Z37" s="3436">
        <v>4.1399999999999999E-2</v>
      </c>
    </row>
    <row r="38" spans="1:26" ht="13.5" customHeight="1" thickBot="1">
      <c r="A38" s="3425">
        <v>2020</v>
      </c>
      <c r="B38" s="3428">
        <v>1.52400479012134E-2</v>
      </c>
      <c r="C38" s="3428">
        <v>6.6268929846418096E-3</v>
      </c>
      <c r="D38" s="3428">
        <v>-1.19539042976408E-4</v>
      </c>
      <c r="E38" s="3428">
        <v>1.61873010423777E-6</v>
      </c>
      <c r="F38" s="3428">
        <v>-1.32113925215569E-8</v>
      </c>
      <c r="G38" s="3428">
        <v>7.2165393739307902E-11</v>
      </c>
      <c r="H38" s="3428">
        <v>-1.5869453373059699E-13</v>
      </c>
      <c r="I38" s="1648">
        <v>10</v>
      </c>
      <c r="J38" s="1648">
        <v>130</v>
      </c>
      <c r="K38" s="3456"/>
      <c r="L38" s="3425">
        <v>2020</v>
      </c>
      <c r="M38" s="3428">
        <v>1.4491746539730399</v>
      </c>
      <c r="N38" s="3428">
        <v>0.72381515139210995</v>
      </c>
      <c r="O38" s="3428">
        <v>-1.06833269435757E-2</v>
      </c>
      <c r="P38" s="3428">
        <v>7.4704794855321504E-5</v>
      </c>
      <c r="Q38" s="3428">
        <v>2.4433353190272601E-7</v>
      </c>
      <c r="R38" s="3428">
        <v>-4.94166379337865E-9</v>
      </c>
      <c r="S38" s="3428">
        <v>2.6079943180382299E-11</v>
      </c>
      <c r="T38" s="1648">
        <v>10</v>
      </c>
      <c r="U38" s="1648">
        <v>120</v>
      </c>
      <c r="V38" s="3456"/>
      <c r="W38" s="3440" t="s">
        <v>2425</v>
      </c>
      <c r="X38" s="3437">
        <v>3.0000000000000001E-3</v>
      </c>
      <c r="Y38" s="3437">
        <v>3.3E-3</v>
      </c>
      <c r="Z38" s="3437">
        <v>4.2000000000000006E-3</v>
      </c>
    </row>
    <row r="39" spans="1:26" ht="13.5" customHeight="1" thickTop="1" thickBot="1">
      <c r="A39" s="3425">
        <v>2025</v>
      </c>
      <c r="B39" s="3428">
        <v>1.6126308493135001E-2</v>
      </c>
      <c r="C39" s="3428">
        <v>3.6033553510513099E-3</v>
      </c>
      <c r="D39" s="3428">
        <v>-8.8156237833218398E-5</v>
      </c>
      <c r="E39" s="3428">
        <v>1.54086292056819E-6</v>
      </c>
      <c r="F39" s="3428">
        <v>-1.5599286843222899E-8</v>
      </c>
      <c r="G39" s="3428">
        <v>8.5779522008085298E-11</v>
      </c>
      <c r="H39" s="3428">
        <v>-1.8944165073180901E-13</v>
      </c>
      <c r="I39" s="402">
        <v>10</v>
      </c>
      <c r="J39" s="402">
        <v>130</v>
      </c>
      <c r="K39" s="3456"/>
      <c r="L39" s="3425">
        <v>2025</v>
      </c>
      <c r="M39" s="3428">
        <v>1.0591029725007199</v>
      </c>
      <c r="N39" s="3428">
        <v>0.480767927487806</v>
      </c>
      <c r="O39" s="3428">
        <v>-6.91525860129106E-3</v>
      </c>
      <c r="P39" s="3428">
        <v>4.8602738442031298E-5</v>
      </c>
      <c r="Q39" s="3428">
        <v>1.5591740111948001E-7</v>
      </c>
      <c r="R39" s="3428">
        <v>-3.3918490539109399E-9</v>
      </c>
      <c r="S39" s="3428">
        <v>1.8333991802655101E-11</v>
      </c>
      <c r="T39" s="402">
        <v>10</v>
      </c>
      <c r="U39" s="402">
        <v>120</v>
      </c>
      <c r="V39" s="3456"/>
      <c r="W39" s="3456"/>
      <c r="X39" s="3456"/>
      <c r="Y39" s="3456"/>
      <c r="Z39" s="3456"/>
    </row>
    <row r="40" spans="1:26" ht="13.5" customHeight="1" thickTop="1">
      <c r="A40" s="3425">
        <v>2030</v>
      </c>
      <c r="B40" s="3428">
        <v>1.5942672543860101E-2</v>
      </c>
      <c r="C40" s="3428">
        <v>3.1525779477261798E-3</v>
      </c>
      <c r="D40" s="3428">
        <v>-8.4904739184514798E-5</v>
      </c>
      <c r="E40" s="3428">
        <v>1.56129477333241E-6</v>
      </c>
      <c r="F40" s="3428">
        <v>-1.62883991389615E-8</v>
      </c>
      <c r="G40" s="3428">
        <v>8.9842765909926394E-11</v>
      </c>
      <c r="H40" s="3428">
        <v>-1.9880113708537099E-13</v>
      </c>
      <c r="I40" s="402">
        <v>10</v>
      </c>
      <c r="J40" s="402">
        <v>130</v>
      </c>
      <c r="K40" s="3456"/>
      <c r="L40" s="3425">
        <v>2030</v>
      </c>
      <c r="M40" s="3428">
        <v>0.81580304726866104</v>
      </c>
      <c r="N40" s="3428">
        <v>0.32607532033347802</v>
      </c>
      <c r="O40" s="3428">
        <v>-4.0777447536817103E-3</v>
      </c>
      <c r="P40" s="3428">
        <v>1.0556885028687599E-5</v>
      </c>
      <c r="Q40" s="3428">
        <v>4.7716587354933998E-7</v>
      </c>
      <c r="R40" s="3428">
        <v>-5.2010212363734401E-9</v>
      </c>
      <c r="S40" s="3428">
        <v>2.1157462364374901E-11</v>
      </c>
      <c r="T40" s="402">
        <v>10</v>
      </c>
      <c r="U40" s="402">
        <v>130</v>
      </c>
      <c r="V40" s="3456"/>
      <c r="W40" s="3434" t="s">
        <v>2487</v>
      </c>
      <c r="X40" s="680" t="s">
        <v>2440</v>
      </c>
      <c r="Y40" s="462"/>
      <c r="Z40" s="1577"/>
    </row>
    <row r="41" spans="1:26" ht="13.5" customHeight="1" thickBot="1">
      <c r="A41" s="3426">
        <v>2035</v>
      </c>
      <c r="B41" s="3429">
        <v>1.5883788622696401E-2</v>
      </c>
      <c r="C41" s="3429">
        <v>3.1337391760548599E-3</v>
      </c>
      <c r="D41" s="3429">
        <v>-8.4959604373122496E-5</v>
      </c>
      <c r="E41" s="3429">
        <v>1.56668755269889E-6</v>
      </c>
      <c r="F41" s="3429">
        <v>-1.63704740382274E-8</v>
      </c>
      <c r="G41" s="3429">
        <v>9.0337897286424499E-11</v>
      </c>
      <c r="H41" s="3429">
        <v>-1.99956315949425E-13</v>
      </c>
      <c r="I41" s="403">
        <v>10</v>
      </c>
      <c r="J41" s="403">
        <v>130</v>
      </c>
      <c r="K41" s="3456"/>
      <c r="L41" s="3426">
        <v>2035</v>
      </c>
      <c r="M41" s="3429">
        <v>0.70450742531042698</v>
      </c>
      <c r="N41" s="3429">
        <v>0.28124179751612899</v>
      </c>
      <c r="O41" s="3429">
        <v>-3.5150983408091599E-3</v>
      </c>
      <c r="P41" s="3429">
        <v>9.0701749925101501E-6</v>
      </c>
      <c r="Q41" s="3429">
        <v>4.1206526390114001E-7</v>
      </c>
      <c r="R41" s="3429">
        <v>-4.4914534580188097E-9</v>
      </c>
      <c r="S41" s="3429">
        <v>1.8271020849747301E-11</v>
      </c>
      <c r="T41" s="403">
        <v>10</v>
      </c>
      <c r="U41" s="403">
        <v>130</v>
      </c>
      <c r="V41" s="3456"/>
      <c r="W41" s="836"/>
      <c r="X41" s="526" t="s">
        <v>2436</v>
      </c>
      <c r="Y41" s="523"/>
      <c r="Z41" s="3433"/>
    </row>
    <row r="42" spans="1:26" ht="13.5" customHeight="1" thickTop="1" thickBot="1">
      <c r="A42" s="3456"/>
      <c r="B42" s="596"/>
      <c r="C42" s="596"/>
      <c r="D42" s="596"/>
      <c r="E42" s="596"/>
      <c r="F42" s="596"/>
      <c r="G42" s="3456"/>
      <c r="H42" s="3456"/>
      <c r="I42" s="3456"/>
      <c r="J42" s="3456"/>
      <c r="K42" s="3456"/>
      <c r="L42" s="3456"/>
      <c r="M42" s="596"/>
      <c r="N42" s="596"/>
      <c r="O42" s="596"/>
      <c r="P42" s="596"/>
      <c r="Q42" s="596"/>
      <c r="R42" s="3456"/>
      <c r="S42" s="3456"/>
      <c r="T42" s="3456"/>
      <c r="U42" s="3456"/>
      <c r="V42" s="3456"/>
      <c r="W42" s="414"/>
      <c r="X42" s="414" t="s">
        <v>2426</v>
      </c>
      <c r="Y42" s="414" t="s">
        <v>2427</v>
      </c>
      <c r="Z42" s="414" t="s">
        <v>2428</v>
      </c>
    </row>
    <row r="43" spans="1:26" ht="13.5" customHeight="1" thickTop="1">
      <c r="A43" s="3454" t="s">
        <v>2489</v>
      </c>
      <c r="B43" s="680" t="s">
        <v>2416</v>
      </c>
      <c r="C43" s="224"/>
      <c r="D43" s="224"/>
      <c r="E43" s="462"/>
      <c r="F43" s="462"/>
      <c r="G43" s="462"/>
      <c r="H43" s="680"/>
      <c r="I43" s="224"/>
      <c r="J43" s="462"/>
      <c r="K43" s="3456"/>
      <c r="L43" s="3454" t="s">
        <v>2488</v>
      </c>
      <c r="M43" s="680" t="s">
        <v>2403</v>
      </c>
      <c r="N43" s="224"/>
      <c r="O43" s="224"/>
      <c r="P43" s="462"/>
      <c r="Q43" s="462"/>
      <c r="R43" s="462"/>
      <c r="S43" s="680"/>
      <c r="T43" s="224"/>
      <c r="U43" s="462"/>
      <c r="V43" s="3456"/>
      <c r="W43" s="3438" t="s">
        <v>879</v>
      </c>
      <c r="X43" s="3435" t="s">
        <v>788</v>
      </c>
      <c r="Y43" s="3435">
        <v>8.7399999999999995E-3</v>
      </c>
      <c r="Z43" s="3435">
        <v>1.1679999999999999E-2</v>
      </c>
    </row>
    <row r="44" spans="1:26" ht="13.5" customHeight="1" thickBot="1">
      <c r="A44" s="836"/>
      <c r="B44" s="526" t="s">
        <v>2400</v>
      </c>
      <c r="C44" s="227"/>
      <c r="D44" s="227"/>
      <c r="E44" s="523"/>
      <c r="F44" s="523"/>
      <c r="G44" s="523"/>
      <c r="H44" s="526"/>
      <c r="I44" s="227"/>
      <c r="J44" s="523"/>
      <c r="K44" s="3456"/>
      <c r="L44" s="836"/>
      <c r="M44" s="526" t="s">
        <v>2400</v>
      </c>
      <c r="N44" s="227"/>
      <c r="O44" s="227"/>
      <c r="P44" s="523"/>
      <c r="Q44" s="523"/>
      <c r="R44" s="523"/>
      <c r="S44" s="526"/>
      <c r="T44" s="227"/>
      <c r="U44" s="523"/>
      <c r="V44" s="3456"/>
      <c r="W44" s="3439"/>
      <c r="X44" s="3436" t="s">
        <v>789</v>
      </c>
      <c r="Y44" s="3436">
        <v>6.7999999999999996E-3</v>
      </c>
      <c r="Z44" s="3436">
        <v>5.5300000000000002E-3</v>
      </c>
    </row>
    <row r="45" spans="1:26" ht="13.5" customHeight="1" thickTop="1" thickBot="1">
      <c r="A45" s="464"/>
      <c r="B45" s="3720" t="s">
        <v>1399</v>
      </c>
      <c r="C45" s="3721"/>
      <c r="D45" s="3721"/>
      <c r="E45" s="3721"/>
      <c r="F45" s="3721"/>
      <c r="G45" s="3721"/>
      <c r="H45" s="3722"/>
      <c r="I45" s="414" t="s">
        <v>2399</v>
      </c>
      <c r="J45" s="414" t="s">
        <v>2398</v>
      </c>
      <c r="K45" s="3456"/>
      <c r="L45" s="464"/>
      <c r="M45" s="3720" t="s">
        <v>1399</v>
      </c>
      <c r="N45" s="3721"/>
      <c r="O45" s="3721"/>
      <c r="P45" s="3721"/>
      <c r="Q45" s="3721"/>
      <c r="R45" s="3721"/>
      <c r="S45" s="3722"/>
      <c r="T45" s="414" t="s">
        <v>2399</v>
      </c>
      <c r="U45" s="414" t="s">
        <v>2398</v>
      </c>
      <c r="V45" s="3456"/>
      <c r="W45" s="3441"/>
      <c r="X45" s="3442" t="s">
        <v>787</v>
      </c>
      <c r="Y45" s="3442">
        <v>5.79E-3</v>
      </c>
      <c r="Z45" s="3442">
        <v>1.3600000000000001E-3</v>
      </c>
    </row>
    <row r="46" spans="1:26" ht="13.5" customHeight="1" thickTop="1" thickBot="1">
      <c r="A46" s="3430" t="s">
        <v>568</v>
      </c>
      <c r="B46" s="414" t="s">
        <v>569</v>
      </c>
      <c r="C46" s="414" t="s">
        <v>570</v>
      </c>
      <c r="D46" s="414" t="s">
        <v>571</v>
      </c>
      <c r="E46" s="414" t="s">
        <v>572</v>
      </c>
      <c r="F46" s="414" t="s">
        <v>2395</v>
      </c>
      <c r="G46" s="414" t="s">
        <v>2396</v>
      </c>
      <c r="H46" s="414" t="s">
        <v>2397</v>
      </c>
      <c r="I46" s="3719" t="s">
        <v>1698</v>
      </c>
      <c r="J46" s="3703"/>
      <c r="K46" s="3456"/>
      <c r="L46" s="3430" t="s">
        <v>568</v>
      </c>
      <c r="M46" s="414" t="s">
        <v>569</v>
      </c>
      <c r="N46" s="414" t="s">
        <v>570</v>
      </c>
      <c r="O46" s="414" t="s">
        <v>571</v>
      </c>
      <c r="P46" s="414" t="s">
        <v>572</v>
      </c>
      <c r="Q46" s="414" t="s">
        <v>2395</v>
      </c>
      <c r="R46" s="414" t="s">
        <v>2396</v>
      </c>
      <c r="S46" s="414" t="s">
        <v>2397</v>
      </c>
      <c r="T46" s="3719" t="s">
        <v>1698</v>
      </c>
      <c r="U46" s="3703"/>
      <c r="V46" s="3456"/>
      <c r="W46" s="3443" t="s">
        <v>878</v>
      </c>
      <c r="X46" s="3444" t="s">
        <v>788</v>
      </c>
      <c r="Y46" s="3444">
        <v>1.3800000000000002E-2</v>
      </c>
      <c r="Z46" s="3444">
        <v>1.822E-2</v>
      </c>
    </row>
    <row r="47" spans="1:26" ht="13.5" customHeight="1" thickTop="1">
      <c r="A47" s="3425">
        <v>2015</v>
      </c>
      <c r="B47" s="3427">
        <v>9.4189993365766209E-4</v>
      </c>
      <c r="C47" s="3427">
        <v>8.5959911109214368E-4</v>
      </c>
      <c r="D47" s="3427">
        <v>9.9130416899048901E-7</v>
      </c>
      <c r="E47" s="3427">
        <v>7.3742616324653406E-8</v>
      </c>
      <c r="F47" s="3427">
        <v>-3.7298684956102492E-10</v>
      </c>
      <c r="G47" s="3427">
        <v>1.1855287685271241E-12</v>
      </c>
      <c r="H47" s="3427">
        <v>1.2142679229669951E-14</v>
      </c>
      <c r="I47" s="402">
        <v>10</v>
      </c>
      <c r="J47" s="402">
        <v>110</v>
      </c>
      <c r="K47" s="3456"/>
      <c r="L47" s="3425">
        <v>2015</v>
      </c>
      <c r="M47" s="3427">
        <v>-2.25372106533843E-2</v>
      </c>
      <c r="N47" s="3427">
        <v>0.36422653811984201</v>
      </c>
      <c r="O47" s="3427">
        <v>1.0220267083806099E-3</v>
      </c>
      <c r="P47" s="3427">
        <v>-2.11068194147954E-5</v>
      </c>
      <c r="Q47" s="3427">
        <v>5.81550691857675E-7</v>
      </c>
      <c r="R47" s="3427">
        <v>-3.92721578625576E-9</v>
      </c>
      <c r="S47" s="3427">
        <v>8.7764258332600107E-12</v>
      </c>
      <c r="T47" s="402">
        <v>10</v>
      </c>
      <c r="U47" s="402">
        <v>110</v>
      </c>
      <c r="V47" s="3456"/>
      <c r="W47" s="3439"/>
      <c r="X47" s="3436" t="s">
        <v>789</v>
      </c>
      <c r="Y47" s="3436">
        <v>1.074E-2</v>
      </c>
      <c r="Z47" s="3436">
        <v>8.6199999999999992E-3</v>
      </c>
    </row>
    <row r="48" spans="1:26" ht="13.5" customHeight="1">
      <c r="A48" s="3425">
        <v>2020</v>
      </c>
      <c r="B48" s="3428">
        <v>1.5137006268005962E-3</v>
      </c>
      <c r="C48" s="3428">
        <v>2.2099552347353539E-4</v>
      </c>
      <c r="D48" s="3428">
        <v>1.5931572212915496E-6</v>
      </c>
      <c r="E48" s="3428">
        <v>1.1850728290978198E-7</v>
      </c>
      <c r="F48" s="3428">
        <v>-5.9937582239824593E-10</v>
      </c>
      <c r="G48" s="3428">
        <v>1.9049151677214423E-12</v>
      </c>
      <c r="H48" s="3428">
        <v>1.9515038717185201E-14</v>
      </c>
      <c r="I48" s="1648">
        <v>10</v>
      </c>
      <c r="J48" s="1648">
        <v>110</v>
      </c>
      <c r="K48" s="3456"/>
      <c r="L48" s="3425">
        <v>2020</v>
      </c>
      <c r="M48" s="3428">
        <v>1.0474042452067499E-2</v>
      </c>
      <c r="N48" s="3428">
        <v>7.5580709646399596E-2</v>
      </c>
      <c r="O48" s="3428">
        <v>-5.9269763403277495E-4</v>
      </c>
      <c r="P48" s="3428">
        <v>5.0227882132011101E-6</v>
      </c>
      <c r="Q48" s="3428">
        <v>2.1830008252268299E-8</v>
      </c>
      <c r="R48" s="3428">
        <v>-2.4078611356139598E-10</v>
      </c>
      <c r="S48" s="3428">
        <v>4.1442646732999298E-13</v>
      </c>
      <c r="T48" s="1648">
        <v>10</v>
      </c>
      <c r="U48" s="1648">
        <v>110</v>
      </c>
      <c r="V48" s="3456"/>
      <c r="W48" s="3441"/>
      <c r="X48" s="3442" t="s">
        <v>787</v>
      </c>
      <c r="Y48" s="3442">
        <v>9.1500000000000001E-3</v>
      </c>
      <c r="Z48" s="3442">
        <v>2.1199999999999999E-3</v>
      </c>
    </row>
    <row r="49" spans="1:26" ht="13.5" customHeight="1">
      <c r="A49" s="3425">
        <v>2025</v>
      </c>
      <c r="B49" s="3428">
        <v>1.7986760974741749E-3</v>
      </c>
      <c r="C49" s="3428">
        <v>1.5349611326773965E-4</v>
      </c>
      <c r="D49" s="3428">
        <v>1.8928699050138965E-6</v>
      </c>
      <c r="E49" s="3428">
        <v>1.408269999502659E-7</v>
      </c>
      <c r="F49" s="3428">
        <v>-7.1233781308055844E-10</v>
      </c>
      <c r="G49" s="3428">
        <v>2.2643991193344407E-12</v>
      </c>
      <c r="H49" s="3428">
        <v>2.3186928908511233E-14</v>
      </c>
      <c r="I49" s="402">
        <v>10</v>
      </c>
      <c r="J49" s="402">
        <v>110</v>
      </c>
      <c r="K49" s="3456"/>
      <c r="L49" s="3425">
        <v>2025</v>
      </c>
      <c r="M49" s="3428">
        <v>1.97478291776924E-2</v>
      </c>
      <c r="N49" s="3428">
        <v>5.5569735907557399E-2</v>
      </c>
      <c r="O49" s="3428">
        <v>-5.81925804991337E-4</v>
      </c>
      <c r="P49" s="3428">
        <v>1.25530812681109E-5</v>
      </c>
      <c r="Q49" s="3428">
        <v>-1.3039508739919299E-7</v>
      </c>
      <c r="R49" s="3428">
        <v>7.5936162724740004E-10</v>
      </c>
      <c r="S49" s="3428">
        <v>-1.8575822600383601E-12</v>
      </c>
      <c r="T49" s="402">
        <v>10</v>
      </c>
      <c r="U49" s="402">
        <v>110</v>
      </c>
      <c r="V49" s="3456"/>
      <c r="W49" s="3443" t="s">
        <v>2422</v>
      </c>
      <c r="X49" s="3444" t="s">
        <v>788</v>
      </c>
      <c r="Y49" s="3444">
        <v>2.0739999999999998E-2</v>
      </c>
      <c r="Z49" s="3444">
        <v>5.0999999999999997E-2</v>
      </c>
    </row>
    <row r="50" spans="1:26" ht="13.5" customHeight="1">
      <c r="A50" s="3425">
        <v>2030</v>
      </c>
      <c r="B50" s="3428">
        <v>1.8150547743835202E-3</v>
      </c>
      <c r="C50" s="3428">
        <v>1.504493484374211E-4</v>
      </c>
      <c r="D50" s="3428">
        <v>1.9102007244154007E-6</v>
      </c>
      <c r="E50" s="3428">
        <v>1.4210552692116455E-7</v>
      </c>
      <c r="F50" s="3428">
        <v>-7.1877348965670146E-10</v>
      </c>
      <c r="G50" s="3428">
        <v>2.2846678801557406E-12</v>
      </c>
      <c r="H50" s="3428">
        <v>2.33988922106482E-14</v>
      </c>
      <c r="I50" s="402">
        <v>10</v>
      </c>
      <c r="J50" s="402">
        <v>110</v>
      </c>
      <c r="K50" s="3456"/>
      <c r="L50" s="3425">
        <v>2030</v>
      </c>
      <c r="M50" s="3428">
        <v>2.0200396434956799E-2</v>
      </c>
      <c r="N50" s="3428">
        <v>5.6036433271641199E-2</v>
      </c>
      <c r="O50" s="3428">
        <v>-5.7001176628078203E-4</v>
      </c>
      <c r="P50" s="3428">
        <v>1.29070139268899E-5</v>
      </c>
      <c r="Q50" s="3428">
        <v>-1.37424176220673E-7</v>
      </c>
      <c r="R50" s="3428">
        <v>8.0534301911432598E-10</v>
      </c>
      <c r="S50" s="3428">
        <v>-1.9623108999636102E-12</v>
      </c>
      <c r="T50" s="402">
        <v>10</v>
      </c>
      <c r="U50" s="402">
        <v>110</v>
      </c>
      <c r="V50" s="3456"/>
      <c r="W50" s="3439"/>
      <c r="X50" s="3436" t="s">
        <v>789</v>
      </c>
      <c r="Y50" s="3436">
        <v>1.7389999999999999E-2</v>
      </c>
      <c r="Z50" s="3436">
        <v>2.7140000000000001E-2</v>
      </c>
    </row>
    <row r="51" spans="1:26" ht="13.5" customHeight="1" thickBot="1">
      <c r="A51" s="3426">
        <v>2035</v>
      </c>
      <c r="B51" s="3429">
        <v>1.8148237128387458E-3</v>
      </c>
      <c r="C51" s="3429">
        <v>1.5076405086068256E-4</v>
      </c>
      <c r="D51" s="3429">
        <v>1.9096952696823772E-6</v>
      </c>
      <c r="E51" s="3429">
        <v>1.4209822812428473E-7</v>
      </c>
      <c r="F51" s="3429">
        <v>-7.1883574192981135E-10</v>
      </c>
      <c r="G51" s="3429">
        <v>2.2855303417079922E-12</v>
      </c>
      <c r="H51" s="3429">
        <v>2.3392831664706682E-14</v>
      </c>
      <c r="I51" s="403">
        <v>10</v>
      </c>
      <c r="J51" s="403">
        <v>110</v>
      </c>
      <c r="K51" s="3456"/>
      <c r="L51" s="3426">
        <v>2035</v>
      </c>
      <c r="M51" s="3429">
        <v>2.0203425503713401E-2</v>
      </c>
      <c r="N51" s="3429">
        <v>5.66576249238607E-2</v>
      </c>
      <c r="O51" s="3429">
        <v>-5.6384924547686404E-4</v>
      </c>
      <c r="P51" s="3429">
        <v>1.2910331622894599E-5</v>
      </c>
      <c r="Q51" s="3429">
        <v>-1.3752521450543501E-7</v>
      </c>
      <c r="R51" s="3429">
        <v>8.0603211442732401E-10</v>
      </c>
      <c r="S51" s="3429">
        <v>-1.9638443386958002E-12</v>
      </c>
      <c r="T51" s="403">
        <v>10</v>
      </c>
      <c r="U51" s="403">
        <v>110</v>
      </c>
      <c r="V51" s="3456"/>
      <c r="W51" s="3441"/>
      <c r="X51" s="3442" t="s">
        <v>787</v>
      </c>
      <c r="Y51" s="3442">
        <v>1.3980000000000001E-2</v>
      </c>
      <c r="Z51" s="3442">
        <v>8.4399999999999996E-3</v>
      </c>
    </row>
    <row r="52" spans="1:26" ht="13.5" customHeight="1" thickTop="1" thickBot="1">
      <c r="A52" s="3456"/>
      <c r="B52" s="594"/>
      <c r="C52" s="14"/>
      <c r="D52" s="14"/>
      <c r="E52" s="14"/>
      <c r="F52" s="14"/>
      <c r="G52" s="3456"/>
      <c r="H52" s="3456"/>
      <c r="I52" s="3456"/>
      <c r="J52" s="3456"/>
      <c r="K52" s="3456"/>
      <c r="L52" s="3456"/>
      <c r="M52" s="594"/>
      <c r="N52" s="14"/>
      <c r="O52" s="14"/>
      <c r="P52" s="14"/>
      <c r="Q52" s="14"/>
      <c r="R52" s="3456"/>
      <c r="S52" s="3456"/>
      <c r="T52" s="3456"/>
      <c r="U52" s="3456"/>
      <c r="V52" s="3456"/>
      <c r="W52" s="3443" t="s">
        <v>2423</v>
      </c>
      <c r="X52" s="3444" t="s">
        <v>788</v>
      </c>
      <c r="Y52" s="3444">
        <v>4.7070000000000001E-2</v>
      </c>
      <c r="Z52" s="3444">
        <v>5.0999999999999997E-2</v>
      </c>
    </row>
    <row r="53" spans="1:26" ht="13.5" customHeight="1" thickTop="1">
      <c r="A53" s="3454" t="s">
        <v>2489</v>
      </c>
      <c r="B53" s="680" t="s">
        <v>2417</v>
      </c>
      <c r="C53" s="224"/>
      <c r="D53" s="224"/>
      <c r="E53" s="462"/>
      <c r="F53" s="462"/>
      <c r="G53" s="462"/>
      <c r="H53" s="680"/>
      <c r="I53" s="224"/>
      <c r="J53" s="462"/>
      <c r="K53" s="3456"/>
      <c r="L53" s="3454" t="s">
        <v>2488</v>
      </c>
      <c r="M53" s="680" t="s">
        <v>2404</v>
      </c>
      <c r="N53" s="224"/>
      <c r="O53" s="224"/>
      <c r="P53" s="462"/>
      <c r="Q53" s="462"/>
      <c r="R53" s="462"/>
      <c r="S53" s="680"/>
      <c r="T53" s="224"/>
      <c r="U53" s="462"/>
      <c r="V53" s="3456"/>
      <c r="W53" s="3439"/>
      <c r="X53" s="3436" t="s">
        <v>789</v>
      </c>
      <c r="Y53" s="3436">
        <v>3.8240000000000003E-2</v>
      </c>
      <c r="Z53" s="3436">
        <v>2.7140000000000001E-2</v>
      </c>
    </row>
    <row r="54" spans="1:26" ht="13.5" customHeight="1" thickBot="1">
      <c r="A54" s="836"/>
      <c r="B54" s="526" t="s">
        <v>2400</v>
      </c>
      <c r="C54" s="227"/>
      <c r="D54" s="227"/>
      <c r="E54" s="523"/>
      <c r="F54" s="523"/>
      <c r="G54" s="523"/>
      <c r="H54" s="526"/>
      <c r="I54" s="227"/>
      <c r="J54" s="523"/>
      <c r="K54" s="3456"/>
      <c r="L54" s="836"/>
      <c r="M54" s="526" t="s">
        <v>2400</v>
      </c>
      <c r="N54" s="227"/>
      <c r="O54" s="227"/>
      <c r="P54" s="523"/>
      <c r="Q54" s="523"/>
      <c r="R54" s="523"/>
      <c r="S54" s="526"/>
      <c r="T54" s="227"/>
      <c r="U54" s="523"/>
      <c r="V54" s="3456"/>
      <c r="W54" s="3441"/>
      <c r="X54" s="3442" t="s">
        <v>787</v>
      </c>
      <c r="Y54" s="3442">
        <v>3.1489999999999997E-2</v>
      </c>
      <c r="Z54" s="3442">
        <v>8.4399999999999996E-3</v>
      </c>
    </row>
    <row r="55" spans="1:26" ht="13.5" customHeight="1" thickTop="1" thickBot="1">
      <c r="A55" s="464"/>
      <c r="B55" s="3720" t="s">
        <v>1399</v>
      </c>
      <c r="C55" s="3721"/>
      <c r="D55" s="3721"/>
      <c r="E55" s="3721"/>
      <c r="F55" s="3721"/>
      <c r="G55" s="3721"/>
      <c r="H55" s="3722"/>
      <c r="I55" s="414" t="s">
        <v>2399</v>
      </c>
      <c r="J55" s="414" t="s">
        <v>2398</v>
      </c>
      <c r="K55" s="3456"/>
      <c r="L55" s="464"/>
      <c r="M55" s="3720" t="s">
        <v>1399</v>
      </c>
      <c r="N55" s="3721"/>
      <c r="O55" s="3721"/>
      <c r="P55" s="3721"/>
      <c r="Q55" s="3721"/>
      <c r="R55" s="3721"/>
      <c r="S55" s="3722"/>
      <c r="T55" s="414" t="s">
        <v>2399</v>
      </c>
      <c r="U55" s="414" t="s">
        <v>2398</v>
      </c>
      <c r="V55" s="3456"/>
      <c r="W55" s="3443" t="s">
        <v>2424</v>
      </c>
      <c r="X55" s="3444" t="s">
        <v>788</v>
      </c>
      <c r="Y55" s="3444">
        <v>2.1180000000000001E-2</v>
      </c>
      <c r="Z55" s="3444">
        <v>5.3600000000000002E-2</v>
      </c>
    </row>
    <row r="56" spans="1:26" ht="13.5" customHeight="1" thickTop="1" thickBot="1">
      <c r="A56" s="3430" t="s">
        <v>568</v>
      </c>
      <c r="B56" s="414" t="s">
        <v>569</v>
      </c>
      <c r="C56" s="414" t="s">
        <v>570</v>
      </c>
      <c r="D56" s="414" t="s">
        <v>571</v>
      </c>
      <c r="E56" s="414" t="s">
        <v>572</v>
      </c>
      <c r="F56" s="414" t="s">
        <v>2395</v>
      </c>
      <c r="G56" s="414" t="s">
        <v>2396</v>
      </c>
      <c r="H56" s="414" t="s">
        <v>2397</v>
      </c>
      <c r="I56" s="3719" t="s">
        <v>1698</v>
      </c>
      <c r="J56" s="3703"/>
      <c r="K56" s="3456"/>
      <c r="L56" s="3430" t="s">
        <v>568</v>
      </c>
      <c r="M56" s="414" t="s">
        <v>569</v>
      </c>
      <c r="N56" s="414" t="s">
        <v>570</v>
      </c>
      <c r="O56" s="414" t="s">
        <v>571</v>
      </c>
      <c r="P56" s="414" t="s">
        <v>572</v>
      </c>
      <c r="Q56" s="414" t="s">
        <v>2395</v>
      </c>
      <c r="R56" s="414" t="s">
        <v>2396</v>
      </c>
      <c r="S56" s="414" t="s">
        <v>2397</v>
      </c>
      <c r="T56" s="3719" t="s">
        <v>1698</v>
      </c>
      <c r="U56" s="3703"/>
      <c r="V56" s="3456"/>
      <c r="W56" s="3439"/>
      <c r="X56" s="3436" t="s">
        <v>789</v>
      </c>
      <c r="Y56" s="3436">
        <v>1.7389999999999999E-2</v>
      </c>
      <c r="Z56" s="3436">
        <v>2.7140000000000001E-2</v>
      </c>
    </row>
    <row r="57" spans="1:26" ht="13.5" customHeight="1" thickTop="1">
      <c r="A57" s="3425">
        <v>2015</v>
      </c>
      <c r="B57" s="3427">
        <v>1.0556602822435399E-2</v>
      </c>
      <c r="C57" s="3427">
        <v>3.7440176825494498E-2</v>
      </c>
      <c r="D57" s="3427">
        <v>-9.4179488848670102E-4</v>
      </c>
      <c r="E57" s="3427">
        <v>8.7650722304144596E-6</v>
      </c>
      <c r="F57" s="3427">
        <v>-1.9470886139344701E-9</v>
      </c>
      <c r="G57" s="3427">
        <v>1.3673129411237699E-11</v>
      </c>
      <c r="H57" s="3427">
        <v>-3.8633035890303998E-14</v>
      </c>
      <c r="I57" s="402">
        <v>10</v>
      </c>
      <c r="J57" s="402">
        <v>100</v>
      </c>
      <c r="K57" s="3456"/>
      <c r="L57" s="3425">
        <v>2015</v>
      </c>
      <c r="M57" s="3427">
        <v>2.8119939389788402</v>
      </c>
      <c r="N57" s="3427">
        <v>1.3151655929880099</v>
      </c>
      <c r="O57" s="3427">
        <v>-1.7597269870939999E-2</v>
      </c>
      <c r="P57" s="3427">
        <v>2.7430975975348E-4</v>
      </c>
      <c r="Q57" s="3427">
        <v>-2.8910049989019902E-6</v>
      </c>
      <c r="R57" s="3427">
        <v>1.9808343323170301E-8</v>
      </c>
      <c r="S57" s="3427">
        <v>-1.1101639372624099E-11</v>
      </c>
      <c r="T57" s="402">
        <v>10</v>
      </c>
      <c r="U57" s="402">
        <v>110</v>
      </c>
      <c r="V57" s="3456"/>
      <c r="W57" s="3441"/>
      <c r="X57" s="3442" t="s">
        <v>787</v>
      </c>
      <c r="Y57" s="3442">
        <v>1.3980000000000001E-2</v>
      </c>
      <c r="Z57" s="3442">
        <v>8.4399999999999996E-3</v>
      </c>
    </row>
    <row r="58" spans="1:26" ht="13.5" customHeight="1">
      <c r="A58" s="3425">
        <v>2020</v>
      </c>
      <c r="B58" s="3428">
        <v>1.69648004920697E-2</v>
      </c>
      <c r="C58" s="3428">
        <v>8.9019523064830502E-3</v>
      </c>
      <c r="D58" s="3428">
        <v>-2.1726115006170401E-4</v>
      </c>
      <c r="E58" s="3428">
        <v>2.1450616907086E-6</v>
      </c>
      <c r="F58" s="3428">
        <v>-3.1301786315849698E-9</v>
      </c>
      <c r="G58" s="3428">
        <v>2.1983123140938801E-11</v>
      </c>
      <c r="H58" s="3428">
        <v>-6.2118089080053997E-14</v>
      </c>
      <c r="I58" s="1648">
        <v>10</v>
      </c>
      <c r="J58" s="1648">
        <v>100</v>
      </c>
      <c r="K58" s="3456"/>
      <c r="L58" s="3425">
        <v>2020</v>
      </c>
      <c r="M58" s="3428">
        <v>3.09559908933368</v>
      </c>
      <c r="N58" s="3428">
        <v>0.84236507621643997</v>
      </c>
      <c r="O58" s="3428">
        <v>-9.8700818859907107E-3</v>
      </c>
      <c r="P58" s="3428">
        <v>2.29481046976887E-4</v>
      </c>
      <c r="Q58" s="3428">
        <v>-3.17146296444991E-6</v>
      </c>
      <c r="R58" s="3428">
        <v>2.1706352911451499E-8</v>
      </c>
      <c r="S58" s="3428">
        <v>-1.20391686147365E-11</v>
      </c>
      <c r="T58" s="1648">
        <v>10</v>
      </c>
      <c r="U58" s="1648">
        <v>110</v>
      </c>
      <c r="V58" s="3456"/>
      <c r="W58" s="3439" t="s">
        <v>2425</v>
      </c>
      <c r="X58" s="3436" t="s">
        <v>788</v>
      </c>
      <c r="Y58" s="3436">
        <v>3.7599999999999999E-3</v>
      </c>
      <c r="Z58" s="3436">
        <v>5.8399999999999997E-3</v>
      </c>
    </row>
    <row r="59" spans="1:26" ht="13.5" customHeight="1">
      <c r="A59" s="3425">
        <v>2025</v>
      </c>
      <c r="B59" s="3428">
        <v>1.8779240224688399E-2</v>
      </c>
      <c r="C59" s="3428">
        <v>2.5081192201483801E-3</v>
      </c>
      <c r="D59" s="3428">
        <v>-5.4758282187506197E-5</v>
      </c>
      <c r="E59" s="3428">
        <v>6.6345984206684498E-7</v>
      </c>
      <c r="F59" s="3428">
        <v>-3.4646214211041799E-9</v>
      </c>
      <c r="G59" s="3428">
        <v>2.43310232012264E-11</v>
      </c>
      <c r="H59" s="3428">
        <v>-6.8749997617110302E-14</v>
      </c>
      <c r="I59" s="402">
        <v>10</v>
      </c>
      <c r="J59" s="402">
        <v>100</v>
      </c>
      <c r="K59" s="3456"/>
      <c r="L59" s="3425">
        <v>2025</v>
      </c>
      <c r="M59" s="3428">
        <v>1.9819766425744001</v>
      </c>
      <c r="N59" s="3428">
        <v>0.46100519095941001</v>
      </c>
      <c r="O59" s="3428">
        <v>-5.0923964780456897E-3</v>
      </c>
      <c r="P59" s="3428">
        <v>1.3745385522114599E-4</v>
      </c>
      <c r="Q59" s="3428">
        <v>-2.0266566828768E-6</v>
      </c>
      <c r="R59" s="3428">
        <v>1.38626798688466E-8</v>
      </c>
      <c r="S59" s="3428">
        <v>-7.6444596585350302E-12</v>
      </c>
      <c r="T59" s="402">
        <v>10</v>
      </c>
      <c r="U59" s="402">
        <v>110</v>
      </c>
      <c r="V59" s="3456"/>
      <c r="W59" s="3439"/>
      <c r="X59" s="3436" t="s">
        <v>789</v>
      </c>
      <c r="Y59" s="3436">
        <v>2.9199999999999999E-3</v>
      </c>
      <c r="Z59" s="3436">
        <v>2.7599999999999999E-3</v>
      </c>
    </row>
    <row r="60" spans="1:26" ht="13.5" customHeight="1" thickBot="1">
      <c r="A60" s="3425">
        <v>2030</v>
      </c>
      <c r="B60" s="3428">
        <v>1.9078762232157299E-2</v>
      </c>
      <c r="C60" s="3428">
        <v>1.5368622509586299E-3</v>
      </c>
      <c r="D60" s="3428">
        <v>-3.0062182224896899E-5</v>
      </c>
      <c r="E60" s="3428">
        <v>4.3849607730769401E-7</v>
      </c>
      <c r="F60" s="3428">
        <v>-3.5198172518803601E-9</v>
      </c>
      <c r="G60" s="3428">
        <v>2.4718641434880701E-11</v>
      </c>
      <c r="H60" s="3428">
        <v>-6.9845385927651898E-14</v>
      </c>
      <c r="I60" s="402">
        <v>10</v>
      </c>
      <c r="J60" s="402">
        <v>100</v>
      </c>
      <c r="K60" s="3456"/>
      <c r="L60" s="3425">
        <v>2030</v>
      </c>
      <c r="M60" s="3428">
        <v>1.39369773549466</v>
      </c>
      <c r="N60" s="3428">
        <v>0.31011265160057699</v>
      </c>
      <c r="O60" s="3428">
        <v>-3.3630326715502301E-3</v>
      </c>
      <c r="P60" s="3428">
        <v>9.4853057377267198E-5</v>
      </c>
      <c r="Q60" s="3428">
        <v>-1.42177439495767E-6</v>
      </c>
      <c r="R60" s="3428">
        <v>9.71805986360567E-9</v>
      </c>
      <c r="S60" s="3428">
        <v>-5.3207148131403802E-12</v>
      </c>
      <c r="T60" s="402">
        <v>10</v>
      </c>
      <c r="U60" s="402">
        <v>110</v>
      </c>
      <c r="V60" s="3456"/>
      <c r="W60" s="3440"/>
      <c r="X60" s="3437" t="s">
        <v>787</v>
      </c>
      <c r="Y60" s="3437">
        <v>2.49E-3</v>
      </c>
      <c r="Z60" s="3437">
        <v>6.8000000000000005E-4</v>
      </c>
    </row>
    <row r="61" spans="1:26" ht="13.5" customHeight="1" thickTop="1" thickBot="1">
      <c r="A61" s="3426">
        <v>2035</v>
      </c>
      <c r="B61" s="3429">
        <v>1.9103152100139801E-2</v>
      </c>
      <c r="C61" s="3429">
        <v>1.4613954640341901E-3</v>
      </c>
      <c r="D61" s="3429">
        <v>-2.81429904144331E-5</v>
      </c>
      <c r="E61" s="3429">
        <v>4.2103015808734302E-7</v>
      </c>
      <c r="F61" s="3429">
        <v>-3.5244451665043698E-9</v>
      </c>
      <c r="G61" s="3429">
        <v>2.4750885144831101E-11</v>
      </c>
      <c r="H61" s="3429">
        <v>-6.9935373239481494E-14</v>
      </c>
      <c r="I61" s="403">
        <v>10</v>
      </c>
      <c r="J61" s="403">
        <v>100</v>
      </c>
      <c r="K61" s="3456"/>
      <c r="L61" s="3426">
        <v>2035</v>
      </c>
      <c r="M61" s="3429">
        <v>1.1999626195909601</v>
      </c>
      <c r="N61" s="3429">
        <v>0.26577619735396402</v>
      </c>
      <c r="O61" s="3429">
        <v>-2.8771839752405799E-3</v>
      </c>
      <c r="P61" s="3429">
        <v>8.1480023147577495E-5</v>
      </c>
      <c r="Q61" s="3429">
        <v>-1.2230680503200001E-6</v>
      </c>
      <c r="R61" s="3429">
        <v>8.3576058532566799E-9</v>
      </c>
      <c r="S61" s="3429">
        <v>-4.5635287449605004E-12</v>
      </c>
      <c r="T61" s="403">
        <v>10</v>
      </c>
      <c r="U61" s="403">
        <v>110</v>
      </c>
      <c r="V61" s="3456"/>
      <c r="W61" s="3456"/>
      <c r="X61" s="3456"/>
      <c r="Y61" s="3456"/>
      <c r="Z61" s="3456"/>
    </row>
    <row r="62" spans="1:26" ht="13.5" customHeight="1" thickTop="1" thickBot="1">
      <c r="A62" s="3456"/>
      <c r="B62" s="594"/>
      <c r="C62" s="14"/>
      <c r="D62" s="14"/>
      <c r="E62" s="14"/>
      <c r="F62" s="14"/>
      <c r="G62" s="3456"/>
      <c r="H62" s="3456"/>
      <c r="I62" s="3456"/>
      <c r="J62" s="3456"/>
      <c r="K62" s="3456"/>
      <c r="L62" s="3456"/>
      <c r="M62" s="594"/>
      <c r="N62" s="14"/>
      <c r="O62" s="14"/>
      <c r="P62" s="14"/>
      <c r="Q62" s="14"/>
      <c r="R62" s="3456"/>
      <c r="S62" s="3456"/>
      <c r="T62" s="3456"/>
      <c r="U62" s="3456"/>
      <c r="V62" s="3456"/>
      <c r="W62" s="3456"/>
      <c r="X62" s="3456"/>
      <c r="Y62" s="3456"/>
      <c r="Z62" s="3456"/>
    </row>
    <row r="63" spans="1:26" ht="13.5" customHeight="1" thickTop="1">
      <c r="A63" s="3454" t="s">
        <v>2489</v>
      </c>
      <c r="B63" s="680" t="s">
        <v>2418</v>
      </c>
      <c r="C63" s="224"/>
      <c r="D63" s="224"/>
      <c r="E63" s="462"/>
      <c r="F63" s="462"/>
      <c r="G63" s="462"/>
      <c r="H63" s="680"/>
      <c r="I63" s="224"/>
      <c r="J63" s="462"/>
      <c r="K63" s="3456"/>
      <c r="L63" s="3454" t="s">
        <v>2488</v>
      </c>
      <c r="M63" s="680" t="s">
        <v>2405</v>
      </c>
      <c r="N63" s="224"/>
      <c r="O63" s="224"/>
      <c r="P63" s="462"/>
      <c r="Q63" s="462"/>
      <c r="R63" s="462"/>
      <c r="S63" s="680"/>
      <c r="T63" s="224"/>
      <c r="U63" s="462"/>
      <c r="V63" s="3456"/>
      <c r="W63" s="3456"/>
      <c r="X63" s="3456"/>
      <c r="Y63" s="3456"/>
      <c r="Z63" s="3456"/>
    </row>
    <row r="64" spans="1:26" ht="13.5" customHeight="1" thickBot="1">
      <c r="A64" s="836"/>
      <c r="B64" s="526" t="s">
        <v>2400</v>
      </c>
      <c r="C64" s="227"/>
      <c r="D64" s="227"/>
      <c r="E64" s="523"/>
      <c r="F64" s="523"/>
      <c r="G64" s="523"/>
      <c r="H64" s="526"/>
      <c r="I64" s="227"/>
      <c r="J64" s="523"/>
      <c r="K64" s="3456"/>
      <c r="L64" s="836"/>
      <c r="M64" s="526" t="s">
        <v>2400</v>
      </c>
      <c r="N64" s="227"/>
      <c r="O64" s="227"/>
      <c r="P64" s="523"/>
      <c r="Q64" s="523"/>
      <c r="R64" s="523"/>
      <c r="S64" s="526"/>
      <c r="T64" s="227"/>
      <c r="U64" s="523"/>
      <c r="V64" s="3456"/>
      <c r="W64" s="3456"/>
      <c r="X64" s="3456"/>
      <c r="Y64" s="3456"/>
      <c r="Z64" s="3456"/>
    </row>
    <row r="65" spans="1:26" ht="13.5" customHeight="1" thickTop="1" thickBot="1">
      <c r="A65" s="464"/>
      <c r="B65" s="3720" t="s">
        <v>1399</v>
      </c>
      <c r="C65" s="3721"/>
      <c r="D65" s="3721"/>
      <c r="E65" s="3721"/>
      <c r="F65" s="3721"/>
      <c r="G65" s="3721"/>
      <c r="H65" s="3722"/>
      <c r="I65" s="414" t="s">
        <v>2399</v>
      </c>
      <c r="J65" s="414" t="s">
        <v>2398</v>
      </c>
      <c r="K65" s="3456"/>
      <c r="L65" s="464"/>
      <c r="M65" s="3720" t="s">
        <v>1399</v>
      </c>
      <c r="N65" s="3721"/>
      <c r="O65" s="3721"/>
      <c r="P65" s="3721"/>
      <c r="Q65" s="3721"/>
      <c r="R65" s="3721"/>
      <c r="S65" s="3722"/>
      <c r="T65" s="414" t="s">
        <v>2399</v>
      </c>
      <c r="U65" s="414" t="s">
        <v>2398</v>
      </c>
      <c r="V65" s="3456"/>
      <c r="W65" s="3456"/>
      <c r="X65" s="3456"/>
      <c r="Y65" s="3456"/>
      <c r="Z65" s="3456"/>
    </row>
    <row r="66" spans="1:26" ht="13.5" customHeight="1" thickTop="1" thickBot="1">
      <c r="A66" s="3430" t="s">
        <v>568</v>
      </c>
      <c r="B66" s="414" t="s">
        <v>569</v>
      </c>
      <c r="C66" s="414" t="s">
        <v>570</v>
      </c>
      <c r="D66" s="414" t="s">
        <v>571</v>
      </c>
      <c r="E66" s="414" t="s">
        <v>572</v>
      </c>
      <c r="F66" s="414" t="s">
        <v>2395</v>
      </c>
      <c r="G66" s="414" t="s">
        <v>2396</v>
      </c>
      <c r="H66" s="414" t="s">
        <v>2397</v>
      </c>
      <c r="I66" s="3719" t="s">
        <v>1698</v>
      </c>
      <c r="J66" s="3703"/>
      <c r="K66" s="3456"/>
      <c r="L66" s="3430" t="s">
        <v>568</v>
      </c>
      <c r="M66" s="414" t="s">
        <v>569</v>
      </c>
      <c r="N66" s="414" t="s">
        <v>570</v>
      </c>
      <c r="O66" s="414" t="s">
        <v>571</v>
      </c>
      <c r="P66" s="414" t="s">
        <v>572</v>
      </c>
      <c r="Q66" s="414" t="s">
        <v>2395</v>
      </c>
      <c r="R66" s="414" t="s">
        <v>2396</v>
      </c>
      <c r="S66" s="414" t="s">
        <v>2397</v>
      </c>
      <c r="T66" s="3719" t="s">
        <v>1698</v>
      </c>
      <c r="U66" s="3703"/>
      <c r="V66" s="3456"/>
      <c r="W66" s="3456"/>
      <c r="X66" s="3456"/>
      <c r="Y66" s="3456"/>
      <c r="Z66" s="3456"/>
    </row>
    <row r="67" spans="1:26" ht="13.5" customHeight="1" thickTop="1">
      <c r="A67" s="3425">
        <v>2015</v>
      </c>
      <c r="B67" s="3427">
        <v>0.67047013801516198</v>
      </c>
      <c r="C67" s="3427">
        <v>4.9728221578952299E-2</v>
      </c>
      <c r="D67" s="3427">
        <v>-1.3762266144488301E-3</v>
      </c>
      <c r="E67" s="3427">
        <v>2.8357947160648699E-5</v>
      </c>
      <c r="F67" s="3427">
        <v>-3.1861755059841801E-7</v>
      </c>
      <c r="G67" s="3427">
        <v>1.8750253498675101E-9</v>
      </c>
      <c r="H67" s="3427">
        <v>-4.1197672118892599E-12</v>
      </c>
      <c r="I67" s="402">
        <v>12</v>
      </c>
      <c r="J67" s="402">
        <v>85</v>
      </c>
      <c r="K67" s="3456"/>
      <c r="L67" s="3425">
        <v>2015</v>
      </c>
      <c r="M67" s="3427">
        <v>47.941023002482197</v>
      </c>
      <c r="N67" s="3427">
        <v>5.1495818065860099</v>
      </c>
      <c r="O67" s="3427">
        <v>-0.19094519923935199</v>
      </c>
      <c r="P67" s="3427">
        <v>4.4786613159551302E-3</v>
      </c>
      <c r="Q67" s="3427">
        <v>-5.9932076244515701E-5</v>
      </c>
      <c r="R67" s="3427">
        <v>4.2129698951587798E-7</v>
      </c>
      <c r="S67" s="3427">
        <v>-1.1823253186005701E-9</v>
      </c>
      <c r="T67" s="402">
        <v>12</v>
      </c>
      <c r="U67" s="402">
        <v>85</v>
      </c>
      <c r="V67" s="3456"/>
      <c r="W67" s="3456"/>
      <c r="X67" s="3456"/>
      <c r="Y67" s="3456"/>
      <c r="Z67" s="3456"/>
    </row>
    <row r="68" spans="1:26" ht="13.5" customHeight="1">
      <c r="A68" s="3425">
        <v>2020</v>
      </c>
      <c r="B68" s="3428">
        <v>0.236917200907766</v>
      </c>
      <c r="C68" s="3428">
        <v>1.4721327188368299E-2</v>
      </c>
      <c r="D68" s="3428">
        <v>-3.7116237557264598E-4</v>
      </c>
      <c r="E68" s="3428">
        <v>7.2710656314107501E-6</v>
      </c>
      <c r="F68" s="3428">
        <v>-7.1488889344123394E-8</v>
      </c>
      <c r="G68" s="3428">
        <v>2.75703426018024E-10</v>
      </c>
      <c r="H68" s="3428">
        <v>1.3269386465058399E-13</v>
      </c>
      <c r="I68" s="1648">
        <v>12</v>
      </c>
      <c r="J68" s="1648">
        <v>85</v>
      </c>
      <c r="K68" s="3456"/>
      <c r="L68" s="3425">
        <v>2020</v>
      </c>
      <c r="M68" s="3428">
        <v>29.128012791212001</v>
      </c>
      <c r="N68" s="3428">
        <v>1.3679850504829301</v>
      </c>
      <c r="O68" s="3428">
        <v>-4.6021765798273898E-2</v>
      </c>
      <c r="P68" s="3428">
        <v>8.4656871257053699E-4</v>
      </c>
      <c r="Q68" s="3428">
        <v>-8.6624027783451998E-6</v>
      </c>
      <c r="R68" s="3428">
        <v>4.2102056005029397E-8</v>
      </c>
      <c r="S68" s="3428">
        <v>-5.4896381331378897E-11</v>
      </c>
      <c r="T68" s="1648">
        <v>12</v>
      </c>
      <c r="U68" s="1648">
        <v>85</v>
      </c>
      <c r="V68" s="3456"/>
      <c r="W68" s="3456"/>
      <c r="X68" s="3456"/>
      <c r="Y68" s="3456"/>
      <c r="Z68" s="3456"/>
    </row>
    <row r="69" spans="1:26" ht="13.5" customHeight="1">
      <c r="A69" s="3425">
        <v>2025</v>
      </c>
      <c r="B69" s="3428">
        <v>0.112226010081854</v>
      </c>
      <c r="C69" s="3428">
        <v>3.78787865172231E-3</v>
      </c>
      <c r="D69" s="3428">
        <v>-5.2932989219744802E-5</v>
      </c>
      <c r="E69" s="3428">
        <v>1.19997221690825E-7</v>
      </c>
      <c r="F69" s="3428">
        <v>1.8462753086337902E-8</v>
      </c>
      <c r="G69" s="3428">
        <v>-3.2076570780317801E-10</v>
      </c>
      <c r="H69" s="3428">
        <v>1.6836674939310201E-12</v>
      </c>
      <c r="I69" s="402">
        <v>12</v>
      </c>
      <c r="J69" s="402">
        <v>85</v>
      </c>
      <c r="K69" s="3456"/>
      <c r="L69" s="3425">
        <v>2025</v>
      </c>
      <c r="M69" s="3428">
        <v>20.6428291722059</v>
      </c>
      <c r="N69" s="3428">
        <v>-0.21706169743916401</v>
      </c>
      <c r="O69" s="3428">
        <v>1.7417647665712601E-2</v>
      </c>
      <c r="P69" s="3428">
        <v>-6.7818029396438898E-4</v>
      </c>
      <c r="Q69" s="3428">
        <v>1.23592733770007E-5</v>
      </c>
      <c r="R69" s="3428">
        <v>-1.09863353045458E-7</v>
      </c>
      <c r="S69" s="3428">
        <v>3.8416788858154499E-10</v>
      </c>
      <c r="T69" s="402">
        <v>12</v>
      </c>
      <c r="U69" s="402">
        <v>85</v>
      </c>
      <c r="V69" s="3456"/>
      <c r="W69" s="3456"/>
      <c r="X69" s="3456"/>
      <c r="Y69" s="3456"/>
      <c r="Z69" s="3456"/>
    </row>
    <row r="70" spans="1:26" ht="13.5" customHeight="1">
      <c r="A70" s="3425">
        <v>2030</v>
      </c>
      <c r="B70" s="3428">
        <v>9.3088116449123098E-2</v>
      </c>
      <c r="C70" s="3428">
        <v>1.78548225522794E-3</v>
      </c>
      <c r="D70" s="3428">
        <v>7.3362153960482797E-6</v>
      </c>
      <c r="E70" s="3428">
        <v>-1.30751687958465E-6</v>
      </c>
      <c r="F70" s="3428">
        <v>3.7280312237590499E-8</v>
      </c>
      <c r="G70" s="3428">
        <v>-4.4802389492438902E-10</v>
      </c>
      <c r="H70" s="3428">
        <v>2.0137995236545999E-12</v>
      </c>
      <c r="I70" s="402">
        <v>12</v>
      </c>
      <c r="J70" s="402">
        <v>85</v>
      </c>
      <c r="K70" s="3456"/>
      <c r="L70" s="3425">
        <v>2030</v>
      </c>
      <c r="M70" s="3428">
        <v>18.847288194125799</v>
      </c>
      <c r="N70" s="3428">
        <v>-0.55598204559600894</v>
      </c>
      <c r="O70" s="3428">
        <v>3.1295074024888E-2</v>
      </c>
      <c r="P70" s="3428">
        <v>-1.0057020629787099E-3</v>
      </c>
      <c r="Q70" s="3428">
        <v>1.68263278392388E-5</v>
      </c>
      <c r="R70" s="3428">
        <v>-1.41798624947753E-7</v>
      </c>
      <c r="S70" s="3428">
        <v>4.7511033258734201E-10</v>
      </c>
      <c r="T70" s="402">
        <v>12</v>
      </c>
      <c r="U70" s="402">
        <v>85</v>
      </c>
      <c r="V70" s="3456"/>
      <c r="W70" s="3456"/>
      <c r="X70" s="3456"/>
      <c r="Y70" s="3456"/>
      <c r="Z70" s="3456"/>
    </row>
    <row r="71" spans="1:26" ht="13.5" customHeight="1" thickBot="1">
      <c r="A71" s="3426">
        <v>2035</v>
      </c>
      <c r="B71" s="3429">
        <v>9.1205886696773E-2</v>
      </c>
      <c r="C71" s="3429">
        <v>1.5442139563337199E-3</v>
      </c>
      <c r="D71" s="3429">
        <v>1.4534298546436199E-5</v>
      </c>
      <c r="E71" s="3429">
        <v>-1.4779643435993201E-6</v>
      </c>
      <c r="F71" s="3429">
        <v>3.9493227223997801E-8</v>
      </c>
      <c r="G71" s="3429">
        <v>-4.6230345245662701E-10</v>
      </c>
      <c r="H71" s="3429">
        <v>2.0473654541012598E-12</v>
      </c>
      <c r="I71" s="403">
        <v>12</v>
      </c>
      <c r="J71" s="403">
        <v>85</v>
      </c>
      <c r="K71" s="3456"/>
      <c r="L71" s="3426">
        <v>2035</v>
      </c>
      <c r="M71" s="3429">
        <v>18.568488653071</v>
      </c>
      <c r="N71" s="3429">
        <v>-0.60139735728979304</v>
      </c>
      <c r="O71" s="3429">
        <v>3.3186981648559898E-2</v>
      </c>
      <c r="P71" s="3429">
        <v>-1.0483419653954001E-3</v>
      </c>
      <c r="Q71" s="3429">
        <v>1.7391135734667301E-5</v>
      </c>
      <c r="R71" s="3429">
        <v>-1.4572297016674199E-7</v>
      </c>
      <c r="S71" s="3429">
        <v>4.8586937119383399E-10</v>
      </c>
      <c r="T71" s="403">
        <v>12</v>
      </c>
      <c r="U71" s="403">
        <v>85</v>
      </c>
      <c r="V71" s="3456"/>
      <c r="W71" s="3456"/>
      <c r="X71" s="3456"/>
      <c r="Y71" s="3456"/>
      <c r="Z71" s="3456"/>
    </row>
    <row r="72" spans="1:26" ht="13.5" customHeight="1" thickTop="1" thickBot="1">
      <c r="A72" s="3456"/>
      <c r="B72" s="3456"/>
      <c r="C72" s="3456"/>
      <c r="D72" s="3456"/>
      <c r="E72" s="3456"/>
      <c r="F72" s="3456"/>
      <c r="G72" s="3456"/>
      <c r="H72" s="3456"/>
      <c r="I72" s="3456"/>
      <c r="J72" s="3456"/>
      <c r="K72" s="3456"/>
      <c r="L72" s="3456"/>
      <c r="M72" s="3456"/>
      <c r="N72" s="3456"/>
      <c r="O72" s="3456"/>
      <c r="P72" s="3456"/>
      <c r="Q72" s="3456"/>
      <c r="R72" s="3456"/>
      <c r="S72" s="3456"/>
      <c r="T72" s="3456"/>
      <c r="U72" s="3456"/>
      <c r="V72" s="3456"/>
      <c r="W72" s="3456"/>
      <c r="X72" s="3456"/>
      <c r="Y72" s="3456"/>
      <c r="Z72" s="3456"/>
    </row>
    <row r="73" spans="1:26" ht="13.5" customHeight="1" thickTop="1">
      <c r="A73" s="3454" t="s">
        <v>2489</v>
      </c>
      <c r="B73" s="680" t="s">
        <v>2419</v>
      </c>
      <c r="C73" s="224"/>
      <c r="D73" s="224"/>
      <c r="E73" s="462"/>
      <c r="F73" s="462"/>
      <c r="G73" s="462"/>
      <c r="H73" s="680"/>
      <c r="I73" s="224"/>
      <c r="J73" s="462"/>
      <c r="K73" s="3456"/>
      <c r="L73" s="3454" t="s">
        <v>2488</v>
      </c>
      <c r="M73" s="680" t="s">
        <v>2406</v>
      </c>
      <c r="N73" s="224"/>
      <c r="O73" s="224"/>
      <c r="P73" s="462"/>
      <c r="Q73" s="462"/>
      <c r="R73" s="462"/>
      <c r="S73" s="680"/>
      <c r="T73" s="224"/>
      <c r="U73" s="462"/>
      <c r="V73" s="3456"/>
      <c r="W73" s="3456"/>
      <c r="X73" s="3456"/>
      <c r="Y73" s="3456"/>
      <c r="Z73" s="3456"/>
    </row>
    <row r="74" spans="1:26" ht="13.5" customHeight="1" thickBot="1">
      <c r="A74" s="836"/>
      <c r="B74" s="526" t="s">
        <v>2400</v>
      </c>
      <c r="C74" s="227"/>
      <c r="D74" s="227"/>
      <c r="E74" s="523"/>
      <c r="F74" s="523"/>
      <c r="G74" s="523"/>
      <c r="H74" s="526"/>
      <c r="I74" s="227"/>
      <c r="J74" s="523"/>
      <c r="K74" s="3456"/>
      <c r="L74" s="836"/>
      <c r="M74" s="526" t="s">
        <v>2400</v>
      </c>
      <c r="N74" s="227"/>
      <c r="O74" s="227"/>
      <c r="P74" s="523"/>
      <c r="Q74" s="523"/>
      <c r="R74" s="523"/>
      <c r="S74" s="526"/>
      <c r="T74" s="227"/>
      <c r="U74" s="523"/>
      <c r="V74" s="3456"/>
      <c r="W74" s="3456"/>
      <c r="X74" s="3456"/>
      <c r="Y74" s="3456"/>
      <c r="Z74" s="3456"/>
    </row>
    <row r="75" spans="1:26" ht="13.5" customHeight="1" thickTop="1" thickBot="1">
      <c r="A75" s="464"/>
      <c r="B75" s="3720" t="s">
        <v>1399</v>
      </c>
      <c r="C75" s="3721"/>
      <c r="D75" s="3721"/>
      <c r="E75" s="3721"/>
      <c r="F75" s="3721"/>
      <c r="G75" s="3721"/>
      <c r="H75" s="3722"/>
      <c r="I75" s="414" t="s">
        <v>2399</v>
      </c>
      <c r="J75" s="414" t="s">
        <v>2398</v>
      </c>
      <c r="K75" s="3456"/>
      <c r="L75" s="464"/>
      <c r="M75" s="3720" t="s">
        <v>1399</v>
      </c>
      <c r="N75" s="3721"/>
      <c r="O75" s="3721"/>
      <c r="P75" s="3721"/>
      <c r="Q75" s="3721"/>
      <c r="R75" s="3721"/>
      <c r="S75" s="3722"/>
      <c r="T75" s="414" t="s">
        <v>2399</v>
      </c>
      <c r="U75" s="414" t="s">
        <v>2398</v>
      </c>
      <c r="V75" s="3456"/>
      <c r="W75" s="3456"/>
      <c r="X75" s="3456"/>
      <c r="Y75" s="3456"/>
      <c r="Z75" s="3456"/>
    </row>
    <row r="76" spans="1:26" ht="13.5" customHeight="1" thickTop="1" thickBot="1">
      <c r="A76" s="3430" t="s">
        <v>568</v>
      </c>
      <c r="B76" s="414" t="s">
        <v>569</v>
      </c>
      <c r="C76" s="414" t="s">
        <v>570</v>
      </c>
      <c r="D76" s="414" t="s">
        <v>571</v>
      </c>
      <c r="E76" s="414" t="s">
        <v>572</v>
      </c>
      <c r="F76" s="414" t="s">
        <v>2395</v>
      </c>
      <c r="G76" s="414" t="s">
        <v>2396</v>
      </c>
      <c r="H76" s="414" t="s">
        <v>2397</v>
      </c>
      <c r="I76" s="3719" t="s">
        <v>1698</v>
      </c>
      <c r="J76" s="3703"/>
      <c r="K76" s="3456"/>
      <c r="L76" s="3430" t="s">
        <v>568</v>
      </c>
      <c r="M76" s="414" t="s">
        <v>569</v>
      </c>
      <c r="N76" s="414" t="s">
        <v>570</v>
      </c>
      <c r="O76" s="414" t="s">
        <v>571</v>
      </c>
      <c r="P76" s="414" t="s">
        <v>572</v>
      </c>
      <c r="Q76" s="414" t="s">
        <v>2395</v>
      </c>
      <c r="R76" s="414" t="s">
        <v>2396</v>
      </c>
      <c r="S76" s="414" t="s">
        <v>2397</v>
      </c>
      <c r="T76" s="3719" t="s">
        <v>1698</v>
      </c>
      <c r="U76" s="3703"/>
      <c r="V76" s="3456"/>
      <c r="W76" s="3456"/>
      <c r="X76" s="3456"/>
      <c r="Y76" s="3456"/>
      <c r="Z76" s="3456"/>
    </row>
    <row r="77" spans="1:26" ht="13.5" customHeight="1" thickTop="1">
      <c r="A77" s="3425">
        <v>2015</v>
      </c>
      <c r="B77" s="3427">
        <v>0.58461097557013697</v>
      </c>
      <c r="C77" s="3427">
        <v>4.8182705908836998E-2</v>
      </c>
      <c r="D77" s="3427">
        <v>-1.7616560425435101E-3</v>
      </c>
      <c r="E77" s="3427">
        <v>4.5831226644344299E-5</v>
      </c>
      <c r="F77" s="3427">
        <v>-6.6643291999774496E-7</v>
      </c>
      <c r="G77" s="3427">
        <v>5.1075184245899898E-9</v>
      </c>
      <c r="H77" s="3427">
        <v>-1.5961921245458499E-11</v>
      </c>
      <c r="I77" s="402">
        <v>12</v>
      </c>
      <c r="J77" s="402">
        <v>85</v>
      </c>
      <c r="K77" s="3456"/>
      <c r="L77" s="3425">
        <v>2015</v>
      </c>
      <c r="M77" s="3427">
        <v>62.463863456717199</v>
      </c>
      <c r="N77" s="3427">
        <v>5.34493059574572</v>
      </c>
      <c r="O77" s="3427">
        <v>-0.24989926815757901</v>
      </c>
      <c r="P77" s="3427">
        <v>6.4369727083717103E-3</v>
      </c>
      <c r="Q77" s="3427">
        <v>-9.3929556123506405E-5</v>
      </c>
      <c r="R77" s="3427">
        <v>7.2070143067082896E-7</v>
      </c>
      <c r="S77" s="3427">
        <v>-2.2539403820852398E-9</v>
      </c>
      <c r="T77" s="402">
        <v>12</v>
      </c>
      <c r="U77" s="402">
        <v>85</v>
      </c>
      <c r="V77" s="3456"/>
      <c r="W77" s="3456"/>
      <c r="X77" s="3456"/>
      <c r="Y77" s="3456"/>
      <c r="Z77" s="3456"/>
    </row>
    <row r="78" spans="1:26" ht="13.5" customHeight="1">
      <c r="A78" s="3425">
        <v>2020</v>
      </c>
      <c r="B78" s="3428">
        <v>0.231963860676342</v>
      </c>
      <c r="C78" s="3428">
        <v>8.9451170831346492E-3</v>
      </c>
      <c r="D78" s="3428">
        <v>-2.6669549219006801E-4</v>
      </c>
      <c r="E78" s="3428">
        <v>7.0644250757917404E-6</v>
      </c>
      <c r="F78" s="3428">
        <v>-1.04437336670447E-7</v>
      </c>
      <c r="G78" s="3428">
        <v>8.0751133576446997E-10</v>
      </c>
      <c r="H78" s="3428">
        <v>-2.52863023403987E-12</v>
      </c>
      <c r="I78" s="1648">
        <v>12</v>
      </c>
      <c r="J78" s="1648">
        <v>85</v>
      </c>
      <c r="K78" s="3456"/>
      <c r="L78" s="3425">
        <v>2020</v>
      </c>
      <c r="M78" s="3428">
        <v>25.711475824287898</v>
      </c>
      <c r="N78" s="3428">
        <v>0.87604923484248098</v>
      </c>
      <c r="O78" s="3428">
        <v>-3.79848548272671E-2</v>
      </c>
      <c r="P78" s="3428">
        <v>8.1264592518513605E-4</v>
      </c>
      <c r="Q78" s="3428">
        <v>-1.00802551374483E-5</v>
      </c>
      <c r="R78" s="3428">
        <v>6.7046239090546204E-8</v>
      </c>
      <c r="S78" s="3428">
        <v>-1.8475080434898601E-10</v>
      </c>
      <c r="T78" s="1648">
        <v>12</v>
      </c>
      <c r="U78" s="1648">
        <v>85</v>
      </c>
      <c r="V78" s="3456"/>
      <c r="W78" s="3456"/>
      <c r="X78" s="3456"/>
      <c r="Y78" s="3456"/>
      <c r="Z78" s="3456"/>
    </row>
    <row r="79" spans="1:26" ht="13.5" customHeight="1">
      <c r="A79" s="3425">
        <v>2025</v>
      </c>
      <c r="B79" s="3428">
        <v>0.161274395506946</v>
      </c>
      <c r="C79" s="3428">
        <v>1.0447788778271299E-3</v>
      </c>
      <c r="D79" s="3428">
        <v>4.8046730715207899E-5</v>
      </c>
      <c r="E79" s="3428">
        <v>-1.4994365843113999E-6</v>
      </c>
      <c r="F79" s="3428">
        <v>2.49349019739461E-8</v>
      </c>
      <c r="G79" s="3428">
        <v>-2.1182001187218801E-10</v>
      </c>
      <c r="H79" s="3428">
        <v>7.2654120660052197E-13</v>
      </c>
      <c r="I79" s="402">
        <v>12</v>
      </c>
      <c r="J79" s="402">
        <v>85</v>
      </c>
      <c r="K79" s="3456"/>
      <c r="L79" s="3425">
        <v>2025</v>
      </c>
      <c r="M79" s="3428">
        <v>16.1064435519081</v>
      </c>
      <c r="N79" s="3428">
        <v>-3.93569409974244E-2</v>
      </c>
      <c r="O79" s="3428">
        <v>7.8380516926859697E-3</v>
      </c>
      <c r="P79" s="3428">
        <v>-4.04567983561011E-4</v>
      </c>
      <c r="Q79" s="3428">
        <v>8.0982761281921594E-6</v>
      </c>
      <c r="R79" s="3428">
        <v>-7.4970188346258806E-8</v>
      </c>
      <c r="S79" s="3428">
        <v>2.65800698143701E-10</v>
      </c>
      <c r="T79" s="402">
        <v>12</v>
      </c>
      <c r="U79" s="402">
        <v>85</v>
      </c>
      <c r="V79" s="3456"/>
      <c r="W79" s="3456"/>
      <c r="X79" s="3456"/>
      <c r="Y79" s="3456"/>
      <c r="Z79" s="3456"/>
    </row>
    <row r="80" spans="1:26" ht="13.5" customHeight="1">
      <c r="A80" s="3425">
        <v>2030</v>
      </c>
      <c r="B80" s="3428">
        <v>0.15534356352342099</v>
      </c>
      <c r="C80" s="3428">
        <v>3.26775551302526E-4</v>
      </c>
      <c r="D80" s="3428">
        <v>7.7044831973357194E-5</v>
      </c>
      <c r="E80" s="3428">
        <v>-2.2933905019992698E-6</v>
      </c>
      <c r="F80" s="3428">
        <v>3.6983571312060802E-8</v>
      </c>
      <c r="G80" s="3428">
        <v>-3.06953841754612E-10</v>
      </c>
      <c r="H80" s="3428">
        <v>1.0306721260752E-12</v>
      </c>
      <c r="I80" s="402">
        <v>12</v>
      </c>
      <c r="J80" s="402">
        <v>85</v>
      </c>
      <c r="K80" s="3456"/>
      <c r="L80" s="3425">
        <v>2030</v>
      </c>
      <c r="M80" s="3428">
        <v>15.2069497052823</v>
      </c>
      <c r="N80" s="3428">
        <v>-0.12444222991008699</v>
      </c>
      <c r="O80" s="3428">
        <v>1.21637304212544E-2</v>
      </c>
      <c r="P80" s="3428">
        <v>-5.1972963937912096E-4</v>
      </c>
      <c r="Q80" s="3428">
        <v>9.8198214143559507E-6</v>
      </c>
      <c r="R80" s="3428">
        <v>-8.84255835779337E-8</v>
      </c>
      <c r="S80" s="3428">
        <v>3.0849813590612299E-10</v>
      </c>
      <c r="T80" s="402">
        <v>12</v>
      </c>
      <c r="U80" s="402">
        <v>85</v>
      </c>
      <c r="V80" s="3456"/>
      <c r="W80" s="3456"/>
      <c r="X80" s="3456"/>
      <c r="Y80" s="3456"/>
      <c r="Z80" s="3456"/>
    </row>
    <row r="81" spans="1:26" ht="13.5" customHeight="1" thickBot="1">
      <c r="A81" s="3426">
        <v>2035</v>
      </c>
      <c r="B81" s="3429">
        <v>0.15489377321129599</v>
      </c>
      <c r="C81" s="3429">
        <v>2.71258046933745E-4</v>
      </c>
      <c r="D81" s="3429">
        <v>7.9325201552926994E-5</v>
      </c>
      <c r="E81" s="3429">
        <v>-2.3564970759505E-6</v>
      </c>
      <c r="F81" s="3429">
        <v>3.79479866324473E-8</v>
      </c>
      <c r="G81" s="3429">
        <v>-3.14600768240566E-10</v>
      </c>
      <c r="H81" s="3429">
        <v>1.0551908719173999E-12</v>
      </c>
      <c r="I81" s="403">
        <v>12</v>
      </c>
      <c r="J81" s="403">
        <v>85</v>
      </c>
      <c r="K81" s="3456"/>
      <c r="L81" s="3426">
        <v>2035</v>
      </c>
      <c r="M81" s="3429">
        <v>15.1280025012408</v>
      </c>
      <c r="N81" s="3429">
        <v>-0.130659771759812</v>
      </c>
      <c r="O81" s="3429">
        <v>1.2492438972067799E-2</v>
      </c>
      <c r="P81" s="3429">
        <v>-5.2847479608665896E-4</v>
      </c>
      <c r="Q81" s="3429">
        <v>9.9506870033995504E-6</v>
      </c>
      <c r="R81" s="3429">
        <v>-8.9450148956884006E-8</v>
      </c>
      <c r="S81" s="3429">
        <v>3.1175543733336598E-10</v>
      </c>
      <c r="T81" s="403">
        <v>12</v>
      </c>
      <c r="U81" s="403">
        <v>85</v>
      </c>
      <c r="V81" s="3456"/>
      <c r="W81" s="3456"/>
      <c r="X81" s="3456"/>
      <c r="Y81" s="3456"/>
      <c r="Z81" s="3456"/>
    </row>
    <row r="82" spans="1:26" ht="13.5" customHeight="1" thickTop="1" thickBot="1">
      <c r="A82" s="3456"/>
      <c r="B82" s="3456"/>
      <c r="C82" s="3456"/>
      <c r="D82" s="3456"/>
      <c r="E82" s="3456"/>
      <c r="F82" s="3456"/>
      <c r="G82" s="3456"/>
      <c r="H82" s="3456"/>
      <c r="I82" s="3456"/>
      <c r="J82" s="3456"/>
      <c r="K82" s="3456"/>
      <c r="L82" s="3456"/>
      <c r="M82" s="3456"/>
      <c r="N82" s="3456"/>
      <c r="O82" s="3456"/>
      <c r="P82" s="3456"/>
      <c r="Q82" s="3456"/>
      <c r="R82" s="3456"/>
      <c r="S82" s="3456"/>
      <c r="T82" s="3456"/>
      <c r="U82" s="3456"/>
      <c r="V82" s="3456"/>
      <c r="W82" s="3456"/>
      <c r="X82" s="3456"/>
      <c r="Y82" s="3456"/>
      <c r="Z82" s="3456"/>
    </row>
    <row r="83" spans="1:26" ht="13.5" customHeight="1" thickTop="1">
      <c r="A83" s="3454" t="s">
        <v>2489</v>
      </c>
      <c r="B83" s="680" t="s">
        <v>2420</v>
      </c>
      <c r="C83" s="224"/>
      <c r="D83" s="224"/>
      <c r="E83" s="462"/>
      <c r="F83" s="462"/>
      <c r="G83" s="462"/>
      <c r="H83" s="680"/>
      <c r="I83" s="224"/>
      <c r="J83" s="462"/>
      <c r="K83" s="3456"/>
      <c r="L83" s="3454" t="s">
        <v>2488</v>
      </c>
      <c r="M83" s="680" t="s">
        <v>2407</v>
      </c>
      <c r="N83" s="224"/>
      <c r="O83" s="224"/>
      <c r="P83" s="462"/>
      <c r="Q83" s="462"/>
      <c r="R83" s="462"/>
      <c r="S83" s="680"/>
      <c r="T83" s="224"/>
      <c r="U83" s="462"/>
      <c r="V83" s="3456"/>
      <c r="W83" s="3456"/>
      <c r="X83" s="3456"/>
      <c r="Y83" s="3456"/>
      <c r="Z83" s="3456"/>
    </row>
    <row r="84" spans="1:26" ht="13.5" customHeight="1" thickBot="1">
      <c r="A84" s="836"/>
      <c r="B84" s="526" t="s">
        <v>2400</v>
      </c>
      <c r="C84" s="227"/>
      <c r="D84" s="227"/>
      <c r="E84" s="523"/>
      <c r="F84" s="523"/>
      <c r="G84" s="523"/>
      <c r="H84" s="526"/>
      <c r="I84" s="227"/>
      <c r="J84" s="523"/>
      <c r="K84" s="3456"/>
      <c r="L84" s="836"/>
      <c r="M84" s="526" t="s">
        <v>2400</v>
      </c>
      <c r="N84" s="227"/>
      <c r="O84" s="227"/>
      <c r="P84" s="523"/>
      <c r="Q84" s="523"/>
      <c r="R84" s="523"/>
      <c r="S84" s="526"/>
      <c r="T84" s="227"/>
      <c r="U84" s="523"/>
      <c r="V84" s="3456"/>
      <c r="W84" s="3456"/>
      <c r="X84" s="3456"/>
      <c r="Y84" s="3456"/>
      <c r="Z84" s="3456"/>
    </row>
    <row r="85" spans="1:26" ht="13.5" customHeight="1" thickTop="1" thickBot="1">
      <c r="A85" s="464"/>
      <c r="B85" s="3720" t="s">
        <v>1399</v>
      </c>
      <c r="C85" s="3721"/>
      <c r="D85" s="3721"/>
      <c r="E85" s="3721"/>
      <c r="F85" s="3721"/>
      <c r="G85" s="3721"/>
      <c r="H85" s="3722"/>
      <c r="I85" s="414" t="s">
        <v>2399</v>
      </c>
      <c r="J85" s="414" t="s">
        <v>2398</v>
      </c>
      <c r="K85" s="3456"/>
      <c r="L85" s="464"/>
      <c r="M85" s="3720" t="s">
        <v>1399</v>
      </c>
      <c r="N85" s="3721"/>
      <c r="O85" s="3721"/>
      <c r="P85" s="3721"/>
      <c r="Q85" s="3721"/>
      <c r="R85" s="3721"/>
      <c r="S85" s="3722"/>
      <c r="T85" s="414" t="s">
        <v>2399</v>
      </c>
      <c r="U85" s="414" t="s">
        <v>2398</v>
      </c>
      <c r="V85" s="3456"/>
      <c r="W85" s="3456"/>
      <c r="X85" s="3456"/>
      <c r="Y85" s="3456"/>
      <c r="Z85" s="3456"/>
    </row>
    <row r="86" spans="1:26" ht="13.5" customHeight="1" thickTop="1" thickBot="1">
      <c r="A86" s="3430" t="s">
        <v>568</v>
      </c>
      <c r="B86" s="414" t="s">
        <v>569</v>
      </c>
      <c r="C86" s="414" t="s">
        <v>570</v>
      </c>
      <c r="D86" s="414" t="s">
        <v>571</v>
      </c>
      <c r="E86" s="414" t="s">
        <v>572</v>
      </c>
      <c r="F86" s="414" t="s">
        <v>2395</v>
      </c>
      <c r="G86" s="414" t="s">
        <v>2396</v>
      </c>
      <c r="H86" s="414" t="s">
        <v>2397</v>
      </c>
      <c r="I86" s="3719" t="s">
        <v>1698</v>
      </c>
      <c r="J86" s="3703"/>
      <c r="K86" s="3456"/>
      <c r="L86" s="3430" t="s">
        <v>568</v>
      </c>
      <c r="M86" s="414" t="s">
        <v>569</v>
      </c>
      <c r="N86" s="414" t="s">
        <v>570</v>
      </c>
      <c r="O86" s="414" t="s">
        <v>571</v>
      </c>
      <c r="P86" s="414" t="s">
        <v>572</v>
      </c>
      <c r="Q86" s="414" t="s">
        <v>2395</v>
      </c>
      <c r="R86" s="414" t="s">
        <v>2396</v>
      </c>
      <c r="S86" s="414" t="s">
        <v>2397</v>
      </c>
      <c r="T86" s="3719" t="s">
        <v>1698</v>
      </c>
      <c r="U86" s="3703"/>
      <c r="V86" s="3456"/>
      <c r="W86" s="3456"/>
      <c r="X86" s="3456"/>
      <c r="Y86" s="3456"/>
      <c r="Z86" s="3456"/>
    </row>
    <row r="87" spans="1:26" ht="13.5" customHeight="1" thickTop="1">
      <c r="A87" s="3425">
        <v>2015</v>
      </c>
      <c r="B87" s="3427">
        <v>0.60094458350049595</v>
      </c>
      <c r="C87" s="3427">
        <v>5.4579382514412002E-2</v>
      </c>
      <c r="D87" s="3427">
        <v>-1.41639355147847E-3</v>
      </c>
      <c r="E87" s="3427">
        <v>2.9473576487890899E-5</v>
      </c>
      <c r="F87" s="3427">
        <v>-3.42188684724227E-7</v>
      </c>
      <c r="G87" s="3427">
        <v>2.0261097953612601E-9</v>
      </c>
      <c r="H87" s="3427">
        <v>-3.0915289920545199E-12</v>
      </c>
      <c r="I87" s="402">
        <v>11</v>
      </c>
      <c r="J87" s="402">
        <v>85</v>
      </c>
      <c r="K87" s="3456"/>
      <c r="L87" s="3425">
        <v>2015</v>
      </c>
      <c r="M87" s="3427">
        <v>79.9068227775428</v>
      </c>
      <c r="N87" s="3427">
        <v>3.0224482484906701</v>
      </c>
      <c r="O87" s="3427">
        <v>-5.1647871808995903E-2</v>
      </c>
      <c r="P87" s="3427">
        <v>1.57537078151049E-6</v>
      </c>
      <c r="Q87" s="3427">
        <v>1.3689532395405199E-5</v>
      </c>
      <c r="R87" s="3427">
        <v>-1.8419573779508599E-7</v>
      </c>
      <c r="S87" s="3427">
        <v>8.4152892242677104E-10</v>
      </c>
      <c r="T87" s="402">
        <v>11</v>
      </c>
      <c r="U87" s="402">
        <v>85</v>
      </c>
      <c r="V87" s="3456"/>
      <c r="W87" s="3456"/>
      <c r="X87" s="3456"/>
      <c r="Y87" s="3456"/>
      <c r="Z87" s="3456"/>
    </row>
    <row r="88" spans="1:26" ht="13.5" customHeight="1">
      <c r="A88" s="3425">
        <v>2020</v>
      </c>
      <c r="B88" s="3428">
        <v>0.30155168916403402</v>
      </c>
      <c r="C88" s="3428">
        <v>1.9625417969241301E-2</v>
      </c>
      <c r="D88" s="3428">
        <v>-2.24941644851702E-4</v>
      </c>
      <c r="E88" s="3428">
        <v>-2.08566098813076E-6</v>
      </c>
      <c r="F88" s="3428">
        <v>1.23339653187919E-7</v>
      </c>
      <c r="G88" s="3428">
        <v>-1.4965664648669201E-9</v>
      </c>
      <c r="H88" s="3428">
        <v>6.81933526030841E-12</v>
      </c>
      <c r="I88" s="1648">
        <v>11</v>
      </c>
      <c r="J88" s="1648">
        <v>85</v>
      </c>
      <c r="K88" s="3456"/>
      <c r="L88" s="3425">
        <v>2020</v>
      </c>
      <c r="M88" s="3428">
        <v>41.456329112061198</v>
      </c>
      <c r="N88" s="3428">
        <v>1.2598684242364</v>
      </c>
      <c r="O88" s="3428">
        <v>-2.4943552753575698E-3</v>
      </c>
      <c r="P88" s="3428">
        <v>-1.07744716600172E-3</v>
      </c>
      <c r="Q88" s="3428">
        <v>2.8412561231614501E-5</v>
      </c>
      <c r="R88" s="3428">
        <v>-2.9415058262745301E-7</v>
      </c>
      <c r="S88" s="3428">
        <v>1.1518250966293699E-9</v>
      </c>
      <c r="T88" s="1648">
        <v>11</v>
      </c>
      <c r="U88" s="1648">
        <v>85</v>
      </c>
      <c r="V88" s="3456"/>
      <c r="W88" s="3456"/>
      <c r="X88" s="3456"/>
      <c r="Y88" s="3456"/>
      <c r="Z88" s="3456"/>
    </row>
    <row r="89" spans="1:26" ht="13.5" customHeight="1">
      <c r="A89" s="3425">
        <v>2025</v>
      </c>
      <c r="B89" s="3428">
        <v>0.14644033933474601</v>
      </c>
      <c r="C89" s="3428">
        <v>7.8007643353165805E-4</v>
      </c>
      <c r="D89" s="3428">
        <v>3.9746178221507201E-4</v>
      </c>
      <c r="E89" s="3428">
        <v>-1.8171612344624699E-5</v>
      </c>
      <c r="F89" s="3428">
        <v>3.55977185499638E-7</v>
      </c>
      <c r="G89" s="3428">
        <v>-3.1966642100114998E-9</v>
      </c>
      <c r="H89" s="3428">
        <v>1.11012817863936E-11</v>
      </c>
      <c r="I89" s="402">
        <v>11</v>
      </c>
      <c r="J89" s="402">
        <v>85</v>
      </c>
      <c r="K89" s="3456"/>
      <c r="L89" s="3425">
        <v>2025</v>
      </c>
      <c r="M89" s="3428">
        <v>20.410017210816498</v>
      </c>
      <c r="N89" s="3428">
        <v>-0.38551750739703899</v>
      </c>
      <c r="O89" s="3428">
        <v>6.1200278348650002E-2</v>
      </c>
      <c r="P89" s="3428">
        <v>-2.6000810488518702E-3</v>
      </c>
      <c r="Q89" s="3428">
        <v>4.9757148561265603E-5</v>
      </c>
      <c r="R89" s="3428">
        <v>-4.5440090656361302E-7</v>
      </c>
      <c r="S89" s="3428">
        <v>1.6174937113027399E-9</v>
      </c>
      <c r="T89" s="402">
        <v>11</v>
      </c>
      <c r="U89" s="402">
        <v>85</v>
      </c>
      <c r="V89" s="3456"/>
      <c r="W89" s="3456"/>
      <c r="X89" s="3456"/>
      <c r="Y89" s="3456"/>
      <c r="Z89" s="3456"/>
    </row>
    <row r="90" spans="1:26" ht="13.5" customHeight="1">
      <c r="A90" s="3425">
        <v>2030</v>
      </c>
      <c r="B90" s="3428">
        <v>0.113726970748177</v>
      </c>
      <c r="C90" s="3428">
        <v>-4.1583736869901002E-3</v>
      </c>
      <c r="D90" s="3428">
        <v>5.6510659402485904E-4</v>
      </c>
      <c r="E90" s="3428">
        <v>-2.24588079332774E-5</v>
      </c>
      <c r="F90" s="3428">
        <v>4.1779388833533802E-7</v>
      </c>
      <c r="G90" s="3428">
        <v>-3.64556740560305E-9</v>
      </c>
      <c r="H90" s="3428">
        <v>1.22092209535952E-11</v>
      </c>
      <c r="I90" s="402">
        <v>11</v>
      </c>
      <c r="J90" s="402">
        <v>85</v>
      </c>
      <c r="K90" s="3456"/>
      <c r="L90" s="3425">
        <v>2030</v>
      </c>
      <c r="M90" s="3428">
        <v>15.316314613114599</v>
      </c>
      <c r="N90" s="3428">
        <v>-0.88850175467844095</v>
      </c>
      <c r="O90" s="3428">
        <v>8.15531405073429E-2</v>
      </c>
      <c r="P90" s="3428">
        <v>-3.0934997001926998E-3</v>
      </c>
      <c r="Q90" s="3428">
        <v>5.6734178701867902E-5</v>
      </c>
      <c r="R90" s="3428">
        <v>-5.0708634868423195E-7</v>
      </c>
      <c r="S90" s="3428">
        <v>1.7724307762700501E-9</v>
      </c>
      <c r="T90" s="402">
        <v>11</v>
      </c>
      <c r="U90" s="402">
        <v>85</v>
      </c>
      <c r="V90" s="3456"/>
      <c r="W90" s="3456"/>
      <c r="X90" s="3456"/>
      <c r="Y90" s="3456"/>
      <c r="Z90" s="3456"/>
    </row>
    <row r="91" spans="1:26" ht="13.5" customHeight="1" thickBot="1">
      <c r="A91" s="3426">
        <v>2035</v>
      </c>
      <c r="B91" s="3429">
        <v>0.108150922582561</v>
      </c>
      <c r="C91" s="3429">
        <v>-5.1222599951725898E-3</v>
      </c>
      <c r="D91" s="3429">
        <v>5.9530409095373798E-4</v>
      </c>
      <c r="E91" s="3429">
        <v>-2.3163489142032202E-5</v>
      </c>
      <c r="F91" s="3429">
        <v>4.2719924929020899E-7</v>
      </c>
      <c r="G91" s="3429">
        <v>-3.7046652721397198E-9</v>
      </c>
      <c r="H91" s="3429">
        <v>1.2278662439416501E-11</v>
      </c>
      <c r="I91" s="403">
        <v>11</v>
      </c>
      <c r="J91" s="403">
        <v>85</v>
      </c>
      <c r="K91" s="3456"/>
      <c r="L91" s="3426">
        <v>2035</v>
      </c>
      <c r="M91" s="3429">
        <v>14.317528241203</v>
      </c>
      <c r="N91" s="3429">
        <v>-1.0596781314528101</v>
      </c>
      <c r="O91" s="3429">
        <v>8.9663291053369898E-2</v>
      </c>
      <c r="P91" s="3429">
        <v>-3.2934173737364002E-3</v>
      </c>
      <c r="Q91" s="3429">
        <v>5.9555928333997302E-5</v>
      </c>
      <c r="R91" s="3429">
        <v>-5.2825582502428501E-7</v>
      </c>
      <c r="S91" s="3429">
        <v>1.83437318052156E-9</v>
      </c>
      <c r="T91" s="403">
        <v>11</v>
      </c>
      <c r="U91" s="403">
        <v>85</v>
      </c>
      <c r="V91" s="3456"/>
      <c r="W91" s="3456"/>
      <c r="X91" s="3456"/>
      <c r="Y91" s="3456"/>
      <c r="Z91" s="3456"/>
    </row>
    <row r="92" spans="1:26" ht="13.5" customHeight="1" thickTop="1" thickBot="1">
      <c r="A92" s="3456"/>
      <c r="B92" s="3456"/>
      <c r="C92" s="3456"/>
      <c r="D92" s="3456"/>
      <c r="E92" s="3456"/>
      <c r="F92" s="3456"/>
      <c r="G92" s="3456"/>
      <c r="H92" s="3456"/>
      <c r="I92" s="3456"/>
      <c r="J92" s="3456"/>
      <c r="K92" s="3456"/>
      <c r="L92" s="3456"/>
      <c r="M92" s="3456"/>
      <c r="N92" s="3456"/>
      <c r="O92" s="3456"/>
      <c r="P92" s="3456"/>
      <c r="Q92" s="3456"/>
      <c r="R92" s="3456"/>
      <c r="S92" s="3456"/>
      <c r="T92" s="3456"/>
      <c r="U92" s="3456"/>
      <c r="V92" s="3456"/>
      <c r="W92" s="3456"/>
      <c r="X92" s="3456"/>
      <c r="Y92" s="3456"/>
      <c r="Z92" s="3456"/>
    </row>
    <row r="93" spans="1:26" ht="13.5" customHeight="1" thickTop="1">
      <c r="A93" s="3454" t="s">
        <v>2489</v>
      </c>
      <c r="B93" s="680" t="s">
        <v>2421</v>
      </c>
      <c r="C93" s="224"/>
      <c r="D93" s="224"/>
      <c r="E93" s="462"/>
      <c r="F93" s="462"/>
      <c r="G93" s="462"/>
      <c r="H93" s="680"/>
      <c r="I93" s="224"/>
      <c r="J93" s="462"/>
      <c r="K93" s="3456"/>
      <c r="L93" s="3454" t="s">
        <v>2488</v>
      </c>
      <c r="M93" s="680" t="s">
        <v>2408</v>
      </c>
      <c r="N93" s="224"/>
      <c r="O93" s="224"/>
      <c r="P93" s="462"/>
      <c r="Q93" s="462"/>
      <c r="R93" s="462"/>
      <c r="S93" s="680"/>
      <c r="T93" s="224"/>
      <c r="U93" s="462"/>
      <c r="V93" s="3456"/>
      <c r="W93" s="3456"/>
      <c r="X93" s="3456"/>
      <c r="Y93" s="3456"/>
      <c r="Z93" s="3456"/>
    </row>
    <row r="94" spans="1:26" ht="13.5" customHeight="1" thickBot="1">
      <c r="A94" s="836"/>
      <c r="B94" s="526" t="s">
        <v>2400</v>
      </c>
      <c r="C94" s="227"/>
      <c r="D94" s="227"/>
      <c r="E94" s="523"/>
      <c r="F94" s="523"/>
      <c r="G94" s="523"/>
      <c r="H94" s="526"/>
      <c r="I94" s="227"/>
      <c r="J94" s="523"/>
      <c r="K94" s="3456"/>
      <c r="L94" s="836"/>
      <c r="M94" s="526" t="s">
        <v>2400</v>
      </c>
      <c r="N94" s="227"/>
      <c r="O94" s="227"/>
      <c r="P94" s="523"/>
      <c r="Q94" s="523"/>
      <c r="R94" s="523"/>
      <c r="S94" s="526"/>
      <c r="T94" s="227"/>
      <c r="U94" s="523"/>
      <c r="V94" s="3456"/>
      <c r="W94" s="3456"/>
      <c r="X94" s="3456"/>
      <c r="Y94" s="3456"/>
      <c r="Z94" s="3456"/>
    </row>
    <row r="95" spans="1:26" ht="13.5" customHeight="1" thickTop="1" thickBot="1">
      <c r="A95" s="464"/>
      <c r="B95" s="3720" t="s">
        <v>1399</v>
      </c>
      <c r="C95" s="3721"/>
      <c r="D95" s="3721"/>
      <c r="E95" s="3721"/>
      <c r="F95" s="3721"/>
      <c r="G95" s="3721"/>
      <c r="H95" s="3722"/>
      <c r="I95" s="414" t="s">
        <v>2399</v>
      </c>
      <c r="J95" s="414" t="s">
        <v>2398</v>
      </c>
      <c r="K95" s="3456"/>
      <c r="L95" s="464"/>
      <c r="M95" s="3720" t="s">
        <v>1399</v>
      </c>
      <c r="N95" s="3721"/>
      <c r="O95" s="3721"/>
      <c r="P95" s="3721"/>
      <c r="Q95" s="3721"/>
      <c r="R95" s="3721"/>
      <c r="S95" s="3722"/>
      <c r="T95" s="414" t="s">
        <v>2399</v>
      </c>
      <c r="U95" s="414" t="s">
        <v>2398</v>
      </c>
      <c r="V95" s="3456"/>
      <c r="W95" s="3456"/>
      <c r="X95" s="3456"/>
      <c r="Y95" s="3456"/>
      <c r="Z95" s="3456"/>
    </row>
    <row r="96" spans="1:26" ht="13.5" customHeight="1" thickTop="1" thickBot="1">
      <c r="A96" s="3430" t="s">
        <v>568</v>
      </c>
      <c r="B96" s="414" t="s">
        <v>569</v>
      </c>
      <c r="C96" s="414" t="s">
        <v>570</v>
      </c>
      <c r="D96" s="414" t="s">
        <v>571</v>
      </c>
      <c r="E96" s="414" t="s">
        <v>572</v>
      </c>
      <c r="F96" s="414" t="s">
        <v>2395</v>
      </c>
      <c r="G96" s="414" t="s">
        <v>2396</v>
      </c>
      <c r="H96" s="414" t="s">
        <v>2397</v>
      </c>
      <c r="I96" s="3719" t="s">
        <v>1698</v>
      </c>
      <c r="J96" s="3703"/>
      <c r="K96" s="3456"/>
      <c r="L96" s="3430" t="s">
        <v>568</v>
      </c>
      <c r="M96" s="414" t="s">
        <v>569</v>
      </c>
      <c r="N96" s="414" t="s">
        <v>570</v>
      </c>
      <c r="O96" s="414" t="s">
        <v>571</v>
      </c>
      <c r="P96" s="414" t="s">
        <v>572</v>
      </c>
      <c r="Q96" s="414" t="s">
        <v>2395</v>
      </c>
      <c r="R96" s="414" t="s">
        <v>2396</v>
      </c>
      <c r="S96" s="414" t="s">
        <v>2397</v>
      </c>
      <c r="T96" s="3719" t="s">
        <v>1698</v>
      </c>
      <c r="U96" s="3703"/>
      <c r="V96" s="3456"/>
      <c r="W96" s="3456"/>
      <c r="X96" s="3456"/>
      <c r="Y96" s="3456"/>
      <c r="Z96" s="3456"/>
    </row>
    <row r="97" spans="1:26" ht="13.5" customHeight="1" thickTop="1">
      <c r="A97" s="3425">
        <v>2015</v>
      </c>
      <c r="B97" s="3427">
        <v>1.46796091979208</v>
      </c>
      <c r="C97" s="3427">
        <v>7.7171483132391999E-2</v>
      </c>
      <c r="D97" s="3427">
        <v>-2.42975178004394E-3</v>
      </c>
      <c r="E97" s="3427">
        <v>5.3907759695477001E-5</v>
      </c>
      <c r="F97" s="3427">
        <v>-6.8260598767805797E-7</v>
      </c>
      <c r="G97" s="3427">
        <v>4.5621672993155504E-9</v>
      </c>
      <c r="H97" s="3427">
        <v>-1.24033757424761E-11</v>
      </c>
      <c r="I97" s="402">
        <v>12</v>
      </c>
      <c r="J97" s="402">
        <v>100</v>
      </c>
      <c r="K97" s="3456"/>
      <c r="L97" s="3425">
        <v>2015</v>
      </c>
      <c r="M97" s="3427">
        <v>162.20489743898301</v>
      </c>
      <c r="N97" s="3427">
        <v>2.48889880861624</v>
      </c>
      <c r="O97" s="3427">
        <v>-6.5935489338911704E-2</v>
      </c>
      <c r="P97" s="3427">
        <v>1.0433045889807499E-3</v>
      </c>
      <c r="Q97" s="3427">
        <v>-8.6083812593899404E-6</v>
      </c>
      <c r="R97" s="3427">
        <v>3.5221405911920199E-8</v>
      </c>
      <c r="S97" s="3427">
        <v>-5.0621189793602402E-11</v>
      </c>
      <c r="T97" s="402">
        <v>12</v>
      </c>
      <c r="U97" s="402">
        <v>100</v>
      </c>
      <c r="V97" s="3456"/>
      <c r="W97" s="3456"/>
      <c r="X97" s="3456"/>
      <c r="Y97" s="3456"/>
      <c r="Z97" s="3456"/>
    </row>
    <row r="98" spans="1:26" ht="13.5" customHeight="1">
      <c r="A98" s="3425">
        <v>2020</v>
      </c>
      <c r="B98" s="3428">
        <v>0.69550076307111597</v>
      </c>
      <c r="C98" s="3428">
        <v>3.04208371907582E-2</v>
      </c>
      <c r="D98" s="3428">
        <v>-8.9007216700501897E-4</v>
      </c>
      <c r="E98" s="3428">
        <v>1.9577268900989599E-5</v>
      </c>
      <c r="F98" s="3428">
        <v>-2.4684502191604698E-7</v>
      </c>
      <c r="G98" s="3428">
        <v>1.6461519863429501E-9</v>
      </c>
      <c r="H98" s="3428">
        <v>-4.4697689861543004E-12</v>
      </c>
      <c r="I98" s="1648">
        <v>12</v>
      </c>
      <c r="J98" s="1648">
        <v>100</v>
      </c>
      <c r="K98" s="3456"/>
      <c r="L98" s="3425">
        <v>2020</v>
      </c>
      <c r="M98" s="3428">
        <v>95.5178058043129</v>
      </c>
      <c r="N98" s="3428">
        <v>-0.30804420781703801</v>
      </c>
      <c r="O98" s="3428">
        <v>6.4759665815028303E-2</v>
      </c>
      <c r="P98" s="3428">
        <v>-2.4711537383283601E-3</v>
      </c>
      <c r="Q98" s="3428">
        <v>4.0943497358818901E-5</v>
      </c>
      <c r="R98" s="3428">
        <v>-3.1999577287802199E-7</v>
      </c>
      <c r="S98" s="3428">
        <v>9.6448884945709892E-10</v>
      </c>
      <c r="T98" s="1648">
        <v>12</v>
      </c>
      <c r="U98" s="1648">
        <v>100</v>
      </c>
      <c r="V98" s="3456"/>
      <c r="W98" s="3456"/>
      <c r="X98" s="3456"/>
      <c r="Y98" s="3456"/>
      <c r="Z98" s="3456"/>
    </row>
    <row r="99" spans="1:26" ht="13.5" customHeight="1">
      <c r="A99" s="3425">
        <v>2025</v>
      </c>
      <c r="B99" s="3428">
        <v>0.29437600983245299</v>
      </c>
      <c r="C99" s="3428">
        <v>7.4141057523034702E-3</v>
      </c>
      <c r="D99" s="3428">
        <v>-1.8914877754749499E-4</v>
      </c>
      <c r="E99" s="3428">
        <v>4.1593098485654202E-6</v>
      </c>
      <c r="F99" s="3428">
        <v>-5.2496074767264499E-8</v>
      </c>
      <c r="G99" s="3428">
        <v>3.5058355218096698E-10</v>
      </c>
      <c r="H99" s="3428">
        <v>-9.5282512864118797E-13</v>
      </c>
      <c r="I99" s="402">
        <v>12</v>
      </c>
      <c r="J99" s="402">
        <v>100</v>
      </c>
      <c r="K99" s="3456"/>
      <c r="L99" s="3425">
        <v>2025</v>
      </c>
      <c r="M99" s="3428">
        <v>52.575870667337398</v>
      </c>
      <c r="N99" s="3428">
        <v>-2.2807555908468702</v>
      </c>
      <c r="O99" s="3428">
        <v>0.158927884204732</v>
      </c>
      <c r="P99" s="3428">
        <v>-4.9042387849938598E-3</v>
      </c>
      <c r="Q99" s="3428">
        <v>7.47501006603473E-5</v>
      </c>
      <c r="R99" s="3428">
        <v>-5.6042322336065099E-7</v>
      </c>
      <c r="S99" s="3428">
        <v>1.6483030343225101E-9</v>
      </c>
      <c r="T99" s="402">
        <v>12</v>
      </c>
      <c r="U99" s="402">
        <v>100</v>
      </c>
      <c r="V99" s="3456"/>
      <c r="W99" s="3456"/>
      <c r="X99" s="3456"/>
      <c r="Y99" s="3456"/>
      <c r="Z99" s="3456"/>
    </row>
    <row r="100" spans="1:26" ht="13.5" customHeight="1">
      <c r="A100" s="3425">
        <v>2030</v>
      </c>
      <c r="B100" s="3428">
        <v>0.20400627784092601</v>
      </c>
      <c r="C100" s="3428">
        <v>2.02819630606946E-3</v>
      </c>
      <c r="D100" s="3428">
        <v>-2.5518292509842999E-5</v>
      </c>
      <c r="E100" s="3428">
        <v>5.5504670499039697E-7</v>
      </c>
      <c r="F100" s="3428">
        <v>-7.0237597263152698E-9</v>
      </c>
      <c r="G100" s="3428">
        <v>4.7110100373904402E-11</v>
      </c>
      <c r="H100" s="3428">
        <v>-1.2871411384262901E-13</v>
      </c>
      <c r="I100" s="402">
        <v>12</v>
      </c>
      <c r="J100" s="402">
        <v>100</v>
      </c>
      <c r="K100" s="3456"/>
      <c r="L100" s="3425">
        <v>2030</v>
      </c>
      <c r="M100" s="3428">
        <v>41.502342702303302</v>
      </c>
      <c r="N100" s="3428">
        <v>-2.8678773401479098</v>
      </c>
      <c r="O100" s="3428">
        <v>0.18722114788522101</v>
      </c>
      <c r="P100" s="3428">
        <v>-5.6302444021129796E-3</v>
      </c>
      <c r="Q100" s="3428">
        <v>8.4793169091761697E-5</v>
      </c>
      <c r="R100" s="3428">
        <v>-6.31590424986925E-7</v>
      </c>
      <c r="S100" s="3428">
        <v>1.85019704252046E-9</v>
      </c>
      <c r="T100" s="402">
        <v>12</v>
      </c>
      <c r="U100" s="402">
        <v>100</v>
      </c>
      <c r="V100" s="3456"/>
      <c r="W100" s="3456"/>
      <c r="X100" s="3456"/>
      <c r="Y100" s="3456"/>
      <c r="Z100" s="3456"/>
    </row>
    <row r="101" spans="1:26" ht="13.5" customHeight="1" thickBot="1">
      <c r="A101" s="3426">
        <v>2035</v>
      </c>
      <c r="B101" s="3429">
        <v>0.18776530235129901</v>
      </c>
      <c r="C101" s="3429">
        <v>1.2396353300238999E-3</v>
      </c>
      <c r="D101" s="3429">
        <v>-7.9174415729414003E-6</v>
      </c>
      <c r="E101" s="3429">
        <v>1.96718983210665E-7</v>
      </c>
      <c r="F101" s="3429">
        <v>-2.6744177203670301E-9</v>
      </c>
      <c r="G101" s="3429">
        <v>1.8704648461793098E-11</v>
      </c>
      <c r="H101" s="3429">
        <v>-5.2530662129358502E-14</v>
      </c>
      <c r="I101" s="403">
        <v>12</v>
      </c>
      <c r="J101" s="403">
        <v>100</v>
      </c>
      <c r="K101" s="3456"/>
      <c r="L101" s="3426">
        <v>2035</v>
      </c>
      <c r="M101" s="3429">
        <v>38.603321020780498</v>
      </c>
      <c r="N101" s="3429">
        <v>-3.0261768417207602</v>
      </c>
      <c r="O101" s="3429">
        <v>0.19516090085416801</v>
      </c>
      <c r="P101" s="3429">
        <v>-5.8254033694248204E-3</v>
      </c>
      <c r="Q101" s="3429">
        <v>8.7451445453683001E-5</v>
      </c>
      <c r="R101" s="3429">
        <v>-6.5027550790850904E-7</v>
      </c>
      <c r="S101" s="3429">
        <v>1.9029562163542101E-9</v>
      </c>
      <c r="T101" s="403">
        <v>12</v>
      </c>
      <c r="U101" s="403">
        <v>100</v>
      </c>
      <c r="V101" s="3456"/>
      <c r="W101" s="3456"/>
      <c r="X101" s="3456"/>
      <c r="Y101" s="3456"/>
      <c r="Z101" s="3456"/>
    </row>
    <row r="102" spans="1:26" ht="13.5" customHeight="1" thickTop="1">
      <c r="A102" s="2308"/>
      <c r="B102" s="2308"/>
      <c r="C102" s="2308"/>
      <c r="D102" s="2308"/>
      <c r="E102" s="2308"/>
      <c r="F102" s="2308"/>
      <c r="G102" s="2308"/>
    </row>
    <row r="103" spans="1:26" ht="13.5" customHeight="1">
      <c r="A103" s="2308"/>
      <c r="B103" s="2308"/>
      <c r="C103" s="2308"/>
      <c r="D103" s="2308"/>
      <c r="E103" s="2308"/>
      <c r="F103" s="2308"/>
      <c r="G103" s="2308"/>
    </row>
    <row r="104" spans="1:26" ht="13.5" customHeight="1">
      <c r="A104" s="2308"/>
      <c r="B104" s="2308"/>
      <c r="C104" s="2308"/>
      <c r="D104" s="2308"/>
      <c r="E104" s="2308"/>
      <c r="F104" s="2308"/>
      <c r="G104" s="2308"/>
    </row>
    <row r="105" spans="1:26" ht="13.5" customHeight="1">
      <c r="A105" s="2308"/>
      <c r="B105" s="2308"/>
      <c r="C105" s="2308"/>
      <c r="D105" s="2308"/>
      <c r="E105" s="2308"/>
      <c r="F105" s="2308"/>
      <c r="G105" s="2308"/>
      <c r="H105" s="609"/>
      <c r="I105" s="609"/>
      <c r="J105" s="609"/>
    </row>
    <row r="106" spans="1:26" ht="13.5" customHeight="1">
      <c r="A106" s="2308"/>
      <c r="B106" s="2308"/>
      <c r="C106" s="2308"/>
      <c r="D106" s="2308"/>
      <c r="E106" s="2308"/>
      <c r="F106" s="2308"/>
      <c r="G106" s="2308"/>
      <c r="H106" s="609"/>
      <c r="I106" s="609"/>
    </row>
    <row r="107" spans="1:26" ht="13.5" customHeight="1">
      <c r="A107" s="2308"/>
      <c r="B107" s="2308"/>
      <c r="C107" s="2308"/>
      <c r="D107" s="2308"/>
      <c r="E107" s="2308"/>
      <c r="F107" s="2308"/>
      <c r="G107" s="2308"/>
    </row>
    <row r="108" spans="1:26" ht="13.5" customHeight="1">
      <c r="A108" s="2308"/>
      <c r="B108" s="2308"/>
      <c r="C108" s="2308"/>
      <c r="D108" s="2308"/>
      <c r="E108" s="2308"/>
      <c r="F108" s="2308"/>
      <c r="G108" s="2308"/>
    </row>
    <row r="109" spans="1:26" ht="13.5" customHeight="1">
      <c r="A109" s="2308"/>
      <c r="B109" s="2308"/>
      <c r="C109" s="2308"/>
      <c r="D109" s="2308"/>
      <c r="E109" s="2308"/>
      <c r="F109" s="2308"/>
      <c r="G109" s="2308"/>
    </row>
    <row r="110" spans="1:26" ht="13.5" customHeight="1">
      <c r="A110" s="2308"/>
      <c r="B110" s="2308"/>
      <c r="C110" s="2308"/>
      <c r="D110" s="2308"/>
      <c r="E110" s="2308"/>
      <c r="F110" s="2308"/>
      <c r="G110" s="2308"/>
    </row>
    <row r="111" spans="1:26" ht="13.5" customHeight="1">
      <c r="A111" s="2308"/>
      <c r="B111" s="2308"/>
      <c r="C111" s="2308"/>
      <c r="D111" s="2308"/>
      <c r="E111" s="2308"/>
      <c r="F111" s="2308"/>
      <c r="G111" s="2308"/>
    </row>
    <row r="112" spans="1:26" ht="13.5" customHeight="1">
      <c r="A112" s="2308"/>
      <c r="B112" s="2308"/>
      <c r="C112" s="2308"/>
      <c r="D112" s="2308"/>
      <c r="E112" s="2308"/>
      <c r="F112" s="2308"/>
      <c r="G112" s="2308"/>
    </row>
    <row r="113" spans="1:7" ht="13.5" customHeight="1">
      <c r="A113" s="2308"/>
      <c r="B113" s="2308"/>
      <c r="C113" s="2308"/>
      <c r="D113" s="2308"/>
      <c r="E113" s="2308"/>
      <c r="F113" s="2308"/>
      <c r="G113" s="2308"/>
    </row>
    <row r="114" spans="1:7" ht="13.5" customHeight="1">
      <c r="A114" s="2308"/>
      <c r="B114" s="2308"/>
      <c r="C114" s="2308"/>
      <c r="D114" s="2308"/>
      <c r="E114" s="2308"/>
      <c r="F114" s="2308"/>
      <c r="G114" s="2308"/>
    </row>
    <row r="115" spans="1:7" ht="13.5" customHeight="1">
      <c r="A115" s="2308"/>
      <c r="B115" s="2308"/>
      <c r="C115" s="2308"/>
      <c r="D115" s="2308"/>
      <c r="E115" s="2308"/>
      <c r="F115" s="2308"/>
      <c r="G115" s="2308"/>
    </row>
  </sheetData>
  <sheetProtection sheet="1" objects="1" scenarios="1"/>
  <mergeCells count="41">
    <mergeCell ref="A12:B12"/>
    <mergeCell ref="E6:S6"/>
    <mergeCell ref="A7:B7"/>
    <mergeCell ref="A8:B8"/>
    <mergeCell ref="A10:B10"/>
    <mergeCell ref="A11:B11"/>
    <mergeCell ref="B45:H45"/>
    <mergeCell ref="M45:S45"/>
    <mergeCell ref="A18:B18"/>
    <mergeCell ref="A19:B19"/>
    <mergeCell ref="A20:B20"/>
    <mergeCell ref="B25:H25"/>
    <mergeCell ref="M25:S25"/>
    <mergeCell ref="I26:J26"/>
    <mergeCell ref="T26:U26"/>
    <mergeCell ref="B35:H35"/>
    <mergeCell ref="M35:S35"/>
    <mergeCell ref="I36:J36"/>
    <mergeCell ref="T36:U36"/>
    <mergeCell ref="I46:J46"/>
    <mergeCell ref="T46:U46"/>
    <mergeCell ref="B55:H55"/>
    <mergeCell ref="M55:S55"/>
    <mergeCell ref="I56:J56"/>
    <mergeCell ref="T56:U56"/>
    <mergeCell ref="B65:H65"/>
    <mergeCell ref="M65:S65"/>
    <mergeCell ref="I66:J66"/>
    <mergeCell ref="T66:U66"/>
    <mergeCell ref="B75:H75"/>
    <mergeCell ref="M75:S75"/>
    <mergeCell ref="B95:H95"/>
    <mergeCell ref="M95:S95"/>
    <mergeCell ref="I96:J96"/>
    <mergeCell ref="T96:U96"/>
    <mergeCell ref="I76:J76"/>
    <mergeCell ref="T76:U76"/>
    <mergeCell ref="B85:H85"/>
    <mergeCell ref="M85:S85"/>
    <mergeCell ref="I86:J86"/>
    <mergeCell ref="T86:U86"/>
  </mergeCells>
  <hyperlinks>
    <hyperlink ref="A11" location="Contents!A1" display="Contents"/>
    <hyperlink ref="A11:B11" r:id="rId1" display="WebTAG Unit 3.3.5"/>
    <hyperlink ref="A10" location="Contents!A1" display="Contents"/>
    <hyperlink ref="A10:B10" location="Contents!A1" tooltip="Contents page" display="Contents"/>
    <hyperlink ref="A12:B12" r:id="rId2" tooltip="Unit A3  Environmental Impact Appraisal" display="WebTAG Unit A 3"/>
  </hyperlinks>
  <pageMargins left="0.75" right="0.75" top="1" bottom="1" header="0.5" footer="0.5"/>
  <pageSetup paperSize="9" scale="54" fitToHeight="2" orientation="landscape" r:id="rId3"/>
  <headerFooter alignWithMargins="0"/>
  <drawing r:id="rId4"/>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indexed="10"/>
  </sheetPr>
  <dimension ref="A1:Z103"/>
  <sheetViews>
    <sheetView showGridLines="0" topLeftCell="A3" zoomScale="55" zoomScaleNormal="55" workbookViewId="0">
      <selection activeCell="E23" sqref="E23:F23"/>
    </sheetView>
  </sheetViews>
  <sheetFormatPr defaultColWidth="12.88671875" defaultRowHeight="13.5" customHeight="1"/>
  <cols>
    <col min="1" max="1" width="12.88671875" style="317"/>
    <col min="2" max="2" width="12.88671875" style="317" customWidth="1"/>
    <col min="3" max="4" width="12.88671875" style="317"/>
    <col min="5" max="5" width="21.109375" style="317" bestFit="1" customWidth="1"/>
    <col min="6" max="16384" width="12.88671875" style="317"/>
  </cols>
  <sheetData>
    <row r="1" spans="1:19" ht="54.9" customHeight="1"/>
    <row r="2" spans="1:19" s="319" customFormat="1" ht="5.0999999999999996" customHeight="1"/>
    <row r="3" spans="1:19" s="319" customFormat="1" ht="20.100000000000001" customHeight="1">
      <c r="A3" s="300" t="s">
        <v>2483</v>
      </c>
    </row>
    <row r="4" spans="1:19" s="322" customFormat="1" ht="20.100000000000001" customHeight="1" thickBot="1">
      <c r="A4" s="529" t="s">
        <v>2484</v>
      </c>
      <c r="B4" s="320"/>
      <c r="C4" s="320"/>
      <c r="D4" s="320"/>
      <c r="E4" s="320"/>
      <c r="F4" s="320"/>
      <c r="G4" s="320"/>
      <c r="H4" s="320"/>
      <c r="I4" s="320"/>
      <c r="J4" s="320"/>
      <c r="K4" s="320"/>
      <c r="L4" s="320"/>
      <c r="M4" s="320"/>
      <c r="N4" s="320"/>
      <c r="O4" s="320"/>
      <c r="P4" s="320"/>
      <c r="Q4" s="320"/>
      <c r="R4" s="320"/>
      <c r="S4" s="320"/>
    </row>
    <row r="5" spans="1:19" ht="9.9" customHeight="1" thickTop="1" thickBot="1"/>
    <row r="6" spans="1:19" s="3456"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456" customFormat="1" ht="13.5" customHeight="1">
      <c r="A7" s="3644" t="str">
        <f>Audit!A12</f>
        <v>May 2019 v1.12</v>
      </c>
      <c r="B7" s="3651"/>
      <c r="E7" s="113"/>
      <c r="F7" s="29"/>
      <c r="G7" s="3457"/>
      <c r="H7" s="3457"/>
      <c r="I7" s="3457"/>
      <c r="J7" s="3457"/>
      <c r="K7" s="3457"/>
      <c r="L7" s="3457"/>
      <c r="M7" s="3457"/>
      <c r="N7" s="3457"/>
      <c r="O7" s="3457"/>
      <c r="P7" s="3457"/>
      <c r="Q7" s="3457"/>
      <c r="R7" s="3457"/>
      <c r="S7" s="147"/>
    </row>
    <row r="8" spans="1:19" s="3456" customFormat="1" ht="13.5" customHeight="1">
      <c r="A8" s="3646">
        <f>Audit!C12</f>
        <v>43586</v>
      </c>
      <c r="B8" s="3651"/>
      <c r="C8" s="321"/>
      <c r="D8" s="321"/>
      <c r="E8" s="113"/>
      <c r="F8" s="315"/>
      <c r="G8" s="3457"/>
      <c r="H8" s="3457"/>
      <c r="I8" s="3457"/>
      <c r="J8" s="3457"/>
      <c r="K8" s="3457"/>
      <c r="L8" s="3457"/>
      <c r="M8" s="3457"/>
      <c r="N8" s="3457"/>
      <c r="O8" s="3457"/>
      <c r="P8" s="3457"/>
      <c r="Q8" s="3457"/>
      <c r="R8" s="3457"/>
      <c r="S8" s="147"/>
    </row>
    <row r="9" spans="1:19" s="3456" customFormat="1" ht="13.5" customHeight="1" thickBot="1">
      <c r="A9" s="3455" t="s">
        <v>14</v>
      </c>
      <c r="B9" s="173"/>
      <c r="D9" s="321"/>
      <c r="E9" s="113"/>
      <c r="F9" s="3457"/>
      <c r="G9" s="3457"/>
      <c r="H9" s="3457"/>
      <c r="I9" s="3457"/>
      <c r="J9" s="3457"/>
      <c r="K9" s="3457"/>
      <c r="L9" s="3457"/>
      <c r="M9" s="3457"/>
      <c r="N9" s="3457"/>
      <c r="O9" s="3457"/>
      <c r="P9" s="3457"/>
      <c r="Q9" s="3457"/>
      <c r="R9" s="3457"/>
      <c r="S9" s="147"/>
    </row>
    <row r="10" spans="1:19" s="3456" customFormat="1" ht="13.5" customHeight="1" thickBot="1">
      <c r="A10" s="3611" t="s">
        <v>1306</v>
      </c>
      <c r="B10" s="3612"/>
      <c r="D10" s="321"/>
      <c r="E10" s="113"/>
      <c r="F10" s="3457"/>
      <c r="G10" s="3457"/>
      <c r="H10" s="3457"/>
      <c r="I10" s="3457"/>
      <c r="J10" s="3457"/>
      <c r="K10" s="3457"/>
      <c r="L10" s="3457"/>
      <c r="M10" s="3457"/>
      <c r="N10" s="3457"/>
      <c r="O10" s="3457"/>
      <c r="P10" s="3457"/>
      <c r="Q10" s="3457"/>
      <c r="R10" s="3457"/>
      <c r="S10" s="147"/>
    </row>
    <row r="11" spans="1:19" s="3456" customFormat="1" ht="13.5" customHeight="1" thickBot="1">
      <c r="A11" s="3611" t="s">
        <v>2268</v>
      </c>
      <c r="B11" s="3639"/>
      <c r="D11" s="321"/>
      <c r="E11" s="113"/>
      <c r="F11" s="3459"/>
      <c r="G11" s="3459"/>
      <c r="H11" s="3459"/>
      <c r="I11" s="3459"/>
      <c r="J11" s="3459"/>
      <c r="K11" s="3459"/>
      <c r="L11" s="3459"/>
      <c r="M11" s="3459"/>
      <c r="N11" s="3459"/>
      <c r="O11" s="3459"/>
      <c r="P11" s="3459"/>
      <c r="Q11" s="3459"/>
      <c r="R11" s="3459"/>
      <c r="S11" s="379"/>
    </row>
    <row r="12" spans="1:19" s="3456" customFormat="1" ht="13.5" customHeight="1" thickBot="1">
      <c r="A12" s="3611" t="s">
        <v>2265</v>
      </c>
      <c r="B12" s="3639"/>
      <c r="D12" s="321"/>
      <c r="E12" s="113"/>
      <c r="F12" s="3457"/>
      <c r="G12" s="3457"/>
      <c r="H12" s="3457"/>
      <c r="I12" s="3457"/>
      <c r="J12" s="3457"/>
      <c r="K12" s="3457"/>
      <c r="L12" s="3457"/>
      <c r="M12" s="3457"/>
      <c r="N12" s="3457"/>
      <c r="O12" s="3457"/>
      <c r="P12" s="3457"/>
      <c r="Q12" s="3457"/>
      <c r="R12" s="3457"/>
      <c r="S12" s="147"/>
    </row>
    <row r="13" spans="1:19" s="3456" customFormat="1" ht="13.5" customHeight="1">
      <c r="A13" s="3455" t="s">
        <v>252</v>
      </c>
      <c r="B13" s="194"/>
      <c r="C13" s="321"/>
      <c r="D13" s="321"/>
      <c r="E13" s="3458"/>
      <c r="F13" s="3457"/>
      <c r="G13" s="3457"/>
      <c r="H13" s="3457"/>
      <c r="I13" s="3457"/>
      <c r="J13" s="3457"/>
      <c r="K13" s="3457"/>
      <c r="L13" s="3457"/>
      <c r="M13" s="3457"/>
      <c r="N13" s="3457"/>
      <c r="O13" s="3457"/>
      <c r="P13" s="3457"/>
      <c r="Q13" s="3457"/>
      <c r="R13" s="3457"/>
      <c r="S13" s="147"/>
    </row>
    <row r="14" spans="1:19" s="3456" customFormat="1" ht="13.5" customHeight="1">
      <c r="A14" s="56" t="s">
        <v>799</v>
      </c>
      <c r="B14" s="221">
        <f>'User Parameters'!L13</f>
        <v>2010</v>
      </c>
      <c r="C14" s="321"/>
      <c r="D14" s="321"/>
      <c r="E14" s="113"/>
      <c r="F14" s="3457"/>
      <c r="G14" s="3457"/>
      <c r="H14" s="3457"/>
      <c r="I14" s="3457"/>
      <c r="J14" s="3457"/>
      <c r="K14" s="3457"/>
      <c r="L14" s="3457"/>
      <c r="M14" s="3457"/>
      <c r="N14" s="3457"/>
      <c r="O14" s="3457"/>
      <c r="P14" s="3457"/>
      <c r="Q14" s="3457"/>
      <c r="R14" s="3457"/>
      <c r="S14" s="147"/>
    </row>
    <row r="15" spans="1:19" s="3456" customFormat="1" ht="13.5" customHeight="1">
      <c r="A15" s="3457" t="s">
        <v>54</v>
      </c>
      <c r="B15" s="221">
        <f>'User Parameters'!L19</f>
        <v>2010</v>
      </c>
      <c r="C15" s="321"/>
      <c r="D15" s="321"/>
      <c r="E15" s="113"/>
      <c r="F15" s="3457"/>
      <c r="G15" s="3457"/>
      <c r="H15" s="3457"/>
      <c r="I15" s="3457"/>
      <c r="J15" s="3457"/>
      <c r="K15" s="3457"/>
      <c r="L15" s="3457"/>
      <c r="M15" s="3457"/>
      <c r="N15" s="3457"/>
      <c r="O15" s="3457"/>
      <c r="P15" s="3457"/>
      <c r="Q15" s="3457"/>
      <c r="R15" s="3457"/>
      <c r="S15" s="147"/>
    </row>
    <row r="16" spans="1:19" s="3456" customFormat="1" ht="13.5" customHeight="1">
      <c r="A16" s="3456" t="s">
        <v>370</v>
      </c>
      <c r="B16" s="1221">
        <v>2010</v>
      </c>
      <c r="C16" s="321"/>
      <c r="D16" s="321"/>
      <c r="E16" s="113"/>
      <c r="F16" s="3457"/>
      <c r="G16" s="3457"/>
      <c r="H16" s="3457"/>
      <c r="I16" s="3457"/>
      <c r="J16" s="3457"/>
      <c r="K16" s="3457"/>
      <c r="L16" s="3457"/>
      <c r="M16" s="3457"/>
      <c r="N16" s="3457"/>
      <c r="O16" s="3457"/>
      <c r="P16" s="3457"/>
      <c r="Q16" s="3457"/>
      <c r="R16" s="3457"/>
      <c r="S16" s="147"/>
    </row>
    <row r="17" spans="1:26" s="3456" customFormat="1" ht="13.5" customHeight="1">
      <c r="A17" s="169" t="s">
        <v>253</v>
      </c>
      <c r="B17" s="170"/>
      <c r="C17" s="321"/>
      <c r="D17" s="321"/>
      <c r="E17" s="207"/>
      <c r="F17" s="3457"/>
      <c r="G17" s="3457"/>
      <c r="H17" s="3457"/>
      <c r="I17" s="3457"/>
      <c r="J17" s="3457"/>
      <c r="K17" s="3457"/>
      <c r="L17" s="3457"/>
      <c r="M17" s="3457"/>
      <c r="N17" s="3457"/>
      <c r="O17" s="3457"/>
      <c r="P17" s="3457"/>
      <c r="Q17" s="3457"/>
      <c r="R17" s="3457"/>
      <c r="S17" s="147"/>
    </row>
    <row r="18" spans="1:26" s="3456" customFormat="1" ht="13.5" customHeight="1">
      <c r="A18" s="3615"/>
      <c r="B18" s="3615"/>
      <c r="C18" s="321"/>
      <c r="D18" s="321"/>
      <c r="E18" s="113"/>
      <c r="F18" s="3457"/>
      <c r="G18" s="3457"/>
      <c r="H18" s="3457"/>
      <c r="I18" s="3457"/>
      <c r="J18" s="3457"/>
      <c r="K18" s="3457"/>
      <c r="L18" s="3457"/>
      <c r="M18" s="3457"/>
      <c r="N18" s="3457"/>
      <c r="O18" s="3457"/>
      <c r="P18" s="3457"/>
      <c r="Q18" s="3457"/>
      <c r="R18" s="3457"/>
      <c r="S18" s="147"/>
    </row>
    <row r="19" spans="1:26" s="3456" customFormat="1" ht="13.5" customHeight="1">
      <c r="A19" s="3453"/>
      <c r="B19" s="3453"/>
      <c r="C19" s="321"/>
      <c r="D19" s="321"/>
      <c r="E19" s="113" t="s">
        <v>929</v>
      </c>
      <c r="F19" s="3457"/>
      <c r="G19" s="3457"/>
      <c r="H19" s="3457"/>
      <c r="I19" s="3457"/>
      <c r="J19" s="3457"/>
      <c r="K19" s="3457"/>
      <c r="L19" s="3457"/>
      <c r="M19" s="3457"/>
      <c r="N19" s="3457"/>
      <c r="O19" s="3457"/>
      <c r="P19" s="3457"/>
      <c r="Q19" s="3457"/>
      <c r="R19" s="3457"/>
      <c r="S19" s="147"/>
    </row>
    <row r="20" spans="1:26" s="3456" customFormat="1" ht="13.5" customHeight="1" thickBot="1">
      <c r="C20" s="321"/>
      <c r="D20" s="321"/>
      <c r="E20" s="381" t="s">
        <v>2272</v>
      </c>
      <c r="F20" s="163"/>
      <c r="G20" s="163"/>
      <c r="H20" s="163"/>
      <c r="I20" s="163"/>
      <c r="J20" s="163"/>
      <c r="K20" s="163"/>
      <c r="L20" s="163"/>
      <c r="M20" s="163"/>
      <c r="N20" s="163"/>
      <c r="O20" s="163"/>
      <c r="P20" s="163"/>
      <c r="Q20" s="163"/>
      <c r="R20" s="163"/>
      <c r="S20" s="382"/>
    </row>
    <row r="21" spans="1:26" ht="13.5" customHeight="1" thickTop="1"/>
    <row r="22" spans="1:26" ht="13.5" customHeight="1" thickBot="1"/>
    <row r="23" spans="1:26" ht="13.5" customHeight="1" thickTop="1">
      <c r="A23" s="3340" t="s">
        <v>2431</v>
      </c>
      <c r="B23" s="680" t="s">
        <v>2414</v>
      </c>
      <c r="C23" s="224"/>
      <c r="D23" s="224"/>
      <c r="E23" s="462"/>
      <c r="F23" s="462"/>
      <c r="G23" s="462"/>
      <c r="H23" s="680"/>
      <c r="I23" s="224"/>
      <c r="J23" s="462"/>
      <c r="K23" s="38"/>
      <c r="L23" s="3340" t="s">
        <v>2432</v>
      </c>
      <c r="M23" s="680" t="s">
        <v>2401</v>
      </c>
      <c r="N23" s="224"/>
      <c r="O23" s="224"/>
      <c r="P23" s="462"/>
      <c r="Q23" s="462"/>
      <c r="R23" s="462"/>
      <c r="S23" s="680"/>
      <c r="T23" s="224"/>
      <c r="U23" s="462"/>
      <c r="V23" s="38"/>
      <c r="W23" s="3434" t="s">
        <v>2433</v>
      </c>
      <c r="X23" s="680" t="s">
        <v>2434</v>
      </c>
      <c r="Y23" s="462"/>
      <c r="Z23" s="3342"/>
    </row>
    <row r="24" spans="1:26" ht="13.5" customHeight="1" thickBot="1">
      <c r="A24" s="836"/>
      <c r="B24" s="526" t="s">
        <v>2400</v>
      </c>
      <c r="C24" s="227"/>
      <c r="D24" s="227"/>
      <c r="E24" s="523"/>
      <c r="F24" s="523"/>
      <c r="G24" s="523"/>
      <c r="H24" s="526"/>
      <c r="I24" s="227"/>
      <c r="J24" s="523"/>
      <c r="K24" s="38"/>
      <c r="L24" s="836"/>
      <c r="M24" s="526" t="s">
        <v>2400</v>
      </c>
      <c r="N24" s="227"/>
      <c r="O24" s="227"/>
      <c r="P24" s="523"/>
      <c r="Q24" s="523"/>
      <c r="R24" s="523"/>
      <c r="S24" s="526"/>
      <c r="T24" s="227"/>
      <c r="U24" s="523"/>
      <c r="V24" s="38"/>
      <c r="W24" s="836"/>
      <c r="X24" s="526" t="s">
        <v>2435</v>
      </c>
      <c r="Y24" s="523"/>
      <c r="Z24" s="3342"/>
    </row>
    <row r="25" spans="1:26" ht="13.5" customHeight="1" thickTop="1" thickBot="1">
      <c r="A25" s="464"/>
      <c r="B25" s="3720" t="s">
        <v>1399</v>
      </c>
      <c r="C25" s="3721"/>
      <c r="D25" s="3721"/>
      <c r="E25" s="3721"/>
      <c r="F25" s="3721"/>
      <c r="G25" s="3721"/>
      <c r="H25" s="3722"/>
      <c r="I25" s="414" t="s">
        <v>2399</v>
      </c>
      <c r="J25" s="414" t="s">
        <v>2398</v>
      </c>
      <c r="K25" s="38"/>
      <c r="L25" s="464"/>
      <c r="M25" s="3720" t="s">
        <v>1399</v>
      </c>
      <c r="N25" s="3721"/>
      <c r="O25" s="3721"/>
      <c r="P25" s="3721"/>
      <c r="Q25" s="3721"/>
      <c r="R25" s="3721"/>
      <c r="S25" s="3722"/>
      <c r="T25" s="414" t="s">
        <v>2399</v>
      </c>
      <c r="U25" s="414" t="s">
        <v>2398</v>
      </c>
      <c r="V25" s="38"/>
      <c r="W25" s="414"/>
      <c r="X25" s="414" t="s">
        <v>2409</v>
      </c>
      <c r="Y25" s="414" t="s">
        <v>2177</v>
      </c>
      <c r="Z25" s="3342"/>
    </row>
    <row r="26" spans="1:26" ht="13.5" customHeight="1" thickTop="1" thickBot="1">
      <c r="A26" s="3430" t="s">
        <v>568</v>
      </c>
      <c r="B26" s="414" t="s">
        <v>569</v>
      </c>
      <c r="C26" s="414" t="s">
        <v>570</v>
      </c>
      <c r="D26" s="414" t="s">
        <v>571</v>
      </c>
      <c r="E26" s="414" t="s">
        <v>572</v>
      </c>
      <c r="F26" s="414" t="s">
        <v>2395</v>
      </c>
      <c r="G26" s="414" t="s">
        <v>2396</v>
      </c>
      <c r="H26" s="414" t="s">
        <v>2397</v>
      </c>
      <c r="I26" s="3719" t="s">
        <v>1698</v>
      </c>
      <c r="J26" s="3703"/>
      <c r="K26" s="38"/>
      <c r="L26" s="3430" t="s">
        <v>568</v>
      </c>
      <c r="M26" s="414" t="s">
        <v>569</v>
      </c>
      <c r="N26" s="414" t="s">
        <v>570</v>
      </c>
      <c r="O26" s="414" t="s">
        <v>571</v>
      </c>
      <c r="P26" s="414" t="s">
        <v>572</v>
      </c>
      <c r="Q26" s="414" t="s">
        <v>2395</v>
      </c>
      <c r="R26" s="414" t="s">
        <v>2396</v>
      </c>
      <c r="S26" s="414" t="s">
        <v>2397</v>
      </c>
      <c r="T26" s="3719" t="s">
        <v>1698</v>
      </c>
      <c r="U26" s="3703"/>
      <c r="V26" s="38"/>
      <c r="W26" s="3425" t="s">
        <v>2410</v>
      </c>
      <c r="X26" s="3431">
        <v>8.1000000000000003E-2</v>
      </c>
      <c r="Y26" s="3431" t="s">
        <v>2021</v>
      </c>
      <c r="Z26" s="3342"/>
    </row>
    <row r="27" spans="1:26" ht="13.5" customHeight="1" thickTop="1">
      <c r="A27" s="3425">
        <v>2015</v>
      </c>
      <c r="B27" s="3460">
        <v>3.49805498812457E-3</v>
      </c>
      <c r="C27" s="3460">
        <v>7.7743483527653405E-4</v>
      </c>
      <c r="D27" s="3460">
        <v>9.6145978207217605E-6</v>
      </c>
      <c r="E27" s="3460">
        <v>-4.3993369304548699E-7</v>
      </c>
      <c r="F27" s="3460">
        <v>9.0084105620552902E-9</v>
      </c>
      <c r="G27" s="3460">
        <v>-9.0160326700270902E-11</v>
      </c>
      <c r="H27" s="3460">
        <v>3.5120510311104898E-13</v>
      </c>
      <c r="I27" s="402">
        <v>10</v>
      </c>
      <c r="J27" s="402">
        <v>130</v>
      </c>
      <c r="K27" s="38"/>
      <c r="L27" s="3425">
        <v>2015</v>
      </c>
      <c r="M27" s="3427">
        <v>-2.75192545432511E-2</v>
      </c>
      <c r="N27" s="3427">
        <v>0.13346473099619099</v>
      </c>
      <c r="O27" s="3427">
        <v>-1.2219517890502199E-3</v>
      </c>
      <c r="P27" s="3427">
        <v>-1.0649575670486801E-5</v>
      </c>
      <c r="Q27" s="3427">
        <v>4.7477759586424998E-7</v>
      </c>
      <c r="R27" s="3427">
        <v>-4.3698612588158098E-9</v>
      </c>
      <c r="S27" s="3427">
        <v>1.40096506941682E-11</v>
      </c>
      <c r="T27" s="402">
        <v>10</v>
      </c>
      <c r="U27" s="402">
        <v>130</v>
      </c>
      <c r="V27" s="38"/>
      <c r="W27" s="3425" t="s">
        <v>2411</v>
      </c>
      <c r="X27" s="3431">
        <v>0.36599999999999999</v>
      </c>
      <c r="Y27" s="3431">
        <v>3.4000000000000002E-2</v>
      </c>
      <c r="Z27" s="3342"/>
    </row>
    <row r="28" spans="1:26" ht="13.5" customHeight="1">
      <c r="A28" s="3425">
        <v>2020</v>
      </c>
      <c r="B28" s="3461">
        <v>2.3790698801005902E-3</v>
      </c>
      <c r="C28" s="3461">
        <v>6.2231577319743004E-4</v>
      </c>
      <c r="D28" s="3461">
        <v>5.75808913362796E-6</v>
      </c>
      <c r="E28" s="3461">
        <v>-3.3866354067131402E-7</v>
      </c>
      <c r="F28" s="3461">
        <v>6.5654696056210996E-9</v>
      </c>
      <c r="G28" s="3461">
        <v>-6.2935358467106902E-11</v>
      </c>
      <c r="H28" s="3461">
        <v>2.4829119098315999E-13</v>
      </c>
      <c r="I28" s="1648">
        <v>10</v>
      </c>
      <c r="J28" s="1648">
        <v>130</v>
      </c>
      <c r="K28" s="38"/>
      <c r="L28" s="3425">
        <v>2020</v>
      </c>
      <c r="M28" s="3428">
        <v>1.44526759397721E-2</v>
      </c>
      <c r="N28" s="3428">
        <v>9.3061728383802597E-2</v>
      </c>
      <c r="O28" s="3428">
        <v>-1.2240426881247001E-3</v>
      </c>
      <c r="P28" s="3428">
        <v>1.02637242111328E-5</v>
      </c>
      <c r="Q28" s="3428">
        <v>2.5307388473950399E-9</v>
      </c>
      <c r="R28" s="3428">
        <v>-4.06549342407426E-10</v>
      </c>
      <c r="S28" s="3428">
        <v>1.7108796727140099E-12</v>
      </c>
      <c r="T28" s="1648">
        <v>10</v>
      </c>
      <c r="U28" s="1648">
        <v>130</v>
      </c>
      <c r="V28" s="38"/>
      <c r="W28" s="3425" t="s">
        <v>2412</v>
      </c>
      <c r="X28" s="3431">
        <v>0.124</v>
      </c>
      <c r="Y28" s="3431" t="s">
        <v>2021</v>
      </c>
      <c r="Z28" s="3342"/>
    </row>
    <row r="29" spans="1:26" ht="13.5" customHeight="1" thickBot="1">
      <c r="A29" s="3425">
        <v>2025</v>
      </c>
      <c r="B29" s="3461">
        <v>1.8728664150767199E-3</v>
      </c>
      <c r="C29" s="3461">
        <v>7.3068519555765103E-4</v>
      </c>
      <c r="D29" s="3461">
        <v>4.2050087783048597E-6</v>
      </c>
      <c r="E29" s="3461">
        <v>-3.1676940761949302E-7</v>
      </c>
      <c r="F29" s="3461">
        <v>5.8454637119260503E-9</v>
      </c>
      <c r="G29" s="3461">
        <v>-5.343760679746E-11</v>
      </c>
      <c r="H29" s="3461">
        <v>2.1158310445189501E-13</v>
      </c>
      <c r="I29" s="402">
        <v>10</v>
      </c>
      <c r="J29" s="402">
        <v>130</v>
      </c>
      <c r="K29" s="38"/>
      <c r="L29" s="3425">
        <v>2025</v>
      </c>
      <c r="M29" s="3428">
        <v>1.9012890653919999E-2</v>
      </c>
      <c r="N29" s="3428">
        <v>8.7126949883114799E-2</v>
      </c>
      <c r="O29" s="3428">
        <v>-1.27847465795829E-3</v>
      </c>
      <c r="P29" s="3428">
        <v>1.71941537345734E-5</v>
      </c>
      <c r="Q29" s="3428">
        <v>-1.28595456579676E-7</v>
      </c>
      <c r="R29" s="3428">
        <v>5.9454120412796199E-10</v>
      </c>
      <c r="S29" s="3428">
        <v>-1.1625952850603201E-12</v>
      </c>
      <c r="T29" s="402">
        <v>10</v>
      </c>
      <c r="U29" s="402">
        <v>130</v>
      </c>
      <c r="V29" s="38"/>
      <c r="W29" s="3426" t="s">
        <v>2413</v>
      </c>
      <c r="X29" s="3432">
        <v>0.65400000000000003</v>
      </c>
      <c r="Y29" s="3432">
        <v>3.6999999999999998E-2</v>
      </c>
      <c r="Z29" s="38"/>
    </row>
    <row r="30" spans="1:26" ht="13.5" customHeight="1" thickTop="1" thickBot="1">
      <c r="A30" s="3425">
        <v>2030</v>
      </c>
      <c r="B30" s="3461">
        <v>1.4671757340891001E-3</v>
      </c>
      <c r="C30" s="3461">
        <v>7.8165580826272695E-4</v>
      </c>
      <c r="D30" s="3461">
        <v>3.1582269819569901E-6</v>
      </c>
      <c r="E30" s="3461">
        <v>-2.8940909906115701E-7</v>
      </c>
      <c r="F30" s="3461">
        <v>5.1598265542293502E-9</v>
      </c>
      <c r="G30" s="3461">
        <v>-4.5431820247312801E-11</v>
      </c>
      <c r="H30" s="3461">
        <v>1.79832643402635E-13</v>
      </c>
      <c r="I30" s="402">
        <v>10</v>
      </c>
      <c r="J30" s="402">
        <v>130</v>
      </c>
      <c r="K30" s="38"/>
      <c r="L30" s="3425">
        <v>2030</v>
      </c>
      <c r="M30" s="3428">
        <v>1.6552343465818398E-2</v>
      </c>
      <c r="N30" s="3428">
        <v>8.8048273363696805E-2</v>
      </c>
      <c r="O30" s="3428">
        <v>-1.30898364917632E-3</v>
      </c>
      <c r="P30" s="3428">
        <v>1.8108594971755901E-5</v>
      </c>
      <c r="Q30" s="3428">
        <v>-1.4274768369976501E-7</v>
      </c>
      <c r="R30" s="3428">
        <v>6.9286529328185202E-10</v>
      </c>
      <c r="S30" s="3428">
        <v>-1.42287115090939E-12</v>
      </c>
      <c r="T30" s="402">
        <v>10</v>
      </c>
      <c r="U30" s="402">
        <v>130</v>
      </c>
      <c r="V30" s="38"/>
      <c r="W30" s="38"/>
      <c r="X30" s="38"/>
      <c r="Y30" s="38"/>
      <c r="Z30" s="38"/>
    </row>
    <row r="31" spans="1:26" ht="13.5" customHeight="1" thickTop="1" thickBot="1">
      <c r="A31" s="3426">
        <v>2035</v>
      </c>
      <c r="B31" s="3462">
        <v>1.38804479700541E-3</v>
      </c>
      <c r="C31" s="3462">
        <v>7.9045137187353301E-4</v>
      </c>
      <c r="D31" s="3462">
        <v>2.9805442836197502E-6</v>
      </c>
      <c r="E31" s="3462">
        <v>-2.8469451137292901E-7</v>
      </c>
      <c r="F31" s="3462">
        <v>5.0400158439934702E-9</v>
      </c>
      <c r="G31" s="3462">
        <v>-4.4003831415734499E-11</v>
      </c>
      <c r="H31" s="3462">
        <v>1.74032326077764E-13</v>
      </c>
      <c r="I31" s="403">
        <v>10</v>
      </c>
      <c r="J31" s="403">
        <v>130</v>
      </c>
      <c r="K31" s="38"/>
      <c r="L31" s="3426">
        <v>2035</v>
      </c>
      <c r="M31" s="3429">
        <v>1.5820274429745901E-2</v>
      </c>
      <c r="N31" s="3429">
        <v>8.8398260635171796E-2</v>
      </c>
      <c r="O31" s="3429">
        <v>-1.3165124658178001E-3</v>
      </c>
      <c r="P31" s="3429">
        <v>1.8198597221632399E-5</v>
      </c>
      <c r="Q31" s="3429">
        <v>-1.43564091781183E-7</v>
      </c>
      <c r="R31" s="3429">
        <v>6.9713353246075195E-10</v>
      </c>
      <c r="S31" s="3429">
        <v>-1.4322756087486199E-12</v>
      </c>
      <c r="T31" s="403">
        <v>10</v>
      </c>
      <c r="U31" s="403">
        <v>130</v>
      </c>
      <c r="V31" s="38"/>
      <c r="W31" s="3434" t="s">
        <v>2437</v>
      </c>
      <c r="X31" s="680" t="s">
        <v>2439</v>
      </c>
      <c r="Y31" s="462"/>
      <c r="Z31" s="1577"/>
    </row>
    <row r="32" spans="1:26" ht="13.5" customHeight="1" thickTop="1" thickBot="1">
      <c r="A32" s="38"/>
      <c r="B32" s="594"/>
      <c r="C32" s="14"/>
      <c r="D32" s="14"/>
      <c r="E32" s="14"/>
      <c r="F32" s="14"/>
      <c r="G32" s="38"/>
      <c r="H32" s="38"/>
      <c r="I32" s="38"/>
      <c r="J32" s="38"/>
      <c r="K32" s="38"/>
      <c r="L32" s="3342"/>
      <c r="M32" s="594"/>
      <c r="N32" s="14"/>
      <c r="O32" s="14"/>
      <c r="P32" s="14"/>
      <c r="Q32" s="14"/>
      <c r="R32" s="3342"/>
      <c r="S32" s="3342"/>
      <c r="T32" s="3342"/>
      <c r="U32" s="3342"/>
      <c r="V32" s="38"/>
      <c r="W32" s="836"/>
      <c r="X32" s="526" t="s">
        <v>2436</v>
      </c>
      <c r="Y32" s="523"/>
      <c r="Z32" s="3433"/>
    </row>
    <row r="33" spans="1:26" ht="13.5" customHeight="1" thickTop="1" thickBot="1">
      <c r="A33" s="3340" t="s">
        <v>2431</v>
      </c>
      <c r="B33" s="680" t="s">
        <v>2415</v>
      </c>
      <c r="C33" s="224"/>
      <c r="D33" s="224"/>
      <c r="E33" s="462"/>
      <c r="F33" s="462"/>
      <c r="G33" s="462"/>
      <c r="H33" s="680"/>
      <c r="I33" s="224"/>
      <c r="J33" s="462"/>
      <c r="K33" s="38"/>
      <c r="L33" s="3340" t="s">
        <v>2432</v>
      </c>
      <c r="M33" s="680" t="s">
        <v>2402</v>
      </c>
      <c r="N33" s="224"/>
      <c r="O33" s="224"/>
      <c r="P33" s="462"/>
      <c r="Q33" s="462"/>
      <c r="R33" s="462"/>
      <c r="S33" s="680"/>
      <c r="T33" s="224"/>
      <c r="U33" s="462"/>
      <c r="V33" s="38"/>
      <c r="W33" s="414"/>
      <c r="X33" s="414" t="s">
        <v>2426</v>
      </c>
      <c r="Y33" s="414" t="s">
        <v>2427</v>
      </c>
      <c r="Z33" s="414" t="s">
        <v>2428</v>
      </c>
    </row>
    <row r="34" spans="1:26" ht="13.5" customHeight="1" thickTop="1" thickBot="1">
      <c r="A34" s="836"/>
      <c r="B34" s="526" t="s">
        <v>2400</v>
      </c>
      <c r="C34" s="227"/>
      <c r="D34" s="227"/>
      <c r="E34" s="523"/>
      <c r="F34" s="523"/>
      <c r="G34" s="523"/>
      <c r="H34" s="526"/>
      <c r="I34" s="227"/>
      <c r="J34" s="523"/>
      <c r="K34" s="38"/>
      <c r="L34" s="836"/>
      <c r="M34" s="526" t="s">
        <v>2400</v>
      </c>
      <c r="N34" s="227"/>
      <c r="O34" s="227"/>
      <c r="P34" s="523"/>
      <c r="Q34" s="523"/>
      <c r="R34" s="523"/>
      <c r="S34" s="526"/>
      <c r="T34" s="227"/>
      <c r="U34" s="523"/>
      <c r="V34" s="38"/>
      <c r="W34" s="3438" t="s">
        <v>879</v>
      </c>
      <c r="X34" s="3435">
        <v>7.4999999999999997E-3</v>
      </c>
      <c r="Y34" s="3435">
        <v>7.3000000000000001E-3</v>
      </c>
      <c r="Z34" s="3435">
        <v>7.0000000000000001E-3</v>
      </c>
    </row>
    <row r="35" spans="1:26" ht="13.5" customHeight="1" thickTop="1" thickBot="1">
      <c r="A35" s="464"/>
      <c r="B35" s="3720" t="s">
        <v>1399</v>
      </c>
      <c r="C35" s="3721"/>
      <c r="D35" s="3721"/>
      <c r="E35" s="3721"/>
      <c r="F35" s="3721"/>
      <c r="G35" s="3721"/>
      <c r="H35" s="3722"/>
      <c r="I35" s="414" t="s">
        <v>2399</v>
      </c>
      <c r="J35" s="414" t="s">
        <v>2398</v>
      </c>
      <c r="K35" s="38"/>
      <c r="L35" s="464"/>
      <c r="M35" s="3720" t="s">
        <v>1399</v>
      </c>
      <c r="N35" s="3721"/>
      <c r="O35" s="3721"/>
      <c r="P35" s="3721"/>
      <c r="Q35" s="3721"/>
      <c r="R35" s="3721"/>
      <c r="S35" s="3722"/>
      <c r="T35" s="414" t="s">
        <v>2399</v>
      </c>
      <c r="U35" s="414" t="s">
        <v>2398</v>
      </c>
      <c r="V35" s="38"/>
      <c r="W35" s="3439" t="s">
        <v>878</v>
      </c>
      <c r="X35" s="3436">
        <v>7.4999999999999997E-3</v>
      </c>
      <c r="Y35" s="3436">
        <v>1.14E-2</v>
      </c>
      <c r="Z35" s="3436">
        <v>1.0500000000000001E-2</v>
      </c>
    </row>
    <row r="36" spans="1:26" ht="13.5" customHeight="1" thickTop="1" thickBot="1">
      <c r="A36" s="3430" t="s">
        <v>568</v>
      </c>
      <c r="B36" s="414" t="s">
        <v>569</v>
      </c>
      <c r="C36" s="414" t="s">
        <v>570</v>
      </c>
      <c r="D36" s="414" t="s">
        <v>571</v>
      </c>
      <c r="E36" s="414" t="s">
        <v>572</v>
      </c>
      <c r="F36" s="414" t="s">
        <v>2395</v>
      </c>
      <c r="G36" s="414" t="s">
        <v>2396</v>
      </c>
      <c r="H36" s="414" t="s">
        <v>2397</v>
      </c>
      <c r="I36" s="3719" t="s">
        <v>1698</v>
      </c>
      <c r="J36" s="3703"/>
      <c r="K36" s="38"/>
      <c r="L36" s="3430" t="s">
        <v>568</v>
      </c>
      <c r="M36" s="414" t="s">
        <v>569</v>
      </c>
      <c r="N36" s="414" t="s">
        <v>570</v>
      </c>
      <c r="O36" s="414" t="s">
        <v>571</v>
      </c>
      <c r="P36" s="414" t="s">
        <v>572</v>
      </c>
      <c r="Q36" s="414" t="s">
        <v>2395</v>
      </c>
      <c r="R36" s="414" t="s">
        <v>2396</v>
      </c>
      <c r="S36" s="414" t="s">
        <v>2397</v>
      </c>
      <c r="T36" s="3719" t="s">
        <v>1698</v>
      </c>
      <c r="U36" s="3703"/>
      <c r="V36" s="38"/>
      <c r="W36" s="3439" t="s">
        <v>2429</v>
      </c>
      <c r="X36" s="3436">
        <v>3.7999999999999999E-2</v>
      </c>
      <c r="Y36" s="3436">
        <v>2.6600000000000002E-2</v>
      </c>
      <c r="Z36" s="3436">
        <v>2.18E-2</v>
      </c>
    </row>
    <row r="37" spans="1:26" ht="13.5" customHeight="1" thickTop="1">
      <c r="A37" s="3425">
        <v>2015</v>
      </c>
      <c r="B37" s="3427">
        <v>1.20401533182911E-2</v>
      </c>
      <c r="C37" s="3427">
        <v>1.6028620530593202E-2</v>
      </c>
      <c r="D37" s="3427">
        <v>-2.36830444553702E-4</v>
      </c>
      <c r="E37" s="3427">
        <v>2.2260610500099701E-6</v>
      </c>
      <c r="F37" s="3427">
        <v>-7.84992142890768E-9</v>
      </c>
      <c r="G37" s="3427">
        <v>4.1967499044362603E-11</v>
      </c>
      <c r="H37" s="3427">
        <v>-9.0995460023675395E-14</v>
      </c>
      <c r="I37" s="402">
        <v>10</v>
      </c>
      <c r="J37" s="402">
        <v>130</v>
      </c>
      <c r="K37" s="38"/>
      <c r="L37" s="3425">
        <v>2015</v>
      </c>
      <c r="M37" s="3427">
        <v>1.84399251721172</v>
      </c>
      <c r="N37" s="3427">
        <v>0.93317395754800103</v>
      </c>
      <c r="O37" s="3427">
        <v>-1.4067924869423E-2</v>
      </c>
      <c r="P37" s="3427">
        <v>9.5366909612947499E-5</v>
      </c>
      <c r="Q37" s="3427">
        <v>4.8822875968462896E-7</v>
      </c>
      <c r="R37" s="3427">
        <v>-8.1438351309097199E-9</v>
      </c>
      <c r="S37" s="3427">
        <v>3.94983009047297E-11</v>
      </c>
      <c r="T37" s="402">
        <v>10</v>
      </c>
      <c r="U37" s="402">
        <v>120</v>
      </c>
      <c r="V37" s="38"/>
      <c r="W37" s="3439" t="s">
        <v>2424</v>
      </c>
      <c r="X37" s="3436">
        <v>3.7999999999999999E-2</v>
      </c>
      <c r="Y37" s="3436">
        <v>1.9399999999999997E-2</v>
      </c>
      <c r="Z37" s="3436">
        <v>4.1399999999999999E-2</v>
      </c>
    </row>
    <row r="38" spans="1:26" ht="13.5" customHeight="1" thickBot="1">
      <c r="A38" s="3425">
        <v>2020</v>
      </c>
      <c r="B38" s="3428">
        <v>1.52400479012134E-2</v>
      </c>
      <c r="C38" s="3428">
        <v>6.6268929846418096E-3</v>
      </c>
      <c r="D38" s="3428">
        <v>-1.19539042976408E-4</v>
      </c>
      <c r="E38" s="3428">
        <v>1.61873010423777E-6</v>
      </c>
      <c r="F38" s="3428">
        <v>-1.32113925215569E-8</v>
      </c>
      <c r="G38" s="3428">
        <v>7.2165393739307902E-11</v>
      </c>
      <c r="H38" s="3428">
        <v>-1.5869453373059699E-13</v>
      </c>
      <c r="I38" s="1648">
        <v>10</v>
      </c>
      <c r="J38" s="1648">
        <v>130</v>
      </c>
      <c r="K38" s="38"/>
      <c r="L38" s="3425">
        <v>2020</v>
      </c>
      <c r="M38" s="3428">
        <v>1.4491746539730399</v>
      </c>
      <c r="N38" s="3428">
        <v>0.72381515139210995</v>
      </c>
      <c r="O38" s="3428">
        <v>-1.06833269435757E-2</v>
      </c>
      <c r="P38" s="3428">
        <v>7.4704794855321504E-5</v>
      </c>
      <c r="Q38" s="3428">
        <v>2.4433353190272601E-7</v>
      </c>
      <c r="R38" s="3428">
        <v>-4.94166379337865E-9</v>
      </c>
      <c r="S38" s="3428">
        <v>2.6079943180382299E-11</v>
      </c>
      <c r="T38" s="1648">
        <v>10</v>
      </c>
      <c r="U38" s="1648">
        <v>120</v>
      </c>
      <c r="V38" s="38"/>
      <c r="W38" s="3440" t="s">
        <v>2425</v>
      </c>
      <c r="X38" s="3437">
        <v>3.0000000000000001E-3</v>
      </c>
      <c r="Y38" s="3437">
        <v>3.3E-3</v>
      </c>
      <c r="Z38" s="3437">
        <v>4.2000000000000006E-3</v>
      </c>
    </row>
    <row r="39" spans="1:26" ht="15.6" customHeight="1" thickTop="1" thickBot="1">
      <c r="A39" s="3425">
        <v>2025</v>
      </c>
      <c r="B39" s="3428">
        <v>1.6126308493135001E-2</v>
      </c>
      <c r="C39" s="3428">
        <v>3.6033553510513099E-3</v>
      </c>
      <c r="D39" s="3428">
        <v>-8.8156237833218398E-5</v>
      </c>
      <c r="E39" s="3428">
        <v>1.54086292056819E-6</v>
      </c>
      <c r="F39" s="3428">
        <v>-1.5599286843222899E-8</v>
      </c>
      <c r="G39" s="3428">
        <v>8.5779522008085298E-11</v>
      </c>
      <c r="H39" s="3428">
        <v>-1.8944165073180901E-13</v>
      </c>
      <c r="I39" s="402">
        <v>10</v>
      </c>
      <c r="J39" s="402">
        <v>130</v>
      </c>
      <c r="K39" s="38"/>
      <c r="L39" s="3425">
        <v>2025</v>
      </c>
      <c r="M39" s="3428">
        <v>1.0591029725007199</v>
      </c>
      <c r="N39" s="3428">
        <v>0.480767927487806</v>
      </c>
      <c r="O39" s="3428">
        <v>-6.91525860129106E-3</v>
      </c>
      <c r="P39" s="3428">
        <v>4.8602738442031298E-5</v>
      </c>
      <c r="Q39" s="3428">
        <v>1.5591740111948001E-7</v>
      </c>
      <c r="R39" s="3428">
        <v>-3.3918490539109399E-9</v>
      </c>
      <c r="S39" s="3428">
        <v>1.8333991802655101E-11</v>
      </c>
      <c r="T39" s="402">
        <v>10</v>
      </c>
      <c r="U39" s="402">
        <v>120</v>
      </c>
      <c r="V39" s="38"/>
      <c r="W39" s="38"/>
      <c r="X39" s="38"/>
      <c r="Y39" s="38"/>
      <c r="Z39" s="38"/>
    </row>
    <row r="40" spans="1:26" ht="13.5" customHeight="1" thickTop="1">
      <c r="A40" s="3425">
        <v>2030</v>
      </c>
      <c r="B40" s="3428">
        <v>1.5942672543860101E-2</v>
      </c>
      <c r="C40" s="3428">
        <v>3.1525779477261798E-3</v>
      </c>
      <c r="D40" s="3428">
        <v>-8.4904739184514798E-5</v>
      </c>
      <c r="E40" s="3428">
        <v>1.56129477333241E-6</v>
      </c>
      <c r="F40" s="3428">
        <v>-1.62883991389615E-8</v>
      </c>
      <c r="G40" s="3428">
        <v>8.9842765909926394E-11</v>
      </c>
      <c r="H40" s="3428">
        <v>-1.9880113708537099E-13</v>
      </c>
      <c r="I40" s="402">
        <v>10</v>
      </c>
      <c r="J40" s="402">
        <v>130</v>
      </c>
      <c r="K40" s="38"/>
      <c r="L40" s="3425">
        <v>2030</v>
      </c>
      <c r="M40" s="3428">
        <v>0.81580304726866104</v>
      </c>
      <c r="N40" s="3428">
        <v>0.32607532033347802</v>
      </c>
      <c r="O40" s="3428">
        <v>-4.0777447536817103E-3</v>
      </c>
      <c r="P40" s="3428">
        <v>1.0556885028687599E-5</v>
      </c>
      <c r="Q40" s="3428">
        <v>4.7716587354933998E-7</v>
      </c>
      <c r="R40" s="3428">
        <v>-5.2010212363734401E-9</v>
      </c>
      <c r="S40" s="3428">
        <v>2.1157462364374901E-11</v>
      </c>
      <c r="T40" s="402">
        <v>10</v>
      </c>
      <c r="U40" s="402">
        <v>130</v>
      </c>
      <c r="V40" s="38"/>
      <c r="W40" s="3434" t="s">
        <v>2438</v>
      </c>
      <c r="X40" s="680" t="s">
        <v>2440</v>
      </c>
      <c r="Y40" s="462"/>
      <c r="Z40" s="1577"/>
    </row>
    <row r="41" spans="1:26" ht="13.5" customHeight="1" thickBot="1">
      <c r="A41" s="3426">
        <v>2035</v>
      </c>
      <c r="B41" s="3429">
        <v>1.5883788622696401E-2</v>
      </c>
      <c r="C41" s="3429">
        <v>3.1337391760548599E-3</v>
      </c>
      <c r="D41" s="3429">
        <v>-8.4959604373122496E-5</v>
      </c>
      <c r="E41" s="3429">
        <v>1.56668755269889E-6</v>
      </c>
      <c r="F41" s="3429">
        <v>-1.63704740382274E-8</v>
      </c>
      <c r="G41" s="3429">
        <v>9.0337897286424499E-11</v>
      </c>
      <c r="H41" s="3429">
        <v>-1.99956315949425E-13</v>
      </c>
      <c r="I41" s="403">
        <v>10</v>
      </c>
      <c r="J41" s="403">
        <v>130</v>
      </c>
      <c r="K41" s="38"/>
      <c r="L41" s="3426">
        <v>2035</v>
      </c>
      <c r="M41" s="3429">
        <v>0.70450742531042698</v>
      </c>
      <c r="N41" s="3429">
        <v>0.28124179751612899</v>
      </c>
      <c r="O41" s="3429">
        <v>-3.5150983408091599E-3</v>
      </c>
      <c r="P41" s="3429">
        <v>9.0701749925101501E-6</v>
      </c>
      <c r="Q41" s="3429">
        <v>4.1206526390114001E-7</v>
      </c>
      <c r="R41" s="3429">
        <v>-4.4914534580188097E-9</v>
      </c>
      <c r="S41" s="3429">
        <v>1.8271020849747301E-11</v>
      </c>
      <c r="T41" s="403">
        <v>10</v>
      </c>
      <c r="U41" s="403">
        <v>130</v>
      </c>
      <c r="V41" s="38"/>
      <c r="W41" s="836"/>
      <c r="X41" s="526" t="s">
        <v>2436</v>
      </c>
      <c r="Y41" s="523"/>
      <c r="Z41" s="3433"/>
    </row>
    <row r="42" spans="1:26" ht="13.5" customHeight="1" thickTop="1" thickBot="1">
      <c r="A42" s="38"/>
      <c r="B42" s="596"/>
      <c r="C42" s="596"/>
      <c r="D42" s="596"/>
      <c r="E42" s="596"/>
      <c r="F42" s="596"/>
      <c r="G42" s="38"/>
      <c r="H42" s="38"/>
      <c r="I42" s="38"/>
      <c r="J42" s="38"/>
      <c r="K42" s="38"/>
      <c r="L42" s="3342"/>
      <c r="M42" s="596"/>
      <c r="N42" s="596"/>
      <c r="O42" s="596"/>
      <c r="P42" s="596"/>
      <c r="Q42" s="596"/>
      <c r="R42" s="3342"/>
      <c r="S42" s="3342"/>
      <c r="T42" s="3342"/>
      <c r="U42" s="3342"/>
      <c r="V42" s="38"/>
      <c r="W42" s="414"/>
      <c r="X42" s="414" t="s">
        <v>2426</v>
      </c>
      <c r="Y42" s="414" t="s">
        <v>2427</v>
      </c>
      <c r="Z42" s="414" t="s">
        <v>2428</v>
      </c>
    </row>
    <row r="43" spans="1:26" ht="13.5" customHeight="1" thickTop="1">
      <c r="A43" s="3340" t="s">
        <v>2431</v>
      </c>
      <c r="B43" s="680" t="s">
        <v>2416</v>
      </c>
      <c r="C43" s="224"/>
      <c r="D43" s="224"/>
      <c r="E43" s="462"/>
      <c r="F43" s="462"/>
      <c r="G43" s="462"/>
      <c r="H43" s="680"/>
      <c r="I43" s="224"/>
      <c r="J43" s="462"/>
      <c r="K43" s="38"/>
      <c r="L43" s="3340" t="s">
        <v>2432</v>
      </c>
      <c r="M43" s="680" t="s">
        <v>2403</v>
      </c>
      <c r="N43" s="224"/>
      <c r="O43" s="224"/>
      <c r="P43" s="462"/>
      <c r="Q43" s="462"/>
      <c r="R43" s="462"/>
      <c r="S43" s="680"/>
      <c r="T43" s="224"/>
      <c r="U43" s="462"/>
      <c r="V43" s="38"/>
      <c r="W43" s="3438" t="s">
        <v>879</v>
      </c>
      <c r="X43" s="3435" t="s">
        <v>788</v>
      </c>
      <c r="Y43" s="3435">
        <v>8.7399999999999995E-3</v>
      </c>
      <c r="Z43" s="3435">
        <v>1.1679999999999999E-2</v>
      </c>
    </row>
    <row r="44" spans="1:26" ht="13.5" customHeight="1" thickBot="1">
      <c r="A44" s="836"/>
      <c r="B44" s="526" t="s">
        <v>2400</v>
      </c>
      <c r="C44" s="227"/>
      <c r="D44" s="227"/>
      <c r="E44" s="523"/>
      <c r="F44" s="523"/>
      <c r="G44" s="523"/>
      <c r="H44" s="526"/>
      <c r="I44" s="227"/>
      <c r="J44" s="523"/>
      <c r="K44" s="38"/>
      <c r="L44" s="836"/>
      <c r="M44" s="526" t="s">
        <v>2400</v>
      </c>
      <c r="N44" s="227"/>
      <c r="O44" s="227"/>
      <c r="P44" s="523"/>
      <c r="Q44" s="523"/>
      <c r="R44" s="523"/>
      <c r="S44" s="526"/>
      <c r="T44" s="227"/>
      <c r="U44" s="523"/>
      <c r="V44" s="38"/>
      <c r="W44" s="3439"/>
      <c r="X44" s="3436" t="s">
        <v>789</v>
      </c>
      <c r="Y44" s="3436">
        <v>6.7999999999999996E-3</v>
      </c>
      <c r="Z44" s="3436">
        <v>5.5300000000000002E-3</v>
      </c>
    </row>
    <row r="45" spans="1:26" ht="13.5" customHeight="1" thickTop="1" thickBot="1">
      <c r="A45" s="464"/>
      <c r="B45" s="3720" t="s">
        <v>1399</v>
      </c>
      <c r="C45" s="3721"/>
      <c r="D45" s="3721"/>
      <c r="E45" s="3721"/>
      <c r="F45" s="3721"/>
      <c r="G45" s="3721"/>
      <c r="H45" s="3722"/>
      <c r="I45" s="414" t="s">
        <v>2399</v>
      </c>
      <c r="J45" s="414" t="s">
        <v>2398</v>
      </c>
      <c r="K45" s="38"/>
      <c r="L45" s="464"/>
      <c r="M45" s="3720" t="s">
        <v>1399</v>
      </c>
      <c r="N45" s="3721"/>
      <c r="O45" s="3721"/>
      <c r="P45" s="3721"/>
      <c r="Q45" s="3721"/>
      <c r="R45" s="3721"/>
      <c r="S45" s="3722"/>
      <c r="T45" s="414" t="s">
        <v>2399</v>
      </c>
      <c r="U45" s="414" t="s">
        <v>2398</v>
      </c>
      <c r="V45" s="38"/>
      <c r="W45" s="3441"/>
      <c r="X45" s="3442" t="s">
        <v>787</v>
      </c>
      <c r="Y45" s="3442">
        <v>5.79E-3</v>
      </c>
      <c r="Z45" s="3442">
        <v>1.3600000000000001E-3</v>
      </c>
    </row>
    <row r="46" spans="1:26" ht="13.5" customHeight="1" thickTop="1" thickBot="1">
      <c r="A46" s="3430" t="s">
        <v>568</v>
      </c>
      <c r="B46" s="414" t="s">
        <v>569</v>
      </c>
      <c r="C46" s="414" t="s">
        <v>570</v>
      </c>
      <c r="D46" s="414" t="s">
        <v>571</v>
      </c>
      <c r="E46" s="414" t="s">
        <v>572</v>
      </c>
      <c r="F46" s="414" t="s">
        <v>2395</v>
      </c>
      <c r="G46" s="414" t="s">
        <v>2396</v>
      </c>
      <c r="H46" s="414" t="s">
        <v>2397</v>
      </c>
      <c r="I46" s="3719" t="s">
        <v>1698</v>
      </c>
      <c r="J46" s="3703"/>
      <c r="K46" s="38"/>
      <c r="L46" s="3430" t="s">
        <v>568</v>
      </c>
      <c r="M46" s="414" t="s">
        <v>569</v>
      </c>
      <c r="N46" s="414" t="s">
        <v>570</v>
      </c>
      <c r="O46" s="414" t="s">
        <v>571</v>
      </c>
      <c r="P46" s="414" t="s">
        <v>572</v>
      </c>
      <c r="Q46" s="414" t="s">
        <v>2395</v>
      </c>
      <c r="R46" s="414" t="s">
        <v>2396</v>
      </c>
      <c r="S46" s="414" t="s">
        <v>2397</v>
      </c>
      <c r="T46" s="3719" t="s">
        <v>1698</v>
      </c>
      <c r="U46" s="3703"/>
      <c r="V46" s="38"/>
      <c r="W46" s="3443" t="s">
        <v>878</v>
      </c>
      <c r="X46" s="3444" t="s">
        <v>788</v>
      </c>
      <c r="Y46" s="3444">
        <v>1.3800000000000002E-2</v>
      </c>
      <c r="Z46" s="3444">
        <v>1.822E-2</v>
      </c>
    </row>
    <row r="47" spans="1:26" ht="13.5" customHeight="1" thickTop="1">
      <c r="A47" s="3425">
        <v>2015</v>
      </c>
      <c r="B47" s="3427">
        <v>9.4189993365766209E-4</v>
      </c>
      <c r="C47" s="3427">
        <v>8.5959911109214368E-4</v>
      </c>
      <c r="D47" s="3427">
        <v>9.9130416899048901E-7</v>
      </c>
      <c r="E47" s="3427">
        <v>7.3742616324653406E-8</v>
      </c>
      <c r="F47" s="3427">
        <v>-3.7298684956102492E-10</v>
      </c>
      <c r="G47" s="3427">
        <v>1.1855287685271241E-12</v>
      </c>
      <c r="H47" s="3427">
        <v>1.2142679229669951E-14</v>
      </c>
      <c r="I47" s="402">
        <v>10</v>
      </c>
      <c r="J47" s="402">
        <v>110</v>
      </c>
      <c r="K47" s="38"/>
      <c r="L47" s="3425">
        <v>2015</v>
      </c>
      <c r="M47" s="3427">
        <v>-2.25372106533843E-2</v>
      </c>
      <c r="N47" s="3427">
        <v>0.36422653811984201</v>
      </c>
      <c r="O47" s="3427">
        <v>1.0220267083806099E-3</v>
      </c>
      <c r="P47" s="3427">
        <v>-2.11068194147954E-5</v>
      </c>
      <c r="Q47" s="3427">
        <v>5.81550691857675E-7</v>
      </c>
      <c r="R47" s="3427">
        <v>-3.92721578625576E-9</v>
      </c>
      <c r="S47" s="3427">
        <v>8.7764258332600107E-12</v>
      </c>
      <c r="T47" s="402">
        <v>10</v>
      </c>
      <c r="U47" s="402">
        <v>110</v>
      </c>
      <c r="V47" s="38"/>
      <c r="W47" s="3439"/>
      <c r="X47" s="3436" t="s">
        <v>789</v>
      </c>
      <c r="Y47" s="3436">
        <v>1.074E-2</v>
      </c>
      <c r="Z47" s="3436">
        <v>8.6199999999999992E-3</v>
      </c>
    </row>
    <row r="48" spans="1:26" ht="13.5" customHeight="1">
      <c r="A48" s="3425">
        <v>2020</v>
      </c>
      <c r="B48" s="3428">
        <v>1.5137006268005962E-3</v>
      </c>
      <c r="C48" s="3428">
        <v>2.2099552347353539E-4</v>
      </c>
      <c r="D48" s="3428">
        <v>1.5931572212915496E-6</v>
      </c>
      <c r="E48" s="3428">
        <v>1.1850728290978198E-7</v>
      </c>
      <c r="F48" s="3428">
        <v>-5.9937582239824593E-10</v>
      </c>
      <c r="G48" s="3428">
        <v>1.9049151677214423E-12</v>
      </c>
      <c r="H48" s="3428">
        <v>1.9515038717185201E-14</v>
      </c>
      <c r="I48" s="1648">
        <v>10</v>
      </c>
      <c r="J48" s="1648">
        <v>110</v>
      </c>
      <c r="K48" s="38"/>
      <c r="L48" s="3425">
        <v>2020</v>
      </c>
      <c r="M48" s="3428">
        <v>1.0474042452067499E-2</v>
      </c>
      <c r="N48" s="3428">
        <v>7.5580709646399596E-2</v>
      </c>
      <c r="O48" s="3428">
        <v>-5.9269763403277495E-4</v>
      </c>
      <c r="P48" s="3428">
        <v>5.0227882132011101E-6</v>
      </c>
      <c r="Q48" s="3428">
        <v>2.1830008252268299E-8</v>
      </c>
      <c r="R48" s="3428">
        <v>-2.4078611356139598E-10</v>
      </c>
      <c r="S48" s="3428">
        <v>4.1442646732999298E-13</v>
      </c>
      <c r="T48" s="1648">
        <v>10</v>
      </c>
      <c r="U48" s="1648">
        <v>110</v>
      </c>
      <c r="V48" s="38"/>
      <c r="W48" s="3441"/>
      <c r="X48" s="3442" t="s">
        <v>787</v>
      </c>
      <c r="Y48" s="3442">
        <v>9.1500000000000001E-3</v>
      </c>
      <c r="Z48" s="3442">
        <v>2.1199999999999999E-3</v>
      </c>
    </row>
    <row r="49" spans="1:26" ht="13.5" customHeight="1">
      <c r="A49" s="3425">
        <v>2025</v>
      </c>
      <c r="B49" s="3428">
        <v>1.7986760974741749E-3</v>
      </c>
      <c r="C49" s="3428">
        <v>1.5349611326773965E-4</v>
      </c>
      <c r="D49" s="3428">
        <v>1.8928699050138965E-6</v>
      </c>
      <c r="E49" s="3428">
        <v>1.408269999502659E-7</v>
      </c>
      <c r="F49" s="3428">
        <v>-7.1233781308055844E-10</v>
      </c>
      <c r="G49" s="3428">
        <v>2.2643991193344407E-12</v>
      </c>
      <c r="H49" s="3428">
        <v>2.3186928908511233E-14</v>
      </c>
      <c r="I49" s="402">
        <v>10</v>
      </c>
      <c r="J49" s="402">
        <v>110</v>
      </c>
      <c r="K49" s="38"/>
      <c r="L49" s="3425">
        <v>2025</v>
      </c>
      <c r="M49" s="3428">
        <v>1.97478291776924E-2</v>
      </c>
      <c r="N49" s="3428">
        <v>5.5569735907557399E-2</v>
      </c>
      <c r="O49" s="3428">
        <v>-5.81925804991337E-4</v>
      </c>
      <c r="P49" s="3428">
        <v>1.25530812681109E-5</v>
      </c>
      <c r="Q49" s="3428">
        <v>-1.3039508739919299E-7</v>
      </c>
      <c r="R49" s="3428">
        <v>7.5936162724740004E-10</v>
      </c>
      <c r="S49" s="3428">
        <v>-1.8575822600383601E-12</v>
      </c>
      <c r="T49" s="402">
        <v>10</v>
      </c>
      <c r="U49" s="402">
        <v>110</v>
      </c>
      <c r="V49" s="38"/>
      <c r="W49" s="3443" t="s">
        <v>2422</v>
      </c>
      <c r="X49" s="3444" t="s">
        <v>788</v>
      </c>
      <c r="Y49" s="3444">
        <v>2.0739999999999998E-2</v>
      </c>
      <c r="Z49" s="3444">
        <v>5.0999999999999997E-2</v>
      </c>
    </row>
    <row r="50" spans="1:26" ht="13.5" customHeight="1">
      <c r="A50" s="3425">
        <v>2030</v>
      </c>
      <c r="B50" s="3428">
        <v>1.8150547743835202E-3</v>
      </c>
      <c r="C50" s="3428">
        <v>1.504493484374211E-4</v>
      </c>
      <c r="D50" s="3428">
        <v>1.9102007244154007E-6</v>
      </c>
      <c r="E50" s="3428">
        <v>1.4210552692116455E-7</v>
      </c>
      <c r="F50" s="3428">
        <v>-7.1877348965670146E-10</v>
      </c>
      <c r="G50" s="3428">
        <v>2.2846678801557406E-12</v>
      </c>
      <c r="H50" s="3428">
        <v>2.33988922106482E-14</v>
      </c>
      <c r="I50" s="402">
        <v>10</v>
      </c>
      <c r="J50" s="402">
        <v>110</v>
      </c>
      <c r="K50" s="38"/>
      <c r="L50" s="3425">
        <v>2030</v>
      </c>
      <c r="M50" s="3428">
        <v>2.0200396434956799E-2</v>
      </c>
      <c r="N50" s="3428">
        <v>5.6036433271641199E-2</v>
      </c>
      <c r="O50" s="3428">
        <v>-5.7001176628078203E-4</v>
      </c>
      <c r="P50" s="3428">
        <v>1.29070139268899E-5</v>
      </c>
      <c r="Q50" s="3428">
        <v>-1.37424176220673E-7</v>
      </c>
      <c r="R50" s="3428">
        <v>8.0534301911432598E-10</v>
      </c>
      <c r="S50" s="3428">
        <v>-1.9623108999636102E-12</v>
      </c>
      <c r="T50" s="402">
        <v>10</v>
      </c>
      <c r="U50" s="402">
        <v>110</v>
      </c>
      <c r="V50" s="38"/>
      <c r="W50" s="3439"/>
      <c r="X50" s="3436" t="s">
        <v>789</v>
      </c>
      <c r="Y50" s="3436">
        <v>1.7389999999999999E-2</v>
      </c>
      <c r="Z50" s="3436">
        <v>2.7140000000000001E-2</v>
      </c>
    </row>
    <row r="51" spans="1:26" ht="13.5" customHeight="1" thickBot="1">
      <c r="A51" s="3426">
        <v>2035</v>
      </c>
      <c r="B51" s="3429">
        <v>1.8148237128387458E-3</v>
      </c>
      <c r="C51" s="3429">
        <v>1.5076405086068256E-4</v>
      </c>
      <c r="D51" s="3429">
        <v>1.9096952696823772E-6</v>
      </c>
      <c r="E51" s="3429">
        <v>1.4209822812428473E-7</v>
      </c>
      <c r="F51" s="3429">
        <v>-7.1883574192981135E-10</v>
      </c>
      <c r="G51" s="3429">
        <v>2.2855303417079922E-12</v>
      </c>
      <c r="H51" s="3429">
        <v>2.3392831664706682E-14</v>
      </c>
      <c r="I51" s="403">
        <v>10</v>
      </c>
      <c r="J51" s="403">
        <v>110</v>
      </c>
      <c r="K51" s="38"/>
      <c r="L51" s="3426">
        <v>2035</v>
      </c>
      <c r="M51" s="3429">
        <v>2.0203425503713401E-2</v>
      </c>
      <c r="N51" s="3429">
        <v>5.66576249238607E-2</v>
      </c>
      <c r="O51" s="3429">
        <v>-5.6384924547686404E-4</v>
      </c>
      <c r="P51" s="3429">
        <v>1.2910331622894599E-5</v>
      </c>
      <c r="Q51" s="3429">
        <v>-1.3752521450543501E-7</v>
      </c>
      <c r="R51" s="3429">
        <v>8.0603211442732401E-10</v>
      </c>
      <c r="S51" s="3429">
        <v>-1.9638443386958002E-12</v>
      </c>
      <c r="T51" s="403">
        <v>10</v>
      </c>
      <c r="U51" s="403">
        <v>110</v>
      </c>
      <c r="V51" s="38"/>
      <c r="W51" s="3441"/>
      <c r="X51" s="3442" t="s">
        <v>787</v>
      </c>
      <c r="Y51" s="3442">
        <v>1.3980000000000001E-2</v>
      </c>
      <c r="Z51" s="3442">
        <v>8.4399999999999996E-3</v>
      </c>
    </row>
    <row r="52" spans="1:26" ht="13.5" customHeight="1" thickTop="1" thickBot="1">
      <c r="A52" s="38"/>
      <c r="B52" s="594"/>
      <c r="C52" s="14"/>
      <c r="D52" s="14"/>
      <c r="E52" s="14"/>
      <c r="F52" s="14"/>
      <c r="G52" s="38"/>
      <c r="H52" s="38"/>
      <c r="I52" s="38"/>
      <c r="J52" s="38"/>
      <c r="K52" s="38"/>
      <c r="L52" s="3342"/>
      <c r="M52" s="594"/>
      <c r="N52" s="14"/>
      <c r="O52" s="14"/>
      <c r="P52" s="14"/>
      <c r="Q52" s="14"/>
      <c r="R52" s="3342"/>
      <c r="S52" s="3342"/>
      <c r="T52" s="3342"/>
      <c r="U52" s="3342"/>
      <c r="V52" s="38"/>
      <c r="W52" s="3443" t="s">
        <v>2423</v>
      </c>
      <c r="X52" s="3444" t="s">
        <v>788</v>
      </c>
      <c r="Y52" s="3444">
        <v>4.7070000000000001E-2</v>
      </c>
      <c r="Z52" s="3444">
        <v>5.0999999999999997E-2</v>
      </c>
    </row>
    <row r="53" spans="1:26" ht="13.5" customHeight="1" thickTop="1">
      <c r="A53" s="3340" t="s">
        <v>2431</v>
      </c>
      <c r="B53" s="680" t="s">
        <v>2417</v>
      </c>
      <c r="C53" s="224"/>
      <c r="D53" s="224"/>
      <c r="E53" s="462"/>
      <c r="F53" s="462"/>
      <c r="G53" s="462"/>
      <c r="H53" s="680"/>
      <c r="I53" s="224"/>
      <c r="J53" s="462"/>
      <c r="K53" s="38"/>
      <c r="L53" s="3340" t="s">
        <v>2432</v>
      </c>
      <c r="M53" s="680" t="s">
        <v>2404</v>
      </c>
      <c r="N53" s="224"/>
      <c r="O53" s="224"/>
      <c r="P53" s="462"/>
      <c r="Q53" s="462"/>
      <c r="R53" s="462"/>
      <c r="S53" s="680"/>
      <c r="T53" s="224"/>
      <c r="U53" s="462"/>
      <c r="V53" s="38"/>
      <c r="W53" s="3439"/>
      <c r="X53" s="3436" t="s">
        <v>789</v>
      </c>
      <c r="Y53" s="3436">
        <v>3.8240000000000003E-2</v>
      </c>
      <c r="Z53" s="3436">
        <v>2.7140000000000001E-2</v>
      </c>
    </row>
    <row r="54" spans="1:26" ht="13.5" customHeight="1" thickBot="1">
      <c r="A54" s="836"/>
      <c r="B54" s="526" t="s">
        <v>2400</v>
      </c>
      <c r="C54" s="227"/>
      <c r="D54" s="227"/>
      <c r="E54" s="523"/>
      <c r="F54" s="523"/>
      <c r="G54" s="523"/>
      <c r="H54" s="526"/>
      <c r="I54" s="227"/>
      <c r="J54" s="523"/>
      <c r="K54" s="38"/>
      <c r="L54" s="836"/>
      <c r="M54" s="526" t="s">
        <v>2400</v>
      </c>
      <c r="N54" s="227"/>
      <c r="O54" s="227"/>
      <c r="P54" s="523"/>
      <c r="Q54" s="523"/>
      <c r="R54" s="523"/>
      <c r="S54" s="526"/>
      <c r="T54" s="227"/>
      <c r="U54" s="523"/>
      <c r="V54" s="38"/>
      <c r="W54" s="3441"/>
      <c r="X54" s="3442" t="s">
        <v>787</v>
      </c>
      <c r="Y54" s="3442">
        <v>3.1489999999999997E-2</v>
      </c>
      <c r="Z54" s="3442">
        <v>8.4399999999999996E-3</v>
      </c>
    </row>
    <row r="55" spans="1:26" ht="13.5" customHeight="1" thickTop="1" thickBot="1">
      <c r="A55" s="464"/>
      <c r="B55" s="3720" t="s">
        <v>1399</v>
      </c>
      <c r="C55" s="3721"/>
      <c r="D55" s="3721"/>
      <c r="E55" s="3721"/>
      <c r="F55" s="3721"/>
      <c r="G55" s="3721"/>
      <c r="H55" s="3722"/>
      <c r="I55" s="414" t="s">
        <v>2399</v>
      </c>
      <c r="J55" s="414" t="s">
        <v>2398</v>
      </c>
      <c r="K55" s="38"/>
      <c r="L55" s="464"/>
      <c r="M55" s="3720" t="s">
        <v>1399</v>
      </c>
      <c r="N55" s="3721"/>
      <c r="O55" s="3721"/>
      <c r="P55" s="3721"/>
      <c r="Q55" s="3721"/>
      <c r="R55" s="3721"/>
      <c r="S55" s="3722"/>
      <c r="T55" s="414" t="s">
        <v>2399</v>
      </c>
      <c r="U55" s="414" t="s">
        <v>2398</v>
      </c>
      <c r="V55" s="38"/>
      <c r="W55" s="3443" t="s">
        <v>2424</v>
      </c>
      <c r="X55" s="3444" t="s">
        <v>788</v>
      </c>
      <c r="Y55" s="3444">
        <v>2.1180000000000001E-2</v>
      </c>
      <c r="Z55" s="3444">
        <v>5.3600000000000002E-2</v>
      </c>
    </row>
    <row r="56" spans="1:26" ht="13.5" customHeight="1" thickTop="1" thickBot="1">
      <c r="A56" s="3430" t="s">
        <v>568</v>
      </c>
      <c r="B56" s="414" t="s">
        <v>569</v>
      </c>
      <c r="C56" s="414" t="s">
        <v>570</v>
      </c>
      <c r="D56" s="414" t="s">
        <v>571</v>
      </c>
      <c r="E56" s="414" t="s">
        <v>572</v>
      </c>
      <c r="F56" s="414" t="s">
        <v>2395</v>
      </c>
      <c r="G56" s="414" t="s">
        <v>2396</v>
      </c>
      <c r="H56" s="414" t="s">
        <v>2397</v>
      </c>
      <c r="I56" s="3719" t="s">
        <v>1698</v>
      </c>
      <c r="J56" s="3703"/>
      <c r="K56" s="38"/>
      <c r="L56" s="3430" t="s">
        <v>568</v>
      </c>
      <c r="M56" s="414" t="s">
        <v>569</v>
      </c>
      <c r="N56" s="414" t="s">
        <v>570</v>
      </c>
      <c r="O56" s="414" t="s">
        <v>571</v>
      </c>
      <c r="P56" s="414" t="s">
        <v>572</v>
      </c>
      <c r="Q56" s="414" t="s">
        <v>2395</v>
      </c>
      <c r="R56" s="414" t="s">
        <v>2396</v>
      </c>
      <c r="S56" s="414" t="s">
        <v>2397</v>
      </c>
      <c r="T56" s="3719" t="s">
        <v>1698</v>
      </c>
      <c r="U56" s="3703"/>
      <c r="V56" s="38"/>
      <c r="W56" s="3439"/>
      <c r="X56" s="3436" t="s">
        <v>789</v>
      </c>
      <c r="Y56" s="3436">
        <v>1.7389999999999999E-2</v>
      </c>
      <c r="Z56" s="3436">
        <v>2.7140000000000001E-2</v>
      </c>
    </row>
    <row r="57" spans="1:26" ht="13.5" customHeight="1" thickTop="1">
      <c r="A57" s="3425">
        <v>2015</v>
      </c>
      <c r="B57" s="3427">
        <v>1.0556602822435399E-2</v>
      </c>
      <c r="C57" s="3427">
        <v>3.7440176825494498E-2</v>
      </c>
      <c r="D57" s="3427">
        <v>-9.4179488848670102E-4</v>
      </c>
      <c r="E57" s="3427">
        <v>8.7650722304144596E-6</v>
      </c>
      <c r="F57" s="3427">
        <v>-1.9470886139344701E-9</v>
      </c>
      <c r="G57" s="3427">
        <v>1.3673129411237699E-11</v>
      </c>
      <c r="H57" s="3427">
        <v>-3.8633035890303998E-14</v>
      </c>
      <c r="I57" s="402">
        <v>10</v>
      </c>
      <c r="J57" s="402">
        <v>100</v>
      </c>
      <c r="K57" s="38"/>
      <c r="L57" s="3425">
        <v>2015</v>
      </c>
      <c r="M57" s="3427">
        <v>2.8119939389788402</v>
      </c>
      <c r="N57" s="3427">
        <v>1.3151655929880099</v>
      </c>
      <c r="O57" s="3427">
        <v>-1.7597269870939999E-2</v>
      </c>
      <c r="P57" s="3427">
        <v>2.7430975975348E-4</v>
      </c>
      <c r="Q57" s="3427">
        <v>-2.8910049989019902E-6</v>
      </c>
      <c r="R57" s="3427">
        <v>1.9808343323170301E-8</v>
      </c>
      <c r="S57" s="3427">
        <v>-1.1101639372624099E-11</v>
      </c>
      <c r="T57" s="402">
        <v>10</v>
      </c>
      <c r="U57" s="402">
        <v>110</v>
      </c>
      <c r="V57" s="38"/>
      <c r="W57" s="3441"/>
      <c r="X57" s="3442" t="s">
        <v>787</v>
      </c>
      <c r="Y57" s="3442">
        <v>1.3980000000000001E-2</v>
      </c>
      <c r="Z57" s="3442">
        <v>8.4399999999999996E-3</v>
      </c>
    </row>
    <row r="58" spans="1:26" ht="13.5" customHeight="1">
      <c r="A58" s="3425">
        <v>2020</v>
      </c>
      <c r="B58" s="3428">
        <v>1.69648004920697E-2</v>
      </c>
      <c r="C58" s="3428">
        <v>8.9019523064830502E-3</v>
      </c>
      <c r="D58" s="3428">
        <v>-2.1726115006170401E-4</v>
      </c>
      <c r="E58" s="3428">
        <v>2.1450616907086E-6</v>
      </c>
      <c r="F58" s="3428">
        <v>-3.1301786315849698E-9</v>
      </c>
      <c r="G58" s="3428">
        <v>2.1983123140938801E-11</v>
      </c>
      <c r="H58" s="3428">
        <v>-6.2118089080053997E-14</v>
      </c>
      <c r="I58" s="1648">
        <v>10</v>
      </c>
      <c r="J58" s="1648">
        <v>100</v>
      </c>
      <c r="K58" s="38"/>
      <c r="L58" s="3425">
        <v>2020</v>
      </c>
      <c r="M58" s="3428">
        <v>3.09559908933368</v>
      </c>
      <c r="N58" s="3428">
        <v>0.84236507621643997</v>
      </c>
      <c r="O58" s="3428">
        <v>-9.8700818859907107E-3</v>
      </c>
      <c r="P58" s="3428">
        <v>2.29481046976887E-4</v>
      </c>
      <c r="Q58" s="3428">
        <v>-3.17146296444991E-6</v>
      </c>
      <c r="R58" s="3428">
        <v>2.1706352911451499E-8</v>
      </c>
      <c r="S58" s="3428">
        <v>-1.20391686147365E-11</v>
      </c>
      <c r="T58" s="1648">
        <v>10</v>
      </c>
      <c r="U58" s="1648">
        <v>110</v>
      </c>
      <c r="V58" s="38"/>
      <c r="W58" s="3439" t="s">
        <v>2425</v>
      </c>
      <c r="X58" s="3436" t="s">
        <v>788</v>
      </c>
      <c r="Y58" s="3436">
        <v>3.7599999999999999E-3</v>
      </c>
      <c r="Z58" s="3436">
        <v>5.8399999999999997E-3</v>
      </c>
    </row>
    <row r="59" spans="1:26" ht="13.5" customHeight="1">
      <c r="A59" s="3425">
        <v>2025</v>
      </c>
      <c r="B59" s="3428">
        <v>1.8779240224688399E-2</v>
      </c>
      <c r="C59" s="3428">
        <v>2.5081192201483801E-3</v>
      </c>
      <c r="D59" s="3428">
        <v>-5.4758282187506197E-5</v>
      </c>
      <c r="E59" s="3428">
        <v>6.6345984206684498E-7</v>
      </c>
      <c r="F59" s="3428">
        <v>-3.4646214211041799E-9</v>
      </c>
      <c r="G59" s="3428">
        <v>2.43310232012264E-11</v>
      </c>
      <c r="H59" s="3428">
        <v>-6.8749997617110302E-14</v>
      </c>
      <c r="I59" s="402">
        <v>10</v>
      </c>
      <c r="J59" s="402">
        <v>100</v>
      </c>
      <c r="K59" s="38"/>
      <c r="L59" s="3425">
        <v>2025</v>
      </c>
      <c r="M59" s="3428">
        <v>1.9819766425744001</v>
      </c>
      <c r="N59" s="3428">
        <v>0.46100519095941001</v>
      </c>
      <c r="O59" s="3428">
        <v>-5.0923964780456897E-3</v>
      </c>
      <c r="P59" s="3428">
        <v>1.3745385522114599E-4</v>
      </c>
      <c r="Q59" s="3428">
        <v>-2.0266566828768E-6</v>
      </c>
      <c r="R59" s="3428">
        <v>1.38626798688466E-8</v>
      </c>
      <c r="S59" s="3428">
        <v>-7.6444596585350302E-12</v>
      </c>
      <c r="T59" s="402">
        <v>10</v>
      </c>
      <c r="U59" s="402">
        <v>110</v>
      </c>
      <c r="V59" s="38"/>
      <c r="W59" s="3439"/>
      <c r="X59" s="3436" t="s">
        <v>789</v>
      </c>
      <c r="Y59" s="3436">
        <v>2.9199999999999999E-3</v>
      </c>
      <c r="Z59" s="3436">
        <v>2.7599999999999999E-3</v>
      </c>
    </row>
    <row r="60" spans="1:26" ht="13.5" customHeight="1" thickBot="1">
      <c r="A60" s="3425">
        <v>2030</v>
      </c>
      <c r="B60" s="3428">
        <v>1.9078762232157299E-2</v>
      </c>
      <c r="C60" s="3428">
        <v>1.5368622509586299E-3</v>
      </c>
      <c r="D60" s="3428">
        <v>-3.0062182224896899E-5</v>
      </c>
      <c r="E60" s="3428">
        <v>4.3849607730769401E-7</v>
      </c>
      <c r="F60" s="3428">
        <v>-3.5198172518803601E-9</v>
      </c>
      <c r="G60" s="3428">
        <v>2.4718641434880701E-11</v>
      </c>
      <c r="H60" s="3428">
        <v>-6.9845385927651898E-14</v>
      </c>
      <c r="I60" s="402">
        <v>10</v>
      </c>
      <c r="J60" s="402">
        <v>100</v>
      </c>
      <c r="K60" s="38"/>
      <c r="L60" s="3425">
        <v>2030</v>
      </c>
      <c r="M60" s="3428">
        <v>1.39369773549466</v>
      </c>
      <c r="N60" s="3428">
        <v>0.31011265160057699</v>
      </c>
      <c r="O60" s="3428">
        <v>-3.3630326715502301E-3</v>
      </c>
      <c r="P60" s="3428">
        <v>9.4853057377267198E-5</v>
      </c>
      <c r="Q60" s="3428">
        <v>-1.42177439495767E-6</v>
      </c>
      <c r="R60" s="3428">
        <v>9.71805986360567E-9</v>
      </c>
      <c r="S60" s="3428">
        <v>-5.3207148131403802E-12</v>
      </c>
      <c r="T60" s="402">
        <v>10</v>
      </c>
      <c r="U60" s="402">
        <v>110</v>
      </c>
      <c r="V60" s="38"/>
      <c r="W60" s="3440"/>
      <c r="X60" s="3437" t="s">
        <v>787</v>
      </c>
      <c r="Y60" s="3437">
        <v>2.49E-3</v>
      </c>
      <c r="Z60" s="3437">
        <v>6.8000000000000005E-4</v>
      </c>
    </row>
    <row r="61" spans="1:26" ht="13.5" customHeight="1" thickTop="1" thickBot="1">
      <c r="A61" s="3426">
        <v>2035</v>
      </c>
      <c r="B61" s="3429">
        <v>1.9103152100139801E-2</v>
      </c>
      <c r="C61" s="3429">
        <v>1.4613954640341901E-3</v>
      </c>
      <c r="D61" s="3429">
        <v>-2.81429904144331E-5</v>
      </c>
      <c r="E61" s="3429">
        <v>4.2103015808734302E-7</v>
      </c>
      <c r="F61" s="3429">
        <v>-3.5244451665043698E-9</v>
      </c>
      <c r="G61" s="3429">
        <v>2.4750885144831101E-11</v>
      </c>
      <c r="H61" s="3429">
        <v>-6.9935373239481494E-14</v>
      </c>
      <c r="I61" s="403">
        <v>10</v>
      </c>
      <c r="J61" s="403">
        <v>100</v>
      </c>
      <c r="K61" s="38"/>
      <c r="L61" s="3426">
        <v>2035</v>
      </c>
      <c r="M61" s="3429">
        <v>1.1999626195909601</v>
      </c>
      <c r="N61" s="3429">
        <v>0.26577619735396402</v>
      </c>
      <c r="O61" s="3429">
        <v>-2.8771839752405799E-3</v>
      </c>
      <c r="P61" s="3429">
        <v>8.1480023147577495E-5</v>
      </c>
      <c r="Q61" s="3429">
        <v>-1.2230680503200001E-6</v>
      </c>
      <c r="R61" s="3429">
        <v>8.3576058532566799E-9</v>
      </c>
      <c r="S61" s="3429">
        <v>-4.5635287449605004E-12</v>
      </c>
      <c r="T61" s="403">
        <v>10</v>
      </c>
      <c r="U61" s="403">
        <v>110</v>
      </c>
      <c r="V61" s="38"/>
      <c r="W61" s="38"/>
      <c r="X61" s="38"/>
      <c r="Y61" s="38"/>
      <c r="Z61" s="38"/>
    </row>
    <row r="62" spans="1:26" ht="13.5" customHeight="1" thickTop="1" thickBot="1">
      <c r="A62" s="38"/>
      <c r="B62" s="594"/>
      <c r="C62" s="14"/>
      <c r="D62" s="14"/>
      <c r="E62" s="14"/>
      <c r="F62" s="14"/>
      <c r="G62" s="38"/>
      <c r="H62" s="38"/>
      <c r="I62" s="38"/>
      <c r="J62" s="38"/>
      <c r="K62" s="38"/>
      <c r="L62" s="3342"/>
      <c r="M62" s="594"/>
      <c r="N62" s="14"/>
      <c r="O62" s="14"/>
      <c r="P62" s="14"/>
      <c r="Q62" s="14"/>
      <c r="R62" s="3342"/>
      <c r="S62" s="3342"/>
      <c r="T62" s="3342"/>
      <c r="U62" s="3342"/>
      <c r="V62" s="38"/>
      <c r="W62" s="38"/>
      <c r="X62" s="38"/>
      <c r="Y62" s="38"/>
      <c r="Z62" s="38"/>
    </row>
    <row r="63" spans="1:26" ht="13.5" customHeight="1" thickTop="1">
      <c r="A63" s="3340" t="s">
        <v>2431</v>
      </c>
      <c r="B63" s="680" t="s">
        <v>2418</v>
      </c>
      <c r="C63" s="224"/>
      <c r="D63" s="224"/>
      <c r="E63" s="462"/>
      <c r="F63" s="462"/>
      <c r="G63" s="462"/>
      <c r="H63" s="680"/>
      <c r="I63" s="224"/>
      <c r="J63" s="462"/>
      <c r="K63" s="38"/>
      <c r="L63" s="3340" t="s">
        <v>2432</v>
      </c>
      <c r="M63" s="680" t="s">
        <v>2405</v>
      </c>
      <c r="N63" s="224"/>
      <c r="O63" s="224"/>
      <c r="P63" s="462"/>
      <c r="Q63" s="462"/>
      <c r="R63" s="462"/>
      <c r="S63" s="680"/>
      <c r="T63" s="224"/>
      <c r="U63" s="462"/>
      <c r="V63" s="38"/>
      <c r="W63" s="38"/>
      <c r="X63" s="38"/>
      <c r="Y63" s="38"/>
      <c r="Z63" s="38"/>
    </row>
    <row r="64" spans="1:26" ht="13.5" customHeight="1" thickBot="1">
      <c r="A64" s="836"/>
      <c r="B64" s="526" t="s">
        <v>2400</v>
      </c>
      <c r="C64" s="227"/>
      <c r="D64" s="227"/>
      <c r="E64" s="523"/>
      <c r="F64" s="523"/>
      <c r="G64" s="523"/>
      <c r="H64" s="526"/>
      <c r="I64" s="227"/>
      <c r="J64" s="523"/>
      <c r="K64" s="38"/>
      <c r="L64" s="836"/>
      <c r="M64" s="526" t="s">
        <v>2400</v>
      </c>
      <c r="N64" s="227"/>
      <c r="O64" s="227"/>
      <c r="P64" s="523"/>
      <c r="Q64" s="523"/>
      <c r="R64" s="523"/>
      <c r="S64" s="526"/>
      <c r="T64" s="227"/>
      <c r="U64" s="523"/>
      <c r="V64" s="38"/>
      <c r="W64" s="38"/>
      <c r="X64" s="38"/>
      <c r="Y64" s="38"/>
      <c r="Z64" s="38"/>
    </row>
    <row r="65" spans="1:26" ht="13.5" customHeight="1" thickTop="1" thickBot="1">
      <c r="A65" s="464"/>
      <c r="B65" s="3720" t="s">
        <v>1399</v>
      </c>
      <c r="C65" s="3721"/>
      <c r="D65" s="3721"/>
      <c r="E65" s="3721"/>
      <c r="F65" s="3721"/>
      <c r="G65" s="3721"/>
      <c r="H65" s="3722"/>
      <c r="I65" s="414" t="s">
        <v>2399</v>
      </c>
      <c r="J65" s="414" t="s">
        <v>2398</v>
      </c>
      <c r="K65" s="38"/>
      <c r="L65" s="464"/>
      <c r="M65" s="3720" t="s">
        <v>1399</v>
      </c>
      <c r="N65" s="3721"/>
      <c r="O65" s="3721"/>
      <c r="P65" s="3721"/>
      <c r="Q65" s="3721"/>
      <c r="R65" s="3721"/>
      <c r="S65" s="3722"/>
      <c r="T65" s="414" t="s">
        <v>2399</v>
      </c>
      <c r="U65" s="414" t="s">
        <v>2398</v>
      </c>
      <c r="V65" s="38"/>
      <c r="W65" s="38"/>
      <c r="X65" s="38"/>
      <c r="Y65" s="38"/>
      <c r="Z65" s="38"/>
    </row>
    <row r="66" spans="1:26" ht="13.5" customHeight="1" thickTop="1" thickBot="1">
      <c r="A66" s="3430" t="s">
        <v>568</v>
      </c>
      <c r="B66" s="414" t="s">
        <v>569</v>
      </c>
      <c r="C66" s="414" t="s">
        <v>570</v>
      </c>
      <c r="D66" s="414" t="s">
        <v>571</v>
      </c>
      <c r="E66" s="414" t="s">
        <v>572</v>
      </c>
      <c r="F66" s="414" t="s">
        <v>2395</v>
      </c>
      <c r="G66" s="414" t="s">
        <v>2396</v>
      </c>
      <c r="H66" s="414" t="s">
        <v>2397</v>
      </c>
      <c r="I66" s="3719" t="s">
        <v>1698</v>
      </c>
      <c r="J66" s="3703"/>
      <c r="K66" s="38"/>
      <c r="L66" s="3430" t="s">
        <v>568</v>
      </c>
      <c r="M66" s="414" t="s">
        <v>569</v>
      </c>
      <c r="N66" s="414" t="s">
        <v>570</v>
      </c>
      <c r="O66" s="414" t="s">
        <v>571</v>
      </c>
      <c r="P66" s="414" t="s">
        <v>572</v>
      </c>
      <c r="Q66" s="414" t="s">
        <v>2395</v>
      </c>
      <c r="R66" s="414" t="s">
        <v>2396</v>
      </c>
      <c r="S66" s="414" t="s">
        <v>2397</v>
      </c>
      <c r="T66" s="3719" t="s">
        <v>1698</v>
      </c>
      <c r="U66" s="3703"/>
      <c r="V66" s="38"/>
      <c r="W66" s="38"/>
      <c r="X66" s="38"/>
      <c r="Y66" s="38"/>
      <c r="Z66" s="38"/>
    </row>
    <row r="67" spans="1:26" ht="13.5" customHeight="1" thickTop="1">
      <c r="A67" s="3425">
        <v>2015</v>
      </c>
      <c r="B67" s="3427">
        <v>0.67047013801516198</v>
      </c>
      <c r="C67" s="3427">
        <v>4.9728221578952299E-2</v>
      </c>
      <c r="D67" s="3427">
        <v>-1.3762266144488301E-3</v>
      </c>
      <c r="E67" s="3427">
        <v>2.8357947160648699E-5</v>
      </c>
      <c r="F67" s="3427">
        <v>-3.1861755059841801E-7</v>
      </c>
      <c r="G67" s="3427">
        <v>1.8750253498675101E-9</v>
      </c>
      <c r="H67" s="3427">
        <v>-4.1197672118892599E-12</v>
      </c>
      <c r="I67" s="402">
        <v>12</v>
      </c>
      <c r="J67" s="402">
        <v>85</v>
      </c>
      <c r="K67" s="38"/>
      <c r="L67" s="3425">
        <v>2015</v>
      </c>
      <c r="M67" s="3427">
        <v>47.941023002482197</v>
      </c>
      <c r="N67" s="3427">
        <v>5.1495818065860099</v>
      </c>
      <c r="O67" s="3427">
        <v>-0.19094519923935199</v>
      </c>
      <c r="P67" s="3427">
        <v>4.4786613159551302E-3</v>
      </c>
      <c r="Q67" s="3427">
        <v>-5.9932076244515701E-5</v>
      </c>
      <c r="R67" s="3427">
        <v>4.2129698951587798E-7</v>
      </c>
      <c r="S67" s="3427">
        <v>-1.1823253186005701E-9</v>
      </c>
      <c r="T67" s="402">
        <v>12</v>
      </c>
      <c r="U67" s="402">
        <v>85</v>
      </c>
      <c r="V67" s="38"/>
      <c r="W67" s="38"/>
      <c r="X67" s="38"/>
      <c r="Y67" s="38"/>
      <c r="Z67" s="38"/>
    </row>
    <row r="68" spans="1:26" ht="13.5" customHeight="1">
      <c r="A68" s="3425">
        <v>2020</v>
      </c>
      <c r="B68" s="3428">
        <v>0.236917200907766</v>
      </c>
      <c r="C68" s="3428">
        <v>1.4721327188368299E-2</v>
      </c>
      <c r="D68" s="3428">
        <v>-3.7116237557264598E-4</v>
      </c>
      <c r="E68" s="3428">
        <v>7.2710656314107501E-6</v>
      </c>
      <c r="F68" s="3428">
        <v>-7.1488889344123394E-8</v>
      </c>
      <c r="G68" s="3428">
        <v>2.75703426018024E-10</v>
      </c>
      <c r="H68" s="3428">
        <v>1.3269386465058399E-13</v>
      </c>
      <c r="I68" s="1648">
        <v>12</v>
      </c>
      <c r="J68" s="1648">
        <v>85</v>
      </c>
      <c r="K68" s="38"/>
      <c r="L68" s="3425">
        <v>2020</v>
      </c>
      <c r="M68" s="3428">
        <v>29.128012791212001</v>
      </c>
      <c r="N68" s="3428">
        <v>1.3679850504829301</v>
      </c>
      <c r="O68" s="3428">
        <v>-4.6021765798273898E-2</v>
      </c>
      <c r="P68" s="3428">
        <v>8.4656871257053699E-4</v>
      </c>
      <c r="Q68" s="3428">
        <v>-8.6624027783451998E-6</v>
      </c>
      <c r="R68" s="3428">
        <v>4.2102056005029397E-8</v>
      </c>
      <c r="S68" s="3428">
        <v>-5.4896381331378897E-11</v>
      </c>
      <c r="T68" s="1648">
        <v>12</v>
      </c>
      <c r="U68" s="1648">
        <v>85</v>
      </c>
      <c r="V68" s="38"/>
      <c r="W68" s="38"/>
      <c r="X68" s="38"/>
      <c r="Y68" s="38"/>
      <c r="Z68" s="38"/>
    </row>
    <row r="69" spans="1:26" ht="13.5" customHeight="1">
      <c r="A69" s="3425">
        <v>2025</v>
      </c>
      <c r="B69" s="3428">
        <v>0.112226010081854</v>
      </c>
      <c r="C69" s="3428">
        <v>3.78787865172231E-3</v>
      </c>
      <c r="D69" s="3428">
        <v>-5.2932989219744802E-5</v>
      </c>
      <c r="E69" s="3428">
        <v>1.19997221690825E-7</v>
      </c>
      <c r="F69" s="3428">
        <v>1.8462753086337902E-8</v>
      </c>
      <c r="G69" s="3428">
        <v>-3.2076570780317801E-10</v>
      </c>
      <c r="H69" s="3428">
        <v>1.6836674939310201E-12</v>
      </c>
      <c r="I69" s="402">
        <v>12</v>
      </c>
      <c r="J69" s="402">
        <v>85</v>
      </c>
      <c r="K69" s="38"/>
      <c r="L69" s="3425">
        <v>2025</v>
      </c>
      <c r="M69" s="3428">
        <v>20.6428291722059</v>
      </c>
      <c r="N69" s="3428">
        <v>-0.21706169743916401</v>
      </c>
      <c r="O69" s="3428">
        <v>1.7417647665712601E-2</v>
      </c>
      <c r="P69" s="3428">
        <v>-6.7818029396438898E-4</v>
      </c>
      <c r="Q69" s="3428">
        <v>1.23592733770007E-5</v>
      </c>
      <c r="R69" s="3428">
        <v>-1.09863353045458E-7</v>
      </c>
      <c r="S69" s="3428">
        <v>3.8416788858154499E-10</v>
      </c>
      <c r="T69" s="402">
        <v>12</v>
      </c>
      <c r="U69" s="402">
        <v>85</v>
      </c>
      <c r="V69" s="38"/>
      <c r="W69" s="38"/>
      <c r="X69" s="38"/>
      <c r="Y69" s="38"/>
      <c r="Z69" s="38"/>
    </row>
    <row r="70" spans="1:26" ht="13.5" customHeight="1">
      <c r="A70" s="3425">
        <v>2030</v>
      </c>
      <c r="B70" s="3428">
        <v>9.3088116449123098E-2</v>
      </c>
      <c r="C70" s="3428">
        <v>1.78548225522794E-3</v>
      </c>
      <c r="D70" s="3428">
        <v>7.3362153960482797E-6</v>
      </c>
      <c r="E70" s="3428">
        <v>-1.30751687958465E-6</v>
      </c>
      <c r="F70" s="3428">
        <v>3.7280312237590499E-8</v>
      </c>
      <c r="G70" s="3428">
        <v>-4.4802389492438902E-10</v>
      </c>
      <c r="H70" s="3428">
        <v>2.0137995236545999E-12</v>
      </c>
      <c r="I70" s="402">
        <v>12</v>
      </c>
      <c r="J70" s="402">
        <v>85</v>
      </c>
      <c r="K70" s="38"/>
      <c r="L70" s="3425">
        <v>2030</v>
      </c>
      <c r="M70" s="3428">
        <v>18.847288194125799</v>
      </c>
      <c r="N70" s="3428">
        <v>-0.55598204559600894</v>
      </c>
      <c r="O70" s="3428">
        <v>3.1295074024888E-2</v>
      </c>
      <c r="P70" s="3428">
        <v>-1.0057020629787099E-3</v>
      </c>
      <c r="Q70" s="3428">
        <v>1.68263278392388E-5</v>
      </c>
      <c r="R70" s="3428">
        <v>-1.41798624947753E-7</v>
      </c>
      <c r="S70" s="3428">
        <v>4.7511033258734201E-10</v>
      </c>
      <c r="T70" s="402">
        <v>12</v>
      </c>
      <c r="U70" s="402">
        <v>85</v>
      </c>
      <c r="V70" s="38"/>
      <c r="W70" s="38"/>
      <c r="X70" s="38"/>
      <c r="Y70" s="38"/>
      <c r="Z70" s="38"/>
    </row>
    <row r="71" spans="1:26" ht="13.5" customHeight="1" thickBot="1">
      <c r="A71" s="3426">
        <v>2035</v>
      </c>
      <c r="B71" s="3429">
        <v>9.1205886696773E-2</v>
      </c>
      <c r="C71" s="3429">
        <v>1.5442139563337199E-3</v>
      </c>
      <c r="D71" s="3429">
        <v>1.4534298546436199E-5</v>
      </c>
      <c r="E71" s="3429">
        <v>-1.4779643435993201E-6</v>
      </c>
      <c r="F71" s="3429">
        <v>3.9493227223997801E-8</v>
      </c>
      <c r="G71" s="3429">
        <v>-4.6230345245662701E-10</v>
      </c>
      <c r="H71" s="3429">
        <v>2.0473654541012598E-12</v>
      </c>
      <c r="I71" s="403">
        <v>12</v>
      </c>
      <c r="J71" s="403">
        <v>85</v>
      </c>
      <c r="K71" s="38"/>
      <c r="L71" s="3426">
        <v>2035</v>
      </c>
      <c r="M71" s="3429">
        <v>18.568488653071</v>
      </c>
      <c r="N71" s="3429">
        <v>-0.60139735728979304</v>
      </c>
      <c r="O71" s="3429">
        <v>3.3186981648559898E-2</v>
      </c>
      <c r="P71" s="3429">
        <v>-1.0483419653954001E-3</v>
      </c>
      <c r="Q71" s="3429">
        <v>1.7391135734667301E-5</v>
      </c>
      <c r="R71" s="3429">
        <v>-1.4572297016674199E-7</v>
      </c>
      <c r="S71" s="3429">
        <v>4.8586937119383399E-10</v>
      </c>
      <c r="T71" s="403">
        <v>12</v>
      </c>
      <c r="U71" s="403">
        <v>85</v>
      </c>
      <c r="V71" s="38"/>
      <c r="W71" s="38"/>
      <c r="X71" s="38"/>
      <c r="Y71" s="38"/>
      <c r="Z71" s="38"/>
    </row>
    <row r="72" spans="1:26" ht="13.5" customHeight="1" thickTop="1" thickBot="1">
      <c r="A72" s="38"/>
      <c r="B72" s="38"/>
      <c r="C72" s="38"/>
      <c r="D72" s="38"/>
      <c r="E72" s="38"/>
      <c r="F72" s="38"/>
      <c r="G72" s="38"/>
      <c r="H72" s="38"/>
      <c r="I72" s="38"/>
      <c r="J72" s="38"/>
      <c r="K72" s="38"/>
      <c r="L72" s="3342"/>
      <c r="M72" s="3342"/>
      <c r="N72" s="3342"/>
      <c r="O72" s="3342"/>
      <c r="P72" s="3342"/>
      <c r="Q72" s="3342"/>
      <c r="R72" s="3342"/>
      <c r="S72" s="3342"/>
      <c r="T72" s="3342"/>
      <c r="U72" s="3342"/>
      <c r="V72" s="38"/>
      <c r="W72" s="38"/>
      <c r="X72" s="38"/>
      <c r="Y72" s="38"/>
      <c r="Z72" s="38"/>
    </row>
    <row r="73" spans="1:26" ht="13.5" customHeight="1" thickTop="1">
      <c r="A73" s="3340" t="s">
        <v>2431</v>
      </c>
      <c r="B73" s="680" t="s">
        <v>2419</v>
      </c>
      <c r="C73" s="224"/>
      <c r="D73" s="224"/>
      <c r="E73" s="462"/>
      <c r="F73" s="462"/>
      <c r="G73" s="462"/>
      <c r="H73" s="680"/>
      <c r="I73" s="224"/>
      <c r="J73" s="462"/>
      <c r="K73" s="38"/>
      <c r="L73" s="3340" t="s">
        <v>2432</v>
      </c>
      <c r="M73" s="680" t="s">
        <v>2406</v>
      </c>
      <c r="N73" s="224"/>
      <c r="O73" s="224"/>
      <c r="P73" s="462"/>
      <c r="Q73" s="462"/>
      <c r="R73" s="462"/>
      <c r="S73" s="680"/>
      <c r="T73" s="224"/>
      <c r="U73" s="462"/>
      <c r="V73" s="38"/>
      <c r="W73" s="38"/>
      <c r="X73" s="38"/>
      <c r="Y73" s="38"/>
      <c r="Z73" s="38"/>
    </row>
    <row r="74" spans="1:26" ht="13.5" customHeight="1" thickBot="1">
      <c r="A74" s="836"/>
      <c r="B74" s="526" t="s">
        <v>2400</v>
      </c>
      <c r="C74" s="227"/>
      <c r="D74" s="227"/>
      <c r="E74" s="523"/>
      <c r="F74" s="523"/>
      <c r="G74" s="523"/>
      <c r="H74" s="526"/>
      <c r="I74" s="227"/>
      <c r="J74" s="523"/>
      <c r="K74" s="38"/>
      <c r="L74" s="836"/>
      <c r="M74" s="526" t="s">
        <v>2400</v>
      </c>
      <c r="N74" s="227"/>
      <c r="O74" s="227"/>
      <c r="P74" s="523"/>
      <c r="Q74" s="523"/>
      <c r="R74" s="523"/>
      <c r="S74" s="526"/>
      <c r="T74" s="227"/>
      <c r="U74" s="523"/>
      <c r="V74" s="38"/>
      <c r="W74" s="38"/>
      <c r="X74" s="38"/>
      <c r="Y74" s="38"/>
      <c r="Z74" s="38"/>
    </row>
    <row r="75" spans="1:26" ht="13.5" customHeight="1" thickTop="1" thickBot="1">
      <c r="A75" s="464"/>
      <c r="B75" s="3720" t="s">
        <v>1399</v>
      </c>
      <c r="C75" s="3721"/>
      <c r="D75" s="3721"/>
      <c r="E75" s="3721"/>
      <c r="F75" s="3721"/>
      <c r="G75" s="3721"/>
      <c r="H75" s="3722"/>
      <c r="I75" s="414" t="s">
        <v>2399</v>
      </c>
      <c r="J75" s="414" t="s">
        <v>2398</v>
      </c>
      <c r="K75" s="38"/>
      <c r="L75" s="464"/>
      <c r="M75" s="3720" t="s">
        <v>1399</v>
      </c>
      <c r="N75" s="3721"/>
      <c r="O75" s="3721"/>
      <c r="P75" s="3721"/>
      <c r="Q75" s="3721"/>
      <c r="R75" s="3721"/>
      <c r="S75" s="3722"/>
      <c r="T75" s="414" t="s">
        <v>2399</v>
      </c>
      <c r="U75" s="414" t="s">
        <v>2398</v>
      </c>
      <c r="V75" s="38"/>
      <c r="W75" s="38"/>
      <c r="X75" s="38"/>
      <c r="Y75" s="38"/>
      <c r="Z75" s="38"/>
    </row>
    <row r="76" spans="1:26" ht="13.5" customHeight="1" thickTop="1" thickBot="1">
      <c r="A76" s="3430" t="s">
        <v>568</v>
      </c>
      <c r="B76" s="414" t="s">
        <v>569</v>
      </c>
      <c r="C76" s="414" t="s">
        <v>570</v>
      </c>
      <c r="D76" s="414" t="s">
        <v>571</v>
      </c>
      <c r="E76" s="414" t="s">
        <v>572</v>
      </c>
      <c r="F76" s="414" t="s">
        <v>2395</v>
      </c>
      <c r="G76" s="414" t="s">
        <v>2396</v>
      </c>
      <c r="H76" s="414" t="s">
        <v>2397</v>
      </c>
      <c r="I76" s="3719" t="s">
        <v>1698</v>
      </c>
      <c r="J76" s="3703"/>
      <c r="K76" s="38"/>
      <c r="L76" s="3430" t="s">
        <v>568</v>
      </c>
      <c r="M76" s="414" t="s">
        <v>569</v>
      </c>
      <c r="N76" s="414" t="s">
        <v>570</v>
      </c>
      <c r="O76" s="414" t="s">
        <v>571</v>
      </c>
      <c r="P76" s="414" t="s">
        <v>572</v>
      </c>
      <c r="Q76" s="414" t="s">
        <v>2395</v>
      </c>
      <c r="R76" s="414" t="s">
        <v>2396</v>
      </c>
      <c r="S76" s="414" t="s">
        <v>2397</v>
      </c>
      <c r="T76" s="3719" t="s">
        <v>1698</v>
      </c>
      <c r="U76" s="3703"/>
      <c r="V76" s="38"/>
      <c r="W76" s="38"/>
      <c r="X76" s="38"/>
      <c r="Y76" s="38"/>
      <c r="Z76" s="38"/>
    </row>
    <row r="77" spans="1:26" ht="13.5" customHeight="1" thickTop="1">
      <c r="A77" s="3425">
        <v>2015</v>
      </c>
      <c r="B77" s="3427">
        <v>0.58461097557013697</v>
      </c>
      <c r="C77" s="3427">
        <v>4.8182705908836998E-2</v>
      </c>
      <c r="D77" s="3427">
        <v>-1.7616560425435101E-3</v>
      </c>
      <c r="E77" s="3427">
        <v>4.5831226644344299E-5</v>
      </c>
      <c r="F77" s="3427">
        <v>-6.6643291999774496E-7</v>
      </c>
      <c r="G77" s="3427">
        <v>5.1075184245899898E-9</v>
      </c>
      <c r="H77" s="3427">
        <v>-1.5961921245458499E-11</v>
      </c>
      <c r="I77" s="402">
        <v>12</v>
      </c>
      <c r="J77" s="402">
        <v>85</v>
      </c>
      <c r="K77" s="38"/>
      <c r="L77" s="3425">
        <v>2015</v>
      </c>
      <c r="M77" s="3427">
        <v>62.463863456717199</v>
      </c>
      <c r="N77" s="3427">
        <v>5.34493059574572</v>
      </c>
      <c r="O77" s="3427">
        <v>-0.24989926815757901</v>
      </c>
      <c r="P77" s="3427">
        <v>6.4369727083717103E-3</v>
      </c>
      <c r="Q77" s="3427">
        <v>-9.3929556123506405E-5</v>
      </c>
      <c r="R77" s="3427">
        <v>7.2070143067082896E-7</v>
      </c>
      <c r="S77" s="3427">
        <v>-2.2539403820852398E-9</v>
      </c>
      <c r="T77" s="402">
        <v>12</v>
      </c>
      <c r="U77" s="402">
        <v>85</v>
      </c>
      <c r="V77" s="38"/>
      <c r="W77" s="38"/>
      <c r="X77" s="38"/>
      <c r="Y77" s="38"/>
      <c r="Z77" s="38"/>
    </row>
    <row r="78" spans="1:26" ht="13.5" customHeight="1">
      <c r="A78" s="3425">
        <v>2020</v>
      </c>
      <c r="B78" s="3428">
        <v>0.231963860676342</v>
      </c>
      <c r="C78" s="3428">
        <v>8.9451170831346492E-3</v>
      </c>
      <c r="D78" s="3428">
        <v>-2.6669549219006801E-4</v>
      </c>
      <c r="E78" s="3428">
        <v>7.0644250757917404E-6</v>
      </c>
      <c r="F78" s="3428">
        <v>-1.04437336670447E-7</v>
      </c>
      <c r="G78" s="3428">
        <v>8.0751133576446997E-10</v>
      </c>
      <c r="H78" s="3428">
        <v>-2.52863023403987E-12</v>
      </c>
      <c r="I78" s="1648">
        <v>12</v>
      </c>
      <c r="J78" s="1648">
        <v>85</v>
      </c>
      <c r="K78" s="38"/>
      <c r="L78" s="3425">
        <v>2020</v>
      </c>
      <c r="M78" s="3428">
        <v>25.711475824287898</v>
      </c>
      <c r="N78" s="3428">
        <v>0.87604923484248098</v>
      </c>
      <c r="O78" s="3428">
        <v>-3.79848548272671E-2</v>
      </c>
      <c r="P78" s="3428">
        <v>8.1264592518513605E-4</v>
      </c>
      <c r="Q78" s="3428">
        <v>-1.00802551374483E-5</v>
      </c>
      <c r="R78" s="3428">
        <v>6.7046239090546204E-8</v>
      </c>
      <c r="S78" s="3428">
        <v>-1.8475080434898601E-10</v>
      </c>
      <c r="T78" s="1648">
        <v>12</v>
      </c>
      <c r="U78" s="1648">
        <v>85</v>
      </c>
      <c r="V78" s="38"/>
      <c r="W78" s="38"/>
      <c r="X78" s="38"/>
      <c r="Y78" s="38"/>
      <c r="Z78" s="38"/>
    </row>
    <row r="79" spans="1:26" ht="13.5" customHeight="1">
      <c r="A79" s="3425">
        <v>2025</v>
      </c>
      <c r="B79" s="3428">
        <v>0.161274395506946</v>
      </c>
      <c r="C79" s="3428">
        <v>1.0447788778271299E-3</v>
      </c>
      <c r="D79" s="3428">
        <v>4.8046730715207899E-5</v>
      </c>
      <c r="E79" s="3428">
        <v>-1.4994365843113999E-6</v>
      </c>
      <c r="F79" s="3428">
        <v>2.49349019739461E-8</v>
      </c>
      <c r="G79" s="3428">
        <v>-2.1182001187218801E-10</v>
      </c>
      <c r="H79" s="3428">
        <v>7.2654120660052197E-13</v>
      </c>
      <c r="I79" s="402">
        <v>12</v>
      </c>
      <c r="J79" s="402">
        <v>85</v>
      </c>
      <c r="K79" s="38"/>
      <c r="L79" s="3425">
        <v>2025</v>
      </c>
      <c r="M79" s="3428">
        <v>16.1064435519081</v>
      </c>
      <c r="N79" s="3428">
        <v>-3.93569409974244E-2</v>
      </c>
      <c r="O79" s="3428">
        <v>7.8380516926859697E-3</v>
      </c>
      <c r="P79" s="3428">
        <v>-4.04567983561011E-4</v>
      </c>
      <c r="Q79" s="3428">
        <v>8.0982761281921594E-6</v>
      </c>
      <c r="R79" s="3428">
        <v>-7.4970188346258806E-8</v>
      </c>
      <c r="S79" s="3428">
        <v>2.65800698143701E-10</v>
      </c>
      <c r="T79" s="402">
        <v>12</v>
      </c>
      <c r="U79" s="402">
        <v>85</v>
      </c>
      <c r="V79" s="38"/>
      <c r="W79" s="38"/>
      <c r="X79" s="38"/>
      <c r="Y79" s="38"/>
      <c r="Z79" s="38"/>
    </row>
    <row r="80" spans="1:26" ht="13.5" customHeight="1">
      <c r="A80" s="3425">
        <v>2030</v>
      </c>
      <c r="B80" s="3428">
        <v>0.15534356352342099</v>
      </c>
      <c r="C80" s="3428">
        <v>3.26775551302526E-4</v>
      </c>
      <c r="D80" s="3428">
        <v>7.7044831973357194E-5</v>
      </c>
      <c r="E80" s="3428">
        <v>-2.2933905019992698E-6</v>
      </c>
      <c r="F80" s="3428">
        <v>3.6983571312060802E-8</v>
      </c>
      <c r="G80" s="3428">
        <v>-3.06953841754612E-10</v>
      </c>
      <c r="H80" s="3428">
        <v>1.0306721260752E-12</v>
      </c>
      <c r="I80" s="402">
        <v>12</v>
      </c>
      <c r="J80" s="402">
        <v>85</v>
      </c>
      <c r="K80" s="38"/>
      <c r="L80" s="3425">
        <v>2030</v>
      </c>
      <c r="M80" s="3428">
        <v>15.2069497052823</v>
      </c>
      <c r="N80" s="3428">
        <v>-0.12444222991008699</v>
      </c>
      <c r="O80" s="3428">
        <v>1.21637304212544E-2</v>
      </c>
      <c r="P80" s="3428">
        <v>-5.1972963937912096E-4</v>
      </c>
      <c r="Q80" s="3428">
        <v>9.8198214143559507E-6</v>
      </c>
      <c r="R80" s="3428">
        <v>-8.84255835779337E-8</v>
      </c>
      <c r="S80" s="3428">
        <v>3.0849813590612299E-10</v>
      </c>
      <c r="T80" s="402">
        <v>12</v>
      </c>
      <c r="U80" s="402">
        <v>85</v>
      </c>
      <c r="V80" s="38"/>
      <c r="W80" s="38"/>
      <c r="X80" s="38"/>
      <c r="Y80" s="38"/>
      <c r="Z80" s="38"/>
    </row>
    <row r="81" spans="1:26" ht="13.5" customHeight="1" thickBot="1">
      <c r="A81" s="3426">
        <v>2035</v>
      </c>
      <c r="B81" s="3429">
        <v>0.15489377321129599</v>
      </c>
      <c r="C81" s="3429">
        <v>2.71258046933745E-4</v>
      </c>
      <c r="D81" s="3429">
        <v>7.9325201552926994E-5</v>
      </c>
      <c r="E81" s="3429">
        <v>-2.3564970759505E-6</v>
      </c>
      <c r="F81" s="3429">
        <v>3.79479866324473E-8</v>
      </c>
      <c r="G81" s="3429">
        <v>-3.14600768240566E-10</v>
      </c>
      <c r="H81" s="3429">
        <v>1.0551908719173999E-12</v>
      </c>
      <c r="I81" s="403">
        <v>12</v>
      </c>
      <c r="J81" s="403">
        <v>85</v>
      </c>
      <c r="K81" s="38"/>
      <c r="L81" s="3426">
        <v>2035</v>
      </c>
      <c r="M81" s="3429">
        <v>15.1280025012408</v>
      </c>
      <c r="N81" s="3429">
        <v>-0.130659771759812</v>
      </c>
      <c r="O81" s="3429">
        <v>1.2492438972067799E-2</v>
      </c>
      <c r="P81" s="3429">
        <v>-5.2847479608665896E-4</v>
      </c>
      <c r="Q81" s="3429">
        <v>9.9506870033995504E-6</v>
      </c>
      <c r="R81" s="3429">
        <v>-8.9450148956884006E-8</v>
      </c>
      <c r="S81" s="3429">
        <v>3.1175543733336598E-10</v>
      </c>
      <c r="T81" s="403">
        <v>12</v>
      </c>
      <c r="U81" s="403">
        <v>85</v>
      </c>
      <c r="V81" s="38"/>
      <c r="W81" s="38"/>
      <c r="X81" s="38"/>
      <c r="Y81" s="38"/>
      <c r="Z81" s="38"/>
    </row>
    <row r="82" spans="1:26" ht="13.5" customHeight="1" thickTop="1" thickBot="1">
      <c r="A82" s="38"/>
      <c r="B82" s="38"/>
      <c r="C82" s="38"/>
      <c r="D82" s="38"/>
      <c r="E82" s="38"/>
      <c r="F82" s="38"/>
      <c r="G82" s="38"/>
      <c r="H82" s="38"/>
      <c r="I82" s="38"/>
      <c r="J82" s="38"/>
      <c r="K82" s="38"/>
      <c r="L82" s="3342"/>
      <c r="M82" s="3342"/>
      <c r="N82" s="3342"/>
      <c r="O82" s="3342"/>
      <c r="P82" s="3342"/>
      <c r="Q82" s="3342"/>
      <c r="R82" s="3342"/>
      <c r="S82" s="3342"/>
      <c r="T82" s="3342"/>
      <c r="U82" s="3342"/>
      <c r="V82" s="38"/>
      <c r="W82" s="38"/>
      <c r="X82" s="38"/>
      <c r="Y82" s="38"/>
      <c r="Z82" s="38"/>
    </row>
    <row r="83" spans="1:26" ht="13.5" customHeight="1" thickTop="1">
      <c r="A83" s="3340" t="s">
        <v>2431</v>
      </c>
      <c r="B83" s="680" t="s">
        <v>2420</v>
      </c>
      <c r="C83" s="224"/>
      <c r="D83" s="224"/>
      <c r="E83" s="462"/>
      <c r="F83" s="462"/>
      <c r="G83" s="462"/>
      <c r="H83" s="680"/>
      <c r="I83" s="224"/>
      <c r="J83" s="462"/>
      <c r="K83" s="38"/>
      <c r="L83" s="3340" t="s">
        <v>2432</v>
      </c>
      <c r="M83" s="680" t="s">
        <v>2407</v>
      </c>
      <c r="N83" s="224"/>
      <c r="O83" s="224"/>
      <c r="P83" s="462"/>
      <c r="Q83" s="462"/>
      <c r="R83" s="462"/>
      <c r="S83" s="680"/>
      <c r="T83" s="224"/>
      <c r="U83" s="462"/>
      <c r="V83" s="38"/>
      <c r="W83" s="38"/>
      <c r="X83" s="38"/>
      <c r="Y83" s="38"/>
      <c r="Z83" s="38"/>
    </row>
    <row r="84" spans="1:26" ht="13.5" customHeight="1" thickBot="1">
      <c r="A84" s="836"/>
      <c r="B84" s="526" t="s">
        <v>2400</v>
      </c>
      <c r="C84" s="227"/>
      <c r="D84" s="227"/>
      <c r="E84" s="523"/>
      <c r="F84" s="523"/>
      <c r="G84" s="523"/>
      <c r="H84" s="526"/>
      <c r="I84" s="227"/>
      <c r="J84" s="523"/>
      <c r="K84" s="38"/>
      <c r="L84" s="836"/>
      <c r="M84" s="526" t="s">
        <v>2400</v>
      </c>
      <c r="N84" s="227"/>
      <c r="O84" s="227"/>
      <c r="P84" s="523"/>
      <c r="Q84" s="523"/>
      <c r="R84" s="523"/>
      <c r="S84" s="526"/>
      <c r="T84" s="227"/>
      <c r="U84" s="523"/>
      <c r="V84" s="38"/>
      <c r="W84" s="38"/>
      <c r="X84" s="38"/>
      <c r="Y84" s="38"/>
      <c r="Z84" s="38"/>
    </row>
    <row r="85" spans="1:26" ht="13.5" customHeight="1" thickTop="1" thickBot="1">
      <c r="A85" s="464"/>
      <c r="B85" s="3720" t="s">
        <v>1399</v>
      </c>
      <c r="C85" s="3721"/>
      <c r="D85" s="3721"/>
      <c r="E85" s="3721"/>
      <c r="F85" s="3721"/>
      <c r="G85" s="3721"/>
      <c r="H85" s="3722"/>
      <c r="I85" s="414" t="s">
        <v>2399</v>
      </c>
      <c r="J85" s="414" t="s">
        <v>2398</v>
      </c>
      <c r="K85" s="38"/>
      <c r="L85" s="464"/>
      <c r="M85" s="3720" t="s">
        <v>1399</v>
      </c>
      <c r="N85" s="3721"/>
      <c r="O85" s="3721"/>
      <c r="P85" s="3721"/>
      <c r="Q85" s="3721"/>
      <c r="R85" s="3721"/>
      <c r="S85" s="3722"/>
      <c r="T85" s="414" t="s">
        <v>2399</v>
      </c>
      <c r="U85" s="414" t="s">
        <v>2398</v>
      </c>
      <c r="V85" s="38"/>
      <c r="W85" s="38"/>
      <c r="X85" s="38"/>
      <c r="Y85" s="38"/>
      <c r="Z85" s="38"/>
    </row>
    <row r="86" spans="1:26" ht="13.5" customHeight="1" thickTop="1" thickBot="1">
      <c r="A86" s="3430" t="s">
        <v>568</v>
      </c>
      <c r="B86" s="414" t="s">
        <v>569</v>
      </c>
      <c r="C86" s="414" t="s">
        <v>570</v>
      </c>
      <c r="D86" s="414" t="s">
        <v>571</v>
      </c>
      <c r="E86" s="414" t="s">
        <v>572</v>
      </c>
      <c r="F86" s="414" t="s">
        <v>2395</v>
      </c>
      <c r="G86" s="414" t="s">
        <v>2396</v>
      </c>
      <c r="H86" s="414" t="s">
        <v>2397</v>
      </c>
      <c r="I86" s="3719" t="s">
        <v>1698</v>
      </c>
      <c r="J86" s="3703"/>
      <c r="K86" s="38"/>
      <c r="L86" s="3430" t="s">
        <v>568</v>
      </c>
      <c r="M86" s="414" t="s">
        <v>569</v>
      </c>
      <c r="N86" s="414" t="s">
        <v>570</v>
      </c>
      <c r="O86" s="414" t="s">
        <v>571</v>
      </c>
      <c r="P86" s="414" t="s">
        <v>572</v>
      </c>
      <c r="Q86" s="414" t="s">
        <v>2395</v>
      </c>
      <c r="R86" s="414" t="s">
        <v>2396</v>
      </c>
      <c r="S86" s="414" t="s">
        <v>2397</v>
      </c>
      <c r="T86" s="3719" t="s">
        <v>1698</v>
      </c>
      <c r="U86" s="3703"/>
      <c r="V86" s="38"/>
      <c r="W86" s="38"/>
      <c r="X86" s="38"/>
      <c r="Y86" s="38"/>
      <c r="Z86" s="38"/>
    </row>
    <row r="87" spans="1:26" ht="13.5" customHeight="1" thickTop="1">
      <c r="A87" s="3425">
        <v>2015</v>
      </c>
      <c r="B87" s="3427">
        <v>0.60094458350049595</v>
      </c>
      <c r="C87" s="3427">
        <v>5.4579382514412002E-2</v>
      </c>
      <c r="D87" s="3427">
        <v>-1.41639355147847E-3</v>
      </c>
      <c r="E87" s="3427">
        <v>2.9473576487890899E-5</v>
      </c>
      <c r="F87" s="3427">
        <v>-3.42188684724227E-7</v>
      </c>
      <c r="G87" s="3427">
        <v>2.0261097953612601E-9</v>
      </c>
      <c r="H87" s="3427">
        <v>-3.0915289920545199E-12</v>
      </c>
      <c r="I87" s="402">
        <v>11</v>
      </c>
      <c r="J87" s="402">
        <v>85</v>
      </c>
      <c r="K87" s="38"/>
      <c r="L87" s="3425">
        <v>2015</v>
      </c>
      <c r="M87" s="3427">
        <v>79.9068227775428</v>
      </c>
      <c r="N87" s="3427">
        <v>3.0224482484906701</v>
      </c>
      <c r="O87" s="3427">
        <v>-5.1647871808995903E-2</v>
      </c>
      <c r="P87" s="3427">
        <v>1.57537078151049E-6</v>
      </c>
      <c r="Q87" s="3427">
        <v>1.3689532395405199E-5</v>
      </c>
      <c r="R87" s="3427">
        <v>-1.8419573779508599E-7</v>
      </c>
      <c r="S87" s="3427">
        <v>8.4152892242677104E-10</v>
      </c>
      <c r="T87" s="402">
        <v>11</v>
      </c>
      <c r="U87" s="402">
        <v>85</v>
      </c>
      <c r="V87" s="38"/>
      <c r="W87" s="38"/>
      <c r="X87" s="38"/>
      <c r="Y87" s="38"/>
      <c r="Z87" s="38"/>
    </row>
    <row r="88" spans="1:26" ht="13.5" customHeight="1">
      <c r="A88" s="3425">
        <v>2020</v>
      </c>
      <c r="B88" s="3428">
        <v>0.30155168916403402</v>
      </c>
      <c r="C88" s="3428">
        <v>1.9625417969241301E-2</v>
      </c>
      <c r="D88" s="3428">
        <v>-2.24941644851702E-4</v>
      </c>
      <c r="E88" s="3428">
        <v>-2.08566098813076E-6</v>
      </c>
      <c r="F88" s="3428">
        <v>1.23339653187919E-7</v>
      </c>
      <c r="G88" s="3428">
        <v>-1.4965664648669201E-9</v>
      </c>
      <c r="H88" s="3428">
        <v>6.81933526030841E-12</v>
      </c>
      <c r="I88" s="1648">
        <v>11</v>
      </c>
      <c r="J88" s="1648">
        <v>85</v>
      </c>
      <c r="K88" s="38"/>
      <c r="L88" s="3425">
        <v>2020</v>
      </c>
      <c r="M88" s="3428">
        <v>41.456329112061198</v>
      </c>
      <c r="N88" s="3428">
        <v>1.2598684242364</v>
      </c>
      <c r="O88" s="3428">
        <v>-2.4943552753575698E-3</v>
      </c>
      <c r="P88" s="3428">
        <v>-1.07744716600172E-3</v>
      </c>
      <c r="Q88" s="3428">
        <v>2.8412561231614501E-5</v>
      </c>
      <c r="R88" s="3428">
        <v>-2.9415058262745301E-7</v>
      </c>
      <c r="S88" s="3428">
        <v>1.1518250966293699E-9</v>
      </c>
      <c r="T88" s="1648">
        <v>11</v>
      </c>
      <c r="U88" s="1648">
        <v>85</v>
      </c>
      <c r="V88" s="38"/>
      <c r="W88" s="38"/>
      <c r="X88" s="38"/>
      <c r="Y88" s="38"/>
      <c r="Z88" s="38"/>
    </row>
    <row r="89" spans="1:26" ht="13.5" customHeight="1">
      <c r="A89" s="3425">
        <v>2025</v>
      </c>
      <c r="B89" s="3428">
        <v>0.14644033933474601</v>
      </c>
      <c r="C89" s="3428">
        <v>7.8007643353165805E-4</v>
      </c>
      <c r="D89" s="3428">
        <v>3.9746178221507201E-4</v>
      </c>
      <c r="E89" s="3428">
        <v>-1.8171612344624699E-5</v>
      </c>
      <c r="F89" s="3428">
        <v>3.55977185499638E-7</v>
      </c>
      <c r="G89" s="3428">
        <v>-3.1966642100114998E-9</v>
      </c>
      <c r="H89" s="3428">
        <v>1.11012817863936E-11</v>
      </c>
      <c r="I89" s="402">
        <v>11</v>
      </c>
      <c r="J89" s="402">
        <v>85</v>
      </c>
      <c r="K89" s="38"/>
      <c r="L89" s="3425">
        <v>2025</v>
      </c>
      <c r="M89" s="3428">
        <v>20.410017210816498</v>
      </c>
      <c r="N89" s="3428">
        <v>-0.38551750739703899</v>
      </c>
      <c r="O89" s="3428">
        <v>6.1200278348650002E-2</v>
      </c>
      <c r="P89" s="3428">
        <v>-2.6000810488518702E-3</v>
      </c>
      <c r="Q89" s="3428">
        <v>4.9757148561265603E-5</v>
      </c>
      <c r="R89" s="3428">
        <v>-4.5440090656361302E-7</v>
      </c>
      <c r="S89" s="3428">
        <v>1.6174937113027399E-9</v>
      </c>
      <c r="T89" s="402">
        <v>11</v>
      </c>
      <c r="U89" s="402">
        <v>85</v>
      </c>
      <c r="V89" s="38"/>
      <c r="W89" s="38"/>
      <c r="X89" s="38"/>
      <c r="Y89" s="38"/>
      <c r="Z89" s="38"/>
    </row>
    <row r="90" spans="1:26" ht="13.5" customHeight="1">
      <c r="A90" s="3425">
        <v>2030</v>
      </c>
      <c r="B90" s="3428">
        <v>0.113726970748177</v>
      </c>
      <c r="C90" s="3428">
        <v>-4.1583736869901002E-3</v>
      </c>
      <c r="D90" s="3428">
        <v>5.6510659402485904E-4</v>
      </c>
      <c r="E90" s="3428">
        <v>-2.24588079332774E-5</v>
      </c>
      <c r="F90" s="3428">
        <v>4.1779388833533802E-7</v>
      </c>
      <c r="G90" s="3428">
        <v>-3.64556740560305E-9</v>
      </c>
      <c r="H90" s="3428">
        <v>1.22092209535952E-11</v>
      </c>
      <c r="I90" s="402">
        <v>11</v>
      </c>
      <c r="J90" s="402">
        <v>85</v>
      </c>
      <c r="K90" s="38"/>
      <c r="L90" s="3425">
        <v>2030</v>
      </c>
      <c r="M90" s="3428">
        <v>15.316314613114599</v>
      </c>
      <c r="N90" s="3428">
        <v>-0.88850175467844095</v>
      </c>
      <c r="O90" s="3428">
        <v>8.15531405073429E-2</v>
      </c>
      <c r="P90" s="3428">
        <v>-3.0934997001926998E-3</v>
      </c>
      <c r="Q90" s="3428">
        <v>5.6734178701867902E-5</v>
      </c>
      <c r="R90" s="3428">
        <v>-5.0708634868423195E-7</v>
      </c>
      <c r="S90" s="3428">
        <v>1.7724307762700501E-9</v>
      </c>
      <c r="T90" s="402">
        <v>11</v>
      </c>
      <c r="U90" s="402">
        <v>85</v>
      </c>
      <c r="V90" s="38"/>
      <c r="W90" s="38"/>
      <c r="X90" s="38"/>
      <c r="Y90" s="38"/>
      <c r="Z90" s="38"/>
    </row>
    <row r="91" spans="1:26" ht="13.5" customHeight="1" thickBot="1">
      <c r="A91" s="3426">
        <v>2035</v>
      </c>
      <c r="B91" s="3429">
        <v>0.108150922582561</v>
      </c>
      <c r="C91" s="3429">
        <v>-5.1222599951725898E-3</v>
      </c>
      <c r="D91" s="3429">
        <v>5.9530409095373798E-4</v>
      </c>
      <c r="E91" s="3429">
        <v>-2.3163489142032202E-5</v>
      </c>
      <c r="F91" s="3429">
        <v>4.2719924929020899E-7</v>
      </c>
      <c r="G91" s="3429">
        <v>-3.7046652721397198E-9</v>
      </c>
      <c r="H91" s="3429">
        <v>1.2278662439416501E-11</v>
      </c>
      <c r="I91" s="403">
        <v>11</v>
      </c>
      <c r="J91" s="403">
        <v>85</v>
      </c>
      <c r="K91" s="38"/>
      <c r="L91" s="3426">
        <v>2035</v>
      </c>
      <c r="M91" s="3429">
        <v>14.317528241203</v>
      </c>
      <c r="N91" s="3429">
        <v>-1.0596781314528101</v>
      </c>
      <c r="O91" s="3429">
        <v>8.9663291053369898E-2</v>
      </c>
      <c r="P91" s="3429">
        <v>-3.2934173737364002E-3</v>
      </c>
      <c r="Q91" s="3429">
        <v>5.9555928333997302E-5</v>
      </c>
      <c r="R91" s="3429">
        <v>-5.2825582502428501E-7</v>
      </c>
      <c r="S91" s="3429">
        <v>1.83437318052156E-9</v>
      </c>
      <c r="T91" s="403">
        <v>11</v>
      </c>
      <c r="U91" s="403">
        <v>85</v>
      </c>
      <c r="V91" s="38"/>
      <c r="W91" s="38"/>
      <c r="X91" s="38"/>
      <c r="Y91" s="38"/>
      <c r="Z91" s="38"/>
    </row>
    <row r="92" spans="1:26" ht="13.5" customHeight="1" thickTop="1" thickBot="1">
      <c r="A92" s="38"/>
      <c r="B92" s="38"/>
      <c r="C92" s="38"/>
      <c r="D92" s="38"/>
      <c r="E92" s="38"/>
      <c r="F92" s="38"/>
      <c r="G92" s="38"/>
      <c r="H92" s="38"/>
      <c r="I92" s="38"/>
      <c r="J92" s="38"/>
      <c r="K92" s="38"/>
      <c r="L92" s="3342"/>
      <c r="M92" s="3342"/>
      <c r="N92" s="3342"/>
      <c r="O92" s="3342"/>
      <c r="P92" s="3342"/>
      <c r="Q92" s="3342"/>
      <c r="R92" s="3342"/>
      <c r="S92" s="3342"/>
      <c r="T92" s="3342"/>
      <c r="U92" s="3342"/>
      <c r="V92" s="38"/>
      <c r="W92" s="38"/>
      <c r="X92" s="38"/>
      <c r="Y92" s="38"/>
      <c r="Z92" s="38"/>
    </row>
    <row r="93" spans="1:26" ht="13.5" customHeight="1" thickTop="1">
      <c r="A93" s="3340" t="s">
        <v>2431</v>
      </c>
      <c r="B93" s="680" t="s">
        <v>2421</v>
      </c>
      <c r="C93" s="224"/>
      <c r="D93" s="224"/>
      <c r="E93" s="462"/>
      <c r="F93" s="462"/>
      <c r="G93" s="462"/>
      <c r="H93" s="680"/>
      <c r="I93" s="224"/>
      <c r="J93" s="462"/>
      <c r="K93" s="38"/>
      <c r="L93" s="3340" t="s">
        <v>2432</v>
      </c>
      <c r="M93" s="680" t="s">
        <v>2408</v>
      </c>
      <c r="N93" s="224"/>
      <c r="O93" s="224"/>
      <c r="P93" s="462"/>
      <c r="Q93" s="462"/>
      <c r="R93" s="462"/>
      <c r="S93" s="680"/>
      <c r="T93" s="224"/>
      <c r="U93" s="462"/>
      <c r="V93" s="38"/>
      <c r="W93" s="38"/>
      <c r="X93" s="38"/>
      <c r="Y93" s="38"/>
      <c r="Z93" s="38"/>
    </row>
    <row r="94" spans="1:26" ht="13.5" customHeight="1" thickBot="1">
      <c r="A94" s="836"/>
      <c r="B94" s="526" t="s">
        <v>2400</v>
      </c>
      <c r="C94" s="227"/>
      <c r="D94" s="227"/>
      <c r="E94" s="523"/>
      <c r="F94" s="523"/>
      <c r="G94" s="523"/>
      <c r="H94" s="526"/>
      <c r="I94" s="227"/>
      <c r="J94" s="523"/>
      <c r="K94" s="38"/>
      <c r="L94" s="836"/>
      <c r="M94" s="526" t="s">
        <v>2400</v>
      </c>
      <c r="N94" s="227"/>
      <c r="O94" s="227"/>
      <c r="P94" s="523"/>
      <c r="Q94" s="523"/>
      <c r="R94" s="523"/>
      <c r="S94" s="526"/>
      <c r="T94" s="227"/>
      <c r="U94" s="523"/>
      <c r="V94" s="38"/>
      <c r="W94" s="38"/>
      <c r="X94" s="38"/>
      <c r="Y94" s="38"/>
      <c r="Z94" s="38"/>
    </row>
    <row r="95" spans="1:26" ht="13.5" customHeight="1" thickTop="1" thickBot="1">
      <c r="A95" s="464"/>
      <c r="B95" s="3720" t="s">
        <v>1399</v>
      </c>
      <c r="C95" s="3721"/>
      <c r="D95" s="3721"/>
      <c r="E95" s="3721"/>
      <c r="F95" s="3721"/>
      <c r="G95" s="3721"/>
      <c r="H95" s="3722"/>
      <c r="I95" s="414" t="s">
        <v>2399</v>
      </c>
      <c r="J95" s="414" t="s">
        <v>2398</v>
      </c>
      <c r="K95" s="38"/>
      <c r="L95" s="464"/>
      <c r="M95" s="3720" t="s">
        <v>1399</v>
      </c>
      <c r="N95" s="3721"/>
      <c r="O95" s="3721"/>
      <c r="P95" s="3721"/>
      <c r="Q95" s="3721"/>
      <c r="R95" s="3721"/>
      <c r="S95" s="3722"/>
      <c r="T95" s="414" t="s">
        <v>2399</v>
      </c>
      <c r="U95" s="414" t="s">
        <v>2398</v>
      </c>
      <c r="V95" s="38"/>
      <c r="W95" s="38"/>
      <c r="X95" s="38"/>
      <c r="Y95" s="38"/>
      <c r="Z95" s="38"/>
    </row>
    <row r="96" spans="1:26" ht="13.5" customHeight="1" thickTop="1" thickBot="1">
      <c r="A96" s="3430" t="s">
        <v>568</v>
      </c>
      <c r="B96" s="414" t="s">
        <v>569</v>
      </c>
      <c r="C96" s="414" t="s">
        <v>570</v>
      </c>
      <c r="D96" s="414" t="s">
        <v>571</v>
      </c>
      <c r="E96" s="414" t="s">
        <v>572</v>
      </c>
      <c r="F96" s="414" t="s">
        <v>2395</v>
      </c>
      <c r="G96" s="414" t="s">
        <v>2396</v>
      </c>
      <c r="H96" s="414" t="s">
        <v>2397</v>
      </c>
      <c r="I96" s="3719" t="s">
        <v>1698</v>
      </c>
      <c r="J96" s="3703"/>
      <c r="K96" s="38"/>
      <c r="L96" s="3430" t="s">
        <v>568</v>
      </c>
      <c r="M96" s="414" t="s">
        <v>569</v>
      </c>
      <c r="N96" s="414" t="s">
        <v>570</v>
      </c>
      <c r="O96" s="414" t="s">
        <v>571</v>
      </c>
      <c r="P96" s="414" t="s">
        <v>572</v>
      </c>
      <c r="Q96" s="414" t="s">
        <v>2395</v>
      </c>
      <c r="R96" s="414" t="s">
        <v>2396</v>
      </c>
      <c r="S96" s="414" t="s">
        <v>2397</v>
      </c>
      <c r="T96" s="3719" t="s">
        <v>1698</v>
      </c>
      <c r="U96" s="3703"/>
      <c r="V96" s="38"/>
      <c r="W96" s="38"/>
      <c r="X96" s="38"/>
      <c r="Y96" s="38"/>
      <c r="Z96" s="38"/>
    </row>
    <row r="97" spans="1:26" ht="13.5" customHeight="1" thickTop="1">
      <c r="A97" s="3425">
        <v>2015</v>
      </c>
      <c r="B97" s="3427">
        <v>1.46796091979208</v>
      </c>
      <c r="C97" s="3427">
        <v>7.7171483132391999E-2</v>
      </c>
      <c r="D97" s="3427">
        <v>-2.42975178004394E-3</v>
      </c>
      <c r="E97" s="3427">
        <v>5.3907759695477001E-5</v>
      </c>
      <c r="F97" s="3427">
        <v>-6.8260598767805797E-7</v>
      </c>
      <c r="G97" s="3427">
        <v>4.5621672993155504E-9</v>
      </c>
      <c r="H97" s="3427">
        <v>-1.24033757424761E-11</v>
      </c>
      <c r="I97" s="402">
        <v>12</v>
      </c>
      <c r="J97" s="402">
        <v>100</v>
      </c>
      <c r="K97" s="38"/>
      <c r="L97" s="3425">
        <v>2015</v>
      </c>
      <c r="M97" s="3427">
        <v>162.20489743898301</v>
      </c>
      <c r="N97" s="3427">
        <v>2.48889880861624</v>
      </c>
      <c r="O97" s="3427">
        <v>-6.5935489338911704E-2</v>
      </c>
      <c r="P97" s="3427">
        <v>1.0433045889807499E-3</v>
      </c>
      <c r="Q97" s="3427">
        <v>-8.6083812593899404E-6</v>
      </c>
      <c r="R97" s="3427">
        <v>3.5221405911920199E-8</v>
      </c>
      <c r="S97" s="3427">
        <v>-5.0621189793602402E-11</v>
      </c>
      <c r="T97" s="402">
        <v>12</v>
      </c>
      <c r="U97" s="402">
        <v>100</v>
      </c>
      <c r="V97" s="38"/>
      <c r="W97" s="38"/>
      <c r="X97" s="38"/>
      <c r="Y97" s="38"/>
      <c r="Z97" s="38"/>
    </row>
    <row r="98" spans="1:26" ht="13.5" customHeight="1">
      <c r="A98" s="3425">
        <v>2020</v>
      </c>
      <c r="B98" s="3428">
        <v>0.69550076307111597</v>
      </c>
      <c r="C98" s="3428">
        <v>3.04208371907582E-2</v>
      </c>
      <c r="D98" s="3428">
        <v>-8.9007216700501897E-4</v>
      </c>
      <c r="E98" s="3428">
        <v>1.9577268900989599E-5</v>
      </c>
      <c r="F98" s="3428">
        <v>-2.4684502191604698E-7</v>
      </c>
      <c r="G98" s="3428">
        <v>1.6461519863429501E-9</v>
      </c>
      <c r="H98" s="3428">
        <v>-4.4697689861543004E-12</v>
      </c>
      <c r="I98" s="1648">
        <v>12</v>
      </c>
      <c r="J98" s="1648">
        <v>100</v>
      </c>
      <c r="K98" s="38"/>
      <c r="L98" s="3425">
        <v>2020</v>
      </c>
      <c r="M98" s="3428">
        <v>95.5178058043129</v>
      </c>
      <c r="N98" s="3428">
        <v>-0.30804420781703801</v>
      </c>
      <c r="O98" s="3428">
        <v>6.4759665815028303E-2</v>
      </c>
      <c r="P98" s="3428">
        <v>-2.4711537383283601E-3</v>
      </c>
      <c r="Q98" s="3428">
        <v>4.0943497358818901E-5</v>
      </c>
      <c r="R98" s="3428">
        <v>-3.1999577287802199E-7</v>
      </c>
      <c r="S98" s="3428">
        <v>9.6448884945709892E-10</v>
      </c>
      <c r="T98" s="1648">
        <v>12</v>
      </c>
      <c r="U98" s="1648">
        <v>100</v>
      </c>
      <c r="V98" s="38"/>
      <c r="W98" s="38"/>
      <c r="X98" s="38"/>
      <c r="Y98" s="38"/>
      <c r="Z98" s="38"/>
    </row>
    <row r="99" spans="1:26" ht="13.5" customHeight="1">
      <c r="A99" s="3425">
        <v>2025</v>
      </c>
      <c r="B99" s="3428">
        <v>0.29437600983245299</v>
      </c>
      <c r="C99" s="3428">
        <v>7.4141057523034702E-3</v>
      </c>
      <c r="D99" s="3428">
        <v>-1.8914877754749499E-4</v>
      </c>
      <c r="E99" s="3428">
        <v>4.1593098485654202E-6</v>
      </c>
      <c r="F99" s="3428">
        <v>-5.2496074767264499E-8</v>
      </c>
      <c r="G99" s="3428">
        <v>3.5058355218096698E-10</v>
      </c>
      <c r="H99" s="3428">
        <v>-9.5282512864118797E-13</v>
      </c>
      <c r="I99" s="402">
        <v>12</v>
      </c>
      <c r="J99" s="402">
        <v>100</v>
      </c>
      <c r="K99" s="38"/>
      <c r="L99" s="3425">
        <v>2025</v>
      </c>
      <c r="M99" s="3428">
        <v>52.575870667337398</v>
      </c>
      <c r="N99" s="3428">
        <v>-2.2807555908468702</v>
      </c>
      <c r="O99" s="3428">
        <v>0.158927884204732</v>
      </c>
      <c r="P99" s="3428">
        <v>-4.9042387849938598E-3</v>
      </c>
      <c r="Q99" s="3428">
        <v>7.47501006603473E-5</v>
      </c>
      <c r="R99" s="3428">
        <v>-5.6042322336065099E-7</v>
      </c>
      <c r="S99" s="3428">
        <v>1.6483030343225101E-9</v>
      </c>
      <c r="T99" s="402">
        <v>12</v>
      </c>
      <c r="U99" s="402">
        <v>100</v>
      </c>
      <c r="V99" s="38"/>
      <c r="W99" s="38"/>
      <c r="X99" s="38"/>
      <c r="Y99" s="38"/>
      <c r="Z99" s="38"/>
    </row>
    <row r="100" spans="1:26" ht="13.5" customHeight="1">
      <c r="A100" s="3425">
        <v>2030</v>
      </c>
      <c r="B100" s="3428">
        <v>0.20400627784092601</v>
      </c>
      <c r="C100" s="3428">
        <v>2.02819630606946E-3</v>
      </c>
      <c r="D100" s="3428">
        <v>-2.5518292509842999E-5</v>
      </c>
      <c r="E100" s="3428">
        <v>5.5504670499039697E-7</v>
      </c>
      <c r="F100" s="3428">
        <v>-7.0237597263152698E-9</v>
      </c>
      <c r="G100" s="3428">
        <v>4.7110100373904402E-11</v>
      </c>
      <c r="H100" s="3428">
        <v>-1.2871411384262901E-13</v>
      </c>
      <c r="I100" s="402">
        <v>12</v>
      </c>
      <c r="J100" s="402">
        <v>100</v>
      </c>
      <c r="K100" s="38"/>
      <c r="L100" s="3425">
        <v>2030</v>
      </c>
      <c r="M100" s="3428">
        <v>41.502342702303302</v>
      </c>
      <c r="N100" s="3428">
        <v>-2.8678773401479098</v>
      </c>
      <c r="O100" s="3428">
        <v>0.18722114788522101</v>
      </c>
      <c r="P100" s="3428">
        <v>-5.6302444021129796E-3</v>
      </c>
      <c r="Q100" s="3428">
        <v>8.4793169091761697E-5</v>
      </c>
      <c r="R100" s="3428">
        <v>-6.31590424986925E-7</v>
      </c>
      <c r="S100" s="3428">
        <v>1.85019704252046E-9</v>
      </c>
      <c r="T100" s="402">
        <v>12</v>
      </c>
      <c r="U100" s="402">
        <v>100</v>
      </c>
      <c r="V100" s="38"/>
      <c r="W100" s="38"/>
      <c r="X100" s="38"/>
      <c r="Y100" s="38"/>
      <c r="Z100" s="38"/>
    </row>
    <row r="101" spans="1:26" ht="13.5" customHeight="1" thickBot="1">
      <c r="A101" s="3426">
        <v>2035</v>
      </c>
      <c r="B101" s="3429">
        <v>0.18776530235129901</v>
      </c>
      <c r="C101" s="3429">
        <v>1.2396353300238999E-3</v>
      </c>
      <c r="D101" s="3429">
        <v>-7.9174415729414003E-6</v>
      </c>
      <c r="E101" s="3429">
        <v>1.96718983210665E-7</v>
      </c>
      <c r="F101" s="3429">
        <v>-2.6744177203670301E-9</v>
      </c>
      <c r="G101" s="3429">
        <v>1.8704648461793098E-11</v>
      </c>
      <c r="H101" s="3429">
        <v>-5.2530662129358502E-14</v>
      </c>
      <c r="I101" s="403">
        <v>12</v>
      </c>
      <c r="J101" s="403">
        <v>100</v>
      </c>
      <c r="K101" s="38"/>
      <c r="L101" s="3426">
        <v>2035</v>
      </c>
      <c r="M101" s="3429">
        <v>38.603321020780498</v>
      </c>
      <c r="N101" s="3429">
        <v>-3.0261768417207602</v>
      </c>
      <c r="O101" s="3429">
        <v>0.19516090085416801</v>
      </c>
      <c r="P101" s="3429">
        <v>-5.8254033694248204E-3</v>
      </c>
      <c r="Q101" s="3429">
        <v>8.7451445453683001E-5</v>
      </c>
      <c r="R101" s="3429">
        <v>-6.5027550790850904E-7</v>
      </c>
      <c r="S101" s="3429">
        <v>1.9029562163542101E-9</v>
      </c>
      <c r="T101" s="403">
        <v>12</v>
      </c>
      <c r="U101" s="403">
        <v>100</v>
      </c>
      <c r="V101" s="38"/>
      <c r="W101" s="38"/>
      <c r="X101" s="38"/>
      <c r="Y101" s="38"/>
      <c r="Z101" s="38"/>
    </row>
    <row r="102" spans="1:26" ht="13.5" customHeight="1" thickTop="1">
      <c r="A102" s="38"/>
      <c r="B102" s="38"/>
      <c r="C102" s="38"/>
      <c r="D102" s="38"/>
      <c r="E102" s="38"/>
      <c r="F102" s="38"/>
      <c r="G102" s="38"/>
      <c r="H102" s="38"/>
      <c r="I102" s="38"/>
      <c r="J102" s="38"/>
      <c r="K102" s="38"/>
      <c r="L102" s="38"/>
      <c r="M102" s="38"/>
      <c r="N102" s="38"/>
      <c r="O102" s="38"/>
      <c r="P102" s="38"/>
      <c r="Q102" s="38"/>
      <c r="R102" s="38"/>
      <c r="S102" s="38"/>
      <c r="T102" s="38"/>
      <c r="U102" s="38"/>
      <c r="V102" s="38"/>
      <c r="W102" s="38"/>
      <c r="X102" s="38"/>
      <c r="Y102" s="38"/>
      <c r="Z102" s="38"/>
    </row>
    <row r="103" spans="1:26" ht="13.5" customHeight="1">
      <c r="A103" s="38"/>
      <c r="B103" s="38"/>
      <c r="C103" s="38"/>
      <c r="D103" s="38"/>
      <c r="E103" s="38"/>
      <c r="F103" s="38"/>
      <c r="G103" s="38"/>
      <c r="H103" s="38"/>
      <c r="I103" s="38"/>
      <c r="J103" s="38"/>
      <c r="K103" s="38"/>
      <c r="L103" s="38"/>
      <c r="M103" s="38"/>
      <c r="N103" s="38"/>
      <c r="O103" s="38"/>
      <c r="P103" s="38"/>
      <c r="Q103" s="38"/>
      <c r="R103" s="38"/>
      <c r="S103" s="38"/>
      <c r="T103" s="38"/>
      <c r="U103" s="38"/>
      <c r="V103" s="38"/>
      <c r="W103" s="38"/>
      <c r="X103" s="38"/>
      <c r="Y103" s="38"/>
      <c r="Z103" s="38"/>
    </row>
  </sheetData>
  <sheetProtection sheet="1" objects="1" scenarios="1"/>
  <mergeCells count="39">
    <mergeCell ref="A18:B18"/>
    <mergeCell ref="E6:S6"/>
    <mergeCell ref="A7:B7"/>
    <mergeCell ref="A8:B8"/>
    <mergeCell ref="A10:B10"/>
    <mergeCell ref="A11:B11"/>
    <mergeCell ref="A12:B12"/>
    <mergeCell ref="B55:H55"/>
    <mergeCell ref="T96:U96"/>
    <mergeCell ref="T56:U56"/>
    <mergeCell ref="M65:S65"/>
    <mergeCell ref="T66:U66"/>
    <mergeCell ref="M75:S75"/>
    <mergeCell ref="T76:U76"/>
    <mergeCell ref="T86:U86"/>
    <mergeCell ref="M95:S95"/>
    <mergeCell ref="I86:J86"/>
    <mergeCell ref="B95:H95"/>
    <mergeCell ref="T26:U26"/>
    <mergeCell ref="M35:S35"/>
    <mergeCell ref="T36:U36"/>
    <mergeCell ref="M45:S45"/>
    <mergeCell ref="T46:U46"/>
    <mergeCell ref="I26:J26"/>
    <mergeCell ref="B25:H25"/>
    <mergeCell ref="I96:J96"/>
    <mergeCell ref="M25:S25"/>
    <mergeCell ref="M55:S55"/>
    <mergeCell ref="M85:S85"/>
    <mergeCell ref="I56:J56"/>
    <mergeCell ref="B65:H65"/>
    <mergeCell ref="I66:J66"/>
    <mergeCell ref="B75:H75"/>
    <mergeCell ref="I76:J76"/>
    <mergeCell ref="B35:H35"/>
    <mergeCell ref="B85:H85"/>
    <mergeCell ref="I36:J36"/>
    <mergeCell ref="B45:H45"/>
    <mergeCell ref="I46:J46"/>
  </mergeCells>
  <hyperlinks>
    <hyperlink ref="A11" location="Contents!A1" display="Contents"/>
    <hyperlink ref="A11:B11" r:id="rId1" display="WebTAG Unit 3.3.3"/>
    <hyperlink ref="A10" location="Contents!A1" display="Contents"/>
    <hyperlink ref="A10:B10" location="Contents!A1" tooltip="Contents page" display="Contents"/>
    <hyperlink ref="A12:B12" r:id="rId2" tooltip="Unit A3  Environmental Impact Appraisal" display="WebTAG Unit A 3"/>
  </hyperlinks>
  <pageMargins left="0.75" right="0.75" top="1" bottom="1" header="0.5" footer="0.5"/>
  <pageSetup paperSize="9" orientation="portrait" r:id="rId3"/>
  <headerFooter alignWithMargins="0"/>
  <drawing r:id="rId4"/>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10"/>
  </sheetPr>
  <dimension ref="A1:AO126"/>
  <sheetViews>
    <sheetView showGridLines="0" topLeftCell="A4" zoomScale="85" zoomScaleNormal="85" workbookViewId="0">
      <selection activeCell="E23" sqref="E23:F23"/>
    </sheetView>
  </sheetViews>
  <sheetFormatPr defaultColWidth="12.88671875" defaultRowHeight="13.5" customHeight="1"/>
  <cols>
    <col min="1" max="16384" width="12.88671875" style="38"/>
  </cols>
  <sheetData>
    <row r="1" spans="1:20" ht="54.9" customHeight="1">
      <c r="A1" s="28"/>
      <c r="C1" s="28"/>
    </row>
    <row r="2" spans="1:20" s="300" customFormat="1" ht="5.0999999999999996" customHeight="1">
      <c r="D2" s="83"/>
    </row>
    <row r="3" spans="1:20" s="300" customFormat="1" ht="20.100000000000001" customHeight="1">
      <c r="A3" s="426" t="s">
        <v>2276</v>
      </c>
      <c r="B3" s="485"/>
      <c r="D3" s="46"/>
      <c r="F3" s="445"/>
      <c r="G3" s="83"/>
      <c r="H3" s="46"/>
      <c r="I3" s="83"/>
      <c r="J3" s="83"/>
      <c r="K3" s="83"/>
      <c r="L3" s="83"/>
    </row>
    <row r="4" spans="1:20" s="26" customFormat="1" ht="20.100000000000001" customHeight="1" thickBot="1">
      <c r="A4" s="529" t="s">
        <v>153</v>
      </c>
      <c r="B4" s="447"/>
      <c r="C4" s="447"/>
      <c r="D4" s="446"/>
      <c r="E4" s="446"/>
      <c r="F4" s="446"/>
      <c r="G4" s="446"/>
      <c r="H4" s="446"/>
      <c r="I4" s="446"/>
      <c r="J4" s="446"/>
      <c r="K4" s="446"/>
      <c r="L4" s="487"/>
      <c r="M4" s="446"/>
      <c r="N4" s="446"/>
      <c r="O4" s="446"/>
      <c r="P4" s="446"/>
      <c r="Q4" s="446"/>
      <c r="R4" s="446"/>
      <c r="S4" s="446"/>
      <c r="T4" s="32"/>
    </row>
    <row r="5" spans="1:20" ht="9.9" customHeight="1" thickTop="1" thickBot="1">
      <c r="A5" s="35"/>
      <c r="B5" s="321"/>
      <c r="C5" s="321"/>
      <c r="D5" s="32"/>
      <c r="F5" s="165"/>
      <c r="G5" s="13"/>
      <c r="H5" s="13"/>
      <c r="I5" s="13"/>
      <c r="J5" s="13"/>
      <c r="K5" s="13"/>
      <c r="L5" s="164"/>
      <c r="T5" s="32"/>
    </row>
    <row r="6" spans="1:20" ht="13.5" customHeight="1" thickTop="1">
      <c r="A6" s="169" t="s">
        <v>10</v>
      </c>
      <c r="B6" s="169"/>
      <c r="E6" s="3626" t="s">
        <v>255</v>
      </c>
      <c r="F6" s="3699"/>
      <c r="G6" s="3699"/>
      <c r="H6" s="3699"/>
      <c r="I6" s="3699"/>
      <c r="J6" s="3699"/>
      <c r="K6" s="3699"/>
      <c r="L6" s="3699"/>
      <c r="M6" s="3649"/>
      <c r="N6" s="3649"/>
      <c r="O6" s="3649"/>
      <c r="P6" s="3649"/>
      <c r="Q6" s="3649"/>
      <c r="R6" s="3649"/>
      <c r="S6" s="3650"/>
    </row>
    <row r="7" spans="1:20" ht="13.5" customHeight="1">
      <c r="A7" s="3644" t="str">
        <f>Audit!A12</f>
        <v>May 2019 v1.12</v>
      </c>
      <c r="B7" s="3651"/>
      <c r="D7" s="147"/>
      <c r="E7" s="43" t="s">
        <v>1451</v>
      </c>
      <c r="F7" s="3176" t="s">
        <v>2141</v>
      </c>
      <c r="G7" s="335" t="s">
        <v>1611</v>
      </c>
      <c r="H7" s="47"/>
      <c r="I7" s="26"/>
      <c r="J7" s="26"/>
      <c r="K7" s="26"/>
      <c r="L7" s="26"/>
      <c r="M7" s="26"/>
      <c r="N7" s="26"/>
      <c r="O7" s="26"/>
      <c r="P7" s="26"/>
      <c r="Q7" s="26"/>
      <c r="R7" s="26"/>
      <c r="S7" s="147"/>
    </row>
    <row r="8" spans="1:20" ht="13.5" customHeight="1">
      <c r="A8" s="3646">
        <f>Audit!C12</f>
        <v>43586</v>
      </c>
      <c r="B8" s="3651"/>
      <c r="C8" s="321"/>
      <c r="D8" s="412"/>
      <c r="E8" s="3419"/>
      <c r="F8"/>
      <c r="G8" s="26"/>
      <c r="H8" s="26"/>
      <c r="I8" s="26"/>
      <c r="J8" s="26"/>
      <c r="K8" s="26"/>
      <c r="L8" s="26"/>
      <c r="M8" s="26"/>
      <c r="N8" s="26"/>
      <c r="O8" s="26"/>
      <c r="P8" s="26"/>
      <c r="Q8" s="26"/>
      <c r="R8" s="26"/>
      <c r="S8" s="147"/>
    </row>
    <row r="9" spans="1:20" ht="13.5" customHeight="1" thickBot="1">
      <c r="A9" s="172" t="s">
        <v>14</v>
      </c>
      <c r="B9" s="173"/>
      <c r="D9" s="321"/>
      <c r="E9" s="113"/>
      <c r="F9" s="3420" t="s">
        <v>2461</v>
      </c>
      <c r="G9" s="26"/>
      <c r="I9" s="26"/>
      <c r="J9" s="26"/>
      <c r="K9" s="26"/>
      <c r="L9" s="26"/>
      <c r="M9" s="26"/>
      <c r="N9" s="26"/>
      <c r="O9" s="26"/>
      <c r="P9" s="26"/>
      <c r="Q9" s="26"/>
      <c r="R9" s="26"/>
      <c r="S9" s="147"/>
    </row>
    <row r="10" spans="1:20" ht="13.5" customHeight="1" thickBot="1">
      <c r="A10" s="3611" t="s">
        <v>1306</v>
      </c>
      <c r="B10" s="3612"/>
      <c r="D10" s="321"/>
      <c r="E10" s="113"/>
      <c r="F10" s="3420"/>
      <c r="G10" s="26"/>
      <c r="I10" s="26"/>
      <c r="J10" s="26"/>
      <c r="K10" s="26"/>
      <c r="L10" s="26"/>
      <c r="M10" s="26"/>
      <c r="N10" s="26"/>
      <c r="O10" s="26"/>
      <c r="P10" s="26"/>
      <c r="Q10" s="26"/>
      <c r="R10" s="26"/>
      <c r="S10" s="147"/>
    </row>
    <row r="11" spans="1:20" ht="13.5" customHeight="1" thickBot="1">
      <c r="A11" s="3611" t="s">
        <v>2274</v>
      </c>
      <c r="B11" s="3639"/>
      <c r="D11" s="321"/>
      <c r="E11" s="113"/>
      <c r="F11" s="3424"/>
      <c r="G11" s="53"/>
      <c r="H11" s="53"/>
      <c r="I11" s="53"/>
      <c r="J11" s="53"/>
      <c r="K11" s="53"/>
      <c r="L11" s="53"/>
      <c r="M11" s="53"/>
      <c r="N11" s="53"/>
      <c r="O11" s="53"/>
      <c r="P11" s="53"/>
      <c r="Q11" s="53"/>
      <c r="R11" s="53"/>
      <c r="S11" s="379"/>
    </row>
    <row r="12" spans="1:20" ht="13.5" customHeight="1" thickBot="1">
      <c r="A12" s="3611" t="s">
        <v>2265</v>
      </c>
      <c r="B12" s="3639"/>
      <c r="D12" s="321"/>
      <c r="E12" s="113"/>
      <c r="F12" s="3420"/>
      <c r="G12" s="26"/>
      <c r="H12" s="26"/>
      <c r="I12" s="26"/>
      <c r="J12" s="26"/>
      <c r="K12" s="26"/>
      <c r="L12" s="26"/>
      <c r="M12" s="26"/>
      <c r="N12" s="26"/>
      <c r="O12" s="26"/>
      <c r="P12" s="26"/>
      <c r="Q12" s="26"/>
      <c r="R12" s="26"/>
      <c r="S12" s="147"/>
    </row>
    <row r="13" spans="1:20" ht="13.5" customHeight="1">
      <c r="A13" s="172" t="s">
        <v>252</v>
      </c>
      <c r="B13" s="194"/>
      <c r="C13" s="321"/>
      <c r="D13" s="321"/>
      <c r="E13" s="3423"/>
      <c r="F13" s="3420"/>
      <c r="G13" s="26"/>
      <c r="H13" s="26"/>
      <c r="I13" s="26"/>
      <c r="J13" s="26"/>
      <c r="K13" s="26"/>
      <c r="L13" s="26"/>
      <c r="M13" s="26"/>
      <c r="N13" s="26"/>
      <c r="O13" s="26"/>
      <c r="P13" s="26"/>
      <c r="Q13" s="26"/>
      <c r="R13" s="26"/>
      <c r="S13" s="147"/>
    </row>
    <row r="14" spans="1:20" ht="13.5" customHeight="1">
      <c r="A14" s="56" t="s">
        <v>799</v>
      </c>
      <c r="B14" s="195">
        <f>B15</f>
        <v>2018</v>
      </c>
      <c r="C14" s="321"/>
      <c r="D14" s="321"/>
      <c r="E14" s="113"/>
      <c r="F14" s="3420"/>
      <c r="G14" s="26"/>
      <c r="H14" s="26"/>
      <c r="I14" s="26"/>
      <c r="J14" s="26"/>
      <c r="K14" s="26"/>
      <c r="L14" s="26"/>
      <c r="M14" s="26"/>
      <c r="N14" s="26"/>
      <c r="O14" s="26"/>
      <c r="P14" s="26"/>
      <c r="Q14" s="26"/>
      <c r="R14" s="26"/>
      <c r="S14" s="147"/>
    </row>
    <row r="15" spans="1:20" ht="13.5" customHeight="1">
      <c r="A15" s="38" t="s">
        <v>370</v>
      </c>
      <c r="B15" s="1221">
        <v>2018</v>
      </c>
      <c r="C15" s="321"/>
      <c r="D15" s="321"/>
      <c r="E15" s="113"/>
      <c r="F15" s="3420"/>
      <c r="G15" s="26"/>
      <c r="H15" s="26"/>
      <c r="I15" s="26"/>
      <c r="J15" s="26"/>
      <c r="K15" s="26"/>
      <c r="L15" s="26"/>
      <c r="M15" s="26"/>
      <c r="N15" s="26"/>
      <c r="O15" s="26"/>
      <c r="P15" s="26"/>
      <c r="Q15" s="26"/>
      <c r="R15" s="26"/>
      <c r="S15" s="147"/>
    </row>
    <row r="16" spans="1:20" ht="13.5" customHeight="1">
      <c r="C16" s="321"/>
      <c r="D16" s="321"/>
      <c r="E16" s="113"/>
      <c r="F16" s="3420"/>
      <c r="G16" s="26"/>
      <c r="H16" s="26"/>
      <c r="I16" s="26"/>
      <c r="J16" s="26"/>
      <c r="K16" s="26"/>
      <c r="L16" s="26"/>
      <c r="M16" s="26"/>
      <c r="N16" s="26"/>
      <c r="O16" s="26"/>
      <c r="P16" s="26"/>
      <c r="Q16" s="26"/>
      <c r="R16" s="26"/>
      <c r="S16" s="147"/>
    </row>
    <row r="17" spans="1:41" ht="13.5" customHeight="1">
      <c r="A17" s="169" t="s">
        <v>253</v>
      </c>
      <c r="B17" s="170"/>
      <c r="C17" s="321"/>
      <c r="D17" s="321"/>
      <c r="E17" s="207"/>
      <c r="F17" s="3420"/>
      <c r="G17" s="26"/>
      <c r="H17" s="26"/>
      <c r="I17" s="26"/>
      <c r="J17" s="26"/>
      <c r="K17" s="26"/>
      <c r="L17" s="26"/>
      <c r="M17" s="26"/>
      <c r="N17" s="26"/>
      <c r="O17" s="26"/>
      <c r="P17" s="26"/>
      <c r="Q17" s="26"/>
      <c r="R17" s="26"/>
      <c r="S17" s="147"/>
    </row>
    <row r="18" spans="1:41" ht="13.5" customHeight="1">
      <c r="A18" s="3615"/>
      <c r="B18" s="3615"/>
      <c r="C18" s="321"/>
      <c r="D18" s="321"/>
      <c r="E18" s="113"/>
      <c r="F18" s="3420"/>
      <c r="G18" s="26"/>
      <c r="H18" s="26"/>
      <c r="I18" s="26"/>
      <c r="J18" s="26"/>
      <c r="K18" s="26"/>
      <c r="L18" s="26"/>
      <c r="M18" s="26"/>
      <c r="N18" s="26"/>
      <c r="O18" s="26"/>
      <c r="P18" s="26"/>
      <c r="Q18" s="26"/>
      <c r="R18" s="26"/>
      <c r="S18" s="147"/>
    </row>
    <row r="19" spans="1:41" ht="13.5" customHeight="1">
      <c r="A19" s="3615"/>
      <c r="B19" s="3615"/>
      <c r="C19" s="321"/>
      <c r="D19" s="321"/>
      <c r="E19" s="623" t="s">
        <v>2369</v>
      </c>
      <c r="F19" s="599"/>
      <c r="G19" s="26"/>
      <c r="H19" s="26"/>
      <c r="I19" s="26"/>
      <c r="J19" s="26"/>
      <c r="K19" s="26"/>
      <c r="L19" s="26"/>
      <c r="M19" s="26"/>
      <c r="N19" s="26"/>
      <c r="O19" s="26"/>
      <c r="P19" s="26"/>
      <c r="Q19" s="26"/>
      <c r="R19" s="26"/>
      <c r="S19" s="147"/>
    </row>
    <row r="20" spans="1:41" ht="13.5" customHeight="1" thickBot="1">
      <c r="A20" s="3615"/>
      <c r="B20" s="3615"/>
      <c r="C20" s="321"/>
      <c r="D20" s="412"/>
      <c r="E20" s="381" t="s">
        <v>2277</v>
      </c>
      <c r="F20" s="163"/>
      <c r="G20" s="163"/>
      <c r="H20" s="163"/>
      <c r="I20" s="163"/>
      <c r="J20" s="163"/>
      <c r="K20" s="163"/>
      <c r="L20" s="163"/>
      <c r="M20" s="163"/>
      <c r="N20" s="163"/>
      <c r="O20" s="163"/>
      <c r="P20" s="163"/>
      <c r="Q20" s="163"/>
      <c r="R20" s="163"/>
      <c r="S20" s="382"/>
    </row>
    <row r="21" spans="1:41" ht="13.5" customHeight="1" thickTop="1">
      <c r="A21" s="35"/>
      <c r="B21" s="321"/>
      <c r="C21" s="321"/>
      <c r="D21" s="32"/>
      <c r="F21" s="31"/>
      <c r="L21" s="32"/>
      <c r="T21" s="32"/>
    </row>
    <row r="22" spans="1:41" ht="13.5" customHeight="1" thickBot="1">
      <c r="A22" s="28" t="s">
        <v>2278</v>
      </c>
      <c r="K22" s="29"/>
      <c r="L22" s="26"/>
      <c r="M22" s="26"/>
      <c r="N22" s="26"/>
      <c r="O22" s="26"/>
      <c r="P22" s="26"/>
      <c r="Q22" s="26"/>
      <c r="R22" s="26"/>
      <c r="S22" s="26"/>
      <c r="T22" s="26"/>
      <c r="U22" s="26"/>
      <c r="V22" s="26"/>
      <c r="W22" s="26"/>
      <c r="X22" s="26"/>
      <c r="Y22" s="26"/>
    </row>
    <row r="23" spans="1:41" ht="13.5" customHeight="1" thickTop="1">
      <c r="A23" s="680" t="s">
        <v>1342</v>
      </c>
      <c r="B23" s="1033"/>
      <c r="C23" s="1033"/>
      <c r="D23" s="1033"/>
      <c r="E23" s="1033"/>
      <c r="F23" s="1033"/>
      <c r="G23" s="1033"/>
      <c r="H23" s="1033"/>
      <c r="I23" s="850"/>
      <c r="J23" s="2869" t="s">
        <v>1751</v>
      </c>
      <c r="K23" s="1033"/>
      <c r="L23" s="1033"/>
      <c r="M23" s="1998"/>
      <c r="N23" s="1998"/>
      <c r="O23" s="1998"/>
      <c r="P23" s="1998"/>
      <c r="Q23" s="1998"/>
      <c r="R23" s="26"/>
      <c r="S23" s="35"/>
      <c r="T23" s="1007"/>
      <c r="U23" s="1007"/>
      <c r="V23" s="1007"/>
      <c r="W23" s="1007"/>
      <c r="X23" s="1007"/>
      <c r="Y23" s="1007"/>
      <c r="AI23" s="26"/>
      <c r="AJ23" s="26"/>
      <c r="AK23" s="26"/>
      <c r="AL23" s="26"/>
      <c r="AM23" s="26"/>
      <c r="AN23" s="26"/>
      <c r="AO23" s="26"/>
    </row>
    <row r="24" spans="1:41" s="26" customFormat="1" ht="13.5" customHeight="1" thickBot="1">
      <c r="A24" s="1314" t="str">
        <f>"expressed in "&amp;B14&amp;" prices"</f>
        <v>expressed in 2018 prices</v>
      </c>
      <c r="B24" s="749"/>
      <c r="C24" s="749"/>
      <c r="D24" s="527"/>
      <c r="E24" s="527"/>
      <c r="F24" s="527"/>
      <c r="G24" s="527"/>
      <c r="H24" s="527"/>
      <c r="I24" s="1057"/>
      <c r="J24" s="3020">
        <f>'User Parameters'!L13</f>
        <v>2010</v>
      </c>
      <c r="K24" s="2868" t="s">
        <v>1514</v>
      </c>
      <c r="L24" s="527"/>
      <c r="M24" s="1998"/>
      <c r="N24" s="1998"/>
      <c r="O24" s="1998"/>
      <c r="P24" s="1998"/>
      <c r="Q24" s="1998"/>
      <c r="S24" s="2131"/>
      <c r="T24" s="1007"/>
      <c r="U24" s="1007"/>
      <c r="V24" s="1007"/>
      <c r="W24" s="1007"/>
      <c r="X24" s="1007"/>
      <c r="Y24" s="1007"/>
    </row>
    <row r="25" spans="1:41" ht="13.5" customHeight="1" thickTop="1" thickBot="1">
      <c r="A25" s="99"/>
      <c r="B25" s="1040"/>
      <c r="C25" s="438"/>
      <c r="D25" s="1041" t="s">
        <v>660</v>
      </c>
      <c r="E25" s="1041"/>
      <c r="F25" s="1042"/>
      <c r="G25" s="1043" t="s">
        <v>661</v>
      </c>
      <c r="H25" s="1041"/>
      <c r="I25" s="1044"/>
      <c r="J25" s="1041" t="s">
        <v>660</v>
      </c>
      <c r="K25" s="1041"/>
      <c r="L25" s="1042"/>
      <c r="M25" s="2118"/>
      <c r="N25" s="2118"/>
      <c r="O25" s="2118"/>
      <c r="P25" s="2118"/>
      <c r="Q25" s="2118"/>
      <c r="R25" s="26"/>
      <c r="S25" s="1998"/>
      <c r="T25" s="35"/>
      <c r="U25" s="35"/>
      <c r="V25" s="35"/>
      <c r="W25" s="35"/>
      <c r="X25" s="35"/>
      <c r="Y25" s="35"/>
      <c r="AA25" s="2118"/>
      <c r="AB25" s="2118"/>
      <c r="AC25" s="2118"/>
      <c r="AD25" s="2118"/>
      <c r="AE25" s="2118"/>
      <c r="AF25" s="2118"/>
      <c r="AG25" s="2118"/>
      <c r="AI25" s="2118"/>
      <c r="AJ25" s="2118"/>
      <c r="AK25" s="2118"/>
      <c r="AL25" s="2118"/>
      <c r="AM25" s="2118"/>
      <c r="AN25" s="2118"/>
      <c r="AO25" s="2118"/>
    </row>
    <row r="26" spans="1:41" ht="13.5" customHeight="1" thickBot="1">
      <c r="A26" s="1015" t="s">
        <v>1450</v>
      </c>
      <c r="B26" s="1315"/>
      <c r="C26" s="472"/>
      <c r="D26" s="659" t="s">
        <v>1481</v>
      </c>
      <c r="E26" s="659" t="s">
        <v>656</v>
      </c>
      <c r="F26" s="1039" t="s">
        <v>1482</v>
      </c>
      <c r="G26" s="659" t="s">
        <v>1481</v>
      </c>
      <c r="H26" s="659" t="s">
        <v>656</v>
      </c>
      <c r="I26" s="393" t="s">
        <v>1482</v>
      </c>
      <c r="J26" s="659" t="s">
        <v>1481</v>
      </c>
      <c r="K26" s="659" t="s">
        <v>656</v>
      </c>
      <c r="L26" s="1039" t="s">
        <v>1482</v>
      </c>
      <c r="M26" s="714"/>
      <c r="N26" s="714"/>
      <c r="O26" s="714"/>
      <c r="P26" s="714"/>
      <c r="Q26" s="714"/>
      <c r="R26" s="26"/>
      <c r="S26" s="120"/>
      <c r="T26" s="32"/>
      <c r="U26" s="32"/>
      <c r="V26" s="32"/>
      <c r="W26" s="32"/>
      <c r="X26" s="32"/>
      <c r="Y26" s="32"/>
      <c r="AA26" s="2118"/>
      <c r="AB26" s="714"/>
      <c r="AC26" s="714"/>
      <c r="AD26" s="714"/>
      <c r="AE26" s="714"/>
      <c r="AF26" s="714"/>
      <c r="AG26" s="714"/>
      <c r="AI26" s="2118"/>
      <c r="AJ26" s="714"/>
      <c r="AK26" s="714"/>
      <c r="AL26" s="714"/>
      <c r="AM26" s="714"/>
      <c r="AN26" s="714"/>
      <c r="AO26" s="714"/>
    </row>
    <row r="27" spans="1:41" ht="13.5" customHeight="1" thickTop="1">
      <c r="A27" s="793"/>
      <c r="B27" s="2341">
        <v>2010</v>
      </c>
      <c r="C27" s="380"/>
      <c r="D27" s="2124">
        <v>14</v>
      </c>
      <c r="E27" s="2125">
        <v>14</v>
      </c>
      <c r="F27" s="2126">
        <v>14</v>
      </c>
      <c r="G27" s="2125">
        <v>30</v>
      </c>
      <c r="H27" s="2125">
        <v>60</v>
      </c>
      <c r="I27" s="415">
        <v>90</v>
      </c>
      <c r="J27" s="2702">
        <f>D27*VLOOKUP($J$24,'Annual Parameters'!$B$33:$D$143,3,0)/VLOOKUP($B$14,'Annual Parameters'!$B$33:$D$143,3,0)</f>
        <v>12.228229999999998</v>
      </c>
      <c r="K27" s="2703">
        <f>E27*VLOOKUP($J$24,'Annual Parameters'!$B$33:$D$143,3,0)/VLOOKUP($B$14,'Annual Parameters'!$B$33:$D$143,3,0)</f>
        <v>12.228229999999998</v>
      </c>
      <c r="L27" s="2704">
        <f>F27*VLOOKUP($J$24,'Annual Parameters'!$B$33:$D$143,3,0)/VLOOKUP($B$14,'Annual Parameters'!$B$33:$D$143,3,0)</f>
        <v>12.228229999999998</v>
      </c>
      <c r="M27" s="2122"/>
      <c r="N27" s="2122"/>
      <c r="O27" s="2122"/>
      <c r="P27" s="2122"/>
      <c r="Q27" s="2122"/>
      <c r="R27" s="26"/>
      <c r="S27" s="2370"/>
      <c r="T27" s="2370"/>
      <c r="U27" s="2370"/>
      <c r="V27" s="2370"/>
      <c r="W27" s="2370"/>
      <c r="X27" s="2370"/>
      <c r="Y27" s="65"/>
      <c r="AA27" s="2119"/>
      <c r="AB27" s="2122"/>
      <c r="AC27" s="2122"/>
      <c r="AD27" s="2122"/>
      <c r="AE27" s="2122"/>
      <c r="AF27" s="2122"/>
      <c r="AG27" s="2122"/>
      <c r="AI27" s="2119"/>
      <c r="AJ27" s="2120"/>
      <c r="AK27" s="2120"/>
      <c r="AL27" s="2120"/>
      <c r="AM27" s="2120"/>
      <c r="AN27" s="2120"/>
      <c r="AO27" s="2120"/>
    </row>
    <row r="28" spans="1:41" ht="13.5" customHeight="1">
      <c r="A28" s="113"/>
      <c r="B28" s="442">
        <f>B27+1</f>
        <v>2011</v>
      </c>
      <c r="C28" s="147"/>
      <c r="D28" s="2124">
        <v>13</v>
      </c>
      <c r="E28" s="2125">
        <v>13</v>
      </c>
      <c r="F28" s="2126">
        <v>13</v>
      </c>
      <c r="G28" s="2125">
        <v>30</v>
      </c>
      <c r="H28" s="2125">
        <v>61</v>
      </c>
      <c r="I28" s="415">
        <v>91</v>
      </c>
      <c r="J28" s="2702">
        <f>D28*VLOOKUP($J$24,'Annual Parameters'!$B$33:$D$143,3,0)/VLOOKUP($B$14,'Annual Parameters'!$B$33:$D$143,3,0)</f>
        <v>11.354785</v>
      </c>
      <c r="K28" s="2703">
        <f>E28*VLOOKUP($J$24,'Annual Parameters'!$B$33:$D$143,3,0)/VLOOKUP($B$14,'Annual Parameters'!$B$33:$D$143,3,0)</f>
        <v>11.354785</v>
      </c>
      <c r="L28" s="2704">
        <f>F28*VLOOKUP($J$24,'Annual Parameters'!$B$33:$D$143,3,0)/VLOOKUP($B$14,'Annual Parameters'!$B$33:$D$143,3,0)</f>
        <v>11.354785</v>
      </c>
      <c r="M28" s="2122"/>
      <c r="N28" s="2122"/>
      <c r="O28" s="2122"/>
      <c r="P28" s="2122"/>
      <c r="Q28" s="2122"/>
      <c r="R28" s="26"/>
      <c r="S28" s="2370"/>
      <c r="T28" s="2370"/>
      <c r="U28" s="2370"/>
      <c r="V28" s="2370"/>
      <c r="W28" s="2370"/>
      <c r="X28" s="2370"/>
      <c r="Y28" s="65"/>
      <c r="AA28" s="2119"/>
      <c r="AB28" s="2122"/>
      <c r="AC28" s="2122"/>
      <c r="AD28" s="2122"/>
      <c r="AE28" s="2122"/>
      <c r="AF28" s="2122"/>
      <c r="AG28" s="2122"/>
      <c r="AI28" s="2119"/>
      <c r="AJ28" s="2120"/>
      <c r="AK28" s="2120"/>
      <c r="AL28" s="2120"/>
      <c r="AM28" s="2120"/>
      <c r="AN28" s="2120"/>
      <c r="AO28" s="2120"/>
    </row>
    <row r="29" spans="1:41" ht="13.5" customHeight="1">
      <c r="A29" s="113"/>
      <c r="B29" s="442">
        <f t="shared" ref="B29:B92" si="0">B28+1</f>
        <v>2012</v>
      </c>
      <c r="C29" s="147"/>
      <c r="D29" s="2124">
        <v>7</v>
      </c>
      <c r="E29" s="2125">
        <v>7</v>
      </c>
      <c r="F29" s="2126">
        <v>7</v>
      </c>
      <c r="G29" s="2125">
        <v>31</v>
      </c>
      <c r="H29" s="2125">
        <v>61</v>
      </c>
      <c r="I29" s="415">
        <v>92</v>
      </c>
      <c r="J29" s="2702">
        <f>D29*VLOOKUP($J$24,'Annual Parameters'!$B$33:$D$143,3,0)/VLOOKUP($B$14,'Annual Parameters'!$B$33:$D$143,3,0)</f>
        <v>6.1141149999999991</v>
      </c>
      <c r="K29" s="2703">
        <f>E29*VLOOKUP($J$24,'Annual Parameters'!$B$33:$D$143,3,0)/VLOOKUP($B$14,'Annual Parameters'!$B$33:$D$143,3,0)</f>
        <v>6.1141149999999991</v>
      </c>
      <c r="L29" s="2704">
        <f>F29*VLOOKUP($J$24,'Annual Parameters'!$B$33:$D$143,3,0)/VLOOKUP($B$14,'Annual Parameters'!$B$33:$D$143,3,0)</f>
        <v>6.1141149999999991</v>
      </c>
      <c r="M29" s="2122"/>
      <c r="N29" s="2122"/>
      <c r="O29" s="2122"/>
      <c r="P29" s="2122"/>
      <c r="Q29" s="2122"/>
      <c r="R29" s="26"/>
      <c r="S29" s="2370"/>
      <c r="T29" s="2370"/>
      <c r="U29" s="2370"/>
      <c r="V29" s="2370"/>
      <c r="W29" s="2370"/>
      <c r="X29" s="2370"/>
      <c r="Y29" s="65"/>
      <c r="AA29" s="2119"/>
      <c r="AB29" s="2122"/>
      <c r="AC29" s="2122"/>
      <c r="AD29" s="2122"/>
      <c r="AE29" s="2122"/>
      <c r="AF29" s="2122"/>
      <c r="AG29" s="2122"/>
      <c r="AI29" s="2119"/>
      <c r="AJ29" s="2120"/>
      <c r="AK29" s="2120"/>
      <c r="AL29" s="2120"/>
      <c r="AM29" s="2120"/>
      <c r="AN29" s="2120"/>
      <c r="AO29" s="2120"/>
    </row>
    <row r="30" spans="1:41" ht="13.5" customHeight="1">
      <c r="A30" s="113"/>
      <c r="B30" s="442">
        <f t="shared" si="0"/>
        <v>2013</v>
      </c>
      <c r="C30" s="147"/>
      <c r="D30" s="2124">
        <v>4</v>
      </c>
      <c r="E30" s="2125">
        <v>4</v>
      </c>
      <c r="F30" s="2126">
        <v>4</v>
      </c>
      <c r="G30" s="2125">
        <v>31</v>
      </c>
      <c r="H30" s="2125">
        <v>62</v>
      </c>
      <c r="I30" s="415">
        <v>94</v>
      </c>
      <c r="J30" s="2702">
        <f>D30*VLOOKUP($J$24,'Annual Parameters'!$B$33:$D$143,3,0)/VLOOKUP($B$14,'Annual Parameters'!$B$33:$D$143,3,0)</f>
        <v>3.4937799999999997</v>
      </c>
      <c r="K30" s="2703">
        <f>E30*VLOOKUP($J$24,'Annual Parameters'!$B$33:$D$143,3,0)/VLOOKUP($B$14,'Annual Parameters'!$B$33:$D$143,3,0)</f>
        <v>3.4937799999999997</v>
      </c>
      <c r="L30" s="2704">
        <f>F30*VLOOKUP($J$24,'Annual Parameters'!$B$33:$D$143,3,0)/VLOOKUP($B$14,'Annual Parameters'!$B$33:$D$143,3,0)</f>
        <v>3.4937799999999997</v>
      </c>
      <c r="M30" s="2122"/>
      <c r="N30" s="2122"/>
      <c r="O30" s="2122"/>
      <c r="P30" s="2122"/>
      <c r="Q30" s="2122"/>
      <c r="R30" s="26"/>
      <c r="S30" s="2370"/>
      <c r="T30" s="2370"/>
      <c r="U30" s="2370"/>
      <c r="V30" s="2370"/>
      <c r="W30" s="2370"/>
      <c r="X30" s="2370"/>
      <c r="Y30" s="65"/>
      <c r="AA30" s="2119"/>
      <c r="AB30" s="2122"/>
      <c r="AC30" s="2122"/>
      <c r="AD30" s="2122"/>
      <c r="AE30" s="2122"/>
      <c r="AF30" s="2122"/>
      <c r="AG30" s="2122"/>
      <c r="AI30" s="2119"/>
      <c r="AJ30" s="2120"/>
      <c r="AK30" s="2120"/>
      <c r="AL30" s="2120"/>
      <c r="AM30" s="2120"/>
      <c r="AN30" s="2120"/>
      <c r="AO30" s="2120"/>
    </row>
    <row r="31" spans="1:41" ht="13.5" customHeight="1">
      <c r="A31" s="113"/>
      <c r="B31" s="442">
        <f t="shared" si="0"/>
        <v>2014</v>
      </c>
      <c r="C31" s="147"/>
      <c r="D31" s="2124">
        <v>5</v>
      </c>
      <c r="E31" s="2125">
        <v>5</v>
      </c>
      <c r="F31" s="2126">
        <v>5</v>
      </c>
      <c r="G31" s="2125">
        <v>32</v>
      </c>
      <c r="H31" s="2125">
        <v>63</v>
      </c>
      <c r="I31" s="415">
        <v>95</v>
      </c>
      <c r="J31" s="2702">
        <f>D31*VLOOKUP($J$24,'Annual Parameters'!$B$33:$D$143,3,0)/VLOOKUP($B$14,'Annual Parameters'!$B$33:$D$143,3,0)</f>
        <v>4.3672249999999995</v>
      </c>
      <c r="K31" s="2703">
        <f>E31*VLOOKUP($J$24,'Annual Parameters'!$B$33:$D$143,3,0)/VLOOKUP($B$14,'Annual Parameters'!$B$33:$D$143,3,0)</f>
        <v>4.3672249999999995</v>
      </c>
      <c r="L31" s="2704">
        <f>F31*VLOOKUP($J$24,'Annual Parameters'!$B$33:$D$143,3,0)/VLOOKUP($B$14,'Annual Parameters'!$B$33:$D$143,3,0)</f>
        <v>4.3672249999999995</v>
      </c>
      <c r="M31" s="2122"/>
      <c r="N31" s="2122"/>
      <c r="O31" s="2122"/>
      <c r="P31" s="2122"/>
      <c r="Q31" s="2122"/>
      <c r="R31" s="26"/>
      <c r="S31" s="2370"/>
      <c r="T31" s="2370"/>
      <c r="U31" s="2370"/>
      <c r="V31" s="2370"/>
      <c r="W31" s="2370"/>
      <c r="X31" s="2370"/>
      <c r="Y31" s="65"/>
      <c r="AA31" s="2119"/>
      <c r="AB31" s="2122"/>
      <c r="AC31" s="2122"/>
      <c r="AD31" s="2122"/>
      <c r="AE31" s="2122"/>
      <c r="AF31" s="2122"/>
      <c r="AG31" s="2122"/>
      <c r="AI31" s="2119"/>
      <c r="AJ31" s="2120"/>
      <c r="AK31" s="2120"/>
      <c r="AL31" s="2120"/>
      <c r="AM31" s="2120"/>
      <c r="AN31" s="2120"/>
      <c r="AO31" s="2120"/>
    </row>
    <row r="32" spans="1:41" ht="13.5" customHeight="1">
      <c r="A32" s="113"/>
      <c r="B32" s="442">
        <f t="shared" si="0"/>
        <v>2015</v>
      </c>
      <c r="C32" s="147"/>
      <c r="D32" s="2124">
        <v>6</v>
      </c>
      <c r="E32" s="2125">
        <v>6</v>
      </c>
      <c r="F32" s="2126">
        <v>6</v>
      </c>
      <c r="G32" s="2125">
        <v>32</v>
      </c>
      <c r="H32" s="2125">
        <v>64</v>
      </c>
      <c r="I32" s="415">
        <v>96</v>
      </c>
      <c r="J32" s="2702">
        <f>D32*VLOOKUP($J$24,'Annual Parameters'!$B$33:$D$143,3,0)/VLOOKUP($B$14,'Annual Parameters'!$B$33:$D$143,3,0)</f>
        <v>5.2406699999999997</v>
      </c>
      <c r="K32" s="2703">
        <f>E32*VLOOKUP($J$24,'Annual Parameters'!$B$33:$D$143,3,0)/VLOOKUP($B$14,'Annual Parameters'!$B$33:$D$143,3,0)</f>
        <v>5.2406699999999997</v>
      </c>
      <c r="L32" s="2704">
        <f>F32*VLOOKUP($J$24,'Annual Parameters'!$B$33:$D$143,3,0)/VLOOKUP($B$14,'Annual Parameters'!$B$33:$D$143,3,0)</f>
        <v>5.2406699999999997</v>
      </c>
      <c r="M32" s="2122"/>
      <c r="N32" s="2122"/>
      <c r="O32" s="2122"/>
      <c r="P32" s="2122"/>
      <c r="Q32" s="2122"/>
      <c r="R32" s="26"/>
      <c r="S32" s="2370"/>
      <c r="T32" s="2370"/>
      <c r="U32" s="2370"/>
      <c r="V32" s="2370"/>
      <c r="W32" s="2370"/>
      <c r="X32" s="2370"/>
      <c r="Y32" s="65"/>
      <c r="AA32" s="2119"/>
      <c r="AB32" s="2122"/>
      <c r="AC32" s="2122"/>
      <c r="AD32" s="2122"/>
      <c r="AE32" s="2122"/>
      <c r="AF32" s="2122"/>
      <c r="AG32" s="2122"/>
      <c r="AI32" s="2119"/>
      <c r="AJ32" s="2120"/>
      <c r="AK32" s="2120"/>
      <c r="AL32" s="2120"/>
      <c r="AM32" s="2120"/>
      <c r="AN32" s="2120"/>
      <c r="AO32" s="2120"/>
    </row>
    <row r="33" spans="1:41" ht="13.5" customHeight="1">
      <c r="A33" s="113"/>
      <c r="B33" s="442">
        <f t="shared" si="0"/>
        <v>2016</v>
      </c>
      <c r="C33" s="147"/>
      <c r="D33" s="2124">
        <v>5</v>
      </c>
      <c r="E33" s="2125">
        <v>5</v>
      </c>
      <c r="F33" s="2126">
        <v>5</v>
      </c>
      <c r="G33" s="2125">
        <v>33</v>
      </c>
      <c r="H33" s="2125">
        <v>65</v>
      </c>
      <c r="I33" s="415">
        <v>98</v>
      </c>
      <c r="J33" s="2702">
        <f>D33*VLOOKUP($J$24,'Annual Parameters'!$B$33:$D$143,3,0)/VLOOKUP($B$14,'Annual Parameters'!$B$33:$D$143,3,0)</f>
        <v>4.3672249999999995</v>
      </c>
      <c r="K33" s="2703">
        <f>E33*VLOOKUP($J$24,'Annual Parameters'!$B$33:$D$143,3,0)/VLOOKUP($B$14,'Annual Parameters'!$B$33:$D$143,3,0)</f>
        <v>4.3672249999999995</v>
      </c>
      <c r="L33" s="2704">
        <f>F33*VLOOKUP($J$24,'Annual Parameters'!$B$33:$D$143,3,0)/VLOOKUP($B$14,'Annual Parameters'!$B$33:$D$143,3,0)</f>
        <v>4.3672249999999995</v>
      </c>
      <c r="M33" s="2122"/>
      <c r="N33" s="2122"/>
      <c r="O33" s="2122"/>
      <c r="P33" s="2122"/>
      <c r="Q33" s="2122"/>
      <c r="R33" s="26"/>
      <c r="S33" s="2370"/>
      <c r="T33" s="2370"/>
      <c r="U33" s="2370"/>
      <c r="V33" s="2370"/>
      <c r="W33" s="2370"/>
      <c r="X33" s="2370"/>
      <c r="Y33" s="65"/>
      <c r="AA33" s="2119"/>
      <c r="AB33" s="2122"/>
      <c r="AC33" s="2122"/>
      <c r="AD33" s="2122"/>
      <c r="AE33" s="2122"/>
      <c r="AF33" s="2122"/>
      <c r="AG33" s="2122"/>
      <c r="AI33" s="2119"/>
      <c r="AJ33" s="2120"/>
      <c r="AK33" s="2120"/>
      <c r="AL33" s="2120"/>
      <c r="AM33" s="2120"/>
      <c r="AN33" s="2120"/>
      <c r="AO33" s="2120"/>
    </row>
    <row r="34" spans="1:41" ht="13.5" customHeight="1">
      <c r="A34" s="113"/>
      <c r="B34" s="442">
        <f t="shared" si="0"/>
        <v>2017</v>
      </c>
      <c r="C34" s="147"/>
      <c r="D34" s="2124">
        <v>5</v>
      </c>
      <c r="E34" s="2125">
        <v>5</v>
      </c>
      <c r="F34" s="2126">
        <v>5</v>
      </c>
      <c r="G34" s="2125">
        <v>33</v>
      </c>
      <c r="H34" s="2125">
        <v>66</v>
      </c>
      <c r="I34" s="415">
        <v>99</v>
      </c>
      <c r="J34" s="2702">
        <f>D34*VLOOKUP($J$24,'Annual Parameters'!$B$33:$D$143,3,0)/VLOOKUP($B$14,'Annual Parameters'!$B$33:$D$143,3,0)</f>
        <v>4.3672249999999995</v>
      </c>
      <c r="K34" s="2703">
        <f>E34*VLOOKUP($J$24,'Annual Parameters'!$B$33:$D$143,3,0)/VLOOKUP($B$14,'Annual Parameters'!$B$33:$D$143,3,0)</f>
        <v>4.3672249999999995</v>
      </c>
      <c r="L34" s="2704">
        <f>F34*VLOOKUP($J$24,'Annual Parameters'!$B$33:$D$143,3,0)/VLOOKUP($B$14,'Annual Parameters'!$B$33:$D$143,3,0)</f>
        <v>4.3672249999999995</v>
      </c>
      <c r="M34" s="2122"/>
      <c r="N34" s="2122"/>
      <c r="O34" s="2122"/>
      <c r="P34" s="2122"/>
      <c r="Q34" s="2122"/>
      <c r="R34" s="26"/>
      <c r="S34" s="2370"/>
      <c r="T34" s="2370"/>
      <c r="U34" s="2370"/>
      <c r="V34" s="2370"/>
      <c r="W34" s="2370"/>
      <c r="X34" s="2370"/>
      <c r="Y34" s="65"/>
      <c r="AA34" s="2119"/>
      <c r="AB34" s="2122"/>
      <c r="AC34" s="2122"/>
      <c r="AD34" s="2122"/>
      <c r="AE34" s="2122"/>
      <c r="AF34" s="2122"/>
      <c r="AG34" s="2122"/>
      <c r="AI34" s="2119"/>
      <c r="AJ34" s="2120"/>
      <c r="AK34" s="2120"/>
      <c r="AL34" s="2120"/>
      <c r="AM34" s="2120"/>
      <c r="AN34" s="2120"/>
      <c r="AO34" s="2120"/>
    </row>
    <row r="35" spans="1:41" ht="13.5" customHeight="1">
      <c r="A35" s="113"/>
      <c r="B35" s="442">
        <f t="shared" si="0"/>
        <v>2018</v>
      </c>
      <c r="C35" s="147"/>
      <c r="D35" s="2124">
        <v>2</v>
      </c>
      <c r="E35" s="2125">
        <v>13</v>
      </c>
      <c r="F35" s="2126">
        <v>26</v>
      </c>
      <c r="G35" s="2125">
        <v>34</v>
      </c>
      <c r="H35" s="2125">
        <v>67</v>
      </c>
      <c r="I35" s="415">
        <v>101</v>
      </c>
      <c r="J35" s="2702">
        <f>D35*VLOOKUP($J$24,'Annual Parameters'!$B$33:$D$143,3,0)/VLOOKUP($B$14,'Annual Parameters'!$B$33:$D$143,3,0)</f>
        <v>1.7468899999999998</v>
      </c>
      <c r="K35" s="2703">
        <f>E35*VLOOKUP($J$24,'Annual Parameters'!$B$33:$D$143,3,0)/VLOOKUP($B$14,'Annual Parameters'!$B$33:$D$143,3,0)</f>
        <v>11.354785</v>
      </c>
      <c r="L35" s="2704">
        <f>F35*VLOOKUP($J$24,'Annual Parameters'!$B$33:$D$143,3,0)/VLOOKUP($B$14,'Annual Parameters'!$B$33:$D$143,3,0)</f>
        <v>22.709569999999999</v>
      </c>
      <c r="M35" s="2122"/>
      <c r="N35" s="2122"/>
      <c r="O35" s="2122"/>
      <c r="P35" s="2122"/>
      <c r="Q35" s="2122"/>
      <c r="R35" s="26"/>
      <c r="S35" s="2370"/>
      <c r="T35" s="2370"/>
      <c r="U35" s="2370"/>
      <c r="V35" s="2370"/>
      <c r="W35" s="2370"/>
      <c r="X35" s="2370"/>
      <c r="Y35" s="65"/>
      <c r="AA35" s="2119"/>
      <c r="AB35" s="2122"/>
      <c r="AC35" s="2122"/>
      <c r="AD35" s="2122"/>
      <c r="AE35" s="2122"/>
      <c r="AF35" s="2122"/>
      <c r="AG35" s="2122"/>
      <c r="AI35" s="2119"/>
      <c r="AJ35" s="2120"/>
      <c r="AK35" s="2120"/>
      <c r="AL35" s="2120"/>
      <c r="AM35" s="2120"/>
      <c r="AN35" s="2120"/>
      <c r="AO35" s="2120"/>
    </row>
    <row r="36" spans="1:41" ht="13.5" customHeight="1">
      <c r="A36" s="113"/>
      <c r="B36" s="442">
        <f t="shared" si="0"/>
        <v>2019</v>
      </c>
      <c r="C36" s="147"/>
      <c r="D36" s="2124">
        <v>0</v>
      </c>
      <c r="E36" s="2125">
        <v>13</v>
      </c>
      <c r="F36" s="2126">
        <v>26</v>
      </c>
      <c r="G36" s="2125">
        <v>34</v>
      </c>
      <c r="H36" s="2125">
        <v>68</v>
      </c>
      <c r="I36" s="415">
        <v>102</v>
      </c>
      <c r="J36" s="2702">
        <f>D36*VLOOKUP($J$24,'Annual Parameters'!$B$33:$D$143,3,0)/VLOOKUP($B$14,'Annual Parameters'!$B$33:$D$143,3,0)</f>
        <v>0</v>
      </c>
      <c r="K36" s="2703">
        <f>E36*VLOOKUP($J$24,'Annual Parameters'!$B$33:$D$143,3,0)/VLOOKUP($B$14,'Annual Parameters'!$B$33:$D$143,3,0)</f>
        <v>11.354785</v>
      </c>
      <c r="L36" s="2704">
        <f>F36*VLOOKUP($J$24,'Annual Parameters'!$B$33:$D$143,3,0)/VLOOKUP($B$14,'Annual Parameters'!$B$33:$D$143,3,0)</f>
        <v>22.709569999999999</v>
      </c>
      <c r="M36" s="2122"/>
      <c r="N36" s="2122"/>
      <c r="O36" s="2122"/>
      <c r="P36" s="2122"/>
      <c r="Q36" s="2122"/>
      <c r="R36" s="26"/>
      <c r="S36" s="2370"/>
      <c r="T36" s="2370"/>
      <c r="U36" s="2370"/>
      <c r="V36" s="2370"/>
      <c r="W36" s="2370"/>
      <c r="X36" s="2370"/>
      <c r="Y36" s="65"/>
      <c r="AA36" s="2119"/>
      <c r="AB36" s="2122"/>
      <c r="AC36" s="2122"/>
      <c r="AD36" s="2122"/>
      <c r="AE36" s="2122"/>
      <c r="AF36" s="2122"/>
      <c r="AG36" s="2122"/>
      <c r="AI36" s="2119"/>
      <c r="AJ36" s="2120"/>
      <c r="AK36" s="2120"/>
      <c r="AL36" s="2120"/>
      <c r="AM36" s="2120"/>
      <c r="AN36" s="2120"/>
      <c r="AO36" s="2120"/>
    </row>
    <row r="37" spans="1:41" ht="13.5" customHeight="1">
      <c r="A37" s="113"/>
      <c r="B37" s="442">
        <f t="shared" si="0"/>
        <v>2020</v>
      </c>
      <c r="C37" s="147"/>
      <c r="D37" s="2124">
        <v>0</v>
      </c>
      <c r="E37" s="2125">
        <v>14</v>
      </c>
      <c r="F37" s="2126">
        <v>28</v>
      </c>
      <c r="G37" s="2125">
        <v>35</v>
      </c>
      <c r="H37" s="2125">
        <v>69</v>
      </c>
      <c r="I37" s="415">
        <v>104</v>
      </c>
      <c r="J37" s="2702">
        <f>D37*VLOOKUP($J$24,'Annual Parameters'!$B$33:$D$143,3,0)/VLOOKUP($B$14,'Annual Parameters'!$B$33:$D$143,3,0)</f>
        <v>0</v>
      </c>
      <c r="K37" s="2703">
        <f>E37*VLOOKUP($J$24,'Annual Parameters'!$B$33:$D$143,3,0)/VLOOKUP($B$14,'Annual Parameters'!$B$33:$D$143,3,0)</f>
        <v>12.228229999999998</v>
      </c>
      <c r="L37" s="2704">
        <f>F37*VLOOKUP($J$24,'Annual Parameters'!$B$33:$D$143,3,0)/VLOOKUP($B$14,'Annual Parameters'!$B$33:$D$143,3,0)</f>
        <v>24.456459999999996</v>
      </c>
      <c r="M37" s="2122"/>
      <c r="N37" s="2122"/>
      <c r="O37" s="2122"/>
      <c r="P37" s="2122"/>
      <c r="Q37" s="2122"/>
      <c r="R37" s="26"/>
      <c r="S37" s="2370"/>
      <c r="T37" s="2370"/>
      <c r="U37" s="2370"/>
      <c r="V37" s="2370"/>
      <c r="W37" s="2370"/>
      <c r="X37" s="2370"/>
      <c r="Y37" s="65"/>
      <c r="AA37" s="2119"/>
      <c r="AB37" s="2122"/>
      <c r="AC37" s="2122"/>
      <c r="AD37" s="2122"/>
      <c r="AE37" s="2122"/>
      <c r="AF37" s="2122"/>
      <c r="AG37" s="2122"/>
      <c r="AI37" s="2119"/>
      <c r="AJ37" s="2120"/>
      <c r="AK37" s="2120"/>
      <c r="AL37" s="2120"/>
      <c r="AM37" s="2120"/>
      <c r="AN37" s="2120"/>
      <c r="AO37" s="2120"/>
    </row>
    <row r="38" spans="1:41" ht="13.5" customHeight="1">
      <c r="A38" s="113"/>
      <c r="B38" s="442">
        <f t="shared" si="0"/>
        <v>2021</v>
      </c>
      <c r="C38" s="147"/>
      <c r="D38" s="2124">
        <v>4</v>
      </c>
      <c r="E38" s="2125">
        <v>21</v>
      </c>
      <c r="F38" s="2126">
        <v>37</v>
      </c>
      <c r="G38" s="2125">
        <v>35</v>
      </c>
      <c r="H38" s="2125">
        <v>70</v>
      </c>
      <c r="I38" s="415">
        <v>106</v>
      </c>
      <c r="J38" s="2702">
        <f>D38*VLOOKUP($J$24,'Annual Parameters'!$B$33:$D$143,3,0)/VLOOKUP($B$14,'Annual Parameters'!$B$33:$D$143,3,0)</f>
        <v>3.4937799999999997</v>
      </c>
      <c r="K38" s="2703">
        <f>E38*VLOOKUP($J$24,'Annual Parameters'!$B$33:$D$143,3,0)/VLOOKUP($B$14,'Annual Parameters'!$B$33:$D$143,3,0)</f>
        <v>18.342344999999998</v>
      </c>
      <c r="L38" s="2704">
        <f>F38*VLOOKUP($J$24,'Annual Parameters'!$B$33:$D$143,3,0)/VLOOKUP($B$14,'Annual Parameters'!$B$33:$D$143,3,0)</f>
        <v>32.317464999999999</v>
      </c>
      <c r="M38" s="2122"/>
      <c r="N38" s="2122"/>
      <c r="O38" s="2122"/>
      <c r="P38" s="2122"/>
      <c r="Q38" s="2122"/>
      <c r="R38" s="26"/>
      <c r="S38" s="2370"/>
      <c r="T38" s="2370"/>
      <c r="U38" s="2370"/>
      <c r="V38" s="2370"/>
      <c r="W38" s="2370"/>
      <c r="X38" s="2370"/>
      <c r="Y38" s="65"/>
      <c r="AA38" s="2119"/>
      <c r="AB38" s="2122"/>
      <c r="AC38" s="2122"/>
      <c r="AD38" s="2122"/>
      <c r="AE38" s="2122"/>
      <c r="AF38" s="2122"/>
      <c r="AG38" s="2122"/>
      <c r="AI38" s="2119"/>
      <c r="AJ38" s="2120"/>
      <c r="AK38" s="2120"/>
      <c r="AL38" s="2120"/>
      <c r="AM38" s="2120"/>
      <c r="AN38" s="2120"/>
      <c r="AO38" s="2120"/>
    </row>
    <row r="39" spans="1:41" ht="13.5" customHeight="1">
      <c r="A39" s="113"/>
      <c r="B39" s="442">
        <f t="shared" si="0"/>
        <v>2022</v>
      </c>
      <c r="C39" s="147"/>
      <c r="D39" s="2124">
        <v>8</v>
      </c>
      <c r="E39" s="2125">
        <v>27</v>
      </c>
      <c r="F39" s="2126">
        <v>46</v>
      </c>
      <c r="G39" s="2125">
        <v>36</v>
      </c>
      <c r="H39" s="2125">
        <v>72</v>
      </c>
      <c r="I39" s="415">
        <v>107</v>
      </c>
      <c r="J39" s="2702">
        <f>D39*VLOOKUP($J$24,'Annual Parameters'!$B$33:$D$143,3,0)/VLOOKUP($B$14,'Annual Parameters'!$B$33:$D$143,3,0)</f>
        <v>6.9875599999999993</v>
      </c>
      <c r="K39" s="2703">
        <f>E39*VLOOKUP($J$24,'Annual Parameters'!$B$33:$D$143,3,0)/VLOOKUP($B$14,'Annual Parameters'!$B$33:$D$143,3,0)</f>
        <v>23.583014999999996</v>
      </c>
      <c r="L39" s="2704">
        <f>F39*VLOOKUP($J$24,'Annual Parameters'!$B$33:$D$143,3,0)/VLOOKUP($B$14,'Annual Parameters'!$B$33:$D$143,3,0)</f>
        <v>40.178469999999997</v>
      </c>
      <c r="M39" s="2122"/>
      <c r="N39" s="2122"/>
      <c r="O39" s="2122"/>
      <c r="P39" s="2122"/>
      <c r="Q39" s="2122"/>
      <c r="R39" s="26"/>
      <c r="S39" s="2370"/>
      <c r="T39" s="2370"/>
      <c r="U39" s="2370"/>
      <c r="V39" s="2370"/>
      <c r="W39" s="2370"/>
      <c r="X39" s="2370"/>
      <c r="Y39" s="65"/>
      <c r="AA39" s="2119"/>
      <c r="AB39" s="2122"/>
      <c r="AC39" s="2122"/>
      <c r="AD39" s="2122"/>
      <c r="AE39" s="2122"/>
      <c r="AF39" s="2122"/>
      <c r="AG39" s="2122"/>
      <c r="AI39" s="2119"/>
      <c r="AJ39" s="2120"/>
      <c r="AK39" s="2120"/>
      <c r="AL39" s="2120"/>
      <c r="AM39" s="2120"/>
      <c r="AN39" s="2120"/>
      <c r="AO39" s="2120"/>
    </row>
    <row r="40" spans="1:41" ht="13.5" customHeight="1">
      <c r="A40" s="113"/>
      <c r="B40" s="442">
        <f t="shared" si="0"/>
        <v>2023</v>
      </c>
      <c r="C40" s="147"/>
      <c r="D40" s="2124">
        <v>12</v>
      </c>
      <c r="E40" s="2125">
        <v>34</v>
      </c>
      <c r="F40" s="2126">
        <v>56</v>
      </c>
      <c r="G40" s="2125">
        <v>36</v>
      </c>
      <c r="H40" s="2125">
        <v>73</v>
      </c>
      <c r="I40" s="415">
        <v>109</v>
      </c>
      <c r="J40" s="2702">
        <f>D40*VLOOKUP($J$24,'Annual Parameters'!$B$33:$D$143,3,0)/VLOOKUP($B$14,'Annual Parameters'!$B$33:$D$143,3,0)</f>
        <v>10.481339999999999</v>
      </c>
      <c r="K40" s="2703">
        <f>E40*VLOOKUP($J$24,'Annual Parameters'!$B$33:$D$143,3,0)/VLOOKUP($B$14,'Annual Parameters'!$B$33:$D$143,3,0)</f>
        <v>29.697129999999998</v>
      </c>
      <c r="L40" s="2704">
        <f>F40*VLOOKUP($J$24,'Annual Parameters'!$B$33:$D$143,3,0)/VLOOKUP($B$14,'Annual Parameters'!$B$33:$D$143,3,0)</f>
        <v>48.912919999999993</v>
      </c>
      <c r="M40" s="2122"/>
      <c r="N40" s="2122"/>
      <c r="O40" s="2122"/>
      <c r="P40" s="2122"/>
      <c r="Q40" s="2122"/>
      <c r="R40" s="26"/>
      <c r="S40" s="2370"/>
      <c r="T40" s="2370"/>
      <c r="U40" s="2370"/>
      <c r="V40" s="2370"/>
      <c r="W40" s="2370"/>
      <c r="X40" s="2370"/>
      <c r="Y40" s="65"/>
      <c r="AA40" s="2119"/>
      <c r="AB40" s="2122"/>
      <c r="AC40" s="2122"/>
      <c r="AD40" s="2122"/>
      <c r="AE40" s="2122"/>
      <c r="AF40" s="2122"/>
      <c r="AG40" s="2122"/>
      <c r="AI40" s="2119"/>
      <c r="AJ40" s="2120"/>
      <c r="AK40" s="2120"/>
      <c r="AL40" s="2120"/>
      <c r="AM40" s="2120"/>
      <c r="AN40" s="2120"/>
      <c r="AO40" s="2120"/>
    </row>
    <row r="41" spans="1:41" ht="13.5" customHeight="1">
      <c r="A41" s="113"/>
      <c r="B41" s="442">
        <f t="shared" si="0"/>
        <v>2024</v>
      </c>
      <c r="C41" s="147"/>
      <c r="D41" s="2124">
        <v>16</v>
      </c>
      <c r="E41" s="2125">
        <v>41</v>
      </c>
      <c r="F41" s="2126">
        <v>65</v>
      </c>
      <c r="G41" s="2125">
        <v>37</v>
      </c>
      <c r="H41" s="2125">
        <v>74</v>
      </c>
      <c r="I41" s="415">
        <v>111</v>
      </c>
      <c r="J41" s="2702">
        <f>D41*VLOOKUP($J$24,'Annual Parameters'!$B$33:$D$143,3,0)/VLOOKUP($B$14,'Annual Parameters'!$B$33:$D$143,3,0)</f>
        <v>13.975119999999999</v>
      </c>
      <c r="K41" s="2703">
        <f>E41*VLOOKUP($J$24,'Annual Parameters'!$B$33:$D$143,3,0)/VLOOKUP($B$14,'Annual Parameters'!$B$33:$D$143,3,0)</f>
        <v>35.811245</v>
      </c>
      <c r="L41" s="2704">
        <f>F41*VLOOKUP($J$24,'Annual Parameters'!$B$33:$D$143,3,0)/VLOOKUP($B$14,'Annual Parameters'!$B$33:$D$143,3,0)</f>
        <v>56.773924999999991</v>
      </c>
      <c r="M41" s="2122"/>
      <c r="N41" s="2122"/>
      <c r="O41" s="2122"/>
      <c r="P41" s="2122"/>
      <c r="Q41" s="2122"/>
      <c r="R41" s="26"/>
      <c r="S41" s="2370"/>
      <c r="T41" s="2370"/>
      <c r="U41" s="2370"/>
      <c r="V41" s="2370"/>
      <c r="W41" s="2370"/>
      <c r="X41" s="2370"/>
      <c r="Y41" s="65"/>
      <c r="AA41" s="2119"/>
      <c r="AB41" s="2122"/>
      <c r="AC41" s="2122"/>
      <c r="AD41" s="2122"/>
      <c r="AE41" s="2122"/>
      <c r="AF41" s="2122"/>
      <c r="AG41" s="2122"/>
      <c r="AI41" s="2119"/>
      <c r="AJ41" s="2120"/>
      <c r="AK41" s="2120"/>
      <c r="AL41" s="2120"/>
      <c r="AM41" s="2120"/>
      <c r="AN41" s="2120"/>
      <c r="AO41" s="2120"/>
    </row>
    <row r="42" spans="1:41" ht="13.5" customHeight="1">
      <c r="A42" s="113"/>
      <c r="B42" s="442">
        <f t="shared" si="0"/>
        <v>2025</v>
      </c>
      <c r="C42" s="147"/>
      <c r="D42" s="2124">
        <v>20</v>
      </c>
      <c r="E42" s="2125">
        <v>47</v>
      </c>
      <c r="F42" s="2126">
        <v>74</v>
      </c>
      <c r="G42" s="2125">
        <v>38</v>
      </c>
      <c r="H42" s="2125">
        <v>75</v>
      </c>
      <c r="I42" s="415">
        <v>113</v>
      </c>
      <c r="J42" s="2702">
        <f>D42*VLOOKUP($J$24,'Annual Parameters'!$B$33:$D$143,3,0)/VLOOKUP($B$14,'Annual Parameters'!$B$33:$D$143,3,0)</f>
        <v>17.468899999999998</v>
      </c>
      <c r="K42" s="2703">
        <f>E42*VLOOKUP($J$24,'Annual Parameters'!$B$33:$D$143,3,0)/VLOOKUP($B$14,'Annual Parameters'!$B$33:$D$143,3,0)</f>
        <v>41.051914999999994</v>
      </c>
      <c r="L42" s="2704">
        <f>F42*VLOOKUP($J$24,'Annual Parameters'!$B$33:$D$143,3,0)/VLOOKUP($B$14,'Annual Parameters'!$B$33:$D$143,3,0)</f>
        <v>64.634929999999997</v>
      </c>
      <c r="M42" s="2122"/>
      <c r="N42" s="2122"/>
      <c r="O42" s="2122"/>
      <c r="P42" s="2122"/>
      <c r="Q42" s="2122"/>
      <c r="R42" s="26"/>
      <c r="S42" s="2370"/>
      <c r="T42" s="2370"/>
      <c r="U42" s="2370"/>
      <c r="V42" s="2370"/>
      <c r="W42" s="2370"/>
      <c r="X42" s="2370"/>
      <c r="Y42" s="65"/>
      <c r="AA42" s="2119"/>
      <c r="AB42" s="2122"/>
      <c r="AC42" s="2122"/>
      <c r="AD42" s="2122"/>
      <c r="AE42" s="2122"/>
      <c r="AF42" s="2122"/>
      <c r="AG42" s="2122"/>
      <c r="AI42" s="2119"/>
      <c r="AJ42" s="2120"/>
      <c r="AK42" s="2120"/>
      <c r="AL42" s="2120"/>
      <c r="AM42" s="2120"/>
      <c r="AN42" s="2120"/>
      <c r="AO42" s="2120"/>
    </row>
    <row r="43" spans="1:41" ht="13.5" customHeight="1">
      <c r="A43" s="113"/>
      <c r="B43" s="442">
        <f t="shared" si="0"/>
        <v>2026</v>
      </c>
      <c r="C43" s="147"/>
      <c r="D43" s="2124">
        <v>24</v>
      </c>
      <c r="E43" s="2125">
        <v>54</v>
      </c>
      <c r="F43" s="2126">
        <v>84</v>
      </c>
      <c r="G43" s="2125">
        <v>38</v>
      </c>
      <c r="H43" s="2125">
        <v>76</v>
      </c>
      <c r="I43" s="415">
        <v>114</v>
      </c>
      <c r="J43" s="2702">
        <f>D43*VLOOKUP($J$24,'Annual Parameters'!$B$33:$D$143,3,0)/VLOOKUP($B$14,'Annual Parameters'!$B$33:$D$143,3,0)</f>
        <v>20.962679999999999</v>
      </c>
      <c r="K43" s="2703">
        <f>E43*VLOOKUP($J$24,'Annual Parameters'!$B$33:$D$143,3,0)/VLOOKUP($B$14,'Annual Parameters'!$B$33:$D$143,3,0)</f>
        <v>47.166029999999992</v>
      </c>
      <c r="L43" s="2704">
        <f>F43*VLOOKUP($J$24,'Annual Parameters'!$B$33:$D$143,3,0)/VLOOKUP($B$14,'Annual Parameters'!$B$33:$D$143,3,0)</f>
        <v>73.369379999999992</v>
      </c>
      <c r="M43" s="2122"/>
      <c r="N43" s="2122"/>
      <c r="O43" s="2122"/>
      <c r="P43" s="2122"/>
      <c r="Q43" s="2122"/>
      <c r="R43" s="26"/>
      <c r="S43" s="2370"/>
      <c r="T43" s="2370"/>
      <c r="U43" s="2370"/>
      <c r="V43" s="2370"/>
      <c r="W43" s="2370"/>
      <c r="X43" s="2370"/>
      <c r="Y43" s="65"/>
      <c r="AA43" s="2119"/>
      <c r="AB43" s="2122"/>
      <c r="AC43" s="2122"/>
      <c r="AD43" s="2122"/>
      <c r="AE43" s="2122"/>
      <c r="AF43" s="2122"/>
      <c r="AG43" s="2122"/>
      <c r="AI43" s="2119"/>
      <c r="AJ43" s="2120"/>
      <c r="AK43" s="2120"/>
      <c r="AL43" s="2120"/>
      <c r="AM43" s="2120"/>
      <c r="AN43" s="2120"/>
      <c r="AO43" s="2120"/>
    </row>
    <row r="44" spans="1:41" ht="13.5" customHeight="1">
      <c r="A44" s="113"/>
      <c r="B44" s="442">
        <f t="shared" si="0"/>
        <v>2027</v>
      </c>
      <c r="C44" s="147"/>
      <c r="D44" s="2124">
        <v>28</v>
      </c>
      <c r="E44" s="2125">
        <v>61</v>
      </c>
      <c r="F44" s="2126">
        <v>93</v>
      </c>
      <c r="G44" s="2125">
        <v>39</v>
      </c>
      <c r="H44" s="2125">
        <v>77</v>
      </c>
      <c r="I44" s="415">
        <v>116</v>
      </c>
      <c r="J44" s="2702">
        <f>D44*VLOOKUP($J$24,'Annual Parameters'!$B$33:$D$143,3,0)/VLOOKUP($B$14,'Annual Parameters'!$B$33:$D$143,3,0)</f>
        <v>24.456459999999996</v>
      </c>
      <c r="K44" s="2703">
        <f>E44*VLOOKUP($J$24,'Annual Parameters'!$B$33:$D$143,3,0)/VLOOKUP($B$14,'Annual Parameters'!$B$33:$D$143,3,0)</f>
        <v>53.280144999999997</v>
      </c>
      <c r="L44" s="2704">
        <f>F44*VLOOKUP($J$24,'Annual Parameters'!$B$33:$D$143,3,0)/VLOOKUP($B$14,'Annual Parameters'!$B$33:$D$143,3,0)</f>
        <v>81.230384999999998</v>
      </c>
      <c r="M44" s="2122"/>
      <c r="N44" s="2122"/>
      <c r="O44" s="2122"/>
      <c r="P44" s="2122"/>
      <c r="Q44" s="2122"/>
      <c r="R44" s="26"/>
      <c r="S44" s="2370"/>
      <c r="T44" s="2370"/>
      <c r="U44" s="2370"/>
      <c r="V44" s="2370"/>
      <c r="W44" s="2370"/>
      <c r="X44" s="2370"/>
      <c r="Y44" s="65"/>
      <c r="AA44" s="2119"/>
      <c r="AB44" s="2122"/>
      <c r="AC44" s="2122"/>
      <c r="AD44" s="2122"/>
      <c r="AE44" s="2122"/>
      <c r="AF44" s="2122"/>
      <c r="AG44" s="2122"/>
      <c r="AI44" s="2119"/>
      <c r="AJ44" s="2120"/>
      <c r="AK44" s="2120"/>
      <c r="AL44" s="2120"/>
      <c r="AM44" s="2120"/>
      <c r="AN44" s="2120"/>
      <c r="AO44" s="2120"/>
    </row>
    <row r="45" spans="1:41" ht="13.5" customHeight="1">
      <c r="A45" s="113"/>
      <c r="B45" s="442">
        <f t="shared" si="0"/>
        <v>2028</v>
      </c>
      <c r="C45" s="147"/>
      <c r="D45" s="2124">
        <v>32</v>
      </c>
      <c r="E45" s="2125">
        <v>67</v>
      </c>
      <c r="F45" s="2126">
        <v>103</v>
      </c>
      <c r="G45" s="2125">
        <v>39</v>
      </c>
      <c r="H45" s="2125">
        <v>79</v>
      </c>
      <c r="I45" s="415">
        <v>118</v>
      </c>
      <c r="J45" s="2702">
        <f>D45*VLOOKUP($J$24,'Annual Parameters'!$B$33:$D$143,3,0)/VLOOKUP($B$14,'Annual Parameters'!$B$33:$D$143,3,0)</f>
        <v>27.950239999999997</v>
      </c>
      <c r="K45" s="2703">
        <f>E45*VLOOKUP($J$24,'Annual Parameters'!$B$33:$D$143,3,0)/VLOOKUP($B$14,'Annual Parameters'!$B$33:$D$143,3,0)</f>
        <v>58.520814999999992</v>
      </c>
      <c r="L45" s="2704">
        <f>F45*VLOOKUP($J$24,'Annual Parameters'!$B$33:$D$143,3,0)/VLOOKUP($B$14,'Annual Parameters'!$B$33:$D$143,3,0)</f>
        <v>89.964834999999994</v>
      </c>
      <c r="M45" s="2122"/>
      <c r="N45" s="2122"/>
      <c r="O45" s="2122"/>
      <c r="P45" s="2122"/>
      <c r="Q45" s="2122"/>
      <c r="R45" s="26"/>
      <c r="S45" s="2370"/>
      <c r="T45" s="2370"/>
      <c r="U45" s="2370"/>
      <c r="V45" s="2370"/>
      <c r="W45" s="2370"/>
      <c r="X45" s="2370"/>
      <c r="Y45" s="65"/>
      <c r="AA45" s="2119"/>
      <c r="AB45" s="2122"/>
      <c r="AC45" s="2122"/>
      <c r="AD45" s="2122"/>
      <c r="AE45" s="2122"/>
      <c r="AF45" s="2122"/>
      <c r="AG45" s="2122"/>
      <c r="AI45" s="2119"/>
      <c r="AJ45" s="2120"/>
      <c r="AK45" s="2120"/>
      <c r="AL45" s="2120"/>
      <c r="AM45" s="2120"/>
      <c r="AN45" s="2120"/>
      <c r="AO45" s="2120"/>
    </row>
    <row r="46" spans="1:41" ht="13.5" customHeight="1">
      <c r="A46" s="113"/>
      <c r="B46" s="442">
        <f t="shared" si="0"/>
        <v>2029</v>
      </c>
      <c r="C46" s="147"/>
      <c r="D46" s="2124">
        <v>36</v>
      </c>
      <c r="E46" s="2125">
        <v>74</v>
      </c>
      <c r="F46" s="2126">
        <v>112</v>
      </c>
      <c r="G46" s="2125">
        <v>40</v>
      </c>
      <c r="H46" s="2125">
        <v>80</v>
      </c>
      <c r="I46" s="415">
        <v>120</v>
      </c>
      <c r="J46" s="2702">
        <f>D46*VLOOKUP($J$24,'Annual Parameters'!$B$33:$D$143,3,0)/VLOOKUP($B$14,'Annual Parameters'!$B$33:$D$143,3,0)</f>
        <v>31.444019999999998</v>
      </c>
      <c r="K46" s="2703">
        <f>E46*VLOOKUP($J$24,'Annual Parameters'!$B$33:$D$143,3,0)/VLOOKUP($B$14,'Annual Parameters'!$B$33:$D$143,3,0)</f>
        <v>64.634929999999997</v>
      </c>
      <c r="L46" s="2704">
        <f>F46*VLOOKUP($J$24,'Annual Parameters'!$B$33:$D$143,3,0)/VLOOKUP($B$14,'Annual Parameters'!$B$33:$D$143,3,0)</f>
        <v>97.825839999999985</v>
      </c>
      <c r="M46" s="2122"/>
      <c r="N46" s="2122"/>
      <c r="O46" s="2122"/>
      <c r="P46" s="2122"/>
      <c r="Q46" s="2122"/>
      <c r="R46" s="26"/>
      <c r="S46" s="2370"/>
      <c r="T46" s="2370"/>
      <c r="U46" s="2370"/>
      <c r="V46" s="2370"/>
      <c r="W46" s="2370"/>
      <c r="X46" s="2370"/>
      <c r="Y46" s="65"/>
      <c r="AA46" s="2119"/>
      <c r="AB46" s="2122"/>
      <c r="AC46" s="2122"/>
      <c r="AD46" s="2122"/>
      <c r="AE46" s="2122"/>
      <c r="AF46" s="2122"/>
      <c r="AG46" s="2122"/>
      <c r="AI46" s="2119"/>
      <c r="AJ46" s="2120"/>
      <c r="AK46" s="2120"/>
      <c r="AL46" s="2120"/>
      <c r="AM46" s="2120"/>
      <c r="AN46" s="2120"/>
      <c r="AO46" s="2120"/>
    </row>
    <row r="47" spans="1:41" ht="13.5" customHeight="1">
      <c r="A47" s="113"/>
      <c r="B47" s="442">
        <f t="shared" si="0"/>
        <v>2030</v>
      </c>
      <c r="C47" s="147"/>
      <c r="D47" s="2124">
        <v>40</v>
      </c>
      <c r="E47" s="2125">
        <v>81</v>
      </c>
      <c r="F47" s="2126">
        <v>121</v>
      </c>
      <c r="G47" s="2125">
        <v>40</v>
      </c>
      <c r="H47" s="2125">
        <v>81</v>
      </c>
      <c r="I47" s="415">
        <v>121</v>
      </c>
      <c r="J47" s="2702">
        <f>D47*VLOOKUP($J$24,'Annual Parameters'!$B$33:$D$143,3,0)/VLOOKUP($B$14,'Annual Parameters'!$B$33:$D$143,3,0)</f>
        <v>34.937799999999996</v>
      </c>
      <c r="K47" s="2703">
        <f>E47*VLOOKUP($J$24,'Annual Parameters'!$B$33:$D$143,3,0)/VLOOKUP($B$14,'Annual Parameters'!$B$33:$D$143,3,0)</f>
        <v>70.749044999999995</v>
      </c>
      <c r="L47" s="2704">
        <f>F47*VLOOKUP($J$24,'Annual Parameters'!$B$33:$D$143,3,0)/VLOOKUP($B$14,'Annual Parameters'!$B$33:$D$143,3,0)</f>
        <v>105.68684499999999</v>
      </c>
      <c r="M47" s="2122"/>
      <c r="N47" s="2122"/>
      <c r="O47" s="2122"/>
      <c r="P47" s="2122"/>
      <c r="Q47" s="2122"/>
      <c r="R47" s="26"/>
      <c r="S47" s="2370"/>
      <c r="T47" s="2370"/>
      <c r="U47" s="2370"/>
      <c r="V47" s="2370"/>
      <c r="W47" s="2370"/>
      <c r="X47" s="2370"/>
      <c r="Y47" s="65"/>
      <c r="AA47" s="2119"/>
      <c r="AB47" s="2122"/>
      <c r="AC47" s="2122"/>
      <c r="AD47" s="2122"/>
      <c r="AE47" s="2122"/>
      <c r="AF47" s="2122"/>
      <c r="AG47" s="2122"/>
      <c r="AI47" s="2119"/>
      <c r="AJ47" s="2120"/>
      <c r="AK47" s="2120"/>
      <c r="AL47" s="2120"/>
      <c r="AM47" s="2120"/>
      <c r="AN47" s="2120"/>
      <c r="AO47" s="2120"/>
    </row>
    <row r="48" spans="1:41" ht="13.5" customHeight="1">
      <c r="A48" s="113"/>
      <c r="B48" s="442">
        <f t="shared" si="0"/>
        <v>2031</v>
      </c>
      <c r="C48" s="147"/>
      <c r="D48" s="2124">
        <v>44</v>
      </c>
      <c r="E48" s="2125">
        <v>88</v>
      </c>
      <c r="F48" s="2126">
        <v>132</v>
      </c>
      <c r="G48" s="2125">
        <v>44</v>
      </c>
      <c r="H48" s="2125">
        <v>88</v>
      </c>
      <c r="I48" s="415">
        <v>132</v>
      </c>
      <c r="J48" s="2702">
        <f>D48*VLOOKUP($J$24,'Annual Parameters'!$B$33:$D$143,3,0)/VLOOKUP($B$14,'Annual Parameters'!$B$33:$D$143,3,0)</f>
        <v>38.431579999999997</v>
      </c>
      <c r="K48" s="2703">
        <f>E48*VLOOKUP($J$24,'Annual Parameters'!$B$33:$D$143,3,0)/VLOOKUP($B$14,'Annual Parameters'!$B$33:$D$143,3,0)</f>
        <v>76.863159999999993</v>
      </c>
      <c r="L48" s="2704">
        <f>F48*VLOOKUP($J$24,'Annual Parameters'!$B$33:$D$143,3,0)/VLOOKUP($B$14,'Annual Parameters'!$B$33:$D$143,3,0)</f>
        <v>115.29473999999999</v>
      </c>
      <c r="M48" s="2122"/>
      <c r="N48" s="2122"/>
      <c r="O48" s="2122"/>
      <c r="P48" s="2122"/>
      <c r="Q48" s="2122"/>
      <c r="R48" s="26"/>
      <c r="S48" s="2370"/>
      <c r="T48" s="2370"/>
      <c r="U48" s="2370"/>
      <c r="V48" s="2370"/>
      <c r="W48" s="2370"/>
      <c r="X48" s="2370"/>
      <c r="Y48" s="65"/>
      <c r="AA48" s="2119"/>
      <c r="AB48" s="2122"/>
      <c r="AC48" s="2122"/>
      <c r="AD48" s="2122"/>
      <c r="AE48" s="2122"/>
      <c r="AF48" s="2122"/>
      <c r="AG48" s="2122"/>
      <c r="AI48" s="2119"/>
      <c r="AJ48" s="2120"/>
      <c r="AK48" s="2120"/>
      <c r="AL48" s="2120"/>
      <c r="AM48" s="2120"/>
      <c r="AN48" s="2120"/>
      <c r="AO48" s="2120"/>
    </row>
    <row r="49" spans="1:41" ht="13.5" customHeight="1">
      <c r="A49" s="113"/>
      <c r="B49" s="442">
        <f t="shared" si="0"/>
        <v>2032</v>
      </c>
      <c r="C49" s="147"/>
      <c r="D49" s="2124">
        <v>48</v>
      </c>
      <c r="E49" s="2125">
        <v>96</v>
      </c>
      <c r="F49" s="2126">
        <v>144</v>
      </c>
      <c r="G49" s="2125">
        <v>48</v>
      </c>
      <c r="H49" s="2125">
        <v>96</v>
      </c>
      <c r="I49" s="415">
        <v>144</v>
      </c>
      <c r="J49" s="2702">
        <f>D49*VLOOKUP($J$24,'Annual Parameters'!$B$33:$D$143,3,0)/VLOOKUP($B$14,'Annual Parameters'!$B$33:$D$143,3,0)</f>
        <v>41.925359999999998</v>
      </c>
      <c r="K49" s="2703">
        <f>E49*VLOOKUP($J$24,'Annual Parameters'!$B$33:$D$143,3,0)/VLOOKUP($B$14,'Annual Parameters'!$B$33:$D$143,3,0)</f>
        <v>83.850719999999995</v>
      </c>
      <c r="L49" s="2704">
        <f>F49*VLOOKUP($J$24,'Annual Parameters'!$B$33:$D$143,3,0)/VLOOKUP($B$14,'Annual Parameters'!$B$33:$D$143,3,0)</f>
        <v>125.77607999999999</v>
      </c>
      <c r="M49" s="2122"/>
      <c r="N49" s="2122"/>
      <c r="O49" s="2122"/>
      <c r="P49" s="2122"/>
      <c r="Q49" s="2122"/>
      <c r="R49" s="26"/>
      <c r="S49" s="2370"/>
      <c r="T49" s="2370"/>
      <c r="U49" s="2370"/>
      <c r="V49" s="2370"/>
      <c r="W49" s="2370"/>
      <c r="X49" s="2370"/>
      <c r="Y49" s="65"/>
      <c r="AA49" s="2119"/>
      <c r="AB49" s="2122"/>
      <c r="AC49" s="2122"/>
      <c r="AD49" s="2122"/>
      <c r="AE49" s="2122"/>
      <c r="AF49" s="2122"/>
      <c r="AG49" s="2122"/>
      <c r="AI49" s="2119"/>
      <c r="AJ49" s="2120"/>
      <c r="AK49" s="2120"/>
      <c r="AL49" s="2120"/>
      <c r="AM49" s="2120"/>
      <c r="AN49" s="2120"/>
      <c r="AO49" s="2120"/>
    </row>
    <row r="50" spans="1:41" ht="13.5" customHeight="1">
      <c r="A50" s="113"/>
      <c r="B50" s="442">
        <f t="shared" si="0"/>
        <v>2033</v>
      </c>
      <c r="C50" s="147"/>
      <c r="D50" s="2124">
        <v>52</v>
      </c>
      <c r="E50" s="2125">
        <v>103</v>
      </c>
      <c r="F50" s="2126">
        <v>155</v>
      </c>
      <c r="G50" s="2125">
        <v>52</v>
      </c>
      <c r="H50" s="2125">
        <v>103</v>
      </c>
      <c r="I50" s="415">
        <v>155</v>
      </c>
      <c r="J50" s="2702">
        <f>D50*VLOOKUP($J$24,'Annual Parameters'!$B$33:$D$143,3,0)/VLOOKUP($B$14,'Annual Parameters'!$B$33:$D$143,3,0)</f>
        <v>45.419139999999999</v>
      </c>
      <c r="K50" s="2703">
        <f>E50*VLOOKUP($J$24,'Annual Parameters'!$B$33:$D$143,3,0)/VLOOKUP($B$14,'Annual Parameters'!$B$33:$D$143,3,0)</f>
        <v>89.964834999999994</v>
      </c>
      <c r="L50" s="2704">
        <f>F50*VLOOKUP($J$24,'Annual Parameters'!$B$33:$D$143,3,0)/VLOOKUP($B$14,'Annual Parameters'!$B$33:$D$143,3,0)</f>
        <v>135.38397499999999</v>
      </c>
      <c r="M50" s="2122"/>
      <c r="N50" s="2122"/>
      <c r="O50" s="2122"/>
      <c r="P50" s="2122"/>
      <c r="Q50" s="2122"/>
      <c r="R50" s="26"/>
      <c r="S50" s="2370"/>
      <c r="T50" s="2370"/>
      <c r="U50" s="2370"/>
      <c r="V50" s="2370"/>
      <c r="W50" s="2370"/>
      <c r="X50" s="2370"/>
      <c r="Y50" s="65"/>
      <c r="AA50" s="2119"/>
      <c r="AB50" s="2122"/>
      <c r="AC50" s="2122"/>
      <c r="AD50" s="2122"/>
      <c r="AE50" s="2122"/>
      <c r="AF50" s="2122"/>
      <c r="AG50" s="2122"/>
      <c r="AI50" s="2119"/>
      <c r="AJ50" s="2120"/>
      <c r="AK50" s="2120"/>
      <c r="AL50" s="2120"/>
      <c r="AM50" s="2120"/>
      <c r="AN50" s="2120"/>
      <c r="AO50" s="2120"/>
    </row>
    <row r="51" spans="1:41" ht="13.5" customHeight="1">
      <c r="A51" s="113"/>
      <c r="B51" s="442">
        <f t="shared" si="0"/>
        <v>2034</v>
      </c>
      <c r="C51" s="147"/>
      <c r="D51" s="2124">
        <v>55</v>
      </c>
      <c r="E51" s="2125">
        <v>111</v>
      </c>
      <c r="F51" s="2126">
        <v>166</v>
      </c>
      <c r="G51" s="2125">
        <v>55</v>
      </c>
      <c r="H51" s="2125">
        <v>111</v>
      </c>
      <c r="I51" s="415">
        <v>166</v>
      </c>
      <c r="J51" s="2702">
        <f>D51*VLOOKUP($J$24,'Annual Parameters'!$B$33:$D$143,3,0)/VLOOKUP($B$14,'Annual Parameters'!$B$33:$D$143,3,0)</f>
        <v>48.039474999999996</v>
      </c>
      <c r="K51" s="2703">
        <f>E51*VLOOKUP($J$24,'Annual Parameters'!$B$33:$D$143,3,0)/VLOOKUP($B$14,'Annual Parameters'!$B$33:$D$143,3,0)</f>
        <v>96.952394999999996</v>
      </c>
      <c r="L51" s="2704">
        <f>F51*VLOOKUP($J$24,'Annual Parameters'!$B$33:$D$143,3,0)/VLOOKUP($B$14,'Annual Parameters'!$B$33:$D$143,3,0)</f>
        <v>144.99186999999998</v>
      </c>
      <c r="M51" s="2122"/>
      <c r="N51" s="2122"/>
      <c r="O51" s="2122"/>
      <c r="P51" s="2122"/>
      <c r="Q51" s="2122"/>
      <c r="R51" s="26"/>
      <c r="S51" s="2370"/>
      <c r="T51" s="2370"/>
      <c r="U51" s="2370"/>
      <c r="V51" s="2370"/>
      <c r="W51" s="2370"/>
      <c r="X51" s="2370"/>
      <c r="Y51" s="65"/>
      <c r="AA51" s="2119"/>
      <c r="AB51" s="2122"/>
      <c r="AC51" s="2122"/>
      <c r="AD51" s="2122"/>
      <c r="AE51" s="2122"/>
      <c r="AF51" s="2122"/>
      <c r="AG51" s="2122"/>
      <c r="AI51" s="2119"/>
      <c r="AJ51" s="2120"/>
      <c r="AK51" s="2120"/>
      <c r="AL51" s="2120"/>
      <c r="AM51" s="2120"/>
      <c r="AN51" s="2120"/>
      <c r="AO51" s="2120"/>
    </row>
    <row r="52" spans="1:41" ht="13.5" customHeight="1">
      <c r="A52" s="113"/>
      <c r="B52" s="442">
        <f t="shared" si="0"/>
        <v>2035</v>
      </c>
      <c r="C52" s="147"/>
      <c r="D52" s="2124">
        <v>59</v>
      </c>
      <c r="E52" s="2125">
        <v>118</v>
      </c>
      <c r="F52" s="2126">
        <v>178</v>
      </c>
      <c r="G52" s="2125">
        <v>59</v>
      </c>
      <c r="H52" s="2125">
        <v>118</v>
      </c>
      <c r="I52" s="415">
        <v>178</v>
      </c>
      <c r="J52" s="2702">
        <f>D52*VLOOKUP($J$24,'Annual Parameters'!$B$33:$D$143,3,0)/VLOOKUP($B$14,'Annual Parameters'!$B$33:$D$143,3,0)</f>
        <v>51.533254999999997</v>
      </c>
      <c r="K52" s="2703">
        <f>E52*VLOOKUP($J$24,'Annual Parameters'!$B$33:$D$143,3,0)/VLOOKUP($B$14,'Annual Parameters'!$B$33:$D$143,3,0)</f>
        <v>103.06650999999999</v>
      </c>
      <c r="L52" s="2704">
        <f>F52*VLOOKUP($J$24,'Annual Parameters'!$B$33:$D$143,3,0)/VLOOKUP($B$14,'Annual Parameters'!$B$33:$D$143,3,0)</f>
        <v>155.47320999999999</v>
      </c>
      <c r="M52" s="2122"/>
      <c r="N52" s="2122"/>
      <c r="O52" s="2122"/>
      <c r="P52" s="2122"/>
      <c r="Q52" s="2122"/>
      <c r="R52" s="26"/>
      <c r="S52" s="2370"/>
      <c r="T52" s="2370"/>
      <c r="U52" s="2370"/>
      <c r="V52" s="2370"/>
      <c r="W52" s="2370"/>
      <c r="X52" s="2370"/>
      <c r="Y52" s="65"/>
      <c r="AA52" s="2119"/>
      <c r="AB52" s="2122"/>
      <c r="AC52" s="2122"/>
      <c r="AD52" s="2122"/>
      <c r="AE52" s="2122"/>
      <c r="AF52" s="2122"/>
      <c r="AG52" s="2122"/>
      <c r="AI52" s="2119"/>
      <c r="AJ52" s="2120"/>
      <c r="AK52" s="2120"/>
      <c r="AL52" s="2120"/>
      <c r="AM52" s="2120"/>
      <c r="AN52" s="2120"/>
      <c r="AO52" s="2120"/>
    </row>
    <row r="53" spans="1:41" ht="13.5" customHeight="1">
      <c r="A53" s="113"/>
      <c r="B53" s="442">
        <f t="shared" si="0"/>
        <v>2036</v>
      </c>
      <c r="C53" s="147"/>
      <c r="D53" s="2124">
        <v>63</v>
      </c>
      <c r="E53" s="2125">
        <v>126</v>
      </c>
      <c r="F53" s="2126">
        <v>189</v>
      </c>
      <c r="G53" s="2125">
        <v>63</v>
      </c>
      <c r="H53" s="2125">
        <v>126</v>
      </c>
      <c r="I53" s="415">
        <v>189</v>
      </c>
      <c r="J53" s="2702">
        <f>D53*VLOOKUP($J$24,'Annual Parameters'!$B$33:$D$143,3,0)/VLOOKUP($B$14,'Annual Parameters'!$B$33:$D$143,3,0)</f>
        <v>55.027034999999998</v>
      </c>
      <c r="K53" s="2703">
        <f>E53*VLOOKUP($J$24,'Annual Parameters'!$B$33:$D$143,3,0)/VLOOKUP($B$14,'Annual Parameters'!$B$33:$D$143,3,0)</f>
        <v>110.05407</v>
      </c>
      <c r="L53" s="2704">
        <f>F53*VLOOKUP($J$24,'Annual Parameters'!$B$33:$D$143,3,0)/VLOOKUP($B$14,'Annual Parameters'!$B$33:$D$143,3,0)</f>
        <v>165.08110499999998</v>
      </c>
      <c r="M53" s="2122"/>
      <c r="N53" s="2122"/>
      <c r="O53" s="2122"/>
      <c r="P53" s="2122"/>
      <c r="Q53" s="2122"/>
      <c r="R53" s="26"/>
      <c r="S53" s="2370"/>
      <c r="T53" s="2370"/>
      <c r="U53" s="2370"/>
      <c r="V53" s="2370"/>
      <c r="W53" s="2370"/>
      <c r="X53" s="2370"/>
      <c r="Y53" s="65"/>
      <c r="AA53" s="2119"/>
      <c r="AB53" s="2122"/>
      <c r="AC53" s="2122"/>
      <c r="AD53" s="2122"/>
      <c r="AE53" s="2122"/>
      <c r="AF53" s="2122"/>
      <c r="AG53" s="2122"/>
      <c r="AI53" s="2119"/>
      <c r="AJ53" s="2120"/>
      <c r="AK53" s="2120"/>
      <c r="AL53" s="2120"/>
      <c r="AM53" s="2120"/>
      <c r="AN53" s="2120"/>
      <c r="AO53" s="2120"/>
    </row>
    <row r="54" spans="1:41" ht="13.5" customHeight="1">
      <c r="A54" s="113"/>
      <c r="B54" s="442">
        <f t="shared" si="0"/>
        <v>2037</v>
      </c>
      <c r="C54" s="147"/>
      <c r="D54" s="2124">
        <v>67</v>
      </c>
      <c r="E54" s="2125">
        <v>133</v>
      </c>
      <c r="F54" s="2126">
        <v>200</v>
      </c>
      <c r="G54" s="2125">
        <v>67</v>
      </c>
      <c r="H54" s="2125">
        <v>133</v>
      </c>
      <c r="I54" s="415">
        <v>200</v>
      </c>
      <c r="J54" s="2702">
        <f>D54*VLOOKUP($J$24,'Annual Parameters'!$B$33:$D$143,3,0)/VLOOKUP($B$14,'Annual Parameters'!$B$33:$D$143,3,0)</f>
        <v>58.520814999999992</v>
      </c>
      <c r="K54" s="2703">
        <f>E54*VLOOKUP($J$24,'Annual Parameters'!$B$33:$D$143,3,0)/VLOOKUP($B$14,'Annual Parameters'!$B$33:$D$143,3,0)</f>
        <v>116.16818499999999</v>
      </c>
      <c r="L54" s="2704">
        <f>F54*VLOOKUP($J$24,'Annual Parameters'!$B$33:$D$143,3,0)/VLOOKUP($B$14,'Annual Parameters'!$B$33:$D$143,3,0)</f>
        <v>174.68899999999999</v>
      </c>
      <c r="M54" s="2122"/>
      <c r="N54" s="2122"/>
      <c r="O54" s="2122"/>
      <c r="P54" s="2122"/>
      <c r="Q54" s="2122"/>
      <c r="R54" s="26"/>
      <c r="S54" s="2370"/>
      <c r="T54" s="2370"/>
      <c r="U54" s="2370"/>
      <c r="V54" s="2370"/>
      <c r="W54" s="2370"/>
      <c r="X54" s="2370"/>
      <c r="Y54" s="65"/>
      <c r="AA54" s="2119"/>
      <c r="AB54" s="2122"/>
      <c r="AC54" s="2122"/>
      <c r="AD54" s="2122"/>
      <c r="AE54" s="2122"/>
      <c r="AF54" s="2122"/>
      <c r="AG54" s="2122"/>
      <c r="AI54" s="2119"/>
      <c r="AJ54" s="2120"/>
      <c r="AK54" s="2120"/>
      <c r="AL54" s="2120"/>
      <c r="AM54" s="2120"/>
      <c r="AN54" s="2120"/>
      <c r="AO54" s="2120"/>
    </row>
    <row r="55" spans="1:41" ht="13.5" customHeight="1">
      <c r="A55" s="113"/>
      <c r="B55" s="442">
        <f t="shared" si="0"/>
        <v>2038</v>
      </c>
      <c r="C55" s="147"/>
      <c r="D55" s="2124">
        <v>70</v>
      </c>
      <c r="E55" s="2125">
        <v>141</v>
      </c>
      <c r="F55" s="2126">
        <v>211</v>
      </c>
      <c r="G55" s="2125">
        <v>70</v>
      </c>
      <c r="H55" s="2125">
        <v>141</v>
      </c>
      <c r="I55" s="415">
        <v>211</v>
      </c>
      <c r="J55" s="2702">
        <f>D55*VLOOKUP($J$24,'Annual Parameters'!$B$33:$D$143,3,0)/VLOOKUP($B$14,'Annual Parameters'!$B$33:$D$143,3,0)</f>
        <v>61.141149999999996</v>
      </c>
      <c r="K55" s="2703">
        <f>E55*VLOOKUP($J$24,'Annual Parameters'!$B$33:$D$143,3,0)/VLOOKUP($B$14,'Annual Parameters'!$B$33:$D$143,3,0)</f>
        <v>123.15574499999998</v>
      </c>
      <c r="L55" s="2704">
        <f>F55*VLOOKUP($J$24,'Annual Parameters'!$B$33:$D$143,3,0)/VLOOKUP($B$14,'Annual Parameters'!$B$33:$D$143,3,0)</f>
        <v>184.29689499999998</v>
      </c>
      <c r="M55" s="2122"/>
      <c r="N55" s="2122"/>
      <c r="O55" s="2122"/>
      <c r="P55" s="2122"/>
      <c r="Q55" s="2122"/>
      <c r="R55" s="26"/>
      <c r="S55" s="2370"/>
      <c r="T55" s="2370"/>
      <c r="U55" s="2370"/>
      <c r="V55" s="2370"/>
      <c r="W55" s="2370"/>
      <c r="X55" s="2370"/>
      <c r="Y55" s="65"/>
      <c r="AA55" s="2119"/>
      <c r="AB55" s="2122"/>
      <c r="AC55" s="2122"/>
      <c r="AD55" s="2122"/>
      <c r="AE55" s="2122"/>
      <c r="AF55" s="2122"/>
      <c r="AG55" s="2122"/>
      <c r="AI55" s="2119"/>
      <c r="AJ55" s="2120"/>
      <c r="AK55" s="2120"/>
      <c r="AL55" s="2120"/>
      <c r="AM55" s="2120"/>
      <c r="AN55" s="2120"/>
      <c r="AO55" s="2120"/>
    </row>
    <row r="56" spans="1:41" ht="13.5" customHeight="1">
      <c r="A56" s="113"/>
      <c r="B56" s="442">
        <f t="shared" si="0"/>
        <v>2039</v>
      </c>
      <c r="C56" s="147"/>
      <c r="D56" s="2124">
        <v>74</v>
      </c>
      <c r="E56" s="2125">
        <v>148</v>
      </c>
      <c r="F56" s="2126">
        <v>223</v>
      </c>
      <c r="G56" s="2125">
        <v>74</v>
      </c>
      <c r="H56" s="2125">
        <v>148</v>
      </c>
      <c r="I56" s="415">
        <v>223</v>
      </c>
      <c r="J56" s="2702">
        <f>D56*VLOOKUP($J$24,'Annual Parameters'!$B$33:$D$143,3,0)/VLOOKUP($B$14,'Annual Parameters'!$B$33:$D$143,3,0)</f>
        <v>64.634929999999997</v>
      </c>
      <c r="K56" s="2703">
        <f>E56*VLOOKUP($J$24,'Annual Parameters'!$B$33:$D$143,3,0)/VLOOKUP($B$14,'Annual Parameters'!$B$33:$D$143,3,0)</f>
        <v>129.26985999999999</v>
      </c>
      <c r="L56" s="2704">
        <f>F56*VLOOKUP($J$24,'Annual Parameters'!$B$33:$D$143,3,0)/VLOOKUP($B$14,'Annual Parameters'!$B$33:$D$143,3,0)</f>
        <v>194.778235</v>
      </c>
      <c r="M56" s="2122"/>
      <c r="N56" s="2122"/>
      <c r="O56" s="2122"/>
      <c r="P56" s="2122"/>
      <c r="Q56" s="2122"/>
      <c r="R56" s="26"/>
      <c r="S56" s="2370"/>
      <c r="T56" s="2370"/>
      <c r="U56" s="2370"/>
      <c r="V56" s="2370"/>
      <c r="W56" s="2370"/>
      <c r="X56" s="2370"/>
      <c r="Y56" s="65"/>
      <c r="AA56" s="2119"/>
      <c r="AB56" s="2122"/>
      <c r="AC56" s="2122"/>
      <c r="AD56" s="2122"/>
      <c r="AE56" s="2122"/>
      <c r="AF56" s="2122"/>
      <c r="AG56" s="2122"/>
      <c r="AI56" s="2119"/>
      <c r="AJ56" s="2120"/>
      <c r="AK56" s="2120"/>
      <c r="AL56" s="2120"/>
      <c r="AM56" s="2120"/>
      <c r="AN56" s="2120"/>
      <c r="AO56" s="2120"/>
    </row>
    <row r="57" spans="1:41" ht="13.5" customHeight="1">
      <c r="A57" s="113"/>
      <c r="B57" s="442">
        <f t="shared" si="0"/>
        <v>2040</v>
      </c>
      <c r="C57" s="147"/>
      <c r="D57" s="2124">
        <v>78</v>
      </c>
      <c r="E57" s="2125">
        <v>156</v>
      </c>
      <c r="F57" s="2126">
        <v>234</v>
      </c>
      <c r="G57" s="2125">
        <v>78</v>
      </c>
      <c r="H57" s="2125">
        <v>156</v>
      </c>
      <c r="I57" s="415">
        <v>234</v>
      </c>
      <c r="J57" s="2702">
        <f>D57*VLOOKUP($J$24,'Annual Parameters'!$B$33:$D$143,3,0)/VLOOKUP($B$14,'Annual Parameters'!$B$33:$D$143,3,0)</f>
        <v>68.128709999999998</v>
      </c>
      <c r="K57" s="2703">
        <f>E57*VLOOKUP($J$24,'Annual Parameters'!$B$33:$D$143,3,0)/VLOOKUP($B$14,'Annual Parameters'!$B$33:$D$143,3,0)</f>
        <v>136.25742</v>
      </c>
      <c r="L57" s="2704">
        <f>F57*VLOOKUP($J$24,'Annual Parameters'!$B$33:$D$143,3,0)/VLOOKUP($B$14,'Annual Parameters'!$B$33:$D$143,3,0)</f>
        <v>204.38612999999998</v>
      </c>
      <c r="M57" s="2122"/>
      <c r="N57" s="2122"/>
      <c r="O57" s="2122"/>
      <c r="P57" s="2122"/>
      <c r="Q57" s="2122"/>
      <c r="R57" s="26"/>
      <c r="S57" s="2370"/>
      <c r="T57" s="2370"/>
      <c r="U57" s="2370"/>
      <c r="V57" s="2370"/>
      <c r="W57" s="2370"/>
      <c r="X57" s="2370"/>
      <c r="Y57" s="65"/>
      <c r="AA57" s="2119"/>
      <c r="AB57" s="2122"/>
      <c r="AC57" s="2122"/>
      <c r="AD57" s="2122"/>
      <c r="AE57" s="2122"/>
      <c r="AF57" s="2122"/>
      <c r="AG57" s="2122"/>
      <c r="AI57" s="2119"/>
      <c r="AJ57" s="2120"/>
      <c r="AK57" s="2120"/>
      <c r="AL57" s="2120"/>
      <c r="AM57" s="2120"/>
      <c r="AN57" s="2120"/>
      <c r="AO57" s="2120"/>
    </row>
    <row r="58" spans="1:41" ht="13.5" customHeight="1">
      <c r="A58" s="113"/>
      <c r="B58" s="442">
        <f t="shared" si="0"/>
        <v>2041</v>
      </c>
      <c r="C58" s="147"/>
      <c r="D58" s="2124">
        <v>82</v>
      </c>
      <c r="E58" s="2125">
        <v>163</v>
      </c>
      <c r="F58" s="2126">
        <v>245</v>
      </c>
      <c r="G58" s="2125">
        <v>82</v>
      </c>
      <c r="H58" s="2125">
        <v>163</v>
      </c>
      <c r="I58" s="415">
        <v>245</v>
      </c>
      <c r="J58" s="2702">
        <f>D58*VLOOKUP($J$24,'Annual Parameters'!$B$33:$D$143,3,0)/VLOOKUP($B$14,'Annual Parameters'!$B$33:$D$143,3,0)</f>
        <v>71.622489999999999</v>
      </c>
      <c r="K58" s="2703">
        <f>E58*VLOOKUP($J$24,'Annual Parameters'!$B$33:$D$143,3,0)/VLOOKUP($B$14,'Annual Parameters'!$B$33:$D$143,3,0)</f>
        <v>142.37153499999999</v>
      </c>
      <c r="L58" s="2704">
        <f>F58*VLOOKUP($J$24,'Annual Parameters'!$B$33:$D$143,3,0)/VLOOKUP($B$14,'Annual Parameters'!$B$33:$D$143,3,0)</f>
        <v>213.99402499999997</v>
      </c>
      <c r="M58" s="2122"/>
      <c r="N58" s="2122"/>
      <c r="O58" s="2122"/>
      <c r="P58" s="2122"/>
      <c r="Q58" s="2122"/>
      <c r="R58" s="26"/>
      <c r="S58" s="2370"/>
      <c r="T58" s="2370"/>
      <c r="U58" s="2370"/>
      <c r="V58" s="2370"/>
      <c r="W58" s="2370"/>
      <c r="X58" s="2370"/>
      <c r="Y58" s="65"/>
      <c r="AA58" s="2119"/>
      <c r="AB58" s="2122"/>
      <c r="AC58" s="2122"/>
      <c r="AD58" s="2122"/>
      <c r="AE58" s="2122"/>
      <c r="AF58" s="2122"/>
      <c r="AG58" s="2122"/>
      <c r="AI58" s="2119"/>
      <c r="AJ58" s="2120"/>
      <c r="AK58" s="2120"/>
      <c r="AL58" s="2120"/>
      <c r="AM58" s="2120"/>
      <c r="AN58" s="2120"/>
      <c r="AO58" s="2120"/>
    </row>
    <row r="59" spans="1:41" ht="13.5" customHeight="1">
      <c r="A59" s="113"/>
      <c r="B59" s="442">
        <f t="shared" si="0"/>
        <v>2042</v>
      </c>
      <c r="C59" s="147"/>
      <c r="D59" s="2124">
        <v>85</v>
      </c>
      <c r="E59" s="2125">
        <v>171</v>
      </c>
      <c r="F59" s="2126">
        <v>256</v>
      </c>
      <c r="G59" s="2125">
        <v>85</v>
      </c>
      <c r="H59" s="2125">
        <v>171</v>
      </c>
      <c r="I59" s="415">
        <v>256</v>
      </c>
      <c r="J59" s="2702">
        <f>D59*VLOOKUP($J$24,'Annual Parameters'!$B$33:$D$143,3,0)/VLOOKUP($B$14,'Annual Parameters'!$B$33:$D$143,3,0)</f>
        <v>74.242824999999996</v>
      </c>
      <c r="K59" s="2703">
        <f>E59*VLOOKUP($J$24,'Annual Parameters'!$B$33:$D$143,3,0)/VLOOKUP($B$14,'Annual Parameters'!$B$33:$D$143,3,0)</f>
        <v>149.359095</v>
      </c>
      <c r="L59" s="2704">
        <f>F59*VLOOKUP($J$24,'Annual Parameters'!$B$33:$D$143,3,0)/VLOOKUP($B$14,'Annual Parameters'!$B$33:$D$143,3,0)</f>
        <v>223.60191999999998</v>
      </c>
      <c r="M59" s="2122"/>
      <c r="N59" s="2122"/>
      <c r="O59" s="2122"/>
      <c r="P59" s="2122"/>
      <c r="Q59" s="2122"/>
      <c r="R59" s="26"/>
      <c r="S59" s="2370"/>
      <c r="T59" s="2370"/>
      <c r="U59" s="2370"/>
      <c r="V59" s="2370"/>
      <c r="W59" s="2370"/>
      <c r="X59" s="2370"/>
      <c r="Y59" s="65"/>
      <c r="AA59" s="2119"/>
      <c r="AB59" s="2122"/>
      <c r="AC59" s="2122"/>
      <c r="AD59" s="2122"/>
      <c r="AE59" s="2122"/>
      <c r="AF59" s="2122"/>
      <c r="AG59" s="2122"/>
      <c r="AI59" s="2119"/>
      <c r="AJ59" s="2120"/>
      <c r="AK59" s="2120"/>
      <c r="AL59" s="2120"/>
      <c r="AM59" s="2120"/>
      <c r="AN59" s="2120"/>
      <c r="AO59" s="2120"/>
    </row>
    <row r="60" spans="1:41" ht="13.5" customHeight="1">
      <c r="A60" s="113"/>
      <c r="B60" s="442">
        <f t="shared" si="0"/>
        <v>2043</v>
      </c>
      <c r="C60" s="147"/>
      <c r="D60" s="2124">
        <v>89</v>
      </c>
      <c r="E60" s="2125">
        <v>178</v>
      </c>
      <c r="F60" s="2126">
        <v>268</v>
      </c>
      <c r="G60" s="2125">
        <v>89</v>
      </c>
      <c r="H60" s="2125">
        <v>178</v>
      </c>
      <c r="I60" s="415">
        <v>268</v>
      </c>
      <c r="J60" s="2702">
        <f>D60*VLOOKUP($J$24,'Annual Parameters'!$B$33:$D$143,3,0)/VLOOKUP($B$14,'Annual Parameters'!$B$33:$D$143,3,0)</f>
        <v>77.736604999999997</v>
      </c>
      <c r="K60" s="2703">
        <f>E60*VLOOKUP($J$24,'Annual Parameters'!$B$33:$D$143,3,0)/VLOOKUP($B$14,'Annual Parameters'!$B$33:$D$143,3,0)</f>
        <v>155.47320999999999</v>
      </c>
      <c r="L60" s="2704">
        <f>F60*VLOOKUP($J$24,'Annual Parameters'!$B$33:$D$143,3,0)/VLOOKUP($B$14,'Annual Parameters'!$B$33:$D$143,3,0)</f>
        <v>234.08325999999997</v>
      </c>
      <c r="M60" s="2122"/>
      <c r="N60" s="2122"/>
      <c r="O60" s="2122"/>
      <c r="P60" s="2122"/>
      <c r="Q60" s="2122"/>
      <c r="R60" s="26"/>
      <c r="S60" s="2370"/>
      <c r="T60" s="2370"/>
      <c r="U60" s="2370"/>
      <c r="V60" s="2370"/>
      <c r="W60" s="2370"/>
      <c r="X60" s="2370"/>
      <c r="Y60" s="65"/>
      <c r="AA60" s="2119"/>
      <c r="AB60" s="2122"/>
      <c r="AC60" s="2122"/>
      <c r="AD60" s="2122"/>
      <c r="AE60" s="2122"/>
      <c r="AF60" s="2122"/>
      <c r="AG60" s="2122"/>
      <c r="AI60" s="2119"/>
      <c r="AJ60" s="2120"/>
      <c r="AK60" s="2120"/>
      <c r="AL60" s="2120"/>
      <c r="AM60" s="2120"/>
      <c r="AN60" s="2120"/>
      <c r="AO60" s="2120"/>
    </row>
    <row r="61" spans="1:41" ht="13.5" customHeight="1">
      <c r="A61" s="113"/>
      <c r="B61" s="442">
        <f t="shared" si="0"/>
        <v>2044</v>
      </c>
      <c r="C61" s="147"/>
      <c r="D61" s="2124">
        <v>93</v>
      </c>
      <c r="E61" s="2125">
        <v>186</v>
      </c>
      <c r="F61" s="2126">
        <v>279</v>
      </c>
      <c r="G61" s="2125">
        <v>93</v>
      </c>
      <c r="H61" s="2125">
        <v>186</v>
      </c>
      <c r="I61" s="415">
        <v>279</v>
      </c>
      <c r="J61" s="2702">
        <f>D61*VLOOKUP($J$24,'Annual Parameters'!$B$33:$D$143,3,0)/VLOOKUP($B$14,'Annual Parameters'!$B$33:$D$143,3,0)</f>
        <v>81.230384999999998</v>
      </c>
      <c r="K61" s="2703">
        <f>E61*VLOOKUP($J$24,'Annual Parameters'!$B$33:$D$143,3,0)/VLOOKUP($B$14,'Annual Parameters'!$B$33:$D$143,3,0)</f>
        <v>162.46077</v>
      </c>
      <c r="L61" s="2704">
        <f>F61*VLOOKUP($J$24,'Annual Parameters'!$B$33:$D$143,3,0)/VLOOKUP($B$14,'Annual Parameters'!$B$33:$D$143,3,0)</f>
        <v>243.69115499999998</v>
      </c>
      <c r="M61" s="2122"/>
      <c r="N61" s="2122"/>
      <c r="O61" s="2122"/>
      <c r="P61" s="2122"/>
      <c r="Q61" s="2122"/>
      <c r="R61" s="26"/>
      <c r="S61" s="2370"/>
      <c r="T61" s="2370"/>
      <c r="U61" s="2370"/>
      <c r="V61" s="2370"/>
      <c r="W61" s="2370"/>
      <c r="X61" s="2370"/>
      <c r="Y61" s="65"/>
      <c r="AA61" s="2119"/>
      <c r="AB61" s="2122"/>
      <c r="AC61" s="2122"/>
      <c r="AD61" s="2122"/>
      <c r="AE61" s="2122"/>
      <c r="AF61" s="2122"/>
      <c r="AG61" s="2122"/>
      <c r="AI61" s="2119"/>
      <c r="AJ61" s="2120"/>
      <c r="AK61" s="2120"/>
      <c r="AL61" s="2120"/>
      <c r="AM61" s="2120"/>
      <c r="AN61" s="2120"/>
      <c r="AO61" s="2120"/>
    </row>
    <row r="62" spans="1:41" ht="13.5" customHeight="1">
      <c r="A62" s="113"/>
      <c r="B62" s="442">
        <f t="shared" si="0"/>
        <v>2045</v>
      </c>
      <c r="C62" s="147"/>
      <c r="D62" s="2124">
        <v>97</v>
      </c>
      <c r="E62" s="2125">
        <v>193</v>
      </c>
      <c r="F62" s="2126">
        <v>290</v>
      </c>
      <c r="G62" s="2125">
        <v>97</v>
      </c>
      <c r="H62" s="2125">
        <v>193</v>
      </c>
      <c r="I62" s="415">
        <v>290</v>
      </c>
      <c r="J62" s="2702">
        <f>D62*VLOOKUP($J$24,'Annual Parameters'!$B$33:$D$143,3,0)/VLOOKUP($B$14,'Annual Parameters'!$B$33:$D$143,3,0)</f>
        <v>84.724164999999985</v>
      </c>
      <c r="K62" s="2703">
        <f>E62*VLOOKUP($J$24,'Annual Parameters'!$B$33:$D$143,3,0)/VLOOKUP($B$14,'Annual Parameters'!$B$33:$D$143,3,0)</f>
        <v>168.57488499999999</v>
      </c>
      <c r="L62" s="2704">
        <f>F62*VLOOKUP($J$24,'Annual Parameters'!$B$33:$D$143,3,0)/VLOOKUP($B$14,'Annual Parameters'!$B$33:$D$143,3,0)</f>
        <v>253.29904999999997</v>
      </c>
      <c r="M62" s="2122"/>
      <c r="N62" s="2122"/>
      <c r="O62" s="2122"/>
      <c r="P62" s="2122"/>
      <c r="Q62" s="2122"/>
      <c r="R62" s="26"/>
      <c r="S62" s="2370"/>
      <c r="T62" s="2370"/>
      <c r="U62" s="2370"/>
      <c r="V62" s="2370"/>
      <c r="W62" s="2370"/>
      <c r="X62" s="2370"/>
      <c r="Y62" s="65"/>
      <c r="AA62" s="2119"/>
      <c r="AB62" s="2122"/>
      <c r="AC62" s="2122"/>
      <c r="AD62" s="2122"/>
      <c r="AE62" s="2122"/>
      <c r="AF62" s="2122"/>
      <c r="AG62" s="2122"/>
      <c r="AI62" s="2119"/>
      <c r="AJ62" s="2120"/>
      <c r="AK62" s="2120"/>
      <c r="AL62" s="2120"/>
      <c r="AM62" s="2120"/>
      <c r="AN62" s="2120"/>
      <c r="AO62" s="2120"/>
    </row>
    <row r="63" spans="1:41" ht="13.5" customHeight="1">
      <c r="A63" s="113"/>
      <c r="B63" s="442">
        <f t="shared" si="0"/>
        <v>2046</v>
      </c>
      <c r="C63" s="147"/>
      <c r="D63" s="2124">
        <v>100</v>
      </c>
      <c r="E63" s="2125">
        <v>201</v>
      </c>
      <c r="F63" s="2126">
        <v>301</v>
      </c>
      <c r="G63" s="2125">
        <v>100</v>
      </c>
      <c r="H63" s="2125">
        <v>201</v>
      </c>
      <c r="I63" s="415">
        <v>301</v>
      </c>
      <c r="J63" s="2702">
        <f>D63*VLOOKUP($J$24,'Annual Parameters'!$B$33:$D$143,3,0)/VLOOKUP($B$14,'Annual Parameters'!$B$33:$D$143,3,0)</f>
        <v>87.344499999999996</v>
      </c>
      <c r="K63" s="2703">
        <f>E63*VLOOKUP($J$24,'Annual Parameters'!$B$33:$D$143,3,0)/VLOOKUP($B$14,'Annual Parameters'!$B$33:$D$143,3,0)</f>
        <v>175.562445</v>
      </c>
      <c r="L63" s="2704">
        <f>F63*VLOOKUP($J$24,'Annual Parameters'!$B$33:$D$143,3,0)/VLOOKUP($B$14,'Annual Parameters'!$B$33:$D$143,3,0)</f>
        <v>262.90694499999995</v>
      </c>
      <c r="M63" s="2122"/>
      <c r="N63" s="2122"/>
      <c r="O63" s="2122"/>
      <c r="P63" s="2122"/>
      <c r="Q63" s="2122"/>
      <c r="R63" s="26"/>
      <c r="S63" s="2370"/>
      <c r="T63" s="2370"/>
      <c r="U63" s="2370"/>
      <c r="V63" s="2370"/>
      <c r="W63" s="2370"/>
      <c r="X63" s="2370"/>
      <c r="Y63" s="65"/>
      <c r="AA63" s="2119"/>
      <c r="AB63" s="2122"/>
      <c r="AC63" s="2122"/>
      <c r="AD63" s="2122"/>
      <c r="AE63" s="2122"/>
      <c r="AF63" s="2122"/>
      <c r="AG63" s="2122"/>
      <c r="AI63" s="2119"/>
      <c r="AJ63" s="2120"/>
      <c r="AK63" s="2120"/>
      <c r="AL63" s="2120"/>
      <c r="AM63" s="2120"/>
      <c r="AN63" s="2120"/>
      <c r="AO63" s="2120"/>
    </row>
    <row r="64" spans="1:41" ht="13.5" customHeight="1">
      <c r="A64" s="113"/>
      <c r="B64" s="442">
        <f t="shared" si="0"/>
        <v>2047</v>
      </c>
      <c r="C64" s="147"/>
      <c r="D64" s="2124">
        <v>104</v>
      </c>
      <c r="E64" s="2125">
        <v>208</v>
      </c>
      <c r="F64" s="2126">
        <v>313</v>
      </c>
      <c r="G64" s="2125">
        <v>104</v>
      </c>
      <c r="H64" s="2125">
        <v>208</v>
      </c>
      <c r="I64" s="415">
        <v>313</v>
      </c>
      <c r="J64" s="2702">
        <f>D64*VLOOKUP($J$24,'Annual Parameters'!$B$33:$D$143,3,0)/VLOOKUP($B$14,'Annual Parameters'!$B$33:$D$143,3,0)</f>
        <v>90.838279999999997</v>
      </c>
      <c r="K64" s="2703">
        <f>E64*VLOOKUP($J$24,'Annual Parameters'!$B$33:$D$143,3,0)/VLOOKUP($B$14,'Annual Parameters'!$B$33:$D$143,3,0)</f>
        <v>181.67655999999999</v>
      </c>
      <c r="L64" s="2704">
        <f>F64*VLOOKUP($J$24,'Annual Parameters'!$B$33:$D$143,3,0)/VLOOKUP($B$14,'Annual Parameters'!$B$33:$D$143,3,0)</f>
        <v>273.388285</v>
      </c>
      <c r="M64" s="2122"/>
      <c r="N64" s="2122"/>
      <c r="O64" s="2122"/>
      <c r="P64" s="2122"/>
      <c r="Q64" s="2122"/>
      <c r="R64" s="26"/>
      <c r="S64" s="2370"/>
      <c r="T64" s="2370"/>
      <c r="U64" s="2370"/>
      <c r="V64" s="2370"/>
      <c r="W64" s="2370"/>
      <c r="X64" s="2370"/>
      <c r="Y64" s="65"/>
      <c r="AA64" s="2119"/>
      <c r="AB64" s="2122"/>
      <c r="AC64" s="2122"/>
      <c r="AD64" s="2122"/>
      <c r="AE64" s="2122"/>
      <c r="AF64" s="2122"/>
      <c r="AG64" s="2122"/>
      <c r="AI64" s="2119"/>
      <c r="AJ64" s="2120"/>
      <c r="AK64" s="2120"/>
      <c r="AL64" s="2120"/>
      <c r="AM64" s="2120"/>
      <c r="AN64" s="2120"/>
      <c r="AO64" s="2120"/>
    </row>
    <row r="65" spans="1:41" ht="13.5" customHeight="1">
      <c r="A65" s="113"/>
      <c r="B65" s="442">
        <f t="shared" si="0"/>
        <v>2048</v>
      </c>
      <c r="C65" s="147"/>
      <c r="D65" s="2124">
        <v>108</v>
      </c>
      <c r="E65" s="2125">
        <v>216</v>
      </c>
      <c r="F65" s="2126">
        <v>324</v>
      </c>
      <c r="G65" s="2125">
        <v>108</v>
      </c>
      <c r="H65" s="2125">
        <v>216</v>
      </c>
      <c r="I65" s="415">
        <v>324</v>
      </c>
      <c r="J65" s="2702">
        <f>D65*VLOOKUP($J$24,'Annual Parameters'!$B$33:$D$143,3,0)/VLOOKUP($B$14,'Annual Parameters'!$B$33:$D$143,3,0)</f>
        <v>94.332059999999984</v>
      </c>
      <c r="K65" s="2703">
        <f>E65*VLOOKUP($J$24,'Annual Parameters'!$B$33:$D$143,3,0)/VLOOKUP($B$14,'Annual Parameters'!$B$33:$D$143,3,0)</f>
        <v>188.66411999999997</v>
      </c>
      <c r="L65" s="2704">
        <f>F65*VLOOKUP($J$24,'Annual Parameters'!$B$33:$D$143,3,0)/VLOOKUP($B$14,'Annual Parameters'!$B$33:$D$143,3,0)</f>
        <v>282.99617999999998</v>
      </c>
      <c r="M65" s="2122"/>
      <c r="N65" s="2122"/>
      <c r="O65" s="2122"/>
      <c r="P65" s="2122"/>
      <c r="Q65" s="2122"/>
      <c r="R65" s="26"/>
      <c r="S65" s="2370"/>
      <c r="T65" s="2370"/>
      <c r="U65" s="2370"/>
      <c r="V65" s="2370"/>
      <c r="W65" s="2370"/>
      <c r="X65" s="2370"/>
      <c r="Y65" s="65"/>
      <c r="AA65" s="2119"/>
      <c r="AB65" s="2122"/>
      <c r="AC65" s="2122"/>
      <c r="AD65" s="2122"/>
      <c r="AE65" s="2122"/>
      <c r="AF65" s="2122"/>
      <c r="AG65" s="2122"/>
      <c r="AI65" s="2119"/>
      <c r="AJ65" s="2120"/>
      <c r="AK65" s="2120"/>
      <c r="AL65" s="2120"/>
      <c r="AM65" s="2120"/>
      <c r="AN65" s="2120"/>
      <c r="AO65" s="2120"/>
    </row>
    <row r="66" spans="1:41" ht="13.5" customHeight="1">
      <c r="A66" s="113"/>
      <c r="B66" s="442">
        <f t="shared" si="0"/>
        <v>2049</v>
      </c>
      <c r="C66" s="147"/>
      <c r="D66" s="2124">
        <v>112</v>
      </c>
      <c r="E66" s="2125">
        <v>223</v>
      </c>
      <c r="F66" s="2126">
        <v>335</v>
      </c>
      <c r="G66" s="2125">
        <v>112</v>
      </c>
      <c r="H66" s="2125">
        <v>223</v>
      </c>
      <c r="I66" s="415">
        <v>335</v>
      </c>
      <c r="J66" s="2702">
        <f>D66*VLOOKUP($J$24,'Annual Parameters'!$B$33:$D$143,3,0)/VLOOKUP($B$14,'Annual Parameters'!$B$33:$D$143,3,0)</f>
        <v>97.825839999999985</v>
      </c>
      <c r="K66" s="2703">
        <f>E66*VLOOKUP($J$24,'Annual Parameters'!$B$33:$D$143,3,0)/VLOOKUP($B$14,'Annual Parameters'!$B$33:$D$143,3,0)</f>
        <v>194.778235</v>
      </c>
      <c r="L66" s="2704">
        <f>F66*VLOOKUP($J$24,'Annual Parameters'!$B$33:$D$143,3,0)/VLOOKUP($B$14,'Annual Parameters'!$B$33:$D$143,3,0)</f>
        <v>292.60407499999997</v>
      </c>
      <c r="M66" s="2122"/>
      <c r="N66" s="2122"/>
      <c r="O66" s="2122"/>
      <c r="P66" s="2122"/>
      <c r="Q66" s="2122"/>
      <c r="R66" s="26"/>
      <c r="S66" s="2370"/>
      <c r="T66" s="2370"/>
      <c r="U66" s="2370"/>
      <c r="V66" s="2370"/>
      <c r="W66" s="2370"/>
      <c r="X66" s="2370"/>
      <c r="Y66" s="65"/>
      <c r="AA66" s="2119"/>
      <c r="AB66" s="2122"/>
      <c r="AC66" s="2122"/>
      <c r="AD66" s="2122"/>
      <c r="AE66" s="2122"/>
      <c r="AF66" s="2122"/>
      <c r="AG66" s="2122"/>
      <c r="AI66" s="2119"/>
      <c r="AJ66" s="2120"/>
      <c r="AK66" s="2120"/>
      <c r="AL66" s="2120"/>
      <c r="AM66" s="2120"/>
      <c r="AN66" s="2120"/>
      <c r="AO66" s="2120"/>
    </row>
    <row r="67" spans="1:41" ht="13.5" customHeight="1">
      <c r="A67" s="113"/>
      <c r="B67" s="442">
        <f t="shared" si="0"/>
        <v>2050</v>
      </c>
      <c r="C67" s="147"/>
      <c r="D67" s="2124">
        <v>115</v>
      </c>
      <c r="E67" s="2125">
        <v>231</v>
      </c>
      <c r="F67" s="2126">
        <v>346</v>
      </c>
      <c r="G67" s="2125">
        <v>115</v>
      </c>
      <c r="H67" s="2125">
        <v>231</v>
      </c>
      <c r="I67" s="415">
        <v>346</v>
      </c>
      <c r="J67" s="2702">
        <f>D67*VLOOKUP($J$24,'Annual Parameters'!$B$33:$D$143,3,0)/VLOOKUP($B$14,'Annual Parameters'!$B$33:$D$143,3,0)</f>
        <v>100.446175</v>
      </c>
      <c r="K67" s="2703">
        <f>E67*VLOOKUP($J$24,'Annual Parameters'!$B$33:$D$143,3,0)/VLOOKUP($B$14,'Annual Parameters'!$B$33:$D$143,3,0)</f>
        <v>201.76579499999997</v>
      </c>
      <c r="L67" s="2704">
        <f>F67*VLOOKUP($J$24,'Annual Parameters'!$B$33:$D$143,3,0)/VLOOKUP($B$14,'Annual Parameters'!$B$33:$D$143,3,0)</f>
        <v>302.21196999999995</v>
      </c>
      <c r="M67" s="2122"/>
      <c r="N67" s="2122"/>
      <c r="O67" s="2122"/>
      <c r="P67" s="2122"/>
      <c r="Q67" s="2122"/>
      <c r="R67" s="26"/>
      <c r="S67" s="2370"/>
      <c r="T67" s="2370"/>
      <c r="U67" s="2370"/>
      <c r="V67" s="2370"/>
      <c r="W67" s="2370"/>
      <c r="X67" s="2370"/>
      <c r="Y67" s="65"/>
      <c r="AA67" s="2119"/>
      <c r="AB67" s="2122"/>
      <c r="AC67" s="2122"/>
      <c r="AD67" s="2122"/>
      <c r="AE67" s="2122"/>
      <c r="AF67" s="2122"/>
      <c r="AG67" s="2122"/>
      <c r="AI67" s="2119"/>
      <c r="AJ67" s="2120"/>
      <c r="AK67" s="2120"/>
      <c r="AL67" s="2120"/>
      <c r="AM67" s="2120"/>
      <c r="AN67" s="2120"/>
      <c r="AO67" s="2120"/>
    </row>
    <row r="68" spans="1:41" ht="13.5" customHeight="1">
      <c r="A68" s="113"/>
      <c r="B68" s="442">
        <f t="shared" si="0"/>
        <v>2051</v>
      </c>
      <c r="C68" s="147"/>
      <c r="D68" s="2124">
        <v>118</v>
      </c>
      <c r="E68" s="2125">
        <v>239</v>
      </c>
      <c r="F68" s="2126">
        <v>360</v>
      </c>
      <c r="G68" s="2125">
        <v>118</v>
      </c>
      <c r="H68" s="2125">
        <v>239</v>
      </c>
      <c r="I68" s="415">
        <v>360</v>
      </c>
      <c r="J68" s="2702">
        <f>D68*VLOOKUP($J$24,'Annual Parameters'!$B$33:$D$143,3,0)/VLOOKUP($B$14,'Annual Parameters'!$B$33:$D$143,3,0)</f>
        <v>103.06650999999999</v>
      </c>
      <c r="K68" s="2703">
        <f>E68*VLOOKUP($J$24,'Annual Parameters'!$B$33:$D$143,3,0)/VLOOKUP($B$14,'Annual Parameters'!$B$33:$D$143,3,0)</f>
        <v>208.75335499999997</v>
      </c>
      <c r="L68" s="2704">
        <f>F68*VLOOKUP($J$24,'Annual Parameters'!$B$33:$D$143,3,0)/VLOOKUP($B$14,'Annual Parameters'!$B$33:$D$143,3,0)</f>
        <v>314.44019999999995</v>
      </c>
      <c r="M68" s="2122"/>
      <c r="N68" s="2122"/>
      <c r="O68" s="2122"/>
      <c r="P68" s="2122"/>
      <c r="Q68" s="2122"/>
      <c r="R68" s="26"/>
      <c r="S68" s="2370"/>
      <c r="T68" s="2370"/>
      <c r="U68" s="2370"/>
      <c r="V68" s="2370"/>
      <c r="W68" s="2370"/>
      <c r="X68" s="2370"/>
      <c r="Y68" s="65"/>
      <c r="AA68" s="2119"/>
      <c r="AB68" s="2122"/>
      <c r="AC68" s="2122"/>
      <c r="AD68" s="2122"/>
      <c r="AE68" s="2122"/>
      <c r="AF68" s="2122"/>
      <c r="AG68" s="2122"/>
      <c r="AI68" s="2119"/>
      <c r="AJ68" s="2120"/>
      <c r="AK68" s="2120"/>
      <c r="AL68" s="2120"/>
      <c r="AM68" s="2120"/>
      <c r="AN68" s="2120"/>
      <c r="AO68" s="2120"/>
    </row>
    <row r="69" spans="1:41" ht="13.5" customHeight="1">
      <c r="A69" s="113"/>
      <c r="B69" s="442">
        <f t="shared" si="0"/>
        <v>2052</v>
      </c>
      <c r="C69" s="147"/>
      <c r="D69" s="2124">
        <v>121</v>
      </c>
      <c r="E69" s="2125">
        <v>247</v>
      </c>
      <c r="F69" s="2126">
        <v>373</v>
      </c>
      <c r="G69" s="2125">
        <v>121</v>
      </c>
      <c r="H69" s="2125">
        <v>247</v>
      </c>
      <c r="I69" s="415">
        <v>373</v>
      </c>
      <c r="J69" s="2702">
        <f>D69*VLOOKUP($J$24,'Annual Parameters'!$B$33:$D$143,3,0)/VLOOKUP($B$14,'Annual Parameters'!$B$33:$D$143,3,0)</f>
        <v>105.68684499999999</v>
      </c>
      <c r="K69" s="2703">
        <f>E69*VLOOKUP($J$24,'Annual Parameters'!$B$33:$D$143,3,0)/VLOOKUP($B$14,'Annual Parameters'!$B$33:$D$143,3,0)</f>
        <v>215.74091499999997</v>
      </c>
      <c r="L69" s="2704">
        <f>F69*VLOOKUP($J$24,'Annual Parameters'!$B$33:$D$143,3,0)/VLOOKUP($B$14,'Annual Parameters'!$B$33:$D$143,3,0)</f>
        <v>325.79498499999994</v>
      </c>
      <c r="M69" s="2122"/>
      <c r="N69" s="2122"/>
      <c r="O69" s="2122"/>
      <c r="P69" s="2122"/>
      <c r="Q69" s="2122"/>
      <c r="R69" s="26"/>
      <c r="S69" s="2370"/>
      <c r="T69" s="2370"/>
      <c r="U69" s="2370"/>
      <c r="V69" s="2370"/>
      <c r="W69" s="2370"/>
      <c r="X69" s="2370"/>
      <c r="Y69" s="65"/>
      <c r="AA69" s="2119"/>
      <c r="AB69" s="2122"/>
      <c r="AC69" s="2122"/>
      <c r="AD69" s="2122"/>
      <c r="AE69" s="2122"/>
      <c r="AF69" s="2122"/>
      <c r="AG69" s="2122"/>
      <c r="AI69" s="2119"/>
      <c r="AJ69" s="2120"/>
      <c r="AK69" s="2120"/>
      <c r="AL69" s="2120"/>
      <c r="AM69" s="2120"/>
      <c r="AN69" s="2120"/>
      <c r="AO69" s="2120"/>
    </row>
    <row r="70" spans="1:41" ht="13.5" customHeight="1">
      <c r="A70" s="113"/>
      <c r="B70" s="442">
        <f t="shared" si="0"/>
        <v>2053</v>
      </c>
      <c r="C70" s="147"/>
      <c r="D70" s="2124">
        <v>124</v>
      </c>
      <c r="E70" s="2125">
        <v>255</v>
      </c>
      <c r="F70" s="2126">
        <v>386</v>
      </c>
      <c r="G70" s="2125">
        <v>124</v>
      </c>
      <c r="H70" s="2125">
        <v>255</v>
      </c>
      <c r="I70" s="415">
        <v>386</v>
      </c>
      <c r="J70" s="2702">
        <f>D70*VLOOKUP($J$24,'Annual Parameters'!$B$33:$D$143,3,0)/VLOOKUP($B$14,'Annual Parameters'!$B$33:$D$143,3,0)</f>
        <v>108.30717999999999</v>
      </c>
      <c r="K70" s="2703">
        <f>E70*VLOOKUP($J$24,'Annual Parameters'!$B$33:$D$143,3,0)/VLOOKUP($B$14,'Annual Parameters'!$B$33:$D$143,3,0)</f>
        <v>222.72847499999997</v>
      </c>
      <c r="L70" s="2704">
        <f>F70*VLOOKUP($J$24,'Annual Parameters'!$B$33:$D$143,3,0)/VLOOKUP($B$14,'Annual Parameters'!$B$33:$D$143,3,0)</f>
        <v>337.14976999999999</v>
      </c>
      <c r="M70" s="2122"/>
      <c r="N70" s="2122"/>
      <c r="O70" s="2122"/>
      <c r="P70" s="2122"/>
      <c r="Q70" s="2122"/>
      <c r="R70" s="26"/>
      <c r="S70" s="2370"/>
      <c r="T70" s="2370"/>
      <c r="U70" s="2370"/>
      <c r="V70" s="2370"/>
      <c r="W70" s="2370"/>
      <c r="X70" s="2370"/>
      <c r="Y70" s="65"/>
      <c r="AA70" s="2121"/>
      <c r="AB70" s="2122"/>
      <c r="AC70" s="2122"/>
      <c r="AD70" s="2122"/>
      <c r="AE70" s="2122"/>
      <c r="AF70" s="2122"/>
      <c r="AG70" s="2122"/>
      <c r="AI70" s="2121"/>
      <c r="AJ70" s="2120"/>
      <c r="AK70" s="2120"/>
      <c r="AL70" s="2120"/>
      <c r="AM70" s="2120"/>
      <c r="AN70" s="2120"/>
      <c r="AO70" s="2120"/>
    </row>
    <row r="71" spans="1:41" ht="13.5" customHeight="1">
      <c r="A71" s="113"/>
      <c r="B71" s="442">
        <f t="shared" si="0"/>
        <v>2054</v>
      </c>
      <c r="C71" s="147"/>
      <c r="D71" s="2124">
        <v>126</v>
      </c>
      <c r="E71" s="2125">
        <v>263</v>
      </c>
      <c r="F71" s="2126">
        <v>400</v>
      </c>
      <c r="G71" s="2125">
        <v>126</v>
      </c>
      <c r="H71" s="2125">
        <v>263</v>
      </c>
      <c r="I71" s="415">
        <v>400</v>
      </c>
      <c r="J71" s="2702">
        <f>D71*VLOOKUP($J$24,'Annual Parameters'!$B$33:$D$143,3,0)/VLOOKUP($B$14,'Annual Parameters'!$B$33:$D$143,3,0)</f>
        <v>110.05407</v>
      </c>
      <c r="K71" s="2703">
        <f>E71*VLOOKUP($J$24,'Annual Parameters'!$B$33:$D$143,3,0)/VLOOKUP($B$14,'Annual Parameters'!$B$33:$D$143,3,0)</f>
        <v>229.71603499999998</v>
      </c>
      <c r="L71" s="2704">
        <f>F71*VLOOKUP($J$24,'Annual Parameters'!$B$33:$D$143,3,0)/VLOOKUP($B$14,'Annual Parameters'!$B$33:$D$143,3,0)</f>
        <v>349.37799999999999</v>
      </c>
      <c r="M71" s="2122"/>
      <c r="N71" s="2122"/>
      <c r="O71" s="2122"/>
      <c r="P71" s="2122"/>
      <c r="Q71" s="2122"/>
      <c r="R71" s="26"/>
      <c r="S71" s="2370"/>
      <c r="T71" s="2370"/>
      <c r="U71" s="2370"/>
      <c r="V71" s="2370"/>
      <c r="W71" s="2370"/>
      <c r="X71" s="2370"/>
      <c r="Y71" s="65"/>
      <c r="AA71" s="2121"/>
      <c r="AB71" s="2122"/>
      <c r="AC71" s="2122"/>
      <c r="AD71" s="2122"/>
      <c r="AE71" s="2122"/>
      <c r="AF71" s="2122"/>
      <c r="AG71" s="2122"/>
      <c r="AI71" s="2121"/>
      <c r="AJ71" s="2120"/>
      <c r="AK71" s="2120"/>
      <c r="AL71" s="2120"/>
      <c r="AM71" s="2120"/>
      <c r="AN71" s="2120"/>
      <c r="AO71" s="2120"/>
    </row>
    <row r="72" spans="1:41" ht="13.5" customHeight="1">
      <c r="A72" s="113"/>
      <c r="B72" s="442">
        <f t="shared" si="0"/>
        <v>2055</v>
      </c>
      <c r="C72" s="147"/>
      <c r="D72" s="2124">
        <v>129</v>
      </c>
      <c r="E72" s="2125">
        <v>271</v>
      </c>
      <c r="F72" s="2126">
        <v>413</v>
      </c>
      <c r="G72" s="2125">
        <v>129</v>
      </c>
      <c r="H72" s="2125">
        <v>271</v>
      </c>
      <c r="I72" s="415">
        <v>413</v>
      </c>
      <c r="J72" s="2702">
        <f>D72*VLOOKUP($J$24,'Annual Parameters'!$B$33:$D$143,3,0)/VLOOKUP($B$14,'Annual Parameters'!$B$33:$D$143,3,0)</f>
        <v>112.67440499999999</v>
      </c>
      <c r="K72" s="2703">
        <f>E72*VLOOKUP($J$24,'Annual Parameters'!$B$33:$D$143,3,0)/VLOOKUP($B$14,'Annual Parameters'!$B$33:$D$143,3,0)</f>
        <v>236.70359499999998</v>
      </c>
      <c r="L72" s="2704">
        <f>F72*VLOOKUP($J$24,'Annual Parameters'!$B$33:$D$143,3,0)/VLOOKUP($B$14,'Annual Parameters'!$B$33:$D$143,3,0)</f>
        <v>360.73278499999998</v>
      </c>
      <c r="M72" s="2122"/>
      <c r="N72" s="2122"/>
      <c r="O72" s="2122"/>
      <c r="P72" s="2122"/>
      <c r="Q72" s="2122"/>
      <c r="R72" s="26"/>
      <c r="S72" s="2370"/>
      <c r="T72" s="2370"/>
      <c r="U72" s="2370"/>
      <c r="V72" s="2370"/>
      <c r="W72" s="2370"/>
      <c r="X72" s="2370"/>
      <c r="Y72" s="65"/>
      <c r="AA72" s="2121"/>
      <c r="AB72" s="2122"/>
      <c r="AC72" s="2122"/>
      <c r="AD72" s="2122"/>
      <c r="AE72" s="2122"/>
      <c r="AF72" s="2122"/>
      <c r="AG72" s="2122"/>
      <c r="AI72" s="2121"/>
      <c r="AJ72" s="2120"/>
      <c r="AK72" s="2120"/>
      <c r="AL72" s="2120"/>
      <c r="AM72" s="2120"/>
      <c r="AN72" s="2120"/>
      <c r="AO72" s="2120"/>
    </row>
    <row r="73" spans="1:41" ht="13.5" customHeight="1">
      <c r="A73" s="113"/>
      <c r="B73" s="442">
        <f t="shared" si="0"/>
        <v>2056</v>
      </c>
      <c r="C73" s="147"/>
      <c r="D73" s="2124">
        <v>131</v>
      </c>
      <c r="E73" s="2125">
        <v>278</v>
      </c>
      <c r="F73" s="2126">
        <v>426</v>
      </c>
      <c r="G73" s="2125">
        <v>131</v>
      </c>
      <c r="H73" s="2125">
        <v>278</v>
      </c>
      <c r="I73" s="415">
        <v>426</v>
      </c>
      <c r="J73" s="2702">
        <f>D73*VLOOKUP($J$24,'Annual Parameters'!$B$33:$D$143,3,0)/VLOOKUP($B$14,'Annual Parameters'!$B$33:$D$143,3,0)</f>
        <v>114.42129499999999</v>
      </c>
      <c r="K73" s="2703">
        <f>E73*VLOOKUP($J$24,'Annual Parameters'!$B$33:$D$143,3,0)/VLOOKUP($B$14,'Annual Parameters'!$B$33:$D$143,3,0)</f>
        <v>242.81770999999998</v>
      </c>
      <c r="L73" s="2704">
        <f>F73*VLOOKUP($J$24,'Annual Parameters'!$B$33:$D$143,3,0)/VLOOKUP($B$14,'Annual Parameters'!$B$33:$D$143,3,0)</f>
        <v>372.08756999999997</v>
      </c>
      <c r="M73" s="2122"/>
      <c r="N73" s="2122"/>
      <c r="O73" s="2122"/>
      <c r="P73" s="2122"/>
      <c r="Q73" s="2122"/>
      <c r="R73" s="26"/>
      <c r="S73" s="2370"/>
      <c r="T73" s="2370"/>
      <c r="U73" s="2370"/>
      <c r="V73" s="2370"/>
      <c r="W73" s="2370"/>
      <c r="X73" s="2370"/>
      <c r="Y73" s="65"/>
      <c r="AA73" s="2121"/>
      <c r="AB73" s="2122"/>
      <c r="AC73" s="2122"/>
      <c r="AD73" s="2122"/>
      <c r="AE73" s="2122"/>
      <c r="AF73" s="2122"/>
      <c r="AG73" s="2122"/>
      <c r="AI73" s="2121"/>
      <c r="AJ73" s="2120"/>
      <c r="AK73" s="2120"/>
      <c r="AL73" s="2120"/>
      <c r="AM73" s="2120"/>
      <c r="AN73" s="2120"/>
      <c r="AO73" s="2120"/>
    </row>
    <row r="74" spans="1:41" ht="13.5" customHeight="1">
      <c r="A74" s="113"/>
      <c r="B74" s="442">
        <f t="shared" si="0"/>
        <v>2057</v>
      </c>
      <c r="C74" s="147"/>
      <c r="D74" s="2124">
        <v>133</v>
      </c>
      <c r="E74" s="2125">
        <v>286</v>
      </c>
      <c r="F74" s="2126">
        <v>439</v>
      </c>
      <c r="G74" s="2125">
        <v>133</v>
      </c>
      <c r="H74" s="2125">
        <v>286</v>
      </c>
      <c r="I74" s="415">
        <v>439</v>
      </c>
      <c r="J74" s="2702">
        <f>D74*VLOOKUP($J$24,'Annual Parameters'!$B$33:$D$143,3,0)/VLOOKUP($B$14,'Annual Parameters'!$B$33:$D$143,3,0)</f>
        <v>116.16818499999999</v>
      </c>
      <c r="K74" s="2703">
        <f>E74*VLOOKUP($J$24,'Annual Parameters'!$B$33:$D$143,3,0)/VLOOKUP($B$14,'Annual Parameters'!$B$33:$D$143,3,0)</f>
        <v>249.80526999999998</v>
      </c>
      <c r="L74" s="2704">
        <f>F74*VLOOKUP($J$24,'Annual Parameters'!$B$33:$D$143,3,0)/VLOOKUP($B$14,'Annual Parameters'!$B$33:$D$143,3,0)</f>
        <v>383.44235499999996</v>
      </c>
      <c r="M74" s="2122"/>
      <c r="N74" s="2122"/>
      <c r="O74" s="2122"/>
      <c r="P74" s="2122"/>
      <c r="Q74" s="2122"/>
      <c r="R74" s="26"/>
      <c r="S74" s="2370"/>
      <c r="T74" s="2370"/>
      <c r="U74" s="2370"/>
      <c r="V74" s="2370"/>
      <c r="W74" s="2370"/>
      <c r="X74" s="2370"/>
      <c r="Y74" s="65"/>
      <c r="AA74" s="2121"/>
      <c r="AB74" s="2122"/>
      <c r="AC74" s="2122"/>
      <c r="AD74" s="2122"/>
      <c r="AE74" s="2122"/>
      <c r="AF74" s="2122"/>
      <c r="AG74" s="2122"/>
      <c r="AI74" s="2121"/>
      <c r="AJ74" s="2120"/>
      <c r="AK74" s="2120"/>
      <c r="AL74" s="2120"/>
      <c r="AM74" s="2120"/>
      <c r="AN74" s="2120"/>
      <c r="AO74" s="2120"/>
    </row>
    <row r="75" spans="1:41" ht="13.5" customHeight="1">
      <c r="A75" s="113"/>
      <c r="B75" s="442">
        <f t="shared" si="0"/>
        <v>2058</v>
      </c>
      <c r="C75" s="147"/>
      <c r="D75" s="2124">
        <v>135</v>
      </c>
      <c r="E75" s="2125">
        <v>293</v>
      </c>
      <c r="F75" s="2126">
        <v>451</v>
      </c>
      <c r="G75" s="2125">
        <v>135</v>
      </c>
      <c r="H75" s="2125">
        <v>293</v>
      </c>
      <c r="I75" s="415">
        <v>451</v>
      </c>
      <c r="J75" s="2702">
        <f>D75*VLOOKUP($J$24,'Annual Parameters'!$B$33:$D$143,3,0)/VLOOKUP($B$14,'Annual Parameters'!$B$33:$D$143,3,0)</f>
        <v>117.91507499999999</v>
      </c>
      <c r="K75" s="2703">
        <f>E75*VLOOKUP($J$24,'Annual Parameters'!$B$33:$D$143,3,0)/VLOOKUP($B$14,'Annual Parameters'!$B$33:$D$143,3,0)</f>
        <v>255.91938499999998</v>
      </c>
      <c r="L75" s="2704">
        <f>F75*VLOOKUP($J$24,'Annual Parameters'!$B$33:$D$143,3,0)/VLOOKUP($B$14,'Annual Parameters'!$B$33:$D$143,3,0)</f>
        <v>393.92369499999995</v>
      </c>
      <c r="M75" s="2122"/>
      <c r="N75" s="2122"/>
      <c r="O75" s="2122"/>
      <c r="P75" s="2122"/>
      <c r="Q75" s="2122"/>
      <c r="R75" s="26"/>
      <c r="S75" s="2370"/>
      <c r="T75" s="2370"/>
      <c r="U75" s="2370"/>
      <c r="V75" s="2370"/>
      <c r="W75" s="2370"/>
      <c r="X75" s="2370"/>
      <c r="Y75" s="65"/>
      <c r="AA75" s="2121"/>
      <c r="AB75" s="2122"/>
      <c r="AC75" s="2122"/>
      <c r="AD75" s="2122"/>
      <c r="AE75" s="2122"/>
      <c r="AF75" s="2122"/>
      <c r="AG75" s="2122"/>
      <c r="AI75" s="2121"/>
      <c r="AJ75" s="2120"/>
      <c r="AK75" s="2120"/>
      <c r="AL75" s="2120"/>
      <c r="AM75" s="2120"/>
      <c r="AN75" s="2120"/>
      <c r="AO75" s="2120"/>
    </row>
    <row r="76" spans="1:41" ht="13.5" customHeight="1">
      <c r="A76" s="113"/>
      <c r="B76" s="442">
        <f t="shared" si="0"/>
        <v>2059</v>
      </c>
      <c r="C76" s="147"/>
      <c r="D76" s="2124">
        <v>137</v>
      </c>
      <c r="E76" s="2125">
        <v>300</v>
      </c>
      <c r="F76" s="2126">
        <v>464</v>
      </c>
      <c r="G76" s="2125">
        <v>137</v>
      </c>
      <c r="H76" s="2125">
        <v>300</v>
      </c>
      <c r="I76" s="415">
        <v>464</v>
      </c>
      <c r="J76" s="2702">
        <f>D76*VLOOKUP($J$24,'Annual Parameters'!$B$33:$D$143,3,0)/VLOOKUP($B$14,'Annual Parameters'!$B$33:$D$143,3,0)</f>
        <v>119.661965</v>
      </c>
      <c r="K76" s="2703">
        <f>E76*VLOOKUP($J$24,'Annual Parameters'!$B$33:$D$143,3,0)/VLOOKUP($B$14,'Annual Parameters'!$B$33:$D$143,3,0)</f>
        <v>262.03349999999995</v>
      </c>
      <c r="L76" s="2704">
        <f>F76*VLOOKUP($J$24,'Annual Parameters'!$B$33:$D$143,3,0)/VLOOKUP($B$14,'Annual Parameters'!$B$33:$D$143,3,0)</f>
        <v>405.27847999999994</v>
      </c>
      <c r="M76" s="2122"/>
      <c r="N76" s="2122"/>
      <c r="O76" s="2122"/>
      <c r="P76" s="2122"/>
      <c r="Q76" s="2122"/>
      <c r="R76" s="26"/>
      <c r="S76" s="2370"/>
      <c r="T76" s="2370"/>
      <c r="U76" s="2370"/>
      <c r="V76" s="2370"/>
      <c r="W76" s="2370"/>
      <c r="X76" s="2370"/>
      <c r="Y76" s="65"/>
      <c r="AA76" s="2121"/>
      <c r="AB76" s="2122"/>
      <c r="AC76" s="2122"/>
      <c r="AD76" s="2122"/>
      <c r="AE76" s="2122"/>
      <c r="AF76" s="2122"/>
      <c r="AG76" s="2122"/>
      <c r="AI76" s="2121"/>
      <c r="AJ76" s="2120"/>
      <c r="AK76" s="2120"/>
      <c r="AL76" s="2120"/>
      <c r="AM76" s="2120"/>
      <c r="AN76" s="2120"/>
      <c r="AO76" s="2120"/>
    </row>
    <row r="77" spans="1:41" ht="13.5" customHeight="1">
      <c r="A77" s="113"/>
      <c r="B77" s="442">
        <f t="shared" si="0"/>
        <v>2060</v>
      </c>
      <c r="C77" s="147"/>
      <c r="D77" s="2124">
        <v>138</v>
      </c>
      <c r="E77" s="2125">
        <v>307</v>
      </c>
      <c r="F77" s="2126">
        <v>476</v>
      </c>
      <c r="G77" s="2125">
        <v>138</v>
      </c>
      <c r="H77" s="2125">
        <v>307</v>
      </c>
      <c r="I77" s="415">
        <v>476</v>
      </c>
      <c r="J77" s="2702">
        <f>D77*VLOOKUP($J$24,'Annual Parameters'!$B$33:$D$143,3,0)/VLOOKUP($B$14,'Annual Parameters'!$B$33:$D$143,3,0)</f>
        <v>120.53540999999998</v>
      </c>
      <c r="K77" s="2703">
        <f>E77*VLOOKUP($J$24,'Annual Parameters'!$B$33:$D$143,3,0)/VLOOKUP($B$14,'Annual Parameters'!$B$33:$D$143,3,0)</f>
        <v>268.14761499999997</v>
      </c>
      <c r="L77" s="2704">
        <f>F77*VLOOKUP($J$24,'Annual Parameters'!$B$33:$D$143,3,0)/VLOOKUP($B$14,'Annual Parameters'!$B$33:$D$143,3,0)</f>
        <v>415.75981999999993</v>
      </c>
      <c r="M77" s="2122"/>
      <c r="N77" s="2122"/>
      <c r="O77" s="2122"/>
      <c r="P77" s="2122"/>
      <c r="Q77" s="2122"/>
      <c r="R77" s="26"/>
      <c r="S77" s="2370"/>
      <c r="T77" s="2370"/>
      <c r="U77" s="2370"/>
      <c r="V77" s="2370"/>
      <c r="W77" s="2370"/>
      <c r="X77" s="2370"/>
      <c r="Y77" s="65"/>
      <c r="AA77" s="2121"/>
      <c r="AB77" s="2122"/>
      <c r="AC77" s="2122"/>
      <c r="AD77" s="2122"/>
      <c r="AE77" s="2122"/>
      <c r="AF77" s="2122"/>
      <c r="AG77" s="2122"/>
      <c r="AI77" s="2121"/>
      <c r="AJ77" s="2120"/>
      <c r="AK77" s="2120"/>
      <c r="AL77" s="2120"/>
      <c r="AM77" s="2120"/>
      <c r="AN77" s="2120"/>
      <c r="AO77" s="2120"/>
    </row>
    <row r="78" spans="1:41" ht="13.5" customHeight="1">
      <c r="A78" s="113"/>
      <c r="B78" s="442">
        <f t="shared" si="0"/>
        <v>2061</v>
      </c>
      <c r="C78" s="147"/>
      <c r="D78" s="2124">
        <v>139</v>
      </c>
      <c r="E78" s="2125">
        <v>313</v>
      </c>
      <c r="F78" s="2126">
        <v>486</v>
      </c>
      <c r="G78" s="2125">
        <v>139</v>
      </c>
      <c r="H78" s="2125">
        <v>313</v>
      </c>
      <c r="I78" s="415">
        <v>486</v>
      </c>
      <c r="J78" s="2702">
        <f>D78*VLOOKUP($J$24,'Annual Parameters'!$B$33:$D$143,3,0)/VLOOKUP($B$14,'Annual Parameters'!$B$33:$D$143,3,0)</f>
        <v>121.40885499999999</v>
      </c>
      <c r="K78" s="2703">
        <f>E78*VLOOKUP($J$24,'Annual Parameters'!$B$33:$D$143,3,0)/VLOOKUP($B$14,'Annual Parameters'!$B$33:$D$143,3,0)</f>
        <v>273.388285</v>
      </c>
      <c r="L78" s="2704">
        <f>F78*VLOOKUP($J$24,'Annual Parameters'!$B$33:$D$143,3,0)/VLOOKUP($B$14,'Annual Parameters'!$B$33:$D$143,3,0)</f>
        <v>424.49426999999997</v>
      </c>
      <c r="M78" s="2122"/>
      <c r="N78" s="2122"/>
      <c r="O78" s="2122"/>
      <c r="P78" s="2122"/>
      <c r="Q78" s="2122"/>
      <c r="R78" s="26"/>
      <c r="S78" s="2370"/>
      <c r="T78" s="2370"/>
      <c r="U78" s="2370"/>
      <c r="V78" s="2370"/>
      <c r="W78" s="2370"/>
      <c r="X78" s="2370"/>
      <c r="Y78" s="65"/>
      <c r="AA78" s="2121"/>
      <c r="AB78" s="2122"/>
      <c r="AC78" s="2122"/>
      <c r="AD78" s="2122"/>
      <c r="AE78" s="2122"/>
      <c r="AF78" s="2122"/>
      <c r="AG78" s="2122"/>
      <c r="AI78" s="2121"/>
      <c r="AJ78" s="2120"/>
      <c r="AK78" s="2120"/>
      <c r="AL78" s="2120"/>
      <c r="AM78" s="2120"/>
      <c r="AN78" s="2120"/>
      <c r="AO78" s="2120"/>
    </row>
    <row r="79" spans="1:41" ht="13.5" customHeight="1">
      <c r="A79" s="113"/>
      <c r="B79" s="442">
        <f t="shared" si="0"/>
        <v>2062</v>
      </c>
      <c r="C79" s="147"/>
      <c r="D79" s="2124">
        <v>140</v>
      </c>
      <c r="E79" s="2125">
        <v>318</v>
      </c>
      <c r="F79" s="2126">
        <v>497</v>
      </c>
      <c r="G79" s="2125">
        <v>140</v>
      </c>
      <c r="H79" s="2125">
        <v>318</v>
      </c>
      <c r="I79" s="415">
        <v>497</v>
      </c>
      <c r="J79" s="2702">
        <f>D79*VLOOKUP($J$24,'Annual Parameters'!$B$33:$D$143,3,0)/VLOOKUP($B$14,'Annual Parameters'!$B$33:$D$143,3,0)</f>
        <v>122.28229999999999</v>
      </c>
      <c r="K79" s="2703">
        <f>E79*VLOOKUP($J$24,'Annual Parameters'!$B$33:$D$143,3,0)/VLOOKUP($B$14,'Annual Parameters'!$B$33:$D$143,3,0)</f>
        <v>277.75550999999996</v>
      </c>
      <c r="L79" s="2704">
        <f>F79*VLOOKUP($J$24,'Annual Parameters'!$B$33:$D$143,3,0)/VLOOKUP($B$14,'Annual Parameters'!$B$33:$D$143,3,0)</f>
        <v>434.10216499999996</v>
      </c>
      <c r="M79" s="2122"/>
      <c r="N79" s="2122"/>
      <c r="O79" s="2122"/>
      <c r="P79" s="2122"/>
      <c r="Q79" s="2122"/>
      <c r="R79" s="26"/>
      <c r="S79" s="2370"/>
      <c r="T79" s="2370"/>
      <c r="U79" s="2370"/>
      <c r="V79" s="2370"/>
      <c r="W79" s="2370"/>
      <c r="X79" s="2370"/>
      <c r="Y79" s="65"/>
      <c r="AA79" s="2121"/>
      <c r="AB79" s="2122"/>
      <c r="AC79" s="2122"/>
      <c r="AD79" s="2122"/>
      <c r="AE79" s="2122"/>
      <c r="AF79" s="2122"/>
      <c r="AG79" s="2122"/>
      <c r="AI79" s="2121"/>
      <c r="AJ79" s="2120"/>
      <c r="AK79" s="2120"/>
      <c r="AL79" s="2120"/>
      <c r="AM79" s="2120"/>
      <c r="AN79" s="2120"/>
      <c r="AO79" s="2120"/>
    </row>
    <row r="80" spans="1:41" ht="13.5" customHeight="1">
      <c r="A80" s="113"/>
      <c r="B80" s="442">
        <f t="shared" si="0"/>
        <v>2063</v>
      </c>
      <c r="C80" s="147"/>
      <c r="D80" s="2124">
        <v>141</v>
      </c>
      <c r="E80" s="2125">
        <v>323</v>
      </c>
      <c r="F80" s="2126">
        <v>506</v>
      </c>
      <c r="G80" s="2125">
        <v>141</v>
      </c>
      <c r="H80" s="2125">
        <v>323</v>
      </c>
      <c r="I80" s="415">
        <v>506</v>
      </c>
      <c r="J80" s="2702">
        <f>D80*VLOOKUP($J$24,'Annual Parameters'!$B$33:$D$143,3,0)/VLOOKUP($B$14,'Annual Parameters'!$B$33:$D$143,3,0)</f>
        <v>123.15574499999998</v>
      </c>
      <c r="K80" s="2703">
        <f>E80*VLOOKUP($J$24,'Annual Parameters'!$B$33:$D$143,3,0)/VLOOKUP($B$14,'Annual Parameters'!$B$33:$D$143,3,0)</f>
        <v>282.12273499999998</v>
      </c>
      <c r="L80" s="2704">
        <f>F80*VLOOKUP($J$24,'Annual Parameters'!$B$33:$D$143,3,0)/VLOOKUP($B$14,'Annual Parameters'!$B$33:$D$143,3,0)</f>
        <v>441.96316999999993</v>
      </c>
      <c r="M80" s="2122"/>
      <c r="N80" s="2122"/>
      <c r="O80" s="2122"/>
      <c r="P80" s="2122"/>
      <c r="Q80" s="2122"/>
      <c r="R80" s="26"/>
      <c r="S80" s="2370"/>
      <c r="T80" s="2370"/>
      <c r="U80" s="2370"/>
      <c r="V80" s="2370"/>
      <c r="W80" s="2370"/>
      <c r="X80" s="2370"/>
      <c r="Y80" s="65"/>
      <c r="AA80" s="2121"/>
      <c r="AB80" s="2122"/>
      <c r="AC80" s="2122"/>
      <c r="AD80" s="2122"/>
      <c r="AE80" s="2122"/>
      <c r="AF80" s="2122"/>
      <c r="AG80" s="2122"/>
      <c r="AI80" s="2121"/>
      <c r="AJ80" s="2120"/>
      <c r="AK80" s="2120"/>
      <c r="AL80" s="2120"/>
      <c r="AM80" s="2120"/>
      <c r="AN80" s="2120"/>
      <c r="AO80" s="2120"/>
    </row>
    <row r="81" spans="1:41" ht="13.5" customHeight="1">
      <c r="A81" s="113"/>
      <c r="B81" s="442">
        <f t="shared" si="0"/>
        <v>2064</v>
      </c>
      <c r="C81" s="147"/>
      <c r="D81" s="2124">
        <v>141</v>
      </c>
      <c r="E81" s="2125">
        <v>328</v>
      </c>
      <c r="F81" s="2126">
        <v>515</v>
      </c>
      <c r="G81" s="2125">
        <v>141</v>
      </c>
      <c r="H81" s="2125">
        <v>328</v>
      </c>
      <c r="I81" s="415">
        <v>515</v>
      </c>
      <c r="J81" s="2702">
        <f>D81*VLOOKUP($J$24,'Annual Parameters'!$B$33:$D$143,3,0)/VLOOKUP($B$14,'Annual Parameters'!$B$33:$D$143,3,0)</f>
        <v>123.15574499999998</v>
      </c>
      <c r="K81" s="2703">
        <f>E81*VLOOKUP($J$24,'Annual Parameters'!$B$33:$D$143,3,0)/VLOOKUP($B$14,'Annual Parameters'!$B$33:$D$143,3,0)</f>
        <v>286.48996</v>
      </c>
      <c r="L81" s="2704">
        <f>F81*VLOOKUP($J$24,'Annual Parameters'!$B$33:$D$143,3,0)/VLOOKUP($B$14,'Annual Parameters'!$B$33:$D$143,3,0)</f>
        <v>449.82417499999997</v>
      </c>
      <c r="M81" s="2122"/>
      <c r="N81" s="2122"/>
      <c r="O81" s="2122"/>
      <c r="P81" s="2122"/>
      <c r="Q81" s="2122"/>
      <c r="R81" s="26"/>
      <c r="S81" s="2370"/>
      <c r="T81" s="2370"/>
      <c r="U81" s="2370"/>
      <c r="V81" s="2370"/>
      <c r="W81" s="2370"/>
      <c r="X81" s="2370"/>
      <c r="Y81" s="65"/>
      <c r="AA81" s="2121"/>
      <c r="AB81" s="2122"/>
      <c r="AC81" s="2122"/>
      <c r="AD81" s="2122"/>
      <c r="AE81" s="2122"/>
      <c r="AF81" s="2122"/>
      <c r="AG81" s="2122"/>
      <c r="AI81" s="2121"/>
      <c r="AJ81" s="2120"/>
      <c r="AK81" s="2120"/>
      <c r="AL81" s="2120"/>
      <c r="AM81" s="2120"/>
      <c r="AN81" s="2120"/>
      <c r="AO81" s="2120"/>
    </row>
    <row r="82" spans="1:41" ht="13.5" customHeight="1">
      <c r="A82" s="113"/>
      <c r="B82" s="442">
        <f t="shared" si="0"/>
        <v>2065</v>
      </c>
      <c r="C82" s="147"/>
      <c r="D82" s="2124">
        <v>141</v>
      </c>
      <c r="E82" s="2125">
        <v>332</v>
      </c>
      <c r="F82" s="2126">
        <v>523</v>
      </c>
      <c r="G82" s="2125">
        <v>141</v>
      </c>
      <c r="H82" s="2125">
        <v>332</v>
      </c>
      <c r="I82" s="415">
        <v>523</v>
      </c>
      <c r="J82" s="2702">
        <f>D82*VLOOKUP($J$24,'Annual Parameters'!$B$33:$D$143,3,0)/VLOOKUP($B$14,'Annual Parameters'!$B$33:$D$143,3,0)</f>
        <v>123.15574499999998</v>
      </c>
      <c r="K82" s="2703">
        <f>E82*VLOOKUP($J$24,'Annual Parameters'!$B$33:$D$143,3,0)/VLOOKUP($B$14,'Annual Parameters'!$B$33:$D$143,3,0)</f>
        <v>289.98373999999995</v>
      </c>
      <c r="L82" s="2704">
        <f>F82*VLOOKUP($J$24,'Annual Parameters'!$B$33:$D$143,3,0)/VLOOKUP($B$14,'Annual Parameters'!$B$33:$D$143,3,0)</f>
        <v>456.81173499999994</v>
      </c>
      <c r="M82" s="2122"/>
      <c r="N82" s="2122"/>
      <c r="O82" s="2122"/>
      <c r="P82" s="2122"/>
      <c r="Q82" s="2122"/>
      <c r="R82" s="26"/>
      <c r="S82" s="2370"/>
      <c r="T82" s="2370"/>
      <c r="U82" s="2370"/>
      <c r="V82" s="2370"/>
      <c r="W82" s="2370"/>
      <c r="X82" s="2370"/>
      <c r="Y82" s="65"/>
      <c r="AA82" s="2121"/>
      <c r="AB82" s="2122"/>
      <c r="AC82" s="2122"/>
      <c r="AD82" s="2122"/>
      <c r="AE82" s="2122"/>
      <c r="AF82" s="2122"/>
      <c r="AG82" s="2122"/>
      <c r="AI82" s="2121"/>
      <c r="AJ82" s="2120"/>
      <c r="AK82" s="2120"/>
      <c r="AL82" s="2120"/>
      <c r="AM82" s="2120"/>
      <c r="AN82" s="2120"/>
      <c r="AO82" s="2120"/>
    </row>
    <row r="83" spans="1:41" ht="13.5" customHeight="1">
      <c r="A83" s="113"/>
      <c r="B83" s="442">
        <f t="shared" si="0"/>
        <v>2066</v>
      </c>
      <c r="C83" s="147"/>
      <c r="D83" s="2124">
        <v>141</v>
      </c>
      <c r="E83" s="2125">
        <v>336</v>
      </c>
      <c r="F83" s="2126">
        <v>531</v>
      </c>
      <c r="G83" s="2125">
        <v>141</v>
      </c>
      <c r="H83" s="2125">
        <v>336</v>
      </c>
      <c r="I83" s="415">
        <v>531</v>
      </c>
      <c r="J83" s="2702">
        <f>D83*VLOOKUP($J$24,'Annual Parameters'!$B$33:$D$143,3,0)/VLOOKUP($B$14,'Annual Parameters'!$B$33:$D$143,3,0)</f>
        <v>123.15574499999998</v>
      </c>
      <c r="K83" s="2703">
        <f>E83*VLOOKUP($J$24,'Annual Parameters'!$B$33:$D$143,3,0)/VLOOKUP($B$14,'Annual Parameters'!$B$33:$D$143,3,0)</f>
        <v>293.47751999999997</v>
      </c>
      <c r="L83" s="2704">
        <f>F83*VLOOKUP($J$24,'Annual Parameters'!$B$33:$D$143,3,0)/VLOOKUP($B$14,'Annual Parameters'!$B$33:$D$143,3,0)</f>
        <v>463.79929499999997</v>
      </c>
      <c r="M83" s="2122"/>
      <c r="N83" s="2122"/>
      <c r="O83" s="2122"/>
      <c r="P83" s="2122"/>
      <c r="Q83" s="2122"/>
      <c r="R83" s="26"/>
      <c r="S83" s="2370"/>
      <c r="T83" s="2370"/>
      <c r="U83" s="2370"/>
      <c r="V83" s="2370"/>
      <c r="W83" s="2370"/>
      <c r="X83" s="2370"/>
      <c r="Y83" s="65"/>
      <c r="AA83" s="2121"/>
      <c r="AB83" s="2122"/>
      <c r="AC83" s="2122"/>
      <c r="AD83" s="2122"/>
      <c r="AE83" s="2122"/>
      <c r="AF83" s="2122"/>
      <c r="AG83" s="2122"/>
      <c r="AI83" s="2121"/>
      <c r="AJ83" s="2120"/>
      <c r="AK83" s="2120"/>
      <c r="AL83" s="2120"/>
      <c r="AM83" s="2120"/>
      <c r="AN83" s="2120"/>
      <c r="AO83" s="2120"/>
    </row>
    <row r="84" spans="1:41" ht="13.5" customHeight="1">
      <c r="A84" s="113"/>
      <c r="B84" s="442">
        <f t="shared" si="0"/>
        <v>2067</v>
      </c>
      <c r="C84" s="147"/>
      <c r="D84" s="2124">
        <v>141</v>
      </c>
      <c r="E84" s="2125">
        <v>340</v>
      </c>
      <c r="F84" s="2126">
        <v>538</v>
      </c>
      <c r="G84" s="2125">
        <v>141</v>
      </c>
      <c r="H84" s="2125">
        <v>340</v>
      </c>
      <c r="I84" s="415">
        <v>538</v>
      </c>
      <c r="J84" s="2702">
        <f>D84*VLOOKUP($J$24,'Annual Parameters'!$B$33:$D$143,3,0)/VLOOKUP($B$14,'Annual Parameters'!$B$33:$D$143,3,0)</f>
        <v>123.15574499999998</v>
      </c>
      <c r="K84" s="2703">
        <f>E84*VLOOKUP($J$24,'Annual Parameters'!$B$33:$D$143,3,0)/VLOOKUP($B$14,'Annual Parameters'!$B$33:$D$143,3,0)</f>
        <v>296.97129999999999</v>
      </c>
      <c r="L84" s="2704">
        <f>F84*VLOOKUP($J$24,'Annual Parameters'!$B$33:$D$143,3,0)/VLOOKUP($B$14,'Annual Parameters'!$B$33:$D$143,3,0)</f>
        <v>469.91340999999994</v>
      </c>
      <c r="M84" s="2122"/>
      <c r="N84" s="2122"/>
      <c r="O84" s="2122"/>
      <c r="P84" s="2122"/>
      <c r="Q84" s="2122"/>
      <c r="R84" s="26"/>
      <c r="S84" s="2370"/>
      <c r="T84" s="2370"/>
      <c r="U84" s="2370"/>
      <c r="V84" s="2370"/>
      <c r="W84" s="2370"/>
      <c r="X84" s="2370"/>
      <c r="Y84" s="65"/>
      <c r="AA84" s="2121"/>
      <c r="AB84" s="2122"/>
      <c r="AC84" s="2122"/>
      <c r="AD84" s="2122"/>
      <c r="AE84" s="2122"/>
      <c r="AF84" s="2122"/>
      <c r="AG84" s="2122"/>
      <c r="AI84" s="2121"/>
      <c r="AJ84" s="2120"/>
      <c r="AK84" s="2120"/>
      <c r="AL84" s="2120"/>
      <c r="AM84" s="2120"/>
      <c r="AN84" s="2120"/>
      <c r="AO84" s="2120"/>
    </row>
    <row r="85" spans="1:41" ht="13.5" customHeight="1">
      <c r="A85" s="113"/>
      <c r="B85" s="442">
        <f t="shared" si="0"/>
        <v>2068</v>
      </c>
      <c r="C85" s="147"/>
      <c r="D85" s="2124">
        <v>140</v>
      </c>
      <c r="E85" s="2125">
        <v>343</v>
      </c>
      <c r="F85" s="2126">
        <v>545</v>
      </c>
      <c r="G85" s="2125">
        <v>140</v>
      </c>
      <c r="H85" s="2125">
        <v>343</v>
      </c>
      <c r="I85" s="415">
        <v>545</v>
      </c>
      <c r="J85" s="2702">
        <f>D85*VLOOKUP($J$24,'Annual Parameters'!$B$33:$D$143,3,0)/VLOOKUP($B$14,'Annual Parameters'!$B$33:$D$143,3,0)</f>
        <v>122.28229999999999</v>
      </c>
      <c r="K85" s="2703">
        <f>E85*VLOOKUP($J$24,'Annual Parameters'!$B$33:$D$143,3,0)/VLOOKUP($B$14,'Annual Parameters'!$B$33:$D$143,3,0)</f>
        <v>299.591635</v>
      </c>
      <c r="L85" s="2704">
        <f>F85*VLOOKUP($J$24,'Annual Parameters'!$B$33:$D$143,3,0)/VLOOKUP($B$14,'Annual Parameters'!$B$33:$D$143,3,0)</f>
        <v>476.02752499999997</v>
      </c>
      <c r="M85" s="2122"/>
      <c r="N85" s="2122"/>
      <c r="O85" s="2122"/>
      <c r="P85" s="2122"/>
      <c r="Q85" s="2122"/>
      <c r="R85" s="26"/>
      <c r="S85" s="2370"/>
      <c r="T85" s="2370"/>
      <c r="U85" s="2370"/>
      <c r="V85" s="2370"/>
      <c r="W85" s="2370"/>
      <c r="X85" s="2370"/>
      <c r="Y85" s="65"/>
      <c r="AA85" s="2121"/>
      <c r="AB85" s="2122"/>
      <c r="AC85" s="2122"/>
      <c r="AD85" s="2122"/>
      <c r="AE85" s="2122"/>
      <c r="AF85" s="2122"/>
      <c r="AG85" s="2122"/>
      <c r="AI85" s="2121"/>
      <c r="AJ85" s="2120"/>
      <c r="AK85" s="2120"/>
      <c r="AL85" s="2120"/>
      <c r="AM85" s="2120"/>
      <c r="AN85" s="2120"/>
      <c r="AO85" s="2120"/>
    </row>
    <row r="86" spans="1:41" ht="13.5" customHeight="1">
      <c r="A86" s="113"/>
      <c r="B86" s="442">
        <f t="shared" si="0"/>
        <v>2069</v>
      </c>
      <c r="C86" s="147"/>
      <c r="D86" s="2124">
        <v>140</v>
      </c>
      <c r="E86" s="2125">
        <v>345</v>
      </c>
      <c r="F86" s="2126">
        <v>551</v>
      </c>
      <c r="G86" s="2125">
        <v>140</v>
      </c>
      <c r="H86" s="2125">
        <v>345</v>
      </c>
      <c r="I86" s="415">
        <v>551</v>
      </c>
      <c r="J86" s="2702">
        <f>D86*VLOOKUP($J$24,'Annual Parameters'!$B$33:$D$143,3,0)/VLOOKUP($B$14,'Annual Parameters'!$B$33:$D$143,3,0)</f>
        <v>122.28229999999999</v>
      </c>
      <c r="K86" s="2703">
        <f>E86*VLOOKUP($J$24,'Annual Parameters'!$B$33:$D$143,3,0)/VLOOKUP($B$14,'Annual Parameters'!$B$33:$D$143,3,0)</f>
        <v>301.33852499999995</v>
      </c>
      <c r="L86" s="2704">
        <f>F86*VLOOKUP($J$24,'Annual Parameters'!$B$33:$D$143,3,0)/VLOOKUP($B$14,'Annual Parameters'!$B$33:$D$143,3,0)</f>
        <v>481.26819499999993</v>
      </c>
      <c r="M86" s="2122"/>
      <c r="N86" s="2122"/>
      <c r="O86" s="2122"/>
      <c r="P86" s="2122"/>
      <c r="Q86" s="2122"/>
      <c r="R86" s="26"/>
      <c r="S86" s="2370"/>
      <c r="T86" s="2370"/>
      <c r="U86" s="2370"/>
      <c r="V86" s="2370"/>
      <c r="W86" s="2370"/>
      <c r="X86" s="2370"/>
      <c r="Y86" s="65"/>
      <c r="AA86" s="2121"/>
      <c r="AB86" s="2122"/>
      <c r="AC86" s="2122"/>
      <c r="AD86" s="2122"/>
      <c r="AE86" s="2122"/>
      <c r="AF86" s="2122"/>
      <c r="AG86" s="2122"/>
      <c r="AI86" s="2121"/>
      <c r="AJ86" s="2120"/>
      <c r="AK86" s="2120"/>
      <c r="AL86" s="2120"/>
      <c r="AM86" s="2120"/>
      <c r="AN86" s="2120"/>
      <c r="AO86" s="2120"/>
    </row>
    <row r="87" spans="1:41" ht="13.5" customHeight="1">
      <c r="A87" s="113"/>
      <c r="B87" s="442">
        <f t="shared" si="0"/>
        <v>2070</v>
      </c>
      <c r="C87" s="147"/>
      <c r="D87" s="2124">
        <v>139</v>
      </c>
      <c r="E87" s="2125">
        <v>348</v>
      </c>
      <c r="F87" s="2126">
        <v>556</v>
      </c>
      <c r="G87" s="2125">
        <v>139</v>
      </c>
      <c r="H87" s="2125">
        <v>348</v>
      </c>
      <c r="I87" s="415">
        <v>556</v>
      </c>
      <c r="J87" s="2702">
        <f>D87*VLOOKUP($J$24,'Annual Parameters'!$B$33:$D$143,3,0)/VLOOKUP($B$14,'Annual Parameters'!$B$33:$D$143,3,0)</f>
        <v>121.40885499999999</v>
      </c>
      <c r="K87" s="2703">
        <f>E87*VLOOKUP($J$24,'Annual Parameters'!$B$33:$D$143,3,0)/VLOOKUP($B$14,'Annual Parameters'!$B$33:$D$143,3,0)</f>
        <v>303.95885999999996</v>
      </c>
      <c r="L87" s="2704">
        <f>F87*VLOOKUP($J$24,'Annual Parameters'!$B$33:$D$143,3,0)/VLOOKUP($B$14,'Annual Parameters'!$B$33:$D$143,3,0)</f>
        <v>485.63541999999995</v>
      </c>
      <c r="M87" s="2122"/>
      <c r="N87" s="2122"/>
      <c r="O87" s="2122"/>
      <c r="P87" s="2122"/>
      <c r="Q87" s="2122"/>
      <c r="R87" s="26"/>
      <c r="S87" s="2370"/>
      <c r="T87" s="2370"/>
      <c r="U87" s="2370"/>
      <c r="V87" s="2370"/>
      <c r="W87" s="2370"/>
      <c r="X87" s="2370"/>
      <c r="Y87" s="65"/>
      <c r="AA87" s="2121"/>
      <c r="AB87" s="2122"/>
      <c r="AC87" s="2122"/>
      <c r="AD87" s="2122"/>
      <c r="AE87" s="2122"/>
      <c r="AF87" s="2122"/>
      <c r="AG87" s="2122"/>
      <c r="AI87" s="2121"/>
      <c r="AJ87" s="2120"/>
      <c r="AK87" s="2120"/>
      <c r="AL87" s="2120"/>
      <c r="AM87" s="2120"/>
      <c r="AN87" s="2120"/>
      <c r="AO87" s="2120"/>
    </row>
    <row r="88" spans="1:41" ht="13.5" customHeight="1">
      <c r="A88" s="113"/>
      <c r="B88" s="442">
        <f t="shared" si="0"/>
        <v>2071</v>
      </c>
      <c r="C88" s="147"/>
      <c r="D88" s="2124">
        <v>138</v>
      </c>
      <c r="E88" s="2125">
        <v>350</v>
      </c>
      <c r="F88" s="2126">
        <v>561</v>
      </c>
      <c r="G88" s="2125">
        <v>138</v>
      </c>
      <c r="H88" s="2125">
        <v>350</v>
      </c>
      <c r="I88" s="415">
        <v>561</v>
      </c>
      <c r="J88" s="2702">
        <f>D88*VLOOKUP($J$24,'Annual Parameters'!$B$33:$D$143,3,0)/VLOOKUP($B$14,'Annual Parameters'!$B$33:$D$143,3,0)</f>
        <v>120.53540999999998</v>
      </c>
      <c r="K88" s="2703">
        <f>E88*VLOOKUP($J$24,'Annual Parameters'!$B$33:$D$143,3,0)/VLOOKUP($B$14,'Annual Parameters'!$B$33:$D$143,3,0)</f>
        <v>305.70574999999997</v>
      </c>
      <c r="L88" s="2704">
        <f>F88*VLOOKUP($J$24,'Annual Parameters'!$B$33:$D$143,3,0)/VLOOKUP($B$14,'Annual Parameters'!$B$33:$D$143,3,0)</f>
        <v>490.00264499999997</v>
      </c>
      <c r="M88" s="2122"/>
      <c r="N88" s="2122"/>
      <c r="O88" s="2122"/>
      <c r="P88" s="2122"/>
      <c r="Q88" s="2122"/>
      <c r="R88" s="26"/>
      <c r="S88" s="2370"/>
      <c r="T88" s="2370"/>
      <c r="U88" s="2370"/>
      <c r="V88" s="2370"/>
      <c r="W88" s="2370"/>
      <c r="X88" s="2370"/>
      <c r="Y88" s="65"/>
      <c r="AA88" s="2121"/>
      <c r="AB88" s="2122"/>
      <c r="AC88" s="2122"/>
      <c r="AD88" s="2122"/>
      <c r="AE88" s="2122"/>
      <c r="AF88" s="2122"/>
      <c r="AG88" s="2122"/>
      <c r="AI88" s="2121"/>
      <c r="AJ88" s="2120"/>
      <c r="AK88" s="2120"/>
      <c r="AL88" s="2120"/>
      <c r="AM88" s="2120"/>
      <c r="AN88" s="2120"/>
      <c r="AO88" s="2120"/>
    </row>
    <row r="89" spans="1:41" ht="13.5" customHeight="1">
      <c r="A89" s="113"/>
      <c r="B89" s="442">
        <f t="shared" si="0"/>
        <v>2072</v>
      </c>
      <c r="C89" s="147"/>
      <c r="D89" s="2124">
        <v>137</v>
      </c>
      <c r="E89" s="2125">
        <v>352</v>
      </c>
      <c r="F89" s="2126">
        <v>566</v>
      </c>
      <c r="G89" s="2125">
        <v>137</v>
      </c>
      <c r="H89" s="2125">
        <v>352</v>
      </c>
      <c r="I89" s="415">
        <v>566</v>
      </c>
      <c r="J89" s="2702">
        <f>D89*VLOOKUP($J$24,'Annual Parameters'!$B$33:$D$143,3,0)/VLOOKUP($B$14,'Annual Parameters'!$B$33:$D$143,3,0)</f>
        <v>119.661965</v>
      </c>
      <c r="K89" s="2703">
        <f>E89*VLOOKUP($J$24,'Annual Parameters'!$B$33:$D$143,3,0)/VLOOKUP($B$14,'Annual Parameters'!$B$33:$D$143,3,0)</f>
        <v>307.45263999999997</v>
      </c>
      <c r="L89" s="2704">
        <f>F89*VLOOKUP($J$24,'Annual Parameters'!$B$33:$D$143,3,0)/VLOOKUP($B$14,'Annual Parameters'!$B$33:$D$143,3,0)</f>
        <v>494.36986999999993</v>
      </c>
      <c r="M89" s="2122"/>
      <c r="N89" s="2122"/>
      <c r="O89" s="2122"/>
      <c r="P89" s="2122"/>
      <c r="Q89" s="2122"/>
      <c r="R89" s="26"/>
      <c r="S89" s="2370"/>
      <c r="T89" s="2370"/>
      <c r="U89" s="2370"/>
      <c r="V89" s="2370"/>
      <c r="W89" s="2370"/>
      <c r="X89" s="2370"/>
      <c r="Y89" s="65"/>
      <c r="AA89" s="2121"/>
      <c r="AB89" s="2122"/>
      <c r="AC89" s="2122"/>
      <c r="AD89" s="2122"/>
      <c r="AE89" s="2122"/>
      <c r="AF89" s="2122"/>
      <c r="AG89" s="2122"/>
      <c r="AI89" s="2121"/>
      <c r="AJ89" s="2120"/>
      <c r="AK89" s="2120"/>
      <c r="AL89" s="2120"/>
      <c r="AM89" s="2120"/>
      <c r="AN89" s="2120"/>
      <c r="AO89" s="2120"/>
    </row>
    <row r="90" spans="1:41" ht="13.5" customHeight="1">
      <c r="A90" s="113"/>
      <c r="B90" s="442">
        <f t="shared" si="0"/>
        <v>2073</v>
      </c>
      <c r="C90" s="147"/>
      <c r="D90" s="2124">
        <v>136</v>
      </c>
      <c r="E90" s="2125">
        <v>353</v>
      </c>
      <c r="F90" s="2126">
        <v>570</v>
      </c>
      <c r="G90" s="2125">
        <v>136</v>
      </c>
      <c r="H90" s="2125">
        <v>353</v>
      </c>
      <c r="I90" s="415">
        <v>570</v>
      </c>
      <c r="J90" s="2702">
        <f>D90*VLOOKUP($J$24,'Annual Parameters'!$B$33:$D$143,3,0)/VLOOKUP($B$14,'Annual Parameters'!$B$33:$D$143,3,0)</f>
        <v>118.78851999999999</v>
      </c>
      <c r="K90" s="2703">
        <f>E90*VLOOKUP($J$24,'Annual Parameters'!$B$33:$D$143,3,0)/VLOOKUP($B$14,'Annual Parameters'!$B$33:$D$143,3,0)</f>
        <v>308.32608499999998</v>
      </c>
      <c r="L90" s="2704">
        <f>F90*VLOOKUP($J$24,'Annual Parameters'!$B$33:$D$143,3,0)/VLOOKUP($B$14,'Annual Parameters'!$B$33:$D$143,3,0)</f>
        <v>497.86364999999995</v>
      </c>
      <c r="M90" s="2122"/>
      <c r="N90" s="2122"/>
      <c r="O90" s="2122"/>
      <c r="P90" s="2122"/>
      <c r="Q90" s="2122"/>
      <c r="R90" s="26"/>
      <c r="S90" s="2370"/>
      <c r="T90" s="2370"/>
      <c r="U90" s="2370"/>
      <c r="V90" s="2370"/>
      <c r="W90" s="2370"/>
      <c r="X90" s="2370"/>
      <c r="Y90" s="65"/>
      <c r="AA90" s="2121"/>
      <c r="AB90" s="2122"/>
      <c r="AC90" s="2122"/>
      <c r="AD90" s="2122"/>
      <c r="AE90" s="2122"/>
      <c r="AF90" s="2122"/>
      <c r="AG90" s="2122"/>
      <c r="AI90" s="2121"/>
      <c r="AJ90" s="2120"/>
      <c r="AK90" s="2120"/>
      <c r="AL90" s="2120"/>
      <c r="AM90" s="2120"/>
      <c r="AN90" s="2120"/>
      <c r="AO90" s="2120"/>
    </row>
    <row r="91" spans="1:41" ht="13.5" customHeight="1">
      <c r="A91" s="113"/>
      <c r="B91" s="442">
        <f t="shared" si="0"/>
        <v>2074</v>
      </c>
      <c r="C91" s="147"/>
      <c r="D91" s="2124">
        <v>135</v>
      </c>
      <c r="E91" s="2125">
        <v>354</v>
      </c>
      <c r="F91" s="2126">
        <v>574</v>
      </c>
      <c r="G91" s="2125">
        <v>135</v>
      </c>
      <c r="H91" s="2125">
        <v>354</v>
      </c>
      <c r="I91" s="415">
        <v>574</v>
      </c>
      <c r="J91" s="2702">
        <f>D91*VLOOKUP($J$24,'Annual Parameters'!$B$33:$D$143,3,0)/VLOOKUP($B$14,'Annual Parameters'!$B$33:$D$143,3,0)</f>
        <v>117.91507499999999</v>
      </c>
      <c r="K91" s="2703">
        <f>E91*VLOOKUP($J$24,'Annual Parameters'!$B$33:$D$143,3,0)/VLOOKUP($B$14,'Annual Parameters'!$B$33:$D$143,3,0)</f>
        <v>309.19952999999998</v>
      </c>
      <c r="L91" s="2704">
        <f>F91*VLOOKUP($J$24,'Annual Parameters'!$B$33:$D$143,3,0)/VLOOKUP($B$14,'Annual Parameters'!$B$33:$D$143,3,0)</f>
        <v>501.35742999999997</v>
      </c>
      <c r="M91" s="2122"/>
      <c r="N91" s="2122"/>
      <c r="O91" s="2122"/>
      <c r="P91" s="2122"/>
      <c r="Q91" s="2122"/>
      <c r="R91" s="26"/>
      <c r="S91" s="2370"/>
      <c r="T91" s="2370"/>
      <c r="U91" s="2370"/>
      <c r="V91" s="2370"/>
      <c r="W91" s="2370"/>
      <c r="X91" s="2370"/>
      <c r="Y91" s="65"/>
      <c r="AA91" s="2121"/>
      <c r="AB91" s="2122"/>
      <c r="AC91" s="2122"/>
      <c r="AD91" s="2122"/>
      <c r="AE91" s="2122"/>
      <c r="AF91" s="2122"/>
      <c r="AG91" s="2122"/>
      <c r="AI91" s="2121"/>
      <c r="AJ91" s="2120"/>
      <c r="AK91" s="2120"/>
      <c r="AL91" s="2120"/>
      <c r="AM91" s="2120"/>
      <c r="AN91" s="2120"/>
      <c r="AO91" s="2120"/>
    </row>
    <row r="92" spans="1:41" ht="13.5" customHeight="1">
      <c r="A92" s="113"/>
      <c r="B92" s="442">
        <f t="shared" si="0"/>
        <v>2075</v>
      </c>
      <c r="C92" s="147"/>
      <c r="D92" s="2124">
        <v>133</v>
      </c>
      <c r="E92" s="2125">
        <v>355</v>
      </c>
      <c r="F92" s="2126">
        <v>577</v>
      </c>
      <c r="G92" s="2125">
        <v>133</v>
      </c>
      <c r="H92" s="2125">
        <v>355</v>
      </c>
      <c r="I92" s="415">
        <v>577</v>
      </c>
      <c r="J92" s="2702">
        <f>D92*VLOOKUP($J$24,'Annual Parameters'!$B$33:$D$143,3,0)/VLOOKUP($B$14,'Annual Parameters'!$B$33:$D$143,3,0)</f>
        <v>116.16818499999999</v>
      </c>
      <c r="K92" s="2703">
        <f>E92*VLOOKUP($J$24,'Annual Parameters'!$B$33:$D$143,3,0)/VLOOKUP($B$14,'Annual Parameters'!$B$33:$D$143,3,0)</f>
        <v>310.07297499999999</v>
      </c>
      <c r="L92" s="2704">
        <f>F92*VLOOKUP($J$24,'Annual Parameters'!$B$33:$D$143,3,0)/VLOOKUP($B$14,'Annual Parameters'!$B$33:$D$143,3,0)</f>
        <v>503.97776499999998</v>
      </c>
      <c r="M92" s="2122"/>
      <c r="N92" s="2122"/>
      <c r="O92" s="2122"/>
      <c r="P92" s="2122"/>
      <c r="Q92" s="2122"/>
      <c r="R92" s="26"/>
      <c r="S92" s="2370"/>
      <c r="T92" s="2370"/>
      <c r="U92" s="2370"/>
      <c r="V92" s="2370"/>
      <c r="W92" s="2370"/>
      <c r="X92" s="2370"/>
      <c r="Y92" s="65"/>
      <c r="AA92" s="2121"/>
      <c r="AB92" s="2122"/>
      <c r="AC92" s="2122"/>
      <c r="AD92" s="2122"/>
      <c r="AE92" s="2122"/>
      <c r="AF92" s="2122"/>
      <c r="AG92" s="2122"/>
      <c r="AI92" s="2121"/>
      <c r="AJ92" s="2120"/>
      <c r="AK92" s="2120"/>
      <c r="AL92" s="2120"/>
      <c r="AM92" s="2120"/>
      <c r="AN92" s="2120"/>
      <c r="AO92" s="2120"/>
    </row>
    <row r="93" spans="1:41" ht="13.5" customHeight="1">
      <c r="A93" s="113"/>
      <c r="B93" s="442">
        <f t="shared" ref="B93:B117" si="1">B92+1</f>
        <v>2076</v>
      </c>
      <c r="C93" s="147"/>
      <c r="D93" s="2124">
        <v>131</v>
      </c>
      <c r="E93" s="2125">
        <v>355</v>
      </c>
      <c r="F93" s="2126">
        <v>579</v>
      </c>
      <c r="G93" s="2125">
        <v>131</v>
      </c>
      <c r="H93" s="2125">
        <v>355</v>
      </c>
      <c r="I93" s="415">
        <v>579</v>
      </c>
      <c r="J93" s="2702">
        <f>D93*VLOOKUP($J$24,'Annual Parameters'!$B$33:$D$143,3,0)/VLOOKUP($B$14,'Annual Parameters'!$B$33:$D$143,3,0)</f>
        <v>114.42129499999999</v>
      </c>
      <c r="K93" s="2703">
        <f>E93*VLOOKUP($J$24,'Annual Parameters'!$B$33:$D$143,3,0)/VLOOKUP($B$14,'Annual Parameters'!$B$33:$D$143,3,0)</f>
        <v>310.07297499999999</v>
      </c>
      <c r="L93" s="2704">
        <f>F93*VLOOKUP($J$24,'Annual Parameters'!$B$33:$D$143,3,0)/VLOOKUP($B$14,'Annual Parameters'!$B$33:$D$143,3,0)</f>
        <v>505.72465499999993</v>
      </c>
      <c r="M93" s="2122"/>
      <c r="N93" s="2122"/>
      <c r="O93" s="2122"/>
      <c r="P93" s="2122"/>
      <c r="Q93" s="2122"/>
      <c r="R93" s="26"/>
      <c r="S93" s="2370"/>
      <c r="T93" s="2370"/>
      <c r="U93" s="2370"/>
      <c r="V93" s="2370"/>
      <c r="W93" s="2370"/>
      <c r="X93" s="2370"/>
      <c r="Y93" s="65"/>
      <c r="AA93" s="2121"/>
      <c r="AB93" s="2122"/>
      <c r="AC93" s="2122"/>
      <c r="AD93" s="2122"/>
      <c r="AE93" s="2122"/>
      <c r="AF93" s="2122"/>
      <c r="AG93" s="2122"/>
      <c r="AI93" s="2121"/>
      <c r="AJ93" s="2120"/>
      <c r="AK93" s="2120"/>
      <c r="AL93" s="2120"/>
      <c r="AM93" s="2120"/>
      <c r="AN93" s="2120"/>
      <c r="AO93" s="2120"/>
    </row>
    <row r="94" spans="1:41" ht="13.5" customHeight="1">
      <c r="A94" s="113"/>
      <c r="B94" s="442">
        <f t="shared" si="1"/>
        <v>2077</v>
      </c>
      <c r="C94" s="147"/>
      <c r="D94" s="2124">
        <v>130</v>
      </c>
      <c r="E94" s="2125">
        <v>355</v>
      </c>
      <c r="F94" s="2126">
        <v>581</v>
      </c>
      <c r="G94" s="2125">
        <v>130</v>
      </c>
      <c r="H94" s="2125">
        <v>355</v>
      </c>
      <c r="I94" s="415">
        <v>581</v>
      </c>
      <c r="J94" s="2702">
        <f>D94*VLOOKUP($J$24,'Annual Parameters'!$B$33:$D$143,3,0)/VLOOKUP($B$14,'Annual Parameters'!$B$33:$D$143,3,0)</f>
        <v>113.54784999999998</v>
      </c>
      <c r="K94" s="2703">
        <f>E94*VLOOKUP($J$24,'Annual Parameters'!$B$33:$D$143,3,0)/VLOOKUP($B$14,'Annual Parameters'!$B$33:$D$143,3,0)</f>
        <v>310.07297499999999</v>
      </c>
      <c r="L94" s="2704">
        <f>F94*VLOOKUP($J$24,'Annual Parameters'!$B$33:$D$143,3,0)/VLOOKUP($B$14,'Annual Parameters'!$B$33:$D$143,3,0)</f>
        <v>507.47154499999994</v>
      </c>
      <c r="M94" s="2122"/>
      <c r="N94" s="2122"/>
      <c r="O94" s="2122"/>
      <c r="P94" s="2122"/>
      <c r="Q94" s="2122"/>
      <c r="R94" s="26"/>
      <c r="S94" s="2370"/>
      <c r="T94" s="2370"/>
      <c r="U94" s="2370"/>
      <c r="V94" s="2370"/>
      <c r="W94" s="2370"/>
      <c r="X94" s="2370"/>
      <c r="Y94" s="65"/>
      <c r="AA94" s="2121"/>
      <c r="AB94" s="2122"/>
      <c r="AC94" s="2122"/>
      <c r="AD94" s="2122"/>
      <c r="AE94" s="2122"/>
      <c r="AF94" s="2122"/>
      <c r="AG94" s="2122"/>
      <c r="AI94" s="2121"/>
      <c r="AJ94" s="2120"/>
      <c r="AK94" s="2120"/>
      <c r="AL94" s="2120"/>
      <c r="AM94" s="2120"/>
      <c r="AN94" s="2120"/>
      <c r="AO94" s="2120"/>
    </row>
    <row r="95" spans="1:41" ht="13.5" customHeight="1">
      <c r="A95" s="113"/>
      <c r="B95" s="442">
        <f t="shared" si="1"/>
        <v>2078</v>
      </c>
      <c r="C95" s="147"/>
      <c r="D95" s="2124">
        <v>128</v>
      </c>
      <c r="E95" s="2125">
        <v>355</v>
      </c>
      <c r="F95" s="2126">
        <v>582</v>
      </c>
      <c r="G95" s="2125">
        <v>128</v>
      </c>
      <c r="H95" s="2125">
        <v>355</v>
      </c>
      <c r="I95" s="415">
        <v>582</v>
      </c>
      <c r="J95" s="2702">
        <f>D95*VLOOKUP($J$24,'Annual Parameters'!$B$33:$D$143,3,0)/VLOOKUP($B$14,'Annual Parameters'!$B$33:$D$143,3,0)</f>
        <v>111.80095999999999</v>
      </c>
      <c r="K95" s="2703">
        <f>E95*VLOOKUP($J$24,'Annual Parameters'!$B$33:$D$143,3,0)/VLOOKUP($B$14,'Annual Parameters'!$B$33:$D$143,3,0)</f>
        <v>310.07297499999999</v>
      </c>
      <c r="L95" s="2704">
        <f>F95*VLOOKUP($J$24,'Annual Parameters'!$B$33:$D$143,3,0)/VLOOKUP($B$14,'Annual Parameters'!$B$33:$D$143,3,0)</f>
        <v>508.34498999999994</v>
      </c>
      <c r="M95" s="2122"/>
      <c r="N95" s="2122"/>
      <c r="O95" s="2122"/>
      <c r="P95" s="2122"/>
      <c r="Q95" s="2122"/>
      <c r="R95" s="26"/>
      <c r="S95" s="2370"/>
      <c r="T95" s="2370"/>
      <c r="U95" s="2370"/>
      <c r="V95" s="2370"/>
      <c r="W95" s="2370"/>
      <c r="X95" s="2370"/>
      <c r="Y95" s="65"/>
      <c r="AA95" s="2121"/>
      <c r="AB95" s="2122"/>
      <c r="AC95" s="2122"/>
      <c r="AD95" s="2122"/>
      <c r="AE95" s="2122"/>
      <c r="AF95" s="2122"/>
      <c r="AG95" s="2122"/>
      <c r="AI95" s="2121"/>
      <c r="AJ95" s="2120"/>
      <c r="AK95" s="2120"/>
      <c r="AL95" s="2120"/>
      <c r="AM95" s="2120"/>
      <c r="AN95" s="2120"/>
      <c r="AO95" s="2120"/>
    </row>
    <row r="96" spans="1:41" ht="13.5" customHeight="1">
      <c r="A96" s="113"/>
      <c r="B96" s="442">
        <f t="shared" si="1"/>
        <v>2079</v>
      </c>
      <c r="C96" s="147"/>
      <c r="D96" s="2124">
        <v>126</v>
      </c>
      <c r="E96" s="2125">
        <v>354</v>
      </c>
      <c r="F96" s="2126">
        <v>583</v>
      </c>
      <c r="G96" s="2125">
        <v>126</v>
      </c>
      <c r="H96" s="2125">
        <v>354</v>
      </c>
      <c r="I96" s="415">
        <v>583</v>
      </c>
      <c r="J96" s="2702">
        <f>D96*VLOOKUP($J$24,'Annual Parameters'!$B$33:$D$143,3,0)/VLOOKUP($B$14,'Annual Parameters'!$B$33:$D$143,3,0)</f>
        <v>110.05407</v>
      </c>
      <c r="K96" s="2703">
        <f>E96*VLOOKUP($J$24,'Annual Parameters'!$B$33:$D$143,3,0)/VLOOKUP($B$14,'Annual Parameters'!$B$33:$D$143,3,0)</f>
        <v>309.19952999999998</v>
      </c>
      <c r="L96" s="2704">
        <f>F96*VLOOKUP($J$24,'Annual Parameters'!$B$33:$D$143,3,0)/VLOOKUP($B$14,'Annual Parameters'!$B$33:$D$143,3,0)</f>
        <v>509.21843499999994</v>
      </c>
      <c r="M96" s="2122"/>
      <c r="N96" s="2122"/>
      <c r="O96" s="2122"/>
      <c r="P96" s="2122"/>
      <c r="Q96" s="2122"/>
      <c r="R96" s="26"/>
      <c r="S96" s="2370"/>
      <c r="T96" s="2370"/>
      <c r="U96" s="2370"/>
      <c r="V96" s="2370"/>
      <c r="W96" s="2370"/>
      <c r="X96" s="2370"/>
      <c r="Y96" s="65"/>
      <c r="AA96" s="2121"/>
      <c r="AB96" s="2122"/>
      <c r="AC96" s="2122"/>
      <c r="AD96" s="2122"/>
      <c r="AE96" s="2122"/>
      <c r="AF96" s="2122"/>
      <c r="AG96" s="2122"/>
      <c r="AI96" s="2121"/>
      <c r="AJ96" s="2120"/>
      <c r="AK96" s="2120"/>
      <c r="AL96" s="2120"/>
      <c r="AM96" s="2120"/>
      <c r="AN96" s="2120"/>
      <c r="AO96" s="2120"/>
    </row>
    <row r="97" spans="1:41" ht="13.5" customHeight="1">
      <c r="A97" s="113"/>
      <c r="B97" s="442">
        <f t="shared" si="1"/>
        <v>2080</v>
      </c>
      <c r="C97" s="147"/>
      <c r="D97" s="2124">
        <v>124</v>
      </c>
      <c r="E97" s="2125">
        <v>353</v>
      </c>
      <c r="F97" s="2126">
        <v>582</v>
      </c>
      <c r="G97" s="2125">
        <v>124</v>
      </c>
      <c r="H97" s="2125">
        <v>353</v>
      </c>
      <c r="I97" s="415">
        <v>582</v>
      </c>
      <c r="J97" s="2702">
        <f>D97*VLOOKUP($J$24,'Annual Parameters'!$B$33:$D$143,3,0)/VLOOKUP($B$14,'Annual Parameters'!$B$33:$D$143,3,0)</f>
        <v>108.30717999999999</v>
      </c>
      <c r="K97" s="2703">
        <f>E97*VLOOKUP($J$24,'Annual Parameters'!$B$33:$D$143,3,0)/VLOOKUP($B$14,'Annual Parameters'!$B$33:$D$143,3,0)</f>
        <v>308.32608499999998</v>
      </c>
      <c r="L97" s="2704">
        <f>F97*VLOOKUP($J$24,'Annual Parameters'!$B$33:$D$143,3,0)/VLOOKUP($B$14,'Annual Parameters'!$B$33:$D$143,3,0)</f>
        <v>508.34498999999994</v>
      </c>
      <c r="M97" s="2122"/>
      <c r="N97" s="2122"/>
      <c r="O97" s="2122"/>
      <c r="P97" s="2122"/>
      <c r="Q97" s="2122"/>
      <c r="R97" s="26"/>
      <c r="S97" s="2370"/>
      <c r="T97" s="2370"/>
      <c r="U97" s="2370"/>
      <c r="V97" s="2370"/>
      <c r="W97" s="2370"/>
      <c r="X97" s="2370"/>
      <c r="Y97" s="65"/>
      <c r="AA97" s="2121"/>
      <c r="AB97" s="2122"/>
      <c r="AC97" s="2122"/>
      <c r="AD97" s="2122"/>
      <c r="AE97" s="2122"/>
      <c r="AF97" s="2122"/>
      <c r="AG97" s="2122"/>
      <c r="AI97" s="2121"/>
      <c r="AJ97" s="2120"/>
      <c r="AK97" s="2120"/>
      <c r="AL97" s="2120"/>
      <c r="AM97" s="2120"/>
      <c r="AN97" s="2120"/>
      <c r="AO97" s="2120"/>
    </row>
    <row r="98" spans="1:41" ht="13.5" customHeight="1">
      <c r="A98" s="113"/>
      <c r="B98" s="442">
        <f t="shared" si="1"/>
        <v>2081</v>
      </c>
      <c r="C98" s="147"/>
      <c r="D98" s="2124">
        <v>122</v>
      </c>
      <c r="E98" s="2125">
        <v>353</v>
      </c>
      <c r="F98" s="2126">
        <v>584</v>
      </c>
      <c r="G98" s="2125">
        <v>122</v>
      </c>
      <c r="H98" s="2125">
        <v>353</v>
      </c>
      <c r="I98" s="415">
        <v>584</v>
      </c>
      <c r="J98" s="2702">
        <f>D98*VLOOKUP($J$24,'Annual Parameters'!$B$33:$D$143,3,0)/VLOOKUP($B$14,'Annual Parameters'!$B$33:$D$143,3,0)</f>
        <v>106.56028999999999</v>
      </c>
      <c r="K98" s="2703">
        <f>E98*VLOOKUP($J$24,'Annual Parameters'!$B$33:$D$143,3,0)/VLOOKUP($B$14,'Annual Parameters'!$B$33:$D$143,3,0)</f>
        <v>308.32608499999998</v>
      </c>
      <c r="L98" s="2704">
        <f>F98*VLOOKUP($J$24,'Annual Parameters'!$B$33:$D$143,3,0)/VLOOKUP($B$14,'Annual Parameters'!$B$33:$D$143,3,0)</f>
        <v>510.09187999999995</v>
      </c>
      <c r="M98" s="2122"/>
      <c r="N98" s="2122"/>
      <c r="O98" s="2122"/>
      <c r="P98" s="2122"/>
      <c r="Q98" s="2122"/>
      <c r="R98" s="26"/>
      <c r="S98" s="2370"/>
      <c r="T98" s="2370"/>
      <c r="U98" s="2370"/>
      <c r="V98" s="2370"/>
      <c r="W98" s="2370"/>
      <c r="X98" s="2370"/>
      <c r="Y98" s="65"/>
      <c r="AA98" s="2121"/>
      <c r="AB98" s="2122"/>
      <c r="AC98" s="2122"/>
      <c r="AD98" s="2122"/>
      <c r="AE98" s="2122"/>
      <c r="AF98" s="2122"/>
      <c r="AG98" s="2122"/>
      <c r="AI98" s="2121"/>
      <c r="AJ98" s="2120"/>
      <c r="AK98" s="2120"/>
      <c r="AL98" s="2120"/>
      <c r="AM98" s="2120"/>
      <c r="AN98" s="2120"/>
      <c r="AO98" s="2120"/>
    </row>
    <row r="99" spans="1:41" ht="13.5" customHeight="1">
      <c r="A99" s="113"/>
      <c r="B99" s="442">
        <f t="shared" si="1"/>
        <v>2082</v>
      </c>
      <c r="C99" s="147"/>
      <c r="D99" s="2124">
        <v>120</v>
      </c>
      <c r="E99" s="2125">
        <v>352</v>
      </c>
      <c r="F99" s="2126">
        <v>584</v>
      </c>
      <c r="G99" s="2125">
        <v>120</v>
      </c>
      <c r="H99" s="2125">
        <v>352</v>
      </c>
      <c r="I99" s="415">
        <v>584</v>
      </c>
      <c r="J99" s="2702">
        <f>D99*VLOOKUP($J$24,'Annual Parameters'!$B$33:$D$143,3,0)/VLOOKUP($B$14,'Annual Parameters'!$B$33:$D$143,3,0)</f>
        <v>104.81339999999999</v>
      </c>
      <c r="K99" s="2703">
        <f>E99*VLOOKUP($J$24,'Annual Parameters'!$B$33:$D$143,3,0)/VLOOKUP($B$14,'Annual Parameters'!$B$33:$D$143,3,0)</f>
        <v>307.45263999999997</v>
      </c>
      <c r="L99" s="2704">
        <f>F99*VLOOKUP($J$24,'Annual Parameters'!$B$33:$D$143,3,0)/VLOOKUP($B$14,'Annual Parameters'!$B$33:$D$143,3,0)</f>
        <v>510.09187999999995</v>
      </c>
      <c r="M99" s="2122"/>
      <c r="N99" s="2122"/>
      <c r="O99" s="2122"/>
      <c r="P99" s="2122"/>
      <c r="Q99" s="2122"/>
      <c r="R99" s="26"/>
      <c r="S99" s="2370"/>
      <c r="T99" s="2370"/>
      <c r="U99" s="2370"/>
      <c r="V99" s="2370"/>
      <c r="W99" s="2370"/>
      <c r="X99" s="2370"/>
      <c r="Y99" s="65"/>
      <c r="AA99" s="2121"/>
      <c r="AB99" s="2122"/>
      <c r="AC99" s="2122"/>
      <c r="AD99" s="2122"/>
      <c r="AE99" s="2122"/>
      <c r="AF99" s="2122"/>
      <c r="AG99" s="2122"/>
      <c r="AI99" s="2121"/>
      <c r="AJ99" s="2120"/>
      <c r="AK99" s="2120"/>
      <c r="AL99" s="2120"/>
      <c r="AM99" s="2120"/>
      <c r="AN99" s="2120"/>
      <c r="AO99" s="2120"/>
    </row>
    <row r="100" spans="1:41" ht="13.5" customHeight="1">
      <c r="A100" s="113"/>
      <c r="B100" s="442">
        <f t="shared" si="1"/>
        <v>2083</v>
      </c>
      <c r="C100" s="147"/>
      <c r="D100" s="2124">
        <v>118</v>
      </c>
      <c r="E100" s="2125">
        <v>351</v>
      </c>
      <c r="F100" s="2126">
        <v>584</v>
      </c>
      <c r="G100" s="2125">
        <v>118</v>
      </c>
      <c r="H100" s="2125">
        <v>351</v>
      </c>
      <c r="I100" s="415">
        <v>584</v>
      </c>
      <c r="J100" s="2702">
        <f>D100*VLOOKUP($J$24,'Annual Parameters'!$B$33:$D$143,3,0)/VLOOKUP($B$14,'Annual Parameters'!$B$33:$D$143,3,0)</f>
        <v>103.06650999999999</v>
      </c>
      <c r="K100" s="2703">
        <f>E100*VLOOKUP($J$24,'Annual Parameters'!$B$33:$D$143,3,0)/VLOOKUP($B$14,'Annual Parameters'!$B$33:$D$143,3,0)</f>
        <v>306.57919499999997</v>
      </c>
      <c r="L100" s="2704">
        <f>F100*VLOOKUP($J$24,'Annual Parameters'!$B$33:$D$143,3,0)/VLOOKUP($B$14,'Annual Parameters'!$B$33:$D$143,3,0)</f>
        <v>510.09187999999995</v>
      </c>
      <c r="M100" s="2122"/>
      <c r="N100" s="2122"/>
      <c r="O100" s="2122"/>
      <c r="P100" s="2122"/>
      <c r="Q100" s="2122"/>
      <c r="R100" s="26"/>
      <c r="S100" s="2370"/>
      <c r="T100" s="2370"/>
      <c r="U100" s="2370"/>
      <c r="V100" s="2370"/>
      <c r="W100" s="2370"/>
      <c r="X100" s="2370"/>
      <c r="Y100" s="65"/>
      <c r="AA100" s="2121"/>
      <c r="AB100" s="2122"/>
      <c r="AC100" s="2122"/>
      <c r="AD100" s="2122"/>
      <c r="AE100" s="2122"/>
      <c r="AF100" s="2122"/>
      <c r="AG100" s="2122"/>
      <c r="AI100" s="2121"/>
      <c r="AJ100" s="2120"/>
      <c r="AK100" s="2120"/>
      <c r="AL100" s="2120"/>
      <c r="AM100" s="2120"/>
      <c r="AN100" s="2120"/>
      <c r="AO100" s="2120"/>
    </row>
    <row r="101" spans="1:41" ht="13.5" customHeight="1">
      <c r="A101" s="113"/>
      <c r="B101" s="442">
        <f t="shared" si="1"/>
        <v>2084</v>
      </c>
      <c r="C101" s="147"/>
      <c r="D101" s="2124">
        <v>115</v>
      </c>
      <c r="E101" s="2125">
        <v>350</v>
      </c>
      <c r="F101" s="2126">
        <v>584</v>
      </c>
      <c r="G101" s="2125">
        <v>115</v>
      </c>
      <c r="H101" s="2125">
        <v>350</v>
      </c>
      <c r="I101" s="415">
        <v>584</v>
      </c>
      <c r="J101" s="2702">
        <f>D101*VLOOKUP($J$24,'Annual Parameters'!$B$33:$D$143,3,0)/VLOOKUP($B$14,'Annual Parameters'!$B$33:$D$143,3,0)</f>
        <v>100.446175</v>
      </c>
      <c r="K101" s="2703">
        <f>E101*VLOOKUP($J$24,'Annual Parameters'!$B$33:$D$143,3,0)/VLOOKUP($B$14,'Annual Parameters'!$B$33:$D$143,3,0)</f>
        <v>305.70574999999997</v>
      </c>
      <c r="L101" s="2704">
        <f>F101*VLOOKUP($J$24,'Annual Parameters'!$B$33:$D$143,3,0)/VLOOKUP($B$14,'Annual Parameters'!$B$33:$D$143,3,0)</f>
        <v>510.09187999999995</v>
      </c>
      <c r="M101" s="2122"/>
      <c r="N101" s="2122"/>
      <c r="O101" s="2122"/>
      <c r="P101" s="2122"/>
      <c r="Q101" s="2122"/>
      <c r="R101" s="26"/>
      <c r="S101" s="2370"/>
      <c r="T101" s="2370"/>
      <c r="U101" s="2370"/>
      <c r="V101" s="2370"/>
      <c r="W101" s="2370"/>
      <c r="X101" s="2370"/>
      <c r="Y101" s="65"/>
      <c r="AA101" s="2121"/>
      <c r="AB101" s="2122"/>
      <c r="AC101" s="2122"/>
      <c r="AD101" s="2122"/>
      <c r="AE101" s="2122"/>
      <c r="AF101" s="2122"/>
      <c r="AG101" s="2122"/>
      <c r="AI101" s="2121"/>
      <c r="AJ101" s="2120"/>
      <c r="AK101" s="2120"/>
      <c r="AL101" s="2120"/>
      <c r="AM101" s="2120"/>
      <c r="AN101" s="2120"/>
      <c r="AO101" s="2120"/>
    </row>
    <row r="102" spans="1:41" ht="13.5" customHeight="1">
      <c r="A102" s="113"/>
      <c r="B102" s="442">
        <f t="shared" si="1"/>
        <v>2085</v>
      </c>
      <c r="C102" s="147"/>
      <c r="D102" s="2124">
        <v>113</v>
      </c>
      <c r="E102" s="2125">
        <v>349</v>
      </c>
      <c r="F102" s="2126">
        <v>584</v>
      </c>
      <c r="G102" s="2125">
        <v>113</v>
      </c>
      <c r="H102" s="2125">
        <v>349</v>
      </c>
      <c r="I102" s="415">
        <v>584</v>
      </c>
      <c r="J102" s="2702">
        <f>D102*VLOOKUP($J$24,'Annual Parameters'!$B$33:$D$143,3,0)/VLOOKUP($B$14,'Annual Parameters'!$B$33:$D$143,3,0)</f>
        <v>98.699284999999989</v>
      </c>
      <c r="K102" s="2703">
        <f>E102*VLOOKUP($J$24,'Annual Parameters'!$B$33:$D$143,3,0)/VLOOKUP($B$14,'Annual Parameters'!$B$33:$D$143,3,0)</f>
        <v>304.83230499999996</v>
      </c>
      <c r="L102" s="2704">
        <f>F102*VLOOKUP($J$24,'Annual Parameters'!$B$33:$D$143,3,0)/VLOOKUP($B$14,'Annual Parameters'!$B$33:$D$143,3,0)</f>
        <v>510.09187999999995</v>
      </c>
      <c r="M102" s="2122"/>
      <c r="N102" s="2122"/>
      <c r="O102" s="2122"/>
      <c r="P102" s="2122"/>
      <c r="Q102" s="2122"/>
      <c r="R102" s="26"/>
      <c r="S102" s="2370"/>
      <c r="T102" s="2370"/>
      <c r="U102" s="2370"/>
      <c r="V102" s="2370"/>
      <c r="W102" s="2370"/>
      <c r="X102" s="2370"/>
      <c r="Y102" s="65"/>
      <c r="AA102" s="2121"/>
      <c r="AB102" s="2122"/>
      <c r="AC102" s="2122"/>
      <c r="AD102" s="2122"/>
      <c r="AE102" s="2122"/>
      <c r="AF102" s="2122"/>
      <c r="AG102" s="2122"/>
      <c r="AI102" s="2121"/>
      <c r="AJ102" s="2120"/>
      <c r="AK102" s="2120"/>
      <c r="AL102" s="2120"/>
      <c r="AM102" s="2120"/>
      <c r="AN102" s="2120"/>
      <c r="AO102" s="2120"/>
    </row>
    <row r="103" spans="1:41" ht="13.5" customHeight="1">
      <c r="A103" s="113"/>
      <c r="B103" s="442">
        <f t="shared" si="1"/>
        <v>2086</v>
      </c>
      <c r="C103" s="147"/>
      <c r="D103" s="2124">
        <v>111</v>
      </c>
      <c r="E103" s="2125">
        <v>347</v>
      </c>
      <c r="F103" s="2126">
        <v>582</v>
      </c>
      <c r="G103" s="2125">
        <v>111</v>
      </c>
      <c r="H103" s="2125">
        <v>347</v>
      </c>
      <c r="I103" s="415">
        <v>582</v>
      </c>
      <c r="J103" s="2702">
        <f>D103*VLOOKUP($J$24,'Annual Parameters'!$B$33:$D$143,3,0)/VLOOKUP($B$14,'Annual Parameters'!$B$33:$D$143,3,0)</f>
        <v>96.952394999999996</v>
      </c>
      <c r="K103" s="2703">
        <f>E103*VLOOKUP($J$24,'Annual Parameters'!$B$33:$D$143,3,0)/VLOOKUP($B$14,'Annual Parameters'!$B$33:$D$143,3,0)</f>
        <v>303.08541499999995</v>
      </c>
      <c r="L103" s="2704">
        <f>F103*VLOOKUP($J$24,'Annual Parameters'!$B$33:$D$143,3,0)/VLOOKUP($B$14,'Annual Parameters'!$B$33:$D$143,3,0)</f>
        <v>508.34498999999994</v>
      </c>
      <c r="M103" s="2122"/>
      <c r="N103" s="2122"/>
      <c r="O103" s="2122"/>
      <c r="P103" s="2122"/>
      <c r="Q103" s="2122"/>
      <c r="R103" s="26"/>
      <c r="S103" s="2370"/>
      <c r="T103" s="2370"/>
      <c r="U103" s="2370"/>
      <c r="V103" s="2370"/>
      <c r="W103" s="2370"/>
      <c r="X103" s="2370"/>
      <c r="Y103" s="65"/>
      <c r="AA103" s="2121"/>
      <c r="AB103" s="2122"/>
      <c r="AC103" s="2122"/>
      <c r="AD103" s="2122"/>
      <c r="AE103" s="2122"/>
      <c r="AF103" s="2122"/>
      <c r="AG103" s="2122"/>
      <c r="AI103" s="2121"/>
      <c r="AJ103" s="2120"/>
      <c r="AK103" s="2120"/>
      <c r="AL103" s="2120"/>
      <c r="AM103" s="2120"/>
      <c r="AN103" s="2120"/>
      <c r="AO103" s="2120"/>
    </row>
    <row r="104" spans="1:41" ht="13.5" customHeight="1">
      <c r="A104" s="113"/>
      <c r="B104" s="442">
        <f t="shared" si="1"/>
        <v>2087</v>
      </c>
      <c r="C104" s="147"/>
      <c r="D104" s="2124">
        <v>109</v>
      </c>
      <c r="E104" s="2125">
        <v>345</v>
      </c>
      <c r="F104" s="2126">
        <v>581</v>
      </c>
      <c r="G104" s="2125">
        <v>109</v>
      </c>
      <c r="H104" s="2125">
        <v>345</v>
      </c>
      <c r="I104" s="415">
        <v>581</v>
      </c>
      <c r="J104" s="2702">
        <f>D104*VLOOKUP($J$24,'Annual Parameters'!$B$33:$D$143,3,0)/VLOOKUP($B$14,'Annual Parameters'!$B$33:$D$143,3,0)</f>
        <v>95.205504999999988</v>
      </c>
      <c r="K104" s="2703">
        <f>E104*VLOOKUP($J$24,'Annual Parameters'!$B$33:$D$143,3,0)/VLOOKUP($B$14,'Annual Parameters'!$B$33:$D$143,3,0)</f>
        <v>301.33852499999995</v>
      </c>
      <c r="L104" s="2704">
        <f>F104*VLOOKUP($J$24,'Annual Parameters'!$B$33:$D$143,3,0)/VLOOKUP($B$14,'Annual Parameters'!$B$33:$D$143,3,0)</f>
        <v>507.47154499999994</v>
      </c>
      <c r="M104" s="2122"/>
      <c r="N104" s="2122"/>
      <c r="O104" s="2122"/>
      <c r="P104" s="2122"/>
      <c r="Q104" s="2122"/>
      <c r="R104" s="26"/>
      <c r="S104" s="2370"/>
      <c r="T104" s="2370"/>
      <c r="U104" s="2370"/>
      <c r="V104" s="2370"/>
      <c r="W104" s="2370"/>
      <c r="X104" s="2370"/>
      <c r="Y104" s="65"/>
      <c r="AA104" s="2121"/>
      <c r="AB104" s="2122"/>
      <c r="AC104" s="2122"/>
      <c r="AD104" s="2122"/>
      <c r="AE104" s="2122"/>
      <c r="AF104" s="2122"/>
      <c r="AG104" s="2122"/>
      <c r="AI104" s="2121"/>
      <c r="AJ104" s="2120"/>
      <c r="AK104" s="2120"/>
      <c r="AL104" s="2120"/>
      <c r="AM104" s="2120"/>
      <c r="AN104" s="2120"/>
      <c r="AO104" s="2120"/>
    </row>
    <row r="105" spans="1:41" ht="13.5" customHeight="1">
      <c r="A105" s="113"/>
      <c r="B105" s="442">
        <f t="shared" si="1"/>
        <v>2088</v>
      </c>
      <c r="C105" s="147"/>
      <c r="D105" s="2124">
        <v>106</v>
      </c>
      <c r="E105" s="2125">
        <v>343</v>
      </c>
      <c r="F105" s="2126">
        <v>579</v>
      </c>
      <c r="G105" s="2125">
        <v>106</v>
      </c>
      <c r="H105" s="2125">
        <v>343</v>
      </c>
      <c r="I105" s="415">
        <v>579</v>
      </c>
      <c r="J105" s="2702">
        <f>D105*VLOOKUP($J$24,'Annual Parameters'!$B$33:$D$143,3,0)/VLOOKUP($B$14,'Annual Parameters'!$B$33:$D$143,3,0)</f>
        <v>92.585169999999991</v>
      </c>
      <c r="K105" s="2703">
        <f>E105*VLOOKUP($J$24,'Annual Parameters'!$B$33:$D$143,3,0)/VLOOKUP($B$14,'Annual Parameters'!$B$33:$D$143,3,0)</f>
        <v>299.591635</v>
      </c>
      <c r="L105" s="2704">
        <f>F105*VLOOKUP($J$24,'Annual Parameters'!$B$33:$D$143,3,0)/VLOOKUP($B$14,'Annual Parameters'!$B$33:$D$143,3,0)</f>
        <v>505.72465499999993</v>
      </c>
      <c r="M105" s="2122"/>
      <c r="N105" s="2122"/>
      <c r="O105" s="2122"/>
      <c r="P105" s="2122"/>
      <c r="Q105" s="2122"/>
      <c r="R105" s="26"/>
      <c r="S105" s="2370"/>
      <c r="T105" s="2370"/>
      <c r="U105" s="2370"/>
      <c r="V105" s="2370"/>
      <c r="W105" s="2370"/>
      <c r="X105" s="2370"/>
      <c r="Y105" s="65"/>
      <c r="AA105" s="2121"/>
      <c r="AB105" s="2122"/>
      <c r="AC105" s="2122"/>
      <c r="AD105" s="2122"/>
      <c r="AE105" s="2122"/>
      <c r="AF105" s="2122"/>
      <c r="AG105" s="2122"/>
      <c r="AI105" s="2121"/>
      <c r="AJ105" s="2120"/>
      <c r="AK105" s="2120"/>
      <c r="AL105" s="2120"/>
      <c r="AM105" s="2120"/>
      <c r="AN105" s="2120"/>
      <c r="AO105" s="2120"/>
    </row>
    <row r="106" spans="1:41" ht="13.5" customHeight="1">
      <c r="A106" s="113"/>
      <c r="B106" s="442">
        <f t="shared" si="1"/>
        <v>2089</v>
      </c>
      <c r="C106" s="147"/>
      <c r="D106" s="2124">
        <v>104</v>
      </c>
      <c r="E106" s="2125">
        <v>340</v>
      </c>
      <c r="F106" s="2126">
        <v>576</v>
      </c>
      <c r="G106" s="2125">
        <v>104</v>
      </c>
      <c r="H106" s="2125">
        <v>340</v>
      </c>
      <c r="I106" s="415">
        <v>576</v>
      </c>
      <c r="J106" s="2702">
        <f>D106*VLOOKUP($J$24,'Annual Parameters'!$B$33:$D$143,3,0)/VLOOKUP($B$14,'Annual Parameters'!$B$33:$D$143,3,0)</f>
        <v>90.838279999999997</v>
      </c>
      <c r="K106" s="2703">
        <f>E106*VLOOKUP($J$24,'Annual Parameters'!$B$33:$D$143,3,0)/VLOOKUP($B$14,'Annual Parameters'!$B$33:$D$143,3,0)</f>
        <v>296.97129999999999</v>
      </c>
      <c r="L106" s="2704">
        <f>F106*VLOOKUP($J$24,'Annual Parameters'!$B$33:$D$143,3,0)/VLOOKUP($B$14,'Annual Parameters'!$B$33:$D$143,3,0)</f>
        <v>503.10431999999997</v>
      </c>
      <c r="M106" s="2122"/>
      <c r="N106" s="2122"/>
      <c r="O106" s="2122"/>
      <c r="P106" s="2122"/>
      <c r="Q106" s="2122"/>
      <c r="R106" s="26"/>
      <c r="S106" s="2370"/>
      <c r="T106" s="2370"/>
      <c r="U106" s="2370"/>
      <c r="V106" s="2370"/>
      <c r="W106" s="2370"/>
      <c r="X106" s="2370"/>
      <c r="Y106" s="65"/>
      <c r="AA106" s="2121"/>
      <c r="AB106" s="2122"/>
      <c r="AC106" s="2122"/>
      <c r="AD106" s="2122"/>
      <c r="AE106" s="2122"/>
      <c r="AF106" s="2122"/>
      <c r="AG106" s="2122"/>
      <c r="AI106" s="2121"/>
      <c r="AJ106" s="2120"/>
      <c r="AK106" s="2120"/>
      <c r="AL106" s="2120"/>
      <c r="AM106" s="2120"/>
      <c r="AN106" s="2120"/>
      <c r="AO106" s="2120"/>
    </row>
    <row r="107" spans="1:41" ht="13.5" customHeight="1">
      <c r="A107" s="113"/>
      <c r="B107" s="442">
        <f t="shared" si="1"/>
        <v>2090</v>
      </c>
      <c r="C107" s="147"/>
      <c r="D107" s="2124">
        <v>101</v>
      </c>
      <c r="E107" s="2125">
        <v>338</v>
      </c>
      <c r="F107" s="2126">
        <v>574</v>
      </c>
      <c r="G107" s="2125">
        <v>101</v>
      </c>
      <c r="H107" s="2125">
        <v>338</v>
      </c>
      <c r="I107" s="415">
        <v>574</v>
      </c>
      <c r="J107" s="2702">
        <f>D107*VLOOKUP($J$24,'Annual Parameters'!$B$33:$D$143,3,0)/VLOOKUP($B$14,'Annual Parameters'!$B$33:$D$143,3,0)</f>
        <v>88.217944999999986</v>
      </c>
      <c r="K107" s="2703">
        <f>E107*VLOOKUP($J$24,'Annual Parameters'!$B$33:$D$143,3,0)/VLOOKUP($B$14,'Annual Parameters'!$B$33:$D$143,3,0)</f>
        <v>295.22440999999998</v>
      </c>
      <c r="L107" s="2704">
        <f>F107*VLOOKUP($J$24,'Annual Parameters'!$B$33:$D$143,3,0)/VLOOKUP($B$14,'Annual Parameters'!$B$33:$D$143,3,0)</f>
        <v>501.35742999999997</v>
      </c>
      <c r="M107" s="2122"/>
      <c r="N107" s="2122"/>
      <c r="O107" s="2122"/>
      <c r="P107" s="2122"/>
      <c r="Q107" s="2122"/>
      <c r="R107" s="26"/>
      <c r="S107" s="2370"/>
      <c r="T107" s="2370"/>
      <c r="U107" s="2370"/>
      <c r="V107" s="2370"/>
      <c r="W107" s="2370"/>
      <c r="X107" s="2370"/>
      <c r="Y107" s="65"/>
      <c r="AA107" s="2121"/>
      <c r="AB107" s="2122"/>
      <c r="AC107" s="2122"/>
      <c r="AD107" s="2122"/>
      <c r="AE107" s="2122"/>
      <c r="AF107" s="2122"/>
      <c r="AG107" s="2122"/>
      <c r="AI107" s="2121"/>
      <c r="AJ107" s="2120"/>
      <c r="AK107" s="2120"/>
      <c r="AL107" s="2120"/>
      <c r="AM107" s="2120"/>
      <c r="AN107" s="2120"/>
      <c r="AO107" s="2120"/>
    </row>
    <row r="108" spans="1:41" ht="13.5" customHeight="1">
      <c r="A108" s="113"/>
      <c r="B108" s="442">
        <f t="shared" si="1"/>
        <v>2091</v>
      </c>
      <c r="C108" s="147"/>
      <c r="D108" s="2124">
        <v>99</v>
      </c>
      <c r="E108" s="2125">
        <v>335</v>
      </c>
      <c r="F108" s="2126">
        <v>572</v>
      </c>
      <c r="G108" s="2125">
        <v>99</v>
      </c>
      <c r="H108" s="2125">
        <v>335</v>
      </c>
      <c r="I108" s="415">
        <v>572</v>
      </c>
      <c r="J108" s="2702">
        <f>D108*VLOOKUP($J$24,'Annual Parameters'!$B$33:$D$143,3,0)/VLOOKUP($B$14,'Annual Parameters'!$B$33:$D$143,3,0)</f>
        <v>86.471054999999993</v>
      </c>
      <c r="K108" s="2703">
        <f>E108*VLOOKUP($J$24,'Annual Parameters'!$B$33:$D$143,3,0)/VLOOKUP($B$14,'Annual Parameters'!$B$33:$D$143,3,0)</f>
        <v>292.60407499999997</v>
      </c>
      <c r="L108" s="2704">
        <f>F108*VLOOKUP($J$24,'Annual Parameters'!$B$33:$D$143,3,0)/VLOOKUP($B$14,'Annual Parameters'!$B$33:$D$143,3,0)</f>
        <v>499.61053999999996</v>
      </c>
      <c r="M108" s="2122"/>
      <c r="N108" s="2122"/>
      <c r="O108" s="2122"/>
      <c r="P108" s="2122"/>
      <c r="Q108" s="2122"/>
      <c r="R108" s="26"/>
      <c r="S108" s="2370"/>
      <c r="T108" s="2370"/>
      <c r="U108" s="2370"/>
      <c r="V108" s="2370"/>
      <c r="W108" s="2370"/>
      <c r="X108" s="2370"/>
      <c r="Y108" s="65"/>
      <c r="AA108" s="2121"/>
      <c r="AB108" s="2122"/>
      <c r="AC108" s="2122"/>
      <c r="AD108" s="2122"/>
      <c r="AE108" s="2122"/>
      <c r="AF108" s="2122"/>
      <c r="AG108" s="2122"/>
      <c r="AI108" s="2121"/>
      <c r="AJ108" s="2120"/>
      <c r="AK108" s="2120"/>
      <c r="AL108" s="2120"/>
      <c r="AM108" s="2120"/>
      <c r="AN108" s="2120"/>
      <c r="AO108" s="2120"/>
    </row>
    <row r="109" spans="1:41" ht="13.5" customHeight="1">
      <c r="A109" s="113"/>
      <c r="B109" s="442">
        <f t="shared" si="1"/>
        <v>2092</v>
      </c>
      <c r="C109" s="147"/>
      <c r="D109" s="2124">
        <v>97</v>
      </c>
      <c r="E109" s="2125">
        <v>333</v>
      </c>
      <c r="F109" s="2126">
        <v>570</v>
      </c>
      <c r="G109" s="2125">
        <v>97</v>
      </c>
      <c r="H109" s="2125">
        <v>333</v>
      </c>
      <c r="I109" s="415">
        <v>570</v>
      </c>
      <c r="J109" s="2702">
        <f>D109*VLOOKUP($J$24,'Annual Parameters'!$B$33:$D$143,3,0)/VLOOKUP($B$14,'Annual Parameters'!$B$33:$D$143,3,0)</f>
        <v>84.724164999999985</v>
      </c>
      <c r="K109" s="2703">
        <f>E109*VLOOKUP($J$24,'Annual Parameters'!$B$33:$D$143,3,0)/VLOOKUP($B$14,'Annual Parameters'!$B$33:$D$143,3,0)</f>
        <v>290.85718499999996</v>
      </c>
      <c r="L109" s="2704">
        <f>F109*VLOOKUP($J$24,'Annual Parameters'!$B$33:$D$143,3,0)/VLOOKUP($B$14,'Annual Parameters'!$B$33:$D$143,3,0)</f>
        <v>497.86364999999995</v>
      </c>
      <c r="M109" s="2122"/>
      <c r="N109" s="2122"/>
      <c r="O109" s="2122"/>
      <c r="P109" s="2122"/>
      <c r="Q109" s="2122"/>
      <c r="R109" s="26"/>
      <c r="S109" s="2370"/>
      <c r="T109" s="2370"/>
      <c r="U109" s="2370"/>
      <c r="V109" s="2370"/>
      <c r="W109" s="2370"/>
      <c r="X109" s="2370"/>
      <c r="Y109" s="65"/>
      <c r="AA109" s="2121"/>
      <c r="AB109" s="2122"/>
      <c r="AC109" s="2122"/>
      <c r="AD109" s="2122"/>
      <c r="AE109" s="2122"/>
      <c r="AF109" s="2122"/>
      <c r="AG109" s="2122"/>
      <c r="AI109" s="2121"/>
      <c r="AJ109" s="2120"/>
      <c r="AK109" s="2120"/>
      <c r="AL109" s="2120"/>
      <c r="AM109" s="2120"/>
      <c r="AN109" s="2120"/>
      <c r="AO109" s="2120"/>
    </row>
    <row r="110" spans="1:41" ht="13.5" customHeight="1">
      <c r="A110" s="113"/>
      <c r="B110" s="442">
        <f t="shared" si="1"/>
        <v>2093</v>
      </c>
      <c r="C110" s="147"/>
      <c r="D110" s="2124">
        <v>94</v>
      </c>
      <c r="E110" s="2125">
        <v>331</v>
      </c>
      <c r="F110" s="2126">
        <v>567</v>
      </c>
      <c r="G110" s="2125">
        <v>94</v>
      </c>
      <c r="H110" s="2125">
        <v>331</v>
      </c>
      <c r="I110" s="415">
        <v>567</v>
      </c>
      <c r="J110" s="2702">
        <f>D110*VLOOKUP($J$24,'Annual Parameters'!$B$33:$D$143,3,0)/VLOOKUP($B$14,'Annual Parameters'!$B$33:$D$143,3,0)</f>
        <v>82.103829999999988</v>
      </c>
      <c r="K110" s="2703">
        <f>E110*VLOOKUP($J$24,'Annual Parameters'!$B$33:$D$143,3,0)/VLOOKUP($B$14,'Annual Parameters'!$B$33:$D$143,3,0)</f>
        <v>289.11029499999995</v>
      </c>
      <c r="L110" s="2704">
        <f>F110*VLOOKUP($J$24,'Annual Parameters'!$B$33:$D$143,3,0)/VLOOKUP($B$14,'Annual Parameters'!$B$33:$D$143,3,0)</f>
        <v>495.24331499999994</v>
      </c>
      <c r="M110" s="2122"/>
      <c r="N110" s="2122"/>
      <c r="O110" s="2122"/>
      <c r="P110" s="2122"/>
      <c r="Q110" s="2122"/>
      <c r="R110" s="26"/>
      <c r="S110" s="2370"/>
      <c r="T110" s="2370"/>
      <c r="U110" s="2370"/>
      <c r="V110" s="2370"/>
      <c r="W110" s="2370"/>
      <c r="X110" s="2370"/>
      <c r="Y110" s="65"/>
      <c r="AA110" s="2121"/>
      <c r="AB110" s="2122"/>
      <c r="AC110" s="2122"/>
      <c r="AD110" s="2122"/>
      <c r="AE110" s="2122"/>
      <c r="AF110" s="2122"/>
      <c r="AG110" s="2122"/>
      <c r="AI110" s="2121"/>
      <c r="AJ110" s="2120"/>
      <c r="AK110" s="2120"/>
      <c r="AL110" s="2120"/>
      <c r="AM110" s="2120"/>
      <c r="AN110" s="2120"/>
      <c r="AO110" s="2120"/>
    </row>
    <row r="111" spans="1:41" ht="13.5" customHeight="1">
      <c r="A111" s="113"/>
      <c r="B111" s="442">
        <f t="shared" si="1"/>
        <v>2094</v>
      </c>
      <c r="C111" s="147"/>
      <c r="D111" s="2124">
        <v>92</v>
      </c>
      <c r="E111" s="2125">
        <v>328</v>
      </c>
      <c r="F111" s="2126">
        <v>564</v>
      </c>
      <c r="G111" s="2125">
        <v>92</v>
      </c>
      <c r="H111" s="2125">
        <v>328</v>
      </c>
      <c r="I111" s="415">
        <v>564</v>
      </c>
      <c r="J111" s="2702">
        <f>D111*VLOOKUP($J$24,'Annual Parameters'!$B$33:$D$143,3,0)/VLOOKUP($B$14,'Annual Parameters'!$B$33:$D$143,3,0)</f>
        <v>80.356939999999994</v>
      </c>
      <c r="K111" s="2703">
        <f>E111*VLOOKUP($J$24,'Annual Parameters'!$B$33:$D$143,3,0)/VLOOKUP($B$14,'Annual Parameters'!$B$33:$D$143,3,0)</f>
        <v>286.48996</v>
      </c>
      <c r="L111" s="2704">
        <f>F111*VLOOKUP($J$24,'Annual Parameters'!$B$33:$D$143,3,0)/VLOOKUP($B$14,'Annual Parameters'!$B$33:$D$143,3,0)</f>
        <v>492.62297999999993</v>
      </c>
      <c r="M111" s="2122"/>
      <c r="N111" s="2122"/>
      <c r="O111" s="2122"/>
      <c r="P111" s="2122"/>
      <c r="Q111" s="2122"/>
      <c r="R111" s="26"/>
      <c r="S111" s="2370"/>
      <c r="T111" s="2370"/>
      <c r="U111" s="2370"/>
      <c r="V111" s="2370"/>
      <c r="W111" s="2370"/>
      <c r="X111" s="2370"/>
      <c r="Y111" s="65"/>
      <c r="AA111" s="2121"/>
      <c r="AB111" s="2122"/>
      <c r="AC111" s="2122"/>
      <c r="AD111" s="2122"/>
      <c r="AE111" s="2122"/>
      <c r="AF111" s="2122"/>
      <c r="AG111" s="2122"/>
      <c r="AI111" s="2121"/>
      <c r="AJ111" s="2120"/>
      <c r="AK111" s="2120"/>
      <c r="AL111" s="2120"/>
      <c r="AM111" s="2120"/>
      <c r="AN111" s="2120"/>
      <c r="AO111" s="2120"/>
    </row>
    <row r="112" spans="1:41" ht="13.5" customHeight="1">
      <c r="A112" s="113"/>
      <c r="B112" s="442">
        <f t="shared" si="1"/>
        <v>2095</v>
      </c>
      <c r="C112" s="147"/>
      <c r="D112" s="2124">
        <v>89</v>
      </c>
      <c r="E112" s="2125">
        <v>325</v>
      </c>
      <c r="F112" s="2126">
        <v>561</v>
      </c>
      <c r="G112" s="2125">
        <v>89</v>
      </c>
      <c r="H112" s="2125">
        <v>325</v>
      </c>
      <c r="I112" s="415">
        <v>561</v>
      </c>
      <c r="J112" s="2702">
        <f>D112*VLOOKUP($J$24,'Annual Parameters'!$B$33:$D$143,3,0)/VLOOKUP($B$14,'Annual Parameters'!$B$33:$D$143,3,0)</f>
        <v>77.736604999999997</v>
      </c>
      <c r="K112" s="2703">
        <f>E112*VLOOKUP($J$24,'Annual Parameters'!$B$33:$D$143,3,0)/VLOOKUP($B$14,'Annual Parameters'!$B$33:$D$143,3,0)</f>
        <v>283.86962499999998</v>
      </c>
      <c r="L112" s="2704">
        <f>F112*VLOOKUP($J$24,'Annual Parameters'!$B$33:$D$143,3,0)/VLOOKUP($B$14,'Annual Parameters'!$B$33:$D$143,3,0)</f>
        <v>490.00264499999997</v>
      </c>
      <c r="M112" s="2122"/>
      <c r="N112" s="2122"/>
      <c r="O112" s="2122"/>
      <c r="P112" s="2122"/>
      <c r="Q112" s="2122"/>
      <c r="R112" s="26"/>
      <c r="S112" s="2370"/>
      <c r="T112" s="2370"/>
      <c r="U112" s="2370"/>
      <c r="V112" s="2370"/>
      <c r="W112" s="2370"/>
      <c r="X112" s="2370"/>
      <c r="Y112" s="65"/>
      <c r="AA112" s="2121"/>
      <c r="AB112" s="2122"/>
      <c r="AC112" s="2122"/>
      <c r="AD112" s="2122"/>
      <c r="AE112" s="2122"/>
      <c r="AF112" s="2122"/>
      <c r="AG112" s="2122"/>
      <c r="AI112" s="2121"/>
      <c r="AJ112" s="2120"/>
      <c r="AK112" s="2120"/>
      <c r="AL112" s="2120"/>
      <c r="AM112" s="2120"/>
      <c r="AN112" s="2120"/>
      <c r="AO112" s="2120"/>
    </row>
    <row r="113" spans="1:41" ht="13.5" customHeight="1">
      <c r="A113" s="113"/>
      <c r="B113" s="442">
        <f t="shared" si="1"/>
        <v>2096</v>
      </c>
      <c r="C113" s="147"/>
      <c r="D113" s="2124">
        <v>87</v>
      </c>
      <c r="E113" s="2125">
        <v>322</v>
      </c>
      <c r="F113" s="2126">
        <v>557</v>
      </c>
      <c r="G113" s="2125">
        <v>87</v>
      </c>
      <c r="H113" s="2125">
        <v>322</v>
      </c>
      <c r="I113" s="415">
        <v>557</v>
      </c>
      <c r="J113" s="2702">
        <f>D113*VLOOKUP($J$24,'Annual Parameters'!$B$33:$D$143,3,0)/VLOOKUP($B$14,'Annual Parameters'!$B$33:$D$143,3,0)</f>
        <v>75.98971499999999</v>
      </c>
      <c r="K113" s="2703">
        <f>E113*VLOOKUP($J$24,'Annual Parameters'!$B$33:$D$143,3,0)/VLOOKUP($B$14,'Annual Parameters'!$B$33:$D$143,3,0)</f>
        <v>281.24928999999997</v>
      </c>
      <c r="L113" s="2704">
        <f>F113*VLOOKUP($J$24,'Annual Parameters'!$B$33:$D$143,3,0)/VLOOKUP($B$14,'Annual Parameters'!$B$33:$D$143,3,0)</f>
        <v>486.50886499999996</v>
      </c>
      <c r="M113" s="2122"/>
      <c r="N113" s="2122"/>
      <c r="O113" s="2122"/>
      <c r="P113" s="2122"/>
      <c r="Q113" s="2122"/>
      <c r="R113" s="26"/>
      <c r="S113" s="2370"/>
      <c r="T113" s="2370"/>
      <c r="U113" s="2370"/>
      <c r="V113" s="2370"/>
      <c r="W113" s="2370"/>
      <c r="X113" s="2370"/>
      <c r="Y113" s="65"/>
      <c r="AA113" s="2121"/>
      <c r="AB113" s="2122"/>
      <c r="AC113" s="2122"/>
      <c r="AD113" s="2122"/>
      <c r="AE113" s="2122"/>
      <c r="AF113" s="2122"/>
      <c r="AG113" s="2122"/>
      <c r="AI113" s="2121"/>
      <c r="AJ113" s="2120"/>
      <c r="AK113" s="2120"/>
      <c r="AL113" s="2120"/>
      <c r="AM113" s="2120"/>
      <c r="AN113" s="2120"/>
      <c r="AO113" s="2120"/>
    </row>
    <row r="114" spans="1:41" ht="13.5" customHeight="1">
      <c r="A114" s="113"/>
      <c r="B114" s="442">
        <f t="shared" si="1"/>
        <v>2097</v>
      </c>
      <c r="C114" s="147"/>
      <c r="D114" s="2124">
        <v>85</v>
      </c>
      <c r="E114" s="2125">
        <v>319</v>
      </c>
      <c r="F114" s="2126">
        <v>554</v>
      </c>
      <c r="G114" s="2125">
        <v>85</v>
      </c>
      <c r="H114" s="2125">
        <v>319</v>
      </c>
      <c r="I114" s="415">
        <v>554</v>
      </c>
      <c r="J114" s="2702">
        <f>D114*VLOOKUP($J$24,'Annual Parameters'!$B$33:$D$143,3,0)/VLOOKUP($B$14,'Annual Parameters'!$B$33:$D$143,3,0)</f>
        <v>74.242824999999996</v>
      </c>
      <c r="K114" s="2703">
        <f>E114*VLOOKUP($J$24,'Annual Parameters'!$B$33:$D$143,3,0)/VLOOKUP($B$14,'Annual Parameters'!$B$33:$D$143,3,0)</f>
        <v>278.62895499999996</v>
      </c>
      <c r="L114" s="2704">
        <f>F114*VLOOKUP($J$24,'Annual Parameters'!$B$33:$D$143,3,0)/VLOOKUP($B$14,'Annual Parameters'!$B$33:$D$143,3,0)</f>
        <v>483.88852999999995</v>
      </c>
      <c r="M114" s="2122"/>
      <c r="N114" s="2122"/>
      <c r="O114" s="2122"/>
      <c r="P114" s="2122"/>
      <c r="Q114" s="2122"/>
      <c r="R114" s="26"/>
      <c r="S114" s="2370"/>
      <c r="T114" s="2370"/>
      <c r="U114" s="2370"/>
      <c r="V114" s="2370"/>
      <c r="W114" s="2370"/>
      <c r="X114" s="2370"/>
      <c r="Y114" s="65"/>
      <c r="AA114" s="2121"/>
      <c r="AB114" s="2122"/>
      <c r="AC114" s="2122"/>
      <c r="AD114" s="2122"/>
      <c r="AE114" s="2122"/>
      <c r="AF114" s="2122"/>
      <c r="AG114" s="2122"/>
      <c r="AI114" s="2121"/>
      <c r="AJ114" s="2120"/>
      <c r="AK114" s="2120"/>
      <c r="AL114" s="2120"/>
      <c r="AM114" s="2120"/>
      <c r="AN114" s="2120"/>
      <c r="AO114" s="2120"/>
    </row>
    <row r="115" spans="1:41" ht="13.5" customHeight="1">
      <c r="A115" s="113"/>
      <c r="B115" s="442">
        <f t="shared" si="1"/>
        <v>2098</v>
      </c>
      <c r="C115" s="147"/>
      <c r="D115" s="2124">
        <v>82</v>
      </c>
      <c r="E115" s="2125">
        <v>316</v>
      </c>
      <c r="F115" s="2126">
        <v>549</v>
      </c>
      <c r="G115" s="2125">
        <v>82</v>
      </c>
      <c r="H115" s="2125">
        <v>316</v>
      </c>
      <c r="I115" s="415">
        <v>549</v>
      </c>
      <c r="J115" s="2702">
        <f>D115*VLOOKUP($J$24,'Annual Parameters'!$B$33:$D$143,3,0)/VLOOKUP($B$14,'Annual Parameters'!$B$33:$D$143,3,0)</f>
        <v>71.622489999999999</v>
      </c>
      <c r="K115" s="2703">
        <f>E115*VLOOKUP($J$24,'Annual Parameters'!$B$33:$D$143,3,0)/VLOOKUP($B$14,'Annual Parameters'!$B$33:$D$143,3,0)</f>
        <v>276.00861999999995</v>
      </c>
      <c r="L115" s="2704">
        <f>F115*VLOOKUP($J$24,'Annual Parameters'!$B$33:$D$143,3,0)/VLOOKUP($B$14,'Annual Parameters'!$B$33:$D$143,3,0)</f>
        <v>479.52130499999993</v>
      </c>
      <c r="M115" s="2122"/>
      <c r="N115" s="2122"/>
      <c r="O115" s="2122"/>
      <c r="P115" s="2122"/>
      <c r="Q115" s="2122"/>
      <c r="R115" s="26"/>
      <c r="S115" s="2370"/>
      <c r="T115" s="2370"/>
      <c r="U115" s="2370"/>
      <c r="V115" s="2370"/>
      <c r="W115" s="2370"/>
      <c r="X115" s="2370"/>
      <c r="Y115" s="65"/>
      <c r="AA115" s="2121"/>
      <c r="AB115" s="2122"/>
      <c r="AC115" s="2122"/>
      <c r="AD115" s="2122"/>
      <c r="AE115" s="2122"/>
      <c r="AF115" s="2122"/>
      <c r="AG115" s="2122"/>
      <c r="AI115" s="2121"/>
      <c r="AJ115" s="2120"/>
      <c r="AK115" s="2120"/>
      <c r="AL115" s="2120"/>
      <c r="AM115" s="2120"/>
      <c r="AN115" s="2120"/>
      <c r="AO115" s="2120"/>
    </row>
    <row r="116" spans="1:41" ht="13.5" customHeight="1">
      <c r="A116" s="113"/>
      <c r="B116" s="442">
        <f t="shared" si="1"/>
        <v>2099</v>
      </c>
      <c r="C116" s="147"/>
      <c r="D116" s="2124">
        <v>80</v>
      </c>
      <c r="E116" s="2125">
        <v>313</v>
      </c>
      <c r="F116" s="2126">
        <v>546</v>
      </c>
      <c r="G116" s="2125">
        <v>80</v>
      </c>
      <c r="H116" s="2125">
        <v>313</v>
      </c>
      <c r="I116" s="415">
        <v>546</v>
      </c>
      <c r="J116" s="2702">
        <f>D116*VLOOKUP($J$24,'Annual Parameters'!$B$33:$D$143,3,0)/VLOOKUP($B$14,'Annual Parameters'!$B$33:$D$143,3,0)</f>
        <v>69.875599999999991</v>
      </c>
      <c r="K116" s="2703">
        <f>E116*VLOOKUP($J$24,'Annual Parameters'!$B$33:$D$143,3,0)/VLOOKUP($B$14,'Annual Parameters'!$B$33:$D$143,3,0)</f>
        <v>273.388285</v>
      </c>
      <c r="L116" s="2704">
        <f>F116*VLOOKUP($J$24,'Annual Parameters'!$B$33:$D$143,3,0)/VLOOKUP($B$14,'Annual Parameters'!$B$33:$D$143,3,0)</f>
        <v>476.90096999999997</v>
      </c>
      <c r="M116" s="2122"/>
      <c r="N116" s="2122"/>
      <c r="O116" s="2122"/>
      <c r="P116" s="2122"/>
      <c r="Q116" s="2122"/>
      <c r="R116" s="26"/>
      <c r="S116" s="2370"/>
      <c r="T116" s="2370"/>
      <c r="U116" s="2370"/>
      <c r="V116" s="2370"/>
      <c r="W116" s="2370"/>
      <c r="X116" s="2370"/>
      <c r="Y116" s="65"/>
      <c r="AA116" s="2121"/>
      <c r="AB116" s="2122"/>
      <c r="AC116" s="2122"/>
      <c r="AD116" s="2122"/>
      <c r="AE116" s="2122"/>
      <c r="AF116" s="2122"/>
      <c r="AG116" s="2122"/>
      <c r="AI116" s="2121"/>
      <c r="AJ116" s="2120"/>
      <c r="AK116" s="2120"/>
      <c r="AL116" s="2120"/>
      <c r="AM116" s="2120"/>
      <c r="AN116" s="2120"/>
      <c r="AO116" s="2120"/>
    </row>
    <row r="117" spans="1:41" ht="13.5" customHeight="1">
      <c r="A117" s="113"/>
      <c r="B117" s="442">
        <f t="shared" si="1"/>
        <v>2100</v>
      </c>
      <c r="C117" s="147"/>
      <c r="D117" s="2124">
        <v>77</v>
      </c>
      <c r="E117" s="2125">
        <v>309</v>
      </c>
      <c r="F117" s="2126">
        <v>541</v>
      </c>
      <c r="G117" s="2125">
        <v>77</v>
      </c>
      <c r="H117" s="2125">
        <v>309</v>
      </c>
      <c r="I117" s="415">
        <v>541</v>
      </c>
      <c r="J117" s="2702">
        <f>D117*VLOOKUP($J$24,'Annual Parameters'!$B$33:$D$143,3,0)/VLOOKUP($B$14,'Annual Parameters'!$B$33:$D$143,3,0)</f>
        <v>67.255264999999994</v>
      </c>
      <c r="K117" s="2703">
        <f>E117*VLOOKUP($J$24,'Annual Parameters'!$B$33:$D$143,3,0)/VLOOKUP($B$14,'Annual Parameters'!$B$33:$D$143,3,0)</f>
        <v>269.89450499999998</v>
      </c>
      <c r="L117" s="2704">
        <f>F117*VLOOKUP($J$24,'Annual Parameters'!$B$33:$D$143,3,0)/VLOOKUP($B$14,'Annual Parameters'!$B$33:$D$143,3,0)</f>
        <v>472.53374499999995</v>
      </c>
      <c r="M117" s="2122"/>
      <c r="N117" s="2122"/>
      <c r="O117" s="2122"/>
      <c r="P117" s="2122"/>
      <c r="Q117" s="2122"/>
      <c r="R117" s="26"/>
      <c r="S117" s="2370"/>
      <c r="T117" s="2370"/>
      <c r="U117" s="2370"/>
      <c r="V117" s="2370"/>
      <c r="W117" s="2370"/>
      <c r="X117" s="2370"/>
      <c r="Y117" s="65"/>
      <c r="AA117" s="2121"/>
      <c r="AB117" s="2122"/>
      <c r="AC117" s="2122"/>
      <c r="AD117" s="2122"/>
      <c r="AE117" s="2122"/>
      <c r="AF117" s="2122"/>
      <c r="AG117" s="2122"/>
      <c r="AI117" s="2121"/>
      <c r="AJ117" s="2120"/>
      <c r="AK117" s="2120"/>
      <c r="AL117" s="2120"/>
      <c r="AM117" s="2120"/>
      <c r="AN117" s="2120"/>
      <c r="AO117" s="2120"/>
    </row>
    <row r="118" spans="1:41" ht="13.5" customHeight="1">
      <c r="A118" s="113"/>
      <c r="B118" s="442"/>
      <c r="C118" s="147"/>
      <c r="D118" s="2124"/>
      <c r="E118" s="2125"/>
      <c r="F118" s="2126"/>
      <c r="G118" s="2125"/>
      <c r="H118" s="2125"/>
      <c r="I118" s="415"/>
      <c r="J118" s="2124"/>
      <c r="K118" s="2125"/>
      <c r="L118" s="2126"/>
      <c r="M118" s="2122"/>
      <c r="N118" s="2122"/>
      <c r="O118" s="2122"/>
      <c r="P118" s="2122"/>
      <c r="Q118" s="2122"/>
      <c r="R118" s="26"/>
      <c r="S118" s="2370"/>
      <c r="T118" s="2370"/>
      <c r="U118" s="2370"/>
      <c r="V118" s="2370"/>
      <c r="W118" s="2370"/>
      <c r="X118" s="2370"/>
      <c r="Y118" s="65"/>
      <c r="AA118" s="2121"/>
      <c r="AB118" s="2122"/>
      <c r="AC118" s="2122"/>
      <c r="AD118" s="2122"/>
      <c r="AE118" s="2122"/>
      <c r="AF118" s="2122"/>
      <c r="AG118" s="2122"/>
      <c r="AI118" s="2121"/>
      <c r="AJ118" s="2120"/>
      <c r="AK118" s="2120"/>
      <c r="AL118" s="2120"/>
      <c r="AM118" s="2120"/>
      <c r="AN118" s="2120"/>
      <c r="AO118" s="2120"/>
    </row>
    <row r="119" spans="1:41" ht="13.5" customHeight="1" thickBot="1">
      <c r="A119" s="381"/>
      <c r="B119" s="13"/>
      <c r="C119" s="168"/>
      <c r="D119" s="2127"/>
      <c r="E119" s="2128"/>
      <c r="F119" s="2129"/>
      <c r="G119" s="2128"/>
      <c r="H119" s="2128"/>
      <c r="I119" s="2130"/>
      <c r="J119" s="2127"/>
      <c r="K119" s="2128"/>
      <c r="L119" s="2129"/>
      <c r="M119" s="2122"/>
      <c r="N119" s="2122"/>
      <c r="O119" s="2122"/>
      <c r="P119" s="2122"/>
      <c r="Q119" s="2122"/>
      <c r="R119" s="26"/>
      <c r="S119" s="2370"/>
      <c r="T119" s="2370"/>
      <c r="U119" s="2370"/>
      <c r="V119" s="2370"/>
      <c r="W119" s="2370"/>
      <c r="X119" s="2370"/>
      <c r="Y119" s="65"/>
      <c r="AA119" s="2121"/>
      <c r="AB119" s="2122"/>
      <c r="AC119" s="2122"/>
      <c r="AD119" s="2122"/>
      <c r="AE119" s="2122"/>
      <c r="AF119" s="2122"/>
      <c r="AG119" s="2122"/>
      <c r="AI119" s="2121"/>
      <c r="AJ119" s="2120"/>
      <c r="AK119" s="2120"/>
      <c r="AL119" s="2120"/>
      <c r="AM119" s="2120"/>
      <c r="AN119" s="2120"/>
      <c r="AO119" s="2120"/>
    </row>
    <row r="120" spans="1:41" ht="13.5" customHeight="1" thickTop="1" thickBot="1">
      <c r="K120" s="2121"/>
      <c r="L120" s="2122"/>
      <c r="M120" s="2122"/>
      <c r="N120" s="2122"/>
      <c r="O120" s="2122"/>
      <c r="P120" s="2122"/>
      <c r="Q120" s="2122"/>
      <c r="R120" s="26"/>
      <c r="S120" s="26"/>
      <c r="T120" s="26"/>
      <c r="U120" s="26"/>
      <c r="V120" s="26"/>
      <c r="W120" s="26"/>
      <c r="X120" s="26"/>
      <c r="AA120" s="2121"/>
      <c r="AB120" s="2122"/>
      <c r="AC120" s="2122"/>
      <c r="AD120" s="2122"/>
      <c r="AE120" s="2122"/>
      <c r="AF120" s="2122"/>
      <c r="AG120" s="2122"/>
    </row>
    <row r="121" spans="1:41" ht="13.5" customHeight="1" thickBot="1">
      <c r="D121" s="528" t="s">
        <v>1489</v>
      </c>
      <c r="K121" s="2123"/>
      <c r="L121" s="2123"/>
      <c r="M121" s="2123"/>
      <c r="N121" s="2123"/>
      <c r="O121" s="2123"/>
      <c r="P121" s="2123"/>
      <c r="Q121" s="2123"/>
      <c r="R121" s="26"/>
      <c r="S121" s="26"/>
      <c r="T121" s="26"/>
      <c r="U121" s="26"/>
      <c r="V121" s="26"/>
      <c r="W121" s="26"/>
      <c r="X121" s="26"/>
      <c r="AA121" s="2123"/>
      <c r="AB121" s="2123"/>
      <c r="AC121" s="2123"/>
      <c r="AD121" s="2123"/>
      <c r="AE121" s="2123"/>
      <c r="AF121" s="2123"/>
      <c r="AG121" s="2123"/>
    </row>
    <row r="122" spans="1:41" ht="13.5" customHeight="1">
      <c r="D122" s="28"/>
      <c r="K122" s="26"/>
      <c r="L122" s="26"/>
      <c r="M122" s="26"/>
      <c r="N122" s="26"/>
      <c r="O122" s="26"/>
      <c r="P122" s="26"/>
      <c r="Q122" s="26"/>
      <c r="R122" s="26"/>
      <c r="S122" s="26"/>
      <c r="T122" s="26"/>
      <c r="U122" s="26"/>
      <c r="V122" s="26"/>
      <c r="W122" s="26"/>
      <c r="X122" s="26"/>
    </row>
    <row r="123" spans="1:41" ht="13.5" customHeight="1">
      <c r="C123" s="878"/>
      <c r="E123" s="28"/>
      <c r="K123" s="26"/>
      <c r="L123" s="26"/>
      <c r="M123" s="26"/>
      <c r="N123" s="26"/>
      <c r="O123" s="26"/>
      <c r="P123" s="26"/>
      <c r="Q123" s="26"/>
      <c r="R123" s="26"/>
      <c r="S123" s="26"/>
      <c r="T123" s="26"/>
      <c r="U123" s="26"/>
      <c r="V123" s="26"/>
      <c r="W123" s="26"/>
      <c r="X123" s="26"/>
    </row>
    <row r="124" spans="1:41" ht="13.5" customHeight="1">
      <c r="B124" s="96"/>
      <c r="C124" s="72"/>
    </row>
    <row r="126" spans="1:41" ht="13.5" customHeight="1">
      <c r="D126" s="28"/>
    </row>
  </sheetData>
  <sheetProtection sheet="1" objects="1" scenarios="1"/>
  <mergeCells count="9">
    <mergeCell ref="A18:B18"/>
    <mergeCell ref="A19:B19"/>
    <mergeCell ref="A20:B20"/>
    <mergeCell ref="A11:B11"/>
    <mergeCell ref="E6:S6"/>
    <mergeCell ref="A7:B7"/>
    <mergeCell ref="A8:B8"/>
    <mergeCell ref="A10:B10"/>
    <mergeCell ref="A12:B12"/>
  </mergeCells>
  <phoneticPr fontId="8" type="noConversion"/>
  <hyperlinks>
    <hyperlink ref="D121" location="GHG!D27" tooltip="Top of this page" display="Top"/>
    <hyperlink ref="A11" location="Contents!A1" display="Contents"/>
    <hyperlink ref="A11:B11" r:id="rId1" display="WebTAG Unit 3.3.5"/>
    <hyperlink ref="A10" location="Contents!A1" display="Contents"/>
    <hyperlink ref="A10:B10" location="Contents!A1" tooltip="Contents page" display="Contents"/>
    <hyperlink ref="A12:B12" r:id="rId2" tooltip="Unit A3  Environmental Impact Appraisal" display="WebTAG Unit A 3"/>
    <hyperlink ref="F7" r:id="rId3"/>
  </hyperlinks>
  <pageMargins left="0.75" right="0.75" top="1" bottom="1" header="0.5" footer="0.5"/>
  <pageSetup paperSize="9" orientation="portrait" r:id="rId4"/>
  <headerFooter alignWithMargins="0"/>
  <drawing r:id="rId5"/>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indexed="10"/>
  </sheetPr>
  <dimension ref="A1:AL198"/>
  <sheetViews>
    <sheetView showGridLines="0" zoomScale="90" zoomScaleNormal="90" workbookViewId="0">
      <selection activeCell="E23" sqref="E23:F23"/>
    </sheetView>
  </sheetViews>
  <sheetFormatPr defaultColWidth="9.109375" defaultRowHeight="13.2"/>
  <cols>
    <col min="1" max="9" width="12.88671875" style="33" customWidth="1"/>
    <col min="10" max="10" width="12.6640625" style="33" customWidth="1"/>
    <col min="11" max="26" width="12.8867187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2279</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538</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46">
        <f>Audit!C12</f>
        <v>43586</v>
      </c>
      <c r="B8" s="3645"/>
      <c r="E8" s="2528" t="s">
        <v>2134</v>
      </c>
      <c r="F8" s="2697"/>
      <c r="G8" s="2697"/>
      <c r="H8" s="2697"/>
      <c r="I8" s="3085" t="s">
        <v>1965</v>
      </c>
      <c r="J8" s="2619" t="s">
        <v>2135</v>
      </c>
      <c r="K8" s="2697"/>
      <c r="L8" s="2685"/>
      <c r="M8" s="3085"/>
      <c r="O8" s="313"/>
      <c r="P8" s="313"/>
      <c r="Q8" s="313"/>
      <c r="R8" s="313"/>
      <c r="S8" s="2952"/>
      <c r="W8" s="26"/>
      <c r="X8" s="26"/>
      <c r="Y8" s="26"/>
      <c r="Z8" s="26"/>
      <c r="AA8" s="31"/>
      <c r="AB8" s="26"/>
      <c r="AL8" s="87"/>
    </row>
    <row r="9" spans="1:38" s="38" customFormat="1" ht="13.5" customHeight="1" thickBot="1">
      <c r="A9" s="172" t="s">
        <v>14</v>
      </c>
      <c r="B9" s="173"/>
      <c r="D9" s="26"/>
      <c r="E9" s="1010"/>
      <c r="F9" s="313"/>
      <c r="G9" s="313"/>
      <c r="H9" s="313"/>
      <c r="I9" s="313"/>
      <c r="J9" s="313"/>
      <c r="K9" s="313"/>
      <c r="L9" s="313"/>
      <c r="M9" s="313"/>
      <c r="N9" s="313"/>
      <c r="O9" s="313"/>
      <c r="P9" s="313"/>
      <c r="Q9" s="313"/>
      <c r="R9" s="313"/>
      <c r="S9" s="2952"/>
      <c r="W9" s="26"/>
      <c r="X9" s="26"/>
      <c r="Y9" s="26"/>
      <c r="Z9" s="26"/>
      <c r="AA9" s="31"/>
      <c r="AB9" s="26"/>
      <c r="AL9" s="87"/>
    </row>
    <row r="10" spans="1:38" s="38" customFormat="1" ht="13.5" customHeight="1" thickBot="1">
      <c r="A10" s="3611" t="s">
        <v>1306</v>
      </c>
      <c r="B10" s="3612"/>
      <c r="D10" s="26"/>
      <c r="E10" s="2528" t="s">
        <v>1886</v>
      </c>
      <c r="F10" s="26"/>
      <c r="G10" s="26"/>
      <c r="I10" s="2685" t="s">
        <v>291</v>
      </c>
      <c r="J10" s="2619" t="s">
        <v>2135</v>
      </c>
      <c r="K10" s="26"/>
      <c r="L10" s="26"/>
      <c r="M10" s="26"/>
      <c r="N10" s="26"/>
      <c r="O10" s="26"/>
      <c r="P10" s="26"/>
      <c r="Q10" s="26"/>
      <c r="R10" s="26"/>
      <c r="S10" s="147"/>
      <c r="W10" s="26"/>
      <c r="X10" s="26"/>
      <c r="Y10" s="26"/>
      <c r="Z10" s="26"/>
      <c r="AA10" s="31"/>
      <c r="AB10" s="26"/>
      <c r="AL10" s="87"/>
    </row>
    <row r="11" spans="1:38" s="38" customFormat="1" ht="13.5" customHeight="1" thickBot="1">
      <c r="A11" s="3611" t="s">
        <v>2280</v>
      </c>
      <c r="B11" s="3639"/>
      <c r="E11" s="113"/>
      <c r="F11" s="26"/>
      <c r="G11" s="26"/>
      <c r="H11" s="26"/>
      <c r="I11" s="26"/>
      <c r="J11" s="26"/>
      <c r="K11" s="26"/>
      <c r="L11" s="26"/>
      <c r="M11" s="26"/>
      <c r="N11" s="26"/>
      <c r="O11" s="26"/>
      <c r="P11" s="26"/>
      <c r="Q11" s="26"/>
      <c r="R11" s="26"/>
      <c r="S11" s="147"/>
      <c r="W11" s="26"/>
      <c r="X11" s="26"/>
      <c r="Y11" s="26"/>
      <c r="Z11" s="26"/>
      <c r="AA11" s="31"/>
      <c r="AB11" s="26"/>
      <c r="AL11" s="87"/>
    </row>
    <row r="12" spans="1:38" s="38" customFormat="1" ht="13.5" customHeight="1" thickBot="1">
      <c r="A12" s="3611" t="s">
        <v>2279</v>
      </c>
      <c r="B12" s="3639"/>
      <c r="E12" s="1951" t="s">
        <v>1170</v>
      </c>
      <c r="F12" s="26"/>
      <c r="G12" s="26"/>
      <c r="H12" s="26"/>
      <c r="I12" s="27"/>
      <c r="J12" s="27"/>
      <c r="K12" s="27"/>
      <c r="L12" s="26"/>
      <c r="M12" s="26"/>
      <c r="N12" s="26"/>
      <c r="O12" s="26"/>
      <c r="P12" s="26"/>
      <c r="Q12" s="26"/>
      <c r="R12" s="26"/>
      <c r="S12" s="147"/>
      <c r="W12" s="26"/>
      <c r="X12" s="26"/>
      <c r="Y12" s="26"/>
      <c r="Z12" s="26"/>
      <c r="AA12" s="31"/>
      <c r="AB12" s="26"/>
      <c r="AL12" s="87"/>
    </row>
    <row r="13" spans="1:38" ht="13.5" customHeight="1">
      <c r="A13" s="172" t="s">
        <v>252</v>
      </c>
      <c r="B13" s="194"/>
      <c r="C13" s="82"/>
      <c r="E13" s="1951" t="s">
        <v>1169</v>
      </c>
      <c r="F13" s="26"/>
      <c r="G13" s="26"/>
      <c r="H13" s="26"/>
      <c r="I13" s="26"/>
      <c r="J13" s="26"/>
      <c r="K13" s="26"/>
      <c r="L13" s="27"/>
      <c r="M13" s="27"/>
      <c r="N13" s="27"/>
      <c r="O13" s="27"/>
      <c r="P13" s="27"/>
      <c r="Q13" s="27"/>
      <c r="R13" s="27"/>
      <c r="S13" s="55"/>
      <c r="W13" s="72"/>
      <c r="X13" s="72"/>
      <c r="Y13" s="72"/>
      <c r="Z13" s="96"/>
      <c r="AA13" s="31"/>
      <c r="AB13" s="26"/>
    </row>
    <row r="14" spans="1:38" ht="13.5" customHeight="1">
      <c r="A14" s="38"/>
      <c r="B14" s="29"/>
      <c r="C14" s="7"/>
      <c r="E14" s="90" t="s">
        <v>296</v>
      </c>
      <c r="F14" s="27"/>
      <c r="G14" s="27"/>
      <c r="H14" s="27"/>
      <c r="I14" s="27"/>
      <c r="J14" s="27"/>
      <c r="K14" s="27"/>
      <c r="L14" s="27"/>
      <c r="M14" s="27"/>
      <c r="N14" s="27"/>
      <c r="O14" s="27"/>
      <c r="P14" s="27"/>
      <c r="Q14" s="27"/>
      <c r="R14" s="27"/>
      <c r="S14" s="55"/>
      <c r="U14" s="25"/>
      <c r="W14" s="56"/>
      <c r="X14" s="72"/>
      <c r="Y14" s="72"/>
      <c r="Z14" s="96"/>
      <c r="AA14" s="31"/>
      <c r="AB14" s="26"/>
    </row>
    <row r="15" spans="1:38" ht="13.5" customHeight="1">
      <c r="A15" s="95"/>
      <c r="B15" s="32"/>
      <c r="C15" s="7"/>
      <c r="E15" s="3769" t="s">
        <v>295</v>
      </c>
      <c r="F15" s="3770"/>
      <c r="G15" s="3770"/>
      <c r="H15" s="3770"/>
      <c r="I15" s="3770"/>
      <c r="J15" s="3770"/>
      <c r="K15" s="3770"/>
      <c r="L15" s="3770"/>
      <c r="M15" s="3770"/>
      <c r="N15" s="3770"/>
      <c r="O15" s="3770"/>
      <c r="P15" s="3770"/>
      <c r="Q15" s="3770"/>
      <c r="R15" s="3770"/>
      <c r="S15" s="3771"/>
      <c r="U15" s="25"/>
      <c r="W15" s="26"/>
      <c r="X15" s="26"/>
      <c r="Y15" s="26"/>
      <c r="Z15" s="26"/>
      <c r="AA15" s="26"/>
      <c r="AB15" s="26"/>
    </row>
    <row r="16" spans="1:38" ht="13.5" customHeight="1">
      <c r="A16" s="38" t="s">
        <v>370</v>
      </c>
      <c r="B16" s="1221">
        <v>2017</v>
      </c>
      <c r="C16" s="82"/>
      <c r="E16" s="3772"/>
      <c r="F16" s="3770"/>
      <c r="G16" s="3770"/>
      <c r="H16" s="3770"/>
      <c r="I16" s="3770"/>
      <c r="J16" s="3770"/>
      <c r="K16" s="3770"/>
      <c r="L16" s="3770"/>
      <c r="M16" s="3770"/>
      <c r="N16" s="3770"/>
      <c r="O16" s="3770"/>
      <c r="P16" s="3770"/>
      <c r="Q16" s="3770"/>
      <c r="R16" s="3770"/>
      <c r="S16" s="3771"/>
      <c r="U16" s="25"/>
    </row>
    <row r="17" spans="1:37" ht="13.5" customHeight="1">
      <c r="A17" s="169" t="s">
        <v>253</v>
      </c>
      <c r="B17" s="170"/>
      <c r="C17" s="38"/>
      <c r="D17" s="55"/>
      <c r="S17" s="55"/>
      <c r="U17" s="25"/>
    </row>
    <row r="18" spans="1:37" ht="13.5" customHeight="1">
      <c r="A18" s="31"/>
      <c r="B18" s="30"/>
      <c r="E18" s="113"/>
      <c r="F18" s="27"/>
      <c r="G18" s="27"/>
      <c r="H18" s="27"/>
      <c r="I18" s="27"/>
      <c r="J18" s="27"/>
      <c r="K18" s="27"/>
      <c r="L18" s="27"/>
      <c r="M18" s="27"/>
      <c r="N18" s="27"/>
      <c r="O18" s="27"/>
      <c r="P18" s="27"/>
      <c r="Q18" s="27"/>
      <c r="R18" s="27"/>
      <c r="S18" s="55"/>
      <c r="U18" s="25"/>
    </row>
    <row r="19" spans="1:37" ht="13.5" customHeight="1">
      <c r="E19" s="161" t="s">
        <v>903</v>
      </c>
      <c r="F19" s="29"/>
      <c r="G19" s="32"/>
      <c r="H19" s="26"/>
      <c r="I19" s="31"/>
      <c r="J19" s="26"/>
      <c r="K19" s="72"/>
      <c r="L19" s="72"/>
      <c r="M19" s="72"/>
      <c r="N19" s="72"/>
      <c r="O19" s="96"/>
      <c r="P19" s="31"/>
      <c r="Q19" s="26"/>
      <c r="R19" s="26"/>
      <c r="S19" s="147"/>
      <c r="U19" s="25"/>
    </row>
    <row r="20" spans="1:37" ht="13.5" customHeight="1" thickBot="1">
      <c r="E20" s="162" t="s">
        <v>2281</v>
      </c>
      <c r="F20" s="163"/>
      <c r="G20" s="164"/>
      <c r="H20" s="13"/>
      <c r="I20" s="165"/>
      <c r="J20" s="13"/>
      <c r="K20" s="166"/>
      <c r="L20" s="166"/>
      <c r="M20" s="166"/>
      <c r="N20" s="166"/>
      <c r="O20" s="167"/>
      <c r="P20" s="165"/>
      <c r="Q20" s="13"/>
      <c r="R20" s="13"/>
      <c r="S20" s="168"/>
      <c r="U20" s="25"/>
    </row>
    <row r="21" spans="1:37" ht="13.5" customHeight="1" thickTop="1">
      <c r="E21" s="95"/>
      <c r="F21" s="29"/>
      <c r="G21" s="32"/>
      <c r="H21" s="26"/>
      <c r="I21" s="31"/>
      <c r="J21" s="26"/>
      <c r="K21" s="72"/>
      <c r="L21" s="72"/>
      <c r="M21" s="72"/>
      <c r="N21" s="72"/>
      <c r="O21" s="96"/>
      <c r="P21" s="31"/>
      <c r="Q21" s="26"/>
      <c r="R21" s="26"/>
      <c r="S21" s="26"/>
      <c r="U21" s="25"/>
    </row>
    <row r="22" spans="1:37" ht="13.5" customHeight="1" thickBot="1">
      <c r="B22" s="27"/>
      <c r="C22" s="27"/>
      <c r="D22" s="69"/>
      <c r="E22" s="37"/>
      <c r="F22" s="37"/>
      <c r="G22" s="37"/>
      <c r="H22" s="27"/>
      <c r="I22" s="27"/>
      <c r="J22" s="27"/>
      <c r="K22" s="27"/>
      <c r="L22" s="27"/>
      <c r="M22" s="27"/>
      <c r="N22" s="27"/>
      <c r="O22" s="27"/>
      <c r="P22" s="27"/>
      <c r="Q22" s="27"/>
      <c r="R22" s="27"/>
      <c r="S22" s="27"/>
    </row>
    <row r="23" spans="1:37" ht="13.5" customHeight="1" thickTop="1" thickBot="1">
      <c r="A23" s="823" t="str">
        <f>CONCATENATE("Reported numbers of accidents and casualties, by severity and road type, GB: ",B16)</f>
        <v>Reported numbers of accidents and casualties, by severity and road type, GB: 2017</v>
      </c>
      <c r="B23" s="823"/>
      <c r="C23" s="88"/>
      <c r="D23" s="2012"/>
      <c r="E23" s="1702"/>
      <c r="F23" s="1702"/>
      <c r="G23" s="1703"/>
      <c r="H23" s="18"/>
      <c r="I23" s="18"/>
      <c r="J23" s="18"/>
      <c r="K23" s="18"/>
      <c r="L23" s="18"/>
      <c r="M23" s="18"/>
      <c r="N23" s="18"/>
      <c r="O23" s="18"/>
      <c r="P23" s="18"/>
      <c r="Q23" s="18"/>
      <c r="R23" s="18"/>
      <c r="S23" s="18"/>
    </row>
    <row r="24" spans="1:37" ht="13.5" customHeight="1" thickTop="1">
      <c r="A24" s="99"/>
      <c r="B24" s="100"/>
      <c r="C24" s="438"/>
      <c r="D24" s="1710" t="s">
        <v>315</v>
      </c>
      <c r="E24" s="1710"/>
      <c r="F24" s="103"/>
      <c r="G24" s="1870"/>
      <c r="H24" s="38"/>
      <c r="I24" s="38"/>
      <c r="J24" s="38"/>
      <c r="K24" s="38"/>
      <c r="L24" s="38"/>
      <c r="M24" s="72"/>
      <c r="N24" s="72"/>
      <c r="O24" s="72"/>
      <c r="P24" s="72"/>
      <c r="Q24" s="72"/>
      <c r="R24" s="35"/>
      <c r="S24" s="72"/>
    </row>
    <row r="25" spans="1:37" s="27" customFormat="1" ht="13.5" customHeight="1" thickBot="1">
      <c r="A25" s="464"/>
      <c r="B25" s="659"/>
      <c r="C25" s="393"/>
      <c r="D25" s="1878" t="s">
        <v>1151</v>
      </c>
      <c r="E25" s="1878" t="s">
        <v>1152</v>
      </c>
      <c r="F25" s="1878" t="s">
        <v>1058</v>
      </c>
      <c r="G25" s="1879" t="s">
        <v>414</v>
      </c>
      <c r="H25" s="428"/>
      <c r="I25" s="428"/>
      <c r="J25" s="428"/>
      <c r="K25" s="428"/>
      <c r="L25" s="428"/>
      <c r="M25" s="1692"/>
      <c r="N25" s="459"/>
      <c r="O25" s="459"/>
      <c r="P25" s="459"/>
      <c r="Q25" s="459"/>
      <c r="R25" s="459"/>
      <c r="S25" s="459"/>
      <c r="U25" s="3663"/>
      <c r="V25" s="3663"/>
      <c r="W25" s="3663"/>
      <c r="X25" s="3663"/>
      <c r="Y25" s="3663"/>
      <c r="Z25" s="3663"/>
      <c r="AA25" s="3663"/>
      <c r="AB25" s="3663"/>
      <c r="AC25" s="3663"/>
      <c r="AD25" s="3663"/>
      <c r="AE25" s="3663"/>
      <c r="AF25" s="3663"/>
      <c r="AG25" s="3663"/>
      <c r="AH25" s="3663"/>
      <c r="AI25" s="3663"/>
      <c r="AJ25" s="3663"/>
      <c r="AK25" s="3663"/>
    </row>
    <row r="26" spans="1:37" ht="13.5" customHeight="1" thickTop="1">
      <c r="A26" s="90"/>
      <c r="B26" s="1711" t="s">
        <v>411</v>
      </c>
      <c r="C26" s="1880"/>
      <c r="D26" s="2682">
        <v>764</v>
      </c>
      <c r="E26" s="2682">
        <v>835</v>
      </c>
      <c r="F26" s="2682">
        <v>77</v>
      </c>
      <c r="G26" s="1871">
        <f>SUM(D26:F26)</f>
        <v>1676</v>
      </c>
      <c r="H26" s="73"/>
      <c r="I26" s="73"/>
      <c r="J26" s="73"/>
      <c r="K26" s="73"/>
      <c r="L26" s="73"/>
      <c r="M26" s="73"/>
      <c r="N26" s="73"/>
      <c r="O26" s="1709"/>
      <c r="P26" s="1709"/>
      <c r="Q26" s="1697"/>
      <c r="R26" s="1697"/>
      <c r="S26" s="1697"/>
      <c r="T26" s="2406"/>
      <c r="U26" s="27"/>
    </row>
    <row r="27" spans="1:37" ht="13.5" customHeight="1">
      <c r="A27" s="90"/>
      <c r="B27" s="1709" t="s">
        <v>1104</v>
      </c>
      <c r="C27" s="1881" t="s">
        <v>1103</v>
      </c>
      <c r="D27" s="1715">
        <v>792</v>
      </c>
      <c r="E27" s="1715">
        <v>902</v>
      </c>
      <c r="F27" s="1715">
        <v>99</v>
      </c>
      <c r="G27" s="1872">
        <f t="shared" ref="G27:G40" si="0">SUM(D27:F27)</f>
        <v>1793</v>
      </c>
      <c r="H27" s="73"/>
      <c r="I27" s="73"/>
      <c r="J27" s="73"/>
      <c r="K27" s="73"/>
      <c r="L27" s="73"/>
      <c r="M27" s="73"/>
      <c r="N27" s="73"/>
      <c r="O27" s="1709"/>
      <c r="P27" s="2400"/>
      <c r="Q27" s="1715"/>
      <c r="R27" s="1715"/>
      <c r="S27" s="1715"/>
      <c r="T27" s="2406"/>
      <c r="U27" s="27"/>
    </row>
    <row r="28" spans="1:37" ht="13.5" customHeight="1">
      <c r="A28" s="90"/>
      <c r="B28" s="1709"/>
      <c r="C28" s="1881" t="s">
        <v>783</v>
      </c>
      <c r="D28" s="1715">
        <v>129</v>
      </c>
      <c r="E28" s="1715">
        <v>327</v>
      </c>
      <c r="F28" s="1715">
        <v>33</v>
      </c>
      <c r="G28" s="1872">
        <f t="shared" si="0"/>
        <v>489</v>
      </c>
      <c r="H28" s="73"/>
      <c r="I28" s="73"/>
      <c r="J28" s="73"/>
      <c r="K28" s="1888"/>
      <c r="L28" s="1888"/>
      <c r="M28" s="1888"/>
      <c r="N28" s="1888"/>
      <c r="O28" s="1709"/>
      <c r="P28" s="2400"/>
      <c r="Q28" s="1715"/>
      <c r="R28" s="1715"/>
      <c r="S28" s="1715"/>
      <c r="T28" s="2406"/>
      <c r="U28" s="27"/>
    </row>
    <row r="29" spans="1:37" ht="13.5" customHeight="1">
      <c r="A29" s="90"/>
      <c r="B29" s="1709"/>
      <c r="C29" s="1882" t="s">
        <v>784</v>
      </c>
      <c r="D29" s="1716">
        <v>149</v>
      </c>
      <c r="E29" s="1716">
        <v>346</v>
      </c>
      <c r="F29" s="1716">
        <v>46</v>
      </c>
      <c r="G29" s="1871">
        <f t="shared" si="0"/>
        <v>541</v>
      </c>
      <c r="H29" s="73"/>
      <c r="I29" s="73"/>
      <c r="J29" s="73"/>
      <c r="K29" s="1888"/>
      <c r="L29" s="1888"/>
      <c r="M29" s="1888"/>
      <c r="N29" s="1888"/>
      <c r="O29" s="1709"/>
      <c r="P29" s="2400"/>
      <c r="Q29" s="1715"/>
      <c r="R29" s="1715"/>
      <c r="S29" s="1715"/>
      <c r="T29" s="2406"/>
      <c r="U29" s="27"/>
    </row>
    <row r="30" spans="1:37" ht="13.5" customHeight="1" thickBot="1">
      <c r="A30" s="90"/>
      <c r="B30" s="1712"/>
      <c r="C30" s="1883" t="s">
        <v>1449</v>
      </c>
      <c r="D30" s="1713">
        <f>SUM(D27:D29)</f>
        <v>1070</v>
      </c>
      <c r="E30" s="1713">
        <f>SUM(E27:E29)</f>
        <v>1575</v>
      </c>
      <c r="F30" s="1713">
        <f>SUM(F27:F29)</f>
        <v>178</v>
      </c>
      <c r="G30" s="1873">
        <f t="shared" si="0"/>
        <v>2823</v>
      </c>
      <c r="H30" s="73"/>
      <c r="I30" s="73"/>
      <c r="J30" s="73"/>
      <c r="K30" s="1888"/>
      <c r="L30" s="1888"/>
      <c r="M30" s="1888"/>
      <c r="N30" s="1888"/>
      <c r="O30" s="1709"/>
      <c r="P30" s="2400"/>
      <c r="Q30" s="2401"/>
      <c r="R30" s="2401"/>
      <c r="S30" s="2401"/>
      <c r="T30" s="2406"/>
      <c r="U30" s="27"/>
    </row>
    <row r="31" spans="1:37" ht="13.5" customHeight="1">
      <c r="A31" s="90"/>
      <c r="B31" s="1711" t="s">
        <v>412</v>
      </c>
      <c r="C31" s="1882"/>
      <c r="D31" s="2013">
        <v>16213</v>
      </c>
      <c r="E31" s="2013">
        <v>5696</v>
      </c>
      <c r="F31" s="2013">
        <v>625</v>
      </c>
      <c r="G31" s="1871">
        <f t="shared" si="0"/>
        <v>22534</v>
      </c>
      <c r="H31" s="73"/>
      <c r="I31" s="73"/>
      <c r="J31" s="73"/>
      <c r="K31" s="1888"/>
      <c r="L31" s="1888"/>
      <c r="M31" s="1888"/>
      <c r="N31" s="1888"/>
      <c r="O31" s="1709"/>
      <c r="P31" s="2400"/>
      <c r="Q31" s="1697"/>
      <c r="R31" s="1697"/>
      <c r="S31" s="1697"/>
      <c r="T31" s="2406"/>
      <c r="U31" s="27"/>
    </row>
    <row r="32" spans="1:37" ht="13.5" customHeight="1">
      <c r="A32" s="90"/>
      <c r="B32" s="1709" t="s">
        <v>1104</v>
      </c>
      <c r="C32" s="1881" t="s">
        <v>1103</v>
      </c>
      <c r="D32" s="2013">
        <v>0</v>
      </c>
      <c r="E32" s="2013">
        <v>0</v>
      </c>
      <c r="F32" s="2013">
        <v>0</v>
      </c>
      <c r="G32" s="1872">
        <f t="shared" si="0"/>
        <v>0</v>
      </c>
      <c r="H32" s="73"/>
      <c r="I32" s="73"/>
      <c r="J32" s="73"/>
      <c r="K32" s="1888"/>
      <c r="L32" s="1888"/>
      <c r="M32" s="1888"/>
      <c r="N32" s="1888"/>
      <c r="O32" s="1709"/>
      <c r="P32" s="2400"/>
      <c r="Q32" s="1714"/>
      <c r="R32" s="1714"/>
      <c r="S32" s="1714"/>
      <c r="T32" s="2406"/>
      <c r="U32" s="27"/>
    </row>
    <row r="33" spans="1:21" ht="13.5" customHeight="1">
      <c r="A33" s="90"/>
      <c r="B33" s="1709"/>
      <c r="C33" s="1881" t="s">
        <v>783</v>
      </c>
      <c r="D33" s="1715">
        <v>16996</v>
      </c>
      <c r="E33" s="1715">
        <v>6634</v>
      </c>
      <c r="F33" s="1715">
        <v>712</v>
      </c>
      <c r="G33" s="1872">
        <f t="shared" si="0"/>
        <v>24342</v>
      </c>
      <c r="H33" s="73"/>
      <c r="I33" s="73"/>
      <c r="J33" s="73"/>
      <c r="K33" s="73"/>
      <c r="L33" s="73"/>
      <c r="M33" s="73"/>
      <c r="N33" s="73"/>
      <c r="O33" s="1709"/>
      <c r="P33" s="2400"/>
      <c r="Q33" s="1715"/>
      <c r="R33" s="1715"/>
      <c r="S33" s="1715"/>
      <c r="T33" s="2406"/>
      <c r="U33" s="27"/>
    </row>
    <row r="34" spans="1:21" s="24" customFormat="1" ht="13.5" customHeight="1">
      <c r="A34" s="91"/>
      <c r="B34" s="1709"/>
      <c r="C34" s="1882" t="s">
        <v>784</v>
      </c>
      <c r="D34" s="1716">
        <v>3471</v>
      </c>
      <c r="E34" s="1716">
        <v>2868</v>
      </c>
      <c r="F34" s="1716">
        <v>476</v>
      </c>
      <c r="G34" s="1871">
        <f t="shared" si="0"/>
        <v>6815</v>
      </c>
      <c r="H34" s="80"/>
      <c r="I34" s="80"/>
      <c r="J34" s="80"/>
      <c r="K34" s="80"/>
      <c r="L34" s="80"/>
      <c r="M34" s="80"/>
      <c r="N34" s="80"/>
      <c r="O34" s="1709"/>
      <c r="P34" s="2400"/>
      <c r="Q34" s="1715"/>
      <c r="R34" s="1715"/>
      <c r="S34" s="1715"/>
      <c r="T34" s="2406"/>
    </row>
    <row r="35" spans="1:21" ht="13.5" customHeight="1" thickBot="1">
      <c r="A35" s="90"/>
      <c r="B35" s="1712"/>
      <c r="C35" s="1883" t="s">
        <v>1449</v>
      </c>
      <c r="D35" s="1713">
        <f>SUM(D33:D34)</f>
        <v>20467</v>
      </c>
      <c r="E35" s="1713">
        <f>SUM(E33:E34)</f>
        <v>9502</v>
      </c>
      <c r="F35" s="1713">
        <f>SUM(F33:F34)</f>
        <v>1188</v>
      </c>
      <c r="G35" s="1873">
        <f t="shared" si="0"/>
        <v>31157</v>
      </c>
      <c r="H35" s="73"/>
      <c r="I35" s="73"/>
      <c r="J35" s="73"/>
      <c r="K35" s="73"/>
      <c r="L35" s="73"/>
      <c r="M35" s="73"/>
      <c r="N35" s="73"/>
      <c r="O35" s="1709"/>
      <c r="P35" s="2400"/>
      <c r="Q35" s="2401"/>
      <c r="R35" s="2401"/>
      <c r="S35" s="2401"/>
      <c r="T35" s="2406"/>
      <c r="U35" s="27"/>
    </row>
    <row r="36" spans="1:21" ht="13.5" customHeight="1">
      <c r="A36" s="90"/>
      <c r="B36" s="1711" t="s">
        <v>413</v>
      </c>
      <c r="C36" s="1882"/>
      <c r="D36" s="2013">
        <v>82666</v>
      </c>
      <c r="E36" s="2013">
        <v>19030</v>
      </c>
      <c r="F36" s="2013">
        <v>4076</v>
      </c>
      <c r="G36" s="1874">
        <f t="shared" si="0"/>
        <v>105772</v>
      </c>
      <c r="H36" s="73"/>
      <c r="I36" s="73"/>
      <c r="J36" s="73"/>
      <c r="K36" s="73"/>
      <c r="L36" s="73"/>
      <c r="M36" s="73"/>
      <c r="N36" s="73"/>
      <c r="O36" s="1709"/>
      <c r="P36" s="2400"/>
      <c r="Q36" s="1697"/>
      <c r="R36" s="1697"/>
      <c r="S36" s="1697"/>
      <c r="T36" s="2406"/>
      <c r="U36" s="27"/>
    </row>
    <row r="37" spans="1:21" ht="13.5" customHeight="1">
      <c r="A37" s="90"/>
      <c r="B37" s="1709" t="s">
        <v>1104</v>
      </c>
      <c r="C37" s="1881" t="s">
        <v>1103</v>
      </c>
      <c r="D37" s="2013">
        <v>0</v>
      </c>
      <c r="E37" s="2013">
        <v>0</v>
      </c>
      <c r="F37" s="2013">
        <v>0</v>
      </c>
      <c r="G37" s="1872">
        <f t="shared" si="0"/>
        <v>0</v>
      </c>
      <c r="H37" s="73"/>
      <c r="I37" s="73"/>
      <c r="J37" s="73"/>
      <c r="K37" s="73"/>
      <c r="L37" s="73"/>
      <c r="M37" s="73"/>
      <c r="N37" s="73"/>
      <c r="O37" s="1709"/>
      <c r="P37" s="2400"/>
      <c r="Q37" s="1714"/>
      <c r="R37" s="1714"/>
      <c r="S37" s="1714"/>
      <c r="T37" s="2406"/>
      <c r="U37" s="27"/>
    </row>
    <row r="38" spans="1:21" ht="13.5" customHeight="1">
      <c r="A38" s="90"/>
      <c r="B38" s="1709"/>
      <c r="C38" s="1881" t="s">
        <v>783</v>
      </c>
      <c r="D38" s="2013">
        <v>0</v>
      </c>
      <c r="E38" s="2013">
        <v>0</v>
      </c>
      <c r="F38" s="2013">
        <v>0</v>
      </c>
      <c r="G38" s="1872">
        <f t="shared" si="0"/>
        <v>0</v>
      </c>
      <c r="H38" s="73"/>
      <c r="I38" s="73"/>
      <c r="J38" s="73"/>
      <c r="K38" s="73"/>
      <c r="L38" s="73"/>
      <c r="M38" s="73"/>
      <c r="N38" s="73"/>
      <c r="O38" s="1709"/>
      <c r="P38" s="2400"/>
      <c r="Q38" s="1714"/>
      <c r="R38" s="1714"/>
      <c r="S38" s="1714"/>
      <c r="T38" s="2406"/>
      <c r="U38" s="27"/>
    </row>
    <row r="39" spans="1:21" ht="13.5" customHeight="1">
      <c r="A39" s="90"/>
      <c r="B39" s="1709"/>
      <c r="C39" s="1882" t="s">
        <v>784</v>
      </c>
      <c r="D39" s="1716">
        <v>102960</v>
      </c>
      <c r="E39" s="1716">
        <v>27660</v>
      </c>
      <c r="F39" s="1716">
        <v>6393</v>
      </c>
      <c r="G39" s="1871">
        <f>SUM(D39:F39)</f>
        <v>137013</v>
      </c>
      <c r="H39" s="73"/>
      <c r="I39" s="73"/>
      <c r="J39" s="73"/>
      <c r="K39" s="73"/>
      <c r="L39" s="73"/>
      <c r="M39" s="73"/>
      <c r="N39" s="73"/>
      <c r="O39" s="1709"/>
      <c r="P39" s="2400"/>
      <c r="Q39" s="1715"/>
      <c r="R39" s="1715"/>
      <c r="S39" s="1715"/>
      <c r="T39" s="2406"/>
      <c r="U39" s="27"/>
    </row>
    <row r="40" spans="1:21" ht="13.5" customHeight="1" thickBot="1">
      <c r="A40" s="92"/>
      <c r="B40" s="1875"/>
      <c r="C40" s="1884" t="s">
        <v>1449</v>
      </c>
      <c r="D40" s="1876">
        <f>D39</f>
        <v>102960</v>
      </c>
      <c r="E40" s="1876">
        <f>E39</f>
        <v>27660</v>
      </c>
      <c r="F40" s="1876">
        <f>F39</f>
        <v>6393</v>
      </c>
      <c r="G40" s="1877">
        <f t="shared" si="0"/>
        <v>137013</v>
      </c>
      <c r="H40" s="73"/>
      <c r="I40" s="73"/>
      <c r="J40" s="73"/>
      <c r="K40" s="73"/>
      <c r="L40" s="73"/>
      <c r="M40" s="73"/>
      <c r="N40" s="73"/>
      <c r="O40" s="1709"/>
      <c r="P40" s="2400"/>
      <c r="Q40" s="2401"/>
      <c r="R40" s="2401"/>
      <c r="S40" s="2401"/>
      <c r="T40" s="2406"/>
      <c r="U40" s="27"/>
    </row>
    <row r="41" spans="1:21" ht="13.5" customHeight="1" thickTop="1" thickBot="1">
      <c r="A41" s="122" t="s">
        <v>992</v>
      </c>
      <c r="B41" s="362"/>
      <c r="C41" s="362"/>
      <c r="D41" s="362"/>
      <c r="E41" s="362"/>
      <c r="F41" s="362"/>
      <c r="G41" s="378"/>
      <c r="H41" s="73"/>
      <c r="I41" s="73"/>
      <c r="J41" s="73"/>
      <c r="K41" s="73"/>
      <c r="L41" s="73"/>
      <c r="M41" s="73"/>
      <c r="N41" s="73"/>
      <c r="O41" s="73"/>
      <c r="P41" s="73"/>
      <c r="Q41" s="73"/>
      <c r="R41" s="65"/>
      <c r="S41" s="65"/>
      <c r="T41" s="27"/>
      <c r="U41" s="27"/>
    </row>
    <row r="42" spans="1:21" ht="13.5" customHeight="1" thickTop="1" thickBot="1">
      <c r="A42" s="809"/>
      <c r="B42" s="170"/>
      <c r="C42" s="173"/>
      <c r="D42" s="232" t="s">
        <v>1248</v>
      </c>
      <c r="E42" s="39"/>
      <c r="F42" s="39"/>
      <c r="G42" s="40"/>
      <c r="H42" s="73"/>
      <c r="I42" s="73"/>
      <c r="J42" s="73"/>
      <c r="K42" s="73"/>
      <c r="L42" s="73"/>
      <c r="M42" s="73"/>
      <c r="N42" s="73"/>
      <c r="O42" s="73"/>
      <c r="P42" s="73"/>
      <c r="Q42" s="73"/>
      <c r="R42" s="65"/>
      <c r="S42" s="65"/>
      <c r="T42" s="27"/>
      <c r="U42" s="27"/>
    </row>
    <row r="43" spans="1:21" ht="13.5" customHeight="1" thickTop="1" thickBot="1">
      <c r="A43" s="525" t="s">
        <v>801</v>
      </c>
      <c r="B43" s="464"/>
      <c r="C43" s="439"/>
      <c r="D43" s="669" t="s">
        <v>782</v>
      </c>
      <c r="E43" s="661" t="s">
        <v>783</v>
      </c>
      <c r="F43" s="393" t="s">
        <v>784</v>
      </c>
      <c r="G43" s="393" t="s">
        <v>1449</v>
      </c>
      <c r="H43" s="73"/>
      <c r="I43" s="1589"/>
      <c r="J43" s="73"/>
      <c r="K43" s="73"/>
      <c r="L43" s="73"/>
      <c r="M43" s="73"/>
      <c r="N43" s="73"/>
      <c r="O43" s="73"/>
      <c r="P43" s="73"/>
      <c r="Q43" s="73"/>
      <c r="R43" s="65"/>
      <c r="S43" s="65"/>
      <c r="T43" s="27"/>
      <c r="U43" s="27"/>
    </row>
    <row r="44" spans="1:21" ht="13.5" customHeight="1" thickTop="1">
      <c r="A44" s="113" t="s">
        <v>782</v>
      </c>
      <c r="B44" s="53"/>
      <c r="C44" s="573"/>
      <c r="D44" s="1938">
        <f>G27</f>
        <v>1793</v>
      </c>
      <c r="E44" s="1939">
        <f>G32</f>
        <v>0</v>
      </c>
      <c r="F44" s="1940">
        <f>G37</f>
        <v>0</v>
      </c>
      <c r="G44" s="1934">
        <f>SUM(D44:F44)</f>
        <v>1793</v>
      </c>
      <c r="H44" s="73"/>
      <c r="I44" s="1888"/>
      <c r="J44" s="1888"/>
      <c r="K44" s="1888"/>
      <c r="L44" s="73"/>
      <c r="M44" s="73"/>
      <c r="N44" s="73"/>
      <c r="O44" s="73"/>
      <c r="P44" s="73"/>
      <c r="Q44" s="73"/>
      <c r="R44" s="65"/>
      <c r="S44" s="65"/>
      <c r="T44" s="27"/>
      <c r="U44" s="27"/>
    </row>
    <row r="45" spans="1:21" ht="13.5" customHeight="1">
      <c r="A45" s="113" t="s">
        <v>783</v>
      </c>
      <c r="B45" s="26"/>
      <c r="C45" s="38"/>
      <c r="D45" s="1938">
        <f>G28</f>
        <v>489</v>
      </c>
      <c r="E45" s="1939">
        <f>G33</f>
        <v>24342</v>
      </c>
      <c r="F45" s="1940">
        <f>G38</f>
        <v>0</v>
      </c>
      <c r="G45" s="1935">
        <f>SUM(D45:F45)</f>
        <v>24831</v>
      </c>
      <c r="H45" s="73"/>
      <c r="I45" s="1888"/>
      <c r="J45" s="1888"/>
      <c r="K45" s="1888"/>
      <c r="L45" s="73"/>
      <c r="M45" s="73"/>
      <c r="N45" s="73"/>
      <c r="O45" s="73"/>
      <c r="P45" s="73"/>
      <c r="Q45" s="73"/>
      <c r="R45" s="65"/>
      <c r="S45" s="65"/>
      <c r="T45" s="27"/>
      <c r="U45" s="27"/>
    </row>
    <row r="46" spans="1:21" ht="13.5" customHeight="1">
      <c r="A46" s="490" t="s">
        <v>784</v>
      </c>
      <c r="B46" s="597"/>
      <c r="C46" s="597"/>
      <c r="D46" s="1938">
        <f>G29</f>
        <v>541</v>
      </c>
      <c r="E46" s="1939">
        <f>G34</f>
        <v>6815</v>
      </c>
      <c r="F46" s="1940">
        <f>G39</f>
        <v>137013</v>
      </c>
      <c r="G46" s="1936">
        <f>SUM(D46:F46)</f>
        <v>144369</v>
      </c>
      <c r="H46" s="73"/>
      <c r="I46" s="1888"/>
      <c r="J46" s="1888"/>
      <c r="K46" s="1888"/>
      <c r="L46" s="73"/>
      <c r="M46" s="73"/>
      <c r="N46" s="73"/>
      <c r="O46" s="73"/>
      <c r="P46" s="73"/>
      <c r="Q46" s="73"/>
      <c r="R46" s="65"/>
      <c r="S46" s="65"/>
      <c r="T46" s="27"/>
      <c r="U46" s="27"/>
    </row>
    <row r="47" spans="1:21" ht="13.5" customHeight="1" thickBot="1">
      <c r="A47" s="381" t="s">
        <v>1057</v>
      </c>
      <c r="B47" s="13"/>
      <c r="C47" s="168"/>
      <c r="D47" s="1931">
        <f>SUM(D44:D46)</f>
        <v>2823</v>
      </c>
      <c r="E47" s="1932">
        <f>SUM(E44:E46)</f>
        <v>31157</v>
      </c>
      <c r="F47" s="1933">
        <f>SUM(F44:F46)</f>
        <v>137013</v>
      </c>
      <c r="G47" s="1937">
        <f>SUM(G44:G46)</f>
        <v>170993</v>
      </c>
      <c r="H47" s="73"/>
      <c r="I47" s="1888"/>
      <c r="J47" s="1888"/>
      <c r="K47" s="1888"/>
      <c r="L47" s="73"/>
      <c r="M47" s="73"/>
      <c r="N47" s="73"/>
      <c r="O47" s="73"/>
      <c r="P47" s="73"/>
      <c r="Q47" s="73"/>
      <c r="R47" s="65"/>
      <c r="S47" s="65"/>
      <c r="T47" s="27"/>
      <c r="U47" s="27"/>
    </row>
    <row r="48" spans="1:21" ht="13.5" customHeight="1" thickTop="1" thickBot="1">
      <c r="A48" s="122" t="str">
        <f>CONCATENATE("Reported road casualties by road user type and severity, GB ",B16)</f>
        <v>Reported road casualties by road user type and severity, GB 2017</v>
      </c>
      <c r="B48" s="362"/>
      <c r="C48" s="362"/>
      <c r="D48" s="362"/>
      <c r="E48" s="362"/>
      <c r="F48" s="362"/>
      <c r="G48" s="378"/>
      <c r="H48" s="73"/>
      <c r="I48" s="73"/>
      <c r="J48" s="73"/>
      <c r="K48" s="73"/>
      <c r="L48" s="73"/>
      <c r="M48" s="73"/>
      <c r="N48" s="73"/>
      <c r="O48" s="73"/>
      <c r="P48" s="73"/>
      <c r="Q48" s="73"/>
      <c r="R48" s="65"/>
      <c r="S48" s="65"/>
      <c r="T48" s="27"/>
      <c r="U48" s="27"/>
    </row>
    <row r="49" spans="1:21" ht="13.5" customHeight="1" thickTop="1">
      <c r="A49" s="809"/>
      <c r="B49" s="170"/>
      <c r="C49" s="173"/>
      <c r="D49" s="1140"/>
      <c r="E49" s="416"/>
      <c r="F49" s="416"/>
      <c r="G49" s="417"/>
      <c r="H49" s="73"/>
      <c r="I49" s="73"/>
      <c r="J49" s="73"/>
      <c r="K49" s="73"/>
      <c r="L49" s="73"/>
      <c r="M49" s="73"/>
      <c r="N49" s="73"/>
      <c r="O49" s="73"/>
      <c r="P49" s="73"/>
      <c r="Q49" s="73"/>
      <c r="R49" s="65"/>
      <c r="S49" s="65"/>
      <c r="T49" s="27"/>
      <c r="U49" s="27"/>
    </row>
    <row r="50" spans="1:21" ht="13.5" customHeight="1" thickBot="1">
      <c r="A50" s="525" t="s">
        <v>801</v>
      </c>
      <c r="B50" s="464"/>
      <c r="C50" s="439"/>
      <c r="D50" s="170"/>
      <c r="E50" s="2015">
        <f>B16</f>
        <v>2017</v>
      </c>
      <c r="F50" s="632"/>
      <c r="G50" s="633"/>
      <c r="H50" s="73"/>
      <c r="I50" s="2390"/>
      <c r="J50" s="2390"/>
      <c r="K50" s="73"/>
      <c r="L50" s="73"/>
      <c r="M50" s="73"/>
      <c r="N50" s="73"/>
      <c r="O50" s="73"/>
      <c r="P50" s="73"/>
      <c r="Q50" s="73"/>
      <c r="R50" s="65"/>
      <c r="S50" s="65"/>
      <c r="T50" s="27"/>
      <c r="U50" s="27"/>
    </row>
    <row r="51" spans="1:21" ht="13.5" customHeight="1" thickTop="1">
      <c r="A51" s="1952" t="s">
        <v>760</v>
      </c>
      <c r="B51" s="348"/>
      <c r="C51" s="380"/>
      <c r="D51" s="1953"/>
      <c r="E51" s="1954"/>
      <c r="F51" s="1954"/>
      <c r="G51" s="1955"/>
      <c r="H51" s="73"/>
      <c r="I51" s="2039"/>
      <c r="J51" s="2040"/>
      <c r="K51" s="1885"/>
      <c r="L51" s="73"/>
      <c r="M51" s="73"/>
      <c r="N51" s="73"/>
      <c r="O51" s="73"/>
      <c r="P51" s="73"/>
      <c r="Q51" s="73"/>
      <c r="R51" s="65"/>
      <c r="S51" s="65"/>
      <c r="T51" s="27"/>
      <c r="U51" s="27"/>
    </row>
    <row r="52" spans="1:21" ht="13.5" customHeight="1">
      <c r="A52" s="90" t="s">
        <v>1103</v>
      </c>
      <c r="B52" s="82"/>
      <c r="C52" s="42"/>
      <c r="D52" s="90"/>
      <c r="E52" s="2391">
        <v>470</v>
      </c>
      <c r="F52" s="73"/>
      <c r="G52" s="74"/>
      <c r="H52" s="73"/>
      <c r="I52" s="2013"/>
      <c r="J52" s="2402"/>
      <c r="K52" s="2403"/>
      <c r="L52" s="73"/>
      <c r="M52" s="73"/>
      <c r="N52" s="73"/>
      <c r="O52" s="73"/>
      <c r="P52" s="73"/>
      <c r="Q52" s="73"/>
      <c r="R52" s="65"/>
      <c r="S52" s="65"/>
      <c r="T52" s="27"/>
      <c r="U52" s="27"/>
    </row>
    <row r="53" spans="1:21" ht="13.5" customHeight="1">
      <c r="A53" s="90" t="s">
        <v>761</v>
      </c>
      <c r="B53" s="82"/>
      <c r="C53" s="42"/>
      <c r="D53" s="90"/>
      <c r="E53" s="2391">
        <v>5594</v>
      </c>
      <c r="F53" s="1589"/>
      <c r="G53" s="1956"/>
      <c r="H53" s="73"/>
      <c r="I53" s="2013"/>
      <c r="J53" s="2402"/>
      <c r="K53" s="2403"/>
      <c r="L53" s="73"/>
      <c r="M53" s="73"/>
      <c r="N53" s="73"/>
      <c r="O53" s="73"/>
      <c r="P53" s="73"/>
      <c r="Q53" s="73"/>
      <c r="R53" s="65"/>
      <c r="S53" s="65"/>
    </row>
    <row r="54" spans="1:21" ht="13.5" customHeight="1">
      <c r="A54" s="90" t="s">
        <v>1153</v>
      </c>
      <c r="B54" s="82"/>
      <c r="C54" s="42"/>
      <c r="D54" s="90"/>
      <c r="E54" s="2391">
        <v>6064</v>
      </c>
      <c r="F54" s="1589"/>
      <c r="G54" s="1956"/>
      <c r="H54" s="73"/>
      <c r="I54" s="2013"/>
      <c r="J54" s="2402"/>
      <c r="K54" s="2403"/>
      <c r="L54" s="73"/>
      <c r="M54" s="73"/>
      <c r="N54" s="73"/>
      <c r="O54" s="73"/>
      <c r="P54" s="73"/>
      <c r="Q54" s="73"/>
      <c r="R54" s="65"/>
      <c r="S54" s="65"/>
    </row>
    <row r="55" spans="1:21" ht="13.5" customHeight="1">
      <c r="A55" s="90" t="s">
        <v>762</v>
      </c>
      <c r="B55" s="82"/>
      <c r="C55" s="42"/>
      <c r="D55" s="90"/>
      <c r="E55" s="2391">
        <v>17741</v>
      </c>
      <c r="F55" s="1589"/>
      <c r="G55" s="1956"/>
      <c r="H55" s="73"/>
      <c r="I55" s="2013"/>
      <c r="J55" s="2402"/>
      <c r="K55" s="2403"/>
      <c r="L55" s="73"/>
      <c r="M55" s="73"/>
      <c r="N55" s="73"/>
      <c r="O55" s="73"/>
      <c r="P55" s="73"/>
      <c r="Q55" s="73"/>
      <c r="R55" s="65"/>
      <c r="S55" s="65"/>
    </row>
    <row r="56" spans="1:21" ht="13.5" customHeight="1">
      <c r="A56" s="1957" t="s">
        <v>763</v>
      </c>
      <c r="B56" s="1958"/>
      <c r="C56" s="670"/>
      <c r="D56" s="1957"/>
      <c r="E56" s="2392">
        <v>23805</v>
      </c>
      <c r="F56" s="1959"/>
      <c r="G56" s="1960"/>
      <c r="H56" s="73"/>
      <c r="I56" s="2013"/>
      <c r="J56" s="2402"/>
      <c r="K56" s="2403"/>
      <c r="L56" s="73"/>
      <c r="M56" s="73"/>
      <c r="N56" s="73"/>
      <c r="O56" s="73"/>
      <c r="P56" s="73"/>
      <c r="Q56" s="73"/>
      <c r="R56" s="65"/>
      <c r="S56" s="65"/>
    </row>
    <row r="57" spans="1:21" ht="13.5" customHeight="1">
      <c r="A57" s="91" t="s">
        <v>764</v>
      </c>
      <c r="B57" s="82"/>
      <c r="C57" s="42"/>
      <c r="D57" s="90"/>
      <c r="E57" s="2391"/>
      <c r="F57" s="73"/>
      <c r="G57" s="74"/>
      <c r="H57" s="73"/>
      <c r="I57" s="2013"/>
      <c r="J57" s="2402"/>
      <c r="K57" s="1885"/>
      <c r="L57" s="73"/>
      <c r="M57" s="73"/>
      <c r="N57" s="73"/>
      <c r="O57" s="73"/>
      <c r="P57" s="73"/>
      <c r="Q57" s="73"/>
      <c r="R57" s="65"/>
      <c r="S57" s="65"/>
    </row>
    <row r="58" spans="1:21" ht="13.5" customHeight="1">
      <c r="A58" s="90" t="s">
        <v>1103</v>
      </c>
      <c r="B58" s="82"/>
      <c r="C58" s="42"/>
      <c r="D58" s="90"/>
      <c r="E58" s="2391">
        <v>101</v>
      </c>
      <c r="F58" s="73"/>
      <c r="G58" s="74"/>
      <c r="H58" s="73"/>
      <c r="I58" s="2013"/>
      <c r="J58" s="2402"/>
      <c r="K58" s="2403"/>
      <c r="L58" s="73"/>
      <c r="M58" s="73"/>
      <c r="N58" s="73"/>
      <c r="O58" s="73"/>
      <c r="P58" s="73"/>
      <c r="Q58" s="73"/>
      <c r="R58" s="65"/>
      <c r="S58" s="65"/>
    </row>
    <row r="59" spans="1:21" ht="13.5" customHeight="1">
      <c r="A59" s="90" t="s">
        <v>761</v>
      </c>
      <c r="B59" s="82"/>
      <c r="C59" s="42"/>
      <c r="D59" s="90"/>
      <c r="E59" s="2391">
        <v>3698</v>
      </c>
      <c r="F59" s="73"/>
      <c r="G59" s="74"/>
      <c r="H59" s="73"/>
      <c r="I59" s="2013"/>
      <c r="J59" s="2402"/>
      <c r="K59" s="2403"/>
      <c r="L59" s="73"/>
      <c r="M59" s="73"/>
      <c r="N59" s="73"/>
      <c r="O59" s="73"/>
      <c r="P59" s="73"/>
      <c r="Q59" s="73"/>
      <c r="R59" s="65"/>
      <c r="S59" s="65"/>
    </row>
    <row r="60" spans="1:21" ht="13.5" customHeight="1">
      <c r="A60" s="90" t="s">
        <v>1153</v>
      </c>
      <c r="B60" s="82"/>
      <c r="C60" s="42"/>
      <c r="D60" s="90"/>
      <c r="E60" s="2391">
        <v>3799</v>
      </c>
      <c r="F60" s="73"/>
      <c r="G60" s="74"/>
      <c r="H60" s="73"/>
      <c r="I60" s="2013"/>
      <c r="J60" s="2402"/>
      <c r="K60" s="2403"/>
      <c r="L60" s="73"/>
      <c r="M60" s="73"/>
      <c r="N60" s="73"/>
      <c r="O60" s="73"/>
      <c r="P60" s="73"/>
      <c r="Q60" s="73"/>
      <c r="R60" s="65"/>
      <c r="S60" s="65"/>
    </row>
    <row r="61" spans="1:21" ht="13.5" customHeight="1">
      <c r="A61" s="90" t="s">
        <v>762</v>
      </c>
      <c r="B61" s="82"/>
      <c r="C61" s="42"/>
      <c r="D61" s="90"/>
      <c r="E61" s="2391">
        <v>14522</v>
      </c>
      <c r="F61" s="73"/>
      <c r="G61" s="74"/>
      <c r="H61" s="73"/>
      <c r="I61" s="2013"/>
      <c r="J61" s="2402"/>
      <c r="K61" s="2403"/>
      <c r="L61" s="73"/>
      <c r="M61" s="73"/>
      <c r="N61" s="73"/>
      <c r="O61" s="73"/>
      <c r="P61" s="73"/>
      <c r="Q61" s="73"/>
      <c r="R61" s="65"/>
      <c r="S61" s="65"/>
    </row>
    <row r="62" spans="1:21" ht="13.5" customHeight="1">
      <c r="A62" s="1957" t="s">
        <v>763</v>
      </c>
      <c r="B62" s="1958"/>
      <c r="C62" s="670"/>
      <c r="D62" s="1957"/>
      <c r="E62" s="2392">
        <v>18321</v>
      </c>
      <c r="F62" s="1961"/>
      <c r="G62" s="1962"/>
      <c r="H62" s="73"/>
      <c r="I62" s="2013"/>
      <c r="J62" s="2402"/>
      <c r="K62" s="2403"/>
      <c r="L62" s="73"/>
      <c r="M62" s="73"/>
      <c r="N62" s="73"/>
      <c r="O62" s="73"/>
      <c r="P62" s="73"/>
      <c r="Q62" s="73"/>
      <c r="R62" s="65"/>
      <c r="S62" s="65"/>
    </row>
    <row r="63" spans="1:21" ht="13.5" customHeight="1">
      <c r="A63" s="91" t="s">
        <v>765</v>
      </c>
      <c r="B63" s="82"/>
      <c r="C63" s="42"/>
      <c r="D63" s="90"/>
      <c r="E63" s="2391"/>
      <c r="F63" s="73"/>
      <c r="G63" s="74"/>
      <c r="H63" s="73"/>
      <c r="I63" s="2013"/>
      <c r="J63" s="2402"/>
      <c r="K63" s="2404"/>
      <c r="L63" s="73"/>
      <c r="M63" s="73"/>
      <c r="N63" s="73"/>
      <c r="O63" s="73"/>
      <c r="P63" s="73"/>
      <c r="Q63" s="73"/>
      <c r="R63" s="65"/>
      <c r="S63" s="65"/>
    </row>
    <row r="64" spans="1:21" ht="13.5" customHeight="1">
      <c r="A64" s="90" t="s">
        <v>1103</v>
      </c>
      <c r="B64" s="82"/>
      <c r="C64" s="42"/>
      <c r="D64" s="90"/>
      <c r="E64" s="2391">
        <v>349</v>
      </c>
      <c r="F64" s="73"/>
      <c r="G64" s="74"/>
      <c r="H64" s="73"/>
      <c r="I64" s="2013"/>
      <c r="J64" s="2402"/>
      <c r="K64" s="2403"/>
      <c r="L64" s="73"/>
      <c r="M64" s="73"/>
      <c r="N64" s="73"/>
      <c r="O64" s="73"/>
      <c r="P64" s="73"/>
      <c r="Q64" s="73"/>
      <c r="R64" s="65"/>
      <c r="S64" s="65"/>
    </row>
    <row r="65" spans="1:19" ht="13.5" customHeight="1">
      <c r="A65" s="90" t="s">
        <v>761</v>
      </c>
      <c r="B65" s="82"/>
      <c r="C65" s="42"/>
      <c r="D65" s="90"/>
      <c r="E65" s="2391">
        <v>5592</v>
      </c>
      <c r="F65" s="73"/>
      <c r="G65" s="74"/>
      <c r="H65" s="73"/>
      <c r="I65" s="2013"/>
      <c r="J65" s="2402"/>
      <c r="K65" s="2403"/>
      <c r="L65" s="73"/>
      <c r="M65" s="73"/>
      <c r="N65" s="73"/>
      <c r="O65" s="73"/>
      <c r="P65" s="73"/>
      <c r="Q65" s="73"/>
      <c r="R65" s="65"/>
      <c r="S65" s="65"/>
    </row>
    <row r="66" spans="1:19" ht="13.5" customHeight="1">
      <c r="A66" s="90" t="s">
        <v>1153</v>
      </c>
      <c r="B66" s="82"/>
      <c r="C66" s="42"/>
      <c r="D66" s="90"/>
      <c r="E66" s="2391">
        <v>5941</v>
      </c>
      <c r="F66" s="73"/>
      <c r="G66" s="74"/>
      <c r="H66" s="73"/>
      <c r="I66" s="2013"/>
      <c r="J66" s="2402"/>
      <c r="K66" s="2403"/>
      <c r="L66" s="73"/>
      <c r="M66" s="73"/>
      <c r="N66" s="73"/>
      <c r="O66" s="73"/>
      <c r="P66" s="73"/>
      <c r="Q66" s="73"/>
      <c r="R66" s="65"/>
      <c r="S66" s="65"/>
    </row>
    <row r="67" spans="1:19" ht="13.5" customHeight="1">
      <c r="A67" s="90" t="s">
        <v>762</v>
      </c>
      <c r="B67" s="82"/>
      <c r="C67" s="42"/>
      <c r="D67" s="90"/>
      <c r="E67" s="2391">
        <v>12101</v>
      </c>
      <c r="F67" s="73"/>
      <c r="G67" s="74"/>
      <c r="H67" s="73"/>
      <c r="I67" s="2013"/>
      <c r="J67" s="2402"/>
      <c r="K67" s="2403"/>
      <c r="L67" s="73"/>
      <c r="M67" s="73"/>
      <c r="N67" s="73"/>
      <c r="O67" s="73"/>
      <c r="P67" s="73"/>
      <c r="Q67" s="73"/>
      <c r="R67" s="65"/>
      <c r="S67" s="65"/>
    </row>
    <row r="68" spans="1:19" ht="13.5" customHeight="1">
      <c r="A68" s="1957" t="s">
        <v>763</v>
      </c>
      <c r="B68" s="1958"/>
      <c r="C68" s="670"/>
      <c r="D68" s="1957"/>
      <c r="E68" s="2392">
        <v>18042</v>
      </c>
      <c r="F68" s="1961"/>
      <c r="G68" s="1962"/>
      <c r="H68" s="73"/>
      <c r="I68" s="2013"/>
      <c r="J68" s="2402"/>
      <c r="K68" s="2403"/>
      <c r="L68" s="73"/>
      <c r="M68" s="73"/>
      <c r="N68" s="73"/>
      <c r="O68" s="73"/>
      <c r="P68" s="73"/>
      <c r="Q68" s="73"/>
      <c r="R68" s="65"/>
      <c r="S68" s="65"/>
    </row>
    <row r="69" spans="1:19" ht="13.5" customHeight="1">
      <c r="A69" s="91" t="s">
        <v>766</v>
      </c>
      <c r="B69" s="82"/>
      <c r="C69" s="42"/>
      <c r="D69" s="90"/>
      <c r="E69" s="3231"/>
      <c r="F69" s="73"/>
      <c r="G69" s="74"/>
      <c r="H69" s="73"/>
      <c r="I69" s="2013"/>
      <c r="J69" s="2402"/>
      <c r="K69" s="2404"/>
      <c r="L69" s="73"/>
      <c r="M69" s="73"/>
      <c r="N69" s="73"/>
      <c r="O69" s="73"/>
      <c r="P69" s="73"/>
      <c r="Q69" s="73"/>
      <c r="R69" s="65"/>
      <c r="S69" s="65"/>
    </row>
    <row r="70" spans="1:19" ht="13.5" customHeight="1">
      <c r="A70" s="90" t="s">
        <v>1103</v>
      </c>
      <c r="B70" s="82"/>
      <c r="C70" s="42"/>
      <c r="D70" s="90"/>
      <c r="E70" s="2391">
        <v>787</v>
      </c>
      <c r="F70" s="73"/>
      <c r="G70" s="74"/>
      <c r="H70" s="73"/>
      <c r="I70" s="2013"/>
      <c r="J70" s="2402"/>
      <c r="K70" s="2403"/>
      <c r="L70" s="73"/>
      <c r="M70" s="73"/>
      <c r="N70" s="73"/>
      <c r="O70" s="73"/>
      <c r="P70" s="73"/>
      <c r="Q70" s="73"/>
      <c r="R70" s="65"/>
      <c r="S70" s="65"/>
    </row>
    <row r="71" spans="1:19" ht="13.5" customHeight="1">
      <c r="A71" s="90" t="s">
        <v>761</v>
      </c>
      <c r="B71" s="82"/>
      <c r="C71" s="42"/>
      <c r="D71" s="90"/>
      <c r="E71" s="2391">
        <v>8894</v>
      </c>
      <c r="F71" s="73"/>
      <c r="G71" s="74"/>
      <c r="H71" s="73"/>
      <c r="I71" s="2013"/>
      <c r="J71" s="2402"/>
      <c r="K71" s="2403"/>
      <c r="L71" s="73"/>
      <c r="M71" s="73"/>
      <c r="N71" s="73"/>
      <c r="O71" s="73"/>
      <c r="P71" s="73"/>
      <c r="Q71" s="73"/>
      <c r="R71" s="65"/>
      <c r="S71" s="65"/>
    </row>
    <row r="72" spans="1:19" ht="13.5" customHeight="1">
      <c r="A72" s="90" t="s">
        <v>1153</v>
      </c>
      <c r="B72" s="82"/>
      <c r="C72" s="42"/>
      <c r="D72" s="90"/>
      <c r="E72" s="2391">
        <v>9681</v>
      </c>
      <c r="F72" s="73"/>
      <c r="G72" s="74"/>
      <c r="H72" s="73"/>
      <c r="I72" s="2013"/>
      <c r="J72" s="2402"/>
      <c r="K72" s="2403"/>
      <c r="L72" s="73"/>
      <c r="M72" s="73"/>
      <c r="N72" s="73"/>
      <c r="O72" s="73"/>
      <c r="P72" s="73"/>
      <c r="Q72" s="73"/>
      <c r="R72" s="65"/>
      <c r="S72" s="65"/>
    </row>
    <row r="73" spans="1:19" ht="13.5" customHeight="1">
      <c r="A73" s="90" t="s">
        <v>762</v>
      </c>
      <c r="B73" s="82"/>
      <c r="C73" s="42"/>
      <c r="D73" s="90"/>
      <c r="E73" s="2391">
        <v>90401</v>
      </c>
      <c r="F73" s="73"/>
      <c r="G73" s="74"/>
      <c r="H73" s="73"/>
      <c r="I73" s="2013"/>
      <c r="J73" s="2402"/>
      <c r="K73" s="2403"/>
      <c r="L73" s="73"/>
      <c r="M73" s="73"/>
      <c r="N73" s="73"/>
      <c r="O73" s="73"/>
      <c r="P73" s="73"/>
      <c r="Q73" s="73"/>
      <c r="R73" s="65"/>
      <c r="S73" s="65"/>
    </row>
    <row r="74" spans="1:19" ht="13.5" customHeight="1">
      <c r="A74" s="1957" t="s">
        <v>763</v>
      </c>
      <c r="B74" s="1958"/>
      <c r="C74" s="670"/>
      <c r="D74" s="1957"/>
      <c r="E74" s="2392">
        <v>100082</v>
      </c>
      <c r="F74" s="1961"/>
      <c r="G74" s="1962"/>
      <c r="H74" s="73"/>
      <c r="I74" s="2013"/>
      <c r="J74" s="2402"/>
      <c r="K74" s="2403"/>
      <c r="L74" s="73"/>
      <c r="M74" s="73"/>
      <c r="N74" s="73"/>
      <c r="O74" s="73"/>
      <c r="P74" s="73"/>
      <c r="Q74" s="73"/>
      <c r="R74" s="65"/>
      <c r="S74" s="65"/>
    </row>
    <row r="75" spans="1:19" ht="13.5" customHeight="1">
      <c r="A75" s="91" t="s">
        <v>767</v>
      </c>
      <c r="B75" s="82"/>
      <c r="C75" s="42"/>
      <c r="D75" s="90"/>
      <c r="E75" s="2391"/>
      <c r="F75" s="73"/>
      <c r="G75" s="74"/>
      <c r="H75" s="73"/>
      <c r="I75" s="2013"/>
      <c r="J75" s="2402"/>
      <c r="K75" s="2404"/>
      <c r="L75" s="73"/>
      <c r="M75" s="73"/>
      <c r="N75" s="73"/>
      <c r="O75" s="73"/>
      <c r="P75" s="73"/>
      <c r="Q75" s="73"/>
      <c r="R75" s="65"/>
      <c r="S75" s="65"/>
    </row>
    <row r="76" spans="1:19" ht="13.5" customHeight="1">
      <c r="A76" s="90" t="s">
        <v>1103</v>
      </c>
      <c r="B76" s="82"/>
      <c r="C76" s="42"/>
      <c r="D76" s="90"/>
      <c r="E76" s="2391">
        <v>7</v>
      </c>
      <c r="F76" s="73"/>
      <c r="G76" s="74"/>
      <c r="H76" s="73"/>
      <c r="I76" s="2013"/>
      <c r="J76" s="2402"/>
      <c r="K76" s="2403"/>
      <c r="L76" s="73"/>
      <c r="M76" s="73"/>
      <c r="N76" s="73"/>
      <c r="O76" s="73"/>
      <c r="P76" s="73"/>
      <c r="Q76" s="73"/>
      <c r="R76" s="65"/>
      <c r="S76" s="65"/>
    </row>
    <row r="77" spans="1:19" ht="13.5" customHeight="1">
      <c r="A77" s="90" t="s">
        <v>761</v>
      </c>
      <c r="B77" s="82"/>
      <c r="C77" s="42"/>
      <c r="D77" s="90"/>
      <c r="E77" s="2391">
        <v>278</v>
      </c>
      <c r="F77" s="73"/>
      <c r="G77" s="74"/>
      <c r="H77" s="73"/>
      <c r="I77" s="2013"/>
      <c r="J77" s="2402"/>
      <c r="K77" s="2403"/>
      <c r="L77" s="73"/>
      <c r="M77" s="73"/>
      <c r="N77" s="73"/>
      <c r="O77" s="73"/>
      <c r="P77" s="73"/>
      <c r="Q77" s="73"/>
      <c r="R77" s="65"/>
      <c r="S77" s="65"/>
    </row>
    <row r="78" spans="1:19" ht="13.5" customHeight="1">
      <c r="A78" s="90" t="s">
        <v>1153</v>
      </c>
      <c r="B78" s="82"/>
      <c r="C78" s="42"/>
      <c r="D78" s="90"/>
      <c r="E78" s="2391">
        <v>285</v>
      </c>
      <c r="F78" s="73"/>
      <c r="G78" s="74"/>
      <c r="H78" s="73"/>
      <c r="I78" s="2013"/>
      <c r="J78" s="2402"/>
      <c r="K78" s="2403"/>
      <c r="L78" s="73"/>
      <c r="M78" s="73"/>
      <c r="N78" s="73"/>
      <c r="O78" s="73"/>
      <c r="P78" s="73"/>
      <c r="Q78" s="73"/>
      <c r="R78" s="65"/>
      <c r="S78" s="65"/>
    </row>
    <row r="79" spans="1:19" ht="13.5" customHeight="1">
      <c r="A79" s="90" t="s">
        <v>762</v>
      </c>
      <c r="B79" s="82"/>
      <c r="C79" s="42"/>
      <c r="D79" s="90"/>
      <c r="E79" s="2391">
        <v>3951</v>
      </c>
      <c r="F79" s="73"/>
      <c r="G79" s="74"/>
      <c r="H79" s="73"/>
      <c r="I79" s="2013"/>
      <c r="J79" s="2402"/>
      <c r="K79" s="2403"/>
      <c r="L79" s="73"/>
      <c r="M79" s="73"/>
      <c r="N79" s="73"/>
      <c r="O79" s="73"/>
      <c r="P79" s="73"/>
      <c r="Q79" s="73"/>
      <c r="R79" s="65"/>
      <c r="S79" s="65"/>
    </row>
    <row r="80" spans="1:19" ht="13.5" customHeight="1">
      <c r="A80" s="1957" t="s">
        <v>763</v>
      </c>
      <c r="B80" s="1958"/>
      <c r="C80" s="670"/>
      <c r="D80" s="1957"/>
      <c r="E80" s="2392">
        <v>4236</v>
      </c>
      <c r="F80" s="1961"/>
      <c r="G80" s="1962"/>
      <c r="H80" s="73"/>
      <c r="I80" s="2013"/>
      <c r="J80" s="2402"/>
      <c r="K80" s="2403"/>
      <c r="L80" s="73"/>
      <c r="M80" s="73"/>
      <c r="N80" s="73"/>
      <c r="O80" s="73"/>
      <c r="P80" s="73"/>
      <c r="Q80" s="73"/>
      <c r="R80" s="65"/>
      <c r="S80" s="65"/>
    </row>
    <row r="81" spans="1:19" ht="13.5" customHeight="1">
      <c r="A81" s="91" t="s">
        <v>768</v>
      </c>
      <c r="B81" s="82"/>
      <c r="C81" s="42"/>
      <c r="D81" s="90"/>
      <c r="E81" s="3231"/>
      <c r="F81" s="73"/>
      <c r="G81" s="74"/>
      <c r="H81" s="73"/>
      <c r="I81" s="2013"/>
      <c r="J81" s="2402"/>
      <c r="K81" s="2404"/>
      <c r="L81" s="73"/>
      <c r="M81" s="73"/>
      <c r="N81" s="73"/>
      <c r="O81" s="73"/>
      <c r="P81" s="73"/>
      <c r="Q81" s="73"/>
      <c r="R81" s="65"/>
      <c r="S81" s="65"/>
    </row>
    <row r="82" spans="1:19" ht="13.5" customHeight="1">
      <c r="A82" s="90" t="s">
        <v>1103</v>
      </c>
      <c r="B82" s="82"/>
      <c r="C82" s="42"/>
      <c r="D82" s="90"/>
      <c r="E82" s="2391">
        <v>63</v>
      </c>
      <c r="F82" s="73"/>
      <c r="G82" s="74"/>
      <c r="H82" s="73"/>
      <c r="I82" s="2013"/>
      <c r="J82" s="2402"/>
      <c r="K82" s="2403"/>
      <c r="L82" s="73"/>
      <c r="M82" s="73"/>
      <c r="N82" s="73"/>
      <c r="O82" s="73"/>
      <c r="P82" s="73"/>
      <c r="Q82" s="73"/>
      <c r="R82" s="65"/>
      <c r="S82" s="65"/>
    </row>
    <row r="83" spans="1:19" ht="13.5" customHeight="1">
      <c r="A83" s="90" t="s">
        <v>761</v>
      </c>
      <c r="B83" s="82"/>
      <c r="C83" s="42"/>
      <c r="D83" s="90"/>
      <c r="E83" s="2391">
        <v>561</v>
      </c>
      <c r="F83" s="73"/>
      <c r="G83" s="74"/>
      <c r="H83" s="73"/>
      <c r="I83" s="2013"/>
      <c r="J83" s="2402"/>
      <c r="K83" s="2403"/>
      <c r="L83" s="73"/>
      <c r="M83" s="73"/>
      <c r="N83" s="73"/>
      <c r="O83" s="73"/>
      <c r="P83" s="73"/>
      <c r="Q83" s="73"/>
      <c r="R83" s="65"/>
      <c r="S83" s="65"/>
    </row>
    <row r="84" spans="1:19" ht="13.5" customHeight="1">
      <c r="A84" s="90" t="s">
        <v>1153</v>
      </c>
      <c r="B84" s="82"/>
      <c r="C84" s="42"/>
      <c r="D84" s="90"/>
      <c r="E84" s="2391">
        <v>624</v>
      </c>
      <c r="F84" s="73"/>
      <c r="G84" s="74"/>
      <c r="H84" s="73"/>
      <c r="I84" s="2013"/>
      <c r="J84" s="2402"/>
      <c r="K84" s="2403"/>
      <c r="L84" s="73"/>
      <c r="M84" s="73"/>
      <c r="N84" s="73"/>
      <c r="O84" s="73"/>
      <c r="P84" s="73"/>
      <c r="Q84" s="73"/>
      <c r="R84" s="65"/>
      <c r="S84" s="65"/>
    </row>
    <row r="85" spans="1:19" ht="13.5" customHeight="1">
      <c r="A85" s="90" t="s">
        <v>762</v>
      </c>
      <c r="B85" s="82"/>
      <c r="C85" s="42"/>
      <c r="D85" s="90"/>
      <c r="E85" s="2391">
        <v>4830</v>
      </c>
      <c r="F85" s="73"/>
      <c r="G85" s="74"/>
      <c r="H85" s="73"/>
      <c r="I85" s="2013"/>
      <c r="J85" s="2402"/>
      <c r="K85" s="2403"/>
      <c r="L85" s="73"/>
      <c r="M85" s="73"/>
      <c r="N85" s="73"/>
      <c r="O85" s="73"/>
      <c r="P85" s="73"/>
      <c r="Q85" s="73"/>
      <c r="R85" s="65"/>
      <c r="S85" s="65"/>
    </row>
    <row r="86" spans="1:19" ht="13.5" customHeight="1">
      <c r="A86" s="90" t="s">
        <v>763</v>
      </c>
      <c r="B86" s="82"/>
      <c r="C86" s="42"/>
      <c r="D86" s="90"/>
      <c r="E86" s="2392">
        <v>5454</v>
      </c>
      <c r="F86" s="73"/>
      <c r="G86" s="74"/>
      <c r="H86" s="73"/>
      <c r="I86" s="2013"/>
      <c r="J86" s="2402"/>
      <c r="K86" s="2403"/>
      <c r="L86" s="73"/>
      <c r="M86" s="73"/>
      <c r="N86" s="73"/>
      <c r="O86" s="73"/>
      <c r="P86" s="73"/>
      <c r="Q86" s="73"/>
      <c r="R86" s="65"/>
      <c r="S86" s="65"/>
    </row>
    <row r="87" spans="1:19" ht="13.5" customHeight="1">
      <c r="A87" s="1963" t="s">
        <v>1186</v>
      </c>
      <c r="B87" s="1964"/>
      <c r="C87" s="1968"/>
      <c r="D87" s="1965"/>
      <c r="E87" s="3231"/>
      <c r="F87" s="1966"/>
      <c r="G87" s="1967"/>
      <c r="H87" s="73"/>
      <c r="I87" s="2405"/>
      <c r="J87" s="2402"/>
      <c r="K87" s="2404"/>
      <c r="L87" s="73"/>
      <c r="M87" s="73"/>
      <c r="N87" s="73"/>
      <c r="O87" s="73"/>
      <c r="P87" s="73"/>
      <c r="Q87" s="73"/>
      <c r="R87" s="65"/>
      <c r="S87" s="65"/>
    </row>
    <row r="88" spans="1:19" ht="13.5" customHeight="1">
      <c r="A88" s="90" t="s">
        <v>1103</v>
      </c>
      <c r="B88" s="27"/>
      <c r="C88" s="42"/>
      <c r="D88" s="27"/>
      <c r="E88" s="2391">
        <v>1793</v>
      </c>
      <c r="F88" s="73"/>
      <c r="G88" s="74"/>
      <c r="H88" s="73"/>
      <c r="I88" s="2014"/>
      <c r="J88" s="2402"/>
      <c r="K88" s="2403"/>
      <c r="L88" s="73"/>
      <c r="M88" s="73"/>
      <c r="N88" s="73"/>
      <c r="O88" s="73"/>
      <c r="P88" s="73"/>
      <c r="Q88" s="73"/>
      <c r="R88" s="65"/>
      <c r="S88" s="65"/>
    </row>
    <row r="89" spans="1:19" ht="13.5" customHeight="1">
      <c r="A89" s="90" t="s">
        <v>761</v>
      </c>
      <c r="B89" s="27"/>
      <c r="C89" s="42"/>
      <c r="D89" s="27"/>
      <c r="E89" s="2391">
        <v>24831</v>
      </c>
      <c r="F89" s="73"/>
      <c r="G89" s="74"/>
      <c r="H89" s="73"/>
      <c r="I89" s="2014"/>
      <c r="J89" s="2402"/>
      <c r="K89" s="2403"/>
      <c r="L89" s="73"/>
      <c r="M89" s="73"/>
      <c r="N89" s="73"/>
      <c r="O89" s="73"/>
      <c r="P89" s="73"/>
      <c r="Q89" s="73"/>
      <c r="R89" s="65"/>
      <c r="S89" s="65"/>
    </row>
    <row r="90" spans="1:19" ht="13.5" customHeight="1">
      <c r="A90" s="90" t="s">
        <v>1153</v>
      </c>
      <c r="B90" s="27"/>
      <c r="C90" s="42"/>
      <c r="D90" s="27"/>
      <c r="E90" s="2391">
        <v>26624</v>
      </c>
      <c r="F90" s="73"/>
      <c r="G90" s="74"/>
      <c r="H90" s="73"/>
      <c r="I90" s="2014"/>
      <c r="J90" s="2402"/>
      <c r="K90" s="2403"/>
      <c r="L90" s="73"/>
      <c r="M90" s="73"/>
      <c r="N90" s="73"/>
      <c r="O90" s="73"/>
      <c r="P90" s="73"/>
      <c r="Q90" s="73"/>
      <c r="R90" s="65"/>
      <c r="S90" s="65"/>
    </row>
    <row r="91" spans="1:19" ht="13.5" customHeight="1">
      <c r="A91" s="90" t="s">
        <v>762</v>
      </c>
      <c r="B91" s="27"/>
      <c r="C91" s="42"/>
      <c r="D91" s="27"/>
      <c r="E91" s="2391">
        <v>144369</v>
      </c>
      <c r="F91" s="73"/>
      <c r="G91" s="74"/>
      <c r="H91" s="73"/>
      <c r="I91" s="2014"/>
      <c r="J91" s="2402"/>
      <c r="K91" s="2403"/>
      <c r="L91" s="73"/>
      <c r="M91" s="73"/>
      <c r="N91" s="73"/>
      <c r="O91" s="73"/>
      <c r="P91" s="73"/>
      <c r="Q91" s="73"/>
      <c r="R91" s="65"/>
      <c r="S91" s="65"/>
    </row>
    <row r="92" spans="1:19" ht="13.5" customHeight="1" thickBot="1">
      <c r="A92" s="92" t="s">
        <v>763</v>
      </c>
      <c r="B92" s="37"/>
      <c r="C92" s="94"/>
      <c r="D92" s="37"/>
      <c r="E92" s="3232">
        <v>170993</v>
      </c>
      <c r="F92" s="78"/>
      <c r="G92" s="79"/>
      <c r="H92" s="73"/>
      <c r="I92" s="2014"/>
      <c r="J92" s="2402"/>
      <c r="K92" s="2403"/>
      <c r="L92" s="73"/>
      <c r="M92" s="73"/>
      <c r="N92" s="73"/>
      <c r="O92" s="73"/>
      <c r="P92" s="73"/>
      <c r="Q92" s="73"/>
      <c r="R92" s="65"/>
      <c r="S92" s="65"/>
    </row>
    <row r="93" spans="1:19" ht="13.5" customHeight="1" thickTop="1" thickBot="1">
      <c r="A93" s="90"/>
      <c r="B93" s="82"/>
      <c r="C93" s="82"/>
      <c r="E93" s="1589"/>
      <c r="F93" s="73"/>
      <c r="G93" s="73"/>
      <c r="H93" s="73"/>
      <c r="I93" s="73"/>
      <c r="J93" s="73"/>
      <c r="K93" s="73"/>
      <c r="L93" s="73"/>
      <c r="M93" s="73"/>
      <c r="N93" s="73"/>
      <c r="O93" s="73"/>
      <c r="P93" s="73"/>
      <c r="Q93" s="73"/>
      <c r="R93" s="65"/>
      <c r="S93" s="65"/>
    </row>
    <row r="94" spans="1:19" ht="13.5" customHeight="1" thickBot="1">
      <c r="A94" s="90"/>
      <c r="B94" s="82"/>
      <c r="C94" s="82"/>
      <c r="D94" s="528" t="s">
        <v>1489</v>
      </c>
      <c r="E94" s="1589"/>
      <c r="F94" s="73"/>
      <c r="G94" s="73"/>
      <c r="H94" s="73"/>
      <c r="I94" s="73"/>
      <c r="J94" s="73"/>
      <c r="K94" s="73"/>
      <c r="L94" s="73"/>
      <c r="M94" s="73"/>
      <c r="N94" s="73"/>
      <c r="O94" s="73"/>
      <c r="P94" s="73"/>
      <c r="Q94" s="73"/>
      <c r="R94" s="65"/>
      <c r="S94" s="65"/>
    </row>
    <row r="95" spans="1:19" ht="13.5" customHeight="1">
      <c r="A95" s="90"/>
      <c r="B95" s="82"/>
      <c r="C95" s="82"/>
      <c r="E95" s="1589"/>
      <c r="F95" s="73"/>
      <c r="G95" s="73"/>
      <c r="H95" s="73"/>
      <c r="I95" s="73"/>
      <c r="J95" s="73"/>
      <c r="K95" s="73"/>
      <c r="L95" s="73"/>
      <c r="M95" s="73"/>
      <c r="N95" s="73"/>
      <c r="O95" s="73"/>
      <c r="P95" s="73"/>
      <c r="Q95" s="73"/>
      <c r="R95" s="65"/>
      <c r="S95" s="65"/>
    </row>
    <row r="96" spans="1:19" ht="13.5" customHeight="1">
      <c r="A96" s="90"/>
      <c r="B96" s="82"/>
      <c r="C96" s="82"/>
      <c r="E96" s="1589"/>
      <c r="F96" s="73"/>
      <c r="G96" s="73"/>
      <c r="H96" s="73"/>
      <c r="I96" s="73"/>
      <c r="J96" s="73"/>
      <c r="K96" s="73"/>
      <c r="L96" s="73"/>
      <c r="M96" s="73"/>
      <c r="N96" s="73"/>
      <c r="O96" s="73"/>
      <c r="P96" s="73"/>
      <c r="Q96" s="73"/>
      <c r="R96" s="65"/>
      <c r="S96" s="65"/>
    </row>
    <row r="97" spans="1:19" ht="13.5" customHeight="1">
      <c r="A97" s="90"/>
      <c r="B97" s="82"/>
      <c r="C97" s="82"/>
      <c r="E97" s="1589"/>
      <c r="F97" s="73"/>
      <c r="G97" s="73"/>
      <c r="H97" s="73"/>
      <c r="I97" s="73"/>
      <c r="J97" s="73"/>
      <c r="K97" s="73"/>
      <c r="L97" s="73"/>
      <c r="M97" s="73"/>
      <c r="N97" s="73"/>
      <c r="O97" s="73"/>
      <c r="P97" s="73"/>
      <c r="Q97" s="73"/>
      <c r="R97" s="65"/>
      <c r="S97" s="65"/>
    </row>
    <row r="98" spans="1:19" ht="13.5" customHeight="1">
      <c r="A98" s="90"/>
      <c r="B98" s="82"/>
      <c r="C98" s="82"/>
      <c r="E98" s="1589"/>
      <c r="F98" s="73"/>
      <c r="G98" s="73"/>
      <c r="H98" s="73"/>
      <c r="I98" s="73"/>
      <c r="J98" s="73"/>
      <c r="K98" s="73"/>
      <c r="L98" s="73"/>
      <c r="M98" s="73"/>
      <c r="N98" s="73"/>
      <c r="O98" s="73"/>
      <c r="P98" s="73"/>
      <c r="Q98" s="73"/>
      <c r="R98" s="65"/>
      <c r="S98" s="65"/>
    </row>
    <row r="99" spans="1:19" ht="13.5" customHeight="1">
      <c r="A99" s="90"/>
      <c r="B99" s="82"/>
      <c r="C99" s="82"/>
      <c r="E99" s="1589"/>
      <c r="F99" s="73"/>
      <c r="G99" s="73"/>
      <c r="H99" s="73"/>
      <c r="I99" s="73"/>
      <c r="J99" s="73"/>
      <c r="K99" s="73"/>
      <c r="L99" s="73"/>
      <c r="M99" s="73"/>
      <c r="N99" s="73"/>
      <c r="O99" s="73"/>
      <c r="P99" s="73"/>
      <c r="Q99" s="73"/>
      <c r="R99" s="65"/>
      <c r="S99" s="65"/>
    </row>
    <row r="100" spans="1:19" ht="13.5" customHeight="1">
      <c r="A100" s="90"/>
      <c r="B100" s="82"/>
      <c r="C100" s="82"/>
      <c r="E100" s="1589"/>
      <c r="F100" s="73"/>
      <c r="G100" s="73"/>
      <c r="H100" s="73"/>
      <c r="I100" s="73"/>
      <c r="J100" s="73"/>
      <c r="K100" s="73"/>
      <c r="L100" s="73"/>
      <c r="M100" s="73"/>
      <c r="N100" s="73"/>
      <c r="O100" s="73"/>
      <c r="P100" s="73"/>
      <c r="Q100" s="73"/>
      <c r="R100" s="65"/>
      <c r="S100" s="65"/>
    </row>
    <row r="101" spans="1:19" ht="13.5" customHeight="1">
      <c r="A101" s="90"/>
      <c r="B101" s="82"/>
      <c r="C101" s="82"/>
      <c r="E101" s="1589"/>
      <c r="F101" s="73"/>
      <c r="G101" s="73"/>
      <c r="H101" s="73"/>
      <c r="I101" s="73"/>
      <c r="J101" s="73"/>
      <c r="K101" s="73"/>
      <c r="L101" s="73"/>
      <c r="M101" s="73"/>
      <c r="N101" s="73"/>
      <c r="O101" s="73"/>
      <c r="P101" s="73"/>
      <c r="Q101" s="73"/>
      <c r="R101" s="65"/>
      <c r="S101" s="65"/>
    </row>
    <row r="102" spans="1:19" ht="13.5" customHeight="1">
      <c r="A102" s="90"/>
      <c r="B102" s="82"/>
      <c r="C102" s="82"/>
      <c r="E102" s="1589"/>
      <c r="F102" s="73"/>
      <c r="G102" s="73"/>
      <c r="H102" s="73"/>
      <c r="I102" s="73"/>
      <c r="J102" s="73"/>
      <c r="K102" s="73"/>
      <c r="L102" s="73"/>
      <c r="M102" s="73"/>
      <c r="N102" s="73"/>
      <c r="O102" s="73"/>
      <c r="P102" s="73"/>
      <c r="Q102" s="73"/>
      <c r="R102" s="65"/>
      <c r="S102" s="65"/>
    </row>
    <row r="103" spans="1:19" ht="13.5" customHeight="1">
      <c r="A103" s="90"/>
      <c r="B103" s="82"/>
      <c r="C103" s="82"/>
      <c r="E103" s="1589"/>
      <c r="F103" s="73"/>
      <c r="G103" s="73"/>
      <c r="H103" s="73"/>
      <c r="I103" s="73"/>
      <c r="J103" s="73"/>
      <c r="K103" s="73"/>
      <c r="L103" s="73"/>
      <c r="M103" s="73"/>
      <c r="N103" s="73"/>
      <c r="O103" s="73"/>
      <c r="P103" s="73"/>
      <c r="Q103" s="73"/>
      <c r="R103" s="65"/>
      <c r="S103" s="65"/>
    </row>
    <row r="104" spans="1:19" ht="13.5" customHeight="1">
      <c r="A104" s="90"/>
      <c r="B104" s="82"/>
      <c r="C104" s="82"/>
      <c r="E104" s="1589"/>
      <c r="F104" s="73"/>
      <c r="G104" s="73"/>
      <c r="H104" s="73"/>
      <c r="I104" s="73"/>
      <c r="J104" s="73"/>
      <c r="K104" s="73"/>
      <c r="L104" s="73"/>
      <c r="M104" s="73"/>
      <c r="N104" s="73"/>
      <c r="O104" s="73"/>
      <c r="P104" s="73"/>
      <c r="Q104" s="73"/>
      <c r="R104" s="65"/>
      <c r="S104" s="65"/>
    </row>
    <row r="105" spans="1:19" ht="13.5" customHeight="1">
      <c r="A105" s="90"/>
      <c r="B105" s="82"/>
      <c r="C105" s="82"/>
      <c r="D105" s="73"/>
      <c r="E105" s="73"/>
      <c r="F105" s="73"/>
      <c r="G105" s="73"/>
      <c r="H105" s="73"/>
      <c r="I105" s="73"/>
      <c r="J105" s="73"/>
      <c r="K105" s="73"/>
      <c r="L105" s="73"/>
      <c r="M105" s="73"/>
      <c r="N105" s="73"/>
      <c r="O105" s="73"/>
      <c r="P105" s="73"/>
      <c r="Q105" s="73"/>
      <c r="R105" s="65"/>
      <c r="S105" s="65"/>
    </row>
    <row r="106" spans="1:19" ht="13.5" customHeight="1">
      <c r="A106" s="90"/>
      <c r="B106" s="82"/>
      <c r="C106" s="82"/>
      <c r="D106" s="73"/>
      <c r="E106" s="73"/>
      <c r="F106" s="73"/>
      <c r="G106" s="73"/>
      <c r="H106" s="73"/>
      <c r="I106" s="73"/>
      <c r="J106" s="73"/>
      <c r="K106" s="73"/>
      <c r="L106" s="73"/>
      <c r="M106" s="73"/>
      <c r="N106" s="73"/>
      <c r="O106" s="73"/>
      <c r="P106" s="73"/>
      <c r="Q106" s="73"/>
      <c r="R106" s="65"/>
      <c r="S106" s="65"/>
    </row>
    <row r="107" spans="1:19" ht="13.5" customHeight="1">
      <c r="A107" s="90"/>
      <c r="B107" s="82"/>
      <c r="C107" s="82"/>
      <c r="D107" s="73"/>
      <c r="E107" s="73"/>
      <c r="F107" s="73"/>
      <c r="G107" s="73"/>
      <c r="H107" s="73"/>
      <c r="I107" s="73"/>
      <c r="J107" s="73"/>
      <c r="K107" s="73"/>
      <c r="L107" s="73"/>
      <c r="M107" s="73"/>
      <c r="N107" s="73"/>
      <c r="O107" s="73"/>
      <c r="P107" s="73"/>
      <c r="Q107" s="73"/>
      <c r="R107" s="65"/>
      <c r="S107" s="65"/>
    </row>
    <row r="108" spans="1:19" ht="13.5" customHeight="1">
      <c r="A108" s="90"/>
      <c r="B108" s="82"/>
      <c r="C108" s="82"/>
      <c r="D108" s="73"/>
      <c r="E108" s="73"/>
      <c r="F108" s="73"/>
      <c r="G108" s="73"/>
      <c r="H108" s="73"/>
      <c r="I108" s="73"/>
      <c r="J108" s="73"/>
      <c r="K108" s="73"/>
      <c r="L108" s="73"/>
      <c r="M108" s="73"/>
      <c r="N108" s="73"/>
      <c r="O108" s="73"/>
      <c r="P108" s="73"/>
      <c r="Q108" s="73"/>
      <c r="R108" s="65"/>
      <c r="S108" s="65"/>
    </row>
    <row r="109" spans="1:19" ht="13.5" customHeight="1">
      <c r="A109" s="90"/>
      <c r="B109" s="82"/>
      <c r="C109" s="82"/>
      <c r="D109" s="73"/>
      <c r="E109" s="73"/>
      <c r="F109" s="73"/>
      <c r="G109" s="73"/>
      <c r="H109" s="73"/>
      <c r="I109" s="73"/>
      <c r="J109" s="73"/>
      <c r="K109" s="73"/>
      <c r="L109" s="73"/>
      <c r="M109" s="73"/>
      <c r="N109" s="73"/>
      <c r="O109" s="73"/>
      <c r="P109" s="73"/>
      <c r="Q109" s="73"/>
      <c r="R109" s="65"/>
      <c r="S109" s="65"/>
    </row>
    <row r="110" spans="1:19" ht="13.5" customHeight="1">
      <c r="A110" s="90"/>
      <c r="B110" s="82"/>
      <c r="C110" s="82"/>
      <c r="D110" s="73"/>
      <c r="E110" s="73"/>
      <c r="F110" s="73"/>
      <c r="G110" s="73"/>
      <c r="H110" s="73"/>
      <c r="I110" s="73"/>
      <c r="J110" s="73"/>
      <c r="K110" s="73"/>
      <c r="L110" s="73"/>
      <c r="M110" s="73"/>
      <c r="N110" s="73"/>
      <c r="O110" s="73"/>
      <c r="P110" s="73"/>
      <c r="Q110" s="73"/>
      <c r="R110" s="65"/>
      <c r="S110" s="65"/>
    </row>
    <row r="111" spans="1:19" ht="13.5" customHeight="1">
      <c r="A111" s="90"/>
      <c r="B111" s="82"/>
      <c r="C111" s="82"/>
      <c r="D111" s="73"/>
      <c r="E111" s="73"/>
      <c r="F111" s="73"/>
      <c r="G111" s="73"/>
      <c r="H111" s="73"/>
      <c r="I111" s="73"/>
      <c r="J111" s="73"/>
      <c r="K111" s="73"/>
      <c r="L111" s="73"/>
      <c r="M111" s="73"/>
      <c r="N111" s="73"/>
      <c r="O111" s="73"/>
      <c r="P111" s="73"/>
      <c r="Q111" s="73"/>
      <c r="R111" s="65"/>
      <c r="S111" s="65"/>
    </row>
    <row r="112" spans="1:19" ht="13.5" customHeight="1">
      <c r="A112" s="90"/>
      <c r="B112" s="82"/>
      <c r="C112" s="82"/>
      <c r="D112" s="73"/>
      <c r="E112" s="73"/>
      <c r="F112" s="73"/>
      <c r="G112" s="73"/>
      <c r="H112" s="73"/>
      <c r="I112" s="73"/>
      <c r="J112" s="73"/>
      <c r="K112" s="73"/>
      <c r="L112" s="73"/>
      <c r="M112" s="73"/>
      <c r="N112" s="73"/>
      <c r="O112" s="73"/>
      <c r="P112" s="73"/>
      <c r="Q112" s="73"/>
      <c r="R112" s="65"/>
      <c r="S112" s="65"/>
    </row>
    <row r="113" spans="1:19" ht="13.5" customHeight="1">
      <c r="A113" s="90"/>
      <c r="B113" s="82"/>
      <c r="C113" s="82"/>
      <c r="D113" s="73"/>
      <c r="E113" s="73"/>
      <c r="F113" s="73"/>
      <c r="G113" s="73"/>
      <c r="H113" s="73"/>
      <c r="I113" s="73"/>
      <c r="J113" s="73"/>
      <c r="K113" s="73"/>
      <c r="L113" s="73"/>
      <c r="M113" s="73"/>
      <c r="N113" s="73"/>
      <c r="O113" s="73"/>
      <c r="P113" s="73"/>
      <c r="Q113" s="73"/>
      <c r="R113" s="65"/>
      <c r="S113" s="65"/>
    </row>
    <row r="114" spans="1:19" ht="13.5" customHeight="1">
      <c r="A114" s="90"/>
      <c r="B114" s="82"/>
      <c r="C114" s="82"/>
      <c r="D114" s="73"/>
      <c r="E114" s="73"/>
      <c r="F114" s="73"/>
      <c r="G114" s="73"/>
      <c r="H114" s="73"/>
      <c r="I114" s="73"/>
      <c r="J114" s="73"/>
      <c r="K114" s="73"/>
      <c r="L114" s="73"/>
      <c r="M114" s="73"/>
      <c r="N114" s="73"/>
      <c r="O114" s="73"/>
      <c r="P114" s="73"/>
      <c r="Q114" s="73"/>
      <c r="R114" s="65"/>
      <c r="S114" s="65"/>
    </row>
    <row r="115" spans="1:19" ht="13.5" customHeight="1">
      <c r="A115" s="90"/>
      <c r="B115" s="82"/>
      <c r="C115" s="82"/>
      <c r="D115" s="73"/>
      <c r="E115" s="73"/>
      <c r="F115" s="73"/>
      <c r="G115" s="73"/>
      <c r="H115" s="73"/>
      <c r="I115" s="73"/>
      <c r="J115" s="73"/>
      <c r="K115" s="73"/>
      <c r="L115" s="73"/>
      <c r="M115" s="73"/>
      <c r="N115" s="73"/>
      <c r="O115" s="73"/>
      <c r="P115" s="73"/>
      <c r="Q115" s="73"/>
      <c r="R115" s="65"/>
      <c r="S115" s="65"/>
    </row>
    <row r="116" spans="1:19" ht="13.5" customHeight="1">
      <c r="A116" s="90"/>
      <c r="B116" s="82"/>
      <c r="C116" s="82"/>
      <c r="D116" s="73"/>
      <c r="E116" s="73"/>
      <c r="F116" s="73"/>
      <c r="G116" s="73"/>
      <c r="H116" s="73"/>
      <c r="I116" s="73"/>
      <c r="J116" s="73"/>
      <c r="K116" s="73"/>
      <c r="L116" s="73"/>
      <c r="M116" s="73"/>
      <c r="N116" s="73"/>
      <c r="O116" s="73"/>
      <c r="P116" s="73"/>
      <c r="Q116" s="73"/>
      <c r="R116" s="65"/>
      <c r="S116" s="65"/>
    </row>
    <row r="117" spans="1:19" ht="13.5" customHeight="1">
      <c r="A117" s="90"/>
      <c r="B117" s="82"/>
      <c r="C117" s="82"/>
      <c r="D117" s="73"/>
      <c r="E117" s="73"/>
      <c r="F117" s="73"/>
      <c r="G117" s="73"/>
      <c r="H117" s="73"/>
      <c r="I117" s="73"/>
      <c r="J117" s="73"/>
      <c r="K117" s="73"/>
      <c r="L117" s="73"/>
      <c r="M117" s="73"/>
      <c r="N117" s="73"/>
      <c r="O117" s="73"/>
      <c r="P117" s="73"/>
      <c r="Q117" s="73"/>
      <c r="R117" s="65"/>
      <c r="S117" s="65"/>
    </row>
    <row r="118" spans="1:19" ht="13.5" customHeight="1">
      <c r="A118" s="90"/>
      <c r="B118" s="82"/>
      <c r="C118" s="82"/>
      <c r="D118" s="73"/>
      <c r="E118" s="73"/>
      <c r="F118" s="73"/>
      <c r="G118" s="73"/>
      <c r="H118" s="73"/>
      <c r="I118" s="73"/>
      <c r="J118" s="73"/>
      <c r="K118" s="73"/>
      <c r="L118" s="73"/>
      <c r="M118" s="73"/>
      <c r="N118" s="73"/>
      <c r="O118" s="73"/>
      <c r="P118" s="73"/>
      <c r="Q118" s="73"/>
      <c r="R118" s="65"/>
      <c r="S118" s="65"/>
    </row>
    <row r="119" spans="1:19" ht="13.5" customHeight="1">
      <c r="A119" s="90"/>
      <c r="B119" s="82"/>
      <c r="C119" s="82"/>
      <c r="D119" s="73"/>
      <c r="E119" s="73"/>
      <c r="F119" s="73"/>
      <c r="G119" s="73"/>
      <c r="H119" s="73"/>
      <c r="I119" s="73"/>
      <c r="J119" s="73"/>
      <c r="K119" s="73"/>
      <c r="L119" s="73"/>
      <c r="M119" s="73"/>
      <c r="N119" s="73"/>
      <c r="O119" s="73"/>
      <c r="P119" s="73"/>
      <c r="Q119" s="73"/>
      <c r="R119" s="65"/>
      <c r="S119" s="65"/>
    </row>
    <row r="120" spans="1:19" ht="13.5" customHeight="1">
      <c r="A120" s="90"/>
      <c r="B120" s="82"/>
      <c r="C120" s="82"/>
      <c r="D120" s="73"/>
      <c r="E120" s="73"/>
      <c r="F120" s="73"/>
      <c r="G120" s="73"/>
      <c r="H120" s="73"/>
      <c r="I120" s="73"/>
      <c r="J120" s="73"/>
      <c r="K120" s="73"/>
      <c r="L120" s="73"/>
      <c r="M120" s="73"/>
      <c r="N120" s="73"/>
      <c r="O120" s="73"/>
      <c r="P120" s="73"/>
      <c r="Q120" s="73"/>
      <c r="R120" s="65"/>
      <c r="S120" s="65"/>
    </row>
    <row r="121" spans="1:19" ht="13.5" customHeight="1">
      <c r="A121" s="90"/>
      <c r="B121" s="82"/>
      <c r="C121" s="82"/>
      <c r="D121" s="73"/>
      <c r="E121" s="73"/>
      <c r="F121" s="73"/>
      <c r="G121" s="73"/>
      <c r="H121" s="73"/>
      <c r="I121" s="73"/>
      <c r="J121" s="73"/>
      <c r="K121" s="73"/>
      <c r="L121" s="73"/>
      <c r="M121" s="73"/>
      <c r="N121" s="73"/>
      <c r="O121" s="73"/>
      <c r="P121" s="73"/>
      <c r="Q121" s="73"/>
      <c r="R121" s="65"/>
      <c r="S121" s="65"/>
    </row>
    <row r="122" spans="1:19" ht="13.5" customHeight="1">
      <c r="A122" s="90"/>
      <c r="B122" s="82"/>
      <c r="C122" s="82"/>
      <c r="D122" s="73"/>
      <c r="E122" s="73"/>
      <c r="F122" s="73"/>
      <c r="G122" s="73"/>
      <c r="H122" s="73"/>
      <c r="I122" s="73"/>
      <c r="J122" s="73"/>
      <c r="K122" s="73"/>
      <c r="L122" s="73"/>
      <c r="M122" s="73"/>
      <c r="N122" s="73"/>
      <c r="O122" s="73"/>
      <c r="P122" s="73"/>
      <c r="Q122" s="73"/>
      <c r="R122" s="65"/>
      <c r="S122" s="65"/>
    </row>
    <row r="123" spans="1:19" ht="13.5" customHeight="1">
      <c r="A123" s="90"/>
      <c r="B123" s="82"/>
      <c r="C123" s="82"/>
      <c r="D123" s="73"/>
      <c r="E123" s="73"/>
      <c r="F123" s="73"/>
      <c r="G123" s="73"/>
      <c r="H123" s="73"/>
      <c r="I123" s="73"/>
      <c r="J123" s="73"/>
      <c r="K123" s="73"/>
      <c r="L123" s="73"/>
      <c r="M123" s="73"/>
      <c r="N123" s="73"/>
      <c r="O123" s="73"/>
      <c r="P123" s="73"/>
      <c r="Q123" s="73"/>
      <c r="R123" s="65"/>
      <c r="S123" s="65"/>
    </row>
    <row r="124" spans="1:19" s="27" customFormat="1" ht="13.5" customHeight="1">
      <c r="B124" s="82"/>
      <c r="C124" s="82"/>
      <c r="D124" s="73"/>
      <c r="E124" s="73"/>
      <c r="F124" s="73"/>
      <c r="G124" s="73"/>
      <c r="H124" s="73"/>
      <c r="I124" s="73"/>
      <c r="J124" s="73"/>
      <c r="K124" s="73"/>
      <c r="L124" s="73"/>
      <c r="M124" s="73"/>
      <c r="N124" s="73"/>
      <c r="O124" s="73"/>
      <c r="P124" s="73"/>
      <c r="Q124" s="73"/>
      <c r="R124" s="65"/>
      <c r="S124" s="65"/>
    </row>
    <row r="125" spans="1:19" ht="13.5" customHeight="1">
      <c r="B125" s="27"/>
      <c r="C125" s="27"/>
      <c r="D125" s="27"/>
    </row>
    <row r="126" spans="1:19" ht="13.5" customHeight="1">
      <c r="B126" s="27"/>
      <c r="C126" s="27"/>
      <c r="D126" s="31"/>
    </row>
    <row r="127" spans="1:19" ht="13.5" customHeight="1">
      <c r="B127" s="27"/>
      <c r="C127" s="27"/>
      <c r="D127" s="27"/>
    </row>
    <row r="128" spans="1:19"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sheetData>
  <sheetProtection sheet="1" objects="1" scenarios="1"/>
  <mergeCells count="8">
    <mergeCell ref="A11:B11"/>
    <mergeCell ref="U25:AK25"/>
    <mergeCell ref="A1:B1"/>
    <mergeCell ref="A7:B7"/>
    <mergeCell ref="A8:B8"/>
    <mergeCell ref="A10:B10"/>
    <mergeCell ref="A12:B12"/>
    <mergeCell ref="E15:S16"/>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D94" location="'Casualty data'!D26" tooltip="Top of this page" display="Top"/>
    <hyperlink ref="A12:B12" r:id="rId2" tooltip="Unit A4.1 Social Impact Appraisal" display="WebTAG Unit A 4.1"/>
    <hyperlink ref="I10" r:id="rId3"/>
    <hyperlink ref="I8" r:id="rId4" display="RAS 4002"/>
  </hyperlinks>
  <pageMargins left="0.75" right="0.75" top="1" bottom="1" header="0.5" footer="0.5"/>
  <pageSetup paperSize="9" orientation="portrait" r:id="rId5"/>
  <headerFooter alignWithMargins="0"/>
  <drawing r:id="rId6"/>
  <legacyDrawing r:id="rId7"/>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10"/>
  </sheetPr>
  <dimension ref="A1:S30"/>
  <sheetViews>
    <sheetView showGridLines="0" zoomScale="85" zoomScaleNormal="85" workbookViewId="0">
      <selection activeCell="E23" sqref="E23:F23"/>
    </sheetView>
  </sheetViews>
  <sheetFormatPr defaultColWidth="12.88671875" defaultRowHeight="13.5" customHeight="1"/>
  <cols>
    <col min="1" max="16384" width="12.88671875" style="38"/>
  </cols>
  <sheetData>
    <row r="1" spans="1:19" ht="54.9" customHeight="1">
      <c r="A1" s="28"/>
    </row>
    <row r="2" spans="1:19" s="300" customFormat="1" ht="5.0999999999999996" customHeight="1">
      <c r="D2" s="83"/>
    </row>
    <row r="3" spans="1:19" s="300" customFormat="1" ht="20.100000000000001" customHeight="1">
      <c r="A3" s="426" t="s">
        <v>2279</v>
      </c>
      <c r="C3" s="46"/>
      <c r="D3" s="83"/>
    </row>
    <row r="4" spans="1:19" s="26" customFormat="1" ht="20.100000000000001" customHeight="1" thickBot="1">
      <c r="A4" s="109" t="s">
        <v>61</v>
      </c>
      <c r="B4" s="446"/>
      <c r="C4" s="446"/>
      <c r="D4" s="446"/>
      <c r="E4" s="446"/>
      <c r="F4" s="446"/>
      <c r="G4" s="446"/>
      <c r="H4" s="446"/>
      <c r="I4" s="446"/>
      <c r="J4" s="446"/>
      <c r="K4" s="446"/>
      <c r="L4" s="446"/>
      <c r="M4" s="446"/>
      <c r="N4" s="446"/>
      <c r="O4" s="446"/>
      <c r="P4" s="446"/>
      <c r="Q4" s="446"/>
      <c r="R4" s="446"/>
      <c r="S4" s="446"/>
    </row>
    <row r="5" spans="1:19" ht="9.9" customHeight="1" thickTop="1" thickBot="1"/>
    <row r="6" spans="1:19" ht="13.5" customHeight="1" thickTop="1">
      <c r="A6" s="169" t="s">
        <v>10</v>
      </c>
      <c r="B6" s="169"/>
      <c r="E6" s="3626" t="s">
        <v>255</v>
      </c>
      <c r="F6" s="3649"/>
      <c r="G6" s="3649"/>
      <c r="H6" s="3649"/>
      <c r="I6" s="3649"/>
      <c r="J6" s="3649"/>
      <c r="K6" s="3649"/>
      <c r="L6" s="3649"/>
      <c r="M6" s="3649"/>
      <c r="N6" s="3649"/>
      <c r="O6" s="3649"/>
      <c r="P6" s="3649"/>
      <c r="Q6" s="3649"/>
      <c r="R6" s="3649"/>
      <c r="S6" s="3650"/>
    </row>
    <row r="7" spans="1:19" ht="13.5" customHeight="1">
      <c r="A7" s="3644" t="str">
        <f>Audit!A12</f>
        <v>May 2019 v1.12</v>
      </c>
      <c r="B7" s="3651"/>
      <c r="E7" s="180" t="s">
        <v>778</v>
      </c>
      <c r="F7" s="29"/>
      <c r="G7" s="26"/>
      <c r="H7" s="26"/>
      <c r="I7" s="26"/>
      <c r="J7" s="26"/>
      <c r="K7" s="26"/>
      <c r="L7" s="26"/>
      <c r="M7" s="26"/>
      <c r="N7" s="26"/>
      <c r="O7" s="26"/>
      <c r="P7" s="26"/>
      <c r="Q7" s="26"/>
      <c r="R7" s="26"/>
      <c r="S7" s="147"/>
    </row>
    <row r="8" spans="1:19" ht="13.5" customHeight="1">
      <c r="A8" s="3646">
        <f>Audit!C12</f>
        <v>43586</v>
      </c>
      <c r="B8" s="3651"/>
      <c r="C8" s="321"/>
      <c r="D8" s="321"/>
      <c r="E8" s="113"/>
      <c r="F8" s="315"/>
      <c r="G8" s="26"/>
      <c r="H8" s="26"/>
      <c r="I8" s="26"/>
      <c r="J8" s="26"/>
      <c r="K8" s="26"/>
      <c r="L8" s="26"/>
      <c r="M8" s="26"/>
      <c r="N8" s="26"/>
      <c r="O8" s="26"/>
      <c r="P8" s="26"/>
      <c r="Q8" s="26"/>
      <c r="R8" s="26"/>
      <c r="S8" s="147"/>
    </row>
    <row r="9" spans="1:19" ht="13.5" customHeight="1" thickBot="1">
      <c r="A9" s="172" t="s">
        <v>14</v>
      </c>
      <c r="B9" s="173"/>
      <c r="D9" s="321"/>
      <c r="E9" s="113"/>
      <c r="F9" s="26"/>
      <c r="G9" s="26"/>
      <c r="H9" s="26"/>
      <c r="I9" s="26"/>
      <c r="J9" s="26"/>
      <c r="K9" s="26"/>
      <c r="L9" s="26"/>
      <c r="M9" s="26"/>
      <c r="N9" s="26"/>
      <c r="O9" s="26"/>
      <c r="P9" s="26"/>
      <c r="Q9" s="26"/>
      <c r="R9" s="26"/>
      <c r="S9" s="147"/>
    </row>
    <row r="10" spans="1:19" ht="13.5" customHeight="1" thickBot="1">
      <c r="A10" s="3611" t="s">
        <v>1306</v>
      </c>
      <c r="B10" s="3612"/>
      <c r="D10" s="321"/>
      <c r="E10" s="113"/>
      <c r="F10" s="26"/>
      <c r="G10" s="26"/>
      <c r="H10" s="26"/>
      <c r="I10" s="26"/>
      <c r="J10" s="26"/>
      <c r="K10" s="26"/>
      <c r="L10" s="26"/>
      <c r="M10" s="26"/>
      <c r="N10" s="26"/>
      <c r="O10" s="26"/>
      <c r="P10" s="26"/>
      <c r="Q10" s="26"/>
      <c r="R10" s="26"/>
      <c r="S10" s="147"/>
    </row>
    <row r="11" spans="1:19" ht="13.5" customHeight="1" thickBot="1">
      <c r="A11" s="3611" t="s">
        <v>2280</v>
      </c>
      <c r="B11" s="3639"/>
      <c r="D11" s="321"/>
      <c r="E11" s="113"/>
      <c r="F11" s="53"/>
      <c r="G11" s="53"/>
      <c r="H11" s="53"/>
      <c r="I11" s="53"/>
      <c r="J11" s="53"/>
      <c r="K11" s="53"/>
      <c r="L11" s="53"/>
      <c r="M11" s="53"/>
      <c r="N11" s="53"/>
      <c r="O11" s="53"/>
      <c r="P11" s="53"/>
      <c r="Q11" s="53"/>
      <c r="R11" s="53"/>
      <c r="S11" s="379"/>
    </row>
    <row r="12" spans="1:19" ht="13.5" customHeight="1" thickBot="1">
      <c r="A12" s="3611" t="s">
        <v>2279</v>
      </c>
      <c r="B12" s="3639"/>
      <c r="D12" s="321"/>
      <c r="E12" s="113"/>
      <c r="F12" s="26"/>
      <c r="G12" s="26"/>
      <c r="H12" s="26"/>
      <c r="I12" s="26"/>
      <c r="J12" s="26"/>
      <c r="K12" s="26"/>
      <c r="L12" s="26"/>
      <c r="M12" s="26"/>
      <c r="N12" s="26"/>
      <c r="O12" s="26"/>
      <c r="P12" s="26"/>
      <c r="Q12" s="26"/>
      <c r="R12" s="26"/>
      <c r="S12" s="147"/>
    </row>
    <row r="13" spans="1:19" ht="13.5" customHeight="1">
      <c r="A13" s="172" t="s">
        <v>252</v>
      </c>
      <c r="B13" s="194"/>
      <c r="C13" s="321"/>
      <c r="D13" s="321"/>
      <c r="E13" s="114"/>
      <c r="F13" s="26"/>
      <c r="G13" s="26"/>
      <c r="H13" s="26"/>
      <c r="I13" s="26"/>
      <c r="J13" s="26"/>
      <c r="K13" s="26"/>
      <c r="L13" s="26"/>
      <c r="M13" s="26"/>
      <c r="N13" s="26"/>
      <c r="O13" s="26"/>
      <c r="P13" s="26"/>
      <c r="Q13" s="26"/>
      <c r="R13" s="26"/>
      <c r="S13" s="147"/>
    </row>
    <row r="14" spans="1:19" ht="13.5" customHeight="1">
      <c r="A14" s="56" t="s">
        <v>799</v>
      </c>
      <c r="B14" s="195">
        <f>B16</f>
        <v>1997</v>
      </c>
      <c r="C14" s="321"/>
      <c r="D14" s="321"/>
      <c r="E14" s="113"/>
      <c r="F14" s="26"/>
      <c r="G14" s="26"/>
      <c r="H14" s="26"/>
      <c r="I14" s="26"/>
      <c r="J14" s="26"/>
      <c r="K14" s="26"/>
      <c r="L14" s="26"/>
      <c r="M14" s="26"/>
      <c r="N14" s="26"/>
      <c r="O14" s="26"/>
      <c r="P14" s="26"/>
      <c r="Q14" s="26"/>
      <c r="R14" s="26"/>
      <c r="S14" s="147"/>
    </row>
    <row r="15" spans="1:19" ht="13.5" customHeight="1">
      <c r="A15" s="26" t="s">
        <v>54</v>
      </c>
      <c r="B15" s="221">
        <f>B16</f>
        <v>1997</v>
      </c>
      <c r="C15" s="321"/>
      <c r="D15" s="321"/>
      <c r="E15" s="113"/>
      <c r="F15" s="26"/>
      <c r="G15" s="26"/>
      <c r="H15" s="26"/>
      <c r="I15" s="26"/>
      <c r="J15" s="26"/>
      <c r="K15" s="26"/>
      <c r="L15" s="26"/>
      <c r="M15" s="26"/>
      <c r="N15" s="26"/>
      <c r="O15" s="26"/>
      <c r="P15" s="26"/>
      <c r="Q15" s="26"/>
      <c r="R15" s="26"/>
      <c r="S15" s="147"/>
    </row>
    <row r="16" spans="1:19" ht="13.5" customHeight="1">
      <c r="A16" s="240" t="s">
        <v>370</v>
      </c>
      <c r="B16" s="1346">
        <v>1997</v>
      </c>
      <c r="C16" s="321"/>
      <c r="D16" s="321"/>
      <c r="E16" s="113"/>
      <c r="F16" s="26"/>
      <c r="G16" s="26"/>
      <c r="H16" s="26"/>
      <c r="I16" s="26"/>
      <c r="J16" s="26"/>
      <c r="K16" s="26"/>
      <c r="L16" s="26"/>
      <c r="M16" s="26"/>
      <c r="N16" s="26"/>
      <c r="O16" s="26"/>
      <c r="P16" s="26"/>
      <c r="Q16" s="26"/>
      <c r="R16" s="26"/>
      <c r="S16" s="147"/>
    </row>
    <row r="17" spans="1:19" ht="13.5" customHeight="1">
      <c r="A17" s="169" t="s">
        <v>253</v>
      </c>
      <c r="B17" s="170"/>
      <c r="C17" s="321"/>
      <c r="D17" s="321"/>
      <c r="E17" s="207"/>
      <c r="F17" s="26"/>
      <c r="G17" s="26"/>
      <c r="H17" s="26"/>
      <c r="I17" s="26"/>
      <c r="J17" s="26"/>
      <c r="K17" s="26"/>
      <c r="L17" s="26"/>
      <c r="M17" s="26"/>
      <c r="N17" s="26"/>
      <c r="O17" s="26"/>
      <c r="P17" s="26"/>
      <c r="Q17" s="26"/>
      <c r="R17" s="26"/>
      <c r="S17" s="147"/>
    </row>
    <row r="18" spans="1:19" ht="13.5" customHeight="1">
      <c r="A18" s="3615"/>
      <c r="B18" s="3615"/>
      <c r="C18" s="321"/>
      <c r="D18" s="321"/>
      <c r="E18" s="113"/>
      <c r="F18" s="26"/>
      <c r="G18" s="26"/>
      <c r="H18" s="26"/>
      <c r="I18" s="26"/>
      <c r="J18" s="26"/>
      <c r="K18" s="26"/>
      <c r="L18" s="26"/>
      <c r="M18" s="26"/>
      <c r="N18" s="26"/>
      <c r="O18" s="26"/>
      <c r="P18" s="26"/>
      <c r="Q18" s="26"/>
      <c r="R18" s="26"/>
      <c r="S18" s="147"/>
    </row>
    <row r="19" spans="1:19" ht="13.5" customHeight="1">
      <c r="A19" s="3615"/>
      <c r="B19" s="3615"/>
      <c r="C19" s="321"/>
      <c r="D19" s="321"/>
      <c r="E19" s="113" t="s">
        <v>1184</v>
      </c>
      <c r="F19" s="26"/>
      <c r="G19" s="26"/>
      <c r="H19" s="26"/>
      <c r="I19" s="26"/>
      <c r="J19" s="26"/>
      <c r="K19" s="26"/>
      <c r="L19" s="26"/>
      <c r="M19" s="26"/>
      <c r="N19" s="26"/>
      <c r="O19" s="26"/>
      <c r="P19" s="26"/>
      <c r="Q19" s="26"/>
      <c r="R19" s="26"/>
      <c r="S19" s="147"/>
    </row>
    <row r="20" spans="1:19" ht="13.5" customHeight="1" thickBot="1">
      <c r="C20" s="321"/>
      <c r="D20" s="412"/>
      <c r="E20" s="259" t="s">
        <v>2282</v>
      </c>
      <c r="F20" s="163"/>
      <c r="G20" s="163"/>
      <c r="H20" s="163"/>
      <c r="I20" s="163"/>
      <c r="J20" s="163"/>
      <c r="K20" s="163"/>
      <c r="L20" s="163"/>
      <c r="M20" s="163"/>
      <c r="N20" s="163"/>
      <c r="O20" s="163"/>
      <c r="P20" s="163"/>
      <c r="Q20" s="163"/>
      <c r="R20" s="163"/>
      <c r="S20" s="382"/>
    </row>
    <row r="21" spans="1:19" ht="13.5" customHeight="1" thickTop="1"/>
    <row r="22" spans="1:19" ht="13.5" customHeight="1" thickBot="1"/>
    <row r="23" spans="1:19" ht="13.5" customHeight="1" thickTop="1">
      <c r="A23" s="680" t="str">
        <f>"Average value of prevention per casualty by severity and element of cost"</f>
        <v>Average value of prevention per casualty by severity and element of cost</v>
      </c>
      <c r="B23" s="1033"/>
      <c r="C23" s="1033"/>
      <c r="D23" s="1033"/>
      <c r="E23" s="1033"/>
      <c r="F23" s="1033"/>
      <c r="G23" s="850"/>
    </row>
    <row r="24" spans="1:19" ht="13.5" customHeight="1" thickBot="1">
      <c r="A24" s="526" t="str">
        <f>"(" &amp; B14 &amp;" prices and " &amp; B15 &amp; " values)"</f>
        <v>(1997 prices and 1997 values)</v>
      </c>
      <c r="B24" s="527"/>
      <c r="C24" s="527"/>
      <c r="D24" s="527"/>
      <c r="E24" s="527"/>
      <c r="F24" s="527"/>
      <c r="G24" s="1057"/>
    </row>
    <row r="25" spans="1:19" ht="13.5" customHeight="1" thickTop="1">
      <c r="A25" s="99"/>
      <c r="B25" s="100"/>
      <c r="C25" s="438"/>
      <c r="D25" s="1035" t="s">
        <v>438</v>
      </c>
      <c r="E25" s="1152" t="s">
        <v>440</v>
      </c>
      <c r="F25" s="812" t="s">
        <v>437</v>
      </c>
      <c r="G25" s="812" t="s">
        <v>1449</v>
      </c>
    </row>
    <row r="26" spans="1:19" ht="13.5" customHeight="1" thickBot="1">
      <c r="A26" s="513" t="s">
        <v>801</v>
      </c>
      <c r="B26" s="465"/>
      <c r="C26" s="439"/>
      <c r="D26" s="660" t="s">
        <v>439</v>
      </c>
      <c r="E26" s="659" t="s">
        <v>441</v>
      </c>
      <c r="F26" s="393" t="s">
        <v>516</v>
      </c>
      <c r="G26" s="393"/>
    </row>
    <row r="27" spans="1:19" ht="13.5" customHeight="1" thickTop="1">
      <c r="A27" s="1915" t="s">
        <v>782</v>
      </c>
      <c r="B27" s="1916"/>
      <c r="C27" s="1917"/>
      <c r="D27" s="1923">
        <v>343765.9293200316</v>
      </c>
      <c r="E27" s="1923">
        <v>655644.51079132664</v>
      </c>
      <c r="F27" s="1924">
        <v>590.26007853329827</v>
      </c>
      <c r="G27" s="1918">
        <f>SUM(D27:F27)</f>
        <v>1000000.7001898915</v>
      </c>
    </row>
    <row r="28" spans="1:19" ht="13.5" customHeight="1">
      <c r="A28" s="1330" t="s">
        <v>783</v>
      </c>
      <c r="B28" s="1326"/>
      <c r="C28" s="1331"/>
      <c r="D28" s="1925">
        <v>13244.091797695535</v>
      </c>
      <c r="E28" s="1925">
        <v>91104.507542445514</v>
      </c>
      <c r="F28" s="1926">
        <v>8023.4759666821647</v>
      </c>
      <c r="G28" s="1912">
        <f>SUM(D28:F28)</f>
        <v>112372.07530682322</v>
      </c>
    </row>
    <row r="29" spans="1:19" ht="13.5" customHeight="1" thickBot="1">
      <c r="A29" s="1919" t="s">
        <v>784</v>
      </c>
      <c r="B29" s="1920"/>
      <c r="C29" s="1921"/>
      <c r="D29" s="1927">
        <v>1399.6795931056504</v>
      </c>
      <c r="E29" s="1928">
        <v>6669.3087165239222</v>
      </c>
      <c r="F29" s="1929">
        <v>593.76102799079115</v>
      </c>
      <c r="G29" s="1922">
        <f>SUM(D29:F29)</f>
        <v>8662.7493376203638</v>
      </c>
      <c r="H29" s="879"/>
      <c r="I29" s="879"/>
    </row>
    <row r="30" spans="1:19" ht="13.5" customHeight="1" thickTop="1"/>
  </sheetData>
  <sheetProtection sheet="1" objects="1" scenarios="1"/>
  <mergeCells count="8">
    <mergeCell ref="A19:B19"/>
    <mergeCell ref="A11:B11"/>
    <mergeCell ref="A10:B10"/>
    <mergeCell ref="E6:S6"/>
    <mergeCell ref="A7:B7"/>
    <mergeCell ref="A8:B8"/>
    <mergeCell ref="A12:B12"/>
    <mergeCell ref="A18:B18"/>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orientation="portrait" r:id="rId3"/>
  <headerFooter alignWithMargins="0"/>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008000"/>
    <pageSetUpPr fitToPage="1"/>
  </sheetPr>
  <dimension ref="A1:S46"/>
  <sheetViews>
    <sheetView zoomScale="85" zoomScaleNormal="85" workbookViewId="0">
      <selection activeCell="B15" sqref="B15"/>
    </sheetView>
  </sheetViews>
  <sheetFormatPr defaultColWidth="12.88671875" defaultRowHeight="13.5" customHeight="1"/>
  <cols>
    <col min="1" max="16384" width="12.88671875" style="1327"/>
  </cols>
  <sheetData>
    <row r="1" spans="1:19" s="240" customFormat="1" ht="54.9" customHeight="1">
      <c r="A1" s="245"/>
    </row>
    <row r="2" spans="1:19" s="262" customFormat="1" ht="5.0999999999999996" customHeight="1"/>
    <row r="3" spans="1:19" s="262" customFormat="1" ht="20.100000000000001" customHeight="1">
      <c r="A3" s="262" t="s">
        <v>2283</v>
      </c>
      <c r="C3" s="260"/>
      <c r="D3" s="271"/>
      <c r="E3" s="260"/>
      <c r="F3" s="261"/>
    </row>
    <row r="4" spans="1:19" s="237" customFormat="1" ht="20.100000000000001" customHeight="1" thickBot="1">
      <c r="A4" s="1317" t="s">
        <v>965</v>
      </c>
      <c r="B4" s="1318"/>
      <c r="C4" s="1318"/>
      <c r="D4" s="263"/>
      <c r="E4" s="263"/>
      <c r="F4" s="263"/>
      <c r="G4" s="263"/>
      <c r="H4" s="263"/>
      <c r="I4" s="263"/>
      <c r="J4" s="263"/>
      <c r="K4" s="263"/>
      <c r="L4" s="263"/>
      <c r="M4" s="263"/>
      <c r="N4" s="263"/>
      <c r="O4" s="263"/>
      <c r="P4" s="263"/>
      <c r="Q4" s="263"/>
      <c r="R4" s="263"/>
      <c r="S4" s="263"/>
    </row>
    <row r="5" spans="1:19" s="240" customFormat="1" ht="9.9" customHeight="1" thickTop="1" thickBot="1">
      <c r="A5" s="243"/>
      <c r="B5" s="239"/>
      <c r="C5" s="239"/>
    </row>
    <row r="6" spans="1:19" s="240"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240" customFormat="1" ht="13.5" customHeight="1">
      <c r="A7" s="3636" t="str">
        <f>Audit!A12</f>
        <v>May 2019 v1.12</v>
      </c>
      <c r="B7" s="3637"/>
      <c r="E7" s="265" t="s">
        <v>136</v>
      </c>
      <c r="F7" s="236"/>
      <c r="G7" s="237"/>
      <c r="H7" s="237"/>
      <c r="I7" s="237"/>
      <c r="J7" s="237"/>
      <c r="K7" s="237"/>
      <c r="L7" s="237"/>
      <c r="M7" s="237"/>
      <c r="N7" s="237"/>
      <c r="O7" s="237"/>
      <c r="P7" s="237"/>
      <c r="Q7" s="237"/>
      <c r="R7" s="237"/>
      <c r="S7" s="247"/>
    </row>
    <row r="8" spans="1:19" s="240" customFormat="1" ht="13.5" customHeight="1">
      <c r="A8" s="3630">
        <f>Audit!C12</f>
        <v>43586</v>
      </c>
      <c r="B8" s="3631"/>
      <c r="C8" s="239"/>
      <c r="D8" s="239"/>
      <c r="E8" s="265"/>
      <c r="F8" s="266"/>
      <c r="G8" s="237"/>
      <c r="H8" s="237"/>
      <c r="I8" s="237"/>
      <c r="J8" s="237"/>
      <c r="K8" s="237"/>
      <c r="L8" s="237"/>
      <c r="M8" s="237"/>
      <c r="N8" s="237"/>
      <c r="O8" s="237"/>
      <c r="P8" s="237"/>
      <c r="Q8" s="237"/>
      <c r="R8" s="237"/>
      <c r="S8" s="247"/>
    </row>
    <row r="9" spans="1:19" s="240" customFormat="1" ht="13.5" customHeight="1" thickBot="1">
      <c r="A9" s="169" t="s">
        <v>14</v>
      </c>
      <c r="B9" s="169"/>
      <c r="D9" s="239"/>
      <c r="E9" s="265"/>
      <c r="F9" s="237"/>
      <c r="G9" s="237"/>
      <c r="H9" s="237"/>
      <c r="I9" s="237"/>
      <c r="J9" s="237"/>
      <c r="K9" s="237"/>
      <c r="L9" s="237"/>
      <c r="M9" s="237"/>
      <c r="N9" s="237"/>
      <c r="O9" s="237"/>
      <c r="P9" s="237"/>
      <c r="Q9" s="237"/>
      <c r="R9" s="237"/>
      <c r="S9" s="247"/>
    </row>
    <row r="10" spans="1:19" s="240" customFormat="1" ht="13.5" customHeight="1" thickBot="1">
      <c r="A10" s="3570" t="s">
        <v>1306</v>
      </c>
      <c r="B10" s="3610"/>
      <c r="D10" s="239"/>
      <c r="E10" s="265"/>
      <c r="F10" s="237"/>
      <c r="G10" s="237"/>
      <c r="H10" s="237"/>
      <c r="I10" s="237"/>
      <c r="J10" s="237"/>
      <c r="K10" s="237"/>
      <c r="L10" s="237"/>
      <c r="M10" s="237"/>
      <c r="N10" s="237"/>
      <c r="O10" s="237"/>
      <c r="P10" s="237"/>
      <c r="Q10" s="237"/>
      <c r="R10" s="237"/>
      <c r="S10" s="247"/>
    </row>
    <row r="11" spans="1:19" s="240" customFormat="1" ht="13.5" customHeight="1" thickBot="1">
      <c r="A11" s="3570" t="s">
        <v>2280</v>
      </c>
      <c r="B11" s="3581"/>
      <c r="D11" s="239"/>
      <c r="E11" s="265"/>
      <c r="F11" s="267"/>
      <c r="G11" s="267"/>
      <c r="H11" s="267"/>
      <c r="I11" s="267"/>
      <c r="J11" s="267"/>
      <c r="K11" s="267"/>
      <c r="L11" s="267"/>
      <c r="M11" s="267"/>
      <c r="N11" s="267"/>
      <c r="O11" s="267"/>
      <c r="P11" s="267"/>
      <c r="Q11" s="267"/>
      <c r="R11" s="267"/>
      <c r="S11" s="1319"/>
    </row>
    <row r="12" spans="1:19" s="240" customFormat="1" ht="13.5" customHeight="1" thickBot="1">
      <c r="A12" s="3570" t="s">
        <v>2279</v>
      </c>
      <c r="B12" s="3581"/>
      <c r="D12" s="239"/>
      <c r="E12" s="265"/>
      <c r="F12" s="237"/>
      <c r="G12" s="237"/>
      <c r="H12" s="237"/>
      <c r="I12" s="237"/>
      <c r="J12" s="237"/>
      <c r="K12" s="237"/>
      <c r="L12" s="237"/>
      <c r="M12" s="237"/>
      <c r="N12" s="237"/>
      <c r="O12" s="237"/>
      <c r="P12" s="237"/>
      <c r="Q12" s="237"/>
      <c r="R12" s="237"/>
      <c r="S12" s="247"/>
    </row>
    <row r="13" spans="1:19" s="240" customFormat="1" ht="13.5" customHeight="1">
      <c r="A13" s="169" t="s">
        <v>252</v>
      </c>
      <c r="B13" s="169"/>
      <c r="C13" s="239"/>
      <c r="D13" s="239"/>
      <c r="E13" s="1320"/>
      <c r="F13" s="237"/>
      <c r="G13" s="237"/>
      <c r="H13" s="237"/>
      <c r="I13" s="237"/>
      <c r="J13" s="237"/>
      <c r="K13" s="237"/>
      <c r="L13" s="237"/>
      <c r="M13" s="237"/>
      <c r="N13" s="237"/>
      <c r="O13" s="237"/>
      <c r="P13" s="237"/>
      <c r="Q13" s="237"/>
      <c r="R13" s="237"/>
      <c r="S13" s="247"/>
    </row>
    <row r="14" spans="1:19" s="240" customFormat="1" ht="13.5" customHeight="1">
      <c r="A14" s="2460" t="s">
        <v>799</v>
      </c>
      <c r="B14" s="2465">
        <f>'User Parameters'!L13</f>
        <v>2010</v>
      </c>
      <c r="C14" s="239"/>
      <c r="D14" s="239"/>
      <c r="E14" s="265"/>
      <c r="F14" s="237"/>
      <c r="G14" s="237"/>
      <c r="H14" s="237"/>
      <c r="I14" s="237"/>
      <c r="J14" s="237"/>
      <c r="K14" s="237"/>
      <c r="L14" s="237"/>
      <c r="M14" s="237"/>
      <c r="N14" s="237"/>
      <c r="O14" s="237"/>
      <c r="P14" s="237"/>
      <c r="Q14" s="237"/>
      <c r="R14" s="237"/>
      <c r="S14" s="247"/>
    </row>
    <row r="15" spans="1:19" s="240" customFormat="1" ht="13.5" customHeight="1">
      <c r="A15" s="2466" t="s">
        <v>54</v>
      </c>
      <c r="B15" s="2467">
        <f>'User Parameters'!L19</f>
        <v>2010</v>
      </c>
      <c r="C15" s="239"/>
      <c r="D15" s="239"/>
      <c r="E15" s="265"/>
      <c r="F15" s="237"/>
      <c r="G15" s="237"/>
      <c r="H15" s="237"/>
      <c r="I15" s="237"/>
      <c r="J15" s="237"/>
      <c r="K15" s="237"/>
      <c r="L15" s="237"/>
      <c r="M15" s="237"/>
      <c r="N15" s="237"/>
      <c r="O15" s="237"/>
      <c r="P15" s="237"/>
      <c r="Q15" s="237"/>
      <c r="R15" s="237"/>
      <c r="S15" s="247"/>
    </row>
    <row r="16" spans="1:19" s="240" customFormat="1" ht="13.5" customHeight="1">
      <c r="A16" s="2458"/>
      <c r="B16" s="2468"/>
      <c r="C16" s="239"/>
      <c r="D16" s="239"/>
      <c r="E16" s="265"/>
      <c r="F16" s="237"/>
      <c r="G16" s="237"/>
      <c r="H16" s="237"/>
      <c r="I16" s="237"/>
      <c r="J16" s="237"/>
      <c r="K16" s="237"/>
      <c r="L16" s="237"/>
      <c r="M16" s="237"/>
      <c r="N16" s="237"/>
      <c r="O16" s="237"/>
      <c r="P16" s="237"/>
      <c r="Q16" s="237"/>
      <c r="R16" s="237"/>
      <c r="S16" s="247"/>
    </row>
    <row r="17" spans="1:19" s="240" customFormat="1" ht="13.5" customHeight="1">
      <c r="A17" s="169" t="s">
        <v>253</v>
      </c>
      <c r="B17" s="169"/>
      <c r="C17" s="239"/>
      <c r="D17" s="239"/>
      <c r="E17" s="1321"/>
      <c r="F17" s="237"/>
      <c r="G17" s="237"/>
      <c r="H17" s="237"/>
      <c r="I17" s="237"/>
      <c r="J17" s="237"/>
      <c r="K17" s="237"/>
      <c r="L17" s="237"/>
      <c r="M17" s="237"/>
      <c r="N17" s="237"/>
      <c r="O17" s="237"/>
      <c r="P17" s="237"/>
      <c r="Q17" s="237"/>
      <c r="R17" s="237"/>
      <c r="S17" s="247"/>
    </row>
    <row r="18" spans="1:19" s="240" customFormat="1" ht="13.5" customHeight="1">
      <c r="A18" s="3653"/>
      <c r="B18" s="3653"/>
      <c r="C18" s="239"/>
      <c r="D18" s="239"/>
      <c r="E18" s="265" t="s">
        <v>910</v>
      </c>
      <c r="F18" s="237"/>
      <c r="G18" s="237"/>
      <c r="H18" s="237"/>
      <c r="I18" s="237"/>
      <c r="J18" s="237"/>
      <c r="K18" s="237"/>
      <c r="L18" s="237"/>
      <c r="M18" s="237"/>
      <c r="N18" s="237"/>
      <c r="O18" s="237"/>
      <c r="P18" s="237"/>
      <c r="Q18" s="237"/>
      <c r="R18" s="237"/>
      <c r="S18" s="247"/>
    </row>
    <row r="19" spans="1:19" s="240" customFormat="1" ht="13.5" customHeight="1">
      <c r="A19" s="2427"/>
      <c r="B19" s="2427"/>
      <c r="C19" s="239"/>
      <c r="D19" s="239"/>
      <c r="E19" s="265" t="s">
        <v>2370</v>
      </c>
      <c r="F19" s="237"/>
      <c r="G19" s="237"/>
      <c r="H19" s="237"/>
      <c r="I19" s="237"/>
      <c r="J19" s="237"/>
      <c r="K19" s="237"/>
      <c r="L19" s="237"/>
      <c r="M19" s="237"/>
      <c r="N19" s="237"/>
      <c r="O19" s="237"/>
      <c r="P19" s="237"/>
      <c r="Q19" s="237"/>
      <c r="R19" s="237"/>
      <c r="S19" s="247"/>
    </row>
    <row r="20" spans="1:19" s="240" customFormat="1" ht="13.5" customHeight="1" thickBot="1">
      <c r="A20" s="2426"/>
      <c r="B20" s="2426"/>
      <c r="C20" s="239"/>
      <c r="D20" s="272"/>
      <c r="E20" s="259" t="str">
        <f>'Casualty costs'!E20</f>
        <v>TAG 1: Unit 3.4.1 (Table 1)</v>
      </c>
      <c r="F20" s="270"/>
      <c r="G20" s="270"/>
      <c r="H20" s="270"/>
      <c r="I20" s="270"/>
      <c r="J20" s="270"/>
      <c r="K20" s="270"/>
      <c r="L20" s="270"/>
      <c r="M20" s="270"/>
      <c r="N20" s="270"/>
      <c r="O20" s="270"/>
      <c r="P20" s="270"/>
      <c r="Q20" s="270"/>
      <c r="R20" s="270"/>
      <c r="S20" s="1322"/>
    </row>
    <row r="21" spans="1:19" s="240" customFormat="1" ht="13.5" customHeight="1" thickTop="1">
      <c r="A21" s="2429"/>
      <c r="B21" s="2430"/>
      <c r="C21" s="239"/>
      <c r="D21" s="1323"/>
    </row>
    <row r="22" spans="1:19" s="240" customFormat="1" ht="13.5" customHeight="1" thickBot="1"/>
    <row r="23" spans="1:19" ht="13.5" customHeight="1" thickTop="1">
      <c r="A23" s="174" t="s">
        <v>931</v>
      </c>
      <c r="B23" s="667"/>
      <c r="C23" s="667"/>
      <c r="D23" s="667"/>
      <c r="E23" s="667"/>
      <c r="F23" s="667"/>
      <c r="G23" s="776"/>
      <c r="H23" s="1324"/>
      <c r="I23" s="1325"/>
      <c r="J23" s="1326"/>
      <c r="K23" s="1326"/>
      <c r="L23" s="1326"/>
    </row>
    <row r="24" spans="1:19" ht="13.5" customHeight="1" thickBot="1">
      <c r="A24" s="227" t="str">
        <f>CONCATENATE("£ (",B14," prices and ",B15," values)")</f>
        <v>£ (2010 prices and 2010 values)</v>
      </c>
      <c r="B24" s="227"/>
      <c r="C24" s="227"/>
      <c r="D24" s="227"/>
      <c r="E24" s="227"/>
      <c r="F24" s="227"/>
      <c r="G24" s="523"/>
      <c r="H24" s="1324"/>
      <c r="I24" s="1325"/>
      <c r="J24" s="1326"/>
      <c r="K24" s="1326"/>
      <c r="L24" s="1326"/>
    </row>
    <row r="25" spans="1:19" ht="13.5" customHeight="1" thickTop="1">
      <c r="A25" s="99"/>
      <c r="B25" s="100"/>
      <c r="C25" s="438"/>
      <c r="D25" s="1035" t="s">
        <v>438</v>
      </c>
      <c r="E25" s="1152" t="s">
        <v>440</v>
      </c>
      <c r="F25" s="812" t="s">
        <v>517</v>
      </c>
      <c r="G25" s="812" t="s">
        <v>1449</v>
      </c>
      <c r="H25" s="1326"/>
      <c r="I25" s="1328"/>
      <c r="J25" s="1328"/>
      <c r="K25" s="1328"/>
      <c r="L25" s="1329"/>
    </row>
    <row r="26" spans="1:19" ht="13.5" customHeight="1" thickBot="1">
      <c r="A26" s="513" t="s">
        <v>22</v>
      </c>
      <c r="B26" s="465"/>
      <c r="C26" s="439"/>
      <c r="D26" s="660" t="s">
        <v>439</v>
      </c>
      <c r="E26" s="659" t="s">
        <v>441</v>
      </c>
      <c r="F26" s="393" t="s">
        <v>516</v>
      </c>
      <c r="G26" s="393"/>
      <c r="H26" s="1326"/>
      <c r="I26" s="1328"/>
      <c r="J26" s="1328"/>
      <c r="K26" s="1328"/>
      <c r="L26" s="1329"/>
    </row>
    <row r="27" spans="1:19" ht="13.5" customHeight="1" thickTop="1">
      <c r="A27" s="1330" t="s">
        <v>782</v>
      </c>
      <c r="B27" s="1326"/>
      <c r="C27" s="1331"/>
      <c r="D27" s="1404">
        <f>'Casualty costs'!D27 * VLOOKUP($B$14,'Annual Parameters'!$B$33:$W$104,3,) / VLOOKUP('Casualty costs'!$B$14,'Annual Parameters'!$B$33:$W$104,3,) * VLOOKUP($B$15,'Annual Parameters'!$B$33:$W$104,15,) / VLOOKUP('Casualty costs'!$B$15,'Annual Parameters'!$B$33:$W$104,15,)</f>
        <v>534347.76743815548</v>
      </c>
      <c r="E27" s="1405">
        <f>'Casualty costs'!E27 * VLOOKUP($B$14,'Annual Parameters'!$B$33:$W$104,3,) / VLOOKUP('Casualty costs'!$B$14,'Annual Parameters'!$B$33:$W$104,3,) * VLOOKUP($B$15,'Annual Parameters'!$B$33:$W$104,15,) / VLOOKUP('Casualty costs'!$B$15,'Annual Parameters'!$B$33:$W$104,15,)</f>
        <v>1019130.0262577017</v>
      </c>
      <c r="F27" s="1406">
        <f>'Casualty costs'!F27 * VLOOKUP($B$14,'Annual Parameters'!$B$33:$W$104,3,) / VLOOKUP('Casualty costs'!$B$14,'Annual Parameters'!$B$33:$W$104,3,) * VLOOKUP($B$15,'Annual Parameters'!$B$33:$W$104,15,) / VLOOKUP('Casualty costs'!$B$15,'Annual Parameters'!$B$33:$W$104,15,)</f>
        <v>917.49684384373734</v>
      </c>
      <c r="G27" s="1333">
        <f>SUM(D27:F27)</f>
        <v>1554395.290539701</v>
      </c>
      <c r="H27" s="1326"/>
      <c r="I27" s="1332"/>
      <c r="J27" s="1332"/>
      <c r="K27" s="1332"/>
      <c r="L27" s="1332"/>
    </row>
    <row r="28" spans="1:19" ht="13.5" customHeight="1">
      <c r="A28" s="1330" t="s">
        <v>783</v>
      </c>
      <c r="B28" s="1326"/>
      <c r="C28" s="1331"/>
      <c r="D28" s="1407">
        <f>'Casualty costs'!D28 * VLOOKUP($B$14,'Annual Parameters'!$B$33:$W$104,3,) / VLOOKUP('Casualty costs'!$B$14,'Annual Parameters'!$B$33:$W$104,3,) * VLOOKUP($B$15,'Annual Parameters'!$B$33:$W$104,15,) / VLOOKUP('Casualty costs'!$B$15,'Annual Parameters'!$B$33:$W$104,15,)</f>
        <v>20586.539503326559</v>
      </c>
      <c r="E28" s="1332">
        <f>'Casualty costs'!E28 * VLOOKUP($B$14,'Annual Parameters'!$B$33:$W$104,3,) / VLOOKUP('Casualty costs'!$B$14,'Annual Parameters'!$B$33:$W$104,3,) * VLOOKUP($B$15,'Annual Parameters'!$B$33:$W$104,15,) / VLOOKUP('Casualty costs'!$B$15,'Annual Parameters'!$B$33:$W$104,15,)</f>
        <v>141612.31831540217</v>
      </c>
      <c r="F28" s="1333">
        <f>'Casualty costs'!F28 * VLOOKUP($B$14,'Annual Parameters'!$B$33:$W$104,3,) / VLOOKUP('Casualty costs'!$B$14,'Annual Parameters'!$B$33:$W$104,3,) * VLOOKUP($B$15,'Annual Parameters'!$B$33:$W$104,15,) / VLOOKUP('Casualty costs'!$B$15,'Annual Parameters'!$B$33:$W$104,15,)</f>
        <v>12471.644523849805</v>
      </c>
      <c r="G28" s="1333">
        <f>SUM(D28:F28)</f>
        <v>174670.50234257852</v>
      </c>
      <c r="H28" s="1326"/>
      <c r="I28" s="1332"/>
      <c r="J28" s="1332"/>
      <c r="K28" s="1332"/>
      <c r="L28" s="1332"/>
    </row>
    <row r="29" spans="1:19" ht="13.5" customHeight="1">
      <c r="A29" s="1334" t="s">
        <v>784</v>
      </c>
      <c r="B29" s="1335"/>
      <c r="C29" s="1336"/>
      <c r="D29" s="1407">
        <f>'Casualty costs'!D29 * VLOOKUP($B$14,'Annual Parameters'!$B$33:$W$104,3,) / VLOOKUP('Casualty costs'!$B$14,'Annual Parameters'!$B$33:$W$104,3,) * VLOOKUP($B$15,'Annual Parameters'!$B$33:$W$104,15,) / VLOOKUP('Casualty costs'!$B$15,'Annual Parameters'!$B$33:$W$104,15,)</f>
        <v>2175.6538444171183</v>
      </c>
      <c r="E29" s="1332">
        <f>'Casualty costs'!E29 * VLOOKUP($B$14,'Annual Parameters'!$B$33:$W$104,3,) / VLOOKUP('Casualty costs'!$B$14,'Annual Parameters'!$B$33:$W$104,3,) * VLOOKUP($B$15,'Annual Parameters'!$B$33:$W$104,15,) / VLOOKUP('Casualty costs'!$B$15,'Annual Parameters'!$B$33:$W$104,15,)</f>
        <v>10366.734801437246</v>
      </c>
      <c r="F29" s="1333">
        <f>'Casualty costs'!F29 * VLOOKUP($B$14,'Annual Parameters'!$B$33:$W$104,3,) / VLOOKUP('Casualty costs'!$B$14,'Annual Parameters'!$B$33:$W$104,3,) * VLOOKUP($B$15,'Annual Parameters'!$B$33:$W$104,15,) / VLOOKUP('Casualty costs'!$B$15,'Annual Parameters'!$B$33:$W$104,15,)</f>
        <v>922.93869938254943</v>
      </c>
      <c r="G29" s="1337">
        <f>SUM(D29:F29)</f>
        <v>13465.327345236914</v>
      </c>
      <c r="H29" s="1326"/>
      <c r="I29" s="1332"/>
      <c r="J29" s="1332"/>
      <c r="K29" s="1332"/>
      <c r="L29" s="1332"/>
    </row>
    <row r="30" spans="1:19" ht="13.5" customHeight="1" thickBot="1">
      <c r="A30" s="1347" t="s">
        <v>1064</v>
      </c>
      <c r="B30" s="1348"/>
      <c r="C30" s="1349"/>
      <c r="D30" s="1408">
        <f>SUMPRODUCT(D27:D29,'Casualty data'!$G44:$G46)/'Casualty data'!$G$47</f>
        <v>10429.473015201615</v>
      </c>
      <c r="E30" s="1350">
        <f>SUMPRODUCT(E27:E29,'Casualty data'!$G44:$G46)/'Casualty data'!$G$47</f>
        <v>40003.454818141705</v>
      </c>
      <c r="F30" s="1351">
        <f>SUMPRODUCT(F27:F29,'Casualty data'!$G44:$G46)/'Casualty data'!$G$47</f>
        <v>2599.9439398331256</v>
      </c>
      <c r="G30" s="1930">
        <f>SUMPRODUCT(G27:G29,'Casualty data'!$G44:$G46)/'Casualty data'!$G$47</f>
        <v>53032.871773176441</v>
      </c>
      <c r="H30" s="1326"/>
      <c r="I30" s="1332"/>
      <c r="J30" s="1332"/>
      <c r="K30" s="1332"/>
      <c r="L30" s="1332"/>
    </row>
    <row r="31" spans="1:19" ht="13.5" customHeight="1" thickTop="1">
      <c r="I31" s="1338"/>
    </row>
    <row r="32" spans="1:19" ht="13.5" customHeight="1">
      <c r="B32" s="1339"/>
      <c r="C32" s="1338"/>
      <c r="D32" s="1338"/>
      <c r="E32" s="1338"/>
      <c r="F32" s="1338"/>
    </row>
    <row r="33" spans="2:13" ht="13.5" customHeight="1">
      <c r="B33" s="1339"/>
      <c r="K33" s="252"/>
      <c r="M33" s="1340"/>
    </row>
    <row r="34" spans="2:13" ht="13.5" customHeight="1">
      <c r="K34" s="252"/>
      <c r="M34" s="1340"/>
    </row>
    <row r="35" spans="2:13" ht="13.5" customHeight="1">
      <c r="B35" s="1341"/>
      <c r="C35" s="1326"/>
      <c r="D35" s="1326"/>
      <c r="E35" s="1326"/>
      <c r="F35" s="1326"/>
      <c r="G35" s="1326"/>
      <c r="H35" s="1326"/>
      <c r="I35" s="1326"/>
      <c r="K35" s="252"/>
      <c r="M35" s="1340"/>
    </row>
    <row r="36" spans="2:13" ht="13.5" customHeight="1">
      <c r="B36" s="1326"/>
      <c r="C36" s="1326"/>
      <c r="D36" s="1326"/>
      <c r="E36" s="1326"/>
      <c r="F36" s="1326"/>
      <c r="G36" s="1329"/>
      <c r="H36" s="1329"/>
      <c r="I36" s="1326"/>
      <c r="K36" s="252"/>
      <c r="M36" s="1340"/>
    </row>
    <row r="37" spans="2:13" ht="13.5" customHeight="1">
      <c r="B37" s="1326"/>
      <c r="C37" s="1326"/>
      <c r="D37" s="1326"/>
      <c r="E37" s="1326"/>
      <c r="F37" s="1326"/>
      <c r="G37" s="1342"/>
      <c r="H37" s="252"/>
      <c r="I37" s="1340"/>
      <c r="K37" s="252"/>
      <c r="M37" s="1340"/>
    </row>
    <row r="38" spans="2:13" ht="13.5" customHeight="1">
      <c r="B38" s="1326"/>
      <c r="C38" s="1342"/>
      <c r="D38" s="1326"/>
      <c r="E38" s="242"/>
      <c r="F38" s="242"/>
      <c r="G38" s="1343"/>
      <c r="H38" s="1326"/>
      <c r="I38" s="1326"/>
      <c r="K38" s="252"/>
      <c r="M38" s="1340"/>
    </row>
    <row r="39" spans="2:13" ht="13.5" customHeight="1">
      <c r="B39" s="1326"/>
      <c r="C39" s="1326"/>
      <c r="D39" s="1326"/>
      <c r="E39" s="1326"/>
      <c r="F39" s="1326"/>
      <c r="G39" s="1342"/>
      <c r="H39" s="252"/>
      <c r="I39" s="1340"/>
      <c r="K39" s="252"/>
      <c r="M39" s="1340"/>
    </row>
    <row r="40" spans="2:13" ht="13.5" customHeight="1">
      <c r="B40" s="1326"/>
      <c r="C40" s="1326"/>
      <c r="D40" s="1326"/>
      <c r="E40" s="1326"/>
      <c r="F40" s="1326"/>
      <c r="G40" s="1326"/>
      <c r="H40" s="1326"/>
      <c r="I40" s="1326"/>
      <c r="K40" s="252"/>
      <c r="M40" s="1340"/>
    </row>
    <row r="41" spans="2:13" ht="13.5" customHeight="1">
      <c r="B41" s="1326"/>
      <c r="C41" s="1326"/>
      <c r="D41" s="1326"/>
      <c r="E41" s="1326"/>
      <c r="F41" s="1326"/>
      <c r="G41" s="1326"/>
      <c r="H41" s="1326"/>
      <c r="I41" s="1326"/>
      <c r="K41" s="252"/>
      <c r="M41" s="1340"/>
    </row>
    <row r="42" spans="2:13" ht="13.5" customHeight="1">
      <c r="B42" s="1326"/>
      <c r="C42" s="1326"/>
      <c r="D42" s="1326"/>
      <c r="E42" s="1326"/>
      <c r="F42" s="1326"/>
      <c r="G42" s="1326"/>
      <c r="H42" s="1326"/>
      <c r="I42" s="1326"/>
      <c r="K42" s="252"/>
      <c r="M42" s="1340"/>
    </row>
    <row r="43" spans="2:13" ht="13.5" customHeight="1">
      <c r="B43" s="1326"/>
      <c r="C43" s="1342"/>
      <c r="D43" s="1323"/>
      <c r="E43" s="1329"/>
      <c r="F43" s="1323"/>
      <c r="G43" s="1344"/>
      <c r="H43" s="1329"/>
      <c r="I43" s="1345"/>
      <c r="K43" s="252"/>
      <c r="M43" s="1340"/>
    </row>
    <row r="44" spans="2:13" ht="13.5" customHeight="1">
      <c r="B44" s="1326"/>
      <c r="C44" s="1326"/>
      <c r="D44" s="1326"/>
      <c r="E44" s="1329"/>
      <c r="F44" s="1326"/>
      <c r="G44" s="1344"/>
      <c r="H44" s="1326"/>
      <c r="I44" s="1326"/>
      <c r="K44" s="252"/>
      <c r="M44" s="1340"/>
    </row>
    <row r="45" spans="2:13" ht="13.5" customHeight="1">
      <c r="B45" s="1326"/>
      <c r="C45" s="1326"/>
      <c r="D45" s="1326"/>
      <c r="E45" s="1326"/>
      <c r="F45" s="1326"/>
      <c r="G45" s="1326"/>
      <c r="H45" s="1326"/>
      <c r="I45" s="1326"/>
      <c r="K45" s="252"/>
      <c r="M45" s="1340"/>
    </row>
    <row r="46" spans="2:13" ht="13.5" customHeight="1">
      <c r="B46" s="1326"/>
      <c r="C46" s="1326"/>
      <c r="D46" s="1326"/>
      <c r="E46" s="1326"/>
      <c r="F46" s="1326"/>
      <c r="G46" s="1326"/>
      <c r="H46" s="1326"/>
      <c r="I46" s="1326"/>
      <c r="K46" s="252"/>
      <c r="M46" s="1340"/>
    </row>
  </sheetData>
  <sheetProtection sheet="1" objects="1" scenarios="1"/>
  <mergeCells count="7">
    <mergeCell ref="A12:B12"/>
    <mergeCell ref="A18:B18"/>
    <mergeCell ref="E6:S6"/>
    <mergeCell ref="A7:B7"/>
    <mergeCell ref="A8:B8"/>
    <mergeCell ref="A10:B10"/>
    <mergeCell ref="A11:B11"/>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8000"/>
    <pageSetUpPr fitToPage="1"/>
  </sheetPr>
  <dimension ref="A1:S45"/>
  <sheetViews>
    <sheetView showGridLines="0" zoomScale="70" zoomScaleNormal="70" workbookViewId="0">
      <selection activeCell="B15" sqref="B15"/>
    </sheetView>
  </sheetViews>
  <sheetFormatPr defaultColWidth="12.88671875" defaultRowHeight="13.5" customHeight="1"/>
  <cols>
    <col min="1" max="2" width="12.88671875" style="1327"/>
    <col min="3" max="3" width="18.6640625" style="1327" customWidth="1"/>
    <col min="4" max="4" width="16.5546875" style="1327" customWidth="1"/>
    <col min="5" max="16384" width="12.88671875" style="1327"/>
  </cols>
  <sheetData>
    <row r="1" spans="1:19" s="240" customFormat="1" ht="54.9" customHeight="1">
      <c r="A1" s="245"/>
    </row>
    <row r="2" spans="1:19" s="262" customFormat="1" ht="5.0999999999999996" customHeight="1"/>
    <row r="3" spans="1:19" s="262" customFormat="1" ht="20.100000000000001" customHeight="1">
      <c r="A3" s="262" t="s">
        <v>2284</v>
      </c>
      <c r="C3" s="260"/>
      <c r="D3" s="271"/>
      <c r="E3" s="260"/>
      <c r="F3" s="261"/>
    </row>
    <row r="4" spans="1:19" s="237" customFormat="1" ht="20.100000000000001" customHeight="1" thickBot="1">
      <c r="A4" s="1317" t="s">
        <v>769</v>
      </c>
      <c r="B4" s="1318"/>
      <c r="C4" s="1318"/>
      <c r="D4" s="263"/>
      <c r="E4" s="263"/>
      <c r="F4" s="263"/>
      <c r="G4" s="263"/>
      <c r="H4" s="263"/>
      <c r="I4" s="263"/>
      <c r="J4" s="263"/>
      <c r="K4" s="263"/>
      <c r="L4" s="263"/>
      <c r="M4" s="263"/>
      <c r="N4" s="263"/>
      <c r="O4" s="263"/>
      <c r="P4" s="263"/>
      <c r="Q4" s="263"/>
      <c r="R4" s="263"/>
      <c r="S4" s="263"/>
    </row>
    <row r="5" spans="1:19" s="240" customFormat="1" ht="9.9" customHeight="1" thickTop="1" thickBot="1">
      <c r="A5" s="243"/>
      <c r="B5" s="239"/>
      <c r="C5" s="239"/>
    </row>
    <row r="6" spans="1:19" s="240"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240" customFormat="1" ht="13.5" customHeight="1">
      <c r="A7" s="3636" t="str">
        <f>Audit!A12</f>
        <v>May 2019 v1.12</v>
      </c>
      <c r="B7" s="3637"/>
      <c r="E7" s="265" t="s">
        <v>136</v>
      </c>
      <c r="F7" s="236"/>
      <c r="G7" s="237"/>
      <c r="H7" s="237"/>
      <c r="I7" s="237"/>
      <c r="J7" s="237"/>
      <c r="K7" s="237"/>
      <c r="L7" s="237"/>
      <c r="M7" s="237"/>
      <c r="N7" s="237"/>
      <c r="O7" s="237"/>
      <c r="P7" s="237"/>
      <c r="Q7" s="237"/>
      <c r="R7" s="237"/>
      <c r="S7" s="247"/>
    </row>
    <row r="8" spans="1:19" s="240" customFormat="1" ht="13.5" customHeight="1">
      <c r="A8" s="3630">
        <f>Audit!C12</f>
        <v>43586</v>
      </c>
      <c r="B8" s="3631"/>
      <c r="C8" s="239"/>
      <c r="D8" s="239"/>
      <c r="E8" s="265"/>
      <c r="F8" s="266"/>
      <c r="G8" s="237"/>
      <c r="H8" s="237"/>
      <c r="I8" s="237"/>
      <c r="J8" s="237"/>
      <c r="K8" s="237"/>
      <c r="L8" s="237"/>
      <c r="M8" s="237"/>
      <c r="N8" s="237"/>
      <c r="O8" s="237"/>
      <c r="P8" s="237"/>
      <c r="Q8" s="237"/>
      <c r="R8" s="237"/>
      <c r="S8" s="247"/>
    </row>
    <row r="9" spans="1:19" s="240" customFormat="1" ht="13.5" customHeight="1" thickBot="1">
      <c r="A9" s="169" t="s">
        <v>14</v>
      </c>
      <c r="B9" s="169"/>
      <c r="D9" s="239"/>
      <c r="E9" s="265"/>
      <c r="F9" s="237"/>
      <c r="G9" s="237"/>
      <c r="H9" s="237"/>
      <c r="I9" s="237"/>
      <c r="J9" s="237"/>
      <c r="K9" s="237"/>
      <c r="L9" s="237"/>
      <c r="M9" s="237"/>
      <c r="N9" s="237"/>
      <c r="O9" s="237"/>
      <c r="P9" s="237"/>
      <c r="Q9" s="237"/>
      <c r="R9" s="237"/>
      <c r="S9" s="247"/>
    </row>
    <row r="10" spans="1:19" s="240" customFormat="1" ht="13.5" customHeight="1" thickBot="1">
      <c r="A10" s="3570" t="s">
        <v>1306</v>
      </c>
      <c r="B10" s="3610"/>
      <c r="D10" s="239"/>
      <c r="E10" s="265"/>
      <c r="F10" s="237"/>
      <c r="G10" s="237"/>
      <c r="H10" s="237"/>
      <c r="I10" s="237"/>
      <c r="J10" s="237"/>
      <c r="K10" s="237"/>
      <c r="L10" s="237"/>
      <c r="M10" s="237"/>
      <c r="N10" s="237"/>
      <c r="O10" s="237"/>
      <c r="P10" s="237"/>
      <c r="Q10" s="237"/>
      <c r="R10" s="237"/>
      <c r="S10" s="247"/>
    </row>
    <row r="11" spans="1:19" s="240" customFormat="1" ht="13.5" customHeight="1" thickBot="1">
      <c r="A11" s="3570" t="s">
        <v>2280</v>
      </c>
      <c r="B11" s="3581"/>
      <c r="D11" s="239"/>
      <c r="E11" s="265"/>
      <c r="F11" s="267"/>
      <c r="G11" s="267"/>
      <c r="H11" s="267"/>
      <c r="I11" s="267"/>
      <c r="J11" s="267"/>
      <c r="K11" s="267"/>
      <c r="L11" s="267"/>
      <c r="M11" s="267"/>
      <c r="N11" s="267"/>
      <c r="O11" s="267"/>
      <c r="P11" s="267"/>
      <c r="Q11" s="267"/>
      <c r="R11" s="267"/>
      <c r="S11" s="1319"/>
    </row>
    <row r="12" spans="1:19" s="240" customFormat="1" ht="13.5" customHeight="1" thickBot="1">
      <c r="A12" s="3570" t="s">
        <v>2279</v>
      </c>
      <c r="B12" s="3581"/>
      <c r="D12" s="239"/>
      <c r="E12" s="265"/>
      <c r="F12" s="237"/>
      <c r="G12" s="237"/>
      <c r="H12" s="237"/>
      <c r="I12" s="237"/>
      <c r="J12" s="237"/>
      <c r="K12" s="237"/>
      <c r="L12" s="237"/>
      <c r="M12" s="237"/>
      <c r="N12" s="237"/>
      <c r="O12" s="237"/>
      <c r="P12" s="237"/>
      <c r="Q12" s="237"/>
      <c r="R12" s="237"/>
      <c r="S12" s="247"/>
    </row>
    <row r="13" spans="1:19" s="240" customFormat="1" ht="13.5" customHeight="1">
      <c r="A13" s="169" t="s">
        <v>252</v>
      </c>
      <c r="B13" s="169"/>
      <c r="C13" s="239"/>
      <c r="D13" s="239"/>
      <c r="E13" s="1320"/>
      <c r="F13" s="237"/>
      <c r="G13" s="237"/>
      <c r="H13" s="237"/>
      <c r="I13" s="237"/>
      <c r="J13" s="237"/>
      <c r="K13" s="237"/>
      <c r="L13" s="237"/>
      <c r="M13" s="237"/>
      <c r="N13" s="237"/>
      <c r="O13" s="237"/>
      <c r="P13" s="237"/>
      <c r="Q13" s="237"/>
      <c r="R13" s="237"/>
      <c r="S13" s="247"/>
    </row>
    <row r="14" spans="1:19" s="240" customFormat="1" ht="13.5" customHeight="1">
      <c r="A14" s="2460" t="s">
        <v>799</v>
      </c>
      <c r="B14" s="2465">
        <f>'User Parameters'!L13</f>
        <v>2010</v>
      </c>
      <c r="C14" s="239"/>
      <c r="D14" s="239"/>
      <c r="E14" s="265"/>
      <c r="F14" s="237"/>
      <c r="G14" s="237"/>
      <c r="H14" s="237"/>
      <c r="I14" s="237"/>
      <c r="J14" s="237"/>
      <c r="K14" s="237"/>
      <c r="L14" s="237"/>
      <c r="M14" s="237"/>
      <c r="N14" s="237"/>
      <c r="O14" s="237"/>
      <c r="P14" s="237"/>
      <c r="Q14" s="237"/>
      <c r="R14" s="237"/>
      <c r="S14" s="247"/>
    </row>
    <row r="15" spans="1:19" s="240" customFormat="1" ht="13.5" customHeight="1">
      <c r="A15" s="2466" t="s">
        <v>54</v>
      </c>
      <c r="B15" s="2467">
        <f>'User Parameters'!L19</f>
        <v>2010</v>
      </c>
      <c r="C15" s="239"/>
      <c r="D15" s="239"/>
      <c r="E15" s="265"/>
      <c r="F15" s="237"/>
      <c r="G15" s="237"/>
      <c r="H15" s="237"/>
      <c r="I15" s="237"/>
      <c r="J15" s="237"/>
      <c r="K15" s="237"/>
      <c r="L15" s="237"/>
      <c r="M15" s="237"/>
      <c r="N15" s="237"/>
      <c r="O15" s="237"/>
      <c r="P15" s="237"/>
      <c r="Q15" s="237"/>
      <c r="R15" s="237"/>
      <c r="S15" s="247"/>
    </row>
    <row r="16" spans="1:19" s="240" customFormat="1" ht="13.5" customHeight="1">
      <c r="A16" s="2458"/>
      <c r="B16" s="2468"/>
      <c r="C16" s="239"/>
      <c r="D16" s="239"/>
      <c r="E16" s="265"/>
      <c r="F16" s="237"/>
      <c r="G16" s="237"/>
      <c r="H16" s="237"/>
      <c r="I16" s="237"/>
      <c r="J16" s="237"/>
      <c r="K16" s="237"/>
      <c r="L16" s="237"/>
      <c r="M16" s="237"/>
      <c r="N16" s="237"/>
      <c r="O16" s="237"/>
      <c r="P16" s="237"/>
      <c r="Q16" s="237"/>
      <c r="R16" s="237"/>
      <c r="S16" s="247"/>
    </row>
    <row r="17" spans="1:19" s="240" customFormat="1" ht="13.5" customHeight="1">
      <c r="A17" s="169" t="s">
        <v>253</v>
      </c>
      <c r="B17" s="169"/>
      <c r="C17" s="239"/>
      <c r="D17" s="239"/>
      <c r="E17" s="1321"/>
      <c r="F17" s="237"/>
      <c r="G17" s="237"/>
      <c r="H17" s="237"/>
      <c r="I17" s="237"/>
      <c r="J17" s="237"/>
      <c r="K17" s="237"/>
      <c r="L17" s="237"/>
      <c r="M17" s="237"/>
      <c r="N17" s="237"/>
      <c r="O17" s="237"/>
      <c r="P17" s="237"/>
      <c r="Q17" s="237"/>
      <c r="R17" s="237"/>
      <c r="S17" s="247"/>
    </row>
    <row r="18" spans="1:19" s="240" customFormat="1" ht="13.5" customHeight="1">
      <c r="A18" s="3653"/>
      <c r="B18" s="3653"/>
      <c r="C18" s="239"/>
      <c r="D18" s="239"/>
      <c r="E18" s="265"/>
      <c r="F18" s="237"/>
      <c r="G18" s="237"/>
      <c r="H18" s="237"/>
      <c r="I18" s="237"/>
      <c r="J18" s="237"/>
      <c r="K18" s="237"/>
      <c r="L18" s="237"/>
      <c r="M18" s="237"/>
      <c r="N18" s="237"/>
      <c r="O18" s="237"/>
      <c r="P18" s="237"/>
      <c r="Q18" s="237"/>
      <c r="R18" s="237"/>
      <c r="S18" s="247"/>
    </row>
    <row r="19" spans="1:19" s="240" customFormat="1" ht="13.5" customHeight="1">
      <c r="A19" s="2427"/>
      <c r="B19" s="2427"/>
      <c r="C19" s="239"/>
      <c r="D19" s="239"/>
      <c r="E19" s="265" t="s">
        <v>2371</v>
      </c>
      <c r="F19" s="237"/>
      <c r="G19" s="237"/>
      <c r="H19" s="237"/>
      <c r="I19" s="237"/>
      <c r="J19" s="237"/>
      <c r="K19" s="237"/>
      <c r="L19" s="237"/>
      <c r="M19" s="237"/>
      <c r="N19" s="237"/>
      <c r="O19" s="237"/>
      <c r="P19" s="237"/>
      <c r="Q19" s="237"/>
      <c r="R19" s="237"/>
      <c r="S19" s="247"/>
    </row>
    <row r="20" spans="1:19" s="240" customFormat="1" ht="13.5" customHeight="1" thickBot="1">
      <c r="A20" s="2426"/>
      <c r="B20" s="2426"/>
      <c r="C20" s="239"/>
      <c r="D20" s="272"/>
      <c r="E20" s="381" t="s">
        <v>2285</v>
      </c>
      <c r="F20" s="270"/>
      <c r="G20" s="270"/>
      <c r="H20" s="270"/>
      <c r="I20" s="270"/>
      <c r="J20" s="270"/>
      <c r="K20" s="270"/>
      <c r="L20" s="270"/>
      <c r="M20" s="270"/>
      <c r="N20" s="270"/>
      <c r="O20" s="270"/>
      <c r="P20" s="270"/>
      <c r="Q20" s="270"/>
      <c r="R20" s="270"/>
      <c r="S20" s="1322"/>
    </row>
    <row r="21" spans="1:19" s="240" customFormat="1" ht="13.5" customHeight="1" thickTop="1">
      <c r="A21" s="2429"/>
      <c r="B21" s="2430"/>
      <c r="C21" s="239"/>
      <c r="D21" s="1323"/>
    </row>
    <row r="22" spans="1:19" s="240" customFormat="1" ht="13.5" customHeight="1" thickBot="1"/>
    <row r="23" spans="1:19" s="2972" customFormat="1" ht="27.75" customHeight="1" thickTop="1">
      <c r="A23" s="3773" t="s">
        <v>932</v>
      </c>
      <c r="B23" s="3774"/>
      <c r="C23" s="3774"/>
      <c r="D23" s="3775"/>
      <c r="E23" s="1325"/>
      <c r="F23" s="1325"/>
      <c r="G23" s="1325"/>
      <c r="H23" s="1325"/>
      <c r="I23" s="1325"/>
      <c r="J23" s="1325"/>
      <c r="K23" s="1325"/>
      <c r="L23" s="1325"/>
    </row>
    <row r="24" spans="1:19" ht="11.25" customHeight="1" thickBot="1">
      <c r="A24" s="437" t="str">
        <f>CONCATENATE("£ (",B14," prices and ",B15," values)")</f>
        <v>£ (2010 prices and 2010 values)</v>
      </c>
      <c r="B24" s="227"/>
      <c r="C24" s="227"/>
      <c r="D24" s="523"/>
      <c r="E24" s="1329"/>
      <c r="F24" s="1329"/>
      <c r="G24" s="1329"/>
      <c r="H24" s="1329"/>
      <c r="I24" s="1325"/>
      <c r="J24" s="1326"/>
      <c r="K24" s="1326"/>
      <c r="L24" s="1326"/>
    </row>
    <row r="25" spans="1:19" ht="13.5" customHeight="1" thickTop="1" thickBot="1">
      <c r="A25" s="1969" t="s">
        <v>1185</v>
      </c>
      <c r="B25" s="2973"/>
      <c r="C25" s="2974"/>
      <c r="D25" s="658" t="s">
        <v>1187</v>
      </c>
      <c r="E25" s="1329"/>
      <c r="F25" s="1329"/>
      <c r="G25" s="1329"/>
      <c r="H25" s="1329"/>
      <c r="I25" s="1328"/>
      <c r="J25" s="1328"/>
      <c r="K25" s="1328"/>
      <c r="L25" s="1329"/>
    </row>
    <row r="26" spans="1:19" ht="13.5" customHeight="1" thickTop="1">
      <c r="A26" s="2975" t="s">
        <v>770</v>
      </c>
      <c r="B26" s="2976"/>
      <c r="C26" s="2977"/>
      <c r="D26" s="2984">
        <f>('A4.1.1'!$G$27*'Casualty data'!E52+'A4.1.1'!$G$28*'Casualty data'!E53+'A4.1.1'!$G$29*'Casualty data'!E55)/'Casualty data'!E56</f>
        <v>81771.096370085768</v>
      </c>
      <c r="E26" s="1329"/>
      <c r="F26" s="1329"/>
      <c r="G26" s="1329"/>
      <c r="H26" s="1329"/>
      <c r="I26" s="1332"/>
      <c r="J26" s="1332"/>
      <c r="K26" s="1332"/>
      <c r="L26" s="1332"/>
    </row>
    <row r="27" spans="1:19" ht="13.5" customHeight="1">
      <c r="A27" s="161" t="s">
        <v>771</v>
      </c>
      <c r="B27" s="269"/>
      <c r="C27" s="2978"/>
      <c r="D27" s="2985">
        <f>('A4.1.1'!$G$27*'Casualty data'!E58+'A4.1.1'!$G$28*'Casualty data'!E59+'A4.1.1'!$G$29*'Casualty data'!E61)/'Casualty data'!E62</f>
        <v>54498.604099934266</v>
      </c>
      <c r="E27" s="1329"/>
      <c r="F27" s="1329"/>
      <c r="G27" s="1329"/>
      <c r="H27" s="1326"/>
      <c r="I27" s="1332"/>
      <c r="J27" s="1332"/>
      <c r="K27" s="1332"/>
      <c r="L27" s="1332"/>
    </row>
    <row r="28" spans="1:19" ht="13.5" customHeight="1">
      <c r="A28" s="161" t="s">
        <v>767</v>
      </c>
      <c r="B28" s="269"/>
      <c r="C28" s="2978"/>
      <c r="D28" s="2985">
        <f>('A4.1.1'!$G$27*'Casualty data'!E76+'A4.1.1'!$G$28*'Casualty data'!E77+'A4.1.1'!$G$29*'Casualty data'!E79)/'Casualty data'!E80</f>
        <v>26591.283056195884</v>
      </c>
      <c r="E28" s="1329"/>
      <c r="F28" s="1329"/>
      <c r="G28" s="1329"/>
      <c r="H28" s="1326"/>
      <c r="I28" s="1332"/>
      <c r="J28" s="1332"/>
      <c r="K28" s="1332"/>
      <c r="L28" s="1332"/>
    </row>
    <row r="29" spans="1:19" ht="13.5" customHeight="1">
      <c r="A29" s="161" t="s">
        <v>768</v>
      </c>
      <c r="B29" s="269"/>
      <c r="C29" s="2978"/>
      <c r="D29" s="2985">
        <f>('A4.1.1'!$G$27*'Casualty data'!E82+'A4.1.1'!$G$28*'Casualty data'!E83+'A4.1.1'!$G$29*'Casualty data'!E85)/'Casualty data'!E86</f>
        <v>47846.458781753216</v>
      </c>
      <c r="E29" s="1329"/>
      <c r="F29" s="1329"/>
      <c r="G29" s="1329"/>
      <c r="H29" s="1326"/>
      <c r="I29" s="1332"/>
      <c r="J29" s="1332"/>
      <c r="K29" s="1332"/>
      <c r="L29" s="1332"/>
    </row>
    <row r="30" spans="1:19" ht="13.5" customHeight="1">
      <c r="A30" s="161" t="s">
        <v>772</v>
      </c>
      <c r="B30" s="269"/>
      <c r="C30" s="2978"/>
      <c r="D30" s="2985">
        <f>('A4.1.1'!$G$27*'Casualty data'!E70+'A4.1.1'!$G$28*'Casualty data'!E71+'A4.1.1'!$G$29*'Casualty data'!E73)/'Casualty data'!E74</f>
        <v>39908.35114032893</v>
      </c>
      <c r="E30" s="1329"/>
      <c r="F30" s="1329"/>
      <c r="G30" s="1329"/>
      <c r="I30" s="1338"/>
    </row>
    <row r="31" spans="1:19" ht="13.5" customHeight="1">
      <c r="A31" s="161" t="s">
        <v>307</v>
      </c>
      <c r="B31" s="2979"/>
      <c r="C31" s="2980"/>
      <c r="D31" s="2985">
        <f>('A4.1.1'!$G$27*'Casualty data'!E64+'A4.1.1'!$G$28*'Casualty data'!E65+'A4.1.1'!$G$29*'Casualty data'!E67)/'Casualty data'!E68</f>
        <v>93237.187213322599</v>
      </c>
      <c r="E31" s="1329"/>
      <c r="F31" s="1329"/>
      <c r="G31" s="1329"/>
    </row>
    <row r="32" spans="1:19" ht="13.5" customHeight="1">
      <c r="A32" s="161" t="s">
        <v>308</v>
      </c>
      <c r="B32" s="2979"/>
      <c r="C32" s="2978"/>
      <c r="D32" s="2985">
        <f>(D28*'Casualty data'!E80+'A4.1.2'!D29*'Casualty data'!E86+'A4.1.2'!D30*'Casualty data'!E74+'A4.1.2'!D31*'Casualty data'!E68)/('Casualty data'!E68+'Casualty data'!E74+'Casualty data'!E80+'Casualty data'!E86)</f>
        <v>47333.533038250069</v>
      </c>
      <c r="E32" s="1329"/>
      <c r="F32" s="1329"/>
      <c r="G32" s="1329"/>
      <c r="K32" s="252"/>
      <c r="M32" s="1340"/>
    </row>
    <row r="33" spans="1:13" ht="13.5" customHeight="1" thickBot="1">
      <c r="A33" s="2981" t="s">
        <v>309</v>
      </c>
      <c r="B33" s="2982"/>
      <c r="C33" s="2983"/>
      <c r="D33" s="2986">
        <f>('A4.1.1'!$G$27*'Casualty data'!E88+'A4.1.1'!$G$28*'Casualty data'!E89+'A4.1.1'!$G$29*'Casualty data'!E91)/'Casualty data'!E92</f>
        <v>53032.871773176441</v>
      </c>
      <c r="E33" s="1329"/>
      <c r="F33" s="1329"/>
      <c r="G33" s="1329"/>
      <c r="K33" s="252"/>
      <c r="M33" s="1340"/>
    </row>
    <row r="34" spans="1:13" ht="13.5" customHeight="1" thickTop="1">
      <c r="B34" s="1341"/>
      <c r="C34" s="1326"/>
      <c r="D34" s="1326"/>
      <c r="E34" s="1329"/>
      <c r="F34" s="1329"/>
      <c r="G34" s="1329"/>
      <c r="H34" s="1326"/>
      <c r="I34" s="1326"/>
      <c r="K34" s="252"/>
      <c r="M34" s="1340"/>
    </row>
    <row r="35" spans="1:13" ht="13.5" customHeight="1">
      <c r="B35" s="1326"/>
      <c r="C35" s="1326"/>
      <c r="D35" s="1326"/>
      <c r="E35" s="1329"/>
      <c r="F35" s="1329"/>
      <c r="G35" s="1329"/>
      <c r="H35" s="1329"/>
      <c r="I35" s="1326"/>
      <c r="K35" s="252"/>
      <c r="M35" s="1340"/>
    </row>
    <row r="36" spans="1:13" ht="13.5" customHeight="1">
      <c r="B36" s="1326"/>
      <c r="C36" s="1326"/>
      <c r="D36" s="1326"/>
      <c r="E36" s="1329"/>
      <c r="F36" s="1329"/>
      <c r="G36" s="1329"/>
      <c r="H36" s="252"/>
      <c r="I36" s="1340"/>
      <c r="K36" s="252"/>
      <c r="M36" s="1340"/>
    </row>
    <row r="37" spans="1:13" ht="13.5" customHeight="1">
      <c r="B37" s="1326"/>
      <c r="C37" s="1342"/>
      <c r="D37" s="1326"/>
      <c r="E37" s="1329"/>
      <c r="F37" s="1329"/>
      <c r="G37" s="1329"/>
      <c r="H37" s="1326"/>
      <c r="I37" s="1326"/>
      <c r="K37" s="252"/>
      <c r="M37" s="1340"/>
    </row>
    <row r="38" spans="1:13" ht="13.5" customHeight="1">
      <c r="B38" s="1326"/>
      <c r="C38" s="1326"/>
      <c r="D38" s="1326"/>
      <c r="E38" s="1326"/>
      <c r="F38" s="1326"/>
      <c r="G38" s="1342"/>
      <c r="H38" s="252"/>
      <c r="I38" s="1340"/>
      <c r="K38" s="252"/>
      <c r="M38" s="1340"/>
    </row>
    <row r="39" spans="1:13" ht="13.5" customHeight="1">
      <c r="B39" s="1326"/>
      <c r="C39" s="1326"/>
      <c r="D39" s="1326"/>
      <c r="E39" s="1326"/>
      <c r="F39" s="1326"/>
      <c r="G39" s="1326"/>
      <c r="H39" s="1326"/>
      <c r="I39" s="1326"/>
      <c r="K39" s="252"/>
      <c r="M39" s="1340"/>
    </row>
    <row r="40" spans="1:13" ht="13.5" customHeight="1">
      <c r="B40" s="1326"/>
      <c r="C40" s="1326"/>
      <c r="D40" s="1326"/>
      <c r="E40" s="1326"/>
      <c r="F40" s="1326"/>
      <c r="G40" s="1326"/>
      <c r="H40" s="1326"/>
      <c r="I40" s="1326"/>
      <c r="K40" s="252"/>
      <c r="M40" s="1340"/>
    </row>
    <row r="41" spans="1:13" ht="13.5" customHeight="1">
      <c r="B41" s="1326"/>
      <c r="C41" s="1326"/>
      <c r="D41" s="1326"/>
      <c r="E41" s="1326"/>
      <c r="F41" s="1326"/>
      <c r="G41" s="1326"/>
      <c r="H41" s="1326"/>
      <c r="I41" s="1326"/>
      <c r="K41" s="252"/>
      <c r="M41" s="1340"/>
    </row>
    <row r="42" spans="1:13" ht="13.5" customHeight="1">
      <c r="B42" s="1326"/>
      <c r="C42" s="1342"/>
      <c r="D42" s="1323"/>
      <c r="E42" s="1329"/>
      <c r="F42" s="1323"/>
      <c r="G42" s="1344"/>
      <c r="H42" s="1329"/>
      <c r="I42" s="1345"/>
      <c r="K42" s="252"/>
      <c r="M42" s="1340"/>
    </row>
    <row r="43" spans="1:13" ht="13.5" customHeight="1">
      <c r="B43" s="1326"/>
      <c r="C43" s="1326"/>
      <c r="D43" s="1326"/>
      <c r="E43" s="1329"/>
      <c r="F43" s="1326"/>
      <c r="G43" s="1344"/>
      <c r="H43" s="1326"/>
      <c r="I43" s="1326"/>
      <c r="K43" s="252"/>
      <c r="M43" s="1340"/>
    </row>
    <row r="44" spans="1:13" ht="13.5" customHeight="1">
      <c r="B44" s="1326"/>
      <c r="C44" s="1326"/>
      <c r="D44" s="1326"/>
      <c r="E44" s="1326"/>
      <c r="F44" s="1326"/>
      <c r="G44" s="1326"/>
      <c r="H44" s="1326"/>
      <c r="I44" s="1326"/>
      <c r="K44" s="252"/>
      <c r="M44" s="1340"/>
    </row>
    <row r="45" spans="1:13" ht="13.5" customHeight="1">
      <c r="B45" s="1326"/>
      <c r="C45" s="1326"/>
      <c r="D45" s="1326"/>
      <c r="E45" s="1326"/>
      <c r="F45" s="1326"/>
      <c r="G45" s="1326"/>
      <c r="H45" s="1326"/>
      <c r="I45" s="1326"/>
      <c r="K45" s="252"/>
      <c r="M45" s="1340"/>
    </row>
  </sheetData>
  <sheetProtection sheet="1" objects="1" scenarios="1"/>
  <mergeCells count="8">
    <mergeCell ref="A23:D23"/>
    <mergeCell ref="A12:B12"/>
    <mergeCell ref="A18:B18"/>
    <mergeCell ref="E6:S6"/>
    <mergeCell ref="A7:B7"/>
    <mergeCell ref="A8:B8"/>
    <mergeCell ref="A10:B10"/>
    <mergeCell ref="A11:B11"/>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008000"/>
    <pageSetUpPr fitToPage="1"/>
  </sheetPr>
  <dimension ref="A1:S37"/>
  <sheetViews>
    <sheetView showGridLines="0" topLeftCell="A13" zoomScale="85" zoomScaleNormal="85" workbookViewId="0">
      <selection activeCell="B15" sqref="B15"/>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row r="3" spans="1:19" s="300" customFormat="1" ht="20.100000000000001" customHeight="1">
      <c r="A3" s="300" t="s">
        <v>2286</v>
      </c>
      <c r="C3" s="83"/>
      <c r="D3" s="46"/>
      <c r="E3" s="83"/>
      <c r="F3" s="445"/>
    </row>
    <row r="4" spans="1:19" s="26" customFormat="1" ht="20.100000000000001" customHeight="1" thickBot="1">
      <c r="A4" s="529" t="s">
        <v>515</v>
      </c>
      <c r="B4" s="447"/>
      <c r="C4" s="447"/>
      <c r="D4" s="446"/>
      <c r="E4" s="446"/>
      <c r="F4" s="446"/>
      <c r="G4" s="446"/>
      <c r="H4" s="446"/>
      <c r="I4" s="446"/>
      <c r="J4" s="446"/>
      <c r="K4" s="446"/>
      <c r="L4" s="446"/>
      <c r="M4" s="446"/>
      <c r="N4" s="446"/>
      <c r="O4" s="446"/>
      <c r="P4" s="446"/>
      <c r="Q4" s="446"/>
      <c r="R4" s="446"/>
      <c r="S4" s="446"/>
    </row>
    <row r="5" spans="1:19" s="38" customFormat="1" ht="9.9" customHeight="1" thickTop="1" thickBot="1">
      <c r="A5" s="35"/>
      <c r="B5" s="321"/>
      <c r="C5" s="321"/>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E7" s="113" t="s">
        <v>1348</v>
      </c>
      <c r="F7" s="29"/>
      <c r="G7" s="26"/>
      <c r="H7" s="26"/>
      <c r="I7" s="26"/>
      <c r="J7" s="26"/>
      <c r="K7" s="26"/>
      <c r="L7" s="26"/>
      <c r="M7" s="26"/>
      <c r="N7" s="26"/>
      <c r="O7" s="26"/>
      <c r="P7" s="26"/>
      <c r="Q7" s="26"/>
      <c r="R7" s="26"/>
      <c r="S7" s="147"/>
    </row>
    <row r="8" spans="1:19" s="38" customFormat="1" ht="13.5" customHeight="1">
      <c r="A8" s="3630">
        <f>Audit!C12</f>
        <v>43586</v>
      </c>
      <c r="B8" s="3631"/>
      <c r="C8" s="321"/>
      <c r="D8" s="321"/>
      <c r="E8" s="113" t="s">
        <v>403</v>
      </c>
      <c r="F8" s="315"/>
      <c r="G8" s="26"/>
      <c r="H8" s="26"/>
      <c r="I8" s="26"/>
      <c r="J8" s="26"/>
      <c r="K8" s="26"/>
      <c r="L8" s="26"/>
      <c r="M8" s="26"/>
      <c r="N8" s="26"/>
      <c r="O8" s="26"/>
      <c r="P8" s="26"/>
      <c r="Q8" s="26"/>
      <c r="R8" s="26"/>
      <c r="S8" s="147"/>
    </row>
    <row r="9" spans="1:19" s="38" customFormat="1" ht="13.5" customHeight="1" thickBot="1">
      <c r="A9" s="172" t="s">
        <v>14</v>
      </c>
      <c r="B9" s="173"/>
      <c r="D9" s="321"/>
      <c r="E9" s="113" t="s">
        <v>1150</v>
      </c>
      <c r="F9" s="26"/>
      <c r="G9" s="26"/>
      <c r="H9" s="26"/>
      <c r="I9" s="26"/>
      <c r="J9" s="26"/>
      <c r="K9" s="26"/>
      <c r="L9" s="26"/>
      <c r="M9" s="26"/>
      <c r="N9" s="26"/>
      <c r="O9" s="26"/>
      <c r="P9" s="26"/>
      <c r="Q9" s="26"/>
      <c r="R9" s="26"/>
      <c r="S9" s="147"/>
    </row>
    <row r="10" spans="1:19" s="38" customFormat="1" ht="13.5" customHeight="1" thickBot="1">
      <c r="A10" s="3570" t="s">
        <v>1306</v>
      </c>
      <c r="B10" s="3610"/>
      <c r="D10" s="321"/>
      <c r="E10" s="1359" t="s">
        <v>1349</v>
      </c>
      <c r="F10" s="26"/>
      <c r="G10" s="26"/>
      <c r="H10" s="26"/>
      <c r="I10" s="26"/>
      <c r="J10" s="26"/>
      <c r="K10" s="26"/>
      <c r="L10" s="26"/>
      <c r="M10" s="26"/>
      <c r="N10" s="26"/>
      <c r="O10" s="26"/>
      <c r="P10" s="26"/>
      <c r="Q10" s="26"/>
      <c r="R10" s="26"/>
      <c r="S10" s="147"/>
    </row>
    <row r="11" spans="1:19" s="38" customFormat="1" ht="13.5" customHeight="1" thickBot="1">
      <c r="A11" s="3570" t="s">
        <v>2280</v>
      </c>
      <c r="B11" s="3581"/>
      <c r="D11" s="321"/>
      <c r="E11" s="113"/>
      <c r="F11" s="53"/>
      <c r="G11" s="53"/>
      <c r="H11" s="53"/>
      <c r="I11" s="53"/>
      <c r="J11" s="53"/>
      <c r="K11" s="53"/>
      <c r="L11" s="53"/>
      <c r="M11" s="53"/>
      <c r="N11" s="53"/>
      <c r="O11" s="53"/>
      <c r="P11" s="53"/>
      <c r="Q11" s="53"/>
      <c r="R11" s="53"/>
      <c r="S11" s="379"/>
    </row>
    <row r="12" spans="1:19" s="38" customFormat="1" ht="13.5" customHeight="1" thickBot="1">
      <c r="A12" s="3570" t="s">
        <v>2279</v>
      </c>
      <c r="B12" s="3581"/>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445" t="s">
        <v>799</v>
      </c>
      <c r="B14" s="2450">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441" t="s">
        <v>54</v>
      </c>
      <c r="B15" s="2450">
        <f>'User Parameters'!L19</f>
        <v>2010</v>
      </c>
      <c r="C15" s="321"/>
      <c r="D15" s="321"/>
      <c r="E15" s="113"/>
      <c r="F15" s="599"/>
      <c r="G15" s="26"/>
      <c r="H15" s="26"/>
      <c r="I15" s="26"/>
      <c r="J15" s="26"/>
      <c r="K15" s="26"/>
      <c r="L15" s="26"/>
      <c r="M15" s="26"/>
      <c r="N15" s="26"/>
      <c r="O15" s="26"/>
      <c r="P15" s="26"/>
      <c r="Q15" s="26"/>
      <c r="R15" s="26"/>
      <c r="S15" s="147"/>
    </row>
    <row r="16" spans="1:19" s="38" customFormat="1" ht="13.5" customHeight="1">
      <c r="A16" s="2440"/>
      <c r="B16" s="2463"/>
      <c r="C16" s="321"/>
      <c r="D16" s="412"/>
      <c r="G16" s="599"/>
      <c r="H16" s="26"/>
      <c r="I16" s="26"/>
      <c r="J16" s="26"/>
      <c r="K16" s="26"/>
      <c r="L16" s="26"/>
      <c r="M16" s="26"/>
      <c r="N16" s="26"/>
      <c r="O16" s="26"/>
      <c r="P16" s="26"/>
      <c r="Q16" s="26"/>
      <c r="R16" s="26"/>
      <c r="S16" s="147"/>
    </row>
    <row r="17" spans="1:19" s="38" customFormat="1" ht="13.5" customHeight="1">
      <c r="A17" s="169" t="s">
        <v>253</v>
      </c>
      <c r="B17" s="170"/>
      <c r="C17" s="321"/>
      <c r="D17" s="412"/>
      <c r="E17" s="599"/>
      <c r="F17" s="599"/>
      <c r="G17" s="599"/>
      <c r="H17" s="26"/>
      <c r="I17" s="26"/>
      <c r="J17" s="26"/>
      <c r="K17" s="26"/>
      <c r="L17" s="26"/>
      <c r="M17" s="26"/>
      <c r="N17" s="26"/>
      <c r="O17" s="26"/>
      <c r="P17" s="26"/>
      <c r="Q17" s="26"/>
      <c r="R17" s="26"/>
      <c r="S17" s="147"/>
    </row>
    <row r="18" spans="1:19" s="38" customFormat="1" ht="13.5" customHeight="1">
      <c r="A18" s="3653"/>
      <c r="B18" s="3653"/>
      <c r="C18" s="321"/>
      <c r="D18" s="412"/>
      <c r="E18" s="599"/>
      <c r="F18" s="599"/>
      <c r="G18" s="599"/>
      <c r="H18" s="26"/>
      <c r="I18" s="26"/>
      <c r="J18" s="26"/>
      <c r="K18" s="26"/>
      <c r="L18" s="26"/>
      <c r="M18" s="26"/>
      <c r="N18" s="26"/>
      <c r="O18" s="26"/>
      <c r="P18" s="26"/>
      <c r="Q18" s="26"/>
      <c r="R18" s="26"/>
      <c r="S18" s="147"/>
    </row>
    <row r="19" spans="1:19" s="38" customFormat="1" ht="13.5" customHeight="1">
      <c r="A19" s="3653"/>
      <c r="B19" s="3653"/>
      <c r="C19" s="321"/>
      <c r="D19" s="412"/>
      <c r="E19" s="599" t="s">
        <v>2372</v>
      </c>
      <c r="F19" s="599"/>
      <c r="G19" s="599"/>
      <c r="H19" s="26"/>
      <c r="I19" s="26"/>
      <c r="J19" s="26"/>
      <c r="K19" s="26"/>
      <c r="L19" s="26"/>
      <c r="M19" s="26"/>
      <c r="N19" s="26"/>
      <c r="O19" s="26"/>
      <c r="P19" s="26"/>
      <c r="Q19" s="26"/>
      <c r="R19" s="26"/>
      <c r="S19" s="147"/>
    </row>
    <row r="20" spans="1:19" s="38" customFormat="1" ht="13.5" customHeight="1" thickBot="1">
      <c r="A20" s="3653"/>
      <c r="B20" s="3653"/>
      <c r="C20" s="321"/>
      <c r="D20" s="412"/>
      <c r="E20" s="381" t="s">
        <v>2287</v>
      </c>
      <c r="F20" s="163"/>
      <c r="G20" s="163"/>
      <c r="H20" s="163"/>
      <c r="I20" s="163"/>
      <c r="J20" s="163"/>
      <c r="K20" s="163"/>
      <c r="L20" s="163"/>
      <c r="M20" s="163"/>
      <c r="N20" s="163"/>
      <c r="O20" s="163"/>
      <c r="P20" s="163"/>
      <c r="Q20" s="163"/>
      <c r="R20" s="163"/>
      <c r="S20" s="382"/>
    </row>
    <row r="21" spans="1:19" s="38" customFormat="1" ht="13.5" customHeight="1" thickTop="1">
      <c r="A21" s="2420"/>
      <c r="B21" s="2421"/>
      <c r="C21" s="321"/>
      <c r="D21" s="32"/>
    </row>
    <row r="22" spans="1:19" s="38" customFormat="1" ht="13.5" customHeight="1" thickBot="1"/>
    <row r="23" spans="1:19" s="38" customFormat="1" ht="13.5" customHeight="1" thickTop="1" thickBot="1">
      <c r="A23" s="122" t="str">
        <f>CONCATENATE("Table A 4.1.3: Average value of prevention of road accidents by severity and element of cost, £ (",B14," prices &amp; ",B15," values)")</f>
        <v>Table A 4.1.3: Average value of prevention of road accidents by severity and element of cost, £ (2010 prices &amp; 2010 values)</v>
      </c>
      <c r="B23" s="362"/>
      <c r="C23" s="362"/>
      <c r="D23" s="362"/>
      <c r="E23" s="362"/>
      <c r="F23" s="362"/>
      <c r="G23" s="362"/>
      <c r="H23" s="362"/>
      <c r="I23" s="362"/>
      <c r="J23" s="378"/>
      <c r="K23" s="722"/>
    </row>
    <row r="24" spans="1:19" s="38" customFormat="1" ht="13.5" customHeight="1" thickTop="1" thickBot="1">
      <c r="A24" s="99"/>
      <c r="B24" s="100"/>
      <c r="C24" s="438"/>
      <c r="D24" s="3647" t="s">
        <v>1065</v>
      </c>
      <c r="E24" s="3659"/>
      <c r="F24" s="3660"/>
      <c r="G24" s="632" t="s">
        <v>1066</v>
      </c>
      <c r="H24" s="632"/>
      <c r="I24" s="633"/>
      <c r="J24" s="710"/>
      <c r="K24" s="723"/>
    </row>
    <row r="25" spans="1:19" s="38" customFormat="1" ht="13.5" customHeight="1" thickTop="1">
      <c r="A25" s="809" t="s">
        <v>172</v>
      </c>
      <c r="B25" s="173"/>
      <c r="C25" s="293"/>
      <c r="D25" s="3776" t="s">
        <v>780</v>
      </c>
      <c r="E25" s="3778" t="s">
        <v>781</v>
      </c>
      <c r="F25" s="811" t="s">
        <v>517</v>
      </c>
      <c r="G25" s="499" t="s">
        <v>1067</v>
      </c>
      <c r="H25" s="810" t="s">
        <v>518</v>
      </c>
      <c r="I25" s="811" t="s">
        <v>800</v>
      </c>
      <c r="J25" s="812" t="s">
        <v>1068</v>
      </c>
      <c r="K25" s="427"/>
      <c r="L25" s="427"/>
      <c r="M25" s="427"/>
    </row>
    <row r="26" spans="1:19" s="38" customFormat="1" ht="13.5" customHeight="1" thickBot="1">
      <c r="A26" s="464"/>
      <c r="B26" s="465"/>
      <c r="C26" s="439"/>
      <c r="D26" s="3777"/>
      <c r="E26" s="3779"/>
      <c r="F26" s="504" t="s">
        <v>516</v>
      </c>
      <c r="G26" s="503"/>
      <c r="H26" s="503" t="s">
        <v>519</v>
      </c>
      <c r="I26" s="504" t="s">
        <v>520</v>
      </c>
      <c r="J26" s="392"/>
      <c r="K26" s="427"/>
      <c r="L26" s="427"/>
      <c r="M26" s="427"/>
    </row>
    <row r="27" spans="1:19" s="38" customFormat="1" ht="13.5" customHeight="1" thickTop="1">
      <c r="A27" s="113" t="s">
        <v>782</v>
      </c>
      <c r="B27" s="26"/>
      <c r="C27" s="147"/>
      <c r="D27" s="1941">
        <f>SUMPRODUCT('Casualty data'!$D$44:$D$46,'A4.1.1'!D$27:D$29) / 'Accident data'!$R$26</f>
        <v>578358.82670857338</v>
      </c>
      <c r="E27" s="1942">
        <f>SUMPRODUCT('Casualty data'!$D$44:$D$46,'A4.1.1'!E$27:E$29) / 'Accident data'!$R$26</f>
        <v>1134938.5228304705</v>
      </c>
      <c r="F27" s="1913">
        <f>SUMPRODUCT('Casualty data'!$D$44:$D$46,'A4.1.1'!F$27:F$29) / 'Accident data'!$R$26</f>
        <v>4918.2672133295564</v>
      </c>
      <c r="G27" s="1941">
        <f>SUMPRODUCT('Accident costs'!G36:I36,'Accident data'!M26:O26)/'Accident data'!R26</f>
        <v>16973.21519906534</v>
      </c>
      <c r="H27" s="1942">
        <f>SUMPRODUCT('Accident costs'!D36:F36,'Accident data'!M26:O26)/'Accident data'!R26</f>
        <v>10404.962213132147</v>
      </c>
      <c r="I27" s="1913">
        <f>'Accident costs'!J36</f>
        <v>285.15323023375936</v>
      </c>
      <c r="J27" s="725">
        <f>SUM(D27:I27)</f>
        <v>1745878.9473948048</v>
      </c>
      <c r="K27" s="726"/>
      <c r="L27" s="726"/>
      <c r="M27" s="726"/>
    </row>
    <row r="28" spans="1:19" s="38" customFormat="1" ht="13.5" customHeight="1">
      <c r="A28" s="113" t="s">
        <v>783</v>
      </c>
      <c r="B28" s="26"/>
      <c r="C28" s="147"/>
      <c r="D28" s="1943">
        <f>SUMPRODUCT('Casualty data'!$E$44:$E$46,'A4.1.1'!D$27:D$29) / 'Accident data'!$R$27</f>
        <v>22893.225608540524</v>
      </c>
      <c r="E28" s="724">
        <f>SUMPRODUCT('Casualty data'!$E$44:$E$46,'A4.1.1'!E$27:E$29) / 'Accident data'!$R$27</f>
        <v>156088.93597663016</v>
      </c>
      <c r="F28" s="725">
        <f>SUMPRODUCT('Casualty data'!$E$44:$E$46,'A4.1.1'!F$27:F$29) / 'Accident data'!$R$27</f>
        <v>13749.593922697964</v>
      </c>
      <c r="G28" s="1943">
        <f>SUMPRODUCT('Accident costs'!G37:I37,'Accident data'!M27:O27)/'Accident data'!R27</f>
        <v>1978.4571218921601</v>
      </c>
      <c r="H28" s="724">
        <f>SUMPRODUCT('Accident costs'!D37:F37,'Accident data'!M27:O27)/'Accident data'!R27</f>
        <v>4698.2540012347881</v>
      </c>
      <c r="I28" s="725">
        <f>'Accident costs'!J37</f>
        <v>177.40449056527777</v>
      </c>
      <c r="J28" s="725">
        <f>SUM(D28:I28)</f>
        <v>199585.87112156086</v>
      </c>
      <c r="K28" s="726"/>
      <c r="L28" s="726"/>
      <c r="M28" s="726"/>
    </row>
    <row r="29" spans="1:19" s="38" customFormat="1" ht="13.5" customHeight="1">
      <c r="A29" s="490" t="s">
        <v>784</v>
      </c>
      <c r="B29" s="597"/>
      <c r="C29" s="510"/>
      <c r="D29" s="729">
        <f>SUMPRODUCT('Casualty data'!$F$44:$F$46,'A4.1.1'!D$27:D$29) / 'Accident data'!$R$28</f>
        <v>2818.2853540679639</v>
      </c>
      <c r="E29" s="727">
        <f>SUMPRODUCT('Casualty data'!$F$44:$F$46,'A4.1.1'!E$27:E$29) / 'Accident data'!$R$28</f>
        <v>13428.798397947654</v>
      </c>
      <c r="F29" s="728">
        <f>SUMPRODUCT('Casualty data'!$F$44:$F$46,'A4.1.1'!F$27:F$29) / 'Accident data'!$R$28</f>
        <v>1195.5507655075705</v>
      </c>
      <c r="G29" s="1943">
        <f>SUMPRODUCT('Accident costs'!G38:I38,'Accident data'!M28:O28)/'Accident data'!R28</f>
        <v>511.93246512284969</v>
      </c>
      <c r="H29" s="724">
        <f>SUMPRODUCT('Accident costs'!D38:F38,'Accident data'!M28:O28)/'Accident data'!R28</f>
        <v>2788.5657773438525</v>
      </c>
      <c r="I29" s="725">
        <f>'Accident costs'!J38</f>
        <v>107.74873966848159</v>
      </c>
      <c r="J29" s="728">
        <f>SUM(D29:I29)</f>
        <v>20850.881499658368</v>
      </c>
      <c r="K29" s="726"/>
      <c r="L29" s="726"/>
      <c r="M29" s="726"/>
    </row>
    <row r="30" spans="1:19" s="573" customFormat="1" ht="13.5" customHeight="1">
      <c r="A30" s="113" t="s">
        <v>1069</v>
      </c>
      <c r="B30" s="53"/>
      <c r="C30" s="379"/>
      <c r="D30" s="1943">
        <f>SUMPRODUCT(D27:D29,'Accident data'!$R$26:$R$28) / SUM('Accident data'!$R$26:$R$28)</f>
        <v>13719.895366263303</v>
      </c>
      <c r="E30" s="724">
        <f>SUMPRODUCT(E27:E29,'Accident data'!$R$26:$R$28) / SUM('Accident data'!$R$26:$R$28)</f>
        <v>52624.251828828965</v>
      </c>
      <c r="F30" s="725">
        <f>SUMPRODUCT(F27:F29,'Accident data'!$R$26:$R$28) / SUM('Accident data'!$R$26:$R$28)</f>
        <v>3420.2072109173869</v>
      </c>
      <c r="G30" s="1949">
        <f>SUMPRODUCT(G27:G29,'Accident data'!$R$26:$R$28) / SUM('Accident data'!$R$26:$R$28)</f>
        <v>978.45277571259589</v>
      </c>
      <c r="H30" s="1950">
        <f>SUMPRODUCT(H27:H29,'Accident data'!$R$26:$R$28) / SUM('Accident data'!$R$26:$R$28)</f>
        <v>3217.8780306074173</v>
      </c>
      <c r="I30" s="1914">
        <f>SUMPRODUCT(I27:I29,'Accident data'!$R$26:$R$28) / SUM('Accident data'!$R$26:$R$28)</f>
        <v>122.11328902954527</v>
      </c>
      <c r="J30" s="725">
        <f>SUM(D30:I30)</f>
        <v>74082.798501359212</v>
      </c>
      <c r="K30" s="730"/>
      <c r="L30" s="730"/>
      <c r="M30" s="730"/>
    </row>
    <row r="31" spans="1:19" s="38" customFormat="1" ht="13.5" customHeight="1" thickBot="1">
      <c r="A31" s="381" t="s">
        <v>1070</v>
      </c>
      <c r="B31" s="13"/>
      <c r="C31" s="168"/>
      <c r="D31" s="1944">
        <v>0</v>
      </c>
      <c r="E31" s="731">
        <v>0</v>
      </c>
      <c r="F31" s="732">
        <v>0</v>
      </c>
      <c r="G31" s="1944">
        <f>SUMPRODUCT('Accident costs'!G39:I39,'Accident data'!M29:O29)/'Accident data'!R29</f>
        <v>33.305622519790553</v>
      </c>
      <c r="H31" s="731">
        <f>SUMPRODUCT('Accident costs'!D39:F39,'Accident data'!M29:O29)/'Accident data'!R29</f>
        <v>1776.6922309533004</v>
      </c>
      <c r="I31" s="732">
        <f>'Accident costs'!J39</f>
        <v>51.153442064834699</v>
      </c>
      <c r="J31" s="732">
        <f>SUM(D31:I31)</f>
        <v>1861.1512955379258</v>
      </c>
      <c r="K31" s="726"/>
      <c r="L31" s="726"/>
      <c r="M31" s="726"/>
    </row>
    <row r="32" spans="1:19" s="38" customFormat="1" ht="13.5" customHeight="1" thickTop="1"/>
    <row r="33" spans="4:10" ht="13.5" customHeight="1">
      <c r="D33" s="2395"/>
      <c r="E33" s="2395"/>
      <c r="F33" s="2395"/>
      <c r="G33" s="2395"/>
      <c r="H33" s="2395"/>
      <c r="I33" s="2395"/>
      <c r="J33" s="2395"/>
    </row>
    <row r="34" spans="4:10" ht="13.5" customHeight="1">
      <c r="D34" s="2395"/>
      <c r="E34" s="2395"/>
      <c r="F34" s="2395"/>
      <c r="G34" s="2395"/>
      <c r="H34" s="2395"/>
      <c r="I34" s="2395"/>
      <c r="J34" s="2395"/>
    </row>
    <row r="35" spans="4:10" ht="13.5" customHeight="1">
      <c r="D35" s="2395"/>
      <c r="E35" s="2395"/>
      <c r="F35" s="2395"/>
      <c r="G35" s="2395"/>
      <c r="H35" s="2395"/>
      <c r="I35" s="2395"/>
      <c r="J35" s="2395"/>
    </row>
    <row r="36" spans="4:10" ht="13.5" customHeight="1">
      <c r="D36" s="2395"/>
      <c r="E36" s="2395"/>
      <c r="F36" s="2395"/>
      <c r="G36" s="2395"/>
      <c r="H36" s="2395"/>
      <c r="I36" s="2395"/>
      <c r="J36" s="2395"/>
    </row>
    <row r="37" spans="4:10" ht="13.5" customHeight="1">
      <c r="D37" s="2395"/>
      <c r="E37" s="2395"/>
      <c r="F37" s="2395"/>
      <c r="G37" s="2395"/>
      <c r="H37" s="2395"/>
      <c r="I37" s="2395"/>
      <c r="J37" s="733"/>
    </row>
  </sheetData>
  <sheetProtection sheet="1" objects="1" scenarios="1"/>
  <mergeCells count="12">
    <mergeCell ref="A11:B11"/>
    <mergeCell ref="A12:B12"/>
    <mergeCell ref="D25:D26"/>
    <mergeCell ref="A20:B20"/>
    <mergeCell ref="E6:S6"/>
    <mergeCell ref="A7:B7"/>
    <mergeCell ref="A8:B8"/>
    <mergeCell ref="D24:F24"/>
    <mergeCell ref="E25:E26"/>
    <mergeCell ref="A18:B18"/>
    <mergeCell ref="A19:B19"/>
    <mergeCell ref="A10:B10"/>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indexed="10"/>
  </sheetPr>
  <dimension ref="A1:T67"/>
  <sheetViews>
    <sheetView showGridLines="0" zoomScale="85" zoomScaleNormal="85" workbookViewId="0">
      <selection activeCell="E23" sqref="E23:F23"/>
    </sheetView>
  </sheetViews>
  <sheetFormatPr defaultColWidth="12.88671875" defaultRowHeight="13.5" customHeight="1"/>
  <cols>
    <col min="1" max="16384" width="12.88671875" style="38"/>
  </cols>
  <sheetData>
    <row r="1" spans="1:20" ht="54.9" customHeight="1">
      <c r="A1" s="28"/>
    </row>
    <row r="2" spans="1:20" s="300" customFormat="1" ht="5.0999999999999996" customHeight="1">
      <c r="D2" s="83"/>
    </row>
    <row r="3" spans="1:20" s="300" customFormat="1" ht="20.100000000000001" customHeight="1">
      <c r="A3" s="426" t="s">
        <v>2279</v>
      </c>
      <c r="C3" s="46"/>
      <c r="D3" s="83"/>
    </row>
    <row r="4" spans="1:20" s="26" customFormat="1" ht="20.100000000000001" customHeight="1" thickBot="1">
      <c r="A4" s="109" t="s">
        <v>1249</v>
      </c>
      <c r="B4" s="446"/>
      <c r="C4" s="446"/>
      <c r="D4" s="446"/>
      <c r="E4" s="446"/>
      <c r="F4" s="446"/>
      <c r="G4" s="446"/>
      <c r="H4" s="446"/>
      <c r="I4" s="446"/>
      <c r="J4" s="446"/>
      <c r="K4" s="446"/>
      <c r="L4" s="446"/>
      <c r="M4" s="446"/>
      <c r="N4" s="446"/>
      <c r="O4" s="446"/>
      <c r="P4" s="446"/>
      <c r="Q4" s="446"/>
      <c r="R4" s="446"/>
      <c r="S4" s="446"/>
    </row>
    <row r="5" spans="1:20" ht="9.9" customHeight="1" thickTop="1" thickBot="1">
      <c r="A5" s="511"/>
    </row>
    <row r="6" spans="1:20" ht="13.5" customHeight="1" thickTop="1">
      <c r="A6" s="169" t="s">
        <v>10</v>
      </c>
      <c r="B6" s="169"/>
      <c r="E6" s="3626" t="s">
        <v>255</v>
      </c>
      <c r="F6" s="3649"/>
      <c r="G6" s="3649"/>
      <c r="H6" s="3649"/>
      <c r="I6" s="3649"/>
      <c r="J6" s="3649"/>
      <c r="K6" s="3649"/>
      <c r="L6" s="3649"/>
      <c r="M6" s="3649"/>
      <c r="N6" s="3649"/>
      <c r="O6" s="3649"/>
      <c r="P6" s="3649"/>
      <c r="Q6" s="3649"/>
      <c r="R6" s="3649"/>
      <c r="S6" s="3650"/>
    </row>
    <row r="7" spans="1:20" ht="13.5" customHeight="1">
      <c r="A7" s="3644" t="str">
        <f>Audit!A12</f>
        <v>May 2019 v1.12</v>
      </c>
      <c r="B7" s="3651"/>
      <c r="D7" s="147"/>
      <c r="E7" s="29" t="s">
        <v>778</v>
      </c>
      <c r="F7" s="29"/>
      <c r="G7" s="26"/>
      <c r="H7" s="26"/>
      <c r="I7" s="236"/>
      <c r="J7" s="26"/>
      <c r="K7" s="26"/>
      <c r="L7" s="26"/>
      <c r="M7" s="26"/>
      <c r="N7" s="26"/>
      <c r="O7" s="26"/>
      <c r="P7" s="26"/>
      <c r="Q7" s="26"/>
      <c r="R7" s="26"/>
      <c r="S7" s="147"/>
    </row>
    <row r="8" spans="1:20" ht="13.5" customHeight="1">
      <c r="A8" s="3646">
        <f>Audit!C12</f>
        <v>43586</v>
      </c>
      <c r="B8" s="3651"/>
      <c r="C8" s="321"/>
      <c r="D8" s="412"/>
      <c r="E8" s="3086" t="s">
        <v>1851</v>
      </c>
      <c r="F8" s="2619" t="s">
        <v>1887</v>
      </c>
      <c r="H8" s="1254" t="s">
        <v>1888</v>
      </c>
      <c r="I8" s="2619" t="s">
        <v>2135</v>
      </c>
      <c r="S8" s="147"/>
    </row>
    <row r="9" spans="1:20" ht="13.5" customHeight="1" thickBot="1">
      <c r="A9" s="172" t="s">
        <v>14</v>
      </c>
      <c r="B9" s="173"/>
      <c r="D9" s="412"/>
      <c r="E9" s="3086" t="s">
        <v>1853</v>
      </c>
      <c r="F9" s="2619" t="s">
        <v>1889</v>
      </c>
      <c r="H9" s="1254" t="s">
        <v>1890</v>
      </c>
      <c r="S9" s="147"/>
    </row>
    <row r="10" spans="1:20" ht="13.5" customHeight="1" thickBot="1">
      <c r="A10" s="3611" t="s">
        <v>1306</v>
      </c>
      <c r="B10" s="3612"/>
      <c r="D10" s="412"/>
      <c r="E10" s="1254"/>
      <c r="F10" s="315"/>
      <c r="G10" s="26"/>
      <c r="H10" s="26"/>
      <c r="I10" s="26"/>
      <c r="J10" s="26"/>
      <c r="K10" s="26"/>
      <c r="L10" s="26"/>
      <c r="M10" s="26"/>
      <c r="N10" s="26"/>
      <c r="O10" s="26"/>
      <c r="P10" s="26"/>
      <c r="Q10" s="26"/>
      <c r="R10" s="26"/>
      <c r="S10" s="147"/>
    </row>
    <row r="11" spans="1:20" ht="13.5" customHeight="1" thickBot="1">
      <c r="A11" s="3611" t="s">
        <v>2280</v>
      </c>
      <c r="B11" s="3639"/>
      <c r="D11" s="412"/>
      <c r="E11" s="28" t="s">
        <v>294</v>
      </c>
      <c r="F11" s="26"/>
      <c r="G11" s="26"/>
      <c r="H11" s="26"/>
      <c r="I11" s="26"/>
      <c r="J11" s="26"/>
      <c r="K11" s="315"/>
      <c r="L11" s="26"/>
      <c r="M11" s="26"/>
      <c r="N11" s="26"/>
      <c r="O11" s="26"/>
      <c r="P11" s="26"/>
      <c r="Q11" s="26"/>
      <c r="R11" s="26"/>
      <c r="S11" s="147"/>
    </row>
    <row r="12" spans="1:20" ht="13.5" customHeight="1" thickBot="1">
      <c r="A12" s="3611" t="s">
        <v>2279</v>
      </c>
      <c r="B12" s="3639"/>
      <c r="D12" s="412"/>
      <c r="E12" s="3086" t="s">
        <v>1851</v>
      </c>
      <c r="F12" s="2619" t="s">
        <v>1154</v>
      </c>
      <c r="G12" s="3084"/>
      <c r="H12" s="3084"/>
      <c r="I12" s="3084"/>
      <c r="J12" s="3084"/>
      <c r="K12" s="3084"/>
      <c r="L12" s="3084"/>
      <c r="M12" s="3084"/>
      <c r="N12" s="3084"/>
      <c r="O12" s="3084"/>
      <c r="P12" s="3084"/>
      <c r="Q12" s="3084"/>
      <c r="R12" s="3084"/>
      <c r="S12" s="2952"/>
    </row>
    <row r="13" spans="1:20" ht="13.5" customHeight="1">
      <c r="A13" s="172" t="s">
        <v>252</v>
      </c>
      <c r="B13" s="194"/>
      <c r="C13" s="321"/>
      <c r="D13" s="412"/>
      <c r="E13" s="2619"/>
      <c r="F13" s="3084"/>
      <c r="G13" s="3084"/>
      <c r="H13" s="3084"/>
      <c r="I13" s="3084"/>
      <c r="J13" s="3084"/>
      <c r="K13" s="3084"/>
      <c r="L13" s="3084"/>
      <c r="M13" s="3084"/>
      <c r="N13" s="3084"/>
      <c r="O13" s="3084"/>
      <c r="P13" s="3084"/>
      <c r="Q13" s="3084"/>
      <c r="R13" s="3084"/>
      <c r="S13" s="2952"/>
      <c r="T13" s="26"/>
    </row>
    <row r="14" spans="1:20" ht="13.5" customHeight="1" thickBot="1">
      <c r="A14" s="26"/>
      <c r="B14" s="316"/>
      <c r="C14" s="321"/>
      <c r="D14" s="412"/>
      <c r="E14" s="113" t="s">
        <v>904</v>
      </c>
      <c r="F14" s="29"/>
      <c r="G14" s="29"/>
      <c r="H14" s="29"/>
      <c r="I14" s="29"/>
      <c r="J14" s="29"/>
      <c r="K14" s="29"/>
      <c r="L14" s="29"/>
      <c r="M14" s="29"/>
      <c r="N14" s="29"/>
      <c r="O14" s="29"/>
      <c r="P14" s="29"/>
      <c r="Q14" s="29"/>
      <c r="R14" s="29"/>
      <c r="S14" s="382"/>
      <c r="T14" s="26"/>
    </row>
    <row r="15" spans="1:20" ht="13.5" customHeight="1" thickTop="1">
      <c r="A15" s="56"/>
      <c r="B15" s="32"/>
      <c r="C15" s="321"/>
      <c r="D15" s="72"/>
      <c r="E15" s="348"/>
      <c r="F15" s="348"/>
      <c r="G15" s="348"/>
      <c r="H15" s="348"/>
      <c r="I15" s="348"/>
      <c r="J15" s="348"/>
      <c r="K15" s="348"/>
      <c r="L15" s="348"/>
      <c r="M15" s="348"/>
      <c r="N15" s="348"/>
      <c r="O15" s="348"/>
      <c r="P15" s="348"/>
      <c r="Q15" s="348"/>
      <c r="R15" s="348"/>
      <c r="S15" s="348"/>
      <c r="T15" s="26"/>
    </row>
    <row r="16" spans="1:20" ht="13.5" customHeight="1">
      <c r="A16" s="38" t="s">
        <v>370</v>
      </c>
      <c r="B16" s="1221">
        <v>2017</v>
      </c>
      <c r="C16" s="321"/>
      <c r="D16" s="72"/>
      <c r="E16" s="26"/>
      <c r="F16" s="26"/>
      <c r="G16" s="26"/>
      <c r="H16" s="26"/>
      <c r="I16" s="26"/>
      <c r="J16" s="26"/>
      <c r="K16" s="26"/>
      <c r="L16" s="26"/>
      <c r="M16" s="26"/>
      <c r="N16" s="26"/>
      <c r="O16" s="26"/>
      <c r="P16" s="26"/>
      <c r="Q16" s="26"/>
      <c r="R16" s="26"/>
      <c r="S16" s="26"/>
      <c r="T16" s="26"/>
    </row>
    <row r="17" spans="1:20" ht="13.5" customHeight="1">
      <c r="A17" s="169" t="s">
        <v>253</v>
      </c>
      <c r="B17" s="170"/>
      <c r="C17" s="321"/>
      <c r="D17" s="72"/>
      <c r="E17" s="43"/>
      <c r="F17" s="26"/>
      <c r="G17" s="26"/>
      <c r="H17" s="26"/>
      <c r="I17" s="26"/>
      <c r="J17" s="26"/>
      <c r="K17" s="26"/>
      <c r="L17" s="26"/>
      <c r="M17" s="26"/>
      <c r="N17" s="26"/>
      <c r="O17" s="26"/>
      <c r="P17" s="26"/>
      <c r="Q17" s="26"/>
      <c r="R17" s="26"/>
      <c r="S17" s="26"/>
      <c r="T17" s="26"/>
    </row>
    <row r="18" spans="1:20" ht="13.5" customHeight="1">
      <c r="A18" s="3615"/>
      <c r="B18" s="3615"/>
      <c r="C18" s="321"/>
      <c r="D18" s="72"/>
      <c r="E18" s="26"/>
      <c r="F18" s="26"/>
      <c r="G18" s="26"/>
      <c r="H18" s="26"/>
      <c r="I18" s="26"/>
      <c r="J18" s="26"/>
      <c r="K18" s="26"/>
      <c r="L18" s="26"/>
      <c r="M18" s="26"/>
      <c r="N18" s="26"/>
      <c r="O18" s="26"/>
      <c r="P18" s="26"/>
      <c r="Q18" s="26"/>
      <c r="R18" s="26"/>
      <c r="S18" s="26"/>
      <c r="T18" s="26"/>
    </row>
    <row r="19" spans="1:20" ht="13.5" customHeight="1">
      <c r="A19" s="3615"/>
      <c r="B19" s="3615"/>
      <c r="C19" s="321"/>
      <c r="D19" s="72"/>
      <c r="E19" s="26"/>
      <c r="F19" s="26"/>
      <c r="G19" s="26"/>
      <c r="H19" s="26"/>
      <c r="I19" s="26"/>
      <c r="J19" s="26"/>
      <c r="K19" s="26"/>
      <c r="L19" s="26"/>
      <c r="M19" s="26"/>
      <c r="N19" s="26"/>
      <c r="O19" s="26"/>
      <c r="P19" s="26"/>
      <c r="Q19" s="26"/>
      <c r="R19" s="26"/>
      <c r="S19" s="26"/>
      <c r="T19" s="26"/>
    </row>
    <row r="20" spans="1:20" ht="13.5" customHeight="1">
      <c r="A20" s="3615"/>
      <c r="B20" s="3615"/>
      <c r="C20" s="321"/>
      <c r="D20" s="72"/>
      <c r="E20" s="26"/>
      <c r="F20" s="26"/>
      <c r="G20" s="26"/>
      <c r="H20" s="26"/>
      <c r="I20" s="26"/>
      <c r="J20" s="26"/>
      <c r="K20" s="26"/>
      <c r="L20" s="26"/>
      <c r="M20" s="26"/>
      <c r="N20" s="26"/>
      <c r="O20" s="26"/>
      <c r="P20" s="26"/>
      <c r="Q20" s="26"/>
      <c r="R20" s="26"/>
      <c r="S20" s="26"/>
      <c r="T20" s="26"/>
    </row>
    <row r="21" spans="1:20" ht="13.5" customHeight="1">
      <c r="E21" s="26"/>
      <c r="F21" s="26"/>
      <c r="G21" s="26"/>
      <c r="H21" s="26"/>
      <c r="I21" s="26"/>
      <c r="J21" s="26"/>
      <c r="K21" s="26"/>
      <c r="L21" s="26"/>
      <c r="M21" s="26"/>
      <c r="N21" s="26"/>
      <c r="O21" s="26"/>
      <c r="P21" s="26"/>
      <c r="Q21" s="26"/>
      <c r="R21" s="26"/>
      <c r="S21" s="26"/>
      <c r="T21" s="26"/>
    </row>
    <row r="22" spans="1:20" ht="13.5" customHeight="1" thickBot="1"/>
    <row r="23" spans="1:20" ht="13.5" customHeight="1" thickTop="1" thickBot="1">
      <c r="A23" s="122" t="str">
        <f>CONCATENATE("Reported accidents by daylight / darkness, road type and severity, ",B16)</f>
        <v>Reported accidents by daylight / darkness, road type and severity, 2017</v>
      </c>
      <c r="B23" s="362"/>
      <c r="C23" s="362"/>
      <c r="D23" s="362"/>
      <c r="E23" s="362"/>
      <c r="F23" s="362"/>
      <c r="G23" s="362"/>
      <c r="H23" s="362"/>
      <c r="I23" s="362"/>
      <c r="J23" s="362"/>
      <c r="K23" s="362"/>
      <c r="L23" s="362"/>
      <c r="M23" s="362"/>
      <c r="N23" s="362"/>
      <c r="O23" s="378"/>
      <c r="P23" s="362"/>
      <c r="Q23" s="362"/>
      <c r="R23" s="378"/>
    </row>
    <row r="24" spans="1:20" s="535" customFormat="1" ht="13.5" customHeight="1" thickTop="1">
      <c r="A24" s="3780" t="s">
        <v>172</v>
      </c>
      <c r="B24" s="194"/>
      <c r="C24" s="772"/>
      <c r="D24" s="281" t="s">
        <v>1059</v>
      </c>
      <c r="E24" s="281"/>
      <c r="F24" s="282"/>
      <c r="G24" s="281" t="s">
        <v>1060</v>
      </c>
      <c r="H24" s="281"/>
      <c r="I24" s="282"/>
      <c r="J24" s="281" t="s">
        <v>1058</v>
      </c>
      <c r="K24" s="281"/>
      <c r="L24" s="282"/>
      <c r="M24" s="281"/>
      <c r="N24" s="105" t="s">
        <v>759</v>
      </c>
      <c r="O24" s="282"/>
      <c r="P24" s="281" t="s">
        <v>1061</v>
      </c>
      <c r="Q24" s="281"/>
      <c r="R24" s="282"/>
    </row>
    <row r="25" spans="1:20" ht="13.5" customHeight="1" thickBot="1">
      <c r="A25" s="3781"/>
      <c r="B25" s="173"/>
      <c r="C25" s="293"/>
      <c r="D25" s="1049" t="s">
        <v>1062</v>
      </c>
      <c r="E25" s="1050" t="s">
        <v>1063</v>
      </c>
      <c r="F25" s="1051" t="s">
        <v>1449</v>
      </c>
      <c r="G25" s="1049" t="s">
        <v>1062</v>
      </c>
      <c r="H25" s="1050" t="s">
        <v>1063</v>
      </c>
      <c r="I25" s="1051" t="s">
        <v>1449</v>
      </c>
      <c r="J25" s="1049" t="s">
        <v>1062</v>
      </c>
      <c r="K25" s="1050" t="s">
        <v>1063</v>
      </c>
      <c r="L25" s="1051" t="s">
        <v>1449</v>
      </c>
      <c r="M25" s="1049" t="s">
        <v>758</v>
      </c>
      <c r="N25" s="1050" t="s">
        <v>415</v>
      </c>
      <c r="O25" s="1051" t="s">
        <v>787</v>
      </c>
      <c r="P25" s="1049" t="s">
        <v>1062</v>
      </c>
      <c r="Q25" s="1050" t="s">
        <v>1063</v>
      </c>
      <c r="R25" s="1051" t="s">
        <v>1449</v>
      </c>
    </row>
    <row r="26" spans="1:20" ht="13.5" customHeight="1" thickTop="1">
      <c r="A26" s="793" t="s">
        <v>782</v>
      </c>
      <c r="B26" s="348"/>
      <c r="C26" s="380"/>
      <c r="D26" s="2391">
        <v>438</v>
      </c>
      <c r="E26" s="2393">
        <v>326</v>
      </c>
      <c r="F26" s="873">
        <f>D26+E26</f>
        <v>764</v>
      </c>
      <c r="G26" s="2391">
        <v>509</v>
      </c>
      <c r="H26" s="2393">
        <v>326</v>
      </c>
      <c r="I26" s="873">
        <f>G26+H26</f>
        <v>835</v>
      </c>
      <c r="J26" s="2391">
        <v>39</v>
      </c>
      <c r="K26" s="2393">
        <v>38</v>
      </c>
      <c r="L26" s="873">
        <f>J26+K26</f>
        <v>77</v>
      </c>
      <c r="M26" s="1945">
        <f>F26</f>
        <v>764</v>
      </c>
      <c r="N26" s="1946">
        <f>I26</f>
        <v>835</v>
      </c>
      <c r="O26" s="1947">
        <f>L26</f>
        <v>77</v>
      </c>
      <c r="P26" s="871">
        <f t="shared" ref="P26:R29" si="0">J26+D26+G26</f>
        <v>986</v>
      </c>
      <c r="Q26" s="872">
        <f t="shared" si="0"/>
        <v>690</v>
      </c>
      <c r="R26" s="873">
        <f t="shared" si="0"/>
        <v>1676</v>
      </c>
    </row>
    <row r="27" spans="1:20" ht="13.5" customHeight="1">
      <c r="A27" s="113" t="s">
        <v>783</v>
      </c>
      <c r="B27" s="26"/>
      <c r="C27" s="147"/>
      <c r="D27" s="2391">
        <v>10983</v>
      </c>
      <c r="E27" s="2394">
        <v>5230</v>
      </c>
      <c r="F27" s="873">
        <f>D27+E27</f>
        <v>16213</v>
      </c>
      <c r="G27" s="2391">
        <v>4087</v>
      </c>
      <c r="H27" s="2394">
        <v>1612</v>
      </c>
      <c r="I27" s="873">
        <f>G27+H27</f>
        <v>5699</v>
      </c>
      <c r="J27" s="2391">
        <v>393</v>
      </c>
      <c r="K27" s="2394">
        <v>232</v>
      </c>
      <c r="L27" s="873">
        <f>J27+K27</f>
        <v>625</v>
      </c>
      <c r="M27" s="1948">
        <f>F27</f>
        <v>16213</v>
      </c>
      <c r="N27" s="871">
        <f>I27</f>
        <v>5699</v>
      </c>
      <c r="O27" s="873">
        <f>L27</f>
        <v>625</v>
      </c>
      <c r="P27" s="871">
        <f t="shared" si="0"/>
        <v>15463</v>
      </c>
      <c r="Q27" s="874">
        <f t="shared" si="0"/>
        <v>7074</v>
      </c>
      <c r="R27" s="873">
        <f t="shared" si="0"/>
        <v>22537</v>
      </c>
    </row>
    <row r="28" spans="1:20" ht="13.5" customHeight="1">
      <c r="A28" s="113" t="s">
        <v>784</v>
      </c>
      <c r="B28" s="26"/>
      <c r="C28" s="147"/>
      <c r="D28" s="2391">
        <v>59635</v>
      </c>
      <c r="E28" s="2394">
        <v>23031</v>
      </c>
      <c r="F28" s="873">
        <f>D28+E28</f>
        <v>82666</v>
      </c>
      <c r="G28" s="2391">
        <v>13820</v>
      </c>
      <c r="H28" s="2394">
        <v>5209</v>
      </c>
      <c r="I28" s="873">
        <f>G28+H28</f>
        <v>19029</v>
      </c>
      <c r="J28" s="2391">
        <v>2774</v>
      </c>
      <c r="K28" s="2394">
        <v>1302</v>
      </c>
      <c r="L28" s="873">
        <f>J28+K28</f>
        <v>4076</v>
      </c>
      <c r="M28" s="1948">
        <f>F28</f>
        <v>82666</v>
      </c>
      <c r="N28" s="871">
        <f>I28</f>
        <v>19029</v>
      </c>
      <c r="O28" s="873">
        <f>L28</f>
        <v>4076</v>
      </c>
      <c r="P28" s="871">
        <f t="shared" si="0"/>
        <v>76229</v>
      </c>
      <c r="Q28" s="874">
        <f t="shared" si="0"/>
        <v>29542</v>
      </c>
      <c r="R28" s="873">
        <f t="shared" si="0"/>
        <v>105771</v>
      </c>
    </row>
    <row r="29" spans="1:20" ht="13.5" customHeight="1">
      <c r="A29" s="113" t="s">
        <v>1155</v>
      </c>
      <c r="B29" s="26"/>
      <c r="C29" s="147"/>
      <c r="D29" s="871">
        <f t="shared" ref="D29:K29" si="1">ROUND(SUM(D26:D28)*D30,0)</f>
        <v>1257691</v>
      </c>
      <c r="E29" s="874">
        <f t="shared" si="1"/>
        <v>505990</v>
      </c>
      <c r="F29" s="873">
        <f>D29+E29</f>
        <v>1763681</v>
      </c>
      <c r="G29" s="871">
        <f t="shared" si="1"/>
        <v>143645</v>
      </c>
      <c r="H29" s="874">
        <f t="shared" si="1"/>
        <v>55747</v>
      </c>
      <c r="I29" s="873">
        <f>G29+H29</f>
        <v>199392</v>
      </c>
      <c r="J29" s="871">
        <f t="shared" si="1"/>
        <v>24366</v>
      </c>
      <c r="K29" s="874">
        <f t="shared" si="1"/>
        <v>11947</v>
      </c>
      <c r="L29" s="873">
        <f>J29+K29</f>
        <v>36313</v>
      </c>
      <c r="M29" s="1948">
        <f>F29</f>
        <v>1763681</v>
      </c>
      <c r="N29" s="871">
        <f>I29</f>
        <v>199392</v>
      </c>
      <c r="O29" s="873">
        <f>L29</f>
        <v>36313</v>
      </c>
      <c r="P29" s="871">
        <f t="shared" si="0"/>
        <v>1425702</v>
      </c>
      <c r="Q29" s="874">
        <f t="shared" si="0"/>
        <v>573684</v>
      </c>
      <c r="R29" s="873">
        <f t="shared" si="0"/>
        <v>1999386</v>
      </c>
    </row>
    <row r="30" spans="1:20" ht="13.5" customHeight="1" thickBot="1">
      <c r="A30" s="381" t="s">
        <v>1156</v>
      </c>
      <c r="B30" s="13"/>
      <c r="C30" s="168"/>
      <c r="D30" s="1211">
        <v>17.7</v>
      </c>
      <c r="E30" s="1212">
        <v>17.7</v>
      </c>
      <c r="F30" s="1213">
        <v>17.7</v>
      </c>
      <c r="G30" s="1211">
        <v>7.8</v>
      </c>
      <c r="H30" s="1212">
        <v>7.8</v>
      </c>
      <c r="I30" s="1213">
        <v>7.8</v>
      </c>
      <c r="J30" s="1211">
        <v>7.6</v>
      </c>
      <c r="K30" s="1212">
        <v>7.6</v>
      </c>
      <c r="L30" s="1213">
        <v>7.6</v>
      </c>
      <c r="M30" s="1052"/>
      <c r="N30" s="875"/>
      <c r="O30" s="877"/>
      <c r="P30" s="875"/>
      <c r="Q30" s="876"/>
      <c r="R30" s="877"/>
    </row>
    <row r="31" spans="1:20" ht="13.5" customHeight="1" thickTop="1">
      <c r="C31" s="26"/>
      <c r="D31" s="1210"/>
      <c r="E31" s="1210"/>
      <c r="F31" s="1210"/>
      <c r="G31" s="1210"/>
      <c r="H31" s="1210"/>
      <c r="I31" s="1210"/>
      <c r="J31" s="1210"/>
      <c r="K31" s="1210"/>
      <c r="L31" s="1210"/>
      <c r="M31" s="26"/>
      <c r="N31" s="26"/>
    </row>
    <row r="32" spans="1:20" ht="13.5" customHeight="1">
      <c r="C32" s="26"/>
      <c r="D32" s="1210"/>
      <c r="E32" s="1210"/>
      <c r="F32" s="1210"/>
      <c r="G32" s="1210"/>
      <c r="H32" s="1210"/>
      <c r="I32" s="1210"/>
      <c r="J32" s="1210"/>
      <c r="K32" s="1210"/>
      <c r="L32" s="1210"/>
      <c r="M32" s="26"/>
      <c r="N32" s="26"/>
    </row>
    <row r="33" spans="3:14" ht="13.5" customHeight="1">
      <c r="C33" s="26"/>
      <c r="D33" s="1210"/>
      <c r="E33" s="1210"/>
      <c r="F33" s="1210"/>
      <c r="G33" s="1210"/>
      <c r="H33" s="1210"/>
      <c r="I33" s="1210"/>
      <c r="J33" s="1210"/>
      <c r="K33" s="1210"/>
      <c r="L33" s="1210"/>
      <c r="M33" s="26"/>
      <c r="N33" s="26"/>
    </row>
    <row r="34" spans="3:14" ht="13.5" customHeight="1">
      <c r="C34" s="26"/>
      <c r="D34" s="26"/>
      <c r="E34" s="26"/>
      <c r="F34" s="26"/>
      <c r="G34" s="26"/>
      <c r="H34" s="26"/>
      <c r="I34" s="26"/>
      <c r="J34" s="26"/>
      <c r="K34" s="26"/>
      <c r="L34" s="26"/>
      <c r="M34" s="26"/>
      <c r="N34" s="26"/>
    </row>
    <row r="35" spans="3:14" ht="13.5" customHeight="1">
      <c r="C35" s="26"/>
      <c r="D35" s="2407"/>
      <c r="E35" s="609"/>
      <c r="F35" s="609"/>
      <c r="G35" s="609"/>
      <c r="H35" s="609"/>
      <c r="I35" s="609"/>
      <c r="J35" s="609"/>
      <c r="K35" s="609"/>
      <c r="L35" s="609"/>
      <c r="M35" s="609"/>
      <c r="N35" s="26"/>
    </row>
    <row r="36" spans="3:14" ht="13.5" customHeight="1">
      <c r="C36" s="26"/>
      <c r="D36" s="2407"/>
      <c r="E36" s="331"/>
      <c r="F36" s="331"/>
      <c r="G36" s="331"/>
      <c r="H36" s="331"/>
      <c r="I36" s="331"/>
      <c r="J36" s="331"/>
      <c r="K36" s="331"/>
      <c r="L36" s="331"/>
      <c r="M36" s="331"/>
      <c r="N36" s="26"/>
    </row>
    <row r="37" spans="3:14" ht="13.5" customHeight="1">
      <c r="C37" s="26"/>
      <c r="D37" s="2407"/>
      <c r="E37" s="331"/>
      <c r="F37" s="331"/>
      <c r="G37" s="331"/>
      <c r="H37" s="331"/>
      <c r="I37" s="331"/>
      <c r="J37" s="331"/>
      <c r="K37" s="331"/>
      <c r="L37" s="331"/>
      <c r="M37" s="331"/>
      <c r="N37" s="26"/>
    </row>
    <row r="38" spans="3:14" ht="13.5" customHeight="1">
      <c r="C38" s="26"/>
      <c r="D38" s="609"/>
      <c r="E38" s="609"/>
      <c r="F38" s="609"/>
      <c r="G38" s="609"/>
      <c r="H38" s="609"/>
      <c r="I38" s="609"/>
      <c r="J38" s="609"/>
      <c r="K38" s="609"/>
      <c r="L38" s="609"/>
      <c r="M38" s="2101"/>
      <c r="N38" s="26"/>
    </row>
    <row r="39" spans="3:14" ht="13.5" customHeight="1">
      <c r="C39" s="26"/>
      <c r="D39" s="609"/>
      <c r="E39" s="609"/>
      <c r="F39" s="820"/>
      <c r="G39" s="609"/>
      <c r="H39" s="609"/>
      <c r="I39" s="609"/>
      <c r="J39" s="820"/>
      <c r="K39" s="609"/>
      <c r="L39" s="609"/>
      <c r="M39" s="609"/>
      <c r="N39" s="26"/>
    </row>
    <row r="40" spans="3:14" ht="13.5" customHeight="1">
      <c r="C40" s="26"/>
      <c r="D40" s="609"/>
      <c r="E40" s="609"/>
      <c r="F40" s="609"/>
      <c r="G40" s="609"/>
      <c r="H40" s="2408"/>
      <c r="I40" s="609"/>
      <c r="J40" s="609"/>
      <c r="K40" s="609"/>
      <c r="L40" s="2101"/>
      <c r="M40" s="609"/>
      <c r="N40" s="26"/>
    </row>
    <row r="41" spans="3:14" ht="13.5" customHeight="1">
      <c r="C41" s="26"/>
      <c r="D41" s="609"/>
      <c r="E41" s="609"/>
      <c r="F41" s="2101"/>
      <c r="G41" s="2101"/>
      <c r="H41" s="609"/>
      <c r="I41" s="609"/>
      <c r="J41" s="2101"/>
      <c r="K41" s="2101"/>
      <c r="L41" s="609"/>
      <c r="M41" s="2101"/>
      <c r="N41" s="26"/>
    </row>
    <row r="42" spans="3:14" ht="13.5" customHeight="1">
      <c r="C42" s="26"/>
      <c r="D42" s="609"/>
      <c r="E42" s="2101"/>
      <c r="F42" s="2101"/>
      <c r="G42" s="2101"/>
      <c r="H42" s="2101"/>
      <c r="I42" s="2101"/>
      <c r="J42" s="2101"/>
      <c r="K42" s="2101"/>
      <c r="L42" s="2101"/>
      <c r="M42" s="2101"/>
      <c r="N42" s="26"/>
    </row>
    <row r="43" spans="3:14" ht="13.5" customHeight="1">
      <c r="C43" s="26"/>
      <c r="D43" s="820"/>
      <c r="E43" s="2408"/>
      <c r="F43" s="2101"/>
      <c r="G43" s="2101"/>
      <c r="H43" s="2101"/>
      <c r="I43" s="2408"/>
      <c r="J43" s="2101"/>
      <c r="K43" s="2101"/>
      <c r="L43" s="2101"/>
      <c r="M43" s="2101"/>
      <c r="N43" s="26"/>
    </row>
    <row r="44" spans="3:14" ht="13.5" customHeight="1">
      <c r="C44" s="26"/>
      <c r="D44" s="609"/>
      <c r="E44" s="609"/>
      <c r="F44" s="609"/>
      <c r="G44" s="609"/>
      <c r="H44" s="609"/>
      <c r="I44" s="609"/>
      <c r="J44" s="609"/>
      <c r="K44" s="609"/>
      <c r="L44" s="609"/>
      <c r="M44" s="609"/>
      <c r="N44" s="26"/>
    </row>
    <row r="45" spans="3:14" ht="13.5" customHeight="1">
      <c r="C45" s="26"/>
      <c r="D45" s="609"/>
      <c r="E45" s="1908"/>
      <c r="F45" s="1908"/>
      <c r="G45" s="1908"/>
      <c r="H45" s="1908"/>
      <c r="I45" s="1908"/>
      <c r="J45" s="1908"/>
      <c r="K45" s="1908"/>
      <c r="L45" s="1908"/>
      <c r="M45" s="1908"/>
      <c r="N45" s="26"/>
    </row>
    <row r="46" spans="3:14" ht="13.5" customHeight="1">
      <c r="C46" s="26"/>
      <c r="D46" s="609"/>
      <c r="E46" s="1908"/>
      <c r="F46" s="1908"/>
      <c r="G46" s="1908"/>
      <c r="H46" s="1908"/>
      <c r="I46" s="1908"/>
      <c r="J46" s="1908"/>
      <c r="K46" s="1908"/>
      <c r="L46" s="1908"/>
      <c r="M46" s="1908"/>
      <c r="N46" s="26"/>
    </row>
    <row r="47" spans="3:14" ht="13.5" customHeight="1">
      <c r="C47" s="26"/>
      <c r="D47" s="609"/>
      <c r="E47" s="1908"/>
      <c r="F47" s="1908"/>
      <c r="G47" s="1908"/>
      <c r="H47" s="1908"/>
      <c r="I47" s="1908"/>
      <c r="J47" s="1908"/>
      <c r="K47" s="1908"/>
      <c r="L47" s="1908"/>
      <c r="M47" s="1908"/>
      <c r="N47" s="26"/>
    </row>
    <row r="48" spans="3:14" ht="13.5" customHeight="1">
      <c r="C48" s="26"/>
      <c r="D48" s="609"/>
      <c r="E48" s="1908"/>
      <c r="F48" s="1908"/>
      <c r="G48" s="1908"/>
      <c r="H48" s="1908"/>
      <c r="I48" s="1908"/>
      <c r="J48" s="1908"/>
      <c r="K48" s="1908"/>
      <c r="L48" s="1908"/>
      <c r="M48" s="1908"/>
      <c r="N48" s="26"/>
    </row>
    <row r="49" spans="3:14" ht="13.5" customHeight="1">
      <c r="C49" s="26"/>
      <c r="D49" s="609"/>
      <c r="E49" s="1908"/>
      <c r="F49" s="1908"/>
      <c r="G49" s="1908"/>
      <c r="H49" s="1908"/>
      <c r="I49" s="1908"/>
      <c r="J49" s="1908"/>
      <c r="K49" s="1908"/>
      <c r="L49" s="1908"/>
      <c r="M49" s="1908"/>
      <c r="N49" s="26"/>
    </row>
    <row r="50" spans="3:14" ht="13.5" customHeight="1">
      <c r="C50" s="26"/>
      <c r="D50" s="609"/>
      <c r="E50" s="1908"/>
      <c r="F50" s="1908"/>
      <c r="G50" s="1908"/>
      <c r="H50" s="1908"/>
      <c r="I50" s="1908"/>
      <c r="J50" s="1908"/>
      <c r="K50" s="1908"/>
      <c r="L50" s="1908"/>
      <c r="M50" s="1908"/>
      <c r="N50" s="26"/>
    </row>
    <row r="51" spans="3:14" ht="13.5" customHeight="1">
      <c r="C51" s="26"/>
      <c r="D51" s="609"/>
      <c r="E51" s="1908"/>
      <c r="F51" s="1908"/>
      <c r="G51" s="1908"/>
      <c r="H51" s="1908"/>
      <c r="I51" s="1908"/>
      <c r="J51" s="1908"/>
      <c r="K51" s="1908"/>
      <c r="L51" s="1908"/>
      <c r="M51" s="1908"/>
      <c r="N51" s="26"/>
    </row>
    <row r="52" spans="3:14" ht="13.5" customHeight="1">
      <c r="C52" s="26"/>
      <c r="D52" s="609"/>
      <c r="E52" s="1908"/>
      <c r="F52" s="1908"/>
      <c r="G52" s="1908"/>
      <c r="H52" s="1908"/>
      <c r="I52" s="1908"/>
      <c r="J52" s="1908"/>
      <c r="K52" s="1908"/>
      <c r="L52" s="1908"/>
      <c r="M52" s="1908"/>
      <c r="N52" s="26"/>
    </row>
    <row r="53" spans="3:14" ht="13.5" customHeight="1">
      <c r="C53" s="26"/>
      <c r="D53" s="609"/>
      <c r="E53" s="1908"/>
      <c r="F53" s="1908"/>
      <c r="G53" s="1908"/>
      <c r="H53" s="1908"/>
      <c r="I53" s="1908"/>
      <c r="J53" s="1908"/>
      <c r="K53" s="1908"/>
      <c r="L53" s="1908"/>
      <c r="M53" s="1908"/>
      <c r="N53" s="26"/>
    </row>
    <row r="54" spans="3:14" ht="13.5" customHeight="1">
      <c r="C54" s="26"/>
      <c r="D54" s="609"/>
      <c r="E54" s="1908"/>
      <c r="F54" s="1908"/>
      <c r="G54" s="1908"/>
      <c r="H54" s="1908"/>
      <c r="I54" s="1908"/>
      <c r="J54" s="1908"/>
      <c r="K54" s="1908"/>
      <c r="L54" s="1908"/>
      <c r="M54" s="1908"/>
      <c r="N54" s="26"/>
    </row>
    <row r="55" spans="3:14" ht="13.5" customHeight="1">
      <c r="C55" s="26"/>
      <c r="D55" s="609"/>
      <c r="E55" s="1908"/>
      <c r="F55" s="1908"/>
      <c r="G55" s="1908"/>
      <c r="H55" s="1908"/>
      <c r="I55" s="1908"/>
      <c r="J55" s="1908"/>
      <c r="K55" s="1908"/>
      <c r="L55" s="1908"/>
      <c r="M55" s="1908"/>
      <c r="N55" s="26"/>
    </row>
    <row r="56" spans="3:14" ht="13.5" customHeight="1">
      <c r="C56" s="26"/>
      <c r="D56" s="609"/>
      <c r="E56" s="1908"/>
      <c r="F56" s="1908"/>
      <c r="G56" s="1908"/>
      <c r="H56" s="1908"/>
      <c r="I56" s="1908"/>
      <c r="J56" s="1908"/>
      <c r="K56" s="1908"/>
      <c r="L56" s="1908"/>
      <c r="M56" s="1908"/>
      <c r="N56" s="26"/>
    </row>
    <row r="57" spans="3:14" ht="13.5" customHeight="1">
      <c r="C57" s="26"/>
      <c r="D57" s="609"/>
      <c r="E57" s="1908"/>
      <c r="F57" s="1908"/>
      <c r="G57" s="1908"/>
      <c r="H57" s="1908"/>
      <c r="I57" s="1908"/>
      <c r="J57" s="1908"/>
      <c r="K57" s="1908"/>
      <c r="L57" s="1908"/>
      <c r="M57" s="1908"/>
      <c r="N57" s="26"/>
    </row>
    <row r="58" spans="3:14" ht="13.5" customHeight="1">
      <c r="C58" s="26"/>
      <c r="D58" s="609"/>
      <c r="E58" s="1908"/>
      <c r="F58" s="1908"/>
      <c r="G58" s="1908"/>
      <c r="H58" s="1908"/>
      <c r="I58" s="1908"/>
      <c r="J58" s="1908"/>
      <c r="K58" s="1908"/>
      <c r="L58" s="1908"/>
      <c r="M58" s="1908"/>
      <c r="N58" s="26"/>
    </row>
    <row r="59" spans="3:14" ht="13.5" customHeight="1">
      <c r="C59" s="26"/>
      <c r="D59" s="609"/>
      <c r="E59" s="1908"/>
      <c r="F59" s="1908"/>
      <c r="G59" s="1908"/>
      <c r="H59" s="1908"/>
      <c r="I59" s="1908"/>
      <c r="J59" s="1908"/>
      <c r="K59" s="1908"/>
      <c r="L59" s="1908"/>
      <c r="M59" s="1908"/>
      <c r="N59" s="26"/>
    </row>
    <row r="60" spans="3:14" ht="13.5" customHeight="1">
      <c r="C60" s="26"/>
      <c r="D60" s="609"/>
      <c r="E60" s="1908"/>
      <c r="F60" s="1908"/>
      <c r="G60" s="1908"/>
      <c r="H60" s="1908"/>
      <c r="I60" s="1908"/>
      <c r="J60" s="1908"/>
      <c r="K60" s="1908"/>
      <c r="L60" s="1908"/>
      <c r="M60" s="1908"/>
      <c r="N60" s="26"/>
    </row>
    <row r="61" spans="3:14" ht="13.5" customHeight="1">
      <c r="C61" s="26"/>
      <c r="D61" s="609"/>
      <c r="E61" s="1908"/>
      <c r="F61" s="1908"/>
      <c r="G61" s="1908"/>
      <c r="H61" s="1908"/>
      <c r="I61" s="1908"/>
      <c r="J61" s="1908"/>
      <c r="K61" s="1908"/>
      <c r="L61" s="1908"/>
      <c r="M61" s="1908"/>
      <c r="N61" s="26"/>
    </row>
    <row r="62" spans="3:14" ht="13.5" customHeight="1">
      <c r="C62" s="26"/>
      <c r="D62" s="609"/>
      <c r="E62" s="1908"/>
      <c r="F62" s="1908"/>
      <c r="G62" s="1908"/>
      <c r="H62" s="1908"/>
      <c r="I62" s="1908"/>
      <c r="J62" s="1908"/>
      <c r="K62" s="1908"/>
      <c r="L62" s="1908"/>
      <c r="M62" s="1908"/>
      <c r="N62" s="26"/>
    </row>
    <row r="63" spans="3:14" ht="13.5" customHeight="1">
      <c r="C63" s="26"/>
      <c r="D63" s="609"/>
      <c r="E63" s="1908"/>
      <c r="F63" s="1908"/>
      <c r="G63" s="1908"/>
      <c r="H63" s="1908"/>
      <c r="I63" s="1908"/>
      <c r="J63" s="1908"/>
      <c r="K63" s="1908"/>
      <c r="L63" s="1908"/>
      <c r="M63" s="1908"/>
      <c r="N63" s="26"/>
    </row>
    <row r="64" spans="3:14" ht="13.5" customHeight="1">
      <c r="C64" s="26"/>
      <c r="D64" s="26"/>
      <c r="E64" s="26"/>
      <c r="F64" s="26"/>
      <c r="G64" s="26"/>
      <c r="H64" s="26"/>
      <c r="I64" s="26"/>
      <c r="J64" s="26"/>
      <c r="K64" s="26"/>
      <c r="L64" s="26"/>
      <c r="M64" s="26"/>
      <c r="N64" s="26"/>
    </row>
    <row r="65" spans="3:14" ht="13.5" customHeight="1">
      <c r="C65" s="26"/>
      <c r="D65" s="26"/>
      <c r="E65" s="26"/>
      <c r="F65" s="26"/>
      <c r="G65" s="26"/>
      <c r="H65" s="26"/>
      <c r="I65" s="26"/>
      <c r="J65" s="26"/>
      <c r="K65" s="26"/>
      <c r="L65" s="26"/>
      <c r="M65" s="26"/>
      <c r="N65" s="26"/>
    </row>
    <row r="66" spans="3:14" ht="13.5" customHeight="1">
      <c r="C66" s="26"/>
      <c r="D66" s="26"/>
      <c r="E66" s="26"/>
      <c r="F66" s="26"/>
      <c r="G66" s="26"/>
      <c r="H66" s="26"/>
      <c r="I66" s="26"/>
      <c r="J66" s="26"/>
      <c r="K66" s="26"/>
      <c r="L66" s="26"/>
      <c r="M66" s="26"/>
      <c r="N66" s="26"/>
    </row>
    <row r="67" spans="3:14" ht="13.5" customHeight="1">
      <c r="C67" s="26"/>
      <c r="D67" s="26"/>
      <c r="E67" s="26"/>
      <c r="F67" s="26"/>
      <c r="G67" s="26"/>
      <c r="H67" s="26"/>
      <c r="I67" s="26"/>
      <c r="J67" s="26"/>
      <c r="K67" s="26"/>
      <c r="L67" s="26"/>
      <c r="M67" s="26"/>
      <c r="N67" s="26"/>
    </row>
  </sheetData>
  <sheetProtection sheet="1" objects="1" scenarios="1"/>
  <mergeCells count="10">
    <mergeCell ref="A24:A25"/>
    <mergeCell ref="A12:B12"/>
    <mergeCell ref="A18:B18"/>
    <mergeCell ref="A19:B19"/>
    <mergeCell ref="E6:S6"/>
    <mergeCell ref="A7:B7"/>
    <mergeCell ref="A8:B8"/>
    <mergeCell ref="A10:B10"/>
    <mergeCell ref="A20:B20"/>
    <mergeCell ref="A11:B11"/>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 ref="H8" r:id="rId3"/>
    <hyperlink ref="H9" r:id="rId4"/>
  </hyperlinks>
  <printOptions headings="1" gridLines="1"/>
  <pageMargins left="0.35433070866141736" right="0.35433070866141736" top="0.59055118110236227" bottom="0.59055118110236227" header="0.31496062992125984" footer="0.31496062992125984"/>
  <pageSetup paperSize="9" scale="72" orientation="landscape" r:id="rId5"/>
  <headerFooter alignWithMargins="0"/>
  <colBreaks count="1" manualBreakCount="1">
    <brk id="15" max="1048575" man="1"/>
  </colBreaks>
  <drawing r:id="rId6"/>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indexed="10"/>
  </sheetPr>
  <dimension ref="A1:S44"/>
  <sheetViews>
    <sheetView showGridLines="0" topLeftCell="A7" zoomScale="85" zoomScaleNormal="85" workbookViewId="0">
      <selection activeCell="E23" sqref="E23:F23"/>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2279</v>
      </c>
      <c r="C3" s="46"/>
      <c r="D3" s="83"/>
    </row>
    <row r="4" spans="1:19" s="26" customFormat="1" ht="20.100000000000001" customHeight="1" thickBot="1">
      <c r="A4" s="109" t="s">
        <v>62</v>
      </c>
      <c r="B4" s="446"/>
      <c r="C4" s="446"/>
      <c r="D4" s="446"/>
      <c r="E4" s="446"/>
      <c r="F4" s="446"/>
      <c r="G4" s="446"/>
      <c r="H4" s="446"/>
      <c r="I4" s="446"/>
      <c r="J4" s="446"/>
      <c r="K4" s="446"/>
      <c r="L4" s="446"/>
      <c r="M4" s="446"/>
      <c r="N4" s="446"/>
      <c r="O4" s="446"/>
      <c r="P4" s="446"/>
      <c r="Q4" s="446"/>
      <c r="R4" s="446"/>
      <c r="S4" s="446"/>
    </row>
    <row r="5" spans="1:19" s="38" customFormat="1" ht="9.9" customHeight="1" thickTop="1" thickBot="1">
      <c r="A5" s="35"/>
      <c r="B5" s="72"/>
      <c r="C5" s="72"/>
      <c r="D5" s="32"/>
    </row>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44" t="str">
        <f>Audit!A12</f>
        <v>May 2019 v1.12</v>
      </c>
      <c r="B7" s="3651"/>
      <c r="D7" s="147"/>
      <c r="E7" s="38" t="s">
        <v>817</v>
      </c>
      <c r="F7" s="29"/>
      <c r="G7" s="26"/>
      <c r="H7" s="26"/>
      <c r="I7" s="26"/>
      <c r="J7" s="26"/>
      <c r="K7" s="26"/>
      <c r="L7" s="26"/>
      <c r="M7" s="26"/>
      <c r="N7" s="26"/>
      <c r="O7" s="26"/>
      <c r="P7" s="26"/>
      <c r="Q7" s="26"/>
      <c r="R7" s="26"/>
      <c r="S7" s="147"/>
    </row>
    <row r="8" spans="1:19" s="38" customFormat="1" ht="13.5" customHeight="1">
      <c r="A8" s="3646">
        <f>Audit!C12</f>
        <v>43586</v>
      </c>
      <c r="B8" s="3651"/>
      <c r="C8" s="321"/>
      <c r="D8" s="412"/>
      <c r="E8" s="38" t="s">
        <v>818</v>
      </c>
      <c r="F8" s="315"/>
      <c r="G8" s="26"/>
      <c r="H8" s="26"/>
      <c r="I8" s="26"/>
      <c r="J8" s="26"/>
      <c r="K8" s="26"/>
      <c r="L8" s="26"/>
      <c r="M8" s="26"/>
      <c r="N8" s="26"/>
      <c r="O8" s="26"/>
      <c r="P8" s="26"/>
      <c r="Q8" s="26"/>
      <c r="R8" s="26"/>
      <c r="S8" s="147"/>
    </row>
    <row r="9" spans="1:19" s="38" customFormat="1" ht="13.5" customHeight="1" thickBot="1">
      <c r="A9" s="172" t="s">
        <v>14</v>
      </c>
      <c r="B9" s="173"/>
      <c r="D9" s="412"/>
      <c r="E9" s="599" t="s">
        <v>1188</v>
      </c>
      <c r="F9" s="26"/>
      <c r="G9" s="26"/>
      <c r="H9" s="26"/>
      <c r="I9" s="26"/>
      <c r="J9" s="26"/>
      <c r="K9" s="26"/>
      <c r="L9" s="26"/>
      <c r="M9" s="26"/>
      <c r="N9" s="26"/>
      <c r="O9" s="26"/>
      <c r="P9" s="26"/>
      <c r="Q9" s="26"/>
      <c r="R9" s="26"/>
      <c r="S9" s="147"/>
    </row>
    <row r="10" spans="1:19" s="38" customFormat="1" ht="13.5" customHeight="1" thickBot="1">
      <c r="A10" s="3611" t="s">
        <v>1306</v>
      </c>
      <c r="B10" s="3612"/>
      <c r="D10" s="412"/>
      <c r="E10" s="26" t="s">
        <v>1341</v>
      </c>
      <c r="F10" s="26"/>
      <c r="G10" s="26"/>
      <c r="H10" s="26"/>
      <c r="I10" s="26"/>
      <c r="J10" s="26"/>
      <c r="K10" s="26"/>
      <c r="L10" s="26"/>
      <c r="M10" s="26"/>
      <c r="N10" s="26"/>
      <c r="O10" s="26"/>
      <c r="P10" s="26"/>
      <c r="Q10" s="26"/>
      <c r="R10" s="26"/>
      <c r="S10" s="147"/>
    </row>
    <row r="11" spans="1:19" s="38" customFormat="1" ht="13.5" customHeight="1" thickBot="1">
      <c r="A11" s="3611" t="s">
        <v>2280</v>
      </c>
      <c r="B11" s="3639"/>
      <c r="D11" s="321"/>
      <c r="E11" s="113"/>
      <c r="F11" s="53"/>
      <c r="G11" s="53"/>
      <c r="H11" s="53"/>
      <c r="I11" s="53"/>
      <c r="J11" s="53"/>
      <c r="K11" s="53"/>
      <c r="L11" s="53"/>
      <c r="M11" s="53"/>
      <c r="N11" s="53"/>
      <c r="O11" s="53"/>
      <c r="P11" s="53"/>
      <c r="Q11" s="53"/>
      <c r="R11" s="53"/>
      <c r="S11" s="379"/>
    </row>
    <row r="12" spans="1:19" s="38" customFormat="1" ht="13.5" customHeight="1" thickBot="1">
      <c r="A12" s="3611" t="s">
        <v>2279</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56" t="s">
        <v>799</v>
      </c>
      <c r="B14" s="221">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6" t="s">
        <v>54</v>
      </c>
      <c r="B15" s="221">
        <f>'User Parameters'!L19</f>
        <v>2010</v>
      </c>
      <c r="C15" s="321"/>
      <c r="D15" s="321"/>
      <c r="E15" s="113"/>
      <c r="F15" s="26"/>
      <c r="G15" s="26"/>
      <c r="H15" s="26"/>
      <c r="I15" s="26"/>
      <c r="J15" s="26"/>
      <c r="K15" s="26"/>
      <c r="L15" s="26"/>
      <c r="M15" s="26"/>
      <c r="N15" s="26"/>
      <c r="O15" s="26"/>
      <c r="P15" s="26"/>
      <c r="Q15" s="26"/>
      <c r="R15" s="26"/>
      <c r="S15" s="147"/>
    </row>
    <row r="16" spans="1:19" s="38" customFormat="1" ht="13.5" customHeight="1">
      <c r="B16" s="1902"/>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911</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381" t="s">
        <v>2288</v>
      </c>
      <c r="F20" s="163"/>
      <c r="G20" s="163"/>
      <c r="H20" s="163"/>
      <c r="I20" s="163"/>
      <c r="J20" s="163"/>
      <c r="K20" s="163"/>
      <c r="L20" s="163"/>
      <c r="M20" s="163"/>
      <c r="N20" s="163"/>
      <c r="O20" s="163"/>
      <c r="P20" s="163"/>
      <c r="Q20" s="163"/>
      <c r="R20" s="163"/>
      <c r="S20" s="382"/>
    </row>
    <row r="21" spans="1:19" s="38" customFormat="1" ht="13.5" customHeight="1" thickTop="1">
      <c r="A21" s="35"/>
      <c r="B21" s="72"/>
      <c r="C21" s="72"/>
      <c r="D21" s="32"/>
    </row>
    <row r="22" spans="1:19" ht="13.5" customHeight="1" thickBot="1">
      <c r="K22" s="609"/>
      <c r="L22" s="609"/>
      <c r="M22" s="609"/>
    </row>
    <row r="23" spans="1:19" ht="13.5" customHeight="1" thickTop="1" thickBot="1">
      <c r="A23" s="122" t="s">
        <v>329</v>
      </c>
      <c r="B23" s="626"/>
      <c r="C23" s="362"/>
      <c r="D23" s="362"/>
      <c r="E23" s="362"/>
      <c r="F23" s="362"/>
      <c r="G23" s="362"/>
      <c r="H23" s="362"/>
      <c r="I23" s="362"/>
      <c r="J23" s="1048"/>
      <c r="K23" s="609"/>
      <c r="L23" s="609"/>
      <c r="M23" s="609"/>
    </row>
    <row r="24" spans="1:19" ht="13.5" customHeight="1" thickTop="1">
      <c r="A24" s="1047" t="s">
        <v>172</v>
      </c>
      <c r="B24" s="766"/>
      <c r="C24" s="767"/>
      <c r="D24" s="281" t="s">
        <v>896</v>
      </c>
      <c r="E24" s="281"/>
      <c r="F24" s="417"/>
      <c r="G24" s="281" t="s">
        <v>1159</v>
      </c>
      <c r="H24" s="281"/>
      <c r="I24" s="282"/>
      <c r="J24" s="812" t="s">
        <v>800</v>
      </c>
      <c r="K24" s="1899"/>
      <c r="L24" s="1900"/>
      <c r="M24" s="1900"/>
    </row>
    <row r="25" spans="1:19" s="38" customFormat="1" ht="13.5" customHeight="1" thickBot="1">
      <c r="A25" s="464"/>
      <c r="B25" s="465"/>
      <c r="C25" s="439"/>
      <c r="D25" s="1050" t="s">
        <v>1157</v>
      </c>
      <c r="E25" s="1051" t="s">
        <v>1158</v>
      </c>
      <c r="F25" s="1353" t="s">
        <v>787</v>
      </c>
      <c r="G25" s="1050" t="s">
        <v>1157</v>
      </c>
      <c r="H25" s="1051" t="s">
        <v>1158</v>
      </c>
      <c r="I25" s="1887" t="s">
        <v>787</v>
      </c>
      <c r="J25" s="393" t="s">
        <v>446</v>
      </c>
      <c r="K25" s="82"/>
      <c r="L25" s="82"/>
      <c r="M25" s="82"/>
    </row>
    <row r="26" spans="1:19" ht="13.5" customHeight="1" thickTop="1">
      <c r="A26" s="621" t="s">
        <v>782</v>
      </c>
      <c r="B26" s="801"/>
      <c r="C26" s="622"/>
      <c r="D26" s="1354">
        <v>4781.5967690437647</v>
      </c>
      <c r="E26" s="1196">
        <v>8109.5993233364898</v>
      </c>
      <c r="F26" s="1197">
        <v>10315.897671448498</v>
      </c>
      <c r="G26" s="1354">
        <v>16320</v>
      </c>
      <c r="H26" s="1196">
        <v>16759</v>
      </c>
      <c r="I26" s="1197">
        <v>16954</v>
      </c>
      <c r="J26" s="1199">
        <v>183.4497515726265</v>
      </c>
      <c r="K26" s="1198"/>
      <c r="L26" s="1198"/>
      <c r="M26" s="1198"/>
    </row>
    <row r="27" spans="1:19" ht="13.5" customHeight="1">
      <c r="A27" s="623" t="s">
        <v>783</v>
      </c>
      <c r="B27" s="609"/>
      <c r="C27" s="624"/>
      <c r="D27" s="1355">
        <v>2562.6950028847828</v>
      </c>
      <c r="E27" s="1198">
        <v>3697.002627112473</v>
      </c>
      <c r="F27" s="1199">
        <v>8802.0871260285803</v>
      </c>
      <c r="G27" s="1355">
        <v>1802</v>
      </c>
      <c r="H27" s="1198">
        <v>2250</v>
      </c>
      <c r="I27" s="1199">
        <v>2376</v>
      </c>
      <c r="J27" s="1199">
        <v>114.13095231426763</v>
      </c>
      <c r="K27" s="1198"/>
      <c r="L27" s="1198"/>
      <c r="M27" s="1198"/>
    </row>
    <row r="28" spans="1:19" ht="13.5" customHeight="1">
      <c r="A28" s="623" t="s">
        <v>784</v>
      </c>
      <c r="B28" s="609"/>
      <c r="C28" s="624"/>
      <c r="D28" s="1355">
        <v>1511.7099757454223</v>
      </c>
      <c r="E28" s="1198">
        <v>2450.6646202450106</v>
      </c>
      <c r="F28" s="1199">
        <v>4453.2077099309336</v>
      </c>
      <c r="G28" s="1355">
        <v>466</v>
      </c>
      <c r="H28" s="1198">
        <v>639</v>
      </c>
      <c r="I28" s="1199">
        <v>533</v>
      </c>
      <c r="J28" s="1199">
        <v>69.318799258358865</v>
      </c>
      <c r="K28" s="1198"/>
      <c r="L28" s="1198"/>
      <c r="M28" s="1198"/>
    </row>
    <row r="29" spans="1:19" ht="13.5" customHeight="1" thickBot="1">
      <c r="A29" s="619" t="s">
        <v>1160</v>
      </c>
      <c r="B29" s="627"/>
      <c r="C29" s="620"/>
      <c r="D29" s="1356">
        <v>1081.093192473799</v>
      </c>
      <c r="E29" s="1200">
        <v>1616.0382695787098</v>
      </c>
      <c r="F29" s="1201">
        <v>1553.0211793438382</v>
      </c>
      <c r="G29" s="1356">
        <v>34.345725213971392</v>
      </c>
      <c r="H29" s="1200">
        <v>19.248096074149149</v>
      </c>
      <c r="I29" s="1201">
        <v>16.180986205465903</v>
      </c>
      <c r="J29" s="1201">
        <v>32.908924900433</v>
      </c>
      <c r="K29" s="1198"/>
    </row>
    <row r="30" spans="1:19" ht="13.5" customHeight="1" thickTop="1">
      <c r="A30" s="56" t="s">
        <v>799</v>
      </c>
      <c r="C30" s="622"/>
      <c r="D30" s="1891">
        <v>1997</v>
      </c>
      <c r="E30" s="1891">
        <v>1997</v>
      </c>
      <c r="F30" s="1893">
        <v>1997</v>
      </c>
      <c r="G30" s="1895">
        <v>2009</v>
      </c>
      <c r="H30" s="1895">
        <v>2009</v>
      </c>
      <c r="I30" s="1896">
        <v>2009</v>
      </c>
      <c r="J30" s="1893">
        <v>1997</v>
      </c>
    </row>
    <row r="31" spans="1:19" ht="13.5" customHeight="1" thickBot="1">
      <c r="A31" s="13" t="s">
        <v>54</v>
      </c>
      <c r="B31" s="627"/>
      <c r="C31" s="620"/>
      <c r="D31" s="1892">
        <v>1997</v>
      </c>
      <c r="E31" s="1892">
        <v>1997</v>
      </c>
      <c r="F31" s="1894">
        <v>1997</v>
      </c>
      <c r="G31" s="1897">
        <v>2009</v>
      </c>
      <c r="H31" s="1897">
        <v>2009</v>
      </c>
      <c r="I31" s="1898">
        <v>2009</v>
      </c>
      <c r="J31" s="1894">
        <v>1997</v>
      </c>
    </row>
    <row r="32" spans="1:19" s="38" customFormat="1" ht="13.5" customHeight="1" thickTop="1" thickBot="1"/>
    <row r="33" spans="1:10" s="38" customFormat="1" ht="13.5" customHeight="1" thickTop="1" thickBot="1">
      <c r="A33" s="122" t="str">
        <f>CONCATENATE("Accident related costs, by severity, road type and cost element, £ (",B14," prices &amp; ",B15," values)")</f>
        <v>Accident related costs, by severity, road type and cost element, £ (2010 prices &amp; 2010 values)</v>
      </c>
      <c r="B33" s="626"/>
      <c r="C33" s="362"/>
      <c r="D33" s="362"/>
      <c r="E33" s="362"/>
      <c r="F33" s="362"/>
      <c r="G33" s="362"/>
      <c r="H33" s="362"/>
      <c r="I33" s="362"/>
      <c r="J33" s="1048"/>
    </row>
    <row r="34" spans="1:10" ht="13.5" customHeight="1" thickTop="1">
      <c r="A34" s="1047" t="s">
        <v>172</v>
      </c>
      <c r="B34" s="766"/>
      <c r="C34" s="767"/>
      <c r="D34" s="281" t="s">
        <v>896</v>
      </c>
      <c r="E34" s="281"/>
      <c r="F34" s="417"/>
      <c r="G34" s="281" t="s">
        <v>482</v>
      </c>
      <c r="H34" s="281"/>
      <c r="I34" s="282"/>
      <c r="J34" s="812" t="s">
        <v>800</v>
      </c>
    </row>
    <row r="35" spans="1:10" s="38" customFormat="1" ht="13.5" customHeight="1" thickBot="1">
      <c r="A35" s="464"/>
      <c r="B35" s="465"/>
      <c r="C35" s="439"/>
      <c r="D35" s="1050" t="s">
        <v>1157</v>
      </c>
      <c r="E35" s="1051" t="s">
        <v>1158</v>
      </c>
      <c r="F35" s="1353" t="s">
        <v>787</v>
      </c>
      <c r="G35" s="1050" t="s">
        <v>1157</v>
      </c>
      <c r="H35" s="1051" t="s">
        <v>1158</v>
      </c>
      <c r="I35" s="1887" t="s">
        <v>787</v>
      </c>
      <c r="J35" s="393" t="s">
        <v>446</v>
      </c>
    </row>
    <row r="36" spans="1:10" ht="13.5" customHeight="1" thickTop="1">
      <c r="A36" s="621" t="s">
        <v>782</v>
      </c>
      <c r="B36" s="801"/>
      <c r="C36" s="622"/>
      <c r="D36" s="1903">
        <f>D26 * VLOOKUP($B$14,'Annual Parameters'!$B$33:$W$104,3,) / VLOOKUP(D$30,'Annual Parameters'!$B$33:$W$104,3,) * VLOOKUP($B$15,'Annual Parameters'!$B$33:$W$104,15,) / VLOOKUP(D$31,'Annual Parameters'!$B$33:$W$104,15,)</f>
        <v>7432.4862949097051</v>
      </c>
      <c r="E36" s="1904">
        <f>E26 * VLOOKUP($B$14,'Annual Parameters'!$B$33:$W$104,3,) / VLOOKUP(E$30,'Annual Parameters'!$B$33:$W$104,3,) * VLOOKUP($B$15,'Annual Parameters'!$B$33:$W$104,15,) / VLOOKUP(E$31,'Annual Parameters'!$B$33:$W$104,15,)</f>
        <v>12605.514170104589</v>
      </c>
      <c r="F36" s="1905">
        <f>F26 * VLOOKUP($B$14,'Annual Parameters'!$B$33:$W$104,3,) / VLOOKUP(F$30,'Annual Parameters'!$B$33:$W$104,3,) * VLOOKUP($B$15,'Annual Parameters'!$B$33:$W$104,15,) / VLOOKUP(F$31,'Annual Parameters'!$B$33:$W$104,15,)</f>
        <v>16034.971530664034</v>
      </c>
      <c r="G36" s="1903">
        <f>G26 * VLOOKUP($B$14,'Annual Parameters'!$B$33:$W$104,3,) / VLOOKUP(G$30,'Annual Parameters'!$B$33:$W$104,3,) * VLOOKUP($B$15,'Annual Parameters'!$B$33:$W$104,15,) / VLOOKUP(G$31,'Annual Parameters'!$B$33:$W$104,15,)</f>
        <v>16719.309247642806</v>
      </c>
      <c r="H36" s="1904">
        <f>H26 * VLOOKUP($B$14,'Annual Parameters'!$B$33:$W$104,3,) / VLOOKUP(H$30,'Annual Parameters'!$B$33:$W$104,3,) * VLOOKUP($B$15,'Annual Parameters'!$B$33:$W$104,15,) / VLOOKUP(H$31,'Annual Parameters'!$B$33:$W$104,15,)</f>
        <v>17169.05047066457</v>
      </c>
      <c r="I36" s="1905">
        <f>I26 * VLOOKUP($B$14,'Annual Parameters'!$B$33:$W$104,3,) / VLOOKUP(I$30,'Annual Parameters'!$B$33:$W$104,3,) * VLOOKUP($B$15,'Annual Parameters'!$B$33:$W$104,15,) / VLOOKUP(I$31,'Annual Parameters'!$B$33:$W$104,15,)</f>
        <v>17368.821628954422</v>
      </c>
      <c r="J36" s="1906">
        <f>J26 * VLOOKUP($B$14,'Annual Parameters'!$B$33:$W$104,3,) / VLOOKUP(J$30,'Annual Parameters'!$B$33:$W$104,3,) * VLOOKUP($B$15,'Annual Parameters'!$B$33:$W$104,15,) / VLOOKUP(J$31,'Annual Parameters'!$B$33:$W$104,15,)</f>
        <v>285.15323023375936</v>
      </c>
    </row>
    <row r="37" spans="1:10" ht="13.5" customHeight="1">
      <c r="A37" s="623" t="s">
        <v>783</v>
      </c>
      <c r="B37" s="609"/>
      <c r="C37" s="624"/>
      <c r="D37" s="1907">
        <f>D27 * VLOOKUP($B$14,'Annual Parameters'!$B$33:$W$104,3,) / VLOOKUP(D$30,'Annual Parameters'!$B$33:$W$104,3,) * VLOOKUP($B$15,'Annual Parameters'!$B$33:$W$104,15,) / VLOOKUP(D$31,'Annual Parameters'!$B$33:$W$104,15,)</f>
        <v>3983.4382544105329</v>
      </c>
      <c r="E37" s="1908">
        <f>E27 * VLOOKUP($B$14,'Annual Parameters'!$B$33:$W$104,3,) / VLOOKUP(E$30,'Annual Parameters'!$B$33:$W$104,3,) * VLOOKUP($B$15,'Annual Parameters'!$B$33:$W$104,15,) / VLOOKUP(E$31,'Annual Parameters'!$B$33:$W$104,15,)</f>
        <v>5746.5994489856848</v>
      </c>
      <c r="F37" s="1906">
        <f>F27 * VLOOKUP($B$14,'Annual Parameters'!$B$33:$W$104,3,) / VLOOKUP(F$30,'Annual Parameters'!$B$33:$W$104,3,) * VLOOKUP($B$15,'Annual Parameters'!$B$33:$W$104,15,) / VLOOKUP(F$31,'Annual Parameters'!$B$33:$W$104,15,)</f>
        <v>13681.91319568164</v>
      </c>
      <c r="G37" s="1907">
        <f>G27 * VLOOKUP($B$14,'Annual Parameters'!$B$33:$W$104,3,) / VLOOKUP(G$30,'Annual Parameters'!$B$33:$W$104,3,) * VLOOKUP($B$15,'Annual Parameters'!$B$33:$W$104,15,) / VLOOKUP(G$31,'Annual Parameters'!$B$33:$W$104,15,)</f>
        <v>1846.0903960938933</v>
      </c>
      <c r="H37" s="1908">
        <f>H27 * VLOOKUP($B$14,'Annual Parameters'!$B$33:$W$104,3,) / VLOOKUP(H$30,'Annual Parameters'!$B$33:$W$104,3,) * VLOOKUP($B$15,'Annual Parameters'!$B$33:$W$104,15,) / VLOOKUP(H$31,'Annual Parameters'!$B$33:$W$104,15,)</f>
        <v>2305.0518264213429</v>
      </c>
      <c r="I37" s="1906">
        <f>I27 * VLOOKUP($B$14,'Annual Parameters'!$B$33:$W$104,3,) / VLOOKUP(I$30,'Annual Parameters'!$B$33:$W$104,3,) * VLOOKUP($B$15,'Annual Parameters'!$B$33:$W$104,15,) / VLOOKUP(I$31,'Annual Parameters'!$B$33:$W$104,15,)</f>
        <v>2434.134728700938</v>
      </c>
      <c r="J37" s="1906">
        <f>J27 * VLOOKUP($B$14,'Annual Parameters'!$B$33:$W$104,3,) / VLOOKUP(J$30,'Annual Parameters'!$B$33:$W$104,3,) * VLOOKUP($B$15,'Annual Parameters'!$B$33:$W$104,15,) / VLOOKUP(J$31,'Annual Parameters'!$B$33:$W$104,15,)</f>
        <v>177.40449056527777</v>
      </c>
    </row>
    <row r="38" spans="1:10" ht="13.5" customHeight="1">
      <c r="A38" s="623" t="s">
        <v>784</v>
      </c>
      <c r="B38" s="609"/>
      <c r="C38" s="624"/>
      <c r="D38" s="1907">
        <f>D28 * VLOOKUP($B$14,'Annual Parameters'!$B$33:$W$104,3,) / VLOOKUP(D$30,'Annual Parameters'!$B$33:$W$104,3,) * VLOOKUP($B$15,'Annual Parameters'!$B$33:$W$104,15,) / VLOOKUP(D$31,'Annual Parameters'!$B$33:$W$104,15,)</f>
        <v>2349.7932216591093</v>
      </c>
      <c r="E38" s="1908">
        <f>E28 * VLOOKUP($B$14,'Annual Parameters'!$B$33:$W$104,3,) / VLOOKUP(E$30,'Annual Parameters'!$B$33:$W$104,3,) * VLOOKUP($B$15,'Annual Parameters'!$B$33:$W$104,15,) / VLOOKUP(E$31,'Annual Parameters'!$B$33:$W$104,15,)</f>
        <v>3809.2988771685418</v>
      </c>
      <c r="F38" s="1906">
        <f>F28 * VLOOKUP($B$14,'Annual Parameters'!$B$33:$W$104,3,) / VLOOKUP(F$30,'Annual Parameters'!$B$33:$W$104,3,) * VLOOKUP($B$15,'Annual Parameters'!$B$33:$W$104,15,) / VLOOKUP(F$31,'Annual Parameters'!$B$33:$W$104,15,)</f>
        <v>6922.0402453691222</v>
      </c>
      <c r="G38" s="1907">
        <f>G28 * VLOOKUP($B$14,'Annual Parameters'!$B$33:$W$104,3,) / VLOOKUP(G$30,'Annual Parameters'!$B$33:$W$104,3,) * VLOOKUP($B$15,'Annual Parameters'!$B$33:$W$104,15,) / VLOOKUP(G$31,'Annual Parameters'!$B$33:$W$104,15,)</f>
        <v>477.40184493882032</v>
      </c>
      <c r="H38" s="1908">
        <f>H28 * VLOOKUP($B$14,'Annual Parameters'!$B$33:$W$104,3,) / VLOOKUP(H$30,'Annual Parameters'!$B$33:$W$104,3,) * VLOOKUP($B$15,'Annual Parameters'!$B$33:$W$104,15,) / VLOOKUP(H$31,'Annual Parameters'!$B$33:$W$104,15,)</f>
        <v>654.63471870366141</v>
      </c>
      <c r="I38" s="1906">
        <f>I28 * VLOOKUP($B$14,'Annual Parameters'!$B$33:$W$104,3,) / VLOOKUP(I$30,'Annual Parameters'!$B$33:$W$104,3,) * VLOOKUP($B$15,'Annual Parameters'!$B$33:$W$104,15,) / VLOOKUP(I$31,'Annual Parameters'!$B$33:$W$104,15,)</f>
        <v>546.04116599225597</v>
      </c>
      <c r="J38" s="1906">
        <f>J28 * VLOOKUP($B$14,'Annual Parameters'!$B$33:$W$104,3,) / VLOOKUP(J$30,'Annual Parameters'!$B$33:$W$104,3,) * VLOOKUP($B$15,'Annual Parameters'!$B$33:$W$104,15,) / VLOOKUP(J$31,'Annual Parameters'!$B$33:$W$104,15,)</f>
        <v>107.74873966848159</v>
      </c>
    </row>
    <row r="39" spans="1:10" ht="13.5" customHeight="1" thickBot="1">
      <c r="A39" s="619" t="s">
        <v>1160</v>
      </c>
      <c r="B39" s="627"/>
      <c r="C39" s="620"/>
      <c r="D39" s="1909">
        <f>D29 * VLOOKUP($B$14,'Annual Parameters'!$B$33:$W$104,3,) / VLOOKUP(D$30,'Annual Parameters'!$B$33:$W$104,3,) * VLOOKUP($B$15,'Annual Parameters'!$B$33:$W$104,15,) / VLOOKUP(D$31,'Annual Parameters'!$B$33:$W$104,15,)</f>
        <v>1680.444990385208</v>
      </c>
      <c r="E39" s="1910">
        <f>E29 * VLOOKUP($B$14,'Annual Parameters'!$B$33:$W$104,3,) / VLOOKUP(E$30,'Annual Parameters'!$B$33:$W$104,3,) * VLOOKUP($B$15,'Annual Parameters'!$B$33:$W$104,15,) / VLOOKUP(E$31,'Annual Parameters'!$B$33:$W$104,15,)</f>
        <v>2511.9605167157124</v>
      </c>
      <c r="F39" s="1911">
        <f>F29 * VLOOKUP($B$14,'Annual Parameters'!$B$33:$W$104,3,) / VLOOKUP(F$30,'Annual Parameters'!$B$33:$W$104,3,) * VLOOKUP($B$15,'Annual Parameters'!$B$33:$W$104,15,) / VLOOKUP(F$31,'Annual Parameters'!$B$33:$W$104,15,)</f>
        <v>2414.0071170170932</v>
      </c>
      <c r="G39" s="1909">
        <f>G29 * VLOOKUP($B$14,'Annual Parameters'!$B$33:$W$104,3,) / VLOOKUP(G$30,'Annual Parameters'!$B$33:$W$104,3,) * VLOOKUP($B$15,'Annual Parameters'!$B$33:$W$104,15,) / VLOOKUP(G$31,'Annual Parameters'!$B$33:$W$104,15,)</f>
        <v>35.186078504102369</v>
      </c>
      <c r="H39" s="1910">
        <f>H29 * VLOOKUP($B$14,'Annual Parameters'!$B$33:$W$104,3,) / VLOOKUP(H$30,'Annual Parameters'!$B$33:$W$104,3,) * VLOOKUP($B$15,'Annual Parameters'!$B$33:$W$104,15,) / VLOOKUP(H$31,'Annual Parameters'!$B$33:$W$104,15,)</f>
        <v>19.719048449267103</v>
      </c>
      <c r="I39" s="1911">
        <f>I29 * VLOOKUP($B$14,'Annual Parameters'!$B$33:$W$104,3,) / VLOOKUP(I$30,'Annual Parameters'!$B$33:$W$104,3,) * VLOOKUP($B$15,'Annual Parameters'!$B$33:$W$104,15,) / VLOOKUP(I$31,'Annual Parameters'!$B$33:$W$104,15,)</f>
        <v>16.576894136092328</v>
      </c>
      <c r="J39" s="1911">
        <f>J29 * VLOOKUP($B$14,'Annual Parameters'!$B$33:$W$104,3,) / VLOOKUP(J$30,'Annual Parameters'!$B$33:$W$104,3,) * VLOOKUP($B$15,'Annual Parameters'!$B$33:$W$104,15,) / VLOOKUP(J$31,'Annual Parameters'!$B$33:$W$104,15,)</f>
        <v>51.153442064834699</v>
      </c>
    </row>
    <row r="40" spans="1:10" ht="13.5" customHeight="1" thickTop="1"/>
    <row r="41" spans="1:10" ht="13.5" customHeight="1">
      <c r="D41" s="1901"/>
      <c r="E41" s="1901"/>
      <c r="F41" s="1901"/>
      <c r="G41" s="1901"/>
      <c r="H41" s="1901"/>
      <c r="I41" s="1901"/>
      <c r="J41" s="1901"/>
    </row>
    <row r="42" spans="1:10" ht="13.5" customHeight="1">
      <c r="D42" s="1901"/>
      <c r="E42" s="1901"/>
      <c r="F42" s="1901"/>
      <c r="G42" s="1901"/>
      <c r="H42" s="1901"/>
      <c r="I42" s="1901"/>
      <c r="J42" s="1901"/>
    </row>
    <row r="43" spans="1:10" ht="13.5" customHeight="1">
      <c r="D43" s="1901"/>
      <c r="E43" s="1901"/>
      <c r="F43" s="1901"/>
      <c r="G43" s="1901"/>
      <c r="H43" s="1901"/>
      <c r="I43" s="1901"/>
      <c r="J43" s="1901"/>
    </row>
    <row r="44" spans="1:10" ht="13.5" customHeight="1">
      <c r="D44" s="1901"/>
      <c r="E44" s="1901"/>
      <c r="F44" s="1901"/>
      <c r="G44" s="1901"/>
      <c r="H44" s="1901"/>
      <c r="I44" s="1901"/>
      <c r="J44" s="1901"/>
    </row>
  </sheetData>
  <sheetProtection sheet="1" objects="1" scenarios="1"/>
  <mergeCells count="9">
    <mergeCell ref="A18:B18"/>
    <mergeCell ref="A19:B19"/>
    <mergeCell ref="A20:B20"/>
    <mergeCell ref="A11:B11"/>
    <mergeCell ref="E6:S6"/>
    <mergeCell ref="A7:B7"/>
    <mergeCell ref="A8:B8"/>
    <mergeCell ref="A10:B10"/>
    <mergeCell ref="A12:B12"/>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rintOptions headings="1" gridLines="1"/>
  <pageMargins left="0.75" right="0.75" top="1" bottom="1" header="0.5" footer="0.5"/>
  <pageSetup paperSize="9" scale="66" orientation="portrait" r:id="rId3"/>
  <headerFooter alignWithMargins="0"/>
  <colBreaks count="1" manualBreakCount="1">
    <brk id="10" max="1048575" man="1"/>
  </colBreaks>
  <drawing r:id="rId4"/>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rgb="FF008000"/>
    <pageSetUpPr fitToPage="1"/>
  </sheetPr>
  <dimension ref="A1:AL200"/>
  <sheetViews>
    <sheetView showGridLines="0" zoomScale="130" zoomScaleNormal="130" workbookViewId="0">
      <selection activeCell="B14" sqref="B14"/>
    </sheetView>
  </sheetViews>
  <sheetFormatPr defaultColWidth="9.109375" defaultRowHeight="13.2"/>
  <cols>
    <col min="1" max="1" width="12.88671875" style="33" customWidth="1"/>
    <col min="2" max="2" width="14.44140625" style="33" customWidth="1"/>
    <col min="3" max="3" width="13.88671875" style="33" customWidth="1"/>
    <col min="4" max="4" width="12.88671875" style="33" customWidth="1"/>
    <col min="5" max="5" width="19.109375" style="33" customWidth="1"/>
    <col min="6" max="26" width="12.8867187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2289</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1100</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30">
        <f>Audit!C12</f>
        <v>43586</v>
      </c>
      <c r="B8" s="3631"/>
      <c r="E8" s="90"/>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172" t="s">
        <v>14</v>
      </c>
      <c r="B9" s="173"/>
      <c r="D9" s="147"/>
      <c r="E9" s="1885" t="s">
        <v>1101</v>
      </c>
      <c r="F9" s="1886"/>
      <c r="G9" s="1886"/>
      <c r="H9" s="1886"/>
      <c r="I9" s="1886"/>
      <c r="J9" s="27"/>
      <c r="K9" s="27"/>
      <c r="L9" s="27"/>
      <c r="M9" s="27"/>
      <c r="N9" s="27"/>
      <c r="O9" s="27"/>
      <c r="P9" s="27"/>
      <c r="Q9" s="27"/>
      <c r="R9" s="27"/>
      <c r="S9" s="55"/>
      <c r="W9" s="26"/>
      <c r="X9" s="26"/>
      <c r="Y9" s="26"/>
      <c r="Z9" s="26"/>
      <c r="AA9" s="31"/>
      <c r="AB9" s="26"/>
      <c r="AL9" s="87"/>
    </row>
    <row r="10" spans="1:38" s="38" customFormat="1" ht="13.5" customHeight="1" thickBot="1">
      <c r="A10" s="3570" t="s">
        <v>1306</v>
      </c>
      <c r="B10" s="3610"/>
      <c r="D10" s="147"/>
      <c r="E10" s="1885" t="s">
        <v>1102</v>
      </c>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570" t="s">
        <v>2280</v>
      </c>
      <c r="B11" s="3581"/>
      <c r="E11" s="2528" t="s">
        <v>1814</v>
      </c>
      <c r="I11" s="68"/>
      <c r="J11" s="68"/>
      <c r="K11" s="68"/>
      <c r="L11" s="68"/>
      <c r="M11" s="68"/>
      <c r="N11" s="68"/>
      <c r="O11" s="68"/>
      <c r="P11" s="68"/>
      <c r="Q11" s="68"/>
      <c r="R11" s="68"/>
      <c r="S11" s="107"/>
      <c r="W11" s="26"/>
      <c r="X11" s="26"/>
      <c r="Y11" s="26"/>
      <c r="Z11" s="26"/>
      <c r="AA11" s="31"/>
      <c r="AB11" s="26"/>
      <c r="AL11" s="87"/>
    </row>
    <row r="12" spans="1:38" s="38" customFormat="1" ht="13.5" customHeight="1" thickBot="1">
      <c r="A12" s="3570" t="s">
        <v>2279</v>
      </c>
      <c r="B12" s="3581"/>
      <c r="E12" s="2528" t="s">
        <v>1813</v>
      </c>
      <c r="I12" s="27"/>
      <c r="J12" s="26"/>
      <c r="K12" s="26"/>
      <c r="L12" s="26"/>
      <c r="M12" s="27"/>
      <c r="N12" s="27"/>
      <c r="O12" s="27"/>
      <c r="P12" s="27"/>
      <c r="Q12" s="27"/>
      <c r="R12" s="27"/>
      <c r="S12" s="55"/>
      <c r="W12" s="26"/>
      <c r="X12" s="26"/>
      <c r="Y12" s="26"/>
      <c r="Z12" s="26"/>
      <c r="AA12" s="31"/>
      <c r="AB12" s="26"/>
      <c r="AL12" s="87"/>
    </row>
    <row r="13" spans="1:38" ht="13.5" customHeight="1">
      <c r="A13" s="172" t="s">
        <v>252</v>
      </c>
      <c r="B13" s="194"/>
      <c r="C13" s="82"/>
      <c r="E13" s="114"/>
      <c r="I13" s="27"/>
      <c r="J13" s="27"/>
      <c r="K13" s="27"/>
      <c r="L13" s="27"/>
      <c r="M13" s="27"/>
      <c r="N13" s="27"/>
      <c r="O13" s="27"/>
      <c r="P13" s="27"/>
      <c r="Q13" s="27"/>
      <c r="R13" s="27"/>
      <c r="S13" s="55"/>
      <c r="W13" s="72"/>
      <c r="X13" s="72"/>
      <c r="Y13" s="72"/>
      <c r="Z13" s="96"/>
      <c r="AA13" s="31"/>
      <c r="AB13" s="26"/>
    </row>
    <row r="14" spans="1:38" ht="13.5" customHeight="1">
      <c r="A14" s="2452" t="s">
        <v>799</v>
      </c>
      <c r="B14" s="2450">
        <f>'User Parameters'!L13</f>
        <v>2010</v>
      </c>
      <c r="C14" s="7"/>
      <c r="E14" s="113"/>
      <c r="I14" s="27"/>
      <c r="J14" s="27"/>
      <c r="K14" s="27"/>
      <c r="L14" s="27"/>
      <c r="M14" s="27"/>
      <c r="N14" s="27"/>
      <c r="O14" s="27"/>
      <c r="P14" s="27"/>
      <c r="Q14" s="27"/>
      <c r="R14" s="27"/>
      <c r="S14" s="55"/>
      <c r="U14" s="25"/>
      <c r="W14" s="56"/>
      <c r="X14" s="72"/>
      <c r="Y14" s="72"/>
      <c r="Z14" s="96"/>
      <c r="AA14" s="31"/>
      <c r="AB14" s="26"/>
    </row>
    <row r="15" spans="1:38" ht="13.5" customHeight="1">
      <c r="A15" s="2441" t="s">
        <v>54</v>
      </c>
      <c r="B15" s="2450">
        <f>'User Parameters'!L19</f>
        <v>2010</v>
      </c>
      <c r="C15" s="178"/>
      <c r="E15" s="113"/>
      <c r="I15" s="26"/>
      <c r="J15" s="26"/>
      <c r="K15" s="26"/>
      <c r="L15" s="26"/>
      <c r="M15" s="26"/>
      <c r="N15" s="26"/>
      <c r="O15" s="26"/>
      <c r="P15" s="26"/>
      <c r="Q15" s="26"/>
      <c r="R15" s="26"/>
      <c r="S15" s="147"/>
      <c r="U15" s="25"/>
      <c r="W15" s="26"/>
      <c r="X15" s="26"/>
      <c r="Y15" s="26"/>
      <c r="Z15" s="26"/>
      <c r="AA15" s="26"/>
      <c r="AB15" s="26"/>
    </row>
    <row r="16" spans="1:38" ht="13.5" customHeight="1">
      <c r="A16" s="2453"/>
      <c r="B16" s="2453"/>
      <c r="C16" s="82"/>
      <c r="E16" s="113"/>
      <c r="I16" s="27"/>
      <c r="J16" s="27"/>
      <c r="K16" s="27"/>
      <c r="L16" s="27"/>
      <c r="M16" s="27"/>
      <c r="N16" s="27"/>
      <c r="O16" s="27"/>
      <c r="P16" s="27"/>
      <c r="Q16" s="27"/>
      <c r="R16" s="27"/>
      <c r="S16" s="55"/>
      <c r="U16" s="25"/>
    </row>
    <row r="17" spans="1:25" ht="13.5" customHeight="1">
      <c r="A17" s="169" t="s">
        <v>253</v>
      </c>
      <c r="B17" s="170"/>
      <c r="C17" s="38"/>
      <c r="E17" s="149"/>
      <c r="I17" s="27"/>
      <c r="J17" s="27"/>
      <c r="K17" s="27"/>
      <c r="L17" s="27"/>
      <c r="M17" s="27"/>
      <c r="N17" s="27"/>
      <c r="O17" s="27"/>
      <c r="P17" s="27"/>
      <c r="Q17" s="27"/>
      <c r="R17" s="27"/>
      <c r="S17" s="55"/>
      <c r="U17" s="25"/>
    </row>
    <row r="18" spans="1:25" ht="13.5" customHeight="1">
      <c r="A18" s="3653"/>
      <c r="B18" s="3797"/>
      <c r="C18" s="2046"/>
      <c r="E18" s="113"/>
      <c r="F18" s="27"/>
      <c r="G18" s="27"/>
      <c r="H18" s="27"/>
      <c r="I18" s="27"/>
      <c r="J18" s="27"/>
      <c r="K18" s="27"/>
      <c r="L18" s="27"/>
      <c r="M18" s="27"/>
      <c r="N18" s="27"/>
      <c r="O18" s="27"/>
      <c r="P18" s="27"/>
      <c r="Q18" s="27"/>
      <c r="R18" s="27"/>
      <c r="S18" s="55"/>
      <c r="U18" s="25"/>
    </row>
    <row r="19" spans="1:25" ht="13.5" customHeight="1">
      <c r="A19" s="2409"/>
      <c r="B19" s="2428"/>
      <c r="E19" s="113"/>
      <c r="F19" s="27"/>
      <c r="G19" s="27"/>
      <c r="H19" s="27"/>
      <c r="I19" s="27"/>
      <c r="J19" s="27"/>
      <c r="K19" s="27"/>
      <c r="L19" s="27"/>
      <c r="M19" s="27"/>
      <c r="N19" s="27"/>
      <c r="O19" s="27"/>
      <c r="P19" s="27"/>
      <c r="Q19" s="27"/>
      <c r="R19" s="27"/>
      <c r="S19" s="55"/>
      <c r="U19" s="25"/>
    </row>
    <row r="20" spans="1:25" ht="13.5" customHeight="1">
      <c r="A20" s="2424"/>
      <c r="B20" s="2424"/>
      <c r="E20" s="265" t="s">
        <v>2373</v>
      </c>
      <c r="F20" s="29"/>
      <c r="G20" s="32"/>
      <c r="H20" s="26"/>
      <c r="I20" s="31"/>
      <c r="J20" s="26"/>
      <c r="K20" s="72"/>
      <c r="L20" s="72"/>
      <c r="M20" s="72"/>
      <c r="N20" s="72"/>
      <c r="O20" s="96"/>
      <c r="P20" s="31"/>
      <c r="Q20" s="26"/>
      <c r="R20" s="26"/>
      <c r="S20" s="147"/>
      <c r="U20" s="25"/>
    </row>
    <row r="21" spans="1:25" ht="13.5" customHeight="1" thickBot="1">
      <c r="A21" s="2424"/>
      <c r="B21" s="2424"/>
      <c r="E21" s="162" t="s">
        <v>2290</v>
      </c>
      <c r="F21" s="163"/>
      <c r="G21" s="164"/>
      <c r="H21" s="13"/>
      <c r="I21" s="165"/>
      <c r="J21" s="13"/>
      <c r="K21" s="166"/>
      <c r="L21" s="166"/>
      <c r="M21" s="166"/>
      <c r="N21" s="166"/>
      <c r="O21" s="167"/>
      <c r="P21" s="165"/>
      <c r="Q21" s="13"/>
      <c r="R21" s="13"/>
      <c r="S21" s="168"/>
      <c r="U21" s="25"/>
    </row>
    <row r="22" spans="1:25" ht="13.5" customHeight="1" thickTop="1" thickBot="1">
      <c r="B22" s="37"/>
      <c r="C22" s="37"/>
      <c r="D22" s="69"/>
      <c r="E22" s="37"/>
      <c r="F22" s="37"/>
      <c r="G22" s="37"/>
      <c r="H22" s="27"/>
      <c r="I22" s="27"/>
      <c r="J22" s="27"/>
      <c r="K22" s="27"/>
      <c r="L22" s="27"/>
      <c r="M22" s="27"/>
      <c r="N22" s="27"/>
      <c r="O22" s="27"/>
      <c r="P22" s="27"/>
      <c r="Q22" s="27"/>
      <c r="R22" s="27"/>
      <c r="S22" s="27"/>
    </row>
    <row r="23" spans="1:25" ht="13.5" customHeight="1" thickTop="1">
      <c r="A23" s="174" t="s">
        <v>933</v>
      </c>
      <c r="B23" s="1684"/>
      <c r="C23" s="1685"/>
      <c r="D23" s="893"/>
      <c r="E23" s="1691"/>
      <c r="F23" s="1691"/>
      <c r="G23" s="1700"/>
      <c r="H23" s="18"/>
      <c r="I23" s="18"/>
      <c r="J23" s="18"/>
      <c r="K23" s="18"/>
      <c r="L23" s="18"/>
      <c r="M23" s="18"/>
      <c r="N23" s="18"/>
      <c r="O23" s="18"/>
      <c r="P23" s="18"/>
      <c r="Q23" s="18"/>
      <c r="R23" s="18"/>
      <c r="S23" s="18"/>
    </row>
    <row r="24" spans="1:25" ht="13.5" customHeight="1" thickBot="1">
      <c r="A24" s="437" t="str">
        <f>CONCATENATE("£ (",B14," prices and ",B15," values)")</f>
        <v>£ (2010 prices and 2010 values)</v>
      </c>
      <c r="B24" s="1701"/>
      <c r="C24" s="1701"/>
      <c r="D24" s="1605"/>
      <c r="E24" s="1702"/>
      <c r="F24" s="1702"/>
      <c r="G24" s="1703"/>
      <c r="H24" s="18"/>
      <c r="I24" s="43"/>
      <c r="J24" s="18"/>
      <c r="K24" s="18"/>
      <c r="L24" s="18"/>
      <c r="M24" s="18"/>
      <c r="N24" s="18"/>
      <c r="O24" s="18"/>
      <c r="P24" s="18"/>
      <c r="Q24" s="18"/>
      <c r="R24" s="18"/>
      <c r="S24" s="18"/>
    </row>
    <row r="25" spans="1:25" ht="13.5" customHeight="1" thickTop="1">
      <c r="A25" s="3789" t="s">
        <v>172</v>
      </c>
      <c r="B25" s="100"/>
      <c r="C25" s="438"/>
      <c r="D25" s="1706" t="s">
        <v>1099</v>
      </c>
      <c r="E25" s="1707"/>
      <c r="F25" s="1707"/>
      <c r="G25" s="1708"/>
      <c r="H25" s="26"/>
      <c r="I25" s="3788"/>
      <c r="J25" s="3788"/>
      <c r="K25" s="3788"/>
      <c r="L25" s="3788"/>
      <c r="M25" s="1695"/>
      <c r="N25" s="1"/>
      <c r="O25" s="1"/>
      <c r="P25" s="1"/>
      <c r="Q25" s="1"/>
      <c r="R25" s="1"/>
      <c r="S25" s="1"/>
    </row>
    <row r="26" spans="1:25" s="27" customFormat="1" ht="17.25" customHeight="1" thickBot="1">
      <c r="A26" s="3790"/>
      <c r="B26" s="659"/>
      <c r="C26" s="439"/>
      <c r="D26" s="1023" t="s">
        <v>1157</v>
      </c>
      <c r="E26" s="1977" t="s">
        <v>1158</v>
      </c>
      <c r="F26" s="1977" t="s">
        <v>787</v>
      </c>
      <c r="G26" s="1978" t="s">
        <v>1096</v>
      </c>
      <c r="H26" s="459"/>
      <c r="I26" s="3788"/>
      <c r="J26" s="1690"/>
      <c r="K26" s="1690"/>
      <c r="L26" s="1690"/>
      <c r="M26" s="1688"/>
      <c r="N26" s="459"/>
      <c r="O26" s="459"/>
      <c r="P26" s="459"/>
      <c r="Q26" s="459"/>
      <c r="R26" s="459"/>
      <c r="S26" s="459"/>
      <c r="U26" s="1704"/>
      <c r="V26" s="1704"/>
      <c r="W26" s="1704"/>
      <c r="X26" s="1704"/>
      <c r="Y26" s="1704"/>
    </row>
    <row r="27" spans="1:25" ht="13.5" customHeight="1" thickTop="1">
      <c r="A27" s="3791" t="s">
        <v>782</v>
      </c>
      <c r="B27" s="3792"/>
      <c r="C27" s="3793"/>
      <c r="D27" s="1980">
        <f>(SUMPRODUCT('Casualty data'!D$27:D$29,'Casualty costs'!$G$27:$G$29)/'Casualty data'!D$26)*VLOOKUP($B$14,'Annual Parameters'!$B$33:$W$143,3,FALSE)/VLOOKUP('Casualty costs'!$B$14,'Annual Parameters'!$B$33:$W$143,3,FALSE)*VLOOKUP($B$15,'Annual Parameters'!$B$33:$W$143,15,FALSE)/VLOOKUP('Casualty costs'!$B$15,'Annual Parameters'!$B$33:$W$143,15,FALSE)+('Accident costs'!D36+'Accident costs'!G36+'Accident costs'!$J36)</f>
        <v>1667918.4915529902</v>
      </c>
      <c r="E27" s="1981">
        <f>(SUMPRODUCT('Casualty data'!E$27:E$29,'Casualty costs'!$G$27:$G$29)/'Casualty data'!E$26)*VLOOKUP($B$14,'Annual Parameters'!$B$33:$W$143,3,FALSE)/VLOOKUP('Casualty costs'!$B$14,'Annual Parameters'!$B$33:$W$143,3,FALSE)*VLOOKUP($B$15,'Annual Parameters'!$B$33:$W$143,15,FALSE)/VLOOKUP('Casualty costs'!$B$15,'Annual Parameters'!$B$33:$W$143,15,FALSE)+('Accident costs'!E36+'Accident costs'!H36+'Accident costs'!$J36)</f>
        <v>1783162.483852183</v>
      </c>
      <c r="F27" s="1981">
        <f>(SUMPRODUCT('Casualty data'!F$27:F$29,'Casualty costs'!$G$27:$G$29)/'Casualty data'!F$26)*VLOOKUP($B$14,'Annual Parameters'!$B$33:$W$143,3,FALSE)/VLOOKUP('Casualty costs'!$B$14,'Annual Parameters'!$B$33:$W$143,3,FALSE)*VLOOKUP($B$15,'Annual Parameters'!$B$33:$W$143,15,FALSE)/VLOOKUP('Casualty costs'!$B$15,'Annual Parameters'!$B$33:$W$143,15,FALSE)+('Accident costs'!F36+'Accident costs'!I36+'Accident costs'!$J36)</f>
        <v>2115100.1853329223</v>
      </c>
      <c r="G27" s="1983">
        <f>SUMPRODUCT(D27:F27,'Accident data'!M26:O26)/'Accident data'!R26</f>
        <v>1745878.9473948043</v>
      </c>
      <c r="H27" s="73"/>
      <c r="I27" s="1696"/>
      <c r="J27" s="1697"/>
      <c r="K27" s="1697"/>
      <c r="L27" s="1697"/>
      <c r="M27" s="1697"/>
      <c r="N27" s="73"/>
      <c r="O27" s="73"/>
      <c r="P27" s="73"/>
      <c r="Q27" s="73"/>
      <c r="R27" s="65"/>
      <c r="S27" s="65"/>
      <c r="U27" s="1704"/>
      <c r="V27" s="1704"/>
      <c r="W27" s="1704"/>
      <c r="X27" s="1704"/>
      <c r="Y27" s="1704"/>
    </row>
    <row r="28" spans="1:25" ht="13.5" customHeight="1">
      <c r="A28" s="3785" t="s">
        <v>783</v>
      </c>
      <c r="B28" s="3786"/>
      <c r="C28" s="3787"/>
      <c r="D28" s="1982">
        <f>(SUMPRODUCT('Casualty data'!D$32:D$34,'Casualty costs'!$G$27:$G$29)/'Casualty data'!D$31)*VLOOKUP($B$14,'Annual Parameters'!$B$33:$W$143,3,FALSE)/VLOOKUP('Casualty costs'!$B$14,'Annual Parameters'!$B$33:$W$143,3,FALSE)*VLOOKUP($B$15,'Annual Parameters'!$B$33:$W$143,15,FALSE)/VLOOKUP('Casualty costs'!$B$15,'Annual Parameters'!$B$33:$W$143,15,FALSE)+('Accident costs'!D37+'Accident costs'!G37+'Accident costs'!$J37)</f>
        <v>191995.83149608001</v>
      </c>
      <c r="E28" s="1888">
        <f>(SUMPRODUCT('Casualty data'!E$32:E$34,'Casualty costs'!$G$27:$G$29)/'Casualty data'!E$31)*VLOOKUP($B$14,'Annual Parameters'!$B$33:$W$143,3,FALSE)/VLOOKUP('Casualty costs'!$B$14,'Annual Parameters'!$B$33:$W$143,3,FALSE)*VLOOKUP($B$15,'Annual Parameters'!$B$33:$W$143,15,FALSE)/VLOOKUP('Casualty costs'!$B$15,'Annual Parameters'!$B$33:$W$143,15,FALSE)+('Accident costs'!E37+'Accident costs'!H37+'Accident costs'!$J37)</f>
        <v>218443.71014918952</v>
      </c>
      <c r="F28" s="1888">
        <f>(SUMPRODUCT('Casualty data'!F$32:F$34,'Casualty costs'!$G$27:$G$29)/'Casualty data'!F$31)*VLOOKUP($B$14,'Annual Parameters'!$B$33:$W$143,3,FALSE)/VLOOKUP('Casualty costs'!$B$14,'Annual Parameters'!$B$33:$W$143,3,FALSE)*VLOOKUP($B$15,'Annual Parameters'!$B$33:$W$143,15,FALSE)/VLOOKUP('Casualty costs'!$B$15,'Annual Parameters'!$B$33:$W$143,15,FALSE)+('Accident costs'!F37+'Accident costs'!I37+'Accident costs'!$J37)</f>
        <v>225533.28198974577</v>
      </c>
      <c r="G28" s="1984">
        <f>SUMPRODUCT(D28:F28,'Accident data'!M27:O27)/'Accident data'!R27</f>
        <v>199613.85372630641</v>
      </c>
      <c r="H28" s="73"/>
      <c r="I28" s="1696"/>
      <c r="J28" s="1697"/>
      <c r="K28" s="1697"/>
      <c r="L28" s="1697"/>
      <c r="M28" s="1697"/>
      <c r="N28" s="73"/>
      <c r="O28" s="73"/>
      <c r="P28" s="73"/>
      <c r="Q28" s="73"/>
      <c r="R28" s="65"/>
      <c r="S28" s="65"/>
    </row>
    <row r="29" spans="1:25" ht="13.5" customHeight="1">
      <c r="A29" s="3785" t="s">
        <v>784</v>
      </c>
      <c r="B29" s="3786"/>
      <c r="C29" s="3787"/>
      <c r="D29" s="1982">
        <f>(SUMPRODUCT('Casualty data'!D$37:D$39,'Casualty costs'!$G$27:$G$29)/'Casualty data'!D$36)*VLOOKUP($B$14,'Annual Parameters'!$B$33:$W$143,3,FALSE)/VLOOKUP('Casualty costs'!$B$14,'Annual Parameters'!$B$33:$W$143,3,FALSE)*VLOOKUP($B$15,'Annual Parameters'!$B$33:$W$143,15,FALSE)/VLOOKUP('Casualty costs'!$B$15,'Annual Parameters'!$B$33:$W$143,15,FALSE)+('Accident costs'!D38+'Accident costs'!G38+'Accident costs'!$J38)</f>
        <v>19705.927081924994</v>
      </c>
      <c r="E29" s="1888">
        <f>(SUMPRODUCT('Casualty data'!E$37:E$39,'Casualty costs'!$G$27:$G$29)/'Casualty data'!E$36)*VLOOKUP($B$14,'Annual Parameters'!$B$33:$W$143,3,FALSE)/VLOOKUP('Casualty costs'!$B$14,'Annual Parameters'!$B$33:$W$143,3,FALSE)*VLOOKUP($B$15,'Annual Parameters'!$B$33:$W$143,15,FALSE)/VLOOKUP('Casualty costs'!$B$15,'Annual Parameters'!$B$33:$W$143,15,FALSE)+('Accident costs'!E38+'Accident costs'!H38+'Accident costs'!$J38)</f>
        <v>24143.461335501437</v>
      </c>
      <c r="F29" s="1888">
        <f>(SUMPRODUCT('Casualty data'!F$37:F$39,'Casualty costs'!$G$27:$G$29)/'Casualty data'!F$36)*VLOOKUP($B$14,'Annual Parameters'!$B$33:$W$143,3,FALSE)/VLOOKUP('Casualty costs'!$B$14,'Annual Parameters'!$B$33:$W$143,3,FALSE)*VLOOKUP($B$15,'Annual Parameters'!$B$33:$W$143,15,FALSE)/VLOOKUP('Casualty costs'!$B$15,'Annual Parameters'!$B$33:$W$143,15,FALSE)+('Accident costs'!F38+'Accident costs'!I38+'Accident costs'!$J38)</f>
        <v>28695.515557825638</v>
      </c>
      <c r="G29" s="1984">
        <f>SUMPRODUCT(D29:F29,'Accident data'!M28:O28)/'Accident data'!R28</f>
        <v>20850.696460479394</v>
      </c>
      <c r="H29" s="73"/>
      <c r="I29" s="1696"/>
      <c r="J29" s="1697"/>
      <c r="K29" s="1697"/>
      <c r="L29" s="1697"/>
      <c r="M29" s="1697"/>
      <c r="N29" s="73"/>
      <c r="O29" s="73"/>
      <c r="P29" s="73"/>
      <c r="Q29" s="73"/>
      <c r="R29" s="65"/>
      <c r="S29" s="65"/>
    </row>
    <row r="30" spans="1:25" ht="13.5" customHeight="1">
      <c r="A30" s="3785" t="s">
        <v>1069</v>
      </c>
      <c r="B30" s="3786"/>
      <c r="C30" s="3787"/>
      <c r="D30" s="1982">
        <f>SUMPRODUCT(D27:D29,'Accident data'!$F$26:$F$28)/SUM('Accident data'!$F$26:$F$28)</f>
        <v>60376.828394837983</v>
      </c>
      <c r="E30" s="1888">
        <f>SUMPRODUCT(E27:E29,'Accident data'!$I$26:$I$28)/SUM('Accident data'!$I$26:$I$28)</f>
        <v>124917.94014435164</v>
      </c>
      <c r="F30" s="1888">
        <f>SUMPRODUCT(F27:F29,'Accident data'!$L$26:$L$28)/SUM('Accident data'!$L$26:$L$28)</f>
        <v>88066.960428615188</v>
      </c>
      <c r="G30" s="1984">
        <f>SUMPRODUCT(G27:G29,'Accident data'!$R$26:$R$28)/SUM('Accident data'!$R$26:$R$28)</f>
        <v>74087.499635222994</v>
      </c>
      <c r="H30" s="73"/>
      <c r="I30" s="1696"/>
      <c r="J30" s="1697"/>
      <c r="K30" s="1697"/>
      <c r="L30" s="1697"/>
      <c r="M30" s="1697"/>
      <c r="N30" s="73"/>
      <c r="O30" s="73"/>
      <c r="P30" s="73"/>
      <c r="Q30" s="73"/>
      <c r="R30" s="65"/>
      <c r="S30" s="65"/>
    </row>
    <row r="31" spans="1:25" ht="13.5" customHeight="1">
      <c r="A31" s="3785" t="s">
        <v>1070</v>
      </c>
      <c r="B31" s="3786"/>
      <c r="C31" s="3787"/>
      <c r="D31" s="1982">
        <f>'Accident costs'!D39+'Accident costs'!G39+'Accident costs'!$J$39</f>
        <v>1766.7845109541452</v>
      </c>
      <c r="E31" s="1888">
        <f>'Accident costs'!E39+'Accident costs'!H39+'Accident costs'!$J$39</f>
        <v>2582.833007229814</v>
      </c>
      <c r="F31" s="1888">
        <f>'Accident costs'!F39+'Accident costs'!I39+'Accident costs'!$J$39</f>
        <v>2481.7374532180202</v>
      </c>
      <c r="G31" s="1984">
        <f>SUMPRODUCT(D31:F31,'Accident data'!M29:O29)/'Accident data'!R29</f>
        <v>1861.1512955379258</v>
      </c>
      <c r="H31" s="1985"/>
      <c r="I31" s="1696"/>
      <c r="J31" s="1697"/>
      <c r="K31" s="1697"/>
      <c r="L31" s="1697"/>
      <c r="M31" s="1697"/>
      <c r="N31" s="73"/>
      <c r="O31" s="73"/>
      <c r="P31" s="73"/>
      <c r="Q31" s="73"/>
      <c r="R31" s="65"/>
      <c r="S31" s="65"/>
    </row>
    <row r="32" spans="1:25" ht="13.5" customHeight="1">
      <c r="A32" s="3794" t="s">
        <v>1812</v>
      </c>
      <c r="B32" s="3795"/>
      <c r="C32" s="3796"/>
      <c r="D32" s="1982">
        <f>(D30*SUM('Accident data'!M26:M28)+D31*'Accident data'!M29)/SUM('Accident data'!M26:M28)</f>
        <v>91648.912465611822</v>
      </c>
      <c r="E32" s="1888">
        <f>(E30*SUM('Accident data'!N26:N28)+E31*'Accident data'!N29)/SUM('Accident data'!N26:N28)</f>
        <v>145064.09822351165</v>
      </c>
      <c r="F32" s="1888">
        <f>(F30*SUM('Accident data'!O26:O28)+F31*'Accident data'!O29)/SUM('Accident data'!O26:O28)</f>
        <v>106928.26895492451</v>
      </c>
      <c r="G32" s="1984">
        <f>(D32*SUM('Accident data'!F26:F28)+E32*SUM('Accident data'!I26:I28)+F32*SUM('Accident data'!L26:L28))/SUM('Accident data'!R26:R28)</f>
        <v>102715.3295541391</v>
      </c>
      <c r="H32" s="1985"/>
      <c r="I32" s="1696"/>
      <c r="J32" s="1697"/>
      <c r="K32" s="1697"/>
      <c r="L32" s="1697"/>
      <c r="M32" s="1697"/>
      <c r="N32" s="73"/>
      <c r="O32" s="73"/>
      <c r="P32" s="73"/>
      <c r="Q32" s="73"/>
      <c r="R32" s="65"/>
      <c r="S32" s="65"/>
    </row>
    <row r="33" spans="1:25" ht="13.5" customHeight="1" thickBot="1">
      <c r="A33" s="3782" t="s">
        <v>1811</v>
      </c>
      <c r="B33" s="3783"/>
      <c r="C33" s="3784"/>
      <c r="D33" s="2987">
        <f>(D30*SUM('Accident data'!M26:M28)+D31*'Accident data'!M29)/SUM('Accident data'!M26:M29)</f>
        <v>4901.0116248226068</v>
      </c>
      <c r="E33" s="2988">
        <f>(E30*SUM('Accident data'!N26:N28)+E31*'Accident data'!N29)/SUM('Accident data'!N26:N29)</f>
        <v>16484.512648696975</v>
      </c>
      <c r="F33" s="2988">
        <f>(F30*SUM('Accident data'!O26:O28)+F31*'Accident data'!O29)/SUM('Accident data'!O26:O29)</f>
        <v>12433.459128924324</v>
      </c>
      <c r="G33" s="2989">
        <f>(SUMPRODUCT(G27:G29,'Accident data'!R26:R28)+G31*'Accident data'!R29)/SUM('Accident data'!R26:R29)</f>
        <v>6270.0936881637372</v>
      </c>
      <c r="H33" s="73"/>
      <c r="I33" s="1698"/>
      <c r="J33" s="1699"/>
      <c r="K33" s="1699"/>
      <c r="L33" s="1699"/>
      <c r="M33" s="1699"/>
      <c r="N33" s="73"/>
      <c r="O33" s="73"/>
      <c r="P33" s="73"/>
      <c r="Q33" s="73"/>
      <c r="R33" s="65"/>
      <c r="S33" s="65"/>
    </row>
    <row r="34" spans="1:25" ht="13.5" customHeight="1" thickTop="1">
      <c r="A34" s="1979"/>
      <c r="B34" s="82"/>
      <c r="C34" s="82"/>
      <c r="D34" s="73"/>
      <c r="E34" s="73"/>
      <c r="F34" s="73"/>
      <c r="G34" s="73"/>
      <c r="H34" s="73"/>
      <c r="I34" s="73"/>
      <c r="J34" s="73"/>
      <c r="K34" s="73"/>
      <c r="L34" s="73"/>
      <c r="M34" s="73"/>
      <c r="N34" s="73"/>
      <c r="O34" s="73"/>
      <c r="P34" s="73"/>
      <c r="Q34" s="73"/>
      <c r="R34" s="65"/>
      <c r="S34" s="65"/>
    </row>
    <row r="35" spans="1:25" ht="13.5" customHeight="1">
      <c r="A35" s="27"/>
      <c r="B35" s="82"/>
      <c r="C35" s="82"/>
      <c r="E35" s="885"/>
      <c r="F35" s="73"/>
      <c r="G35" s="73"/>
      <c r="H35" s="73"/>
      <c r="I35" s="73"/>
      <c r="J35" s="73"/>
      <c r="K35" s="73"/>
      <c r="L35" s="73"/>
      <c r="M35" s="73"/>
      <c r="N35" s="73"/>
      <c r="O35" s="73"/>
      <c r="P35" s="73"/>
      <c r="Q35" s="73"/>
      <c r="R35" s="65"/>
      <c r="S35" s="65"/>
    </row>
    <row r="36" spans="1:25" s="24" customFormat="1" ht="13.5" customHeight="1">
      <c r="B36" s="32"/>
      <c r="C36" s="32"/>
      <c r="D36" s="1889"/>
      <c r="E36" s="1890"/>
      <c r="F36" s="1198"/>
      <c r="G36" s="80"/>
      <c r="H36" s="80"/>
      <c r="I36" s="80"/>
      <c r="J36" s="80"/>
      <c r="K36" s="80"/>
      <c r="L36" s="80"/>
      <c r="M36" s="80"/>
      <c r="N36" s="80"/>
      <c r="O36" s="80"/>
      <c r="P36" s="80"/>
      <c r="Q36" s="80"/>
      <c r="R36" s="119"/>
      <c r="S36" s="119"/>
    </row>
    <row r="37" spans="1:25" ht="13.5" customHeight="1">
      <c r="A37" s="27"/>
      <c r="B37" s="82"/>
      <c r="C37" s="82"/>
      <c r="D37" s="73"/>
      <c r="E37" s="1890"/>
      <c r="F37" s="1198"/>
      <c r="G37" s="73"/>
      <c r="H37" s="73"/>
      <c r="I37" s="73"/>
      <c r="J37" s="73"/>
      <c r="K37" s="73"/>
      <c r="L37" s="73"/>
      <c r="M37" s="73"/>
      <c r="N37" s="73"/>
      <c r="O37" s="73"/>
      <c r="P37" s="73"/>
      <c r="Q37" s="73"/>
      <c r="R37" s="65"/>
      <c r="S37" s="65"/>
      <c r="U37" s="1705"/>
      <c r="V37" s="1705"/>
      <c r="W37" s="1705"/>
      <c r="X37" s="1705"/>
      <c r="Y37" s="1705"/>
    </row>
    <row r="38" spans="1:25" ht="13.5" customHeight="1">
      <c r="A38" s="27"/>
      <c r="B38" s="82"/>
      <c r="C38" s="82"/>
      <c r="D38" s="73"/>
      <c r="E38" s="1890"/>
      <c r="F38" s="1198"/>
      <c r="G38" s="73"/>
      <c r="H38" s="73"/>
      <c r="I38" s="73"/>
      <c r="J38" s="73"/>
      <c r="K38" s="73"/>
      <c r="L38" s="73"/>
      <c r="M38" s="73"/>
      <c r="N38" s="73"/>
      <c r="O38" s="73"/>
      <c r="P38" s="73"/>
      <c r="Q38" s="73"/>
      <c r="R38" s="65"/>
      <c r="S38" s="65"/>
      <c r="U38" s="1705"/>
      <c r="V38" s="1705"/>
      <c r="W38" s="1705"/>
      <c r="X38" s="1705"/>
      <c r="Y38" s="1705"/>
    </row>
    <row r="39" spans="1:25" ht="13.5" customHeight="1">
      <c r="A39" s="27"/>
      <c r="B39" s="82"/>
      <c r="C39" s="82"/>
      <c r="D39" s="73"/>
      <c r="E39" s="885"/>
      <c r="F39" s="73"/>
      <c r="G39" s="73"/>
      <c r="H39" s="73"/>
      <c r="I39" s="73"/>
      <c r="J39" s="73"/>
      <c r="K39" s="73"/>
      <c r="L39" s="73"/>
      <c r="M39" s="73"/>
      <c r="N39" s="73"/>
      <c r="O39" s="73"/>
      <c r="P39" s="73"/>
      <c r="Q39" s="73"/>
      <c r="R39" s="65"/>
      <c r="S39" s="65"/>
      <c r="U39" s="26"/>
    </row>
    <row r="40" spans="1:25" ht="13.5" customHeight="1">
      <c r="A40" s="27"/>
      <c r="B40" s="82"/>
      <c r="C40" s="82"/>
      <c r="D40" s="73"/>
      <c r="E40" s="73"/>
      <c r="F40" s="73"/>
      <c r="G40" s="73"/>
      <c r="H40" s="73"/>
      <c r="I40" s="73"/>
      <c r="J40" s="73"/>
      <c r="K40" s="73"/>
      <c r="L40" s="73"/>
      <c r="M40" s="73"/>
      <c r="N40" s="73"/>
      <c r="O40" s="73"/>
      <c r="P40" s="73"/>
      <c r="Q40" s="73"/>
      <c r="R40" s="65"/>
      <c r="S40" s="65"/>
      <c r="U40" s="26"/>
    </row>
    <row r="41" spans="1:25" ht="13.5" customHeight="1">
      <c r="A41" s="27"/>
      <c r="B41" s="82"/>
      <c r="C41" s="82"/>
      <c r="D41" s="73"/>
      <c r="E41" s="73"/>
      <c r="F41" s="73"/>
      <c r="G41" s="73"/>
      <c r="H41" s="73"/>
      <c r="I41" s="73"/>
      <c r="J41" s="73"/>
      <c r="K41" s="73"/>
      <c r="L41" s="73"/>
      <c r="M41" s="73"/>
      <c r="N41" s="73"/>
      <c r="O41" s="73"/>
      <c r="P41" s="73"/>
      <c r="Q41" s="73"/>
      <c r="R41" s="65"/>
      <c r="S41" s="65"/>
    </row>
    <row r="42" spans="1:25" ht="13.5" customHeight="1">
      <c r="A42" s="27"/>
      <c r="B42" s="82"/>
      <c r="C42" s="82"/>
      <c r="D42" s="73"/>
      <c r="E42" s="73"/>
      <c r="F42" s="73"/>
      <c r="G42" s="73"/>
      <c r="H42" s="73"/>
      <c r="I42" s="73"/>
      <c r="J42" s="73"/>
      <c r="K42" s="73"/>
      <c r="L42" s="73"/>
      <c r="M42" s="73"/>
      <c r="N42" s="73"/>
      <c r="O42" s="73"/>
      <c r="P42" s="73"/>
      <c r="Q42" s="73"/>
      <c r="R42" s="65"/>
      <c r="S42" s="65"/>
    </row>
    <row r="43" spans="1:25" ht="13.5" customHeight="1">
      <c r="A43" s="27"/>
      <c r="B43" s="82"/>
      <c r="C43" s="82"/>
      <c r="D43" s="73"/>
      <c r="E43" s="73"/>
      <c r="F43" s="73"/>
      <c r="G43" s="73"/>
      <c r="H43" s="73"/>
      <c r="I43" s="73"/>
      <c r="J43" s="73"/>
      <c r="K43" s="73"/>
      <c r="L43" s="73"/>
      <c r="M43" s="73"/>
      <c r="N43" s="73"/>
      <c r="O43" s="73"/>
      <c r="P43" s="73"/>
      <c r="Q43" s="73"/>
      <c r="R43" s="65"/>
      <c r="S43" s="65"/>
    </row>
    <row r="44" spans="1:25" ht="13.5" customHeight="1">
      <c r="A44" s="27"/>
      <c r="B44" s="82"/>
      <c r="C44" s="82"/>
      <c r="D44" s="73"/>
      <c r="E44" s="73"/>
      <c r="F44" s="73"/>
      <c r="G44" s="73"/>
      <c r="H44" s="73"/>
      <c r="I44" s="73"/>
      <c r="J44" s="73"/>
      <c r="K44" s="73"/>
      <c r="L44" s="73"/>
      <c r="M44" s="73"/>
      <c r="N44" s="73"/>
      <c r="O44" s="73"/>
      <c r="P44" s="73"/>
      <c r="Q44" s="73"/>
      <c r="R44" s="65"/>
      <c r="S44" s="65"/>
    </row>
    <row r="45" spans="1:25" ht="13.5" customHeight="1">
      <c r="A45" s="27"/>
      <c r="B45" s="82"/>
      <c r="C45" s="82"/>
      <c r="D45" s="73"/>
      <c r="E45" s="73"/>
      <c r="F45" s="73"/>
      <c r="G45" s="73"/>
      <c r="H45" s="73"/>
      <c r="I45" s="73"/>
      <c r="J45" s="73"/>
      <c r="K45" s="73"/>
      <c r="L45" s="73"/>
      <c r="M45" s="73"/>
      <c r="N45" s="73"/>
      <c r="O45" s="73"/>
      <c r="P45" s="73"/>
      <c r="Q45" s="73"/>
      <c r="R45" s="65"/>
      <c r="S45" s="65"/>
    </row>
    <row r="46" spans="1:25" ht="13.5" customHeight="1">
      <c r="A46" s="27"/>
      <c r="B46" s="82"/>
      <c r="C46" s="82"/>
      <c r="D46" s="73"/>
      <c r="E46" s="73"/>
      <c r="F46" s="73"/>
      <c r="G46" s="73"/>
      <c r="H46" s="73"/>
      <c r="I46" s="73"/>
      <c r="J46" s="73"/>
      <c r="K46" s="73"/>
      <c r="L46" s="73"/>
      <c r="M46" s="73"/>
      <c r="N46" s="73"/>
      <c r="O46" s="73"/>
      <c r="P46" s="73"/>
      <c r="Q46" s="73"/>
      <c r="R46" s="65"/>
      <c r="S46" s="65"/>
    </row>
    <row r="47" spans="1:25" ht="13.5" customHeight="1">
      <c r="A47" s="27"/>
      <c r="B47" s="82"/>
      <c r="C47" s="82"/>
      <c r="D47" s="73"/>
      <c r="E47" s="73"/>
      <c r="F47" s="73"/>
      <c r="G47" s="73"/>
      <c r="H47" s="73"/>
      <c r="I47" s="73"/>
      <c r="J47" s="73"/>
      <c r="K47" s="73"/>
      <c r="L47" s="73"/>
      <c r="M47" s="73"/>
      <c r="N47" s="73"/>
      <c r="O47" s="73"/>
      <c r="P47" s="73"/>
      <c r="Q47" s="73"/>
      <c r="R47" s="65"/>
      <c r="S47" s="65"/>
    </row>
    <row r="48" spans="1:25" ht="13.5" customHeight="1">
      <c r="A48" s="27"/>
      <c r="B48" s="82"/>
      <c r="C48" s="82"/>
      <c r="D48" s="73"/>
      <c r="E48" s="73"/>
      <c r="F48" s="73"/>
      <c r="G48" s="73"/>
      <c r="H48" s="73"/>
      <c r="I48" s="73"/>
      <c r="J48" s="73"/>
      <c r="K48" s="73"/>
      <c r="L48" s="73"/>
      <c r="M48" s="73"/>
      <c r="N48" s="73"/>
      <c r="O48" s="73"/>
      <c r="P48" s="73"/>
      <c r="Q48" s="73"/>
      <c r="R48" s="65"/>
      <c r="S48" s="65"/>
    </row>
    <row r="49" spans="1:19" ht="13.5" customHeight="1">
      <c r="A49" s="27"/>
      <c r="B49" s="82"/>
      <c r="C49" s="82"/>
      <c r="D49" s="73"/>
      <c r="E49" s="73"/>
      <c r="F49" s="73"/>
      <c r="G49" s="73"/>
      <c r="H49" s="73"/>
      <c r="I49" s="73"/>
      <c r="J49" s="73"/>
      <c r="K49" s="73"/>
      <c r="L49" s="73"/>
      <c r="M49" s="73"/>
      <c r="N49" s="73"/>
      <c r="O49" s="73"/>
      <c r="P49" s="73"/>
      <c r="Q49" s="73"/>
      <c r="R49" s="65"/>
      <c r="S49" s="65"/>
    </row>
    <row r="50" spans="1:19" ht="13.5" customHeight="1">
      <c r="A50" s="27"/>
      <c r="B50" s="82"/>
      <c r="C50" s="82"/>
      <c r="D50" s="73"/>
      <c r="E50" s="73"/>
      <c r="F50" s="73"/>
      <c r="G50" s="73"/>
      <c r="H50" s="73"/>
      <c r="I50" s="73"/>
      <c r="J50" s="73"/>
      <c r="K50" s="73"/>
      <c r="L50" s="73"/>
      <c r="M50" s="73"/>
      <c r="N50" s="73"/>
      <c r="O50" s="73"/>
      <c r="P50" s="73"/>
      <c r="Q50" s="73"/>
      <c r="R50" s="65"/>
      <c r="S50" s="65"/>
    </row>
    <row r="51" spans="1:19" ht="13.5" customHeight="1">
      <c r="A51" s="27"/>
      <c r="B51" s="82"/>
      <c r="C51" s="82"/>
      <c r="D51" s="73"/>
      <c r="E51" s="73"/>
      <c r="F51" s="73"/>
      <c r="G51" s="73"/>
      <c r="H51" s="73"/>
      <c r="I51" s="73"/>
      <c r="J51" s="73"/>
      <c r="K51" s="73"/>
      <c r="L51" s="73"/>
      <c r="M51" s="73"/>
      <c r="N51" s="73"/>
      <c r="O51" s="73"/>
      <c r="P51" s="73"/>
      <c r="Q51" s="73"/>
      <c r="R51" s="65"/>
      <c r="S51" s="65"/>
    </row>
    <row r="52" spans="1:19" ht="13.5" customHeight="1">
      <c r="A52" s="27"/>
      <c r="B52" s="82"/>
      <c r="C52" s="82"/>
      <c r="D52" s="73"/>
      <c r="E52" s="73"/>
      <c r="F52" s="73"/>
      <c r="G52" s="73"/>
      <c r="H52" s="73"/>
      <c r="I52" s="73"/>
      <c r="J52" s="73"/>
      <c r="K52" s="73"/>
      <c r="L52" s="73"/>
      <c r="M52" s="73"/>
      <c r="N52" s="73"/>
      <c r="O52" s="73"/>
      <c r="P52" s="73"/>
      <c r="Q52" s="73"/>
      <c r="R52" s="65"/>
      <c r="S52" s="65"/>
    </row>
    <row r="53" spans="1:19" ht="13.5" customHeight="1">
      <c r="A53" s="27"/>
      <c r="B53" s="82"/>
      <c r="C53" s="82"/>
      <c r="D53" s="73"/>
      <c r="E53" s="73"/>
      <c r="F53" s="73"/>
      <c r="G53" s="73"/>
      <c r="H53" s="73"/>
      <c r="I53" s="73"/>
      <c r="J53" s="73"/>
      <c r="K53" s="73"/>
      <c r="L53" s="73"/>
      <c r="M53" s="73"/>
      <c r="N53" s="73"/>
      <c r="O53" s="73"/>
      <c r="P53" s="73"/>
      <c r="Q53" s="73"/>
      <c r="R53" s="65"/>
      <c r="S53" s="65"/>
    </row>
    <row r="54" spans="1:19" ht="13.5" customHeight="1">
      <c r="A54" s="27"/>
      <c r="B54" s="82"/>
      <c r="C54" s="82"/>
      <c r="D54" s="73"/>
      <c r="E54" s="73"/>
      <c r="F54" s="73"/>
      <c r="G54" s="73"/>
      <c r="H54" s="73"/>
      <c r="I54" s="73"/>
      <c r="J54" s="73"/>
      <c r="K54" s="73"/>
      <c r="L54" s="73"/>
      <c r="M54" s="73"/>
      <c r="N54" s="73"/>
      <c r="O54" s="73"/>
      <c r="P54" s="73"/>
      <c r="Q54" s="73"/>
      <c r="R54" s="65"/>
      <c r="S54" s="65"/>
    </row>
    <row r="55" spans="1:19" ht="13.5" customHeight="1">
      <c r="A55" s="27"/>
      <c r="B55" s="82"/>
      <c r="C55" s="82"/>
      <c r="D55" s="73"/>
      <c r="E55" s="73"/>
      <c r="F55" s="73"/>
      <c r="G55" s="73"/>
      <c r="H55" s="73"/>
      <c r="I55" s="73"/>
      <c r="J55" s="73"/>
      <c r="K55" s="73"/>
      <c r="L55" s="73"/>
      <c r="M55" s="73"/>
      <c r="N55" s="73"/>
      <c r="O55" s="73"/>
      <c r="P55" s="73"/>
      <c r="Q55" s="73"/>
      <c r="R55" s="65"/>
      <c r="S55" s="65"/>
    </row>
    <row r="56" spans="1:19" ht="13.5" customHeight="1">
      <c r="A56" s="27"/>
      <c r="B56" s="82"/>
      <c r="C56" s="82"/>
      <c r="D56" s="73"/>
      <c r="E56" s="73"/>
      <c r="F56" s="73"/>
      <c r="G56" s="73"/>
      <c r="H56" s="73"/>
      <c r="I56" s="73"/>
      <c r="J56" s="73"/>
      <c r="K56" s="73"/>
      <c r="L56" s="73"/>
      <c r="M56" s="73"/>
      <c r="N56" s="73"/>
      <c r="O56" s="73"/>
      <c r="P56" s="73"/>
      <c r="Q56" s="73"/>
      <c r="R56" s="65"/>
      <c r="S56" s="65"/>
    </row>
    <row r="57" spans="1:19" ht="13.5" customHeight="1">
      <c r="A57" s="27"/>
      <c r="B57" s="82"/>
      <c r="C57" s="82"/>
      <c r="D57" s="73"/>
      <c r="E57" s="73"/>
      <c r="F57" s="73"/>
      <c r="G57" s="73"/>
      <c r="H57" s="73"/>
      <c r="I57" s="73"/>
      <c r="J57" s="73"/>
      <c r="K57" s="73"/>
      <c r="L57" s="73"/>
      <c r="M57" s="73"/>
      <c r="N57" s="73"/>
      <c r="O57" s="73"/>
      <c r="P57" s="73"/>
      <c r="Q57" s="73"/>
      <c r="R57" s="65"/>
      <c r="S57" s="65"/>
    </row>
    <row r="58" spans="1:19" ht="13.5" customHeight="1">
      <c r="A58" s="27"/>
      <c r="B58" s="82"/>
      <c r="C58" s="82"/>
      <c r="D58" s="73"/>
      <c r="E58" s="73"/>
      <c r="F58" s="73"/>
      <c r="G58" s="73"/>
      <c r="H58" s="73"/>
      <c r="I58" s="73"/>
      <c r="J58" s="73"/>
      <c r="K58" s="73"/>
      <c r="L58" s="73"/>
      <c r="M58" s="73"/>
      <c r="N58" s="73"/>
      <c r="O58" s="73"/>
      <c r="P58" s="73"/>
      <c r="Q58" s="73"/>
      <c r="R58" s="65"/>
      <c r="S58" s="65"/>
    </row>
    <row r="59" spans="1:19" ht="13.5" customHeight="1">
      <c r="A59" s="27"/>
      <c r="B59" s="82"/>
      <c r="C59" s="82"/>
      <c r="D59" s="73"/>
      <c r="E59" s="73"/>
      <c r="F59" s="73"/>
      <c r="G59" s="73"/>
      <c r="H59" s="73"/>
      <c r="I59" s="73"/>
      <c r="J59" s="73"/>
      <c r="K59" s="73"/>
      <c r="L59" s="73"/>
      <c r="M59" s="73"/>
      <c r="N59" s="73"/>
      <c r="O59" s="73"/>
      <c r="P59" s="73"/>
      <c r="Q59" s="73"/>
      <c r="R59" s="65"/>
      <c r="S59" s="65"/>
    </row>
    <row r="60" spans="1:19" ht="13.5" customHeight="1">
      <c r="A60" s="27"/>
      <c r="B60" s="82"/>
      <c r="C60" s="82"/>
      <c r="D60" s="73"/>
      <c r="E60" s="73"/>
      <c r="F60" s="73"/>
      <c r="G60" s="73"/>
      <c r="H60" s="73"/>
      <c r="I60" s="73"/>
      <c r="J60" s="73"/>
      <c r="K60" s="73"/>
      <c r="L60" s="73"/>
      <c r="M60" s="73"/>
      <c r="N60" s="73"/>
      <c r="O60" s="73"/>
      <c r="P60" s="73"/>
      <c r="Q60" s="73"/>
      <c r="R60" s="65"/>
      <c r="S60" s="65"/>
    </row>
    <row r="61" spans="1:19" ht="13.5" customHeight="1">
      <c r="A61" s="27"/>
      <c r="B61" s="82"/>
      <c r="C61" s="82"/>
      <c r="D61" s="73"/>
      <c r="E61" s="73"/>
      <c r="F61" s="73"/>
      <c r="G61" s="73"/>
      <c r="H61" s="73"/>
      <c r="I61" s="73"/>
      <c r="J61" s="73"/>
      <c r="K61" s="73"/>
      <c r="L61" s="73"/>
      <c r="M61" s="73"/>
      <c r="N61" s="73"/>
      <c r="O61" s="73"/>
      <c r="P61" s="73"/>
      <c r="Q61" s="73"/>
      <c r="R61" s="65"/>
      <c r="S61" s="65"/>
    </row>
    <row r="62" spans="1:19" ht="13.5" customHeight="1">
      <c r="A62" s="27"/>
      <c r="B62" s="82"/>
      <c r="C62" s="82"/>
      <c r="D62" s="73"/>
      <c r="E62" s="73"/>
      <c r="F62" s="73"/>
      <c r="G62" s="73"/>
      <c r="H62" s="73"/>
      <c r="I62" s="73"/>
      <c r="J62" s="73"/>
      <c r="K62" s="73"/>
      <c r="L62" s="73"/>
      <c r="M62" s="73"/>
      <c r="N62" s="73"/>
      <c r="O62" s="73"/>
      <c r="P62" s="73"/>
      <c r="Q62" s="73"/>
      <c r="R62" s="65"/>
      <c r="S62" s="65"/>
    </row>
    <row r="63" spans="1:19" ht="13.5" customHeight="1">
      <c r="A63" s="27"/>
      <c r="B63" s="82"/>
      <c r="C63" s="82"/>
      <c r="D63" s="73"/>
      <c r="E63" s="73"/>
      <c r="F63" s="73"/>
      <c r="G63" s="73"/>
      <c r="H63" s="73"/>
      <c r="I63" s="73"/>
      <c r="J63" s="73"/>
      <c r="K63" s="73"/>
      <c r="L63" s="73"/>
      <c r="M63" s="73"/>
      <c r="N63" s="73"/>
      <c r="O63" s="73"/>
      <c r="P63" s="73"/>
      <c r="Q63" s="73"/>
      <c r="R63" s="65"/>
      <c r="S63" s="65"/>
    </row>
    <row r="64" spans="1:19" ht="13.5" customHeight="1">
      <c r="A64" s="27"/>
      <c r="B64" s="82"/>
      <c r="C64" s="82"/>
      <c r="D64" s="73"/>
      <c r="E64" s="73"/>
      <c r="F64" s="73"/>
      <c r="G64" s="73"/>
      <c r="H64" s="73"/>
      <c r="I64" s="73"/>
      <c r="J64" s="73"/>
      <c r="K64" s="73"/>
      <c r="L64" s="73"/>
      <c r="M64" s="73"/>
      <c r="N64" s="73"/>
      <c r="O64" s="73"/>
      <c r="P64" s="73"/>
      <c r="Q64" s="73"/>
      <c r="R64" s="65"/>
      <c r="S64" s="65"/>
    </row>
    <row r="65" spans="1:19" ht="13.5" customHeight="1">
      <c r="A65" s="27"/>
      <c r="B65" s="82"/>
      <c r="C65" s="82"/>
      <c r="D65" s="73"/>
      <c r="E65" s="73"/>
      <c r="F65" s="73"/>
      <c r="G65" s="73"/>
      <c r="H65" s="73"/>
      <c r="I65" s="73"/>
      <c r="J65" s="73"/>
      <c r="K65" s="73"/>
      <c r="L65" s="73"/>
      <c r="M65" s="73"/>
      <c r="N65" s="73"/>
      <c r="O65" s="73"/>
      <c r="P65" s="73"/>
      <c r="Q65" s="73"/>
      <c r="R65" s="65"/>
      <c r="S65" s="65"/>
    </row>
    <row r="66" spans="1:19" ht="13.5" customHeight="1">
      <c r="A66" s="27"/>
      <c r="B66" s="82"/>
      <c r="C66" s="82"/>
      <c r="D66" s="73"/>
      <c r="E66" s="73"/>
      <c r="F66" s="73"/>
      <c r="G66" s="73"/>
      <c r="H66" s="73"/>
      <c r="I66" s="73"/>
      <c r="J66" s="73"/>
      <c r="K66" s="73"/>
      <c r="L66" s="73"/>
      <c r="M66" s="73"/>
      <c r="N66" s="73"/>
      <c r="O66" s="73"/>
      <c r="P66" s="73"/>
      <c r="Q66" s="73"/>
      <c r="R66" s="65"/>
      <c r="S66" s="65"/>
    </row>
    <row r="67" spans="1:19" ht="13.5" customHeight="1">
      <c r="A67" s="27"/>
      <c r="B67" s="82"/>
      <c r="C67" s="82"/>
      <c r="D67" s="73"/>
      <c r="E67" s="73"/>
      <c r="F67" s="73"/>
      <c r="G67" s="73"/>
      <c r="H67" s="73"/>
      <c r="I67" s="73"/>
      <c r="J67" s="73"/>
      <c r="K67" s="73"/>
      <c r="L67" s="73"/>
      <c r="M67" s="73"/>
      <c r="N67" s="73"/>
      <c r="O67" s="73"/>
      <c r="P67" s="73"/>
      <c r="Q67" s="73"/>
      <c r="R67" s="65"/>
      <c r="S67" s="65"/>
    </row>
    <row r="68" spans="1:19" ht="13.5" customHeight="1">
      <c r="A68" s="27"/>
      <c r="B68" s="82"/>
      <c r="C68" s="82"/>
      <c r="D68" s="73"/>
      <c r="E68" s="73"/>
      <c r="F68" s="73"/>
      <c r="G68" s="73"/>
      <c r="H68" s="73"/>
      <c r="I68" s="73"/>
      <c r="J68" s="73"/>
      <c r="K68" s="73"/>
      <c r="L68" s="73"/>
      <c r="M68" s="73"/>
      <c r="N68" s="73"/>
      <c r="O68" s="73"/>
      <c r="P68" s="73"/>
      <c r="Q68" s="73"/>
      <c r="R68" s="65"/>
      <c r="S68" s="65"/>
    </row>
    <row r="69" spans="1:19" ht="13.5" customHeight="1">
      <c r="A69" s="27"/>
      <c r="B69" s="82"/>
      <c r="C69" s="82"/>
      <c r="D69" s="73"/>
      <c r="E69" s="73"/>
      <c r="F69" s="73"/>
      <c r="G69" s="73"/>
      <c r="H69" s="73"/>
      <c r="I69" s="73"/>
      <c r="J69" s="73"/>
      <c r="K69" s="73"/>
      <c r="L69" s="73"/>
      <c r="M69" s="73"/>
      <c r="N69" s="73"/>
      <c r="O69" s="73"/>
      <c r="P69" s="73"/>
      <c r="Q69" s="73"/>
      <c r="R69" s="65"/>
      <c r="S69" s="65"/>
    </row>
    <row r="70" spans="1:19" ht="13.5" customHeight="1">
      <c r="A70" s="27"/>
      <c r="B70" s="82"/>
      <c r="C70" s="82"/>
      <c r="D70" s="73"/>
      <c r="E70" s="73"/>
      <c r="F70" s="73"/>
      <c r="G70" s="73"/>
      <c r="H70" s="73"/>
      <c r="I70" s="73"/>
      <c r="J70" s="73"/>
      <c r="K70" s="73"/>
      <c r="L70" s="73"/>
      <c r="M70" s="73"/>
      <c r="N70" s="73"/>
      <c r="O70" s="73"/>
      <c r="P70" s="73"/>
      <c r="Q70" s="73"/>
      <c r="R70" s="65"/>
      <c r="S70" s="65"/>
    </row>
    <row r="71" spans="1:19" ht="13.5" customHeight="1">
      <c r="A71" s="27"/>
      <c r="B71" s="82"/>
      <c r="C71" s="82"/>
      <c r="D71" s="73"/>
      <c r="E71" s="73"/>
      <c r="F71" s="73"/>
      <c r="G71" s="73"/>
      <c r="H71" s="73"/>
      <c r="I71" s="73"/>
      <c r="J71" s="73"/>
      <c r="K71" s="73"/>
      <c r="L71" s="73"/>
      <c r="M71" s="73"/>
      <c r="N71" s="73"/>
      <c r="O71" s="73"/>
      <c r="P71" s="73"/>
      <c r="Q71" s="73"/>
      <c r="R71" s="65"/>
      <c r="S71" s="65"/>
    </row>
    <row r="72" spans="1:19" ht="13.5" customHeight="1">
      <c r="A72" s="27"/>
      <c r="B72" s="82"/>
      <c r="C72" s="82"/>
      <c r="D72" s="73"/>
      <c r="E72" s="73"/>
      <c r="F72" s="73"/>
      <c r="G72" s="73"/>
      <c r="H72" s="73"/>
      <c r="I72" s="73"/>
      <c r="J72" s="73"/>
      <c r="K72" s="73"/>
      <c r="L72" s="73"/>
      <c r="M72" s="73"/>
      <c r="N72" s="73"/>
      <c r="O72" s="73"/>
      <c r="P72" s="73"/>
      <c r="Q72" s="73"/>
      <c r="R72" s="65"/>
      <c r="S72" s="65"/>
    </row>
    <row r="73" spans="1:19" ht="13.5" customHeight="1">
      <c r="A73" s="27"/>
      <c r="B73" s="82"/>
      <c r="C73" s="82"/>
      <c r="D73" s="73"/>
      <c r="E73" s="73"/>
      <c r="F73" s="73"/>
      <c r="G73" s="73"/>
      <c r="H73" s="73"/>
      <c r="I73" s="73"/>
      <c r="J73" s="73"/>
      <c r="K73" s="73"/>
      <c r="L73" s="73"/>
      <c r="M73" s="73"/>
      <c r="N73" s="73"/>
      <c r="O73" s="73"/>
      <c r="P73" s="73"/>
      <c r="Q73" s="73"/>
      <c r="R73" s="65"/>
      <c r="S73" s="65"/>
    </row>
    <row r="74" spans="1:19" ht="13.5" customHeight="1">
      <c r="A74" s="27"/>
      <c r="B74" s="82"/>
      <c r="C74" s="82"/>
      <c r="D74" s="73"/>
      <c r="E74" s="73"/>
      <c r="F74" s="73"/>
      <c r="G74" s="73"/>
      <c r="H74" s="73"/>
      <c r="I74" s="73"/>
      <c r="J74" s="73"/>
      <c r="K74" s="73"/>
      <c r="L74" s="73"/>
      <c r="M74" s="73"/>
      <c r="N74" s="73"/>
      <c r="O74" s="73"/>
      <c r="P74" s="73"/>
      <c r="Q74" s="73"/>
      <c r="R74" s="65"/>
      <c r="S74" s="65"/>
    </row>
    <row r="75" spans="1:19" ht="13.5" customHeight="1">
      <c r="A75" s="27"/>
      <c r="B75" s="82"/>
      <c r="C75" s="82"/>
      <c r="D75" s="73"/>
      <c r="E75" s="73"/>
      <c r="F75" s="73"/>
      <c r="G75" s="73"/>
      <c r="H75" s="73"/>
      <c r="I75" s="73"/>
      <c r="J75" s="73"/>
      <c r="K75" s="73"/>
      <c r="L75" s="73"/>
      <c r="M75" s="73"/>
      <c r="N75" s="73"/>
      <c r="O75" s="73"/>
      <c r="P75" s="73"/>
      <c r="Q75" s="73"/>
      <c r="R75" s="65"/>
      <c r="S75" s="65"/>
    </row>
    <row r="76" spans="1:19" ht="13.5" customHeight="1">
      <c r="A76" s="27"/>
      <c r="B76" s="82"/>
      <c r="C76" s="82"/>
      <c r="D76" s="73"/>
      <c r="E76" s="73"/>
      <c r="F76" s="73"/>
      <c r="G76" s="73"/>
      <c r="H76" s="73"/>
      <c r="I76" s="73"/>
      <c r="J76" s="73"/>
      <c r="K76" s="73"/>
      <c r="L76" s="73"/>
      <c r="M76" s="73"/>
      <c r="N76" s="73"/>
      <c r="O76" s="73"/>
      <c r="P76" s="73"/>
      <c r="Q76" s="73"/>
      <c r="R76" s="65"/>
      <c r="S76" s="65"/>
    </row>
    <row r="77" spans="1:19" ht="13.5" customHeight="1">
      <c r="A77" s="27"/>
      <c r="B77" s="82"/>
      <c r="C77" s="82"/>
      <c r="D77" s="73"/>
      <c r="E77" s="73"/>
      <c r="F77" s="73"/>
      <c r="G77" s="73"/>
      <c r="H77" s="73"/>
      <c r="I77" s="73"/>
      <c r="J77" s="73"/>
      <c r="K77" s="73"/>
      <c r="L77" s="73"/>
      <c r="M77" s="73"/>
      <c r="N77" s="73"/>
      <c r="O77" s="73"/>
      <c r="P77" s="73"/>
      <c r="Q77" s="73"/>
      <c r="R77" s="65"/>
      <c r="S77" s="65"/>
    </row>
    <row r="78" spans="1:19" ht="13.5" customHeight="1">
      <c r="A78" s="27"/>
      <c r="B78" s="82"/>
      <c r="C78" s="82"/>
      <c r="D78" s="73"/>
      <c r="E78" s="73"/>
      <c r="F78" s="73"/>
      <c r="G78" s="73"/>
      <c r="H78" s="73"/>
      <c r="I78" s="73"/>
      <c r="J78" s="73"/>
      <c r="K78" s="73"/>
      <c r="L78" s="73"/>
      <c r="M78" s="73"/>
      <c r="N78" s="73"/>
      <c r="O78" s="73"/>
      <c r="P78" s="73"/>
      <c r="Q78" s="73"/>
      <c r="R78" s="65"/>
      <c r="S78" s="65"/>
    </row>
    <row r="79" spans="1:19" ht="13.5" customHeight="1">
      <c r="A79" s="27"/>
      <c r="B79" s="82"/>
      <c r="C79" s="82"/>
      <c r="D79" s="73"/>
      <c r="E79" s="73"/>
      <c r="F79" s="73"/>
      <c r="G79" s="73"/>
      <c r="H79" s="73"/>
      <c r="I79" s="73"/>
      <c r="J79" s="73"/>
      <c r="K79" s="73"/>
      <c r="L79" s="73"/>
      <c r="M79" s="73"/>
      <c r="N79" s="73"/>
      <c r="O79" s="73"/>
      <c r="P79" s="73"/>
      <c r="Q79" s="73"/>
      <c r="R79" s="65"/>
      <c r="S79" s="65"/>
    </row>
    <row r="80" spans="1:19" ht="13.5" customHeight="1">
      <c r="A80" s="27"/>
      <c r="B80" s="82"/>
      <c r="C80" s="82"/>
      <c r="D80" s="73"/>
      <c r="E80" s="73"/>
      <c r="F80" s="73"/>
      <c r="G80" s="73"/>
      <c r="H80" s="73"/>
      <c r="I80" s="73"/>
      <c r="J80" s="73"/>
      <c r="K80" s="73"/>
      <c r="L80" s="73"/>
      <c r="M80" s="73"/>
      <c r="N80" s="73"/>
      <c r="O80" s="73"/>
      <c r="P80" s="73"/>
      <c r="Q80" s="73"/>
      <c r="R80" s="65"/>
      <c r="S80" s="65"/>
    </row>
    <row r="81" spans="1:19" ht="13.5" customHeight="1">
      <c r="A81" s="27"/>
      <c r="B81" s="82"/>
      <c r="C81" s="82"/>
      <c r="D81" s="73"/>
      <c r="E81" s="73"/>
      <c r="F81" s="73"/>
      <c r="G81" s="73"/>
      <c r="H81" s="73"/>
      <c r="I81" s="73"/>
      <c r="J81" s="73"/>
      <c r="K81" s="73"/>
      <c r="L81" s="73"/>
      <c r="M81" s="73"/>
      <c r="N81" s="73"/>
      <c r="O81" s="73"/>
      <c r="P81" s="73"/>
      <c r="Q81" s="73"/>
      <c r="R81" s="65"/>
      <c r="S81" s="65"/>
    </row>
    <row r="82" spans="1:19" ht="13.5" customHeight="1">
      <c r="A82" s="27"/>
      <c r="B82" s="82"/>
      <c r="C82" s="82"/>
      <c r="D82" s="73"/>
      <c r="E82" s="73"/>
      <c r="F82" s="73"/>
      <c r="G82" s="73"/>
      <c r="H82" s="73"/>
      <c r="I82" s="73"/>
      <c r="J82" s="73"/>
      <c r="K82" s="73"/>
      <c r="L82" s="73"/>
      <c r="M82" s="73"/>
      <c r="N82" s="73"/>
      <c r="O82" s="73"/>
      <c r="P82" s="73"/>
      <c r="Q82" s="73"/>
      <c r="R82" s="65"/>
      <c r="S82" s="65"/>
    </row>
    <row r="83" spans="1:19" ht="13.5" customHeight="1">
      <c r="A83" s="27"/>
      <c r="B83" s="82"/>
      <c r="C83" s="82"/>
      <c r="D83" s="73"/>
      <c r="E83" s="73"/>
      <c r="F83" s="73"/>
      <c r="G83" s="73"/>
      <c r="H83" s="73"/>
      <c r="I83" s="73"/>
      <c r="J83" s="73"/>
      <c r="K83" s="73"/>
      <c r="L83" s="73"/>
      <c r="M83" s="73"/>
      <c r="N83" s="73"/>
      <c r="O83" s="73"/>
      <c r="P83" s="73"/>
      <c r="Q83" s="73"/>
      <c r="R83" s="65"/>
      <c r="S83" s="65"/>
    </row>
    <row r="84" spans="1:19" ht="13.5" customHeight="1">
      <c r="A84" s="27"/>
      <c r="B84" s="82"/>
      <c r="C84" s="82"/>
      <c r="D84" s="73"/>
      <c r="E84" s="73"/>
      <c r="F84" s="73"/>
      <c r="G84" s="73"/>
      <c r="H84" s="73"/>
      <c r="I84" s="73"/>
      <c r="J84" s="73"/>
      <c r="K84" s="73"/>
      <c r="L84" s="73"/>
      <c r="M84" s="73"/>
      <c r="N84" s="73"/>
      <c r="O84" s="73"/>
      <c r="P84" s="73"/>
      <c r="Q84" s="73"/>
      <c r="R84" s="65"/>
      <c r="S84" s="65"/>
    </row>
    <row r="85" spans="1:19" ht="13.5" customHeight="1">
      <c r="A85" s="27"/>
      <c r="B85" s="82"/>
      <c r="C85" s="82"/>
      <c r="D85" s="73"/>
      <c r="E85" s="73"/>
      <c r="F85" s="73"/>
      <c r="G85" s="73"/>
      <c r="H85" s="73"/>
      <c r="I85" s="73"/>
      <c r="J85" s="73"/>
      <c r="K85" s="73"/>
      <c r="L85" s="73"/>
      <c r="M85" s="73"/>
      <c r="N85" s="73"/>
      <c r="O85" s="73"/>
      <c r="P85" s="73"/>
      <c r="Q85" s="73"/>
      <c r="R85" s="65"/>
      <c r="S85" s="65"/>
    </row>
    <row r="86" spans="1:19" ht="13.5" customHeight="1">
      <c r="A86" s="27"/>
      <c r="B86" s="82"/>
      <c r="C86" s="82"/>
      <c r="D86" s="73"/>
      <c r="E86" s="73"/>
      <c r="F86" s="73"/>
      <c r="G86" s="73"/>
      <c r="H86" s="73"/>
      <c r="I86" s="73"/>
      <c r="J86" s="73"/>
      <c r="K86" s="73"/>
      <c r="L86" s="73"/>
      <c r="M86" s="73"/>
      <c r="N86" s="73"/>
      <c r="O86" s="73"/>
      <c r="P86" s="73"/>
      <c r="Q86" s="73"/>
      <c r="R86" s="65"/>
      <c r="S86" s="65"/>
    </row>
    <row r="87" spans="1:19" ht="13.5" customHeight="1">
      <c r="A87" s="27"/>
      <c r="B87" s="82"/>
      <c r="C87" s="82"/>
      <c r="D87" s="73"/>
      <c r="E87" s="73"/>
      <c r="F87" s="73"/>
      <c r="G87" s="73"/>
      <c r="H87" s="73"/>
      <c r="I87" s="73"/>
      <c r="J87" s="73"/>
      <c r="K87" s="73"/>
      <c r="L87" s="73"/>
      <c r="M87" s="73"/>
      <c r="N87" s="73"/>
      <c r="O87" s="73"/>
      <c r="P87" s="73"/>
      <c r="Q87" s="73"/>
      <c r="R87" s="65"/>
      <c r="S87" s="65"/>
    </row>
    <row r="88" spans="1:19" ht="13.5" customHeight="1">
      <c r="A88" s="27"/>
      <c r="B88" s="82"/>
      <c r="C88" s="82"/>
      <c r="D88" s="73"/>
      <c r="E88" s="73"/>
      <c r="F88" s="73"/>
      <c r="G88" s="73"/>
      <c r="H88" s="73"/>
      <c r="I88" s="73"/>
      <c r="J88" s="73"/>
      <c r="K88" s="73"/>
      <c r="L88" s="73"/>
      <c r="M88" s="73"/>
      <c r="N88" s="73"/>
      <c r="O88" s="73"/>
      <c r="P88" s="73"/>
      <c r="Q88" s="73"/>
      <c r="R88" s="65"/>
      <c r="S88" s="65"/>
    </row>
    <row r="89" spans="1:19" ht="13.5" customHeight="1">
      <c r="A89" s="27"/>
      <c r="B89" s="82"/>
      <c r="C89" s="82"/>
      <c r="D89" s="73"/>
      <c r="E89" s="73"/>
      <c r="F89" s="73"/>
      <c r="G89" s="73"/>
      <c r="H89" s="73"/>
      <c r="I89" s="73"/>
      <c r="J89" s="73"/>
      <c r="K89" s="73"/>
      <c r="L89" s="73"/>
      <c r="M89" s="73"/>
      <c r="N89" s="73"/>
      <c r="O89" s="73"/>
      <c r="P89" s="73"/>
      <c r="Q89" s="73"/>
      <c r="R89" s="65"/>
      <c r="S89" s="65"/>
    </row>
    <row r="90" spans="1:19" ht="13.5" customHeight="1">
      <c r="A90" s="27"/>
      <c r="B90" s="82"/>
      <c r="C90" s="82"/>
      <c r="D90" s="73"/>
      <c r="E90" s="73"/>
      <c r="F90" s="73"/>
      <c r="G90" s="73"/>
      <c r="H90" s="73"/>
      <c r="I90" s="73"/>
      <c r="J90" s="73"/>
      <c r="K90" s="73"/>
      <c r="L90" s="73"/>
      <c r="M90" s="73"/>
      <c r="N90" s="73"/>
      <c r="O90" s="73"/>
      <c r="P90" s="73"/>
      <c r="Q90" s="73"/>
      <c r="R90" s="65"/>
      <c r="S90" s="65"/>
    </row>
    <row r="91" spans="1:19" ht="13.5" customHeight="1">
      <c r="A91" s="27"/>
      <c r="B91" s="82"/>
      <c r="C91" s="82"/>
      <c r="D91" s="73"/>
      <c r="E91" s="73"/>
      <c r="F91" s="73"/>
      <c r="G91" s="73"/>
      <c r="H91" s="73"/>
      <c r="I91" s="73"/>
      <c r="J91" s="73"/>
      <c r="K91" s="73"/>
      <c r="L91" s="73"/>
      <c r="M91" s="73"/>
      <c r="N91" s="73"/>
      <c r="O91" s="73"/>
      <c r="P91" s="73"/>
      <c r="Q91" s="73"/>
      <c r="R91" s="65"/>
      <c r="S91" s="65"/>
    </row>
    <row r="92" spans="1:19" ht="13.5" customHeight="1">
      <c r="A92" s="27"/>
      <c r="B92" s="82"/>
      <c r="C92" s="82"/>
      <c r="D92" s="73"/>
      <c r="E92" s="73"/>
      <c r="F92" s="73"/>
      <c r="G92" s="73"/>
      <c r="H92" s="73"/>
      <c r="I92" s="73"/>
      <c r="J92" s="73"/>
      <c r="K92" s="73"/>
      <c r="L92" s="73"/>
      <c r="M92" s="73"/>
      <c r="N92" s="73"/>
      <c r="O92" s="73"/>
      <c r="P92" s="73"/>
      <c r="Q92" s="73"/>
      <c r="R92" s="65"/>
      <c r="S92" s="65"/>
    </row>
    <row r="93" spans="1:19" ht="13.5" customHeight="1">
      <c r="A93" s="27"/>
      <c r="B93" s="82"/>
      <c r="C93" s="82"/>
      <c r="D93" s="73"/>
      <c r="E93" s="73"/>
      <c r="F93" s="73"/>
      <c r="G93" s="73"/>
      <c r="H93" s="73"/>
      <c r="I93" s="73"/>
      <c r="J93" s="73"/>
      <c r="K93" s="73"/>
      <c r="L93" s="73"/>
      <c r="M93" s="73"/>
      <c r="N93" s="73"/>
      <c r="O93" s="73"/>
      <c r="P93" s="73"/>
      <c r="Q93" s="73"/>
      <c r="R93" s="65"/>
      <c r="S93" s="65"/>
    </row>
    <row r="94" spans="1:19" ht="13.5" customHeight="1">
      <c r="A94" s="27"/>
      <c r="B94" s="82"/>
      <c r="C94" s="82"/>
      <c r="D94" s="73"/>
      <c r="E94" s="73"/>
      <c r="F94" s="73"/>
      <c r="G94" s="73"/>
      <c r="H94" s="73"/>
      <c r="I94" s="73"/>
      <c r="J94" s="73"/>
      <c r="K94" s="73"/>
      <c r="L94" s="73"/>
      <c r="M94" s="73"/>
      <c r="N94" s="73"/>
      <c r="O94" s="73"/>
      <c r="P94" s="73"/>
      <c r="Q94" s="73"/>
      <c r="R94" s="65"/>
      <c r="S94" s="65"/>
    </row>
    <row r="95" spans="1:19" ht="13.5" customHeight="1">
      <c r="A95" s="27"/>
      <c r="B95" s="82"/>
      <c r="C95" s="82"/>
      <c r="D95" s="73"/>
      <c r="E95" s="73"/>
      <c r="F95" s="73"/>
      <c r="G95" s="73"/>
      <c r="H95" s="73"/>
      <c r="I95" s="73"/>
      <c r="J95" s="73"/>
      <c r="K95" s="73"/>
      <c r="L95" s="73"/>
      <c r="M95" s="73"/>
      <c r="N95" s="73"/>
      <c r="O95" s="73"/>
      <c r="P95" s="73"/>
      <c r="Q95" s="73"/>
      <c r="R95" s="65"/>
      <c r="S95" s="65"/>
    </row>
    <row r="96" spans="1:19" ht="13.5" customHeight="1">
      <c r="A96" s="27"/>
      <c r="B96" s="82"/>
      <c r="C96" s="82"/>
      <c r="D96" s="73"/>
      <c r="E96" s="73"/>
      <c r="F96" s="73"/>
      <c r="G96" s="73"/>
      <c r="H96" s="73"/>
      <c r="I96" s="73"/>
      <c r="J96" s="73"/>
      <c r="K96" s="73"/>
      <c r="L96" s="73"/>
      <c r="M96" s="73"/>
      <c r="N96" s="73"/>
      <c r="O96" s="73"/>
      <c r="P96" s="73"/>
      <c r="Q96" s="73"/>
      <c r="R96" s="65"/>
      <c r="S96" s="65"/>
    </row>
    <row r="97" spans="1:19" ht="13.5" customHeight="1">
      <c r="A97" s="27"/>
      <c r="B97" s="82"/>
      <c r="C97" s="82"/>
      <c r="D97" s="73"/>
      <c r="E97" s="73"/>
      <c r="F97" s="73"/>
      <c r="G97" s="73"/>
      <c r="H97" s="73"/>
      <c r="I97" s="73"/>
      <c r="J97" s="73"/>
      <c r="K97" s="73"/>
      <c r="L97" s="73"/>
      <c r="M97" s="73"/>
      <c r="N97" s="73"/>
      <c r="O97" s="73"/>
      <c r="P97" s="73"/>
      <c r="Q97" s="73"/>
      <c r="R97" s="65"/>
      <c r="S97" s="65"/>
    </row>
    <row r="98" spans="1:19" ht="13.5" customHeight="1">
      <c r="A98" s="27"/>
      <c r="B98" s="82"/>
      <c r="C98" s="82"/>
      <c r="D98" s="73"/>
      <c r="E98" s="73"/>
      <c r="F98" s="73"/>
      <c r="G98" s="73"/>
      <c r="H98" s="73"/>
      <c r="I98" s="73"/>
      <c r="J98" s="73"/>
      <c r="K98" s="73"/>
      <c r="L98" s="73"/>
      <c r="M98" s="73"/>
      <c r="N98" s="73"/>
      <c r="O98" s="73"/>
      <c r="P98" s="73"/>
      <c r="Q98" s="73"/>
      <c r="R98" s="65"/>
      <c r="S98" s="65"/>
    </row>
    <row r="99" spans="1:19" ht="13.5" customHeight="1">
      <c r="A99" s="27"/>
      <c r="B99" s="82"/>
      <c r="C99" s="82"/>
      <c r="D99" s="73"/>
      <c r="E99" s="73"/>
      <c r="F99" s="73"/>
      <c r="G99" s="73"/>
      <c r="H99" s="73"/>
      <c r="I99" s="73"/>
      <c r="J99" s="73"/>
      <c r="K99" s="73"/>
      <c r="L99" s="73"/>
      <c r="M99" s="73"/>
      <c r="N99" s="73"/>
      <c r="O99" s="73"/>
      <c r="P99" s="73"/>
      <c r="Q99" s="73"/>
      <c r="R99" s="65"/>
      <c r="S99" s="65"/>
    </row>
    <row r="100" spans="1:19" ht="13.5" customHeight="1">
      <c r="A100" s="27"/>
      <c r="B100" s="82"/>
      <c r="C100" s="82"/>
      <c r="D100" s="73"/>
      <c r="E100" s="73"/>
      <c r="F100" s="73"/>
      <c r="G100" s="73"/>
      <c r="H100" s="73"/>
      <c r="I100" s="73"/>
      <c r="J100" s="73"/>
      <c r="K100" s="73"/>
      <c r="L100" s="73"/>
      <c r="M100" s="73"/>
      <c r="N100" s="73"/>
      <c r="O100" s="73"/>
      <c r="P100" s="73"/>
      <c r="Q100" s="73"/>
      <c r="R100" s="65"/>
      <c r="S100" s="65"/>
    </row>
    <row r="101" spans="1:19" ht="13.5" customHeight="1">
      <c r="A101" s="27"/>
      <c r="B101" s="82"/>
      <c r="C101" s="82"/>
      <c r="D101" s="73"/>
      <c r="E101" s="73"/>
      <c r="F101" s="73"/>
      <c r="G101" s="73"/>
      <c r="H101" s="73"/>
      <c r="I101" s="73"/>
      <c r="J101" s="73"/>
      <c r="K101" s="73"/>
      <c r="L101" s="73"/>
      <c r="M101" s="73"/>
      <c r="N101" s="73"/>
      <c r="O101" s="73"/>
      <c r="P101" s="73"/>
      <c r="Q101" s="73"/>
      <c r="R101" s="65"/>
      <c r="S101" s="65"/>
    </row>
    <row r="102" spans="1:19" ht="13.5" customHeight="1">
      <c r="A102" s="27"/>
      <c r="B102" s="82"/>
      <c r="C102" s="82"/>
      <c r="D102" s="73"/>
      <c r="E102" s="73"/>
      <c r="F102" s="73"/>
      <c r="G102" s="73"/>
      <c r="H102" s="73"/>
      <c r="I102" s="73"/>
      <c r="J102" s="73"/>
      <c r="K102" s="73"/>
      <c r="L102" s="73"/>
      <c r="M102" s="73"/>
      <c r="N102" s="73"/>
      <c r="O102" s="73"/>
      <c r="P102" s="73"/>
      <c r="Q102" s="73"/>
      <c r="R102" s="65"/>
      <c r="S102" s="65"/>
    </row>
    <row r="103" spans="1:19" ht="13.5" customHeight="1">
      <c r="A103" s="27"/>
      <c r="B103" s="82"/>
      <c r="C103" s="82"/>
      <c r="D103" s="73"/>
      <c r="E103" s="73"/>
      <c r="F103" s="73"/>
      <c r="G103" s="73"/>
      <c r="H103" s="73"/>
      <c r="I103" s="73"/>
      <c r="J103" s="73"/>
      <c r="K103" s="73"/>
      <c r="L103" s="73"/>
      <c r="M103" s="73"/>
      <c r="N103" s="73"/>
      <c r="O103" s="73"/>
      <c r="P103" s="73"/>
      <c r="Q103" s="73"/>
      <c r="R103" s="65"/>
      <c r="S103" s="65"/>
    </row>
    <row r="104" spans="1:19" ht="13.5" customHeight="1">
      <c r="A104" s="27"/>
      <c r="B104" s="82"/>
      <c r="C104" s="82"/>
      <c r="D104" s="73"/>
      <c r="E104" s="73"/>
      <c r="F104" s="73"/>
      <c r="G104" s="73"/>
      <c r="H104" s="73"/>
      <c r="I104" s="73"/>
      <c r="J104" s="73"/>
      <c r="K104" s="73"/>
      <c r="L104" s="73"/>
      <c r="M104" s="73"/>
      <c r="N104" s="73"/>
      <c r="O104" s="73"/>
      <c r="P104" s="73"/>
      <c r="Q104" s="73"/>
      <c r="R104" s="65"/>
      <c r="S104" s="65"/>
    </row>
    <row r="105" spans="1:19" ht="13.5" customHeight="1">
      <c r="A105" s="27"/>
      <c r="B105" s="82"/>
      <c r="C105" s="82"/>
      <c r="D105" s="73"/>
      <c r="E105" s="73"/>
      <c r="F105" s="73"/>
      <c r="G105" s="73"/>
      <c r="H105" s="73"/>
      <c r="I105" s="73"/>
      <c r="J105" s="73"/>
      <c r="K105" s="73"/>
      <c r="L105" s="73"/>
      <c r="M105" s="73"/>
      <c r="N105" s="73"/>
      <c r="O105" s="73"/>
      <c r="P105" s="73"/>
      <c r="Q105" s="73"/>
      <c r="R105" s="65"/>
      <c r="S105" s="65"/>
    </row>
    <row r="106" spans="1:19" ht="13.5" customHeight="1">
      <c r="A106" s="27"/>
      <c r="B106" s="82"/>
      <c r="C106" s="82"/>
      <c r="D106" s="73"/>
      <c r="E106" s="73"/>
      <c r="F106" s="73"/>
      <c r="G106" s="73"/>
      <c r="H106" s="73"/>
      <c r="I106" s="73"/>
      <c r="J106" s="73"/>
      <c r="K106" s="73"/>
      <c r="L106" s="73"/>
      <c r="M106" s="73"/>
      <c r="N106" s="73"/>
      <c r="O106" s="73"/>
      <c r="P106" s="73"/>
      <c r="Q106" s="73"/>
      <c r="R106" s="65"/>
      <c r="S106" s="65"/>
    </row>
    <row r="107" spans="1:19" ht="13.5" customHeight="1">
      <c r="A107" s="27"/>
      <c r="B107" s="82"/>
      <c r="C107" s="82"/>
      <c r="D107" s="73"/>
      <c r="E107" s="73"/>
      <c r="F107" s="73"/>
      <c r="G107" s="73"/>
      <c r="H107" s="73"/>
      <c r="I107" s="73"/>
      <c r="J107" s="73"/>
      <c r="K107" s="73"/>
      <c r="L107" s="73"/>
      <c r="M107" s="73"/>
      <c r="N107" s="73"/>
      <c r="O107" s="73"/>
      <c r="P107" s="73"/>
      <c r="Q107" s="73"/>
      <c r="R107" s="65"/>
      <c r="S107" s="65"/>
    </row>
    <row r="108" spans="1:19" ht="13.5" customHeight="1">
      <c r="A108" s="27"/>
      <c r="B108" s="82"/>
      <c r="C108" s="82"/>
      <c r="D108" s="73"/>
      <c r="E108" s="73"/>
      <c r="F108" s="73"/>
      <c r="G108" s="73"/>
      <c r="H108" s="73"/>
      <c r="I108" s="73"/>
      <c r="J108" s="73"/>
      <c r="K108" s="73"/>
      <c r="L108" s="73"/>
      <c r="M108" s="73"/>
      <c r="N108" s="73"/>
      <c r="O108" s="73"/>
      <c r="P108" s="73"/>
      <c r="Q108" s="73"/>
      <c r="R108" s="65"/>
      <c r="S108" s="65"/>
    </row>
    <row r="109" spans="1:19" ht="13.5" customHeight="1">
      <c r="A109" s="27"/>
      <c r="B109" s="82"/>
      <c r="C109" s="82"/>
      <c r="D109" s="73"/>
      <c r="E109" s="73"/>
      <c r="F109" s="73"/>
      <c r="G109" s="73"/>
      <c r="H109" s="73"/>
      <c r="I109" s="73"/>
      <c r="J109" s="73"/>
      <c r="K109" s="73"/>
      <c r="L109" s="73"/>
      <c r="M109" s="73"/>
      <c r="N109" s="73"/>
      <c r="O109" s="73"/>
      <c r="P109" s="73"/>
      <c r="Q109" s="73"/>
      <c r="R109" s="65"/>
      <c r="S109" s="65"/>
    </row>
    <row r="110" spans="1:19" ht="13.5" customHeight="1">
      <c r="A110" s="27"/>
      <c r="B110" s="82"/>
      <c r="C110" s="82"/>
      <c r="D110" s="73"/>
      <c r="E110" s="73"/>
      <c r="F110" s="73"/>
      <c r="G110" s="73"/>
      <c r="H110" s="73"/>
      <c r="I110" s="73"/>
      <c r="J110" s="73"/>
      <c r="K110" s="73"/>
      <c r="L110" s="73"/>
      <c r="M110" s="73"/>
      <c r="N110" s="73"/>
      <c r="O110" s="73"/>
      <c r="P110" s="73"/>
      <c r="Q110" s="73"/>
      <c r="R110" s="65"/>
      <c r="S110" s="65"/>
    </row>
    <row r="111" spans="1:19" ht="13.5" customHeight="1">
      <c r="A111" s="27"/>
      <c r="B111" s="82"/>
      <c r="C111" s="82"/>
      <c r="D111" s="73"/>
      <c r="E111" s="73"/>
      <c r="F111" s="73"/>
      <c r="G111" s="73"/>
      <c r="H111" s="73"/>
      <c r="I111" s="73"/>
      <c r="J111" s="73"/>
      <c r="K111" s="73"/>
      <c r="L111" s="73"/>
      <c r="M111" s="73"/>
      <c r="N111" s="73"/>
      <c r="O111" s="73"/>
      <c r="P111" s="73"/>
      <c r="Q111" s="73"/>
      <c r="R111" s="65"/>
      <c r="S111" s="65"/>
    </row>
    <row r="112" spans="1:19" ht="13.5" customHeight="1">
      <c r="A112" s="27"/>
      <c r="B112" s="82"/>
      <c r="C112" s="82"/>
      <c r="D112" s="73"/>
      <c r="E112" s="73"/>
      <c r="F112" s="73"/>
      <c r="G112" s="73"/>
      <c r="H112" s="73"/>
      <c r="I112" s="73"/>
      <c r="J112" s="73"/>
      <c r="K112" s="73"/>
      <c r="L112" s="73"/>
      <c r="M112" s="73"/>
      <c r="N112" s="73"/>
      <c r="O112" s="73"/>
      <c r="P112" s="73"/>
      <c r="Q112" s="73"/>
      <c r="R112" s="65"/>
      <c r="S112" s="65"/>
    </row>
    <row r="113" spans="1:19" ht="13.5" customHeight="1">
      <c r="A113" s="27"/>
      <c r="B113" s="82"/>
      <c r="C113" s="82"/>
      <c r="D113" s="73"/>
      <c r="E113" s="73"/>
      <c r="F113" s="73"/>
      <c r="G113" s="73"/>
      <c r="H113" s="73"/>
      <c r="I113" s="73"/>
      <c r="J113" s="73"/>
      <c r="K113" s="73"/>
      <c r="L113" s="73"/>
      <c r="M113" s="73"/>
      <c r="N113" s="73"/>
      <c r="O113" s="73"/>
      <c r="P113" s="73"/>
      <c r="Q113" s="73"/>
      <c r="R113" s="65"/>
      <c r="S113" s="65"/>
    </row>
    <row r="114" spans="1:19" ht="13.5" customHeight="1">
      <c r="A114" s="27"/>
      <c r="B114" s="82"/>
      <c r="C114" s="82"/>
      <c r="D114" s="73"/>
      <c r="E114" s="73"/>
      <c r="F114" s="73"/>
      <c r="G114" s="73"/>
      <c r="H114" s="73"/>
      <c r="I114" s="73"/>
      <c r="J114" s="73"/>
      <c r="K114" s="73"/>
      <c r="L114" s="73"/>
      <c r="M114" s="73"/>
      <c r="N114" s="73"/>
      <c r="O114" s="73"/>
      <c r="P114" s="73"/>
      <c r="Q114" s="73"/>
      <c r="R114" s="65"/>
      <c r="S114" s="65"/>
    </row>
    <row r="115" spans="1:19" ht="13.5" customHeight="1">
      <c r="A115" s="27"/>
      <c r="B115" s="82"/>
      <c r="C115" s="82"/>
      <c r="D115" s="73"/>
      <c r="E115" s="73"/>
      <c r="F115" s="73"/>
      <c r="G115" s="73"/>
      <c r="H115" s="73"/>
      <c r="I115" s="73"/>
      <c r="J115" s="73"/>
      <c r="K115" s="73"/>
      <c r="L115" s="73"/>
      <c r="M115" s="73"/>
      <c r="N115" s="73"/>
      <c r="O115" s="73"/>
      <c r="P115" s="73"/>
      <c r="Q115" s="73"/>
      <c r="R115" s="65"/>
      <c r="S115" s="65"/>
    </row>
    <row r="116" spans="1:19" ht="13.5" customHeight="1">
      <c r="A116" s="27"/>
      <c r="B116" s="82"/>
      <c r="C116" s="82"/>
      <c r="D116" s="73"/>
      <c r="E116" s="73"/>
      <c r="F116" s="73"/>
      <c r="G116" s="73"/>
      <c r="H116" s="73"/>
      <c r="I116" s="73"/>
      <c r="J116" s="73"/>
      <c r="K116" s="73"/>
      <c r="L116" s="73"/>
      <c r="M116" s="73"/>
      <c r="N116" s="73"/>
      <c r="O116" s="73"/>
      <c r="P116" s="73"/>
      <c r="Q116" s="73"/>
      <c r="R116" s="65"/>
      <c r="S116" s="65"/>
    </row>
    <row r="117" spans="1:19" ht="13.5" customHeight="1">
      <c r="A117" s="27"/>
      <c r="B117" s="82"/>
      <c r="C117" s="82"/>
      <c r="D117" s="73"/>
      <c r="E117" s="73"/>
      <c r="F117" s="73"/>
      <c r="G117" s="73"/>
      <c r="H117" s="73"/>
      <c r="I117" s="73"/>
      <c r="J117" s="73"/>
      <c r="K117" s="73"/>
      <c r="L117" s="73"/>
      <c r="M117" s="73"/>
      <c r="N117" s="73"/>
      <c r="O117" s="73"/>
      <c r="P117" s="73"/>
      <c r="Q117" s="73"/>
      <c r="R117" s="65"/>
      <c r="S117" s="65"/>
    </row>
    <row r="118" spans="1:19" ht="13.5" customHeight="1">
      <c r="A118" s="27"/>
      <c r="B118" s="82"/>
      <c r="C118" s="82"/>
      <c r="D118" s="73"/>
      <c r="E118" s="73"/>
      <c r="F118" s="73"/>
      <c r="G118" s="73"/>
      <c r="H118" s="73"/>
      <c r="I118" s="73"/>
      <c r="J118" s="73"/>
      <c r="K118" s="73"/>
      <c r="L118" s="73"/>
      <c r="M118" s="73"/>
      <c r="N118" s="73"/>
      <c r="O118" s="73"/>
      <c r="P118" s="73"/>
      <c r="Q118" s="73"/>
      <c r="R118" s="65"/>
      <c r="S118" s="65"/>
    </row>
    <row r="119" spans="1:19" ht="13.5" customHeight="1">
      <c r="A119" s="27"/>
      <c r="B119" s="82"/>
      <c r="C119" s="82"/>
      <c r="D119" s="73"/>
      <c r="E119" s="73"/>
      <c r="F119" s="73"/>
      <c r="G119" s="73"/>
      <c r="H119" s="73"/>
      <c r="I119" s="73"/>
      <c r="J119" s="73"/>
      <c r="K119" s="73"/>
      <c r="L119" s="73"/>
      <c r="M119" s="73"/>
      <c r="N119" s="73"/>
      <c r="O119" s="73"/>
      <c r="P119" s="73"/>
      <c r="Q119" s="73"/>
      <c r="R119" s="65"/>
      <c r="S119" s="65"/>
    </row>
    <row r="120" spans="1:19" ht="13.5" customHeight="1">
      <c r="A120" s="27"/>
      <c r="B120" s="82"/>
      <c r="C120" s="82"/>
      <c r="D120" s="73"/>
      <c r="E120" s="73"/>
      <c r="F120" s="73"/>
      <c r="G120" s="73"/>
      <c r="H120" s="73"/>
      <c r="I120" s="73"/>
      <c r="J120" s="73"/>
      <c r="K120" s="73"/>
      <c r="L120" s="73"/>
      <c r="M120" s="73"/>
      <c r="N120" s="73"/>
      <c r="O120" s="73"/>
      <c r="P120" s="73"/>
      <c r="Q120" s="73"/>
      <c r="R120" s="65"/>
      <c r="S120" s="65"/>
    </row>
    <row r="121" spans="1:19" ht="13.5" customHeight="1">
      <c r="A121" s="27"/>
      <c r="B121" s="82"/>
      <c r="C121" s="82"/>
      <c r="D121" s="73"/>
      <c r="E121" s="73"/>
      <c r="F121" s="73"/>
      <c r="G121" s="73"/>
      <c r="H121" s="73"/>
      <c r="I121" s="73"/>
      <c r="J121" s="73"/>
      <c r="K121" s="73"/>
      <c r="L121" s="73"/>
      <c r="M121" s="73"/>
      <c r="N121" s="73"/>
      <c r="O121" s="73"/>
      <c r="P121" s="73"/>
      <c r="Q121" s="73"/>
      <c r="R121" s="65"/>
      <c r="S121" s="65"/>
    </row>
    <row r="122" spans="1:19" ht="13.5" customHeight="1">
      <c r="A122" s="27"/>
      <c r="B122" s="82"/>
      <c r="C122" s="82"/>
      <c r="D122" s="73"/>
      <c r="E122" s="73"/>
      <c r="F122" s="73"/>
      <c r="G122" s="73"/>
      <c r="H122" s="73"/>
      <c r="I122" s="73"/>
      <c r="J122" s="73"/>
      <c r="K122" s="73"/>
      <c r="L122" s="73"/>
      <c r="M122" s="73"/>
      <c r="N122" s="73"/>
      <c r="O122" s="73"/>
      <c r="P122" s="73"/>
      <c r="Q122" s="73"/>
      <c r="R122" s="65"/>
      <c r="S122" s="65"/>
    </row>
    <row r="123" spans="1:19" ht="13.5" customHeight="1">
      <c r="A123" s="27"/>
      <c r="B123" s="82"/>
      <c r="C123" s="82"/>
      <c r="D123" s="73"/>
      <c r="E123" s="73"/>
      <c r="F123" s="73"/>
      <c r="G123" s="73"/>
      <c r="H123" s="73"/>
      <c r="I123" s="73"/>
      <c r="J123" s="73"/>
      <c r="K123" s="73"/>
      <c r="L123" s="73"/>
      <c r="M123" s="73"/>
      <c r="N123" s="73"/>
      <c r="O123" s="73"/>
      <c r="P123" s="73"/>
      <c r="Q123" s="73"/>
      <c r="R123" s="65"/>
      <c r="S123" s="65"/>
    </row>
    <row r="124" spans="1:19" ht="13.5" customHeight="1">
      <c r="A124" s="27"/>
      <c r="B124" s="82"/>
      <c r="C124" s="82"/>
      <c r="D124" s="73"/>
      <c r="E124" s="73"/>
      <c r="F124" s="73"/>
      <c r="G124" s="73"/>
      <c r="H124" s="73"/>
      <c r="I124" s="73"/>
      <c r="J124" s="73"/>
      <c r="K124" s="73"/>
      <c r="L124" s="73"/>
      <c r="M124" s="73"/>
      <c r="N124" s="73"/>
      <c r="O124" s="73"/>
      <c r="P124" s="73"/>
      <c r="Q124" s="73"/>
      <c r="R124" s="65"/>
      <c r="S124" s="65"/>
    </row>
    <row r="125" spans="1:19" ht="13.5" customHeight="1">
      <c r="A125" s="27"/>
      <c r="B125" s="82"/>
      <c r="C125" s="82"/>
      <c r="D125" s="73"/>
      <c r="E125" s="73"/>
      <c r="F125" s="73"/>
      <c r="G125" s="73"/>
      <c r="H125" s="73"/>
      <c r="I125" s="73"/>
      <c r="J125" s="73"/>
      <c r="K125" s="73"/>
      <c r="L125" s="73"/>
      <c r="M125" s="73"/>
      <c r="N125" s="73"/>
      <c r="O125" s="73"/>
      <c r="P125" s="73"/>
      <c r="Q125" s="73"/>
      <c r="R125" s="65"/>
      <c r="S125" s="65"/>
    </row>
    <row r="126" spans="1:19" ht="13.5" customHeight="1">
      <c r="A126" s="27"/>
      <c r="B126" s="82"/>
      <c r="C126" s="82"/>
      <c r="D126" s="73"/>
      <c r="E126" s="73"/>
      <c r="F126" s="73"/>
      <c r="G126" s="73"/>
      <c r="H126" s="73"/>
      <c r="I126" s="73"/>
      <c r="J126" s="73"/>
      <c r="K126" s="73"/>
      <c r="L126" s="73"/>
      <c r="M126" s="73"/>
      <c r="N126" s="73"/>
      <c r="O126" s="73"/>
      <c r="P126" s="73"/>
      <c r="Q126" s="73"/>
      <c r="R126" s="65"/>
      <c r="S126" s="65"/>
    </row>
    <row r="127" spans="1:19" ht="13.5" customHeight="1">
      <c r="A127" s="27"/>
      <c r="B127" s="27"/>
      <c r="C127" s="27"/>
      <c r="D127" s="27"/>
      <c r="E127" s="27"/>
      <c r="F127" s="27"/>
      <c r="G127" s="27"/>
      <c r="H127" s="27"/>
      <c r="I127" s="27"/>
      <c r="J127" s="27"/>
      <c r="K127" s="27"/>
      <c r="L127" s="27"/>
      <c r="M127" s="27"/>
      <c r="N127" s="27"/>
      <c r="O127" s="27"/>
      <c r="P127" s="27"/>
      <c r="Q127" s="27"/>
      <c r="R127" s="27"/>
      <c r="S127" s="27"/>
    </row>
    <row r="128" spans="1:19" ht="13.5" customHeight="1">
      <c r="A128" s="27"/>
      <c r="B128" s="27"/>
      <c r="C128" s="27"/>
      <c r="D128" s="1694"/>
      <c r="E128" s="27"/>
      <c r="F128" s="27"/>
      <c r="G128" s="27"/>
      <c r="H128" s="27"/>
      <c r="I128" s="27"/>
      <c r="J128" s="27"/>
      <c r="K128" s="27"/>
      <c r="L128" s="27"/>
      <c r="M128" s="27"/>
      <c r="N128" s="27"/>
      <c r="O128" s="27"/>
      <c r="P128" s="27"/>
      <c r="Q128" s="27"/>
      <c r="R128" s="27"/>
      <c r="S128" s="27"/>
    </row>
    <row r="129" spans="1:19" ht="13.5" customHeight="1">
      <c r="A129" s="27"/>
      <c r="B129" s="27"/>
      <c r="C129" s="27"/>
      <c r="D129" s="27"/>
      <c r="E129" s="27"/>
      <c r="F129" s="27"/>
      <c r="G129" s="27"/>
      <c r="H129" s="27"/>
      <c r="I129" s="27"/>
      <c r="J129" s="27"/>
      <c r="K129" s="27"/>
      <c r="L129" s="27"/>
      <c r="M129" s="27"/>
      <c r="N129" s="27"/>
      <c r="O129" s="27"/>
      <c r="P129" s="27"/>
      <c r="Q129" s="27"/>
      <c r="R129" s="27"/>
      <c r="S129" s="27"/>
    </row>
    <row r="130" spans="1:19" ht="13.5" customHeight="1">
      <c r="A130" s="27"/>
      <c r="B130" s="27"/>
      <c r="C130" s="27"/>
      <c r="D130" s="27"/>
      <c r="E130" s="27"/>
      <c r="F130" s="27"/>
      <c r="G130" s="27"/>
      <c r="H130" s="27"/>
      <c r="I130" s="27"/>
      <c r="J130" s="27"/>
      <c r="K130" s="27"/>
      <c r="L130" s="27"/>
      <c r="M130" s="27"/>
      <c r="N130" s="27"/>
      <c r="O130" s="27"/>
      <c r="P130" s="27"/>
      <c r="Q130" s="27"/>
      <c r="R130" s="27"/>
      <c r="S130" s="27"/>
    </row>
    <row r="131" spans="1:19" ht="13.5" customHeight="1"/>
    <row r="132" spans="1:19" ht="13.5" customHeight="1"/>
    <row r="133" spans="1:19" ht="13.5" customHeight="1"/>
    <row r="134" spans="1:19" ht="13.5" customHeight="1"/>
    <row r="135" spans="1:19" ht="13.5" customHeight="1"/>
    <row r="136" spans="1:19" ht="13.5" customHeight="1"/>
    <row r="137" spans="1:19" ht="13.5" customHeight="1"/>
    <row r="138" spans="1:19" ht="13.5" customHeight="1"/>
    <row r="139" spans="1:19" ht="13.5" customHeight="1"/>
    <row r="140" spans="1:19" ht="13.5" customHeight="1"/>
    <row r="141" spans="1:19" ht="13.5" customHeight="1"/>
    <row r="142" spans="1:19" ht="13.5" customHeight="1"/>
    <row r="143" spans="1:19" ht="13.5" customHeight="1"/>
    <row r="144" spans="1:19"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sheetData>
  <sheetProtection sheet="1" objects="1" scenarios="1"/>
  <mergeCells count="17">
    <mergeCell ref="A11:B11"/>
    <mergeCell ref="A18:B18"/>
    <mergeCell ref="A12:B12"/>
    <mergeCell ref="A1:B1"/>
    <mergeCell ref="A7:B7"/>
    <mergeCell ref="A8:B8"/>
    <mergeCell ref="A10:B10"/>
    <mergeCell ref="A33:C33"/>
    <mergeCell ref="A31:C31"/>
    <mergeCell ref="I25:I26"/>
    <mergeCell ref="J25:L25"/>
    <mergeCell ref="A25:A26"/>
    <mergeCell ref="A30:C30"/>
    <mergeCell ref="A29:C29"/>
    <mergeCell ref="A28:C28"/>
    <mergeCell ref="A27:C27"/>
    <mergeCell ref="A32:C32"/>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39" fitToHeight="0" orientation="landscape" r:id="rId3"/>
  <headerFooter alignWithMargins="0"/>
  <drawing r:id="rId4"/>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8000"/>
    <pageSetUpPr fitToPage="1"/>
  </sheetPr>
  <dimension ref="A1:S34"/>
  <sheetViews>
    <sheetView showGridLines="0" topLeftCell="A11" zoomScale="85" zoomScaleNormal="85" workbookViewId="0">
      <selection activeCell="B15" sqref="B15"/>
    </sheetView>
  </sheetViews>
  <sheetFormatPr defaultColWidth="12.88671875" defaultRowHeight="13.5" customHeight="1"/>
  <cols>
    <col min="1" max="16384" width="12.88671875" style="38"/>
  </cols>
  <sheetData>
    <row r="1" spans="1:19" ht="54.9" customHeight="1">
      <c r="A1" s="28"/>
    </row>
    <row r="2" spans="1:19" s="300" customFormat="1" ht="5.0999999999999996" customHeight="1"/>
    <row r="3" spans="1:19" s="300" customFormat="1" ht="20.100000000000001" customHeight="1">
      <c r="A3" s="300" t="s">
        <v>2291</v>
      </c>
      <c r="D3" s="46"/>
      <c r="E3" s="83"/>
      <c r="F3" s="445"/>
    </row>
    <row r="4" spans="1:19" s="26" customFormat="1" ht="20.100000000000001" customHeight="1" thickBot="1">
      <c r="A4" s="529" t="s">
        <v>299</v>
      </c>
      <c r="B4" s="447"/>
      <c r="C4" s="447"/>
      <c r="D4" s="446"/>
      <c r="E4" s="446"/>
      <c r="F4" s="446"/>
      <c r="G4" s="446"/>
      <c r="H4" s="446"/>
      <c r="I4" s="446"/>
      <c r="J4" s="446"/>
      <c r="K4" s="446"/>
      <c r="L4" s="446"/>
      <c r="M4" s="446"/>
      <c r="N4" s="446"/>
      <c r="O4" s="446"/>
      <c r="P4" s="446"/>
      <c r="Q4" s="446"/>
      <c r="R4" s="446"/>
      <c r="S4" s="446"/>
    </row>
    <row r="5" spans="1:19" ht="9.9" customHeight="1" thickTop="1" thickBot="1">
      <c r="A5" s="35"/>
      <c r="B5" s="321"/>
      <c r="C5" s="321"/>
    </row>
    <row r="6" spans="1:19" ht="13.5" customHeight="1" thickTop="1">
      <c r="A6" s="169" t="s">
        <v>10</v>
      </c>
      <c r="B6" s="169"/>
      <c r="E6" s="3626" t="s">
        <v>255</v>
      </c>
      <c r="F6" s="3627"/>
      <c r="G6" s="3627"/>
      <c r="H6" s="3627"/>
      <c r="I6" s="3627"/>
      <c r="J6" s="3627"/>
      <c r="K6" s="3627"/>
      <c r="L6" s="3627"/>
      <c r="M6" s="3627"/>
      <c r="N6" s="3627"/>
      <c r="O6" s="3627"/>
      <c r="P6" s="3627"/>
      <c r="Q6" s="3627"/>
      <c r="R6" s="3627"/>
      <c r="S6" s="3729"/>
    </row>
    <row r="7" spans="1:19" ht="13.5" customHeight="1">
      <c r="A7" s="3644" t="str">
        <f>Audit!A12</f>
        <v>May 2019 v1.12</v>
      </c>
      <c r="B7" s="3651"/>
      <c r="E7" s="265" t="s">
        <v>747</v>
      </c>
      <c r="F7" s="29"/>
      <c r="G7" s="26"/>
      <c r="H7" s="26"/>
      <c r="I7" s="26"/>
      <c r="J7" s="26"/>
      <c r="K7" s="26"/>
      <c r="L7" s="26"/>
      <c r="M7" s="26"/>
      <c r="N7" s="26"/>
      <c r="O7" s="26"/>
      <c r="P7" s="26"/>
      <c r="Q7" s="26"/>
      <c r="R7" s="26"/>
      <c r="S7" s="147"/>
    </row>
    <row r="8" spans="1:19" ht="13.5" customHeight="1">
      <c r="A8" s="3630">
        <f>Audit!C12</f>
        <v>43586</v>
      </c>
      <c r="B8" s="3631"/>
      <c r="C8" s="321"/>
      <c r="D8" s="321"/>
      <c r="E8" s="113"/>
      <c r="F8" s="315"/>
      <c r="G8" s="26"/>
      <c r="H8" s="26"/>
      <c r="I8" s="26"/>
      <c r="J8" s="26"/>
      <c r="K8" s="26"/>
      <c r="L8" s="26"/>
      <c r="M8" s="26"/>
      <c r="N8" s="26"/>
      <c r="O8" s="26"/>
      <c r="P8" s="26"/>
      <c r="Q8" s="26"/>
      <c r="R8" s="26"/>
      <c r="S8" s="147"/>
    </row>
    <row r="9" spans="1:19" ht="13.5" customHeight="1" thickBot="1">
      <c r="A9" s="172" t="s">
        <v>14</v>
      </c>
      <c r="B9" s="173"/>
      <c r="D9" s="321"/>
      <c r="E9" s="113"/>
      <c r="F9" s="26"/>
      <c r="G9" s="26"/>
      <c r="H9" s="26"/>
      <c r="I9" s="26"/>
      <c r="J9" s="26"/>
      <c r="K9" s="26"/>
      <c r="L9" s="26"/>
      <c r="M9" s="26"/>
      <c r="N9" s="26"/>
      <c r="O9" s="26"/>
      <c r="P9" s="26"/>
      <c r="Q9" s="26"/>
      <c r="R9" s="26"/>
      <c r="S9" s="147"/>
    </row>
    <row r="10" spans="1:19" ht="13.5" customHeight="1" thickBot="1">
      <c r="A10" s="3570" t="s">
        <v>1306</v>
      </c>
      <c r="B10" s="3610"/>
      <c r="D10" s="321"/>
      <c r="E10" s="113"/>
      <c r="F10" s="26"/>
      <c r="G10" s="26"/>
      <c r="H10" s="26"/>
      <c r="I10" s="26"/>
      <c r="J10" s="26"/>
      <c r="K10" s="26"/>
      <c r="L10" s="26"/>
      <c r="M10" s="26"/>
      <c r="N10" s="26"/>
      <c r="O10" s="26"/>
      <c r="P10" s="26"/>
      <c r="Q10" s="26"/>
      <c r="R10" s="26"/>
      <c r="S10" s="147"/>
    </row>
    <row r="11" spans="1:19" ht="13.5" customHeight="1" thickBot="1">
      <c r="A11" s="3570" t="s">
        <v>2280</v>
      </c>
      <c r="B11" s="3581"/>
      <c r="D11" s="321"/>
      <c r="E11" s="113"/>
      <c r="F11" s="53"/>
      <c r="G11" s="53"/>
      <c r="H11" s="53"/>
      <c r="I11" s="53"/>
      <c r="J11" s="53"/>
      <c r="K11" s="53"/>
      <c r="L11" s="53"/>
      <c r="M11" s="53"/>
      <c r="N11" s="53"/>
      <c r="O11" s="53"/>
      <c r="P11" s="53"/>
      <c r="Q11" s="53"/>
      <c r="R11" s="53"/>
      <c r="S11" s="379"/>
    </row>
    <row r="12" spans="1:19" ht="13.5" customHeight="1" thickBot="1">
      <c r="A12" s="3570" t="s">
        <v>2279</v>
      </c>
      <c r="B12" s="3581"/>
      <c r="D12" s="321"/>
      <c r="E12" s="113"/>
      <c r="F12" s="26"/>
      <c r="G12" s="26"/>
      <c r="H12" s="26"/>
      <c r="I12" s="26"/>
      <c r="J12" s="26"/>
      <c r="K12" s="26"/>
      <c r="L12" s="26"/>
      <c r="M12" s="26"/>
      <c r="N12" s="26"/>
      <c r="O12" s="26"/>
      <c r="P12" s="26"/>
      <c r="Q12" s="26"/>
      <c r="R12" s="26"/>
      <c r="S12" s="147"/>
    </row>
    <row r="13" spans="1:19" ht="13.5" customHeight="1">
      <c r="A13" s="172" t="s">
        <v>252</v>
      </c>
      <c r="B13" s="194"/>
      <c r="C13" s="321"/>
      <c r="D13" s="321"/>
      <c r="E13" s="114"/>
      <c r="F13" s="26"/>
      <c r="G13" s="26"/>
      <c r="H13" s="26"/>
      <c r="I13" s="26"/>
      <c r="J13" s="26"/>
      <c r="K13" s="26"/>
      <c r="L13" s="26"/>
      <c r="M13" s="26"/>
      <c r="N13" s="26"/>
      <c r="O13" s="26"/>
      <c r="P13" s="26"/>
      <c r="Q13" s="26"/>
      <c r="R13" s="26"/>
      <c r="S13" s="147"/>
    </row>
    <row r="14" spans="1:19" ht="13.5" customHeight="1">
      <c r="A14" s="2445" t="s">
        <v>799</v>
      </c>
      <c r="B14" s="2451">
        <f>'User Parameters'!L13</f>
        <v>2010</v>
      </c>
      <c r="C14" s="321"/>
      <c r="D14" s="321"/>
      <c r="E14" s="1229"/>
      <c r="F14" s="26"/>
      <c r="G14" s="26"/>
      <c r="H14" s="26"/>
      <c r="I14" s="26"/>
      <c r="J14" s="26"/>
      <c r="K14" s="26"/>
      <c r="L14" s="26"/>
      <c r="M14" s="26"/>
      <c r="N14" s="26"/>
      <c r="O14" s="26"/>
      <c r="P14" s="26"/>
      <c r="Q14" s="26"/>
      <c r="R14" s="26"/>
      <c r="S14" s="147"/>
    </row>
    <row r="15" spans="1:19" ht="13.5" customHeight="1">
      <c r="A15" s="2441" t="s">
        <v>54</v>
      </c>
      <c r="B15" s="2450">
        <f>'User Parameters'!L19</f>
        <v>2010</v>
      </c>
      <c r="C15" s="321"/>
      <c r="D15" s="321"/>
      <c r="E15" s="113"/>
      <c r="F15" s="26"/>
      <c r="G15" s="26"/>
      <c r="H15" s="26"/>
      <c r="I15" s="26"/>
      <c r="J15" s="26"/>
      <c r="K15" s="26"/>
      <c r="L15" s="26"/>
      <c r="M15" s="26"/>
      <c r="N15" s="26"/>
      <c r="O15" s="26"/>
      <c r="P15" s="26"/>
      <c r="Q15" s="26"/>
      <c r="R15" s="26"/>
      <c r="S15" s="147"/>
    </row>
    <row r="16" spans="1:19" ht="13.5" customHeight="1">
      <c r="A16" s="2440"/>
      <c r="B16" s="2464"/>
      <c r="C16" s="321"/>
      <c r="D16" s="321"/>
      <c r="E16" s="113"/>
      <c r="F16" s="26"/>
      <c r="G16" s="26"/>
      <c r="H16" s="26"/>
      <c r="I16" s="26"/>
      <c r="J16" s="26"/>
      <c r="K16" s="26"/>
      <c r="L16" s="26"/>
      <c r="M16" s="26"/>
      <c r="N16" s="26"/>
      <c r="O16" s="26"/>
      <c r="P16" s="26"/>
      <c r="Q16" s="26"/>
      <c r="R16" s="26"/>
      <c r="S16" s="147"/>
    </row>
    <row r="17" spans="1:19" ht="13.5" customHeight="1">
      <c r="A17" s="169" t="s">
        <v>253</v>
      </c>
      <c r="B17" s="170"/>
      <c r="C17" s="321"/>
      <c r="D17" s="321"/>
      <c r="E17" s="207"/>
      <c r="F17" s="26"/>
      <c r="G17" s="26"/>
      <c r="H17" s="26"/>
      <c r="I17" s="26"/>
      <c r="J17" s="26"/>
      <c r="K17" s="26"/>
      <c r="L17" s="26"/>
      <c r="M17" s="26"/>
      <c r="N17" s="26"/>
      <c r="O17" s="26"/>
      <c r="P17" s="26"/>
      <c r="Q17" s="26"/>
      <c r="R17" s="26"/>
      <c r="S17" s="147"/>
    </row>
    <row r="18" spans="1:19" ht="13.5" customHeight="1">
      <c r="A18" s="3653"/>
      <c r="B18" s="3653"/>
      <c r="C18" s="321"/>
      <c r="D18" s="321"/>
      <c r="E18" s="113"/>
      <c r="F18" s="26"/>
      <c r="G18" s="26"/>
      <c r="H18" s="26"/>
      <c r="I18" s="26"/>
      <c r="J18" s="26"/>
      <c r="K18" s="26"/>
      <c r="L18" s="26"/>
      <c r="M18" s="26"/>
      <c r="N18" s="26"/>
      <c r="O18" s="26"/>
      <c r="P18" s="26"/>
      <c r="Q18" s="26"/>
      <c r="R18" s="26"/>
      <c r="S18" s="147"/>
    </row>
    <row r="19" spans="1:19" ht="13.5" customHeight="1">
      <c r="A19" s="3653"/>
      <c r="B19" s="3653"/>
      <c r="C19" s="321"/>
      <c r="D19" s="321"/>
      <c r="E19" s="623" t="s">
        <v>2374</v>
      </c>
      <c r="F19" s="26"/>
      <c r="G19" s="26"/>
      <c r="H19" s="26"/>
      <c r="I19" s="26"/>
      <c r="J19" s="26"/>
      <c r="K19" s="26"/>
      <c r="L19" s="26"/>
      <c r="M19" s="26"/>
      <c r="N19" s="26"/>
      <c r="O19" s="26"/>
      <c r="P19" s="26"/>
      <c r="Q19" s="26"/>
      <c r="R19" s="26"/>
      <c r="S19" s="147"/>
    </row>
    <row r="20" spans="1:19" ht="13.5" customHeight="1" thickBot="1">
      <c r="A20" s="3653"/>
      <c r="B20" s="3653"/>
      <c r="C20" s="321"/>
      <c r="D20" s="412"/>
      <c r="E20" s="381" t="str">
        <f>Rail!E20</f>
        <v>TAG1: Unit 3.4.1 (Table 5)</v>
      </c>
      <c r="F20" s="163"/>
      <c r="G20" s="163"/>
      <c r="H20" s="163"/>
      <c r="I20" s="163"/>
      <c r="J20" s="163"/>
      <c r="K20" s="163"/>
      <c r="L20" s="163"/>
      <c r="M20" s="163"/>
      <c r="N20" s="163"/>
      <c r="O20" s="163"/>
      <c r="P20" s="163"/>
      <c r="Q20" s="163"/>
      <c r="R20" s="163"/>
      <c r="S20" s="382"/>
    </row>
    <row r="21" spans="1:19" ht="13.5" customHeight="1" thickTop="1">
      <c r="A21" s="2420"/>
      <c r="B21" s="2421"/>
      <c r="C21" s="321"/>
      <c r="D21" s="32"/>
    </row>
    <row r="22" spans="1:19" ht="13.5" customHeight="1" thickBot="1">
      <c r="R22" s="13"/>
    </row>
    <row r="23" spans="1:19" s="26" customFormat="1" ht="13.5" customHeight="1" thickTop="1" thickBot="1">
      <c r="A23" s="2083" t="s">
        <v>1210</v>
      </c>
      <c r="B23" s="574"/>
      <c r="C23" s="574"/>
      <c r="D23" s="122" t="str">
        <f>CONCATENATE("Rail injury classification, weights and values (",B14," prices and ",B15," values)")</f>
        <v>Rail injury classification, weights and values (2010 prices and 2010 values)</v>
      </c>
      <c r="E23" s="574"/>
      <c r="F23" s="574"/>
      <c r="G23" s="362"/>
      <c r="H23" s="362"/>
      <c r="I23" s="362"/>
      <c r="J23" s="362"/>
      <c r="K23" s="362"/>
      <c r="L23" s="362"/>
      <c r="M23" s="362"/>
      <c r="N23" s="362"/>
      <c r="O23" s="362"/>
      <c r="P23" s="362"/>
      <c r="Q23" s="362"/>
      <c r="R23" s="278"/>
    </row>
    <row r="24" spans="1:19" s="26" customFormat="1" ht="13.5" customHeight="1" thickTop="1">
      <c r="A24" s="817" t="s">
        <v>346</v>
      </c>
      <c r="B24" s="100"/>
      <c r="C24" s="438"/>
      <c r="D24" s="514" t="s">
        <v>347</v>
      </c>
      <c r="E24" s="173"/>
      <c r="F24" s="173"/>
      <c r="G24" s="173"/>
      <c r="H24" s="173"/>
      <c r="I24" s="173"/>
      <c r="J24" s="173"/>
      <c r="K24" s="173"/>
      <c r="L24" s="173"/>
      <c r="M24" s="173"/>
      <c r="N24" s="173"/>
      <c r="O24" s="173"/>
      <c r="P24" s="173"/>
      <c r="Q24" s="388" t="s">
        <v>348</v>
      </c>
      <c r="R24" s="4" t="s">
        <v>1422</v>
      </c>
    </row>
    <row r="25" spans="1:19" s="26" customFormat="1" ht="13.5" customHeight="1" thickBot="1">
      <c r="A25" s="818"/>
      <c r="B25" s="465"/>
      <c r="C25" s="439"/>
      <c r="D25" s="819"/>
      <c r="E25" s="465"/>
      <c r="F25" s="465"/>
      <c r="G25" s="465"/>
      <c r="H25" s="465"/>
      <c r="I25" s="465"/>
      <c r="J25" s="465"/>
      <c r="K25" s="465"/>
      <c r="L25" s="465"/>
      <c r="M25" s="465"/>
      <c r="N25" s="465"/>
      <c r="O25" s="465"/>
      <c r="P25" s="439"/>
      <c r="Q25" s="391"/>
      <c r="R25" s="407" t="s">
        <v>523</v>
      </c>
    </row>
    <row r="26" spans="1:19" s="26" customFormat="1" ht="13.5" customHeight="1" thickTop="1">
      <c r="A26" s="745" t="s">
        <v>349</v>
      </c>
      <c r="B26" s="597"/>
      <c r="C26" s="510"/>
      <c r="D26" s="814" t="s">
        <v>350</v>
      </c>
      <c r="E26" s="815"/>
      <c r="F26" s="815"/>
      <c r="G26" s="815"/>
      <c r="H26" s="815"/>
      <c r="I26" s="815"/>
      <c r="J26" s="815"/>
      <c r="K26" s="815"/>
      <c r="L26" s="815"/>
      <c r="M26" s="815"/>
      <c r="N26" s="815"/>
      <c r="O26" s="815"/>
      <c r="P26" s="1037"/>
      <c r="Q26" s="1249">
        <f>Rail!Q26</f>
        <v>1</v>
      </c>
      <c r="R26" s="1409">
        <f>Rail!R26 * (VLOOKUP($B$14,'Annual Parameters'!$B$33:$W$104,3,FALSE) / VLOOKUP(Rail!$B$14,'Annual Parameters'!$B$33:$W$104,3,FALSE)) * (VLOOKUP($B$15,'Annual Parameters'!$B$33:$W$104,15,FALSE) / VLOOKUP(Rail!$B$15,'Annual Parameters'!$B$33:$W$104,15,FALSE))</f>
        <v>1554395.290539701</v>
      </c>
    </row>
    <row r="27" spans="1:19" s="26" customFormat="1" ht="13.5" customHeight="1">
      <c r="A27" s="745" t="s">
        <v>729</v>
      </c>
      <c r="B27" s="597"/>
      <c r="C27" s="510"/>
      <c r="D27" s="816" t="s">
        <v>1286</v>
      </c>
      <c r="E27" s="696"/>
      <c r="F27" s="696"/>
      <c r="G27" s="696"/>
      <c r="H27" s="696"/>
      <c r="I27" s="696"/>
      <c r="J27" s="696"/>
      <c r="K27" s="696"/>
      <c r="L27" s="696"/>
      <c r="M27" s="696"/>
      <c r="N27" s="696"/>
      <c r="O27" s="696"/>
      <c r="P27" s="510"/>
      <c r="Q27" s="1250">
        <f>Rail!Q27</f>
        <v>0.1</v>
      </c>
      <c r="R27" s="1410">
        <f>Rail!R27 * (VLOOKUP($B$14,'Annual Parameters'!$B$33:$W$104,3,FALSE) / VLOOKUP(Rail!$B$14,'Annual Parameters'!$B$33:$W$104,3,FALSE)) * (VLOOKUP($B$15,'Annual Parameters'!$B$33:$W$104,15,FALSE) / VLOOKUP(Rail!$B$15,'Annual Parameters'!$B$33:$W$104,15,FALSE))</f>
        <v>155439.52905397012</v>
      </c>
    </row>
    <row r="28" spans="1:19" s="26" customFormat="1" ht="13.5" customHeight="1">
      <c r="A28" s="435" t="s">
        <v>1287</v>
      </c>
      <c r="C28" s="147"/>
      <c r="D28" s="12" t="s">
        <v>521</v>
      </c>
      <c r="P28" s="147"/>
      <c r="Q28" s="1251">
        <f>Rail!Q28</f>
        <v>5.0000000000000001E-3</v>
      </c>
      <c r="R28" s="1412">
        <f>Rail!R28 * (VLOOKUP($B$14,'Annual Parameters'!$B$33:$W$104,3,FALSE) / VLOOKUP(Rail!$B$14,'Annual Parameters'!$B$33:$W$104,3,FALSE)) * (VLOOKUP($B$15,'Annual Parameters'!$B$33:$W$104,15,FALSE) / VLOOKUP(Rail!$B$15,'Annual Parameters'!$B$33:$W$104,15,FALSE))</f>
        <v>7771.9764526985055</v>
      </c>
    </row>
    <row r="29" spans="1:19" s="26" customFormat="1" ht="13.5" customHeight="1">
      <c r="A29" s="745"/>
      <c r="B29" s="597"/>
      <c r="C29" s="510"/>
      <c r="D29" s="745" t="s">
        <v>522</v>
      </c>
      <c r="E29" s="597"/>
      <c r="F29" s="597"/>
      <c r="G29" s="597"/>
      <c r="H29" s="597"/>
      <c r="I29" s="597"/>
      <c r="J29" s="597"/>
      <c r="K29" s="597"/>
      <c r="L29" s="597"/>
      <c r="M29" s="597"/>
      <c r="N29" s="597"/>
      <c r="O29" s="597"/>
      <c r="P29" s="510"/>
      <c r="Q29" s="1252"/>
      <c r="R29" s="1413"/>
    </row>
    <row r="30" spans="1:19" s="26" customFormat="1" ht="13.5" customHeight="1">
      <c r="A30" s="745" t="s">
        <v>1288</v>
      </c>
      <c r="B30" s="597"/>
      <c r="C30" s="510"/>
      <c r="D30" s="816" t="s">
        <v>1289</v>
      </c>
      <c r="E30" s="696"/>
      <c r="F30" s="696"/>
      <c r="G30" s="696"/>
      <c r="H30" s="696"/>
      <c r="I30" s="696"/>
      <c r="J30" s="696"/>
      <c r="K30" s="696"/>
      <c r="L30" s="696"/>
      <c r="M30" s="696"/>
      <c r="N30" s="696"/>
      <c r="O30" s="696"/>
      <c r="P30" s="510"/>
      <c r="Q30" s="1250">
        <f>Rail!Q30</f>
        <v>1E-3</v>
      </c>
      <c r="R30" s="1410"/>
    </row>
    <row r="31" spans="1:19" s="26" customFormat="1" ht="13.5" customHeight="1">
      <c r="A31" s="745" t="s">
        <v>1290</v>
      </c>
      <c r="B31" s="597"/>
      <c r="C31" s="510"/>
      <c r="D31" s="816" t="s">
        <v>1178</v>
      </c>
      <c r="E31" s="696"/>
      <c r="F31" s="696"/>
      <c r="G31" s="696"/>
      <c r="H31" s="696"/>
      <c r="I31" s="696"/>
      <c r="J31" s="696"/>
      <c r="K31" s="696"/>
      <c r="L31" s="696"/>
      <c r="M31" s="696"/>
      <c r="N31" s="696"/>
      <c r="O31" s="696"/>
      <c r="P31" s="510"/>
      <c r="Q31" s="1250">
        <f>Rail!Q31</f>
        <v>5.0000000000000001E-3</v>
      </c>
      <c r="R31" s="1410"/>
    </row>
    <row r="32" spans="1:19" s="26" customFormat="1" ht="13.5" customHeight="1" thickBot="1">
      <c r="A32" s="456" t="s">
        <v>1179</v>
      </c>
      <c r="B32" s="13"/>
      <c r="C32" s="168"/>
      <c r="D32" s="521" t="s">
        <v>533</v>
      </c>
      <c r="E32" s="13"/>
      <c r="F32" s="13"/>
      <c r="G32" s="13"/>
      <c r="H32" s="13"/>
      <c r="I32" s="13"/>
      <c r="J32" s="13"/>
      <c r="K32" s="13"/>
      <c r="L32" s="13"/>
      <c r="M32" s="13"/>
      <c r="N32" s="13"/>
      <c r="O32" s="13"/>
      <c r="P32" s="654"/>
      <c r="Q32" s="1253">
        <f>Rail!Q32</f>
        <v>1E-3</v>
      </c>
      <c r="R32" s="1411">
        <f>Rail!R32 * (VLOOKUP($B$14,'Annual Parameters'!$B$33:$W$104,3,FALSE) / VLOOKUP(Rail!$B$14,'Annual Parameters'!$B$33:$W$104,3,FALSE)) * (VLOOKUP($B$15,'Annual Parameters'!$B$33:$W$104,15,FALSE) / VLOOKUP(Rail!$B$15,'Annual Parameters'!$B$33:$W$104,15,FALSE))</f>
        <v>1554.3952905397011</v>
      </c>
    </row>
    <row r="33" spans="2:7" ht="13.5" customHeight="1" thickTop="1">
      <c r="B33" s="721"/>
      <c r="C33" s="721"/>
      <c r="D33" s="721"/>
      <c r="E33" s="721"/>
      <c r="F33" s="721"/>
      <c r="G33" s="721"/>
    </row>
    <row r="34" spans="2:7" ht="13.5" customHeight="1">
      <c r="B34" s="599"/>
      <c r="C34" s="599"/>
      <c r="D34" s="599"/>
      <c r="E34" s="599"/>
      <c r="F34" s="599"/>
      <c r="G34" s="599"/>
    </row>
  </sheetData>
  <sheetProtection sheet="1" objects="1" scenarios="1"/>
  <mergeCells count="9">
    <mergeCell ref="A20:B20"/>
    <mergeCell ref="E6:S6"/>
    <mergeCell ref="A7:B7"/>
    <mergeCell ref="A8:B8"/>
    <mergeCell ref="A10:B10"/>
    <mergeCell ref="A11:B11"/>
    <mergeCell ref="A12:B12"/>
    <mergeCell ref="A18:B18"/>
    <mergeCell ref="A19:B19"/>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indexed="10"/>
  </sheetPr>
  <dimension ref="A1:S33"/>
  <sheetViews>
    <sheetView zoomScale="85" zoomScaleNormal="85" workbookViewId="0">
      <pane xSplit="3" ySplit="25" topLeftCell="D26"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1360"/>
  </cols>
  <sheetData>
    <row r="1" spans="1:19" ht="54.9" customHeight="1"/>
    <row r="2" spans="1:19" s="1361" customFormat="1" ht="5.0999999999999996" customHeight="1"/>
    <row r="3" spans="1:19" s="1361" customFormat="1" ht="20.100000000000001" customHeight="1">
      <c r="A3" s="262" t="s">
        <v>2291</v>
      </c>
    </row>
    <row r="4" spans="1:19" s="1363" customFormat="1" ht="20.100000000000001" customHeight="1" thickBot="1">
      <c r="A4" s="1317" t="s">
        <v>299</v>
      </c>
      <c r="B4" s="1362"/>
      <c r="C4" s="1362"/>
      <c r="D4" s="1362"/>
      <c r="E4" s="1362"/>
      <c r="F4" s="1362"/>
      <c r="G4" s="1362"/>
      <c r="H4" s="1362"/>
      <c r="I4" s="1362"/>
      <c r="J4" s="1362"/>
      <c r="K4" s="1362"/>
      <c r="L4" s="1362"/>
      <c r="M4" s="1362"/>
      <c r="N4" s="1362"/>
      <c r="O4" s="1362"/>
      <c r="P4" s="1362"/>
      <c r="Q4" s="1362"/>
      <c r="R4" s="1362"/>
      <c r="S4" s="1362"/>
    </row>
    <row r="5" spans="1:19" ht="9.9" customHeight="1" thickTop="1" thickBot="1"/>
    <row r="6" spans="1:19" s="240"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240" customFormat="1" ht="13.5" customHeight="1">
      <c r="A7" s="3636" t="str">
        <f>Audit!A12</f>
        <v>May 2019 v1.12</v>
      </c>
      <c r="B7" s="3637"/>
      <c r="E7" s="265" t="s">
        <v>1161</v>
      </c>
      <c r="F7" s="236"/>
      <c r="G7" s="237"/>
      <c r="H7" s="237"/>
      <c r="I7" s="237"/>
      <c r="J7" s="237"/>
      <c r="K7" s="237"/>
      <c r="L7" s="237"/>
      <c r="M7" s="237"/>
      <c r="N7" s="237"/>
      <c r="O7" s="237"/>
      <c r="P7" s="237"/>
      <c r="Q7" s="237"/>
      <c r="R7" s="237"/>
      <c r="S7" s="247"/>
    </row>
    <row r="8" spans="1:19" s="240" customFormat="1" ht="13.5" customHeight="1">
      <c r="A8" s="3638">
        <f>Audit!C12</f>
        <v>43586</v>
      </c>
      <c r="B8" s="3637"/>
      <c r="C8" s="239"/>
      <c r="D8" s="239"/>
      <c r="E8" s="265"/>
      <c r="F8" s="266"/>
      <c r="G8" s="237"/>
      <c r="H8" s="237"/>
      <c r="I8" s="237"/>
      <c r="J8" s="237"/>
      <c r="K8" s="237"/>
      <c r="L8" s="237"/>
      <c r="M8" s="237"/>
      <c r="N8" s="237"/>
      <c r="O8" s="237"/>
      <c r="P8" s="237"/>
      <c r="Q8" s="237"/>
      <c r="R8" s="237"/>
      <c r="S8" s="247"/>
    </row>
    <row r="9" spans="1:19" s="240" customFormat="1" ht="13.5" customHeight="1" thickBot="1">
      <c r="A9" s="169" t="s">
        <v>14</v>
      </c>
      <c r="B9" s="169"/>
      <c r="D9" s="239"/>
      <c r="E9" s="265"/>
      <c r="F9" s="237"/>
      <c r="G9" s="237"/>
      <c r="H9" s="237"/>
      <c r="I9" s="237"/>
      <c r="J9" s="237"/>
      <c r="K9" s="237"/>
      <c r="L9" s="237"/>
      <c r="M9" s="237"/>
      <c r="N9" s="237"/>
      <c r="O9" s="237"/>
      <c r="P9" s="237"/>
      <c r="Q9" s="237"/>
      <c r="R9" s="237"/>
      <c r="S9" s="247"/>
    </row>
    <row r="10" spans="1:19" s="240" customFormat="1" ht="13.5" customHeight="1" thickBot="1">
      <c r="A10" s="3611" t="s">
        <v>1306</v>
      </c>
      <c r="B10" s="3612"/>
      <c r="D10" s="239"/>
      <c r="E10" s="265"/>
      <c r="F10" s="237"/>
      <c r="G10" s="237"/>
      <c r="H10" s="237"/>
      <c r="I10" s="237"/>
      <c r="J10" s="237"/>
      <c r="K10" s="237"/>
      <c r="L10" s="237"/>
      <c r="M10" s="237"/>
      <c r="N10" s="237"/>
      <c r="O10" s="237"/>
      <c r="P10" s="237"/>
      <c r="Q10" s="237"/>
      <c r="R10" s="237"/>
      <c r="S10" s="247"/>
    </row>
    <row r="11" spans="1:19" s="240" customFormat="1" ht="13.5" customHeight="1" thickBot="1">
      <c r="A11" s="3611" t="s">
        <v>2280</v>
      </c>
      <c r="B11" s="3639"/>
      <c r="D11" s="239"/>
      <c r="E11" s="265"/>
      <c r="F11" s="267"/>
      <c r="G11" s="267"/>
      <c r="H11" s="267"/>
      <c r="I11" s="267"/>
      <c r="J11" s="267"/>
      <c r="K11" s="267"/>
      <c r="L11" s="267"/>
      <c r="M11" s="267"/>
      <c r="N11" s="267"/>
      <c r="O11" s="267"/>
      <c r="P11" s="267"/>
      <c r="Q11" s="267"/>
      <c r="R11" s="267"/>
      <c r="S11" s="1319"/>
    </row>
    <row r="12" spans="1:19" s="240" customFormat="1" ht="13.5" customHeight="1" thickBot="1">
      <c r="A12" s="3611" t="s">
        <v>2279</v>
      </c>
      <c r="B12" s="3639"/>
      <c r="D12" s="239"/>
      <c r="E12" s="265"/>
      <c r="F12" s="237"/>
      <c r="G12" s="237"/>
      <c r="H12" s="237"/>
      <c r="I12" s="237"/>
      <c r="J12" s="237"/>
      <c r="K12" s="237"/>
      <c r="L12" s="237"/>
      <c r="M12" s="237"/>
      <c r="N12" s="237"/>
      <c r="O12" s="237"/>
      <c r="P12" s="237"/>
      <c r="Q12" s="237"/>
      <c r="R12" s="237"/>
      <c r="S12" s="247"/>
    </row>
    <row r="13" spans="1:19" s="240" customFormat="1" ht="13.5" customHeight="1">
      <c r="A13" s="169" t="s">
        <v>252</v>
      </c>
      <c r="B13" s="169"/>
      <c r="C13" s="239"/>
      <c r="D13" s="239"/>
      <c r="E13" s="1320"/>
      <c r="F13" s="237"/>
      <c r="G13" s="237"/>
      <c r="H13" s="237"/>
      <c r="I13" s="237"/>
      <c r="J13" s="237"/>
      <c r="K13" s="237"/>
      <c r="L13" s="237"/>
      <c r="M13" s="237"/>
      <c r="N13" s="237"/>
      <c r="O13" s="237"/>
      <c r="P13" s="237"/>
      <c r="Q13" s="237"/>
      <c r="R13" s="237"/>
      <c r="S13" s="247"/>
    </row>
    <row r="14" spans="1:19" s="240" customFormat="1" ht="13.5" customHeight="1">
      <c r="A14" s="269" t="s">
        <v>799</v>
      </c>
      <c r="B14" s="268">
        <f>B16</f>
        <v>1997</v>
      </c>
      <c r="C14" s="239"/>
      <c r="D14" s="239"/>
      <c r="E14" s="265"/>
      <c r="F14" s="237"/>
      <c r="G14" s="237"/>
      <c r="H14" s="237"/>
      <c r="I14" s="237"/>
      <c r="J14" s="237"/>
      <c r="K14" s="237"/>
      <c r="L14" s="237"/>
      <c r="M14" s="237"/>
      <c r="N14" s="237"/>
      <c r="O14" s="237"/>
      <c r="P14" s="237"/>
      <c r="Q14" s="237"/>
      <c r="R14" s="237"/>
      <c r="S14" s="247"/>
    </row>
    <row r="15" spans="1:19" s="240" customFormat="1" ht="13.5" customHeight="1">
      <c r="A15" s="237" t="s">
        <v>54</v>
      </c>
      <c r="B15" s="268">
        <f>B16</f>
        <v>1997</v>
      </c>
      <c r="C15" s="239"/>
      <c r="D15" s="239"/>
      <c r="E15" s="265"/>
      <c r="F15" s="237"/>
      <c r="G15" s="237"/>
      <c r="H15" s="237"/>
      <c r="I15" s="237"/>
      <c r="J15" s="237"/>
      <c r="K15" s="237"/>
      <c r="L15" s="237"/>
      <c r="M15" s="237"/>
      <c r="N15" s="237"/>
      <c r="O15" s="237"/>
      <c r="P15" s="237"/>
      <c r="Q15" s="237"/>
      <c r="R15" s="237"/>
      <c r="S15" s="247"/>
    </row>
    <row r="16" spans="1:19" s="240" customFormat="1" ht="13.5" customHeight="1">
      <c r="A16" s="38" t="s">
        <v>370</v>
      </c>
      <c r="B16" s="1220">
        <f>'Casualty costs'!B16</f>
        <v>1997</v>
      </c>
      <c r="C16" s="239"/>
      <c r="D16" s="239"/>
      <c r="E16" s="265"/>
      <c r="F16" s="237"/>
      <c r="G16" s="237"/>
      <c r="H16" s="237"/>
      <c r="I16" s="237"/>
      <c r="J16" s="237"/>
      <c r="K16" s="237"/>
      <c r="L16" s="237"/>
      <c r="M16" s="237"/>
      <c r="N16" s="237"/>
      <c r="O16" s="237"/>
      <c r="P16" s="237"/>
      <c r="Q16" s="237"/>
      <c r="R16" s="237"/>
      <c r="S16" s="247"/>
    </row>
    <row r="17" spans="1:19" s="240" customFormat="1" ht="13.5" customHeight="1">
      <c r="A17" s="169" t="s">
        <v>253</v>
      </c>
      <c r="B17" s="169"/>
      <c r="C17" s="239"/>
      <c r="D17" s="239"/>
      <c r="E17" s="1321"/>
      <c r="F17" s="237"/>
      <c r="G17" s="237"/>
      <c r="H17" s="237"/>
      <c r="I17" s="237"/>
      <c r="J17" s="237"/>
      <c r="K17" s="237"/>
      <c r="L17" s="237"/>
      <c r="M17" s="237"/>
      <c r="N17" s="237"/>
      <c r="O17" s="237"/>
      <c r="P17" s="237"/>
      <c r="Q17" s="237"/>
      <c r="R17" s="237"/>
      <c r="S17" s="247"/>
    </row>
    <row r="18" spans="1:19" s="240" customFormat="1" ht="13.5" customHeight="1">
      <c r="A18" s="3615"/>
      <c r="B18" s="3615"/>
      <c r="C18" s="239"/>
      <c r="D18" s="239"/>
      <c r="E18" s="265" t="s">
        <v>2375</v>
      </c>
      <c r="F18" s="237"/>
      <c r="G18" s="237"/>
      <c r="H18" s="237"/>
      <c r="I18" s="237"/>
      <c r="J18" s="237"/>
      <c r="K18" s="237"/>
      <c r="L18" s="237"/>
      <c r="M18" s="237"/>
      <c r="N18" s="237"/>
      <c r="O18" s="237"/>
      <c r="P18" s="237"/>
      <c r="Q18" s="237"/>
      <c r="R18" s="237"/>
      <c r="S18" s="247"/>
    </row>
    <row r="19" spans="1:19" s="240" customFormat="1" ht="13.5" customHeight="1">
      <c r="A19" s="244"/>
      <c r="B19" s="244"/>
      <c r="C19" s="239"/>
      <c r="D19" s="239"/>
      <c r="E19" s="113" t="s">
        <v>905</v>
      </c>
      <c r="F19" s="237"/>
      <c r="G19" s="237"/>
      <c r="H19" s="237"/>
      <c r="I19" s="237"/>
      <c r="J19" s="237"/>
      <c r="K19" s="237"/>
      <c r="L19" s="237"/>
      <c r="M19" s="237"/>
      <c r="N19" s="237"/>
      <c r="O19" s="237"/>
      <c r="P19" s="237"/>
      <c r="Q19" s="237"/>
      <c r="R19" s="237"/>
      <c r="S19" s="247"/>
    </row>
    <row r="20" spans="1:19" s="240" customFormat="1" ht="13.5" customHeight="1" thickBot="1">
      <c r="A20" s="244"/>
      <c r="B20" s="244"/>
      <c r="C20" s="239"/>
      <c r="D20" s="239"/>
      <c r="E20" s="259" t="s">
        <v>2292</v>
      </c>
      <c r="F20" s="270"/>
      <c r="G20" s="270"/>
      <c r="H20" s="270"/>
      <c r="I20" s="270"/>
      <c r="J20" s="270"/>
      <c r="K20" s="270"/>
      <c r="L20" s="270"/>
      <c r="M20" s="270"/>
      <c r="N20" s="270"/>
      <c r="O20" s="270"/>
      <c r="P20" s="270"/>
      <c r="Q20" s="270"/>
      <c r="R20" s="270"/>
      <c r="S20" s="1322"/>
    </row>
    <row r="21" spans="1:19" ht="13.5" customHeight="1" thickTop="1"/>
    <row r="22" spans="1:19" ht="13.5" customHeight="1" thickBot="1"/>
    <row r="23" spans="1:19" ht="13.5" customHeight="1" thickTop="1" thickBot="1">
      <c r="A23" s="122" t="str">
        <f>CONCATENATE("Rail injury classification, weights and values (",B14," prices and ",B15," values)")</f>
        <v>Rail injury classification, weights and values (1997 prices and 1997 values)</v>
      </c>
      <c r="B23" s="574"/>
      <c r="C23" s="574"/>
      <c r="D23" s="574"/>
      <c r="E23" s="574"/>
      <c r="F23" s="574"/>
      <c r="G23" s="362"/>
      <c r="H23" s="362"/>
      <c r="I23" s="362"/>
      <c r="J23" s="362"/>
      <c r="K23" s="362"/>
      <c r="L23" s="362"/>
      <c r="M23" s="362"/>
      <c r="N23" s="362"/>
      <c r="O23" s="362"/>
      <c r="P23" s="362"/>
      <c r="Q23" s="362"/>
      <c r="R23" s="278"/>
    </row>
    <row r="24" spans="1:19" ht="13.5" customHeight="1" thickTop="1">
      <c r="A24" s="817" t="s">
        <v>346</v>
      </c>
      <c r="B24" s="100"/>
      <c r="C24" s="438"/>
      <c r="D24" s="514" t="s">
        <v>347</v>
      </c>
      <c r="E24" s="173"/>
      <c r="F24" s="173"/>
      <c r="G24" s="173"/>
      <c r="H24" s="173"/>
      <c r="I24" s="173"/>
      <c r="J24" s="173"/>
      <c r="K24" s="173"/>
      <c r="L24" s="173"/>
      <c r="M24" s="173"/>
      <c r="N24" s="173"/>
      <c r="O24" s="173"/>
      <c r="P24" s="173"/>
      <c r="Q24" s="388" t="s">
        <v>348</v>
      </c>
      <c r="R24" s="4" t="s">
        <v>1422</v>
      </c>
    </row>
    <row r="25" spans="1:19" ht="13.5" customHeight="1" thickBot="1">
      <c r="A25" s="818"/>
      <c r="B25" s="465"/>
      <c r="C25" s="439"/>
      <c r="D25" s="819"/>
      <c r="E25" s="465"/>
      <c r="F25" s="465"/>
      <c r="G25" s="465"/>
      <c r="H25" s="465"/>
      <c r="I25" s="465"/>
      <c r="J25" s="465"/>
      <c r="K25" s="465"/>
      <c r="L25" s="465"/>
      <c r="M25" s="465"/>
      <c r="N25" s="465"/>
      <c r="O25" s="465"/>
      <c r="P25" s="439"/>
      <c r="Q25" s="391"/>
      <c r="R25" s="407" t="s">
        <v>523</v>
      </c>
    </row>
    <row r="26" spans="1:19" ht="13.5" customHeight="1" thickTop="1">
      <c r="A26" s="1364" t="s">
        <v>349</v>
      </c>
      <c r="B26" s="1365"/>
      <c r="C26" s="1366"/>
      <c r="D26" s="1367" t="s">
        <v>350</v>
      </c>
      <c r="E26" s="1368"/>
      <c r="F26" s="1368"/>
      <c r="G26" s="1368"/>
      <c r="H26" s="1368"/>
      <c r="I26" s="1368"/>
      <c r="J26" s="1368"/>
      <c r="K26" s="1368"/>
      <c r="L26" s="1368"/>
      <c r="M26" s="1368"/>
      <c r="N26" s="1368"/>
      <c r="O26" s="1368"/>
      <c r="P26" s="1366"/>
      <c r="Q26" s="1369">
        <v>1</v>
      </c>
      <c r="R26" s="1971">
        <f>'Casualty costs'!$G$27*Rail!Q26</f>
        <v>1000000.7001898915</v>
      </c>
    </row>
    <row r="27" spans="1:19" ht="13.5" customHeight="1">
      <c r="A27" s="1364" t="s">
        <v>729</v>
      </c>
      <c r="B27" s="1365"/>
      <c r="C27" s="1366"/>
      <c r="D27" s="1370" t="s">
        <v>1286</v>
      </c>
      <c r="E27" s="1371"/>
      <c r="F27" s="1371"/>
      <c r="G27" s="1371"/>
      <c r="H27" s="1371"/>
      <c r="I27" s="1371"/>
      <c r="J27" s="1371"/>
      <c r="K27" s="1371"/>
      <c r="L27" s="1371"/>
      <c r="M27" s="1371"/>
      <c r="N27" s="1371"/>
      <c r="O27" s="1371"/>
      <c r="P27" s="1366"/>
      <c r="Q27" s="1372">
        <v>0.1</v>
      </c>
      <c r="R27" s="1972">
        <f>'Casualty costs'!$G$27*Rail!Q27</f>
        <v>100000.07001898915</v>
      </c>
    </row>
    <row r="28" spans="1:19" ht="13.5" customHeight="1">
      <c r="A28" s="1373" t="s">
        <v>1287</v>
      </c>
      <c r="B28" s="237"/>
      <c r="C28" s="247"/>
      <c r="D28" s="1374" t="s">
        <v>521</v>
      </c>
      <c r="E28" s="237"/>
      <c r="F28" s="237"/>
      <c r="G28" s="237"/>
      <c r="H28" s="237"/>
      <c r="I28" s="237"/>
      <c r="J28" s="237"/>
      <c r="K28" s="237"/>
      <c r="L28" s="237"/>
      <c r="M28" s="237"/>
      <c r="N28" s="237"/>
      <c r="O28" s="237"/>
      <c r="P28" s="237"/>
      <c r="Q28" s="1375">
        <v>5.0000000000000001E-3</v>
      </c>
      <c r="R28" s="1973">
        <f>'Casualty costs'!$G$27*Rail!Q28</f>
        <v>5000.0035009494577</v>
      </c>
    </row>
    <row r="29" spans="1:19" ht="13.5" customHeight="1">
      <c r="A29" s="1364"/>
      <c r="B29" s="1365"/>
      <c r="C29" s="1366"/>
      <c r="D29" s="1364" t="s">
        <v>522</v>
      </c>
      <c r="E29" s="1365"/>
      <c r="F29" s="1365"/>
      <c r="G29" s="1365"/>
      <c r="H29" s="1365"/>
      <c r="I29" s="1365"/>
      <c r="J29" s="1365"/>
      <c r="K29" s="1365"/>
      <c r="L29" s="1365"/>
      <c r="M29" s="1365"/>
      <c r="N29" s="1365"/>
      <c r="O29" s="1365"/>
      <c r="P29" s="1366"/>
      <c r="Q29" s="1376"/>
      <c r="R29" s="1974"/>
    </row>
    <row r="30" spans="1:19" ht="13.5" customHeight="1">
      <c r="A30" s="1364" t="s">
        <v>1288</v>
      </c>
      <c r="B30" s="1365"/>
      <c r="C30" s="1366"/>
      <c r="D30" s="1370" t="s">
        <v>1289</v>
      </c>
      <c r="E30" s="1371"/>
      <c r="F30" s="1371"/>
      <c r="G30" s="1371"/>
      <c r="H30" s="1371"/>
      <c r="I30" s="1371"/>
      <c r="J30" s="1371"/>
      <c r="K30" s="1371"/>
      <c r="L30" s="1371"/>
      <c r="M30" s="1371"/>
      <c r="N30" s="1371"/>
      <c r="O30" s="1371"/>
      <c r="P30" s="1366"/>
      <c r="Q30" s="1372">
        <v>1E-3</v>
      </c>
      <c r="R30" s="1975"/>
    </row>
    <row r="31" spans="1:19" ht="13.5" customHeight="1">
      <c r="A31" s="1364" t="s">
        <v>1290</v>
      </c>
      <c r="B31" s="1365"/>
      <c r="C31" s="1366"/>
      <c r="D31" s="1370" t="s">
        <v>1178</v>
      </c>
      <c r="E31" s="1371"/>
      <c r="F31" s="1371"/>
      <c r="G31" s="1371"/>
      <c r="H31" s="1371"/>
      <c r="I31" s="1371"/>
      <c r="J31" s="1371"/>
      <c r="K31" s="1371"/>
      <c r="L31" s="1371"/>
      <c r="M31" s="1371"/>
      <c r="N31" s="1371"/>
      <c r="O31" s="1371"/>
      <c r="P31" s="1366"/>
      <c r="Q31" s="1372">
        <v>5.0000000000000001E-3</v>
      </c>
      <c r="R31" s="1975"/>
    </row>
    <row r="32" spans="1:19" ht="13.5" customHeight="1" thickBot="1">
      <c r="A32" s="1377" t="s">
        <v>1179</v>
      </c>
      <c r="B32" s="246"/>
      <c r="C32" s="249"/>
      <c r="D32" s="1378" t="s">
        <v>533</v>
      </c>
      <c r="E32" s="246"/>
      <c r="F32" s="246"/>
      <c r="G32" s="246"/>
      <c r="H32" s="246"/>
      <c r="I32" s="246"/>
      <c r="J32" s="246"/>
      <c r="K32" s="246"/>
      <c r="L32" s="246"/>
      <c r="M32" s="246"/>
      <c r="N32" s="246"/>
      <c r="O32" s="246"/>
      <c r="P32" s="1379"/>
      <c r="Q32" s="1380">
        <v>1E-3</v>
      </c>
      <c r="R32" s="1976">
        <f>'Casualty costs'!$G$27*Rail!Q32</f>
        <v>1000.0007001898915</v>
      </c>
    </row>
    <row r="33" ht="13.5" customHeight="1" thickTop="1"/>
  </sheetData>
  <sheetProtection sheet="1" objects="1" scenarios="1"/>
  <mergeCells count="7">
    <mergeCell ref="A12:B12"/>
    <mergeCell ref="A18:B18"/>
    <mergeCell ref="E6:S6"/>
    <mergeCell ref="A7:B7"/>
    <mergeCell ref="A8:B8"/>
    <mergeCell ref="A10:B10"/>
    <mergeCell ref="A11:B11"/>
  </mergeCells>
  <phoneticPr fontId="8" type="noConversion"/>
  <hyperlinks>
    <hyperlink ref="A11" location="Contents!A1" display="Contents"/>
    <hyperlink ref="A11:B11" r:id="rId1" display="WebTAG Unit 3.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orientation="portrait" r:id="rId3"/>
  <headerFooter alignWithMargins="0"/>
  <drawing r:id="rId4"/>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17"/>
    <pageSetUpPr fitToPage="1"/>
  </sheetPr>
  <dimension ref="A1:S35"/>
  <sheetViews>
    <sheetView showGridLines="0" zoomScale="85" zoomScaleNormal="85" workbookViewId="0">
      <pane xSplit="3" ySplit="26" topLeftCell="D27" activePane="bottomRight" state="frozen"/>
      <selection activeCell="A9" sqref="A9"/>
      <selection pane="topRight" activeCell="A9" sqref="A9"/>
      <selection pane="bottomLeft" activeCell="A9" sqref="A9"/>
      <selection pane="bottomRight" activeCell="B15" sqref="B15"/>
    </sheetView>
  </sheetViews>
  <sheetFormatPr defaultColWidth="12.88671875" defaultRowHeight="13.5" customHeight="1"/>
  <cols>
    <col min="1" max="16384" width="12.88671875" style="599"/>
  </cols>
  <sheetData>
    <row r="1" spans="1:19" s="38" customFormat="1" ht="54.9" customHeight="1">
      <c r="A1" s="28"/>
      <c r="B1" s="28"/>
    </row>
    <row r="2" spans="1:19" s="300" customFormat="1" ht="5.0999999999999996" customHeight="1"/>
    <row r="3" spans="1:19" s="300" customFormat="1" ht="20.100000000000001" customHeight="1">
      <c r="A3" s="300" t="s">
        <v>2293</v>
      </c>
      <c r="B3" s="485"/>
      <c r="C3" s="46"/>
      <c r="D3" s="83"/>
      <c r="E3" s="83"/>
      <c r="F3" s="445"/>
      <c r="G3" s="485"/>
      <c r="I3" s="83"/>
    </row>
    <row r="4" spans="1:19" s="26" customFormat="1" ht="20.100000000000001" customHeight="1" thickBot="1">
      <c r="A4" s="529" t="s">
        <v>1052</v>
      </c>
      <c r="B4" s="447"/>
      <c r="C4" s="446"/>
      <c r="D4" s="446"/>
      <c r="E4" s="446"/>
      <c r="F4" s="446"/>
      <c r="G4" s="447"/>
      <c r="H4" s="487"/>
      <c r="I4" s="446"/>
      <c r="J4" s="446"/>
      <c r="K4" s="446"/>
      <c r="L4" s="446"/>
      <c r="M4" s="446"/>
      <c r="N4" s="446"/>
      <c r="O4" s="446"/>
      <c r="P4" s="446"/>
      <c r="Q4" s="446"/>
      <c r="R4" s="446"/>
      <c r="S4" s="446"/>
    </row>
    <row r="5" spans="1:19" s="38" customFormat="1" ht="9.9" customHeight="1" thickTop="1" thickBot="1">
      <c r="A5" s="35"/>
      <c r="B5" s="321"/>
      <c r="E5" s="427"/>
      <c r="G5" s="321"/>
      <c r="H5" s="32"/>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D7" s="147"/>
      <c r="E7" s="717" t="s">
        <v>778</v>
      </c>
      <c r="F7" s="29"/>
      <c r="G7" s="26"/>
      <c r="H7" s="26"/>
      <c r="I7" s="26"/>
      <c r="J7" s="26"/>
      <c r="K7" s="26"/>
      <c r="L7" s="26"/>
      <c r="M7" s="26"/>
      <c r="N7" s="26"/>
      <c r="O7" s="26"/>
      <c r="P7" s="26"/>
      <c r="Q7" s="26"/>
      <c r="R7" s="26"/>
      <c r="S7" s="147"/>
    </row>
    <row r="8" spans="1:19" s="38" customFormat="1" ht="13.5" customHeight="1">
      <c r="A8" s="3630">
        <f>Audit!C12</f>
        <v>43586</v>
      </c>
      <c r="B8" s="3631"/>
      <c r="C8" s="321"/>
      <c r="D8" s="412"/>
      <c r="E8" s="718" t="s">
        <v>1162</v>
      </c>
      <c r="F8" s="315"/>
      <c r="G8" s="26"/>
      <c r="H8" s="26"/>
      <c r="I8" s="26"/>
      <c r="J8" s="26"/>
      <c r="K8" s="26"/>
      <c r="L8" s="26"/>
      <c r="M8" s="26"/>
      <c r="N8" s="26"/>
      <c r="O8" s="26"/>
      <c r="P8" s="26"/>
      <c r="Q8" s="26"/>
      <c r="R8" s="26"/>
      <c r="S8" s="147"/>
    </row>
    <row r="9" spans="1:19" s="38" customFormat="1" ht="13.5" customHeight="1" thickBot="1">
      <c r="A9" s="172" t="s">
        <v>14</v>
      </c>
      <c r="B9" s="173"/>
      <c r="D9" s="412"/>
      <c r="E9" s="599" t="s">
        <v>1164</v>
      </c>
      <c r="F9" s="26"/>
      <c r="G9" s="26"/>
      <c r="H9" s="26"/>
      <c r="I9" s="26"/>
      <c r="J9" s="26"/>
      <c r="K9" s="26"/>
      <c r="L9" s="26"/>
      <c r="M9" s="26"/>
      <c r="N9" s="26"/>
      <c r="O9" s="26"/>
      <c r="P9" s="26"/>
      <c r="Q9" s="26"/>
      <c r="R9" s="26"/>
      <c r="S9" s="147"/>
    </row>
    <row r="10" spans="1:19" s="38" customFormat="1" ht="13.5" customHeight="1" thickBot="1">
      <c r="A10" s="3570" t="s">
        <v>1306</v>
      </c>
      <c r="B10" s="3610"/>
      <c r="D10" s="412"/>
      <c r="E10" s="599" t="s">
        <v>1163</v>
      </c>
      <c r="F10" s="26"/>
      <c r="G10" s="26"/>
      <c r="H10" s="26"/>
      <c r="I10" s="26"/>
      <c r="J10" s="26"/>
      <c r="K10" s="26"/>
      <c r="L10" s="26"/>
      <c r="M10" s="26"/>
      <c r="N10" s="26"/>
      <c r="O10" s="26"/>
      <c r="P10" s="26"/>
      <c r="Q10" s="26"/>
      <c r="R10" s="26"/>
      <c r="S10" s="147"/>
    </row>
    <row r="11" spans="1:19" s="38" customFormat="1" ht="13.5" customHeight="1" thickBot="1">
      <c r="A11" s="3570" t="s">
        <v>2294</v>
      </c>
      <c r="B11" s="3581"/>
      <c r="D11" s="321"/>
      <c r="E11" s="113"/>
      <c r="F11" s="53"/>
      <c r="G11" s="53"/>
      <c r="H11" s="53"/>
      <c r="I11" s="53"/>
      <c r="J11" s="53"/>
      <c r="K11" s="53"/>
      <c r="L11" s="53"/>
      <c r="M11" s="53"/>
      <c r="N11" s="53"/>
      <c r="O11" s="53"/>
      <c r="P11" s="53"/>
      <c r="Q11" s="53"/>
      <c r="R11" s="53"/>
      <c r="S11" s="379"/>
    </row>
    <row r="12" spans="1:19" s="38" customFormat="1" ht="13.5" customHeight="1" thickBot="1">
      <c r="A12" s="3570" t="s">
        <v>2279</v>
      </c>
      <c r="B12" s="3581"/>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445" t="s">
        <v>799</v>
      </c>
      <c r="B14" s="2451">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441" t="s">
        <v>54</v>
      </c>
      <c r="B15" s="2450">
        <f>'User Parameters'!L19</f>
        <v>2010</v>
      </c>
      <c r="C15" s="321"/>
      <c r="D15" s="321"/>
      <c r="E15" s="113"/>
      <c r="F15" s="26"/>
      <c r="G15" s="26"/>
      <c r="H15" s="26"/>
      <c r="I15" s="26"/>
      <c r="J15" s="26"/>
      <c r="K15" s="26"/>
      <c r="L15" s="26"/>
      <c r="M15" s="26"/>
      <c r="N15" s="26"/>
      <c r="O15" s="26"/>
      <c r="P15" s="26"/>
      <c r="Q15" s="26"/>
      <c r="R15" s="26"/>
      <c r="S15" s="147"/>
    </row>
    <row r="16" spans="1:19" s="38" customFormat="1" ht="13.5" customHeight="1">
      <c r="A16" s="2440"/>
      <c r="B16" s="2440"/>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t="s">
        <v>2376</v>
      </c>
      <c r="F19" s="26"/>
      <c r="G19" s="26"/>
      <c r="H19" s="26"/>
      <c r="I19" s="26"/>
      <c r="J19" s="26"/>
      <c r="K19" s="26"/>
      <c r="L19" s="26"/>
      <c r="M19" s="26"/>
      <c r="N19" s="26"/>
      <c r="O19" s="26"/>
      <c r="P19" s="26"/>
      <c r="Q19" s="26"/>
      <c r="R19" s="26"/>
      <c r="S19" s="147"/>
    </row>
    <row r="20" spans="1:19" s="38" customFormat="1" ht="13.5" customHeight="1" thickBot="1">
      <c r="A20" s="2422"/>
      <c r="B20" s="2422"/>
      <c r="C20" s="321"/>
      <c r="D20" s="412"/>
      <c r="E20" s="381" t="str">
        <f>Cycling!E20</f>
        <v>TAG 1: Unit 3.14.1 (Table 4)</v>
      </c>
      <c r="F20" s="163"/>
      <c r="G20" s="163"/>
      <c r="H20" s="163"/>
      <c r="I20" s="163"/>
      <c r="J20" s="163"/>
      <c r="K20" s="163"/>
      <c r="L20" s="163"/>
      <c r="M20" s="163"/>
      <c r="N20" s="163"/>
      <c r="O20" s="163"/>
      <c r="P20" s="163"/>
      <c r="Q20" s="163"/>
      <c r="R20" s="163"/>
      <c r="S20" s="382"/>
    </row>
    <row r="21" spans="1:19" s="38" customFormat="1" ht="13.5" customHeight="1" thickTop="1">
      <c r="A21" s="2420"/>
      <c r="B21" s="2421"/>
      <c r="C21" s="714"/>
      <c r="E21" s="427"/>
      <c r="G21" s="321"/>
      <c r="H21" s="32"/>
    </row>
    <row r="22" spans="1:19" s="38" customFormat="1" ht="13.5" customHeight="1" thickBot="1"/>
    <row r="23" spans="1:19" s="38" customFormat="1" ht="13.5" customHeight="1" thickTop="1">
      <c r="A23" s="174" t="s">
        <v>934</v>
      </c>
      <c r="B23" s="667"/>
      <c r="C23" s="835"/>
      <c r="D23" s="835"/>
      <c r="E23" s="328"/>
      <c r="F23" s="225"/>
    </row>
    <row r="24" spans="1:19" s="38" customFormat="1" ht="13.5" customHeight="1" thickBot="1">
      <c r="A24" s="1246" t="str">
        <f>CONCATENATE("relative to no facilities (",B14," prices &amp; ",B15," values)")</f>
        <v>relative to no facilities (2010 prices &amp; 2010 values)</v>
      </c>
      <c r="B24" s="837"/>
      <c r="C24" s="837"/>
      <c r="D24" s="837"/>
      <c r="E24" s="751"/>
      <c r="F24" s="228"/>
    </row>
    <row r="25" spans="1:19" ht="13.5" customHeight="1" thickTop="1">
      <c r="A25" s="838" t="s">
        <v>740</v>
      </c>
      <c r="B25" s="794"/>
      <c r="C25" s="767"/>
      <c r="D25" s="786" t="s">
        <v>274</v>
      </c>
      <c r="E25" s="839" t="s">
        <v>741</v>
      </c>
      <c r="F25" s="840"/>
    </row>
    <row r="26" spans="1:19" ht="13.5" customHeight="1" thickBot="1">
      <c r="A26" s="841"/>
      <c r="B26" s="828"/>
      <c r="C26" s="636"/>
      <c r="D26" s="789" t="s">
        <v>870</v>
      </c>
      <c r="E26" s="842"/>
      <c r="F26" s="636"/>
    </row>
    <row r="27" spans="1:19" ht="13.5" customHeight="1" thickTop="1">
      <c r="A27" s="802" t="s">
        <v>742</v>
      </c>
      <c r="B27" s="609"/>
      <c r="C27" s="624"/>
      <c r="D27" s="1241">
        <f>Cycling!D27 * VLOOKUP($B$14,'Annual Parameters'!$B$33:$W$104,3,FALSE) / VLOOKUP(Cycling!$B$14,'Annual Parameters'!$B$33:$W$104,3,FALSE) * VLOOKUP($B$15,'Annual Parameters'!$B$33:$W$104,15,FALSE) / VLOOKUP(Cycling!$B$15,'Annual Parameters'!$B$33:$W$104,15,FALSE)</f>
        <v>7.03</v>
      </c>
      <c r="E27" s="718" t="s">
        <v>743</v>
      </c>
      <c r="F27" s="624"/>
    </row>
    <row r="28" spans="1:19" ht="13.5" customHeight="1">
      <c r="A28" s="802" t="s">
        <v>744</v>
      </c>
      <c r="B28" s="609"/>
      <c r="C28" s="624"/>
      <c r="D28" s="715">
        <f>Cycling!D28 * VLOOKUP($B$14,'Annual Parameters'!$B$33:$W$104,3,FALSE) / VLOOKUP(Cycling!$B$14,'Annual Parameters'!$B$33:$W$104,3,FALSE) * VLOOKUP($B$15,'Annual Parameters'!$B$33:$W$104,15,FALSE) / VLOOKUP(Cycling!$B$15,'Annual Parameters'!$B$33:$W$104,15,FALSE)</f>
        <v>2.99</v>
      </c>
      <c r="E28" s="718" t="s">
        <v>743</v>
      </c>
      <c r="F28" s="624"/>
    </row>
    <row r="29" spans="1:19" ht="13.5" customHeight="1">
      <c r="A29" s="802" t="s">
        <v>745</v>
      </c>
      <c r="B29" s="609"/>
      <c r="C29" s="624"/>
      <c r="D29" s="715">
        <f>Cycling!D29 * VLOOKUP($B$14,'Annual Parameters'!$B$33:$W$104,3,FALSE) / VLOOKUP(Cycling!$B$14,'Annual Parameters'!$B$33:$W$104,3,FALSE) * VLOOKUP($B$15,'Annual Parameters'!$B$33:$W$104,15,FALSE) / VLOOKUP(Cycling!$B$15,'Annual Parameters'!$B$33:$W$104,15,FALSE)</f>
        <v>2.97</v>
      </c>
      <c r="E29" s="718" t="s">
        <v>1245</v>
      </c>
      <c r="F29" s="624"/>
    </row>
    <row r="30" spans="1:19" ht="13.5" customHeight="1">
      <c r="A30" s="802" t="s">
        <v>746</v>
      </c>
      <c r="B30" s="609"/>
      <c r="C30" s="624"/>
      <c r="D30" s="715">
        <f>Cycling!D30 * VLOOKUP($B$14,'Annual Parameters'!$B$33:$W$104,3,FALSE) / VLOOKUP(Cycling!$B$14,'Annual Parameters'!$B$33:$W$104,3,FALSE) * VLOOKUP($B$15,'Annual Parameters'!$B$33:$W$104,15,FALSE) / VLOOKUP(Cycling!$B$15,'Annual Parameters'!$B$33:$W$104,15,FALSE)</f>
        <v>1.81</v>
      </c>
      <c r="E30" s="718" t="s">
        <v>743</v>
      </c>
      <c r="F30" s="624"/>
    </row>
    <row r="31" spans="1:19" ht="13.5" customHeight="1" thickBot="1">
      <c r="A31" s="830" t="s">
        <v>825</v>
      </c>
      <c r="B31" s="831"/>
      <c r="C31" s="832"/>
      <c r="D31" s="833">
        <f>Cycling!D31 * VLOOKUP($B$14,'Annual Parameters'!$B$33:$W$104,3,FALSE) / VLOOKUP(Cycling!$B$14,'Annual Parameters'!$B$33:$W$104,3,FALSE) * VLOOKUP($B$15,'Annual Parameters'!$B$33:$W$104,15,FALSE) / VLOOKUP(Cycling!$B$15,'Annual Parameters'!$B$33:$W$104,15,FALSE)</f>
        <v>0.77</v>
      </c>
      <c r="E31" s="834" t="s">
        <v>743</v>
      </c>
      <c r="F31" s="832"/>
    </row>
    <row r="32" spans="1:19" ht="13.5" customHeight="1">
      <c r="A32" s="843"/>
      <c r="B32" s="844"/>
      <c r="C32" s="845"/>
      <c r="D32" s="2038" t="str">
        <f>Cycling!D32</f>
        <v>pence</v>
      </c>
      <c r="E32" s="846"/>
      <c r="F32" s="845"/>
    </row>
    <row r="33" spans="1:6" ht="13.5" customHeight="1">
      <c r="A33" s="802" t="s">
        <v>826</v>
      </c>
      <c r="B33" s="609"/>
      <c r="C33" s="624"/>
      <c r="D33" s="1414">
        <f>Cycling!D33 * VLOOKUP($B$14,'Annual Parameters'!$B$33:$W$104,3,FALSE) / VLOOKUP(Cycling!$B$14,'Annual Parameters'!$B$33:$W$104,3,FALSE) * VLOOKUP($B$15,'Annual Parameters'!$B$33:$W$104,15,FALSE) / VLOOKUP(Cycling!$B$15,'Annual Parameters'!$B$33:$W$104,15,FALSE)</f>
        <v>98.14</v>
      </c>
      <c r="E33" s="718" t="s">
        <v>557</v>
      </c>
      <c r="F33" s="624"/>
    </row>
    <row r="34" spans="1:6" ht="13.5" customHeight="1" thickBot="1">
      <c r="A34" s="803" t="s">
        <v>827</v>
      </c>
      <c r="B34" s="627"/>
      <c r="C34" s="620"/>
      <c r="D34" s="716">
        <f>Cycling!D34 * VLOOKUP($B$14,'Annual Parameters'!$B$33:$W$104,3,FALSE) / VLOOKUP(Cycling!$B$14,'Annual Parameters'!$B$33:$W$104,3,FALSE) * VLOOKUP($B$15,'Annual Parameters'!$B$33:$W$104,15,FALSE) / VLOOKUP(Cycling!$B$15,'Annual Parameters'!$B$33:$W$104,15,FALSE)</f>
        <v>20.82</v>
      </c>
      <c r="E34" s="829" t="s">
        <v>557</v>
      </c>
      <c r="F34" s="620"/>
    </row>
    <row r="35" spans="1:6" ht="13.5" customHeight="1" thickTop="1"/>
  </sheetData>
  <sheetProtection sheet="1" objects="1" scenarios="1"/>
  <mergeCells count="8">
    <mergeCell ref="A19:B19"/>
    <mergeCell ref="A11:B11"/>
    <mergeCell ref="A10:B10"/>
    <mergeCell ref="E6:S6"/>
    <mergeCell ref="A7:B7"/>
    <mergeCell ref="A8:B8"/>
    <mergeCell ref="A12:B12"/>
    <mergeCell ref="A18:B18"/>
  </mergeCells>
  <phoneticPr fontId="8" type="noConversion"/>
  <hyperlinks>
    <hyperlink ref="A11" location="Contents!A1" display="Contents"/>
    <hyperlink ref="A11:B11" r:id="rId1" display="WebTAG Unit 3.1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indexed="10"/>
  </sheetPr>
  <dimension ref="A1:S56"/>
  <sheetViews>
    <sheetView showGridLines="0" zoomScale="85" zoomScaleNormal="85" workbookViewId="0">
      <pane xSplit="3" ySplit="26" topLeftCell="D27"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1120"/>
  </cols>
  <sheetData>
    <row r="1" spans="1:19" ht="54.9" customHeight="1"/>
    <row r="2" spans="1:19" s="319" customFormat="1" ht="5.0999999999999996" customHeight="1"/>
    <row r="3" spans="1:19" s="319" customFormat="1" ht="20.100000000000001" customHeight="1">
      <c r="A3" s="426" t="s">
        <v>2295</v>
      </c>
    </row>
    <row r="4" spans="1:19" s="1122" customFormat="1" ht="20.100000000000001" customHeight="1" thickBot="1">
      <c r="A4" s="529" t="s">
        <v>1052</v>
      </c>
      <c r="B4" s="1121"/>
      <c r="C4" s="1121"/>
      <c r="D4" s="1121"/>
      <c r="E4" s="1121"/>
      <c r="F4" s="1121"/>
      <c r="G4" s="1121"/>
      <c r="H4" s="1121"/>
      <c r="I4" s="1121"/>
      <c r="J4" s="1121"/>
      <c r="K4" s="1121"/>
      <c r="L4" s="1121"/>
      <c r="M4" s="1121"/>
      <c r="N4" s="1121"/>
      <c r="O4" s="1121"/>
      <c r="P4" s="1121"/>
      <c r="Q4" s="1121"/>
      <c r="R4" s="1121"/>
      <c r="S4" s="1121"/>
    </row>
    <row r="5" spans="1:19" ht="9.9" customHeight="1" thickTop="1" thickBot="1"/>
    <row r="6" spans="1:19" s="38" customFormat="1" ht="13.5" customHeight="1" thickTop="1">
      <c r="A6" s="169" t="s">
        <v>10</v>
      </c>
      <c r="B6" s="169"/>
      <c r="D6" s="147"/>
      <c r="E6" s="3698"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D7" s="147"/>
      <c r="E7" s="1118" t="s">
        <v>1020</v>
      </c>
      <c r="F7" s="29"/>
      <c r="G7" s="26"/>
      <c r="H7" s="26"/>
      <c r="I7" s="26"/>
      <c r="J7" s="26"/>
      <c r="K7" s="26"/>
      <c r="L7" s="26"/>
      <c r="M7" s="26"/>
      <c r="N7" s="26"/>
      <c r="O7" s="26"/>
      <c r="P7" s="26"/>
      <c r="Q7" s="26"/>
      <c r="R7" s="26"/>
      <c r="S7" s="147"/>
    </row>
    <row r="8" spans="1:19" s="38" customFormat="1" ht="13.5" customHeight="1">
      <c r="A8" s="3646">
        <f>Audit!C12</f>
        <v>43586</v>
      </c>
      <c r="B8" s="3651"/>
      <c r="C8" s="321"/>
      <c r="D8" s="412"/>
      <c r="E8" s="1113" t="s">
        <v>1165</v>
      </c>
      <c r="F8" s="315"/>
      <c r="G8" s="26"/>
      <c r="H8" s="26"/>
      <c r="I8" s="26"/>
      <c r="J8" s="26"/>
      <c r="K8" s="26"/>
      <c r="L8" s="26"/>
      <c r="M8" s="26"/>
      <c r="N8" s="26"/>
      <c r="O8" s="26"/>
      <c r="P8" s="26"/>
      <c r="Q8" s="26"/>
      <c r="R8" s="26"/>
      <c r="S8" s="147"/>
    </row>
    <row r="9" spans="1:19" s="38" customFormat="1" ht="13.5" customHeight="1" thickBot="1">
      <c r="A9" s="172" t="s">
        <v>14</v>
      </c>
      <c r="B9" s="173"/>
      <c r="D9" s="412"/>
      <c r="E9" s="1113" t="s">
        <v>339</v>
      </c>
      <c r="F9" s="26"/>
      <c r="G9" s="26"/>
      <c r="H9" s="26"/>
      <c r="I9" s="26"/>
      <c r="J9" s="26"/>
      <c r="K9" s="26"/>
      <c r="L9" s="26"/>
      <c r="M9" s="26"/>
      <c r="N9" s="26"/>
      <c r="O9" s="26"/>
      <c r="P9" s="26"/>
      <c r="Q9" s="26"/>
      <c r="R9" s="26"/>
      <c r="S9" s="147"/>
    </row>
    <row r="10" spans="1:19" s="38" customFormat="1" ht="13.5" customHeight="1" thickBot="1">
      <c r="A10" s="3611" t="s">
        <v>1306</v>
      </c>
      <c r="B10" s="3612"/>
      <c r="D10" s="412"/>
      <c r="E10" s="2017" t="s">
        <v>869</v>
      </c>
      <c r="F10" s="26"/>
      <c r="G10" s="26"/>
      <c r="H10" s="26"/>
      <c r="I10" s="26"/>
      <c r="J10" s="26"/>
      <c r="K10" s="26"/>
      <c r="L10" s="26"/>
      <c r="M10" s="26"/>
      <c r="N10" s="26"/>
      <c r="O10" s="26"/>
      <c r="P10" s="26"/>
      <c r="Q10" s="26"/>
      <c r="R10" s="26"/>
      <c r="S10" s="147"/>
    </row>
    <row r="11" spans="1:19" s="38" customFormat="1" ht="13.5" customHeight="1" thickBot="1">
      <c r="A11" s="3611" t="s">
        <v>2294</v>
      </c>
      <c r="B11" s="3639"/>
      <c r="D11" s="412"/>
      <c r="E11" s="1120" t="s">
        <v>2296</v>
      </c>
      <c r="F11" s="53"/>
      <c r="G11" s="53"/>
      <c r="H11" s="53"/>
      <c r="I11" s="53"/>
      <c r="J11" s="53"/>
      <c r="K11" s="53"/>
      <c r="L11" s="53"/>
      <c r="M11" s="53"/>
      <c r="N11" s="53"/>
      <c r="O11" s="53"/>
      <c r="P11" s="53"/>
      <c r="Q11" s="53"/>
      <c r="R11" s="53"/>
      <c r="S11" s="379"/>
    </row>
    <row r="12" spans="1:19" s="38" customFormat="1" ht="13.5" customHeight="1" thickBot="1">
      <c r="A12" s="3611" t="s">
        <v>2279</v>
      </c>
      <c r="B12" s="3639"/>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3" t="s">
        <v>1054</v>
      </c>
      <c r="F13" s="26"/>
      <c r="G13" s="26"/>
      <c r="H13" s="26"/>
      <c r="I13" s="26"/>
      <c r="J13" s="26"/>
      <c r="K13" s="26"/>
      <c r="L13" s="26"/>
      <c r="M13" s="26"/>
      <c r="N13" s="26"/>
      <c r="O13" s="26"/>
      <c r="P13" s="26"/>
      <c r="Q13" s="26"/>
      <c r="R13" s="26"/>
      <c r="S13" s="147"/>
    </row>
    <row r="14" spans="1:19" s="38" customFormat="1" ht="13.5" customHeight="1">
      <c r="A14" s="56" t="s">
        <v>799</v>
      </c>
      <c r="B14" s="769">
        <f>B16</f>
        <v>2010</v>
      </c>
      <c r="C14" s="321"/>
      <c r="D14" s="321"/>
      <c r="E14" s="113" t="s">
        <v>721</v>
      </c>
      <c r="F14" s="26"/>
      <c r="G14" s="26"/>
      <c r="H14" s="26"/>
      <c r="I14" s="26"/>
      <c r="J14" s="26"/>
      <c r="K14" s="26"/>
      <c r="L14" s="26"/>
      <c r="M14" s="26"/>
      <c r="N14" s="26"/>
      <c r="O14" s="26"/>
      <c r="P14" s="26"/>
      <c r="Q14" s="26"/>
      <c r="R14" s="26"/>
      <c r="S14" s="147"/>
    </row>
    <row r="15" spans="1:19" s="38" customFormat="1" ht="13.5" customHeight="1">
      <c r="A15" s="26" t="s">
        <v>54</v>
      </c>
      <c r="B15" s="769">
        <f>B16</f>
        <v>2010</v>
      </c>
      <c r="C15" s="321"/>
      <c r="D15" s="321"/>
      <c r="E15" s="113"/>
      <c r="F15" s="26"/>
      <c r="G15" s="26"/>
      <c r="H15" s="26"/>
      <c r="I15" s="26"/>
      <c r="J15" s="26"/>
      <c r="K15" s="26"/>
      <c r="L15" s="26"/>
      <c r="M15" s="26"/>
      <c r="N15" s="26"/>
      <c r="O15" s="26"/>
      <c r="P15" s="26"/>
      <c r="Q15" s="26"/>
      <c r="R15" s="26"/>
      <c r="S15" s="147"/>
    </row>
    <row r="16" spans="1:19" s="38" customFormat="1" ht="13.5" customHeight="1">
      <c r="A16" s="38" t="s">
        <v>370</v>
      </c>
      <c r="B16" s="1221">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906</v>
      </c>
      <c r="F19" s="26"/>
      <c r="G19" s="26"/>
      <c r="H19" s="26"/>
      <c r="I19" s="26"/>
      <c r="J19" s="26"/>
      <c r="K19" s="26"/>
      <c r="L19" s="26"/>
      <c r="M19" s="26"/>
      <c r="N19" s="26"/>
      <c r="O19" s="26"/>
      <c r="P19" s="26"/>
      <c r="Q19" s="26"/>
      <c r="R19" s="26"/>
      <c r="S19" s="147"/>
    </row>
    <row r="20" spans="1:19" s="38" customFormat="1" ht="13.5" customHeight="1" thickBot="1">
      <c r="C20" s="321"/>
      <c r="D20" s="321"/>
      <c r="E20" s="381" t="s">
        <v>2297</v>
      </c>
      <c r="F20" s="163"/>
      <c r="G20" s="163"/>
      <c r="H20" s="163"/>
      <c r="I20" s="163"/>
      <c r="J20" s="163"/>
      <c r="K20" s="163"/>
      <c r="L20" s="163"/>
      <c r="M20" s="163"/>
      <c r="N20" s="163"/>
      <c r="O20" s="163"/>
      <c r="P20" s="163"/>
      <c r="Q20" s="163"/>
      <c r="R20" s="163"/>
      <c r="S20" s="382"/>
    </row>
    <row r="21" spans="1:19" ht="13.5" customHeight="1" thickTop="1"/>
    <row r="22" spans="1:19" ht="13.5" customHeight="1" thickBot="1">
      <c r="E22" s="1124"/>
      <c r="F22" s="1124"/>
      <c r="G22" s="1124"/>
    </row>
    <row r="23" spans="1:19" ht="13.5" customHeight="1" thickTop="1">
      <c r="A23" s="680" t="str">
        <f>CONCATENATE("Value of journey ambience benefit of cycle facilities relative to no facilities")</f>
        <v>Value of journey ambience benefit of cycle facilities relative to no facilities</v>
      </c>
      <c r="B23" s="1634"/>
      <c r="C23" s="1634"/>
      <c r="D23" s="1634"/>
      <c r="E23" s="1310"/>
      <c r="F23" s="1310"/>
      <c r="G23" s="761"/>
    </row>
    <row r="24" spans="1:19" ht="13.5" customHeight="1" thickBot="1">
      <c r="A24" s="526" t="str">
        <f>"("&amp;B14&amp;" prices and "&amp;B15&amp;" values)"</f>
        <v>(2010 prices and 2010 values)</v>
      </c>
      <c r="B24" s="1635"/>
      <c r="C24" s="1635"/>
      <c r="D24" s="1635"/>
      <c r="E24" s="1072"/>
      <c r="F24" s="1072"/>
      <c r="G24" s="763"/>
    </row>
    <row r="25" spans="1:19" ht="13.5" customHeight="1" thickTop="1" thickBot="1">
      <c r="A25" s="1129" t="s">
        <v>740</v>
      </c>
      <c r="B25" s="1130"/>
      <c r="C25" s="1131"/>
      <c r="D25" s="1236" t="s">
        <v>274</v>
      </c>
      <c r="E25" s="1132" t="s">
        <v>741</v>
      </c>
      <c r="F25" s="1133"/>
      <c r="G25" s="1134" t="s">
        <v>999</v>
      </c>
    </row>
    <row r="26" spans="1:19" ht="13.5" customHeight="1" thickTop="1">
      <c r="A26" s="1202"/>
      <c r="B26" s="1203"/>
      <c r="C26" s="1204"/>
      <c r="D26" s="1237" t="s">
        <v>870</v>
      </c>
      <c r="E26" s="1205"/>
      <c r="F26" s="1203"/>
      <c r="G26" s="1206"/>
    </row>
    <row r="27" spans="1:19" ht="13.5" customHeight="1">
      <c r="A27" s="1114" t="s">
        <v>742</v>
      </c>
      <c r="C27" s="1126"/>
      <c r="D27" s="1238">
        <v>7.03</v>
      </c>
      <c r="E27" s="1118" t="s">
        <v>1000</v>
      </c>
      <c r="G27" s="2342">
        <v>1996</v>
      </c>
    </row>
    <row r="28" spans="1:19" ht="13.5" customHeight="1">
      <c r="A28" s="1114" t="s">
        <v>744</v>
      </c>
      <c r="C28" s="1126"/>
      <c r="D28" s="1238">
        <v>2.99</v>
      </c>
      <c r="E28" s="1118" t="s">
        <v>1000</v>
      </c>
      <c r="G28" s="2342">
        <v>1996</v>
      </c>
    </row>
    <row r="29" spans="1:19" ht="13.5" customHeight="1">
      <c r="A29" s="1114" t="s">
        <v>745</v>
      </c>
      <c r="C29" s="1126"/>
      <c r="D29" s="1238">
        <v>2.97</v>
      </c>
      <c r="E29" s="1118" t="s">
        <v>506</v>
      </c>
      <c r="G29" s="2342">
        <v>1997</v>
      </c>
    </row>
    <row r="30" spans="1:19" ht="13.5" customHeight="1">
      <c r="A30" s="1114" t="s">
        <v>746</v>
      </c>
      <c r="C30" s="1126"/>
      <c r="D30" s="1238">
        <v>1.81</v>
      </c>
      <c r="E30" s="1118" t="s">
        <v>1000</v>
      </c>
      <c r="G30" s="2342">
        <v>1996</v>
      </c>
    </row>
    <row r="31" spans="1:19" ht="13.5" customHeight="1" thickBot="1">
      <c r="A31" s="1117" t="s">
        <v>825</v>
      </c>
      <c r="B31" s="1124"/>
      <c r="C31" s="1128"/>
      <c r="D31" s="1239">
        <v>0.77</v>
      </c>
      <c r="E31" s="1207" t="s">
        <v>1000</v>
      </c>
      <c r="F31" s="1125"/>
      <c r="G31" s="2343">
        <v>1996</v>
      </c>
    </row>
    <row r="32" spans="1:19" ht="13.5" customHeight="1" thickTop="1">
      <c r="A32" s="1115"/>
      <c r="B32" s="1123"/>
      <c r="C32" s="1127"/>
      <c r="D32" s="1240" t="s">
        <v>871</v>
      </c>
      <c r="E32" s="1235"/>
      <c r="F32" s="1123"/>
      <c r="G32" s="1116"/>
    </row>
    <row r="33" spans="1:10" ht="13.5" customHeight="1">
      <c r="A33" s="1114" t="s">
        <v>826</v>
      </c>
      <c r="C33" s="1126"/>
      <c r="D33" s="1238">
        <v>98.14</v>
      </c>
      <c r="E33" s="1118" t="s">
        <v>507</v>
      </c>
      <c r="G33" s="2342">
        <v>2007</v>
      </c>
    </row>
    <row r="34" spans="1:10" ht="13.5" customHeight="1" thickBot="1">
      <c r="A34" s="1117" t="s">
        <v>827</v>
      </c>
      <c r="B34" s="1124"/>
      <c r="C34" s="1128"/>
      <c r="D34" s="1239">
        <v>20.82</v>
      </c>
      <c r="E34" s="1207" t="s">
        <v>507</v>
      </c>
      <c r="F34" s="1125"/>
      <c r="G34" s="2343">
        <v>2007</v>
      </c>
    </row>
    <row r="35" spans="1:10" ht="13.5" customHeight="1" thickTop="1">
      <c r="A35" s="1113"/>
      <c r="B35" s="1113"/>
      <c r="C35" s="1113"/>
      <c r="D35" s="1113"/>
    </row>
    <row r="36" spans="1:10" s="317" customFormat="1" ht="13.5" customHeight="1">
      <c r="B36" s="1119"/>
      <c r="C36" s="1113"/>
      <c r="D36" s="1113"/>
    </row>
    <row r="37" spans="1:10" s="317" customFormat="1" ht="13.5" customHeight="1">
      <c r="B37" s="1119"/>
      <c r="C37" s="1113"/>
      <c r="D37" s="1113"/>
    </row>
    <row r="38" spans="1:10" ht="13.5" customHeight="1">
      <c r="B38" s="1113"/>
      <c r="C38" s="1113"/>
      <c r="D38" s="1113"/>
    </row>
    <row r="41" spans="1:10" s="1109" customFormat="1" ht="13.5" customHeight="1">
      <c r="A41" s="1108"/>
      <c r="B41" s="1108"/>
      <c r="C41" s="307"/>
      <c r="D41" s="311"/>
      <c r="E41" s="307"/>
      <c r="F41" s="307"/>
      <c r="G41" s="307"/>
      <c r="H41" s="307"/>
      <c r="I41" s="307"/>
      <c r="J41" s="307"/>
    </row>
    <row r="42" spans="1:10" s="1109" customFormat="1" ht="13.5" customHeight="1">
      <c r="G42" s="1110"/>
    </row>
    <row r="43" spans="1:10" s="1113" customFormat="1" ht="13.5" customHeight="1">
      <c r="E43" s="1109"/>
      <c r="F43" s="1111"/>
      <c r="G43" s="1112"/>
    </row>
    <row r="44" spans="1:10" s="1113" customFormat="1" ht="13.5" customHeight="1">
      <c r="F44" s="1111"/>
      <c r="G44" s="1112"/>
    </row>
    <row r="45" spans="1:10" s="1113" customFormat="1" ht="13.5" customHeight="1">
      <c r="F45" s="1111"/>
      <c r="G45" s="1112"/>
    </row>
    <row r="46" spans="1:10" s="1113" customFormat="1" ht="13.5" customHeight="1">
      <c r="F46" s="1111"/>
      <c r="G46" s="1112"/>
    </row>
    <row r="47" spans="1:10" s="1113" customFormat="1" ht="13.5" customHeight="1">
      <c r="F47" s="1111"/>
      <c r="G47" s="1112"/>
    </row>
    <row r="48" spans="1:10" s="1113" customFormat="1" ht="13.5" customHeight="1">
      <c r="F48" s="1111"/>
      <c r="G48" s="1112"/>
    </row>
    <row r="49" spans="6:7" s="1113" customFormat="1" ht="13.5" customHeight="1">
      <c r="F49" s="1111"/>
      <c r="G49" s="1112"/>
    </row>
    <row r="50" spans="6:7" s="1113" customFormat="1" ht="13.5" customHeight="1"/>
    <row r="51" spans="6:7" s="1113" customFormat="1" ht="13.5" customHeight="1"/>
    <row r="52" spans="6:7" s="1113" customFormat="1" ht="13.5" customHeight="1"/>
    <row r="53" spans="6:7" s="1113" customFormat="1" ht="13.5" customHeight="1"/>
    <row r="54" spans="6:7" s="1113" customFormat="1" ht="13.5" customHeight="1"/>
    <row r="55" spans="6:7" s="1113" customFormat="1" ht="13.5" customHeight="1"/>
    <row r="56" spans="6:7" s="1113" customFormat="1" ht="13.5" customHeight="1"/>
  </sheetData>
  <sheetProtection sheet="1" objects="1" scenarios="1"/>
  <mergeCells count="8">
    <mergeCell ref="A19:B19"/>
    <mergeCell ref="E6:S6"/>
    <mergeCell ref="A7:B7"/>
    <mergeCell ref="A8:B8"/>
    <mergeCell ref="A10:B10"/>
    <mergeCell ref="A11:B11"/>
    <mergeCell ref="A12:B12"/>
    <mergeCell ref="A18:B18"/>
  </mergeCells>
  <phoneticPr fontId="8" type="noConversion"/>
  <hyperlinks>
    <hyperlink ref="E10" r:id="rId1"/>
    <hyperlink ref="A11" location="Contents!A1" display="Contents"/>
    <hyperlink ref="A11:B11" r:id="rId2" display="WebTAG Unit 3.14.1"/>
    <hyperlink ref="A10" location="Contents!A1" display="Contents"/>
    <hyperlink ref="A10:B10" location="Contents!A1" tooltip="Contents page" display="Contents"/>
    <hyperlink ref="A12:B12" r:id="rId3" tooltip="Unit A4.1 Social Impact Appraisal" display="WebTAG Unit A 4.1"/>
  </hyperlinks>
  <pageMargins left="0.75" right="0.75" top="1" bottom="1" header="0.5" footer="0.5"/>
  <headerFooter alignWithMargins="0"/>
  <drawing r:id="rId4"/>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indexed="17"/>
    <pageSetUpPr fitToPage="1"/>
  </sheetPr>
  <dimension ref="A1:S36"/>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B15" sqref="B15"/>
    </sheetView>
  </sheetViews>
  <sheetFormatPr defaultColWidth="12.88671875" defaultRowHeight="13.5" customHeight="1"/>
  <cols>
    <col min="1" max="16384" width="12.88671875" style="599"/>
  </cols>
  <sheetData>
    <row r="1" spans="1:19" ht="54.9" customHeight="1">
      <c r="A1" s="28"/>
      <c r="B1" s="28"/>
      <c r="C1" s="38"/>
      <c r="D1" s="38"/>
    </row>
    <row r="2" spans="1:19" s="319" customFormat="1" ht="5.0999999999999996" customHeight="1">
      <c r="A2" s="300"/>
      <c r="B2" s="300"/>
      <c r="C2" s="300"/>
      <c r="D2" s="300"/>
      <c r="E2" s="300"/>
      <c r="F2" s="300"/>
    </row>
    <row r="3" spans="1:19" s="319" customFormat="1" ht="20.100000000000001" customHeight="1">
      <c r="A3" s="300" t="s">
        <v>2298</v>
      </c>
      <c r="B3" s="485"/>
      <c r="C3" s="46"/>
      <c r="D3" s="83"/>
      <c r="E3" s="445"/>
    </row>
    <row r="4" spans="1:19" s="609" customFormat="1" ht="20.100000000000001" customHeight="1" thickBot="1">
      <c r="A4" s="529" t="s">
        <v>1053</v>
      </c>
      <c r="B4" s="447"/>
      <c r="C4" s="604"/>
      <c r="D4" s="446"/>
      <c r="E4" s="446"/>
      <c r="F4" s="446"/>
      <c r="G4" s="604"/>
      <c r="H4" s="604"/>
      <c r="I4" s="604"/>
      <c r="J4" s="604"/>
      <c r="K4" s="604"/>
      <c r="L4" s="604"/>
      <c r="M4" s="604"/>
      <c r="N4" s="604"/>
      <c r="O4" s="604"/>
      <c r="P4" s="604"/>
      <c r="Q4" s="604"/>
      <c r="R4" s="604"/>
      <c r="S4" s="604"/>
    </row>
    <row r="5" spans="1:19" ht="9.9" customHeight="1" thickTop="1" thickBot="1">
      <c r="A5" s="321"/>
      <c r="B5" s="321"/>
      <c r="D5" s="38"/>
      <c r="E5" s="427"/>
      <c r="F5" s="38"/>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D7" s="147"/>
      <c r="E7" s="713" t="s">
        <v>778</v>
      </c>
      <c r="F7" s="29"/>
      <c r="G7" s="26"/>
      <c r="H7" s="26"/>
      <c r="I7" s="26"/>
      <c r="J7" s="26"/>
      <c r="K7" s="26"/>
      <c r="L7" s="26"/>
      <c r="M7" s="26"/>
      <c r="N7" s="26"/>
      <c r="O7" s="26"/>
      <c r="P7" s="26"/>
      <c r="Q7" s="26"/>
      <c r="R7" s="26"/>
      <c r="S7" s="147"/>
    </row>
    <row r="8" spans="1:19" s="38" customFormat="1" ht="13.5" customHeight="1">
      <c r="A8" s="3630">
        <f>Audit!C12</f>
        <v>43586</v>
      </c>
      <c r="B8" s="3631"/>
      <c r="C8" s="321"/>
      <c r="D8" s="412"/>
      <c r="E8" s="56" t="s">
        <v>537</v>
      </c>
      <c r="F8" s="315"/>
      <c r="G8" s="26"/>
      <c r="H8" s="26"/>
      <c r="I8" s="26"/>
      <c r="J8" s="26"/>
      <c r="K8" s="26"/>
      <c r="L8" s="26"/>
      <c r="M8" s="26"/>
      <c r="N8" s="26"/>
      <c r="O8" s="26"/>
      <c r="P8" s="26"/>
      <c r="Q8" s="26"/>
      <c r="R8" s="26"/>
      <c r="S8" s="147"/>
    </row>
    <row r="9" spans="1:19" s="38" customFormat="1" ht="13.5" customHeight="1" thickBot="1">
      <c r="A9" s="172" t="s">
        <v>14</v>
      </c>
      <c r="B9" s="173"/>
      <c r="D9" s="412"/>
      <c r="E9" s="38" t="s">
        <v>1247</v>
      </c>
      <c r="F9" s="26"/>
      <c r="G9" s="26"/>
      <c r="H9" s="26"/>
      <c r="I9" s="26"/>
      <c r="J9" s="26"/>
      <c r="K9" s="26"/>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570" t="s">
        <v>2294</v>
      </c>
      <c r="B11" s="3581"/>
      <c r="D11" s="321"/>
      <c r="E11" s="113" t="s">
        <v>1022</v>
      </c>
      <c r="F11" s="53"/>
      <c r="G11" s="53"/>
      <c r="H11" s="53"/>
      <c r="I11" s="53"/>
      <c r="J11" s="53"/>
      <c r="K11" s="53"/>
      <c r="L11" s="53"/>
      <c r="M11" s="53"/>
      <c r="N11" s="53"/>
      <c r="O11" s="53"/>
      <c r="P11" s="53"/>
      <c r="Q11" s="53"/>
      <c r="R11" s="53"/>
      <c r="S11" s="379"/>
    </row>
    <row r="12" spans="1:19" s="38" customFormat="1" ht="13.5" customHeight="1" thickBot="1">
      <c r="A12" s="3570" t="s">
        <v>2279</v>
      </c>
      <c r="B12" s="3581"/>
      <c r="D12" s="321"/>
      <c r="E12" s="113" t="s">
        <v>890</v>
      </c>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445" t="s">
        <v>799</v>
      </c>
      <c r="B14" s="2451">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441" t="s">
        <v>54</v>
      </c>
      <c r="B15" s="2450">
        <f>'User Parameters'!L19</f>
        <v>2010</v>
      </c>
      <c r="C15" s="321"/>
      <c r="D15" s="321"/>
      <c r="E15" s="113"/>
      <c r="F15" s="26"/>
      <c r="G15" s="26"/>
      <c r="H15" s="26"/>
      <c r="I15" s="26"/>
      <c r="J15" s="26"/>
      <c r="K15" s="26"/>
      <c r="L15" s="26"/>
      <c r="M15" s="26"/>
      <c r="N15" s="26"/>
      <c r="O15" s="26"/>
      <c r="P15" s="26"/>
      <c r="Q15" s="26"/>
      <c r="R15" s="26"/>
      <c r="S15" s="147"/>
    </row>
    <row r="16" spans="1:19" s="38" customFormat="1" ht="13.5" customHeight="1">
      <c r="A16" s="2441"/>
      <c r="B16" s="2463"/>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t="s">
        <v>2377</v>
      </c>
      <c r="F19" s="26"/>
      <c r="G19" s="26"/>
      <c r="H19" s="26"/>
      <c r="I19" s="26"/>
      <c r="J19" s="26"/>
      <c r="K19" s="26"/>
      <c r="L19" s="26"/>
      <c r="M19" s="26"/>
      <c r="N19" s="26"/>
      <c r="O19" s="26"/>
      <c r="P19" s="26"/>
      <c r="Q19" s="26"/>
      <c r="R19" s="26"/>
      <c r="S19" s="147"/>
    </row>
    <row r="20" spans="1:19" s="38" customFormat="1" ht="13.5" customHeight="1" thickBot="1">
      <c r="A20" s="2422"/>
      <c r="B20" s="2422"/>
      <c r="C20" s="321"/>
      <c r="D20" s="412"/>
      <c r="E20" s="381" t="s">
        <v>2299</v>
      </c>
      <c r="F20" s="163"/>
      <c r="G20" s="163"/>
      <c r="H20" s="163"/>
      <c r="I20" s="163"/>
      <c r="J20" s="163"/>
      <c r="K20" s="163"/>
      <c r="L20" s="163"/>
      <c r="M20" s="163"/>
      <c r="N20" s="163"/>
      <c r="O20" s="163"/>
      <c r="P20" s="163"/>
      <c r="Q20" s="163"/>
      <c r="R20" s="163"/>
      <c r="S20" s="382"/>
    </row>
    <row r="21" spans="1:19" ht="13.5" customHeight="1" thickTop="1">
      <c r="A21" s="2420"/>
      <c r="B21" s="2421"/>
      <c r="C21" s="32"/>
      <c r="D21" s="38"/>
      <c r="E21" s="427"/>
      <c r="F21" s="38"/>
    </row>
    <row r="22" spans="1:19" ht="13.5" customHeight="1" thickBot="1">
      <c r="A22" s="38"/>
      <c r="B22" s="38"/>
      <c r="C22" s="38"/>
      <c r="D22" s="38"/>
      <c r="E22" s="38"/>
    </row>
    <row r="23" spans="1:19" ht="13.5" customHeight="1" thickTop="1">
      <c r="A23" s="680" t="s">
        <v>94</v>
      </c>
      <c r="B23" s="224"/>
      <c r="C23" s="224"/>
      <c r="D23" s="224"/>
      <c r="E23" s="850"/>
    </row>
    <row r="24" spans="1:19" ht="13.5" customHeight="1" thickBot="1">
      <c r="A24" s="851" t="str">
        <f>CONCATENATE("(",B15," values and ",B14," prices)")</f>
        <v>(2010 values and 2010 prices)</v>
      </c>
      <c r="B24" s="852"/>
      <c r="C24" s="849"/>
      <c r="D24" s="849"/>
      <c r="E24" s="750"/>
    </row>
    <row r="25" spans="1:19" ht="13.5" customHeight="1" thickTop="1" thickBot="1">
      <c r="A25" s="137" t="s">
        <v>740</v>
      </c>
      <c r="B25" s="806"/>
      <c r="C25" s="788"/>
      <c r="D25" s="848" t="s">
        <v>779</v>
      </c>
      <c r="E25" s="571" t="s">
        <v>741</v>
      </c>
    </row>
    <row r="26" spans="1:19" ht="13.5" customHeight="1" thickTop="1">
      <c r="A26" s="113" t="s">
        <v>828</v>
      </c>
      <c r="B26" s="609"/>
      <c r="C26" s="624"/>
      <c r="D26" s="1415">
        <f>Walking!E26 * VLOOKUP($B$14,'Annual Parameters'!$B$33:$W$104,3,FALSE) / VLOOKUP(Walking!$B$16,'Annual Parameters'!$B$33:$W$104,3,FALSE) * VLOOKUP($B$15,'Annual Parameters'!$B$33:$W$104,15,FALSE) / VLOOKUP(Walking!$B$16,'Annual Parameters'!$B$33:$P$104,15,FALSE) *100</f>
        <v>3.7414994398186421</v>
      </c>
      <c r="E26" s="42" t="s">
        <v>829</v>
      </c>
    </row>
    <row r="27" spans="1:19" ht="13.5" customHeight="1">
      <c r="A27" s="113" t="s">
        <v>831</v>
      </c>
      <c r="B27" s="609"/>
      <c r="C27" s="624"/>
      <c r="D27" s="847">
        <f>Walking!E27 * VLOOKUP($B$14,'Annual Parameters'!$B$33:$W$104,3,FALSE) / VLOOKUP(Walking!$B$16,'Annual Parameters'!$B$33:$W$104,3,FALSE) * VLOOKUP($B$15,'Annual Parameters'!$B$33:$W$104,15,FALSE) / VLOOKUP(Walking!$B$16,'Annual Parameters'!$B$33:$P$104,15,FALSE) *100</f>
        <v>2.6410584281072769</v>
      </c>
      <c r="E27" s="42" t="s">
        <v>829</v>
      </c>
    </row>
    <row r="28" spans="1:19" ht="13.5" customHeight="1">
      <c r="A28" s="113" t="s">
        <v>830</v>
      </c>
      <c r="B28" s="609"/>
      <c r="C28" s="624"/>
      <c r="D28" s="847">
        <f>Walking!E28 * VLOOKUP($B$14,'Annual Parameters'!$B$33:$W$104,3,FALSE) / VLOOKUP(Walking!$B$16,'Annual Parameters'!$B$33:$W$104,3,FALSE) * VLOOKUP($B$15,'Annual Parameters'!$B$33:$W$104,15,FALSE) / VLOOKUP(Walking!$B$16,'Annual Parameters'!$B$33:$P$104,15,FALSE) *100</f>
        <v>1.870749719909321</v>
      </c>
      <c r="E28" s="42" t="s">
        <v>829</v>
      </c>
    </row>
    <row r="29" spans="1:19" ht="13.5" customHeight="1">
      <c r="A29" s="113" t="s">
        <v>833</v>
      </c>
      <c r="B29" s="609"/>
      <c r="C29" s="624"/>
      <c r="D29" s="847">
        <f>Walking!E29 * VLOOKUP($B$14,'Annual Parameters'!$B$33:$W$104,3,FALSE) / VLOOKUP(Walking!$B$16,'Annual Parameters'!$B$33:$W$104,3,FALSE) * VLOOKUP($B$15,'Annual Parameters'!$B$33:$W$104,15,FALSE) / VLOOKUP(Walking!$B$16,'Annual Parameters'!$B$33:$P$104,15,FALSE) *100</f>
        <v>0.88035280936909233</v>
      </c>
      <c r="E29" s="42" t="s">
        <v>829</v>
      </c>
    </row>
    <row r="30" spans="1:19" ht="13.5" customHeight="1">
      <c r="A30" s="113" t="s">
        <v>832</v>
      </c>
      <c r="B30" s="609"/>
      <c r="C30" s="624"/>
      <c r="D30" s="847">
        <f>Walking!E30 * VLOOKUP($B$14,'Annual Parameters'!$B$33:$W$104,3,FALSE) / VLOOKUP(Walking!$B$16,'Annual Parameters'!$B$33:$W$104,3,FALSE) * VLOOKUP($B$15,'Annual Parameters'!$B$33:$W$104,15,FALSE) / VLOOKUP(Walking!$B$16,'Annual Parameters'!$B$33:$P$104,15,FALSE) *100</f>
        <v>0.88035280936909233</v>
      </c>
      <c r="E30" s="42" t="s">
        <v>829</v>
      </c>
    </row>
    <row r="31" spans="1:19" ht="13.5" customHeight="1">
      <c r="A31" s="113" t="s">
        <v>835</v>
      </c>
      <c r="B31" s="609"/>
      <c r="C31" s="624"/>
      <c r="D31" s="847">
        <f>Walking!E31 * VLOOKUP($B$14,'Annual Parameters'!$B$33:$W$104,3,FALSE) / VLOOKUP(Walking!$B$16,'Annual Parameters'!$B$33:$W$104,3,FALSE) * VLOOKUP($B$15,'Annual Parameters'!$B$33:$W$104,15,FALSE) / VLOOKUP(Walking!$B$16,'Annual Parameters'!$B$33:$P$104,15,FALSE) *100</f>
        <v>0.55022050585568272</v>
      </c>
      <c r="E31" s="42" t="s">
        <v>829</v>
      </c>
    </row>
    <row r="32" spans="1:19" ht="13.5" customHeight="1" thickBot="1">
      <c r="A32" s="381" t="s">
        <v>834</v>
      </c>
      <c r="B32" s="627"/>
      <c r="C32" s="620"/>
      <c r="D32" s="1416">
        <f>Walking!E32 * VLOOKUP($B$14,'Annual Parameters'!$B$33:$W$104,3,FALSE) / VLOOKUP(Walking!$B$16,'Annual Parameters'!$B$33:$W$104,3,FALSE) * VLOOKUP($B$15,'Annual Parameters'!$B$33:$W$104,15,FALSE) / VLOOKUP(Walking!$B$16,'Annual Parameters'!$B$33:$P$104,15,FALSE) *100</f>
        <v>0.55022050585568272</v>
      </c>
      <c r="E32" s="94" t="s">
        <v>829</v>
      </c>
    </row>
    <row r="33" spans="1:5" ht="13.5" customHeight="1" thickTop="1">
      <c r="A33" s="38"/>
      <c r="B33" s="38"/>
      <c r="C33" s="38"/>
      <c r="D33" s="38"/>
      <c r="E33" s="38"/>
    </row>
    <row r="34" spans="1:5" ht="13.5" customHeight="1">
      <c r="A34" s="38"/>
      <c r="C34" s="38"/>
      <c r="D34" s="38"/>
      <c r="E34" s="38"/>
    </row>
    <row r="35" spans="1:5" ht="13.5" customHeight="1">
      <c r="A35" s="38"/>
      <c r="C35" s="38"/>
      <c r="D35" s="38"/>
      <c r="E35" s="38"/>
    </row>
    <row r="36" spans="1:5" ht="13.5" customHeight="1">
      <c r="A36" s="38"/>
      <c r="C36" s="38"/>
      <c r="D36" s="38"/>
      <c r="E36" s="38"/>
    </row>
  </sheetData>
  <sheetProtection sheet="1" objects="1" scenarios="1"/>
  <mergeCells count="8">
    <mergeCell ref="A19:B19"/>
    <mergeCell ref="A11:B11"/>
    <mergeCell ref="A10:B10"/>
    <mergeCell ref="E6:S6"/>
    <mergeCell ref="A7:B7"/>
    <mergeCell ref="A8:B8"/>
    <mergeCell ref="A12:B12"/>
    <mergeCell ref="A18:B18"/>
  </mergeCells>
  <phoneticPr fontId="8" type="noConversion"/>
  <hyperlinks>
    <hyperlink ref="A11" location="Contents!A1" display="Contents"/>
    <hyperlink ref="A11:B11" r:id="rId1" display="WebTAG Unit 3.1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10"/>
  </sheetPr>
  <dimension ref="A1:S35"/>
  <sheetViews>
    <sheetView showGridLines="0" zoomScale="85" zoomScaleNormal="85" workbookViewId="0">
      <pane xSplit="3" ySplit="25" topLeftCell="D26"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6384" width="12.88671875" style="599"/>
  </cols>
  <sheetData>
    <row r="1" spans="1:19" s="38" customFormat="1" ht="54.9" customHeight="1">
      <c r="A1" s="28"/>
      <c r="B1" s="28"/>
    </row>
    <row r="2" spans="1:19" s="300" customFormat="1" ht="5.0999999999999996" customHeight="1">
      <c r="D2" s="83"/>
    </row>
    <row r="3" spans="1:19" s="300" customFormat="1" ht="20.100000000000001" customHeight="1">
      <c r="A3" s="426" t="s">
        <v>2300</v>
      </c>
      <c r="B3" s="485"/>
      <c r="D3" s="46"/>
      <c r="F3" s="445"/>
    </row>
    <row r="4" spans="1:19" s="26" customFormat="1" ht="20.100000000000001" customHeight="1" thickBot="1">
      <c r="A4" s="529" t="s">
        <v>1053</v>
      </c>
      <c r="B4" s="447"/>
      <c r="C4" s="447"/>
      <c r="D4" s="446"/>
      <c r="E4" s="446"/>
      <c r="F4" s="446"/>
      <c r="G4" s="446"/>
      <c r="H4" s="448"/>
      <c r="I4" s="487"/>
      <c r="J4" s="447"/>
      <c r="K4" s="487"/>
      <c r="L4" s="487"/>
      <c r="M4" s="446"/>
      <c r="N4" s="446"/>
      <c r="O4" s="446"/>
      <c r="P4" s="446"/>
      <c r="Q4" s="446"/>
      <c r="R4" s="446"/>
      <c r="S4" s="446"/>
    </row>
    <row r="5" spans="1:19" s="38" customFormat="1" ht="9.9" customHeight="1" thickTop="1" thickBot="1">
      <c r="A5" s="35"/>
      <c r="B5" s="321"/>
      <c r="C5" s="321"/>
      <c r="F5" s="427"/>
      <c r="G5" s="321"/>
      <c r="H5" s="35"/>
      <c r="I5" s="32"/>
      <c r="J5" s="321"/>
      <c r="K5" s="32"/>
      <c r="L5" s="32"/>
    </row>
    <row r="6" spans="1:19" s="38" customFormat="1" ht="13.5" customHeight="1" thickTop="1">
      <c r="A6" s="169" t="s">
        <v>10</v>
      </c>
      <c r="B6" s="169"/>
      <c r="E6" s="3626" t="s">
        <v>255</v>
      </c>
      <c r="F6" s="3649"/>
      <c r="G6" s="3649"/>
      <c r="H6" s="3649"/>
      <c r="I6" s="3699"/>
      <c r="J6" s="3649"/>
      <c r="K6" s="3649"/>
      <c r="L6" s="3699"/>
      <c r="M6" s="3649"/>
      <c r="N6" s="3649"/>
      <c r="O6" s="3649"/>
      <c r="P6" s="3649"/>
      <c r="Q6" s="3649"/>
      <c r="R6" s="3649"/>
      <c r="S6" s="3650"/>
    </row>
    <row r="7" spans="1:19" s="38" customFormat="1" ht="13.5" customHeight="1">
      <c r="A7" s="3644" t="str">
        <f>Audit!A12</f>
        <v>May 2019 v1.12</v>
      </c>
      <c r="B7" s="3651"/>
      <c r="D7" s="147"/>
      <c r="E7" s="428" t="s">
        <v>778</v>
      </c>
      <c r="F7" s="3798" t="s">
        <v>2301</v>
      </c>
      <c r="G7" s="3798"/>
      <c r="H7" s="3798"/>
      <c r="I7" s="3798"/>
      <c r="J7" s="3798"/>
      <c r="K7" s="3798"/>
      <c r="L7" s="3798"/>
      <c r="M7" s="26"/>
      <c r="N7" s="26"/>
      <c r="O7" s="26"/>
      <c r="P7" s="26"/>
      <c r="Q7" s="26"/>
      <c r="R7" s="26"/>
      <c r="S7" s="147"/>
    </row>
    <row r="8" spans="1:19" s="38" customFormat="1" ht="13.5" customHeight="1">
      <c r="A8" s="3646">
        <f>Audit!C12</f>
        <v>43586</v>
      </c>
      <c r="B8" s="3651"/>
      <c r="C8" s="321"/>
      <c r="D8" s="412"/>
      <c r="E8" s="428"/>
      <c r="F8" s="3798"/>
      <c r="G8" s="3798"/>
      <c r="H8" s="3798"/>
      <c r="I8" s="3798"/>
      <c r="J8" s="3798"/>
      <c r="K8" s="3798"/>
      <c r="L8" s="3798"/>
      <c r="M8" s="26"/>
      <c r="N8" s="26"/>
      <c r="O8" s="26"/>
      <c r="P8" s="26"/>
      <c r="Q8" s="26"/>
      <c r="R8" s="26"/>
      <c r="S8" s="147"/>
    </row>
    <row r="9" spans="1:19" s="38" customFormat="1" ht="13.5" customHeight="1" thickBot="1">
      <c r="A9" s="172" t="s">
        <v>14</v>
      </c>
      <c r="B9" s="173"/>
      <c r="D9" s="412"/>
      <c r="E9" s="599"/>
      <c r="F9" s="599" t="s">
        <v>21</v>
      </c>
      <c r="G9" s="599"/>
      <c r="H9" s="599"/>
      <c r="I9" s="599"/>
      <c r="J9" s="599"/>
      <c r="K9" s="599"/>
      <c r="L9" s="599"/>
      <c r="M9" s="26"/>
      <c r="N9" s="26"/>
      <c r="O9" s="26"/>
      <c r="P9" s="26"/>
      <c r="Q9" s="26"/>
      <c r="R9" s="26"/>
      <c r="S9" s="147"/>
    </row>
    <row r="10" spans="1:19" s="38" customFormat="1" ht="13.5" customHeight="1" thickBot="1">
      <c r="A10" s="3611" t="s">
        <v>1306</v>
      </c>
      <c r="B10" s="3612"/>
      <c r="D10" s="412"/>
      <c r="E10" s="599"/>
      <c r="F10" s="599" t="s">
        <v>23</v>
      </c>
      <c r="G10" s="599"/>
      <c r="H10" s="599"/>
      <c r="I10" s="599"/>
      <c r="J10" s="599"/>
      <c r="K10" s="599"/>
      <c r="L10" s="599"/>
      <c r="M10" s="26"/>
      <c r="N10" s="26"/>
      <c r="O10" s="26"/>
      <c r="P10" s="26"/>
      <c r="Q10" s="26"/>
      <c r="R10" s="26"/>
      <c r="S10" s="147"/>
    </row>
    <row r="11" spans="1:19" s="38" customFormat="1" ht="13.5" customHeight="1" thickBot="1">
      <c r="A11" s="3611" t="s">
        <v>2294</v>
      </c>
      <c r="B11" s="3639"/>
      <c r="D11" s="412"/>
      <c r="E11" s="599"/>
      <c r="F11" s="599" t="s">
        <v>24</v>
      </c>
      <c r="G11" s="599"/>
      <c r="H11" s="599"/>
      <c r="I11" s="599"/>
      <c r="J11" s="599"/>
      <c r="K11" s="599"/>
      <c r="L11" s="599"/>
      <c r="M11" s="53"/>
      <c r="N11" s="53"/>
      <c r="O11" s="53"/>
      <c r="P11" s="53"/>
      <c r="Q11" s="53"/>
      <c r="R11" s="53"/>
      <c r="S11" s="379"/>
    </row>
    <row r="12" spans="1:19" s="38" customFormat="1" ht="13.5" customHeight="1" thickBot="1">
      <c r="A12" s="3611" t="s">
        <v>2279</v>
      </c>
      <c r="B12" s="3639"/>
      <c r="D12" s="412"/>
      <c r="E12" s="599"/>
      <c r="F12" s="870" t="s">
        <v>25</v>
      </c>
      <c r="G12" s="599"/>
      <c r="H12" s="599"/>
      <c r="I12" s="599"/>
      <c r="J12" s="599"/>
      <c r="K12" s="599"/>
      <c r="L12" s="599"/>
      <c r="M12" s="26"/>
      <c r="N12" s="26"/>
      <c r="O12" s="26"/>
      <c r="P12" s="26"/>
      <c r="Q12" s="26"/>
      <c r="R12" s="26"/>
      <c r="S12" s="147"/>
    </row>
    <row r="13" spans="1:19" s="38" customFormat="1" ht="13.5" customHeight="1">
      <c r="A13" s="172" t="s">
        <v>252</v>
      </c>
      <c r="B13" s="194"/>
      <c r="C13" s="321"/>
      <c r="D13" s="412"/>
      <c r="E13" s="599"/>
      <c r="F13" s="599"/>
      <c r="G13" s="599"/>
      <c r="H13" s="599"/>
      <c r="I13" s="599"/>
      <c r="J13" s="599"/>
      <c r="K13" s="599"/>
      <c r="L13" s="599"/>
      <c r="M13" s="26"/>
      <c r="N13" s="26"/>
      <c r="O13" s="26"/>
      <c r="P13" s="26"/>
      <c r="Q13" s="26"/>
      <c r="R13" s="26"/>
      <c r="S13" s="147"/>
    </row>
    <row r="14" spans="1:19" s="38" customFormat="1" ht="13.5" customHeight="1">
      <c r="A14" s="56" t="s">
        <v>799</v>
      </c>
      <c r="B14" s="195">
        <f>B16</f>
        <v>2005</v>
      </c>
      <c r="C14" s="321"/>
      <c r="D14" s="412"/>
      <c r="E14" s="608" t="s">
        <v>139</v>
      </c>
      <c r="F14" s="599"/>
      <c r="G14" s="599"/>
      <c r="H14" s="599"/>
      <c r="I14" s="599"/>
      <c r="J14" s="599"/>
      <c r="K14" s="599"/>
      <c r="L14" s="599"/>
      <c r="M14" s="26"/>
      <c r="N14" s="26"/>
      <c r="O14" s="26"/>
      <c r="P14" s="26"/>
      <c r="Q14" s="26"/>
      <c r="R14" s="26"/>
      <c r="S14" s="147"/>
    </row>
    <row r="15" spans="1:19" s="38" customFormat="1" ht="13.5" customHeight="1">
      <c r="C15" s="321"/>
      <c r="D15" s="412"/>
      <c r="E15" s="2035" t="s">
        <v>1246</v>
      </c>
      <c r="F15" s="820" t="s">
        <v>537</v>
      </c>
      <c r="G15" s="26"/>
      <c r="H15" s="26"/>
      <c r="I15" s="26"/>
      <c r="J15" s="26"/>
      <c r="K15" s="26"/>
      <c r="L15" s="26"/>
      <c r="M15" s="26"/>
      <c r="N15" s="26"/>
      <c r="O15" s="26"/>
      <c r="P15" s="26"/>
      <c r="Q15" s="26"/>
      <c r="R15" s="26"/>
      <c r="S15" s="147"/>
    </row>
    <row r="16" spans="1:19" s="38" customFormat="1" ht="13.5" customHeight="1">
      <c r="A16" s="26" t="s">
        <v>370</v>
      </c>
      <c r="B16" s="1221">
        <v>2005</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15"/>
      <c r="B18" s="3615"/>
      <c r="C18" s="321"/>
      <c r="D18" s="321"/>
      <c r="E18" s="113"/>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907</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381" t="s">
        <v>2302</v>
      </c>
      <c r="F20" s="163"/>
      <c r="G20" s="163"/>
      <c r="H20" s="163"/>
      <c r="I20" s="163"/>
      <c r="J20" s="163"/>
      <c r="K20" s="163"/>
      <c r="L20" s="163"/>
      <c r="M20" s="163"/>
      <c r="N20" s="163"/>
      <c r="O20" s="163"/>
      <c r="P20" s="163"/>
      <c r="Q20" s="163"/>
      <c r="R20" s="163"/>
      <c r="S20" s="382"/>
    </row>
    <row r="21" spans="1:19" s="38" customFormat="1" ht="13.5" customHeight="1" thickTop="1">
      <c r="C21" s="321"/>
      <c r="D21" s="32"/>
      <c r="F21" s="427"/>
      <c r="G21" s="321"/>
      <c r="H21" s="35"/>
      <c r="I21" s="32"/>
      <c r="J21" s="321"/>
      <c r="K21" s="32"/>
      <c r="L21" s="32"/>
    </row>
    <row r="22" spans="1:19" s="38" customFormat="1" ht="13.5" customHeight="1" thickBot="1">
      <c r="N22" s="535"/>
    </row>
    <row r="23" spans="1:19" s="38" customFormat="1" ht="13.5" customHeight="1" thickTop="1" thickBot="1">
      <c r="A23" s="174" t="str">
        <f>CONCATENATE("Benefit-Cost Ratios by Measure (",B14," prices)")</f>
        <v>Benefit-Cost Ratios by Measure (2005 prices)</v>
      </c>
      <c r="B23" s="328"/>
      <c r="C23" s="328"/>
      <c r="D23" s="328"/>
      <c r="E23" s="328"/>
      <c r="F23" s="328"/>
      <c r="G23" s="225"/>
      <c r="H23" s="147"/>
      <c r="I23" s="1070" t="s">
        <v>1393</v>
      </c>
      <c r="J23" s="1033"/>
      <c r="K23" s="1033"/>
      <c r="L23" s="1033"/>
      <c r="M23" s="850"/>
    </row>
    <row r="24" spans="1:19" ht="13.5" customHeight="1" thickTop="1" thickBot="1">
      <c r="A24" s="1095" t="s">
        <v>15</v>
      </c>
      <c r="B24" s="1096"/>
      <c r="C24" s="630"/>
      <c r="D24" s="1101" t="s">
        <v>499</v>
      </c>
      <c r="E24" s="2041" t="s">
        <v>182</v>
      </c>
      <c r="F24" s="1101" t="s">
        <v>501</v>
      </c>
      <c r="G24" s="1097" t="s">
        <v>503</v>
      </c>
      <c r="H24" s="624"/>
      <c r="I24" s="1071" t="s">
        <v>498</v>
      </c>
      <c r="J24" s="1072"/>
      <c r="K24" s="1072"/>
      <c r="L24" s="1072"/>
      <c r="M24" s="763"/>
    </row>
    <row r="25" spans="1:19" ht="13.5" customHeight="1" thickTop="1" thickBot="1">
      <c r="A25" s="1076"/>
      <c r="B25" s="1098"/>
      <c r="C25" s="1100"/>
      <c r="D25" s="1102" t="s">
        <v>500</v>
      </c>
      <c r="E25" s="1102" t="s">
        <v>505</v>
      </c>
      <c r="F25" s="1102" t="s">
        <v>502</v>
      </c>
      <c r="G25" s="1099" t="s">
        <v>504</v>
      </c>
      <c r="H25" s="734"/>
      <c r="I25" s="1106"/>
      <c r="J25" s="1107"/>
      <c r="K25" s="1107"/>
      <c r="L25" s="1104"/>
      <c r="M25" s="1105"/>
    </row>
    <row r="26" spans="1:19" ht="13.5" customHeight="1" thickTop="1">
      <c r="A26" s="1073" t="s">
        <v>18</v>
      </c>
      <c r="B26" s="609"/>
      <c r="C26" s="624"/>
      <c r="D26" s="1080">
        <v>680</v>
      </c>
      <c r="E26" s="1081">
        <v>3.4000000000000002E-2</v>
      </c>
      <c r="F26" s="1082">
        <v>2240</v>
      </c>
      <c r="G26" s="1083">
        <v>3.3</v>
      </c>
      <c r="I26" s="623" t="s">
        <v>828</v>
      </c>
      <c r="K26" s="1093">
        <v>3.8</v>
      </c>
      <c r="L26" s="348" t="s">
        <v>370</v>
      </c>
      <c r="M26" s="880">
        <v>2005</v>
      </c>
    </row>
    <row r="27" spans="1:19" ht="13.5" customHeight="1">
      <c r="A27" s="1073" t="s">
        <v>17</v>
      </c>
      <c r="B27" s="609"/>
      <c r="C27" s="624"/>
      <c r="D27" s="1084">
        <v>1590</v>
      </c>
      <c r="E27" s="1081">
        <v>2.4E-2</v>
      </c>
      <c r="F27" s="1082">
        <v>3360</v>
      </c>
      <c r="G27" s="1083">
        <v>2.1</v>
      </c>
      <c r="I27" s="623" t="s">
        <v>831</v>
      </c>
      <c r="K27" s="1093">
        <v>2.7</v>
      </c>
      <c r="L27" s="56" t="s">
        <v>799</v>
      </c>
      <c r="M27" s="1069">
        <v>2010</v>
      </c>
    </row>
    <row r="28" spans="1:19" ht="13.5" customHeight="1">
      <c r="A28" s="1073" t="s">
        <v>830</v>
      </c>
      <c r="B28" s="609"/>
      <c r="C28" s="624"/>
      <c r="D28" s="1080">
        <v>380</v>
      </c>
      <c r="E28" s="1081">
        <v>1.7000000000000001E-2</v>
      </c>
      <c r="F28" s="1085">
        <v>270</v>
      </c>
      <c r="G28" s="1083">
        <v>0.7</v>
      </c>
      <c r="I28" s="623" t="s">
        <v>830</v>
      </c>
      <c r="K28" s="1093">
        <v>1.9</v>
      </c>
      <c r="L28" s="401" t="s">
        <v>829</v>
      </c>
      <c r="M28" s="1077"/>
    </row>
    <row r="29" spans="1:19" ht="13.5" customHeight="1">
      <c r="A29" s="1073" t="s">
        <v>16</v>
      </c>
      <c r="B29" s="609"/>
      <c r="C29" s="624"/>
      <c r="D29" s="1084">
        <v>3450</v>
      </c>
      <c r="E29" s="1081">
        <v>8.0000000000000002E-3</v>
      </c>
      <c r="F29" s="1082">
        <v>1000</v>
      </c>
      <c r="G29" s="1083">
        <v>0.3</v>
      </c>
      <c r="I29" s="623" t="s">
        <v>833</v>
      </c>
      <c r="K29" s="1093">
        <v>0.9</v>
      </c>
      <c r="M29" s="1077"/>
    </row>
    <row r="30" spans="1:19" ht="13.5" customHeight="1">
      <c r="A30" s="1073" t="s">
        <v>20</v>
      </c>
      <c r="B30" s="609"/>
      <c r="C30" s="624"/>
      <c r="D30" s="1080">
        <v>270</v>
      </c>
      <c r="E30" s="1081">
        <v>8.0000000000000002E-3</v>
      </c>
      <c r="F30" s="1082">
        <v>3520</v>
      </c>
      <c r="G30" s="1083">
        <v>13.3</v>
      </c>
      <c r="I30" s="623" t="s">
        <v>832</v>
      </c>
      <c r="K30" s="1093">
        <v>0.9</v>
      </c>
      <c r="L30" s="609"/>
      <c r="M30" s="624"/>
    </row>
    <row r="31" spans="1:19" ht="13.5" customHeight="1">
      <c r="A31" s="1073" t="s">
        <v>835</v>
      </c>
      <c r="B31" s="609"/>
      <c r="C31" s="624"/>
      <c r="D31" s="1080">
        <v>320</v>
      </c>
      <c r="E31" s="1081">
        <v>5.0000000000000001E-3</v>
      </c>
      <c r="F31" s="1082">
        <v>3290</v>
      </c>
      <c r="G31" s="1083">
        <v>10.3</v>
      </c>
      <c r="I31" s="623" t="s">
        <v>835</v>
      </c>
      <c r="K31" s="1093">
        <v>0.56000000000000005</v>
      </c>
      <c r="L31" s="609"/>
      <c r="M31" s="624"/>
    </row>
    <row r="32" spans="1:19" ht="13.5" customHeight="1" thickBot="1">
      <c r="A32" s="1073" t="s">
        <v>19</v>
      </c>
      <c r="B32" s="609"/>
      <c r="C32" s="624"/>
      <c r="D32" s="1086">
        <v>680</v>
      </c>
      <c r="E32" s="1087">
        <v>5.0000000000000001E-3</v>
      </c>
      <c r="F32" s="1088">
        <v>1110</v>
      </c>
      <c r="G32" s="1089">
        <v>1.6</v>
      </c>
      <c r="I32" s="619" t="s">
        <v>834</v>
      </c>
      <c r="J32" s="740"/>
      <c r="K32" s="1094">
        <v>0.56000000000000005</v>
      </c>
      <c r="L32" s="627"/>
      <c r="M32" s="620"/>
    </row>
    <row r="33" spans="1:9" ht="13.5" customHeight="1" thickTop="1" thickBot="1">
      <c r="A33" s="1075" t="s">
        <v>1449</v>
      </c>
      <c r="B33" s="1045"/>
      <c r="C33" s="1046"/>
      <c r="D33" s="1090">
        <v>7370</v>
      </c>
      <c r="E33" s="1091">
        <v>1.0999999999999999E-2</v>
      </c>
      <c r="F33" s="1092">
        <v>14790</v>
      </c>
      <c r="G33" s="1103">
        <v>2</v>
      </c>
      <c r="I33" s="820" t="s">
        <v>2303</v>
      </c>
    </row>
    <row r="34" spans="1:9" ht="13.5" customHeight="1" thickTop="1">
      <c r="A34" s="1074" t="s">
        <v>2378</v>
      </c>
      <c r="C34" s="609"/>
    </row>
    <row r="35" spans="1:9" ht="13.5" customHeight="1">
      <c r="A35" s="609"/>
      <c r="C35" s="609"/>
    </row>
  </sheetData>
  <sheetProtection sheet="1" objects="1" scenarios="1"/>
  <mergeCells count="10">
    <mergeCell ref="E6:S6"/>
    <mergeCell ref="A7:B7"/>
    <mergeCell ref="A8:B8"/>
    <mergeCell ref="A20:B20"/>
    <mergeCell ref="A18:B18"/>
    <mergeCell ref="A19:B19"/>
    <mergeCell ref="A10:B10"/>
    <mergeCell ref="A11:B11"/>
    <mergeCell ref="A12:B12"/>
    <mergeCell ref="F7:L8"/>
  </mergeCells>
  <phoneticPr fontId="8" type="noConversion"/>
  <hyperlinks>
    <hyperlink ref="A11" location="Contents!A1" display="Contents"/>
    <hyperlink ref="A11:B11" r:id="rId1" display="WebTAG Unit 3.14.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orientation="portrait" r:id="rId3"/>
  <headerFooter alignWithMargins="0"/>
  <drawing r:id="rId4"/>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17"/>
    <pageSetUpPr fitToPage="1"/>
  </sheetPr>
  <dimension ref="A1:S38"/>
  <sheetViews>
    <sheetView showGridLines="0" zoomScale="85" zoomScaleNormal="85" workbookViewId="0">
      <pane xSplit="3" ySplit="29" topLeftCell="D30" activePane="bottomRight" state="frozen"/>
      <selection activeCell="A9" sqref="A9"/>
      <selection pane="topRight" activeCell="A9" sqref="A9"/>
      <selection pane="bottomLeft" activeCell="A9" sqref="A9"/>
      <selection pane="bottomRight" activeCell="B15" sqref="B15"/>
    </sheetView>
  </sheetViews>
  <sheetFormatPr defaultColWidth="12.88671875" defaultRowHeight="13.5" customHeight="1"/>
  <cols>
    <col min="1" max="16384" width="12.88671875" style="599"/>
  </cols>
  <sheetData>
    <row r="1" spans="1:19" s="38" customFormat="1" ht="54.9" customHeight="1">
      <c r="A1" s="28"/>
      <c r="B1" s="28"/>
      <c r="O1" s="26"/>
    </row>
    <row r="2" spans="1:19" s="300" customFormat="1" ht="5.0999999999999996" customHeight="1"/>
    <row r="3" spans="1:19" s="300" customFormat="1" ht="20.100000000000001" customHeight="1">
      <c r="A3" s="300" t="s">
        <v>2304</v>
      </c>
      <c r="B3" s="485"/>
      <c r="C3" s="83"/>
      <c r="D3" s="46"/>
      <c r="E3" s="83"/>
      <c r="F3" s="445"/>
      <c r="G3" s="444"/>
      <c r="H3" s="485"/>
      <c r="J3" s="83"/>
    </row>
    <row r="4" spans="1:19" s="26" customFormat="1" ht="20.100000000000001" customHeight="1" thickBot="1">
      <c r="A4" s="529" t="s">
        <v>524</v>
      </c>
      <c r="B4" s="447"/>
      <c r="C4" s="447"/>
      <c r="D4" s="446"/>
      <c r="E4" s="446"/>
      <c r="F4" s="446"/>
      <c r="G4" s="448"/>
      <c r="H4" s="447"/>
      <c r="I4" s="487"/>
      <c r="J4" s="446"/>
      <c r="K4" s="446"/>
      <c r="L4" s="446"/>
      <c r="M4" s="446"/>
      <c r="N4" s="446"/>
      <c r="O4" s="446"/>
      <c r="P4" s="446"/>
      <c r="Q4" s="446"/>
      <c r="R4" s="446"/>
      <c r="S4" s="446"/>
    </row>
    <row r="5" spans="1:19" s="38" customFormat="1" ht="9.9" customHeight="1" thickTop="1" thickBot="1">
      <c r="A5" s="35"/>
      <c r="B5" s="321"/>
      <c r="C5" s="321"/>
      <c r="F5" s="427"/>
      <c r="G5" s="35"/>
      <c r="H5" s="321"/>
      <c r="I5" s="32"/>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D7" s="147"/>
      <c r="E7" s="29" t="s">
        <v>778</v>
      </c>
      <c r="F7" s="29"/>
      <c r="G7" s="26"/>
      <c r="H7" s="26"/>
      <c r="I7" s="26"/>
      <c r="J7" s="26"/>
      <c r="K7" s="26"/>
      <c r="L7" s="26"/>
      <c r="M7" s="26"/>
      <c r="N7" s="26"/>
      <c r="O7" s="26"/>
      <c r="P7" s="26"/>
      <c r="Q7" s="26"/>
      <c r="R7" s="26"/>
      <c r="S7" s="147"/>
    </row>
    <row r="8" spans="1:19" s="38" customFormat="1" ht="13.5" customHeight="1">
      <c r="A8" s="3630">
        <f>Audit!C12</f>
        <v>43586</v>
      </c>
      <c r="B8" s="3631"/>
      <c r="C8" s="321"/>
      <c r="D8" s="412"/>
      <c r="E8" s="26" t="s">
        <v>140</v>
      </c>
      <c r="F8" s="315"/>
      <c r="G8" s="26"/>
      <c r="H8" s="26"/>
      <c r="I8" s="26"/>
      <c r="J8" s="26"/>
      <c r="K8" s="26"/>
      <c r="L8" s="26"/>
      <c r="M8" s="26"/>
      <c r="N8" s="26"/>
      <c r="O8" s="26"/>
      <c r="P8" s="26"/>
      <c r="Q8" s="26"/>
      <c r="R8" s="26"/>
      <c r="S8" s="147"/>
    </row>
    <row r="9" spans="1:19" s="38" customFormat="1" ht="13.5" customHeight="1" thickBot="1">
      <c r="A9" s="172" t="s">
        <v>14</v>
      </c>
      <c r="B9" s="173"/>
      <c r="D9" s="412"/>
      <c r="E9" s="26" t="s">
        <v>1076</v>
      </c>
      <c r="F9" s="26"/>
      <c r="G9" s="26"/>
      <c r="H9" s="26"/>
      <c r="I9" s="26"/>
      <c r="J9" s="26"/>
      <c r="K9" s="26"/>
      <c r="L9" s="26"/>
      <c r="M9" s="26"/>
      <c r="N9" s="26"/>
      <c r="O9" s="26"/>
      <c r="P9" s="26"/>
      <c r="Q9" s="26"/>
      <c r="R9" s="26"/>
      <c r="S9" s="147"/>
    </row>
    <row r="10" spans="1:19" s="38" customFormat="1" ht="13.5" customHeight="1" thickBot="1">
      <c r="A10" s="3570" t="s">
        <v>1306</v>
      </c>
      <c r="B10" s="3610"/>
      <c r="D10" s="412"/>
      <c r="E10" s="26" t="s">
        <v>1147</v>
      </c>
      <c r="F10" s="26"/>
      <c r="G10" s="26"/>
      <c r="H10" s="26"/>
      <c r="I10" s="26"/>
      <c r="J10" s="26"/>
      <c r="K10" s="26"/>
      <c r="L10" s="26"/>
      <c r="M10" s="26"/>
      <c r="N10" s="26"/>
      <c r="O10" s="26"/>
      <c r="P10" s="26"/>
      <c r="Q10" s="26"/>
      <c r="R10" s="26"/>
      <c r="S10" s="147"/>
    </row>
    <row r="11" spans="1:19" s="38" customFormat="1" ht="13.5" customHeight="1" thickBot="1">
      <c r="A11" s="3570" t="s">
        <v>2305</v>
      </c>
      <c r="B11" s="3581"/>
      <c r="D11" s="412"/>
      <c r="E11" s="38" t="s">
        <v>141</v>
      </c>
      <c r="F11" s="53"/>
      <c r="G11" s="53"/>
      <c r="H11" s="53"/>
      <c r="I11" s="53"/>
      <c r="J11" s="53"/>
      <c r="K11" s="53"/>
      <c r="L11" s="53"/>
      <c r="M11" s="53"/>
      <c r="N11" s="53"/>
      <c r="O11" s="53"/>
      <c r="P11" s="53"/>
      <c r="Q11" s="53"/>
      <c r="R11" s="53"/>
      <c r="S11" s="379"/>
    </row>
    <row r="12" spans="1:19" s="38" customFormat="1" ht="13.5" customHeight="1" thickBot="1">
      <c r="A12" s="3570" t="s">
        <v>2279</v>
      </c>
      <c r="B12" s="3581"/>
      <c r="D12" s="412"/>
      <c r="E12" s="26" t="s">
        <v>718</v>
      </c>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445" t="s">
        <v>799</v>
      </c>
      <c r="B14" s="2451">
        <f>'User Parameters'!L13</f>
        <v>2010</v>
      </c>
      <c r="C14" s="321"/>
      <c r="D14" s="321"/>
      <c r="E14" s="113"/>
      <c r="F14" s="26"/>
      <c r="G14" s="26"/>
      <c r="H14" s="26"/>
      <c r="I14" s="26"/>
      <c r="J14" s="26"/>
      <c r="K14" s="26"/>
      <c r="L14" s="26"/>
      <c r="M14" s="26"/>
      <c r="N14" s="26"/>
      <c r="O14" s="26"/>
      <c r="P14" s="26"/>
      <c r="Q14" s="26"/>
      <c r="R14" s="26"/>
      <c r="S14" s="147"/>
    </row>
    <row r="15" spans="1:19" s="38" customFormat="1" ht="13.5" customHeight="1">
      <c r="A15" s="2440" t="s">
        <v>54</v>
      </c>
      <c r="B15" s="2450">
        <f>'User Parameters'!L19</f>
        <v>2010</v>
      </c>
      <c r="C15" s="321"/>
      <c r="D15" s="321"/>
      <c r="E15" s="113"/>
      <c r="F15" s="26"/>
      <c r="G15" s="26"/>
      <c r="H15" s="26"/>
      <c r="I15" s="26"/>
      <c r="J15" s="26"/>
      <c r="K15" s="26"/>
      <c r="L15" s="26"/>
      <c r="M15" s="26"/>
      <c r="N15" s="26"/>
      <c r="O15" s="26"/>
      <c r="P15" s="26"/>
      <c r="Q15" s="26"/>
      <c r="R15" s="26"/>
      <c r="S15" s="147"/>
    </row>
    <row r="16" spans="1:19" s="38" customFormat="1" ht="13.5" customHeight="1">
      <c r="A16" s="2441" t="s">
        <v>137</v>
      </c>
      <c r="B16" s="2440"/>
      <c r="C16" s="2340">
        <f>'Option values'!$C$17</f>
        <v>0.4</v>
      </c>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t="s">
        <v>2379</v>
      </c>
      <c r="F19" s="26"/>
      <c r="G19" s="26"/>
      <c r="H19" s="26"/>
      <c r="I19" s="26"/>
      <c r="J19" s="26"/>
      <c r="K19" s="26"/>
      <c r="L19" s="26"/>
      <c r="M19" s="26"/>
      <c r="N19" s="26"/>
      <c r="O19" s="26"/>
      <c r="P19" s="26"/>
      <c r="Q19" s="26"/>
      <c r="R19" s="26"/>
      <c r="S19" s="147"/>
    </row>
    <row r="20" spans="1:19" s="38" customFormat="1" ht="13.5" customHeight="1" thickBot="1">
      <c r="A20" s="2422"/>
      <c r="B20" s="2422"/>
      <c r="C20" s="321"/>
      <c r="D20" s="412"/>
      <c r="E20" s="381" t="s">
        <v>2306</v>
      </c>
      <c r="F20" s="163"/>
      <c r="G20" s="163"/>
      <c r="H20" s="163"/>
      <c r="I20" s="163"/>
      <c r="J20" s="163"/>
      <c r="K20" s="163"/>
      <c r="L20" s="163"/>
      <c r="M20" s="163"/>
      <c r="N20" s="163"/>
      <c r="O20" s="163"/>
      <c r="P20" s="163"/>
      <c r="Q20" s="163"/>
      <c r="R20" s="163"/>
      <c r="S20" s="382"/>
    </row>
    <row r="21" spans="1:19" s="38" customFormat="1" ht="13.5" customHeight="1" thickTop="1">
      <c r="A21" s="2420"/>
      <c r="B21" s="2421"/>
      <c r="C21" s="321"/>
      <c r="D21" s="32"/>
      <c r="F21" s="427"/>
      <c r="G21" s="35"/>
      <c r="H21" s="321"/>
      <c r="I21" s="32"/>
    </row>
    <row r="22" spans="1:19" s="38" customFormat="1" ht="13.5" customHeight="1" thickBot="1">
      <c r="B22" s="26"/>
      <c r="C22" s="26"/>
      <c r="D22" s="26"/>
      <c r="E22" s="26"/>
    </row>
    <row r="23" spans="1:19" s="38" customFormat="1" ht="13.5" customHeight="1" thickTop="1" thickBot="1">
      <c r="A23" s="125" t="s">
        <v>1211</v>
      </c>
      <c r="B23" s="362"/>
      <c r="C23" s="404"/>
      <c r="D23" s="404" t="s">
        <v>1212</v>
      </c>
      <c r="E23" s="404"/>
      <c r="F23" s="469"/>
    </row>
    <row r="24" spans="1:19" s="38" customFormat="1" ht="13.5" customHeight="1" thickTop="1" thickBot="1">
      <c r="A24" s="823" t="str">
        <f>CONCATENATE("£ (",B14," prices and ",B15," values)")</f>
        <v>£ (2010 prices and 2010 values)</v>
      </c>
      <c r="B24" s="224"/>
      <c r="C24" s="224"/>
      <c r="D24" s="823"/>
      <c r="E24" s="404"/>
      <c r="F24" s="378"/>
    </row>
    <row r="25" spans="1:19" ht="13.5" customHeight="1" thickTop="1" thickBot="1">
      <c r="A25" s="824"/>
      <c r="B25" s="766"/>
      <c r="C25" s="767"/>
      <c r="D25" s="232" t="s">
        <v>720</v>
      </c>
      <c r="E25" s="39"/>
      <c r="F25" s="40"/>
    </row>
    <row r="26" spans="1:19" ht="13.5" customHeight="1" thickTop="1" thickBot="1">
      <c r="A26" s="1633"/>
      <c r="B26" s="794"/>
      <c r="C26" s="825"/>
      <c r="D26" s="3799" t="s">
        <v>736</v>
      </c>
      <c r="E26" s="232" t="s">
        <v>732</v>
      </c>
      <c r="F26" s="40"/>
    </row>
    <row r="27" spans="1:19" ht="13.5" customHeight="1" thickTop="1">
      <c r="A27" s="826"/>
      <c r="B27" s="794"/>
      <c r="C27" s="825"/>
      <c r="D27" s="3800"/>
      <c r="E27" s="3802" t="s">
        <v>733</v>
      </c>
      <c r="F27" s="3805" t="s">
        <v>734</v>
      </c>
      <c r="H27" s="609"/>
      <c r="I27" s="609"/>
      <c r="J27" s="609"/>
      <c r="K27" s="609"/>
    </row>
    <row r="28" spans="1:19" ht="13.5" customHeight="1">
      <c r="A28" s="827" t="s">
        <v>731</v>
      </c>
      <c r="B28" s="794"/>
      <c r="C28" s="825"/>
      <c r="D28" s="3800"/>
      <c r="E28" s="3803"/>
      <c r="F28" s="3806"/>
      <c r="H28" s="609"/>
      <c r="I28" s="609"/>
      <c r="J28" s="609"/>
      <c r="K28" s="609"/>
    </row>
    <row r="29" spans="1:19" ht="13.5" customHeight="1" thickBot="1">
      <c r="A29" s="634"/>
      <c r="B29" s="828"/>
      <c r="C29" s="636"/>
      <c r="D29" s="3801"/>
      <c r="E29" s="3804"/>
      <c r="F29" s="3807"/>
      <c r="H29" s="609"/>
      <c r="I29" s="609"/>
      <c r="J29" s="609"/>
      <c r="K29" s="609"/>
    </row>
    <row r="30" spans="1:19" ht="13.5" customHeight="1" thickTop="1">
      <c r="A30" s="207" t="s">
        <v>737</v>
      </c>
      <c r="B30" s="609"/>
      <c r="C30" s="624"/>
      <c r="D30" s="1231">
        <f>'Option values'!K$36*VLOOKUP($B$14,'Annual Parameters'!$B$32:$X$103,3,FALSE) / VLOOKUP('Option values'!$B$16,'Annual Parameters'!$B$32:$X$103,3,FALSE)*VLOOKUP($B$15,'Annual Parameters'!$B$32:$X$103,18,FALSE) / VLOOKUP('Option values'!$B$16,'Annual Parameters'!$B$32:$X$103,18,FALSE)</f>
        <v>240.91342243976371</v>
      </c>
      <c r="E30" s="1679">
        <f>D30*(1-$C$16)</f>
        <v>144.54805346385822</v>
      </c>
      <c r="F30" s="1232" t="s">
        <v>735</v>
      </c>
      <c r="H30" s="713"/>
      <c r="I30" s="719"/>
      <c r="J30" s="719"/>
      <c r="K30" s="50"/>
    </row>
    <row r="31" spans="1:19" ht="13.5" customHeight="1">
      <c r="A31" s="207" t="s">
        <v>738</v>
      </c>
      <c r="B31" s="609"/>
      <c r="C31" s="624"/>
      <c r="D31" s="1231">
        <f>'Option values'!$G$36*VLOOKUP($B$14,'Annual Parameters'!$B$32:$X$103,3,FALSE) / VLOOKUP('Option values'!$B$16,'Annual Parameters'!$B$32:$X$103,3,FALSE)*VLOOKUP($B$15,'Annual Parameters'!$B$32:$X$103,18,FALSE) / VLOOKUP('Option values'!$B$16,'Annual Parameters'!$B$32:$X$103,18,FALSE)</f>
        <v>121.52945745492028</v>
      </c>
      <c r="E31" s="1680">
        <f>D31*(1-$C$16)</f>
        <v>72.917674472952157</v>
      </c>
      <c r="F31" s="1232" t="s">
        <v>735</v>
      </c>
      <c r="H31" s="713"/>
      <c r="I31" s="719"/>
      <c r="J31" s="719"/>
      <c r="K31" s="50"/>
    </row>
    <row r="32" spans="1:19" ht="13.5" customHeight="1" thickBot="1">
      <c r="A32" s="821" t="s">
        <v>739</v>
      </c>
      <c r="B32" s="627"/>
      <c r="C32" s="620"/>
      <c r="D32" s="1233">
        <f>D30</f>
        <v>240.91342243976371</v>
      </c>
      <c r="E32" s="1681">
        <f>D32*(1-$C$16)</f>
        <v>144.54805346385822</v>
      </c>
      <c r="F32" s="1234">
        <f>D31+D32</f>
        <v>362.44287989468398</v>
      </c>
      <c r="H32" s="713"/>
      <c r="I32" s="719"/>
      <c r="J32" s="719"/>
      <c r="K32" s="719"/>
    </row>
    <row r="33" ht="13.5" customHeight="1" thickTop="1"/>
    <row r="34" s="38" customFormat="1" ht="13.5" customHeight="1"/>
    <row r="35" s="38" customFormat="1" ht="13.5" customHeight="1"/>
    <row r="36" s="38" customFormat="1" ht="13.5" customHeight="1"/>
    <row r="37" s="38" customFormat="1" ht="13.5" customHeight="1"/>
    <row r="38" s="38" customFormat="1" ht="13.5" customHeight="1"/>
  </sheetData>
  <sheetProtection sheet="1" objects="1" scenarios="1"/>
  <mergeCells count="11">
    <mergeCell ref="D26:D29"/>
    <mergeCell ref="E27:E29"/>
    <mergeCell ref="F27:F29"/>
    <mergeCell ref="E6:S6"/>
    <mergeCell ref="A18:B18"/>
    <mergeCell ref="A19:B19"/>
    <mergeCell ref="A7:B7"/>
    <mergeCell ref="A8:B8"/>
    <mergeCell ref="A10:B10"/>
    <mergeCell ref="A12:B12"/>
    <mergeCell ref="A11:B11"/>
  </mergeCells>
  <phoneticPr fontId="8" type="noConversion"/>
  <hyperlinks>
    <hyperlink ref="A11" location="Contents!A1" display="Contents"/>
    <hyperlink ref="A11:B11" r:id="rId1" display="WebTAG Unit 3.6.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scale="54" fitToHeight="0" orientation="landscape" r:id="rId3"/>
  <headerFooter alignWithMargins="0"/>
  <drawing r:id="rId4"/>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10"/>
  </sheetPr>
  <dimension ref="A1:T41"/>
  <sheetViews>
    <sheetView showGridLines="0" topLeftCell="A3" zoomScale="85" zoomScaleNormal="85" workbookViewId="0">
      <selection activeCell="E23" sqref="E23:F24"/>
    </sheetView>
  </sheetViews>
  <sheetFormatPr defaultColWidth="12.88671875" defaultRowHeight="13.5" customHeight="1"/>
  <cols>
    <col min="1" max="16384" width="12.88671875" style="599"/>
  </cols>
  <sheetData>
    <row r="1" spans="1:20" s="38" customFormat="1" ht="54.9" customHeight="1">
      <c r="A1" s="28"/>
      <c r="B1" s="28"/>
    </row>
    <row r="2" spans="1:20" s="300" customFormat="1" ht="5.0999999999999996" customHeight="1">
      <c r="E2" s="83"/>
    </row>
    <row r="3" spans="1:20" s="300" customFormat="1" ht="20.100000000000001" customHeight="1">
      <c r="A3" s="426" t="s">
        <v>2307</v>
      </c>
      <c r="B3" s="485"/>
      <c r="C3" s="46"/>
      <c r="D3" s="46"/>
      <c r="E3" s="83"/>
      <c r="F3" s="445"/>
    </row>
    <row r="4" spans="1:20" s="26" customFormat="1" ht="20.100000000000001" customHeight="1" thickBot="1">
      <c r="A4" s="529" t="s">
        <v>524</v>
      </c>
      <c r="B4" s="446"/>
      <c r="C4" s="446"/>
      <c r="D4" s="446"/>
      <c r="E4" s="446"/>
      <c r="F4" s="446"/>
      <c r="G4" s="446"/>
      <c r="H4" s="446"/>
      <c r="I4" s="446"/>
      <c r="J4" s="446"/>
      <c r="K4" s="446"/>
      <c r="L4" s="446"/>
      <c r="M4" s="446"/>
      <c r="N4" s="446"/>
      <c r="O4" s="446"/>
      <c r="P4" s="446"/>
      <c r="Q4" s="446"/>
      <c r="R4" s="446"/>
      <c r="S4" s="446"/>
      <c r="T4" s="446"/>
    </row>
    <row r="5" spans="1:20" s="38" customFormat="1" ht="9.9" customHeight="1" thickTop="1" thickBot="1">
      <c r="A5" s="43"/>
      <c r="B5" s="72"/>
      <c r="E5" s="32"/>
      <c r="G5" s="427"/>
      <c r="H5" s="535"/>
    </row>
    <row r="6" spans="1:20" s="38" customFormat="1" ht="13.5" customHeight="1" thickTop="1">
      <c r="A6" s="169" t="s">
        <v>10</v>
      </c>
      <c r="B6" s="169"/>
      <c r="F6" s="3626" t="s">
        <v>255</v>
      </c>
      <c r="G6" s="3649"/>
      <c r="H6" s="3649"/>
      <c r="I6" s="3649"/>
      <c r="J6" s="3649"/>
      <c r="K6" s="3649"/>
      <c r="L6" s="3649"/>
      <c r="M6" s="3649"/>
      <c r="N6" s="3649"/>
      <c r="O6" s="3649"/>
      <c r="P6" s="3649"/>
      <c r="Q6" s="3649"/>
      <c r="R6" s="3649"/>
      <c r="S6" s="3649"/>
      <c r="T6" s="3650"/>
    </row>
    <row r="7" spans="1:20" s="38" customFormat="1" ht="13.5" customHeight="1">
      <c r="A7" s="3644" t="str">
        <f>Audit!A12</f>
        <v>May 2019 v1.12</v>
      </c>
      <c r="B7" s="3651"/>
      <c r="E7" s="147"/>
      <c r="F7" s="29" t="s">
        <v>778</v>
      </c>
      <c r="R7" s="26"/>
      <c r="S7" s="26"/>
      <c r="T7" s="147"/>
    </row>
    <row r="8" spans="1:20" s="38" customFormat="1" ht="13.5" customHeight="1">
      <c r="A8" s="3646">
        <f>Audit!C12</f>
        <v>43586</v>
      </c>
      <c r="B8" s="3651"/>
      <c r="C8" s="321"/>
      <c r="D8" s="321"/>
      <c r="E8" s="412"/>
      <c r="F8" s="26" t="s">
        <v>140</v>
      </c>
      <c r="P8" s="38" t="s">
        <v>1338</v>
      </c>
      <c r="R8" s="26"/>
      <c r="S8" s="26"/>
      <c r="T8" s="147"/>
    </row>
    <row r="9" spans="1:20" s="38" customFormat="1" ht="13.5" customHeight="1" thickBot="1">
      <c r="A9" s="172" t="s">
        <v>14</v>
      </c>
      <c r="B9" s="173"/>
      <c r="D9" s="321"/>
      <c r="E9" s="412"/>
      <c r="F9" s="3819" t="s">
        <v>773</v>
      </c>
      <c r="G9" s="3820"/>
      <c r="H9" s="3820"/>
      <c r="I9" s="3820"/>
      <c r="J9" s="3820"/>
      <c r="K9" s="3820"/>
      <c r="L9" s="3820"/>
      <c r="M9" s="3820"/>
      <c r="N9" s="3820"/>
      <c r="O9" s="3820"/>
      <c r="P9" s="3820"/>
      <c r="Q9" s="3820"/>
      <c r="R9" s="26"/>
      <c r="S9" s="26"/>
      <c r="T9" s="147"/>
    </row>
    <row r="10" spans="1:20" s="38" customFormat="1" ht="13.5" customHeight="1" thickBot="1">
      <c r="A10" s="3611" t="s">
        <v>1306</v>
      </c>
      <c r="B10" s="3612"/>
      <c r="D10" s="321"/>
      <c r="E10" s="412"/>
      <c r="F10" s="38" t="s">
        <v>141</v>
      </c>
      <c r="R10" s="26"/>
      <c r="S10" s="26"/>
      <c r="T10" s="147"/>
    </row>
    <row r="11" spans="1:20" s="38" customFormat="1" ht="13.5" customHeight="1" thickBot="1">
      <c r="A11" s="3611" t="s">
        <v>2305</v>
      </c>
      <c r="B11" s="3639"/>
      <c r="D11" s="321"/>
      <c r="E11" s="412"/>
      <c r="F11" s="113" t="s">
        <v>719</v>
      </c>
      <c r="G11" s="53"/>
      <c r="H11" s="53"/>
      <c r="I11" s="53"/>
      <c r="J11" s="53"/>
      <c r="K11" s="53"/>
      <c r="L11" s="53"/>
      <c r="M11" s="53"/>
      <c r="N11" s="53"/>
      <c r="O11" s="53"/>
      <c r="P11" s="53"/>
      <c r="Q11" s="53"/>
      <c r="R11" s="53"/>
      <c r="S11" s="53"/>
      <c r="T11" s="379"/>
    </row>
    <row r="12" spans="1:20" s="38" customFormat="1" ht="13.5" customHeight="1" thickBot="1">
      <c r="A12" s="3611" t="s">
        <v>2279</v>
      </c>
      <c r="B12" s="3639"/>
      <c r="D12" s="321"/>
      <c r="E12" s="321"/>
      <c r="F12" s="113"/>
      <c r="G12" s="26"/>
      <c r="H12" s="26"/>
      <c r="I12" s="26"/>
      <c r="J12" s="26"/>
      <c r="K12" s="26"/>
      <c r="L12" s="26"/>
      <c r="M12" s="26"/>
      <c r="N12" s="26"/>
      <c r="O12" s="26"/>
      <c r="P12" s="26"/>
      <c r="Q12" s="26"/>
      <c r="R12" s="26"/>
      <c r="S12" s="26"/>
      <c r="T12" s="147"/>
    </row>
    <row r="13" spans="1:20" s="38" customFormat="1" ht="13.5" customHeight="1">
      <c r="A13" s="172" t="s">
        <v>252</v>
      </c>
      <c r="B13" s="194"/>
      <c r="C13" s="321"/>
      <c r="D13" s="321"/>
      <c r="E13" s="321"/>
      <c r="F13" s="113" t="s">
        <v>980</v>
      </c>
      <c r="G13" s="26"/>
      <c r="H13" s="26"/>
      <c r="I13" s="26"/>
      <c r="J13" s="26"/>
      <c r="K13" s="26"/>
      <c r="L13" s="26"/>
      <c r="M13" s="26"/>
      <c r="N13" s="26"/>
      <c r="O13" s="26"/>
      <c r="P13" s="26"/>
      <c r="Q13" s="26"/>
      <c r="R13" s="26"/>
      <c r="S13" s="26"/>
      <c r="T13" s="147"/>
    </row>
    <row r="14" spans="1:20" s="38" customFormat="1" ht="13.5" customHeight="1">
      <c r="A14" s="38" t="s">
        <v>799</v>
      </c>
      <c r="B14" s="195">
        <f>B16</f>
        <v>2002</v>
      </c>
      <c r="C14" s="321"/>
      <c r="D14" s="321"/>
      <c r="E14" s="321"/>
      <c r="F14" s="113" t="s">
        <v>443</v>
      </c>
      <c r="G14" s="26"/>
      <c r="H14" s="26"/>
      <c r="I14" s="26"/>
      <c r="J14" s="26"/>
      <c r="K14" s="26"/>
      <c r="L14" s="26"/>
      <c r="M14" s="26"/>
      <c r="N14" s="26"/>
      <c r="O14" s="26"/>
      <c r="P14" s="26"/>
      <c r="Q14" s="26"/>
      <c r="R14" s="26"/>
      <c r="S14" s="26"/>
      <c r="T14" s="147"/>
    </row>
    <row r="15" spans="1:20" s="38" customFormat="1" ht="13.5" customHeight="1">
      <c r="A15" s="26" t="s">
        <v>54</v>
      </c>
      <c r="B15" s="221">
        <f>B16</f>
        <v>2002</v>
      </c>
      <c r="E15" s="321"/>
      <c r="F15" s="113" t="s">
        <v>891</v>
      </c>
      <c r="G15" s="26"/>
      <c r="H15" s="26"/>
      <c r="I15" s="26"/>
      <c r="J15" s="26"/>
      <c r="K15" s="26"/>
      <c r="L15" s="26"/>
      <c r="M15" s="26"/>
      <c r="N15" s="26"/>
      <c r="O15" s="26"/>
      <c r="P15" s="26"/>
      <c r="Q15" s="26"/>
      <c r="R15" s="26"/>
      <c r="S15" s="26"/>
      <c r="T15" s="147"/>
    </row>
    <row r="16" spans="1:20" s="38" customFormat="1" ht="13.5" customHeight="1">
      <c r="A16" s="56" t="s">
        <v>370</v>
      </c>
      <c r="B16" s="1221">
        <v>2002</v>
      </c>
      <c r="C16" s="321"/>
      <c r="D16" s="321"/>
      <c r="E16" s="321"/>
      <c r="F16" s="113" t="s">
        <v>2308</v>
      </c>
      <c r="G16" s="26"/>
      <c r="H16" s="26"/>
      <c r="I16" s="26"/>
      <c r="J16" s="26"/>
      <c r="K16" s="26"/>
      <c r="L16" s="26"/>
      <c r="M16" s="26"/>
      <c r="N16" s="26"/>
      <c r="O16" s="26"/>
      <c r="P16" s="26"/>
      <c r="Q16" s="26"/>
      <c r="R16" s="26"/>
      <c r="S16" s="26"/>
      <c r="T16" s="147"/>
    </row>
    <row r="17" spans="1:20" s="38" customFormat="1" ht="13.5" customHeight="1">
      <c r="A17" s="38" t="s">
        <v>138</v>
      </c>
      <c r="C17" s="1678">
        <v>0.4</v>
      </c>
      <c r="D17" s="321"/>
      <c r="E17" s="321"/>
      <c r="F17" s="207"/>
      <c r="G17" s="26"/>
      <c r="H17" s="26"/>
      <c r="I17" s="26"/>
      <c r="J17" s="26"/>
      <c r="K17" s="26"/>
      <c r="L17" s="26"/>
      <c r="M17" s="26"/>
      <c r="N17" s="26"/>
      <c r="O17" s="26"/>
      <c r="P17" s="26"/>
      <c r="Q17" s="26"/>
      <c r="R17" s="26"/>
      <c r="S17" s="26"/>
      <c r="T17" s="147"/>
    </row>
    <row r="18" spans="1:20" s="38" customFormat="1" ht="13.5" customHeight="1">
      <c r="A18" s="26" t="s">
        <v>979</v>
      </c>
      <c r="B18" s="26"/>
      <c r="C18" s="1221">
        <v>1996</v>
      </c>
      <c r="E18" s="321"/>
      <c r="F18" s="113" t="s">
        <v>908</v>
      </c>
      <c r="G18" s="26"/>
      <c r="H18" s="26"/>
      <c r="I18" s="26"/>
      <c r="J18" s="26"/>
      <c r="K18" s="26"/>
      <c r="L18" s="26"/>
      <c r="M18" s="26"/>
      <c r="N18" s="26"/>
      <c r="O18" s="26"/>
      <c r="P18" s="26"/>
      <c r="Q18" s="26"/>
      <c r="R18" s="26"/>
      <c r="S18" s="26"/>
      <c r="T18" s="147"/>
    </row>
    <row r="19" spans="1:20" s="38" customFormat="1" ht="13.5" customHeight="1">
      <c r="A19" s="38" t="s">
        <v>1189</v>
      </c>
      <c r="C19" s="321"/>
      <c r="D19" s="321"/>
      <c r="E19" s="321"/>
      <c r="F19" s="113" t="s">
        <v>28</v>
      </c>
      <c r="G19" s="26"/>
      <c r="H19" s="26"/>
      <c r="I19" s="26"/>
      <c r="J19" s="26"/>
      <c r="K19" s="26"/>
      <c r="L19" s="26"/>
      <c r="M19" s="26"/>
      <c r="N19" s="26"/>
      <c r="O19" s="26"/>
      <c r="P19" s="26"/>
      <c r="Q19" s="26"/>
      <c r="R19" s="26"/>
      <c r="S19" s="26"/>
      <c r="T19" s="147"/>
    </row>
    <row r="20" spans="1:20" s="38" customFormat="1" ht="13.5" customHeight="1" thickBot="1">
      <c r="A20" s="38" t="s">
        <v>978</v>
      </c>
      <c r="C20" s="1682">
        <f>(('Annual Parameters'!$S$53/'Annual Parameters'!$S$39)/('Annual Parameters'!$P$53/'Annual Parameters'!$P$39))^(1/('Annual Parameters'!$B$53-'Annual Parameters'!$B$39))</f>
        <v>0.99827496478654576</v>
      </c>
      <c r="D20" s="321"/>
      <c r="F20" s="381" t="s">
        <v>2306</v>
      </c>
      <c r="G20" s="163"/>
      <c r="H20" s="163"/>
      <c r="I20" s="163"/>
      <c r="J20" s="163"/>
      <c r="K20" s="163"/>
      <c r="L20" s="163"/>
      <c r="M20" s="163"/>
      <c r="N20" s="163"/>
      <c r="O20" s="163"/>
      <c r="P20" s="163"/>
      <c r="Q20" s="163"/>
      <c r="R20" s="163"/>
      <c r="S20" s="163"/>
      <c r="T20" s="382"/>
    </row>
    <row r="21" spans="1:20" s="38" customFormat="1" ht="13.5" customHeight="1" thickTop="1">
      <c r="A21" s="169" t="s">
        <v>253</v>
      </c>
      <c r="B21" s="170"/>
      <c r="C21" s="35"/>
      <c r="D21" s="35"/>
      <c r="E21" s="32"/>
      <c r="G21" s="427"/>
      <c r="H21" s="535"/>
    </row>
    <row r="22" spans="1:20" ht="13.5" customHeight="1" thickBot="1">
      <c r="C22" s="598"/>
      <c r="D22" s="598"/>
      <c r="E22" s="598"/>
      <c r="F22" s="598"/>
      <c r="G22" s="598"/>
      <c r="H22" s="598"/>
    </row>
    <row r="23" spans="1:20" s="38" customFormat="1" ht="13.5" customHeight="1" thickTop="1">
      <c r="A23" s="174" t="s">
        <v>351</v>
      </c>
      <c r="B23" s="667"/>
      <c r="C23" s="328"/>
      <c r="D23" s="328"/>
      <c r="E23" s="225"/>
      <c r="F23" s="3817" t="s">
        <v>1339</v>
      </c>
      <c r="G23" s="3817" t="s">
        <v>1340</v>
      </c>
      <c r="H23" s="1053" t="s">
        <v>368</v>
      </c>
      <c r="I23" s="224" t="s">
        <v>364</v>
      </c>
      <c r="J23" s="850"/>
      <c r="K23" s="224" t="s">
        <v>357</v>
      </c>
      <c r="L23" s="850"/>
    </row>
    <row r="24" spans="1:20" s="38" customFormat="1" ht="13.5" customHeight="1" thickBot="1">
      <c r="A24" s="226" t="s">
        <v>352</v>
      </c>
      <c r="B24" s="751"/>
      <c r="C24" s="751"/>
      <c r="D24" s="751"/>
      <c r="E24" s="228"/>
      <c r="F24" s="3818"/>
      <c r="G24" s="3818"/>
      <c r="H24" s="1054" t="s">
        <v>362</v>
      </c>
      <c r="I24" s="1055" t="s">
        <v>365</v>
      </c>
      <c r="J24" s="1056"/>
      <c r="K24" s="1055" t="s">
        <v>362</v>
      </c>
      <c r="L24" s="1057"/>
    </row>
    <row r="25" spans="1:20" s="38" customFormat="1" ht="13.5" customHeight="1" thickTop="1" thickBot="1">
      <c r="A25" s="508" t="s">
        <v>43</v>
      </c>
      <c r="B25" s="233"/>
      <c r="C25" s="233"/>
      <c r="D25" s="233"/>
      <c r="E25" s="479"/>
      <c r="F25" s="1058">
        <v>1999</v>
      </c>
      <c r="G25" s="1058">
        <v>1990</v>
      </c>
      <c r="H25" s="1058">
        <v>2004</v>
      </c>
      <c r="I25" s="1034">
        <v>1992</v>
      </c>
      <c r="J25" s="699"/>
      <c r="K25" s="1059">
        <v>2002</v>
      </c>
      <c r="L25" s="699"/>
    </row>
    <row r="26" spans="1:20" s="38" customFormat="1" ht="13.5" customHeight="1" thickTop="1">
      <c r="A26" s="104" t="s">
        <v>44</v>
      </c>
      <c r="B26" s="173"/>
      <c r="C26" s="173"/>
      <c r="D26" s="173"/>
      <c r="E26" s="293"/>
      <c r="F26" s="3815" t="s">
        <v>361</v>
      </c>
      <c r="G26" s="3815" t="s">
        <v>358</v>
      </c>
      <c r="H26" s="3815" t="s">
        <v>359</v>
      </c>
      <c r="I26" s="1060" t="s">
        <v>366</v>
      </c>
      <c r="J26" s="67"/>
      <c r="K26" s="1061" t="s">
        <v>360</v>
      </c>
      <c r="L26" s="67"/>
    </row>
    <row r="27" spans="1:20" s="38" customFormat="1" ht="13.5" customHeight="1" thickBot="1">
      <c r="A27" s="464"/>
      <c r="B27" s="465"/>
      <c r="C27" s="465"/>
      <c r="D27" s="465"/>
      <c r="E27" s="439"/>
      <c r="F27" s="3816"/>
      <c r="G27" s="3816"/>
      <c r="H27" s="3816"/>
      <c r="I27" s="1062" t="s">
        <v>367</v>
      </c>
      <c r="J27" s="472"/>
      <c r="K27" s="1063"/>
      <c r="L27" s="439"/>
    </row>
    <row r="28" spans="1:20" s="38" customFormat="1" ht="13.5" customHeight="1" thickTop="1" thickBot="1">
      <c r="A28" s="464" t="s">
        <v>45</v>
      </c>
      <c r="B28" s="465"/>
      <c r="C28" s="465"/>
      <c r="D28" s="465"/>
      <c r="E28" s="439"/>
      <c r="F28" s="1058" t="s">
        <v>46</v>
      </c>
      <c r="G28" s="571" t="s">
        <v>46</v>
      </c>
      <c r="H28" s="1064" t="s">
        <v>584</v>
      </c>
      <c r="I28" s="1059" t="s">
        <v>584</v>
      </c>
      <c r="J28" s="699"/>
      <c r="K28" s="39" t="s">
        <v>584</v>
      </c>
      <c r="L28" s="699"/>
    </row>
    <row r="29" spans="1:20" s="38" customFormat="1" ht="13.5" customHeight="1" thickTop="1" thickBot="1">
      <c r="A29" s="104" t="s">
        <v>866</v>
      </c>
      <c r="B29" s="173"/>
      <c r="C29" s="173"/>
      <c r="D29" s="173"/>
      <c r="E29" s="293"/>
      <c r="F29" s="1059" t="s">
        <v>353</v>
      </c>
      <c r="G29" s="1065"/>
      <c r="H29" s="1066"/>
      <c r="I29" s="3810" t="s">
        <v>356</v>
      </c>
      <c r="J29" s="3811"/>
      <c r="K29" s="3811"/>
      <c r="L29" s="3812"/>
    </row>
    <row r="30" spans="1:20" s="38" customFormat="1" ht="13.5" customHeight="1" thickTop="1">
      <c r="A30" s="104"/>
      <c r="B30" s="173"/>
      <c r="C30" s="173"/>
      <c r="D30" s="173"/>
      <c r="E30" s="293"/>
      <c r="F30" s="1067" t="s">
        <v>354</v>
      </c>
      <c r="G30" s="470"/>
      <c r="H30" s="1068"/>
      <c r="I30" s="3808" t="s">
        <v>363</v>
      </c>
      <c r="J30" s="3809"/>
      <c r="K30" s="3808" t="s">
        <v>355</v>
      </c>
      <c r="L30" s="3809"/>
    </row>
    <row r="31" spans="1:20" s="38" customFormat="1" ht="13.5" customHeight="1" thickBot="1">
      <c r="A31" s="464"/>
      <c r="B31" s="465"/>
      <c r="C31" s="465"/>
      <c r="D31" s="465"/>
      <c r="E31" s="439"/>
      <c r="F31" s="1062"/>
      <c r="G31" s="471"/>
      <c r="H31" s="472"/>
      <c r="I31" s="3813"/>
      <c r="J31" s="3814"/>
      <c r="K31" s="1023"/>
      <c r="L31" s="63"/>
    </row>
    <row r="32" spans="1:20" s="38" customFormat="1" ht="13.5" customHeight="1" thickTop="1">
      <c r="A32" s="180" t="s">
        <v>1250</v>
      </c>
      <c r="B32" s="26"/>
      <c r="C32" s="26"/>
      <c r="D32" s="26"/>
      <c r="E32" s="147"/>
      <c r="F32" s="1022" t="s">
        <v>867</v>
      </c>
      <c r="G32" s="1208">
        <v>58</v>
      </c>
      <c r="H32" s="454" t="s">
        <v>868</v>
      </c>
      <c r="I32" s="2016">
        <v>36</v>
      </c>
      <c r="J32" s="380"/>
      <c r="K32" s="1209">
        <v>190</v>
      </c>
      <c r="L32" s="380"/>
    </row>
    <row r="33" spans="1:12" s="38" customFormat="1" ht="13.5" customHeight="1">
      <c r="A33" s="113" t="s">
        <v>369</v>
      </c>
      <c r="B33" s="26"/>
      <c r="C33" s="26"/>
      <c r="D33" s="26"/>
      <c r="E33" s="147"/>
      <c r="F33" s="1667">
        <v>36</v>
      </c>
      <c r="G33" s="1668">
        <v>58</v>
      </c>
      <c r="H33" s="1668">
        <v>139</v>
      </c>
      <c r="I33" s="1669">
        <v>36</v>
      </c>
      <c r="J33" s="1670"/>
      <c r="K33" s="1669">
        <v>190</v>
      </c>
      <c r="L33" s="1670"/>
    </row>
    <row r="34" spans="1:12" s="38" customFormat="1" ht="13.5" customHeight="1">
      <c r="A34" s="113" t="str">
        <f>CONCATENATE("Converted to ",$B$16," prices without further conversion for GDP growth")</f>
        <v>Converted to 2002 prices without further conversion for GDP growth</v>
      </c>
      <c r="B34" s="26"/>
      <c r="C34" s="26"/>
      <c r="D34" s="26"/>
      <c r="E34" s="147"/>
      <c r="F34" s="1671">
        <f>F33*VLOOKUP($B$16,'Annual Parameters'!$B$33:$W$143,3,FALSE)/VLOOKUP(F$25,'Annual Parameters'!$B$33:$W$143,3,FALSE)</f>
        <v>37.867232167351041</v>
      </c>
      <c r="G34" s="1671">
        <f>G33*VLOOKUP($B$16,'Annual Parameters'!$B$33:$W$143,3,FALSE)/VLOOKUP(G$25,'Annual Parameters'!$B$33:$W$143,3,FALSE)</f>
        <v>76.264355532007926</v>
      </c>
      <c r="H34" s="1671">
        <f>H33*VLOOKUP($B$16,'Annual Parameters'!$B$33:$W$143,3,FALSE)/VLOOKUP(H$25,'Annual Parameters'!$B$33:$W$143,3,FALSE)</f>
        <v>132.46173520713367</v>
      </c>
      <c r="I34" s="1677">
        <f>I33*VLOOKUP($B$16,'Annual Parameters'!$B$33:$W$143,3,FALSE)/VLOOKUP(I$25,'Annual Parameters'!$B$33:$W$143,3,FALSE)</f>
        <v>43.092168638877325</v>
      </c>
      <c r="J34" s="1672"/>
      <c r="K34" s="1677">
        <f>K33*VLOOKUP($B$16,'Annual Parameters'!$B$33:$W$143,3,FALSE)/VLOOKUP(K$25,'Annual Parameters'!$B$33:$W$143,3,FALSE)</f>
        <v>190</v>
      </c>
      <c r="L34" s="1672"/>
    </row>
    <row r="35" spans="1:12" s="38" customFormat="1" ht="13.5" customHeight="1">
      <c r="A35" s="113" t="str">
        <f>CONCATENATE("Pre-",$C$18," values converted to ",$C$18," values, other values held constant")</f>
        <v>Pre-1996 values converted to 1996 values, other values held constant</v>
      </c>
      <c r="B35" s="26"/>
      <c r="C35" s="26"/>
      <c r="D35" s="26"/>
      <c r="E35" s="147"/>
      <c r="F35" s="1671"/>
      <c r="G35" s="1672">
        <f>G$34*IF(G$25&lt;$C$18,($C$20^($C$18-G$25))*VLOOKUP($C$18,'Annual Parameters'!$B$33:$W$143,15,FALSE)/VLOOKUP(G$25,'Annual Parameters'!$B$33:$W$143,15,FALSE),1)</f>
        <v>82.516642041007756</v>
      </c>
      <c r="H35" s="1672"/>
      <c r="I35" s="1673">
        <f>I$34*IF(I$25&lt;$C$18,($C$20^($C$18-I$25))*VLOOKUP($C$18,'Annual Parameters'!$B$33:$W$143,15,FALSE)/VLOOKUP(I$25,'Annual Parameters'!$B$33:$W$143,15,FALSE),1)</f>
        <v>47.411651667355606</v>
      </c>
      <c r="J35" s="1672"/>
      <c r="K35" s="1673">
        <f>K$34*IF(K$25&lt;$C$18,($C$20^($C$18-K$25))*VLOOKUP($C$18,'Annual Parameters'!$B$33:$W$143,15,FALSE)/VLOOKUP(K$25,'Annual Parameters'!$B$33:$W$143,15,FALSE),1)</f>
        <v>190</v>
      </c>
      <c r="L35" s="1672"/>
    </row>
    <row r="36" spans="1:12" s="38" customFormat="1" ht="13.5" customHeight="1" thickBot="1">
      <c r="A36" s="381" t="str">
        <f>CONCATENATE("Converted to ",$B$16," values, elasticity to GDP/household growth = 1")</f>
        <v>Converted to 2002 values, elasticity to GDP/household growth = 1</v>
      </c>
      <c r="B36" s="13"/>
      <c r="C36" s="13"/>
      <c r="D36" s="13"/>
      <c r="E36" s="168"/>
      <c r="F36" s="1674"/>
      <c r="G36" s="1675">
        <f>G$35*VLOOKUP($B$16,'Annual Parameters'!$B$33:$W$143,18,FALSE)/VLOOKUP(MAX(G$25,$C$18),'Annual Parameters'!$B$33:$W$143,18,FALSE)</f>
        <v>95.846037479328331</v>
      </c>
      <c r="H36" s="1675"/>
      <c r="I36" s="1683">
        <f>I$35*VLOOKUP($B$16,'Annual Parameters'!$B$33:$W$143,18,FALSE)/VLOOKUP(MAX(I$25,$C$18),'Annual Parameters'!$B$33:$W$143,18,FALSE)</f>
        <v>55.070332847620172</v>
      </c>
      <c r="J36" s="1676"/>
      <c r="K36" s="1683">
        <f>K$35*VLOOKUP($B$16,'Annual Parameters'!$B$33:$W$143,18,FALSE)/VLOOKUP(MAX(K$25,$C$18),'Annual Parameters'!$B$33:$W$143,18,FALSE)</f>
        <v>190</v>
      </c>
      <c r="L36" s="1676"/>
    </row>
    <row r="37" spans="1:12" ht="13.5" customHeight="1" thickTop="1"/>
    <row r="38" spans="1:12" s="38" customFormat="1" ht="13.5" customHeight="1"/>
    <row r="39" spans="1:12" s="38" customFormat="1" ht="13.5" customHeight="1"/>
    <row r="40" spans="1:12" s="38" customFormat="1" ht="13.5" customHeight="1"/>
    <row r="41" spans="1:12" s="38" customFormat="1" ht="13.5" customHeight="1"/>
  </sheetData>
  <sheetProtection sheet="1" objects="1" scenarios="1"/>
  <mergeCells count="15">
    <mergeCell ref="F23:F24"/>
    <mergeCell ref="G23:G24"/>
    <mergeCell ref="F9:Q9"/>
    <mergeCell ref="F6:T6"/>
    <mergeCell ref="A7:B7"/>
    <mergeCell ref="A8:B8"/>
    <mergeCell ref="A10:B10"/>
    <mergeCell ref="A12:B12"/>
    <mergeCell ref="A11:B11"/>
    <mergeCell ref="K30:L30"/>
    <mergeCell ref="I29:L29"/>
    <mergeCell ref="I30:J31"/>
    <mergeCell ref="F26:F27"/>
    <mergeCell ref="G26:G27"/>
    <mergeCell ref="H26:H27"/>
  </mergeCells>
  <phoneticPr fontId="8" type="noConversion"/>
  <hyperlinks>
    <hyperlink ref="A11" location="Contents!A1" display="Contents"/>
    <hyperlink ref="A11:B11" r:id="rId1" display="WebTAG Unit 3.6.1"/>
    <hyperlink ref="A10" location="Contents!A1" display="Contents"/>
    <hyperlink ref="A10:B10" location="Contents!A1" tooltip="Contents page" display="Contents"/>
    <hyperlink ref="A12:B12" r:id="rId2" tooltip="Unit A4.1 Social Impact Appraisal" display="WebTAG Unit A 4.1"/>
  </hyperlinks>
  <pageMargins left="0.75" right="0.75" top="1" bottom="1" header="0.5" footer="0.5"/>
  <pageSetup paperSize="9" orientation="portrait" r:id="rId3"/>
  <headerFooter alignWithMargins="0"/>
  <drawing r:id="rId4"/>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tabColor rgb="FF008000"/>
    <pageSetUpPr fitToPage="1"/>
  </sheetPr>
  <dimension ref="A1:AM190"/>
  <sheetViews>
    <sheetView showGridLines="0" topLeftCell="A22" zoomScale="70" zoomScaleNormal="70" workbookViewId="0">
      <selection activeCell="L71" sqref="L71"/>
    </sheetView>
  </sheetViews>
  <sheetFormatPr defaultColWidth="12.88671875" defaultRowHeight="13.2"/>
  <cols>
    <col min="1" max="2" width="12.88671875" style="33"/>
    <col min="3" max="3" width="12.88671875" style="33" customWidth="1"/>
    <col min="4" max="5" width="14.44140625" style="33" customWidth="1"/>
    <col min="6" max="8" width="12.88671875" style="33"/>
    <col min="9" max="9" width="14.88671875" style="33" customWidth="1"/>
    <col min="10" max="16384" width="12.88671875" style="33"/>
  </cols>
  <sheetData>
    <row r="1" spans="1:39" ht="54.9" customHeight="1">
      <c r="A1" s="3569"/>
      <c r="B1" s="3569"/>
      <c r="C1" s="112"/>
    </row>
    <row r="2" spans="1:39" ht="5.0999999999999996" customHeight="1">
      <c r="C2" s="111"/>
    </row>
    <row r="3" spans="1:39" s="20" customFormat="1" ht="20.100000000000001" customHeight="1">
      <c r="A3" s="83" t="s">
        <v>2309</v>
      </c>
      <c r="B3" s="83"/>
      <c r="C3" s="83"/>
      <c r="D3" s="83"/>
      <c r="E3" s="83"/>
      <c r="F3" s="83"/>
      <c r="G3" s="83"/>
      <c r="H3" s="83"/>
      <c r="I3" s="83"/>
      <c r="J3" s="83"/>
      <c r="K3" s="83"/>
      <c r="L3" s="83"/>
      <c r="M3" s="83"/>
      <c r="N3" s="83"/>
      <c r="O3" s="83"/>
      <c r="P3" s="83"/>
      <c r="Q3" s="83"/>
      <c r="R3" s="83"/>
      <c r="S3" s="83"/>
      <c r="T3" s="83"/>
      <c r="X3" s="83"/>
      <c r="Y3" s="83"/>
      <c r="Z3" s="83"/>
      <c r="AA3" s="83"/>
      <c r="AB3" s="46"/>
      <c r="AC3" s="83"/>
      <c r="AM3" s="150"/>
    </row>
    <row r="4" spans="1:39" s="20" customFormat="1" ht="20.100000000000001" customHeight="1" thickBot="1">
      <c r="A4" s="109" t="s">
        <v>1699</v>
      </c>
      <c r="B4" s="109"/>
      <c r="C4" s="109"/>
      <c r="D4" s="109"/>
      <c r="E4" s="109"/>
      <c r="F4" s="109"/>
      <c r="G4" s="109"/>
      <c r="H4" s="109"/>
      <c r="I4" s="109"/>
      <c r="J4" s="109"/>
      <c r="K4" s="109"/>
      <c r="L4" s="109"/>
      <c r="M4" s="109"/>
      <c r="N4" s="109"/>
      <c r="O4" s="109"/>
      <c r="P4" s="109"/>
      <c r="Q4" s="109"/>
      <c r="R4" s="109"/>
      <c r="S4" s="109"/>
      <c r="T4" s="109"/>
      <c r="X4" s="83"/>
      <c r="Y4" s="83"/>
      <c r="Z4" s="83"/>
      <c r="AA4" s="83"/>
      <c r="AB4" s="46"/>
      <c r="AC4" s="83"/>
      <c r="AM4" s="150"/>
    </row>
    <row r="5" spans="1:39" s="38" customFormat="1" ht="9.9" customHeight="1" thickTop="1" thickBot="1">
      <c r="B5" s="85"/>
      <c r="C5" s="85"/>
      <c r="D5" s="86"/>
      <c r="E5" s="86"/>
      <c r="F5" s="85"/>
      <c r="G5" s="85"/>
      <c r="H5" s="86"/>
      <c r="I5" s="85"/>
      <c r="J5" s="86"/>
      <c r="K5" s="86"/>
      <c r="L5" s="86"/>
      <c r="M5" s="86"/>
      <c r="N5" s="86"/>
      <c r="O5" s="86"/>
      <c r="P5" s="86"/>
      <c r="Q5" s="86"/>
      <c r="R5" s="86"/>
      <c r="S5" s="86"/>
      <c r="T5" s="86"/>
      <c r="X5" s="26"/>
      <c r="Y5" s="26"/>
      <c r="Z5" s="26"/>
      <c r="AA5" s="26"/>
      <c r="AB5" s="31"/>
      <c r="AC5" s="26"/>
      <c r="AM5" s="87"/>
    </row>
    <row r="6" spans="1:39" s="38" customFormat="1" ht="13.5" customHeight="1" thickTop="1" thickBot="1">
      <c r="A6" s="169" t="s">
        <v>10</v>
      </c>
      <c r="B6" s="169"/>
      <c r="F6" s="122" t="s">
        <v>255</v>
      </c>
      <c r="G6" s="175"/>
      <c r="H6" s="175"/>
      <c r="I6" s="175"/>
      <c r="J6" s="175"/>
      <c r="K6" s="175"/>
      <c r="L6" s="175"/>
      <c r="M6" s="175"/>
      <c r="N6" s="175"/>
      <c r="O6" s="175"/>
      <c r="P6" s="175"/>
      <c r="Q6" s="175"/>
      <c r="R6" s="175"/>
      <c r="S6" s="175"/>
      <c r="T6" s="176"/>
      <c r="X6" s="26"/>
      <c r="Y6" s="26"/>
      <c r="Z6" s="26"/>
      <c r="AA6" s="26"/>
      <c r="AB6" s="31"/>
      <c r="AC6" s="26"/>
      <c r="AM6" s="87"/>
    </row>
    <row r="7" spans="1:39" s="38" customFormat="1" ht="13.5" customHeight="1" thickTop="1">
      <c r="A7" s="3644" t="str">
        <f>Audit!A12</f>
        <v>May 2019 v1.12</v>
      </c>
      <c r="B7" s="3645"/>
      <c r="F7" s="1687" t="s">
        <v>11</v>
      </c>
      <c r="G7" s="158"/>
      <c r="H7" s="2783"/>
      <c r="I7" s="2783"/>
      <c r="J7" s="2783"/>
      <c r="K7" s="2783"/>
      <c r="L7" s="2783"/>
      <c r="M7" s="2783"/>
      <c r="N7" s="2783"/>
      <c r="O7" s="2783"/>
      <c r="P7" s="2620"/>
      <c r="Q7" s="2620"/>
      <c r="R7" s="2620"/>
      <c r="S7" s="2620"/>
      <c r="T7" s="2705"/>
      <c r="X7" s="26"/>
      <c r="Y7" s="26"/>
      <c r="Z7" s="26"/>
      <c r="AA7" s="26"/>
      <c r="AB7" s="31"/>
      <c r="AC7" s="26"/>
      <c r="AM7" s="87"/>
    </row>
    <row r="8" spans="1:39" s="38" customFormat="1" ht="13.5" customHeight="1">
      <c r="A8" s="3646">
        <f>Audit!C12</f>
        <v>43586</v>
      </c>
      <c r="B8" s="3645"/>
      <c r="F8" s="2560" t="s">
        <v>1970</v>
      </c>
      <c r="G8"/>
      <c r="H8" s="2938" t="s">
        <v>2079</v>
      </c>
      <c r="I8" s="2944"/>
      <c r="J8" s="335"/>
      <c r="K8" s="2944"/>
      <c r="L8" s="2943" t="s">
        <v>2080</v>
      </c>
      <c r="M8" s="2939" t="s">
        <v>1974</v>
      </c>
      <c r="N8" s="2943" t="s">
        <v>2081</v>
      </c>
      <c r="O8" s="2944"/>
      <c r="P8" s="2685"/>
      <c r="Q8" s="2557"/>
      <c r="R8" s="2557"/>
      <c r="S8" s="2557"/>
      <c r="T8" s="2558"/>
      <c r="X8" s="26"/>
      <c r="Y8" s="26"/>
      <c r="Z8" s="26"/>
      <c r="AA8" s="26"/>
      <c r="AB8" s="31"/>
      <c r="AC8" s="26"/>
      <c r="AM8" s="87"/>
    </row>
    <row r="9" spans="1:39" s="38" customFormat="1" ht="13.5" customHeight="1" thickBot="1">
      <c r="A9" s="3642" t="s">
        <v>1149</v>
      </c>
      <c r="B9" s="3643"/>
      <c r="F9" s="2528" t="s">
        <v>1971</v>
      </c>
      <c r="G9"/>
      <c r="H9" s="2939" t="s">
        <v>2069</v>
      </c>
      <c r="I9" s="2619"/>
      <c r="J9" s="335"/>
      <c r="K9" s="2944"/>
      <c r="L9" s="2619"/>
      <c r="M9" s="2939" t="s">
        <v>1892</v>
      </c>
      <c r="N9" s="2944"/>
      <c r="O9" s="2944"/>
      <c r="P9" s="2685"/>
      <c r="Q9" s="2557"/>
      <c r="R9" s="2557"/>
      <c r="S9" s="2557"/>
      <c r="T9" s="2558"/>
      <c r="X9" s="26"/>
      <c r="Y9" s="26"/>
      <c r="Z9" s="26"/>
      <c r="AA9" s="26"/>
      <c r="AB9" s="31"/>
      <c r="AC9" s="26"/>
      <c r="AM9" s="87"/>
    </row>
    <row r="10" spans="1:39" s="38" customFormat="1" ht="13.5" customHeight="1" thickBot="1">
      <c r="A10" s="3611" t="s">
        <v>1306</v>
      </c>
      <c r="B10" s="3612"/>
      <c r="F10" s="2528" t="s">
        <v>1969</v>
      </c>
      <c r="G10"/>
      <c r="H10" s="3168" t="s">
        <v>2070</v>
      </c>
      <c r="I10" s="2619"/>
      <c r="J10" s="335"/>
      <c r="K10" s="335"/>
      <c r="L10" s="335"/>
      <c r="M10" s="2944"/>
      <c r="N10" s="2944"/>
      <c r="O10" s="1254"/>
      <c r="P10" s="335"/>
      <c r="Q10" s="335"/>
      <c r="R10" s="335"/>
      <c r="S10" s="335"/>
      <c r="T10" s="2562"/>
      <c r="X10" s="26"/>
      <c r="Y10" s="26"/>
      <c r="Z10" s="26"/>
      <c r="AA10" s="26"/>
      <c r="AB10" s="31"/>
      <c r="AC10" s="26"/>
      <c r="AM10" s="87"/>
    </row>
    <row r="11" spans="1:39" s="38" customFormat="1" ht="13.5" customHeight="1" thickBot="1">
      <c r="A11" s="3611" t="s">
        <v>2310</v>
      </c>
      <c r="B11" s="3612"/>
      <c r="F11" s="2560"/>
      <c r="G11"/>
      <c r="H11" s="2619"/>
      <c r="I11" s="2619"/>
      <c r="J11" s="2697"/>
      <c r="K11" s="2697"/>
      <c r="L11" s="2697"/>
      <c r="M11" s="2697"/>
      <c r="N11" s="2697"/>
      <c r="O11" s="2697"/>
      <c r="P11" s="2563"/>
      <c r="Q11" s="2563"/>
      <c r="R11" s="2563"/>
      <c r="S11" s="2563"/>
      <c r="T11" s="2564"/>
      <c r="X11" s="26"/>
      <c r="Y11" s="26"/>
      <c r="Z11" s="26"/>
      <c r="AA11" s="26"/>
      <c r="AB11" s="31"/>
      <c r="AC11" s="26"/>
      <c r="AM11" s="87"/>
    </row>
    <row r="12" spans="1:39" s="38" customFormat="1" ht="13.5" customHeight="1">
      <c r="A12" s="15"/>
      <c r="B12" s="15"/>
      <c r="F12" s="2560" t="s">
        <v>1700</v>
      </c>
      <c r="G12"/>
      <c r="H12" s="2619"/>
      <c r="I12" s="2619"/>
      <c r="J12" s="2563"/>
      <c r="K12" s="2563"/>
      <c r="L12" s="2563"/>
      <c r="M12" s="2563"/>
      <c r="N12" s="2563"/>
      <c r="O12" s="2563"/>
      <c r="P12" s="2563"/>
      <c r="Q12" s="2563"/>
      <c r="R12" s="2563"/>
      <c r="S12" s="2563"/>
      <c r="T12" s="2564"/>
      <c r="X12" s="26"/>
      <c r="Y12" s="26"/>
      <c r="Z12" s="26"/>
      <c r="AA12" s="26"/>
      <c r="AB12" s="31"/>
      <c r="AC12" s="26"/>
      <c r="AM12" s="87"/>
    </row>
    <row r="13" spans="1:39" s="38" customFormat="1" ht="13.5" customHeight="1">
      <c r="A13" s="172" t="s">
        <v>252</v>
      </c>
      <c r="B13" s="194"/>
      <c r="F13" s="2528" t="s">
        <v>1972</v>
      </c>
      <c r="G13" s="2555"/>
      <c r="H13" s="2555"/>
      <c r="I13" s="2619"/>
      <c r="J13" s="2557"/>
      <c r="K13" s="335"/>
      <c r="L13" s="335"/>
      <c r="M13" s="335"/>
      <c r="N13" s="2557"/>
      <c r="O13" s="2557"/>
      <c r="P13" s="2557"/>
      <c r="Q13" s="2557"/>
      <c r="R13" s="2557"/>
      <c r="S13" s="2557"/>
      <c r="T13" s="2558"/>
      <c r="X13" s="26"/>
      <c r="Y13" s="26"/>
      <c r="Z13" s="26"/>
      <c r="AA13" s="26"/>
      <c r="AB13" s="31"/>
      <c r="AC13" s="26"/>
      <c r="AM13" s="87"/>
    </row>
    <row r="14" spans="1:39" ht="13.5" customHeight="1">
      <c r="A14" s="26"/>
      <c r="B14" s="29"/>
      <c r="C14" s="82"/>
      <c r="F14" s="2706" t="s">
        <v>1703</v>
      </c>
      <c r="G14" s="2555"/>
      <c r="H14" s="2555"/>
      <c r="I14" s="2555"/>
      <c r="J14" s="2557"/>
      <c r="K14" s="2557"/>
      <c r="L14" s="2557"/>
      <c r="M14" s="2557"/>
      <c r="N14" s="2557"/>
      <c r="O14" s="2557"/>
      <c r="P14" s="2557"/>
      <c r="Q14" s="2557"/>
      <c r="R14" s="2557"/>
      <c r="S14" s="2557"/>
      <c r="T14" s="2558"/>
      <c r="X14" s="72"/>
      <c r="Y14" s="72"/>
      <c r="Z14" s="72"/>
      <c r="AA14" s="96"/>
      <c r="AB14" s="31"/>
      <c r="AC14" s="26"/>
    </row>
    <row r="15" spans="1:39" ht="13.5" customHeight="1">
      <c r="A15" s="95"/>
      <c r="B15" s="32"/>
      <c r="C15" s="7"/>
      <c r="F15" s="90"/>
      <c r="G15"/>
      <c r="H15"/>
      <c r="I15" s="2555"/>
      <c r="J15" s="2557"/>
      <c r="K15" s="2557"/>
      <c r="L15" s="2557"/>
      <c r="M15" s="2557"/>
      <c r="N15" s="2557"/>
      <c r="O15" s="2557"/>
      <c r="P15" s="2557"/>
      <c r="Q15" s="2557"/>
      <c r="R15" s="2557"/>
      <c r="S15" s="2557"/>
      <c r="T15" s="2558"/>
      <c r="X15" s="56"/>
      <c r="Y15" s="72"/>
      <c r="Z15" s="72"/>
      <c r="AA15" s="96"/>
      <c r="AB15" s="31"/>
      <c r="AC15" s="26"/>
    </row>
    <row r="16" spans="1:39" ht="13.5" customHeight="1">
      <c r="A16" s="27"/>
      <c r="B16" s="27"/>
      <c r="C16" s="7"/>
      <c r="F16" s="2560" t="s">
        <v>1701</v>
      </c>
      <c r="G16" s="2555"/>
      <c r="H16" s="2555"/>
      <c r="I16"/>
      <c r="J16" s="335"/>
      <c r="K16" s="335"/>
      <c r="L16" s="335"/>
      <c r="M16" s="335"/>
      <c r="N16" s="335"/>
      <c r="O16" s="335"/>
      <c r="P16" s="335"/>
      <c r="Q16" s="335"/>
      <c r="R16" s="335"/>
      <c r="S16" s="335"/>
      <c r="T16" s="2562"/>
      <c r="X16" s="26"/>
      <c r="Y16" s="26"/>
      <c r="Z16" s="26"/>
      <c r="AA16" s="26"/>
      <c r="AB16" s="26"/>
      <c r="AC16" s="26"/>
    </row>
    <row r="17" spans="1:27" ht="13.5" customHeight="1">
      <c r="A17" s="169" t="s">
        <v>253</v>
      </c>
      <c r="B17" s="170"/>
      <c r="C17" s="82"/>
      <c r="F17" s="2528"/>
      <c r="G17" s="24"/>
      <c r="H17" s="2555"/>
      <c r="I17" s="2555"/>
      <c r="J17" s="2557"/>
      <c r="K17" s="2557"/>
      <c r="L17" s="2557"/>
      <c r="M17" s="2557"/>
      <c r="N17" s="2557"/>
      <c r="O17" s="2557"/>
      <c r="P17" s="2557"/>
      <c r="Q17" s="2557"/>
      <c r="R17" s="2557"/>
      <c r="S17" s="2557"/>
      <c r="T17" s="2558"/>
    </row>
    <row r="18" spans="1:27" ht="13.5" customHeight="1">
      <c r="C18" s="38"/>
      <c r="F18" s="2528"/>
      <c r="G18" s="2619"/>
      <c r="H18" s="2713"/>
      <c r="I18" s="2557"/>
      <c r="J18" s="2557"/>
      <c r="K18" s="2557"/>
      <c r="L18" s="2557"/>
      <c r="M18" s="2557"/>
      <c r="N18" s="2557"/>
      <c r="O18" s="2557"/>
      <c r="P18" s="2557"/>
      <c r="Q18" s="2557"/>
      <c r="R18" s="2557"/>
      <c r="S18" s="2557"/>
      <c r="T18" s="2558"/>
    </row>
    <row r="19" spans="1:27" ht="13.5" customHeight="1">
      <c r="F19" s="2676" t="s">
        <v>2380</v>
      </c>
      <c r="I19" s="2619"/>
      <c r="J19" s="31"/>
      <c r="K19" s="335"/>
      <c r="L19" s="2556"/>
      <c r="M19" s="2556"/>
      <c r="N19" s="2556"/>
      <c r="O19" s="2556"/>
      <c r="P19" s="96"/>
      <c r="Q19" s="31"/>
      <c r="R19" s="335"/>
      <c r="S19" s="335"/>
      <c r="T19" s="2562"/>
    </row>
    <row r="20" spans="1:27" ht="13.5" customHeight="1" thickBot="1">
      <c r="F20" s="2677" t="s">
        <v>2311</v>
      </c>
      <c r="G20" s="163"/>
      <c r="H20" s="164"/>
      <c r="I20" s="37"/>
      <c r="J20" s="165"/>
      <c r="K20" s="2707"/>
      <c r="L20" s="2708"/>
      <c r="M20" s="2708"/>
      <c r="N20" s="2708"/>
      <c r="O20" s="2708"/>
      <c r="P20" s="167"/>
      <c r="Q20" s="165"/>
      <c r="R20" s="2707"/>
      <c r="S20" s="2707"/>
      <c r="T20" s="2709"/>
    </row>
    <row r="21" spans="1:27" ht="13.5" customHeight="1" thickTop="1">
      <c r="F21" s="95"/>
      <c r="G21" s="29"/>
      <c r="H21" s="32"/>
      <c r="I21" s="26"/>
      <c r="J21" s="31"/>
      <c r="K21" s="26"/>
      <c r="L21" s="72"/>
      <c r="M21" s="72"/>
      <c r="N21" s="72"/>
      <c r="O21" s="72"/>
      <c r="P21" s="96"/>
      <c r="Q21" s="31"/>
      <c r="R21" s="26"/>
      <c r="S21" s="26"/>
      <c r="T21" s="26"/>
      <c r="V21" s="25"/>
    </row>
    <row r="22" spans="1:27" ht="13.5" customHeight="1" thickBot="1">
      <c r="B22" s="27"/>
      <c r="C22" s="27"/>
      <c r="D22" s="69"/>
      <c r="E22" s="69"/>
      <c r="F22" s="37"/>
      <c r="G22" s="37"/>
      <c r="H22" s="37"/>
      <c r="I22" s="37"/>
      <c r="J22" s="27"/>
      <c r="K22" s="27"/>
      <c r="L22" s="27"/>
      <c r="M22" s="27"/>
      <c r="N22" s="27"/>
      <c r="O22" s="27"/>
      <c r="P22" s="27"/>
      <c r="Q22" s="27"/>
      <c r="R22" s="27"/>
      <c r="S22" s="27"/>
      <c r="T22" s="27"/>
    </row>
    <row r="23" spans="1:27" ht="13.5" customHeight="1" thickTop="1" thickBot="1">
      <c r="A23" s="2684" t="s">
        <v>1657</v>
      </c>
      <c r="B23" s="88"/>
      <c r="C23" s="88"/>
      <c r="D23" s="125" t="s">
        <v>1744</v>
      </c>
      <c r="E23" s="823"/>
      <c r="F23" s="151"/>
      <c r="G23" s="2537" t="s">
        <v>1650</v>
      </c>
      <c r="H23" s="151"/>
      <c r="I23" s="152"/>
      <c r="J23" s="90"/>
      <c r="K23" s="27"/>
      <c r="L23" s="27"/>
      <c r="M23" s="27"/>
      <c r="N23" s="27"/>
      <c r="O23" s="27"/>
      <c r="P23" s="27"/>
      <c r="Q23" s="27"/>
    </row>
    <row r="24" spans="1:27" ht="13.5" customHeight="1" thickTop="1">
      <c r="A24" s="99"/>
      <c r="B24" s="100"/>
      <c r="C24" s="100"/>
      <c r="D24" s="2652" t="s">
        <v>1639</v>
      </c>
      <c r="E24" s="2674" t="s">
        <v>1996</v>
      </c>
      <c r="F24" s="2674" t="s">
        <v>1640</v>
      </c>
      <c r="G24" s="1140" t="s">
        <v>1646</v>
      </c>
      <c r="H24" s="416" t="s">
        <v>1648</v>
      </c>
      <c r="I24" s="812" t="s">
        <v>1649</v>
      </c>
    </row>
    <row r="25" spans="1:27" s="27" customFormat="1" ht="13.5" customHeight="1">
      <c r="A25" s="104"/>
      <c r="B25" s="105" t="s">
        <v>1630</v>
      </c>
      <c r="C25" s="105"/>
      <c r="D25" s="2651" t="s">
        <v>1643</v>
      </c>
      <c r="E25" s="917" t="s">
        <v>1643</v>
      </c>
      <c r="F25" s="917" t="s">
        <v>1643</v>
      </c>
      <c r="G25" s="2651" t="s">
        <v>1641</v>
      </c>
      <c r="H25" s="917" t="s">
        <v>1641</v>
      </c>
      <c r="I25" s="2653" t="s">
        <v>1645</v>
      </c>
    </row>
    <row r="26" spans="1:27" s="27" customFormat="1" ht="13.5" customHeight="1">
      <c r="A26" s="104"/>
      <c r="B26" s="105"/>
      <c r="C26" s="105"/>
      <c r="D26" s="2651" t="s">
        <v>1656</v>
      </c>
      <c r="E26" s="917" t="s">
        <v>1656</v>
      </c>
      <c r="F26" s="917" t="s">
        <v>1656</v>
      </c>
      <c r="G26" s="2651" t="s">
        <v>1655</v>
      </c>
      <c r="H26" s="917" t="s">
        <v>1655</v>
      </c>
      <c r="I26" s="2653" t="s">
        <v>1647</v>
      </c>
      <c r="K26" s="68"/>
      <c r="L26" s="68"/>
      <c r="M26" s="68"/>
      <c r="N26" s="68"/>
      <c r="O26" s="68"/>
      <c r="P26" s="68"/>
      <c r="Q26" s="68"/>
      <c r="R26" s="68"/>
      <c r="S26" s="68"/>
      <c r="T26" s="68"/>
      <c r="U26" s="68"/>
      <c r="V26" s="68"/>
      <c r="W26" s="68"/>
      <c r="X26" s="68"/>
      <c r="Y26" s="68"/>
      <c r="Z26" s="68"/>
      <c r="AA26" s="68"/>
    </row>
    <row r="27" spans="1:27" ht="13.5" customHeight="1">
      <c r="A27" s="90"/>
      <c r="B27" s="2667" t="str">
        <f>'Cost and rev series'!B27</f>
        <v>2010/11</v>
      </c>
      <c r="C27" s="32"/>
      <c r="D27" s="117">
        <f>'Cost and rev series'!D27</f>
        <v>1.8608111862235877</v>
      </c>
      <c r="E27" s="73">
        <f>'Cost and rev series'!E27</f>
        <v>3.504249021292849</v>
      </c>
      <c r="F27" s="73">
        <f>'Cost and rev series'!F27</f>
        <v>4.9629229105515371</v>
      </c>
      <c r="G27" s="117"/>
      <c r="H27" s="73"/>
      <c r="I27" s="2675">
        <v>100</v>
      </c>
    </row>
    <row r="28" spans="1:27" ht="13.5" customHeight="1">
      <c r="A28" s="90"/>
      <c r="B28" s="2667" t="str">
        <f>'Cost and rev series'!B28</f>
        <v>2011/12</v>
      </c>
      <c r="C28" s="82"/>
      <c r="D28" s="117">
        <f>'Cost and rev series'!D28</f>
        <v>1.3147121684594198</v>
      </c>
      <c r="E28" s="73">
        <f>'Cost and rev series'!E28</f>
        <v>4.3081180811808339</v>
      </c>
      <c r="F28" s="73">
        <f>'Cost and rev series'!F28</f>
        <v>4.7981749273282803</v>
      </c>
      <c r="G28" s="117">
        <f>'Cost and rev series'!G28</f>
        <v>0.66391159221288376</v>
      </c>
      <c r="H28" s="73">
        <f t="shared" ref="H28:H59" si="0">((G28+100)/(D28+100)-1)*100</f>
        <v>-0.64235545096790192</v>
      </c>
      <c r="I28" s="2675">
        <f>I27*(1+H28/100)</f>
        <v>99.357644549032102</v>
      </c>
      <c r="L28" s="2870"/>
    </row>
    <row r="29" spans="1:27" ht="13.5" customHeight="1">
      <c r="A29" s="90"/>
      <c r="B29" s="2667" t="str">
        <f>'Cost and rev series'!B29</f>
        <v>2012/13</v>
      </c>
      <c r="C29" s="82"/>
      <c r="D29" s="117">
        <f>'Cost and rev series'!D29</f>
        <v>2.0131806938054719</v>
      </c>
      <c r="E29" s="73">
        <f>'Cost and rev series'!E29</f>
        <v>2.6266914300875355</v>
      </c>
      <c r="F29" s="73">
        <f>'Cost and rev series'!F29</f>
        <v>3.0897791510129391</v>
      </c>
      <c r="G29" s="117">
        <f>'Cost and rev series'!G29</f>
        <v>1.4259150619224386</v>
      </c>
      <c r="H29" s="73">
        <f t="shared" si="0"/>
        <v>-0.57567622917837902</v>
      </c>
      <c r="I29" s="2675">
        <f t="shared" ref="I29:I50" si="1">I28*(1+H29/100)</f>
        <v>98.785666207491772</v>
      </c>
      <c r="L29" s="2870"/>
    </row>
    <row r="30" spans="1:27" ht="13.5" customHeight="1">
      <c r="A30" s="90"/>
      <c r="B30" s="2667" t="str">
        <f>'Cost and rev series'!B30</f>
        <v>2013/14</v>
      </c>
      <c r="C30" s="82"/>
      <c r="D30" s="117">
        <f>'Cost and rev series'!D30</f>
        <v>1.8346235290033874</v>
      </c>
      <c r="E30" s="73">
        <f>'Cost and rev series'!E30</f>
        <v>2.3181661496035844</v>
      </c>
      <c r="F30" s="73">
        <f>'Cost and rev series'!F30</f>
        <v>2.8847791287762714</v>
      </c>
      <c r="G30" s="117">
        <f>'Cost and rev series'!G30</f>
        <v>3.5544493195390316</v>
      </c>
      <c r="H30" s="73">
        <f t="shared" si="0"/>
        <v>1.6888418996765076</v>
      </c>
      <c r="I30" s="2675">
        <f t="shared" si="1"/>
        <v>100.45399992927847</v>
      </c>
      <c r="L30" s="2870"/>
    </row>
    <row r="31" spans="1:27" ht="13.5" customHeight="1">
      <c r="A31" s="90"/>
      <c r="B31" s="2667" t="str">
        <f>'Cost and rev series'!B31</f>
        <v>2014/15</v>
      </c>
      <c r="C31" s="82"/>
      <c r="D31" s="117">
        <f>'Cost and rev series'!D31</f>
        <v>1.2848926641781944</v>
      </c>
      <c r="E31" s="73">
        <f>'Cost and rev series'!E31</f>
        <v>1.052808894129531</v>
      </c>
      <c r="F31" s="73">
        <f>'Cost and rev series'!F31</f>
        <v>1.9597457627118731</v>
      </c>
      <c r="G31" s="117">
        <f>'Cost and rev series'!G31</f>
        <v>0.84112518406872994</v>
      </c>
      <c r="H31" s="73">
        <f t="shared" si="0"/>
        <v>-0.43813787864772635</v>
      </c>
      <c r="I31" s="2675">
        <f t="shared" si="1"/>
        <v>100.01387290497154</v>
      </c>
      <c r="L31" s="2870"/>
    </row>
    <row r="32" spans="1:27" ht="13.5" customHeight="1">
      <c r="A32" s="90"/>
      <c r="B32" s="2667" t="str">
        <f>'Cost and rev series'!B32</f>
        <v>2015/16</v>
      </c>
      <c r="C32" s="82"/>
      <c r="D32" s="117">
        <f>'Cost and rev series'!D32</f>
        <v>0.79930248046968799</v>
      </c>
      <c r="E32" s="73">
        <f>'Cost and rev series'!E32</f>
        <v>0.10835139189864229</v>
      </c>
      <c r="F32" s="73">
        <f>'Cost and rev series'!F32</f>
        <v>1.0779220779220777</v>
      </c>
      <c r="G32" s="117">
        <f>'Cost and rev series'!G32</f>
        <v>1.8159492915919344</v>
      </c>
      <c r="H32" s="73">
        <f t="shared" si="0"/>
        <v>1.0085851648816924</v>
      </c>
      <c r="I32" s="2675">
        <f t="shared" si="1"/>
        <v>101.02259798991471</v>
      </c>
      <c r="L32" s="2870"/>
    </row>
    <row r="33" spans="1:12" ht="13.5" customHeight="1">
      <c r="A33" s="90"/>
      <c r="B33" s="2667" t="str">
        <f>'Cost and rev series'!B33</f>
        <v>2016/17</v>
      </c>
      <c r="C33" s="82"/>
      <c r="D33" s="117">
        <f>'Cost and rev series'!D33</f>
        <v>2.2781518107048537</v>
      </c>
      <c r="E33" s="73">
        <f>'Cost and rev series'!E33</f>
        <v>1.0989925901257358</v>
      </c>
      <c r="F33" s="73">
        <f>'Cost and rev series'!F33</f>
        <v>2.1424900424001248</v>
      </c>
      <c r="G33" s="117">
        <f>'Cost and rev series'!G33</f>
        <v>2.7646764442928884</v>
      </c>
      <c r="H33" s="73">
        <f t="shared" si="0"/>
        <v>0.47568774462065644</v>
      </c>
      <c r="I33" s="2675">
        <f t="shared" si="1"/>
        <v>101.50315010785013</v>
      </c>
      <c r="L33" s="2870"/>
    </row>
    <row r="34" spans="1:12" ht="13.5" customHeight="1">
      <c r="A34" s="90"/>
      <c r="B34" s="2667" t="str">
        <f>'Cost and rev series'!B34</f>
        <v>2017/18</v>
      </c>
      <c r="C34" s="82"/>
      <c r="D34" s="117">
        <f>'Cost and rev series'!D34</f>
        <v>2.0167434980266297</v>
      </c>
      <c r="E34" s="73">
        <f>'Cost and rev series'!E34</f>
        <v>2.8246726509099984</v>
      </c>
      <c r="F34" s="73">
        <f>'Cost and rev series'!F34</f>
        <v>3.7422560457875953</v>
      </c>
      <c r="G34" s="117">
        <f>'Cost and rev series'!G34</f>
        <v>2.7429750484300968</v>
      </c>
      <c r="H34" s="73">
        <f t="shared" si="0"/>
        <v>0.71187486044141934</v>
      </c>
      <c r="I34" s="2675">
        <f t="shared" si="1"/>
        <v>102.22572551602403</v>
      </c>
      <c r="L34" s="2870"/>
    </row>
    <row r="35" spans="1:12" s="24" customFormat="1" ht="13.5" customHeight="1">
      <c r="A35" s="91"/>
      <c r="B35" s="2667" t="str">
        <f>'Cost and rev series'!B35</f>
        <v>2018/19</v>
      </c>
      <c r="C35" s="32"/>
      <c r="D35" s="117">
        <f>'Cost and rev series'!D35</f>
        <v>1.7772515238199418</v>
      </c>
      <c r="E35" s="73">
        <f>'Cost and rev series'!E35</f>
        <v>2.258529553099442</v>
      </c>
      <c r="F35" s="73">
        <f>'Cost and rev series'!F35</f>
        <v>3.0555639758707454</v>
      </c>
      <c r="G35" s="117">
        <f>'Cost and rev series'!G35</f>
        <v>2.906613055357397</v>
      </c>
      <c r="H35" s="73">
        <f t="shared" si="0"/>
        <v>1.1096404300848572</v>
      </c>
      <c r="I35" s="2675">
        <f t="shared" si="1"/>
        <v>103.3600634962974</v>
      </c>
      <c r="J35" s="33"/>
      <c r="K35" s="33"/>
      <c r="L35" s="2870"/>
    </row>
    <row r="36" spans="1:12" ht="13.5" customHeight="1">
      <c r="A36" s="90"/>
      <c r="B36" s="2667" t="str">
        <f>'Cost and rev series'!B36</f>
        <v>2019/20</v>
      </c>
      <c r="C36" s="82"/>
      <c r="D36" s="117">
        <f>'Cost and rev series'!D36</f>
        <v>1.999285785193635</v>
      </c>
      <c r="E36" s="73">
        <f>'Cost and rev series'!E36</f>
        <v>2.0273859860266867</v>
      </c>
      <c r="F36" s="73">
        <f>'Cost and rev series'!F36</f>
        <v>2.9462716452876094</v>
      </c>
      <c r="G36" s="117">
        <f>'Cost and rev series'!G36</f>
        <v>2.9536238937667179</v>
      </c>
      <c r="H36" s="73">
        <f t="shared" si="0"/>
        <v>0.93563214803569217</v>
      </c>
      <c r="I36" s="2675">
        <f t="shared" si="1"/>
        <v>104.32713347859887</v>
      </c>
      <c r="L36" s="2870"/>
    </row>
    <row r="37" spans="1:12" ht="13.5" customHeight="1">
      <c r="A37" s="90"/>
      <c r="B37" s="2667" t="str">
        <f>'Cost and rev series'!B37</f>
        <v>2020/21</v>
      </c>
      <c r="C37" s="82"/>
      <c r="D37" s="117">
        <f>'Cost and rev series'!D37</f>
        <v>1.8421066460050639</v>
      </c>
      <c r="E37" s="73">
        <f>'Cost and rev series'!E37</f>
        <v>1.8956588352500034</v>
      </c>
      <c r="F37" s="73">
        <f>'Cost and rev series'!F37</f>
        <v>2.8252532257498899</v>
      </c>
      <c r="G37" s="117">
        <f>'Cost and rev series'!G37</f>
        <v>3.0600923725820621</v>
      </c>
      <c r="H37" s="73">
        <f t="shared" si="0"/>
        <v>1.1959549607615916</v>
      </c>
      <c r="I37" s="2675">
        <f t="shared" si="1"/>
        <v>105.57483900685654</v>
      </c>
      <c r="L37" s="2870"/>
    </row>
    <row r="38" spans="1:12" ht="13.5" customHeight="1">
      <c r="A38" s="90"/>
      <c r="B38" s="2667" t="str">
        <f>'Cost and rev series'!B38</f>
        <v>2021/22</v>
      </c>
      <c r="C38" s="82"/>
      <c r="D38" s="117">
        <f>'Cost and rev series'!D38</f>
        <v>1.9386047923892562</v>
      </c>
      <c r="E38" s="73">
        <f>'Cost and rev series'!E38</f>
        <v>1.9964216805305313</v>
      </c>
      <c r="F38" s="73">
        <f>'Cost and rev series'!F38</f>
        <v>3.0531233946185665</v>
      </c>
      <c r="G38" s="117">
        <f>'Cost and rev series'!G38</f>
        <v>3.1212408697362832</v>
      </c>
      <c r="H38" s="73">
        <f t="shared" si="0"/>
        <v>1.1601454422057511</v>
      </c>
      <c r="I38" s="2675">
        <f t="shared" si="1"/>
        <v>106.79966068971063</v>
      </c>
      <c r="K38" s="26"/>
    </row>
    <row r="39" spans="1:12" ht="13.5" customHeight="1">
      <c r="A39" s="90"/>
      <c r="B39" s="2667" t="str">
        <f>'Cost and rev series'!B39</f>
        <v>2022/23</v>
      </c>
      <c r="C39" s="82"/>
      <c r="D39" s="117">
        <f>'Cost and rev series'!D39</f>
        <v>1.9542187516043725</v>
      </c>
      <c r="E39" s="73">
        <f>'Cost and rev series'!E39</f>
        <v>2.0000000000000142</v>
      </c>
      <c r="F39" s="73">
        <f>'Cost and rev series'!F39</f>
        <v>3.0676888923704837</v>
      </c>
      <c r="G39" s="117">
        <f>'Cost and rev series'!G39</f>
        <v>3.171644966289918</v>
      </c>
      <c r="H39" s="73">
        <f t="shared" si="0"/>
        <v>1.1940910632169288</v>
      </c>
      <c r="I39" s="2675">
        <f t="shared" si="1"/>
        <v>108.07494589355247</v>
      </c>
      <c r="K39" s="26"/>
    </row>
    <row r="40" spans="1:12" ht="13.5" customHeight="1">
      <c r="A40" s="90"/>
      <c r="B40" s="2667" t="str">
        <f>'Cost and rev series'!B40</f>
        <v>2023/24</v>
      </c>
      <c r="C40" s="82"/>
      <c r="D40" s="117">
        <f>'Cost and rev series'!D40</f>
        <v>1.996615266823909</v>
      </c>
      <c r="E40" s="73">
        <f>'Cost and rev series'!E40</f>
        <v>1.9999999999999858</v>
      </c>
      <c r="F40" s="73">
        <f>'Cost and rev series'!F40</f>
        <v>3.0684521704596222</v>
      </c>
      <c r="G40" s="117">
        <f>'Cost and rev series'!G40</f>
        <v>3.2947319786085529</v>
      </c>
      <c r="H40" s="73">
        <f t="shared" si="0"/>
        <v>1.2727056759567645</v>
      </c>
      <c r="I40" s="2675">
        <f t="shared" si="1"/>
        <v>109.45042186422691</v>
      </c>
    </row>
    <row r="41" spans="1:12" ht="13.5" customHeight="1">
      <c r="A41" s="90"/>
      <c r="B41" s="2667" t="str">
        <f>'Cost and rev series'!B41</f>
        <v>2024/25</v>
      </c>
      <c r="C41" s="82"/>
      <c r="D41" s="117">
        <f>'Cost and rev series'!D41</f>
        <v>2.2999999999999998</v>
      </c>
      <c r="E41" s="73">
        <f>'Cost and rev series'!E41</f>
        <v>2</v>
      </c>
      <c r="F41" s="73">
        <f>'Cost and rev series'!F41</f>
        <v>3.1148556716196927</v>
      </c>
      <c r="G41" s="117">
        <f>'Cost and rev series'!G41</f>
        <v>3.7351750762309122</v>
      </c>
      <c r="H41" s="73">
        <f t="shared" si="0"/>
        <v>1.4029081879090022</v>
      </c>
      <c r="I41" s="2675">
        <f t="shared" si="1"/>
        <v>110.9859107942611</v>
      </c>
    </row>
    <row r="42" spans="1:12" ht="13.5" customHeight="1">
      <c r="A42" s="90"/>
      <c r="B42" s="2667" t="str">
        <f>'Cost and rev series'!B42</f>
        <v>2025/26</v>
      </c>
      <c r="C42" s="82"/>
      <c r="D42" s="117">
        <f>'Cost and rev series'!D42</f>
        <v>2.2999999999999998</v>
      </c>
      <c r="E42" s="73">
        <f>'Cost and rev series'!E42</f>
        <v>2</v>
      </c>
      <c r="F42" s="73">
        <f>'Cost and rev series'!F42</f>
        <v>3.1931171503448681</v>
      </c>
      <c r="G42" s="117">
        <f>'Cost and rev series'!G42</f>
        <v>3.837475076230934</v>
      </c>
      <c r="H42" s="73">
        <f t="shared" si="0"/>
        <v>1.5029081879090356</v>
      </c>
      <c r="I42" s="2675">
        <f t="shared" si="1"/>
        <v>112.65392713501348</v>
      </c>
    </row>
    <row r="43" spans="1:12" ht="13.5" customHeight="1">
      <c r="A43" s="90"/>
      <c r="B43" s="2667" t="str">
        <f>'Cost and rev series'!B43</f>
        <v>2026/27</v>
      </c>
      <c r="C43" s="82"/>
      <c r="D43" s="117">
        <f>'Cost and rev series'!D43</f>
        <v>2.2999999999999998</v>
      </c>
      <c r="E43" s="73">
        <f>'Cost and rev series'!E43</f>
        <v>2</v>
      </c>
      <c r="F43" s="73">
        <f>'Cost and rev series'!F43</f>
        <v>3.1911952970247741</v>
      </c>
      <c r="G43" s="117">
        <f>'Cost and rev series'!G43</f>
        <v>3.9397750762309336</v>
      </c>
      <c r="H43" s="73">
        <f t="shared" si="0"/>
        <v>1.6029081879090246</v>
      </c>
      <c r="I43" s="2675">
        <f t="shared" si="1"/>
        <v>114.45966615706168</v>
      </c>
    </row>
    <row r="44" spans="1:12" ht="13.5" customHeight="1">
      <c r="A44" s="90"/>
      <c r="B44" s="2667" t="str">
        <f>'Cost and rev series'!B44</f>
        <v>2027/28</v>
      </c>
      <c r="C44" s="82"/>
      <c r="D44" s="117">
        <f>'Cost and rev series'!D44</f>
        <v>2.2999999999999998</v>
      </c>
      <c r="E44" s="73">
        <f>'Cost and rev series'!E44</f>
        <v>2</v>
      </c>
      <c r="F44" s="73">
        <f>'Cost and rev series'!F44</f>
        <v>3.1909055833639122</v>
      </c>
      <c r="G44" s="117">
        <f>'Cost and rev series'!G44</f>
        <v>4.0420750762309332</v>
      </c>
      <c r="H44" s="73">
        <f t="shared" si="0"/>
        <v>1.7029081879090358</v>
      </c>
      <c r="I44" s="2675">
        <f t="shared" si="1"/>
        <v>116.40880918390363</v>
      </c>
    </row>
    <row r="45" spans="1:12" ht="13.5" customHeight="1">
      <c r="A45" s="90"/>
      <c r="B45" s="2667" t="str">
        <f>'Cost and rev series'!B45</f>
        <v>2028/29</v>
      </c>
      <c r="C45" s="82"/>
      <c r="D45" s="117">
        <f>'Cost and rev series'!D45</f>
        <v>2.2999999999999998</v>
      </c>
      <c r="E45" s="73">
        <f>'Cost and rev series'!E45</f>
        <v>2</v>
      </c>
      <c r="F45" s="73">
        <f>'Cost and rev series'!F45</f>
        <v>3.1919506553920041</v>
      </c>
      <c r="G45" s="117">
        <f>'Cost and rev series'!G45</f>
        <v>4.1443750762309328</v>
      </c>
      <c r="H45" s="73">
        <f t="shared" si="0"/>
        <v>1.8029081879090247</v>
      </c>
      <c r="I45" s="2675">
        <f t="shared" si="1"/>
        <v>118.50755313612763</v>
      </c>
    </row>
    <row r="46" spans="1:12" ht="13.5" customHeight="1">
      <c r="A46" s="90"/>
      <c r="B46" s="2667" t="str">
        <f>'Cost and rev series'!B46</f>
        <v>2029/30</v>
      </c>
      <c r="C46" s="82"/>
      <c r="D46" s="117">
        <f>'Cost and rev series'!D46</f>
        <v>2.2999999999999998</v>
      </c>
      <c r="E46" s="73">
        <f>'Cost and rev series'!E46</f>
        <v>2</v>
      </c>
      <c r="F46" s="73">
        <f>'Cost and rev series'!F46</f>
        <v>3.1941012555954513</v>
      </c>
      <c r="G46" s="117">
        <f>'Cost and rev series'!G46</f>
        <v>4.2466750762309324</v>
      </c>
      <c r="H46" s="73">
        <f t="shared" si="0"/>
        <v>1.9029081879090137</v>
      </c>
      <c r="I46" s="2675">
        <f t="shared" si="1"/>
        <v>120.76264306804562</v>
      </c>
    </row>
    <row r="47" spans="1:12" ht="13.5" customHeight="1">
      <c r="A47" s="90"/>
      <c r="B47" s="2667" t="str">
        <f>'Cost and rev series'!B47</f>
        <v>2030/31</v>
      </c>
      <c r="C47" s="82"/>
      <c r="D47" s="117">
        <f>'Cost and rev series'!D47</f>
        <v>2.2999999999999998</v>
      </c>
      <c r="E47" s="73">
        <f>'Cost and rev series'!E47</f>
        <v>2</v>
      </c>
      <c r="F47" s="73">
        <f>'Cost and rev series'!F47</f>
        <v>3.1968628295085231</v>
      </c>
      <c r="G47" s="117">
        <f>'Cost and rev series'!G47</f>
        <v>4.3459999999999832</v>
      </c>
      <c r="H47" s="73">
        <f t="shared" si="0"/>
        <v>2.0000000000000018</v>
      </c>
      <c r="I47" s="2675">
        <f t="shared" si="1"/>
        <v>123.17789592940653</v>
      </c>
    </row>
    <row r="48" spans="1:12" ht="13.5" customHeight="1">
      <c r="A48" s="90"/>
      <c r="B48" s="2667" t="str">
        <f>'Cost and rev series'!B48</f>
        <v>2031/32</v>
      </c>
      <c r="C48" s="82"/>
      <c r="D48" s="117">
        <f>'Cost and rev series'!D48</f>
        <v>2.2999999999999998</v>
      </c>
      <c r="E48" s="73">
        <f>'Cost and rev series'!E48</f>
        <v>2</v>
      </c>
      <c r="F48" s="73">
        <f>'Cost and rev series'!F48</f>
        <v>3.1898994999834596</v>
      </c>
      <c r="G48" s="117">
        <f>'Cost and rev series'!G48</f>
        <v>4.3459999999999832</v>
      </c>
      <c r="H48" s="73">
        <f t="shared" si="0"/>
        <v>2.0000000000000018</v>
      </c>
      <c r="I48" s="2675">
        <f t="shared" si="1"/>
        <v>125.64145384799467</v>
      </c>
    </row>
    <row r="49" spans="1:9" ht="13.5" customHeight="1">
      <c r="A49" s="90"/>
      <c r="B49" s="2667" t="str">
        <f>'Cost and rev series'!B49</f>
        <v>2032/33</v>
      </c>
      <c r="C49" s="82"/>
      <c r="D49" s="117">
        <f>'Cost and rev series'!D49</f>
        <v>2.2999999999999998</v>
      </c>
      <c r="E49" s="73">
        <f>'Cost and rev series'!E49</f>
        <v>2</v>
      </c>
      <c r="F49" s="73">
        <f>'Cost and rev series'!F49</f>
        <v>3.1836166272005428</v>
      </c>
      <c r="G49" s="117">
        <f>'Cost and rev series'!G49</f>
        <v>4.3459999999999832</v>
      </c>
      <c r="H49" s="73">
        <f t="shared" si="0"/>
        <v>2.0000000000000018</v>
      </c>
      <c r="I49" s="2675">
        <f t="shared" si="1"/>
        <v>128.15428292495457</v>
      </c>
    </row>
    <row r="50" spans="1:9" ht="13.5" customHeight="1">
      <c r="A50" s="90"/>
      <c r="B50" s="2667" t="str">
        <f>'Cost and rev series'!B50</f>
        <v>2033/34</v>
      </c>
      <c r="C50" s="82"/>
      <c r="D50" s="117">
        <f>'Cost and rev series'!D50</f>
        <v>2.2999999999999998</v>
      </c>
      <c r="E50" s="73">
        <f>'Cost and rev series'!E50</f>
        <v>2</v>
      </c>
      <c r="F50" s="73">
        <f>'Cost and rev series'!F50</f>
        <v>3.1779191161284488</v>
      </c>
      <c r="G50" s="117">
        <f>'Cost and rev series'!G50</f>
        <v>4.3459999999999832</v>
      </c>
      <c r="H50" s="73">
        <f t="shared" si="0"/>
        <v>2.0000000000000018</v>
      </c>
      <c r="I50" s="2675">
        <f t="shared" si="1"/>
        <v>130.71736858345366</v>
      </c>
    </row>
    <row r="51" spans="1:9" ht="13.5" customHeight="1">
      <c r="A51" s="90"/>
      <c r="B51" s="2667" t="str">
        <f>'Cost and rev series'!B51</f>
        <v>2034/35</v>
      </c>
      <c r="C51" s="82"/>
      <c r="D51" s="117">
        <f>'Cost and rev series'!D51</f>
        <v>2.2999999999999998</v>
      </c>
      <c r="E51" s="73">
        <f>'Cost and rev series'!E51</f>
        <v>2</v>
      </c>
      <c r="F51" s="73">
        <f>'Cost and rev series'!F51</f>
        <v>3.1727288026266329</v>
      </c>
      <c r="G51" s="117">
        <f>'Cost and rev series'!G51</f>
        <v>4.3459999999999832</v>
      </c>
      <c r="H51" s="73">
        <f t="shared" si="0"/>
        <v>2.0000000000000018</v>
      </c>
      <c r="I51" s="2675">
        <f t="shared" ref="I51:I106" si="2">I50*(1+H51/100)</f>
        <v>133.33171595512275</v>
      </c>
    </row>
    <row r="52" spans="1:9" ht="13.5" customHeight="1">
      <c r="A52" s="90"/>
      <c r="B52" s="2667" t="str">
        <f>'Cost and rev series'!B52</f>
        <v>2035/36</v>
      </c>
      <c r="C52" s="82"/>
      <c r="D52" s="117">
        <f>'Cost and rev series'!D52</f>
        <v>2.2999999999999998</v>
      </c>
      <c r="E52" s="73">
        <f>'Cost and rev series'!E52</f>
        <v>2</v>
      </c>
      <c r="F52" s="73">
        <f>'Cost and rev series'!F52</f>
        <v>3.1679808460061833</v>
      </c>
      <c r="G52" s="117">
        <f>'Cost and rev series'!G52</f>
        <v>4.3459999999999832</v>
      </c>
      <c r="H52" s="73">
        <f t="shared" si="0"/>
        <v>2.0000000000000018</v>
      </c>
      <c r="I52" s="2675">
        <f t="shared" si="2"/>
        <v>135.9983502742252</v>
      </c>
    </row>
    <row r="53" spans="1:9" ht="13.5" customHeight="1">
      <c r="A53" s="90"/>
      <c r="B53" s="2667" t="str">
        <f>'Cost and rev series'!B53</f>
        <v>2036/37</v>
      </c>
      <c r="C53" s="82"/>
      <c r="D53" s="117">
        <f>'Cost and rev series'!D53</f>
        <v>2.2999999999999998</v>
      </c>
      <c r="E53" s="73">
        <f>'Cost and rev series'!E53</f>
        <v>2</v>
      </c>
      <c r="F53" s="73">
        <f>'Cost and rev series'!F53</f>
        <v>3.1636210062499535</v>
      </c>
      <c r="G53" s="117">
        <f>'Cost and rev series'!G53</f>
        <v>4.3459999999999832</v>
      </c>
      <c r="H53" s="73">
        <f t="shared" si="0"/>
        <v>2.0000000000000018</v>
      </c>
      <c r="I53" s="2675">
        <f t="shared" si="2"/>
        <v>138.71831727970971</v>
      </c>
    </row>
    <row r="54" spans="1:9" ht="13.5" customHeight="1">
      <c r="A54" s="90"/>
      <c r="B54" s="2667" t="str">
        <f>'Cost and rev series'!B54</f>
        <v>2037/38</v>
      </c>
      <c r="C54" s="82"/>
      <c r="D54" s="117">
        <f>'Cost and rev series'!D54</f>
        <v>2.2999999999999998</v>
      </c>
      <c r="E54" s="73">
        <f>'Cost and rev series'!E54</f>
        <v>2</v>
      </c>
      <c r="F54" s="73">
        <f>'Cost and rev series'!F54</f>
        <v>3.1596035627261707</v>
      </c>
      <c r="G54" s="117">
        <f>'Cost and rev series'!G54</f>
        <v>4.3459999999999832</v>
      </c>
      <c r="H54" s="73">
        <f t="shared" si="0"/>
        <v>2.0000000000000018</v>
      </c>
      <c r="I54" s="2675">
        <f t="shared" si="2"/>
        <v>141.4926836253039</v>
      </c>
    </row>
    <row r="55" spans="1:9" ht="13.5" customHeight="1">
      <c r="A55" s="90"/>
      <c r="B55" s="2667" t="str">
        <f>'Cost and rev series'!B55</f>
        <v>2038/39</v>
      </c>
      <c r="C55" s="82"/>
      <c r="D55" s="117">
        <f>'Cost and rev series'!D55</f>
        <v>2.2999999999999998</v>
      </c>
      <c r="E55" s="73">
        <f>'Cost and rev series'!E55</f>
        <v>2</v>
      </c>
      <c r="F55" s="73">
        <f>'Cost and rev series'!F55</f>
        <v>3.1558897047307659</v>
      </c>
      <c r="G55" s="117">
        <f>'Cost and rev series'!G55</f>
        <v>4.3459999999999832</v>
      </c>
      <c r="H55" s="73">
        <f t="shared" si="0"/>
        <v>2.0000000000000018</v>
      </c>
      <c r="I55" s="2675">
        <f t="shared" si="2"/>
        <v>144.32253729780999</v>
      </c>
    </row>
    <row r="56" spans="1:9" ht="13.5" customHeight="1">
      <c r="A56" s="90"/>
      <c r="B56" s="2667" t="str">
        <f>'Cost and rev series'!B56</f>
        <v>2039/40</v>
      </c>
      <c r="C56" s="82"/>
      <c r="D56" s="117">
        <f>'Cost and rev series'!D56</f>
        <v>2.2999999999999998</v>
      </c>
      <c r="E56" s="73">
        <f>'Cost and rev series'!E56</f>
        <v>2</v>
      </c>
      <c r="F56" s="73">
        <f>'Cost and rev series'!F56</f>
        <v>3.0737174726705581</v>
      </c>
      <c r="G56" s="117">
        <f>'Cost and rev series'!G56</f>
        <v>4.3459999999999832</v>
      </c>
      <c r="H56" s="73">
        <f t="shared" si="0"/>
        <v>2.0000000000000018</v>
      </c>
      <c r="I56" s="2675">
        <f t="shared" si="2"/>
        <v>147.2089880437662</v>
      </c>
    </row>
    <row r="57" spans="1:9" ht="13.5" customHeight="1">
      <c r="A57" s="90"/>
      <c r="B57" s="2667" t="str">
        <f>'Cost and rev series'!B57</f>
        <v>2040/41</v>
      </c>
      <c r="C57" s="82"/>
      <c r="D57" s="117">
        <f>'Cost and rev series'!D57</f>
        <v>2.2999999999999998</v>
      </c>
      <c r="E57" s="73">
        <f>'Cost and rev series'!E57</f>
        <v>2</v>
      </c>
      <c r="F57" s="73">
        <f>'Cost and rev series'!F57</f>
        <v>3</v>
      </c>
      <c r="G57" s="117">
        <f>'Cost and rev series'!G57</f>
        <v>4.3459999999999832</v>
      </c>
      <c r="H57" s="73">
        <f t="shared" si="0"/>
        <v>2.0000000000000018</v>
      </c>
      <c r="I57" s="2675">
        <f t="shared" si="2"/>
        <v>150.15316780464153</v>
      </c>
    </row>
    <row r="58" spans="1:9" ht="13.5" customHeight="1">
      <c r="A58" s="90"/>
      <c r="B58" s="2667" t="str">
        <f>'Cost and rev series'!B58</f>
        <v>2041/42</v>
      </c>
      <c r="C58" s="82"/>
      <c r="D58" s="117">
        <f>'Cost and rev series'!D58</f>
        <v>2.2999999999999998</v>
      </c>
      <c r="E58" s="73">
        <f>'Cost and rev series'!E58</f>
        <v>2</v>
      </c>
      <c r="F58" s="73">
        <f>'Cost and rev series'!F58</f>
        <v>3</v>
      </c>
      <c r="G58" s="117">
        <f>'Cost and rev series'!G58</f>
        <v>4.3459999999999832</v>
      </c>
      <c r="H58" s="73">
        <f t="shared" si="0"/>
        <v>2.0000000000000018</v>
      </c>
      <c r="I58" s="2675">
        <f t="shared" si="2"/>
        <v>153.15623116073436</v>
      </c>
    </row>
    <row r="59" spans="1:9" ht="13.5" customHeight="1">
      <c r="A59" s="90"/>
      <c r="B59" s="2667" t="str">
        <f>'Cost and rev series'!B59</f>
        <v>2042/43</v>
      </c>
      <c r="C59" s="82"/>
      <c r="D59" s="117">
        <f>'Cost and rev series'!D59</f>
        <v>2.2999999999999998</v>
      </c>
      <c r="E59" s="73">
        <f>'Cost and rev series'!E59</f>
        <v>2</v>
      </c>
      <c r="F59" s="73">
        <f>'Cost and rev series'!F59</f>
        <v>3</v>
      </c>
      <c r="G59" s="117">
        <f>'Cost and rev series'!G59</f>
        <v>4.3459999999999832</v>
      </c>
      <c r="H59" s="73">
        <f t="shared" si="0"/>
        <v>2.0000000000000018</v>
      </c>
      <c r="I59" s="2675">
        <f t="shared" si="2"/>
        <v>156.21935578394906</v>
      </c>
    </row>
    <row r="60" spans="1:9" ht="13.5" customHeight="1">
      <c r="A60" s="90"/>
      <c r="B60" s="2667" t="str">
        <f>'Cost and rev series'!B60</f>
        <v>2043/44</v>
      </c>
      <c r="C60" s="82"/>
      <c r="D60" s="117">
        <f>'Cost and rev series'!D60</f>
        <v>2.2999999999999998</v>
      </c>
      <c r="E60" s="73">
        <f>'Cost and rev series'!E60</f>
        <v>2</v>
      </c>
      <c r="F60" s="73">
        <f>'Cost and rev series'!F60</f>
        <v>3</v>
      </c>
      <c r="G60" s="117">
        <f>'Cost and rev series'!G60</f>
        <v>4.3459999999999832</v>
      </c>
      <c r="H60" s="73">
        <f t="shared" ref="H60:H91" si="3">((G60+100)/(D60+100)-1)*100</f>
        <v>2.0000000000000018</v>
      </c>
      <c r="I60" s="2675">
        <f t="shared" si="2"/>
        <v>159.34374289962804</v>
      </c>
    </row>
    <row r="61" spans="1:9" ht="13.5" customHeight="1">
      <c r="A61" s="90"/>
      <c r="B61" s="2667" t="str">
        <f>'Cost and rev series'!B61</f>
        <v>2044/45</v>
      </c>
      <c r="C61" s="82"/>
      <c r="D61" s="117">
        <f>'Cost and rev series'!D61</f>
        <v>2.2999999999999998</v>
      </c>
      <c r="E61" s="73">
        <f>'Cost and rev series'!E61</f>
        <v>2</v>
      </c>
      <c r="F61" s="73">
        <f>'Cost and rev series'!F61</f>
        <v>3</v>
      </c>
      <c r="G61" s="117">
        <f>'Cost and rev series'!G61</f>
        <v>4.3459999999999832</v>
      </c>
      <c r="H61" s="73">
        <f t="shared" si="3"/>
        <v>2.0000000000000018</v>
      </c>
      <c r="I61" s="2675">
        <f t="shared" si="2"/>
        <v>162.5306177576206</v>
      </c>
    </row>
    <row r="62" spans="1:9" ht="13.5" customHeight="1">
      <c r="A62" s="90"/>
      <c r="B62" s="2667" t="str">
        <f>'Cost and rev series'!B62</f>
        <v>2045/46</v>
      </c>
      <c r="C62" s="82"/>
      <c r="D62" s="117">
        <f>'Cost and rev series'!D62</f>
        <v>2.2999999999999998</v>
      </c>
      <c r="E62" s="73">
        <f>'Cost and rev series'!E62</f>
        <v>2</v>
      </c>
      <c r="F62" s="73">
        <f>'Cost and rev series'!F62</f>
        <v>3</v>
      </c>
      <c r="G62" s="117">
        <f>'Cost and rev series'!G62</f>
        <v>4.3459999999999832</v>
      </c>
      <c r="H62" s="73">
        <f t="shared" si="3"/>
        <v>2.0000000000000018</v>
      </c>
      <c r="I62" s="2675">
        <f t="shared" si="2"/>
        <v>165.78123011277302</v>
      </c>
    </row>
    <row r="63" spans="1:9" ht="13.5" customHeight="1">
      <c r="A63" s="90"/>
      <c r="B63" s="2667" t="str">
        <f>'Cost and rev series'!B63</f>
        <v>2046/47</v>
      </c>
      <c r="C63" s="82"/>
      <c r="D63" s="117">
        <f>'Cost and rev series'!D63</f>
        <v>2.2999999999999998</v>
      </c>
      <c r="E63" s="73">
        <f>'Cost and rev series'!E63</f>
        <v>2</v>
      </c>
      <c r="F63" s="73">
        <f>'Cost and rev series'!F63</f>
        <v>3</v>
      </c>
      <c r="G63" s="117">
        <f>'Cost and rev series'!G63</f>
        <v>4.3459999999999832</v>
      </c>
      <c r="H63" s="73">
        <f t="shared" si="3"/>
        <v>2.0000000000000018</v>
      </c>
      <c r="I63" s="2675">
        <f t="shared" si="2"/>
        <v>169.09685471502848</v>
      </c>
    </row>
    <row r="64" spans="1:9" ht="13.5" customHeight="1">
      <c r="A64" s="90"/>
      <c r="B64" s="2667" t="str">
        <f>'Cost and rev series'!B64</f>
        <v>2047/48</v>
      </c>
      <c r="C64" s="82"/>
      <c r="D64" s="117">
        <f>'Cost and rev series'!D64</f>
        <v>2.2999999999999998</v>
      </c>
      <c r="E64" s="73">
        <f>'Cost and rev series'!E64</f>
        <v>2</v>
      </c>
      <c r="F64" s="73">
        <f>'Cost and rev series'!F64</f>
        <v>3</v>
      </c>
      <c r="G64" s="117">
        <f>'Cost and rev series'!G64</f>
        <v>4.3459999999999832</v>
      </c>
      <c r="H64" s="73">
        <f t="shared" si="3"/>
        <v>2.0000000000000018</v>
      </c>
      <c r="I64" s="2675">
        <f t="shared" si="2"/>
        <v>172.47879180932907</v>
      </c>
    </row>
    <row r="65" spans="1:9" ht="13.5" customHeight="1">
      <c r="A65" s="90"/>
      <c r="B65" s="2667" t="str">
        <f>'Cost and rev series'!B65</f>
        <v>2048/49</v>
      </c>
      <c r="C65" s="82"/>
      <c r="D65" s="117">
        <f>'Cost and rev series'!D65</f>
        <v>2.2999999999999998</v>
      </c>
      <c r="E65" s="73">
        <f>'Cost and rev series'!E65</f>
        <v>2</v>
      </c>
      <c r="F65" s="73">
        <f>'Cost and rev series'!F65</f>
        <v>3</v>
      </c>
      <c r="G65" s="117">
        <f>'Cost and rev series'!G65</f>
        <v>4.3459999999999832</v>
      </c>
      <c r="H65" s="73">
        <f t="shared" si="3"/>
        <v>2.0000000000000018</v>
      </c>
      <c r="I65" s="2675">
        <f t="shared" si="2"/>
        <v>175.92836764551566</v>
      </c>
    </row>
    <row r="66" spans="1:9" ht="13.5" customHeight="1">
      <c r="A66" s="90"/>
      <c r="B66" s="2667" t="str">
        <f>'Cost and rev series'!B66</f>
        <v>2049/50</v>
      </c>
      <c r="C66" s="82"/>
      <c r="D66" s="117">
        <f>'Cost and rev series'!D66</f>
        <v>2.2999999999999998</v>
      </c>
      <c r="E66" s="73">
        <f>'Cost and rev series'!E66</f>
        <v>2</v>
      </c>
      <c r="F66" s="73">
        <f>'Cost and rev series'!F66</f>
        <v>3</v>
      </c>
      <c r="G66" s="117">
        <f>'Cost and rev series'!G66</f>
        <v>4.3459999999999832</v>
      </c>
      <c r="H66" s="73">
        <f t="shared" si="3"/>
        <v>2.0000000000000018</v>
      </c>
      <c r="I66" s="2675">
        <f t="shared" si="2"/>
        <v>179.44693499842597</v>
      </c>
    </row>
    <row r="67" spans="1:9" ht="13.5" customHeight="1">
      <c r="A67" s="90"/>
      <c r="B67" s="2667" t="str">
        <f>'Cost and rev series'!B67</f>
        <v>2050/51</v>
      </c>
      <c r="C67" s="82"/>
      <c r="D67" s="117">
        <f>'Cost and rev series'!D67</f>
        <v>2.2999999999999998</v>
      </c>
      <c r="E67" s="73">
        <f>'Cost and rev series'!E67</f>
        <v>2</v>
      </c>
      <c r="F67" s="73">
        <f>'Cost and rev series'!F67</f>
        <v>3</v>
      </c>
      <c r="G67" s="117">
        <f>'Cost and rev series'!G67</f>
        <v>4.3459999999999832</v>
      </c>
      <c r="H67" s="73">
        <f t="shared" si="3"/>
        <v>2.0000000000000018</v>
      </c>
      <c r="I67" s="2675">
        <f t="shared" si="2"/>
        <v>183.03587369839448</v>
      </c>
    </row>
    <row r="68" spans="1:9" ht="13.5" customHeight="1">
      <c r="A68" s="90"/>
      <c r="B68" s="2667" t="str">
        <f>'Cost and rev series'!B68</f>
        <v>2051/52</v>
      </c>
      <c r="C68" s="82"/>
      <c r="D68" s="117">
        <f>'Cost and rev series'!D68</f>
        <v>2.2999999999999998</v>
      </c>
      <c r="E68" s="73">
        <f>'Cost and rev series'!E68</f>
        <v>2</v>
      </c>
      <c r="F68" s="73">
        <f>'Cost and rev series'!F68</f>
        <v>3</v>
      </c>
      <c r="G68" s="117">
        <f>'Cost and rev series'!G68</f>
        <v>4.3459999999999832</v>
      </c>
      <c r="H68" s="73">
        <f t="shared" si="3"/>
        <v>2.0000000000000018</v>
      </c>
      <c r="I68" s="2675">
        <f t="shared" si="2"/>
        <v>186.69659117236239</v>
      </c>
    </row>
    <row r="69" spans="1:9" ht="13.5" customHeight="1">
      <c r="A69" s="90"/>
      <c r="B69" s="2667" t="str">
        <f>'Cost and rev series'!B69</f>
        <v>2052/53</v>
      </c>
      <c r="C69" s="82"/>
      <c r="D69" s="117">
        <f>'Cost and rev series'!D69</f>
        <v>2.2999999999999998</v>
      </c>
      <c r="E69" s="73">
        <f>'Cost and rev series'!E69</f>
        <v>2</v>
      </c>
      <c r="F69" s="73">
        <f>'Cost and rev series'!F69</f>
        <v>3</v>
      </c>
      <c r="G69" s="117">
        <f>'Cost and rev series'!G69</f>
        <v>4.3459999999999832</v>
      </c>
      <c r="H69" s="73">
        <f t="shared" si="3"/>
        <v>2.0000000000000018</v>
      </c>
      <c r="I69" s="2675">
        <f t="shared" si="2"/>
        <v>190.43052299580964</v>
      </c>
    </row>
    <row r="70" spans="1:9" ht="13.5" customHeight="1">
      <c r="A70" s="90"/>
      <c r="B70" s="2667" t="str">
        <f>'Cost and rev series'!B70</f>
        <v>2053/54</v>
      </c>
      <c r="C70" s="82"/>
      <c r="D70" s="117">
        <f>'Cost and rev series'!D70</f>
        <v>2.2999999999999998</v>
      </c>
      <c r="E70" s="73">
        <f>'Cost and rev series'!E70</f>
        <v>2</v>
      </c>
      <c r="F70" s="73">
        <f>'Cost and rev series'!F70</f>
        <v>3</v>
      </c>
      <c r="G70" s="117">
        <f>'Cost and rev series'!G70</f>
        <v>4.3459999999999832</v>
      </c>
      <c r="H70" s="73">
        <f t="shared" si="3"/>
        <v>2.0000000000000018</v>
      </c>
      <c r="I70" s="2675">
        <f t="shared" si="2"/>
        <v>194.23913345572583</v>
      </c>
    </row>
    <row r="71" spans="1:9" ht="13.5" customHeight="1">
      <c r="A71" s="90"/>
      <c r="B71" s="2667" t="str">
        <f>'Cost and rev series'!B71</f>
        <v>2054/55</v>
      </c>
      <c r="C71" s="82"/>
      <c r="D71" s="117">
        <f>'Cost and rev series'!D71</f>
        <v>2.2999999999999998</v>
      </c>
      <c r="E71" s="73">
        <f>'Cost and rev series'!E71</f>
        <v>2</v>
      </c>
      <c r="F71" s="73">
        <f>'Cost and rev series'!F71</f>
        <v>3</v>
      </c>
      <c r="G71" s="117">
        <f>'Cost and rev series'!G71</f>
        <v>4.3459999999999832</v>
      </c>
      <c r="H71" s="73">
        <f t="shared" si="3"/>
        <v>2.0000000000000018</v>
      </c>
      <c r="I71" s="2675">
        <f t="shared" si="2"/>
        <v>198.12391612484035</v>
      </c>
    </row>
    <row r="72" spans="1:9" ht="13.5" customHeight="1">
      <c r="A72" s="90"/>
      <c r="B72" s="2667" t="str">
        <f>'Cost and rev series'!B72</f>
        <v>2055/56</v>
      </c>
      <c r="C72" s="82"/>
      <c r="D72" s="117">
        <f>'Cost and rev series'!D72</f>
        <v>2.2999999999999998</v>
      </c>
      <c r="E72" s="73">
        <f>'Cost and rev series'!E72</f>
        <v>2</v>
      </c>
      <c r="F72" s="73">
        <f>'Cost and rev series'!F72</f>
        <v>3</v>
      </c>
      <c r="G72" s="117">
        <f>'Cost and rev series'!G72</f>
        <v>4.3459999999999832</v>
      </c>
      <c r="H72" s="73">
        <f t="shared" si="3"/>
        <v>2.0000000000000018</v>
      </c>
      <c r="I72" s="2675">
        <f t="shared" si="2"/>
        <v>202.08639444733717</v>
      </c>
    </row>
    <row r="73" spans="1:9" ht="13.5" customHeight="1">
      <c r="A73" s="90"/>
      <c r="B73" s="2667" t="str">
        <f>'Cost and rev series'!B73</f>
        <v>2056/57</v>
      </c>
      <c r="C73" s="82"/>
      <c r="D73" s="117">
        <f>'Cost and rev series'!D73</f>
        <v>2.2999999999999998</v>
      </c>
      <c r="E73" s="73">
        <f>'Cost and rev series'!E73</f>
        <v>2</v>
      </c>
      <c r="F73" s="73">
        <f>'Cost and rev series'!F73</f>
        <v>3</v>
      </c>
      <c r="G73" s="117">
        <f>'Cost and rev series'!G73</f>
        <v>4.3459999999999832</v>
      </c>
      <c r="H73" s="73">
        <f t="shared" si="3"/>
        <v>2.0000000000000018</v>
      </c>
      <c r="I73" s="2675">
        <f t="shared" si="2"/>
        <v>206.12812233628392</v>
      </c>
    </row>
    <row r="74" spans="1:9" ht="13.5" customHeight="1">
      <c r="A74" s="90"/>
      <c r="B74" s="2667" t="str">
        <f>'Cost and rev series'!B74</f>
        <v>2057/58</v>
      </c>
      <c r="C74" s="82"/>
      <c r="D74" s="117">
        <f>'Cost and rev series'!D74</f>
        <v>2.2999999999999998</v>
      </c>
      <c r="E74" s="73">
        <f>'Cost and rev series'!E74</f>
        <v>2</v>
      </c>
      <c r="F74" s="73">
        <f>'Cost and rev series'!F74</f>
        <v>3</v>
      </c>
      <c r="G74" s="117">
        <f>'Cost and rev series'!G74</f>
        <v>4.3459999999999832</v>
      </c>
      <c r="H74" s="73">
        <f t="shared" si="3"/>
        <v>2.0000000000000018</v>
      </c>
      <c r="I74" s="2675">
        <f>I73*(1+H74/100)</f>
        <v>210.2506847830096</v>
      </c>
    </row>
    <row r="75" spans="1:9" ht="13.5" customHeight="1">
      <c r="A75" s="90"/>
      <c r="B75" s="2667" t="str">
        <f>'Cost and rev series'!B75</f>
        <v>2058/59</v>
      </c>
      <c r="C75" s="82"/>
      <c r="D75" s="117">
        <f>'Cost and rev series'!D75</f>
        <v>2.2999999999999998</v>
      </c>
      <c r="E75" s="73">
        <f>'Cost and rev series'!E75</f>
        <v>2</v>
      </c>
      <c r="F75" s="73">
        <f>'Cost and rev series'!F75</f>
        <v>3</v>
      </c>
      <c r="G75" s="117">
        <f>'Cost and rev series'!G75</f>
        <v>4.3459999999999832</v>
      </c>
      <c r="H75" s="73">
        <f t="shared" si="3"/>
        <v>2.0000000000000018</v>
      </c>
      <c r="I75" s="2675">
        <f t="shared" si="2"/>
        <v>214.4556984786698</v>
      </c>
    </row>
    <row r="76" spans="1:9" ht="13.5" customHeight="1">
      <c r="A76" s="90"/>
      <c r="B76" s="2667" t="str">
        <f>'Cost and rev series'!B76</f>
        <v>2059/60</v>
      </c>
      <c r="C76" s="82"/>
      <c r="D76" s="117">
        <f>'Cost and rev series'!D76</f>
        <v>2.2999999999999998</v>
      </c>
      <c r="E76" s="73">
        <f>'Cost and rev series'!E76</f>
        <v>2</v>
      </c>
      <c r="F76" s="73">
        <f>'Cost and rev series'!F76</f>
        <v>3</v>
      </c>
      <c r="G76" s="117">
        <f>'Cost and rev series'!G76</f>
        <v>4.3459999999999832</v>
      </c>
      <c r="H76" s="73">
        <f t="shared" si="3"/>
        <v>2.0000000000000018</v>
      </c>
      <c r="I76" s="2675">
        <f t="shared" si="2"/>
        <v>218.74481244824321</v>
      </c>
    </row>
    <row r="77" spans="1:9" ht="13.5" customHeight="1">
      <c r="A77" s="90"/>
      <c r="B77" s="2667" t="str">
        <f>'Cost and rev series'!B77</f>
        <v>2060/61</v>
      </c>
      <c r="C77" s="82"/>
      <c r="D77" s="117">
        <f>'Cost and rev series'!D77</f>
        <v>2.2999999999999998</v>
      </c>
      <c r="E77" s="73">
        <f>'Cost and rev series'!E77</f>
        <v>2</v>
      </c>
      <c r="F77" s="73">
        <f>'Cost and rev series'!F77</f>
        <v>3</v>
      </c>
      <c r="G77" s="117">
        <f>'Cost and rev series'!G77</f>
        <v>4.3459999999999832</v>
      </c>
      <c r="H77" s="73">
        <f t="shared" si="3"/>
        <v>2.0000000000000018</v>
      </c>
      <c r="I77" s="2675">
        <f t="shared" si="2"/>
        <v>223.11970869720807</v>
      </c>
    </row>
    <row r="78" spans="1:9" ht="13.5" customHeight="1">
      <c r="A78" s="90"/>
      <c r="B78" s="2667" t="str">
        <f>'Cost and rev series'!B78</f>
        <v>2061/62</v>
      </c>
      <c r="C78" s="82"/>
      <c r="D78" s="117">
        <f>'Cost and rev series'!D78</f>
        <v>2.2999999999999998</v>
      </c>
      <c r="E78" s="73">
        <f>'Cost and rev series'!E78</f>
        <v>2</v>
      </c>
      <c r="F78" s="73">
        <f>'Cost and rev series'!F78</f>
        <v>3</v>
      </c>
      <c r="G78" s="117">
        <f>'Cost and rev series'!G78</f>
        <v>4.3459999999999832</v>
      </c>
      <c r="H78" s="73">
        <f t="shared" si="3"/>
        <v>2.0000000000000018</v>
      </c>
      <c r="I78" s="2675">
        <f t="shared" si="2"/>
        <v>227.58210287115224</v>
      </c>
    </row>
    <row r="79" spans="1:9" ht="13.5" customHeight="1">
      <c r="A79" s="90"/>
      <c r="B79" s="2667" t="str">
        <f>'Cost and rev series'!B79</f>
        <v>2062/63</v>
      </c>
      <c r="C79" s="82"/>
      <c r="D79" s="117">
        <f>'Cost and rev series'!D79</f>
        <v>2.2999999999999998</v>
      </c>
      <c r="E79" s="73">
        <f>'Cost and rev series'!E79</f>
        <v>2</v>
      </c>
      <c r="F79" s="73">
        <f>'Cost and rev series'!F79</f>
        <v>3</v>
      </c>
      <c r="G79" s="117">
        <f>'Cost and rev series'!G79</f>
        <v>4.3459999999999832</v>
      </c>
      <c r="H79" s="73">
        <f t="shared" si="3"/>
        <v>2.0000000000000018</v>
      </c>
      <c r="I79" s="2675">
        <f t="shared" si="2"/>
        <v>232.13374492857528</v>
      </c>
    </row>
    <row r="80" spans="1:9" ht="13.5" customHeight="1">
      <c r="A80" s="90"/>
      <c r="B80" s="2667" t="str">
        <f>'Cost and rev series'!B80</f>
        <v>2063/64</v>
      </c>
      <c r="C80" s="82"/>
      <c r="D80" s="117">
        <f>'Cost and rev series'!D80</f>
        <v>2.2999999999999998</v>
      </c>
      <c r="E80" s="73">
        <f>'Cost and rev series'!E80</f>
        <v>2</v>
      </c>
      <c r="F80" s="73">
        <f>'Cost and rev series'!F80</f>
        <v>3</v>
      </c>
      <c r="G80" s="117">
        <f>'Cost and rev series'!G80</f>
        <v>4.3459999999999832</v>
      </c>
      <c r="H80" s="73">
        <f t="shared" si="3"/>
        <v>2.0000000000000018</v>
      </c>
      <c r="I80" s="2675">
        <f t="shared" si="2"/>
        <v>236.77641982714678</v>
      </c>
    </row>
    <row r="81" spans="1:9" ht="13.5" customHeight="1">
      <c r="A81" s="90"/>
      <c r="B81" s="2667" t="str">
        <f>'Cost and rev series'!B81</f>
        <v>2064/65</v>
      </c>
      <c r="C81" s="82"/>
      <c r="D81" s="117">
        <f>'Cost and rev series'!D81</f>
        <v>2.2999999999999998</v>
      </c>
      <c r="E81" s="73">
        <f>'Cost and rev series'!E81</f>
        <v>2</v>
      </c>
      <c r="F81" s="73">
        <f>'Cost and rev series'!F81</f>
        <v>3</v>
      </c>
      <c r="G81" s="117">
        <f>'Cost and rev series'!G81</f>
        <v>4.3459999999999832</v>
      </c>
      <c r="H81" s="73">
        <f t="shared" si="3"/>
        <v>2.0000000000000018</v>
      </c>
      <c r="I81" s="2675">
        <f t="shared" si="2"/>
        <v>241.51194822368973</v>
      </c>
    </row>
    <row r="82" spans="1:9" ht="13.5" customHeight="1">
      <c r="A82" s="90"/>
      <c r="B82" s="2667" t="str">
        <f>'Cost and rev series'!B82</f>
        <v>2065/66</v>
      </c>
      <c r="C82" s="82"/>
      <c r="D82" s="117">
        <f>'Cost and rev series'!D82</f>
        <v>2.2999999999999998</v>
      </c>
      <c r="E82" s="73">
        <f>'Cost and rev series'!E82</f>
        <v>2</v>
      </c>
      <c r="F82" s="73">
        <f>'Cost and rev series'!F82</f>
        <v>3</v>
      </c>
      <c r="G82" s="117">
        <f>'Cost and rev series'!G82</f>
        <v>4.3459999999999832</v>
      </c>
      <c r="H82" s="73">
        <f t="shared" si="3"/>
        <v>2.0000000000000018</v>
      </c>
      <c r="I82" s="2675">
        <f t="shared" si="2"/>
        <v>246.34218718816354</v>
      </c>
    </row>
    <row r="83" spans="1:9" ht="13.5" customHeight="1">
      <c r="A83" s="90"/>
      <c r="B83" s="2667" t="str">
        <f>'Cost and rev series'!B83</f>
        <v>2066/67</v>
      </c>
      <c r="C83" s="82"/>
      <c r="D83" s="117">
        <f>'Cost and rev series'!D83</f>
        <v>2.2999999999999998</v>
      </c>
      <c r="E83" s="73">
        <f>'Cost and rev series'!E83</f>
        <v>2</v>
      </c>
      <c r="F83" s="73">
        <f>'Cost and rev series'!F83</f>
        <v>3</v>
      </c>
      <c r="G83" s="117">
        <f>'Cost and rev series'!G83</f>
        <v>4.3459999999999832</v>
      </c>
      <c r="H83" s="73">
        <f t="shared" si="3"/>
        <v>2.0000000000000018</v>
      </c>
      <c r="I83" s="2675">
        <f t="shared" si="2"/>
        <v>251.26903093192681</v>
      </c>
    </row>
    <row r="84" spans="1:9" ht="13.5" customHeight="1">
      <c r="A84" s="90"/>
      <c r="B84" s="2667" t="str">
        <f>'Cost and rev series'!B84</f>
        <v>2067/68</v>
      </c>
      <c r="C84" s="82"/>
      <c r="D84" s="117">
        <f>'Cost and rev series'!D84</f>
        <v>2.2999999999999998</v>
      </c>
      <c r="E84" s="73">
        <f>'Cost and rev series'!E84</f>
        <v>2</v>
      </c>
      <c r="F84" s="73">
        <f>'Cost and rev series'!F84</f>
        <v>3</v>
      </c>
      <c r="G84" s="117">
        <f>'Cost and rev series'!G84</f>
        <v>4.3459999999999832</v>
      </c>
      <c r="H84" s="73">
        <f t="shared" si="3"/>
        <v>2.0000000000000018</v>
      </c>
      <c r="I84" s="2675">
        <f t="shared" si="2"/>
        <v>256.29441155056537</v>
      </c>
    </row>
    <row r="85" spans="1:9" ht="13.5" customHeight="1">
      <c r="A85" s="90"/>
      <c r="B85" s="2667" t="str">
        <f>'Cost and rev series'!B85</f>
        <v>2068/69</v>
      </c>
      <c r="C85" s="82"/>
      <c r="D85" s="117">
        <f>'Cost and rev series'!D85</f>
        <v>2.2999999999999998</v>
      </c>
      <c r="E85" s="73">
        <f>'Cost and rev series'!E85</f>
        <v>2</v>
      </c>
      <c r="F85" s="73">
        <f>'Cost and rev series'!F85</f>
        <v>3</v>
      </c>
      <c r="G85" s="117">
        <f>'Cost and rev series'!G85</f>
        <v>4.3459999999999832</v>
      </c>
      <c r="H85" s="73">
        <f t="shared" si="3"/>
        <v>2.0000000000000018</v>
      </c>
      <c r="I85" s="2675">
        <f t="shared" si="2"/>
        <v>261.42029978157666</v>
      </c>
    </row>
    <row r="86" spans="1:9" ht="13.5" customHeight="1">
      <c r="A86" s="90"/>
      <c r="B86" s="2667" t="str">
        <f>'Cost and rev series'!B86</f>
        <v>2069/70</v>
      </c>
      <c r="C86" s="82"/>
      <c r="D86" s="117">
        <f>'Cost and rev series'!D86</f>
        <v>2.2999999999999998</v>
      </c>
      <c r="E86" s="73">
        <f>'Cost and rev series'!E86</f>
        <v>2</v>
      </c>
      <c r="F86" s="73">
        <f>'Cost and rev series'!F86</f>
        <v>3</v>
      </c>
      <c r="G86" s="117">
        <f>'Cost and rev series'!G86</f>
        <v>4.3459999999999832</v>
      </c>
      <c r="H86" s="73">
        <f t="shared" si="3"/>
        <v>2.0000000000000018</v>
      </c>
      <c r="I86" s="2675">
        <f t="shared" si="2"/>
        <v>266.64870577720819</v>
      </c>
    </row>
    <row r="87" spans="1:9" ht="13.5" customHeight="1">
      <c r="A87" s="90"/>
      <c r="B87" s="2667" t="str">
        <f>'Cost and rev series'!B87</f>
        <v>2070/71</v>
      </c>
      <c r="C87" s="82"/>
      <c r="D87" s="117">
        <f>'Cost and rev series'!D87</f>
        <v>2.2999999999999998</v>
      </c>
      <c r="E87" s="73">
        <f>'Cost and rev series'!E87</f>
        <v>2</v>
      </c>
      <c r="F87" s="73">
        <f>'Cost and rev series'!F87</f>
        <v>3</v>
      </c>
      <c r="G87" s="117">
        <f>'Cost and rev series'!G87</f>
        <v>4.3459999999999832</v>
      </c>
      <c r="H87" s="73">
        <f t="shared" si="3"/>
        <v>2.0000000000000018</v>
      </c>
      <c r="I87" s="2675">
        <f t="shared" si="2"/>
        <v>271.98167989275237</v>
      </c>
    </row>
    <row r="88" spans="1:9" ht="13.5" customHeight="1">
      <c r="A88" s="90"/>
      <c r="B88" s="2667" t="str">
        <f>'Cost and rev series'!B88</f>
        <v>2071/72</v>
      </c>
      <c r="C88" s="82"/>
      <c r="D88" s="117">
        <f>'Cost and rev series'!D88</f>
        <v>2.2999999999999998</v>
      </c>
      <c r="E88" s="73">
        <f>'Cost and rev series'!E88</f>
        <v>2</v>
      </c>
      <c r="F88" s="73">
        <f>'Cost and rev series'!F88</f>
        <v>3</v>
      </c>
      <c r="G88" s="117">
        <f>'Cost and rev series'!G88</f>
        <v>4.3459999999999832</v>
      </c>
      <c r="H88" s="73">
        <f t="shared" si="3"/>
        <v>2.0000000000000018</v>
      </c>
      <c r="I88" s="2675">
        <f t="shared" si="2"/>
        <v>277.42131349060742</v>
      </c>
    </row>
    <row r="89" spans="1:9" ht="13.5" customHeight="1">
      <c r="A89" s="90"/>
      <c r="B89" s="2667" t="str">
        <f>'Cost and rev series'!B89</f>
        <v>2072/73</v>
      </c>
      <c r="C89" s="82"/>
      <c r="D89" s="117">
        <f>'Cost and rev series'!D89</f>
        <v>2.2999999999999998</v>
      </c>
      <c r="E89" s="73">
        <f>'Cost and rev series'!E89</f>
        <v>2</v>
      </c>
      <c r="F89" s="73">
        <f>'Cost and rev series'!F89</f>
        <v>3</v>
      </c>
      <c r="G89" s="117">
        <f>'Cost and rev series'!G89</f>
        <v>4.3459999999999832</v>
      </c>
      <c r="H89" s="73">
        <f t="shared" si="3"/>
        <v>2.0000000000000018</v>
      </c>
      <c r="I89" s="2675">
        <f t="shared" si="2"/>
        <v>282.96973976041954</v>
      </c>
    </row>
    <row r="90" spans="1:9" ht="13.5" customHeight="1">
      <c r="A90" s="90"/>
      <c r="B90" s="2667" t="str">
        <f>'Cost and rev series'!B90</f>
        <v>2073/74</v>
      </c>
      <c r="C90" s="82"/>
      <c r="D90" s="117">
        <f>'Cost and rev series'!D90</f>
        <v>2.2999999999999998</v>
      </c>
      <c r="E90" s="73">
        <f>'Cost and rev series'!E90</f>
        <v>2</v>
      </c>
      <c r="F90" s="73">
        <f>'Cost and rev series'!F90</f>
        <v>3</v>
      </c>
      <c r="G90" s="117">
        <f>'Cost and rev series'!G90</f>
        <v>4.3459999999999832</v>
      </c>
      <c r="H90" s="73">
        <f t="shared" si="3"/>
        <v>2.0000000000000018</v>
      </c>
      <c r="I90" s="2675">
        <f t="shared" si="2"/>
        <v>288.62913455562796</v>
      </c>
    </row>
    <row r="91" spans="1:9" ht="13.5" customHeight="1">
      <c r="A91" s="90"/>
      <c r="B91" s="2667" t="str">
        <f>'Cost and rev series'!B91</f>
        <v>2074/75</v>
      </c>
      <c r="C91" s="82"/>
      <c r="D91" s="117">
        <f>'Cost and rev series'!D91</f>
        <v>2.2999999999999998</v>
      </c>
      <c r="E91" s="73">
        <f>'Cost and rev series'!E91</f>
        <v>2</v>
      </c>
      <c r="F91" s="73">
        <f>'Cost and rev series'!F91</f>
        <v>3</v>
      </c>
      <c r="G91" s="117">
        <f>'Cost and rev series'!G91</f>
        <v>4.3459999999999832</v>
      </c>
      <c r="H91" s="73">
        <f t="shared" si="3"/>
        <v>2.0000000000000018</v>
      </c>
      <c r="I91" s="2675">
        <f t="shared" si="2"/>
        <v>294.40171724674053</v>
      </c>
    </row>
    <row r="92" spans="1:9" ht="13.5" customHeight="1">
      <c r="A92" s="90"/>
      <c r="B92" s="2667" t="str">
        <f>'Cost and rev series'!B92</f>
        <v>2075/76</v>
      </c>
      <c r="C92" s="82"/>
      <c r="D92" s="117">
        <f>'Cost and rev series'!D92</f>
        <v>2.2999999999999998</v>
      </c>
      <c r="E92" s="73">
        <f>'Cost and rev series'!E92</f>
        <v>2</v>
      </c>
      <c r="F92" s="73">
        <f>'Cost and rev series'!F92</f>
        <v>3</v>
      </c>
      <c r="G92" s="117">
        <f>'Cost and rev series'!G92</f>
        <v>4.3459999999999832</v>
      </c>
      <c r="H92" s="73">
        <f t="shared" ref="H92:H116" si="4">((G92+100)/(D92+100)-1)*100</f>
        <v>2.0000000000000018</v>
      </c>
      <c r="I92" s="2675">
        <f t="shared" si="2"/>
        <v>300.28975159167533</v>
      </c>
    </row>
    <row r="93" spans="1:9" ht="13.5" customHeight="1">
      <c r="A93" s="90"/>
      <c r="B93" s="2667" t="str">
        <f>'Cost and rev series'!B93</f>
        <v>2076/77</v>
      </c>
      <c r="C93" s="82"/>
      <c r="D93" s="117">
        <f>'Cost and rev series'!D93</f>
        <v>2.2999999999999998</v>
      </c>
      <c r="E93" s="73">
        <f>'Cost and rev series'!E93</f>
        <v>2</v>
      </c>
      <c r="F93" s="73">
        <f>'Cost and rev series'!F93</f>
        <v>3</v>
      </c>
      <c r="G93" s="117">
        <f>'Cost and rev series'!G93</f>
        <v>4.3459999999999832</v>
      </c>
      <c r="H93" s="73">
        <f t="shared" si="4"/>
        <v>2.0000000000000018</v>
      </c>
      <c r="I93" s="2675">
        <f t="shared" si="2"/>
        <v>306.29554662350881</v>
      </c>
    </row>
    <row r="94" spans="1:9" ht="13.5" customHeight="1">
      <c r="A94" s="90"/>
      <c r="B94" s="2667" t="str">
        <f>'Cost and rev series'!B94</f>
        <v>2077/78</v>
      </c>
      <c r="C94" s="82"/>
      <c r="D94" s="117">
        <f>'Cost and rev series'!D94</f>
        <v>2.2999999999999998</v>
      </c>
      <c r="E94" s="73">
        <f>'Cost and rev series'!E94</f>
        <v>2</v>
      </c>
      <c r="F94" s="73">
        <f>'Cost and rev series'!F94</f>
        <v>3</v>
      </c>
      <c r="G94" s="117">
        <f>'Cost and rev series'!G94</f>
        <v>4.3459999999999832</v>
      </c>
      <c r="H94" s="73">
        <f t="shared" si="4"/>
        <v>2.0000000000000018</v>
      </c>
      <c r="I94" s="2675">
        <f t="shared" si="2"/>
        <v>312.42145755597898</v>
      </c>
    </row>
    <row r="95" spans="1:9" ht="13.5" customHeight="1">
      <c r="A95" s="90"/>
      <c r="B95" s="2667" t="str">
        <f>'Cost and rev series'!B95</f>
        <v>2078/79</v>
      </c>
      <c r="C95" s="82"/>
      <c r="D95" s="117">
        <f>'Cost and rev series'!D95</f>
        <v>2.2999999999999998</v>
      </c>
      <c r="E95" s="73">
        <f>'Cost and rev series'!E95</f>
        <v>2</v>
      </c>
      <c r="F95" s="73">
        <f>'Cost and rev series'!F95</f>
        <v>3</v>
      </c>
      <c r="G95" s="117">
        <f>'Cost and rev series'!G95</f>
        <v>4.3459999999999832</v>
      </c>
      <c r="H95" s="73">
        <f t="shared" si="4"/>
        <v>2.0000000000000018</v>
      </c>
      <c r="I95" s="2675">
        <f t="shared" si="2"/>
        <v>318.66988670709856</v>
      </c>
    </row>
    <row r="96" spans="1:9" ht="13.5" customHeight="1">
      <c r="A96" s="90"/>
      <c r="B96" s="2667" t="str">
        <f>'Cost and rev series'!B96</f>
        <v>2079/80</v>
      </c>
      <c r="C96" s="82"/>
      <c r="D96" s="117">
        <f>'Cost and rev series'!D96</f>
        <v>2.2999999999999998</v>
      </c>
      <c r="E96" s="73">
        <f>'Cost and rev series'!E96</f>
        <v>2</v>
      </c>
      <c r="F96" s="73">
        <f>'Cost and rev series'!F96</f>
        <v>3</v>
      </c>
      <c r="G96" s="117">
        <f>'Cost and rev series'!G96</f>
        <v>4.3459999999999832</v>
      </c>
      <c r="H96" s="73">
        <f t="shared" si="4"/>
        <v>2.0000000000000018</v>
      </c>
      <c r="I96" s="2675">
        <f t="shared" si="2"/>
        <v>325.04328444124053</v>
      </c>
    </row>
    <row r="97" spans="1:9" ht="13.5" customHeight="1">
      <c r="A97" s="90"/>
      <c r="B97" s="2667" t="str">
        <f>'Cost and rev series'!B97</f>
        <v>2080/81</v>
      </c>
      <c r="C97" s="82"/>
      <c r="D97" s="117">
        <f>'Cost and rev series'!D97</f>
        <v>2.2999999999999998</v>
      </c>
      <c r="E97" s="73">
        <f>'Cost and rev series'!E97</f>
        <v>2</v>
      </c>
      <c r="F97" s="73">
        <f>'Cost and rev series'!F97</f>
        <v>3</v>
      </c>
      <c r="G97" s="117">
        <f>'Cost and rev series'!G97</f>
        <v>4.3459999999999832</v>
      </c>
      <c r="H97" s="73">
        <f t="shared" si="4"/>
        <v>2.0000000000000018</v>
      </c>
      <c r="I97" s="2675">
        <f t="shared" si="2"/>
        <v>331.54415013006536</v>
      </c>
    </row>
    <row r="98" spans="1:9" ht="13.5" customHeight="1">
      <c r="A98" s="90"/>
      <c r="B98" s="2667" t="str">
        <f>'Cost and rev series'!B98</f>
        <v>2081/82</v>
      </c>
      <c r="C98" s="82"/>
      <c r="D98" s="117">
        <f>'Cost and rev series'!D98</f>
        <v>2.2999999999999998</v>
      </c>
      <c r="E98" s="73">
        <f>'Cost and rev series'!E98</f>
        <v>2</v>
      </c>
      <c r="F98" s="73">
        <f>'Cost and rev series'!F98</f>
        <v>3</v>
      </c>
      <c r="G98" s="117">
        <f>'Cost and rev series'!G98</f>
        <v>4.3459999999999832</v>
      </c>
      <c r="H98" s="73">
        <f t="shared" si="4"/>
        <v>2.0000000000000018</v>
      </c>
      <c r="I98" s="2675">
        <f t="shared" si="2"/>
        <v>338.17503313266667</v>
      </c>
    </row>
    <row r="99" spans="1:9" ht="13.5" customHeight="1">
      <c r="A99" s="90"/>
      <c r="B99" s="2667" t="str">
        <f>'Cost and rev series'!B99</f>
        <v>2082/83</v>
      </c>
      <c r="C99" s="82"/>
      <c r="D99" s="117">
        <f>'Cost and rev series'!D99</f>
        <v>2.2999999999999998</v>
      </c>
      <c r="E99" s="73">
        <f>'Cost and rev series'!E99</f>
        <v>2</v>
      </c>
      <c r="F99" s="73">
        <f>'Cost and rev series'!F99</f>
        <v>3</v>
      </c>
      <c r="G99" s="117">
        <f>'Cost and rev series'!G99</f>
        <v>4.3459999999999832</v>
      </c>
      <c r="H99" s="73">
        <f t="shared" si="4"/>
        <v>2.0000000000000018</v>
      </c>
      <c r="I99" s="2675">
        <f t="shared" si="2"/>
        <v>344.93853379531998</v>
      </c>
    </row>
    <row r="100" spans="1:9" ht="13.5" customHeight="1">
      <c r="A100" s="90"/>
      <c r="B100" s="2667" t="str">
        <f>'Cost and rev series'!B100</f>
        <v>2083/84</v>
      </c>
      <c r="C100" s="82"/>
      <c r="D100" s="117">
        <f>'Cost and rev series'!D100</f>
        <v>2.2999999999999998</v>
      </c>
      <c r="E100" s="73">
        <f>'Cost and rev series'!E100</f>
        <v>2</v>
      </c>
      <c r="F100" s="73">
        <f>'Cost and rev series'!F100</f>
        <v>3</v>
      </c>
      <c r="G100" s="117">
        <f>'Cost and rev series'!G100</f>
        <v>4.3459999999999832</v>
      </c>
      <c r="H100" s="73">
        <f t="shared" si="4"/>
        <v>2.0000000000000018</v>
      </c>
      <c r="I100" s="2675">
        <f t="shared" si="2"/>
        <v>351.83730447122639</v>
      </c>
    </row>
    <row r="101" spans="1:9" ht="13.5" customHeight="1">
      <c r="A101" s="90"/>
      <c r="B101" s="2667" t="str">
        <f>'Cost and rev series'!B101</f>
        <v>2084/85</v>
      </c>
      <c r="C101" s="82"/>
      <c r="D101" s="117">
        <f>'Cost and rev series'!D101</f>
        <v>2.2999999999999998</v>
      </c>
      <c r="E101" s="73">
        <f>'Cost and rev series'!E101</f>
        <v>2</v>
      </c>
      <c r="F101" s="73">
        <f>'Cost and rev series'!F101</f>
        <v>3</v>
      </c>
      <c r="G101" s="117">
        <f>'Cost and rev series'!G101</f>
        <v>4.3459999999999832</v>
      </c>
      <c r="H101" s="73">
        <f t="shared" si="4"/>
        <v>2.0000000000000018</v>
      </c>
      <c r="I101" s="2675">
        <f t="shared" si="2"/>
        <v>358.87405056065091</v>
      </c>
    </row>
    <row r="102" spans="1:9" ht="13.5" customHeight="1">
      <c r="A102" s="90"/>
      <c r="B102" s="2667" t="str">
        <f>'Cost and rev series'!B102</f>
        <v>2085/86</v>
      </c>
      <c r="C102" s="82"/>
      <c r="D102" s="117">
        <f>'Cost and rev series'!D102</f>
        <v>2.2999999999999998</v>
      </c>
      <c r="E102" s="73">
        <f>'Cost and rev series'!E102</f>
        <v>2</v>
      </c>
      <c r="F102" s="73">
        <f>'Cost and rev series'!F102</f>
        <v>3</v>
      </c>
      <c r="G102" s="117">
        <f>'Cost and rev series'!G102</f>
        <v>4.3459999999999832</v>
      </c>
      <c r="H102" s="73">
        <f t="shared" si="4"/>
        <v>2.0000000000000018</v>
      </c>
      <c r="I102" s="2675">
        <f t="shared" si="2"/>
        <v>366.05153157186396</v>
      </c>
    </row>
    <row r="103" spans="1:9" ht="13.5" customHeight="1">
      <c r="A103" s="90"/>
      <c r="B103" s="2667" t="str">
        <f>'Cost and rev series'!B103</f>
        <v>2086/87</v>
      </c>
      <c r="C103" s="82"/>
      <c r="D103" s="117">
        <f>'Cost and rev series'!D103</f>
        <v>2.2999999999999998</v>
      </c>
      <c r="E103" s="73">
        <f>'Cost and rev series'!E103</f>
        <v>2</v>
      </c>
      <c r="F103" s="73">
        <f>'Cost and rev series'!F103</f>
        <v>3</v>
      </c>
      <c r="G103" s="117">
        <f>'Cost and rev series'!G103</f>
        <v>4.3459999999999832</v>
      </c>
      <c r="H103" s="73">
        <f t="shared" si="4"/>
        <v>2.0000000000000018</v>
      </c>
      <c r="I103" s="2675">
        <f t="shared" si="2"/>
        <v>373.37256220330124</v>
      </c>
    </row>
    <row r="104" spans="1:9" ht="13.5" customHeight="1">
      <c r="A104" s="90"/>
      <c r="B104" s="2667" t="str">
        <f>'Cost and rev series'!B104</f>
        <v>2087/88</v>
      </c>
      <c r="C104" s="82"/>
      <c r="D104" s="117">
        <f>'Cost and rev series'!D104</f>
        <v>2.2999999999999998</v>
      </c>
      <c r="E104" s="73">
        <f>'Cost and rev series'!E104</f>
        <v>2</v>
      </c>
      <c r="F104" s="73">
        <f>'Cost and rev series'!F104</f>
        <v>3</v>
      </c>
      <c r="G104" s="117">
        <f>'Cost and rev series'!G104</f>
        <v>4.3459999999999832</v>
      </c>
      <c r="H104" s="73">
        <f t="shared" si="4"/>
        <v>2.0000000000000018</v>
      </c>
      <c r="I104" s="2675">
        <f t="shared" si="2"/>
        <v>380.84001344736726</v>
      </c>
    </row>
    <row r="105" spans="1:9" ht="13.5" customHeight="1">
      <c r="A105" s="90"/>
      <c r="B105" s="2667" t="str">
        <f>'Cost and rev series'!B105</f>
        <v>2088/89</v>
      </c>
      <c r="C105" s="82"/>
      <c r="D105" s="117">
        <f>'Cost and rev series'!D105</f>
        <v>2.2999999999999998</v>
      </c>
      <c r="E105" s="73">
        <f>'Cost and rev series'!E105</f>
        <v>2</v>
      </c>
      <c r="F105" s="73">
        <f>'Cost and rev series'!F105</f>
        <v>3</v>
      </c>
      <c r="G105" s="117">
        <f>'Cost and rev series'!G105</f>
        <v>4.3459999999999832</v>
      </c>
      <c r="H105" s="73">
        <f t="shared" si="4"/>
        <v>2.0000000000000018</v>
      </c>
      <c r="I105" s="2675">
        <f t="shared" si="2"/>
        <v>388.45681371631463</v>
      </c>
    </row>
    <row r="106" spans="1:9" ht="13.5" customHeight="1">
      <c r="A106" s="90"/>
      <c r="B106" s="2667" t="str">
        <f>'Cost and rev series'!B106</f>
        <v>2089/90</v>
      </c>
      <c r="C106" s="82"/>
      <c r="D106" s="117">
        <f>'Cost and rev series'!D106</f>
        <v>2.2999999999999998</v>
      </c>
      <c r="E106" s="73">
        <f>'Cost and rev series'!E106</f>
        <v>2</v>
      </c>
      <c r="F106" s="73">
        <f>'Cost and rev series'!F106</f>
        <v>3</v>
      </c>
      <c r="G106" s="117">
        <f>'Cost and rev series'!G106</f>
        <v>4.3459999999999832</v>
      </c>
      <c r="H106" s="73">
        <f t="shared" si="4"/>
        <v>2.0000000000000018</v>
      </c>
      <c r="I106" s="2675">
        <f t="shared" si="2"/>
        <v>396.22594999064091</v>
      </c>
    </row>
    <row r="107" spans="1:9" ht="13.5" customHeight="1">
      <c r="A107" s="90"/>
      <c r="B107" s="2667" t="str">
        <f>'Cost and rev series'!B107</f>
        <v>2090/91</v>
      </c>
      <c r="C107" s="82"/>
      <c r="D107" s="117">
        <f>'Cost and rev series'!D107</f>
        <v>2.2999999999999998</v>
      </c>
      <c r="E107" s="73">
        <f>'Cost and rev series'!E107</f>
        <v>2</v>
      </c>
      <c r="F107" s="73">
        <f>'Cost and rev series'!F107</f>
        <v>3</v>
      </c>
      <c r="G107" s="117">
        <f>'Cost and rev series'!G107</f>
        <v>4.3459999999999832</v>
      </c>
      <c r="H107" s="73">
        <f t="shared" si="4"/>
        <v>2.0000000000000018</v>
      </c>
      <c r="I107" s="2675">
        <f t="shared" ref="I107:I116" si="5">I106*(1+H107/100)</f>
        <v>404.15046899045376</v>
      </c>
    </row>
    <row r="108" spans="1:9" ht="13.5" customHeight="1">
      <c r="A108" s="90"/>
      <c r="B108" s="2667" t="str">
        <f>'Cost and rev series'!B108</f>
        <v>2091/92</v>
      </c>
      <c r="C108" s="82"/>
      <c r="D108" s="117">
        <f>'Cost and rev series'!D108</f>
        <v>2.2999999999999998</v>
      </c>
      <c r="E108" s="73">
        <f>'Cost and rev series'!E108</f>
        <v>2</v>
      </c>
      <c r="F108" s="73">
        <f>'Cost and rev series'!F108</f>
        <v>3</v>
      </c>
      <c r="G108" s="117">
        <f>'Cost and rev series'!G108</f>
        <v>4.3459999999999832</v>
      </c>
      <c r="H108" s="73">
        <f t="shared" si="4"/>
        <v>2.0000000000000018</v>
      </c>
      <c r="I108" s="2675">
        <f t="shared" si="5"/>
        <v>412.23347837026284</v>
      </c>
    </row>
    <row r="109" spans="1:9">
      <c r="A109" s="90"/>
      <c r="B109" s="2667" t="str">
        <f>'Cost and rev series'!B109</f>
        <v>2092/93</v>
      </c>
      <c r="C109" s="82"/>
      <c r="D109" s="117">
        <f>'Cost and rev series'!D109</f>
        <v>2.2999999999999998</v>
      </c>
      <c r="E109" s="73">
        <f>'Cost and rev series'!E109</f>
        <v>2</v>
      </c>
      <c r="F109" s="73">
        <f>'Cost and rev series'!F109</f>
        <v>3</v>
      </c>
      <c r="G109" s="117">
        <f>'Cost and rev series'!G109</f>
        <v>4.3459999999999832</v>
      </c>
      <c r="H109" s="73">
        <f t="shared" si="4"/>
        <v>2.0000000000000018</v>
      </c>
      <c r="I109" s="2675">
        <f t="shared" si="5"/>
        <v>420.4781479376681</v>
      </c>
    </row>
    <row r="110" spans="1:9" ht="13.5" customHeight="1">
      <c r="A110" s="90"/>
      <c r="B110" s="2667" t="str">
        <f>'Cost and rev series'!B110</f>
        <v>2093/94</v>
      </c>
      <c r="C110" s="82"/>
      <c r="D110" s="117">
        <f>'Cost and rev series'!D110</f>
        <v>2.2999999999999998</v>
      </c>
      <c r="E110" s="73">
        <f>'Cost and rev series'!E110</f>
        <v>2</v>
      </c>
      <c r="F110" s="73">
        <f>'Cost and rev series'!F110</f>
        <v>3</v>
      </c>
      <c r="G110" s="117">
        <f>'Cost and rev series'!G110</f>
        <v>4.3459999999999832</v>
      </c>
      <c r="H110" s="73">
        <f t="shared" si="4"/>
        <v>2.0000000000000018</v>
      </c>
      <c r="I110" s="2675">
        <f t="shared" si="5"/>
        <v>428.88771089642148</v>
      </c>
    </row>
    <row r="111" spans="1:9" ht="13.5" customHeight="1">
      <c r="A111" s="90"/>
      <c r="B111" s="2667" t="str">
        <f>'Cost and rev series'!B111</f>
        <v>2094/95</v>
      </c>
      <c r="C111" s="82"/>
      <c r="D111" s="117">
        <f>'Cost and rev series'!D111</f>
        <v>2.2999999999999998</v>
      </c>
      <c r="E111" s="73">
        <f>'Cost and rev series'!E111</f>
        <v>2</v>
      </c>
      <c r="F111" s="73">
        <f>'Cost and rev series'!F111</f>
        <v>3</v>
      </c>
      <c r="G111" s="117">
        <f>'Cost and rev series'!G111</f>
        <v>4.3459999999999832</v>
      </c>
      <c r="H111" s="73">
        <f t="shared" si="4"/>
        <v>2.0000000000000018</v>
      </c>
      <c r="I111" s="2675">
        <f t="shared" si="5"/>
        <v>437.46546511434991</v>
      </c>
    </row>
    <row r="112" spans="1:9" ht="13.5" customHeight="1">
      <c r="A112" s="90"/>
      <c r="B112" s="2667" t="str">
        <f>'Cost and rev series'!B112</f>
        <v>2095/96</v>
      </c>
      <c r="C112" s="82"/>
      <c r="D112" s="117">
        <f>'Cost and rev series'!D112</f>
        <v>2.2999999999999998</v>
      </c>
      <c r="E112" s="73">
        <f>'Cost and rev series'!E112</f>
        <v>2</v>
      </c>
      <c r="F112" s="73">
        <f>'Cost and rev series'!F112</f>
        <v>3</v>
      </c>
      <c r="G112" s="117">
        <f>'Cost and rev series'!G112</f>
        <v>4.3459999999999832</v>
      </c>
      <c r="H112" s="73">
        <f t="shared" si="4"/>
        <v>2.0000000000000018</v>
      </c>
      <c r="I112" s="2675">
        <f t="shared" si="5"/>
        <v>446.21477441663694</v>
      </c>
    </row>
    <row r="113" spans="1:9" ht="13.5" customHeight="1">
      <c r="A113" s="90"/>
      <c r="B113" s="2667" t="str">
        <f>'Cost and rev series'!B113</f>
        <v>2096/97</v>
      </c>
      <c r="C113" s="82"/>
      <c r="D113" s="117">
        <f>'Cost and rev series'!D113</f>
        <v>2.2999999999999998</v>
      </c>
      <c r="E113" s="73">
        <f>'Cost and rev series'!E113</f>
        <v>2</v>
      </c>
      <c r="F113" s="73">
        <f>'Cost and rev series'!F113</f>
        <v>3</v>
      </c>
      <c r="G113" s="117">
        <f>'Cost and rev series'!G113</f>
        <v>4.3459999999999832</v>
      </c>
      <c r="H113" s="73">
        <f t="shared" si="4"/>
        <v>2.0000000000000018</v>
      </c>
      <c r="I113" s="2675">
        <f t="shared" si="5"/>
        <v>455.13906990496969</v>
      </c>
    </row>
    <row r="114" spans="1:9" ht="13.5" customHeight="1">
      <c r="A114" s="90"/>
      <c r="B114" s="2667" t="str">
        <f>'Cost and rev series'!B114</f>
        <v>2097/98</v>
      </c>
      <c r="C114" s="82"/>
      <c r="D114" s="117">
        <f>'Cost and rev series'!D114</f>
        <v>2.2999999999999998</v>
      </c>
      <c r="E114" s="73">
        <f>'Cost and rev series'!E114</f>
        <v>2</v>
      </c>
      <c r="F114" s="73">
        <f>'Cost and rev series'!F114</f>
        <v>3</v>
      </c>
      <c r="G114" s="117">
        <f>'Cost and rev series'!G114</f>
        <v>4.3459999999999832</v>
      </c>
      <c r="H114" s="73">
        <f t="shared" si="4"/>
        <v>2.0000000000000018</v>
      </c>
      <c r="I114" s="2675">
        <f t="shared" si="5"/>
        <v>464.2418513030691</v>
      </c>
    </row>
    <row r="115" spans="1:9" ht="13.5" customHeight="1">
      <c r="A115" s="90"/>
      <c r="B115" s="2667" t="str">
        <f>'Cost and rev series'!B115</f>
        <v>2098/99</v>
      </c>
      <c r="C115" s="82"/>
      <c r="D115" s="117">
        <f>'Cost and rev series'!D115</f>
        <v>2.2999999999999998</v>
      </c>
      <c r="E115" s="73">
        <f>'Cost and rev series'!E115</f>
        <v>2</v>
      </c>
      <c r="F115" s="73">
        <f>'Cost and rev series'!F115</f>
        <v>3</v>
      </c>
      <c r="G115" s="117">
        <f>'Cost and rev series'!G115</f>
        <v>4.3459999999999832</v>
      </c>
      <c r="H115" s="73">
        <f t="shared" si="4"/>
        <v>2.0000000000000018</v>
      </c>
      <c r="I115" s="2675">
        <f t="shared" si="5"/>
        <v>473.52668832913048</v>
      </c>
    </row>
    <row r="116" spans="1:9" ht="13.5" customHeight="1" thickBot="1">
      <c r="A116" s="92"/>
      <c r="B116" s="2711" t="str">
        <f>'Cost and rev series'!B116</f>
        <v>2099/00</v>
      </c>
      <c r="C116" s="93"/>
      <c r="D116" s="98">
        <f>'Cost and rev series'!D116</f>
        <v>2.2999999999999998</v>
      </c>
      <c r="E116" s="78">
        <f>'Cost and rev series'!E116</f>
        <v>2</v>
      </c>
      <c r="F116" s="78">
        <f>'Cost and rev series'!F116</f>
        <v>3</v>
      </c>
      <c r="G116" s="98">
        <f>'Cost and rev series'!G116</f>
        <v>4.3459999999999832</v>
      </c>
      <c r="H116" s="78">
        <f t="shared" si="4"/>
        <v>2.0000000000000018</v>
      </c>
      <c r="I116" s="3174">
        <f t="shared" si="5"/>
        <v>482.99722209571308</v>
      </c>
    </row>
    <row r="117" spans="1:9" s="27" customFormat="1" ht="13.5" customHeight="1" thickTop="1" thickBot="1">
      <c r="B117" s="2667"/>
      <c r="C117" s="82"/>
      <c r="D117" s="73"/>
      <c r="E117" s="73"/>
      <c r="F117" s="73"/>
      <c r="G117" s="73"/>
      <c r="H117" s="73"/>
      <c r="I117" s="3173"/>
    </row>
    <row r="118" spans="1:9" ht="13.5" customHeight="1" thickBot="1">
      <c r="D118" s="528" t="s">
        <v>1489</v>
      </c>
    </row>
    <row r="119" spans="1:9" ht="13.5" customHeight="1"/>
    <row r="120" spans="1:9" ht="13.5" customHeight="1"/>
    <row r="121" spans="1:9" ht="13.5" customHeight="1"/>
    <row r="122" spans="1:9" ht="13.5" customHeight="1"/>
    <row r="123" spans="1:9" ht="13.5" customHeight="1"/>
    <row r="124" spans="1:9" ht="13.5" customHeight="1"/>
    <row r="125" spans="1:9" ht="13.5" customHeight="1"/>
    <row r="126" spans="1:9" ht="13.5" customHeight="1"/>
    <row r="127" spans="1:9" ht="13.5" customHeight="1"/>
    <row r="128" spans="1:9"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 ref="D118" location="A5.3.1!A1" display="Top"/>
    <hyperlink ref="H8" r:id="rId2" display="GDP deflator: ONS time series L8GG released 30/06/2016"/>
    <hyperlink ref="H9" r:id="rId3" display="GDP deflator and RPI: OBR EFO Mar 2018, Supplementary Economy Table 1.7, published 13/03/2018"/>
    <hyperlink ref="M8" r:id="rId4"/>
    <hyperlink ref="L8" r:id="rId5" display="RPI: ONS CHAW series, released 14/11/2017"/>
    <hyperlink ref="M9" r:id="rId6"/>
    <hyperlink ref="H10" r:id="rId7" display="2023 onwards: based on March 2018 OBR Long-term economic determinants published 13/03/2018"/>
    <hyperlink ref="N8" r:id="rId8" display="RPI: ONS D7BT series, published 20/03/2018"/>
  </hyperlinks>
  <pageMargins left="0.75" right="0.75" top="1" bottom="1" header="0.5" footer="0.5"/>
  <pageSetup paperSize="9" scale="54" fitToHeight="0" orientation="landscape" r:id="rId9"/>
  <headerFooter alignWithMargins="0"/>
  <drawing r:id="rId1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tabColor rgb="FF008000"/>
  </sheetPr>
  <dimension ref="A1:AL59"/>
  <sheetViews>
    <sheetView zoomScale="85" zoomScaleNormal="85" workbookViewId="0">
      <selection activeCell="A9" sqref="A9:B9"/>
    </sheetView>
  </sheetViews>
  <sheetFormatPr defaultColWidth="9.109375" defaultRowHeight="13.2"/>
  <cols>
    <col min="1" max="1" width="45.5546875" style="3031" customWidth="1"/>
    <col min="2" max="2" width="16.88671875" style="3031" customWidth="1"/>
    <col min="3" max="16384" width="9.109375" style="3031"/>
  </cols>
  <sheetData>
    <row r="1" spans="1:38" s="240" customFormat="1" ht="54.9" customHeight="1">
      <c r="A1" s="3821"/>
      <c r="B1" s="3821"/>
      <c r="C1" s="3021"/>
    </row>
    <row r="2" spans="1:38" s="240" customFormat="1" ht="5.0999999999999996" customHeight="1">
      <c r="C2" s="3022"/>
    </row>
    <row r="3" spans="1:38" s="262" customFormat="1" ht="20.100000000000001" customHeight="1">
      <c r="A3" s="260" t="s">
        <v>2312</v>
      </c>
      <c r="B3" s="260"/>
      <c r="C3" s="260"/>
      <c r="D3" s="260"/>
      <c r="E3" s="260"/>
      <c r="F3" s="260"/>
      <c r="G3" s="260"/>
      <c r="H3" s="260"/>
      <c r="I3" s="260"/>
      <c r="J3" s="260"/>
      <c r="K3" s="260"/>
      <c r="L3" s="260"/>
      <c r="M3" s="260"/>
      <c r="N3" s="260"/>
      <c r="O3" s="260"/>
      <c r="P3" s="260"/>
      <c r="Q3" s="260"/>
      <c r="R3" s="260"/>
      <c r="S3" s="260"/>
      <c r="W3" s="260"/>
      <c r="X3" s="260"/>
      <c r="Y3" s="260"/>
      <c r="Z3" s="260"/>
      <c r="AA3" s="271"/>
      <c r="AB3" s="260"/>
      <c r="AL3" s="3023"/>
    </row>
    <row r="4" spans="1:38" s="262" customFormat="1" ht="20.100000000000001" customHeight="1" thickBot="1">
      <c r="A4" s="1719" t="s">
        <v>1849</v>
      </c>
      <c r="B4" s="1719"/>
      <c r="C4" s="1719"/>
      <c r="D4" s="1719"/>
      <c r="E4" s="1719"/>
      <c r="F4" s="1719"/>
      <c r="G4" s="1719"/>
      <c r="H4" s="1719"/>
      <c r="I4" s="1719"/>
      <c r="J4" s="1719"/>
      <c r="K4" s="1719"/>
      <c r="L4" s="1719"/>
      <c r="M4" s="1719"/>
      <c r="N4" s="1719"/>
      <c r="O4" s="1719"/>
      <c r="P4" s="1719"/>
      <c r="Q4" s="1719"/>
      <c r="R4" s="1719"/>
      <c r="S4" s="1719"/>
      <c r="W4" s="260"/>
      <c r="X4" s="260"/>
      <c r="Y4" s="260"/>
      <c r="Z4" s="260"/>
      <c r="AA4" s="271"/>
      <c r="AB4" s="260"/>
      <c r="AL4" s="3023"/>
    </row>
    <row r="5" spans="1:38" s="240" customFormat="1" ht="9.9" customHeight="1" thickTop="1" thickBot="1">
      <c r="B5" s="3024"/>
      <c r="C5" s="3024"/>
      <c r="D5" s="3025"/>
      <c r="E5" s="3024"/>
      <c r="F5" s="3024"/>
      <c r="G5" s="3025"/>
      <c r="H5" s="3024"/>
      <c r="I5" s="3025"/>
      <c r="J5" s="3025"/>
      <c r="K5" s="3025"/>
      <c r="L5" s="3025"/>
      <c r="M5" s="3025"/>
      <c r="N5" s="3025"/>
      <c r="O5" s="3025"/>
      <c r="P5" s="3025"/>
      <c r="Q5" s="3025"/>
      <c r="R5" s="3025"/>
      <c r="S5" s="3025"/>
      <c r="W5" s="237"/>
      <c r="X5" s="237"/>
      <c r="Y5" s="237"/>
      <c r="Z5" s="237"/>
      <c r="AA5" s="244"/>
      <c r="AB5" s="237"/>
      <c r="AL5" s="3026"/>
    </row>
    <row r="6" spans="1:38" s="240" customFormat="1" ht="13.5" customHeight="1" thickTop="1" thickBot="1">
      <c r="A6" s="169" t="s">
        <v>10</v>
      </c>
      <c r="B6" s="169"/>
      <c r="E6" s="122" t="s">
        <v>255</v>
      </c>
      <c r="F6" s="175"/>
      <c r="G6" s="175"/>
      <c r="H6" s="175"/>
      <c r="I6" s="175"/>
      <c r="J6" s="175"/>
      <c r="K6" s="175"/>
      <c r="L6" s="175"/>
      <c r="M6" s="175"/>
      <c r="N6" s="175"/>
      <c r="O6" s="175"/>
      <c r="P6" s="175"/>
      <c r="Q6" s="175"/>
      <c r="R6" s="175"/>
      <c r="S6" s="176"/>
      <c r="W6" s="237"/>
      <c r="X6" s="237"/>
      <c r="Y6" s="237"/>
      <c r="Z6" s="237"/>
      <c r="AA6" s="244"/>
      <c r="AB6" s="237"/>
      <c r="AL6" s="3026"/>
    </row>
    <row r="7" spans="1:38" s="240" customFormat="1" ht="13.5" customHeight="1" thickTop="1">
      <c r="A7" s="3644" t="str">
        <f>Audit!A12</f>
        <v>May 2019 v1.12</v>
      </c>
      <c r="B7" s="3645"/>
      <c r="E7" s="3027" t="s">
        <v>11</v>
      </c>
      <c r="F7" s="3028"/>
      <c r="G7" s="3029"/>
      <c r="H7" s="3029"/>
      <c r="I7" s="3029"/>
      <c r="J7" s="3029"/>
      <c r="K7" s="3029"/>
      <c r="L7" s="3029"/>
      <c r="M7" s="3029"/>
      <c r="N7" s="3029"/>
      <c r="O7" s="3029"/>
      <c r="P7" s="3029"/>
      <c r="Q7" s="3029"/>
      <c r="R7" s="3029"/>
      <c r="S7" s="3030"/>
      <c r="W7" s="237"/>
      <c r="X7" s="237"/>
      <c r="Y7" s="237"/>
      <c r="Z7" s="237"/>
      <c r="AA7" s="244"/>
      <c r="AB7" s="237"/>
      <c r="AL7" s="3026"/>
    </row>
    <row r="8" spans="1:38" s="240" customFormat="1" ht="13.5" customHeight="1">
      <c r="A8" s="3646">
        <f>Audit!C12</f>
        <v>43586</v>
      </c>
      <c r="B8" s="3645"/>
      <c r="E8" s="3068" t="s">
        <v>1851</v>
      </c>
      <c r="F8" s="1360" t="s">
        <v>1900</v>
      </c>
      <c r="G8" s="3032"/>
      <c r="H8" s="3031"/>
      <c r="I8" s="3033"/>
      <c r="J8" s="3031"/>
      <c r="K8" s="3034"/>
      <c r="L8" s="3035"/>
      <c r="M8" s="3031"/>
      <c r="N8" s="3031"/>
      <c r="O8" s="3012"/>
      <c r="P8" s="3033"/>
      <c r="Q8" s="3033"/>
      <c r="R8" s="3033"/>
      <c r="S8" s="3036"/>
      <c r="W8" s="237"/>
      <c r="X8" s="237"/>
      <c r="Y8" s="237"/>
      <c r="Z8" s="237"/>
      <c r="AA8" s="244"/>
      <c r="AB8" s="237"/>
      <c r="AL8" s="3026"/>
    </row>
    <row r="9" spans="1:38" s="240" customFormat="1" ht="13.5" customHeight="1" thickBot="1">
      <c r="A9" s="3642" t="s">
        <v>1149</v>
      </c>
      <c r="B9" s="3643"/>
      <c r="E9" s="3068" t="s">
        <v>1853</v>
      </c>
      <c r="F9" s="1360" t="s">
        <v>1854</v>
      </c>
      <c r="G9" s="3035"/>
      <c r="H9" s="2629"/>
      <c r="I9" s="3033"/>
      <c r="J9" s="3031"/>
      <c r="K9" s="2629"/>
      <c r="L9" s="3035"/>
      <c r="M9" s="3031"/>
      <c r="N9" s="3031"/>
      <c r="O9" s="3012"/>
      <c r="P9" s="3033"/>
      <c r="Q9" s="3033"/>
      <c r="R9" s="3033"/>
      <c r="S9" s="3036"/>
      <c r="W9" s="237"/>
      <c r="X9" s="237"/>
      <c r="Y9" s="237"/>
      <c r="Z9" s="237"/>
      <c r="AA9" s="244"/>
      <c r="AB9" s="237"/>
      <c r="AL9" s="3026"/>
    </row>
    <row r="10" spans="1:38" s="240" customFormat="1" ht="13.5" customHeight="1" thickBot="1">
      <c r="A10" s="3611" t="s">
        <v>1306</v>
      </c>
      <c r="B10" s="3612"/>
      <c r="E10" s="3068" t="s">
        <v>1855</v>
      </c>
      <c r="F10" s="1360" t="s">
        <v>1856</v>
      </c>
      <c r="G10" s="3035"/>
      <c r="H10" s="2629"/>
      <c r="I10" s="3033"/>
      <c r="J10" s="3033"/>
      <c r="K10" s="3033"/>
      <c r="L10" s="3031"/>
      <c r="M10" s="3031"/>
      <c r="N10" s="3037"/>
      <c r="O10" s="3033"/>
      <c r="P10" s="3033"/>
      <c r="Q10" s="3033"/>
      <c r="R10" s="3033"/>
      <c r="S10" s="3036"/>
      <c r="W10" s="237"/>
      <c r="X10" s="237"/>
      <c r="Y10" s="237"/>
      <c r="Z10" s="237"/>
      <c r="AA10" s="244"/>
      <c r="AB10" s="237"/>
      <c r="AL10" s="3026"/>
    </row>
    <row r="11" spans="1:38" s="240" customFormat="1" ht="13.5" customHeight="1" thickBot="1">
      <c r="A11" s="3611" t="s">
        <v>2310</v>
      </c>
      <c r="B11" s="3612"/>
      <c r="E11" s="2614"/>
      <c r="F11" s="3031"/>
      <c r="G11" s="2629"/>
      <c r="H11" s="2629"/>
      <c r="I11" s="3038"/>
      <c r="J11" s="3038"/>
      <c r="K11" s="3038"/>
      <c r="L11" s="3038"/>
      <c r="M11" s="3038"/>
      <c r="N11" s="3038"/>
      <c r="O11" s="3038"/>
      <c r="P11" s="3038"/>
      <c r="Q11" s="3038"/>
      <c r="R11" s="3038"/>
      <c r="S11" s="3039"/>
      <c r="W11" s="237"/>
      <c r="X11" s="237"/>
      <c r="Y11" s="237"/>
      <c r="Z11" s="237"/>
      <c r="AA11" s="244"/>
      <c r="AB11" s="237"/>
      <c r="AL11" s="3026"/>
    </row>
    <row r="12" spans="1:38" s="240" customFormat="1" ht="13.5" customHeight="1">
      <c r="A12" s="2630"/>
      <c r="B12" s="2630"/>
      <c r="E12" s="2614"/>
      <c r="F12" s="3034" t="s">
        <v>1901</v>
      </c>
      <c r="G12" s="2629"/>
      <c r="H12" s="2629"/>
      <c r="I12" s="3038"/>
      <c r="J12" s="3038"/>
      <c r="K12" s="3038"/>
      <c r="L12" s="3038"/>
      <c r="M12" s="3038"/>
      <c r="N12" s="3038"/>
      <c r="O12" s="3038"/>
      <c r="P12" s="3038"/>
      <c r="Q12" s="3038"/>
      <c r="R12" s="3038"/>
      <c r="S12" s="3039"/>
      <c r="W12" s="237"/>
      <c r="X12" s="237"/>
      <c r="Y12" s="237"/>
      <c r="Z12" s="237"/>
      <c r="AA12" s="244"/>
      <c r="AB12" s="237"/>
      <c r="AL12" s="3026"/>
    </row>
    <row r="13" spans="1:38" s="240" customFormat="1" ht="13.5" customHeight="1">
      <c r="A13" s="172" t="s">
        <v>252</v>
      </c>
      <c r="B13" s="194"/>
      <c r="E13" s="2614"/>
      <c r="F13" s="2629"/>
      <c r="G13" s="2629"/>
      <c r="H13" s="2629"/>
      <c r="I13" s="3033"/>
      <c r="J13" s="3033"/>
      <c r="K13" s="3033"/>
      <c r="L13" s="3033"/>
      <c r="M13" s="3033"/>
      <c r="N13" s="3033"/>
      <c r="O13" s="3033"/>
      <c r="P13" s="3033"/>
      <c r="Q13" s="3033"/>
      <c r="R13" s="3033"/>
      <c r="S13" s="3036"/>
      <c r="W13" s="237"/>
      <c r="X13" s="237"/>
      <c r="Y13" s="237"/>
      <c r="Z13" s="237"/>
      <c r="AA13" s="244"/>
      <c r="AB13" s="237"/>
      <c r="AL13" s="3026"/>
    </row>
    <row r="14" spans="1:38" s="240" customFormat="1" ht="13.5" customHeight="1">
      <c r="A14" s="38" t="s">
        <v>12</v>
      </c>
      <c r="B14" s="3031"/>
      <c r="C14" s="3031"/>
      <c r="E14" s="3040"/>
      <c r="F14" s="2629"/>
      <c r="G14" s="2629"/>
      <c r="H14" s="2629"/>
      <c r="I14" s="3033"/>
      <c r="J14" s="3033"/>
      <c r="K14" s="3033"/>
      <c r="L14" s="3033"/>
      <c r="M14" s="3033"/>
      <c r="N14" s="3033"/>
      <c r="O14" s="3033"/>
      <c r="P14" s="3033"/>
      <c r="Q14" s="3033"/>
      <c r="R14" s="3033"/>
      <c r="S14" s="3036"/>
      <c r="W14" s="1393"/>
      <c r="X14" s="1393"/>
      <c r="Y14" s="1393"/>
      <c r="Z14" s="3041"/>
      <c r="AA14" s="244"/>
      <c r="AB14" s="237"/>
    </row>
    <row r="15" spans="1:38" s="240" customFormat="1" ht="13.5" customHeight="1">
      <c r="A15" s="269"/>
      <c r="B15" s="3031"/>
      <c r="C15" s="3031"/>
      <c r="E15" s="265"/>
      <c r="F15" s="3031"/>
      <c r="G15" s="3031"/>
      <c r="H15" s="2629"/>
      <c r="I15" s="3033"/>
      <c r="J15" s="3033"/>
      <c r="K15" s="3033"/>
      <c r="L15" s="3033"/>
      <c r="M15" s="3033"/>
      <c r="N15" s="3033"/>
      <c r="O15" s="3033"/>
      <c r="P15" s="3033"/>
      <c r="Q15" s="3033"/>
      <c r="R15" s="3033"/>
      <c r="S15" s="3036"/>
      <c r="U15" s="3042"/>
      <c r="W15" s="269"/>
      <c r="X15" s="1393"/>
      <c r="Y15" s="1393"/>
      <c r="Z15" s="3041"/>
      <c r="AA15" s="244"/>
      <c r="AB15" s="237"/>
    </row>
    <row r="16" spans="1:38" s="240" customFormat="1" ht="13.5" customHeight="1">
      <c r="B16" s="3031"/>
      <c r="C16" s="3031"/>
      <c r="E16" s="2614"/>
      <c r="F16" s="2629"/>
      <c r="G16" s="2629"/>
      <c r="H16" s="3031"/>
      <c r="I16" s="3033"/>
      <c r="J16" s="3033"/>
      <c r="K16" s="3033"/>
      <c r="L16" s="3033"/>
      <c r="M16" s="3033"/>
      <c r="N16" s="3033"/>
      <c r="O16" s="3033"/>
      <c r="P16" s="3033"/>
      <c r="Q16" s="3033"/>
      <c r="R16" s="3033"/>
      <c r="S16" s="3036"/>
      <c r="U16" s="3042"/>
      <c r="W16" s="237"/>
      <c r="X16" s="237"/>
      <c r="Y16" s="237"/>
      <c r="Z16" s="237"/>
      <c r="AA16" s="237"/>
      <c r="AB16" s="237"/>
    </row>
    <row r="17" spans="1:21" s="240" customFormat="1" ht="13.5" customHeight="1">
      <c r="A17" s="169" t="s">
        <v>253</v>
      </c>
      <c r="B17" s="170"/>
      <c r="C17" s="238"/>
      <c r="E17" s="2614"/>
      <c r="F17" s="236"/>
      <c r="G17" s="2629"/>
      <c r="H17" s="2629"/>
      <c r="I17" s="3033"/>
      <c r="J17" s="3033"/>
      <c r="K17" s="3033"/>
      <c r="L17" s="3033"/>
      <c r="M17" s="3033"/>
      <c r="N17" s="3033"/>
      <c r="O17" s="3033"/>
      <c r="P17" s="3033"/>
      <c r="Q17" s="3033"/>
      <c r="R17" s="3033"/>
      <c r="S17" s="3036"/>
      <c r="U17" s="3042"/>
    </row>
    <row r="18" spans="1:21" s="240" customFormat="1" ht="13.5" customHeight="1">
      <c r="E18" s="2614"/>
      <c r="F18" s="2629"/>
      <c r="G18" s="3043"/>
      <c r="H18" s="3033"/>
      <c r="I18" s="3033"/>
      <c r="J18" s="3033"/>
      <c r="K18" s="3033"/>
      <c r="L18" s="3033"/>
      <c r="M18" s="3033"/>
      <c r="N18" s="3033"/>
      <c r="O18" s="3033"/>
      <c r="P18" s="3033"/>
      <c r="Q18" s="3033"/>
      <c r="R18" s="3033"/>
      <c r="S18" s="3036"/>
      <c r="U18" s="3042"/>
    </row>
    <row r="19" spans="1:21" s="240" customFormat="1" ht="13.5" customHeight="1">
      <c r="E19" s="3044"/>
      <c r="H19" s="2629"/>
      <c r="I19" s="244"/>
      <c r="J19" s="3033"/>
      <c r="K19" s="3045"/>
      <c r="L19" s="3045"/>
      <c r="M19" s="3045"/>
      <c r="N19" s="3045"/>
      <c r="O19" s="3041"/>
      <c r="P19" s="244"/>
      <c r="Q19" s="3033"/>
      <c r="R19" s="3033"/>
      <c r="S19" s="3036"/>
      <c r="U19" s="3042"/>
    </row>
    <row r="20" spans="1:21" s="240" customFormat="1" ht="13.5" customHeight="1" thickBot="1">
      <c r="E20" s="3046" t="s">
        <v>2311</v>
      </c>
      <c r="F20" s="270"/>
      <c r="G20" s="3047"/>
      <c r="H20" s="246"/>
      <c r="I20" s="292"/>
      <c r="J20" s="3048"/>
      <c r="K20" s="3049"/>
      <c r="L20" s="3049"/>
      <c r="M20" s="3049"/>
      <c r="N20" s="3049"/>
      <c r="O20" s="3050"/>
      <c r="P20" s="292"/>
      <c r="Q20" s="3048"/>
      <c r="R20" s="3048"/>
      <c r="S20" s="3051"/>
      <c r="U20" s="3042"/>
    </row>
    <row r="21" spans="1:21" ht="14.4" thickTop="1" thickBot="1"/>
    <row r="22" spans="1:21" ht="14.4" thickTop="1" thickBot="1">
      <c r="A22" s="3053" t="s">
        <v>1857</v>
      </c>
      <c r="B22" s="3053" t="s">
        <v>1790</v>
      </c>
      <c r="C22" s="3053" t="s">
        <v>1836</v>
      </c>
      <c r="D22" s="3053" t="s">
        <v>1837</v>
      </c>
      <c r="E22" s="3053" t="s">
        <v>1838</v>
      </c>
      <c r="F22" s="3064" t="s">
        <v>1449</v>
      </c>
    </row>
    <row r="23" spans="1:21" ht="13.8" thickTop="1">
      <c r="A23" s="3055" t="s">
        <v>1839</v>
      </c>
      <c r="B23" s="3055" t="s">
        <v>1787</v>
      </c>
      <c r="C23" s="3061">
        <f>'JP TT splits'!C23</f>
        <v>6.1305106318546819E-2</v>
      </c>
      <c r="D23" s="3061">
        <f>'JP TT splits'!D23</f>
        <v>0.11740349803027218</v>
      </c>
      <c r="E23" s="3061">
        <f>'JP TT splits'!E23</f>
        <v>0.39026860398195701</v>
      </c>
      <c r="F23" s="3056">
        <f>'JP TT splits'!F23</f>
        <v>0.56897720833077603</v>
      </c>
    </row>
    <row r="24" spans="1:21">
      <c r="A24" s="3057" t="s">
        <v>1839</v>
      </c>
      <c r="B24" s="3057" t="s">
        <v>1840</v>
      </c>
      <c r="C24" s="3062">
        <f>'JP TT splits'!C24</f>
        <v>2.2121636636485063E-2</v>
      </c>
      <c r="D24" s="3062">
        <f>'JP TT splits'!D24</f>
        <v>2.8264538971541988E-2</v>
      </c>
      <c r="E24" s="3062">
        <f>'JP TT splits'!E24</f>
        <v>2.4918132762148222E-2</v>
      </c>
      <c r="F24" s="3058">
        <f>'JP TT splits'!F24</f>
        <v>7.5304308370175266E-2</v>
      </c>
    </row>
    <row r="25" spans="1:21">
      <c r="A25" s="3057" t="s">
        <v>1839</v>
      </c>
      <c r="B25" s="3057" t="s">
        <v>1419</v>
      </c>
      <c r="C25" s="3062">
        <f>'JP TT splits'!C25</f>
        <v>0.1042415780038049</v>
      </c>
      <c r="D25" s="3062">
        <f>'JP TT splits'!D25</f>
        <v>0.15028358709445477</v>
      </c>
      <c r="E25" s="3062">
        <f>'JP TT splits'!E25</f>
        <v>0.10119331820078882</v>
      </c>
      <c r="F25" s="3058">
        <f>'JP TT splits'!F25</f>
        <v>0.35571848329904848</v>
      </c>
    </row>
    <row r="26" spans="1:21" ht="13.8" thickBot="1">
      <c r="A26" s="3057" t="s">
        <v>1839</v>
      </c>
      <c r="B26" s="3057" t="s">
        <v>1449</v>
      </c>
      <c r="C26" s="3062">
        <f>'JP TT splits'!C26</f>
        <v>0.18766832095883679</v>
      </c>
      <c r="D26" s="3062">
        <f>'JP TT splits'!D26</f>
        <v>0.29595162409626896</v>
      </c>
      <c r="E26" s="3062">
        <f>'JP TT splits'!E26</f>
        <v>0.51638005494489403</v>
      </c>
      <c r="F26" s="3058">
        <f>'JP TT splits'!F26</f>
        <v>0.99999999999999978</v>
      </c>
    </row>
    <row r="27" spans="1:21">
      <c r="A27" s="3065" t="s">
        <v>1841</v>
      </c>
      <c r="B27" s="3065" t="s">
        <v>1787</v>
      </c>
      <c r="C27" s="3066">
        <f>'JP TT splits'!C27</f>
        <v>5.0411159711374824E-2</v>
      </c>
      <c r="D27" s="3066">
        <f>'JP TT splits'!D27</f>
        <v>8.3047894455453339E-2</v>
      </c>
      <c r="E27" s="3066">
        <f>'JP TT splits'!E27</f>
        <v>0.40961959741226261</v>
      </c>
      <c r="F27" s="3067">
        <f>'JP TT splits'!F27</f>
        <v>0.54307865157909074</v>
      </c>
    </row>
    <row r="28" spans="1:21">
      <c r="A28" s="3057" t="s">
        <v>1841</v>
      </c>
      <c r="B28" s="3057" t="s">
        <v>1840</v>
      </c>
      <c r="C28" s="3062">
        <f>'JP TT splits'!C28</f>
        <v>4.177082818277484E-2</v>
      </c>
      <c r="D28" s="3062">
        <f>'JP TT splits'!D28</f>
        <v>5.2830312103719683E-2</v>
      </c>
      <c r="E28" s="3062">
        <f>'JP TT splits'!E28</f>
        <v>1.8878740641498599E-2</v>
      </c>
      <c r="F28" s="3058">
        <f>'JP TT splits'!F28</f>
        <v>0.11347988092799312</v>
      </c>
    </row>
    <row r="29" spans="1:21" ht="11.25" customHeight="1">
      <c r="A29" s="3057" t="s">
        <v>1841</v>
      </c>
      <c r="B29" s="3057" t="s">
        <v>1419</v>
      </c>
      <c r="C29" s="3062">
        <f>'JP TT splits'!C29</f>
        <v>9.3877439177696975E-2</v>
      </c>
      <c r="D29" s="3062">
        <f>'JP TT splits'!D29</f>
        <v>0.20028150324271857</v>
      </c>
      <c r="E29" s="3062">
        <f>'JP TT splits'!E29</f>
        <v>4.9282525072500458E-2</v>
      </c>
      <c r="F29" s="3058">
        <f>'JP TT splits'!F29</f>
        <v>0.34344146749291599</v>
      </c>
    </row>
    <row r="30" spans="1:21" ht="13.8" thickBot="1">
      <c r="A30" s="3057" t="s">
        <v>1841</v>
      </c>
      <c r="B30" s="3057" t="s">
        <v>1449</v>
      </c>
      <c r="C30" s="3062">
        <f>'JP TT splits'!C30</f>
        <v>0.18605942707184664</v>
      </c>
      <c r="D30" s="3062">
        <f>'JP TT splits'!D30</f>
        <v>0.33615970980189158</v>
      </c>
      <c r="E30" s="3062">
        <f>'JP TT splits'!E30</f>
        <v>0.47778086312626167</v>
      </c>
      <c r="F30" s="3058">
        <f>'JP TT splits'!F30</f>
        <v>0.99999999999999989</v>
      </c>
    </row>
    <row r="31" spans="1:21">
      <c r="A31" s="3065" t="s">
        <v>1842</v>
      </c>
      <c r="B31" s="3065" t="s">
        <v>1787</v>
      </c>
      <c r="C31" s="3066">
        <f>'JP TT splits'!C31</f>
        <v>8.5404807807077293E-2</v>
      </c>
      <c r="D31" s="3066">
        <f>'JP TT splits'!D31</f>
        <v>6.6579538012606257E-2</v>
      </c>
      <c r="E31" s="3066">
        <f>'JP TT splits'!E31</f>
        <v>0.2104060711743605</v>
      </c>
      <c r="F31" s="3067">
        <f>'JP TT splits'!F31</f>
        <v>0.36239041699404406</v>
      </c>
    </row>
    <row r="32" spans="1:21">
      <c r="A32" s="3057" t="s">
        <v>1842</v>
      </c>
      <c r="B32" s="3057" t="s">
        <v>1840</v>
      </c>
      <c r="C32" s="3062">
        <f>'JP TT splits'!C32</f>
        <v>1.7440608266501893E-2</v>
      </c>
      <c r="D32" s="3062">
        <f>'JP TT splits'!D32</f>
        <v>2.1424667797355079E-2</v>
      </c>
      <c r="E32" s="3062">
        <f>'JP TT splits'!E32</f>
        <v>5.5087582628799746E-3</v>
      </c>
      <c r="F32" s="3058">
        <f>'JP TT splits'!F32</f>
        <v>4.437403432673695E-2</v>
      </c>
    </row>
    <row r="33" spans="1:6">
      <c r="A33" s="3057" t="s">
        <v>1842</v>
      </c>
      <c r="B33" s="3057" t="s">
        <v>1419</v>
      </c>
      <c r="C33" s="3062">
        <f>'JP TT splits'!C33</f>
        <v>0.1438354588967089</v>
      </c>
      <c r="D33" s="3062">
        <f>'JP TT splits'!D33</f>
        <v>0.30106919121064613</v>
      </c>
      <c r="E33" s="3062">
        <f>'JP TT splits'!E33</f>
        <v>0.14833089857186382</v>
      </c>
      <c r="F33" s="3058">
        <f>'JP TT splits'!F33</f>
        <v>0.5932355486792189</v>
      </c>
    </row>
    <row r="34" spans="1:6" ht="13.8" thickBot="1">
      <c r="A34" s="3057" t="s">
        <v>1842</v>
      </c>
      <c r="B34" s="3057" t="s">
        <v>1449</v>
      </c>
      <c r="C34" s="3062">
        <f>'JP TT splits'!C34</f>
        <v>0.24668087497028809</v>
      </c>
      <c r="D34" s="3062">
        <f>'JP TT splits'!D34</f>
        <v>0.38907339702060745</v>
      </c>
      <c r="E34" s="3062">
        <f>'JP TT splits'!E34</f>
        <v>0.36424572800910426</v>
      </c>
      <c r="F34" s="3058">
        <f>'JP TT splits'!F34</f>
        <v>0.99999999999999978</v>
      </c>
    </row>
    <row r="35" spans="1:6">
      <c r="A35" s="3065" t="s">
        <v>1843</v>
      </c>
      <c r="B35" s="3065" t="s">
        <v>1787</v>
      </c>
      <c r="C35" s="3066">
        <f>'JP TT splits'!C35</f>
        <v>1.4751298565240033E-2</v>
      </c>
      <c r="D35" s="3066">
        <f>'JP TT splits'!D35</f>
        <v>4.7328847219843498E-2</v>
      </c>
      <c r="E35" s="3066">
        <f>'JP TT splits'!E35</f>
        <v>0.16986596254669767</v>
      </c>
      <c r="F35" s="3067">
        <f>'JP TT splits'!F35</f>
        <v>0.2319461083317812</v>
      </c>
    </row>
    <row r="36" spans="1:6">
      <c r="A36" s="3057" t="s">
        <v>1843</v>
      </c>
      <c r="B36" s="3057" t="s">
        <v>1840</v>
      </c>
      <c r="C36" s="3062">
        <f>'JP TT splits'!C36</f>
        <v>4.7818783757622614E-2</v>
      </c>
      <c r="D36" s="3062">
        <f>'JP TT splits'!D36</f>
        <v>0.27908105752177476</v>
      </c>
      <c r="E36" s="3062">
        <f>'JP TT splits'!E36</f>
        <v>3.5323813059217092E-2</v>
      </c>
      <c r="F36" s="3058">
        <f>'JP TT splits'!F36</f>
        <v>0.36222365433861448</v>
      </c>
    </row>
    <row r="37" spans="1:6">
      <c r="A37" s="3057" t="s">
        <v>1843</v>
      </c>
      <c r="B37" s="3057" t="s">
        <v>1419</v>
      </c>
      <c r="C37" s="3062">
        <f>'JP TT splits'!C37</f>
        <v>2.9779929748409276E-2</v>
      </c>
      <c r="D37" s="3062">
        <f>'JP TT splits'!D37</f>
        <v>0.34581001948867646</v>
      </c>
      <c r="E37" s="3062">
        <f>'JP TT splits'!E37</f>
        <v>3.0240288092518573E-2</v>
      </c>
      <c r="F37" s="3058">
        <f>'JP TT splits'!F37</f>
        <v>0.40583023732960427</v>
      </c>
    </row>
    <row r="38" spans="1:6" ht="13.8" thickBot="1">
      <c r="A38" s="3057" t="s">
        <v>1843</v>
      </c>
      <c r="B38" s="3057" t="s">
        <v>1449</v>
      </c>
      <c r="C38" s="3062">
        <f>'JP TT splits'!C38</f>
        <v>9.2350012071271928E-2</v>
      </c>
      <c r="D38" s="3062">
        <f>'JP TT splits'!D38</f>
        <v>0.67221992423029464</v>
      </c>
      <c r="E38" s="3062">
        <f>'JP TT splits'!E38</f>
        <v>0.23543006369843333</v>
      </c>
      <c r="F38" s="3058">
        <f>'JP TT splits'!F38</f>
        <v>0.99999999999999989</v>
      </c>
    </row>
    <row r="39" spans="1:6">
      <c r="A39" s="3065" t="s">
        <v>1844</v>
      </c>
      <c r="B39" s="3065" t="s">
        <v>1787</v>
      </c>
      <c r="C39" s="3066">
        <f>'JP TT splits'!C39</f>
        <v>4.5140156141562004E-3</v>
      </c>
      <c r="D39" s="3066">
        <f>'JP TT splits'!D39</f>
        <v>4.1937088672724533E-2</v>
      </c>
      <c r="E39" s="3066">
        <f>'JP TT splits'!E39</f>
        <v>2.292966110843335E-2</v>
      </c>
      <c r="F39" s="3067">
        <f>'JP TT splits'!F39</f>
        <v>6.9380765395314084E-2</v>
      </c>
    </row>
    <row r="40" spans="1:6">
      <c r="A40" s="3057" t="s">
        <v>1844</v>
      </c>
      <c r="B40" s="3057" t="s">
        <v>1840</v>
      </c>
      <c r="C40" s="3062">
        <f>'JP TT splits'!C40</f>
        <v>3.9391010917871748E-2</v>
      </c>
      <c r="D40" s="3062">
        <f>'JP TT splits'!D40</f>
        <v>0.29491459645578366</v>
      </c>
      <c r="E40" s="3062">
        <f>'JP TT splits'!E40</f>
        <v>1.2071124673388873E-2</v>
      </c>
      <c r="F40" s="3058">
        <f>'JP TT splits'!F40</f>
        <v>0.34637673204704428</v>
      </c>
    </row>
    <row r="41" spans="1:6">
      <c r="A41" s="3057" t="s">
        <v>1844</v>
      </c>
      <c r="B41" s="3057" t="s">
        <v>1419</v>
      </c>
      <c r="C41" s="3062">
        <f>'JP TT splits'!C41</f>
        <v>3.1703576062968669E-2</v>
      </c>
      <c r="D41" s="3062">
        <f>'JP TT splits'!D41</f>
        <v>0.54581837101717712</v>
      </c>
      <c r="E41" s="3062">
        <f>'JP TT splits'!E41</f>
        <v>6.7205554774958376E-3</v>
      </c>
      <c r="F41" s="3058">
        <f>'JP TT splits'!F41</f>
        <v>0.58424250255764165</v>
      </c>
    </row>
    <row r="42" spans="1:6" ht="13.8" thickBot="1">
      <c r="A42" s="3057" t="s">
        <v>1844</v>
      </c>
      <c r="B42" s="3057" t="s">
        <v>1449</v>
      </c>
      <c r="C42" s="3062">
        <f>'JP TT splits'!C42</f>
        <v>7.5608602594996618E-2</v>
      </c>
      <c r="D42" s="3062">
        <f>'JP TT splits'!D42</f>
        <v>0.88267005614568528</v>
      </c>
      <c r="E42" s="3062">
        <f>'JP TT splits'!E42</f>
        <v>4.1721341259318062E-2</v>
      </c>
      <c r="F42" s="3058">
        <f>'JP TT splits'!F42</f>
        <v>0.99999999999999989</v>
      </c>
    </row>
    <row r="43" spans="1:6">
      <c r="A43" s="3065" t="s">
        <v>1845</v>
      </c>
      <c r="B43" s="3065" t="s">
        <v>1787</v>
      </c>
      <c r="C43" s="3066">
        <f>'JP TT splits'!C43</f>
        <v>0.12445807807004206</v>
      </c>
      <c r="D43" s="3066">
        <f>'JP TT splits'!D43</f>
        <v>6.3225399302493088E-2</v>
      </c>
      <c r="E43" s="3066">
        <f>'JP TT splits'!E43</f>
        <v>0.20060996535640929</v>
      </c>
      <c r="F43" s="3067">
        <f>'JP TT splits'!F43</f>
        <v>0.38829344272894445</v>
      </c>
    </row>
    <row r="44" spans="1:6">
      <c r="A44" s="3057" t="s">
        <v>1845</v>
      </c>
      <c r="B44" s="3057" t="s">
        <v>1840</v>
      </c>
      <c r="C44" s="3062">
        <f>'JP TT splits'!C44</f>
        <v>1.5221978007668002E-2</v>
      </c>
      <c r="D44" s="3062">
        <f>'JP TT splits'!D44</f>
        <v>1.1647490451901403E-2</v>
      </c>
      <c r="E44" s="3062">
        <f>'JP TT splits'!E44</f>
        <v>4.8588803706828309E-4</v>
      </c>
      <c r="F44" s="3058">
        <f>'JP TT splits'!F44</f>
        <v>2.7355356496637687E-2</v>
      </c>
    </row>
    <row r="45" spans="1:6">
      <c r="A45" s="3057" t="s">
        <v>1845</v>
      </c>
      <c r="B45" s="3057" t="s">
        <v>1419</v>
      </c>
      <c r="C45" s="3062">
        <f>'JP TT splits'!C45</f>
        <v>0.25329840804520354</v>
      </c>
      <c r="D45" s="3062">
        <f>'JP TT splits'!D45</f>
        <v>0.23543906611314083</v>
      </c>
      <c r="E45" s="3062">
        <f>'JP TT splits'!E45</f>
        <v>9.5613726616073466E-2</v>
      </c>
      <c r="F45" s="3058">
        <f>'JP TT splits'!F45</f>
        <v>0.58435120077441782</v>
      </c>
    </row>
    <row r="46" spans="1:6" ht="13.8" thickBot="1">
      <c r="A46" s="3057" t="s">
        <v>1845</v>
      </c>
      <c r="B46" s="3057" t="s">
        <v>1449</v>
      </c>
      <c r="C46" s="3062">
        <f>'JP TT splits'!C46</f>
        <v>0.3929784641229136</v>
      </c>
      <c r="D46" s="3062">
        <f>'JP TT splits'!D46</f>
        <v>0.31031195586753535</v>
      </c>
      <c r="E46" s="3062">
        <f>'JP TT splits'!E46</f>
        <v>0.29670958000955105</v>
      </c>
      <c r="F46" s="3058">
        <f>'JP TT splits'!F46</f>
        <v>1</v>
      </c>
    </row>
    <row r="47" spans="1:6">
      <c r="A47" s="3065" t="s">
        <v>1846</v>
      </c>
      <c r="B47" s="3065" t="s">
        <v>1787</v>
      </c>
      <c r="C47" s="3066">
        <f>'JP TT splits'!C47</f>
        <v>5.3959954737206876E-2</v>
      </c>
      <c r="D47" s="3066">
        <f>'JP TT splits'!D47</f>
        <v>7.0555145914464698E-2</v>
      </c>
      <c r="E47" s="3066">
        <f>'JP TT splits'!E47</f>
        <v>0.13814009619431591</v>
      </c>
      <c r="F47" s="3067">
        <f>'JP TT splits'!F47</f>
        <v>0.26265519684598748</v>
      </c>
    </row>
    <row r="48" spans="1:6">
      <c r="A48" s="3057" t="s">
        <v>1846</v>
      </c>
      <c r="B48" s="3057" t="s">
        <v>1840</v>
      </c>
      <c r="C48" s="3062">
        <f>'JP TT splits'!C48</f>
        <v>4.7075113832637829E-2</v>
      </c>
      <c r="D48" s="3062">
        <f>'JP TT splits'!D48</f>
        <v>6.2350553920058838E-2</v>
      </c>
      <c r="E48" s="3062">
        <f>'JP TT splits'!E48</f>
        <v>2.4531600683377511E-3</v>
      </c>
      <c r="F48" s="3058">
        <f>'JP TT splits'!F48</f>
        <v>0.11187882782103441</v>
      </c>
    </row>
    <row r="49" spans="1:6">
      <c r="A49" s="3057" t="s">
        <v>1846</v>
      </c>
      <c r="B49" s="3057" t="s">
        <v>1419</v>
      </c>
      <c r="C49" s="3062">
        <f>'JP TT splits'!C49</f>
        <v>0.1735957982220088</v>
      </c>
      <c r="D49" s="3062">
        <f>'JP TT splits'!D49</f>
        <v>0.40817375633761527</v>
      </c>
      <c r="E49" s="3062">
        <f>'JP TT splits'!E49</f>
        <v>4.3696420773353853E-2</v>
      </c>
      <c r="F49" s="3058">
        <f>'JP TT splits'!F49</f>
        <v>0.62546597533297799</v>
      </c>
    </row>
    <row r="50" spans="1:6" ht="13.8" thickBot="1">
      <c r="A50" s="3057" t="s">
        <v>1846</v>
      </c>
      <c r="B50" s="3057" t="s">
        <v>1449</v>
      </c>
      <c r="C50" s="3062">
        <f>'JP TT splits'!C50</f>
        <v>0.2746308667918535</v>
      </c>
      <c r="D50" s="3062">
        <f>'JP TT splits'!D50</f>
        <v>0.54107945617213882</v>
      </c>
      <c r="E50" s="3062">
        <f>'JP TT splits'!E50</f>
        <v>0.18428967703600752</v>
      </c>
      <c r="F50" s="3058">
        <f>'JP TT splits'!F50</f>
        <v>0.99999999999999989</v>
      </c>
    </row>
    <row r="51" spans="1:6">
      <c r="A51" s="3065" t="s">
        <v>1847</v>
      </c>
      <c r="B51" s="3065" t="s">
        <v>1787</v>
      </c>
      <c r="C51" s="3066">
        <f>'JP TT splits'!C51</f>
        <v>4.965534277718146E-3</v>
      </c>
      <c r="D51" s="3066">
        <f>'JP TT splits'!D51</f>
        <v>2.421830447099E-2</v>
      </c>
      <c r="E51" s="3066">
        <f>'JP TT splits'!E51</f>
        <v>3.7261436674800954E-3</v>
      </c>
      <c r="F51" s="3067">
        <f>'JP TT splits'!F51</f>
        <v>3.2909982416188241E-2</v>
      </c>
    </row>
    <row r="52" spans="1:6">
      <c r="A52" s="3057" t="s">
        <v>1847</v>
      </c>
      <c r="B52" s="3057" t="s">
        <v>1840</v>
      </c>
      <c r="C52" s="3062">
        <f>'JP TT splits'!C52</f>
        <v>5.0151574824460234E-2</v>
      </c>
      <c r="D52" s="3062">
        <f>'JP TT splits'!D52</f>
        <v>0.2192031358522572</v>
      </c>
      <c r="E52" s="3062">
        <f>'JP TT splits'!E52</f>
        <v>1.5828424665133148E-4</v>
      </c>
      <c r="F52" s="3058">
        <f>'JP TT splits'!F52</f>
        <v>0.26951299492336878</v>
      </c>
    </row>
    <row r="53" spans="1:6">
      <c r="A53" s="3057" t="s">
        <v>1847</v>
      </c>
      <c r="B53" s="3057" t="s">
        <v>1419</v>
      </c>
      <c r="C53" s="3062">
        <f>'JP TT splits'!C53</f>
        <v>7.6233873710235614E-2</v>
      </c>
      <c r="D53" s="3062">
        <f>'JP TT splits'!D53</f>
        <v>0.62004422488585476</v>
      </c>
      <c r="E53" s="3062">
        <f>'JP TT splits'!E53</f>
        <v>1.298924064352909E-3</v>
      </c>
      <c r="F53" s="3058">
        <f>'JP TT splits'!F53</f>
        <v>0.6975770226604433</v>
      </c>
    </row>
    <row r="54" spans="1:6" ht="13.8" thickBot="1">
      <c r="A54" s="3057" t="s">
        <v>1847</v>
      </c>
      <c r="B54" s="3057" t="s">
        <v>1449</v>
      </c>
      <c r="C54" s="3062">
        <f>'JP TT splits'!C54</f>
        <v>0.131350982812414</v>
      </c>
      <c r="D54" s="3062">
        <f>'JP TT splits'!D54</f>
        <v>0.86346566520910195</v>
      </c>
      <c r="E54" s="3062">
        <f>'JP TT splits'!E54</f>
        <v>5.1833519784843362E-3</v>
      </c>
      <c r="F54" s="3058">
        <f>'JP TT splits'!F54</f>
        <v>1.0000000000000002</v>
      </c>
    </row>
    <row r="55" spans="1:6">
      <c r="A55" s="3065" t="s">
        <v>1848</v>
      </c>
      <c r="B55" s="3065" t="s">
        <v>1787</v>
      </c>
      <c r="C55" s="3066">
        <f>'JP TT splits'!C55</f>
        <v>9.1114440013329551E-2</v>
      </c>
      <c r="D55" s="3066">
        <f>'JP TT splits'!D55</f>
        <v>9.2616543052123051E-2</v>
      </c>
      <c r="E55" s="3066">
        <f>'JP TT splits'!E55</f>
        <v>0.28463650423530029</v>
      </c>
      <c r="F55" s="3067">
        <f>'JP TT splits'!F55</f>
        <v>0.46836748730075289</v>
      </c>
    </row>
    <row r="56" spans="1:6">
      <c r="A56" s="3057" t="s">
        <v>1848</v>
      </c>
      <c r="B56" s="3057" t="s">
        <v>1840</v>
      </c>
      <c r="C56" s="3062">
        <f>'JP TT splits'!C56</f>
        <v>1.25966821373083E-2</v>
      </c>
      <c r="D56" s="3062">
        <f>'JP TT splits'!D56</f>
        <v>1.178586593641218E-2</v>
      </c>
      <c r="E56" s="3062">
        <f>'JP TT splits'!E56</f>
        <v>5.2667186885726287E-3</v>
      </c>
      <c r="F56" s="3058">
        <f>'JP TT splits'!F56</f>
        <v>2.9649266762293108E-2</v>
      </c>
    </row>
    <row r="57" spans="1:6">
      <c r="A57" s="3057" t="s">
        <v>1848</v>
      </c>
      <c r="B57" s="3057" t="s">
        <v>1419</v>
      </c>
      <c r="C57" s="3062">
        <f>'JP TT splits'!C57</f>
        <v>0.12699987619060227</v>
      </c>
      <c r="D57" s="3062">
        <f>'JP TT splits'!D57</f>
        <v>0.295764647078886</v>
      </c>
      <c r="E57" s="3062">
        <f>'JP TT splits'!E57</f>
        <v>7.9218722667465741E-2</v>
      </c>
      <c r="F57" s="3058">
        <f>'JP TT splits'!F57</f>
        <v>0.50198324593695398</v>
      </c>
    </row>
    <row r="58" spans="1:6" ht="13.8" thickBot="1">
      <c r="A58" s="3059" t="s">
        <v>1848</v>
      </c>
      <c r="B58" s="3059" t="s">
        <v>1449</v>
      </c>
      <c r="C58" s="3063">
        <f>'JP TT splits'!C58</f>
        <v>0.23071099834124012</v>
      </c>
      <c r="D58" s="3063">
        <f>'JP TT splits'!D58</f>
        <v>0.4001670560674212</v>
      </c>
      <c r="E58" s="3063">
        <f>'JP TT splits'!E58</f>
        <v>0.36912194559133871</v>
      </c>
      <c r="F58" s="3060">
        <f>'JP TT splits'!F58</f>
        <v>1.0000000000000002</v>
      </c>
    </row>
    <row r="59" spans="1:6" ht="13.8" thickTop="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 ref="F12" r:id="rId2"/>
  </hyperlinks>
  <pageMargins left="0.7" right="0.7" top="0.75" bottom="0.75" header="0.3" footer="0.3"/>
  <drawing r:id="rId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tabColor rgb="FFFF0000"/>
  </sheetPr>
  <dimension ref="A1:AL59"/>
  <sheetViews>
    <sheetView zoomScale="85" zoomScaleNormal="85" workbookViewId="0">
      <selection activeCell="E23" sqref="E23:F23"/>
    </sheetView>
  </sheetViews>
  <sheetFormatPr defaultColWidth="9.109375" defaultRowHeight="13.2"/>
  <cols>
    <col min="1" max="1" width="45.5546875" style="3031" customWidth="1"/>
    <col min="2" max="2" width="16.88671875" style="3031" customWidth="1"/>
    <col min="3" max="16384" width="9.109375" style="3031"/>
  </cols>
  <sheetData>
    <row r="1" spans="1:38" s="240" customFormat="1" ht="54.9" customHeight="1">
      <c r="A1" s="3821"/>
      <c r="B1" s="3821"/>
      <c r="C1" s="3021"/>
    </row>
    <row r="2" spans="1:38" s="240" customFormat="1" ht="5.0999999999999996" customHeight="1">
      <c r="C2" s="3022"/>
    </row>
    <row r="3" spans="1:38" s="262" customFormat="1" ht="20.100000000000001" customHeight="1">
      <c r="A3" s="260" t="s">
        <v>2312</v>
      </c>
      <c r="B3" s="260"/>
      <c r="C3" s="260"/>
      <c r="D3" s="260"/>
      <c r="E3" s="260"/>
      <c r="F3" s="260"/>
      <c r="G3" s="260"/>
      <c r="H3" s="260"/>
      <c r="I3" s="260"/>
      <c r="J3" s="260"/>
      <c r="K3" s="260"/>
      <c r="L3" s="260"/>
      <c r="M3" s="260"/>
      <c r="N3" s="260"/>
      <c r="O3" s="260"/>
      <c r="P3" s="260"/>
      <c r="Q3" s="260"/>
      <c r="R3" s="260"/>
      <c r="S3" s="260"/>
      <c r="W3" s="260"/>
      <c r="X3" s="260"/>
      <c r="Y3" s="260"/>
      <c r="Z3" s="260"/>
      <c r="AA3" s="271"/>
      <c r="AB3" s="260"/>
      <c r="AL3" s="3023"/>
    </row>
    <row r="4" spans="1:38" s="262" customFormat="1" ht="20.100000000000001" customHeight="1" thickBot="1">
      <c r="A4" s="1719" t="s">
        <v>1849</v>
      </c>
      <c r="B4" s="1719"/>
      <c r="C4" s="1719"/>
      <c r="D4" s="1719"/>
      <c r="E4" s="1719"/>
      <c r="F4" s="1719"/>
      <c r="G4" s="1719"/>
      <c r="H4" s="1719"/>
      <c r="I4" s="1719"/>
      <c r="J4" s="1719"/>
      <c r="K4" s="1719"/>
      <c r="L4" s="1719"/>
      <c r="M4" s="1719"/>
      <c r="N4" s="1719"/>
      <c r="O4" s="1719"/>
      <c r="P4" s="1719"/>
      <c r="Q4" s="1719"/>
      <c r="R4" s="1719"/>
      <c r="S4" s="1719"/>
      <c r="W4" s="260"/>
      <c r="X4" s="260"/>
      <c r="Y4" s="260"/>
      <c r="Z4" s="260"/>
      <c r="AA4" s="271"/>
      <c r="AB4" s="260"/>
      <c r="AL4" s="3023"/>
    </row>
    <row r="5" spans="1:38" s="240" customFormat="1" ht="9.9" customHeight="1" thickTop="1" thickBot="1">
      <c r="B5" s="3024"/>
      <c r="C5" s="3024"/>
      <c r="D5" s="3025"/>
      <c r="E5" s="3024"/>
      <c r="F5" s="3024"/>
      <c r="G5" s="3025"/>
      <c r="H5" s="3024"/>
      <c r="I5" s="3025"/>
      <c r="J5" s="3025"/>
      <c r="K5" s="3025"/>
      <c r="L5" s="3025"/>
      <c r="M5" s="3025"/>
      <c r="N5" s="3025"/>
      <c r="O5" s="3025"/>
      <c r="P5" s="3025"/>
      <c r="Q5" s="3025"/>
      <c r="R5" s="3025"/>
      <c r="S5" s="3025"/>
      <c r="W5" s="237"/>
      <c r="X5" s="237"/>
      <c r="Y5" s="237"/>
      <c r="Z5" s="237"/>
      <c r="AA5" s="244"/>
      <c r="AB5" s="237"/>
      <c r="AL5" s="3026"/>
    </row>
    <row r="6" spans="1:38" s="240" customFormat="1" ht="13.5" customHeight="1" thickTop="1" thickBot="1">
      <c r="A6" s="169" t="s">
        <v>10</v>
      </c>
      <c r="B6" s="169"/>
      <c r="E6" s="122" t="s">
        <v>255</v>
      </c>
      <c r="F6" s="175"/>
      <c r="G6" s="175"/>
      <c r="H6" s="175"/>
      <c r="I6" s="175"/>
      <c r="J6" s="175"/>
      <c r="K6" s="175"/>
      <c r="L6" s="175"/>
      <c r="M6" s="175"/>
      <c r="N6" s="175"/>
      <c r="O6" s="175"/>
      <c r="P6" s="175"/>
      <c r="Q6" s="175"/>
      <c r="R6" s="175"/>
      <c r="S6" s="176"/>
      <c r="W6" s="237"/>
      <c r="X6" s="237"/>
      <c r="Y6" s="237"/>
      <c r="Z6" s="237"/>
      <c r="AA6" s="244"/>
      <c r="AB6" s="237"/>
      <c r="AL6" s="3026"/>
    </row>
    <row r="7" spans="1:38" s="240" customFormat="1" ht="13.5" customHeight="1" thickTop="1">
      <c r="A7" s="3644" t="str">
        <f>Audit!A12</f>
        <v>May 2019 v1.12</v>
      </c>
      <c r="B7" s="3645"/>
      <c r="E7" s="3027" t="s">
        <v>11</v>
      </c>
      <c r="F7" s="3028"/>
      <c r="G7" s="3029"/>
      <c r="H7" s="3029"/>
      <c r="I7" s="3029"/>
      <c r="J7" s="3029"/>
      <c r="K7" s="3029"/>
      <c r="L7" s="3029"/>
      <c r="M7" s="3029"/>
      <c r="N7" s="3029"/>
      <c r="O7" s="3029"/>
      <c r="P7" s="3029"/>
      <c r="Q7" s="3029"/>
      <c r="R7" s="3029"/>
      <c r="S7" s="3030"/>
      <c r="W7" s="237"/>
      <c r="X7" s="237"/>
      <c r="Y7" s="237"/>
      <c r="Z7" s="237"/>
      <c r="AA7" s="244"/>
      <c r="AB7" s="237"/>
      <c r="AL7" s="3026"/>
    </row>
    <row r="8" spans="1:38" s="240" customFormat="1" ht="13.5" customHeight="1">
      <c r="A8" s="3646">
        <f>Audit!C12</f>
        <v>43586</v>
      </c>
      <c r="B8" s="3645"/>
      <c r="E8" s="3068" t="s">
        <v>1851</v>
      </c>
      <c r="F8" s="1360" t="s">
        <v>1852</v>
      </c>
      <c r="G8" s="3032"/>
      <c r="H8" s="3031"/>
      <c r="I8" s="3033"/>
      <c r="J8" s="3031"/>
      <c r="K8" s="3034"/>
      <c r="L8" s="3035"/>
      <c r="M8" s="3031"/>
      <c r="N8" s="3031"/>
      <c r="O8" s="3012"/>
      <c r="P8" s="3033"/>
      <c r="Q8" s="3033"/>
      <c r="R8" s="3033"/>
      <c r="S8" s="3036"/>
      <c r="W8" s="237"/>
      <c r="X8" s="237"/>
      <c r="Y8" s="237"/>
      <c r="Z8" s="237"/>
      <c r="AA8" s="244"/>
      <c r="AB8" s="237"/>
      <c r="AL8" s="3026"/>
    </row>
    <row r="9" spans="1:38" s="240" customFormat="1" ht="13.5" customHeight="1" thickBot="1">
      <c r="A9" s="3642" t="s">
        <v>1149</v>
      </c>
      <c r="B9" s="3643"/>
      <c r="E9" s="3068" t="s">
        <v>1853</v>
      </c>
      <c r="F9" s="1360" t="s">
        <v>1854</v>
      </c>
      <c r="G9" s="3035"/>
      <c r="H9" s="2629"/>
      <c r="I9" s="3033"/>
      <c r="J9" s="3031"/>
      <c r="K9" s="2629"/>
      <c r="L9" s="3035"/>
      <c r="M9" s="3031"/>
      <c r="N9" s="3031"/>
      <c r="O9" s="3012"/>
      <c r="P9" s="3033"/>
      <c r="Q9" s="3033"/>
      <c r="R9" s="3033"/>
      <c r="S9" s="3036"/>
      <c r="W9" s="237"/>
      <c r="X9" s="237"/>
      <c r="Y9" s="237"/>
      <c r="Z9" s="237"/>
      <c r="AA9" s="244"/>
      <c r="AB9" s="237"/>
      <c r="AL9" s="3026"/>
    </row>
    <row r="10" spans="1:38" s="240" customFormat="1" ht="13.5" customHeight="1" thickBot="1">
      <c r="A10" s="3611" t="s">
        <v>1306</v>
      </c>
      <c r="B10" s="3612"/>
      <c r="E10" s="3068" t="s">
        <v>1855</v>
      </c>
      <c r="F10" s="1360" t="s">
        <v>1856</v>
      </c>
      <c r="G10" s="3035"/>
      <c r="H10" s="2629"/>
      <c r="I10" s="3033"/>
      <c r="J10" s="3033"/>
      <c r="K10" s="3033"/>
      <c r="L10" s="3031"/>
      <c r="M10" s="3031"/>
      <c r="N10" s="3037"/>
      <c r="O10" s="3033"/>
      <c r="P10" s="3033"/>
      <c r="Q10" s="3033"/>
      <c r="R10" s="3033"/>
      <c r="S10" s="3036"/>
      <c r="W10" s="237"/>
      <c r="X10" s="237"/>
      <c r="Y10" s="237"/>
      <c r="Z10" s="237"/>
      <c r="AA10" s="244"/>
      <c r="AB10" s="237"/>
      <c r="AL10" s="3026"/>
    </row>
    <row r="11" spans="1:38" s="240" customFormat="1" ht="13.5" customHeight="1" thickBot="1">
      <c r="A11" s="3611" t="s">
        <v>2310</v>
      </c>
      <c r="B11" s="3612"/>
      <c r="E11" s="2614"/>
      <c r="F11" s="3031"/>
      <c r="G11" s="2629"/>
      <c r="H11" s="2629"/>
      <c r="I11" s="3038"/>
      <c r="J11" s="3038"/>
      <c r="K11" s="3038"/>
      <c r="L11" s="3038"/>
      <c r="M11" s="3038"/>
      <c r="N11" s="3038"/>
      <c r="O11" s="3038"/>
      <c r="P11" s="3038"/>
      <c r="Q11" s="3038"/>
      <c r="R11" s="3038"/>
      <c r="S11" s="3039"/>
      <c r="W11" s="237"/>
      <c r="X11" s="237"/>
      <c r="Y11" s="237"/>
      <c r="Z11" s="237"/>
      <c r="AA11" s="244"/>
      <c r="AB11" s="237"/>
      <c r="AL11" s="3026"/>
    </row>
    <row r="12" spans="1:38" s="240" customFormat="1" ht="13.5" customHeight="1">
      <c r="A12" s="2630"/>
      <c r="B12" s="2630"/>
      <c r="E12" s="2614"/>
      <c r="F12" s="3031"/>
      <c r="G12" s="2629"/>
      <c r="H12" s="2629"/>
      <c r="I12" s="3038"/>
      <c r="J12" s="3038"/>
      <c r="K12" s="3038"/>
      <c r="L12" s="3038"/>
      <c r="M12" s="3038"/>
      <c r="N12" s="3038"/>
      <c r="O12" s="3038"/>
      <c r="P12" s="3038"/>
      <c r="Q12" s="3038"/>
      <c r="R12" s="3038"/>
      <c r="S12" s="3039"/>
      <c r="W12" s="237"/>
      <c r="X12" s="237"/>
      <c r="Y12" s="237"/>
      <c r="Z12" s="237"/>
      <c r="AA12" s="244"/>
      <c r="AB12" s="237"/>
      <c r="AL12" s="3026"/>
    </row>
    <row r="13" spans="1:38" s="240" customFormat="1" ht="13.5" customHeight="1">
      <c r="A13" s="172" t="s">
        <v>252</v>
      </c>
      <c r="B13" s="194"/>
      <c r="E13" s="2614"/>
      <c r="F13" s="2629"/>
      <c r="G13" s="2629"/>
      <c r="H13" s="2629"/>
      <c r="I13" s="3033"/>
      <c r="J13" s="3033"/>
      <c r="K13" s="3033"/>
      <c r="L13" s="3033"/>
      <c r="M13" s="3033"/>
      <c r="N13" s="3033"/>
      <c r="O13" s="3033"/>
      <c r="P13" s="3033"/>
      <c r="Q13" s="3033"/>
      <c r="R13" s="3033"/>
      <c r="S13" s="3036"/>
      <c r="W13" s="237"/>
      <c r="X13" s="237"/>
      <c r="Y13" s="237"/>
      <c r="Z13" s="237"/>
      <c r="AA13" s="244"/>
      <c r="AB13" s="237"/>
      <c r="AL13" s="3026"/>
    </row>
    <row r="14" spans="1:38" s="240" customFormat="1" ht="13.5" customHeight="1">
      <c r="A14" s="38" t="s">
        <v>12</v>
      </c>
      <c r="B14" s="3031"/>
      <c r="C14" s="3031"/>
      <c r="E14" s="3040"/>
      <c r="F14" s="2629"/>
      <c r="G14" s="2629"/>
      <c r="H14" s="2629"/>
      <c r="I14" s="3033"/>
      <c r="J14" s="3033"/>
      <c r="K14" s="3033"/>
      <c r="L14" s="3033"/>
      <c r="M14" s="3033"/>
      <c r="N14" s="3033"/>
      <c r="O14" s="3033"/>
      <c r="P14" s="3033"/>
      <c r="Q14" s="3033"/>
      <c r="R14" s="3033"/>
      <c r="S14" s="3036"/>
      <c r="W14" s="1393"/>
      <c r="X14" s="1393"/>
      <c r="Y14" s="1393"/>
      <c r="Z14" s="3041"/>
      <c r="AA14" s="244"/>
      <c r="AB14" s="237"/>
    </row>
    <row r="15" spans="1:38" s="240" customFormat="1" ht="13.5" customHeight="1">
      <c r="A15" s="269"/>
      <c r="B15" s="3031"/>
      <c r="C15" s="3031"/>
      <c r="E15" s="265"/>
      <c r="F15" s="3031"/>
      <c r="G15" s="3031"/>
      <c r="H15" s="2629"/>
      <c r="I15" s="3033"/>
      <c r="J15" s="3033"/>
      <c r="K15" s="3033"/>
      <c r="L15" s="3033"/>
      <c r="M15" s="3033"/>
      <c r="N15" s="3033"/>
      <c r="O15" s="3033"/>
      <c r="P15" s="3033"/>
      <c r="Q15" s="3033"/>
      <c r="R15" s="3033"/>
      <c r="S15" s="3036"/>
      <c r="U15" s="3042"/>
      <c r="W15" s="269"/>
      <c r="X15" s="1393"/>
      <c r="Y15" s="1393"/>
      <c r="Z15" s="3041"/>
      <c r="AA15" s="244"/>
      <c r="AB15" s="237"/>
    </row>
    <row r="16" spans="1:38" s="240" customFormat="1" ht="13.5" customHeight="1">
      <c r="B16" s="3031"/>
      <c r="C16" s="3031"/>
      <c r="E16" s="2614"/>
      <c r="F16" s="2629"/>
      <c r="G16" s="2629"/>
      <c r="H16" s="3031"/>
      <c r="I16" s="3033"/>
      <c r="J16" s="3033"/>
      <c r="K16" s="3033"/>
      <c r="L16" s="3033"/>
      <c r="M16" s="3033"/>
      <c r="N16" s="3033"/>
      <c r="O16" s="3033"/>
      <c r="P16" s="3033"/>
      <c r="Q16" s="3033"/>
      <c r="R16" s="3033"/>
      <c r="S16" s="3036"/>
      <c r="U16" s="3042"/>
      <c r="W16" s="237"/>
      <c r="X16" s="237"/>
      <c r="Y16" s="237"/>
      <c r="Z16" s="237"/>
      <c r="AA16" s="237"/>
      <c r="AB16" s="237"/>
    </row>
    <row r="17" spans="1:21" s="240" customFormat="1" ht="13.5" customHeight="1">
      <c r="A17" s="169" t="s">
        <v>253</v>
      </c>
      <c r="B17" s="170"/>
      <c r="C17" s="238"/>
      <c r="E17" s="2614"/>
      <c r="F17" s="236"/>
      <c r="G17" s="2629"/>
      <c r="H17" s="2629"/>
      <c r="I17" s="3033"/>
      <c r="J17" s="3033"/>
      <c r="K17" s="3033"/>
      <c r="L17" s="3033"/>
      <c r="M17" s="3033"/>
      <c r="N17" s="3033"/>
      <c r="O17" s="3033"/>
      <c r="P17" s="3033"/>
      <c r="Q17" s="3033"/>
      <c r="R17" s="3033"/>
      <c r="S17" s="3036"/>
      <c r="U17" s="3042"/>
    </row>
    <row r="18" spans="1:21" s="240" customFormat="1" ht="13.5" customHeight="1">
      <c r="E18" s="2614"/>
      <c r="F18" s="2629"/>
      <c r="G18" s="3043"/>
      <c r="H18" s="3033"/>
      <c r="I18" s="3033"/>
      <c r="J18" s="3033"/>
      <c r="K18" s="3033"/>
      <c r="L18" s="3033"/>
      <c r="M18" s="3033"/>
      <c r="N18" s="3033"/>
      <c r="O18" s="3033"/>
      <c r="P18" s="3033"/>
      <c r="Q18" s="3033"/>
      <c r="R18" s="3033"/>
      <c r="S18" s="3036"/>
      <c r="U18" s="3042"/>
    </row>
    <row r="19" spans="1:21" s="240" customFormat="1" ht="13.5" customHeight="1">
      <c r="E19" s="3044"/>
      <c r="H19" s="2629"/>
      <c r="I19" s="244"/>
      <c r="J19" s="3033"/>
      <c r="K19" s="3045"/>
      <c r="L19" s="3045"/>
      <c r="M19" s="3045"/>
      <c r="N19" s="3045"/>
      <c r="O19" s="3041"/>
      <c r="P19" s="244"/>
      <c r="Q19" s="3033"/>
      <c r="R19" s="3033"/>
      <c r="S19" s="3036"/>
      <c r="U19" s="3042"/>
    </row>
    <row r="20" spans="1:21" s="240" customFormat="1" ht="13.5" customHeight="1" thickBot="1">
      <c r="E20" s="3046" t="s">
        <v>2311</v>
      </c>
      <c r="F20" s="270"/>
      <c r="G20" s="3047"/>
      <c r="H20" s="246"/>
      <c r="I20" s="292"/>
      <c r="J20" s="3048"/>
      <c r="K20" s="3049"/>
      <c r="L20" s="3049"/>
      <c r="M20" s="3049"/>
      <c r="N20" s="3049"/>
      <c r="O20" s="3050"/>
      <c r="P20" s="292"/>
      <c r="Q20" s="3048"/>
      <c r="R20" s="3048"/>
      <c r="S20" s="3051"/>
      <c r="U20" s="3042"/>
    </row>
    <row r="21" spans="1:21" ht="14.4" thickTop="1" thickBot="1"/>
    <row r="22" spans="1:21" ht="14.4" thickTop="1" thickBot="1">
      <c r="A22" s="3053" t="s">
        <v>1857</v>
      </c>
      <c r="B22" s="3053" t="s">
        <v>1790</v>
      </c>
      <c r="C22" s="3053" t="s">
        <v>1836</v>
      </c>
      <c r="D22" s="3053" t="s">
        <v>1837</v>
      </c>
      <c r="E22" s="3053" t="s">
        <v>1838</v>
      </c>
      <c r="F22" s="3064" t="s">
        <v>1449</v>
      </c>
    </row>
    <row r="23" spans="1:21" ht="13.8" thickTop="1">
      <c r="A23" s="3055" t="s">
        <v>1839</v>
      </c>
      <c r="B23" s="3055" t="s">
        <v>1787</v>
      </c>
      <c r="C23" s="3091">
        <v>6.1305106318546819E-2</v>
      </c>
      <c r="D23" s="3091">
        <v>0.11740349803027218</v>
      </c>
      <c r="E23" s="3091">
        <v>0.39026860398195701</v>
      </c>
      <c r="F23" s="3092">
        <v>0.56897720833077603</v>
      </c>
    </row>
    <row r="24" spans="1:21">
      <c r="A24" s="3057" t="s">
        <v>1839</v>
      </c>
      <c r="B24" s="3057" t="s">
        <v>1840</v>
      </c>
      <c r="C24" s="3093">
        <v>2.2121636636485063E-2</v>
      </c>
      <c r="D24" s="3093">
        <v>2.8264538971541988E-2</v>
      </c>
      <c r="E24" s="3093">
        <v>2.4918132762148222E-2</v>
      </c>
      <c r="F24" s="3094">
        <v>7.5304308370175266E-2</v>
      </c>
    </row>
    <row r="25" spans="1:21">
      <c r="A25" s="3057" t="s">
        <v>1839</v>
      </c>
      <c r="B25" s="3057" t="s">
        <v>1419</v>
      </c>
      <c r="C25" s="3093">
        <v>0.1042415780038049</v>
      </c>
      <c r="D25" s="3093">
        <v>0.15028358709445477</v>
      </c>
      <c r="E25" s="3093">
        <v>0.10119331820078882</v>
      </c>
      <c r="F25" s="3094">
        <v>0.35571848329904848</v>
      </c>
    </row>
    <row r="26" spans="1:21" ht="13.8" thickBot="1">
      <c r="A26" s="3057" t="s">
        <v>1839</v>
      </c>
      <c r="B26" s="3057" t="s">
        <v>1449</v>
      </c>
      <c r="C26" s="3093">
        <v>0.18766832095883679</v>
      </c>
      <c r="D26" s="3093">
        <v>0.29595162409626896</v>
      </c>
      <c r="E26" s="3093">
        <v>0.51638005494489403</v>
      </c>
      <c r="F26" s="3094">
        <v>0.99999999999999978</v>
      </c>
    </row>
    <row r="27" spans="1:21">
      <c r="A27" s="3065" t="s">
        <v>1841</v>
      </c>
      <c r="B27" s="3065" t="s">
        <v>1787</v>
      </c>
      <c r="C27" s="3095">
        <v>5.0411159711374824E-2</v>
      </c>
      <c r="D27" s="3095">
        <v>8.3047894455453339E-2</v>
      </c>
      <c r="E27" s="3095">
        <v>0.40961959741226261</v>
      </c>
      <c r="F27" s="3096">
        <v>0.54307865157909074</v>
      </c>
    </row>
    <row r="28" spans="1:21">
      <c r="A28" s="3057" t="s">
        <v>1841</v>
      </c>
      <c r="B28" s="3057" t="s">
        <v>1840</v>
      </c>
      <c r="C28" s="3093">
        <v>4.177082818277484E-2</v>
      </c>
      <c r="D28" s="3093">
        <v>5.2830312103719683E-2</v>
      </c>
      <c r="E28" s="3093">
        <v>1.8878740641498599E-2</v>
      </c>
      <c r="F28" s="3094">
        <v>0.11347988092799312</v>
      </c>
    </row>
    <row r="29" spans="1:21" ht="11.25" customHeight="1">
      <c r="A29" s="3057" t="s">
        <v>1841</v>
      </c>
      <c r="B29" s="3057" t="s">
        <v>1419</v>
      </c>
      <c r="C29" s="3093">
        <v>9.3877439177696975E-2</v>
      </c>
      <c r="D29" s="3093">
        <v>0.20028150324271857</v>
      </c>
      <c r="E29" s="3093">
        <v>4.9282525072500458E-2</v>
      </c>
      <c r="F29" s="3094">
        <v>0.34344146749291599</v>
      </c>
    </row>
    <row r="30" spans="1:21" ht="13.8" thickBot="1">
      <c r="A30" s="3057" t="s">
        <v>1841</v>
      </c>
      <c r="B30" s="3057" t="s">
        <v>1449</v>
      </c>
      <c r="C30" s="3093">
        <v>0.18605942707184664</v>
      </c>
      <c r="D30" s="3093">
        <v>0.33615970980189158</v>
      </c>
      <c r="E30" s="3093">
        <v>0.47778086312626167</v>
      </c>
      <c r="F30" s="3094">
        <v>0.99999999999999989</v>
      </c>
    </row>
    <row r="31" spans="1:21">
      <c r="A31" s="3065" t="s">
        <v>1842</v>
      </c>
      <c r="B31" s="3065" t="s">
        <v>1787</v>
      </c>
      <c r="C31" s="3095">
        <v>8.5404807807077293E-2</v>
      </c>
      <c r="D31" s="3095">
        <v>6.6579538012606257E-2</v>
      </c>
      <c r="E31" s="3095">
        <v>0.2104060711743605</v>
      </c>
      <c r="F31" s="3096">
        <v>0.36239041699404406</v>
      </c>
    </row>
    <row r="32" spans="1:21">
      <c r="A32" s="3057" t="s">
        <v>1842</v>
      </c>
      <c r="B32" s="3057" t="s">
        <v>1840</v>
      </c>
      <c r="C32" s="3093">
        <v>1.7440608266501893E-2</v>
      </c>
      <c r="D32" s="3093">
        <v>2.1424667797355079E-2</v>
      </c>
      <c r="E32" s="3093">
        <v>5.5087582628799746E-3</v>
      </c>
      <c r="F32" s="3094">
        <v>4.437403432673695E-2</v>
      </c>
    </row>
    <row r="33" spans="1:6">
      <c r="A33" s="3057" t="s">
        <v>1842</v>
      </c>
      <c r="B33" s="3057" t="s">
        <v>1419</v>
      </c>
      <c r="C33" s="3093">
        <v>0.1438354588967089</v>
      </c>
      <c r="D33" s="3093">
        <v>0.30106919121064613</v>
      </c>
      <c r="E33" s="3093">
        <v>0.14833089857186382</v>
      </c>
      <c r="F33" s="3094">
        <v>0.5932355486792189</v>
      </c>
    </row>
    <row r="34" spans="1:6" ht="13.8" thickBot="1">
      <c r="A34" s="3057" t="s">
        <v>1842</v>
      </c>
      <c r="B34" s="3057" t="s">
        <v>1449</v>
      </c>
      <c r="C34" s="3093">
        <v>0.24668087497028809</v>
      </c>
      <c r="D34" s="3093">
        <v>0.38907339702060745</v>
      </c>
      <c r="E34" s="3093">
        <v>0.36424572800910426</v>
      </c>
      <c r="F34" s="3094">
        <v>0.99999999999999978</v>
      </c>
    </row>
    <row r="35" spans="1:6">
      <c r="A35" s="3065" t="s">
        <v>1843</v>
      </c>
      <c r="B35" s="3065" t="s">
        <v>1787</v>
      </c>
      <c r="C35" s="3095">
        <v>1.4751298565240033E-2</v>
      </c>
      <c r="D35" s="3095">
        <v>4.7328847219843498E-2</v>
      </c>
      <c r="E35" s="3095">
        <v>0.16986596254669767</v>
      </c>
      <c r="F35" s="3096">
        <v>0.2319461083317812</v>
      </c>
    </row>
    <row r="36" spans="1:6">
      <c r="A36" s="3057" t="s">
        <v>1843</v>
      </c>
      <c r="B36" s="3057" t="s">
        <v>1840</v>
      </c>
      <c r="C36" s="3093">
        <v>4.7818783757622614E-2</v>
      </c>
      <c r="D36" s="3093">
        <v>0.27908105752177476</v>
      </c>
      <c r="E36" s="3093">
        <v>3.5323813059217092E-2</v>
      </c>
      <c r="F36" s="3094">
        <v>0.36222365433861448</v>
      </c>
    </row>
    <row r="37" spans="1:6">
      <c r="A37" s="3057" t="s">
        <v>1843</v>
      </c>
      <c r="B37" s="3057" t="s">
        <v>1419</v>
      </c>
      <c r="C37" s="3093">
        <v>2.9779929748409276E-2</v>
      </c>
      <c r="D37" s="3093">
        <v>0.34581001948867646</v>
      </c>
      <c r="E37" s="3093">
        <v>3.0240288092518573E-2</v>
      </c>
      <c r="F37" s="3094">
        <v>0.40583023732960427</v>
      </c>
    </row>
    <row r="38" spans="1:6" ht="13.8" thickBot="1">
      <c r="A38" s="3057" t="s">
        <v>1843</v>
      </c>
      <c r="B38" s="3057" t="s">
        <v>1449</v>
      </c>
      <c r="C38" s="3093">
        <v>9.2350012071271928E-2</v>
      </c>
      <c r="D38" s="3093">
        <v>0.67221992423029464</v>
      </c>
      <c r="E38" s="3093">
        <v>0.23543006369843333</v>
      </c>
      <c r="F38" s="3094">
        <v>0.99999999999999989</v>
      </c>
    </row>
    <row r="39" spans="1:6">
      <c r="A39" s="3065" t="s">
        <v>1844</v>
      </c>
      <c r="B39" s="3065" t="s">
        <v>1787</v>
      </c>
      <c r="C39" s="3095">
        <v>4.5140156141562004E-3</v>
      </c>
      <c r="D39" s="3095">
        <v>4.1937088672724533E-2</v>
      </c>
      <c r="E39" s="3095">
        <v>2.292966110843335E-2</v>
      </c>
      <c r="F39" s="3096">
        <v>6.9380765395314084E-2</v>
      </c>
    </row>
    <row r="40" spans="1:6">
      <c r="A40" s="3057" t="s">
        <v>1844</v>
      </c>
      <c r="B40" s="3057" t="s">
        <v>1840</v>
      </c>
      <c r="C40" s="3093">
        <v>3.9391010917871748E-2</v>
      </c>
      <c r="D40" s="3093">
        <v>0.29491459645578366</v>
      </c>
      <c r="E40" s="3093">
        <v>1.2071124673388873E-2</v>
      </c>
      <c r="F40" s="3094">
        <v>0.34637673204704428</v>
      </c>
    </row>
    <row r="41" spans="1:6">
      <c r="A41" s="3057" t="s">
        <v>1844</v>
      </c>
      <c r="B41" s="3057" t="s">
        <v>1419</v>
      </c>
      <c r="C41" s="3093">
        <v>3.1703576062968669E-2</v>
      </c>
      <c r="D41" s="3093">
        <v>0.54581837101717712</v>
      </c>
      <c r="E41" s="3093">
        <v>6.7205554774958376E-3</v>
      </c>
      <c r="F41" s="3094">
        <v>0.58424250255764165</v>
      </c>
    </row>
    <row r="42" spans="1:6" ht="13.8" thickBot="1">
      <c r="A42" s="3057" t="s">
        <v>1844</v>
      </c>
      <c r="B42" s="3057" t="s">
        <v>1449</v>
      </c>
      <c r="C42" s="3093">
        <v>7.5608602594996618E-2</v>
      </c>
      <c r="D42" s="3093">
        <v>0.88267005614568528</v>
      </c>
      <c r="E42" s="3093">
        <v>4.1721341259318062E-2</v>
      </c>
      <c r="F42" s="3094">
        <v>0.99999999999999989</v>
      </c>
    </row>
    <row r="43" spans="1:6">
      <c r="A43" s="3065" t="s">
        <v>1845</v>
      </c>
      <c r="B43" s="3065" t="s">
        <v>1787</v>
      </c>
      <c r="C43" s="3095">
        <v>0.12445807807004206</v>
      </c>
      <c r="D43" s="3095">
        <v>6.3225399302493088E-2</v>
      </c>
      <c r="E43" s="3095">
        <v>0.20060996535640929</v>
      </c>
      <c r="F43" s="3096">
        <v>0.38829344272894445</v>
      </c>
    </row>
    <row r="44" spans="1:6">
      <c r="A44" s="3057" t="s">
        <v>1845</v>
      </c>
      <c r="B44" s="3057" t="s">
        <v>1840</v>
      </c>
      <c r="C44" s="3093">
        <v>1.5221978007668002E-2</v>
      </c>
      <c r="D44" s="3093">
        <v>1.1647490451901403E-2</v>
      </c>
      <c r="E44" s="3093">
        <v>4.8588803706828309E-4</v>
      </c>
      <c r="F44" s="3094">
        <v>2.7355356496637687E-2</v>
      </c>
    </row>
    <row r="45" spans="1:6">
      <c r="A45" s="3057" t="s">
        <v>1845</v>
      </c>
      <c r="B45" s="3057" t="s">
        <v>1419</v>
      </c>
      <c r="C45" s="3093">
        <v>0.25329840804520354</v>
      </c>
      <c r="D45" s="3093">
        <v>0.23543906611314083</v>
      </c>
      <c r="E45" s="3093">
        <v>9.5613726616073466E-2</v>
      </c>
      <c r="F45" s="3094">
        <v>0.58435120077441782</v>
      </c>
    </row>
    <row r="46" spans="1:6" ht="13.8" thickBot="1">
      <c r="A46" s="3057" t="s">
        <v>1845</v>
      </c>
      <c r="B46" s="3057" t="s">
        <v>1449</v>
      </c>
      <c r="C46" s="3093">
        <v>0.3929784641229136</v>
      </c>
      <c r="D46" s="3093">
        <v>0.31031195586753535</v>
      </c>
      <c r="E46" s="3093">
        <v>0.29670958000955105</v>
      </c>
      <c r="F46" s="3094">
        <v>1</v>
      </c>
    </row>
    <row r="47" spans="1:6">
      <c r="A47" s="3065" t="s">
        <v>1846</v>
      </c>
      <c r="B47" s="3065" t="s">
        <v>1787</v>
      </c>
      <c r="C47" s="3095">
        <v>5.3959954737206876E-2</v>
      </c>
      <c r="D47" s="3095">
        <v>7.0555145914464698E-2</v>
      </c>
      <c r="E47" s="3095">
        <v>0.13814009619431591</v>
      </c>
      <c r="F47" s="3096">
        <v>0.26265519684598748</v>
      </c>
    </row>
    <row r="48" spans="1:6">
      <c r="A48" s="3057" t="s">
        <v>1846</v>
      </c>
      <c r="B48" s="3057" t="s">
        <v>1840</v>
      </c>
      <c r="C48" s="3093">
        <v>4.7075113832637829E-2</v>
      </c>
      <c r="D48" s="3093">
        <v>6.2350553920058838E-2</v>
      </c>
      <c r="E48" s="3093">
        <v>2.4531600683377511E-3</v>
      </c>
      <c r="F48" s="3094">
        <v>0.11187882782103441</v>
      </c>
    </row>
    <row r="49" spans="1:6">
      <c r="A49" s="3057" t="s">
        <v>1846</v>
      </c>
      <c r="B49" s="3057" t="s">
        <v>1419</v>
      </c>
      <c r="C49" s="3093">
        <v>0.1735957982220088</v>
      </c>
      <c r="D49" s="3093">
        <v>0.40817375633761527</v>
      </c>
      <c r="E49" s="3093">
        <v>4.3696420773353853E-2</v>
      </c>
      <c r="F49" s="3094">
        <v>0.62546597533297799</v>
      </c>
    </row>
    <row r="50" spans="1:6" ht="13.8" thickBot="1">
      <c r="A50" s="3057" t="s">
        <v>1846</v>
      </c>
      <c r="B50" s="3057" t="s">
        <v>1449</v>
      </c>
      <c r="C50" s="3093">
        <v>0.2746308667918535</v>
      </c>
      <c r="D50" s="3093">
        <v>0.54107945617213882</v>
      </c>
      <c r="E50" s="3093">
        <v>0.18428967703600752</v>
      </c>
      <c r="F50" s="3094">
        <v>0.99999999999999989</v>
      </c>
    </row>
    <row r="51" spans="1:6">
      <c r="A51" s="3065" t="s">
        <v>1847</v>
      </c>
      <c r="B51" s="3065" t="s">
        <v>1787</v>
      </c>
      <c r="C51" s="3095">
        <v>4.965534277718146E-3</v>
      </c>
      <c r="D51" s="3095">
        <v>2.421830447099E-2</v>
      </c>
      <c r="E51" s="3095">
        <v>3.7261436674800954E-3</v>
      </c>
      <c r="F51" s="3096">
        <v>3.2909982416188241E-2</v>
      </c>
    </row>
    <row r="52" spans="1:6">
      <c r="A52" s="3057" t="s">
        <v>1847</v>
      </c>
      <c r="B52" s="3057" t="s">
        <v>1840</v>
      </c>
      <c r="C52" s="3093">
        <v>5.0151574824460234E-2</v>
      </c>
      <c r="D52" s="3093">
        <v>0.2192031358522572</v>
      </c>
      <c r="E52" s="3093">
        <v>1.5828424665133148E-4</v>
      </c>
      <c r="F52" s="3094">
        <v>0.26951299492336878</v>
      </c>
    </row>
    <row r="53" spans="1:6">
      <c r="A53" s="3057" t="s">
        <v>1847</v>
      </c>
      <c r="B53" s="3057" t="s">
        <v>1419</v>
      </c>
      <c r="C53" s="3093">
        <v>7.6233873710235614E-2</v>
      </c>
      <c r="D53" s="3093">
        <v>0.62004422488585476</v>
      </c>
      <c r="E53" s="3093">
        <v>1.298924064352909E-3</v>
      </c>
      <c r="F53" s="3094">
        <v>0.6975770226604433</v>
      </c>
    </row>
    <row r="54" spans="1:6" ht="13.8" thickBot="1">
      <c r="A54" s="3057" t="s">
        <v>1847</v>
      </c>
      <c r="B54" s="3057" t="s">
        <v>1449</v>
      </c>
      <c r="C54" s="3093">
        <v>0.131350982812414</v>
      </c>
      <c r="D54" s="3093">
        <v>0.86346566520910195</v>
      </c>
      <c r="E54" s="3093">
        <v>5.1833519784843362E-3</v>
      </c>
      <c r="F54" s="3094">
        <v>1.0000000000000002</v>
      </c>
    </row>
    <row r="55" spans="1:6">
      <c r="A55" s="3065" t="s">
        <v>1848</v>
      </c>
      <c r="B55" s="3065" t="s">
        <v>1787</v>
      </c>
      <c r="C55" s="3095">
        <v>9.1114440013329551E-2</v>
      </c>
      <c r="D55" s="3095">
        <v>9.2616543052123051E-2</v>
      </c>
      <c r="E55" s="3095">
        <v>0.28463650423530029</v>
      </c>
      <c r="F55" s="3096">
        <v>0.46836748730075289</v>
      </c>
    </row>
    <row r="56" spans="1:6">
      <c r="A56" s="3057" t="s">
        <v>1848</v>
      </c>
      <c r="B56" s="3057" t="s">
        <v>1840</v>
      </c>
      <c r="C56" s="3093">
        <v>1.25966821373083E-2</v>
      </c>
      <c r="D56" s="3093">
        <v>1.178586593641218E-2</v>
      </c>
      <c r="E56" s="3093">
        <v>5.2667186885726287E-3</v>
      </c>
      <c r="F56" s="3094">
        <v>2.9649266762293108E-2</v>
      </c>
    </row>
    <row r="57" spans="1:6">
      <c r="A57" s="3057" t="s">
        <v>1848</v>
      </c>
      <c r="B57" s="3057" t="s">
        <v>1419</v>
      </c>
      <c r="C57" s="3093">
        <v>0.12699987619060227</v>
      </c>
      <c r="D57" s="3093">
        <v>0.295764647078886</v>
      </c>
      <c r="E57" s="3093">
        <v>7.9218722667465741E-2</v>
      </c>
      <c r="F57" s="3094">
        <v>0.50198324593695398</v>
      </c>
    </row>
    <row r="58" spans="1:6" ht="13.8" thickBot="1">
      <c r="A58" s="3059" t="s">
        <v>1848</v>
      </c>
      <c r="B58" s="3059" t="s">
        <v>1449</v>
      </c>
      <c r="C58" s="3097">
        <v>0.23071099834124012</v>
      </c>
      <c r="D58" s="3097">
        <v>0.4001670560674212</v>
      </c>
      <c r="E58" s="3097">
        <v>0.36912194559133871</v>
      </c>
      <c r="F58" s="3098">
        <v>1.0000000000000002</v>
      </c>
    </row>
    <row r="59" spans="1:6" ht="13.8" thickTop="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s>
  <pageMargins left="0.7" right="0.7" top="0.75" bottom="0.75" header="0.3" footer="0.3"/>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tabColor indexed="10"/>
  </sheetPr>
  <dimension ref="A1:AM190"/>
  <sheetViews>
    <sheetView showGridLines="0" topLeftCell="A10" zoomScale="70" zoomScaleNormal="70" workbookViewId="0">
      <selection activeCell="E23" sqref="E23:F23"/>
    </sheetView>
  </sheetViews>
  <sheetFormatPr defaultColWidth="12.88671875" defaultRowHeight="13.2"/>
  <cols>
    <col min="1" max="3" width="12.88671875" style="33"/>
    <col min="4" max="5" width="22" style="33" customWidth="1"/>
    <col min="6" max="6" width="22.6640625" style="33" customWidth="1"/>
    <col min="7" max="7" width="25.44140625" style="33" customWidth="1"/>
    <col min="8" max="8" width="17.5546875" style="33" customWidth="1"/>
    <col min="9" max="11" width="12.88671875" style="33"/>
    <col min="12" max="12" width="12.88671875" style="33" customWidth="1"/>
    <col min="13" max="16384" width="12.88671875" style="33"/>
  </cols>
  <sheetData>
    <row r="1" spans="1:39" ht="54.9" customHeight="1">
      <c r="A1" s="3569"/>
      <c r="B1" s="3569"/>
      <c r="C1" s="112"/>
    </row>
    <row r="2" spans="1:39" ht="5.0999999999999996" customHeight="1">
      <c r="C2" s="111"/>
    </row>
    <row r="3" spans="1:39" s="20" customFormat="1" ht="20.100000000000001" customHeight="1">
      <c r="A3" s="83" t="s">
        <v>2309</v>
      </c>
      <c r="B3" s="83"/>
      <c r="C3" s="83"/>
      <c r="D3" s="83"/>
      <c r="E3" s="83"/>
      <c r="F3" s="83"/>
      <c r="G3" s="83"/>
      <c r="H3" s="83"/>
      <c r="I3" s="83"/>
      <c r="J3" s="83"/>
      <c r="K3" s="83"/>
      <c r="L3" s="83"/>
      <c r="M3" s="83"/>
      <c r="N3" s="83"/>
      <c r="O3" s="83"/>
      <c r="P3" s="83"/>
      <c r="Q3" s="83"/>
      <c r="R3" s="83"/>
      <c r="S3" s="83"/>
      <c r="T3" s="83"/>
      <c r="X3" s="83"/>
      <c r="Y3" s="83"/>
      <c r="Z3" s="83"/>
      <c r="AA3" s="83"/>
      <c r="AB3" s="46"/>
      <c r="AC3" s="83"/>
      <c r="AM3" s="150"/>
    </row>
    <row r="4" spans="1:39" s="20" customFormat="1" ht="20.100000000000001" customHeight="1" thickBot="1">
      <c r="A4" s="109" t="s">
        <v>1638</v>
      </c>
      <c r="B4" s="109"/>
      <c r="C4" s="109"/>
      <c r="D4" s="109"/>
      <c r="E4" s="109"/>
      <c r="F4" s="109"/>
      <c r="G4" s="109"/>
      <c r="H4" s="109"/>
      <c r="I4" s="109"/>
      <c r="J4" s="109"/>
      <c r="K4" s="109"/>
      <c r="L4" s="109"/>
      <c r="M4" s="109"/>
      <c r="N4" s="109"/>
      <c r="O4" s="109"/>
      <c r="P4" s="109"/>
      <c r="Q4" s="109"/>
      <c r="R4" s="109"/>
      <c r="S4" s="109"/>
      <c r="T4" s="109"/>
      <c r="X4" s="83"/>
      <c r="Y4" s="83"/>
      <c r="Z4" s="83"/>
      <c r="AA4" s="83"/>
      <c r="AB4" s="46"/>
      <c r="AC4" s="83"/>
      <c r="AM4" s="150"/>
    </row>
    <row r="5" spans="1:39" s="38" customFormat="1" ht="9.9" customHeight="1" thickTop="1" thickBot="1">
      <c r="B5" s="85"/>
      <c r="C5" s="85"/>
      <c r="D5" s="86"/>
      <c r="E5" s="86"/>
      <c r="F5" s="85"/>
      <c r="G5" s="85"/>
      <c r="H5" s="86"/>
      <c r="I5" s="85"/>
      <c r="J5" s="86"/>
      <c r="K5" s="86"/>
      <c r="L5" s="86"/>
      <c r="M5" s="86"/>
      <c r="N5" s="86"/>
      <c r="O5" s="86"/>
      <c r="P5" s="86"/>
      <c r="Q5" s="86"/>
      <c r="R5" s="86"/>
      <c r="S5" s="86"/>
      <c r="T5" s="86"/>
      <c r="X5" s="26"/>
      <c r="Y5" s="26"/>
      <c r="Z5" s="26"/>
      <c r="AA5" s="26"/>
      <c r="AB5" s="31"/>
      <c r="AC5" s="26"/>
      <c r="AM5" s="87"/>
    </row>
    <row r="6" spans="1:39" s="38" customFormat="1" ht="13.5" customHeight="1" thickTop="1" thickBot="1">
      <c r="A6" s="169" t="s">
        <v>10</v>
      </c>
      <c r="B6" s="169"/>
      <c r="E6" s="122" t="s">
        <v>255</v>
      </c>
      <c r="F6" s="175"/>
      <c r="G6" s="175"/>
      <c r="H6" s="175"/>
      <c r="I6" s="175"/>
      <c r="J6" s="175"/>
      <c r="K6" s="175"/>
      <c r="L6" s="175"/>
      <c r="M6" s="175"/>
      <c r="N6" s="175"/>
      <c r="O6" s="175"/>
      <c r="P6" s="175"/>
      <c r="Q6" s="175"/>
      <c r="R6" s="175"/>
      <c r="S6" s="176"/>
      <c r="X6" s="26"/>
      <c r="Y6" s="26"/>
      <c r="Z6" s="26"/>
      <c r="AA6" s="26"/>
      <c r="AB6" s="31"/>
      <c r="AC6" s="26"/>
      <c r="AM6" s="87"/>
    </row>
    <row r="7" spans="1:39" s="38" customFormat="1" ht="13.5" customHeight="1" thickTop="1">
      <c r="A7" s="3644" t="str">
        <f>Audit!A12</f>
        <v>May 2019 v1.12</v>
      </c>
      <c r="B7" s="3645"/>
      <c r="E7" s="1687" t="s">
        <v>11</v>
      </c>
      <c r="F7" s="158"/>
      <c r="G7" s="2783"/>
      <c r="H7" s="2783"/>
      <c r="I7" s="2783"/>
      <c r="J7" s="2783"/>
      <c r="K7" s="2783"/>
      <c r="L7" s="2783"/>
      <c r="M7" s="2783"/>
      <c r="N7" s="2783"/>
      <c r="O7" s="2620"/>
      <c r="P7" s="2620"/>
      <c r="Q7" s="2620"/>
      <c r="R7" s="2620"/>
      <c r="S7" s="2705"/>
      <c r="X7" s="26"/>
      <c r="Y7" s="26"/>
      <c r="Z7" s="26"/>
      <c r="AA7" s="26"/>
      <c r="AB7" s="31"/>
      <c r="AC7" s="26"/>
      <c r="AM7" s="87"/>
    </row>
    <row r="8" spans="1:39" s="38" customFormat="1" ht="13.5" customHeight="1">
      <c r="A8" s="3646">
        <f>Audit!C12</f>
        <v>43586</v>
      </c>
      <c r="B8" s="3645"/>
      <c r="E8" s="2560" t="s">
        <v>2130</v>
      </c>
      <c r="F8"/>
      <c r="G8" s="2938" t="s">
        <v>2441</v>
      </c>
      <c r="H8" s="2944"/>
      <c r="I8" s="335"/>
      <c r="J8" s="2944"/>
      <c r="K8" s="2943" t="s">
        <v>2442</v>
      </c>
      <c r="L8" s="2939" t="s">
        <v>2443</v>
      </c>
      <c r="M8" s="2943" t="s">
        <v>2131</v>
      </c>
      <c r="N8" s="2944"/>
      <c r="O8" s="2685"/>
      <c r="P8" s="2557"/>
      <c r="Q8" s="2557"/>
      <c r="R8" s="2557"/>
      <c r="S8" s="2558"/>
      <c r="X8" s="26"/>
      <c r="Y8" s="26"/>
      <c r="Z8" s="26"/>
      <c r="AA8" s="26"/>
      <c r="AB8" s="31"/>
      <c r="AC8" s="26"/>
      <c r="AM8" s="87"/>
    </row>
    <row r="9" spans="1:39" s="38" customFormat="1" ht="13.5" customHeight="1" thickBot="1">
      <c r="A9" s="3642" t="s">
        <v>1149</v>
      </c>
      <c r="B9" s="3643"/>
      <c r="E9" s="2528" t="s">
        <v>2132</v>
      </c>
      <c r="F9"/>
      <c r="G9" s="2939" t="s">
        <v>2444</v>
      </c>
      <c r="H9" s="2619"/>
      <c r="I9" s="335"/>
      <c r="J9" s="2944"/>
      <c r="K9" s="2619"/>
      <c r="L9" s="2939" t="s">
        <v>1892</v>
      </c>
      <c r="M9" s="2944"/>
      <c r="N9" s="2944"/>
      <c r="O9" s="2685"/>
      <c r="P9" s="2557"/>
      <c r="Q9" s="2557"/>
      <c r="R9" s="2557"/>
      <c r="S9" s="2558"/>
      <c r="X9" s="26"/>
      <c r="Y9" s="26"/>
      <c r="Z9" s="26"/>
      <c r="AA9" s="26"/>
      <c r="AB9" s="31"/>
      <c r="AC9" s="26"/>
      <c r="AM9" s="87"/>
    </row>
    <row r="10" spans="1:39" s="38" customFormat="1" ht="13.5" customHeight="1" thickBot="1">
      <c r="A10" s="3611" t="s">
        <v>1306</v>
      </c>
      <c r="B10" s="3612"/>
      <c r="E10" s="2528" t="s">
        <v>2133</v>
      </c>
      <c r="F10"/>
      <c r="G10" s="3168" t="s">
        <v>2445</v>
      </c>
      <c r="H10" s="2619"/>
      <c r="I10" s="335"/>
      <c r="J10" s="335"/>
      <c r="K10" s="335"/>
      <c r="L10" s="2944"/>
      <c r="M10" s="2944"/>
      <c r="N10" s="1254"/>
      <c r="O10" s="335"/>
      <c r="P10" s="335"/>
      <c r="Q10" s="335"/>
      <c r="R10" s="335"/>
      <c r="S10" s="2562"/>
      <c r="X10" s="26"/>
      <c r="Y10" s="26"/>
      <c r="Z10" s="26"/>
      <c r="AA10" s="26"/>
      <c r="AB10" s="31"/>
      <c r="AC10" s="26"/>
      <c r="AM10" s="87"/>
    </row>
    <row r="11" spans="1:39" s="38" customFormat="1" ht="13.5" customHeight="1" thickBot="1">
      <c r="A11" s="3611" t="s">
        <v>2310</v>
      </c>
      <c r="B11" s="3612"/>
      <c r="E11" s="2560"/>
      <c r="F11"/>
      <c r="G11" s="2619"/>
      <c r="H11" s="2619"/>
      <c r="I11" s="2697"/>
      <c r="J11" s="2697"/>
      <c r="K11" s="2697"/>
      <c r="L11" s="2697"/>
      <c r="M11" s="2697"/>
      <c r="N11" s="2697"/>
      <c r="O11" s="2563"/>
      <c r="P11" s="2563"/>
      <c r="Q11" s="2563"/>
      <c r="R11" s="2563"/>
      <c r="S11" s="2564"/>
      <c r="X11" s="26"/>
      <c r="Y11" s="26"/>
      <c r="Z11" s="26"/>
      <c r="AA11" s="26"/>
      <c r="AB11" s="31"/>
      <c r="AC11" s="26"/>
      <c r="AM11" s="87"/>
    </row>
    <row r="12" spans="1:39" s="38" customFormat="1" ht="13.5" customHeight="1">
      <c r="A12" s="15"/>
      <c r="B12" s="15"/>
      <c r="E12" s="2560" t="s">
        <v>1700</v>
      </c>
      <c r="F12"/>
      <c r="G12" s="2619"/>
      <c r="H12" s="2619"/>
      <c r="I12" s="2563"/>
      <c r="J12" s="2563"/>
      <c r="K12" s="2563"/>
      <c r="L12" s="2563"/>
      <c r="M12" s="2563"/>
      <c r="N12" s="2563"/>
      <c r="O12" s="2563"/>
      <c r="P12" s="2563"/>
      <c r="Q12" s="2563"/>
      <c r="R12" s="2563"/>
      <c r="S12" s="2564"/>
      <c r="X12" s="26"/>
      <c r="Y12" s="26"/>
      <c r="Z12" s="26"/>
      <c r="AA12" s="26"/>
      <c r="AB12" s="31"/>
      <c r="AC12" s="26"/>
      <c r="AM12" s="87"/>
    </row>
    <row r="13" spans="1:39" s="38" customFormat="1" ht="13.5" customHeight="1">
      <c r="A13" s="172" t="s">
        <v>252</v>
      </c>
      <c r="B13" s="194"/>
      <c r="E13" s="2528" t="s">
        <v>1702</v>
      </c>
      <c r="F13" s="2555"/>
      <c r="G13" s="2555"/>
      <c r="H13" s="2619"/>
      <c r="I13" s="2557"/>
      <c r="J13" s="335"/>
      <c r="K13" s="335"/>
      <c r="L13" s="335"/>
      <c r="M13" s="2557"/>
      <c r="N13" s="2557"/>
      <c r="O13" s="2557"/>
      <c r="P13" s="2557"/>
      <c r="Q13" s="2557"/>
      <c r="R13" s="2557"/>
      <c r="S13" s="2558"/>
      <c r="X13" s="26"/>
      <c r="Y13" s="26"/>
      <c r="Z13" s="26"/>
      <c r="AA13" s="26"/>
      <c r="AB13" s="31"/>
      <c r="AC13" s="26"/>
      <c r="AM13" s="87"/>
    </row>
    <row r="14" spans="1:39" ht="13.5" customHeight="1">
      <c r="A14" s="178"/>
      <c r="E14" s="2706" t="s">
        <v>1703</v>
      </c>
      <c r="F14" s="2555"/>
      <c r="G14" s="2555"/>
      <c r="H14" s="2555"/>
      <c r="I14" s="2557"/>
      <c r="J14" s="2557"/>
      <c r="K14" s="2557"/>
      <c r="L14" s="2557"/>
      <c r="M14" s="2557"/>
      <c r="N14" s="2557"/>
      <c r="O14" s="2557"/>
      <c r="P14" s="2557"/>
      <c r="Q14" s="2557"/>
      <c r="R14" s="2557"/>
      <c r="S14" s="2558"/>
      <c r="X14" s="72"/>
      <c r="Y14" s="72"/>
      <c r="Z14" s="72"/>
      <c r="AA14" s="96"/>
      <c r="AB14" s="31"/>
      <c r="AC14" s="26"/>
    </row>
    <row r="15" spans="1:39" ht="13.5" customHeight="1">
      <c r="A15" s="178"/>
      <c r="E15" s="90"/>
      <c r="F15"/>
      <c r="G15"/>
      <c r="H15" s="2555"/>
      <c r="I15" s="2557"/>
      <c r="J15" s="2557"/>
      <c r="K15" s="2557"/>
      <c r="L15" s="2557"/>
      <c r="M15" s="2557"/>
      <c r="N15" s="2557"/>
      <c r="O15" s="2557"/>
      <c r="P15" s="2557"/>
      <c r="Q15" s="2557"/>
      <c r="R15" s="2557"/>
      <c r="S15" s="2558"/>
      <c r="V15" s="25"/>
      <c r="X15" s="56"/>
      <c r="Y15" s="72"/>
      <c r="Z15" s="72"/>
      <c r="AA15" s="96"/>
      <c r="AB15" s="31"/>
      <c r="AC15" s="26"/>
    </row>
    <row r="16" spans="1:39" ht="13.5" customHeight="1">
      <c r="A16" s="178"/>
      <c r="E16" s="2560" t="s">
        <v>1701</v>
      </c>
      <c r="F16" s="2555"/>
      <c r="G16" s="2555"/>
      <c r="H16"/>
      <c r="I16" s="335"/>
      <c r="J16" s="335"/>
      <c r="K16" s="335"/>
      <c r="L16" s="335"/>
      <c r="M16" s="335"/>
      <c r="N16" s="335"/>
      <c r="O16" s="335"/>
      <c r="P16" s="335"/>
      <c r="Q16" s="335"/>
      <c r="R16" s="335"/>
      <c r="S16" s="2562"/>
      <c r="V16" s="25"/>
      <c r="X16" s="26"/>
      <c r="Y16" s="26"/>
      <c r="Z16" s="26"/>
      <c r="AA16" s="26"/>
      <c r="AB16" s="26"/>
      <c r="AC16" s="26"/>
    </row>
    <row r="17" spans="1:26" ht="13.5" customHeight="1">
      <c r="A17" s="169" t="s">
        <v>253</v>
      </c>
      <c r="B17" s="170"/>
      <c r="C17" s="82"/>
      <c r="E17" s="2528"/>
      <c r="F17" s="24"/>
      <c r="G17" s="2555"/>
      <c r="H17" s="2555"/>
      <c r="I17" s="2557"/>
      <c r="J17" s="2557"/>
      <c r="K17" s="2557"/>
      <c r="L17" s="2557"/>
      <c r="M17" s="2557"/>
      <c r="N17" s="2557"/>
      <c r="O17" s="2557"/>
      <c r="P17" s="2557"/>
      <c r="Q17" s="2557"/>
      <c r="R17" s="2557"/>
      <c r="S17" s="2558"/>
      <c r="V17" s="25"/>
    </row>
    <row r="18" spans="1:26" ht="13.5" customHeight="1">
      <c r="C18" s="38"/>
      <c r="E18" s="2528"/>
      <c r="F18" s="2619"/>
      <c r="G18" s="2713"/>
      <c r="H18" s="2557"/>
      <c r="I18" s="2557"/>
      <c r="J18" s="2557"/>
      <c r="K18" s="2557"/>
      <c r="L18" s="2557"/>
      <c r="M18" s="2557"/>
      <c r="N18" s="2557"/>
      <c r="O18" s="2557"/>
      <c r="P18" s="2557"/>
      <c r="Q18" s="2557"/>
      <c r="R18" s="2557"/>
      <c r="S18" s="2558"/>
      <c r="V18" s="25"/>
    </row>
    <row r="19" spans="1:26" ht="13.5" customHeight="1">
      <c r="E19" s="2676"/>
      <c r="H19" s="2619"/>
      <c r="I19" s="31"/>
      <c r="J19" s="335"/>
      <c r="K19" s="2556"/>
      <c r="L19" s="2556"/>
      <c r="M19" s="2556"/>
      <c r="N19" s="2556"/>
      <c r="O19" s="96"/>
      <c r="P19" s="31"/>
      <c r="Q19" s="335"/>
      <c r="R19" s="335"/>
      <c r="S19" s="2562"/>
      <c r="V19" s="25"/>
    </row>
    <row r="20" spans="1:26" ht="13.5" customHeight="1" thickBot="1">
      <c r="E20" s="2677" t="s">
        <v>2311</v>
      </c>
      <c r="F20" s="163"/>
      <c r="G20" s="164"/>
      <c r="H20" s="37"/>
      <c r="I20" s="165"/>
      <c r="J20" s="2707"/>
      <c r="K20" s="2708"/>
      <c r="L20" s="2708"/>
      <c r="M20" s="2708"/>
      <c r="N20" s="2708"/>
      <c r="O20" s="167"/>
      <c r="P20" s="165"/>
      <c r="Q20" s="2707"/>
      <c r="R20" s="2707"/>
      <c r="S20" s="2709"/>
      <c r="V20" s="25"/>
    </row>
    <row r="21" spans="1:26" ht="13.5" customHeight="1" thickTop="1">
      <c r="F21" s="95"/>
      <c r="G21" s="29"/>
      <c r="H21" s="32"/>
      <c r="I21" s="26"/>
      <c r="J21" s="31"/>
      <c r="K21" s="26"/>
      <c r="L21" s="72"/>
      <c r="M21" s="72"/>
      <c r="N21" s="72"/>
      <c r="O21" s="72"/>
      <c r="P21" s="96"/>
      <c r="Q21" s="31"/>
      <c r="R21" s="26"/>
      <c r="S21" s="26"/>
      <c r="T21" s="26"/>
      <c r="V21" s="25"/>
    </row>
    <row r="22" spans="1:26" ht="13.5" customHeight="1" thickBot="1">
      <c r="B22" s="27"/>
      <c r="C22" s="27"/>
      <c r="D22" s="69"/>
      <c r="E22" s="69"/>
      <c r="F22" s="37"/>
      <c r="G22" s="37"/>
    </row>
    <row r="23" spans="1:26" ht="13.5" customHeight="1" thickTop="1" thickBot="1">
      <c r="A23" s="2684" t="s">
        <v>1657</v>
      </c>
      <c r="B23" s="88"/>
      <c r="C23" s="88"/>
      <c r="D23" s="125" t="s">
        <v>1638</v>
      </c>
      <c r="E23" s="823"/>
      <c r="F23" s="151"/>
      <c r="G23" s="152"/>
    </row>
    <row r="24" spans="1:26" ht="13.5" customHeight="1" thickTop="1">
      <c r="A24" s="99"/>
      <c r="B24" s="100"/>
      <c r="C24" s="100"/>
      <c r="D24" s="2652" t="s">
        <v>1639</v>
      </c>
      <c r="E24" s="2674" t="s">
        <v>1996</v>
      </c>
      <c r="F24" s="2674" t="s">
        <v>1640</v>
      </c>
      <c r="G24" s="812" t="s">
        <v>1642</v>
      </c>
    </row>
    <row r="25" spans="1:26" s="27" customFormat="1" ht="13.5" customHeight="1">
      <c r="A25" s="104"/>
      <c r="B25" s="105" t="s">
        <v>1630</v>
      </c>
      <c r="C25" s="105"/>
      <c r="D25" s="2651" t="s">
        <v>1643</v>
      </c>
      <c r="E25" s="917" t="s">
        <v>1643</v>
      </c>
      <c r="F25" s="917" t="s">
        <v>1643</v>
      </c>
      <c r="G25" s="2653" t="s">
        <v>1643</v>
      </c>
      <c r="H25" s="33"/>
      <c r="I25" s="33"/>
      <c r="J25" s="33"/>
      <c r="K25" s="33"/>
      <c r="L25" s="33"/>
      <c r="M25" s="33"/>
      <c r="N25" s="33"/>
      <c r="O25" s="33"/>
      <c r="P25" s="33"/>
      <c r="Q25" s="33"/>
      <c r="R25" s="33"/>
      <c r="S25" s="33"/>
      <c r="T25" s="33"/>
      <c r="U25" s="33"/>
    </row>
    <row r="26" spans="1:26" s="27" customFormat="1" ht="13.5" customHeight="1">
      <c r="A26" s="104"/>
      <c r="B26" s="105"/>
      <c r="C26" s="105"/>
      <c r="D26" s="2651" t="s">
        <v>1644</v>
      </c>
      <c r="E26" s="917" t="s">
        <v>1644</v>
      </c>
      <c r="F26" s="917" t="s">
        <v>1644</v>
      </c>
      <c r="G26" s="2653" t="s">
        <v>1644</v>
      </c>
      <c r="H26" s="33"/>
      <c r="I26" s="33"/>
      <c r="J26" s="33"/>
      <c r="K26" s="33"/>
      <c r="L26" s="33"/>
      <c r="M26" s="33"/>
      <c r="N26" s="33"/>
      <c r="O26" s="33"/>
      <c r="P26" s="33"/>
      <c r="Q26" s="33"/>
      <c r="R26" s="33"/>
      <c r="S26" s="33"/>
      <c r="T26" s="33"/>
      <c r="U26" s="33"/>
      <c r="V26" s="68"/>
      <c r="W26" s="68"/>
      <c r="X26" s="68"/>
      <c r="Y26" s="68"/>
      <c r="Z26" s="68"/>
    </row>
    <row r="27" spans="1:26" ht="13.5" customHeight="1">
      <c r="A27" s="90"/>
      <c r="B27" s="2647" t="s">
        <v>7</v>
      </c>
      <c r="C27" s="32"/>
      <c r="D27" s="2865">
        <v>1.8608111862235877</v>
      </c>
      <c r="E27" s="2866">
        <v>3.504249021292849</v>
      </c>
      <c r="F27" s="2866">
        <v>4.9629229105515371</v>
      </c>
      <c r="G27" s="3171">
        <v>0.91412325108413484</v>
      </c>
    </row>
    <row r="28" spans="1:26" ht="13.5" customHeight="1">
      <c r="A28" s="90"/>
      <c r="B28" s="2647" t="s">
        <v>8</v>
      </c>
      <c r="C28" s="82"/>
      <c r="D28" s="2865">
        <v>1.3147121684594198</v>
      </c>
      <c r="E28" s="2866">
        <v>4.3081180811808339</v>
      </c>
      <c r="F28" s="2866">
        <v>4.7981749273282803</v>
      </c>
      <c r="G28" s="3171">
        <v>0.66391159221288376</v>
      </c>
    </row>
    <row r="29" spans="1:26" ht="13.5" customHeight="1">
      <c r="A29" s="90"/>
      <c r="B29" s="2647" t="s">
        <v>1251</v>
      </c>
      <c r="C29" s="82"/>
      <c r="D29" s="2865">
        <v>2.0131806938054719</v>
      </c>
      <c r="E29" s="2866">
        <v>2.6266914300875355</v>
      </c>
      <c r="F29" s="2866">
        <v>3.0897791510129391</v>
      </c>
      <c r="G29" s="3171">
        <v>1.4259150619224386</v>
      </c>
    </row>
    <row r="30" spans="1:26" ht="13.5" customHeight="1">
      <c r="A30" s="90"/>
      <c r="B30" s="2647" t="s">
        <v>1252</v>
      </c>
      <c r="C30" s="82"/>
      <c r="D30" s="2865">
        <v>1.8346235290033874</v>
      </c>
      <c r="E30" s="2866">
        <v>2.3181661496035844</v>
      </c>
      <c r="F30" s="2866">
        <v>2.8847791287762714</v>
      </c>
      <c r="G30" s="3171">
        <v>3.5544493195390316</v>
      </c>
    </row>
    <row r="31" spans="1:26" ht="13.5" customHeight="1">
      <c r="A31" s="90"/>
      <c r="B31" s="2647" t="s">
        <v>1253</v>
      </c>
      <c r="C31" s="82"/>
      <c r="D31" s="2865">
        <v>1.2848926641781944</v>
      </c>
      <c r="E31" s="2866">
        <v>1.052808894129531</v>
      </c>
      <c r="F31" s="2866">
        <v>1.9597457627118731</v>
      </c>
      <c r="G31" s="3171">
        <v>0.84112518406872994</v>
      </c>
    </row>
    <row r="32" spans="1:26" ht="13.5" customHeight="1">
      <c r="A32" s="90"/>
      <c r="B32" s="2647" t="s">
        <v>1254</v>
      </c>
      <c r="C32" s="82"/>
      <c r="D32" s="2865">
        <v>0.79930248046968799</v>
      </c>
      <c r="E32" s="2866">
        <v>0.10835139189864229</v>
      </c>
      <c r="F32" s="2866">
        <v>1.0779220779220777</v>
      </c>
      <c r="G32" s="3171">
        <v>1.8159492915919344</v>
      </c>
      <c r="H32" s="2906"/>
      <c r="J32" s="2906"/>
      <c r="K32" s="2905"/>
    </row>
    <row r="33" spans="1:11" ht="13.5" customHeight="1">
      <c r="A33" s="90"/>
      <c r="B33" s="2647" t="s">
        <v>1255</v>
      </c>
      <c r="C33" s="82"/>
      <c r="D33" s="2865">
        <v>2.2781518107048537</v>
      </c>
      <c r="E33" s="2866">
        <v>1.0989925901257358</v>
      </c>
      <c r="F33" s="2866">
        <v>2.1424900424001248</v>
      </c>
      <c r="G33" s="3171">
        <v>2.7646764442928884</v>
      </c>
      <c r="H33" s="2906"/>
      <c r="J33" s="2906"/>
      <c r="K33" s="2905"/>
    </row>
    <row r="34" spans="1:11" ht="13.5" customHeight="1">
      <c r="A34" s="90"/>
      <c r="B34" s="2647" t="s">
        <v>1256</v>
      </c>
      <c r="C34" s="82"/>
      <c r="D34" s="2865">
        <v>2.0167434980266297</v>
      </c>
      <c r="E34" s="2866">
        <v>2.8246726509099984</v>
      </c>
      <c r="F34" s="2866">
        <v>3.7422560457875953</v>
      </c>
      <c r="G34" s="3171">
        <v>2.7429750484300968</v>
      </c>
      <c r="H34" s="2906"/>
      <c r="J34" s="2906"/>
      <c r="K34" s="2905"/>
    </row>
    <row r="35" spans="1:11" s="24" customFormat="1" ht="13.5" customHeight="1">
      <c r="A35" s="91"/>
      <c r="B35" s="2647" t="s">
        <v>1257</v>
      </c>
      <c r="C35" s="32"/>
      <c r="D35" s="2865">
        <v>1.7772515238199418</v>
      </c>
      <c r="E35" s="2866">
        <v>2.258529553099442</v>
      </c>
      <c r="F35" s="2866">
        <v>3.0555639758707454</v>
      </c>
      <c r="G35" s="3171">
        <v>2.906613055357397</v>
      </c>
      <c r="H35" s="2906"/>
      <c r="J35" s="2906"/>
      <c r="K35" s="2905"/>
    </row>
    <row r="36" spans="1:11" ht="13.5" customHeight="1">
      <c r="A36" s="90"/>
      <c r="B36" s="2647" t="s">
        <v>1258</v>
      </c>
      <c r="C36" s="82"/>
      <c r="D36" s="2865">
        <v>1.999285785193635</v>
      </c>
      <c r="E36" s="2866">
        <v>2.0273859860266867</v>
      </c>
      <c r="F36" s="2866">
        <v>2.9462716452876094</v>
      </c>
      <c r="G36" s="3171">
        <v>2.9536238937667179</v>
      </c>
      <c r="H36" s="2906"/>
      <c r="J36" s="2906"/>
      <c r="K36" s="2905"/>
    </row>
    <row r="37" spans="1:11" ht="13.5" customHeight="1">
      <c r="A37" s="90"/>
      <c r="B37" s="2647" t="s">
        <v>1259</v>
      </c>
      <c r="C37" s="82"/>
      <c r="D37" s="2865">
        <v>1.8421066460050639</v>
      </c>
      <c r="E37" s="2866">
        <v>1.8956588352500034</v>
      </c>
      <c r="F37" s="2866">
        <v>2.8252532257498899</v>
      </c>
      <c r="G37" s="3171">
        <v>3.0600923725820621</v>
      </c>
      <c r="H37" s="2906"/>
      <c r="J37" s="2906"/>
      <c r="K37" s="2905"/>
    </row>
    <row r="38" spans="1:11" ht="13.5" customHeight="1">
      <c r="A38" s="90"/>
      <c r="B38" s="2647" t="s">
        <v>1260</v>
      </c>
      <c r="C38" s="82"/>
      <c r="D38" s="2865">
        <v>1.9386047923892562</v>
      </c>
      <c r="E38" s="2866">
        <v>1.9964216805305313</v>
      </c>
      <c r="F38" s="2866">
        <v>3.0531233946185665</v>
      </c>
      <c r="G38" s="3171">
        <v>3.1212408697362832</v>
      </c>
      <c r="H38" s="2906"/>
      <c r="J38" s="2906"/>
      <c r="K38" s="2905"/>
    </row>
    <row r="39" spans="1:11" ht="13.5" customHeight="1">
      <c r="A39" s="90"/>
      <c r="B39" s="2647" t="s">
        <v>1261</v>
      </c>
      <c r="C39" s="82"/>
      <c r="D39" s="2865">
        <v>1.9542187516043725</v>
      </c>
      <c r="E39" s="2866">
        <v>2.0000000000000142</v>
      </c>
      <c r="F39" s="2866">
        <v>3.0676888923704837</v>
      </c>
      <c r="G39" s="3171">
        <v>3.171644966289918</v>
      </c>
      <c r="H39" s="2906"/>
      <c r="J39" s="2906"/>
      <c r="K39" s="2905"/>
    </row>
    <row r="40" spans="1:11" ht="13.5" customHeight="1">
      <c r="A40" s="90"/>
      <c r="B40" s="2647" t="s">
        <v>1262</v>
      </c>
      <c r="C40" s="82"/>
      <c r="D40" s="2865">
        <v>1.996615266823909</v>
      </c>
      <c r="E40" s="2866">
        <v>1.9999999999999858</v>
      </c>
      <c r="F40" s="2866">
        <v>3.0684521704596222</v>
      </c>
      <c r="G40" s="3171">
        <v>3.2947319786085529</v>
      </c>
      <c r="H40" s="2906"/>
    </row>
    <row r="41" spans="1:11" ht="13.5" customHeight="1">
      <c r="A41" s="90"/>
      <c r="B41" s="2647" t="s">
        <v>1263</v>
      </c>
      <c r="C41" s="82"/>
      <c r="D41" s="2660">
        <v>2.2999999999999998</v>
      </c>
      <c r="E41" s="2661">
        <v>2</v>
      </c>
      <c r="F41" s="2661">
        <v>3.1148556716196927</v>
      </c>
      <c r="G41" s="2662">
        <v>3.7351750762309122</v>
      </c>
      <c r="H41" s="2906"/>
    </row>
    <row r="42" spans="1:11" ht="13.5" customHeight="1">
      <c r="A42" s="90"/>
      <c r="B42" s="2647" t="s">
        <v>1264</v>
      </c>
      <c r="C42" s="82"/>
      <c r="D42" s="2660">
        <v>2.2999999999999998</v>
      </c>
      <c r="E42" s="2661">
        <v>2</v>
      </c>
      <c r="F42" s="2661">
        <v>3.1931171503448681</v>
      </c>
      <c r="G42" s="2662">
        <v>3.837475076230934</v>
      </c>
      <c r="H42" s="2906"/>
    </row>
    <row r="43" spans="1:11" ht="13.5" customHeight="1">
      <c r="A43" s="90"/>
      <c r="B43" s="2647" t="s">
        <v>1265</v>
      </c>
      <c r="C43" s="82"/>
      <c r="D43" s="2660">
        <v>2.2999999999999998</v>
      </c>
      <c r="E43" s="2661">
        <v>2</v>
      </c>
      <c r="F43" s="2661">
        <v>3.1911952970247741</v>
      </c>
      <c r="G43" s="2662">
        <v>3.9397750762309336</v>
      </c>
      <c r="H43" s="2906"/>
    </row>
    <row r="44" spans="1:11" ht="13.5" customHeight="1">
      <c r="A44" s="90"/>
      <c r="B44" s="2647" t="s">
        <v>1266</v>
      </c>
      <c r="C44" s="82"/>
      <c r="D44" s="2660">
        <v>2.2999999999999998</v>
      </c>
      <c r="E44" s="2661">
        <v>2</v>
      </c>
      <c r="F44" s="2661">
        <v>3.1909055833639122</v>
      </c>
      <c r="G44" s="2662">
        <v>4.0420750762309332</v>
      </c>
      <c r="H44" s="2906"/>
    </row>
    <row r="45" spans="1:11" ht="13.5" customHeight="1">
      <c r="A45" s="90"/>
      <c r="B45" s="2667" t="str">
        <f>'Car and bus journey time'!S45</f>
        <v>2028/29</v>
      </c>
      <c r="C45" s="82"/>
      <c r="D45" s="2660">
        <v>2.2999999999999998</v>
      </c>
      <c r="E45" s="2661">
        <v>2</v>
      </c>
      <c r="F45" s="2661">
        <v>3.1919506553920041</v>
      </c>
      <c r="G45" s="2662">
        <v>4.1443750762309328</v>
      </c>
      <c r="H45" s="2906"/>
    </row>
    <row r="46" spans="1:11" ht="13.5" customHeight="1">
      <c r="A46" s="90"/>
      <c r="B46" s="2667" t="str">
        <f>'Car and bus journey time'!S46</f>
        <v>2029/30</v>
      </c>
      <c r="C46" s="82"/>
      <c r="D46" s="2660">
        <v>2.2999999999999998</v>
      </c>
      <c r="E46" s="2661">
        <v>2</v>
      </c>
      <c r="F46" s="2661">
        <v>3.1941012555954513</v>
      </c>
      <c r="G46" s="2662">
        <v>4.2466750762309324</v>
      </c>
      <c r="H46" s="2906"/>
    </row>
    <row r="47" spans="1:11" ht="13.5" customHeight="1">
      <c r="A47" s="90"/>
      <c r="B47" s="2667" t="str">
        <f>'Car and bus journey time'!S47</f>
        <v>2030/31</v>
      </c>
      <c r="C47" s="82"/>
      <c r="D47" s="2660">
        <v>2.2999999999999998</v>
      </c>
      <c r="E47" s="2661">
        <v>2</v>
      </c>
      <c r="F47" s="2661">
        <v>3.1968628295085231</v>
      </c>
      <c r="G47" s="2662">
        <v>4.3459999999999832</v>
      </c>
      <c r="H47" s="2906"/>
    </row>
    <row r="48" spans="1:11" ht="13.5" customHeight="1">
      <c r="A48" s="90"/>
      <c r="B48" s="2667" t="str">
        <f>'Car and bus journey time'!S48</f>
        <v>2031/32</v>
      </c>
      <c r="C48" s="82"/>
      <c r="D48" s="2660">
        <v>2.2999999999999998</v>
      </c>
      <c r="E48" s="2661">
        <v>2</v>
      </c>
      <c r="F48" s="2661">
        <v>3.1898994999834596</v>
      </c>
      <c r="G48" s="2662">
        <v>4.3459999999999832</v>
      </c>
      <c r="H48" s="2906"/>
    </row>
    <row r="49" spans="1:8" ht="13.5" customHeight="1">
      <c r="A49" s="90"/>
      <c r="B49" s="2667" t="str">
        <f>'Car and bus journey time'!S49</f>
        <v>2032/33</v>
      </c>
      <c r="C49" s="82"/>
      <c r="D49" s="2660">
        <v>2.2999999999999998</v>
      </c>
      <c r="E49" s="2661">
        <v>2</v>
      </c>
      <c r="F49" s="2661">
        <v>3.1836166272005428</v>
      </c>
      <c r="G49" s="2662">
        <v>4.3459999999999832</v>
      </c>
      <c r="H49" s="2906"/>
    </row>
    <row r="50" spans="1:8" ht="13.5" customHeight="1">
      <c r="A50" s="90"/>
      <c r="B50" s="2667" t="str">
        <f>'Car and bus journey time'!S50</f>
        <v>2033/34</v>
      </c>
      <c r="C50" s="82"/>
      <c r="D50" s="2660">
        <v>2.2999999999999998</v>
      </c>
      <c r="E50" s="2661">
        <v>2</v>
      </c>
      <c r="F50" s="2661">
        <v>3.1779191161284488</v>
      </c>
      <c r="G50" s="2662">
        <v>4.3459999999999832</v>
      </c>
      <c r="H50" s="2906"/>
    </row>
    <row r="51" spans="1:8" ht="13.8">
      <c r="A51" s="90"/>
      <c r="B51" s="2667" t="str">
        <f>'Car and bus journey time'!S51</f>
        <v>2034/35</v>
      </c>
      <c r="C51" s="27"/>
      <c r="D51" s="2660">
        <v>2.2999999999999998</v>
      </c>
      <c r="E51" s="2661">
        <v>2</v>
      </c>
      <c r="F51" s="2661">
        <v>3.1727288026266329</v>
      </c>
      <c r="G51" s="2662">
        <v>4.3459999999999832</v>
      </c>
      <c r="H51" s="2906"/>
    </row>
    <row r="52" spans="1:8" ht="13.5" customHeight="1">
      <c r="A52" s="90"/>
      <c r="B52" s="2667" t="str">
        <f>'Car and bus journey time'!S52</f>
        <v>2035/36</v>
      </c>
      <c r="C52" s="27"/>
      <c r="D52" s="2660">
        <v>2.2999999999999998</v>
      </c>
      <c r="E52" s="2661">
        <v>2</v>
      </c>
      <c r="F52" s="2661">
        <v>3.1679808460061833</v>
      </c>
      <c r="G52" s="2662">
        <v>4.3459999999999832</v>
      </c>
      <c r="H52" s="2906"/>
    </row>
    <row r="53" spans="1:8" ht="13.5" customHeight="1">
      <c r="A53" s="90"/>
      <c r="B53" s="2667" t="str">
        <f>'Car and bus journey time'!S53</f>
        <v>2036/37</v>
      </c>
      <c r="C53" s="27"/>
      <c r="D53" s="2660">
        <v>2.2999999999999998</v>
      </c>
      <c r="E53" s="2661">
        <v>2</v>
      </c>
      <c r="F53" s="2661">
        <v>3.1636210062499535</v>
      </c>
      <c r="G53" s="2662">
        <v>4.3459999999999832</v>
      </c>
      <c r="H53" s="2906"/>
    </row>
    <row r="54" spans="1:8" ht="13.5" customHeight="1">
      <c r="A54" s="90"/>
      <c r="B54" s="2667" t="str">
        <f>'Car and bus journey time'!S54</f>
        <v>2037/38</v>
      </c>
      <c r="C54" s="27"/>
      <c r="D54" s="2660">
        <v>2.2999999999999998</v>
      </c>
      <c r="E54" s="2661">
        <v>2</v>
      </c>
      <c r="F54" s="2661">
        <v>3.1596035627261707</v>
      </c>
      <c r="G54" s="2662">
        <v>4.3459999999999832</v>
      </c>
      <c r="H54" s="2906"/>
    </row>
    <row r="55" spans="1:8" ht="13.5" customHeight="1">
      <c r="A55" s="90"/>
      <c r="B55" s="2667" t="str">
        <f>'Car and bus journey time'!S55</f>
        <v>2038/39</v>
      </c>
      <c r="C55" s="27"/>
      <c r="D55" s="2660">
        <v>2.2999999999999998</v>
      </c>
      <c r="E55" s="2661">
        <v>2</v>
      </c>
      <c r="F55" s="2661">
        <v>3.1558897047307659</v>
      </c>
      <c r="G55" s="2662">
        <v>4.3459999999999832</v>
      </c>
      <c r="H55" s="2906"/>
    </row>
    <row r="56" spans="1:8" ht="13.5" customHeight="1">
      <c r="A56" s="90"/>
      <c r="B56" s="2667" t="str">
        <f>'Car and bus journey time'!S56</f>
        <v>2039/40</v>
      </c>
      <c r="C56" s="27"/>
      <c r="D56" s="2660">
        <v>2.2999999999999998</v>
      </c>
      <c r="E56" s="2661">
        <v>2</v>
      </c>
      <c r="F56" s="2661">
        <v>3.0737174726705581</v>
      </c>
      <c r="G56" s="2662">
        <v>4.3459999999999832</v>
      </c>
      <c r="H56" s="2906"/>
    </row>
    <row r="57" spans="1:8" ht="13.5" customHeight="1">
      <c r="A57" s="90"/>
      <c r="B57" s="2667" t="str">
        <f>'Car and bus journey time'!S57</f>
        <v>2040/41</v>
      </c>
      <c r="C57" s="27"/>
      <c r="D57" s="2660">
        <v>2.2999999999999998</v>
      </c>
      <c r="E57" s="2661">
        <v>2</v>
      </c>
      <c r="F57" s="2661">
        <v>3</v>
      </c>
      <c r="G57" s="2662">
        <v>4.3459999999999832</v>
      </c>
      <c r="H57" s="2906"/>
    </row>
    <row r="58" spans="1:8" ht="13.5" customHeight="1">
      <c r="A58" s="90"/>
      <c r="B58" s="2667" t="str">
        <f>'Car and bus journey time'!S58</f>
        <v>2041/42</v>
      </c>
      <c r="C58" s="27"/>
      <c r="D58" s="2660">
        <v>2.2999999999999998</v>
      </c>
      <c r="E58" s="2661">
        <v>2</v>
      </c>
      <c r="F58" s="2661">
        <v>3</v>
      </c>
      <c r="G58" s="2662">
        <v>4.3459999999999832</v>
      </c>
      <c r="H58" s="2906"/>
    </row>
    <row r="59" spans="1:8" ht="13.5" customHeight="1">
      <c r="A59" s="90"/>
      <c r="B59" s="2667" t="str">
        <f>'Car and bus journey time'!S59</f>
        <v>2042/43</v>
      </c>
      <c r="C59" s="27"/>
      <c r="D59" s="2660">
        <v>2.2999999999999998</v>
      </c>
      <c r="E59" s="2661">
        <v>2</v>
      </c>
      <c r="F59" s="2661">
        <v>3</v>
      </c>
      <c r="G59" s="2662">
        <v>4.3459999999999832</v>
      </c>
      <c r="H59" s="2906"/>
    </row>
    <row r="60" spans="1:8" ht="13.5" customHeight="1">
      <c r="A60" s="90"/>
      <c r="B60" s="2667" t="str">
        <f>'Car and bus journey time'!S60</f>
        <v>2043/44</v>
      </c>
      <c r="C60" s="27"/>
      <c r="D60" s="2660">
        <v>2.2999999999999998</v>
      </c>
      <c r="E60" s="2661">
        <v>2</v>
      </c>
      <c r="F60" s="2661">
        <v>3</v>
      </c>
      <c r="G60" s="2662">
        <v>4.3459999999999832</v>
      </c>
      <c r="H60" s="2906"/>
    </row>
    <row r="61" spans="1:8" ht="13.5" customHeight="1">
      <c r="A61" s="90"/>
      <c r="B61" s="2667" t="str">
        <f>'Car and bus journey time'!S61</f>
        <v>2044/45</v>
      </c>
      <c r="C61" s="27"/>
      <c r="D61" s="2660">
        <v>2.2999999999999998</v>
      </c>
      <c r="E61" s="2661">
        <v>2</v>
      </c>
      <c r="F61" s="2661">
        <v>3</v>
      </c>
      <c r="G61" s="2662">
        <v>4.3459999999999832</v>
      </c>
      <c r="H61" s="2906"/>
    </row>
    <row r="62" spans="1:8" ht="13.5" customHeight="1">
      <c r="A62" s="90"/>
      <c r="B62" s="2667" t="str">
        <f>'Car and bus journey time'!S62</f>
        <v>2045/46</v>
      </c>
      <c r="C62" s="27"/>
      <c r="D62" s="2660">
        <v>2.2999999999999998</v>
      </c>
      <c r="E62" s="2661">
        <v>2</v>
      </c>
      <c r="F62" s="2661">
        <v>3</v>
      </c>
      <c r="G62" s="2662">
        <v>4.3459999999999832</v>
      </c>
      <c r="H62" s="2906"/>
    </row>
    <row r="63" spans="1:8" ht="13.5" customHeight="1">
      <c r="A63" s="90"/>
      <c r="B63" s="2667" t="str">
        <f>'Car and bus journey time'!S63</f>
        <v>2046/47</v>
      </c>
      <c r="C63" s="27"/>
      <c r="D63" s="2660">
        <v>2.2999999999999998</v>
      </c>
      <c r="E63" s="2661">
        <v>2</v>
      </c>
      <c r="F63" s="2661">
        <v>3</v>
      </c>
      <c r="G63" s="2662">
        <v>4.3459999999999832</v>
      </c>
      <c r="H63" s="2906"/>
    </row>
    <row r="64" spans="1:8" ht="13.5" customHeight="1">
      <c r="A64" s="90"/>
      <c r="B64" s="2667" t="str">
        <f>'Car and bus journey time'!S64</f>
        <v>2047/48</v>
      </c>
      <c r="C64" s="27"/>
      <c r="D64" s="2660">
        <v>2.2999999999999998</v>
      </c>
      <c r="E64" s="2661">
        <v>2</v>
      </c>
      <c r="F64" s="2661">
        <v>3</v>
      </c>
      <c r="G64" s="2662">
        <v>4.3459999999999832</v>
      </c>
      <c r="H64" s="2906"/>
    </row>
    <row r="65" spans="1:8" ht="13.5" customHeight="1">
      <c r="A65" s="90"/>
      <c r="B65" s="2667" t="str">
        <f>'Car and bus journey time'!S65</f>
        <v>2048/49</v>
      </c>
      <c r="C65" s="27"/>
      <c r="D65" s="2660">
        <v>2.2999999999999998</v>
      </c>
      <c r="E65" s="2661">
        <v>2</v>
      </c>
      <c r="F65" s="2661">
        <v>3</v>
      </c>
      <c r="G65" s="2662">
        <v>4.3459999999999832</v>
      </c>
      <c r="H65" s="2906"/>
    </row>
    <row r="66" spans="1:8" ht="13.5" customHeight="1">
      <c r="A66" s="90"/>
      <c r="B66" s="2667" t="str">
        <f>'Car and bus journey time'!S66</f>
        <v>2049/50</v>
      </c>
      <c r="C66" s="27"/>
      <c r="D66" s="2660">
        <v>2.2999999999999998</v>
      </c>
      <c r="E66" s="2661">
        <v>2</v>
      </c>
      <c r="F66" s="2661">
        <v>3</v>
      </c>
      <c r="G66" s="2662">
        <v>4.3459999999999832</v>
      </c>
      <c r="H66" s="2906"/>
    </row>
    <row r="67" spans="1:8" ht="13.5" customHeight="1">
      <c r="A67" s="90"/>
      <c r="B67" s="2667" t="str">
        <f>'Car and bus journey time'!S67</f>
        <v>2050/51</v>
      </c>
      <c r="C67" s="27"/>
      <c r="D67" s="2660">
        <v>2.2999999999999998</v>
      </c>
      <c r="E67" s="2661">
        <v>2</v>
      </c>
      <c r="F67" s="2661">
        <v>3</v>
      </c>
      <c r="G67" s="2662">
        <v>4.3459999999999832</v>
      </c>
      <c r="H67" s="2906"/>
    </row>
    <row r="68" spans="1:8" ht="13.8">
      <c r="A68" s="90"/>
      <c r="B68" s="2667" t="str">
        <f>'Car and bus journey time'!S68</f>
        <v>2051/52</v>
      </c>
      <c r="C68" s="27"/>
      <c r="D68" s="2660">
        <v>2.2999999999999998</v>
      </c>
      <c r="E68" s="2661">
        <v>2</v>
      </c>
      <c r="F68" s="2661">
        <v>3</v>
      </c>
      <c r="G68" s="2662">
        <v>4.3459999999999832</v>
      </c>
      <c r="H68" s="2906"/>
    </row>
    <row r="69" spans="1:8" ht="13.5" customHeight="1">
      <c r="A69" s="90"/>
      <c r="B69" s="2667" t="str">
        <f>'Car and bus journey time'!S69</f>
        <v>2052/53</v>
      </c>
      <c r="C69" s="27"/>
      <c r="D69" s="2660">
        <v>2.2999999999999998</v>
      </c>
      <c r="E69" s="2661">
        <v>2</v>
      </c>
      <c r="F69" s="2661">
        <v>3</v>
      </c>
      <c r="G69" s="2662">
        <v>4.3459999999999832</v>
      </c>
      <c r="H69" s="2906"/>
    </row>
    <row r="70" spans="1:8" ht="13.5" customHeight="1">
      <c r="A70" s="90"/>
      <c r="B70" s="2667" t="str">
        <f>'Car and bus journey time'!S70</f>
        <v>2053/54</v>
      </c>
      <c r="C70" s="27"/>
      <c r="D70" s="2660">
        <v>2.2999999999999998</v>
      </c>
      <c r="E70" s="2661">
        <v>2</v>
      </c>
      <c r="F70" s="2661">
        <v>3</v>
      </c>
      <c r="G70" s="2662">
        <v>4.3459999999999832</v>
      </c>
      <c r="H70" s="2906"/>
    </row>
    <row r="71" spans="1:8" ht="13.5" customHeight="1">
      <c r="A71" s="90"/>
      <c r="B71" s="2667" t="str">
        <f>'Car and bus journey time'!S71</f>
        <v>2054/55</v>
      </c>
      <c r="C71" s="27"/>
      <c r="D71" s="2660">
        <v>2.2999999999999998</v>
      </c>
      <c r="E71" s="2661">
        <v>2</v>
      </c>
      <c r="F71" s="2661">
        <v>3</v>
      </c>
      <c r="G71" s="2662">
        <v>4.3459999999999832</v>
      </c>
      <c r="H71" s="2906"/>
    </row>
    <row r="72" spans="1:8" ht="13.5" customHeight="1">
      <c r="A72" s="90"/>
      <c r="B72" s="2667" t="str">
        <f>'Car and bus journey time'!S72</f>
        <v>2055/56</v>
      </c>
      <c r="C72" s="27"/>
      <c r="D72" s="2660">
        <v>2.2999999999999998</v>
      </c>
      <c r="E72" s="2661">
        <v>2</v>
      </c>
      <c r="F72" s="2661">
        <v>3</v>
      </c>
      <c r="G72" s="2662">
        <v>4.3459999999999832</v>
      </c>
      <c r="H72" s="2906"/>
    </row>
    <row r="73" spans="1:8" ht="13.5" customHeight="1">
      <c r="A73" s="90"/>
      <c r="B73" s="2667" t="str">
        <f>'Car and bus journey time'!S73</f>
        <v>2056/57</v>
      </c>
      <c r="C73" s="27"/>
      <c r="D73" s="2660">
        <v>2.2999999999999998</v>
      </c>
      <c r="E73" s="2661">
        <v>2</v>
      </c>
      <c r="F73" s="2661">
        <v>3</v>
      </c>
      <c r="G73" s="2662">
        <v>4.3459999999999832</v>
      </c>
      <c r="H73" s="2906"/>
    </row>
    <row r="74" spans="1:8" ht="13.5" customHeight="1">
      <c r="A74" s="90"/>
      <c r="B74" s="2667" t="str">
        <f>'Car and bus journey time'!S74</f>
        <v>2057/58</v>
      </c>
      <c r="C74" s="27"/>
      <c r="D74" s="2660">
        <v>2.2999999999999998</v>
      </c>
      <c r="E74" s="2661">
        <v>2</v>
      </c>
      <c r="F74" s="2661">
        <v>3</v>
      </c>
      <c r="G74" s="2662">
        <v>4.3459999999999832</v>
      </c>
      <c r="H74" s="2906"/>
    </row>
    <row r="75" spans="1:8" ht="13.5" customHeight="1">
      <c r="A75" s="90"/>
      <c r="B75" s="2667" t="str">
        <f>'Car and bus journey time'!S75</f>
        <v>2058/59</v>
      </c>
      <c r="C75" s="27"/>
      <c r="D75" s="2660">
        <v>2.2999999999999998</v>
      </c>
      <c r="E75" s="2661">
        <v>2</v>
      </c>
      <c r="F75" s="2661">
        <v>3</v>
      </c>
      <c r="G75" s="2662">
        <v>4.3459999999999832</v>
      </c>
      <c r="H75" s="2906"/>
    </row>
    <row r="76" spans="1:8" ht="13.5" customHeight="1">
      <c r="A76" s="90"/>
      <c r="B76" s="2667" t="str">
        <f>'Car and bus journey time'!S76</f>
        <v>2059/60</v>
      </c>
      <c r="C76" s="27"/>
      <c r="D76" s="2660">
        <v>2.2999999999999998</v>
      </c>
      <c r="E76" s="2661">
        <v>2</v>
      </c>
      <c r="F76" s="2661">
        <v>3</v>
      </c>
      <c r="G76" s="2662">
        <v>4.3459999999999832</v>
      </c>
      <c r="H76" s="2906"/>
    </row>
    <row r="77" spans="1:8" ht="13.5" customHeight="1">
      <c r="A77" s="90"/>
      <c r="B77" s="2667" t="str">
        <f>'Car and bus journey time'!S77</f>
        <v>2060/61</v>
      </c>
      <c r="C77" s="27"/>
      <c r="D77" s="2660">
        <v>2.2999999999999998</v>
      </c>
      <c r="E77" s="2661">
        <v>2</v>
      </c>
      <c r="F77" s="2661">
        <v>3</v>
      </c>
      <c r="G77" s="2662">
        <v>4.3459999999999832</v>
      </c>
      <c r="H77" s="2906"/>
    </row>
    <row r="78" spans="1:8" ht="13.5" customHeight="1">
      <c r="A78" s="90"/>
      <c r="B78" s="2667" t="str">
        <f>'Car and bus journey time'!S78</f>
        <v>2061/62</v>
      </c>
      <c r="C78" s="27"/>
      <c r="D78" s="2660">
        <v>2.2999999999999998</v>
      </c>
      <c r="E78" s="2661">
        <v>2</v>
      </c>
      <c r="F78" s="2661">
        <v>3</v>
      </c>
      <c r="G78" s="2662">
        <v>4.3459999999999832</v>
      </c>
      <c r="H78" s="2906"/>
    </row>
    <row r="79" spans="1:8" ht="13.5" customHeight="1">
      <c r="A79" s="90"/>
      <c r="B79" s="2667" t="str">
        <f>'Car and bus journey time'!S79</f>
        <v>2062/63</v>
      </c>
      <c r="C79" s="27"/>
      <c r="D79" s="2660">
        <v>2.2999999999999998</v>
      </c>
      <c r="E79" s="2661">
        <v>2</v>
      </c>
      <c r="F79" s="2661">
        <v>3</v>
      </c>
      <c r="G79" s="2662">
        <v>4.3459999999999832</v>
      </c>
      <c r="H79" s="2906"/>
    </row>
    <row r="80" spans="1:8" ht="13.5" customHeight="1">
      <c r="A80" s="90"/>
      <c r="B80" s="2667" t="str">
        <f>'Car and bus journey time'!S80</f>
        <v>2063/64</v>
      </c>
      <c r="C80" s="27"/>
      <c r="D80" s="2660">
        <v>2.2999999999999998</v>
      </c>
      <c r="E80" s="2661">
        <v>2</v>
      </c>
      <c r="F80" s="2661">
        <v>3</v>
      </c>
      <c r="G80" s="2662">
        <v>4.3459999999999832</v>
      </c>
      <c r="H80" s="2906"/>
    </row>
    <row r="81" spans="1:8" ht="13.5" customHeight="1">
      <c r="A81" s="90"/>
      <c r="B81" s="2667" t="str">
        <f>'Car and bus journey time'!S81</f>
        <v>2064/65</v>
      </c>
      <c r="C81" s="27"/>
      <c r="D81" s="2660">
        <v>2.2999999999999998</v>
      </c>
      <c r="E81" s="2661">
        <v>2</v>
      </c>
      <c r="F81" s="2661">
        <v>3</v>
      </c>
      <c r="G81" s="2662">
        <v>4.3459999999999832</v>
      </c>
      <c r="H81" s="2906"/>
    </row>
    <row r="82" spans="1:8" ht="13.5" customHeight="1">
      <c r="A82" s="90"/>
      <c r="B82" s="2667" t="str">
        <f>'Car and bus journey time'!S82</f>
        <v>2065/66</v>
      </c>
      <c r="C82" s="27"/>
      <c r="D82" s="2660">
        <v>2.2999999999999998</v>
      </c>
      <c r="E82" s="2661">
        <v>2</v>
      </c>
      <c r="F82" s="2661">
        <v>3</v>
      </c>
      <c r="G82" s="2662">
        <v>4.3459999999999832</v>
      </c>
      <c r="H82" s="2906"/>
    </row>
    <row r="83" spans="1:8" ht="13.5" customHeight="1">
      <c r="A83" s="90"/>
      <c r="B83" s="2667" t="str">
        <f>'Car and bus journey time'!S83</f>
        <v>2066/67</v>
      </c>
      <c r="C83" s="27"/>
      <c r="D83" s="2660">
        <v>2.2999999999999998</v>
      </c>
      <c r="E83" s="2661">
        <v>2</v>
      </c>
      <c r="F83" s="2661">
        <v>3</v>
      </c>
      <c r="G83" s="2662">
        <v>4.3459999999999832</v>
      </c>
      <c r="H83" s="2906"/>
    </row>
    <row r="84" spans="1:8" ht="13.5" customHeight="1">
      <c r="A84" s="90"/>
      <c r="B84" s="2667" t="str">
        <f>'Car and bus journey time'!S84</f>
        <v>2067/68</v>
      </c>
      <c r="C84" s="27"/>
      <c r="D84" s="2660">
        <v>2.2999999999999998</v>
      </c>
      <c r="E84" s="2661">
        <v>2</v>
      </c>
      <c r="F84" s="2661">
        <v>3</v>
      </c>
      <c r="G84" s="2662">
        <v>4.3459999999999832</v>
      </c>
      <c r="H84" s="2906"/>
    </row>
    <row r="85" spans="1:8" ht="13.5" customHeight="1">
      <c r="A85" s="90"/>
      <c r="B85" s="2667" t="str">
        <f>'Car and bus journey time'!S85</f>
        <v>2068/69</v>
      </c>
      <c r="C85" s="27"/>
      <c r="D85" s="2660">
        <v>2.2999999999999998</v>
      </c>
      <c r="E85" s="2661">
        <v>2</v>
      </c>
      <c r="F85" s="2661">
        <v>3</v>
      </c>
      <c r="G85" s="2662">
        <v>4.3459999999999832</v>
      </c>
      <c r="H85" s="2906"/>
    </row>
    <row r="86" spans="1:8" ht="13.5" customHeight="1">
      <c r="A86" s="90"/>
      <c r="B86" s="2667" t="str">
        <f>'Car and bus journey time'!S86</f>
        <v>2069/70</v>
      </c>
      <c r="C86" s="27"/>
      <c r="D86" s="2660">
        <v>2.2999999999999998</v>
      </c>
      <c r="E86" s="2661">
        <v>2</v>
      </c>
      <c r="F86" s="2661">
        <v>3</v>
      </c>
      <c r="G86" s="2662">
        <v>4.3459999999999832</v>
      </c>
      <c r="H86" s="2906"/>
    </row>
    <row r="87" spans="1:8" ht="13.5" customHeight="1">
      <c r="A87" s="90"/>
      <c r="B87" s="2667" t="str">
        <f>'Car and bus journey time'!S87</f>
        <v>2070/71</v>
      </c>
      <c r="C87" s="27"/>
      <c r="D87" s="2660">
        <v>2.2999999999999998</v>
      </c>
      <c r="E87" s="2661">
        <v>2</v>
      </c>
      <c r="F87" s="2661">
        <v>3</v>
      </c>
      <c r="G87" s="2662">
        <v>4.3459999999999832</v>
      </c>
      <c r="H87" s="2906"/>
    </row>
    <row r="88" spans="1:8" ht="13.5" customHeight="1">
      <c r="A88" s="90"/>
      <c r="B88" s="2667" t="str">
        <f>'Car and bus journey time'!S88</f>
        <v>2071/72</v>
      </c>
      <c r="C88" s="27"/>
      <c r="D88" s="2660">
        <v>2.2999999999999998</v>
      </c>
      <c r="E88" s="2661">
        <v>2</v>
      </c>
      <c r="F88" s="2661">
        <v>3</v>
      </c>
      <c r="G88" s="2662">
        <v>4.3459999999999832</v>
      </c>
      <c r="H88" s="2906"/>
    </row>
    <row r="89" spans="1:8" ht="13.5" customHeight="1">
      <c r="A89" s="90"/>
      <c r="B89" s="2667" t="str">
        <f>'Car and bus journey time'!S89</f>
        <v>2072/73</v>
      </c>
      <c r="C89" s="27"/>
      <c r="D89" s="2660">
        <v>2.2999999999999998</v>
      </c>
      <c r="E89" s="2661">
        <v>2</v>
      </c>
      <c r="F89" s="2661">
        <v>3</v>
      </c>
      <c r="G89" s="2662">
        <v>4.3459999999999832</v>
      </c>
      <c r="H89" s="2906"/>
    </row>
    <row r="90" spans="1:8" ht="13.5" customHeight="1">
      <c r="A90" s="90"/>
      <c r="B90" s="2667" t="str">
        <f>'Car and bus journey time'!S90</f>
        <v>2073/74</v>
      </c>
      <c r="C90" s="27"/>
      <c r="D90" s="2660">
        <v>2.2999999999999998</v>
      </c>
      <c r="E90" s="2661">
        <v>2</v>
      </c>
      <c r="F90" s="2661">
        <v>3</v>
      </c>
      <c r="G90" s="2662">
        <v>4.3459999999999832</v>
      </c>
      <c r="H90" s="2906"/>
    </row>
    <row r="91" spans="1:8" ht="13.5" customHeight="1">
      <c r="A91" s="90"/>
      <c r="B91" s="2667" t="str">
        <f>'Car and bus journey time'!S91</f>
        <v>2074/75</v>
      </c>
      <c r="C91" s="27"/>
      <c r="D91" s="2660">
        <v>2.2999999999999998</v>
      </c>
      <c r="E91" s="2661">
        <v>2</v>
      </c>
      <c r="F91" s="2661">
        <v>3</v>
      </c>
      <c r="G91" s="2662">
        <v>4.3459999999999832</v>
      </c>
      <c r="H91" s="2906"/>
    </row>
    <row r="92" spans="1:8" ht="13.5" customHeight="1">
      <c r="A92" s="90"/>
      <c r="B92" s="2667" t="str">
        <f>'Car and bus journey time'!S92</f>
        <v>2075/76</v>
      </c>
      <c r="C92" s="27"/>
      <c r="D92" s="2660">
        <v>2.2999999999999998</v>
      </c>
      <c r="E92" s="2661">
        <v>2</v>
      </c>
      <c r="F92" s="2661">
        <v>3</v>
      </c>
      <c r="G92" s="2662">
        <v>4.3459999999999832</v>
      </c>
      <c r="H92" s="2906"/>
    </row>
    <row r="93" spans="1:8" ht="13.5" customHeight="1">
      <c r="A93" s="90"/>
      <c r="B93" s="2667" t="str">
        <f>'Car and bus journey time'!S93</f>
        <v>2076/77</v>
      </c>
      <c r="C93" s="27"/>
      <c r="D93" s="2660">
        <v>2.2999999999999998</v>
      </c>
      <c r="E93" s="2661">
        <v>2</v>
      </c>
      <c r="F93" s="2661">
        <v>3</v>
      </c>
      <c r="G93" s="2662">
        <v>4.3459999999999832</v>
      </c>
      <c r="H93" s="2906"/>
    </row>
    <row r="94" spans="1:8" ht="13.5" customHeight="1">
      <c r="A94" s="90"/>
      <c r="B94" s="2667" t="str">
        <f>'Car and bus journey time'!S94</f>
        <v>2077/78</v>
      </c>
      <c r="C94" s="27"/>
      <c r="D94" s="2660">
        <v>2.2999999999999998</v>
      </c>
      <c r="E94" s="2661">
        <v>2</v>
      </c>
      <c r="F94" s="2661">
        <v>3</v>
      </c>
      <c r="G94" s="2662">
        <v>4.3459999999999832</v>
      </c>
      <c r="H94" s="2906"/>
    </row>
    <row r="95" spans="1:8" ht="13.5" customHeight="1">
      <c r="A95" s="90"/>
      <c r="B95" s="2667" t="str">
        <f>'Car and bus journey time'!S95</f>
        <v>2078/79</v>
      </c>
      <c r="C95" s="27"/>
      <c r="D95" s="2660">
        <v>2.2999999999999998</v>
      </c>
      <c r="E95" s="2661">
        <v>2</v>
      </c>
      <c r="F95" s="2661">
        <v>3</v>
      </c>
      <c r="G95" s="2662">
        <v>4.3459999999999832</v>
      </c>
      <c r="H95" s="2906"/>
    </row>
    <row r="96" spans="1:8" ht="13.5" customHeight="1">
      <c r="A96" s="90"/>
      <c r="B96" s="2667" t="str">
        <f>'Car and bus journey time'!S96</f>
        <v>2079/80</v>
      </c>
      <c r="C96" s="27"/>
      <c r="D96" s="2660">
        <v>2.2999999999999998</v>
      </c>
      <c r="E96" s="2661">
        <v>2</v>
      </c>
      <c r="F96" s="2661">
        <v>3</v>
      </c>
      <c r="G96" s="2662">
        <v>4.3459999999999832</v>
      </c>
      <c r="H96" s="2906"/>
    </row>
    <row r="97" spans="1:8" ht="13.5" customHeight="1">
      <c r="A97" s="90"/>
      <c r="B97" s="2667" t="str">
        <f>'Car and bus journey time'!S97</f>
        <v>2080/81</v>
      </c>
      <c r="C97" s="27"/>
      <c r="D97" s="2660">
        <v>2.2999999999999998</v>
      </c>
      <c r="E97" s="2661">
        <v>2</v>
      </c>
      <c r="F97" s="2661">
        <v>3</v>
      </c>
      <c r="G97" s="2662">
        <v>4.3459999999999832</v>
      </c>
      <c r="H97" s="2906"/>
    </row>
    <row r="98" spans="1:8" ht="13.5" customHeight="1">
      <c r="A98" s="90"/>
      <c r="B98" s="2667" t="str">
        <f>'Car and bus journey time'!S98</f>
        <v>2081/82</v>
      </c>
      <c r="C98" s="27"/>
      <c r="D98" s="2660">
        <v>2.2999999999999998</v>
      </c>
      <c r="E98" s="2661">
        <v>2</v>
      </c>
      <c r="F98" s="2661">
        <v>3</v>
      </c>
      <c r="G98" s="2662">
        <v>4.3459999999999832</v>
      </c>
      <c r="H98" s="2906"/>
    </row>
    <row r="99" spans="1:8" ht="13.5" customHeight="1">
      <c r="A99" s="90"/>
      <c r="B99" s="2667" t="str">
        <f>'Car and bus journey time'!S99</f>
        <v>2082/83</v>
      </c>
      <c r="C99" s="27"/>
      <c r="D99" s="2660">
        <v>2.2999999999999998</v>
      </c>
      <c r="E99" s="2661">
        <v>2</v>
      </c>
      <c r="F99" s="2661">
        <v>3</v>
      </c>
      <c r="G99" s="2662">
        <v>4.3459999999999832</v>
      </c>
      <c r="H99" s="2906"/>
    </row>
    <row r="100" spans="1:8" ht="13.5" customHeight="1">
      <c r="A100" s="90"/>
      <c r="B100" s="2667" t="str">
        <f>'Car and bus journey time'!S100</f>
        <v>2083/84</v>
      </c>
      <c r="C100" s="27"/>
      <c r="D100" s="2660">
        <v>2.2999999999999998</v>
      </c>
      <c r="E100" s="2661">
        <v>2</v>
      </c>
      <c r="F100" s="2661">
        <v>3</v>
      </c>
      <c r="G100" s="2662">
        <v>4.3459999999999832</v>
      </c>
      <c r="H100" s="2906"/>
    </row>
    <row r="101" spans="1:8" ht="13.5" customHeight="1">
      <c r="A101" s="90"/>
      <c r="B101" s="2667" t="str">
        <f>'Car and bus journey time'!S101</f>
        <v>2084/85</v>
      </c>
      <c r="C101" s="27"/>
      <c r="D101" s="2660">
        <v>2.2999999999999998</v>
      </c>
      <c r="E101" s="2661">
        <v>2</v>
      </c>
      <c r="F101" s="2661">
        <v>3</v>
      </c>
      <c r="G101" s="2662">
        <v>4.3459999999999832</v>
      </c>
      <c r="H101" s="2906"/>
    </row>
    <row r="102" spans="1:8" ht="13.5" customHeight="1">
      <c r="A102" s="90"/>
      <c r="B102" s="2667" t="str">
        <f>'Car and bus journey time'!S102</f>
        <v>2085/86</v>
      </c>
      <c r="C102" s="27"/>
      <c r="D102" s="2660">
        <v>2.2999999999999998</v>
      </c>
      <c r="E102" s="2661">
        <v>2</v>
      </c>
      <c r="F102" s="2661">
        <v>3</v>
      </c>
      <c r="G102" s="2662">
        <v>4.3459999999999832</v>
      </c>
      <c r="H102" s="2906"/>
    </row>
    <row r="103" spans="1:8" ht="13.5" customHeight="1">
      <c r="A103" s="90"/>
      <c r="B103" s="2667" t="str">
        <f>'Car and bus journey time'!S103</f>
        <v>2086/87</v>
      </c>
      <c r="C103" s="27"/>
      <c r="D103" s="2660">
        <v>2.2999999999999998</v>
      </c>
      <c r="E103" s="2661">
        <v>2</v>
      </c>
      <c r="F103" s="2661">
        <v>3</v>
      </c>
      <c r="G103" s="2662">
        <v>4.3459999999999832</v>
      </c>
      <c r="H103" s="2906"/>
    </row>
    <row r="104" spans="1:8" ht="13.5" customHeight="1">
      <c r="A104" s="90"/>
      <c r="B104" s="2667" t="str">
        <f>'Car and bus journey time'!S104</f>
        <v>2087/88</v>
      </c>
      <c r="C104" s="27"/>
      <c r="D104" s="2660">
        <v>2.2999999999999998</v>
      </c>
      <c r="E104" s="2661">
        <v>2</v>
      </c>
      <c r="F104" s="2661">
        <v>3</v>
      </c>
      <c r="G104" s="2662">
        <v>4.3459999999999832</v>
      </c>
      <c r="H104" s="2906"/>
    </row>
    <row r="105" spans="1:8" ht="13.5" customHeight="1">
      <c r="A105" s="90"/>
      <c r="B105" s="2667" t="str">
        <f>'Car and bus journey time'!S105</f>
        <v>2088/89</v>
      </c>
      <c r="C105" s="27"/>
      <c r="D105" s="2660">
        <v>2.2999999999999998</v>
      </c>
      <c r="E105" s="2661">
        <v>2</v>
      </c>
      <c r="F105" s="2661">
        <v>3</v>
      </c>
      <c r="G105" s="2662">
        <v>4.3459999999999832</v>
      </c>
      <c r="H105" s="2906"/>
    </row>
    <row r="106" spans="1:8" ht="13.5" customHeight="1">
      <c r="A106" s="90"/>
      <c r="B106" s="2667" t="str">
        <f>'Car and bus journey time'!S106</f>
        <v>2089/90</v>
      </c>
      <c r="C106" s="27"/>
      <c r="D106" s="2660">
        <v>2.2999999999999998</v>
      </c>
      <c r="E106" s="2661">
        <v>2</v>
      </c>
      <c r="F106" s="2661">
        <v>3</v>
      </c>
      <c r="G106" s="2662">
        <v>4.3459999999999832</v>
      </c>
      <c r="H106" s="2906"/>
    </row>
    <row r="107" spans="1:8" ht="13.5" customHeight="1">
      <c r="A107" s="90"/>
      <c r="B107" s="2667" t="str">
        <f>'Car and bus journey time'!S107</f>
        <v>2090/91</v>
      </c>
      <c r="C107" s="27"/>
      <c r="D107" s="2660">
        <v>2.2999999999999998</v>
      </c>
      <c r="E107" s="2661">
        <v>2</v>
      </c>
      <c r="F107" s="2661">
        <v>3</v>
      </c>
      <c r="G107" s="2662">
        <v>4.3459999999999832</v>
      </c>
      <c r="H107" s="2906"/>
    </row>
    <row r="108" spans="1:8" ht="13.5" customHeight="1">
      <c r="A108" s="90"/>
      <c r="B108" s="2667" t="str">
        <f>'Car and bus journey time'!S108</f>
        <v>2091/92</v>
      </c>
      <c r="C108" s="27"/>
      <c r="D108" s="2660">
        <v>2.2999999999999998</v>
      </c>
      <c r="E108" s="2661">
        <v>2</v>
      </c>
      <c r="F108" s="2661">
        <v>3</v>
      </c>
      <c r="G108" s="2662">
        <v>4.3459999999999832</v>
      </c>
      <c r="H108" s="2906"/>
    </row>
    <row r="109" spans="1:8" ht="13.5" customHeight="1">
      <c r="A109" s="90"/>
      <c r="B109" s="2667" t="str">
        <f>'Car and bus journey time'!S109</f>
        <v>2092/93</v>
      </c>
      <c r="C109" s="27"/>
      <c r="D109" s="2660">
        <v>2.2999999999999998</v>
      </c>
      <c r="E109" s="2661">
        <v>2</v>
      </c>
      <c r="F109" s="2661">
        <v>3</v>
      </c>
      <c r="G109" s="2662">
        <v>4.3459999999999832</v>
      </c>
      <c r="H109" s="2906"/>
    </row>
    <row r="110" spans="1:8" ht="13.5" customHeight="1">
      <c r="A110" s="90"/>
      <c r="B110" s="2667" t="str">
        <f>'Car and bus journey time'!S110</f>
        <v>2093/94</v>
      </c>
      <c r="C110" s="27"/>
      <c r="D110" s="2660">
        <v>2.2999999999999998</v>
      </c>
      <c r="E110" s="2661">
        <v>2</v>
      </c>
      <c r="F110" s="2661">
        <v>3</v>
      </c>
      <c r="G110" s="2662">
        <v>4.3459999999999832</v>
      </c>
      <c r="H110" s="2906"/>
    </row>
    <row r="111" spans="1:8" ht="13.5" customHeight="1">
      <c r="A111" s="90"/>
      <c r="B111" s="2667" t="str">
        <f>'Car and bus journey time'!S111</f>
        <v>2094/95</v>
      </c>
      <c r="C111" s="27"/>
      <c r="D111" s="2660">
        <v>2.2999999999999998</v>
      </c>
      <c r="E111" s="2661">
        <v>2</v>
      </c>
      <c r="F111" s="2661">
        <v>3</v>
      </c>
      <c r="G111" s="2662">
        <v>4.3459999999999832</v>
      </c>
      <c r="H111" s="2906"/>
    </row>
    <row r="112" spans="1:8" ht="13.5" customHeight="1">
      <c r="A112" s="90"/>
      <c r="B112" s="2667" t="str">
        <f>'Car and bus journey time'!S112</f>
        <v>2095/96</v>
      </c>
      <c r="C112" s="27"/>
      <c r="D112" s="2660">
        <v>2.2999999999999998</v>
      </c>
      <c r="E112" s="2661">
        <v>2</v>
      </c>
      <c r="F112" s="2661">
        <v>3</v>
      </c>
      <c r="G112" s="2662">
        <v>4.3459999999999832</v>
      </c>
      <c r="H112" s="2906"/>
    </row>
    <row r="113" spans="1:8" ht="13.5" customHeight="1">
      <c r="A113" s="90"/>
      <c r="B113" s="2667" t="str">
        <f>'Car and bus journey time'!S113</f>
        <v>2096/97</v>
      </c>
      <c r="C113" s="27"/>
      <c r="D113" s="2660">
        <v>2.2999999999999998</v>
      </c>
      <c r="E113" s="2661">
        <v>2</v>
      </c>
      <c r="F113" s="2661">
        <v>3</v>
      </c>
      <c r="G113" s="2662">
        <v>4.3459999999999832</v>
      </c>
      <c r="H113" s="2906"/>
    </row>
    <row r="114" spans="1:8" ht="13.5" customHeight="1">
      <c r="A114" s="90"/>
      <c r="B114" s="2667" t="str">
        <f>'Car and bus journey time'!S114</f>
        <v>2097/98</v>
      </c>
      <c r="C114" s="82"/>
      <c r="D114" s="2660">
        <v>2.2999999999999998</v>
      </c>
      <c r="E114" s="2661">
        <v>2</v>
      </c>
      <c r="F114" s="2661">
        <v>3</v>
      </c>
      <c r="G114" s="2662">
        <v>4.3459999999999832</v>
      </c>
      <c r="H114" s="2906"/>
    </row>
    <row r="115" spans="1:8" ht="13.5" customHeight="1">
      <c r="A115" s="90"/>
      <c r="B115" s="2667" t="str">
        <f>'Car and bus journey time'!S115</f>
        <v>2098/99</v>
      </c>
      <c r="C115" s="82"/>
      <c r="D115" s="2660">
        <v>2.2999999999999998</v>
      </c>
      <c r="E115" s="2661">
        <v>2</v>
      </c>
      <c r="F115" s="2661">
        <v>3</v>
      </c>
      <c r="G115" s="2662">
        <v>4.3459999999999832</v>
      </c>
      <c r="H115" s="2906"/>
    </row>
    <row r="116" spans="1:8" ht="13.2" customHeight="1" thickBot="1">
      <c r="A116" s="92"/>
      <c r="B116" s="2711" t="str">
        <f>'Car and bus journey time'!S116</f>
        <v>2099/00</v>
      </c>
      <c r="C116" s="37"/>
      <c r="D116" s="3169">
        <v>2.2999999999999998</v>
      </c>
      <c r="E116" s="3170">
        <v>2</v>
      </c>
      <c r="F116" s="3170">
        <v>3</v>
      </c>
      <c r="G116" s="3172">
        <v>4.3459999999999832</v>
      </c>
      <c r="H116" s="2906"/>
    </row>
    <row r="117" spans="1:8" ht="13.5" customHeight="1" thickTop="1" thickBot="1"/>
    <row r="118" spans="1:8" ht="13.5" customHeight="1" thickBot="1">
      <c r="D118" s="528" t="s">
        <v>1489</v>
      </c>
      <c r="E118" s="3463"/>
    </row>
    <row r="119" spans="1:8" ht="36" customHeight="1"/>
    <row r="120" spans="1:8" ht="13.5" customHeight="1"/>
    <row r="121" spans="1:8" ht="13.5" customHeight="1"/>
    <row r="122" spans="1:8" ht="13.5" customHeight="1"/>
    <row r="123" spans="1:8" ht="13.5" customHeight="1"/>
    <row r="124" spans="1:8" ht="13.5" customHeight="1"/>
    <row r="125" spans="1:8" ht="13.5" customHeight="1"/>
    <row r="126" spans="1:8" ht="13.5" customHeight="1"/>
    <row r="127" spans="1:8" ht="13.5" customHeight="1"/>
    <row r="128" spans="1: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 ref="D118" location="'Cost and rev series'!A1" display="Top"/>
    <hyperlink ref="G8" r:id="rId2" display="GDP deflator: ONS time series L8GG released 30/06/2016"/>
    <hyperlink ref="G9" r:id="rId3" display="GDP deflator, CPI and RPI: OBR EFO Oct 18, Economy Supplementary table 1.7, published 29/10/2018"/>
    <hyperlink ref="L8" r:id="rId4" display="Average earnings: OBR EFO Oct 18, Economy Supplementary table 1.6, published 29/10/2018"/>
    <hyperlink ref="K8" r:id="rId5" display="RPI: ONS CHAW series, released 14/11/2017"/>
    <hyperlink ref="L9" r:id="rId6"/>
    <hyperlink ref="G10" r:id="rId7" display="2023 onwards: based on March 2018 OBR Long-term economic determinants published 13/03/2018"/>
    <hyperlink ref="M8" r:id="rId8" display="RPI: ONS D7BT series, published 20/03/2018"/>
  </hyperlinks>
  <pageMargins left="0.15748031496062992" right="0.15748031496062992" top="0.59055118110236227" bottom="0.39370078740157483" header="0.11811023622047245" footer="0.11811023622047245"/>
  <pageSetup paperSize="9" scale="83" pageOrder="overThenDown" orientation="landscape" r:id="rId9"/>
  <headerFooter alignWithMargins="0"/>
  <drawing r:id="rId1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indexed="17"/>
    <pageSetUpPr fitToPage="1"/>
  </sheetPr>
  <dimension ref="A1:CL111"/>
  <sheetViews>
    <sheetView zoomScale="85" zoomScaleNormal="85" workbookViewId="0">
      <selection activeCell="P27" sqref="P27"/>
    </sheetView>
  </sheetViews>
  <sheetFormatPr defaultColWidth="12.88671875" defaultRowHeight="13.5" customHeight="1"/>
  <cols>
    <col min="1" max="1" width="12.88671875" style="1758" customWidth="1"/>
    <col min="2" max="15" width="12.88671875" style="1759" customWidth="1"/>
    <col min="16" max="16384" width="12.88671875" style="1758"/>
  </cols>
  <sheetData>
    <row r="1" spans="1:90" s="240" customFormat="1" ht="54.9" customHeight="1">
      <c r="A1" s="245"/>
      <c r="C1" s="245"/>
      <c r="D1" s="3827"/>
      <c r="E1" s="3689"/>
      <c r="F1" s="3689"/>
      <c r="G1" s="3689"/>
      <c r="H1" s="3689"/>
      <c r="I1" s="3689"/>
      <c r="J1" s="3689"/>
      <c r="K1" s="3689"/>
      <c r="L1" s="3689"/>
      <c r="M1" s="3689"/>
      <c r="N1" s="3689"/>
      <c r="O1" s="3689"/>
      <c r="Q1" s="3821"/>
      <c r="R1" s="3821"/>
      <c r="S1" s="3821"/>
      <c r="T1" s="3821"/>
      <c r="U1" s="3821"/>
      <c r="V1" s="3821"/>
      <c r="W1" s="3821"/>
      <c r="X1" s="3821"/>
      <c r="Y1" s="3821"/>
      <c r="Z1" s="3821"/>
      <c r="AA1" s="3821"/>
      <c r="AB1" s="3821"/>
      <c r="AC1" s="3821"/>
      <c r="AD1" s="3821"/>
      <c r="AF1" s="3821"/>
      <c r="AG1" s="3821"/>
      <c r="AH1" s="3821"/>
      <c r="AI1" s="3821"/>
      <c r="AJ1" s="3821"/>
      <c r="AK1" s="3821"/>
      <c r="AL1" s="3821"/>
      <c r="AM1" s="3821"/>
      <c r="AN1" s="3821"/>
      <c r="AO1" s="3821"/>
      <c r="AP1" s="3821"/>
      <c r="AQ1" s="3821"/>
      <c r="AR1" s="3821"/>
      <c r="AS1" s="3821"/>
      <c r="AU1" s="3821"/>
      <c r="AV1" s="3821"/>
      <c r="AW1" s="3821"/>
      <c r="AX1" s="3821"/>
      <c r="AY1" s="3821"/>
      <c r="AZ1" s="3821"/>
      <c r="BA1" s="3821"/>
      <c r="BB1" s="3821"/>
      <c r="BC1" s="3821"/>
      <c r="BD1" s="3821"/>
      <c r="BE1" s="3821"/>
      <c r="BF1" s="3821"/>
      <c r="BG1" s="3821"/>
      <c r="BH1" s="3821"/>
      <c r="BJ1" s="3821"/>
      <c r="BK1" s="3821"/>
      <c r="BL1" s="3821"/>
      <c r="BM1" s="3821"/>
      <c r="BN1" s="3821"/>
      <c r="BO1" s="3821"/>
      <c r="BP1" s="3821"/>
      <c r="BQ1" s="3821"/>
      <c r="BR1" s="3821"/>
      <c r="BS1" s="3821"/>
      <c r="BT1" s="3821"/>
      <c r="BU1" s="3821"/>
      <c r="BV1" s="3821"/>
      <c r="BW1" s="3821"/>
      <c r="BY1" s="3821"/>
      <c r="BZ1" s="3821"/>
      <c r="CA1" s="3821"/>
      <c r="CB1" s="3821"/>
      <c r="CC1" s="3821"/>
      <c r="CD1" s="3821"/>
      <c r="CE1" s="3821"/>
      <c r="CF1" s="3821"/>
      <c r="CG1" s="3821"/>
      <c r="CH1" s="3821"/>
      <c r="CI1" s="3821"/>
      <c r="CJ1" s="3821"/>
      <c r="CK1" s="3821"/>
      <c r="CL1" s="3821"/>
    </row>
    <row r="2" spans="1:90" s="262" customFormat="1" ht="5.0999999999999996" customHeight="1">
      <c r="D2" s="260"/>
      <c r="F2" s="260"/>
      <c r="I2" s="260"/>
      <c r="J2" s="260"/>
    </row>
    <row r="3" spans="1:90" s="262" customFormat="1" ht="20.100000000000001" customHeight="1">
      <c r="A3" s="262" t="s">
        <v>2313</v>
      </c>
      <c r="B3" s="1717"/>
      <c r="C3" s="1718"/>
      <c r="D3" s="271"/>
      <c r="E3" s="260"/>
      <c r="F3" s="261"/>
      <c r="J3" s="260"/>
    </row>
    <row r="4" spans="1:90" s="237" customFormat="1" ht="20.100000000000001" customHeight="1" thickBot="1">
      <c r="A4" s="1719" t="s">
        <v>964</v>
      </c>
      <c r="B4" s="263"/>
      <c r="C4" s="263"/>
      <c r="D4" s="1720"/>
      <c r="E4" s="263"/>
      <c r="F4" s="263"/>
      <c r="G4" s="1720"/>
      <c r="H4" s="1720"/>
      <c r="I4" s="263"/>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63"/>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row>
    <row r="5" spans="1:90" s="240" customFormat="1" ht="9.9" customHeight="1" thickTop="1" thickBot="1">
      <c r="C5" s="1393"/>
      <c r="E5" s="1721"/>
      <c r="G5" s="245"/>
      <c r="H5" s="245"/>
      <c r="J5" s="237"/>
    </row>
    <row r="6" spans="1:90" s="240"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90" s="240" customFormat="1" ht="13.5" customHeight="1">
      <c r="A7" s="3636" t="str">
        <f>Audit!A12</f>
        <v>May 2019 v1.12</v>
      </c>
      <c r="B7" s="3637"/>
      <c r="D7" s="247"/>
      <c r="E7" s="1722" t="s">
        <v>1055</v>
      </c>
      <c r="F7" s="236"/>
      <c r="G7" s="237"/>
      <c r="H7" s="237"/>
      <c r="I7" s="237"/>
      <c r="J7" s="237"/>
      <c r="K7" s="237"/>
      <c r="L7" s="237"/>
      <c r="M7" s="237"/>
      <c r="N7" s="237"/>
      <c r="O7" s="237"/>
      <c r="P7" s="237"/>
      <c r="Q7" s="237"/>
      <c r="R7" s="237"/>
      <c r="S7" s="247"/>
    </row>
    <row r="8" spans="1:90" s="240" customFormat="1" ht="13.5" customHeight="1">
      <c r="A8" s="3630">
        <f>Audit!C12</f>
        <v>43586</v>
      </c>
      <c r="B8" s="3631"/>
      <c r="C8" s="239"/>
      <c r="D8" s="272"/>
      <c r="E8" s="1722" t="s">
        <v>1131</v>
      </c>
      <c r="F8" s="266"/>
      <c r="G8" s="237"/>
      <c r="H8" s="237"/>
      <c r="I8" s="237"/>
      <c r="J8" s="237"/>
      <c r="K8" s="237"/>
      <c r="L8" s="237"/>
      <c r="M8" s="237"/>
      <c r="N8" s="237"/>
      <c r="O8" s="237"/>
      <c r="P8" s="237"/>
      <c r="Q8" s="237"/>
      <c r="R8" s="237"/>
      <c r="S8" s="247"/>
    </row>
    <row r="9" spans="1:90" s="240" customFormat="1" ht="13.5" customHeight="1" thickBot="1">
      <c r="A9" s="169" t="s">
        <v>14</v>
      </c>
      <c r="B9" s="169"/>
      <c r="D9" s="272"/>
      <c r="F9" s="237"/>
      <c r="G9" s="237"/>
      <c r="H9" s="237"/>
      <c r="I9" s="237"/>
      <c r="J9" s="237"/>
      <c r="K9" s="237"/>
      <c r="L9" s="237"/>
      <c r="M9" s="237"/>
      <c r="N9" s="237"/>
      <c r="O9" s="237"/>
      <c r="P9" s="237"/>
      <c r="Q9" s="237"/>
      <c r="R9" s="237"/>
      <c r="S9" s="247"/>
    </row>
    <row r="10" spans="1:90" s="240" customFormat="1" ht="13.5" customHeight="1" thickBot="1">
      <c r="A10" s="3570" t="s">
        <v>1306</v>
      </c>
      <c r="B10" s="3610"/>
      <c r="D10" s="272"/>
      <c r="F10" s="237"/>
      <c r="G10" s="237"/>
      <c r="H10" s="237"/>
      <c r="I10" s="237"/>
      <c r="J10" s="237"/>
      <c r="K10" s="237"/>
      <c r="L10" s="237"/>
      <c r="M10" s="237"/>
      <c r="N10" s="237"/>
      <c r="O10" s="237"/>
      <c r="P10" s="237"/>
      <c r="Q10" s="237"/>
      <c r="R10" s="237"/>
      <c r="S10" s="247"/>
    </row>
    <row r="11" spans="1:90" s="240" customFormat="1" ht="13.5" customHeight="1" thickBot="1">
      <c r="A11" s="3570" t="s">
        <v>2314</v>
      </c>
      <c r="B11" s="3581"/>
      <c r="D11" s="272"/>
      <c r="F11" s="267"/>
      <c r="G11" s="267"/>
      <c r="H11" s="267"/>
      <c r="I11" s="267"/>
      <c r="J11" s="267"/>
      <c r="K11" s="267"/>
      <c r="L11" s="267"/>
      <c r="M11" s="267"/>
      <c r="N11" s="267"/>
      <c r="O11" s="267"/>
      <c r="P11" s="267"/>
      <c r="Q11" s="267"/>
      <c r="R11" s="267"/>
      <c r="S11" s="1319"/>
    </row>
    <row r="12" spans="1:90" s="240" customFormat="1" ht="13.5" customHeight="1" thickBot="1">
      <c r="A12" s="3822" t="s">
        <v>2315</v>
      </c>
      <c r="B12" s="3823"/>
      <c r="D12" s="272"/>
      <c r="F12" s="237"/>
      <c r="G12" s="237"/>
      <c r="H12" s="237"/>
      <c r="I12" s="237"/>
      <c r="J12" s="237"/>
      <c r="K12" s="237"/>
      <c r="L12" s="237"/>
      <c r="M12" s="237"/>
      <c r="N12" s="237"/>
      <c r="O12" s="237"/>
      <c r="P12" s="237"/>
      <c r="Q12" s="237"/>
      <c r="R12" s="237"/>
      <c r="S12" s="247"/>
    </row>
    <row r="13" spans="1:90" s="240" customFormat="1" ht="13.5" customHeight="1">
      <c r="A13" s="169" t="s">
        <v>252</v>
      </c>
      <c r="B13" s="169"/>
      <c r="C13" s="239"/>
      <c r="D13" s="272"/>
      <c r="F13" s="237"/>
      <c r="G13" s="237"/>
      <c r="H13" s="237"/>
      <c r="I13" s="237"/>
      <c r="J13" s="237"/>
      <c r="K13" s="237"/>
      <c r="L13" s="237"/>
      <c r="M13" s="237"/>
      <c r="N13" s="237"/>
      <c r="O13" s="237"/>
      <c r="P13" s="237"/>
      <c r="Q13" s="237"/>
      <c r="R13" s="237"/>
      <c r="S13" s="247"/>
    </row>
    <row r="14" spans="1:90" s="240" customFormat="1" ht="13.5" customHeight="1">
      <c r="A14" s="2458"/>
      <c r="B14" s="2458"/>
      <c r="D14" s="272"/>
      <c r="F14" s="237"/>
      <c r="G14" s="237"/>
      <c r="H14" s="237"/>
      <c r="I14" s="237"/>
      <c r="J14" s="237"/>
      <c r="K14" s="237"/>
      <c r="L14" s="237"/>
      <c r="M14" s="237"/>
      <c r="N14" s="237"/>
      <c r="O14" s="237"/>
      <c r="P14" s="237"/>
      <c r="Q14" s="237"/>
      <c r="R14" s="237"/>
      <c r="S14" s="247"/>
    </row>
    <row r="15" spans="1:90" s="240" customFormat="1" ht="13.5" customHeight="1">
      <c r="A15" s="2460"/>
      <c r="B15" s="244"/>
      <c r="C15" s="242"/>
      <c r="D15" s="272"/>
      <c r="F15" s="237"/>
      <c r="G15" s="237"/>
      <c r="H15" s="237"/>
      <c r="I15" s="237"/>
      <c r="J15" s="237"/>
      <c r="K15" s="237"/>
      <c r="L15" s="237"/>
      <c r="M15" s="237"/>
      <c r="N15" s="237"/>
      <c r="O15" s="237"/>
      <c r="P15" s="237"/>
      <c r="Q15" s="237"/>
      <c r="R15" s="237"/>
      <c r="S15" s="247"/>
    </row>
    <row r="16" spans="1:90" s="240" customFormat="1" ht="13.5" customHeight="1">
      <c r="A16" s="2460" t="s">
        <v>370</v>
      </c>
      <c r="B16" s="2462">
        <f>'Total - Traffic %'!B16</f>
        <v>2010</v>
      </c>
      <c r="C16" s="1723"/>
      <c r="D16" s="272"/>
      <c r="F16" s="237"/>
      <c r="G16" s="237"/>
      <c r="H16" s="237"/>
      <c r="I16" s="237"/>
      <c r="J16" s="237"/>
      <c r="K16" s="237"/>
      <c r="L16" s="237"/>
      <c r="M16" s="237"/>
      <c r="N16" s="237"/>
      <c r="O16" s="237"/>
      <c r="P16" s="237"/>
      <c r="Q16" s="237"/>
      <c r="R16" s="237"/>
      <c r="S16" s="247"/>
    </row>
    <row r="17" spans="1:90" s="240" customFormat="1" ht="13.5" customHeight="1" thickBot="1">
      <c r="A17" s="169" t="s">
        <v>253</v>
      </c>
      <c r="B17" s="169"/>
      <c r="C17" s="239"/>
      <c r="D17" s="272"/>
      <c r="F17" s="237"/>
      <c r="G17" s="237"/>
      <c r="H17" s="237"/>
      <c r="I17" s="237"/>
      <c r="J17" s="237"/>
      <c r="K17" s="237"/>
      <c r="L17" s="237"/>
      <c r="M17" s="237"/>
      <c r="N17" s="237"/>
      <c r="O17" s="237"/>
      <c r="P17" s="237"/>
      <c r="Q17" s="237"/>
      <c r="R17" s="237"/>
      <c r="S17" s="247"/>
    </row>
    <row r="18" spans="1:90" s="240" customFormat="1" ht="13.5" customHeight="1" thickBot="1">
      <c r="A18" s="2414">
        <v>2010</v>
      </c>
      <c r="B18" s="2414">
        <v>2015</v>
      </c>
      <c r="C18" s="239"/>
      <c r="D18" s="272"/>
      <c r="F18" s="237"/>
      <c r="G18" s="237"/>
      <c r="H18" s="237"/>
      <c r="I18" s="237"/>
      <c r="J18" s="237"/>
      <c r="K18" s="237"/>
      <c r="L18" s="237"/>
      <c r="M18" s="237"/>
      <c r="N18" s="237"/>
      <c r="O18" s="237"/>
      <c r="P18" s="237"/>
      <c r="Q18" s="237"/>
      <c r="R18" s="237"/>
      <c r="S18" s="247"/>
    </row>
    <row r="19" spans="1:90" s="240" customFormat="1" ht="13.5" customHeight="1" thickBot="1">
      <c r="A19" s="2414">
        <v>2020</v>
      </c>
      <c r="B19" s="2414">
        <v>2025</v>
      </c>
      <c r="D19" s="272"/>
      <c r="E19" s="240" t="s">
        <v>2381</v>
      </c>
      <c r="F19" s="237"/>
      <c r="G19" s="237"/>
      <c r="H19" s="237"/>
      <c r="I19" s="237"/>
      <c r="J19" s="237"/>
      <c r="K19" s="237"/>
      <c r="L19" s="237"/>
      <c r="M19" s="237"/>
      <c r="N19" s="237"/>
      <c r="O19" s="237"/>
      <c r="P19" s="237"/>
      <c r="Q19" s="237"/>
      <c r="R19" s="237"/>
      <c r="S19" s="247"/>
    </row>
    <row r="20" spans="1:90" s="240" customFormat="1" ht="13.5" customHeight="1" thickBot="1">
      <c r="A20" s="2414">
        <v>2030</v>
      </c>
      <c r="B20" s="2414">
        <v>2035</v>
      </c>
      <c r="D20" s="272"/>
      <c r="E20" s="259" t="s">
        <v>2316</v>
      </c>
      <c r="F20" s="270"/>
      <c r="G20" s="270"/>
      <c r="H20" s="270"/>
      <c r="I20" s="270"/>
      <c r="J20" s="270"/>
      <c r="K20" s="270"/>
      <c r="L20" s="270"/>
      <c r="M20" s="270"/>
      <c r="N20" s="270"/>
      <c r="O20" s="270"/>
      <c r="P20" s="270"/>
      <c r="Q20" s="270"/>
      <c r="R20" s="270"/>
      <c r="S20" s="1322"/>
    </row>
    <row r="21" spans="1:90" s="240" customFormat="1" ht="13.5" customHeight="1">
      <c r="A21" s="2426"/>
      <c r="B21" s="2426"/>
      <c r="C21" s="1393"/>
      <c r="D21" s="242"/>
      <c r="E21" s="1721"/>
      <c r="G21" s="245"/>
      <c r="H21" s="245"/>
      <c r="I21" s="1724"/>
      <c r="J21" s="237"/>
    </row>
    <row r="22" spans="1:90" s="240" customFormat="1" ht="13.5" customHeight="1" thickBot="1">
      <c r="A22" s="2037"/>
      <c r="C22" s="1393"/>
      <c r="D22" s="242"/>
      <c r="E22" s="1721"/>
      <c r="G22" s="245"/>
      <c r="H22" s="245"/>
      <c r="I22" s="1724"/>
      <c r="J22" s="237"/>
    </row>
    <row r="23" spans="1:90" s="1728" customFormat="1" ht="13.5" customHeight="1" thickTop="1" thickBot="1">
      <c r="A23" s="2036" t="s">
        <v>637</v>
      </c>
      <c r="B23" s="1726"/>
      <c r="C23" s="1726"/>
      <c r="D23" s="1725" t="s">
        <v>1198</v>
      </c>
      <c r="E23" s="1726"/>
      <c r="F23" s="1726"/>
      <c r="G23" s="1726"/>
      <c r="H23" s="1726"/>
      <c r="I23" s="1726"/>
      <c r="J23" s="1726"/>
      <c r="K23" s="1726"/>
      <c r="L23" s="1726"/>
      <c r="M23" s="1726"/>
      <c r="N23" s="1726"/>
      <c r="O23" s="1727"/>
      <c r="Q23" s="1725" t="s">
        <v>1199</v>
      </c>
      <c r="R23" s="1726"/>
      <c r="S23" s="1726"/>
      <c r="T23" s="1726"/>
      <c r="U23" s="1726"/>
      <c r="V23" s="1726"/>
      <c r="W23" s="1726"/>
      <c r="X23" s="1726"/>
      <c r="Y23" s="1726"/>
      <c r="Z23" s="1726"/>
      <c r="AA23" s="1726"/>
      <c r="AB23" s="1726"/>
      <c r="AC23" s="1726"/>
      <c r="AD23" s="1727"/>
      <c r="AF23" s="1725" t="s">
        <v>1200</v>
      </c>
      <c r="AG23" s="1726"/>
      <c r="AH23" s="1726"/>
      <c r="AI23" s="1726"/>
      <c r="AJ23" s="1726"/>
      <c r="AK23" s="1726"/>
      <c r="AL23" s="1726"/>
      <c r="AM23" s="1726"/>
      <c r="AN23" s="1726"/>
      <c r="AO23" s="1726"/>
      <c r="AP23" s="1726"/>
      <c r="AQ23" s="1726"/>
      <c r="AR23" s="1726"/>
      <c r="AS23" s="1727"/>
      <c r="AU23" s="1725" t="s">
        <v>1201</v>
      </c>
      <c r="AV23" s="1726"/>
      <c r="AW23" s="1726"/>
      <c r="AX23" s="1726"/>
      <c r="AY23" s="1726"/>
      <c r="AZ23" s="1726"/>
      <c r="BA23" s="1726"/>
      <c r="BB23" s="1726"/>
      <c r="BC23" s="1726"/>
      <c r="BD23" s="1726"/>
      <c r="BE23" s="1726"/>
      <c r="BF23" s="1726"/>
      <c r="BG23" s="1726"/>
      <c r="BH23" s="1727"/>
      <c r="BJ23" s="1725" t="s">
        <v>1202</v>
      </c>
      <c r="BK23" s="1726"/>
      <c r="BL23" s="1726"/>
      <c r="BM23" s="1726"/>
      <c r="BN23" s="1726"/>
      <c r="BO23" s="1726"/>
      <c r="BP23" s="1726"/>
      <c r="BQ23" s="1726"/>
      <c r="BR23" s="1726"/>
      <c r="BS23" s="1726"/>
      <c r="BT23" s="1726"/>
      <c r="BU23" s="1726"/>
      <c r="BV23" s="1726"/>
      <c r="BW23" s="1727"/>
      <c r="BY23" s="1725" t="s">
        <v>1203</v>
      </c>
      <c r="BZ23" s="1726"/>
      <c r="CA23" s="1726"/>
      <c r="CB23" s="1726"/>
      <c r="CC23" s="1726"/>
      <c r="CD23" s="1726"/>
      <c r="CE23" s="1726"/>
      <c r="CF23" s="1726"/>
      <c r="CG23" s="1726"/>
      <c r="CH23" s="1726"/>
      <c r="CI23" s="1726"/>
      <c r="CJ23" s="1726"/>
      <c r="CK23" s="1726"/>
      <c r="CL23" s="1727"/>
    </row>
    <row r="24" spans="1:90" s="1728" customFormat="1" ht="13.5" customHeight="1" thickTop="1">
      <c r="A24" s="3848" t="s">
        <v>1082</v>
      </c>
      <c r="B24" s="3841"/>
      <c r="C24" s="3838" t="s">
        <v>1130</v>
      </c>
      <c r="D24" s="3832" t="s">
        <v>1487</v>
      </c>
      <c r="E24" s="3833"/>
      <c r="F24" s="3834"/>
      <c r="G24" s="3832" t="s">
        <v>1089</v>
      </c>
      <c r="H24" s="3833"/>
      <c r="I24" s="3834"/>
      <c r="J24" s="3832" t="s">
        <v>1132</v>
      </c>
      <c r="K24" s="3834"/>
      <c r="L24" s="3835" t="s">
        <v>789</v>
      </c>
      <c r="M24" s="3836"/>
      <c r="N24" s="3837"/>
      <c r="O24" s="3828" t="s">
        <v>1133</v>
      </c>
      <c r="P24" s="1729"/>
      <c r="Q24" s="3830" t="s">
        <v>1082</v>
      </c>
      <c r="R24" s="3838" t="s">
        <v>1130</v>
      </c>
      <c r="S24" s="3832" t="s">
        <v>1487</v>
      </c>
      <c r="T24" s="3833"/>
      <c r="U24" s="3834"/>
      <c r="V24" s="3832" t="s">
        <v>1089</v>
      </c>
      <c r="W24" s="3833"/>
      <c r="X24" s="3834"/>
      <c r="Y24" s="3832" t="s">
        <v>1132</v>
      </c>
      <c r="Z24" s="3834"/>
      <c r="AA24" s="3835" t="s">
        <v>789</v>
      </c>
      <c r="AB24" s="3836"/>
      <c r="AC24" s="3837"/>
      <c r="AD24" s="3828" t="s">
        <v>1133</v>
      </c>
      <c r="AE24" s="1729"/>
      <c r="AF24" s="3830" t="s">
        <v>1082</v>
      </c>
      <c r="AG24" s="3838" t="s">
        <v>1130</v>
      </c>
      <c r="AH24" s="3832" t="s">
        <v>1487</v>
      </c>
      <c r="AI24" s="3833"/>
      <c r="AJ24" s="3834"/>
      <c r="AK24" s="3832" t="s">
        <v>1089</v>
      </c>
      <c r="AL24" s="3833"/>
      <c r="AM24" s="3834"/>
      <c r="AN24" s="3832" t="s">
        <v>1132</v>
      </c>
      <c r="AO24" s="3834"/>
      <c r="AP24" s="3835" t="s">
        <v>789</v>
      </c>
      <c r="AQ24" s="3836"/>
      <c r="AR24" s="3837"/>
      <c r="AS24" s="3828" t="s">
        <v>1133</v>
      </c>
      <c r="AT24" s="1729"/>
      <c r="AU24" s="3830" t="s">
        <v>1082</v>
      </c>
      <c r="AV24" s="3838" t="s">
        <v>1130</v>
      </c>
      <c r="AW24" s="3832" t="s">
        <v>1487</v>
      </c>
      <c r="AX24" s="3833"/>
      <c r="AY24" s="3834"/>
      <c r="AZ24" s="3832" t="s">
        <v>1089</v>
      </c>
      <c r="BA24" s="3833"/>
      <c r="BB24" s="3834"/>
      <c r="BC24" s="3832" t="s">
        <v>1132</v>
      </c>
      <c r="BD24" s="3834"/>
      <c r="BE24" s="3835" t="s">
        <v>789</v>
      </c>
      <c r="BF24" s="3836"/>
      <c r="BG24" s="3837"/>
      <c r="BH24" s="3828" t="s">
        <v>1133</v>
      </c>
      <c r="BI24" s="1729"/>
      <c r="BJ24" s="3830" t="s">
        <v>1082</v>
      </c>
      <c r="BK24" s="3838" t="s">
        <v>1130</v>
      </c>
      <c r="BL24" s="3832" t="s">
        <v>1487</v>
      </c>
      <c r="BM24" s="3833"/>
      <c r="BN24" s="3834"/>
      <c r="BO24" s="3832" t="s">
        <v>1089</v>
      </c>
      <c r="BP24" s="3833"/>
      <c r="BQ24" s="3834"/>
      <c r="BR24" s="3832" t="s">
        <v>1132</v>
      </c>
      <c r="BS24" s="3834"/>
      <c r="BT24" s="3835" t="s">
        <v>789</v>
      </c>
      <c r="BU24" s="3836"/>
      <c r="BV24" s="3837"/>
      <c r="BW24" s="3828" t="s">
        <v>1133</v>
      </c>
      <c r="BY24" s="3830" t="s">
        <v>1082</v>
      </c>
      <c r="BZ24" s="3838" t="s">
        <v>1130</v>
      </c>
      <c r="CA24" s="3832" t="s">
        <v>1487</v>
      </c>
      <c r="CB24" s="3833"/>
      <c r="CC24" s="3834"/>
      <c r="CD24" s="3832" t="s">
        <v>1089</v>
      </c>
      <c r="CE24" s="3833"/>
      <c r="CF24" s="3834"/>
      <c r="CG24" s="3832" t="s">
        <v>1132</v>
      </c>
      <c r="CH24" s="3834"/>
      <c r="CI24" s="3835" t="s">
        <v>789</v>
      </c>
      <c r="CJ24" s="3836"/>
      <c r="CK24" s="3837"/>
      <c r="CL24" s="3828" t="s">
        <v>1133</v>
      </c>
    </row>
    <row r="25" spans="1:90" s="1728" customFormat="1" ht="13.5" customHeight="1" thickBot="1">
      <c r="A25" s="3849"/>
      <c r="B25" s="3850"/>
      <c r="C25" s="3839"/>
      <c r="D25" s="1730" t="s">
        <v>1058</v>
      </c>
      <c r="E25" s="1731" t="s">
        <v>1134</v>
      </c>
      <c r="F25" s="1732" t="s">
        <v>1135</v>
      </c>
      <c r="G25" s="1730" t="s">
        <v>1058</v>
      </c>
      <c r="H25" s="1731" t="s">
        <v>1134</v>
      </c>
      <c r="I25" s="1732" t="s">
        <v>1135</v>
      </c>
      <c r="J25" s="1730" t="s">
        <v>1134</v>
      </c>
      <c r="K25" s="1732" t="s">
        <v>1135</v>
      </c>
      <c r="L25" s="1730" t="s">
        <v>1058</v>
      </c>
      <c r="M25" s="1731" t="s">
        <v>1134</v>
      </c>
      <c r="N25" s="1732" t="s">
        <v>1135</v>
      </c>
      <c r="O25" s="3829"/>
      <c r="Q25" s="3831"/>
      <c r="R25" s="3839"/>
      <c r="S25" s="1730" t="s">
        <v>1058</v>
      </c>
      <c r="T25" s="1731" t="s">
        <v>1134</v>
      </c>
      <c r="U25" s="1732" t="s">
        <v>1135</v>
      </c>
      <c r="V25" s="1730" t="s">
        <v>1058</v>
      </c>
      <c r="W25" s="1731" t="s">
        <v>1134</v>
      </c>
      <c r="X25" s="1732" t="s">
        <v>1135</v>
      </c>
      <c r="Y25" s="1730" t="s">
        <v>1134</v>
      </c>
      <c r="Z25" s="1732" t="s">
        <v>1135</v>
      </c>
      <c r="AA25" s="1730" t="s">
        <v>1058</v>
      </c>
      <c r="AB25" s="1731" t="s">
        <v>1134</v>
      </c>
      <c r="AC25" s="1732" t="s">
        <v>1135</v>
      </c>
      <c r="AD25" s="3829"/>
      <c r="AF25" s="3831"/>
      <c r="AG25" s="3839"/>
      <c r="AH25" s="1730" t="s">
        <v>1058</v>
      </c>
      <c r="AI25" s="1731" t="s">
        <v>1134</v>
      </c>
      <c r="AJ25" s="1732" t="s">
        <v>1135</v>
      </c>
      <c r="AK25" s="1730" t="s">
        <v>1058</v>
      </c>
      <c r="AL25" s="1731" t="s">
        <v>1134</v>
      </c>
      <c r="AM25" s="1732" t="s">
        <v>1135</v>
      </c>
      <c r="AN25" s="1730" t="s">
        <v>1134</v>
      </c>
      <c r="AO25" s="1732" t="s">
        <v>1135</v>
      </c>
      <c r="AP25" s="1730" t="s">
        <v>1058</v>
      </c>
      <c r="AQ25" s="1731" t="s">
        <v>1134</v>
      </c>
      <c r="AR25" s="1732" t="s">
        <v>1135</v>
      </c>
      <c r="AS25" s="3829"/>
      <c r="AU25" s="3831"/>
      <c r="AV25" s="3839"/>
      <c r="AW25" s="1730" t="s">
        <v>1058</v>
      </c>
      <c r="AX25" s="1731" t="s">
        <v>1134</v>
      </c>
      <c r="AY25" s="1732" t="s">
        <v>1135</v>
      </c>
      <c r="AZ25" s="1730" t="s">
        <v>1058</v>
      </c>
      <c r="BA25" s="1731" t="s">
        <v>1134</v>
      </c>
      <c r="BB25" s="1732" t="s">
        <v>1135</v>
      </c>
      <c r="BC25" s="1730" t="s">
        <v>1134</v>
      </c>
      <c r="BD25" s="1732" t="s">
        <v>1135</v>
      </c>
      <c r="BE25" s="1730" t="s">
        <v>1058</v>
      </c>
      <c r="BF25" s="1731" t="s">
        <v>1134</v>
      </c>
      <c r="BG25" s="1732" t="s">
        <v>1135</v>
      </c>
      <c r="BH25" s="3829"/>
      <c r="BJ25" s="3831"/>
      <c r="BK25" s="3839"/>
      <c r="BL25" s="1730" t="s">
        <v>1058</v>
      </c>
      <c r="BM25" s="1731" t="s">
        <v>1134</v>
      </c>
      <c r="BN25" s="1732" t="s">
        <v>1135</v>
      </c>
      <c r="BO25" s="1730" t="s">
        <v>1058</v>
      </c>
      <c r="BP25" s="1731" t="s">
        <v>1134</v>
      </c>
      <c r="BQ25" s="1732" t="s">
        <v>1135</v>
      </c>
      <c r="BR25" s="1730" t="s">
        <v>1134</v>
      </c>
      <c r="BS25" s="1732" t="s">
        <v>1135</v>
      </c>
      <c r="BT25" s="1730" t="s">
        <v>1058</v>
      </c>
      <c r="BU25" s="1731" t="s">
        <v>1134</v>
      </c>
      <c r="BV25" s="1732" t="s">
        <v>1135</v>
      </c>
      <c r="BW25" s="3829"/>
      <c r="BY25" s="3831"/>
      <c r="BZ25" s="3839"/>
      <c r="CA25" s="1730" t="s">
        <v>1058</v>
      </c>
      <c r="CB25" s="1731" t="s">
        <v>1134</v>
      </c>
      <c r="CC25" s="1732" t="s">
        <v>1135</v>
      </c>
      <c r="CD25" s="1730" t="s">
        <v>1058</v>
      </c>
      <c r="CE25" s="1731" t="s">
        <v>1134</v>
      </c>
      <c r="CF25" s="1732" t="s">
        <v>1135</v>
      </c>
      <c r="CG25" s="1730" t="s">
        <v>1134</v>
      </c>
      <c r="CH25" s="1732" t="s">
        <v>1135</v>
      </c>
      <c r="CI25" s="1730" t="s">
        <v>1058</v>
      </c>
      <c r="CJ25" s="1731" t="s">
        <v>1134</v>
      </c>
      <c r="CK25" s="1732" t="s">
        <v>1135</v>
      </c>
      <c r="CL25" s="3829"/>
    </row>
    <row r="26" spans="1:90" s="1728" customFormat="1" ht="13.5" customHeight="1">
      <c r="A26" s="3846" t="s">
        <v>856</v>
      </c>
      <c r="B26" s="3847"/>
      <c r="C26" s="1733">
        <v>1</v>
      </c>
      <c r="D26" s="1849">
        <f>'Total - Traffic %'!D26</f>
        <v>1E-3</v>
      </c>
      <c r="E26" s="1850">
        <f>'Total - Traffic %'!E26</f>
        <v>3.0000000000000001E-3</v>
      </c>
      <c r="F26" s="1851">
        <f>'Total - Traffic %'!F26</f>
        <v>1.0999999999999999E-2</v>
      </c>
      <c r="G26" s="1849">
        <f>'Total - Traffic %'!G26</f>
        <v>7.0000000000000001E-3</v>
      </c>
      <c r="H26" s="1850">
        <f>'Total - Traffic %'!H26</f>
        <v>1.2E-2</v>
      </c>
      <c r="I26" s="1851">
        <f>'Total - Traffic %'!I26</f>
        <v>3.9E-2</v>
      </c>
      <c r="J26" s="1852">
        <f>'Total - Traffic %'!J26</f>
        <v>2.1999999999999999E-2</v>
      </c>
      <c r="K26" s="1853">
        <f>'Total - Traffic %'!K26</f>
        <v>8.1000000000000003E-2</v>
      </c>
      <c r="L26" s="1852">
        <f>'Total - Traffic %'!L26</f>
        <v>2.8000000000000001E-2</v>
      </c>
      <c r="M26" s="1854">
        <f>'Total - Traffic %'!M26</f>
        <v>0.114</v>
      </c>
      <c r="N26" s="1853">
        <f>'Total - Traffic %'!N26</f>
        <v>0.113</v>
      </c>
      <c r="O26" s="1855">
        <f>'Total - Traffic %'!O26</f>
        <v>0.43</v>
      </c>
      <c r="P26" s="2042">
        <f>SUM(D26:N26)</f>
        <v>0.43099999999999999</v>
      </c>
      <c r="Q26" s="3824" t="s">
        <v>856</v>
      </c>
      <c r="R26" s="1733">
        <v>1</v>
      </c>
      <c r="S26" s="1849">
        <f>'Total - Traffic %'!S26</f>
        <v>1E-3</v>
      </c>
      <c r="T26" s="1850">
        <f>'Total - Traffic %'!T26</f>
        <v>3.0000000000000001E-3</v>
      </c>
      <c r="U26" s="1851">
        <f>'Total - Traffic %'!U26</f>
        <v>0.01</v>
      </c>
      <c r="V26" s="1849">
        <f>'Total - Traffic %'!V26</f>
        <v>7.0000000000000001E-3</v>
      </c>
      <c r="W26" s="1850">
        <f>'Total - Traffic %'!W26</f>
        <v>1.2E-2</v>
      </c>
      <c r="X26" s="1851">
        <f>'Total - Traffic %'!X26</f>
        <v>3.7999999999999999E-2</v>
      </c>
      <c r="Y26" s="1852">
        <f>'Total - Traffic %'!Y26</f>
        <v>2.1999999999999999E-2</v>
      </c>
      <c r="Z26" s="1853">
        <f>'Total - Traffic %'!Z26</f>
        <v>0.08</v>
      </c>
      <c r="AA26" s="1852">
        <f>'Total - Traffic %'!AA26</f>
        <v>2.7E-2</v>
      </c>
      <c r="AB26" s="1854">
        <f>'Total - Traffic %'!AB26</f>
        <v>0.114</v>
      </c>
      <c r="AC26" s="1853">
        <f>'Total - Traffic %'!AC26</f>
        <v>0.113</v>
      </c>
      <c r="AD26" s="1855">
        <f>'Total - Traffic %'!AD26</f>
        <v>0.42699999999999999</v>
      </c>
      <c r="AF26" s="3824" t="s">
        <v>856</v>
      </c>
      <c r="AG26" s="1733">
        <v>1</v>
      </c>
      <c r="AH26" s="1849">
        <f>'Total - Traffic %'!AH26</f>
        <v>0</v>
      </c>
      <c r="AI26" s="1850">
        <f>'Total - Traffic %'!AI26</f>
        <v>2E-3</v>
      </c>
      <c r="AJ26" s="1851">
        <f>'Total - Traffic %'!AJ26</f>
        <v>0.01</v>
      </c>
      <c r="AK26" s="1849">
        <f>'Total - Traffic %'!AK26</f>
        <v>6.0000000000000001E-3</v>
      </c>
      <c r="AL26" s="1850">
        <f>'Total - Traffic %'!AL26</f>
        <v>0.01</v>
      </c>
      <c r="AM26" s="1851">
        <f>'Total - Traffic %'!AM26</f>
        <v>3.6999999999999998E-2</v>
      </c>
      <c r="AN26" s="1852">
        <f>'Total - Traffic %'!AN26</f>
        <v>1.7999999999999999E-2</v>
      </c>
      <c r="AO26" s="1853">
        <f>'Total - Traffic %'!AO26</f>
        <v>7.9000000000000001E-2</v>
      </c>
      <c r="AP26" s="1852">
        <f>'Total - Traffic %'!AP26</f>
        <v>2.3E-2</v>
      </c>
      <c r="AQ26" s="1854">
        <f>'Total - Traffic %'!AQ26</f>
        <v>9.7000000000000003E-2</v>
      </c>
      <c r="AR26" s="1853">
        <f>'Total - Traffic %'!AR26</f>
        <v>0.107</v>
      </c>
      <c r="AS26" s="1855">
        <f>'Total - Traffic %'!AS26</f>
        <v>0.38900000000000001</v>
      </c>
      <c r="AU26" s="3824" t="s">
        <v>856</v>
      </c>
      <c r="AV26" s="1733">
        <v>1</v>
      </c>
      <c r="AW26" s="1849">
        <f>'Total - Traffic %'!AW26</f>
        <v>0</v>
      </c>
      <c r="AX26" s="1850">
        <f>'Total - Traffic %'!AX26</f>
        <v>2E-3</v>
      </c>
      <c r="AY26" s="1851">
        <f>'Total - Traffic %'!AY26</f>
        <v>8.9999999999999993E-3</v>
      </c>
      <c r="AZ26" s="1849">
        <f>'Total - Traffic %'!AZ26</f>
        <v>6.0000000000000001E-3</v>
      </c>
      <c r="BA26" s="1850">
        <f>'Total - Traffic %'!BA26</f>
        <v>8.9999999999999993E-3</v>
      </c>
      <c r="BB26" s="1851">
        <f>'Total - Traffic %'!BB26</f>
        <v>3.4000000000000002E-2</v>
      </c>
      <c r="BC26" s="1852">
        <f>'Total - Traffic %'!BC26</f>
        <v>1.7000000000000001E-2</v>
      </c>
      <c r="BD26" s="1853">
        <f>'Total - Traffic %'!BD26</f>
        <v>7.4999999999999997E-2</v>
      </c>
      <c r="BE26" s="1852">
        <f>'Total - Traffic %'!BE26</f>
        <v>0.02</v>
      </c>
      <c r="BF26" s="1854">
        <f>'Total - Traffic %'!BF26</f>
        <v>9.1999999999999998E-2</v>
      </c>
      <c r="BG26" s="1853">
        <f>'Total - Traffic %'!BG26</f>
        <v>0.106</v>
      </c>
      <c r="BH26" s="1855">
        <f>'Total - Traffic %'!BH26</f>
        <v>0.371</v>
      </c>
      <c r="BJ26" s="3824" t="s">
        <v>856</v>
      </c>
      <c r="BK26" s="1733">
        <v>1</v>
      </c>
      <c r="BL26" s="1849">
        <f>'Total - Traffic %'!BL26</f>
        <v>0</v>
      </c>
      <c r="BM26" s="1850">
        <f>'Total - Traffic %'!BM26</f>
        <v>2E-3</v>
      </c>
      <c r="BN26" s="1851">
        <f>'Total - Traffic %'!BN26</f>
        <v>8.9999999999999993E-3</v>
      </c>
      <c r="BO26" s="1849">
        <f>'Total - Traffic %'!BO26</f>
        <v>5.0000000000000001E-3</v>
      </c>
      <c r="BP26" s="1850">
        <f>'Total - Traffic %'!BP26</f>
        <v>8.0000000000000002E-3</v>
      </c>
      <c r="BQ26" s="1851">
        <f>'Total - Traffic %'!BQ26</f>
        <v>3.3000000000000002E-2</v>
      </c>
      <c r="BR26" s="1852">
        <f>'Total - Traffic %'!BR26</f>
        <v>1.6E-2</v>
      </c>
      <c r="BS26" s="1853">
        <f>'Total - Traffic %'!BS26</f>
        <v>7.1999999999999995E-2</v>
      </c>
      <c r="BT26" s="1852">
        <f>'Total - Traffic %'!BT26</f>
        <v>0.02</v>
      </c>
      <c r="BU26" s="1854">
        <f>'Total - Traffic %'!BU26</f>
        <v>8.8999999999999996E-2</v>
      </c>
      <c r="BV26" s="1853">
        <f>'Total - Traffic %'!BV26</f>
        <v>0.105</v>
      </c>
      <c r="BW26" s="1855">
        <f>'Total - Traffic %'!BW26</f>
        <v>0.36</v>
      </c>
      <c r="BY26" s="3824" t="s">
        <v>856</v>
      </c>
      <c r="BZ26" s="1733">
        <v>1</v>
      </c>
      <c r="CA26" s="1849">
        <f>'Total - Traffic %'!CA26</f>
        <v>0</v>
      </c>
      <c r="CB26" s="1850">
        <f>'Total - Traffic %'!CB26</f>
        <v>2E-3</v>
      </c>
      <c r="CC26" s="1851">
        <f>'Total - Traffic %'!CC26</f>
        <v>8.9999999999999993E-3</v>
      </c>
      <c r="CD26" s="1849">
        <f>'Total - Traffic %'!CD26</f>
        <v>5.0000000000000001E-3</v>
      </c>
      <c r="CE26" s="1850">
        <f>'Total - Traffic %'!CE26</f>
        <v>8.0000000000000002E-3</v>
      </c>
      <c r="CF26" s="1851">
        <f>'Total - Traffic %'!CF26</f>
        <v>3.2000000000000001E-2</v>
      </c>
      <c r="CG26" s="1852">
        <f>'Total - Traffic %'!CG26</f>
        <v>1.4999999999999999E-2</v>
      </c>
      <c r="CH26" s="1853">
        <f>'Total - Traffic %'!CH26</f>
        <v>7.0999999999999994E-2</v>
      </c>
      <c r="CI26" s="1852">
        <f>'Total - Traffic %'!CI26</f>
        <v>1.7999999999999999E-2</v>
      </c>
      <c r="CJ26" s="1854">
        <f>'Total - Traffic %'!CJ26</f>
        <v>0.08</v>
      </c>
      <c r="CK26" s="1853">
        <f>'Total - Traffic %'!CK26</f>
        <v>0.10100000000000001</v>
      </c>
      <c r="CL26" s="1855">
        <f>'Total - Traffic %'!CL26</f>
        <v>0.34100000000000003</v>
      </c>
    </row>
    <row r="27" spans="1:90" s="1728" customFormat="1" ht="13.5" customHeight="1">
      <c r="A27" s="3842"/>
      <c r="B27" s="3843"/>
      <c r="C27" s="1741">
        <v>2</v>
      </c>
      <c r="D27" s="1856">
        <f>'Total - Traffic %'!D27</f>
        <v>2E-3</v>
      </c>
      <c r="E27" s="1857">
        <f>'Total - Traffic %'!E27</f>
        <v>8.0000000000000002E-3</v>
      </c>
      <c r="F27" s="1858">
        <f>'Total - Traffic %'!F27</f>
        <v>7.0000000000000001E-3</v>
      </c>
      <c r="G27" s="1856">
        <f>'Total - Traffic %'!G27</f>
        <v>1.7999999999999999E-2</v>
      </c>
      <c r="H27" s="1857">
        <f>'Total - Traffic %'!H27</f>
        <v>2.1999999999999999E-2</v>
      </c>
      <c r="I27" s="1858">
        <f>'Total - Traffic %'!I27</f>
        <v>1.6E-2</v>
      </c>
      <c r="J27" s="1859">
        <f>'Total - Traffic %'!J27</f>
        <v>4.3999999999999997E-2</v>
      </c>
      <c r="K27" s="1860">
        <f>'Total - Traffic %'!K27</f>
        <v>2.8000000000000001E-2</v>
      </c>
      <c r="L27" s="1859">
        <f>'Total - Traffic %'!L27</f>
        <v>6.5000000000000002E-2</v>
      </c>
      <c r="M27" s="1861">
        <f>'Total - Traffic %'!M27</f>
        <v>0.09</v>
      </c>
      <c r="N27" s="1860">
        <f>'Total - Traffic %'!N27</f>
        <v>1.7000000000000001E-2</v>
      </c>
      <c r="O27" s="1862">
        <f>'Total - Traffic %'!O27</f>
        <v>0.316</v>
      </c>
      <c r="Q27" s="3825"/>
      <c r="R27" s="1741">
        <v>2</v>
      </c>
      <c r="S27" s="1856">
        <f>'Total - Traffic %'!S27</f>
        <v>2E-3</v>
      </c>
      <c r="T27" s="1857">
        <f>'Total - Traffic %'!T27</f>
        <v>8.0000000000000002E-3</v>
      </c>
      <c r="U27" s="1858">
        <f>'Total - Traffic %'!U27</f>
        <v>7.0000000000000001E-3</v>
      </c>
      <c r="V27" s="1856">
        <f>'Total - Traffic %'!V27</f>
        <v>1.7999999999999999E-2</v>
      </c>
      <c r="W27" s="1857">
        <f>'Total - Traffic %'!W27</f>
        <v>2.1000000000000001E-2</v>
      </c>
      <c r="X27" s="1858">
        <f>'Total - Traffic %'!X27</f>
        <v>1.6E-2</v>
      </c>
      <c r="Y27" s="1859">
        <f>'Total - Traffic %'!Y27</f>
        <v>4.1000000000000002E-2</v>
      </c>
      <c r="Z27" s="1860">
        <f>'Total - Traffic %'!Z27</f>
        <v>2.8000000000000001E-2</v>
      </c>
      <c r="AA27" s="1859">
        <f>'Total - Traffic %'!AA27</f>
        <v>6.4000000000000001E-2</v>
      </c>
      <c r="AB27" s="1861">
        <f>'Total - Traffic %'!AB27</f>
        <v>8.8999999999999996E-2</v>
      </c>
      <c r="AC27" s="1860">
        <f>'Total - Traffic %'!AC27</f>
        <v>1.7000000000000001E-2</v>
      </c>
      <c r="AD27" s="1862">
        <f>'Total - Traffic %'!AD27</f>
        <v>0.31</v>
      </c>
      <c r="AF27" s="3825"/>
      <c r="AG27" s="1741">
        <v>2</v>
      </c>
      <c r="AH27" s="1856">
        <f>'Total - Traffic %'!AH27</f>
        <v>2E-3</v>
      </c>
      <c r="AI27" s="1857">
        <f>'Total - Traffic %'!AI27</f>
        <v>7.0000000000000001E-3</v>
      </c>
      <c r="AJ27" s="1858">
        <f>'Total - Traffic %'!AJ27</f>
        <v>7.0000000000000001E-3</v>
      </c>
      <c r="AK27" s="1856">
        <f>'Total - Traffic %'!AK27</f>
        <v>1.6E-2</v>
      </c>
      <c r="AL27" s="1857">
        <f>'Total - Traffic %'!AL27</f>
        <v>1.9E-2</v>
      </c>
      <c r="AM27" s="1858">
        <f>'Total - Traffic %'!AM27</f>
        <v>1.6E-2</v>
      </c>
      <c r="AN27" s="1859">
        <f>'Total - Traffic %'!AN27</f>
        <v>3.7999999999999999E-2</v>
      </c>
      <c r="AO27" s="1860">
        <f>'Total - Traffic %'!AO27</f>
        <v>2.8000000000000001E-2</v>
      </c>
      <c r="AP27" s="1859">
        <f>'Total - Traffic %'!AP27</f>
        <v>5.8000000000000003E-2</v>
      </c>
      <c r="AQ27" s="1861">
        <f>'Total - Traffic %'!AQ27</f>
        <v>0.10199999999999999</v>
      </c>
      <c r="AR27" s="1860">
        <f>'Total - Traffic %'!AR27</f>
        <v>2.1000000000000001E-2</v>
      </c>
      <c r="AS27" s="1862">
        <f>'Total - Traffic %'!AS27</f>
        <v>0.312</v>
      </c>
      <c r="AU27" s="3825"/>
      <c r="AV27" s="1741">
        <v>2</v>
      </c>
      <c r="AW27" s="1856">
        <f>'Total - Traffic %'!AW27</f>
        <v>1E-3</v>
      </c>
      <c r="AX27" s="1857">
        <f>'Total - Traffic %'!AX27</f>
        <v>5.0000000000000001E-3</v>
      </c>
      <c r="AY27" s="1858">
        <f>'Total - Traffic %'!AY27</f>
        <v>7.0000000000000001E-3</v>
      </c>
      <c r="AZ27" s="1856">
        <f>'Total - Traffic %'!AZ27</f>
        <v>1.2999999999999999E-2</v>
      </c>
      <c r="BA27" s="1857">
        <f>'Total - Traffic %'!BA27</f>
        <v>1.7999999999999999E-2</v>
      </c>
      <c r="BB27" s="1858">
        <f>'Total - Traffic %'!BB27</f>
        <v>1.7000000000000001E-2</v>
      </c>
      <c r="BC27" s="1859">
        <f>'Total - Traffic %'!BC27</f>
        <v>3.3000000000000002E-2</v>
      </c>
      <c r="BD27" s="1860">
        <f>'Total - Traffic %'!BD27</f>
        <v>2.9000000000000001E-2</v>
      </c>
      <c r="BE27" s="1859">
        <f>'Total - Traffic %'!BE27</f>
        <v>4.5999999999999999E-2</v>
      </c>
      <c r="BF27" s="1861">
        <f>'Total - Traffic %'!BF27</f>
        <v>9.8000000000000004E-2</v>
      </c>
      <c r="BG27" s="1860">
        <f>'Total - Traffic %'!BG27</f>
        <v>0.02</v>
      </c>
      <c r="BH27" s="1862">
        <f>'Total - Traffic %'!BH27</f>
        <v>0.28699999999999998</v>
      </c>
      <c r="BJ27" s="3825"/>
      <c r="BK27" s="1741">
        <v>2</v>
      </c>
      <c r="BL27" s="1856">
        <f>'Total - Traffic %'!BL27</f>
        <v>1E-3</v>
      </c>
      <c r="BM27" s="1857">
        <f>'Total - Traffic %'!BM27</f>
        <v>4.0000000000000001E-3</v>
      </c>
      <c r="BN27" s="1858">
        <f>'Total - Traffic %'!BN27</f>
        <v>6.0000000000000001E-3</v>
      </c>
      <c r="BO27" s="1856">
        <f>'Total - Traffic %'!BO27</f>
        <v>0.01</v>
      </c>
      <c r="BP27" s="1857">
        <f>'Total - Traffic %'!BP27</f>
        <v>1.7000000000000001E-2</v>
      </c>
      <c r="BQ27" s="1858">
        <f>'Total - Traffic %'!BQ27</f>
        <v>1.7000000000000001E-2</v>
      </c>
      <c r="BR27" s="1859">
        <f>'Total - Traffic %'!BR27</f>
        <v>0.03</v>
      </c>
      <c r="BS27" s="1860">
        <f>'Total - Traffic %'!BS27</f>
        <v>0.03</v>
      </c>
      <c r="BT27" s="1859">
        <f>'Total - Traffic %'!BT27</f>
        <v>3.9E-2</v>
      </c>
      <c r="BU27" s="1861">
        <f>'Total - Traffic %'!BU27</f>
        <v>9.4E-2</v>
      </c>
      <c r="BV27" s="1860">
        <f>'Total - Traffic %'!BV27</f>
        <v>0.02</v>
      </c>
      <c r="BW27" s="1862">
        <f>'Total - Traffic %'!BW27</f>
        <v>0.27</v>
      </c>
      <c r="BY27" s="3825"/>
      <c r="BZ27" s="1741">
        <v>2</v>
      </c>
      <c r="CA27" s="1856">
        <f>'Total - Traffic %'!CA27</f>
        <v>1E-3</v>
      </c>
      <c r="CB27" s="1857">
        <f>'Total - Traffic %'!CB27</f>
        <v>4.0000000000000001E-3</v>
      </c>
      <c r="CC27" s="1858">
        <f>'Total - Traffic %'!CC27</f>
        <v>6.0000000000000001E-3</v>
      </c>
      <c r="CD27" s="1856">
        <f>'Total - Traffic %'!CD27</f>
        <v>8.9999999999999993E-3</v>
      </c>
      <c r="CE27" s="1857">
        <f>'Total - Traffic %'!CE27</f>
        <v>1.4999999999999999E-2</v>
      </c>
      <c r="CF27" s="1858">
        <f>'Total - Traffic %'!CF27</f>
        <v>1.7000000000000001E-2</v>
      </c>
      <c r="CG27" s="1859">
        <f>'Total - Traffic %'!CG27</f>
        <v>2.7E-2</v>
      </c>
      <c r="CH27" s="1860">
        <f>'Total - Traffic %'!CH27</f>
        <v>3.1E-2</v>
      </c>
      <c r="CI27" s="1859">
        <f>'Total - Traffic %'!CI27</f>
        <v>3.5000000000000003E-2</v>
      </c>
      <c r="CJ27" s="1861">
        <f>'Total - Traffic %'!CJ27</f>
        <v>9.6000000000000002E-2</v>
      </c>
      <c r="CK27" s="1860">
        <f>'Total - Traffic %'!CK27</f>
        <v>2.3E-2</v>
      </c>
      <c r="CL27" s="1862">
        <f>'Total - Traffic %'!CL27</f>
        <v>0.26500000000000001</v>
      </c>
    </row>
    <row r="28" spans="1:90" s="1728" customFormat="1" ht="13.5" customHeight="1">
      <c r="A28" s="3842"/>
      <c r="B28" s="3843"/>
      <c r="C28" s="1741">
        <v>3</v>
      </c>
      <c r="D28" s="1856">
        <f>'Total - Traffic %'!D28</f>
        <v>0</v>
      </c>
      <c r="E28" s="1857">
        <f>'Total - Traffic %'!E28</f>
        <v>0.01</v>
      </c>
      <c r="F28" s="1858">
        <f>'Total - Traffic %'!F28</f>
        <v>3.0000000000000001E-3</v>
      </c>
      <c r="G28" s="1856">
        <f>'Total - Traffic %'!G28</f>
        <v>1.7000000000000001E-2</v>
      </c>
      <c r="H28" s="1857">
        <f>'Total - Traffic %'!H28</f>
        <v>1.4999999999999999E-2</v>
      </c>
      <c r="I28" s="1858">
        <f>'Total - Traffic %'!I28</f>
        <v>8.0000000000000002E-3</v>
      </c>
      <c r="J28" s="1859">
        <f>'Total - Traffic %'!J28</f>
        <v>3.3000000000000002E-2</v>
      </c>
      <c r="K28" s="1860">
        <f>'Total - Traffic %'!K28</f>
        <v>1.0999999999999999E-2</v>
      </c>
      <c r="L28" s="1859">
        <f>'Total - Traffic %'!L28</f>
        <v>4.1000000000000002E-2</v>
      </c>
      <c r="M28" s="1861">
        <f>'Total - Traffic %'!M28</f>
        <v>2.1999999999999999E-2</v>
      </c>
      <c r="N28" s="1860">
        <f>'Total - Traffic %'!N28</f>
        <v>5.0000000000000001E-3</v>
      </c>
      <c r="O28" s="1862">
        <f>'Total - Traffic %'!O28</f>
        <v>0.16600000000000001</v>
      </c>
      <c r="Q28" s="3825"/>
      <c r="R28" s="1741">
        <v>3</v>
      </c>
      <c r="S28" s="1856">
        <f>'Total - Traffic %'!S28</f>
        <v>0</v>
      </c>
      <c r="T28" s="1857">
        <f>'Total - Traffic %'!T28</f>
        <v>0.01</v>
      </c>
      <c r="U28" s="1858">
        <f>'Total - Traffic %'!U28</f>
        <v>3.0000000000000001E-3</v>
      </c>
      <c r="V28" s="1856">
        <f>'Total - Traffic %'!V28</f>
        <v>1.7999999999999999E-2</v>
      </c>
      <c r="W28" s="1857">
        <f>'Total - Traffic %'!W28</f>
        <v>1.6E-2</v>
      </c>
      <c r="X28" s="1858">
        <f>'Total - Traffic %'!X28</f>
        <v>8.0000000000000002E-3</v>
      </c>
      <c r="Y28" s="1859">
        <f>'Total - Traffic %'!Y28</f>
        <v>3.4000000000000002E-2</v>
      </c>
      <c r="Z28" s="1860">
        <f>'Total - Traffic %'!Z28</f>
        <v>0.01</v>
      </c>
      <c r="AA28" s="1859">
        <f>'Total - Traffic %'!AA28</f>
        <v>4.2999999999999997E-2</v>
      </c>
      <c r="AB28" s="1861">
        <f>'Total - Traffic %'!AB28</f>
        <v>2.3E-2</v>
      </c>
      <c r="AC28" s="1860">
        <f>'Total - Traffic %'!AC28</f>
        <v>6.0000000000000001E-3</v>
      </c>
      <c r="AD28" s="1862">
        <f>'Total - Traffic %'!AD28</f>
        <v>0.17199999999999999</v>
      </c>
      <c r="AF28" s="3825"/>
      <c r="AG28" s="1741">
        <v>3</v>
      </c>
      <c r="AH28" s="1856">
        <f>'Total - Traffic %'!AH28</f>
        <v>1E-3</v>
      </c>
      <c r="AI28" s="1857">
        <f>'Total - Traffic %'!AI28</f>
        <v>0.01</v>
      </c>
      <c r="AJ28" s="1858">
        <f>'Total - Traffic %'!AJ28</f>
        <v>3.0000000000000001E-3</v>
      </c>
      <c r="AK28" s="1856">
        <f>'Total - Traffic %'!AK28</f>
        <v>0.02</v>
      </c>
      <c r="AL28" s="1857">
        <f>'Total - Traffic %'!AL28</f>
        <v>1.7000000000000001E-2</v>
      </c>
      <c r="AM28" s="1858">
        <f>'Total - Traffic %'!AM28</f>
        <v>8.0000000000000002E-3</v>
      </c>
      <c r="AN28" s="1859">
        <f>'Total - Traffic %'!AN28</f>
        <v>3.6999999999999998E-2</v>
      </c>
      <c r="AO28" s="1860">
        <f>'Total - Traffic %'!AO28</f>
        <v>1.0999999999999999E-2</v>
      </c>
      <c r="AP28" s="1859">
        <f>'Total - Traffic %'!AP28</f>
        <v>5.2999999999999999E-2</v>
      </c>
      <c r="AQ28" s="1861">
        <f>'Total - Traffic %'!AQ28</f>
        <v>2.5999999999999999E-2</v>
      </c>
      <c r="AR28" s="1860">
        <f>'Total - Traffic %'!AR28</f>
        <v>6.0000000000000001E-3</v>
      </c>
      <c r="AS28" s="1862">
        <f>'Total - Traffic %'!AS28</f>
        <v>0.192</v>
      </c>
      <c r="AU28" s="3825"/>
      <c r="AV28" s="1741">
        <v>3</v>
      </c>
      <c r="AW28" s="1856">
        <f>'Total - Traffic %'!AW28</f>
        <v>1E-3</v>
      </c>
      <c r="AX28" s="1857">
        <f>'Total - Traffic %'!AX28</f>
        <v>8.9999999999999993E-3</v>
      </c>
      <c r="AY28" s="1858">
        <f>'Total - Traffic %'!AY28</f>
        <v>4.0000000000000001E-3</v>
      </c>
      <c r="AZ28" s="1856">
        <f>'Total - Traffic %'!AZ28</f>
        <v>2.1000000000000001E-2</v>
      </c>
      <c r="BA28" s="1857">
        <f>'Total - Traffic %'!BA28</f>
        <v>1.7999999999999999E-2</v>
      </c>
      <c r="BB28" s="1858">
        <f>'Total - Traffic %'!BB28</f>
        <v>8.0000000000000002E-3</v>
      </c>
      <c r="BC28" s="1859">
        <f>'Total - Traffic %'!BC28</f>
        <v>3.9E-2</v>
      </c>
      <c r="BD28" s="1860">
        <f>'Total - Traffic %'!BD28</f>
        <v>1.2E-2</v>
      </c>
      <c r="BE28" s="1859">
        <f>'Total - Traffic %'!BE28</f>
        <v>6.4000000000000001E-2</v>
      </c>
      <c r="BF28" s="1861">
        <f>'Total - Traffic %'!BF28</f>
        <v>3.2000000000000001E-2</v>
      </c>
      <c r="BG28" s="1860">
        <f>'Total - Traffic %'!BG28</f>
        <v>7.0000000000000001E-3</v>
      </c>
      <c r="BH28" s="1862">
        <f>'Total - Traffic %'!BH28</f>
        <v>0.215</v>
      </c>
      <c r="BJ28" s="3825"/>
      <c r="BK28" s="1741">
        <v>3</v>
      </c>
      <c r="BL28" s="1856">
        <f>'Total - Traffic %'!BL28</f>
        <v>1E-3</v>
      </c>
      <c r="BM28" s="1857">
        <f>'Total - Traffic %'!BM28</f>
        <v>8.0000000000000002E-3</v>
      </c>
      <c r="BN28" s="1858">
        <f>'Total - Traffic %'!BN28</f>
        <v>4.0000000000000001E-3</v>
      </c>
      <c r="BO28" s="1856">
        <f>'Total - Traffic %'!BO28</f>
        <v>2.1999999999999999E-2</v>
      </c>
      <c r="BP28" s="1857">
        <f>'Total - Traffic %'!BP28</f>
        <v>1.9E-2</v>
      </c>
      <c r="BQ28" s="1858">
        <f>'Total - Traffic %'!BQ28</f>
        <v>8.0000000000000002E-3</v>
      </c>
      <c r="BR28" s="1859">
        <f>'Total - Traffic %'!BR28</f>
        <v>3.9E-2</v>
      </c>
      <c r="BS28" s="1860">
        <f>'Total - Traffic %'!BS28</f>
        <v>1.2E-2</v>
      </c>
      <c r="BT28" s="1859">
        <f>'Total - Traffic %'!BT28</f>
        <v>6.5000000000000002E-2</v>
      </c>
      <c r="BU28" s="1861">
        <f>'Total - Traffic %'!BU28</f>
        <v>3.6999999999999998E-2</v>
      </c>
      <c r="BV28" s="1860">
        <f>'Total - Traffic %'!BV28</f>
        <v>8.0000000000000002E-3</v>
      </c>
      <c r="BW28" s="1862">
        <f>'Total - Traffic %'!BW28</f>
        <v>0.224</v>
      </c>
      <c r="BY28" s="3825"/>
      <c r="BZ28" s="1741">
        <v>3</v>
      </c>
      <c r="CA28" s="1856">
        <f>'Total - Traffic %'!CA28</f>
        <v>1E-3</v>
      </c>
      <c r="CB28" s="1857">
        <f>'Total - Traffic %'!CB28</f>
        <v>8.0000000000000002E-3</v>
      </c>
      <c r="CC28" s="1858">
        <f>'Total - Traffic %'!CC28</f>
        <v>4.0000000000000001E-3</v>
      </c>
      <c r="CD28" s="1856">
        <f>'Total - Traffic %'!CD28</f>
        <v>2.1999999999999999E-2</v>
      </c>
      <c r="CE28" s="1857">
        <f>'Total - Traffic %'!CE28</f>
        <v>1.9E-2</v>
      </c>
      <c r="CF28" s="1858">
        <f>'Total - Traffic %'!CF28</f>
        <v>8.9999999999999993E-3</v>
      </c>
      <c r="CG28" s="1859">
        <f>'Total - Traffic %'!CG28</f>
        <v>3.9E-2</v>
      </c>
      <c r="CH28" s="1860">
        <f>'Total - Traffic %'!CH28</f>
        <v>1.2999999999999999E-2</v>
      </c>
      <c r="CI28" s="1859">
        <f>'Total - Traffic %'!CI28</f>
        <v>6.3E-2</v>
      </c>
      <c r="CJ28" s="1861">
        <f>'Total - Traffic %'!CJ28</f>
        <v>4.2000000000000003E-2</v>
      </c>
      <c r="CK28" s="1860">
        <f>'Total - Traffic %'!CK28</f>
        <v>8.9999999999999993E-3</v>
      </c>
      <c r="CL28" s="1862">
        <f>'Total - Traffic %'!CL28</f>
        <v>0.22700000000000001</v>
      </c>
    </row>
    <row r="29" spans="1:90" s="1728" customFormat="1" ht="13.5" customHeight="1">
      <c r="A29" s="3842"/>
      <c r="B29" s="3843"/>
      <c r="C29" s="1741">
        <v>4</v>
      </c>
      <c r="D29" s="1856">
        <f>'Total - Traffic %'!D29</f>
        <v>0</v>
      </c>
      <c r="E29" s="1857">
        <f>'Total - Traffic %'!E29</f>
        <v>0.01</v>
      </c>
      <c r="F29" s="1858">
        <f>'Total - Traffic %'!F29</f>
        <v>3.0000000000000001E-3</v>
      </c>
      <c r="G29" s="1856">
        <f>'Total - Traffic %'!G29</f>
        <v>5.0000000000000001E-3</v>
      </c>
      <c r="H29" s="1857">
        <f>'Total - Traffic %'!H29</f>
        <v>1.2E-2</v>
      </c>
      <c r="I29" s="1858">
        <f>'Total - Traffic %'!I29</f>
        <v>7.0000000000000001E-3</v>
      </c>
      <c r="J29" s="1859">
        <f>'Total - Traffic %'!J29</f>
        <v>1.9E-2</v>
      </c>
      <c r="K29" s="1860">
        <f>'Total - Traffic %'!K29</f>
        <v>5.0000000000000001E-3</v>
      </c>
      <c r="L29" s="1859">
        <f>'Total - Traffic %'!L29</f>
        <v>6.0000000000000001E-3</v>
      </c>
      <c r="M29" s="1861">
        <f>'Total - Traffic %'!M29</f>
        <v>5.0000000000000001E-3</v>
      </c>
      <c r="N29" s="1860">
        <f>'Total - Traffic %'!N29</f>
        <v>3.0000000000000001E-3</v>
      </c>
      <c r="O29" s="1862">
        <f>'Total - Traffic %'!O29</f>
        <v>7.4999999999999997E-2</v>
      </c>
      <c r="Q29" s="3825"/>
      <c r="R29" s="1741">
        <v>4</v>
      </c>
      <c r="S29" s="1856">
        <f>'Total - Traffic %'!S29</f>
        <v>0</v>
      </c>
      <c r="T29" s="1857">
        <f>'Total - Traffic %'!T29</f>
        <v>7.0000000000000001E-3</v>
      </c>
      <c r="U29" s="1858">
        <f>'Total - Traffic %'!U29</f>
        <v>3.0000000000000001E-3</v>
      </c>
      <c r="V29" s="1856">
        <f>'Total - Traffic %'!V29</f>
        <v>3.0000000000000001E-3</v>
      </c>
      <c r="W29" s="1857">
        <f>'Total - Traffic %'!W29</f>
        <v>1.0999999999999999E-2</v>
      </c>
      <c r="X29" s="1858">
        <f>'Total - Traffic %'!X29</f>
        <v>5.0000000000000001E-3</v>
      </c>
      <c r="Y29" s="1859">
        <f>'Total - Traffic %'!Y29</f>
        <v>1.7000000000000001E-2</v>
      </c>
      <c r="Z29" s="1860">
        <f>'Total - Traffic %'!Z29</f>
        <v>5.0000000000000001E-3</v>
      </c>
      <c r="AA29" s="1859">
        <f>'Total - Traffic %'!AA29</f>
        <v>6.0000000000000001E-3</v>
      </c>
      <c r="AB29" s="1861">
        <f>'Total - Traffic %'!AB29</f>
        <v>5.0000000000000001E-3</v>
      </c>
      <c r="AC29" s="1860">
        <f>'Total - Traffic %'!AC29</f>
        <v>3.0000000000000001E-3</v>
      </c>
      <c r="AD29" s="1862">
        <f>'Total - Traffic %'!AD29</f>
        <v>6.5000000000000002E-2</v>
      </c>
      <c r="AF29" s="3825"/>
      <c r="AG29" s="1741">
        <v>4</v>
      </c>
      <c r="AH29" s="1856">
        <f>'Total - Traffic %'!AH29</f>
        <v>0</v>
      </c>
      <c r="AI29" s="1857">
        <f>'Total - Traffic %'!AI29</f>
        <v>8.0000000000000002E-3</v>
      </c>
      <c r="AJ29" s="1858">
        <f>'Total - Traffic %'!AJ29</f>
        <v>2E-3</v>
      </c>
      <c r="AK29" s="1856">
        <f>'Total - Traffic %'!AK29</f>
        <v>4.0000000000000001E-3</v>
      </c>
      <c r="AL29" s="1857">
        <f>'Total - Traffic %'!AL29</f>
        <v>8.0000000000000002E-3</v>
      </c>
      <c r="AM29" s="1858">
        <f>'Total - Traffic %'!AM29</f>
        <v>4.0000000000000001E-3</v>
      </c>
      <c r="AN29" s="1859">
        <f>'Total - Traffic %'!AN29</f>
        <v>1.7999999999999999E-2</v>
      </c>
      <c r="AO29" s="1860">
        <f>'Total - Traffic %'!AO29</f>
        <v>4.0000000000000001E-3</v>
      </c>
      <c r="AP29" s="1859">
        <f>'Total - Traffic %'!AP29</f>
        <v>8.0000000000000002E-3</v>
      </c>
      <c r="AQ29" s="1861">
        <f>'Total - Traffic %'!AQ29</f>
        <v>7.0000000000000001E-3</v>
      </c>
      <c r="AR29" s="1860">
        <f>'Total - Traffic %'!AR29</f>
        <v>3.0000000000000001E-3</v>
      </c>
      <c r="AS29" s="1862">
        <f>'Total - Traffic %'!AS29</f>
        <v>6.8000000000000005E-2</v>
      </c>
      <c r="AU29" s="3825"/>
      <c r="AV29" s="1741">
        <v>4</v>
      </c>
      <c r="AW29" s="1856">
        <f>'Total - Traffic %'!AW29</f>
        <v>0</v>
      </c>
      <c r="AX29" s="1857">
        <f>'Total - Traffic %'!AX29</f>
        <v>8.9999999999999993E-3</v>
      </c>
      <c r="AY29" s="1858">
        <f>'Total - Traffic %'!AY29</f>
        <v>2E-3</v>
      </c>
      <c r="AZ29" s="1856">
        <f>'Total - Traffic %'!AZ29</f>
        <v>7.0000000000000001E-3</v>
      </c>
      <c r="BA29" s="1857">
        <f>'Total - Traffic %'!BA29</f>
        <v>8.9999999999999993E-3</v>
      </c>
      <c r="BB29" s="1858">
        <f>'Total - Traffic %'!BB29</f>
        <v>5.0000000000000001E-3</v>
      </c>
      <c r="BC29" s="1859">
        <f>'Total - Traffic %'!BC29</f>
        <v>0.02</v>
      </c>
      <c r="BD29" s="1860">
        <f>'Total - Traffic %'!BD29</f>
        <v>5.0000000000000001E-3</v>
      </c>
      <c r="BE29" s="1859">
        <f>'Total - Traffic %'!BE29</f>
        <v>1.4E-2</v>
      </c>
      <c r="BF29" s="1861">
        <f>'Total - Traffic %'!BF29</f>
        <v>8.9999999999999993E-3</v>
      </c>
      <c r="BG29" s="1860">
        <f>'Total - Traffic %'!BG29</f>
        <v>4.0000000000000001E-3</v>
      </c>
      <c r="BH29" s="1862">
        <f>'Total - Traffic %'!BH29</f>
        <v>8.3000000000000004E-2</v>
      </c>
      <c r="BJ29" s="3825"/>
      <c r="BK29" s="1741">
        <v>4</v>
      </c>
      <c r="BL29" s="1856">
        <f>'Total - Traffic %'!BL29</f>
        <v>0</v>
      </c>
      <c r="BM29" s="1857">
        <f>'Total - Traffic %'!BM29</f>
        <v>0.01</v>
      </c>
      <c r="BN29" s="1858">
        <f>'Total - Traffic %'!BN29</f>
        <v>2E-3</v>
      </c>
      <c r="BO29" s="1856">
        <f>'Total - Traffic %'!BO29</f>
        <v>8.0000000000000002E-3</v>
      </c>
      <c r="BP29" s="1857">
        <f>'Total - Traffic %'!BP29</f>
        <v>0.01</v>
      </c>
      <c r="BQ29" s="1858">
        <f>'Total - Traffic %'!BQ29</f>
        <v>5.0000000000000001E-3</v>
      </c>
      <c r="BR29" s="1859">
        <f>'Total - Traffic %'!BR29</f>
        <v>2.1999999999999999E-2</v>
      </c>
      <c r="BS29" s="1860">
        <f>'Total - Traffic %'!BS29</f>
        <v>5.0000000000000001E-3</v>
      </c>
      <c r="BT29" s="1859">
        <f>'Total - Traffic %'!BT29</f>
        <v>0.02</v>
      </c>
      <c r="BU29" s="1861">
        <f>'Total - Traffic %'!BU29</f>
        <v>0.01</v>
      </c>
      <c r="BV29" s="1860">
        <f>'Total - Traffic %'!BV29</f>
        <v>4.0000000000000001E-3</v>
      </c>
      <c r="BW29" s="1862">
        <f>'Total - Traffic %'!BW29</f>
        <v>9.7000000000000003E-2</v>
      </c>
      <c r="BY29" s="3825"/>
      <c r="BZ29" s="1741">
        <v>4</v>
      </c>
      <c r="CA29" s="1856">
        <f>'Total - Traffic %'!CA29</f>
        <v>0</v>
      </c>
      <c r="CB29" s="1857">
        <f>'Total - Traffic %'!CB29</f>
        <v>0.01</v>
      </c>
      <c r="CC29" s="1858">
        <f>'Total - Traffic %'!CC29</f>
        <v>2E-3</v>
      </c>
      <c r="CD29" s="1856">
        <f>'Total - Traffic %'!CD29</f>
        <v>0.01</v>
      </c>
      <c r="CE29" s="1857">
        <f>'Total - Traffic %'!CE29</f>
        <v>1.0999999999999999E-2</v>
      </c>
      <c r="CF29" s="1858">
        <f>'Total - Traffic %'!CF29</f>
        <v>6.0000000000000001E-3</v>
      </c>
      <c r="CG29" s="1859">
        <f>'Total - Traffic %'!CG29</f>
        <v>2.4E-2</v>
      </c>
      <c r="CH29" s="1860">
        <f>'Total - Traffic %'!CH29</f>
        <v>5.0000000000000001E-3</v>
      </c>
      <c r="CI29" s="1859">
        <f>'Total - Traffic %'!CI29</f>
        <v>2.8000000000000001E-2</v>
      </c>
      <c r="CJ29" s="1861">
        <f>'Total - Traffic %'!CJ29</f>
        <v>1.2E-2</v>
      </c>
      <c r="CK29" s="1860">
        <f>'Total - Traffic %'!CK29</f>
        <v>5.0000000000000001E-3</v>
      </c>
      <c r="CL29" s="1862">
        <f>'Total - Traffic %'!CL29</f>
        <v>0.114</v>
      </c>
    </row>
    <row r="30" spans="1:90" s="1728" customFormat="1" ht="13.5" customHeight="1">
      <c r="A30" s="3842"/>
      <c r="B30" s="3843"/>
      <c r="C30" s="1749">
        <v>5</v>
      </c>
      <c r="D30" s="1856">
        <f>'Total - Traffic %'!D30</f>
        <v>0</v>
      </c>
      <c r="E30" s="1857">
        <f>'Total - Traffic %'!E30</f>
        <v>3.0000000000000001E-3</v>
      </c>
      <c r="F30" s="1858">
        <f>'Total - Traffic %'!F30</f>
        <v>1E-3</v>
      </c>
      <c r="G30" s="1856">
        <f>'Total - Traffic %'!G30</f>
        <v>0</v>
      </c>
      <c r="H30" s="1857">
        <f>'Total - Traffic %'!H30</f>
        <v>1E-3</v>
      </c>
      <c r="I30" s="1858">
        <f>'Total - Traffic %'!I30</f>
        <v>1E-3</v>
      </c>
      <c r="J30" s="1859">
        <f>'Total - Traffic %'!J30</f>
        <v>4.0000000000000001E-3</v>
      </c>
      <c r="K30" s="1860">
        <f>'Total - Traffic %'!K30</f>
        <v>0</v>
      </c>
      <c r="L30" s="1859">
        <f>'Total - Traffic %'!L30</f>
        <v>0</v>
      </c>
      <c r="M30" s="1861">
        <f>'Total - Traffic %'!M30</f>
        <v>0</v>
      </c>
      <c r="N30" s="1860">
        <f>'Total - Traffic %'!N30</f>
        <v>2E-3</v>
      </c>
      <c r="O30" s="1862">
        <f>'Total - Traffic %'!O30</f>
        <v>1.2E-2</v>
      </c>
      <c r="Q30" s="3825"/>
      <c r="R30" s="1749">
        <v>5</v>
      </c>
      <c r="S30" s="1856">
        <f>'Total - Traffic %'!S30</f>
        <v>0</v>
      </c>
      <c r="T30" s="1857">
        <f>'Total - Traffic %'!T30</f>
        <v>7.0000000000000001E-3</v>
      </c>
      <c r="U30" s="1858">
        <f>'Total - Traffic %'!U30</f>
        <v>2E-3</v>
      </c>
      <c r="V30" s="1856">
        <f>'Total - Traffic %'!V30</f>
        <v>0</v>
      </c>
      <c r="W30" s="1857">
        <f>'Total - Traffic %'!W30</f>
        <v>2E-3</v>
      </c>
      <c r="X30" s="1858">
        <f>'Total - Traffic %'!X30</f>
        <v>3.0000000000000001E-3</v>
      </c>
      <c r="Y30" s="1859">
        <f>'Total - Traffic %'!Y30</f>
        <v>8.0000000000000002E-3</v>
      </c>
      <c r="Z30" s="1860">
        <f>'Total - Traffic %'!Z30</f>
        <v>0</v>
      </c>
      <c r="AA30" s="1859">
        <f>'Total - Traffic %'!AA30</f>
        <v>0</v>
      </c>
      <c r="AB30" s="1861">
        <f>'Total - Traffic %'!AB30</f>
        <v>1E-3</v>
      </c>
      <c r="AC30" s="1860">
        <f>'Total - Traffic %'!AC30</f>
        <v>2E-3</v>
      </c>
      <c r="AD30" s="1862">
        <f>'Total - Traffic %'!AD30</f>
        <v>2.4E-2</v>
      </c>
      <c r="AF30" s="3825"/>
      <c r="AG30" s="1749">
        <v>5</v>
      </c>
      <c r="AH30" s="1856">
        <f>'Total - Traffic %'!AH30</f>
        <v>0</v>
      </c>
      <c r="AI30" s="1857">
        <f>'Total - Traffic %'!AI30</f>
        <v>8.0000000000000002E-3</v>
      </c>
      <c r="AJ30" s="1858">
        <f>'Total - Traffic %'!AJ30</f>
        <v>3.0000000000000001E-3</v>
      </c>
      <c r="AK30" s="1856">
        <f>'Total - Traffic %'!AK30</f>
        <v>0</v>
      </c>
      <c r="AL30" s="1857">
        <f>'Total - Traffic %'!AL30</f>
        <v>6.0000000000000001E-3</v>
      </c>
      <c r="AM30" s="1858">
        <f>'Total - Traffic %'!AM30</f>
        <v>5.0000000000000001E-3</v>
      </c>
      <c r="AN30" s="1859">
        <f>'Total - Traffic %'!AN30</f>
        <v>0.01</v>
      </c>
      <c r="AO30" s="1860">
        <f>'Total - Traffic %'!AO30</f>
        <v>2E-3</v>
      </c>
      <c r="AP30" s="1859">
        <f>'Total - Traffic %'!AP30</f>
        <v>0</v>
      </c>
      <c r="AQ30" s="1861">
        <f>'Total - Traffic %'!AQ30</f>
        <v>1E-3</v>
      </c>
      <c r="AR30" s="1860">
        <f>'Total - Traffic %'!AR30</f>
        <v>2E-3</v>
      </c>
      <c r="AS30" s="1862">
        <f>'Total - Traffic %'!AS30</f>
        <v>3.6999999999999998E-2</v>
      </c>
      <c r="AU30" s="3825"/>
      <c r="AV30" s="1749">
        <v>5</v>
      </c>
      <c r="AW30" s="1856">
        <f>'Total - Traffic %'!AW30</f>
        <v>0</v>
      </c>
      <c r="AX30" s="1857">
        <f>'Total - Traffic %'!AX30</f>
        <v>8.9999999999999993E-3</v>
      </c>
      <c r="AY30" s="1858">
        <f>'Total - Traffic %'!AY30</f>
        <v>3.0000000000000001E-3</v>
      </c>
      <c r="AZ30" s="1856">
        <f>'Total - Traffic %'!AZ30</f>
        <v>0</v>
      </c>
      <c r="BA30" s="1857">
        <f>'Total - Traffic %'!BA30</f>
        <v>6.0000000000000001E-3</v>
      </c>
      <c r="BB30" s="1858">
        <f>'Total - Traffic %'!BB30</f>
        <v>5.0000000000000001E-3</v>
      </c>
      <c r="BC30" s="1859">
        <f>'Total - Traffic %'!BC30</f>
        <v>1.2E-2</v>
      </c>
      <c r="BD30" s="1860">
        <f>'Total - Traffic %'!BD30</f>
        <v>3.0000000000000001E-3</v>
      </c>
      <c r="BE30" s="1859">
        <f>'Total - Traffic %'!BE30</f>
        <v>0</v>
      </c>
      <c r="BF30" s="1861">
        <f>'Total - Traffic %'!BF30</f>
        <v>1E-3</v>
      </c>
      <c r="BG30" s="1860">
        <f>'Total - Traffic %'!BG30</f>
        <v>2E-3</v>
      </c>
      <c r="BH30" s="1862">
        <f>'Total - Traffic %'!BH30</f>
        <v>4.2999999999999997E-2</v>
      </c>
      <c r="BJ30" s="3825"/>
      <c r="BK30" s="1749">
        <v>5</v>
      </c>
      <c r="BL30" s="1856">
        <f>'Total - Traffic %'!BL30</f>
        <v>0</v>
      </c>
      <c r="BM30" s="1857">
        <f>'Total - Traffic %'!BM30</f>
        <v>0.01</v>
      </c>
      <c r="BN30" s="1858">
        <f>'Total - Traffic %'!BN30</f>
        <v>4.0000000000000001E-3</v>
      </c>
      <c r="BO30" s="1856">
        <f>'Total - Traffic %'!BO30</f>
        <v>1E-3</v>
      </c>
      <c r="BP30" s="1857">
        <f>'Total - Traffic %'!BP30</f>
        <v>7.0000000000000001E-3</v>
      </c>
      <c r="BQ30" s="1858">
        <f>'Total - Traffic %'!BQ30</f>
        <v>6.0000000000000001E-3</v>
      </c>
      <c r="BR30" s="1859">
        <f>'Total - Traffic %'!BR30</f>
        <v>1.2999999999999999E-2</v>
      </c>
      <c r="BS30" s="1860">
        <f>'Total - Traffic %'!BS30</f>
        <v>3.0000000000000001E-3</v>
      </c>
      <c r="BT30" s="1859">
        <f>'Total - Traffic %'!BT30</f>
        <v>1E-3</v>
      </c>
      <c r="BU30" s="1861">
        <f>'Total - Traffic %'!BU30</f>
        <v>1E-3</v>
      </c>
      <c r="BV30" s="1860">
        <f>'Total - Traffic %'!BV30</f>
        <v>3.0000000000000001E-3</v>
      </c>
      <c r="BW30" s="1862">
        <f>'Total - Traffic %'!BW30</f>
        <v>4.7E-2</v>
      </c>
      <c r="BY30" s="3825"/>
      <c r="BZ30" s="1749">
        <v>5</v>
      </c>
      <c r="CA30" s="1856">
        <f>'Total - Traffic %'!CA30</f>
        <v>0</v>
      </c>
      <c r="CB30" s="1857">
        <f>'Total - Traffic %'!CB30</f>
        <v>1.0999999999999999E-2</v>
      </c>
      <c r="CC30" s="1858">
        <f>'Total - Traffic %'!CC30</f>
        <v>4.0000000000000001E-3</v>
      </c>
      <c r="CD30" s="1856">
        <f>'Total - Traffic %'!CD30</f>
        <v>1E-3</v>
      </c>
      <c r="CE30" s="1857">
        <f>'Total - Traffic %'!CE30</f>
        <v>7.0000000000000001E-3</v>
      </c>
      <c r="CF30" s="1858">
        <f>'Total - Traffic %'!CF30</f>
        <v>6.0000000000000001E-3</v>
      </c>
      <c r="CG30" s="1859">
        <f>'Total - Traffic %'!CG30</f>
        <v>1.4E-2</v>
      </c>
      <c r="CH30" s="1860">
        <f>'Total - Traffic %'!CH30</f>
        <v>3.0000000000000001E-3</v>
      </c>
      <c r="CI30" s="1859">
        <f>'Total - Traffic %'!CI30</f>
        <v>1E-3</v>
      </c>
      <c r="CJ30" s="1861">
        <f>'Total - Traffic %'!CJ30</f>
        <v>2E-3</v>
      </c>
      <c r="CK30" s="1860">
        <f>'Total - Traffic %'!CK30</f>
        <v>3.0000000000000001E-3</v>
      </c>
      <c r="CL30" s="1862">
        <f>'Total - Traffic %'!CL30</f>
        <v>5.1999999999999998E-2</v>
      </c>
    </row>
    <row r="31" spans="1:90" s="1728" customFormat="1" ht="13.5" customHeight="1" thickBot="1">
      <c r="A31" s="3844"/>
      <c r="B31" s="3845"/>
      <c r="C31" s="1750" t="s">
        <v>1422</v>
      </c>
      <c r="D31" s="1863">
        <f>'Total - Traffic %'!D31</f>
        <v>3.0000000000000001E-3</v>
      </c>
      <c r="E31" s="1864">
        <f>'Total - Traffic %'!E31</f>
        <v>3.5000000000000003E-2</v>
      </c>
      <c r="F31" s="1865">
        <f>'Total - Traffic %'!F31</f>
        <v>2.5000000000000001E-2</v>
      </c>
      <c r="G31" s="1863">
        <f>'Total - Traffic %'!G31</f>
        <v>4.5999999999999999E-2</v>
      </c>
      <c r="H31" s="1864">
        <f>'Total - Traffic %'!H31</f>
        <v>6.2E-2</v>
      </c>
      <c r="I31" s="1865">
        <f>'Total - Traffic %'!I31</f>
        <v>7.0999999999999994E-2</v>
      </c>
      <c r="J31" s="1866">
        <f>'Total - Traffic %'!J31</f>
        <v>0.123</v>
      </c>
      <c r="K31" s="1867">
        <f>'Total - Traffic %'!K31</f>
        <v>0.125</v>
      </c>
      <c r="L31" s="1866">
        <f>'Total - Traffic %'!L31</f>
        <v>0.14000000000000001</v>
      </c>
      <c r="M31" s="1868">
        <f>'Total - Traffic %'!M31</f>
        <v>0.23100000000000001</v>
      </c>
      <c r="N31" s="1867">
        <f>'Total - Traffic %'!N31</f>
        <v>0.14000000000000001</v>
      </c>
      <c r="O31" s="1869">
        <f>'Total - Traffic %'!O31</f>
        <v>1</v>
      </c>
      <c r="Q31" s="3826"/>
      <c r="R31" s="1750" t="s">
        <v>1422</v>
      </c>
      <c r="S31" s="1863">
        <f>'Total - Traffic %'!S31</f>
        <v>3.0000000000000001E-3</v>
      </c>
      <c r="T31" s="1864">
        <f>'Total - Traffic %'!T31</f>
        <v>3.5000000000000003E-2</v>
      </c>
      <c r="U31" s="1865">
        <f>'Total - Traffic %'!U31</f>
        <v>2.5000000000000001E-2</v>
      </c>
      <c r="V31" s="1863">
        <f>'Total - Traffic %'!V31</f>
        <v>4.5999999999999999E-2</v>
      </c>
      <c r="W31" s="1864">
        <f>'Total - Traffic %'!W31</f>
        <v>6.0999999999999999E-2</v>
      </c>
      <c r="X31" s="1865">
        <f>'Total - Traffic %'!X31</f>
        <v>7.0000000000000007E-2</v>
      </c>
      <c r="Y31" s="1866">
        <f>'Total - Traffic %'!Y31</f>
        <v>0.123</v>
      </c>
      <c r="Z31" s="1867">
        <f>'Total - Traffic %'!Z31</f>
        <v>0.125</v>
      </c>
      <c r="AA31" s="1866">
        <f>'Total - Traffic %'!AA31</f>
        <v>0.14099999999999999</v>
      </c>
      <c r="AB31" s="1868">
        <f>'Total - Traffic %'!AB31</f>
        <v>0.23200000000000001</v>
      </c>
      <c r="AC31" s="1867">
        <f>'Total - Traffic %'!AC31</f>
        <v>0.14000000000000001</v>
      </c>
      <c r="AD31" s="1869">
        <f>'Total - Traffic %'!AD31</f>
        <v>1</v>
      </c>
      <c r="AF31" s="3826"/>
      <c r="AG31" s="1750" t="s">
        <v>1422</v>
      </c>
      <c r="AH31" s="1863">
        <f>'Total - Traffic %'!AH31</f>
        <v>3.0000000000000001E-3</v>
      </c>
      <c r="AI31" s="1864">
        <f>'Total - Traffic %'!AI31</f>
        <v>3.5000000000000003E-2</v>
      </c>
      <c r="AJ31" s="1865">
        <f>'Total - Traffic %'!AJ31</f>
        <v>2.5000000000000001E-2</v>
      </c>
      <c r="AK31" s="1863">
        <f>'Total - Traffic %'!AK31</f>
        <v>4.5999999999999999E-2</v>
      </c>
      <c r="AL31" s="1864">
        <f>'Total - Traffic %'!AL31</f>
        <v>6.0999999999999999E-2</v>
      </c>
      <c r="AM31" s="1865">
        <f>'Total - Traffic %'!AM31</f>
        <v>7.0000000000000007E-2</v>
      </c>
      <c r="AN31" s="1866">
        <f>'Total - Traffic %'!AN31</f>
        <v>0.122</v>
      </c>
      <c r="AO31" s="1867">
        <f>'Total - Traffic %'!AO31</f>
        <v>0.124</v>
      </c>
      <c r="AP31" s="1866">
        <f>'Total - Traffic %'!AP31</f>
        <v>0.14199999999999999</v>
      </c>
      <c r="AQ31" s="1868">
        <f>'Total - Traffic %'!AQ31</f>
        <v>0.23200000000000001</v>
      </c>
      <c r="AR31" s="1867">
        <f>'Total - Traffic %'!AR31</f>
        <v>0.14000000000000001</v>
      </c>
      <c r="AS31" s="1869">
        <f>'Total - Traffic %'!AS31</f>
        <v>1</v>
      </c>
      <c r="AU31" s="3826"/>
      <c r="AV31" s="1750" t="s">
        <v>1422</v>
      </c>
      <c r="AW31" s="1863">
        <f>'Total - Traffic %'!AW31</f>
        <v>3.0000000000000001E-3</v>
      </c>
      <c r="AX31" s="1864">
        <f>'Total - Traffic %'!AX31</f>
        <v>3.5000000000000003E-2</v>
      </c>
      <c r="AY31" s="1865">
        <f>'Total - Traffic %'!AY31</f>
        <v>2.5000000000000001E-2</v>
      </c>
      <c r="AZ31" s="1863">
        <f>'Total - Traffic %'!AZ31</f>
        <v>4.7E-2</v>
      </c>
      <c r="BA31" s="1864">
        <f>'Total - Traffic %'!BA31</f>
        <v>6.0999999999999999E-2</v>
      </c>
      <c r="BB31" s="1865">
        <f>'Total - Traffic %'!BB31</f>
        <v>7.0000000000000007E-2</v>
      </c>
      <c r="BC31" s="1866">
        <f>'Total - Traffic %'!BC31</f>
        <v>0.121</v>
      </c>
      <c r="BD31" s="1867">
        <f>'Total - Traffic %'!BD31</f>
        <v>0.123</v>
      </c>
      <c r="BE31" s="1866">
        <f>'Total - Traffic %'!BE31</f>
        <v>0.14399999999999999</v>
      </c>
      <c r="BF31" s="1868">
        <f>'Total - Traffic %'!BF31</f>
        <v>0.23300000000000001</v>
      </c>
      <c r="BG31" s="1867">
        <f>'Total - Traffic %'!BG31</f>
        <v>0.14000000000000001</v>
      </c>
      <c r="BH31" s="1869">
        <f>'Total - Traffic %'!BH31</f>
        <v>1</v>
      </c>
      <c r="BJ31" s="3826"/>
      <c r="BK31" s="1750" t="s">
        <v>1422</v>
      </c>
      <c r="BL31" s="1863">
        <f>'Total - Traffic %'!BL31</f>
        <v>3.0000000000000001E-3</v>
      </c>
      <c r="BM31" s="1864">
        <f>'Total - Traffic %'!BM31</f>
        <v>3.5000000000000003E-2</v>
      </c>
      <c r="BN31" s="1865">
        <f>'Total - Traffic %'!BN31</f>
        <v>2.5000000000000001E-2</v>
      </c>
      <c r="BO31" s="1863">
        <f>'Total - Traffic %'!BO31</f>
        <v>4.7E-2</v>
      </c>
      <c r="BP31" s="1864">
        <f>'Total - Traffic %'!BP31</f>
        <v>0.06</v>
      </c>
      <c r="BQ31" s="1865">
        <f>'Total - Traffic %'!BQ31</f>
        <v>7.0000000000000007E-2</v>
      </c>
      <c r="BR31" s="1866">
        <f>'Total - Traffic %'!BR31</f>
        <v>0.12</v>
      </c>
      <c r="BS31" s="1867">
        <f>'Total - Traffic %'!BS31</f>
        <v>0.123</v>
      </c>
      <c r="BT31" s="1866">
        <f>'Total - Traffic %'!BT31</f>
        <v>0.14499999999999999</v>
      </c>
      <c r="BU31" s="1868">
        <f>'Total - Traffic %'!BU31</f>
        <v>0.23300000000000001</v>
      </c>
      <c r="BV31" s="1867">
        <f>'Total - Traffic %'!BV31</f>
        <v>0.14000000000000001</v>
      </c>
      <c r="BW31" s="1869">
        <f>'Total - Traffic %'!BW31</f>
        <v>1</v>
      </c>
      <c r="BY31" s="3826"/>
      <c r="BZ31" s="1750" t="s">
        <v>1422</v>
      </c>
      <c r="CA31" s="1863">
        <f>'Total - Traffic %'!CA31</f>
        <v>3.0000000000000001E-3</v>
      </c>
      <c r="CB31" s="1864">
        <f>'Total - Traffic %'!CB31</f>
        <v>3.4000000000000002E-2</v>
      </c>
      <c r="CC31" s="1865">
        <f>'Total - Traffic %'!CC31</f>
        <v>2.5000000000000001E-2</v>
      </c>
      <c r="CD31" s="1863">
        <f>'Total - Traffic %'!CD31</f>
        <v>4.7E-2</v>
      </c>
      <c r="CE31" s="1864">
        <f>'Total - Traffic %'!CE31</f>
        <v>0.06</v>
      </c>
      <c r="CF31" s="1865">
        <f>'Total - Traffic %'!CF31</f>
        <v>7.0000000000000007E-2</v>
      </c>
      <c r="CG31" s="1866">
        <f>'Total - Traffic %'!CG31</f>
        <v>0.12</v>
      </c>
      <c r="CH31" s="1867">
        <f>'Total - Traffic %'!CH31</f>
        <v>0.123</v>
      </c>
      <c r="CI31" s="1866">
        <f>'Total - Traffic %'!CI31</f>
        <v>0.14499999999999999</v>
      </c>
      <c r="CJ31" s="1868">
        <f>'Total - Traffic %'!CJ31</f>
        <v>0.23300000000000001</v>
      </c>
      <c r="CK31" s="1867">
        <f>'Total - Traffic %'!CK31</f>
        <v>0.14099999999999999</v>
      </c>
      <c r="CL31" s="1869">
        <f>'Total - Traffic %'!CL31</f>
        <v>1</v>
      </c>
    </row>
    <row r="32" spans="1:90" s="1728" customFormat="1" ht="13.5" customHeight="1" thickTop="1">
      <c r="A32" s="3840" t="s">
        <v>857</v>
      </c>
      <c r="B32" s="3841"/>
      <c r="C32" s="1733">
        <v>1</v>
      </c>
      <c r="D32" s="1849">
        <f>'Total - Traffic %'!D32</f>
        <v>1E-3</v>
      </c>
      <c r="E32" s="1850">
        <f>'Total - Traffic %'!E32</f>
        <v>4.0000000000000001E-3</v>
      </c>
      <c r="F32" s="1851">
        <f>'Total - Traffic %'!F32</f>
        <v>1.2E-2</v>
      </c>
      <c r="G32" s="1849">
        <f>'Total - Traffic %'!G32</f>
        <v>7.0000000000000001E-3</v>
      </c>
      <c r="H32" s="1850">
        <f>'Total - Traffic %'!H32</f>
        <v>1.2E-2</v>
      </c>
      <c r="I32" s="1851">
        <f>'Total - Traffic %'!I32</f>
        <v>3.6999999999999998E-2</v>
      </c>
      <c r="J32" s="1852">
        <f>'Total - Traffic %'!J32</f>
        <v>2.1999999999999999E-2</v>
      </c>
      <c r="K32" s="1853">
        <f>'Total - Traffic %'!K32</f>
        <v>8.3000000000000004E-2</v>
      </c>
      <c r="L32" s="1852">
        <f>'Total - Traffic %'!L32</f>
        <v>2.5999999999999999E-2</v>
      </c>
      <c r="M32" s="1854">
        <f>'Total - Traffic %'!M32</f>
        <v>0.10199999999999999</v>
      </c>
      <c r="N32" s="1853">
        <f>'Total - Traffic %'!N32</f>
        <v>0.109</v>
      </c>
      <c r="O32" s="1855">
        <f>'Total - Traffic %'!O32</f>
        <v>0.41399999999999998</v>
      </c>
      <c r="Q32" s="3824" t="s">
        <v>857</v>
      </c>
      <c r="R32" s="1733">
        <v>1</v>
      </c>
      <c r="S32" s="1849">
        <f>'Total - Traffic %'!S32</f>
        <v>1E-3</v>
      </c>
      <c r="T32" s="1850">
        <f>'Total - Traffic %'!T32</f>
        <v>4.0000000000000001E-3</v>
      </c>
      <c r="U32" s="1851">
        <f>'Total - Traffic %'!U32</f>
        <v>1.0999999999999999E-2</v>
      </c>
      <c r="V32" s="1849">
        <f>'Total - Traffic %'!V32</f>
        <v>7.0000000000000001E-3</v>
      </c>
      <c r="W32" s="1850">
        <f>'Total - Traffic %'!W32</f>
        <v>1.0999999999999999E-2</v>
      </c>
      <c r="X32" s="1851">
        <f>'Total - Traffic %'!X32</f>
        <v>3.6999999999999998E-2</v>
      </c>
      <c r="Y32" s="1852">
        <f>'Total - Traffic %'!Y32</f>
        <v>2.1999999999999999E-2</v>
      </c>
      <c r="Z32" s="1853">
        <f>'Total - Traffic %'!Z32</f>
        <v>8.2000000000000003E-2</v>
      </c>
      <c r="AA32" s="1852">
        <f>'Total - Traffic %'!AA32</f>
        <v>2.5999999999999999E-2</v>
      </c>
      <c r="AB32" s="1854">
        <f>'Total - Traffic %'!AB32</f>
        <v>0.10199999999999999</v>
      </c>
      <c r="AC32" s="1853">
        <f>'Total - Traffic %'!AC32</f>
        <v>0.109</v>
      </c>
      <c r="AD32" s="1855">
        <f>'Total - Traffic %'!AD32</f>
        <v>0.41199999999999998</v>
      </c>
      <c r="AF32" s="3824" t="s">
        <v>857</v>
      </c>
      <c r="AG32" s="1733">
        <v>1</v>
      </c>
      <c r="AH32" s="1849">
        <f>'Total - Traffic %'!AH32</f>
        <v>0</v>
      </c>
      <c r="AI32" s="1850">
        <f>'Total - Traffic %'!AI32</f>
        <v>3.0000000000000001E-3</v>
      </c>
      <c r="AJ32" s="1851">
        <f>'Total - Traffic %'!AJ32</f>
        <v>1.0999999999999999E-2</v>
      </c>
      <c r="AK32" s="1849">
        <f>'Total - Traffic %'!AK32</f>
        <v>6.0000000000000001E-3</v>
      </c>
      <c r="AL32" s="1850">
        <f>'Total - Traffic %'!AL32</f>
        <v>0.01</v>
      </c>
      <c r="AM32" s="1851">
        <f>'Total - Traffic %'!AM32</f>
        <v>3.5000000000000003E-2</v>
      </c>
      <c r="AN32" s="1852">
        <f>'Total - Traffic %'!AN32</f>
        <v>1.7999999999999999E-2</v>
      </c>
      <c r="AO32" s="1853">
        <f>'Total - Traffic %'!AO32</f>
        <v>8.1000000000000003E-2</v>
      </c>
      <c r="AP32" s="1852">
        <f>'Total - Traffic %'!AP32</f>
        <v>2.1000000000000001E-2</v>
      </c>
      <c r="AQ32" s="1854">
        <f>'Total - Traffic %'!AQ32</f>
        <v>8.5000000000000006E-2</v>
      </c>
      <c r="AR32" s="1853">
        <f>'Total - Traffic %'!AR32</f>
        <v>0.10299999999999999</v>
      </c>
      <c r="AS32" s="1855">
        <f>'Total - Traffic %'!AS32</f>
        <v>0.374</v>
      </c>
      <c r="AU32" s="3824" t="s">
        <v>857</v>
      </c>
      <c r="AV32" s="1733">
        <v>1</v>
      </c>
      <c r="AW32" s="1849">
        <f>'Total - Traffic %'!AW32</f>
        <v>0</v>
      </c>
      <c r="AX32" s="1850">
        <f>'Total - Traffic %'!AX32</f>
        <v>3.0000000000000001E-3</v>
      </c>
      <c r="AY32" s="1851">
        <f>'Total - Traffic %'!AY32</f>
        <v>0.01</v>
      </c>
      <c r="AZ32" s="1849">
        <f>'Total - Traffic %'!AZ32</f>
        <v>5.0000000000000001E-3</v>
      </c>
      <c r="BA32" s="1850">
        <f>'Total - Traffic %'!BA32</f>
        <v>8.9999999999999993E-3</v>
      </c>
      <c r="BB32" s="1851">
        <f>'Total - Traffic %'!BB32</f>
        <v>3.3000000000000002E-2</v>
      </c>
      <c r="BC32" s="1852">
        <f>'Total - Traffic %'!BC32</f>
        <v>1.7000000000000001E-2</v>
      </c>
      <c r="BD32" s="1853">
        <f>'Total - Traffic %'!BD32</f>
        <v>7.6999999999999999E-2</v>
      </c>
      <c r="BE32" s="1852">
        <f>'Total - Traffic %'!BE32</f>
        <v>0.02</v>
      </c>
      <c r="BF32" s="1854">
        <f>'Total - Traffic %'!BF32</f>
        <v>8.2000000000000003E-2</v>
      </c>
      <c r="BG32" s="1853">
        <f>'Total - Traffic %'!BG32</f>
        <v>0.10199999999999999</v>
      </c>
      <c r="BH32" s="1855">
        <f>'Total - Traffic %'!BH32</f>
        <v>0.35599999999999998</v>
      </c>
      <c r="BJ32" s="3824" t="s">
        <v>857</v>
      </c>
      <c r="BK32" s="1733">
        <v>1</v>
      </c>
      <c r="BL32" s="1849">
        <f>'Total - Traffic %'!BL32</f>
        <v>0</v>
      </c>
      <c r="BM32" s="1850">
        <f>'Total - Traffic %'!BM32</f>
        <v>2E-3</v>
      </c>
      <c r="BN32" s="1851">
        <f>'Total - Traffic %'!BN32</f>
        <v>0.01</v>
      </c>
      <c r="BO32" s="1849">
        <f>'Total - Traffic %'!BO32</f>
        <v>5.0000000000000001E-3</v>
      </c>
      <c r="BP32" s="1850">
        <f>'Total - Traffic %'!BP32</f>
        <v>8.0000000000000002E-3</v>
      </c>
      <c r="BQ32" s="1851">
        <f>'Total - Traffic %'!BQ32</f>
        <v>3.2000000000000001E-2</v>
      </c>
      <c r="BR32" s="1852">
        <f>'Total - Traffic %'!BR32</f>
        <v>1.6E-2</v>
      </c>
      <c r="BS32" s="1853">
        <f>'Total - Traffic %'!BS32</f>
        <v>7.3999999999999996E-2</v>
      </c>
      <c r="BT32" s="1852">
        <f>'Total - Traffic %'!BT32</f>
        <v>1.9E-2</v>
      </c>
      <c r="BU32" s="1854">
        <f>'Total - Traffic %'!BU32</f>
        <v>7.9000000000000001E-2</v>
      </c>
      <c r="BV32" s="1853">
        <f>'Total - Traffic %'!BV32</f>
        <v>0.10100000000000001</v>
      </c>
      <c r="BW32" s="1855">
        <f>'Total - Traffic %'!BW32</f>
        <v>0.34599999999999997</v>
      </c>
      <c r="BY32" s="3824" t="s">
        <v>857</v>
      </c>
      <c r="BZ32" s="1733">
        <v>1</v>
      </c>
      <c r="CA32" s="1849">
        <f>'Total - Traffic %'!CA32</f>
        <v>0</v>
      </c>
      <c r="CB32" s="1850">
        <f>'Total - Traffic %'!CB32</f>
        <v>2E-3</v>
      </c>
      <c r="CC32" s="1851">
        <f>'Total - Traffic %'!CC32</f>
        <v>8.9999999999999993E-3</v>
      </c>
      <c r="CD32" s="1849">
        <f>'Total - Traffic %'!CD32</f>
        <v>5.0000000000000001E-3</v>
      </c>
      <c r="CE32" s="1850">
        <f>'Total - Traffic %'!CE32</f>
        <v>7.0000000000000001E-3</v>
      </c>
      <c r="CF32" s="1851">
        <f>'Total - Traffic %'!CF32</f>
        <v>3.1E-2</v>
      </c>
      <c r="CG32" s="1852">
        <f>'Total - Traffic %'!CG32</f>
        <v>1.4999999999999999E-2</v>
      </c>
      <c r="CH32" s="1853">
        <f>'Total - Traffic %'!CH32</f>
        <v>7.2999999999999995E-2</v>
      </c>
      <c r="CI32" s="1852">
        <f>'Total - Traffic %'!CI32</f>
        <v>1.7000000000000001E-2</v>
      </c>
      <c r="CJ32" s="1854">
        <f>'Total - Traffic %'!CJ32</f>
        <v>7.0000000000000007E-2</v>
      </c>
      <c r="CK32" s="1853">
        <f>'Total - Traffic %'!CK32</f>
        <v>9.7000000000000003E-2</v>
      </c>
      <c r="CL32" s="1855">
        <f>'Total - Traffic %'!CL32</f>
        <v>0.32600000000000001</v>
      </c>
    </row>
    <row r="33" spans="1:90" s="1728" customFormat="1" ht="13.5" customHeight="1">
      <c r="A33" s="3842"/>
      <c r="B33" s="3843"/>
      <c r="C33" s="1741">
        <v>2</v>
      </c>
      <c r="D33" s="1856">
        <f>'Total - Traffic %'!D33</f>
        <v>2E-3</v>
      </c>
      <c r="E33" s="1857">
        <f>'Total - Traffic %'!E33</f>
        <v>8.9999999999999993E-3</v>
      </c>
      <c r="F33" s="1858">
        <f>'Total - Traffic %'!F33</f>
        <v>7.0000000000000001E-3</v>
      </c>
      <c r="G33" s="1856">
        <f>'Total - Traffic %'!G33</f>
        <v>1.7000000000000001E-2</v>
      </c>
      <c r="H33" s="1857">
        <f>'Total - Traffic %'!H33</f>
        <v>2.1000000000000001E-2</v>
      </c>
      <c r="I33" s="1858">
        <f>'Total - Traffic %'!I33</f>
        <v>1.6E-2</v>
      </c>
      <c r="J33" s="1859">
        <f>'Total - Traffic %'!J33</f>
        <v>4.4999999999999998E-2</v>
      </c>
      <c r="K33" s="1860">
        <f>'Total - Traffic %'!K33</f>
        <v>0.03</v>
      </c>
      <c r="L33" s="1859">
        <f>'Total - Traffic %'!L33</f>
        <v>6.8000000000000005E-2</v>
      </c>
      <c r="M33" s="1861">
        <f>'Total - Traffic %'!M33</f>
        <v>0.09</v>
      </c>
      <c r="N33" s="1860">
        <f>'Total - Traffic %'!N33</f>
        <v>1.7000000000000001E-2</v>
      </c>
      <c r="O33" s="1862">
        <f>'Total - Traffic %'!O33</f>
        <v>0.32200000000000001</v>
      </c>
      <c r="Q33" s="3825"/>
      <c r="R33" s="1741">
        <v>2</v>
      </c>
      <c r="S33" s="1856">
        <f>'Total - Traffic %'!S33</f>
        <v>2E-3</v>
      </c>
      <c r="T33" s="1857">
        <f>'Total - Traffic %'!T33</f>
        <v>8.9999999999999993E-3</v>
      </c>
      <c r="U33" s="1858">
        <f>'Total - Traffic %'!U33</f>
        <v>7.0000000000000001E-3</v>
      </c>
      <c r="V33" s="1856">
        <f>'Total - Traffic %'!V33</f>
        <v>1.7000000000000001E-2</v>
      </c>
      <c r="W33" s="1857">
        <f>'Total - Traffic %'!W33</f>
        <v>1.9E-2</v>
      </c>
      <c r="X33" s="1858">
        <f>'Total - Traffic %'!X33</f>
        <v>1.6E-2</v>
      </c>
      <c r="Y33" s="1859">
        <f>'Total - Traffic %'!Y33</f>
        <v>4.2000000000000003E-2</v>
      </c>
      <c r="Z33" s="1860">
        <f>'Total - Traffic %'!Z33</f>
        <v>2.9000000000000001E-2</v>
      </c>
      <c r="AA33" s="1859">
        <f>'Total - Traffic %'!AA33</f>
        <v>6.7000000000000004E-2</v>
      </c>
      <c r="AB33" s="1861">
        <f>'Total - Traffic %'!AB33</f>
        <v>8.8999999999999996E-2</v>
      </c>
      <c r="AC33" s="1860">
        <f>'Total - Traffic %'!AC33</f>
        <v>1.7000000000000001E-2</v>
      </c>
      <c r="AD33" s="1862">
        <f>'Total - Traffic %'!AD33</f>
        <v>0.315</v>
      </c>
      <c r="AF33" s="3825"/>
      <c r="AG33" s="1741">
        <v>2</v>
      </c>
      <c r="AH33" s="1856">
        <f>'Total - Traffic %'!AH33</f>
        <v>2E-3</v>
      </c>
      <c r="AI33" s="1857">
        <f>'Total - Traffic %'!AI33</f>
        <v>7.0000000000000001E-3</v>
      </c>
      <c r="AJ33" s="1858">
        <f>'Total - Traffic %'!AJ33</f>
        <v>7.0000000000000001E-3</v>
      </c>
      <c r="AK33" s="1856">
        <f>'Total - Traffic %'!AK33</f>
        <v>1.4999999999999999E-2</v>
      </c>
      <c r="AL33" s="1857">
        <f>'Total - Traffic %'!AL33</f>
        <v>1.7999999999999999E-2</v>
      </c>
      <c r="AM33" s="1858">
        <f>'Total - Traffic %'!AM33</f>
        <v>1.6E-2</v>
      </c>
      <c r="AN33" s="1859">
        <f>'Total - Traffic %'!AN33</f>
        <v>3.7999999999999999E-2</v>
      </c>
      <c r="AO33" s="1860">
        <f>'Total - Traffic %'!AO33</f>
        <v>2.9000000000000001E-2</v>
      </c>
      <c r="AP33" s="1859">
        <f>'Total - Traffic %'!AP33</f>
        <v>0.06</v>
      </c>
      <c r="AQ33" s="1861">
        <f>'Total - Traffic %'!AQ33</f>
        <v>0.10100000000000001</v>
      </c>
      <c r="AR33" s="1860">
        <f>'Total - Traffic %'!AR33</f>
        <v>2.1000000000000001E-2</v>
      </c>
      <c r="AS33" s="1862">
        <f>'Total - Traffic %'!AS33</f>
        <v>0.315</v>
      </c>
      <c r="AU33" s="3825"/>
      <c r="AV33" s="1741">
        <v>2</v>
      </c>
      <c r="AW33" s="1856">
        <f>'Total - Traffic %'!AW33</f>
        <v>2E-3</v>
      </c>
      <c r="AX33" s="1857">
        <f>'Total - Traffic %'!AX33</f>
        <v>6.0000000000000001E-3</v>
      </c>
      <c r="AY33" s="1858">
        <f>'Total - Traffic %'!AY33</f>
        <v>8.0000000000000002E-3</v>
      </c>
      <c r="AZ33" s="1856">
        <f>'Total - Traffic %'!AZ33</f>
        <v>1.2E-2</v>
      </c>
      <c r="BA33" s="1857">
        <f>'Total - Traffic %'!BA33</f>
        <v>1.7000000000000001E-2</v>
      </c>
      <c r="BB33" s="1858">
        <f>'Total - Traffic %'!BB33</f>
        <v>1.7000000000000001E-2</v>
      </c>
      <c r="BC33" s="1859">
        <f>'Total - Traffic %'!BC33</f>
        <v>3.3000000000000002E-2</v>
      </c>
      <c r="BD33" s="1860">
        <f>'Total - Traffic %'!BD33</f>
        <v>0.03</v>
      </c>
      <c r="BE33" s="1859">
        <f>'Total - Traffic %'!BE33</f>
        <v>4.7E-2</v>
      </c>
      <c r="BF33" s="1861">
        <f>'Total - Traffic %'!BF33</f>
        <v>9.7000000000000003E-2</v>
      </c>
      <c r="BG33" s="1860">
        <f>'Total - Traffic %'!BG33</f>
        <v>0.02</v>
      </c>
      <c r="BH33" s="1862">
        <f>'Total - Traffic %'!BH33</f>
        <v>0.28799999999999998</v>
      </c>
      <c r="BJ33" s="3825"/>
      <c r="BK33" s="1741">
        <v>2</v>
      </c>
      <c r="BL33" s="1856">
        <f>'Total - Traffic %'!BL33</f>
        <v>1E-3</v>
      </c>
      <c r="BM33" s="1857">
        <f>'Total - Traffic %'!BM33</f>
        <v>5.0000000000000001E-3</v>
      </c>
      <c r="BN33" s="1858">
        <f>'Total - Traffic %'!BN33</f>
        <v>7.0000000000000001E-3</v>
      </c>
      <c r="BO33" s="1856">
        <f>'Total - Traffic %'!BO33</f>
        <v>0.01</v>
      </c>
      <c r="BP33" s="1857">
        <f>'Total - Traffic %'!BP33</f>
        <v>1.6E-2</v>
      </c>
      <c r="BQ33" s="1858">
        <f>'Total - Traffic %'!BQ33</f>
        <v>1.7000000000000001E-2</v>
      </c>
      <c r="BR33" s="1859">
        <f>'Total - Traffic %'!BR33</f>
        <v>3.1E-2</v>
      </c>
      <c r="BS33" s="1860">
        <f>'Total - Traffic %'!BS33</f>
        <v>3.2000000000000001E-2</v>
      </c>
      <c r="BT33" s="1859">
        <f>'Total - Traffic %'!BT33</f>
        <v>0.04</v>
      </c>
      <c r="BU33" s="1861">
        <f>'Total - Traffic %'!BU33</f>
        <v>9.1999999999999998E-2</v>
      </c>
      <c r="BV33" s="1860">
        <f>'Total - Traffic %'!BV33</f>
        <v>0.02</v>
      </c>
      <c r="BW33" s="1862">
        <f>'Total - Traffic %'!BW33</f>
        <v>0.27</v>
      </c>
      <c r="BY33" s="3825"/>
      <c r="BZ33" s="1741">
        <v>2</v>
      </c>
      <c r="CA33" s="1856">
        <f>'Total - Traffic %'!CA33</f>
        <v>1E-3</v>
      </c>
      <c r="CB33" s="1857">
        <f>'Total - Traffic %'!CB33</f>
        <v>4.0000000000000001E-3</v>
      </c>
      <c r="CC33" s="1858">
        <f>'Total - Traffic %'!CC33</f>
        <v>7.0000000000000001E-3</v>
      </c>
      <c r="CD33" s="1856">
        <f>'Total - Traffic %'!CD33</f>
        <v>8.0000000000000002E-3</v>
      </c>
      <c r="CE33" s="1857">
        <f>'Total - Traffic %'!CE33</f>
        <v>1.4E-2</v>
      </c>
      <c r="CF33" s="1858">
        <f>'Total - Traffic %'!CF33</f>
        <v>1.7000000000000001E-2</v>
      </c>
      <c r="CG33" s="1859">
        <f>'Total - Traffic %'!CG33</f>
        <v>2.7E-2</v>
      </c>
      <c r="CH33" s="1860">
        <f>'Total - Traffic %'!CH33</f>
        <v>3.2000000000000001E-2</v>
      </c>
      <c r="CI33" s="1859">
        <f>'Total - Traffic %'!CI33</f>
        <v>3.5000000000000003E-2</v>
      </c>
      <c r="CJ33" s="1861">
        <f>'Total - Traffic %'!CJ33</f>
        <v>9.5000000000000001E-2</v>
      </c>
      <c r="CK33" s="1860">
        <f>'Total - Traffic %'!CK33</f>
        <v>2.3E-2</v>
      </c>
      <c r="CL33" s="1862">
        <f>'Total - Traffic %'!CL33</f>
        <v>0.26400000000000001</v>
      </c>
    </row>
    <row r="34" spans="1:90" s="1728" customFormat="1" ht="13.5" customHeight="1">
      <c r="A34" s="3842"/>
      <c r="B34" s="3843"/>
      <c r="C34" s="1741">
        <v>3</v>
      </c>
      <c r="D34" s="1856">
        <f>'Total - Traffic %'!D34</f>
        <v>0</v>
      </c>
      <c r="E34" s="1857">
        <f>'Total - Traffic %'!E34</f>
        <v>1.0999999999999999E-2</v>
      </c>
      <c r="F34" s="1858">
        <f>'Total - Traffic %'!F34</f>
        <v>4.0000000000000001E-3</v>
      </c>
      <c r="G34" s="1856">
        <f>'Total - Traffic %'!G34</f>
        <v>1.7000000000000001E-2</v>
      </c>
      <c r="H34" s="1857">
        <f>'Total - Traffic %'!H34</f>
        <v>1.4999999999999999E-2</v>
      </c>
      <c r="I34" s="1858">
        <f>'Total - Traffic %'!I34</f>
        <v>8.0000000000000002E-3</v>
      </c>
      <c r="J34" s="1859">
        <f>'Total - Traffic %'!J34</f>
        <v>3.4000000000000002E-2</v>
      </c>
      <c r="K34" s="1860">
        <f>'Total - Traffic %'!K34</f>
        <v>1.0999999999999999E-2</v>
      </c>
      <c r="L34" s="1859">
        <f>'Total - Traffic %'!L34</f>
        <v>4.3999999999999997E-2</v>
      </c>
      <c r="M34" s="1861">
        <f>'Total - Traffic %'!M34</f>
        <v>2.3E-2</v>
      </c>
      <c r="N34" s="1860">
        <f>'Total - Traffic %'!N34</f>
        <v>6.0000000000000001E-3</v>
      </c>
      <c r="O34" s="1862">
        <f>'Total - Traffic %'!O34</f>
        <v>0.17299999999999999</v>
      </c>
      <c r="Q34" s="3825"/>
      <c r="R34" s="1741">
        <v>3</v>
      </c>
      <c r="S34" s="1856">
        <f>'Total - Traffic %'!S34</f>
        <v>0</v>
      </c>
      <c r="T34" s="1857">
        <f>'Total - Traffic %'!T34</f>
        <v>1.0999999999999999E-2</v>
      </c>
      <c r="U34" s="1858">
        <f>'Total - Traffic %'!U34</f>
        <v>4.0000000000000001E-3</v>
      </c>
      <c r="V34" s="1856">
        <f>'Total - Traffic %'!V34</f>
        <v>1.7999999999999999E-2</v>
      </c>
      <c r="W34" s="1857">
        <f>'Total - Traffic %'!W34</f>
        <v>1.6E-2</v>
      </c>
      <c r="X34" s="1858">
        <f>'Total - Traffic %'!X34</f>
        <v>8.0000000000000002E-3</v>
      </c>
      <c r="Y34" s="1859">
        <f>'Total - Traffic %'!Y34</f>
        <v>3.5000000000000003E-2</v>
      </c>
      <c r="Z34" s="1860">
        <f>'Total - Traffic %'!Z34</f>
        <v>1.0999999999999999E-2</v>
      </c>
      <c r="AA34" s="1859">
        <f>'Total - Traffic %'!AA34</f>
        <v>4.7E-2</v>
      </c>
      <c r="AB34" s="1861">
        <f>'Total - Traffic %'!AB34</f>
        <v>2.4E-2</v>
      </c>
      <c r="AC34" s="1860">
        <f>'Total - Traffic %'!AC34</f>
        <v>6.0000000000000001E-3</v>
      </c>
      <c r="AD34" s="1862">
        <f>'Total - Traffic %'!AD34</f>
        <v>0.18</v>
      </c>
      <c r="AF34" s="3825"/>
      <c r="AG34" s="1741">
        <v>3</v>
      </c>
      <c r="AH34" s="1856">
        <f>'Total - Traffic %'!AH34</f>
        <v>1E-3</v>
      </c>
      <c r="AI34" s="1857">
        <f>'Total - Traffic %'!AI34</f>
        <v>1.0999999999999999E-2</v>
      </c>
      <c r="AJ34" s="1858">
        <f>'Total - Traffic %'!AJ34</f>
        <v>4.0000000000000001E-3</v>
      </c>
      <c r="AK34" s="1856">
        <f>'Total - Traffic %'!AK34</f>
        <v>0.02</v>
      </c>
      <c r="AL34" s="1857">
        <f>'Total - Traffic %'!AL34</f>
        <v>1.7000000000000001E-2</v>
      </c>
      <c r="AM34" s="1858">
        <f>'Total - Traffic %'!AM34</f>
        <v>8.0000000000000002E-3</v>
      </c>
      <c r="AN34" s="1859">
        <f>'Total - Traffic %'!AN34</f>
        <v>3.7999999999999999E-2</v>
      </c>
      <c r="AO34" s="1860">
        <f>'Total - Traffic %'!AO34</f>
        <v>1.2E-2</v>
      </c>
      <c r="AP34" s="1859">
        <f>'Total - Traffic %'!AP34</f>
        <v>5.7000000000000002E-2</v>
      </c>
      <c r="AQ34" s="1861">
        <f>'Total - Traffic %'!AQ34</f>
        <v>2.7E-2</v>
      </c>
      <c r="AR34" s="1860">
        <f>'Total - Traffic %'!AR34</f>
        <v>7.0000000000000001E-3</v>
      </c>
      <c r="AS34" s="1862">
        <f>'Total - Traffic %'!AS34</f>
        <v>0.2</v>
      </c>
      <c r="AU34" s="3825"/>
      <c r="AV34" s="1741">
        <v>3</v>
      </c>
      <c r="AW34" s="1856">
        <f>'Total - Traffic %'!AW34</f>
        <v>1E-3</v>
      </c>
      <c r="AX34" s="1857">
        <f>'Total - Traffic %'!AX34</f>
        <v>0.01</v>
      </c>
      <c r="AY34" s="1858">
        <f>'Total - Traffic %'!AY34</f>
        <v>4.0000000000000001E-3</v>
      </c>
      <c r="AZ34" s="1856">
        <f>'Total - Traffic %'!AZ34</f>
        <v>2.1000000000000001E-2</v>
      </c>
      <c r="BA34" s="1857">
        <f>'Total - Traffic %'!BA34</f>
        <v>1.7999999999999999E-2</v>
      </c>
      <c r="BB34" s="1858">
        <f>'Total - Traffic %'!BB34</f>
        <v>8.0000000000000002E-3</v>
      </c>
      <c r="BC34" s="1859">
        <f>'Total - Traffic %'!BC34</f>
        <v>0.04</v>
      </c>
      <c r="BD34" s="1860">
        <f>'Total - Traffic %'!BD34</f>
        <v>1.2E-2</v>
      </c>
      <c r="BE34" s="1859">
        <f>'Total - Traffic %'!BE34</f>
        <v>6.8000000000000005E-2</v>
      </c>
      <c r="BF34" s="1861">
        <f>'Total - Traffic %'!BF34</f>
        <v>3.3000000000000002E-2</v>
      </c>
      <c r="BG34" s="1860">
        <f>'Total - Traffic %'!BG34</f>
        <v>7.0000000000000001E-3</v>
      </c>
      <c r="BH34" s="1862">
        <f>'Total - Traffic %'!BH34</f>
        <v>0.223</v>
      </c>
      <c r="BJ34" s="3825"/>
      <c r="BK34" s="1741">
        <v>3</v>
      </c>
      <c r="BL34" s="1856">
        <f>'Total - Traffic %'!BL34</f>
        <v>1E-3</v>
      </c>
      <c r="BM34" s="1857">
        <f>'Total - Traffic %'!BM34</f>
        <v>8.9999999999999993E-3</v>
      </c>
      <c r="BN34" s="1858">
        <f>'Total - Traffic %'!BN34</f>
        <v>4.0000000000000001E-3</v>
      </c>
      <c r="BO34" s="1856">
        <f>'Total - Traffic %'!BO34</f>
        <v>2.1999999999999999E-2</v>
      </c>
      <c r="BP34" s="1857">
        <f>'Total - Traffic %'!BP34</f>
        <v>1.7999999999999999E-2</v>
      </c>
      <c r="BQ34" s="1858">
        <f>'Total - Traffic %'!BQ34</f>
        <v>8.9999999999999993E-3</v>
      </c>
      <c r="BR34" s="1859">
        <f>'Total - Traffic %'!BR34</f>
        <v>0.04</v>
      </c>
      <c r="BS34" s="1860">
        <f>'Total - Traffic %'!BS34</f>
        <v>1.2999999999999999E-2</v>
      </c>
      <c r="BT34" s="1859">
        <f>'Total - Traffic %'!BT34</f>
        <v>7.0000000000000007E-2</v>
      </c>
      <c r="BU34" s="1861">
        <f>'Total - Traffic %'!BU34</f>
        <v>3.7999999999999999E-2</v>
      </c>
      <c r="BV34" s="1860">
        <f>'Total - Traffic %'!BV34</f>
        <v>8.0000000000000002E-3</v>
      </c>
      <c r="BW34" s="1862">
        <f>'Total - Traffic %'!BW34</f>
        <v>0.23200000000000001</v>
      </c>
      <c r="BY34" s="3825"/>
      <c r="BZ34" s="1741">
        <v>3</v>
      </c>
      <c r="CA34" s="1856">
        <f>'Total - Traffic %'!CA34</f>
        <v>1E-3</v>
      </c>
      <c r="CB34" s="1857">
        <f>'Total - Traffic %'!CB34</f>
        <v>8.0000000000000002E-3</v>
      </c>
      <c r="CC34" s="1858">
        <f>'Total - Traffic %'!CC34</f>
        <v>4.0000000000000001E-3</v>
      </c>
      <c r="CD34" s="1856">
        <f>'Total - Traffic %'!CD34</f>
        <v>2.1999999999999999E-2</v>
      </c>
      <c r="CE34" s="1857">
        <f>'Total - Traffic %'!CE34</f>
        <v>1.9E-2</v>
      </c>
      <c r="CF34" s="1858">
        <f>'Total - Traffic %'!CF34</f>
        <v>8.9999999999999993E-3</v>
      </c>
      <c r="CG34" s="1859">
        <f>'Total - Traffic %'!CG34</f>
        <v>0.04</v>
      </c>
      <c r="CH34" s="1860">
        <f>'Total - Traffic %'!CH34</f>
        <v>1.2999999999999999E-2</v>
      </c>
      <c r="CI34" s="1859">
        <f>'Total - Traffic %'!CI34</f>
        <v>6.7000000000000004E-2</v>
      </c>
      <c r="CJ34" s="1861">
        <f>'Total - Traffic %'!CJ34</f>
        <v>4.2999999999999997E-2</v>
      </c>
      <c r="CK34" s="1860">
        <f>'Total - Traffic %'!CK34</f>
        <v>8.9999999999999993E-3</v>
      </c>
      <c r="CL34" s="1862">
        <f>'Total - Traffic %'!CL34</f>
        <v>0.23400000000000001</v>
      </c>
    </row>
    <row r="35" spans="1:90" s="1728" customFormat="1" ht="13.5" customHeight="1">
      <c r="A35" s="3842"/>
      <c r="B35" s="3843"/>
      <c r="C35" s="1741">
        <v>4</v>
      </c>
      <c r="D35" s="1856">
        <f>'Total - Traffic %'!D35</f>
        <v>0</v>
      </c>
      <c r="E35" s="1857">
        <f>'Total - Traffic %'!E35</f>
        <v>1.0999999999999999E-2</v>
      </c>
      <c r="F35" s="1858">
        <f>'Total - Traffic %'!F35</f>
        <v>4.0000000000000001E-3</v>
      </c>
      <c r="G35" s="1856">
        <f>'Total - Traffic %'!G35</f>
        <v>4.0000000000000001E-3</v>
      </c>
      <c r="H35" s="1857">
        <f>'Total - Traffic %'!H35</f>
        <v>1.2E-2</v>
      </c>
      <c r="I35" s="1858">
        <f>'Total - Traffic %'!I35</f>
        <v>8.0000000000000002E-3</v>
      </c>
      <c r="J35" s="1859">
        <f>'Total - Traffic %'!J35</f>
        <v>1.9E-2</v>
      </c>
      <c r="K35" s="1860">
        <f>'Total - Traffic %'!K35</f>
        <v>6.0000000000000001E-3</v>
      </c>
      <c r="L35" s="1859">
        <f>'Total - Traffic %'!L35</f>
        <v>7.0000000000000001E-3</v>
      </c>
      <c r="M35" s="1861">
        <f>'Total - Traffic %'!M35</f>
        <v>5.0000000000000001E-3</v>
      </c>
      <c r="N35" s="1860">
        <f>'Total - Traffic %'!N35</f>
        <v>3.0000000000000001E-3</v>
      </c>
      <c r="O35" s="1862">
        <f>'Total - Traffic %'!O35</f>
        <v>7.8E-2</v>
      </c>
      <c r="Q35" s="3825"/>
      <c r="R35" s="1741">
        <v>4</v>
      </c>
      <c r="S35" s="1856">
        <f>'Total - Traffic %'!S35</f>
        <v>0</v>
      </c>
      <c r="T35" s="1857">
        <f>'Total - Traffic %'!T35</f>
        <v>8.0000000000000002E-3</v>
      </c>
      <c r="U35" s="1858">
        <f>'Total - Traffic %'!U35</f>
        <v>3.0000000000000001E-3</v>
      </c>
      <c r="V35" s="1856">
        <f>'Total - Traffic %'!V35</f>
        <v>3.0000000000000001E-3</v>
      </c>
      <c r="W35" s="1857">
        <f>'Total - Traffic %'!W35</f>
        <v>1.0999999999999999E-2</v>
      </c>
      <c r="X35" s="1858">
        <f>'Total - Traffic %'!X35</f>
        <v>6.0000000000000001E-3</v>
      </c>
      <c r="Y35" s="1859">
        <f>'Total - Traffic %'!Y35</f>
        <v>1.7000000000000001E-2</v>
      </c>
      <c r="Z35" s="1860">
        <f>'Total - Traffic %'!Z35</f>
        <v>6.0000000000000001E-3</v>
      </c>
      <c r="AA35" s="1859">
        <f>'Total - Traffic %'!AA35</f>
        <v>6.0000000000000001E-3</v>
      </c>
      <c r="AB35" s="1861">
        <f>'Total - Traffic %'!AB35</f>
        <v>5.0000000000000001E-3</v>
      </c>
      <c r="AC35" s="1860">
        <f>'Total - Traffic %'!AC35</f>
        <v>3.0000000000000001E-3</v>
      </c>
      <c r="AD35" s="1862">
        <f>'Total - Traffic %'!AD35</f>
        <v>6.8000000000000005E-2</v>
      </c>
      <c r="AF35" s="3825"/>
      <c r="AG35" s="1741">
        <v>4</v>
      </c>
      <c r="AH35" s="1856">
        <f>'Total - Traffic %'!AH35</f>
        <v>0</v>
      </c>
      <c r="AI35" s="1857">
        <f>'Total - Traffic %'!AI35</f>
        <v>8.0000000000000002E-3</v>
      </c>
      <c r="AJ35" s="1858">
        <f>'Total - Traffic %'!AJ35</f>
        <v>2E-3</v>
      </c>
      <c r="AK35" s="1856">
        <f>'Total - Traffic %'!AK35</f>
        <v>4.0000000000000001E-3</v>
      </c>
      <c r="AL35" s="1857">
        <f>'Total - Traffic %'!AL35</f>
        <v>8.0000000000000002E-3</v>
      </c>
      <c r="AM35" s="1858">
        <f>'Total - Traffic %'!AM35</f>
        <v>5.0000000000000001E-3</v>
      </c>
      <c r="AN35" s="1859">
        <f>'Total - Traffic %'!AN35</f>
        <v>1.7999999999999999E-2</v>
      </c>
      <c r="AO35" s="1860">
        <f>'Total - Traffic %'!AO35</f>
        <v>5.0000000000000001E-3</v>
      </c>
      <c r="AP35" s="1859">
        <f>'Total - Traffic %'!AP35</f>
        <v>8.9999999999999993E-3</v>
      </c>
      <c r="AQ35" s="1861">
        <f>'Total - Traffic %'!AQ35</f>
        <v>7.0000000000000001E-3</v>
      </c>
      <c r="AR35" s="1860">
        <f>'Total - Traffic %'!AR35</f>
        <v>3.0000000000000001E-3</v>
      </c>
      <c r="AS35" s="1862">
        <f>'Total - Traffic %'!AS35</f>
        <v>7.0000000000000007E-2</v>
      </c>
      <c r="AU35" s="3825"/>
      <c r="AV35" s="1741">
        <v>4</v>
      </c>
      <c r="AW35" s="1856">
        <f>'Total - Traffic %'!AW35</f>
        <v>0</v>
      </c>
      <c r="AX35" s="1857">
        <f>'Total - Traffic %'!AX35</f>
        <v>8.9999999999999993E-3</v>
      </c>
      <c r="AY35" s="1858">
        <f>'Total - Traffic %'!AY35</f>
        <v>3.0000000000000001E-3</v>
      </c>
      <c r="AZ35" s="1856">
        <f>'Total - Traffic %'!AZ35</f>
        <v>7.0000000000000001E-3</v>
      </c>
      <c r="BA35" s="1857">
        <f>'Total - Traffic %'!BA35</f>
        <v>8.9999999999999993E-3</v>
      </c>
      <c r="BB35" s="1858">
        <f>'Total - Traffic %'!BB35</f>
        <v>5.0000000000000001E-3</v>
      </c>
      <c r="BC35" s="1859">
        <f>'Total - Traffic %'!BC35</f>
        <v>2.1000000000000001E-2</v>
      </c>
      <c r="BD35" s="1860">
        <f>'Total - Traffic %'!BD35</f>
        <v>5.0000000000000001E-3</v>
      </c>
      <c r="BE35" s="1859">
        <f>'Total - Traffic %'!BE35</f>
        <v>1.4999999999999999E-2</v>
      </c>
      <c r="BF35" s="1861">
        <f>'Total - Traffic %'!BF35</f>
        <v>8.9999999999999993E-3</v>
      </c>
      <c r="BG35" s="1860">
        <f>'Total - Traffic %'!BG35</f>
        <v>4.0000000000000001E-3</v>
      </c>
      <c r="BH35" s="1862">
        <f>'Total - Traffic %'!BH35</f>
        <v>8.6999999999999994E-2</v>
      </c>
      <c r="BJ35" s="3825"/>
      <c r="BK35" s="1741">
        <v>4</v>
      </c>
      <c r="BL35" s="1856">
        <f>'Total - Traffic %'!BL35</f>
        <v>0</v>
      </c>
      <c r="BM35" s="1857">
        <f>'Total - Traffic %'!BM35</f>
        <v>1.0999999999999999E-2</v>
      </c>
      <c r="BN35" s="1858">
        <f>'Total - Traffic %'!BN35</f>
        <v>3.0000000000000001E-3</v>
      </c>
      <c r="BO35" s="1856">
        <f>'Total - Traffic %'!BO35</f>
        <v>8.0000000000000002E-3</v>
      </c>
      <c r="BP35" s="1857">
        <f>'Total - Traffic %'!BP35</f>
        <v>0.01</v>
      </c>
      <c r="BQ35" s="1858">
        <f>'Total - Traffic %'!BQ35</f>
        <v>6.0000000000000001E-3</v>
      </c>
      <c r="BR35" s="1859">
        <f>'Total - Traffic %'!BR35</f>
        <v>2.3E-2</v>
      </c>
      <c r="BS35" s="1860">
        <f>'Total - Traffic %'!BS35</f>
        <v>5.0000000000000001E-3</v>
      </c>
      <c r="BT35" s="1859">
        <f>'Total - Traffic %'!BT35</f>
        <v>2.1000000000000001E-2</v>
      </c>
      <c r="BU35" s="1861">
        <f>'Total - Traffic %'!BU35</f>
        <v>1.0999999999999999E-2</v>
      </c>
      <c r="BV35" s="1860">
        <f>'Total - Traffic %'!BV35</f>
        <v>5.0000000000000001E-3</v>
      </c>
      <c r="BW35" s="1862">
        <f>'Total - Traffic %'!BW35</f>
        <v>0.10199999999999999</v>
      </c>
      <c r="BY35" s="3825"/>
      <c r="BZ35" s="1741">
        <v>4</v>
      </c>
      <c r="CA35" s="1856">
        <f>'Total - Traffic %'!CA35</f>
        <v>0</v>
      </c>
      <c r="CB35" s="1857">
        <f>'Total - Traffic %'!CB35</f>
        <v>1.0999999999999999E-2</v>
      </c>
      <c r="CC35" s="1858">
        <f>'Total - Traffic %'!CC35</f>
        <v>3.0000000000000001E-3</v>
      </c>
      <c r="CD35" s="1856">
        <f>'Total - Traffic %'!CD35</f>
        <v>0.01</v>
      </c>
      <c r="CE35" s="1857">
        <f>'Total - Traffic %'!CE35</f>
        <v>0.01</v>
      </c>
      <c r="CF35" s="1858">
        <f>'Total - Traffic %'!CF35</f>
        <v>6.0000000000000001E-3</v>
      </c>
      <c r="CG35" s="1859">
        <f>'Total - Traffic %'!CG35</f>
        <v>2.5000000000000001E-2</v>
      </c>
      <c r="CH35" s="1860">
        <f>'Total - Traffic %'!CH35</f>
        <v>6.0000000000000001E-3</v>
      </c>
      <c r="CI35" s="1859">
        <f>'Total - Traffic %'!CI35</f>
        <v>0.03</v>
      </c>
      <c r="CJ35" s="1861">
        <f>'Total - Traffic %'!CJ35</f>
        <v>1.2999999999999999E-2</v>
      </c>
      <c r="CK35" s="1860">
        <f>'Total - Traffic %'!CK35</f>
        <v>5.0000000000000001E-3</v>
      </c>
      <c r="CL35" s="1862">
        <f>'Total - Traffic %'!CL35</f>
        <v>0.11899999999999999</v>
      </c>
    </row>
    <row r="36" spans="1:90" s="1728" customFormat="1" ht="13.5" customHeight="1">
      <c r="A36" s="3842"/>
      <c r="B36" s="3843"/>
      <c r="C36" s="1749">
        <v>5</v>
      </c>
      <c r="D36" s="1856">
        <f>'Total - Traffic %'!D36</f>
        <v>0</v>
      </c>
      <c r="E36" s="1857">
        <f>'Total - Traffic %'!E36</f>
        <v>3.0000000000000001E-3</v>
      </c>
      <c r="F36" s="1858">
        <f>'Total - Traffic %'!F36</f>
        <v>1E-3</v>
      </c>
      <c r="G36" s="1856">
        <f>'Total - Traffic %'!G36</f>
        <v>0</v>
      </c>
      <c r="H36" s="1857">
        <f>'Total - Traffic %'!H36</f>
        <v>0</v>
      </c>
      <c r="I36" s="1858">
        <f>'Total - Traffic %'!I36</f>
        <v>1E-3</v>
      </c>
      <c r="J36" s="1859">
        <f>'Total - Traffic %'!J36</f>
        <v>4.0000000000000001E-3</v>
      </c>
      <c r="K36" s="1860">
        <f>'Total - Traffic %'!K36</f>
        <v>0</v>
      </c>
      <c r="L36" s="1859">
        <f>'Total - Traffic %'!L36</f>
        <v>0</v>
      </c>
      <c r="M36" s="1861">
        <f>'Total - Traffic %'!M36</f>
        <v>0</v>
      </c>
      <c r="N36" s="1860">
        <f>'Total - Traffic %'!N36</f>
        <v>2E-3</v>
      </c>
      <c r="O36" s="1862">
        <f>'Total - Traffic %'!O36</f>
        <v>1.2E-2</v>
      </c>
      <c r="Q36" s="3825"/>
      <c r="R36" s="1749">
        <v>5</v>
      </c>
      <c r="S36" s="1856">
        <f>'Total - Traffic %'!S36</f>
        <v>0</v>
      </c>
      <c r="T36" s="1857">
        <f>'Total - Traffic %'!T36</f>
        <v>7.0000000000000001E-3</v>
      </c>
      <c r="U36" s="1858">
        <f>'Total - Traffic %'!U36</f>
        <v>2E-3</v>
      </c>
      <c r="V36" s="1856">
        <f>'Total - Traffic %'!V36</f>
        <v>0</v>
      </c>
      <c r="W36" s="1857">
        <f>'Total - Traffic %'!W36</f>
        <v>2E-3</v>
      </c>
      <c r="X36" s="1858">
        <f>'Total - Traffic %'!X36</f>
        <v>3.0000000000000001E-3</v>
      </c>
      <c r="Y36" s="1859">
        <f>'Total - Traffic %'!Y36</f>
        <v>8.0000000000000002E-3</v>
      </c>
      <c r="Z36" s="1860">
        <f>'Total - Traffic %'!Z36</f>
        <v>0</v>
      </c>
      <c r="AA36" s="1859">
        <f>'Total - Traffic %'!AA36</f>
        <v>0</v>
      </c>
      <c r="AB36" s="1861">
        <f>'Total - Traffic %'!AB36</f>
        <v>1E-3</v>
      </c>
      <c r="AC36" s="1860">
        <f>'Total - Traffic %'!AC36</f>
        <v>2E-3</v>
      </c>
      <c r="AD36" s="1862">
        <f>'Total - Traffic %'!AD36</f>
        <v>2.5000000000000001E-2</v>
      </c>
      <c r="AF36" s="3825"/>
      <c r="AG36" s="1749">
        <v>5</v>
      </c>
      <c r="AH36" s="1856">
        <f>'Total - Traffic %'!AH36</f>
        <v>0</v>
      </c>
      <c r="AI36" s="1857">
        <f>'Total - Traffic %'!AI36</f>
        <v>8.9999999999999993E-3</v>
      </c>
      <c r="AJ36" s="1858">
        <f>'Total - Traffic %'!AJ36</f>
        <v>3.0000000000000001E-3</v>
      </c>
      <c r="AK36" s="1856">
        <f>'Total - Traffic %'!AK36</f>
        <v>0</v>
      </c>
      <c r="AL36" s="1857">
        <f>'Total - Traffic %'!AL36</f>
        <v>6.0000000000000001E-3</v>
      </c>
      <c r="AM36" s="1858">
        <f>'Total - Traffic %'!AM36</f>
        <v>5.0000000000000001E-3</v>
      </c>
      <c r="AN36" s="1859">
        <f>'Total - Traffic %'!AN36</f>
        <v>0.01</v>
      </c>
      <c r="AO36" s="1860">
        <f>'Total - Traffic %'!AO36</f>
        <v>3.0000000000000001E-3</v>
      </c>
      <c r="AP36" s="1859">
        <f>'Total - Traffic %'!AP36</f>
        <v>0</v>
      </c>
      <c r="AQ36" s="1861">
        <f>'Total - Traffic %'!AQ36</f>
        <v>1E-3</v>
      </c>
      <c r="AR36" s="1860">
        <f>'Total - Traffic %'!AR36</f>
        <v>2E-3</v>
      </c>
      <c r="AS36" s="1862">
        <f>'Total - Traffic %'!AS36</f>
        <v>3.9E-2</v>
      </c>
      <c r="AU36" s="3825"/>
      <c r="AV36" s="1749">
        <v>5</v>
      </c>
      <c r="AW36" s="1856">
        <f>'Total - Traffic %'!AW36</f>
        <v>0</v>
      </c>
      <c r="AX36" s="1857">
        <f>'Total - Traffic %'!AX36</f>
        <v>0.01</v>
      </c>
      <c r="AY36" s="1858">
        <f>'Total - Traffic %'!AY36</f>
        <v>4.0000000000000001E-3</v>
      </c>
      <c r="AZ36" s="1856">
        <f>'Total - Traffic %'!AZ36</f>
        <v>0</v>
      </c>
      <c r="BA36" s="1857">
        <f>'Total - Traffic %'!BA36</f>
        <v>6.0000000000000001E-3</v>
      </c>
      <c r="BB36" s="1858">
        <f>'Total - Traffic %'!BB36</f>
        <v>6.0000000000000001E-3</v>
      </c>
      <c r="BC36" s="1859">
        <f>'Total - Traffic %'!BC36</f>
        <v>1.2E-2</v>
      </c>
      <c r="BD36" s="1860">
        <f>'Total - Traffic %'!BD36</f>
        <v>3.0000000000000001E-3</v>
      </c>
      <c r="BE36" s="1859">
        <f>'Total - Traffic %'!BE36</f>
        <v>1E-3</v>
      </c>
      <c r="BF36" s="1861">
        <f>'Total - Traffic %'!BF36</f>
        <v>1E-3</v>
      </c>
      <c r="BG36" s="1860">
        <f>'Total - Traffic %'!BG36</f>
        <v>2E-3</v>
      </c>
      <c r="BH36" s="1862">
        <f>'Total - Traffic %'!BH36</f>
        <v>4.4999999999999998E-2</v>
      </c>
      <c r="BJ36" s="3825"/>
      <c r="BK36" s="1749">
        <v>5</v>
      </c>
      <c r="BL36" s="1856">
        <f>'Total - Traffic %'!BL36</f>
        <v>0</v>
      </c>
      <c r="BM36" s="1857">
        <f>'Total - Traffic %'!BM36</f>
        <v>1.0999999999999999E-2</v>
      </c>
      <c r="BN36" s="1858">
        <f>'Total - Traffic %'!BN36</f>
        <v>4.0000000000000001E-3</v>
      </c>
      <c r="BO36" s="1856">
        <f>'Total - Traffic %'!BO36</f>
        <v>0</v>
      </c>
      <c r="BP36" s="1857">
        <f>'Total - Traffic %'!BP36</f>
        <v>7.0000000000000001E-3</v>
      </c>
      <c r="BQ36" s="1858">
        <f>'Total - Traffic %'!BQ36</f>
        <v>6.0000000000000001E-3</v>
      </c>
      <c r="BR36" s="1859">
        <f>'Total - Traffic %'!BR36</f>
        <v>1.2999999999999999E-2</v>
      </c>
      <c r="BS36" s="1860">
        <f>'Total - Traffic %'!BS36</f>
        <v>3.0000000000000001E-3</v>
      </c>
      <c r="BT36" s="1859">
        <f>'Total - Traffic %'!BT36</f>
        <v>1E-3</v>
      </c>
      <c r="BU36" s="1861">
        <f>'Total - Traffic %'!BU36</f>
        <v>1E-3</v>
      </c>
      <c r="BV36" s="1860">
        <f>'Total - Traffic %'!BV36</f>
        <v>3.0000000000000001E-3</v>
      </c>
      <c r="BW36" s="1862">
        <f>'Total - Traffic %'!BW36</f>
        <v>4.9000000000000002E-2</v>
      </c>
      <c r="BY36" s="3825"/>
      <c r="BZ36" s="1749">
        <v>5</v>
      </c>
      <c r="CA36" s="1856">
        <f>'Total - Traffic %'!CA36</f>
        <v>0</v>
      </c>
      <c r="CB36" s="1857">
        <f>'Total - Traffic %'!CB36</f>
        <v>1.2E-2</v>
      </c>
      <c r="CC36" s="1858">
        <f>'Total - Traffic %'!CC36</f>
        <v>4.0000000000000001E-3</v>
      </c>
      <c r="CD36" s="1856">
        <f>'Total - Traffic %'!CD36</f>
        <v>1E-3</v>
      </c>
      <c r="CE36" s="1857">
        <f>'Total - Traffic %'!CE36</f>
        <v>8.0000000000000002E-3</v>
      </c>
      <c r="CF36" s="1858">
        <f>'Total - Traffic %'!CF36</f>
        <v>7.0000000000000001E-3</v>
      </c>
      <c r="CG36" s="1859">
        <f>'Total - Traffic %'!CG36</f>
        <v>1.4999999999999999E-2</v>
      </c>
      <c r="CH36" s="1860">
        <f>'Total - Traffic %'!CH36</f>
        <v>3.0000000000000001E-3</v>
      </c>
      <c r="CI36" s="1859">
        <f>'Total - Traffic %'!CI36</f>
        <v>1E-3</v>
      </c>
      <c r="CJ36" s="1861">
        <f>'Total - Traffic %'!CJ36</f>
        <v>2E-3</v>
      </c>
      <c r="CK36" s="1860">
        <f>'Total - Traffic %'!CK36</f>
        <v>3.0000000000000001E-3</v>
      </c>
      <c r="CL36" s="1862">
        <f>'Total - Traffic %'!CL36</f>
        <v>5.5E-2</v>
      </c>
    </row>
    <row r="37" spans="1:90" s="1728" customFormat="1" ht="13.5" customHeight="1" thickBot="1">
      <c r="A37" s="3844"/>
      <c r="B37" s="3845"/>
      <c r="C37" s="1750" t="s">
        <v>1422</v>
      </c>
      <c r="D37" s="1863">
        <f>'Total - Traffic %'!D37</f>
        <v>3.0000000000000001E-3</v>
      </c>
      <c r="E37" s="1864">
        <f>'Total - Traffic %'!E37</f>
        <v>3.7999999999999999E-2</v>
      </c>
      <c r="F37" s="1865">
        <f>'Total - Traffic %'!F37</f>
        <v>2.8000000000000001E-2</v>
      </c>
      <c r="G37" s="1863">
        <f>'Total - Traffic %'!G37</f>
        <v>4.4999999999999998E-2</v>
      </c>
      <c r="H37" s="1864">
        <f>'Total - Traffic %'!H37</f>
        <v>0.06</v>
      </c>
      <c r="I37" s="1865">
        <f>'Total - Traffic %'!I37</f>
        <v>7.0000000000000007E-2</v>
      </c>
      <c r="J37" s="1866">
        <f>'Total - Traffic %'!J37</f>
        <v>0.125</v>
      </c>
      <c r="K37" s="1867">
        <f>'Total - Traffic %'!K37</f>
        <v>0.13</v>
      </c>
      <c r="L37" s="1866">
        <f>'Total - Traffic %'!L37</f>
        <v>0.14599999999999999</v>
      </c>
      <c r="M37" s="1868">
        <f>'Total - Traffic %'!M37</f>
        <v>0.22</v>
      </c>
      <c r="N37" s="1867">
        <f>'Total - Traffic %'!N37</f>
        <v>0.13600000000000001</v>
      </c>
      <c r="O37" s="1869">
        <f>'Total - Traffic %'!O37</f>
        <v>1</v>
      </c>
      <c r="Q37" s="3826"/>
      <c r="R37" s="1750" t="s">
        <v>1422</v>
      </c>
      <c r="S37" s="1863">
        <f>'Total - Traffic %'!S37</f>
        <v>3.0000000000000001E-3</v>
      </c>
      <c r="T37" s="1864">
        <f>'Total - Traffic %'!T37</f>
        <v>3.7999999999999999E-2</v>
      </c>
      <c r="U37" s="1865">
        <f>'Total - Traffic %'!U37</f>
        <v>2.7E-2</v>
      </c>
      <c r="V37" s="1863">
        <f>'Total - Traffic %'!V37</f>
        <v>4.4999999999999998E-2</v>
      </c>
      <c r="W37" s="1864">
        <f>'Total - Traffic %'!W37</f>
        <v>5.8999999999999997E-2</v>
      </c>
      <c r="X37" s="1865">
        <f>'Total - Traffic %'!X37</f>
        <v>7.0000000000000007E-2</v>
      </c>
      <c r="Y37" s="1866">
        <f>'Total - Traffic %'!Y37</f>
        <v>0.125</v>
      </c>
      <c r="Z37" s="1867">
        <f>'Total - Traffic %'!Z37</f>
        <v>0.129</v>
      </c>
      <c r="AA37" s="1866">
        <f>'Total - Traffic %'!AA37</f>
        <v>0.14699999999999999</v>
      </c>
      <c r="AB37" s="1868">
        <f>'Total - Traffic %'!AB37</f>
        <v>0.221</v>
      </c>
      <c r="AC37" s="1867">
        <f>'Total - Traffic %'!AC37</f>
        <v>0.13600000000000001</v>
      </c>
      <c r="AD37" s="1869">
        <f>'Total - Traffic %'!AD37</f>
        <v>1</v>
      </c>
      <c r="AF37" s="3826"/>
      <c r="AG37" s="1750" t="s">
        <v>1422</v>
      </c>
      <c r="AH37" s="1863">
        <f>'Total - Traffic %'!AH37</f>
        <v>3.0000000000000001E-3</v>
      </c>
      <c r="AI37" s="1864">
        <f>'Total - Traffic %'!AI37</f>
        <v>3.7999999999999999E-2</v>
      </c>
      <c r="AJ37" s="1865">
        <f>'Total - Traffic %'!AJ37</f>
        <v>2.7E-2</v>
      </c>
      <c r="AK37" s="1863">
        <f>'Total - Traffic %'!AK37</f>
        <v>4.4999999999999998E-2</v>
      </c>
      <c r="AL37" s="1864">
        <f>'Total - Traffic %'!AL37</f>
        <v>5.8999999999999997E-2</v>
      </c>
      <c r="AM37" s="1865">
        <f>'Total - Traffic %'!AM37</f>
        <v>6.9000000000000006E-2</v>
      </c>
      <c r="AN37" s="1866">
        <f>'Total - Traffic %'!AN37</f>
        <v>0.124</v>
      </c>
      <c r="AO37" s="1867">
        <f>'Total - Traffic %'!AO37</f>
        <v>0.128</v>
      </c>
      <c r="AP37" s="1866">
        <f>'Total - Traffic %'!AP37</f>
        <v>0.14799999999999999</v>
      </c>
      <c r="AQ37" s="1868">
        <f>'Total - Traffic %'!AQ37</f>
        <v>0.222</v>
      </c>
      <c r="AR37" s="1867">
        <f>'Total - Traffic %'!AR37</f>
        <v>0.13600000000000001</v>
      </c>
      <c r="AS37" s="1869">
        <f>'Total - Traffic %'!AS37</f>
        <v>1</v>
      </c>
      <c r="AU37" s="3826"/>
      <c r="AV37" s="1750" t="s">
        <v>1422</v>
      </c>
      <c r="AW37" s="1863">
        <f>'Total - Traffic %'!AW37</f>
        <v>3.0000000000000001E-3</v>
      </c>
      <c r="AX37" s="1864">
        <f>'Total - Traffic %'!AX37</f>
        <v>3.7999999999999999E-2</v>
      </c>
      <c r="AY37" s="1865">
        <f>'Total - Traffic %'!AY37</f>
        <v>2.7E-2</v>
      </c>
      <c r="AZ37" s="1863">
        <f>'Total - Traffic %'!AZ37</f>
        <v>4.4999999999999998E-2</v>
      </c>
      <c r="BA37" s="1864">
        <f>'Total - Traffic %'!BA37</f>
        <v>5.8999999999999997E-2</v>
      </c>
      <c r="BB37" s="1865">
        <f>'Total - Traffic %'!BB37</f>
        <v>6.9000000000000006E-2</v>
      </c>
      <c r="BC37" s="1866">
        <f>'Total - Traffic %'!BC37</f>
        <v>0.123</v>
      </c>
      <c r="BD37" s="1867">
        <f>'Total - Traffic %'!BD37</f>
        <v>0.127</v>
      </c>
      <c r="BE37" s="1866">
        <f>'Total - Traffic %'!BE37</f>
        <v>0.15</v>
      </c>
      <c r="BF37" s="1868">
        <f>'Total - Traffic %'!BF37</f>
        <v>0.223</v>
      </c>
      <c r="BG37" s="1867">
        <f>'Total - Traffic %'!BG37</f>
        <v>0.13600000000000001</v>
      </c>
      <c r="BH37" s="1869">
        <f>'Total - Traffic %'!BH37</f>
        <v>1</v>
      </c>
      <c r="BJ37" s="3826"/>
      <c r="BK37" s="1750" t="s">
        <v>1422</v>
      </c>
      <c r="BL37" s="1863">
        <f>'Total - Traffic %'!BL37</f>
        <v>3.0000000000000001E-3</v>
      </c>
      <c r="BM37" s="1864">
        <f>'Total - Traffic %'!BM37</f>
        <v>3.7999999999999999E-2</v>
      </c>
      <c r="BN37" s="1865">
        <f>'Total - Traffic %'!BN37</f>
        <v>2.7E-2</v>
      </c>
      <c r="BO37" s="1863">
        <f>'Total - Traffic %'!BO37</f>
        <v>4.5999999999999999E-2</v>
      </c>
      <c r="BP37" s="1864">
        <f>'Total - Traffic %'!BP37</f>
        <v>5.8999999999999997E-2</v>
      </c>
      <c r="BQ37" s="1865">
        <f>'Total - Traffic %'!BQ37</f>
        <v>6.9000000000000006E-2</v>
      </c>
      <c r="BR37" s="1866">
        <f>'Total - Traffic %'!BR37</f>
        <v>0.122</v>
      </c>
      <c r="BS37" s="1867">
        <f>'Total - Traffic %'!BS37</f>
        <v>0.127</v>
      </c>
      <c r="BT37" s="1866">
        <f>'Total - Traffic %'!BT37</f>
        <v>0.151</v>
      </c>
      <c r="BU37" s="1868">
        <f>'Total - Traffic %'!BU37</f>
        <v>0.223</v>
      </c>
      <c r="BV37" s="1867">
        <f>'Total - Traffic %'!BV37</f>
        <v>0.13600000000000001</v>
      </c>
      <c r="BW37" s="1869">
        <f>'Total - Traffic %'!BW37</f>
        <v>1</v>
      </c>
      <c r="BY37" s="3826"/>
      <c r="BZ37" s="1750" t="s">
        <v>1422</v>
      </c>
      <c r="CA37" s="1863">
        <f>'Total - Traffic %'!CA37</f>
        <v>3.0000000000000001E-3</v>
      </c>
      <c r="CB37" s="1864">
        <f>'Total - Traffic %'!CB37</f>
        <v>3.7999999999999999E-2</v>
      </c>
      <c r="CC37" s="1865">
        <f>'Total - Traffic %'!CC37</f>
        <v>2.7E-2</v>
      </c>
      <c r="CD37" s="1863">
        <f>'Total - Traffic %'!CD37</f>
        <v>4.5999999999999999E-2</v>
      </c>
      <c r="CE37" s="1864">
        <f>'Total - Traffic %'!CE37</f>
        <v>5.8000000000000003E-2</v>
      </c>
      <c r="CF37" s="1865">
        <f>'Total - Traffic %'!CF37</f>
        <v>6.9000000000000006E-2</v>
      </c>
      <c r="CG37" s="1866">
        <f>'Total - Traffic %'!CG37</f>
        <v>0.122</v>
      </c>
      <c r="CH37" s="1867">
        <f>'Total - Traffic %'!CH37</f>
        <v>0.127</v>
      </c>
      <c r="CI37" s="1866">
        <f>'Total - Traffic %'!CI37</f>
        <v>0.151</v>
      </c>
      <c r="CJ37" s="1868">
        <f>'Total - Traffic %'!CJ37</f>
        <v>0.222</v>
      </c>
      <c r="CK37" s="1867">
        <f>'Total - Traffic %'!CK37</f>
        <v>0.13700000000000001</v>
      </c>
      <c r="CL37" s="1869">
        <f>'Total - Traffic %'!CL37</f>
        <v>1</v>
      </c>
    </row>
    <row r="38" spans="1:90" s="1728" customFormat="1" ht="13.5" customHeight="1" thickTop="1">
      <c r="A38" s="3840" t="s">
        <v>858</v>
      </c>
      <c r="B38" s="3841"/>
      <c r="C38" s="1733">
        <v>1</v>
      </c>
      <c r="D38" s="1849">
        <f>'Total - Traffic %'!D38</f>
        <v>1E-3</v>
      </c>
      <c r="E38" s="1850">
        <f>'Total - Traffic %'!E38</f>
        <v>4.0000000000000001E-3</v>
      </c>
      <c r="F38" s="1851">
        <f>'Total - Traffic %'!F38</f>
        <v>1.2E-2</v>
      </c>
      <c r="G38" s="1849">
        <f>'Total - Traffic %'!G38</f>
        <v>7.0000000000000001E-3</v>
      </c>
      <c r="H38" s="1850">
        <f>'Total - Traffic %'!H38</f>
        <v>1.2E-2</v>
      </c>
      <c r="I38" s="1851">
        <f>'Total - Traffic %'!I38</f>
        <v>0.04</v>
      </c>
      <c r="J38" s="1852">
        <f>'Total - Traffic %'!J38</f>
        <v>2.1999999999999999E-2</v>
      </c>
      <c r="K38" s="1853">
        <f>'Total - Traffic %'!K38</f>
        <v>8.2000000000000003E-2</v>
      </c>
      <c r="L38" s="1852">
        <f>'Total - Traffic %'!L38</f>
        <v>2.5999999999999999E-2</v>
      </c>
      <c r="M38" s="1854">
        <f>'Total - Traffic %'!M38</f>
        <v>9.5000000000000001E-2</v>
      </c>
      <c r="N38" s="1853">
        <f>'Total - Traffic %'!N38</f>
        <v>0.10299999999999999</v>
      </c>
      <c r="O38" s="1855">
        <f>'Total - Traffic %'!O38</f>
        <v>0.40400000000000003</v>
      </c>
      <c r="Q38" s="3824" t="s">
        <v>858</v>
      </c>
      <c r="R38" s="1733">
        <v>1</v>
      </c>
      <c r="S38" s="1849">
        <f>'Total - Traffic %'!S38</f>
        <v>1E-3</v>
      </c>
      <c r="T38" s="1850">
        <f>'Total - Traffic %'!T38</f>
        <v>4.0000000000000001E-3</v>
      </c>
      <c r="U38" s="1851">
        <f>'Total - Traffic %'!U38</f>
        <v>1.2E-2</v>
      </c>
      <c r="V38" s="1849">
        <f>'Total - Traffic %'!V38</f>
        <v>7.0000000000000001E-3</v>
      </c>
      <c r="W38" s="1850">
        <f>'Total - Traffic %'!W38</f>
        <v>1.2E-2</v>
      </c>
      <c r="X38" s="1851">
        <f>'Total - Traffic %'!X38</f>
        <v>3.9E-2</v>
      </c>
      <c r="Y38" s="1852">
        <f>'Total - Traffic %'!Y38</f>
        <v>2.1000000000000001E-2</v>
      </c>
      <c r="Z38" s="1853">
        <f>'Total - Traffic %'!Z38</f>
        <v>8.2000000000000003E-2</v>
      </c>
      <c r="AA38" s="1852">
        <f>'Total - Traffic %'!AA38</f>
        <v>2.5999999999999999E-2</v>
      </c>
      <c r="AB38" s="1854">
        <f>'Total - Traffic %'!AB38</f>
        <v>9.5000000000000001E-2</v>
      </c>
      <c r="AC38" s="1853">
        <f>'Total - Traffic %'!AC38</f>
        <v>0.10299999999999999</v>
      </c>
      <c r="AD38" s="1855">
        <f>'Total - Traffic %'!AD38</f>
        <v>0.40200000000000002</v>
      </c>
      <c r="AF38" s="3824" t="s">
        <v>858</v>
      </c>
      <c r="AG38" s="1733">
        <v>1</v>
      </c>
      <c r="AH38" s="1849">
        <f>'Total - Traffic %'!AH38</f>
        <v>0</v>
      </c>
      <c r="AI38" s="1850">
        <f>'Total - Traffic %'!AI38</f>
        <v>3.0000000000000001E-3</v>
      </c>
      <c r="AJ38" s="1851">
        <f>'Total - Traffic %'!AJ38</f>
        <v>1.0999999999999999E-2</v>
      </c>
      <c r="AK38" s="1849">
        <f>'Total - Traffic %'!AK38</f>
        <v>6.0000000000000001E-3</v>
      </c>
      <c r="AL38" s="1850">
        <f>'Total - Traffic %'!AL38</f>
        <v>0.01</v>
      </c>
      <c r="AM38" s="1851">
        <f>'Total - Traffic %'!AM38</f>
        <v>3.7999999999999999E-2</v>
      </c>
      <c r="AN38" s="1852">
        <f>'Total - Traffic %'!AN38</f>
        <v>1.7999999999999999E-2</v>
      </c>
      <c r="AO38" s="1853">
        <f>'Total - Traffic %'!AO38</f>
        <v>0.08</v>
      </c>
      <c r="AP38" s="1852">
        <f>'Total - Traffic %'!AP38</f>
        <v>2.1000000000000001E-2</v>
      </c>
      <c r="AQ38" s="1854">
        <f>'Total - Traffic %'!AQ38</f>
        <v>7.8E-2</v>
      </c>
      <c r="AR38" s="1853">
        <f>'Total - Traffic %'!AR38</f>
        <v>9.8000000000000004E-2</v>
      </c>
      <c r="AS38" s="1855">
        <f>'Total - Traffic %'!AS38</f>
        <v>0.36399999999999999</v>
      </c>
      <c r="AU38" s="3824" t="s">
        <v>858</v>
      </c>
      <c r="AV38" s="1733">
        <v>1</v>
      </c>
      <c r="AW38" s="1849">
        <f>'Total - Traffic %'!AW38</f>
        <v>0</v>
      </c>
      <c r="AX38" s="1850">
        <f>'Total - Traffic %'!AX38</f>
        <v>3.0000000000000001E-3</v>
      </c>
      <c r="AY38" s="1851">
        <f>'Total - Traffic %'!AY38</f>
        <v>0.01</v>
      </c>
      <c r="AZ38" s="1849">
        <f>'Total - Traffic %'!AZ38</f>
        <v>5.0000000000000001E-3</v>
      </c>
      <c r="BA38" s="1850">
        <f>'Total - Traffic %'!BA38</f>
        <v>8.9999999999999993E-3</v>
      </c>
      <c r="BB38" s="1851">
        <f>'Total - Traffic %'!BB38</f>
        <v>3.5000000000000003E-2</v>
      </c>
      <c r="BC38" s="1852">
        <f>'Total - Traffic %'!BC38</f>
        <v>1.6E-2</v>
      </c>
      <c r="BD38" s="1853">
        <f>'Total - Traffic %'!BD38</f>
        <v>7.5999999999999998E-2</v>
      </c>
      <c r="BE38" s="1852">
        <f>'Total - Traffic %'!BE38</f>
        <v>1.9E-2</v>
      </c>
      <c r="BF38" s="1854">
        <f>'Total - Traffic %'!BF38</f>
        <v>7.4999999999999997E-2</v>
      </c>
      <c r="BG38" s="1853">
        <f>'Total - Traffic %'!BG38</f>
        <v>9.7000000000000003E-2</v>
      </c>
      <c r="BH38" s="1855">
        <f>'Total - Traffic %'!BH38</f>
        <v>0.34599999999999997</v>
      </c>
      <c r="BJ38" s="3824" t="s">
        <v>858</v>
      </c>
      <c r="BK38" s="1733">
        <v>1</v>
      </c>
      <c r="BL38" s="1849">
        <f>'Total - Traffic %'!BL38</f>
        <v>0</v>
      </c>
      <c r="BM38" s="1850">
        <f>'Total - Traffic %'!BM38</f>
        <v>2E-3</v>
      </c>
      <c r="BN38" s="1851">
        <f>'Total - Traffic %'!BN38</f>
        <v>0.01</v>
      </c>
      <c r="BO38" s="1849">
        <f>'Total - Traffic %'!BO38</f>
        <v>5.0000000000000001E-3</v>
      </c>
      <c r="BP38" s="1850">
        <f>'Total - Traffic %'!BP38</f>
        <v>8.0000000000000002E-3</v>
      </c>
      <c r="BQ38" s="1851">
        <f>'Total - Traffic %'!BQ38</f>
        <v>3.4000000000000002E-2</v>
      </c>
      <c r="BR38" s="1852">
        <f>'Total - Traffic %'!BR38</f>
        <v>1.6E-2</v>
      </c>
      <c r="BS38" s="1853">
        <f>'Total - Traffic %'!BS38</f>
        <v>7.2999999999999995E-2</v>
      </c>
      <c r="BT38" s="1852">
        <f>'Total - Traffic %'!BT38</f>
        <v>1.9E-2</v>
      </c>
      <c r="BU38" s="1854">
        <f>'Total - Traffic %'!BU38</f>
        <v>7.1999999999999995E-2</v>
      </c>
      <c r="BV38" s="1853">
        <f>'Total - Traffic %'!BV38</f>
        <v>9.6000000000000002E-2</v>
      </c>
      <c r="BW38" s="1855">
        <f>'Total - Traffic %'!BW38</f>
        <v>0.33600000000000002</v>
      </c>
      <c r="BY38" s="3824" t="s">
        <v>858</v>
      </c>
      <c r="BZ38" s="1733">
        <v>1</v>
      </c>
      <c r="CA38" s="1849">
        <f>'Total - Traffic %'!CA38</f>
        <v>0</v>
      </c>
      <c r="CB38" s="1850">
        <f>'Total - Traffic %'!CB38</f>
        <v>2E-3</v>
      </c>
      <c r="CC38" s="1851">
        <f>'Total - Traffic %'!CC38</f>
        <v>0.01</v>
      </c>
      <c r="CD38" s="1849">
        <f>'Total - Traffic %'!CD38</f>
        <v>5.0000000000000001E-3</v>
      </c>
      <c r="CE38" s="1850">
        <f>'Total - Traffic %'!CE38</f>
        <v>8.0000000000000002E-3</v>
      </c>
      <c r="CF38" s="1851">
        <f>'Total - Traffic %'!CF38</f>
        <v>3.3000000000000002E-2</v>
      </c>
      <c r="CG38" s="1852">
        <f>'Total - Traffic %'!CG38</f>
        <v>1.4999999999999999E-2</v>
      </c>
      <c r="CH38" s="1853">
        <f>'Total - Traffic %'!CH38</f>
        <v>7.1999999999999995E-2</v>
      </c>
      <c r="CI38" s="1852">
        <f>'Total - Traffic %'!CI38</f>
        <v>1.7000000000000001E-2</v>
      </c>
      <c r="CJ38" s="1854">
        <f>'Total - Traffic %'!CJ38</f>
        <v>6.3E-2</v>
      </c>
      <c r="CK38" s="1853">
        <f>'Total - Traffic %'!CK38</f>
        <v>9.1999999999999998E-2</v>
      </c>
      <c r="CL38" s="1855">
        <f>'Total - Traffic %'!CL38</f>
        <v>0.316</v>
      </c>
    </row>
    <row r="39" spans="1:90" s="1728" customFormat="1" ht="13.5" customHeight="1">
      <c r="A39" s="3842"/>
      <c r="B39" s="3843"/>
      <c r="C39" s="1741">
        <v>2</v>
      </c>
      <c r="D39" s="1856">
        <f>'Total - Traffic %'!D39</f>
        <v>2E-3</v>
      </c>
      <c r="E39" s="1857">
        <f>'Total - Traffic %'!E39</f>
        <v>0.01</v>
      </c>
      <c r="F39" s="1858">
        <f>'Total - Traffic %'!F39</f>
        <v>8.0000000000000002E-3</v>
      </c>
      <c r="G39" s="1856">
        <f>'Total - Traffic %'!G39</f>
        <v>1.7999999999999999E-2</v>
      </c>
      <c r="H39" s="1857">
        <f>'Total - Traffic %'!H39</f>
        <v>2.1999999999999999E-2</v>
      </c>
      <c r="I39" s="1858">
        <f>'Total - Traffic %'!I39</f>
        <v>1.7000000000000001E-2</v>
      </c>
      <c r="J39" s="1859">
        <f>'Total - Traffic %'!J39</f>
        <v>4.3999999999999997E-2</v>
      </c>
      <c r="K39" s="1860">
        <f>'Total - Traffic %'!K39</f>
        <v>0.03</v>
      </c>
      <c r="L39" s="1859">
        <f>'Total - Traffic %'!L39</f>
        <v>6.9000000000000006E-2</v>
      </c>
      <c r="M39" s="1861">
        <f>'Total - Traffic %'!M39</f>
        <v>8.7999999999999995E-2</v>
      </c>
      <c r="N39" s="1860">
        <f>'Total - Traffic %'!N39</f>
        <v>1.6E-2</v>
      </c>
      <c r="O39" s="1862">
        <f>'Total - Traffic %'!O39</f>
        <v>0.32400000000000001</v>
      </c>
      <c r="Q39" s="3825"/>
      <c r="R39" s="1741">
        <v>2</v>
      </c>
      <c r="S39" s="1856">
        <f>'Total - Traffic %'!S39</f>
        <v>2E-3</v>
      </c>
      <c r="T39" s="1857">
        <f>'Total - Traffic %'!T39</f>
        <v>8.9999999999999993E-3</v>
      </c>
      <c r="U39" s="1858">
        <f>'Total - Traffic %'!U39</f>
        <v>8.0000000000000002E-3</v>
      </c>
      <c r="V39" s="1856">
        <f>'Total - Traffic %'!V39</f>
        <v>1.7999999999999999E-2</v>
      </c>
      <c r="W39" s="1857">
        <f>'Total - Traffic %'!W39</f>
        <v>2.1000000000000001E-2</v>
      </c>
      <c r="X39" s="1858">
        <f>'Total - Traffic %'!X39</f>
        <v>1.7000000000000001E-2</v>
      </c>
      <c r="Y39" s="1859">
        <f>'Total - Traffic %'!Y39</f>
        <v>4.2000000000000003E-2</v>
      </c>
      <c r="Z39" s="1860">
        <f>'Total - Traffic %'!Z39</f>
        <v>0.03</v>
      </c>
      <c r="AA39" s="1859">
        <f>'Total - Traffic %'!AA39</f>
        <v>6.8000000000000005E-2</v>
      </c>
      <c r="AB39" s="1861">
        <f>'Total - Traffic %'!AB39</f>
        <v>8.6999999999999994E-2</v>
      </c>
      <c r="AC39" s="1860">
        <f>'Total - Traffic %'!AC39</f>
        <v>1.6E-2</v>
      </c>
      <c r="AD39" s="1862">
        <f>'Total - Traffic %'!AD39</f>
        <v>0.317</v>
      </c>
      <c r="AF39" s="3825"/>
      <c r="AG39" s="1741">
        <v>2</v>
      </c>
      <c r="AH39" s="1856">
        <f>'Total - Traffic %'!AH39</f>
        <v>2E-3</v>
      </c>
      <c r="AI39" s="1857">
        <f>'Total - Traffic %'!AI39</f>
        <v>8.0000000000000002E-3</v>
      </c>
      <c r="AJ39" s="1858">
        <f>'Total - Traffic %'!AJ39</f>
        <v>8.0000000000000002E-3</v>
      </c>
      <c r="AK39" s="1856">
        <f>'Total - Traffic %'!AK39</f>
        <v>1.6E-2</v>
      </c>
      <c r="AL39" s="1857">
        <f>'Total - Traffic %'!AL39</f>
        <v>1.9E-2</v>
      </c>
      <c r="AM39" s="1858">
        <f>'Total - Traffic %'!AM39</f>
        <v>1.7000000000000001E-2</v>
      </c>
      <c r="AN39" s="1859">
        <f>'Total - Traffic %'!AN39</f>
        <v>3.7999999999999999E-2</v>
      </c>
      <c r="AO39" s="1860">
        <f>'Total - Traffic %'!AO39</f>
        <v>2.9000000000000001E-2</v>
      </c>
      <c r="AP39" s="1859">
        <f>'Total - Traffic %'!AP39</f>
        <v>6.0999999999999999E-2</v>
      </c>
      <c r="AQ39" s="1861">
        <f>'Total - Traffic %'!AQ39</f>
        <v>0.1</v>
      </c>
      <c r="AR39" s="1860">
        <f>'Total - Traffic %'!AR39</f>
        <v>0.02</v>
      </c>
      <c r="AS39" s="1862">
        <f>'Total - Traffic %'!AS39</f>
        <v>0.317</v>
      </c>
      <c r="AU39" s="3825"/>
      <c r="AV39" s="1741">
        <v>2</v>
      </c>
      <c r="AW39" s="1856">
        <f>'Total - Traffic %'!AW39</f>
        <v>2E-3</v>
      </c>
      <c r="AX39" s="1857">
        <f>'Total - Traffic %'!AX39</f>
        <v>6.0000000000000001E-3</v>
      </c>
      <c r="AY39" s="1858">
        <f>'Total - Traffic %'!AY39</f>
        <v>8.0000000000000002E-3</v>
      </c>
      <c r="AZ39" s="1856">
        <f>'Total - Traffic %'!AZ39</f>
        <v>1.2999999999999999E-2</v>
      </c>
      <c r="BA39" s="1857">
        <f>'Total - Traffic %'!BA39</f>
        <v>1.7999999999999999E-2</v>
      </c>
      <c r="BB39" s="1858">
        <f>'Total - Traffic %'!BB39</f>
        <v>1.7999999999999999E-2</v>
      </c>
      <c r="BC39" s="1859">
        <f>'Total - Traffic %'!BC39</f>
        <v>3.3000000000000002E-2</v>
      </c>
      <c r="BD39" s="1860">
        <f>'Total - Traffic %'!BD39</f>
        <v>0.03</v>
      </c>
      <c r="BE39" s="1859">
        <f>'Total - Traffic %'!BE39</f>
        <v>4.7E-2</v>
      </c>
      <c r="BF39" s="1861">
        <f>'Total - Traffic %'!BF39</f>
        <v>9.5000000000000001E-2</v>
      </c>
      <c r="BG39" s="1860">
        <f>'Total - Traffic %'!BG39</f>
        <v>1.9E-2</v>
      </c>
      <c r="BH39" s="1862">
        <f>'Total - Traffic %'!BH39</f>
        <v>0.28799999999999998</v>
      </c>
      <c r="BJ39" s="3825"/>
      <c r="BK39" s="1741">
        <v>2</v>
      </c>
      <c r="BL39" s="1856">
        <f>'Total - Traffic %'!BL39</f>
        <v>1E-3</v>
      </c>
      <c r="BM39" s="1857">
        <f>'Total - Traffic %'!BM39</f>
        <v>5.0000000000000001E-3</v>
      </c>
      <c r="BN39" s="1858">
        <f>'Total - Traffic %'!BN39</f>
        <v>7.0000000000000001E-3</v>
      </c>
      <c r="BO39" s="1856">
        <f>'Total - Traffic %'!BO39</f>
        <v>0.01</v>
      </c>
      <c r="BP39" s="1857">
        <f>'Total - Traffic %'!BP39</f>
        <v>1.7000000000000001E-2</v>
      </c>
      <c r="BQ39" s="1858">
        <f>'Total - Traffic %'!BQ39</f>
        <v>1.7999999999999999E-2</v>
      </c>
      <c r="BR39" s="1859">
        <f>'Total - Traffic %'!BR39</f>
        <v>0.03</v>
      </c>
      <c r="BS39" s="1860">
        <f>'Total - Traffic %'!BS39</f>
        <v>3.2000000000000001E-2</v>
      </c>
      <c r="BT39" s="1859">
        <f>'Total - Traffic %'!BT39</f>
        <v>0.04</v>
      </c>
      <c r="BU39" s="1861">
        <f>'Total - Traffic %'!BU39</f>
        <v>0.09</v>
      </c>
      <c r="BV39" s="1860">
        <f>'Total - Traffic %'!BV39</f>
        <v>1.9E-2</v>
      </c>
      <c r="BW39" s="1862">
        <f>'Total - Traffic %'!BW39</f>
        <v>0.26900000000000002</v>
      </c>
      <c r="BY39" s="3825"/>
      <c r="BZ39" s="1741">
        <v>2</v>
      </c>
      <c r="CA39" s="1856">
        <f>'Total - Traffic %'!CA39</f>
        <v>1E-3</v>
      </c>
      <c r="CB39" s="1857">
        <f>'Total - Traffic %'!CB39</f>
        <v>5.0000000000000001E-3</v>
      </c>
      <c r="CC39" s="1858">
        <f>'Total - Traffic %'!CC39</f>
        <v>7.0000000000000001E-3</v>
      </c>
      <c r="CD39" s="1856">
        <f>'Total - Traffic %'!CD39</f>
        <v>8.9999999999999993E-3</v>
      </c>
      <c r="CE39" s="1857">
        <f>'Total - Traffic %'!CE39</f>
        <v>1.4999999999999999E-2</v>
      </c>
      <c r="CF39" s="1858">
        <f>'Total - Traffic %'!CF39</f>
        <v>1.7999999999999999E-2</v>
      </c>
      <c r="CG39" s="1859">
        <f>'Total - Traffic %'!CG39</f>
        <v>2.7E-2</v>
      </c>
      <c r="CH39" s="1860">
        <f>'Total - Traffic %'!CH39</f>
        <v>3.2000000000000001E-2</v>
      </c>
      <c r="CI39" s="1859">
        <f>'Total - Traffic %'!CI39</f>
        <v>3.5000000000000003E-2</v>
      </c>
      <c r="CJ39" s="1861">
        <f>'Total - Traffic %'!CJ39</f>
        <v>9.2999999999999999E-2</v>
      </c>
      <c r="CK39" s="1860">
        <f>'Total - Traffic %'!CK39</f>
        <v>2.1999999999999999E-2</v>
      </c>
      <c r="CL39" s="1862">
        <f>'Total - Traffic %'!CL39</f>
        <v>0.26400000000000001</v>
      </c>
    </row>
    <row r="40" spans="1:90" s="1728" customFormat="1" ht="13.5" customHeight="1">
      <c r="A40" s="3842"/>
      <c r="B40" s="3843"/>
      <c r="C40" s="1741">
        <v>3</v>
      </c>
      <c r="D40" s="1856">
        <f>'Total - Traffic %'!D40</f>
        <v>0</v>
      </c>
      <c r="E40" s="1857">
        <f>'Total - Traffic %'!E40</f>
        <v>1.2E-2</v>
      </c>
      <c r="F40" s="1858">
        <f>'Total - Traffic %'!F40</f>
        <v>4.0000000000000001E-3</v>
      </c>
      <c r="G40" s="1856">
        <f>'Total - Traffic %'!G40</f>
        <v>1.7999999999999999E-2</v>
      </c>
      <c r="H40" s="1857">
        <f>'Total - Traffic %'!H40</f>
        <v>1.6E-2</v>
      </c>
      <c r="I40" s="1858">
        <f>'Total - Traffic %'!I40</f>
        <v>8.0000000000000002E-3</v>
      </c>
      <c r="J40" s="1859">
        <f>'Total - Traffic %'!J40</f>
        <v>3.4000000000000002E-2</v>
      </c>
      <c r="K40" s="1860">
        <f>'Total - Traffic %'!K40</f>
        <v>1.2E-2</v>
      </c>
      <c r="L40" s="1859">
        <f>'Total - Traffic %'!L40</f>
        <v>4.4999999999999998E-2</v>
      </c>
      <c r="M40" s="1861">
        <f>'Total - Traffic %'!M40</f>
        <v>2.3E-2</v>
      </c>
      <c r="N40" s="1860">
        <f>'Total - Traffic %'!N40</f>
        <v>5.0000000000000001E-3</v>
      </c>
      <c r="O40" s="1862">
        <f>'Total - Traffic %'!O40</f>
        <v>0.17699999999999999</v>
      </c>
      <c r="Q40" s="3825"/>
      <c r="R40" s="1741">
        <v>3</v>
      </c>
      <c r="S40" s="1856">
        <f>'Total - Traffic %'!S40</f>
        <v>0</v>
      </c>
      <c r="T40" s="1857">
        <f>'Total - Traffic %'!T40</f>
        <v>1.2E-2</v>
      </c>
      <c r="U40" s="1858">
        <f>'Total - Traffic %'!U40</f>
        <v>4.0000000000000001E-3</v>
      </c>
      <c r="V40" s="1856">
        <f>'Total - Traffic %'!V40</f>
        <v>1.9E-2</v>
      </c>
      <c r="W40" s="1857">
        <f>'Total - Traffic %'!W40</f>
        <v>1.6E-2</v>
      </c>
      <c r="X40" s="1858">
        <f>'Total - Traffic %'!X40</f>
        <v>8.0000000000000002E-3</v>
      </c>
      <c r="Y40" s="1859">
        <f>'Total - Traffic %'!Y40</f>
        <v>3.5000000000000003E-2</v>
      </c>
      <c r="Z40" s="1860">
        <f>'Total - Traffic %'!Z40</f>
        <v>1.2E-2</v>
      </c>
      <c r="AA40" s="1859">
        <f>'Total - Traffic %'!AA40</f>
        <v>4.8000000000000001E-2</v>
      </c>
      <c r="AB40" s="1861">
        <f>'Total - Traffic %'!AB40</f>
        <v>2.4E-2</v>
      </c>
      <c r="AC40" s="1860">
        <f>'Total - Traffic %'!AC40</f>
        <v>6.0000000000000001E-3</v>
      </c>
      <c r="AD40" s="1862">
        <f>'Total - Traffic %'!AD40</f>
        <v>0.184</v>
      </c>
      <c r="AF40" s="3825"/>
      <c r="AG40" s="1741">
        <v>3</v>
      </c>
      <c r="AH40" s="1856">
        <f>'Total - Traffic %'!AH40</f>
        <v>1E-3</v>
      </c>
      <c r="AI40" s="1857">
        <f>'Total - Traffic %'!AI40</f>
        <v>1.2E-2</v>
      </c>
      <c r="AJ40" s="1858">
        <f>'Total - Traffic %'!AJ40</f>
        <v>4.0000000000000001E-3</v>
      </c>
      <c r="AK40" s="1856">
        <f>'Total - Traffic %'!AK40</f>
        <v>2.1000000000000001E-2</v>
      </c>
      <c r="AL40" s="1857">
        <f>'Total - Traffic %'!AL40</f>
        <v>1.7999999999999999E-2</v>
      </c>
      <c r="AM40" s="1858">
        <f>'Total - Traffic %'!AM40</f>
        <v>8.9999999999999993E-3</v>
      </c>
      <c r="AN40" s="1859">
        <f>'Total - Traffic %'!AN40</f>
        <v>3.7999999999999999E-2</v>
      </c>
      <c r="AO40" s="1860">
        <f>'Total - Traffic %'!AO40</f>
        <v>1.2E-2</v>
      </c>
      <c r="AP40" s="1859">
        <f>'Total - Traffic %'!AP40</f>
        <v>5.7000000000000002E-2</v>
      </c>
      <c r="AQ40" s="1861">
        <f>'Total - Traffic %'!AQ40</f>
        <v>2.7E-2</v>
      </c>
      <c r="AR40" s="1860">
        <f>'Total - Traffic %'!AR40</f>
        <v>6.0000000000000001E-3</v>
      </c>
      <c r="AS40" s="1862">
        <f>'Total - Traffic %'!AS40</f>
        <v>0.20499999999999999</v>
      </c>
      <c r="AU40" s="3825"/>
      <c r="AV40" s="1741">
        <v>3</v>
      </c>
      <c r="AW40" s="1856">
        <f>'Total - Traffic %'!AW40</f>
        <v>1E-3</v>
      </c>
      <c r="AX40" s="1857">
        <f>'Total - Traffic %'!AX40</f>
        <v>1.0999999999999999E-2</v>
      </c>
      <c r="AY40" s="1858">
        <f>'Total - Traffic %'!AY40</f>
        <v>4.0000000000000001E-3</v>
      </c>
      <c r="AZ40" s="1856">
        <f>'Total - Traffic %'!AZ40</f>
        <v>2.3E-2</v>
      </c>
      <c r="BA40" s="1857">
        <f>'Total - Traffic %'!BA40</f>
        <v>1.9E-2</v>
      </c>
      <c r="BB40" s="1858">
        <f>'Total - Traffic %'!BB40</f>
        <v>8.9999999999999993E-3</v>
      </c>
      <c r="BC40" s="1859">
        <f>'Total - Traffic %'!BC40</f>
        <v>3.9E-2</v>
      </c>
      <c r="BD40" s="1860">
        <f>'Total - Traffic %'!BD40</f>
        <v>1.2999999999999999E-2</v>
      </c>
      <c r="BE40" s="1859">
        <f>'Total - Traffic %'!BE40</f>
        <v>6.9000000000000006E-2</v>
      </c>
      <c r="BF40" s="1861">
        <f>'Total - Traffic %'!BF40</f>
        <v>3.3000000000000002E-2</v>
      </c>
      <c r="BG40" s="1860">
        <f>'Total - Traffic %'!BG40</f>
        <v>7.0000000000000001E-3</v>
      </c>
      <c r="BH40" s="1862">
        <f>'Total - Traffic %'!BH40</f>
        <v>0.22800000000000001</v>
      </c>
      <c r="BJ40" s="3825"/>
      <c r="BK40" s="1741">
        <v>3</v>
      </c>
      <c r="BL40" s="1856">
        <f>'Total - Traffic %'!BL40</f>
        <v>1E-3</v>
      </c>
      <c r="BM40" s="1857">
        <f>'Total - Traffic %'!BM40</f>
        <v>0.01</v>
      </c>
      <c r="BN40" s="1858">
        <f>'Total - Traffic %'!BN40</f>
        <v>4.0000000000000001E-3</v>
      </c>
      <c r="BO40" s="1856">
        <f>'Total - Traffic %'!BO40</f>
        <v>2.4E-2</v>
      </c>
      <c r="BP40" s="1857">
        <f>'Total - Traffic %'!BP40</f>
        <v>1.9E-2</v>
      </c>
      <c r="BQ40" s="1858">
        <f>'Total - Traffic %'!BQ40</f>
        <v>8.9999999999999993E-3</v>
      </c>
      <c r="BR40" s="1859">
        <f>'Total - Traffic %'!BR40</f>
        <v>3.9E-2</v>
      </c>
      <c r="BS40" s="1860">
        <f>'Total - Traffic %'!BS40</f>
        <v>1.2999999999999999E-2</v>
      </c>
      <c r="BT40" s="1859">
        <f>'Total - Traffic %'!BT40</f>
        <v>7.0999999999999994E-2</v>
      </c>
      <c r="BU40" s="1861">
        <f>'Total - Traffic %'!BU40</f>
        <v>3.9E-2</v>
      </c>
      <c r="BV40" s="1860">
        <f>'Total - Traffic %'!BV40</f>
        <v>8.0000000000000002E-3</v>
      </c>
      <c r="BW40" s="1862">
        <f>'Total - Traffic %'!BW40</f>
        <v>0.23699999999999999</v>
      </c>
      <c r="BY40" s="3825"/>
      <c r="BZ40" s="1741">
        <v>3</v>
      </c>
      <c r="CA40" s="1856">
        <f>'Total - Traffic %'!CA40</f>
        <v>1E-3</v>
      </c>
      <c r="CB40" s="1857">
        <f>'Total - Traffic %'!CB40</f>
        <v>8.9999999999999993E-3</v>
      </c>
      <c r="CC40" s="1858">
        <f>'Total - Traffic %'!CC40</f>
        <v>4.0000000000000001E-3</v>
      </c>
      <c r="CD40" s="1856">
        <f>'Total - Traffic %'!CD40</f>
        <v>2.3E-2</v>
      </c>
      <c r="CE40" s="1857">
        <f>'Total - Traffic %'!CE40</f>
        <v>0.02</v>
      </c>
      <c r="CF40" s="1858">
        <f>'Total - Traffic %'!CF40</f>
        <v>8.9999999999999993E-3</v>
      </c>
      <c r="CG40" s="1859">
        <f>'Total - Traffic %'!CG40</f>
        <v>0.04</v>
      </c>
      <c r="CH40" s="1860">
        <f>'Total - Traffic %'!CH40</f>
        <v>1.4E-2</v>
      </c>
      <c r="CI40" s="1859">
        <f>'Total - Traffic %'!CI40</f>
        <v>6.8000000000000005E-2</v>
      </c>
      <c r="CJ40" s="1861">
        <f>'Total - Traffic %'!CJ40</f>
        <v>4.2999999999999997E-2</v>
      </c>
      <c r="CK40" s="1860">
        <f>'Total - Traffic %'!CK40</f>
        <v>8.0000000000000002E-3</v>
      </c>
      <c r="CL40" s="1862">
        <f>'Total - Traffic %'!CL40</f>
        <v>0.23899999999999999</v>
      </c>
    </row>
    <row r="41" spans="1:90" s="1728" customFormat="1" ht="13.5" customHeight="1">
      <c r="A41" s="3842"/>
      <c r="B41" s="3843"/>
      <c r="C41" s="1741">
        <v>4</v>
      </c>
      <c r="D41" s="1856">
        <f>'Total - Traffic %'!D41</f>
        <v>0</v>
      </c>
      <c r="E41" s="1857">
        <f>'Total - Traffic %'!E41</f>
        <v>1.2E-2</v>
      </c>
      <c r="F41" s="1858">
        <f>'Total - Traffic %'!F41</f>
        <v>4.0000000000000001E-3</v>
      </c>
      <c r="G41" s="1856">
        <f>'Total - Traffic %'!G41</f>
        <v>5.0000000000000001E-3</v>
      </c>
      <c r="H41" s="1857">
        <f>'Total - Traffic %'!H41</f>
        <v>1.2E-2</v>
      </c>
      <c r="I41" s="1858">
        <f>'Total - Traffic %'!I41</f>
        <v>8.0000000000000002E-3</v>
      </c>
      <c r="J41" s="1859">
        <f>'Total - Traffic %'!J41</f>
        <v>0.02</v>
      </c>
      <c r="K41" s="1860">
        <f>'Total - Traffic %'!K41</f>
        <v>6.0000000000000001E-3</v>
      </c>
      <c r="L41" s="1859">
        <f>'Total - Traffic %'!L41</f>
        <v>7.0000000000000001E-3</v>
      </c>
      <c r="M41" s="1861">
        <f>'Total - Traffic %'!M41</f>
        <v>5.0000000000000001E-3</v>
      </c>
      <c r="N41" s="1860">
        <f>'Total - Traffic %'!N41</f>
        <v>3.0000000000000001E-3</v>
      </c>
      <c r="O41" s="1862">
        <f>'Total - Traffic %'!O41</f>
        <v>8.1000000000000003E-2</v>
      </c>
      <c r="Q41" s="3825"/>
      <c r="R41" s="1741">
        <v>4</v>
      </c>
      <c r="S41" s="1856">
        <f>'Total - Traffic %'!S41</f>
        <v>0</v>
      </c>
      <c r="T41" s="1857">
        <f>'Total - Traffic %'!T41</f>
        <v>8.0000000000000002E-3</v>
      </c>
      <c r="U41" s="1858">
        <f>'Total - Traffic %'!U41</f>
        <v>3.0000000000000001E-3</v>
      </c>
      <c r="V41" s="1856">
        <f>'Total - Traffic %'!V41</f>
        <v>3.0000000000000001E-3</v>
      </c>
      <c r="W41" s="1857">
        <f>'Total - Traffic %'!W41</f>
        <v>1.2E-2</v>
      </c>
      <c r="X41" s="1858">
        <f>'Total - Traffic %'!X41</f>
        <v>6.0000000000000001E-3</v>
      </c>
      <c r="Y41" s="1859">
        <f>'Total - Traffic %'!Y41</f>
        <v>1.7000000000000001E-2</v>
      </c>
      <c r="Z41" s="1860">
        <f>'Total - Traffic %'!Z41</f>
        <v>6.0000000000000001E-3</v>
      </c>
      <c r="AA41" s="1859">
        <f>'Total - Traffic %'!AA41</f>
        <v>7.0000000000000001E-3</v>
      </c>
      <c r="AB41" s="1861">
        <f>'Total - Traffic %'!AB41</f>
        <v>5.0000000000000001E-3</v>
      </c>
      <c r="AC41" s="1860">
        <f>'Total - Traffic %'!AC41</f>
        <v>3.0000000000000001E-3</v>
      </c>
      <c r="AD41" s="1862">
        <f>'Total - Traffic %'!AD41</f>
        <v>7.0000000000000007E-2</v>
      </c>
      <c r="AF41" s="3825"/>
      <c r="AG41" s="1741">
        <v>4</v>
      </c>
      <c r="AH41" s="1856">
        <f>'Total - Traffic %'!AH41</f>
        <v>0</v>
      </c>
      <c r="AI41" s="1857">
        <f>'Total - Traffic %'!AI41</f>
        <v>8.9999999999999993E-3</v>
      </c>
      <c r="AJ41" s="1858">
        <f>'Total - Traffic %'!AJ41</f>
        <v>3.0000000000000001E-3</v>
      </c>
      <c r="AK41" s="1856">
        <f>'Total - Traffic %'!AK41</f>
        <v>4.0000000000000001E-3</v>
      </c>
      <c r="AL41" s="1857">
        <f>'Total - Traffic %'!AL41</f>
        <v>8.9999999999999993E-3</v>
      </c>
      <c r="AM41" s="1858">
        <f>'Total - Traffic %'!AM41</f>
        <v>5.0000000000000001E-3</v>
      </c>
      <c r="AN41" s="1859">
        <f>'Total - Traffic %'!AN41</f>
        <v>1.7999999999999999E-2</v>
      </c>
      <c r="AO41" s="1860">
        <f>'Total - Traffic %'!AO41</f>
        <v>5.0000000000000001E-3</v>
      </c>
      <c r="AP41" s="1859">
        <f>'Total - Traffic %'!AP41</f>
        <v>8.9999999999999993E-3</v>
      </c>
      <c r="AQ41" s="1861">
        <f>'Total - Traffic %'!AQ41</f>
        <v>7.0000000000000001E-3</v>
      </c>
      <c r="AR41" s="1860">
        <f>'Total - Traffic %'!AR41</f>
        <v>3.0000000000000001E-3</v>
      </c>
      <c r="AS41" s="1862">
        <f>'Total - Traffic %'!AS41</f>
        <v>7.1999999999999995E-2</v>
      </c>
      <c r="AU41" s="3825"/>
      <c r="AV41" s="1741">
        <v>4</v>
      </c>
      <c r="AW41" s="1856">
        <f>'Total - Traffic %'!AW41</f>
        <v>0</v>
      </c>
      <c r="AX41" s="1857">
        <f>'Total - Traffic %'!AX41</f>
        <v>0.01</v>
      </c>
      <c r="AY41" s="1858">
        <f>'Total - Traffic %'!AY41</f>
        <v>3.0000000000000001E-3</v>
      </c>
      <c r="AZ41" s="1856">
        <f>'Total - Traffic %'!AZ41</f>
        <v>7.0000000000000001E-3</v>
      </c>
      <c r="BA41" s="1857">
        <f>'Total - Traffic %'!BA41</f>
        <v>0.01</v>
      </c>
      <c r="BB41" s="1858">
        <f>'Total - Traffic %'!BB41</f>
        <v>5.0000000000000001E-3</v>
      </c>
      <c r="BC41" s="1859">
        <f>'Total - Traffic %'!BC41</f>
        <v>2.1000000000000001E-2</v>
      </c>
      <c r="BD41" s="1860">
        <f>'Total - Traffic %'!BD41</f>
        <v>5.0000000000000001E-3</v>
      </c>
      <c r="BE41" s="1859">
        <f>'Total - Traffic %'!BE41</f>
        <v>1.4999999999999999E-2</v>
      </c>
      <c r="BF41" s="1861">
        <f>'Total - Traffic %'!BF41</f>
        <v>8.9999999999999993E-3</v>
      </c>
      <c r="BG41" s="1860">
        <f>'Total - Traffic %'!BG41</f>
        <v>4.0000000000000001E-3</v>
      </c>
      <c r="BH41" s="1862">
        <f>'Total - Traffic %'!BH41</f>
        <v>8.8999999999999996E-2</v>
      </c>
      <c r="BJ41" s="3825"/>
      <c r="BK41" s="1741">
        <v>4</v>
      </c>
      <c r="BL41" s="1856">
        <f>'Total - Traffic %'!BL41</f>
        <v>0</v>
      </c>
      <c r="BM41" s="1857">
        <f>'Total - Traffic %'!BM41</f>
        <v>1.0999999999999999E-2</v>
      </c>
      <c r="BN41" s="1858">
        <f>'Total - Traffic %'!BN41</f>
        <v>3.0000000000000001E-3</v>
      </c>
      <c r="BO41" s="1856">
        <f>'Total - Traffic %'!BO41</f>
        <v>8.9999999999999993E-3</v>
      </c>
      <c r="BP41" s="1857">
        <f>'Total - Traffic %'!BP41</f>
        <v>1.0999999999999999E-2</v>
      </c>
      <c r="BQ41" s="1858">
        <f>'Total - Traffic %'!BQ41</f>
        <v>6.0000000000000001E-3</v>
      </c>
      <c r="BR41" s="1859">
        <f>'Total - Traffic %'!BR41</f>
        <v>2.3E-2</v>
      </c>
      <c r="BS41" s="1860">
        <f>'Total - Traffic %'!BS41</f>
        <v>5.0000000000000001E-3</v>
      </c>
      <c r="BT41" s="1859">
        <f>'Total - Traffic %'!BT41</f>
        <v>2.1999999999999999E-2</v>
      </c>
      <c r="BU41" s="1861">
        <f>'Total - Traffic %'!BU41</f>
        <v>1.0999999999999999E-2</v>
      </c>
      <c r="BV41" s="1860">
        <f>'Total - Traffic %'!BV41</f>
        <v>5.0000000000000001E-3</v>
      </c>
      <c r="BW41" s="1862">
        <f>'Total - Traffic %'!BW41</f>
        <v>0.104</v>
      </c>
      <c r="BY41" s="3825"/>
      <c r="BZ41" s="1741">
        <v>4</v>
      </c>
      <c r="CA41" s="1856">
        <f>'Total - Traffic %'!CA41</f>
        <v>0</v>
      </c>
      <c r="CB41" s="1857">
        <f>'Total - Traffic %'!CB41</f>
        <v>1.2E-2</v>
      </c>
      <c r="CC41" s="1858">
        <f>'Total - Traffic %'!CC41</f>
        <v>3.0000000000000001E-3</v>
      </c>
      <c r="CD41" s="1856">
        <f>'Total - Traffic %'!CD41</f>
        <v>1.0999999999999999E-2</v>
      </c>
      <c r="CE41" s="1857">
        <f>'Total - Traffic %'!CE41</f>
        <v>1.0999999999999999E-2</v>
      </c>
      <c r="CF41" s="1858">
        <f>'Total - Traffic %'!CF41</f>
        <v>6.0000000000000001E-3</v>
      </c>
      <c r="CG41" s="1859">
        <f>'Total - Traffic %'!CG41</f>
        <v>2.5000000000000001E-2</v>
      </c>
      <c r="CH41" s="1860">
        <f>'Total - Traffic %'!CH41</f>
        <v>6.0000000000000001E-3</v>
      </c>
      <c r="CI41" s="1859">
        <f>'Total - Traffic %'!CI41</f>
        <v>3.1E-2</v>
      </c>
      <c r="CJ41" s="1861">
        <f>'Total - Traffic %'!CJ41</f>
        <v>1.2999999999999999E-2</v>
      </c>
      <c r="CK41" s="1860">
        <f>'Total - Traffic %'!CK41</f>
        <v>5.0000000000000001E-3</v>
      </c>
      <c r="CL41" s="1862">
        <f>'Total - Traffic %'!CL41</f>
        <v>0.123</v>
      </c>
    </row>
    <row r="42" spans="1:90" s="1728" customFormat="1" ht="13.5" customHeight="1">
      <c r="A42" s="3842"/>
      <c r="B42" s="3843"/>
      <c r="C42" s="1749">
        <v>5</v>
      </c>
      <c r="D42" s="1856">
        <f>'Total - Traffic %'!D42</f>
        <v>0</v>
      </c>
      <c r="E42" s="1857">
        <f>'Total - Traffic %'!E42</f>
        <v>3.0000000000000001E-3</v>
      </c>
      <c r="F42" s="1858">
        <f>'Total - Traffic %'!F42</f>
        <v>1E-3</v>
      </c>
      <c r="G42" s="1856">
        <f>'Total - Traffic %'!G42</f>
        <v>0</v>
      </c>
      <c r="H42" s="1857">
        <f>'Total - Traffic %'!H42</f>
        <v>0</v>
      </c>
      <c r="I42" s="1858">
        <f>'Total - Traffic %'!I42</f>
        <v>1E-3</v>
      </c>
      <c r="J42" s="1859">
        <f>'Total - Traffic %'!J42</f>
        <v>4.0000000000000001E-3</v>
      </c>
      <c r="K42" s="1860">
        <f>'Total - Traffic %'!K42</f>
        <v>0</v>
      </c>
      <c r="L42" s="1859">
        <f>'Total - Traffic %'!L42</f>
        <v>0</v>
      </c>
      <c r="M42" s="1861">
        <f>'Total - Traffic %'!M42</f>
        <v>0</v>
      </c>
      <c r="N42" s="1860">
        <f>'Total - Traffic %'!N42</f>
        <v>2E-3</v>
      </c>
      <c r="O42" s="1862">
        <f>'Total - Traffic %'!O42</f>
        <v>1.2E-2</v>
      </c>
      <c r="Q42" s="3825"/>
      <c r="R42" s="1749">
        <v>5</v>
      </c>
      <c r="S42" s="1856">
        <f>'Total - Traffic %'!S42</f>
        <v>0</v>
      </c>
      <c r="T42" s="1857">
        <f>'Total - Traffic %'!T42</f>
        <v>8.0000000000000002E-3</v>
      </c>
      <c r="U42" s="1858">
        <f>'Total - Traffic %'!U42</f>
        <v>2E-3</v>
      </c>
      <c r="V42" s="1856">
        <f>'Total - Traffic %'!V42</f>
        <v>0</v>
      </c>
      <c r="W42" s="1857">
        <f>'Total - Traffic %'!W42</f>
        <v>2E-3</v>
      </c>
      <c r="X42" s="1858">
        <f>'Total - Traffic %'!X42</f>
        <v>3.0000000000000001E-3</v>
      </c>
      <c r="Y42" s="1859">
        <f>'Total - Traffic %'!Y42</f>
        <v>8.0000000000000002E-3</v>
      </c>
      <c r="Z42" s="1860">
        <f>'Total - Traffic %'!Z42</f>
        <v>0</v>
      </c>
      <c r="AA42" s="1859">
        <f>'Total - Traffic %'!AA42</f>
        <v>0</v>
      </c>
      <c r="AB42" s="1861">
        <f>'Total - Traffic %'!AB42</f>
        <v>1E-3</v>
      </c>
      <c r="AC42" s="1860">
        <f>'Total - Traffic %'!AC42</f>
        <v>2E-3</v>
      </c>
      <c r="AD42" s="1862">
        <f>'Total - Traffic %'!AD42</f>
        <v>2.5999999999999999E-2</v>
      </c>
      <c r="AF42" s="3825"/>
      <c r="AG42" s="1749">
        <v>5</v>
      </c>
      <c r="AH42" s="1856">
        <f>'Total - Traffic %'!AH42</f>
        <v>0</v>
      </c>
      <c r="AI42" s="1857">
        <f>'Total - Traffic %'!AI42</f>
        <v>8.9999999999999993E-3</v>
      </c>
      <c r="AJ42" s="1858">
        <f>'Total - Traffic %'!AJ42</f>
        <v>3.0000000000000001E-3</v>
      </c>
      <c r="AK42" s="1856">
        <f>'Total - Traffic %'!AK42</f>
        <v>0</v>
      </c>
      <c r="AL42" s="1857">
        <f>'Total - Traffic %'!AL42</f>
        <v>6.0000000000000001E-3</v>
      </c>
      <c r="AM42" s="1858">
        <f>'Total - Traffic %'!AM42</f>
        <v>5.0000000000000001E-3</v>
      </c>
      <c r="AN42" s="1859">
        <f>'Total - Traffic %'!AN42</f>
        <v>0.01</v>
      </c>
      <c r="AO42" s="1860">
        <f>'Total - Traffic %'!AO42</f>
        <v>2E-3</v>
      </c>
      <c r="AP42" s="1859">
        <f>'Total - Traffic %'!AP42</f>
        <v>0</v>
      </c>
      <c r="AQ42" s="1861">
        <f>'Total - Traffic %'!AQ42</f>
        <v>1E-3</v>
      </c>
      <c r="AR42" s="1860">
        <f>'Total - Traffic %'!AR42</f>
        <v>2E-3</v>
      </c>
      <c r="AS42" s="1862">
        <f>'Total - Traffic %'!AS42</f>
        <v>0.04</v>
      </c>
      <c r="AU42" s="3825"/>
      <c r="AV42" s="1749">
        <v>5</v>
      </c>
      <c r="AW42" s="1856">
        <f>'Total - Traffic %'!AW42</f>
        <v>0</v>
      </c>
      <c r="AX42" s="1857">
        <f>'Total - Traffic %'!AX42</f>
        <v>0.01</v>
      </c>
      <c r="AY42" s="1858">
        <f>'Total - Traffic %'!AY42</f>
        <v>4.0000000000000001E-3</v>
      </c>
      <c r="AZ42" s="1856">
        <f>'Total - Traffic %'!AZ42</f>
        <v>0</v>
      </c>
      <c r="BA42" s="1857">
        <f>'Total - Traffic %'!BA42</f>
        <v>7.0000000000000001E-3</v>
      </c>
      <c r="BB42" s="1858">
        <f>'Total - Traffic %'!BB42</f>
        <v>6.0000000000000001E-3</v>
      </c>
      <c r="BC42" s="1859">
        <f>'Total - Traffic %'!BC42</f>
        <v>1.2E-2</v>
      </c>
      <c r="BD42" s="1860">
        <f>'Total - Traffic %'!BD42</f>
        <v>3.0000000000000001E-3</v>
      </c>
      <c r="BE42" s="1859">
        <f>'Total - Traffic %'!BE42</f>
        <v>1E-3</v>
      </c>
      <c r="BF42" s="1861">
        <f>'Total - Traffic %'!BF42</f>
        <v>1E-3</v>
      </c>
      <c r="BG42" s="1860">
        <f>'Total - Traffic %'!BG42</f>
        <v>3.0000000000000001E-3</v>
      </c>
      <c r="BH42" s="1862">
        <f>'Total - Traffic %'!BH42</f>
        <v>4.7E-2</v>
      </c>
      <c r="BJ42" s="3825"/>
      <c r="BK42" s="1749">
        <v>5</v>
      </c>
      <c r="BL42" s="1856">
        <f>'Total - Traffic %'!BL42</f>
        <v>0</v>
      </c>
      <c r="BM42" s="1857">
        <f>'Total - Traffic %'!BM42</f>
        <v>1.2E-2</v>
      </c>
      <c r="BN42" s="1858">
        <f>'Total - Traffic %'!BN42</f>
        <v>4.0000000000000001E-3</v>
      </c>
      <c r="BO42" s="1856">
        <f>'Total - Traffic %'!BO42</f>
        <v>0</v>
      </c>
      <c r="BP42" s="1857">
        <f>'Total - Traffic %'!BP42</f>
        <v>7.0000000000000001E-3</v>
      </c>
      <c r="BQ42" s="1858">
        <f>'Total - Traffic %'!BQ42</f>
        <v>7.0000000000000001E-3</v>
      </c>
      <c r="BR42" s="1859">
        <f>'Total - Traffic %'!BR42</f>
        <v>1.2999999999999999E-2</v>
      </c>
      <c r="BS42" s="1860">
        <f>'Total - Traffic %'!BS42</f>
        <v>3.0000000000000001E-3</v>
      </c>
      <c r="BT42" s="1859">
        <f>'Total - Traffic %'!BT42</f>
        <v>1E-3</v>
      </c>
      <c r="BU42" s="1861">
        <f>'Total - Traffic %'!BU42</f>
        <v>1E-3</v>
      </c>
      <c r="BV42" s="1860">
        <f>'Total - Traffic %'!BV42</f>
        <v>3.0000000000000001E-3</v>
      </c>
      <c r="BW42" s="1862">
        <f>'Total - Traffic %'!BW42</f>
        <v>5.0999999999999997E-2</v>
      </c>
      <c r="BY42" s="3825"/>
      <c r="BZ42" s="1749">
        <v>5</v>
      </c>
      <c r="CA42" s="1856">
        <f>'Total - Traffic %'!CA42</f>
        <v>0</v>
      </c>
      <c r="CB42" s="1857">
        <f>'Total - Traffic %'!CB42</f>
        <v>1.2E-2</v>
      </c>
      <c r="CC42" s="1858">
        <f>'Total - Traffic %'!CC42</f>
        <v>4.0000000000000001E-3</v>
      </c>
      <c r="CD42" s="1856">
        <f>'Total - Traffic %'!CD42</f>
        <v>1E-3</v>
      </c>
      <c r="CE42" s="1857">
        <f>'Total - Traffic %'!CE42</f>
        <v>8.0000000000000002E-3</v>
      </c>
      <c r="CF42" s="1858">
        <f>'Total - Traffic %'!CF42</f>
        <v>7.0000000000000001E-3</v>
      </c>
      <c r="CG42" s="1859">
        <f>'Total - Traffic %'!CG42</f>
        <v>1.4999999999999999E-2</v>
      </c>
      <c r="CH42" s="1860">
        <f>'Total - Traffic %'!CH42</f>
        <v>3.0000000000000001E-3</v>
      </c>
      <c r="CI42" s="1859">
        <f>'Total - Traffic %'!CI42</f>
        <v>2E-3</v>
      </c>
      <c r="CJ42" s="1861">
        <f>'Total - Traffic %'!CJ42</f>
        <v>2E-3</v>
      </c>
      <c r="CK42" s="1860">
        <f>'Total - Traffic %'!CK42</f>
        <v>3.0000000000000001E-3</v>
      </c>
      <c r="CL42" s="1862">
        <f>'Total - Traffic %'!CL42</f>
        <v>5.7000000000000002E-2</v>
      </c>
    </row>
    <row r="43" spans="1:90" s="1728" customFormat="1" ht="13.5" customHeight="1" thickBot="1">
      <c r="A43" s="3844"/>
      <c r="B43" s="3845"/>
      <c r="C43" s="1750" t="s">
        <v>1422</v>
      </c>
      <c r="D43" s="1863">
        <f>'Total - Traffic %'!D43</f>
        <v>3.0000000000000001E-3</v>
      </c>
      <c r="E43" s="1864">
        <f>'Total - Traffic %'!E43</f>
        <v>4.1000000000000002E-2</v>
      </c>
      <c r="F43" s="1865">
        <f>'Total - Traffic %'!F43</f>
        <v>2.9000000000000001E-2</v>
      </c>
      <c r="G43" s="1863">
        <f>'Total - Traffic %'!G43</f>
        <v>4.8000000000000001E-2</v>
      </c>
      <c r="H43" s="1864">
        <f>'Total - Traffic %'!H43</f>
        <v>6.3E-2</v>
      </c>
      <c r="I43" s="1865">
        <f>'Total - Traffic %'!I43</f>
        <v>7.4999999999999997E-2</v>
      </c>
      <c r="J43" s="1866">
        <f>'Total - Traffic %'!J43</f>
        <v>0.123</v>
      </c>
      <c r="K43" s="1867">
        <f>'Total - Traffic %'!K43</f>
        <v>0.13</v>
      </c>
      <c r="L43" s="1866">
        <f>'Total - Traffic %'!L43</f>
        <v>0.14799999999999999</v>
      </c>
      <c r="M43" s="1868">
        <f>'Total - Traffic %'!M43</f>
        <v>0.21099999999999999</v>
      </c>
      <c r="N43" s="1867">
        <f>'Total - Traffic %'!N43</f>
        <v>0.129</v>
      </c>
      <c r="O43" s="1869">
        <f>'Total - Traffic %'!O43</f>
        <v>1</v>
      </c>
      <c r="Q43" s="3826"/>
      <c r="R43" s="1750" t="s">
        <v>1422</v>
      </c>
      <c r="S43" s="1863">
        <f>'Total - Traffic %'!S43</f>
        <v>3.0000000000000001E-3</v>
      </c>
      <c r="T43" s="1864">
        <f>'Total - Traffic %'!T43</f>
        <v>0.04</v>
      </c>
      <c r="U43" s="1865">
        <f>'Total - Traffic %'!U43</f>
        <v>2.9000000000000001E-2</v>
      </c>
      <c r="V43" s="1863">
        <f>'Total - Traffic %'!V43</f>
        <v>4.8000000000000001E-2</v>
      </c>
      <c r="W43" s="1864">
        <f>'Total - Traffic %'!W43</f>
        <v>6.3E-2</v>
      </c>
      <c r="X43" s="1865">
        <f>'Total - Traffic %'!X43</f>
        <v>7.3999999999999996E-2</v>
      </c>
      <c r="Y43" s="1866">
        <f>'Total - Traffic %'!Y43</f>
        <v>0.123</v>
      </c>
      <c r="Z43" s="1867">
        <f>'Total - Traffic %'!Z43</f>
        <v>0.129</v>
      </c>
      <c r="AA43" s="1866">
        <f>'Total - Traffic %'!AA43</f>
        <v>0.14899999999999999</v>
      </c>
      <c r="AB43" s="1868">
        <f>'Total - Traffic %'!AB43</f>
        <v>0.21199999999999999</v>
      </c>
      <c r="AC43" s="1867">
        <f>'Total - Traffic %'!AC43</f>
        <v>0.13</v>
      </c>
      <c r="AD43" s="1869">
        <f>'Total - Traffic %'!AD43</f>
        <v>1</v>
      </c>
      <c r="AF43" s="3826"/>
      <c r="AG43" s="1750" t="s">
        <v>1422</v>
      </c>
      <c r="AH43" s="1863">
        <f>'Total - Traffic %'!AH43</f>
        <v>3.0000000000000001E-3</v>
      </c>
      <c r="AI43" s="1864">
        <f>'Total - Traffic %'!AI43</f>
        <v>0.04</v>
      </c>
      <c r="AJ43" s="1865">
        <f>'Total - Traffic %'!AJ43</f>
        <v>2.9000000000000001E-2</v>
      </c>
      <c r="AK43" s="1863">
        <f>'Total - Traffic %'!AK43</f>
        <v>4.8000000000000001E-2</v>
      </c>
      <c r="AL43" s="1864">
        <f>'Total - Traffic %'!AL43</f>
        <v>6.3E-2</v>
      </c>
      <c r="AM43" s="1865">
        <f>'Total - Traffic %'!AM43</f>
        <v>7.3999999999999996E-2</v>
      </c>
      <c r="AN43" s="1866">
        <f>'Total - Traffic %'!AN43</f>
        <v>0.123</v>
      </c>
      <c r="AO43" s="1867">
        <f>'Total - Traffic %'!AO43</f>
        <v>0.128</v>
      </c>
      <c r="AP43" s="1866">
        <f>'Total - Traffic %'!AP43</f>
        <v>0.15</v>
      </c>
      <c r="AQ43" s="1868">
        <f>'Total - Traffic %'!AQ43</f>
        <v>0.21299999999999999</v>
      </c>
      <c r="AR43" s="1867">
        <f>'Total - Traffic %'!AR43</f>
        <v>0.13</v>
      </c>
      <c r="AS43" s="1869">
        <f>'Total - Traffic %'!AS43</f>
        <v>1</v>
      </c>
      <c r="AU43" s="3826"/>
      <c r="AV43" s="1750" t="s">
        <v>1422</v>
      </c>
      <c r="AW43" s="1863">
        <f>'Total - Traffic %'!AW43</f>
        <v>3.0000000000000001E-3</v>
      </c>
      <c r="AX43" s="1864">
        <f>'Total - Traffic %'!AX43</f>
        <v>0.04</v>
      </c>
      <c r="AY43" s="1865">
        <f>'Total - Traffic %'!AY43</f>
        <v>2.9000000000000001E-2</v>
      </c>
      <c r="AZ43" s="1863">
        <f>'Total - Traffic %'!AZ43</f>
        <v>4.8000000000000001E-2</v>
      </c>
      <c r="BA43" s="1864">
        <f>'Total - Traffic %'!BA43</f>
        <v>6.2E-2</v>
      </c>
      <c r="BB43" s="1865">
        <f>'Total - Traffic %'!BB43</f>
        <v>7.2999999999999995E-2</v>
      </c>
      <c r="BC43" s="1866">
        <f>'Total - Traffic %'!BC43</f>
        <v>0.122</v>
      </c>
      <c r="BD43" s="1867">
        <f>'Total - Traffic %'!BD43</f>
        <v>0.127</v>
      </c>
      <c r="BE43" s="1866">
        <f>'Total - Traffic %'!BE43</f>
        <v>0.151</v>
      </c>
      <c r="BF43" s="1868">
        <f>'Total - Traffic %'!BF43</f>
        <v>0.214</v>
      </c>
      <c r="BG43" s="1867">
        <f>'Total - Traffic %'!BG43</f>
        <v>0.13</v>
      </c>
      <c r="BH43" s="1869">
        <f>'Total - Traffic %'!BH43</f>
        <v>1</v>
      </c>
      <c r="BJ43" s="3826"/>
      <c r="BK43" s="1750" t="s">
        <v>1422</v>
      </c>
      <c r="BL43" s="1863">
        <f>'Total - Traffic %'!BL43</f>
        <v>3.0000000000000001E-3</v>
      </c>
      <c r="BM43" s="1864">
        <f>'Total - Traffic %'!BM43</f>
        <v>0.04</v>
      </c>
      <c r="BN43" s="1865">
        <f>'Total - Traffic %'!BN43</f>
        <v>2.9000000000000001E-2</v>
      </c>
      <c r="BO43" s="1863">
        <f>'Total - Traffic %'!BO43</f>
        <v>4.8000000000000001E-2</v>
      </c>
      <c r="BP43" s="1864">
        <f>'Total - Traffic %'!BP43</f>
        <v>6.2E-2</v>
      </c>
      <c r="BQ43" s="1865">
        <f>'Total - Traffic %'!BQ43</f>
        <v>7.3999999999999996E-2</v>
      </c>
      <c r="BR43" s="1866">
        <f>'Total - Traffic %'!BR43</f>
        <v>0.121</v>
      </c>
      <c r="BS43" s="1867">
        <f>'Total - Traffic %'!BS43</f>
        <v>0.127</v>
      </c>
      <c r="BT43" s="1866">
        <f>'Total - Traffic %'!BT43</f>
        <v>0.152</v>
      </c>
      <c r="BU43" s="1868">
        <f>'Total - Traffic %'!BU43</f>
        <v>0.214</v>
      </c>
      <c r="BV43" s="1867">
        <f>'Total - Traffic %'!BV43</f>
        <v>0.13</v>
      </c>
      <c r="BW43" s="1869">
        <f>'Total - Traffic %'!BW43</f>
        <v>1</v>
      </c>
      <c r="BY43" s="3826"/>
      <c r="BZ43" s="1750" t="s">
        <v>1422</v>
      </c>
      <c r="CA43" s="1863">
        <f>'Total - Traffic %'!CA43</f>
        <v>3.0000000000000001E-3</v>
      </c>
      <c r="CB43" s="1864">
        <f>'Total - Traffic %'!CB43</f>
        <v>0.04</v>
      </c>
      <c r="CC43" s="1865">
        <f>'Total - Traffic %'!CC43</f>
        <v>2.9000000000000001E-2</v>
      </c>
      <c r="CD43" s="1863">
        <f>'Total - Traffic %'!CD43</f>
        <v>4.8000000000000001E-2</v>
      </c>
      <c r="CE43" s="1864">
        <f>'Total - Traffic %'!CE43</f>
        <v>6.2E-2</v>
      </c>
      <c r="CF43" s="1865">
        <f>'Total - Traffic %'!CF43</f>
        <v>7.3999999999999996E-2</v>
      </c>
      <c r="CG43" s="1866">
        <f>'Total - Traffic %'!CG43</f>
        <v>0.12</v>
      </c>
      <c r="CH43" s="1867">
        <f>'Total - Traffic %'!CH43</f>
        <v>0.127</v>
      </c>
      <c r="CI43" s="1866">
        <f>'Total - Traffic %'!CI43</f>
        <v>0.153</v>
      </c>
      <c r="CJ43" s="1868">
        <f>'Total - Traffic %'!CJ43</f>
        <v>0.214</v>
      </c>
      <c r="CK43" s="1867">
        <f>'Total - Traffic %'!CK43</f>
        <v>0.13100000000000001</v>
      </c>
      <c r="CL43" s="1869">
        <f>'Total - Traffic %'!CL43</f>
        <v>1</v>
      </c>
    </row>
    <row r="44" spans="1:90" s="1728" customFormat="1" ht="13.5" customHeight="1" thickTop="1">
      <c r="A44" s="3840" t="s">
        <v>859</v>
      </c>
      <c r="B44" s="3841"/>
      <c r="C44" s="1733">
        <v>1</v>
      </c>
      <c r="D44" s="1849">
        <f>'Total - Traffic %'!D44</f>
        <v>0</v>
      </c>
      <c r="E44" s="1850">
        <f>'Total - Traffic %'!E44</f>
        <v>0</v>
      </c>
      <c r="F44" s="1851">
        <f>'Total - Traffic %'!F44</f>
        <v>0</v>
      </c>
      <c r="G44" s="1849">
        <f>'Total - Traffic %'!G44</f>
        <v>1.2E-2</v>
      </c>
      <c r="H44" s="1850">
        <f>'Total - Traffic %'!H44</f>
        <v>1.7999999999999999E-2</v>
      </c>
      <c r="I44" s="1851">
        <f>'Total - Traffic %'!I44</f>
        <v>5.2999999999999999E-2</v>
      </c>
      <c r="J44" s="1852">
        <f>'Total - Traffic %'!J44</f>
        <v>2.1999999999999999E-2</v>
      </c>
      <c r="K44" s="1853">
        <f>'Total - Traffic %'!K44</f>
        <v>5.8000000000000003E-2</v>
      </c>
      <c r="L44" s="1852">
        <f>'Total - Traffic %'!L44</f>
        <v>3.9E-2</v>
      </c>
      <c r="M44" s="1854">
        <f>'Total - Traffic %'!M44</f>
        <v>0.23599999999999999</v>
      </c>
      <c r="N44" s="1853">
        <f>'Total - Traffic %'!N44</f>
        <v>0.156</v>
      </c>
      <c r="O44" s="1855">
        <f>'Total - Traffic %'!O44</f>
        <v>0.59399999999999997</v>
      </c>
      <c r="Q44" s="3824" t="s">
        <v>859</v>
      </c>
      <c r="R44" s="1733">
        <v>1</v>
      </c>
      <c r="S44" s="1849">
        <f>'Total - Traffic %'!S44</f>
        <v>0</v>
      </c>
      <c r="T44" s="1850">
        <f>'Total - Traffic %'!T44</f>
        <v>0</v>
      </c>
      <c r="U44" s="1851">
        <f>'Total - Traffic %'!U44</f>
        <v>0</v>
      </c>
      <c r="V44" s="1849">
        <f>'Total - Traffic %'!V44</f>
        <v>1.2999999999999999E-2</v>
      </c>
      <c r="W44" s="1850">
        <f>'Total - Traffic %'!W44</f>
        <v>1.9E-2</v>
      </c>
      <c r="X44" s="1851">
        <f>'Total - Traffic %'!X44</f>
        <v>5.2999999999999999E-2</v>
      </c>
      <c r="Y44" s="1852">
        <f>'Total - Traffic %'!Y44</f>
        <v>2.1999999999999999E-2</v>
      </c>
      <c r="Z44" s="1853">
        <f>'Total - Traffic %'!Z44</f>
        <v>5.8999999999999997E-2</v>
      </c>
      <c r="AA44" s="1852">
        <f>'Total - Traffic %'!AA44</f>
        <v>3.9E-2</v>
      </c>
      <c r="AB44" s="1854">
        <f>'Total - Traffic %'!AB44</f>
        <v>0.23400000000000001</v>
      </c>
      <c r="AC44" s="1853">
        <f>'Total - Traffic %'!AC44</f>
        <v>0.155</v>
      </c>
      <c r="AD44" s="1855">
        <f>'Total - Traffic %'!AD44</f>
        <v>0.59399999999999997</v>
      </c>
      <c r="AF44" s="3824" t="s">
        <v>859</v>
      </c>
      <c r="AG44" s="1733">
        <v>1</v>
      </c>
      <c r="AH44" s="1849">
        <f>'Total - Traffic %'!AH44</f>
        <v>0</v>
      </c>
      <c r="AI44" s="1850">
        <f>'Total - Traffic %'!AI44</f>
        <v>0</v>
      </c>
      <c r="AJ44" s="1851">
        <f>'Total - Traffic %'!AJ44</f>
        <v>0</v>
      </c>
      <c r="AK44" s="1849">
        <f>'Total - Traffic %'!AK44</f>
        <v>1.0999999999999999E-2</v>
      </c>
      <c r="AL44" s="1850">
        <f>'Total - Traffic %'!AL44</f>
        <v>1.4999999999999999E-2</v>
      </c>
      <c r="AM44" s="1851">
        <f>'Total - Traffic %'!AM44</f>
        <v>5.1999999999999998E-2</v>
      </c>
      <c r="AN44" s="1852">
        <f>'Total - Traffic %'!AN44</f>
        <v>0.02</v>
      </c>
      <c r="AO44" s="1853">
        <f>'Total - Traffic %'!AO44</f>
        <v>5.8000000000000003E-2</v>
      </c>
      <c r="AP44" s="1852">
        <f>'Total - Traffic %'!AP44</f>
        <v>3.6999999999999998E-2</v>
      </c>
      <c r="AQ44" s="1854">
        <f>'Total - Traffic %'!AQ44</f>
        <v>0.215</v>
      </c>
      <c r="AR44" s="1853">
        <f>'Total - Traffic %'!AR44</f>
        <v>0.14899999999999999</v>
      </c>
      <c r="AS44" s="1855">
        <f>'Total - Traffic %'!AS44</f>
        <v>0.55700000000000005</v>
      </c>
      <c r="AU44" s="3824" t="s">
        <v>859</v>
      </c>
      <c r="AV44" s="1733">
        <v>1</v>
      </c>
      <c r="AW44" s="1849">
        <f>'Total - Traffic %'!AW44</f>
        <v>0</v>
      </c>
      <c r="AX44" s="1850">
        <f>'Total - Traffic %'!AX44</f>
        <v>0</v>
      </c>
      <c r="AY44" s="1851">
        <f>'Total - Traffic %'!AY44</f>
        <v>0</v>
      </c>
      <c r="AZ44" s="1849">
        <f>'Total - Traffic %'!AZ44</f>
        <v>0.01</v>
      </c>
      <c r="BA44" s="1850">
        <f>'Total - Traffic %'!BA44</f>
        <v>1.4E-2</v>
      </c>
      <c r="BB44" s="1851">
        <f>'Total - Traffic %'!BB44</f>
        <v>4.9000000000000002E-2</v>
      </c>
      <c r="BC44" s="1852">
        <f>'Total - Traffic %'!BC44</f>
        <v>1.7000000000000001E-2</v>
      </c>
      <c r="BD44" s="1853">
        <f>'Total - Traffic %'!BD44</f>
        <v>5.7000000000000002E-2</v>
      </c>
      <c r="BE44" s="1852">
        <f>'Total - Traffic %'!BE44</f>
        <v>0.03</v>
      </c>
      <c r="BF44" s="1854">
        <f>'Total - Traffic %'!BF44</f>
        <v>0.20399999999999999</v>
      </c>
      <c r="BG44" s="1853">
        <f>'Total - Traffic %'!BG44</f>
        <v>0.14599999999999999</v>
      </c>
      <c r="BH44" s="1855">
        <f>'Total - Traffic %'!BH44</f>
        <v>0.52600000000000002</v>
      </c>
      <c r="BJ44" s="3824" t="s">
        <v>859</v>
      </c>
      <c r="BK44" s="1733">
        <v>1</v>
      </c>
      <c r="BL44" s="1849">
        <f>'Total - Traffic %'!BL44</f>
        <v>0</v>
      </c>
      <c r="BM44" s="1850">
        <f>'Total - Traffic %'!BM44</f>
        <v>0</v>
      </c>
      <c r="BN44" s="1851">
        <f>'Total - Traffic %'!BN44</f>
        <v>0</v>
      </c>
      <c r="BO44" s="1849">
        <f>'Total - Traffic %'!BO44</f>
        <v>8.9999999999999993E-3</v>
      </c>
      <c r="BP44" s="1850">
        <f>'Total - Traffic %'!BP44</f>
        <v>1.4E-2</v>
      </c>
      <c r="BQ44" s="1851">
        <f>'Total - Traffic %'!BQ44</f>
        <v>4.8000000000000001E-2</v>
      </c>
      <c r="BR44" s="1852">
        <f>'Total - Traffic %'!BR44</f>
        <v>1.7000000000000001E-2</v>
      </c>
      <c r="BS44" s="1853">
        <f>'Total - Traffic %'!BS44</f>
        <v>5.5E-2</v>
      </c>
      <c r="BT44" s="1852">
        <f>'Total - Traffic %'!BT44</f>
        <v>2.9000000000000001E-2</v>
      </c>
      <c r="BU44" s="1854">
        <f>'Total - Traffic %'!BU44</f>
        <v>0.19800000000000001</v>
      </c>
      <c r="BV44" s="1853">
        <f>'Total - Traffic %'!BV44</f>
        <v>0.14599999999999999</v>
      </c>
      <c r="BW44" s="1855">
        <f>'Total - Traffic %'!BW44</f>
        <v>0.51500000000000001</v>
      </c>
      <c r="BY44" s="3824" t="s">
        <v>859</v>
      </c>
      <c r="BZ44" s="1733">
        <v>1</v>
      </c>
      <c r="CA44" s="1849">
        <f>'Total - Traffic %'!CA44</f>
        <v>0</v>
      </c>
      <c r="CB44" s="1850">
        <f>'Total - Traffic %'!CB44</f>
        <v>0</v>
      </c>
      <c r="CC44" s="1851">
        <f>'Total - Traffic %'!CC44</f>
        <v>0</v>
      </c>
      <c r="CD44" s="1849">
        <f>'Total - Traffic %'!CD44</f>
        <v>8.0000000000000002E-3</v>
      </c>
      <c r="CE44" s="1850">
        <f>'Total - Traffic %'!CE44</f>
        <v>1.2999999999999999E-2</v>
      </c>
      <c r="CF44" s="1851">
        <f>'Total - Traffic %'!CF44</f>
        <v>4.8000000000000001E-2</v>
      </c>
      <c r="CG44" s="1852">
        <f>'Total - Traffic %'!CG44</f>
        <v>1.6E-2</v>
      </c>
      <c r="CH44" s="1853">
        <f>'Total - Traffic %'!CH44</f>
        <v>5.3999999999999999E-2</v>
      </c>
      <c r="CI44" s="1852">
        <f>'Total - Traffic %'!CI44</f>
        <v>2.4E-2</v>
      </c>
      <c r="CJ44" s="1854">
        <f>'Total - Traffic %'!CJ44</f>
        <v>0.19500000000000001</v>
      </c>
      <c r="CK44" s="1853">
        <f>'Total - Traffic %'!CK44</f>
        <v>0.14399999999999999</v>
      </c>
      <c r="CL44" s="1855">
        <f>'Total - Traffic %'!CL44</f>
        <v>0.502</v>
      </c>
    </row>
    <row r="45" spans="1:90" s="1728" customFormat="1" ht="13.5" customHeight="1">
      <c r="A45" s="3842"/>
      <c r="B45" s="3843"/>
      <c r="C45" s="1741">
        <v>2</v>
      </c>
      <c r="D45" s="1856">
        <f>'Total - Traffic %'!D45</f>
        <v>0</v>
      </c>
      <c r="E45" s="1857">
        <f>'Total - Traffic %'!E45</f>
        <v>0</v>
      </c>
      <c r="F45" s="1858">
        <f>'Total - Traffic %'!F45</f>
        <v>0</v>
      </c>
      <c r="G45" s="1856">
        <f>'Total - Traffic %'!G45</f>
        <v>2.4E-2</v>
      </c>
      <c r="H45" s="1857">
        <f>'Total - Traffic %'!H45</f>
        <v>0.03</v>
      </c>
      <c r="I45" s="1858">
        <f>'Total - Traffic %'!I45</f>
        <v>1.6E-2</v>
      </c>
      <c r="J45" s="1859">
        <f>'Total - Traffic %'!J45</f>
        <v>3.5000000000000003E-2</v>
      </c>
      <c r="K45" s="1860">
        <f>'Total - Traffic %'!K45</f>
        <v>1.4999999999999999E-2</v>
      </c>
      <c r="L45" s="1859">
        <f>'Total - Traffic %'!L45</f>
        <v>0.03</v>
      </c>
      <c r="M45" s="1861">
        <f>'Total - Traffic %'!M45</f>
        <v>8.6999999999999994E-2</v>
      </c>
      <c r="N45" s="1860">
        <f>'Total - Traffic %'!N45</f>
        <v>0.02</v>
      </c>
      <c r="O45" s="1862">
        <f>'Total - Traffic %'!O45</f>
        <v>0.25800000000000001</v>
      </c>
      <c r="Q45" s="3825"/>
      <c r="R45" s="1741">
        <v>2</v>
      </c>
      <c r="S45" s="1856">
        <f>'Total - Traffic %'!S45</f>
        <v>0</v>
      </c>
      <c r="T45" s="1857">
        <f>'Total - Traffic %'!T45</f>
        <v>0</v>
      </c>
      <c r="U45" s="1858">
        <f>'Total - Traffic %'!U45</f>
        <v>0</v>
      </c>
      <c r="V45" s="1856">
        <f>'Total - Traffic %'!V45</f>
        <v>2.5000000000000001E-2</v>
      </c>
      <c r="W45" s="1857">
        <f>'Total - Traffic %'!W45</f>
        <v>3.3000000000000002E-2</v>
      </c>
      <c r="X45" s="1858">
        <f>'Total - Traffic %'!X45</f>
        <v>1.6E-2</v>
      </c>
      <c r="Y45" s="1859">
        <f>'Total - Traffic %'!Y45</f>
        <v>3.4000000000000002E-2</v>
      </c>
      <c r="Z45" s="1860">
        <f>'Total - Traffic %'!Z45</f>
        <v>1.4999999999999999E-2</v>
      </c>
      <c r="AA45" s="1859">
        <f>'Total - Traffic %'!AA45</f>
        <v>2.8000000000000001E-2</v>
      </c>
      <c r="AB45" s="1861">
        <f>'Total - Traffic %'!AB45</f>
        <v>8.6999999999999994E-2</v>
      </c>
      <c r="AC45" s="1860">
        <f>'Total - Traffic %'!AC45</f>
        <v>0.02</v>
      </c>
      <c r="AD45" s="1862">
        <f>'Total - Traffic %'!AD45</f>
        <v>0.25900000000000001</v>
      </c>
      <c r="AF45" s="3825"/>
      <c r="AG45" s="1741">
        <v>2</v>
      </c>
      <c r="AH45" s="1856">
        <f>'Total - Traffic %'!AH45</f>
        <v>0</v>
      </c>
      <c r="AI45" s="1857">
        <f>'Total - Traffic %'!AI45</f>
        <v>0</v>
      </c>
      <c r="AJ45" s="1858">
        <f>'Total - Traffic %'!AJ45</f>
        <v>0</v>
      </c>
      <c r="AK45" s="1856">
        <f>'Total - Traffic %'!AK45</f>
        <v>0.02</v>
      </c>
      <c r="AL45" s="1857">
        <f>'Total - Traffic %'!AL45</f>
        <v>3.2000000000000001E-2</v>
      </c>
      <c r="AM45" s="1858">
        <f>'Total - Traffic %'!AM45</f>
        <v>1.6E-2</v>
      </c>
      <c r="AN45" s="1859">
        <f>'Total - Traffic %'!AN45</f>
        <v>3.4000000000000002E-2</v>
      </c>
      <c r="AO45" s="1860">
        <f>'Total - Traffic %'!AO45</f>
        <v>1.4999999999999999E-2</v>
      </c>
      <c r="AP45" s="1859">
        <f>'Total - Traffic %'!AP45</f>
        <v>2.9000000000000001E-2</v>
      </c>
      <c r="AQ45" s="1861">
        <f>'Total - Traffic %'!AQ45</f>
        <v>0.106</v>
      </c>
      <c r="AR45" s="1860">
        <f>'Total - Traffic %'!AR45</f>
        <v>2.5000000000000001E-2</v>
      </c>
      <c r="AS45" s="1862">
        <f>'Total - Traffic %'!AS45</f>
        <v>0.27700000000000002</v>
      </c>
      <c r="AU45" s="3825"/>
      <c r="AV45" s="1741">
        <v>2</v>
      </c>
      <c r="AW45" s="1856">
        <f>'Total - Traffic %'!AW45</f>
        <v>0</v>
      </c>
      <c r="AX45" s="1857">
        <f>'Total - Traffic %'!AX45</f>
        <v>0</v>
      </c>
      <c r="AY45" s="1858">
        <f>'Total - Traffic %'!AY45</f>
        <v>0</v>
      </c>
      <c r="AZ45" s="1856">
        <f>'Total - Traffic %'!AZ45</f>
        <v>1.7999999999999999E-2</v>
      </c>
      <c r="BA45" s="1857">
        <f>'Total - Traffic %'!BA45</f>
        <v>2.9000000000000001E-2</v>
      </c>
      <c r="BB45" s="1858">
        <f>'Total - Traffic %'!BB45</f>
        <v>1.7000000000000001E-2</v>
      </c>
      <c r="BC45" s="1859">
        <f>'Total - Traffic %'!BC45</f>
        <v>3.2000000000000001E-2</v>
      </c>
      <c r="BD45" s="1860">
        <f>'Total - Traffic %'!BD45</f>
        <v>1.4999999999999999E-2</v>
      </c>
      <c r="BE45" s="1859">
        <f>'Total - Traffic %'!BE45</f>
        <v>3.4000000000000002E-2</v>
      </c>
      <c r="BF45" s="1861">
        <f>'Total - Traffic %'!BF45</f>
        <v>0.111</v>
      </c>
      <c r="BG45" s="1860">
        <f>'Total - Traffic %'!BG45</f>
        <v>2.5000000000000001E-2</v>
      </c>
      <c r="BH45" s="1862">
        <f>'Total - Traffic %'!BH45</f>
        <v>0.28000000000000003</v>
      </c>
      <c r="BJ45" s="3825"/>
      <c r="BK45" s="1741">
        <v>2</v>
      </c>
      <c r="BL45" s="1856">
        <f>'Total - Traffic %'!BL45</f>
        <v>0</v>
      </c>
      <c r="BM45" s="1857">
        <f>'Total - Traffic %'!BM45</f>
        <v>0</v>
      </c>
      <c r="BN45" s="1858">
        <f>'Total - Traffic %'!BN45</f>
        <v>0</v>
      </c>
      <c r="BO45" s="1856">
        <f>'Total - Traffic %'!BO45</f>
        <v>1.4999999999999999E-2</v>
      </c>
      <c r="BP45" s="1857">
        <f>'Total - Traffic %'!BP45</f>
        <v>2.5999999999999999E-2</v>
      </c>
      <c r="BQ45" s="1858">
        <f>'Total - Traffic %'!BQ45</f>
        <v>1.7000000000000001E-2</v>
      </c>
      <c r="BR45" s="1859">
        <f>'Total - Traffic %'!BR45</f>
        <v>0.03</v>
      </c>
      <c r="BS45" s="1860">
        <f>'Total - Traffic %'!BS45</f>
        <v>1.4999999999999999E-2</v>
      </c>
      <c r="BT45" s="1859">
        <f>'Total - Traffic %'!BT45</f>
        <v>3.4000000000000002E-2</v>
      </c>
      <c r="BU45" s="1861">
        <f>'Total - Traffic %'!BU45</f>
        <v>0.11</v>
      </c>
      <c r="BV45" s="1860">
        <f>'Total - Traffic %'!BV45</f>
        <v>2.5000000000000001E-2</v>
      </c>
      <c r="BW45" s="1862">
        <f>'Total - Traffic %'!BW45</f>
        <v>0.27200000000000002</v>
      </c>
      <c r="BY45" s="3825"/>
      <c r="BZ45" s="1741">
        <v>2</v>
      </c>
      <c r="CA45" s="1856">
        <f>'Total - Traffic %'!CA45</f>
        <v>0</v>
      </c>
      <c r="CB45" s="1857">
        <f>'Total - Traffic %'!CB45</f>
        <v>0</v>
      </c>
      <c r="CC45" s="1858">
        <f>'Total - Traffic %'!CC45</f>
        <v>0</v>
      </c>
      <c r="CD45" s="1856">
        <f>'Total - Traffic %'!CD45</f>
        <v>1.4E-2</v>
      </c>
      <c r="CE45" s="1857">
        <f>'Total - Traffic %'!CE45</f>
        <v>2.1999999999999999E-2</v>
      </c>
      <c r="CF45" s="1858">
        <f>'Total - Traffic %'!CF45</f>
        <v>1.6E-2</v>
      </c>
      <c r="CG45" s="1859">
        <f>'Total - Traffic %'!CG45</f>
        <v>2.7E-2</v>
      </c>
      <c r="CH45" s="1860">
        <f>'Total - Traffic %'!CH45</f>
        <v>1.6E-2</v>
      </c>
      <c r="CI45" s="1859">
        <f>'Total - Traffic %'!CI45</f>
        <v>3.4000000000000002E-2</v>
      </c>
      <c r="CJ45" s="1861">
        <f>'Total - Traffic %'!CJ45</f>
        <v>0.111</v>
      </c>
      <c r="CK45" s="1860">
        <f>'Total - Traffic %'!CK45</f>
        <v>2.5999999999999999E-2</v>
      </c>
      <c r="CL45" s="1862">
        <f>'Total - Traffic %'!CL45</f>
        <v>0.26700000000000002</v>
      </c>
    </row>
    <row r="46" spans="1:90" s="1728" customFormat="1" ht="13.5" customHeight="1">
      <c r="A46" s="3842"/>
      <c r="B46" s="3843"/>
      <c r="C46" s="1741">
        <v>3</v>
      </c>
      <c r="D46" s="1856">
        <f>'Total - Traffic %'!D46</f>
        <v>0</v>
      </c>
      <c r="E46" s="1857">
        <f>'Total - Traffic %'!E46</f>
        <v>0</v>
      </c>
      <c r="F46" s="1858">
        <f>'Total - Traffic %'!F46</f>
        <v>0</v>
      </c>
      <c r="G46" s="1856">
        <f>'Total - Traffic %'!G46</f>
        <v>1.6E-2</v>
      </c>
      <c r="H46" s="1857">
        <f>'Total - Traffic %'!H46</f>
        <v>1.7999999999999999E-2</v>
      </c>
      <c r="I46" s="1858">
        <f>'Total - Traffic %'!I46</f>
        <v>6.0000000000000001E-3</v>
      </c>
      <c r="J46" s="1859">
        <f>'Total - Traffic %'!J46</f>
        <v>2.5000000000000001E-2</v>
      </c>
      <c r="K46" s="1860">
        <f>'Total - Traffic %'!K46</f>
        <v>2E-3</v>
      </c>
      <c r="L46" s="1859">
        <f>'Total - Traffic %'!L46</f>
        <v>5.0000000000000001E-3</v>
      </c>
      <c r="M46" s="1861">
        <f>'Total - Traffic %'!M46</f>
        <v>1.7000000000000001E-2</v>
      </c>
      <c r="N46" s="1860">
        <f>'Total - Traffic %'!N46</f>
        <v>4.0000000000000001E-3</v>
      </c>
      <c r="O46" s="1862">
        <f>'Total - Traffic %'!O46</f>
        <v>9.2999999999999999E-2</v>
      </c>
      <c r="Q46" s="3825"/>
      <c r="R46" s="1741">
        <v>3</v>
      </c>
      <c r="S46" s="1856">
        <f>'Total - Traffic %'!S46</f>
        <v>0</v>
      </c>
      <c r="T46" s="1857">
        <f>'Total - Traffic %'!T46</f>
        <v>0</v>
      </c>
      <c r="U46" s="1858">
        <f>'Total - Traffic %'!U46</f>
        <v>0</v>
      </c>
      <c r="V46" s="1856">
        <f>'Total - Traffic %'!V46</f>
        <v>1.6E-2</v>
      </c>
      <c r="W46" s="1857">
        <f>'Total - Traffic %'!W46</f>
        <v>1.7999999999999999E-2</v>
      </c>
      <c r="X46" s="1858">
        <f>'Total - Traffic %'!X46</f>
        <v>6.0000000000000001E-3</v>
      </c>
      <c r="Y46" s="1859">
        <f>'Total - Traffic %'!Y46</f>
        <v>2.5000000000000001E-2</v>
      </c>
      <c r="Z46" s="1860">
        <f>'Total - Traffic %'!Z46</f>
        <v>2E-3</v>
      </c>
      <c r="AA46" s="1859">
        <f>'Total - Traffic %'!AA46</f>
        <v>7.0000000000000001E-3</v>
      </c>
      <c r="AB46" s="1861">
        <f>'Total - Traffic %'!AB46</f>
        <v>1.6E-2</v>
      </c>
      <c r="AC46" s="1860">
        <f>'Total - Traffic %'!AC46</f>
        <v>5.0000000000000001E-3</v>
      </c>
      <c r="AD46" s="1862">
        <f>'Total - Traffic %'!AD46</f>
        <v>9.4E-2</v>
      </c>
      <c r="AF46" s="3825"/>
      <c r="AG46" s="1741">
        <v>3</v>
      </c>
      <c r="AH46" s="1856">
        <f>'Total - Traffic %'!AH46</f>
        <v>0</v>
      </c>
      <c r="AI46" s="1857">
        <f>'Total - Traffic %'!AI46</f>
        <v>0</v>
      </c>
      <c r="AJ46" s="1858">
        <f>'Total - Traffic %'!AJ46</f>
        <v>0</v>
      </c>
      <c r="AK46" s="1856">
        <f>'Total - Traffic %'!AK46</f>
        <v>2.1000000000000001E-2</v>
      </c>
      <c r="AL46" s="1857">
        <f>'Total - Traffic %'!AL46</f>
        <v>0.02</v>
      </c>
      <c r="AM46" s="1858">
        <f>'Total - Traffic %'!AM46</f>
        <v>7.0000000000000001E-3</v>
      </c>
      <c r="AN46" s="1859">
        <f>'Total - Traffic %'!AN46</f>
        <v>2.5000000000000001E-2</v>
      </c>
      <c r="AO46" s="1860">
        <f>'Total - Traffic %'!AO46</f>
        <v>2E-3</v>
      </c>
      <c r="AP46" s="1859">
        <f>'Total - Traffic %'!AP46</f>
        <v>8.9999999999999993E-3</v>
      </c>
      <c r="AQ46" s="1861">
        <f>'Total - Traffic %'!AQ46</f>
        <v>1.7000000000000001E-2</v>
      </c>
      <c r="AR46" s="1860">
        <f>'Total - Traffic %'!AR46</f>
        <v>6.0000000000000001E-3</v>
      </c>
      <c r="AS46" s="1862">
        <f>'Total - Traffic %'!AS46</f>
        <v>0.106</v>
      </c>
      <c r="AU46" s="3825"/>
      <c r="AV46" s="1741">
        <v>3</v>
      </c>
      <c r="AW46" s="1856">
        <f>'Total - Traffic %'!AW46</f>
        <v>0</v>
      </c>
      <c r="AX46" s="1857">
        <f>'Total - Traffic %'!AX46</f>
        <v>0</v>
      </c>
      <c r="AY46" s="1858">
        <f>'Total - Traffic %'!AY46</f>
        <v>0</v>
      </c>
      <c r="AZ46" s="1856">
        <f>'Total - Traffic %'!AZ46</f>
        <v>2.1999999999999999E-2</v>
      </c>
      <c r="BA46" s="1857">
        <f>'Total - Traffic %'!BA46</f>
        <v>2.4E-2</v>
      </c>
      <c r="BB46" s="1858">
        <f>'Total - Traffic %'!BB46</f>
        <v>8.0000000000000002E-3</v>
      </c>
      <c r="BC46" s="1859">
        <f>'Total - Traffic %'!BC46</f>
        <v>2.5999999999999999E-2</v>
      </c>
      <c r="BD46" s="1860">
        <f>'Total - Traffic %'!BD46</f>
        <v>2E-3</v>
      </c>
      <c r="BE46" s="1859">
        <f>'Total - Traffic %'!BE46</f>
        <v>1.4999999999999999E-2</v>
      </c>
      <c r="BF46" s="1861">
        <f>'Total - Traffic %'!BF46</f>
        <v>2.1999999999999999E-2</v>
      </c>
      <c r="BG46" s="1860">
        <f>'Total - Traffic %'!BG46</f>
        <v>7.0000000000000001E-3</v>
      </c>
      <c r="BH46" s="1862">
        <f>'Total - Traffic %'!BH46</f>
        <v>0.126</v>
      </c>
      <c r="BJ46" s="3825"/>
      <c r="BK46" s="1741">
        <v>3</v>
      </c>
      <c r="BL46" s="1856">
        <f>'Total - Traffic %'!BL46</f>
        <v>0</v>
      </c>
      <c r="BM46" s="1857">
        <f>'Total - Traffic %'!BM46</f>
        <v>0</v>
      </c>
      <c r="BN46" s="1858">
        <f>'Total - Traffic %'!BN46</f>
        <v>0</v>
      </c>
      <c r="BO46" s="1856">
        <f>'Total - Traffic %'!BO46</f>
        <v>2.4E-2</v>
      </c>
      <c r="BP46" s="1857">
        <f>'Total - Traffic %'!BP46</f>
        <v>2.5000000000000001E-2</v>
      </c>
      <c r="BQ46" s="1858">
        <f>'Total - Traffic %'!BQ46</f>
        <v>8.0000000000000002E-3</v>
      </c>
      <c r="BR46" s="1859">
        <f>'Total - Traffic %'!BR46</f>
        <v>2.5999999999999999E-2</v>
      </c>
      <c r="BS46" s="1860">
        <f>'Total - Traffic %'!BS46</f>
        <v>2E-3</v>
      </c>
      <c r="BT46" s="1859">
        <f>'Total - Traffic %'!BT46</f>
        <v>1.4999999999999999E-2</v>
      </c>
      <c r="BU46" s="1861">
        <f>'Total - Traffic %'!BU46</f>
        <v>2.7E-2</v>
      </c>
      <c r="BV46" s="1860">
        <f>'Total - Traffic %'!BV46</f>
        <v>7.0000000000000001E-3</v>
      </c>
      <c r="BW46" s="1862">
        <f>'Total - Traffic %'!BW46</f>
        <v>0.13500000000000001</v>
      </c>
      <c r="BY46" s="3825"/>
      <c r="BZ46" s="1741">
        <v>3</v>
      </c>
      <c r="CA46" s="1856">
        <f>'Total - Traffic %'!CA46</f>
        <v>0</v>
      </c>
      <c r="CB46" s="1857">
        <f>'Total - Traffic %'!CB46</f>
        <v>0</v>
      </c>
      <c r="CC46" s="1858">
        <f>'Total - Traffic %'!CC46</f>
        <v>0</v>
      </c>
      <c r="CD46" s="1856">
        <f>'Total - Traffic %'!CD46</f>
        <v>2.3E-2</v>
      </c>
      <c r="CE46" s="1857">
        <f>'Total - Traffic %'!CE46</f>
        <v>2.8000000000000001E-2</v>
      </c>
      <c r="CF46" s="1858">
        <f>'Total - Traffic %'!CF46</f>
        <v>8.0000000000000002E-3</v>
      </c>
      <c r="CG46" s="1859">
        <f>'Total - Traffic %'!CG46</f>
        <v>2.7E-2</v>
      </c>
      <c r="CH46" s="1860">
        <f>'Total - Traffic %'!CH46</f>
        <v>2E-3</v>
      </c>
      <c r="CI46" s="1859">
        <f>'Total - Traffic %'!CI46</f>
        <v>1.7999999999999999E-2</v>
      </c>
      <c r="CJ46" s="1861">
        <f>'Total - Traffic %'!CJ46</f>
        <v>2.9000000000000001E-2</v>
      </c>
      <c r="CK46" s="1860">
        <f>'Total - Traffic %'!CK46</f>
        <v>8.0000000000000002E-3</v>
      </c>
      <c r="CL46" s="1862">
        <f>'Total - Traffic %'!CL46</f>
        <v>0.14299999999999999</v>
      </c>
    </row>
    <row r="47" spans="1:90" s="1728" customFormat="1" ht="13.5" customHeight="1">
      <c r="A47" s="3842"/>
      <c r="B47" s="3843"/>
      <c r="C47" s="1741">
        <v>4</v>
      </c>
      <c r="D47" s="1856">
        <f>'Total - Traffic %'!D47</f>
        <v>0</v>
      </c>
      <c r="E47" s="1857">
        <f>'Total - Traffic %'!E47</f>
        <v>0</v>
      </c>
      <c r="F47" s="1858">
        <f>'Total - Traffic %'!F47</f>
        <v>0</v>
      </c>
      <c r="G47" s="1856">
        <f>'Total - Traffic %'!G47</f>
        <v>6.0000000000000001E-3</v>
      </c>
      <c r="H47" s="1857">
        <f>'Total - Traffic %'!H47</f>
        <v>1.0999999999999999E-2</v>
      </c>
      <c r="I47" s="1858">
        <f>'Total - Traffic %'!I47</f>
        <v>1E-3</v>
      </c>
      <c r="J47" s="1859">
        <f>'Total - Traffic %'!J47</f>
        <v>1.4E-2</v>
      </c>
      <c r="K47" s="1860">
        <f>'Total - Traffic %'!K47</f>
        <v>0</v>
      </c>
      <c r="L47" s="1859">
        <f>'Total - Traffic %'!L47</f>
        <v>1E-3</v>
      </c>
      <c r="M47" s="1861">
        <f>'Total - Traffic %'!M47</f>
        <v>5.0000000000000001E-3</v>
      </c>
      <c r="N47" s="1860">
        <f>'Total - Traffic %'!N47</f>
        <v>2E-3</v>
      </c>
      <c r="O47" s="1862">
        <f>'Total - Traffic %'!O47</f>
        <v>4.2000000000000003E-2</v>
      </c>
      <c r="Q47" s="3825"/>
      <c r="R47" s="1741">
        <v>4</v>
      </c>
      <c r="S47" s="1856">
        <f>'Total - Traffic %'!S47</f>
        <v>0</v>
      </c>
      <c r="T47" s="1857">
        <f>'Total - Traffic %'!T47</f>
        <v>0</v>
      </c>
      <c r="U47" s="1858">
        <f>'Total - Traffic %'!U47</f>
        <v>0</v>
      </c>
      <c r="V47" s="1856">
        <f>'Total - Traffic %'!V47</f>
        <v>4.0000000000000001E-3</v>
      </c>
      <c r="W47" s="1857">
        <f>'Total - Traffic %'!W47</f>
        <v>8.0000000000000002E-3</v>
      </c>
      <c r="X47" s="1858">
        <f>'Total - Traffic %'!X47</f>
        <v>1E-3</v>
      </c>
      <c r="Y47" s="1859">
        <f>'Total - Traffic %'!Y47</f>
        <v>1.4999999999999999E-2</v>
      </c>
      <c r="Z47" s="1860">
        <f>'Total - Traffic %'!Z47</f>
        <v>0</v>
      </c>
      <c r="AA47" s="1859">
        <f>'Total - Traffic %'!AA47</f>
        <v>1E-3</v>
      </c>
      <c r="AB47" s="1861">
        <f>'Total - Traffic %'!AB47</f>
        <v>5.0000000000000001E-3</v>
      </c>
      <c r="AC47" s="1860">
        <f>'Total - Traffic %'!AC47</f>
        <v>2E-3</v>
      </c>
      <c r="AD47" s="1862">
        <f>'Total - Traffic %'!AD47</f>
        <v>3.6999999999999998E-2</v>
      </c>
      <c r="AF47" s="3825"/>
      <c r="AG47" s="1741">
        <v>4</v>
      </c>
      <c r="AH47" s="1856">
        <f>'Total - Traffic %'!AH47</f>
        <v>0</v>
      </c>
      <c r="AI47" s="1857">
        <f>'Total - Traffic %'!AI47</f>
        <v>0</v>
      </c>
      <c r="AJ47" s="1858">
        <f>'Total - Traffic %'!AJ47</f>
        <v>0</v>
      </c>
      <c r="AK47" s="1856">
        <f>'Total - Traffic %'!AK47</f>
        <v>6.0000000000000001E-3</v>
      </c>
      <c r="AL47" s="1857">
        <f>'Total - Traffic %'!AL47</f>
        <v>8.9999999999999993E-3</v>
      </c>
      <c r="AM47" s="1858">
        <f>'Total - Traffic %'!AM47</f>
        <v>1E-3</v>
      </c>
      <c r="AN47" s="1859">
        <f>'Total - Traffic %'!AN47</f>
        <v>1.7000000000000001E-2</v>
      </c>
      <c r="AO47" s="1860">
        <f>'Total - Traffic %'!AO47</f>
        <v>1E-3</v>
      </c>
      <c r="AP47" s="1859">
        <f>'Total - Traffic %'!AP47</f>
        <v>2E-3</v>
      </c>
      <c r="AQ47" s="1861">
        <f>'Total - Traffic %'!AQ47</f>
        <v>6.0000000000000001E-3</v>
      </c>
      <c r="AR47" s="1860">
        <f>'Total - Traffic %'!AR47</f>
        <v>2E-3</v>
      </c>
      <c r="AS47" s="1862">
        <f>'Total - Traffic %'!AS47</f>
        <v>4.2999999999999997E-2</v>
      </c>
      <c r="AU47" s="3825"/>
      <c r="AV47" s="1741">
        <v>4</v>
      </c>
      <c r="AW47" s="1856">
        <f>'Total - Traffic %'!AW47</f>
        <v>0</v>
      </c>
      <c r="AX47" s="1857">
        <f>'Total - Traffic %'!AX47</f>
        <v>0</v>
      </c>
      <c r="AY47" s="1858">
        <f>'Total - Traffic %'!AY47</f>
        <v>0</v>
      </c>
      <c r="AZ47" s="1856">
        <f>'Total - Traffic %'!AZ47</f>
        <v>8.9999999999999993E-3</v>
      </c>
      <c r="BA47" s="1857">
        <f>'Total - Traffic %'!BA47</f>
        <v>8.9999999999999993E-3</v>
      </c>
      <c r="BB47" s="1858">
        <f>'Total - Traffic %'!BB47</f>
        <v>1E-3</v>
      </c>
      <c r="BC47" s="1859">
        <f>'Total - Traffic %'!BC47</f>
        <v>1.6E-2</v>
      </c>
      <c r="BD47" s="1860">
        <f>'Total - Traffic %'!BD47</f>
        <v>1E-3</v>
      </c>
      <c r="BE47" s="1859">
        <f>'Total - Traffic %'!BE47</f>
        <v>2E-3</v>
      </c>
      <c r="BF47" s="1861">
        <f>'Total - Traffic %'!BF47</f>
        <v>6.0000000000000001E-3</v>
      </c>
      <c r="BG47" s="1860">
        <f>'Total - Traffic %'!BG47</f>
        <v>3.0000000000000001E-3</v>
      </c>
      <c r="BH47" s="1862">
        <f>'Total - Traffic %'!BH47</f>
        <v>4.7E-2</v>
      </c>
      <c r="BJ47" s="3825"/>
      <c r="BK47" s="1741">
        <v>4</v>
      </c>
      <c r="BL47" s="1856">
        <f>'Total - Traffic %'!BL47</f>
        <v>0</v>
      </c>
      <c r="BM47" s="1857">
        <f>'Total - Traffic %'!BM47</f>
        <v>0</v>
      </c>
      <c r="BN47" s="1858">
        <f>'Total - Traffic %'!BN47</f>
        <v>0</v>
      </c>
      <c r="BO47" s="1856">
        <f>'Total - Traffic %'!BO47</f>
        <v>1.0999999999999999E-2</v>
      </c>
      <c r="BP47" s="1857">
        <f>'Total - Traffic %'!BP47</f>
        <v>1.0999999999999999E-2</v>
      </c>
      <c r="BQ47" s="1858">
        <f>'Total - Traffic %'!BQ47</f>
        <v>2E-3</v>
      </c>
      <c r="BR47" s="1859">
        <f>'Total - Traffic %'!BR47</f>
        <v>1.6E-2</v>
      </c>
      <c r="BS47" s="1860">
        <f>'Total - Traffic %'!BS47</f>
        <v>1E-3</v>
      </c>
      <c r="BT47" s="1859">
        <f>'Total - Traffic %'!BT47</f>
        <v>3.0000000000000001E-3</v>
      </c>
      <c r="BU47" s="1861">
        <f>'Total - Traffic %'!BU47</f>
        <v>6.0000000000000001E-3</v>
      </c>
      <c r="BV47" s="1860">
        <f>'Total - Traffic %'!BV47</f>
        <v>3.0000000000000001E-3</v>
      </c>
      <c r="BW47" s="1862">
        <f>'Total - Traffic %'!BW47</f>
        <v>5.2999999999999999E-2</v>
      </c>
      <c r="BY47" s="3825"/>
      <c r="BZ47" s="1741">
        <v>4</v>
      </c>
      <c r="CA47" s="1856">
        <f>'Total - Traffic %'!CA47</f>
        <v>0</v>
      </c>
      <c r="CB47" s="1857">
        <f>'Total - Traffic %'!CB47</f>
        <v>0</v>
      </c>
      <c r="CC47" s="1858">
        <f>'Total - Traffic %'!CC47</f>
        <v>0</v>
      </c>
      <c r="CD47" s="1856">
        <f>'Total - Traffic %'!CD47</f>
        <v>1.2999999999999999E-2</v>
      </c>
      <c r="CE47" s="1857">
        <f>'Total - Traffic %'!CE47</f>
        <v>1.2E-2</v>
      </c>
      <c r="CF47" s="1858">
        <f>'Total - Traffic %'!CF47</f>
        <v>3.0000000000000001E-3</v>
      </c>
      <c r="CG47" s="1859">
        <f>'Total - Traffic %'!CG47</f>
        <v>1.7000000000000001E-2</v>
      </c>
      <c r="CH47" s="1860">
        <f>'Total - Traffic %'!CH47</f>
        <v>1E-3</v>
      </c>
      <c r="CI47" s="1859">
        <f>'Total - Traffic %'!CI47</f>
        <v>3.0000000000000001E-3</v>
      </c>
      <c r="CJ47" s="1861">
        <f>'Total - Traffic %'!CJ47</f>
        <v>8.0000000000000002E-3</v>
      </c>
      <c r="CK47" s="1860">
        <f>'Total - Traffic %'!CK47</f>
        <v>3.0000000000000001E-3</v>
      </c>
      <c r="CL47" s="1862">
        <f>'Total - Traffic %'!CL47</f>
        <v>0.06</v>
      </c>
    </row>
    <row r="48" spans="1:90" s="1728" customFormat="1" ht="13.5" customHeight="1">
      <c r="A48" s="3842"/>
      <c r="B48" s="3843"/>
      <c r="C48" s="1749">
        <v>5</v>
      </c>
      <c r="D48" s="1856">
        <f>'Total - Traffic %'!D48</f>
        <v>0</v>
      </c>
      <c r="E48" s="1857">
        <f>'Total - Traffic %'!E48</f>
        <v>0</v>
      </c>
      <c r="F48" s="1858">
        <f>'Total - Traffic %'!F48</f>
        <v>0</v>
      </c>
      <c r="G48" s="1856">
        <f>'Total - Traffic %'!G48</f>
        <v>1E-3</v>
      </c>
      <c r="H48" s="1857">
        <f>'Total - Traffic %'!H48</f>
        <v>3.0000000000000001E-3</v>
      </c>
      <c r="I48" s="1858">
        <f>'Total - Traffic %'!I48</f>
        <v>0</v>
      </c>
      <c r="J48" s="1859">
        <f>'Total - Traffic %'!J48</f>
        <v>7.0000000000000001E-3</v>
      </c>
      <c r="K48" s="1860">
        <f>'Total - Traffic %'!K48</f>
        <v>0</v>
      </c>
      <c r="L48" s="1859">
        <f>'Total - Traffic %'!L48</f>
        <v>0</v>
      </c>
      <c r="M48" s="1861">
        <f>'Total - Traffic %'!M48</f>
        <v>0</v>
      </c>
      <c r="N48" s="1860">
        <f>'Total - Traffic %'!N48</f>
        <v>1E-3</v>
      </c>
      <c r="O48" s="1862">
        <f>'Total - Traffic %'!O48</f>
        <v>1.2999999999999999E-2</v>
      </c>
      <c r="Q48" s="3825"/>
      <c r="R48" s="1749">
        <v>5</v>
      </c>
      <c r="S48" s="1856">
        <f>'Total - Traffic %'!S48</f>
        <v>0</v>
      </c>
      <c r="T48" s="1857">
        <f>'Total - Traffic %'!T48</f>
        <v>0</v>
      </c>
      <c r="U48" s="1858">
        <f>'Total - Traffic %'!U48</f>
        <v>0</v>
      </c>
      <c r="V48" s="1856">
        <f>'Total - Traffic %'!V48</f>
        <v>2E-3</v>
      </c>
      <c r="W48" s="1857">
        <f>'Total - Traffic %'!W48</f>
        <v>3.0000000000000001E-3</v>
      </c>
      <c r="X48" s="1858">
        <f>'Total - Traffic %'!X48</f>
        <v>0</v>
      </c>
      <c r="Y48" s="1859">
        <f>'Total - Traffic %'!Y48</f>
        <v>7.0000000000000001E-3</v>
      </c>
      <c r="Z48" s="1860">
        <f>'Total - Traffic %'!Z48</f>
        <v>0</v>
      </c>
      <c r="AA48" s="1859">
        <f>'Total - Traffic %'!AA48</f>
        <v>0</v>
      </c>
      <c r="AB48" s="1861">
        <f>'Total - Traffic %'!AB48</f>
        <v>0</v>
      </c>
      <c r="AC48" s="1860">
        <f>'Total - Traffic %'!AC48</f>
        <v>1E-3</v>
      </c>
      <c r="AD48" s="1862">
        <f>'Total - Traffic %'!AD48</f>
        <v>1.4E-2</v>
      </c>
      <c r="AF48" s="3825"/>
      <c r="AG48" s="1749">
        <v>5</v>
      </c>
      <c r="AH48" s="1856">
        <f>'Total - Traffic %'!AH48</f>
        <v>0</v>
      </c>
      <c r="AI48" s="1857">
        <f>'Total - Traffic %'!AI48</f>
        <v>0</v>
      </c>
      <c r="AJ48" s="1858">
        <f>'Total - Traffic %'!AJ48</f>
        <v>0</v>
      </c>
      <c r="AK48" s="1856">
        <f>'Total - Traffic %'!AK48</f>
        <v>3.0000000000000001E-3</v>
      </c>
      <c r="AL48" s="1857">
        <f>'Total - Traffic %'!AL48</f>
        <v>4.0000000000000001E-3</v>
      </c>
      <c r="AM48" s="1858">
        <f>'Total - Traffic %'!AM48</f>
        <v>1E-3</v>
      </c>
      <c r="AN48" s="1859">
        <f>'Total - Traffic %'!AN48</f>
        <v>7.0000000000000001E-3</v>
      </c>
      <c r="AO48" s="1860">
        <f>'Total - Traffic %'!AO48</f>
        <v>0</v>
      </c>
      <c r="AP48" s="1859">
        <f>'Total - Traffic %'!AP48</f>
        <v>0</v>
      </c>
      <c r="AQ48" s="1861">
        <f>'Total - Traffic %'!AQ48</f>
        <v>0</v>
      </c>
      <c r="AR48" s="1860">
        <f>'Total - Traffic %'!AR48</f>
        <v>1E-3</v>
      </c>
      <c r="AS48" s="1862">
        <f>'Total - Traffic %'!AS48</f>
        <v>1.6E-2</v>
      </c>
      <c r="AU48" s="3825"/>
      <c r="AV48" s="1749">
        <v>5</v>
      </c>
      <c r="AW48" s="1856">
        <f>'Total - Traffic %'!AW48</f>
        <v>0</v>
      </c>
      <c r="AX48" s="1857">
        <f>'Total - Traffic %'!AX48</f>
        <v>0</v>
      </c>
      <c r="AY48" s="1858">
        <f>'Total - Traffic %'!AY48</f>
        <v>0</v>
      </c>
      <c r="AZ48" s="1856">
        <f>'Total - Traffic %'!AZ48</f>
        <v>3.0000000000000001E-3</v>
      </c>
      <c r="BA48" s="1857">
        <f>'Total - Traffic %'!BA48</f>
        <v>4.0000000000000001E-3</v>
      </c>
      <c r="BB48" s="1858">
        <f>'Total - Traffic %'!BB48</f>
        <v>1E-3</v>
      </c>
      <c r="BC48" s="1859">
        <f>'Total - Traffic %'!BC48</f>
        <v>0.01</v>
      </c>
      <c r="BD48" s="1860">
        <f>'Total - Traffic %'!BD48</f>
        <v>0</v>
      </c>
      <c r="BE48" s="1859">
        <f>'Total - Traffic %'!BE48</f>
        <v>0</v>
      </c>
      <c r="BF48" s="1861">
        <f>'Total - Traffic %'!BF48</f>
        <v>1E-3</v>
      </c>
      <c r="BG48" s="1860">
        <f>'Total - Traffic %'!BG48</f>
        <v>1E-3</v>
      </c>
      <c r="BH48" s="1862">
        <f>'Total - Traffic %'!BH48</f>
        <v>0.02</v>
      </c>
      <c r="BJ48" s="3825"/>
      <c r="BK48" s="1749">
        <v>5</v>
      </c>
      <c r="BL48" s="1856">
        <f>'Total - Traffic %'!BL48</f>
        <v>0</v>
      </c>
      <c r="BM48" s="1857">
        <f>'Total - Traffic %'!BM48</f>
        <v>0</v>
      </c>
      <c r="BN48" s="1858">
        <f>'Total - Traffic %'!BN48</f>
        <v>0</v>
      </c>
      <c r="BO48" s="1856">
        <f>'Total - Traffic %'!BO48</f>
        <v>4.0000000000000001E-3</v>
      </c>
      <c r="BP48" s="1857">
        <f>'Total - Traffic %'!BP48</f>
        <v>5.0000000000000001E-3</v>
      </c>
      <c r="BQ48" s="1858">
        <f>'Total - Traffic %'!BQ48</f>
        <v>1E-3</v>
      </c>
      <c r="BR48" s="1859">
        <f>'Total - Traffic %'!BR48</f>
        <v>1.2E-2</v>
      </c>
      <c r="BS48" s="1860">
        <f>'Total - Traffic %'!BS48</f>
        <v>0</v>
      </c>
      <c r="BT48" s="1859">
        <f>'Total - Traffic %'!BT48</f>
        <v>0</v>
      </c>
      <c r="BU48" s="1861">
        <f>'Total - Traffic %'!BU48</f>
        <v>1E-3</v>
      </c>
      <c r="BV48" s="1860">
        <f>'Total - Traffic %'!BV48</f>
        <v>2E-3</v>
      </c>
      <c r="BW48" s="1862">
        <f>'Total - Traffic %'!BW48</f>
        <v>2.4E-2</v>
      </c>
      <c r="BY48" s="3825"/>
      <c r="BZ48" s="1749">
        <v>5</v>
      </c>
      <c r="CA48" s="1856">
        <f>'Total - Traffic %'!CA48</f>
        <v>0</v>
      </c>
      <c r="CB48" s="1857">
        <f>'Total - Traffic %'!CB48</f>
        <v>0</v>
      </c>
      <c r="CC48" s="1858">
        <f>'Total - Traffic %'!CC48</f>
        <v>0</v>
      </c>
      <c r="CD48" s="1856">
        <f>'Total - Traffic %'!CD48</f>
        <v>5.0000000000000001E-3</v>
      </c>
      <c r="CE48" s="1857">
        <f>'Total - Traffic %'!CE48</f>
        <v>5.0000000000000001E-3</v>
      </c>
      <c r="CF48" s="1858">
        <f>'Total - Traffic %'!CF48</f>
        <v>1E-3</v>
      </c>
      <c r="CG48" s="1859">
        <f>'Total - Traffic %'!CG48</f>
        <v>1.2999999999999999E-2</v>
      </c>
      <c r="CH48" s="1860">
        <f>'Total - Traffic %'!CH48</f>
        <v>0</v>
      </c>
      <c r="CI48" s="1859">
        <f>'Total - Traffic %'!CI48</f>
        <v>0</v>
      </c>
      <c r="CJ48" s="1861">
        <f>'Total - Traffic %'!CJ48</f>
        <v>1E-3</v>
      </c>
      <c r="CK48" s="1860">
        <f>'Total - Traffic %'!CK48</f>
        <v>2E-3</v>
      </c>
      <c r="CL48" s="1862">
        <f>'Total - Traffic %'!CL48</f>
        <v>2.5999999999999999E-2</v>
      </c>
    </row>
    <row r="49" spans="1:90" s="1728" customFormat="1" ht="13.5" customHeight="1" thickBot="1">
      <c r="A49" s="3844"/>
      <c r="B49" s="3845"/>
      <c r="C49" s="1750" t="s">
        <v>1422</v>
      </c>
      <c r="D49" s="1863">
        <f>'Total - Traffic %'!D49</f>
        <v>0</v>
      </c>
      <c r="E49" s="1864">
        <f>'Total - Traffic %'!E49</f>
        <v>0</v>
      </c>
      <c r="F49" s="1865">
        <f>'Total - Traffic %'!F49</f>
        <v>0</v>
      </c>
      <c r="G49" s="1863">
        <f>'Total - Traffic %'!G49</f>
        <v>0.06</v>
      </c>
      <c r="H49" s="1864">
        <f>'Total - Traffic %'!H49</f>
        <v>8.1000000000000003E-2</v>
      </c>
      <c r="I49" s="1865">
        <f>'Total - Traffic %'!I49</f>
        <v>7.4999999999999997E-2</v>
      </c>
      <c r="J49" s="1866">
        <f>'Total - Traffic %'!J49</f>
        <v>0.10199999999999999</v>
      </c>
      <c r="K49" s="1867">
        <f>'Total - Traffic %'!K49</f>
        <v>7.5999999999999998E-2</v>
      </c>
      <c r="L49" s="1866">
        <f>'Total - Traffic %'!L49</f>
        <v>7.5999999999999998E-2</v>
      </c>
      <c r="M49" s="1868">
        <f>'Total - Traffic %'!M49</f>
        <v>0.34599999999999997</v>
      </c>
      <c r="N49" s="1867">
        <f>'Total - Traffic %'!N49</f>
        <v>0.183</v>
      </c>
      <c r="O49" s="1869">
        <f>'Total - Traffic %'!O49</f>
        <v>1</v>
      </c>
      <c r="Q49" s="3826"/>
      <c r="R49" s="1750" t="s">
        <v>1422</v>
      </c>
      <c r="S49" s="1863">
        <f>'Total - Traffic %'!S49</f>
        <v>0</v>
      </c>
      <c r="T49" s="1864">
        <f>'Total - Traffic %'!T49</f>
        <v>0</v>
      </c>
      <c r="U49" s="1865">
        <f>'Total - Traffic %'!U49</f>
        <v>0</v>
      </c>
      <c r="V49" s="1863">
        <f>'Total - Traffic %'!V49</f>
        <v>6.0999999999999999E-2</v>
      </c>
      <c r="W49" s="1864">
        <f>'Total - Traffic %'!W49</f>
        <v>8.1000000000000003E-2</v>
      </c>
      <c r="X49" s="1865">
        <f>'Total - Traffic %'!X49</f>
        <v>7.5999999999999998E-2</v>
      </c>
      <c r="Y49" s="1866">
        <f>'Total - Traffic %'!Y49</f>
        <v>0.10299999999999999</v>
      </c>
      <c r="Z49" s="1867">
        <f>'Total - Traffic %'!Z49</f>
        <v>7.6999999999999999E-2</v>
      </c>
      <c r="AA49" s="1866">
        <f>'Total - Traffic %'!AA49</f>
        <v>7.6999999999999999E-2</v>
      </c>
      <c r="AB49" s="1868">
        <f>'Total - Traffic %'!AB49</f>
        <v>0.34300000000000003</v>
      </c>
      <c r="AC49" s="1867">
        <f>'Total - Traffic %'!AC49</f>
        <v>0.183</v>
      </c>
      <c r="AD49" s="1869">
        <f>'Total - Traffic %'!AD49</f>
        <v>1</v>
      </c>
      <c r="AF49" s="3826"/>
      <c r="AG49" s="1750" t="s">
        <v>1422</v>
      </c>
      <c r="AH49" s="1863">
        <f>'Total - Traffic %'!AH49</f>
        <v>0</v>
      </c>
      <c r="AI49" s="1864">
        <f>'Total - Traffic %'!AI49</f>
        <v>0</v>
      </c>
      <c r="AJ49" s="1865">
        <f>'Total - Traffic %'!AJ49</f>
        <v>0</v>
      </c>
      <c r="AK49" s="1863">
        <f>'Total - Traffic %'!AK49</f>
        <v>6.0999999999999999E-2</v>
      </c>
      <c r="AL49" s="1864">
        <f>'Total - Traffic %'!AL49</f>
        <v>8.1000000000000003E-2</v>
      </c>
      <c r="AM49" s="1865">
        <f>'Total - Traffic %'!AM49</f>
        <v>7.5999999999999998E-2</v>
      </c>
      <c r="AN49" s="1866">
        <f>'Total - Traffic %'!AN49</f>
        <v>0.10199999999999999</v>
      </c>
      <c r="AO49" s="1867">
        <f>'Total - Traffic %'!AO49</f>
        <v>7.5999999999999998E-2</v>
      </c>
      <c r="AP49" s="1866">
        <f>'Total - Traffic %'!AP49</f>
        <v>7.6999999999999999E-2</v>
      </c>
      <c r="AQ49" s="1868">
        <f>'Total - Traffic %'!AQ49</f>
        <v>0.34499999999999997</v>
      </c>
      <c r="AR49" s="1867">
        <f>'Total - Traffic %'!AR49</f>
        <v>0.183</v>
      </c>
      <c r="AS49" s="1869">
        <f>'Total - Traffic %'!AS49</f>
        <v>1</v>
      </c>
      <c r="AU49" s="3826"/>
      <c r="AV49" s="1750" t="s">
        <v>1422</v>
      </c>
      <c r="AW49" s="1863">
        <f>'Total - Traffic %'!AW49</f>
        <v>0</v>
      </c>
      <c r="AX49" s="1864">
        <f>'Total - Traffic %'!AX49</f>
        <v>0</v>
      </c>
      <c r="AY49" s="1865">
        <f>'Total - Traffic %'!AY49</f>
        <v>0</v>
      </c>
      <c r="AZ49" s="1863">
        <f>'Total - Traffic %'!AZ49</f>
        <v>6.2E-2</v>
      </c>
      <c r="BA49" s="1864">
        <f>'Total - Traffic %'!BA49</f>
        <v>8.1000000000000003E-2</v>
      </c>
      <c r="BB49" s="1865">
        <f>'Total - Traffic %'!BB49</f>
        <v>7.4999999999999997E-2</v>
      </c>
      <c r="BC49" s="1866">
        <f>'Total - Traffic %'!BC49</f>
        <v>0.10100000000000001</v>
      </c>
      <c r="BD49" s="1867">
        <f>'Total - Traffic %'!BD49</f>
        <v>7.4999999999999997E-2</v>
      </c>
      <c r="BE49" s="1866">
        <f>'Total - Traffic %'!BE49</f>
        <v>8.1000000000000003E-2</v>
      </c>
      <c r="BF49" s="1868">
        <f>'Total - Traffic %'!BF49</f>
        <v>0.34200000000000003</v>
      </c>
      <c r="BG49" s="1867">
        <f>'Total - Traffic %'!BG49</f>
        <v>0.182</v>
      </c>
      <c r="BH49" s="1869">
        <f>'Total - Traffic %'!BH49</f>
        <v>1</v>
      </c>
      <c r="BJ49" s="3826"/>
      <c r="BK49" s="1750" t="s">
        <v>1422</v>
      </c>
      <c r="BL49" s="1863">
        <f>'Total - Traffic %'!BL49</f>
        <v>0</v>
      </c>
      <c r="BM49" s="1864">
        <f>'Total - Traffic %'!BM49</f>
        <v>0</v>
      </c>
      <c r="BN49" s="1865">
        <f>'Total - Traffic %'!BN49</f>
        <v>0</v>
      </c>
      <c r="BO49" s="1863">
        <f>'Total - Traffic %'!BO49</f>
        <v>6.2E-2</v>
      </c>
      <c r="BP49" s="1864">
        <f>'Total - Traffic %'!BP49</f>
        <v>8.1000000000000003E-2</v>
      </c>
      <c r="BQ49" s="1865">
        <f>'Total - Traffic %'!BQ49</f>
        <v>7.5999999999999998E-2</v>
      </c>
      <c r="BR49" s="1866">
        <f>'Total - Traffic %'!BR49</f>
        <v>0.10100000000000001</v>
      </c>
      <c r="BS49" s="1867">
        <f>'Total - Traffic %'!BS49</f>
        <v>7.3999999999999996E-2</v>
      </c>
      <c r="BT49" s="1866">
        <f>'Total - Traffic %'!BT49</f>
        <v>8.1000000000000003E-2</v>
      </c>
      <c r="BU49" s="1868">
        <f>'Total - Traffic %'!BU49</f>
        <v>0.34300000000000003</v>
      </c>
      <c r="BV49" s="1867">
        <f>'Total - Traffic %'!BV49</f>
        <v>0.182</v>
      </c>
      <c r="BW49" s="1869">
        <f>'Total - Traffic %'!BW49</f>
        <v>1</v>
      </c>
      <c r="BY49" s="3826"/>
      <c r="BZ49" s="1750" t="s">
        <v>1422</v>
      </c>
      <c r="CA49" s="1863">
        <f>'Total - Traffic %'!CA49</f>
        <v>0</v>
      </c>
      <c r="CB49" s="1864">
        <f>'Total - Traffic %'!CB49</f>
        <v>0</v>
      </c>
      <c r="CC49" s="1865">
        <f>'Total - Traffic %'!CC49</f>
        <v>0</v>
      </c>
      <c r="CD49" s="1863">
        <f>'Total - Traffic %'!CD49</f>
        <v>6.2E-2</v>
      </c>
      <c r="CE49" s="1864">
        <f>'Total - Traffic %'!CE49</f>
        <v>8.1000000000000003E-2</v>
      </c>
      <c r="CF49" s="1865">
        <f>'Total - Traffic %'!CF49</f>
        <v>7.5999999999999998E-2</v>
      </c>
      <c r="CG49" s="1866">
        <f>'Total - Traffic %'!CG49</f>
        <v>0.1</v>
      </c>
      <c r="CH49" s="1867">
        <f>'Total - Traffic %'!CH49</f>
        <v>7.3999999999999996E-2</v>
      </c>
      <c r="CI49" s="1866">
        <f>'Total - Traffic %'!CI49</f>
        <v>8.1000000000000003E-2</v>
      </c>
      <c r="CJ49" s="1868">
        <f>'Total - Traffic %'!CJ49</f>
        <v>0.34300000000000003</v>
      </c>
      <c r="CK49" s="1867">
        <f>'Total - Traffic %'!CK49</f>
        <v>0.183</v>
      </c>
      <c r="CL49" s="1869">
        <f>'Total - Traffic %'!CL49</f>
        <v>1</v>
      </c>
    </row>
    <row r="50" spans="1:90" s="1728" customFormat="1" ht="13.5" customHeight="1" thickTop="1">
      <c r="A50" s="3840" t="s">
        <v>860</v>
      </c>
      <c r="B50" s="3841"/>
      <c r="C50" s="1733">
        <v>1</v>
      </c>
      <c r="D50" s="1849">
        <f>'Total - Traffic %'!D50</f>
        <v>0</v>
      </c>
      <c r="E50" s="1850">
        <f>'Total - Traffic %'!E50</f>
        <v>0</v>
      </c>
      <c r="F50" s="1851">
        <f>'Total - Traffic %'!F50</f>
        <v>0</v>
      </c>
      <c r="G50" s="1849">
        <f>'Total - Traffic %'!G50</f>
        <v>0</v>
      </c>
      <c r="H50" s="1850">
        <f>'Total - Traffic %'!H50</f>
        <v>0</v>
      </c>
      <c r="I50" s="1851">
        <f>'Total - Traffic %'!I50</f>
        <v>0</v>
      </c>
      <c r="J50" s="1852">
        <f>'Total - Traffic %'!J50</f>
        <v>0.03</v>
      </c>
      <c r="K50" s="1853">
        <f>'Total - Traffic %'!K50</f>
        <v>9.5000000000000001E-2</v>
      </c>
      <c r="L50" s="1852">
        <f>'Total - Traffic %'!L50</f>
        <v>2.7E-2</v>
      </c>
      <c r="M50" s="1854">
        <f>'Total - Traffic %'!M50</f>
        <v>0.224</v>
      </c>
      <c r="N50" s="1853">
        <f>'Total - Traffic %'!N50</f>
        <v>0.19800000000000001</v>
      </c>
      <c r="O50" s="1855">
        <f>'Total - Traffic %'!O50</f>
        <v>0.57299999999999995</v>
      </c>
      <c r="Q50" s="3824" t="s">
        <v>860</v>
      </c>
      <c r="R50" s="1733">
        <v>1</v>
      </c>
      <c r="S50" s="1849">
        <f>'Total - Traffic %'!S50</f>
        <v>0</v>
      </c>
      <c r="T50" s="1850">
        <f>'Total - Traffic %'!T50</f>
        <v>0</v>
      </c>
      <c r="U50" s="1851">
        <f>'Total - Traffic %'!U50</f>
        <v>0</v>
      </c>
      <c r="V50" s="1849">
        <f>'Total - Traffic %'!V50</f>
        <v>0</v>
      </c>
      <c r="W50" s="1850">
        <f>'Total - Traffic %'!W50</f>
        <v>0</v>
      </c>
      <c r="X50" s="1851">
        <f>'Total - Traffic %'!X50</f>
        <v>0</v>
      </c>
      <c r="Y50" s="1852">
        <f>'Total - Traffic %'!Y50</f>
        <v>2.9000000000000001E-2</v>
      </c>
      <c r="Z50" s="1853">
        <f>'Total - Traffic %'!Z50</f>
        <v>9.4E-2</v>
      </c>
      <c r="AA50" s="1852">
        <f>'Total - Traffic %'!AA50</f>
        <v>2.5000000000000001E-2</v>
      </c>
      <c r="AB50" s="1854">
        <f>'Total - Traffic %'!AB50</f>
        <v>0.222</v>
      </c>
      <c r="AC50" s="1853">
        <f>'Total - Traffic %'!AC50</f>
        <v>0.19600000000000001</v>
      </c>
      <c r="AD50" s="1855">
        <f>'Total - Traffic %'!AD50</f>
        <v>0.56699999999999995</v>
      </c>
      <c r="AF50" s="3824" t="s">
        <v>860</v>
      </c>
      <c r="AG50" s="1733">
        <v>1</v>
      </c>
      <c r="AH50" s="1849">
        <f>'Total - Traffic %'!AH50</f>
        <v>0</v>
      </c>
      <c r="AI50" s="1850">
        <f>'Total - Traffic %'!AI50</f>
        <v>0</v>
      </c>
      <c r="AJ50" s="1851">
        <f>'Total - Traffic %'!AJ50</f>
        <v>0</v>
      </c>
      <c r="AK50" s="1849">
        <f>'Total - Traffic %'!AK50</f>
        <v>0</v>
      </c>
      <c r="AL50" s="1850">
        <f>'Total - Traffic %'!AL50</f>
        <v>0</v>
      </c>
      <c r="AM50" s="1851">
        <f>'Total - Traffic %'!AM50</f>
        <v>0</v>
      </c>
      <c r="AN50" s="1852">
        <f>'Total - Traffic %'!AN50</f>
        <v>2.4E-2</v>
      </c>
      <c r="AO50" s="1853">
        <f>'Total - Traffic %'!AO50</f>
        <v>9.1999999999999998E-2</v>
      </c>
      <c r="AP50" s="1852">
        <f>'Total - Traffic %'!AP50</f>
        <v>2.1999999999999999E-2</v>
      </c>
      <c r="AQ50" s="1854">
        <f>'Total - Traffic %'!AQ50</f>
        <v>0.21099999999999999</v>
      </c>
      <c r="AR50" s="1853">
        <f>'Total - Traffic %'!AR50</f>
        <v>0.188</v>
      </c>
      <c r="AS50" s="1855">
        <f>'Total - Traffic %'!AS50</f>
        <v>0.53600000000000003</v>
      </c>
      <c r="AU50" s="3824" t="s">
        <v>860</v>
      </c>
      <c r="AV50" s="1733">
        <v>1</v>
      </c>
      <c r="AW50" s="1849">
        <f>'Total - Traffic %'!AW50</f>
        <v>0</v>
      </c>
      <c r="AX50" s="1850">
        <f>'Total - Traffic %'!AX50</f>
        <v>0</v>
      </c>
      <c r="AY50" s="1851">
        <f>'Total - Traffic %'!AY50</f>
        <v>0</v>
      </c>
      <c r="AZ50" s="1849">
        <f>'Total - Traffic %'!AZ50</f>
        <v>0</v>
      </c>
      <c r="BA50" s="1850">
        <f>'Total - Traffic %'!BA50</f>
        <v>0</v>
      </c>
      <c r="BB50" s="1851">
        <f>'Total - Traffic %'!BB50</f>
        <v>0</v>
      </c>
      <c r="BC50" s="1852">
        <f>'Total - Traffic %'!BC50</f>
        <v>2.3E-2</v>
      </c>
      <c r="BD50" s="1853">
        <f>'Total - Traffic %'!BD50</f>
        <v>8.8999999999999996E-2</v>
      </c>
      <c r="BE50" s="1852">
        <f>'Total - Traffic %'!BE50</f>
        <v>2.1999999999999999E-2</v>
      </c>
      <c r="BF50" s="1854">
        <f>'Total - Traffic %'!BF50</f>
        <v>0.2</v>
      </c>
      <c r="BG50" s="1853">
        <f>'Total - Traffic %'!BG50</f>
        <v>0.183</v>
      </c>
      <c r="BH50" s="1855">
        <f>'Total - Traffic %'!BH50</f>
        <v>0.51700000000000002</v>
      </c>
      <c r="BJ50" s="3824" t="s">
        <v>860</v>
      </c>
      <c r="BK50" s="1733">
        <v>1</v>
      </c>
      <c r="BL50" s="1849">
        <f>'Total - Traffic %'!BL50</f>
        <v>0</v>
      </c>
      <c r="BM50" s="1850">
        <f>'Total - Traffic %'!BM50</f>
        <v>0</v>
      </c>
      <c r="BN50" s="1851">
        <f>'Total - Traffic %'!BN50</f>
        <v>0</v>
      </c>
      <c r="BO50" s="1849">
        <f>'Total - Traffic %'!BO50</f>
        <v>0</v>
      </c>
      <c r="BP50" s="1850">
        <f>'Total - Traffic %'!BP50</f>
        <v>0</v>
      </c>
      <c r="BQ50" s="1851">
        <f>'Total - Traffic %'!BQ50</f>
        <v>0</v>
      </c>
      <c r="BR50" s="1852">
        <f>'Total - Traffic %'!BR50</f>
        <v>2.1999999999999999E-2</v>
      </c>
      <c r="BS50" s="1853">
        <f>'Total - Traffic %'!BS50</f>
        <v>8.5999999999999993E-2</v>
      </c>
      <c r="BT50" s="1852">
        <f>'Total - Traffic %'!BT50</f>
        <v>2.1000000000000001E-2</v>
      </c>
      <c r="BU50" s="1854">
        <f>'Total - Traffic %'!BU50</f>
        <v>0.192</v>
      </c>
      <c r="BV50" s="1853">
        <f>'Total - Traffic %'!BV50</f>
        <v>0.183</v>
      </c>
      <c r="BW50" s="1855">
        <f>'Total - Traffic %'!BW50</f>
        <v>0.504</v>
      </c>
      <c r="BY50" s="3824" t="s">
        <v>860</v>
      </c>
      <c r="BZ50" s="1733">
        <v>1</v>
      </c>
      <c r="CA50" s="1849">
        <f>'Total - Traffic %'!CA50</f>
        <v>0</v>
      </c>
      <c r="CB50" s="1850">
        <f>'Total - Traffic %'!CB50</f>
        <v>0</v>
      </c>
      <c r="CC50" s="1851">
        <f>'Total - Traffic %'!CC50</f>
        <v>0</v>
      </c>
      <c r="CD50" s="1849">
        <f>'Total - Traffic %'!CD50</f>
        <v>0</v>
      </c>
      <c r="CE50" s="1850">
        <f>'Total - Traffic %'!CE50</f>
        <v>0</v>
      </c>
      <c r="CF50" s="1851">
        <f>'Total - Traffic %'!CF50</f>
        <v>0</v>
      </c>
      <c r="CG50" s="1852">
        <f>'Total - Traffic %'!CG50</f>
        <v>0.02</v>
      </c>
      <c r="CH50" s="1853">
        <f>'Total - Traffic %'!CH50</f>
        <v>8.5000000000000006E-2</v>
      </c>
      <c r="CI50" s="1852">
        <f>'Total - Traffic %'!CI50</f>
        <v>1.7999999999999999E-2</v>
      </c>
      <c r="CJ50" s="1854">
        <f>'Total - Traffic %'!CJ50</f>
        <v>0.182</v>
      </c>
      <c r="CK50" s="1853">
        <f>'Total - Traffic %'!CK50</f>
        <v>0.18</v>
      </c>
      <c r="CL50" s="1855">
        <f>'Total - Traffic %'!CL50</f>
        <v>0.48599999999999999</v>
      </c>
    </row>
    <row r="51" spans="1:90" s="1728" customFormat="1" ht="13.5" customHeight="1">
      <c r="A51" s="3842"/>
      <c r="B51" s="3843"/>
      <c r="C51" s="1741">
        <v>2</v>
      </c>
      <c r="D51" s="1856">
        <f>'Total - Traffic %'!D51</f>
        <v>0</v>
      </c>
      <c r="E51" s="1857">
        <f>'Total - Traffic %'!E51</f>
        <v>0</v>
      </c>
      <c r="F51" s="1858">
        <f>'Total - Traffic %'!F51</f>
        <v>0</v>
      </c>
      <c r="G51" s="1856">
        <f>'Total - Traffic %'!G51</f>
        <v>0</v>
      </c>
      <c r="H51" s="1857">
        <f>'Total - Traffic %'!H51</f>
        <v>0</v>
      </c>
      <c r="I51" s="1858">
        <f>'Total - Traffic %'!I51</f>
        <v>0</v>
      </c>
      <c r="J51" s="1859">
        <f>'Total - Traffic %'!J51</f>
        <v>5.2999999999999999E-2</v>
      </c>
      <c r="K51" s="1860">
        <f>'Total - Traffic %'!K51</f>
        <v>2.8000000000000001E-2</v>
      </c>
      <c r="L51" s="1859">
        <f>'Total - Traffic %'!L51</f>
        <v>6.2E-2</v>
      </c>
      <c r="M51" s="1861">
        <f>'Total - Traffic %'!M51</f>
        <v>0.114</v>
      </c>
      <c r="N51" s="1860">
        <f>'Total - Traffic %'!N51</f>
        <v>0.03</v>
      </c>
      <c r="O51" s="1862">
        <f>'Total - Traffic %'!O51</f>
        <v>0.28699999999999998</v>
      </c>
      <c r="Q51" s="3825"/>
      <c r="R51" s="1741">
        <v>2</v>
      </c>
      <c r="S51" s="1856">
        <f>'Total - Traffic %'!S51</f>
        <v>0</v>
      </c>
      <c r="T51" s="1857">
        <f>'Total - Traffic %'!T51</f>
        <v>0</v>
      </c>
      <c r="U51" s="1858">
        <f>'Total - Traffic %'!U51</f>
        <v>0</v>
      </c>
      <c r="V51" s="1856">
        <f>'Total - Traffic %'!V51</f>
        <v>0</v>
      </c>
      <c r="W51" s="1857">
        <f>'Total - Traffic %'!W51</f>
        <v>0</v>
      </c>
      <c r="X51" s="1858">
        <f>'Total - Traffic %'!X51</f>
        <v>0</v>
      </c>
      <c r="Y51" s="1859">
        <f>'Total - Traffic %'!Y51</f>
        <v>0.05</v>
      </c>
      <c r="Z51" s="1860">
        <f>'Total - Traffic %'!Z51</f>
        <v>2.8000000000000001E-2</v>
      </c>
      <c r="AA51" s="1859">
        <f>'Total - Traffic %'!AA51</f>
        <v>5.8999999999999997E-2</v>
      </c>
      <c r="AB51" s="1861">
        <f>'Total - Traffic %'!AB51</f>
        <v>0.113</v>
      </c>
      <c r="AC51" s="1860">
        <f>'Total - Traffic %'!AC51</f>
        <v>0.03</v>
      </c>
      <c r="AD51" s="1862">
        <f>'Total - Traffic %'!AD51</f>
        <v>0.28000000000000003</v>
      </c>
      <c r="AF51" s="3825"/>
      <c r="AG51" s="1741">
        <v>2</v>
      </c>
      <c r="AH51" s="1856">
        <f>'Total - Traffic %'!AH51</f>
        <v>0</v>
      </c>
      <c r="AI51" s="1857">
        <f>'Total - Traffic %'!AI51</f>
        <v>0</v>
      </c>
      <c r="AJ51" s="1858">
        <f>'Total - Traffic %'!AJ51</f>
        <v>0</v>
      </c>
      <c r="AK51" s="1856">
        <f>'Total - Traffic %'!AK51</f>
        <v>0</v>
      </c>
      <c r="AL51" s="1857">
        <f>'Total - Traffic %'!AL51</f>
        <v>0</v>
      </c>
      <c r="AM51" s="1858">
        <f>'Total - Traffic %'!AM51</f>
        <v>0</v>
      </c>
      <c r="AN51" s="1859">
        <f>'Total - Traffic %'!AN51</f>
        <v>4.8000000000000001E-2</v>
      </c>
      <c r="AO51" s="1860">
        <f>'Total - Traffic %'!AO51</f>
        <v>2.9000000000000001E-2</v>
      </c>
      <c r="AP51" s="1859">
        <f>'Total - Traffic %'!AP51</f>
        <v>4.9000000000000002E-2</v>
      </c>
      <c r="AQ51" s="1861">
        <f>'Total - Traffic %'!AQ51</f>
        <v>0.121</v>
      </c>
      <c r="AR51" s="1860">
        <f>'Total - Traffic %'!AR51</f>
        <v>3.5999999999999997E-2</v>
      </c>
      <c r="AS51" s="1862">
        <f>'Total - Traffic %'!AS51</f>
        <v>0.28399999999999997</v>
      </c>
      <c r="AU51" s="3825"/>
      <c r="AV51" s="1741">
        <v>2</v>
      </c>
      <c r="AW51" s="1856">
        <f>'Total - Traffic %'!AW51</f>
        <v>0</v>
      </c>
      <c r="AX51" s="1857">
        <f>'Total - Traffic %'!AX51</f>
        <v>0</v>
      </c>
      <c r="AY51" s="1858">
        <f>'Total - Traffic %'!AY51</f>
        <v>0</v>
      </c>
      <c r="AZ51" s="1856">
        <f>'Total - Traffic %'!AZ51</f>
        <v>0</v>
      </c>
      <c r="BA51" s="1857">
        <f>'Total - Traffic %'!BA51</f>
        <v>0</v>
      </c>
      <c r="BB51" s="1858">
        <f>'Total - Traffic %'!BB51</f>
        <v>0</v>
      </c>
      <c r="BC51" s="1859">
        <f>'Total - Traffic %'!BC51</f>
        <v>0.04</v>
      </c>
      <c r="BD51" s="1860">
        <f>'Total - Traffic %'!BD51</f>
        <v>3.1E-2</v>
      </c>
      <c r="BE51" s="1859">
        <f>'Total - Traffic %'!BE51</f>
        <v>4.2000000000000003E-2</v>
      </c>
      <c r="BF51" s="1861">
        <f>'Total - Traffic %'!BF51</f>
        <v>0.126</v>
      </c>
      <c r="BG51" s="1860">
        <f>'Total - Traffic %'!BG51</f>
        <v>3.6999999999999998E-2</v>
      </c>
      <c r="BH51" s="1862">
        <f>'Total - Traffic %'!BH51</f>
        <v>0.27600000000000002</v>
      </c>
      <c r="BJ51" s="3825"/>
      <c r="BK51" s="1741">
        <v>2</v>
      </c>
      <c r="BL51" s="1856">
        <f>'Total - Traffic %'!BL51</f>
        <v>0</v>
      </c>
      <c r="BM51" s="1857">
        <f>'Total - Traffic %'!BM51</f>
        <v>0</v>
      </c>
      <c r="BN51" s="1858">
        <f>'Total - Traffic %'!BN51</f>
        <v>0</v>
      </c>
      <c r="BO51" s="1856">
        <f>'Total - Traffic %'!BO51</f>
        <v>0</v>
      </c>
      <c r="BP51" s="1857">
        <f>'Total - Traffic %'!BP51</f>
        <v>0</v>
      </c>
      <c r="BQ51" s="1858">
        <f>'Total - Traffic %'!BQ51</f>
        <v>0</v>
      </c>
      <c r="BR51" s="1859">
        <f>'Total - Traffic %'!BR51</f>
        <v>3.5999999999999997E-2</v>
      </c>
      <c r="BS51" s="1860">
        <f>'Total - Traffic %'!BS51</f>
        <v>3.2000000000000001E-2</v>
      </c>
      <c r="BT51" s="1859">
        <f>'Total - Traffic %'!BT51</f>
        <v>3.7999999999999999E-2</v>
      </c>
      <c r="BU51" s="1861">
        <f>'Total - Traffic %'!BU51</f>
        <v>0.13</v>
      </c>
      <c r="BV51" s="1860">
        <f>'Total - Traffic %'!BV51</f>
        <v>3.5999999999999997E-2</v>
      </c>
      <c r="BW51" s="1862">
        <f>'Total - Traffic %'!BW51</f>
        <v>0.27300000000000002</v>
      </c>
      <c r="BY51" s="3825"/>
      <c r="BZ51" s="1741">
        <v>2</v>
      </c>
      <c r="CA51" s="1856">
        <f>'Total - Traffic %'!CA51</f>
        <v>0</v>
      </c>
      <c r="CB51" s="1857">
        <f>'Total - Traffic %'!CB51</f>
        <v>0</v>
      </c>
      <c r="CC51" s="1858">
        <f>'Total - Traffic %'!CC51</f>
        <v>0</v>
      </c>
      <c r="CD51" s="1856">
        <f>'Total - Traffic %'!CD51</f>
        <v>0</v>
      </c>
      <c r="CE51" s="1857">
        <f>'Total - Traffic %'!CE51</f>
        <v>0</v>
      </c>
      <c r="CF51" s="1858">
        <f>'Total - Traffic %'!CF51</f>
        <v>0</v>
      </c>
      <c r="CG51" s="1859">
        <f>'Total - Traffic %'!CG51</f>
        <v>3.3000000000000002E-2</v>
      </c>
      <c r="CH51" s="1860">
        <f>'Total - Traffic %'!CH51</f>
        <v>3.2000000000000001E-2</v>
      </c>
      <c r="CI51" s="1859">
        <f>'Total - Traffic %'!CI51</f>
        <v>3.6999999999999998E-2</v>
      </c>
      <c r="CJ51" s="1861">
        <f>'Total - Traffic %'!CJ51</f>
        <v>0.13200000000000001</v>
      </c>
      <c r="CK51" s="1860">
        <f>'Total - Traffic %'!CK51</f>
        <v>3.7999999999999999E-2</v>
      </c>
      <c r="CL51" s="1862">
        <f>'Total - Traffic %'!CL51</f>
        <v>0.27300000000000002</v>
      </c>
    </row>
    <row r="52" spans="1:90" s="1728" customFormat="1" ht="13.5" customHeight="1">
      <c r="A52" s="3842"/>
      <c r="B52" s="3843"/>
      <c r="C52" s="1741">
        <v>3</v>
      </c>
      <c r="D52" s="1856">
        <f>'Total - Traffic %'!D52</f>
        <v>0</v>
      </c>
      <c r="E52" s="1857">
        <f>'Total - Traffic %'!E52</f>
        <v>0</v>
      </c>
      <c r="F52" s="1858">
        <f>'Total - Traffic %'!F52</f>
        <v>0</v>
      </c>
      <c r="G52" s="1856">
        <f>'Total - Traffic %'!G52</f>
        <v>0</v>
      </c>
      <c r="H52" s="1857">
        <f>'Total - Traffic %'!H52</f>
        <v>0</v>
      </c>
      <c r="I52" s="1858">
        <f>'Total - Traffic %'!I52</f>
        <v>0</v>
      </c>
      <c r="J52" s="1859">
        <f>'Total - Traffic %'!J52</f>
        <v>3.7999999999999999E-2</v>
      </c>
      <c r="K52" s="1860">
        <f>'Total - Traffic %'!K52</f>
        <v>6.0000000000000001E-3</v>
      </c>
      <c r="L52" s="1859">
        <f>'Total - Traffic %'!L52</f>
        <v>3.1E-2</v>
      </c>
      <c r="M52" s="1861">
        <f>'Total - Traffic %'!M52</f>
        <v>1.7999999999999999E-2</v>
      </c>
      <c r="N52" s="1860">
        <f>'Total - Traffic %'!N52</f>
        <v>7.0000000000000001E-3</v>
      </c>
      <c r="O52" s="1862">
        <f>'Total - Traffic %'!O52</f>
        <v>0.1</v>
      </c>
      <c r="Q52" s="3825"/>
      <c r="R52" s="1741">
        <v>3</v>
      </c>
      <c r="S52" s="1856">
        <f>'Total - Traffic %'!S52</f>
        <v>0</v>
      </c>
      <c r="T52" s="1857">
        <f>'Total - Traffic %'!T52</f>
        <v>0</v>
      </c>
      <c r="U52" s="1858">
        <f>'Total - Traffic %'!U52</f>
        <v>0</v>
      </c>
      <c r="V52" s="1856">
        <f>'Total - Traffic %'!V52</f>
        <v>0</v>
      </c>
      <c r="W52" s="1857">
        <f>'Total - Traffic %'!W52</f>
        <v>0</v>
      </c>
      <c r="X52" s="1858">
        <f>'Total - Traffic %'!X52</f>
        <v>0</v>
      </c>
      <c r="Y52" s="1859">
        <f>'Total - Traffic %'!Y52</f>
        <v>3.9E-2</v>
      </c>
      <c r="Z52" s="1860">
        <f>'Total - Traffic %'!Z52</f>
        <v>6.0000000000000001E-3</v>
      </c>
      <c r="AA52" s="1859">
        <f>'Total - Traffic %'!AA52</f>
        <v>3.5000000000000003E-2</v>
      </c>
      <c r="AB52" s="1861">
        <f>'Total - Traffic %'!AB52</f>
        <v>1.9E-2</v>
      </c>
      <c r="AC52" s="1860">
        <f>'Total - Traffic %'!AC52</f>
        <v>7.0000000000000001E-3</v>
      </c>
      <c r="AD52" s="1862">
        <f>'Total - Traffic %'!AD52</f>
        <v>0.106</v>
      </c>
      <c r="AF52" s="3825"/>
      <c r="AG52" s="1741">
        <v>3</v>
      </c>
      <c r="AH52" s="1856">
        <f>'Total - Traffic %'!AH52</f>
        <v>0</v>
      </c>
      <c r="AI52" s="1857">
        <f>'Total - Traffic %'!AI52</f>
        <v>0</v>
      </c>
      <c r="AJ52" s="1858">
        <f>'Total - Traffic %'!AJ52</f>
        <v>0</v>
      </c>
      <c r="AK52" s="1856">
        <f>'Total - Traffic %'!AK52</f>
        <v>0</v>
      </c>
      <c r="AL52" s="1857">
        <f>'Total - Traffic %'!AL52</f>
        <v>0</v>
      </c>
      <c r="AM52" s="1858">
        <f>'Total - Traffic %'!AM52</f>
        <v>0</v>
      </c>
      <c r="AN52" s="1859">
        <f>'Total - Traffic %'!AN52</f>
        <v>4.2000000000000003E-2</v>
      </c>
      <c r="AO52" s="1860">
        <f>'Total - Traffic %'!AO52</f>
        <v>6.0000000000000001E-3</v>
      </c>
      <c r="AP52" s="1859">
        <f>'Total - Traffic %'!AP52</f>
        <v>4.7E-2</v>
      </c>
      <c r="AQ52" s="1861">
        <f>'Total - Traffic %'!AQ52</f>
        <v>2.3E-2</v>
      </c>
      <c r="AR52" s="1860">
        <f>'Total - Traffic %'!AR52</f>
        <v>8.9999999999999993E-3</v>
      </c>
      <c r="AS52" s="1862">
        <f>'Total - Traffic %'!AS52</f>
        <v>0.127</v>
      </c>
      <c r="AU52" s="3825"/>
      <c r="AV52" s="1741">
        <v>3</v>
      </c>
      <c r="AW52" s="1856">
        <f>'Total - Traffic %'!AW52</f>
        <v>0</v>
      </c>
      <c r="AX52" s="1857">
        <f>'Total - Traffic %'!AX52</f>
        <v>0</v>
      </c>
      <c r="AY52" s="1858">
        <f>'Total - Traffic %'!AY52</f>
        <v>0</v>
      </c>
      <c r="AZ52" s="1856">
        <f>'Total - Traffic %'!AZ52</f>
        <v>0</v>
      </c>
      <c r="BA52" s="1857">
        <f>'Total - Traffic %'!BA52</f>
        <v>0</v>
      </c>
      <c r="BB52" s="1858">
        <f>'Total - Traffic %'!BB52</f>
        <v>0</v>
      </c>
      <c r="BC52" s="1859">
        <f>'Total - Traffic %'!BC52</f>
        <v>4.7E-2</v>
      </c>
      <c r="BD52" s="1860">
        <f>'Total - Traffic %'!BD52</f>
        <v>6.0000000000000001E-3</v>
      </c>
      <c r="BE52" s="1859">
        <f>'Total - Traffic %'!BE52</f>
        <v>5.3999999999999999E-2</v>
      </c>
      <c r="BF52" s="1861">
        <f>'Total - Traffic %'!BF52</f>
        <v>2.7E-2</v>
      </c>
      <c r="BG52" s="1860">
        <f>'Total - Traffic %'!BG52</f>
        <v>8.9999999999999993E-3</v>
      </c>
      <c r="BH52" s="1862">
        <f>'Total - Traffic %'!BH52</f>
        <v>0.14299999999999999</v>
      </c>
      <c r="BJ52" s="3825"/>
      <c r="BK52" s="1741">
        <v>3</v>
      </c>
      <c r="BL52" s="1856">
        <f>'Total - Traffic %'!BL52</f>
        <v>0</v>
      </c>
      <c r="BM52" s="1857">
        <f>'Total - Traffic %'!BM52</f>
        <v>0</v>
      </c>
      <c r="BN52" s="1858">
        <f>'Total - Traffic %'!BN52</f>
        <v>0</v>
      </c>
      <c r="BO52" s="1856">
        <f>'Total - Traffic %'!BO52</f>
        <v>0</v>
      </c>
      <c r="BP52" s="1857">
        <f>'Total - Traffic %'!BP52</f>
        <v>0</v>
      </c>
      <c r="BQ52" s="1858">
        <f>'Total - Traffic %'!BQ52</f>
        <v>0</v>
      </c>
      <c r="BR52" s="1859">
        <f>'Total - Traffic %'!BR52</f>
        <v>4.8000000000000001E-2</v>
      </c>
      <c r="BS52" s="1860">
        <f>'Total - Traffic %'!BS52</f>
        <v>7.0000000000000001E-3</v>
      </c>
      <c r="BT52" s="1859">
        <f>'Total - Traffic %'!BT52</f>
        <v>5.3999999999999999E-2</v>
      </c>
      <c r="BU52" s="1861">
        <f>'Total - Traffic %'!BU52</f>
        <v>2.9000000000000001E-2</v>
      </c>
      <c r="BV52" s="1860">
        <f>'Total - Traffic %'!BV52</f>
        <v>0.01</v>
      </c>
      <c r="BW52" s="1862">
        <f>'Total - Traffic %'!BW52</f>
        <v>0.14899999999999999</v>
      </c>
      <c r="BY52" s="3825"/>
      <c r="BZ52" s="1741">
        <v>3</v>
      </c>
      <c r="CA52" s="1856">
        <f>'Total - Traffic %'!CA52</f>
        <v>0</v>
      </c>
      <c r="CB52" s="1857">
        <f>'Total - Traffic %'!CB52</f>
        <v>0</v>
      </c>
      <c r="CC52" s="1858">
        <f>'Total - Traffic %'!CC52</f>
        <v>0</v>
      </c>
      <c r="CD52" s="1856">
        <f>'Total - Traffic %'!CD52</f>
        <v>0</v>
      </c>
      <c r="CE52" s="1857">
        <f>'Total - Traffic %'!CE52</f>
        <v>0</v>
      </c>
      <c r="CF52" s="1858">
        <f>'Total - Traffic %'!CF52</f>
        <v>0</v>
      </c>
      <c r="CG52" s="1859">
        <f>'Total - Traffic %'!CG52</f>
        <v>4.5999999999999999E-2</v>
      </c>
      <c r="CH52" s="1860">
        <f>'Total - Traffic %'!CH52</f>
        <v>8.0000000000000002E-3</v>
      </c>
      <c r="CI52" s="1859">
        <f>'Total - Traffic %'!CI52</f>
        <v>5.6000000000000001E-2</v>
      </c>
      <c r="CJ52" s="1861">
        <f>'Total - Traffic %'!CJ52</f>
        <v>3.5000000000000003E-2</v>
      </c>
      <c r="CK52" s="1860">
        <f>'Total - Traffic %'!CK52</f>
        <v>0.01</v>
      </c>
      <c r="CL52" s="1862">
        <f>'Total - Traffic %'!CL52</f>
        <v>0.156</v>
      </c>
    </row>
    <row r="53" spans="1:90" s="1728" customFormat="1" ht="13.5" customHeight="1">
      <c r="A53" s="3842"/>
      <c r="B53" s="3843"/>
      <c r="C53" s="1741">
        <v>4</v>
      </c>
      <c r="D53" s="1856">
        <f>'Total - Traffic %'!D53</f>
        <v>0</v>
      </c>
      <c r="E53" s="1857">
        <f>'Total - Traffic %'!E53</f>
        <v>0</v>
      </c>
      <c r="F53" s="1858">
        <f>'Total - Traffic %'!F53</f>
        <v>0</v>
      </c>
      <c r="G53" s="1856">
        <f>'Total - Traffic %'!G53</f>
        <v>0</v>
      </c>
      <c r="H53" s="1857">
        <f>'Total - Traffic %'!H53</f>
        <v>0</v>
      </c>
      <c r="I53" s="1858">
        <f>'Total - Traffic %'!I53</f>
        <v>0</v>
      </c>
      <c r="J53" s="1859">
        <f>'Total - Traffic %'!J53</f>
        <v>1.6E-2</v>
      </c>
      <c r="K53" s="1860">
        <f>'Total - Traffic %'!K53</f>
        <v>5.0000000000000001E-3</v>
      </c>
      <c r="L53" s="1859">
        <f>'Total - Traffic %'!L53</f>
        <v>2E-3</v>
      </c>
      <c r="M53" s="1861">
        <f>'Total - Traffic %'!M53</f>
        <v>6.0000000000000001E-3</v>
      </c>
      <c r="N53" s="1860">
        <f>'Total - Traffic %'!N53</f>
        <v>2E-3</v>
      </c>
      <c r="O53" s="1862">
        <f>'Total - Traffic %'!O53</f>
        <v>0.03</v>
      </c>
      <c r="Q53" s="3825"/>
      <c r="R53" s="1741">
        <v>4</v>
      </c>
      <c r="S53" s="1856">
        <f>'Total - Traffic %'!S53</f>
        <v>0</v>
      </c>
      <c r="T53" s="1857">
        <f>'Total - Traffic %'!T53</f>
        <v>0</v>
      </c>
      <c r="U53" s="1858">
        <f>'Total - Traffic %'!U53</f>
        <v>0</v>
      </c>
      <c r="V53" s="1856">
        <f>'Total - Traffic %'!V53</f>
        <v>0</v>
      </c>
      <c r="W53" s="1857">
        <f>'Total - Traffic %'!W53</f>
        <v>0</v>
      </c>
      <c r="X53" s="1858">
        <f>'Total - Traffic %'!X53</f>
        <v>0</v>
      </c>
      <c r="Y53" s="1859">
        <f>'Total - Traffic %'!Y53</f>
        <v>1.7999999999999999E-2</v>
      </c>
      <c r="Z53" s="1860">
        <f>'Total - Traffic %'!Z53</f>
        <v>3.0000000000000001E-3</v>
      </c>
      <c r="AA53" s="1859">
        <f>'Total - Traffic %'!AA53</f>
        <v>5.0000000000000001E-3</v>
      </c>
      <c r="AB53" s="1861">
        <f>'Total - Traffic %'!AB53</f>
        <v>6.0000000000000001E-3</v>
      </c>
      <c r="AC53" s="1860">
        <f>'Total - Traffic %'!AC53</f>
        <v>2E-3</v>
      </c>
      <c r="AD53" s="1862">
        <f>'Total - Traffic %'!AD53</f>
        <v>3.3000000000000002E-2</v>
      </c>
      <c r="AF53" s="3825"/>
      <c r="AG53" s="1741">
        <v>4</v>
      </c>
      <c r="AH53" s="1856">
        <f>'Total - Traffic %'!AH53</f>
        <v>0</v>
      </c>
      <c r="AI53" s="1857">
        <f>'Total - Traffic %'!AI53</f>
        <v>0</v>
      </c>
      <c r="AJ53" s="1858">
        <f>'Total - Traffic %'!AJ53</f>
        <v>0</v>
      </c>
      <c r="AK53" s="1856">
        <f>'Total - Traffic %'!AK53</f>
        <v>0</v>
      </c>
      <c r="AL53" s="1857">
        <f>'Total - Traffic %'!AL53</f>
        <v>0</v>
      </c>
      <c r="AM53" s="1858">
        <f>'Total - Traffic %'!AM53</f>
        <v>0</v>
      </c>
      <c r="AN53" s="1859">
        <f>'Total - Traffic %'!AN53</f>
        <v>1.9E-2</v>
      </c>
      <c r="AO53" s="1860">
        <f>'Total - Traffic %'!AO53</f>
        <v>2E-3</v>
      </c>
      <c r="AP53" s="1859">
        <f>'Total - Traffic %'!AP53</f>
        <v>7.0000000000000001E-3</v>
      </c>
      <c r="AQ53" s="1861">
        <f>'Total - Traffic %'!AQ53</f>
        <v>6.0000000000000001E-3</v>
      </c>
      <c r="AR53" s="1860">
        <f>'Total - Traffic %'!AR53</f>
        <v>3.0000000000000001E-3</v>
      </c>
      <c r="AS53" s="1862">
        <f>'Total - Traffic %'!AS53</f>
        <v>3.6999999999999998E-2</v>
      </c>
      <c r="AU53" s="3825"/>
      <c r="AV53" s="1741">
        <v>4</v>
      </c>
      <c r="AW53" s="1856">
        <f>'Total - Traffic %'!AW53</f>
        <v>0</v>
      </c>
      <c r="AX53" s="1857">
        <f>'Total - Traffic %'!AX53</f>
        <v>0</v>
      </c>
      <c r="AY53" s="1858">
        <f>'Total - Traffic %'!AY53</f>
        <v>0</v>
      </c>
      <c r="AZ53" s="1856">
        <f>'Total - Traffic %'!AZ53</f>
        <v>0</v>
      </c>
      <c r="BA53" s="1857">
        <f>'Total - Traffic %'!BA53</f>
        <v>0</v>
      </c>
      <c r="BB53" s="1858">
        <f>'Total - Traffic %'!BB53</f>
        <v>0</v>
      </c>
      <c r="BC53" s="1859">
        <f>'Total - Traffic %'!BC53</f>
        <v>2.1000000000000001E-2</v>
      </c>
      <c r="BD53" s="1860">
        <f>'Total - Traffic %'!BD53</f>
        <v>3.0000000000000001E-3</v>
      </c>
      <c r="BE53" s="1859">
        <f>'Total - Traffic %'!BE53</f>
        <v>0.01</v>
      </c>
      <c r="BF53" s="1861">
        <f>'Total - Traffic %'!BF53</f>
        <v>7.0000000000000001E-3</v>
      </c>
      <c r="BG53" s="1860">
        <f>'Total - Traffic %'!BG53</f>
        <v>4.0000000000000001E-3</v>
      </c>
      <c r="BH53" s="1862">
        <f>'Total - Traffic %'!BH53</f>
        <v>4.4999999999999998E-2</v>
      </c>
      <c r="BJ53" s="3825"/>
      <c r="BK53" s="1741">
        <v>4</v>
      </c>
      <c r="BL53" s="1856">
        <f>'Total - Traffic %'!BL53</f>
        <v>0</v>
      </c>
      <c r="BM53" s="1857">
        <f>'Total - Traffic %'!BM53</f>
        <v>0</v>
      </c>
      <c r="BN53" s="1858">
        <f>'Total - Traffic %'!BN53</f>
        <v>0</v>
      </c>
      <c r="BO53" s="1856">
        <f>'Total - Traffic %'!BO53</f>
        <v>0</v>
      </c>
      <c r="BP53" s="1857">
        <f>'Total - Traffic %'!BP53</f>
        <v>0</v>
      </c>
      <c r="BQ53" s="1858">
        <f>'Total - Traffic %'!BQ53</f>
        <v>0</v>
      </c>
      <c r="BR53" s="1859">
        <f>'Total - Traffic %'!BR53</f>
        <v>2.4E-2</v>
      </c>
      <c r="BS53" s="1860">
        <f>'Total - Traffic %'!BS53</f>
        <v>3.0000000000000001E-3</v>
      </c>
      <c r="BT53" s="1859">
        <f>'Total - Traffic %'!BT53</f>
        <v>1.4E-2</v>
      </c>
      <c r="BU53" s="1861">
        <f>'Total - Traffic %'!BU53</f>
        <v>8.9999999999999993E-3</v>
      </c>
      <c r="BV53" s="1860">
        <f>'Total - Traffic %'!BV53</f>
        <v>5.0000000000000001E-3</v>
      </c>
      <c r="BW53" s="1862">
        <f>'Total - Traffic %'!BW53</f>
        <v>5.3999999999999999E-2</v>
      </c>
      <c r="BY53" s="3825"/>
      <c r="BZ53" s="1741">
        <v>4</v>
      </c>
      <c r="CA53" s="1856">
        <f>'Total - Traffic %'!CA53</f>
        <v>0</v>
      </c>
      <c r="CB53" s="1857">
        <f>'Total - Traffic %'!CB53</f>
        <v>0</v>
      </c>
      <c r="CC53" s="1858">
        <f>'Total - Traffic %'!CC53</f>
        <v>0</v>
      </c>
      <c r="CD53" s="1856">
        <f>'Total - Traffic %'!CD53</f>
        <v>0</v>
      </c>
      <c r="CE53" s="1857">
        <f>'Total - Traffic %'!CE53</f>
        <v>0</v>
      </c>
      <c r="CF53" s="1858">
        <f>'Total - Traffic %'!CF53</f>
        <v>0</v>
      </c>
      <c r="CG53" s="1859">
        <f>'Total - Traffic %'!CG53</f>
        <v>2.9000000000000001E-2</v>
      </c>
      <c r="CH53" s="1860">
        <f>'Total - Traffic %'!CH53</f>
        <v>3.0000000000000001E-3</v>
      </c>
      <c r="CI53" s="1859">
        <f>'Total - Traffic %'!CI53</f>
        <v>1.6E-2</v>
      </c>
      <c r="CJ53" s="1861">
        <f>'Total - Traffic %'!CJ53</f>
        <v>0.01</v>
      </c>
      <c r="CK53" s="1860">
        <f>'Total - Traffic %'!CK53</f>
        <v>6.0000000000000001E-3</v>
      </c>
      <c r="CL53" s="1862">
        <f>'Total - Traffic %'!CL53</f>
        <v>6.4000000000000001E-2</v>
      </c>
    </row>
    <row r="54" spans="1:90" s="1728" customFormat="1" ht="13.5" customHeight="1">
      <c r="A54" s="3842"/>
      <c r="B54" s="3843"/>
      <c r="C54" s="1749">
        <v>5</v>
      </c>
      <c r="D54" s="1856">
        <f>'Total - Traffic %'!D54</f>
        <v>0</v>
      </c>
      <c r="E54" s="1857">
        <f>'Total - Traffic %'!E54</f>
        <v>0</v>
      </c>
      <c r="F54" s="1858">
        <f>'Total - Traffic %'!F54</f>
        <v>0</v>
      </c>
      <c r="G54" s="1856">
        <f>'Total - Traffic %'!G54</f>
        <v>0</v>
      </c>
      <c r="H54" s="1857">
        <f>'Total - Traffic %'!H54</f>
        <v>0</v>
      </c>
      <c r="I54" s="1858">
        <f>'Total - Traffic %'!I54</f>
        <v>0</v>
      </c>
      <c r="J54" s="1859">
        <f>'Total - Traffic %'!J54</f>
        <v>8.9999999999999993E-3</v>
      </c>
      <c r="K54" s="1860">
        <f>'Total - Traffic %'!K54</f>
        <v>0</v>
      </c>
      <c r="L54" s="1859">
        <f>'Total - Traffic %'!L54</f>
        <v>0</v>
      </c>
      <c r="M54" s="1861">
        <f>'Total - Traffic %'!M54</f>
        <v>0</v>
      </c>
      <c r="N54" s="1860">
        <f>'Total - Traffic %'!N54</f>
        <v>0</v>
      </c>
      <c r="O54" s="1862">
        <f>'Total - Traffic %'!O54</f>
        <v>8.9999999999999993E-3</v>
      </c>
      <c r="Q54" s="3825"/>
      <c r="R54" s="1749">
        <v>5</v>
      </c>
      <c r="S54" s="1856">
        <f>'Total - Traffic %'!S54</f>
        <v>0</v>
      </c>
      <c r="T54" s="1857">
        <f>'Total - Traffic %'!T54</f>
        <v>0</v>
      </c>
      <c r="U54" s="1858">
        <f>'Total - Traffic %'!U54</f>
        <v>0</v>
      </c>
      <c r="V54" s="1856">
        <f>'Total - Traffic %'!V54</f>
        <v>0</v>
      </c>
      <c r="W54" s="1857">
        <f>'Total - Traffic %'!W54</f>
        <v>0</v>
      </c>
      <c r="X54" s="1858">
        <f>'Total - Traffic %'!X54</f>
        <v>0</v>
      </c>
      <c r="Y54" s="1859">
        <f>'Total - Traffic %'!Y54</f>
        <v>0.01</v>
      </c>
      <c r="Z54" s="1860">
        <f>'Total - Traffic %'!Z54</f>
        <v>3.0000000000000001E-3</v>
      </c>
      <c r="AA54" s="1859">
        <f>'Total - Traffic %'!AA54</f>
        <v>0</v>
      </c>
      <c r="AB54" s="1861">
        <f>'Total - Traffic %'!AB54</f>
        <v>0</v>
      </c>
      <c r="AC54" s="1860">
        <f>'Total - Traffic %'!AC54</f>
        <v>0</v>
      </c>
      <c r="AD54" s="1862">
        <f>'Total - Traffic %'!AD54</f>
        <v>1.2999999999999999E-2</v>
      </c>
      <c r="AF54" s="3825"/>
      <c r="AG54" s="1749">
        <v>5</v>
      </c>
      <c r="AH54" s="1856">
        <f>'Total - Traffic %'!AH54</f>
        <v>0</v>
      </c>
      <c r="AI54" s="1857">
        <f>'Total - Traffic %'!AI54</f>
        <v>0</v>
      </c>
      <c r="AJ54" s="1858">
        <f>'Total - Traffic %'!AJ54</f>
        <v>0</v>
      </c>
      <c r="AK54" s="1856">
        <f>'Total - Traffic %'!AK54</f>
        <v>0</v>
      </c>
      <c r="AL54" s="1857">
        <f>'Total - Traffic %'!AL54</f>
        <v>0</v>
      </c>
      <c r="AM54" s="1858">
        <f>'Total - Traffic %'!AM54</f>
        <v>0</v>
      </c>
      <c r="AN54" s="1859">
        <f>'Total - Traffic %'!AN54</f>
        <v>1.2E-2</v>
      </c>
      <c r="AO54" s="1860">
        <f>'Total - Traffic %'!AO54</f>
        <v>4.0000000000000001E-3</v>
      </c>
      <c r="AP54" s="1859">
        <f>'Total - Traffic %'!AP54</f>
        <v>0</v>
      </c>
      <c r="AQ54" s="1861">
        <f>'Total - Traffic %'!AQ54</f>
        <v>0</v>
      </c>
      <c r="AR54" s="1860">
        <f>'Total - Traffic %'!AR54</f>
        <v>0</v>
      </c>
      <c r="AS54" s="1862">
        <f>'Total - Traffic %'!AS54</f>
        <v>1.6E-2</v>
      </c>
      <c r="AU54" s="3825"/>
      <c r="AV54" s="1749">
        <v>5</v>
      </c>
      <c r="AW54" s="1856">
        <f>'Total - Traffic %'!AW54</f>
        <v>0</v>
      </c>
      <c r="AX54" s="1857">
        <f>'Total - Traffic %'!AX54</f>
        <v>0</v>
      </c>
      <c r="AY54" s="1858">
        <f>'Total - Traffic %'!AY54</f>
        <v>0</v>
      </c>
      <c r="AZ54" s="1856">
        <f>'Total - Traffic %'!AZ54</f>
        <v>0</v>
      </c>
      <c r="BA54" s="1857">
        <f>'Total - Traffic %'!BA54</f>
        <v>0</v>
      </c>
      <c r="BB54" s="1858">
        <f>'Total - Traffic %'!BB54</f>
        <v>0</v>
      </c>
      <c r="BC54" s="1859">
        <f>'Total - Traffic %'!BC54</f>
        <v>1.2999999999999999E-2</v>
      </c>
      <c r="BD54" s="1860">
        <f>'Total - Traffic %'!BD54</f>
        <v>4.0000000000000001E-3</v>
      </c>
      <c r="BE54" s="1859">
        <f>'Total - Traffic %'!BE54</f>
        <v>0</v>
      </c>
      <c r="BF54" s="1861">
        <f>'Total - Traffic %'!BF54</f>
        <v>1E-3</v>
      </c>
      <c r="BG54" s="1860">
        <f>'Total - Traffic %'!BG54</f>
        <v>0</v>
      </c>
      <c r="BH54" s="1862">
        <f>'Total - Traffic %'!BH54</f>
        <v>1.7999999999999999E-2</v>
      </c>
      <c r="BJ54" s="3825"/>
      <c r="BK54" s="1749">
        <v>5</v>
      </c>
      <c r="BL54" s="1856">
        <f>'Total - Traffic %'!BL54</f>
        <v>0</v>
      </c>
      <c r="BM54" s="1857">
        <f>'Total - Traffic %'!BM54</f>
        <v>0</v>
      </c>
      <c r="BN54" s="1858">
        <f>'Total - Traffic %'!BN54</f>
        <v>0</v>
      </c>
      <c r="BO54" s="1856">
        <f>'Total - Traffic %'!BO54</f>
        <v>0</v>
      </c>
      <c r="BP54" s="1857">
        <f>'Total - Traffic %'!BP54</f>
        <v>0</v>
      </c>
      <c r="BQ54" s="1858">
        <f>'Total - Traffic %'!BQ54</f>
        <v>0</v>
      </c>
      <c r="BR54" s="1859">
        <f>'Total - Traffic %'!BR54</f>
        <v>1.4E-2</v>
      </c>
      <c r="BS54" s="1860">
        <f>'Total - Traffic %'!BS54</f>
        <v>4.0000000000000001E-3</v>
      </c>
      <c r="BT54" s="1859">
        <f>'Total - Traffic %'!BT54</f>
        <v>0</v>
      </c>
      <c r="BU54" s="1861">
        <f>'Total - Traffic %'!BU54</f>
        <v>1E-3</v>
      </c>
      <c r="BV54" s="1860">
        <f>'Total - Traffic %'!BV54</f>
        <v>0</v>
      </c>
      <c r="BW54" s="1862">
        <f>'Total - Traffic %'!BW54</f>
        <v>1.9E-2</v>
      </c>
      <c r="BY54" s="3825"/>
      <c r="BZ54" s="1749">
        <v>5</v>
      </c>
      <c r="CA54" s="1856">
        <f>'Total - Traffic %'!CA54</f>
        <v>0</v>
      </c>
      <c r="CB54" s="1857">
        <f>'Total - Traffic %'!CB54</f>
        <v>0</v>
      </c>
      <c r="CC54" s="1858">
        <f>'Total - Traffic %'!CC54</f>
        <v>0</v>
      </c>
      <c r="CD54" s="1856">
        <f>'Total - Traffic %'!CD54</f>
        <v>0</v>
      </c>
      <c r="CE54" s="1857">
        <f>'Total - Traffic %'!CE54</f>
        <v>0</v>
      </c>
      <c r="CF54" s="1858">
        <f>'Total - Traffic %'!CF54</f>
        <v>0</v>
      </c>
      <c r="CG54" s="1859">
        <f>'Total - Traffic %'!CG54</f>
        <v>1.4999999999999999E-2</v>
      </c>
      <c r="CH54" s="1860">
        <f>'Total - Traffic %'!CH54</f>
        <v>4.0000000000000001E-3</v>
      </c>
      <c r="CI54" s="1859">
        <f>'Total - Traffic %'!CI54</f>
        <v>0</v>
      </c>
      <c r="CJ54" s="1861">
        <f>'Total - Traffic %'!CJ54</f>
        <v>2E-3</v>
      </c>
      <c r="CK54" s="1860">
        <f>'Total - Traffic %'!CK54</f>
        <v>0</v>
      </c>
      <c r="CL54" s="1862">
        <f>'Total - Traffic %'!CL54</f>
        <v>2.1000000000000001E-2</v>
      </c>
    </row>
    <row r="55" spans="1:90" s="1728" customFormat="1" ht="13.5" customHeight="1" thickBot="1">
      <c r="A55" s="3844"/>
      <c r="B55" s="3845"/>
      <c r="C55" s="1750" t="s">
        <v>1422</v>
      </c>
      <c r="D55" s="1863">
        <f>'Total - Traffic %'!D55</f>
        <v>0</v>
      </c>
      <c r="E55" s="1864">
        <f>'Total - Traffic %'!E55</f>
        <v>0</v>
      </c>
      <c r="F55" s="1865">
        <f>'Total - Traffic %'!F55</f>
        <v>0</v>
      </c>
      <c r="G55" s="1863">
        <f>'Total - Traffic %'!G55</f>
        <v>0</v>
      </c>
      <c r="H55" s="1864">
        <f>'Total - Traffic %'!H55</f>
        <v>0</v>
      </c>
      <c r="I55" s="1865">
        <f>'Total - Traffic %'!I55</f>
        <v>0</v>
      </c>
      <c r="J55" s="1866">
        <f>'Total - Traffic %'!J55</f>
        <v>0.14599999999999999</v>
      </c>
      <c r="K55" s="1867">
        <f>'Total - Traffic %'!K55</f>
        <v>0.13400000000000001</v>
      </c>
      <c r="L55" s="1866">
        <f>'Total - Traffic %'!L55</f>
        <v>0.122</v>
      </c>
      <c r="M55" s="1868">
        <f>'Total - Traffic %'!M55</f>
        <v>0.36099999999999999</v>
      </c>
      <c r="N55" s="1867">
        <f>'Total - Traffic %'!N55</f>
        <v>0.23599999999999999</v>
      </c>
      <c r="O55" s="1869">
        <f>'Total - Traffic %'!O55</f>
        <v>1</v>
      </c>
      <c r="Q55" s="3826"/>
      <c r="R55" s="1750" t="s">
        <v>1422</v>
      </c>
      <c r="S55" s="1863">
        <f>'Total - Traffic %'!S55</f>
        <v>0</v>
      </c>
      <c r="T55" s="1864">
        <f>'Total - Traffic %'!T55</f>
        <v>0</v>
      </c>
      <c r="U55" s="1865">
        <f>'Total - Traffic %'!U55</f>
        <v>0</v>
      </c>
      <c r="V55" s="1863">
        <f>'Total - Traffic %'!V55</f>
        <v>0</v>
      </c>
      <c r="W55" s="1864">
        <f>'Total - Traffic %'!W55</f>
        <v>0</v>
      </c>
      <c r="X55" s="1865">
        <f>'Total - Traffic %'!X55</f>
        <v>0</v>
      </c>
      <c r="Y55" s="1866">
        <f>'Total - Traffic %'!Y55</f>
        <v>0.14599999999999999</v>
      </c>
      <c r="Z55" s="1867">
        <f>'Total - Traffic %'!Z55</f>
        <v>0.13300000000000001</v>
      </c>
      <c r="AA55" s="1866">
        <f>'Total - Traffic %'!AA55</f>
        <v>0.124</v>
      </c>
      <c r="AB55" s="1868">
        <f>'Total - Traffic %'!AB55</f>
        <v>0.36099999999999999</v>
      </c>
      <c r="AC55" s="1867">
        <f>'Total - Traffic %'!AC55</f>
        <v>0.23599999999999999</v>
      </c>
      <c r="AD55" s="1869">
        <f>'Total - Traffic %'!AD55</f>
        <v>1</v>
      </c>
      <c r="AF55" s="3826"/>
      <c r="AG55" s="1750" t="s">
        <v>1422</v>
      </c>
      <c r="AH55" s="1863">
        <f>'Total - Traffic %'!AH55</f>
        <v>0</v>
      </c>
      <c r="AI55" s="1864">
        <f>'Total - Traffic %'!AI55</f>
        <v>0</v>
      </c>
      <c r="AJ55" s="1865">
        <f>'Total - Traffic %'!AJ55</f>
        <v>0</v>
      </c>
      <c r="AK55" s="1863">
        <f>'Total - Traffic %'!AK55</f>
        <v>0</v>
      </c>
      <c r="AL55" s="1864">
        <f>'Total - Traffic %'!AL55</f>
        <v>0</v>
      </c>
      <c r="AM55" s="1865">
        <f>'Total - Traffic %'!AM55</f>
        <v>0</v>
      </c>
      <c r="AN55" s="1866">
        <f>'Total - Traffic %'!AN55</f>
        <v>0.14499999999999999</v>
      </c>
      <c r="AO55" s="1867">
        <f>'Total - Traffic %'!AO55</f>
        <v>0.13300000000000001</v>
      </c>
      <c r="AP55" s="1866">
        <f>'Total - Traffic %'!AP55</f>
        <v>0.124</v>
      </c>
      <c r="AQ55" s="1868">
        <f>'Total - Traffic %'!AQ55</f>
        <v>0.36199999999999999</v>
      </c>
      <c r="AR55" s="1867">
        <f>'Total - Traffic %'!AR55</f>
        <v>0.23599999999999999</v>
      </c>
      <c r="AS55" s="1869">
        <f>'Total - Traffic %'!AS55</f>
        <v>1</v>
      </c>
      <c r="AU55" s="3826"/>
      <c r="AV55" s="1750" t="s">
        <v>1422</v>
      </c>
      <c r="AW55" s="1863">
        <f>'Total - Traffic %'!AW55</f>
        <v>0</v>
      </c>
      <c r="AX55" s="1864">
        <f>'Total - Traffic %'!AX55</f>
        <v>0</v>
      </c>
      <c r="AY55" s="1865">
        <f>'Total - Traffic %'!AY55</f>
        <v>0</v>
      </c>
      <c r="AZ55" s="1863">
        <f>'Total - Traffic %'!AZ55</f>
        <v>0</v>
      </c>
      <c r="BA55" s="1864">
        <f>'Total - Traffic %'!BA55</f>
        <v>0</v>
      </c>
      <c r="BB55" s="1865">
        <f>'Total - Traffic %'!BB55</f>
        <v>0</v>
      </c>
      <c r="BC55" s="1866">
        <f>'Total - Traffic %'!BC55</f>
        <v>0.14499999999999999</v>
      </c>
      <c r="BD55" s="1867">
        <f>'Total - Traffic %'!BD55</f>
        <v>0.13200000000000001</v>
      </c>
      <c r="BE55" s="1866">
        <f>'Total - Traffic %'!BE55</f>
        <v>0.128</v>
      </c>
      <c r="BF55" s="1868">
        <f>'Total - Traffic %'!BF55</f>
        <v>0.36099999999999999</v>
      </c>
      <c r="BG55" s="1867">
        <f>'Total - Traffic %'!BG55</f>
        <v>0.23400000000000001</v>
      </c>
      <c r="BH55" s="1869">
        <f>'Total - Traffic %'!BH55</f>
        <v>1</v>
      </c>
      <c r="BJ55" s="3826"/>
      <c r="BK55" s="1750" t="s">
        <v>1422</v>
      </c>
      <c r="BL55" s="1863">
        <f>'Total - Traffic %'!BL55</f>
        <v>0</v>
      </c>
      <c r="BM55" s="1864">
        <f>'Total - Traffic %'!BM55</f>
        <v>0</v>
      </c>
      <c r="BN55" s="1865">
        <f>'Total - Traffic %'!BN55</f>
        <v>0</v>
      </c>
      <c r="BO55" s="1863">
        <f>'Total - Traffic %'!BO55</f>
        <v>0</v>
      </c>
      <c r="BP55" s="1864">
        <f>'Total - Traffic %'!BP55</f>
        <v>0</v>
      </c>
      <c r="BQ55" s="1865">
        <f>'Total - Traffic %'!BQ55</f>
        <v>0</v>
      </c>
      <c r="BR55" s="1866">
        <f>'Total - Traffic %'!BR55</f>
        <v>0.14399999999999999</v>
      </c>
      <c r="BS55" s="1867">
        <f>'Total - Traffic %'!BS55</f>
        <v>0.13200000000000001</v>
      </c>
      <c r="BT55" s="1866">
        <f>'Total - Traffic %'!BT55</f>
        <v>0.128</v>
      </c>
      <c r="BU55" s="1868">
        <f>'Total - Traffic %'!BU55</f>
        <v>0.36199999999999999</v>
      </c>
      <c r="BV55" s="1867">
        <f>'Total - Traffic %'!BV55</f>
        <v>0.23400000000000001</v>
      </c>
      <c r="BW55" s="1869">
        <f>'Total - Traffic %'!BW55</f>
        <v>1</v>
      </c>
      <c r="BY55" s="3826"/>
      <c r="BZ55" s="1750" t="s">
        <v>1422</v>
      </c>
      <c r="CA55" s="1863">
        <f>'Total - Traffic %'!CA55</f>
        <v>0</v>
      </c>
      <c r="CB55" s="1864">
        <f>'Total - Traffic %'!CB55</f>
        <v>0</v>
      </c>
      <c r="CC55" s="1865">
        <f>'Total - Traffic %'!CC55</f>
        <v>0</v>
      </c>
      <c r="CD55" s="1863">
        <f>'Total - Traffic %'!CD55</f>
        <v>0</v>
      </c>
      <c r="CE55" s="1864">
        <f>'Total - Traffic %'!CE55</f>
        <v>0</v>
      </c>
      <c r="CF55" s="1865">
        <f>'Total - Traffic %'!CF55</f>
        <v>0</v>
      </c>
      <c r="CG55" s="1866">
        <f>'Total - Traffic %'!CG55</f>
        <v>0.14299999999999999</v>
      </c>
      <c r="CH55" s="1867">
        <f>'Total - Traffic %'!CH55</f>
        <v>0.13200000000000001</v>
      </c>
      <c r="CI55" s="1866">
        <f>'Total - Traffic %'!CI55</f>
        <v>0.128</v>
      </c>
      <c r="CJ55" s="1868">
        <f>'Total - Traffic %'!CJ55</f>
        <v>0.36099999999999999</v>
      </c>
      <c r="CK55" s="1867">
        <f>'Total - Traffic %'!CK55</f>
        <v>0.23499999999999999</v>
      </c>
      <c r="CL55" s="1869">
        <f>'Total - Traffic %'!CL55</f>
        <v>1</v>
      </c>
    </row>
    <row r="56" spans="1:90" s="1728" customFormat="1" ht="13.5" customHeight="1" thickTop="1">
      <c r="A56" s="3840" t="s">
        <v>1122</v>
      </c>
      <c r="B56" s="3841"/>
      <c r="C56" s="1733">
        <v>1</v>
      </c>
      <c r="D56" s="1849">
        <f>'Total - Traffic %'!D56</f>
        <v>0</v>
      </c>
      <c r="E56" s="1850">
        <f>'Total - Traffic %'!E56</f>
        <v>0</v>
      </c>
      <c r="F56" s="1851">
        <f>'Total - Traffic %'!F56</f>
        <v>0</v>
      </c>
      <c r="G56" s="1849">
        <f>'Total - Traffic %'!G56</f>
        <v>0</v>
      </c>
      <c r="H56" s="1850">
        <f>'Total - Traffic %'!H56</f>
        <v>0</v>
      </c>
      <c r="I56" s="1851">
        <f>'Total - Traffic %'!I56</f>
        <v>0</v>
      </c>
      <c r="J56" s="1852">
        <f>'Total - Traffic %'!J56</f>
        <v>2.5999999999999999E-2</v>
      </c>
      <c r="K56" s="1853">
        <f>'Total - Traffic %'!K56</f>
        <v>0.109</v>
      </c>
      <c r="L56" s="1852">
        <f>'Total - Traffic %'!L56</f>
        <v>2.4E-2</v>
      </c>
      <c r="M56" s="1854">
        <f>'Total - Traffic %'!M56</f>
        <v>0.107</v>
      </c>
      <c r="N56" s="1853">
        <f>'Total - Traffic %'!N56</f>
        <v>0.159</v>
      </c>
      <c r="O56" s="1855">
        <f>'Total - Traffic %'!O56</f>
        <v>0.42599999999999999</v>
      </c>
      <c r="Q56" s="3824" t="s">
        <v>1122</v>
      </c>
      <c r="R56" s="1733">
        <v>1</v>
      </c>
      <c r="S56" s="1849">
        <f>'Total - Traffic %'!S56</f>
        <v>0</v>
      </c>
      <c r="T56" s="1850">
        <f>'Total - Traffic %'!T56</f>
        <v>0</v>
      </c>
      <c r="U56" s="1851">
        <f>'Total - Traffic %'!U56</f>
        <v>0</v>
      </c>
      <c r="V56" s="1849">
        <f>'Total - Traffic %'!V56</f>
        <v>0</v>
      </c>
      <c r="W56" s="1850">
        <f>'Total - Traffic %'!W56</f>
        <v>0</v>
      </c>
      <c r="X56" s="1851">
        <f>'Total - Traffic %'!X56</f>
        <v>0</v>
      </c>
      <c r="Y56" s="1852">
        <f>'Total - Traffic %'!Y56</f>
        <v>2.5999999999999999E-2</v>
      </c>
      <c r="Z56" s="1853">
        <f>'Total - Traffic %'!Z56</f>
        <v>0.109</v>
      </c>
      <c r="AA56" s="1852">
        <f>'Total - Traffic %'!AA56</f>
        <v>2.4E-2</v>
      </c>
      <c r="AB56" s="1854">
        <f>'Total - Traffic %'!AB56</f>
        <v>0.107</v>
      </c>
      <c r="AC56" s="1853">
        <f>'Total - Traffic %'!AC56</f>
        <v>0.158</v>
      </c>
      <c r="AD56" s="1855">
        <f>'Total - Traffic %'!AD56</f>
        <v>0.42299999999999999</v>
      </c>
      <c r="AF56" s="3824" t="s">
        <v>1122</v>
      </c>
      <c r="AG56" s="1733">
        <v>1</v>
      </c>
      <c r="AH56" s="1849">
        <f>'Total - Traffic %'!AH56</f>
        <v>0</v>
      </c>
      <c r="AI56" s="1850">
        <f>'Total - Traffic %'!AI56</f>
        <v>0</v>
      </c>
      <c r="AJ56" s="1851">
        <f>'Total - Traffic %'!AJ56</f>
        <v>0</v>
      </c>
      <c r="AK56" s="1849">
        <f>'Total - Traffic %'!AK56</f>
        <v>0</v>
      </c>
      <c r="AL56" s="1850">
        <f>'Total - Traffic %'!AL56</f>
        <v>0</v>
      </c>
      <c r="AM56" s="1851">
        <f>'Total - Traffic %'!AM56</f>
        <v>0</v>
      </c>
      <c r="AN56" s="1852">
        <f>'Total - Traffic %'!AN56</f>
        <v>0.02</v>
      </c>
      <c r="AO56" s="1853">
        <f>'Total - Traffic %'!AO56</f>
        <v>0.107</v>
      </c>
      <c r="AP56" s="1852">
        <f>'Total - Traffic %'!AP56</f>
        <v>2.1999999999999999E-2</v>
      </c>
      <c r="AQ56" s="1854">
        <f>'Total - Traffic %'!AQ56</f>
        <v>8.4000000000000005E-2</v>
      </c>
      <c r="AR56" s="1853">
        <f>'Total - Traffic %'!AR56</f>
        <v>0.14699999999999999</v>
      </c>
      <c r="AS56" s="1855">
        <f>'Total - Traffic %'!AS56</f>
        <v>0.38</v>
      </c>
      <c r="AU56" s="3824" t="s">
        <v>1122</v>
      </c>
      <c r="AV56" s="1733">
        <v>1</v>
      </c>
      <c r="AW56" s="1849">
        <f>'Total - Traffic %'!AW56</f>
        <v>0</v>
      </c>
      <c r="AX56" s="1850">
        <f>'Total - Traffic %'!AX56</f>
        <v>0</v>
      </c>
      <c r="AY56" s="1851">
        <f>'Total - Traffic %'!AY56</f>
        <v>0</v>
      </c>
      <c r="AZ56" s="1849">
        <f>'Total - Traffic %'!AZ56</f>
        <v>0</v>
      </c>
      <c r="BA56" s="1850">
        <f>'Total - Traffic %'!BA56</f>
        <v>0</v>
      </c>
      <c r="BB56" s="1851">
        <f>'Total - Traffic %'!BB56</f>
        <v>0</v>
      </c>
      <c r="BC56" s="1852">
        <f>'Total - Traffic %'!BC56</f>
        <v>0.02</v>
      </c>
      <c r="BD56" s="1853">
        <f>'Total - Traffic %'!BD56</f>
        <v>9.7000000000000003E-2</v>
      </c>
      <c r="BE56" s="1852">
        <f>'Total - Traffic %'!BE56</f>
        <v>2.1000000000000001E-2</v>
      </c>
      <c r="BF56" s="1854">
        <f>'Total - Traffic %'!BF56</f>
        <v>8.3000000000000004E-2</v>
      </c>
      <c r="BG56" s="1853">
        <f>'Total - Traffic %'!BG56</f>
        <v>0.14699999999999999</v>
      </c>
      <c r="BH56" s="1855">
        <f>'Total - Traffic %'!BH56</f>
        <v>0.36699999999999999</v>
      </c>
      <c r="BJ56" s="3824" t="s">
        <v>1122</v>
      </c>
      <c r="BK56" s="1733">
        <v>1</v>
      </c>
      <c r="BL56" s="1849">
        <f>'Total - Traffic %'!BL56</f>
        <v>0</v>
      </c>
      <c r="BM56" s="1850">
        <f>'Total - Traffic %'!BM56</f>
        <v>0</v>
      </c>
      <c r="BN56" s="1851">
        <f>'Total - Traffic %'!BN56</f>
        <v>0</v>
      </c>
      <c r="BO56" s="1849">
        <f>'Total - Traffic %'!BO56</f>
        <v>0</v>
      </c>
      <c r="BP56" s="1850">
        <f>'Total - Traffic %'!BP56</f>
        <v>0</v>
      </c>
      <c r="BQ56" s="1851">
        <f>'Total - Traffic %'!BQ56</f>
        <v>0</v>
      </c>
      <c r="BR56" s="1852">
        <f>'Total - Traffic %'!BR56</f>
        <v>1.9E-2</v>
      </c>
      <c r="BS56" s="1853">
        <f>'Total - Traffic %'!BS56</f>
        <v>9.2999999999999999E-2</v>
      </c>
      <c r="BT56" s="1852">
        <f>'Total - Traffic %'!BT56</f>
        <v>0.02</v>
      </c>
      <c r="BU56" s="1854">
        <f>'Total - Traffic %'!BU56</f>
        <v>7.9000000000000001E-2</v>
      </c>
      <c r="BV56" s="1853">
        <f>'Total - Traffic %'!BV56</f>
        <v>0.14299999999999999</v>
      </c>
      <c r="BW56" s="1855">
        <f>'Total - Traffic %'!BW56</f>
        <v>0.35399999999999998</v>
      </c>
      <c r="BY56" s="3824" t="s">
        <v>1122</v>
      </c>
      <c r="BZ56" s="1733">
        <v>1</v>
      </c>
      <c r="CA56" s="1849">
        <f>'Total - Traffic %'!CA56</f>
        <v>0</v>
      </c>
      <c r="CB56" s="1850">
        <f>'Total - Traffic %'!CB56</f>
        <v>0</v>
      </c>
      <c r="CC56" s="1851">
        <f>'Total - Traffic %'!CC56</f>
        <v>0</v>
      </c>
      <c r="CD56" s="1849">
        <f>'Total - Traffic %'!CD56</f>
        <v>0</v>
      </c>
      <c r="CE56" s="1850">
        <f>'Total - Traffic %'!CE56</f>
        <v>0</v>
      </c>
      <c r="CF56" s="1851">
        <f>'Total - Traffic %'!CF56</f>
        <v>0</v>
      </c>
      <c r="CG56" s="1852">
        <f>'Total - Traffic %'!CG56</f>
        <v>1.7000000000000001E-2</v>
      </c>
      <c r="CH56" s="1853">
        <f>'Total - Traffic %'!CH56</f>
        <v>9.1999999999999998E-2</v>
      </c>
      <c r="CI56" s="1852">
        <f>'Total - Traffic %'!CI56</f>
        <v>1.7999999999999999E-2</v>
      </c>
      <c r="CJ56" s="1854">
        <f>'Total - Traffic %'!CJ56</f>
        <v>6.7000000000000004E-2</v>
      </c>
      <c r="CK56" s="1853">
        <f>'Total - Traffic %'!CK56</f>
        <v>0.13400000000000001</v>
      </c>
      <c r="CL56" s="1855">
        <f>'Total - Traffic %'!CL56</f>
        <v>0.32800000000000001</v>
      </c>
    </row>
    <row r="57" spans="1:90" s="1728" customFormat="1" ht="13.5" customHeight="1">
      <c r="A57" s="3842"/>
      <c r="B57" s="3843"/>
      <c r="C57" s="1741">
        <v>2</v>
      </c>
      <c r="D57" s="1856">
        <f>'Total - Traffic %'!D57</f>
        <v>0</v>
      </c>
      <c r="E57" s="1857">
        <f>'Total - Traffic %'!E57</f>
        <v>0</v>
      </c>
      <c r="F57" s="1858">
        <f>'Total - Traffic %'!F57</f>
        <v>0</v>
      </c>
      <c r="G57" s="1856">
        <f>'Total - Traffic %'!G57</f>
        <v>0</v>
      </c>
      <c r="H57" s="1857">
        <f>'Total - Traffic %'!H57</f>
        <v>0</v>
      </c>
      <c r="I57" s="1858">
        <f>'Total - Traffic %'!I57</f>
        <v>0</v>
      </c>
      <c r="J57" s="1859">
        <f>'Total - Traffic %'!J57</f>
        <v>5.1999999999999998E-2</v>
      </c>
      <c r="K57" s="1860">
        <f>'Total - Traffic %'!K57</f>
        <v>3.5999999999999997E-2</v>
      </c>
      <c r="L57" s="1859">
        <f>'Total - Traffic %'!L57</f>
        <v>0.06</v>
      </c>
      <c r="M57" s="1861">
        <f>'Total - Traffic %'!M57</f>
        <v>0.128</v>
      </c>
      <c r="N57" s="1860">
        <f>'Total - Traffic %'!N57</f>
        <v>0.03</v>
      </c>
      <c r="O57" s="1862">
        <f>'Total - Traffic %'!O57</f>
        <v>0.30499999999999999</v>
      </c>
      <c r="Q57" s="3825"/>
      <c r="R57" s="1741">
        <v>2</v>
      </c>
      <c r="S57" s="1856">
        <f>'Total - Traffic %'!S57</f>
        <v>0</v>
      </c>
      <c r="T57" s="1857">
        <f>'Total - Traffic %'!T57</f>
        <v>0</v>
      </c>
      <c r="U57" s="1858">
        <f>'Total - Traffic %'!U57</f>
        <v>0</v>
      </c>
      <c r="V57" s="1856">
        <f>'Total - Traffic %'!V57</f>
        <v>0</v>
      </c>
      <c r="W57" s="1857">
        <f>'Total - Traffic %'!W57</f>
        <v>0</v>
      </c>
      <c r="X57" s="1858">
        <f>'Total - Traffic %'!X57</f>
        <v>0</v>
      </c>
      <c r="Y57" s="1859">
        <f>'Total - Traffic %'!Y57</f>
        <v>4.9000000000000002E-2</v>
      </c>
      <c r="Z57" s="1860">
        <f>'Total - Traffic %'!Z57</f>
        <v>3.5000000000000003E-2</v>
      </c>
      <c r="AA57" s="1859">
        <f>'Total - Traffic %'!AA57</f>
        <v>7.3999999999999996E-2</v>
      </c>
      <c r="AB57" s="1861">
        <f>'Total - Traffic %'!AB57</f>
        <v>0.122</v>
      </c>
      <c r="AC57" s="1860">
        <f>'Total - Traffic %'!AC57</f>
        <v>2.8000000000000001E-2</v>
      </c>
      <c r="AD57" s="1862">
        <f>'Total - Traffic %'!AD57</f>
        <v>0.308</v>
      </c>
      <c r="AF57" s="3825"/>
      <c r="AG57" s="1741">
        <v>2</v>
      </c>
      <c r="AH57" s="1856">
        <f>'Total - Traffic %'!AH57</f>
        <v>0</v>
      </c>
      <c r="AI57" s="1857">
        <f>'Total - Traffic %'!AI57</f>
        <v>0</v>
      </c>
      <c r="AJ57" s="1858">
        <f>'Total - Traffic %'!AJ57</f>
        <v>0</v>
      </c>
      <c r="AK57" s="1856">
        <f>'Total - Traffic %'!AK57</f>
        <v>0</v>
      </c>
      <c r="AL57" s="1857">
        <f>'Total - Traffic %'!AL57</f>
        <v>0</v>
      </c>
      <c r="AM57" s="1858">
        <f>'Total - Traffic %'!AM57</f>
        <v>0</v>
      </c>
      <c r="AN57" s="1859">
        <f>'Total - Traffic %'!AN57</f>
        <v>4.5999999999999999E-2</v>
      </c>
      <c r="AO57" s="1860">
        <f>'Total - Traffic %'!AO57</f>
        <v>3.4000000000000002E-2</v>
      </c>
      <c r="AP57" s="1859">
        <f>'Total - Traffic %'!AP57</f>
        <v>6.3E-2</v>
      </c>
      <c r="AQ57" s="1861">
        <f>'Total - Traffic %'!AQ57</f>
        <v>0.13600000000000001</v>
      </c>
      <c r="AR57" s="1860">
        <f>'Total - Traffic %'!AR57</f>
        <v>3.6999999999999998E-2</v>
      </c>
      <c r="AS57" s="1862">
        <f>'Total - Traffic %'!AS57</f>
        <v>0.316</v>
      </c>
      <c r="AU57" s="3825"/>
      <c r="AV57" s="1741">
        <v>2</v>
      </c>
      <c r="AW57" s="1856">
        <f>'Total - Traffic %'!AW57</f>
        <v>0</v>
      </c>
      <c r="AX57" s="1857">
        <f>'Total - Traffic %'!AX57</f>
        <v>0</v>
      </c>
      <c r="AY57" s="1858">
        <f>'Total - Traffic %'!AY57</f>
        <v>0</v>
      </c>
      <c r="AZ57" s="1856">
        <f>'Total - Traffic %'!AZ57</f>
        <v>0</v>
      </c>
      <c r="BA57" s="1857">
        <f>'Total - Traffic %'!BA57</f>
        <v>0</v>
      </c>
      <c r="BB57" s="1858">
        <f>'Total - Traffic %'!BB57</f>
        <v>0</v>
      </c>
      <c r="BC57" s="1859">
        <f>'Total - Traffic %'!BC57</f>
        <v>3.5999999999999997E-2</v>
      </c>
      <c r="BD57" s="1860">
        <f>'Total - Traffic %'!BD57</f>
        <v>4.1000000000000002E-2</v>
      </c>
      <c r="BE57" s="1859">
        <f>'Total - Traffic %'!BE57</f>
        <v>0.04</v>
      </c>
      <c r="BF57" s="1861">
        <f>'Total - Traffic %'!BF57</f>
        <v>0.124</v>
      </c>
      <c r="BG57" s="1860">
        <f>'Total - Traffic %'!BG57</f>
        <v>3.4000000000000002E-2</v>
      </c>
      <c r="BH57" s="1862">
        <f>'Total - Traffic %'!BH57</f>
        <v>0.27600000000000002</v>
      </c>
      <c r="BJ57" s="3825"/>
      <c r="BK57" s="1741">
        <v>2</v>
      </c>
      <c r="BL57" s="1856">
        <f>'Total - Traffic %'!BL57</f>
        <v>0</v>
      </c>
      <c r="BM57" s="1857">
        <f>'Total - Traffic %'!BM57</f>
        <v>0</v>
      </c>
      <c r="BN57" s="1858">
        <f>'Total - Traffic %'!BN57</f>
        <v>0</v>
      </c>
      <c r="BO57" s="1856">
        <f>'Total - Traffic %'!BO57</f>
        <v>0</v>
      </c>
      <c r="BP57" s="1857">
        <f>'Total - Traffic %'!BP57</f>
        <v>0</v>
      </c>
      <c r="BQ57" s="1858">
        <f>'Total - Traffic %'!BQ57</f>
        <v>0</v>
      </c>
      <c r="BR57" s="1859">
        <f>'Total - Traffic %'!BR57</f>
        <v>3.3000000000000002E-2</v>
      </c>
      <c r="BS57" s="1860">
        <f>'Total - Traffic %'!BS57</f>
        <v>4.2999999999999997E-2</v>
      </c>
      <c r="BT57" s="1859">
        <f>'Total - Traffic %'!BT57</f>
        <v>3.2000000000000001E-2</v>
      </c>
      <c r="BU57" s="1861">
        <f>'Total - Traffic %'!BU57</f>
        <v>0.11799999999999999</v>
      </c>
      <c r="BV57" s="1860">
        <f>'Total - Traffic %'!BV57</f>
        <v>3.5000000000000003E-2</v>
      </c>
      <c r="BW57" s="1862">
        <f>'Total - Traffic %'!BW57</f>
        <v>0.26100000000000001</v>
      </c>
      <c r="BY57" s="3825"/>
      <c r="BZ57" s="1741">
        <v>2</v>
      </c>
      <c r="CA57" s="1856">
        <f>'Total - Traffic %'!CA57</f>
        <v>0</v>
      </c>
      <c r="CB57" s="1857">
        <f>'Total - Traffic %'!CB57</f>
        <v>0</v>
      </c>
      <c r="CC57" s="1858">
        <f>'Total - Traffic %'!CC57</f>
        <v>0</v>
      </c>
      <c r="CD57" s="1856">
        <f>'Total - Traffic %'!CD57</f>
        <v>0</v>
      </c>
      <c r="CE57" s="1857">
        <f>'Total - Traffic %'!CE57</f>
        <v>0</v>
      </c>
      <c r="CF57" s="1858">
        <f>'Total - Traffic %'!CF57</f>
        <v>0</v>
      </c>
      <c r="CG57" s="1859">
        <f>'Total - Traffic %'!CG57</f>
        <v>0.03</v>
      </c>
      <c r="CH57" s="1860">
        <f>'Total - Traffic %'!CH57</f>
        <v>4.2999999999999997E-2</v>
      </c>
      <c r="CI57" s="1859">
        <f>'Total - Traffic %'!CI57</f>
        <v>2.7E-2</v>
      </c>
      <c r="CJ57" s="1861">
        <f>'Total - Traffic %'!CJ57</f>
        <v>0.11899999999999999</v>
      </c>
      <c r="CK57" s="1860">
        <f>'Total - Traffic %'!CK57</f>
        <v>4.2999999999999997E-2</v>
      </c>
      <c r="CL57" s="1862">
        <f>'Total - Traffic %'!CL57</f>
        <v>0.26200000000000001</v>
      </c>
    </row>
    <row r="58" spans="1:90" s="1728" customFormat="1" ht="13.5" customHeight="1">
      <c r="A58" s="3842"/>
      <c r="B58" s="3843"/>
      <c r="C58" s="1741">
        <v>3</v>
      </c>
      <c r="D58" s="1856">
        <f>'Total - Traffic %'!D58</f>
        <v>0</v>
      </c>
      <c r="E58" s="1857">
        <f>'Total - Traffic %'!E58</f>
        <v>0</v>
      </c>
      <c r="F58" s="1858">
        <f>'Total - Traffic %'!F58</f>
        <v>0</v>
      </c>
      <c r="G58" s="1856">
        <f>'Total - Traffic %'!G58</f>
        <v>0</v>
      </c>
      <c r="H58" s="1857">
        <f>'Total - Traffic %'!H58</f>
        <v>0</v>
      </c>
      <c r="I58" s="1858">
        <f>'Total - Traffic %'!I58</f>
        <v>0</v>
      </c>
      <c r="J58" s="1859">
        <f>'Total - Traffic %'!J58</f>
        <v>4.7E-2</v>
      </c>
      <c r="K58" s="1860">
        <f>'Total - Traffic %'!K58</f>
        <v>1.2E-2</v>
      </c>
      <c r="L58" s="1859">
        <f>'Total - Traffic %'!L58</f>
        <v>8.1000000000000003E-2</v>
      </c>
      <c r="M58" s="1861">
        <f>'Total - Traffic %'!M58</f>
        <v>3.4000000000000002E-2</v>
      </c>
      <c r="N58" s="1860">
        <f>'Total - Traffic %'!N58</f>
        <v>1.0999999999999999E-2</v>
      </c>
      <c r="O58" s="1862">
        <f>'Total - Traffic %'!O58</f>
        <v>0.185</v>
      </c>
      <c r="Q58" s="3825"/>
      <c r="R58" s="1741">
        <v>3</v>
      </c>
      <c r="S58" s="1856">
        <f>'Total - Traffic %'!S58</f>
        <v>0</v>
      </c>
      <c r="T58" s="1857">
        <f>'Total - Traffic %'!T58</f>
        <v>0</v>
      </c>
      <c r="U58" s="1858">
        <f>'Total - Traffic %'!U58</f>
        <v>0</v>
      </c>
      <c r="V58" s="1856">
        <f>'Total - Traffic %'!V58</f>
        <v>0</v>
      </c>
      <c r="W58" s="1857">
        <f>'Total - Traffic %'!W58</f>
        <v>0</v>
      </c>
      <c r="X58" s="1858">
        <f>'Total - Traffic %'!X58</f>
        <v>0</v>
      </c>
      <c r="Y58" s="1859">
        <f>'Total - Traffic %'!Y58</f>
        <v>4.5999999999999999E-2</v>
      </c>
      <c r="Z58" s="1860">
        <f>'Total - Traffic %'!Z58</f>
        <v>1.2999999999999999E-2</v>
      </c>
      <c r="AA58" s="1859">
        <f>'Total - Traffic %'!AA58</f>
        <v>6.9000000000000006E-2</v>
      </c>
      <c r="AB58" s="1861">
        <f>'Total - Traffic %'!AB58</f>
        <v>0.04</v>
      </c>
      <c r="AC58" s="1860">
        <f>'Total - Traffic %'!AC58</f>
        <v>1.0999999999999999E-2</v>
      </c>
      <c r="AD58" s="1862">
        <f>'Total - Traffic %'!AD58</f>
        <v>0.17899999999999999</v>
      </c>
      <c r="AF58" s="3825"/>
      <c r="AG58" s="1741">
        <v>3</v>
      </c>
      <c r="AH58" s="1856">
        <f>'Total - Traffic %'!AH58</f>
        <v>0</v>
      </c>
      <c r="AI58" s="1857">
        <f>'Total - Traffic %'!AI58</f>
        <v>0</v>
      </c>
      <c r="AJ58" s="1858">
        <f>'Total - Traffic %'!AJ58</f>
        <v>0</v>
      </c>
      <c r="AK58" s="1856">
        <f>'Total - Traffic %'!AK58</f>
        <v>0</v>
      </c>
      <c r="AL58" s="1857">
        <f>'Total - Traffic %'!AL58</f>
        <v>0</v>
      </c>
      <c r="AM58" s="1858">
        <f>'Total - Traffic %'!AM58</f>
        <v>0</v>
      </c>
      <c r="AN58" s="1859">
        <f>'Total - Traffic %'!AN58</f>
        <v>4.9000000000000002E-2</v>
      </c>
      <c r="AO58" s="1860">
        <f>'Total - Traffic %'!AO58</f>
        <v>1.2999999999999999E-2</v>
      </c>
      <c r="AP58" s="1859">
        <f>'Total - Traffic %'!AP58</f>
        <v>8.6999999999999994E-2</v>
      </c>
      <c r="AQ58" s="1861">
        <f>'Total - Traffic %'!AQ58</f>
        <v>4.4999999999999998E-2</v>
      </c>
      <c r="AR58" s="1860">
        <f>'Total - Traffic %'!AR58</f>
        <v>1.0999999999999999E-2</v>
      </c>
      <c r="AS58" s="1862">
        <f>'Total - Traffic %'!AS58</f>
        <v>0.20599999999999999</v>
      </c>
      <c r="AU58" s="3825"/>
      <c r="AV58" s="1741">
        <v>3</v>
      </c>
      <c r="AW58" s="1856">
        <f>'Total - Traffic %'!AW58</f>
        <v>0</v>
      </c>
      <c r="AX58" s="1857">
        <f>'Total - Traffic %'!AX58</f>
        <v>0</v>
      </c>
      <c r="AY58" s="1858">
        <f>'Total - Traffic %'!AY58</f>
        <v>0</v>
      </c>
      <c r="AZ58" s="1856">
        <f>'Total - Traffic %'!AZ58</f>
        <v>0</v>
      </c>
      <c r="BA58" s="1857">
        <f>'Total - Traffic %'!BA58</f>
        <v>0</v>
      </c>
      <c r="BB58" s="1858">
        <f>'Total - Traffic %'!BB58</f>
        <v>0</v>
      </c>
      <c r="BC58" s="1859">
        <f>'Total - Traffic %'!BC58</f>
        <v>0.05</v>
      </c>
      <c r="BD58" s="1860">
        <f>'Total - Traffic %'!BD58</f>
        <v>1.4999999999999999E-2</v>
      </c>
      <c r="BE58" s="1859">
        <f>'Total - Traffic %'!BE58</f>
        <v>0.10199999999999999</v>
      </c>
      <c r="BF58" s="1861">
        <f>'Total - Traffic %'!BF58</f>
        <v>5.6000000000000001E-2</v>
      </c>
      <c r="BG58" s="1860">
        <f>'Total - Traffic %'!BG58</f>
        <v>1.2E-2</v>
      </c>
      <c r="BH58" s="1862">
        <f>'Total - Traffic %'!BH58</f>
        <v>0.23400000000000001</v>
      </c>
      <c r="BJ58" s="3825"/>
      <c r="BK58" s="1741">
        <v>3</v>
      </c>
      <c r="BL58" s="1856">
        <f>'Total - Traffic %'!BL58</f>
        <v>0</v>
      </c>
      <c r="BM58" s="1857">
        <f>'Total - Traffic %'!BM58</f>
        <v>0</v>
      </c>
      <c r="BN58" s="1858">
        <f>'Total - Traffic %'!BN58</f>
        <v>0</v>
      </c>
      <c r="BO58" s="1856">
        <f>'Total - Traffic %'!BO58</f>
        <v>0</v>
      </c>
      <c r="BP58" s="1857">
        <f>'Total - Traffic %'!BP58</f>
        <v>0</v>
      </c>
      <c r="BQ58" s="1858">
        <f>'Total - Traffic %'!BQ58</f>
        <v>0</v>
      </c>
      <c r="BR58" s="1859">
        <f>'Total - Traffic %'!BR58</f>
        <v>4.8000000000000001E-2</v>
      </c>
      <c r="BS58" s="1860">
        <f>'Total - Traffic %'!BS58</f>
        <v>1.4999999999999999E-2</v>
      </c>
      <c r="BT58" s="1859">
        <f>'Total - Traffic %'!BT58</f>
        <v>9.6000000000000002E-2</v>
      </c>
      <c r="BU58" s="1861">
        <f>'Total - Traffic %'!BU58</f>
        <v>6.3E-2</v>
      </c>
      <c r="BV58" s="1860">
        <f>'Total - Traffic %'!BV58</f>
        <v>1.4999999999999999E-2</v>
      </c>
      <c r="BW58" s="1862">
        <f>'Total - Traffic %'!BW58</f>
        <v>0.23799999999999999</v>
      </c>
      <c r="BY58" s="3825"/>
      <c r="BZ58" s="1741">
        <v>3</v>
      </c>
      <c r="CA58" s="1856">
        <f>'Total - Traffic %'!CA58</f>
        <v>0</v>
      </c>
      <c r="CB58" s="1857">
        <f>'Total - Traffic %'!CB58</f>
        <v>0</v>
      </c>
      <c r="CC58" s="1858">
        <f>'Total - Traffic %'!CC58</f>
        <v>0</v>
      </c>
      <c r="CD58" s="1856">
        <f>'Total - Traffic %'!CD58</f>
        <v>0</v>
      </c>
      <c r="CE58" s="1857">
        <f>'Total - Traffic %'!CE58</f>
        <v>0</v>
      </c>
      <c r="CF58" s="1858">
        <f>'Total - Traffic %'!CF58</f>
        <v>0</v>
      </c>
      <c r="CG58" s="1859">
        <f>'Total - Traffic %'!CG58</f>
        <v>4.7E-2</v>
      </c>
      <c r="CH58" s="1860">
        <f>'Total - Traffic %'!CH58</f>
        <v>1.4999999999999999E-2</v>
      </c>
      <c r="CI58" s="1859">
        <f>'Total - Traffic %'!CI58</f>
        <v>8.6999999999999994E-2</v>
      </c>
      <c r="CJ58" s="1861">
        <f>'Total - Traffic %'!CJ58</f>
        <v>7.0999999999999994E-2</v>
      </c>
      <c r="CK58" s="1860">
        <f>'Total - Traffic %'!CK58</f>
        <v>1.4999999999999999E-2</v>
      </c>
      <c r="CL58" s="1862">
        <f>'Total - Traffic %'!CL58</f>
        <v>0.23499999999999999</v>
      </c>
    </row>
    <row r="59" spans="1:90" s="1728" customFormat="1" ht="13.5" customHeight="1">
      <c r="A59" s="3842"/>
      <c r="B59" s="3843"/>
      <c r="C59" s="1741">
        <v>4</v>
      </c>
      <c r="D59" s="1856">
        <f>'Total - Traffic %'!D59</f>
        <v>0</v>
      </c>
      <c r="E59" s="1857">
        <f>'Total - Traffic %'!E59</f>
        <v>0</v>
      </c>
      <c r="F59" s="1858">
        <f>'Total - Traffic %'!F59</f>
        <v>0</v>
      </c>
      <c r="G59" s="1856">
        <f>'Total - Traffic %'!G59</f>
        <v>0</v>
      </c>
      <c r="H59" s="1857">
        <f>'Total - Traffic %'!H59</f>
        <v>0</v>
      </c>
      <c r="I59" s="1858">
        <f>'Total - Traffic %'!I59</f>
        <v>0</v>
      </c>
      <c r="J59" s="1859">
        <f>'Total - Traffic %'!J59</f>
        <v>3.6999999999999998E-2</v>
      </c>
      <c r="K59" s="1860">
        <f>'Total - Traffic %'!K59</f>
        <v>5.0000000000000001E-3</v>
      </c>
      <c r="L59" s="1859">
        <f>'Total - Traffic %'!L59</f>
        <v>8.9999999999999993E-3</v>
      </c>
      <c r="M59" s="1861">
        <f>'Total - Traffic %'!M59</f>
        <v>1.2E-2</v>
      </c>
      <c r="N59" s="1860">
        <f>'Total - Traffic %'!N59</f>
        <v>4.0000000000000001E-3</v>
      </c>
      <c r="O59" s="1862">
        <f>'Total - Traffic %'!O59</f>
        <v>6.7000000000000004E-2</v>
      </c>
      <c r="Q59" s="3825"/>
      <c r="R59" s="1741">
        <v>4</v>
      </c>
      <c r="S59" s="1856">
        <f>'Total - Traffic %'!S59</f>
        <v>0</v>
      </c>
      <c r="T59" s="1857">
        <f>'Total - Traffic %'!T59</f>
        <v>0</v>
      </c>
      <c r="U59" s="1858">
        <f>'Total - Traffic %'!U59</f>
        <v>0</v>
      </c>
      <c r="V59" s="1856">
        <f>'Total - Traffic %'!V59</f>
        <v>0</v>
      </c>
      <c r="W59" s="1857">
        <f>'Total - Traffic %'!W59</f>
        <v>0</v>
      </c>
      <c r="X59" s="1858">
        <f>'Total - Traffic %'!X59</f>
        <v>0</v>
      </c>
      <c r="Y59" s="1859">
        <f>'Total - Traffic %'!Y59</f>
        <v>2.8000000000000001E-2</v>
      </c>
      <c r="Z59" s="1860">
        <f>'Total - Traffic %'!Z59</f>
        <v>5.0000000000000001E-3</v>
      </c>
      <c r="AA59" s="1859">
        <f>'Total - Traffic %'!AA59</f>
        <v>8.0000000000000002E-3</v>
      </c>
      <c r="AB59" s="1861">
        <f>'Total - Traffic %'!AB59</f>
        <v>1.0999999999999999E-2</v>
      </c>
      <c r="AC59" s="1860">
        <f>'Total - Traffic %'!AC59</f>
        <v>6.0000000000000001E-3</v>
      </c>
      <c r="AD59" s="1862">
        <f>'Total - Traffic %'!AD59</f>
        <v>5.8999999999999997E-2</v>
      </c>
      <c r="AF59" s="3825"/>
      <c r="AG59" s="1741">
        <v>4</v>
      </c>
      <c r="AH59" s="1856">
        <f>'Total - Traffic %'!AH59</f>
        <v>0</v>
      </c>
      <c r="AI59" s="1857">
        <f>'Total - Traffic %'!AI59</f>
        <v>0</v>
      </c>
      <c r="AJ59" s="1858">
        <f>'Total - Traffic %'!AJ59</f>
        <v>0</v>
      </c>
      <c r="AK59" s="1856">
        <f>'Total - Traffic %'!AK59</f>
        <v>0</v>
      </c>
      <c r="AL59" s="1857">
        <f>'Total - Traffic %'!AL59</f>
        <v>0</v>
      </c>
      <c r="AM59" s="1858">
        <f>'Total - Traffic %'!AM59</f>
        <v>0</v>
      </c>
      <c r="AN59" s="1859">
        <f>'Total - Traffic %'!AN59</f>
        <v>0.03</v>
      </c>
      <c r="AO59" s="1860">
        <f>'Total - Traffic %'!AO59</f>
        <v>5.0000000000000001E-3</v>
      </c>
      <c r="AP59" s="1859">
        <f>'Total - Traffic %'!AP59</f>
        <v>4.0000000000000001E-3</v>
      </c>
      <c r="AQ59" s="1861">
        <f>'Total - Traffic %'!AQ59</f>
        <v>1.4E-2</v>
      </c>
      <c r="AR59" s="1860">
        <f>'Total - Traffic %'!AR59</f>
        <v>7.0000000000000001E-3</v>
      </c>
      <c r="AS59" s="1862">
        <f>'Total - Traffic %'!AS59</f>
        <v>0.06</v>
      </c>
      <c r="AU59" s="3825"/>
      <c r="AV59" s="1741">
        <v>4</v>
      </c>
      <c r="AW59" s="1856">
        <f>'Total - Traffic %'!AW59</f>
        <v>0</v>
      </c>
      <c r="AX59" s="1857">
        <f>'Total - Traffic %'!AX59</f>
        <v>0</v>
      </c>
      <c r="AY59" s="1858">
        <f>'Total - Traffic %'!AY59</f>
        <v>0</v>
      </c>
      <c r="AZ59" s="1856">
        <f>'Total - Traffic %'!AZ59</f>
        <v>0</v>
      </c>
      <c r="BA59" s="1857">
        <f>'Total - Traffic %'!BA59</f>
        <v>0</v>
      </c>
      <c r="BB59" s="1858">
        <f>'Total - Traffic %'!BB59</f>
        <v>0</v>
      </c>
      <c r="BC59" s="1859">
        <f>'Total - Traffic %'!BC59</f>
        <v>3.5000000000000003E-2</v>
      </c>
      <c r="BD59" s="1860">
        <f>'Total - Traffic %'!BD59</f>
        <v>6.0000000000000001E-3</v>
      </c>
      <c r="BE59" s="1859">
        <f>'Total - Traffic %'!BE59</f>
        <v>1.4E-2</v>
      </c>
      <c r="BF59" s="1861">
        <f>'Total - Traffic %'!BF59</f>
        <v>1.7999999999999999E-2</v>
      </c>
      <c r="BG59" s="1860">
        <f>'Total - Traffic %'!BG59</f>
        <v>8.9999999999999993E-3</v>
      </c>
      <c r="BH59" s="1862">
        <f>'Total - Traffic %'!BH59</f>
        <v>8.1000000000000003E-2</v>
      </c>
      <c r="BJ59" s="3825"/>
      <c r="BK59" s="1741">
        <v>4</v>
      </c>
      <c r="BL59" s="1856">
        <f>'Total - Traffic %'!BL59</f>
        <v>0</v>
      </c>
      <c r="BM59" s="1857">
        <f>'Total - Traffic %'!BM59</f>
        <v>0</v>
      </c>
      <c r="BN59" s="1858">
        <f>'Total - Traffic %'!BN59</f>
        <v>0</v>
      </c>
      <c r="BO59" s="1856">
        <f>'Total - Traffic %'!BO59</f>
        <v>0</v>
      </c>
      <c r="BP59" s="1857">
        <f>'Total - Traffic %'!BP59</f>
        <v>0</v>
      </c>
      <c r="BQ59" s="1858">
        <f>'Total - Traffic %'!BQ59</f>
        <v>0</v>
      </c>
      <c r="BR59" s="1859">
        <f>'Total - Traffic %'!BR59</f>
        <v>3.5999999999999997E-2</v>
      </c>
      <c r="BS59" s="1860">
        <f>'Total - Traffic %'!BS59</f>
        <v>6.0000000000000001E-3</v>
      </c>
      <c r="BT59" s="1859">
        <f>'Total - Traffic %'!BT59</f>
        <v>2.9000000000000001E-2</v>
      </c>
      <c r="BU59" s="1861">
        <f>'Total - Traffic %'!BU59</f>
        <v>1.9E-2</v>
      </c>
      <c r="BV59" s="1860">
        <f>'Total - Traffic %'!BV59</f>
        <v>8.9999999999999993E-3</v>
      </c>
      <c r="BW59" s="1862">
        <f>'Total - Traffic %'!BW59</f>
        <v>9.9000000000000005E-2</v>
      </c>
      <c r="BY59" s="3825"/>
      <c r="BZ59" s="1741">
        <v>4</v>
      </c>
      <c r="CA59" s="1856">
        <f>'Total - Traffic %'!CA59</f>
        <v>0</v>
      </c>
      <c r="CB59" s="1857">
        <f>'Total - Traffic %'!CB59</f>
        <v>0</v>
      </c>
      <c r="CC59" s="1858">
        <f>'Total - Traffic %'!CC59</f>
        <v>0</v>
      </c>
      <c r="CD59" s="1856">
        <f>'Total - Traffic %'!CD59</f>
        <v>0</v>
      </c>
      <c r="CE59" s="1857">
        <f>'Total - Traffic %'!CE59</f>
        <v>0</v>
      </c>
      <c r="CF59" s="1858">
        <f>'Total - Traffic %'!CF59</f>
        <v>0</v>
      </c>
      <c r="CG59" s="1859">
        <f>'Total - Traffic %'!CG59</f>
        <v>3.7999999999999999E-2</v>
      </c>
      <c r="CH59" s="1860">
        <f>'Total - Traffic %'!CH59</f>
        <v>7.0000000000000001E-3</v>
      </c>
      <c r="CI59" s="1859">
        <f>'Total - Traffic %'!CI59</f>
        <v>4.4999999999999998E-2</v>
      </c>
      <c r="CJ59" s="1861">
        <f>'Total - Traffic %'!CJ59</f>
        <v>0.02</v>
      </c>
      <c r="CK59" s="1860">
        <f>'Total - Traffic %'!CK59</f>
        <v>1.0999999999999999E-2</v>
      </c>
      <c r="CL59" s="1862">
        <f>'Total - Traffic %'!CL59</f>
        <v>0.122</v>
      </c>
    </row>
    <row r="60" spans="1:90" s="1728" customFormat="1" ht="13.5" customHeight="1">
      <c r="A60" s="3842"/>
      <c r="B60" s="3843"/>
      <c r="C60" s="1749">
        <v>5</v>
      </c>
      <c r="D60" s="1856">
        <f>'Total - Traffic %'!D60</f>
        <v>0</v>
      </c>
      <c r="E60" s="1857">
        <f>'Total - Traffic %'!E60</f>
        <v>0</v>
      </c>
      <c r="F60" s="1858">
        <f>'Total - Traffic %'!F60</f>
        <v>0</v>
      </c>
      <c r="G60" s="1856">
        <f>'Total - Traffic %'!G60</f>
        <v>0</v>
      </c>
      <c r="H60" s="1857">
        <f>'Total - Traffic %'!H60</f>
        <v>0</v>
      </c>
      <c r="I60" s="1858">
        <f>'Total - Traffic %'!I60</f>
        <v>0</v>
      </c>
      <c r="J60" s="1859">
        <f>'Total - Traffic %'!J60</f>
        <v>1.2E-2</v>
      </c>
      <c r="K60" s="1860">
        <f>'Total - Traffic %'!K60</f>
        <v>0</v>
      </c>
      <c r="L60" s="1859">
        <f>'Total - Traffic %'!L60</f>
        <v>0</v>
      </c>
      <c r="M60" s="1861">
        <f>'Total - Traffic %'!M60</f>
        <v>0</v>
      </c>
      <c r="N60" s="1860">
        <f>'Total - Traffic %'!N60</f>
        <v>4.0000000000000001E-3</v>
      </c>
      <c r="O60" s="1862">
        <f>'Total - Traffic %'!O60</f>
        <v>1.6E-2</v>
      </c>
      <c r="Q60" s="3825"/>
      <c r="R60" s="1749">
        <v>5</v>
      </c>
      <c r="S60" s="1856">
        <f>'Total - Traffic %'!S60</f>
        <v>0</v>
      </c>
      <c r="T60" s="1857">
        <f>'Total - Traffic %'!T60</f>
        <v>0</v>
      </c>
      <c r="U60" s="1858">
        <f>'Total - Traffic %'!U60</f>
        <v>0</v>
      </c>
      <c r="V60" s="1856">
        <f>'Total - Traffic %'!V60</f>
        <v>0</v>
      </c>
      <c r="W60" s="1857">
        <f>'Total - Traffic %'!W60</f>
        <v>0</v>
      </c>
      <c r="X60" s="1858">
        <f>'Total - Traffic %'!X60</f>
        <v>0</v>
      </c>
      <c r="Y60" s="1859">
        <f>'Total - Traffic %'!Y60</f>
        <v>2.4E-2</v>
      </c>
      <c r="Z60" s="1860">
        <f>'Total - Traffic %'!Z60</f>
        <v>0</v>
      </c>
      <c r="AA60" s="1859">
        <f>'Total - Traffic %'!AA60</f>
        <v>0</v>
      </c>
      <c r="AB60" s="1861">
        <f>'Total - Traffic %'!AB60</f>
        <v>1E-3</v>
      </c>
      <c r="AC60" s="1860">
        <f>'Total - Traffic %'!AC60</f>
        <v>4.0000000000000001E-3</v>
      </c>
      <c r="AD60" s="1862">
        <f>'Total - Traffic %'!AD60</f>
        <v>0.03</v>
      </c>
      <c r="AF60" s="3825"/>
      <c r="AG60" s="1749">
        <v>5</v>
      </c>
      <c r="AH60" s="1856">
        <f>'Total - Traffic %'!AH60</f>
        <v>0</v>
      </c>
      <c r="AI60" s="1857">
        <f>'Total - Traffic %'!AI60</f>
        <v>0</v>
      </c>
      <c r="AJ60" s="1858">
        <f>'Total - Traffic %'!AJ60</f>
        <v>0</v>
      </c>
      <c r="AK60" s="1856">
        <f>'Total - Traffic %'!AK60</f>
        <v>0</v>
      </c>
      <c r="AL60" s="1857">
        <f>'Total - Traffic %'!AL60</f>
        <v>0</v>
      </c>
      <c r="AM60" s="1858">
        <f>'Total - Traffic %'!AM60</f>
        <v>0</v>
      </c>
      <c r="AN60" s="1859">
        <f>'Total - Traffic %'!AN60</f>
        <v>2.8000000000000001E-2</v>
      </c>
      <c r="AO60" s="1860">
        <f>'Total - Traffic %'!AO60</f>
        <v>1E-3</v>
      </c>
      <c r="AP60" s="1859">
        <f>'Total - Traffic %'!AP60</f>
        <v>0</v>
      </c>
      <c r="AQ60" s="1861">
        <f>'Total - Traffic %'!AQ60</f>
        <v>3.0000000000000001E-3</v>
      </c>
      <c r="AR60" s="1860">
        <f>'Total - Traffic %'!AR60</f>
        <v>5.0000000000000001E-3</v>
      </c>
      <c r="AS60" s="1862">
        <f>'Total - Traffic %'!AS60</f>
        <v>3.6999999999999998E-2</v>
      </c>
      <c r="AU60" s="3825"/>
      <c r="AV60" s="1749">
        <v>5</v>
      </c>
      <c r="AW60" s="1856">
        <f>'Total - Traffic %'!AW60</f>
        <v>0</v>
      </c>
      <c r="AX60" s="1857">
        <f>'Total - Traffic %'!AX60</f>
        <v>0</v>
      </c>
      <c r="AY60" s="1858">
        <f>'Total - Traffic %'!AY60</f>
        <v>0</v>
      </c>
      <c r="AZ60" s="1856">
        <f>'Total - Traffic %'!AZ60</f>
        <v>0</v>
      </c>
      <c r="BA60" s="1857">
        <f>'Total - Traffic %'!BA60</f>
        <v>0</v>
      </c>
      <c r="BB60" s="1858">
        <f>'Total - Traffic %'!BB60</f>
        <v>0</v>
      </c>
      <c r="BC60" s="1859">
        <f>'Total - Traffic %'!BC60</f>
        <v>3.2000000000000001E-2</v>
      </c>
      <c r="BD60" s="1860">
        <f>'Total - Traffic %'!BD60</f>
        <v>2E-3</v>
      </c>
      <c r="BE60" s="1859">
        <f>'Total - Traffic %'!BE60</f>
        <v>0</v>
      </c>
      <c r="BF60" s="1861">
        <f>'Total - Traffic %'!BF60</f>
        <v>3.0000000000000001E-3</v>
      </c>
      <c r="BG60" s="1860">
        <f>'Total - Traffic %'!BG60</f>
        <v>6.0000000000000001E-3</v>
      </c>
      <c r="BH60" s="1862">
        <f>'Total - Traffic %'!BH60</f>
        <v>4.2000000000000003E-2</v>
      </c>
      <c r="BJ60" s="3825"/>
      <c r="BK60" s="1749">
        <v>5</v>
      </c>
      <c r="BL60" s="1856">
        <f>'Total - Traffic %'!BL60</f>
        <v>0</v>
      </c>
      <c r="BM60" s="1857">
        <f>'Total - Traffic %'!BM60</f>
        <v>0</v>
      </c>
      <c r="BN60" s="1858">
        <f>'Total - Traffic %'!BN60</f>
        <v>0</v>
      </c>
      <c r="BO60" s="1856">
        <f>'Total - Traffic %'!BO60</f>
        <v>0</v>
      </c>
      <c r="BP60" s="1857">
        <f>'Total - Traffic %'!BP60</f>
        <v>0</v>
      </c>
      <c r="BQ60" s="1858">
        <f>'Total - Traffic %'!BQ60</f>
        <v>0</v>
      </c>
      <c r="BR60" s="1859">
        <f>'Total - Traffic %'!BR60</f>
        <v>3.5999999999999997E-2</v>
      </c>
      <c r="BS60" s="1860">
        <f>'Total - Traffic %'!BS60</f>
        <v>2E-3</v>
      </c>
      <c r="BT60" s="1859">
        <f>'Total - Traffic %'!BT60</f>
        <v>0</v>
      </c>
      <c r="BU60" s="1861">
        <f>'Total - Traffic %'!BU60</f>
        <v>4.0000000000000001E-3</v>
      </c>
      <c r="BV60" s="1860">
        <f>'Total - Traffic %'!BV60</f>
        <v>6.0000000000000001E-3</v>
      </c>
      <c r="BW60" s="1862">
        <f>'Total - Traffic %'!BW60</f>
        <v>4.7E-2</v>
      </c>
      <c r="BY60" s="3825"/>
      <c r="BZ60" s="1749">
        <v>5</v>
      </c>
      <c r="CA60" s="1856">
        <f>'Total - Traffic %'!CA60</f>
        <v>0</v>
      </c>
      <c r="CB60" s="1857">
        <f>'Total - Traffic %'!CB60</f>
        <v>0</v>
      </c>
      <c r="CC60" s="1858">
        <f>'Total - Traffic %'!CC60</f>
        <v>0</v>
      </c>
      <c r="CD60" s="1856">
        <f>'Total - Traffic %'!CD60</f>
        <v>0</v>
      </c>
      <c r="CE60" s="1857">
        <f>'Total - Traffic %'!CE60</f>
        <v>0</v>
      </c>
      <c r="CF60" s="1858">
        <f>'Total - Traffic %'!CF60</f>
        <v>0</v>
      </c>
      <c r="CG60" s="1859">
        <f>'Total - Traffic %'!CG60</f>
        <v>3.7999999999999999E-2</v>
      </c>
      <c r="CH60" s="1860">
        <f>'Total - Traffic %'!CH60</f>
        <v>2E-3</v>
      </c>
      <c r="CI60" s="1859">
        <f>'Total - Traffic %'!CI60</f>
        <v>0</v>
      </c>
      <c r="CJ60" s="1861">
        <f>'Total - Traffic %'!CJ60</f>
        <v>4.0000000000000001E-3</v>
      </c>
      <c r="CK60" s="1860">
        <f>'Total - Traffic %'!CK60</f>
        <v>6.0000000000000001E-3</v>
      </c>
      <c r="CL60" s="1862">
        <f>'Total - Traffic %'!CL60</f>
        <v>5.0999999999999997E-2</v>
      </c>
    </row>
    <row r="61" spans="1:90" s="1728" customFormat="1" ht="13.5" customHeight="1" thickBot="1">
      <c r="A61" s="3844"/>
      <c r="B61" s="3845"/>
      <c r="C61" s="1750" t="s">
        <v>1422</v>
      </c>
      <c r="D61" s="1863">
        <f>'Total - Traffic %'!D61</f>
        <v>0</v>
      </c>
      <c r="E61" s="1864">
        <f>'Total - Traffic %'!E61</f>
        <v>0</v>
      </c>
      <c r="F61" s="1865">
        <f>'Total - Traffic %'!F61</f>
        <v>0</v>
      </c>
      <c r="G61" s="1863">
        <f>'Total - Traffic %'!G61</f>
        <v>0</v>
      </c>
      <c r="H61" s="1864">
        <f>'Total - Traffic %'!H61</f>
        <v>0</v>
      </c>
      <c r="I61" s="1865">
        <f>'Total - Traffic %'!I61</f>
        <v>0</v>
      </c>
      <c r="J61" s="1866">
        <f>'Total - Traffic %'!J61</f>
        <v>0.17399999999999999</v>
      </c>
      <c r="K61" s="1867">
        <f>'Total - Traffic %'!K61</f>
        <v>0.16300000000000001</v>
      </c>
      <c r="L61" s="1866">
        <f>'Total - Traffic %'!L61</f>
        <v>0.17499999999999999</v>
      </c>
      <c r="M61" s="1868">
        <f>'Total - Traffic %'!M61</f>
        <v>0.28100000000000003</v>
      </c>
      <c r="N61" s="1867">
        <f>'Total - Traffic %'!N61</f>
        <v>0.20799999999999999</v>
      </c>
      <c r="O61" s="1869">
        <f>'Total - Traffic %'!O61</f>
        <v>1</v>
      </c>
      <c r="Q61" s="3826"/>
      <c r="R61" s="1750" t="s">
        <v>1422</v>
      </c>
      <c r="S61" s="1863">
        <f>'Total - Traffic %'!S61</f>
        <v>0</v>
      </c>
      <c r="T61" s="1864">
        <f>'Total - Traffic %'!T61</f>
        <v>0</v>
      </c>
      <c r="U61" s="1865">
        <f>'Total - Traffic %'!U61</f>
        <v>0</v>
      </c>
      <c r="V61" s="1863">
        <f>'Total - Traffic %'!V61</f>
        <v>0</v>
      </c>
      <c r="W61" s="1864">
        <f>'Total - Traffic %'!W61</f>
        <v>0</v>
      </c>
      <c r="X61" s="1865">
        <f>'Total - Traffic %'!X61</f>
        <v>0</v>
      </c>
      <c r="Y61" s="1866">
        <f>'Total - Traffic %'!Y61</f>
        <v>0.17399999999999999</v>
      </c>
      <c r="Z61" s="1867">
        <f>'Total - Traffic %'!Z61</f>
        <v>0.16200000000000001</v>
      </c>
      <c r="AA61" s="1866">
        <f>'Total - Traffic %'!AA61</f>
        <v>0.17499999999999999</v>
      </c>
      <c r="AB61" s="1868">
        <f>'Total - Traffic %'!AB61</f>
        <v>0.28100000000000003</v>
      </c>
      <c r="AC61" s="1867">
        <f>'Total - Traffic %'!AC61</f>
        <v>0.20799999999999999</v>
      </c>
      <c r="AD61" s="1869">
        <f>'Total - Traffic %'!AD61</f>
        <v>1</v>
      </c>
      <c r="AF61" s="3826"/>
      <c r="AG61" s="1750" t="s">
        <v>1422</v>
      </c>
      <c r="AH61" s="1863">
        <f>'Total - Traffic %'!AH61</f>
        <v>0</v>
      </c>
      <c r="AI61" s="1864">
        <f>'Total - Traffic %'!AI61</f>
        <v>0</v>
      </c>
      <c r="AJ61" s="1865">
        <f>'Total - Traffic %'!AJ61</f>
        <v>0</v>
      </c>
      <c r="AK61" s="1863">
        <f>'Total - Traffic %'!AK61</f>
        <v>0</v>
      </c>
      <c r="AL61" s="1864">
        <f>'Total - Traffic %'!AL61</f>
        <v>0</v>
      </c>
      <c r="AM61" s="1865">
        <f>'Total - Traffic %'!AM61</f>
        <v>0</v>
      </c>
      <c r="AN61" s="1866">
        <f>'Total - Traffic %'!AN61</f>
        <v>0.17299999999999999</v>
      </c>
      <c r="AO61" s="1867">
        <f>'Total - Traffic %'!AO61</f>
        <v>0.161</v>
      </c>
      <c r="AP61" s="1866">
        <f>'Total - Traffic %'!AP61</f>
        <v>0.17599999999999999</v>
      </c>
      <c r="AQ61" s="1868">
        <f>'Total - Traffic %'!AQ61</f>
        <v>0.28199999999999997</v>
      </c>
      <c r="AR61" s="1867">
        <f>'Total - Traffic %'!AR61</f>
        <v>0.20799999999999999</v>
      </c>
      <c r="AS61" s="1869">
        <f>'Total - Traffic %'!AS61</f>
        <v>1</v>
      </c>
      <c r="AU61" s="3826"/>
      <c r="AV61" s="1750" t="s">
        <v>1422</v>
      </c>
      <c r="AW61" s="1863">
        <f>'Total - Traffic %'!AW61</f>
        <v>0</v>
      </c>
      <c r="AX61" s="1864">
        <f>'Total - Traffic %'!AX61</f>
        <v>0</v>
      </c>
      <c r="AY61" s="1865">
        <f>'Total - Traffic %'!AY61</f>
        <v>0</v>
      </c>
      <c r="AZ61" s="1863">
        <f>'Total - Traffic %'!AZ61</f>
        <v>0</v>
      </c>
      <c r="BA61" s="1864">
        <f>'Total - Traffic %'!BA61</f>
        <v>0</v>
      </c>
      <c r="BB61" s="1865">
        <f>'Total - Traffic %'!BB61</f>
        <v>0</v>
      </c>
      <c r="BC61" s="1866">
        <f>'Total - Traffic %'!BC61</f>
        <v>0.17199999999999999</v>
      </c>
      <c r="BD61" s="1867">
        <f>'Total - Traffic %'!BD61</f>
        <v>0.16</v>
      </c>
      <c r="BE61" s="1866">
        <f>'Total - Traffic %'!BE61</f>
        <v>0.17699999999999999</v>
      </c>
      <c r="BF61" s="1868">
        <f>'Total - Traffic %'!BF61</f>
        <v>0.28299999999999997</v>
      </c>
      <c r="BG61" s="1867">
        <f>'Total - Traffic %'!BG61</f>
        <v>0.20799999999999999</v>
      </c>
      <c r="BH61" s="1869">
        <f>'Total - Traffic %'!BH61</f>
        <v>1</v>
      </c>
      <c r="BJ61" s="3826"/>
      <c r="BK61" s="1750" t="s">
        <v>1422</v>
      </c>
      <c r="BL61" s="1863">
        <f>'Total - Traffic %'!BL61</f>
        <v>0</v>
      </c>
      <c r="BM61" s="1864">
        <f>'Total - Traffic %'!BM61</f>
        <v>0</v>
      </c>
      <c r="BN61" s="1865">
        <f>'Total - Traffic %'!BN61</f>
        <v>0</v>
      </c>
      <c r="BO61" s="1863">
        <f>'Total - Traffic %'!BO61</f>
        <v>0</v>
      </c>
      <c r="BP61" s="1864">
        <f>'Total - Traffic %'!BP61</f>
        <v>0</v>
      </c>
      <c r="BQ61" s="1865">
        <f>'Total - Traffic %'!BQ61</f>
        <v>0</v>
      </c>
      <c r="BR61" s="1866">
        <f>'Total - Traffic %'!BR61</f>
        <v>0.17199999999999999</v>
      </c>
      <c r="BS61" s="1867">
        <f>'Total - Traffic %'!BS61</f>
        <v>0.16</v>
      </c>
      <c r="BT61" s="1866">
        <f>'Total - Traffic %'!BT61</f>
        <v>0.17799999999999999</v>
      </c>
      <c r="BU61" s="1868">
        <f>'Total - Traffic %'!BU61</f>
        <v>0.28299999999999997</v>
      </c>
      <c r="BV61" s="1867">
        <f>'Total - Traffic %'!BV61</f>
        <v>0.20799999999999999</v>
      </c>
      <c r="BW61" s="1869">
        <f>'Total - Traffic %'!BW61</f>
        <v>1</v>
      </c>
      <c r="BY61" s="3826"/>
      <c r="BZ61" s="1750" t="s">
        <v>1422</v>
      </c>
      <c r="CA61" s="1863">
        <f>'Total - Traffic %'!CA61</f>
        <v>0</v>
      </c>
      <c r="CB61" s="1864">
        <f>'Total - Traffic %'!CB61</f>
        <v>0</v>
      </c>
      <c r="CC61" s="1865">
        <f>'Total - Traffic %'!CC61</f>
        <v>0</v>
      </c>
      <c r="CD61" s="1863">
        <f>'Total - Traffic %'!CD61</f>
        <v>0</v>
      </c>
      <c r="CE61" s="1864">
        <f>'Total - Traffic %'!CE61</f>
        <v>0</v>
      </c>
      <c r="CF61" s="1865">
        <f>'Total - Traffic %'!CF61</f>
        <v>0</v>
      </c>
      <c r="CG61" s="1866">
        <f>'Total - Traffic %'!CG61</f>
        <v>0.17100000000000001</v>
      </c>
      <c r="CH61" s="1867">
        <f>'Total - Traffic %'!CH61</f>
        <v>0.16</v>
      </c>
      <c r="CI61" s="1866">
        <f>'Total - Traffic %'!CI61</f>
        <v>0.17799999999999999</v>
      </c>
      <c r="CJ61" s="1868">
        <f>'Total - Traffic %'!CJ61</f>
        <v>0.28299999999999997</v>
      </c>
      <c r="CK61" s="1867">
        <f>'Total - Traffic %'!CK61</f>
        <v>0.20799999999999999</v>
      </c>
      <c r="CL61" s="1869">
        <f>'Total - Traffic %'!CL61</f>
        <v>1</v>
      </c>
    </row>
    <row r="62" spans="1:90" s="1728" customFormat="1" ht="13.5" customHeight="1" thickTop="1">
      <c r="A62" s="3840" t="s">
        <v>1123</v>
      </c>
      <c r="B62" s="3841"/>
      <c r="C62" s="1733">
        <v>1</v>
      </c>
      <c r="D62" s="1849">
        <f>'Total - Traffic %'!D62</f>
        <v>0</v>
      </c>
      <c r="E62" s="1850">
        <f>'Total - Traffic %'!E62</f>
        <v>0</v>
      </c>
      <c r="F62" s="1851">
        <f>'Total - Traffic %'!F62</f>
        <v>0</v>
      </c>
      <c r="G62" s="1849">
        <f>'Total - Traffic %'!G62</f>
        <v>0</v>
      </c>
      <c r="H62" s="1850">
        <f>'Total - Traffic %'!H62</f>
        <v>0</v>
      </c>
      <c r="I62" s="1851">
        <f>'Total - Traffic %'!I62</f>
        <v>0</v>
      </c>
      <c r="J62" s="1852">
        <f>'Total - Traffic %'!J62</f>
        <v>3.3000000000000002E-2</v>
      </c>
      <c r="K62" s="1853">
        <f>'Total - Traffic %'!K62</f>
        <v>0.104</v>
      </c>
      <c r="L62" s="1852">
        <f>'Total - Traffic %'!L62</f>
        <v>1.9E-2</v>
      </c>
      <c r="M62" s="1854">
        <f>'Total - Traffic %'!M62</f>
        <v>0.14199999999999999</v>
      </c>
      <c r="N62" s="1853">
        <f>'Total - Traffic %'!N62</f>
        <v>0.128</v>
      </c>
      <c r="O62" s="1855">
        <f>'Total - Traffic %'!O62</f>
        <v>0.42499999999999999</v>
      </c>
      <c r="Q62" s="3824" t="s">
        <v>1123</v>
      </c>
      <c r="R62" s="1733">
        <v>1</v>
      </c>
      <c r="S62" s="1849">
        <f>'Total - Traffic %'!S62</f>
        <v>0</v>
      </c>
      <c r="T62" s="1850">
        <f>'Total - Traffic %'!T62</f>
        <v>0</v>
      </c>
      <c r="U62" s="1851">
        <f>'Total - Traffic %'!U62</f>
        <v>0</v>
      </c>
      <c r="V62" s="1849">
        <f>'Total - Traffic %'!V62</f>
        <v>0</v>
      </c>
      <c r="W62" s="1850">
        <f>'Total - Traffic %'!W62</f>
        <v>0</v>
      </c>
      <c r="X62" s="1851">
        <f>'Total - Traffic %'!X62</f>
        <v>0</v>
      </c>
      <c r="Y62" s="1852">
        <f>'Total - Traffic %'!Y62</f>
        <v>3.1E-2</v>
      </c>
      <c r="Z62" s="1853">
        <f>'Total - Traffic %'!Z62</f>
        <v>0.10199999999999999</v>
      </c>
      <c r="AA62" s="1852">
        <f>'Total - Traffic %'!AA62</f>
        <v>1.9E-2</v>
      </c>
      <c r="AB62" s="1854">
        <f>'Total - Traffic %'!AB62</f>
        <v>0.14000000000000001</v>
      </c>
      <c r="AC62" s="1853">
        <f>'Total - Traffic %'!AC62</f>
        <v>0.127</v>
      </c>
      <c r="AD62" s="1855">
        <f>'Total - Traffic %'!AD62</f>
        <v>0.41899999999999998</v>
      </c>
      <c r="AF62" s="3824" t="s">
        <v>1123</v>
      </c>
      <c r="AG62" s="1733">
        <v>1</v>
      </c>
      <c r="AH62" s="1849">
        <f>'Total - Traffic %'!AH62</f>
        <v>0</v>
      </c>
      <c r="AI62" s="1850">
        <f>'Total - Traffic %'!AI62</f>
        <v>0</v>
      </c>
      <c r="AJ62" s="1851">
        <f>'Total - Traffic %'!AJ62</f>
        <v>0</v>
      </c>
      <c r="AK62" s="1849">
        <f>'Total - Traffic %'!AK62</f>
        <v>0</v>
      </c>
      <c r="AL62" s="1850">
        <f>'Total - Traffic %'!AL62</f>
        <v>0</v>
      </c>
      <c r="AM62" s="1851">
        <f>'Total - Traffic %'!AM62</f>
        <v>0</v>
      </c>
      <c r="AN62" s="1852">
        <f>'Total - Traffic %'!AN62</f>
        <v>2.5999999999999999E-2</v>
      </c>
      <c r="AO62" s="1853">
        <f>'Total - Traffic %'!AO62</f>
        <v>0.1</v>
      </c>
      <c r="AP62" s="1852">
        <f>'Total - Traffic %'!AP62</f>
        <v>1.7000000000000001E-2</v>
      </c>
      <c r="AQ62" s="1854">
        <f>'Total - Traffic %'!AQ62</f>
        <v>0.11899999999999999</v>
      </c>
      <c r="AR62" s="1853">
        <f>'Total - Traffic %'!AR62</f>
        <v>0.122</v>
      </c>
      <c r="AS62" s="1855">
        <f>'Total - Traffic %'!AS62</f>
        <v>0.38400000000000001</v>
      </c>
      <c r="AU62" s="3824" t="s">
        <v>1123</v>
      </c>
      <c r="AV62" s="1733">
        <v>1</v>
      </c>
      <c r="AW62" s="1849">
        <f>'Total - Traffic %'!AW62</f>
        <v>0</v>
      </c>
      <c r="AX62" s="1850">
        <f>'Total - Traffic %'!AX62</f>
        <v>0</v>
      </c>
      <c r="AY62" s="1851">
        <f>'Total - Traffic %'!AY62</f>
        <v>0</v>
      </c>
      <c r="AZ62" s="1849">
        <f>'Total - Traffic %'!AZ62</f>
        <v>0</v>
      </c>
      <c r="BA62" s="1850">
        <f>'Total - Traffic %'!BA62</f>
        <v>0</v>
      </c>
      <c r="BB62" s="1851">
        <f>'Total - Traffic %'!BB62</f>
        <v>0</v>
      </c>
      <c r="BC62" s="1852">
        <f>'Total - Traffic %'!BC62</f>
        <v>2.4E-2</v>
      </c>
      <c r="BD62" s="1853">
        <f>'Total - Traffic %'!BD62</f>
        <v>9.5000000000000001E-2</v>
      </c>
      <c r="BE62" s="1852">
        <f>'Total - Traffic %'!BE62</f>
        <v>1.6E-2</v>
      </c>
      <c r="BF62" s="1854">
        <f>'Total - Traffic %'!BF62</f>
        <v>0.11899999999999999</v>
      </c>
      <c r="BG62" s="1853">
        <f>'Total - Traffic %'!BG62</f>
        <v>0.122</v>
      </c>
      <c r="BH62" s="1855">
        <f>'Total - Traffic %'!BH62</f>
        <v>0.376</v>
      </c>
      <c r="BJ62" s="3824" t="s">
        <v>1123</v>
      </c>
      <c r="BK62" s="1733">
        <v>1</v>
      </c>
      <c r="BL62" s="1849">
        <f>'Total - Traffic %'!BL62</f>
        <v>0</v>
      </c>
      <c r="BM62" s="1850">
        <f>'Total - Traffic %'!BM62</f>
        <v>0</v>
      </c>
      <c r="BN62" s="1851">
        <f>'Total - Traffic %'!BN62</f>
        <v>0</v>
      </c>
      <c r="BO62" s="1849">
        <f>'Total - Traffic %'!BO62</f>
        <v>0</v>
      </c>
      <c r="BP62" s="1850">
        <f>'Total - Traffic %'!BP62</f>
        <v>0</v>
      </c>
      <c r="BQ62" s="1851">
        <f>'Total - Traffic %'!BQ62</f>
        <v>0</v>
      </c>
      <c r="BR62" s="1852">
        <f>'Total - Traffic %'!BR62</f>
        <v>2.3E-2</v>
      </c>
      <c r="BS62" s="1853">
        <f>'Total - Traffic %'!BS62</f>
        <v>0.09</v>
      </c>
      <c r="BT62" s="1852">
        <f>'Total - Traffic %'!BT62</f>
        <v>1.4E-2</v>
      </c>
      <c r="BU62" s="1854">
        <f>'Total - Traffic %'!BU62</f>
        <v>0.113</v>
      </c>
      <c r="BV62" s="1853">
        <f>'Total - Traffic %'!BV62</f>
        <v>0.12</v>
      </c>
      <c r="BW62" s="1855">
        <f>'Total - Traffic %'!BW62</f>
        <v>0.36099999999999999</v>
      </c>
      <c r="BY62" s="3824" t="s">
        <v>1123</v>
      </c>
      <c r="BZ62" s="1733">
        <v>1</v>
      </c>
      <c r="CA62" s="1849">
        <f>'Total - Traffic %'!CA62</f>
        <v>0</v>
      </c>
      <c r="CB62" s="1850">
        <f>'Total - Traffic %'!CB62</f>
        <v>0</v>
      </c>
      <c r="CC62" s="1851">
        <f>'Total - Traffic %'!CC62</f>
        <v>0</v>
      </c>
      <c r="CD62" s="1849">
        <f>'Total - Traffic %'!CD62</f>
        <v>0</v>
      </c>
      <c r="CE62" s="1850">
        <f>'Total - Traffic %'!CE62</f>
        <v>0</v>
      </c>
      <c r="CF62" s="1851">
        <f>'Total - Traffic %'!CF62</f>
        <v>0</v>
      </c>
      <c r="CG62" s="1852">
        <f>'Total - Traffic %'!CG62</f>
        <v>2.1000000000000001E-2</v>
      </c>
      <c r="CH62" s="1853">
        <f>'Total - Traffic %'!CH62</f>
        <v>0.09</v>
      </c>
      <c r="CI62" s="1852">
        <f>'Total - Traffic %'!CI62</f>
        <v>1.4E-2</v>
      </c>
      <c r="CJ62" s="1854">
        <f>'Total - Traffic %'!CJ62</f>
        <v>9.2999999999999999E-2</v>
      </c>
      <c r="CK62" s="1853">
        <f>'Total - Traffic %'!CK62</f>
        <v>0.114</v>
      </c>
      <c r="CL62" s="1855">
        <f>'Total - Traffic %'!CL62</f>
        <v>0.33300000000000002</v>
      </c>
    </row>
    <row r="63" spans="1:90" s="1728" customFormat="1" ht="13.5" customHeight="1">
      <c r="A63" s="3842"/>
      <c r="B63" s="3843"/>
      <c r="C63" s="1741">
        <v>2</v>
      </c>
      <c r="D63" s="1856">
        <f>'Total - Traffic %'!D63</f>
        <v>0</v>
      </c>
      <c r="E63" s="1857">
        <f>'Total - Traffic %'!E63</f>
        <v>0</v>
      </c>
      <c r="F63" s="1858">
        <f>'Total - Traffic %'!F63</f>
        <v>0</v>
      </c>
      <c r="G63" s="1856">
        <f>'Total - Traffic %'!G63</f>
        <v>0</v>
      </c>
      <c r="H63" s="1857">
        <f>'Total - Traffic %'!H63</f>
        <v>0</v>
      </c>
      <c r="I63" s="1858">
        <f>'Total - Traffic %'!I63</f>
        <v>0</v>
      </c>
      <c r="J63" s="1859">
        <f>'Total - Traffic %'!J63</f>
        <v>6.9000000000000006E-2</v>
      </c>
      <c r="K63" s="1860">
        <f>'Total - Traffic %'!K63</f>
        <v>4.3999999999999997E-2</v>
      </c>
      <c r="L63" s="1859">
        <f>'Total - Traffic %'!L63</f>
        <v>6.6000000000000003E-2</v>
      </c>
      <c r="M63" s="1861">
        <f>'Total - Traffic %'!M63</f>
        <v>0.14099999999999999</v>
      </c>
      <c r="N63" s="1860">
        <f>'Total - Traffic %'!N63</f>
        <v>1.2E-2</v>
      </c>
      <c r="O63" s="1862">
        <f>'Total - Traffic %'!O63</f>
        <v>0.33200000000000002</v>
      </c>
      <c r="Q63" s="3825"/>
      <c r="R63" s="1741">
        <v>2</v>
      </c>
      <c r="S63" s="1856">
        <f>'Total - Traffic %'!S63</f>
        <v>0</v>
      </c>
      <c r="T63" s="1857">
        <f>'Total - Traffic %'!T63</f>
        <v>0</v>
      </c>
      <c r="U63" s="1858">
        <f>'Total - Traffic %'!U63</f>
        <v>0</v>
      </c>
      <c r="V63" s="1856">
        <f>'Total - Traffic %'!V63</f>
        <v>0</v>
      </c>
      <c r="W63" s="1857">
        <f>'Total - Traffic %'!W63</f>
        <v>0</v>
      </c>
      <c r="X63" s="1858">
        <f>'Total - Traffic %'!X63</f>
        <v>0</v>
      </c>
      <c r="Y63" s="1859">
        <f>'Total - Traffic %'!Y63</f>
        <v>6.2E-2</v>
      </c>
      <c r="Z63" s="1860">
        <f>'Total - Traffic %'!Z63</f>
        <v>4.3999999999999997E-2</v>
      </c>
      <c r="AA63" s="1859">
        <f>'Total - Traffic %'!AA63</f>
        <v>6.2E-2</v>
      </c>
      <c r="AB63" s="1861">
        <f>'Total - Traffic %'!AB63</f>
        <v>0.14000000000000001</v>
      </c>
      <c r="AC63" s="1860">
        <f>'Total - Traffic %'!AC63</f>
        <v>1.2999999999999999E-2</v>
      </c>
      <c r="AD63" s="1862">
        <f>'Total - Traffic %'!AD63</f>
        <v>0.32</v>
      </c>
      <c r="AF63" s="3825"/>
      <c r="AG63" s="1741">
        <v>2</v>
      </c>
      <c r="AH63" s="1856">
        <f>'Total - Traffic %'!AH63</f>
        <v>0</v>
      </c>
      <c r="AI63" s="1857">
        <f>'Total - Traffic %'!AI63</f>
        <v>0</v>
      </c>
      <c r="AJ63" s="1858">
        <f>'Total - Traffic %'!AJ63</f>
        <v>0</v>
      </c>
      <c r="AK63" s="1856">
        <f>'Total - Traffic %'!AK63</f>
        <v>0</v>
      </c>
      <c r="AL63" s="1857">
        <f>'Total - Traffic %'!AL63</f>
        <v>0</v>
      </c>
      <c r="AM63" s="1858">
        <f>'Total - Traffic %'!AM63</f>
        <v>0</v>
      </c>
      <c r="AN63" s="1859">
        <f>'Total - Traffic %'!AN63</f>
        <v>5.7000000000000002E-2</v>
      </c>
      <c r="AO63" s="1860">
        <f>'Total - Traffic %'!AO63</f>
        <v>4.2999999999999997E-2</v>
      </c>
      <c r="AP63" s="1859">
        <f>'Total - Traffic %'!AP63</f>
        <v>5.2999999999999999E-2</v>
      </c>
      <c r="AQ63" s="1861">
        <f>'Total - Traffic %'!AQ63</f>
        <v>0.158</v>
      </c>
      <c r="AR63" s="1860">
        <f>'Total - Traffic %'!AR63</f>
        <v>1.6E-2</v>
      </c>
      <c r="AS63" s="1862">
        <f>'Total - Traffic %'!AS63</f>
        <v>0.32800000000000001</v>
      </c>
      <c r="AU63" s="3825"/>
      <c r="AV63" s="1741">
        <v>2</v>
      </c>
      <c r="AW63" s="1856">
        <f>'Total - Traffic %'!AW63</f>
        <v>0</v>
      </c>
      <c r="AX63" s="1857">
        <f>'Total - Traffic %'!AX63</f>
        <v>0</v>
      </c>
      <c r="AY63" s="1858">
        <f>'Total - Traffic %'!AY63</f>
        <v>0</v>
      </c>
      <c r="AZ63" s="1856">
        <f>'Total - Traffic %'!AZ63</f>
        <v>0</v>
      </c>
      <c r="BA63" s="1857">
        <f>'Total - Traffic %'!BA63</f>
        <v>0</v>
      </c>
      <c r="BB63" s="1858">
        <f>'Total - Traffic %'!BB63</f>
        <v>0</v>
      </c>
      <c r="BC63" s="1859">
        <f>'Total - Traffic %'!BC63</f>
        <v>4.8000000000000001E-2</v>
      </c>
      <c r="BD63" s="1860">
        <f>'Total - Traffic %'!BD63</f>
        <v>4.2999999999999997E-2</v>
      </c>
      <c r="BE63" s="1859">
        <f>'Total - Traffic %'!BE63</f>
        <v>3.5000000000000003E-2</v>
      </c>
      <c r="BF63" s="1861">
        <f>'Total - Traffic %'!BF63</f>
        <v>0.14899999999999999</v>
      </c>
      <c r="BG63" s="1860">
        <f>'Total - Traffic %'!BG63</f>
        <v>1.6E-2</v>
      </c>
      <c r="BH63" s="1862">
        <f>'Total - Traffic %'!BH63</f>
        <v>0.29099999999999998</v>
      </c>
      <c r="BJ63" s="3825"/>
      <c r="BK63" s="1741">
        <v>2</v>
      </c>
      <c r="BL63" s="1856">
        <f>'Total - Traffic %'!BL63</f>
        <v>0</v>
      </c>
      <c r="BM63" s="1857">
        <f>'Total - Traffic %'!BM63</f>
        <v>0</v>
      </c>
      <c r="BN63" s="1858">
        <f>'Total - Traffic %'!BN63</f>
        <v>0</v>
      </c>
      <c r="BO63" s="1856">
        <f>'Total - Traffic %'!BO63</f>
        <v>0</v>
      </c>
      <c r="BP63" s="1857">
        <f>'Total - Traffic %'!BP63</f>
        <v>0</v>
      </c>
      <c r="BQ63" s="1858">
        <f>'Total - Traffic %'!BQ63</f>
        <v>0</v>
      </c>
      <c r="BR63" s="1859">
        <f>'Total - Traffic %'!BR63</f>
        <v>4.3999999999999997E-2</v>
      </c>
      <c r="BS63" s="1860">
        <f>'Total - Traffic %'!BS63</f>
        <v>4.3999999999999997E-2</v>
      </c>
      <c r="BT63" s="1859">
        <f>'Total - Traffic %'!BT63</f>
        <v>2.4E-2</v>
      </c>
      <c r="BU63" s="1861">
        <f>'Total - Traffic %'!BU63</f>
        <v>0.14199999999999999</v>
      </c>
      <c r="BV63" s="1860">
        <f>'Total - Traffic %'!BV63</f>
        <v>1.7000000000000001E-2</v>
      </c>
      <c r="BW63" s="1862">
        <f>'Total - Traffic %'!BW63</f>
        <v>0.27100000000000002</v>
      </c>
      <c r="BY63" s="3825"/>
      <c r="BZ63" s="1741">
        <v>2</v>
      </c>
      <c r="CA63" s="1856">
        <f>'Total - Traffic %'!CA63</f>
        <v>0</v>
      </c>
      <c r="CB63" s="1857">
        <f>'Total - Traffic %'!CB63</f>
        <v>0</v>
      </c>
      <c r="CC63" s="1858">
        <f>'Total - Traffic %'!CC63</f>
        <v>0</v>
      </c>
      <c r="CD63" s="1856">
        <f>'Total - Traffic %'!CD63</f>
        <v>0</v>
      </c>
      <c r="CE63" s="1857">
        <f>'Total - Traffic %'!CE63</f>
        <v>0</v>
      </c>
      <c r="CF63" s="1858">
        <f>'Total - Traffic %'!CF63</f>
        <v>0</v>
      </c>
      <c r="CG63" s="1859">
        <f>'Total - Traffic %'!CG63</f>
        <v>3.9E-2</v>
      </c>
      <c r="CH63" s="1860">
        <f>'Total - Traffic %'!CH63</f>
        <v>4.3999999999999997E-2</v>
      </c>
      <c r="CI63" s="1859">
        <f>'Total - Traffic %'!CI63</f>
        <v>2.1000000000000001E-2</v>
      </c>
      <c r="CJ63" s="1861">
        <f>'Total - Traffic %'!CJ63</f>
        <v>0.151</v>
      </c>
      <c r="CK63" s="1860">
        <f>'Total - Traffic %'!CK63</f>
        <v>2.3E-2</v>
      </c>
      <c r="CL63" s="1862">
        <f>'Total - Traffic %'!CL63</f>
        <v>0.27800000000000002</v>
      </c>
    </row>
    <row r="64" spans="1:90" s="1728" customFormat="1" ht="13.5" customHeight="1">
      <c r="A64" s="3842"/>
      <c r="B64" s="3843"/>
      <c r="C64" s="1741">
        <v>3</v>
      </c>
      <c r="D64" s="1856">
        <f>'Total - Traffic %'!D64</f>
        <v>0</v>
      </c>
      <c r="E64" s="1857">
        <f>'Total - Traffic %'!E64</f>
        <v>0</v>
      </c>
      <c r="F64" s="1858">
        <f>'Total - Traffic %'!F64</f>
        <v>0</v>
      </c>
      <c r="G64" s="1856">
        <f>'Total - Traffic %'!G64</f>
        <v>0</v>
      </c>
      <c r="H64" s="1857">
        <f>'Total - Traffic %'!H64</f>
        <v>0</v>
      </c>
      <c r="I64" s="1858">
        <f>'Total - Traffic %'!I64</f>
        <v>0</v>
      </c>
      <c r="J64" s="1859">
        <f>'Total - Traffic %'!J64</f>
        <v>4.4999999999999998E-2</v>
      </c>
      <c r="K64" s="1860">
        <f>'Total - Traffic %'!K64</f>
        <v>1.6E-2</v>
      </c>
      <c r="L64" s="1859">
        <f>'Total - Traffic %'!L64</f>
        <v>7.6999999999999999E-2</v>
      </c>
      <c r="M64" s="1861">
        <f>'Total - Traffic %'!M64</f>
        <v>3.5999999999999997E-2</v>
      </c>
      <c r="N64" s="1860">
        <f>'Total - Traffic %'!N64</f>
        <v>4.0000000000000001E-3</v>
      </c>
      <c r="O64" s="1862">
        <f>'Total - Traffic %'!O64</f>
        <v>0.17799999999999999</v>
      </c>
      <c r="Q64" s="3825"/>
      <c r="R64" s="1741">
        <v>3</v>
      </c>
      <c r="S64" s="1856">
        <f>'Total - Traffic %'!S64</f>
        <v>0</v>
      </c>
      <c r="T64" s="1857">
        <f>'Total - Traffic %'!T64</f>
        <v>0</v>
      </c>
      <c r="U64" s="1858">
        <f>'Total - Traffic %'!U64</f>
        <v>0</v>
      </c>
      <c r="V64" s="1856">
        <f>'Total - Traffic %'!V64</f>
        <v>0</v>
      </c>
      <c r="W64" s="1857">
        <f>'Total - Traffic %'!W64</f>
        <v>0</v>
      </c>
      <c r="X64" s="1858">
        <f>'Total - Traffic %'!X64</f>
        <v>0</v>
      </c>
      <c r="Y64" s="1859">
        <f>'Total - Traffic %'!Y64</f>
        <v>0.05</v>
      </c>
      <c r="Z64" s="1860">
        <f>'Total - Traffic %'!Z64</f>
        <v>1.6E-2</v>
      </c>
      <c r="AA64" s="1859">
        <f>'Total - Traffic %'!AA64</f>
        <v>8.6999999999999994E-2</v>
      </c>
      <c r="AB64" s="1861">
        <f>'Total - Traffic %'!AB64</f>
        <v>3.9E-2</v>
      </c>
      <c r="AC64" s="1860">
        <f>'Total - Traffic %'!AC64</f>
        <v>5.0000000000000001E-3</v>
      </c>
      <c r="AD64" s="1862">
        <f>'Total - Traffic %'!AD64</f>
        <v>0.19700000000000001</v>
      </c>
      <c r="AF64" s="3825"/>
      <c r="AG64" s="1741">
        <v>3</v>
      </c>
      <c r="AH64" s="1856">
        <f>'Total - Traffic %'!AH64</f>
        <v>0</v>
      </c>
      <c r="AI64" s="1857">
        <f>'Total - Traffic %'!AI64</f>
        <v>0</v>
      </c>
      <c r="AJ64" s="1858">
        <f>'Total - Traffic %'!AJ64</f>
        <v>0</v>
      </c>
      <c r="AK64" s="1856">
        <f>'Total - Traffic %'!AK64</f>
        <v>0</v>
      </c>
      <c r="AL64" s="1857">
        <f>'Total - Traffic %'!AL64</f>
        <v>0</v>
      </c>
      <c r="AM64" s="1858">
        <f>'Total - Traffic %'!AM64</f>
        <v>0</v>
      </c>
      <c r="AN64" s="1859">
        <f>'Total - Traffic %'!AN64</f>
        <v>5.7000000000000002E-2</v>
      </c>
      <c r="AO64" s="1860">
        <f>'Total - Traffic %'!AO64</f>
        <v>1.7000000000000001E-2</v>
      </c>
      <c r="AP64" s="1859">
        <f>'Total - Traffic %'!AP64</f>
        <v>9.1999999999999998E-2</v>
      </c>
      <c r="AQ64" s="1861">
        <f>'Total - Traffic %'!AQ64</f>
        <v>4.1000000000000002E-2</v>
      </c>
      <c r="AR64" s="1860">
        <f>'Total - Traffic %'!AR64</f>
        <v>5.0000000000000001E-3</v>
      </c>
      <c r="AS64" s="1862">
        <f>'Total - Traffic %'!AS64</f>
        <v>0.21199999999999999</v>
      </c>
      <c r="AU64" s="3825"/>
      <c r="AV64" s="1741">
        <v>3</v>
      </c>
      <c r="AW64" s="1856">
        <f>'Total - Traffic %'!AW64</f>
        <v>0</v>
      </c>
      <c r="AX64" s="1857">
        <f>'Total - Traffic %'!AX64</f>
        <v>0</v>
      </c>
      <c r="AY64" s="1858">
        <f>'Total - Traffic %'!AY64</f>
        <v>0</v>
      </c>
      <c r="AZ64" s="1856">
        <f>'Total - Traffic %'!AZ64</f>
        <v>0</v>
      </c>
      <c r="BA64" s="1857">
        <f>'Total - Traffic %'!BA64</f>
        <v>0</v>
      </c>
      <c r="BB64" s="1858">
        <f>'Total - Traffic %'!BB64</f>
        <v>0</v>
      </c>
      <c r="BC64" s="1859">
        <f>'Total - Traffic %'!BC64</f>
        <v>0.06</v>
      </c>
      <c r="BD64" s="1860">
        <f>'Total - Traffic %'!BD64</f>
        <v>1.7999999999999999E-2</v>
      </c>
      <c r="BE64" s="1859">
        <f>'Total - Traffic %'!BE64</f>
        <v>9.2999999999999999E-2</v>
      </c>
      <c r="BF64" s="1861">
        <f>'Total - Traffic %'!BF64</f>
        <v>4.8000000000000001E-2</v>
      </c>
      <c r="BG64" s="1860">
        <f>'Total - Traffic %'!BG64</f>
        <v>6.0000000000000001E-3</v>
      </c>
      <c r="BH64" s="1862">
        <f>'Total - Traffic %'!BH64</f>
        <v>0.22500000000000001</v>
      </c>
      <c r="BJ64" s="3825"/>
      <c r="BK64" s="1741">
        <v>3</v>
      </c>
      <c r="BL64" s="1856">
        <f>'Total - Traffic %'!BL64</f>
        <v>0</v>
      </c>
      <c r="BM64" s="1857">
        <f>'Total - Traffic %'!BM64</f>
        <v>0</v>
      </c>
      <c r="BN64" s="1858">
        <f>'Total - Traffic %'!BN64</f>
        <v>0</v>
      </c>
      <c r="BO64" s="1856">
        <f>'Total - Traffic %'!BO64</f>
        <v>0</v>
      </c>
      <c r="BP64" s="1857">
        <f>'Total - Traffic %'!BP64</f>
        <v>0</v>
      </c>
      <c r="BQ64" s="1858">
        <f>'Total - Traffic %'!BQ64</f>
        <v>0</v>
      </c>
      <c r="BR64" s="1859">
        <f>'Total - Traffic %'!BR64</f>
        <v>0.06</v>
      </c>
      <c r="BS64" s="1860">
        <f>'Total - Traffic %'!BS64</f>
        <v>1.9E-2</v>
      </c>
      <c r="BT64" s="1859">
        <f>'Total - Traffic %'!BT64</f>
        <v>8.5000000000000006E-2</v>
      </c>
      <c r="BU64" s="1861">
        <f>'Total - Traffic %'!BU64</f>
        <v>5.8999999999999997E-2</v>
      </c>
      <c r="BV64" s="1860">
        <f>'Total - Traffic %'!BV64</f>
        <v>6.0000000000000001E-3</v>
      </c>
      <c r="BW64" s="1862">
        <f>'Total - Traffic %'!BW64</f>
        <v>0.22900000000000001</v>
      </c>
      <c r="BY64" s="3825"/>
      <c r="BZ64" s="1741">
        <v>3</v>
      </c>
      <c r="CA64" s="1856">
        <f>'Total - Traffic %'!CA64</f>
        <v>0</v>
      </c>
      <c r="CB64" s="1857">
        <f>'Total - Traffic %'!CB64</f>
        <v>0</v>
      </c>
      <c r="CC64" s="1858">
        <f>'Total - Traffic %'!CC64</f>
        <v>0</v>
      </c>
      <c r="CD64" s="1856">
        <f>'Total - Traffic %'!CD64</f>
        <v>0</v>
      </c>
      <c r="CE64" s="1857">
        <f>'Total - Traffic %'!CE64</f>
        <v>0</v>
      </c>
      <c r="CF64" s="1858">
        <f>'Total - Traffic %'!CF64</f>
        <v>0</v>
      </c>
      <c r="CG64" s="1859">
        <f>'Total - Traffic %'!CG64</f>
        <v>6.0999999999999999E-2</v>
      </c>
      <c r="CH64" s="1860">
        <f>'Total - Traffic %'!CH64</f>
        <v>0.02</v>
      </c>
      <c r="CI64" s="1859">
        <f>'Total - Traffic %'!CI64</f>
        <v>7.4999999999999997E-2</v>
      </c>
      <c r="CJ64" s="1861">
        <f>'Total - Traffic %'!CJ64</f>
        <v>6.6000000000000003E-2</v>
      </c>
      <c r="CK64" s="1860">
        <f>'Total - Traffic %'!CK64</f>
        <v>6.0000000000000001E-3</v>
      </c>
      <c r="CL64" s="1862">
        <f>'Total - Traffic %'!CL64</f>
        <v>0.22900000000000001</v>
      </c>
    </row>
    <row r="65" spans="1:90" s="1728" customFormat="1" ht="13.5" customHeight="1">
      <c r="A65" s="3842"/>
      <c r="B65" s="3843"/>
      <c r="C65" s="1741">
        <v>4</v>
      </c>
      <c r="D65" s="1856">
        <f>'Total - Traffic %'!D65</f>
        <v>0</v>
      </c>
      <c r="E65" s="1857">
        <f>'Total - Traffic %'!E65</f>
        <v>0</v>
      </c>
      <c r="F65" s="1858">
        <f>'Total - Traffic %'!F65</f>
        <v>0</v>
      </c>
      <c r="G65" s="1856">
        <f>'Total - Traffic %'!G65</f>
        <v>0</v>
      </c>
      <c r="H65" s="1857">
        <f>'Total - Traffic %'!H65</f>
        <v>0</v>
      </c>
      <c r="I65" s="1858">
        <f>'Total - Traffic %'!I65</f>
        <v>0</v>
      </c>
      <c r="J65" s="1859">
        <f>'Total - Traffic %'!J65</f>
        <v>0.02</v>
      </c>
      <c r="K65" s="1860">
        <f>'Total - Traffic %'!K65</f>
        <v>1.7000000000000001E-2</v>
      </c>
      <c r="L65" s="1859">
        <f>'Total - Traffic %'!L65</f>
        <v>8.9999999999999993E-3</v>
      </c>
      <c r="M65" s="1861">
        <f>'Total - Traffic %'!M65</f>
        <v>6.0000000000000001E-3</v>
      </c>
      <c r="N65" s="1860">
        <f>'Total - Traffic %'!N65</f>
        <v>2E-3</v>
      </c>
      <c r="O65" s="1862">
        <f>'Total - Traffic %'!O65</f>
        <v>5.2999999999999999E-2</v>
      </c>
      <c r="Q65" s="3825"/>
      <c r="R65" s="1741">
        <v>4</v>
      </c>
      <c r="S65" s="1856">
        <f>'Total - Traffic %'!S65</f>
        <v>0</v>
      </c>
      <c r="T65" s="1857">
        <f>'Total - Traffic %'!T65</f>
        <v>0</v>
      </c>
      <c r="U65" s="1858">
        <f>'Total - Traffic %'!U65</f>
        <v>0</v>
      </c>
      <c r="V65" s="1856">
        <f>'Total - Traffic %'!V65</f>
        <v>0</v>
      </c>
      <c r="W65" s="1857">
        <f>'Total - Traffic %'!W65</f>
        <v>0</v>
      </c>
      <c r="X65" s="1858">
        <f>'Total - Traffic %'!X65</f>
        <v>0</v>
      </c>
      <c r="Y65" s="1859">
        <f>'Total - Traffic %'!Y65</f>
        <v>2.1999999999999999E-2</v>
      </c>
      <c r="Z65" s="1860">
        <f>'Total - Traffic %'!Z65</f>
        <v>1.4999999999999999E-2</v>
      </c>
      <c r="AA65" s="1859">
        <f>'Total - Traffic %'!AA65</f>
        <v>4.0000000000000001E-3</v>
      </c>
      <c r="AB65" s="1861">
        <f>'Total - Traffic %'!AB65</f>
        <v>6.0000000000000001E-3</v>
      </c>
      <c r="AC65" s="1860">
        <f>'Total - Traffic %'!AC65</f>
        <v>2E-3</v>
      </c>
      <c r="AD65" s="1862">
        <f>'Total - Traffic %'!AD65</f>
        <v>4.9000000000000002E-2</v>
      </c>
      <c r="AF65" s="3825"/>
      <c r="AG65" s="1741">
        <v>4</v>
      </c>
      <c r="AH65" s="1856">
        <f>'Total - Traffic %'!AH65</f>
        <v>0</v>
      </c>
      <c r="AI65" s="1857">
        <f>'Total - Traffic %'!AI65</f>
        <v>0</v>
      </c>
      <c r="AJ65" s="1858">
        <f>'Total - Traffic %'!AJ65</f>
        <v>0</v>
      </c>
      <c r="AK65" s="1856">
        <f>'Total - Traffic %'!AK65</f>
        <v>0</v>
      </c>
      <c r="AL65" s="1857">
        <f>'Total - Traffic %'!AL65</f>
        <v>0</v>
      </c>
      <c r="AM65" s="1858">
        <f>'Total - Traffic %'!AM65</f>
        <v>0</v>
      </c>
      <c r="AN65" s="1859">
        <f>'Total - Traffic %'!AN65</f>
        <v>2.4E-2</v>
      </c>
      <c r="AO65" s="1860">
        <f>'Total - Traffic %'!AO65</f>
        <v>8.9999999999999993E-3</v>
      </c>
      <c r="AP65" s="1859">
        <f>'Total - Traffic %'!AP65</f>
        <v>1.2E-2</v>
      </c>
      <c r="AQ65" s="1861">
        <f>'Total - Traffic %'!AQ65</f>
        <v>8.0000000000000002E-3</v>
      </c>
      <c r="AR65" s="1860">
        <f>'Total - Traffic %'!AR65</f>
        <v>2E-3</v>
      </c>
      <c r="AS65" s="1862">
        <f>'Total - Traffic %'!AS65</f>
        <v>5.6000000000000001E-2</v>
      </c>
      <c r="AU65" s="3825"/>
      <c r="AV65" s="1741">
        <v>4</v>
      </c>
      <c r="AW65" s="1856">
        <f>'Total - Traffic %'!AW65</f>
        <v>0</v>
      </c>
      <c r="AX65" s="1857">
        <f>'Total - Traffic %'!AX65</f>
        <v>0</v>
      </c>
      <c r="AY65" s="1858">
        <f>'Total - Traffic %'!AY65</f>
        <v>0</v>
      </c>
      <c r="AZ65" s="1856">
        <f>'Total - Traffic %'!AZ65</f>
        <v>0</v>
      </c>
      <c r="BA65" s="1857">
        <f>'Total - Traffic %'!BA65</f>
        <v>0</v>
      </c>
      <c r="BB65" s="1858">
        <f>'Total - Traffic %'!BB65</f>
        <v>0</v>
      </c>
      <c r="BC65" s="1859">
        <f>'Total - Traffic %'!BC65</f>
        <v>2.5999999999999999E-2</v>
      </c>
      <c r="BD65" s="1860">
        <f>'Total - Traffic %'!BD65</f>
        <v>8.0000000000000002E-3</v>
      </c>
      <c r="BE65" s="1859">
        <f>'Total - Traffic %'!BE65</f>
        <v>3.2000000000000001E-2</v>
      </c>
      <c r="BF65" s="1861">
        <f>'Total - Traffic %'!BF65</f>
        <v>1.2E-2</v>
      </c>
      <c r="BG65" s="1860">
        <f>'Total - Traffic %'!BG65</f>
        <v>3.0000000000000001E-3</v>
      </c>
      <c r="BH65" s="1862">
        <f>'Total - Traffic %'!BH65</f>
        <v>8.1000000000000003E-2</v>
      </c>
      <c r="BJ65" s="3825"/>
      <c r="BK65" s="1741">
        <v>4</v>
      </c>
      <c r="BL65" s="1856">
        <f>'Total - Traffic %'!BL65</f>
        <v>0</v>
      </c>
      <c r="BM65" s="1857">
        <f>'Total - Traffic %'!BM65</f>
        <v>0</v>
      </c>
      <c r="BN65" s="1858">
        <f>'Total - Traffic %'!BN65</f>
        <v>0</v>
      </c>
      <c r="BO65" s="1856">
        <f>'Total - Traffic %'!BO65</f>
        <v>0</v>
      </c>
      <c r="BP65" s="1857">
        <f>'Total - Traffic %'!BP65</f>
        <v>0</v>
      </c>
      <c r="BQ65" s="1858">
        <f>'Total - Traffic %'!BQ65</f>
        <v>0</v>
      </c>
      <c r="BR65" s="1859">
        <f>'Total - Traffic %'!BR65</f>
        <v>0.03</v>
      </c>
      <c r="BS65" s="1860">
        <f>'Total - Traffic %'!BS65</f>
        <v>8.9999999999999993E-3</v>
      </c>
      <c r="BT65" s="1859">
        <f>'Total - Traffic %'!BT65</f>
        <v>4.8000000000000001E-2</v>
      </c>
      <c r="BU65" s="1861">
        <f>'Total - Traffic %'!BU65</f>
        <v>1.4E-2</v>
      </c>
      <c r="BV65" s="1860">
        <f>'Total - Traffic %'!BV65</f>
        <v>3.0000000000000001E-3</v>
      </c>
      <c r="BW65" s="1862">
        <f>'Total - Traffic %'!BW65</f>
        <v>0.104</v>
      </c>
      <c r="BY65" s="3825"/>
      <c r="BZ65" s="1741">
        <v>4</v>
      </c>
      <c r="CA65" s="1856">
        <f>'Total - Traffic %'!CA65</f>
        <v>0</v>
      </c>
      <c r="CB65" s="1857">
        <f>'Total - Traffic %'!CB65</f>
        <v>0</v>
      </c>
      <c r="CC65" s="1858">
        <f>'Total - Traffic %'!CC65</f>
        <v>0</v>
      </c>
      <c r="CD65" s="1856">
        <f>'Total - Traffic %'!CD65</f>
        <v>0</v>
      </c>
      <c r="CE65" s="1857">
        <f>'Total - Traffic %'!CE65</f>
        <v>0</v>
      </c>
      <c r="CF65" s="1858">
        <f>'Total - Traffic %'!CF65</f>
        <v>0</v>
      </c>
      <c r="CG65" s="1859">
        <f>'Total - Traffic %'!CG65</f>
        <v>3.3000000000000002E-2</v>
      </c>
      <c r="CH65" s="1860">
        <f>'Total - Traffic %'!CH65</f>
        <v>8.9999999999999993E-3</v>
      </c>
      <c r="CI65" s="1859">
        <f>'Total - Traffic %'!CI65</f>
        <v>6.6000000000000003E-2</v>
      </c>
      <c r="CJ65" s="1861">
        <f>'Total - Traffic %'!CJ65</f>
        <v>1.7999999999999999E-2</v>
      </c>
      <c r="CK65" s="1860">
        <f>'Total - Traffic %'!CK65</f>
        <v>4.0000000000000001E-3</v>
      </c>
      <c r="CL65" s="1862">
        <f>'Total - Traffic %'!CL65</f>
        <v>0.129</v>
      </c>
    </row>
    <row r="66" spans="1:90" s="1728" customFormat="1" ht="13.5" customHeight="1">
      <c r="A66" s="3842"/>
      <c r="B66" s="3843"/>
      <c r="C66" s="1749">
        <v>5</v>
      </c>
      <c r="D66" s="1856">
        <f>'Total - Traffic %'!D66</f>
        <v>0</v>
      </c>
      <c r="E66" s="1857">
        <f>'Total - Traffic %'!E66</f>
        <v>0</v>
      </c>
      <c r="F66" s="1858">
        <f>'Total - Traffic %'!F66</f>
        <v>0</v>
      </c>
      <c r="G66" s="1856">
        <f>'Total - Traffic %'!G66</f>
        <v>0</v>
      </c>
      <c r="H66" s="1857">
        <f>'Total - Traffic %'!H66</f>
        <v>0</v>
      </c>
      <c r="I66" s="1858">
        <f>'Total - Traffic %'!I66</f>
        <v>0</v>
      </c>
      <c r="J66" s="1859">
        <f>'Total - Traffic %'!J66</f>
        <v>8.9999999999999993E-3</v>
      </c>
      <c r="K66" s="1860">
        <f>'Total - Traffic %'!K66</f>
        <v>2E-3</v>
      </c>
      <c r="L66" s="1859">
        <f>'Total - Traffic %'!L66</f>
        <v>0</v>
      </c>
      <c r="M66" s="1861">
        <f>'Total - Traffic %'!M66</f>
        <v>1E-3</v>
      </c>
      <c r="N66" s="1860">
        <f>'Total - Traffic %'!N66</f>
        <v>0</v>
      </c>
      <c r="O66" s="1862">
        <f>'Total - Traffic %'!O66</f>
        <v>1.2E-2</v>
      </c>
      <c r="Q66" s="3825"/>
      <c r="R66" s="1749">
        <v>5</v>
      </c>
      <c r="S66" s="1856">
        <f>'Total - Traffic %'!S66</f>
        <v>0</v>
      </c>
      <c r="T66" s="1857">
        <f>'Total - Traffic %'!T66</f>
        <v>0</v>
      </c>
      <c r="U66" s="1858">
        <f>'Total - Traffic %'!U66</f>
        <v>0</v>
      </c>
      <c r="V66" s="1856">
        <f>'Total - Traffic %'!V66</f>
        <v>0</v>
      </c>
      <c r="W66" s="1857">
        <f>'Total - Traffic %'!W66</f>
        <v>0</v>
      </c>
      <c r="X66" s="1858">
        <f>'Total - Traffic %'!X66</f>
        <v>0</v>
      </c>
      <c r="Y66" s="1859">
        <f>'Total - Traffic %'!Y66</f>
        <v>1.0999999999999999E-2</v>
      </c>
      <c r="Z66" s="1860">
        <f>'Total - Traffic %'!Z66</f>
        <v>2E-3</v>
      </c>
      <c r="AA66" s="1859">
        <f>'Total - Traffic %'!AA66</f>
        <v>0</v>
      </c>
      <c r="AB66" s="1861">
        <f>'Total - Traffic %'!AB66</f>
        <v>1E-3</v>
      </c>
      <c r="AC66" s="1860">
        <f>'Total - Traffic %'!AC66</f>
        <v>0</v>
      </c>
      <c r="AD66" s="1862">
        <f>'Total - Traffic %'!AD66</f>
        <v>1.2999999999999999E-2</v>
      </c>
      <c r="AF66" s="3825"/>
      <c r="AG66" s="1749">
        <v>5</v>
      </c>
      <c r="AH66" s="1856">
        <f>'Total - Traffic %'!AH66</f>
        <v>0</v>
      </c>
      <c r="AI66" s="1857">
        <f>'Total - Traffic %'!AI66</f>
        <v>0</v>
      </c>
      <c r="AJ66" s="1858">
        <f>'Total - Traffic %'!AJ66</f>
        <v>0</v>
      </c>
      <c r="AK66" s="1856">
        <f>'Total - Traffic %'!AK66</f>
        <v>0</v>
      </c>
      <c r="AL66" s="1857">
        <f>'Total - Traffic %'!AL66</f>
        <v>0</v>
      </c>
      <c r="AM66" s="1858">
        <f>'Total - Traffic %'!AM66</f>
        <v>0</v>
      </c>
      <c r="AN66" s="1859">
        <f>'Total - Traffic %'!AN66</f>
        <v>0.01</v>
      </c>
      <c r="AO66" s="1860">
        <f>'Total - Traffic %'!AO66</f>
        <v>8.0000000000000002E-3</v>
      </c>
      <c r="AP66" s="1859">
        <f>'Total - Traffic %'!AP66</f>
        <v>0</v>
      </c>
      <c r="AQ66" s="1861">
        <f>'Total - Traffic %'!AQ66</f>
        <v>1E-3</v>
      </c>
      <c r="AR66" s="1860">
        <f>'Total - Traffic %'!AR66</f>
        <v>1E-3</v>
      </c>
      <c r="AS66" s="1862">
        <f>'Total - Traffic %'!AS66</f>
        <v>0.02</v>
      </c>
      <c r="AU66" s="3825"/>
      <c r="AV66" s="1749">
        <v>5</v>
      </c>
      <c r="AW66" s="1856">
        <f>'Total - Traffic %'!AW66</f>
        <v>0</v>
      </c>
      <c r="AX66" s="1857">
        <f>'Total - Traffic %'!AX66</f>
        <v>0</v>
      </c>
      <c r="AY66" s="1858">
        <f>'Total - Traffic %'!AY66</f>
        <v>0</v>
      </c>
      <c r="AZ66" s="1856">
        <f>'Total - Traffic %'!AZ66</f>
        <v>0</v>
      </c>
      <c r="BA66" s="1857">
        <f>'Total - Traffic %'!BA66</f>
        <v>0</v>
      </c>
      <c r="BB66" s="1858">
        <f>'Total - Traffic %'!BB66</f>
        <v>0</v>
      </c>
      <c r="BC66" s="1859">
        <f>'Total - Traffic %'!BC66</f>
        <v>1.4E-2</v>
      </c>
      <c r="BD66" s="1860">
        <f>'Total - Traffic %'!BD66</f>
        <v>0.01</v>
      </c>
      <c r="BE66" s="1859">
        <f>'Total - Traffic %'!BE66</f>
        <v>0</v>
      </c>
      <c r="BF66" s="1861">
        <f>'Total - Traffic %'!BF66</f>
        <v>1E-3</v>
      </c>
      <c r="BG66" s="1860">
        <f>'Total - Traffic %'!BG66</f>
        <v>1E-3</v>
      </c>
      <c r="BH66" s="1862">
        <f>'Total - Traffic %'!BH66</f>
        <v>2.7E-2</v>
      </c>
      <c r="BJ66" s="3825"/>
      <c r="BK66" s="1749">
        <v>5</v>
      </c>
      <c r="BL66" s="1856">
        <f>'Total - Traffic %'!BL66</f>
        <v>0</v>
      </c>
      <c r="BM66" s="1857">
        <f>'Total - Traffic %'!BM66</f>
        <v>0</v>
      </c>
      <c r="BN66" s="1858">
        <f>'Total - Traffic %'!BN66</f>
        <v>0</v>
      </c>
      <c r="BO66" s="1856">
        <f>'Total - Traffic %'!BO66</f>
        <v>0</v>
      </c>
      <c r="BP66" s="1857">
        <f>'Total - Traffic %'!BP66</f>
        <v>0</v>
      </c>
      <c r="BQ66" s="1858">
        <f>'Total - Traffic %'!BQ66</f>
        <v>0</v>
      </c>
      <c r="BR66" s="1859">
        <f>'Total - Traffic %'!BR66</f>
        <v>1.6E-2</v>
      </c>
      <c r="BS66" s="1860">
        <f>'Total - Traffic %'!BS66</f>
        <v>0.01</v>
      </c>
      <c r="BT66" s="1859">
        <f>'Total - Traffic %'!BT66</f>
        <v>0</v>
      </c>
      <c r="BU66" s="1861">
        <f>'Total - Traffic %'!BU66</f>
        <v>2E-3</v>
      </c>
      <c r="BV66" s="1860">
        <f>'Total - Traffic %'!BV66</f>
        <v>1E-3</v>
      </c>
      <c r="BW66" s="1862">
        <f>'Total - Traffic %'!BW66</f>
        <v>2.9000000000000001E-2</v>
      </c>
      <c r="BY66" s="3825"/>
      <c r="BZ66" s="1749">
        <v>5</v>
      </c>
      <c r="CA66" s="1856">
        <f>'Total - Traffic %'!CA66</f>
        <v>0</v>
      </c>
      <c r="CB66" s="1857">
        <f>'Total - Traffic %'!CB66</f>
        <v>0</v>
      </c>
      <c r="CC66" s="1858">
        <f>'Total - Traffic %'!CC66</f>
        <v>0</v>
      </c>
      <c r="CD66" s="1856">
        <f>'Total - Traffic %'!CD66</f>
        <v>0</v>
      </c>
      <c r="CE66" s="1857">
        <f>'Total - Traffic %'!CE66</f>
        <v>0</v>
      </c>
      <c r="CF66" s="1858">
        <f>'Total - Traffic %'!CF66</f>
        <v>0</v>
      </c>
      <c r="CG66" s="1859">
        <f>'Total - Traffic %'!CG66</f>
        <v>1.7000000000000001E-2</v>
      </c>
      <c r="CH66" s="1860">
        <f>'Total - Traffic %'!CH66</f>
        <v>1.0999999999999999E-2</v>
      </c>
      <c r="CI66" s="1859">
        <f>'Total - Traffic %'!CI66</f>
        <v>0</v>
      </c>
      <c r="CJ66" s="1861">
        <f>'Total - Traffic %'!CJ66</f>
        <v>2E-3</v>
      </c>
      <c r="CK66" s="1860">
        <f>'Total - Traffic %'!CK66</f>
        <v>2E-3</v>
      </c>
      <c r="CL66" s="1862">
        <f>'Total - Traffic %'!CL66</f>
        <v>3.2000000000000001E-2</v>
      </c>
    </row>
    <row r="67" spans="1:90" s="1728" customFormat="1" ht="13.5" customHeight="1" thickBot="1">
      <c r="A67" s="3844"/>
      <c r="B67" s="3845"/>
      <c r="C67" s="1750" t="s">
        <v>1422</v>
      </c>
      <c r="D67" s="1863">
        <f>'Total - Traffic %'!D67</f>
        <v>0</v>
      </c>
      <c r="E67" s="1864">
        <f>'Total - Traffic %'!E67</f>
        <v>0</v>
      </c>
      <c r="F67" s="1865">
        <f>'Total - Traffic %'!F67</f>
        <v>0</v>
      </c>
      <c r="G67" s="1863">
        <f>'Total - Traffic %'!G67</f>
        <v>0</v>
      </c>
      <c r="H67" s="1864">
        <f>'Total - Traffic %'!H67</f>
        <v>0</v>
      </c>
      <c r="I67" s="1865">
        <f>'Total - Traffic %'!I67</f>
        <v>0</v>
      </c>
      <c r="J67" s="1866">
        <f>'Total - Traffic %'!J67</f>
        <v>0.17499999999999999</v>
      </c>
      <c r="K67" s="1867">
        <f>'Total - Traffic %'!K67</f>
        <v>0.182</v>
      </c>
      <c r="L67" s="1866">
        <f>'Total - Traffic %'!L67</f>
        <v>0.17100000000000001</v>
      </c>
      <c r="M67" s="1868">
        <f>'Total - Traffic %'!M67</f>
        <v>0.32500000000000001</v>
      </c>
      <c r="N67" s="1867">
        <f>'Total - Traffic %'!N67</f>
        <v>0.14599999999999999</v>
      </c>
      <c r="O67" s="1869">
        <f>'Total - Traffic %'!O67</f>
        <v>1</v>
      </c>
      <c r="Q67" s="3826"/>
      <c r="R67" s="1750" t="s">
        <v>1422</v>
      </c>
      <c r="S67" s="1863">
        <f>'Total - Traffic %'!S67</f>
        <v>0</v>
      </c>
      <c r="T67" s="1864">
        <f>'Total - Traffic %'!T67</f>
        <v>0</v>
      </c>
      <c r="U67" s="1865">
        <f>'Total - Traffic %'!U67</f>
        <v>0</v>
      </c>
      <c r="V67" s="1863">
        <f>'Total - Traffic %'!V67</f>
        <v>0</v>
      </c>
      <c r="W67" s="1864">
        <f>'Total - Traffic %'!W67</f>
        <v>0</v>
      </c>
      <c r="X67" s="1865">
        <f>'Total - Traffic %'!X67</f>
        <v>0</v>
      </c>
      <c r="Y67" s="1866">
        <f>'Total - Traffic %'!Y67</f>
        <v>0.17499999999999999</v>
      </c>
      <c r="Z67" s="1867">
        <f>'Total - Traffic %'!Z67</f>
        <v>0.17899999999999999</v>
      </c>
      <c r="AA67" s="1866">
        <f>'Total - Traffic %'!AA67</f>
        <v>0.17199999999999999</v>
      </c>
      <c r="AB67" s="1868">
        <f>'Total - Traffic %'!AB67</f>
        <v>0.32700000000000001</v>
      </c>
      <c r="AC67" s="1867">
        <f>'Total - Traffic %'!AC67</f>
        <v>0.14699999999999999</v>
      </c>
      <c r="AD67" s="1869">
        <f>'Total - Traffic %'!AD67</f>
        <v>1</v>
      </c>
      <c r="AF67" s="3826"/>
      <c r="AG67" s="1750" t="s">
        <v>1422</v>
      </c>
      <c r="AH67" s="1863">
        <f>'Total - Traffic %'!AH67</f>
        <v>0</v>
      </c>
      <c r="AI67" s="1864">
        <f>'Total - Traffic %'!AI67</f>
        <v>0</v>
      </c>
      <c r="AJ67" s="1865">
        <f>'Total - Traffic %'!AJ67</f>
        <v>0</v>
      </c>
      <c r="AK67" s="1863">
        <f>'Total - Traffic %'!AK67</f>
        <v>0</v>
      </c>
      <c r="AL67" s="1864">
        <f>'Total - Traffic %'!AL67</f>
        <v>0</v>
      </c>
      <c r="AM67" s="1865">
        <f>'Total - Traffic %'!AM67</f>
        <v>0</v>
      </c>
      <c r="AN67" s="1866">
        <f>'Total - Traffic %'!AN67</f>
        <v>0.17499999999999999</v>
      </c>
      <c r="AO67" s="1867">
        <f>'Total - Traffic %'!AO67</f>
        <v>0.17699999999999999</v>
      </c>
      <c r="AP67" s="1866">
        <f>'Total - Traffic %'!AP67</f>
        <v>0.17399999999999999</v>
      </c>
      <c r="AQ67" s="1868">
        <f>'Total - Traffic %'!AQ67</f>
        <v>0.32700000000000001</v>
      </c>
      <c r="AR67" s="1867">
        <f>'Total - Traffic %'!AR67</f>
        <v>0.14699999999999999</v>
      </c>
      <c r="AS67" s="1869">
        <f>'Total - Traffic %'!AS67</f>
        <v>1</v>
      </c>
      <c r="AU67" s="3826"/>
      <c r="AV67" s="1750" t="s">
        <v>1422</v>
      </c>
      <c r="AW67" s="1863">
        <f>'Total - Traffic %'!AW67</f>
        <v>0</v>
      </c>
      <c r="AX67" s="1864">
        <f>'Total - Traffic %'!AX67</f>
        <v>0</v>
      </c>
      <c r="AY67" s="1865">
        <f>'Total - Traffic %'!AY67</f>
        <v>0</v>
      </c>
      <c r="AZ67" s="1863">
        <f>'Total - Traffic %'!AZ67</f>
        <v>0</v>
      </c>
      <c r="BA67" s="1864">
        <f>'Total - Traffic %'!BA67</f>
        <v>0</v>
      </c>
      <c r="BB67" s="1865">
        <f>'Total - Traffic %'!BB67</f>
        <v>0</v>
      </c>
      <c r="BC67" s="1866">
        <f>'Total - Traffic %'!BC67</f>
        <v>0.17299999999999999</v>
      </c>
      <c r="BD67" s="1867">
        <f>'Total - Traffic %'!BD67</f>
        <v>0.17499999999999999</v>
      </c>
      <c r="BE67" s="1866">
        <f>'Total - Traffic %'!BE67</f>
        <v>0.17499999999999999</v>
      </c>
      <c r="BF67" s="1868">
        <f>'Total - Traffic %'!BF67</f>
        <v>0.32900000000000001</v>
      </c>
      <c r="BG67" s="1867">
        <f>'Total - Traffic %'!BG67</f>
        <v>0.14799999999999999</v>
      </c>
      <c r="BH67" s="1869">
        <f>'Total - Traffic %'!BH67</f>
        <v>1</v>
      </c>
      <c r="BJ67" s="3826"/>
      <c r="BK67" s="1750" t="s">
        <v>1422</v>
      </c>
      <c r="BL67" s="1863">
        <f>'Total - Traffic %'!BL67</f>
        <v>0</v>
      </c>
      <c r="BM67" s="1864">
        <f>'Total - Traffic %'!BM67</f>
        <v>0</v>
      </c>
      <c r="BN67" s="1865">
        <f>'Total - Traffic %'!BN67</f>
        <v>0</v>
      </c>
      <c r="BO67" s="1863">
        <f>'Total - Traffic %'!BO67</f>
        <v>0</v>
      </c>
      <c r="BP67" s="1864">
        <f>'Total - Traffic %'!BP67</f>
        <v>0</v>
      </c>
      <c r="BQ67" s="1865">
        <f>'Total - Traffic %'!BQ67</f>
        <v>0</v>
      </c>
      <c r="BR67" s="1866">
        <f>'Total - Traffic %'!BR67</f>
        <v>0.17100000000000001</v>
      </c>
      <c r="BS67" s="1867">
        <f>'Total - Traffic %'!BS67</f>
        <v>0.17499999999999999</v>
      </c>
      <c r="BT67" s="1866">
        <f>'Total - Traffic %'!BT67</f>
        <v>0.17599999999999999</v>
      </c>
      <c r="BU67" s="1868">
        <f>'Total - Traffic %'!BU67</f>
        <v>0.33</v>
      </c>
      <c r="BV67" s="1867">
        <f>'Total - Traffic %'!BV67</f>
        <v>0.14799999999999999</v>
      </c>
      <c r="BW67" s="1869">
        <f>'Total - Traffic %'!BW67</f>
        <v>1</v>
      </c>
      <c r="BY67" s="3826"/>
      <c r="BZ67" s="1750" t="s">
        <v>1422</v>
      </c>
      <c r="CA67" s="1863">
        <f>'Total - Traffic %'!CA67</f>
        <v>0</v>
      </c>
      <c r="CB67" s="1864">
        <f>'Total - Traffic %'!CB67</f>
        <v>0</v>
      </c>
      <c r="CC67" s="1865">
        <f>'Total - Traffic %'!CC67</f>
        <v>0</v>
      </c>
      <c r="CD67" s="1863">
        <f>'Total - Traffic %'!CD67</f>
        <v>0</v>
      </c>
      <c r="CE67" s="1864">
        <f>'Total - Traffic %'!CE67</f>
        <v>0</v>
      </c>
      <c r="CF67" s="1865">
        <f>'Total - Traffic %'!CF67</f>
        <v>0</v>
      </c>
      <c r="CG67" s="1866">
        <f>'Total - Traffic %'!CG67</f>
        <v>0.17</v>
      </c>
      <c r="CH67" s="1867">
        <f>'Total - Traffic %'!CH67</f>
        <v>0.17399999999999999</v>
      </c>
      <c r="CI67" s="1866">
        <f>'Total - Traffic %'!CI67</f>
        <v>0.17699999999999999</v>
      </c>
      <c r="CJ67" s="1868">
        <f>'Total - Traffic %'!CJ67</f>
        <v>0.33</v>
      </c>
      <c r="CK67" s="1867">
        <f>'Total - Traffic %'!CK67</f>
        <v>0.14799999999999999</v>
      </c>
      <c r="CL67" s="1869">
        <f>'Total - Traffic %'!CL67</f>
        <v>1</v>
      </c>
    </row>
    <row r="68" spans="1:90" s="1728" customFormat="1" ht="13.5" customHeight="1" thickTop="1">
      <c r="A68" s="3840" t="s">
        <v>1487</v>
      </c>
      <c r="B68" s="3841"/>
      <c r="C68" s="1733">
        <v>1</v>
      </c>
      <c r="D68" s="1849">
        <f>'Total - Traffic %'!D68</f>
        <v>8.9999999999999993E-3</v>
      </c>
      <c r="E68" s="1850">
        <f>'Total - Traffic %'!E68</f>
        <v>5.0999999999999997E-2</v>
      </c>
      <c r="F68" s="1851">
        <f>'Total - Traffic %'!F68</f>
        <v>0.16900000000000001</v>
      </c>
      <c r="G68" s="1849">
        <f>'Total - Traffic %'!G68</f>
        <v>0</v>
      </c>
      <c r="H68" s="1850">
        <f>'Total - Traffic %'!H68</f>
        <v>0</v>
      </c>
      <c r="I68" s="1851">
        <f>'Total - Traffic %'!I68</f>
        <v>0</v>
      </c>
      <c r="J68" s="1852">
        <f>'Total - Traffic %'!J68</f>
        <v>0</v>
      </c>
      <c r="K68" s="1853">
        <f>'Total - Traffic %'!K68</f>
        <v>0</v>
      </c>
      <c r="L68" s="1852">
        <f>'Total - Traffic %'!L68</f>
        <v>0</v>
      </c>
      <c r="M68" s="1854">
        <f>'Total - Traffic %'!M68</f>
        <v>0</v>
      </c>
      <c r="N68" s="1853">
        <f>'Total - Traffic %'!N68</f>
        <v>0</v>
      </c>
      <c r="O68" s="1855">
        <f>'Total - Traffic %'!O68</f>
        <v>0.22900000000000001</v>
      </c>
      <c r="Q68" s="3824" t="s">
        <v>1487</v>
      </c>
      <c r="R68" s="1733">
        <v>1</v>
      </c>
      <c r="S68" s="1849">
        <f>'Total - Traffic %'!S68</f>
        <v>8.0000000000000002E-3</v>
      </c>
      <c r="T68" s="1850">
        <f>'Total - Traffic %'!T68</f>
        <v>5.1999999999999998E-2</v>
      </c>
      <c r="U68" s="1851">
        <f>'Total - Traffic %'!U68</f>
        <v>0.16800000000000001</v>
      </c>
      <c r="V68" s="1849">
        <f>'Total - Traffic %'!V68</f>
        <v>0</v>
      </c>
      <c r="W68" s="1850">
        <f>'Total - Traffic %'!W68</f>
        <v>0</v>
      </c>
      <c r="X68" s="1851">
        <f>'Total - Traffic %'!X68</f>
        <v>0</v>
      </c>
      <c r="Y68" s="1852">
        <f>'Total - Traffic %'!Y68</f>
        <v>0</v>
      </c>
      <c r="Z68" s="1853">
        <f>'Total - Traffic %'!Z68</f>
        <v>0</v>
      </c>
      <c r="AA68" s="1852">
        <f>'Total - Traffic %'!AA68</f>
        <v>0</v>
      </c>
      <c r="AB68" s="1854">
        <f>'Total - Traffic %'!AB68</f>
        <v>0</v>
      </c>
      <c r="AC68" s="1853">
        <f>'Total - Traffic %'!AC68</f>
        <v>0</v>
      </c>
      <c r="AD68" s="1855">
        <f>'Total - Traffic %'!AD68</f>
        <v>0.22800000000000001</v>
      </c>
      <c r="AF68" s="3824" t="s">
        <v>1487</v>
      </c>
      <c r="AG68" s="1733">
        <v>1</v>
      </c>
      <c r="AH68" s="1849">
        <f>'Total - Traffic %'!AH68</f>
        <v>6.0000000000000001E-3</v>
      </c>
      <c r="AI68" s="1850">
        <f>'Total - Traffic %'!AI68</f>
        <v>3.9E-2</v>
      </c>
      <c r="AJ68" s="1851">
        <f>'Total - Traffic %'!AJ68</f>
        <v>0.157</v>
      </c>
      <c r="AK68" s="1849">
        <f>'Total - Traffic %'!AK68</f>
        <v>0</v>
      </c>
      <c r="AL68" s="1850">
        <f>'Total - Traffic %'!AL68</f>
        <v>0</v>
      </c>
      <c r="AM68" s="1851">
        <f>'Total - Traffic %'!AM68</f>
        <v>0</v>
      </c>
      <c r="AN68" s="1852">
        <f>'Total - Traffic %'!AN68</f>
        <v>0</v>
      </c>
      <c r="AO68" s="1853">
        <f>'Total - Traffic %'!AO68</f>
        <v>0</v>
      </c>
      <c r="AP68" s="1852">
        <f>'Total - Traffic %'!AP68</f>
        <v>0</v>
      </c>
      <c r="AQ68" s="1854">
        <f>'Total - Traffic %'!AQ68</f>
        <v>0</v>
      </c>
      <c r="AR68" s="1853">
        <f>'Total - Traffic %'!AR68</f>
        <v>0</v>
      </c>
      <c r="AS68" s="1855">
        <f>'Total - Traffic %'!AS68</f>
        <v>0.20300000000000001</v>
      </c>
      <c r="AU68" s="3824" t="s">
        <v>1487</v>
      </c>
      <c r="AV68" s="1733">
        <v>1</v>
      </c>
      <c r="AW68" s="1849">
        <f>'Total - Traffic %'!AW68</f>
        <v>6.0000000000000001E-3</v>
      </c>
      <c r="AX68" s="1850">
        <f>'Total - Traffic %'!AX68</f>
        <v>3.9E-2</v>
      </c>
      <c r="AY68" s="1851">
        <f>'Total - Traffic %'!AY68</f>
        <v>0.14099999999999999</v>
      </c>
      <c r="AZ68" s="1849">
        <f>'Total - Traffic %'!AZ68</f>
        <v>0</v>
      </c>
      <c r="BA68" s="1850">
        <f>'Total - Traffic %'!BA68</f>
        <v>0</v>
      </c>
      <c r="BB68" s="1851">
        <f>'Total - Traffic %'!BB68</f>
        <v>0</v>
      </c>
      <c r="BC68" s="1852">
        <f>'Total - Traffic %'!BC68</f>
        <v>0</v>
      </c>
      <c r="BD68" s="1853">
        <f>'Total - Traffic %'!BD68</f>
        <v>0</v>
      </c>
      <c r="BE68" s="1852">
        <f>'Total - Traffic %'!BE68</f>
        <v>0</v>
      </c>
      <c r="BF68" s="1854">
        <f>'Total - Traffic %'!BF68</f>
        <v>0</v>
      </c>
      <c r="BG68" s="1853">
        <f>'Total - Traffic %'!BG68</f>
        <v>0</v>
      </c>
      <c r="BH68" s="1855">
        <f>'Total - Traffic %'!BH68</f>
        <v>0.186</v>
      </c>
      <c r="BJ68" s="3824" t="s">
        <v>1487</v>
      </c>
      <c r="BK68" s="1733">
        <v>1</v>
      </c>
      <c r="BL68" s="1849">
        <f>'Total - Traffic %'!BL68</f>
        <v>5.0000000000000001E-3</v>
      </c>
      <c r="BM68" s="1850">
        <f>'Total - Traffic %'!BM68</f>
        <v>3.3000000000000002E-2</v>
      </c>
      <c r="BN68" s="1851">
        <f>'Total - Traffic %'!BN68</f>
        <v>0.14099999999999999</v>
      </c>
      <c r="BO68" s="1849">
        <f>'Total - Traffic %'!BO68</f>
        <v>0</v>
      </c>
      <c r="BP68" s="1850">
        <f>'Total - Traffic %'!BP68</f>
        <v>0</v>
      </c>
      <c r="BQ68" s="1851">
        <f>'Total - Traffic %'!BQ68</f>
        <v>0</v>
      </c>
      <c r="BR68" s="1852">
        <f>'Total - Traffic %'!BR68</f>
        <v>0</v>
      </c>
      <c r="BS68" s="1853">
        <f>'Total - Traffic %'!BS68</f>
        <v>0</v>
      </c>
      <c r="BT68" s="1852">
        <f>'Total - Traffic %'!BT68</f>
        <v>0</v>
      </c>
      <c r="BU68" s="1854">
        <f>'Total - Traffic %'!BU68</f>
        <v>0</v>
      </c>
      <c r="BV68" s="1853">
        <f>'Total - Traffic %'!BV68</f>
        <v>0</v>
      </c>
      <c r="BW68" s="1855">
        <f>'Total - Traffic %'!BW68</f>
        <v>0.17799999999999999</v>
      </c>
      <c r="BY68" s="3824" t="s">
        <v>1487</v>
      </c>
      <c r="BZ68" s="1733">
        <v>1</v>
      </c>
      <c r="CA68" s="1849">
        <f>'Total - Traffic %'!CA68</f>
        <v>5.0000000000000001E-3</v>
      </c>
      <c r="CB68" s="1850">
        <f>'Total - Traffic %'!CB68</f>
        <v>2.9000000000000001E-2</v>
      </c>
      <c r="CC68" s="1851">
        <f>'Total - Traffic %'!CC68</f>
        <v>0.13800000000000001</v>
      </c>
      <c r="CD68" s="1849">
        <f>'Total - Traffic %'!CD68</f>
        <v>0</v>
      </c>
      <c r="CE68" s="1850">
        <f>'Total - Traffic %'!CE68</f>
        <v>0</v>
      </c>
      <c r="CF68" s="1851">
        <f>'Total - Traffic %'!CF68</f>
        <v>0</v>
      </c>
      <c r="CG68" s="1852">
        <f>'Total - Traffic %'!CG68</f>
        <v>0</v>
      </c>
      <c r="CH68" s="1853">
        <f>'Total - Traffic %'!CH68</f>
        <v>0</v>
      </c>
      <c r="CI68" s="1852">
        <f>'Total - Traffic %'!CI68</f>
        <v>0</v>
      </c>
      <c r="CJ68" s="1854">
        <f>'Total - Traffic %'!CJ68</f>
        <v>0</v>
      </c>
      <c r="CK68" s="1853">
        <f>'Total - Traffic %'!CK68</f>
        <v>0</v>
      </c>
      <c r="CL68" s="1855">
        <f>'Total - Traffic %'!CL68</f>
        <v>0.17199999999999999</v>
      </c>
    </row>
    <row r="69" spans="1:90" s="1728" customFormat="1" ht="13.5" customHeight="1">
      <c r="A69" s="3842"/>
      <c r="B69" s="3843"/>
      <c r="C69" s="1741">
        <v>2</v>
      </c>
      <c r="D69" s="1856">
        <f>'Total - Traffic %'!D69</f>
        <v>2.5999999999999999E-2</v>
      </c>
      <c r="E69" s="1857">
        <f>'Total - Traffic %'!E69</f>
        <v>0.13400000000000001</v>
      </c>
      <c r="F69" s="1858">
        <f>'Total - Traffic %'!F69</f>
        <v>0.104</v>
      </c>
      <c r="G69" s="1856">
        <f>'Total - Traffic %'!G69</f>
        <v>0</v>
      </c>
      <c r="H69" s="1857">
        <f>'Total - Traffic %'!H69</f>
        <v>0</v>
      </c>
      <c r="I69" s="1858">
        <f>'Total - Traffic %'!I69</f>
        <v>0</v>
      </c>
      <c r="J69" s="1859">
        <f>'Total - Traffic %'!J69</f>
        <v>0</v>
      </c>
      <c r="K69" s="1860">
        <f>'Total - Traffic %'!K69</f>
        <v>0</v>
      </c>
      <c r="L69" s="1859">
        <f>'Total - Traffic %'!L69</f>
        <v>0</v>
      </c>
      <c r="M69" s="1861">
        <f>'Total - Traffic %'!M69</f>
        <v>0</v>
      </c>
      <c r="N69" s="1860">
        <f>'Total - Traffic %'!N69</f>
        <v>0</v>
      </c>
      <c r="O69" s="1862">
        <f>'Total - Traffic %'!O69</f>
        <v>0.26500000000000001</v>
      </c>
      <c r="Q69" s="3825"/>
      <c r="R69" s="1741">
        <v>2</v>
      </c>
      <c r="S69" s="1856">
        <f>'Total - Traffic %'!S69</f>
        <v>2.5999999999999999E-2</v>
      </c>
      <c r="T69" s="1857">
        <f>'Total - Traffic %'!T69</f>
        <v>0.127</v>
      </c>
      <c r="U69" s="1858">
        <f>'Total - Traffic %'!U69</f>
        <v>0.107</v>
      </c>
      <c r="V69" s="1856">
        <f>'Total - Traffic %'!V69</f>
        <v>0</v>
      </c>
      <c r="W69" s="1857">
        <f>'Total - Traffic %'!W69</f>
        <v>0</v>
      </c>
      <c r="X69" s="1858">
        <f>'Total - Traffic %'!X69</f>
        <v>0</v>
      </c>
      <c r="Y69" s="1859">
        <f>'Total - Traffic %'!Y69</f>
        <v>0</v>
      </c>
      <c r="Z69" s="1860">
        <f>'Total - Traffic %'!Z69</f>
        <v>0</v>
      </c>
      <c r="AA69" s="1859">
        <f>'Total - Traffic %'!AA69</f>
        <v>0</v>
      </c>
      <c r="AB69" s="1861">
        <f>'Total - Traffic %'!AB69</f>
        <v>0</v>
      </c>
      <c r="AC69" s="1860">
        <f>'Total - Traffic %'!AC69</f>
        <v>0</v>
      </c>
      <c r="AD69" s="1862">
        <f>'Total - Traffic %'!AD69</f>
        <v>0.26</v>
      </c>
      <c r="AF69" s="3825"/>
      <c r="AG69" s="1741">
        <v>2</v>
      </c>
      <c r="AH69" s="1856">
        <f>'Total - Traffic %'!AH69</f>
        <v>2.5999999999999999E-2</v>
      </c>
      <c r="AI69" s="1857">
        <f>'Total - Traffic %'!AI69</f>
        <v>0.108</v>
      </c>
      <c r="AJ69" s="1858">
        <f>'Total - Traffic %'!AJ69</f>
        <v>0.106</v>
      </c>
      <c r="AK69" s="1856">
        <f>'Total - Traffic %'!AK69</f>
        <v>0</v>
      </c>
      <c r="AL69" s="1857">
        <f>'Total - Traffic %'!AL69</f>
        <v>0</v>
      </c>
      <c r="AM69" s="1858">
        <f>'Total - Traffic %'!AM69</f>
        <v>0</v>
      </c>
      <c r="AN69" s="1859">
        <f>'Total - Traffic %'!AN69</f>
        <v>0</v>
      </c>
      <c r="AO69" s="1860">
        <f>'Total - Traffic %'!AO69</f>
        <v>0</v>
      </c>
      <c r="AP69" s="1859">
        <f>'Total - Traffic %'!AP69</f>
        <v>0</v>
      </c>
      <c r="AQ69" s="1861">
        <f>'Total - Traffic %'!AQ69</f>
        <v>0</v>
      </c>
      <c r="AR69" s="1860">
        <f>'Total - Traffic %'!AR69</f>
        <v>0</v>
      </c>
      <c r="AS69" s="1862">
        <f>'Total - Traffic %'!AS69</f>
        <v>0.24099999999999999</v>
      </c>
      <c r="AU69" s="3825"/>
      <c r="AV69" s="1741">
        <v>2</v>
      </c>
      <c r="AW69" s="1856">
        <f>'Total - Traffic %'!AW69</f>
        <v>2.3E-2</v>
      </c>
      <c r="AX69" s="1857">
        <f>'Total - Traffic %'!AX69</f>
        <v>8.3000000000000004E-2</v>
      </c>
      <c r="AY69" s="1858">
        <f>'Total - Traffic %'!AY69</f>
        <v>0.111</v>
      </c>
      <c r="AZ69" s="1856">
        <f>'Total - Traffic %'!AZ69</f>
        <v>0</v>
      </c>
      <c r="BA69" s="1857">
        <f>'Total - Traffic %'!BA69</f>
        <v>0</v>
      </c>
      <c r="BB69" s="1858">
        <f>'Total - Traffic %'!BB69</f>
        <v>0</v>
      </c>
      <c r="BC69" s="1859">
        <f>'Total - Traffic %'!BC69</f>
        <v>0</v>
      </c>
      <c r="BD69" s="1860">
        <f>'Total - Traffic %'!BD69</f>
        <v>0</v>
      </c>
      <c r="BE69" s="1859">
        <f>'Total - Traffic %'!BE69</f>
        <v>0</v>
      </c>
      <c r="BF69" s="1861">
        <f>'Total - Traffic %'!BF69</f>
        <v>0</v>
      </c>
      <c r="BG69" s="1860">
        <f>'Total - Traffic %'!BG69</f>
        <v>0</v>
      </c>
      <c r="BH69" s="1862">
        <f>'Total - Traffic %'!BH69</f>
        <v>0.217</v>
      </c>
      <c r="BJ69" s="3825"/>
      <c r="BK69" s="1741">
        <v>2</v>
      </c>
      <c r="BL69" s="1856">
        <f>'Total - Traffic %'!BL69</f>
        <v>0.02</v>
      </c>
      <c r="BM69" s="1857">
        <f>'Total - Traffic %'!BM69</f>
        <v>7.1999999999999995E-2</v>
      </c>
      <c r="BN69" s="1858">
        <f>'Total - Traffic %'!BN69</f>
        <v>0.10299999999999999</v>
      </c>
      <c r="BO69" s="1856">
        <f>'Total - Traffic %'!BO69</f>
        <v>0</v>
      </c>
      <c r="BP69" s="1857">
        <f>'Total - Traffic %'!BP69</f>
        <v>0</v>
      </c>
      <c r="BQ69" s="1858">
        <f>'Total - Traffic %'!BQ69</f>
        <v>0</v>
      </c>
      <c r="BR69" s="1859">
        <f>'Total - Traffic %'!BR69</f>
        <v>0</v>
      </c>
      <c r="BS69" s="1860">
        <f>'Total - Traffic %'!BS69</f>
        <v>0</v>
      </c>
      <c r="BT69" s="1859">
        <f>'Total - Traffic %'!BT69</f>
        <v>0</v>
      </c>
      <c r="BU69" s="1861">
        <f>'Total - Traffic %'!BU69</f>
        <v>0</v>
      </c>
      <c r="BV69" s="1860">
        <f>'Total - Traffic %'!BV69</f>
        <v>0</v>
      </c>
      <c r="BW69" s="1862">
        <f>'Total - Traffic %'!BW69</f>
        <v>0.19500000000000001</v>
      </c>
      <c r="BY69" s="3825"/>
      <c r="BZ69" s="1741">
        <v>2</v>
      </c>
      <c r="CA69" s="1856">
        <f>'Total - Traffic %'!CA69</f>
        <v>1.7000000000000001E-2</v>
      </c>
      <c r="CB69" s="1857">
        <f>'Total - Traffic %'!CB69</f>
        <v>6.3E-2</v>
      </c>
      <c r="CC69" s="1858">
        <f>'Total - Traffic %'!CC69</f>
        <v>9.9000000000000005E-2</v>
      </c>
      <c r="CD69" s="1856">
        <f>'Total - Traffic %'!CD69</f>
        <v>0</v>
      </c>
      <c r="CE69" s="1857">
        <f>'Total - Traffic %'!CE69</f>
        <v>0</v>
      </c>
      <c r="CF69" s="1858">
        <f>'Total - Traffic %'!CF69</f>
        <v>0</v>
      </c>
      <c r="CG69" s="1859">
        <f>'Total - Traffic %'!CG69</f>
        <v>0</v>
      </c>
      <c r="CH69" s="1860">
        <f>'Total - Traffic %'!CH69</f>
        <v>0</v>
      </c>
      <c r="CI69" s="1859">
        <f>'Total - Traffic %'!CI69</f>
        <v>0</v>
      </c>
      <c r="CJ69" s="1861">
        <f>'Total - Traffic %'!CJ69</f>
        <v>0</v>
      </c>
      <c r="CK69" s="1860">
        <f>'Total - Traffic %'!CK69</f>
        <v>0</v>
      </c>
      <c r="CL69" s="1862">
        <f>'Total - Traffic %'!CL69</f>
        <v>0.17899999999999999</v>
      </c>
    </row>
    <row r="70" spans="1:90" s="1728" customFormat="1" ht="13.5" customHeight="1">
      <c r="A70" s="3842"/>
      <c r="B70" s="3843"/>
      <c r="C70" s="1741">
        <v>3</v>
      </c>
      <c r="D70" s="1856">
        <f>'Total - Traffic %'!D70</f>
        <v>6.0000000000000001E-3</v>
      </c>
      <c r="E70" s="1857">
        <f>'Total - Traffic %'!E70</f>
        <v>0.161</v>
      </c>
      <c r="F70" s="1858">
        <f>'Total - Traffic %'!F70</f>
        <v>5.3999999999999999E-2</v>
      </c>
      <c r="G70" s="1856">
        <f>'Total - Traffic %'!G70</f>
        <v>0</v>
      </c>
      <c r="H70" s="1857">
        <f>'Total - Traffic %'!H70</f>
        <v>0</v>
      </c>
      <c r="I70" s="1858">
        <f>'Total - Traffic %'!I70</f>
        <v>0</v>
      </c>
      <c r="J70" s="1859">
        <f>'Total - Traffic %'!J70</f>
        <v>0</v>
      </c>
      <c r="K70" s="1860">
        <f>'Total - Traffic %'!K70</f>
        <v>0</v>
      </c>
      <c r="L70" s="1859">
        <f>'Total - Traffic %'!L70</f>
        <v>0</v>
      </c>
      <c r="M70" s="1861">
        <f>'Total - Traffic %'!M70</f>
        <v>0</v>
      </c>
      <c r="N70" s="1860">
        <f>'Total - Traffic %'!N70</f>
        <v>0</v>
      </c>
      <c r="O70" s="1862">
        <f>'Total - Traffic %'!O70</f>
        <v>0.222</v>
      </c>
      <c r="Q70" s="3825"/>
      <c r="R70" s="1741">
        <v>3</v>
      </c>
      <c r="S70" s="1856">
        <f>'Total - Traffic %'!S70</f>
        <v>6.0000000000000001E-3</v>
      </c>
      <c r="T70" s="1857">
        <f>'Total - Traffic %'!T70</f>
        <v>0.16300000000000001</v>
      </c>
      <c r="U70" s="1858">
        <f>'Total - Traffic %'!U70</f>
        <v>5.0999999999999997E-2</v>
      </c>
      <c r="V70" s="1856">
        <f>'Total - Traffic %'!V70</f>
        <v>0</v>
      </c>
      <c r="W70" s="1857">
        <f>'Total - Traffic %'!W70</f>
        <v>0</v>
      </c>
      <c r="X70" s="1858">
        <f>'Total - Traffic %'!X70</f>
        <v>0</v>
      </c>
      <c r="Y70" s="1859">
        <f>'Total - Traffic %'!Y70</f>
        <v>0</v>
      </c>
      <c r="Z70" s="1860">
        <f>'Total - Traffic %'!Z70</f>
        <v>0</v>
      </c>
      <c r="AA70" s="1859">
        <f>'Total - Traffic %'!AA70</f>
        <v>0</v>
      </c>
      <c r="AB70" s="1861">
        <f>'Total - Traffic %'!AB70</f>
        <v>0</v>
      </c>
      <c r="AC70" s="1860">
        <f>'Total - Traffic %'!AC70</f>
        <v>0</v>
      </c>
      <c r="AD70" s="1862">
        <f>'Total - Traffic %'!AD70</f>
        <v>0.221</v>
      </c>
      <c r="AF70" s="3825"/>
      <c r="AG70" s="1741">
        <v>3</v>
      </c>
      <c r="AH70" s="1856">
        <f>'Total - Traffic %'!AH70</f>
        <v>8.0000000000000002E-3</v>
      </c>
      <c r="AI70" s="1857">
        <f>'Total - Traffic %'!AI70</f>
        <v>0.16200000000000001</v>
      </c>
      <c r="AJ70" s="1858">
        <f>'Total - Traffic %'!AJ70</f>
        <v>5.5E-2</v>
      </c>
      <c r="AK70" s="1856">
        <f>'Total - Traffic %'!AK70</f>
        <v>0</v>
      </c>
      <c r="AL70" s="1857">
        <f>'Total - Traffic %'!AL70</f>
        <v>0</v>
      </c>
      <c r="AM70" s="1858">
        <f>'Total - Traffic %'!AM70</f>
        <v>0</v>
      </c>
      <c r="AN70" s="1859">
        <f>'Total - Traffic %'!AN70</f>
        <v>0</v>
      </c>
      <c r="AO70" s="1860">
        <f>'Total - Traffic %'!AO70</f>
        <v>0</v>
      </c>
      <c r="AP70" s="1859">
        <f>'Total - Traffic %'!AP70</f>
        <v>0</v>
      </c>
      <c r="AQ70" s="1861">
        <f>'Total - Traffic %'!AQ70</f>
        <v>0</v>
      </c>
      <c r="AR70" s="1860">
        <f>'Total - Traffic %'!AR70</f>
        <v>0</v>
      </c>
      <c r="AS70" s="1862">
        <f>'Total - Traffic %'!AS70</f>
        <v>0.22500000000000001</v>
      </c>
      <c r="AU70" s="3825"/>
      <c r="AV70" s="1741">
        <v>3</v>
      </c>
      <c r="AW70" s="1856">
        <f>'Total - Traffic %'!AW70</f>
        <v>1.2999999999999999E-2</v>
      </c>
      <c r="AX70" s="1857">
        <f>'Total - Traffic %'!AX70</f>
        <v>0.15</v>
      </c>
      <c r="AY70" s="1858">
        <f>'Total - Traffic %'!AY70</f>
        <v>5.8000000000000003E-2</v>
      </c>
      <c r="AZ70" s="1856">
        <f>'Total - Traffic %'!AZ70</f>
        <v>0</v>
      </c>
      <c r="BA70" s="1857">
        <f>'Total - Traffic %'!BA70</f>
        <v>0</v>
      </c>
      <c r="BB70" s="1858">
        <f>'Total - Traffic %'!BB70</f>
        <v>0</v>
      </c>
      <c r="BC70" s="1859">
        <f>'Total - Traffic %'!BC70</f>
        <v>0</v>
      </c>
      <c r="BD70" s="1860">
        <f>'Total - Traffic %'!BD70</f>
        <v>0</v>
      </c>
      <c r="BE70" s="1859">
        <f>'Total - Traffic %'!BE70</f>
        <v>0</v>
      </c>
      <c r="BF70" s="1861">
        <f>'Total - Traffic %'!BF70</f>
        <v>0</v>
      </c>
      <c r="BG70" s="1860">
        <f>'Total - Traffic %'!BG70</f>
        <v>0</v>
      </c>
      <c r="BH70" s="1862">
        <f>'Total - Traffic %'!BH70</f>
        <v>0.221</v>
      </c>
      <c r="BJ70" s="3825"/>
      <c r="BK70" s="1741">
        <v>3</v>
      </c>
      <c r="BL70" s="1856">
        <f>'Total - Traffic %'!BL70</f>
        <v>1.6E-2</v>
      </c>
      <c r="BM70" s="1857">
        <f>'Total - Traffic %'!BM70</f>
        <v>0.13400000000000001</v>
      </c>
      <c r="BN70" s="1858">
        <f>'Total - Traffic %'!BN70</f>
        <v>6.0999999999999999E-2</v>
      </c>
      <c r="BO70" s="1856">
        <f>'Total - Traffic %'!BO70</f>
        <v>0</v>
      </c>
      <c r="BP70" s="1857">
        <f>'Total - Traffic %'!BP70</f>
        <v>0</v>
      </c>
      <c r="BQ70" s="1858">
        <f>'Total - Traffic %'!BQ70</f>
        <v>0</v>
      </c>
      <c r="BR70" s="1859">
        <f>'Total - Traffic %'!BR70</f>
        <v>0</v>
      </c>
      <c r="BS70" s="1860">
        <f>'Total - Traffic %'!BS70</f>
        <v>0</v>
      </c>
      <c r="BT70" s="1859">
        <f>'Total - Traffic %'!BT70</f>
        <v>0</v>
      </c>
      <c r="BU70" s="1861">
        <f>'Total - Traffic %'!BU70</f>
        <v>0</v>
      </c>
      <c r="BV70" s="1860">
        <f>'Total - Traffic %'!BV70</f>
        <v>0</v>
      </c>
      <c r="BW70" s="1862">
        <f>'Total - Traffic %'!BW70</f>
        <v>0.21099999999999999</v>
      </c>
      <c r="BY70" s="3825"/>
      <c r="BZ70" s="1741">
        <v>3</v>
      </c>
      <c r="CA70" s="1856">
        <f>'Total - Traffic %'!CA70</f>
        <v>1.9E-2</v>
      </c>
      <c r="CB70" s="1857">
        <f>'Total - Traffic %'!CB70</f>
        <v>0.124</v>
      </c>
      <c r="CC70" s="1858">
        <f>'Total - Traffic %'!CC70</f>
        <v>6.2E-2</v>
      </c>
      <c r="CD70" s="1856">
        <f>'Total - Traffic %'!CD70</f>
        <v>0</v>
      </c>
      <c r="CE70" s="1857">
        <f>'Total - Traffic %'!CE70</f>
        <v>0</v>
      </c>
      <c r="CF70" s="1858">
        <f>'Total - Traffic %'!CF70</f>
        <v>0</v>
      </c>
      <c r="CG70" s="1859">
        <f>'Total - Traffic %'!CG70</f>
        <v>0</v>
      </c>
      <c r="CH70" s="1860">
        <f>'Total - Traffic %'!CH70</f>
        <v>0</v>
      </c>
      <c r="CI70" s="1859">
        <f>'Total - Traffic %'!CI70</f>
        <v>0</v>
      </c>
      <c r="CJ70" s="1861">
        <f>'Total - Traffic %'!CJ70</f>
        <v>0</v>
      </c>
      <c r="CK70" s="1860">
        <f>'Total - Traffic %'!CK70</f>
        <v>0</v>
      </c>
      <c r="CL70" s="1862">
        <f>'Total - Traffic %'!CL70</f>
        <v>0.20499999999999999</v>
      </c>
    </row>
    <row r="71" spans="1:90" s="1728" customFormat="1" ht="13.5" customHeight="1">
      <c r="A71" s="3842"/>
      <c r="B71" s="3843"/>
      <c r="C71" s="1741">
        <v>4</v>
      </c>
      <c r="D71" s="1856">
        <f>'Total - Traffic %'!D71</f>
        <v>0</v>
      </c>
      <c r="E71" s="1857">
        <f>'Total - Traffic %'!E71</f>
        <v>0.16400000000000001</v>
      </c>
      <c r="F71" s="1858">
        <f>'Total - Traffic %'!F71</f>
        <v>5.6000000000000001E-2</v>
      </c>
      <c r="G71" s="1856">
        <f>'Total - Traffic %'!G71</f>
        <v>0</v>
      </c>
      <c r="H71" s="1857">
        <f>'Total - Traffic %'!H71</f>
        <v>0</v>
      </c>
      <c r="I71" s="1858">
        <f>'Total - Traffic %'!I71</f>
        <v>0</v>
      </c>
      <c r="J71" s="1859">
        <f>'Total - Traffic %'!J71</f>
        <v>0</v>
      </c>
      <c r="K71" s="1860">
        <f>'Total - Traffic %'!K71</f>
        <v>0</v>
      </c>
      <c r="L71" s="1859">
        <f>'Total - Traffic %'!L71</f>
        <v>0</v>
      </c>
      <c r="M71" s="1861">
        <f>'Total - Traffic %'!M71</f>
        <v>0</v>
      </c>
      <c r="N71" s="1860">
        <f>'Total - Traffic %'!N71</f>
        <v>0</v>
      </c>
      <c r="O71" s="1862">
        <f>'Total - Traffic %'!O71</f>
        <v>0.22</v>
      </c>
      <c r="Q71" s="3825"/>
      <c r="R71" s="1741">
        <v>4</v>
      </c>
      <c r="S71" s="1856">
        <f>'Total - Traffic %'!S71</f>
        <v>0</v>
      </c>
      <c r="T71" s="1857">
        <f>'Total - Traffic %'!T71</f>
        <v>0.111</v>
      </c>
      <c r="U71" s="1858">
        <f>'Total - Traffic %'!U71</f>
        <v>4.5999999999999999E-2</v>
      </c>
      <c r="V71" s="1856">
        <f>'Total - Traffic %'!V71</f>
        <v>0</v>
      </c>
      <c r="W71" s="1857">
        <f>'Total - Traffic %'!W71</f>
        <v>0</v>
      </c>
      <c r="X71" s="1858">
        <f>'Total - Traffic %'!X71</f>
        <v>0</v>
      </c>
      <c r="Y71" s="1859">
        <f>'Total - Traffic %'!Y71</f>
        <v>0</v>
      </c>
      <c r="Z71" s="1860">
        <f>'Total - Traffic %'!Z71</f>
        <v>0</v>
      </c>
      <c r="AA71" s="1859">
        <f>'Total - Traffic %'!AA71</f>
        <v>0</v>
      </c>
      <c r="AB71" s="1861">
        <f>'Total - Traffic %'!AB71</f>
        <v>0</v>
      </c>
      <c r="AC71" s="1860">
        <f>'Total - Traffic %'!AC71</f>
        <v>0</v>
      </c>
      <c r="AD71" s="1862">
        <f>'Total - Traffic %'!AD71</f>
        <v>0.157</v>
      </c>
      <c r="AF71" s="3825"/>
      <c r="AG71" s="1741">
        <v>4</v>
      </c>
      <c r="AH71" s="1856">
        <f>'Total - Traffic %'!AH71</f>
        <v>1E-3</v>
      </c>
      <c r="AI71" s="1857">
        <f>'Total - Traffic %'!AI71</f>
        <v>0.121</v>
      </c>
      <c r="AJ71" s="1858">
        <f>'Total - Traffic %'!AJ71</f>
        <v>3.5999999999999997E-2</v>
      </c>
      <c r="AK71" s="1856">
        <f>'Total - Traffic %'!AK71</f>
        <v>0</v>
      </c>
      <c r="AL71" s="1857">
        <f>'Total - Traffic %'!AL71</f>
        <v>0</v>
      </c>
      <c r="AM71" s="1858">
        <f>'Total - Traffic %'!AM71</f>
        <v>0</v>
      </c>
      <c r="AN71" s="1859">
        <f>'Total - Traffic %'!AN71</f>
        <v>0</v>
      </c>
      <c r="AO71" s="1860">
        <f>'Total - Traffic %'!AO71</f>
        <v>0</v>
      </c>
      <c r="AP71" s="1859">
        <f>'Total - Traffic %'!AP71</f>
        <v>0</v>
      </c>
      <c r="AQ71" s="1861">
        <f>'Total - Traffic %'!AQ71</f>
        <v>0</v>
      </c>
      <c r="AR71" s="1860">
        <f>'Total - Traffic %'!AR71</f>
        <v>0</v>
      </c>
      <c r="AS71" s="1862">
        <f>'Total - Traffic %'!AS71</f>
        <v>0.158</v>
      </c>
      <c r="AU71" s="3825"/>
      <c r="AV71" s="1741">
        <v>4</v>
      </c>
      <c r="AW71" s="1856">
        <f>'Total - Traffic %'!AW71</f>
        <v>1E-3</v>
      </c>
      <c r="AX71" s="1857">
        <f>'Total - Traffic %'!AX71</f>
        <v>0.13900000000000001</v>
      </c>
      <c r="AY71" s="1858">
        <f>'Total - Traffic %'!AY71</f>
        <v>3.6999999999999998E-2</v>
      </c>
      <c r="AZ71" s="1856">
        <f>'Total - Traffic %'!AZ71</f>
        <v>0</v>
      </c>
      <c r="BA71" s="1857">
        <f>'Total - Traffic %'!BA71</f>
        <v>0</v>
      </c>
      <c r="BB71" s="1858">
        <f>'Total - Traffic %'!BB71</f>
        <v>0</v>
      </c>
      <c r="BC71" s="1859">
        <f>'Total - Traffic %'!BC71</f>
        <v>0</v>
      </c>
      <c r="BD71" s="1860">
        <f>'Total - Traffic %'!BD71</f>
        <v>0</v>
      </c>
      <c r="BE71" s="1859">
        <f>'Total - Traffic %'!BE71</f>
        <v>0</v>
      </c>
      <c r="BF71" s="1861">
        <f>'Total - Traffic %'!BF71</f>
        <v>0</v>
      </c>
      <c r="BG71" s="1860">
        <f>'Total - Traffic %'!BG71</f>
        <v>0</v>
      </c>
      <c r="BH71" s="1862">
        <f>'Total - Traffic %'!BH71</f>
        <v>0.17699999999999999</v>
      </c>
      <c r="BJ71" s="3825"/>
      <c r="BK71" s="1741">
        <v>4</v>
      </c>
      <c r="BL71" s="1856">
        <f>'Total - Traffic %'!BL71</f>
        <v>2E-3</v>
      </c>
      <c r="BM71" s="1857">
        <f>'Total - Traffic %'!BM71</f>
        <v>0.157</v>
      </c>
      <c r="BN71" s="1858">
        <f>'Total - Traffic %'!BN71</f>
        <v>3.7999999999999999E-2</v>
      </c>
      <c r="BO71" s="1856">
        <f>'Total - Traffic %'!BO71</f>
        <v>0</v>
      </c>
      <c r="BP71" s="1857">
        <f>'Total - Traffic %'!BP71</f>
        <v>0</v>
      </c>
      <c r="BQ71" s="1858">
        <f>'Total - Traffic %'!BQ71</f>
        <v>0</v>
      </c>
      <c r="BR71" s="1859">
        <f>'Total - Traffic %'!BR71</f>
        <v>0</v>
      </c>
      <c r="BS71" s="1860">
        <f>'Total - Traffic %'!BS71</f>
        <v>0</v>
      </c>
      <c r="BT71" s="1859">
        <f>'Total - Traffic %'!BT71</f>
        <v>0</v>
      </c>
      <c r="BU71" s="1861">
        <f>'Total - Traffic %'!BU71</f>
        <v>0</v>
      </c>
      <c r="BV71" s="1860">
        <f>'Total - Traffic %'!BV71</f>
        <v>0</v>
      </c>
      <c r="BW71" s="1862">
        <f>'Total - Traffic %'!BW71</f>
        <v>0.19700000000000001</v>
      </c>
      <c r="BY71" s="3825"/>
      <c r="BZ71" s="1741">
        <v>4</v>
      </c>
      <c r="CA71" s="1856">
        <f>'Total - Traffic %'!CA71</f>
        <v>3.0000000000000001E-3</v>
      </c>
      <c r="CB71" s="1857">
        <f>'Total - Traffic %'!CB71</f>
        <v>0.16700000000000001</v>
      </c>
      <c r="CC71" s="1858">
        <f>'Total - Traffic %'!CC71</f>
        <v>0.04</v>
      </c>
      <c r="CD71" s="1856">
        <f>'Total - Traffic %'!CD71</f>
        <v>0</v>
      </c>
      <c r="CE71" s="1857">
        <f>'Total - Traffic %'!CE71</f>
        <v>0</v>
      </c>
      <c r="CF71" s="1858">
        <f>'Total - Traffic %'!CF71</f>
        <v>0</v>
      </c>
      <c r="CG71" s="1859">
        <f>'Total - Traffic %'!CG71</f>
        <v>0</v>
      </c>
      <c r="CH71" s="1860">
        <f>'Total - Traffic %'!CH71</f>
        <v>0</v>
      </c>
      <c r="CI71" s="1859">
        <f>'Total - Traffic %'!CI71</f>
        <v>0</v>
      </c>
      <c r="CJ71" s="1861">
        <f>'Total - Traffic %'!CJ71</f>
        <v>0</v>
      </c>
      <c r="CK71" s="1860">
        <f>'Total - Traffic %'!CK71</f>
        <v>0</v>
      </c>
      <c r="CL71" s="1862">
        <f>'Total - Traffic %'!CL71</f>
        <v>0.20899999999999999</v>
      </c>
    </row>
    <row r="72" spans="1:90" s="1728" customFormat="1" ht="13.5" customHeight="1">
      <c r="A72" s="3842"/>
      <c r="B72" s="3843"/>
      <c r="C72" s="1749">
        <v>5</v>
      </c>
      <c r="D72" s="1856">
        <f>'Total - Traffic %'!D72</f>
        <v>0</v>
      </c>
      <c r="E72" s="1857">
        <f>'Total - Traffic %'!E72</f>
        <v>4.5999999999999999E-2</v>
      </c>
      <c r="F72" s="1858">
        <f>'Total - Traffic %'!F72</f>
        <v>1.4E-2</v>
      </c>
      <c r="G72" s="1856">
        <f>'Total - Traffic %'!G72</f>
        <v>0</v>
      </c>
      <c r="H72" s="1857">
        <f>'Total - Traffic %'!H72</f>
        <v>0</v>
      </c>
      <c r="I72" s="1858">
        <f>'Total - Traffic %'!I72</f>
        <v>0</v>
      </c>
      <c r="J72" s="1859">
        <f>'Total - Traffic %'!J72</f>
        <v>0</v>
      </c>
      <c r="K72" s="1860">
        <f>'Total - Traffic %'!K72</f>
        <v>0</v>
      </c>
      <c r="L72" s="1859">
        <f>'Total - Traffic %'!L72</f>
        <v>0</v>
      </c>
      <c r="M72" s="1861">
        <f>'Total - Traffic %'!M72</f>
        <v>0</v>
      </c>
      <c r="N72" s="1860">
        <f>'Total - Traffic %'!N72</f>
        <v>0</v>
      </c>
      <c r="O72" s="1862">
        <f>'Total - Traffic %'!O72</f>
        <v>6.0999999999999999E-2</v>
      </c>
      <c r="Q72" s="3825"/>
      <c r="R72" s="1749">
        <v>5</v>
      </c>
      <c r="S72" s="1856">
        <f>'Total - Traffic %'!S72</f>
        <v>0</v>
      </c>
      <c r="T72" s="1857">
        <f>'Total - Traffic %'!T72</f>
        <v>0.107</v>
      </c>
      <c r="U72" s="1858">
        <f>'Total - Traffic %'!U72</f>
        <v>2.8000000000000001E-2</v>
      </c>
      <c r="V72" s="1856">
        <f>'Total - Traffic %'!V72</f>
        <v>0</v>
      </c>
      <c r="W72" s="1857">
        <f>'Total - Traffic %'!W72</f>
        <v>0</v>
      </c>
      <c r="X72" s="1858">
        <f>'Total - Traffic %'!X72</f>
        <v>0</v>
      </c>
      <c r="Y72" s="1859">
        <f>'Total - Traffic %'!Y72</f>
        <v>0</v>
      </c>
      <c r="Z72" s="1860">
        <f>'Total - Traffic %'!Z72</f>
        <v>0</v>
      </c>
      <c r="AA72" s="1859">
        <f>'Total - Traffic %'!AA72</f>
        <v>0</v>
      </c>
      <c r="AB72" s="1861">
        <f>'Total - Traffic %'!AB72</f>
        <v>0</v>
      </c>
      <c r="AC72" s="1860">
        <f>'Total - Traffic %'!AC72</f>
        <v>0</v>
      </c>
      <c r="AD72" s="1862">
        <f>'Total - Traffic %'!AD72</f>
        <v>0.13400000000000001</v>
      </c>
      <c r="AF72" s="3825"/>
      <c r="AG72" s="1749">
        <v>5</v>
      </c>
      <c r="AH72" s="1856">
        <f>'Total - Traffic %'!AH72</f>
        <v>0</v>
      </c>
      <c r="AI72" s="1857">
        <f>'Total - Traffic %'!AI72</f>
        <v>0.128</v>
      </c>
      <c r="AJ72" s="1858">
        <f>'Total - Traffic %'!AJ72</f>
        <v>4.5999999999999999E-2</v>
      </c>
      <c r="AK72" s="1856">
        <f>'Total - Traffic %'!AK72</f>
        <v>0</v>
      </c>
      <c r="AL72" s="1857">
        <f>'Total - Traffic %'!AL72</f>
        <v>0</v>
      </c>
      <c r="AM72" s="1858">
        <f>'Total - Traffic %'!AM72</f>
        <v>0</v>
      </c>
      <c r="AN72" s="1859">
        <f>'Total - Traffic %'!AN72</f>
        <v>0</v>
      </c>
      <c r="AO72" s="1860">
        <f>'Total - Traffic %'!AO72</f>
        <v>0</v>
      </c>
      <c r="AP72" s="1859">
        <f>'Total - Traffic %'!AP72</f>
        <v>0</v>
      </c>
      <c r="AQ72" s="1861">
        <f>'Total - Traffic %'!AQ72</f>
        <v>0</v>
      </c>
      <c r="AR72" s="1860">
        <f>'Total - Traffic %'!AR72</f>
        <v>0</v>
      </c>
      <c r="AS72" s="1862">
        <f>'Total - Traffic %'!AS72</f>
        <v>0.17399999999999999</v>
      </c>
      <c r="AU72" s="3825"/>
      <c r="AV72" s="1749">
        <v>5</v>
      </c>
      <c r="AW72" s="1856">
        <f>'Total - Traffic %'!AW72</f>
        <v>0</v>
      </c>
      <c r="AX72" s="1857">
        <f>'Total - Traffic %'!AX72</f>
        <v>0.14499999999999999</v>
      </c>
      <c r="AY72" s="1858">
        <f>'Total - Traffic %'!AY72</f>
        <v>5.1999999999999998E-2</v>
      </c>
      <c r="AZ72" s="1856">
        <f>'Total - Traffic %'!AZ72</f>
        <v>0</v>
      </c>
      <c r="BA72" s="1857">
        <f>'Total - Traffic %'!BA72</f>
        <v>0</v>
      </c>
      <c r="BB72" s="1858">
        <f>'Total - Traffic %'!BB72</f>
        <v>0</v>
      </c>
      <c r="BC72" s="1859">
        <f>'Total - Traffic %'!BC72</f>
        <v>0</v>
      </c>
      <c r="BD72" s="1860">
        <f>'Total - Traffic %'!BD72</f>
        <v>0</v>
      </c>
      <c r="BE72" s="1859">
        <f>'Total - Traffic %'!BE72</f>
        <v>0</v>
      </c>
      <c r="BF72" s="1861">
        <f>'Total - Traffic %'!BF72</f>
        <v>0</v>
      </c>
      <c r="BG72" s="1860">
        <f>'Total - Traffic %'!BG72</f>
        <v>0</v>
      </c>
      <c r="BH72" s="1862">
        <f>'Total - Traffic %'!BH72</f>
        <v>0.19600000000000001</v>
      </c>
      <c r="BJ72" s="3825"/>
      <c r="BK72" s="1749">
        <v>5</v>
      </c>
      <c r="BL72" s="1856">
        <f>'Total - Traffic %'!BL72</f>
        <v>0</v>
      </c>
      <c r="BM72" s="1857">
        <f>'Total - Traffic %'!BM72</f>
        <v>0.161</v>
      </c>
      <c r="BN72" s="1858">
        <f>'Total - Traffic %'!BN72</f>
        <v>5.7000000000000002E-2</v>
      </c>
      <c r="BO72" s="1856">
        <f>'Total - Traffic %'!BO72</f>
        <v>0</v>
      </c>
      <c r="BP72" s="1857">
        <f>'Total - Traffic %'!BP72</f>
        <v>0</v>
      </c>
      <c r="BQ72" s="1858">
        <f>'Total - Traffic %'!BQ72</f>
        <v>0</v>
      </c>
      <c r="BR72" s="1859">
        <f>'Total - Traffic %'!BR72</f>
        <v>0</v>
      </c>
      <c r="BS72" s="1860">
        <f>'Total - Traffic %'!BS72</f>
        <v>0</v>
      </c>
      <c r="BT72" s="1859">
        <f>'Total - Traffic %'!BT72</f>
        <v>0</v>
      </c>
      <c r="BU72" s="1861">
        <f>'Total - Traffic %'!BU72</f>
        <v>0</v>
      </c>
      <c r="BV72" s="1860">
        <f>'Total - Traffic %'!BV72</f>
        <v>0</v>
      </c>
      <c r="BW72" s="1862">
        <f>'Total - Traffic %'!BW72</f>
        <v>0.218</v>
      </c>
      <c r="BY72" s="3825"/>
      <c r="BZ72" s="1749">
        <v>5</v>
      </c>
      <c r="CA72" s="1856">
        <f>'Total - Traffic %'!CA72</f>
        <v>0</v>
      </c>
      <c r="CB72" s="1857">
        <f>'Total - Traffic %'!CB72</f>
        <v>0.17199999999999999</v>
      </c>
      <c r="CC72" s="1858">
        <f>'Total - Traffic %'!CC72</f>
        <v>6.2E-2</v>
      </c>
      <c r="CD72" s="1856">
        <f>'Total - Traffic %'!CD72</f>
        <v>0</v>
      </c>
      <c r="CE72" s="1857">
        <f>'Total - Traffic %'!CE72</f>
        <v>0</v>
      </c>
      <c r="CF72" s="1858">
        <f>'Total - Traffic %'!CF72</f>
        <v>0</v>
      </c>
      <c r="CG72" s="1859">
        <f>'Total - Traffic %'!CG72</f>
        <v>0</v>
      </c>
      <c r="CH72" s="1860">
        <f>'Total - Traffic %'!CH72</f>
        <v>0</v>
      </c>
      <c r="CI72" s="1859">
        <f>'Total - Traffic %'!CI72</f>
        <v>0</v>
      </c>
      <c r="CJ72" s="1861">
        <f>'Total - Traffic %'!CJ72</f>
        <v>0</v>
      </c>
      <c r="CK72" s="1860">
        <f>'Total - Traffic %'!CK72</f>
        <v>0</v>
      </c>
      <c r="CL72" s="1862">
        <f>'Total - Traffic %'!CL72</f>
        <v>0.23400000000000001</v>
      </c>
    </row>
    <row r="73" spans="1:90" s="1728" customFormat="1" ht="13.5" customHeight="1" thickBot="1">
      <c r="A73" s="3844"/>
      <c r="B73" s="3845"/>
      <c r="C73" s="1750" t="s">
        <v>1422</v>
      </c>
      <c r="D73" s="1863">
        <f>'Total - Traffic %'!D73</f>
        <v>4.1000000000000002E-2</v>
      </c>
      <c r="E73" s="1864">
        <f>'Total - Traffic %'!E73</f>
        <v>0.55600000000000005</v>
      </c>
      <c r="F73" s="1865">
        <f>'Total - Traffic %'!F73</f>
        <v>0.40200000000000002</v>
      </c>
      <c r="G73" s="1863">
        <f>'Total - Traffic %'!G73</f>
        <v>0</v>
      </c>
      <c r="H73" s="1864">
        <f>'Total - Traffic %'!H73</f>
        <v>0</v>
      </c>
      <c r="I73" s="1865">
        <f>'Total - Traffic %'!I73</f>
        <v>0</v>
      </c>
      <c r="J73" s="1866">
        <f>'Total - Traffic %'!J73</f>
        <v>0</v>
      </c>
      <c r="K73" s="1867">
        <f>'Total - Traffic %'!K73</f>
        <v>0</v>
      </c>
      <c r="L73" s="1866">
        <f>'Total - Traffic %'!L73</f>
        <v>0</v>
      </c>
      <c r="M73" s="1868">
        <f>'Total - Traffic %'!M73</f>
        <v>0</v>
      </c>
      <c r="N73" s="1867">
        <f>'Total - Traffic %'!N73</f>
        <v>0</v>
      </c>
      <c r="O73" s="1869">
        <f>'Total - Traffic %'!O73</f>
        <v>1</v>
      </c>
      <c r="Q73" s="3826"/>
      <c r="R73" s="1750" t="s">
        <v>1422</v>
      </c>
      <c r="S73" s="1863">
        <f>'Total - Traffic %'!S73</f>
        <v>4.1000000000000002E-2</v>
      </c>
      <c r="T73" s="1864">
        <f>'Total - Traffic %'!T73</f>
        <v>0.55900000000000005</v>
      </c>
      <c r="U73" s="1865">
        <f>'Total - Traffic %'!U73</f>
        <v>0.4</v>
      </c>
      <c r="V73" s="1863">
        <f>'Total - Traffic %'!V73</f>
        <v>0</v>
      </c>
      <c r="W73" s="1864">
        <f>'Total - Traffic %'!W73</f>
        <v>0</v>
      </c>
      <c r="X73" s="1865">
        <f>'Total - Traffic %'!X73</f>
        <v>0</v>
      </c>
      <c r="Y73" s="1866">
        <f>'Total - Traffic %'!Y73</f>
        <v>0</v>
      </c>
      <c r="Z73" s="1867">
        <f>'Total - Traffic %'!Z73</f>
        <v>0</v>
      </c>
      <c r="AA73" s="1866">
        <f>'Total - Traffic %'!AA73</f>
        <v>0</v>
      </c>
      <c r="AB73" s="1868">
        <f>'Total - Traffic %'!AB73</f>
        <v>0</v>
      </c>
      <c r="AC73" s="1867">
        <f>'Total - Traffic %'!AC73</f>
        <v>0</v>
      </c>
      <c r="AD73" s="1869">
        <f>'Total - Traffic %'!AD73</f>
        <v>1</v>
      </c>
      <c r="AF73" s="3826"/>
      <c r="AG73" s="1750" t="s">
        <v>1422</v>
      </c>
      <c r="AH73" s="1863">
        <f>'Total - Traffic %'!AH73</f>
        <v>4.2000000000000003E-2</v>
      </c>
      <c r="AI73" s="1864">
        <f>'Total - Traffic %'!AI73</f>
        <v>0.55800000000000005</v>
      </c>
      <c r="AJ73" s="1865">
        <f>'Total - Traffic %'!AJ73</f>
        <v>0.4</v>
      </c>
      <c r="AK73" s="1863">
        <f>'Total - Traffic %'!AK73</f>
        <v>0</v>
      </c>
      <c r="AL73" s="1864">
        <f>'Total - Traffic %'!AL73</f>
        <v>0</v>
      </c>
      <c r="AM73" s="1865">
        <f>'Total - Traffic %'!AM73</f>
        <v>0</v>
      </c>
      <c r="AN73" s="1866">
        <f>'Total - Traffic %'!AN73</f>
        <v>0</v>
      </c>
      <c r="AO73" s="1867">
        <f>'Total - Traffic %'!AO73</f>
        <v>0</v>
      </c>
      <c r="AP73" s="1866">
        <f>'Total - Traffic %'!AP73</f>
        <v>0</v>
      </c>
      <c r="AQ73" s="1868">
        <f>'Total - Traffic %'!AQ73</f>
        <v>0</v>
      </c>
      <c r="AR73" s="1867">
        <f>'Total - Traffic %'!AR73</f>
        <v>0</v>
      </c>
      <c r="AS73" s="1869">
        <f>'Total - Traffic %'!AS73</f>
        <v>1</v>
      </c>
      <c r="AU73" s="3826"/>
      <c r="AV73" s="1750" t="s">
        <v>1422</v>
      </c>
      <c r="AW73" s="1863">
        <f>'Total - Traffic %'!AW73</f>
        <v>4.2999999999999997E-2</v>
      </c>
      <c r="AX73" s="1864">
        <f>'Total - Traffic %'!AX73</f>
        <v>0.55800000000000005</v>
      </c>
      <c r="AY73" s="1865">
        <f>'Total - Traffic %'!AY73</f>
        <v>0.39900000000000002</v>
      </c>
      <c r="AZ73" s="1863">
        <f>'Total - Traffic %'!AZ73</f>
        <v>0</v>
      </c>
      <c r="BA73" s="1864">
        <f>'Total - Traffic %'!BA73</f>
        <v>0</v>
      </c>
      <c r="BB73" s="1865">
        <f>'Total - Traffic %'!BB73</f>
        <v>0</v>
      </c>
      <c r="BC73" s="1866">
        <f>'Total - Traffic %'!BC73</f>
        <v>0</v>
      </c>
      <c r="BD73" s="1867">
        <f>'Total - Traffic %'!BD73</f>
        <v>0</v>
      </c>
      <c r="BE73" s="1866">
        <f>'Total - Traffic %'!BE73</f>
        <v>0</v>
      </c>
      <c r="BF73" s="1868">
        <f>'Total - Traffic %'!BF73</f>
        <v>0</v>
      </c>
      <c r="BG73" s="1867">
        <f>'Total - Traffic %'!BG73</f>
        <v>0</v>
      </c>
      <c r="BH73" s="1869">
        <f>'Total - Traffic %'!BH73</f>
        <v>1</v>
      </c>
      <c r="BJ73" s="3826"/>
      <c r="BK73" s="1750" t="s">
        <v>1422</v>
      </c>
      <c r="BL73" s="1863">
        <f>'Total - Traffic %'!BL73</f>
        <v>4.2999999999999997E-2</v>
      </c>
      <c r="BM73" s="1864">
        <f>'Total - Traffic %'!BM73</f>
        <v>0.55700000000000005</v>
      </c>
      <c r="BN73" s="1865">
        <f>'Total - Traffic %'!BN73</f>
        <v>0.4</v>
      </c>
      <c r="BO73" s="1863">
        <f>'Total - Traffic %'!BO73</f>
        <v>0</v>
      </c>
      <c r="BP73" s="1864">
        <f>'Total - Traffic %'!BP73</f>
        <v>0</v>
      </c>
      <c r="BQ73" s="1865">
        <f>'Total - Traffic %'!BQ73</f>
        <v>0</v>
      </c>
      <c r="BR73" s="1866">
        <f>'Total - Traffic %'!BR73</f>
        <v>0</v>
      </c>
      <c r="BS73" s="1867">
        <f>'Total - Traffic %'!BS73</f>
        <v>0</v>
      </c>
      <c r="BT73" s="1866">
        <f>'Total - Traffic %'!BT73</f>
        <v>0</v>
      </c>
      <c r="BU73" s="1868">
        <f>'Total - Traffic %'!BU73</f>
        <v>0</v>
      </c>
      <c r="BV73" s="1867">
        <f>'Total - Traffic %'!BV73</f>
        <v>0</v>
      </c>
      <c r="BW73" s="1869">
        <f>'Total - Traffic %'!BW73</f>
        <v>1</v>
      </c>
      <c r="BY73" s="3826"/>
      <c r="BZ73" s="1750" t="s">
        <v>1422</v>
      </c>
      <c r="CA73" s="1863">
        <f>'Total - Traffic %'!CA73</f>
        <v>4.2999999999999997E-2</v>
      </c>
      <c r="CB73" s="1864">
        <f>'Total - Traffic %'!CB73</f>
        <v>0.55600000000000005</v>
      </c>
      <c r="CC73" s="1865">
        <f>'Total - Traffic %'!CC73</f>
        <v>0.40100000000000002</v>
      </c>
      <c r="CD73" s="1863">
        <f>'Total - Traffic %'!CD73</f>
        <v>0</v>
      </c>
      <c r="CE73" s="1864">
        <f>'Total - Traffic %'!CE73</f>
        <v>0</v>
      </c>
      <c r="CF73" s="1865">
        <f>'Total - Traffic %'!CF73</f>
        <v>0</v>
      </c>
      <c r="CG73" s="1866">
        <f>'Total - Traffic %'!CG73</f>
        <v>0</v>
      </c>
      <c r="CH73" s="1867">
        <f>'Total - Traffic %'!CH73</f>
        <v>0</v>
      </c>
      <c r="CI73" s="1866">
        <f>'Total - Traffic %'!CI73</f>
        <v>0</v>
      </c>
      <c r="CJ73" s="1868">
        <f>'Total - Traffic %'!CJ73</f>
        <v>0</v>
      </c>
      <c r="CK73" s="1867">
        <f>'Total - Traffic %'!CK73</f>
        <v>0</v>
      </c>
      <c r="CL73" s="1869">
        <f>'Total - Traffic %'!CL73</f>
        <v>1</v>
      </c>
    </row>
    <row r="74" spans="1:90" s="1728" customFormat="1" ht="13.5" customHeight="1" thickTop="1">
      <c r="A74" s="3840" t="s">
        <v>1124</v>
      </c>
      <c r="B74" s="3841"/>
      <c r="C74" s="1733">
        <v>1</v>
      </c>
      <c r="D74" s="1849">
        <f>'Total - Traffic %'!D74</f>
        <v>0</v>
      </c>
      <c r="E74" s="1850">
        <f>'Total - Traffic %'!E74</f>
        <v>0</v>
      </c>
      <c r="F74" s="1851">
        <f>'Total - Traffic %'!F74</f>
        <v>0</v>
      </c>
      <c r="G74" s="1849">
        <f>'Total - Traffic %'!G74</f>
        <v>3.0000000000000001E-3</v>
      </c>
      <c r="H74" s="1850">
        <f>'Total - Traffic %'!H74</f>
        <v>0.03</v>
      </c>
      <c r="I74" s="1851">
        <f>'Total - Traffic %'!I74</f>
        <v>9.5000000000000001E-2</v>
      </c>
      <c r="J74" s="1852">
        <f>'Total - Traffic %'!J74</f>
        <v>3.5000000000000003E-2</v>
      </c>
      <c r="K74" s="1853">
        <f>'Total - Traffic %'!K74</f>
        <v>9.7000000000000003E-2</v>
      </c>
      <c r="L74" s="1852">
        <f>'Total - Traffic %'!L74</f>
        <v>8.9999999999999993E-3</v>
      </c>
      <c r="M74" s="1854">
        <f>'Total - Traffic %'!M74</f>
        <v>0.107</v>
      </c>
      <c r="N74" s="1853">
        <f>'Total - Traffic %'!N74</f>
        <v>9.2999999999999999E-2</v>
      </c>
      <c r="O74" s="1855">
        <f>'Total - Traffic %'!O74</f>
        <v>0.46899999999999997</v>
      </c>
      <c r="Q74" s="3824" t="s">
        <v>1124</v>
      </c>
      <c r="R74" s="1733">
        <v>1</v>
      </c>
      <c r="S74" s="1849">
        <f>'Total - Traffic %'!S74</f>
        <v>0</v>
      </c>
      <c r="T74" s="1850">
        <f>'Total - Traffic %'!T74</f>
        <v>0</v>
      </c>
      <c r="U74" s="1851">
        <f>'Total - Traffic %'!U74</f>
        <v>0</v>
      </c>
      <c r="V74" s="1849">
        <f>'Total - Traffic %'!V74</f>
        <v>3.0000000000000001E-3</v>
      </c>
      <c r="W74" s="1850">
        <f>'Total - Traffic %'!W74</f>
        <v>2.9000000000000001E-2</v>
      </c>
      <c r="X74" s="1851">
        <f>'Total - Traffic %'!X74</f>
        <v>9.6000000000000002E-2</v>
      </c>
      <c r="Y74" s="1852">
        <f>'Total - Traffic %'!Y74</f>
        <v>3.5000000000000003E-2</v>
      </c>
      <c r="Z74" s="1853">
        <f>'Total - Traffic %'!Z74</f>
        <v>9.7000000000000003E-2</v>
      </c>
      <c r="AA74" s="1852">
        <f>'Total - Traffic %'!AA74</f>
        <v>8.0000000000000002E-3</v>
      </c>
      <c r="AB74" s="1854">
        <f>'Total - Traffic %'!AB74</f>
        <v>0.107</v>
      </c>
      <c r="AC74" s="1853">
        <f>'Total - Traffic %'!AC74</f>
        <v>9.2999999999999999E-2</v>
      </c>
      <c r="AD74" s="1855">
        <f>'Total - Traffic %'!AD74</f>
        <v>0.46700000000000003</v>
      </c>
      <c r="AF74" s="3824" t="s">
        <v>1124</v>
      </c>
      <c r="AG74" s="1733">
        <v>1</v>
      </c>
      <c r="AH74" s="1849">
        <f>'Total - Traffic %'!AH74</f>
        <v>0</v>
      </c>
      <c r="AI74" s="1850">
        <f>'Total - Traffic %'!AI74</f>
        <v>0</v>
      </c>
      <c r="AJ74" s="1851">
        <f>'Total - Traffic %'!AJ74</f>
        <v>0</v>
      </c>
      <c r="AK74" s="1849">
        <f>'Total - Traffic %'!AK74</f>
        <v>3.0000000000000001E-3</v>
      </c>
      <c r="AL74" s="1850">
        <f>'Total - Traffic %'!AL74</f>
        <v>2.4E-2</v>
      </c>
      <c r="AM74" s="1851">
        <f>'Total - Traffic %'!AM74</f>
        <v>9.1999999999999998E-2</v>
      </c>
      <c r="AN74" s="1852">
        <f>'Total - Traffic %'!AN74</f>
        <v>0.03</v>
      </c>
      <c r="AO74" s="1853">
        <f>'Total - Traffic %'!AO74</f>
        <v>9.4E-2</v>
      </c>
      <c r="AP74" s="1852">
        <f>'Total - Traffic %'!AP74</f>
        <v>8.0000000000000002E-3</v>
      </c>
      <c r="AQ74" s="1854">
        <f>'Total - Traffic %'!AQ74</f>
        <v>9.6000000000000002E-2</v>
      </c>
      <c r="AR74" s="1853">
        <f>'Total - Traffic %'!AR74</f>
        <v>0.09</v>
      </c>
      <c r="AS74" s="1855">
        <f>'Total - Traffic %'!AS74</f>
        <v>0.437</v>
      </c>
      <c r="AU74" s="3824" t="s">
        <v>1124</v>
      </c>
      <c r="AV74" s="1733">
        <v>1</v>
      </c>
      <c r="AW74" s="1849">
        <f>'Total - Traffic %'!AW74</f>
        <v>0</v>
      </c>
      <c r="AX74" s="1850">
        <f>'Total - Traffic %'!AX74</f>
        <v>0</v>
      </c>
      <c r="AY74" s="1851">
        <f>'Total - Traffic %'!AY74</f>
        <v>0</v>
      </c>
      <c r="AZ74" s="1849">
        <f>'Total - Traffic %'!AZ74</f>
        <v>2E-3</v>
      </c>
      <c r="BA74" s="1850">
        <f>'Total - Traffic %'!BA74</f>
        <v>2.1999999999999999E-2</v>
      </c>
      <c r="BB74" s="1851">
        <f>'Total - Traffic %'!BB74</f>
        <v>8.5999999999999993E-2</v>
      </c>
      <c r="BC74" s="1852">
        <f>'Total - Traffic %'!BC74</f>
        <v>2.7E-2</v>
      </c>
      <c r="BD74" s="1853">
        <f>'Total - Traffic %'!BD74</f>
        <v>9.1999999999999998E-2</v>
      </c>
      <c r="BE74" s="1852">
        <f>'Total - Traffic %'!BE74</f>
        <v>6.0000000000000001E-3</v>
      </c>
      <c r="BF74" s="1854">
        <f>'Total - Traffic %'!BF74</f>
        <v>9.0999999999999998E-2</v>
      </c>
      <c r="BG74" s="1853">
        <f>'Total - Traffic %'!BG74</f>
        <v>8.7999999999999995E-2</v>
      </c>
      <c r="BH74" s="1855">
        <f>'Total - Traffic %'!BH74</f>
        <v>0.41599999999999998</v>
      </c>
      <c r="BJ74" s="3824" t="s">
        <v>1124</v>
      </c>
      <c r="BK74" s="1733">
        <v>1</v>
      </c>
      <c r="BL74" s="1849">
        <f>'Total - Traffic %'!BL74</f>
        <v>0</v>
      </c>
      <c r="BM74" s="1850">
        <f>'Total - Traffic %'!BM74</f>
        <v>0</v>
      </c>
      <c r="BN74" s="1851">
        <f>'Total - Traffic %'!BN74</f>
        <v>0</v>
      </c>
      <c r="BO74" s="1849">
        <f>'Total - Traffic %'!BO74</f>
        <v>2E-3</v>
      </c>
      <c r="BP74" s="1850">
        <f>'Total - Traffic %'!BP74</f>
        <v>2.1999999999999999E-2</v>
      </c>
      <c r="BQ74" s="1851">
        <f>'Total - Traffic %'!BQ74</f>
        <v>8.4000000000000005E-2</v>
      </c>
      <c r="BR74" s="1852">
        <f>'Total - Traffic %'!BR74</f>
        <v>2.4E-2</v>
      </c>
      <c r="BS74" s="1853">
        <f>'Total - Traffic %'!BS74</f>
        <v>9.1999999999999998E-2</v>
      </c>
      <c r="BT74" s="1852">
        <f>'Total - Traffic %'!BT74</f>
        <v>6.0000000000000001E-3</v>
      </c>
      <c r="BU74" s="1854">
        <f>'Total - Traffic %'!BU74</f>
        <v>8.7999999999999995E-2</v>
      </c>
      <c r="BV74" s="1853">
        <f>'Total - Traffic %'!BV74</f>
        <v>8.7999999999999995E-2</v>
      </c>
      <c r="BW74" s="1855">
        <f>'Total - Traffic %'!BW74</f>
        <v>0.40699999999999997</v>
      </c>
      <c r="BY74" s="3824" t="s">
        <v>1124</v>
      </c>
      <c r="BZ74" s="1733">
        <v>1</v>
      </c>
      <c r="CA74" s="1849">
        <f>'Total - Traffic %'!CA74</f>
        <v>0</v>
      </c>
      <c r="CB74" s="1850">
        <f>'Total - Traffic %'!CB74</f>
        <v>0</v>
      </c>
      <c r="CC74" s="1851">
        <f>'Total - Traffic %'!CC74</f>
        <v>0</v>
      </c>
      <c r="CD74" s="1849">
        <f>'Total - Traffic %'!CD74</f>
        <v>2E-3</v>
      </c>
      <c r="CE74" s="1850">
        <f>'Total - Traffic %'!CE74</f>
        <v>0.02</v>
      </c>
      <c r="CF74" s="1851">
        <f>'Total - Traffic %'!CF74</f>
        <v>8.4000000000000005E-2</v>
      </c>
      <c r="CG74" s="1852">
        <f>'Total - Traffic %'!CG74</f>
        <v>2.3E-2</v>
      </c>
      <c r="CH74" s="1853">
        <f>'Total - Traffic %'!CH74</f>
        <v>9.0999999999999998E-2</v>
      </c>
      <c r="CI74" s="1852">
        <f>'Total - Traffic %'!CI74</f>
        <v>6.0000000000000001E-3</v>
      </c>
      <c r="CJ74" s="1854">
        <f>'Total - Traffic %'!CJ74</f>
        <v>8.3000000000000004E-2</v>
      </c>
      <c r="CK74" s="1853">
        <f>'Total - Traffic %'!CK74</f>
        <v>8.5999999999999993E-2</v>
      </c>
      <c r="CL74" s="1855">
        <f>'Total - Traffic %'!CL74</f>
        <v>0.39600000000000002</v>
      </c>
    </row>
    <row r="75" spans="1:90" s="1728" customFormat="1" ht="13.5" customHeight="1">
      <c r="A75" s="3842"/>
      <c r="B75" s="3843"/>
      <c r="C75" s="1741">
        <v>2</v>
      </c>
      <c r="D75" s="1856">
        <f>'Total - Traffic %'!D75</f>
        <v>0</v>
      </c>
      <c r="E75" s="1857">
        <f>'Total - Traffic %'!E75</f>
        <v>0</v>
      </c>
      <c r="F75" s="1858">
        <f>'Total - Traffic %'!F75</f>
        <v>0</v>
      </c>
      <c r="G75" s="1856">
        <f>'Total - Traffic %'!G75</f>
        <v>5.0000000000000001E-3</v>
      </c>
      <c r="H75" s="1857">
        <f>'Total - Traffic %'!H75</f>
        <v>5.8999999999999997E-2</v>
      </c>
      <c r="I75" s="1858">
        <f>'Total - Traffic %'!I75</f>
        <v>4.3999999999999997E-2</v>
      </c>
      <c r="J75" s="1859">
        <f>'Total - Traffic %'!J75</f>
        <v>0.06</v>
      </c>
      <c r="K75" s="1860">
        <f>'Total - Traffic %'!K75</f>
        <v>4.2000000000000003E-2</v>
      </c>
      <c r="L75" s="1859">
        <f>'Total - Traffic %'!L75</f>
        <v>2.5000000000000001E-2</v>
      </c>
      <c r="M75" s="1861">
        <f>'Total - Traffic %'!M75</f>
        <v>5.7000000000000002E-2</v>
      </c>
      <c r="N75" s="1860">
        <f>'Total - Traffic %'!N75</f>
        <v>1.0999999999999999E-2</v>
      </c>
      <c r="O75" s="1862">
        <f>'Total - Traffic %'!O75</f>
        <v>0.30199999999999999</v>
      </c>
      <c r="Q75" s="3825"/>
      <c r="R75" s="1741">
        <v>2</v>
      </c>
      <c r="S75" s="1856">
        <f>'Total - Traffic %'!S75</f>
        <v>0</v>
      </c>
      <c r="T75" s="1857">
        <f>'Total - Traffic %'!T75</f>
        <v>0</v>
      </c>
      <c r="U75" s="1858">
        <f>'Total - Traffic %'!U75</f>
        <v>0</v>
      </c>
      <c r="V75" s="1856">
        <f>'Total - Traffic %'!V75</f>
        <v>4.0000000000000001E-3</v>
      </c>
      <c r="W75" s="1857">
        <f>'Total - Traffic %'!W75</f>
        <v>5.8999999999999997E-2</v>
      </c>
      <c r="X75" s="1858">
        <f>'Total - Traffic %'!X75</f>
        <v>4.2999999999999997E-2</v>
      </c>
      <c r="Y75" s="1859">
        <f>'Total - Traffic %'!Y75</f>
        <v>5.8000000000000003E-2</v>
      </c>
      <c r="Z75" s="1860">
        <f>'Total - Traffic %'!Z75</f>
        <v>4.1000000000000002E-2</v>
      </c>
      <c r="AA75" s="1859">
        <f>'Total - Traffic %'!AA75</f>
        <v>2.4E-2</v>
      </c>
      <c r="AB75" s="1861">
        <f>'Total - Traffic %'!AB75</f>
        <v>5.8999999999999997E-2</v>
      </c>
      <c r="AC75" s="1860">
        <f>'Total - Traffic %'!AC75</f>
        <v>1.2E-2</v>
      </c>
      <c r="AD75" s="1862">
        <f>'Total - Traffic %'!AD75</f>
        <v>0.29899999999999999</v>
      </c>
      <c r="AF75" s="3825"/>
      <c r="AG75" s="1741">
        <v>2</v>
      </c>
      <c r="AH75" s="1856">
        <f>'Total - Traffic %'!AH75</f>
        <v>0</v>
      </c>
      <c r="AI75" s="1857">
        <f>'Total - Traffic %'!AI75</f>
        <v>0</v>
      </c>
      <c r="AJ75" s="1858">
        <f>'Total - Traffic %'!AJ75</f>
        <v>0</v>
      </c>
      <c r="AK75" s="1856">
        <f>'Total - Traffic %'!AK75</f>
        <v>4.0000000000000001E-3</v>
      </c>
      <c r="AL75" s="1857">
        <f>'Total - Traffic %'!AL75</f>
        <v>5.5E-2</v>
      </c>
      <c r="AM75" s="1858">
        <f>'Total - Traffic %'!AM75</f>
        <v>4.2999999999999997E-2</v>
      </c>
      <c r="AN75" s="1859">
        <f>'Total - Traffic %'!AN75</f>
        <v>5.2999999999999999E-2</v>
      </c>
      <c r="AO75" s="1860">
        <f>'Total - Traffic %'!AO75</f>
        <v>4.2000000000000003E-2</v>
      </c>
      <c r="AP75" s="1859">
        <f>'Total - Traffic %'!AP75</f>
        <v>1.7999999999999999E-2</v>
      </c>
      <c r="AQ75" s="1861">
        <f>'Total - Traffic %'!AQ75</f>
        <v>6.9000000000000006E-2</v>
      </c>
      <c r="AR75" s="1860">
        <f>'Total - Traffic %'!AR75</f>
        <v>1.2999999999999999E-2</v>
      </c>
      <c r="AS75" s="1862">
        <f>'Total - Traffic %'!AS75</f>
        <v>0.29799999999999999</v>
      </c>
      <c r="AU75" s="3825"/>
      <c r="AV75" s="1741">
        <v>2</v>
      </c>
      <c r="AW75" s="1856">
        <f>'Total - Traffic %'!AW75</f>
        <v>0</v>
      </c>
      <c r="AX75" s="1857">
        <f>'Total - Traffic %'!AX75</f>
        <v>0</v>
      </c>
      <c r="AY75" s="1858">
        <f>'Total - Traffic %'!AY75</f>
        <v>0</v>
      </c>
      <c r="AZ75" s="1856">
        <f>'Total - Traffic %'!AZ75</f>
        <v>4.0000000000000001E-3</v>
      </c>
      <c r="BA75" s="1857">
        <f>'Total - Traffic %'!BA75</f>
        <v>0.05</v>
      </c>
      <c r="BB75" s="1858">
        <f>'Total - Traffic %'!BB75</f>
        <v>4.8000000000000001E-2</v>
      </c>
      <c r="BC75" s="1859">
        <f>'Total - Traffic %'!BC75</f>
        <v>5.1999999999999998E-2</v>
      </c>
      <c r="BD75" s="1860">
        <f>'Total - Traffic %'!BD75</f>
        <v>4.1000000000000002E-2</v>
      </c>
      <c r="BE75" s="1859">
        <f>'Total - Traffic %'!BE75</f>
        <v>1.7999999999999999E-2</v>
      </c>
      <c r="BF75" s="1861">
        <f>'Total - Traffic %'!BF75</f>
        <v>7.0000000000000007E-2</v>
      </c>
      <c r="BG75" s="1860">
        <f>'Total - Traffic %'!BG75</f>
        <v>1.4E-2</v>
      </c>
      <c r="BH75" s="1862">
        <f>'Total - Traffic %'!BH75</f>
        <v>0.29799999999999999</v>
      </c>
      <c r="BJ75" s="3825"/>
      <c r="BK75" s="1741">
        <v>2</v>
      </c>
      <c r="BL75" s="1856">
        <f>'Total - Traffic %'!BL75</f>
        <v>0</v>
      </c>
      <c r="BM75" s="1857">
        <f>'Total - Traffic %'!BM75</f>
        <v>0</v>
      </c>
      <c r="BN75" s="1858">
        <f>'Total - Traffic %'!BN75</f>
        <v>0</v>
      </c>
      <c r="BO75" s="1856">
        <f>'Total - Traffic %'!BO75</f>
        <v>4.0000000000000001E-3</v>
      </c>
      <c r="BP75" s="1857">
        <f>'Total - Traffic %'!BP75</f>
        <v>4.8000000000000001E-2</v>
      </c>
      <c r="BQ75" s="1858">
        <f>'Total - Traffic %'!BQ75</f>
        <v>4.7E-2</v>
      </c>
      <c r="BR75" s="1859">
        <f>'Total - Traffic %'!BR75</f>
        <v>5.0999999999999997E-2</v>
      </c>
      <c r="BS75" s="1860">
        <f>'Total - Traffic %'!BS75</f>
        <v>4.1000000000000002E-2</v>
      </c>
      <c r="BT75" s="1859">
        <f>'Total - Traffic %'!BT75</f>
        <v>1.4999999999999999E-2</v>
      </c>
      <c r="BU75" s="1861">
        <f>'Total - Traffic %'!BU75</f>
        <v>7.0000000000000007E-2</v>
      </c>
      <c r="BV75" s="1860">
        <f>'Total - Traffic %'!BV75</f>
        <v>1.4E-2</v>
      </c>
      <c r="BW75" s="1862">
        <f>'Total - Traffic %'!BW75</f>
        <v>0.28999999999999998</v>
      </c>
      <c r="BY75" s="3825"/>
      <c r="BZ75" s="1741">
        <v>2</v>
      </c>
      <c r="CA75" s="1856">
        <f>'Total - Traffic %'!CA75</f>
        <v>0</v>
      </c>
      <c r="CB75" s="1857">
        <f>'Total - Traffic %'!CB75</f>
        <v>0</v>
      </c>
      <c r="CC75" s="1858">
        <f>'Total - Traffic %'!CC75</f>
        <v>0</v>
      </c>
      <c r="CD75" s="1856">
        <f>'Total - Traffic %'!CD75</f>
        <v>4.0000000000000001E-3</v>
      </c>
      <c r="CE75" s="1857">
        <f>'Total - Traffic %'!CE75</f>
        <v>4.1000000000000002E-2</v>
      </c>
      <c r="CF75" s="1858">
        <f>'Total - Traffic %'!CF75</f>
        <v>4.3999999999999997E-2</v>
      </c>
      <c r="CG75" s="1859">
        <f>'Total - Traffic %'!CG75</f>
        <v>4.4999999999999998E-2</v>
      </c>
      <c r="CH75" s="1860">
        <f>'Total - Traffic %'!CH75</f>
        <v>4.1000000000000002E-2</v>
      </c>
      <c r="CI75" s="1859">
        <f>'Total - Traffic %'!CI75</f>
        <v>1.2999999999999999E-2</v>
      </c>
      <c r="CJ75" s="1861">
        <f>'Total - Traffic %'!CJ75</f>
        <v>7.2999999999999995E-2</v>
      </c>
      <c r="CK75" s="1860">
        <f>'Total - Traffic %'!CK75</f>
        <v>1.4999999999999999E-2</v>
      </c>
      <c r="CL75" s="1862">
        <f>'Total - Traffic %'!CL75</f>
        <v>0.27500000000000002</v>
      </c>
    </row>
    <row r="76" spans="1:90" s="1728" customFormat="1" ht="13.5" customHeight="1">
      <c r="A76" s="3842"/>
      <c r="B76" s="3843"/>
      <c r="C76" s="1741">
        <v>3</v>
      </c>
      <c r="D76" s="1856">
        <f>'Total - Traffic %'!D76</f>
        <v>0</v>
      </c>
      <c r="E76" s="1857">
        <f>'Total - Traffic %'!E76</f>
        <v>0</v>
      </c>
      <c r="F76" s="1858">
        <f>'Total - Traffic %'!F76</f>
        <v>0</v>
      </c>
      <c r="G76" s="1856">
        <f>'Total - Traffic %'!G76</f>
        <v>1E-3</v>
      </c>
      <c r="H76" s="1857">
        <f>'Total - Traffic %'!H76</f>
        <v>5.1999999999999998E-2</v>
      </c>
      <c r="I76" s="1858">
        <f>'Total - Traffic %'!I76</f>
        <v>2.1000000000000001E-2</v>
      </c>
      <c r="J76" s="1859">
        <f>'Total - Traffic %'!J76</f>
        <v>2.8000000000000001E-2</v>
      </c>
      <c r="K76" s="1860">
        <f>'Total - Traffic %'!K76</f>
        <v>8.9999999999999993E-3</v>
      </c>
      <c r="L76" s="1859">
        <f>'Total - Traffic %'!L76</f>
        <v>8.9999999999999993E-3</v>
      </c>
      <c r="M76" s="1861">
        <f>'Total - Traffic %'!M76</f>
        <v>1.2999999999999999E-2</v>
      </c>
      <c r="N76" s="1860">
        <f>'Total - Traffic %'!N76</f>
        <v>2E-3</v>
      </c>
      <c r="O76" s="1862">
        <f>'Total - Traffic %'!O76</f>
        <v>0.13600000000000001</v>
      </c>
      <c r="Q76" s="3825"/>
      <c r="R76" s="1741">
        <v>3</v>
      </c>
      <c r="S76" s="1856">
        <f>'Total - Traffic %'!S76</f>
        <v>0</v>
      </c>
      <c r="T76" s="1857">
        <f>'Total - Traffic %'!T76</f>
        <v>0</v>
      </c>
      <c r="U76" s="1858">
        <f>'Total - Traffic %'!U76</f>
        <v>0</v>
      </c>
      <c r="V76" s="1856">
        <f>'Total - Traffic %'!V76</f>
        <v>2E-3</v>
      </c>
      <c r="W76" s="1857">
        <f>'Total - Traffic %'!W76</f>
        <v>5.0999999999999997E-2</v>
      </c>
      <c r="X76" s="1858">
        <f>'Total - Traffic %'!X76</f>
        <v>2.1999999999999999E-2</v>
      </c>
      <c r="Y76" s="1859">
        <f>'Total - Traffic %'!Y76</f>
        <v>0.03</v>
      </c>
      <c r="Z76" s="1860">
        <f>'Total - Traffic %'!Z76</f>
        <v>8.0000000000000002E-3</v>
      </c>
      <c r="AA76" s="1859">
        <f>'Total - Traffic %'!AA76</f>
        <v>1.0999999999999999E-2</v>
      </c>
      <c r="AB76" s="1861">
        <f>'Total - Traffic %'!AB76</f>
        <v>1.0999999999999999E-2</v>
      </c>
      <c r="AC76" s="1860">
        <f>'Total - Traffic %'!AC76</f>
        <v>2E-3</v>
      </c>
      <c r="AD76" s="1862">
        <f>'Total - Traffic %'!AD76</f>
        <v>0.13800000000000001</v>
      </c>
      <c r="AF76" s="3825"/>
      <c r="AG76" s="1741">
        <v>3</v>
      </c>
      <c r="AH76" s="1856">
        <f>'Total - Traffic %'!AH76</f>
        <v>0</v>
      </c>
      <c r="AI76" s="1857">
        <f>'Total - Traffic %'!AI76</f>
        <v>0</v>
      </c>
      <c r="AJ76" s="1858">
        <f>'Total - Traffic %'!AJ76</f>
        <v>0</v>
      </c>
      <c r="AK76" s="1856">
        <f>'Total - Traffic %'!AK76</f>
        <v>2E-3</v>
      </c>
      <c r="AL76" s="1857">
        <f>'Total - Traffic %'!AL76</f>
        <v>5.0999999999999997E-2</v>
      </c>
      <c r="AM76" s="1858">
        <f>'Total - Traffic %'!AM76</f>
        <v>2.1999999999999999E-2</v>
      </c>
      <c r="AN76" s="1859">
        <f>'Total - Traffic %'!AN76</f>
        <v>3.5999999999999997E-2</v>
      </c>
      <c r="AO76" s="1860">
        <f>'Total - Traffic %'!AO76</f>
        <v>8.0000000000000002E-3</v>
      </c>
      <c r="AP76" s="1859">
        <f>'Total - Traffic %'!AP76</f>
        <v>1.7000000000000001E-2</v>
      </c>
      <c r="AQ76" s="1861">
        <f>'Total - Traffic %'!AQ76</f>
        <v>1.2E-2</v>
      </c>
      <c r="AR76" s="1860">
        <f>'Total - Traffic %'!AR76</f>
        <v>3.0000000000000001E-3</v>
      </c>
      <c r="AS76" s="1862">
        <f>'Total - Traffic %'!AS76</f>
        <v>0.151</v>
      </c>
      <c r="AU76" s="3825"/>
      <c r="AV76" s="1741">
        <v>3</v>
      </c>
      <c r="AW76" s="1856">
        <f>'Total - Traffic %'!AW76</f>
        <v>0</v>
      </c>
      <c r="AX76" s="1857">
        <f>'Total - Traffic %'!AX76</f>
        <v>0</v>
      </c>
      <c r="AY76" s="1858">
        <f>'Total - Traffic %'!AY76</f>
        <v>0</v>
      </c>
      <c r="AZ76" s="1856">
        <f>'Total - Traffic %'!AZ76</f>
        <v>3.0000000000000001E-3</v>
      </c>
      <c r="BA76" s="1857">
        <f>'Total - Traffic %'!BA76</f>
        <v>5.5E-2</v>
      </c>
      <c r="BB76" s="1858">
        <f>'Total - Traffic %'!BB76</f>
        <v>2.3E-2</v>
      </c>
      <c r="BC76" s="1859">
        <f>'Total - Traffic %'!BC76</f>
        <v>3.6999999999999998E-2</v>
      </c>
      <c r="BD76" s="1860">
        <f>'Total - Traffic %'!BD76</f>
        <v>8.9999999999999993E-3</v>
      </c>
      <c r="BE76" s="1859">
        <f>'Total - Traffic %'!BE76</f>
        <v>1.7999999999999999E-2</v>
      </c>
      <c r="BF76" s="1861">
        <f>'Total - Traffic %'!BF76</f>
        <v>1.2999999999999999E-2</v>
      </c>
      <c r="BG76" s="1860">
        <f>'Total - Traffic %'!BG76</f>
        <v>3.0000000000000001E-3</v>
      </c>
      <c r="BH76" s="1862">
        <f>'Total - Traffic %'!BH76</f>
        <v>0.161</v>
      </c>
      <c r="BJ76" s="3825"/>
      <c r="BK76" s="1741">
        <v>3</v>
      </c>
      <c r="BL76" s="1856">
        <f>'Total - Traffic %'!BL76</f>
        <v>0</v>
      </c>
      <c r="BM76" s="1857">
        <f>'Total - Traffic %'!BM76</f>
        <v>0</v>
      </c>
      <c r="BN76" s="1858">
        <f>'Total - Traffic %'!BN76</f>
        <v>0</v>
      </c>
      <c r="BO76" s="1856">
        <f>'Total - Traffic %'!BO76</f>
        <v>3.0000000000000001E-3</v>
      </c>
      <c r="BP76" s="1857">
        <f>'Total - Traffic %'!BP76</f>
        <v>5.1999999999999998E-2</v>
      </c>
      <c r="BQ76" s="1858">
        <f>'Total - Traffic %'!BQ76</f>
        <v>2.4E-2</v>
      </c>
      <c r="BR76" s="1859">
        <f>'Total - Traffic %'!BR76</f>
        <v>3.7999999999999999E-2</v>
      </c>
      <c r="BS76" s="1860">
        <f>'Total - Traffic %'!BS76</f>
        <v>8.9999999999999993E-3</v>
      </c>
      <c r="BT76" s="1859">
        <f>'Total - Traffic %'!BT76</f>
        <v>2.1000000000000001E-2</v>
      </c>
      <c r="BU76" s="1861">
        <f>'Total - Traffic %'!BU76</f>
        <v>1.4999999999999999E-2</v>
      </c>
      <c r="BV76" s="1860">
        <f>'Total - Traffic %'!BV76</f>
        <v>4.0000000000000001E-3</v>
      </c>
      <c r="BW76" s="1862">
        <f>'Total - Traffic %'!BW76</f>
        <v>0.16600000000000001</v>
      </c>
      <c r="BY76" s="3825"/>
      <c r="BZ76" s="1741">
        <v>3</v>
      </c>
      <c r="CA76" s="1856">
        <f>'Total - Traffic %'!CA76</f>
        <v>0</v>
      </c>
      <c r="CB76" s="1857">
        <f>'Total - Traffic %'!CB76</f>
        <v>0</v>
      </c>
      <c r="CC76" s="1858">
        <f>'Total - Traffic %'!CC76</f>
        <v>0</v>
      </c>
      <c r="CD76" s="1856">
        <f>'Total - Traffic %'!CD76</f>
        <v>3.0000000000000001E-3</v>
      </c>
      <c r="CE76" s="1857">
        <f>'Total - Traffic %'!CE76</f>
        <v>5.7000000000000002E-2</v>
      </c>
      <c r="CF76" s="1858">
        <f>'Total - Traffic %'!CF76</f>
        <v>2.4E-2</v>
      </c>
      <c r="CG76" s="1859">
        <f>'Total - Traffic %'!CG76</f>
        <v>4.2000000000000003E-2</v>
      </c>
      <c r="CH76" s="1860">
        <f>'Total - Traffic %'!CH76</f>
        <v>8.9999999999999993E-3</v>
      </c>
      <c r="CI76" s="1859">
        <f>'Total - Traffic %'!CI76</f>
        <v>2.1999999999999999E-2</v>
      </c>
      <c r="CJ76" s="1861">
        <f>'Total - Traffic %'!CJ76</f>
        <v>1.7000000000000001E-2</v>
      </c>
      <c r="CK76" s="1860">
        <f>'Total - Traffic %'!CK76</f>
        <v>4.0000000000000001E-3</v>
      </c>
      <c r="CL76" s="1862">
        <f>'Total - Traffic %'!CL76</f>
        <v>0.17799999999999999</v>
      </c>
    </row>
    <row r="77" spans="1:90" s="1728" customFormat="1" ht="13.5" customHeight="1">
      <c r="A77" s="3842"/>
      <c r="B77" s="3843"/>
      <c r="C77" s="1741">
        <v>4</v>
      </c>
      <c r="D77" s="1856">
        <f>'Total - Traffic %'!D77</f>
        <v>0</v>
      </c>
      <c r="E77" s="1857">
        <f>'Total - Traffic %'!E77</f>
        <v>0</v>
      </c>
      <c r="F77" s="1858">
        <f>'Total - Traffic %'!F77</f>
        <v>0</v>
      </c>
      <c r="G77" s="1856">
        <f>'Total - Traffic %'!G77</f>
        <v>0</v>
      </c>
      <c r="H77" s="1857">
        <f>'Total - Traffic %'!H77</f>
        <v>4.5999999999999999E-2</v>
      </c>
      <c r="I77" s="1858">
        <f>'Total - Traffic %'!I77</f>
        <v>2.1999999999999999E-2</v>
      </c>
      <c r="J77" s="1859">
        <f>'Total - Traffic %'!J77</f>
        <v>1.6E-2</v>
      </c>
      <c r="K77" s="1860">
        <f>'Total - Traffic %'!K77</f>
        <v>4.0000000000000001E-3</v>
      </c>
      <c r="L77" s="1859">
        <f>'Total - Traffic %'!L77</f>
        <v>0</v>
      </c>
      <c r="M77" s="1861">
        <f>'Total - Traffic %'!M77</f>
        <v>1E-3</v>
      </c>
      <c r="N77" s="1860">
        <f>'Total - Traffic %'!N77</f>
        <v>2E-3</v>
      </c>
      <c r="O77" s="1862">
        <f>'Total - Traffic %'!O77</f>
        <v>9.0999999999999998E-2</v>
      </c>
      <c r="Q77" s="3825"/>
      <c r="R77" s="1741">
        <v>4</v>
      </c>
      <c r="S77" s="1856">
        <f>'Total - Traffic %'!S77</f>
        <v>0</v>
      </c>
      <c r="T77" s="1857">
        <f>'Total - Traffic %'!T77</f>
        <v>0</v>
      </c>
      <c r="U77" s="1858">
        <f>'Total - Traffic %'!U77</f>
        <v>0</v>
      </c>
      <c r="V77" s="1856">
        <f>'Total - Traffic %'!V77</f>
        <v>0</v>
      </c>
      <c r="W77" s="1857">
        <f>'Total - Traffic %'!W77</f>
        <v>4.1000000000000002E-2</v>
      </c>
      <c r="X77" s="1858">
        <f>'Total - Traffic %'!X77</f>
        <v>1.4999999999999999E-2</v>
      </c>
      <c r="Y77" s="1859">
        <f>'Total - Traffic %'!Y77</f>
        <v>1.6E-2</v>
      </c>
      <c r="Z77" s="1860">
        <f>'Total - Traffic %'!Z77</f>
        <v>4.0000000000000001E-3</v>
      </c>
      <c r="AA77" s="1859">
        <f>'Total - Traffic %'!AA77</f>
        <v>0</v>
      </c>
      <c r="AB77" s="1861">
        <f>'Total - Traffic %'!AB77</f>
        <v>2E-3</v>
      </c>
      <c r="AC77" s="1860">
        <f>'Total - Traffic %'!AC77</f>
        <v>2E-3</v>
      </c>
      <c r="AD77" s="1862">
        <f>'Total - Traffic %'!AD77</f>
        <v>7.9000000000000001E-2</v>
      </c>
      <c r="AF77" s="3825"/>
      <c r="AG77" s="1741">
        <v>4</v>
      </c>
      <c r="AH77" s="1856">
        <f>'Total - Traffic %'!AH77</f>
        <v>0</v>
      </c>
      <c r="AI77" s="1857">
        <f>'Total - Traffic %'!AI77</f>
        <v>0</v>
      </c>
      <c r="AJ77" s="1858">
        <f>'Total - Traffic %'!AJ77</f>
        <v>0</v>
      </c>
      <c r="AK77" s="1856">
        <f>'Total - Traffic %'!AK77</f>
        <v>0</v>
      </c>
      <c r="AL77" s="1857">
        <f>'Total - Traffic %'!AL77</f>
        <v>3.3000000000000002E-2</v>
      </c>
      <c r="AM77" s="1858">
        <f>'Total - Traffic %'!AM77</f>
        <v>1.4999999999999999E-2</v>
      </c>
      <c r="AN77" s="1859">
        <f>'Total - Traffic %'!AN77</f>
        <v>1.4E-2</v>
      </c>
      <c r="AO77" s="1860">
        <f>'Total - Traffic %'!AO77</f>
        <v>4.0000000000000001E-3</v>
      </c>
      <c r="AP77" s="1859">
        <f>'Total - Traffic %'!AP77</f>
        <v>1E-3</v>
      </c>
      <c r="AQ77" s="1861">
        <f>'Total - Traffic %'!AQ77</f>
        <v>2E-3</v>
      </c>
      <c r="AR77" s="1860">
        <f>'Total - Traffic %'!AR77</f>
        <v>2E-3</v>
      </c>
      <c r="AS77" s="1862">
        <f>'Total - Traffic %'!AS77</f>
        <v>7.1999999999999995E-2</v>
      </c>
      <c r="AU77" s="3825"/>
      <c r="AV77" s="1741">
        <v>4</v>
      </c>
      <c r="AW77" s="1856">
        <f>'Total - Traffic %'!AW77</f>
        <v>0</v>
      </c>
      <c r="AX77" s="1857">
        <f>'Total - Traffic %'!AX77</f>
        <v>0</v>
      </c>
      <c r="AY77" s="1858">
        <f>'Total - Traffic %'!AY77</f>
        <v>0</v>
      </c>
      <c r="AZ77" s="1856">
        <f>'Total - Traffic %'!AZ77</f>
        <v>0</v>
      </c>
      <c r="BA77" s="1857">
        <f>'Total - Traffic %'!BA77</f>
        <v>3.5000000000000003E-2</v>
      </c>
      <c r="BB77" s="1858">
        <f>'Total - Traffic %'!BB77</f>
        <v>1.7999999999999999E-2</v>
      </c>
      <c r="BC77" s="1859">
        <f>'Total - Traffic %'!BC77</f>
        <v>1.4E-2</v>
      </c>
      <c r="BD77" s="1860">
        <f>'Total - Traffic %'!BD77</f>
        <v>4.0000000000000001E-3</v>
      </c>
      <c r="BE77" s="1859">
        <f>'Total - Traffic %'!BE77</f>
        <v>2E-3</v>
      </c>
      <c r="BF77" s="1861">
        <f>'Total - Traffic %'!BF77</f>
        <v>3.0000000000000001E-3</v>
      </c>
      <c r="BG77" s="1860">
        <f>'Total - Traffic %'!BG77</f>
        <v>2E-3</v>
      </c>
      <c r="BH77" s="1862">
        <f>'Total - Traffic %'!BH77</f>
        <v>7.8E-2</v>
      </c>
      <c r="BJ77" s="3825"/>
      <c r="BK77" s="1741">
        <v>4</v>
      </c>
      <c r="BL77" s="1856">
        <f>'Total - Traffic %'!BL77</f>
        <v>0</v>
      </c>
      <c r="BM77" s="1857">
        <f>'Total - Traffic %'!BM77</f>
        <v>0</v>
      </c>
      <c r="BN77" s="1858">
        <f>'Total - Traffic %'!BN77</f>
        <v>0</v>
      </c>
      <c r="BO77" s="1856">
        <f>'Total - Traffic %'!BO77</f>
        <v>0</v>
      </c>
      <c r="BP77" s="1857">
        <f>'Total - Traffic %'!BP77</f>
        <v>3.7999999999999999E-2</v>
      </c>
      <c r="BQ77" s="1858">
        <f>'Total - Traffic %'!BQ77</f>
        <v>1.9E-2</v>
      </c>
      <c r="BR77" s="1859">
        <f>'Total - Traffic %'!BR77</f>
        <v>1.6E-2</v>
      </c>
      <c r="BS77" s="1860">
        <f>'Total - Traffic %'!BS77</f>
        <v>4.0000000000000001E-3</v>
      </c>
      <c r="BT77" s="1859">
        <f>'Total - Traffic %'!BT77</f>
        <v>2E-3</v>
      </c>
      <c r="BU77" s="1861">
        <f>'Total - Traffic %'!BU77</f>
        <v>3.0000000000000001E-3</v>
      </c>
      <c r="BV77" s="1860">
        <f>'Total - Traffic %'!BV77</f>
        <v>2E-3</v>
      </c>
      <c r="BW77" s="1862">
        <f>'Total - Traffic %'!BW77</f>
        <v>8.4000000000000005E-2</v>
      </c>
      <c r="BY77" s="3825"/>
      <c r="BZ77" s="1741">
        <v>4</v>
      </c>
      <c r="CA77" s="1856">
        <f>'Total - Traffic %'!CA77</f>
        <v>0</v>
      </c>
      <c r="CB77" s="1857">
        <f>'Total - Traffic %'!CB77</f>
        <v>0</v>
      </c>
      <c r="CC77" s="1858">
        <f>'Total - Traffic %'!CC77</f>
        <v>0</v>
      </c>
      <c r="CD77" s="1856">
        <f>'Total - Traffic %'!CD77</f>
        <v>0</v>
      </c>
      <c r="CE77" s="1857">
        <f>'Total - Traffic %'!CE77</f>
        <v>3.9E-2</v>
      </c>
      <c r="CF77" s="1858">
        <f>'Total - Traffic %'!CF77</f>
        <v>2.1000000000000001E-2</v>
      </c>
      <c r="CG77" s="1859">
        <f>'Total - Traffic %'!CG77</f>
        <v>1.7000000000000001E-2</v>
      </c>
      <c r="CH77" s="1860">
        <f>'Total - Traffic %'!CH77</f>
        <v>4.0000000000000001E-3</v>
      </c>
      <c r="CI77" s="1859">
        <f>'Total - Traffic %'!CI77</f>
        <v>3.0000000000000001E-3</v>
      </c>
      <c r="CJ77" s="1861">
        <f>'Total - Traffic %'!CJ77</f>
        <v>4.0000000000000001E-3</v>
      </c>
      <c r="CK77" s="1860">
        <f>'Total - Traffic %'!CK77</f>
        <v>2E-3</v>
      </c>
      <c r="CL77" s="1862">
        <f>'Total - Traffic %'!CL77</f>
        <v>9.0999999999999998E-2</v>
      </c>
    </row>
    <row r="78" spans="1:90" s="1728" customFormat="1" ht="13.5" customHeight="1">
      <c r="A78" s="3842"/>
      <c r="B78" s="3843"/>
      <c r="C78" s="1749">
        <v>5</v>
      </c>
      <c r="D78" s="1856">
        <f>'Total - Traffic %'!D78</f>
        <v>0</v>
      </c>
      <c r="E78" s="1857">
        <f>'Total - Traffic %'!E78</f>
        <v>0</v>
      </c>
      <c r="F78" s="1858">
        <f>'Total - Traffic %'!F78</f>
        <v>0</v>
      </c>
      <c r="G78" s="1856">
        <f>'Total - Traffic %'!G78</f>
        <v>0</v>
      </c>
      <c r="H78" s="1857">
        <f>'Total - Traffic %'!H78</f>
        <v>0</v>
      </c>
      <c r="I78" s="1858">
        <f>'Total - Traffic %'!I78</f>
        <v>0</v>
      </c>
      <c r="J78" s="1859">
        <f>'Total - Traffic %'!J78</f>
        <v>1E-3</v>
      </c>
      <c r="K78" s="1860">
        <f>'Total - Traffic %'!K78</f>
        <v>0</v>
      </c>
      <c r="L78" s="1859">
        <f>'Total - Traffic %'!L78</f>
        <v>0</v>
      </c>
      <c r="M78" s="1861">
        <f>'Total - Traffic %'!M78</f>
        <v>0</v>
      </c>
      <c r="N78" s="1860">
        <f>'Total - Traffic %'!N78</f>
        <v>1E-3</v>
      </c>
      <c r="O78" s="1862">
        <f>'Total - Traffic %'!O78</f>
        <v>2E-3</v>
      </c>
      <c r="Q78" s="3825"/>
      <c r="R78" s="1749">
        <v>5</v>
      </c>
      <c r="S78" s="1856">
        <f>'Total - Traffic %'!S78</f>
        <v>0</v>
      </c>
      <c r="T78" s="1857">
        <f>'Total - Traffic %'!T78</f>
        <v>0</v>
      </c>
      <c r="U78" s="1858">
        <f>'Total - Traffic %'!U78</f>
        <v>0</v>
      </c>
      <c r="V78" s="1856">
        <f>'Total - Traffic %'!V78</f>
        <v>0</v>
      </c>
      <c r="W78" s="1857">
        <f>'Total - Traffic %'!W78</f>
        <v>6.0000000000000001E-3</v>
      </c>
      <c r="X78" s="1858">
        <f>'Total - Traffic %'!X78</f>
        <v>8.0000000000000002E-3</v>
      </c>
      <c r="Y78" s="1859">
        <f>'Total - Traffic %'!Y78</f>
        <v>1E-3</v>
      </c>
      <c r="Z78" s="1860">
        <f>'Total - Traffic %'!Z78</f>
        <v>0</v>
      </c>
      <c r="AA78" s="1859">
        <f>'Total - Traffic %'!AA78</f>
        <v>0</v>
      </c>
      <c r="AB78" s="1861">
        <f>'Total - Traffic %'!AB78</f>
        <v>0</v>
      </c>
      <c r="AC78" s="1860">
        <f>'Total - Traffic %'!AC78</f>
        <v>1E-3</v>
      </c>
      <c r="AD78" s="1862">
        <f>'Total - Traffic %'!AD78</f>
        <v>1.7000000000000001E-2</v>
      </c>
      <c r="AF78" s="3825"/>
      <c r="AG78" s="1749">
        <v>5</v>
      </c>
      <c r="AH78" s="1856">
        <f>'Total - Traffic %'!AH78</f>
        <v>0</v>
      </c>
      <c r="AI78" s="1857">
        <f>'Total - Traffic %'!AI78</f>
        <v>0</v>
      </c>
      <c r="AJ78" s="1858">
        <f>'Total - Traffic %'!AJ78</f>
        <v>0</v>
      </c>
      <c r="AK78" s="1856">
        <f>'Total - Traffic %'!AK78</f>
        <v>0</v>
      </c>
      <c r="AL78" s="1857">
        <f>'Total - Traffic %'!AL78</f>
        <v>2.3E-2</v>
      </c>
      <c r="AM78" s="1858">
        <f>'Total - Traffic %'!AM78</f>
        <v>1.2E-2</v>
      </c>
      <c r="AN78" s="1859">
        <f>'Total - Traffic %'!AN78</f>
        <v>6.0000000000000001E-3</v>
      </c>
      <c r="AO78" s="1860">
        <f>'Total - Traffic %'!AO78</f>
        <v>0</v>
      </c>
      <c r="AP78" s="1859">
        <f>'Total - Traffic %'!AP78</f>
        <v>0</v>
      </c>
      <c r="AQ78" s="1861">
        <f>'Total - Traffic %'!AQ78</f>
        <v>0</v>
      </c>
      <c r="AR78" s="1860">
        <f>'Total - Traffic %'!AR78</f>
        <v>1E-3</v>
      </c>
      <c r="AS78" s="1862">
        <f>'Total - Traffic %'!AS78</f>
        <v>4.2000000000000003E-2</v>
      </c>
      <c r="AU78" s="3825"/>
      <c r="AV78" s="1749">
        <v>5</v>
      </c>
      <c r="AW78" s="1856">
        <f>'Total - Traffic %'!AW78</f>
        <v>0</v>
      </c>
      <c r="AX78" s="1857">
        <f>'Total - Traffic %'!AX78</f>
        <v>0</v>
      </c>
      <c r="AY78" s="1858">
        <f>'Total - Traffic %'!AY78</f>
        <v>0</v>
      </c>
      <c r="AZ78" s="1856">
        <f>'Total - Traffic %'!AZ78</f>
        <v>0</v>
      </c>
      <c r="BA78" s="1857">
        <f>'Total - Traffic %'!BA78</f>
        <v>2.5999999999999999E-2</v>
      </c>
      <c r="BB78" s="1858">
        <f>'Total - Traffic %'!BB78</f>
        <v>1.2E-2</v>
      </c>
      <c r="BC78" s="1859">
        <f>'Total - Traffic %'!BC78</f>
        <v>6.0000000000000001E-3</v>
      </c>
      <c r="BD78" s="1860">
        <f>'Total - Traffic %'!BD78</f>
        <v>1E-3</v>
      </c>
      <c r="BE78" s="1859">
        <f>'Total - Traffic %'!BE78</f>
        <v>0</v>
      </c>
      <c r="BF78" s="1861">
        <f>'Total - Traffic %'!BF78</f>
        <v>0</v>
      </c>
      <c r="BG78" s="1860">
        <f>'Total - Traffic %'!BG78</f>
        <v>1E-3</v>
      </c>
      <c r="BH78" s="1862">
        <f>'Total - Traffic %'!BH78</f>
        <v>4.7E-2</v>
      </c>
      <c r="BJ78" s="3825"/>
      <c r="BK78" s="1749">
        <v>5</v>
      </c>
      <c r="BL78" s="1856">
        <f>'Total - Traffic %'!BL78</f>
        <v>0</v>
      </c>
      <c r="BM78" s="1857">
        <f>'Total - Traffic %'!BM78</f>
        <v>0</v>
      </c>
      <c r="BN78" s="1858">
        <f>'Total - Traffic %'!BN78</f>
        <v>0</v>
      </c>
      <c r="BO78" s="1856">
        <f>'Total - Traffic %'!BO78</f>
        <v>0</v>
      </c>
      <c r="BP78" s="1857">
        <f>'Total - Traffic %'!BP78</f>
        <v>2.8000000000000001E-2</v>
      </c>
      <c r="BQ78" s="1858">
        <f>'Total - Traffic %'!BQ78</f>
        <v>1.2999999999999999E-2</v>
      </c>
      <c r="BR78" s="1859">
        <f>'Total - Traffic %'!BR78</f>
        <v>8.0000000000000002E-3</v>
      </c>
      <c r="BS78" s="1860">
        <f>'Total - Traffic %'!BS78</f>
        <v>1E-3</v>
      </c>
      <c r="BT78" s="1859">
        <f>'Total - Traffic %'!BT78</f>
        <v>0</v>
      </c>
      <c r="BU78" s="1861">
        <f>'Total - Traffic %'!BU78</f>
        <v>0</v>
      </c>
      <c r="BV78" s="1860">
        <f>'Total - Traffic %'!BV78</f>
        <v>1E-3</v>
      </c>
      <c r="BW78" s="1862">
        <f>'Total - Traffic %'!BW78</f>
        <v>5.1999999999999998E-2</v>
      </c>
      <c r="BY78" s="3825"/>
      <c r="BZ78" s="1749">
        <v>5</v>
      </c>
      <c r="CA78" s="1856">
        <f>'Total - Traffic %'!CA78</f>
        <v>0</v>
      </c>
      <c r="CB78" s="1857">
        <f>'Total - Traffic %'!CB78</f>
        <v>0</v>
      </c>
      <c r="CC78" s="1858">
        <f>'Total - Traffic %'!CC78</f>
        <v>0</v>
      </c>
      <c r="CD78" s="1856">
        <f>'Total - Traffic %'!CD78</f>
        <v>0</v>
      </c>
      <c r="CE78" s="1857">
        <f>'Total - Traffic %'!CE78</f>
        <v>3.3000000000000002E-2</v>
      </c>
      <c r="CF78" s="1858">
        <f>'Total - Traffic %'!CF78</f>
        <v>1.4999999999999999E-2</v>
      </c>
      <c r="CG78" s="1859">
        <f>'Total - Traffic %'!CG78</f>
        <v>8.0000000000000002E-3</v>
      </c>
      <c r="CH78" s="1860">
        <f>'Total - Traffic %'!CH78</f>
        <v>2E-3</v>
      </c>
      <c r="CI78" s="1859">
        <f>'Total - Traffic %'!CI78</f>
        <v>0</v>
      </c>
      <c r="CJ78" s="1861">
        <f>'Total - Traffic %'!CJ78</f>
        <v>0</v>
      </c>
      <c r="CK78" s="1860">
        <f>'Total - Traffic %'!CK78</f>
        <v>1E-3</v>
      </c>
      <c r="CL78" s="1862">
        <f>'Total - Traffic %'!CL78</f>
        <v>0.06</v>
      </c>
    </row>
    <row r="79" spans="1:90" s="1728" customFormat="1" ht="13.5" customHeight="1" thickBot="1">
      <c r="A79" s="3844"/>
      <c r="B79" s="3845"/>
      <c r="C79" s="1750" t="s">
        <v>1422</v>
      </c>
      <c r="D79" s="1863">
        <f>'Total - Traffic %'!D79</f>
        <v>0</v>
      </c>
      <c r="E79" s="1864">
        <f>'Total - Traffic %'!E79</f>
        <v>0</v>
      </c>
      <c r="F79" s="1865">
        <f>'Total - Traffic %'!F79</f>
        <v>0</v>
      </c>
      <c r="G79" s="1863">
        <f>'Total - Traffic %'!G79</f>
        <v>8.9999999999999993E-3</v>
      </c>
      <c r="H79" s="1864">
        <f>'Total - Traffic %'!H79</f>
        <v>0.186</v>
      </c>
      <c r="I79" s="1865">
        <f>'Total - Traffic %'!I79</f>
        <v>0.182</v>
      </c>
      <c r="J79" s="1866">
        <f>'Total - Traffic %'!J79</f>
        <v>0.14000000000000001</v>
      </c>
      <c r="K79" s="1867">
        <f>'Total - Traffic %'!K79</f>
        <v>0.152</v>
      </c>
      <c r="L79" s="1866">
        <f>'Total - Traffic %'!L79</f>
        <v>4.2999999999999997E-2</v>
      </c>
      <c r="M79" s="1868">
        <f>'Total - Traffic %'!M79</f>
        <v>0.17799999999999999</v>
      </c>
      <c r="N79" s="1867">
        <f>'Total - Traffic %'!N79</f>
        <v>0.109</v>
      </c>
      <c r="O79" s="1869">
        <f>'Total - Traffic %'!O79</f>
        <v>1</v>
      </c>
      <c r="Q79" s="3826"/>
      <c r="R79" s="1750" t="s">
        <v>1422</v>
      </c>
      <c r="S79" s="1863">
        <f>'Total - Traffic %'!S79</f>
        <v>0</v>
      </c>
      <c r="T79" s="1864">
        <f>'Total - Traffic %'!T79</f>
        <v>0</v>
      </c>
      <c r="U79" s="1865">
        <f>'Total - Traffic %'!U79</f>
        <v>0</v>
      </c>
      <c r="V79" s="1863">
        <f>'Total - Traffic %'!V79</f>
        <v>8.9999999999999993E-3</v>
      </c>
      <c r="W79" s="1864">
        <f>'Total - Traffic %'!W79</f>
        <v>0.187</v>
      </c>
      <c r="X79" s="1865">
        <f>'Total - Traffic %'!X79</f>
        <v>0.183</v>
      </c>
      <c r="Y79" s="1866">
        <f>'Total - Traffic %'!Y79</f>
        <v>0.14000000000000001</v>
      </c>
      <c r="Z79" s="1867">
        <f>'Total - Traffic %'!Z79</f>
        <v>0.15</v>
      </c>
      <c r="AA79" s="1866">
        <f>'Total - Traffic %'!AA79</f>
        <v>4.2999999999999997E-2</v>
      </c>
      <c r="AB79" s="1868">
        <f>'Total - Traffic %'!AB79</f>
        <v>0.17799999999999999</v>
      </c>
      <c r="AC79" s="1867">
        <f>'Total - Traffic %'!AC79</f>
        <v>0.109</v>
      </c>
      <c r="AD79" s="1869">
        <f>'Total - Traffic %'!AD79</f>
        <v>1</v>
      </c>
      <c r="AF79" s="3826"/>
      <c r="AG79" s="1750" t="s">
        <v>1422</v>
      </c>
      <c r="AH79" s="1863">
        <f>'Total - Traffic %'!AH79</f>
        <v>0</v>
      </c>
      <c r="AI79" s="1864">
        <f>'Total - Traffic %'!AI79</f>
        <v>0</v>
      </c>
      <c r="AJ79" s="1865">
        <f>'Total - Traffic %'!AJ79</f>
        <v>0</v>
      </c>
      <c r="AK79" s="1863">
        <f>'Total - Traffic %'!AK79</f>
        <v>0.01</v>
      </c>
      <c r="AL79" s="1864">
        <f>'Total - Traffic %'!AL79</f>
        <v>0.187</v>
      </c>
      <c r="AM79" s="1865">
        <f>'Total - Traffic %'!AM79</f>
        <v>0.183</v>
      </c>
      <c r="AN79" s="1866">
        <f>'Total - Traffic %'!AN79</f>
        <v>0.13900000000000001</v>
      </c>
      <c r="AO79" s="1867">
        <f>'Total - Traffic %'!AO79</f>
        <v>0.14899999999999999</v>
      </c>
      <c r="AP79" s="1866">
        <f>'Total - Traffic %'!AP79</f>
        <v>4.3999999999999997E-2</v>
      </c>
      <c r="AQ79" s="1868">
        <f>'Total - Traffic %'!AQ79</f>
        <v>0.17899999999999999</v>
      </c>
      <c r="AR79" s="1867">
        <f>'Total - Traffic %'!AR79</f>
        <v>0.109</v>
      </c>
      <c r="AS79" s="1869">
        <f>'Total - Traffic %'!AS79</f>
        <v>1</v>
      </c>
      <c r="AU79" s="3826"/>
      <c r="AV79" s="1750" t="s">
        <v>1422</v>
      </c>
      <c r="AW79" s="1863">
        <f>'Total - Traffic %'!AW79</f>
        <v>0</v>
      </c>
      <c r="AX79" s="1864">
        <f>'Total - Traffic %'!AX79</f>
        <v>0</v>
      </c>
      <c r="AY79" s="1865">
        <f>'Total - Traffic %'!AY79</f>
        <v>0</v>
      </c>
      <c r="AZ79" s="1863">
        <f>'Total - Traffic %'!AZ79</f>
        <v>0.01</v>
      </c>
      <c r="BA79" s="1864">
        <f>'Total - Traffic %'!BA79</f>
        <v>0.189</v>
      </c>
      <c r="BB79" s="1865">
        <f>'Total - Traffic %'!BB79</f>
        <v>0.187</v>
      </c>
      <c r="BC79" s="1866">
        <f>'Total - Traffic %'!BC79</f>
        <v>0.13700000000000001</v>
      </c>
      <c r="BD79" s="1867">
        <f>'Total - Traffic %'!BD79</f>
        <v>0.14699999999999999</v>
      </c>
      <c r="BE79" s="1866">
        <f>'Total - Traffic %'!BE79</f>
        <v>4.3999999999999997E-2</v>
      </c>
      <c r="BF79" s="1868">
        <f>'Total - Traffic %'!BF79</f>
        <v>0.17699999999999999</v>
      </c>
      <c r="BG79" s="1867">
        <f>'Total - Traffic %'!BG79</f>
        <v>0.108</v>
      </c>
      <c r="BH79" s="1869">
        <f>'Total - Traffic %'!BH79</f>
        <v>1</v>
      </c>
      <c r="BJ79" s="3826"/>
      <c r="BK79" s="1750" t="s">
        <v>1422</v>
      </c>
      <c r="BL79" s="1863">
        <f>'Total - Traffic %'!BL79</f>
        <v>0</v>
      </c>
      <c r="BM79" s="1864">
        <f>'Total - Traffic %'!BM79</f>
        <v>0</v>
      </c>
      <c r="BN79" s="1865">
        <f>'Total - Traffic %'!BN79</f>
        <v>0</v>
      </c>
      <c r="BO79" s="1863">
        <f>'Total - Traffic %'!BO79</f>
        <v>0.01</v>
      </c>
      <c r="BP79" s="1864">
        <f>'Total - Traffic %'!BP79</f>
        <v>0.19</v>
      </c>
      <c r="BQ79" s="1865">
        <f>'Total - Traffic %'!BQ79</f>
        <v>0.188</v>
      </c>
      <c r="BR79" s="1866">
        <f>'Total - Traffic %'!BR79</f>
        <v>0.13700000000000001</v>
      </c>
      <c r="BS79" s="1867">
        <f>'Total - Traffic %'!BS79</f>
        <v>0.14599999999999999</v>
      </c>
      <c r="BT79" s="1866">
        <f>'Total - Traffic %'!BT79</f>
        <v>4.3999999999999997E-2</v>
      </c>
      <c r="BU79" s="1868">
        <f>'Total - Traffic %'!BU79</f>
        <v>0.17699999999999999</v>
      </c>
      <c r="BV79" s="1867">
        <f>'Total - Traffic %'!BV79</f>
        <v>0.108</v>
      </c>
      <c r="BW79" s="1869">
        <f>'Total - Traffic %'!BW79</f>
        <v>1</v>
      </c>
      <c r="BY79" s="3826"/>
      <c r="BZ79" s="1750" t="s">
        <v>1422</v>
      </c>
      <c r="CA79" s="1863">
        <f>'Total - Traffic %'!CA79</f>
        <v>0</v>
      </c>
      <c r="CB79" s="1864">
        <f>'Total - Traffic %'!CB79</f>
        <v>0</v>
      </c>
      <c r="CC79" s="1865">
        <f>'Total - Traffic %'!CC79</f>
        <v>0</v>
      </c>
      <c r="CD79" s="1863">
        <f>'Total - Traffic %'!CD79</f>
        <v>0.01</v>
      </c>
      <c r="CE79" s="1864">
        <f>'Total - Traffic %'!CE79</f>
        <v>0.189</v>
      </c>
      <c r="CF79" s="1865">
        <f>'Total - Traffic %'!CF79</f>
        <v>0.189</v>
      </c>
      <c r="CG79" s="1866">
        <f>'Total - Traffic %'!CG79</f>
        <v>0.13700000000000001</v>
      </c>
      <c r="CH79" s="1867">
        <f>'Total - Traffic %'!CH79</f>
        <v>0.14599999999999999</v>
      </c>
      <c r="CI79" s="1866">
        <f>'Total - Traffic %'!CI79</f>
        <v>4.3999999999999997E-2</v>
      </c>
      <c r="CJ79" s="1868">
        <f>'Total - Traffic %'!CJ79</f>
        <v>0.17699999999999999</v>
      </c>
      <c r="CK79" s="1867">
        <f>'Total - Traffic %'!CK79</f>
        <v>0.108</v>
      </c>
      <c r="CL79" s="1869">
        <f>'Total - Traffic %'!CL79</f>
        <v>1</v>
      </c>
    </row>
    <row r="80" spans="1:90" s="1728" customFormat="1" ht="13.5" customHeight="1" thickTop="1">
      <c r="A80" s="3840" t="s">
        <v>1125</v>
      </c>
      <c r="B80" s="3841"/>
      <c r="C80" s="1733">
        <v>1</v>
      </c>
      <c r="D80" s="1849">
        <f>'Total - Traffic %'!D80</f>
        <v>0</v>
      </c>
      <c r="E80" s="1850">
        <f>'Total - Traffic %'!E80</f>
        <v>0</v>
      </c>
      <c r="F80" s="1851">
        <f>'Total - Traffic %'!F80</f>
        <v>0</v>
      </c>
      <c r="G80" s="1849">
        <f>'Total - Traffic %'!G80</f>
        <v>2.5000000000000001E-2</v>
      </c>
      <c r="H80" s="1850">
        <f>'Total - Traffic %'!H80</f>
        <v>3.4000000000000002E-2</v>
      </c>
      <c r="I80" s="1851">
        <f>'Total - Traffic %'!I80</f>
        <v>0.11700000000000001</v>
      </c>
      <c r="J80" s="1852">
        <f>'Total - Traffic %'!J80</f>
        <v>1.4999999999999999E-2</v>
      </c>
      <c r="K80" s="1853">
        <f>'Total - Traffic %'!K80</f>
        <v>5.1999999999999998E-2</v>
      </c>
      <c r="L80" s="1852">
        <f>'Total - Traffic %'!L80</f>
        <v>4.4999999999999998E-2</v>
      </c>
      <c r="M80" s="1854">
        <f>'Total - Traffic %'!M80</f>
        <v>5.8000000000000003E-2</v>
      </c>
      <c r="N80" s="1853">
        <f>'Total - Traffic %'!N80</f>
        <v>6.0999999999999999E-2</v>
      </c>
      <c r="O80" s="1855">
        <f>'Total - Traffic %'!O80</f>
        <v>0.40699999999999997</v>
      </c>
      <c r="Q80" s="3824" t="s">
        <v>1125</v>
      </c>
      <c r="R80" s="1733">
        <v>1</v>
      </c>
      <c r="S80" s="1849">
        <f>'Total - Traffic %'!S80</f>
        <v>0</v>
      </c>
      <c r="T80" s="1850">
        <f>'Total - Traffic %'!T80</f>
        <v>0</v>
      </c>
      <c r="U80" s="1851">
        <f>'Total - Traffic %'!U80</f>
        <v>0</v>
      </c>
      <c r="V80" s="1849">
        <f>'Total - Traffic %'!V80</f>
        <v>2.5000000000000001E-2</v>
      </c>
      <c r="W80" s="1850">
        <f>'Total - Traffic %'!W80</f>
        <v>3.3000000000000002E-2</v>
      </c>
      <c r="X80" s="1851">
        <f>'Total - Traffic %'!X80</f>
        <v>0.11600000000000001</v>
      </c>
      <c r="Y80" s="1852">
        <f>'Total - Traffic %'!Y80</f>
        <v>1.4999999999999999E-2</v>
      </c>
      <c r="Z80" s="1853">
        <f>'Total - Traffic %'!Z80</f>
        <v>5.0999999999999997E-2</v>
      </c>
      <c r="AA80" s="1852">
        <f>'Total - Traffic %'!AA80</f>
        <v>4.3999999999999997E-2</v>
      </c>
      <c r="AB80" s="1854">
        <f>'Total - Traffic %'!AB80</f>
        <v>5.8000000000000003E-2</v>
      </c>
      <c r="AC80" s="1853">
        <f>'Total - Traffic %'!AC80</f>
        <v>6.0999999999999999E-2</v>
      </c>
      <c r="AD80" s="1855">
        <f>'Total - Traffic %'!AD80</f>
        <v>0.40500000000000003</v>
      </c>
      <c r="AF80" s="3824" t="s">
        <v>1125</v>
      </c>
      <c r="AG80" s="1733">
        <v>1</v>
      </c>
      <c r="AH80" s="1849">
        <f>'Total - Traffic %'!AH80</f>
        <v>0</v>
      </c>
      <c r="AI80" s="1850">
        <f>'Total - Traffic %'!AI80</f>
        <v>0</v>
      </c>
      <c r="AJ80" s="1851">
        <f>'Total - Traffic %'!AJ80</f>
        <v>0</v>
      </c>
      <c r="AK80" s="1849">
        <f>'Total - Traffic %'!AK80</f>
        <v>0.02</v>
      </c>
      <c r="AL80" s="1850">
        <f>'Total - Traffic %'!AL80</f>
        <v>0.03</v>
      </c>
      <c r="AM80" s="1851">
        <f>'Total - Traffic %'!AM80</f>
        <v>0.112</v>
      </c>
      <c r="AN80" s="1852">
        <f>'Total - Traffic %'!AN80</f>
        <v>1.4E-2</v>
      </c>
      <c r="AO80" s="1853">
        <f>'Total - Traffic %'!AO80</f>
        <v>0.05</v>
      </c>
      <c r="AP80" s="1852">
        <f>'Total - Traffic %'!AP80</f>
        <v>3.4000000000000002E-2</v>
      </c>
      <c r="AQ80" s="1854">
        <f>'Total - Traffic %'!AQ80</f>
        <v>5.1999999999999998E-2</v>
      </c>
      <c r="AR80" s="1853">
        <f>'Total - Traffic %'!AR80</f>
        <v>5.8999999999999997E-2</v>
      </c>
      <c r="AS80" s="1855">
        <f>'Total - Traffic %'!AS80</f>
        <v>0.372</v>
      </c>
      <c r="AU80" s="3824" t="s">
        <v>1125</v>
      </c>
      <c r="AV80" s="1733">
        <v>1</v>
      </c>
      <c r="AW80" s="1849">
        <f>'Total - Traffic %'!AW80</f>
        <v>0</v>
      </c>
      <c r="AX80" s="1850">
        <f>'Total - Traffic %'!AX80</f>
        <v>0</v>
      </c>
      <c r="AY80" s="1851">
        <f>'Total - Traffic %'!AY80</f>
        <v>0</v>
      </c>
      <c r="AZ80" s="1849">
        <f>'Total - Traffic %'!AZ80</f>
        <v>1.9E-2</v>
      </c>
      <c r="BA80" s="1850">
        <f>'Total - Traffic %'!BA80</f>
        <v>2.5000000000000001E-2</v>
      </c>
      <c r="BB80" s="1851">
        <f>'Total - Traffic %'!BB80</f>
        <v>0.10100000000000001</v>
      </c>
      <c r="BC80" s="1852">
        <f>'Total - Traffic %'!BC80</f>
        <v>1.0999999999999999E-2</v>
      </c>
      <c r="BD80" s="1853">
        <f>'Total - Traffic %'!BD80</f>
        <v>4.9000000000000002E-2</v>
      </c>
      <c r="BE80" s="1852">
        <f>'Total - Traffic %'!BE80</f>
        <v>2.9000000000000001E-2</v>
      </c>
      <c r="BF80" s="1854">
        <f>'Total - Traffic %'!BF80</f>
        <v>4.8000000000000001E-2</v>
      </c>
      <c r="BG80" s="1853">
        <f>'Total - Traffic %'!BG80</f>
        <v>5.8000000000000003E-2</v>
      </c>
      <c r="BH80" s="1855">
        <f>'Total - Traffic %'!BH80</f>
        <v>0.34100000000000003</v>
      </c>
      <c r="BJ80" s="3824" t="s">
        <v>1125</v>
      </c>
      <c r="BK80" s="1733">
        <v>1</v>
      </c>
      <c r="BL80" s="1849">
        <f>'Total - Traffic %'!BL80</f>
        <v>0</v>
      </c>
      <c r="BM80" s="1850">
        <f>'Total - Traffic %'!BM80</f>
        <v>0</v>
      </c>
      <c r="BN80" s="1851">
        <f>'Total - Traffic %'!BN80</f>
        <v>0</v>
      </c>
      <c r="BO80" s="1849">
        <f>'Total - Traffic %'!BO80</f>
        <v>1.9E-2</v>
      </c>
      <c r="BP80" s="1850">
        <f>'Total - Traffic %'!BP80</f>
        <v>2.5000000000000001E-2</v>
      </c>
      <c r="BQ80" s="1851">
        <f>'Total - Traffic %'!BQ80</f>
        <v>9.9000000000000005E-2</v>
      </c>
      <c r="BR80" s="1852">
        <f>'Total - Traffic %'!BR80</f>
        <v>1.0999999999999999E-2</v>
      </c>
      <c r="BS80" s="1853">
        <f>'Total - Traffic %'!BS80</f>
        <v>4.8000000000000001E-2</v>
      </c>
      <c r="BT80" s="1852">
        <f>'Total - Traffic %'!BT80</f>
        <v>2.7E-2</v>
      </c>
      <c r="BU80" s="1854">
        <f>'Total - Traffic %'!BU80</f>
        <v>4.8000000000000001E-2</v>
      </c>
      <c r="BV80" s="1853">
        <f>'Total - Traffic %'!BV80</f>
        <v>5.8000000000000003E-2</v>
      </c>
      <c r="BW80" s="1855">
        <f>'Total - Traffic %'!BW80</f>
        <v>0.33400000000000002</v>
      </c>
      <c r="BY80" s="3824" t="s">
        <v>1125</v>
      </c>
      <c r="BZ80" s="1733">
        <v>1</v>
      </c>
      <c r="CA80" s="1849">
        <f>'Total - Traffic %'!CA80</f>
        <v>0</v>
      </c>
      <c r="CB80" s="1850">
        <f>'Total - Traffic %'!CB80</f>
        <v>0</v>
      </c>
      <c r="CC80" s="1851">
        <f>'Total - Traffic %'!CC80</f>
        <v>0</v>
      </c>
      <c r="CD80" s="1849">
        <f>'Total - Traffic %'!CD80</f>
        <v>1.7000000000000001E-2</v>
      </c>
      <c r="CE80" s="1850">
        <f>'Total - Traffic %'!CE80</f>
        <v>2.5000000000000001E-2</v>
      </c>
      <c r="CF80" s="1851">
        <f>'Total - Traffic %'!CF80</f>
        <v>9.7000000000000003E-2</v>
      </c>
      <c r="CG80" s="1852">
        <f>'Total - Traffic %'!CG80</f>
        <v>1.0999999999999999E-2</v>
      </c>
      <c r="CH80" s="1853">
        <f>'Total - Traffic %'!CH80</f>
        <v>4.7E-2</v>
      </c>
      <c r="CI80" s="1852">
        <f>'Total - Traffic %'!CI80</f>
        <v>2.4E-2</v>
      </c>
      <c r="CJ80" s="1854">
        <f>'Total - Traffic %'!CJ80</f>
        <v>4.5999999999999999E-2</v>
      </c>
      <c r="CK80" s="1853">
        <f>'Total - Traffic %'!CK80</f>
        <v>5.8000000000000003E-2</v>
      </c>
      <c r="CL80" s="1855">
        <f>'Total - Traffic %'!CL80</f>
        <v>0.32500000000000001</v>
      </c>
    </row>
    <row r="81" spans="1:90" s="1728" customFormat="1" ht="13.5" customHeight="1">
      <c r="A81" s="3842"/>
      <c r="B81" s="3843"/>
      <c r="C81" s="1741">
        <v>2</v>
      </c>
      <c r="D81" s="1856">
        <f>'Total - Traffic %'!D81</f>
        <v>0</v>
      </c>
      <c r="E81" s="1857">
        <f>'Total - Traffic %'!E81</f>
        <v>0</v>
      </c>
      <c r="F81" s="1858">
        <f>'Total - Traffic %'!F81</f>
        <v>0</v>
      </c>
      <c r="G81" s="1856">
        <f>'Total - Traffic %'!G81</f>
        <v>0.06</v>
      </c>
      <c r="H81" s="1857">
        <f>'Total - Traffic %'!H81</f>
        <v>5.8999999999999997E-2</v>
      </c>
      <c r="I81" s="1858">
        <f>'Total - Traffic %'!I81</f>
        <v>4.9000000000000002E-2</v>
      </c>
      <c r="J81" s="1859">
        <f>'Total - Traffic %'!J81</f>
        <v>2.8000000000000001E-2</v>
      </c>
      <c r="K81" s="1860">
        <f>'Total - Traffic %'!K81</f>
        <v>1.7999999999999999E-2</v>
      </c>
      <c r="L81" s="1859">
        <f>'Total - Traffic %'!L81</f>
        <v>6.8000000000000005E-2</v>
      </c>
      <c r="M81" s="1861">
        <f>'Total - Traffic %'!M81</f>
        <v>4.7E-2</v>
      </c>
      <c r="N81" s="1860">
        <f>'Total - Traffic %'!N81</f>
        <v>7.0000000000000001E-3</v>
      </c>
      <c r="O81" s="1862">
        <f>'Total - Traffic %'!O81</f>
        <v>0.33500000000000002</v>
      </c>
      <c r="Q81" s="3825"/>
      <c r="R81" s="1741">
        <v>2</v>
      </c>
      <c r="S81" s="1856">
        <f>'Total - Traffic %'!S81</f>
        <v>0</v>
      </c>
      <c r="T81" s="1857">
        <f>'Total - Traffic %'!T81</f>
        <v>0</v>
      </c>
      <c r="U81" s="1858">
        <f>'Total - Traffic %'!U81</f>
        <v>0</v>
      </c>
      <c r="V81" s="1856">
        <f>'Total - Traffic %'!V81</f>
        <v>5.8000000000000003E-2</v>
      </c>
      <c r="W81" s="1857">
        <f>'Total - Traffic %'!W81</f>
        <v>5.8000000000000003E-2</v>
      </c>
      <c r="X81" s="1858">
        <f>'Total - Traffic %'!X81</f>
        <v>4.7E-2</v>
      </c>
      <c r="Y81" s="1859">
        <f>'Total - Traffic %'!Y81</f>
        <v>2.8000000000000001E-2</v>
      </c>
      <c r="Z81" s="1860">
        <f>'Total - Traffic %'!Z81</f>
        <v>1.7000000000000001E-2</v>
      </c>
      <c r="AA81" s="1859">
        <f>'Total - Traffic %'!AA81</f>
        <v>6.7000000000000004E-2</v>
      </c>
      <c r="AB81" s="1861">
        <f>'Total - Traffic %'!AB81</f>
        <v>4.8000000000000001E-2</v>
      </c>
      <c r="AC81" s="1860">
        <f>'Total - Traffic %'!AC81</f>
        <v>7.0000000000000001E-3</v>
      </c>
      <c r="AD81" s="1862">
        <f>'Total - Traffic %'!AD81</f>
        <v>0.32900000000000001</v>
      </c>
      <c r="AF81" s="3825"/>
      <c r="AG81" s="1741">
        <v>2</v>
      </c>
      <c r="AH81" s="1856">
        <f>'Total - Traffic %'!AH81</f>
        <v>0</v>
      </c>
      <c r="AI81" s="1857">
        <f>'Total - Traffic %'!AI81</f>
        <v>0</v>
      </c>
      <c r="AJ81" s="1858">
        <f>'Total - Traffic %'!AJ81</f>
        <v>0</v>
      </c>
      <c r="AK81" s="1856">
        <f>'Total - Traffic %'!AK81</f>
        <v>5.2999999999999999E-2</v>
      </c>
      <c r="AL81" s="1857">
        <f>'Total - Traffic %'!AL81</f>
        <v>5.0999999999999997E-2</v>
      </c>
      <c r="AM81" s="1858">
        <f>'Total - Traffic %'!AM81</f>
        <v>4.7E-2</v>
      </c>
      <c r="AN81" s="1859">
        <f>'Total - Traffic %'!AN81</f>
        <v>2.4E-2</v>
      </c>
      <c r="AO81" s="1860">
        <f>'Total - Traffic %'!AO81</f>
        <v>1.7999999999999999E-2</v>
      </c>
      <c r="AP81" s="1859">
        <f>'Total - Traffic %'!AP81</f>
        <v>7.0999999999999994E-2</v>
      </c>
      <c r="AQ81" s="1861">
        <f>'Total - Traffic %'!AQ81</f>
        <v>5.0999999999999997E-2</v>
      </c>
      <c r="AR81" s="1860">
        <f>'Total - Traffic %'!AR81</f>
        <v>8.0000000000000002E-3</v>
      </c>
      <c r="AS81" s="1862">
        <f>'Total - Traffic %'!AS81</f>
        <v>0.32300000000000001</v>
      </c>
      <c r="AU81" s="3825"/>
      <c r="AV81" s="1741">
        <v>2</v>
      </c>
      <c r="AW81" s="1856">
        <f>'Total - Traffic %'!AW81</f>
        <v>0</v>
      </c>
      <c r="AX81" s="1857">
        <f>'Total - Traffic %'!AX81</f>
        <v>0</v>
      </c>
      <c r="AY81" s="1858">
        <f>'Total - Traffic %'!AY81</f>
        <v>0</v>
      </c>
      <c r="AZ81" s="1856">
        <f>'Total - Traffic %'!AZ81</f>
        <v>4.1000000000000002E-2</v>
      </c>
      <c r="BA81" s="1857">
        <f>'Total - Traffic %'!BA81</f>
        <v>4.9000000000000002E-2</v>
      </c>
      <c r="BB81" s="1858">
        <f>'Total - Traffic %'!BB81</f>
        <v>5.5E-2</v>
      </c>
      <c r="BC81" s="1859">
        <f>'Total - Traffic %'!BC81</f>
        <v>2.5000000000000001E-2</v>
      </c>
      <c r="BD81" s="1860">
        <f>'Total - Traffic %'!BD81</f>
        <v>1.7000000000000001E-2</v>
      </c>
      <c r="BE81" s="1859">
        <f>'Total - Traffic %'!BE81</f>
        <v>7.0000000000000007E-2</v>
      </c>
      <c r="BF81" s="1861">
        <f>'Total - Traffic %'!BF81</f>
        <v>5.0999999999999997E-2</v>
      </c>
      <c r="BG81" s="1860">
        <f>'Total - Traffic %'!BG81</f>
        <v>8.0000000000000002E-3</v>
      </c>
      <c r="BH81" s="1862">
        <f>'Total - Traffic %'!BH81</f>
        <v>0.316</v>
      </c>
      <c r="BJ81" s="3825"/>
      <c r="BK81" s="1741">
        <v>2</v>
      </c>
      <c r="BL81" s="1856">
        <f>'Total - Traffic %'!BL81</f>
        <v>0</v>
      </c>
      <c r="BM81" s="1857">
        <f>'Total - Traffic %'!BM81</f>
        <v>0</v>
      </c>
      <c r="BN81" s="1858">
        <f>'Total - Traffic %'!BN81</f>
        <v>0</v>
      </c>
      <c r="BO81" s="1856">
        <f>'Total - Traffic %'!BO81</f>
        <v>3.3000000000000002E-2</v>
      </c>
      <c r="BP81" s="1857">
        <f>'Total - Traffic %'!BP81</f>
        <v>4.5999999999999999E-2</v>
      </c>
      <c r="BQ81" s="1858">
        <f>'Total - Traffic %'!BQ81</f>
        <v>5.5E-2</v>
      </c>
      <c r="BR81" s="1859">
        <f>'Total - Traffic %'!BR81</f>
        <v>2.3E-2</v>
      </c>
      <c r="BS81" s="1860">
        <f>'Total - Traffic %'!BS81</f>
        <v>1.7000000000000001E-2</v>
      </c>
      <c r="BT81" s="1859">
        <f>'Total - Traffic %'!BT81</f>
        <v>6.5000000000000002E-2</v>
      </c>
      <c r="BU81" s="1861">
        <f>'Total - Traffic %'!BU81</f>
        <v>4.9000000000000002E-2</v>
      </c>
      <c r="BV81" s="1860">
        <f>'Total - Traffic %'!BV81</f>
        <v>8.0000000000000002E-3</v>
      </c>
      <c r="BW81" s="1862">
        <f>'Total - Traffic %'!BW81</f>
        <v>0.29599999999999999</v>
      </c>
      <c r="BY81" s="3825"/>
      <c r="BZ81" s="1741">
        <v>2</v>
      </c>
      <c r="CA81" s="1856">
        <f>'Total - Traffic %'!CA81</f>
        <v>0</v>
      </c>
      <c r="CB81" s="1857">
        <f>'Total - Traffic %'!CB81</f>
        <v>0</v>
      </c>
      <c r="CC81" s="1858">
        <f>'Total - Traffic %'!CC81</f>
        <v>0</v>
      </c>
      <c r="CD81" s="1856">
        <f>'Total - Traffic %'!CD81</f>
        <v>3.1E-2</v>
      </c>
      <c r="CE81" s="1857">
        <f>'Total - Traffic %'!CE81</f>
        <v>4.1000000000000002E-2</v>
      </c>
      <c r="CF81" s="1858">
        <f>'Total - Traffic %'!CF81</f>
        <v>5.2999999999999999E-2</v>
      </c>
      <c r="CG81" s="1859">
        <f>'Total - Traffic %'!CG81</f>
        <v>2.1000000000000001E-2</v>
      </c>
      <c r="CH81" s="1860">
        <f>'Total - Traffic %'!CH81</f>
        <v>1.7000000000000001E-2</v>
      </c>
      <c r="CI81" s="1859">
        <f>'Total - Traffic %'!CI81</f>
        <v>6.2E-2</v>
      </c>
      <c r="CJ81" s="1861">
        <f>'Total - Traffic %'!CJ81</f>
        <v>4.9000000000000002E-2</v>
      </c>
      <c r="CK81" s="1860">
        <f>'Total - Traffic %'!CK81</f>
        <v>8.0000000000000002E-3</v>
      </c>
      <c r="CL81" s="1862">
        <f>'Total - Traffic %'!CL81</f>
        <v>0.28100000000000003</v>
      </c>
    </row>
    <row r="82" spans="1:90" s="1728" customFormat="1" ht="13.5" customHeight="1">
      <c r="A82" s="3842"/>
      <c r="B82" s="3843"/>
      <c r="C82" s="1741">
        <v>3</v>
      </c>
      <c r="D82" s="1856">
        <f>'Total - Traffic %'!D82</f>
        <v>0</v>
      </c>
      <c r="E82" s="1857">
        <f>'Total - Traffic %'!E82</f>
        <v>0</v>
      </c>
      <c r="F82" s="1858">
        <f>'Total - Traffic %'!F82</f>
        <v>0</v>
      </c>
      <c r="G82" s="1856">
        <f>'Total - Traffic %'!G82</f>
        <v>0.05</v>
      </c>
      <c r="H82" s="1857">
        <f>'Total - Traffic %'!H82</f>
        <v>4.2999999999999997E-2</v>
      </c>
      <c r="I82" s="1858">
        <f>'Total - Traffic %'!I82</f>
        <v>1.9E-2</v>
      </c>
      <c r="J82" s="1859">
        <f>'Total - Traffic %'!J82</f>
        <v>1.9E-2</v>
      </c>
      <c r="K82" s="1860">
        <f>'Total - Traffic %'!K82</f>
        <v>7.0000000000000001E-3</v>
      </c>
      <c r="L82" s="1859">
        <f>'Total - Traffic %'!L82</f>
        <v>1.6E-2</v>
      </c>
      <c r="M82" s="1861">
        <f>'Total - Traffic %'!M82</f>
        <v>0.01</v>
      </c>
      <c r="N82" s="1860">
        <f>'Total - Traffic %'!N82</f>
        <v>2E-3</v>
      </c>
      <c r="O82" s="1862">
        <f>'Total - Traffic %'!O82</f>
        <v>0.16600000000000001</v>
      </c>
      <c r="Q82" s="3825"/>
      <c r="R82" s="1741">
        <v>3</v>
      </c>
      <c r="S82" s="1856">
        <f>'Total - Traffic %'!S82</f>
        <v>0</v>
      </c>
      <c r="T82" s="1857">
        <f>'Total - Traffic %'!T82</f>
        <v>0</v>
      </c>
      <c r="U82" s="1858">
        <f>'Total - Traffic %'!U82</f>
        <v>0</v>
      </c>
      <c r="V82" s="1856">
        <f>'Total - Traffic %'!V82</f>
        <v>5.8999999999999997E-2</v>
      </c>
      <c r="W82" s="1857">
        <f>'Total - Traffic %'!W82</f>
        <v>4.2000000000000003E-2</v>
      </c>
      <c r="X82" s="1858">
        <f>'Total - Traffic %'!X82</f>
        <v>0.02</v>
      </c>
      <c r="Y82" s="1859">
        <f>'Total - Traffic %'!Y82</f>
        <v>1.9E-2</v>
      </c>
      <c r="Z82" s="1860">
        <f>'Total - Traffic %'!Z82</f>
        <v>7.0000000000000001E-3</v>
      </c>
      <c r="AA82" s="1859">
        <f>'Total - Traffic %'!AA82</f>
        <v>1.6E-2</v>
      </c>
      <c r="AB82" s="1861">
        <f>'Total - Traffic %'!AB82</f>
        <v>1.0999999999999999E-2</v>
      </c>
      <c r="AC82" s="1860">
        <f>'Total - Traffic %'!AC82</f>
        <v>2E-3</v>
      </c>
      <c r="AD82" s="1862">
        <f>'Total - Traffic %'!AD82</f>
        <v>0.17499999999999999</v>
      </c>
      <c r="AF82" s="3825"/>
      <c r="AG82" s="1741">
        <v>3</v>
      </c>
      <c r="AH82" s="1856">
        <f>'Total - Traffic %'!AH82</f>
        <v>0</v>
      </c>
      <c r="AI82" s="1857">
        <f>'Total - Traffic %'!AI82</f>
        <v>0</v>
      </c>
      <c r="AJ82" s="1858">
        <f>'Total - Traffic %'!AJ82</f>
        <v>0</v>
      </c>
      <c r="AK82" s="1856">
        <f>'Total - Traffic %'!AK82</f>
        <v>6.0999999999999999E-2</v>
      </c>
      <c r="AL82" s="1857">
        <f>'Total - Traffic %'!AL82</f>
        <v>4.7E-2</v>
      </c>
      <c r="AM82" s="1858">
        <f>'Total - Traffic %'!AM82</f>
        <v>2.1000000000000001E-2</v>
      </c>
      <c r="AN82" s="1859">
        <f>'Total - Traffic %'!AN82</f>
        <v>2.1000000000000001E-2</v>
      </c>
      <c r="AO82" s="1860">
        <f>'Total - Traffic %'!AO82</f>
        <v>7.0000000000000001E-3</v>
      </c>
      <c r="AP82" s="1859">
        <f>'Total - Traffic %'!AP82</f>
        <v>2.8000000000000001E-2</v>
      </c>
      <c r="AQ82" s="1861">
        <f>'Total - Traffic %'!AQ82</f>
        <v>1.2999999999999999E-2</v>
      </c>
      <c r="AR82" s="1860">
        <f>'Total - Traffic %'!AR82</f>
        <v>2E-3</v>
      </c>
      <c r="AS82" s="1862">
        <f>'Total - Traffic %'!AS82</f>
        <v>0.19900000000000001</v>
      </c>
      <c r="AU82" s="3825"/>
      <c r="AV82" s="1741">
        <v>3</v>
      </c>
      <c r="AW82" s="1856">
        <f>'Total - Traffic %'!AW82</f>
        <v>0</v>
      </c>
      <c r="AX82" s="1857">
        <f>'Total - Traffic %'!AX82</f>
        <v>0</v>
      </c>
      <c r="AY82" s="1858">
        <f>'Total - Traffic %'!AY82</f>
        <v>0</v>
      </c>
      <c r="AZ82" s="1856">
        <f>'Total - Traffic %'!AZ82</f>
        <v>6.3E-2</v>
      </c>
      <c r="BA82" s="1857">
        <f>'Total - Traffic %'!BA82</f>
        <v>5.0999999999999997E-2</v>
      </c>
      <c r="BB82" s="1858">
        <f>'Total - Traffic %'!BB82</f>
        <v>2.1999999999999999E-2</v>
      </c>
      <c r="BC82" s="1859">
        <f>'Total - Traffic %'!BC82</f>
        <v>2.1000000000000001E-2</v>
      </c>
      <c r="BD82" s="1860">
        <f>'Total - Traffic %'!BD82</f>
        <v>8.0000000000000002E-3</v>
      </c>
      <c r="BE82" s="1859">
        <f>'Total - Traffic %'!BE82</f>
        <v>3.2000000000000001E-2</v>
      </c>
      <c r="BF82" s="1861">
        <f>'Total - Traffic %'!BF82</f>
        <v>1.4999999999999999E-2</v>
      </c>
      <c r="BG82" s="1860">
        <f>'Total - Traffic %'!BG82</f>
        <v>2E-3</v>
      </c>
      <c r="BH82" s="1862">
        <f>'Total - Traffic %'!BH82</f>
        <v>0.215</v>
      </c>
      <c r="BJ82" s="3825"/>
      <c r="BK82" s="1741">
        <v>3</v>
      </c>
      <c r="BL82" s="1856">
        <f>'Total - Traffic %'!BL82</f>
        <v>0</v>
      </c>
      <c r="BM82" s="1857">
        <f>'Total - Traffic %'!BM82</f>
        <v>0</v>
      </c>
      <c r="BN82" s="1858">
        <f>'Total - Traffic %'!BN82</f>
        <v>0</v>
      </c>
      <c r="BO82" s="1856">
        <f>'Total - Traffic %'!BO82</f>
        <v>6.6000000000000003E-2</v>
      </c>
      <c r="BP82" s="1857">
        <f>'Total - Traffic %'!BP82</f>
        <v>4.9000000000000002E-2</v>
      </c>
      <c r="BQ82" s="1858">
        <f>'Total - Traffic %'!BQ82</f>
        <v>2.3E-2</v>
      </c>
      <c r="BR82" s="1859">
        <f>'Total - Traffic %'!BR82</f>
        <v>2.1000000000000001E-2</v>
      </c>
      <c r="BS82" s="1860">
        <f>'Total - Traffic %'!BS82</f>
        <v>8.0000000000000002E-3</v>
      </c>
      <c r="BT82" s="1859">
        <f>'Total - Traffic %'!BT82</f>
        <v>3.9E-2</v>
      </c>
      <c r="BU82" s="1861">
        <f>'Total - Traffic %'!BU82</f>
        <v>1.7999999999999999E-2</v>
      </c>
      <c r="BV82" s="1860">
        <f>'Total - Traffic %'!BV82</f>
        <v>3.0000000000000001E-3</v>
      </c>
      <c r="BW82" s="1862">
        <f>'Total - Traffic %'!BW82</f>
        <v>0.22700000000000001</v>
      </c>
      <c r="BY82" s="3825"/>
      <c r="BZ82" s="1741">
        <v>3</v>
      </c>
      <c r="CA82" s="1856">
        <f>'Total - Traffic %'!CA82</f>
        <v>0</v>
      </c>
      <c r="CB82" s="1857">
        <f>'Total - Traffic %'!CB82</f>
        <v>0</v>
      </c>
      <c r="CC82" s="1858">
        <f>'Total - Traffic %'!CC82</f>
        <v>0</v>
      </c>
      <c r="CD82" s="1856">
        <f>'Total - Traffic %'!CD82</f>
        <v>6.4000000000000001E-2</v>
      </c>
      <c r="CE82" s="1857">
        <f>'Total - Traffic %'!CE82</f>
        <v>5.1999999999999998E-2</v>
      </c>
      <c r="CF82" s="1858">
        <f>'Total - Traffic %'!CF82</f>
        <v>2.3E-2</v>
      </c>
      <c r="CG82" s="1859">
        <f>'Total - Traffic %'!CG82</f>
        <v>2.3E-2</v>
      </c>
      <c r="CH82" s="1860">
        <f>'Total - Traffic %'!CH82</f>
        <v>8.0000000000000002E-3</v>
      </c>
      <c r="CI82" s="1859">
        <f>'Total - Traffic %'!CI82</f>
        <v>4.2000000000000003E-2</v>
      </c>
      <c r="CJ82" s="1861">
        <f>'Total - Traffic %'!CJ82</f>
        <v>1.7999999999999999E-2</v>
      </c>
      <c r="CK82" s="1860">
        <f>'Total - Traffic %'!CK82</f>
        <v>3.0000000000000001E-3</v>
      </c>
      <c r="CL82" s="1862">
        <f>'Total - Traffic %'!CL82</f>
        <v>0.23200000000000001</v>
      </c>
    </row>
    <row r="83" spans="1:90" s="1728" customFormat="1" ht="13.5" customHeight="1">
      <c r="A83" s="3842"/>
      <c r="B83" s="3843"/>
      <c r="C83" s="1741">
        <v>4</v>
      </c>
      <c r="D83" s="1856">
        <f>'Total - Traffic %'!D83</f>
        <v>0</v>
      </c>
      <c r="E83" s="1857">
        <f>'Total - Traffic %'!E83</f>
        <v>0</v>
      </c>
      <c r="F83" s="1858">
        <f>'Total - Traffic %'!F83</f>
        <v>0</v>
      </c>
      <c r="G83" s="1856">
        <f>'Total - Traffic %'!G83</f>
        <v>1.6E-2</v>
      </c>
      <c r="H83" s="1857">
        <f>'Total - Traffic %'!H83</f>
        <v>3.5000000000000003E-2</v>
      </c>
      <c r="I83" s="1858">
        <f>'Total - Traffic %'!I83</f>
        <v>0.01</v>
      </c>
      <c r="J83" s="1859">
        <f>'Total - Traffic %'!J83</f>
        <v>1.2E-2</v>
      </c>
      <c r="K83" s="1860">
        <f>'Total - Traffic %'!K83</f>
        <v>1E-3</v>
      </c>
      <c r="L83" s="1859">
        <f>'Total - Traffic %'!L83</f>
        <v>4.0000000000000001E-3</v>
      </c>
      <c r="M83" s="1861">
        <f>'Total - Traffic %'!M83</f>
        <v>2E-3</v>
      </c>
      <c r="N83" s="1860">
        <f>'Total - Traffic %'!N83</f>
        <v>3.0000000000000001E-3</v>
      </c>
      <c r="O83" s="1862">
        <f>'Total - Traffic %'!O83</f>
        <v>8.3000000000000004E-2</v>
      </c>
      <c r="Q83" s="3825"/>
      <c r="R83" s="1741">
        <v>4</v>
      </c>
      <c r="S83" s="1856">
        <f>'Total - Traffic %'!S83</f>
        <v>0</v>
      </c>
      <c r="T83" s="1857">
        <f>'Total - Traffic %'!T83</f>
        <v>0</v>
      </c>
      <c r="U83" s="1858">
        <f>'Total - Traffic %'!U83</f>
        <v>0</v>
      </c>
      <c r="V83" s="1856">
        <f>'Total - Traffic %'!V83</f>
        <v>1.2999999999999999E-2</v>
      </c>
      <c r="W83" s="1857">
        <f>'Total - Traffic %'!W83</f>
        <v>3.2000000000000001E-2</v>
      </c>
      <c r="X83" s="1858">
        <f>'Total - Traffic %'!X83</f>
        <v>0.01</v>
      </c>
      <c r="Y83" s="1859">
        <f>'Total - Traffic %'!Y83</f>
        <v>0.01</v>
      </c>
      <c r="Z83" s="1860">
        <f>'Total - Traffic %'!Z83</f>
        <v>1E-3</v>
      </c>
      <c r="AA83" s="1859">
        <f>'Total - Traffic %'!AA83</f>
        <v>3.0000000000000001E-3</v>
      </c>
      <c r="AB83" s="1861">
        <f>'Total - Traffic %'!AB83</f>
        <v>2E-3</v>
      </c>
      <c r="AC83" s="1860">
        <f>'Total - Traffic %'!AC83</f>
        <v>1E-3</v>
      </c>
      <c r="AD83" s="1862">
        <f>'Total - Traffic %'!AD83</f>
        <v>7.1999999999999995E-2</v>
      </c>
      <c r="AF83" s="3825"/>
      <c r="AG83" s="1741">
        <v>4</v>
      </c>
      <c r="AH83" s="1856">
        <f>'Total - Traffic %'!AH83</f>
        <v>0</v>
      </c>
      <c r="AI83" s="1857">
        <f>'Total - Traffic %'!AI83</f>
        <v>0</v>
      </c>
      <c r="AJ83" s="1858">
        <f>'Total - Traffic %'!AJ83</f>
        <v>0</v>
      </c>
      <c r="AK83" s="1856">
        <f>'Total - Traffic %'!AK83</f>
        <v>1.9E-2</v>
      </c>
      <c r="AL83" s="1857">
        <f>'Total - Traffic %'!AL83</f>
        <v>2.3E-2</v>
      </c>
      <c r="AM83" s="1858">
        <f>'Total - Traffic %'!AM83</f>
        <v>1.0999999999999999E-2</v>
      </c>
      <c r="AN83" s="1859">
        <f>'Total - Traffic %'!AN83</f>
        <v>8.9999999999999993E-3</v>
      </c>
      <c r="AO83" s="1860">
        <f>'Total - Traffic %'!AO83</f>
        <v>2E-3</v>
      </c>
      <c r="AP83" s="1859">
        <f>'Total - Traffic %'!AP83</f>
        <v>5.0000000000000001E-3</v>
      </c>
      <c r="AQ83" s="1861">
        <f>'Total - Traffic %'!AQ83</f>
        <v>3.0000000000000001E-3</v>
      </c>
      <c r="AR83" s="1860">
        <f>'Total - Traffic %'!AR83</f>
        <v>1E-3</v>
      </c>
      <c r="AS83" s="1862">
        <f>'Total - Traffic %'!AS83</f>
        <v>7.1999999999999995E-2</v>
      </c>
      <c r="AU83" s="3825"/>
      <c r="AV83" s="1741">
        <v>4</v>
      </c>
      <c r="AW83" s="1856">
        <f>'Total - Traffic %'!AW83</f>
        <v>0</v>
      </c>
      <c r="AX83" s="1857">
        <f>'Total - Traffic %'!AX83</f>
        <v>0</v>
      </c>
      <c r="AY83" s="1858">
        <f>'Total - Traffic %'!AY83</f>
        <v>0</v>
      </c>
      <c r="AZ83" s="1856">
        <f>'Total - Traffic %'!AZ83</f>
        <v>3.1E-2</v>
      </c>
      <c r="BA83" s="1857">
        <f>'Total - Traffic %'!BA83</f>
        <v>2.5999999999999999E-2</v>
      </c>
      <c r="BB83" s="1858">
        <f>'Total - Traffic %'!BB83</f>
        <v>1.2E-2</v>
      </c>
      <c r="BC83" s="1859">
        <f>'Total - Traffic %'!BC83</f>
        <v>0.01</v>
      </c>
      <c r="BD83" s="1860">
        <f>'Total - Traffic %'!BD83</f>
        <v>2E-3</v>
      </c>
      <c r="BE83" s="1859">
        <f>'Total - Traffic %'!BE83</f>
        <v>6.0000000000000001E-3</v>
      </c>
      <c r="BF83" s="1861">
        <f>'Total - Traffic %'!BF83</f>
        <v>3.0000000000000001E-3</v>
      </c>
      <c r="BG83" s="1860">
        <f>'Total - Traffic %'!BG83</f>
        <v>1E-3</v>
      </c>
      <c r="BH83" s="1862">
        <f>'Total - Traffic %'!BH83</f>
        <v>9.1999999999999998E-2</v>
      </c>
      <c r="BJ83" s="3825"/>
      <c r="BK83" s="1741">
        <v>4</v>
      </c>
      <c r="BL83" s="1856">
        <f>'Total - Traffic %'!BL83</f>
        <v>0</v>
      </c>
      <c r="BM83" s="1857">
        <f>'Total - Traffic %'!BM83</f>
        <v>0</v>
      </c>
      <c r="BN83" s="1858">
        <f>'Total - Traffic %'!BN83</f>
        <v>0</v>
      </c>
      <c r="BO83" s="1856">
        <f>'Total - Traffic %'!BO83</f>
        <v>3.5999999999999997E-2</v>
      </c>
      <c r="BP83" s="1857">
        <f>'Total - Traffic %'!BP83</f>
        <v>2.7E-2</v>
      </c>
      <c r="BQ83" s="1858">
        <f>'Total - Traffic %'!BQ83</f>
        <v>1.2999999999999999E-2</v>
      </c>
      <c r="BR83" s="1859">
        <f>'Total - Traffic %'!BR83</f>
        <v>1.0999999999999999E-2</v>
      </c>
      <c r="BS83" s="1860">
        <f>'Total - Traffic %'!BS83</f>
        <v>2E-3</v>
      </c>
      <c r="BT83" s="1859">
        <f>'Total - Traffic %'!BT83</f>
        <v>7.0000000000000001E-3</v>
      </c>
      <c r="BU83" s="1861">
        <f>'Total - Traffic %'!BU83</f>
        <v>4.0000000000000001E-3</v>
      </c>
      <c r="BV83" s="1860">
        <f>'Total - Traffic %'!BV83</f>
        <v>1E-3</v>
      </c>
      <c r="BW83" s="1862">
        <f>'Total - Traffic %'!BW83</f>
        <v>0.10100000000000001</v>
      </c>
      <c r="BY83" s="3825"/>
      <c r="BZ83" s="1741">
        <v>4</v>
      </c>
      <c r="CA83" s="1856">
        <f>'Total - Traffic %'!CA83</f>
        <v>0</v>
      </c>
      <c r="CB83" s="1857">
        <f>'Total - Traffic %'!CB83</f>
        <v>0</v>
      </c>
      <c r="CC83" s="1858">
        <f>'Total - Traffic %'!CC83</f>
        <v>0</v>
      </c>
      <c r="CD83" s="1856">
        <f>'Total - Traffic %'!CD83</f>
        <v>4.1000000000000002E-2</v>
      </c>
      <c r="CE83" s="1857">
        <f>'Total - Traffic %'!CE83</f>
        <v>2.8000000000000001E-2</v>
      </c>
      <c r="CF83" s="1858">
        <f>'Total - Traffic %'!CF83</f>
        <v>1.4999999999999999E-2</v>
      </c>
      <c r="CG83" s="1859">
        <f>'Total - Traffic %'!CG83</f>
        <v>1.2E-2</v>
      </c>
      <c r="CH83" s="1860">
        <f>'Total - Traffic %'!CH83</f>
        <v>2E-3</v>
      </c>
      <c r="CI83" s="1859">
        <f>'Total - Traffic %'!CI83</f>
        <v>1.0999999999999999E-2</v>
      </c>
      <c r="CJ83" s="1861">
        <f>'Total - Traffic %'!CJ83</f>
        <v>5.0000000000000001E-3</v>
      </c>
      <c r="CK83" s="1860">
        <f>'Total - Traffic %'!CK83</f>
        <v>1E-3</v>
      </c>
      <c r="CL83" s="1862">
        <f>'Total - Traffic %'!CL83</f>
        <v>0.11600000000000001</v>
      </c>
    </row>
    <row r="84" spans="1:90" s="1728" customFormat="1" ht="13.5" customHeight="1">
      <c r="A84" s="3842"/>
      <c r="B84" s="3843"/>
      <c r="C84" s="1749">
        <v>5</v>
      </c>
      <c r="D84" s="1856">
        <f>'Total - Traffic %'!D84</f>
        <v>0</v>
      </c>
      <c r="E84" s="1857">
        <f>'Total - Traffic %'!E84</f>
        <v>0</v>
      </c>
      <c r="F84" s="1858">
        <f>'Total - Traffic %'!F84</f>
        <v>0</v>
      </c>
      <c r="G84" s="1856">
        <f>'Total - Traffic %'!G84</f>
        <v>0</v>
      </c>
      <c r="H84" s="1857">
        <f>'Total - Traffic %'!H84</f>
        <v>0</v>
      </c>
      <c r="I84" s="1858">
        <f>'Total - Traffic %'!I84</f>
        <v>5.0000000000000001E-3</v>
      </c>
      <c r="J84" s="1859">
        <f>'Total - Traffic %'!J84</f>
        <v>0</v>
      </c>
      <c r="K84" s="1860">
        <f>'Total - Traffic %'!K84</f>
        <v>0</v>
      </c>
      <c r="L84" s="1859">
        <f>'Total - Traffic %'!L84</f>
        <v>0</v>
      </c>
      <c r="M84" s="1861">
        <f>'Total - Traffic %'!M84</f>
        <v>0</v>
      </c>
      <c r="N84" s="1860">
        <f>'Total - Traffic %'!N84</f>
        <v>0</v>
      </c>
      <c r="O84" s="1862">
        <f>'Total - Traffic %'!O84</f>
        <v>6.0000000000000001E-3</v>
      </c>
      <c r="Q84" s="3825"/>
      <c r="R84" s="1749">
        <v>5</v>
      </c>
      <c r="S84" s="1856">
        <f>'Total - Traffic %'!S84</f>
        <v>0</v>
      </c>
      <c r="T84" s="1857">
        <f>'Total - Traffic %'!T84</f>
        <v>0</v>
      </c>
      <c r="U84" s="1858">
        <f>'Total - Traffic %'!U84</f>
        <v>0</v>
      </c>
      <c r="V84" s="1856">
        <f>'Total - Traffic %'!V84</f>
        <v>1E-3</v>
      </c>
      <c r="W84" s="1857">
        <f>'Total - Traffic %'!W84</f>
        <v>4.0000000000000001E-3</v>
      </c>
      <c r="X84" s="1858">
        <f>'Total - Traffic %'!X84</f>
        <v>6.0000000000000001E-3</v>
      </c>
      <c r="Y84" s="1859">
        <f>'Total - Traffic %'!Y84</f>
        <v>2E-3</v>
      </c>
      <c r="Z84" s="1860">
        <f>'Total - Traffic %'!Z84</f>
        <v>0</v>
      </c>
      <c r="AA84" s="1859">
        <f>'Total - Traffic %'!AA84</f>
        <v>0</v>
      </c>
      <c r="AB84" s="1861">
        <f>'Total - Traffic %'!AB84</f>
        <v>0</v>
      </c>
      <c r="AC84" s="1860">
        <f>'Total - Traffic %'!AC84</f>
        <v>2E-3</v>
      </c>
      <c r="AD84" s="1862">
        <f>'Total - Traffic %'!AD84</f>
        <v>1.4E-2</v>
      </c>
      <c r="AF84" s="3825"/>
      <c r="AG84" s="1749">
        <v>5</v>
      </c>
      <c r="AH84" s="1856">
        <f>'Total - Traffic %'!AH84</f>
        <v>0</v>
      </c>
      <c r="AI84" s="1857">
        <f>'Total - Traffic %'!AI84</f>
        <v>0</v>
      </c>
      <c r="AJ84" s="1858">
        <f>'Total - Traffic %'!AJ84</f>
        <v>0</v>
      </c>
      <c r="AK84" s="1856">
        <f>'Total - Traffic %'!AK84</f>
        <v>1E-3</v>
      </c>
      <c r="AL84" s="1857">
        <f>'Total - Traffic %'!AL84</f>
        <v>1.7000000000000001E-2</v>
      </c>
      <c r="AM84" s="1858">
        <f>'Total - Traffic %'!AM84</f>
        <v>8.0000000000000002E-3</v>
      </c>
      <c r="AN84" s="1859">
        <f>'Total - Traffic %'!AN84</f>
        <v>5.0000000000000001E-3</v>
      </c>
      <c r="AO84" s="1860">
        <f>'Total - Traffic %'!AO84</f>
        <v>0</v>
      </c>
      <c r="AP84" s="1859">
        <f>'Total - Traffic %'!AP84</f>
        <v>0</v>
      </c>
      <c r="AQ84" s="1861">
        <f>'Total - Traffic %'!AQ84</f>
        <v>0</v>
      </c>
      <c r="AR84" s="1860">
        <f>'Total - Traffic %'!AR84</f>
        <v>2E-3</v>
      </c>
      <c r="AS84" s="1862">
        <f>'Total - Traffic %'!AS84</f>
        <v>3.3000000000000002E-2</v>
      </c>
      <c r="AU84" s="3825"/>
      <c r="AV84" s="1749">
        <v>5</v>
      </c>
      <c r="AW84" s="1856">
        <f>'Total - Traffic %'!AW84</f>
        <v>0</v>
      </c>
      <c r="AX84" s="1857">
        <f>'Total - Traffic %'!AX84</f>
        <v>0</v>
      </c>
      <c r="AY84" s="1858">
        <f>'Total - Traffic %'!AY84</f>
        <v>0</v>
      </c>
      <c r="AZ84" s="1856">
        <f>'Total - Traffic %'!AZ84</f>
        <v>1E-3</v>
      </c>
      <c r="BA84" s="1857">
        <f>'Total - Traffic %'!BA84</f>
        <v>1.7999999999999999E-2</v>
      </c>
      <c r="BB84" s="1858">
        <f>'Total - Traffic %'!BB84</f>
        <v>8.9999999999999993E-3</v>
      </c>
      <c r="BC84" s="1859">
        <f>'Total - Traffic %'!BC84</f>
        <v>5.0000000000000001E-3</v>
      </c>
      <c r="BD84" s="1860">
        <f>'Total - Traffic %'!BD84</f>
        <v>0</v>
      </c>
      <c r="BE84" s="1859">
        <f>'Total - Traffic %'!BE84</f>
        <v>0</v>
      </c>
      <c r="BF84" s="1861">
        <f>'Total - Traffic %'!BF84</f>
        <v>0</v>
      </c>
      <c r="BG84" s="1860">
        <f>'Total - Traffic %'!BG84</f>
        <v>2E-3</v>
      </c>
      <c r="BH84" s="1862">
        <f>'Total - Traffic %'!BH84</f>
        <v>3.5999999999999997E-2</v>
      </c>
      <c r="BJ84" s="3825"/>
      <c r="BK84" s="1749">
        <v>5</v>
      </c>
      <c r="BL84" s="1856">
        <f>'Total - Traffic %'!BL84</f>
        <v>0</v>
      </c>
      <c r="BM84" s="1857">
        <f>'Total - Traffic %'!BM84</f>
        <v>0</v>
      </c>
      <c r="BN84" s="1858">
        <f>'Total - Traffic %'!BN84</f>
        <v>0</v>
      </c>
      <c r="BO84" s="1856">
        <f>'Total - Traffic %'!BO84</f>
        <v>2E-3</v>
      </c>
      <c r="BP84" s="1857">
        <f>'Total - Traffic %'!BP84</f>
        <v>1.9E-2</v>
      </c>
      <c r="BQ84" s="1858">
        <f>'Total - Traffic %'!BQ84</f>
        <v>0.01</v>
      </c>
      <c r="BR84" s="1859">
        <f>'Total - Traffic %'!BR84</f>
        <v>5.0000000000000001E-3</v>
      </c>
      <c r="BS84" s="1860">
        <f>'Total - Traffic %'!BS84</f>
        <v>0</v>
      </c>
      <c r="BT84" s="1859">
        <f>'Total - Traffic %'!BT84</f>
        <v>1E-3</v>
      </c>
      <c r="BU84" s="1861">
        <f>'Total - Traffic %'!BU84</f>
        <v>0</v>
      </c>
      <c r="BV84" s="1860">
        <f>'Total - Traffic %'!BV84</f>
        <v>2E-3</v>
      </c>
      <c r="BW84" s="1862">
        <f>'Total - Traffic %'!BW84</f>
        <v>0.04</v>
      </c>
      <c r="BY84" s="3825"/>
      <c r="BZ84" s="1749">
        <v>5</v>
      </c>
      <c r="CA84" s="1856">
        <f>'Total - Traffic %'!CA84</f>
        <v>0</v>
      </c>
      <c r="CB84" s="1857">
        <f>'Total - Traffic %'!CB84</f>
        <v>0</v>
      </c>
      <c r="CC84" s="1858">
        <f>'Total - Traffic %'!CC84</f>
        <v>0</v>
      </c>
      <c r="CD84" s="1856">
        <f>'Total - Traffic %'!CD84</f>
        <v>4.0000000000000001E-3</v>
      </c>
      <c r="CE84" s="1857">
        <f>'Total - Traffic %'!CE84</f>
        <v>0.02</v>
      </c>
      <c r="CF84" s="1858">
        <f>'Total - Traffic %'!CF84</f>
        <v>0.01</v>
      </c>
      <c r="CG84" s="1859">
        <f>'Total - Traffic %'!CG84</f>
        <v>6.0000000000000001E-3</v>
      </c>
      <c r="CH84" s="1860">
        <f>'Total - Traffic %'!CH84</f>
        <v>0</v>
      </c>
      <c r="CI84" s="1859">
        <f>'Total - Traffic %'!CI84</f>
        <v>1E-3</v>
      </c>
      <c r="CJ84" s="1861">
        <f>'Total - Traffic %'!CJ84</f>
        <v>0</v>
      </c>
      <c r="CK84" s="1860">
        <f>'Total - Traffic %'!CK84</f>
        <v>2E-3</v>
      </c>
      <c r="CL84" s="1862">
        <f>'Total - Traffic %'!CL84</f>
        <v>4.3999999999999997E-2</v>
      </c>
    </row>
    <row r="85" spans="1:90" s="1728" customFormat="1" ht="13.5" customHeight="1" thickBot="1">
      <c r="A85" s="3844"/>
      <c r="B85" s="3845"/>
      <c r="C85" s="1750" t="s">
        <v>1422</v>
      </c>
      <c r="D85" s="1863">
        <f>'Total - Traffic %'!D85</f>
        <v>0</v>
      </c>
      <c r="E85" s="1864">
        <f>'Total - Traffic %'!E85</f>
        <v>0</v>
      </c>
      <c r="F85" s="1865">
        <f>'Total - Traffic %'!F85</f>
        <v>0</v>
      </c>
      <c r="G85" s="1863">
        <f>'Total - Traffic %'!G85</f>
        <v>0.154</v>
      </c>
      <c r="H85" s="1864">
        <f>'Total - Traffic %'!H85</f>
        <v>0.17</v>
      </c>
      <c r="I85" s="1865">
        <f>'Total - Traffic %'!I85</f>
        <v>0.2</v>
      </c>
      <c r="J85" s="1866">
        <f>'Total - Traffic %'!J85</f>
        <v>7.3999999999999996E-2</v>
      </c>
      <c r="K85" s="1867">
        <f>'Total - Traffic %'!K85</f>
        <v>7.8E-2</v>
      </c>
      <c r="L85" s="1866">
        <f>'Total - Traffic %'!L85</f>
        <v>0.13400000000000001</v>
      </c>
      <c r="M85" s="1868">
        <f>'Total - Traffic %'!M85</f>
        <v>0.11799999999999999</v>
      </c>
      <c r="N85" s="1867">
        <f>'Total - Traffic %'!N85</f>
        <v>7.1999999999999995E-2</v>
      </c>
      <c r="O85" s="1869">
        <f>'Total - Traffic %'!O85</f>
        <v>1</v>
      </c>
      <c r="Q85" s="3826"/>
      <c r="R85" s="1750" t="s">
        <v>1422</v>
      </c>
      <c r="S85" s="1863">
        <f>'Total - Traffic %'!S85</f>
        <v>0</v>
      </c>
      <c r="T85" s="1864">
        <f>'Total - Traffic %'!T85</f>
        <v>0</v>
      </c>
      <c r="U85" s="1865">
        <f>'Total - Traffic %'!U85</f>
        <v>0</v>
      </c>
      <c r="V85" s="1863">
        <f>'Total - Traffic %'!V85</f>
        <v>0.155</v>
      </c>
      <c r="W85" s="1864">
        <f>'Total - Traffic %'!W85</f>
        <v>0.16900000000000001</v>
      </c>
      <c r="X85" s="1865">
        <f>'Total - Traffic %'!X85</f>
        <v>0.19900000000000001</v>
      </c>
      <c r="Y85" s="1866">
        <f>'Total - Traffic %'!Y85</f>
        <v>7.2999999999999995E-2</v>
      </c>
      <c r="Z85" s="1867">
        <f>'Total - Traffic %'!Z85</f>
        <v>7.6999999999999999E-2</v>
      </c>
      <c r="AA85" s="1866">
        <f>'Total - Traffic %'!AA85</f>
        <v>0.13500000000000001</v>
      </c>
      <c r="AB85" s="1868">
        <f>'Total - Traffic %'!AB85</f>
        <v>0.11899999999999999</v>
      </c>
      <c r="AC85" s="1867">
        <f>'Total - Traffic %'!AC85</f>
        <v>7.1999999999999995E-2</v>
      </c>
      <c r="AD85" s="1869">
        <f>'Total - Traffic %'!AD85</f>
        <v>1</v>
      </c>
      <c r="AF85" s="3826"/>
      <c r="AG85" s="1750" t="s">
        <v>1422</v>
      </c>
      <c r="AH85" s="1863">
        <f>'Total - Traffic %'!AH85</f>
        <v>0</v>
      </c>
      <c r="AI85" s="1864">
        <f>'Total - Traffic %'!AI85</f>
        <v>0</v>
      </c>
      <c r="AJ85" s="1865">
        <f>'Total - Traffic %'!AJ85</f>
        <v>0</v>
      </c>
      <c r="AK85" s="1863">
        <f>'Total - Traffic %'!AK85</f>
        <v>0.154</v>
      </c>
      <c r="AL85" s="1864">
        <f>'Total - Traffic %'!AL85</f>
        <v>0.16800000000000001</v>
      </c>
      <c r="AM85" s="1865">
        <f>'Total - Traffic %'!AM85</f>
        <v>0.19900000000000001</v>
      </c>
      <c r="AN85" s="1866">
        <f>'Total - Traffic %'!AN85</f>
        <v>7.2999999999999995E-2</v>
      </c>
      <c r="AO85" s="1867">
        <f>'Total - Traffic %'!AO85</f>
        <v>7.6999999999999999E-2</v>
      </c>
      <c r="AP85" s="1866">
        <f>'Total - Traffic %'!AP85</f>
        <v>0.13700000000000001</v>
      </c>
      <c r="AQ85" s="1868">
        <f>'Total - Traffic %'!AQ85</f>
        <v>0.11899999999999999</v>
      </c>
      <c r="AR85" s="1867">
        <f>'Total - Traffic %'!AR85</f>
        <v>7.1999999999999995E-2</v>
      </c>
      <c r="AS85" s="1869">
        <f>'Total - Traffic %'!AS85</f>
        <v>1</v>
      </c>
      <c r="AU85" s="3826"/>
      <c r="AV85" s="1750" t="s">
        <v>1422</v>
      </c>
      <c r="AW85" s="1863">
        <f>'Total - Traffic %'!AW85</f>
        <v>0</v>
      </c>
      <c r="AX85" s="1864">
        <f>'Total - Traffic %'!AX85</f>
        <v>0</v>
      </c>
      <c r="AY85" s="1865">
        <f>'Total - Traffic %'!AY85</f>
        <v>0</v>
      </c>
      <c r="AZ85" s="1863">
        <f>'Total - Traffic %'!AZ85</f>
        <v>0.156</v>
      </c>
      <c r="BA85" s="1864">
        <f>'Total - Traffic %'!BA85</f>
        <v>0.16800000000000001</v>
      </c>
      <c r="BB85" s="1865">
        <f>'Total - Traffic %'!BB85</f>
        <v>0.19900000000000001</v>
      </c>
      <c r="BC85" s="1866">
        <f>'Total - Traffic %'!BC85</f>
        <v>7.1999999999999995E-2</v>
      </c>
      <c r="BD85" s="1867">
        <f>'Total - Traffic %'!BD85</f>
        <v>7.5999999999999998E-2</v>
      </c>
      <c r="BE85" s="1866">
        <f>'Total - Traffic %'!BE85</f>
        <v>0.13800000000000001</v>
      </c>
      <c r="BF85" s="1868">
        <f>'Total - Traffic %'!BF85</f>
        <v>0.11899999999999999</v>
      </c>
      <c r="BG85" s="1867">
        <f>'Total - Traffic %'!BG85</f>
        <v>7.1999999999999995E-2</v>
      </c>
      <c r="BH85" s="1869">
        <f>'Total - Traffic %'!BH85</f>
        <v>1</v>
      </c>
      <c r="BJ85" s="3826"/>
      <c r="BK85" s="1750" t="s">
        <v>1422</v>
      </c>
      <c r="BL85" s="1863">
        <f>'Total - Traffic %'!BL85</f>
        <v>0</v>
      </c>
      <c r="BM85" s="1864">
        <f>'Total - Traffic %'!BM85</f>
        <v>0</v>
      </c>
      <c r="BN85" s="1865">
        <f>'Total - Traffic %'!BN85</f>
        <v>0</v>
      </c>
      <c r="BO85" s="1863">
        <f>'Total - Traffic %'!BO85</f>
        <v>0.156</v>
      </c>
      <c r="BP85" s="1864">
        <f>'Total - Traffic %'!BP85</f>
        <v>0.16700000000000001</v>
      </c>
      <c r="BQ85" s="1865">
        <f>'Total - Traffic %'!BQ85</f>
        <v>0.19900000000000001</v>
      </c>
      <c r="BR85" s="1866">
        <f>'Total - Traffic %'!BR85</f>
        <v>7.0999999999999994E-2</v>
      </c>
      <c r="BS85" s="1867">
        <f>'Total - Traffic %'!BS85</f>
        <v>7.4999999999999997E-2</v>
      </c>
      <c r="BT85" s="1866">
        <f>'Total - Traffic %'!BT85</f>
        <v>0.13900000000000001</v>
      </c>
      <c r="BU85" s="1868">
        <f>'Total - Traffic %'!BU85</f>
        <v>0.11899999999999999</v>
      </c>
      <c r="BV85" s="1867">
        <f>'Total - Traffic %'!BV85</f>
        <v>7.1999999999999995E-2</v>
      </c>
      <c r="BW85" s="1869">
        <f>'Total - Traffic %'!BW85</f>
        <v>1</v>
      </c>
      <c r="BY85" s="3826"/>
      <c r="BZ85" s="1750" t="s">
        <v>1422</v>
      </c>
      <c r="CA85" s="1863">
        <f>'Total - Traffic %'!CA85</f>
        <v>0</v>
      </c>
      <c r="CB85" s="1864">
        <f>'Total - Traffic %'!CB85</f>
        <v>0</v>
      </c>
      <c r="CC85" s="1865">
        <f>'Total - Traffic %'!CC85</f>
        <v>0</v>
      </c>
      <c r="CD85" s="1863">
        <f>'Total - Traffic %'!CD85</f>
        <v>0.156</v>
      </c>
      <c r="CE85" s="1864">
        <f>'Total - Traffic %'!CE85</f>
        <v>0.16700000000000001</v>
      </c>
      <c r="CF85" s="1865">
        <f>'Total - Traffic %'!CF85</f>
        <v>0.19900000000000001</v>
      </c>
      <c r="CG85" s="1866">
        <f>'Total - Traffic %'!CG85</f>
        <v>7.0999999999999994E-2</v>
      </c>
      <c r="CH85" s="1867">
        <f>'Total - Traffic %'!CH85</f>
        <v>7.4999999999999997E-2</v>
      </c>
      <c r="CI85" s="1866">
        <f>'Total - Traffic %'!CI85</f>
        <v>0.14000000000000001</v>
      </c>
      <c r="CJ85" s="1868">
        <f>'Total - Traffic %'!CJ85</f>
        <v>0.11799999999999999</v>
      </c>
      <c r="CK85" s="1867">
        <f>'Total - Traffic %'!CK85</f>
        <v>7.2999999999999995E-2</v>
      </c>
      <c r="CL85" s="1869">
        <f>'Total - Traffic %'!CL85</f>
        <v>1</v>
      </c>
    </row>
    <row r="86" spans="1:90" s="1728" customFormat="1" ht="13.5" customHeight="1" thickTop="1">
      <c r="A86" s="3840" t="s">
        <v>1126</v>
      </c>
      <c r="B86" s="3841"/>
      <c r="C86" s="1733">
        <v>1</v>
      </c>
      <c r="D86" s="1849">
        <f>'Total - Traffic %'!D86</f>
        <v>0</v>
      </c>
      <c r="E86" s="1850">
        <f>'Total - Traffic %'!E86</f>
        <v>0</v>
      </c>
      <c r="F86" s="1851">
        <f>'Total - Traffic %'!F86</f>
        <v>0</v>
      </c>
      <c r="G86" s="1849">
        <f>'Total - Traffic %'!G86</f>
        <v>0</v>
      </c>
      <c r="H86" s="1850">
        <f>'Total - Traffic %'!H86</f>
        <v>0</v>
      </c>
      <c r="I86" s="1851">
        <f>'Total - Traffic %'!I86</f>
        <v>0</v>
      </c>
      <c r="J86" s="1852">
        <f>'Total - Traffic %'!J86</f>
        <v>0.03</v>
      </c>
      <c r="K86" s="1853">
        <f>'Total - Traffic %'!K86</f>
        <v>0.11899999999999999</v>
      </c>
      <c r="L86" s="1852">
        <f>'Total - Traffic %'!L86</f>
        <v>3.5000000000000003E-2</v>
      </c>
      <c r="M86" s="1854">
        <f>'Total - Traffic %'!M86</f>
        <v>8.3000000000000004E-2</v>
      </c>
      <c r="N86" s="1853">
        <f>'Total - Traffic %'!N86</f>
        <v>0.105</v>
      </c>
      <c r="O86" s="1855">
        <f>'Total - Traffic %'!O86</f>
        <v>0.372</v>
      </c>
      <c r="Q86" s="3824" t="s">
        <v>1126</v>
      </c>
      <c r="R86" s="1733">
        <v>1</v>
      </c>
      <c r="S86" s="1849">
        <f>'Total - Traffic %'!S86</f>
        <v>0</v>
      </c>
      <c r="T86" s="1850">
        <f>'Total - Traffic %'!T86</f>
        <v>0</v>
      </c>
      <c r="U86" s="1851">
        <f>'Total - Traffic %'!U86</f>
        <v>0</v>
      </c>
      <c r="V86" s="1849">
        <f>'Total - Traffic %'!V86</f>
        <v>0</v>
      </c>
      <c r="W86" s="1850">
        <f>'Total - Traffic %'!W86</f>
        <v>0</v>
      </c>
      <c r="X86" s="1851">
        <f>'Total - Traffic %'!X86</f>
        <v>0</v>
      </c>
      <c r="Y86" s="1852">
        <f>'Total - Traffic %'!Y86</f>
        <v>2.9000000000000001E-2</v>
      </c>
      <c r="Z86" s="1853">
        <f>'Total - Traffic %'!Z86</f>
        <v>0.11799999999999999</v>
      </c>
      <c r="AA86" s="1852">
        <f>'Total - Traffic %'!AA86</f>
        <v>3.4000000000000002E-2</v>
      </c>
      <c r="AB86" s="1854">
        <f>'Total - Traffic %'!AB86</f>
        <v>8.5000000000000006E-2</v>
      </c>
      <c r="AC86" s="1853">
        <f>'Total - Traffic %'!AC86</f>
        <v>0.104</v>
      </c>
      <c r="AD86" s="1855">
        <f>'Total - Traffic %'!AD86</f>
        <v>0.37</v>
      </c>
      <c r="AF86" s="3824" t="s">
        <v>1126</v>
      </c>
      <c r="AG86" s="1733">
        <v>1</v>
      </c>
      <c r="AH86" s="1849">
        <f>'Total - Traffic %'!AH86</f>
        <v>0</v>
      </c>
      <c r="AI86" s="1850">
        <f>'Total - Traffic %'!AI86</f>
        <v>0</v>
      </c>
      <c r="AJ86" s="1851">
        <f>'Total - Traffic %'!AJ86</f>
        <v>0</v>
      </c>
      <c r="AK86" s="1849">
        <f>'Total - Traffic %'!AK86</f>
        <v>0</v>
      </c>
      <c r="AL86" s="1850">
        <f>'Total - Traffic %'!AL86</f>
        <v>0</v>
      </c>
      <c r="AM86" s="1851">
        <f>'Total - Traffic %'!AM86</f>
        <v>0</v>
      </c>
      <c r="AN86" s="1852">
        <f>'Total - Traffic %'!AN86</f>
        <v>2.4E-2</v>
      </c>
      <c r="AO86" s="1853">
        <f>'Total - Traffic %'!AO86</f>
        <v>0.11700000000000001</v>
      </c>
      <c r="AP86" s="1852">
        <f>'Total - Traffic %'!AP86</f>
        <v>2.7E-2</v>
      </c>
      <c r="AQ86" s="1854">
        <f>'Total - Traffic %'!AQ86</f>
        <v>6.8000000000000005E-2</v>
      </c>
      <c r="AR86" s="1853">
        <f>'Total - Traffic %'!AR86</f>
        <v>9.8000000000000004E-2</v>
      </c>
      <c r="AS86" s="1855">
        <f>'Total - Traffic %'!AS86</f>
        <v>0.33500000000000002</v>
      </c>
      <c r="AU86" s="3824" t="s">
        <v>1126</v>
      </c>
      <c r="AV86" s="1733">
        <v>1</v>
      </c>
      <c r="AW86" s="1849">
        <f>'Total - Traffic %'!AW86</f>
        <v>0</v>
      </c>
      <c r="AX86" s="1850">
        <f>'Total - Traffic %'!AX86</f>
        <v>0</v>
      </c>
      <c r="AY86" s="1851">
        <f>'Total - Traffic %'!AY86</f>
        <v>0</v>
      </c>
      <c r="AZ86" s="1849">
        <f>'Total - Traffic %'!AZ86</f>
        <v>0</v>
      </c>
      <c r="BA86" s="1850">
        <f>'Total - Traffic %'!BA86</f>
        <v>0</v>
      </c>
      <c r="BB86" s="1851">
        <f>'Total - Traffic %'!BB86</f>
        <v>0</v>
      </c>
      <c r="BC86" s="1852">
        <f>'Total - Traffic %'!BC86</f>
        <v>2.1999999999999999E-2</v>
      </c>
      <c r="BD86" s="1853">
        <f>'Total - Traffic %'!BD86</f>
        <v>0.11</v>
      </c>
      <c r="BE86" s="1852">
        <f>'Total - Traffic %'!BE86</f>
        <v>2.5999999999999999E-2</v>
      </c>
      <c r="BF86" s="1854">
        <f>'Total - Traffic %'!BF86</f>
        <v>6.6000000000000003E-2</v>
      </c>
      <c r="BG86" s="1853">
        <f>'Total - Traffic %'!BG86</f>
        <v>9.7000000000000003E-2</v>
      </c>
      <c r="BH86" s="1855">
        <f>'Total - Traffic %'!BH86</f>
        <v>0.32100000000000001</v>
      </c>
      <c r="BJ86" s="3824" t="s">
        <v>1126</v>
      </c>
      <c r="BK86" s="1733">
        <v>1</v>
      </c>
      <c r="BL86" s="1849">
        <f>'Total - Traffic %'!BL86</f>
        <v>0</v>
      </c>
      <c r="BM86" s="1850">
        <f>'Total - Traffic %'!BM86</f>
        <v>0</v>
      </c>
      <c r="BN86" s="1851">
        <f>'Total - Traffic %'!BN86</f>
        <v>0</v>
      </c>
      <c r="BO86" s="1849">
        <f>'Total - Traffic %'!BO86</f>
        <v>0</v>
      </c>
      <c r="BP86" s="1850">
        <f>'Total - Traffic %'!BP86</f>
        <v>0</v>
      </c>
      <c r="BQ86" s="1851">
        <f>'Total - Traffic %'!BQ86</f>
        <v>0</v>
      </c>
      <c r="BR86" s="1852">
        <f>'Total - Traffic %'!BR86</f>
        <v>2.1000000000000001E-2</v>
      </c>
      <c r="BS86" s="1853">
        <f>'Total - Traffic %'!BS86</f>
        <v>0.106</v>
      </c>
      <c r="BT86" s="1852">
        <f>'Total - Traffic %'!BT86</f>
        <v>2.5000000000000001E-2</v>
      </c>
      <c r="BU86" s="1854">
        <f>'Total - Traffic %'!BU86</f>
        <v>6.3E-2</v>
      </c>
      <c r="BV86" s="1853">
        <f>'Total - Traffic %'!BV86</f>
        <v>9.6000000000000002E-2</v>
      </c>
      <c r="BW86" s="1855">
        <f>'Total - Traffic %'!BW86</f>
        <v>0.31</v>
      </c>
      <c r="BY86" s="3824" t="s">
        <v>1126</v>
      </c>
      <c r="BZ86" s="1733">
        <v>1</v>
      </c>
      <c r="CA86" s="1849">
        <f>'Total - Traffic %'!CA86</f>
        <v>0</v>
      </c>
      <c r="CB86" s="1850">
        <f>'Total - Traffic %'!CB86</f>
        <v>0</v>
      </c>
      <c r="CC86" s="1851">
        <f>'Total - Traffic %'!CC86</f>
        <v>0</v>
      </c>
      <c r="CD86" s="1849">
        <f>'Total - Traffic %'!CD86</f>
        <v>0</v>
      </c>
      <c r="CE86" s="1850">
        <f>'Total - Traffic %'!CE86</f>
        <v>0</v>
      </c>
      <c r="CF86" s="1851">
        <f>'Total - Traffic %'!CF86</f>
        <v>0</v>
      </c>
      <c r="CG86" s="1852">
        <f>'Total - Traffic %'!CG86</f>
        <v>0.02</v>
      </c>
      <c r="CH86" s="1853">
        <f>'Total - Traffic %'!CH86</f>
        <v>0.104</v>
      </c>
      <c r="CI86" s="1852">
        <f>'Total - Traffic %'!CI86</f>
        <v>2.1999999999999999E-2</v>
      </c>
      <c r="CJ86" s="1854">
        <f>'Total - Traffic %'!CJ86</f>
        <v>5.2999999999999999E-2</v>
      </c>
      <c r="CK86" s="1853">
        <f>'Total - Traffic %'!CK86</f>
        <v>9.1999999999999998E-2</v>
      </c>
      <c r="CL86" s="1855">
        <f>'Total - Traffic %'!CL86</f>
        <v>0.29099999999999998</v>
      </c>
    </row>
    <row r="87" spans="1:90" s="1728" customFormat="1" ht="13.5" customHeight="1">
      <c r="A87" s="3842"/>
      <c r="B87" s="3843"/>
      <c r="C87" s="1741">
        <v>2</v>
      </c>
      <c r="D87" s="1856">
        <f>'Total - Traffic %'!D87</f>
        <v>0</v>
      </c>
      <c r="E87" s="1857">
        <f>'Total - Traffic %'!E87</f>
        <v>0</v>
      </c>
      <c r="F87" s="1858">
        <f>'Total - Traffic %'!F87</f>
        <v>0</v>
      </c>
      <c r="G87" s="1856">
        <f>'Total - Traffic %'!G87</f>
        <v>0</v>
      </c>
      <c r="H87" s="1857">
        <f>'Total - Traffic %'!H87</f>
        <v>0</v>
      </c>
      <c r="I87" s="1858">
        <f>'Total - Traffic %'!I87</f>
        <v>0</v>
      </c>
      <c r="J87" s="1859">
        <f>'Total - Traffic %'!J87</f>
        <v>6.2E-2</v>
      </c>
      <c r="K87" s="1860">
        <f>'Total - Traffic %'!K87</f>
        <v>4.2999999999999997E-2</v>
      </c>
      <c r="L87" s="1859">
        <f>'Total - Traffic %'!L87</f>
        <v>0.107</v>
      </c>
      <c r="M87" s="1861">
        <f>'Total - Traffic %'!M87</f>
        <v>0.10199999999999999</v>
      </c>
      <c r="N87" s="1860">
        <f>'Total - Traffic %'!N87</f>
        <v>2.5999999999999999E-2</v>
      </c>
      <c r="O87" s="1862">
        <f>'Total - Traffic %'!O87</f>
        <v>0.34100000000000003</v>
      </c>
      <c r="Q87" s="3825"/>
      <c r="R87" s="1741">
        <v>2</v>
      </c>
      <c r="S87" s="1856">
        <f>'Total - Traffic %'!S87</f>
        <v>0</v>
      </c>
      <c r="T87" s="1857">
        <f>'Total - Traffic %'!T87</f>
        <v>0</v>
      </c>
      <c r="U87" s="1858">
        <f>'Total - Traffic %'!U87</f>
        <v>0</v>
      </c>
      <c r="V87" s="1856">
        <f>'Total - Traffic %'!V87</f>
        <v>0</v>
      </c>
      <c r="W87" s="1857">
        <f>'Total - Traffic %'!W87</f>
        <v>0</v>
      </c>
      <c r="X87" s="1858">
        <f>'Total - Traffic %'!X87</f>
        <v>0</v>
      </c>
      <c r="Y87" s="1859">
        <f>'Total - Traffic %'!Y87</f>
        <v>5.8999999999999997E-2</v>
      </c>
      <c r="Z87" s="1860">
        <f>'Total - Traffic %'!Z87</f>
        <v>4.2999999999999997E-2</v>
      </c>
      <c r="AA87" s="1859">
        <f>'Total - Traffic %'!AA87</f>
        <v>9.9000000000000005E-2</v>
      </c>
      <c r="AB87" s="1861">
        <f>'Total - Traffic %'!AB87</f>
        <v>0.10299999999999999</v>
      </c>
      <c r="AC87" s="1860">
        <f>'Total - Traffic %'!AC87</f>
        <v>2.5000000000000001E-2</v>
      </c>
      <c r="AD87" s="1862">
        <f>'Total - Traffic %'!AD87</f>
        <v>0.32800000000000001</v>
      </c>
      <c r="AF87" s="3825"/>
      <c r="AG87" s="1741">
        <v>2</v>
      </c>
      <c r="AH87" s="1856">
        <f>'Total - Traffic %'!AH87</f>
        <v>0</v>
      </c>
      <c r="AI87" s="1857">
        <f>'Total - Traffic %'!AI87</f>
        <v>0</v>
      </c>
      <c r="AJ87" s="1858">
        <f>'Total - Traffic %'!AJ87</f>
        <v>0</v>
      </c>
      <c r="AK87" s="1856">
        <f>'Total - Traffic %'!AK87</f>
        <v>0</v>
      </c>
      <c r="AL87" s="1857">
        <f>'Total - Traffic %'!AL87</f>
        <v>0</v>
      </c>
      <c r="AM87" s="1858">
        <f>'Total - Traffic %'!AM87</f>
        <v>0</v>
      </c>
      <c r="AN87" s="1859">
        <f>'Total - Traffic %'!AN87</f>
        <v>5.2999999999999999E-2</v>
      </c>
      <c r="AO87" s="1860">
        <f>'Total - Traffic %'!AO87</f>
        <v>0.04</v>
      </c>
      <c r="AP87" s="1859">
        <f>'Total - Traffic %'!AP87</f>
        <v>8.5000000000000006E-2</v>
      </c>
      <c r="AQ87" s="1861">
        <f>'Total - Traffic %'!AQ87</f>
        <v>0.111</v>
      </c>
      <c r="AR87" s="1860">
        <f>'Total - Traffic %'!AR87</f>
        <v>2.9000000000000001E-2</v>
      </c>
      <c r="AS87" s="1862">
        <f>'Total - Traffic %'!AS87</f>
        <v>0.318</v>
      </c>
      <c r="AU87" s="3825"/>
      <c r="AV87" s="1741">
        <v>2</v>
      </c>
      <c r="AW87" s="1856">
        <f>'Total - Traffic %'!AW87</f>
        <v>0</v>
      </c>
      <c r="AX87" s="1857">
        <f>'Total - Traffic %'!AX87</f>
        <v>0</v>
      </c>
      <c r="AY87" s="1858">
        <f>'Total - Traffic %'!AY87</f>
        <v>0</v>
      </c>
      <c r="AZ87" s="1856">
        <f>'Total - Traffic %'!AZ87</f>
        <v>0</v>
      </c>
      <c r="BA87" s="1857">
        <f>'Total - Traffic %'!BA87</f>
        <v>0</v>
      </c>
      <c r="BB87" s="1858">
        <f>'Total - Traffic %'!BB87</f>
        <v>0</v>
      </c>
      <c r="BC87" s="1859">
        <f>'Total - Traffic %'!BC87</f>
        <v>4.4999999999999998E-2</v>
      </c>
      <c r="BD87" s="1860">
        <f>'Total - Traffic %'!BD87</f>
        <v>4.2999999999999997E-2</v>
      </c>
      <c r="BE87" s="1859">
        <f>'Total - Traffic %'!BE87</f>
        <v>6.0999999999999999E-2</v>
      </c>
      <c r="BF87" s="1861">
        <f>'Total - Traffic %'!BF87</f>
        <v>0.1</v>
      </c>
      <c r="BG87" s="1860">
        <f>'Total - Traffic %'!BG87</f>
        <v>2.5999999999999999E-2</v>
      </c>
      <c r="BH87" s="1862">
        <f>'Total - Traffic %'!BH87</f>
        <v>0.27500000000000002</v>
      </c>
      <c r="BJ87" s="3825"/>
      <c r="BK87" s="1741">
        <v>2</v>
      </c>
      <c r="BL87" s="1856">
        <f>'Total - Traffic %'!BL87</f>
        <v>0</v>
      </c>
      <c r="BM87" s="1857">
        <f>'Total - Traffic %'!BM87</f>
        <v>0</v>
      </c>
      <c r="BN87" s="1858">
        <f>'Total - Traffic %'!BN87</f>
        <v>0</v>
      </c>
      <c r="BO87" s="1856">
        <f>'Total - Traffic %'!BO87</f>
        <v>0</v>
      </c>
      <c r="BP87" s="1857">
        <f>'Total - Traffic %'!BP87</f>
        <v>0</v>
      </c>
      <c r="BQ87" s="1858">
        <f>'Total - Traffic %'!BQ87</f>
        <v>0</v>
      </c>
      <c r="BR87" s="1859">
        <f>'Total - Traffic %'!BR87</f>
        <v>4.1000000000000002E-2</v>
      </c>
      <c r="BS87" s="1860">
        <f>'Total - Traffic %'!BS87</f>
        <v>4.5999999999999999E-2</v>
      </c>
      <c r="BT87" s="1859">
        <f>'Total - Traffic %'!BT87</f>
        <v>0.05</v>
      </c>
      <c r="BU87" s="1861">
        <f>'Total - Traffic %'!BU87</f>
        <v>8.8999999999999996E-2</v>
      </c>
      <c r="BV87" s="1860">
        <f>'Total - Traffic %'!BV87</f>
        <v>2.4E-2</v>
      </c>
      <c r="BW87" s="1862">
        <f>'Total - Traffic %'!BW87</f>
        <v>0.25</v>
      </c>
      <c r="BY87" s="3825"/>
      <c r="BZ87" s="1741">
        <v>2</v>
      </c>
      <c r="CA87" s="1856">
        <f>'Total - Traffic %'!CA87</f>
        <v>0</v>
      </c>
      <c r="CB87" s="1857">
        <f>'Total - Traffic %'!CB87</f>
        <v>0</v>
      </c>
      <c r="CC87" s="1858">
        <f>'Total - Traffic %'!CC87</f>
        <v>0</v>
      </c>
      <c r="CD87" s="1856">
        <f>'Total - Traffic %'!CD87</f>
        <v>0</v>
      </c>
      <c r="CE87" s="1857">
        <f>'Total - Traffic %'!CE87</f>
        <v>0</v>
      </c>
      <c r="CF87" s="1858">
        <f>'Total - Traffic %'!CF87</f>
        <v>0</v>
      </c>
      <c r="CG87" s="1859">
        <f>'Total - Traffic %'!CG87</f>
        <v>3.5999999999999997E-2</v>
      </c>
      <c r="CH87" s="1860">
        <f>'Total - Traffic %'!CH87</f>
        <v>4.5999999999999999E-2</v>
      </c>
      <c r="CI87" s="1859">
        <f>'Total - Traffic %'!CI87</f>
        <v>4.5999999999999999E-2</v>
      </c>
      <c r="CJ87" s="1861">
        <f>'Total - Traffic %'!CJ87</f>
        <v>9.0999999999999998E-2</v>
      </c>
      <c r="CK87" s="1860">
        <f>'Total - Traffic %'!CK87</f>
        <v>2.7E-2</v>
      </c>
      <c r="CL87" s="1862">
        <f>'Total - Traffic %'!CL87</f>
        <v>0.247</v>
      </c>
    </row>
    <row r="88" spans="1:90" s="1728" customFormat="1" ht="13.5" customHeight="1">
      <c r="A88" s="3842"/>
      <c r="B88" s="3843"/>
      <c r="C88" s="1741">
        <v>3</v>
      </c>
      <c r="D88" s="1856">
        <f>'Total - Traffic %'!D88</f>
        <v>0</v>
      </c>
      <c r="E88" s="1857">
        <f>'Total - Traffic %'!E88</f>
        <v>0</v>
      </c>
      <c r="F88" s="1858">
        <f>'Total - Traffic %'!F88</f>
        <v>0</v>
      </c>
      <c r="G88" s="1856">
        <f>'Total - Traffic %'!G88</f>
        <v>0</v>
      </c>
      <c r="H88" s="1857">
        <f>'Total - Traffic %'!H88</f>
        <v>0</v>
      </c>
      <c r="I88" s="1858">
        <f>'Total - Traffic %'!I88</f>
        <v>0</v>
      </c>
      <c r="J88" s="1859">
        <f>'Total - Traffic %'!J88</f>
        <v>5.3999999999999999E-2</v>
      </c>
      <c r="K88" s="1860">
        <f>'Total - Traffic %'!K88</f>
        <v>0.02</v>
      </c>
      <c r="L88" s="1859">
        <f>'Total - Traffic %'!L88</f>
        <v>8.5000000000000006E-2</v>
      </c>
      <c r="M88" s="1861">
        <f>'Total - Traffic %'!M88</f>
        <v>3.9E-2</v>
      </c>
      <c r="N88" s="1860">
        <f>'Total - Traffic %'!N88</f>
        <v>0.01</v>
      </c>
      <c r="O88" s="1862">
        <f>'Total - Traffic %'!O88</f>
        <v>0.20799999999999999</v>
      </c>
      <c r="Q88" s="3825"/>
      <c r="R88" s="1741">
        <v>3</v>
      </c>
      <c r="S88" s="1856">
        <f>'Total - Traffic %'!S88</f>
        <v>0</v>
      </c>
      <c r="T88" s="1857">
        <f>'Total - Traffic %'!T88</f>
        <v>0</v>
      </c>
      <c r="U88" s="1858">
        <f>'Total - Traffic %'!U88</f>
        <v>0</v>
      </c>
      <c r="V88" s="1856">
        <f>'Total - Traffic %'!V88</f>
        <v>0</v>
      </c>
      <c r="W88" s="1857">
        <f>'Total - Traffic %'!W88</f>
        <v>0</v>
      </c>
      <c r="X88" s="1858">
        <f>'Total - Traffic %'!X88</f>
        <v>0</v>
      </c>
      <c r="Y88" s="1859">
        <f>'Total - Traffic %'!Y88</f>
        <v>5.3999999999999999E-2</v>
      </c>
      <c r="Z88" s="1860">
        <f>'Total - Traffic %'!Z88</f>
        <v>0.02</v>
      </c>
      <c r="AA88" s="1859">
        <f>'Total - Traffic %'!AA88</f>
        <v>9.6000000000000002E-2</v>
      </c>
      <c r="AB88" s="1861">
        <f>'Total - Traffic %'!AB88</f>
        <v>3.5999999999999997E-2</v>
      </c>
      <c r="AC88" s="1860">
        <f>'Total - Traffic %'!AC88</f>
        <v>1.2E-2</v>
      </c>
      <c r="AD88" s="1862">
        <f>'Total - Traffic %'!AD88</f>
        <v>0.219</v>
      </c>
      <c r="AF88" s="3825"/>
      <c r="AG88" s="1741">
        <v>3</v>
      </c>
      <c r="AH88" s="1856">
        <f>'Total - Traffic %'!AH88</f>
        <v>0</v>
      </c>
      <c r="AI88" s="1857">
        <f>'Total - Traffic %'!AI88</f>
        <v>0</v>
      </c>
      <c r="AJ88" s="1858">
        <f>'Total - Traffic %'!AJ88</f>
        <v>0</v>
      </c>
      <c r="AK88" s="1856">
        <f>'Total - Traffic %'!AK88</f>
        <v>0</v>
      </c>
      <c r="AL88" s="1857">
        <f>'Total - Traffic %'!AL88</f>
        <v>0</v>
      </c>
      <c r="AM88" s="1858">
        <f>'Total - Traffic %'!AM88</f>
        <v>0</v>
      </c>
      <c r="AN88" s="1859">
        <f>'Total - Traffic %'!AN88</f>
        <v>5.8000000000000003E-2</v>
      </c>
      <c r="AO88" s="1860">
        <f>'Total - Traffic %'!AO88</f>
        <v>2.1000000000000001E-2</v>
      </c>
      <c r="AP88" s="1859">
        <f>'Total - Traffic %'!AP88</f>
        <v>0.11</v>
      </c>
      <c r="AQ88" s="1861">
        <f>'Total - Traffic %'!AQ88</f>
        <v>4.1000000000000002E-2</v>
      </c>
      <c r="AR88" s="1860">
        <f>'Total - Traffic %'!AR88</f>
        <v>1.2E-2</v>
      </c>
      <c r="AS88" s="1862">
        <f>'Total - Traffic %'!AS88</f>
        <v>0.24299999999999999</v>
      </c>
      <c r="AU88" s="3825"/>
      <c r="AV88" s="1741">
        <v>3</v>
      </c>
      <c r="AW88" s="1856">
        <f>'Total - Traffic %'!AW88</f>
        <v>0</v>
      </c>
      <c r="AX88" s="1857">
        <f>'Total - Traffic %'!AX88</f>
        <v>0</v>
      </c>
      <c r="AY88" s="1858">
        <f>'Total - Traffic %'!AY88</f>
        <v>0</v>
      </c>
      <c r="AZ88" s="1856">
        <f>'Total - Traffic %'!AZ88</f>
        <v>0</v>
      </c>
      <c r="BA88" s="1857">
        <f>'Total - Traffic %'!BA88</f>
        <v>0</v>
      </c>
      <c r="BB88" s="1858">
        <f>'Total - Traffic %'!BB88</f>
        <v>0</v>
      </c>
      <c r="BC88" s="1859">
        <f>'Total - Traffic %'!BC88</f>
        <v>5.8999999999999997E-2</v>
      </c>
      <c r="BD88" s="1860">
        <f>'Total - Traffic %'!BD88</f>
        <v>2.1999999999999999E-2</v>
      </c>
      <c r="BE88" s="1859">
        <f>'Total - Traffic %'!BE88</f>
        <v>0.13200000000000001</v>
      </c>
      <c r="BF88" s="1861">
        <f>'Total - Traffic %'!BF88</f>
        <v>5.1999999999999998E-2</v>
      </c>
      <c r="BG88" s="1860">
        <f>'Total - Traffic %'!BG88</f>
        <v>1.4999999999999999E-2</v>
      </c>
      <c r="BH88" s="1862">
        <f>'Total - Traffic %'!BH88</f>
        <v>0.28000000000000003</v>
      </c>
      <c r="BJ88" s="3825"/>
      <c r="BK88" s="1741">
        <v>3</v>
      </c>
      <c r="BL88" s="1856">
        <f>'Total - Traffic %'!BL88</f>
        <v>0</v>
      </c>
      <c r="BM88" s="1857">
        <f>'Total - Traffic %'!BM88</f>
        <v>0</v>
      </c>
      <c r="BN88" s="1858">
        <f>'Total - Traffic %'!BN88</f>
        <v>0</v>
      </c>
      <c r="BO88" s="1856">
        <f>'Total - Traffic %'!BO88</f>
        <v>0</v>
      </c>
      <c r="BP88" s="1857">
        <f>'Total - Traffic %'!BP88</f>
        <v>0</v>
      </c>
      <c r="BQ88" s="1858">
        <f>'Total - Traffic %'!BQ88</f>
        <v>0</v>
      </c>
      <c r="BR88" s="1859">
        <f>'Total - Traffic %'!BR88</f>
        <v>5.8999999999999997E-2</v>
      </c>
      <c r="BS88" s="1860">
        <f>'Total - Traffic %'!BS88</f>
        <v>2.1999999999999999E-2</v>
      </c>
      <c r="BT88" s="1859">
        <f>'Total - Traffic %'!BT88</f>
        <v>0.13700000000000001</v>
      </c>
      <c r="BU88" s="1861">
        <f>'Total - Traffic %'!BU88</f>
        <v>0.06</v>
      </c>
      <c r="BV88" s="1860">
        <f>'Total - Traffic %'!BV88</f>
        <v>1.6E-2</v>
      </c>
      <c r="BW88" s="1862">
        <f>'Total - Traffic %'!BW88</f>
        <v>0.29299999999999998</v>
      </c>
      <c r="BY88" s="3825"/>
      <c r="BZ88" s="1741">
        <v>3</v>
      </c>
      <c r="CA88" s="1856">
        <f>'Total - Traffic %'!CA88</f>
        <v>0</v>
      </c>
      <c r="CB88" s="1857">
        <f>'Total - Traffic %'!CB88</f>
        <v>0</v>
      </c>
      <c r="CC88" s="1858">
        <f>'Total - Traffic %'!CC88</f>
        <v>0</v>
      </c>
      <c r="CD88" s="1856">
        <f>'Total - Traffic %'!CD88</f>
        <v>0</v>
      </c>
      <c r="CE88" s="1857">
        <f>'Total - Traffic %'!CE88</f>
        <v>0</v>
      </c>
      <c r="CF88" s="1858">
        <f>'Total - Traffic %'!CF88</f>
        <v>0</v>
      </c>
      <c r="CG88" s="1859">
        <f>'Total - Traffic %'!CG88</f>
        <v>5.8999999999999997E-2</v>
      </c>
      <c r="CH88" s="1860">
        <f>'Total - Traffic %'!CH88</f>
        <v>2.3E-2</v>
      </c>
      <c r="CI88" s="1859">
        <f>'Total - Traffic %'!CI88</f>
        <v>0.123</v>
      </c>
      <c r="CJ88" s="1861">
        <f>'Total - Traffic %'!CJ88</f>
        <v>6.5000000000000002E-2</v>
      </c>
      <c r="CK88" s="1860">
        <f>'Total - Traffic %'!CK88</f>
        <v>1.6E-2</v>
      </c>
      <c r="CL88" s="1862">
        <f>'Total - Traffic %'!CL88</f>
        <v>0.28599999999999998</v>
      </c>
    </row>
    <row r="89" spans="1:90" s="1728" customFormat="1" ht="13.5" customHeight="1">
      <c r="A89" s="3842"/>
      <c r="B89" s="3843"/>
      <c r="C89" s="1741">
        <v>4</v>
      </c>
      <c r="D89" s="1856">
        <f>'Total - Traffic %'!D89</f>
        <v>0</v>
      </c>
      <c r="E89" s="1857">
        <f>'Total - Traffic %'!E89</f>
        <v>0</v>
      </c>
      <c r="F89" s="1858">
        <f>'Total - Traffic %'!F89</f>
        <v>0</v>
      </c>
      <c r="G89" s="1856">
        <f>'Total - Traffic %'!G89</f>
        <v>0</v>
      </c>
      <c r="H89" s="1857">
        <f>'Total - Traffic %'!H89</f>
        <v>0</v>
      </c>
      <c r="I89" s="1858">
        <f>'Total - Traffic %'!I89</f>
        <v>0</v>
      </c>
      <c r="J89" s="1859">
        <f>'Total - Traffic %'!J89</f>
        <v>3.2000000000000001E-2</v>
      </c>
      <c r="K89" s="1860">
        <f>'Total - Traffic %'!K89</f>
        <v>8.9999999999999993E-3</v>
      </c>
      <c r="L89" s="1859">
        <f>'Total - Traffic %'!L89</f>
        <v>1.6E-2</v>
      </c>
      <c r="M89" s="1861">
        <f>'Total - Traffic %'!M89</f>
        <v>8.0000000000000002E-3</v>
      </c>
      <c r="N89" s="1860">
        <f>'Total - Traffic %'!N89</f>
        <v>5.0000000000000001E-3</v>
      </c>
      <c r="O89" s="1862">
        <f>'Total - Traffic %'!O89</f>
        <v>6.9000000000000006E-2</v>
      </c>
      <c r="Q89" s="3825"/>
      <c r="R89" s="1741">
        <v>4</v>
      </c>
      <c r="S89" s="1856">
        <f>'Total - Traffic %'!S89</f>
        <v>0</v>
      </c>
      <c r="T89" s="1857">
        <f>'Total - Traffic %'!T89</f>
        <v>0</v>
      </c>
      <c r="U89" s="1858">
        <f>'Total - Traffic %'!U89</f>
        <v>0</v>
      </c>
      <c r="V89" s="1856">
        <f>'Total - Traffic %'!V89</f>
        <v>0</v>
      </c>
      <c r="W89" s="1857">
        <f>'Total - Traffic %'!W89</f>
        <v>0</v>
      </c>
      <c r="X89" s="1858">
        <f>'Total - Traffic %'!X89</f>
        <v>0</v>
      </c>
      <c r="Y89" s="1859">
        <f>'Total - Traffic %'!Y89</f>
        <v>2.7E-2</v>
      </c>
      <c r="Z89" s="1860">
        <f>'Total - Traffic %'!Z89</f>
        <v>8.9999999999999993E-3</v>
      </c>
      <c r="AA89" s="1859">
        <f>'Total - Traffic %'!AA89</f>
        <v>1.6E-2</v>
      </c>
      <c r="AB89" s="1861">
        <f>'Total - Traffic %'!AB89</f>
        <v>8.9999999999999993E-3</v>
      </c>
      <c r="AC89" s="1860">
        <f>'Total - Traffic %'!AC89</f>
        <v>4.0000000000000001E-3</v>
      </c>
      <c r="AD89" s="1862">
        <f>'Total - Traffic %'!AD89</f>
        <v>6.5000000000000002E-2</v>
      </c>
      <c r="AF89" s="3825"/>
      <c r="AG89" s="1741">
        <v>4</v>
      </c>
      <c r="AH89" s="1856">
        <f>'Total - Traffic %'!AH89</f>
        <v>0</v>
      </c>
      <c r="AI89" s="1857">
        <f>'Total - Traffic %'!AI89</f>
        <v>0</v>
      </c>
      <c r="AJ89" s="1858">
        <f>'Total - Traffic %'!AJ89</f>
        <v>0</v>
      </c>
      <c r="AK89" s="1856">
        <f>'Total - Traffic %'!AK89</f>
        <v>0</v>
      </c>
      <c r="AL89" s="1857">
        <f>'Total - Traffic %'!AL89</f>
        <v>0</v>
      </c>
      <c r="AM89" s="1858">
        <f>'Total - Traffic %'!AM89</f>
        <v>0</v>
      </c>
      <c r="AN89" s="1859">
        <f>'Total - Traffic %'!AN89</f>
        <v>2.9000000000000001E-2</v>
      </c>
      <c r="AO89" s="1860">
        <f>'Total - Traffic %'!AO89</f>
        <v>7.0000000000000001E-3</v>
      </c>
      <c r="AP89" s="1859">
        <f>'Total - Traffic %'!AP89</f>
        <v>2.1999999999999999E-2</v>
      </c>
      <c r="AQ89" s="1861">
        <f>'Total - Traffic %'!AQ89</f>
        <v>1.2E-2</v>
      </c>
      <c r="AR89" s="1860">
        <f>'Total - Traffic %'!AR89</f>
        <v>5.0000000000000001E-3</v>
      </c>
      <c r="AS89" s="1862">
        <f>'Total - Traffic %'!AS89</f>
        <v>7.5999999999999998E-2</v>
      </c>
      <c r="AU89" s="3825"/>
      <c r="AV89" s="1741">
        <v>4</v>
      </c>
      <c r="AW89" s="1856">
        <f>'Total - Traffic %'!AW89</f>
        <v>0</v>
      </c>
      <c r="AX89" s="1857">
        <f>'Total - Traffic %'!AX89</f>
        <v>0</v>
      </c>
      <c r="AY89" s="1858">
        <f>'Total - Traffic %'!AY89</f>
        <v>0</v>
      </c>
      <c r="AZ89" s="1856">
        <f>'Total - Traffic %'!AZ89</f>
        <v>0</v>
      </c>
      <c r="BA89" s="1857">
        <f>'Total - Traffic %'!BA89</f>
        <v>0</v>
      </c>
      <c r="BB89" s="1858">
        <f>'Total - Traffic %'!BB89</f>
        <v>0</v>
      </c>
      <c r="BC89" s="1859">
        <f>'Total - Traffic %'!BC89</f>
        <v>3.4000000000000002E-2</v>
      </c>
      <c r="BD89" s="1860">
        <f>'Total - Traffic %'!BD89</f>
        <v>8.0000000000000002E-3</v>
      </c>
      <c r="BE89" s="1859">
        <f>'Total - Traffic %'!BE89</f>
        <v>2.9000000000000001E-2</v>
      </c>
      <c r="BF89" s="1861">
        <f>'Total - Traffic %'!BF89</f>
        <v>1.4999999999999999E-2</v>
      </c>
      <c r="BG89" s="1860">
        <f>'Total - Traffic %'!BG89</f>
        <v>7.0000000000000001E-3</v>
      </c>
      <c r="BH89" s="1862">
        <f>'Total - Traffic %'!BH89</f>
        <v>9.2999999999999999E-2</v>
      </c>
      <c r="BJ89" s="3825"/>
      <c r="BK89" s="1741">
        <v>4</v>
      </c>
      <c r="BL89" s="1856">
        <f>'Total - Traffic %'!BL89</f>
        <v>0</v>
      </c>
      <c r="BM89" s="1857">
        <f>'Total - Traffic %'!BM89</f>
        <v>0</v>
      </c>
      <c r="BN89" s="1858">
        <f>'Total - Traffic %'!BN89</f>
        <v>0</v>
      </c>
      <c r="BO89" s="1856">
        <f>'Total - Traffic %'!BO89</f>
        <v>0</v>
      </c>
      <c r="BP89" s="1857">
        <f>'Total - Traffic %'!BP89</f>
        <v>0</v>
      </c>
      <c r="BQ89" s="1858">
        <f>'Total - Traffic %'!BQ89</f>
        <v>0</v>
      </c>
      <c r="BR89" s="1859">
        <f>'Total - Traffic %'!BR89</f>
        <v>3.6999999999999998E-2</v>
      </c>
      <c r="BS89" s="1860">
        <f>'Total - Traffic %'!BS89</f>
        <v>8.9999999999999993E-3</v>
      </c>
      <c r="BT89" s="1859">
        <f>'Total - Traffic %'!BT89</f>
        <v>3.6999999999999998E-2</v>
      </c>
      <c r="BU89" s="1861">
        <f>'Total - Traffic %'!BU89</f>
        <v>1.9E-2</v>
      </c>
      <c r="BV89" s="1860">
        <f>'Total - Traffic %'!BV89</f>
        <v>8.0000000000000002E-3</v>
      </c>
      <c r="BW89" s="1862">
        <f>'Total - Traffic %'!BW89</f>
        <v>0.11</v>
      </c>
      <c r="BY89" s="3825"/>
      <c r="BZ89" s="1741">
        <v>4</v>
      </c>
      <c r="CA89" s="1856">
        <f>'Total - Traffic %'!CA89</f>
        <v>0</v>
      </c>
      <c r="CB89" s="1857">
        <f>'Total - Traffic %'!CB89</f>
        <v>0</v>
      </c>
      <c r="CC89" s="1858">
        <f>'Total - Traffic %'!CC89</f>
        <v>0</v>
      </c>
      <c r="CD89" s="1856">
        <f>'Total - Traffic %'!CD89</f>
        <v>0</v>
      </c>
      <c r="CE89" s="1857">
        <f>'Total - Traffic %'!CE89</f>
        <v>0</v>
      </c>
      <c r="CF89" s="1858">
        <f>'Total - Traffic %'!CF89</f>
        <v>0</v>
      </c>
      <c r="CG89" s="1859">
        <f>'Total - Traffic %'!CG89</f>
        <v>4.1000000000000002E-2</v>
      </c>
      <c r="CH89" s="1860">
        <f>'Total - Traffic %'!CH89</f>
        <v>8.9999999999999993E-3</v>
      </c>
      <c r="CI89" s="1859">
        <f>'Total - Traffic %'!CI89</f>
        <v>5.5E-2</v>
      </c>
      <c r="CJ89" s="1861">
        <f>'Total - Traffic %'!CJ89</f>
        <v>2.3E-2</v>
      </c>
      <c r="CK89" s="1860">
        <f>'Total - Traffic %'!CK89</f>
        <v>8.9999999999999993E-3</v>
      </c>
      <c r="CL89" s="1862">
        <f>'Total - Traffic %'!CL89</f>
        <v>0.13600000000000001</v>
      </c>
    </row>
    <row r="90" spans="1:90" s="1728" customFormat="1" ht="13.5" customHeight="1">
      <c r="A90" s="3842"/>
      <c r="B90" s="3843"/>
      <c r="C90" s="1749">
        <v>5</v>
      </c>
      <c r="D90" s="1856">
        <f>'Total - Traffic %'!D90</f>
        <v>0</v>
      </c>
      <c r="E90" s="1857">
        <f>'Total - Traffic %'!E90</f>
        <v>0</v>
      </c>
      <c r="F90" s="1858">
        <f>'Total - Traffic %'!F90</f>
        <v>0</v>
      </c>
      <c r="G90" s="1856">
        <f>'Total - Traffic %'!G90</f>
        <v>0</v>
      </c>
      <c r="H90" s="1857">
        <f>'Total - Traffic %'!H90</f>
        <v>0</v>
      </c>
      <c r="I90" s="1858">
        <f>'Total - Traffic %'!I90</f>
        <v>0</v>
      </c>
      <c r="J90" s="1859">
        <f>'Total - Traffic %'!J90</f>
        <v>5.0000000000000001E-3</v>
      </c>
      <c r="K90" s="1860">
        <f>'Total - Traffic %'!K90</f>
        <v>0</v>
      </c>
      <c r="L90" s="1859">
        <f>'Total - Traffic %'!L90</f>
        <v>0</v>
      </c>
      <c r="M90" s="1861">
        <f>'Total - Traffic %'!M90</f>
        <v>0</v>
      </c>
      <c r="N90" s="1860">
        <f>'Total - Traffic %'!N90</f>
        <v>3.0000000000000001E-3</v>
      </c>
      <c r="O90" s="1862">
        <f>'Total - Traffic %'!O90</f>
        <v>8.0000000000000002E-3</v>
      </c>
      <c r="Q90" s="3825"/>
      <c r="R90" s="1749">
        <v>5</v>
      </c>
      <c r="S90" s="1856">
        <f>'Total - Traffic %'!S90</f>
        <v>0</v>
      </c>
      <c r="T90" s="1857">
        <f>'Total - Traffic %'!T90</f>
        <v>0</v>
      </c>
      <c r="U90" s="1858">
        <f>'Total - Traffic %'!U90</f>
        <v>0</v>
      </c>
      <c r="V90" s="1856">
        <f>'Total - Traffic %'!V90</f>
        <v>0</v>
      </c>
      <c r="W90" s="1857">
        <f>'Total - Traffic %'!W90</f>
        <v>0</v>
      </c>
      <c r="X90" s="1858">
        <f>'Total - Traffic %'!X90</f>
        <v>0</v>
      </c>
      <c r="Y90" s="1859">
        <f>'Total - Traffic %'!Y90</f>
        <v>1.2E-2</v>
      </c>
      <c r="Z90" s="1860">
        <f>'Total - Traffic %'!Z90</f>
        <v>0</v>
      </c>
      <c r="AA90" s="1859">
        <f>'Total - Traffic %'!AA90</f>
        <v>1E-3</v>
      </c>
      <c r="AB90" s="1861">
        <f>'Total - Traffic %'!AB90</f>
        <v>1E-3</v>
      </c>
      <c r="AC90" s="1860">
        <f>'Total - Traffic %'!AC90</f>
        <v>4.0000000000000001E-3</v>
      </c>
      <c r="AD90" s="1862">
        <f>'Total - Traffic %'!AD90</f>
        <v>1.7000000000000001E-2</v>
      </c>
      <c r="AF90" s="3825"/>
      <c r="AG90" s="1749">
        <v>5</v>
      </c>
      <c r="AH90" s="1856">
        <f>'Total - Traffic %'!AH90</f>
        <v>0</v>
      </c>
      <c r="AI90" s="1857">
        <f>'Total - Traffic %'!AI90</f>
        <v>0</v>
      </c>
      <c r="AJ90" s="1858">
        <f>'Total - Traffic %'!AJ90</f>
        <v>0</v>
      </c>
      <c r="AK90" s="1856">
        <f>'Total - Traffic %'!AK90</f>
        <v>0</v>
      </c>
      <c r="AL90" s="1857">
        <f>'Total - Traffic %'!AL90</f>
        <v>0</v>
      </c>
      <c r="AM90" s="1858">
        <f>'Total - Traffic %'!AM90</f>
        <v>0</v>
      </c>
      <c r="AN90" s="1859">
        <f>'Total - Traffic %'!AN90</f>
        <v>1.4999999999999999E-2</v>
      </c>
      <c r="AO90" s="1860">
        <f>'Total - Traffic %'!AO90</f>
        <v>4.0000000000000001E-3</v>
      </c>
      <c r="AP90" s="1859">
        <f>'Total - Traffic %'!AP90</f>
        <v>1E-3</v>
      </c>
      <c r="AQ90" s="1861">
        <f>'Total - Traffic %'!AQ90</f>
        <v>1E-3</v>
      </c>
      <c r="AR90" s="1860">
        <f>'Total - Traffic %'!AR90</f>
        <v>4.0000000000000001E-3</v>
      </c>
      <c r="AS90" s="1862">
        <f>'Total - Traffic %'!AS90</f>
        <v>2.5000000000000001E-2</v>
      </c>
      <c r="AU90" s="3825"/>
      <c r="AV90" s="1749">
        <v>5</v>
      </c>
      <c r="AW90" s="1856">
        <f>'Total - Traffic %'!AW90</f>
        <v>0</v>
      </c>
      <c r="AX90" s="1857">
        <f>'Total - Traffic %'!AX90</f>
        <v>0</v>
      </c>
      <c r="AY90" s="1858">
        <f>'Total - Traffic %'!AY90</f>
        <v>0</v>
      </c>
      <c r="AZ90" s="1856">
        <f>'Total - Traffic %'!AZ90</f>
        <v>0</v>
      </c>
      <c r="BA90" s="1857">
        <f>'Total - Traffic %'!BA90</f>
        <v>0</v>
      </c>
      <c r="BB90" s="1858">
        <f>'Total - Traffic %'!BB90</f>
        <v>0</v>
      </c>
      <c r="BC90" s="1859">
        <f>'Total - Traffic %'!BC90</f>
        <v>1.7999999999999999E-2</v>
      </c>
      <c r="BD90" s="1860">
        <f>'Total - Traffic %'!BD90</f>
        <v>4.0000000000000001E-3</v>
      </c>
      <c r="BE90" s="1859">
        <f>'Total - Traffic %'!BE90</f>
        <v>2E-3</v>
      </c>
      <c r="BF90" s="1861">
        <f>'Total - Traffic %'!BF90</f>
        <v>2E-3</v>
      </c>
      <c r="BG90" s="1860">
        <f>'Total - Traffic %'!BG90</f>
        <v>5.0000000000000001E-3</v>
      </c>
      <c r="BH90" s="1862">
        <f>'Total - Traffic %'!BH90</f>
        <v>3.1E-2</v>
      </c>
      <c r="BJ90" s="3825"/>
      <c r="BK90" s="1749">
        <v>5</v>
      </c>
      <c r="BL90" s="1856">
        <f>'Total - Traffic %'!BL90</f>
        <v>0</v>
      </c>
      <c r="BM90" s="1857">
        <f>'Total - Traffic %'!BM90</f>
        <v>0</v>
      </c>
      <c r="BN90" s="1858">
        <f>'Total - Traffic %'!BN90</f>
        <v>0</v>
      </c>
      <c r="BO90" s="1856">
        <f>'Total - Traffic %'!BO90</f>
        <v>0</v>
      </c>
      <c r="BP90" s="1857">
        <f>'Total - Traffic %'!BP90</f>
        <v>0</v>
      </c>
      <c r="BQ90" s="1858">
        <f>'Total - Traffic %'!BQ90</f>
        <v>0</v>
      </c>
      <c r="BR90" s="1859">
        <f>'Total - Traffic %'!BR90</f>
        <v>1.9E-2</v>
      </c>
      <c r="BS90" s="1860">
        <f>'Total - Traffic %'!BS90</f>
        <v>4.0000000000000001E-3</v>
      </c>
      <c r="BT90" s="1859">
        <f>'Total - Traffic %'!BT90</f>
        <v>3.0000000000000001E-3</v>
      </c>
      <c r="BU90" s="1861">
        <f>'Total - Traffic %'!BU90</f>
        <v>2E-3</v>
      </c>
      <c r="BV90" s="1860">
        <f>'Total - Traffic %'!BV90</f>
        <v>5.0000000000000001E-3</v>
      </c>
      <c r="BW90" s="1862">
        <f>'Total - Traffic %'!BW90</f>
        <v>3.4000000000000002E-2</v>
      </c>
      <c r="BY90" s="3825"/>
      <c r="BZ90" s="1749">
        <v>5</v>
      </c>
      <c r="CA90" s="1856">
        <f>'Total - Traffic %'!CA90</f>
        <v>0</v>
      </c>
      <c r="CB90" s="1857">
        <f>'Total - Traffic %'!CB90</f>
        <v>0</v>
      </c>
      <c r="CC90" s="1858">
        <f>'Total - Traffic %'!CC90</f>
        <v>0</v>
      </c>
      <c r="CD90" s="1856">
        <f>'Total - Traffic %'!CD90</f>
        <v>0</v>
      </c>
      <c r="CE90" s="1857">
        <f>'Total - Traffic %'!CE90</f>
        <v>0</v>
      </c>
      <c r="CF90" s="1858">
        <f>'Total - Traffic %'!CF90</f>
        <v>0</v>
      </c>
      <c r="CG90" s="1859">
        <f>'Total - Traffic %'!CG90</f>
        <v>2.1999999999999999E-2</v>
      </c>
      <c r="CH90" s="1860">
        <f>'Total - Traffic %'!CH90</f>
        <v>5.0000000000000001E-3</v>
      </c>
      <c r="CI90" s="1859">
        <f>'Total - Traffic %'!CI90</f>
        <v>6.0000000000000001E-3</v>
      </c>
      <c r="CJ90" s="1861">
        <f>'Total - Traffic %'!CJ90</f>
        <v>3.0000000000000001E-3</v>
      </c>
      <c r="CK90" s="1860">
        <f>'Total - Traffic %'!CK90</f>
        <v>6.0000000000000001E-3</v>
      </c>
      <c r="CL90" s="1862">
        <f>'Total - Traffic %'!CL90</f>
        <v>0.04</v>
      </c>
    </row>
    <row r="91" spans="1:90" s="1728" customFormat="1" ht="13.5" customHeight="1" thickBot="1">
      <c r="A91" s="3844"/>
      <c r="B91" s="3845"/>
      <c r="C91" s="1750" t="s">
        <v>1422</v>
      </c>
      <c r="D91" s="1863">
        <f>'Total - Traffic %'!D91</f>
        <v>0</v>
      </c>
      <c r="E91" s="1864">
        <f>'Total - Traffic %'!E91</f>
        <v>0</v>
      </c>
      <c r="F91" s="1865">
        <f>'Total - Traffic %'!F91</f>
        <v>0</v>
      </c>
      <c r="G91" s="1863">
        <f>'Total - Traffic %'!G91</f>
        <v>0</v>
      </c>
      <c r="H91" s="1864">
        <f>'Total - Traffic %'!H91</f>
        <v>0</v>
      </c>
      <c r="I91" s="1865">
        <f>'Total - Traffic %'!I91</f>
        <v>0</v>
      </c>
      <c r="J91" s="1866">
        <f>'Total - Traffic %'!J91</f>
        <v>0.182</v>
      </c>
      <c r="K91" s="1867">
        <f>'Total - Traffic %'!K91</f>
        <v>0.191</v>
      </c>
      <c r="L91" s="1866">
        <f>'Total - Traffic %'!L91</f>
        <v>0.246</v>
      </c>
      <c r="M91" s="1868">
        <f>'Total - Traffic %'!M91</f>
        <v>0.23200000000000001</v>
      </c>
      <c r="N91" s="1867">
        <f>'Total - Traffic %'!N91</f>
        <v>0.14899999999999999</v>
      </c>
      <c r="O91" s="1869">
        <f>'Total - Traffic %'!O91</f>
        <v>1</v>
      </c>
      <c r="Q91" s="3826"/>
      <c r="R91" s="1750" t="s">
        <v>1422</v>
      </c>
      <c r="S91" s="1863">
        <f>'Total - Traffic %'!S91</f>
        <v>0</v>
      </c>
      <c r="T91" s="1864">
        <f>'Total - Traffic %'!T91</f>
        <v>0</v>
      </c>
      <c r="U91" s="1865">
        <f>'Total - Traffic %'!U91</f>
        <v>0</v>
      </c>
      <c r="V91" s="1863">
        <f>'Total - Traffic %'!V91</f>
        <v>0</v>
      </c>
      <c r="W91" s="1864">
        <f>'Total - Traffic %'!W91</f>
        <v>0</v>
      </c>
      <c r="X91" s="1865">
        <f>'Total - Traffic %'!X91</f>
        <v>0</v>
      </c>
      <c r="Y91" s="1866">
        <f>'Total - Traffic %'!Y91</f>
        <v>0.18099999999999999</v>
      </c>
      <c r="Z91" s="1867">
        <f>'Total - Traffic %'!Z91</f>
        <v>0.19</v>
      </c>
      <c r="AA91" s="1866">
        <f>'Total - Traffic %'!AA91</f>
        <v>0.247</v>
      </c>
      <c r="AB91" s="1868">
        <f>'Total - Traffic %'!AB91</f>
        <v>0.23300000000000001</v>
      </c>
      <c r="AC91" s="1867">
        <f>'Total - Traffic %'!AC91</f>
        <v>0.14899999999999999</v>
      </c>
      <c r="AD91" s="1869">
        <f>'Total - Traffic %'!AD91</f>
        <v>1</v>
      </c>
      <c r="AF91" s="3826"/>
      <c r="AG91" s="1750" t="s">
        <v>1422</v>
      </c>
      <c r="AH91" s="1863">
        <f>'Total - Traffic %'!AH91</f>
        <v>0</v>
      </c>
      <c r="AI91" s="1864">
        <f>'Total - Traffic %'!AI91</f>
        <v>0</v>
      </c>
      <c r="AJ91" s="1865">
        <f>'Total - Traffic %'!AJ91</f>
        <v>0</v>
      </c>
      <c r="AK91" s="1863">
        <f>'Total - Traffic %'!AK91</f>
        <v>0</v>
      </c>
      <c r="AL91" s="1864">
        <f>'Total - Traffic %'!AL91</f>
        <v>0</v>
      </c>
      <c r="AM91" s="1865">
        <f>'Total - Traffic %'!AM91</f>
        <v>0</v>
      </c>
      <c r="AN91" s="1866">
        <f>'Total - Traffic %'!AN91</f>
        <v>0.18</v>
      </c>
      <c r="AO91" s="1867">
        <f>'Total - Traffic %'!AO91</f>
        <v>0.189</v>
      </c>
      <c r="AP91" s="1866">
        <f>'Total - Traffic %'!AP91</f>
        <v>0.248</v>
      </c>
      <c r="AQ91" s="1868">
        <f>'Total - Traffic %'!AQ91</f>
        <v>0.23300000000000001</v>
      </c>
      <c r="AR91" s="1867">
        <f>'Total - Traffic %'!AR91</f>
        <v>0.14899999999999999</v>
      </c>
      <c r="AS91" s="1869">
        <f>'Total - Traffic %'!AS91</f>
        <v>1</v>
      </c>
      <c r="AU91" s="3826"/>
      <c r="AV91" s="1750" t="s">
        <v>1422</v>
      </c>
      <c r="AW91" s="1863">
        <f>'Total - Traffic %'!AW91</f>
        <v>0</v>
      </c>
      <c r="AX91" s="1864">
        <f>'Total - Traffic %'!AX91</f>
        <v>0</v>
      </c>
      <c r="AY91" s="1865">
        <f>'Total - Traffic %'!AY91</f>
        <v>0</v>
      </c>
      <c r="AZ91" s="1863">
        <f>'Total - Traffic %'!AZ91</f>
        <v>0</v>
      </c>
      <c r="BA91" s="1864">
        <f>'Total - Traffic %'!BA91</f>
        <v>0</v>
      </c>
      <c r="BB91" s="1865">
        <f>'Total - Traffic %'!BB91</f>
        <v>0</v>
      </c>
      <c r="BC91" s="1866">
        <f>'Total - Traffic %'!BC91</f>
        <v>0.17799999999999999</v>
      </c>
      <c r="BD91" s="1867">
        <f>'Total - Traffic %'!BD91</f>
        <v>0.187</v>
      </c>
      <c r="BE91" s="1866">
        <f>'Total - Traffic %'!BE91</f>
        <v>0.25</v>
      </c>
      <c r="BF91" s="1868">
        <f>'Total - Traffic %'!BF91</f>
        <v>0.23499999999999999</v>
      </c>
      <c r="BG91" s="1867">
        <f>'Total - Traffic %'!BG91</f>
        <v>0.15</v>
      </c>
      <c r="BH91" s="1869">
        <f>'Total - Traffic %'!BH91</f>
        <v>1</v>
      </c>
      <c r="BJ91" s="3826"/>
      <c r="BK91" s="1750" t="s">
        <v>1422</v>
      </c>
      <c r="BL91" s="1863">
        <f>'Total - Traffic %'!BL91</f>
        <v>0</v>
      </c>
      <c r="BM91" s="1864">
        <f>'Total - Traffic %'!BM91</f>
        <v>0</v>
      </c>
      <c r="BN91" s="1865">
        <f>'Total - Traffic %'!BN91</f>
        <v>0</v>
      </c>
      <c r="BO91" s="1863">
        <f>'Total - Traffic %'!BO91</f>
        <v>0</v>
      </c>
      <c r="BP91" s="1864">
        <f>'Total - Traffic %'!BP91</f>
        <v>0</v>
      </c>
      <c r="BQ91" s="1865">
        <f>'Total - Traffic %'!BQ91</f>
        <v>0</v>
      </c>
      <c r="BR91" s="1866">
        <f>'Total - Traffic %'!BR91</f>
        <v>0.17699999999999999</v>
      </c>
      <c r="BS91" s="1867">
        <f>'Total - Traffic %'!BS91</f>
        <v>0.187</v>
      </c>
      <c r="BT91" s="1866">
        <f>'Total - Traffic %'!BT91</f>
        <v>0.251</v>
      </c>
      <c r="BU91" s="1868">
        <f>'Total - Traffic %'!BU91</f>
        <v>0.23499999999999999</v>
      </c>
      <c r="BV91" s="1867">
        <f>'Total - Traffic %'!BV91</f>
        <v>0.15</v>
      </c>
      <c r="BW91" s="1869">
        <f>'Total - Traffic %'!BW91</f>
        <v>1</v>
      </c>
      <c r="BY91" s="3826"/>
      <c r="BZ91" s="1750" t="s">
        <v>1422</v>
      </c>
      <c r="CA91" s="1863">
        <f>'Total - Traffic %'!CA91</f>
        <v>0</v>
      </c>
      <c r="CB91" s="1864">
        <f>'Total - Traffic %'!CB91</f>
        <v>0</v>
      </c>
      <c r="CC91" s="1865">
        <f>'Total - Traffic %'!CC91</f>
        <v>0</v>
      </c>
      <c r="CD91" s="1863">
        <f>'Total - Traffic %'!CD91</f>
        <v>0</v>
      </c>
      <c r="CE91" s="1864">
        <f>'Total - Traffic %'!CE91</f>
        <v>0</v>
      </c>
      <c r="CF91" s="1865">
        <f>'Total - Traffic %'!CF91</f>
        <v>0</v>
      </c>
      <c r="CG91" s="1866">
        <f>'Total - Traffic %'!CG91</f>
        <v>0.17699999999999999</v>
      </c>
      <c r="CH91" s="1867">
        <f>'Total - Traffic %'!CH91</f>
        <v>0.187</v>
      </c>
      <c r="CI91" s="1866">
        <f>'Total - Traffic %'!CI91</f>
        <v>0.252</v>
      </c>
      <c r="CJ91" s="1868">
        <f>'Total - Traffic %'!CJ91</f>
        <v>0.23499999999999999</v>
      </c>
      <c r="CK91" s="1867">
        <f>'Total - Traffic %'!CK91</f>
        <v>0.15</v>
      </c>
      <c r="CL91" s="1869">
        <f>'Total - Traffic %'!CL91</f>
        <v>1</v>
      </c>
    </row>
    <row r="92" spans="1:90" s="1728" customFormat="1" ht="13.5" customHeight="1" thickTop="1">
      <c r="A92" s="3840" t="s">
        <v>1127</v>
      </c>
      <c r="B92" s="3841"/>
      <c r="C92" s="1733">
        <v>1</v>
      </c>
      <c r="D92" s="1849">
        <f>'Total - Traffic %'!D92</f>
        <v>0</v>
      </c>
      <c r="E92" s="1850">
        <f>'Total - Traffic %'!E92</f>
        <v>0</v>
      </c>
      <c r="F92" s="1851">
        <f>'Total - Traffic %'!F92</f>
        <v>0</v>
      </c>
      <c r="G92" s="1849">
        <f>'Total - Traffic %'!G92</f>
        <v>0</v>
      </c>
      <c r="H92" s="1850">
        <f>'Total - Traffic %'!H92</f>
        <v>0</v>
      </c>
      <c r="I92" s="1851">
        <f>'Total - Traffic %'!I92</f>
        <v>0</v>
      </c>
      <c r="J92" s="1852">
        <f>'Total - Traffic %'!J92</f>
        <v>2.5000000000000001E-2</v>
      </c>
      <c r="K92" s="1853">
        <f>'Total - Traffic %'!K92</f>
        <v>0.10299999999999999</v>
      </c>
      <c r="L92" s="1852">
        <f>'Total - Traffic %'!L92</f>
        <v>3.3000000000000002E-2</v>
      </c>
      <c r="M92" s="1854">
        <f>'Total - Traffic %'!M92</f>
        <v>0.17499999999999999</v>
      </c>
      <c r="N92" s="1853">
        <f>'Total - Traffic %'!N92</f>
        <v>0.17599999999999999</v>
      </c>
      <c r="O92" s="1855">
        <f>'Total - Traffic %'!O92</f>
        <v>0.51300000000000001</v>
      </c>
      <c r="Q92" s="3824" t="s">
        <v>1127</v>
      </c>
      <c r="R92" s="1733">
        <v>1</v>
      </c>
      <c r="S92" s="1849">
        <f>'Total - Traffic %'!S92</f>
        <v>0</v>
      </c>
      <c r="T92" s="1850">
        <f>'Total - Traffic %'!T92</f>
        <v>0</v>
      </c>
      <c r="U92" s="1851">
        <f>'Total - Traffic %'!U92</f>
        <v>0</v>
      </c>
      <c r="V92" s="1849">
        <f>'Total - Traffic %'!V92</f>
        <v>0</v>
      </c>
      <c r="W92" s="1850">
        <f>'Total - Traffic %'!W92</f>
        <v>0</v>
      </c>
      <c r="X92" s="1851">
        <f>'Total - Traffic %'!X92</f>
        <v>0</v>
      </c>
      <c r="Y92" s="1852">
        <f>'Total - Traffic %'!Y92</f>
        <v>2.5000000000000001E-2</v>
      </c>
      <c r="Z92" s="1853">
        <f>'Total - Traffic %'!Z92</f>
        <v>0.10199999999999999</v>
      </c>
      <c r="AA92" s="1852">
        <f>'Total - Traffic %'!AA92</f>
        <v>3.2000000000000001E-2</v>
      </c>
      <c r="AB92" s="1854">
        <f>'Total - Traffic %'!AB92</f>
        <v>0.17499999999999999</v>
      </c>
      <c r="AC92" s="1853">
        <f>'Total - Traffic %'!AC92</f>
        <v>0.17599999999999999</v>
      </c>
      <c r="AD92" s="1855">
        <f>'Total - Traffic %'!AD92</f>
        <v>0.51</v>
      </c>
      <c r="AF92" s="3824" t="s">
        <v>1127</v>
      </c>
      <c r="AG92" s="1733">
        <v>1</v>
      </c>
      <c r="AH92" s="1849">
        <f>'Total - Traffic %'!AH92</f>
        <v>0</v>
      </c>
      <c r="AI92" s="1850">
        <f>'Total - Traffic %'!AI92</f>
        <v>0</v>
      </c>
      <c r="AJ92" s="1851">
        <f>'Total - Traffic %'!AJ92</f>
        <v>0</v>
      </c>
      <c r="AK92" s="1849">
        <f>'Total - Traffic %'!AK92</f>
        <v>0</v>
      </c>
      <c r="AL92" s="1850">
        <f>'Total - Traffic %'!AL92</f>
        <v>0</v>
      </c>
      <c r="AM92" s="1851">
        <f>'Total - Traffic %'!AM92</f>
        <v>0</v>
      </c>
      <c r="AN92" s="1852">
        <f>'Total - Traffic %'!AN92</f>
        <v>0.02</v>
      </c>
      <c r="AO92" s="1853">
        <f>'Total - Traffic %'!AO92</f>
        <v>0.10100000000000001</v>
      </c>
      <c r="AP92" s="1852">
        <f>'Total - Traffic %'!AP92</f>
        <v>2.7E-2</v>
      </c>
      <c r="AQ92" s="1854">
        <f>'Total - Traffic %'!AQ92</f>
        <v>0.13700000000000001</v>
      </c>
      <c r="AR92" s="1853">
        <f>'Total - Traffic %'!AR92</f>
        <v>0.16700000000000001</v>
      </c>
      <c r="AS92" s="1855">
        <f>'Total - Traffic %'!AS92</f>
        <v>0.45200000000000001</v>
      </c>
      <c r="AU92" s="3824" t="s">
        <v>1127</v>
      </c>
      <c r="AV92" s="1733">
        <v>1</v>
      </c>
      <c r="AW92" s="1849">
        <f>'Total - Traffic %'!AW92</f>
        <v>0</v>
      </c>
      <c r="AX92" s="1850">
        <f>'Total - Traffic %'!AX92</f>
        <v>0</v>
      </c>
      <c r="AY92" s="1851">
        <f>'Total - Traffic %'!AY92</f>
        <v>0</v>
      </c>
      <c r="AZ92" s="1849">
        <f>'Total - Traffic %'!AZ92</f>
        <v>0</v>
      </c>
      <c r="BA92" s="1850">
        <f>'Total - Traffic %'!BA92</f>
        <v>0</v>
      </c>
      <c r="BB92" s="1851">
        <f>'Total - Traffic %'!BB92</f>
        <v>0</v>
      </c>
      <c r="BC92" s="1852">
        <f>'Total - Traffic %'!BC92</f>
        <v>1.9E-2</v>
      </c>
      <c r="BD92" s="1853">
        <f>'Total - Traffic %'!BD92</f>
        <v>9.4E-2</v>
      </c>
      <c r="BE92" s="1852">
        <f>'Total - Traffic %'!BE92</f>
        <v>2.4E-2</v>
      </c>
      <c r="BF92" s="1854">
        <f>'Total - Traffic %'!BF92</f>
        <v>0.13400000000000001</v>
      </c>
      <c r="BG92" s="1853">
        <f>'Total - Traffic %'!BG92</f>
        <v>0.16600000000000001</v>
      </c>
      <c r="BH92" s="1855">
        <f>'Total - Traffic %'!BH92</f>
        <v>0.438</v>
      </c>
      <c r="BJ92" s="3824" t="s">
        <v>1127</v>
      </c>
      <c r="BK92" s="1733">
        <v>1</v>
      </c>
      <c r="BL92" s="1849">
        <f>'Total - Traffic %'!BL92</f>
        <v>0</v>
      </c>
      <c r="BM92" s="1850">
        <f>'Total - Traffic %'!BM92</f>
        <v>0</v>
      </c>
      <c r="BN92" s="1851">
        <f>'Total - Traffic %'!BN92</f>
        <v>0</v>
      </c>
      <c r="BO92" s="1849">
        <f>'Total - Traffic %'!BO92</f>
        <v>0</v>
      </c>
      <c r="BP92" s="1850">
        <f>'Total - Traffic %'!BP92</f>
        <v>0</v>
      </c>
      <c r="BQ92" s="1851">
        <f>'Total - Traffic %'!BQ92</f>
        <v>0</v>
      </c>
      <c r="BR92" s="1852">
        <f>'Total - Traffic %'!BR92</f>
        <v>1.9E-2</v>
      </c>
      <c r="BS92" s="1853">
        <f>'Total - Traffic %'!BS92</f>
        <v>9.0999999999999998E-2</v>
      </c>
      <c r="BT92" s="1852">
        <f>'Total - Traffic %'!BT92</f>
        <v>2.3E-2</v>
      </c>
      <c r="BU92" s="1854">
        <f>'Total - Traffic %'!BU92</f>
        <v>0.13100000000000001</v>
      </c>
      <c r="BV92" s="1853">
        <f>'Total - Traffic %'!BV92</f>
        <v>0.16500000000000001</v>
      </c>
      <c r="BW92" s="1855">
        <f>'Total - Traffic %'!BW92</f>
        <v>0.42899999999999999</v>
      </c>
      <c r="BY92" s="3824" t="s">
        <v>1127</v>
      </c>
      <c r="BZ92" s="1733">
        <v>1</v>
      </c>
      <c r="CA92" s="1849">
        <f>'Total - Traffic %'!CA92</f>
        <v>0</v>
      </c>
      <c r="CB92" s="1850">
        <f>'Total - Traffic %'!CB92</f>
        <v>0</v>
      </c>
      <c r="CC92" s="1851">
        <f>'Total - Traffic %'!CC92</f>
        <v>0</v>
      </c>
      <c r="CD92" s="1849">
        <f>'Total - Traffic %'!CD92</f>
        <v>0</v>
      </c>
      <c r="CE92" s="1850">
        <f>'Total - Traffic %'!CE92</f>
        <v>0</v>
      </c>
      <c r="CF92" s="1851">
        <f>'Total - Traffic %'!CF92</f>
        <v>0</v>
      </c>
      <c r="CG92" s="1852">
        <f>'Total - Traffic %'!CG92</f>
        <v>1.7000000000000001E-2</v>
      </c>
      <c r="CH92" s="1853">
        <f>'Total - Traffic %'!CH92</f>
        <v>8.8999999999999996E-2</v>
      </c>
      <c r="CI92" s="1852">
        <f>'Total - Traffic %'!CI92</f>
        <v>2.1999999999999999E-2</v>
      </c>
      <c r="CJ92" s="1854">
        <f>'Total - Traffic %'!CJ92</f>
        <v>0.106</v>
      </c>
      <c r="CK92" s="1853">
        <f>'Total - Traffic %'!CK92</f>
        <v>0.154</v>
      </c>
      <c r="CL92" s="1855">
        <f>'Total - Traffic %'!CL92</f>
        <v>0.38800000000000001</v>
      </c>
    </row>
    <row r="93" spans="1:90" s="1728" customFormat="1" ht="13.5" customHeight="1">
      <c r="A93" s="3842"/>
      <c r="B93" s="3843"/>
      <c r="C93" s="1741">
        <v>2</v>
      </c>
      <c r="D93" s="1856">
        <f>'Total - Traffic %'!D93</f>
        <v>0</v>
      </c>
      <c r="E93" s="1857">
        <f>'Total - Traffic %'!E93</f>
        <v>0</v>
      </c>
      <c r="F93" s="1858">
        <f>'Total - Traffic %'!F93</f>
        <v>0</v>
      </c>
      <c r="G93" s="1856">
        <f>'Total - Traffic %'!G93</f>
        <v>0</v>
      </c>
      <c r="H93" s="1857">
        <f>'Total - Traffic %'!H93</f>
        <v>0</v>
      </c>
      <c r="I93" s="1858">
        <f>'Total - Traffic %'!I93</f>
        <v>0</v>
      </c>
      <c r="J93" s="1859">
        <f>'Total - Traffic %'!J93</f>
        <v>5.1999999999999998E-2</v>
      </c>
      <c r="K93" s="1860">
        <f>'Total - Traffic %'!K93</f>
        <v>3.5999999999999997E-2</v>
      </c>
      <c r="L93" s="1859">
        <f>'Total - Traffic %'!L93</f>
        <v>0.11899999999999999</v>
      </c>
      <c r="M93" s="1861">
        <f>'Total - Traffic %'!M93</f>
        <v>0.124</v>
      </c>
      <c r="N93" s="1860">
        <f>'Total - Traffic %'!N93</f>
        <v>0.02</v>
      </c>
      <c r="O93" s="1862">
        <f>'Total - Traffic %'!O93</f>
        <v>0.35199999999999998</v>
      </c>
      <c r="Q93" s="3825"/>
      <c r="R93" s="1741">
        <v>2</v>
      </c>
      <c r="S93" s="1856">
        <f>'Total - Traffic %'!S93</f>
        <v>0</v>
      </c>
      <c r="T93" s="1857">
        <f>'Total - Traffic %'!T93</f>
        <v>0</v>
      </c>
      <c r="U93" s="1858">
        <f>'Total - Traffic %'!U93</f>
        <v>0</v>
      </c>
      <c r="V93" s="1856">
        <f>'Total - Traffic %'!V93</f>
        <v>0</v>
      </c>
      <c r="W93" s="1857">
        <f>'Total - Traffic %'!W93</f>
        <v>0</v>
      </c>
      <c r="X93" s="1858">
        <f>'Total - Traffic %'!X93</f>
        <v>0</v>
      </c>
      <c r="Y93" s="1859">
        <f>'Total - Traffic %'!Y93</f>
        <v>4.8000000000000001E-2</v>
      </c>
      <c r="Z93" s="1860">
        <f>'Total - Traffic %'!Z93</f>
        <v>3.5999999999999997E-2</v>
      </c>
      <c r="AA93" s="1859">
        <f>'Total - Traffic %'!AA93</f>
        <v>0.11700000000000001</v>
      </c>
      <c r="AB93" s="1861">
        <f>'Total - Traffic %'!AB93</f>
        <v>0.12</v>
      </c>
      <c r="AC93" s="1860">
        <f>'Total - Traffic %'!AC93</f>
        <v>1.9E-2</v>
      </c>
      <c r="AD93" s="1862">
        <f>'Total - Traffic %'!AD93</f>
        <v>0.34</v>
      </c>
      <c r="AF93" s="3825"/>
      <c r="AG93" s="1741">
        <v>2</v>
      </c>
      <c r="AH93" s="1856">
        <f>'Total - Traffic %'!AH93</f>
        <v>0</v>
      </c>
      <c r="AI93" s="1857">
        <f>'Total - Traffic %'!AI93</f>
        <v>0</v>
      </c>
      <c r="AJ93" s="1858">
        <f>'Total - Traffic %'!AJ93</f>
        <v>0</v>
      </c>
      <c r="AK93" s="1856">
        <f>'Total - Traffic %'!AK93</f>
        <v>0</v>
      </c>
      <c r="AL93" s="1857">
        <f>'Total - Traffic %'!AL93</f>
        <v>0</v>
      </c>
      <c r="AM93" s="1858">
        <f>'Total - Traffic %'!AM93</f>
        <v>0</v>
      </c>
      <c r="AN93" s="1859">
        <f>'Total - Traffic %'!AN93</f>
        <v>4.4999999999999998E-2</v>
      </c>
      <c r="AO93" s="1860">
        <f>'Total - Traffic %'!AO93</f>
        <v>3.5000000000000003E-2</v>
      </c>
      <c r="AP93" s="1859">
        <f>'Total - Traffic %'!AP93</f>
        <v>0.11</v>
      </c>
      <c r="AQ93" s="1861">
        <f>'Total - Traffic %'!AQ93</f>
        <v>0.152</v>
      </c>
      <c r="AR93" s="1860">
        <f>'Total - Traffic %'!AR93</f>
        <v>2.7E-2</v>
      </c>
      <c r="AS93" s="1862">
        <f>'Total - Traffic %'!AS93</f>
        <v>0.36899999999999999</v>
      </c>
      <c r="AU93" s="3825"/>
      <c r="AV93" s="1741">
        <v>2</v>
      </c>
      <c r="AW93" s="1856">
        <f>'Total - Traffic %'!AW93</f>
        <v>0</v>
      </c>
      <c r="AX93" s="1857">
        <f>'Total - Traffic %'!AX93</f>
        <v>0</v>
      </c>
      <c r="AY93" s="1858">
        <f>'Total - Traffic %'!AY93</f>
        <v>0</v>
      </c>
      <c r="AZ93" s="1856">
        <f>'Total - Traffic %'!AZ93</f>
        <v>0</v>
      </c>
      <c r="BA93" s="1857">
        <f>'Total - Traffic %'!BA93</f>
        <v>0</v>
      </c>
      <c r="BB93" s="1858">
        <f>'Total - Traffic %'!BB93</f>
        <v>0</v>
      </c>
      <c r="BC93" s="1859">
        <f>'Total - Traffic %'!BC93</f>
        <v>3.6999999999999998E-2</v>
      </c>
      <c r="BD93" s="1860">
        <f>'Total - Traffic %'!BD93</f>
        <v>3.6999999999999998E-2</v>
      </c>
      <c r="BE93" s="1859">
        <f>'Total - Traffic %'!BE93</f>
        <v>8.6999999999999994E-2</v>
      </c>
      <c r="BF93" s="1861">
        <f>'Total - Traffic %'!BF93</f>
        <v>0.14699999999999999</v>
      </c>
      <c r="BG93" s="1860">
        <f>'Total - Traffic %'!BG93</f>
        <v>2.5000000000000001E-2</v>
      </c>
      <c r="BH93" s="1862">
        <f>'Total - Traffic %'!BH93</f>
        <v>0.33300000000000002</v>
      </c>
      <c r="BJ93" s="3825"/>
      <c r="BK93" s="1741">
        <v>2</v>
      </c>
      <c r="BL93" s="1856">
        <f>'Total - Traffic %'!BL93</f>
        <v>0</v>
      </c>
      <c r="BM93" s="1857">
        <f>'Total - Traffic %'!BM93</f>
        <v>0</v>
      </c>
      <c r="BN93" s="1858">
        <f>'Total - Traffic %'!BN93</f>
        <v>0</v>
      </c>
      <c r="BO93" s="1856">
        <f>'Total - Traffic %'!BO93</f>
        <v>0</v>
      </c>
      <c r="BP93" s="1857">
        <f>'Total - Traffic %'!BP93</f>
        <v>0</v>
      </c>
      <c r="BQ93" s="1858">
        <f>'Total - Traffic %'!BQ93</f>
        <v>0</v>
      </c>
      <c r="BR93" s="1859">
        <f>'Total - Traffic %'!BR93</f>
        <v>3.3000000000000002E-2</v>
      </c>
      <c r="BS93" s="1860">
        <f>'Total - Traffic %'!BS93</f>
        <v>3.9E-2</v>
      </c>
      <c r="BT93" s="1859">
        <f>'Total - Traffic %'!BT93</f>
        <v>7.6999999999999999E-2</v>
      </c>
      <c r="BU93" s="1861">
        <f>'Total - Traffic %'!BU93</f>
        <v>0.14099999999999999</v>
      </c>
      <c r="BV93" s="1860">
        <f>'Total - Traffic %'!BV93</f>
        <v>2.4E-2</v>
      </c>
      <c r="BW93" s="1862">
        <f>'Total - Traffic %'!BW93</f>
        <v>0.314</v>
      </c>
      <c r="BY93" s="3825"/>
      <c r="BZ93" s="1741">
        <v>2</v>
      </c>
      <c r="CA93" s="1856">
        <f>'Total - Traffic %'!CA93</f>
        <v>0</v>
      </c>
      <c r="CB93" s="1857">
        <f>'Total - Traffic %'!CB93</f>
        <v>0</v>
      </c>
      <c r="CC93" s="1858">
        <f>'Total - Traffic %'!CC93</f>
        <v>0</v>
      </c>
      <c r="CD93" s="1856">
        <f>'Total - Traffic %'!CD93</f>
        <v>0</v>
      </c>
      <c r="CE93" s="1857">
        <f>'Total - Traffic %'!CE93</f>
        <v>0</v>
      </c>
      <c r="CF93" s="1858">
        <f>'Total - Traffic %'!CF93</f>
        <v>0</v>
      </c>
      <c r="CG93" s="1859">
        <f>'Total - Traffic %'!CG93</f>
        <v>0.03</v>
      </c>
      <c r="CH93" s="1860">
        <f>'Total - Traffic %'!CH93</f>
        <v>3.7999999999999999E-2</v>
      </c>
      <c r="CI93" s="1859">
        <f>'Total - Traffic %'!CI93</f>
        <v>5.8000000000000003E-2</v>
      </c>
      <c r="CJ93" s="1861">
        <f>'Total - Traffic %'!CJ93</f>
        <v>0.156</v>
      </c>
      <c r="CK93" s="1860">
        <f>'Total - Traffic %'!CK93</f>
        <v>3.5000000000000003E-2</v>
      </c>
      <c r="CL93" s="1862">
        <f>'Total - Traffic %'!CL93</f>
        <v>0.317</v>
      </c>
    </row>
    <row r="94" spans="1:90" s="1728" customFormat="1" ht="13.5" customHeight="1">
      <c r="A94" s="3842"/>
      <c r="B94" s="3843"/>
      <c r="C94" s="1741">
        <v>3</v>
      </c>
      <c r="D94" s="1856">
        <f>'Total - Traffic %'!D94</f>
        <v>0</v>
      </c>
      <c r="E94" s="1857">
        <f>'Total - Traffic %'!E94</f>
        <v>0</v>
      </c>
      <c r="F94" s="1858">
        <f>'Total - Traffic %'!F94</f>
        <v>0</v>
      </c>
      <c r="G94" s="1856">
        <f>'Total - Traffic %'!G94</f>
        <v>0</v>
      </c>
      <c r="H94" s="1857">
        <f>'Total - Traffic %'!H94</f>
        <v>0</v>
      </c>
      <c r="I94" s="1858">
        <f>'Total - Traffic %'!I94</f>
        <v>0</v>
      </c>
      <c r="J94" s="1859">
        <f>'Total - Traffic %'!J94</f>
        <v>4.1000000000000002E-2</v>
      </c>
      <c r="K94" s="1860">
        <f>'Total - Traffic %'!K94</f>
        <v>1.2E-2</v>
      </c>
      <c r="L94" s="1859">
        <f>'Total - Traffic %'!L94</f>
        <v>1.0999999999999999E-2</v>
      </c>
      <c r="M94" s="1861">
        <f>'Total - Traffic %'!M94</f>
        <v>2.5000000000000001E-2</v>
      </c>
      <c r="N94" s="1860">
        <f>'Total - Traffic %'!N94</f>
        <v>8.0000000000000002E-3</v>
      </c>
      <c r="O94" s="1862">
        <f>'Total - Traffic %'!O94</f>
        <v>9.8000000000000004E-2</v>
      </c>
      <c r="Q94" s="3825"/>
      <c r="R94" s="1741">
        <v>3</v>
      </c>
      <c r="S94" s="1856">
        <f>'Total - Traffic %'!S94</f>
        <v>0</v>
      </c>
      <c r="T94" s="1857">
        <f>'Total - Traffic %'!T94</f>
        <v>0</v>
      </c>
      <c r="U94" s="1858">
        <f>'Total - Traffic %'!U94</f>
        <v>0</v>
      </c>
      <c r="V94" s="1856">
        <f>'Total - Traffic %'!V94</f>
        <v>0</v>
      </c>
      <c r="W94" s="1857">
        <f>'Total - Traffic %'!W94</f>
        <v>0</v>
      </c>
      <c r="X94" s="1858">
        <f>'Total - Traffic %'!X94</f>
        <v>0</v>
      </c>
      <c r="Y94" s="1859">
        <f>'Total - Traffic %'!Y94</f>
        <v>4.2999999999999997E-2</v>
      </c>
      <c r="Z94" s="1860">
        <f>'Total - Traffic %'!Z94</f>
        <v>1.2E-2</v>
      </c>
      <c r="AA94" s="1859">
        <f>'Total - Traffic %'!AA94</f>
        <v>1.6E-2</v>
      </c>
      <c r="AB94" s="1861">
        <f>'Total - Traffic %'!AB94</f>
        <v>2.9000000000000001E-2</v>
      </c>
      <c r="AC94" s="1860">
        <f>'Total - Traffic %'!AC94</f>
        <v>8.0000000000000002E-3</v>
      </c>
      <c r="AD94" s="1862">
        <f>'Total - Traffic %'!AD94</f>
        <v>0.108</v>
      </c>
      <c r="AF94" s="3825"/>
      <c r="AG94" s="1741">
        <v>3</v>
      </c>
      <c r="AH94" s="1856">
        <f>'Total - Traffic %'!AH94</f>
        <v>0</v>
      </c>
      <c r="AI94" s="1857">
        <f>'Total - Traffic %'!AI94</f>
        <v>0</v>
      </c>
      <c r="AJ94" s="1858">
        <f>'Total - Traffic %'!AJ94</f>
        <v>0</v>
      </c>
      <c r="AK94" s="1856">
        <f>'Total - Traffic %'!AK94</f>
        <v>0</v>
      </c>
      <c r="AL94" s="1857">
        <f>'Total - Traffic %'!AL94</f>
        <v>0</v>
      </c>
      <c r="AM94" s="1858">
        <f>'Total - Traffic %'!AM94</f>
        <v>0</v>
      </c>
      <c r="AN94" s="1859">
        <f>'Total - Traffic %'!AN94</f>
        <v>4.7E-2</v>
      </c>
      <c r="AO94" s="1860">
        <f>'Total - Traffic %'!AO94</f>
        <v>1.2999999999999999E-2</v>
      </c>
      <c r="AP94" s="1859">
        <f>'Total - Traffic %'!AP94</f>
        <v>2.9000000000000001E-2</v>
      </c>
      <c r="AQ94" s="1861">
        <f>'Total - Traffic %'!AQ94</f>
        <v>3.3000000000000002E-2</v>
      </c>
      <c r="AR94" s="1860">
        <f>'Total - Traffic %'!AR94</f>
        <v>8.0000000000000002E-3</v>
      </c>
      <c r="AS94" s="1862">
        <f>'Total - Traffic %'!AS94</f>
        <v>0.13100000000000001</v>
      </c>
      <c r="AU94" s="3825"/>
      <c r="AV94" s="1741">
        <v>3</v>
      </c>
      <c r="AW94" s="1856">
        <f>'Total - Traffic %'!AW94</f>
        <v>0</v>
      </c>
      <c r="AX94" s="1857">
        <f>'Total - Traffic %'!AX94</f>
        <v>0</v>
      </c>
      <c r="AY94" s="1858">
        <f>'Total - Traffic %'!AY94</f>
        <v>0</v>
      </c>
      <c r="AZ94" s="1856">
        <f>'Total - Traffic %'!AZ94</f>
        <v>0</v>
      </c>
      <c r="BA94" s="1857">
        <f>'Total - Traffic %'!BA94</f>
        <v>0</v>
      </c>
      <c r="BB94" s="1858">
        <f>'Total - Traffic %'!BB94</f>
        <v>0</v>
      </c>
      <c r="BC94" s="1859">
        <f>'Total - Traffic %'!BC94</f>
        <v>4.9000000000000002E-2</v>
      </c>
      <c r="BD94" s="1860">
        <f>'Total - Traffic %'!BD94</f>
        <v>1.4E-2</v>
      </c>
      <c r="BE94" s="1859">
        <f>'Total - Traffic %'!BE94</f>
        <v>5.7000000000000002E-2</v>
      </c>
      <c r="BF94" s="1861">
        <f>'Total - Traffic %'!BF94</f>
        <v>4.1000000000000002E-2</v>
      </c>
      <c r="BG94" s="1860">
        <f>'Total - Traffic %'!BG94</f>
        <v>8.0000000000000002E-3</v>
      </c>
      <c r="BH94" s="1862">
        <f>'Total - Traffic %'!BH94</f>
        <v>0.16800000000000001</v>
      </c>
      <c r="BJ94" s="3825"/>
      <c r="BK94" s="1741">
        <v>3</v>
      </c>
      <c r="BL94" s="1856">
        <f>'Total - Traffic %'!BL94</f>
        <v>0</v>
      </c>
      <c r="BM94" s="1857">
        <f>'Total - Traffic %'!BM94</f>
        <v>0</v>
      </c>
      <c r="BN94" s="1858">
        <f>'Total - Traffic %'!BN94</f>
        <v>0</v>
      </c>
      <c r="BO94" s="1856">
        <f>'Total - Traffic %'!BO94</f>
        <v>0</v>
      </c>
      <c r="BP94" s="1857">
        <f>'Total - Traffic %'!BP94</f>
        <v>0</v>
      </c>
      <c r="BQ94" s="1858">
        <f>'Total - Traffic %'!BQ94</f>
        <v>0</v>
      </c>
      <c r="BR94" s="1859">
        <f>'Total - Traffic %'!BR94</f>
        <v>0.05</v>
      </c>
      <c r="BS94" s="1860">
        <f>'Total - Traffic %'!BS94</f>
        <v>1.4E-2</v>
      </c>
      <c r="BT94" s="1859">
        <f>'Total - Traffic %'!BT94</f>
        <v>6.9000000000000006E-2</v>
      </c>
      <c r="BU94" s="1861">
        <f>'Total - Traffic %'!BU94</f>
        <v>4.7E-2</v>
      </c>
      <c r="BV94" s="1860">
        <f>'Total - Traffic %'!BV94</f>
        <v>0.01</v>
      </c>
      <c r="BW94" s="1862">
        <f>'Total - Traffic %'!BW94</f>
        <v>0.19</v>
      </c>
      <c r="BY94" s="3825"/>
      <c r="BZ94" s="1741">
        <v>3</v>
      </c>
      <c r="CA94" s="1856">
        <f>'Total - Traffic %'!CA94</f>
        <v>0</v>
      </c>
      <c r="CB94" s="1857">
        <f>'Total - Traffic %'!CB94</f>
        <v>0</v>
      </c>
      <c r="CC94" s="1858">
        <f>'Total - Traffic %'!CC94</f>
        <v>0</v>
      </c>
      <c r="CD94" s="1856">
        <f>'Total - Traffic %'!CD94</f>
        <v>0</v>
      </c>
      <c r="CE94" s="1857">
        <f>'Total - Traffic %'!CE94</f>
        <v>0</v>
      </c>
      <c r="CF94" s="1858">
        <f>'Total - Traffic %'!CF94</f>
        <v>0</v>
      </c>
      <c r="CG94" s="1859">
        <f>'Total - Traffic %'!CG94</f>
        <v>0.05</v>
      </c>
      <c r="CH94" s="1860">
        <f>'Total - Traffic %'!CH94</f>
        <v>1.6E-2</v>
      </c>
      <c r="CI94" s="1859">
        <f>'Total - Traffic %'!CI94</f>
        <v>8.5000000000000006E-2</v>
      </c>
      <c r="CJ94" s="1861">
        <f>'Total - Traffic %'!CJ94</f>
        <v>5.3999999999999999E-2</v>
      </c>
      <c r="CK94" s="1860">
        <f>'Total - Traffic %'!CK94</f>
        <v>8.9999999999999993E-3</v>
      </c>
      <c r="CL94" s="1862">
        <f>'Total - Traffic %'!CL94</f>
        <v>0.214</v>
      </c>
    </row>
    <row r="95" spans="1:90" s="1728" customFormat="1" ht="13.5" customHeight="1">
      <c r="A95" s="3842"/>
      <c r="B95" s="3843"/>
      <c r="C95" s="1741">
        <v>4</v>
      </c>
      <c r="D95" s="1856">
        <f>'Total - Traffic %'!D95</f>
        <v>0</v>
      </c>
      <c r="E95" s="1857">
        <f>'Total - Traffic %'!E95</f>
        <v>0</v>
      </c>
      <c r="F95" s="1858">
        <f>'Total - Traffic %'!F95</f>
        <v>0</v>
      </c>
      <c r="G95" s="1856">
        <f>'Total - Traffic %'!G95</f>
        <v>0</v>
      </c>
      <c r="H95" s="1857">
        <f>'Total - Traffic %'!H95</f>
        <v>0</v>
      </c>
      <c r="I95" s="1858">
        <f>'Total - Traffic %'!I95</f>
        <v>0</v>
      </c>
      <c r="J95" s="1859">
        <f>'Total - Traffic %'!J95</f>
        <v>1.9E-2</v>
      </c>
      <c r="K95" s="1860">
        <f>'Total - Traffic %'!K95</f>
        <v>5.0000000000000001E-3</v>
      </c>
      <c r="L95" s="1859">
        <f>'Total - Traffic %'!L95</f>
        <v>0</v>
      </c>
      <c r="M95" s="1861">
        <f>'Total - Traffic %'!M95</f>
        <v>5.0000000000000001E-3</v>
      </c>
      <c r="N95" s="1860">
        <f>'Total - Traffic %'!N95</f>
        <v>3.0000000000000001E-3</v>
      </c>
      <c r="O95" s="1862">
        <f>'Total - Traffic %'!O95</f>
        <v>3.3000000000000002E-2</v>
      </c>
      <c r="Q95" s="3825"/>
      <c r="R95" s="1741">
        <v>4</v>
      </c>
      <c r="S95" s="1856">
        <f>'Total - Traffic %'!S95</f>
        <v>0</v>
      </c>
      <c r="T95" s="1857">
        <f>'Total - Traffic %'!T95</f>
        <v>0</v>
      </c>
      <c r="U95" s="1858">
        <f>'Total - Traffic %'!U95</f>
        <v>0</v>
      </c>
      <c r="V95" s="1856">
        <f>'Total - Traffic %'!V95</f>
        <v>0</v>
      </c>
      <c r="W95" s="1857">
        <f>'Total - Traffic %'!W95</f>
        <v>0</v>
      </c>
      <c r="X95" s="1858">
        <f>'Total - Traffic %'!X95</f>
        <v>0</v>
      </c>
      <c r="Y95" s="1859">
        <f>'Total - Traffic %'!Y95</f>
        <v>1.7000000000000001E-2</v>
      </c>
      <c r="Z95" s="1860">
        <f>'Total - Traffic %'!Z95</f>
        <v>5.0000000000000001E-3</v>
      </c>
      <c r="AA95" s="1859">
        <f>'Total - Traffic %'!AA95</f>
        <v>0</v>
      </c>
      <c r="AB95" s="1861">
        <f>'Total - Traffic %'!AB95</f>
        <v>6.0000000000000001E-3</v>
      </c>
      <c r="AC95" s="1860">
        <f>'Total - Traffic %'!AC95</f>
        <v>4.0000000000000001E-3</v>
      </c>
      <c r="AD95" s="1862">
        <f>'Total - Traffic %'!AD95</f>
        <v>3.2000000000000001E-2</v>
      </c>
      <c r="AF95" s="3825"/>
      <c r="AG95" s="1741">
        <v>4</v>
      </c>
      <c r="AH95" s="1856">
        <f>'Total - Traffic %'!AH95</f>
        <v>0</v>
      </c>
      <c r="AI95" s="1857">
        <f>'Total - Traffic %'!AI95</f>
        <v>0</v>
      </c>
      <c r="AJ95" s="1858">
        <f>'Total - Traffic %'!AJ95</f>
        <v>0</v>
      </c>
      <c r="AK95" s="1856">
        <f>'Total - Traffic %'!AK95</f>
        <v>0</v>
      </c>
      <c r="AL95" s="1857">
        <f>'Total - Traffic %'!AL95</f>
        <v>0</v>
      </c>
      <c r="AM95" s="1858">
        <f>'Total - Traffic %'!AM95</f>
        <v>0</v>
      </c>
      <c r="AN95" s="1859">
        <f>'Total - Traffic %'!AN95</f>
        <v>1.9E-2</v>
      </c>
      <c r="AO95" s="1860">
        <f>'Total - Traffic %'!AO95</f>
        <v>4.0000000000000001E-3</v>
      </c>
      <c r="AP95" s="1859">
        <f>'Total - Traffic %'!AP95</f>
        <v>0</v>
      </c>
      <c r="AQ95" s="1861">
        <f>'Total - Traffic %'!AQ95</f>
        <v>7.0000000000000001E-3</v>
      </c>
      <c r="AR95" s="1860">
        <f>'Total - Traffic %'!AR95</f>
        <v>5.0000000000000001E-3</v>
      </c>
      <c r="AS95" s="1862">
        <f>'Total - Traffic %'!AS95</f>
        <v>3.5000000000000003E-2</v>
      </c>
      <c r="AU95" s="3825"/>
      <c r="AV95" s="1741">
        <v>4</v>
      </c>
      <c r="AW95" s="1856">
        <f>'Total - Traffic %'!AW95</f>
        <v>0</v>
      </c>
      <c r="AX95" s="1857">
        <f>'Total - Traffic %'!AX95</f>
        <v>0</v>
      </c>
      <c r="AY95" s="1858">
        <f>'Total - Traffic %'!AY95</f>
        <v>0</v>
      </c>
      <c r="AZ95" s="1856">
        <f>'Total - Traffic %'!AZ95</f>
        <v>0</v>
      </c>
      <c r="BA95" s="1857">
        <f>'Total - Traffic %'!BA95</f>
        <v>0</v>
      </c>
      <c r="BB95" s="1858">
        <f>'Total - Traffic %'!BB95</f>
        <v>0</v>
      </c>
      <c r="BC95" s="1859">
        <f>'Total - Traffic %'!BC95</f>
        <v>2.3E-2</v>
      </c>
      <c r="BD95" s="1860">
        <f>'Total - Traffic %'!BD95</f>
        <v>4.0000000000000001E-3</v>
      </c>
      <c r="BE95" s="1859">
        <f>'Total - Traffic %'!BE95</f>
        <v>1E-3</v>
      </c>
      <c r="BF95" s="1861">
        <f>'Total - Traffic %'!BF95</f>
        <v>0.01</v>
      </c>
      <c r="BG95" s="1860">
        <f>'Total - Traffic %'!BG95</f>
        <v>7.0000000000000001E-3</v>
      </c>
      <c r="BH95" s="1862">
        <f>'Total - Traffic %'!BH95</f>
        <v>4.4999999999999998E-2</v>
      </c>
      <c r="BJ95" s="3825"/>
      <c r="BK95" s="1741">
        <v>4</v>
      </c>
      <c r="BL95" s="1856">
        <f>'Total - Traffic %'!BL95</f>
        <v>0</v>
      </c>
      <c r="BM95" s="1857">
        <f>'Total - Traffic %'!BM95</f>
        <v>0</v>
      </c>
      <c r="BN95" s="1858">
        <f>'Total - Traffic %'!BN95</f>
        <v>0</v>
      </c>
      <c r="BO95" s="1856">
        <f>'Total - Traffic %'!BO95</f>
        <v>0</v>
      </c>
      <c r="BP95" s="1857">
        <f>'Total - Traffic %'!BP95</f>
        <v>0</v>
      </c>
      <c r="BQ95" s="1858">
        <f>'Total - Traffic %'!BQ95</f>
        <v>0</v>
      </c>
      <c r="BR95" s="1859">
        <f>'Total - Traffic %'!BR95</f>
        <v>2.4E-2</v>
      </c>
      <c r="BS95" s="1860">
        <f>'Total - Traffic %'!BS95</f>
        <v>5.0000000000000001E-3</v>
      </c>
      <c r="BT95" s="1859">
        <f>'Total - Traffic %'!BT95</f>
        <v>1E-3</v>
      </c>
      <c r="BU95" s="1861">
        <f>'Total - Traffic %'!BU95</f>
        <v>1.2999999999999999E-2</v>
      </c>
      <c r="BV95" s="1860">
        <f>'Total - Traffic %'!BV95</f>
        <v>7.0000000000000001E-3</v>
      </c>
      <c r="BW95" s="1862">
        <f>'Total - Traffic %'!BW95</f>
        <v>0.05</v>
      </c>
      <c r="BY95" s="3825"/>
      <c r="BZ95" s="1741">
        <v>4</v>
      </c>
      <c r="CA95" s="1856">
        <f>'Total - Traffic %'!CA95</f>
        <v>0</v>
      </c>
      <c r="CB95" s="1857">
        <f>'Total - Traffic %'!CB95</f>
        <v>0</v>
      </c>
      <c r="CC95" s="1858">
        <f>'Total - Traffic %'!CC95</f>
        <v>0</v>
      </c>
      <c r="CD95" s="1856">
        <f>'Total - Traffic %'!CD95</f>
        <v>0</v>
      </c>
      <c r="CE95" s="1857">
        <f>'Total - Traffic %'!CE95</f>
        <v>0</v>
      </c>
      <c r="CF95" s="1858">
        <f>'Total - Traffic %'!CF95</f>
        <v>0</v>
      </c>
      <c r="CG95" s="1859">
        <f>'Total - Traffic %'!CG95</f>
        <v>2.8000000000000001E-2</v>
      </c>
      <c r="CH95" s="1860">
        <f>'Total - Traffic %'!CH95</f>
        <v>6.0000000000000001E-3</v>
      </c>
      <c r="CI95" s="1859">
        <f>'Total - Traffic %'!CI95</f>
        <v>2E-3</v>
      </c>
      <c r="CJ95" s="1861">
        <f>'Total - Traffic %'!CJ95</f>
        <v>1.6E-2</v>
      </c>
      <c r="CK95" s="1860">
        <f>'Total - Traffic %'!CK95</f>
        <v>8.0000000000000002E-3</v>
      </c>
      <c r="CL95" s="1862">
        <f>'Total - Traffic %'!CL95</f>
        <v>0.06</v>
      </c>
    </row>
    <row r="96" spans="1:90" s="1728" customFormat="1" ht="13.5" customHeight="1">
      <c r="A96" s="3842"/>
      <c r="B96" s="3843"/>
      <c r="C96" s="1749">
        <v>5</v>
      </c>
      <c r="D96" s="1856">
        <f>'Total - Traffic %'!D96</f>
        <v>0</v>
      </c>
      <c r="E96" s="1857">
        <f>'Total - Traffic %'!E96</f>
        <v>0</v>
      </c>
      <c r="F96" s="1858">
        <f>'Total - Traffic %'!F96</f>
        <v>0</v>
      </c>
      <c r="G96" s="1856">
        <f>'Total - Traffic %'!G96</f>
        <v>0</v>
      </c>
      <c r="H96" s="1857">
        <f>'Total - Traffic %'!H96</f>
        <v>0</v>
      </c>
      <c r="I96" s="1858">
        <f>'Total - Traffic %'!I96</f>
        <v>0</v>
      </c>
      <c r="J96" s="1859">
        <f>'Total - Traffic %'!J96</f>
        <v>1E-3</v>
      </c>
      <c r="K96" s="1860">
        <f>'Total - Traffic %'!K96</f>
        <v>0</v>
      </c>
      <c r="L96" s="1859">
        <f>'Total - Traffic %'!L96</f>
        <v>0</v>
      </c>
      <c r="M96" s="1861">
        <f>'Total - Traffic %'!M96</f>
        <v>1E-3</v>
      </c>
      <c r="N96" s="1860">
        <f>'Total - Traffic %'!N96</f>
        <v>3.0000000000000001E-3</v>
      </c>
      <c r="O96" s="1862">
        <f>'Total - Traffic %'!O96</f>
        <v>5.0000000000000001E-3</v>
      </c>
      <c r="Q96" s="3825"/>
      <c r="R96" s="1749">
        <v>5</v>
      </c>
      <c r="S96" s="1856">
        <f>'Total - Traffic %'!S96</f>
        <v>0</v>
      </c>
      <c r="T96" s="1857">
        <f>'Total - Traffic %'!T96</f>
        <v>0</v>
      </c>
      <c r="U96" s="1858">
        <f>'Total - Traffic %'!U96</f>
        <v>0</v>
      </c>
      <c r="V96" s="1856">
        <f>'Total - Traffic %'!V96</f>
        <v>0</v>
      </c>
      <c r="W96" s="1857">
        <f>'Total - Traffic %'!W96</f>
        <v>0</v>
      </c>
      <c r="X96" s="1858">
        <f>'Total - Traffic %'!X96</f>
        <v>0</v>
      </c>
      <c r="Y96" s="1859">
        <f>'Total - Traffic %'!Y96</f>
        <v>5.0000000000000001E-3</v>
      </c>
      <c r="Z96" s="1860">
        <f>'Total - Traffic %'!Z96</f>
        <v>0</v>
      </c>
      <c r="AA96" s="1859">
        <f>'Total - Traffic %'!AA96</f>
        <v>0</v>
      </c>
      <c r="AB96" s="1861">
        <f>'Total - Traffic %'!AB96</f>
        <v>1E-3</v>
      </c>
      <c r="AC96" s="1860">
        <f>'Total - Traffic %'!AC96</f>
        <v>3.0000000000000001E-3</v>
      </c>
      <c r="AD96" s="1862">
        <f>'Total - Traffic %'!AD96</f>
        <v>8.9999999999999993E-3</v>
      </c>
      <c r="AF96" s="3825"/>
      <c r="AG96" s="1749">
        <v>5</v>
      </c>
      <c r="AH96" s="1856">
        <f>'Total - Traffic %'!AH96</f>
        <v>0</v>
      </c>
      <c r="AI96" s="1857">
        <f>'Total - Traffic %'!AI96</f>
        <v>0</v>
      </c>
      <c r="AJ96" s="1858">
        <f>'Total - Traffic %'!AJ96</f>
        <v>0</v>
      </c>
      <c r="AK96" s="1856">
        <f>'Total - Traffic %'!AK96</f>
        <v>0</v>
      </c>
      <c r="AL96" s="1857">
        <f>'Total - Traffic %'!AL96</f>
        <v>0</v>
      </c>
      <c r="AM96" s="1858">
        <f>'Total - Traffic %'!AM96</f>
        <v>0</v>
      </c>
      <c r="AN96" s="1859">
        <f>'Total - Traffic %'!AN96</f>
        <v>6.0000000000000001E-3</v>
      </c>
      <c r="AO96" s="1860">
        <f>'Total - Traffic %'!AO96</f>
        <v>2E-3</v>
      </c>
      <c r="AP96" s="1859">
        <f>'Total - Traffic %'!AP96</f>
        <v>0</v>
      </c>
      <c r="AQ96" s="1861">
        <f>'Total - Traffic %'!AQ96</f>
        <v>1E-3</v>
      </c>
      <c r="AR96" s="1860">
        <f>'Total - Traffic %'!AR96</f>
        <v>3.0000000000000001E-3</v>
      </c>
      <c r="AS96" s="1862">
        <f>'Total - Traffic %'!AS96</f>
        <v>1.2999999999999999E-2</v>
      </c>
      <c r="AU96" s="3825"/>
      <c r="AV96" s="1749">
        <v>5</v>
      </c>
      <c r="AW96" s="1856">
        <f>'Total - Traffic %'!AW96</f>
        <v>0</v>
      </c>
      <c r="AX96" s="1857">
        <f>'Total - Traffic %'!AX96</f>
        <v>0</v>
      </c>
      <c r="AY96" s="1858">
        <f>'Total - Traffic %'!AY96</f>
        <v>0</v>
      </c>
      <c r="AZ96" s="1856">
        <f>'Total - Traffic %'!AZ96</f>
        <v>0</v>
      </c>
      <c r="BA96" s="1857">
        <f>'Total - Traffic %'!BA96</f>
        <v>0</v>
      </c>
      <c r="BB96" s="1858">
        <f>'Total - Traffic %'!BB96</f>
        <v>0</v>
      </c>
      <c r="BC96" s="1859">
        <f>'Total - Traffic %'!BC96</f>
        <v>8.0000000000000002E-3</v>
      </c>
      <c r="BD96" s="1860">
        <f>'Total - Traffic %'!BD96</f>
        <v>3.0000000000000001E-3</v>
      </c>
      <c r="BE96" s="1859">
        <f>'Total - Traffic %'!BE96</f>
        <v>0</v>
      </c>
      <c r="BF96" s="1861">
        <f>'Total - Traffic %'!BF96</f>
        <v>2E-3</v>
      </c>
      <c r="BG96" s="1860">
        <f>'Total - Traffic %'!BG96</f>
        <v>3.0000000000000001E-3</v>
      </c>
      <c r="BH96" s="1862">
        <f>'Total - Traffic %'!BH96</f>
        <v>1.4999999999999999E-2</v>
      </c>
      <c r="BJ96" s="3825"/>
      <c r="BK96" s="1749">
        <v>5</v>
      </c>
      <c r="BL96" s="1856">
        <f>'Total - Traffic %'!BL96</f>
        <v>0</v>
      </c>
      <c r="BM96" s="1857">
        <f>'Total - Traffic %'!BM96</f>
        <v>0</v>
      </c>
      <c r="BN96" s="1858">
        <f>'Total - Traffic %'!BN96</f>
        <v>0</v>
      </c>
      <c r="BO96" s="1856">
        <f>'Total - Traffic %'!BO96</f>
        <v>0</v>
      </c>
      <c r="BP96" s="1857">
        <f>'Total - Traffic %'!BP96</f>
        <v>0</v>
      </c>
      <c r="BQ96" s="1858">
        <f>'Total - Traffic %'!BQ96</f>
        <v>0</v>
      </c>
      <c r="BR96" s="1859">
        <f>'Total - Traffic %'!BR96</f>
        <v>8.0000000000000002E-3</v>
      </c>
      <c r="BS96" s="1860">
        <f>'Total - Traffic %'!BS96</f>
        <v>3.0000000000000001E-3</v>
      </c>
      <c r="BT96" s="1859">
        <f>'Total - Traffic %'!BT96</f>
        <v>0</v>
      </c>
      <c r="BU96" s="1861">
        <f>'Total - Traffic %'!BU96</f>
        <v>2E-3</v>
      </c>
      <c r="BV96" s="1860">
        <f>'Total - Traffic %'!BV96</f>
        <v>4.0000000000000001E-3</v>
      </c>
      <c r="BW96" s="1862">
        <f>'Total - Traffic %'!BW96</f>
        <v>1.7000000000000001E-2</v>
      </c>
      <c r="BY96" s="3825"/>
      <c r="BZ96" s="1749">
        <v>5</v>
      </c>
      <c r="CA96" s="1856">
        <f>'Total - Traffic %'!CA96</f>
        <v>0</v>
      </c>
      <c r="CB96" s="1857">
        <f>'Total - Traffic %'!CB96</f>
        <v>0</v>
      </c>
      <c r="CC96" s="1858">
        <f>'Total - Traffic %'!CC96</f>
        <v>0</v>
      </c>
      <c r="CD96" s="1856">
        <f>'Total - Traffic %'!CD96</f>
        <v>0</v>
      </c>
      <c r="CE96" s="1857">
        <f>'Total - Traffic %'!CE96</f>
        <v>0</v>
      </c>
      <c r="CF96" s="1858">
        <f>'Total - Traffic %'!CF96</f>
        <v>0</v>
      </c>
      <c r="CG96" s="1859">
        <f>'Total - Traffic %'!CG96</f>
        <v>0.01</v>
      </c>
      <c r="CH96" s="1860">
        <f>'Total - Traffic %'!CH96</f>
        <v>3.0000000000000001E-3</v>
      </c>
      <c r="CI96" s="1859">
        <f>'Total - Traffic %'!CI96</f>
        <v>0</v>
      </c>
      <c r="CJ96" s="1861">
        <f>'Total - Traffic %'!CJ96</f>
        <v>2E-3</v>
      </c>
      <c r="CK96" s="1860">
        <f>'Total - Traffic %'!CK96</f>
        <v>4.0000000000000001E-3</v>
      </c>
      <c r="CL96" s="1862">
        <f>'Total - Traffic %'!CL96</f>
        <v>1.7999999999999999E-2</v>
      </c>
    </row>
    <row r="97" spans="1:90" s="1728" customFormat="1" ht="13.5" customHeight="1" thickBot="1">
      <c r="A97" s="3844"/>
      <c r="B97" s="3845"/>
      <c r="C97" s="1750" t="s">
        <v>1422</v>
      </c>
      <c r="D97" s="1863">
        <f>'Total - Traffic %'!D97</f>
        <v>0</v>
      </c>
      <c r="E97" s="1864">
        <f>'Total - Traffic %'!E97</f>
        <v>0</v>
      </c>
      <c r="F97" s="1865">
        <f>'Total - Traffic %'!F97</f>
        <v>0</v>
      </c>
      <c r="G97" s="1863">
        <f>'Total - Traffic %'!G97</f>
        <v>0</v>
      </c>
      <c r="H97" s="1864">
        <f>'Total - Traffic %'!H97</f>
        <v>0</v>
      </c>
      <c r="I97" s="1865">
        <f>'Total - Traffic %'!I97</f>
        <v>0</v>
      </c>
      <c r="J97" s="1866">
        <f>'Total - Traffic %'!J97</f>
        <v>0.13900000000000001</v>
      </c>
      <c r="K97" s="1867">
        <f>'Total - Traffic %'!K97</f>
        <v>0.157</v>
      </c>
      <c r="L97" s="1866">
        <f>'Total - Traffic %'!L97</f>
        <v>0.16400000000000001</v>
      </c>
      <c r="M97" s="1868">
        <f>'Total - Traffic %'!M97</f>
        <v>0.33100000000000002</v>
      </c>
      <c r="N97" s="1867">
        <f>'Total - Traffic %'!N97</f>
        <v>0.20899999999999999</v>
      </c>
      <c r="O97" s="1869">
        <f>'Total - Traffic %'!O97</f>
        <v>1</v>
      </c>
      <c r="Q97" s="3826"/>
      <c r="R97" s="1750" t="s">
        <v>1422</v>
      </c>
      <c r="S97" s="1863">
        <f>'Total - Traffic %'!S97</f>
        <v>0</v>
      </c>
      <c r="T97" s="1864">
        <f>'Total - Traffic %'!T97</f>
        <v>0</v>
      </c>
      <c r="U97" s="1865">
        <f>'Total - Traffic %'!U97</f>
        <v>0</v>
      </c>
      <c r="V97" s="1863">
        <f>'Total - Traffic %'!V97</f>
        <v>0</v>
      </c>
      <c r="W97" s="1864">
        <f>'Total - Traffic %'!W97</f>
        <v>0</v>
      </c>
      <c r="X97" s="1865">
        <f>'Total - Traffic %'!X97</f>
        <v>0</v>
      </c>
      <c r="Y97" s="1866">
        <f>'Total - Traffic %'!Y97</f>
        <v>0.13800000000000001</v>
      </c>
      <c r="Z97" s="1867">
        <f>'Total - Traffic %'!Z97</f>
        <v>0.155</v>
      </c>
      <c r="AA97" s="1866">
        <f>'Total - Traffic %'!AA97</f>
        <v>0.16500000000000001</v>
      </c>
      <c r="AB97" s="1868">
        <f>'Total - Traffic %'!AB97</f>
        <v>0.33100000000000002</v>
      </c>
      <c r="AC97" s="1867">
        <f>'Total - Traffic %'!AC97</f>
        <v>0.21</v>
      </c>
      <c r="AD97" s="1869">
        <f>'Total - Traffic %'!AD97</f>
        <v>1</v>
      </c>
      <c r="AF97" s="3826"/>
      <c r="AG97" s="1750" t="s">
        <v>1422</v>
      </c>
      <c r="AH97" s="1863">
        <f>'Total - Traffic %'!AH97</f>
        <v>0</v>
      </c>
      <c r="AI97" s="1864">
        <f>'Total - Traffic %'!AI97</f>
        <v>0</v>
      </c>
      <c r="AJ97" s="1865">
        <f>'Total - Traffic %'!AJ97</f>
        <v>0</v>
      </c>
      <c r="AK97" s="1863">
        <f>'Total - Traffic %'!AK97</f>
        <v>0</v>
      </c>
      <c r="AL97" s="1864">
        <f>'Total - Traffic %'!AL97</f>
        <v>0</v>
      </c>
      <c r="AM97" s="1865">
        <f>'Total - Traffic %'!AM97</f>
        <v>0</v>
      </c>
      <c r="AN97" s="1866">
        <f>'Total - Traffic %'!AN97</f>
        <v>0.13800000000000001</v>
      </c>
      <c r="AO97" s="1867">
        <f>'Total - Traffic %'!AO97</f>
        <v>0.154</v>
      </c>
      <c r="AP97" s="1866">
        <f>'Total - Traffic %'!AP97</f>
        <v>0.16700000000000001</v>
      </c>
      <c r="AQ97" s="1868">
        <f>'Total - Traffic %'!AQ97</f>
        <v>0.33200000000000002</v>
      </c>
      <c r="AR97" s="1867">
        <f>'Total - Traffic %'!AR97</f>
        <v>0.21</v>
      </c>
      <c r="AS97" s="1869">
        <f>'Total - Traffic %'!AS97</f>
        <v>1</v>
      </c>
      <c r="AU97" s="3826"/>
      <c r="AV97" s="1750" t="s">
        <v>1422</v>
      </c>
      <c r="AW97" s="1863">
        <f>'Total - Traffic %'!AW97</f>
        <v>0</v>
      </c>
      <c r="AX97" s="1864">
        <f>'Total - Traffic %'!AX97</f>
        <v>0</v>
      </c>
      <c r="AY97" s="1865">
        <f>'Total - Traffic %'!AY97</f>
        <v>0</v>
      </c>
      <c r="AZ97" s="1863">
        <f>'Total - Traffic %'!AZ97</f>
        <v>0</v>
      </c>
      <c r="BA97" s="1864">
        <f>'Total - Traffic %'!BA97</f>
        <v>0</v>
      </c>
      <c r="BB97" s="1865">
        <f>'Total - Traffic %'!BB97</f>
        <v>0</v>
      </c>
      <c r="BC97" s="1866">
        <f>'Total - Traffic %'!BC97</f>
        <v>0.13500000000000001</v>
      </c>
      <c r="BD97" s="1867">
        <f>'Total - Traffic %'!BD97</f>
        <v>0.153</v>
      </c>
      <c r="BE97" s="1866">
        <f>'Total - Traffic %'!BE97</f>
        <v>0.16900000000000001</v>
      </c>
      <c r="BF97" s="1868">
        <f>'Total - Traffic %'!BF97</f>
        <v>0.33400000000000002</v>
      </c>
      <c r="BG97" s="1867">
        <f>'Total - Traffic %'!BG97</f>
        <v>0.20899999999999999</v>
      </c>
      <c r="BH97" s="1869">
        <f>'Total - Traffic %'!BH97</f>
        <v>1</v>
      </c>
      <c r="BJ97" s="3826"/>
      <c r="BK97" s="1750" t="s">
        <v>1422</v>
      </c>
      <c r="BL97" s="1863">
        <f>'Total - Traffic %'!BL97</f>
        <v>0</v>
      </c>
      <c r="BM97" s="1864">
        <f>'Total - Traffic %'!BM97</f>
        <v>0</v>
      </c>
      <c r="BN97" s="1865">
        <f>'Total - Traffic %'!BN97</f>
        <v>0</v>
      </c>
      <c r="BO97" s="1863">
        <f>'Total - Traffic %'!BO97</f>
        <v>0</v>
      </c>
      <c r="BP97" s="1864">
        <f>'Total - Traffic %'!BP97</f>
        <v>0</v>
      </c>
      <c r="BQ97" s="1865">
        <f>'Total - Traffic %'!BQ97</f>
        <v>0</v>
      </c>
      <c r="BR97" s="1866">
        <f>'Total - Traffic %'!BR97</f>
        <v>0.13400000000000001</v>
      </c>
      <c r="BS97" s="1867">
        <f>'Total - Traffic %'!BS97</f>
        <v>0.152</v>
      </c>
      <c r="BT97" s="1866">
        <f>'Total - Traffic %'!BT97</f>
        <v>0.17</v>
      </c>
      <c r="BU97" s="1868">
        <f>'Total - Traffic %'!BU97</f>
        <v>0.33400000000000002</v>
      </c>
      <c r="BV97" s="1867">
        <f>'Total - Traffic %'!BV97</f>
        <v>0.20899999999999999</v>
      </c>
      <c r="BW97" s="1869">
        <f>'Total - Traffic %'!BW97</f>
        <v>1</v>
      </c>
      <c r="BY97" s="3826"/>
      <c r="BZ97" s="1750" t="s">
        <v>1422</v>
      </c>
      <c r="CA97" s="1863">
        <f>'Total - Traffic %'!CA97</f>
        <v>0</v>
      </c>
      <c r="CB97" s="1864">
        <f>'Total - Traffic %'!CB97</f>
        <v>0</v>
      </c>
      <c r="CC97" s="1865">
        <f>'Total - Traffic %'!CC97</f>
        <v>0</v>
      </c>
      <c r="CD97" s="1863">
        <f>'Total - Traffic %'!CD97</f>
        <v>0</v>
      </c>
      <c r="CE97" s="1864">
        <f>'Total - Traffic %'!CE97</f>
        <v>0</v>
      </c>
      <c r="CF97" s="1865">
        <f>'Total - Traffic %'!CF97</f>
        <v>0</v>
      </c>
      <c r="CG97" s="1866">
        <f>'Total - Traffic %'!CG97</f>
        <v>0.13400000000000001</v>
      </c>
      <c r="CH97" s="1867">
        <f>'Total - Traffic %'!CH97</f>
        <v>0.152</v>
      </c>
      <c r="CI97" s="1866">
        <f>'Total - Traffic %'!CI97</f>
        <v>0.17100000000000001</v>
      </c>
      <c r="CJ97" s="1868">
        <f>'Total - Traffic %'!CJ97</f>
        <v>0.33300000000000002</v>
      </c>
      <c r="CK97" s="1867">
        <f>'Total - Traffic %'!CK97</f>
        <v>0.21</v>
      </c>
      <c r="CL97" s="1869">
        <f>'Total - Traffic %'!CL97</f>
        <v>1</v>
      </c>
    </row>
    <row r="98" spans="1:90" s="1728" customFormat="1" ht="13.5" customHeight="1" thickTop="1">
      <c r="A98" s="3840" t="s">
        <v>1128</v>
      </c>
      <c r="B98" s="3841"/>
      <c r="C98" s="1733">
        <v>1</v>
      </c>
      <c r="D98" s="1849">
        <f>'Total - Traffic %'!D98</f>
        <v>0</v>
      </c>
      <c r="E98" s="1850">
        <f>'Total - Traffic %'!E98</f>
        <v>0</v>
      </c>
      <c r="F98" s="1851">
        <f>'Total - Traffic %'!F98</f>
        <v>0</v>
      </c>
      <c r="G98" s="1849">
        <f>'Total - Traffic %'!G98</f>
        <v>1.2E-2</v>
      </c>
      <c r="H98" s="1850">
        <f>'Total - Traffic %'!H98</f>
        <v>1.7000000000000001E-2</v>
      </c>
      <c r="I98" s="1851">
        <f>'Total - Traffic %'!I98</f>
        <v>7.2999999999999995E-2</v>
      </c>
      <c r="J98" s="1852">
        <f>'Total - Traffic %'!J98</f>
        <v>1.7000000000000001E-2</v>
      </c>
      <c r="K98" s="1853">
        <f>'Total - Traffic %'!K98</f>
        <v>6.4000000000000001E-2</v>
      </c>
      <c r="L98" s="1852">
        <f>'Total - Traffic %'!L98</f>
        <v>2.5999999999999999E-2</v>
      </c>
      <c r="M98" s="1854">
        <f>'Total - Traffic %'!M98</f>
        <v>9.0999999999999998E-2</v>
      </c>
      <c r="N98" s="1853">
        <f>'Total - Traffic %'!N98</f>
        <v>8.6999999999999994E-2</v>
      </c>
      <c r="O98" s="1855">
        <f>'Total - Traffic %'!O98</f>
        <v>0.38800000000000001</v>
      </c>
      <c r="Q98" s="3824" t="s">
        <v>1128</v>
      </c>
      <c r="R98" s="1733">
        <v>1</v>
      </c>
      <c r="S98" s="1849">
        <f>'Total - Traffic %'!S98</f>
        <v>0</v>
      </c>
      <c r="T98" s="1850">
        <f>'Total - Traffic %'!T98</f>
        <v>0</v>
      </c>
      <c r="U98" s="1851">
        <f>'Total - Traffic %'!U98</f>
        <v>0</v>
      </c>
      <c r="V98" s="1849">
        <f>'Total - Traffic %'!V98</f>
        <v>1.2E-2</v>
      </c>
      <c r="W98" s="1850">
        <f>'Total - Traffic %'!W98</f>
        <v>1.7000000000000001E-2</v>
      </c>
      <c r="X98" s="1851">
        <f>'Total - Traffic %'!X98</f>
        <v>7.2999999999999995E-2</v>
      </c>
      <c r="Y98" s="1852">
        <f>'Total - Traffic %'!Y98</f>
        <v>1.7000000000000001E-2</v>
      </c>
      <c r="Z98" s="1853">
        <f>'Total - Traffic %'!Z98</f>
        <v>6.3E-2</v>
      </c>
      <c r="AA98" s="1852">
        <f>'Total - Traffic %'!AA98</f>
        <v>2.5000000000000001E-2</v>
      </c>
      <c r="AB98" s="1854">
        <f>'Total - Traffic %'!AB98</f>
        <v>9.0999999999999998E-2</v>
      </c>
      <c r="AC98" s="1853">
        <f>'Total - Traffic %'!AC98</f>
        <v>8.7999999999999995E-2</v>
      </c>
      <c r="AD98" s="1855">
        <f>'Total - Traffic %'!AD98</f>
        <v>0.38600000000000001</v>
      </c>
      <c r="AF98" s="3824" t="s">
        <v>1128</v>
      </c>
      <c r="AG98" s="1733">
        <v>1</v>
      </c>
      <c r="AH98" s="1849">
        <f>'Total - Traffic %'!AH98</f>
        <v>0</v>
      </c>
      <c r="AI98" s="1850">
        <f>'Total - Traffic %'!AI98</f>
        <v>0</v>
      </c>
      <c r="AJ98" s="1851">
        <f>'Total - Traffic %'!AJ98</f>
        <v>0</v>
      </c>
      <c r="AK98" s="1849">
        <f>'Total - Traffic %'!AK98</f>
        <v>1.2E-2</v>
      </c>
      <c r="AL98" s="1850">
        <f>'Total - Traffic %'!AL98</f>
        <v>1.4999999999999999E-2</v>
      </c>
      <c r="AM98" s="1851">
        <f>'Total - Traffic %'!AM98</f>
        <v>7.0999999999999994E-2</v>
      </c>
      <c r="AN98" s="1852">
        <f>'Total - Traffic %'!AN98</f>
        <v>1.4999999999999999E-2</v>
      </c>
      <c r="AO98" s="1853">
        <f>'Total - Traffic %'!AO98</f>
        <v>6.2E-2</v>
      </c>
      <c r="AP98" s="1852">
        <f>'Total - Traffic %'!AP98</f>
        <v>2.1000000000000001E-2</v>
      </c>
      <c r="AQ98" s="1854">
        <f>'Total - Traffic %'!AQ98</f>
        <v>7.5999999999999998E-2</v>
      </c>
      <c r="AR98" s="1853">
        <f>'Total - Traffic %'!AR98</f>
        <v>8.2000000000000003E-2</v>
      </c>
      <c r="AS98" s="1855">
        <f>'Total - Traffic %'!AS98</f>
        <v>0.35399999999999998</v>
      </c>
      <c r="AU98" s="3824" t="s">
        <v>1128</v>
      </c>
      <c r="AV98" s="1733">
        <v>1</v>
      </c>
      <c r="AW98" s="1849">
        <f>'Total - Traffic %'!AW98</f>
        <v>0</v>
      </c>
      <c r="AX98" s="1850">
        <f>'Total - Traffic %'!AX98</f>
        <v>0</v>
      </c>
      <c r="AY98" s="1851">
        <f>'Total - Traffic %'!AY98</f>
        <v>0</v>
      </c>
      <c r="AZ98" s="1849">
        <f>'Total - Traffic %'!AZ98</f>
        <v>0.01</v>
      </c>
      <c r="BA98" s="1850">
        <f>'Total - Traffic %'!BA98</f>
        <v>1.2E-2</v>
      </c>
      <c r="BB98" s="1851">
        <f>'Total - Traffic %'!BB98</f>
        <v>6.4000000000000001E-2</v>
      </c>
      <c r="BC98" s="1852">
        <f>'Total - Traffic %'!BC98</f>
        <v>1.2999999999999999E-2</v>
      </c>
      <c r="BD98" s="1853">
        <f>'Total - Traffic %'!BD98</f>
        <v>6.0999999999999999E-2</v>
      </c>
      <c r="BE98" s="1852">
        <f>'Total - Traffic %'!BE98</f>
        <v>1.9E-2</v>
      </c>
      <c r="BF98" s="1854">
        <f>'Total - Traffic %'!BF98</f>
        <v>7.0000000000000007E-2</v>
      </c>
      <c r="BG98" s="1853">
        <f>'Total - Traffic %'!BG98</f>
        <v>0.08</v>
      </c>
      <c r="BH98" s="1855">
        <f>'Total - Traffic %'!BH98</f>
        <v>0.32800000000000001</v>
      </c>
      <c r="BJ98" s="3824" t="s">
        <v>1128</v>
      </c>
      <c r="BK98" s="1733">
        <v>1</v>
      </c>
      <c r="BL98" s="1849">
        <f>'Total - Traffic %'!BL98</f>
        <v>0</v>
      </c>
      <c r="BM98" s="1850">
        <f>'Total - Traffic %'!BM98</f>
        <v>0</v>
      </c>
      <c r="BN98" s="1851">
        <f>'Total - Traffic %'!BN98</f>
        <v>0</v>
      </c>
      <c r="BO98" s="1849">
        <f>'Total - Traffic %'!BO98</f>
        <v>0.01</v>
      </c>
      <c r="BP98" s="1850">
        <f>'Total - Traffic %'!BP98</f>
        <v>1.2E-2</v>
      </c>
      <c r="BQ98" s="1851">
        <f>'Total - Traffic %'!BQ98</f>
        <v>0.06</v>
      </c>
      <c r="BR98" s="1852">
        <f>'Total - Traffic %'!BR98</f>
        <v>1.2999999999999999E-2</v>
      </c>
      <c r="BS98" s="1853">
        <f>'Total - Traffic %'!BS98</f>
        <v>5.8999999999999997E-2</v>
      </c>
      <c r="BT98" s="1852">
        <f>'Total - Traffic %'!BT98</f>
        <v>1.7999999999999999E-2</v>
      </c>
      <c r="BU98" s="1854">
        <f>'Total - Traffic %'!BU98</f>
        <v>6.9000000000000006E-2</v>
      </c>
      <c r="BV98" s="1853">
        <f>'Total - Traffic %'!BV98</f>
        <v>0.08</v>
      </c>
      <c r="BW98" s="1855">
        <f>'Total - Traffic %'!BW98</f>
        <v>0.32100000000000001</v>
      </c>
      <c r="BY98" s="3824" t="s">
        <v>1128</v>
      </c>
      <c r="BZ98" s="1733">
        <v>1</v>
      </c>
      <c r="CA98" s="1849">
        <f>'Total - Traffic %'!CA98</f>
        <v>0</v>
      </c>
      <c r="CB98" s="1850">
        <f>'Total - Traffic %'!CB98</f>
        <v>0</v>
      </c>
      <c r="CC98" s="1851">
        <f>'Total - Traffic %'!CC98</f>
        <v>0</v>
      </c>
      <c r="CD98" s="1849">
        <f>'Total - Traffic %'!CD98</f>
        <v>8.9999999999999993E-3</v>
      </c>
      <c r="CE98" s="1850">
        <f>'Total - Traffic %'!CE98</f>
        <v>1.2E-2</v>
      </c>
      <c r="CF98" s="1851">
        <f>'Total - Traffic %'!CF98</f>
        <v>0.06</v>
      </c>
      <c r="CG98" s="1852">
        <f>'Total - Traffic %'!CG98</f>
        <v>1.2E-2</v>
      </c>
      <c r="CH98" s="1853">
        <f>'Total - Traffic %'!CH98</f>
        <v>5.7000000000000002E-2</v>
      </c>
      <c r="CI98" s="1852">
        <f>'Total - Traffic %'!CI98</f>
        <v>1.6E-2</v>
      </c>
      <c r="CJ98" s="1854">
        <f>'Total - Traffic %'!CJ98</f>
        <v>6.7000000000000004E-2</v>
      </c>
      <c r="CK98" s="1853">
        <f>'Total - Traffic %'!CK98</f>
        <v>7.8E-2</v>
      </c>
      <c r="CL98" s="1855">
        <f>'Total - Traffic %'!CL98</f>
        <v>0.312</v>
      </c>
    </row>
    <row r="99" spans="1:90" s="1728" customFormat="1" ht="13.5" customHeight="1">
      <c r="A99" s="3842"/>
      <c r="B99" s="3843"/>
      <c r="C99" s="1741">
        <v>2</v>
      </c>
      <c r="D99" s="1856">
        <f>'Total - Traffic %'!D99</f>
        <v>0</v>
      </c>
      <c r="E99" s="1857">
        <f>'Total - Traffic %'!E99</f>
        <v>0</v>
      </c>
      <c r="F99" s="1858">
        <f>'Total - Traffic %'!F99</f>
        <v>0</v>
      </c>
      <c r="G99" s="1856">
        <f>'Total - Traffic %'!G99</f>
        <v>3.4000000000000002E-2</v>
      </c>
      <c r="H99" s="1857">
        <f>'Total - Traffic %'!H99</f>
        <v>3.6999999999999998E-2</v>
      </c>
      <c r="I99" s="1858">
        <f>'Total - Traffic %'!I99</f>
        <v>4.4999999999999998E-2</v>
      </c>
      <c r="J99" s="1859">
        <f>'Total - Traffic %'!J99</f>
        <v>3.7999999999999999E-2</v>
      </c>
      <c r="K99" s="1860">
        <f>'Total - Traffic %'!K99</f>
        <v>1.7999999999999999E-2</v>
      </c>
      <c r="L99" s="1859">
        <f>'Total - Traffic %'!L99</f>
        <v>6.4000000000000001E-2</v>
      </c>
      <c r="M99" s="1861">
        <f>'Total - Traffic %'!M99</f>
        <v>7.0000000000000007E-2</v>
      </c>
      <c r="N99" s="1860">
        <f>'Total - Traffic %'!N99</f>
        <v>1.4E-2</v>
      </c>
      <c r="O99" s="1862">
        <f>'Total - Traffic %'!O99</f>
        <v>0.32</v>
      </c>
      <c r="Q99" s="3825"/>
      <c r="R99" s="1741">
        <v>2</v>
      </c>
      <c r="S99" s="1856">
        <f>'Total - Traffic %'!S99</f>
        <v>0</v>
      </c>
      <c r="T99" s="1857">
        <f>'Total - Traffic %'!T99</f>
        <v>0</v>
      </c>
      <c r="U99" s="1858">
        <f>'Total - Traffic %'!U99</f>
        <v>0</v>
      </c>
      <c r="V99" s="1856">
        <f>'Total - Traffic %'!V99</f>
        <v>3.5999999999999997E-2</v>
      </c>
      <c r="W99" s="1857">
        <f>'Total - Traffic %'!W99</f>
        <v>3.4000000000000002E-2</v>
      </c>
      <c r="X99" s="1858">
        <f>'Total - Traffic %'!X99</f>
        <v>4.3999999999999997E-2</v>
      </c>
      <c r="Y99" s="1859">
        <f>'Total - Traffic %'!Y99</f>
        <v>3.6999999999999998E-2</v>
      </c>
      <c r="Z99" s="1860">
        <f>'Total - Traffic %'!Z99</f>
        <v>1.7999999999999999E-2</v>
      </c>
      <c r="AA99" s="1859">
        <f>'Total - Traffic %'!AA99</f>
        <v>6.0999999999999999E-2</v>
      </c>
      <c r="AB99" s="1861">
        <f>'Total - Traffic %'!AB99</f>
        <v>6.9000000000000006E-2</v>
      </c>
      <c r="AC99" s="1860">
        <f>'Total - Traffic %'!AC99</f>
        <v>1.4E-2</v>
      </c>
      <c r="AD99" s="1862">
        <f>'Total - Traffic %'!AD99</f>
        <v>0.313</v>
      </c>
      <c r="AF99" s="3825"/>
      <c r="AG99" s="1741">
        <v>2</v>
      </c>
      <c r="AH99" s="1856">
        <f>'Total - Traffic %'!AH99</f>
        <v>0</v>
      </c>
      <c r="AI99" s="1857">
        <f>'Total - Traffic %'!AI99</f>
        <v>0</v>
      </c>
      <c r="AJ99" s="1858">
        <f>'Total - Traffic %'!AJ99</f>
        <v>0</v>
      </c>
      <c r="AK99" s="1856">
        <f>'Total - Traffic %'!AK99</f>
        <v>3.1E-2</v>
      </c>
      <c r="AL99" s="1857">
        <f>'Total - Traffic %'!AL99</f>
        <v>2.9000000000000001E-2</v>
      </c>
      <c r="AM99" s="1858">
        <f>'Total - Traffic %'!AM99</f>
        <v>4.1000000000000002E-2</v>
      </c>
      <c r="AN99" s="1859">
        <f>'Total - Traffic %'!AN99</f>
        <v>3.2000000000000001E-2</v>
      </c>
      <c r="AO99" s="1860">
        <f>'Total - Traffic %'!AO99</f>
        <v>1.7999999999999999E-2</v>
      </c>
      <c r="AP99" s="1859">
        <f>'Total - Traffic %'!AP99</f>
        <v>5.1999999999999998E-2</v>
      </c>
      <c r="AQ99" s="1861">
        <f>'Total - Traffic %'!AQ99</f>
        <v>8.1000000000000003E-2</v>
      </c>
      <c r="AR99" s="1860">
        <f>'Total - Traffic %'!AR99</f>
        <v>1.9E-2</v>
      </c>
      <c r="AS99" s="1862">
        <f>'Total - Traffic %'!AS99</f>
        <v>0.30299999999999999</v>
      </c>
      <c r="AU99" s="3825"/>
      <c r="AV99" s="1741">
        <v>2</v>
      </c>
      <c r="AW99" s="1856">
        <f>'Total - Traffic %'!AW99</f>
        <v>0</v>
      </c>
      <c r="AX99" s="1857">
        <f>'Total - Traffic %'!AX99</f>
        <v>0</v>
      </c>
      <c r="AY99" s="1858">
        <f>'Total - Traffic %'!AY99</f>
        <v>0</v>
      </c>
      <c r="AZ99" s="1856">
        <f>'Total - Traffic %'!AZ99</f>
        <v>2.4E-2</v>
      </c>
      <c r="BA99" s="1857">
        <f>'Total - Traffic %'!BA99</f>
        <v>0.03</v>
      </c>
      <c r="BB99" s="1858">
        <f>'Total - Traffic %'!BB99</f>
        <v>4.5999999999999999E-2</v>
      </c>
      <c r="BC99" s="1859">
        <f>'Total - Traffic %'!BC99</f>
        <v>2.8000000000000001E-2</v>
      </c>
      <c r="BD99" s="1860">
        <f>'Total - Traffic %'!BD99</f>
        <v>1.7999999999999999E-2</v>
      </c>
      <c r="BE99" s="1859">
        <f>'Total - Traffic %'!BE99</f>
        <v>3.9E-2</v>
      </c>
      <c r="BF99" s="1861">
        <f>'Total - Traffic %'!BF99</f>
        <v>8.4000000000000005E-2</v>
      </c>
      <c r="BG99" s="1860">
        <f>'Total - Traffic %'!BG99</f>
        <v>1.9E-2</v>
      </c>
      <c r="BH99" s="1862">
        <f>'Total - Traffic %'!BH99</f>
        <v>0.28699999999999998</v>
      </c>
      <c r="BJ99" s="3825"/>
      <c r="BK99" s="1741">
        <v>2</v>
      </c>
      <c r="BL99" s="1856">
        <f>'Total - Traffic %'!BL99</f>
        <v>0</v>
      </c>
      <c r="BM99" s="1857">
        <f>'Total - Traffic %'!BM99</f>
        <v>0</v>
      </c>
      <c r="BN99" s="1858">
        <f>'Total - Traffic %'!BN99</f>
        <v>0</v>
      </c>
      <c r="BO99" s="1856">
        <f>'Total - Traffic %'!BO99</f>
        <v>1.9E-2</v>
      </c>
      <c r="BP99" s="1857">
        <f>'Total - Traffic %'!BP99</f>
        <v>2.5000000000000001E-2</v>
      </c>
      <c r="BQ99" s="1858">
        <f>'Total - Traffic %'!BQ99</f>
        <v>4.5999999999999999E-2</v>
      </c>
      <c r="BR99" s="1859">
        <f>'Total - Traffic %'!BR99</f>
        <v>2.5999999999999999E-2</v>
      </c>
      <c r="BS99" s="1860">
        <f>'Total - Traffic %'!BS99</f>
        <v>1.9E-2</v>
      </c>
      <c r="BT99" s="1859">
        <f>'Total - Traffic %'!BT99</f>
        <v>3.5000000000000003E-2</v>
      </c>
      <c r="BU99" s="1861">
        <f>'Total - Traffic %'!BU99</f>
        <v>8.1000000000000003E-2</v>
      </c>
      <c r="BV99" s="1860">
        <f>'Total - Traffic %'!BV99</f>
        <v>1.7999999999999999E-2</v>
      </c>
      <c r="BW99" s="1862">
        <f>'Total - Traffic %'!BW99</f>
        <v>0.27</v>
      </c>
      <c r="BY99" s="3825"/>
      <c r="BZ99" s="1741">
        <v>2</v>
      </c>
      <c r="CA99" s="1856">
        <f>'Total - Traffic %'!CA99</f>
        <v>0</v>
      </c>
      <c r="CB99" s="1857">
        <f>'Total - Traffic %'!CB99</f>
        <v>0</v>
      </c>
      <c r="CC99" s="1858">
        <f>'Total - Traffic %'!CC99</f>
        <v>0</v>
      </c>
      <c r="CD99" s="1856">
        <f>'Total - Traffic %'!CD99</f>
        <v>1.4E-2</v>
      </c>
      <c r="CE99" s="1857">
        <f>'Total - Traffic %'!CE99</f>
        <v>2.4E-2</v>
      </c>
      <c r="CF99" s="1858">
        <f>'Total - Traffic %'!CF99</f>
        <v>4.3999999999999997E-2</v>
      </c>
      <c r="CG99" s="1859">
        <f>'Total - Traffic %'!CG99</f>
        <v>2.4E-2</v>
      </c>
      <c r="CH99" s="1860">
        <f>'Total - Traffic %'!CH99</f>
        <v>0.02</v>
      </c>
      <c r="CI99" s="1859">
        <f>'Total - Traffic %'!CI99</f>
        <v>3.1E-2</v>
      </c>
      <c r="CJ99" s="1861">
        <f>'Total - Traffic %'!CJ99</f>
        <v>0.08</v>
      </c>
      <c r="CK99" s="1860">
        <f>'Total - Traffic %'!CK99</f>
        <v>1.9E-2</v>
      </c>
      <c r="CL99" s="1862">
        <f>'Total - Traffic %'!CL99</f>
        <v>0.25600000000000001</v>
      </c>
    </row>
    <row r="100" spans="1:90" s="1728" customFormat="1" ht="13.5" customHeight="1">
      <c r="A100" s="3842"/>
      <c r="B100" s="3843"/>
      <c r="C100" s="1741">
        <v>3</v>
      </c>
      <c r="D100" s="1856">
        <f>'Total - Traffic %'!D100</f>
        <v>0</v>
      </c>
      <c r="E100" s="1857">
        <f>'Total - Traffic %'!E100</f>
        <v>0</v>
      </c>
      <c r="F100" s="1858">
        <f>'Total - Traffic %'!F100</f>
        <v>0</v>
      </c>
      <c r="G100" s="1856">
        <f>'Total - Traffic %'!G100</f>
        <v>4.2000000000000003E-2</v>
      </c>
      <c r="H100" s="1857">
        <f>'Total - Traffic %'!H100</f>
        <v>2.5000000000000001E-2</v>
      </c>
      <c r="I100" s="1858">
        <f>'Total - Traffic %'!I100</f>
        <v>2.4E-2</v>
      </c>
      <c r="J100" s="1859">
        <f>'Total - Traffic %'!J100</f>
        <v>2.8000000000000001E-2</v>
      </c>
      <c r="K100" s="1860">
        <f>'Total - Traffic %'!K100</f>
        <v>8.9999999999999993E-3</v>
      </c>
      <c r="L100" s="1859">
        <f>'Total - Traffic %'!L100</f>
        <v>4.8000000000000001E-2</v>
      </c>
      <c r="M100" s="1861">
        <f>'Total - Traffic %'!M100</f>
        <v>1.4E-2</v>
      </c>
      <c r="N100" s="1860">
        <f>'Total - Traffic %'!N100</f>
        <v>3.0000000000000001E-3</v>
      </c>
      <c r="O100" s="1862">
        <f>'Total - Traffic %'!O100</f>
        <v>0.193</v>
      </c>
      <c r="Q100" s="3825"/>
      <c r="R100" s="1741">
        <v>3</v>
      </c>
      <c r="S100" s="1856">
        <f>'Total - Traffic %'!S100</f>
        <v>0</v>
      </c>
      <c r="T100" s="1857">
        <f>'Total - Traffic %'!T100</f>
        <v>0</v>
      </c>
      <c r="U100" s="1858">
        <f>'Total - Traffic %'!U100</f>
        <v>0</v>
      </c>
      <c r="V100" s="1856">
        <f>'Total - Traffic %'!V100</f>
        <v>4.4999999999999998E-2</v>
      </c>
      <c r="W100" s="1857">
        <f>'Total - Traffic %'!W100</f>
        <v>2.5999999999999999E-2</v>
      </c>
      <c r="X100" s="1858">
        <f>'Total - Traffic %'!X100</f>
        <v>2.3E-2</v>
      </c>
      <c r="Y100" s="1859">
        <f>'Total - Traffic %'!Y100</f>
        <v>2.9000000000000001E-2</v>
      </c>
      <c r="Z100" s="1860">
        <f>'Total - Traffic %'!Z100</f>
        <v>8.9999999999999993E-3</v>
      </c>
      <c r="AA100" s="1859">
        <f>'Total - Traffic %'!AA100</f>
        <v>5.0999999999999997E-2</v>
      </c>
      <c r="AB100" s="1861">
        <f>'Total - Traffic %'!AB100</f>
        <v>1.4999999999999999E-2</v>
      </c>
      <c r="AC100" s="1860">
        <f>'Total - Traffic %'!AC100</f>
        <v>3.0000000000000001E-3</v>
      </c>
      <c r="AD100" s="1862">
        <f>'Total - Traffic %'!AD100</f>
        <v>0.20100000000000001</v>
      </c>
      <c r="AF100" s="3825"/>
      <c r="AG100" s="1741">
        <v>3</v>
      </c>
      <c r="AH100" s="1856">
        <f>'Total - Traffic %'!AH100</f>
        <v>0</v>
      </c>
      <c r="AI100" s="1857">
        <f>'Total - Traffic %'!AI100</f>
        <v>0</v>
      </c>
      <c r="AJ100" s="1858">
        <f>'Total - Traffic %'!AJ100</f>
        <v>0</v>
      </c>
      <c r="AK100" s="1856">
        <f>'Total - Traffic %'!AK100</f>
        <v>0.05</v>
      </c>
      <c r="AL100" s="1857">
        <f>'Total - Traffic %'!AL100</f>
        <v>2.9000000000000001E-2</v>
      </c>
      <c r="AM100" s="1858">
        <f>'Total - Traffic %'!AM100</f>
        <v>2.5000000000000001E-2</v>
      </c>
      <c r="AN100" s="1859">
        <f>'Total - Traffic %'!AN100</f>
        <v>2.9000000000000001E-2</v>
      </c>
      <c r="AO100" s="1860">
        <f>'Total - Traffic %'!AO100</f>
        <v>8.0000000000000002E-3</v>
      </c>
      <c r="AP100" s="1859">
        <f>'Total - Traffic %'!AP100</f>
        <v>5.7000000000000002E-2</v>
      </c>
      <c r="AQ100" s="1861">
        <f>'Total - Traffic %'!AQ100</f>
        <v>1.7000000000000001E-2</v>
      </c>
      <c r="AR100" s="1860">
        <f>'Total - Traffic %'!AR100</f>
        <v>4.0000000000000001E-3</v>
      </c>
      <c r="AS100" s="1862">
        <f>'Total - Traffic %'!AS100</f>
        <v>0.22</v>
      </c>
      <c r="AU100" s="3825"/>
      <c r="AV100" s="1741">
        <v>3</v>
      </c>
      <c r="AW100" s="1856">
        <f>'Total - Traffic %'!AW100</f>
        <v>0</v>
      </c>
      <c r="AX100" s="1857">
        <f>'Total - Traffic %'!AX100</f>
        <v>0</v>
      </c>
      <c r="AY100" s="1858">
        <f>'Total - Traffic %'!AY100</f>
        <v>0</v>
      </c>
      <c r="AZ100" s="1856">
        <f>'Total - Traffic %'!AZ100</f>
        <v>5.6000000000000001E-2</v>
      </c>
      <c r="BA100" s="1857">
        <f>'Total - Traffic %'!BA100</f>
        <v>0.03</v>
      </c>
      <c r="BB100" s="1858">
        <f>'Total - Traffic %'!BB100</f>
        <v>2.4E-2</v>
      </c>
      <c r="BC100" s="1859">
        <f>'Total - Traffic %'!BC100</f>
        <v>3.3000000000000002E-2</v>
      </c>
      <c r="BD100" s="1860">
        <f>'Total - Traffic %'!BD100</f>
        <v>8.0000000000000002E-3</v>
      </c>
      <c r="BE100" s="1859">
        <f>'Total - Traffic %'!BE100</f>
        <v>6.5000000000000002E-2</v>
      </c>
      <c r="BF100" s="1861">
        <f>'Total - Traffic %'!BF100</f>
        <v>1.7999999999999999E-2</v>
      </c>
      <c r="BG100" s="1860">
        <f>'Total - Traffic %'!BG100</f>
        <v>5.0000000000000001E-3</v>
      </c>
      <c r="BH100" s="1862">
        <f>'Total - Traffic %'!BH100</f>
        <v>0.24</v>
      </c>
      <c r="BJ100" s="3825"/>
      <c r="BK100" s="1741">
        <v>3</v>
      </c>
      <c r="BL100" s="1856">
        <f>'Total - Traffic %'!BL100</f>
        <v>0</v>
      </c>
      <c r="BM100" s="1857">
        <f>'Total - Traffic %'!BM100</f>
        <v>0</v>
      </c>
      <c r="BN100" s="1858">
        <f>'Total - Traffic %'!BN100</f>
        <v>0</v>
      </c>
      <c r="BO100" s="1856">
        <f>'Total - Traffic %'!BO100</f>
        <v>5.8000000000000003E-2</v>
      </c>
      <c r="BP100" s="1857">
        <f>'Total - Traffic %'!BP100</f>
        <v>3.1E-2</v>
      </c>
      <c r="BQ100" s="1858">
        <f>'Total - Traffic %'!BQ100</f>
        <v>2.4E-2</v>
      </c>
      <c r="BR100" s="1859">
        <f>'Total - Traffic %'!BR100</f>
        <v>3.4000000000000002E-2</v>
      </c>
      <c r="BS100" s="1860">
        <f>'Total - Traffic %'!BS100</f>
        <v>8.0000000000000002E-3</v>
      </c>
      <c r="BT100" s="1859">
        <f>'Total - Traffic %'!BT100</f>
        <v>6.2E-2</v>
      </c>
      <c r="BU100" s="1861">
        <f>'Total - Traffic %'!BU100</f>
        <v>0.02</v>
      </c>
      <c r="BV100" s="1860">
        <f>'Total - Traffic %'!BV100</f>
        <v>6.0000000000000001E-3</v>
      </c>
      <c r="BW100" s="1862">
        <f>'Total - Traffic %'!BW100</f>
        <v>0.24299999999999999</v>
      </c>
      <c r="BY100" s="3825"/>
      <c r="BZ100" s="1741">
        <v>3</v>
      </c>
      <c r="CA100" s="1856">
        <f>'Total - Traffic %'!CA100</f>
        <v>0</v>
      </c>
      <c r="CB100" s="1857">
        <f>'Total - Traffic %'!CB100</f>
        <v>0</v>
      </c>
      <c r="CC100" s="1858">
        <f>'Total - Traffic %'!CC100</f>
        <v>0</v>
      </c>
      <c r="CD100" s="1856">
        <f>'Total - Traffic %'!CD100</f>
        <v>0.06</v>
      </c>
      <c r="CE100" s="1857">
        <f>'Total - Traffic %'!CE100</f>
        <v>3.2000000000000001E-2</v>
      </c>
      <c r="CF100" s="1858">
        <f>'Total - Traffic %'!CF100</f>
        <v>2.5000000000000001E-2</v>
      </c>
      <c r="CG100" s="1859">
        <f>'Total - Traffic %'!CG100</f>
        <v>3.3000000000000002E-2</v>
      </c>
      <c r="CH100" s="1860">
        <f>'Total - Traffic %'!CH100</f>
        <v>8.0000000000000002E-3</v>
      </c>
      <c r="CI100" s="1859">
        <f>'Total - Traffic %'!CI100</f>
        <v>5.8999999999999997E-2</v>
      </c>
      <c r="CJ100" s="1861">
        <f>'Total - Traffic %'!CJ100</f>
        <v>2.1999999999999999E-2</v>
      </c>
      <c r="CK100" s="1860">
        <f>'Total - Traffic %'!CK100</f>
        <v>6.0000000000000001E-3</v>
      </c>
      <c r="CL100" s="1862">
        <f>'Total - Traffic %'!CL100</f>
        <v>0.245</v>
      </c>
    </row>
    <row r="101" spans="1:90" s="1728" customFormat="1" ht="13.5" customHeight="1">
      <c r="A101" s="3842"/>
      <c r="B101" s="3843"/>
      <c r="C101" s="1741">
        <v>4</v>
      </c>
      <c r="D101" s="1856">
        <f>'Total - Traffic %'!D101</f>
        <v>0</v>
      </c>
      <c r="E101" s="1857">
        <f>'Total - Traffic %'!E101</f>
        <v>0</v>
      </c>
      <c r="F101" s="1858">
        <f>'Total - Traffic %'!F101</f>
        <v>0</v>
      </c>
      <c r="G101" s="1856">
        <f>'Total - Traffic %'!G101</f>
        <v>1.0999999999999999E-2</v>
      </c>
      <c r="H101" s="1857">
        <f>'Total - Traffic %'!H101</f>
        <v>1.9E-2</v>
      </c>
      <c r="I101" s="1858">
        <f>'Total - Traffic %'!I101</f>
        <v>3.5999999999999997E-2</v>
      </c>
      <c r="J101" s="1859">
        <f>'Total - Traffic %'!J101</f>
        <v>1.4E-2</v>
      </c>
      <c r="K101" s="1860">
        <f>'Total - Traffic %'!K101</f>
        <v>3.0000000000000001E-3</v>
      </c>
      <c r="L101" s="1859">
        <f>'Total - Traffic %'!L101</f>
        <v>8.0000000000000002E-3</v>
      </c>
      <c r="M101" s="1861">
        <f>'Total - Traffic %'!M101</f>
        <v>3.0000000000000001E-3</v>
      </c>
      <c r="N101" s="1860">
        <f>'Total - Traffic %'!N101</f>
        <v>1E-3</v>
      </c>
      <c r="O101" s="1862">
        <f>'Total - Traffic %'!O101</f>
        <v>9.6000000000000002E-2</v>
      </c>
      <c r="Q101" s="3825"/>
      <c r="R101" s="1741">
        <v>4</v>
      </c>
      <c r="S101" s="1856">
        <f>'Total - Traffic %'!S101</f>
        <v>0</v>
      </c>
      <c r="T101" s="1857">
        <f>'Total - Traffic %'!T101</f>
        <v>0</v>
      </c>
      <c r="U101" s="1858">
        <f>'Total - Traffic %'!U101</f>
        <v>0</v>
      </c>
      <c r="V101" s="1856">
        <f>'Total - Traffic %'!V101</f>
        <v>8.0000000000000002E-3</v>
      </c>
      <c r="W101" s="1857">
        <f>'Total - Traffic %'!W101</f>
        <v>1.7000000000000001E-2</v>
      </c>
      <c r="X101" s="1858">
        <f>'Total - Traffic %'!X101</f>
        <v>2.7E-2</v>
      </c>
      <c r="Y101" s="1859">
        <f>'Total - Traffic %'!Y101</f>
        <v>1.2999999999999999E-2</v>
      </c>
      <c r="Z101" s="1860">
        <f>'Total - Traffic %'!Z101</f>
        <v>3.0000000000000001E-3</v>
      </c>
      <c r="AA101" s="1859">
        <f>'Total - Traffic %'!AA101</f>
        <v>1.0999999999999999E-2</v>
      </c>
      <c r="AB101" s="1861">
        <f>'Total - Traffic %'!AB101</f>
        <v>3.0000000000000001E-3</v>
      </c>
      <c r="AC101" s="1860">
        <f>'Total - Traffic %'!AC101</f>
        <v>1E-3</v>
      </c>
      <c r="AD101" s="1862">
        <f>'Total - Traffic %'!AD101</f>
        <v>8.3000000000000004E-2</v>
      </c>
      <c r="AF101" s="3825"/>
      <c r="AG101" s="1741">
        <v>4</v>
      </c>
      <c r="AH101" s="1856">
        <f>'Total - Traffic %'!AH101</f>
        <v>0</v>
      </c>
      <c r="AI101" s="1857">
        <f>'Total - Traffic %'!AI101</f>
        <v>0</v>
      </c>
      <c r="AJ101" s="1858">
        <f>'Total - Traffic %'!AJ101</f>
        <v>0</v>
      </c>
      <c r="AK101" s="1856">
        <f>'Total - Traffic %'!AK101</f>
        <v>8.9999999999999993E-3</v>
      </c>
      <c r="AL101" s="1857">
        <f>'Total - Traffic %'!AL101</f>
        <v>1.4E-2</v>
      </c>
      <c r="AM101" s="1858">
        <f>'Total - Traffic %'!AM101</f>
        <v>1.4999999999999999E-2</v>
      </c>
      <c r="AN101" s="1859">
        <f>'Total - Traffic %'!AN101</f>
        <v>1.4E-2</v>
      </c>
      <c r="AO101" s="1860">
        <f>'Total - Traffic %'!AO101</f>
        <v>4.0000000000000001E-3</v>
      </c>
      <c r="AP101" s="1859">
        <f>'Total - Traffic %'!AP101</f>
        <v>1.9E-2</v>
      </c>
      <c r="AQ101" s="1861">
        <f>'Total - Traffic %'!AQ101</f>
        <v>4.0000000000000001E-3</v>
      </c>
      <c r="AR101" s="1860">
        <f>'Total - Traffic %'!AR101</f>
        <v>1E-3</v>
      </c>
      <c r="AS101" s="1862">
        <f>'Total - Traffic %'!AS101</f>
        <v>0.08</v>
      </c>
      <c r="AU101" s="3825"/>
      <c r="AV101" s="1741">
        <v>4</v>
      </c>
      <c r="AW101" s="1856">
        <f>'Total - Traffic %'!AW101</f>
        <v>0</v>
      </c>
      <c r="AX101" s="1857">
        <f>'Total - Traffic %'!AX101</f>
        <v>0</v>
      </c>
      <c r="AY101" s="1858">
        <f>'Total - Traffic %'!AY101</f>
        <v>0</v>
      </c>
      <c r="AZ101" s="1856">
        <f>'Total - Traffic %'!AZ101</f>
        <v>1.2999999999999999E-2</v>
      </c>
      <c r="BA101" s="1857">
        <f>'Total - Traffic %'!BA101</f>
        <v>1.4999999999999999E-2</v>
      </c>
      <c r="BB101" s="1858">
        <f>'Total - Traffic %'!BB101</f>
        <v>1.7000000000000001E-2</v>
      </c>
      <c r="BC101" s="1859">
        <f>'Total - Traffic %'!BC101</f>
        <v>1.6E-2</v>
      </c>
      <c r="BD101" s="1860">
        <f>'Total - Traffic %'!BD101</f>
        <v>4.0000000000000001E-3</v>
      </c>
      <c r="BE101" s="1859">
        <f>'Total - Traffic %'!BE101</f>
        <v>2.5999999999999999E-2</v>
      </c>
      <c r="BF101" s="1861">
        <f>'Total - Traffic %'!BF101</f>
        <v>5.0000000000000001E-3</v>
      </c>
      <c r="BG101" s="1860">
        <f>'Total - Traffic %'!BG101</f>
        <v>2E-3</v>
      </c>
      <c r="BH101" s="1862">
        <f>'Total - Traffic %'!BH101</f>
        <v>9.6000000000000002E-2</v>
      </c>
      <c r="BJ101" s="3825"/>
      <c r="BK101" s="1741">
        <v>4</v>
      </c>
      <c r="BL101" s="1856">
        <f>'Total - Traffic %'!BL101</f>
        <v>0</v>
      </c>
      <c r="BM101" s="1857">
        <f>'Total - Traffic %'!BM101</f>
        <v>0</v>
      </c>
      <c r="BN101" s="1858">
        <f>'Total - Traffic %'!BN101</f>
        <v>0</v>
      </c>
      <c r="BO101" s="1856">
        <f>'Total - Traffic %'!BO101</f>
        <v>1.7999999999999999E-2</v>
      </c>
      <c r="BP101" s="1857">
        <f>'Total - Traffic %'!BP101</f>
        <v>1.6E-2</v>
      </c>
      <c r="BQ101" s="1858">
        <f>'Total - Traffic %'!BQ101</f>
        <v>1.7000000000000001E-2</v>
      </c>
      <c r="BR101" s="1859">
        <f>'Total - Traffic %'!BR101</f>
        <v>1.7000000000000001E-2</v>
      </c>
      <c r="BS101" s="1860">
        <f>'Total - Traffic %'!BS101</f>
        <v>5.0000000000000001E-3</v>
      </c>
      <c r="BT101" s="1859">
        <f>'Total - Traffic %'!BT101</f>
        <v>3.5999999999999997E-2</v>
      </c>
      <c r="BU101" s="1861">
        <f>'Total - Traffic %'!BU101</f>
        <v>5.0000000000000001E-3</v>
      </c>
      <c r="BV101" s="1860">
        <f>'Total - Traffic %'!BV101</f>
        <v>2E-3</v>
      </c>
      <c r="BW101" s="1862">
        <f>'Total - Traffic %'!BW101</f>
        <v>0.11600000000000001</v>
      </c>
      <c r="BY101" s="3825"/>
      <c r="BZ101" s="1741">
        <v>4</v>
      </c>
      <c r="CA101" s="1856">
        <f>'Total - Traffic %'!CA101</f>
        <v>0</v>
      </c>
      <c r="CB101" s="1857">
        <f>'Total - Traffic %'!CB101</f>
        <v>0</v>
      </c>
      <c r="CC101" s="1858">
        <f>'Total - Traffic %'!CC101</f>
        <v>0</v>
      </c>
      <c r="CD101" s="1856">
        <f>'Total - Traffic %'!CD101</f>
        <v>0.02</v>
      </c>
      <c r="CE101" s="1857">
        <f>'Total - Traffic %'!CE101</f>
        <v>1.6E-2</v>
      </c>
      <c r="CF101" s="1858">
        <f>'Total - Traffic %'!CF101</f>
        <v>1.7000000000000001E-2</v>
      </c>
      <c r="CG101" s="1859">
        <f>'Total - Traffic %'!CG101</f>
        <v>1.7999999999999999E-2</v>
      </c>
      <c r="CH101" s="1860">
        <f>'Total - Traffic %'!CH101</f>
        <v>5.0000000000000001E-3</v>
      </c>
      <c r="CI101" s="1859">
        <f>'Total - Traffic %'!CI101</f>
        <v>4.4999999999999998E-2</v>
      </c>
      <c r="CJ101" s="1861">
        <f>'Total - Traffic %'!CJ101</f>
        <v>7.0000000000000001E-3</v>
      </c>
      <c r="CK101" s="1860">
        <f>'Total - Traffic %'!CK101</f>
        <v>2E-3</v>
      </c>
      <c r="CL101" s="1862">
        <f>'Total - Traffic %'!CL101</f>
        <v>0.13</v>
      </c>
    </row>
    <row r="102" spans="1:90" s="1728" customFormat="1" ht="13.5" customHeight="1">
      <c r="A102" s="3842"/>
      <c r="B102" s="3843"/>
      <c r="C102" s="1749">
        <v>5</v>
      </c>
      <c r="D102" s="1856">
        <f>'Total - Traffic %'!D102</f>
        <v>0</v>
      </c>
      <c r="E102" s="1857">
        <f>'Total - Traffic %'!E102</f>
        <v>0</v>
      </c>
      <c r="F102" s="1858">
        <f>'Total - Traffic %'!F102</f>
        <v>0</v>
      </c>
      <c r="G102" s="1856">
        <f>'Total - Traffic %'!G102</f>
        <v>0</v>
      </c>
      <c r="H102" s="1857">
        <f>'Total - Traffic %'!H102</f>
        <v>0</v>
      </c>
      <c r="I102" s="1858">
        <f>'Total - Traffic %'!I102</f>
        <v>0</v>
      </c>
      <c r="J102" s="1859">
        <f>'Total - Traffic %'!J102</f>
        <v>1E-3</v>
      </c>
      <c r="K102" s="1860">
        <f>'Total - Traffic %'!K102</f>
        <v>0</v>
      </c>
      <c r="L102" s="1859">
        <f>'Total - Traffic %'!L102</f>
        <v>0</v>
      </c>
      <c r="M102" s="1861">
        <f>'Total - Traffic %'!M102</f>
        <v>0</v>
      </c>
      <c r="N102" s="1860">
        <f>'Total - Traffic %'!N102</f>
        <v>0</v>
      </c>
      <c r="O102" s="1862">
        <f>'Total - Traffic %'!O102</f>
        <v>1E-3</v>
      </c>
      <c r="Q102" s="3825"/>
      <c r="R102" s="1749">
        <v>5</v>
      </c>
      <c r="S102" s="1856">
        <f>'Total - Traffic %'!S102</f>
        <v>0</v>
      </c>
      <c r="T102" s="1857">
        <f>'Total - Traffic %'!T102</f>
        <v>0</v>
      </c>
      <c r="U102" s="1858">
        <f>'Total - Traffic %'!U102</f>
        <v>0</v>
      </c>
      <c r="V102" s="1856">
        <f>'Total - Traffic %'!V102</f>
        <v>0</v>
      </c>
      <c r="W102" s="1857">
        <f>'Total - Traffic %'!W102</f>
        <v>4.0000000000000001E-3</v>
      </c>
      <c r="X102" s="1858">
        <f>'Total - Traffic %'!X102</f>
        <v>8.0000000000000002E-3</v>
      </c>
      <c r="Y102" s="1859">
        <f>'Total - Traffic %'!Y102</f>
        <v>3.0000000000000001E-3</v>
      </c>
      <c r="Z102" s="1860">
        <f>'Total - Traffic %'!Z102</f>
        <v>1E-3</v>
      </c>
      <c r="AA102" s="1859">
        <f>'Total - Traffic %'!AA102</f>
        <v>0</v>
      </c>
      <c r="AB102" s="1861">
        <f>'Total - Traffic %'!AB102</f>
        <v>0</v>
      </c>
      <c r="AC102" s="1860">
        <f>'Total - Traffic %'!AC102</f>
        <v>0</v>
      </c>
      <c r="AD102" s="1862">
        <f>'Total - Traffic %'!AD102</f>
        <v>1.6E-2</v>
      </c>
      <c r="AF102" s="3825"/>
      <c r="AG102" s="1749">
        <v>5</v>
      </c>
      <c r="AH102" s="1856">
        <f>'Total - Traffic %'!AH102</f>
        <v>0</v>
      </c>
      <c r="AI102" s="1857">
        <f>'Total - Traffic %'!AI102</f>
        <v>0</v>
      </c>
      <c r="AJ102" s="1858">
        <f>'Total - Traffic %'!AJ102</f>
        <v>0</v>
      </c>
      <c r="AK102" s="1856">
        <f>'Total - Traffic %'!AK102</f>
        <v>0</v>
      </c>
      <c r="AL102" s="1857">
        <f>'Total - Traffic %'!AL102</f>
        <v>0.01</v>
      </c>
      <c r="AM102" s="1858">
        <f>'Total - Traffic %'!AM102</f>
        <v>2.3E-2</v>
      </c>
      <c r="AN102" s="1859">
        <f>'Total - Traffic %'!AN102</f>
        <v>5.0000000000000001E-3</v>
      </c>
      <c r="AO102" s="1860">
        <f>'Total - Traffic %'!AO102</f>
        <v>1E-3</v>
      </c>
      <c r="AP102" s="1859">
        <f>'Total - Traffic %'!AP102</f>
        <v>0</v>
      </c>
      <c r="AQ102" s="1861">
        <f>'Total - Traffic %'!AQ102</f>
        <v>1E-3</v>
      </c>
      <c r="AR102" s="1860">
        <f>'Total - Traffic %'!AR102</f>
        <v>0</v>
      </c>
      <c r="AS102" s="1862">
        <f>'Total - Traffic %'!AS102</f>
        <v>0.04</v>
      </c>
      <c r="AU102" s="3825"/>
      <c r="AV102" s="1749">
        <v>5</v>
      </c>
      <c r="AW102" s="1856">
        <f>'Total - Traffic %'!AW102</f>
        <v>0</v>
      </c>
      <c r="AX102" s="1857">
        <f>'Total - Traffic %'!AX102</f>
        <v>0</v>
      </c>
      <c r="AY102" s="1858">
        <f>'Total - Traffic %'!AY102</f>
        <v>0</v>
      </c>
      <c r="AZ102" s="1856">
        <f>'Total - Traffic %'!AZ102</f>
        <v>0</v>
      </c>
      <c r="BA102" s="1857">
        <f>'Total - Traffic %'!BA102</f>
        <v>1.0999999999999999E-2</v>
      </c>
      <c r="BB102" s="1858">
        <f>'Total - Traffic %'!BB102</f>
        <v>2.5999999999999999E-2</v>
      </c>
      <c r="BC102" s="1859">
        <f>'Total - Traffic %'!BC102</f>
        <v>5.0000000000000001E-3</v>
      </c>
      <c r="BD102" s="1860">
        <f>'Total - Traffic %'!BD102</f>
        <v>1E-3</v>
      </c>
      <c r="BE102" s="1859">
        <f>'Total - Traffic %'!BE102</f>
        <v>0</v>
      </c>
      <c r="BF102" s="1861">
        <f>'Total - Traffic %'!BF102</f>
        <v>1E-3</v>
      </c>
      <c r="BG102" s="1860">
        <f>'Total - Traffic %'!BG102</f>
        <v>0</v>
      </c>
      <c r="BH102" s="1862">
        <f>'Total - Traffic %'!BH102</f>
        <v>4.4999999999999998E-2</v>
      </c>
      <c r="BJ102" s="3825"/>
      <c r="BK102" s="1749">
        <v>5</v>
      </c>
      <c r="BL102" s="1856">
        <f>'Total - Traffic %'!BL102</f>
        <v>0</v>
      </c>
      <c r="BM102" s="1857">
        <f>'Total - Traffic %'!BM102</f>
        <v>0</v>
      </c>
      <c r="BN102" s="1858">
        <f>'Total - Traffic %'!BN102</f>
        <v>0</v>
      </c>
      <c r="BO102" s="1856">
        <f>'Total - Traffic %'!BO102</f>
        <v>0</v>
      </c>
      <c r="BP102" s="1857">
        <f>'Total - Traffic %'!BP102</f>
        <v>1.2999999999999999E-2</v>
      </c>
      <c r="BQ102" s="1858">
        <f>'Total - Traffic %'!BQ102</f>
        <v>2.7E-2</v>
      </c>
      <c r="BR102" s="1859">
        <f>'Total - Traffic %'!BR102</f>
        <v>6.0000000000000001E-3</v>
      </c>
      <c r="BS102" s="1860">
        <f>'Total - Traffic %'!BS102</f>
        <v>2E-3</v>
      </c>
      <c r="BT102" s="1859">
        <f>'Total - Traffic %'!BT102</f>
        <v>0</v>
      </c>
      <c r="BU102" s="1861">
        <f>'Total - Traffic %'!BU102</f>
        <v>1E-3</v>
      </c>
      <c r="BV102" s="1860">
        <f>'Total - Traffic %'!BV102</f>
        <v>0</v>
      </c>
      <c r="BW102" s="1862">
        <f>'Total - Traffic %'!BW102</f>
        <v>4.9000000000000002E-2</v>
      </c>
      <c r="BY102" s="3825"/>
      <c r="BZ102" s="1749">
        <v>5</v>
      </c>
      <c r="CA102" s="1856">
        <f>'Total - Traffic %'!CA102</f>
        <v>0</v>
      </c>
      <c r="CB102" s="1857">
        <f>'Total - Traffic %'!CB102</f>
        <v>0</v>
      </c>
      <c r="CC102" s="1858">
        <f>'Total - Traffic %'!CC102</f>
        <v>0</v>
      </c>
      <c r="CD102" s="1856">
        <f>'Total - Traffic %'!CD102</f>
        <v>2E-3</v>
      </c>
      <c r="CE102" s="1857">
        <f>'Total - Traffic %'!CE102</f>
        <v>1.4E-2</v>
      </c>
      <c r="CF102" s="1858">
        <f>'Total - Traffic %'!CF102</f>
        <v>0.03</v>
      </c>
      <c r="CG102" s="1859">
        <f>'Total - Traffic %'!CG102</f>
        <v>7.0000000000000001E-3</v>
      </c>
      <c r="CH102" s="1860">
        <f>'Total - Traffic %'!CH102</f>
        <v>2E-3</v>
      </c>
      <c r="CI102" s="1859">
        <f>'Total - Traffic %'!CI102</f>
        <v>2E-3</v>
      </c>
      <c r="CJ102" s="1861">
        <f>'Total - Traffic %'!CJ102</f>
        <v>1E-3</v>
      </c>
      <c r="CK102" s="1860">
        <f>'Total - Traffic %'!CK102</f>
        <v>1E-3</v>
      </c>
      <c r="CL102" s="1862">
        <f>'Total - Traffic %'!CL102</f>
        <v>5.8000000000000003E-2</v>
      </c>
    </row>
    <row r="103" spans="1:90" s="1728" customFormat="1" ht="13.5" customHeight="1" thickBot="1">
      <c r="A103" s="3844"/>
      <c r="B103" s="3845"/>
      <c r="C103" s="1750" t="s">
        <v>1422</v>
      </c>
      <c r="D103" s="1863">
        <f>'Total - Traffic %'!D103</f>
        <v>0</v>
      </c>
      <c r="E103" s="1864">
        <f>'Total - Traffic %'!E103</f>
        <v>0</v>
      </c>
      <c r="F103" s="1865">
        <f>'Total - Traffic %'!F103</f>
        <v>0</v>
      </c>
      <c r="G103" s="1863">
        <f>'Total - Traffic %'!G103</f>
        <v>0.1</v>
      </c>
      <c r="H103" s="1864">
        <f>'Total - Traffic %'!H103</f>
        <v>9.8000000000000004E-2</v>
      </c>
      <c r="I103" s="1865">
        <f>'Total - Traffic %'!I103</f>
        <v>0.17799999999999999</v>
      </c>
      <c r="J103" s="1866">
        <f>'Total - Traffic %'!J103</f>
        <v>9.9000000000000005E-2</v>
      </c>
      <c r="K103" s="1867">
        <f>'Total - Traffic %'!K103</f>
        <v>9.5000000000000001E-2</v>
      </c>
      <c r="L103" s="1866">
        <f>'Total - Traffic %'!L103</f>
        <v>0.14599999999999999</v>
      </c>
      <c r="M103" s="1868">
        <f>'Total - Traffic %'!M103</f>
        <v>0.17899999999999999</v>
      </c>
      <c r="N103" s="1867">
        <f>'Total - Traffic %'!N103</f>
        <v>0.105</v>
      </c>
      <c r="O103" s="1869">
        <f>'Total - Traffic %'!O103</f>
        <v>1</v>
      </c>
      <c r="Q103" s="3826"/>
      <c r="R103" s="1750" t="s">
        <v>1422</v>
      </c>
      <c r="S103" s="1863">
        <f>'Total - Traffic %'!S103</f>
        <v>0</v>
      </c>
      <c r="T103" s="1864">
        <f>'Total - Traffic %'!T103</f>
        <v>0</v>
      </c>
      <c r="U103" s="1865">
        <f>'Total - Traffic %'!U103</f>
        <v>0</v>
      </c>
      <c r="V103" s="1863">
        <f>'Total - Traffic %'!V103</f>
        <v>0.10100000000000001</v>
      </c>
      <c r="W103" s="1864">
        <f>'Total - Traffic %'!W103</f>
        <v>9.8000000000000004E-2</v>
      </c>
      <c r="X103" s="1865">
        <f>'Total - Traffic %'!X103</f>
        <v>0.17599999999999999</v>
      </c>
      <c r="Y103" s="1866">
        <f>'Total - Traffic %'!Y103</f>
        <v>9.8000000000000004E-2</v>
      </c>
      <c r="Z103" s="1867">
        <f>'Total - Traffic %'!Z103</f>
        <v>9.4E-2</v>
      </c>
      <c r="AA103" s="1866">
        <f>'Total - Traffic %'!AA103</f>
        <v>0.14799999999999999</v>
      </c>
      <c r="AB103" s="1868">
        <f>'Total - Traffic %'!AB103</f>
        <v>0.17899999999999999</v>
      </c>
      <c r="AC103" s="1867">
        <f>'Total - Traffic %'!AC103</f>
        <v>0.106</v>
      </c>
      <c r="AD103" s="1869">
        <f>'Total - Traffic %'!AD103</f>
        <v>1</v>
      </c>
      <c r="AF103" s="3826"/>
      <c r="AG103" s="1750" t="s">
        <v>1422</v>
      </c>
      <c r="AH103" s="1863">
        <f>'Total - Traffic %'!AH103</f>
        <v>0</v>
      </c>
      <c r="AI103" s="1864">
        <f>'Total - Traffic %'!AI103</f>
        <v>0</v>
      </c>
      <c r="AJ103" s="1865">
        <f>'Total - Traffic %'!AJ103</f>
        <v>0</v>
      </c>
      <c r="AK103" s="1863">
        <f>'Total - Traffic %'!AK103</f>
        <v>0.10199999999999999</v>
      </c>
      <c r="AL103" s="1864">
        <f>'Total - Traffic %'!AL103</f>
        <v>9.7000000000000003E-2</v>
      </c>
      <c r="AM103" s="1865">
        <f>'Total - Traffic %'!AM103</f>
        <v>0.17499999999999999</v>
      </c>
      <c r="AN103" s="1866">
        <f>'Total - Traffic %'!AN103</f>
        <v>9.8000000000000004E-2</v>
      </c>
      <c r="AO103" s="1867">
        <f>'Total - Traffic %'!AO103</f>
        <v>9.4E-2</v>
      </c>
      <c r="AP103" s="1866">
        <f>'Total - Traffic %'!AP103</f>
        <v>0.14899999999999999</v>
      </c>
      <c r="AQ103" s="1868">
        <f>'Total - Traffic %'!AQ103</f>
        <v>0.17899999999999999</v>
      </c>
      <c r="AR103" s="1867">
        <f>'Total - Traffic %'!AR103</f>
        <v>0.106</v>
      </c>
      <c r="AS103" s="1869">
        <f>'Total - Traffic %'!AS103</f>
        <v>1</v>
      </c>
      <c r="AU103" s="3826"/>
      <c r="AV103" s="1750" t="s">
        <v>1422</v>
      </c>
      <c r="AW103" s="1863">
        <f>'Total - Traffic %'!AW103</f>
        <v>0</v>
      </c>
      <c r="AX103" s="1864">
        <f>'Total - Traffic %'!AX103</f>
        <v>0</v>
      </c>
      <c r="AY103" s="1865">
        <f>'Total - Traffic %'!AY103</f>
        <v>0</v>
      </c>
      <c r="AZ103" s="1863">
        <f>'Total - Traffic %'!AZ103</f>
        <v>0.105</v>
      </c>
      <c r="BA103" s="1864">
        <f>'Total - Traffic %'!BA103</f>
        <v>9.8000000000000004E-2</v>
      </c>
      <c r="BB103" s="1865">
        <f>'Total - Traffic %'!BB103</f>
        <v>0.17599999999999999</v>
      </c>
      <c r="BC103" s="1866">
        <f>'Total - Traffic %'!BC103</f>
        <v>9.6000000000000002E-2</v>
      </c>
      <c r="BD103" s="1867">
        <f>'Total - Traffic %'!BD103</f>
        <v>9.1999999999999998E-2</v>
      </c>
      <c r="BE103" s="1866">
        <f>'Total - Traffic %'!BE103</f>
        <v>0.151</v>
      </c>
      <c r="BF103" s="1868">
        <f>'Total - Traffic %'!BF103</f>
        <v>0.17699999999999999</v>
      </c>
      <c r="BG103" s="1867">
        <f>'Total - Traffic %'!BG103</f>
        <v>0.105</v>
      </c>
      <c r="BH103" s="1869">
        <f>'Total - Traffic %'!BH103</f>
        <v>1</v>
      </c>
      <c r="BJ103" s="3826"/>
      <c r="BK103" s="1750" t="s">
        <v>1422</v>
      </c>
      <c r="BL103" s="1863">
        <f>'Total - Traffic %'!BL103</f>
        <v>0</v>
      </c>
      <c r="BM103" s="1864">
        <f>'Total - Traffic %'!BM103</f>
        <v>0</v>
      </c>
      <c r="BN103" s="1865">
        <f>'Total - Traffic %'!BN103</f>
        <v>0</v>
      </c>
      <c r="BO103" s="1863">
        <f>'Total - Traffic %'!BO103</f>
        <v>0.105</v>
      </c>
      <c r="BP103" s="1864">
        <f>'Total - Traffic %'!BP103</f>
        <v>9.7000000000000003E-2</v>
      </c>
      <c r="BQ103" s="1865">
        <f>'Total - Traffic %'!BQ103</f>
        <v>0.17599999999999999</v>
      </c>
      <c r="BR103" s="1866">
        <f>'Total - Traffic %'!BR103</f>
        <v>9.6000000000000002E-2</v>
      </c>
      <c r="BS103" s="1867">
        <f>'Total - Traffic %'!BS103</f>
        <v>9.1999999999999998E-2</v>
      </c>
      <c r="BT103" s="1866">
        <f>'Total - Traffic %'!BT103</f>
        <v>0.152</v>
      </c>
      <c r="BU103" s="1868">
        <f>'Total - Traffic %'!BU103</f>
        <v>0.17699999999999999</v>
      </c>
      <c r="BV103" s="1867">
        <f>'Total - Traffic %'!BV103</f>
        <v>0.105</v>
      </c>
      <c r="BW103" s="1869">
        <f>'Total - Traffic %'!BW103</f>
        <v>1</v>
      </c>
      <c r="BY103" s="3826"/>
      <c r="BZ103" s="1750" t="s">
        <v>1422</v>
      </c>
      <c r="CA103" s="1863">
        <f>'Total - Traffic %'!CA103</f>
        <v>0</v>
      </c>
      <c r="CB103" s="1864">
        <f>'Total - Traffic %'!CB103</f>
        <v>0</v>
      </c>
      <c r="CC103" s="1865">
        <f>'Total - Traffic %'!CC103</f>
        <v>0</v>
      </c>
      <c r="CD103" s="1863">
        <f>'Total - Traffic %'!CD103</f>
        <v>0.105</v>
      </c>
      <c r="CE103" s="1864">
        <f>'Total - Traffic %'!CE103</f>
        <v>9.7000000000000003E-2</v>
      </c>
      <c r="CF103" s="1865">
        <f>'Total - Traffic %'!CF103</f>
        <v>0.17499999999999999</v>
      </c>
      <c r="CG103" s="1866">
        <f>'Total - Traffic %'!CG103</f>
        <v>9.6000000000000002E-2</v>
      </c>
      <c r="CH103" s="1867">
        <f>'Total - Traffic %'!CH103</f>
        <v>9.1999999999999998E-2</v>
      </c>
      <c r="CI103" s="1866">
        <f>'Total - Traffic %'!CI103</f>
        <v>0.152</v>
      </c>
      <c r="CJ103" s="1868">
        <f>'Total - Traffic %'!CJ103</f>
        <v>0.17699999999999999</v>
      </c>
      <c r="CK103" s="1867">
        <f>'Total - Traffic %'!CK103</f>
        <v>0.106</v>
      </c>
      <c r="CL103" s="1869">
        <f>'Total - Traffic %'!CL103</f>
        <v>1</v>
      </c>
    </row>
    <row r="104" spans="1:90" s="1728" customFormat="1" ht="13.5" customHeight="1" thickTop="1">
      <c r="A104" s="3840" t="s">
        <v>1129</v>
      </c>
      <c r="B104" s="3841"/>
      <c r="C104" s="1733">
        <v>1</v>
      </c>
      <c r="D104" s="1849">
        <f>'Total - Traffic %'!D104</f>
        <v>0</v>
      </c>
      <c r="E104" s="1850">
        <f>'Total - Traffic %'!E104</f>
        <v>0</v>
      </c>
      <c r="F104" s="1851">
        <f>'Total - Traffic %'!F104</f>
        <v>0</v>
      </c>
      <c r="G104" s="1849">
        <f>'Total - Traffic %'!G104</f>
        <v>2.4E-2</v>
      </c>
      <c r="H104" s="1850">
        <f>'Total - Traffic %'!H104</f>
        <v>4.9000000000000002E-2</v>
      </c>
      <c r="I104" s="1851">
        <f>'Total - Traffic %'!I104</f>
        <v>0.125</v>
      </c>
      <c r="J104" s="1852">
        <f>'Total - Traffic %'!J104</f>
        <v>8.9999999999999993E-3</v>
      </c>
      <c r="K104" s="1853">
        <f>'Total - Traffic %'!K104</f>
        <v>3.7999999999999999E-2</v>
      </c>
      <c r="L104" s="1852">
        <f>'Total - Traffic %'!L104</f>
        <v>1.6E-2</v>
      </c>
      <c r="M104" s="1854">
        <f>'Total - Traffic %'!M104</f>
        <v>7.9000000000000001E-2</v>
      </c>
      <c r="N104" s="1853">
        <f>'Total - Traffic %'!N104</f>
        <v>7.1999999999999995E-2</v>
      </c>
      <c r="O104" s="1855">
        <f>'Total - Traffic %'!O104</f>
        <v>0.41199999999999998</v>
      </c>
      <c r="Q104" s="3824" t="s">
        <v>1129</v>
      </c>
      <c r="R104" s="1733">
        <v>1</v>
      </c>
      <c r="S104" s="1849">
        <f>'Total - Traffic %'!S104</f>
        <v>0</v>
      </c>
      <c r="T104" s="1850">
        <f>'Total - Traffic %'!T104</f>
        <v>0</v>
      </c>
      <c r="U104" s="1851">
        <f>'Total - Traffic %'!U104</f>
        <v>0</v>
      </c>
      <c r="V104" s="1849">
        <f>'Total - Traffic %'!V104</f>
        <v>2.5000000000000001E-2</v>
      </c>
      <c r="W104" s="1850">
        <f>'Total - Traffic %'!W104</f>
        <v>4.9000000000000002E-2</v>
      </c>
      <c r="X104" s="1851">
        <f>'Total - Traffic %'!X104</f>
        <v>0.125</v>
      </c>
      <c r="Y104" s="1852">
        <f>'Total - Traffic %'!Y104</f>
        <v>8.9999999999999993E-3</v>
      </c>
      <c r="Z104" s="1853">
        <f>'Total - Traffic %'!Z104</f>
        <v>3.7999999999999999E-2</v>
      </c>
      <c r="AA104" s="1852">
        <f>'Total - Traffic %'!AA104</f>
        <v>1.6E-2</v>
      </c>
      <c r="AB104" s="1854">
        <f>'Total - Traffic %'!AB104</f>
        <v>7.8E-2</v>
      </c>
      <c r="AC104" s="1853">
        <f>'Total - Traffic %'!AC104</f>
        <v>7.0999999999999994E-2</v>
      </c>
      <c r="AD104" s="1855">
        <f>'Total - Traffic %'!AD104</f>
        <v>0.41099999999999998</v>
      </c>
      <c r="AF104" s="3824" t="s">
        <v>1129</v>
      </c>
      <c r="AG104" s="1733">
        <v>1</v>
      </c>
      <c r="AH104" s="1849">
        <f>'Total - Traffic %'!AH104</f>
        <v>0</v>
      </c>
      <c r="AI104" s="1850">
        <f>'Total - Traffic %'!AI104</f>
        <v>0</v>
      </c>
      <c r="AJ104" s="1851">
        <f>'Total - Traffic %'!AJ104</f>
        <v>0</v>
      </c>
      <c r="AK104" s="1849">
        <f>'Total - Traffic %'!AK104</f>
        <v>2.1999999999999999E-2</v>
      </c>
      <c r="AL104" s="1850">
        <f>'Total - Traffic %'!AL104</f>
        <v>3.6999999999999998E-2</v>
      </c>
      <c r="AM104" s="1851">
        <f>'Total - Traffic %'!AM104</f>
        <v>0.11600000000000001</v>
      </c>
      <c r="AN104" s="1852">
        <f>'Total - Traffic %'!AN104</f>
        <v>8.0000000000000002E-3</v>
      </c>
      <c r="AO104" s="1853">
        <f>'Total - Traffic %'!AO104</f>
        <v>3.5999999999999997E-2</v>
      </c>
      <c r="AP104" s="1852">
        <f>'Total - Traffic %'!AP104</f>
        <v>1.4E-2</v>
      </c>
      <c r="AQ104" s="1854">
        <f>'Total - Traffic %'!AQ104</f>
        <v>6.2E-2</v>
      </c>
      <c r="AR104" s="1853">
        <f>'Total - Traffic %'!AR104</f>
        <v>7.0000000000000007E-2</v>
      </c>
      <c r="AS104" s="1855">
        <f>'Total - Traffic %'!AS104</f>
        <v>0.36499999999999999</v>
      </c>
      <c r="AU104" s="3824" t="s">
        <v>1129</v>
      </c>
      <c r="AV104" s="1733">
        <v>1</v>
      </c>
      <c r="AW104" s="1849">
        <f>'Total - Traffic %'!AW104</f>
        <v>0</v>
      </c>
      <c r="AX104" s="1850">
        <f>'Total - Traffic %'!AX104</f>
        <v>0</v>
      </c>
      <c r="AY104" s="1851">
        <f>'Total - Traffic %'!AY104</f>
        <v>0</v>
      </c>
      <c r="AZ104" s="1849">
        <f>'Total - Traffic %'!AZ104</f>
        <v>0.02</v>
      </c>
      <c r="BA104" s="1850">
        <f>'Total - Traffic %'!BA104</f>
        <v>3.6999999999999998E-2</v>
      </c>
      <c r="BB104" s="1851">
        <f>'Total - Traffic %'!BB104</f>
        <v>0.11600000000000001</v>
      </c>
      <c r="BC104" s="1852">
        <f>'Total - Traffic %'!BC104</f>
        <v>7.0000000000000001E-3</v>
      </c>
      <c r="BD104" s="1853">
        <f>'Total - Traffic %'!BD104</f>
        <v>3.3000000000000002E-2</v>
      </c>
      <c r="BE104" s="1852">
        <f>'Total - Traffic %'!BE104</f>
        <v>1.2E-2</v>
      </c>
      <c r="BF104" s="1854">
        <f>'Total - Traffic %'!BF104</f>
        <v>5.8000000000000003E-2</v>
      </c>
      <c r="BG104" s="1853">
        <f>'Total - Traffic %'!BG104</f>
        <v>6.9000000000000006E-2</v>
      </c>
      <c r="BH104" s="1855">
        <f>'Total - Traffic %'!BH104</f>
        <v>0.35099999999999998</v>
      </c>
      <c r="BJ104" s="3824" t="s">
        <v>1129</v>
      </c>
      <c r="BK104" s="1733">
        <v>1</v>
      </c>
      <c r="BL104" s="1849">
        <f>'Total - Traffic %'!BL104</f>
        <v>0</v>
      </c>
      <c r="BM104" s="1850">
        <f>'Total - Traffic %'!BM104</f>
        <v>0</v>
      </c>
      <c r="BN104" s="1851">
        <f>'Total - Traffic %'!BN104</f>
        <v>0</v>
      </c>
      <c r="BO104" s="1849">
        <f>'Total - Traffic %'!BO104</f>
        <v>1.7999999999999999E-2</v>
      </c>
      <c r="BP104" s="1850">
        <f>'Total - Traffic %'!BP104</f>
        <v>3.1E-2</v>
      </c>
      <c r="BQ104" s="1851">
        <f>'Total - Traffic %'!BQ104</f>
        <v>0.115</v>
      </c>
      <c r="BR104" s="1852">
        <f>'Total - Traffic %'!BR104</f>
        <v>6.0000000000000001E-3</v>
      </c>
      <c r="BS104" s="1853">
        <f>'Total - Traffic %'!BS104</f>
        <v>3.3000000000000002E-2</v>
      </c>
      <c r="BT104" s="1852">
        <f>'Total - Traffic %'!BT104</f>
        <v>1.2E-2</v>
      </c>
      <c r="BU104" s="1854">
        <f>'Total - Traffic %'!BU104</f>
        <v>5.5E-2</v>
      </c>
      <c r="BV104" s="1853">
        <f>'Total - Traffic %'!BV104</f>
        <v>6.8000000000000005E-2</v>
      </c>
      <c r="BW104" s="1855">
        <f>'Total - Traffic %'!BW104</f>
        <v>0.33800000000000002</v>
      </c>
      <c r="BY104" s="3824" t="s">
        <v>1129</v>
      </c>
      <c r="BZ104" s="1733">
        <v>1</v>
      </c>
      <c r="CA104" s="1849">
        <f>'Total - Traffic %'!CA104</f>
        <v>0</v>
      </c>
      <c r="CB104" s="1850">
        <f>'Total - Traffic %'!CB104</f>
        <v>0</v>
      </c>
      <c r="CC104" s="1851">
        <f>'Total - Traffic %'!CC104</f>
        <v>0</v>
      </c>
      <c r="CD104" s="1849">
        <f>'Total - Traffic %'!CD104</f>
        <v>1.7000000000000001E-2</v>
      </c>
      <c r="CE104" s="1850">
        <f>'Total - Traffic %'!CE104</f>
        <v>2.8000000000000001E-2</v>
      </c>
      <c r="CF104" s="1851">
        <f>'Total - Traffic %'!CF104</f>
        <v>0.107</v>
      </c>
      <c r="CG104" s="1852">
        <f>'Total - Traffic %'!CG104</f>
        <v>6.0000000000000001E-3</v>
      </c>
      <c r="CH104" s="1853">
        <f>'Total - Traffic %'!CH104</f>
        <v>3.1E-2</v>
      </c>
      <c r="CI104" s="1852">
        <f>'Total - Traffic %'!CI104</f>
        <v>1.0999999999999999E-2</v>
      </c>
      <c r="CJ104" s="1854">
        <f>'Total - Traffic %'!CJ104</f>
        <v>4.9000000000000002E-2</v>
      </c>
      <c r="CK104" s="1853">
        <f>'Total - Traffic %'!CK104</f>
        <v>6.6000000000000003E-2</v>
      </c>
      <c r="CL104" s="1855">
        <f>'Total - Traffic %'!CL104</f>
        <v>0.315</v>
      </c>
    </row>
    <row r="105" spans="1:90" s="1728" customFormat="1" ht="13.5" customHeight="1">
      <c r="A105" s="3842"/>
      <c r="B105" s="3843"/>
      <c r="C105" s="1741">
        <v>2</v>
      </c>
      <c r="D105" s="1856">
        <f>'Total - Traffic %'!D105</f>
        <v>0</v>
      </c>
      <c r="E105" s="1857">
        <f>'Total - Traffic %'!E105</f>
        <v>0</v>
      </c>
      <c r="F105" s="1858">
        <f>'Total - Traffic %'!F105</f>
        <v>0</v>
      </c>
      <c r="G105" s="1856">
        <f>'Total - Traffic %'!G105</f>
        <v>6.6000000000000003E-2</v>
      </c>
      <c r="H105" s="1857">
        <f>'Total - Traffic %'!H105</f>
        <v>8.2000000000000003E-2</v>
      </c>
      <c r="I105" s="1858">
        <f>'Total - Traffic %'!I105</f>
        <v>4.1000000000000002E-2</v>
      </c>
      <c r="J105" s="1859">
        <f>'Total - Traffic %'!J105</f>
        <v>1.4999999999999999E-2</v>
      </c>
      <c r="K105" s="1860">
        <f>'Total - Traffic %'!K105</f>
        <v>1.7999999999999999E-2</v>
      </c>
      <c r="L105" s="1859">
        <f>'Total - Traffic %'!L105</f>
        <v>2.4E-2</v>
      </c>
      <c r="M105" s="1861">
        <f>'Total - Traffic %'!M105</f>
        <v>6.9000000000000006E-2</v>
      </c>
      <c r="N105" s="1860">
        <f>'Total - Traffic %'!N105</f>
        <v>6.0000000000000001E-3</v>
      </c>
      <c r="O105" s="1862">
        <f>'Total - Traffic %'!O105</f>
        <v>0.32100000000000001</v>
      </c>
      <c r="Q105" s="3825"/>
      <c r="R105" s="1741">
        <v>2</v>
      </c>
      <c r="S105" s="1856">
        <f>'Total - Traffic %'!S105</f>
        <v>0</v>
      </c>
      <c r="T105" s="1857">
        <f>'Total - Traffic %'!T105</f>
        <v>0</v>
      </c>
      <c r="U105" s="1858">
        <f>'Total - Traffic %'!U105</f>
        <v>0</v>
      </c>
      <c r="V105" s="1856">
        <f>'Total - Traffic %'!V105</f>
        <v>7.0999999999999994E-2</v>
      </c>
      <c r="W105" s="1857">
        <f>'Total - Traffic %'!W105</f>
        <v>7.0999999999999994E-2</v>
      </c>
      <c r="X105" s="1858">
        <f>'Total - Traffic %'!X105</f>
        <v>4.1000000000000002E-2</v>
      </c>
      <c r="Y105" s="1859">
        <f>'Total - Traffic %'!Y105</f>
        <v>1.4E-2</v>
      </c>
      <c r="Z105" s="1860">
        <f>'Total - Traffic %'!Z105</f>
        <v>1.7999999999999999E-2</v>
      </c>
      <c r="AA105" s="1859">
        <f>'Total - Traffic %'!AA105</f>
        <v>2.4E-2</v>
      </c>
      <c r="AB105" s="1861">
        <f>'Total - Traffic %'!AB105</f>
        <v>6.9000000000000006E-2</v>
      </c>
      <c r="AC105" s="1860">
        <f>'Total - Traffic %'!AC105</f>
        <v>7.0000000000000001E-3</v>
      </c>
      <c r="AD105" s="1862">
        <f>'Total - Traffic %'!AD105</f>
        <v>0.314</v>
      </c>
      <c r="AF105" s="3825"/>
      <c r="AG105" s="1741">
        <v>2</v>
      </c>
      <c r="AH105" s="1856">
        <f>'Total - Traffic %'!AH105</f>
        <v>0</v>
      </c>
      <c r="AI105" s="1857">
        <f>'Total - Traffic %'!AI105</f>
        <v>0</v>
      </c>
      <c r="AJ105" s="1858">
        <f>'Total - Traffic %'!AJ105</f>
        <v>0</v>
      </c>
      <c r="AK105" s="1856">
        <f>'Total - Traffic %'!AK105</f>
        <v>0.06</v>
      </c>
      <c r="AL105" s="1857">
        <f>'Total - Traffic %'!AL105</f>
        <v>7.1999999999999995E-2</v>
      </c>
      <c r="AM105" s="1858">
        <f>'Total - Traffic %'!AM105</f>
        <v>4.5999999999999999E-2</v>
      </c>
      <c r="AN105" s="1859">
        <f>'Total - Traffic %'!AN105</f>
        <v>1.4E-2</v>
      </c>
      <c r="AO105" s="1860">
        <f>'Total - Traffic %'!AO105</f>
        <v>1.7000000000000001E-2</v>
      </c>
      <c r="AP105" s="1859">
        <f>'Total - Traffic %'!AP105</f>
        <v>2.4E-2</v>
      </c>
      <c r="AQ105" s="1861">
        <f>'Total - Traffic %'!AQ105</f>
        <v>8.1000000000000003E-2</v>
      </c>
      <c r="AR105" s="1860">
        <f>'Total - Traffic %'!AR105</f>
        <v>8.0000000000000002E-3</v>
      </c>
      <c r="AS105" s="1862">
        <f>'Total - Traffic %'!AS105</f>
        <v>0.32300000000000001</v>
      </c>
      <c r="AU105" s="3825"/>
      <c r="AV105" s="1741">
        <v>2</v>
      </c>
      <c r="AW105" s="1856">
        <f>'Total - Traffic %'!AW105</f>
        <v>0</v>
      </c>
      <c r="AX105" s="1857">
        <f>'Total - Traffic %'!AX105</f>
        <v>0</v>
      </c>
      <c r="AY105" s="1858">
        <f>'Total - Traffic %'!AY105</f>
        <v>0</v>
      </c>
      <c r="AZ105" s="1856">
        <f>'Total - Traffic %'!AZ105</f>
        <v>0.05</v>
      </c>
      <c r="BA105" s="1857">
        <f>'Total - Traffic %'!BA105</f>
        <v>6.2E-2</v>
      </c>
      <c r="BB105" s="1858">
        <f>'Total - Traffic %'!BB105</f>
        <v>4.2999999999999997E-2</v>
      </c>
      <c r="BC105" s="1859">
        <f>'Total - Traffic %'!BC105</f>
        <v>1.2999999999999999E-2</v>
      </c>
      <c r="BD105" s="1860">
        <f>'Total - Traffic %'!BD105</f>
        <v>1.9E-2</v>
      </c>
      <c r="BE105" s="1859">
        <f>'Total - Traffic %'!BE105</f>
        <v>2.1999999999999999E-2</v>
      </c>
      <c r="BF105" s="1861">
        <f>'Total - Traffic %'!BF105</f>
        <v>7.9000000000000001E-2</v>
      </c>
      <c r="BG105" s="1860">
        <f>'Total - Traffic %'!BG105</f>
        <v>8.0000000000000002E-3</v>
      </c>
      <c r="BH105" s="1862">
        <f>'Total - Traffic %'!BH105</f>
        <v>0.29699999999999999</v>
      </c>
      <c r="BJ105" s="3825"/>
      <c r="BK105" s="1741">
        <v>2</v>
      </c>
      <c r="BL105" s="1856">
        <f>'Total - Traffic %'!BL105</f>
        <v>0</v>
      </c>
      <c r="BM105" s="1857">
        <f>'Total - Traffic %'!BM105</f>
        <v>0</v>
      </c>
      <c r="BN105" s="1858">
        <f>'Total - Traffic %'!BN105</f>
        <v>0</v>
      </c>
      <c r="BO105" s="1856">
        <f>'Total - Traffic %'!BO105</f>
        <v>4.1000000000000002E-2</v>
      </c>
      <c r="BP105" s="1857">
        <f>'Total - Traffic %'!BP105</f>
        <v>6.0999999999999999E-2</v>
      </c>
      <c r="BQ105" s="1858">
        <f>'Total - Traffic %'!BQ105</f>
        <v>4.2000000000000003E-2</v>
      </c>
      <c r="BR105" s="1859">
        <f>'Total - Traffic %'!BR105</f>
        <v>1.2E-2</v>
      </c>
      <c r="BS105" s="1860">
        <f>'Total - Traffic %'!BS105</f>
        <v>1.7999999999999999E-2</v>
      </c>
      <c r="BT105" s="1859">
        <f>'Total - Traffic %'!BT105</f>
        <v>0.02</v>
      </c>
      <c r="BU105" s="1861">
        <f>'Total - Traffic %'!BU105</f>
        <v>7.8E-2</v>
      </c>
      <c r="BV105" s="1860">
        <f>'Total - Traffic %'!BV105</f>
        <v>8.0000000000000002E-3</v>
      </c>
      <c r="BW105" s="1862">
        <f>'Total - Traffic %'!BW105</f>
        <v>0.27900000000000003</v>
      </c>
      <c r="BY105" s="3825"/>
      <c r="BZ105" s="1741">
        <v>2</v>
      </c>
      <c r="CA105" s="1856">
        <f>'Total - Traffic %'!CA105</f>
        <v>0</v>
      </c>
      <c r="CB105" s="1857">
        <f>'Total - Traffic %'!CB105</f>
        <v>0</v>
      </c>
      <c r="CC105" s="1858">
        <f>'Total - Traffic %'!CC105</f>
        <v>0</v>
      </c>
      <c r="CD105" s="1856">
        <f>'Total - Traffic %'!CD105</f>
        <v>3.4000000000000002E-2</v>
      </c>
      <c r="CE105" s="1857">
        <f>'Total - Traffic %'!CE105</f>
        <v>5.7000000000000002E-2</v>
      </c>
      <c r="CF105" s="1858">
        <f>'Total - Traffic %'!CF105</f>
        <v>4.5999999999999999E-2</v>
      </c>
      <c r="CG105" s="1859">
        <f>'Total - Traffic %'!CG105</f>
        <v>1.0999999999999999E-2</v>
      </c>
      <c r="CH105" s="1860">
        <f>'Total - Traffic %'!CH105</f>
        <v>1.7999999999999999E-2</v>
      </c>
      <c r="CI105" s="1859">
        <f>'Total - Traffic %'!CI105</f>
        <v>1.9E-2</v>
      </c>
      <c r="CJ105" s="1861">
        <f>'Total - Traffic %'!CJ105</f>
        <v>7.5999999999999998E-2</v>
      </c>
      <c r="CK105" s="1860">
        <f>'Total - Traffic %'!CK105</f>
        <v>0.01</v>
      </c>
      <c r="CL105" s="1862">
        <f>'Total - Traffic %'!CL105</f>
        <v>0.27100000000000002</v>
      </c>
    </row>
    <row r="106" spans="1:90" s="1728" customFormat="1" ht="13.5" customHeight="1">
      <c r="A106" s="3842"/>
      <c r="B106" s="3843"/>
      <c r="C106" s="1741">
        <v>3</v>
      </c>
      <c r="D106" s="1856">
        <f>'Total - Traffic %'!D106</f>
        <v>0</v>
      </c>
      <c r="E106" s="1857">
        <f>'Total - Traffic %'!E106</f>
        <v>0</v>
      </c>
      <c r="F106" s="1858">
        <f>'Total - Traffic %'!F106</f>
        <v>0</v>
      </c>
      <c r="G106" s="1856">
        <f>'Total - Traffic %'!G106</f>
        <v>6.7000000000000004E-2</v>
      </c>
      <c r="H106" s="1857">
        <f>'Total - Traffic %'!H106</f>
        <v>5.5E-2</v>
      </c>
      <c r="I106" s="1858">
        <f>'Total - Traffic %'!I106</f>
        <v>2.1999999999999999E-2</v>
      </c>
      <c r="J106" s="1859">
        <f>'Total - Traffic %'!J106</f>
        <v>1.0999999999999999E-2</v>
      </c>
      <c r="K106" s="1860">
        <f>'Total - Traffic %'!K106</f>
        <v>7.0000000000000001E-3</v>
      </c>
      <c r="L106" s="1859">
        <f>'Total - Traffic %'!L106</f>
        <v>2E-3</v>
      </c>
      <c r="M106" s="1861">
        <f>'Total - Traffic %'!M106</f>
        <v>8.0000000000000002E-3</v>
      </c>
      <c r="N106" s="1860">
        <f>'Total - Traffic %'!N106</f>
        <v>1E-3</v>
      </c>
      <c r="O106" s="1862">
        <f>'Total - Traffic %'!O106</f>
        <v>0.17499999999999999</v>
      </c>
      <c r="Q106" s="3825"/>
      <c r="R106" s="1741">
        <v>3</v>
      </c>
      <c r="S106" s="1856">
        <f>'Total - Traffic %'!S106</f>
        <v>0</v>
      </c>
      <c r="T106" s="1857">
        <f>'Total - Traffic %'!T106</f>
        <v>0</v>
      </c>
      <c r="U106" s="1858">
        <f>'Total - Traffic %'!U106</f>
        <v>0</v>
      </c>
      <c r="V106" s="1856">
        <f>'Total - Traffic %'!V106</f>
        <v>6.7000000000000004E-2</v>
      </c>
      <c r="W106" s="1857">
        <f>'Total - Traffic %'!W106</f>
        <v>6.0999999999999999E-2</v>
      </c>
      <c r="X106" s="1858">
        <f>'Total - Traffic %'!X106</f>
        <v>2.3E-2</v>
      </c>
      <c r="Y106" s="1859">
        <f>'Total - Traffic %'!Y106</f>
        <v>1.2E-2</v>
      </c>
      <c r="Z106" s="1860">
        <f>'Total - Traffic %'!Z106</f>
        <v>7.0000000000000001E-3</v>
      </c>
      <c r="AA106" s="1859">
        <f>'Total - Traffic %'!AA106</f>
        <v>2E-3</v>
      </c>
      <c r="AB106" s="1861">
        <f>'Total - Traffic %'!AB106</f>
        <v>8.9999999999999993E-3</v>
      </c>
      <c r="AC106" s="1860">
        <f>'Total - Traffic %'!AC106</f>
        <v>1E-3</v>
      </c>
      <c r="AD106" s="1862">
        <f>'Total - Traffic %'!AD106</f>
        <v>0.182</v>
      </c>
      <c r="AF106" s="3825"/>
      <c r="AG106" s="1741">
        <v>3</v>
      </c>
      <c r="AH106" s="1856">
        <f>'Total - Traffic %'!AH106</f>
        <v>0</v>
      </c>
      <c r="AI106" s="1857">
        <f>'Total - Traffic %'!AI106</f>
        <v>0</v>
      </c>
      <c r="AJ106" s="1858">
        <f>'Total - Traffic %'!AJ106</f>
        <v>0</v>
      </c>
      <c r="AK106" s="1856">
        <f>'Total - Traffic %'!AK106</f>
        <v>7.5999999999999998E-2</v>
      </c>
      <c r="AL106" s="1857">
        <f>'Total - Traffic %'!AL106</f>
        <v>6.6000000000000003E-2</v>
      </c>
      <c r="AM106" s="1858">
        <f>'Total - Traffic %'!AM106</f>
        <v>2.4E-2</v>
      </c>
      <c r="AN106" s="1859">
        <f>'Total - Traffic %'!AN106</f>
        <v>1.2E-2</v>
      </c>
      <c r="AO106" s="1860">
        <f>'Total - Traffic %'!AO106</f>
        <v>8.0000000000000002E-3</v>
      </c>
      <c r="AP106" s="1859">
        <f>'Total - Traffic %'!AP106</f>
        <v>5.0000000000000001E-3</v>
      </c>
      <c r="AQ106" s="1861">
        <f>'Total - Traffic %'!AQ106</f>
        <v>1.0999999999999999E-2</v>
      </c>
      <c r="AR106" s="1860">
        <f>'Total - Traffic %'!AR106</f>
        <v>1E-3</v>
      </c>
      <c r="AS106" s="1862">
        <f>'Total - Traffic %'!AS106</f>
        <v>0.20300000000000001</v>
      </c>
      <c r="AU106" s="3825"/>
      <c r="AV106" s="1741">
        <v>3</v>
      </c>
      <c r="AW106" s="1856">
        <f>'Total - Traffic %'!AW106</f>
        <v>0</v>
      </c>
      <c r="AX106" s="1857">
        <f>'Total - Traffic %'!AX106</f>
        <v>0</v>
      </c>
      <c r="AY106" s="1858">
        <f>'Total - Traffic %'!AY106</f>
        <v>0</v>
      </c>
      <c r="AZ106" s="1856">
        <f>'Total - Traffic %'!AZ106</f>
        <v>8.5000000000000006E-2</v>
      </c>
      <c r="BA106" s="1857">
        <f>'Total - Traffic %'!BA106</f>
        <v>7.0999999999999994E-2</v>
      </c>
      <c r="BB106" s="1858">
        <f>'Total - Traffic %'!BB106</f>
        <v>2.5000000000000001E-2</v>
      </c>
      <c r="BC106" s="1859">
        <f>'Total - Traffic %'!BC106</f>
        <v>1.2E-2</v>
      </c>
      <c r="BD106" s="1860">
        <f>'Total - Traffic %'!BD106</f>
        <v>7.0000000000000001E-3</v>
      </c>
      <c r="BE106" s="1859">
        <f>'Total - Traffic %'!BE106</f>
        <v>7.0000000000000001E-3</v>
      </c>
      <c r="BF106" s="1861">
        <f>'Total - Traffic %'!BF106</f>
        <v>1.4999999999999999E-2</v>
      </c>
      <c r="BG106" s="1860">
        <f>'Total - Traffic %'!BG106</f>
        <v>2E-3</v>
      </c>
      <c r="BH106" s="1862">
        <f>'Total - Traffic %'!BH106</f>
        <v>0.224</v>
      </c>
      <c r="BJ106" s="3825"/>
      <c r="BK106" s="1741">
        <v>3</v>
      </c>
      <c r="BL106" s="1856">
        <f>'Total - Traffic %'!BL106</f>
        <v>0</v>
      </c>
      <c r="BM106" s="1857">
        <f>'Total - Traffic %'!BM106</f>
        <v>0</v>
      </c>
      <c r="BN106" s="1858">
        <f>'Total - Traffic %'!BN106</f>
        <v>0</v>
      </c>
      <c r="BO106" s="1856">
        <f>'Total - Traffic %'!BO106</f>
        <v>0.09</v>
      </c>
      <c r="BP106" s="1857">
        <f>'Total - Traffic %'!BP106</f>
        <v>7.3999999999999996E-2</v>
      </c>
      <c r="BQ106" s="1858">
        <f>'Total - Traffic %'!BQ106</f>
        <v>2.5999999999999999E-2</v>
      </c>
      <c r="BR106" s="1859">
        <f>'Total - Traffic %'!BR106</f>
        <v>1.2999999999999999E-2</v>
      </c>
      <c r="BS106" s="1860">
        <f>'Total - Traffic %'!BS106</f>
        <v>8.9999999999999993E-3</v>
      </c>
      <c r="BT106" s="1859">
        <f>'Total - Traffic %'!BT106</f>
        <v>8.9999999999999993E-3</v>
      </c>
      <c r="BU106" s="1861">
        <f>'Total - Traffic %'!BU106</f>
        <v>1.7999999999999999E-2</v>
      </c>
      <c r="BV106" s="1860">
        <f>'Total - Traffic %'!BV106</f>
        <v>2E-3</v>
      </c>
      <c r="BW106" s="1862">
        <f>'Total - Traffic %'!BW106</f>
        <v>0.24099999999999999</v>
      </c>
      <c r="BY106" s="3825"/>
      <c r="BZ106" s="1741">
        <v>3</v>
      </c>
      <c r="CA106" s="1856">
        <f>'Total - Traffic %'!CA106</f>
        <v>0</v>
      </c>
      <c r="CB106" s="1857">
        <f>'Total - Traffic %'!CB106</f>
        <v>0</v>
      </c>
      <c r="CC106" s="1858">
        <f>'Total - Traffic %'!CC106</f>
        <v>0</v>
      </c>
      <c r="CD106" s="1856">
        <f>'Total - Traffic %'!CD106</f>
        <v>8.3000000000000004E-2</v>
      </c>
      <c r="CE106" s="1857">
        <f>'Total - Traffic %'!CE106</f>
        <v>7.3999999999999996E-2</v>
      </c>
      <c r="CF106" s="1858">
        <f>'Total - Traffic %'!CF106</f>
        <v>2.5999999999999999E-2</v>
      </c>
      <c r="CG106" s="1859">
        <f>'Total - Traffic %'!CG106</f>
        <v>1.2E-2</v>
      </c>
      <c r="CH106" s="1860">
        <f>'Total - Traffic %'!CH106</f>
        <v>8.9999999999999993E-3</v>
      </c>
      <c r="CI106" s="1859">
        <f>'Total - Traffic %'!CI106</f>
        <v>1.0999999999999999E-2</v>
      </c>
      <c r="CJ106" s="1861">
        <f>'Total - Traffic %'!CJ106</f>
        <v>2.5000000000000001E-2</v>
      </c>
      <c r="CK106" s="1860">
        <f>'Total - Traffic %'!CK106</f>
        <v>2E-3</v>
      </c>
      <c r="CL106" s="1862">
        <f>'Total - Traffic %'!CL106</f>
        <v>0.24299999999999999</v>
      </c>
    </row>
    <row r="107" spans="1:90" s="1728" customFormat="1" ht="13.5" customHeight="1">
      <c r="A107" s="3842"/>
      <c r="B107" s="3843"/>
      <c r="C107" s="1741">
        <v>4</v>
      </c>
      <c r="D107" s="1856">
        <f>'Total - Traffic %'!D107</f>
        <v>0</v>
      </c>
      <c r="E107" s="1857">
        <f>'Total - Traffic %'!E107</f>
        <v>0</v>
      </c>
      <c r="F107" s="1858">
        <f>'Total - Traffic %'!F107</f>
        <v>0</v>
      </c>
      <c r="G107" s="1856">
        <f>'Total - Traffic %'!G107</f>
        <v>1.2999999999999999E-2</v>
      </c>
      <c r="H107" s="1857">
        <f>'Total - Traffic %'!H107</f>
        <v>3.6999999999999998E-2</v>
      </c>
      <c r="I107" s="1858">
        <f>'Total - Traffic %'!I107</f>
        <v>1.7000000000000001E-2</v>
      </c>
      <c r="J107" s="1859">
        <f>'Total - Traffic %'!J107</f>
        <v>5.0000000000000001E-3</v>
      </c>
      <c r="K107" s="1860">
        <f>'Total - Traffic %'!K107</f>
        <v>5.0000000000000001E-3</v>
      </c>
      <c r="L107" s="1859">
        <f>'Total - Traffic %'!L107</f>
        <v>1E-3</v>
      </c>
      <c r="M107" s="1861">
        <f>'Total - Traffic %'!M107</f>
        <v>2E-3</v>
      </c>
      <c r="N107" s="1860">
        <f>'Total - Traffic %'!N107</f>
        <v>1E-3</v>
      </c>
      <c r="O107" s="1862">
        <f>'Total - Traffic %'!O107</f>
        <v>0.08</v>
      </c>
      <c r="Q107" s="3825"/>
      <c r="R107" s="1741">
        <v>4</v>
      </c>
      <c r="S107" s="1856">
        <f>'Total - Traffic %'!S107</f>
        <v>0</v>
      </c>
      <c r="T107" s="1857">
        <f>'Total - Traffic %'!T107</f>
        <v>0</v>
      </c>
      <c r="U107" s="1858">
        <f>'Total - Traffic %'!U107</f>
        <v>0</v>
      </c>
      <c r="V107" s="1856">
        <f>'Total - Traffic %'!V107</f>
        <v>7.0000000000000001E-3</v>
      </c>
      <c r="W107" s="1857">
        <f>'Total - Traffic %'!W107</f>
        <v>0.04</v>
      </c>
      <c r="X107" s="1858">
        <f>'Total - Traffic %'!X107</f>
        <v>1.0999999999999999E-2</v>
      </c>
      <c r="Y107" s="1859">
        <f>'Total - Traffic %'!Y107</f>
        <v>5.0000000000000001E-3</v>
      </c>
      <c r="Z107" s="1860">
        <f>'Total - Traffic %'!Z107</f>
        <v>5.0000000000000001E-3</v>
      </c>
      <c r="AA107" s="1859">
        <f>'Total - Traffic %'!AA107</f>
        <v>1E-3</v>
      </c>
      <c r="AB107" s="1861">
        <f>'Total - Traffic %'!AB107</f>
        <v>2E-3</v>
      </c>
      <c r="AC107" s="1860">
        <f>'Total - Traffic %'!AC107</f>
        <v>1E-3</v>
      </c>
      <c r="AD107" s="1862">
        <f>'Total - Traffic %'!AD107</f>
        <v>7.0999999999999994E-2</v>
      </c>
      <c r="AF107" s="3825"/>
      <c r="AG107" s="1741">
        <v>4</v>
      </c>
      <c r="AH107" s="1856">
        <f>'Total - Traffic %'!AH107</f>
        <v>0</v>
      </c>
      <c r="AI107" s="1857">
        <f>'Total - Traffic %'!AI107</f>
        <v>0</v>
      </c>
      <c r="AJ107" s="1858">
        <f>'Total - Traffic %'!AJ107</f>
        <v>0</v>
      </c>
      <c r="AK107" s="1856">
        <f>'Total - Traffic %'!AK107</f>
        <v>1.2E-2</v>
      </c>
      <c r="AL107" s="1857">
        <f>'Total - Traffic %'!AL107</f>
        <v>3.2000000000000001E-2</v>
      </c>
      <c r="AM107" s="1858">
        <f>'Total - Traffic %'!AM107</f>
        <v>1.2999999999999999E-2</v>
      </c>
      <c r="AN107" s="1859">
        <f>'Total - Traffic %'!AN107</f>
        <v>5.0000000000000001E-3</v>
      </c>
      <c r="AO107" s="1860">
        <f>'Total - Traffic %'!AO107</f>
        <v>4.0000000000000001E-3</v>
      </c>
      <c r="AP107" s="1859">
        <f>'Total - Traffic %'!AP107</f>
        <v>1E-3</v>
      </c>
      <c r="AQ107" s="1861">
        <f>'Total - Traffic %'!AQ107</f>
        <v>3.0000000000000001E-3</v>
      </c>
      <c r="AR107" s="1860">
        <f>'Total - Traffic %'!AR107</f>
        <v>1E-3</v>
      </c>
      <c r="AS107" s="1862">
        <f>'Total - Traffic %'!AS107</f>
        <v>6.9000000000000006E-2</v>
      </c>
      <c r="AU107" s="3825"/>
      <c r="AV107" s="1741">
        <v>4</v>
      </c>
      <c r="AW107" s="1856">
        <f>'Total - Traffic %'!AW107</f>
        <v>0</v>
      </c>
      <c r="AX107" s="1857">
        <f>'Total - Traffic %'!AX107</f>
        <v>0</v>
      </c>
      <c r="AY107" s="1858">
        <f>'Total - Traffic %'!AY107</f>
        <v>0</v>
      </c>
      <c r="AZ107" s="1856">
        <f>'Total - Traffic %'!AZ107</f>
        <v>1.7000000000000001E-2</v>
      </c>
      <c r="BA107" s="1857">
        <f>'Total - Traffic %'!BA107</f>
        <v>3.5000000000000003E-2</v>
      </c>
      <c r="BB107" s="1858">
        <f>'Total - Traffic %'!BB107</f>
        <v>1.4E-2</v>
      </c>
      <c r="BC107" s="1859">
        <f>'Total - Traffic %'!BC107</f>
        <v>5.0000000000000001E-3</v>
      </c>
      <c r="BD107" s="1860">
        <f>'Total - Traffic %'!BD107</f>
        <v>4.0000000000000001E-3</v>
      </c>
      <c r="BE107" s="1859">
        <f>'Total - Traffic %'!BE107</f>
        <v>1E-3</v>
      </c>
      <c r="BF107" s="1861">
        <f>'Total - Traffic %'!BF107</f>
        <v>4.0000000000000001E-3</v>
      </c>
      <c r="BG107" s="1860">
        <f>'Total - Traffic %'!BG107</f>
        <v>1E-3</v>
      </c>
      <c r="BH107" s="1862">
        <f>'Total - Traffic %'!BH107</f>
        <v>8.1000000000000003E-2</v>
      </c>
      <c r="BJ107" s="3825"/>
      <c r="BK107" s="1741">
        <v>4</v>
      </c>
      <c r="BL107" s="1856">
        <f>'Total - Traffic %'!BL107</f>
        <v>0</v>
      </c>
      <c r="BM107" s="1857">
        <f>'Total - Traffic %'!BM107</f>
        <v>0</v>
      </c>
      <c r="BN107" s="1858">
        <f>'Total - Traffic %'!BN107</f>
        <v>0</v>
      </c>
      <c r="BO107" s="1856">
        <f>'Total - Traffic %'!BO107</f>
        <v>2.3E-2</v>
      </c>
      <c r="BP107" s="1857">
        <f>'Total - Traffic %'!BP107</f>
        <v>3.7999999999999999E-2</v>
      </c>
      <c r="BQ107" s="1858">
        <f>'Total - Traffic %'!BQ107</f>
        <v>1.4999999999999999E-2</v>
      </c>
      <c r="BR107" s="1859">
        <f>'Total - Traffic %'!BR107</f>
        <v>6.0000000000000001E-3</v>
      </c>
      <c r="BS107" s="1860">
        <f>'Total - Traffic %'!BS107</f>
        <v>4.0000000000000001E-3</v>
      </c>
      <c r="BT107" s="1859">
        <f>'Total - Traffic %'!BT107</f>
        <v>1E-3</v>
      </c>
      <c r="BU107" s="1861">
        <f>'Total - Traffic %'!BU107</f>
        <v>4.0000000000000001E-3</v>
      </c>
      <c r="BV107" s="1860">
        <f>'Total - Traffic %'!BV107</f>
        <v>1E-3</v>
      </c>
      <c r="BW107" s="1862">
        <f>'Total - Traffic %'!BW107</f>
        <v>9.2999999999999999E-2</v>
      </c>
      <c r="BY107" s="3825"/>
      <c r="BZ107" s="1741">
        <v>4</v>
      </c>
      <c r="CA107" s="1856">
        <f>'Total - Traffic %'!CA107</f>
        <v>0</v>
      </c>
      <c r="CB107" s="1857">
        <f>'Total - Traffic %'!CB107</f>
        <v>0</v>
      </c>
      <c r="CC107" s="1858">
        <f>'Total - Traffic %'!CC107</f>
        <v>0</v>
      </c>
      <c r="CD107" s="1856">
        <f>'Total - Traffic %'!CD107</f>
        <v>3.5999999999999997E-2</v>
      </c>
      <c r="CE107" s="1857">
        <f>'Total - Traffic %'!CE107</f>
        <v>4.2000000000000003E-2</v>
      </c>
      <c r="CF107" s="1858">
        <f>'Total - Traffic %'!CF107</f>
        <v>1.7000000000000001E-2</v>
      </c>
      <c r="CG107" s="1859">
        <f>'Total - Traffic %'!CG107</f>
        <v>7.0000000000000001E-3</v>
      </c>
      <c r="CH107" s="1860">
        <f>'Total - Traffic %'!CH107</f>
        <v>3.0000000000000001E-3</v>
      </c>
      <c r="CI107" s="1859">
        <f>'Total - Traffic %'!CI107</f>
        <v>2E-3</v>
      </c>
      <c r="CJ107" s="1861">
        <f>'Total - Traffic %'!CJ107</f>
        <v>5.0000000000000001E-3</v>
      </c>
      <c r="CK107" s="1860">
        <f>'Total - Traffic %'!CK107</f>
        <v>1E-3</v>
      </c>
      <c r="CL107" s="1862">
        <f>'Total - Traffic %'!CL107</f>
        <v>0.113</v>
      </c>
    </row>
    <row r="108" spans="1:90" s="1728" customFormat="1" ht="13.5" customHeight="1">
      <c r="A108" s="3842"/>
      <c r="B108" s="3843"/>
      <c r="C108" s="1749">
        <v>5</v>
      </c>
      <c r="D108" s="1856">
        <f>'Total - Traffic %'!D108</f>
        <v>0</v>
      </c>
      <c r="E108" s="1857">
        <f>'Total - Traffic %'!E108</f>
        <v>0</v>
      </c>
      <c r="F108" s="1858">
        <f>'Total - Traffic %'!F108</f>
        <v>0</v>
      </c>
      <c r="G108" s="1856">
        <f>'Total - Traffic %'!G108</f>
        <v>0</v>
      </c>
      <c r="H108" s="1857">
        <f>'Total - Traffic %'!H108</f>
        <v>5.0000000000000001E-3</v>
      </c>
      <c r="I108" s="1858">
        <f>'Total - Traffic %'!I108</f>
        <v>6.0000000000000001E-3</v>
      </c>
      <c r="J108" s="1859">
        <f>'Total - Traffic %'!J108</f>
        <v>1E-3</v>
      </c>
      <c r="K108" s="1860">
        <f>'Total - Traffic %'!K108</f>
        <v>0</v>
      </c>
      <c r="L108" s="1859">
        <f>'Total - Traffic %'!L108</f>
        <v>0</v>
      </c>
      <c r="M108" s="1861">
        <f>'Total - Traffic %'!M108</f>
        <v>0</v>
      </c>
      <c r="N108" s="1860">
        <f>'Total - Traffic %'!N108</f>
        <v>0</v>
      </c>
      <c r="O108" s="1862">
        <f>'Total - Traffic %'!O108</f>
        <v>1.2E-2</v>
      </c>
      <c r="Q108" s="3825"/>
      <c r="R108" s="1749">
        <v>5</v>
      </c>
      <c r="S108" s="1856">
        <f>'Total - Traffic %'!S108</f>
        <v>0</v>
      </c>
      <c r="T108" s="1857">
        <f>'Total - Traffic %'!T108</f>
        <v>0</v>
      </c>
      <c r="U108" s="1858">
        <f>'Total - Traffic %'!U108</f>
        <v>0</v>
      </c>
      <c r="V108" s="1856">
        <f>'Total - Traffic %'!V108</f>
        <v>0</v>
      </c>
      <c r="W108" s="1857">
        <f>'Total - Traffic %'!W108</f>
        <v>7.0000000000000001E-3</v>
      </c>
      <c r="X108" s="1858">
        <f>'Total - Traffic %'!X108</f>
        <v>1.2999999999999999E-2</v>
      </c>
      <c r="Y108" s="1859">
        <f>'Total - Traffic %'!Y108</f>
        <v>1E-3</v>
      </c>
      <c r="Z108" s="1860">
        <f>'Total - Traffic %'!Z108</f>
        <v>0</v>
      </c>
      <c r="AA108" s="1859">
        <f>'Total - Traffic %'!AA108</f>
        <v>0</v>
      </c>
      <c r="AB108" s="1861">
        <f>'Total - Traffic %'!AB108</f>
        <v>0</v>
      </c>
      <c r="AC108" s="1860">
        <f>'Total - Traffic %'!AC108</f>
        <v>0</v>
      </c>
      <c r="AD108" s="1862">
        <f>'Total - Traffic %'!AD108</f>
        <v>2.1999999999999999E-2</v>
      </c>
      <c r="AF108" s="3825"/>
      <c r="AG108" s="1749">
        <v>5</v>
      </c>
      <c r="AH108" s="1856">
        <f>'Total - Traffic %'!AH108</f>
        <v>0</v>
      </c>
      <c r="AI108" s="1857">
        <f>'Total - Traffic %'!AI108</f>
        <v>0</v>
      </c>
      <c r="AJ108" s="1858">
        <f>'Total - Traffic %'!AJ108</f>
        <v>0</v>
      </c>
      <c r="AK108" s="1856">
        <f>'Total - Traffic %'!AK108</f>
        <v>0</v>
      </c>
      <c r="AL108" s="1857">
        <f>'Total - Traffic %'!AL108</f>
        <v>2.1000000000000001E-2</v>
      </c>
      <c r="AM108" s="1858">
        <f>'Total - Traffic %'!AM108</f>
        <v>1.2999999999999999E-2</v>
      </c>
      <c r="AN108" s="1859">
        <f>'Total - Traffic %'!AN108</f>
        <v>2E-3</v>
      </c>
      <c r="AO108" s="1860">
        <f>'Total - Traffic %'!AO108</f>
        <v>2E-3</v>
      </c>
      <c r="AP108" s="1859">
        <f>'Total - Traffic %'!AP108</f>
        <v>0</v>
      </c>
      <c r="AQ108" s="1861">
        <f>'Total - Traffic %'!AQ108</f>
        <v>1E-3</v>
      </c>
      <c r="AR108" s="1860">
        <f>'Total - Traffic %'!AR108</f>
        <v>1E-3</v>
      </c>
      <c r="AS108" s="1862">
        <f>'Total - Traffic %'!AS108</f>
        <v>3.9E-2</v>
      </c>
      <c r="AU108" s="3825"/>
      <c r="AV108" s="1749">
        <v>5</v>
      </c>
      <c r="AW108" s="1856">
        <f>'Total - Traffic %'!AW108</f>
        <v>0</v>
      </c>
      <c r="AX108" s="1857">
        <f>'Total - Traffic %'!AX108</f>
        <v>0</v>
      </c>
      <c r="AY108" s="1858">
        <f>'Total - Traffic %'!AY108</f>
        <v>0</v>
      </c>
      <c r="AZ108" s="1856">
        <f>'Total - Traffic %'!AZ108</f>
        <v>0</v>
      </c>
      <c r="BA108" s="1857">
        <f>'Total - Traffic %'!BA108</f>
        <v>2.3E-2</v>
      </c>
      <c r="BB108" s="1858">
        <f>'Total - Traffic %'!BB108</f>
        <v>1.7000000000000001E-2</v>
      </c>
      <c r="BC108" s="1859">
        <f>'Total - Traffic %'!BC108</f>
        <v>2E-3</v>
      </c>
      <c r="BD108" s="1860">
        <f>'Total - Traffic %'!BD108</f>
        <v>3.0000000000000001E-3</v>
      </c>
      <c r="BE108" s="1859">
        <f>'Total - Traffic %'!BE108</f>
        <v>0</v>
      </c>
      <c r="BF108" s="1861">
        <f>'Total - Traffic %'!BF108</f>
        <v>1E-3</v>
      </c>
      <c r="BG108" s="1860">
        <f>'Total - Traffic %'!BG108</f>
        <v>1E-3</v>
      </c>
      <c r="BH108" s="1862">
        <f>'Total - Traffic %'!BH108</f>
        <v>4.5999999999999999E-2</v>
      </c>
      <c r="BJ108" s="3825"/>
      <c r="BK108" s="1749">
        <v>5</v>
      </c>
      <c r="BL108" s="1856">
        <f>'Total - Traffic %'!BL108</f>
        <v>0</v>
      </c>
      <c r="BM108" s="1857">
        <f>'Total - Traffic %'!BM108</f>
        <v>0</v>
      </c>
      <c r="BN108" s="1858">
        <f>'Total - Traffic %'!BN108</f>
        <v>0</v>
      </c>
      <c r="BO108" s="1856">
        <f>'Total - Traffic %'!BO108</f>
        <v>0</v>
      </c>
      <c r="BP108" s="1857">
        <f>'Total - Traffic %'!BP108</f>
        <v>2.4E-2</v>
      </c>
      <c r="BQ108" s="1858">
        <f>'Total - Traffic %'!BQ108</f>
        <v>1.7999999999999999E-2</v>
      </c>
      <c r="BR108" s="1859">
        <f>'Total - Traffic %'!BR108</f>
        <v>2E-3</v>
      </c>
      <c r="BS108" s="1860">
        <f>'Total - Traffic %'!BS108</f>
        <v>3.0000000000000001E-3</v>
      </c>
      <c r="BT108" s="1859">
        <f>'Total - Traffic %'!BT108</f>
        <v>0</v>
      </c>
      <c r="BU108" s="1861">
        <f>'Total - Traffic %'!BU108</f>
        <v>1E-3</v>
      </c>
      <c r="BV108" s="1860">
        <f>'Total - Traffic %'!BV108</f>
        <v>1E-3</v>
      </c>
      <c r="BW108" s="1862">
        <f>'Total - Traffic %'!BW108</f>
        <v>4.9000000000000002E-2</v>
      </c>
      <c r="BY108" s="3825"/>
      <c r="BZ108" s="1749">
        <v>5</v>
      </c>
      <c r="CA108" s="1856">
        <f>'Total - Traffic %'!CA108</f>
        <v>0</v>
      </c>
      <c r="CB108" s="1857">
        <f>'Total - Traffic %'!CB108</f>
        <v>0</v>
      </c>
      <c r="CC108" s="1858">
        <f>'Total - Traffic %'!CC108</f>
        <v>0</v>
      </c>
      <c r="CD108" s="1856">
        <f>'Total - Traffic %'!CD108</f>
        <v>2E-3</v>
      </c>
      <c r="CE108" s="1857">
        <f>'Total - Traffic %'!CE108</f>
        <v>2.5999999999999999E-2</v>
      </c>
      <c r="CF108" s="1858">
        <f>'Total - Traffic %'!CF108</f>
        <v>0.02</v>
      </c>
      <c r="CG108" s="1859">
        <f>'Total - Traffic %'!CG108</f>
        <v>3.0000000000000001E-3</v>
      </c>
      <c r="CH108" s="1860">
        <f>'Total - Traffic %'!CH108</f>
        <v>3.0000000000000001E-3</v>
      </c>
      <c r="CI108" s="1859">
        <f>'Total - Traffic %'!CI108</f>
        <v>0</v>
      </c>
      <c r="CJ108" s="1861">
        <f>'Total - Traffic %'!CJ108</f>
        <v>1E-3</v>
      </c>
      <c r="CK108" s="1860">
        <f>'Total - Traffic %'!CK108</f>
        <v>1E-3</v>
      </c>
      <c r="CL108" s="1862">
        <f>'Total - Traffic %'!CL108</f>
        <v>5.6000000000000001E-2</v>
      </c>
    </row>
    <row r="109" spans="1:90" s="1728" customFormat="1" ht="13.5" customHeight="1" thickBot="1">
      <c r="A109" s="3844"/>
      <c r="B109" s="3845"/>
      <c r="C109" s="1750" t="s">
        <v>1422</v>
      </c>
      <c r="D109" s="1863">
        <f>'Total - Traffic %'!D109</f>
        <v>0</v>
      </c>
      <c r="E109" s="1864">
        <f>'Total - Traffic %'!E109</f>
        <v>0</v>
      </c>
      <c r="F109" s="1865">
        <f>'Total - Traffic %'!F109</f>
        <v>0</v>
      </c>
      <c r="G109" s="1863">
        <f>'Total - Traffic %'!G109</f>
        <v>0.17</v>
      </c>
      <c r="H109" s="1864">
        <f>'Total - Traffic %'!H109</f>
        <v>0.22800000000000001</v>
      </c>
      <c r="I109" s="1865">
        <f>'Total - Traffic %'!I109</f>
        <v>0.21099999999999999</v>
      </c>
      <c r="J109" s="1866">
        <f>'Total - Traffic %'!J109</f>
        <v>4.1000000000000002E-2</v>
      </c>
      <c r="K109" s="1867">
        <f>'Total - Traffic %'!K109</f>
        <v>6.8000000000000005E-2</v>
      </c>
      <c r="L109" s="1866">
        <f>'Total - Traffic %'!L109</f>
        <v>4.2000000000000003E-2</v>
      </c>
      <c r="M109" s="1868">
        <f>'Total - Traffic %'!M109</f>
        <v>0.158</v>
      </c>
      <c r="N109" s="1867">
        <f>'Total - Traffic %'!N109</f>
        <v>8.1000000000000003E-2</v>
      </c>
      <c r="O109" s="1869">
        <f>'Total - Traffic %'!O109</f>
        <v>1</v>
      </c>
      <c r="Q109" s="3826"/>
      <c r="R109" s="1750" t="s">
        <v>1422</v>
      </c>
      <c r="S109" s="1863">
        <f>'Total - Traffic %'!S109</f>
        <v>0</v>
      </c>
      <c r="T109" s="1864">
        <f>'Total - Traffic %'!T109</f>
        <v>0</v>
      </c>
      <c r="U109" s="1865">
        <f>'Total - Traffic %'!U109</f>
        <v>0</v>
      </c>
      <c r="V109" s="1863">
        <f>'Total - Traffic %'!V109</f>
        <v>0.16900000000000001</v>
      </c>
      <c r="W109" s="1864">
        <f>'Total - Traffic %'!W109</f>
        <v>0.22800000000000001</v>
      </c>
      <c r="X109" s="1865">
        <f>'Total - Traffic %'!X109</f>
        <v>0.21299999999999999</v>
      </c>
      <c r="Y109" s="1866">
        <f>'Total - Traffic %'!Y109</f>
        <v>4.1000000000000002E-2</v>
      </c>
      <c r="Z109" s="1867">
        <f>'Total - Traffic %'!Z109</f>
        <v>6.8000000000000005E-2</v>
      </c>
      <c r="AA109" s="1866">
        <f>'Total - Traffic %'!AA109</f>
        <v>4.2999999999999997E-2</v>
      </c>
      <c r="AB109" s="1868">
        <f>'Total - Traffic %'!AB109</f>
        <v>0.158</v>
      </c>
      <c r="AC109" s="1867">
        <f>'Total - Traffic %'!AC109</f>
        <v>8.1000000000000003E-2</v>
      </c>
      <c r="AD109" s="1869">
        <f>'Total - Traffic %'!AD109</f>
        <v>1</v>
      </c>
      <c r="AF109" s="3826"/>
      <c r="AG109" s="1750" t="s">
        <v>1422</v>
      </c>
      <c r="AH109" s="1863">
        <f>'Total - Traffic %'!AH109</f>
        <v>0</v>
      </c>
      <c r="AI109" s="1864">
        <f>'Total - Traffic %'!AI109</f>
        <v>0</v>
      </c>
      <c r="AJ109" s="1865">
        <f>'Total - Traffic %'!AJ109</f>
        <v>0</v>
      </c>
      <c r="AK109" s="1863">
        <f>'Total - Traffic %'!AK109</f>
        <v>0.17100000000000001</v>
      </c>
      <c r="AL109" s="1864">
        <f>'Total - Traffic %'!AL109</f>
        <v>0.22700000000000001</v>
      </c>
      <c r="AM109" s="1865">
        <f>'Total - Traffic %'!AM109</f>
        <v>0.21299999999999999</v>
      </c>
      <c r="AN109" s="1866">
        <f>'Total - Traffic %'!AN109</f>
        <v>0.04</v>
      </c>
      <c r="AO109" s="1867">
        <f>'Total - Traffic %'!AO109</f>
        <v>6.7000000000000004E-2</v>
      </c>
      <c r="AP109" s="1866">
        <f>'Total - Traffic %'!AP109</f>
        <v>4.2999999999999997E-2</v>
      </c>
      <c r="AQ109" s="1868">
        <f>'Total - Traffic %'!AQ109</f>
        <v>0.158</v>
      </c>
      <c r="AR109" s="1867">
        <f>'Total - Traffic %'!AR109</f>
        <v>8.1000000000000003E-2</v>
      </c>
      <c r="AS109" s="1869">
        <f>'Total - Traffic %'!AS109</f>
        <v>1</v>
      </c>
      <c r="AU109" s="3826"/>
      <c r="AV109" s="1750" t="s">
        <v>1422</v>
      </c>
      <c r="AW109" s="1863">
        <f>'Total - Traffic %'!AW109</f>
        <v>0</v>
      </c>
      <c r="AX109" s="1864">
        <f>'Total - Traffic %'!AX109</f>
        <v>0</v>
      </c>
      <c r="AY109" s="1865">
        <f>'Total - Traffic %'!AY109</f>
        <v>0</v>
      </c>
      <c r="AZ109" s="1863">
        <f>'Total - Traffic %'!AZ109</f>
        <v>0.17199999999999999</v>
      </c>
      <c r="BA109" s="1864">
        <f>'Total - Traffic %'!BA109</f>
        <v>0.22800000000000001</v>
      </c>
      <c r="BB109" s="1865">
        <f>'Total - Traffic %'!BB109</f>
        <v>0.215</v>
      </c>
      <c r="BC109" s="1866">
        <f>'Total - Traffic %'!BC109</f>
        <v>0.04</v>
      </c>
      <c r="BD109" s="1867">
        <f>'Total - Traffic %'!BD109</f>
        <v>6.6000000000000003E-2</v>
      </c>
      <c r="BE109" s="1866">
        <f>'Total - Traffic %'!BE109</f>
        <v>4.2000000000000003E-2</v>
      </c>
      <c r="BF109" s="1868">
        <f>'Total - Traffic %'!BF109</f>
        <v>0.157</v>
      </c>
      <c r="BG109" s="1867">
        <f>'Total - Traffic %'!BG109</f>
        <v>8.1000000000000003E-2</v>
      </c>
      <c r="BH109" s="1869">
        <f>'Total - Traffic %'!BH109</f>
        <v>1</v>
      </c>
      <c r="BJ109" s="3826"/>
      <c r="BK109" s="1750" t="s">
        <v>1422</v>
      </c>
      <c r="BL109" s="1863">
        <f>'Total - Traffic %'!BL109</f>
        <v>0</v>
      </c>
      <c r="BM109" s="1864">
        <f>'Total - Traffic %'!BM109</f>
        <v>0</v>
      </c>
      <c r="BN109" s="1865">
        <f>'Total - Traffic %'!BN109</f>
        <v>0</v>
      </c>
      <c r="BO109" s="1863">
        <f>'Total - Traffic %'!BO109</f>
        <v>0.17299999999999999</v>
      </c>
      <c r="BP109" s="1864">
        <f>'Total - Traffic %'!BP109</f>
        <v>0.22700000000000001</v>
      </c>
      <c r="BQ109" s="1865">
        <f>'Total - Traffic %'!BQ109</f>
        <v>0.216</v>
      </c>
      <c r="BR109" s="1866">
        <f>'Total - Traffic %'!BR109</f>
        <v>3.9E-2</v>
      </c>
      <c r="BS109" s="1867">
        <f>'Total - Traffic %'!BS109</f>
        <v>6.6000000000000003E-2</v>
      </c>
      <c r="BT109" s="1866">
        <f>'Total - Traffic %'!BT109</f>
        <v>4.2999999999999997E-2</v>
      </c>
      <c r="BU109" s="1868">
        <f>'Total - Traffic %'!BU109</f>
        <v>0.156</v>
      </c>
      <c r="BV109" s="1867">
        <f>'Total - Traffic %'!BV109</f>
        <v>8.1000000000000003E-2</v>
      </c>
      <c r="BW109" s="1869">
        <f>'Total - Traffic %'!BW109</f>
        <v>1</v>
      </c>
      <c r="BY109" s="3826"/>
      <c r="BZ109" s="1750" t="s">
        <v>1422</v>
      </c>
      <c r="CA109" s="1863">
        <f>'Total - Traffic %'!CA109</f>
        <v>0</v>
      </c>
      <c r="CB109" s="1864">
        <f>'Total - Traffic %'!CB109</f>
        <v>0</v>
      </c>
      <c r="CC109" s="1865">
        <f>'Total - Traffic %'!CC109</f>
        <v>0</v>
      </c>
      <c r="CD109" s="1863">
        <f>'Total - Traffic %'!CD109</f>
        <v>0.17299999999999999</v>
      </c>
      <c r="CE109" s="1864">
        <f>'Total - Traffic %'!CE109</f>
        <v>0.22700000000000001</v>
      </c>
      <c r="CF109" s="1865">
        <f>'Total - Traffic %'!CF109</f>
        <v>0.217</v>
      </c>
      <c r="CG109" s="1866">
        <f>'Total - Traffic %'!CG109</f>
        <v>3.9E-2</v>
      </c>
      <c r="CH109" s="1867">
        <f>'Total - Traffic %'!CH109</f>
        <v>6.6000000000000003E-2</v>
      </c>
      <c r="CI109" s="1866">
        <f>'Total - Traffic %'!CI109</f>
        <v>4.2999999999999997E-2</v>
      </c>
      <c r="CJ109" s="1868">
        <f>'Total - Traffic %'!CJ109</f>
        <v>0.155</v>
      </c>
      <c r="CK109" s="1867">
        <f>'Total - Traffic %'!CK109</f>
        <v>8.1000000000000003E-2</v>
      </c>
      <c r="CL109" s="1869">
        <f>'Total - Traffic %'!CL109</f>
        <v>1</v>
      </c>
    </row>
    <row r="110" spans="1:90" ht="13.5" customHeight="1" thickTop="1" thickBot="1"/>
    <row r="111" spans="1:90" ht="13.5" customHeight="1" thickBot="1">
      <c r="C111" s="640" t="s">
        <v>1489</v>
      </c>
      <c r="R111" s="640" t="s">
        <v>1489</v>
      </c>
      <c r="AG111" s="640" t="s">
        <v>1489</v>
      </c>
      <c r="AV111" s="640" t="s">
        <v>1489</v>
      </c>
      <c r="BK111" s="640" t="s">
        <v>1489</v>
      </c>
      <c r="BZ111" s="640" t="s">
        <v>1489</v>
      </c>
    </row>
  </sheetData>
  <sheetProtection sheet="1" objects="1" scenarios="1"/>
  <mergeCells count="138">
    <mergeCell ref="BY98:BY103"/>
    <mergeCell ref="BJ98:BJ103"/>
    <mergeCell ref="BJ86:BJ91"/>
    <mergeCell ref="Q92:Q97"/>
    <mergeCell ref="AF92:AF97"/>
    <mergeCell ref="AU92:AU97"/>
    <mergeCell ref="Q98:Q103"/>
    <mergeCell ref="Q104:Q109"/>
    <mergeCell ref="AF104:AF109"/>
    <mergeCell ref="AU104:AU109"/>
    <mergeCell ref="AF98:AF103"/>
    <mergeCell ref="AU98:AU103"/>
    <mergeCell ref="BY86:BY91"/>
    <mergeCell ref="BJ92:BJ97"/>
    <mergeCell ref="BY92:BY97"/>
    <mergeCell ref="BJ104:BJ109"/>
    <mergeCell ref="BY104:BY109"/>
    <mergeCell ref="BJ80:BJ85"/>
    <mergeCell ref="BY80:BY85"/>
    <mergeCell ref="BY74:BY79"/>
    <mergeCell ref="Q80:Q85"/>
    <mergeCell ref="AF80:AF85"/>
    <mergeCell ref="AU80:AU85"/>
    <mergeCell ref="AF74:AF79"/>
    <mergeCell ref="AU74:AU79"/>
    <mergeCell ref="Q86:Q91"/>
    <mergeCell ref="AF86:AF91"/>
    <mergeCell ref="AU86:AU91"/>
    <mergeCell ref="AU62:AU67"/>
    <mergeCell ref="BJ74:BJ79"/>
    <mergeCell ref="BJ62:BJ67"/>
    <mergeCell ref="Q68:Q73"/>
    <mergeCell ref="AF68:AF73"/>
    <mergeCell ref="AU68:AU73"/>
    <mergeCell ref="Q74:Q79"/>
    <mergeCell ref="BY62:BY67"/>
    <mergeCell ref="BJ68:BJ73"/>
    <mergeCell ref="BY68:BY73"/>
    <mergeCell ref="AF62:AF67"/>
    <mergeCell ref="BJ56:BJ61"/>
    <mergeCell ref="BY56:BY61"/>
    <mergeCell ref="Q50:Q55"/>
    <mergeCell ref="Q56:Q61"/>
    <mergeCell ref="AF56:AF61"/>
    <mergeCell ref="AU56:AU61"/>
    <mergeCell ref="AF50:AF55"/>
    <mergeCell ref="AU50:AU55"/>
    <mergeCell ref="BJ50:BJ55"/>
    <mergeCell ref="BY50:BY55"/>
    <mergeCell ref="BJ44:BJ49"/>
    <mergeCell ref="BY44:BY49"/>
    <mergeCell ref="Q44:Q49"/>
    <mergeCell ref="AF44:AF49"/>
    <mergeCell ref="AU44:AU49"/>
    <mergeCell ref="Q38:Q43"/>
    <mergeCell ref="BJ26:BJ31"/>
    <mergeCell ref="A50:B55"/>
    <mergeCell ref="BJ38:BJ43"/>
    <mergeCell ref="BY26:BY31"/>
    <mergeCell ref="Q32:Q37"/>
    <mergeCell ref="AF32:AF37"/>
    <mergeCell ref="AU32:AU37"/>
    <mergeCell ref="BJ32:BJ37"/>
    <mergeCell ref="BY32:BY37"/>
    <mergeCell ref="Q26:Q31"/>
    <mergeCell ref="AF38:AF43"/>
    <mergeCell ref="AU38:AU43"/>
    <mergeCell ref="BY38:BY43"/>
    <mergeCell ref="CA24:CC24"/>
    <mergeCell ref="AN24:AO24"/>
    <mergeCell ref="AP24:AR24"/>
    <mergeCell ref="AF26:AF31"/>
    <mergeCell ref="AU26:AU31"/>
    <mergeCell ref="BR24:BS24"/>
    <mergeCell ref="BT24:BV24"/>
    <mergeCell ref="AS24:AS25"/>
    <mergeCell ref="AU24:AU25"/>
    <mergeCell ref="AV24:AV25"/>
    <mergeCell ref="AW24:AY24"/>
    <mergeCell ref="BJ24:BJ25"/>
    <mergeCell ref="BK24:BK25"/>
    <mergeCell ref="AZ24:BB24"/>
    <mergeCell ref="BC24:BD24"/>
    <mergeCell ref="BE24:BG24"/>
    <mergeCell ref="BH24:BH25"/>
    <mergeCell ref="A104:B109"/>
    <mergeCell ref="A80:B85"/>
    <mergeCell ref="A86:B91"/>
    <mergeCell ref="A92:B97"/>
    <mergeCell ref="A98:B103"/>
    <mergeCell ref="A56:B61"/>
    <mergeCell ref="A62:B67"/>
    <mergeCell ref="G24:I24"/>
    <mergeCell ref="J24:K24"/>
    <mergeCell ref="A26:B31"/>
    <mergeCell ref="A32:B37"/>
    <mergeCell ref="A38:B43"/>
    <mergeCell ref="A44:B49"/>
    <mergeCell ref="A68:B73"/>
    <mergeCell ref="C24:C25"/>
    <mergeCell ref="A24:B25"/>
    <mergeCell ref="D24:F24"/>
    <mergeCell ref="A74:B79"/>
    <mergeCell ref="L24:N24"/>
    <mergeCell ref="AG24:AG25"/>
    <mergeCell ref="AH24:AJ24"/>
    <mergeCell ref="AK24:AM24"/>
    <mergeCell ref="O24:O25"/>
    <mergeCell ref="Q24:Q25"/>
    <mergeCell ref="R24:R25"/>
    <mergeCell ref="S24:U24"/>
    <mergeCell ref="V24:X24"/>
    <mergeCell ref="Y24:Z24"/>
    <mergeCell ref="AA24:AC24"/>
    <mergeCell ref="E6:S6"/>
    <mergeCell ref="A7:B7"/>
    <mergeCell ref="A8:B8"/>
    <mergeCell ref="A11:B11"/>
    <mergeCell ref="A10:B10"/>
    <mergeCell ref="A12:B12"/>
    <mergeCell ref="Q62:Q67"/>
    <mergeCell ref="BJ1:BW1"/>
    <mergeCell ref="BY1:CL1"/>
    <mergeCell ref="D1:O1"/>
    <mergeCell ref="Q1:AD1"/>
    <mergeCell ref="AF1:AS1"/>
    <mergeCell ref="AU1:BH1"/>
    <mergeCell ref="AD24:AD25"/>
    <mergeCell ref="AF24:AF25"/>
    <mergeCell ref="CD24:CF24"/>
    <mergeCell ref="CG24:CH24"/>
    <mergeCell ref="BL24:BN24"/>
    <mergeCell ref="BO24:BQ24"/>
    <mergeCell ref="CI24:CK24"/>
    <mergeCell ref="CL24:CL25"/>
    <mergeCell ref="BW24:BW25"/>
    <mergeCell ref="BY24:BY25"/>
    <mergeCell ref="BZ24:BZ25"/>
  </mergeCells>
  <phoneticPr fontId="8" type="noConversion"/>
  <hyperlinks>
    <hyperlink ref="C111" location="A5.4.1!D26" tooltip="Top left of this page" display="Top"/>
    <hyperlink ref="R111" location="A5.4.1!AD26" tooltip="Top of this Table" display="Top"/>
    <hyperlink ref="AG111" location="A5.4.1!AS26" tooltip="Top of this Table" display="Top"/>
    <hyperlink ref="AV111" location="A5.4.1!BH26" tooltip="Top of this Table" display="Top"/>
    <hyperlink ref="BK111" location="A5.4.1!BW26" tooltip="Top of this Table" display="Top"/>
    <hyperlink ref="BZ111" location="A5.4.1!CL26" tooltip="Top of this Table" display="Top"/>
    <hyperlink ref="A18" location="A5.4.1!D1" tooltip="2010" display="A5.4.1!D1"/>
    <hyperlink ref="B18" location="A5.4.1!Q1" tooltip="2015" display="A5.4.1!Q1"/>
    <hyperlink ref="A19" location="A5.4.1!AF1" tooltip="2020" display="A5.4.1!AF1"/>
    <hyperlink ref="B19" location="A5.4.1!AU1" tooltip="2025" display="A5.4.1!AU1"/>
    <hyperlink ref="A20" location="A5.4.1!BJ1" tooltip="2030" display="A5.4.1!BJ1"/>
    <hyperlink ref="B20" location="A5.4.1!BY1" tooltip="2035" display="A5.4.1!BY1"/>
    <hyperlink ref="A11" location="Contents!A1" display="Contents"/>
    <hyperlink ref="A11:B11" r:id="rId1" display="WebTAG Unit 3.13.2"/>
    <hyperlink ref="A10" location="Contents!A1" display="Contents"/>
    <hyperlink ref="A10:B10" location="Contents!A1" tooltip="Contents page" display="Contents"/>
  </hyperlinks>
  <pageMargins left="0.75" right="0.75" top="1" bottom="1" header="0.5" footer="0.5"/>
  <pageSetup paperSize="8" scale="33" fitToWidth="2" fitToHeight="0" orientation="landscape" r:id="rId2"/>
  <headerFooter alignWithMargins="0"/>
  <drawing r:id="rId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indexed="10"/>
  </sheetPr>
  <dimension ref="A1:CL111"/>
  <sheetViews>
    <sheetView zoomScale="85" zoomScaleNormal="85" workbookViewId="0">
      <pane xSplit="3" ySplit="25" topLeftCell="D35" activePane="bottomRight" state="frozen"/>
      <selection activeCell="E23" sqref="E23:F23"/>
      <selection pane="topRight" activeCell="E23" sqref="E23:F23"/>
      <selection pane="bottomLeft" activeCell="E23" sqref="E23:F23"/>
      <selection pane="bottomRight" activeCell="E23" sqref="E23:F23"/>
    </sheetView>
  </sheetViews>
  <sheetFormatPr defaultColWidth="12.88671875" defaultRowHeight="13.5" customHeight="1"/>
  <cols>
    <col min="1" max="1" width="12.88671875" style="1758" customWidth="1"/>
    <col min="2" max="15" width="12.88671875" style="1759" customWidth="1"/>
    <col min="16" max="16384" width="12.88671875" style="1758"/>
  </cols>
  <sheetData>
    <row r="1" spans="1:90" s="240" customFormat="1" ht="54.9" customHeight="1">
      <c r="A1" s="245"/>
      <c r="C1" s="245"/>
      <c r="D1" s="3827"/>
      <c r="E1" s="3689"/>
      <c r="F1" s="3689"/>
      <c r="G1" s="3689"/>
      <c r="H1" s="3689"/>
      <c r="I1" s="3689"/>
      <c r="J1" s="3689"/>
      <c r="K1" s="3689"/>
      <c r="L1" s="3689"/>
      <c r="M1" s="3689"/>
      <c r="N1" s="3689"/>
      <c r="O1" s="3689"/>
      <c r="Q1" s="3821"/>
      <c r="R1" s="3821"/>
      <c r="S1" s="3821"/>
      <c r="T1" s="3821"/>
      <c r="U1" s="3821"/>
      <c r="V1" s="3821"/>
      <c r="W1" s="3821"/>
      <c r="X1" s="3821"/>
      <c r="Y1" s="3821"/>
      <c r="Z1" s="3821"/>
      <c r="AA1" s="3821"/>
      <c r="AB1" s="3821"/>
      <c r="AC1" s="3821"/>
      <c r="AD1" s="3821"/>
      <c r="AF1" s="3821"/>
      <c r="AG1" s="3821"/>
      <c r="AH1" s="3821"/>
      <c r="AI1" s="3821"/>
      <c r="AJ1" s="3821"/>
      <c r="AK1" s="3821"/>
      <c r="AL1" s="3821"/>
      <c r="AM1" s="3821"/>
      <c r="AN1" s="3821"/>
      <c r="AO1" s="3821"/>
      <c r="AP1" s="3821"/>
      <c r="AQ1" s="3821"/>
      <c r="AR1" s="3821"/>
      <c r="AS1" s="3821"/>
      <c r="AU1" s="3821"/>
      <c r="AV1" s="3821"/>
      <c r="AW1" s="3821"/>
      <c r="AX1" s="3821"/>
      <c r="AY1" s="3821"/>
      <c r="AZ1" s="3821"/>
      <c r="BA1" s="3821"/>
      <c r="BB1" s="3821"/>
      <c r="BC1" s="3821"/>
      <c r="BD1" s="3821"/>
      <c r="BE1" s="3821"/>
      <c r="BF1" s="3821"/>
      <c r="BG1" s="3821"/>
      <c r="BH1" s="3821"/>
      <c r="BJ1" s="3821"/>
      <c r="BK1" s="3821"/>
      <c r="BL1" s="3821"/>
      <c r="BM1" s="3821"/>
      <c r="BN1" s="3821"/>
      <c r="BO1" s="3821"/>
      <c r="BP1" s="3821"/>
      <c r="BQ1" s="3821"/>
      <c r="BR1" s="3821"/>
      <c r="BS1" s="3821"/>
      <c r="BT1" s="3821"/>
      <c r="BU1" s="3821"/>
      <c r="BV1" s="3821"/>
      <c r="BW1" s="3821"/>
      <c r="BY1" s="3821"/>
      <c r="BZ1" s="3821"/>
      <c r="CA1" s="3821"/>
      <c r="CB1" s="3821"/>
      <c r="CC1" s="3821"/>
      <c r="CD1" s="3821"/>
      <c r="CE1" s="3821"/>
      <c r="CF1" s="3821"/>
      <c r="CG1" s="3821"/>
      <c r="CH1" s="3821"/>
      <c r="CI1" s="3821"/>
      <c r="CJ1" s="3821"/>
      <c r="CK1" s="3821"/>
      <c r="CL1" s="3821"/>
    </row>
    <row r="2" spans="1:90" s="262" customFormat="1" ht="5.0999999999999996" customHeight="1">
      <c r="D2" s="260"/>
      <c r="F2" s="260"/>
      <c r="I2" s="260"/>
      <c r="J2" s="260"/>
    </row>
    <row r="3" spans="1:90" s="262" customFormat="1" ht="20.100000000000001" customHeight="1">
      <c r="A3" s="262" t="s">
        <v>2317</v>
      </c>
      <c r="B3" s="1717"/>
      <c r="C3" s="1718"/>
      <c r="D3" s="271"/>
      <c r="E3" s="260"/>
      <c r="F3" s="261"/>
      <c r="J3" s="260"/>
    </row>
    <row r="4" spans="1:90" s="237" customFormat="1" ht="20.100000000000001" customHeight="1" thickBot="1">
      <c r="A4" s="1719" t="s">
        <v>1279</v>
      </c>
      <c r="B4" s="263"/>
      <c r="C4" s="263"/>
      <c r="D4" s="1720"/>
      <c r="E4" s="263"/>
      <c r="F4" s="263"/>
      <c r="G4" s="1720"/>
      <c r="H4" s="1720"/>
      <c r="I4" s="263"/>
      <c r="J4" s="263"/>
      <c r="K4" s="263"/>
      <c r="L4" s="263"/>
      <c r="M4" s="263"/>
      <c r="N4" s="263"/>
      <c r="O4" s="263"/>
      <c r="P4" s="263"/>
      <c r="Q4" s="263"/>
      <c r="R4" s="263"/>
      <c r="S4" s="263"/>
    </row>
    <row r="5" spans="1:90" s="240" customFormat="1" ht="9.9" customHeight="1" thickTop="1" thickBot="1">
      <c r="C5" s="1393"/>
      <c r="E5" s="1721"/>
      <c r="G5" s="245"/>
      <c r="H5" s="245"/>
      <c r="J5" s="237"/>
    </row>
    <row r="6" spans="1:90" s="240"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90" s="240" customFormat="1" ht="13.5" customHeight="1">
      <c r="A7" s="3636" t="str">
        <f>Audit!A12</f>
        <v>May 2019 v1.12</v>
      </c>
      <c r="B7" s="3637"/>
      <c r="D7" s="247"/>
      <c r="E7" s="1722" t="s">
        <v>1055</v>
      </c>
      <c r="F7" s="236"/>
      <c r="G7" s="237"/>
      <c r="H7" s="237"/>
      <c r="I7" s="237"/>
      <c r="J7" s="237"/>
      <c r="K7" s="237"/>
      <c r="L7" s="237"/>
      <c r="M7" s="237"/>
      <c r="N7" s="237"/>
      <c r="O7" s="237"/>
      <c r="P7" s="237"/>
      <c r="Q7" s="237"/>
      <c r="R7" s="237"/>
      <c r="S7" s="247"/>
    </row>
    <row r="8" spans="1:90" s="240" customFormat="1" ht="13.5" customHeight="1">
      <c r="A8" s="3638">
        <f>Audit!C12</f>
        <v>43586</v>
      </c>
      <c r="B8" s="3637"/>
      <c r="C8" s="239"/>
      <c r="D8" s="272"/>
      <c r="E8" s="1722" t="s">
        <v>1131</v>
      </c>
      <c r="F8" s="266"/>
      <c r="G8" s="237"/>
      <c r="H8" s="237"/>
      <c r="I8" s="237"/>
      <c r="J8" s="237"/>
      <c r="K8" s="237"/>
      <c r="L8" s="237"/>
      <c r="M8" s="237"/>
      <c r="N8" s="237"/>
      <c r="O8" s="237"/>
      <c r="P8" s="237"/>
      <c r="Q8" s="237"/>
      <c r="R8" s="237"/>
      <c r="S8" s="247"/>
    </row>
    <row r="9" spans="1:90" s="240" customFormat="1" ht="13.5" customHeight="1" thickBot="1">
      <c r="A9" s="169" t="s">
        <v>14</v>
      </c>
      <c r="B9" s="169"/>
      <c r="D9" s="272"/>
      <c r="E9" s="240" t="s">
        <v>187</v>
      </c>
      <c r="F9" s="237"/>
      <c r="G9" s="237"/>
      <c r="H9" s="237"/>
      <c r="I9" s="237"/>
      <c r="J9" s="237"/>
      <c r="K9" s="237"/>
      <c r="L9" s="237"/>
      <c r="M9" s="237"/>
      <c r="N9" s="237"/>
      <c r="O9" s="237"/>
      <c r="P9" s="237"/>
      <c r="Q9" s="237"/>
      <c r="R9" s="237"/>
      <c r="S9" s="247"/>
    </row>
    <row r="10" spans="1:90" s="240" customFormat="1" ht="13.5" customHeight="1" thickBot="1">
      <c r="A10" s="3611" t="s">
        <v>1306</v>
      </c>
      <c r="B10" s="3612"/>
      <c r="D10" s="272"/>
      <c r="F10" s="237"/>
      <c r="G10" s="237"/>
      <c r="H10" s="237"/>
      <c r="I10" s="237"/>
      <c r="J10" s="237"/>
      <c r="K10" s="237"/>
      <c r="L10" s="237"/>
      <c r="M10" s="237"/>
      <c r="N10" s="237"/>
      <c r="O10" s="237"/>
      <c r="P10" s="237"/>
      <c r="Q10" s="237"/>
      <c r="R10" s="237"/>
      <c r="S10" s="247"/>
    </row>
    <row r="11" spans="1:90" s="240" customFormat="1" ht="13.5" customHeight="1" thickBot="1">
      <c r="A11" s="3611" t="s">
        <v>2314</v>
      </c>
      <c r="B11" s="3639"/>
      <c r="D11" s="272"/>
      <c r="F11" s="267"/>
      <c r="G11" s="267"/>
      <c r="H11" s="267"/>
      <c r="I11" s="267"/>
      <c r="J11" s="267"/>
      <c r="K11" s="267"/>
      <c r="L11" s="267"/>
      <c r="M11" s="267"/>
      <c r="N11" s="267"/>
      <c r="O11" s="267"/>
      <c r="P11" s="267"/>
      <c r="Q11" s="267"/>
      <c r="R11" s="267"/>
      <c r="S11" s="1319"/>
    </row>
    <row r="12" spans="1:90" s="240" customFormat="1" ht="13.5" customHeight="1" thickBot="1">
      <c r="A12" s="3640" t="s">
        <v>2315</v>
      </c>
      <c r="B12" s="3652"/>
      <c r="D12" s="272"/>
      <c r="F12" s="237"/>
      <c r="G12" s="237"/>
      <c r="H12" s="237"/>
      <c r="I12" s="237"/>
      <c r="J12" s="237"/>
      <c r="K12" s="237"/>
      <c r="L12" s="237"/>
      <c r="M12" s="237"/>
      <c r="N12" s="237"/>
      <c r="O12" s="237"/>
      <c r="P12" s="237"/>
      <c r="Q12" s="237"/>
      <c r="R12" s="237"/>
      <c r="S12" s="247"/>
    </row>
    <row r="13" spans="1:90" s="240" customFormat="1" ht="13.5" customHeight="1">
      <c r="A13" s="169" t="s">
        <v>252</v>
      </c>
      <c r="B13" s="169"/>
      <c r="C13" s="239"/>
      <c r="D13" s="272"/>
      <c r="F13" s="237"/>
      <c r="G13" s="237"/>
      <c r="H13" s="237"/>
      <c r="I13" s="237"/>
      <c r="J13" s="237"/>
      <c r="K13" s="237"/>
      <c r="L13" s="237"/>
      <c r="M13" s="237"/>
      <c r="N13" s="237"/>
      <c r="O13" s="237"/>
      <c r="P13" s="237"/>
      <c r="Q13" s="237"/>
      <c r="R13" s="237"/>
      <c r="S13" s="247"/>
    </row>
    <row r="14" spans="1:90" s="240" customFormat="1" ht="13.5" customHeight="1">
      <c r="D14" s="272"/>
      <c r="F14" s="237"/>
      <c r="G14" s="237"/>
      <c r="H14" s="237"/>
      <c r="I14" s="237"/>
      <c r="J14" s="237"/>
      <c r="K14" s="237"/>
      <c r="L14" s="237"/>
      <c r="M14" s="237"/>
      <c r="N14" s="237"/>
      <c r="O14" s="237"/>
      <c r="P14" s="237"/>
      <c r="Q14" s="237"/>
      <c r="R14" s="237"/>
      <c r="S14" s="247"/>
    </row>
    <row r="15" spans="1:90" s="240" customFormat="1" ht="13.5" customHeight="1">
      <c r="A15" s="269"/>
      <c r="B15" s="244"/>
      <c r="C15" s="242"/>
      <c r="D15" s="272"/>
      <c r="F15" s="237"/>
      <c r="G15" s="237"/>
      <c r="H15" s="237"/>
      <c r="I15" s="237"/>
      <c r="J15" s="237"/>
      <c r="K15" s="237"/>
      <c r="L15" s="237"/>
      <c r="M15" s="237"/>
      <c r="N15" s="237"/>
      <c r="O15" s="237"/>
      <c r="P15" s="237"/>
      <c r="Q15" s="237"/>
      <c r="R15" s="237"/>
      <c r="S15" s="247"/>
    </row>
    <row r="16" spans="1:90" s="240" customFormat="1" ht="13.5" customHeight="1">
      <c r="A16" s="269" t="s">
        <v>370</v>
      </c>
      <c r="B16" s="1346">
        <v>2010</v>
      </c>
      <c r="C16" s="1723"/>
      <c r="D16" s="272"/>
      <c r="F16" s="237"/>
      <c r="G16" s="237"/>
      <c r="H16" s="237"/>
      <c r="I16" s="237"/>
      <c r="J16" s="237"/>
      <c r="K16" s="237"/>
      <c r="L16" s="237"/>
      <c r="M16" s="237"/>
      <c r="N16" s="237"/>
      <c r="O16" s="237"/>
      <c r="P16" s="237"/>
      <c r="Q16" s="237"/>
      <c r="R16" s="237"/>
      <c r="S16" s="247"/>
    </row>
    <row r="17" spans="1:90" s="240" customFormat="1" ht="13.5" customHeight="1" thickBot="1">
      <c r="A17" s="169" t="s">
        <v>253</v>
      </c>
      <c r="B17" s="169"/>
      <c r="C17" s="239"/>
      <c r="D17" s="272"/>
      <c r="F17" s="237"/>
      <c r="G17" s="237"/>
      <c r="H17" s="237"/>
      <c r="I17" s="237"/>
      <c r="J17" s="237"/>
      <c r="K17" s="237"/>
      <c r="L17" s="237"/>
      <c r="M17" s="237"/>
      <c r="N17" s="237"/>
      <c r="O17" s="237"/>
      <c r="P17" s="237"/>
      <c r="Q17" s="237"/>
      <c r="R17" s="237"/>
      <c r="S17" s="247"/>
    </row>
    <row r="18" spans="1:90" s="240" customFormat="1" ht="13.5" customHeight="1" thickBot="1">
      <c r="A18" s="528">
        <v>2010</v>
      </c>
      <c r="B18" s="528">
        <v>2015</v>
      </c>
      <c r="C18" s="239"/>
      <c r="D18" s="272"/>
      <c r="F18" s="237"/>
      <c r="G18" s="237"/>
      <c r="H18" s="237"/>
      <c r="I18" s="237"/>
      <c r="J18" s="237"/>
      <c r="K18" s="237"/>
      <c r="L18" s="237"/>
      <c r="M18" s="237"/>
      <c r="N18" s="237"/>
      <c r="O18" s="237"/>
      <c r="P18" s="237"/>
      <c r="Q18" s="237"/>
      <c r="R18" s="237"/>
      <c r="S18" s="247"/>
    </row>
    <row r="19" spans="1:90" s="240" customFormat="1" ht="13.5" customHeight="1" thickBot="1">
      <c r="A19" s="528">
        <v>2020</v>
      </c>
      <c r="B19" s="528">
        <v>2025</v>
      </c>
      <c r="D19" s="272"/>
      <c r="E19" s="240" t="s">
        <v>638</v>
      </c>
      <c r="F19" s="237"/>
      <c r="G19" s="237"/>
      <c r="H19" s="237"/>
      <c r="I19" s="237"/>
      <c r="J19" s="237"/>
      <c r="K19" s="237"/>
      <c r="L19" s="237"/>
      <c r="M19" s="237"/>
      <c r="N19" s="237"/>
      <c r="O19" s="237"/>
      <c r="P19" s="237"/>
      <c r="Q19" s="237"/>
      <c r="R19" s="237"/>
      <c r="S19" s="247"/>
    </row>
    <row r="20" spans="1:90" s="240" customFormat="1" ht="13.5" customHeight="1" thickBot="1">
      <c r="A20" s="528">
        <v>2030</v>
      </c>
      <c r="B20" s="528">
        <v>2035</v>
      </c>
      <c r="D20" s="272"/>
      <c r="E20" s="259" t="s">
        <v>2316</v>
      </c>
      <c r="F20" s="270"/>
      <c r="G20" s="270"/>
      <c r="H20" s="270"/>
      <c r="I20" s="270"/>
      <c r="J20" s="270"/>
      <c r="K20" s="270"/>
      <c r="L20" s="270"/>
      <c r="M20" s="270"/>
      <c r="N20" s="270"/>
      <c r="O20" s="270"/>
      <c r="P20" s="270"/>
      <c r="Q20" s="270"/>
      <c r="R20" s="270"/>
      <c r="S20" s="1322"/>
    </row>
    <row r="21" spans="1:90" s="240" customFormat="1" ht="13.5" customHeight="1">
      <c r="C21" s="1393"/>
      <c r="D21" s="242"/>
      <c r="E21" s="1721"/>
      <c r="G21" s="245"/>
      <c r="H21" s="245"/>
      <c r="I21" s="1724"/>
      <c r="J21" s="237"/>
    </row>
    <row r="22" spans="1:90" s="240" customFormat="1" ht="13.5" customHeight="1" thickBot="1">
      <c r="A22" s="241"/>
      <c r="C22" s="1393"/>
      <c r="D22" s="242"/>
      <c r="E22" s="1721"/>
      <c r="G22" s="245"/>
      <c r="H22" s="245"/>
      <c r="I22" s="1724"/>
      <c r="J22" s="237"/>
    </row>
    <row r="23" spans="1:90" s="1728" customFormat="1" ht="13.5" customHeight="1" thickTop="1" thickBot="1">
      <c r="A23" s="1725" t="s">
        <v>1198</v>
      </c>
      <c r="B23" s="1726"/>
      <c r="C23" s="1726"/>
      <c r="D23" s="1726"/>
      <c r="E23" s="1726"/>
      <c r="F23" s="1726"/>
      <c r="G23" s="1726"/>
      <c r="H23" s="1726"/>
      <c r="I23" s="1726"/>
      <c r="J23" s="1726"/>
      <c r="K23" s="1726"/>
      <c r="L23" s="1726"/>
      <c r="M23" s="1726"/>
      <c r="N23" s="1726"/>
      <c r="O23" s="1727"/>
      <c r="Q23" s="1725" t="s">
        <v>1199</v>
      </c>
      <c r="R23" s="1726"/>
      <c r="S23" s="1726"/>
      <c r="T23" s="1726"/>
      <c r="U23" s="1726"/>
      <c r="V23" s="1726"/>
      <c r="W23" s="1726"/>
      <c r="X23" s="1726"/>
      <c r="Y23" s="1726"/>
      <c r="Z23" s="1726"/>
      <c r="AA23" s="1726"/>
      <c r="AB23" s="1726"/>
      <c r="AC23" s="1726"/>
      <c r="AD23" s="1727"/>
      <c r="AF23" s="1725" t="s">
        <v>1200</v>
      </c>
      <c r="AG23" s="1726"/>
      <c r="AH23" s="1726"/>
      <c r="AI23" s="1726"/>
      <c r="AJ23" s="1726"/>
      <c r="AK23" s="1726"/>
      <c r="AL23" s="1726"/>
      <c r="AM23" s="1726"/>
      <c r="AN23" s="1726"/>
      <c r="AO23" s="1726"/>
      <c r="AP23" s="1726"/>
      <c r="AQ23" s="1726"/>
      <c r="AR23" s="1726"/>
      <c r="AS23" s="1727"/>
      <c r="AU23" s="1725" t="s">
        <v>1201</v>
      </c>
      <c r="AV23" s="1726"/>
      <c r="AW23" s="1726"/>
      <c r="AX23" s="1726"/>
      <c r="AY23" s="1726"/>
      <c r="AZ23" s="1726"/>
      <c r="BA23" s="1726"/>
      <c r="BB23" s="1726"/>
      <c r="BC23" s="1726"/>
      <c r="BD23" s="1726"/>
      <c r="BE23" s="1726"/>
      <c r="BF23" s="1726"/>
      <c r="BG23" s="1726"/>
      <c r="BH23" s="1727"/>
      <c r="BJ23" s="1725" t="s">
        <v>1202</v>
      </c>
      <c r="BK23" s="1726"/>
      <c r="BL23" s="1726"/>
      <c r="BM23" s="1726"/>
      <c r="BN23" s="1726"/>
      <c r="BO23" s="1726"/>
      <c r="BP23" s="1726"/>
      <c r="BQ23" s="1726"/>
      <c r="BR23" s="1726"/>
      <c r="BS23" s="1726"/>
      <c r="BT23" s="1726"/>
      <c r="BU23" s="1726"/>
      <c r="BV23" s="1726"/>
      <c r="BW23" s="1727"/>
      <c r="BY23" s="1725" t="s">
        <v>1203</v>
      </c>
      <c r="BZ23" s="1726"/>
      <c r="CA23" s="1726"/>
      <c r="CB23" s="1726"/>
      <c r="CC23" s="1726"/>
      <c r="CD23" s="1726"/>
      <c r="CE23" s="1726"/>
      <c r="CF23" s="1726"/>
      <c r="CG23" s="1726"/>
      <c r="CH23" s="1726"/>
      <c r="CI23" s="1726"/>
      <c r="CJ23" s="1726"/>
      <c r="CK23" s="1726"/>
      <c r="CL23" s="1727"/>
    </row>
    <row r="24" spans="1:90" s="1728" customFormat="1" ht="13.5" customHeight="1" thickTop="1">
      <c r="A24" s="3830" t="s">
        <v>1082</v>
      </c>
      <c r="B24" s="1987"/>
      <c r="C24" s="3838" t="s">
        <v>1130</v>
      </c>
      <c r="D24" s="3832" t="s">
        <v>1487</v>
      </c>
      <c r="E24" s="3833"/>
      <c r="F24" s="3834"/>
      <c r="G24" s="3832" t="s">
        <v>1089</v>
      </c>
      <c r="H24" s="3833"/>
      <c r="I24" s="3834"/>
      <c r="J24" s="3832" t="s">
        <v>1132</v>
      </c>
      <c r="K24" s="3834"/>
      <c r="L24" s="3835" t="s">
        <v>789</v>
      </c>
      <c r="M24" s="3836"/>
      <c r="N24" s="3837"/>
      <c r="O24" s="3828" t="s">
        <v>1133</v>
      </c>
      <c r="P24" s="1729"/>
      <c r="Q24" s="3830" t="s">
        <v>1082</v>
      </c>
      <c r="R24" s="3838" t="s">
        <v>1130</v>
      </c>
      <c r="S24" s="3832" t="s">
        <v>1487</v>
      </c>
      <c r="T24" s="3833"/>
      <c r="U24" s="3834"/>
      <c r="V24" s="3832" t="s">
        <v>1089</v>
      </c>
      <c r="W24" s="3833"/>
      <c r="X24" s="3834"/>
      <c r="Y24" s="3832" t="s">
        <v>1132</v>
      </c>
      <c r="Z24" s="3834"/>
      <c r="AA24" s="3835" t="s">
        <v>789</v>
      </c>
      <c r="AB24" s="3836"/>
      <c r="AC24" s="3837"/>
      <c r="AD24" s="3828" t="s">
        <v>1133</v>
      </c>
      <c r="AE24" s="1729"/>
      <c r="AF24" s="3830" t="s">
        <v>1082</v>
      </c>
      <c r="AG24" s="3838" t="s">
        <v>1130</v>
      </c>
      <c r="AH24" s="3832" t="s">
        <v>1487</v>
      </c>
      <c r="AI24" s="3833"/>
      <c r="AJ24" s="3834"/>
      <c r="AK24" s="3832" t="s">
        <v>1089</v>
      </c>
      <c r="AL24" s="3833"/>
      <c r="AM24" s="3834"/>
      <c r="AN24" s="3832" t="s">
        <v>1132</v>
      </c>
      <c r="AO24" s="3834"/>
      <c r="AP24" s="3835" t="s">
        <v>789</v>
      </c>
      <c r="AQ24" s="3836"/>
      <c r="AR24" s="3837"/>
      <c r="AS24" s="3828" t="s">
        <v>1133</v>
      </c>
      <c r="AT24" s="1729"/>
      <c r="AU24" s="3830" t="s">
        <v>1082</v>
      </c>
      <c r="AV24" s="3838" t="s">
        <v>1130</v>
      </c>
      <c r="AW24" s="3832" t="s">
        <v>1487</v>
      </c>
      <c r="AX24" s="3833"/>
      <c r="AY24" s="3834"/>
      <c r="AZ24" s="3832" t="s">
        <v>1089</v>
      </c>
      <c r="BA24" s="3833"/>
      <c r="BB24" s="3834"/>
      <c r="BC24" s="3832" t="s">
        <v>1132</v>
      </c>
      <c r="BD24" s="3834"/>
      <c r="BE24" s="3835" t="s">
        <v>789</v>
      </c>
      <c r="BF24" s="3836"/>
      <c r="BG24" s="3837"/>
      <c r="BH24" s="3828" t="s">
        <v>1133</v>
      </c>
      <c r="BI24" s="1729"/>
      <c r="BJ24" s="3830" t="s">
        <v>1082</v>
      </c>
      <c r="BK24" s="3838" t="s">
        <v>1130</v>
      </c>
      <c r="BL24" s="3832" t="s">
        <v>1487</v>
      </c>
      <c r="BM24" s="3833"/>
      <c r="BN24" s="3834"/>
      <c r="BO24" s="3832" t="s">
        <v>1089</v>
      </c>
      <c r="BP24" s="3833"/>
      <c r="BQ24" s="3834"/>
      <c r="BR24" s="3832" t="s">
        <v>1132</v>
      </c>
      <c r="BS24" s="3834"/>
      <c r="BT24" s="3835" t="s">
        <v>789</v>
      </c>
      <c r="BU24" s="3836"/>
      <c r="BV24" s="3837"/>
      <c r="BW24" s="3828" t="s">
        <v>1133</v>
      </c>
      <c r="BY24" s="3830" t="s">
        <v>1082</v>
      </c>
      <c r="BZ24" s="3838" t="s">
        <v>1130</v>
      </c>
      <c r="CA24" s="3832" t="s">
        <v>1487</v>
      </c>
      <c r="CB24" s="3833"/>
      <c r="CC24" s="3834"/>
      <c r="CD24" s="3832" t="s">
        <v>1089</v>
      </c>
      <c r="CE24" s="3833"/>
      <c r="CF24" s="3834"/>
      <c r="CG24" s="3832" t="s">
        <v>1132</v>
      </c>
      <c r="CH24" s="3834"/>
      <c r="CI24" s="3835" t="s">
        <v>789</v>
      </c>
      <c r="CJ24" s="3836"/>
      <c r="CK24" s="3837"/>
      <c r="CL24" s="3828" t="s">
        <v>1133</v>
      </c>
    </row>
    <row r="25" spans="1:90" s="1728" customFormat="1" ht="13.5" customHeight="1" thickBot="1">
      <c r="A25" s="3831"/>
      <c r="B25" s="1988"/>
      <c r="C25" s="3839"/>
      <c r="D25" s="1730" t="s">
        <v>1058</v>
      </c>
      <c r="E25" s="1731" t="s">
        <v>1134</v>
      </c>
      <c r="F25" s="1732" t="s">
        <v>1135</v>
      </c>
      <c r="G25" s="1730" t="s">
        <v>1058</v>
      </c>
      <c r="H25" s="1731" t="s">
        <v>1134</v>
      </c>
      <c r="I25" s="1732" t="s">
        <v>1135</v>
      </c>
      <c r="J25" s="1730" t="s">
        <v>1134</v>
      </c>
      <c r="K25" s="1732" t="s">
        <v>1135</v>
      </c>
      <c r="L25" s="1730" t="s">
        <v>1058</v>
      </c>
      <c r="M25" s="1731" t="s">
        <v>1134</v>
      </c>
      <c r="N25" s="1732" t="s">
        <v>1135</v>
      </c>
      <c r="O25" s="3829"/>
      <c r="Q25" s="3831"/>
      <c r="R25" s="3839"/>
      <c r="S25" s="1730" t="s">
        <v>1058</v>
      </c>
      <c r="T25" s="1731" t="s">
        <v>1134</v>
      </c>
      <c r="U25" s="1732" t="s">
        <v>1135</v>
      </c>
      <c r="V25" s="1730" t="s">
        <v>1058</v>
      </c>
      <c r="W25" s="1731" t="s">
        <v>1134</v>
      </c>
      <c r="X25" s="1732" t="s">
        <v>1135</v>
      </c>
      <c r="Y25" s="1730" t="s">
        <v>1134</v>
      </c>
      <c r="Z25" s="1732" t="s">
        <v>1135</v>
      </c>
      <c r="AA25" s="1730" t="s">
        <v>1058</v>
      </c>
      <c r="AB25" s="1731" t="s">
        <v>1134</v>
      </c>
      <c r="AC25" s="1732" t="s">
        <v>1135</v>
      </c>
      <c r="AD25" s="3829"/>
      <c r="AF25" s="3831"/>
      <c r="AG25" s="3839"/>
      <c r="AH25" s="1730" t="s">
        <v>1058</v>
      </c>
      <c r="AI25" s="1731" t="s">
        <v>1134</v>
      </c>
      <c r="AJ25" s="1732" t="s">
        <v>1135</v>
      </c>
      <c r="AK25" s="1730" t="s">
        <v>1058</v>
      </c>
      <c r="AL25" s="1731" t="s">
        <v>1134</v>
      </c>
      <c r="AM25" s="1732" t="s">
        <v>1135</v>
      </c>
      <c r="AN25" s="1730" t="s">
        <v>1134</v>
      </c>
      <c r="AO25" s="1732" t="s">
        <v>1135</v>
      </c>
      <c r="AP25" s="1730" t="s">
        <v>1058</v>
      </c>
      <c r="AQ25" s="1731" t="s">
        <v>1134</v>
      </c>
      <c r="AR25" s="1732" t="s">
        <v>1135</v>
      </c>
      <c r="AS25" s="3829"/>
      <c r="AU25" s="3831"/>
      <c r="AV25" s="3839"/>
      <c r="AW25" s="1730" t="s">
        <v>1058</v>
      </c>
      <c r="AX25" s="1731" t="s">
        <v>1134</v>
      </c>
      <c r="AY25" s="1732" t="s">
        <v>1135</v>
      </c>
      <c r="AZ25" s="1730" t="s">
        <v>1058</v>
      </c>
      <c r="BA25" s="1731" t="s">
        <v>1134</v>
      </c>
      <c r="BB25" s="1732" t="s">
        <v>1135</v>
      </c>
      <c r="BC25" s="1730" t="s">
        <v>1134</v>
      </c>
      <c r="BD25" s="1732" t="s">
        <v>1135</v>
      </c>
      <c r="BE25" s="1730" t="s">
        <v>1058</v>
      </c>
      <c r="BF25" s="1731" t="s">
        <v>1134</v>
      </c>
      <c r="BG25" s="1732" t="s">
        <v>1135</v>
      </c>
      <c r="BH25" s="3829"/>
      <c r="BJ25" s="3831"/>
      <c r="BK25" s="3839"/>
      <c r="BL25" s="1730" t="s">
        <v>1058</v>
      </c>
      <c r="BM25" s="1731" t="s">
        <v>1134</v>
      </c>
      <c r="BN25" s="1732" t="s">
        <v>1135</v>
      </c>
      <c r="BO25" s="1730" t="s">
        <v>1058</v>
      </c>
      <c r="BP25" s="1731" t="s">
        <v>1134</v>
      </c>
      <c r="BQ25" s="1732" t="s">
        <v>1135</v>
      </c>
      <c r="BR25" s="1730" t="s">
        <v>1134</v>
      </c>
      <c r="BS25" s="1732" t="s">
        <v>1135</v>
      </c>
      <c r="BT25" s="1730" t="s">
        <v>1058</v>
      </c>
      <c r="BU25" s="1731" t="s">
        <v>1134</v>
      </c>
      <c r="BV25" s="1732" t="s">
        <v>1135</v>
      </c>
      <c r="BW25" s="3829"/>
      <c r="BY25" s="3831"/>
      <c r="BZ25" s="3839"/>
      <c r="CA25" s="1730" t="s">
        <v>1058</v>
      </c>
      <c r="CB25" s="1731" t="s">
        <v>1134</v>
      </c>
      <c r="CC25" s="1732" t="s">
        <v>1135</v>
      </c>
      <c r="CD25" s="1730" t="s">
        <v>1058</v>
      </c>
      <c r="CE25" s="1731" t="s">
        <v>1134</v>
      </c>
      <c r="CF25" s="1732" t="s">
        <v>1135</v>
      </c>
      <c r="CG25" s="1730" t="s">
        <v>1134</v>
      </c>
      <c r="CH25" s="1732" t="s">
        <v>1135</v>
      </c>
      <c r="CI25" s="1730" t="s">
        <v>1058</v>
      </c>
      <c r="CJ25" s="1731" t="s">
        <v>1134</v>
      </c>
      <c r="CK25" s="1732" t="s">
        <v>1135</v>
      </c>
      <c r="CL25" s="3829"/>
    </row>
    <row r="26" spans="1:90" s="1728" customFormat="1" ht="13.5" customHeight="1">
      <c r="A26" s="3846" t="s">
        <v>856</v>
      </c>
      <c r="B26" s="3847"/>
      <c r="C26" s="1733">
        <v>1</v>
      </c>
      <c r="D26" s="1734">
        <v>1E-3</v>
      </c>
      <c r="E26" s="1735">
        <v>3.0000000000000001E-3</v>
      </c>
      <c r="F26" s="1736">
        <v>1.0999999999999999E-2</v>
      </c>
      <c r="G26" s="1734">
        <v>7.0000000000000001E-3</v>
      </c>
      <c r="H26" s="1735">
        <v>1.2E-2</v>
      </c>
      <c r="I26" s="1736">
        <v>3.9E-2</v>
      </c>
      <c r="J26" s="1737">
        <v>2.1999999999999999E-2</v>
      </c>
      <c r="K26" s="1738">
        <v>8.1000000000000003E-2</v>
      </c>
      <c r="L26" s="1737">
        <v>2.8000000000000001E-2</v>
      </c>
      <c r="M26" s="1739">
        <v>0.114</v>
      </c>
      <c r="N26" s="1738">
        <v>0.113</v>
      </c>
      <c r="O26" s="1740">
        <v>0.43</v>
      </c>
      <c r="P26" s="2042"/>
      <c r="Q26" s="3824" t="s">
        <v>856</v>
      </c>
      <c r="R26" s="1733">
        <v>1</v>
      </c>
      <c r="S26" s="1734">
        <v>1E-3</v>
      </c>
      <c r="T26" s="1735">
        <v>3.0000000000000001E-3</v>
      </c>
      <c r="U26" s="1736">
        <v>0.01</v>
      </c>
      <c r="V26" s="1734">
        <v>7.0000000000000001E-3</v>
      </c>
      <c r="W26" s="1735">
        <v>1.2E-2</v>
      </c>
      <c r="X26" s="1736">
        <v>3.7999999999999999E-2</v>
      </c>
      <c r="Y26" s="1737">
        <v>2.1999999999999999E-2</v>
      </c>
      <c r="Z26" s="1738">
        <v>0.08</v>
      </c>
      <c r="AA26" s="1737">
        <v>2.7E-2</v>
      </c>
      <c r="AB26" s="1739">
        <v>0.114</v>
      </c>
      <c r="AC26" s="1738">
        <v>0.113</v>
      </c>
      <c r="AD26" s="1740">
        <v>0.42699999999999999</v>
      </c>
      <c r="AF26" s="3824" t="s">
        <v>856</v>
      </c>
      <c r="AG26" s="1733">
        <v>1</v>
      </c>
      <c r="AH26" s="1734">
        <v>0</v>
      </c>
      <c r="AI26" s="1735">
        <v>2E-3</v>
      </c>
      <c r="AJ26" s="1736">
        <v>0.01</v>
      </c>
      <c r="AK26" s="1734">
        <v>6.0000000000000001E-3</v>
      </c>
      <c r="AL26" s="1735">
        <v>0.01</v>
      </c>
      <c r="AM26" s="1736">
        <v>3.6999999999999998E-2</v>
      </c>
      <c r="AN26" s="1737">
        <v>1.7999999999999999E-2</v>
      </c>
      <c r="AO26" s="1738">
        <v>7.9000000000000001E-2</v>
      </c>
      <c r="AP26" s="1737">
        <v>2.3E-2</v>
      </c>
      <c r="AQ26" s="1739">
        <v>9.7000000000000003E-2</v>
      </c>
      <c r="AR26" s="1738">
        <v>0.107</v>
      </c>
      <c r="AS26" s="1740">
        <v>0.38900000000000001</v>
      </c>
      <c r="AU26" s="3824" t="s">
        <v>856</v>
      </c>
      <c r="AV26" s="1733">
        <v>1</v>
      </c>
      <c r="AW26" s="1734">
        <v>0</v>
      </c>
      <c r="AX26" s="1735">
        <v>2E-3</v>
      </c>
      <c r="AY26" s="1736">
        <v>8.9999999999999993E-3</v>
      </c>
      <c r="AZ26" s="1734">
        <v>6.0000000000000001E-3</v>
      </c>
      <c r="BA26" s="1735">
        <v>8.9999999999999993E-3</v>
      </c>
      <c r="BB26" s="1736">
        <v>3.4000000000000002E-2</v>
      </c>
      <c r="BC26" s="1737">
        <v>1.7000000000000001E-2</v>
      </c>
      <c r="BD26" s="1738">
        <v>7.4999999999999997E-2</v>
      </c>
      <c r="BE26" s="1737">
        <v>0.02</v>
      </c>
      <c r="BF26" s="1739">
        <v>9.1999999999999998E-2</v>
      </c>
      <c r="BG26" s="1738">
        <v>0.106</v>
      </c>
      <c r="BH26" s="1740">
        <v>0.371</v>
      </c>
      <c r="BJ26" s="3824" t="s">
        <v>856</v>
      </c>
      <c r="BK26" s="1733">
        <v>1</v>
      </c>
      <c r="BL26" s="1734">
        <v>0</v>
      </c>
      <c r="BM26" s="1735">
        <v>2E-3</v>
      </c>
      <c r="BN26" s="1736">
        <v>8.9999999999999993E-3</v>
      </c>
      <c r="BO26" s="1734">
        <v>5.0000000000000001E-3</v>
      </c>
      <c r="BP26" s="1735">
        <v>8.0000000000000002E-3</v>
      </c>
      <c r="BQ26" s="1736">
        <v>3.3000000000000002E-2</v>
      </c>
      <c r="BR26" s="1737">
        <v>1.6E-2</v>
      </c>
      <c r="BS26" s="1738">
        <v>7.1999999999999995E-2</v>
      </c>
      <c r="BT26" s="1737">
        <v>0.02</v>
      </c>
      <c r="BU26" s="1739">
        <v>8.8999999999999996E-2</v>
      </c>
      <c r="BV26" s="1738">
        <v>0.105</v>
      </c>
      <c r="BW26" s="1740">
        <v>0.36</v>
      </c>
      <c r="BY26" s="3824" t="s">
        <v>856</v>
      </c>
      <c r="BZ26" s="1733">
        <v>1</v>
      </c>
      <c r="CA26" s="1734">
        <v>0</v>
      </c>
      <c r="CB26" s="1735">
        <v>2E-3</v>
      </c>
      <c r="CC26" s="1736">
        <v>8.9999999999999993E-3</v>
      </c>
      <c r="CD26" s="1734">
        <v>5.0000000000000001E-3</v>
      </c>
      <c r="CE26" s="1735">
        <v>8.0000000000000002E-3</v>
      </c>
      <c r="CF26" s="1736">
        <v>3.2000000000000001E-2</v>
      </c>
      <c r="CG26" s="1737">
        <v>1.4999999999999999E-2</v>
      </c>
      <c r="CH26" s="1738">
        <v>7.0999999999999994E-2</v>
      </c>
      <c r="CI26" s="1737">
        <v>1.7999999999999999E-2</v>
      </c>
      <c r="CJ26" s="1739">
        <v>0.08</v>
      </c>
      <c r="CK26" s="1738">
        <v>0.10100000000000001</v>
      </c>
      <c r="CL26" s="1740">
        <v>0.34100000000000003</v>
      </c>
    </row>
    <row r="27" spans="1:90" s="1728" customFormat="1" ht="13.5" customHeight="1">
      <c r="A27" s="3842"/>
      <c r="B27" s="3843"/>
      <c r="C27" s="1741">
        <v>2</v>
      </c>
      <c r="D27" s="1742">
        <v>2E-3</v>
      </c>
      <c r="E27" s="1743">
        <v>8.0000000000000002E-3</v>
      </c>
      <c r="F27" s="1744">
        <v>7.0000000000000001E-3</v>
      </c>
      <c r="G27" s="1742">
        <v>1.7999999999999999E-2</v>
      </c>
      <c r="H27" s="1743">
        <v>2.1999999999999999E-2</v>
      </c>
      <c r="I27" s="1744">
        <v>1.6E-2</v>
      </c>
      <c r="J27" s="1745">
        <v>4.3999999999999997E-2</v>
      </c>
      <c r="K27" s="1746">
        <v>2.8000000000000001E-2</v>
      </c>
      <c r="L27" s="1745">
        <v>6.5000000000000002E-2</v>
      </c>
      <c r="M27" s="1747">
        <v>0.09</v>
      </c>
      <c r="N27" s="1746">
        <v>1.7000000000000001E-2</v>
      </c>
      <c r="O27" s="1748">
        <v>0.316</v>
      </c>
      <c r="P27" s="2042"/>
      <c r="Q27" s="3825"/>
      <c r="R27" s="1741">
        <v>2</v>
      </c>
      <c r="S27" s="1742">
        <v>2E-3</v>
      </c>
      <c r="T27" s="1743">
        <v>8.0000000000000002E-3</v>
      </c>
      <c r="U27" s="1744">
        <v>7.0000000000000001E-3</v>
      </c>
      <c r="V27" s="1742">
        <v>1.7999999999999999E-2</v>
      </c>
      <c r="W27" s="1743">
        <v>2.1000000000000001E-2</v>
      </c>
      <c r="X27" s="1744">
        <v>1.6E-2</v>
      </c>
      <c r="Y27" s="1745">
        <v>4.1000000000000002E-2</v>
      </c>
      <c r="Z27" s="1746">
        <v>2.8000000000000001E-2</v>
      </c>
      <c r="AA27" s="1745">
        <v>6.4000000000000001E-2</v>
      </c>
      <c r="AB27" s="1747">
        <v>8.8999999999999996E-2</v>
      </c>
      <c r="AC27" s="1746">
        <v>1.7000000000000001E-2</v>
      </c>
      <c r="AD27" s="1748">
        <v>0.31</v>
      </c>
      <c r="AF27" s="3825"/>
      <c r="AG27" s="1741">
        <v>2</v>
      </c>
      <c r="AH27" s="1742">
        <v>2E-3</v>
      </c>
      <c r="AI27" s="1743">
        <v>7.0000000000000001E-3</v>
      </c>
      <c r="AJ27" s="1744">
        <v>7.0000000000000001E-3</v>
      </c>
      <c r="AK27" s="1742">
        <v>1.6E-2</v>
      </c>
      <c r="AL27" s="1743">
        <v>1.9E-2</v>
      </c>
      <c r="AM27" s="1744">
        <v>1.6E-2</v>
      </c>
      <c r="AN27" s="1745">
        <v>3.7999999999999999E-2</v>
      </c>
      <c r="AO27" s="1746">
        <v>2.8000000000000001E-2</v>
      </c>
      <c r="AP27" s="1745">
        <v>5.8000000000000003E-2</v>
      </c>
      <c r="AQ27" s="1747">
        <v>0.10199999999999999</v>
      </c>
      <c r="AR27" s="1746">
        <v>2.1000000000000001E-2</v>
      </c>
      <c r="AS27" s="1748">
        <v>0.312</v>
      </c>
      <c r="AU27" s="3825"/>
      <c r="AV27" s="1741">
        <v>2</v>
      </c>
      <c r="AW27" s="1742">
        <v>1E-3</v>
      </c>
      <c r="AX27" s="1743">
        <v>5.0000000000000001E-3</v>
      </c>
      <c r="AY27" s="1744">
        <v>7.0000000000000001E-3</v>
      </c>
      <c r="AZ27" s="1742">
        <v>1.2999999999999999E-2</v>
      </c>
      <c r="BA27" s="1743">
        <v>1.7999999999999999E-2</v>
      </c>
      <c r="BB27" s="1744">
        <v>1.7000000000000001E-2</v>
      </c>
      <c r="BC27" s="1745">
        <v>3.3000000000000002E-2</v>
      </c>
      <c r="BD27" s="1746">
        <v>2.9000000000000001E-2</v>
      </c>
      <c r="BE27" s="1745">
        <v>4.5999999999999999E-2</v>
      </c>
      <c r="BF27" s="1747">
        <v>9.8000000000000004E-2</v>
      </c>
      <c r="BG27" s="1746">
        <v>0.02</v>
      </c>
      <c r="BH27" s="1748">
        <v>0.28699999999999998</v>
      </c>
      <c r="BJ27" s="3825"/>
      <c r="BK27" s="1741">
        <v>2</v>
      </c>
      <c r="BL27" s="1742">
        <v>1E-3</v>
      </c>
      <c r="BM27" s="1743">
        <v>4.0000000000000001E-3</v>
      </c>
      <c r="BN27" s="1744">
        <v>6.0000000000000001E-3</v>
      </c>
      <c r="BO27" s="1742">
        <v>0.01</v>
      </c>
      <c r="BP27" s="1743">
        <v>1.7000000000000001E-2</v>
      </c>
      <c r="BQ27" s="1744">
        <v>1.7000000000000001E-2</v>
      </c>
      <c r="BR27" s="1745">
        <v>0.03</v>
      </c>
      <c r="BS27" s="1746">
        <v>0.03</v>
      </c>
      <c r="BT27" s="1745">
        <v>3.9E-2</v>
      </c>
      <c r="BU27" s="1747">
        <v>9.4E-2</v>
      </c>
      <c r="BV27" s="1746">
        <v>0.02</v>
      </c>
      <c r="BW27" s="1748">
        <v>0.27</v>
      </c>
      <c r="BY27" s="3825"/>
      <c r="BZ27" s="1741">
        <v>2</v>
      </c>
      <c r="CA27" s="1742">
        <v>1E-3</v>
      </c>
      <c r="CB27" s="1743">
        <v>4.0000000000000001E-3</v>
      </c>
      <c r="CC27" s="1744">
        <v>6.0000000000000001E-3</v>
      </c>
      <c r="CD27" s="1742">
        <v>8.9999999999999993E-3</v>
      </c>
      <c r="CE27" s="1743">
        <v>1.4999999999999999E-2</v>
      </c>
      <c r="CF27" s="1744">
        <v>1.7000000000000001E-2</v>
      </c>
      <c r="CG27" s="1745">
        <v>2.7E-2</v>
      </c>
      <c r="CH27" s="1746">
        <v>3.1E-2</v>
      </c>
      <c r="CI27" s="1745">
        <v>3.5000000000000003E-2</v>
      </c>
      <c r="CJ27" s="1747">
        <v>9.6000000000000002E-2</v>
      </c>
      <c r="CK27" s="1746">
        <v>2.3E-2</v>
      </c>
      <c r="CL27" s="1748">
        <v>0.26500000000000001</v>
      </c>
    </row>
    <row r="28" spans="1:90" s="1728" customFormat="1" ht="13.5" customHeight="1">
      <c r="A28" s="3842"/>
      <c r="B28" s="3843"/>
      <c r="C28" s="1741">
        <v>3</v>
      </c>
      <c r="D28" s="1742">
        <v>0</v>
      </c>
      <c r="E28" s="1743">
        <v>0.01</v>
      </c>
      <c r="F28" s="1744">
        <v>3.0000000000000001E-3</v>
      </c>
      <c r="G28" s="1742">
        <v>1.7000000000000001E-2</v>
      </c>
      <c r="H28" s="1743">
        <v>1.4999999999999999E-2</v>
      </c>
      <c r="I28" s="1744">
        <v>8.0000000000000002E-3</v>
      </c>
      <c r="J28" s="1745">
        <v>3.3000000000000002E-2</v>
      </c>
      <c r="K28" s="1746">
        <v>1.0999999999999999E-2</v>
      </c>
      <c r="L28" s="1745">
        <v>4.1000000000000002E-2</v>
      </c>
      <c r="M28" s="1747">
        <v>2.1999999999999999E-2</v>
      </c>
      <c r="N28" s="1746">
        <v>5.0000000000000001E-3</v>
      </c>
      <c r="O28" s="1748">
        <v>0.16600000000000001</v>
      </c>
      <c r="P28" s="2042"/>
      <c r="Q28" s="3825"/>
      <c r="R28" s="1741">
        <v>3</v>
      </c>
      <c r="S28" s="1742">
        <v>0</v>
      </c>
      <c r="T28" s="1743">
        <v>0.01</v>
      </c>
      <c r="U28" s="1744">
        <v>3.0000000000000001E-3</v>
      </c>
      <c r="V28" s="1742">
        <v>1.7999999999999999E-2</v>
      </c>
      <c r="W28" s="1743">
        <v>1.6E-2</v>
      </c>
      <c r="X28" s="1744">
        <v>8.0000000000000002E-3</v>
      </c>
      <c r="Y28" s="1745">
        <v>3.4000000000000002E-2</v>
      </c>
      <c r="Z28" s="1746">
        <v>0.01</v>
      </c>
      <c r="AA28" s="1745">
        <v>4.2999999999999997E-2</v>
      </c>
      <c r="AB28" s="1747">
        <v>2.3E-2</v>
      </c>
      <c r="AC28" s="1746">
        <v>6.0000000000000001E-3</v>
      </c>
      <c r="AD28" s="1748">
        <v>0.17199999999999999</v>
      </c>
      <c r="AF28" s="3825"/>
      <c r="AG28" s="1741">
        <v>3</v>
      </c>
      <c r="AH28" s="1742">
        <v>1E-3</v>
      </c>
      <c r="AI28" s="1743">
        <v>0.01</v>
      </c>
      <c r="AJ28" s="1744">
        <v>3.0000000000000001E-3</v>
      </c>
      <c r="AK28" s="1742">
        <v>0.02</v>
      </c>
      <c r="AL28" s="1743">
        <v>1.7000000000000001E-2</v>
      </c>
      <c r="AM28" s="1744">
        <v>8.0000000000000002E-3</v>
      </c>
      <c r="AN28" s="1745">
        <v>3.6999999999999998E-2</v>
      </c>
      <c r="AO28" s="1746">
        <v>1.0999999999999999E-2</v>
      </c>
      <c r="AP28" s="1745">
        <v>5.2999999999999999E-2</v>
      </c>
      <c r="AQ28" s="1747">
        <v>2.5999999999999999E-2</v>
      </c>
      <c r="AR28" s="1746">
        <v>6.0000000000000001E-3</v>
      </c>
      <c r="AS28" s="1748">
        <v>0.192</v>
      </c>
      <c r="AU28" s="3825"/>
      <c r="AV28" s="1741">
        <v>3</v>
      </c>
      <c r="AW28" s="1742">
        <v>1E-3</v>
      </c>
      <c r="AX28" s="1743">
        <v>8.9999999999999993E-3</v>
      </c>
      <c r="AY28" s="1744">
        <v>4.0000000000000001E-3</v>
      </c>
      <c r="AZ28" s="1742">
        <v>2.1000000000000001E-2</v>
      </c>
      <c r="BA28" s="1743">
        <v>1.7999999999999999E-2</v>
      </c>
      <c r="BB28" s="1744">
        <v>8.0000000000000002E-3</v>
      </c>
      <c r="BC28" s="1745">
        <v>3.9E-2</v>
      </c>
      <c r="BD28" s="1746">
        <v>1.2E-2</v>
      </c>
      <c r="BE28" s="1745">
        <v>6.4000000000000001E-2</v>
      </c>
      <c r="BF28" s="1747">
        <v>3.2000000000000001E-2</v>
      </c>
      <c r="BG28" s="1746">
        <v>7.0000000000000001E-3</v>
      </c>
      <c r="BH28" s="1748">
        <v>0.215</v>
      </c>
      <c r="BJ28" s="3825"/>
      <c r="BK28" s="1741">
        <v>3</v>
      </c>
      <c r="BL28" s="1742">
        <v>1E-3</v>
      </c>
      <c r="BM28" s="1743">
        <v>8.0000000000000002E-3</v>
      </c>
      <c r="BN28" s="1744">
        <v>4.0000000000000001E-3</v>
      </c>
      <c r="BO28" s="1742">
        <v>2.1999999999999999E-2</v>
      </c>
      <c r="BP28" s="1743">
        <v>1.9E-2</v>
      </c>
      <c r="BQ28" s="1744">
        <v>8.0000000000000002E-3</v>
      </c>
      <c r="BR28" s="1745">
        <v>3.9E-2</v>
      </c>
      <c r="BS28" s="1746">
        <v>1.2E-2</v>
      </c>
      <c r="BT28" s="1745">
        <v>6.5000000000000002E-2</v>
      </c>
      <c r="BU28" s="1747">
        <v>3.6999999999999998E-2</v>
      </c>
      <c r="BV28" s="1746">
        <v>8.0000000000000002E-3</v>
      </c>
      <c r="BW28" s="1748">
        <v>0.224</v>
      </c>
      <c r="BY28" s="3825"/>
      <c r="BZ28" s="1741">
        <v>3</v>
      </c>
      <c r="CA28" s="1742">
        <v>1E-3</v>
      </c>
      <c r="CB28" s="1743">
        <v>8.0000000000000002E-3</v>
      </c>
      <c r="CC28" s="1744">
        <v>4.0000000000000001E-3</v>
      </c>
      <c r="CD28" s="1742">
        <v>2.1999999999999999E-2</v>
      </c>
      <c r="CE28" s="1743">
        <v>1.9E-2</v>
      </c>
      <c r="CF28" s="1744">
        <v>8.9999999999999993E-3</v>
      </c>
      <c r="CG28" s="1745">
        <v>3.9E-2</v>
      </c>
      <c r="CH28" s="1746">
        <v>1.2999999999999999E-2</v>
      </c>
      <c r="CI28" s="1745">
        <v>6.3E-2</v>
      </c>
      <c r="CJ28" s="1747">
        <v>4.2000000000000003E-2</v>
      </c>
      <c r="CK28" s="1746">
        <v>8.9999999999999993E-3</v>
      </c>
      <c r="CL28" s="1748">
        <v>0.22700000000000001</v>
      </c>
    </row>
    <row r="29" spans="1:90" s="1728" customFormat="1" ht="13.5" customHeight="1">
      <c r="A29" s="3842"/>
      <c r="B29" s="3843"/>
      <c r="C29" s="1741">
        <v>4</v>
      </c>
      <c r="D29" s="1742">
        <v>0</v>
      </c>
      <c r="E29" s="1743">
        <v>0.01</v>
      </c>
      <c r="F29" s="1744">
        <v>3.0000000000000001E-3</v>
      </c>
      <c r="G29" s="1742">
        <v>5.0000000000000001E-3</v>
      </c>
      <c r="H29" s="1743">
        <v>1.2E-2</v>
      </c>
      <c r="I29" s="1744">
        <v>7.0000000000000001E-3</v>
      </c>
      <c r="J29" s="1745">
        <v>1.9E-2</v>
      </c>
      <c r="K29" s="1746">
        <v>5.0000000000000001E-3</v>
      </c>
      <c r="L29" s="1745">
        <v>6.0000000000000001E-3</v>
      </c>
      <c r="M29" s="1747">
        <v>5.0000000000000001E-3</v>
      </c>
      <c r="N29" s="1746">
        <v>3.0000000000000001E-3</v>
      </c>
      <c r="O29" s="1748">
        <v>7.4999999999999997E-2</v>
      </c>
      <c r="P29" s="2042"/>
      <c r="Q29" s="3825"/>
      <c r="R29" s="1741">
        <v>4</v>
      </c>
      <c r="S29" s="1742">
        <v>0</v>
      </c>
      <c r="T29" s="1743">
        <v>7.0000000000000001E-3</v>
      </c>
      <c r="U29" s="1744">
        <v>3.0000000000000001E-3</v>
      </c>
      <c r="V29" s="1742">
        <v>3.0000000000000001E-3</v>
      </c>
      <c r="W29" s="1743">
        <v>1.0999999999999999E-2</v>
      </c>
      <c r="X29" s="1744">
        <v>5.0000000000000001E-3</v>
      </c>
      <c r="Y29" s="1745">
        <v>1.7000000000000001E-2</v>
      </c>
      <c r="Z29" s="1746">
        <v>5.0000000000000001E-3</v>
      </c>
      <c r="AA29" s="1745">
        <v>6.0000000000000001E-3</v>
      </c>
      <c r="AB29" s="1747">
        <v>5.0000000000000001E-3</v>
      </c>
      <c r="AC29" s="1746">
        <v>3.0000000000000001E-3</v>
      </c>
      <c r="AD29" s="1748">
        <v>6.5000000000000002E-2</v>
      </c>
      <c r="AF29" s="3825"/>
      <c r="AG29" s="1741">
        <v>4</v>
      </c>
      <c r="AH29" s="1742">
        <v>0</v>
      </c>
      <c r="AI29" s="1743">
        <v>8.0000000000000002E-3</v>
      </c>
      <c r="AJ29" s="1744">
        <v>2E-3</v>
      </c>
      <c r="AK29" s="1742">
        <v>4.0000000000000001E-3</v>
      </c>
      <c r="AL29" s="1743">
        <v>8.0000000000000002E-3</v>
      </c>
      <c r="AM29" s="1744">
        <v>4.0000000000000001E-3</v>
      </c>
      <c r="AN29" s="1745">
        <v>1.7999999999999999E-2</v>
      </c>
      <c r="AO29" s="1746">
        <v>4.0000000000000001E-3</v>
      </c>
      <c r="AP29" s="1745">
        <v>8.0000000000000002E-3</v>
      </c>
      <c r="AQ29" s="1747">
        <v>7.0000000000000001E-3</v>
      </c>
      <c r="AR29" s="1746">
        <v>3.0000000000000001E-3</v>
      </c>
      <c r="AS29" s="1748">
        <v>6.8000000000000005E-2</v>
      </c>
      <c r="AU29" s="3825"/>
      <c r="AV29" s="1741">
        <v>4</v>
      </c>
      <c r="AW29" s="1742">
        <v>0</v>
      </c>
      <c r="AX29" s="1743">
        <v>8.9999999999999993E-3</v>
      </c>
      <c r="AY29" s="1744">
        <v>2E-3</v>
      </c>
      <c r="AZ29" s="1742">
        <v>7.0000000000000001E-3</v>
      </c>
      <c r="BA29" s="1743">
        <v>8.9999999999999993E-3</v>
      </c>
      <c r="BB29" s="1744">
        <v>5.0000000000000001E-3</v>
      </c>
      <c r="BC29" s="1745">
        <v>0.02</v>
      </c>
      <c r="BD29" s="1746">
        <v>5.0000000000000001E-3</v>
      </c>
      <c r="BE29" s="1745">
        <v>1.4E-2</v>
      </c>
      <c r="BF29" s="1747">
        <v>8.9999999999999993E-3</v>
      </c>
      <c r="BG29" s="1746">
        <v>4.0000000000000001E-3</v>
      </c>
      <c r="BH29" s="1748">
        <v>8.3000000000000004E-2</v>
      </c>
      <c r="BJ29" s="3825"/>
      <c r="BK29" s="1741">
        <v>4</v>
      </c>
      <c r="BL29" s="1742">
        <v>0</v>
      </c>
      <c r="BM29" s="1743">
        <v>0.01</v>
      </c>
      <c r="BN29" s="1744">
        <v>2E-3</v>
      </c>
      <c r="BO29" s="1742">
        <v>8.0000000000000002E-3</v>
      </c>
      <c r="BP29" s="1743">
        <v>0.01</v>
      </c>
      <c r="BQ29" s="1744">
        <v>5.0000000000000001E-3</v>
      </c>
      <c r="BR29" s="1745">
        <v>2.1999999999999999E-2</v>
      </c>
      <c r="BS29" s="1746">
        <v>5.0000000000000001E-3</v>
      </c>
      <c r="BT29" s="1745">
        <v>0.02</v>
      </c>
      <c r="BU29" s="1747">
        <v>0.01</v>
      </c>
      <c r="BV29" s="1746">
        <v>4.0000000000000001E-3</v>
      </c>
      <c r="BW29" s="1748">
        <v>9.7000000000000003E-2</v>
      </c>
      <c r="BY29" s="3825"/>
      <c r="BZ29" s="1741">
        <v>4</v>
      </c>
      <c r="CA29" s="1742">
        <v>0</v>
      </c>
      <c r="CB29" s="1743">
        <v>0.01</v>
      </c>
      <c r="CC29" s="1744">
        <v>2E-3</v>
      </c>
      <c r="CD29" s="1742">
        <v>0.01</v>
      </c>
      <c r="CE29" s="1743">
        <v>1.0999999999999999E-2</v>
      </c>
      <c r="CF29" s="1744">
        <v>6.0000000000000001E-3</v>
      </c>
      <c r="CG29" s="1745">
        <v>2.4E-2</v>
      </c>
      <c r="CH29" s="1746">
        <v>5.0000000000000001E-3</v>
      </c>
      <c r="CI29" s="1745">
        <v>2.8000000000000001E-2</v>
      </c>
      <c r="CJ29" s="1747">
        <v>1.2E-2</v>
      </c>
      <c r="CK29" s="1746">
        <v>5.0000000000000001E-3</v>
      </c>
      <c r="CL29" s="1748">
        <v>0.114</v>
      </c>
    </row>
    <row r="30" spans="1:90" s="1728" customFormat="1" ht="13.5" customHeight="1">
      <c r="A30" s="3842"/>
      <c r="B30" s="3843"/>
      <c r="C30" s="1749">
        <v>5</v>
      </c>
      <c r="D30" s="1742">
        <v>0</v>
      </c>
      <c r="E30" s="1743">
        <v>3.0000000000000001E-3</v>
      </c>
      <c r="F30" s="1744">
        <v>1E-3</v>
      </c>
      <c r="G30" s="1742">
        <v>0</v>
      </c>
      <c r="H30" s="1743">
        <v>1E-3</v>
      </c>
      <c r="I30" s="1744">
        <v>1E-3</v>
      </c>
      <c r="J30" s="1745">
        <v>4.0000000000000001E-3</v>
      </c>
      <c r="K30" s="1746">
        <v>0</v>
      </c>
      <c r="L30" s="1745">
        <v>0</v>
      </c>
      <c r="M30" s="1747">
        <v>0</v>
      </c>
      <c r="N30" s="1746">
        <v>2E-3</v>
      </c>
      <c r="O30" s="1748">
        <v>1.2E-2</v>
      </c>
      <c r="P30" s="2042"/>
      <c r="Q30" s="3825"/>
      <c r="R30" s="1749">
        <v>5</v>
      </c>
      <c r="S30" s="1742">
        <v>0</v>
      </c>
      <c r="T30" s="1743">
        <v>7.0000000000000001E-3</v>
      </c>
      <c r="U30" s="1744">
        <v>2E-3</v>
      </c>
      <c r="V30" s="1742">
        <v>0</v>
      </c>
      <c r="W30" s="1743">
        <v>2E-3</v>
      </c>
      <c r="X30" s="1744">
        <v>3.0000000000000001E-3</v>
      </c>
      <c r="Y30" s="1745">
        <v>8.0000000000000002E-3</v>
      </c>
      <c r="Z30" s="1746">
        <v>0</v>
      </c>
      <c r="AA30" s="1745">
        <v>0</v>
      </c>
      <c r="AB30" s="1747">
        <v>1E-3</v>
      </c>
      <c r="AC30" s="1746">
        <v>2E-3</v>
      </c>
      <c r="AD30" s="1748">
        <v>2.4E-2</v>
      </c>
      <c r="AF30" s="3825"/>
      <c r="AG30" s="1749">
        <v>5</v>
      </c>
      <c r="AH30" s="1742">
        <v>0</v>
      </c>
      <c r="AI30" s="1743">
        <v>8.0000000000000002E-3</v>
      </c>
      <c r="AJ30" s="1744">
        <v>3.0000000000000001E-3</v>
      </c>
      <c r="AK30" s="1742">
        <v>0</v>
      </c>
      <c r="AL30" s="1743">
        <v>6.0000000000000001E-3</v>
      </c>
      <c r="AM30" s="1744">
        <v>5.0000000000000001E-3</v>
      </c>
      <c r="AN30" s="1745">
        <v>0.01</v>
      </c>
      <c r="AO30" s="1746">
        <v>2E-3</v>
      </c>
      <c r="AP30" s="1745">
        <v>0</v>
      </c>
      <c r="AQ30" s="1747">
        <v>1E-3</v>
      </c>
      <c r="AR30" s="1746">
        <v>2E-3</v>
      </c>
      <c r="AS30" s="1748">
        <v>3.6999999999999998E-2</v>
      </c>
      <c r="AU30" s="3825"/>
      <c r="AV30" s="1749">
        <v>5</v>
      </c>
      <c r="AW30" s="1742">
        <v>0</v>
      </c>
      <c r="AX30" s="1743">
        <v>8.9999999999999993E-3</v>
      </c>
      <c r="AY30" s="1744">
        <v>3.0000000000000001E-3</v>
      </c>
      <c r="AZ30" s="1742">
        <v>0</v>
      </c>
      <c r="BA30" s="1743">
        <v>6.0000000000000001E-3</v>
      </c>
      <c r="BB30" s="1744">
        <v>5.0000000000000001E-3</v>
      </c>
      <c r="BC30" s="1745">
        <v>1.2E-2</v>
      </c>
      <c r="BD30" s="1746">
        <v>3.0000000000000001E-3</v>
      </c>
      <c r="BE30" s="1745">
        <v>0</v>
      </c>
      <c r="BF30" s="1747">
        <v>1E-3</v>
      </c>
      <c r="BG30" s="1746">
        <v>2E-3</v>
      </c>
      <c r="BH30" s="1748">
        <v>4.2999999999999997E-2</v>
      </c>
      <c r="BJ30" s="3825"/>
      <c r="BK30" s="1749">
        <v>5</v>
      </c>
      <c r="BL30" s="1742">
        <v>0</v>
      </c>
      <c r="BM30" s="1743">
        <v>0.01</v>
      </c>
      <c r="BN30" s="1744">
        <v>4.0000000000000001E-3</v>
      </c>
      <c r="BO30" s="1742">
        <v>1E-3</v>
      </c>
      <c r="BP30" s="1743">
        <v>7.0000000000000001E-3</v>
      </c>
      <c r="BQ30" s="1744">
        <v>6.0000000000000001E-3</v>
      </c>
      <c r="BR30" s="1745">
        <v>1.2999999999999999E-2</v>
      </c>
      <c r="BS30" s="1746">
        <v>3.0000000000000001E-3</v>
      </c>
      <c r="BT30" s="1745">
        <v>1E-3</v>
      </c>
      <c r="BU30" s="1747">
        <v>1E-3</v>
      </c>
      <c r="BV30" s="1746">
        <v>3.0000000000000001E-3</v>
      </c>
      <c r="BW30" s="1748">
        <v>4.7E-2</v>
      </c>
      <c r="BY30" s="3825"/>
      <c r="BZ30" s="1749">
        <v>5</v>
      </c>
      <c r="CA30" s="1742">
        <v>0</v>
      </c>
      <c r="CB30" s="1743">
        <v>1.0999999999999999E-2</v>
      </c>
      <c r="CC30" s="1744">
        <v>4.0000000000000001E-3</v>
      </c>
      <c r="CD30" s="1742">
        <v>1E-3</v>
      </c>
      <c r="CE30" s="1743">
        <v>7.0000000000000001E-3</v>
      </c>
      <c r="CF30" s="1744">
        <v>6.0000000000000001E-3</v>
      </c>
      <c r="CG30" s="1745">
        <v>1.4E-2</v>
      </c>
      <c r="CH30" s="1746">
        <v>3.0000000000000001E-3</v>
      </c>
      <c r="CI30" s="1745">
        <v>1E-3</v>
      </c>
      <c r="CJ30" s="1747">
        <v>2E-3</v>
      </c>
      <c r="CK30" s="1746">
        <v>3.0000000000000001E-3</v>
      </c>
      <c r="CL30" s="1748">
        <v>5.1999999999999998E-2</v>
      </c>
    </row>
    <row r="31" spans="1:90" s="1728" customFormat="1" ht="13.5" customHeight="1" thickBot="1">
      <c r="A31" s="3844"/>
      <c r="B31" s="3845"/>
      <c r="C31" s="1750" t="s">
        <v>1422</v>
      </c>
      <c r="D31" s="1751">
        <v>3.0000000000000001E-3</v>
      </c>
      <c r="E31" s="1752">
        <v>3.5000000000000003E-2</v>
      </c>
      <c r="F31" s="1753">
        <v>2.5000000000000001E-2</v>
      </c>
      <c r="G31" s="1751">
        <v>4.5999999999999999E-2</v>
      </c>
      <c r="H31" s="1752">
        <v>6.2E-2</v>
      </c>
      <c r="I31" s="1753">
        <v>7.0999999999999994E-2</v>
      </c>
      <c r="J31" s="1754">
        <v>0.123</v>
      </c>
      <c r="K31" s="1755">
        <v>0.125</v>
      </c>
      <c r="L31" s="1754">
        <v>0.14000000000000001</v>
      </c>
      <c r="M31" s="1756">
        <v>0.23100000000000001</v>
      </c>
      <c r="N31" s="1755">
        <v>0.14000000000000001</v>
      </c>
      <c r="O31" s="1757">
        <v>1</v>
      </c>
      <c r="P31" s="2042"/>
      <c r="Q31" s="3826"/>
      <c r="R31" s="1750" t="s">
        <v>1422</v>
      </c>
      <c r="S31" s="1751">
        <v>3.0000000000000001E-3</v>
      </c>
      <c r="T31" s="1752">
        <v>3.5000000000000003E-2</v>
      </c>
      <c r="U31" s="1753">
        <v>2.5000000000000001E-2</v>
      </c>
      <c r="V31" s="1751">
        <v>4.5999999999999999E-2</v>
      </c>
      <c r="W31" s="1752">
        <v>6.0999999999999999E-2</v>
      </c>
      <c r="X31" s="1753">
        <v>7.0000000000000007E-2</v>
      </c>
      <c r="Y31" s="1754">
        <v>0.123</v>
      </c>
      <c r="Z31" s="1755">
        <v>0.125</v>
      </c>
      <c r="AA31" s="1754">
        <v>0.14099999999999999</v>
      </c>
      <c r="AB31" s="1756">
        <v>0.23200000000000001</v>
      </c>
      <c r="AC31" s="1755">
        <v>0.14000000000000001</v>
      </c>
      <c r="AD31" s="1757">
        <v>1</v>
      </c>
      <c r="AF31" s="3826"/>
      <c r="AG31" s="1750" t="s">
        <v>1422</v>
      </c>
      <c r="AH31" s="1751">
        <v>3.0000000000000001E-3</v>
      </c>
      <c r="AI31" s="1752">
        <v>3.5000000000000003E-2</v>
      </c>
      <c r="AJ31" s="1753">
        <v>2.5000000000000001E-2</v>
      </c>
      <c r="AK31" s="1751">
        <v>4.5999999999999999E-2</v>
      </c>
      <c r="AL31" s="1752">
        <v>6.0999999999999999E-2</v>
      </c>
      <c r="AM31" s="1753">
        <v>7.0000000000000007E-2</v>
      </c>
      <c r="AN31" s="1754">
        <v>0.122</v>
      </c>
      <c r="AO31" s="1755">
        <v>0.124</v>
      </c>
      <c r="AP31" s="1754">
        <v>0.14199999999999999</v>
      </c>
      <c r="AQ31" s="1756">
        <v>0.23200000000000001</v>
      </c>
      <c r="AR31" s="1755">
        <v>0.14000000000000001</v>
      </c>
      <c r="AS31" s="1757">
        <v>1</v>
      </c>
      <c r="AU31" s="3826"/>
      <c r="AV31" s="1750" t="s">
        <v>1422</v>
      </c>
      <c r="AW31" s="1751">
        <v>3.0000000000000001E-3</v>
      </c>
      <c r="AX31" s="1752">
        <v>3.5000000000000003E-2</v>
      </c>
      <c r="AY31" s="1753">
        <v>2.5000000000000001E-2</v>
      </c>
      <c r="AZ31" s="1751">
        <v>4.7E-2</v>
      </c>
      <c r="BA31" s="1752">
        <v>6.0999999999999999E-2</v>
      </c>
      <c r="BB31" s="1753">
        <v>7.0000000000000007E-2</v>
      </c>
      <c r="BC31" s="1754">
        <v>0.121</v>
      </c>
      <c r="BD31" s="1755">
        <v>0.123</v>
      </c>
      <c r="BE31" s="1754">
        <v>0.14399999999999999</v>
      </c>
      <c r="BF31" s="1756">
        <v>0.23300000000000001</v>
      </c>
      <c r="BG31" s="1755">
        <v>0.14000000000000001</v>
      </c>
      <c r="BH31" s="1757">
        <v>1</v>
      </c>
      <c r="BJ31" s="3826"/>
      <c r="BK31" s="1750" t="s">
        <v>1422</v>
      </c>
      <c r="BL31" s="1751">
        <v>3.0000000000000001E-3</v>
      </c>
      <c r="BM31" s="1752">
        <v>3.5000000000000003E-2</v>
      </c>
      <c r="BN31" s="1753">
        <v>2.5000000000000001E-2</v>
      </c>
      <c r="BO31" s="1751">
        <v>4.7E-2</v>
      </c>
      <c r="BP31" s="1752">
        <v>0.06</v>
      </c>
      <c r="BQ31" s="1753">
        <v>7.0000000000000007E-2</v>
      </c>
      <c r="BR31" s="1754">
        <v>0.12</v>
      </c>
      <c r="BS31" s="1755">
        <v>0.123</v>
      </c>
      <c r="BT31" s="1754">
        <v>0.14499999999999999</v>
      </c>
      <c r="BU31" s="1756">
        <v>0.23300000000000001</v>
      </c>
      <c r="BV31" s="1755">
        <v>0.14000000000000001</v>
      </c>
      <c r="BW31" s="1757">
        <v>1</v>
      </c>
      <c r="BY31" s="3826"/>
      <c r="BZ31" s="1750" t="s">
        <v>1422</v>
      </c>
      <c r="CA31" s="1751">
        <v>3.0000000000000001E-3</v>
      </c>
      <c r="CB31" s="1752">
        <v>3.4000000000000002E-2</v>
      </c>
      <c r="CC31" s="1753">
        <v>2.5000000000000001E-2</v>
      </c>
      <c r="CD31" s="1751">
        <v>4.7E-2</v>
      </c>
      <c r="CE31" s="1752">
        <v>0.06</v>
      </c>
      <c r="CF31" s="1753">
        <v>7.0000000000000007E-2</v>
      </c>
      <c r="CG31" s="1754">
        <v>0.12</v>
      </c>
      <c r="CH31" s="1755">
        <v>0.123</v>
      </c>
      <c r="CI31" s="1754">
        <v>0.14499999999999999</v>
      </c>
      <c r="CJ31" s="1756">
        <v>0.23300000000000001</v>
      </c>
      <c r="CK31" s="1755">
        <v>0.14099999999999999</v>
      </c>
      <c r="CL31" s="1757">
        <v>1</v>
      </c>
    </row>
    <row r="32" spans="1:90" s="1728" customFormat="1" ht="13.5" customHeight="1" thickTop="1">
      <c r="A32" s="3840" t="s">
        <v>857</v>
      </c>
      <c r="B32" s="3841"/>
      <c r="C32" s="1733">
        <v>1</v>
      </c>
      <c r="D32" s="1734">
        <v>1E-3</v>
      </c>
      <c r="E32" s="1735">
        <v>4.0000000000000001E-3</v>
      </c>
      <c r="F32" s="1736">
        <v>1.2E-2</v>
      </c>
      <c r="G32" s="1734">
        <v>7.0000000000000001E-3</v>
      </c>
      <c r="H32" s="1735">
        <v>1.2E-2</v>
      </c>
      <c r="I32" s="1736">
        <v>3.6999999999999998E-2</v>
      </c>
      <c r="J32" s="1737">
        <v>2.1999999999999999E-2</v>
      </c>
      <c r="K32" s="1738">
        <v>8.3000000000000004E-2</v>
      </c>
      <c r="L32" s="1737">
        <v>2.5999999999999999E-2</v>
      </c>
      <c r="M32" s="1739">
        <v>0.10199999999999999</v>
      </c>
      <c r="N32" s="1738">
        <v>0.109</v>
      </c>
      <c r="O32" s="1740">
        <v>0.41399999999999998</v>
      </c>
      <c r="Q32" s="3824" t="s">
        <v>857</v>
      </c>
      <c r="R32" s="1733">
        <v>1</v>
      </c>
      <c r="S32" s="1734">
        <v>1E-3</v>
      </c>
      <c r="T32" s="1735">
        <v>4.0000000000000001E-3</v>
      </c>
      <c r="U32" s="1736">
        <v>1.0999999999999999E-2</v>
      </c>
      <c r="V32" s="1734">
        <v>7.0000000000000001E-3</v>
      </c>
      <c r="W32" s="1735">
        <v>1.0999999999999999E-2</v>
      </c>
      <c r="X32" s="1736">
        <v>3.6999999999999998E-2</v>
      </c>
      <c r="Y32" s="1737">
        <v>2.1999999999999999E-2</v>
      </c>
      <c r="Z32" s="1738">
        <v>8.2000000000000003E-2</v>
      </c>
      <c r="AA32" s="1737">
        <v>2.5999999999999999E-2</v>
      </c>
      <c r="AB32" s="1739">
        <v>0.10199999999999999</v>
      </c>
      <c r="AC32" s="1738">
        <v>0.109</v>
      </c>
      <c r="AD32" s="1740">
        <v>0.41199999999999998</v>
      </c>
      <c r="AF32" s="3824" t="s">
        <v>857</v>
      </c>
      <c r="AG32" s="1733">
        <v>1</v>
      </c>
      <c r="AH32" s="1734">
        <v>0</v>
      </c>
      <c r="AI32" s="1735">
        <v>3.0000000000000001E-3</v>
      </c>
      <c r="AJ32" s="1736">
        <v>1.0999999999999999E-2</v>
      </c>
      <c r="AK32" s="1734">
        <v>6.0000000000000001E-3</v>
      </c>
      <c r="AL32" s="1735">
        <v>0.01</v>
      </c>
      <c r="AM32" s="1736">
        <v>3.5000000000000003E-2</v>
      </c>
      <c r="AN32" s="1737">
        <v>1.7999999999999999E-2</v>
      </c>
      <c r="AO32" s="1738">
        <v>8.1000000000000003E-2</v>
      </c>
      <c r="AP32" s="1737">
        <v>2.1000000000000001E-2</v>
      </c>
      <c r="AQ32" s="1739">
        <v>8.5000000000000006E-2</v>
      </c>
      <c r="AR32" s="1738">
        <v>0.10299999999999999</v>
      </c>
      <c r="AS32" s="1740">
        <v>0.374</v>
      </c>
      <c r="AU32" s="3824" t="s">
        <v>857</v>
      </c>
      <c r="AV32" s="1733">
        <v>1</v>
      </c>
      <c r="AW32" s="1734">
        <v>0</v>
      </c>
      <c r="AX32" s="1735">
        <v>3.0000000000000001E-3</v>
      </c>
      <c r="AY32" s="1736">
        <v>0.01</v>
      </c>
      <c r="AZ32" s="1734">
        <v>5.0000000000000001E-3</v>
      </c>
      <c r="BA32" s="1735">
        <v>8.9999999999999993E-3</v>
      </c>
      <c r="BB32" s="1736">
        <v>3.3000000000000002E-2</v>
      </c>
      <c r="BC32" s="1737">
        <v>1.7000000000000001E-2</v>
      </c>
      <c r="BD32" s="1738">
        <v>7.6999999999999999E-2</v>
      </c>
      <c r="BE32" s="1737">
        <v>0.02</v>
      </c>
      <c r="BF32" s="1739">
        <v>8.2000000000000003E-2</v>
      </c>
      <c r="BG32" s="1738">
        <v>0.10199999999999999</v>
      </c>
      <c r="BH32" s="1740">
        <v>0.35599999999999998</v>
      </c>
      <c r="BJ32" s="3824" t="s">
        <v>857</v>
      </c>
      <c r="BK32" s="1733">
        <v>1</v>
      </c>
      <c r="BL32" s="1734">
        <v>0</v>
      </c>
      <c r="BM32" s="1735">
        <v>2E-3</v>
      </c>
      <c r="BN32" s="1736">
        <v>0.01</v>
      </c>
      <c r="BO32" s="1734">
        <v>5.0000000000000001E-3</v>
      </c>
      <c r="BP32" s="1735">
        <v>8.0000000000000002E-3</v>
      </c>
      <c r="BQ32" s="1736">
        <v>3.2000000000000001E-2</v>
      </c>
      <c r="BR32" s="1737">
        <v>1.6E-2</v>
      </c>
      <c r="BS32" s="1738">
        <v>7.3999999999999996E-2</v>
      </c>
      <c r="BT32" s="1737">
        <v>1.9E-2</v>
      </c>
      <c r="BU32" s="1739">
        <v>7.9000000000000001E-2</v>
      </c>
      <c r="BV32" s="1738">
        <v>0.10100000000000001</v>
      </c>
      <c r="BW32" s="1740">
        <v>0.34599999999999997</v>
      </c>
      <c r="BY32" s="3824" t="s">
        <v>857</v>
      </c>
      <c r="BZ32" s="1733">
        <v>1</v>
      </c>
      <c r="CA32" s="1734">
        <v>0</v>
      </c>
      <c r="CB32" s="1735">
        <v>2E-3</v>
      </c>
      <c r="CC32" s="1736">
        <v>8.9999999999999993E-3</v>
      </c>
      <c r="CD32" s="1734">
        <v>5.0000000000000001E-3</v>
      </c>
      <c r="CE32" s="1735">
        <v>7.0000000000000001E-3</v>
      </c>
      <c r="CF32" s="1736">
        <v>3.1E-2</v>
      </c>
      <c r="CG32" s="1737">
        <v>1.4999999999999999E-2</v>
      </c>
      <c r="CH32" s="1738">
        <v>7.2999999999999995E-2</v>
      </c>
      <c r="CI32" s="1737">
        <v>1.7000000000000001E-2</v>
      </c>
      <c r="CJ32" s="1739">
        <v>7.0000000000000007E-2</v>
      </c>
      <c r="CK32" s="1738">
        <v>9.7000000000000003E-2</v>
      </c>
      <c r="CL32" s="1740">
        <v>0.32600000000000001</v>
      </c>
    </row>
    <row r="33" spans="1:90" s="1728" customFormat="1" ht="13.5" customHeight="1">
      <c r="A33" s="3842"/>
      <c r="B33" s="3843"/>
      <c r="C33" s="1741">
        <v>2</v>
      </c>
      <c r="D33" s="1742">
        <v>2E-3</v>
      </c>
      <c r="E33" s="1743">
        <v>8.9999999999999993E-3</v>
      </c>
      <c r="F33" s="1744">
        <v>7.0000000000000001E-3</v>
      </c>
      <c r="G33" s="1742">
        <v>1.7000000000000001E-2</v>
      </c>
      <c r="H33" s="1743">
        <v>2.1000000000000001E-2</v>
      </c>
      <c r="I33" s="1744">
        <v>1.6E-2</v>
      </c>
      <c r="J33" s="1745">
        <v>4.4999999999999998E-2</v>
      </c>
      <c r="K33" s="1746">
        <v>0.03</v>
      </c>
      <c r="L33" s="1745">
        <v>6.8000000000000005E-2</v>
      </c>
      <c r="M33" s="1747">
        <v>0.09</v>
      </c>
      <c r="N33" s="1746">
        <v>1.7000000000000001E-2</v>
      </c>
      <c r="O33" s="1748">
        <v>0.32200000000000001</v>
      </c>
      <c r="Q33" s="3825"/>
      <c r="R33" s="1741">
        <v>2</v>
      </c>
      <c r="S33" s="1742">
        <v>2E-3</v>
      </c>
      <c r="T33" s="1743">
        <v>8.9999999999999993E-3</v>
      </c>
      <c r="U33" s="1744">
        <v>7.0000000000000001E-3</v>
      </c>
      <c r="V33" s="1742">
        <v>1.7000000000000001E-2</v>
      </c>
      <c r="W33" s="1743">
        <v>1.9E-2</v>
      </c>
      <c r="X33" s="1744">
        <v>1.6E-2</v>
      </c>
      <c r="Y33" s="1745">
        <v>4.2000000000000003E-2</v>
      </c>
      <c r="Z33" s="1746">
        <v>2.9000000000000001E-2</v>
      </c>
      <c r="AA33" s="1745">
        <v>6.7000000000000004E-2</v>
      </c>
      <c r="AB33" s="1747">
        <v>8.8999999999999996E-2</v>
      </c>
      <c r="AC33" s="1746">
        <v>1.7000000000000001E-2</v>
      </c>
      <c r="AD33" s="1748">
        <v>0.315</v>
      </c>
      <c r="AF33" s="3825"/>
      <c r="AG33" s="1741">
        <v>2</v>
      </c>
      <c r="AH33" s="1742">
        <v>2E-3</v>
      </c>
      <c r="AI33" s="1743">
        <v>7.0000000000000001E-3</v>
      </c>
      <c r="AJ33" s="1744">
        <v>7.0000000000000001E-3</v>
      </c>
      <c r="AK33" s="1742">
        <v>1.4999999999999999E-2</v>
      </c>
      <c r="AL33" s="1743">
        <v>1.7999999999999999E-2</v>
      </c>
      <c r="AM33" s="1744">
        <v>1.6E-2</v>
      </c>
      <c r="AN33" s="1745">
        <v>3.7999999999999999E-2</v>
      </c>
      <c r="AO33" s="1746">
        <v>2.9000000000000001E-2</v>
      </c>
      <c r="AP33" s="1745">
        <v>0.06</v>
      </c>
      <c r="AQ33" s="1747">
        <v>0.10100000000000001</v>
      </c>
      <c r="AR33" s="1746">
        <v>2.1000000000000001E-2</v>
      </c>
      <c r="AS33" s="1748">
        <v>0.315</v>
      </c>
      <c r="AU33" s="3825"/>
      <c r="AV33" s="1741">
        <v>2</v>
      </c>
      <c r="AW33" s="1742">
        <v>2E-3</v>
      </c>
      <c r="AX33" s="1743">
        <v>6.0000000000000001E-3</v>
      </c>
      <c r="AY33" s="1744">
        <v>8.0000000000000002E-3</v>
      </c>
      <c r="AZ33" s="1742">
        <v>1.2E-2</v>
      </c>
      <c r="BA33" s="1743">
        <v>1.7000000000000001E-2</v>
      </c>
      <c r="BB33" s="1744">
        <v>1.7000000000000001E-2</v>
      </c>
      <c r="BC33" s="1745">
        <v>3.3000000000000002E-2</v>
      </c>
      <c r="BD33" s="1746">
        <v>0.03</v>
      </c>
      <c r="BE33" s="1745">
        <v>4.7E-2</v>
      </c>
      <c r="BF33" s="1747">
        <v>9.7000000000000003E-2</v>
      </c>
      <c r="BG33" s="1746">
        <v>0.02</v>
      </c>
      <c r="BH33" s="1748">
        <v>0.28799999999999998</v>
      </c>
      <c r="BJ33" s="3825"/>
      <c r="BK33" s="1741">
        <v>2</v>
      </c>
      <c r="BL33" s="1742">
        <v>1E-3</v>
      </c>
      <c r="BM33" s="1743">
        <v>5.0000000000000001E-3</v>
      </c>
      <c r="BN33" s="1744">
        <v>7.0000000000000001E-3</v>
      </c>
      <c r="BO33" s="1742">
        <v>0.01</v>
      </c>
      <c r="BP33" s="1743">
        <v>1.6E-2</v>
      </c>
      <c r="BQ33" s="1744">
        <v>1.7000000000000001E-2</v>
      </c>
      <c r="BR33" s="1745">
        <v>3.1E-2</v>
      </c>
      <c r="BS33" s="1746">
        <v>3.2000000000000001E-2</v>
      </c>
      <c r="BT33" s="1745">
        <v>0.04</v>
      </c>
      <c r="BU33" s="1747">
        <v>9.1999999999999998E-2</v>
      </c>
      <c r="BV33" s="1746">
        <v>0.02</v>
      </c>
      <c r="BW33" s="1748">
        <v>0.27</v>
      </c>
      <c r="BY33" s="3825"/>
      <c r="BZ33" s="1741">
        <v>2</v>
      </c>
      <c r="CA33" s="1742">
        <v>1E-3</v>
      </c>
      <c r="CB33" s="1743">
        <v>4.0000000000000001E-3</v>
      </c>
      <c r="CC33" s="1744">
        <v>7.0000000000000001E-3</v>
      </c>
      <c r="CD33" s="1742">
        <v>8.0000000000000002E-3</v>
      </c>
      <c r="CE33" s="1743">
        <v>1.4E-2</v>
      </c>
      <c r="CF33" s="1744">
        <v>1.7000000000000001E-2</v>
      </c>
      <c r="CG33" s="1745">
        <v>2.7E-2</v>
      </c>
      <c r="CH33" s="1746">
        <v>3.2000000000000001E-2</v>
      </c>
      <c r="CI33" s="1745">
        <v>3.5000000000000003E-2</v>
      </c>
      <c r="CJ33" s="1747">
        <v>9.5000000000000001E-2</v>
      </c>
      <c r="CK33" s="1746">
        <v>2.3E-2</v>
      </c>
      <c r="CL33" s="1748">
        <v>0.26400000000000001</v>
      </c>
    </row>
    <row r="34" spans="1:90" s="1728" customFormat="1" ht="13.5" customHeight="1">
      <c r="A34" s="3842"/>
      <c r="B34" s="3843"/>
      <c r="C34" s="1741">
        <v>3</v>
      </c>
      <c r="D34" s="1742">
        <v>0</v>
      </c>
      <c r="E34" s="1743">
        <v>1.0999999999999999E-2</v>
      </c>
      <c r="F34" s="1744">
        <v>4.0000000000000001E-3</v>
      </c>
      <c r="G34" s="1742">
        <v>1.7000000000000001E-2</v>
      </c>
      <c r="H34" s="1743">
        <v>1.4999999999999999E-2</v>
      </c>
      <c r="I34" s="1744">
        <v>8.0000000000000002E-3</v>
      </c>
      <c r="J34" s="1745">
        <v>3.4000000000000002E-2</v>
      </c>
      <c r="K34" s="1746">
        <v>1.0999999999999999E-2</v>
      </c>
      <c r="L34" s="1745">
        <v>4.3999999999999997E-2</v>
      </c>
      <c r="M34" s="1747">
        <v>2.3E-2</v>
      </c>
      <c r="N34" s="1746">
        <v>6.0000000000000001E-3</v>
      </c>
      <c r="O34" s="1748">
        <v>0.17299999999999999</v>
      </c>
      <c r="Q34" s="3825"/>
      <c r="R34" s="1741">
        <v>3</v>
      </c>
      <c r="S34" s="1742">
        <v>0</v>
      </c>
      <c r="T34" s="1743">
        <v>1.0999999999999999E-2</v>
      </c>
      <c r="U34" s="1744">
        <v>4.0000000000000001E-3</v>
      </c>
      <c r="V34" s="1742">
        <v>1.7999999999999999E-2</v>
      </c>
      <c r="W34" s="1743">
        <v>1.6E-2</v>
      </c>
      <c r="X34" s="1744">
        <v>8.0000000000000002E-3</v>
      </c>
      <c r="Y34" s="1745">
        <v>3.5000000000000003E-2</v>
      </c>
      <c r="Z34" s="1746">
        <v>1.0999999999999999E-2</v>
      </c>
      <c r="AA34" s="1745">
        <v>4.7E-2</v>
      </c>
      <c r="AB34" s="1747">
        <v>2.4E-2</v>
      </c>
      <c r="AC34" s="1746">
        <v>6.0000000000000001E-3</v>
      </c>
      <c r="AD34" s="1748">
        <v>0.18</v>
      </c>
      <c r="AF34" s="3825"/>
      <c r="AG34" s="1741">
        <v>3</v>
      </c>
      <c r="AH34" s="1742">
        <v>1E-3</v>
      </c>
      <c r="AI34" s="1743">
        <v>1.0999999999999999E-2</v>
      </c>
      <c r="AJ34" s="1744">
        <v>4.0000000000000001E-3</v>
      </c>
      <c r="AK34" s="1742">
        <v>0.02</v>
      </c>
      <c r="AL34" s="1743">
        <v>1.7000000000000001E-2</v>
      </c>
      <c r="AM34" s="1744">
        <v>8.0000000000000002E-3</v>
      </c>
      <c r="AN34" s="1745">
        <v>3.7999999999999999E-2</v>
      </c>
      <c r="AO34" s="1746">
        <v>1.2E-2</v>
      </c>
      <c r="AP34" s="1745">
        <v>5.7000000000000002E-2</v>
      </c>
      <c r="AQ34" s="1747">
        <v>2.7E-2</v>
      </c>
      <c r="AR34" s="1746">
        <v>7.0000000000000001E-3</v>
      </c>
      <c r="AS34" s="1748">
        <v>0.2</v>
      </c>
      <c r="AU34" s="3825"/>
      <c r="AV34" s="1741">
        <v>3</v>
      </c>
      <c r="AW34" s="1742">
        <v>1E-3</v>
      </c>
      <c r="AX34" s="1743">
        <v>0.01</v>
      </c>
      <c r="AY34" s="1744">
        <v>4.0000000000000001E-3</v>
      </c>
      <c r="AZ34" s="1742">
        <v>2.1000000000000001E-2</v>
      </c>
      <c r="BA34" s="1743">
        <v>1.7999999999999999E-2</v>
      </c>
      <c r="BB34" s="1744">
        <v>8.0000000000000002E-3</v>
      </c>
      <c r="BC34" s="1745">
        <v>0.04</v>
      </c>
      <c r="BD34" s="1746">
        <v>1.2E-2</v>
      </c>
      <c r="BE34" s="1745">
        <v>6.8000000000000005E-2</v>
      </c>
      <c r="BF34" s="1747">
        <v>3.3000000000000002E-2</v>
      </c>
      <c r="BG34" s="1746">
        <v>7.0000000000000001E-3</v>
      </c>
      <c r="BH34" s="1748">
        <v>0.223</v>
      </c>
      <c r="BJ34" s="3825"/>
      <c r="BK34" s="1741">
        <v>3</v>
      </c>
      <c r="BL34" s="1742">
        <v>1E-3</v>
      </c>
      <c r="BM34" s="1743">
        <v>8.9999999999999993E-3</v>
      </c>
      <c r="BN34" s="1744">
        <v>4.0000000000000001E-3</v>
      </c>
      <c r="BO34" s="1742">
        <v>2.1999999999999999E-2</v>
      </c>
      <c r="BP34" s="1743">
        <v>1.7999999999999999E-2</v>
      </c>
      <c r="BQ34" s="1744">
        <v>8.9999999999999993E-3</v>
      </c>
      <c r="BR34" s="1745">
        <v>0.04</v>
      </c>
      <c r="BS34" s="1746">
        <v>1.2999999999999999E-2</v>
      </c>
      <c r="BT34" s="1745">
        <v>7.0000000000000007E-2</v>
      </c>
      <c r="BU34" s="1747">
        <v>3.7999999999999999E-2</v>
      </c>
      <c r="BV34" s="1746">
        <v>8.0000000000000002E-3</v>
      </c>
      <c r="BW34" s="1748">
        <v>0.23200000000000001</v>
      </c>
      <c r="BY34" s="3825"/>
      <c r="BZ34" s="1741">
        <v>3</v>
      </c>
      <c r="CA34" s="1742">
        <v>1E-3</v>
      </c>
      <c r="CB34" s="1743">
        <v>8.0000000000000002E-3</v>
      </c>
      <c r="CC34" s="1744">
        <v>4.0000000000000001E-3</v>
      </c>
      <c r="CD34" s="1742">
        <v>2.1999999999999999E-2</v>
      </c>
      <c r="CE34" s="1743">
        <v>1.9E-2</v>
      </c>
      <c r="CF34" s="1744">
        <v>8.9999999999999993E-3</v>
      </c>
      <c r="CG34" s="1745">
        <v>0.04</v>
      </c>
      <c r="CH34" s="1746">
        <v>1.2999999999999999E-2</v>
      </c>
      <c r="CI34" s="1745">
        <v>6.7000000000000004E-2</v>
      </c>
      <c r="CJ34" s="1747">
        <v>4.2999999999999997E-2</v>
      </c>
      <c r="CK34" s="1746">
        <v>8.9999999999999993E-3</v>
      </c>
      <c r="CL34" s="1748">
        <v>0.23400000000000001</v>
      </c>
    </row>
    <row r="35" spans="1:90" s="1728" customFormat="1" ht="13.5" customHeight="1">
      <c r="A35" s="3842"/>
      <c r="B35" s="3843"/>
      <c r="C35" s="1741">
        <v>4</v>
      </c>
      <c r="D35" s="1742">
        <v>0</v>
      </c>
      <c r="E35" s="1743">
        <v>1.0999999999999999E-2</v>
      </c>
      <c r="F35" s="1744">
        <v>4.0000000000000001E-3</v>
      </c>
      <c r="G35" s="1742">
        <v>4.0000000000000001E-3</v>
      </c>
      <c r="H35" s="1743">
        <v>1.2E-2</v>
      </c>
      <c r="I35" s="1744">
        <v>8.0000000000000002E-3</v>
      </c>
      <c r="J35" s="1745">
        <v>1.9E-2</v>
      </c>
      <c r="K35" s="1746">
        <v>6.0000000000000001E-3</v>
      </c>
      <c r="L35" s="1745">
        <v>7.0000000000000001E-3</v>
      </c>
      <c r="M35" s="1747">
        <v>5.0000000000000001E-3</v>
      </c>
      <c r="N35" s="1746">
        <v>3.0000000000000001E-3</v>
      </c>
      <c r="O35" s="1748">
        <v>7.8E-2</v>
      </c>
      <c r="Q35" s="3825"/>
      <c r="R35" s="1741">
        <v>4</v>
      </c>
      <c r="S35" s="1742">
        <v>0</v>
      </c>
      <c r="T35" s="1743">
        <v>8.0000000000000002E-3</v>
      </c>
      <c r="U35" s="1744">
        <v>3.0000000000000001E-3</v>
      </c>
      <c r="V35" s="1742">
        <v>3.0000000000000001E-3</v>
      </c>
      <c r="W35" s="1743">
        <v>1.0999999999999999E-2</v>
      </c>
      <c r="X35" s="1744">
        <v>6.0000000000000001E-3</v>
      </c>
      <c r="Y35" s="1745">
        <v>1.7000000000000001E-2</v>
      </c>
      <c r="Z35" s="1746">
        <v>6.0000000000000001E-3</v>
      </c>
      <c r="AA35" s="1745">
        <v>6.0000000000000001E-3</v>
      </c>
      <c r="AB35" s="1747">
        <v>5.0000000000000001E-3</v>
      </c>
      <c r="AC35" s="1746">
        <v>3.0000000000000001E-3</v>
      </c>
      <c r="AD35" s="1748">
        <v>6.8000000000000005E-2</v>
      </c>
      <c r="AF35" s="3825"/>
      <c r="AG35" s="1741">
        <v>4</v>
      </c>
      <c r="AH35" s="1742">
        <v>0</v>
      </c>
      <c r="AI35" s="1743">
        <v>8.0000000000000002E-3</v>
      </c>
      <c r="AJ35" s="1744">
        <v>2E-3</v>
      </c>
      <c r="AK35" s="1742">
        <v>4.0000000000000001E-3</v>
      </c>
      <c r="AL35" s="1743">
        <v>8.0000000000000002E-3</v>
      </c>
      <c r="AM35" s="1744">
        <v>5.0000000000000001E-3</v>
      </c>
      <c r="AN35" s="1745">
        <v>1.7999999999999999E-2</v>
      </c>
      <c r="AO35" s="1746">
        <v>5.0000000000000001E-3</v>
      </c>
      <c r="AP35" s="1745">
        <v>8.9999999999999993E-3</v>
      </c>
      <c r="AQ35" s="1747">
        <v>7.0000000000000001E-3</v>
      </c>
      <c r="AR35" s="1746">
        <v>3.0000000000000001E-3</v>
      </c>
      <c r="AS35" s="1748">
        <v>7.0000000000000007E-2</v>
      </c>
      <c r="AU35" s="3825"/>
      <c r="AV35" s="1741">
        <v>4</v>
      </c>
      <c r="AW35" s="1742">
        <v>0</v>
      </c>
      <c r="AX35" s="1743">
        <v>8.9999999999999993E-3</v>
      </c>
      <c r="AY35" s="1744">
        <v>3.0000000000000001E-3</v>
      </c>
      <c r="AZ35" s="1742">
        <v>7.0000000000000001E-3</v>
      </c>
      <c r="BA35" s="1743">
        <v>8.9999999999999993E-3</v>
      </c>
      <c r="BB35" s="1744">
        <v>5.0000000000000001E-3</v>
      </c>
      <c r="BC35" s="1745">
        <v>2.1000000000000001E-2</v>
      </c>
      <c r="BD35" s="1746">
        <v>5.0000000000000001E-3</v>
      </c>
      <c r="BE35" s="1745">
        <v>1.4999999999999999E-2</v>
      </c>
      <c r="BF35" s="1747">
        <v>8.9999999999999993E-3</v>
      </c>
      <c r="BG35" s="1746">
        <v>4.0000000000000001E-3</v>
      </c>
      <c r="BH35" s="1748">
        <v>8.6999999999999994E-2</v>
      </c>
      <c r="BJ35" s="3825"/>
      <c r="BK35" s="1741">
        <v>4</v>
      </c>
      <c r="BL35" s="1742">
        <v>0</v>
      </c>
      <c r="BM35" s="1743">
        <v>1.0999999999999999E-2</v>
      </c>
      <c r="BN35" s="1744">
        <v>3.0000000000000001E-3</v>
      </c>
      <c r="BO35" s="1742">
        <v>8.0000000000000002E-3</v>
      </c>
      <c r="BP35" s="1743">
        <v>0.01</v>
      </c>
      <c r="BQ35" s="1744">
        <v>6.0000000000000001E-3</v>
      </c>
      <c r="BR35" s="1745">
        <v>2.3E-2</v>
      </c>
      <c r="BS35" s="1746">
        <v>5.0000000000000001E-3</v>
      </c>
      <c r="BT35" s="1745">
        <v>2.1000000000000001E-2</v>
      </c>
      <c r="BU35" s="1747">
        <v>1.0999999999999999E-2</v>
      </c>
      <c r="BV35" s="1746">
        <v>5.0000000000000001E-3</v>
      </c>
      <c r="BW35" s="1748">
        <v>0.10199999999999999</v>
      </c>
      <c r="BY35" s="3825"/>
      <c r="BZ35" s="1741">
        <v>4</v>
      </c>
      <c r="CA35" s="1742">
        <v>0</v>
      </c>
      <c r="CB35" s="1743">
        <v>1.0999999999999999E-2</v>
      </c>
      <c r="CC35" s="1744">
        <v>3.0000000000000001E-3</v>
      </c>
      <c r="CD35" s="1742">
        <v>0.01</v>
      </c>
      <c r="CE35" s="1743">
        <v>0.01</v>
      </c>
      <c r="CF35" s="1744">
        <v>6.0000000000000001E-3</v>
      </c>
      <c r="CG35" s="1745">
        <v>2.5000000000000001E-2</v>
      </c>
      <c r="CH35" s="1746">
        <v>6.0000000000000001E-3</v>
      </c>
      <c r="CI35" s="1745">
        <v>0.03</v>
      </c>
      <c r="CJ35" s="1747">
        <v>1.2999999999999999E-2</v>
      </c>
      <c r="CK35" s="1746">
        <v>5.0000000000000001E-3</v>
      </c>
      <c r="CL35" s="1748">
        <v>0.11899999999999999</v>
      </c>
    </row>
    <row r="36" spans="1:90" s="1728" customFormat="1" ht="13.5" customHeight="1">
      <c r="A36" s="3842"/>
      <c r="B36" s="3843"/>
      <c r="C36" s="1749">
        <v>5</v>
      </c>
      <c r="D36" s="1742">
        <v>0</v>
      </c>
      <c r="E36" s="1743">
        <v>3.0000000000000001E-3</v>
      </c>
      <c r="F36" s="1744">
        <v>1E-3</v>
      </c>
      <c r="G36" s="1742">
        <v>0</v>
      </c>
      <c r="H36" s="1743">
        <v>0</v>
      </c>
      <c r="I36" s="1744">
        <v>1E-3</v>
      </c>
      <c r="J36" s="1745">
        <v>4.0000000000000001E-3</v>
      </c>
      <c r="K36" s="1746">
        <v>0</v>
      </c>
      <c r="L36" s="1745">
        <v>0</v>
      </c>
      <c r="M36" s="1747">
        <v>0</v>
      </c>
      <c r="N36" s="1746">
        <v>2E-3</v>
      </c>
      <c r="O36" s="1748">
        <v>1.2E-2</v>
      </c>
      <c r="Q36" s="3825"/>
      <c r="R36" s="1749">
        <v>5</v>
      </c>
      <c r="S36" s="1742">
        <v>0</v>
      </c>
      <c r="T36" s="1743">
        <v>7.0000000000000001E-3</v>
      </c>
      <c r="U36" s="1744">
        <v>2E-3</v>
      </c>
      <c r="V36" s="1742">
        <v>0</v>
      </c>
      <c r="W36" s="1743">
        <v>2E-3</v>
      </c>
      <c r="X36" s="1744">
        <v>3.0000000000000001E-3</v>
      </c>
      <c r="Y36" s="1745">
        <v>8.0000000000000002E-3</v>
      </c>
      <c r="Z36" s="1746">
        <v>0</v>
      </c>
      <c r="AA36" s="1745">
        <v>0</v>
      </c>
      <c r="AB36" s="1747">
        <v>1E-3</v>
      </c>
      <c r="AC36" s="1746">
        <v>2E-3</v>
      </c>
      <c r="AD36" s="1748">
        <v>2.5000000000000001E-2</v>
      </c>
      <c r="AF36" s="3825"/>
      <c r="AG36" s="1749">
        <v>5</v>
      </c>
      <c r="AH36" s="1742">
        <v>0</v>
      </c>
      <c r="AI36" s="1743">
        <v>8.9999999999999993E-3</v>
      </c>
      <c r="AJ36" s="1744">
        <v>3.0000000000000001E-3</v>
      </c>
      <c r="AK36" s="1742">
        <v>0</v>
      </c>
      <c r="AL36" s="1743">
        <v>6.0000000000000001E-3</v>
      </c>
      <c r="AM36" s="1744">
        <v>5.0000000000000001E-3</v>
      </c>
      <c r="AN36" s="1745">
        <v>0.01</v>
      </c>
      <c r="AO36" s="1746">
        <v>3.0000000000000001E-3</v>
      </c>
      <c r="AP36" s="1745">
        <v>0</v>
      </c>
      <c r="AQ36" s="1747">
        <v>1E-3</v>
      </c>
      <c r="AR36" s="1746">
        <v>2E-3</v>
      </c>
      <c r="AS36" s="1748">
        <v>3.9E-2</v>
      </c>
      <c r="AU36" s="3825"/>
      <c r="AV36" s="1749">
        <v>5</v>
      </c>
      <c r="AW36" s="1742">
        <v>0</v>
      </c>
      <c r="AX36" s="1743">
        <v>0.01</v>
      </c>
      <c r="AY36" s="1744">
        <v>4.0000000000000001E-3</v>
      </c>
      <c r="AZ36" s="1742">
        <v>0</v>
      </c>
      <c r="BA36" s="1743">
        <v>6.0000000000000001E-3</v>
      </c>
      <c r="BB36" s="1744">
        <v>6.0000000000000001E-3</v>
      </c>
      <c r="BC36" s="1745">
        <v>1.2E-2</v>
      </c>
      <c r="BD36" s="1746">
        <v>3.0000000000000001E-3</v>
      </c>
      <c r="BE36" s="1745">
        <v>1E-3</v>
      </c>
      <c r="BF36" s="1747">
        <v>1E-3</v>
      </c>
      <c r="BG36" s="1746">
        <v>2E-3</v>
      </c>
      <c r="BH36" s="1748">
        <v>4.4999999999999998E-2</v>
      </c>
      <c r="BJ36" s="3825"/>
      <c r="BK36" s="1749">
        <v>5</v>
      </c>
      <c r="BL36" s="1742">
        <v>0</v>
      </c>
      <c r="BM36" s="1743">
        <v>1.0999999999999999E-2</v>
      </c>
      <c r="BN36" s="1744">
        <v>4.0000000000000001E-3</v>
      </c>
      <c r="BO36" s="1742">
        <v>0</v>
      </c>
      <c r="BP36" s="1743">
        <v>7.0000000000000001E-3</v>
      </c>
      <c r="BQ36" s="1744">
        <v>6.0000000000000001E-3</v>
      </c>
      <c r="BR36" s="1745">
        <v>1.2999999999999999E-2</v>
      </c>
      <c r="BS36" s="1746">
        <v>3.0000000000000001E-3</v>
      </c>
      <c r="BT36" s="1745">
        <v>1E-3</v>
      </c>
      <c r="BU36" s="1747">
        <v>1E-3</v>
      </c>
      <c r="BV36" s="1746">
        <v>3.0000000000000001E-3</v>
      </c>
      <c r="BW36" s="1748">
        <v>4.9000000000000002E-2</v>
      </c>
      <c r="BY36" s="3825"/>
      <c r="BZ36" s="1749">
        <v>5</v>
      </c>
      <c r="CA36" s="1742">
        <v>0</v>
      </c>
      <c r="CB36" s="1743">
        <v>1.2E-2</v>
      </c>
      <c r="CC36" s="1744">
        <v>4.0000000000000001E-3</v>
      </c>
      <c r="CD36" s="1742">
        <v>1E-3</v>
      </c>
      <c r="CE36" s="1743">
        <v>8.0000000000000002E-3</v>
      </c>
      <c r="CF36" s="1744">
        <v>7.0000000000000001E-3</v>
      </c>
      <c r="CG36" s="1745">
        <v>1.4999999999999999E-2</v>
      </c>
      <c r="CH36" s="1746">
        <v>3.0000000000000001E-3</v>
      </c>
      <c r="CI36" s="1745">
        <v>1E-3</v>
      </c>
      <c r="CJ36" s="1747">
        <v>2E-3</v>
      </c>
      <c r="CK36" s="1746">
        <v>3.0000000000000001E-3</v>
      </c>
      <c r="CL36" s="1748">
        <v>5.5E-2</v>
      </c>
    </row>
    <row r="37" spans="1:90" s="1728" customFormat="1" ht="13.5" customHeight="1" thickBot="1">
      <c r="A37" s="3844"/>
      <c r="B37" s="3845"/>
      <c r="C37" s="1750" t="s">
        <v>1422</v>
      </c>
      <c r="D37" s="1751">
        <v>3.0000000000000001E-3</v>
      </c>
      <c r="E37" s="1752">
        <v>3.7999999999999999E-2</v>
      </c>
      <c r="F37" s="1753">
        <v>2.8000000000000001E-2</v>
      </c>
      <c r="G37" s="1751">
        <v>4.4999999999999998E-2</v>
      </c>
      <c r="H37" s="1752">
        <v>0.06</v>
      </c>
      <c r="I37" s="1753">
        <v>7.0000000000000007E-2</v>
      </c>
      <c r="J37" s="1754">
        <v>0.125</v>
      </c>
      <c r="K37" s="1755">
        <v>0.13</v>
      </c>
      <c r="L37" s="1754">
        <v>0.14599999999999999</v>
      </c>
      <c r="M37" s="1756">
        <v>0.22</v>
      </c>
      <c r="N37" s="1755">
        <v>0.13600000000000001</v>
      </c>
      <c r="O37" s="1757">
        <v>1</v>
      </c>
      <c r="Q37" s="3826"/>
      <c r="R37" s="1750" t="s">
        <v>1422</v>
      </c>
      <c r="S37" s="1751">
        <v>3.0000000000000001E-3</v>
      </c>
      <c r="T37" s="1752">
        <v>3.7999999999999999E-2</v>
      </c>
      <c r="U37" s="1753">
        <v>2.7E-2</v>
      </c>
      <c r="V37" s="1751">
        <v>4.4999999999999998E-2</v>
      </c>
      <c r="W37" s="1752">
        <v>5.8999999999999997E-2</v>
      </c>
      <c r="X37" s="1753">
        <v>7.0000000000000007E-2</v>
      </c>
      <c r="Y37" s="1754">
        <v>0.125</v>
      </c>
      <c r="Z37" s="1755">
        <v>0.129</v>
      </c>
      <c r="AA37" s="1754">
        <v>0.14699999999999999</v>
      </c>
      <c r="AB37" s="1756">
        <v>0.221</v>
      </c>
      <c r="AC37" s="1755">
        <v>0.13600000000000001</v>
      </c>
      <c r="AD37" s="1757">
        <v>1</v>
      </c>
      <c r="AF37" s="3826"/>
      <c r="AG37" s="1750" t="s">
        <v>1422</v>
      </c>
      <c r="AH37" s="1751">
        <v>3.0000000000000001E-3</v>
      </c>
      <c r="AI37" s="1752">
        <v>3.7999999999999999E-2</v>
      </c>
      <c r="AJ37" s="1753">
        <v>2.7E-2</v>
      </c>
      <c r="AK37" s="1751">
        <v>4.4999999999999998E-2</v>
      </c>
      <c r="AL37" s="1752">
        <v>5.8999999999999997E-2</v>
      </c>
      <c r="AM37" s="1753">
        <v>6.9000000000000006E-2</v>
      </c>
      <c r="AN37" s="1754">
        <v>0.124</v>
      </c>
      <c r="AO37" s="1755">
        <v>0.128</v>
      </c>
      <c r="AP37" s="1754">
        <v>0.14799999999999999</v>
      </c>
      <c r="AQ37" s="1756">
        <v>0.222</v>
      </c>
      <c r="AR37" s="1755">
        <v>0.13600000000000001</v>
      </c>
      <c r="AS37" s="1757">
        <v>1</v>
      </c>
      <c r="AU37" s="3826"/>
      <c r="AV37" s="1750" t="s">
        <v>1422</v>
      </c>
      <c r="AW37" s="1751">
        <v>3.0000000000000001E-3</v>
      </c>
      <c r="AX37" s="1752">
        <v>3.7999999999999999E-2</v>
      </c>
      <c r="AY37" s="1753">
        <v>2.7E-2</v>
      </c>
      <c r="AZ37" s="1751">
        <v>4.4999999999999998E-2</v>
      </c>
      <c r="BA37" s="1752">
        <v>5.8999999999999997E-2</v>
      </c>
      <c r="BB37" s="1753">
        <v>6.9000000000000006E-2</v>
      </c>
      <c r="BC37" s="1754">
        <v>0.123</v>
      </c>
      <c r="BD37" s="1755">
        <v>0.127</v>
      </c>
      <c r="BE37" s="1754">
        <v>0.15</v>
      </c>
      <c r="BF37" s="1756">
        <v>0.223</v>
      </c>
      <c r="BG37" s="1755">
        <v>0.13600000000000001</v>
      </c>
      <c r="BH37" s="1757">
        <v>1</v>
      </c>
      <c r="BJ37" s="3826"/>
      <c r="BK37" s="1750" t="s">
        <v>1422</v>
      </c>
      <c r="BL37" s="1751">
        <v>3.0000000000000001E-3</v>
      </c>
      <c r="BM37" s="1752">
        <v>3.7999999999999999E-2</v>
      </c>
      <c r="BN37" s="1753">
        <v>2.7E-2</v>
      </c>
      <c r="BO37" s="1751">
        <v>4.5999999999999999E-2</v>
      </c>
      <c r="BP37" s="1752">
        <v>5.8999999999999997E-2</v>
      </c>
      <c r="BQ37" s="1753">
        <v>6.9000000000000006E-2</v>
      </c>
      <c r="BR37" s="1754">
        <v>0.122</v>
      </c>
      <c r="BS37" s="1755">
        <v>0.127</v>
      </c>
      <c r="BT37" s="1754">
        <v>0.151</v>
      </c>
      <c r="BU37" s="1756">
        <v>0.223</v>
      </c>
      <c r="BV37" s="1755">
        <v>0.13600000000000001</v>
      </c>
      <c r="BW37" s="1757">
        <v>1</v>
      </c>
      <c r="BY37" s="3826"/>
      <c r="BZ37" s="1750" t="s">
        <v>1422</v>
      </c>
      <c r="CA37" s="1751">
        <v>3.0000000000000001E-3</v>
      </c>
      <c r="CB37" s="1752">
        <v>3.7999999999999999E-2</v>
      </c>
      <c r="CC37" s="1753">
        <v>2.7E-2</v>
      </c>
      <c r="CD37" s="1751">
        <v>4.5999999999999999E-2</v>
      </c>
      <c r="CE37" s="1752">
        <v>5.8000000000000003E-2</v>
      </c>
      <c r="CF37" s="1753">
        <v>6.9000000000000006E-2</v>
      </c>
      <c r="CG37" s="1754">
        <v>0.122</v>
      </c>
      <c r="CH37" s="1755">
        <v>0.127</v>
      </c>
      <c r="CI37" s="1754">
        <v>0.151</v>
      </c>
      <c r="CJ37" s="1756">
        <v>0.222</v>
      </c>
      <c r="CK37" s="1755">
        <v>0.13700000000000001</v>
      </c>
      <c r="CL37" s="1757">
        <v>1</v>
      </c>
    </row>
    <row r="38" spans="1:90" s="1728" customFormat="1" ht="13.5" customHeight="1" thickTop="1">
      <c r="A38" s="3840" t="s">
        <v>858</v>
      </c>
      <c r="B38" s="3841"/>
      <c r="C38" s="1733">
        <v>1</v>
      </c>
      <c r="D38" s="1734">
        <v>1E-3</v>
      </c>
      <c r="E38" s="1735">
        <v>4.0000000000000001E-3</v>
      </c>
      <c r="F38" s="1736">
        <v>1.2E-2</v>
      </c>
      <c r="G38" s="1734">
        <v>7.0000000000000001E-3</v>
      </c>
      <c r="H38" s="1735">
        <v>1.2E-2</v>
      </c>
      <c r="I38" s="1736">
        <v>0.04</v>
      </c>
      <c r="J38" s="1737">
        <v>2.1999999999999999E-2</v>
      </c>
      <c r="K38" s="1738">
        <v>8.2000000000000003E-2</v>
      </c>
      <c r="L38" s="1737">
        <v>2.5999999999999999E-2</v>
      </c>
      <c r="M38" s="1739">
        <v>9.5000000000000001E-2</v>
      </c>
      <c r="N38" s="1738">
        <v>0.10299999999999999</v>
      </c>
      <c r="O38" s="1740">
        <v>0.40400000000000003</v>
      </c>
      <c r="Q38" s="3824" t="s">
        <v>858</v>
      </c>
      <c r="R38" s="1733">
        <v>1</v>
      </c>
      <c r="S38" s="1734">
        <v>1E-3</v>
      </c>
      <c r="T38" s="1735">
        <v>4.0000000000000001E-3</v>
      </c>
      <c r="U38" s="1736">
        <v>1.2E-2</v>
      </c>
      <c r="V38" s="1734">
        <v>7.0000000000000001E-3</v>
      </c>
      <c r="W38" s="1735">
        <v>1.2E-2</v>
      </c>
      <c r="X38" s="1736">
        <v>3.9E-2</v>
      </c>
      <c r="Y38" s="1737">
        <v>2.1000000000000001E-2</v>
      </c>
      <c r="Z38" s="1738">
        <v>8.2000000000000003E-2</v>
      </c>
      <c r="AA38" s="1737">
        <v>2.5999999999999999E-2</v>
      </c>
      <c r="AB38" s="1739">
        <v>9.5000000000000001E-2</v>
      </c>
      <c r="AC38" s="1738">
        <v>0.10299999999999999</v>
      </c>
      <c r="AD38" s="1740">
        <v>0.40200000000000002</v>
      </c>
      <c r="AF38" s="3824" t="s">
        <v>858</v>
      </c>
      <c r="AG38" s="1733">
        <v>1</v>
      </c>
      <c r="AH38" s="1734">
        <v>0</v>
      </c>
      <c r="AI38" s="1735">
        <v>3.0000000000000001E-3</v>
      </c>
      <c r="AJ38" s="1736">
        <v>1.0999999999999999E-2</v>
      </c>
      <c r="AK38" s="1734">
        <v>6.0000000000000001E-3</v>
      </c>
      <c r="AL38" s="1735">
        <v>0.01</v>
      </c>
      <c r="AM38" s="1736">
        <v>3.7999999999999999E-2</v>
      </c>
      <c r="AN38" s="1737">
        <v>1.7999999999999999E-2</v>
      </c>
      <c r="AO38" s="1738">
        <v>0.08</v>
      </c>
      <c r="AP38" s="1737">
        <v>2.1000000000000001E-2</v>
      </c>
      <c r="AQ38" s="1739">
        <v>7.8E-2</v>
      </c>
      <c r="AR38" s="1738">
        <v>9.8000000000000004E-2</v>
      </c>
      <c r="AS38" s="1740">
        <v>0.36399999999999999</v>
      </c>
      <c r="AU38" s="3824" t="s">
        <v>858</v>
      </c>
      <c r="AV38" s="1733">
        <v>1</v>
      </c>
      <c r="AW38" s="1734">
        <v>0</v>
      </c>
      <c r="AX38" s="1735">
        <v>3.0000000000000001E-3</v>
      </c>
      <c r="AY38" s="1736">
        <v>0.01</v>
      </c>
      <c r="AZ38" s="1734">
        <v>5.0000000000000001E-3</v>
      </c>
      <c r="BA38" s="1735">
        <v>8.9999999999999993E-3</v>
      </c>
      <c r="BB38" s="1736">
        <v>3.5000000000000003E-2</v>
      </c>
      <c r="BC38" s="1737">
        <v>1.6E-2</v>
      </c>
      <c r="BD38" s="1738">
        <v>7.5999999999999998E-2</v>
      </c>
      <c r="BE38" s="1737">
        <v>1.9E-2</v>
      </c>
      <c r="BF38" s="1739">
        <v>7.4999999999999997E-2</v>
      </c>
      <c r="BG38" s="1738">
        <v>9.7000000000000003E-2</v>
      </c>
      <c r="BH38" s="1740">
        <v>0.34599999999999997</v>
      </c>
      <c r="BJ38" s="3824" t="s">
        <v>858</v>
      </c>
      <c r="BK38" s="1733">
        <v>1</v>
      </c>
      <c r="BL38" s="1734">
        <v>0</v>
      </c>
      <c r="BM38" s="1735">
        <v>2E-3</v>
      </c>
      <c r="BN38" s="1736">
        <v>0.01</v>
      </c>
      <c r="BO38" s="1734">
        <v>5.0000000000000001E-3</v>
      </c>
      <c r="BP38" s="1735">
        <v>8.0000000000000002E-3</v>
      </c>
      <c r="BQ38" s="1736">
        <v>3.4000000000000002E-2</v>
      </c>
      <c r="BR38" s="1737">
        <v>1.6E-2</v>
      </c>
      <c r="BS38" s="1738">
        <v>7.2999999999999995E-2</v>
      </c>
      <c r="BT38" s="1737">
        <v>1.9E-2</v>
      </c>
      <c r="BU38" s="1739">
        <v>7.1999999999999995E-2</v>
      </c>
      <c r="BV38" s="1738">
        <v>9.6000000000000002E-2</v>
      </c>
      <c r="BW38" s="1740">
        <v>0.33600000000000002</v>
      </c>
      <c r="BY38" s="3824" t="s">
        <v>858</v>
      </c>
      <c r="BZ38" s="1733">
        <v>1</v>
      </c>
      <c r="CA38" s="1734">
        <v>0</v>
      </c>
      <c r="CB38" s="1735">
        <v>2E-3</v>
      </c>
      <c r="CC38" s="1736">
        <v>0.01</v>
      </c>
      <c r="CD38" s="1734">
        <v>5.0000000000000001E-3</v>
      </c>
      <c r="CE38" s="1735">
        <v>8.0000000000000002E-3</v>
      </c>
      <c r="CF38" s="1736">
        <v>3.3000000000000002E-2</v>
      </c>
      <c r="CG38" s="1737">
        <v>1.4999999999999999E-2</v>
      </c>
      <c r="CH38" s="1738">
        <v>7.1999999999999995E-2</v>
      </c>
      <c r="CI38" s="1737">
        <v>1.7000000000000001E-2</v>
      </c>
      <c r="CJ38" s="1739">
        <v>6.3E-2</v>
      </c>
      <c r="CK38" s="1738">
        <v>9.1999999999999998E-2</v>
      </c>
      <c r="CL38" s="1740">
        <v>0.316</v>
      </c>
    </row>
    <row r="39" spans="1:90" s="1728" customFormat="1" ht="13.5" customHeight="1">
      <c r="A39" s="3842"/>
      <c r="B39" s="3843"/>
      <c r="C39" s="1741">
        <v>2</v>
      </c>
      <c r="D39" s="1742">
        <v>2E-3</v>
      </c>
      <c r="E39" s="1743">
        <v>0.01</v>
      </c>
      <c r="F39" s="1744">
        <v>8.0000000000000002E-3</v>
      </c>
      <c r="G39" s="1742">
        <v>1.7999999999999999E-2</v>
      </c>
      <c r="H39" s="1743">
        <v>2.1999999999999999E-2</v>
      </c>
      <c r="I39" s="1744">
        <v>1.7000000000000001E-2</v>
      </c>
      <c r="J39" s="1745">
        <v>4.3999999999999997E-2</v>
      </c>
      <c r="K39" s="1746">
        <v>0.03</v>
      </c>
      <c r="L39" s="1745">
        <v>6.9000000000000006E-2</v>
      </c>
      <c r="M39" s="1747">
        <v>8.7999999999999995E-2</v>
      </c>
      <c r="N39" s="1746">
        <v>1.6E-2</v>
      </c>
      <c r="O39" s="1748">
        <v>0.32400000000000001</v>
      </c>
      <c r="Q39" s="3825"/>
      <c r="R39" s="1741">
        <v>2</v>
      </c>
      <c r="S39" s="1742">
        <v>2E-3</v>
      </c>
      <c r="T39" s="1743">
        <v>8.9999999999999993E-3</v>
      </c>
      <c r="U39" s="1744">
        <v>8.0000000000000002E-3</v>
      </c>
      <c r="V39" s="1742">
        <v>1.7999999999999999E-2</v>
      </c>
      <c r="W39" s="1743">
        <v>2.1000000000000001E-2</v>
      </c>
      <c r="X39" s="1744">
        <v>1.7000000000000001E-2</v>
      </c>
      <c r="Y39" s="1745">
        <v>4.2000000000000003E-2</v>
      </c>
      <c r="Z39" s="1746">
        <v>0.03</v>
      </c>
      <c r="AA39" s="1745">
        <v>6.8000000000000005E-2</v>
      </c>
      <c r="AB39" s="1747">
        <v>8.6999999999999994E-2</v>
      </c>
      <c r="AC39" s="1746">
        <v>1.6E-2</v>
      </c>
      <c r="AD39" s="1748">
        <v>0.317</v>
      </c>
      <c r="AF39" s="3825"/>
      <c r="AG39" s="1741">
        <v>2</v>
      </c>
      <c r="AH39" s="1742">
        <v>2E-3</v>
      </c>
      <c r="AI39" s="1743">
        <v>8.0000000000000002E-3</v>
      </c>
      <c r="AJ39" s="1744">
        <v>8.0000000000000002E-3</v>
      </c>
      <c r="AK39" s="1742">
        <v>1.6E-2</v>
      </c>
      <c r="AL39" s="1743">
        <v>1.9E-2</v>
      </c>
      <c r="AM39" s="1744">
        <v>1.7000000000000001E-2</v>
      </c>
      <c r="AN39" s="1745">
        <v>3.7999999999999999E-2</v>
      </c>
      <c r="AO39" s="1746">
        <v>2.9000000000000001E-2</v>
      </c>
      <c r="AP39" s="1745">
        <v>6.0999999999999999E-2</v>
      </c>
      <c r="AQ39" s="1747">
        <v>0.1</v>
      </c>
      <c r="AR39" s="1746">
        <v>0.02</v>
      </c>
      <c r="AS39" s="1748">
        <v>0.317</v>
      </c>
      <c r="AU39" s="3825"/>
      <c r="AV39" s="1741">
        <v>2</v>
      </c>
      <c r="AW39" s="1742">
        <v>2E-3</v>
      </c>
      <c r="AX39" s="1743">
        <v>6.0000000000000001E-3</v>
      </c>
      <c r="AY39" s="1744">
        <v>8.0000000000000002E-3</v>
      </c>
      <c r="AZ39" s="1742">
        <v>1.2999999999999999E-2</v>
      </c>
      <c r="BA39" s="1743">
        <v>1.7999999999999999E-2</v>
      </c>
      <c r="BB39" s="1744">
        <v>1.7999999999999999E-2</v>
      </c>
      <c r="BC39" s="1745">
        <v>3.3000000000000002E-2</v>
      </c>
      <c r="BD39" s="1746">
        <v>0.03</v>
      </c>
      <c r="BE39" s="1745">
        <v>4.7E-2</v>
      </c>
      <c r="BF39" s="1747">
        <v>9.5000000000000001E-2</v>
      </c>
      <c r="BG39" s="1746">
        <v>1.9E-2</v>
      </c>
      <c r="BH39" s="1748">
        <v>0.28799999999999998</v>
      </c>
      <c r="BJ39" s="3825"/>
      <c r="BK39" s="1741">
        <v>2</v>
      </c>
      <c r="BL39" s="1742">
        <v>1E-3</v>
      </c>
      <c r="BM39" s="1743">
        <v>5.0000000000000001E-3</v>
      </c>
      <c r="BN39" s="1744">
        <v>7.0000000000000001E-3</v>
      </c>
      <c r="BO39" s="1742">
        <v>0.01</v>
      </c>
      <c r="BP39" s="1743">
        <v>1.7000000000000001E-2</v>
      </c>
      <c r="BQ39" s="1744">
        <v>1.7999999999999999E-2</v>
      </c>
      <c r="BR39" s="1745">
        <v>0.03</v>
      </c>
      <c r="BS39" s="1746">
        <v>3.2000000000000001E-2</v>
      </c>
      <c r="BT39" s="1745">
        <v>0.04</v>
      </c>
      <c r="BU39" s="1747">
        <v>0.09</v>
      </c>
      <c r="BV39" s="1746">
        <v>1.9E-2</v>
      </c>
      <c r="BW39" s="1748">
        <v>0.26900000000000002</v>
      </c>
      <c r="BY39" s="3825"/>
      <c r="BZ39" s="1741">
        <v>2</v>
      </c>
      <c r="CA39" s="1742">
        <v>1E-3</v>
      </c>
      <c r="CB39" s="1743">
        <v>5.0000000000000001E-3</v>
      </c>
      <c r="CC39" s="1744">
        <v>7.0000000000000001E-3</v>
      </c>
      <c r="CD39" s="1742">
        <v>8.9999999999999993E-3</v>
      </c>
      <c r="CE39" s="1743">
        <v>1.4999999999999999E-2</v>
      </c>
      <c r="CF39" s="1744">
        <v>1.7999999999999999E-2</v>
      </c>
      <c r="CG39" s="1745">
        <v>2.7E-2</v>
      </c>
      <c r="CH39" s="1746">
        <v>3.2000000000000001E-2</v>
      </c>
      <c r="CI39" s="1745">
        <v>3.5000000000000003E-2</v>
      </c>
      <c r="CJ39" s="1747">
        <v>9.2999999999999999E-2</v>
      </c>
      <c r="CK39" s="1746">
        <v>2.1999999999999999E-2</v>
      </c>
      <c r="CL39" s="1748">
        <v>0.26400000000000001</v>
      </c>
    </row>
    <row r="40" spans="1:90" s="1728" customFormat="1" ht="13.5" customHeight="1">
      <c r="A40" s="3842"/>
      <c r="B40" s="3843"/>
      <c r="C40" s="1741">
        <v>3</v>
      </c>
      <c r="D40" s="1742">
        <v>0</v>
      </c>
      <c r="E40" s="1743">
        <v>1.2E-2</v>
      </c>
      <c r="F40" s="1744">
        <v>4.0000000000000001E-3</v>
      </c>
      <c r="G40" s="1742">
        <v>1.7999999999999999E-2</v>
      </c>
      <c r="H40" s="1743">
        <v>1.6E-2</v>
      </c>
      <c r="I40" s="1744">
        <v>8.0000000000000002E-3</v>
      </c>
      <c r="J40" s="1745">
        <v>3.4000000000000002E-2</v>
      </c>
      <c r="K40" s="1746">
        <v>1.2E-2</v>
      </c>
      <c r="L40" s="1745">
        <v>4.4999999999999998E-2</v>
      </c>
      <c r="M40" s="1747">
        <v>2.3E-2</v>
      </c>
      <c r="N40" s="1746">
        <v>5.0000000000000001E-3</v>
      </c>
      <c r="O40" s="1748">
        <v>0.17699999999999999</v>
      </c>
      <c r="Q40" s="3825"/>
      <c r="R40" s="1741">
        <v>3</v>
      </c>
      <c r="S40" s="1742">
        <v>0</v>
      </c>
      <c r="T40" s="1743">
        <v>1.2E-2</v>
      </c>
      <c r="U40" s="1744">
        <v>4.0000000000000001E-3</v>
      </c>
      <c r="V40" s="1742">
        <v>1.9E-2</v>
      </c>
      <c r="W40" s="1743">
        <v>1.6E-2</v>
      </c>
      <c r="X40" s="1744">
        <v>8.0000000000000002E-3</v>
      </c>
      <c r="Y40" s="1745">
        <v>3.5000000000000003E-2</v>
      </c>
      <c r="Z40" s="1746">
        <v>1.2E-2</v>
      </c>
      <c r="AA40" s="1745">
        <v>4.8000000000000001E-2</v>
      </c>
      <c r="AB40" s="1747">
        <v>2.4E-2</v>
      </c>
      <c r="AC40" s="1746">
        <v>6.0000000000000001E-3</v>
      </c>
      <c r="AD40" s="1748">
        <v>0.184</v>
      </c>
      <c r="AF40" s="3825"/>
      <c r="AG40" s="1741">
        <v>3</v>
      </c>
      <c r="AH40" s="1742">
        <v>1E-3</v>
      </c>
      <c r="AI40" s="1743">
        <v>1.2E-2</v>
      </c>
      <c r="AJ40" s="1744">
        <v>4.0000000000000001E-3</v>
      </c>
      <c r="AK40" s="1742">
        <v>2.1000000000000001E-2</v>
      </c>
      <c r="AL40" s="1743">
        <v>1.7999999999999999E-2</v>
      </c>
      <c r="AM40" s="1744">
        <v>8.9999999999999993E-3</v>
      </c>
      <c r="AN40" s="1745">
        <v>3.7999999999999999E-2</v>
      </c>
      <c r="AO40" s="1746">
        <v>1.2E-2</v>
      </c>
      <c r="AP40" s="1745">
        <v>5.7000000000000002E-2</v>
      </c>
      <c r="AQ40" s="1747">
        <v>2.7E-2</v>
      </c>
      <c r="AR40" s="1746">
        <v>6.0000000000000001E-3</v>
      </c>
      <c r="AS40" s="1748">
        <v>0.20499999999999999</v>
      </c>
      <c r="AU40" s="3825"/>
      <c r="AV40" s="1741">
        <v>3</v>
      </c>
      <c r="AW40" s="1742">
        <v>1E-3</v>
      </c>
      <c r="AX40" s="1743">
        <v>1.0999999999999999E-2</v>
      </c>
      <c r="AY40" s="1744">
        <v>4.0000000000000001E-3</v>
      </c>
      <c r="AZ40" s="1742">
        <v>2.3E-2</v>
      </c>
      <c r="BA40" s="1743">
        <v>1.9E-2</v>
      </c>
      <c r="BB40" s="1744">
        <v>8.9999999999999993E-3</v>
      </c>
      <c r="BC40" s="1745">
        <v>3.9E-2</v>
      </c>
      <c r="BD40" s="1746">
        <v>1.2999999999999999E-2</v>
      </c>
      <c r="BE40" s="1745">
        <v>6.9000000000000006E-2</v>
      </c>
      <c r="BF40" s="1747">
        <v>3.3000000000000002E-2</v>
      </c>
      <c r="BG40" s="1746">
        <v>7.0000000000000001E-3</v>
      </c>
      <c r="BH40" s="1748">
        <v>0.22800000000000001</v>
      </c>
      <c r="BJ40" s="3825"/>
      <c r="BK40" s="1741">
        <v>3</v>
      </c>
      <c r="BL40" s="1742">
        <v>1E-3</v>
      </c>
      <c r="BM40" s="1743">
        <v>0.01</v>
      </c>
      <c r="BN40" s="1744">
        <v>4.0000000000000001E-3</v>
      </c>
      <c r="BO40" s="1742">
        <v>2.4E-2</v>
      </c>
      <c r="BP40" s="1743">
        <v>1.9E-2</v>
      </c>
      <c r="BQ40" s="1744">
        <v>8.9999999999999993E-3</v>
      </c>
      <c r="BR40" s="1745">
        <v>3.9E-2</v>
      </c>
      <c r="BS40" s="1746">
        <v>1.2999999999999999E-2</v>
      </c>
      <c r="BT40" s="1745">
        <v>7.0999999999999994E-2</v>
      </c>
      <c r="BU40" s="1747">
        <v>3.9E-2</v>
      </c>
      <c r="BV40" s="1746">
        <v>8.0000000000000002E-3</v>
      </c>
      <c r="BW40" s="1748">
        <v>0.23699999999999999</v>
      </c>
      <c r="BY40" s="3825"/>
      <c r="BZ40" s="1741">
        <v>3</v>
      </c>
      <c r="CA40" s="1742">
        <v>1E-3</v>
      </c>
      <c r="CB40" s="1743">
        <v>8.9999999999999993E-3</v>
      </c>
      <c r="CC40" s="1744">
        <v>4.0000000000000001E-3</v>
      </c>
      <c r="CD40" s="1742">
        <v>2.3E-2</v>
      </c>
      <c r="CE40" s="1743">
        <v>0.02</v>
      </c>
      <c r="CF40" s="1744">
        <v>8.9999999999999993E-3</v>
      </c>
      <c r="CG40" s="1745">
        <v>0.04</v>
      </c>
      <c r="CH40" s="1746">
        <v>1.4E-2</v>
      </c>
      <c r="CI40" s="1745">
        <v>6.8000000000000005E-2</v>
      </c>
      <c r="CJ40" s="1747">
        <v>4.2999999999999997E-2</v>
      </c>
      <c r="CK40" s="1746">
        <v>8.0000000000000002E-3</v>
      </c>
      <c r="CL40" s="1748">
        <v>0.23899999999999999</v>
      </c>
    </row>
    <row r="41" spans="1:90" s="1728" customFormat="1" ht="13.5" customHeight="1">
      <c r="A41" s="3842"/>
      <c r="B41" s="3843"/>
      <c r="C41" s="1741">
        <v>4</v>
      </c>
      <c r="D41" s="1742">
        <v>0</v>
      </c>
      <c r="E41" s="1743">
        <v>1.2E-2</v>
      </c>
      <c r="F41" s="1744">
        <v>4.0000000000000001E-3</v>
      </c>
      <c r="G41" s="1742">
        <v>5.0000000000000001E-3</v>
      </c>
      <c r="H41" s="1743">
        <v>1.2E-2</v>
      </c>
      <c r="I41" s="1744">
        <v>8.0000000000000002E-3</v>
      </c>
      <c r="J41" s="1745">
        <v>0.02</v>
      </c>
      <c r="K41" s="1746">
        <v>6.0000000000000001E-3</v>
      </c>
      <c r="L41" s="1745">
        <v>7.0000000000000001E-3</v>
      </c>
      <c r="M41" s="1747">
        <v>5.0000000000000001E-3</v>
      </c>
      <c r="N41" s="1746">
        <v>3.0000000000000001E-3</v>
      </c>
      <c r="O41" s="1748">
        <v>8.1000000000000003E-2</v>
      </c>
      <c r="Q41" s="3825"/>
      <c r="R41" s="1741">
        <v>4</v>
      </c>
      <c r="S41" s="1742">
        <v>0</v>
      </c>
      <c r="T41" s="1743">
        <v>8.0000000000000002E-3</v>
      </c>
      <c r="U41" s="1744">
        <v>3.0000000000000001E-3</v>
      </c>
      <c r="V41" s="1742">
        <v>3.0000000000000001E-3</v>
      </c>
      <c r="W41" s="1743">
        <v>1.2E-2</v>
      </c>
      <c r="X41" s="1744">
        <v>6.0000000000000001E-3</v>
      </c>
      <c r="Y41" s="1745">
        <v>1.7000000000000001E-2</v>
      </c>
      <c r="Z41" s="1746">
        <v>6.0000000000000001E-3</v>
      </c>
      <c r="AA41" s="1745">
        <v>7.0000000000000001E-3</v>
      </c>
      <c r="AB41" s="1747">
        <v>5.0000000000000001E-3</v>
      </c>
      <c r="AC41" s="1746">
        <v>3.0000000000000001E-3</v>
      </c>
      <c r="AD41" s="1748">
        <v>7.0000000000000007E-2</v>
      </c>
      <c r="AF41" s="3825"/>
      <c r="AG41" s="1741">
        <v>4</v>
      </c>
      <c r="AH41" s="1742">
        <v>0</v>
      </c>
      <c r="AI41" s="1743">
        <v>8.9999999999999993E-3</v>
      </c>
      <c r="AJ41" s="1744">
        <v>3.0000000000000001E-3</v>
      </c>
      <c r="AK41" s="1742">
        <v>4.0000000000000001E-3</v>
      </c>
      <c r="AL41" s="1743">
        <v>8.9999999999999993E-3</v>
      </c>
      <c r="AM41" s="1744">
        <v>5.0000000000000001E-3</v>
      </c>
      <c r="AN41" s="1745">
        <v>1.7999999999999999E-2</v>
      </c>
      <c r="AO41" s="1746">
        <v>5.0000000000000001E-3</v>
      </c>
      <c r="AP41" s="1745">
        <v>8.9999999999999993E-3</v>
      </c>
      <c r="AQ41" s="1747">
        <v>7.0000000000000001E-3</v>
      </c>
      <c r="AR41" s="1746">
        <v>3.0000000000000001E-3</v>
      </c>
      <c r="AS41" s="1748">
        <v>7.1999999999999995E-2</v>
      </c>
      <c r="AU41" s="3825"/>
      <c r="AV41" s="1741">
        <v>4</v>
      </c>
      <c r="AW41" s="1742">
        <v>0</v>
      </c>
      <c r="AX41" s="1743">
        <v>0.01</v>
      </c>
      <c r="AY41" s="1744">
        <v>3.0000000000000001E-3</v>
      </c>
      <c r="AZ41" s="1742">
        <v>7.0000000000000001E-3</v>
      </c>
      <c r="BA41" s="1743">
        <v>0.01</v>
      </c>
      <c r="BB41" s="1744">
        <v>5.0000000000000001E-3</v>
      </c>
      <c r="BC41" s="1745">
        <v>2.1000000000000001E-2</v>
      </c>
      <c r="BD41" s="1746">
        <v>5.0000000000000001E-3</v>
      </c>
      <c r="BE41" s="1745">
        <v>1.4999999999999999E-2</v>
      </c>
      <c r="BF41" s="1747">
        <v>8.9999999999999993E-3</v>
      </c>
      <c r="BG41" s="1746">
        <v>4.0000000000000001E-3</v>
      </c>
      <c r="BH41" s="1748">
        <v>8.8999999999999996E-2</v>
      </c>
      <c r="BJ41" s="3825"/>
      <c r="BK41" s="1741">
        <v>4</v>
      </c>
      <c r="BL41" s="1742">
        <v>0</v>
      </c>
      <c r="BM41" s="1743">
        <v>1.0999999999999999E-2</v>
      </c>
      <c r="BN41" s="1744">
        <v>3.0000000000000001E-3</v>
      </c>
      <c r="BO41" s="1742">
        <v>8.9999999999999993E-3</v>
      </c>
      <c r="BP41" s="1743">
        <v>1.0999999999999999E-2</v>
      </c>
      <c r="BQ41" s="1744">
        <v>6.0000000000000001E-3</v>
      </c>
      <c r="BR41" s="1745">
        <v>2.3E-2</v>
      </c>
      <c r="BS41" s="1746">
        <v>5.0000000000000001E-3</v>
      </c>
      <c r="BT41" s="1745">
        <v>2.1999999999999999E-2</v>
      </c>
      <c r="BU41" s="1747">
        <v>1.0999999999999999E-2</v>
      </c>
      <c r="BV41" s="1746">
        <v>5.0000000000000001E-3</v>
      </c>
      <c r="BW41" s="1748">
        <v>0.104</v>
      </c>
      <c r="BY41" s="3825"/>
      <c r="BZ41" s="1741">
        <v>4</v>
      </c>
      <c r="CA41" s="1742">
        <v>0</v>
      </c>
      <c r="CB41" s="1743">
        <v>1.2E-2</v>
      </c>
      <c r="CC41" s="1744">
        <v>3.0000000000000001E-3</v>
      </c>
      <c r="CD41" s="1742">
        <v>1.0999999999999999E-2</v>
      </c>
      <c r="CE41" s="1743">
        <v>1.0999999999999999E-2</v>
      </c>
      <c r="CF41" s="1744">
        <v>6.0000000000000001E-3</v>
      </c>
      <c r="CG41" s="1745">
        <v>2.5000000000000001E-2</v>
      </c>
      <c r="CH41" s="1746">
        <v>6.0000000000000001E-3</v>
      </c>
      <c r="CI41" s="1745">
        <v>3.1E-2</v>
      </c>
      <c r="CJ41" s="1747">
        <v>1.2999999999999999E-2</v>
      </c>
      <c r="CK41" s="1746">
        <v>5.0000000000000001E-3</v>
      </c>
      <c r="CL41" s="1748">
        <v>0.123</v>
      </c>
    </row>
    <row r="42" spans="1:90" s="1728" customFormat="1" ht="13.5" customHeight="1">
      <c r="A42" s="3842"/>
      <c r="B42" s="3843"/>
      <c r="C42" s="1749">
        <v>5</v>
      </c>
      <c r="D42" s="1742">
        <v>0</v>
      </c>
      <c r="E42" s="1743">
        <v>3.0000000000000001E-3</v>
      </c>
      <c r="F42" s="1744">
        <v>1E-3</v>
      </c>
      <c r="G42" s="1742">
        <v>0</v>
      </c>
      <c r="H42" s="1743">
        <v>0</v>
      </c>
      <c r="I42" s="1744">
        <v>1E-3</v>
      </c>
      <c r="J42" s="1745">
        <v>4.0000000000000001E-3</v>
      </c>
      <c r="K42" s="1746">
        <v>0</v>
      </c>
      <c r="L42" s="1745">
        <v>0</v>
      </c>
      <c r="M42" s="1747">
        <v>0</v>
      </c>
      <c r="N42" s="1746">
        <v>2E-3</v>
      </c>
      <c r="O42" s="1748">
        <v>1.2E-2</v>
      </c>
      <c r="Q42" s="3825"/>
      <c r="R42" s="1749">
        <v>5</v>
      </c>
      <c r="S42" s="1742">
        <v>0</v>
      </c>
      <c r="T42" s="1743">
        <v>8.0000000000000002E-3</v>
      </c>
      <c r="U42" s="1744">
        <v>2E-3</v>
      </c>
      <c r="V42" s="1742">
        <v>0</v>
      </c>
      <c r="W42" s="1743">
        <v>2E-3</v>
      </c>
      <c r="X42" s="1744">
        <v>3.0000000000000001E-3</v>
      </c>
      <c r="Y42" s="1745">
        <v>8.0000000000000002E-3</v>
      </c>
      <c r="Z42" s="1746">
        <v>0</v>
      </c>
      <c r="AA42" s="1745">
        <v>0</v>
      </c>
      <c r="AB42" s="1747">
        <v>1E-3</v>
      </c>
      <c r="AC42" s="1746">
        <v>2E-3</v>
      </c>
      <c r="AD42" s="1748">
        <v>2.5999999999999999E-2</v>
      </c>
      <c r="AF42" s="3825"/>
      <c r="AG42" s="1749">
        <v>5</v>
      </c>
      <c r="AH42" s="1742">
        <v>0</v>
      </c>
      <c r="AI42" s="1743">
        <v>8.9999999999999993E-3</v>
      </c>
      <c r="AJ42" s="1744">
        <v>3.0000000000000001E-3</v>
      </c>
      <c r="AK42" s="1742">
        <v>0</v>
      </c>
      <c r="AL42" s="1743">
        <v>6.0000000000000001E-3</v>
      </c>
      <c r="AM42" s="1744">
        <v>5.0000000000000001E-3</v>
      </c>
      <c r="AN42" s="1745">
        <v>0.01</v>
      </c>
      <c r="AO42" s="1746">
        <v>2E-3</v>
      </c>
      <c r="AP42" s="1745">
        <v>0</v>
      </c>
      <c r="AQ42" s="1747">
        <v>1E-3</v>
      </c>
      <c r="AR42" s="1746">
        <v>2E-3</v>
      </c>
      <c r="AS42" s="1748">
        <v>0.04</v>
      </c>
      <c r="AU42" s="3825"/>
      <c r="AV42" s="1749">
        <v>5</v>
      </c>
      <c r="AW42" s="1742">
        <v>0</v>
      </c>
      <c r="AX42" s="1743">
        <v>0.01</v>
      </c>
      <c r="AY42" s="1744">
        <v>4.0000000000000001E-3</v>
      </c>
      <c r="AZ42" s="1742">
        <v>0</v>
      </c>
      <c r="BA42" s="1743">
        <v>7.0000000000000001E-3</v>
      </c>
      <c r="BB42" s="1744">
        <v>6.0000000000000001E-3</v>
      </c>
      <c r="BC42" s="1745">
        <v>1.2E-2</v>
      </c>
      <c r="BD42" s="1746">
        <v>3.0000000000000001E-3</v>
      </c>
      <c r="BE42" s="1745">
        <v>1E-3</v>
      </c>
      <c r="BF42" s="1747">
        <v>1E-3</v>
      </c>
      <c r="BG42" s="1746">
        <v>3.0000000000000001E-3</v>
      </c>
      <c r="BH42" s="1748">
        <v>4.7E-2</v>
      </c>
      <c r="BJ42" s="3825"/>
      <c r="BK42" s="1749">
        <v>5</v>
      </c>
      <c r="BL42" s="1742">
        <v>0</v>
      </c>
      <c r="BM42" s="1743">
        <v>1.2E-2</v>
      </c>
      <c r="BN42" s="1744">
        <v>4.0000000000000001E-3</v>
      </c>
      <c r="BO42" s="1742">
        <v>0</v>
      </c>
      <c r="BP42" s="1743">
        <v>7.0000000000000001E-3</v>
      </c>
      <c r="BQ42" s="1744">
        <v>7.0000000000000001E-3</v>
      </c>
      <c r="BR42" s="1745">
        <v>1.2999999999999999E-2</v>
      </c>
      <c r="BS42" s="1746">
        <v>3.0000000000000001E-3</v>
      </c>
      <c r="BT42" s="1745">
        <v>1E-3</v>
      </c>
      <c r="BU42" s="1747">
        <v>1E-3</v>
      </c>
      <c r="BV42" s="1746">
        <v>3.0000000000000001E-3</v>
      </c>
      <c r="BW42" s="1748">
        <v>5.0999999999999997E-2</v>
      </c>
      <c r="BY42" s="3825"/>
      <c r="BZ42" s="1749">
        <v>5</v>
      </c>
      <c r="CA42" s="1742">
        <v>0</v>
      </c>
      <c r="CB42" s="1743">
        <v>1.2E-2</v>
      </c>
      <c r="CC42" s="1744">
        <v>4.0000000000000001E-3</v>
      </c>
      <c r="CD42" s="1742">
        <v>1E-3</v>
      </c>
      <c r="CE42" s="1743">
        <v>8.0000000000000002E-3</v>
      </c>
      <c r="CF42" s="1744">
        <v>7.0000000000000001E-3</v>
      </c>
      <c r="CG42" s="1745">
        <v>1.4999999999999999E-2</v>
      </c>
      <c r="CH42" s="1746">
        <v>3.0000000000000001E-3</v>
      </c>
      <c r="CI42" s="1745">
        <v>2E-3</v>
      </c>
      <c r="CJ42" s="1747">
        <v>2E-3</v>
      </c>
      <c r="CK42" s="1746">
        <v>3.0000000000000001E-3</v>
      </c>
      <c r="CL42" s="1748">
        <v>5.7000000000000002E-2</v>
      </c>
    </row>
    <row r="43" spans="1:90" s="1728" customFormat="1" ht="13.5" customHeight="1" thickBot="1">
      <c r="A43" s="3844"/>
      <c r="B43" s="3845"/>
      <c r="C43" s="1750" t="s">
        <v>1422</v>
      </c>
      <c r="D43" s="1751">
        <v>3.0000000000000001E-3</v>
      </c>
      <c r="E43" s="1752">
        <v>4.1000000000000002E-2</v>
      </c>
      <c r="F43" s="1753">
        <v>2.9000000000000001E-2</v>
      </c>
      <c r="G43" s="1751">
        <v>4.8000000000000001E-2</v>
      </c>
      <c r="H43" s="1752">
        <v>6.3E-2</v>
      </c>
      <c r="I43" s="1753">
        <v>7.4999999999999997E-2</v>
      </c>
      <c r="J43" s="1754">
        <v>0.123</v>
      </c>
      <c r="K43" s="1755">
        <v>0.13</v>
      </c>
      <c r="L43" s="1754">
        <v>0.14799999999999999</v>
      </c>
      <c r="M43" s="1756">
        <v>0.21099999999999999</v>
      </c>
      <c r="N43" s="1755">
        <v>0.129</v>
      </c>
      <c r="O43" s="1757">
        <v>1</v>
      </c>
      <c r="Q43" s="3826"/>
      <c r="R43" s="1750" t="s">
        <v>1422</v>
      </c>
      <c r="S43" s="1751">
        <v>3.0000000000000001E-3</v>
      </c>
      <c r="T43" s="1752">
        <v>0.04</v>
      </c>
      <c r="U43" s="1753">
        <v>2.9000000000000001E-2</v>
      </c>
      <c r="V43" s="1751">
        <v>4.8000000000000001E-2</v>
      </c>
      <c r="W43" s="1752">
        <v>6.3E-2</v>
      </c>
      <c r="X43" s="1753">
        <v>7.3999999999999996E-2</v>
      </c>
      <c r="Y43" s="1754">
        <v>0.123</v>
      </c>
      <c r="Z43" s="1755">
        <v>0.129</v>
      </c>
      <c r="AA43" s="1754">
        <v>0.14899999999999999</v>
      </c>
      <c r="AB43" s="1756">
        <v>0.21199999999999999</v>
      </c>
      <c r="AC43" s="1755">
        <v>0.13</v>
      </c>
      <c r="AD43" s="1757">
        <v>1</v>
      </c>
      <c r="AF43" s="3826"/>
      <c r="AG43" s="1750" t="s">
        <v>1422</v>
      </c>
      <c r="AH43" s="1751">
        <v>3.0000000000000001E-3</v>
      </c>
      <c r="AI43" s="1752">
        <v>0.04</v>
      </c>
      <c r="AJ43" s="1753">
        <v>2.9000000000000001E-2</v>
      </c>
      <c r="AK43" s="1751">
        <v>4.8000000000000001E-2</v>
      </c>
      <c r="AL43" s="1752">
        <v>6.3E-2</v>
      </c>
      <c r="AM43" s="1753">
        <v>7.3999999999999996E-2</v>
      </c>
      <c r="AN43" s="1754">
        <v>0.123</v>
      </c>
      <c r="AO43" s="1755">
        <v>0.128</v>
      </c>
      <c r="AP43" s="1754">
        <v>0.15</v>
      </c>
      <c r="AQ43" s="1756">
        <v>0.21299999999999999</v>
      </c>
      <c r="AR43" s="1755">
        <v>0.13</v>
      </c>
      <c r="AS43" s="1757">
        <v>1</v>
      </c>
      <c r="AU43" s="3826"/>
      <c r="AV43" s="1750" t="s">
        <v>1422</v>
      </c>
      <c r="AW43" s="1751">
        <v>3.0000000000000001E-3</v>
      </c>
      <c r="AX43" s="1752">
        <v>0.04</v>
      </c>
      <c r="AY43" s="1753">
        <v>2.9000000000000001E-2</v>
      </c>
      <c r="AZ43" s="1751">
        <v>4.8000000000000001E-2</v>
      </c>
      <c r="BA43" s="1752">
        <v>6.2E-2</v>
      </c>
      <c r="BB43" s="1753">
        <v>7.2999999999999995E-2</v>
      </c>
      <c r="BC43" s="1754">
        <v>0.122</v>
      </c>
      <c r="BD43" s="1755">
        <v>0.127</v>
      </c>
      <c r="BE43" s="1754">
        <v>0.151</v>
      </c>
      <c r="BF43" s="1756">
        <v>0.214</v>
      </c>
      <c r="BG43" s="1755">
        <v>0.13</v>
      </c>
      <c r="BH43" s="1757">
        <v>1</v>
      </c>
      <c r="BJ43" s="3826"/>
      <c r="BK43" s="1750" t="s">
        <v>1422</v>
      </c>
      <c r="BL43" s="1751">
        <v>3.0000000000000001E-3</v>
      </c>
      <c r="BM43" s="1752">
        <v>0.04</v>
      </c>
      <c r="BN43" s="1753">
        <v>2.9000000000000001E-2</v>
      </c>
      <c r="BO43" s="1751">
        <v>4.8000000000000001E-2</v>
      </c>
      <c r="BP43" s="1752">
        <v>6.2E-2</v>
      </c>
      <c r="BQ43" s="1753">
        <v>7.3999999999999996E-2</v>
      </c>
      <c r="BR43" s="1754">
        <v>0.121</v>
      </c>
      <c r="BS43" s="1755">
        <v>0.127</v>
      </c>
      <c r="BT43" s="1754">
        <v>0.152</v>
      </c>
      <c r="BU43" s="1756">
        <v>0.214</v>
      </c>
      <c r="BV43" s="1755">
        <v>0.13</v>
      </c>
      <c r="BW43" s="1757">
        <v>1</v>
      </c>
      <c r="BY43" s="3826"/>
      <c r="BZ43" s="1750" t="s">
        <v>1422</v>
      </c>
      <c r="CA43" s="1751">
        <v>3.0000000000000001E-3</v>
      </c>
      <c r="CB43" s="1752">
        <v>0.04</v>
      </c>
      <c r="CC43" s="1753">
        <v>2.9000000000000001E-2</v>
      </c>
      <c r="CD43" s="1751">
        <v>4.8000000000000001E-2</v>
      </c>
      <c r="CE43" s="1752">
        <v>6.2E-2</v>
      </c>
      <c r="CF43" s="1753">
        <v>7.3999999999999996E-2</v>
      </c>
      <c r="CG43" s="1754">
        <v>0.12</v>
      </c>
      <c r="CH43" s="1755">
        <v>0.127</v>
      </c>
      <c r="CI43" s="1754">
        <v>0.153</v>
      </c>
      <c r="CJ43" s="1756">
        <v>0.214</v>
      </c>
      <c r="CK43" s="1755">
        <v>0.13100000000000001</v>
      </c>
      <c r="CL43" s="1757">
        <v>1</v>
      </c>
    </row>
    <row r="44" spans="1:90" s="1728" customFormat="1" ht="13.5" customHeight="1" thickTop="1">
      <c r="A44" s="3840" t="s">
        <v>859</v>
      </c>
      <c r="B44" s="3841"/>
      <c r="C44" s="1733">
        <v>1</v>
      </c>
      <c r="D44" s="1734">
        <v>0</v>
      </c>
      <c r="E44" s="1735">
        <v>0</v>
      </c>
      <c r="F44" s="1736">
        <v>0</v>
      </c>
      <c r="G44" s="1734">
        <v>1.2E-2</v>
      </c>
      <c r="H44" s="1735">
        <v>1.7999999999999999E-2</v>
      </c>
      <c r="I44" s="1736">
        <v>5.2999999999999999E-2</v>
      </c>
      <c r="J44" s="1737">
        <v>2.1999999999999999E-2</v>
      </c>
      <c r="K44" s="1738">
        <v>5.8000000000000003E-2</v>
      </c>
      <c r="L44" s="1737">
        <v>3.9E-2</v>
      </c>
      <c r="M44" s="1739">
        <v>0.23599999999999999</v>
      </c>
      <c r="N44" s="1738">
        <v>0.156</v>
      </c>
      <c r="O44" s="1740">
        <v>0.59399999999999997</v>
      </c>
      <c r="Q44" s="3824" t="s">
        <v>859</v>
      </c>
      <c r="R44" s="1733">
        <v>1</v>
      </c>
      <c r="S44" s="1734">
        <v>0</v>
      </c>
      <c r="T44" s="1735">
        <v>0</v>
      </c>
      <c r="U44" s="1736">
        <v>0</v>
      </c>
      <c r="V44" s="1734">
        <v>1.2999999999999999E-2</v>
      </c>
      <c r="W44" s="1735">
        <v>1.9E-2</v>
      </c>
      <c r="X44" s="1736">
        <v>5.2999999999999999E-2</v>
      </c>
      <c r="Y44" s="1737">
        <v>2.1999999999999999E-2</v>
      </c>
      <c r="Z44" s="1738">
        <v>5.8999999999999997E-2</v>
      </c>
      <c r="AA44" s="1737">
        <v>3.9E-2</v>
      </c>
      <c r="AB44" s="1739">
        <v>0.23400000000000001</v>
      </c>
      <c r="AC44" s="1738">
        <v>0.155</v>
      </c>
      <c r="AD44" s="1740">
        <v>0.59399999999999997</v>
      </c>
      <c r="AF44" s="3824" t="s">
        <v>859</v>
      </c>
      <c r="AG44" s="1733">
        <v>1</v>
      </c>
      <c r="AH44" s="1734">
        <v>0</v>
      </c>
      <c r="AI44" s="1735">
        <v>0</v>
      </c>
      <c r="AJ44" s="1736">
        <v>0</v>
      </c>
      <c r="AK44" s="1734">
        <v>1.0999999999999999E-2</v>
      </c>
      <c r="AL44" s="1735">
        <v>1.4999999999999999E-2</v>
      </c>
      <c r="AM44" s="1736">
        <v>5.1999999999999998E-2</v>
      </c>
      <c r="AN44" s="1737">
        <v>0.02</v>
      </c>
      <c r="AO44" s="1738">
        <v>5.8000000000000003E-2</v>
      </c>
      <c r="AP44" s="1737">
        <v>3.6999999999999998E-2</v>
      </c>
      <c r="AQ44" s="1739">
        <v>0.215</v>
      </c>
      <c r="AR44" s="1738">
        <v>0.14899999999999999</v>
      </c>
      <c r="AS44" s="1740">
        <v>0.55700000000000005</v>
      </c>
      <c r="AU44" s="3824" t="s">
        <v>859</v>
      </c>
      <c r="AV44" s="1733">
        <v>1</v>
      </c>
      <c r="AW44" s="1734">
        <v>0</v>
      </c>
      <c r="AX44" s="1735">
        <v>0</v>
      </c>
      <c r="AY44" s="1736">
        <v>0</v>
      </c>
      <c r="AZ44" s="1734">
        <v>0.01</v>
      </c>
      <c r="BA44" s="1735">
        <v>1.4E-2</v>
      </c>
      <c r="BB44" s="1736">
        <v>4.9000000000000002E-2</v>
      </c>
      <c r="BC44" s="1737">
        <v>1.7000000000000001E-2</v>
      </c>
      <c r="BD44" s="1738">
        <v>5.7000000000000002E-2</v>
      </c>
      <c r="BE44" s="1737">
        <v>0.03</v>
      </c>
      <c r="BF44" s="1739">
        <v>0.20399999999999999</v>
      </c>
      <c r="BG44" s="1738">
        <v>0.14599999999999999</v>
      </c>
      <c r="BH44" s="1740">
        <v>0.52600000000000002</v>
      </c>
      <c r="BJ44" s="3824" t="s">
        <v>859</v>
      </c>
      <c r="BK44" s="1733">
        <v>1</v>
      </c>
      <c r="BL44" s="1734">
        <v>0</v>
      </c>
      <c r="BM44" s="1735">
        <v>0</v>
      </c>
      <c r="BN44" s="1736">
        <v>0</v>
      </c>
      <c r="BO44" s="1734">
        <v>8.9999999999999993E-3</v>
      </c>
      <c r="BP44" s="1735">
        <v>1.4E-2</v>
      </c>
      <c r="BQ44" s="1736">
        <v>4.8000000000000001E-2</v>
      </c>
      <c r="BR44" s="1737">
        <v>1.7000000000000001E-2</v>
      </c>
      <c r="BS44" s="1738">
        <v>5.5E-2</v>
      </c>
      <c r="BT44" s="1737">
        <v>2.9000000000000001E-2</v>
      </c>
      <c r="BU44" s="1739">
        <v>0.19800000000000001</v>
      </c>
      <c r="BV44" s="1738">
        <v>0.14599999999999999</v>
      </c>
      <c r="BW44" s="1740">
        <v>0.51500000000000001</v>
      </c>
      <c r="BY44" s="3824" t="s">
        <v>859</v>
      </c>
      <c r="BZ44" s="1733">
        <v>1</v>
      </c>
      <c r="CA44" s="1734">
        <v>0</v>
      </c>
      <c r="CB44" s="1735">
        <v>0</v>
      </c>
      <c r="CC44" s="1736">
        <v>0</v>
      </c>
      <c r="CD44" s="1734">
        <v>8.0000000000000002E-3</v>
      </c>
      <c r="CE44" s="1735">
        <v>1.2999999999999999E-2</v>
      </c>
      <c r="CF44" s="1736">
        <v>4.8000000000000001E-2</v>
      </c>
      <c r="CG44" s="1737">
        <v>1.6E-2</v>
      </c>
      <c r="CH44" s="1738">
        <v>5.3999999999999999E-2</v>
      </c>
      <c r="CI44" s="1737">
        <v>2.4E-2</v>
      </c>
      <c r="CJ44" s="1739">
        <v>0.19500000000000001</v>
      </c>
      <c r="CK44" s="1738">
        <v>0.14399999999999999</v>
      </c>
      <c r="CL44" s="1740">
        <v>0.502</v>
      </c>
    </row>
    <row r="45" spans="1:90" s="1728" customFormat="1" ht="13.5" customHeight="1">
      <c r="A45" s="3842"/>
      <c r="B45" s="3843"/>
      <c r="C45" s="1741">
        <v>2</v>
      </c>
      <c r="D45" s="1742">
        <v>0</v>
      </c>
      <c r="E45" s="1743">
        <v>0</v>
      </c>
      <c r="F45" s="1744">
        <v>0</v>
      </c>
      <c r="G45" s="1742">
        <v>2.4E-2</v>
      </c>
      <c r="H45" s="1743">
        <v>0.03</v>
      </c>
      <c r="I45" s="1744">
        <v>1.6E-2</v>
      </c>
      <c r="J45" s="1745">
        <v>3.5000000000000003E-2</v>
      </c>
      <c r="K45" s="1746">
        <v>1.4999999999999999E-2</v>
      </c>
      <c r="L45" s="1745">
        <v>0.03</v>
      </c>
      <c r="M45" s="1747">
        <v>8.6999999999999994E-2</v>
      </c>
      <c r="N45" s="1746">
        <v>0.02</v>
      </c>
      <c r="O45" s="1748">
        <v>0.25800000000000001</v>
      </c>
      <c r="Q45" s="3825"/>
      <c r="R45" s="1741">
        <v>2</v>
      </c>
      <c r="S45" s="1742">
        <v>0</v>
      </c>
      <c r="T45" s="1743">
        <v>0</v>
      </c>
      <c r="U45" s="1744">
        <v>0</v>
      </c>
      <c r="V45" s="1742">
        <v>2.5000000000000001E-2</v>
      </c>
      <c r="W45" s="1743">
        <v>3.3000000000000002E-2</v>
      </c>
      <c r="X45" s="1744">
        <v>1.6E-2</v>
      </c>
      <c r="Y45" s="1745">
        <v>3.4000000000000002E-2</v>
      </c>
      <c r="Z45" s="1746">
        <v>1.4999999999999999E-2</v>
      </c>
      <c r="AA45" s="1745">
        <v>2.8000000000000001E-2</v>
      </c>
      <c r="AB45" s="1747">
        <v>8.6999999999999994E-2</v>
      </c>
      <c r="AC45" s="1746">
        <v>0.02</v>
      </c>
      <c r="AD45" s="1748">
        <v>0.25900000000000001</v>
      </c>
      <c r="AF45" s="3825"/>
      <c r="AG45" s="1741">
        <v>2</v>
      </c>
      <c r="AH45" s="1742">
        <v>0</v>
      </c>
      <c r="AI45" s="1743">
        <v>0</v>
      </c>
      <c r="AJ45" s="1744">
        <v>0</v>
      </c>
      <c r="AK45" s="1742">
        <v>0.02</v>
      </c>
      <c r="AL45" s="1743">
        <v>3.2000000000000001E-2</v>
      </c>
      <c r="AM45" s="1744">
        <v>1.6E-2</v>
      </c>
      <c r="AN45" s="1745">
        <v>3.4000000000000002E-2</v>
      </c>
      <c r="AO45" s="1746">
        <v>1.4999999999999999E-2</v>
      </c>
      <c r="AP45" s="1745">
        <v>2.9000000000000001E-2</v>
      </c>
      <c r="AQ45" s="1747">
        <v>0.106</v>
      </c>
      <c r="AR45" s="1746">
        <v>2.5000000000000001E-2</v>
      </c>
      <c r="AS45" s="1748">
        <v>0.27700000000000002</v>
      </c>
      <c r="AU45" s="3825"/>
      <c r="AV45" s="1741">
        <v>2</v>
      </c>
      <c r="AW45" s="1742">
        <v>0</v>
      </c>
      <c r="AX45" s="1743">
        <v>0</v>
      </c>
      <c r="AY45" s="1744">
        <v>0</v>
      </c>
      <c r="AZ45" s="1742">
        <v>1.7999999999999999E-2</v>
      </c>
      <c r="BA45" s="1743">
        <v>2.9000000000000001E-2</v>
      </c>
      <c r="BB45" s="1744">
        <v>1.7000000000000001E-2</v>
      </c>
      <c r="BC45" s="1745">
        <v>3.2000000000000001E-2</v>
      </c>
      <c r="BD45" s="1746">
        <v>1.4999999999999999E-2</v>
      </c>
      <c r="BE45" s="1745">
        <v>3.4000000000000002E-2</v>
      </c>
      <c r="BF45" s="1747">
        <v>0.111</v>
      </c>
      <c r="BG45" s="1746">
        <v>2.5000000000000001E-2</v>
      </c>
      <c r="BH45" s="1748">
        <v>0.28000000000000003</v>
      </c>
      <c r="BJ45" s="3825"/>
      <c r="BK45" s="1741">
        <v>2</v>
      </c>
      <c r="BL45" s="1742">
        <v>0</v>
      </c>
      <c r="BM45" s="1743">
        <v>0</v>
      </c>
      <c r="BN45" s="1744">
        <v>0</v>
      </c>
      <c r="BO45" s="1742">
        <v>1.4999999999999999E-2</v>
      </c>
      <c r="BP45" s="1743">
        <v>2.5999999999999999E-2</v>
      </c>
      <c r="BQ45" s="1744">
        <v>1.7000000000000001E-2</v>
      </c>
      <c r="BR45" s="1745">
        <v>0.03</v>
      </c>
      <c r="BS45" s="1746">
        <v>1.4999999999999999E-2</v>
      </c>
      <c r="BT45" s="1745">
        <v>3.4000000000000002E-2</v>
      </c>
      <c r="BU45" s="1747">
        <v>0.11</v>
      </c>
      <c r="BV45" s="1746">
        <v>2.5000000000000001E-2</v>
      </c>
      <c r="BW45" s="1748">
        <v>0.27200000000000002</v>
      </c>
      <c r="BY45" s="3825"/>
      <c r="BZ45" s="1741">
        <v>2</v>
      </c>
      <c r="CA45" s="1742">
        <v>0</v>
      </c>
      <c r="CB45" s="1743">
        <v>0</v>
      </c>
      <c r="CC45" s="1744">
        <v>0</v>
      </c>
      <c r="CD45" s="1742">
        <v>1.4E-2</v>
      </c>
      <c r="CE45" s="1743">
        <v>2.1999999999999999E-2</v>
      </c>
      <c r="CF45" s="1744">
        <v>1.6E-2</v>
      </c>
      <c r="CG45" s="1745">
        <v>2.7E-2</v>
      </c>
      <c r="CH45" s="1746">
        <v>1.6E-2</v>
      </c>
      <c r="CI45" s="1745">
        <v>3.4000000000000002E-2</v>
      </c>
      <c r="CJ45" s="1747">
        <v>0.111</v>
      </c>
      <c r="CK45" s="1746">
        <v>2.5999999999999999E-2</v>
      </c>
      <c r="CL45" s="1748">
        <v>0.26700000000000002</v>
      </c>
    </row>
    <row r="46" spans="1:90" s="1728" customFormat="1" ht="13.5" customHeight="1">
      <c r="A46" s="3842"/>
      <c r="B46" s="3843"/>
      <c r="C46" s="1741">
        <v>3</v>
      </c>
      <c r="D46" s="1742">
        <v>0</v>
      </c>
      <c r="E46" s="1743">
        <v>0</v>
      </c>
      <c r="F46" s="1744">
        <v>0</v>
      </c>
      <c r="G46" s="1742">
        <v>1.6E-2</v>
      </c>
      <c r="H46" s="1743">
        <v>1.7999999999999999E-2</v>
      </c>
      <c r="I46" s="1744">
        <v>6.0000000000000001E-3</v>
      </c>
      <c r="J46" s="1745">
        <v>2.5000000000000001E-2</v>
      </c>
      <c r="K46" s="1746">
        <v>2E-3</v>
      </c>
      <c r="L46" s="1745">
        <v>5.0000000000000001E-3</v>
      </c>
      <c r="M46" s="1747">
        <v>1.7000000000000001E-2</v>
      </c>
      <c r="N46" s="1746">
        <v>4.0000000000000001E-3</v>
      </c>
      <c r="O46" s="1748">
        <v>9.2999999999999999E-2</v>
      </c>
      <c r="Q46" s="3825"/>
      <c r="R46" s="1741">
        <v>3</v>
      </c>
      <c r="S46" s="1742">
        <v>0</v>
      </c>
      <c r="T46" s="1743">
        <v>0</v>
      </c>
      <c r="U46" s="1744">
        <v>0</v>
      </c>
      <c r="V46" s="1742">
        <v>1.6E-2</v>
      </c>
      <c r="W46" s="1743">
        <v>1.7999999999999999E-2</v>
      </c>
      <c r="X46" s="1744">
        <v>6.0000000000000001E-3</v>
      </c>
      <c r="Y46" s="1745">
        <v>2.5000000000000001E-2</v>
      </c>
      <c r="Z46" s="1746">
        <v>2E-3</v>
      </c>
      <c r="AA46" s="1745">
        <v>7.0000000000000001E-3</v>
      </c>
      <c r="AB46" s="1747">
        <v>1.6E-2</v>
      </c>
      <c r="AC46" s="1746">
        <v>5.0000000000000001E-3</v>
      </c>
      <c r="AD46" s="1748">
        <v>9.4E-2</v>
      </c>
      <c r="AF46" s="3825"/>
      <c r="AG46" s="1741">
        <v>3</v>
      </c>
      <c r="AH46" s="1742">
        <v>0</v>
      </c>
      <c r="AI46" s="1743">
        <v>0</v>
      </c>
      <c r="AJ46" s="1744">
        <v>0</v>
      </c>
      <c r="AK46" s="1742">
        <v>2.1000000000000001E-2</v>
      </c>
      <c r="AL46" s="1743">
        <v>0.02</v>
      </c>
      <c r="AM46" s="1744">
        <v>7.0000000000000001E-3</v>
      </c>
      <c r="AN46" s="1745">
        <v>2.5000000000000001E-2</v>
      </c>
      <c r="AO46" s="1746">
        <v>2E-3</v>
      </c>
      <c r="AP46" s="1745">
        <v>8.9999999999999993E-3</v>
      </c>
      <c r="AQ46" s="1747">
        <v>1.7000000000000001E-2</v>
      </c>
      <c r="AR46" s="1746">
        <v>6.0000000000000001E-3</v>
      </c>
      <c r="AS46" s="1748">
        <v>0.106</v>
      </c>
      <c r="AU46" s="3825"/>
      <c r="AV46" s="1741">
        <v>3</v>
      </c>
      <c r="AW46" s="1742">
        <v>0</v>
      </c>
      <c r="AX46" s="1743">
        <v>0</v>
      </c>
      <c r="AY46" s="1744">
        <v>0</v>
      </c>
      <c r="AZ46" s="1742">
        <v>2.1999999999999999E-2</v>
      </c>
      <c r="BA46" s="1743">
        <v>2.4E-2</v>
      </c>
      <c r="BB46" s="1744">
        <v>8.0000000000000002E-3</v>
      </c>
      <c r="BC46" s="1745">
        <v>2.5999999999999999E-2</v>
      </c>
      <c r="BD46" s="1746">
        <v>2E-3</v>
      </c>
      <c r="BE46" s="1745">
        <v>1.4999999999999999E-2</v>
      </c>
      <c r="BF46" s="1747">
        <v>2.1999999999999999E-2</v>
      </c>
      <c r="BG46" s="1746">
        <v>7.0000000000000001E-3</v>
      </c>
      <c r="BH46" s="1748">
        <v>0.126</v>
      </c>
      <c r="BJ46" s="3825"/>
      <c r="BK46" s="1741">
        <v>3</v>
      </c>
      <c r="BL46" s="1742">
        <v>0</v>
      </c>
      <c r="BM46" s="1743">
        <v>0</v>
      </c>
      <c r="BN46" s="1744">
        <v>0</v>
      </c>
      <c r="BO46" s="1742">
        <v>2.4E-2</v>
      </c>
      <c r="BP46" s="1743">
        <v>2.5000000000000001E-2</v>
      </c>
      <c r="BQ46" s="1744">
        <v>8.0000000000000002E-3</v>
      </c>
      <c r="BR46" s="1745">
        <v>2.5999999999999999E-2</v>
      </c>
      <c r="BS46" s="1746">
        <v>2E-3</v>
      </c>
      <c r="BT46" s="1745">
        <v>1.4999999999999999E-2</v>
      </c>
      <c r="BU46" s="1747">
        <v>2.7E-2</v>
      </c>
      <c r="BV46" s="1746">
        <v>7.0000000000000001E-3</v>
      </c>
      <c r="BW46" s="1748">
        <v>0.13500000000000001</v>
      </c>
      <c r="BY46" s="3825"/>
      <c r="BZ46" s="1741">
        <v>3</v>
      </c>
      <c r="CA46" s="1742">
        <v>0</v>
      </c>
      <c r="CB46" s="1743">
        <v>0</v>
      </c>
      <c r="CC46" s="1744">
        <v>0</v>
      </c>
      <c r="CD46" s="1742">
        <v>2.3E-2</v>
      </c>
      <c r="CE46" s="1743">
        <v>2.8000000000000001E-2</v>
      </c>
      <c r="CF46" s="1744">
        <v>8.0000000000000002E-3</v>
      </c>
      <c r="CG46" s="1745">
        <v>2.7E-2</v>
      </c>
      <c r="CH46" s="1746">
        <v>2E-3</v>
      </c>
      <c r="CI46" s="1745">
        <v>1.7999999999999999E-2</v>
      </c>
      <c r="CJ46" s="1747">
        <v>2.9000000000000001E-2</v>
      </c>
      <c r="CK46" s="1746">
        <v>8.0000000000000002E-3</v>
      </c>
      <c r="CL46" s="1748">
        <v>0.14299999999999999</v>
      </c>
    </row>
    <row r="47" spans="1:90" s="1728" customFormat="1" ht="13.5" customHeight="1">
      <c r="A47" s="3842"/>
      <c r="B47" s="3843"/>
      <c r="C47" s="1741">
        <v>4</v>
      </c>
      <c r="D47" s="1742">
        <v>0</v>
      </c>
      <c r="E47" s="1743">
        <v>0</v>
      </c>
      <c r="F47" s="1744">
        <v>0</v>
      </c>
      <c r="G47" s="1742">
        <v>6.0000000000000001E-3</v>
      </c>
      <c r="H47" s="1743">
        <v>1.0999999999999999E-2</v>
      </c>
      <c r="I47" s="1744">
        <v>1E-3</v>
      </c>
      <c r="J47" s="1745">
        <v>1.4E-2</v>
      </c>
      <c r="K47" s="1746">
        <v>0</v>
      </c>
      <c r="L47" s="1745">
        <v>1E-3</v>
      </c>
      <c r="M47" s="1747">
        <v>5.0000000000000001E-3</v>
      </c>
      <c r="N47" s="1746">
        <v>2E-3</v>
      </c>
      <c r="O47" s="1748">
        <v>4.2000000000000003E-2</v>
      </c>
      <c r="Q47" s="3825"/>
      <c r="R47" s="1741">
        <v>4</v>
      </c>
      <c r="S47" s="1742">
        <v>0</v>
      </c>
      <c r="T47" s="1743">
        <v>0</v>
      </c>
      <c r="U47" s="1744">
        <v>0</v>
      </c>
      <c r="V47" s="1742">
        <v>4.0000000000000001E-3</v>
      </c>
      <c r="W47" s="1743">
        <v>8.0000000000000002E-3</v>
      </c>
      <c r="X47" s="1744">
        <v>1E-3</v>
      </c>
      <c r="Y47" s="1745">
        <v>1.4999999999999999E-2</v>
      </c>
      <c r="Z47" s="1746">
        <v>0</v>
      </c>
      <c r="AA47" s="1745">
        <v>1E-3</v>
      </c>
      <c r="AB47" s="1747">
        <v>5.0000000000000001E-3</v>
      </c>
      <c r="AC47" s="1746">
        <v>2E-3</v>
      </c>
      <c r="AD47" s="1748">
        <v>3.6999999999999998E-2</v>
      </c>
      <c r="AF47" s="3825"/>
      <c r="AG47" s="1741">
        <v>4</v>
      </c>
      <c r="AH47" s="1742">
        <v>0</v>
      </c>
      <c r="AI47" s="1743">
        <v>0</v>
      </c>
      <c r="AJ47" s="1744">
        <v>0</v>
      </c>
      <c r="AK47" s="1742">
        <v>6.0000000000000001E-3</v>
      </c>
      <c r="AL47" s="1743">
        <v>8.9999999999999993E-3</v>
      </c>
      <c r="AM47" s="1744">
        <v>1E-3</v>
      </c>
      <c r="AN47" s="1745">
        <v>1.7000000000000001E-2</v>
      </c>
      <c r="AO47" s="1746">
        <v>1E-3</v>
      </c>
      <c r="AP47" s="1745">
        <v>2E-3</v>
      </c>
      <c r="AQ47" s="1747">
        <v>6.0000000000000001E-3</v>
      </c>
      <c r="AR47" s="1746">
        <v>2E-3</v>
      </c>
      <c r="AS47" s="1748">
        <v>4.2999999999999997E-2</v>
      </c>
      <c r="AU47" s="3825"/>
      <c r="AV47" s="1741">
        <v>4</v>
      </c>
      <c r="AW47" s="1742">
        <v>0</v>
      </c>
      <c r="AX47" s="1743">
        <v>0</v>
      </c>
      <c r="AY47" s="1744">
        <v>0</v>
      </c>
      <c r="AZ47" s="1742">
        <v>8.9999999999999993E-3</v>
      </c>
      <c r="BA47" s="1743">
        <v>8.9999999999999993E-3</v>
      </c>
      <c r="BB47" s="1744">
        <v>1E-3</v>
      </c>
      <c r="BC47" s="1745">
        <v>1.6E-2</v>
      </c>
      <c r="BD47" s="1746">
        <v>1E-3</v>
      </c>
      <c r="BE47" s="1745">
        <v>2E-3</v>
      </c>
      <c r="BF47" s="1747">
        <v>6.0000000000000001E-3</v>
      </c>
      <c r="BG47" s="1746">
        <v>3.0000000000000001E-3</v>
      </c>
      <c r="BH47" s="1748">
        <v>4.7E-2</v>
      </c>
      <c r="BJ47" s="3825"/>
      <c r="BK47" s="1741">
        <v>4</v>
      </c>
      <c r="BL47" s="1742">
        <v>0</v>
      </c>
      <c r="BM47" s="1743">
        <v>0</v>
      </c>
      <c r="BN47" s="1744">
        <v>0</v>
      </c>
      <c r="BO47" s="1742">
        <v>1.0999999999999999E-2</v>
      </c>
      <c r="BP47" s="1743">
        <v>1.0999999999999999E-2</v>
      </c>
      <c r="BQ47" s="1744">
        <v>2E-3</v>
      </c>
      <c r="BR47" s="1745">
        <v>1.6E-2</v>
      </c>
      <c r="BS47" s="1746">
        <v>1E-3</v>
      </c>
      <c r="BT47" s="1745">
        <v>3.0000000000000001E-3</v>
      </c>
      <c r="BU47" s="1747">
        <v>6.0000000000000001E-3</v>
      </c>
      <c r="BV47" s="1746">
        <v>3.0000000000000001E-3</v>
      </c>
      <c r="BW47" s="1748">
        <v>5.2999999999999999E-2</v>
      </c>
      <c r="BY47" s="3825"/>
      <c r="BZ47" s="1741">
        <v>4</v>
      </c>
      <c r="CA47" s="1742">
        <v>0</v>
      </c>
      <c r="CB47" s="1743">
        <v>0</v>
      </c>
      <c r="CC47" s="1744">
        <v>0</v>
      </c>
      <c r="CD47" s="1742">
        <v>1.2999999999999999E-2</v>
      </c>
      <c r="CE47" s="1743">
        <v>1.2E-2</v>
      </c>
      <c r="CF47" s="1744">
        <v>3.0000000000000001E-3</v>
      </c>
      <c r="CG47" s="1745">
        <v>1.7000000000000001E-2</v>
      </c>
      <c r="CH47" s="1746">
        <v>1E-3</v>
      </c>
      <c r="CI47" s="1745">
        <v>3.0000000000000001E-3</v>
      </c>
      <c r="CJ47" s="1747">
        <v>8.0000000000000002E-3</v>
      </c>
      <c r="CK47" s="1746">
        <v>3.0000000000000001E-3</v>
      </c>
      <c r="CL47" s="1748">
        <v>0.06</v>
      </c>
    </row>
    <row r="48" spans="1:90" s="1728" customFormat="1" ht="13.5" customHeight="1">
      <c r="A48" s="3842"/>
      <c r="B48" s="3843"/>
      <c r="C48" s="1749">
        <v>5</v>
      </c>
      <c r="D48" s="1742">
        <v>0</v>
      </c>
      <c r="E48" s="1743">
        <v>0</v>
      </c>
      <c r="F48" s="1744">
        <v>0</v>
      </c>
      <c r="G48" s="1742">
        <v>1E-3</v>
      </c>
      <c r="H48" s="1743">
        <v>3.0000000000000001E-3</v>
      </c>
      <c r="I48" s="1744">
        <v>0</v>
      </c>
      <c r="J48" s="1745">
        <v>7.0000000000000001E-3</v>
      </c>
      <c r="K48" s="1746">
        <v>0</v>
      </c>
      <c r="L48" s="1745">
        <v>0</v>
      </c>
      <c r="M48" s="1747">
        <v>0</v>
      </c>
      <c r="N48" s="1746">
        <v>1E-3</v>
      </c>
      <c r="O48" s="1748">
        <v>1.2999999999999999E-2</v>
      </c>
      <c r="Q48" s="3825"/>
      <c r="R48" s="1749">
        <v>5</v>
      </c>
      <c r="S48" s="1742">
        <v>0</v>
      </c>
      <c r="T48" s="1743">
        <v>0</v>
      </c>
      <c r="U48" s="1744">
        <v>0</v>
      </c>
      <c r="V48" s="1742">
        <v>2E-3</v>
      </c>
      <c r="W48" s="1743">
        <v>3.0000000000000001E-3</v>
      </c>
      <c r="X48" s="1744">
        <v>0</v>
      </c>
      <c r="Y48" s="1745">
        <v>7.0000000000000001E-3</v>
      </c>
      <c r="Z48" s="1746">
        <v>0</v>
      </c>
      <c r="AA48" s="1745">
        <v>0</v>
      </c>
      <c r="AB48" s="1747">
        <v>0</v>
      </c>
      <c r="AC48" s="1746">
        <v>1E-3</v>
      </c>
      <c r="AD48" s="1748">
        <v>1.4E-2</v>
      </c>
      <c r="AF48" s="3825"/>
      <c r="AG48" s="1749">
        <v>5</v>
      </c>
      <c r="AH48" s="1742">
        <v>0</v>
      </c>
      <c r="AI48" s="1743">
        <v>0</v>
      </c>
      <c r="AJ48" s="1744">
        <v>0</v>
      </c>
      <c r="AK48" s="1742">
        <v>3.0000000000000001E-3</v>
      </c>
      <c r="AL48" s="1743">
        <v>4.0000000000000001E-3</v>
      </c>
      <c r="AM48" s="1744">
        <v>1E-3</v>
      </c>
      <c r="AN48" s="1745">
        <v>7.0000000000000001E-3</v>
      </c>
      <c r="AO48" s="1746">
        <v>0</v>
      </c>
      <c r="AP48" s="1745">
        <v>0</v>
      </c>
      <c r="AQ48" s="1747">
        <v>0</v>
      </c>
      <c r="AR48" s="1746">
        <v>1E-3</v>
      </c>
      <c r="AS48" s="1748">
        <v>1.6E-2</v>
      </c>
      <c r="AU48" s="3825"/>
      <c r="AV48" s="1749">
        <v>5</v>
      </c>
      <c r="AW48" s="1742">
        <v>0</v>
      </c>
      <c r="AX48" s="1743">
        <v>0</v>
      </c>
      <c r="AY48" s="1744">
        <v>0</v>
      </c>
      <c r="AZ48" s="1742">
        <v>3.0000000000000001E-3</v>
      </c>
      <c r="BA48" s="1743">
        <v>4.0000000000000001E-3</v>
      </c>
      <c r="BB48" s="1744">
        <v>1E-3</v>
      </c>
      <c r="BC48" s="1745">
        <v>0.01</v>
      </c>
      <c r="BD48" s="1746">
        <v>0</v>
      </c>
      <c r="BE48" s="1745">
        <v>0</v>
      </c>
      <c r="BF48" s="1747">
        <v>1E-3</v>
      </c>
      <c r="BG48" s="1746">
        <v>1E-3</v>
      </c>
      <c r="BH48" s="1748">
        <v>0.02</v>
      </c>
      <c r="BJ48" s="3825"/>
      <c r="BK48" s="1749">
        <v>5</v>
      </c>
      <c r="BL48" s="1742">
        <v>0</v>
      </c>
      <c r="BM48" s="1743">
        <v>0</v>
      </c>
      <c r="BN48" s="1744">
        <v>0</v>
      </c>
      <c r="BO48" s="1742">
        <v>4.0000000000000001E-3</v>
      </c>
      <c r="BP48" s="1743">
        <v>5.0000000000000001E-3</v>
      </c>
      <c r="BQ48" s="1744">
        <v>1E-3</v>
      </c>
      <c r="BR48" s="1745">
        <v>1.2E-2</v>
      </c>
      <c r="BS48" s="1746">
        <v>0</v>
      </c>
      <c r="BT48" s="1745">
        <v>0</v>
      </c>
      <c r="BU48" s="1747">
        <v>1E-3</v>
      </c>
      <c r="BV48" s="1746">
        <v>2E-3</v>
      </c>
      <c r="BW48" s="1748">
        <v>2.4E-2</v>
      </c>
      <c r="BY48" s="3825"/>
      <c r="BZ48" s="1749">
        <v>5</v>
      </c>
      <c r="CA48" s="1742">
        <v>0</v>
      </c>
      <c r="CB48" s="1743">
        <v>0</v>
      </c>
      <c r="CC48" s="1744">
        <v>0</v>
      </c>
      <c r="CD48" s="1742">
        <v>5.0000000000000001E-3</v>
      </c>
      <c r="CE48" s="1743">
        <v>5.0000000000000001E-3</v>
      </c>
      <c r="CF48" s="1744">
        <v>1E-3</v>
      </c>
      <c r="CG48" s="1745">
        <v>1.2999999999999999E-2</v>
      </c>
      <c r="CH48" s="1746">
        <v>0</v>
      </c>
      <c r="CI48" s="1745">
        <v>0</v>
      </c>
      <c r="CJ48" s="1747">
        <v>1E-3</v>
      </c>
      <c r="CK48" s="1746">
        <v>2E-3</v>
      </c>
      <c r="CL48" s="1748">
        <v>2.5999999999999999E-2</v>
      </c>
    </row>
    <row r="49" spans="1:90" s="1728" customFormat="1" ht="13.5" customHeight="1" thickBot="1">
      <c r="A49" s="3844"/>
      <c r="B49" s="3845"/>
      <c r="C49" s="1750" t="s">
        <v>1422</v>
      </c>
      <c r="D49" s="1751">
        <v>0</v>
      </c>
      <c r="E49" s="1752">
        <v>0</v>
      </c>
      <c r="F49" s="1753">
        <v>0</v>
      </c>
      <c r="G49" s="1751">
        <v>0.06</v>
      </c>
      <c r="H49" s="1752">
        <v>8.1000000000000003E-2</v>
      </c>
      <c r="I49" s="1753">
        <v>7.4999999999999997E-2</v>
      </c>
      <c r="J49" s="1754">
        <v>0.10199999999999999</v>
      </c>
      <c r="K49" s="1755">
        <v>7.5999999999999998E-2</v>
      </c>
      <c r="L49" s="1754">
        <v>7.5999999999999998E-2</v>
      </c>
      <c r="M49" s="1756">
        <v>0.34599999999999997</v>
      </c>
      <c r="N49" s="1755">
        <v>0.183</v>
      </c>
      <c r="O49" s="1757">
        <v>1</v>
      </c>
      <c r="Q49" s="3826"/>
      <c r="R49" s="1750" t="s">
        <v>1422</v>
      </c>
      <c r="S49" s="1751">
        <v>0</v>
      </c>
      <c r="T49" s="1752">
        <v>0</v>
      </c>
      <c r="U49" s="1753">
        <v>0</v>
      </c>
      <c r="V49" s="1751">
        <v>6.0999999999999999E-2</v>
      </c>
      <c r="W49" s="1752">
        <v>8.1000000000000003E-2</v>
      </c>
      <c r="X49" s="1753">
        <v>7.5999999999999998E-2</v>
      </c>
      <c r="Y49" s="1754">
        <v>0.10299999999999999</v>
      </c>
      <c r="Z49" s="1755">
        <v>7.6999999999999999E-2</v>
      </c>
      <c r="AA49" s="1754">
        <v>7.6999999999999999E-2</v>
      </c>
      <c r="AB49" s="1756">
        <v>0.34300000000000003</v>
      </c>
      <c r="AC49" s="1755">
        <v>0.183</v>
      </c>
      <c r="AD49" s="1757">
        <v>1</v>
      </c>
      <c r="AF49" s="3826"/>
      <c r="AG49" s="1750" t="s">
        <v>1422</v>
      </c>
      <c r="AH49" s="1751">
        <v>0</v>
      </c>
      <c r="AI49" s="1752">
        <v>0</v>
      </c>
      <c r="AJ49" s="1753">
        <v>0</v>
      </c>
      <c r="AK49" s="1751">
        <v>6.0999999999999999E-2</v>
      </c>
      <c r="AL49" s="1752">
        <v>8.1000000000000003E-2</v>
      </c>
      <c r="AM49" s="1753">
        <v>7.5999999999999998E-2</v>
      </c>
      <c r="AN49" s="1754">
        <v>0.10199999999999999</v>
      </c>
      <c r="AO49" s="1755">
        <v>7.5999999999999998E-2</v>
      </c>
      <c r="AP49" s="1754">
        <v>7.6999999999999999E-2</v>
      </c>
      <c r="AQ49" s="1756">
        <v>0.34499999999999997</v>
      </c>
      <c r="AR49" s="1755">
        <v>0.183</v>
      </c>
      <c r="AS49" s="1757">
        <v>1</v>
      </c>
      <c r="AU49" s="3826"/>
      <c r="AV49" s="1750" t="s">
        <v>1422</v>
      </c>
      <c r="AW49" s="1751">
        <v>0</v>
      </c>
      <c r="AX49" s="1752">
        <v>0</v>
      </c>
      <c r="AY49" s="1753">
        <v>0</v>
      </c>
      <c r="AZ49" s="1751">
        <v>6.2E-2</v>
      </c>
      <c r="BA49" s="1752">
        <v>8.1000000000000003E-2</v>
      </c>
      <c r="BB49" s="1753">
        <v>7.4999999999999997E-2</v>
      </c>
      <c r="BC49" s="1754">
        <v>0.10100000000000001</v>
      </c>
      <c r="BD49" s="1755">
        <v>7.4999999999999997E-2</v>
      </c>
      <c r="BE49" s="1754">
        <v>8.1000000000000003E-2</v>
      </c>
      <c r="BF49" s="1756">
        <v>0.34200000000000003</v>
      </c>
      <c r="BG49" s="1755">
        <v>0.182</v>
      </c>
      <c r="BH49" s="1757">
        <v>1</v>
      </c>
      <c r="BJ49" s="3826"/>
      <c r="BK49" s="1750" t="s">
        <v>1422</v>
      </c>
      <c r="BL49" s="1751">
        <v>0</v>
      </c>
      <c r="BM49" s="1752">
        <v>0</v>
      </c>
      <c r="BN49" s="1753">
        <v>0</v>
      </c>
      <c r="BO49" s="1751">
        <v>6.2E-2</v>
      </c>
      <c r="BP49" s="1752">
        <v>8.1000000000000003E-2</v>
      </c>
      <c r="BQ49" s="1753">
        <v>7.5999999999999998E-2</v>
      </c>
      <c r="BR49" s="1754">
        <v>0.10100000000000001</v>
      </c>
      <c r="BS49" s="1755">
        <v>7.3999999999999996E-2</v>
      </c>
      <c r="BT49" s="1754">
        <v>8.1000000000000003E-2</v>
      </c>
      <c r="BU49" s="1756">
        <v>0.34300000000000003</v>
      </c>
      <c r="BV49" s="1755">
        <v>0.182</v>
      </c>
      <c r="BW49" s="1757">
        <v>1</v>
      </c>
      <c r="BY49" s="3826"/>
      <c r="BZ49" s="1750" t="s">
        <v>1422</v>
      </c>
      <c r="CA49" s="1751">
        <v>0</v>
      </c>
      <c r="CB49" s="1752">
        <v>0</v>
      </c>
      <c r="CC49" s="1753">
        <v>0</v>
      </c>
      <c r="CD49" s="1751">
        <v>6.2E-2</v>
      </c>
      <c r="CE49" s="1752">
        <v>8.1000000000000003E-2</v>
      </c>
      <c r="CF49" s="1753">
        <v>7.5999999999999998E-2</v>
      </c>
      <c r="CG49" s="1754">
        <v>0.1</v>
      </c>
      <c r="CH49" s="1755">
        <v>7.3999999999999996E-2</v>
      </c>
      <c r="CI49" s="1754">
        <v>8.1000000000000003E-2</v>
      </c>
      <c r="CJ49" s="1756">
        <v>0.34300000000000003</v>
      </c>
      <c r="CK49" s="1755">
        <v>0.183</v>
      </c>
      <c r="CL49" s="1757">
        <v>1</v>
      </c>
    </row>
    <row r="50" spans="1:90" s="1728" customFormat="1" ht="13.5" customHeight="1" thickTop="1">
      <c r="A50" s="3840" t="s">
        <v>860</v>
      </c>
      <c r="B50" s="3841"/>
      <c r="C50" s="1733">
        <v>1</v>
      </c>
      <c r="D50" s="1734">
        <v>0</v>
      </c>
      <c r="E50" s="1735">
        <v>0</v>
      </c>
      <c r="F50" s="1736">
        <v>0</v>
      </c>
      <c r="G50" s="1734">
        <v>0</v>
      </c>
      <c r="H50" s="1735">
        <v>0</v>
      </c>
      <c r="I50" s="1736">
        <v>0</v>
      </c>
      <c r="J50" s="1737">
        <v>0.03</v>
      </c>
      <c r="K50" s="1738">
        <v>9.5000000000000001E-2</v>
      </c>
      <c r="L50" s="1737">
        <v>2.7E-2</v>
      </c>
      <c r="M50" s="1739">
        <v>0.224</v>
      </c>
      <c r="N50" s="1738">
        <v>0.19800000000000001</v>
      </c>
      <c r="O50" s="1740">
        <v>0.57299999999999995</v>
      </c>
      <c r="Q50" s="3824" t="s">
        <v>860</v>
      </c>
      <c r="R50" s="1733">
        <v>1</v>
      </c>
      <c r="S50" s="1734">
        <v>0</v>
      </c>
      <c r="T50" s="1735">
        <v>0</v>
      </c>
      <c r="U50" s="1736">
        <v>0</v>
      </c>
      <c r="V50" s="1734">
        <v>0</v>
      </c>
      <c r="W50" s="1735">
        <v>0</v>
      </c>
      <c r="X50" s="1736">
        <v>0</v>
      </c>
      <c r="Y50" s="1737">
        <v>2.9000000000000001E-2</v>
      </c>
      <c r="Z50" s="1738">
        <v>9.4E-2</v>
      </c>
      <c r="AA50" s="1737">
        <v>2.5000000000000001E-2</v>
      </c>
      <c r="AB50" s="1739">
        <v>0.222</v>
      </c>
      <c r="AC50" s="1738">
        <v>0.19600000000000001</v>
      </c>
      <c r="AD50" s="1740">
        <v>0.56699999999999995</v>
      </c>
      <c r="AF50" s="3824" t="s">
        <v>860</v>
      </c>
      <c r="AG50" s="1733">
        <v>1</v>
      </c>
      <c r="AH50" s="1734">
        <v>0</v>
      </c>
      <c r="AI50" s="1735">
        <v>0</v>
      </c>
      <c r="AJ50" s="1736">
        <v>0</v>
      </c>
      <c r="AK50" s="1734">
        <v>0</v>
      </c>
      <c r="AL50" s="1735">
        <v>0</v>
      </c>
      <c r="AM50" s="1736">
        <v>0</v>
      </c>
      <c r="AN50" s="1737">
        <v>2.4E-2</v>
      </c>
      <c r="AO50" s="1738">
        <v>9.1999999999999998E-2</v>
      </c>
      <c r="AP50" s="1737">
        <v>2.1999999999999999E-2</v>
      </c>
      <c r="AQ50" s="1739">
        <v>0.21099999999999999</v>
      </c>
      <c r="AR50" s="1738">
        <v>0.188</v>
      </c>
      <c r="AS50" s="1740">
        <v>0.53600000000000003</v>
      </c>
      <c r="AU50" s="3824" t="s">
        <v>860</v>
      </c>
      <c r="AV50" s="1733">
        <v>1</v>
      </c>
      <c r="AW50" s="1734">
        <v>0</v>
      </c>
      <c r="AX50" s="1735">
        <v>0</v>
      </c>
      <c r="AY50" s="1736">
        <v>0</v>
      </c>
      <c r="AZ50" s="1734">
        <v>0</v>
      </c>
      <c r="BA50" s="1735">
        <v>0</v>
      </c>
      <c r="BB50" s="1736">
        <v>0</v>
      </c>
      <c r="BC50" s="1737">
        <v>2.3E-2</v>
      </c>
      <c r="BD50" s="1738">
        <v>8.8999999999999996E-2</v>
      </c>
      <c r="BE50" s="1737">
        <v>2.1999999999999999E-2</v>
      </c>
      <c r="BF50" s="1739">
        <v>0.2</v>
      </c>
      <c r="BG50" s="1738">
        <v>0.183</v>
      </c>
      <c r="BH50" s="1740">
        <v>0.51700000000000002</v>
      </c>
      <c r="BJ50" s="3824" t="s">
        <v>860</v>
      </c>
      <c r="BK50" s="1733">
        <v>1</v>
      </c>
      <c r="BL50" s="1734">
        <v>0</v>
      </c>
      <c r="BM50" s="1735">
        <v>0</v>
      </c>
      <c r="BN50" s="1736">
        <v>0</v>
      </c>
      <c r="BO50" s="1734">
        <v>0</v>
      </c>
      <c r="BP50" s="1735">
        <v>0</v>
      </c>
      <c r="BQ50" s="1736">
        <v>0</v>
      </c>
      <c r="BR50" s="1737">
        <v>2.1999999999999999E-2</v>
      </c>
      <c r="BS50" s="1738">
        <v>8.5999999999999993E-2</v>
      </c>
      <c r="BT50" s="1737">
        <v>2.1000000000000001E-2</v>
      </c>
      <c r="BU50" s="1739">
        <v>0.192</v>
      </c>
      <c r="BV50" s="1738">
        <v>0.183</v>
      </c>
      <c r="BW50" s="1740">
        <v>0.504</v>
      </c>
      <c r="BY50" s="3824" t="s">
        <v>860</v>
      </c>
      <c r="BZ50" s="1733">
        <v>1</v>
      </c>
      <c r="CA50" s="1734">
        <v>0</v>
      </c>
      <c r="CB50" s="1735">
        <v>0</v>
      </c>
      <c r="CC50" s="1736">
        <v>0</v>
      </c>
      <c r="CD50" s="1734">
        <v>0</v>
      </c>
      <c r="CE50" s="1735">
        <v>0</v>
      </c>
      <c r="CF50" s="1736">
        <v>0</v>
      </c>
      <c r="CG50" s="1737">
        <v>0.02</v>
      </c>
      <c r="CH50" s="1738">
        <v>8.5000000000000006E-2</v>
      </c>
      <c r="CI50" s="1737">
        <v>1.7999999999999999E-2</v>
      </c>
      <c r="CJ50" s="1739">
        <v>0.182</v>
      </c>
      <c r="CK50" s="1738">
        <v>0.18</v>
      </c>
      <c r="CL50" s="1740">
        <v>0.48599999999999999</v>
      </c>
    </row>
    <row r="51" spans="1:90" s="1728" customFormat="1" ht="13.5" customHeight="1">
      <c r="A51" s="3842"/>
      <c r="B51" s="3843"/>
      <c r="C51" s="1741">
        <v>2</v>
      </c>
      <c r="D51" s="1742">
        <v>0</v>
      </c>
      <c r="E51" s="1743">
        <v>0</v>
      </c>
      <c r="F51" s="1744">
        <v>0</v>
      </c>
      <c r="G51" s="1742">
        <v>0</v>
      </c>
      <c r="H51" s="1743">
        <v>0</v>
      </c>
      <c r="I51" s="1744">
        <v>0</v>
      </c>
      <c r="J51" s="1745">
        <v>5.2999999999999999E-2</v>
      </c>
      <c r="K51" s="1746">
        <v>2.8000000000000001E-2</v>
      </c>
      <c r="L51" s="1745">
        <v>6.2E-2</v>
      </c>
      <c r="M51" s="1747">
        <v>0.114</v>
      </c>
      <c r="N51" s="1746">
        <v>0.03</v>
      </c>
      <c r="O51" s="1748">
        <v>0.28699999999999998</v>
      </c>
      <c r="Q51" s="3825"/>
      <c r="R51" s="1741">
        <v>2</v>
      </c>
      <c r="S51" s="1742">
        <v>0</v>
      </c>
      <c r="T51" s="1743">
        <v>0</v>
      </c>
      <c r="U51" s="1744">
        <v>0</v>
      </c>
      <c r="V51" s="1742">
        <v>0</v>
      </c>
      <c r="W51" s="1743">
        <v>0</v>
      </c>
      <c r="X51" s="1744">
        <v>0</v>
      </c>
      <c r="Y51" s="1745">
        <v>0.05</v>
      </c>
      <c r="Z51" s="1746">
        <v>2.8000000000000001E-2</v>
      </c>
      <c r="AA51" s="1745">
        <v>5.8999999999999997E-2</v>
      </c>
      <c r="AB51" s="1747">
        <v>0.113</v>
      </c>
      <c r="AC51" s="1746">
        <v>0.03</v>
      </c>
      <c r="AD51" s="1748">
        <v>0.28000000000000003</v>
      </c>
      <c r="AF51" s="3825"/>
      <c r="AG51" s="1741">
        <v>2</v>
      </c>
      <c r="AH51" s="1742">
        <v>0</v>
      </c>
      <c r="AI51" s="1743">
        <v>0</v>
      </c>
      <c r="AJ51" s="1744">
        <v>0</v>
      </c>
      <c r="AK51" s="1742">
        <v>0</v>
      </c>
      <c r="AL51" s="1743">
        <v>0</v>
      </c>
      <c r="AM51" s="1744">
        <v>0</v>
      </c>
      <c r="AN51" s="1745">
        <v>4.8000000000000001E-2</v>
      </c>
      <c r="AO51" s="1746">
        <v>2.9000000000000001E-2</v>
      </c>
      <c r="AP51" s="1745">
        <v>4.9000000000000002E-2</v>
      </c>
      <c r="AQ51" s="1747">
        <v>0.121</v>
      </c>
      <c r="AR51" s="1746">
        <v>3.5999999999999997E-2</v>
      </c>
      <c r="AS51" s="1748">
        <v>0.28399999999999997</v>
      </c>
      <c r="AU51" s="3825"/>
      <c r="AV51" s="1741">
        <v>2</v>
      </c>
      <c r="AW51" s="1742">
        <v>0</v>
      </c>
      <c r="AX51" s="1743">
        <v>0</v>
      </c>
      <c r="AY51" s="1744">
        <v>0</v>
      </c>
      <c r="AZ51" s="1742">
        <v>0</v>
      </c>
      <c r="BA51" s="1743">
        <v>0</v>
      </c>
      <c r="BB51" s="1744">
        <v>0</v>
      </c>
      <c r="BC51" s="1745">
        <v>0.04</v>
      </c>
      <c r="BD51" s="1746">
        <v>3.1E-2</v>
      </c>
      <c r="BE51" s="1745">
        <v>4.2000000000000003E-2</v>
      </c>
      <c r="BF51" s="1747">
        <v>0.126</v>
      </c>
      <c r="BG51" s="1746">
        <v>3.6999999999999998E-2</v>
      </c>
      <c r="BH51" s="1748">
        <v>0.27600000000000002</v>
      </c>
      <c r="BJ51" s="3825"/>
      <c r="BK51" s="1741">
        <v>2</v>
      </c>
      <c r="BL51" s="1742">
        <v>0</v>
      </c>
      <c r="BM51" s="1743">
        <v>0</v>
      </c>
      <c r="BN51" s="1744">
        <v>0</v>
      </c>
      <c r="BO51" s="1742">
        <v>0</v>
      </c>
      <c r="BP51" s="1743">
        <v>0</v>
      </c>
      <c r="BQ51" s="1744">
        <v>0</v>
      </c>
      <c r="BR51" s="1745">
        <v>3.5999999999999997E-2</v>
      </c>
      <c r="BS51" s="1746">
        <v>3.2000000000000001E-2</v>
      </c>
      <c r="BT51" s="1745">
        <v>3.7999999999999999E-2</v>
      </c>
      <c r="BU51" s="1747">
        <v>0.13</v>
      </c>
      <c r="BV51" s="1746">
        <v>3.5999999999999997E-2</v>
      </c>
      <c r="BW51" s="1748">
        <v>0.27300000000000002</v>
      </c>
      <c r="BY51" s="3825"/>
      <c r="BZ51" s="1741">
        <v>2</v>
      </c>
      <c r="CA51" s="1742">
        <v>0</v>
      </c>
      <c r="CB51" s="1743">
        <v>0</v>
      </c>
      <c r="CC51" s="1744">
        <v>0</v>
      </c>
      <c r="CD51" s="1742">
        <v>0</v>
      </c>
      <c r="CE51" s="1743">
        <v>0</v>
      </c>
      <c r="CF51" s="1744">
        <v>0</v>
      </c>
      <c r="CG51" s="1745">
        <v>3.3000000000000002E-2</v>
      </c>
      <c r="CH51" s="1746">
        <v>3.2000000000000001E-2</v>
      </c>
      <c r="CI51" s="1745">
        <v>3.6999999999999998E-2</v>
      </c>
      <c r="CJ51" s="1747">
        <v>0.13200000000000001</v>
      </c>
      <c r="CK51" s="1746">
        <v>3.7999999999999999E-2</v>
      </c>
      <c r="CL51" s="1748">
        <v>0.27300000000000002</v>
      </c>
    </row>
    <row r="52" spans="1:90" s="1728" customFormat="1" ht="13.5" customHeight="1">
      <c r="A52" s="3842"/>
      <c r="B52" s="3843"/>
      <c r="C52" s="1741">
        <v>3</v>
      </c>
      <c r="D52" s="1742">
        <v>0</v>
      </c>
      <c r="E52" s="1743">
        <v>0</v>
      </c>
      <c r="F52" s="1744">
        <v>0</v>
      </c>
      <c r="G52" s="1742">
        <v>0</v>
      </c>
      <c r="H52" s="1743">
        <v>0</v>
      </c>
      <c r="I52" s="1744">
        <v>0</v>
      </c>
      <c r="J52" s="1745">
        <v>3.7999999999999999E-2</v>
      </c>
      <c r="K52" s="1746">
        <v>6.0000000000000001E-3</v>
      </c>
      <c r="L52" s="1745">
        <v>3.1E-2</v>
      </c>
      <c r="M52" s="1747">
        <v>1.7999999999999999E-2</v>
      </c>
      <c r="N52" s="1746">
        <v>7.0000000000000001E-3</v>
      </c>
      <c r="O52" s="1748">
        <v>0.1</v>
      </c>
      <c r="Q52" s="3825"/>
      <c r="R52" s="1741">
        <v>3</v>
      </c>
      <c r="S52" s="1742">
        <v>0</v>
      </c>
      <c r="T52" s="1743">
        <v>0</v>
      </c>
      <c r="U52" s="1744">
        <v>0</v>
      </c>
      <c r="V52" s="1742">
        <v>0</v>
      </c>
      <c r="W52" s="1743">
        <v>0</v>
      </c>
      <c r="X52" s="1744">
        <v>0</v>
      </c>
      <c r="Y52" s="1745">
        <v>3.9E-2</v>
      </c>
      <c r="Z52" s="1746">
        <v>6.0000000000000001E-3</v>
      </c>
      <c r="AA52" s="1745">
        <v>3.5000000000000003E-2</v>
      </c>
      <c r="AB52" s="1747">
        <v>1.9E-2</v>
      </c>
      <c r="AC52" s="1746">
        <v>7.0000000000000001E-3</v>
      </c>
      <c r="AD52" s="1748">
        <v>0.106</v>
      </c>
      <c r="AF52" s="3825"/>
      <c r="AG52" s="1741">
        <v>3</v>
      </c>
      <c r="AH52" s="1742">
        <v>0</v>
      </c>
      <c r="AI52" s="1743">
        <v>0</v>
      </c>
      <c r="AJ52" s="1744">
        <v>0</v>
      </c>
      <c r="AK52" s="1742">
        <v>0</v>
      </c>
      <c r="AL52" s="1743">
        <v>0</v>
      </c>
      <c r="AM52" s="1744">
        <v>0</v>
      </c>
      <c r="AN52" s="1745">
        <v>4.2000000000000003E-2</v>
      </c>
      <c r="AO52" s="1746">
        <v>6.0000000000000001E-3</v>
      </c>
      <c r="AP52" s="1745">
        <v>4.7E-2</v>
      </c>
      <c r="AQ52" s="1747">
        <v>2.3E-2</v>
      </c>
      <c r="AR52" s="1746">
        <v>8.9999999999999993E-3</v>
      </c>
      <c r="AS52" s="1748">
        <v>0.127</v>
      </c>
      <c r="AU52" s="3825"/>
      <c r="AV52" s="1741">
        <v>3</v>
      </c>
      <c r="AW52" s="1742">
        <v>0</v>
      </c>
      <c r="AX52" s="1743">
        <v>0</v>
      </c>
      <c r="AY52" s="1744">
        <v>0</v>
      </c>
      <c r="AZ52" s="1742">
        <v>0</v>
      </c>
      <c r="BA52" s="1743">
        <v>0</v>
      </c>
      <c r="BB52" s="1744">
        <v>0</v>
      </c>
      <c r="BC52" s="1745">
        <v>4.7E-2</v>
      </c>
      <c r="BD52" s="1746">
        <v>6.0000000000000001E-3</v>
      </c>
      <c r="BE52" s="1745">
        <v>5.3999999999999999E-2</v>
      </c>
      <c r="BF52" s="1747">
        <v>2.7E-2</v>
      </c>
      <c r="BG52" s="1746">
        <v>8.9999999999999993E-3</v>
      </c>
      <c r="BH52" s="1748">
        <v>0.14299999999999999</v>
      </c>
      <c r="BJ52" s="3825"/>
      <c r="BK52" s="1741">
        <v>3</v>
      </c>
      <c r="BL52" s="1742">
        <v>0</v>
      </c>
      <c r="BM52" s="1743">
        <v>0</v>
      </c>
      <c r="BN52" s="1744">
        <v>0</v>
      </c>
      <c r="BO52" s="1742">
        <v>0</v>
      </c>
      <c r="BP52" s="1743">
        <v>0</v>
      </c>
      <c r="BQ52" s="1744">
        <v>0</v>
      </c>
      <c r="BR52" s="1745">
        <v>4.8000000000000001E-2</v>
      </c>
      <c r="BS52" s="1746">
        <v>7.0000000000000001E-3</v>
      </c>
      <c r="BT52" s="1745">
        <v>5.3999999999999999E-2</v>
      </c>
      <c r="BU52" s="1747">
        <v>2.9000000000000001E-2</v>
      </c>
      <c r="BV52" s="1746">
        <v>0.01</v>
      </c>
      <c r="BW52" s="1748">
        <v>0.14899999999999999</v>
      </c>
      <c r="BY52" s="3825"/>
      <c r="BZ52" s="1741">
        <v>3</v>
      </c>
      <c r="CA52" s="1742">
        <v>0</v>
      </c>
      <c r="CB52" s="1743">
        <v>0</v>
      </c>
      <c r="CC52" s="1744">
        <v>0</v>
      </c>
      <c r="CD52" s="1742">
        <v>0</v>
      </c>
      <c r="CE52" s="1743">
        <v>0</v>
      </c>
      <c r="CF52" s="1744">
        <v>0</v>
      </c>
      <c r="CG52" s="1745">
        <v>4.5999999999999999E-2</v>
      </c>
      <c r="CH52" s="1746">
        <v>8.0000000000000002E-3</v>
      </c>
      <c r="CI52" s="1745">
        <v>5.6000000000000001E-2</v>
      </c>
      <c r="CJ52" s="1747">
        <v>3.5000000000000003E-2</v>
      </c>
      <c r="CK52" s="1746">
        <v>0.01</v>
      </c>
      <c r="CL52" s="1748">
        <v>0.156</v>
      </c>
    </row>
    <row r="53" spans="1:90" s="1728" customFormat="1" ht="13.5" customHeight="1">
      <c r="A53" s="3842"/>
      <c r="B53" s="3843"/>
      <c r="C53" s="1741">
        <v>4</v>
      </c>
      <c r="D53" s="1742">
        <v>0</v>
      </c>
      <c r="E53" s="1743">
        <v>0</v>
      </c>
      <c r="F53" s="1744">
        <v>0</v>
      </c>
      <c r="G53" s="1742">
        <v>0</v>
      </c>
      <c r="H53" s="1743">
        <v>0</v>
      </c>
      <c r="I53" s="1744">
        <v>0</v>
      </c>
      <c r="J53" s="1745">
        <v>1.6E-2</v>
      </c>
      <c r="K53" s="1746">
        <v>5.0000000000000001E-3</v>
      </c>
      <c r="L53" s="1745">
        <v>2E-3</v>
      </c>
      <c r="M53" s="1747">
        <v>6.0000000000000001E-3</v>
      </c>
      <c r="N53" s="1746">
        <v>2E-3</v>
      </c>
      <c r="O53" s="1748">
        <v>0.03</v>
      </c>
      <c r="Q53" s="3825"/>
      <c r="R53" s="1741">
        <v>4</v>
      </c>
      <c r="S53" s="1742">
        <v>0</v>
      </c>
      <c r="T53" s="1743">
        <v>0</v>
      </c>
      <c r="U53" s="1744">
        <v>0</v>
      </c>
      <c r="V53" s="1742">
        <v>0</v>
      </c>
      <c r="W53" s="1743">
        <v>0</v>
      </c>
      <c r="X53" s="1744">
        <v>0</v>
      </c>
      <c r="Y53" s="1745">
        <v>1.7999999999999999E-2</v>
      </c>
      <c r="Z53" s="1746">
        <v>3.0000000000000001E-3</v>
      </c>
      <c r="AA53" s="1745">
        <v>5.0000000000000001E-3</v>
      </c>
      <c r="AB53" s="1747">
        <v>6.0000000000000001E-3</v>
      </c>
      <c r="AC53" s="1746">
        <v>2E-3</v>
      </c>
      <c r="AD53" s="1748">
        <v>3.3000000000000002E-2</v>
      </c>
      <c r="AF53" s="3825"/>
      <c r="AG53" s="1741">
        <v>4</v>
      </c>
      <c r="AH53" s="1742">
        <v>0</v>
      </c>
      <c r="AI53" s="1743">
        <v>0</v>
      </c>
      <c r="AJ53" s="1744">
        <v>0</v>
      </c>
      <c r="AK53" s="1742">
        <v>0</v>
      </c>
      <c r="AL53" s="1743">
        <v>0</v>
      </c>
      <c r="AM53" s="1744">
        <v>0</v>
      </c>
      <c r="AN53" s="1745">
        <v>1.9E-2</v>
      </c>
      <c r="AO53" s="1746">
        <v>2E-3</v>
      </c>
      <c r="AP53" s="1745">
        <v>7.0000000000000001E-3</v>
      </c>
      <c r="AQ53" s="1747">
        <v>6.0000000000000001E-3</v>
      </c>
      <c r="AR53" s="1746">
        <v>3.0000000000000001E-3</v>
      </c>
      <c r="AS53" s="1748">
        <v>3.6999999999999998E-2</v>
      </c>
      <c r="AU53" s="3825"/>
      <c r="AV53" s="1741">
        <v>4</v>
      </c>
      <c r="AW53" s="1742">
        <v>0</v>
      </c>
      <c r="AX53" s="1743">
        <v>0</v>
      </c>
      <c r="AY53" s="1744">
        <v>0</v>
      </c>
      <c r="AZ53" s="1742">
        <v>0</v>
      </c>
      <c r="BA53" s="1743">
        <v>0</v>
      </c>
      <c r="BB53" s="1744">
        <v>0</v>
      </c>
      <c r="BC53" s="1745">
        <v>2.1000000000000001E-2</v>
      </c>
      <c r="BD53" s="1746">
        <v>3.0000000000000001E-3</v>
      </c>
      <c r="BE53" s="1745">
        <v>0.01</v>
      </c>
      <c r="BF53" s="1747">
        <v>7.0000000000000001E-3</v>
      </c>
      <c r="BG53" s="1746">
        <v>4.0000000000000001E-3</v>
      </c>
      <c r="BH53" s="1748">
        <v>4.4999999999999998E-2</v>
      </c>
      <c r="BJ53" s="3825"/>
      <c r="BK53" s="1741">
        <v>4</v>
      </c>
      <c r="BL53" s="1742">
        <v>0</v>
      </c>
      <c r="BM53" s="1743">
        <v>0</v>
      </c>
      <c r="BN53" s="1744">
        <v>0</v>
      </c>
      <c r="BO53" s="1742">
        <v>0</v>
      </c>
      <c r="BP53" s="1743">
        <v>0</v>
      </c>
      <c r="BQ53" s="1744">
        <v>0</v>
      </c>
      <c r="BR53" s="1745">
        <v>2.4E-2</v>
      </c>
      <c r="BS53" s="1746">
        <v>3.0000000000000001E-3</v>
      </c>
      <c r="BT53" s="1745">
        <v>1.4E-2</v>
      </c>
      <c r="BU53" s="1747">
        <v>8.9999999999999993E-3</v>
      </c>
      <c r="BV53" s="1746">
        <v>5.0000000000000001E-3</v>
      </c>
      <c r="BW53" s="1748">
        <v>5.3999999999999999E-2</v>
      </c>
      <c r="BY53" s="3825"/>
      <c r="BZ53" s="1741">
        <v>4</v>
      </c>
      <c r="CA53" s="1742">
        <v>0</v>
      </c>
      <c r="CB53" s="1743">
        <v>0</v>
      </c>
      <c r="CC53" s="1744">
        <v>0</v>
      </c>
      <c r="CD53" s="1742">
        <v>0</v>
      </c>
      <c r="CE53" s="1743">
        <v>0</v>
      </c>
      <c r="CF53" s="1744">
        <v>0</v>
      </c>
      <c r="CG53" s="1745">
        <v>2.9000000000000001E-2</v>
      </c>
      <c r="CH53" s="1746">
        <v>3.0000000000000001E-3</v>
      </c>
      <c r="CI53" s="1745">
        <v>1.6E-2</v>
      </c>
      <c r="CJ53" s="1747">
        <v>0.01</v>
      </c>
      <c r="CK53" s="1746">
        <v>6.0000000000000001E-3</v>
      </c>
      <c r="CL53" s="1748">
        <v>6.4000000000000001E-2</v>
      </c>
    </row>
    <row r="54" spans="1:90" s="1728" customFormat="1" ht="13.5" customHeight="1">
      <c r="A54" s="3842"/>
      <c r="B54" s="3843"/>
      <c r="C54" s="1749">
        <v>5</v>
      </c>
      <c r="D54" s="1742">
        <v>0</v>
      </c>
      <c r="E54" s="1743">
        <v>0</v>
      </c>
      <c r="F54" s="1744">
        <v>0</v>
      </c>
      <c r="G54" s="1742">
        <v>0</v>
      </c>
      <c r="H54" s="1743">
        <v>0</v>
      </c>
      <c r="I54" s="1744">
        <v>0</v>
      </c>
      <c r="J54" s="1745">
        <v>8.9999999999999993E-3</v>
      </c>
      <c r="K54" s="1746">
        <v>0</v>
      </c>
      <c r="L54" s="1745">
        <v>0</v>
      </c>
      <c r="M54" s="1747">
        <v>0</v>
      </c>
      <c r="N54" s="1746">
        <v>0</v>
      </c>
      <c r="O54" s="1748">
        <v>8.9999999999999993E-3</v>
      </c>
      <c r="Q54" s="3825"/>
      <c r="R54" s="1749">
        <v>5</v>
      </c>
      <c r="S54" s="1742">
        <v>0</v>
      </c>
      <c r="T54" s="1743">
        <v>0</v>
      </c>
      <c r="U54" s="1744">
        <v>0</v>
      </c>
      <c r="V54" s="1742">
        <v>0</v>
      </c>
      <c r="W54" s="1743">
        <v>0</v>
      </c>
      <c r="X54" s="1744">
        <v>0</v>
      </c>
      <c r="Y54" s="1745">
        <v>0.01</v>
      </c>
      <c r="Z54" s="1746">
        <v>3.0000000000000001E-3</v>
      </c>
      <c r="AA54" s="1745">
        <v>0</v>
      </c>
      <c r="AB54" s="1747">
        <v>0</v>
      </c>
      <c r="AC54" s="1746">
        <v>0</v>
      </c>
      <c r="AD54" s="1748">
        <v>1.2999999999999999E-2</v>
      </c>
      <c r="AF54" s="3825"/>
      <c r="AG54" s="1749">
        <v>5</v>
      </c>
      <c r="AH54" s="1742">
        <v>0</v>
      </c>
      <c r="AI54" s="1743">
        <v>0</v>
      </c>
      <c r="AJ54" s="1744">
        <v>0</v>
      </c>
      <c r="AK54" s="1742">
        <v>0</v>
      </c>
      <c r="AL54" s="1743">
        <v>0</v>
      </c>
      <c r="AM54" s="1744">
        <v>0</v>
      </c>
      <c r="AN54" s="1745">
        <v>1.2E-2</v>
      </c>
      <c r="AO54" s="1746">
        <v>4.0000000000000001E-3</v>
      </c>
      <c r="AP54" s="1745">
        <v>0</v>
      </c>
      <c r="AQ54" s="1747">
        <v>0</v>
      </c>
      <c r="AR54" s="1746">
        <v>0</v>
      </c>
      <c r="AS54" s="1748">
        <v>1.6E-2</v>
      </c>
      <c r="AU54" s="3825"/>
      <c r="AV54" s="1749">
        <v>5</v>
      </c>
      <c r="AW54" s="1742">
        <v>0</v>
      </c>
      <c r="AX54" s="1743">
        <v>0</v>
      </c>
      <c r="AY54" s="1744">
        <v>0</v>
      </c>
      <c r="AZ54" s="1742">
        <v>0</v>
      </c>
      <c r="BA54" s="1743">
        <v>0</v>
      </c>
      <c r="BB54" s="1744">
        <v>0</v>
      </c>
      <c r="BC54" s="1745">
        <v>1.2999999999999999E-2</v>
      </c>
      <c r="BD54" s="1746">
        <v>4.0000000000000001E-3</v>
      </c>
      <c r="BE54" s="1745">
        <v>0</v>
      </c>
      <c r="BF54" s="1747">
        <v>1E-3</v>
      </c>
      <c r="BG54" s="1746">
        <v>0</v>
      </c>
      <c r="BH54" s="1748">
        <v>1.7999999999999999E-2</v>
      </c>
      <c r="BJ54" s="3825"/>
      <c r="BK54" s="1749">
        <v>5</v>
      </c>
      <c r="BL54" s="1742">
        <v>0</v>
      </c>
      <c r="BM54" s="1743">
        <v>0</v>
      </c>
      <c r="BN54" s="1744">
        <v>0</v>
      </c>
      <c r="BO54" s="1742">
        <v>0</v>
      </c>
      <c r="BP54" s="1743">
        <v>0</v>
      </c>
      <c r="BQ54" s="1744">
        <v>0</v>
      </c>
      <c r="BR54" s="1745">
        <v>1.4E-2</v>
      </c>
      <c r="BS54" s="1746">
        <v>4.0000000000000001E-3</v>
      </c>
      <c r="BT54" s="1745">
        <v>0</v>
      </c>
      <c r="BU54" s="1747">
        <v>1E-3</v>
      </c>
      <c r="BV54" s="1746">
        <v>0</v>
      </c>
      <c r="BW54" s="1748">
        <v>1.9E-2</v>
      </c>
      <c r="BY54" s="3825"/>
      <c r="BZ54" s="1749">
        <v>5</v>
      </c>
      <c r="CA54" s="1742">
        <v>0</v>
      </c>
      <c r="CB54" s="1743">
        <v>0</v>
      </c>
      <c r="CC54" s="1744">
        <v>0</v>
      </c>
      <c r="CD54" s="1742">
        <v>0</v>
      </c>
      <c r="CE54" s="1743">
        <v>0</v>
      </c>
      <c r="CF54" s="1744">
        <v>0</v>
      </c>
      <c r="CG54" s="1745">
        <v>1.4999999999999999E-2</v>
      </c>
      <c r="CH54" s="1746">
        <v>4.0000000000000001E-3</v>
      </c>
      <c r="CI54" s="1745">
        <v>0</v>
      </c>
      <c r="CJ54" s="1747">
        <v>2E-3</v>
      </c>
      <c r="CK54" s="1746">
        <v>0</v>
      </c>
      <c r="CL54" s="1748">
        <v>2.1000000000000001E-2</v>
      </c>
    </row>
    <row r="55" spans="1:90" s="1728" customFormat="1" ht="13.5" customHeight="1" thickBot="1">
      <c r="A55" s="3844"/>
      <c r="B55" s="3845"/>
      <c r="C55" s="1750" t="s">
        <v>1422</v>
      </c>
      <c r="D55" s="1751">
        <v>0</v>
      </c>
      <c r="E55" s="1752">
        <v>0</v>
      </c>
      <c r="F55" s="1753">
        <v>0</v>
      </c>
      <c r="G55" s="1751">
        <v>0</v>
      </c>
      <c r="H55" s="1752">
        <v>0</v>
      </c>
      <c r="I55" s="1753">
        <v>0</v>
      </c>
      <c r="J55" s="1754">
        <v>0.14599999999999999</v>
      </c>
      <c r="K55" s="1755">
        <v>0.13400000000000001</v>
      </c>
      <c r="L55" s="1754">
        <v>0.122</v>
      </c>
      <c r="M55" s="1756">
        <v>0.36099999999999999</v>
      </c>
      <c r="N55" s="1755">
        <v>0.23599999999999999</v>
      </c>
      <c r="O55" s="1757">
        <v>1</v>
      </c>
      <c r="Q55" s="3826"/>
      <c r="R55" s="1750" t="s">
        <v>1422</v>
      </c>
      <c r="S55" s="1751">
        <v>0</v>
      </c>
      <c r="T55" s="1752">
        <v>0</v>
      </c>
      <c r="U55" s="1753">
        <v>0</v>
      </c>
      <c r="V55" s="1751">
        <v>0</v>
      </c>
      <c r="W55" s="1752">
        <v>0</v>
      </c>
      <c r="X55" s="1753">
        <v>0</v>
      </c>
      <c r="Y55" s="1754">
        <v>0.14599999999999999</v>
      </c>
      <c r="Z55" s="1755">
        <v>0.13300000000000001</v>
      </c>
      <c r="AA55" s="1754">
        <v>0.124</v>
      </c>
      <c r="AB55" s="1756">
        <v>0.36099999999999999</v>
      </c>
      <c r="AC55" s="1755">
        <v>0.23599999999999999</v>
      </c>
      <c r="AD55" s="1757">
        <v>1</v>
      </c>
      <c r="AF55" s="3826"/>
      <c r="AG55" s="1750" t="s">
        <v>1422</v>
      </c>
      <c r="AH55" s="1751">
        <v>0</v>
      </c>
      <c r="AI55" s="1752">
        <v>0</v>
      </c>
      <c r="AJ55" s="1753">
        <v>0</v>
      </c>
      <c r="AK55" s="1751">
        <v>0</v>
      </c>
      <c r="AL55" s="1752">
        <v>0</v>
      </c>
      <c r="AM55" s="1753">
        <v>0</v>
      </c>
      <c r="AN55" s="1754">
        <v>0.14499999999999999</v>
      </c>
      <c r="AO55" s="1755">
        <v>0.13300000000000001</v>
      </c>
      <c r="AP55" s="1754">
        <v>0.124</v>
      </c>
      <c r="AQ55" s="1756">
        <v>0.36199999999999999</v>
      </c>
      <c r="AR55" s="1755">
        <v>0.23599999999999999</v>
      </c>
      <c r="AS55" s="1757">
        <v>1</v>
      </c>
      <c r="AU55" s="3826"/>
      <c r="AV55" s="1750" t="s">
        <v>1422</v>
      </c>
      <c r="AW55" s="1751">
        <v>0</v>
      </c>
      <c r="AX55" s="1752">
        <v>0</v>
      </c>
      <c r="AY55" s="1753">
        <v>0</v>
      </c>
      <c r="AZ55" s="1751">
        <v>0</v>
      </c>
      <c r="BA55" s="1752">
        <v>0</v>
      </c>
      <c r="BB55" s="1753">
        <v>0</v>
      </c>
      <c r="BC55" s="1754">
        <v>0.14499999999999999</v>
      </c>
      <c r="BD55" s="1755">
        <v>0.13200000000000001</v>
      </c>
      <c r="BE55" s="1754">
        <v>0.128</v>
      </c>
      <c r="BF55" s="1756">
        <v>0.36099999999999999</v>
      </c>
      <c r="BG55" s="1755">
        <v>0.23400000000000001</v>
      </c>
      <c r="BH55" s="1757">
        <v>1</v>
      </c>
      <c r="BJ55" s="3826"/>
      <c r="BK55" s="1750" t="s">
        <v>1422</v>
      </c>
      <c r="BL55" s="1751">
        <v>0</v>
      </c>
      <c r="BM55" s="1752">
        <v>0</v>
      </c>
      <c r="BN55" s="1753">
        <v>0</v>
      </c>
      <c r="BO55" s="1751">
        <v>0</v>
      </c>
      <c r="BP55" s="1752">
        <v>0</v>
      </c>
      <c r="BQ55" s="1753">
        <v>0</v>
      </c>
      <c r="BR55" s="1754">
        <v>0.14399999999999999</v>
      </c>
      <c r="BS55" s="1755">
        <v>0.13200000000000001</v>
      </c>
      <c r="BT55" s="1754">
        <v>0.128</v>
      </c>
      <c r="BU55" s="1756">
        <v>0.36199999999999999</v>
      </c>
      <c r="BV55" s="1755">
        <v>0.23400000000000001</v>
      </c>
      <c r="BW55" s="1757">
        <v>1</v>
      </c>
      <c r="BY55" s="3826"/>
      <c r="BZ55" s="1750" t="s">
        <v>1422</v>
      </c>
      <c r="CA55" s="1751">
        <v>0</v>
      </c>
      <c r="CB55" s="1752">
        <v>0</v>
      </c>
      <c r="CC55" s="1753">
        <v>0</v>
      </c>
      <c r="CD55" s="1751">
        <v>0</v>
      </c>
      <c r="CE55" s="1752">
        <v>0</v>
      </c>
      <c r="CF55" s="1753">
        <v>0</v>
      </c>
      <c r="CG55" s="1754">
        <v>0.14299999999999999</v>
      </c>
      <c r="CH55" s="1755">
        <v>0.13200000000000001</v>
      </c>
      <c r="CI55" s="1754">
        <v>0.128</v>
      </c>
      <c r="CJ55" s="1756">
        <v>0.36099999999999999</v>
      </c>
      <c r="CK55" s="1755">
        <v>0.23499999999999999</v>
      </c>
      <c r="CL55" s="1757">
        <v>1</v>
      </c>
    </row>
    <row r="56" spans="1:90" s="1728" customFormat="1" ht="13.5" customHeight="1" thickTop="1">
      <c r="A56" s="3840" t="s">
        <v>1122</v>
      </c>
      <c r="B56" s="3841"/>
      <c r="C56" s="1733">
        <v>1</v>
      </c>
      <c r="D56" s="1734">
        <v>0</v>
      </c>
      <c r="E56" s="1735">
        <v>0</v>
      </c>
      <c r="F56" s="1736">
        <v>0</v>
      </c>
      <c r="G56" s="1734">
        <v>0</v>
      </c>
      <c r="H56" s="1735">
        <v>0</v>
      </c>
      <c r="I56" s="1736">
        <v>0</v>
      </c>
      <c r="J56" s="1737">
        <v>2.5999999999999999E-2</v>
      </c>
      <c r="K56" s="1738">
        <v>0.109</v>
      </c>
      <c r="L56" s="1737">
        <v>2.4E-2</v>
      </c>
      <c r="M56" s="1739">
        <v>0.107</v>
      </c>
      <c r="N56" s="1738">
        <v>0.159</v>
      </c>
      <c r="O56" s="1740">
        <v>0.42599999999999999</v>
      </c>
      <c r="Q56" s="3824" t="s">
        <v>1122</v>
      </c>
      <c r="R56" s="1733">
        <v>1</v>
      </c>
      <c r="S56" s="1734">
        <v>0</v>
      </c>
      <c r="T56" s="1735">
        <v>0</v>
      </c>
      <c r="U56" s="1736">
        <v>0</v>
      </c>
      <c r="V56" s="1734">
        <v>0</v>
      </c>
      <c r="W56" s="1735">
        <v>0</v>
      </c>
      <c r="X56" s="1736">
        <v>0</v>
      </c>
      <c r="Y56" s="1737">
        <v>2.5999999999999999E-2</v>
      </c>
      <c r="Z56" s="1738">
        <v>0.109</v>
      </c>
      <c r="AA56" s="1737">
        <v>2.4E-2</v>
      </c>
      <c r="AB56" s="1739">
        <v>0.107</v>
      </c>
      <c r="AC56" s="1738">
        <v>0.158</v>
      </c>
      <c r="AD56" s="1740">
        <v>0.42299999999999999</v>
      </c>
      <c r="AF56" s="3824" t="s">
        <v>1122</v>
      </c>
      <c r="AG56" s="1733">
        <v>1</v>
      </c>
      <c r="AH56" s="1734">
        <v>0</v>
      </c>
      <c r="AI56" s="1735">
        <v>0</v>
      </c>
      <c r="AJ56" s="1736">
        <v>0</v>
      </c>
      <c r="AK56" s="1734">
        <v>0</v>
      </c>
      <c r="AL56" s="1735">
        <v>0</v>
      </c>
      <c r="AM56" s="1736">
        <v>0</v>
      </c>
      <c r="AN56" s="1737">
        <v>0.02</v>
      </c>
      <c r="AO56" s="1738">
        <v>0.107</v>
      </c>
      <c r="AP56" s="1737">
        <v>2.1999999999999999E-2</v>
      </c>
      <c r="AQ56" s="1739">
        <v>8.4000000000000005E-2</v>
      </c>
      <c r="AR56" s="1738">
        <v>0.14699999999999999</v>
      </c>
      <c r="AS56" s="1740">
        <v>0.38</v>
      </c>
      <c r="AU56" s="3824" t="s">
        <v>1122</v>
      </c>
      <c r="AV56" s="1733">
        <v>1</v>
      </c>
      <c r="AW56" s="1734">
        <v>0</v>
      </c>
      <c r="AX56" s="1735">
        <v>0</v>
      </c>
      <c r="AY56" s="1736">
        <v>0</v>
      </c>
      <c r="AZ56" s="1734">
        <v>0</v>
      </c>
      <c r="BA56" s="1735">
        <v>0</v>
      </c>
      <c r="BB56" s="1736">
        <v>0</v>
      </c>
      <c r="BC56" s="1737">
        <v>0.02</v>
      </c>
      <c r="BD56" s="1738">
        <v>9.7000000000000003E-2</v>
      </c>
      <c r="BE56" s="1737">
        <v>2.1000000000000001E-2</v>
      </c>
      <c r="BF56" s="1739">
        <v>8.3000000000000004E-2</v>
      </c>
      <c r="BG56" s="1738">
        <v>0.14699999999999999</v>
      </c>
      <c r="BH56" s="1740">
        <v>0.36699999999999999</v>
      </c>
      <c r="BJ56" s="3824" t="s">
        <v>1122</v>
      </c>
      <c r="BK56" s="1733">
        <v>1</v>
      </c>
      <c r="BL56" s="1734">
        <v>0</v>
      </c>
      <c r="BM56" s="1735">
        <v>0</v>
      </c>
      <c r="BN56" s="1736">
        <v>0</v>
      </c>
      <c r="BO56" s="1734">
        <v>0</v>
      </c>
      <c r="BP56" s="1735">
        <v>0</v>
      </c>
      <c r="BQ56" s="1736">
        <v>0</v>
      </c>
      <c r="BR56" s="1737">
        <v>1.9E-2</v>
      </c>
      <c r="BS56" s="1738">
        <v>9.2999999999999999E-2</v>
      </c>
      <c r="BT56" s="1737">
        <v>0.02</v>
      </c>
      <c r="BU56" s="1739">
        <v>7.9000000000000001E-2</v>
      </c>
      <c r="BV56" s="1738">
        <v>0.14299999999999999</v>
      </c>
      <c r="BW56" s="1740">
        <v>0.35399999999999998</v>
      </c>
      <c r="BY56" s="3824" t="s">
        <v>1122</v>
      </c>
      <c r="BZ56" s="1733">
        <v>1</v>
      </c>
      <c r="CA56" s="1734">
        <v>0</v>
      </c>
      <c r="CB56" s="1735">
        <v>0</v>
      </c>
      <c r="CC56" s="1736">
        <v>0</v>
      </c>
      <c r="CD56" s="1734">
        <v>0</v>
      </c>
      <c r="CE56" s="1735">
        <v>0</v>
      </c>
      <c r="CF56" s="1736">
        <v>0</v>
      </c>
      <c r="CG56" s="1737">
        <v>1.7000000000000001E-2</v>
      </c>
      <c r="CH56" s="1738">
        <v>9.1999999999999998E-2</v>
      </c>
      <c r="CI56" s="1737">
        <v>1.7999999999999999E-2</v>
      </c>
      <c r="CJ56" s="1739">
        <v>6.7000000000000004E-2</v>
      </c>
      <c r="CK56" s="1738">
        <v>0.13400000000000001</v>
      </c>
      <c r="CL56" s="1740">
        <v>0.32800000000000001</v>
      </c>
    </row>
    <row r="57" spans="1:90" s="1728" customFormat="1" ht="13.5" customHeight="1">
      <c r="A57" s="3842"/>
      <c r="B57" s="3843"/>
      <c r="C57" s="1741">
        <v>2</v>
      </c>
      <c r="D57" s="1742">
        <v>0</v>
      </c>
      <c r="E57" s="1743">
        <v>0</v>
      </c>
      <c r="F57" s="1744">
        <v>0</v>
      </c>
      <c r="G57" s="1742">
        <v>0</v>
      </c>
      <c r="H57" s="1743">
        <v>0</v>
      </c>
      <c r="I57" s="1744">
        <v>0</v>
      </c>
      <c r="J57" s="1745">
        <v>5.1999999999999998E-2</v>
      </c>
      <c r="K57" s="1746">
        <v>3.5999999999999997E-2</v>
      </c>
      <c r="L57" s="1745">
        <v>0.06</v>
      </c>
      <c r="M57" s="1747">
        <v>0.128</v>
      </c>
      <c r="N57" s="1746">
        <v>0.03</v>
      </c>
      <c r="O57" s="1748">
        <v>0.30499999999999999</v>
      </c>
      <c r="Q57" s="3825"/>
      <c r="R57" s="1741">
        <v>2</v>
      </c>
      <c r="S57" s="1742">
        <v>0</v>
      </c>
      <c r="T57" s="1743">
        <v>0</v>
      </c>
      <c r="U57" s="1744">
        <v>0</v>
      </c>
      <c r="V57" s="1742">
        <v>0</v>
      </c>
      <c r="W57" s="1743">
        <v>0</v>
      </c>
      <c r="X57" s="1744">
        <v>0</v>
      </c>
      <c r="Y57" s="1745">
        <v>4.9000000000000002E-2</v>
      </c>
      <c r="Z57" s="1746">
        <v>3.5000000000000003E-2</v>
      </c>
      <c r="AA57" s="1745">
        <v>7.3999999999999996E-2</v>
      </c>
      <c r="AB57" s="1747">
        <v>0.122</v>
      </c>
      <c r="AC57" s="1746">
        <v>2.8000000000000001E-2</v>
      </c>
      <c r="AD57" s="1748">
        <v>0.308</v>
      </c>
      <c r="AF57" s="3825"/>
      <c r="AG57" s="1741">
        <v>2</v>
      </c>
      <c r="AH57" s="1742">
        <v>0</v>
      </c>
      <c r="AI57" s="1743">
        <v>0</v>
      </c>
      <c r="AJ57" s="1744">
        <v>0</v>
      </c>
      <c r="AK57" s="1742">
        <v>0</v>
      </c>
      <c r="AL57" s="1743">
        <v>0</v>
      </c>
      <c r="AM57" s="1744">
        <v>0</v>
      </c>
      <c r="AN57" s="1745">
        <v>4.5999999999999999E-2</v>
      </c>
      <c r="AO57" s="1746">
        <v>3.4000000000000002E-2</v>
      </c>
      <c r="AP57" s="1745">
        <v>6.3E-2</v>
      </c>
      <c r="AQ57" s="1747">
        <v>0.13600000000000001</v>
      </c>
      <c r="AR57" s="1746">
        <v>3.6999999999999998E-2</v>
      </c>
      <c r="AS57" s="1748">
        <v>0.316</v>
      </c>
      <c r="AU57" s="3825"/>
      <c r="AV57" s="1741">
        <v>2</v>
      </c>
      <c r="AW57" s="1742">
        <v>0</v>
      </c>
      <c r="AX57" s="1743">
        <v>0</v>
      </c>
      <c r="AY57" s="1744">
        <v>0</v>
      </c>
      <c r="AZ57" s="1742">
        <v>0</v>
      </c>
      <c r="BA57" s="1743">
        <v>0</v>
      </c>
      <c r="BB57" s="1744">
        <v>0</v>
      </c>
      <c r="BC57" s="1745">
        <v>3.5999999999999997E-2</v>
      </c>
      <c r="BD57" s="1746">
        <v>4.1000000000000002E-2</v>
      </c>
      <c r="BE57" s="1745">
        <v>0.04</v>
      </c>
      <c r="BF57" s="1747">
        <v>0.124</v>
      </c>
      <c r="BG57" s="1746">
        <v>3.4000000000000002E-2</v>
      </c>
      <c r="BH57" s="1748">
        <v>0.27600000000000002</v>
      </c>
      <c r="BJ57" s="3825"/>
      <c r="BK57" s="1741">
        <v>2</v>
      </c>
      <c r="BL57" s="1742">
        <v>0</v>
      </c>
      <c r="BM57" s="1743">
        <v>0</v>
      </c>
      <c r="BN57" s="1744">
        <v>0</v>
      </c>
      <c r="BO57" s="1742">
        <v>0</v>
      </c>
      <c r="BP57" s="1743">
        <v>0</v>
      </c>
      <c r="BQ57" s="1744">
        <v>0</v>
      </c>
      <c r="BR57" s="1745">
        <v>3.3000000000000002E-2</v>
      </c>
      <c r="BS57" s="1746">
        <v>4.2999999999999997E-2</v>
      </c>
      <c r="BT57" s="1745">
        <v>3.2000000000000001E-2</v>
      </c>
      <c r="BU57" s="1747">
        <v>0.11799999999999999</v>
      </c>
      <c r="BV57" s="1746">
        <v>3.5000000000000003E-2</v>
      </c>
      <c r="BW57" s="1748">
        <v>0.26100000000000001</v>
      </c>
      <c r="BY57" s="3825"/>
      <c r="BZ57" s="1741">
        <v>2</v>
      </c>
      <c r="CA57" s="1742">
        <v>0</v>
      </c>
      <c r="CB57" s="1743">
        <v>0</v>
      </c>
      <c r="CC57" s="1744">
        <v>0</v>
      </c>
      <c r="CD57" s="1742">
        <v>0</v>
      </c>
      <c r="CE57" s="1743">
        <v>0</v>
      </c>
      <c r="CF57" s="1744">
        <v>0</v>
      </c>
      <c r="CG57" s="1745">
        <v>0.03</v>
      </c>
      <c r="CH57" s="1746">
        <v>4.2999999999999997E-2</v>
      </c>
      <c r="CI57" s="1745">
        <v>2.7E-2</v>
      </c>
      <c r="CJ57" s="1747">
        <v>0.11899999999999999</v>
      </c>
      <c r="CK57" s="1746">
        <v>4.2999999999999997E-2</v>
      </c>
      <c r="CL57" s="1748">
        <v>0.26200000000000001</v>
      </c>
    </row>
    <row r="58" spans="1:90" s="1728" customFormat="1" ht="13.5" customHeight="1">
      <c r="A58" s="3842"/>
      <c r="B58" s="3843"/>
      <c r="C58" s="1741">
        <v>3</v>
      </c>
      <c r="D58" s="1742">
        <v>0</v>
      </c>
      <c r="E58" s="1743">
        <v>0</v>
      </c>
      <c r="F58" s="1744">
        <v>0</v>
      </c>
      <c r="G58" s="1742">
        <v>0</v>
      </c>
      <c r="H58" s="1743">
        <v>0</v>
      </c>
      <c r="I58" s="1744">
        <v>0</v>
      </c>
      <c r="J58" s="1745">
        <v>4.7E-2</v>
      </c>
      <c r="K58" s="1746">
        <v>1.2E-2</v>
      </c>
      <c r="L58" s="1745">
        <v>8.1000000000000003E-2</v>
      </c>
      <c r="M58" s="1747">
        <v>3.4000000000000002E-2</v>
      </c>
      <c r="N58" s="1746">
        <v>1.0999999999999999E-2</v>
      </c>
      <c r="O58" s="1748">
        <v>0.185</v>
      </c>
      <c r="Q58" s="3825"/>
      <c r="R58" s="1741">
        <v>3</v>
      </c>
      <c r="S58" s="1742">
        <v>0</v>
      </c>
      <c r="T58" s="1743">
        <v>0</v>
      </c>
      <c r="U58" s="1744">
        <v>0</v>
      </c>
      <c r="V58" s="1742">
        <v>0</v>
      </c>
      <c r="W58" s="1743">
        <v>0</v>
      </c>
      <c r="X58" s="1744">
        <v>0</v>
      </c>
      <c r="Y58" s="1745">
        <v>4.5999999999999999E-2</v>
      </c>
      <c r="Z58" s="1746">
        <v>1.2999999999999999E-2</v>
      </c>
      <c r="AA58" s="1745">
        <v>6.9000000000000006E-2</v>
      </c>
      <c r="AB58" s="1747">
        <v>0.04</v>
      </c>
      <c r="AC58" s="1746">
        <v>1.0999999999999999E-2</v>
      </c>
      <c r="AD58" s="1748">
        <v>0.17899999999999999</v>
      </c>
      <c r="AF58" s="3825"/>
      <c r="AG58" s="1741">
        <v>3</v>
      </c>
      <c r="AH58" s="1742">
        <v>0</v>
      </c>
      <c r="AI58" s="1743">
        <v>0</v>
      </c>
      <c r="AJ58" s="1744">
        <v>0</v>
      </c>
      <c r="AK58" s="1742">
        <v>0</v>
      </c>
      <c r="AL58" s="1743">
        <v>0</v>
      </c>
      <c r="AM58" s="1744">
        <v>0</v>
      </c>
      <c r="AN58" s="1745">
        <v>4.9000000000000002E-2</v>
      </c>
      <c r="AO58" s="1746">
        <v>1.2999999999999999E-2</v>
      </c>
      <c r="AP58" s="1745">
        <v>8.6999999999999994E-2</v>
      </c>
      <c r="AQ58" s="1747">
        <v>4.4999999999999998E-2</v>
      </c>
      <c r="AR58" s="1746">
        <v>1.0999999999999999E-2</v>
      </c>
      <c r="AS58" s="1748">
        <v>0.20599999999999999</v>
      </c>
      <c r="AU58" s="3825"/>
      <c r="AV58" s="1741">
        <v>3</v>
      </c>
      <c r="AW58" s="1742">
        <v>0</v>
      </c>
      <c r="AX58" s="1743">
        <v>0</v>
      </c>
      <c r="AY58" s="1744">
        <v>0</v>
      </c>
      <c r="AZ58" s="1742">
        <v>0</v>
      </c>
      <c r="BA58" s="1743">
        <v>0</v>
      </c>
      <c r="BB58" s="1744">
        <v>0</v>
      </c>
      <c r="BC58" s="1745">
        <v>0.05</v>
      </c>
      <c r="BD58" s="1746">
        <v>1.4999999999999999E-2</v>
      </c>
      <c r="BE58" s="1745">
        <v>0.10199999999999999</v>
      </c>
      <c r="BF58" s="1747">
        <v>5.6000000000000001E-2</v>
      </c>
      <c r="BG58" s="1746">
        <v>1.2E-2</v>
      </c>
      <c r="BH58" s="1748">
        <v>0.23400000000000001</v>
      </c>
      <c r="BJ58" s="3825"/>
      <c r="BK58" s="1741">
        <v>3</v>
      </c>
      <c r="BL58" s="1742">
        <v>0</v>
      </c>
      <c r="BM58" s="1743">
        <v>0</v>
      </c>
      <c r="BN58" s="1744">
        <v>0</v>
      </c>
      <c r="BO58" s="1742">
        <v>0</v>
      </c>
      <c r="BP58" s="1743">
        <v>0</v>
      </c>
      <c r="BQ58" s="1744">
        <v>0</v>
      </c>
      <c r="BR58" s="1745">
        <v>4.8000000000000001E-2</v>
      </c>
      <c r="BS58" s="1746">
        <v>1.4999999999999999E-2</v>
      </c>
      <c r="BT58" s="1745">
        <v>9.6000000000000002E-2</v>
      </c>
      <c r="BU58" s="1747">
        <v>6.3E-2</v>
      </c>
      <c r="BV58" s="1746">
        <v>1.4999999999999999E-2</v>
      </c>
      <c r="BW58" s="1748">
        <v>0.23799999999999999</v>
      </c>
      <c r="BY58" s="3825"/>
      <c r="BZ58" s="1741">
        <v>3</v>
      </c>
      <c r="CA58" s="1742">
        <v>0</v>
      </c>
      <c r="CB58" s="1743">
        <v>0</v>
      </c>
      <c r="CC58" s="1744">
        <v>0</v>
      </c>
      <c r="CD58" s="1742">
        <v>0</v>
      </c>
      <c r="CE58" s="1743">
        <v>0</v>
      </c>
      <c r="CF58" s="1744">
        <v>0</v>
      </c>
      <c r="CG58" s="1745">
        <v>4.7E-2</v>
      </c>
      <c r="CH58" s="1746">
        <v>1.4999999999999999E-2</v>
      </c>
      <c r="CI58" s="1745">
        <v>8.6999999999999994E-2</v>
      </c>
      <c r="CJ58" s="1747">
        <v>7.0999999999999994E-2</v>
      </c>
      <c r="CK58" s="1746">
        <v>1.4999999999999999E-2</v>
      </c>
      <c r="CL58" s="1748">
        <v>0.23499999999999999</v>
      </c>
    </row>
    <row r="59" spans="1:90" s="1728" customFormat="1" ht="13.5" customHeight="1">
      <c r="A59" s="3842"/>
      <c r="B59" s="3843"/>
      <c r="C59" s="1741">
        <v>4</v>
      </c>
      <c r="D59" s="1742">
        <v>0</v>
      </c>
      <c r="E59" s="1743">
        <v>0</v>
      </c>
      <c r="F59" s="1744">
        <v>0</v>
      </c>
      <c r="G59" s="1742">
        <v>0</v>
      </c>
      <c r="H59" s="1743">
        <v>0</v>
      </c>
      <c r="I59" s="1744">
        <v>0</v>
      </c>
      <c r="J59" s="1745">
        <v>3.6999999999999998E-2</v>
      </c>
      <c r="K59" s="1746">
        <v>5.0000000000000001E-3</v>
      </c>
      <c r="L59" s="1745">
        <v>8.9999999999999993E-3</v>
      </c>
      <c r="M59" s="1747">
        <v>1.2E-2</v>
      </c>
      <c r="N59" s="1746">
        <v>4.0000000000000001E-3</v>
      </c>
      <c r="O59" s="1748">
        <v>6.7000000000000004E-2</v>
      </c>
      <c r="Q59" s="3825"/>
      <c r="R59" s="1741">
        <v>4</v>
      </c>
      <c r="S59" s="1742">
        <v>0</v>
      </c>
      <c r="T59" s="1743">
        <v>0</v>
      </c>
      <c r="U59" s="1744">
        <v>0</v>
      </c>
      <c r="V59" s="1742">
        <v>0</v>
      </c>
      <c r="W59" s="1743">
        <v>0</v>
      </c>
      <c r="X59" s="1744">
        <v>0</v>
      </c>
      <c r="Y59" s="1745">
        <v>2.8000000000000001E-2</v>
      </c>
      <c r="Z59" s="1746">
        <v>5.0000000000000001E-3</v>
      </c>
      <c r="AA59" s="1745">
        <v>8.0000000000000002E-3</v>
      </c>
      <c r="AB59" s="1747">
        <v>1.0999999999999999E-2</v>
      </c>
      <c r="AC59" s="1746">
        <v>6.0000000000000001E-3</v>
      </c>
      <c r="AD59" s="1748">
        <v>5.8999999999999997E-2</v>
      </c>
      <c r="AF59" s="3825"/>
      <c r="AG59" s="1741">
        <v>4</v>
      </c>
      <c r="AH59" s="1742">
        <v>0</v>
      </c>
      <c r="AI59" s="1743">
        <v>0</v>
      </c>
      <c r="AJ59" s="1744">
        <v>0</v>
      </c>
      <c r="AK59" s="1742">
        <v>0</v>
      </c>
      <c r="AL59" s="1743">
        <v>0</v>
      </c>
      <c r="AM59" s="1744">
        <v>0</v>
      </c>
      <c r="AN59" s="1745">
        <v>0.03</v>
      </c>
      <c r="AO59" s="1746">
        <v>5.0000000000000001E-3</v>
      </c>
      <c r="AP59" s="1745">
        <v>4.0000000000000001E-3</v>
      </c>
      <c r="AQ59" s="1747">
        <v>1.4E-2</v>
      </c>
      <c r="AR59" s="1746">
        <v>7.0000000000000001E-3</v>
      </c>
      <c r="AS59" s="1748">
        <v>0.06</v>
      </c>
      <c r="AU59" s="3825"/>
      <c r="AV59" s="1741">
        <v>4</v>
      </c>
      <c r="AW59" s="1742">
        <v>0</v>
      </c>
      <c r="AX59" s="1743">
        <v>0</v>
      </c>
      <c r="AY59" s="1744">
        <v>0</v>
      </c>
      <c r="AZ59" s="1742">
        <v>0</v>
      </c>
      <c r="BA59" s="1743">
        <v>0</v>
      </c>
      <c r="BB59" s="1744">
        <v>0</v>
      </c>
      <c r="BC59" s="1745">
        <v>3.5000000000000003E-2</v>
      </c>
      <c r="BD59" s="1746">
        <v>6.0000000000000001E-3</v>
      </c>
      <c r="BE59" s="1745">
        <v>1.4E-2</v>
      </c>
      <c r="BF59" s="1747">
        <v>1.7999999999999999E-2</v>
      </c>
      <c r="BG59" s="1746">
        <v>8.9999999999999993E-3</v>
      </c>
      <c r="BH59" s="1748">
        <v>8.1000000000000003E-2</v>
      </c>
      <c r="BJ59" s="3825"/>
      <c r="BK59" s="1741">
        <v>4</v>
      </c>
      <c r="BL59" s="1742">
        <v>0</v>
      </c>
      <c r="BM59" s="1743">
        <v>0</v>
      </c>
      <c r="BN59" s="1744">
        <v>0</v>
      </c>
      <c r="BO59" s="1742">
        <v>0</v>
      </c>
      <c r="BP59" s="1743">
        <v>0</v>
      </c>
      <c r="BQ59" s="1744">
        <v>0</v>
      </c>
      <c r="BR59" s="1745">
        <v>3.5999999999999997E-2</v>
      </c>
      <c r="BS59" s="1746">
        <v>6.0000000000000001E-3</v>
      </c>
      <c r="BT59" s="1745">
        <v>2.9000000000000001E-2</v>
      </c>
      <c r="BU59" s="1747">
        <v>1.9E-2</v>
      </c>
      <c r="BV59" s="1746">
        <v>8.9999999999999993E-3</v>
      </c>
      <c r="BW59" s="1748">
        <v>9.9000000000000005E-2</v>
      </c>
      <c r="BY59" s="3825"/>
      <c r="BZ59" s="1741">
        <v>4</v>
      </c>
      <c r="CA59" s="1742">
        <v>0</v>
      </c>
      <c r="CB59" s="1743">
        <v>0</v>
      </c>
      <c r="CC59" s="1744">
        <v>0</v>
      </c>
      <c r="CD59" s="1742">
        <v>0</v>
      </c>
      <c r="CE59" s="1743">
        <v>0</v>
      </c>
      <c r="CF59" s="1744">
        <v>0</v>
      </c>
      <c r="CG59" s="1745">
        <v>3.7999999999999999E-2</v>
      </c>
      <c r="CH59" s="1746">
        <v>7.0000000000000001E-3</v>
      </c>
      <c r="CI59" s="1745">
        <v>4.4999999999999998E-2</v>
      </c>
      <c r="CJ59" s="1747">
        <v>0.02</v>
      </c>
      <c r="CK59" s="1746">
        <v>1.0999999999999999E-2</v>
      </c>
      <c r="CL59" s="1748">
        <v>0.122</v>
      </c>
    </row>
    <row r="60" spans="1:90" s="1728" customFormat="1" ht="13.5" customHeight="1">
      <c r="A60" s="3842"/>
      <c r="B60" s="3843"/>
      <c r="C60" s="1749">
        <v>5</v>
      </c>
      <c r="D60" s="1742">
        <v>0</v>
      </c>
      <c r="E60" s="1743">
        <v>0</v>
      </c>
      <c r="F60" s="1744">
        <v>0</v>
      </c>
      <c r="G60" s="1742">
        <v>0</v>
      </c>
      <c r="H60" s="1743">
        <v>0</v>
      </c>
      <c r="I60" s="1744">
        <v>0</v>
      </c>
      <c r="J60" s="1745">
        <v>1.2E-2</v>
      </c>
      <c r="K60" s="1746">
        <v>0</v>
      </c>
      <c r="L60" s="1745">
        <v>0</v>
      </c>
      <c r="M60" s="1747">
        <v>0</v>
      </c>
      <c r="N60" s="1746">
        <v>4.0000000000000001E-3</v>
      </c>
      <c r="O60" s="1748">
        <v>1.6E-2</v>
      </c>
      <c r="Q60" s="3825"/>
      <c r="R60" s="1749">
        <v>5</v>
      </c>
      <c r="S60" s="1742">
        <v>0</v>
      </c>
      <c r="T60" s="1743">
        <v>0</v>
      </c>
      <c r="U60" s="1744">
        <v>0</v>
      </c>
      <c r="V60" s="1742">
        <v>0</v>
      </c>
      <c r="W60" s="1743">
        <v>0</v>
      </c>
      <c r="X60" s="1744">
        <v>0</v>
      </c>
      <c r="Y60" s="1745">
        <v>2.4E-2</v>
      </c>
      <c r="Z60" s="1746">
        <v>0</v>
      </c>
      <c r="AA60" s="1745">
        <v>0</v>
      </c>
      <c r="AB60" s="1747">
        <v>1E-3</v>
      </c>
      <c r="AC60" s="1746">
        <v>4.0000000000000001E-3</v>
      </c>
      <c r="AD60" s="1748">
        <v>0.03</v>
      </c>
      <c r="AF60" s="3825"/>
      <c r="AG60" s="1749">
        <v>5</v>
      </c>
      <c r="AH60" s="1742">
        <v>0</v>
      </c>
      <c r="AI60" s="1743">
        <v>0</v>
      </c>
      <c r="AJ60" s="1744">
        <v>0</v>
      </c>
      <c r="AK60" s="1742">
        <v>0</v>
      </c>
      <c r="AL60" s="1743">
        <v>0</v>
      </c>
      <c r="AM60" s="1744">
        <v>0</v>
      </c>
      <c r="AN60" s="1745">
        <v>2.8000000000000001E-2</v>
      </c>
      <c r="AO60" s="1746">
        <v>1E-3</v>
      </c>
      <c r="AP60" s="1745">
        <v>0</v>
      </c>
      <c r="AQ60" s="1747">
        <v>3.0000000000000001E-3</v>
      </c>
      <c r="AR60" s="1746">
        <v>5.0000000000000001E-3</v>
      </c>
      <c r="AS60" s="1748">
        <v>3.6999999999999998E-2</v>
      </c>
      <c r="AU60" s="3825"/>
      <c r="AV60" s="1749">
        <v>5</v>
      </c>
      <c r="AW60" s="1742">
        <v>0</v>
      </c>
      <c r="AX60" s="1743">
        <v>0</v>
      </c>
      <c r="AY60" s="1744">
        <v>0</v>
      </c>
      <c r="AZ60" s="1742">
        <v>0</v>
      </c>
      <c r="BA60" s="1743">
        <v>0</v>
      </c>
      <c r="BB60" s="1744">
        <v>0</v>
      </c>
      <c r="BC60" s="1745">
        <v>3.2000000000000001E-2</v>
      </c>
      <c r="BD60" s="1746">
        <v>2E-3</v>
      </c>
      <c r="BE60" s="1745">
        <v>0</v>
      </c>
      <c r="BF60" s="1747">
        <v>3.0000000000000001E-3</v>
      </c>
      <c r="BG60" s="1746">
        <v>6.0000000000000001E-3</v>
      </c>
      <c r="BH60" s="1748">
        <v>4.2000000000000003E-2</v>
      </c>
      <c r="BJ60" s="3825"/>
      <c r="BK60" s="1749">
        <v>5</v>
      </c>
      <c r="BL60" s="1742">
        <v>0</v>
      </c>
      <c r="BM60" s="1743">
        <v>0</v>
      </c>
      <c r="BN60" s="1744">
        <v>0</v>
      </c>
      <c r="BO60" s="1742">
        <v>0</v>
      </c>
      <c r="BP60" s="1743">
        <v>0</v>
      </c>
      <c r="BQ60" s="1744">
        <v>0</v>
      </c>
      <c r="BR60" s="1745">
        <v>3.5999999999999997E-2</v>
      </c>
      <c r="BS60" s="1746">
        <v>2E-3</v>
      </c>
      <c r="BT60" s="1745">
        <v>0</v>
      </c>
      <c r="BU60" s="1747">
        <v>4.0000000000000001E-3</v>
      </c>
      <c r="BV60" s="1746">
        <v>6.0000000000000001E-3</v>
      </c>
      <c r="BW60" s="1748">
        <v>4.7E-2</v>
      </c>
      <c r="BY60" s="3825"/>
      <c r="BZ60" s="1749">
        <v>5</v>
      </c>
      <c r="CA60" s="1742">
        <v>0</v>
      </c>
      <c r="CB60" s="1743">
        <v>0</v>
      </c>
      <c r="CC60" s="1744">
        <v>0</v>
      </c>
      <c r="CD60" s="1742">
        <v>0</v>
      </c>
      <c r="CE60" s="1743">
        <v>0</v>
      </c>
      <c r="CF60" s="1744">
        <v>0</v>
      </c>
      <c r="CG60" s="1745">
        <v>3.7999999999999999E-2</v>
      </c>
      <c r="CH60" s="1746">
        <v>2E-3</v>
      </c>
      <c r="CI60" s="1745">
        <v>0</v>
      </c>
      <c r="CJ60" s="1747">
        <v>4.0000000000000001E-3</v>
      </c>
      <c r="CK60" s="1746">
        <v>6.0000000000000001E-3</v>
      </c>
      <c r="CL60" s="1748">
        <v>5.0999999999999997E-2</v>
      </c>
    </row>
    <row r="61" spans="1:90" s="1728" customFormat="1" ht="13.5" customHeight="1" thickBot="1">
      <c r="A61" s="3844"/>
      <c r="B61" s="3845"/>
      <c r="C61" s="1750" t="s">
        <v>1422</v>
      </c>
      <c r="D61" s="1751">
        <v>0</v>
      </c>
      <c r="E61" s="1752">
        <v>0</v>
      </c>
      <c r="F61" s="1753">
        <v>0</v>
      </c>
      <c r="G61" s="1751">
        <v>0</v>
      </c>
      <c r="H61" s="1752">
        <v>0</v>
      </c>
      <c r="I61" s="1753">
        <v>0</v>
      </c>
      <c r="J61" s="1754">
        <v>0.17399999999999999</v>
      </c>
      <c r="K61" s="1755">
        <v>0.16300000000000001</v>
      </c>
      <c r="L61" s="1754">
        <v>0.17499999999999999</v>
      </c>
      <c r="M61" s="1756">
        <v>0.28100000000000003</v>
      </c>
      <c r="N61" s="1755">
        <v>0.20799999999999999</v>
      </c>
      <c r="O61" s="1757">
        <v>1</v>
      </c>
      <c r="Q61" s="3826"/>
      <c r="R61" s="1750" t="s">
        <v>1422</v>
      </c>
      <c r="S61" s="1751">
        <v>0</v>
      </c>
      <c r="T61" s="1752">
        <v>0</v>
      </c>
      <c r="U61" s="1753">
        <v>0</v>
      </c>
      <c r="V61" s="1751">
        <v>0</v>
      </c>
      <c r="W61" s="1752">
        <v>0</v>
      </c>
      <c r="X61" s="1753">
        <v>0</v>
      </c>
      <c r="Y61" s="1754">
        <v>0.17399999999999999</v>
      </c>
      <c r="Z61" s="1755">
        <v>0.16200000000000001</v>
      </c>
      <c r="AA61" s="1754">
        <v>0.17499999999999999</v>
      </c>
      <c r="AB61" s="1756">
        <v>0.28100000000000003</v>
      </c>
      <c r="AC61" s="1755">
        <v>0.20799999999999999</v>
      </c>
      <c r="AD61" s="1757">
        <v>1</v>
      </c>
      <c r="AF61" s="3826"/>
      <c r="AG61" s="1750" t="s">
        <v>1422</v>
      </c>
      <c r="AH61" s="1751">
        <v>0</v>
      </c>
      <c r="AI61" s="1752">
        <v>0</v>
      </c>
      <c r="AJ61" s="1753">
        <v>0</v>
      </c>
      <c r="AK61" s="1751">
        <v>0</v>
      </c>
      <c r="AL61" s="1752">
        <v>0</v>
      </c>
      <c r="AM61" s="1753">
        <v>0</v>
      </c>
      <c r="AN61" s="1754">
        <v>0.17299999999999999</v>
      </c>
      <c r="AO61" s="1755">
        <v>0.161</v>
      </c>
      <c r="AP61" s="1754">
        <v>0.17599999999999999</v>
      </c>
      <c r="AQ61" s="1756">
        <v>0.28199999999999997</v>
      </c>
      <c r="AR61" s="1755">
        <v>0.20799999999999999</v>
      </c>
      <c r="AS61" s="1757">
        <v>1</v>
      </c>
      <c r="AU61" s="3826"/>
      <c r="AV61" s="1750" t="s">
        <v>1422</v>
      </c>
      <c r="AW61" s="1751">
        <v>0</v>
      </c>
      <c r="AX61" s="1752">
        <v>0</v>
      </c>
      <c r="AY61" s="1753">
        <v>0</v>
      </c>
      <c r="AZ61" s="1751">
        <v>0</v>
      </c>
      <c r="BA61" s="1752">
        <v>0</v>
      </c>
      <c r="BB61" s="1753">
        <v>0</v>
      </c>
      <c r="BC61" s="1754">
        <v>0.17199999999999999</v>
      </c>
      <c r="BD61" s="1755">
        <v>0.16</v>
      </c>
      <c r="BE61" s="1754">
        <v>0.17699999999999999</v>
      </c>
      <c r="BF61" s="1756">
        <v>0.28299999999999997</v>
      </c>
      <c r="BG61" s="1755">
        <v>0.20799999999999999</v>
      </c>
      <c r="BH61" s="1757">
        <v>1</v>
      </c>
      <c r="BJ61" s="3826"/>
      <c r="BK61" s="1750" t="s">
        <v>1422</v>
      </c>
      <c r="BL61" s="1751">
        <v>0</v>
      </c>
      <c r="BM61" s="1752">
        <v>0</v>
      </c>
      <c r="BN61" s="1753">
        <v>0</v>
      </c>
      <c r="BO61" s="1751">
        <v>0</v>
      </c>
      <c r="BP61" s="1752">
        <v>0</v>
      </c>
      <c r="BQ61" s="1753">
        <v>0</v>
      </c>
      <c r="BR61" s="1754">
        <v>0.17199999999999999</v>
      </c>
      <c r="BS61" s="1755">
        <v>0.16</v>
      </c>
      <c r="BT61" s="1754">
        <v>0.17799999999999999</v>
      </c>
      <c r="BU61" s="1756">
        <v>0.28299999999999997</v>
      </c>
      <c r="BV61" s="1755">
        <v>0.20799999999999999</v>
      </c>
      <c r="BW61" s="1757">
        <v>1</v>
      </c>
      <c r="BY61" s="3826"/>
      <c r="BZ61" s="1750" t="s">
        <v>1422</v>
      </c>
      <c r="CA61" s="1751">
        <v>0</v>
      </c>
      <c r="CB61" s="1752">
        <v>0</v>
      </c>
      <c r="CC61" s="1753">
        <v>0</v>
      </c>
      <c r="CD61" s="1751">
        <v>0</v>
      </c>
      <c r="CE61" s="1752">
        <v>0</v>
      </c>
      <c r="CF61" s="1753">
        <v>0</v>
      </c>
      <c r="CG61" s="1754">
        <v>0.17100000000000001</v>
      </c>
      <c r="CH61" s="1755">
        <v>0.16</v>
      </c>
      <c r="CI61" s="1754">
        <v>0.17799999999999999</v>
      </c>
      <c r="CJ61" s="1756">
        <v>0.28299999999999997</v>
      </c>
      <c r="CK61" s="1755">
        <v>0.20799999999999999</v>
      </c>
      <c r="CL61" s="1757">
        <v>1</v>
      </c>
    </row>
    <row r="62" spans="1:90" s="1728" customFormat="1" ht="13.5" customHeight="1" thickTop="1">
      <c r="A62" s="3840" t="s">
        <v>1123</v>
      </c>
      <c r="B62" s="3841"/>
      <c r="C62" s="1733">
        <v>1</v>
      </c>
      <c r="D62" s="1734">
        <v>0</v>
      </c>
      <c r="E62" s="1735">
        <v>0</v>
      </c>
      <c r="F62" s="1736">
        <v>0</v>
      </c>
      <c r="G62" s="1734">
        <v>0</v>
      </c>
      <c r="H62" s="1735">
        <v>0</v>
      </c>
      <c r="I62" s="1736">
        <v>0</v>
      </c>
      <c r="J62" s="1737">
        <v>3.3000000000000002E-2</v>
      </c>
      <c r="K62" s="1738">
        <v>0.104</v>
      </c>
      <c r="L62" s="1737">
        <v>1.9E-2</v>
      </c>
      <c r="M62" s="1739">
        <v>0.14199999999999999</v>
      </c>
      <c r="N62" s="1738">
        <v>0.128</v>
      </c>
      <c r="O62" s="1740">
        <v>0.42499999999999999</v>
      </c>
      <c r="Q62" s="3824" t="s">
        <v>1123</v>
      </c>
      <c r="R62" s="1733">
        <v>1</v>
      </c>
      <c r="S62" s="1734">
        <v>0</v>
      </c>
      <c r="T62" s="1735">
        <v>0</v>
      </c>
      <c r="U62" s="1736">
        <v>0</v>
      </c>
      <c r="V62" s="1734">
        <v>0</v>
      </c>
      <c r="W62" s="1735">
        <v>0</v>
      </c>
      <c r="X62" s="1736">
        <v>0</v>
      </c>
      <c r="Y62" s="1737">
        <v>3.1E-2</v>
      </c>
      <c r="Z62" s="1738">
        <v>0.10199999999999999</v>
      </c>
      <c r="AA62" s="1737">
        <v>1.9E-2</v>
      </c>
      <c r="AB62" s="1739">
        <v>0.14000000000000001</v>
      </c>
      <c r="AC62" s="1738">
        <v>0.127</v>
      </c>
      <c r="AD62" s="1740">
        <v>0.41899999999999998</v>
      </c>
      <c r="AF62" s="3824" t="s">
        <v>1123</v>
      </c>
      <c r="AG62" s="1733">
        <v>1</v>
      </c>
      <c r="AH62" s="1734">
        <v>0</v>
      </c>
      <c r="AI62" s="1735">
        <v>0</v>
      </c>
      <c r="AJ62" s="1736">
        <v>0</v>
      </c>
      <c r="AK62" s="1734">
        <v>0</v>
      </c>
      <c r="AL62" s="1735">
        <v>0</v>
      </c>
      <c r="AM62" s="1736">
        <v>0</v>
      </c>
      <c r="AN62" s="1737">
        <v>2.5999999999999999E-2</v>
      </c>
      <c r="AO62" s="1738">
        <v>0.1</v>
      </c>
      <c r="AP62" s="1737">
        <v>1.7000000000000001E-2</v>
      </c>
      <c r="AQ62" s="1739">
        <v>0.11899999999999999</v>
      </c>
      <c r="AR62" s="1738">
        <v>0.122</v>
      </c>
      <c r="AS62" s="1740">
        <v>0.38400000000000001</v>
      </c>
      <c r="AU62" s="3824" t="s">
        <v>1123</v>
      </c>
      <c r="AV62" s="1733">
        <v>1</v>
      </c>
      <c r="AW62" s="1734">
        <v>0</v>
      </c>
      <c r="AX62" s="1735">
        <v>0</v>
      </c>
      <c r="AY62" s="1736">
        <v>0</v>
      </c>
      <c r="AZ62" s="1734">
        <v>0</v>
      </c>
      <c r="BA62" s="1735">
        <v>0</v>
      </c>
      <c r="BB62" s="1736">
        <v>0</v>
      </c>
      <c r="BC62" s="1737">
        <v>2.4E-2</v>
      </c>
      <c r="BD62" s="1738">
        <v>9.5000000000000001E-2</v>
      </c>
      <c r="BE62" s="1737">
        <v>1.6E-2</v>
      </c>
      <c r="BF62" s="1739">
        <v>0.11899999999999999</v>
      </c>
      <c r="BG62" s="1738">
        <v>0.122</v>
      </c>
      <c r="BH62" s="1740">
        <v>0.376</v>
      </c>
      <c r="BJ62" s="3824" t="s">
        <v>1123</v>
      </c>
      <c r="BK62" s="1733">
        <v>1</v>
      </c>
      <c r="BL62" s="1734">
        <v>0</v>
      </c>
      <c r="BM62" s="1735">
        <v>0</v>
      </c>
      <c r="BN62" s="1736">
        <v>0</v>
      </c>
      <c r="BO62" s="1734">
        <v>0</v>
      </c>
      <c r="BP62" s="1735">
        <v>0</v>
      </c>
      <c r="BQ62" s="1736">
        <v>0</v>
      </c>
      <c r="BR62" s="1737">
        <v>2.3E-2</v>
      </c>
      <c r="BS62" s="1738">
        <v>0.09</v>
      </c>
      <c r="BT62" s="1737">
        <v>1.4E-2</v>
      </c>
      <c r="BU62" s="1739">
        <v>0.113</v>
      </c>
      <c r="BV62" s="1738">
        <v>0.12</v>
      </c>
      <c r="BW62" s="1740">
        <v>0.36099999999999999</v>
      </c>
      <c r="BY62" s="3824" t="s">
        <v>1123</v>
      </c>
      <c r="BZ62" s="1733">
        <v>1</v>
      </c>
      <c r="CA62" s="1734">
        <v>0</v>
      </c>
      <c r="CB62" s="1735">
        <v>0</v>
      </c>
      <c r="CC62" s="1736">
        <v>0</v>
      </c>
      <c r="CD62" s="1734">
        <v>0</v>
      </c>
      <c r="CE62" s="1735">
        <v>0</v>
      </c>
      <c r="CF62" s="1736">
        <v>0</v>
      </c>
      <c r="CG62" s="1737">
        <v>2.1000000000000001E-2</v>
      </c>
      <c r="CH62" s="1738">
        <v>0.09</v>
      </c>
      <c r="CI62" s="1737">
        <v>1.4E-2</v>
      </c>
      <c r="CJ62" s="1739">
        <v>9.2999999999999999E-2</v>
      </c>
      <c r="CK62" s="1738">
        <v>0.114</v>
      </c>
      <c r="CL62" s="1740">
        <v>0.33300000000000002</v>
      </c>
    </row>
    <row r="63" spans="1:90" s="1728" customFormat="1" ht="13.5" customHeight="1">
      <c r="A63" s="3842"/>
      <c r="B63" s="3843"/>
      <c r="C63" s="1741">
        <v>2</v>
      </c>
      <c r="D63" s="1742">
        <v>0</v>
      </c>
      <c r="E63" s="1743">
        <v>0</v>
      </c>
      <c r="F63" s="1744">
        <v>0</v>
      </c>
      <c r="G63" s="1742">
        <v>0</v>
      </c>
      <c r="H63" s="1743">
        <v>0</v>
      </c>
      <c r="I63" s="1744">
        <v>0</v>
      </c>
      <c r="J63" s="1745">
        <v>6.9000000000000006E-2</v>
      </c>
      <c r="K63" s="1746">
        <v>4.3999999999999997E-2</v>
      </c>
      <c r="L63" s="1745">
        <v>6.6000000000000003E-2</v>
      </c>
      <c r="M63" s="1747">
        <v>0.14099999999999999</v>
      </c>
      <c r="N63" s="1746">
        <v>1.2E-2</v>
      </c>
      <c r="O63" s="1748">
        <v>0.33200000000000002</v>
      </c>
      <c r="Q63" s="3825"/>
      <c r="R63" s="1741">
        <v>2</v>
      </c>
      <c r="S63" s="1742">
        <v>0</v>
      </c>
      <c r="T63" s="1743">
        <v>0</v>
      </c>
      <c r="U63" s="1744">
        <v>0</v>
      </c>
      <c r="V63" s="1742">
        <v>0</v>
      </c>
      <c r="W63" s="1743">
        <v>0</v>
      </c>
      <c r="X63" s="1744">
        <v>0</v>
      </c>
      <c r="Y63" s="1745">
        <v>6.2E-2</v>
      </c>
      <c r="Z63" s="1746">
        <v>4.3999999999999997E-2</v>
      </c>
      <c r="AA63" s="1745">
        <v>6.2E-2</v>
      </c>
      <c r="AB63" s="1747">
        <v>0.14000000000000001</v>
      </c>
      <c r="AC63" s="1746">
        <v>1.2999999999999999E-2</v>
      </c>
      <c r="AD63" s="1748">
        <v>0.32</v>
      </c>
      <c r="AF63" s="3825"/>
      <c r="AG63" s="1741">
        <v>2</v>
      </c>
      <c r="AH63" s="1742">
        <v>0</v>
      </c>
      <c r="AI63" s="1743">
        <v>0</v>
      </c>
      <c r="AJ63" s="1744">
        <v>0</v>
      </c>
      <c r="AK63" s="1742">
        <v>0</v>
      </c>
      <c r="AL63" s="1743">
        <v>0</v>
      </c>
      <c r="AM63" s="1744">
        <v>0</v>
      </c>
      <c r="AN63" s="1745">
        <v>5.7000000000000002E-2</v>
      </c>
      <c r="AO63" s="1746">
        <v>4.2999999999999997E-2</v>
      </c>
      <c r="AP63" s="1745">
        <v>5.2999999999999999E-2</v>
      </c>
      <c r="AQ63" s="1747">
        <v>0.158</v>
      </c>
      <c r="AR63" s="1746">
        <v>1.6E-2</v>
      </c>
      <c r="AS63" s="1748">
        <v>0.32800000000000001</v>
      </c>
      <c r="AU63" s="3825"/>
      <c r="AV63" s="1741">
        <v>2</v>
      </c>
      <c r="AW63" s="1742">
        <v>0</v>
      </c>
      <c r="AX63" s="1743">
        <v>0</v>
      </c>
      <c r="AY63" s="1744">
        <v>0</v>
      </c>
      <c r="AZ63" s="1742">
        <v>0</v>
      </c>
      <c r="BA63" s="1743">
        <v>0</v>
      </c>
      <c r="BB63" s="1744">
        <v>0</v>
      </c>
      <c r="BC63" s="1745">
        <v>4.8000000000000001E-2</v>
      </c>
      <c r="BD63" s="1746">
        <v>4.2999999999999997E-2</v>
      </c>
      <c r="BE63" s="1745">
        <v>3.5000000000000003E-2</v>
      </c>
      <c r="BF63" s="1747">
        <v>0.14899999999999999</v>
      </c>
      <c r="BG63" s="1746">
        <v>1.6E-2</v>
      </c>
      <c r="BH63" s="1748">
        <v>0.29099999999999998</v>
      </c>
      <c r="BJ63" s="3825"/>
      <c r="BK63" s="1741">
        <v>2</v>
      </c>
      <c r="BL63" s="1742">
        <v>0</v>
      </c>
      <c r="BM63" s="1743">
        <v>0</v>
      </c>
      <c r="BN63" s="1744">
        <v>0</v>
      </c>
      <c r="BO63" s="1742">
        <v>0</v>
      </c>
      <c r="BP63" s="1743">
        <v>0</v>
      </c>
      <c r="BQ63" s="1744">
        <v>0</v>
      </c>
      <c r="BR63" s="1745">
        <v>4.3999999999999997E-2</v>
      </c>
      <c r="BS63" s="1746">
        <v>4.3999999999999997E-2</v>
      </c>
      <c r="BT63" s="1745">
        <v>2.4E-2</v>
      </c>
      <c r="BU63" s="1747">
        <v>0.14199999999999999</v>
      </c>
      <c r="BV63" s="1746">
        <v>1.7000000000000001E-2</v>
      </c>
      <c r="BW63" s="1748">
        <v>0.27100000000000002</v>
      </c>
      <c r="BY63" s="3825"/>
      <c r="BZ63" s="1741">
        <v>2</v>
      </c>
      <c r="CA63" s="1742">
        <v>0</v>
      </c>
      <c r="CB63" s="1743">
        <v>0</v>
      </c>
      <c r="CC63" s="1744">
        <v>0</v>
      </c>
      <c r="CD63" s="1742">
        <v>0</v>
      </c>
      <c r="CE63" s="1743">
        <v>0</v>
      </c>
      <c r="CF63" s="1744">
        <v>0</v>
      </c>
      <c r="CG63" s="1745">
        <v>3.9E-2</v>
      </c>
      <c r="CH63" s="1746">
        <v>4.3999999999999997E-2</v>
      </c>
      <c r="CI63" s="1745">
        <v>2.1000000000000001E-2</v>
      </c>
      <c r="CJ63" s="1747">
        <v>0.151</v>
      </c>
      <c r="CK63" s="1746">
        <v>2.3E-2</v>
      </c>
      <c r="CL63" s="1748">
        <v>0.27800000000000002</v>
      </c>
    </row>
    <row r="64" spans="1:90" s="1728" customFormat="1" ht="13.5" customHeight="1">
      <c r="A64" s="3842"/>
      <c r="B64" s="3843"/>
      <c r="C64" s="1741">
        <v>3</v>
      </c>
      <c r="D64" s="1742">
        <v>0</v>
      </c>
      <c r="E64" s="1743">
        <v>0</v>
      </c>
      <c r="F64" s="1744">
        <v>0</v>
      </c>
      <c r="G64" s="1742">
        <v>0</v>
      </c>
      <c r="H64" s="1743">
        <v>0</v>
      </c>
      <c r="I64" s="1744">
        <v>0</v>
      </c>
      <c r="J64" s="1745">
        <v>4.4999999999999998E-2</v>
      </c>
      <c r="K64" s="1746">
        <v>1.6E-2</v>
      </c>
      <c r="L64" s="1745">
        <v>7.6999999999999999E-2</v>
      </c>
      <c r="M64" s="1747">
        <v>3.5999999999999997E-2</v>
      </c>
      <c r="N64" s="1746">
        <v>4.0000000000000001E-3</v>
      </c>
      <c r="O64" s="1748">
        <v>0.17799999999999999</v>
      </c>
      <c r="Q64" s="3825"/>
      <c r="R64" s="1741">
        <v>3</v>
      </c>
      <c r="S64" s="1742">
        <v>0</v>
      </c>
      <c r="T64" s="1743">
        <v>0</v>
      </c>
      <c r="U64" s="1744">
        <v>0</v>
      </c>
      <c r="V64" s="1742">
        <v>0</v>
      </c>
      <c r="W64" s="1743">
        <v>0</v>
      </c>
      <c r="X64" s="1744">
        <v>0</v>
      </c>
      <c r="Y64" s="1745">
        <v>0.05</v>
      </c>
      <c r="Z64" s="1746">
        <v>1.6E-2</v>
      </c>
      <c r="AA64" s="1745">
        <v>8.6999999999999994E-2</v>
      </c>
      <c r="AB64" s="1747">
        <v>3.9E-2</v>
      </c>
      <c r="AC64" s="1746">
        <v>5.0000000000000001E-3</v>
      </c>
      <c r="AD64" s="1748">
        <v>0.19700000000000001</v>
      </c>
      <c r="AF64" s="3825"/>
      <c r="AG64" s="1741">
        <v>3</v>
      </c>
      <c r="AH64" s="1742">
        <v>0</v>
      </c>
      <c r="AI64" s="1743">
        <v>0</v>
      </c>
      <c r="AJ64" s="1744">
        <v>0</v>
      </c>
      <c r="AK64" s="1742">
        <v>0</v>
      </c>
      <c r="AL64" s="1743">
        <v>0</v>
      </c>
      <c r="AM64" s="1744">
        <v>0</v>
      </c>
      <c r="AN64" s="1745">
        <v>5.7000000000000002E-2</v>
      </c>
      <c r="AO64" s="1746">
        <v>1.7000000000000001E-2</v>
      </c>
      <c r="AP64" s="1745">
        <v>9.1999999999999998E-2</v>
      </c>
      <c r="AQ64" s="1747">
        <v>4.1000000000000002E-2</v>
      </c>
      <c r="AR64" s="1746">
        <v>5.0000000000000001E-3</v>
      </c>
      <c r="AS64" s="1748">
        <v>0.21199999999999999</v>
      </c>
      <c r="AU64" s="3825"/>
      <c r="AV64" s="1741">
        <v>3</v>
      </c>
      <c r="AW64" s="1742">
        <v>0</v>
      </c>
      <c r="AX64" s="1743">
        <v>0</v>
      </c>
      <c r="AY64" s="1744">
        <v>0</v>
      </c>
      <c r="AZ64" s="1742">
        <v>0</v>
      </c>
      <c r="BA64" s="1743">
        <v>0</v>
      </c>
      <c r="BB64" s="1744">
        <v>0</v>
      </c>
      <c r="BC64" s="1745">
        <v>0.06</v>
      </c>
      <c r="BD64" s="1746">
        <v>1.7999999999999999E-2</v>
      </c>
      <c r="BE64" s="1745">
        <v>9.2999999999999999E-2</v>
      </c>
      <c r="BF64" s="1747">
        <v>4.8000000000000001E-2</v>
      </c>
      <c r="BG64" s="1746">
        <v>6.0000000000000001E-3</v>
      </c>
      <c r="BH64" s="1748">
        <v>0.22500000000000001</v>
      </c>
      <c r="BJ64" s="3825"/>
      <c r="BK64" s="1741">
        <v>3</v>
      </c>
      <c r="BL64" s="1742">
        <v>0</v>
      </c>
      <c r="BM64" s="1743">
        <v>0</v>
      </c>
      <c r="BN64" s="1744">
        <v>0</v>
      </c>
      <c r="BO64" s="1742">
        <v>0</v>
      </c>
      <c r="BP64" s="1743">
        <v>0</v>
      </c>
      <c r="BQ64" s="1744">
        <v>0</v>
      </c>
      <c r="BR64" s="1745">
        <v>0.06</v>
      </c>
      <c r="BS64" s="1746">
        <v>1.9E-2</v>
      </c>
      <c r="BT64" s="1745">
        <v>8.5000000000000006E-2</v>
      </c>
      <c r="BU64" s="1747">
        <v>5.8999999999999997E-2</v>
      </c>
      <c r="BV64" s="1746">
        <v>6.0000000000000001E-3</v>
      </c>
      <c r="BW64" s="1748">
        <v>0.22900000000000001</v>
      </c>
      <c r="BY64" s="3825"/>
      <c r="BZ64" s="1741">
        <v>3</v>
      </c>
      <c r="CA64" s="1742">
        <v>0</v>
      </c>
      <c r="CB64" s="1743">
        <v>0</v>
      </c>
      <c r="CC64" s="1744">
        <v>0</v>
      </c>
      <c r="CD64" s="1742">
        <v>0</v>
      </c>
      <c r="CE64" s="1743">
        <v>0</v>
      </c>
      <c r="CF64" s="1744">
        <v>0</v>
      </c>
      <c r="CG64" s="1745">
        <v>6.0999999999999999E-2</v>
      </c>
      <c r="CH64" s="1746">
        <v>0.02</v>
      </c>
      <c r="CI64" s="1745">
        <v>7.4999999999999997E-2</v>
      </c>
      <c r="CJ64" s="1747">
        <v>6.6000000000000003E-2</v>
      </c>
      <c r="CK64" s="1746">
        <v>6.0000000000000001E-3</v>
      </c>
      <c r="CL64" s="1748">
        <v>0.22900000000000001</v>
      </c>
    </row>
    <row r="65" spans="1:90" s="1728" customFormat="1" ht="13.5" customHeight="1">
      <c r="A65" s="3842"/>
      <c r="B65" s="3843"/>
      <c r="C65" s="1741">
        <v>4</v>
      </c>
      <c r="D65" s="1742">
        <v>0</v>
      </c>
      <c r="E65" s="1743">
        <v>0</v>
      </c>
      <c r="F65" s="1744">
        <v>0</v>
      </c>
      <c r="G65" s="1742">
        <v>0</v>
      </c>
      <c r="H65" s="1743">
        <v>0</v>
      </c>
      <c r="I65" s="1744">
        <v>0</v>
      </c>
      <c r="J65" s="1745">
        <v>0.02</v>
      </c>
      <c r="K65" s="1746">
        <v>1.7000000000000001E-2</v>
      </c>
      <c r="L65" s="1745">
        <v>8.9999999999999993E-3</v>
      </c>
      <c r="M65" s="1747">
        <v>6.0000000000000001E-3</v>
      </c>
      <c r="N65" s="1746">
        <v>2E-3</v>
      </c>
      <c r="O65" s="1748">
        <v>5.2999999999999999E-2</v>
      </c>
      <c r="Q65" s="3825"/>
      <c r="R65" s="1741">
        <v>4</v>
      </c>
      <c r="S65" s="1742">
        <v>0</v>
      </c>
      <c r="T65" s="1743">
        <v>0</v>
      </c>
      <c r="U65" s="1744">
        <v>0</v>
      </c>
      <c r="V65" s="1742">
        <v>0</v>
      </c>
      <c r="W65" s="1743">
        <v>0</v>
      </c>
      <c r="X65" s="1744">
        <v>0</v>
      </c>
      <c r="Y65" s="1745">
        <v>2.1999999999999999E-2</v>
      </c>
      <c r="Z65" s="1746">
        <v>1.4999999999999999E-2</v>
      </c>
      <c r="AA65" s="1745">
        <v>4.0000000000000001E-3</v>
      </c>
      <c r="AB65" s="1747">
        <v>6.0000000000000001E-3</v>
      </c>
      <c r="AC65" s="1746">
        <v>2E-3</v>
      </c>
      <c r="AD65" s="1748">
        <v>4.9000000000000002E-2</v>
      </c>
      <c r="AF65" s="3825"/>
      <c r="AG65" s="1741">
        <v>4</v>
      </c>
      <c r="AH65" s="1742">
        <v>0</v>
      </c>
      <c r="AI65" s="1743">
        <v>0</v>
      </c>
      <c r="AJ65" s="1744">
        <v>0</v>
      </c>
      <c r="AK65" s="1742">
        <v>0</v>
      </c>
      <c r="AL65" s="1743">
        <v>0</v>
      </c>
      <c r="AM65" s="1744">
        <v>0</v>
      </c>
      <c r="AN65" s="1745">
        <v>2.4E-2</v>
      </c>
      <c r="AO65" s="1746">
        <v>8.9999999999999993E-3</v>
      </c>
      <c r="AP65" s="1745">
        <v>1.2E-2</v>
      </c>
      <c r="AQ65" s="1747">
        <v>8.0000000000000002E-3</v>
      </c>
      <c r="AR65" s="1746">
        <v>2E-3</v>
      </c>
      <c r="AS65" s="1748">
        <v>5.6000000000000001E-2</v>
      </c>
      <c r="AU65" s="3825"/>
      <c r="AV65" s="1741">
        <v>4</v>
      </c>
      <c r="AW65" s="1742">
        <v>0</v>
      </c>
      <c r="AX65" s="1743">
        <v>0</v>
      </c>
      <c r="AY65" s="1744">
        <v>0</v>
      </c>
      <c r="AZ65" s="1742">
        <v>0</v>
      </c>
      <c r="BA65" s="1743">
        <v>0</v>
      </c>
      <c r="BB65" s="1744">
        <v>0</v>
      </c>
      <c r="BC65" s="1745">
        <v>2.5999999999999999E-2</v>
      </c>
      <c r="BD65" s="1746">
        <v>8.0000000000000002E-3</v>
      </c>
      <c r="BE65" s="1745">
        <v>3.2000000000000001E-2</v>
      </c>
      <c r="BF65" s="1747">
        <v>1.2E-2</v>
      </c>
      <c r="BG65" s="1746">
        <v>3.0000000000000001E-3</v>
      </c>
      <c r="BH65" s="1748">
        <v>8.1000000000000003E-2</v>
      </c>
      <c r="BJ65" s="3825"/>
      <c r="BK65" s="1741">
        <v>4</v>
      </c>
      <c r="BL65" s="1742">
        <v>0</v>
      </c>
      <c r="BM65" s="1743">
        <v>0</v>
      </c>
      <c r="BN65" s="1744">
        <v>0</v>
      </c>
      <c r="BO65" s="1742">
        <v>0</v>
      </c>
      <c r="BP65" s="1743">
        <v>0</v>
      </c>
      <c r="BQ65" s="1744">
        <v>0</v>
      </c>
      <c r="BR65" s="1745">
        <v>0.03</v>
      </c>
      <c r="BS65" s="1746">
        <v>8.9999999999999993E-3</v>
      </c>
      <c r="BT65" s="1745">
        <v>4.8000000000000001E-2</v>
      </c>
      <c r="BU65" s="1747">
        <v>1.4E-2</v>
      </c>
      <c r="BV65" s="1746">
        <v>3.0000000000000001E-3</v>
      </c>
      <c r="BW65" s="1748">
        <v>0.104</v>
      </c>
      <c r="BY65" s="3825"/>
      <c r="BZ65" s="1741">
        <v>4</v>
      </c>
      <c r="CA65" s="1742">
        <v>0</v>
      </c>
      <c r="CB65" s="1743">
        <v>0</v>
      </c>
      <c r="CC65" s="1744">
        <v>0</v>
      </c>
      <c r="CD65" s="1742">
        <v>0</v>
      </c>
      <c r="CE65" s="1743">
        <v>0</v>
      </c>
      <c r="CF65" s="1744">
        <v>0</v>
      </c>
      <c r="CG65" s="1745">
        <v>3.3000000000000002E-2</v>
      </c>
      <c r="CH65" s="1746">
        <v>8.9999999999999993E-3</v>
      </c>
      <c r="CI65" s="1745">
        <v>6.6000000000000003E-2</v>
      </c>
      <c r="CJ65" s="1747">
        <v>1.7999999999999999E-2</v>
      </c>
      <c r="CK65" s="1746">
        <v>4.0000000000000001E-3</v>
      </c>
      <c r="CL65" s="1748">
        <v>0.129</v>
      </c>
    </row>
    <row r="66" spans="1:90" s="1728" customFormat="1" ht="13.5" customHeight="1">
      <c r="A66" s="3842"/>
      <c r="B66" s="3843"/>
      <c r="C66" s="1749">
        <v>5</v>
      </c>
      <c r="D66" s="1742">
        <v>0</v>
      </c>
      <c r="E66" s="1743">
        <v>0</v>
      </c>
      <c r="F66" s="1744">
        <v>0</v>
      </c>
      <c r="G66" s="1742">
        <v>0</v>
      </c>
      <c r="H66" s="1743">
        <v>0</v>
      </c>
      <c r="I66" s="1744">
        <v>0</v>
      </c>
      <c r="J66" s="1745">
        <v>8.9999999999999993E-3</v>
      </c>
      <c r="K66" s="1746">
        <v>2E-3</v>
      </c>
      <c r="L66" s="1745">
        <v>0</v>
      </c>
      <c r="M66" s="1747">
        <v>1E-3</v>
      </c>
      <c r="N66" s="1746">
        <v>0</v>
      </c>
      <c r="O66" s="1748">
        <v>1.2E-2</v>
      </c>
      <c r="Q66" s="3825"/>
      <c r="R66" s="1749">
        <v>5</v>
      </c>
      <c r="S66" s="1742">
        <v>0</v>
      </c>
      <c r="T66" s="1743">
        <v>0</v>
      </c>
      <c r="U66" s="1744">
        <v>0</v>
      </c>
      <c r="V66" s="1742">
        <v>0</v>
      </c>
      <c r="W66" s="1743">
        <v>0</v>
      </c>
      <c r="X66" s="1744">
        <v>0</v>
      </c>
      <c r="Y66" s="1745">
        <v>1.0999999999999999E-2</v>
      </c>
      <c r="Z66" s="1746">
        <v>2E-3</v>
      </c>
      <c r="AA66" s="1745">
        <v>0</v>
      </c>
      <c r="AB66" s="1747">
        <v>1E-3</v>
      </c>
      <c r="AC66" s="1746">
        <v>0</v>
      </c>
      <c r="AD66" s="1748">
        <v>1.2999999999999999E-2</v>
      </c>
      <c r="AF66" s="3825"/>
      <c r="AG66" s="1749">
        <v>5</v>
      </c>
      <c r="AH66" s="1742">
        <v>0</v>
      </c>
      <c r="AI66" s="1743">
        <v>0</v>
      </c>
      <c r="AJ66" s="1744">
        <v>0</v>
      </c>
      <c r="AK66" s="1742">
        <v>0</v>
      </c>
      <c r="AL66" s="1743">
        <v>0</v>
      </c>
      <c r="AM66" s="1744">
        <v>0</v>
      </c>
      <c r="AN66" s="1745">
        <v>0.01</v>
      </c>
      <c r="AO66" s="1746">
        <v>8.0000000000000002E-3</v>
      </c>
      <c r="AP66" s="1745">
        <v>0</v>
      </c>
      <c r="AQ66" s="1747">
        <v>1E-3</v>
      </c>
      <c r="AR66" s="1746">
        <v>1E-3</v>
      </c>
      <c r="AS66" s="1748">
        <v>0.02</v>
      </c>
      <c r="AU66" s="3825"/>
      <c r="AV66" s="1749">
        <v>5</v>
      </c>
      <c r="AW66" s="1742">
        <v>0</v>
      </c>
      <c r="AX66" s="1743">
        <v>0</v>
      </c>
      <c r="AY66" s="1744">
        <v>0</v>
      </c>
      <c r="AZ66" s="1742">
        <v>0</v>
      </c>
      <c r="BA66" s="1743">
        <v>0</v>
      </c>
      <c r="BB66" s="1744">
        <v>0</v>
      </c>
      <c r="BC66" s="1745">
        <v>1.4E-2</v>
      </c>
      <c r="BD66" s="1746">
        <v>0.01</v>
      </c>
      <c r="BE66" s="1745">
        <v>0</v>
      </c>
      <c r="BF66" s="1747">
        <v>1E-3</v>
      </c>
      <c r="BG66" s="1746">
        <v>1E-3</v>
      </c>
      <c r="BH66" s="1748">
        <v>2.7E-2</v>
      </c>
      <c r="BJ66" s="3825"/>
      <c r="BK66" s="1749">
        <v>5</v>
      </c>
      <c r="BL66" s="1742">
        <v>0</v>
      </c>
      <c r="BM66" s="1743">
        <v>0</v>
      </c>
      <c r="BN66" s="1744">
        <v>0</v>
      </c>
      <c r="BO66" s="1742">
        <v>0</v>
      </c>
      <c r="BP66" s="1743">
        <v>0</v>
      </c>
      <c r="BQ66" s="1744">
        <v>0</v>
      </c>
      <c r="BR66" s="1745">
        <v>1.6E-2</v>
      </c>
      <c r="BS66" s="1746">
        <v>0.01</v>
      </c>
      <c r="BT66" s="1745">
        <v>0</v>
      </c>
      <c r="BU66" s="1747">
        <v>2E-3</v>
      </c>
      <c r="BV66" s="1746">
        <v>1E-3</v>
      </c>
      <c r="BW66" s="1748">
        <v>2.9000000000000001E-2</v>
      </c>
      <c r="BY66" s="3825"/>
      <c r="BZ66" s="1749">
        <v>5</v>
      </c>
      <c r="CA66" s="1742">
        <v>0</v>
      </c>
      <c r="CB66" s="1743">
        <v>0</v>
      </c>
      <c r="CC66" s="1744">
        <v>0</v>
      </c>
      <c r="CD66" s="1742">
        <v>0</v>
      </c>
      <c r="CE66" s="1743">
        <v>0</v>
      </c>
      <c r="CF66" s="1744">
        <v>0</v>
      </c>
      <c r="CG66" s="1745">
        <v>1.7000000000000001E-2</v>
      </c>
      <c r="CH66" s="1746">
        <v>1.0999999999999999E-2</v>
      </c>
      <c r="CI66" s="1745">
        <v>0</v>
      </c>
      <c r="CJ66" s="1747">
        <v>2E-3</v>
      </c>
      <c r="CK66" s="1746">
        <v>2E-3</v>
      </c>
      <c r="CL66" s="1748">
        <v>3.2000000000000001E-2</v>
      </c>
    </row>
    <row r="67" spans="1:90" s="1728" customFormat="1" ht="13.5" customHeight="1" thickBot="1">
      <c r="A67" s="3844"/>
      <c r="B67" s="3845"/>
      <c r="C67" s="1750" t="s">
        <v>1422</v>
      </c>
      <c r="D67" s="1751">
        <v>0</v>
      </c>
      <c r="E67" s="1752">
        <v>0</v>
      </c>
      <c r="F67" s="1753">
        <v>0</v>
      </c>
      <c r="G67" s="1751">
        <v>0</v>
      </c>
      <c r="H67" s="1752">
        <v>0</v>
      </c>
      <c r="I67" s="1753">
        <v>0</v>
      </c>
      <c r="J67" s="1754">
        <v>0.17499999999999999</v>
      </c>
      <c r="K67" s="1755">
        <v>0.182</v>
      </c>
      <c r="L67" s="1754">
        <v>0.17100000000000001</v>
      </c>
      <c r="M67" s="1756">
        <v>0.32500000000000001</v>
      </c>
      <c r="N67" s="1755">
        <v>0.14599999999999999</v>
      </c>
      <c r="O67" s="1757">
        <v>1</v>
      </c>
      <c r="Q67" s="3826"/>
      <c r="R67" s="1750" t="s">
        <v>1422</v>
      </c>
      <c r="S67" s="1751">
        <v>0</v>
      </c>
      <c r="T67" s="1752">
        <v>0</v>
      </c>
      <c r="U67" s="1753">
        <v>0</v>
      </c>
      <c r="V67" s="1751">
        <v>0</v>
      </c>
      <c r="W67" s="1752">
        <v>0</v>
      </c>
      <c r="X67" s="1753">
        <v>0</v>
      </c>
      <c r="Y67" s="1754">
        <v>0.17499999999999999</v>
      </c>
      <c r="Z67" s="1755">
        <v>0.17899999999999999</v>
      </c>
      <c r="AA67" s="1754">
        <v>0.17199999999999999</v>
      </c>
      <c r="AB67" s="1756">
        <v>0.32700000000000001</v>
      </c>
      <c r="AC67" s="1755">
        <v>0.14699999999999999</v>
      </c>
      <c r="AD67" s="1757">
        <v>1</v>
      </c>
      <c r="AF67" s="3826"/>
      <c r="AG67" s="1750" t="s">
        <v>1422</v>
      </c>
      <c r="AH67" s="1751">
        <v>0</v>
      </c>
      <c r="AI67" s="1752">
        <v>0</v>
      </c>
      <c r="AJ67" s="1753">
        <v>0</v>
      </c>
      <c r="AK67" s="1751">
        <v>0</v>
      </c>
      <c r="AL67" s="1752">
        <v>0</v>
      </c>
      <c r="AM67" s="1753">
        <v>0</v>
      </c>
      <c r="AN67" s="1754">
        <v>0.17499999999999999</v>
      </c>
      <c r="AO67" s="1755">
        <v>0.17699999999999999</v>
      </c>
      <c r="AP67" s="1754">
        <v>0.17399999999999999</v>
      </c>
      <c r="AQ67" s="1756">
        <v>0.32700000000000001</v>
      </c>
      <c r="AR67" s="1755">
        <v>0.14699999999999999</v>
      </c>
      <c r="AS67" s="1757">
        <v>1</v>
      </c>
      <c r="AU67" s="3826"/>
      <c r="AV67" s="1750" t="s">
        <v>1422</v>
      </c>
      <c r="AW67" s="1751">
        <v>0</v>
      </c>
      <c r="AX67" s="1752">
        <v>0</v>
      </c>
      <c r="AY67" s="1753">
        <v>0</v>
      </c>
      <c r="AZ67" s="1751">
        <v>0</v>
      </c>
      <c r="BA67" s="1752">
        <v>0</v>
      </c>
      <c r="BB67" s="1753">
        <v>0</v>
      </c>
      <c r="BC67" s="1754">
        <v>0.17299999999999999</v>
      </c>
      <c r="BD67" s="1755">
        <v>0.17499999999999999</v>
      </c>
      <c r="BE67" s="1754">
        <v>0.17499999999999999</v>
      </c>
      <c r="BF67" s="1756">
        <v>0.32900000000000001</v>
      </c>
      <c r="BG67" s="1755">
        <v>0.14799999999999999</v>
      </c>
      <c r="BH67" s="1757">
        <v>1</v>
      </c>
      <c r="BJ67" s="3826"/>
      <c r="BK67" s="1750" t="s">
        <v>1422</v>
      </c>
      <c r="BL67" s="1751">
        <v>0</v>
      </c>
      <c r="BM67" s="1752">
        <v>0</v>
      </c>
      <c r="BN67" s="1753">
        <v>0</v>
      </c>
      <c r="BO67" s="1751">
        <v>0</v>
      </c>
      <c r="BP67" s="1752">
        <v>0</v>
      </c>
      <c r="BQ67" s="1753">
        <v>0</v>
      </c>
      <c r="BR67" s="1754">
        <v>0.17100000000000001</v>
      </c>
      <c r="BS67" s="1755">
        <v>0.17499999999999999</v>
      </c>
      <c r="BT67" s="1754">
        <v>0.17599999999999999</v>
      </c>
      <c r="BU67" s="1756">
        <v>0.33</v>
      </c>
      <c r="BV67" s="1755">
        <v>0.14799999999999999</v>
      </c>
      <c r="BW67" s="1757">
        <v>1</v>
      </c>
      <c r="BY67" s="3826"/>
      <c r="BZ67" s="1750" t="s">
        <v>1422</v>
      </c>
      <c r="CA67" s="1751">
        <v>0</v>
      </c>
      <c r="CB67" s="1752">
        <v>0</v>
      </c>
      <c r="CC67" s="1753">
        <v>0</v>
      </c>
      <c r="CD67" s="1751">
        <v>0</v>
      </c>
      <c r="CE67" s="1752">
        <v>0</v>
      </c>
      <c r="CF67" s="1753">
        <v>0</v>
      </c>
      <c r="CG67" s="1754">
        <v>0.17</v>
      </c>
      <c r="CH67" s="1755">
        <v>0.17399999999999999</v>
      </c>
      <c r="CI67" s="1754">
        <v>0.17699999999999999</v>
      </c>
      <c r="CJ67" s="1756">
        <v>0.33</v>
      </c>
      <c r="CK67" s="1755">
        <v>0.14799999999999999</v>
      </c>
      <c r="CL67" s="1757">
        <v>1</v>
      </c>
    </row>
    <row r="68" spans="1:90" s="1728" customFormat="1" ht="13.5" customHeight="1" thickTop="1">
      <c r="A68" s="3840" t="s">
        <v>1487</v>
      </c>
      <c r="B68" s="3841"/>
      <c r="C68" s="1733">
        <v>1</v>
      </c>
      <c r="D68" s="1734">
        <v>8.9999999999999993E-3</v>
      </c>
      <c r="E68" s="1735">
        <v>5.0999999999999997E-2</v>
      </c>
      <c r="F68" s="1736">
        <v>0.16900000000000001</v>
      </c>
      <c r="G68" s="1734">
        <v>0</v>
      </c>
      <c r="H68" s="1735">
        <v>0</v>
      </c>
      <c r="I68" s="1736">
        <v>0</v>
      </c>
      <c r="J68" s="1737">
        <v>0</v>
      </c>
      <c r="K68" s="1738">
        <v>0</v>
      </c>
      <c r="L68" s="1737">
        <v>0</v>
      </c>
      <c r="M68" s="1739">
        <v>0</v>
      </c>
      <c r="N68" s="1738">
        <v>0</v>
      </c>
      <c r="O68" s="1740">
        <v>0.22900000000000001</v>
      </c>
      <c r="Q68" s="3824" t="s">
        <v>1487</v>
      </c>
      <c r="R68" s="1733">
        <v>1</v>
      </c>
      <c r="S68" s="1734">
        <v>8.0000000000000002E-3</v>
      </c>
      <c r="T68" s="1735">
        <v>5.1999999999999998E-2</v>
      </c>
      <c r="U68" s="1736">
        <v>0.16800000000000001</v>
      </c>
      <c r="V68" s="1734">
        <v>0</v>
      </c>
      <c r="W68" s="1735">
        <v>0</v>
      </c>
      <c r="X68" s="1736">
        <v>0</v>
      </c>
      <c r="Y68" s="1737">
        <v>0</v>
      </c>
      <c r="Z68" s="1738">
        <v>0</v>
      </c>
      <c r="AA68" s="1737">
        <v>0</v>
      </c>
      <c r="AB68" s="1739">
        <v>0</v>
      </c>
      <c r="AC68" s="1738">
        <v>0</v>
      </c>
      <c r="AD68" s="1740">
        <v>0.22800000000000001</v>
      </c>
      <c r="AF68" s="3824" t="s">
        <v>1487</v>
      </c>
      <c r="AG68" s="1733">
        <v>1</v>
      </c>
      <c r="AH68" s="1734">
        <v>6.0000000000000001E-3</v>
      </c>
      <c r="AI68" s="1735">
        <v>3.9E-2</v>
      </c>
      <c r="AJ68" s="1736">
        <v>0.157</v>
      </c>
      <c r="AK68" s="1734">
        <v>0</v>
      </c>
      <c r="AL68" s="1735">
        <v>0</v>
      </c>
      <c r="AM68" s="1736">
        <v>0</v>
      </c>
      <c r="AN68" s="1737">
        <v>0</v>
      </c>
      <c r="AO68" s="1738">
        <v>0</v>
      </c>
      <c r="AP68" s="1737">
        <v>0</v>
      </c>
      <c r="AQ68" s="1739">
        <v>0</v>
      </c>
      <c r="AR68" s="1738">
        <v>0</v>
      </c>
      <c r="AS68" s="1740">
        <v>0.20300000000000001</v>
      </c>
      <c r="AU68" s="3824" t="s">
        <v>1487</v>
      </c>
      <c r="AV68" s="1733">
        <v>1</v>
      </c>
      <c r="AW68" s="1734">
        <v>6.0000000000000001E-3</v>
      </c>
      <c r="AX68" s="1735">
        <v>3.9E-2</v>
      </c>
      <c r="AY68" s="1736">
        <v>0.14099999999999999</v>
      </c>
      <c r="AZ68" s="1734">
        <v>0</v>
      </c>
      <c r="BA68" s="1735">
        <v>0</v>
      </c>
      <c r="BB68" s="1736">
        <v>0</v>
      </c>
      <c r="BC68" s="1737">
        <v>0</v>
      </c>
      <c r="BD68" s="1738">
        <v>0</v>
      </c>
      <c r="BE68" s="1737">
        <v>0</v>
      </c>
      <c r="BF68" s="1739">
        <v>0</v>
      </c>
      <c r="BG68" s="1738">
        <v>0</v>
      </c>
      <c r="BH68" s="1740">
        <v>0.186</v>
      </c>
      <c r="BJ68" s="3824" t="s">
        <v>1487</v>
      </c>
      <c r="BK68" s="1733">
        <v>1</v>
      </c>
      <c r="BL68" s="1734">
        <v>5.0000000000000001E-3</v>
      </c>
      <c r="BM68" s="1735">
        <v>3.3000000000000002E-2</v>
      </c>
      <c r="BN68" s="1736">
        <v>0.14099999999999999</v>
      </c>
      <c r="BO68" s="1734">
        <v>0</v>
      </c>
      <c r="BP68" s="1735">
        <v>0</v>
      </c>
      <c r="BQ68" s="1736">
        <v>0</v>
      </c>
      <c r="BR68" s="1737">
        <v>0</v>
      </c>
      <c r="BS68" s="1738">
        <v>0</v>
      </c>
      <c r="BT68" s="1737">
        <v>0</v>
      </c>
      <c r="BU68" s="1739">
        <v>0</v>
      </c>
      <c r="BV68" s="1738">
        <v>0</v>
      </c>
      <c r="BW68" s="1740">
        <v>0.17799999999999999</v>
      </c>
      <c r="BY68" s="3824" t="s">
        <v>1487</v>
      </c>
      <c r="BZ68" s="1733">
        <v>1</v>
      </c>
      <c r="CA68" s="1734">
        <v>5.0000000000000001E-3</v>
      </c>
      <c r="CB68" s="1735">
        <v>2.9000000000000001E-2</v>
      </c>
      <c r="CC68" s="1736">
        <v>0.13800000000000001</v>
      </c>
      <c r="CD68" s="1734">
        <v>0</v>
      </c>
      <c r="CE68" s="1735">
        <v>0</v>
      </c>
      <c r="CF68" s="1736">
        <v>0</v>
      </c>
      <c r="CG68" s="1737">
        <v>0</v>
      </c>
      <c r="CH68" s="1738">
        <v>0</v>
      </c>
      <c r="CI68" s="1737">
        <v>0</v>
      </c>
      <c r="CJ68" s="1739">
        <v>0</v>
      </c>
      <c r="CK68" s="1738">
        <v>0</v>
      </c>
      <c r="CL68" s="1740">
        <v>0.17199999999999999</v>
      </c>
    </row>
    <row r="69" spans="1:90" s="1728" customFormat="1" ht="13.5" customHeight="1">
      <c r="A69" s="3842"/>
      <c r="B69" s="3843"/>
      <c r="C69" s="1741">
        <v>2</v>
      </c>
      <c r="D69" s="1742">
        <v>2.5999999999999999E-2</v>
      </c>
      <c r="E69" s="1743">
        <v>0.13400000000000001</v>
      </c>
      <c r="F69" s="1744">
        <v>0.104</v>
      </c>
      <c r="G69" s="1742">
        <v>0</v>
      </c>
      <c r="H69" s="1743">
        <v>0</v>
      </c>
      <c r="I69" s="1744">
        <v>0</v>
      </c>
      <c r="J69" s="1745">
        <v>0</v>
      </c>
      <c r="K69" s="1746">
        <v>0</v>
      </c>
      <c r="L69" s="1745">
        <v>0</v>
      </c>
      <c r="M69" s="1747">
        <v>0</v>
      </c>
      <c r="N69" s="1746">
        <v>0</v>
      </c>
      <c r="O69" s="1748">
        <v>0.26500000000000001</v>
      </c>
      <c r="Q69" s="3825"/>
      <c r="R69" s="1741">
        <v>2</v>
      </c>
      <c r="S69" s="1742">
        <v>2.5999999999999999E-2</v>
      </c>
      <c r="T69" s="1743">
        <v>0.127</v>
      </c>
      <c r="U69" s="1744">
        <v>0.107</v>
      </c>
      <c r="V69" s="1742">
        <v>0</v>
      </c>
      <c r="W69" s="1743">
        <v>0</v>
      </c>
      <c r="X69" s="1744">
        <v>0</v>
      </c>
      <c r="Y69" s="1745">
        <v>0</v>
      </c>
      <c r="Z69" s="1746">
        <v>0</v>
      </c>
      <c r="AA69" s="1745">
        <v>0</v>
      </c>
      <c r="AB69" s="1747">
        <v>0</v>
      </c>
      <c r="AC69" s="1746">
        <v>0</v>
      </c>
      <c r="AD69" s="1748">
        <v>0.26</v>
      </c>
      <c r="AF69" s="3825"/>
      <c r="AG69" s="1741">
        <v>2</v>
      </c>
      <c r="AH69" s="1742">
        <v>2.5999999999999999E-2</v>
      </c>
      <c r="AI69" s="1743">
        <v>0.108</v>
      </c>
      <c r="AJ69" s="1744">
        <v>0.106</v>
      </c>
      <c r="AK69" s="1742">
        <v>0</v>
      </c>
      <c r="AL69" s="1743">
        <v>0</v>
      </c>
      <c r="AM69" s="1744">
        <v>0</v>
      </c>
      <c r="AN69" s="1745">
        <v>0</v>
      </c>
      <c r="AO69" s="1746">
        <v>0</v>
      </c>
      <c r="AP69" s="1745">
        <v>0</v>
      </c>
      <c r="AQ69" s="1747">
        <v>0</v>
      </c>
      <c r="AR69" s="1746">
        <v>0</v>
      </c>
      <c r="AS69" s="1748">
        <v>0.24099999999999999</v>
      </c>
      <c r="AU69" s="3825"/>
      <c r="AV69" s="1741">
        <v>2</v>
      </c>
      <c r="AW69" s="1742">
        <v>2.3E-2</v>
      </c>
      <c r="AX69" s="1743">
        <v>8.3000000000000004E-2</v>
      </c>
      <c r="AY69" s="1744">
        <v>0.111</v>
      </c>
      <c r="AZ69" s="1742">
        <v>0</v>
      </c>
      <c r="BA69" s="1743">
        <v>0</v>
      </c>
      <c r="BB69" s="1744">
        <v>0</v>
      </c>
      <c r="BC69" s="1745">
        <v>0</v>
      </c>
      <c r="BD69" s="1746">
        <v>0</v>
      </c>
      <c r="BE69" s="1745">
        <v>0</v>
      </c>
      <c r="BF69" s="1747">
        <v>0</v>
      </c>
      <c r="BG69" s="1746">
        <v>0</v>
      </c>
      <c r="BH69" s="1748">
        <v>0.217</v>
      </c>
      <c r="BJ69" s="3825"/>
      <c r="BK69" s="1741">
        <v>2</v>
      </c>
      <c r="BL69" s="1742">
        <v>0.02</v>
      </c>
      <c r="BM69" s="1743">
        <v>7.1999999999999995E-2</v>
      </c>
      <c r="BN69" s="1744">
        <v>0.10299999999999999</v>
      </c>
      <c r="BO69" s="1742">
        <v>0</v>
      </c>
      <c r="BP69" s="1743">
        <v>0</v>
      </c>
      <c r="BQ69" s="1744">
        <v>0</v>
      </c>
      <c r="BR69" s="1745">
        <v>0</v>
      </c>
      <c r="BS69" s="1746">
        <v>0</v>
      </c>
      <c r="BT69" s="1745">
        <v>0</v>
      </c>
      <c r="BU69" s="1747">
        <v>0</v>
      </c>
      <c r="BV69" s="1746">
        <v>0</v>
      </c>
      <c r="BW69" s="1748">
        <v>0.19500000000000001</v>
      </c>
      <c r="BY69" s="3825"/>
      <c r="BZ69" s="1741">
        <v>2</v>
      </c>
      <c r="CA69" s="1742">
        <v>1.7000000000000001E-2</v>
      </c>
      <c r="CB69" s="1743">
        <v>6.3E-2</v>
      </c>
      <c r="CC69" s="1744">
        <v>9.9000000000000005E-2</v>
      </c>
      <c r="CD69" s="1742">
        <v>0</v>
      </c>
      <c r="CE69" s="1743">
        <v>0</v>
      </c>
      <c r="CF69" s="1744">
        <v>0</v>
      </c>
      <c r="CG69" s="1745">
        <v>0</v>
      </c>
      <c r="CH69" s="1746">
        <v>0</v>
      </c>
      <c r="CI69" s="1745">
        <v>0</v>
      </c>
      <c r="CJ69" s="1747">
        <v>0</v>
      </c>
      <c r="CK69" s="1746">
        <v>0</v>
      </c>
      <c r="CL69" s="1748">
        <v>0.17899999999999999</v>
      </c>
    </row>
    <row r="70" spans="1:90" s="1728" customFormat="1" ht="13.5" customHeight="1">
      <c r="A70" s="3842"/>
      <c r="B70" s="3843"/>
      <c r="C70" s="1741">
        <v>3</v>
      </c>
      <c r="D70" s="1742">
        <v>6.0000000000000001E-3</v>
      </c>
      <c r="E70" s="1743">
        <v>0.161</v>
      </c>
      <c r="F70" s="1744">
        <v>5.3999999999999999E-2</v>
      </c>
      <c r="G70" s="1742">
        <v>0</v>
      </c>
      <c r="H70" s="1743">
        <v>0</v>
      </c>
      <c r="I70" s="1744">
        <v>0</v>
      </c>
      <c r="J70" s="1745">
        <v>0</v>
      </c>
      <c r="K70" s="1746">
        <v>0</v>
      </c>
      <c r="L70" s="1745">
        <v>0</v>
      </c>
      <c r="M70" s="1747">
        <v>0</v>
      </c>
      <c r="N70" s="1746">
        <v>0</v>
      </c>
      <c r="O70" s="1748">
        <v>0.222</v>
      </c>
      <c r="Q70" s="3825"/>
      <c r="R70" s="1741">
        <v>3</v>
      </c>
      <c r="S70" s="1742">
        <v>6.0000000000000001E-3</v>
      </c>
      <c r="T70" s="1743">
        <v>0.16300000000000001</v>
      </c>
      <c r="U70" s="1744">
        <v>5.0999999999999997E-2</v>
      </c>
      <c r="V70" s="1742">
        <v>0</v>
      </c>
      <c r="W70" s="1743">
        <v>0</v>
      </c>
      <c r="X70" s="1744">
        <v>0</v>
      </c>
      <c r="Y70" s="1745">
        <v>0</v>
      </c>
      <c r="Z70" s="1746">
        <v>0</v>
      </c>
      <c r="AA70" s="1745">
        <v>0</v>
      </c>
      <c r="AB70" s="1747">
        <v>0</v>
      </c>
      <c r="AC70" s="1746">
        <v>0</v>
      </c>
      <c r="AD70" s="1748">
        <v>0.221</v>
      </c>
      <c r="AF70" s="3825"/>
      <c r="AG70" s="1741">
        <v>3</v>
      </c>
      <c r="AH70" s="1742">
        <v>8.0000000000000002E-3</v>
      </c>
      <c r="AI70" s="1743">
        <v>0.16200000000000001</v>
      </c>
      <c r="AJ70" s="1744">
        <v>5.5E-2</v>
      </c>
      <c r="AK70" s="1742">
        <v>0</v>
      </c>
      <c r="AL70" s="1743">
        <v>0</v>
      </c>
      <c r="AM70" s="1744">
        <v>0</v>
      </c>
      <c r="AN70" s="1745">
        <v>0</v>
      </c>
      <c r="AO70" s="1746">
        <v>0</v>
      </c>
      <c r="AP70" s="1745">
        <v>0</v>
      </c>
      <c r="AQ70" s="1747">
        <v>0</v>
      </c>
      <c r="AR70" s="1746">
        <v>0</v>
      </c>
      <c r="AS70" s="1748">
        <v>0.22500000000000001</v>
      </c>
      <c r="AU70" s="3825"/>
      <c r="AV70" s="1741">
        <v>3</v>
      </c>
      <c r="AW70" s="1742">
        <v>1.2999999999999999E-2</v>
      </c>
      <c r="AX70" s="1743">
        <v>0.15</v>
      </c>
      <c r="AY70" s="1744">
        <v>5.8000000000000003E-2</v>
      </c>
      <c r="AZ70" s="1742">
        <v>0</v>
      </c>
      <c r="BA70" s="1743">
        <v>0</v>
      </c>
      <c r="BB70" s="1744">
        <v>0</v>
      </c>
      <c r="BC70" s="1745">
        <v>0</v>
      </c>
      <c r="BD70" s="1746">
        <v>0</v>
      </c>
      <c r="BE70" s="1745">
        <v>0</v>
      </c>
      <c r="BF70" s="1747">
        <v>0</v>
      </c>
      <c r="BG70" s="1746">
        <v>0</v>
      </c>
      <c r="BH70" s="1748">
        <v>0.221</v>
      </c>
      <c r="BJ70" s="3825"/>
      <c r="BK70" s="1741">
        <v>3</v>
      </c>
      <c r="BL70" s="1742">
        <v>1.6E-2</v>
      </c>
      <c r="BM70" s="1743">
        <v>0.13400000000000001</v>
      </c>
      <c r="BN70" s="1744">
        <v>6.0999999999999999E-2</v>
      </c>
      <c r="BO70" s="1742">
        <v>0</v>
      </c>
      <c r="BP70" s="1743">
        <v>0</v>
      </c>
      <c r="BQ70" s="1744">
        <v>0</v>
      </c>
      <c r="BR70" s="1745">
        <v>0</v>
      </c>
      <c r="BS70" s="1746">
        <v>0</v>
      </c>
      <c r="BT70" s="1745">
        <v>0</v>
      </c>
      <c r="BU70" s="1747">
        <v>0</v>
      </c>
      <c r="BV70" s="1746">
        <v>0</v>
      </c>
      <c r="BW70" s="1748">
        <v>0.21099999999999999</v>
      </c>
      <c r="BY70" s="3825"/>
      <c r="BZ70" s="1741">
        <v>3</v>
      </c>
      <c r="CA70" s="1742">
        <v>1.9E-2</v>
      </c>
      <c r="CB70" s="1743">
        <v>0.124</v>
      </c>
      <c r="CC70" s="1744">
        <v>6.2E-2</v>
      </c>
      <c r="CD70" s="1742">
        <v>0</v>
      </c>
      <c r="CE70" s="1743">
        <v>0</v>
      </c>
      <c r="CF70" s="1744">
        <v>0</v>
      </c>
      <c r="CG70" s="1745">
        <v>0</v>
      </c>
      <c r="CH70" s="1746">
        <v>0</v>
      </c>
      <c r="CI70" s="1745">
        <v>0</v>
      </c>
      <c r="CJ70" s="1747">
        <v>0</v>
      </c>
      <c r="CK70" s="1746">
        <v>0</v>
      </c>
      <c r="CL70" s="1748">
        <v>0.20499999999999999</v>
      </c>
    </row>
    <row r="71" spans="1:90" s="1728" customFormat="1" ht="13.5" customHeight="1">
      <c r="A71" s="3842"/>
      <c r="B71" s="3843"/>
      <c r="C71" s="1741">
        <v>4</v>
      </c>
      <c r="D71" s="1742">
        <v>0</v>
      </c>
      <c r="E71" s="1743">
        <v>0.16400000000000001</v>
      </c>
      <c r="F71" s="1744">
        <v>5.6000000000000001E-2</v>
      </c>
      <c r="G71" s="1742">
        <v>0</v>
      </c>
      <c r="H71" s="1743">
        <v>0</v>
      </c>
      <c r="I71" s="1744">
        <v>0</v>
      </c>
      <c r="J71" s="1745">
        <v>0</v>
      </c>
      <c r="K71" s="1746">
        <v>0</v>
      </c>
      <c r="L71" s="1745">
        <v>0</v>
      </c>
      <c r="M71" s="1747">
        <v>0</v>
      </c>
      <c r="N71" s="1746">
        <v>0</v>
      </c>
      <c r="O71" s="1748">
        <v>0.22</v>
      </c>
      <c r="Q71" s="3825"/>
      <c r="R71" s="1741">
        <v>4</v>
      </c>
      <c r="S71" s="1742">
        <v>0</v>
      </c>
      <c r="T71" s="1743">
        <v>0.111</v>
      </c>
      <c r="U71" s="1744">
        <v>4.5999999999999999E-2</v>
      </c>
      <c r="V71" s="1742">
        <v>0</v>
      </c>
      <c r="W71" s="1743">
        <v>0</v>
      </c>
      <c r="X71" s="1744">
        <v>0</v>
      </c>
      <c r="Y71" s="1745">
        <v>0</v>
      </c>
      <c r="Z71" s="1746">
        <v>0</v>
      </c>
      <c r="AA71" s="1745">
        <v>0</v>
      </c>
      <c r="AB71" s="1747">
        <v>0</v>
      </c>
      <c r="AC71" s="1746">
        <v>0</v>
      </c>
      <c r="AD71" s="1748">
        <v>0.157</v>
      </c>
      <c r="AF71" s="3825"/>
      <c r="AG71" s="1741">
        <v>4</v>
      </c>
      <c r="AH71" s="1742">
        <v>1E-3</v>
      </c>
      <c r="AI71" s="1743">
        <v>0.121</v>
      </c>
      <c r="AJ71" s="1744">
        <v>3.5999999999999997E-2</v>
      </c>
      <c r="AK71" s="1742">
        <v>0</v>
      </c>
      <c r="AL71" s="1743">
        <v>0</v>
      </c>
      <c r="AM71" s="1744">
        <v>0</v>
      </c>
      <c r="AN71" s="1745">
        <v>0</v>
      </c>
      <c r="AO71" s="1746">
        <v>0</v>
      </c>
      <c r="AP71" s="1745">
        <v>0</v>
      </c>
      <c r="AQ71" s="1747">
        <v>0</v>
      </c>
      <c r="AR71" s="1746">
        <v>0</v>
      </c>
      <c r="AS71" s="1748">
        <v>0.158</v>
      </c>
      <c r="AU71" s="3825"/>
      <c r="AV71" s="1741">
        <v>4</v>
      </c>
      <c r="AW71" s="1742">
        <v>1E-3</v>
      </c>
      <c r="AX71" s="1743">
        <v>0.13900000000000001</v>
      </c>
      <c r="AY71" s="1744">
        <v>3.6999999999999998E-2</v>
      </c>
      <c r="AZ71" s="1742">
        <v>0</v>
      </c>
      <c r="BA71" s="1743">
        <v>0</v>
      </c>
      <c r="BB71" s="1744">
        <v>0</v>
      </c>
      <c r="BC71" s="1745">
        <v>0</v>
      </c>
      <c r="BD71" s="1746">
        <v>0</v>
      </c>
      <c r="BE71" s="1745">
        <v>0</v>
      </c>
      <c r="BF71" s="1747">
        <v>0</v>
      </c>
      <c r="BG71" s="1746">
        <v>0</v>
      </c>
      <c r="BH71" s="1748">
        <v>0.17699999999999999</v>
      </c>
      <c r="BJ71" s="3825"/>
      <c r="BK71" s="1741">
        <v>4</v>
      </c>
      <c r="BL71" s="1742">
        <v>2E-3</v>
      </c>
      <c r="BM71" s="1743">
        <v>0.157</v>
      </c>
      <c r="BN71" s="1744">
        <v>3.7999999999999999E-2</v>
      </c>
      <c r="BO71" s="1742">
        <v>0</v>
      </c>
      <c r="BP71" s="1743">
        <v>0</v>
      </c>
      <c r="BQ71" s="1744">
        <v>0</v>
      </c>
      <c r="BR71" s="1745">
        <v>0</v>
      </c>
      <c r="BS71" s="1746">
        <v>0</v>
      </c>
      <c r="BT71" s="1745">
        <v>0</v>
      </c>
      <c r="BU71" s="1747">
        <v>0</v>
      </c>
      <c r="BV71" s="1746">
        <v>0</v>
      </c>
      <c r="BW71" s="1748">
        <v>0.19700000000000001</v>
      </c>
      <c r="BY71" s="3825"/>
      <c r="BZ71" s="1741">
        <v>4</v>
      </c>
      <c r="CA71" s="1742">
        <v>3.0000000000000001E-3</v>
      </c>
      <c r="CB71" s="1743">
        <v>0.16700000000000001</v>
      </c>
      <c r="CC71" s="1744">
        <v>0.04</v>
      </c>
      <c r="CD71" s="1742">
        <v>0</v>
      </c>
      <c r="CE71" s="1743">
        <v>0</v>
      </c>
      <c r="CF71" s="1744">
        <v>0</v>
      </c>
      <c r="CG71" s="1745">
        <v>0</v>
      </c>
      <c r="CH71" s="1746">
        <v>0</v>
      </c>
      <c r="CI71" s="1745">
        <v>0</v>
      </c>
      <c r="CJ71" s="1747">
        <v>0</v>
      </c>
      <c r="CK71" s="1746">
        <v>0</v>
      </c>
      <c r="CL71" s="1748">
        <v>0.20899999999999999</v>
      </c>
    </row>
    <row r="72" spans="1:90" s="1728" customFormat="1" ht="13.5" customHeight="1">
      <c r="A72" s="3842"/>
      <c r="B72" s="3843"/>
      <c r="C72" s="1749">
        <v>5</v>
      </c>
      <c r="D72" s="1742">
        <v>0</v>
      </c>
      <c r="E72" s="1743">
        <v>4.5999999999999999E-2</v>
      </c>
      <c r="F72" s="1744">
        <v>1.4E-2</v>
      </c>
      <c r="G72" s="1742">
        <v>0</v>
      </c>
      <c r="H72" s="1743">
        <v>0</v>
      </c>
      <c r="I72" s="1744">
        <v>0</v>
      </c>
      <c r="J72" s="1745">
        <v>0</v>
      </c>
      <c r="K72" s="1746">
        <v>0</v>
      </c>
      <c r="L72" s="1745">
        <v>0</v>
      </c>
      <c r="M72" s="1747">
        <v>0</v>
      </c>
      <c r="N72" s="1746">
        <v>0</v>
      </c>
      <c r="O72" s="1748">
        <v>6.0999999999999999E-2</v>
      </c>
      <c r="Q72" s="3825"/>
      <c r="R72" s="1749">
        <v>5</v>
      </c>
      <c r="S72" s="1742">
        <v>0</v>
      </c>
      <c r="T72" s="1743">
        <v>0.107</v>
      </c>
      <c r="U72" s="1744">
        <v>2.8000000000000001E-2</v>
      </c>
      <c r="V72" s="1742">
        <v>0</v>
      </c>
      <c r="W72" s="1743">
        <v>0</v>
      </c>
      <c r="X72" s="1744">
        <v>0</v>
      </c>
      <c r="Y72" s="1745">
        <v>0</v>
      </c>
      <c r="Z72" s="1746">
        <v>0</v>
      </c>
      <c r="AA72" s="1745">
        <v>0</v>
      </c>
      <c r="AB72" s="1747">
        <v>0</v>
      </c>
      <c r="AC72" s="1746">
        <v>0</v>
      </c>
      <c r="AD72" s="1748">
        <v>0.13400000000000001</v>
      </c>
      <c r="AF72" s="3825"/>
      <c r="AG72" s="1749">
        <v>5</v>
      </c>
      <c r="AH72" s="1742">
        <v>0</v>
      </c>
      <c r="AI72" s="1743">
        <v>0.128</v>
      </c>
      <c r="AJ72" s="1744">
        <v>4.5999999999999999E-2</v>
      </c>
      <c r="AK72" s="1742">
        <v>0</v>
      </c>
      <c r="AL72" s="1743">
        <v>0</v>
      </c>
      <c r="AM72" s="1744">
        <v>0</v>
      </c>
      <c r="AN72" s="1745">
        <v>0</v>
      </c>
      <c r="AO72" s="1746">
        <v>0</v>
      </c>
      <c r="AP72" s="1745">
        <v>0</v>
      </c>
      <c r="AQ72" s="1747">
        <v>0</v>
      </c>
      <c r="AR72" s="1746">
        <v>0</v>
      </c>
      <c r="AS72" s="1748">
        <v>0.17399999999999999</v>
      </c>
      <c r="AU72" s="3825"/>
      <c r="AV72" s="1749">
        <v>5</v>
      </c>
      <c r="AW72" s="1742">
        <v>0</v>
      </c>
      <c r="AX72" s="1743">
        <v>0.14499999999999999</v>
      </c>
      <c r="AY72" s="1744">
        <v>5.1999999999999998E-2</v>
      </c>
      <c r="AZ72" s="1742">
        <v>0</v>
      </c>
      <c r="BA72" s="1743">
        <v>0</v>
      </c>
      <c r="BB72" s="1744">
        <v>0</v>
      </c>
      <c r="BC72" s="1745">
        <v>0</v>
      </c>
      <c r="BD72" s="1746">
        <v>0</v>
      </c>
      <c r="BE72" s="1745">
        <v>0</v>
      </c>
      <c r="BF72" s="1747">
        <v>0</v>
      </c>
      <c r="BG72" s="1746">
        <v>0</v>
      </c>
      <c r="BH72" s="1748">
        <v>0.19600000000000001</v>
      </c>
      <c r="BJ72" s="3825"/>
      <c r="BK72" s="1749">
        <v>5</v>
      </c>
      <c r="BL72" s="1742">
        <v>0</v>
      </c>
      <c r="BM72" s="1743">
        <v>0.161</v>
      </c>
      <c r="BN72" s="1744">
        <v>5.7000000000000002E-2</v>
      </c>
      <c r="BO72" s="1742">
        <v>0</v>
      </c>
      <c r="BP72" s="1743">
        <v>0</v>
      </c>
      <c r="BQ72" s="1744">
        <v>0</v>
      </c>
      <c r="BR72" s="1745">
        <v>0</v>
      </c>
      <c r="BS72" s="1746">
        <v>0</v>
      </c>
      <c r="BT72" s="1745">
        <v>0</v>
      </c>
      <c r="BU72" s="1747">
        <v>0</v>
      </c>
      <c r="BV72" s="1746">
        <v>0</v>
      </c>
      <c r="BW72" s="1748">
        <v>0.218</v>
      </c>
      <c r="BY72" s="3825"/>
      <c r="BZ72" s="1749">
        <v>5</v>
      </c>
      <c r="CA72" s="1742">
        <v>0</v>
      </c>
      <c r="CB72" s="1743">
        <v>0.17199999999999999</v>
      </c>
      <c r="CC72" s="1744">
        <v>6.2E-2</v>
      </c>
      <c r="CD72" s="1742">
        <v>0</v>
      </c>
      <c r="CE72" s="1743">
        <v>0</v>
      </c>
      <c r="CF72" s="1744">
        <v>0</v>
      </c>
      <c r="CG72" s="1745">
        <v>0</v>
      </c>
      <c r="CH72" s="1746">
        <v>0</v>
      </c>
      <c r="CI72" s="1745">
        <v>0</v>
      </c>
      <c r="CJ72" s="1747">
        <v>0</v>
      </c>
      <c r="CK72" s="1746">
        <v>0</v>
      </c>
      <c r="CL72" s="1748">
        <v>0.23400000000000001</v>
      </c>
    </row>
    <row r="73" spans="1:90" s="1728" customFormat="1" ht="13.5" customHeight="1" thickBot="1">
      <c r="A73" s="3844"/>
      <c r="B73" s="3845"/>
      <c r="C73" s="1750" t="s">
        <v>1422</v>
      </c>
      <c r="D73" s="1751">
        <v>4.1000000000000002E-2</v>
      </c>
      <c r="E73" s="1752">
        <v>0.55600000000000005</v>
      </c>
      <c r="F73" s="1753">
        <v>0.40200000000000002</v>
      </c>
      <c r="G73" s="1751">
        <v>0</v>
      </c>
      <c r="H73" s="1752">
        <v>0</v>
      </c>
      <c r="I73" s="1753">
        <v>0</v>
      </c>
      <c r="J73" s="1754">
        <v>0</v>
      </c>
      <c r="K73" s="1755">
        <v>0</v>
      </c>
      <c r="L73" s="1754">
        <v>0</v>
      </c>
      <c r="M73" s="1756">
        <v>0</v>
      </c>
      <c r="N73" s="1755">
        <v>0</v>
      </c>
      <c r="O73" s="1757">
        <v>1</v>
      </c>
      <c r="Q73" s="3826"/>
      <c r="R73" s="1750" t="s">
        <v>1422</v>
      </c>
      <c r="S73" s="1751">
        <v>4.1000000000000002E-2</v>
      </c>
      <c r="T73" s="1752">
        <v>0.55900000000000005</v>
      </c>
      <c r="U73" s="1753">
        <v>0.4</v>
      </c>
      <c r="V73" s="1751">
        <v>0</v>
      </c>
      <c r="W73" s="1752">
        <v>0</v>
      </c>
      <c r="X73" s="1753">
        <v>0</v>
      </c>
      <c r="Y73" s="1754">
        <v>0</v>
      </c>
      <c r="Z73" s="1755">
        <v>0</v>
      </c>
      <c r="AA73" s="1754">
        <v>0</v>
      </c>
      <c r="AB73" s="1756">
        <v>0</v>
      </c>
      <c r="AC73" s="1755">
        <v>0</v>
      </c>
      <c r="AD73" s="1757">
        <v>1</v>
      </c>
      <c r="AF73" s="3826"/>
      <c r="AG73" s="1750" t="s">
        <v>1422</v>
      </c>
      <c r="AH73" s="1751">
        <v>4.2000000000000003E-2</v>
      </c>
      <c r="AI73" s="1752">
        <v>0.55800000000000005</v>
      </c>
      <c r="AJ73" s="1753">
        <v>0.4</v>
      </c>
      <c r="AK73" s="1751">
        <v>0</v>
      </c>
      <c r="AL73" s="1752">
        <v>0</v>
      </c>
      <c r="AM73" s="1753">
        <v>0</v>
      </c>
      <c r="AN73" s="1754">
        <v>0</v>
      </c>
      <c r="AO73" s="1755">
        <v>0</v>
      </c>
      <c r="AP73" s="1754">
        <v>0</v>
      </c>
      <c r="AQ73" s="1756">
        <v>0</v>
      </c>
      <c r="AR73" s="1755">
        <v>0</v>
      </c>
      <c r="AS73" s="1757">
        <v>1</v>
      </c>
      <c r="AU73" s="3826"/>
      <c r="AV73" s="1750" t="s">
        <v>1422</v>
      </c>
      <c r="AW73" s="1751">
        <v>4.2999999999999997E-2</v>
      </c>
      <c r="AX73" s="1752">
        <v>0.55800000000000005</v>
      </c>
      <c r="AY73" s="1753">
        <v>0.39900000000000002</v>
      </c>
      <c r="AZ73" s="1751">
        <v>0</v>
      </c>
      <c r="BA73" s="1752">
        <v>0</v>
      </c>
      <c r="BB73" s="1753">
        <v>0</v>
      </c>
      <c r="BC73" s="1754">
        <v>0</v>
      </c>
      <c r="BD73" s="1755">
        <v>0</v>
      </c>
      <c r="BE73" s="1754">
        <v>0</v>
      </c>
      <c r="BF73" s="1756">
        <v>0</v>
      </c>
      <c r="BG73" s="1755">
        <v>0</v>
      </c>
      <c r="BH73" s="1757">
        <v>1</v>
      </c>
      <c r="BJ73" s="3826"/>
      <c r="BK73" s="1750" t="s">
        <v>1422</v>
      </c>
      <c r="BL73" s="1751">
        <v>4.2999999999999997E-2</v>
      </c>
      <c r="BM73" s="1752">
        <v>0.55700000000000005</v>
      </c>
      <c r="BN73" s="1753">
        <v>0.4</v>
      </c>
      <c r="BO73" s="1751">
        <v>0</v>
      </c>
      <c r="BP73" s="1752">
        <v>0</v>
      </c>
      <c r="BQ73" s="1753">
        <v>0</v>
      </c>
      <c r="BR73" s="1754">
        <v>0</v>
      </c>
      <c r="BS73" s="1755">
        <v>0</v>
      </c>
      <c r="BT73" s="1754">
        <v>0</v>
      </c>
      <c r="BU73" s="1756">
        <v>0</v>
      </c>
      <c r="BV73" s="1755">
        <v>0</v>
      </c>
      <c r="BW73" s="1757">
        <v>1</v>
      </c>
      <c r="BY73" s="3826"/>
      <c r="BZ73" s="1750" t="s">
        <v>1422</v>
      </c>
      <c r="CA73" s="1751">
        <v>4.2999999999999997E-2</v>
      </c>
      <c r="CB73" s="1752">
        <v>0.55600000000000005</v>
      </c>
      <c r="CC73" s="1753">
        <v>0.40100000000000002</v>
      </c>
      <c r="CD73" s="1751">
        <v>0</v>
      </c>
      <c r="CE73" s="1752">
        <v>0</v>
      </c>
      <c r="CF73" s="1753">
        <v>0</v>
      </c>
      <c r="CG73" s="1754">
        <v>0</v>
      </c>
      <c r="CH73" s="1755">
        <v>0</v>
      </c>
      <c r="CI73" s="1754">
        <v>0</v>
      </c>
      <c r="CJ73" s="1756">
        <v>0</v>
      </c>
      <c r="CK73" s="1755">
        <v>0</v>
      </c>
      <c r="CL73" s="1757">
        <v>1</v>
      </c>
    </row>
    <row r="74" spans="1:90" s="1728" customFormat="1" ht="13.5" customHeight="1" thickTop="1">
      <c r="A74" s="3840" t="s">
        <v>1124</v>
      </c>
      <c r="B74" s="3841"/>
      <c r="C74" s="1733">
        <v>1</v>
      </c>
      <c r="D74" s="1734">
        <v>0</v>
      </c>
      <c r="E74" s="1735">
        <v>0</v>
      </c>
      <c r="F74" s="1736">
        <v>0</v>
      </c>
      <c r="G74" s="1734">
        <v>3.0000000000000001E-3</v>
      </c>
      <c r="H74" s="1735">
        <v>0.03</v>
      </c>
      <c r="I74" s="1736">
        <v>9.5000000000000001E-2</v>
      </c>
      <c r="J74" s="1737">
        <v>3.5000000000000003E-2</v>
      </c>
      <c r="K74" s="1738">
        <v>9.7000000000000003E-2</v>
      </c>
      <c r="L74" s="1737">
        <v>8.9999999999999993E-3</v>
      </c>
      <c r="M74" s="1739">
        <v>0.107</v>
      </c>
      <c r="N74" s="1738">
        <v>9.2999999999999999E-2</v>
      </c>
      <c r="O74" s="1740">
        <v>0.46899999999999997</v>
      </c>
      <c r="Q74" s="3824" t="s">
        <v>1124</v>
      </c>
      <c r="R74" s="1733">
        <v>1</v>
      </c>
      <c r="S74" s="1734">
        <v>0</v>
      </c>
      <c r="T74" s="1735">
        <v>0</v>
      </c>
      <c r="U74" s="1736">
        <v>0</v>
      </c>
      <c r="V74" s="1734">
        <v>3.0000000000000001E-3</v>
      </c>
      <c r="W74" s="1735">
        <v>2.9000000000000001E-2</v>
      </c>
      <c r="X74" s="1736">
        <v>9.6000000000000002E-2</v>
      </c>
      <c r="Y74" s="1737">
        <v>3.5000000000000003E-2</v>
      </c>
      <c r="Z74" s="1738">
        <v>9.7000000000000003E-2</v>
      </c>
      <c r="AA74" s="1737">
        <v>8.0000000000000002E-3</v>
      </c>
      <c r="AB74" s="1739">
        <v>0.107</v>
      </c>
      <c r="AC74" s="1738">
        <v>9.2999999999999999E-2</v>
      </c>
      <c r="AD74" s="1740">
        <v>0.46700000000000003</v>
      </c>
      <c r="AF74" s="3824" t="s">
        <v>1124</v>
      </c>
      <c r="AG74" s="1733">
        <v>1</v>
      </c>
      <c r="AH74" s="1734">
        <v>0</v>
      </c>
      <c r="AI74" s="1735">
        <v>0</v>
      </c>
      <c r="AJ74" s="1736">
        <v>0</v>
      </c>
      <c r="AK74" s="1734">
        <v>3.0000000000000001E-3</v>
      </c>
      <c r="AL74" s="1735">
        <v>2.4E-2</v>
      </c>
      <c r="AM74" s="1736">
        <v>9.1999999999999998E-2</v>
      </c>
      <c r="AN74" s="1737">
        <v>0.03</v>
      </c>
      <c r="AO74" s="1738">
        <v>9.4E-2</v>
      </c>
      <c r="AP74" s="1737">
        <v>8.0000000000000002E-3</v>
      </c>
      <c r="AQ74" s="1739">
        <v>9.6000000000000002E-2</v>
      </c>
      <c r="AR74" s="1738">
        <v>0.09</v>
      </c>
      <c r="AS74" s="1740">
        <v>0.437</v>
      </c>
      <c r="AU74" s="3824" t="s">
        <v>1124</v>
      </c>
      <c r="AV74" s="1733">
        <v>1</v>
      </c>
      <c r="AW74" s="1734">
        <v>0</v>
      </c>
      <c r="AX74" s="1735">
        <v>0</v>
      </c>
      <c r="AY74" s="1736">
        <v>0</v>
      </c>
      <c r="AZ74" s="1734">
        <v>2E-3</v>
      </c>
      <c r="BA74" s="1735">
        <v>2.1999999999999999E-2</v>
      </c>
      <c r="BB74" s="1736">
        <v>8.5999999999999993E-2</v>
      </c>
      <c r="BC74" s="1737">
        <v>2.7E-2</v>
      </c>
      <c r="BD74" s="1738">
        <v>9.1999999999999998E-2</v>
      </c>
      <c r="BE74" s="1737">
        <v>6.0000000000000001E-3</v>
      </c>
      <c r="BF74" s="1739">
        <v>9.0999999999999998E-2</v>
      </c>
      <c r="BG74" s="1738">
        <v>8.7999999999999995E-2</v>
      </c>
      <c r="BH74" s="1740">
        <v>0.41599999999999998</v>
      </c>
      <c r="BJ74" s="3824" t="s">
        <v>1124</v>
      </c>
      <c r="BK74" s="1733">
        <v>1</v>
      </c>
      <c r="BL74" s="1734">
        <v>0</v>
      </c>
      <c r="BM74" s="1735">
        <v>0</v>
      </c>
      <c r="BN74" s="1736">
        <v>0</v>
      </c>
      <c r="BO74" s="1734">
        <v>2E-3</v>
      </c>
      <c r="BP74" s="1735">
        <v>2.1999999999999999E-2</v>
      </c>
      <c r="BQ74" s="1736">
        <v>8.4000000000000005E-2</v>
      </c>
      <c r="BR74" s="1737">
        <v>2.4E-2</v>
      </c>
      <c r="BS74" s="1738">
        <v>9.1999999999999998E-2</v>
      </c>
      <c r="BT74" s="1737">
        <v>6.0000000000000001E-3</v>
      </c>
      <c r="BU74" s="1739">
        <v>8.7999999999999995E-2</v>
      </c>
      <c r="BV74" s="1738">
        <v>8.7999999999999995E-2</v>
      </c>
      <c r="BW74" s="1740">
        <v>0.40699999999999997</v>
      </c>
      <c r="BY74" s="3824" t="s">
        <v>1124</v>
      </c>
      <c r="BZ74" s="1733">
        <v>1</v>
      </c>
      <c r="CA74" s="1734">
        <v>0</v>
      </c>
      <c r="CB74" s="1735">
        <v>0</v>
      </c>
      <c r="CC74" s="1736">
        <v>0</v>
      </c>
      <c r="CD74" s="1734">
        <v>2E-3</v>
      </c>
      <c r="CE74" s="1735">
        <v>0.02</v>
      </c>
      <c r="CF74" s="1736">
        <v>8.4000000000000005E-2</v>
      </c>
      <c r="CG74" s="1737">
        <v>2.3E-2</v>
      </c>
      <c r="CH74" s="1738">
        <v>9.0999999999999998E-2</v>
      </c>
      <c r="CI74" s="1737">
        <v>6.0000000000000001E-3</v>
      </c>
      <c r="CJ74" s="1739">
        <v>8.3000000000000004E-2</v>
      </c>
      <c r="CK74" s="1738">
        <v>8.5999999999999993E-2</v>
      </c>
      <c r="CL74" s="1740">
        <v>0.39600000000000002</v>
      </c>
    </row>
    <row r="75" spans="1:90" s="1728" customFormat="1" ht="13.5" customHeight="1">
      <c r="A75" s="3842"/>
      <c r="B75" s="3843"/>
      <c r="C75" s="1741">
        <v>2</v>
      </c>
      <c r="D75" s="1742">
        <v>0</v>
      </c>
      <c r="E75" s="1743">
        <v>0</v>
      </c>
      <c r="F75" s="1744">
        <v>0</v>
      </c>
      <c r="G75" s="1742">
        <v>5.0000000000000001E-3</v>
      </c>
      <c r="H75" s="1743">
        <v>5.8999999999999997E-2</v>
      </c>
      <c r="I75" s="1744">
        <v>4.3999999999999997E-2</v>
      </c>
      <c r="J75" s="1745">
        <v>0.06</v>
      </c>
      <c r="K75" s="1746">
        <v>4.2000000000000003E-2</v>
      </c>
      <c r="L75" s="1745">
        <v>2.5000000000000001E-2</v>
      </c>
      <c r="M75" s="1747">
        <v>5.7000000000000002E-2</v>
      </c>
      <c r="N75" s="1746">
        <v>1.0999999999999999E-2</v>
      </c>
      <c r="O75" s="1748">
        <v>0.30199999999999999</v>
      </c>
      <c r="Q75" s="3825"/>
      <c r="R75" s="1741">
        <v>2</v>
      </c>
      <c r="S75" s="1742">
        <v>0</v>
      </c>
      <c r="T75" s="1743">
        <v>0</v>
      </c>
      <c r="U75" s="1744">
        <v>0</v>
      </c>
      <c r="V75" s="1742">
        <v>4.0000000000000001E-3</v>
      </c>
      <c r="W75" s="1743">
        <v>5.8999999999999997E-2</v>
      </c>
      <c r="X75" s="1744">
        <v>4.2999999999999997E-2</v>
      </c>
      <c r="Y75" s="1745">
        <v>5.8000000000000003E-2</v>
      </c>
      <c r="Z75" s="1746">
        <v>4.1000000000000002E-2</v>
      </c>
      <c r="AA75" s="1745">
        <v>2.4E-2</v>
      </c>
      <c r="AB75" s="1747">
        <v>5.8999999999999997E-2</v>
      </c>
      <c r="AC75" s="1746">
        <v>1.2E-2</v>
      </c>
      <c r="AD75" s="1748">
        <v>0.29899999999999999</v>
      </c>
      <c r="AF75" s="3825"/>
      <c r="AG75" s="1741">
        <v>2</v>
      </c>
      <c r="AH75" s="1742">
        <v>0</v>
      </c>
      <c r="AI75" s="1743">
        <v>0</v>
      </c>
      <c r="AJ75" s="1744">
        <v>0</v>
      </c>
      <c r="AK75" s="1742">
        <v>4.0000000000000001E-3</v>
      </c>
      <c r="AL75" s="1743">
        <v>5.5E-2</v>
      </c>
      <c r="AM75" s="1744">
        <v>4.2999999999999997E-2</v>
      </c>
      <c r="AN75" s="1745">
        <v>5.2999999999999999E-2</v>
      </c>
      <c r="AO75" s="1746">
        <v>4.2000000000000003E-2</v>
      </c>
      <c r="AP75" s="1745">
        <v>1.7999999999999999E-2</v>
      </c>
      <c r="AQ75" s="1747">
        <v>6.9000000000000006E-2</v>
      </c>
      <c r="AR75" s="1746">
        <v>1.2999999999999999E-2</v>
      </c>
      <c r="AS75" s="1748">
        <v>0.29799999999999999</v>
      </c>
      <c r="AU75" s="3825"/>
      <c r="AV75" s="1741">
        <v>2</v>
      </c>
      <c r="AW75" s="1742">
        <v>0</v>
      </c>
      <c r="AX75" s="1743">
        <v>0</v>
      </c>
      <c r="AY75" s="1744">
        <v>0</v>
      </c>
      <c r="AZ75" s="1742">
        <v>4.0000000000000001E-3</v>
      </c>
      <c r="BA75" s="1743">
        <v>0.05</v>
      </c>
      <c r="BB75" s="1744">
        <v>4.8000000000000001E-2</v>
      </c>
      <c r="BC75" s="1745">
        <v>5.1999999999999998E-2</v>
      </c>
      <c r="BD75" s="1746">
        <v>4.1000000000000002E-2</v>
      </c>
      <c r="BE75" s="1745">
        <v>1.7999999999999999E-2</v>
      </c>
      <c r="BF75" s="1747">
        <v>7.0000000000000007E-2</v>
      </c>
      <c r="BG75" s="1746">
        <v>1.4E-2</v>
      </c>
      <c r="BH75" s="1748">
        <v>0.29799999999999999</v>
      </c>
      <c r="BJ75" s="3825"/>
      <c r="BK75" s="1741">
        <v>2</v>
      </c>
      <c r="BL75" s="1742">
        <v>0</v>
      </c>
      <c r="BM75" s="1743">
        <v>0</v>
      </c>
      <c r="BN75" s="1744">
        <v>0</v>
      </c>
      <c r="BO75" s="1742">
        <v>4.0000000000000001E-3</v>
      </c>
      <c r="BP75" s="1743">
        <v>4.8000000000000001E-2</v>
      </c>
      <c r="BQ75" s="1744">
        <v>4.7E-2</v>
      </c>
      <c r="BR75" s="1745">
        <v>5.0999999999999997E-2</v>
      </c>
      <c r="BS75" s="1746">
        <v>4.1000000000000002E-2</v>
      </c>
      <c r="BT75" s="1745">
        <v>1.4999999999999999E-2</v>
      </c>
      <c r="BU75" s="1747">
        <v>7.0000000000000007E-2</v>
      </c>
      <c r="BV75" s="1746">
        <v>1.4E-2</v>
      </c>
      <c r="BW75" s="1748">
        <v>0.28999999999999998</v>
      </c>
      <c r="BY75" s="3825"/>
      <c r="BZ75" s="1741">
        <v>2</v>
      </c>
      <c r="CA75" s="1742">
        <v>0</v>
      </c>
      <c r="CB75" s="1743">
        <v>0</v>
      </c>
      <c r="CC75" s="1744">
        <v>0</v>
      </c>
      <c r="CD75" s="1742">
        <v>4.0000000000000001E-3</v>
      </c>
      <c r="CE75" s="1743">
        <v>4.1000000000000002E-2</v>
      </c>
      <c r="CF75" s="1744">
        <v>4.3999999999999997E-2</v>
      </c>
      <c r="CG75" s="1745">
        <v>4.4999999999999998E-2</v>
      </c>
      <c r="CH75" s="1746">
        <v>4.1000000000000002E-2</v>
      </c>
      <c r="CI75" s="1745">
        <v>1.2999999999999999E-2</v>
      </c>
      <c r="CJ75" s="1747">
        <v>7.2999999999999995E-2</v>
      </c>
      <c r="CK75" s="1746">
        <v>1.4999999999999999E-2</v>
      </c>
      <c r="CL75" s="1748">
        <v>0.27500000000000002</v>
      </c>
    </row>
    <row r="76" spans="1:90" s="1728" customFormat="1" ht="13.5" customHeight="1">
      <c r="A76" s="3842"/>
      <c r="B76" s="3843"/>
      <c r="C76" s="1741">
        <v>3</v>
      </c>
      <c r="D76" s="1742">
        <v>0</v>
      </c>
      <c r="E76" s="1743">
        <v>0</v>
      </c>
      <c r="F76" s="1744">
        <v>0</v>
      </c>
      <c r="G76" s="1742">
        <v>1E-3</v>
      </c>
      <c r="H76" s="1743">
        <v>5.1999999999999998E-2</v>
      </c>
      <c r="I76" s="1744">
        <v>2.1000000000000001E-2</v>
      </c>
      <c r="J76" s="1745">
        <v>2.8000000000000001E-2</v>
      </c>
      <c r="K76" s="1746">
        <v>8.9999999999999993E-3</v>
      </c>
      <c r="L76" s="1745">
        <v>8.9999999999999993E-3</v>
      </c>
      <c r="M76" s="1747">
        <v>1.2999999999999999E-2</v>
      </c>
      <c r="N76" s="1746">
        <v>2E-3</v>
      </c>
      <c r="O76" s="1748">
        <v>0.13600000000000001</v>
      </c>
      <c r="Q76" s="3825"/>
      <c r="R76" s="1741">
        <v>3</v>
      </c>
      <c r="S76" s="1742">
        <v>0</v>
      </c>
      <c r="T76" s="1743">
        <v>0</v>
      </c>
      <c r="U76" s="1744">
        <v>0</v>
      </c>
      <c r="V76" s="1742">
        <v>2E-3</v>
      </c>
      <c r="W76" s="1743">
        <v>5.0999999999999997E-2</v>
      </c>
      <c r="X76" s="1744">
        <v>2.1999999999999999E-2</v>
      </c>
      <c r="Y76" s="1745">
        <v>0.03</v>
      </c>
      <c r="Z76" s="1746">
        <v>8.0000000000000002E-3</v>
      </c>
      <c r="AA76" s="1745">
        <v>1.0999999999999999E-2</v>
      </c>
      <c r="AB76" s="1747">
        <v>1.0999999999999999E-2</v>
      </c>
      <c r="AC76" s="1746">
        <v>2E-3</v>
      </c>
      <c r="AD76" s="1748">
        <v>0.13800000000000001</v>
      </c>
      <c r="AF76" s="3825"/>
      <c r="AG76" s="1741">
        <v>3</v>
      </c>
      <c r="AH76" s="1742">
        <v>0</v>
      </c>
      <c r="AI76" s="1743">
        <v>0</v>
      </c>
      <c r="AJ76" s="1744">
        <v>0</v>
      </c>
      <c r="AK76" s="1742">
        <v>2E-3</v>
      </c>
      <c r="AL76" s="1743">
        <v>5.0999999999999997E-2</v>
      </c>
      <c r="AM76" s="1744">
        <v>2.1999999999999999E-2</v>
      </c>
      <c r="AN76" s="1745">
        <v>3.5999999999999997E-2</v>
      </c>
      <c r="AO76" s="1746">
        <v>8.0000000000000002E-3</v>
      </c>
      <c r="AP76" s="1745">
        <v>1.7000000000000001E-2</v>
      </c>
      <c r="AQ76" s="1747">
        <v>1.2E-2</v>
      </c>
      <c r="AR76" s="1746">
        <v>3.0000000000000001E-3</v>
      </c>
      <c r="AS76" s="1748">
        <v>0.151</v>
      </c>
      <c r="AU76" s="3825"/>
      <c r="AV76" s="1741">
        <v>3</v>
      </c>
      <c r="AW76" s="1742">
        <v>0</v>
      </c>
      <c r="AX76" s="1743">
        <v>0</v>
      </c>
      <c r="AY76" s="1744">
        <v>0</v>
      </c>
      <c r="AZ76" s="1742">
        <v>3.0000000000000001E-3</v>
      </c>
      <c r="BA76" s="1743">
        <v>5.5E-2</v>
      </c>
      <c r="BB76" s="1744">
        <v>2.3E-2</v>
      </c>
      <c r="BC76" s="1745">
        <v>3.6999999999999998E-2</v>
      </c>
      <c r="BD76" s="1746">
        <v>8.9999999999999993E-3</v>
      </c>
      <c r="BE76" s="1745">
        <v>1.7999999999999999E-2</v>
      </c>
      <c r="BF76" s="1747">
        <v>1.2999999999999999E-2</v>
      </c>
      <c r="BG76" s="1746">
        <v>3.0000000000000001E-3</v>
      </c>
      <c r="BH76" s="1748">
        <v>0.161</v>
      </c>
      <c r="BJ76" s="3825"/>
      <c r="BK76" s="1741">
        <v>3</v>
      </c>
      <c r="BL76" s="1742">
        <v>0</v>
      </c>
      <c r="BM76" s="1743">
        <v>0</v>
      </c>
      <c r="BN76" s="1744">
        <v>0</v>
      </c>
      <c r="BO76" s="1742">
        <v>3.0000000000000001E-3</v>
      </c>
      <c r="BP76" s="1743">
        <v>5.1999999999999998E-2</v>
      </c>
      <c r="BQ76" s="1744">
        <v>2.4E-2</v>
      </c>
      <c r="BR76" s="1745">
        <v>3.7999999999999999E-2</v>
      </c>
      <c r="BS76" s="1746">
        <v>8.9999999999999993E-3</v>
      </c>
      <c r="BT76" s="1745">
        <v>2.1000000000000001E-2</v>
      </c>
      <c r="BU76" s="1747">
        <v>1.4999999999999999E-2</v>
      </c>
      <c r="BV76" s="1746">
        <v>4.0000000000000001E-3</v>
      </c>
      <c r="BW76" s="1748">
        <v>0.16600000000000001</v>
      </c>
      <c r="BY76" s="3825"/>
      <c r="BZ76" s="1741">
        <v>3</v>
      </c>
      <c r="CA76" s="1742">
        <v>0</v>
      </c>
      <c r="CB76" s="1743">
        <v>0</v>
      </c>
      <c r="CC76" s="1744">
        <v>0</v>
      </c>
      <c r="CD76" s="1742">
        <v>3.0000000000000001E-3</v>
      </c>
      <c r="CE76" s="1743">
        <v>5.7000000000000002E-2</v>
      </c>
      <c r="CF76" s="1744">
        <v>2.4E-2</v>
      </c>
      <c r="CG76" s="1745">
        <v>4.2000000000000003E-2</v>
      </c>
      <c r="CH76" s="1746">
        <v>8.9999999999999993E-3</v>
      </c>
      <c r="CI76" s="1745">
        <v>2.1999999999999999E-2</v>
      </c>
      <c r="CJ76" s="1747">
        <v>1.7000000000000001E-2</v>
      </c>
      <c r="CK76" s="1746">
        <v>4.0000000000000001E-3</v>
      </c>
      <c r="CL76" s="1748">
        <v>0.17799999999999999</v>
      </c>
    </row>
    <row r="77" spans="1:90" s="1728" customFormat="1" ht="13.5" customHeight="1">
      <c r="A77" s="3842"/>
      <c r="B77" s="3843"/>
      <c r="C77" s="1741">
        <v>4</v>
      </c>
      <c r="D77" s="1742">
        <v>0</v>
      </c>
      <c r="E77" s="1743">
        <v>0</v>
      </c>
      <c r="F77" s="1744">
        <v>0</v>
      </c>
      <c r="G77" s="1742">
        <v>0</v>
      </c>
      <c r="H77" s="1743">
        <v>4.5999999999999999E-2</v>
      </c>
      <c r="I77" s="1744">
        <v>2.1999999999999999E-2</v>
      </c>
      <c r="J77" s="1745">
        <v>1.6E-2</v>
      </c>
      <c r="K77" s="1746">
        <v>4.0000000000000001E-3</v>
      </c>
      <c r="L77" s="1745">
        <v>0</v>
      </c>
      <c r="M77" s="1747">
        <v>1E-3</v>
      </c>
      <c r="N77" s="1746">
        <v>2E-3</v>
      </c>
      <c r="O77" s="1748">
        <v>9.0999999999999998E-2</v>
      </c>
      <c r="Q77" s="3825"/>
      <c r="R77" s="1741">
        <v>4</v>
      </c>
      <c r="S77" s="1742">
        <v>0</v>
      </c>
      <c r="T77" s="1743">
        <v>0</v>
      </c>
      <c r="U77" s="1744">
        <v>0</v>
      </c>
      <c r="V77" s="1742">
        <v>0</v>
      </c>
      <c r="W77" s="1743">
        <v>4.1000000000000002E-2</v>
      </c>
      <c r="X77" s="1744">
        <v>1.4999999999999999E-2</v>
      </c>
      <c r="Y77" s="1745">
        <v>1.6E-2</v>
      </c>
      <c r="Z77" s="1746">
        <v>4.0000000000000001E-3</v>
      </c>
      <c r="AA77" s="1745">
        <v>0</v>
      </c>
      <c r="AB77" s="1747">
        <v>2E-3</v>
      </c>
      <c r="AC77" s="1746">
        <v>2E-3</v>
      </c>
      <c r="AD77" s="1748">
        <v>7.9000000000000001E-2</v>
      </c>
      <c r="AF77" s="3825"/>
      <c r="AG77" s="1741">
        <v>4</v>
      </c>
      <c r="AH77" s="1742">
        <v>0</v>
      </c>
      <c r="AI77" s="1743">
        <v>0</v>
      </c>
      <c r="AJ77" s="1744">
        <v>0</v>
      </c>
      <c r="AK77" s="1742">
        <v>0</v>
      </c>
      <c r="AL77" s="1743">
        <v>3.3000000000000002E-2</v>
      </c>
      <c r="AM77" s="1744">
        <v>1.4999999999999999E-2</v>
      </c>
      <c r="AN77" s="1745">
        <v>1.4E-2</v>
      </c>
      <c r="AO77" s="1746">
        <v>4.0000000000000001E-3</v>
      </c>
      <c r="AP77" s="1745">
        <v>1E-3</v>
      </c>
      <c r="AQ77" s="1747">
        <v>2E-3</v>
      </c>
      <c r="AR77" s="1746">
        <v>2E-3</v>
      </c>
      <c r="AS77" s="1748">
        <v>7.1999999999999995E-2</v>
      </c>
      <c r="AU77" s="3825"/>
      <c r="AV77" s="1741">
        <v>4</v>
      </c>
      <c r="AW77" s="1742">
        <v>0</v>
      </c>
      <c r="AX77" s="1743">
        <v>0</v>
      </c>
      <c r="AY77" s="1744">
        <v>0</v>
      </c>
      <c r="AZ77" s="1742">
        <v>0</v>
      </c>
      <c r="BA77" s="1743">
        <v>3.5000000000000003E-2</v>
      </c>
      <c r="BB77" s="1744">
        <v>1.7999999999999999E-2</v>
      </c>
      <c r="BC77" s="1745">
        <v>1.4E-2</v>
      </c>
      <c r="BD77" s="1746">
        <v>4.0000000000000001E-3</v>
      </c>
      <c r="BE77" s="1745">
        <v>2E-3</v>
      </c>
      <c r="BF77" s="1747">
        <v>3.0000000000000001E-3</v>
      </c>
      <c r="BG77" s="1746">
        <v>2E-3</v>
      </c>
      <c r="BH77" s="1748">
        <v>7.8E-2</v>
      </c>
      <c r="BJ77" s="3825"/>
      <c r="BK77" s="1741">
        <v>4</v>
      </c>
      <c r="BL77" s="1742">
        <v>0</v>
      </c>
      <c r="BM77" s="1743">
        <v>0</v>
      </c>
      <c r="BN77" s="1744">
        <v>0</v>
      </c>
      <c r="BO77" s="1742">
        <v>0</v>
      </c>
      <c r="BP77" s="1743">
        <v>3.7999999999999999E-2</v>
      </c>
      <c r="BQ77" s="1744">
        <v>1.9E-2</v>
      </c>
      <c r="BR77" s="1745">
        <v>1.6E-2</v>
      </c>
      <c r="BS77" s="1746">
        <v>4.0000000000000001E-3</v>
      </c>
      <c r="BT77" s="1745">
        <v>2E-3</v>
      </c>
      <c r="BU77" s="1747">
        <v>3.0000000000000001E-3</v>
      </c>
      <c r="BV77" s="1746">
        <v>2E-3</v>
      </c>
      <c r="BW77" s="1748">
        <v>8.4000000000000005E-2</v>
      </c>
      <c r="BY77" s="3825"/>
      <c r="BZ77" s="1741">
        <v>4</v>
      </c>
      <c r="CA77" s="1742">
        <v>0</v>
      </c>
      <c r="CB77" s="1743">
        <v>0</v>
      </c>
      <c r="CC77" s="1744">
        <v>0</v>
      </c>
      <c r="CD77" s="1742">
        <v>0</v>
      </c>
      <c r="CE77" s="1743">
        <v>3.9E-2</v>
      </c>
      <c r="CF77" s="1744">
        <v>2.1000000000000001E-2</v>
      </c>
      <c r="CG77" s="1745">
        <v>1.7000000000000001E-2</v>
      </c>
      <c r="CH77" s="1746">
        <v>4.0000000000000001E-3</v>
      </c>
      <c r="CI77" s="1745">
        <v>3.0000000000000001E-3</v>
      </c>
      <c r="CJ77" s="1747">
        <v>4.0000000000000001E-3</v>
      </c>
      <c r="CK77" s="1746">
        <v>2E-3</v>
      </c>
      <c r="CL77" s="1748">
        <v>9.0999999999999998E-2</v>
      </c>
    </row>
    <row r="78" spans="1:90" s="1728" customFormat="1" ht="13.5" customHeight="1">
      <c r="A78" s="3842"/>
      <c r="B78" s="3843"/>
      <c r="C78" s="1749">
        <v>5</v>
      </c>
      <c r="D78" s="1742">
        <v>0</v>
      </c>
      <c r="E78" s="1743">
        <v>0</v>
      </c>
      <c r="F78" s="1744">
        <v>0</v>
      </c>
      <c r="G78" s="1742">
        <v>0</v>
      </c>
      <c r="H78" s="1743">
        <v>0</v>
      </c>
      <c r="I78" s="1744">
        <v>0</v>
      </c>
      <c r="J78" s="1745">
        <v>1E-3</v>
      </c>
      <c r="K78" s="1746">
        <v>0</v>
      </c>
      <c r="L78" s="1745">
        <v>0</v>
      </c>
      <c r="M78" s="1747">
        <v>0</v>
      </c>
      <c r="N78" s="1746">
        <v>1E-3</v>
      </c>
      <c r="O78" s="1748">
        <v>2E-3</v>
      </c>
      <c r="Q78" s="3825"/>
      <c r="R78" s="1749">
        <v>5</v>
      </c>
      <c r="S78" s="1742">
        <v>0</v>
      </c>
      <c r="T78" s="1743">
        <v>0</v>
      </c>
      <c r="U78" s="1744">
        <v>0</v>
      </c>
      <c r="V78" s="1742">
        <v>0</v>
      </c>
      <c r="W78" s="1743">
        <v>6.0000000000000001E-3</v>
      </c>
      <c r="X78" s="1744">
        <v>8.0000000000000002E-3</v>
      </c>
      <c r="Y78" s="1745">
        <v>1E-3</v>
      </c>
      <c r="Z78" s="1746">
        <v>0</v>
      </c>
      <c r="AA78" s="1745">
        <v>0</v>
      </c>
      <c r="AB78" s="1747">
        <v>0</v>
      </c>
      <c r="AC78" s="1746">
        <v>1E-3</v>
      </c>
      <c r="AD78" s="1748">
        <v>1.7000000000000001E-2</v>
      </c>
      <c r="AF78" s="3825"/>
      <c r="AG78" s="1749">
        <v>5</v>
      </c>
      <c r="AH78" s="1742">
        <v>0</v>
      </c>
      <c r="AI78" s="1743">
        <v>0</v>
      </c>
      <c r="AJ78" s="1744">
        <v>0</v>
      </c>
      <c r="AK78" s="1742">
        <v>0</v>
      </c>
      <c r="AL78" s="1743">
        <v>2.3E-2</v>
      </c>
      <c r="AM78" s="1744">
        <v>1.2E-2</v>
      </c>
      <c r="AN78" s="1745">
        <v>6.0000000000000001E-3</v>
      </c>
      <c r="AO78" s="1746">
        <v>0</v>
      </c>
      <c r="AP78" s="1745">
        <v>0</v>
      </c>
      <c r="AQ78" s="1747">
        <v>0</v>
      </c>
      <c r="AR78" s="1746">
        <v>1E-3</v>
      </c>
      <c r="AS78" s="1748">
        <v>4.2000000000000003E-2</v>
      </c>
      <c r="AU78" s="3825"/>
      <c r="AV78" s="1749">
        <v>5</v>
      </c>
      <c r="AW78" s="1742">
        <v>0</v>
      </c>
      <c r="AX78" s="1743">
        <v>0</v>
      </c>
      <c r="AY78" s="1744">
        <v>0</v>
      </c>
      <c r="AZ78" s="1742">
        <v>0</v>
      </c>
      <c r="BA78" s="1743">
        <v>2.5999999999999999E-2</v>
      </c>
      <c r="BB78" s="1744">
        <v>1.2E-2</v>
      </c>
      <c r="BC78" s="1745">
        <v>6.0000000000000001E-3</v>
      </c>
      <c r="BD78" s="1746">
        <v>1E-3</v>
      </c>
      <c r="BE78" s="1745">
        <v>0</v>
      </c>
      <c r="BF78" s="1747">
        <v>0</v>
      </c>
      <c r="BG78" s="1746">
        <v>1E-3</v>
      </c>
      <c r="BH78" s="1748">
        <v>4.7E-2</v>
      </c>
      <c r="BJ78" s="3825"/>
      <c r="BK78" s="1749">
        <v>5</v>
      </c>
      <c r="BL78" s="1742">
        <v>0</v>
      </c>
      <c r="BM78" s="1743">
        <v>0</v>
      </c>
      <c r="BN78" s="1744">
        <v>0</v>
      </c>
      <c r="BO78" s="1742">
        <v>0</v>
      </c>
      <c r="BP78" s="1743">
        <v>2.8000000000000001E-2</v>
      </c>
      <c r="BQ78" s="1744">
        <v>1.2999999999999999E-2</v>
      </c>
      <c r="BR78" s="1745">
        <v>8.0000000000000002E-3</v>
      </c>
      <c r="BS78" s="1746">
        <v>1E-3</v>
      </c>
      <c r="BT78" s="1745">
        <v>0</v>
      </c>
      <c r="BU78" s="1747">
        <v>0</v>
      </c>
      <c r="BV78" s="1746">
        <v>1E-3</v>
      </c>
      <c r="BW78" s="1748">
        <v>5.1999999999999998E-2</v>
      </c>
      <c r="BY78" s="3825"/>
      <c r="BZ78" s="1749">
        <v>5</v>
      </c>
      <c r="CA78" s="1742">
        <v>0</v>
      </c>
      <c r="CB78" s="1743">
        <v>0</v>
      </c>
      <c r="CC78" s="1744">
        <v>0</v>
      </c>
      <c r="CD78" s="1742">
        <v>0</v>
      </c>
      <c r="CE78" s="1743">
        <v>3.3000000000000002E-2</v>
      </c>
      <c r="CF78" s="1744">
        <v>1.4999999999999999E-2</v>
      </c>
      <c r="CG78" s="1745">
        <v>8.0000000000000002E-3</v>
      </c>
      <c r="CH78" s="1746">
        <v>2E-3</v>
      </c>
      <c r="CI78" s="1745">
        <v>0</v>
      </c>
      <c r="CJ78" s="1747">
        <v>0</v>
      </c>
      <c r="CK78" s="1746">
        <v>1E-3</v>
      </c>
      <c r="CL78" s="1748">
        <v>0.06</v>
      </c>
    </row>
    <row r="79" spans="1:90" s="1728" customFormat="1" ht="13.5" customHeight="1" thickBot="1">
      <c r="A79" s="3844"/>
      <c r="B79" s="3845"/>
      <c r="C79" s="1750" t="s">
        <v>1422</v>
      </c>
      <c r="D79" s="1751">
        <v>0</v>
      </c>
      <c r="E79" s="1752">
        <v>0</v>
      </c>
      <c r="F79" s="1753">
        <v>0</v>
      </c>
      <c r="G79" s="1751">
        <v>8.9999999999999993E-3</v>
      </c>
      <c r="H79" s="1752">
        <v>0.186</v>
      </c>
      <c r="I79" s="1753">
        <v>0.182</v>
      </c>
      <c r="J79" s="1754">
        <v>0.14000000000000001</v>
      </c>
      <c r="K79" s="1755">
        <v>0.152</v>
      </c>
      <c r="L79" s="1754">
        <v>4.2999999999999997E-2</v>
      </c>
      <c r="M79" s="1756">
        <v>0.17799999999999999</v>
      </c>
      <c r="N79" s="1755">
        <v>0.109</v>
      </c>
      <c r="O79" s="1757">
        <v>1</v>
      </c>
      <c r="Q79" s="3826"/>
      <c r="R79" s="1750" t="s">
        <v>1422</v>
      </c>
      <c r="S79" s="1751">
        <v>0</v>
      </c>
      <c r="T79" s="1752">
        <v>0</v>
      </c>
      <c r="U79" s="1753">
        <v>0</v>
      </c>
      <c r="V79" s="1751">
        <v>8.9999999999999993E-3</v>
      </c>
      <c r="W79" s="1752">
        <v>0.187</v>
      </c>
      <c r="X79" s="1753">
        <v>0.183</v>
      </c>
      <c r="Y79" s="1754">
        <v>0.14000000000000001</v>
      </c>
      <c r="Z79" s="1755">
        <v>0.15</v>
      </c>
      <c r="AA79" s="1754">
        <v>4.2999999999999997E-2</v>
      </c>
      <c r="AB79" s="1756">
        <v>0.17799999999999999</v>
      </c>
      <c r="AC79" s="1755">
        <v>0.109</v>
      </c>
      <c r="AD79" s="1757">
        <v>1</v>
      </c>
      <c r="AF79" s="3826"/>
      <c r="AG79" s="1750" t="s">
        <v>1422</v>
      </c>
      <c r="AH79" s="1751">
        <v>0</v>
      </c>
      <c r="AI79" s="1752">
        <v>0</v>
      </c>
      <c r="AJ79" s="1753">
        <v>0</v>
      </c>
      <c r="AK79" s="1751">
        <v>0.01</v>
      </c>
      <c r="AL79" s="1752">
        <v>0.187</v>
      </c>
      <c r="AM79" s="1753">
        <v>0.183</v>
      </c>
      <c r="AN79" s="1754">
        <v>0.13900000000000001</v>
      </c>
      <c r="AO79" s="1755">
        <v>0.14899999999999999</v>
      </c>
      <c r="AP79" s="1754">
        <v>4.3999999999999997E-2</v>
      </c>
      <c r="AQ79" s="1756">
        <v>0.17899999999999999</v>
      </c>
      <c r="AR79" s="1755">
        <v>0.109</v>
      </c>
      <c r="AS79" s="1757">
        <v>1</v>
      </c>
      <c r="AU79" s="3826"/>
      <c r="AV79" s="1750" t="s">
        <v>1422</v>
      </c>
      <c r="AW79" s="1751">
        <v>0</v>
      </c>
      <c r="AX79" s="1752">
        <v>0</v>
      </c>
      <c r="AY79" s="1753">
        <v>0</v>
      </c>
      <c r="AZ79" s="1751">
        <v>0.01</v>
      </c>
      <c r="BA79" s="1752">
        <v>0.189</v>
      </c>
      <c r="BB79" s="1753">
        <v>0.187</v>
      </c>
      <c r="BC79" s="1754">
        <v>0.13700000000000001</v>
      </c>
      <c r="BD79" s="1755">
        <v>0.14699999999999999</v>
      </c>
      <c r="BE79" s="1754">
        <v>4.3999999999999997E-2</v>
      </c>
      <c r="BF79" s="1756">
        <v>0.17699999999999999</v>
      </c>
      <c r="BG79" s="1755">
        <v>0.108</v>
      </c>
      <c r="BH79" s="1757">
        <v>1</v>
      </c>
      <c r="BJ79" s="3826"/>
      <c r="BK79" s="1750" t="s">
        <v>1422</v>
      </c>
      <c r="BL79" s="1751">
        <v>0</v>
      </c>
      <c r="BM79" s="1752">
        <v>0</v>
      </c>
      <c r="BN79" s="1753">
        <v>0</v>
      </c>
      <c r="BO79" s="1751">
        <v>0.01</v>
      </c>
      <c r="BP79" s="1752">
        <v>0.19</v>
      </c>
      <c r="BQ79" s="1753">
        <v>0.188</v>
      </c>
      <c r="BR79" s="1754">
        <v>0.13700000000000001</v>
      </c>
      <c r="BS79" s="1755">
        <v>0.14599999999999999</v>
      </c>
      <c r="BT79" s="1754">
        <v>4.3999999999999997E-2</v>
      </c>
      <c r="BU79" s="1756">
        <v>0.17699999999999999</v>
      </c>
      <c r="BV79" s="1755">
        <v>0.108</v>
      </c>
      <c r="BW79" s="1757">
        <v>1</v>
      </c>
      <c r="BY79" s="3826"/>
      <c r="BZ79" s="1750" t="s">
        <v>1422</v>
      </c>
      <c r="CA79" s="1751">
        <v>0</v>
      </c>
      <c r="CB79" s="1752">
        <v>0</v>
      </c>
      <c r="CC79" s="1753">
        <v>0</v>
      </c>
      <c r="CD79" s="1751">
        <v>0.01</v>
      </c>
      <c r="CE79" s="1752">
        <v>0.189</v>
      </c>
      <c r="CF79" s="1753">
        <v>0.189</v>
      </c>
      <c r="CG79" s="1754">
        <v>0.13700000000000001</v>
      </c>
      <c r="CH79" s="1755">
        <v>0.14599999999999999</v>
      </c>
      <c r="CI79" s="1754">
        <v>4.3999999999999997E-2</v>
      </c>
      <c r="CJ79" s="1756">
        <v>0.17699999999999999</v>
      </c>
      <c r="CK79" s="1755">
        <v>0.108</v>
      </c>
      <c r="CL79" s="1757">
        <v>1</v>
      </c>
    </row>
    <row r="80" spans="1:90" s="1728" customFormat="1" ht="13.5" customHeight="1" thickTop="1">
      <c r="A80" s="3840" t="s">
        <v>1125</v>
      </c>
      <c r="B80" s="3841"/>
      <c r="C80" s="1733">
        <v>1</v>
      </c>
      <c r="D80" s="1734">
        <v>0</v>
      </c>
      <c r="E80" s="1735">
        <v>0</v>
      </c>
      <c r="F80" s="1736">
        <v>0</v>
      </c>
      <c r="G80" s="1734">
        <v>2.5000000000000001E-2</v>
      </c>
      <c r="H80" s="1735">
        <v>3.4000000000000002E-2</v>
      </c>
      <c r="I80" s="1736">
        <v>0.11700000000000001</v>
      </c>
      <c r="J80" s="1737">
        <v>1.4999999999999999E-2</v>
      </c>
      <c r="K80" s="1738">
        <v>5.1999999999999998E-2</v>
      </c>
      <c r="L80" s="1737">
        <v>4.4999999999999998E-2</v>
      </c>
      <c r="M80" s="1739">
        <v>5.8000000000000003E-2</v>
      </c>
      <c r="N80" s="1738">
        <v>6.0999999999999999E-2</v>
      </c>
      <c r="O80" s="1740">
        <v>0.40699999999999997</v>
      </c>
      <c r="Q80" s="3824" t="s">
        <v>1125</v>
      </c>
      <c r="R80" s="1733">
        <v>1</v>
      </c>
      <c r="S80" s="1734">
        <v>0</v>
      </c>
      <c r="T80" s="1735">
        <v>0</v>
      </c>
      <c r="U80" s="1736">
        <v>0</v>
      </c>
      <c r="V80" s="1734">
        <v>2.5000000000000001E-2</v>
      </c>
      <c r="W80" s="1735">
        <v>3.3000000000000002E-2</v>
      </c>
      <c r="X80" s="1736">
        <v>0.11600000000000001</v>
      </c>
      <c r="Y80" s="1737">
        <v>1.4999999999999999E-2</v>
      </c>
      <c r="Z80" s="1738">
        <v>5.0999999999999997E-2</v>
      </c>
      <c r="AA80" s="1737">
        <v>4.3999999999999997E-2</v>
      </c>
      <c r="AB80" s="1739">
        <v>5.8000000000000003E-2</v>
      </c>
      <c r="AC80" s="1738">
        <v>6.0999999999999999E-2</v>
      </c>
      <c r="AD80" s="1740">
        <v>0.40500000000000003</v>
      </c>
      <c r="AF80" s="3824" t="s">
        <v>1125</v>
      </c>
      <c r="AG80" s="1733">
        <v>1</v>
      </c>
      <c r="AH80" s="1734">
        <v>0</v>
      </c>
      <c r="AI80" s="1735">
        <v>0</v>
      </c>
      <c r="AJ80" s="1736">
        <v>0</v>
      </c>
      <c r="AK80" s="1734">
        <v>0.02</v>
      </c>
      <c r="AL80" s="1735">
        <v>0.03</v>
      </c>
      <c r="AM80" s="1736">
        <v>0.112</v>
      </c>
      <c r="AN80" s="1737">
        <v>1.4E-2</v>
      </c>
      <c r="AO80" s="1738">
        <v>0.05</v>
      </c>
      <c r="AP80" s="1737">
        <v>3.4000000000000002E-2</v>
      </c>
      <c r="AQ80" s="1739">
        <v>5.1999999999999998E-2</v>
      </c>
      <c r="AR80" s="1738">
        <v>5.8999999999999997E-2</v>
      </c>
      <c r="AS80" s="1740">
        <v>0.372</v>
      </c>
      <c r="AU80" s="3824" t="s">
        <v>1125</v>
      </c>
      <c r="AV80" s="1733">
        <v>1</v>
      </c>
      <c r="AW80" s="1734">
        <v>0</v>
      </c>
      <c r="AX80" s="1735">
        <v>0</v>
      </c>
      <c r="AY80" s="1736">
        <v>0</v>
      </c>
      <c r="AZ80" s="1734">
        <v>1.9E-2</v>
      </c>
      <c r="BA80" s="1735">
        <v>2.5000000000000001E-2</v>
      </c>
      <c r="BB80" s="1736">
        <v>0.10100000000000001</v>
      </c>
      <c r="BC80" s="1737">
        <v>1.0999999999999999E-2</v>
      </c>
      <c r="BD80" s="1738">
        <v>4.9000000000000002E-2</v>
      </c>
      <c r="BE80" s="1737">
        <v>2.9000000000000001E-2</v>
      </c>
      <c r="BF80" s="1739">
        <v>4.8000000000000001E-2</v>
      </c>
      <c r="BG80" s="1738">
        <v>5.8000000000000003E-2</v>
      </c>
      <c r="BH80" s="1740">
        <v>0.34100000000000003</v>
      </c>
      <c r="BJ80" s="3824" t="s">
        <v>1125</v>
      </c>
      <c r="BK80" s="1733">
        <v>1</v>
      </c>
      <c r="BL80" s="1734">
        <v>0</v>
      </c>
      <c r="BM80" s="1735">
        <v>0</v>
      </c>
      <c r="BN80" s="1736">
        <v>0</v>
      </c>
      <c r="BO80" s="1734">
        <v>1.9E-2</v>
      </c>
      <c r="BP80" s="1735">
        <v>2.5000000000000001E-2</v>
      </c>
      <c r="BQ80" s="1736">
        <v>9.9000000000000005E-2</v>
      </c>
      <c r="BR80" s="1737">
        <v>1.0999999999999999E-2</v>
      </c>
      <c r="BS80" s="1738">
        <v>4.8000000000000001E-2</v>
      </c>
      <c r="BT80" s="1737">
        <v>2.7E-2</v>
      </c>
      <c r="BU80" s="1739">
        <v>4.8000000000000001E-2</v>
      </c>
      <c r="BV80" s="1738">
        <v>5.8000000000000003E-2</v>
      </c>
      <c r="BW80" s="1740">
        <v>0.33400000000000002</v>
      </c>
      <c r="BY80" s="3824" t="s">
        <v>1125</v>
      </c>
      <c r="BZ80" s="1733">
        <v>1</v>
      </c>
      <c r="CA80" s="1734">
        <v>0</v>
      </c>
      <c r="CB80" s="1735">
        <v>0</v>
      </c>
      <c r="CC80" s="1736">
        <v>0</v>
      </c>
      <c r="CD80" s="1734">
        <v>1.7000000000000001E-2</v>
      </c>
      <c r="CE80" s="1735">
        <v>2.5000000000000001E-2</v>
      </c>
      <c r="CF80" s="1736">
        <v>9.7000000000000003E-2</v>
      </c>
      <c r="CG80" s="1737">
        <v>1.0999999999999999E-2</v>
      </c>
      <c r="CH80" s="1738">
        <v>4.7E-2</v>
      </c>
      <c r="CI80" s="1737">
        <v>2.4E-2</v>
      </c>
      <c r="CJ80" s="1739">
        <v>4.5999999999999999E-2</v>
      </c>
      <c r="CK80" s="1738">
        <v>5.8000000000000003E-2</v>
      </c>
      <c r="CL80" s="1740">
        <v>0.32500000000000001</v>
      </c>
    </row>
    <row r="81" spans="1:90" s="1728" customFormat="1" ht="13.5" customHeight="1">
      <c r="A81" s="3842"/>
      <c r="B81" s="3843"/>
      <c r="C81" s="1741">
        <v>2</v>
      </c>
      <c r="D81" s="1742">
        <v>0</v>
      </c>
      <c r="E81" s="1743">
        <v>0</v>
      </c>
      <c r="F81" s="1744">
        <v>0</v>
      </c>
      <c r="G81" s="1742">
        <v>0.06</v>
      </c>
      <c r="H81" s="1743">
        <v>5.8999999999999997E-2</v>
      </c>
      <c r="I81" s="1744">
        <v>4.9000000000000002E-2</v>
      </c>
      <c r="J81" s="1745">
        <v>2.8000000000000001E-2</v>
      </c>
      <c r="K81" s="1746">
        <v>1.7999999999999999E-2</v>
      </c>
      <c r="L81" s="1745">
        <v>6.8000000000000005E-2</v>
      </c>
      <c r="M81" s="1747">
        <v>4.7E-2</v>
      </c>
      <c r="N81" s="1746">
        <v>7.0000000000000001E-3</v>
      </c>
      <c r="O81" s="1748">
        <v>0.33500000000000002</v>
      </c>
      <c r="Q81" s="3825"/>
      <c r="R81" s="1741">
        <v>2</v>
      </c>
      <c r="S81" s="1742">
        <v>0</v>
      </c>
      <c r="T81" s="1743">
        <v>0</v>
      </c>
      <c r="U81" s="1744">
        <v>0</v>
      </c>
      <c r="V81" s="1742">
        <v>5.8000000000000003E-2</v>
      </c>
      <c r="W81" s="1743">
        <v>5.8000000000000003E-2</v>
      </c>
      <c r="X81" s="1744">
        <v>4.7E-2</v>
      </c>
      <c r="Y81" s="1745">
        <v>2.8000000000000001E-2</v>
      </c>
      <c r="Z81" s="1746">
        <v>1.7000000000000001E-2</v>
      </c>
      <c r="AA81" s="1745">
        <v>6.7000000000000004E-2</v>
      </c>
      <c r="AB81" s="1747">
        <v>4.8000000000000001E-2</v>
      </c>
      <c r="AC81" s="1746">
        <v>7.0000000000000001E-3</v>
      </c>
      <c r="AD81" s="1748">
        <v>0.32900000000000001</v>
      </c>
      <c r="AF81" s="3825"/>
      <c r="AG81" s="1741">
        <v>2</v>
      </c>
      <c r="AH81" s="1742">
        <v>0</v>
      </c>
      <c r="AI81" s="1743">
        <v>0</v>
      </c>
      <c r="AJ81" s="1744">
        <v>0</v>
      </c>
      <c r="AK81" s="1742">
        <v>5.2999999999999999E-2</v>
      </c>
      <c r="AL81" s="1743">
        <v>5.0999999999999997E-2</v>
      </c>
      <c r="AM81" s="1744">
        <v>4.7E-2</v>
      </c>
      <c r="AN81" s="1745">
        <v>2.4E-2</v>
      </c>
      <c r="AO81" s="1746">
        <v>1.7999999999999999E-2</v>
      </c>
      <c r="AP81" s="1745">
        <v>7.0999999999999994E-2</v>
      </c>
      <c r="AQ81" s="1747">
        <v>5.0999999999999997E-2</v>
      </c>
      <c r="AR81" s="1746">
        <v>8.0000000000000002E-3</v>
      </c>
      <c r="AS81" s="1748">
        <v>0.32300000000000001</v>
      </c>
      <c r="AU81" s="3825"/>
      <c r="AV81" s="1741">
        <v>2</v>
      </c>
      <c r="AW81" s="1742">
        <v>0</v>
      </c>
      <c r="AX81" s="1743">
        <v>0</v>
      </c>
      <c r="AY81" s="1744">
        <v>0</v>
      </c>
      <c r="AZ81" s="1742">
        <v>4.1000000000000002E-2</v>
      </c>
      <c r="BA81" s="1743">
        <v>4.9000000000000002E-2</v>
      </c>
      <c r="BB81" s="1744">
        <v>5.5E-2</v>
      </c>
      <c r="BC81" s="1745">
        <v>2.5000000000000001E-2</v>
      </c>
      <c r="BD81" s="1746">
        <v>1.7000000000000001E-2</v>
      </c>
      <c r="BE81" s="1745">
        <v>7.0000000000000007E-2</v>
      </c>
      <c r="BF81" s="1747">
        <v>5.0999999999999997E-2</v>
      </c>
      <c r="BG81" s="1746">
        <v>8.0000000000000002E-3</v>
      </c>
      <c r="BH81" s="1748">
        <v>0.316</v>
      </c>
      <c r="BJ81" s="3825"/>
      <c r="BK81" s="1741">
        <v>2</v>
      </c>
      <c r="BL81" s="1742">
        <v>0</v>
      </c>
      <c r="BM81" s="1743">
        <v>0</v>
      </c>
      <c r="BN81" s="1744">
        <v>0</v>
      </c>
      <c r="BO81" s="1742">
        <v>3.3000000000000002E-2</v>
      </c>
      <c r="BP81" s="1743">
        <v>4.5999999999999999E-2</v>
      </c>
      <c r="BQ81" s="1744">
        <v>5.5E-2</v>
      </c>
      <c r="BR81" s="1745">
        <v>2.3E-2</v>
      </c>
      <c r="BS81" s="1746">
        <v>1.7000000000000001E-2</v>
      </c>
      <c r="BT81" s="1745">
        <v>6.5000000000000002E-2</v>
      </c>
      <c r="BU81" s="1747">
        <v>4.9000000000000002E-2</v>
      </c>
      <c r="BV81" s="1746">
        <v>8.0000000000000002E-3</v>
      </c>
      <c r="BW81" s="1748">
        <v>0.29599999999999999</v>
      </c>
      <c r="BY81" s="3825"/>
      <c r="BZ81" s="1741">
        <v>2</v>
      </c>
      <c r="CA81" s="1742">
        <v>0</v>
      </c>
      <c r="CB81" s="1743">
        <v>0</v>
      </c>
      <c r="CC81" s="1744">
        <v>0</v>
      </c>
      <c r="CD81" s="1742">
        <v>3.1E-2</v>
      </c>
      <c r="CE81" s="1743">
        <v>4.1000000000000002E-2</v>
      </c>
      <c r="CF81" s="1744">
        <v>5.2999999999999999E-2</v>
      </c>
      <c r="CG81" s="1745">
        <v>2.1000000000000001E-2</v>
      </c>
      <c r="CH81" s="1746">
        <v>1.7000000000000001E-2</v>
      </c>
      <c r="CI81" s="1745">
        <v>6.2E-2</v>
      </c>
      <c r="CJ81" s="1747">
        <v>4.9000000000000002E-2</v>
      </c>
      <c r="CK81" s="1746">
        <v>8.0000000000000002E-3</v>
      </c>
      <c r="CL81" s="1748">
        <v>0.28100000000000003</v>
      </c>
    </row>
    <row r="82" spans="1:90" s="1728" customFormat="1" ht="13.5" customHeight="1">
      <c r="A82" s="3842"/>
      <c r="B82" s="3843"/>
      <c r="C82" s="1741">
        <v>3</v>
      </c>
      <c r="D82" s="1742">
        <v>0</v>
      </c>
      <c r="E82" s="1743">
        <v>0</v>
      </c>
      <c r="F82" s="1744">
        <v>0</v>
      </c>
      <c r="G82" s="1742">
        <v>0.05</v>
      </c>
      <c r="H82" s="1743">
        <v>4.2999999999999997E-2</v>
      </c>
      <c r="I82" s="1744">
        <v>1.9E-2</v>
      </c>
      <c r="J82" s="1745">
        <v>1.9E-2</v>
      </c>
      <c r="K82" s="1746">
        <v>7.0000000000000001E-3</v>
      </c>
      <c r="L82" s="1745">
        <v>1.6E-2</v>
      </c>
      <c r="M82" s="1747">
        <v>0.01</v>
      </c>
      <c r="N82" s="1746">
        <v>2E-3</v>
      </c>
      <c r="O82" s="1748">
        <v>0.16600000000000001</v>
      </c>
      <c r="Q82" s="3825"/>
      <c r="R82" s="1741">
        <v>3</v>
      </c>
      <c r="S82" s="1742">
        <v>0</v>
      </c>
      <c r="T82" s="1743">
        <v>0</v>
      </c>
      <c r="U82" s="1744">
        <v>0</v>
      </c>
      <c r="V82" s="1742">
        <v>5.8999999999999997E-2</v>
      </c>
      <c r="W82" s="1743">
        <v>4.2000000000000003E-2</v>
      </c>
      <c r="X82" s="1744">
        <v>0.02</v>
      </c>
      <c r="Y82" s="1745">
        <v>1.9E-2</v>
      </c>
      <c r="Z82" s="1746">
        <v>7.0000000000000001E-3</v>
      </c>
      <c r="AA82" s="1745">
        <v>1.6E-2</v>
      </c>
      <c r="AB82" s="1747">
        <v>1.0999999999999999E-2</v>
      </c>
      <c r="AC82" s="1746">
        <v>2E-3</v>
      </c>
      <c r="AD82" s="1748">
        <v>0.17499999999999999</v>
      </c>
      <c r="AF82" s="3825"/>
      <c r="AG82" s="1741">
        <v>3</v>
      </c>
      <c r="AH82" s="1742">
        <v>0</v>
      </c>
      <c r="AI82" s="1743">
        <v>0</v>
      </c>
      <c r="AJ82" s="1744">
        <v>0</v>
      </c>
      <c r="AK82" s="1742">
        <v>6.0999999999999999E-2</v>
      </c>
      <c r="AL82" s="1743">
        <v>4.7E-2</v>
      </c>
      <c r="AM82" s="1744">
        <v>2.1000000000000001E-2</v>
      </c>
      <c r="AN82" s="1745">
        <v>2.1000000000000001E-2</v>
      </c>
      <c r="AO82" s="1746">
        <v>7.0000000000000001E-3</v>
      </c>
      <c r="AP82" s="1745">
        <v>2.8000000000000001E-2</v>
      </c>
      <c r="AQ82" s="1747">
        <v>1.2999999999999999E-2</v>
      </c>
      <c r="AR82" s="1746">
        <v>2E-3</v>
      </c>
      <c r="AS82" s="1748">
        <v>0.19900000000000001</v>
      </c>
      <c r="AU82" s="3825"/>
      <c r="AV82" s="1741">
        <v>3</v>
      </c>
      <c r="AW82" s="1742">
        <v>0</v>
      </c>
      <c r="AX82" s="1743">
        <v>0</v>
      </c>
      <c r="AY82" s="1744">
        <v>0</v>
      </c>
      <c r="AZ82" s="1742">
        <v>6.3E-2</v>
      </c>
      <c r="BA82" s="1743">
        <v>5.0999999999999997E-2</v>
      </c>
      <c r="BB82" s="1744">
        <v>2.1999999999999999E-2</v>
      </c>
      <c r="BC82" s="1745">
        <v>2.1000000000000001E-2</v>
      </c>
      <c r="BD82" s="1746">
        <v>8.0000000000000002E-3</v>
      </c>
      <c r="BE82" s="1745">
        <v>3.2000000000000001E-2</v>
      </c>
      <c r="BF82" s="1747">
        <v>1.4999999999999999E-2</v>
      </c>
      <c r="BG82" s="1746">
        <v>2E-3</v>
      </c>
      <c r="BH82" s="1748">
        <v>0.215</v>
      </c>
      <c r="BJ82" s="3825"/>
      <c r="BK82" s="1741">
        <v>3</v>
      </c>
      <c r="BL82" s="1742">
        <v>0</v>
      </c>
      <c r="BM82" s="1743">
        <v>0</v>
      </c>
      <c r="BN82" s="1744">
        <v>0</v>
      </c>
      <c r="BO82" s="1742">
        <v>6.6000000000000003E-2</v>
      </c>
      <c r="BP82" s="1743">
        <v>4.9000000000000002E-2</v>
      </c>
      <c r="BQ82" s="1744">
        <v>2.3E-2</v>
      </c>
      <c r="BR82" s="1745">
        <v>2.1000000000000001E-2</v>
      </c>
      <c r="BS82" s="1746">
        <v>8.0000000000000002E-3</v>
      </c>
      <c r="BT82" s="1745">
        <v>3.9E-2</v>
      </c>
      <c r="BU82" s="1747">
        <v>1.7999999999999999E-2</v>
      </c>
      <c r="BV82" s="1746">
        <v>3.0000000000000001E-3</v>
      </c>
      <c r="BW82" s="1748">
        <v>0.22700000000000001</v>
      </c>
      <c r="BY82" s="3825"/>
      <c r="BZ82" s="1741">
        <v>3</v>
      </c>
      <c r="CA82" s="1742">
        <v>0</v>
      </c>
      <c r="CB82" s="1743">
        <v>0</v>
      </c>
      <c r="CC82" s="1744">
        <v>0</v>
      </c>
      <c r="CD82" s="1742">
        <v>6.4000000000000001E-2</v>
      </c>
      <c r="CE82" s="1743">
        <v>5.1999999999999998E-2</v>
      </c>
      <c r="CF82" s="1744">
        <v>2.3E-2</v>
      </c>
      <c r="CG82" s="1745">
        <v>2.3E-2</v>
      </c>
      <c r="CH82" s="1746">
        <v>8.0000000000000002E-3</v>
      </c>
      <c r="CI82" s="1745">
        <v>4.2000000000000003E-2</v>
      </c>
      <c r="CJ82" s="1747">
        <v>1.7999999999999999E-2</v>
      </c>
      <c r="CK82" s="1746">
        <v>3.0000000000000001E-3</v>
      </c>
      <c r="CL82" s="1748">
        <v>0.23200000000000001</v>
      </c>
    </row>
    <row r="83" spans="1:90" s="1728" customFormat="1" ht="13.5" customHeight="1">
      <c r="A83" s="3842"/>
      <c r="B83" s="3843"/>
      <c r="C83" s="1741">
        <v>4</v>
      </c>
      <c r="D83" s="1742">
        <v>0</v>
      </c>
      <c r="E83" s="1743">
        <v>0</v>
      </c>
      <c r="F83" s="1744">
        <v>0</v>
      </c>
      <c r="G83" s="1742">
        <v>1.6E-2</v>
      </c>
      <c r="H83" s="1743">
        <v>3.5000000000000003E-2</v>
      </c>
      <c r="I83" s="1744">
        <v>0.01</v>
      </c>
      <c r="J83" s="1745">
        <v>1.2E-2</v>
      </c>
      <c r="K83" s="1746">
        <v>1E-3</v>
      </c>
      <c r="L83" s="1745">
        <v>4.0000000000000001E-3</v>
      </c>
      <c r="M83" s="1747">
        <v>2E-3</v>
      </c>
      <c r="N83" s="1746">
        <v>3.0000000000000001E-3</v>
      </c>
      <c r="O83" s="1748">
        <v>8.3000000000000004E-2</v>
      </c>
      <c r="Q83" s="3825"/>
      <c r="R83" s="1741">
        <v>4</v>
      </c>
      <c r="S83" s="1742">
        <v>0</v>
      </c>
      <c r="T83" s="1743">
        <v>0</v>
      </c>
      <c r="U83" s="1744">
        <v>0</v>
      </c>
      <c r="V83" s="1742">
        <v>1.2999999999999999E-2</v>
      </c>
      <c r="W83" s="1743">
        <v>3.2000000000000001E-2</v>
      </c>
      <c r="X83" s="1744">
        <v>0.01</v>
      </c>
      <c r="Y83" s="1745">
        <v>0.01</v>
      </c>
      <c r="Z83" s="1746">
        <v>1E-3</v>
      </c>
      <c r="AA83" s="1745">
        <v>3.0000000000000001E-3</v>
      </c>
      <c r="AB83" s="1747">
        <v>2E-3</v>
      </c>
      <c r="AC83" s="1746">
        <v>1E-3</v>
      </c>
      <c r="AD83" s="1748">
        <v>7.1999999999999995E-2</v>
      </c>
      <c r="AF83" s="3825"/>
      <c r="AG83" s="1741">
        <v>4</v>
      </c>
      <c r="AH83" s="1742">
        <v>0</v>
      </c>
      <c r="AI83" s="1743">
        <v>0</v>
      </c>
      <c r="AJ83" s="1744">
        <v>0</v>
      </c>
      <c r="AK83" s="1742">
        <v>1.9E-2</v>
      </c>
      <c r="AL83" s="1743">
        <v>2.3E-2</v>
      </c>
      <c r="AM83" s="1744">
        <v>1.0999999999999999E-2</v>
      </c>
      <c r="AN83" s="1745">
        <v>8.9999999999999993E-3</v>
      </c>
      <c r="AO83" s="1746">
        <v>2E-3</v>
      </c>
      <c r="AP83" s="1745">
        <v>5.0000000000000001E-3</v>
      </c>
      <c r="AQ83" s="1747">
        <v>3.0000000000000001E-3</v>
      </c>
      <c r="AR83" s="1746">
        <v>1E-3</v>
      </c>
      <c r="AS83" s="1748">
        <v>7.1999999999999995E-2</v>
      </c>
      <c r="AU83" s="3825"/>
      <c r="AV83" s="1741">
        <v>4</v>
      </c>
      <c r="AW83" s="1742">
        <v>0</v>
      </c>
      <c r="AX83" s="1743">
        <v>0</v>
      </c>
      <c r="AY83" s="1744">
        <v>0</v>
      </c>
      <c r="AZ83" s="1742">
        <v>3.1E-2</v>
      </c>
      <c r="BA83" s="1743">
        <v>2.5999999999999999E-2</v>
      </c>
      <c r="BB83" s="1744">
        <v>1.2E-2</v>
      </c>
      <c r="BC83" s="1745">
        <v>0.01</v>
      </c>
      <c r="BD83" s="1746">
        <v>2E-3</v>
      </c>
      <c r="BE83" s="1745">
        <v>6.0000000000000001E-3</v>
      </c>
      <c r="BF83" s="1747">
        <v>3.0000000000000001E-3</v>
      </c>
      <c r="BG83" s="1746">
        <v>1E-3</v>
      </c>
      <c r="BH83" s="1748">
        <v>9.1999999999999998E-2</v>
      </c>
      <c r="BJ83" s="3825"/>
      <c r="BK83" s="1741">
        <v>4</v>
      </c>
      <c r="BL83" s="1742">
        <v>0</v>
      </c>
      <c r="BM83" s="1743">
        <v>0</v>
      </c>
      <c r="BN83" s="1744">
        <v>0</v>
      </c>
      <c r="BO83" s="1742">
        <v>3.5999999999999997E-2</v>
      </c>
      <c r="BP83" s="1743">
        <v>2.7E-2</v>
      </c>
      <c r="BQ83" s="1744">
        <v>1.2999999999999999E-2</v>
      </c>
      <c r="BR83" s="1745">
        <v>1.0999999999999999E-2</v>
      </c>
      <c r="BS83" s="1746">
        <v>2E-3</v>
      </c>
      <c r="BT83" s="1745">
        <v>7.0000000000000001E-3</v>
      </c>
      <c r="BU83" s="1747">
        <v>4.0000000000000001E-3</v>
      </c>
      <c r="BV83" s="1746">
        <v>1E-3</v>
      </c>
      <c r="BW83" s="1748">
        <v>0.10100000000000001</v>
      </c>
      <c r="BY83" s="3825"/>
      <c r="BZ83" s="1741">
        <v>4</v>
      </c>
      <c r="CA83" s="1742">
        <v>0</v>
      </c>
      <c r="CB83" s="1743">
        <v>0</v>
      </c>
      <c r="CC83" s="1744">
        <v>0</v>
      </c>
      <c r="CD83" s="1742">
        <v>4.1000000000000002E-2</v>
      </c>
      <c r="CE83" s="1743">
        <v>2.8000000000000001E-2</v>
      </c>
      <c r="CF83" s="1744">
        <v>1.4999999999999999E-2</v>
      </c>
      <c r="CG83" s="1745">
        <v>1.2E-2</v>
      </c>
      <c r="CH83" s="1746">
        <v>2E-3</v>
      </c>
      <c r="CI83" s="1745">
        <v>1.0999999999999999E-2</v>
      </c>
      <c r="CJ83" s="1747">
        <v>5.0000000000000001E-3</v>
      </c>
      <c r="CK83" s="1746">
        <v>1E-3</v>
      </c>
      <c r="CL83" s="1748">
        <v>0.11600000000000001</v>
      </c>
    </row>
    <row r="84" spans="1:90" s="1728" customFormat="1" ht="13.5" customHeight="1">
      <c r="A84" s="3842"/>
      <c r="B84" s="3843"/>
      <c r="C84" s="1749">
        <v>5</v>
      </c>
      <c r="D84" s="1742">
        <v>0</v>
      </c>
      <c r="E84" s="1743">
        <v>0</v>
      </c>
      <c r="F84" s="1744">
        <v>0</v>
      </c>
      <c r="G84" s="1742">
        <v>0</v>
      </c>
      <c r="H84" s="1743">
        <v>0</v>
      </c>
      <c r="I84" s="1744">
        <v>5.0000000000000001E-3</v>
      </c>
      <c r="J84" s="1745">
        <v>0</v>
      </c>
      <c r="K84" s="1746">
        <v>0</v>
      </c>
      <c r="L84" s="1745">
        <v>0</v>
      </c>
      <c r="M84" s="1747">
        <v>0</v>
      </c>
      <c r="N84" s="1746">
        <v>0</v>
      </c>
      <c r="O84" s="1748">
        <v>6.0000000000000001E-3</v>
      </c>
      <c r="Q84" s="3825"/>
      <c r="R84" s="1749">
        <v>5</v>
      </c>
      <c r="S84" s="1742">
        <v>0</v>
      </c>
      <c r="T84" s="1743">
        <v>0</v>
      </c>
      <c r="U84" s="1744">
        <v>0</v>
      </c>
      <c r="V84" s="1742">
        <v>1E-3</v>
      </c>
      <c r="W84" s="1743">
        <v>4.0000000000000001E-3</v>
      </c>
      <c r="X84" s="1744">
        <v>6.0000000000000001E-3</v>
      </c>
      <c r="Y84" s="1745">
        <v>2E-3</v>
      </c>
      <c r="Z84" s="1746">
        <v>0</v>
      </c>
      <c r="AA84" s="1745">
        <v>0</v>
      </c>
      <c r="AB84" s="1747">
        <v>0</v>
      </c>
      <c r="AC84" s="1746">
        <v>2E-3</v>
      </c>
      <c r="AD84" s="1748">
        <v>1.4E-2</v>
      </c>
      <c r="AF84" s="3825"/>
      <c r="AG84" s="1749">
        <v>5</v>
      </c>
      <c r="AH84" s="1742">
        <v>0</v>
      </c>
      <c r="AI84" s="1743">
        <v>0</v>
      </c>
      <c r="AJ84" s="1744">
        <v>0</v>
      </c>
      <c r="AK84" s="1742">
        <v>1E-3</v>
      </c>
      <c r="AL84" s="1743">
        <v>1.7000000000000001E-2</v>
      </c>
      <c r="AM84" s="1744">
        <v>8.0000000000000002E-3</v>
      </c>
      <c r="AN84" s="1745">
        <v>5.0000000000000001E-3</v>
      </c>
      <c r="AO84" s="1746">
        <v>0</v>
      </c>
      <c r="AP84" s="1745">
        <v>0</v>
      </c>
      <c r="AQ84" s="1747">
        <v>0</v>
      </c>
      <c r="AR84" s="1746">
        <v>2E-3</v>
      </c>
      <c r="AS84" s="1748">
        <v>3.3000000000000002E-2</v>
      </c>
      <c r="AU84" s="3825"/>
      <c r="AV84" s="1749">
        <v>5</v>
      </c>
      <c r="AW84" s="1742">
        <v>0</v>
      </c>
      <c r="AX84" s="1743">
        <v>0</v>
      </c>
      <c r="AY84" s="1744">
        <v>0</v>
      </c>
      <c r="AZ84" s="1742">
        <v>1E-3</v>
      </c>
      <c r="BA84" s="1743">
        <v>1.7999999999999999E-2</v>
      </c>
      <c r="BB84" s="1744">
        <v>8.9999999999999993E-3</v>
      </c>
      <c r="BC84" s="1745">
        <v>5.0000000000000001E-3</v>
      </c>
      <c r="BD84" s="1746">
        <v>0</v>
      </c>
      <c r="BE84" s="1745">
        <v>0</v>
      </c>
      <c r="BF84" s="1747">
        <v>0</v>
      </c>
      <c r="BG84" s="1746">
        <v>2E-3</v>
      </c>
      <c r="BH84" s="1748">
        <v>3.5999999999999997E-2</v>
      </c>
      <c r="BJ84" s="3825"/>
      <c r="BK84" s="1749">
        <v>5</v>
      </c>
      <c r="BL84" s="1742">
        <v>0</v>
      </c>
      <c r="BM84" s="1743">
        <v>0</v>
      </c>
      <c r="BN84" s="1744">
        <v>0</v>
      </c>
      <c r="BO84" s="1742">
        <v>2E-3</v>
      </c>
      <c r="BP84" s="1743">
        <v>1.9E-2</v>
      </c>
      <c r="BQ84" s="1744">
        <v>0.01</v>
      </c>
      <c r="BR84" s="1745">
        <v>5.0000000000000001E-3</v>
      </c>
      <c r="BS84" s="1746">
        <v>0</v>
      </c>
      <c r="BT84" s="1745">
        <v>1E-3</v>
      </c>
      <c r="BU84" s="1747">
        <v>0</v>
      </c>
      <c r="BV84" s="1746">
        <v>2E-3</v>
      </c>
      <c r="BW84" s="1748">
        <v>0.04</v>
      </c>
      <c r="BY84" s="3825"/>
      <c r="BZ84" s="1749">
        <v>5</v>
      </c>
      <c r="CA84" s="1742">
        <v>0</v>
      </c>
      <c r="CB84" s="1743">
        <v>0</v>
      </c>
      <c r="CC84" s="1744">
        <v>0</v>
      </c>
      <c r="CD84" s="1742">
        <v>4.0000000000000001E-3</v>
      </c>
      <c r="CE84" s="1743">
        <v>0.02</v>
      </c>
      <c r="CF84" s="1744">
        <v>0.01</v>
      </c>
      <c r="CG84" s="1745">
        <v>6.0000000000000001E-3</v>
      </c>
      <c r="CH84" s="1746">
        <v>0</v>
      </c>
      <c r="CI84" s="1745">
        <v>1E-3</v>
      </c>
      <c r="CJ84" s="1747">
        <v>0</v>
      </c>
      <c r="CK84" s="1746">
        <v>2E-3</v>
      </c>
      <c r="CL84" s="1748">
        <v>4.3999999999999997E-2</v>
      </c>
    </row>
    <row r="85" spans="1:90" s="1728" customFormat="1" ht="13.5" customHeight="1" thickBot="1">
      <c r="A85" s="3844"/>
      <c r="B85" s="3845"/>
      <c r="C85" s="1750" t="s">
        <v>1422</v>
      </c>
      <c r="D85" s="1751">
        <v>0</v>
      </c>
      <c r="E85" s="1752">
        <v>0</v>
      </c>
      <c r="F85" s="1753">
        <v>0</v>
      </c>
      <c r="G85" s="1751">
        <v>0.154</v>
      </c>
      <c r="H85" s="1752">
        <v>0.17</v>
      </c>
      <c r="I85" s="1753">
        <v>0.2</v>
      </c>
      <c r="J85" s="1754">
        <v>7.3999999999999996E-2</v>
      </c>
      <c r="K85" s="1755">
        <v>7.8E-2</v>
      </c>
      <c r="L85" s="1754">
        <v>0.13400000000000001</v>
      </c>
      <c r="M85" s="1756">
        <v>0.11799999999999999</v>
      </c>
      <c r="N85" s="1755">
        <v>7.1999999999999995E-2</v>
      </c>
      <c r="O85" s="1757">
        <v>1</v>
      </c>
      <c r="Q85" s="3826"/>
      <c r="R85" s="1750" t="s">
        <v>1422</v>
      </c>
      <c r="S85" s="1751">
        <v>0</v>
      </c>
      <c r="T85" s="1752">
        <v>0</v>
      </c>
      <c r="U85" s="1753">
        <v>0</v>
      </c>
      <c r="V85" s="1751">
        <v>0.155</v>
      </c>
      <c r="W85" s="1752">
        <v>0.16900000000000001</v>
      </c>
      <c r="X85" s="1753">
        <v>0.19900000000000001</v>
      </c>
      <c r="Y85" s="1754">
        <v>7.2999999999999995E-2</v>
      </c>
      <c r="Z85" s="1755">
        <v>7.6999999999999999E-2</v>
      </c>
      <c r="AA85" s="1754">
        <v>0.13500000000000001</v>
      </c>
      <c r="AB85" s="1756">
        <v>0.11899999999999999</v>
      </c>
      <c r="AC85" s="1755">
        <v>7.1999999999999995E-2</v>
      </c>
      <c r="AD85" s="1757">
        <v>1</v>
      </c>
      <c r="AF85" s="3826"/>
      <c r="AG85" s="1750" t="s">
        <v>1422</v>
      </c>
      <c r="AH85" s="1751">
        <v>0</v>
      </c>
      <c r="AI85" s="1752">
        <v>0</v>
      </c>
      <c r="AJ85" s="1753">
        <v>0</v>
      </c>
      <c r="AK85" s="1751">
        <v>0.154</v>
      </c>
      <c r="AL85" s="1752">
        <v>0.16800000000000001</v>
      </c>
      <c r="AM85" s="1753">
        <v>0.19900000000000001</v>
      </c>
      <c r="AN85" s="1754">
        <v>7.2999999999999995E-2</v>
      </c>
      <c r="AO85" s="1755">
        <v>7.6999999999999999E-2</v>
      </c>
      <c r="AP85" s="1754">
        <v>0.13700000000000001</v>
      </c>
      <c r="AQ85" s="1756">
        <v>0.11899999999999999</v>
      </c>
      <c r="AR85" s="1755">
        <v>7.1999999999999995E-2</v>
      </c>
      <c r="AS85" s="1757">
        <v>1</v>
      </c>
      <c r="AU85" s="3826"/>
      <c r="AV85" s="1750" t="s">
        <v>1422</v>
      </c>
      <c r="AW85" s="1751">
        <v>0</v>
      </c>
      <c r="AX85" s="1752">
        <v>0</v>
      </c>
      <c r="AY85" s="1753">
        <v>0</v>
      </c>
      <c r="AZ85" s="1751">
        <v>0.156</v>
      </c>
      <c r="BA85" s="1752">
        <v>0.16800000000000001</v>
      </c>
      <c r="BB85" s="1753">
        <v>0.19900000000000001</v>
      </c>
      <c r="BC85" s="1754">
        <v>7.1999999999999995E-2</v>
      </c>
      <c r="BD85" s="1755">
        <v>7.5999999999999998E-2</v>
      </c>
      <c r="BE85" s="1754">
        <v>0.13800000000000001</v>
      </c>
      <c r="BF85" s="1756">
        <v>0.11899999999999999</v>
      </c>
      <c r="BG85" s="1755">
        <v>7.1999999999999995E-2</v>
      </c>
      <c r="BH85" s="1757">
        <v>1</v>
      </c>
      <c r="BJ85" s="3826"/>
      <c r="BK85" s="1750" t="s">
        <v>1422</v>
      </c>
      <c r="BL85" s="1751">
        <v>0</v>
      </c>
      <c r="BM85" s="1752">
        <v>0</v>
      </c>
      <c r="BN85" s="1753">
        <v>0</v>
      </c>
      <c r="BO85" s="1751">
        <v>0.156</v>
      </c>
      <c r="BP85" s="1752">
        <v>0.16700000000000001</v>
      </c>
      <c r="BQ85" s="1753">
        <v>0.19900000000000001</v>
      </c>
      <c r="BR85" s="1754">
        <v>7.0999999999999994E-2</v>
      </c>
      <c r="BS85" s="1755">
        <v>7.4999999999999997E-2</v>
      </c>
      <c r="BT85" s="1754">
        <v>0.13900000000000001</v>
      </c>
      <c r="BU85" s="1756">
        <v>0.11899999999999999</v>
      </c>
      <c r="BV85" s="1755">
        <v>7.1999999999999995E-2</v>
      </c>
      <c r="BW85" s="1757">
        <v>1</v>
      </c>
      <c r="BY85" s="3826"/>
      <c r="BZ85" s="1750" t="s">
        <v>1422</v>
      </c>
      <c r="CA85" s="1751">
        <v>0</v>
      </c>
      <c r="CB85" s="1752">
        <v>0</v>
      </c>
      <c r="CC85" s="1753">
        <v>0</v>
      </c>
      <c r="CD85" s="1751">
        <v>0.156</v>
      </c>
      <c r="CE85" s="1752">
        <v>0.16700000000000001</v>
      </c>
      <c r="CF85" s="1753">
        <v>0.19900000000000001</v>
      </c>
      <c r="CG85" s="1754">
        <v>7.0999999999999994E-2</v>
      </c>
      <c r="CH85" s="1755">
        <v>7.4999999999999997E-2</v>
      </c>
      <c r="CI85" s="1754">
        <v>0.14000000000000001</v>
      </c>
      <c r="CJ85" s="1756">
        <v>0.11799999999999999</v>
      </c>
      <c r="CK85" s="1755">
        <v>7.2999999999999995E-2</v>
      </c>
      <c r="CL85" s="1757">
        <v>1</v>
      </c>
    </row>
    <row r="86" spans="1:90" s="1728" customFormat="1" ht="13.5" customHeight="1" thickTop="1">
      <c r="A86" s="3840" t="s">
        <v>1126</v>
      </c>
      <c r="B86" s="3841"/>
      <c r="C86" s="1733">
        <v>1</v>
      </c>
      <c r="D86" s="1734">
        <v>0</v>
      </c>
      <c r="E86" s="1735">
        <v>0</v>
      </c>
      <c r="F86" s="1736">
        <v>0</v>
      </c>
      <c r="G86" s="1734">
        <v>0</v>
      </c>
      <c r="H86" s="1735">
        <v>0</v>
      </c>
      <c r="I86" s="1736">
        <v>0</v>
      </c>
      <c r="J86" s="1737">
        <v>0.03</v>
      </c>
      <c r="K86" s="1738">
        <v>0.11899999999999999</v>
      </c>
      <c r="L86" s="1737">
        <v>3.5000000000000003E-2</v>
      </c>
      <c r="M86" s="1739">
        <v>8.3000000000000004E-2</v>
      </c>
      <c r="N86" s="1738">
        <v>0.105</v>
      </c>
      <c r="O86" s="1740">
        <v>0.372</v>
      </c>
      <c r="Q86" s="3824" t="s">
        <v>1126</v>
      </c>
      <c r="R86" s="1733">
        <v>1</v>
      </c>
      <c r="S86" s="1734">
        <v>0</v>
      </c>
      <c r="T86" s="1735">
        <v>0</v>
      </c>
      <c r="U86" s="1736">
        <v>0</v>
      </c>
      <c r="V86" s="1734">
        <v>0</v>
      </c>
      <c r="W86" s="1735">
        <v>0</v>
      </c>
      <c r="X86" s="1736">
        <v>0</v>
      </c>
      <c r="Y86" s="1737">
        <v>2.9000000000000001E-2</v>
      </c>
      <c r="Z86" s="1738">
        <v>0.11799999999999999</v>
      </c>
      <c r="AA86" s="1737">
        <v>3.4000000000000002E-2</v>
      </c>
      <c r="AB86" s="1739">
        <v>8.5000000000000006E-2</v>
      </c>
      <c r="AC86" s="1738">
        <v>0.104</v>
      </c>
      <c r="AD86" s="1740">
        <v>0.37</v>
      </c>
      <c r="AF86" s="3824" t="s">
        <v>1126</v>
      </c>
      <c r="AG86" s="1733">
        <v>1</v>
      </c>
      <c r="AH86" s="1734">
        <v>0</v>
      </c>
      <c r="AI86" s="1735">
        <v>0</v>
      </c>
      <c r="AJ86" s="1736">
        <v>0</v>
      </c>
      <c r="AK86" s="1734">
        <v>0</v>
      </c>
      <c r="AL86" s="1735">
        <v>0</v>
      </c>
      <c r="AM86" s="1736">
        <v>0</v>
      </c>
      <c r="AN86" s="1737">
        <v>2.4E-2</v>
      </c>
      <c r="AO86" s="1738">
        <v>0.11700000000000001</v>
      </c>
      <c r="AP86" s="1737">
        <v>2.7E-2</v>
      </c>
      <c r="AQ86" s="1739">
        <v>6.8000000000000005E-2</v>
      </c>
      <c r="AR86" s="1738">
        <v>9.8000000000000004E-2</v>
      </c>
      <c r="AS86" s="1740">
        <v>0.33500000000000002</v>
      </c>
      <c r="AU86" s="3824" t="s">
        <v>1126</v>
      </c>
      <c r="AV86" s="1733">
        <v>1</v>
      </c>
      <c r="AW86" s="1734">
        <v>0</v>
      </c>
      <c r="AX86" s="1735">
        <v>0</v>
      </c>
      <c r="AY86" s="1736">
        <v>0</v>
      </c>
      <c r="AZ86" s="1734">
        <v>0</v>
      </c>
      <c r="BA86" s="1735">
        <v>0</v>
      </c>
      <c r="BB86" s="1736">
        <v>0</v>
      </c>
      <c r="BC86" s="1737">
        <v>2.1999999999999999E-2</v>
      </c>
      <c r="BD86" s="1738">
        <v>0.11</v>
      </c>
      <c r="BE86" s="1737">
        <v>2.5999999999999999E-2</v>
      </c>
      <c r="BF86" s="1739">
        <v>6.6000000000000003E-2</v>
      </c>
      <c r="BG86" s="1738">
        <v>9.7000000000000003E-2</v>
      </c>
      <c r="BH86" s="1740">
        <v>0.32100000000000001</v>
      </c>
      <c r="BJ86" s="3824" t="s">
        <v>1126</v>
      </c>
      <c r="BK86" s="1733">
        <v>1</v>
      </c>
      <c r="BL86" s="1734">
        <v>0</v>
      </c>
      <c r="BM86" s="1735">
        <v>0</v>
      </c>
      <c r="BN86" s="1736">
        <v>0</v>
      </c>
      <c r="BO86" s="1734">
        <v>0</v>
      </c>
      <c r="BP86" s="1735">
        <v>0</v>
      </c>
      <c r="BQ86" s="1736">
        <v>0</v>
      </c>
      <c r="BR86" s="1737">
        <v>2.1000000000000001E-2</v>
      </c>
      <c r="BS86" s="1738">
        <v>0.106</v>
      </c>
      <c r="BT86" s="1737">
        <v>2.5000000000000001E-2</v>
      </c>
      <c r="BU86" s="1739">
        <v>6.3E-2</v>
      </c>
      <c r="BV86" s="1738">
        <v>9.6000000000000002E-2</v>
      </c>
      <c r="BW86" s="1740">
        <v>0.31</v>
      </c>
      <c r="BY86" s="3824" t="s">
        <v>1126</v>
      </c>
      <c r="BZ86" s="1733">
        <v>1</v>
      </c>
      <c r="CA86" s="1734">
        <v>0</v>
      </c>
      <c r="CB86" s="1735">
        <v>0</v>
      </c>
      <c r="CC86" s="1736">
        <v>0</v>
      </c>
      <c r="CD86" s="1734">
        <v>0</v>
      </c>
      <c r="CE86" s="1735">
        <v>0</v>
      </c>
      <c r="CF86" s="1736">
        <v>0</v>
      </c>
      <c r="CG86" s="1737">
        <v>0.02</v>
      </c>
      <c r="CH86" s="1738">
        <v>0.104</v>
      </c>
      <c r="CI86" s="1737">
        <v>2.1999999999999999E-2</v>
      </c>
      <c r="CJ86" s="1739">
        <v>5.2999999999999999E-2</v>
      </c>
      <c r="CK86" s="1738">
        <v>9.1999999999999998E-2</v>
      </c>
      <c r="CL86" s="1740">
        <v>0.29099999999999998</v>
      </c>
    </row>
    <row r="87" spans="1:90" s="1728" customFormat="1" ht="13.5" customHeight="1">
      <c r="A87" s="3842"/>
      <c r="B87" s="3843"/>
      <c r="C87" s="1741">
        <v>2</v>
      </c>
      <c r="D87" s="1742">
        <v>0</v>
      </c>
      <c r="E87" s="1743">
        <v>0</v>
      </c>
      <c r="F87" s="1744">
        <v>0</v>
      </c>
      <c r="G87" s="1742">
        <v>0</v>
      </c>
      <c r="H87" s="1743">
        <v>0</v>
      </c>
      <c r="I87" s="1744">
        <v>0</v>
      </c>
      <c r="J87" s="1745">
        <v>6.2E-2</v>
      </c>
      <c r="K87" s="1746">
        <v>4.2999999999999997E-2</v>
      </c>
      <c r="L87" s="1745">
        <v>0.107</v>
      </c>
      <c r="M87" s="1747">
        <v>0.10199999999999999</v>
      </c>
      <c r="N87" s="1746">
        <v>2.5999999999999999E-2</v>
      </c>
      <c r="O87" s="1748">
        <v>0.34100000000000003</v>
      </c>
      <c r="Q87" s="3825"/>
      <c r="R87" s="1741">
        <v>2</v>
      </c>
      <c r="S87" s="1742">
        <v>0</v>
      </c>
      <c r="T87" s="1743">
        <v>0</v>
      </c>
      <c r="U87" s="1744">
        <v>0</v>
      </c>
      <c r="V87" s="1742">
        <v>0</v>
      </c>
      <c r="W87" s="1743">
        <v>0</v>
      </c>
      <c r="X87" s="1744">
        <v>0</v>
      </c>
      <c r="Y87" s="1745">
        <v>5.8999999999999997E-2</v>
      </c>
      <c r="Z87" s="1746">
        <v>4.2999999999999997E-2</v>
      </c>
      <c r="AA87" s="1745">
        <v>9.9000000000000005E-2</v>
      </c>
      <c r="AB87" s="1747">
        <v>0.10299999999999999</v>
      </c>
      <c r="AC87" s="1746">
        <v>2.5000000000000001E-2</v>
      </c>
      <c r="AD87" s="1748">
        <v>0.32800000000000001</v>
      </c>
      <c r="AF87" s="3825"/>
      <c r="AG87" s="1741">
        <v>2</v>
      </c>
      <c r="AH87" s="1742">
        <v>0</v>
      </c>
      <c r="AI87" s="1743">
        <v>0</v>
      </c>
      <c r="AJ87" s="1744">
        <v>0</v>
      </c>
      <c r="AK87" s="1742">
        <v>0</v>
      </c>
      <c r="AL87" s="1743">
        <v>0</v>
      </c>
      <c r="AM87" s="1744">
        <v>0</v>
      </c>
      <c r="AN87" s="1745">
        <v>5.2999999999999999E-2</v>
      </c>
      <c r="AO87" s="1746">
        <v>0.04</v>
      </c>
      <c r="AP87" s="1745">
        <v>8.5000000000000006E-2</v>
      </c>
      <c r="AQ87" s="1747">
        <v>0.111</v>
      </c>
      <c r="AR87" s="1746">
        <v>2.9000000000000001E-2</v>
      </c>
      <c r="AS87" s="1748">
        <v>0.318</v>
      </c>
      <c r="AU87" s="3825"/>
      <c r="AV87" s="1741">
        <v>2</v>
      </c>
      <c r="AW87" s="1742">
        <v>0</v>
      </c>
      <c r="AX87" s="1743">
        <v>0</v>
      </c>
      <c r="AY87" s="1744">
        <v>0</v>
      </c>
      <c r="AZ87" s="1742">
        <v>0</v>
      </c>
      <c r="BA87" s="1743">
        <v>0</v>
      </c>
      <c r="BB87" s="1744">
        <v>0</v>
      </c>
      <c r="BC87" s="1745">
        <v>4.4999999999999998E-2</v>
      </c>
      <c r="BD87" s="1746">
        <v>4.2999999999999997E-2</v>
      </c>
      <c r="BE87" s="1745">
        <v>6.0999999999999999E-2</v>
      </c>
      <c r="BF87" s="1747">
        <v>0.1</v>
      </c>
      <c r="BG87" s="1746">
        <v>2.5999999999999999E-2</v>
      </c>
      <c r="BH87" s="1748">
        <v>0.27500000000000002</v>
      </c>
      <c r="BJ87" s="3825"/>
      <c r="BK87" s="1741">
        <v>2</v>
      </c>
      <c r="BL87" s="1742">
        <v>0</v>
      </c>
      <c r="BM87" s="1743">
        <v>0</v>
      </c>
      <c r="BN87" s="1744">
        <v>0</v>
      </c>
      <c r="BO87" s="1742">
        <v>0</v>
      </c>
      <c r="BP87" s="1743">
        <v>0</v>
      </c>
      <c r="BQ87" s="1744">
        <v>0</v>
      </c>
      <c r="BR87" s="1745">
        <v>4.1000000000000002E-2</v>
      </c>
      <c r="BS87" s="1746">
        <v>4.5999999999999999E-2</v>
      </c>
      <c r="BT87" s="1745">
        <v>0.05</v>
      </c>
      <c r="BU87" s="1747">
        <v>8.8999999999999996E-2</v>
      </c>
      <c r="BV87" s="1746">
        <v>2.4E-2</v>
      </c>
      <c r="BW87" s="1748">
        <v>0.25</v>
      </c>
      <c r="BY87" s="3825"/>
      <c r="BZ87" s="1741">
        <v>2</v>
      </c>
      <c r="CA87" s="1742">
        <v>0</v>
      </c>
      <c r="CB87" s="1743">
        <v>0</v>
      </c>
      <c r="CC87" s="1744">
        <v>0</v>
      </c>
      <c r="CD87" s="1742">
        <v>0</v>
      </c>
      <c r="CE87" s="1743">
        <v>0</v>
      </c>
      <c r="CF87" s="1744">
        <v>0</v>
      </c>
      <c r="CG87" s="1745">
        <v>3.5999999999999997E-2</v>
      </c>
      <c r="CH87" s="1746">
        <v>4.5999999999999999E-2</v>
      </c>
      <c r="CI87" s="1745">
        <v>4.5999999999999999E-2</v>
      </c>
      <c r="CJ87" s="1747">
        <v>9.0999999999999998E-2</v>
      </c>
      <c r="CK87" s="1746">
        <v>2.7E-2</v>
      </c>
      <c r="CL87" s="1748">
        <v>0.247</v>
      </c>
    </row>
    <row r="88" spans="1:90" s="1728" customFormat="1" ht="13.5" customHeight="1">
      <c r="A88" s="3842"/>
      <c r="B88" s="3843"/>
      <c r="C88" s="1741">
        <v>3</v>
      </c>
      <c r="D88" s="1742">
        <v>0</v>
      </c>
      <c r="E88" s="1743">
        <v>0</v>
      </c>
      <c r="F88" s="1744">
        <v>0</v>
      </c>
      <c r="G88" s="1742">
        <v>0</v>
      </c>
      <c r="H88" s="1743">
        <v>0</v>
      </c>
      <c r="I88" s="1744">
        <v>0</v>
      </c>
      <c r="J88" s="1745">
        <v>5.3999999999999999E-2</v>
      </c>
      <c r="K88" s="1746">
        <v>0.02</v>
      </c>
      <c r="L88" s="1745">
        <v>8.5000000000000006E-2</v>
      </c>
      <c r="M88" s="1747">
        <v>3.9E-2</v>
      </c>
      <c r="N88" s="1746">
        <v>0.01</v>
      </c>
      <c r="O88" s="1748">
        <v>0.20799999999999999</v>
      </c>
      <c r="Q88" s="3825"/>
      <c r="R88" s="1741">
        <v>3</v>
      </c>
      <c r="S88" s="1742">
        <v>0</v>
      </c>
      <c r="T88" s="1743">
        <v>0</v>
      </c>
      <c r="U88" s="1744">
        <v>0</v>
      </c>
      <c r="V88" s="1742">
        <v>0</v>
      </c>
      <c r="W88" s="1743">
        <v>0</v>
      </c>
      <c r="X88" s="1744">
        <v>0</v>
      </c>
      <c r="Y88" s="1745">
        <v>5.3999999999999999E-2</v>
      </c>
      <c r="Z88" s="1746">
        <v>0.02</v>
      </c>
      <c r="AA88" s="1745">
        <v>9.6000000000000002E-2</v>
      </c>
      <c r="AB88" s="1747">
        <v>3.5999999999999997E-2</v>
      </c>
      <c r="AC88" s="1746">
        <v>1.2E-2</v>
      </c>
      <c r="AD88" s="1748">
        <v>0.219</v>
      </c>
      <c r="AF88" s="3825"/>
      <c r="AG88" s="1741">
        <v>3</v>
      </c>
      <c r="AH88" s="1742">
        <v>0</v>
      </c>
      <c r="AI88" s="1743">
        <v>0</v>
      </c>
      <c r="AJ88" s="1744">
        <v>0</v>
      </c>
      <c r="AK88" s="1742">
        <v>0</v>
      </c>
      <c r="AL88" s="1743">
        <v>0</v>
      </c>
      <c r="AM88" s="1744">
        <v>0</v>
      </c>
      <c r="AN88" s="1745">
        <v>5.8000000000000003E-2</v>
      </c>
      <c r="AO88" s="1746">
        <v>2.1000000000000001E-2</v>
      </c>
      <c r="AP88" s="1745">
        <v>0.11</v>
      </c>
      <c r="AQ88" s="1747">
        <v>4.1000000000000002E-2</v>
      </c>
      <c r="AR88" s="1746">
        <v>1.2E-2</v>
      </c>
      <c r="AS88" s="1748">
        <v>0.24299999999999999</v>
      </c>
      <c r="AU88" s="3825"/>
      <c r="AV88" s="1741">
        <v>3</v>
      </c>
      <c r="AW88" s="1742">
        <v>0</v>
      </c>
      <c r="AX88" s="1743">
        <v>0</v>
      </c>
      <c r="AY88" s="1744">
        <v>0</v>
      </c>
      <c r="AZ88" s="1742">
        <v>0</v>
      </c>
      <c r="BA88" s="1743">
        <v>0</v>
      </c>
      <c r="BB88" s="1744">
        <v>0</v>
      </c>
      <c r="BC88" s="1745">
        <v>5.8999999999999997E-2</v>
      </c>
      <c r="BD88" s="1746">
        <v>2.1999999999999999E-2</v>
      </c>
      <c r="BE88" s="1745">
        <v>0.13200000000000001</v>
      </c>
      <c r="BF88" s="1747">
        <v>5.1999999999999998E-2</v>
      </c>
      <c r="BG88" s="1746">
        <v>1.4999999999999999E-2</v>
      </c>
      <c r="BH88" s="1748">
        <v>0.28000000000000003</v>
      </c>
      <c r="BJ88" s="3825"/>
      <c r="BK88" s="1741">
        <v>3</v>
      </c>
      <c r="BL88" s="1742">
        <v>0</v>
      </c>
      <c r="BM88" s="1743">
        <v>0</v>
      </c>
      <c r="BN88" s="1744">
        <v>0</v>
      </c>
      <c r="BO88" s="1742">
        <v>0</v>
      </c>
      <c r="BP88" s="1743">
        <v>0</v>
      </c>
      <c r="BQ88" s="1744">
        <v>0</v>
      </c>
      <c r="BR88" s="1745">
        <v>5.8999999999999997E-2</v>
      </c>
      <c r="BS88" s="1746">
        <v>2.1999999999999999E-2</v>
      </c>
      <c r="BT88" s="1745">
        <v>0.13700000000000001</v>
      </c>
      <c r="BU88" s="1747">
        <v>0.06</v>
      </c>
      <c r="BV88" s="1746">
        <v>1.6E-2</v>
      </c>
      <c r="BW88" s="1748">
        <v>0.29299999999999998</v>
      </c>
      <c r="BY88" s="3825"/>
      <c r="BZ88" s="1741">
        <v>3</v>
      </c>
      <c r="CA88" s="1742">
        <v>0</v>
      </c>
      <c r="CB88" s="1743">
        <v>0</v>
      </c>
      <c r="CC88" s="1744">
        <v>0</v>
      </c>
      <c r="CD88" s="1742">
        <v>0</v>
      </c>
      <c r="CE88" s="1743">
        <v>0</v>
      </c>
      <c r="CF88" s="1744">
        <v>0</v>
      </c>
      <c r="CG88" s="1745">
        <v>5.8999999999999997E-2</v>
      </c>
      <c r="CH88" s="1746">
        <v>2.3E-2</v>
      </c>
      <c r="CI88" s="1745">
        <v>0.123</v>
      </c>
      <c r="CJ88" s="1747">
        <v>6.5000000000000002E-2</v>
      </c>
      <c r="CK88" s="1746">
        <v>1.6E-2</v>
      </c>
      <c r="CL88" s="1748">
        <v>0.28599999999999998</v>
      </c>
    </row>
    <row r="89" spans="1:90" s="1728" customFormat="1" ht="13.5" customHeight="1">
      <c r="A89" s="3842"/>
      <c r="B89" s="3843"/>
      <c r="C89" s="1741">
        <v>4</v>
      </c>
      <c r="D89" s="1742">
        <v>0</v>
      </c>
      <c r="E89" s="1743">
        <v>0</v>
      </c>
      <c r="F89" s="1744">
        <v>0</v>
      </c>
      <c r="G89" s="1742">
        <v>0</v>
      </c>
      <c r="H89" s="1743">
        <v>0</v>
      </c>
      <c r="I89" s="1744">
        <v>0</v>
      </c>
      <c r="J89" s="1745">
        <v>3.2000000000000001E-2</v>
      </c>
      <c r="K89" s="1746">
        <v>8.9999999999999993E-3</v>
      </c>
      <c r="L89" s="1745">
        <v>1.6E-2</v>
      </c>
      <c r="M89" s="1747">
        <v>8.0000000000000002E-3</v>
      </c>
      <c r="N89" s="1746">
        <v>5.0000000000000001E-3</v>
      </c>
      <c r="O89" s="1748">
        <v>6.9000000000000006E-2</v>
      </c>
      <c r="Q89" s="3825"/>
      <c r="R89" s="1741">
        <v>4</v>
      </c>
      <c r="S89" s="1742">
        <v>0</v>
      </c>
      <c r="T89" s="1743">
        <v>0</v>
      </c>
      <c r="U89" s="1744">
        <v>0</v>
      </c>
      <c r="V89" s="1742">
        <v>0</v>
      </c>
      <c r="W89" s="1743">
        <v>0</v>
      </c>
      <c r="X89" s="1744">
        <v>0</v>
      </c>
      <c r="Y89" s="1745">
        <v>2.7E-2</v>
      </c>
      <c r="Z89" s="1746">
        <v>8.9999999999999993E-3</v>
      </c>
      <c r="AA89" s="1745">
        <v>1.6E-2</v>
      </c>
      <c r="AB89" s="1747">
        <v>8.9999999999999993E-3</v>
      </c>
      <c r="AC89" s="1746">
        <v>4.0000000000000001E-3</v>
      </c>
      <c r="AD89" s="1748">
        <v>6.5000000000000002E-2</v>
      </c>
      <c r="AF89" s="3825"/>
      <c r="AG89" s="1741">
        <v>4</v>
      </c>
      <c r="AH89" s="1742">
        <v>0</v>
      </c>
      <c r="AI89" s="1743">
        <v>0</v>
      </c>
      <c r="AJ89" s="1744">
        <v>0</v>
      </c>
      <c r="AK89" s="1742">
        <v>0</v>
      </c>
      <c r="AL89" s="1743">
        <v>0</v>
      </c>
      <c r="AM89" s="1744">
        <v>0</v>
      </c>
      <c r="AN89" s="1745">
        <v>2.9000000000000001E-2</v>
      </c>
      <c r="AO89" s="1746">
        <v>7.0000000000000001E-3</v>
      </c>
      <c r="AP89" s="1745">
        <v>2.1999999999999999E-2</v>
      </c>
      <c r="AQ89" s="1747">
        <v>1.2E-2</v>
      </c>
      <c r="AR89" s="1746">
        <v>5.0000000000000001E-3</v>
      </c>
      <c r="AS89" s="1748">
        <v>7.5999999999999998E-2</v>
      </c>
      <c r="AU89" s="3825"/>
      <c r="AV89" s="1741">
        <v>4</v>
      </c>
      <c r="AW89" s="1742">
        <v>0</v>
      </c>
      <c r="AX89" s="1743">
        <v>0</v>
      </c>
      <c r="AY89" s="1744">
        <v>0</v>
      </c>
      <c r="AZ89" s="1742">
        <v>0</v>
      </c>
      <c r="BA89" s="1743">
        <v>0</v>
      </c>
      <c r="BB89" s="1744">
        <v>0</v>
      </c>
      <c r="BC89" s="1745">
        <v>3.4000000000000002E-2</v>
      </c>
      <c r="BD89" s="1746">
        <v>8.0000000000000002E-3</v>
      </c>
      <c r="BE89" s="1745">
        <v>2.9000000000000001E-2</v>
      </c>
      <c r="BF89" s="1747">
        <v>1.4999999999999999E-2</v>
      </c>
      <c r="BG89" s="1746">
        <v>7.0000000000000001E-3</v>
      </c>
      <c r="BH89" s="1748">
        <v>9.2999999999999999E-2</v>
      </c>
      <c r="BJ89" s="3825"/>
      <c r="BK89" s="1741">
        <v>4</v>
      </c>
      <c r="BL89" s="1742">
        <v>0</v>
      </c>
      <c r="BM89" s="1743">
        <v>0</v>
      </c>
      <c r="BN89" s="1744">
        <v>0</v>
      </c>
      <c r="BO89" s="1742">
        <v>0</v>
      </c>
      <c r="BP89" s="1743">
        <v>0</v>
      </c>
      <c r="BQ89" s="1744">
        <v>0</v>
      </c>
      <c r="BR89" s="1745">
        <v>3.6999999999999998E-2</v>
      </c>
      <c r="BS89" s="1746">
        <v>8.9999999999999993E-3</v>
      </c>
      <c r="BT89" s="1745">
        <v>3.6999999999999998E-2</v>
      </c>
      <c r="BU89" s="1747">
        <v>1.9E-2</v>
      </c>
      <c r="BV89" s="1746">
        <v>8.0000000000000002E-3</v>
      </c>
      <c r="BW89" s="1748">
        <v>0.11</v>
      </c>
      <c r="BY89" s="3825"/>
      <c r="BZ89" s="1741">
        <v>4</v>
      </c>
      <c r="CA89" s="1742">
        <v>0</v>
      </c>
      <c r="CB89" s="1743">
        <v>0</v>
      </c>
      <c r="CC89" s="1744">
        <v>0</v>
      </c>
      <c r="CD89" s="1742">
        <v>0</v>
      </c>
      <c r="CE89" s="1743">
        <v>0</v>
      </c>
      <c r="CF89" s="1744">
        <v>0</v>
      </c>
      <c r="CG89" s="1745">
        <v>4.1000000000000002E-2</v>
      </c>
      <c r="CH89" s="1746">
        <v>8.9999999999999993E-3</v>
      </c>
      <c r="CI89" s="1745">
        <v>5.5E-2</v>
      </c>
      <c r="CJ89" s="1747">
        <v>2.3E-2</v>
      </c>
      <c r="CK89" s="1746">
        <v>8.9999999999999993E-3</v>
      </c>
      <c r="CL89" s="1748">
        <v>0.13600000000000001</v>
      </c>
    </row>
    <row r="90" spans="1:90" s="1728" customFormat="1" ht="13.5" customHeight="1">
      <c r="A90" s="3842"/>
      <c r="B90" s="3843"/>
      <c r="C90" s="1749">
        <v>5</v>
      </c>
      <c r="D90" s="1742">
        <v>0</v>
      </c>
      <c r="E90" s="1743">
        <v>0</v>
      </c>
      <c r="F90" s="1744">
        <v>0</v>
      </c>
      <c r="G90" s="1742">
        <v>0</v>
      </c>
      <c r="H90" s="1743">
        <v>0</v>
      </c>
      <c r="I90" s="1744">
        <v>0</v>
      </c>
      <c r="J90" s="1745">
        <v>5.0000000000000001E-3</v>
      </c>
      <c r="K90" s="1746">
        <v>0</v>
      </c>
      <c r="L90" s="1745">
        <v>0</v>
      </c>
      <c r="M90" s="1747">
        <v>0</v>
      </c>
      <c r="N90" s="1746">
        <v>3.0000000000000001E-3</v>
      </c>
      <c r="O90" s="1748">
        <v>8.0000000000000002E-3</v>
      </c>
      <c r="Q90" s="3825"/>
      <c r="R90" s="1749">
        <v>5</v>
      </c>
      <c r="S90" s="1742">
        <v>0</v>
      </c>
      <c r="T90" s="1743">
        <v>0</v>
      </c>
      <c r="U90" s="1744">
        <v>0</v>
      </c>
      <c r="V90" s="1742">
        <v>0</v>
      </c>
      <c r="W90" s="1743">
        <v>0</v>
      </c>
      <c r="X90" s="1744">
        <v>0</v>
      </c>
      <c r="Y90" s="1745">
        <v>1.2E-2</v>
      </c>
      <c r="Z90" s="1746">
        <v>0</v>
      </c>
      <c r="AA90" s="1745">
        <v>1E-3</v>
      </c>
      <c r="AB90" s="1747">
        <v>1E-3</v>
      </c>
      <c r="AC90" s="1746">
        <v>4.0000000000000001E-3</v>
      </c>
      <c r="AD90" s="1748">
        <v>1.7000000000000001E-2</v>
      </c>
      <c r="AF90" s="3825"/>
      <c r="AG90" s="1749">
        <v>5</v>
      </c>
      <c r="AH90" s="1742">
        <v>0</v>
      </c>
      <c r="AI90" s="1743">
        <v>0</v>
      </c>
      <c r="AJ90" s="1744">
        <v>0</v>
      </c>
      <c r="AK90" s="1742">
        <v>0</v>
      </c>
      <c r="AL90" s="1743">
        <v>0</v>
      </c>
      <c r="AM90" s="1744">
        <v>0</v>
      </c>
      <c r="AN90" s="1745">
        <v>1.4999999999999999E-2</v>
      </c>
      <c r="AO90" s="1746">
        <v>4.0000000000000001E-3</v>
      </c>
      <c r="AP90" s="1745">
        <v>1E-3</v>
      </c>
      <c r="AQ90" s="1747">
        <v>1E-3</v>
      </c>
      <c r="AR90" s="1746">
        <v>4.0000000000000001E-3</v>
      </c>
      <c r="AS90" s="1748">
        <v>2.5000000000000001E-2</v>
      </c>
      <c r="AU90" s="3825"/>
      <c r="AV90" s="1749">
        <v>5</v>
      </c>
      <c r="AW90" s="1742">
        <v>0</v>
      </c>
      <c r="AX90" s="1743">
        <v>0</v>
      </c>
      <c r="AY90" s="1744">
        <v>0</v>
      </c>
      <c r="AZ90" s="1742">
        <v>0</v>
      </c>
      <c r="BA90" s="1743">
        <v>0</v>
      </c>
      <c r="BB90" s="1744">
        <v>0</v>
      </c>
      <c r="BC90" s="1745">
        <v>1.7999999999999999E-2</v>
      </c>
      <c r="BD90" s="1746">
        <v>4.0000000000000001E-3</v>
      </c>
      <c r="BE90" s="1745">
        <v>2E-3</v>
      </c>
      <c r="BF90" s="1747">
        <v>2E-3</v>
      </c>
      <c r="BG90" s="1746">
        <v>5.0000000000000001E-3</v>
      </c>
      <c r="BH90" s="1748">
        <v>3.1E-2</v>
      </c>
      <c r="BJ90" s="3825"/>
      <c r="BK90" s="1749">
        <v>5</v>
      </c>
      <c r="BL90" s="1742">
        <v>0</v>
      </c>
      <c r="BM90" s="1743">
        <v>0</v>
      </c>
      <c r="BN90" s="1744">
        <v>0</v>
      </c>
      <c r="BO90" s="1742">
        <v>0</v>
      </c>
      <c r="BP90" s="1743">
        <v>0</v>
      </c>
      <c r="BQ90" s="1744">
        <v>0</v>
      </c>
      <c r="BR90" s="1745">
        <v>1.9E-2</v>
      </c>
      <c r="BS90" s="1746">
        <v>4.0000000000000001E-3</v>
      </c>
      <c r="BT90" s="1745">
        <v>3.0000000000000001E-3</v>
      </c>
      <c r="BU90" s="1747">
        <v>2E-3</v>
      </c>
      <c r="BV90" s="1746">
        <v>5.0000000000000001E-3</v>
      </c>
      <c r="BW90" s="1748">
        <v>3.4000000000000002E-2</v>
      </c>
      <c r="BY90" s="3825"/>
      <c r="BZ90" s="1749">
        <v>5</v>
      </c>
      <c r="CA90" s="1742">
        <v>0</v>
      </c>
      <c r="CB90" s="1743">
        <v>0</v>
      </c>
      <c r="CC90" s="1744">
        <v>0</v>
      </c>
      <c r="CD90" s="1742">
        <v>0</v>
      </c>
      <c r="CE90" s="1743">
        <v>0</v>
      </c>
      <c r="CF90" s="1744">
        <v>0</v>
      </c>
      <c r="CG90" s="1745">
        <v>2.1999999999999999E-2</v>
      </c>
      <c r="CH90" s="1746">
        <v>5.0000000000000001E-3</v>
      </c>
      <c r="CI90" s="1745">
        <v>6.0000000000000001E-3</v>
      </c>
      <c r="CJ90" s="1747">
        <v>3.0000000000000001E-3</v>
      </c>
      <c r="CK90" s="1746">
        <v>6.0000000000000001E-3</v>
      </c>
      <c r="CL90" s="1748">
        <v>0.04</v>
      </c>
    </row>
    <row r="91" spans="1:90" s="1728" customFormat="1" ht="13.5" customHeight="1" thickBot="1">
      <c r="A91" s="3844"/>
      <c r="B91" s="3845"/>
      <c r="C91" s="1750" t="s">
        <v>1422</v>
      </c>
      <c r="D91" s="1751">
        <v>0</v>
      </c>
      <c r="E91" s="1752">
        <v>0</v>
      </c>
      <c r="F91" s="1753">
        <v>0</v>
      </c>
      <c r="G91" s="1751">
        <v>0</v>
      </c>
      <c r="H91" s="1752">
        <v>0</v>
      </c>
      <c r="I91" s="1753">
        <v>0</v>
      </c>
      <c r="J91" s="1754">
        <v>0.182</v>
      </c>
      <c r="K91" s="1755">
        <v>0.191</v>
      </c>
      <c r="L91" s="1754">
        <v>0.246</v>
      </c>
      <c r="M91" s="1756">
        <v>0.23200000000000001</v>
      </c>
      <c r="N91" s="1755">
        <v>0.14899999999999999</v>
      </c>
      <c r="O91" s="1757">
        <v>1</v>
      </c>
      <c r="Q91" s="3826"/>
      <c r="R91" s="1750" t="s">
        <v>1422</v>
      </c>
      <c r="S91" s="1751">
        <v>0</v>
      </c>
      <c r="T91" s="1752">
        <v>0</v>
      </c>
      <c r="U91" s="1753">
        <v>0</v>
      </c>
      <c r="V91" s="1751">
        <v>0</v>
      </c>
      <c r="W91" s="1752">
        <v>0</v>
      </c>
      <c r="X91" s="1753">
        <v>0</v>
      </c>
      <c r="Y91" s="1754">
        <v>0.18099999999999999</v>
      </c>
      <c r="Z91" s="1755">
        <v>0.19</v>
      </c>
      <c r="AA91" s="1754">
        <v>0.247</v>
      </c>
      <c r="AB91" s="1756">
        <v>0.23300000000000001</v>
      </c>
      <c r="AC91" s="1755">
        <v>0.14899999999999999</v>
      </c>
      <c r="AD91" s="1757">
        <v>1</v>
      </c>
      <c r="AF91" s="3826"/>
      <c r="AG91" s="1750" t="s">
        <v>1422</v>
      </c>
      <c r="AH91" s="1751">
        <v>0</v>
      </c>
      <c r="AI91" s="1752">
        <v>0</v>
      </c>
      <c r="AJ91" s="1753">
        <v>0</v>
      </c>
      <c r="AK91" s="1751">
        <v>0</v>
      </c>
      <c r="AL91" s="1752">
        <v>0</v>
      </c>
      <c r="AM91" s="1753">
        <v>0</v>
      </c>
      <c r="AN91" s="1754">
        <v>0.18</v>
      </c>
      <c r="AO91" s="1755">
        <v>0.189</v>
      </c>
      <c r="AP91" s="1754">
        <v>0.248</v>
      </c>
      <c r="AQ91" s="1756">
        <v>0.23300000000000001</v>
      </c>
      <c r="AR91" s="1755">
        <v>0.14899999999999999</v>
      </c>
      <c r="AS91" s="1757">
        <v>1</v>
      </c>
      <c r="AU91" s="3826"/>
      <c r="AV91" s="1750" t="s">
        <v>1422</v>
      </c>
      <c r="AW91" s="1751">
        <v>0</v>
      </c>
      <c r="AX91" s="1752">
        <v>0</v>
      </c>
      <c r="AY91" s="1753">
        <v>0</v>
      </c>
      <c r="AZ91" s="1751">
        <v>0</v>
      </c>
      <c r="BA91" s="1752">
        <v>0</v>
      </c>
      <c r="BB91" s="1753">
        <v>0</v>
      </c>
      <c r="BC91" s="1754">
        <v>0.17799999999999999</v>
      </c>
      <c r="BD91" s="1755">
        <v>0.187</v>
      </c>
      <c r="BE91" s="1754">
        <v>0.25</v>
      </c>
      <c r="BF91" s="1756">
        <v>0.23499999999999999</v>
      </c>
      <c r="BG91" s="1755">
        <v>0.15</v>
      </c>
      <c r="BH91" s="1757">
        <v>1</v>
      </c>
      <c r="BJ91" s="3826"/>
      <c r="BK91" s="1750" t="s">
        <v>1422</v>
      </c>
      <c r="BL91" s="1751">
        <v>0</v>
      </c>
      <c r="BM91" s="1752">
        <v>0</v>
      </c>
      <c r="BN91" s="1753">
        <v>0</v>
      </c>
      <c r="BO91" s="1751">
        <v>0</v>
      </c>
      <c r="BP91" s="1752">
        <v>0</v>
      </c>
      <c r="BQ91" s="1753">
        <v>0</v>
      </c>
      <c r="BR91" s="1754">
        <v>0.17699999999999999</v>
      </c>
      <c r="BS91" s="1755">
        <v>0.187</v>
      </c>
      <c r="BT91" s="1754">
        <v>0.251</v>
      </c>
      <c r="BU91" s="1756">
        <v>0.23499999999999999</v>
      </c>
      <c r="BV91" s="1755">
        <v>0.15</v>
      </c>
      <c r="BW91" s="1757">
        <v>1</v>
      </c>
      <c r="BY91" s="3826"/>
      <c r="BZ91" s="1750" t="s">
        <v>1422</v>
      </c>
      <c r="CA91" s="1751">
        <v>0</v>
      </c>
      <c r="CB91" s="1752">
        <v>0</v>
      </c>
      <c r="CC91" s="1753">
        <v>0</v>
      </c>
      <c r="CD91" s="1751">
        <v>0</v>
      </c>
      <c r="CE91" s="1752">
        <v>0</v>
      </c>
      <c r="CF91" s="1753">
        <v>0</v>
      </c>
      <c r="CG91" s="1754">
        <v>0.17699999999999999</v>
      </c>
      <c r="CH91" s="1755">
        <v>0.187</v>
      </c>
      <c r="CI91" s="1754">
        <v>0.252</v>
      </c>
      <c r="CJ91" s="1756">
        <v>0.23499999999999999</v>
      </c>
      <c r="CK91" s="1755">
        <v>0.15</v>
      </c>
      <c r="CL91" s="1757">
        <v>1</v>
      </c>
    </row>
    <row r="92" spans="1:90" s="1728" customFormat="1" ht="13.5" customHeight="1" thickTop="1">
      <c r="A92" s="3840" t="s">
        <v>1127</v>
      </c>
      <c r="B92" s="3841"/>
      <c r="C92" s="1733">
        <v>1</v>
      </c>
      <c r="D92" s="1734">
        <v>0</v>
      </c>
      <c r="E92" s="1735">
        <v>0</v>
      </c>
      <c r="F92" s="1736">
        <v>0</v>
      </c>
      <c r="G92" s="1734">
        <v>0</v>
      </c>
      <c r="H92" s="1735">
        <v>0</v>
      </c>
      <c r="I92" s="1736">
        <v>0</v>
      </c>
      <c r="J92" s="1737">
        <v>2.5000000000000001E-2</v>
      </c>
      <c r="K92" s="1738">
        <v>0.10299999999999999</v>
      </c>
      <c r="L92" s="1737">
        <v>3.3000000000000002E-2</v>
      </c>
      <c r="M92" s="1739">
        <v>0.17499999999999999</v>
      </c>
      <c r="N92" s="1738">
        <v>0.17599999999999999</v>
      </c>
      <c r="O92" s="1740">
        <v>0.51300000000000001</v>
      </c>
      <c r="Q92" s="3824" t="s">
        <v>1127</v>
      </c>
      <c r="R92" s="1733">
        <v>1</v>
      </c>
      <c r="S92" s="1734">
        <v>0</v>
      </c>
      <c r="T92" s="1735">
        <v>0</v>
      </c>
      <c r="U92" s="1736">
        <v>0</v>
      </c>
      <c r="V92" s="1734">
        <v>0</v>
      </c>
      <c r="W92" s="1735">
        <v>0</v>
      </c>
      <c r="X92" s="1736">
        <v>0</v>
      </c>
      <c r="Y92" s="1737">
        <v>2.5000000000000001E-2</v>
      </c>
      <c r="Z92" s="1738">
        <v>0.10199999999999999</v>
      </c>
      <c r="AA92" s="1737">
        <v>3.2000000000000001E-2</v>
      </c>
      <c r="AB92" s="1739">
        <v>0.17499999999999999</v>
      </c>
      <c r="AC92" s="1738">
        <v>0.17599999999999999</v>
      </c>
      <c r="AD92" s="1740">
        <v>0.51</v>
      </c>
      <c r="AF92" s="3824" t="s">
        <v>1127</v>
      </c>
      <c r="AG92" s="1733">
        <v>1</v>
      </c>
      <c r="AH92" s="1734">
        <v>0</v>
      </c>
      <c r="AI92" s="1735">
        <v>0</v>
      </c>
      <c r="AJ92" s="1736">
        <v>0</v>
      </c>
      <c r="AK92" s="1734">
        <v>0</v>
      </c>
      <c r="AL92" s="1735">
        <v>0</v>
      </c>
      <c r="AM92" s="1736">
        <v>0</v>
      </c>
      <c r="AN92" s="1737">
        <v>0.02</v>
      </c>
      <c r="AO92" s="1738">
        <v>0.10100000000000001</v>
      </c>
      <c r="AP92" s="1737">
        <v>2.7E-2</v>
      </c>
      <c r="AQ92" s="1739">
        <v>0.13700000000000001</v>
      </c>
      <c r="AR92" s="1738">
        <v>0.16700000000000001</v>
      </c>
      <c r="AS92" s="1740">
        <v>0.45200000000000001</v>
      </c>
      <c r="AU92" s="3824" t="s">
        <v>1127</v>
      </c>
      <c r="AV92" s="1733">
        <v>1</v>
      </c>
      <c r="AW92" s="1734">
        <v>0</v>
      </c>
      <c r="AX92" s="1735">
        <v>0</v>
      </c>
      <c r="AY92" s="1736">
        <v>0</v>
      </c>
      <c r="AZ92" s="1734">
        <v>0</v>
      </c>
      <c r="BA92" s="1735">
        <v>0</v>
      </c>
      <c r="BB92" s="1736">
        <v>0</v>
      </c>
      <c r="BC92" s="1737">
        <v>1.9E-2</v>
      </c>
      <c r="BD92" s="1738">
        <v>9.4E-2</v>
      </c>
      <c r="BE92" s="1737">
        <v>2.4E-2</v>
      </c>
      <c r="BF92" s="1739">
        <v>0.13400000000000001</v>
      </c>
      <c r="BG92" s="1738">
        <v>0.16600000000000001</v>
      </c>
      <c r="BH92" s="1740">
        <v>0.438</v>
      </c>
      <c r="BJ92" s="3824" t="s">
        <v>1127</v>
      </c>
      <c r="BK92" s="1733">
        <v>1</v>
      </c>
      <c r="BL92" s="1734">
        <v>0</v>
      </c>
      <c r="BM92" s="1735">
        <v>0</v>
      </c>
      <c r="BN92" s="1736">
        <v>0</v>
      </c>
      <c r="BO92" s="1734">
        <v>0</v>
      </c>
      <c r="BP92" s="1735">
        <v>0</v>
      </c>
      <c r="BQ92" s="1736">
        <v>0</v>
      </c>
      <c r="BR92" s="1737">
        <v>1.9E-2</v>
      </c>
      <c r="BS92" s="1738">
        <v>9.0999999999999998E-2</v>
      </c>
      <c r="BT92" s="1737">
        <v>2.3E-2</v>
      </c>
      <c r="BU92" s="1739">
        <v>0.13100000000000001</v>
      </c>
      <c r="BV92" s="1738">
        <v>0.16500000000000001</v>
      </c>
      <c r="BW92" s="1740">
        <v>0.42899999999999999</v>
      </c>
      <c r="BY92" s="3824" t="s">
        <v>1127</v>
      </c>
      <c r="BZ92" s="1733">
        <v>1</v>
      </c>
      <c r="CA92" s="1734">
        <v>0</v>
      </c>
      <c r="CB92" s="1735">
        <v>0</v>
      </c>
      <c r="CC92" s="1736">
        <v>0</v>
      </c>
      <c r="CD92" s="1734">
        <v>0</v>
      </c>
      <c r="CE92" s="1735">
        <v>0</v>
      </c>
      <c r="CF92" s="1736">
        <v>0</v>
      </c>
      <c r="CG92" s="1737">
        <v>1.7000000000000001E-2</v>
      </c>
      <c r="CH92" s="1738">
        <v>8.8999999999999996E-2</v>
      </c>
      <c r="CI92" s="1737">
        <v>2.1999999999999999E-2</v>
      </c>
      <c r="CJ92" s="1739">
        <v>0.106</v>
      </c>
      <c r="CK92" s="1738">
        <v>0.154</v>
      </c>
      <c r="CL92" s="1740">
        <v>0.38800000000000001</v>
      </c>
    </row>
    <row r="93" spans="1:90" s="1728" customFormat="1" ht="13.5" customHeight="1">
      <c r="A93" s="3842"/>
      <c r="B93" s="3843"/>
      <c r="C93" s="1741">
        <v>2</v>
      </c>
      <c r="D93" s="1742">
        <v>0</v>
      </c>
      <c r="E93" s="1743">
        <v>0</v>
      </c>
      <c r="F93" s="1744">
        <v>0</v>
      </c>
      <c r="G93" s="1742">
        <v>0</v>
      </c>
      <c r="H93" s="1743">
        <v>0</v>
      </c>
      <c r="I93" s="1744">
        <v>0</v>
      </c>
      <c r="J93" s="1745">
        <v>5.1999999999999998E-2</v>
      </c>
      <c r="K93" s="1746">
        <v>3.5999999999999997E-2</v>
      </c>
      <c r="L93" s="1745">
        <v>0.11899999999999999</v>
      </c>
      <c r="M93" s="1747">
        <v>0.124</v>
      </c>
      <c r="N93" s="1746">
        <v>0.02</v>
      </c>
      <c r="O93" s="1748">
        <v>0.35199999999999998</v>
      </c>
      <c r="Q93" s="3825"/>
      <c r="R93" s="1741">
        <v>2</v>
      </c>
      <c r="S93" s="1742">
        <v>0</v>
      </c>
      <c r="T93" s="1743">
        <v>0</v>
      </c>
      <c r="U93" s="1744">
        <v>0</v>
      </c>
      <c r="V93" s="1742">
        <v>0</v>
      </c>
      <c r="W93" s="1743">
        <v>0</v>
      </c>
      <c r="X93" s="1744">
        <v>0</v>
      </c>
      <c r="Y93" s="1745">
        <v>4.8000000000000001E-2</v>
      </c>
      <c r="Z93" s="1746">
        <v>3.5999999999999997E-2</v>
      </c>
      <c r="AA93" s="1745">
        <v>0.11700000000000001</v>
      </c>
      <c r="AB93" s="1747">
        <v>0.12</v>
      </c>
      <c r="AC93" s="1746">
        <v>1.9E-2</v>
      </c>
      <c r="AD93" s="1748">
        <v>0.34</v>
      </c>
      <c r="AF93" s="3825"/>
      <c r="AG93" s="1741">
        <v>2</v>
      </c>
      <c r="AH93" s="1742">
        <v>0</v>
      </c>
      <c r="AI93" s="1743">
        <v>0</v>
      </c>
      <c r="AJ93" s="1744">
        <v>0</v>
      </c>
      <c r="AK93" s="1742">
        <v>0</v>
      </c>
      <c r="AL93" s="1743">
        <v>0</v>
      </c>
      <c r="AM93" s="1744">
        <v>0</v>
      </c>
      <c r="AN93" s="1745">
        <v>4.4999999999999998E-2</v>
      </c>
      <c r="AO93" s="1746">
        <v>3.5000000000000003E-2</v>
      </c>
      <c r="AP93" s="1745">
        <v>0.11</v>
      </c>
      <c r="AQ93" s="1747">
        <v>0.152</v>
      </c>
      <c r="AR93" s="1746">
        <v>2.7E-2</v>
      </c>
      <c r="AS93" s="1748">
        <v>0.36899999999999999</v>
      </c>
      <c r="AU93" s="3825"/>
      <c r="AV93" s="1741">
        <v>2</v>
      </c>
      <c r="AW93" s="1742">
        <v>0</v>
      </c>
      <c r="AX93" s="1743">
        <v>0</v>
      </c>
      <c r="AY93" s="1744">
        <v>0</v>
      </c>
      <c r="AZ93" s="1742">
        <v>0</v>
      </c>
      <c r="BA93" s="1743">
        <v>0</v>
      </c>
      <c r="BB93" s="1744">
        <v>0</v>
      </c>
      <c r="BC93" s="1745">
        <v>3.6999999999999998E-2</v>
      </c>
      <c r="BD93" s="1746">
        <v>3.6999999999999998E-2</v>
      </c>
      <c r="BE93" s="1745">
        <v>8.6999999999999994E-2</v>
      </c>
      <c r="BF93" s="1747">
        <v>0.14699999999999999</v>
      </c>
      <c r="BG93" s="1746">
        <v>2.5000000000000001E-2</v>
      </c>
      <c r="BH93" s="1748">
        <v>0.33300000000000002</v>
      </c>
      <c r="BJ93" s="3825"/>
      <c r="BK93" s="1741">
        <v>2</v>
      </c>
      <c r="BL93" s="1742">
        <v>0</v>
      </c>
      <c r="BM93" s="1743">
        <v>0</v>
      </c>
      <c r="BN93" s="1744">
        <v>0</v>
      </c>
      <c r="BO93" s="1742">
        <v>0</v>
      </c>
      <c r="BP93" s="1743">
        <v>0</v>
      </c>
      <c r="BQ93" s="1744">
        <v>0</v>
      </c>
      <c r="BR93" s="1745">
        <v>3.3000000000000002E-2</v>
      </c>
      <c r="BS93" s="1746">
        <v>3.9E-2</v>
      </c>
      <c r="BT93" s="1745">
        <v>7.6999999999999999E-2</v>
      </c>
      <c r="BU93" s="1747">
        <v>0.14099999999999999</v>
      </c>
      <c r="BV93" s="1746">
        <v>2.4E-2</v>
      </c>
      <c r="BW93" s="1748">
        <v>0.314</v>
      </c>
      <c r="BY93" s="3825"/>
      <c r="BZ93" s="1741">
        <v>2</v>
      </c>
      <c r="CA93" s="1742">
        <v>0</v>
      </c>
      <c r="CB93" s="1743">
        <v>0</v>
      </c>
      <c r="CC93" s="1744">
        <v>0</v>
      </c>
      <c r="CD93" s="1742">
        <v>0</v>
      </c>
      <c r="CE93" s="1743">
        <v>0</v>
      </c>
      <c r="CF93" s="1744">
        <v>0</v>
      </c>
      <c r="CG93" s="1745">
        <v>0.03</v>
      </c>
      <c r="CH93" s="1746">
        <v>3.7999999999999999E-2</v>
      </c>
      <c r="CI93" s="1745">
        <v>5.8000000000000003E-2</v>
      </c>
      <c r="CJ93" s="1747">
        <v>0.156</v>
      </c>
      <c r="CK93" s="1746">
        <v>3.5000000000000003E-2</v>
      </c>
      <c r="CL93" s="1748">
        <v>0.317</v>
      </c>
    </row>
    <row r="94" spans="1:90" s="1728" customFormat="1" ht="13.5" customHeight="1">
      <c r="A94" s="3842"/>
      <c r="B94" s="3843"/>
      <c r="C94" s="1741">
        <v>3</v>
      </c>
      <c r="D94" s="1742">
        <v>0</v>
      </c>
      <c r="E94" s="1743">
        <v>0</v>
      </c>
      <c r="F94" s="1744">
        <v>0</v>
      </c>
      <c r="G94" s="1742">
        <v>0</v>
      </c>
      <c r="H94" s="1743">
        <v>0</v>
      </c>
      <c r="I94" s="1744">
        <v>0</v>
      </c>
      <c r="J94" s="1745">
        <v>4.1000000000000002E-2</v>
      </c>
      <c r="K94" s="1746">
        <v>1.2E-2</v>
      </c>
      <c r="L94" s="1745">
        <v>1.0999999999999999E-2</v>
      </c>
      <c r="M94" s="1747">
        <v>2.5000000000000001E-2</v>
      </c>
      <c r="N94" s="1746">
        <v>8.0000000000000002E-3</v>
      </c>
      <c r="O94" s="1748">
        <v>9.8000000000000004E-2</v>
      </c>
      <c r="Q94" s="3825"/>
      <c r="R94" s="1741">
        <v>3</v>
      </c>
      <c r="S94" s="1742">
        <v>0</v>
      </c>
      <c r="T94" s="1743">
        <v>0</v>
      </c>
      <c r="U94" s="1744">
        <v>0</v>
      </c>
      <c r="V94" s="1742">
        <v>0</v>
      </c>
      <c r="W94" s="1743">
        <v>0</v>
      </c>
      <c r="X94" s="1744">
        <v>0</v>
      </c>
      <c r="Y94" s="1745">
        <v>4.2999999999999997E-2</v>
      </c>
      <c r="Z94" s="1746">
        <v>1.2E-2</v>
      </c>
      <c r="AA94" s="1745">
        <v>1.6E-2</v>
      </c>
      <c r="AB94" s="1747">
        <v>2.9000000000000001E-2</v>
      </c>
      <c r="AC94" s="1746">
        <v>8.0000000000000002E-3</v>
      </c>
      <c r="AD94" s="1748">
        <v>0.108</v>
      </c>
      <c r="AF94" s="3825"/>
      <c r="AG94" s="1741">
        <v>3</v>
      </c>
      <c r="AH94" s="1742">
        <v>0</v>
      </c>
      <c r="AI94" s="1743">
        <v>0</v>
      </c>
      <c r="AJ94" s="1744">
        <v>0</v>
      </c>
      <c r="AK94" s="1742">
        <v>0</v>
      </c>
      <c r="AL94" s="1743">
        <v>0</v>
      </c>
      <c r="AM94" s="1744">
        <v>0</v>
      </c>
      <c r="AN94" s="1745">
        <v>4.7E-2</v>
      </c>
      <c r="AO94" s="1746">
        <v>1.2999999999999999E-2</v>
      </c>
      <c r="AP94" s="1745">
        <v>2.9000000000000001E-2</v>
      </c>
      <c r="AQ94" s="1747">
        <v>3.3000000000000002E-2</v>
      </c>
      <c r="AR94" s="1746">
        <v>8.0000000000000002E-3</v>
      </c>
      <c r="AS94" s="1748">
        <v>0.13100000000000001</v>
      </c>
      <c r="AU94" s="3825"/>
      <c r="AV94" s="1741">
        <v>3</v>
      </c>
      <c r="AW94" s="1742">
        <v>0</v>
      </c>
      <c r="AX94" s="1743">
        <v>0</v>
      </c>
      <c r="AY94" s="1744">
        <v>0</v>
      </c>
      <c r="AZ94" s="1742">
        <v>0</v>
      </c>
      <c r="BA94" s="1743">
        <v>0</v>
      </c>
      <c r="BB94" s="1744">
        <v>0</v>
      </c>
      <c r="BC94" s="1745">
        <v>4.9000000000000002E-2</v>
      </c>
      <c r="BD94" s="1746">
        <v>1.4E-2</v>
      </c>
      <c r="BE94" s="1745">
        <v>5.7000000000000002E-2</v>
      </c>
      <c r="BF94" s="1747">
        <v>4.1000000000000002E-2</v>
      </c>
      <c r="BG94" s="1746">
        <v>8.0000000000000002E-3</v>
      </c>
      <c r="BH94" s="1748">
        <v>0.16800000000000001</v>
      </c>
      <c r="BJ94" s="3825"/>
      <c r="BK94" s="1741">
        <v>3</v>
      </c>
      <c r="BL94" s="1742">
        <v>0</v>
      </c>
      <c r="BM94" s="1743">
        <v>0</v>
      </c>
      <c r="BN94" s="1744">
        <v>0</v>
      </c>
      <c r="BO94" s="1742">
        <v>0</v>
      </c>
      <c r="BP94" s="1743">
        <v>0</v>
      </c>
      <c r="BQ94" s="1744">
        <v>0</v>
      </c>
      <c r="BR94" s="1745">
        <v>0.05</v>
      </c>
      <c r="BS94" s="1746">
        <v>1.4E-2</v>
      </c>
      <c r="BT94" s="1745">
        <v>6.9000000000000006E-2</v>
      </c>
      <c r="BU94" s="1747">
        <v>4.7E-2</v>
      </c>
      <c r="BV94" s="1746">
        <v>0.01</v>
      </c>
      <c r="BW94" s="1748">
        <v>0.19</v>
      </c>
      <c r="BY94" s="3825"/>
      <c r="BZ94" s="1741">
        <v>3</v>
      </c>
      <c r="CA94" s="1742">
        <v>0</v>
      </c>
      <c r="CB94" s="1743">
        <v>0</v>
      </c>
      <c r="CC94" s="1744">
        <v>0</v>
      </c>
      <c r="CD94" s="1742">
        <v>0</v>
      </c>
      <c r="CE94" s="1743">
        <v>0</v>
      </c>
      <c r="CF94" s="1744">
        <v>0</v>
      </c>
      <c r="CG94" s="1745">
        <v>0.05</v>
      </c>
      <c r="CH94" s="1746">
        <v>1.6E-2</v>
      </c>
      <c r="CI94" s="1745">
        <v>8.5000000000000006E-2</v>
      </c>
      <c r="CJ94" s="1747">
        <v>5.3999999999999999E-2</v>
      </c>
      <c r="CK94" s="1746">
        <v>8.9999999999999993E-3</v>
      </c>
      <c r="CL94" s="1748">
        <v>0.214</v>
      </c>
    </row>
    <row r="95" spans="1:90" s="1728" customFormat="1" ht="13.5" customHeight="1">
      <c r="A95" s="3842"/>
      <c r="B95" s="3843"/>
      <c r="C95" s="1741">
        <v>4</v>
      </c>
      <c r="D95" s="1742">
        <v>0</v>
      </c>
      <c r="E95" s="1743">
        <v>0</v>
      </c>
      <c r="F95" s="1744">
        <v>0</v>
      </c>
      <c r="G95" s="1742">
        <v>0</v>
      </c>
      <c r="H95" s="1743">
        <v>0</v>
      </c>
      <c r="I95" s="1744">
        <v>0</v>
      </c>
      <c r="J95" s="1745">
        <v>1.9E-2</v>
      </c>
      <c r="K95" s="1746">
        <v>5.0000000000000001E-3</v>
      </c>
      <c r="L95" s="1745">
        <v>0</v>
      </c>
      <c r="M95" s="1747">
        <v>5.0000000000000001E-3</v>
      </c>
      <c r="N95" s="1746">
        <v>3.0000000000000001E-3</v>
      </c>
      <c r="O95" s="1748">
        <v>3.3000000000000002E-2</v>
      </c>
      <c r="Q95" s="3825"/>
      <c r="R95" s="1741">
        <v>4</v>
      </c>
      <c r="S95" s="1742">
        <v>0</v>
      </c>
      <c r="T95" s="1743">
        <v>0</v>
      </c>
      <c r="U95" s="1744">
        <v>0</v>
      </c>
      <c r="V95" s="1742">
        <v>0</v>
      </c>
      <c r="W95" s="1743">
        <v>0</v>
      </c>
      <c r="X95" s="1744">
        <v>0</v>
      </c>
      <c r="Y95" s="1745">
        <v>1.7000000000000001E-2</v>
      </c>
      <c r="Z95" s="1746">
        <v>5.0000000000000001E-3</v>
      </c>
      <c r="AA95" s="1745">
        <v>0</v>
      </c>
      <c r="AB95" s="1747">
        <v>6.0000000000000001E-3</v>
      </c>
      <c r="AC95" s="1746">
        <v>4.0000000000000001E-3</v>
      </c>
      <c r="AD95" s="1748">
        <v>3.2000000000000001E-2</v>
      </c>
      <c r="AF95" s="3825"/>
      <c r="AG95" s="1741">
        <v>4</v>
      </c>
      <c r="AH95" s="1742">
        <v>0</v>
      </c>
      <c r="AI95" s="1743">
        <v>0</v>
      </c>
      <c r="AJ95" s="1744">
        <v>0</v>
      </c>
      <c r="AK95" s="1742">
        <v>0</v>
      </c>
      <c r="AL95" s="1743">
        <v>0</v>
      </c>
      <c r="AM95" s="1744">
        <v>0</v>
      </c>
      <c r="AN95" s="1745">
        <v>1.9E-2</v>
      </c>
      <c r="AO95" s="1746">
        <v>4.0000000000000001E-3</v>
      </c>
      <c r="AP95" s="1745">
        <v>0</v>
      </c>
      <c r="AQ95" s="1747">
        <v>7.0000000000000001E-3</v>
      </c>
      <c r="AR95" s="1746">
        <v>5.0000000000000001E-3</v>
      </c>
      <c r="AS95" s="1748">
        <v>3.5000000000000003E-2</v>
      </c>
      <c r="AU95" s="3825"/>
      <c r="AV95" s="1741">
        <v>4</v>
      </c>
      <c r="AW95" s="1742">
        <v>0</v>
      </c>
      <c r="AX95" s="1743">
        <v>0</v>
      </c>
      <c r="AY95" s="1744">
        <v>0</v>
      </c>
      <c r="AZ95" s="1742">
        <v>0</v>
      </c>
      <c r="BA95" s="1743">
        <v>0</v>
      </c>
      <c r="BB95" s="1744">
        <v>0</v>
      </c>
      <c r="BC95" s="1745">
        <v>2.3E-2</v>
      </c>
      <c r="BD95" s="1746">
        <v>4.0000000000000001E-3</v>
      </c>
      <c r="BE95" s="1745">
        <v>1E-3</v>
      </c>
      <c r="BF95" s="1747">
        <v>0.01</v>
      </c>
      <c r="BG95" s="1746">
        <v>7.0000000000000001E-3</v>
      </c>
      <c r="BH95" s="1748">
        <v>4.4999999999999998E-2</v>
      </c>
      <c r="BJ95" s="3825"/>
      <c r="BK95" s="1741">
        <v>4</v>
      </c>
      <c r="BL95" s="1742">
        <v>0</v>
      </c>
      <c r="BM95" s="1743">
        <v>0</v>
      </c>
      <c r="BN95" s="1744">
        <v>0</v>
      </c>
      <c r="BO95" s="1742">
        <v>0</v>
      </c>
      <c r="BP95" s="1743">
        <v>0</v>
      </c>
      <c r="BQ95" s="1744">
        <v>0</v>
      </c>
      <c r="BR95" s="1745">
        <v>2.4E-2</v>
      </c>
      <c r="BS95" s="1746">
        <v>5.0000000000000001E-3</v>
      </c>
      <c r="BT95" s="1745">
        <v>1E-3</v>
      </c>
      <c r="BU95" s="1747">
        <v>1.2999999999999999E-2</v>
      </c>
      <c r="BV95" s="1746">
        <v>7.0000000000000001E-3</v>
      </c>
      <c r="BW95" s="1748">
        <v>0.05</v>
      </c>
      <c r="BY95" s="3825"/>
      <c r="BZ95" s="1741">
        <v>4</v>
      </c>
      <c r="CA95" s="1742">
        <v>0</v>
      </c>
      <c r="CB95" s="1743">
        <v>0</v>
      </c>
      <c r="CC95" s="1744">
        <v>0</v>
      </c>
      <c r="CD95" s="1742">
        <v>0</v>
      </c>
      <c r="CE95" s="1743">
        <v>0</v>
      </c>
      <c r="CF95" s="1744">
        <v>0</v>
      </c>
      <c r="CG95" s="1745">
        <v>2.8000000000000001E-2</v>
      </c>
      <c r="CH95" s="1746">
        <v>6.0000000000000001E-3</v>
      </c>
      <c r="CI95" s="1745">
        <v>2E-3</v>
      </c>
      <c r="CJ95" s="1747">
        <v>1.6E-2</v>
      </c>
      <c r="CK95" s="1746">
        <v>8.0000000000000002E-3</v>
      </c>
      <c r="CL95" s="1748">
        <v>0.06</v>
      </c>
    </row>
    <row r="96" spans="1:90" s="1728" customFormat="1" ht="13.5" customHeight="1">
      <c r="A96" s="3842"/>
      <c r="B96" s="3843"/>
      <c r="C96" s="1749">
        <v>5</v>
      </c>
      <c r="D96" s="1742">
        <v>0</v>
      </c>
      <c r="E96" s="1743">
        <v>0</v>
      </c>
      <c r="F96" s="1744">
        <v>0</v>
      </c>
      <c r="G96" s="1742">
        <v>0</v>
      </c>
      <c r="H96" s="1743">
        <v>0</v>
      </c>
      <c r="I96" s="1744">
        <v>0</v>
      </c>
      <c r="J96" s="1745">
        <v>1E-3</v>
      </c>
      <c r="K96" s="1746">
        <v>0</v>
      </c>
      <c r="L96" s="1745">
        <v>0</v>
      </c>
      <c r="M96" s="1747">
        <v>1E-3</v>
      </c>
      <c r="N96" s="1746">
        <v>3.0000000000000001E-3</v>
      </c>
      <c r="O96" s="1748">
        <v>5.0000000000000001E-3</v>
      </c>
      <c r="Q96" s="3825"/>
      <c r="R96" s="1749">
        <v>5</v>
      </c>
      <c r="S96" s="1742">
        <v>0</v>
      </c>
      <c r="T96" s="1743">
        <v>0</v>
      </c>
      <c r="U96" s="1744">
        <v>0</v>
      </c>
      <c r="V96" s="1742">
        <v>0</v>
      </c>
      <c r="W96" s="1743">
        <v>0</v>
      </c>
      <c r="X96" s="1744">
        <v>0</v>
      </c>
      <c r="Y96" s="1745">
        <v>5.0000000000000001E-3</v>
      </c>
      <c r="Z96" s="1746">
        <v>0</v>
      </c>
      <c r="AA96" s="1745">
        <v>0</v>
      </c>
      <c r="AB96" s="1747">
        <v>1E-3</v>
      </c>
      <c r="AC96" s="1746">
        <v>3.0000000000000001E-3</v>
      </c>
      <c r="AD96" s="1748">
        <v>8.9999999999999993E-3</v>
      </c>
      <c r="AF96" s="3825"/>
      <c r="AG96" s="1749">
        <v>5</v>
      </c>
      <c r="AH96" s="1742">
        <v>0</v>
      </c>
      <c r="AI96" s="1743">
        <v>0</v>
      </c>
      <c r="AJ96" s="1744">
        <v>0</v>
      </c>
      <c r="AK96" s="1742">
        <v>0</v>
      </c>
      <c r="AL96" s="1743">
        <v>0</v>
      </c>
      <c r="AM96" s="1744">
        <v>0</v>
      </c>
      <c r="AN96" s="1745">
        <v>6.0000000000000001E-3</v>
      </c>
      <c r="AO96" s="1746">
        <v>2E-3</v>
      </c>
      <c r="AP96" s="1745">
        <v>0</v>
      </c>
      <c r="AQ96" s="1747">
        <v>1E-3</v>
      </c>
      <c r="AR96" s="1746">
        <v>3.0000000000000001E-3</v>
      </c>
      <c r="AS96" s="1748">
        <v>1.2999999999999999E-2</v>
      </c>
      <c r="AU96" s="3825"/>
      <c r="AV96" s="1749">
        <v>5</v>
      </c>
      <c r="AW96" s="1742">
        <v>0</v>
      </c>
      <c r="AX96" s="1743">
        <v>0</v>
      </c>
      <c r="AY96" s="1744">
        <v>0</v>
      </c>
      <c r="AZ96" s="1742">
        <v>0</v>
      </c>
      <c r="BA96" s="1743">
        <v>0</v>
      </c>
      <c r="BB96" s="1744">
        <v>0</v>
      </c>
      <c r="BC96" s="1745">
        <v>8.0000000000000002E-3</v>
      </c>
      <c r="BD96" s="1746">
        <v>3.0000000000000001E-3</v>
      </c>
      <c r="BE96" s="1745">
        <v>0</v>
      </c>
      <c r="BF96" s="1747">
        <v>2E-3</v>
      </c>
      <c r="BG96" s="1746">
        <v>3.0000000000000001E-3</v>
      </c>
      <c r="BH96" s="1748">
        <v>1.4999999999999999E-2</v>
      </c>
      <c r="BJ96" s="3825"/>
      <c r="BK96" s="1749">
        <v>5</v>
      </c>
      <c r="BL96" s="1742">
        <v>0</v>
      </c>
      <c r="BM96" s="1743">
        <v>0</v>
      </c>
      <c r="BN96" s="1744">
        <v>0</v>
      </c>
      <c r="BO96" s="1742">
        <v>0</v>
      </c>
      <c r="BP96" s="1743">
        <v>0</v>
      </c>
      <c r="BQ96" s="1744">
        <v>0</v>
      </c>
      <c r="BR96" s="1745">
        <v>8.0000000000000002E-3</v>
      </c>
      <c r="BS96" s="1746">
        <v>3.0000000000000001E-3</v>
      </c>
      <c r="BT96" s="1745">
        <v>0</v>
      </c>
      <c r="BU96" s="1747">
        <v>2E-3</v>
      </c>
      <c r="BV96" s="1746">
        <v>4.0000000000000001E-3</v>
      </c>
      <c r="BW96" s="1748">
        <v>1.7000000000000001E-2</v>
      </c>
      <c r="BY96" s="3825"/>
      <c r="BZ96" s="1749">
        <v>5</v>
      </c>
      <c r="CA96" s="1742">
        <v>0</v>
      </c>
      <c r="CB96" s="1743">
        <v>0</v>
      </c>
      <c r="CC96" s="1744">
        <v>0</v>
      </c>
      <c r="CD96" s="1742">
        <v>0</v>
      </c>
      <c r="CE96" s="1743">
        <v>0</v>
      </c>
      <c r="CF96" s="1744">
        <v>0</v>
      </c>
      <c r="CG96" s="1745">
        <v>0.01</v>
      </c>
      <c r="CH96" s="1746">
        <v>3.0000000000000001E-3</v>
      </c>
      <c r="CI96" s="1745">
        <v>0</v>
      </c>
      <c r="CJ96" s="1747">
        <v>2E-3</v>
      </c>
      <c r="CK96" s="1746">
        <v>4.0000000000000001E-3</v>
      </c>
      <c r="CL96" s="1748">
        <v>1.7999999999999999E-2</v>
      </c>
    </row>
    <row r="97" spans="1:90" s="1728" customFormat="1" ht="13.5" customHeight="1" thickBot="1">
      <c r="A97" s="3844"/>
      <c r="B97" s="3845"/>
      <c r="C97" s="1750" t="s">
        <v>1422</v>
      </c>
      <c r="D97" s="1751">
        <v>0</v>
      </c>
      <c r="E97" s="1752">
        <v>0</v>
      </c>
      <c r="F97" s="1753">
        <v>0</v>
      </c>
      <c r="G97" s="1751">
        <v>0</v>
      </c>
      <c r="H97" s="1752">
        <v>0</v>
      </c>
      <c r="I97" s="1753">
        <v>0</v>
      </c>
      <c r="J97" s="1754">
        <v>0.13900000000000001</v>
      </c>
      <c r="K97" s="1755">
        <v>0.157</v>
      </c>
      <c r="L97" s="1754">
        <v>0.16400000000000001</v>
      </c>
      <c r="M97" s="1756">
        <v>0.33100000000000002</v>
      </c>
      <c r="N97" s="1755">
        <v>0.20899999999999999</v>
      </c>
      <c r="O97" s="1757">
        <v>1</v>
      </c>
      <c r="Q97" s="3826"/>
      <c r="R97" s="1750" t="s">
        <v>1422</v>
      </c>
      <c r="S97" s="1751">
        <v>0</v>
      </c>
      <c r="T97" s="1752">
        <v>0</v>
      </c>
      <c r="U97" s="1753">
        <v>0</v>
      </c>
      <c r="V97" s="1751">
        <v>0</v>
      </c>
      <c r="W97" s="1752">
        <v>0</v>
      </c>
      <c r="X97" s="1753">
        <v>0</v>
      </c>
      <c r="Y97" s="1754">
        <v>0.13800000000000001</v>
      </c>
      <c r="Z97" s="1755">
        <v>0.155</v>
      </c>
      <c r="AA97" s="1754">
        <v>0.16500000000000001</v>
      </c>
      <c r="AB97" s="1756">
        <v>0.33100000000000002</v>
      </c>
      <c r="AC97" s="1755">
        <v>0.21</v>
      </c>
      <c r="AD97" s="1757">
        <v>1</v>
      </c>
      <c r="AF97" s="3826"/>
      <c r="AG97" s="1750" t="s">
        <v>1422</v>
      </c>
      <c r="AH97" s="1751">
        <v>0</v>
      </c>
      <c r="AI97" s="1752">
        <v>0</v>
      </c>
      <c r="AJ97" s="1753">
        <v>0</v>
      </c>
      <c r="AK97" s="1751">
        <v>0</v>
      </c>
      <c r="AL97" s="1752">
        <v>0</v>
      </c>
      <c r="AM97" s="1753">
        <v>0</v>
      </c>
      <c r="AN97" s="1754">
        <v>0.13800000000000001</v>
      </c>
      <c r="AO97" s="1755">
        <v>0.154</v>
      </c>
      <c r="AP97" s="1754">
        <v>0.16700000000000001</v>
      </c>
      <c r="AQ97" s="1756">
        <v>0.33200000000000002</v>
      </c>
      <c r="AR97" s="1755">
        <v>0.21</v>
      </c>
      <c r="AS97" s="1757">
        <v>1</v>
      </c>
      <c r="AU97" s="3826"/>
      <c r="AV97" s="1750" t="s">
        <v>1422</v>
      </c>
      <c r="AW97" s="1751">
        <v>0</v>
      </c>
      <c r="AX97" s="1752">
        <v>0</v>
      </c>
      <c r="AY97" s="1753">
        <v>0</v>
      </c>
      <c r="AZ97" s="1751">
        <v>0</v>
      </c>
      <c r="BA97" s="1752">
        <v>0</v>
      </c>
      <c r="BB97" s="1753">
        <v>0</v>
      </c>
      <c r="BC97" s="1754">
        <v>0.13500000000000001</v>
      </c>
      <c r="BD97" s="1755">
        <v>0.153</v>
      </c>
      <c r="BE97" s="1754">
        <v>0.16900000000000001</v>
      </c>
      <c r="BF97" s="1756">
        <v>0.33400000000000002</v>
      </c>
      <c r="BG97" s="1755">
        <v>0.20899999999999999</v>
      </c>
      <c r="BH97" s="1757">
        <v>1</v>
      </c>
      <c r="BJ97" s="3826"/>
      <c r="BK97" s="1750" t="s">
        <v>1422</v>
      </c>
      <c r="BL97" s="1751">
        <v>0</v>
      </c>
      <c r="BM97" s="1752">
        <v>0</v>
      </c>
      <c r="BN97" s="1753">
        <v>0</v>
      </c>
      <c r="BO97" s="1751">
        <v>0</v>
      </c>
      <c r="BP97" s="1752">
        <v>0</v>
      </c>
      <c r="BQ97" s="1753">
        <v>0</v>
      </c>
      <c r="BR97" s="1754">
        <v>0.13400000000000001</v>
      </c>
      <c r="BS97" s="1755">
        <v>0.152</v>
      </c>
      <c r="BT97" s="1754">
        <v>0.17</v>
      </c>
      <c r="BU97" s="1756">
        <v>0.33400000000000002</v>
      </c>
      <c r="BV97" s="1755">
        <v>0.20899999999999999</v>
      </c>
      <c r="BW97" s="1757">
        <v>1</v>
      </c>
      <c r="BY97" s="3826"/>
      <c r="BZ97" s="1750" t="s">
        <v>1422</v>
      </c>
      <c r="CA97" s="1751">
        <v>0</v>
      </c>
      <c r="CB97" s="1752">
        <v>0</v>
      </c>
      <c r="CC97" s="1753">
        <v>0</v>
      </c>
      <c r="CD97" s="1751">
        <v>0</v>
      </c>
      <c r="CE97" s="1752">
        <v>0</v>
      </c>
      <c r="CF97" s="1753">
        <v>0</v>
      </c>
      <c r="CG97" s="1754">
        <v>0.13400000000000001</v>
      </c>
      <c r="CH97" s="1755">
        <v>0.152</v>
      </c>
      <c r="CI97" s="1754">
        <v>0.17100000000000001</v>
      </c>
      <c r="CJ97" s="1756">
        <v>0.33300000000000002</v>
      </c>
      <c r="CK97" s="1755">
        <v>0.21</v>
      </c>
      <c r="CL97" s="1757">
        <v>1</v>
      </c>
    </row>
    <row r="98" spans="1:90" s="1728" customFormat="1" ht="13.5" customHeight="1" thickTop="1">
      <c r="A98" s="3840" t="s">
        <v>1128</v>
      </c>
      <c r="B98" s="3841"/>
      <c r="C98" s="1733">
        <v>1</v>
      </c>
      <c r="D98" s="1734">
        <v>0</v>
      </c>
      <c r="E98" s="1735">
        <v>0</v>
      </c>
      <c r="F98" s="1736">
        <v>0</v>
      </c>
      <c r="G98" s="1734">
        <v>1.2E-2</v>
      </c>
      <c r="H98" s="1735">
        <v>1.7000000000000001E-2</v>
      </c>
      <c r="I98" s="1736">
        <v>7.2999999999999995E-2</v>
      </c>
      <c r="J98" s="1737">
        <v>1.7000000000000001E-2</v>
      </c>
      <c r="K98" s="1738">
        <v>6.4000000000000001E-2</v>
      </c>
      <c r="L98" s="1737">
        <v>2.5999999999999999E-2</v>
      </c>
      <c r="M98" s="1739">
        <v>9.0999999999999998E-2</v>
      </c>
      <c r="N98" s="1738">
        <v>8.6999999999999994E-2</v>
      </c>
      <c r="O98" s="1740">
        <v>0.38800000000000001</v>
      </c>
      <c r="Q98" s="3824" t="s">
        <v>1128</v>
      </c>
      <c r="R98" s="1733">
        <v>1</v>
      </c>
      <c r="S98" s="1734">
        <v>0</v>
      </c>
      <c r="T98" s="1735">
        <v>0</v>
      </c>
      <c r="U98" s="1736">
        <v>0</v>
      </c>
      <c r="V98" s="1734">
        <v>1.2E-2</v>
      </c>
      <c r="W98" s="1735">
        <v>1.7000000000000001E-2</v>
      </c>
      <c r="X98" s="1736">
        <v>7.2999999999999995E-2</v>
      </c>
      <c r="Y98" s="1737">
        <v>1.7000000000000001E-2</v>
      </c>
      <c r="Z98" s="1738">
        <v>6.3E-2</v>
      </c>
      <c r="AA98" s="1737">
        <v>2.5000000000000001E-2</v>
      </c>
      <c r="AB98" s="1739">
        <v>9.0999999999999998E-2</v>
      </c>
      <c r="AC98" s="1738">
        <v>8.7999999999999995E-2</v>
      </c>
      <c r="AD98" s="1740">
        <v>0.38600000000000001</v>
      </c>
      <c r="AF98" s="3824" t="s">
        <v>1128</v>
      </c>
      <c r="AG98" s="1733">
        <v>1</v>
      </c>
      <c r="AH98" s="1734">
        <v>0</v>
      </c>
      <c r="AI98" s="1735">
        <v>0</v>
      </c>
      <c r="AJ98" s="1736">
        <v>0</v>
      </c>
      <c r="AK98" s="1734">
        <v>1.2E-2</v>
      </c>
      <c r="AL98" s="1735">
        <v>1.4999999999999999E-2</v>
      </c>
      <c r="AM98" s="1736">
        <v>7.0999999999999994E-2</v>
      </c>
      <c r="AN98" s="1737">
        <v>1.4999999999999999E-2</v>
      </c>
      <c r="AO98" s="1738">
        <v>6.2E-2</v>
      </c>
      <c r="AP98" s="1737">
        <v>2.1000000000000001E-2</v>
      </c>
      <c r="AQ98" s="1739">
        <v>7.5999999999999998E-2</v>
      </c>
      <c r="AR98" s="1738">
        <v>8.2000000000000003E-2</v>
      </c>
      <c r="AS98" s="1740">
        <v>0.35399999999999998</v>
      </c>
      <c r="AU98" s="3824" t="s">
        <v>1128</v>
      </c>
      <c r="AV98" s="1733">
        <v>1</v>
      </c>
      <c r="AW98" s="1734">
        <v>0</v>
      </c>
      <c r="AX98" s="1735">
        <v>0</v>
      </c>
      <c r="AY98" s="1736">
        <v>0</v>
      </c>
      <c r="AZ98" s="1734">
        <v>0.01</v>
      </c>
      <c r="BA98" s="1735">
        <v>1.2E-2</v>
      </c>
      <c r="BB98" s="1736">
        <v>6.4000000000000001E-2</v>
      </c>
      <c r="BC98" s="1737">
        <v>1.2999999999999999E-2</v>
      </c>
      <c r="BD98" s="1738">
        <v>6.0999999999999999E-2</v>
      </c>
      <c r="BE98" s="1737">
        <v>1.9E-2</v>
      </c>
      <c r="BF98" s="1739">
        <v>7.0000000000000007E-2</v>
      </c>
      <c r="BG98" s="1738">
        <v>0.08</v>
      </c>
      <c r="BH98" s="1740">
        <v>0.32800000000000001</v>
      </c>
      <c r="BJ98" s="3824" t="s">
        <v>1128</v>
      </c>
      <c r="BK98" s="1733">
        <v>1</v>
      </c>
      <c r="BL98" s="1734">
        <v>0</v>
      </c>
      <c r="BM98" s="1735">
        <v>0</v>
      </c>
      <c r="BN98" s="1736">
        <v>0</v>
      </c>
      <c r="BO98" s="1734">
        <v>0.01</v>
      </c>
      <c r="BP98" s="1735">
        <v>1.2E-2</v>
      </c>
      <c r="BQ98" s="1736">
        <v>0.06</v>
      </c>
      <c r="BR98" s="1737">
        <v>1.2999999999999999E-2</v>
      </c>
      <c r="BS98" s="1738">
        <v>5.8999999999999997E-2</v>
      </c>
      <c r="BT98" s="1737">
        <v>1.7999999999999999E-2</v>
      </c>
      <c r="BU98" s="1739">
        <v>6.9000000000000006E-2</v>
      </c>
      <c r="BV98" s="1738">
        <v>0.08</v>
      </c>
      <c r="BW98" s="1740">
        <v>0.32100000000000001</v>
      </c>
      <c r="BY98" s="3824" t="s">
        <v>1128</v>
      </c>
      <c r="BZ98" s="1733">
        <v>1</v>
      </c>
      <c r="CA98" s="1734">
        <v>0</v>
      </c>
      <c r="CB98" s="1735">
        <v>0</v>
      </c>
      <c r="CC98" s="1736">
        <v>0</v>
      </c>
      <c r="CD98" s="1734">
        <v>8.9999999999999993E-3</v>
      </c>
      <c r="CE98" s="1735">
        <v>1.2E-2</v>
      </c>
      <c r="CF98" s="1736">
        <v>0.06</v>
      </c>
      <c r="CG98" s="1737">
        <v>1.2E-2</v>
      </c>
      <c r="CH98" s="1738">
        <v>5.7000000000000002E-2</v>
      </c>
      <c r="CI98" s="1737">
        <v>1.6E-2</v>
      </c>
      <c r="CJ98" s="1739">
        <v>6.7000000000000004E-2</v>
      </c>
      <c r="CK98" s="1738">
        <v>7.8E-2</v>
      </c>
      <c r="CL98" s="1740">
        <v>0.312</v>
      </c>
    </row>
    <row r="99" spans="1:90" s="1728" customFormat="1" ht="13.5" customHeight="1">
      <c r="A99" s="3842"/>
      <c r="B99" s="3843"/>
      <c r="C99" s="1741">
        <v>2</v>
      </c>
      <c r="D99" s="1742">
        <v>0</v>
      </c>
      <c r="E99" s="1743">
        <v>0</v>
      </c>
      <c r="F99" s="1744">
        <v>0</v>
      </c>
      <c r="G99" s="1742">
        <v>3.4000000000000002E-2</v>
      </c>
      <c r="H99" s="1743">
        <v>3.6999999999999998E-2</v>
      </c>
      <c r="I99" s="1744">
        <v>4.4999999999999998E-2</v>
      </c>
      <c r="J99" s="1745">
        <v>3.7999999999999999E-2</v>
      </c>
      <c r="K99" s="1746">
        <v>1.7999999999999999E-2</v>
      </c>
      <c r="L99" s="1745">
        <v>6.4000000000000001E-2</v>
      </c>
      <c r="M99" s="1747">
        <v>7.0000000000000007E-2</v>
      </c>
      <c r="N99" s="1746">
        <v>1.4E-2</v>
      </c>
      <c r="O99" s="1748">
        <v>0.32</v>
      </c>
      <c r="Q99" s="3825"/>
      <c r="R99" s="1741">
        <v>2</v>
      </c>
      <c r="S99" s="1742">
        <v>0</v>
      </c>
      <c r="T99" s="1743">
        <v>0</v>
      </c>
      <c r="U99" s="1744">
        <v>0</v>
      </c>
      <c r="V99" s="1742">
        <v>3.5999999999999997E-2</v>
      </c>
      <c r="W99" s="1743">
        <v>3.4000000000000002E-2</v>
      </c>
      <c r="X99" s="1744">
        <v>4.3999999999999997E-2</v>
      </c>
      <c r="Y99" s="1745">
        <v>3.6999999999999998E-2</v>
      </c>
      <c r="Z99" s="1746">
        <v>1.7999999999999999E-2</v>
      </c>
      <c r="AA99" s="1745">
        <v>6.0999999999999999E-2</v>
      </c>
      <c r="AB99" s="1747">
        <v>6.9000000000000006E-2</v>
      </c>
      <c r="AC99" s="1746">
        <v>1.4E-2</v>
      </c>
      <c r="AD99" s="1748">
        <v>0.313</v>
      </c>
      <c r="AF99" s="3825"/>
      <c r="AG99" s="1741">
        <v>2</v>
      </c>
      <c r="AH99" s="1742">
        <v>0</v>
      </c>
      <c r="AI99" s="1743">
        <v>0</v>
      </c>
      <c r="AJ99" s="1744">
        <v>0</v>
      </c>
      <c r="AK99" s="1742">
        <v>3.1E-2</v>
      </c>
      <c r="AL99" s="1743">
        <v>2.9000000000000001E-2</v>
      </c>
      <c r="AM99" s="1744">
        <v>4.1000000000000002E-2</v>
      </c>
      <c r="AN99" s="1745">
        <v>3.2000000000000001E-2</v>
      </c>
      <c r="AO99" s="1746">
        <v>1.7999999999999999E-2</v>
      </c>
      <c r="AP99" s="1745">
        <v>5.1999999999999998E-2</v>
      </c>
      <c r="AQ99" s="1747">
        <v>8.1000000000000003E-2</v>
      </c>
      <c r="AR99" s="1746">
        <v>1.9E-2</v>
      </c>
      <c r="AS99" s="1748">
        <v>0.30299999999999999</v>
      </c>
      <c r="AU99" s="3825"/>
      <c r="AV99" s="1741">
        <v>2</v>
      </c>
      <c r="AW99" s="1742">
        <v>0</v>
      </c>
      <c r="AX99" s="1743">
        <v>0</v>
      </c>
      <c r="AY99" s="1744">
        <v>0</v>
      </c>
      <c r="AZ99" s="1742">
        <v>2.4E-2</v>
      </c>
      <c r="BA99" s="1743">
        <v>0.03</v>
      </c>
      <c r="BB99" s="1744">
        <v>4.5999999999999999E-2</v>
      </c>
      <c r="BC99" s="1745">
        <v>2.8000000000000001E-2</v>
      </c>
      <c r="BD99" s="1746">
        <v>1.7999999999999999E-2</v>
      </c>
      <c r="BE99" s="1745">
        <v>3.9E-2</v>
      </c>
      <c r="BF99" s="1747">
        <v>8.4000000000000005E-2</v>
      </c>
      <c r="BG99" s="1746">
        <v>1.9E-2</v>
      </c>
      <c r="BH99" s="1748">
        <v>0.28699999999999998</v>
      </c>
      <c r="BJ99" s="3825"/>
      <c r="BK99" s="1741">
        <v>2</v>
      </c>
      <c r="BL99" s="1742">
        <v>0</v>
      </c>
      <c r="BM99" s="1743">
        <v>0</v>
      </c>
      <c r="BN99" s="1744">
        <v>0</v>
      </c>
      <c r="BO99" s="1742">
        <v>1.9E-2</v>
      </c>
      <c r="BP99" s="1743">
        <v>2.5000000000000001E-2</v>
      </c>
      <c r="BQ99" s="1744">
        <v>4.5999999999999999E-2</v>
      </c>
      <c r="BR99" s="1745">
        <v>2.5999999999999999E-2</v>
      </c>
      <c r="BS99" s="1746">
        <v>1.9E-2</v>
      </c>
      <c r="BT99" s="1745">
        <v>3.5000000000000003E-2</v>
      </c>
      <c r="BU99" s="1747">
        <v>8.1000000000000003E-2</v>
      </c>
      <c r="BV99" s="1746">
        <v>1.7999999999999999E-2</v>
      </c>
      <c r="BW99" s="1748">
        <v>0.27</v>
      </c>
      <c r="BY99" s="3825"/>
      <c r="BZ99" s="1741">
        <v>2</v>
      </c>
      <c r="CA99" s="1742">
        <v>0</v>
      </c>
      <c r="CB99" s="1743">
        <v>0</v>
      </c>
      <c r="CC99" s="1744">
        <v>0</v>
      </c>
      <c r="CD99" s="1742">
        <v>1.4E-2</v>
      </c>
      <c r="CE99" s="1743">
        <v>2.4E-2</v>
      </c>
      <c r="CF99" s="1744">
        <v>4.3999999999999997E-2</v>
      </c>
      <c r="CG99" s="1745">
        <v>2.4E-2</v>
      </c>
      <c r="CH99" s="1746">
        <v>0.02</v>
      </c>
      <c r="CI99" s="1745">
        <v>3.1E-2</v>
      </c>
      <c r="CJ99" s="1747">
        <v>0.08</v>
      </c>
      <c r="CK99" s="1746">
        <v>1.9E-2</v>
      </c>
      <c r="CL99" s="1748">
        <v>0.25600000000000001</v>
      </c>
    </row>
    <row r="100" spans="1:90" s="1728" customFormat="1" ht="13.5" customHeight="1">
      <c r="A100" s="3842"/>
      <c r="B100" s="3843"/>
      <c r="C100" s="1741">
        <v>3</v>
      </c>
      <c r="D100" s="1742">
        <v>0</v>
      </c>
      <c r="E100" s="1743">
        <v>0</v>
      </c>
      <c r="F100" s="1744">
        <v>0</v>
      </c>
      <c r="G100" s="1742">
        <v>4.2000000000000003E-2</v>
      </c>
      <c r="H100" s="1743">
        <v>2.5000000000000001E-2</v>
      </c>
      <c r="I100" s="1744">
        <v>2.4E-2</v>
      </c>
      <c r="J100" s="1745">
        <v>2.8000000000000001E-2</v>
      </c>
      <c r="K100" s="1746">
        <v>8.9999999999999993E-3</v>
      </c>
      <c r="L100" s="1745">
        <v>4.8000000000000001E-2</v>
      </c>
      <c r="M100" s="1747">
        <v>1.4E-2</v>
      </c>
      <c r="N100" s="1746">
        <v>3.0000000000000001E-3</v>
      </c>
      <c r="O100" s="1748">
        <v>0.193</v>
      </c>
      <c r="Q100" s="3825"/>
      <c r="R100" s="1741">
        <v>3</v>
      </c>
      <c r="S100" s="1742">
        <v>0</v>
      </c>
      <c r="T100" s="1743">
        <v>0</v>
      </c>
      <c r="U100" s="1744">
        <v>0</v>
      </c>
      <c r="V100" s="1742">
        <v>4.4999999999999998E-2</v>
      </c>
      <c r="W100" s="1743">
        <v>2.5999999999999999E-2</v>
      </c>
      <c r="X100" s="1744">
        <v>2.3E-2</v>
      </c>
      <c r="Y100" s="1745">
        <v>2.9000000000000001E-2</v>
      </c>
      <c r="Z100" s="1746">
        <v>8.9999999999999993E-3</v>
      </c>
      <c r="AA100" s="1745">
        <v>5.0999999999999997E-2</v>
      </c>
      <c r="AB100" s="1747">
        <v>1.4999999999999999E-2</v>
      </c>
      <c r="AC100" s="1746">
        <v>3.0000000000000001E-3</v>
      </c>
      <c r="AD100" s="1748">
        <v>0.20100000000000001</v>
      </c>
      <c r="AF100" s="3825"/>
      <c r="AG100" s="1741">
        <v>3</v>
      </c>
      <c r="AH100" s="1742">
        <v>0</v>
      </c>
      <c r="AI100" s="1743">
        <v>0</v>
      </c>
      <c r="AJ100" s="1744">
        <v>0</v>
      </c>
      <c r="AK100" s="1742">
        <v>0.05</v>
      </c>
      <c r="AL100" s="1743">
        <v>2.9000000000000001E-2</v>
      </c>
      <c r="AM100" s="1744">
        <v>2.5000000000000001E-2</v>
      </c>
      <c r="AN100" s="1745">
        <v>2.9000000000000001E-2</v>
      </c>
      <c r="AO100" s="1746">
        <v>8.0000000000000002E-3</v>
      </c>
      <c r="AP100" s="1745">
        <v>5.7000000000000002E-2</v>
      </c>
      <c r="AQ100" s="1747">
        <v>1.7000000000000001E-2</v>
      </c>
      <c r="AR100" s="1746">
        <v>4.0000000000000001E-3</v>
      </c>
      <c r="AS100" s="1748">
        <v>0.22</v>
      </c>
      <c r="AU100" s="3825"/>
      <c r="AV100" s="1741">
        <v>3</v>
      </c>
      <c r="AW100" s="1742">
        <v>0</v>
      </c>
      <c r="AX100" s="1743">
        <v>0</v>
      </c>
      <c r="AY100" s="1744">
        <v>0</v>
      </c>
      <c r="AZ100" s="1742">
        <v>5.6000000000000001E-2</v>
      </c>
      <c r="BA100" s="1743">
        <v>0.03</v>
      </c>
      <c r="BB100" s="1744">
        <v>2.4E-2</v>
      </c>
      <c r="BC100" s="1745">
        <v>3.3000000000000002E-2</v>
      </c>
      <c r="BD100" s="1746">
        <v>8.0000000000000002E-3</v>
      </c>
      <c r="BE100" s="1745">
        <v>6.5000000000000002E-2</v>
      </c>
      <c r="BF100" s="1747">
        <v>1.7999999999999999E-2</v>
      </c>
      <c r="BG100" s="1746">
        <v>5.0000000000000001E-3</v>
      </c>
      <c r="BH100" s="1748">
        <v>0.24</v>
      </c>
      <c r="BJ100" s="3825"/>
      <c r="BK100" s="1741">
        <v>3</v>
      </c>
      <c r="BL100" s="1742">
        <v>0</v>
      </c>
      <c r="BM100" s="1743">
        <v>0</v>
      </c>
      <c r="BN100" s="1744">
        <v>0</v>
      </c>
      <c r="BO100" s="1742">
        <v>5.8000000000000003E-2</v>
      </c>
      <c r="BP100" s="1743">
        <v>3.1E-2</v>
      </c>
      <c r="BQ100" s="1744">
        <v>2.4E-2</v>
      </c>
      <c r="BR100" s="1745">
        <v>3.4000000000000002E-2</v>
      </c>
      <c r="BS100" s="1746">
        <v>8.0000000000000002E-3</v>
      </c>
      <c r="BT100" s="1745">
        <v>6.2E-2</v>
      </c>
      <c r="BU100" s="1747">
        <v>0.02</v>
      </c>
      <c r="BV100" s="1746">
        <v>6.0000000000000001E-3</v>
      </c>
      <c r="BW100" s="1748">
        <v>0.24299999999999999</v>
      </c>
      <c r="BY100" s="3825"/>
      <c r="BZ100" s="1741">
        <v>3</v>
      </c>
      <c r="CA100" s="1742">
        <v>0</v>
      </c>
      <c r="CB100" s="1743">
        <v>0</v>
      </c>
      <c r="CC100" s="1744">
        <v>0</v>
      </c>
      <c r="CD100" s="1742">
        <v>0.06</v>
      </c>
      <c r="CE100" s="1743">
        <v>3.2000000000000001E-2</v>
      </c>
      <c r="CF100" s="1744">
        <v>2.5000000000000001E-2</v>
      </c>
      <c r="CG100" s="1745">
        <v>3.3000000000000002E-2</v>
      </c>
      <c r="CH100" s="1746">
        <v>8.0000000000000002E-3</v>
      </c>
      <c r="CI100" s="1745">
        <v>5.8999999999999997E-2</v>
      </c>
      <c r="CJ100" s="1747">
        <v>2.1999999999999999E-2</v>
      </c>
      <c r="CK100" s="1746">
        <v>6.0000000000000001E-3</v>
      </c>
      <c r="CL100" s="1748">
        <v>0.245</v>
      </c>
    </row>
    <row r="101" spans="1:90" s="1728" customFormat="1" ht="13.5" customHeight="1">
      <c r="A101" s="3842"/>
      <c r="B101" s="3843"/>
      <c r="C101" s="1741">
        <v>4</v>
      </c>
      <c r="D101" s="1742">
        <v>0</v>
      </c>
      <c r="E101" s="1743">
        <v>0</v>
      </c>
      <c r="F101" s="1744">
        <v>0</v>
      </c>
      <c r="G101" s="1742">
        <v>1.0999999999999999E-2</v>
      </c>
      <c r="H101" s="1743">
        <v>1.9E-2</v>
      </c>
      <c r="I101" s="1744">
        <v>3.5999999999999997E-2</v>
      </c>
      <c r="J101" s="1745">
        <v>1.4E-2</v>
      </c>
      <c r="K101" s="1746">
        <v>3.0000000000000001E-3</v>
      </c>
      <c r="L101" s="1745">
        <v>8.0000000000000002E-3</v>
      </c>
      <c r="M101" s="1747">
        <v>3.0000000000000001E-3</v>
      </c>
      <c r="N101" s="1746">
        <v>1E-3</v>
      </c>
      <c r="O101" s="1748">
        <v>9.6000000000000002E-2</v>
      </c>
      <c r="Q101" s="3825"/>
      <c r="R101" s="1741">
        <v>4</v>
      </c>
      <c r="S101" s="1742">
        <v>0</v>
      </c>
      <c r="T101" s="1743">
        <v>0</v>
      </c>
      <c r="U101" s="1744">
        <v>0</v>
      </c>
      <c r="V101" s="1742">
        <v>8.0000000000000002E-3</v>
      </c>
      <c r="W101" s="1743">
        <v>1.7000000000000001E-2</v>
      </c>
      <c r="X101" s="1744">
        <v>2.7E-2</v>
      </c>
      <c r="Y101" s="1745">
        <v>1.2999999999999999E-2</v>
      </c>
      <c r="Z101" s="1746">
        <v>3.0000000000000001E-3</v>
      </c>
      <c r="AA101" s="1745">
        <v>1.0999999999999999E-2</v>
      </c>
      <c r="AB101" s="1747">
        <v>3.0000000000000001E-3</v>
      </c>
      <c r="AC101" s="1746">
        <v>1E-3</v>
      </c>
      <c r="AD101" s="1748">
        <v>8.3000000000000004E-2</v>
      </c>
      <c r="AF101" s="3825"/>
      <c r="AG101" s="1741">
        <v>4</v>
      </c>
      <c r="AH101" s="1742">
        <v>0</v>
      </c>
      <c r="AI101" s="1743">
        <v>0</v>
      </c>
      <c r="AJ101" s="1744">
        <v>0</v>
      </c>
      <c r="AK101" s="1742">
        <v>8.9999999999999993E-3</v>
      </c>
      <c r="AL101" s="1743">
        <v>1.4E-2</v>
      </c>
      <c r="AM101" s="1744">
        <v>1.4999999999999999E-2</v>
      </c>
      <c r="AN101" s="1745">
        <v>1.4E-2</v>
      </c>
      <c r="AO101" s="1746">
        <v>4.0000000000000001E-3</v>
      </c>
      <c r="AP101" s="1745">
        <v>1.9E-2</v>
      </c>
      <c r="AQ101" s="1747">
        <v>4.0000000000000001E-3</v>
      </c>
      <c r="AR101" s="1746">
        <v>1E-3</v>
      </c>
      <c r="AS101" s="1748">
        <v>0.08</v>
      </c>
      <c r="AU101" s="3825"/>
      <c r="AV101" s="1741">
        <v>4</v>
      </c>
      <c r="AW101" s="1742">
        <v>0</v>
      </c>
      <c r="AX101" s="1743">
        <v>0</v>
      </c>
      <c r="AY101" s="1744">
        <v>0</v>
      </c>
      <c r="AZ101" s="1742">
        <v>1.2999999999999999E-2</v>
      </c>
      <c r="BA101" s="1743">
        <v>1.4999999999999999E-2</v>
      </c>
      <c r="BB101" s="1744">
        <v>1.7000000000000001E-2</v>
      </c>
      <c r="BC101" s="1745">
        <v>1.6E-2</v>
      </c>
      <c r="BD101" s="1746">
        <v>4.0000000000000001E-3</v>
      </c>
      <c r="BE101" s="1745">
        <v>2.5999999999999999E-2</v>
      </c>
      <c r="BF101" s="1747">
        <v>5.0000000000000001E-3</v>
      </c>
      <c r="BG101" s="1746">
        <v>2E-3</v>
      </c>
      <c r="BH101" s="1748">
        <v>9.6000000000000002E-2</v>
      </c>
      <c r="BJ101" s="3825"/>
      <c r="BK101" s="1741">
        <v>4</v>
      </c>
      <c r="BL101" s="1742">
        <v>0</v>
      </c>
      <c r="BM101" s="1743">
        <v>0</v>
      </c>
      <c r="BN101" s="1744">
        <v>0</v>
      </c>
      <c r="BO101" s="1742">
        <v>1.7999999999999999E-2</v>
      </c>
      <c r="BP101" s="1743">
        <v>1.6E-2</v>
      </c>
      <c r="BQ101" s="1744">
        <v>1.7000000000000001E-2</v>
      </c>
      <c r="BR101" s="1745">
        <v>1.7000000000000001E-2</v>
      </c>
      <c r="BS101" s="1746">
        <v>5.0000000000000001E-3</v>
      </c>
      <c r="BT101" s="1745">
        <v>3.5999999999999997E-2</v>
      </c>
      <c r="BU101" s="1747">
        <v>5.0000000000000001E-3</v>
      </c>
      <c r="BV101" s="1746">
        <v>2E-3</v>
      </c>
      <c r="BW101" s="1748">
        <v>0.11600000000000001</v>
      </c>
      <c r="BY101" s="3825"/>
      <c r="BZ101" s="1741">
        <v>4</v>
      </c>
      <c r="CA101" s="1742">
        <v>0</v>
      </c>
      <c r="CB101" s="1743">
        <v>0</v>
      </c>
      <c r="CC101" s="1744">
        <v>0</v>
      </c>
      <c r="CD101" s="1742">
        <v>0.02</v>
      </c>
      <c r="CE101" s="1743">
        <v>1.6E-2</v>
      </c>
      <c r="CF101" s="1744">
        <v>1.7000000000000001E-2</v>
      </c>
      <c r="CG101" s="1745">
        <v>1.7999999999999999E-2</v>
      </c>
      <c r="CH101" s="1746">
        <v>5.0000000000000001E-3</v>
      </c>
      <c r="CI101" s="1745">
        <v>4.4999999999999998E-2</v>
      </c>
      <c r="CJ101" s="1747">
        <v>7.0000000000000001E-3</v>
      </c>
      <c r="CK101" s="1746">
        <v>2E-3</v>
      </c>
      <c r="CL101" s="1748">
        <v>0.13</v>
      </c>
    </row>
    <row r="102" spans="1:90" s="1728" customFormat="1" ht="13.5" customHeight="1">
      <c r="A102" s="3842"/>
      <c r="B102" s="3843"/>
      <c r="C102" s="1749">
        <v>5</v>
      </c>
      <c r="D102" s="1742">
        <v>0</v>
      </c>
      <c r="E102" s="1743">
        <v>0</v>
      </c>
      <c r="F102" s="1744">
        <v>0</v>
      </c>
      <c r="G102" s="1742">
        <v>0</v>
      </c>
      <c r="H102" s="1743">
        <v>0</v>
      </c>
      <c r="I102" s="1744">
        <v>0</v>
      </c>
      <c r="J102" s="1745">
        <v>1E-3</v>
      </c>
      <c r="K102" s="1746">
        <v>0</v>
      </c>
      <c r="L102" s="1745">
        <v>0</v>
      </c>
      <c r="M102" s="1747">
        <v>0</v>
      </c>
      <c r="N102" s="1746">
        <v>0</v>
      </c>
      <c r="O102" s="1748">
        <v>1E-3</v>
      </c>
      <c r="Q102" s="3825"/>
      <c r="R102" s="1749">
        <v>5</v>
      </c>
      <c r="S102" s="1742">
        <v>0</v>
      </c>
      <c r="T102" s="1743">
        <v>0</v>
      </c>
      <c r="U102" s="1744">
        <v>0</v>
      </c>
      <c r="V102" s="1742">
        <v>0</v>
      </c>
      <c r="W102" s="1743">
        <v>4.0000000000000001E-3</v>
      </c>
      <c r="X102" s="1744">
        <v>8.0000000000000002E-3</v>
      </c>
      <c r="Y102" s="1745">
        <v>3.0000000000000001E-3</v>
      </c>
      <c r="Z102" s="1746">
        <v>1E-3</v>
      </c>
      <c r="AA102" s="1745">
        <v>0</v>
      </c>
      <c r="AB102" s="1747">
        <v>0</v>
      </c>
      <c r="AC102" s="1746">
        <v>0</v>
      </c>
      <c r="AD102" s="1748">
        <v>1.6E-2</v>
      </c>
      <c r="AF102" s="3825"/>
      <c r="AG102" s="1749">
        <v>5</v>
      </c>
      <c r="AH102" s="1742">
        <v>0</v>
      </c>
      <c r="AI102" s="1743">
        <v>0</v>
      </c>
      <c r="AJ102" s="1744">
        <v>0</v>
      </c>
      <c r="AK102" s="1742">
        <v>0</v>
      </c>
      <c r="AL102" s="1743">
        <v>0.01</v>
      </c>
      <c r="AM102" s="1744">
        <v>2.3E-2</v>
      </c>
      <c r="AN102" s="1745">
        <v>5.0000000000000001E-3</v>
      </c>
      <c r="AO102" s="1746">
        <v>1E-3</v>
      </c>
      <c r="AP102" s="1745">
        <v>0</v>
      </c>
      <c r="AQ102" s="1747">
        <v>1E-3</v>
      </c>
      <c r="AR102" s="1746">
        <v>0</v>
      </c>
      <c r="AS102" s="1748">
        <v>0.04</v>
      </c>
      <c r="AU102" s="3825"/>
      <c r="AV102" s="1749">
        <v>5</v>
      </c>
      <c r="AW102" s="1742">
        <v>0</v>
      </c>
      <c r="AX102" s="1743">
        <v>0</v>
      </c>
      <c r="AY102" s="1744">
        <v>0</v>
      </c>
      <c r="AZ102" s="1742">
        <v>0</v>
      </c>
      <c r="BA102" s="1743">
        <v>1.0999999999999999E-2</v>
      </c>
      <c r="BB102" s="1744">
        <v>2.5999999999999999E-2</v>
      </c>
      <c r="BC102" s="1745">
        <v>5.0000000000000001E-3</v>
      </c>
      <c r="BD102" s="1746">
        <v>1E-3</v>
      </c>
      <c r="BE102" s="1745">
        <v>0</v>
      </c>
      <c r="BF102" s="1747">
        <v>1E-3</v>
      </c>
      <c r="BG102" s="1746">
        <v>0</v>
      </c>
      <c r="BH102" s="1748">
        <v>4.4999999999999998E-2</v>
      </c>
      <c r="BJ102" s="3825"/>
      <c r="BK102" s="1749">
        <v>5</v>
      </c>
      <c r="BL102" s="1742">
        <v>0</v>
      </c>
      <c r="BM102" s="1743">
        <v>0</v>
      </c>
      <c r="BN102" s="1744">
        <v>0</v>
      </c>
      <c r="BO102" s="1742">
        <v>0</v>
      </c>
      <c r="BP102" s="1743">
        <v>1.2999999999999999E-2</v>
      </c>
      <c r="BQ102" s="1744">
        <v>2.7E-2</v>
      </c>
      <c r="BR102" s="1745">
        <v>6.0000000000000001E-3</v>
      </c>
      <c r="BS102" s="1746">
        <v>2E-3</v>
      </c>
      <c r="BT102" s="1745">
        <v>0</v>
      </c>
      <c r="BU102" s="1747">
        <v>1E-3</v>
      </c>
      <c r="BV102" s="1746">
        <v>0</v>
      </c>
      <c r="BW102" s="1748">
        <v>4.9000000000000002E-2</v>
      </c>
      <c r="BY102" s="3825"/>
      <c r="BZ102" s="1749">
        <v>5</v>
      </c>
      <c r="CA102" s="1742">
        <v>0</v>
      </c>
      <c r="CB102" s="1743">
        <v>0</v>
      </c>
      <c r="CC102" s="1744">
        <v>0</v>
      </c>
      <c r="CD102" s="1742">
        <v>2E-3</v>
      </c>
      <c r="CE102" s="1743">
        <v>1.4E-2</v>
      </c>
      <c r="CF102" s="1744">
        <v>0.03</v>
      </c>
      <c r="CG102" s="1745">
        <v>7.0000000000000001E-3</v>
      </c>
      <c r="CH102" s="1746">
        <v>2E-3</v>
      </c>
      <c r="CI102" s="1745">
        <v>2E-3</v>
      </c>
      <c r="CJ102" s="1747">
        <v>1E-3</v>
      </c>
      <c r="CK102" s="1746">
        <v>1E-3</v>
      </c>
      <c r="CL102" s="1748">
        <v>5.8000000000000003E-2</v>
      </c>
    </row>
    <row r="103" spans="1:90" s="1728" customFormat="1" ht="13.5" customHeight="1" thickBot="1">
      <c r="A103" s="3844"/>
      <c r="B103" s="3845"/>
      <c r="C103" s="1750" t="s">
        <v>1422</v>
      </c>
      <c r="D103" s="1751">
        <v>0</v>
      </c>
      <c r="E103" s="1752">
        <v>0</v>
      </c>
      <c r="F103" s="1753">
        <v>0</v>
      </c>
      <c r="G103" s="1751">
        <v>0.1</v>
      </c>
      <c r="H103" s="1752">
        <v>9.8000000000000004E-2</v>
      </c>
      <c r="I103" s="1753">
        <v>0.17799999999999999</v>
      </c>
      <c r="J103" s="1754">
        <v>9.9000000000000005E-2</v>
      </c>
      <c r="K103" s="1755">
        <v>9.5000000000000001E-2</v>
      </c>
      <c r="L103" s="1754">
        <v>0.14599999999999999</v>
      </c>
      <c r="M103" s="1756">
        <v>0.17899999999999999</v>
      </c>
      <c r="N103" s="1755">
        <v>0.105</v>
      </c>
      <c r="O103" s="1757">
        <v>1</v>
      </c>
      <c r="Q103" s="3826"/>
      <c r="R103" s="1750" t="s">
        <v>1422</v>
      </c>
      <c r="S103" s="1751">
        <v>0</v>
      </c>
      <c r="T103" s="1752">
        <v>0</v>
      </c>
      <c r="U103" s="1753">
        <v>0</v>
      </c>
      <c r="V103" s="1751">
        <v>0.10100000000000001</v>
      </c>
      <c r="W103" s="1752">
        <v>9.8000000000000004E-2</v>
      </c>
      <c r="X103" s="1753">
        <v>0.17599999999999999</v>
      </c>
      <c r="Y103" s="1754">
        <v>9.8000000000000004E-2</v>
      </c>
      <c r="Z103" s="1755">
        <v>9.4E-2</v>
      </c>
      <c r="AA103" s="1754">
        <v>0.14799999999999999</v>
      </c>
      <c r="AB103" s="1756">
        <v>0.17899999999999999</v>
      </c>
      <c r="AC103" s="1755">
        <v>0.106</v>
      </c>
      <c r="AD103" s="1757">
        <v>1</v>
      </c>
      <c r="AF103" s="3826"/>
      <c r="AG103" s="1750" t="s">
        <v>1422</v>
      </c>
      <c r="AH103" s="1751">
        <v>0</v>
      </c>
      <c r="AI103" s="1752">
        <v>0</v>
      </c>
      <c r="AJ103" s="1753">
        <v>0</v>
      </c>
      <c r="AK103" s="1751">
        <v>0.10199999999999999</v>
      </c>
      <c r="AL103" s="1752">
        <v>9.7000000000000003E-2</v>
      </c>
      <c r="AM103" s="1753">
        <v>0.17499999999999999</v>
      </c>
      <c r="AN103" s="1754">
        <v>9.8000000000000004E-2</v>
      </c>
      <c r="AO103" s="1755">
        <v>9.4E-2</v>
      </c>
      <c r="AP103" s="1754">
        <v>0.14899999999999999</v>
      </c>
      <c r="AQ103" s="1756">
        <v>0.17899999999999999</v>
      </c>
      <c r="AR103" s="1755">
        <v>0.106</v>
      </c>
      <c r="AS103" s="1757">
        <v>1</v>
      </c>
      <c r="AU103" s="3826"/>
      <c r="AV103" s="1750" t="s">
        <v>1422</v>
      </c>
      <c r="AW103" s="1751">
        <v>0</v>
      </c>
      <c r="AX103" s="1752">
        <v>0</v>
      </c>
      <c r="AY103" s="1753">
        <v>0</v>
      </c>
      <c r="AZ103" s="1751">
        <v>0.105</v>
      </c>
      <c r="BA103" s="1752">
        <v>9.8000000000000004E-2</v>
      </c>
      <c r="BB103" s="1753">
        <v>0.17599999999999999</v>
      </c>
      <c r="BC103" s="1754">
        <v>9.6000000000000002E-2</v>
      </c>
      <c r="BD103" s="1755">
        <v>9.1999999999999998E-2</v>
      </c>
      <c r="BE103" s="1754">
        <v>0.151</v>
      </c>
      <c r="BF103" s="1756">
        <v>0.17699999999999999</v>
      </c>
      <c r="BG103" s="1755">
        <v>0.105</v>
      </c>
      <c r="BH103" s="1757">
        <v>1</v>
      </c>
      <c r="BJ103" s="3826"/>
      <c r="BK103" s="1750" t="s">
        <v>1422</v>
      </c>
      <c r="BL103" s="1751">
        <v>0</v>
      </c>
      <c r="BM103" s="1752">
        <v>0</v>
      </c>
      <c r="BN103" s="1753">
        <v>0</v>
      </c>
      <c r="BO103" s="1751">
        <v>0.105</v>
      </c>
      <c r="BP103" s="1752">
        <v>9.7000000000000003E-2</v>
      </c>
      <c r="BQ103" s="1753">
        <v>0.17599999999999999</v>
      </c>
      <c r="BR103" s="1754">
        <v>9.6000000000000002E-2</v>
      </c>
      <c r="BS103" s="1755">
        <v>9.1999999999999998E-2</v>
      </c>
      <c r="BT103" s="1754">
        <v>0.152</v>
      </c>
      <c r="BU103" s="1756">
        <v>0.17699999999999999</v>
      </c>
      <c r="BV103" s="1755">
        <v>0.105</v>
      </c>
      <c r="BW103" s="1757">
        <v>1</v>
      </c>
      <c r="BY103" s="3826"/>
      <c r="BZ103" s="1750" t="s">
        <v>1422</v>
      </c>
      <c r="CA103" s="1751">
        <v>0</v>
      </c>
      <c r="CB103" s="1752">
        <v>0</v>
      </c>
      <c r="CC103" s="1753">
        <v>0</v>
      </c>
      <c r="CD103" s="1751">
        <v>0.105</v>
      </c>
      <c r="CE103" s="1752">
        <v>9.7000000000000003E-2</v>
      </c>
      <c r="CF103" s="1753">
        <v>0.17499999999999999</v>
      </c>
      <c r="CG103" s="1754">
        <v>9.6000000000000002E-2</v>
      </c>
      <c r="CH103" s="1755">
        <v>9.1999999999999998E-2</v>
      </c>
      <c r="CI103" s="1754">
        <v>0.152</v>
      </c>
      <c r="CJ103" s="1756">
        <v>0.17699999999999999</v>
      </c>
      <c r="CK103" s="1755">
        <v>0.106</v>
      </c>
      <c r="CL103" s="1757">
        <v>1</v>
      </c>
    </row>
    <row r="104" spans="1:90" s="1728" customFormat="1" ht="13.5" customHeight="1" thickTop="1">
      <c r="A104" s="3840" t="s">
        <v>1129</v>
      </c>
      <c r="B104" s="3841"/>
      <c r="C104" s="1733">
        <v>1</v>
      </c>
      <c r="D104" s="1734">
        <v>0</v>
      </c>
      <c r="E104" s="1735">
        <v>0</v>
      </c>
      <c r="F104" s="1736">
        <v>0</v>
      </c>
      <c r="G104" s="1734">
        <v>2.4E-2</v>
      </c>
      <c r="H104" s="1735">
        <v>4.9000000000000002E-2</v>
      </c>
      <c r="I104" s="1736">
        <v>0.125</v>
      </c>
      <c r="J104" s="1737">
        <v>8.9999999999999993E-3</v>
      </c>
      <c r="K104" s="1738">
        <v>3.7999999999999999E-2</v>
      </c>
      <c r="L104" s="1737">
        <v>1.6E-2</v>
      </c>
      <c r="M104" s="1739">
        <v>7.9000000000000001E-2</v>
      </c>
      <c r="N104" s="1738">
        <v>7.1999999999999995E-2</v>
      </c>
      <c r="O104" s="1740">
        <v>0.41199999999999998</v>
      </c>
      <c r="Q104" s="3824" t="s">
        <v>1129</v>
      </c>
      <c r="R104" s="1733">
        <v>1</v>
      </c>
      <c r="S104" s="1734">
        <v>0</v>
      </c>
      <c r="T104" s="1735">
        <v>0</v>
      </c>
      <c r="U104" s="1736">
        <v>0</v>
      </c>
      <c r="V104" s="1734">
        <v>2.5000000000000001E-2</v>
      </c>
      <c r="W104" s="1735">
        <v>4.9000000000000002E-2</v>
      </c>
      <c r="X104" s="1736">
        <v>0.125</v>
      </c>
      <c r="Y104" s="1737">
        <v>8.9999999999999993E-3</v>
      </c>
      <c r="Z104" s="1738">
        <v>3.7999999999999999E-2</v>
      </c>
      <c r="AA104" s="1737">
        <v>1.6E-2</v>
      </c>
      <c r="AB104" s="1739">
        <v>7.8E-2</v>
      </c>
      <c r="AC104" s="1738">
        <v>7.0999999999999994E-2</v>
      </c>
      <c r="AD104" s="1740">
        <v>0.41099999999999998</v>
      </c>
      <c r="AF104" s="3824" t="s">
        <v>1129</v>
      </c>
      <c r="AG104" s="1733">
        <v>1</v>
      </c>
      <c r="AH104" s="1734">
        <v>0</v>
      </c>
      <c r="AI104" s="1735">
        <v>0</v>
      </c>
      <c r="AJ104" s="1736">
        <v>0</v>
      </c>
      <c r="AK104" s="1734">
        <v>2.1999999999999999E-2</v>
      </c>
      <c r="AL104" s="1735">
        <v>3.6999999999999998E-2</v>
      </c>
      <c r="AM104" s="1736">
        <v>0.11600000000000001</v>
      </c>
      <c r="AN104" s="1737">
        <v>8.0000000000000002E-3</v>
      </c>
      <c r="AO104" s="1738">
        <v>3.5999999999999997E-2</v>
      </c>
      <c r="AP104" s="1737">
        <v>1.4E-2</v>
      </c>
      <c r="AQ104" s="1739">
        <v>6.2E-2</v>
      </c>
      <c r="AR104" s="1738">
        <v>7.0000000000000007E-2</v>
      </c>
      <c r="AS104" s="1740">
        <v>0.36499999999999999</v>
      </c>
      <c r="AU104" s="3824" t="s">
        <v>1129</v>
      </c>
      <c r="AV104" s="1733">
        <v>1</v>
      </c>
      <c r="AW104" s="1734">
        <v>0</v>
      </c>
      <c r="AX104" s="1735">
        <v>0</v>
      </c>
      <c r="AY104" s="1736">
        <v>0</v>
      </c>
      <c r="AZ104" s="1734">
        <v>0.02</v>
      </c>
      <c r="BA104" s="1735">
        <v>3.6999999999999998E-2</v>
      </c>
      <c r="BB104" s="1736">
        <v>0.11600000000000001</v>
      </c>
      <c r="BC104" s="1737">
        <v>7.0000000000000001E-3</v>
      </c>
      <c r="BD104" s="1738">
        <v>3.3000000000000002E-2</v>
      </c>
      <c r="BE104" s="1737">
        <v>1.2E-2</v>
      </c>
      <c r="BF104" s="1739">
        <v>5.8000000000000003E-2</v>
      </c>
      <c r="BG104" s="1738">
        <v>6.9000000000000006E-2</v>
      </c>
      <c r="BH104" s="1740">
        <v>0.35099999999999998</v>
      </c>
      <c r="BJ104" s="3824" t="s">
        <v>1129</v>
      </c>
      <c r="BK104" s="1733">
        <v>1</v>
      </c>
      <c r="BL104" s="1734">
        <v>0</v>
      </c>
      <c r="BM104" s="1735">
        <v>0</v>
      </c>
      <c r="BN104" s="1736">
        <v>0</v>
      </c>
      <c r="BO104" s="1734">
        <v>1.7999999999999999E-2</v>
      </c>
      <c r="BP104" s="1735">
        <v>3.1E-2</v>
      </c>
      <c r="BQ104" s="1736">
        <v>0.115</v>
      </c>
      <c r="BR104" s="1737">
        <v>6.0000000000000001E-3</v>
      </c>
      <c r="BS104" s="1738">
        <v>3.3000000000000002E-2</v>
      </c>
      <c r="BT104" s="1737">
        <v>1.2E-2</v>
      </c>
      <c r="BU104" s="1739">
        <v>5.5E-2</v>
      </c>
      <c r="BV104" s="1738">
        <v>6.8000000000000005E-2</v>
      </c>
      <c r="BW104" s="1740">
        <v>0.33800000000000002</v>
      </c>
      <c r="BY104" s="3824" t="s">
        <v>1129</v>
      </c>
      <c r="BZ104" s="1733">
        <v>1</v>
      </c>
      <c r="CA104" s="1734">
        <v>0</v>
      </c>
      <c r="CB104" s="1735">
        <v>0</v>
      </c>
      <c r="CC104" s="1736">
        <v>0</v>
      </c>
      <c r="CD104" s="1734">
        <v>1.7000000000000001E-2</v>
      </c>
      <c r="CE104" s="1735">
        <v>2.8000000000000001E-2</v>
      </c>
      <c r="CF104" s="1736">
        <v>0.107</v>
      </c>
      <c r="CG104" s="1737">
        <v>6.0000000000000001E-3</v>
      </c>
      <c r="CH104" s="1738">
        <v>3.1E-2</v>
      </c>
      <c r="CI104" s="1737">
        <v>1.0999999999999999E-2</v>
      </c>
      <c r="CJ104" s="1739">
        <v>4.9000000000000002E-2</v>
      </c>
      <c r="CK104" s="1738">
        <v>6.6000000000000003E-2</v>
      </c>
      <c r="CL104" s="1740">
        <v>0.315</v>
      </c>
    </row>
    <row r="105" spans="1:90" s="1728" customFormat="1" ht="13.5" customHeight="1">
      <c r="A105" s="3842"/>
      <c r="B105" s="3843"/>
      <c r="C105" s="1741">
        <v>2</v>
      </c>
      <c r="D105" s="1742">
        <v>0</v>
      </c>
      <c r="E105" s="1743">
        <v>0</v>
      </c>
      <c r="F105" s="1744">
        <v>0</v>
      </c>
      <c r="G105" s="1742">
        <v>6.6000000000000003E-2</v>
      </c>
      <c r="H105" s="1743">
        <v>8.2000000000000003E-2</v>
      </c>
      <c r="I105" s="1744">
        <v>4.1000000000000002E-2</v>
      </c>
      <c r="J105" s="1745">
        <v>1.4999999999999999E-2</v>
      </c>
      <c r="K105" s="1746">
        <v>1.7999999999999999E-2</v>
      </c>
      <c r="L105" s="1745">
        <v>2.4E-2</v>
      </c>
      <c r="M105" s="1747">
        <v>6.9000000000000006E-2</v>
      </c>
      <c r="N105" s="1746">
        <v>6.0000000000000001E-3</v>
      </c>
      <c r="O105" s="1748">
        <v>0.32100000000000001</v>
      </c>
      <c r="Q105" s="3825"/>
      <c r="R105" s="1741">
        <v>2</v>
      </c>
      <c r="S105" s="1742">
        <v>0</v>
      </c>
      <c r="T105" s="1743">
        <v>0</v>
      </c>
      <c r="U105" s="1744">
        <v>0</v>
      </c>
      <c r="V105" s="1742">
        <v>7.0999999999999994E-2</v>
      </c>
      <c r="W105" s="1743">
        <v>7.0999999999999994E-2</v>
      </c>
      <c r="X105" s="1744">
        <v>4.1000000000000002E-2</v>
      </c>
      <c r="Y105" s="1745">
        <v>1.4E-2</v>
      </c>
      <c r="Z105" s="1746">
        <v>1.7999999999999999E-2</v>
      </c>
      <c r="AA105" s="1745">
        <v>2.4E-2</v>
      </c>
      <c r="AB105" s="1747">
        <v>6.9000000000000006E-2</v>
      </c>
      <c r="AC105" s="1746">
        <v>7.0000000000000001E-3</v>
      </c>
      <c r="AD105" s="1748">
        <v>0.314</v>
      </c>
      <c r="AF105" s="3825"/>
      <c r="AG105" s="1741">
        <v>2</v>
      </c>
      <c r="AH105" s="1742">
        <v>0</v>
      </c>
      <c r="AI105" s="1743">
        <v>0</v>
      </c>
      <c r="AJ105" s="1744">
        <v>0</v>
      </c>
      <c r="AK105" s="1742">
        <v>0.06</v>
      </c>
      <c r="AL105" s="1743">
        <v>7.1999999999999995E-2</v>
      </c>
      <c r="AM105" s="1744">
        <v>4.5999999999999999E-2</v>
      </c>
      <c r="AN105" s="1745">
        <v>1.4E-2</v>
      </c>
      <c r="AO105" s="1746">
        <v>1.7000000000000001E-2</v>
      </c>
      <c r="AP105" s="1745">
        <v>2.4E-2</v>
      </c>
      <c r="AQ105" s="1747">
        <v>8.1000000000000003E-2</v>
      </c>
      <c r="AR105" s="1746">
        <v>8.0000000000000002E-3</v>
      </c>
      <c r="AS105" s="1748">
        <v>0.32300000000000001</v>
      </c>
      <c r="AU105" s="3825"/>
      <c r="AV105" s="1741">
        <v>2</v>
      </c>
      <c r="AW105" s="1742">
        <v>0</v>
      </c>
      <c r="AX105" s="1743">
        <v>0</v>
      </c>
      <c r="AY105" s="1744">
        <v>0</v>
      </c>
      <c r="AZ105" s="1742">
        <v>0.05</v>
      </c>
      <c r="BA105" s="1743">
        <v>6.2E-2</v>
      </c>
      <c r="BB105" s="1744">
        <v>4.2999999999999997E-2</v>
      </c>
      <c r="BC105" s="1745">
        <v>1.2999999999999999E-2</v>
      </c>
      <c r="BD105" s="1746">
        <v>1.9E-2</v>
      </c>
      <c r="BE105" s="1745">
        <v>2.1999999999999999E-2</v>
      </c>
      <c r="BF105" s="1747">
        <v>7.9000000000000001E-2</v>
      </c>
      <c r="BG105" s="1746">
        <v>8.0000000000000002E-3</v>
      </c>
      <c r="BH105" s="1748">
        <v>0.29699999999999999</v>
      </c>
      <c r="BJ105" s="3825"/>
      <c r="BK105" s="1741">
        <v>2</v>
      </c>
      <c r="BL105" s="1742">
        <v>0</v>
      </c>
      <c r="BM105" s="1743">
        <v>0</v>
      </c>
      <c r="BN105" s="1744">
        <v>0</v>
      </c>
      <c r="BO105" s="1742">
        <v>4.1000000000000002E-2</v>
      </c>
      <c r="BP105" s="1743">
        <v>6.0999999999999999E-2</v>
      </c>
      <c r="BQ105" s="1744">
        <v>4.2000000000000003E-2</v>
      </c>
      <c r="BR105" s="1745">
        <v>1.2E-2</v>
      </c>
      <c r="BS105" s="1746">
        <v>1.7999999999999999E-2</v>
      </c>
      <c r="BT105" s="1745">
        <v>0.02</v>
      </c>
      <c r="BU105" s="1747">
        <v>7.8E-2</v>
      </c>
      <c r="BV105" s="1746">
        <v>8.0000000000000002E-3</v>
      </c>
      <c r="BW105" s="1748">
        <v>0.27900000000000003</v>
      </c>
      <c r="BY105" s="3825"/>
      <c r="BZ105" s="1741">
        <v>2</v>
      </c>
      <c r="CA105" s="1742">
        <v>0</v>
      </c>
      <c r="CB105" s="1743">
        <v>0</v>
      </c>
      <c r="CC105" s="1744">
        <v>0</v>
      </c>
      <c r="CD105" s="1742">
        <v>3.4000000000000002E-2</v>
      </c>
      <c r="CE105" s="1743">
        <v>5.7000000000000002E-2</v>
      </c>
      <c r="CF105" s="1744">
        <v>4.5999999999999999E-2</v>
      </c>
      <c r="CG105" s="1745">
        <v>1.0999999999999999E-2</v>
      </c>
      <c r="CH105" s="1746">
        <v>1.7999999999999999E-2</v>
      </c>
      <c r="CI105" s="1745">
        <v>1.9E-2</v>
      </c>
      <c r="CJ105" s="1747">
        <v>7.5999999999999998E-2</v>
      </c>
      <c r="CK105" s="1746">
        <v>0.01</v>
      </c>
      <c r="CL105" s="1748">
        <v>0.27100000000000002</v>
      </c>
    </row>
    <row r="106" spans="1:90" s="1728" customFormat="1" ht="13.5" customHeight="1">
      <c r="A106" s="3842"/>
      <c r="B106" s="3843"/>
      <c r="C106" s="1741">
        <v>3</v>
      </c>
      <c r="D106" s="1742">
        <v>0</v>
      </c>
      <c r="E106" s="1743">
        <v>0</v>
      </c>
      <c r="F106" s="1744">
        <v>0</v>
      </c>
      <c r="G106" s="1742">
        <v>6.7000000000000004E-2</v>
      </c>
      <c r="H106" s="1743">
        <v>5.5E-2</v>
      </c>
      <c r="I106" s="1744">
        <v>2.1999999999999999E-2</v>
      </c>
      <c r="J106" s="1745">
        <v>1.0999999999999999E-2</v>
      </c>
      <c r="K106" s="1746">
        <v>7.0000000000000001E-3</v>
      </c>
      <c r="L106" s="1745">
        <v>2E-3</v>
      </c>
      <c r="M106" s="1747">
        <v>8.0000000000000002E-3</v>
      </c>
      <c r="N106" s="1746">
        <v>1E-3</v>
      </c>
      <c r="O106" s="1748">
        <v>0.17499999999999999</v>
      </c>
      <c r="Q106" s="3825"/>
      <c r="R106" s="1741">
        <v>3</v>
      </c>
      <c r="S106" s="1742">
        <v>0</v>
      </c>
      <c r="T106" s="1743">
        <v>0</v>
      </c>
      <c r="U106" s="1744">
        <v>0</v>
      </c>
      <c r="V106" s="1742">
        <v>6.7000000000000004E-2</v>
      </c>
      <c r="W106" s="1743">
        <v>6.0999999999999999E-2</v>
      </c>
      <c r="X106" s="1744">
        <v>2.3E-2</v>
      </c>
      <c r="Y106" s="1745">
        <v>1.2E-2</v>
      </c>
      <c r="Z106" s="1746">
        <v>7.0000000000000001E-3</v>
      </c>
      <c r="AA106" s="1745">
        <v>2E-3</v>
      </c>
      <c r="AB106" s="1747">
        <v>8.9999999999999993E-3</v>
      </c>
      <c r="AC106" s="1746">
        <v>1E-3</v>
      </c>
      <c r="AD106" s="1748">
        <v>0.182</v>
      </c>
      <c r="AF106" s="3825"/>
      <c r="AG106" s="1741">
        <v>3</v>
      </c>
      <c r="AH106" s="1742">
        <v>0</v>
      </c>
      <c r="AI106" s="1743">
        <v>0</v>
      </c>
      <c r="AJ106" s="1744">
        <v>0</v>
      </c>
      <c r="AK106" s="1742">
        <v>7.5999999999999998E-2</v>
      </c>
      <c r="AL106" s="1743">
        <v>6.6000000000000003E-2</v>
      </c>
      <c r="AM106" s="1744">
        <v>2.4E-2</v>
      </c>
      <c r="AN106" s="1745">
        <v>1.2E-2</v>
      </c>
      <c r="AO106" s="1746">
        <v>8.0000000000000002E-3</v>
      </c>
      <c r="AP106" s="1745">
        <v>5.0000000000000001E-3</v>
      </c>
      <c r="AQ106" s="1747">
        <v>1.0999999999999999E-2</v>
      </c>
      <c r="AR106" s="1746">
        <v>1E-3</v>
      </c>
      <c r="AS106" s="1748">
        <v>0.20300000000000001</v>
      </c>
      <c r="AU106" s="3825"/>
      <c r="AV106" s="1741">
        <v>3</v>
      </c>
      <c r="AW106" s="1742">
        <v>0</v>
      </c>
      <c r="AX106" s="1743">
        <v>0</v>
      </c>
      <c r="AY106" s="1744">
        <v>0</v>
      </c>
      <c r="AZ106" s="1742">
        <v>8.5000000000000006E-2</v>
      </c>
      <c r="BA106" s="1743">
        <v>7.0999999999999994E-2</v>
      </c>
      <c r="BB106" s="1744">
        <v>2.5000000000000001E-2</v>
      </c>
      <c r="BC106" s="1745">
        <v>1.2E-2</v>
      </c>
      <c r="BD106" s="1746">
        <v>7.0000000000000001E-3</v>
      </c>
      <c r="BE106" s="1745">
        <v>7.0000000000000001E-3</v>
      </c>
      <c r="BF106" s="1747">
        <v>1.4999999999999999E-2</v>
      </c>
      <c r="BG106" s="1746">
        <v>2E-3</v>
      </c>
      <c r="BH106" s="1748">
        <v>0.224</v>
      </c>
      <c r="BJ106" s="3825"/>
      <c r="BK106" s="1741">
        <v>3</v>
      </c>
      <c r="BL106" s="1742">
        <v>0</v>
      </c>
      <c r="BM106" s="1743">
        <v>0</v>
      </c>
      <c r="BN106" s="1744">
        <v>0</v>
      </c>
      <c r="BO106" s="1742">
        <v>0.09</v>
      </c>
      <c r="BP106" s="1743">
        <v>7.3999999999999996E-2</v>
      </c>
      <c r="BQ106" s="1744">
        <v>2.5999999999999999E-2</v>
      </c>
      <c r="BR106" s="1745">
        <v>1.2999999999999999E-2</v>
      </c>
      <c r="BS106" s="1746">
        <v>8.9999999999999993E-3</v>
      </c>
      <c r="BT106" s="1745">
        <v>8.9999999999999993E-3</v>
      </c>
      <c r="BU106" s="1747">
        <v>1.7999999999999999E-2</v>
      </c>
      <c r="BV106" s="1746">
        <v>2E-3</v>
      </c>
      <c r="BW106" s="1748">
        <v>0.24099999999999999</v>
      </c>
      <c r="BY106" s="3825"/>
      <c r="BZ106" s="1741">
        <v>3</v>
      </c>
      <c r="CA106" s="1742">
        <v>0</v>
      </c>
      <c r="CB106" s="1743">
        <v>0</v>
      </c>
      <c r="CC106" s="1744">
        <v>0</v>
      </c>
      <c r="CD106" s="1742">
        <v>8.3000000000000004E-2</v>
      </c>
      <c r="CE106" s="1743">
        <v>7.3999999999999996E-2</v>
      </c>
      <c r="CF106" s="1744">
        <v>2.5999999999999999E-2</v>
      </c>
      <c r="CG106" s="1745">
        <v>1.2E-2</v>
      </c>
      <c r="CH106" s="1746">
        <v>8.9999999999999993E-3</v>
      </c>
      <c r="CI106" s="1745">
        <v>1.0999999999999999E-2</v>
      </c>
      <c r="CJ106" s="1747">
        <v>2.5000000000000001E-2</v>
      </c>
      <c r="CK106" s="1746">
        <v>2E-3</v>
      </c>
      <c r="CL106" s="1748">
        <v>0.24299999999999999</v>
      </c>
    </row>
    <row r="107" spans="1:90" s="1728" customFormat="1" ht="13.5" customHeight="1">
      <c r="A107" s="3842"/>
      <c r="B107" s="3843"/>
      <c r="C107" s="1741">
        <v>4</v>
      </c>
      <c r="D107" s="1742">
        <v>0</v>
      </c>
      <c r="E107" s="1743">
        <v>0</v>
      </c>
      <c r="F107" s="1744">
        <v>0</v>
      </c>
      <c r="G107" s="1742">
        <v>1.2999999999999999E-2</v>
      </c>
      <c r="H107" s="1743">
        <v>3.6999999999999998E-2</v>
      </c>
      <c r="I107" s="1744">
        <v>1.7000000000000001E-2</v>
      </c>
      <c r="J107" s="1745">
        <v>5.0000000000000001E-3</v>
      </c>
      <c r="K107" s="1746">
        <v>5.0000000000000001E-3</v>
      </c>
      <c r="L107" s="1745">
        <v>1E-3</v>
      </c>
      <c r="M107" s="1747">
        <v>2E-3</v>
      </c>
      <c r="N107" s="1746">
        <v>1E-3</v>
      </c>
      <c r="O107" s="1748">
        <v>0.08</v>
      </c>
      <c r="Q107" s="3825"/>
      <c r="R107" s="1741">
        <v>4</v>
      </c>
      <c r="S107" s="1742">
        <v>0</v>
      </c>
      <c r="T107" s="1743">
        <v>0</v>
      </c>
      <c r="U107" s="1744">
        <v>0</v>
      </c>
      <c r="V107" s="1742">
        <v>7.0000000000000001E-3</v>
      </c>
      <c r="W107" s="1743">
        <v>0.04</v>
      </c>
      <c r="X107" s="1744">
        <v>1.0999999999999999E-2</v>
      </c>
      <c r="Y107" s="1745">
        <v>5.0000000000000001E-3</v>
      </c>
      <c r="Z107" s="1746">
        <v>5.0000000000000001E-3</v>
      </c>
      <c r="AA107" s="1745">
        <v>1E-3</v>
      </c>
      <c r="AB107" s="1747">
        <v>2E-3</v>
      </c>
      <c r="AC107" s="1746">
        <v>1E-3</v>
      </c>
      <c r="AD107" s="1748">
        <v>7.0999999999999994E-2</v>
      </c>
      <c r="AF107" s="3825"/>
      <c r="AG107" s="1741">
        <v>4</v>
      </c>
      <c r="AH107" s="1742">
        <v>0</v>
      </c>
      <c r="AI107" s="1743">
        <v>0</v>
      </c>
      <c r="AJ107" s="1744">
        <v>0</v>
      </c>
      <c r="AK107" s="1742">
        <v>1.2E-2</v>
      </c>
      <c r="AL107" s="1743">
        <v>3.2000000000000001E-2</v>
      </c>
      <c r="AM107" s="1744">
        <v>1.2999999999999999E-2</v>
      </c>
      <c r="AN107" s="1745">
        <v>5.0000000000000001E-3</v>
      </c>
      <c r="AO107" s="1746">
        <v>4.0000000000000001E-3</v>
      </c>
      <c r="AP107" s="1745">
        <v>1E-3</v>
      </c>
      <c r="AQ107" s="1747">
        <v>3.0000000000000001E-3</v>
      </c>
      <c r="AR107" s="1746">
        <v>1E-3</v>
      </c>
      <c r="AS107" s="1748">
        <v>6.9000000000000006E-2</v>
      </c>
      <c r="AU107" s="3825"/>
      <c r="AV107" s="1741">
        <v>4</v>
      </c>
      <c r="AW107" s="1742">
        <v>0</v>
      </c>
      <c r="AX107" s="1743">
        <v>0</v>
      </c>
      <c r="AY107" s="1744">
        <v>0</v>
      </c>
      <c r="AZ107" s="1742">
        <v>1.7000000000000001E-2</v>
      </c>
      <c r="BA107" s="1743">
        <v>3.5000000000000003E-2</v>
      </c>
      <c r="BB107" s="1744">
        <v>1.4E-2</v>
      </c>
      <c r="BC107" s="1745">
        <v>5.0000000000000001E-3</v>
      </c>
      <c r="BD107" s="1746">
        <v>4.0000000000000001E-3</v>
      </c>
      <c r="BE107" s="1745">
        <v>1E-3</v>
      </c>
      <c r="BF107" s="1747">
        <v>4.0000000000000001E-3</v>
      </c>
      <c r="BG107" s="1746">
        <v>1E-3</v>
      </c>
      <c r="BH107" s="1748">
        <v>8.1000000000000003E-2</v>
      </c>
      <c r="BJ107" s="3825"/>
      <c r="BK107" s="1741">
        <v>4</v>
      </c>
      <c r="BL107" s="1742">
        <v>0</v>
      </c>
      <c r="BM107" s="1743">
        <v>0</v>
      </c>
      <c r="BN107" s="1744">
        <v>0</v>
      </c>
      <c r="BO107" s="1742">
        <v>2.3E-2</v>
      </c>
      <c r="BP107" s="1743">
        <v>3.7999999999999999E-2</v>
      </c>
      <c r="BQ107" s="1744">
        <v>1.4999999999999999E-2</v>
      </c>
      <c r="BR107" s="1745">
        <v>6.0000000000000001E-3</v>
      </c>
      <c r="BS107" s="1746">
        <v>4.0000000000000001E-3</v>
      </c>
      <c r="BT107" s="1745">
        <v>1E-3</v>
      </c>
      <c r="BU107" s="1747">
        <v>4.0000000000000001E-3</v>
      </c>
      <c r="BV107" s="1746">
        <v>1E-3</v>
      </c>
      <c r="BW107" s="1748">
        <v>9.2999999999999999E-2</v>
      </c>
      <c r="BY107" s="3825"/>
      <c r="BZ107" s="1741">
        <v>4</v>
      </c>
      <c r="CA107" s="1742">
        <v>0</v>
      </c>
      <c r="CB107" s="1743">
        <v>0</v>
      </c>
      <c r="CC107" s="1744">
        <v>0</v>
      </c>
      <c r="CD107" s="1742">
        <v>3.5999999999999997E-2</v>
      </c>
      <c r="CE107" s="1743">
        <v>4.2000000000000003E-2</v>
      </c>
      <c r="CF107" s="1744">
        <v>1.7000000000000001E-2</v>
      </c>
      <c r="CG107" s="1745">
        <v>7.0000000000000001E-3</v>
      </c>
      <c r="CH107" s="1746">
        <v>3.0000000000000001E-3</v>
      </c>
      <c r="CI107" s="1745">
        <v>2E-3</v>
      </c>
      <c r="CJ107" s="1747">
        <v>5.0000000000000001E-3</v>
      </c>
      <c r="CK107" s="1746">
        <v>1E-3</v>
      </c>
      <c r="CL107" s="1748">
        <v>0.113</v>
      </c>
    </row>
    <row r="108" spans="1:90" s="1728" customFormat="1" ht="13.5" customHeight="1">
      <c r="A108" s="3842"/>
      <c r="B108" s="3843"/>
      <c r="C108" s="1749">
        <v>5</v>
      </c>
      <c r="D108" s="1742">
        <v>0</v>
      </c>
      <c r="E108" s="1743">
        <v>0</v>
      </c>
      <c r="F108" s="1744">
        <v>0</v>
      </c>
      <c r="G108" s="1742">
        <v>0</v>
      </c>
      <c r="H108" s="1743">
        <v>5.0000000000000001E-3</v>
      </c>
      <c r="I108" s="1744">
        <v>6.0000000000000001E-3</v>
      </c>
      <c r="J108" s="1745">
        <v>1E-3</v>
      </c>
      <c r="K108" s="1746">
        <v>0</v>
      </c>
      <c r="L108" s="1745">
        <v>0</v>
      </c>
      <c r="M108" s="1747">
        <v>0</v>
      </c>
      <c r="N108" s="1746">
        <v>0</v>
      </c>
      <c r="O108" s="1748">
        <v>1.2E-2</v>
      </c>
      <c r="Q108" s="3825"/>
      <c r="R108" s="1749">
        <v>5</v>
      </c>
      <c r="S108" s="1742">
        <v>0</v>
      </c>
      <c r="T108" s="1743">
        <v>0</v>
      </c>
      <c r="U108" s="1744">
        <v>0</v>
      </c>
      <c r="V108" s="1742">
        <v>0</v>
      </c>
      <c r="W108" s="1743">
        <v>7.0000000000000001E-3</v>
      </c>
      <c r="X108" s="1744">
        <v>1.2999999999999999E-2</v>
      </c>
      <c r="Y108" s="1745">
        <v>1E-3</v>
      </c>
      <c r="Z108" s="1746">
        <v>0</v>
      </c>
      <c r="AA108" s="1745">
        <v>0</v>
      </c>
      <c r="AB108" s="1747">
        <v>0</v>
      </c>
      <c r="AC108" s="1746">
        <v>0</v>
      </c>
      <c r="AD108" s="1748">
        <v>2.1999999999999999E-2</v>
      </c>
      <c r="AF108" s="3825"/>
      <c r="AG108" s="1749">
        <v>5</v>
      </c>
      <c r="AH108" s="1742">
        <v>0</v>
      </c>
      <c r="AI108" s="1743">
        <v>0</v>
      </c>
      <c r="AJ108" s="1744">
        <v>0</v>
      </c>
      <c r="AK108" s="1742">
        <v>0</v>
      </c>
      <c r="AL108" s="1743">
        <v>2.1000000000000001E-2</v>
      </c>
      <c r="AM108" s="1744">
        <v>1.2999999999999999E-2</v>
      </c>
      <c r="AN108" s="1745">
        <v>2E-3</v>
      </c>
      <c r="AO108" s="1746">
        <v>2E-3</v>
      </c>
      <c r="AP108" s="1745">
        <v>0</v>
      </c>
      <c r="AQ108" s="1747">
        <v>1E-3</v>
      </c>
      <c r="AR108" s="1746">
        <v>1E-3</v>
      </c>
      <c r="AS108" s="1748">
        <v>3.9E-2</v>
      </c>
      <c r="AU108" s="3825"/>
      <c r="AV108" s="1749">
        <v>5</v>
      </c>
      <c r="AW108" s="1742">
        <v>0</v>
      </c>
      <c r="AX108" s="1743">
        <v>0</v>
      </c>
      <c r="AY108" s="1744">
        <v>0</v>
      </c>
      <c r="AZ108" s="1742">
        <v>0</v>
      </c>
      <c r="BA108" s="1743">
        <v>2.3E-2</v>
      </c>
      <c r="BB108" s="1744">
        <v>1.7000000000000001E-2</v>
      </c>
      <c r="BC108" s="1745">
        <v>2E-3</v>
      </c>
      <c r="BD108" s="1746">
        <v>3.0000000000000001E-3</v>
      </c>
      <c r="BE108" s="1745">
        <v>0</v>
      </c>
      <c r="BF108" s="1747">
        <v>1E-3</v>
      </c>
      <c r="BG108" s="1746">
        <v>1E-3</v>
      </c>
      <c r="BH108" s="1748">
        <v>4.5999999999999999E-2</v>
      </c>
      <c r="BJ108" s="3825"/>
      <c r="BK108" s="1749">
        <v>5</v>
      </c>
      <c r="BL108" s="1742">
        <v>0</v>
      </c>
      <c r="BM108" s="1743">
        <v>0</v>
      </c>
      <c r="BN108" s="1744">
        <v>0</v>
      </c>
      <c r="BO108" s="1742">
        <v>0</v>
      </c>
      <c r="BP108" s="1743">
        <v>2.4E-2</v>
      </c>
      <c r="BQ108" s="1744">
        <v>1.7999999999999999E-2</v>
      </c>
      <c r="BR108" s="1745">
        <v>2E-3</v>
      </c>
      <c r="BS108" s="1746">
        <v>3.0000000000000001E-3</v>
      </c>
      <c r="BT108" s="1745">
        <v>0</v>
      </c>
      <c r="BU108" s="1747">
        <v>1E-3</v>
      </c>
      <c r="BV108" s="1746">
        <v>1E-3</v>
      </c>
      <c r="BW108" s="1748">
        <v>4.9000000000000002E-2</v>
      </c>
      <c r="BY108" s="3825"/>
      <c r="BZ108" s="1749">
        <v>5</v>
      </c>
      <c r="CA108" s="1742">
        <v>0</v>
      </c>
      <c r="CB108" s="1743">
        <v>0</v>
      </c>
      <c r="CC108" s="1744">
        <v>0</v>
      </c>
      <c r="CD108" s="1742">
        <v>2E-3</v>
      </c>
      <c r="CE108" s="1743">
        <v>2.5999999999999999E-2</v>
      </c>
      <c r="CF108" s="1744">
        <v>0.02</v>
      </c>
      <c r="CG108" s="1745">
        <v>3.0000000000000001E-3</v>
      </c>
      <c r="CH108" s="1746">
        <v>3.0000000000000001E-3</v>
      </c>
      <c r="CI108" s="1745">
        <v>0</v>
      </c>
      <c r="CJ108" s="1747">
        <v>1E-3</v>
      </c>
      <c r="CK108" s="1746">
        <v>1E-3</v>
      </c>
      <c r="CL108" s="1748">
        <v>5.6000000000000001E-2</v>
      </c>
    </row>
    <row r="109" spans="1:90" s="1728" customFormat="1" ht="13.5" customHeight="1" thickBot="1">
      <c r="A109" s="3844"/>
      <c r="B109" s="3845"/>
      <c r="C109" s="1750" t="s">
        <v>1422</v>
      </c>
      <c r="D109" s="1751">
        <v>0</v>
      </c>
      <c r="E109" s="1752">
        <v>0</v>
      </c>
      <c r="F109" s="1753">
        <v>0</v>
      </c>
      <c r="G109" s="1751">
        <v>0.17</v>
      </c>
      <c r="H109" s="1752">
        <v>0.22800000000000001</v>
      </c>
      <c r="I109" s="1753">
        <v>0.21099999999999999</v>
      </c>
      <c r="J109" s="1754">
        <v>4.1000000000000002E-2</v>
      </c>
      <c r="K109" s="1755">
        <v>6.8000000000000005E-2</v>
      </c>
      <c r="L109" s="1754">
        <v>4.2000000000000003E-2</v>
      </c>
      <c r="M109" s="1756">
        <v>0.158</v>
      </c>
      <c r="N109" s="1755">
        <v>8.1000000000000003E-2</v>
      </c>
      <c r="O109" s="1757">
        <v>1</v>
      </c>
      <c r="Q109" s="3826"/>
      <c r="R109" s="1750" t="s">
        <v>1422</v>
      </c>
      <c r="S109" s="1751">
        <v>0</v>
      </c>
      <c r="T109" s="1752">
        <v>0</v>
      </c>
      <c r="U109" s="1753">
        <v>0</v>
      </c>
      <c r="V109" s="1751">
        <v>0.16900000000000001</v>
      </c>
      <c r="W109" s="1752">
        <v>0.22800000000000001</v>
      </c>
      <c r="X109" s="1753">
        <v>0.21299999999999999</v>
      </c>
      <c r="Y109" s="1754">
        <v>4.1000000000000002E-2</v>
      </c>
      <c r="Z109" s="1755">
        <v>6.8000000000000005E-2</v>
      </c>
      <c r="AA109" s="1754">
        <v>4.2999999999999997E-2</v>
      </c>
      <c r="AB109" s="1756">
        <v>0.158</v>
      </c>
      <c r="AC109" s="1755">
        <v>8.1000000000000003E-2</v>
      </c>
      <c r="AD109" s="1757">
        <v>1</v>
      </c>
      <c r="AF109" s="3826"/>
      <c r="AG109" s="1750" t="s">
        <v>1422</v>
      </c>
      <c r="AH109" s="1751">
        <v>0</v>
      </c>
      <c r="AI109" s="1752">
        <v>0</v>
      </c>
      <c r="AJ109" s="1753">
        <v>0</v>
      </c>
      <c r="AK109" s="1751">
        <v>0.17100000000000001</v>
      </c>
      <c r="AL109" s="1752">
        <v>0.22700000000000001</v>
      </c>
      <c r="AM109" s="1753">
        <v>0.21299999999999999</v>
      </c>
      <c r="AN109" s="1754">
        <v>0.04</v>
      </c>
      <c r="AO109" s="1755">
        <v>6.7000000000000004E-2</v>
      </c>
      <c r="AP109" s="1754">
        <v>4.2999999999999997E-2</v>
      </c>
      <c r="AQ109" s="1756">
        <v>0.158</v>
      </c>
      <c r="AR109" s="1755">
        <v>8.1000000000000003E-2</v>
      </c>
      <c r="AS109" s="1757">
        <v>1</v>
      </c>
      <c r="AU109" s="3826"/>
      <c r="AV109" s="1750" t="s">
        <v>1422</v>
      </c>
      <c r="AW109" s="1751">
        <v>0</v>
      </c>
      <c r="AX109" s="1752">
        <v>0</v>
      </c>
      <c r="AY109" s="1753">
        <v>0</v>
      </c>
      <c r="AZ109" s="1751">
        <v>0.17199999999999999</v>
      </c>
      <c r="BA109" s="1752">
        <v>0.22800000000000001</v>
      </c>
      <c r="BB109" s="1753">
        <v>0.215</v>
      </c>
      <c r="BC109" s="1754">
        <v>0.04</v>
      </c>
      <c r="BD109" s="1755">
        <v>6.6000000000000003E-2</v>
      </c>
      <c r="BE109" s="1754">
        <v>4.2000000000000003E-2</v>
      </c>
      <c r="BF109" s="1756">
        <v>0.157</v>
      </c>
      <c r="BG109" s="1755">
        <v>8.1000000000000003E-2</v>
      </c>
      <c r="BH109" s="1757">
        <v>1</v>
      </c>
      <c r="BJ109" s="3826"/>
      <c r="BK109" s="1750" t="s">
        <v>1422</v>
      </c>
      <c r="BL109" s="1751">
        <v>0</v>
      </c>
      <c r="BM109" s="1752">
        <v>0</v>
      </c>
      <c r="BN109" s="1753">
        <v>0</v>
      </c>
      <c r="BO109" s="1751">
        <v>0.17299999999999999</v>
      </c>
      <c r="BP109" s="1752">
        <v>0.22700000000000001</v>
      </c>
      <c r="BQ109" s="1753">
        <v>0.216</v>
      </c>
      <c r="BR109" s="1754">
        <v>3.9E-2</v>
      </c>
      <c r="BS109" s="1755">
        <v>6.6000000000000003E-2</v>
      </c>
      <c r="BT109" s="1754">
        <v>4.2999999999999997E-2</v>
      </c>
      <c r="BU109" s="1756">
        <v>0.156</v>
      </c>
      <c r="BV109" s="1755">
        <v>8.1000000000000003E-2</v>
      </c>
      <c r="BW109" s="1757">
        <v>1</v>
      </c>
      <c r="BY109" s="3826"/>
      <c r="BZ109" s="1750" t="s">
        <v>1422</v>
      </c>
      <c r="CA109" s="1751">
        <v>0</v>
      </c>
      <c r="CB109" s="1752">
        <v>0</v>
      </c>
      <c r="CC109" s="1753">
        <v>0</v>
      </c>
      <c r="CD109" s="1751">
        <v>0.17299999999999999</v>
      </c>
      <c r="CE109" s="1752">
        <v>0.22700000000000001</v>
      </c>
      <c r="CF109" s="1753">
        <v>0.217</v>
      </c>
      <c r="CG109" s="1754">
        <v>3.9E-2</v>
      </c>
      <c r="CH109" s="1755">
        <v>6.6000000000000003E-2</v>
      </c>
      <c r="CI109" s="1754">
        <v>4.2999999999999997E-2</v>
      </c>
      <c r="CJ109" s="1756">
        <v>0.155</v>
      </c>
      <c r="CK109" s="1755">
        <v>8.1000000000000003E-2</v>
      </c>
      <c r="CL109" s="1757">
        <v>1</v>
      </c>
    </row>
    <row r="110" spans="1:90" ht="13.5" customHeight="1" thickTop="1" thickBot="1"/>
    <row r="111" spans="1:90" ht="13.5" customHeight="1" thickBot="1">
      <c r="C111" s="640" t="s">
        <v>1489</v>
      </c>
      <c r="R111" s="640" t="s">
        <v>1489</v>
      </c>
      <c r="AG111" s="640" t="s">
        <v>1489</v>
      </c>
      <c r="AV111" s="640" t="s">
        <v>1489</v>
      </c>
      <c r="BK111" s="640" t="s">
        <v>1489</v>
      </c>
      <c r="BZ111" s="640" t="s">
        <v>1489</v>
      </c>
    </row>
  </sheetData>
  <sheetProtection sheet="1" objects="1" scenarios="1"/>
  <mergeCells count="138">
    <mergeCell ref="E6:S6"/>
    <mergeCell ref="A7:B7"/>
    <mergeCell ref="A8:B8"/>
    <mergeCell ref="AG24:AG25"/>
    <mergeCell ref="AH24:AJ24"/>
    <mergeCell ref="AK24:AM24"/>
    <mergeCell ref="AN24:AO24"/>
    <mergeCell ref="AD24:AD25"/>
    <mergeCell ref="BY98:BY103"/>
    <mergeCell ref="BY92:BY97"/>
    <mergeCell ref="BY32:BY37"/>
    <mergeCell ref="BY68:BY73"/>
    <mergeCell ref="BY50:BY55"/>
    <mergeCell ref="BY38:BY43"/>
    <mergeCell ref="BY86:BY91"/>
    <mergeCell ref="BY80:BY85"/>
    <mergeCell ref="BY74:BY79"/>
    <mergeCell ref="BY62:BY67"/>
    <mergeCell ref="BJ68:BJ73"/>
    <mergeCell ref="BJ86:BJ91"/>
    <mergeCell ref="AU98:AU103"/>
    <mergeCell ref="AU92:AU97"/>
    <mergeCell ref="AU74:AU79"/>
    <mergeCell ref="AU86:AU91"/>
    <mergeCell ref="BY104:BY109"/>
    <mergeCell ref="A24:A25"/>
    <mergeCell ref="C24:C25"/>
    <mergeCell ref="D24:F24"/>
    <mergeCell ref="G24:I24"/>
    <mergeCell ref="J24:K24"/>
    <mergeCell ref="BY44:BY49"/>
    <mergeCell ref="BJ56:BJ61"/>
    <mergeCell ref="AU68:AU73"/>
    <mergeCell ref="AU56:AU61"/>
    <mergeCell ref="AU80:AU85"/>
    <mergeCell ref="Q32:Q37"/>
    <mergeCell ref="BW24:BW25"/>
    <mergeCell ref="BH24:BH25"/>
    <mergeCell ref="BJ24:BJ25"/>
    <mergeCell ref="BK24:BK25"/>
    <mergeCell ref="BL24:BN24"/>
    <mergeCell ref="BT24:BV24"/>
    <mergeCell ref="Q24:Q25"/>
    <mergeCell ref="R24:R25"/>
    <mergeCell ref="S24:U24"/>
    <mergeCell ref="V24:X24"/>
    <mergeCell ref="Y24:Z24"/>
    <mergeCell ref="AA24:AC24"/>
    <mergeCell ref="BJ104:BJ109"/>
    <mergeCell ref="BJ98:BJ103"/>
    <mergeCell ref="BJ92:BJ97"/>
    <mergeCell ref="BJ80:BJ85"/>
    <mergeCell ref="BJ74:BJ79"/>
    <mergeCell ref="BJ62:BJ67"/>
    <mergeCell ref="A104:B109"/>
    <mergeCell ref="A80:B85"/>
    <mergeCell ref="A98:B103"/>
    <mergeCell ref="A74:B79"/>
    <mergeCell ref="Q80:Q85"/>
    <mergeCell ref="AF104:AF109"/>
    <mergeCell ref="AU50:AU55"/>
    <mergeCell ref="Q56:Q61"/>
    <mergeCell ref="A68:B73"/>
    <mergeCell ref="Q98:Q103"/>
    <mergeCell ref="Q104:Q109"/>
    <mergeCell ref="AF56:AF61"/>
    <mergeCell ref="AF62:AF67"/>
    <mergeCell ref="AF68:AF73"/>
    <mergeCell ref="AF74:AF79"/>
    <mergeCell ref="AF80:AF85"/>
    <mergeCell ref="AU104:AU109"/>
    <mergeCell ref="AF98:AF103"/>
    <mergeCell ref="Q92:Q97"/>
    <mergeCell ref="AF92:AF97"/>
    <mergeCell ref="A92:B97"/>
    <mergeCell ref="AU62:AU67"/>
    <mergeCell ref="A10:B10"/>
    <mergeCell ref="A11:B11"/>
    <mergeCell ref="A12:B12"/>
    <mergeCell ref="Q86:Q91"/>
    <mergeCell ref="Q62:Q67"/>
    <mergeCell ref="Q68:Q73"/>
    <mergeCell ref="Q74:Q79"/>
    <mergeCell ref="AF86:AF91"/>
    <mergeCell ref="AF50:AF55"/>
    <mergeCell ref="AF24:AF25"/>
    <mergeCell ref="AF44:AF49"/>
    <mergeCell ref="Q26:Q31"/>
    <mergeCell ref="AF26:AF31"/>
    <mergeCell ref="Q38:Q43"/>
    <mergeCell ref="AF32:AF37"/>
    <mergeCell ref="AF38:AF43"/>
    <mergeCell ref="Q44:Q49"/>
    <mergeCell ref="A86:B91"/>
    <mergeCell ref="A50:B55"/>
    <mergeCell ref="Q50:Q55"/>
    <mergeCell ref="BJ1:BW1"/>
    <mergeCell ref="BY1:CL1"/>
    <mergeCell ref="D1:O1"/>
    <mergeCell ref="Q1:AD1"/>
    <mergeCell ref="AF1:AS1"/>
    <mergeCell ref="AU1:BH1"/>
    <mergeCell ref="A56:B61"/>
    <mergeCell ref="A62:B67"/>
    <mergeCell ref="L24:N24"/>
    <mergeCell ref="O24:O25"/>
    <mergeCell ref="A26:B31"/>
    <mergeCell ref="A32:B37"/>
    <mergeCell ref="A44:B49"/>
    <mergeCell ref="BY56:BY61"/>
    <mergeCell ref="BJ50:BJ55"/>
    <mergeCell ref="BJ26:BJ31"/>
    <mergeCell ref="BJ44:BJ49"/>
    <mergeCell ref="BY26:BY31"/>
    <mergeCell ref="AU44:AU49"/>
    <mergeCell ref="AU26:AU31"/>
    <mergeCell ref="BJ38:BJ43"/>
    <mergeCell ref="BJ32:BJ37"/>
    <mergeCell ref="AU38:AU43"/>
    <mergeCell ref="AU32:AU37"/>
    <mergeCell ref="BE24:BG24"/>
    <mergeCell ref="AP24:AR24"/>
    <mergeCell ref="AS24:AS25"/>
    <mergeCell ref="AU24:AU25"/>
    <mergeCell ref="AV24:AV25"/>
    <mergeCell ref="AW24:AY24"/>
    <mergeCell ref="A38:B43"/>
    <mergeCell ref="AZ24:BB24"/>
    <mergeCell ref="BC24:BD24"/>
    <mergeCell ref="BO24:BQ24"/>
    <mergeCell ref="BR24:BS24"/>
    <mergeCell ref="CG24:CH24"/>
    <mergeCell ref="CI24:CK24"/>
    <mergeCell ref="CL24:CL25"/>
    <mergeCell ref="BY24:BY25"/>
    <mergeCell ref="BZ24:BZ25"/>
    <mergeCell ref="CA24:CC24"/>
    <mergeCell ref="CD24:CF24"/>
  </mergeCells>
  <phoneticPr fontId="8" type="noConversion"/>
  <hyperlinks>
    <hyperlink ref="C111" location="'Total - Traffic %'!D26" tooltip="Top left of this page" display="Top"/>
    <hyperlink ref="R111" location="'Total - Traffic %'!AD26" tooltip="Top of this table" display="Top"/>
    <hyperlink ref="AG111" location="'Total - Traffic %'!AS26" tooltip="Top of this table" display="Top"/>
    <hyperlink ref="AV111" location="'Total - Traffic %'!BH26" tooltip="Top of this table" display="Top"/>
    <hyperlink ref="BK111" location="'Total - Traffic %'!BW26" tooltip="Top of this table" display="Top"/>
    <hyperlink ref="BZ111" location="'Total - Traffic %'!CL26" tooltip="Top of this table" display="Top"/>
    <hyperlink ref="A18" location="'Total - Traffic %'!D1" tooltip="2010" display="'Total - Traffic %'!D1"/>
    <hyperlink ref="B18" location="'Total - Traffic %'!Q1" tooltip="2015" display="'Total - Traffic %'!Q1"/>
    <hyperlink ref="A19" location="'Total - Traffic %'!AF1" tooltip="2020" display="'Total - Traffic %'!AF1"/>
    <hyperlink ref="B19" location="'Total - Traffic %'!AU1" tooltip="2025" display="'Total - Traffic %'!AU1"/>
    <hyperlink ref="A20" location="'Total - Traffic %'!BJ1" tooltip="2030" display="'Total - Traffic %'!BJ1"/>
    <hyperlink ref="B20" location="'Total - Traffic %'!BY1" tooltip="2035" display="'Total - Traffic %'!BY1"/>
    <hyperlink ref="A11" location="Contents!A1" display="Contents"/>
    <hyperlink ref="A11:B11" r:id="rId1" display="WebTAG Unit 3.13.2"/>
    <hyperlink ref="A10" location="Contents!A1" display="Contents"/>
    <hyperlink ref="A10:B10" location="Contents!A1" tooltip="Contents page" display="Contents"/>
  </hyperlinks>
  <pageMargins left="0.75" right="0.75" top="1" bottom="1" header="0.5" footer="0.5"/>
  <pageSetup paperSize="9" orientation="portrait" r:id="rId2"/>
  <headerFooter alignWithMargins="0"/>
  <drawing r:id="rId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indexed="17"/>
    <pageSetUpPr fitToPage="1"/>
  </sheetPr>
  <dimension ref="A1:CQ129"/>
  <sheetViews>
    <sheetView showGridLines="0" zoomScale="85" zoomScaleNormal="85" workbookViewId="0">
      <selection activeCell="C15" sqref="C15"/>
    </sheetView>
  </sheetViews>
  <sheetFormatPr defaultColWidth="12.88671875" defaultRowHeight="13.5" customHeight="1"/>
  <cols>
    <col min="1" max="16384" width="12.88671875" style="1327"/>
  </cols>
  <sheetData>
    <row r="1" spans="1:95" s="3471" customFormat="1" ht="54.9" customHeight="1">
      <c r="A1" s="3473"/>
      <c r="C1" s="3473"/>
      <c r="D1" s="3827"/>
      <c r="E1" s="3689"/>
      <c r="F1" s="3689"/>
      <c r="G1" s="3689"/>
      <c r="H1" s="3689"/>
      <c r="I1" s="3689"/>
      <c r="J1" s="3689"/>
      <c r="K1" s="3689"/>
      <c r="L1" s="3689"/>
      <c r="M1" s="3689"/>
      <c r="N1" s="3689"/>
      <c r="O1" s="3689"/>
      <c r="Q1" s="3821"/>
      <c r="R1" s="3821"/>
      <c r="S1" s="3821"/>
      <c r="T1" s="3821"/>
      <c r="U1" s="3821"/>
      <c r="V1" s="3821"/>
      <c r="W1" s="3821"/>
      <c r="X1" s="3821"/>
      <c r="Y1" s="3821"/>
      <c r="Z1" s="3821"/>
      <c r="AA1" s="3821"/>
      <c r="AB1" s="3821"/>
      <c r="AC1" s="3821"/>
      <c r="AD1" s="3821"/>
      <c r="AE1" s="3821"/>
      <c r="AG1" s="3821"/>
      <c r="AH1" s="3821"/>
      <c r="AI1" s="3821"/>
      <c r="AJ1" s="3821"/>
      <c r="AK1" s="3821"/>
      <c r="AL1" s="3821"/>
      <c r="AM1" s="3821"/>
      <c r="AN1" s="3821"/>
      <c r="AO1" s="3821"/>
      <c r="AP1" s="3821"/>
      <c r="AQ1" s="3821"/>
      <c r="AR1" s="3821"/>
      <c r="AS1" s="3821"/>
      <c r="AT1" s="3821"/>
      <c r="AU1" s="3821"/>
      <c r="AW1" s="3821"/>
      <c r="AX1" s="3821"/>
      <c r="AY1" s="3821"/>
      <c r="AZ1" s="3821"/>
      <c r="BA1" s="3821"/>
      <c r="BB1" s="3821"/>
      <c r="BC1" s="3821"/>
      <c r="BD1" s="3821"/>
      <c r="BE1" s="3821"/>
      <c r="BF1" s="3821"/>
      <c r="BG1" s="3821"/>
      <c r="BH1" s="3821"/>
      <c r="BI1" s="3821"/>
      <c r="BJ1" s="3821"/>
      <c r="BK1" s="3821"/>
      <c r="BM1" s="3821"/>
      <c r="BN1" s="3821"/>
      <c r="BO1" s="3821"/>
      <c r="BP1" s="3821"/>
      <c r="BQ1" s="3821"/>
      <c r="BR1" s="3821"/>
      <c r="BS1" s="3821"/>
      <c r="BT1" s="3821"/>
      <c r="BU1" s="3821"/>
      <c r="BV1" s="3821"/>
      <c r="BW1" s="3821"/>
      <c r="BX1" s="3821"/>
      <c r="BY1" s="3821"/>
      <c r="BZ1" s="3821"/>
      <c r="CA1" s="3821"/>
      <c r="CC1" s="3821"/>
      <c r="CD1" s="3821"/>
      <c r="CE1" s="3821"/>
      <c r="CF1" s="3821"/>
      <c r="CG1" s="3821"/>
      <c r="CH1" s="3821"/>
      <c r="CI1" s="3821"/>
      <c r="CJ1" s="3821"/>
      <c r="CK1" s="3821"/>
      <c r="CL1" s="3821"/>
      <c r="CM1" s="3821"/>
      <c r="CN1" s="3821"/>
      <c r="CO1" s="3821"/>
      <c r="CP1" s="3821"/>
      <c r="CQ1" s="3821"/>
    </row>
    <row r="2" spans="1:95" s="262" customFormat="1" ht="5.0999999999999996" customHeight="1">
      <c r="D2" s="260"/>
      <c r="F2" s="260"/>
      <c r="I2" s="260"/>
      <c r="J2" s="260"/>
    </row>
    <row r="3" spans="1:95" s="262" customFormat="1" ht="20.100000000000001" customHeight="1">
      <c r="A3" s="262" t="s">
        <v>2319</v>
      </c>
      <c r="B3" s="1717"/>
      <c r="C3" s="1718"/>
      <c r="D3" s="271"/>
      <c r="E3" s="260"/>
      <c r="F3" s="261"/>
      <c r="J3" s="260"/>
    </row>
    <row r="4" spans="1:95" s="3472" customFormat="1" ht="20.100000000000001" customHeight="1" thickBot="1">
      <c r="A4" s="1719" t="s">
        <v>1280</v>
      </c>
      <c r="B4" s="263"/>
      <c r="C4" s="263"/>
      <c r="D4" s="1720"/>
      <c r="E4" s="263"/>
      <c r="F4" s="263"/>
      <c r="G4" s="1720"/>
      <c r="H4" s="1720"/>
      <c r="I4" s="263"/>
      <c r="J4" s="263"/>
      <c r="K4" s="263"/>
      <c r="L4" s="263"/>
      <c r="M4" s="263"/>
      <c r="N4" s="263"/>
      <c r="O4" s="263"/>
      <c r="P4" s="263"/>
      <c r="Q4" s="263"/>
      <c r="R4" s="263"/>
      <c r="S4" s="263"/>
    </row>
    <row r="5" spans="1:95" s="3471" customFormat="1" ht="9.9" customHeight="1" thickTop="1" thickBot="1">
      <c r="C5" s="1393"/>
      <c r="E5" s="1721"/>
      <c r="G5" s="3473"/>
      <c r="H5" s="3473"/>
      <c r="J5" s="3472"/>
    </row>
    <row r="6" spans="1:95" s="3471"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95" s="3471" customFormat="1" ht="13.5" customHeight="1">
      <c r="A7" s="3636" t="str">
        <f>Audit!A12</f>
        <v>May 2019 v1.12</v>
      </c>
      <c r="B7" s="3637"/>
      <c r="D7" s="247"/>
      <c r="E7" s="1327" t="s">
        <v>1190</v>
      </c>
      <c r="F7" s="236"/>
      <c r="G7" s="3472"/>
      <c r="H7" s="3472"/>
      <c r="I7" s="3472"/>
      <c r="J7" s="3472"/>
      <c r="K7" s="3472"/>
      <c r="L7" s="3472"/>
      <c r="M7" s="3472"/>
      <c r="N7" s="3472"/>
      <c r="O7" s="3472"/>
      <c r="P7" s="3472"/>
      <c r="Q7" s="3472"/>
      <c r="R7" s="3472"/>
      <c r="S7" s="247"/>
    </row>
    <row r="8" spans="1:95" s="3471" customFormat="1" ht="13.5" customHeight="1">
      <c r="A8" s="3638">
        <f>Audit!C12</f>
        <v>43586</v>
      </c>
      <c r="B8" s="3637"/>
      <c r="C8" s="239"/>
      <c r="D8" s="272"/>
      <c r="E8" s="269" t="s">
        <v>189</v>
      </c>
      <c r="F8" s="266"/>
      <c r="G8" s="3472"/>
      <c r="H8" s="3472"/>
      <c r="I8" s="3472"/>
      <c r="J8" s="3472"/>
      <c r="K8" s="3472"/>
      <c r="L8" s="3472"/>
      <c r="M8" s="3472"/>
      <c r="N8" s="3472"/>
      <c r="O8" s="3472"/>
      <c r="P8" s="3472"/>
      <c r="Q8" s="3472"/>
      <c r="R8" s="3472"/>
      <c r="S8" s="247"/>
    </row>
    <row r="9" spans="1:95" s="3471" customFormat="1" ht="13.5" customHeight="1" thickBot="1">
      <c r="A9" s="169" t="s">
        <v>14</v>
      </c>
      <c r="B9" s="169"/>
      <c r="D9" s="272"/>
      <c r="F9" s="3472"/>
      <c r="G9" s="3472"/>
      <c r="H9" s="3472"/>
      <c r="I9" s="3472"/>
      <c r="J9" s="3472"/>
      <c r="K9" s="3472"/>
      <c r="L9" s="3472"/>
      <c r="M9" s="3472"/>
      <c r="N9" s="3472"/>
      <c r="O9" s="3472"/>
      <c r="P9" s="3472"/>
      <c r="Q9" s="3472"/>
      <c r="R9" s="3472"/>
      <c r="S9" s="247"/>
    </row>
    <row r="10" spans="1:95" s="3471" customFormat="1" ht="13.5" customHeight="1" thickBot="1">
      <c r="A10" s="3611" t="s">
        <v>1306</v>
      </c>
      <c r="B10" s="3612"/>
      <c r="D10" s="272"/>
      <c r="F10" s="3472"/>
      <c r="G10" s="3472"/>
      <c r="H10" s="3472"/>
      <c r="I10" s="3472"/>
      <c r="J10" s="3472"/>
      <c r="K10" s="3472"/>
      <c r="L10" s="3472"/>
      <c r="M10" s="3472"/>
      <c r="N10" s="3472"/>
      <c r="O10" s="3472"/>
      <c r="P10" s="3472"/>
      <c r="Q10" s="3472"/>
      <c r="R10" s="3472"/>
      <c r="S10" s="247"/>
    </row>
    <row r="11" spans="1:95" s="3471" customFormat="1" ht="13.5" customHeight="1" thickBot="1">
      <c r="A11" s="3611" t="s">
        <v>2314</v>
      </c>
      <c r="B11" s="3639"/>
      <c r="D11" s="272"/>
      <c r="F11" s="267"/>
      <c r="G11" s="267"/>
      <c r="H11" s="267"/>
      <c r="I11" s="267"/>
      <c r="J11" s="267"/>
      <c r="K11" s="267"/>
      <c r="L11" s="267"/>
      <c r="M11" s="267"/>
      <c r="N11" s="267"/>
      <c r="O11" s="267"/>
      <c r="P11" s="267"/>
      <c r="Q11" s="267"/>
      <c r="R11" s="267"/>
      <c r="S11" s="1319"/>
    </row>
    <row r="12" spans="1:95" s="3471" customFormat="1" ht="13.5" customHeight="1" thickBot="1">
      <c r="A12" s="3611" t="s">
        <v>2315</v>
      </c>
      <c r="B12" s="3639"/>
      <c r="D12" s="272"/>
      <c r="F12" s="3472"/>
      <c r="G12" s="3472"/>
      <c r="H12" s="3472"/>
      <c r="I12" s="3472"/>
      <c r="J12" s="3472"/>
      <c r="K12" s="3472"/>
      <c r="L12" s="3472"/>
      <c r="M12" s="3472"/>
      <c r="N12" s="3472"/>
      <c r="O12" s="3472"/>
      <c r="P12" s="3472"/>
      <c r="Q12" s="3472"/>
      <c r="R12" s="3472"/>
      <c r="S12" s="247"/>
    </row>
    <row r="13" spans="1:95" s="3471" customFormat="1" ht="13.5" customHeight="1">
      <c r="A13" s="169" t="s">
        <v>252</v>
      </c>
      <c r="B13" s="169"/>
      <c r="C13" s="239"/>
      <c r="D13" s="272"/>
      <c r="F13" s="3472"/>
      <c r="G13" s="3472"/>
      <c r="H13" s="3472"/>
      <c r="I13" s="3472"/>
      <c r="J13" s="3472"/>
      <c r="K13" s="3472"/>
      <c r="L13" s="3472"/>
      <c r="M13" s="3472"/>
      <c r="N13" s="3472"/>
      <c r="O13" s="3472"/>
      <c r="P13" s="3472"/>
      <c r="Q13" s="3472"/>
      <c r="R13" s="3472"/>
      <c r="S13" s="247"/>
    </row>
    <row r="14" spans="1:95" s="3471" customFormat="1" ht="13.5" customHeight="1">
      <c r="A14" s="95" t="s">
        <v>799</v>
      </c>
      <c r="B14" s="3474">
        <f>B16</f>
        <v>2010</v>
      </c>
      <c r="D14" s="272"/>
      <c r="F14" s="3472"/>
      <c r="G14" s="3472"/>
      <c r="H14" s="3472"/>
      <c r="I14" s="3472"/>
      <c r="J14" s="3472"/>
      <c r="K14" s="3472"/>
      <c r="L14" s="3472"/>
      <c r="M14" s="3472"/>
      <c r="N14" s="3472"/>
      <c r="O14" s="3472"/>
      <c r="P14" s="3472"/>
      <c r="Q14" s="3472"/>
      <c r="R14" s="3472"/>
      <c r="S14" s="247"/>
    </row>
    <row r="15" spans="1:95" s="3471" customFormat="1" ht="13.5" customHeight="1">
      <c r="A15" s="269"/>
      <c r="B15" s="244"/>
      <c r="C15" s="242"/>
      <c r="D15" s="272"/>
      <c r="F15" s="3472"/>
      <c r="G15" s="3472"/>
      <c r="H15" s="3472"/>
      <c r="I15" s="3472"/>
      <c r="J15" s="3472"/>
      <c r="K15" s="3472"/>
      <c r="L15" s="3472"/>
      <c r="M15" s="3472"/>
      <c r="N15" s="3472"/>
      <c r="O15" s="3472"/>
      <c r="P15" s="3472"/>
      <c r="Q15" s="3472"/>
      <c r="R15" s="3472"/>
      <c r="S15" s="247"/>
    </row>
    <row r="16" spans="1:95" s="3471" customFormat="1" ht="13.5" customHeight="1">
      <c r="A16" s="269" t="s">
        <v>370</v>
      </c>
      <c r="B16" s="1346">
        <v>2010</v>
      </c>
      <c r="C16" s="1723"/>
      <c r="D16" s="272"/>
      <c r="F16" s="3472"/>
      <c r="G16" s="3472"/>
      <c r="H16" s="3472"/>
      <c r="I16" s="3472"/>
      <c r="J16" s="3472"/>
      <c r="K16" s="3472"/>
      <c r="L16" s="3472"/>
      <c r="M16" s="3472"/>
      <c r="N16" s="3472"/>
      <c r="O16" s="3472"/>
      <c r="P16" s="3472"/>
      <c r="Q16" s="3472"/>
      <c r="R16" s="3472"/>
      <c r="S16" s="247"/>
    </row>
    <row r="17" spans="1:95" s="3471" customFormat="1" ht="13.5" customHeight="1" thickBot="1">
      <c r="A17" s="169" t="s">
        <v>253</v>
      </c>
      <c r="B17" s="169"/>
      <c r="C17" s="239"/>
      <c r="D17" s="272"/>
      <c r="F17" s="3472"/>
      <c r="G17" s="3472"/>
      <c r="H17" s="3472"/>
      <c r="I17" s="3472"/>
      <c r="J17" s="3472"/>
      <c r="K17" s="3472"/>
      <c r="L17" s="3472"/>
      <c r="M17" s="3472"/>
      <c r="N17" s="3472"/>
      <c r="O17" s="3472"/>
      <c r="P17" s="3472"/>
      <c r="Q17" s="3472"/>
      <c r="R17" s="3472"/>
      <c r="S17" s="247"/>
    </row>
    <row r="18" spans="1:95" s="3471" customFormat="1" ht="13.5" customHeight="1" thickBot="1">
      <c r="A18" s="528">
        <v>2010</v>
      </c>
      <c r="B18" s="528">
        <v>2015</v>
      </c>
      <c r="C18" s="239"/>
      <c r="D18" s="272"/>
      <c r="F18" s="3472"/>
      <c r="G18" s="3472"/>
      <c r="H18" s="3472"/>
      <c r="I18" s="3472"/>
      <c r="J18" s="3472"/>
      <c r="K18" s="3472"/>
      <c r="L18" s="3472"/>
      <c r="M18" s="3472"/>
      <c r="N18" s="3472"/>
      <c r="O18" s="3472"/>
      <c r="P18" s="3472"/>
      <c r="Q18" s="3472"/>
      <c r="R18" s="3472"/>
      <c r="S18" s="247"/>
    </row>
    <row r="19" spans="1:95" s="3471" customFormat="1" ht="13.5" customHeight="1" thickBot="1">
      <c r="A19" s="528">
        <v>2020</v>
      </c>
      <c r="B19" s="528">
        <v>2025</v>
      </c>
      <c r="D19" s="272"/>
      <c r="E19" s="3471" t="s">
        <v>639</v>
      </c>
      <c r="F19" s="3472"/>
      <c r="G19" s="3472"/>
      <c r="H19" s="3472"/>
      <c r="I19" s="3472"/>
      <c r="J19" s="3472"/>
      <c r="K19" s="3472"/>
      <c r="L19" s="3472"/>
      <c r="M19" s="3472"/>
      <c r="N19" s="3472"/>
      <c r="O19" s="3472"/>
      <c r="P19" s="3472"/>
      <c r="Q19" s="3472"/>
      <c r="R19" s="3472"/>
      <c r="S19" s="247"/>
    </row>
    <row r="20" spans="1:95" s="3471" customFormat="1" ht="13.5" customHeight="1" thickBot="1">
      <c r="A20" s="528">
        <v>2030</v>
      </c>
      <c r="B20" s="528">
        <v>2035</v>
      </c>
      <c r="D20" s="272"/>
      <c r="E20" s="259" t="s">
        <v>2318</v>
      </c>
      <c r="F20" s="270"/>
      <c r="G20" s="270"/>
      <c r="H20" s="270"/>
      <c r="I20" s="270"/>
      <c r="J20" s="270"/>
      <c r="K20" s="270"/>
      <c r="L20" s="270"/>
      <c r="M20" s="270"/>
      <c r="N20" s="270"/>
      <c r="O20" s="270"/>
      <c r="P20" s="270"/>
      <c r="Q20" s="270"/>
      <c r="R20" s="270"/>
      <c r="S20" s="1322"/>
    </row>
    <row r="21" spans="1:95" s="3471" customFormat="1" ht="13.5" customHeight="1">
      <c r="B21" s="1393"/>
      <c r="C21" s="1393"/>
      <c r="D21" s="242"/>
      <c r="E21" s="1721"/>
      <c r="G21" s="3473"/>
      <c r="H21" s="3473"/>
      <c r="I21" s="1724"/>
      <c r="J21" s="3472"/>
    </row>
    <row r="22" spans="1:95" s="3471" customFormat="1" ht="13.5" customHeight="1" thickBot="1">
      <c r="A22" s="2037"/>
      <c r="C22" s="1393"/>
      <c r="D22" s="242"/>
      <c r="E22" s="1721"/>
      <c r="G22" s="3473"/>
      <c r="H22" s="3473"/>
      <c r="I22" s="1724"/>
      <c r="J22" s="3472"/>
    </row>
    <row r="23" spans="1:95" ht="13.95" customHeight="1" thickTop="1" thickBot="1">
      <c r="A23" s="3478" t="s">
        <v>2496</v>
      </c>
      <c r="B23" s="3479"/>
      <c r="C23" s="3479"/>
      <c r="D23" s="3480">
        <v>2010</v>
      </c>
      <c r="E23" s="3479" t="s">
        <v>2497</v>
      </c>
      <c r="F23" s="3479"/>
      <c r="G23" s="3479"/>
      <c r="H23" s="3479"/>
      <c r="I23" s="3479"/>
      <c r="J23" s="3479"/>
      <c r="K23" s="3479"/>
      <c r="L23" s="3479"/>
      <c r="M23" s="3479"/>
      <c r="N23" s="3481"/>
      <c r="O23" s="3482"/>
      <c r="P23" s="3544"/>
      <c r="Q23" s="3478" t="s">
        <v>2496</v>
      </c>
      <c r="R23" s="3479"/>
      <c r="S23" s="3479"/>
      <c r="T23" s="3480">
        <v>2010</v>
      </c>
      <c r="U23" s="3479" t="s">
        <v>2498</v>
      </c>
      <c r="V23" s="3479"/>
      <c r="W23" s="3479"/>
      <c r="X23" s="3479"/>
      <c r="Y23" s="3479"/>
      <c r="Z23" s="3479"/>
      <c r="AA23" s="3479"/>
      <c r="AB23" s="3479"/>
      <c r="AC23" s="3479"/>
      <c r="AD23" s="3481"/>
      <c r="AE23" s="3482"/>
      <c r="AF23" s="3544"/>
      <c r="AG23" s="3478" t="s">
        <v>1967</v>
      </c>
      <c r="AH23" s="3479"/>
      <c r="AI23" s="3479"/>
      <c r="AJ23" s="3480">
        <v>2010</v>
      </c>
      <c r="AK23" s="3479" t="s">
        <v>2499</v>
      </c>
      <c r="AL23" s="3479"/>
      <c r="AM23" s="3479"/>
      <c r="AN23" s="3479"/>
      <c r="AO23" s="3479"/>
      <c r="AP23" s="3479"/>
      <c r="AQ23" s="3479"/>
      <c r="AR23" s="3479"/>
      <c r="AS23" s="3479"/>
      <c r="AT23" s="3481"/>
      <c r="AU23" s="3482"/>
      <c r="AV23" s="3544"/>
      <c r="AW23" s="3478" t="s">
        <v>1963</v>
      </c>
      <c r="AX23" s="3479"/>
      <c r="AY23" s="3479"/>
      <c r="AZ23" s="3480">
        <v>2010</v>
      </c>
      <c r="BA23" s="3479" t="s">
        <v>2500</v>
      </c>
      <c r="BB23" s="3479"/>
      <c r="BC23" s="3479"/>
      <c r="BD23" s="3479"/>
      <c r="BE23" s="3479"/>
      <c r="BF23" s="3479"/>
      <c r="BG23" s="3479"/>
      <c r="BH23" s="3479"/>
      <c r="BI23" s="3479"/>
      <c r="BJ23" s="3481"/>
      <c r="BK23" s="3482"/>
      <c r="BL23" s="3544"/>
      <c r="BM23" s="3478" t="s">
        <v>1968</v>
      </c>
      <c r="BN23" s="3479"/>
      <c r="BO23" s="3479"/>
      <c r="BP23" s="3480">
        <v>2010</v>
      </c>
      <c r="BQ23" s="3479" t="s">
        <v>2501</v>
      </c>
      <c r="BR23" s="3479"/>
      <c r="BS23" s="3479"/>
      <c r="BT23" s="3479"/>
      <c r="BU23" s="3479"/>
      <c r="BV23" s="3479"/>
      <c r="BW23" s="3479"/>
      <c r="BX23" s="3479"/>
      <c r="BY23" s="3479"/>
      <c r="BZ23" s="3481"/>
      <c r="CA23" s="3482"/>
    </row>
    <row r="24" spans="1:95" ht="13.5" customHeight="1" thickTop="1">
      <c r="A24" s="3483"/>
      <c r="B24" s="3484"/>
      <c r="C24" s="3851" t="s">
        <v>1130</v>
      </c>
      <c r="D24" s="3855" t="s">
        <v>1487</v>
      </c>
      <c r="E24" s="3856"/>
      <c r="F24" s="3857"/>
      <c r="G24" s="3855" t="s">
        <v>1089</v>
      </c>
      <c r="H24" s="3856"/>
      <c r="I24" s="3857"/>
      <c r="J24" s="3858" t="s">
        <v>1132</v>
      </c>
      <c r="K24" s="3859"/>
      <c r="L24" s="3855" t="s">
        <v>789</v>
      </c>
      <c r="M24" s="3856"/>
      <c r="N24" s="3857"/>
      <c r="O24" s="3853" t="s">
        <v>1090</v>
      </c>
      <c r="P24" s="3544"/>
      <c r="Q24" s="3483"/>
      <c r="R24" s="3484"/>
      <c r="S24" s="3851" t="s">
        <v>1130</v>
      </c>
      <c r="T24" s="3855" t="s">
        <v>1487</v>
      </c>
      <c r="U24" s="3856"/>
      <c r="V24" s="3857"/>
      <c r="W24" s="3855" t="s">
        <v>1089</v>
      </c>
      <c r="X24" s="3856"/>
      <c r="Y24" s="3857"/>
      <c r="Z24" s="3858" t="s">
        <v>1132</v>
      </c>
      <c r="AA24" s="3859"/>
      <c r="AB24" s="3855" t="s">
        <v>789</v>
      </c>
      <c r="AC24" s="3856"/>
      <c r="AD24" s="3857"/>
      <c r="AE24" s="3853" t="s">
        <v>1090</v>
      </c>
      <c r="AF24" s="3544"/>
      <c r="AG24" s="3483"/>
      <c r="AH24" s="3484"/>
      <c r="AI24" s="3851" t="s">
        <v>1130</v>
      </c>
      <c r="AJ24" s="3855" t="s">
        <v>1487</v>
      </c>
      <c r="AK24" s="3856"/>
      <c r="AL24" s="3857"/>
      <c r="AM24" s="3855" t="s">
        <v>1089</v>
      </c>
      <c r="AN24" s="3856"/>
      <c r="AO24" s="3857"/>
      <c r="AP24" s="3858" t="s">
        <v>1132</v>
      </c>
      <c r="AQ24" s="3859"/>
      <c r="AR24" s="3855" t="s">
        <v>789</v>
      </c>
      <c r="AS24" s="3856"/>
      <c r="AT24" s="3857"/>
      <c r="AU24" s="3853" t="s">
        <v>1090</v>
      </c>
      <c r="AV24" s="3544"/>
      <c r="AW24" s="3483"/>
      <c r="AX24" s="3484"/>
      <c r="AY24" s="3851" t="s">
        <v>1130</v>
      </c>
      <c r="AZ24" s="3855" t="s">
        <v>1487</v>
      </c>
      <c r="BA24" s="3856"/>
      <c r="BB24" s="3857"/>
      <c r="BC24" s="3855" t="s">
        <v>1089</v>
      </c>
      <c r="BD24" s="3856"/>
      <c r="BE24" s="3857"/>
      <c r="BF24" s="3858" t="s">
        <v>1132</v>
      </c>
      <c r="BG24" s="3859"/>
      <c r="BH24" s="3855" t="s">
        <v>789</v>
      </c>
      <c r="BI24" s="3856"/>
      <c r="BJ24" s="3857"/>
      <c r="BK24" s="3853" t="s">
        <v>1090</v>
      </c>
      <c r="BL24" s="3544"/>
      <c r="BM24" s="3483"/>
      <c r="BN24" s="3484"/>
      <c r="BO24" s="3851" t="s">
        <v>1130</v>
      </c>
      <c r="BP24" s="3855" t="s">
        <v>1487</v>
      </c>
      <c r="BQ24" s="3856"/>
      <c r="BR24" s="3857"/>
      <c r="BS24" s="3855" t="s">
        <v>1089</v>
      </c>
      <c r="BT24" s="3856"/>
      <c r="BU24" s="3857"/>
      <c r="BV24" s="3858" t="s">
        <v>1132</v>
      </c>
      <c r="BW24" s="3859"/>
      <c r="BX24" s="3855" t="s">
        <v>789</v>
      </c>
      <c r="BY24" s="3856"/>
      <c r="BZ24" s="3857"/>
      <c r="CA24" s="3853" t="s">
        <v>1090</v>
      </c>
      <c r="CB24" s="2898"/>
      <c r="CC24" s="2898"/>
      <c r="CD24" s="2898"/>
      <c r="CE24" s="2898"/>
      <c r="CF24" s="2898"/>
      <c r="CG24" s="2898"/>
      <c r="CH24" s="2898"/>
      <c r="CI24" s="2898"/>
      <c r="CJ24" s="2898"/>
      <c r="CK24" s="2898"/>
      <c r="CL24" s="2898"/>
      <c r="CM24" s="2898"/>
      <c r="CN24" s="2898"/>
      <c r="CO24" s="2898"/>
      <c r="CP24" s="2898"/>
      <c r="CQ24" s="2898"/>
    </row>
    <row r="25" spans="1:95" ht="13.5" customHeight="1" thickBot="1">
      <c r="A25" s="3485" t="s">
        <v>1093</v>
      </c>
      <c r="B25" s="3486"/>
      <c r="C25" s="3852"/>
      <c r="D25" s="3487" t="s">
        <v>1058</v>
      </c>
      <c r="E25" s="3488" t="s">
        <v>1091</v>
      </c>
      <c r="F25" s="3489" t="s">
        <v>1092</v>
      </c>
      <c r="G25" s="3490" t="s">
        <v>1058</v>
      </c>
      <c r="H25" s="3491" t="s">
        <v>1091</v>
      </c>
      <c r="I25" s="3492" t="s">
        <v>1092</v>
      </c>
      <c r="J25" s="3487" t="s">
        <v>1091</v>
      </c>
      <c r="K25" s="3489" t="s">
        <v>1092</v>
      </c>
      <c r="L25" s="3487" t="s">
        <v>1058</v>
      </c>
      <c r="M25" s="3488" t="s">
        <v>1091</v>
      </c>
      <c r="N25" s="3489" t="s">
        <v>1092</v>
      </c>
      <c r="O25" s="3854"/>
      <c r="P25" s="3544"/>
      <c r="Q25" s="3485" t="s">
        <v>1093</v>
      </c>
      <c r="R25" s="3486"/>
      <c r="S25" s="3852"/>
      <c r="T25" s="3487" t="s">
        <v>1058</v>
      </c>
      <c r="U25" s="3488" t="s">
        <v>1091</v>
      </c>
      <c r="V25" s="3489" t="s">
        <v>1092</v>
      </c>
      <c r="W25" s="3490" t="s">
        <v>1058</v>
      </c>
      <c r="X25" s="3491" t="s">
        <v>1091</v>
      </c>
      <c r="Y25" s="3492" t="s">
        <v>1092</v>
      </c>
      <c r="Z25" s="3487" t="s">
        <v>1091</v>
      </c>
      <c r="AA25" s="3489" t="s">
        <v>1092</v>
      </c>
      <c r="AB25" s="3487" t="s">
        <v>1058</v>
      </c>
      <c r="AC25" s="3488" t="s">
        <v>1091</v>
      </c>
      <c r="AD25" s="3489" t="s">
        <v>1092</v>
      </c>
      <c r="AE25" s="3854"/>
      <c r="AF25" s="3544"/>
      <c r="AG25" s="3485" t="s">
        <v>1093</v>
      </c>
      <c r="AH25" s="3486"/>
      <c r="AI25" s="3852"/>
      <c r="AJ25" s="3487" t="s">
        <v>1058</v>
      </c>
      <c r="AK25" s="3488" t="s">
        <v>1091</v>
      </c>
      <c r="AL25" s="3489" t="s">
        <v>1092</v>
      </c>
      <c r="AM25" s="3490" t="s">
        <v>1058</v>
      </c>
      <c r="AN25" s="3491" t="s">
        <v>1091</v>
      </c>
      <c r="AO25" s="3492" t="s">
        <v>1092</v>
      </c>
      <c r="AP25" s="3487" t="s">
        <v>1091</v>
      </c>
      <c r="AQ25" s="3489" t="s">
        <v>1092</v>
      </c>
      <c r="AR25" s="3487" t="s">
        <v>1058</v>
      </c>
      <c r="AS25" s="3488" t="s">
        <v>1091</v>
      </c>
      <c r="AT25" s="3489" t="s">
        <v>1092</v>
      </c>
      <c r="AU25" s="3854"/>
      <c r="AV25" s="3544"/>
      <c r="AW25" s="3485" t="s">
        <v>1093</v>
      </c>
      <c r="AX25" s="3486"/>
      <c r="AY25" s="3852"/>
      <c r="AZ25" s="3487" t="s">
        <v>1058</v>
      </c>
      <c r="BA25" s="3488" t="s">
        <v>1091</v>
      </c>
      <c r="BB25" s="3489" t="s">
        <v>1092</v>
      </c>
      <c r="BC25" s="3490" t="s">
        <v>1058</v>
      </c>
      <c r="BD25" s="3491" t="s">
        <v>1091</v>
      </c>
      <c r="BE25" s="3492" t="s">
        <v>1092</v>
      </c>
      <c r="BF25" s="3487" t="s">
        <v>1091</v>
      </c>
      <c r="BG25" s="3489" t="s">
        <v>1092</v>
      </c>
      <c r="BH25" s="3487" t="s">
        <v>1058</v>
      </c>
      <c r="BI25" s="3488" t="s">
        <v>1091</v>
      </c>
      <c r="BJ25" s="3489" t="s">
        <v>1092</v>
      </c>
      <c r="BK25" s="3854"/>
      <c r="BL25" s="3544"/>
      <c r="BM25" s="3485" t="s">
        <v>1093</v>
      </c>
      <c r="BN25" s="3486"/>
      <c r="BO25" s="3852"/>
      <c r="BP25" s="3487" t="s">
        <v>1058</v>
      </c>
      <c r="BQ25" s="3488" t="s">
        <v>1091</v>
      </c>
      <c r="BR25" s="3489" t="s">
        <v>1092</v>
      </c>
      <c r="BS25" s="3490" t="s">
        <v>1058</v>
      </c>
      <c r="BT25" s="3491" t="s">
        <v>1091</v>
      </c>
      <c r="BU25" s="3492" t="s">
        <v>1092</v>
      </c>
      <c r="BV25" s="3487" t="s">
        <v>1091</v>
      </c>
      <c r="BW25" s="3489" t="s">
        <v>1092</v>
      </c>
      <c r="BX25" s="3487" t="s">
        <v>1058</v>
      </c>
      <c r="BY25" s="3488" t="s">
        <v>1091</v>
      </c>
      <c r="BZ25" s="3489" t="s">
        <v>1092</v>
      </c>
      <c r="CA25" s="3854"/>
    </row>
    <row r="26" spans="1:95" ht="13.5" customHeight="1" thickTop="1">
      <c r="A26" s="3860" t="s">
        <v>1094</v>
      </c>
      <c r="B26" s="3493"/>
      <c r="C26" s="3494">
        <v>1</v>
      </c>
      <c r="D26" s="3495">
        <f>'All - MECs'!D26*VLOOKUP($B$14,'Annual Parameters'!$B$33:$W$143,3,FALSE)/VLOOKUP('All - MECs'!$B$14,'Annual Parameters'!$B$33:$W$143,3,FALSE)</f>
        <v>-1.6059520314671775E-2</v>
      </c>
      <c r="E26" s="3496">
        <f>'All - MECs'!E26*VLOOKUP($B$14,'Annual Parameters'!$B$33:$W$143,3,FALSE)/VLOOKUP('All - MECs'!$B$14,'Annual Parameters'!$B$33:$W$143,3,FALSE)</f>
        <v>1.1911792085313937</v>
      </c>
      <c r="F26" s="3496">
        <f>'All - MECs'!F26*VLOOKUP($B$14,'Annual Parameters'!$B$33:$W$143,3,FALSE)/VLOOKUP('All - MECs'!$B$14,'Annual Parameters'!$B$33:$W$143,3,FALSE)</f>
        <v>10.814458284036075</v>
      </c>
      <c r="G26" s="3497">
        <f>'All - MECs'!G26*VLOOKUP($B$14,'Annual Parameters'!$B$33:$W$143,3,FALSE)/VLOOKUP('All - MECs'!$B$14,'Annual Parameters'!$B$33:$W$143,3,FALSE)</f>
        <v>-7.6888654847856908E-4</v>
      </c>
      <c r="H26" s="3498">
        <f>'All - MECs'!H26*VLOOKUP($B$14,'Annual Parameters'!$B$33:$W$143,3,FALSE)/VLOOKUP('All - MECs'!$B$14,'Annual Parameters'!$B$33:$W$143,3,FALSE)</f>
        <v>0.79121670918158515</v>
      </c>
      <c r="I26" s="3499">
        <f>'All - MECs'!I26*VLOOKUP($B$14,'Annual Parameters'!$B$33:$W$143,3,FALSE)/VLOOKUP('All - MECs'!$B$14,'Annual Parameters'!$B$33:$W$143,3,FALSE)</f>
        <v>2.0079080683293173</v>
      </c>
      <c r="J26" s="3500">
        <f>'All - MECs'!J26*VLOOKUP($B$14,'Annual Parameters'!$B$33:$W$143,3,FALSE)/VLOOKUP('All - MECs'!$B$14,'Annual Parameters'!$B$33:$W$143,3,FALSE)</f>
        <v>0.5017791187701971</v>
      </c>
      <c r="K26" s="3501">
        <f>'All - MECs'!K26*VLOOKUP($B$14,'Annual Parameters'!$B$33:$W$143,3,FALSE)/VLOOKUP('All - MECs'!$B$14,'Annual Parameters'!$B$33:$W$143,3,FALSE)</f>
        <v>1.9945546361857478</v>
      </c>
      <c r="L26" s="3495">
        <f>'All - MECs'!L26*VLOOKUP($B$14,'Annual Parameters'!$B$33:$W$143,3,FALSE)/VLOOKUP('All - MECs'!$B$14,'Annual Parameters'!$B$33:$W$143,3,FALSE)</f>
        <v>-1.0126793454121532E-2</v>
      </c>
      <c r="M26" s="3496">
        <f>'All - MECs'!M26*VLOOKUP($B$14,'Annual Parameters'!$B$33:$W$143,3,FALSE)/VLOOKUP('All - MECs'!$B$14,'Annual Parameters'!$B$33:$W$143,3,FALSE)</f>
        <v>0.34505104908491258</v>
      </c>
      <c r="N26" s="3501">
        <f>'All - MECs'!N26*VLOOKUP($B$14,'Annual Parameters'!$B$33:$W$143,3,FALSE)/VLOOKUP('All - MECs'!$B$14,'Annual Parameters'!$B$33:$W$143,3,FALSE)</f>
        <v>0.17694661266747341</v>
      </c>
      <c r="O26" s="3502">
        <f>'All - MECs'!O26*VLOOKUP($B$14,'Annual Parameters'!$B$33:$W$143,3,FALSE)/VLOOKUP('All - MECs'!$B$14,'Annual Parameters'!$B$33:$W$143,3,FALSE)</f>
        <v>1.0270264727871661</v>
      </c>
      <c r="P26" s="3544"/>
      <c r="Q26" s="3860" t="s">
        <v>1094</v>
      </c>
      <c r="R26" s="3493"/>
      <c r="S26" s="3494">
        <v>1</v>
      </c>
      <c r="T26" s="3495">
        <f>'All - MECs'!T26*VLOOKUP($B$14,'Annual Parameters'!$B$33:$W$143,3,FALSE)/VLOOKUP('All - MECs'!$B$14,'Annual Parameters'!$B$33:$W$143,3,FALSE)</f>
        <v>-1.6059520314671775E-2</v>
      </c>
      <c r="U26" s="3496">
        <f>'All - MECs'!U26*VLOOKUP($B$14,'Annual Parameters'!$B$33:$W$143,3,FALSE)/VLOOKUP('All - MECs'!$B$14,'Annual Parameters'!$B$33:$W$143,3,FALSE)</f>
        <v>1.1911792085313937</v>
      </c>
      <c r="V26" s="3496">
        <f>'All - MECs'!V26*VLOOKUP($B$14,'Annual Parameters'!$B$33:$W$143,3,FALSE)/VLOOKUP('All - MECs'!$B$14,'Annual Parameters'!$B$33:$W$143,3,FALSE)</f>
        <v>10.814458284036075</v>
      </c>
      <c r="W26" s="3497">
        <f>'All - MECs'!W26*VLOOKUP($B$14,'Annual Parameters'!$B$33:$W$143,3,FALSE)/VLOOKUP('All - MECs'!$B$14,'Annual Parameters'!$B$33:$W$143,3,FALSE)</f>
        <v>-7.6888654847856908E-4</v>
      </c>
      <c r="X26" s="3498">
        <f>'All - MECs'!X26*VLOOKUP($B$14,'Annual Parameters'!$B$33:$W$143,3,FALSE)/VLOOKUP('All - MECs'!$B$14,'Annual Parameters'!$B$33:$W$143,3,FALSE)</f>
        <v>0.79121670918158515</v>
      </c>
      <c r="Y26" s="3499">
        <f>'All - MECs'!Y26*VLOOKUP($B$14,'Annual Parameters'!$B$33:$W$143,3,FALSE)/VLOOKUP('All - MECs'!$B$14,'Annual Parameters'!$B$33:$W$143,3,FALSE)</f>
        <v>2.0079080683293173</v>
      </c>
      <c r="Z26" s="3500">
        <f>'All - MECs'!Z26*VLOOKUP($B$14,'Annual Parameters'!$B$33:$W$143,3,FALSE)/VLOOKUP('All - MECs'!$B$14,'Annual Parameters'!$B$33:$W$143,3,FALSE)</f>
        <v>0.5017791187701971</v>
      </c>
      <c r="AA26" s="3501">
        <f>'All - MECs'!AA26*VLOOKUP($B$14,'Annual Parameters'!$B$33:$W$143,3,FALSE)/VLOOKUP('All - MECs'!$B$14,'Annual Parameters'!$B$33:$W$143,3,FALSE)</f>
        <v>1.9945546361857478</v>
      </c>
      <c r="AB26" s="3495">
        <f>'All - MECs'!AB26*VLOOKUP($B$14,'Annual Parameters'!$B$33:$W$143,3,FALSE)/VLOOKUP('All - MECs'!$B$14,'Annual Parameters'!$B$33:$W$143,3,FALSE)</f>
        <v>-1.0126793454121532E-2</v>
      </c>
      <c r="AC26" s="3496">
        <f>'All - MECs'!AC26*VLOOKUP($B$14,'Annual Parameters'!$B$33:$W$143,3,FALSE)/VLOOKUP('All - MECs'!$B$14,'Annual Parameters'!$B$33:$W$143,3,FALSE)</f>
        <v>0.34505104908491258</v>
      </c>
      <c r="AD26" s="3501">
        <f>'All - MECs'!AD26*VLOOKUP($B$14,'Annual Parameters'!$B$33:$W$143,3,FALSE)/VLOOKUP('All - MECs'!$B$14,'Annual Parameters'!$B$33:$W$143,3,FALSE)</f>
        <v>0.17694661266747341</v>
      </c>
      <c r="AE26" s="3502">
        <f>'All - MECs'!AE26*VLOOKUP($B$14,'Annual Parameters'!$B$33:$W$143,3,FALSE)/VLOOKUP('All - MECs'!$B$14,'Annual Parameters'!$B$33:$W$143,3,FALSE)</f>
        <v>1.0270264727871661</v>
      </c>
      <c r="AF26" s="3544"/>
      <c r="AG26" s="3860" t="s">
        <v>1094</v>
      </c>
      <c r="AH26" s="3493"/>
      <c r="AI26" s="3494">
        <v>1</v>
      </c>
      <c r="AJ26" s="3495">
        <f>'All - MECs'!AJ26*VLOOKUP($B$14,'Annual Parameters'!$B$33:$W$143,3,FALSE)/VLOOKUP('All - MECs'!$B$14,'Annual Parameters'!$B$33:$W$143,3,FALSE)</f>
        <v>-3.0513088597876371E-2</v>
      </c>
      <c r="AK26" s="3496">
        <f>'All - MECs'!AK26*VLOOKUP($B$14,'Annual Parameters'!$B$33:$W$143,3,FALSE)/VLOOKUP('All - MECs'!$B$14,'Annual Parameters'!$B$33:$W$143,3,FALSE)</f>
        <v>2.2632404962096477</v>
      </c>
      <c r="AL26" s="3496">
        <f>'All - MECs'!AL26*VLOOKUP($B$14,'Annual Parameters'!$B$33:$W$143,3,FALSE)/VLOOKUP('All - MECs'!$B$14,'Annual Parameters'!$B$33:$W$143,3,FALSE)</f>
        <v>20.547470739668544</v>
      </c>
      <c r="AM26" s="3497">
        <f>'All - MECs'!AM26*VLOOKUP($B$14,'Annual Parameters'!$B$33:$W$143,3,FALSE)/VLOOKUP('All - MECs'!$B$14,'Annual Parameters'!$B$33:$W$143,3,FALSE)</f>
        <v>-1.4608844421092812E-3</v>
      </c>
      <c r="AN26" s="3498">
        <f>'All - MECs'!AN26*VLOOKUP($B$14,'Annual Parameters'!$B$33:$W$143,3,FALSE)/VLOOKUP('All - MECs'!$B$14,'Annual Parameters'!$B$33:$W$143,3,FALSE)</f>
        <v>1.5033117474450117</v>
      </c>
      <c r="AO26" s="3499">
        <f>'All - MECs'!AO26*VLOOKUP($B$14,'Annual Parameters'!$B$33:$W$143,3,FALSE)/VLOOKUP('All - MECs'!$B$14,'Annual Parameters'!$B$33:$W$143,3,FALSE)</f>
        <v>3.8150253298257026</v>
      </c>
      <c r="AP26" s="3500">
        <f>'All - MECs'!AP26*VLOOKUP($B$14,'Annual Parameters'!$B$33:$W$143,3,FALSE)/VLOOKUP('All - MECs'!$B$14,'Annual Parameters'!$B$33:$W$143,3,FALSE)</f>
        <v>0.95338032566337427</v>
      </c>
      <c r="AQ26" s="3501">
        <f>'All - MECs'!AQ26*VLOOKUP($B$14,'Annual Parameters'!$B$33:$W$143,3,FALSE)/VLOOKUP('All - MECs'!$B$14,'Annual Parameters'!$B$33:$W$143,3,FALSE)</f>
        <v>3.7896538087529206</v>
      </c>
      <c r="AR26" s="3495">
        <f>'All - MECs'!AR26*VLOOKUP($B$14,'Annual Parameters'!$B$33:$W$143,3,FALSE)/VLOOKUP('All - MECs'!$B$14,'Annual Parameters'!$B$33:$W$143,3,FALSE)</f>
        <v>-1.9240907562830912E-2</v>
      </c>
      <c r="AS26" s="3496">
        <f>'All - MECs'!AS26*VLOOKUP($B$14,'Annual Parameters'!$B$33:$W$143,3,FALSE)/VLOOKUP('All - MECs'!$B$14,'Annual Parameters'!$B$33:$W$143,3,FALSE)</f>
        <v>0.65559699326133403</v>
      </c>
      <c r="AT26" s="3501">
        <f>'All - MECs'!AT26*VLOOKUP($B$14,'Annual Parameters'!$B$33:$W$143,3,FALSE)/VLOOKUP('All - MECs'!$B$14,'Annual Parameters'!$B$33:$W$143,3,FALSE)</f>
        <v>0.33619856406819953</v>
      </c>
      <c r="AU26" s="3502">
        <f>'All - MECs'!AU26*VLOOKUP($B$14,'Annual Parameters'!$B$33:$W$143,3,FALSE)/VLOOKUP('All - MECs'!$B$14,'Annual Parameters'!$B$33:$W$143,3,FALSE)</f>
        <v>1.9513502982956155</v>
      </c>
      <c r="AV26" s="3544"/>
      <c r="AW26" s="3860" t="s">
        <v>1094</v>
      </c>
      <c r="AX26" s="3493"/>
      <c r="AY26" s="3494">
        <v>1</v>
      </c>
      <c r="AZ26" s="3495">
        <f>'All - MECs'!AZ26*VLOOKUP($B$14,'Annual Parameters'!$B$33:$W$143,3,FALSE)/VLOOKUP('All - MECs'!$B$14,'Annual Parameters'!$B$33:$W$143,3,FALSE)</f>
        <v>-4.657260891254815E-2</v>
      </c>
      <c r="BA26" s="3496">
        <f>'All - MECs'!BA26*VLOOKUP($B$14,'Annual Parameters'!$B$33:$W$143,3,FALSE)/VLOOKUP('All - MECs'!$B$14,'Annual Parameters'!$B$33:$W$143,3,FALSE)</f>
        <v>3.4544197047410417</v>
      </c>
      <c r="BB26" s="3496">
        <f>'All - MECs'!BB26*VLOOKUP($B$14,'Annual Parameters'!$B$33:$W$143,3,FALSE)/VLOOKUP('All - MECs'!$B$14,'Annual Parameters'!$B$33:$W$143,3,FALSE)</f>
        <v>31.361929023704615</v>
      </c>
      <c r="BC26" s="3497">
        <f>'All - MECs'!BC26*VLOOKUP($B$14,'Annual Parameters'!$B$33:$W$143,3,FALSE)/VLOOKUP('All - MECs'!$B$14,'Annual Parameters'!$B$33:$W$143,3,FALSE)</f>
        <v>-2.2297709905878503E-3</v>
      </c>
      <c r="BD26" s="3498">
        <f>'All - MECs'!BD26*VLOOKUP($B$14,'Annual Parameters'!$B$33:$W$143,3,FALSE)/VLOOKUP('All - MECs'!$B$14,'Annual Parameters'!$B$33:$W$143,3,FALSE)</f>
        <v>2.2945284566265967</v>
      </c>
      <c r="BE26" s="3499">
        <f>'All - MECs'!BE26*VLOOKUP($B$14,'Annual Parameters'!$B$33:$W$143,3,FALSE)/VLOOKUP('All - MECs'!$B$14,'Annual Parameters'!$B$33:$W$143,3,FALSE)</f>
        <v>5.82293339815502</v>
      </c>
      <c r="BF26" s="3500">
        <f>'All - MECs'!BF26*VLOOKUP($B$14,'Annual Parameters'!$B$33:$W$143,3,FALSE)/VLOOKUP('All - MECs'!$B$14,'Annual Parameters'!$B$33:$W$143,3,FALSE)</f>
        <v>1.4551594444335718</v>
      </c>
      <c r="BG26" s="3501">
        <f>'All - MECs'!BG26*VLOOKUP($B$14,'Annual Parameters'!$B$33:$W$143,3,FALSE)/VLOOKUP('All - MECs'!$B$14,'Annual Parameters'!$B$33:$W$143,3,FALSE)</f>
        <v>5.7842084449386686</v>
      </c>
      <c r="BH26" s="3495">
        <f>'All - MECs'!BH26*VLOOKUP($B$14,'Annual Parameters'!$B$33:$W$143,3,FALSE)/VLOOKUP('All - MECs'!$B$14,'Annual Parameters'!$B$33:$W$143,3,FALSE)</f>
        <v>-2.9367701016952442E-2</v>
      </c>
      <c r="BI26" s="3496">
        <f>'All - MECs'!BI26*VLOOKUP($B$14,'Annual Parameters'!$B$33:$W$143,3,FALSE)/VLOOKUP('All - MECs'!$B$14,'Annual Parameters'!$B$33:$W$143,3,FALSE)</f>
        <v>1.0006480423462465</v>
      </c>
      <c r="BJ26" s="3501">
        <f>'All - MECs'!BJ26*VLOOKUP($B$14,'Annual Parameters'!$B$33:$W$143,3,FALSE)/VLOOKUP('All - MECs'!$B$14,'Annual Parameters'!$B$33:$W$143,3,FALSE)</f>
        <v>0.51314517673567295</v>
      </c>
      <c r="BK26" s="3502">
        <f>'All - MECs'!BK26*VLOOKUP($B$14,'Annual Parameters'!$B$33:$W$143,3,FALSE)/VLOOKUP('All - MECs'!$B$14,'Annual Parameters'!$B$33:$W$143,3,FALSE)</f>
        <v>2.9783767710827815</v>
      </c>
      <c r="BL26" s="3544"/>
      <c r="BM26" s="3860" t="s">
        <v>1094</v>
      </c>
      <c r="BN26" s="3493"/>
      <c r="BO26" s="3494">
        <v>1</v>
      </c>
      <c r="BP26" s="3495">
        <f>'All - MECs'!BP26*VLOOKUP($B$14,'Annual Parameters'!$B$33:$W$143,3,FALSE)/VLOOKUP('All - MECs'!$B$14,'Annual Parameters'!$B$33:$W$143,3,FALSE)</f>
        <v>-4.0148800786679442E-2</v>
      </c>
      <c r="BQ26" s="3496">
        <f>'All - MECs'!BQ26*VLOOKUP($B$14,'Annual Parameters'!$B$33:$W$143,3,FALSE)/VLOOKUP('All - MECs'!$B$14,'Annual Parameters'!$B$33:$W$143,3,FALSE)</f>
        <v>2.9779480213284844</v>
      </c>
      <c r="BR26" s="3496">
        <f>'All - MECs'!BR26*VLOOKUP($B$14,'Annual Parameters'!$B$33:$W$143,3,FALSE)/VLOOKUP('All - MECs'!$B$14,'Annual Parameters'!$B$33:$W$143,3,FALSE)</f>
        <v>27.036145710090192</v>
      </c>
      <c r="BS26" s="3497">
        <f>'All - MECs'!BS26*VLOOKUP($B$14,'Annual Parameters'!$B$33:$W$143,3,FALSE)/VLOOKUP('All - MECs'!$B$14,'Annual Parameters'!$B$33:$W$143,3,FALSE)</f>
        <v>-1.9222163711964226E-3</v>
      </c>
      <c r="BT26" s="3498">
        <f>'All - MECs'!BT26*VLOOKUP($B$14,'Annual Parameters'!$B$33:$W$143,3,FALSE)/VLOOKUP('All - MECs'!$B$14,'Annual Parameters'!$B$33:$W$143,3,FALSE)</f>
        <v>1.9780417729539628</v>
      </c>
      <c r="BU26" s="3499">
        <f>'All - MECs'!BU26*VLOOKUP($B$14,'Annual Parameters'!$B$33:$W$143,3,FALSE)/VLOOKUP('All - MECs'!$B$14,'Annual Parameters'!$B$33:$W$143,3,FALSE)</f>
        <v>5.0197701708232936</v>
      </c>
      <c r="BV26" s="3500">
        <f>'All - MECs'!BV26*VLOOKUP($B$14,'Annual Parameters'!$B$33:$W$143,3,FALSE)/VLOOKUP('All - MECs'!$B$14,'Annual Parameters'!$B$33:$W$143,3,FALSE)</f>
        <v>1.2544477969254928</v>
      </c>
      <c r="BW26" s="3501">
        <f>'All - MECs'!BW26*VLOOKUP($B$14,'Annual Parameters'!$B$33:$W$143,3,FALSE)/VLOOKUP('All - MECs'!$B$14,'Annual Parameters'!$B$33:$W$143,3,FALSE)</f>
        <v>4.9863865904643694</v>
      </c>
      <c r="BX26" s="3495">
        <f>'All - MECs'!BX26*VLOOKUP($B$14,'Annual Parameters'!$B$33:$W$143,3,FALSE)/VLOOKUP('All - MECs'!$B$14,'Annual Parameters'!$B$33:$W$143,3,FALSE)</f>
        <v>-2.5316983635303832E-2</v>
      </c>
      <c r="BY26" s="3496">
        <f>'All - MECs'!BY26*VLOOKUP($B$14,'Annual Parameters'!$B$33:$W$143,3,FALSE)/VLOOKUP('All - MECs'!$B$14,'Annual Parameters'!$B$33:$W$143,3,FALSE)</f>
        <v>0.86262762271228144</v>
      </c>
      <c r="BZ26" s="3501">
        <f>'All - MECs'!BZ26*VLOOKUP($B$14,'Annual Parameters'!$B$33:$W$143,3,FALSE)/VLOOKUP('All - MECs'!$B$14,'Annual Parameters'!$B$33:$W$143,3,FALSE)</f>
        <v>0.44236653166868367</v>
      </c>
      <c r="CA26" s="3502">
        <f>'All - MECs'!CA26*VLOOKUP($B$14,'Annual Parameters'!$B$33:$W$143,3,FALSE)/VLOOKUP('All - MECs'!$B$14,'Annual Parameters'!$B$33:$W$143,3,FALSE)</f>
        <v>2.5675661819679152</v>
      </c>
    </row>
    <row r="27" spans="1:95" ht="13.5" customHeight="1">
      <c r="A27" s="3860"/>
      <c r="B27" s="3493"/>
      <c r="C27" s="3494">
        <v>2</v>
      </c>
      <c r="D27" s="3495">
        <f>'All - MECs'!D27*VLOOKUP($B$14,'Annual Parameters'!$B$33:$W$143,3,FALSE)/VLOOKUP('All - MECs'!$B$14,'Annual Parameters'!$B$33:$W$143,3,FALSE)</f>
        <v>-2.8597506510061082E-2</v>
      </c>
      <c r="E27" s="3496">
        <f>'All - MECs'!E27*VLOOKUP($B$14,'Annual Parameters'!$B$33:$W$143,3,FALSE)/VLOOKUP('All - MECs'!$B$14,'Annual Parameters'!$B$33:$W$143,3,FALSE)</f>
        <v>3.8074139244005964</v>
      </c>
      <c r="F27" s="3496">
        <f>'All - MECs'!F27*VLOOKUP($B$14,'Annual Parameters'!$B$33:$W$143,3,FALSE)/VLOOKUP('All - MECs'!$B$14,'Annual Parameters'!$B$33:$W$143,3,FALSE)</f>
        <v>22.248864218651946</v>
      </c>
      <c r="G27" s="3503">
        <f>'All - MECs'!G27*VLOOKUP($B$14,'Annual Parameters'!$B$33:$W$143,3,FALSE)/VLOOKUP('All - MECs'!$B$14,'Annual Parameters'!$B$33:$W$143,3,FALSE)</f>
        <v>6.5246776211473042E-3</v>
      </c>
      <c r="H27" s="3504">
        <f>'All - MECs'!H27*VLOOKUP($B$14,'Annual Parameters'!$B$33:$W$143,3,FALSE)/VLOOKUP('All - MECs'!$B$14,'Annual Parameters'!$B$33:$W$143,3,FALSE)</f>
        <v>2.6403193933286402</v>
      </c>
      <c r="I27" s="3501">
        <f>'All - MECs'!I27*VLOOKUP($B$14,'Annual Parameters'!$B$33:$W$143,3,FALSE)/VLOOKUP('All - MECs'!$B$14,'Annual Parameters'!$B$33:$W$143,3,FALSE)</f>
        <v>8.0443174924336258</v>
      </c>
      <c r="J27" s="3500">
        <f>'All - MECs'!J27*VLOOKUP($B$14,'Annual Parameters'!$B$33:$W$143,3,FALSE)/VLOOKUP('All - MECs'!$B$14,'Annual Parameters'!$B$33:$W$143,3,FALSE)</f>
        <v>1.6253564210503237</v>
      </c>
      <c r="K27" s="3501">
        <f>'All - MECs'!K27*VLOOKUP($B$14,'Annual Parameters'!$B$33:$W$143,3,FALSE)/VLOOKUP('All - MECs'!$B$14,'Annual Parameters'!$B$33:$W$143,3,FALSE)</f>
        <v>7.5426306086645161</v>
      </c>
      <c r="L27" s="3495">
        <f>'All - MECs'!L27*VLOOKUP($B$14,'Annual Parameters'!$B$33:$W$143,3,FALSE)/VLOOKUP('All - MECs'!$B$14,'Annual Parameters'!$B$33:$W$143,3,FALSE)</f>
        <v>-2.178923054957339E-2</v>
      </c>
      <c r="M27" s="3496">
        <f>'All - MECs'!M27*VLOOKUP($B$14,'Annual Parameters'!$B$33:$W$143,3,FALSE)/VLOOKUP('All - MECs'!$B$14,'Annual Parameters'!$B$33:$W$143,3,FALSE)</f>
        <v>1.0902406943500951</v>
      </c>
      <c r="N27" s="3501">
        <f>'All - MECs'!N27*VLOOKUP($B$14,'Annual Parameters'!$B$33:$W$143,3,FALSE)/VLOOKUP('All - MECs'!$B$14,'Annual Parameters'!$B$33:$W$143,3,FALSE)</f>
        <v>1.2547857871777071</v>
      </c>
      <c r="O27" s="3502">
        <f>'All - MECs'!O27*VLOOKUP($B$14,'Annual Parameters'!$B$33:$W$143,3,FALSE)/VLOOKUP('All - MECs'!$B$14,'Annual Parameters'!$B$33:$W$143,3,FALSE)</f>
        <v>2.4522283260218218</v>
      </c>
      <c r="P27" s="3544"/>
      <c r="Q27" s="3860"/>
      <c r="R27" s="3493"/>
      <c r="S27" s="3494">
        <v>2</v>
      </c>
      <c r="T27" s="3495">
        <f>'All - MECs'!T27*VLOOKUP($B$14,'Annual Parameters'!$B$33:$W$143,3,FALSE)/VLOOKUP('All - MECs'!$B$14,'Annual Parameters'!$B$33:$W$143,3,FALSE)</f>
        <v>-2.8597506510061082E-2</v>
      </c>
      <c r="U27" s="3496">
        <f>'All - MECs'!U27*VLOOKUP($B$14,'Annual Parameters'!$B$33:$W$143,3,FALSE)/VLOOKUP('All - MECs'!$B$14,'Annual Parameters'!$B$33:$W$143,3,FALSE)</f>
        <v>3.8074139244005964</v>
      </c>
      <c r="V27" s="3496">
        <f>'All - MECs'!V27*VLOOKUP($B$14,'Annual Parameters'!$B$33:$W$143,3,FALSE)/VLOOKUP('All - MECs'!$B$14,'Annual Parameters'!$B$33:$W$143,3,FALSE)</f>
        <v>22.248864218651946</v>
      </c>
      <c r="W27" s="3503">
        <f>'All - MECs'!W27*VLOOKUP($B$14,'Annual Parameters'!$B$33:$W$143,3,FALSE)/VLOOKUP('All - MECs'!$B$14,'Annual Parameters'!$B$33:$W$143,3,FALSE)</f>
        <v>6.5246776211473042E-3</v>
      </c>
      <c r="X27" s="3504">
        <f>'All - MECs'!X27*VLOOKUP($B$14,'Annual Parameters'!$B$33:$W$143,3,FALSE)/VLOOKUP('All - MECs'!$B$14,'Annual Parameters'!$B$33:$W$143,3,FALSE)</f>
        <v>2.6403193933286402</v>
      </c>
      <c r="Y27" s="3501">
        <f>'All - MECs'!Y27*VLOOKUP($B$14,'Annual Parameters'!$B$33:$W$143,3,FALSE)/VLOOKUP('All - MECs'!$B$14,'Annual Parameters'!$B$33:$W$143,3,FALSE)</f>
        <v>8.0443174924336258</v>
      </c>
      <c r="Z27" s="3500">
        <f>'All - MECs'!Z27*VLOOKUP($B$14,'Annual Parameters'!$B$33:$W$143,3,FALSE)/VLOOKUP('All - MECs'!$B$14,'Annual Parameters'!$B$33:$W$143,3,FALSE)</f>
        <v>1.6253564210503237</v>
      </c>
      <c r="AA27" s="3501">
        <f>'All - MECs'!AA27*VLOOKUP($B$14,'Annual Parameters'!$B$33:$W$143,3,FALSE)/VLOOKUP('All - MECs'!$B$14,'Annual Parameters'!$B$33:$W$143,3,FALSE)</f>
        <v>7.5426306086645161</v>
      </c>
      <c r="AB27" s="3495">
        <f>'All - MECs'!AB27*VLOOKUP($B$14,'Annual Parameters'!$B$33:$W$143,3,FALSE)/VLOOKUP('All - MECs'!$B$14,'Annual Parameters'!$B$33:$W$143,3,FALSE)</f>
        <v>-2.178923054957339E-2</v>
      </c>
      <c r="AC27" s="3496">
        <f>'All - MECs'!AC27*VLOOKUP($B$14,'Annual Parameters'!$B$33:$W$143,3,FALSE)/VLOOKUP('All - MECs'!$B$14,'Annual Parameters'!$B$33:$W$143,3,FALSE)</f>
        <v>1.0902406943500951</v>
      </c>
      <c r="AD27" s="3501">
        <f>'All - MECs'!AD27*VLOOKUP($B$14,'Annual Parameters'!$B$33:$W$143,3,FALSE)/VLOOKUP('All - MECs'!$B$14,'Annual Parameters'!$B$33:$W$143,3,FALSE)</f>
        <v>1.2547857871777071</v>
      </c>
      <c r="AE27" s="3502">
        <f>'All - MECs'!AE27*VLOOKUP($B$14,'Annual Parameters'!$B$33:$W$143,3,FALSE)/VLOOKUP('All - MECs'!$B$14,'Annual Parameters'!$B$33:$W$143,3,FALSE)</f>
        <v>2.4522283260218218</v>
      </c>
      <c r="AF27" s="3544"/>
      <c r="AG27" s="3860"/>
      <c r="AH27" s="3493"/>
      <c r="AI27" s="3494">
        <v>2</v>
      </c>
      <c r="AJ27" s="3495">
        <f>'All - MECs'!AJ27*VLOOKUP($B$14,'Annual Parameters'!$B$33:$W$143,3,FALSE)/VLOOKUP('All - MECs'!$B$14,'Annual Parameters'!$B$33:$W$143,3,FALSE)</f>
        <v>-5.4335262369116052E-2</v>
      </c>
      <c r="AK27" s="3496">
        <f>'All - MECs'!AK27*VLOOKUP($B$14,'Annual Parameters'!$B$33:$W$143,3,FALSE)/VLOOKUP('All - MECs'!$B$14,'Annual Parameters'!$B$33:$W$143,3,FALSE)</f>
        <v>7.2340864563611333</v>
      </c>
      <c r="AL27" s="3496">
        <f>'All - MECs'!AL27*VLOOKUP($B$14,'Annual Parameters'!$B$33:$W$143,3,FALSE)/VLOOKUP('All - MECs'!$B$14,'Annual Parameters'!$B$33:$W$143,3,FALSE)</f>
        <v>42.272842015438698</v>
      </c>
      <c r="AM27" s="3503">
        <f>'All - MECs'!AM27*VLOOKUP($B$14,'Annual Parameters'!$B$33:$W$143,3,FALSE)/VLOOKUP('All - MECs'!$B$14,'Annual Parameters'!$B$33:$W$143,3,FALSE)</f>
        <v>1.2396887480179877E-2</v>
      </c>
      <c r="AN27" s="3504">
        <f>'All - MECs'!AN27*VLOOKUP($B$14,'Annual Parameters'!$B$33:$W$143,3,FALSE)/VLOOKUP('All - MECs'!$B$14,'Annual Parameters'!$B$33:$W$143,3,FALSE)</f>
        <v>5.0166068473244154</v>
      </c>
      <c r="AO27" s="3501">
        <f>'All - MECs'!AO27*VLOOKUP($B$14,'Annual Parameters'!$B$33:$W$143,3,FALSE)/VLOOKUP('All - MECs'!$B$14,'Annual Parameters'!$B$33:$W$143,3,FALSE)</f>
        <v>15.284203235623888</v>
      </c>
      <c r="AP27" s="3500">
        <f>'All - MECs'!AP27*VLOOKUP($B$14,'Annual Parameters'!$B$33:$W$143,3,FALSE)/VLOOKUP('All - MECs'!$B$14,'Annual Parameters'!$B$33:$W$143,3,FALSE)</f>
        <v>3.0881771999956147</v>
      </c>
      <c r="AQ27" s="3501">
        <f>'All - MECs'!AQ27*VLOOKUP($B$14,'Annual Parameters'!$B$33:$W$143,3,FALSE)/VLOOKUP('All - MECs'!$B$14,'Annual Parameters'!$B$33:$W$143,3,FALSE)</f>
        <v>14.330998156462579</v>
      </c>
      <c r="AR27" s="3495">
        <f>'All - MECs'!AR27*VLOOKUP($B$14,'Annual Parameters'!$B$33:$W$143,3,FALSE)/VLOOKUP('All - MECs'!$B$14,'Annual Parameters'!$B$33:$W$143,3,FALSE)</f>
        <v>-4.139953804418943E-2</v>
      </c>
      <c r="AS27" s="3496">
        <f>'All - MECs'!AS27*VLOOKUP($B$14,'Annual Parameters'!$B$33:$W$143,3,FALSE)/VLOOKUP('All - MECs'!$B$14,'Annual Parameters'!$B$33:$W$143,3,FALSE)</f>
        <v>2.0714573192651806</v>
      </c>
      <c r="AT27" s="3501">
        <f>'All - MECs'!AT27*VLOOKUP($B$14,'Annual Parameters'!$B$33:$W$143,3,FALSE)/VLOOKUP('All - MECs'!$B$14,'Annual Parameters'!$B$33:$W$143,3,FALSE)</f>
        <v>2.3840929956376433</v>
      </c>
      <c r="AU27" s="3502">
        <f>'All - MECs'!AU27*VLOOKUP($B$14,'Annual Parameters'!$B$33:$W$143,3,FALSE)/VLOOKUP('All - MECs'!$B$14,'Annual Parameters'!$B$33:$W$143,3,FALSE)</f>
        <v>4.6592338194414609</v>
      </c>
      <c r="AV27" s="3544"/>
      <c r="AW27" s="3860"/>
      <c r="AX27" s="3493"/>
      <c r="AY27" s="3494">
        <v>2</v>
      </c>
      <c r="AZ27" s="3495">
        <f>'All - MECs'!AZ27*VLOOKUP($B$14,'Annual Parameters'!$B$33:$W$143,3,FALSE)/VLOOKUP('All - MECs'!$B$14,'Annual Parameters'!$B$33:$W$143,3,FALSE)</f>
        <v>-8.2932768879177138E-2</v>
      </c>
      <c r="BA27" s="3496">
        <f>'All - MECs'!BA27*VLOOKUP($B$14,'Annual Parameters'!$B$33:$W$143,3,FALSE)/VLOOKUP('All - MECs'!$B$14,'Annual Parameters'!$B$33:$W$143,3,FALSE)</f>
        <v>11.041500380761729</v>
      </c>
      <c r="BB27" s="3496">
        <f>'All - MECs'!BB27*VLOOKUP($B$14,'Annual Parameters'!$B$33:$W$143,3,FALSE)/VLOOKUP('All - MECs'!$B$14,'Annual Parameters'!$B$33:$W$143,3,FALSE)</f>
        <v>64.521706234090644</v>
      </c>
      <c r="BC27" s="3503">
        <f>'All - MECs'!BC27*VLOOKUP($B$14,'Annual Parameters'!$B$33:$W$143,3,FALSE)/VLOOKUP('All - MECs'!$B$14,'Annual Parameters'!$B$33:$W$143,3,FALSE)</f>
        <v>1.8921565101327181E-2</v>
      </c>
      <c r="BD27" s="3504">
        <f>'All - MECs'!BD27*VLOOKUP($B$14,'Annual Parameters'!$B$33:$W$143,3,FALSE)/VLOOKUP('All - MECs'!$B$14,'Annual Parameters'!$B$33:$W$143,3,FALSE)</f>
        <v>7.6569262406530552</v>
      </c>
      <c r="BE27" s="3501">
        <f>'All - MECs'!BE27*VLOOKUP($B$14,'Annual Parameters'!$B$33:$W$143,3,FALSE)/VLOOKUP('All - MECs'!$B$14,'Annual Parameters'!$B$33:$W$143,3,FALSE)</f>
        <v>23.328520728057516</v>
      </c>
      <c r="BF27" s="3500">
        <f>'All - MECs'!BF27*VLOOKUP($B$14,'Annual Parameters'!$B$33:$W$143,3,FALSE)/VLOOKUP('All - MECs'!$B$14,'Annual Parameters'!$B$33:$W$143,3,FALSE)</f>
        <v>4.7135336210459382</v>
      </c>
      <c r="BG27" s="3501">
        <f>'All - MECs'!BG27*VLOOKUP($B$14,'Annual Parameters'!$B$33:$W$143,3,FALSE)/VLOOKUP('All - MECs'!$B$14,'Annual Parameters'!$B$33:$W$143,3,FALSE)</f>
        <v>21.873628765127094</v>
      </c>
      <c r="BH27" s="3495">
        <f>'All - MECs'!BH27*VLOOKUP($B$14,'Annual Parameters'!$B$33:$W$143,3,FALSE)/VLOOKUP('All - MECs'!$B$14,'Annual Parameters'!$B$33:$W$143,3,FALSE)</f>
        <v>-6.3188768593762823E-2</v>
      </c>
      <c r="BI27" s="3496">
        <f>'All - MECs'!BI27*VLOOKUP($B$14,'Annual Parameters'!$B$33:$W$143,3,FALSE)/VLOOKUP('All - MECs'!$B$14,'Annual Parameters'!$B$33:$W$143,3,FALSE)</f>
        <v>3.1616980136152755</v>
      </c>
      <c r="BJ27" s="3501">
        <f>'All - MECs'!BJ27*VLOOKUP($B$14,'Annual Parameters'!$B$33:$W$143,3,FALSE)/VLOOKUP('All - MECs'!$B$14,'Annual Parameters'!$B$33:$W$143,3,FALSE)</f>
        <v>3.6388787828153504</v>
      </c>
      <c r="BK27" s="3502">
        <f>'All - MECs'!BK27*VLOOKUP($B$14,'Annual Parameters'!$B$33:$W$143,3,FALSE)/VLOOKUP('All - MECs'!$B$14,'Annual Parameters'!$B$33:$W$143,3,FALSE)</f>
        <v>7.1114621454632818</v>
      </c>
      <c r="BL27" s="3544"/>
      <c r="BM27" s="3860"/>
      <c r="BN27" s="3493"/>
      <c r="BO27" s="3494">
        <v>2</v>
      </c>
      <c r="BP27" s="3495">
        <f>'All - MECs'!BP27*VLOOKUP($B$14,'Annual Parameters'!$B$33:$W$143,3,FALSE)/VLOOKUP('All - MECs'!$B$14,'Annual Parameters'!$B$33:$W$143,3,FALSE)</f>
        <v>-7.1493766275152706E-2</v>
      </c>
      <c r="BQ27" s="3496">
        <f>'All - MECs'!BQ27*VLOOKUP($B$14,'Annual Parameters'!$B$33:$W$143,3,FALSE)/VLOOKUP('All - MECs'!$B$14,'Annual Parameters'!$B$33:$W$143,3,FALSE)</f>
        <v>9.5185348110014907</v>
      </c>
      <c r="BR27" s="3496">
        <f>'All - MECs'!BR27*VLOOKUP($B$14,'Annual Parameters'!$B$33:$W$143,3,FALSE)/VLOOKUP('All - MECs'!$B$14,'Annual Parameters'!$B$33:$W$143,3,FALSE)</f>
        <v>55.622160546629864</v>
      </c>
      <c r="BS27" s="3503">
        <f>'All - MECs'!BS27*VLOOKUP($B$14,'Annual Parameters'!$B$33:$W$143,3,FALSE)/VLOOKUP('All - MECs'!$B$14,'Annual Parameters'!$B$33:$W$143,3,FALSE)</f>
        <v>1.631169405286826E-2</v>
      </c>
      <c r="BT27" s="3504">
        <f>'All - MECs'!BT27*VLOOKUP($B$14,'Annual Parameters'!$B$33:$W$143,3,FALSE)/VLOOKUP('All - MECs'!$B$14,'Annual Parameters'!$B$33:$W$143,3,FALSE)</f>
        <v>6.6007984833215998</v>
      </c>
      <c r="BU27" s="3501">
        <f>'All - MECs'!BU27*VLOOKUP($B$14,'Annual Parameters'!$B$33:$W$143,3,FALSE)/VLOOKUP('All - MECs'!$B$14,'Annual Parameters'!$B$33:$W$143,3,FALSE)</f>
        <v>20.110793731084065</v>
      </c>
      <c r="BV27" s="3500">
        <f>'All - MECs'!BV27*VLOOKUP($B$14,'Annual Parameters'!$B$33:$W$143,3,FALSE)/VLOOKUP('All - MECs'!$B$14,'Annual Parameters'!$B$33:$W$143,3,FALSE)</f>
        <v>4.0633910526258088</v>
      </c>
      <c r="BW27" s="3501">
        <f>'All - MECs'!BW27*VLOOKUP($B$14,'Annual Parameters'!$B$33:$W$143,3,FALSE)/VLOOKUP('All - MECs'!$B$14,'Annual Parameters'!$B$33:$W$143,3,FALSE)</f>
        <v>18.856576521661289</v>
      </c>
      <c r="BX27" s="3495">
        <f>'All - MECs'!BX27*VLOOKUP($B$14,'Annual Parameters'!$B$33:$W$143,3,FALSE)/VLOOKUP('All - MECs'!$B$14,'Annual Parameters'!$B$33:$W$143,3,FALSE)</f>
        <v>-5.4473076373933463E-2</v>
      </c>
      <c r="BY27" s="3496">
        <f>'All - MECs'!BY27*VLOOKUP($B$14,'Annual Parameters'!$B$33:$W$143,3,FALSE)/VLOOKUP('All - MECs'!$B$14,'Annual Parameters'!$B$33:$W$143,3,FALSE)</f>
        <v>2.7256017358752378</v>
      </c>
      <c r="BZ27" s="3501">
        <f>'All - MECs'!BZ27*VLOOKUP($B$14,'Annual Parameters'!$B$33:$W$143,3,FALSE)/VLOOKUP('All - MECs'!$B$14,'Annual Parameters'!$B$33:$W$143,3,FALSE)</f>
        <v>3.1369644679442676</v>
      </c>
      <c r="CA27" s="3502">
        <f>'All - MECs'!CA27*VLOOKUP($B$14,'Annual Parameters'!$B$33:$W$143,3,FALSE)/VLOOKUP('All - MECs'!$B$14,'Annual Parameters'!$B$33:$W$143,3,FALSE)</f>
        <v>6.130570815054555</v>
      </c>
    </row>
    <row r="28" spans="1:95" ht="13.5" customHeight="1">
      <c r="A28" s="3860"/>
      <c r="B28" s="3493"/>
      <c r="C28" s="3494">
        <v>3</v>
      </c>
      <c r="D28" s="3495">
        <f>'All - MECs'!D28*VLOOKUP($B$14,'Annual Parameters'!$B$33:$W$143,3,FALSE)/VLOOKUP('All - MECs'!$B$14,'Annual Parameters'!$B$33:$W$143,3,FALSE)</f>
        <v>-9.429370139614526E-3</v>
      </c>
      <c r="E28" s="3496">
        <f>'All - MECs'!E28*VLOOKUP($B$14,'Annual Parameters'!$B$33:$W$143,3,FALSE)/VLOOKUP('All - MECs'!$B$14,'Annual Parameters'!$B$33:$W$143,3,FALSE)</f>
        <v>17.300871886802067</v>
      </c>
      <c r="F28" s="3496">
        <f>'All - MECs'!F28*VLOOKUP($B$14,'Annual Parameters'!$B$33:$W$143,3,FALSE)/VLOOKUP('All - MECs'!$B$14,'Annual Parameters'!$B$33:$W$143,3,FALSE)</f>
        <v>46.031972556728114</v>
      </c>
      <c r="G28" s="3503">
        <f>'All - MECs'!G28*VLOOKUP($B$14,'Annual Parameters'!$B$33:$W$143,3,FALSE)/VLOOKUP('All - MECs'!$B$14,'Annual Parameters'!$B$33:$W$143,3,FALSE)</f>
        <v>0.48849821583592984</v>
      </c>
      <c r="H28" s="3504">
        <f>'All - MECs'!H28*VLOOKUP($B$14,'Annual Parameters'!$B$33:$W$143,3,FALSE)/VLOOKUP('All - MECs'!$B$14,'Annual Parameters'!$B$33:$W$143,3,FALSE)</f>
        <v>21.757425939042196</v>
      </c>
      <c r="I28" s="3501">
        <f>'All - MECs'!I28*VLOOKUP($B$14,'Annual Parameters'!$B$33:$W$143,3,FALSE)/VLOOKUP('All - MECs'!$B$14,'Annual Parameters'!$B$33:$W$143,3,FALSE)</f>
        <v>17.868739307735044</v>
      </c>
      <c r="J28" s="3500">
        <f>'All - MECs'!J28*VLOOKUP($B$14,'Annual Parameters'!$B$33:$W$143,3,FALSE)/VLOOKUP('All - MECs'!$B$14,'Annual Parameters'!$B$33:$W$143,3,FALSE)</f>
        <v>9.3366961886328017</v>
      </c>
      <c r="K28" s="3501">
        <f>'All - MECs'!K28*VLOOKUP($B$14,'Annual Parameters'!$B$33:$W$143,3,FALSE)/VLOOKUP('All - MECs'!$B$14,'Annual Parameters'!$B$33:$W$143,3,FALSE)</f>
        <v>16.323651113998366</v>
      </c>
      <c r="L28" s="3495">
        <f>'All - MECs'!L28*VLOOKUP($B$14,'Annual Parameters'!$B$33:$W$143,3,FALSE)/VLOOKUP('All - MECs'!$B$14,'Annual Parameters'!$B$33:$W$143,3,FALSE)</f>
        <v>0.82775193346640352</v>
      </c>
      <c r="M28" s="3496">
        <f>'All - MECs'!M28*VLOOKUP($B$14,'Annual Parameters'!$B$33:$W$143,3,FALSE)/VLOOKUP('All - MECs'!$B$14,'Annual Parameters'!$B$33:$W$143,3,FALSE)</f>
        <v>2.9543738001529181</v>
      </c>
      <c r="N28" s="3501">
        <f>'All - MECs'!N28*VLOOKUP($B$14,'Annual Parameters'!$B$33:$W$143,3,FALSE)/VLOOKUP('All - MECs'!$B$14,'Annual Parameters'!$B$33:$W$143,3,FALSE)</f>
        <v>6.6344615108266316</v>
      </c>
      <c r="O28" s="3502">
        <f>'All - MECs'!O28*VLOOKUP($B$14,'Annual Parameters'!$B$33:$W$143,3,FALSE)/VLOOKUP('All - MECs'!$B$14,'Annual Parameters'!$B$33:$W$143,3,FALSE)</f>
        <v>8.6971229520945457</v>
      </c>
      <c r="P28" s="3544"/>
      <c r="Q28" s="3860"/>
      <c r="R28" s="3493"/>
      <c r="S28" s="3494">
        <v>3</v>
      </c>
      <c r="T28" s="3495">
        <f>'All - MECs'!T28*VLOOKUP($B$14,'Annual Parameters'!$B$33:$W$143,3,FALSE)/VLOOKUP('All - MECs'!$B$14,'Annual Parameters'!$B$33:$W$143,3,FALSE)</f>
        <v>-9.429370139614526E-3</v>
      </c>
      <c r="U28" s="3496">
        <f>'All - MECs'!U28*VLOOKUP($B$14,'Annual Parameters'!$B$33:$W$143,3,FALSE)/VLOOKUP('All - MECs'!$B$14,'Annual Parameters'!$B$33:$W$143,3,FALSE)</f>
        <v>17.300871886802067</v>
      </c>
      <c r="V28" s="3496">
        <f>'All - MECs'!V28*VLOOKUP($B$14,'Annual Parameters'!$B$33:$W$143,3,FALSE)/VLOOKUP('All - MECs'!$B$14,'Annual Parameters'!$B$33:$W$143,3,FALSE)</f>
        <v>46.031972556728114</v>
      </c>
      <c r="W28" s="3503">
        <f>'All - MECs'!W28*VLOOKUP($B$14,'Annual Parameters'!$B$33:$W$143,3,FALSE)/VLOOKUP('All - MECs'!$B$14,'Annual Parameters'!$B$33:$W$143,3,FALSE)</f>
        <v>0.48849821583592984</v>
      </c>
      <c r="X28" s="3504">
        <f>'All - MECs'!X28*VLOOKUP($B$14,'Annual Parameters'!$B$33:$W$143,3,FALSE)/VLOOKUP('All - MECs'!$B$14,'Annual Parameters'!$B$33:$W$143,3,FALSE)</f>
        <v>21.757425939042196</v>
      </c>
      <c r="Y28" s="3501">
        <f>'All - MECs'!Y28*VLOOKUP($B$14,'Annual Parameters'!$B$33:$W$143,3,FALSE)/VLOOKUP('All - MECs'!$B$14,'Annual Parameters'!$B$33:$W$143,3,FALSE)</f>
        <v>17.868739307735044</v>
      </c>
      <c r="Z28" s="3500">
        <f>'All - MECs'!Z28*VLOOKUP($B$14,'Annual Parameters'!$B$33:$W$143,3,FALSE)/VLOOKUP('All - MECs'!$B$14,'Annual Parameters'!$B$33:$W$143,3,FALSE)</f>
        <v>9.3366961886328017</v>
      </c>
      <c r="AA28" s="3501">
        <f>'All - MECs'!AA28*VLOOKUP($B$14,'Annual Parameters'!$B$33:$W$143,3,FALSE)/VLOOKUP('All - MECs'!$B$14,'Annual Parameters'!$B$33:$W$143,3,FALSE)</f>
        <v>16.323651113998366</v>
      </c>
      <c r="AB28" s="3495">
        <f>'All - MECs'!AB28*VLOOKUP($B$14,'Annual Parameters'!$B$33:$W$143,3,FALSE)/VLOOKUP('All - MECs'!$B$14,'Annual Parameters'!$B$33:$W$143,3,FALSE)</f>
        <v>0.82775193346640352</v>
      </c>
      <c r="AC28" s="3496">
        <f>'All - MECs'!AC28*VLOOKUP($B$14,'Annual Parameters'!$B$33:$W$143,3,FALSE)/VLOOKUP('All - MECs'!$B$14,'Annual Parameters'!$B$33:$W$143,3,FALSE)</f>
        <v>2.9543738001529181</v>
      </c>
      <c r="AD28" s="3501">
        <f>'All - MECs'!AD28*VLOOKUP($B$14,'Annual Parameters'!$B$33:$W$143,3,FALSE)/VLOOKUP('All - MECs'!$B$14,'Annual Parameters'!$B$33:$W$143,3,FALSE)</f>
        <v>6.6344615108266316</v>
      </c>
      <c r="AE28" s="3502">
        <f>'All - MECs'!AE28*VLOOKUP($B$14,'Annual Parameters'!$B$33:$W$143,3,FALSE)/VLOOKUP('All - MECs'!$B$14,'Annual Parameters'!$B$33:$W$143,3,FALSE)</f>
        <v>8.6971229520945457</v>
      </c>
      <c r="AF28" s="3544"/>
      <c r="AG28" s="3860"/>
      <c r="AH28" s="3493"/>
      <c r="AI28" s="3494">
        <v>3</v>
      </c>
      <c r="AJ28" s="3495">
        <f>'All - MECs'!AJ28*VLOOKUP($B$14,'Annual Parameters'!$B$33:$W$143,3,FALSE)/VLOOKUP('All - MECs'!$B$14,'Annual Parameters'!$B$33:$W$143,3,FALSE)</f>
        <v>-1.7915803265267597E-2</v>
      </c>
      <c r="AK28" s="3496">
        <f>'All - MECs'!AK28*VLOOKUP($B$14,'Annual Parameters'!$B$33:$W$143,3,FALSE)/VLOOKUP('All - MECs'!$B$14,'Annual Parameters'!$B$33:$W$143,3,FALSE)</f>
        <v>32.871656584923926</v>
      </c>
      <c r="AL28" s="3496">
        <f>'All - MECs'!AL28*VLOOKUP($B$14,'Annual Parameters'!$B$33:$W$143,3,FALSE)/VLOOKUP('All - MECs'!$B$14,'Annual Parameters'!$B$33:$W$143,3,FALSE)</f>
        <v>87.460747857783431</v>
      </c>
      <c r="AM28" s="3503">
        <f>'All - MECs'!AM28*VLOOKUP($B$14,'Annual Parameters'!$B$33:$W$143,3,FALSE)/VLOOKUP('All - MECs'!$B$14,'Annual Parameters'!$B$33:$W$143,3,FALSE)</f>
        <v>0.9281466100882666</v>
      </c>
      <c r="AN28" s="3504">
        <f>'All - MECs'!AN28*VLOOKUP($B$14,'Annual Parameters'!$B$33:$W$143,3,FALSE)/VLOOKUP('All - MECs'!$B$14,'Annual Parameters'!$B$33:$W$143,3,FALSE)</f>
        <v>41.339109284180168</v>
      </c>
      <c r="AO28" s="3501">
        <f>'All - MECs'!AO28*VLOOKUP($B$14,'Annual Parameters'!$B$33:$W$143,3,FALSE)/VLOOKUP('All - MECs'!$B$14,'Annual Parameters'!$B$33:$W$143,3,FALSE)</f>
        <v>33.950604684696586</v>
      </c>
      <c r="AP28" s="3500">
        <f>'All - MECs'!AP28*VLOOKUP($B$14,'Annual Parameters'!$B$33:$W$143,3,FALSE)/VLOOKUP('All - MECs'!$B$14,'Annual Parameters'!$B$33:$W$143,3,FALSE)</f>
        <v>17.739722758402323</v>
      </c>
      <c r="AQ28" s="3501">
        <f>'All - MECs'!AQ28*VLOOKUP($B$14,'Annual Parameters'!$B$33:$W$143,3,FALSE)/VLOOKUP('All - MECs'!$B$14,'Annual Parameters'!$B$33:$W$143,3,FALSE)</f>
        <v>31.014937116596894</v>
      </c>
      <c r="AR28" s="3495">
        <f>'All - MECs'!AR28*VLOOKUP($B$14,'Annual Parameters'!$B$33:$W$143,3,FALSE)/VLOOKUP('All - MECs'!$B$14,'Annual Parameters'!$B$33:$W$143,3,FALSE)</f>
        <v>1.5727286735861665</v>
      </c>
      <c r="AS28" s="3496">
        <f>'All - MECs'!AS28*VLOOKUP($B$14,'Annual Parameters'!$B$33:$W$143,3,FALSE)/VLOOKUP('All - MECs'!$B$14,'Annual Parameters'!$B$33:$W$143,3,FALSE)</f>
        <v>5.6133102202905443</v>
      </c>
      <c r="AT28" s="3501">
        <f>'All - MECs'!AT28*VLOOKUP($B$14,'Annual Parameters'!$B$33:$W$143,3,FALSE)/VLOOKUP('All - MECs'!$B$14,'Annual Parameters'!$B$33:$W$143,3,FALSE)</f>
        <v>12.605476870570602</v>
      </c>
      <c r="AU28" s="3502">
        <f>'All - MECs'!AU28*VLOOKUP($B$14,'Annual Parameters'!$B$33:$W$143,3,FALSE)/VLOOKUP('All - MECs'!$B$14,'Annual Parameters'!$B$33:$W$143,3,FALSE)</f>
        <v>16.524533608979635</v>
      </c>
      <c r="AV28" s="3544"/>
      <c r="AW28" s="3860"/>
      <c r="AX28" s="3493"/>
      <c r="AY28" s="3494">
        <v>3</v>
      </c>
      <c r="AZ28" s="3495">
        <f>'All - MECs'!AZ28*VLOOKUP($B$14,'Annual Parameters'!$B$33:$W$143,3,FALSE)/VLOOKUP('All - MECs'!$B$14,'Annual Parameters'!$B$33:$W$143,3,FALSE)</f>
        <v>-2.7345173404882125E-2</v>
      </c>
      <c r="BA28" s="3496">
        <f>'All - MECs'!BA28*VLOOKUP($B$14,'Annual Parameters'!$B$33:$W$143,3,FALSE)/VLOOKUP('All - MECs'!$B$14,'Annual Parameters'!$B$33:$W$143,3,FALSE)</f>
        <v>50.172528471725997</v>
      </c>
      <c r="BB28" s="3496">
        <f>'All - MECs'!BB28*VLOOKUP($B$14,'Annual Parameters'!$B$33:$W$143,3,FALSE)/VLOOKUP('All - MECs'!$B$14,'Annual Parameters'!$B$33:$W$143,3,FALSE)</f>
        <v>133.49272041451152</v>
      </c>
      <c r="BC28" s="3503">
        <f>'All - MECs'!BC28*VLOOKUP($B$14,'Annual Parameters'!$B$33:$W$143,3,FALSE)/VLOOKUP('All - MECs'!$B$14,'Annual Parameters'!$B$33:$W$143,3,FALSE)</f>
        <v>1.4166448259241964</v>
      </c>
      <c r="BD28" s="3504">
        <f>'All - MECs'!BD28*VLOOKUP($B$14,'Annual Parameters'!$B$33:$W$143,3,FALSE)/VLOOKUP('All - MECs'!$B$14,'Annual Parameters'!$B$33:$W$143,3,FALSE)</f>
        <v>63.096535223222375</v>
      </c>
      <c r="BE28" s="3501">
        <f>'All - MECs'!BE28*VLOOKUP($B$14,'Annual Parameters'!$B$33:$W$143,3,FALSE)/VLOOKUP('All - MECs'!$B$14,'Annual Parameters'!$B$33:$W$143,3,FALSE)</f>
        <v>51.819343992431619</v>
      </c>
      <c r="BF28" s="3500">
        <f>'All - MECs'!BF28*VLOOKUP($B$14,'Annual Parameters'!$B$33:$W$143,3,FALSE)/VLOOKUP('All - MECs'!$B$14,'Annual Parameters'!$B$33:$W$143,3,FALSE)</f>
        <v>27.076418947035123</v>
      </c>
      <c r="BG28" s="3501">
        <f>'All - MECs'!BG28*VLOOKUP($B$14,'Annual Parameters'!$B$33:$W$143,3,FALSE)/VLOOKUP('All - MECs'!$B$14,'Annual Parameters'!$B$33:$W$143,3,FALSE)</f>
        <v>47.338588230595263</v>
      </c>
      <c r="BH28" s="3495">
        <f>'All - MECs'!BH28*VLOOKUP($B$14,'Annual Parameters'!$B$33:$W$143,3,FALSE)/VLOOKUP('All - MECs'!$B$14,'Annual Parameters'!$B$33:$W$143,3,FALSE)</f>
        <v>2.4004806070525699</v>
      </c>
      <c r="BI28" s="3496">
        <f>'All - MECs'!BI28*VLOOKUP($B$14,'Annual Parameters'!$B$33:$W$143,3,FALSE)/VLOOKUP('All - MECs'!$B$14,'Annual Parameters'!$B$33:$W$143,3,FALSE)</f>
        <v>8.5676840204434619</v>
      </c>
      <c r="BJ28" s="3501">
        <f>'All - MECs'!BJ28*VLOOKUP($B$14,'Annual Parameters'!$B$33:$W$143,3,FALSE)/VLOOKUP('All - MECs'!$B$14,'Annual Parameters'!$B$33:$W$143,3,FALSE)</f>
        <v>19.239938381397231</v>
      </c>
      <c r="BK28" s="3502">
        <f>'All - MECs'!BK28*VLOOKUP($B$14,'Annual Parameters'!$B$33:$W$143,3,FALSE)/VLOOKUP('All - MECs'!$B$14,'Annual Parameters'!$B$33:$W$143,3,FALSE)</f>
        <v>25.221656561074177</v>
      </c>
      <c r="BL28" s="3544"/>
      <c r="BM28" s="3860"/>
      <c r="BN28" s="3493"/>
      <c r="BO28" s="3494">
        <v>3</v>
      </c>
      <c r="BP28" s="3495">
        <f>'All - MECs'!BP28*VLOOKUP($B$14,'Annual Parameters'!$B$33:$W$143,3,FALSE)/VLOOKUP('All - MECs'!$B$14,'Annual Parameters'!$B$33:$W$143,3,FALSE)</f>
        <v>-2.3573425349036316E-2</v>
      </c>
      <c r="BQ28" s="3496">
        <f>'All - MECs'!BQ28*VLOOKUP($B$14,'Annual Parameters'!$B$33:$W$143,3,FALSE)/VLOOKUP('All - MECs'!$B$14,'Annual Parameters'!$B$33:$W$143,3,FALSE)</f>
        <v>43.252179717005177</v>
      </c>
      <c r="BR28" s="3496">
        <f>'All - MECs'!BR28*VLOOKUP($B$14,'Annual Parameters'!$B$33:$W$143,3,FALSE)/VLOOKUP('All - MECs'!$B$14,'Annual Parameters'!$B$33:$W$143,3,FALSE)</f>
        <v>115.07993139182028</v>
      </c>
      <c r="BS28" s="3503">
        <f>'All - MECs'!BS28*VLOOKUP($B$14,'Annual Parameters'!$B$33:$W$143,3,FALSE)/VLOOKUP('All - MECs'!$B$14,'Annual Parameters'!$B$33:$W$143,3,FALSE)</f>
        <v>1.2212455395898245</v>
      </c>
      <c r="BT28" s="3504">
        <f>'All - MECs'!BT28*VLOOKUP($B$14,'Annual Parameters'!$B$33:$W$143,3,FALSE)/VLOOKUP('All - MECs'!$B$14,'Annual Parameters'!$B$33:$W$143,3,FALSE)</f>
        <v>54.393564847605482</v>
      </c>
      <c r="BU28" s="3501">
        <f>'All - MECs'!BU28*VLOOKUP($B$14,'Annual Parameters'!$B$33:$W$143,3,FALSE)/VLOOKUP('All - MECs'!$B$14,'Annual Parameters'!$B$33:$W$143,3,FALSE)</f>
        <v>44.671848269337609</v>
      </c>
      <c r="BV28" s="3500">
        <f>'All - MECs'!BV28*VLOOKUP($B$14,'Annual Parameters'!$B$33:$W$143,3,FALSE)/VLOOKUP('All - MECs'!$B$14,'Annual Parameters'!$B$33:$W$143,3,FALSE)</f>
        <v>23.341740471582003</v>
      </c>
      <c r="BW28" s="3501">
        <f>'All - MECs'!BW28*VLOOKUP($B$14,'Annual Parameters'!$B$33:$W$143,3,FALSE)/VLOOKUP('All - MECs'!$B$14,'Annual Parameters'!$B$33:$W$143,3,FALSE)</f>
        <v>40.809127784995916</v>
      </c>
      <c r="BX28" s="3495">
        <f>'All - MECs'!BX28*VLOOKUP($B$14,'Annual Parameters'!$B$33:$W$143,3,FALSE)/VLOOKUP('All - MECs'!$B$14,'Annual Parameters'!$B$33:$W$143,3,FALSE)</f>
        <v>2.0693798336660088</v>
      </c>
      <c r="BY28" s="3496">
        <f>'All - MECs'!BY28*VLOOKUP($B$14,'Annual Parameters'!$B$33:$W$143,3,FALSE)/VLOOKUP('All - MECs'!$B$14,'Annual Parameters'!$B$33:$W$143,3,FALSE)</f>
        <v>7.3859345003822954</v>
      </c>
      <c r="BZ28" s="3501">
        <f>'All - MECs'!BZ28*VLOOKUP($B$14,'Annual Parameters'!$B$33:$W$143,3,FALSE)/VLOOKUP('All - MECs'!$B$14,'Annual Parameters'!$B$33:$W$143,3,FALSE)</f>
        <v>16.586153777066578</v>
      </c>
      <c r="CA28" s="3502">
        <f>'All - MECs'!CA28*VLOOKUP($B$14,'Annual Parameters'!$B$33:$W$143,3,FALSE)/VLOOKUP('All - MECs'!$B$14,'Annual Parameters'!$B$33:$W$143,3,FALSE)</f>
        <v>21.742807380236364</v>
      </c>
    </row>
    <row r="29" spans="1:95" ht="13.5" customHeight="1">
      <c r="A29" s="3860"/>
      <c r="B29" s="3493"/>
      <c r="C29" s="3494">
        <v>4</v>
      </c>
      <c r="D29" s="3495">
        <f>'All - MECs'!D29*VLOOKUP($B$14,'Annual Parameters'!$B$33:$W$143,3,FALSE)/VLOOKUP('All - MECs'!$B$14,'Annual Parameters'!$B$33:$W$143,3,FALSE)</f>
        <v>12.269511992165226</v>
      </c>
      <c r="E29" s="3496">
        <f>'All - MECs'!E29*VLOOKUP($B$14,'Annual Parameters'!$B$33:$W$143,3,FALSE)/VLOOKUP('All - MECs'!$B$14,'Annual Parameters'!$B$33:$W$143,3,FALSE)</f>
        <v>115.95073157406486</v>
      </c>
      <c r="F29" s="3496">
        <f>'All - MECs'!F29*VLOOKUP($B$14,'Annual Parameters'!$B$33:$W$143,3,FALSE)/VLOOKUP('All - MECs'!$B$14,'Annual Parameters'!$B$33:$W$143,3,FALSE)</f>
        <v>127.04670398666208</v>
      </c>
      <c r="G29" s="3503">
        <f>'All - MECs'!G29*VLOOKUP($B$14,'Annual Parameters'!$B$33:$W$143,3,FALSE)/VLOOKUP('All - MECs'!$B$14,'Annual Parameters'!$B$33:$W$143,3,FALSE)</f>
        <v>22.438709086636518</v>
      </c>
      <c r="H29" s="3504">
        <f>'All - MECs'!H29*VLOOKUP($B$14,'Annual Parameters'!$B$33:$W$143,3,FALSE)/VLOOKUP('All - MECs'!$B$14,'Annual Parameters'!$B$33:$W$143,3,FALSE)</f>
        <v>115.63224444149868</v>
      </c>
      <c r="I29" s="3501">
        <f>'All - MECs'!I29*VLOOKUP($B$14,'Annual Parameters'!$B$33:$W$143,3,FALSE)/VLOOKUP('All - MECs'!$B$14,'Annual Parameters'!$B$33:$W$143,3,FALSE)</f>
        <v>129.67397931772885</v>
      </c>
      <c r="J29" s="3500">
        <f>'All - MECs'!J29*VLOOKUP($B$14,'Annual Parameters'!$B$33:$W$143,3,FALSE)/VLOOKUP('All - MECs'!$B$14,'Annual Parameters'!$B$33:$W$143,3,FALSE)</f>
        <v>39.768043257034122</v>
      </c>
      <c r="K29" s="3501">
        <f>'All - MECs'!K29*VLOOKUP($B$14,'Annual Parameters'!$B$33:$W$143,3,FALSE)/VLOOKUP('All - MECs'!$B$14,'Annual Parameters'!$B$33:$W$143,3,FALSE)</f>
        <v>113.25706734317008</v>
      </c>
      <c r="L29" s="3495">
        <f>'All - MECs'!L29*VLOOKUP($B$14,'Annual Parameters'!$B$33:$W$143,3,FALSE)/VLOOKUP('All - MECs'!$B$14,'Annual Parameters'!$B$33:$W$143,3,FALSE)</f>
        <v>16.238788202964734</v>
      </c>
      <c r="M29" s="3496">
        <f>'All - MECs'!M29*VLOOKUP($B$14,'Annual Parameters'!$B$33:$W$143,3,FALSE)/VLOOKUP('All - MECs'!$B$14,'Annual Parameters'!$B$33:$W$143,3,FALSE)</f>
        <v>43.380539528585004</v>
      </c>
      <c r="N29" s="3501">
        <f>'All - MECs'!N29*VLOOKUP($B$14,'Annual Parameters'!$B$33:$W$143,3,FALSE)/VLOOKUP('All - MECs'!$B$14,'Annual Parameters'!$B$33:$W$143,3,FALSE)</f>
        <v>34.284986896750503</v>
      </c>
      <c r="O29" s="3502">
        <f>'All - MECs'!O29*VLOOKUP($B$14,'Annual Parameters'!$B$33:$W$143,3,FALSE)/VLOOKUP('All - MECs'!$B$14,'Annual Parameters'!$B$33:$W$143,3,FALSE)</f>
        <v>77.119130314471946</v>
      </c>
      <c r="P29" s="3544"/>
      <c r="Q29" s="3860"/>
      <c r="R29" s="3493"/>
      <c r="S29" s="3494">
        <v>4</v>
      </c>
      <c r="T29" s="3495">
        <f>'All - MECs'!T29*VLOOKUP($B$14,'Annual Parameters'!$B$33:$W$143,3,FALSE)/VLOOKUP('All - MECs'!$B$14,'Annual Parameters'!$B$33:$W$143,3,FALSE)</f>
        <v>12.269511992165226</v>
      </c>
      <c r="U29" s="3496">
        <f>'All - MECs'!U29*VLOOKUP($B$14,'Annual Parameters'!$B$33:$W$143,3,FALSE)/VLOOKUP('All - MECs'!$B$14,'Annual Parameters'!$B$33:$W$143,3,FALSE)</f>
        <v>115.95073157406486</v>
      </c>
      <c r="V29" s="3496">
        <f>'All - MECs'!V29*VLOOKUP($B$14,'Annual Parameters'!$B$33:$W$143,3,FALSE)/VLOOKUP('All - MECs'!$B$14,'Annual Parameters'!$B$33:$W$143,3,FALSE)</f>
        <v>127.04670398666208</v>
      </c>
      <c r="W29" s="3503">
        <f>'All - MECs'!W29*VLOOKUP($B$14,'Annual Parameters'!$B$33:$W$143,3,FALSE)/VLOOKUP('All - MECs'!$B$14,'Annual Parameters'!$B$33:$W$143,3,FALSE)</f>
        <v>22.438709086636518</v>
      </c>
      <c r="X29" s="3504">
        <f>'All - MECs'!X29*VLOOKUP($B$14,'Annual Parameters'!$B$33:$W$143,3,FALSE)/VLOOKUP('All - MECs'!$B$14,'Annual Parameters'!$B$33:$W$143,3,FALSE)</f>
        <v>115.63224444149868</v>
      </c>
      <c r="Y29" s="3501">
        <f>'All - MECs'!Y29*VLOOKUP($B$14,'Annual Parameters'!$B$33:$W$143,3,FALSE)/VLOOKUP('All - MECs'!$B$14,'Annual Parameters'!$B$33:$W$143,3,FALSE)</f>
        <v>129.67397931772885</v>
      </c>
      <c r="Z29" s="3500">
        <f>'All - MECs'!Z29*VLOOKUP($B$14,'Annual Parameters'!$B$33:$W$143,3,FALSE)/VLOOKUP('All - MECs'!$B$14,'Annual Parameters'!$B$33:$W$143,3,FALSE)</f>
        <v>39.768043257034122</v>
      </c>
      <c r="AA29" s="3501">
        <f>'All - MECs'!AA29*VLOOKUP($B$14,'Annual Parameters'!$B$33:$W$143,3,FALSE)/VLOOKUP('All - MECs'!$B$14,'Annual Parameters'!$B$33:$W$143,3,FALSE)</f>
        <v>113.25706734317008</v>
      </c>
      <c r="AB29" s="3495">
        <f>'All - MECs'!AB29*VLOOKUP($B$14,'Annual Parameters'!$B$33:$W$143,3,FALSE)/VLOOKUP('All - MECs'!$B$14,'Annual Parameters'!$B$33:$W$143,3,FALSE)</f>
        <v>16.238788202964734</v>
      </c>
      <c r="AC29" s="3496">
        <f>'All - MECs'!AC29*VLOOKUP($B$14,'Annual Parameters'!$B$33:$W$143,3,FALSE)/VLOOKUP('All - MECs'!$B$14,'Annual Parameters'!$B$33:$W$143,3,FALSE)</f>
        <v>43.380539528585004</v>
      </c>
      <c r="AD29" s="3501">
        <f>'All - MECs'!AD29*VLOOKUP($B$14,'Annual Parameters'!$B$33:$W$143,3,FALSE)/VLOOKUP('All - MECs'!$B$14,'Annual Parameters'!$B$33:$W$143,3,FALSE)</f>
        <v>34.284986896750503</v>
      </c>
      <c r="AE29" s="3502">
        <f>'All - MECs'!AE29*VLOOKUP($B$14,'Annual Parameters'!$B$33:$W$143,3,FALSE)/VLOOKUP('All - MECs'!$B$14,'Annual Parameters'!$B$33:$W$143,3,FALSE)</f>
        <v>77.119130314471946</v>
      </c>
      <c r="AF29" s="3544"/>
      <c r="AG29" s="3860"/>
      <c r="AH29" s="3493"/>
      <c r="AI29" s="3494">
        <v>4</v>
      </c>
      <c r="AJ29" s="3495">
        <f>'All - MECs'!AJ29*VLOOKUP($B$14,'Annual Parameters'!$B$33:$W$143,3,FALSE)/VLOOKUP('All - MECs'!$B$14,'Annual Parameters'!$B$33:$W$143,3,FALSE)</f>
        <v>23.312072785113926</v>
      </c>
      <c r="AK29" s="3496">
        <f>'All - MECs'!AK29*VLOOKUP($B$14,'Annual Parameters'!$B$33:$W$143,3,FALSE)/VLOOKUP('All - MECs'!$B$14,'Annual Parameters'!$B$33:$W$143,3,FALSE)</f>
        <v>220.30638999072323</v>
      </c>
      <c r="AL29" s="3496">
        <f>'All - MECs'!AL29*VLOOKUP($B$14,'Annual Parameters'!$B$33:$W$143,3,FALSE)/VLOOKUP('All - MECs'!$B$14,'Annual Parameters'!$B$33:$W$143,3,FALSE)</f>
        <v>241.38873757465797</v>
      </c>
      <c r="AM29" s="3503">
        <f>'All - MECs'!AM29*VLOOKUP($B$14,'Annual Parameters'!$B$33:$W$143,3,FALSE)/VLOOKUP('All - MECs'!$B$14,'Annual Parameters'!$B$33:$W$143,3,FALSE)</f>
        <v>42.63354726460939</v>
      </c>
      <c r="AN29" s="3504">
        <f>'All - MECs'!AN29*VLOOKUP($B$14,'Annual Parameters'!$B$33:$W$143,3,FALSE)/VLOOKUP('All - MECs'!$B$14,'Annual Parameters'!$B$33:$W$143,3,FALSE)</f>
        <v>219.70126443884746</v>
      </c>
      <c r="AO29" s="3501">
        <f>'All - MECs'!AO29*VLOOKUP($B$14,'Annual Parameters'!$B$33:$W$143,3,FALSE)/VLOOKUP('All - MECs'!$B$14,'Annual Parameters'!$B$33:$W$143,3,FALSE)</f>
        <v>246.38056070368484</v>
      </c>
      <c r="AP29" s="3500">
        <f>'All - MECs'!AP29*VLOOKUP($B$14,'Annual Parameters'!$B$33:$W$143,3,FALSE)/VLOOKUP('All - MECs'!$B$14,'Annual Parameters'!$B$33:$W$143,3,FALSE)</f>
        <v>75.559282188364833</v>
      </c>
      <c r="AQ29" s="3501">
        <f>'All - MECs'!AQ29*VLOOKUP($B$14,'Annual Parameters'!$B$33:$W$143,3,FALSE)/VLOOKUP('All - MECs'!$B$14,'Annual Parameters'!$B$33:$W$143,3,FALSE)</f>
        <v>215.18842795202315</v>
      </c>
      <c r="AR29" s="3495">
        <f>'All - MECs'!AR29*VLOOKUP($B$14,'Annual Parameters'!$B$33:$W$143,3,FALSE)/VLOOKUP('All - MECs'!$B$14,'Annual Parameters'!$B$33:$W$143,3,FALSE)</f>
        <v>30.853697585632993</v>
      </c>
      <c r="AS29" s="3496">
        <f>'All - MECs'!AS29*VLOOKUP($B$14,'Annual Parameters'!$B$33:$W$143,3,FALSE)/VLOOKUP('All - MECs'!$B$14,'Annual Parameters'!$B$33:$W$143,3,FALSE)</f>
        <v>82.423025104311506</v>
      </c>
      <c r="AT29" s="3501">
        <f>'All - MECs'!AT29*VLOOKUP($B$14,'Annual Parameters'!$B$33:$W$143,3,FALSE)/VLOOKUP('All - MECs'!$B$14,'Annual Parameters'!$B$33:$W$143,3,FALSE)</f>
        <v>65.141475103825954</v>
      </c>
      <c r="AU29" s="3502">
        <f>'All - MECs'!AU29*VLOOKUP($B$14,'Annual Parameters'!$B$33:$W$143,3,FALSE)/VLOOKUP('All - MECs'!$B$14,'Annual Parameters'!$B$33:$W$143,3,FALSE)</f>
        <v>146.52634759749668</v>
      </c>
      <c r="AV29" s="3544"/>
      <c r="AW29" s="3860"/>
      <c r="AX29" s="3493"/>
      <c r="AY29" s="3494">
        <v>4</v>
      </c>
      <c r="AZ29" s="3495">
        <f>'All - MECs'!AZ29*VLOOKUP($B$14,'Annual Parameters'!$B$33:$W$143,3,FALSE)/VLOOKUP('All - MECs'!$B$14,'Annual Parameters'!$B$33:$W$143,3,FALSE)</f>
        <v>35.581584777279154</v>
      </c>
      <c r="BA29" s="3496">
        <f>'All - MECs'!BA29*VLOOKUP($B$14,'Annual Parameters'!$B$33:$W$143,3,FALSE)/VLOOKUP('All - MECs'!$B$14,'Annual Parameters'!$B$33:$W$143,3,FALSE)</f>
        <v>336.25712156478801</v>
      </c>
      <c r="BB29" s="3496">
        <f>'All - MECs'!BB29*VLOOKUP($B$14,'Annual Parameters'!$B$33:$W$143,3,FALSE)/VLOOKUP('All - MECs'!$B$14,'Annual Parameters'!$B$33:$W$143,3,FALSE)</f>
        <v>368.43544156132009</v>
      </c>
      <c r="BC29" s="3503">
        <f>'All - MECs'!BC29*VLOOKUP($B$14,'Annual Parameters'!$B$33:$W$143,3,FALSE)/VLOOKUP('All - MECs'!$B$14,'Annual Parameters'!$B$33:$W$143,3,FALSE)</f>
        <v>65.072256351245898</v>
      </c>
      <c r="BD29" s="3504">
        <f>'All - MECs'!BD29*VLOOKUP($B$14,'Annual Parameters'!$B$33:$W$143,3,FALSE)/VLOOKUP('All - MECs'!$B$14,'Annual Parameters'!$B$33:$W$143,3,FALSE)</f>
        <v>335.33350888034613</v>
      </c>
      <c r="BE29" s="3501">
        <f>'All - MECs'!BE29*VLOOKUP($B$14,'Annual Parameters'!$B$33:$W$143,3,FALSE)/VLOOKUP('All - MECs'!$B$14,'Annual Parameters'!$B$33:$W$143,3,FALSE)</f>
        <v>376.05454002141363</v>
      </c>
      <c r="BF29" s="3500">
        <f>'All - MECs'!BF29*VLOOKUP($B$14,'Annual Parameters'!$B$33:$W$143,3,FALSE)/VLOOKUP('All - MECs'!$B$14,'Annual Parameters'!$B$33:$W$143,3,FALSE)</f>
        <v>115.32732544539894</v>
      </c>
      <c r="BG29" s="3501">
        <f>'All - MECs'!BG29*VLOOKUP($B$14,'Annual Parameters'!$B$33:$W$143,3,FALSE)/VLOOKUP('All - MECs'!$B$14,'Annual Parameters'!$B$33:$W$143,3,FALSE)</f>
        <v>328.44549529519315</v>
      </c>
      <c r="BH29" s="3495">
        <f>'All - MECs'!BH29*VLOOKUP($B$14,'Annual Parameters'!$B$33:$W$143,3,FALSE)/VLOOKUP('All - MECs'!$B$14,'Annual Parameters'!$B$33:$W$143,3,FALSE)</f>
        <v>47.09248578859772</v>
      </c>
      <c r="BI29" s="3496">
        <f>'All - MECs'!BI29*VLOOKUP($B$14,'Annual Parameters'!$B$33:$W$143,3,FALSE)/VLOOKUP('All - MECs'!$B$14,'Annual Parameters'!$B$33:$W$143,3,FALSE)</f>
        <v>125.80356463289651</v>
      </c>
      <c r="BJ29" s="3501">
        <f>'All - MECs'!BJ29*VLOOKUP($B$14,'Annual Parameters'!$B$33:$W$143,3,FALSE)/VLOOKUP('All - MECs'!$B$14,'Annual Parameters'!$B$33:$W$143,3,FALSE)</f>
        <v>99.42646200057645</v>
      </c>
      <c r="BK29" s="3502">
        <f>'All - MECs'!BK29*VLOOKUP($B$14,'Annual Parameters'!$B$33:$W$143,3,FALSE)/VLOOKUP('All - MECs'!$B$14,'Annual Parameters'!$B$33:$W$143,3,FALSE)</f>
        <v>223.64547791196864</v>
      </c>
      <c r="BL29" s="3544"/>
      <c r="BM29" s="3860"/>
      <c r="BN29" s="3493"/>
      <c r="BO29" s="3494">
        <v>4</v>
      </c>
      <c r="BP29" s="3495">
        <f>'All - MECs'!BP29*VLOOKUP($B$14,'Annual Parameters'!$B$33:$W$143,3,FALSE)/VLOOKUP('All - MECs'!$B$14,'Annual Parameters'!$B$33:$W$143,3,FALSE)</f>
        <v>30.673779980413066</v>
      </c>
      <c r="BQ29" s="3496">
        <f>'All - MECs'!BQ29*VLOOKUP($B$14,'Annual Parameters'!$B$33:$W$143,3,FALSE)/VLOOKUP('All - MECs'!$B$14,'Annual Parameters'!$B$33:$W$143,3,FALSE)</f>
        <v>289.87682893516217</v>
      </c>
      <c r="BR29" s="3496">
        <f>'All - MECs'!BR29*VLOOKUP($B$14,'Annual Parameters'!$B$33:$W$143,3,FALSE)/VLOOKUP('All - MECs'!$B$14,'Annual Parameters'!$B$33:$W$143,3,FALSE)</f>
        <v>317.61675996665525</v>
      </c>
      <c r="BS29" s="3503">
        <f>'All - MECs'!BS29*VLOOKUP($B$14,'Annual Parameters'!$B$33:$W$143,3,FALSE)/VLOOKUP('All - MECs'!$B$14,'Annual Parameters'!$B$33:$W$143,3,FALSE)</f>
        <v>56.096772716591296</v>
      </c>
      <c r="BT29" s="3504">
        <f>'All - MECs'!BT29*VLOOKUP($B$14,'Annual Parameters'!$B$33:$W$143,3,FALSE)/VLOOKUP('All - MECs'!$B$14,'Annual Parameters'!$B$33:$W$143,3,FALSE)</f>
        <v>289.08061110374666</v>
      </c>
      <c r="BU29" s="3501">
        <f>'All - MECs'!BU29*VLOOKUP($B$14,'Annual Parameters'!$B$33:$W$143,3,FALSE)/VLOOKUP('All - MECs'!$B$14,'Annual Parameters'!$B$33:$W$143,3,FALSE)</f>
        <v>324.18494829432211</v>
      </c>
      <c r="BV29" s="3500">
        <f>'All - MECs'!BV29*VLOOKUP($B$14,'Annual Parameters'!$B$33:$W$143,3,FALSE)/VLOOKUP('All - MECs'!$B$14,'Annual Parameters'!$B$33:$W$143,3,FALSE)</f>
        <v>99.420108142585306</v>
      </c>
      <c r="BW29" s="3501">
        <f>'All - MECs'!BW29*VLOOKUP($B$14,'Annual Parameters'!$B$33:$W$143,3,FALSE)/VLOOKUP('All - MECs'!$B$14,'Annual Parameters'!$B$33:$W$143,3,FALSE)</f>
        <v>283.14266835792517</v>
      </c>
      <c r="BX29" s="3495">
        <f>'All - MECs'!BX29*VLOOKUP($B$14,'Annual Parameters'!$B$33:$W$143,3,FALSE)/VLOOKUP('All - MECs'!$B$14,'Annual Parameters'!$B$33:$W$143,3,FALSE)</f>
        <v>40.596970507411839</v>
      </c>
      <c r="BY29" s="3496">
        <f>'All - MECs'!BY29*VLOOKUP($B$14,'Annual Parameters'!$B$33:$W$143,3,FALSE)/VLOOKUP('All - MECs'!$B$14,'Annual Parameters'!$B$33:$W$143,3,FALSE)</f>
        <v>108.45134882146253</v>
      </c>
      <c r="BZ29" s="3501">
        <f>'All - MECs'!BZ29*VLOOKUP($B$14,'Annual Parameters'!$B$33:$W$143,3,FALSE)/VLOOKUP('All - MECs'!$B$14,'Annual Parameters'!$B$33:$W$143,3,FALSE)</f>
        <v>85.712467241876254</v>
      </c>
      <c r="CA29" s="3502">
        <f>'All - MECs'!CA29*VLOOKUP($B$14,'Annual Parameters'!$B$33:$W$143,3,FALSE)/VLOOKUP('All - MECs'!$B$14,'Annual Parameters'!$B$33:$W$143,3,FALSE)</f>
        <v>192.79782578617986</v>
      </c>
    </row>
    <row r="30" spans="1:95" ht="13.5" customHeight="1">
      <c r="A30" s="3860"/>
      <c r="B30" s="3493"/>
      <c r="C30" s="3505">
        <v>5</v>
      </c>
      <c r="D30" s="3495" t="e">
        <f>'All - MECs'!D30*VLOOKUP($B$14,'Annual Parameters'!$B$33:$W$143,3,FALSE)/VLOOKUP('All - MECs'!$B$14,'Annual Parameters'!$B$33:$W$143,3,FALSE)</f>
        <v>#N/A</v>
      </c>
      <c r="E30" s="3496">
        <f>'All - MECs'!E30*VLOOKUP($B$14,'Annual Parameters'!$B$33:$W$143,3,FALSE)/VLOOKUP('All - MECs'!$B$14,'Annual Parameters'!$B$33:$W$143,3,FALSE)</f>
        <v>226.89486677571611</v>
      </c>
      <c r="F30" s="3496">
        <f>'All - MECs'!F30*VLOOKUP($B$14,'Annual Parameters'!$B$33:$W$143,3,FALSE)/VLOOKUP('All - MECs'!$B$14,'Annual Parameters'!$B$33:$W$143,3,FALSE)</f>
        <v>173.52241108613623</v>
      </c>
      <c r="G30" s="3506">
        <f>'All - MECs'!G30*VLOOKUP($B$14,'Annual Parameters'!$B$33:$W$143,3,FALSE)/VLOOKUP('All - MECs'!$B$14,'Annual Parameters'!$B$33:$W$143,3,FALSE)</f>
        <v>51.541365964086715</v>
      </c>
      <c r="H30" s="3507">
        <f>'All - MECs'!H30*VLOOKUP($B$14,'Annual Parameters'!$B$33:$W$143,3,FALSE)/VLOOKUP('All - MECs'!$B$14,'Annual Parameters'!$B$33:$W$143,3,FALSE)</f>
        <v>148.27419047384936</v>
      </c>
      <c r="I30" s="3508">
        <f>'All - MECs'!I30*VLOOKUP($B$14,'Annual Parameters'!$B$33:$W$143,3,FALSE)/VLOOKUP('All - MECs'!$B$14,'Annual Parameters'!$B$33:$W$143,3,FALSE)</f>
        <v>197.32253921703051</v>
      </c>
      <c r="J30" s="3509">
        <f>'All - MECs'!J30*VLOOKUP($B$14,'Annual Parameters'!$B$33:$W$143,3,FALSE)/VLOOKUP('All - MECs'!$B$14,'Annual Parameters'!$B$33:$W$143,3,FALSE)</f>
        <v>62.041565421782281</v>
      </c>
      <c r="K30" s="3508">
        <f>'All - MECs'!K30*VLOOKUP($B$14,'Annual Parameters'!$B$33:$W$143,3,FALSE)/VLOOKUP('All - MECs'!$B$14,'Annual Parameters'!$B$33:$W$143,3,FALSE)</f>
        <v>187.18896083734566</v>
      </c>
      <c r="L30" s="3510">
        <f>'All - MECs'!L30*VLOOKUP($B$14,'Annual Parameters'!$B$33:$W$143,3,FALSE)/VLOOKUP('All - MECs'!$B$14,'Annual Parameters'!$B$33:$W$143,3,FALSE)</f>
        <v>69.029790885341598</v>
      </c>
      <c r="M30" s="3511">
        <f>'All - MECs'!M30*VLOOKUP($B$14,'Annual Parameters'!$B$33:$W$143,3,FALSE)/VLOOKUP('All - MECs'!$B$14,'Annual Parameters'!$B$33:$W$143,3,FALSE)</f>
        <v>103.14901012098619</v>
      </c>
      <c r="N30" s="3508">
        <f>'All - MECs'!N30*VLOOKUP($B$14,'Annual Parameters'!$B$33:$W$143,3,FALSE)/VLOOKUP('All - MECs'!$B$14,'Annual Parameters'!$B$33:$W$143,3,FALSE)</f>
        <v>113.609215917753</v>
      </c>
      <c r="O30" s="3502">
        <f>'All - MECs'!O30*VLOOKUP($B$14,'Annual Parameters'!$B$33:$W$143,3,FALSE)/VLOOKUP('All - MECs'!$B$14,'Annual Parameters'!$B$33:$W$143,3,FALSE)</f>
        <v>136.494886275357</v>
      </c>
      <c r="P30" s="3544"/>
      <c r="Q30" s="3860"/>
      <c r="R30" s="3493"/>
      <c r="S30" s="3505">
        <v>5</v>
      </c>
      <c r="T30" s="3495" t="e">
        <f>'All - MECs'!T30*VLOOKUP($B$14,'Annual Parameters'!$B$33:$W$143,3,FALSE)/VLOOKUP('All - MECs'!$B$14,'Annual Parameters'!$B$33:$W$143,3,FALSE)</f>
        <v>#N/A</v>
      </c>
      <c r="U30" s="3496">
        <f>'All - MECs'!U30*VLOOKUP($B$14,'Annual Parameters'!$B$33:$W$143,3,FALSE)/VLOOKUP('All - MECs'!$B$14,'Annual Parameters'!$B$33:$W$143,3,FALSE)</f>
        <v>226.89486677571611</v>
      </c>
      <c r="V30" s="3496">
        <f>'All - MECs'!V30*VLOOKUP($B$14,'Annual Parameters'!$B$33:$W$143,3,FALSE)/VLOOKUP('All - MECs'!$B$14,'Annual Parameters'!$B$33:$W$143,3,FALSE)</f>
        <v>173.52241108613623</v>
      </c>
      <c r="W30" s="3506">
        <f>'All - MECs'!W30*VLOOKUP($B$14,'Annual Parameters'!$B$33:$W$143,3,FALSE)/VLOOKUP('All - MECs'!$B$14,'Annual Parameters'!$B$33:$W$143,3,FALSE)</f>
        <v>51.541365964086715</v>
      </c>
      <c r="X30" s="3507">
        <f>'All - MECs'!X30*VLOOKUP($B$14,'Annual Parameters'!$B$33:$W$143,3,FALSE)/VLOOKUP('All - MECs'!$B$14,'Annual Parameters'!$B$33:$W$143,3,FALSE)</f>
        <v>148.27419047384936</v>
      </c>
      <c r="Y30" s="3508">
        <f>'All - MECs'!Y30*VLOOKUP($B$14,'Annual Parameters'!$B$33:$W$143,3,FALSE)/VLOOKUP('All - MECs'!$B$14,'Annual Parameters'!$B$33:$W$143,3,FALSE)</f>
        <v>197.32253921703051</v>
      </c>
      <c r="Z30" s="3509">
        <f>'All - MECs'!Z30*VLOOKUP($B$14,'Annual Parameters'!$B$33:$W$143,3,FALSE)/VLOOKUP('All - MECs'!$B$14,'Annual Parameters'!$B$33:$W$143,3,FALSE)</f>
        <v>62.041565421782281</v>
      </c>
      <c r="AA30" s="3508">
        <f>'All - MECs'!AA30*VLOOKUP($B$14,'Annual Parameters'!$B$33:$W$143,3,FALSE)/VLOOKUP('All - MECs'!$B$14,'Annual Parameters'!$B$33:$W$143,3,FALSE)</f>
        <v>187.18896083734566</v>
      </c>
      <c r="AB30" s="3510">
        <f>'All - MECs'!AB30*VLOOKUP($B$14,'Annual Parameters'!$B$33:$W$143,3,FALSE)/VLOOKUP('All - MECs'!$B$14,'Annual Parameters'!$B$33:$W$143,3,FALSE)</f>
        <v>69.029790885341598</v>
      </c>
      <c r="AC30" s="3511">
        <f>'All - MECs'!AC30*VLOOKUP($B$14,'Annual Parameters'!$B$33:$W$143,3,FALSE)/VLOOKUP('All - MECs'!$B$14,'Annual Parameters'!$B$33:$W$143,3,FALSE)</f>
        <v>103.14901012098619</v>
      </c>
      <c r="AD30" s="3508">
        <f>'All - MECs'!AD30*VLOOKUP($B$14,'Annual Parameters'!$B$33:$W$143,3,FALSE)/VLOOKUP('All - MECs'!$B$14,'Annual Parameters'!$B$33:$W$143,3,FALSE)</f>
        <v>113.609215917753</v>
      </c>
      <c r="AE30" s="3502">
        <f>'All - MECs'!AE30*VLOOKUP($B$14,'Annual Parameters'!$B$33:$W$143,3,FALSE)/VLOOKUP('All - MECs'!$B$14,'Annual Parameters'!$B$33:$W$143,3,FALSE)</f>
        <v>136.494886275357</v>
      </c>
      <c r="AF30" s="3544"/>
      <c r="AG30" s="3860"/>
      <c r="AH30" s="3493"/>
      <c r="AI30" s="3505">
        <v>5</v>
      </c>
      <c r="AJ30" s="3495" t="e">
        <f>'All - MECs'!AJ30*VLOOKUP($B$14,'Annual Parameters'!$B$33:$W$143,3,FALSE)/VLOOKUP('All - MECs'!$B$14,'Annual Parameters'!$B$33:$W$143,3,FALSE)</f>
        <v>#N/A</v>
      </c>
      <c r="AK30" s="3496">
        <f>'All - MECs'!AK30*VLOOKUP($B$14,'Annual Parameters'!$B$33:$W$143,3,FALSE)/VLOOKUP('All - MECs'!$B$14,'Annual Parameters'!$B$33:$W$143,3,FALSE)</f>
        <v>431.10024687386061</v>
      </c>
      <c r="AL30" s="3496">
        <f>'All - MECs'!AL30*VLOOKUP($B$14,'Annual Parameters'!$B$33:$W$143,3,FALSE)/VLOOKUP('All - MECs'!$B$14,'Annual Parameters'!$B$33:$W$143,3,FALSE)</f>
        <v>329.69258106365885</v>
      </c>
      <c r="AM30" s="3506">
        <f>'All - MECs'!AM30*VLOOKUP($B$14,'Annual Parameters'!$B$33:$W$143,3,FALSE)/VLOOKUP('All - MECs'!$B$14,'Annual Parameters'!$B$33:$W$143,3,FALSE)</f>
        <v>97.928595331764754</v>
      </c>
      <c r="AN30" s="3507">
        <f>'All - MECs'!AN30*VLOOKUP($B$14,'Annual Parameters'!$B$33:$W$143,3,FALSE)/VLOOKUP('All - MECs'!$B$14,'Annual Parameters'!$B$33:$W$143,3,FALSE)</f>
        <v>281.7209619003138</v>
      </c>
      <c r="AO30" s="3508">
        <f>'All - MECs'!AO30*VLOOKUP($B$14,'Annual Parameters'!$B$33:$W$143,3,FALSE)/VLOOKUP('All - MECs'!$B$14,'Annual Parameters'!$B$33:$W$143,3,FALSE)</f>
        <v>374.91282451235782</v>
      </c>
      <c r="AP30" s="3509">
        <f>'All - MECs'!AP30*VLOOKUP($B$14,'Annual Parameters'!$B$33:$W$143,3,FALSE)/VLOOKUP('All - MECs'!$B$14,'Annual Parameters'!$B$33:$W$143,3,FALSE)</f>
        <v>117.87897430138632</v>
      </c>
      <c r="AQ30" s="3508">
        <f>'All - MECs'!AQ30*VLOOKUP($B$14,'Annual Parameters'!$B$33:$W$143,3,FALSE)/VLOOKUP('All - MECs'!$B$14,'Annual Parameters'!$B$33:$W$143,3,FALSE)</f>
        <v>355.65902559095673</v>
      </c>
      <c r="AR30" s="3510">
        <f>'All - MECs'!AR30*VLOOKUP($B$14,'Annual Parameters'!$B$33:$W$143,3,FALSE)/VLOOKUP('All - MECs'!$B$14,'Annual Parameters'!$B$33:$W$143,3,FALSE)</f>
        <v>131.15660268214904</v>
      </c>
      <c r="AS30" s="3511">
        <f>'All - MECs'!AS30*VLOOKUP($B$14,'Annual Parameters'!$B$33:$W$143,3,FALSE)/VLOOKUP('All - MECs'!$B$14,'Annual Parameters'!$B$33:$W$143,3,FALSE)</f>
        <v>195.98311922987375</v>
      </c>
      <c r="AT30" s="3508">
        <f>'All - MECs'!AT30*VLOOKUP($B$14,'Annual Parameters'!$B$33:$W$143,3,FALSE)/VLOOKUP('All - MECs'!$B$14,'Annual Parameters'!$B$33:$W$143,3,FALSE)</f>
        <v>215.85751024373067</v>
      </c>
      <c r="AU30" s="3502">
        <f>'All - MECs'!AU30*VLOOKUP($B$14,'Annual Parameters'!$B$33:$W$143,3,FALSE)/VLOOKUP('All - MECs'!$B$14,'Annual Parameters'!$B$33:$W$143,3,FALSE)</f>
        <v>259.34028392317828</v>
      </c>
      <c r="AV30" s="3544"/>
      <c r="AW30" s="3860"/>
      <c r="AX30" s="3493"/>
      <c r="AY30" s="3505">
        <v>5</v>
      </c>
      <c r="AZ30" s="3495" t="e">
        <f>'All - MECs'!AZ30*VLOOKUP($B$14,'Annual Parameters'!$B$33:$W$143,3,FALSE)/VLOOKUP('All - MECs'!$B$14,'Annual Parameters'!$B$33:$W$143,3,FALSE)</f>
        <v>#N/A</v>
      </c>
      <c r="BA30" s="3496">
        <f>'All - MECs'!BA30*VLOOKUP($B$14,'Annual Parameters'!$B$33:$W$143,3,FALSE)/VLOOKUP('All - MECs'!$B$14,'Annual Parameters'!$B$33:$W$143,3,FALSE)</f>
        <v>657.99511364957687</v>
      </c>
      <c r="BB30" s="3496">
        <f>'All - MECs'!BB30*VLOOKUP($B$14,'Annual Parameters'!$B$33:$W$143,3,FALSE)/VLOOKUP('All - MECs'!$B$14,'Annual Parameters'!$B$33:$W$143,3,FALSE)</f>
        <v>503.21499214979508</v>
      </c>
      <c r="BC30" s="3506">
        <f>'All - MECs'!BC30*VLOOKUP($B$14,'Annual Parameters'!$B$33:$W$143,3,FALSE)/VLOOKUP('All - MECs'!$B$14,'Annual Parameters'!$B$33:$W$143,3,FALSE)</f>
        <v>149.46996129585148</v>
      </c>
      <c r="BD30" s="3507">
        <f>'All - MECs'!BD30*VLOOKUP($B$14,'Annual Parameters'!$B$33:$W$143,3,FALSE)/VLOOKUP('All - MECs'!$B$14,'Annual Parameters'!$B$33:$W$143,3,FALSE)</f>
        <v>429.99515237416313</v>
      </c>
      <c r="BE30" s="3508">
        <f>'All - MECs'!BE30*VLOOKUP($B$14,'Annual Parameters'!$B$33:$W$143,3,FALSE)/VLOOKUP('All - MECs'!$B$14,'Annual Parameters'!$B$33:$W$143,3,FALSE)</f>
        <v>572.23536372938838</v>
      </c>
      <c r="BF30" s="3509">
        <f>'All - MECs'!BF30*VLOOKUP($B$14,'Annual Parameters'!$B$33:$W$143,3,FALSE)/VLOOKUP('All - MECs'!$B$14,'Annual Parameters'!$B$33:$W$143,3,FALSE)</f>
        <v>179.92053972316862</v>
      </c>
      <c r="BG30" s="3508">
        <f>'All - MECs'!BG30*VLOOKUP($B$14,'Annual Parameters'!$B$33:$W$143,3,FALSE)/VLOOKUP('All - MECs'!$B$14,'Annual Parameters'!$B$33:$W$143,3,FALSE)</f>
        <v>542.84798642830242</v>
      </c>
      <c r="BH30" s="3510">
        <f>'All - MECs'!BH30*VLOOKUP($B$14,'Annual Parameters'!$B$33:$W$143,3,FALSE)/VLOOKUP('All - MECs'!$B$14,'Annual Parameters'!$B$33:$W$143,3,FALSE)</f>
        <v>200.18639356749063</v>
      </c>
      <c r="BI30" s="3511">
        <f>'All - MECs'!BI30*VLOOKUP($B$14,'Annual Parameters'!$B$33:$W$143,3,FALSE)/VLOOKUP('All - MECs'!$B$14,'Annual Parameters'!$B$33:$W$143,3,FALSE)</f>
        <v>299.13212935085994</v>
      </c>
      <c r="BJ30" s="3508">
        <f>'All - MECs'!BJ30*VLOOKUP($B$14,'Annual Parameters'!$B$33:$W$143,3,FALSE)/VLOOKUP('All - MECs'!$B$14,'Annual Parameters'!$B$33:$W$143,3,FALSE)</f>
        <v>329.46672616148368</v>
      </c>
      <c r="BK30" s="3502">
        <f>'All - MECs'!BK30*VLOOKUP($B$14,'Annual Parameters'!$B$33:$W$143,3,FALSE)/VLOOKUP('All - MECs'!$B$14,'Annual Parameters'!$B$33:$W$143,3,FALSE)</f>
        <v>395.83517019853537</v>
      </c>
      <c r="BL30" s="3544"/>
      <c r="BM30" s="3860"/>
      <c r="BN30" s="3493"/>
      <c r="BO30" s="3505">
        <v>5</v>
      </c>
      <c r="BP30" s="3495" t="e">
        <f>'All - MECs'!BP30*VLOOKUP($B$14,'Annual Parameters'!$B$33:$W$143,3,FALSE)/VLOOKUP('All - MECs'!$B$14,'Annual Parameters'!$B$33:$W$143,3,FALSE)</f>
        <v>#N/A</v>
      </c>
      <c r="BQ30" s="3496">
        <f>'All - MECs'!BQ30*VLOOKUP($B$14,'Annual Parameters'!$B$33:$W$143,3,FALSE)/VLOOKUP('All - MECs'!$B$14,'Annual Parameters'!$B$33:$W$143,3,FALSE)</f>
        <v>567.23716693929032</v>
      </c>
      <c r="BR30" s="3496">
        <f>'All - MECs'!BR30*VLOOKUP($B$14,'Annual Parameters'!$B$33:$W$143,3,FALSE)/VLOOKUP('All - MECs'!$B$14,'Annual Parameters'!$B$33:$W$143,3,FALSE)</f>
        <v>433.80602771534063</v>
      </c>
      <c r="BS30" s="3506">
        <f>'All - MECs'!BS30*VLOOKUP($B$14,'Annual Parameters'!$B$33:$W$143,3,FALSE)/VLOOKUP('All - MECs'!$B$14,'Annual Parameters'!$B$33:$W$143,3,FALSE)</f>
        <v>128.8534149102168</v>
      </c>
      <c r="BT30" s="3507">
        <f>'All - MECs'!BT30*VLOOKUP($B$14,'Annual Parameters'!$B$33:$W$143,3,FALSE)/VLOOKUP('All - MECs'!$B$14,'Annual Parameters'!$B$33:$W$143,3,FALSE)</f>
        <v>370.68547618462338</v>
      </c>
      <c r="BU30" s="3508">
        <f>'All - MECs'!BU30*VLOOKUP($B$14,'Annual Parameters'!$B$33:$W$143,3,FALSE)/VLOOKUP('All - MECs'!$B$14,'Annual Parameters'!$B$33:$W$143,3,FALSE)</f>
        <v>493.30634804257619</v>
      </c>
      <c r="BV30" s="3509">
        <f>'All - MECs'!BV30*VLOOKUP($B$14,'Annual Parameters'!$B$33:$W$143,3,FALSE)/VLOOKUP('All - MECs'!$B$14,'Annual Parameters'!$B$33:$W$143,3,FALSE)</f>
        <v>155.10391355445569</v>
      </c>
      <c r="BW30" s="3508">
        <f>'All - MECs'!BW30*VLOOKUP($B$14,'Annual Parameters'!$B$33:$W$143,3,FALSE)/VLOOKUP('All - MECs'!$B$14,'Annual Parameters'!$B$33:$W$143,3,FALSE)</f>
        <v>467.97240209336417</v>
      </c>
      <c r="BX30" s="3510">
        <f>'All - MECs'!BX30*VLOOKUP($B$14,'Annual Parameters'!$B$33:$W$143,3,FALSE)/VLOOKUP('All - MECs'!$B$14,'Annual Parameters'!$B$33:$W$143,3,FALSE)</f>
        <v>172.57447721335402</v>
      </c>
      <c r="BY30" s="3511">
        <f>'All - MECs'!BY30*VLOOKUP($B$14,'Annual Parameters'!$B$33:$W$143,3,FALSE)/VLOOKUP('All - MECs'!$B$14,'Annual Parameters'!$B$33:$W$143,3,FALSE)</f>
        <v>257.87252530246548</v>
      </c>
      <c r="BZ30" s="3508">
        <f>'All - MECs'!BZ30*VLOOKUP($B$14,'Annual Parameters'!$B$33:$W$143,3,FALSE)/VLOOKUP('All - MECs'!$B$14,'Annual Parameters'!$B$33:$W$143,3,FALSE)</f>
        <v>284.0230397943825</v>
      </c>
      <c r="CA30" s="3502">
        <f>'All - MECs'!CA30*VLOOKUP($B$14,'Annual Parameters'!$B$33:$W$143,3,FALSE)/VLOOKUP('All - MECs'!$B$14,'Annual Parameters'!$B$33:$W$143,3,FALSE)</f>
        <v>341.23721568839244</v>
      </c>
    </row>
    <row r="31" spans="1:95" ht="13.5" customHeight="1">
      <c r="A31" s="3860"/>
      <c r="B31" s="3493"/>
      <c r="C31" s="3512" t="s">
        <v>1422</v>
      </c>
      <c r="D31" s="3513">
        <f>'All - MECs'!D31*VLOOKUP($B$14,'Annual Parameters'!$B$33:$W$143,3,FALSE)/VLOOKUP('All - MECs'!$B$14,'Annual Parameters'!$B$33:$W$143,3,FALSE)</f>
        <v>8.1776144150674981E-2</v>
      </c>
      <c r="E31" s="3514">
        <f>'All - MECs'!E31*VLOOKUP($B$14,'Annual Parameters'!$B$33:$W$143,3,FALSE)/VLOOKUP('All - MECs'!$B$14,'Annual Parameters'!$B$33:$W$143,3,FALSE)</f>
        <v>59.030289275928354</v>
      </c>
      <c r="F31" s="3515">
        <f>'All - MECs'!F31*VLOOKUP($B$14,'Annual Parameters'!$B$33:$W$143,3,FALSE)/VLOOKUP('All - MECs'!$B$14,'Annual Parameters'!$B$33:$W$143,3,FALSE)</f>
        <v>40.809452982735522</v>
      </c>
      <c r="G31" s="3513">
        <f>'All - MECs'!G31*VLOOKUP($B$14,'Annual Parameters'!$B$33:$W$143,3,FALSE)/VLOOKUP('All - MECs'!$B$14,'Annual Parameters'!$B$33:$W$143,3,FALSE)</f>
        <v>2.5309716780467073</v>
      </c>
      <c r="H31" s="3514">
        <f>'All - MECs'!H31*VLOOKUP($B$14,'Annual Parameters'!$B$33:$W$143,3,FALSE)/VLOOKUP('All - MECs'!$B$14,'Annual Parameters'!$B$33:$W$143,3,FALSE)</f>
        <v>29.88423608650438</v>
      </c>
      <c r="I31" s="3515">
        <f>'All - MECs'!I31*VLOOKUP($B$14,'Annual Parameters'!$B$33:$W$143,3,FALSE)/VLOOKUP('All - MECs'!$B$14,'Annual Parameters'!$B$33:$W$143,3,FALSE)</f>
        <v>20.706892727122405</v>
      </c>
      <c r="J31" s="3516">
        <f>'All - MECs'!J31*VLOOKUP($B$14,'Annual Parameters'!$B$33:$W$143,3,FALSE)/VLOOKUP('All - MECs'!$B$14,'Annual Parameters'!$B$33:$W$143,3,FALSE)</f>
        <v>11.565232067363453</v>
      </c>
      <c r="K31" s="3517">
        <f>'All - MECs'!K31*VLOOKUP($B$14,'Annual Parameters'!$B$33:$W$143,3,FALSE)/VLOOKUP('All - MECs'!$B$14,'Annual Parameters'!$B$33:$W$143,3,FALSE)</f>
        <v>9.4111372287903734</v>
      </c>
      <c r="L31" s="3518">
        <f>'All - MECs'!L31*VLOOKUP($B$14,'Annual Parameters'!$B$33:$W$143,3,FALSE)/VLOOKUP('All - MECs'!$B$14,'Annual Parameters'!$B$33:$W$143,3,FALSE)</f>
        <v>0.95949872539574588</v>
      </c>
      <c r="M31" s="3519">
        <f>'All - MECs'!M31*VLOOKUP($B$14,'Annual Parameters'!$B$33:$W$143,3,FALSE)/VLOOKUP('All - MECs'!$B$14,'Annual Parameters'!$B$33:$W$143,3,FALSE)</f>
        <v>1.9551852736327517</v>
      </c>
      <c r="N31" s="3517">
        <f>'All - MECs'!N31*VLOOKUP($B$14,'Annual Parameters'!$B$33:$W$143,3,FALSE)/VLOOKUP('All - MECs'!$B$14,'Annual Parameters'!$B$33:$W$143,3,FALSE)</f>
        <v>2.4106946779887295</v>
      </c>
      <c r="O31" s="3520">
        <f>'All - MECs'!O31*VLOOKUP($B$14,'Annual Parameters'!$B$33:$W$143,3,FALSE)/VLOOKUP('All - MECs'!$B$14,'Annual Parameters'!$B$33:$W$143,3,FALSE)</f>
        <v>10.090371184130699</v>
      </c>
      <c r="P31" s="3544"/>
      <c r="Q31" s="3860"/>
      <c r="R31" s="3493"/>
      <c r="S31" s="3512" t="s">
        <v>1422</v>
      </c>
      <c r="T31" s="3513">
        <f>'All - MECs'!T31*VLOOKUP($B$14,'Annual Parameters'!$B$33:$W$143,3,FALSE)/VLOOKUP('All - MECs'!$B$14,'Annual Parameters'!$B$33:$W$143,3,FALSE)</f>
        <v>8.1776144150674981E-2</v>
      </c>
      <c r="U31" s="3514">
        <f>'All - MECs'!U31*VLOOKUP($B$14,'Annual Parameters'!$B$33:$W$143,3,FALSE)/VLOOKUP('All - MECs'!$B$14,'Annual Parameters'!$B$33:$W$143,3,FALSE)</f>
        <v>59.030289275928354</v>
      </c>
      <c r="V31" s="3515">
        <f>'All - MECs'!V31*VLOOKUP($B$14,'Annual Parameters'!$B$33:$W$143,3,FALSE)/VLOOKUP('All - MECs'!$B$14,'Annual Parameters'!$B$33:$W$143,3,FALSE)</f>
        <v>40.809452982735522</v>
      </c>
      <c r="W31" s="3513">
        <f>'All - MECs'!W31*VLOOKUP($B$14,'Annual Parameters'!$B$33:$W$143,3,FALSE)/VLOOKUP('All - MECs'!$B$14,'Annual Parameters'!$B$33:$W$143,3,FALSE)</f>
        <v>2.5309716780467073</v>
      </c>
      <c r="X31" s="3514">
        <f>'All - MECs'!X31*VLOOKUP($B$14,'Annual Parameters'!$B$33:$W$143,3,FALSE)/VLOOKUP('All - MECs'!$B$14,'Annual Parameters'!$B$33:$W$143,3,FALSE)</f>
        <v>29.88423608650438</v>
      </c>
      <c r="Y31" s="3515">
        <f>'All - MECs'!Y31*VLOOKUP($B$14,'Annual Parameters'!$B$33:$W$143,3,FALSE)/VLOOKUP('All - MECs'!$B$14,'Annual Parameters'!$B$33:$W$143,3,FALSE)</f>
        <v>20.706892727122405</v>
      </c>
      <c r="Z31" s="3516">
        <f>'All - MECs'!Z31*VLOOKUP($B$14,'Annual Parameters'!$B$33:$W$143,3,FALSE)/VLOOKUP('All - MECs'!$B$14,'Annual Parameters'!$B$33:$W$143,3,FALSE)</f>
        <v>11.565232067363453</v>
      </c>
      <c r="AA31" s="3517">
        <f>'All - MECs'!AA31*VLOOKUP($B$14,'Annual Parameters'!$B$33:$W$143,3,FALSE)/VLOOKUP('All - MECs'!$B$14,'Annual Parameters'!$B$33:$W$143,3,FALSE)</f>
        <v>9.4111372287903734</v>
      </c>
      <c r="AB31" s="3518">
        <f>'All - MECs'!AB31*VLOOKUP($B$14,'Annual Parameters'!$B$33:$W$143,3,FALSE)/VLOOKUP('All - MECs'!$B$14,'Annual Parameters'!$B$33:$W$143,3,FALSE)</f>
        <v>0.95949872539574588</v>
      </c>
      <c r="AC31" s="3519">
        <f>'All - MECs'!AC31*VLOOKUP($B$14,'Annual Parameters'!$B$33:$W$143,3,FALSE)/VLOOKUP('All - MECs'!$B$14,'Annual Parameters'!$B$33:$W$143,3,FALSE)</f>
        <v>1.9551852736327517</v>
      </c>
      <c r="AD31" s="3517">
        <f>'All - MECs'!AD31*VLOOKUP($B$14,'Annual Parameters'!$B$33:$W$143,3,FALSE)/VLOOKUP('All - MECs'!$B$14,'Annual Parameters'!$B$33:$W$143,3,FALSE)</f>
        <v>2.4106946779887295</v>
      </c>
      <c r="AE31" s="3520">
        <f>'All - MECs'!AE31*VLOOKUP($B$14,'Annual Parameters'!$B$33:$W$143,3,FALSE)/VLOOKUP('All - MECs'!$B$14,'Annual Parameters'!$B$33:$W$143,3,FALSE)</f>
        <v>10.090371184130699</v>
      </c>
      <c r="AF31" s="3544"/>
      <c r="AG31" s="3860"/>
      <c r="AH31" s="3493"/>
      <c r="AI31" s="3512" t="s">
        <v>1422</v>
      </c>
      <c r="AJ31" s="3513">
        <f>'All - MECs'!AJ31*VLOOKUP($B$14,'Annual Parameters'!$B$33:$W$143,3,FALSE)/VLOOKUP('All - MECs'!$B$14,'Annual Parameters'!$B$33:$W$143,3,FALSE)</f>
        <v>0.15537467388628248</v>
      </c>
      <c r="AK31" s="3514">
        <f>'All - MECs'!AK31*VLOOKUP($B$14,'Annual Parameters'!$B$33:$W$143,3,FALSE)/VLOOKUP('All - MECs'!$B$14,'Annual Parameters'!$B$33:$W$143,3,FALSE)</f>
        <v>112.15754962426386</v>
      </c>
      <c r="AL31" s="3515">
        <f>'All - MECs'!AL31*VLOOKUP($B$14,'Annual Parameters'!$B$33:$W$143,3,FALSE)/VLOOKUP('All - MECs'!$B$14,'Annual Parameters'!$B$33:$W$143,3,FALSE)</f>
        <v>77.537960667197481</v>
      </c>
      <c r="AM31" s="3513">
        <f>'All - MECs'!AM31*VLOOKUP($B$14,'Annual Parameters'!$B$33:$W$143,3,FALSE)/VLOOKUP('All - MECs'!$B$14,'Annual Parameters'!$B$33:$W$143,3,FALSE)</f>
        <v>4.8088461882887437</v>
      </c>
      <c r="AN31" s="3514">
        <f>'All - MECs'!AN31*VLOOKUP($B$14,'Annual Parameters'!$B$33:$W$143,3,FALSE)/VLOOKUP('All - MECs'!$B$14,'Annual Parameters'!$B$33:$W$143,3,FALSE)</f>
        <v>56.780048564358324</v>
      </c>
      <c r="AO31" s="3515">
        <f>'All - MECs'!AO31*VLOOKUP($B$14,'Annual Parameters'!$B$33:$W$143,3,FALSE)/VLOOKUP('All - MECs'!$B$14,'Annual Parameters'!$B$33:$W$143,3,FALSE)</f>
        <v>39.343096181532566</v>
      </c>
      <c r="AP31" s="3516">
        <f>'All - MECs'!AP31*VLOOKUP($B$14,'Annual Parameters'!$B$33:$W$143,3,FALSE)/VLOOKUP('All - MECs'!$B$14,'Annual Parameters'!$B$33:$W$143,3,FALSE)</f>
        <v>21.973940927990562</v>
      </c>
      <c r="AQ31" s="3517">
        <f>'All - MECs'!AQ31*VLOOKUP($B$14,'Annual Parameters'!$B$33:$W$143,3,FALSE)/VLOOKUP('All - MECs'!$B$14,'Annual Parameters'!$B$33:$W$143,3,FALSE)</f>
        <v>17.881160734701709</v>
      </c>
      <c r="AR31" s="3518">
        <f>'All - MECs'!AR31*VLOOKUP($B$14,'Annual Parameters'!$B$33:$W$143,3,FALSE)/VLOOKUP('All - MECs'!$B$14,'Annual Parameters'!$B$33:$W$143,3,FALSE)</f>
        <v>1.8230475782519171</v>
      </c>
      <c r="AS31" s="3519">
        <f>'All - MECs'!AS31*VLOOKUP($B$14,'Annual Parameters'!$B$33:$W$143,3,FALSE)/VLOOKUP('All - MECs'!$B$14,'Annual Parameters'!$B$33:$W$143,3,FALSE)</f>
        <v>3.7148520199022284</v>
      </c>
      <c r="AT31" s="3517">
        <f>'All - MECs'!AT31*VLOOKUP($B$14,'Annual Parameters'!$B$33:$W$143,3,FALSE)/VLOOKUP('All - MECs'!$B$14,'Annual Parameters'!$B$33:$W$143,3,FALSE)</f>
        <v>4.580319888178586</v>
      </c>
      <c r="AU31" s="3520">
        <f>'All - MECs'!AU31*VLOOKUP($B$14,'Annual Parameters'!$B$33:$W$143,3,FALSE)/VLOOKUP('All - MECs'!$B$14,'Annual Parameters'!$B$33:$W$143,3,FALSE)</f>
        <v>19.171705249848326</v>
      </c>
      <c r="AV31" s="3544"/>
      <c r="AW31" s="3860"/>
      <c r="AX31" s="3493"/>
      <c r="AY31" s="3512" t="s">
        <v>1422</v>
      </c>
      <c r="AZ31" s="3513">
        <f>'All - MECs'!AZ31*VLOOKUP($B$14,'Annual Parameters'!$B$33:$W$143,3,FALSE)/VLOOKUP('All - MECs'!$B$14,'Annual Parameters'!$B$33:$W$143,3,FALSE)</f>
        <v>0.23715081803695745</v>
      </c>
      <c r="BA31" s="3514">
        <f>'All - MECs'!BA31*VLOOKUP($B$14,'Annual Parameters'!$B$33:$W$143,3,FALSE)/VLOOKUP('All - MECs'!$B$14,'Annual Parameters'!$B$33:$W$143,3,FALSE)</f>
        <v>171.18783890019222</v>
      </c>
      <c r="BB31" s="3515">
        <f>'All - MECs'!BB31*VLOOKUP($B$14,'Annual Parameters'!$B$33:$W$143,3,FALSE)/VLOOKUP('All - MECs'!$B$14,'Annual Parameters'!$B$33:$W$143,3,FALSE)</f>
        <v>118.347413649933</v>
      </c>
      <c r="BC31" s="3513">
        <f>'All - MECs'!BC31*VLOOKUP($B$14,'Annual Parameters'!$B$33:$W$143,3,FALSE)/VLOOKUP('All - MECs'!$B$14,'Annual Parameters'!$B$33:$W$143,3,FALSE)</f>
        <v>7.3398178663354505</v>
      </c>
      <c r="BD31" s="3514">
        <f>'All - MECs'!BD31*VLOOKUP($B$14,'Annual Parameters'!$B$33:$W$143,3,FALSE)/VLOOKUP('All - MECs'!$B$14,'Annual Parameters'!$B$33:$W$143,3,FALSE)</f>
        <v>86.664284650862697</v>
      </c>
      <c r="BE31" s="3515">
        <f>'All - MECs'!BE31*VLOOKUP($B$14,'Annual Parameters'!$B$33:$W$143,3,FALSE)/VLOOKUP('All - MECs'!$B$14,'Annual Parameters'!$B$33:$W$143,3,FALSE)</f>
        <v>60.049988908654974</v>
      </c>
      <c r="BF31" s="3516">
        <f>'All - MECs'!BF31*VLOOKUP($B$14,'Annual Parameters'!$B$33:$W$143,3,FALSE)/VLOOKUP('All - MECs'!$B$14,'Annual Parameters'!$B$33:$W$143,3,FALSE)</f>
        <v>33.539172995354015</v>
      </c>
      <c r="BG31" s="3517">
        <f>'All - MECs'!BG31*VLOOKUP($B$14,'Annual Parameters'!$B$33:$W$143,3,FALSE)/VLOOKUP('All - MECs'!$B$14,'Annual Parameters'!$B$33:$W$143,3,FALSE)</f>
        <v>27.292297963492082</v>
      </c>
      <c r="BH31" s="3518">
        <f>'All - MECs'!BH31*VLOOKUP($B$14,'Annual Parameters'!$B$33:$W$143,3,FALSE)/VLOOKUP('All - MECs'!$B$14,'Annual Parameters'!$B$33:$W$143,3,FALSE)</f>
        <v>2.782546303647663</v>
      </c>
      <c r="BI31" s="3519">
        <f>'All - MECs'!BI31*VLOOKUP($B$14,'Annual Parameters'!$B$33:$W$143,3,FALSE)/VLOOKUP('All - MECs'!$B$14,'Annual Parameters'!$B$33:$W$143,3,FALSE)</f>
        <v>5.6700372935349801</v>
      </c>
      <c r="BJ31" s="3517">
        <f>'All - MECs'!BJ31*VLOOKUP($B$14,'Annual Parameters'!$B$33:$W$143,3,FALSE)/VLOOKUP('All - MECs'!$B$14,'Annual Parameters'!$B$33:$W$143,3,FALSE)</f>
        <v>6.9910145661673155</v>
      </c>
      <c r="BK31" s="3520">
        <f>'All - MECs'!BK31*VLOOKUP($B$14,'Annual Parameters'!$B$33:$W$143,3,FALSE)/VLOOKUP('All - MECs'!$B$14,'Annual Parameters'!$B$33:$W$143,3,FALSE)</f>
        <v>29.262076433979029</v>
      </c>
      <c r="BL31" s="3544"/>
      <c r="BM31" s="3860"/>
      <c r="BN31" s="3493"/>
      <c r="BO31" s="3512" t="s">
        <v>1422</v>
      </c>
      <c r="BP31" s="3513">
        <f>'All - MECs'!BP31*VLOOKUP($B$14,'Annual Parameters'!$B$33:$W$143,3,FALSE)/VLOOKUP('All - MECs'!$B$14,'Annual Parameters'!$B$33:$W$143,3,FALSE)</f>
        <v>0.20444036037668747</v>
      </c>
      <c r="BQ31" s="3514">
        <f>'All - MECs'!BQ31*VLOOKUP($B$14,'Annual Parameters'!$B$33:$W$143,3,FALSE)/VLOOKUP('All - MECs'!$B$14,'Annual Parameters'!$B$33:$W$143,3,FALSE)</f>
        <v>147.57572318982088</v>
      </c>
      <c r="BR31" s="3515">
        <f>'All - MECs'!BR31*VLOOKUP($B$14,'Annual Parameters'!$B$33:$W$143,3,FALSE)/VLOOKUP('All - MECs'!$B$14,'Annual Parameters'!$B$33:$W$143,3,FALSE)</f>
        <v>102.02363245683881</v>
      </c>
      <c r="BS31" s="3513">
        <f>'All - MECs'!BS31*VLOOKUP($B$14,'Annual Parameters'!$B$33:$W$143,3,FALSE)/VLOOKUP('All - MECs'!$B$14,'Annual Parameters'!$B$33:$W$143,3,FALSE)</f>
        <v>6.3274291951167685</v>
      </c>
      <c r="BT31" s="3514">
        <f>'All - MECs'!BT31*VLOOKUP($B$14,'Annual Parameters'!$B$33:$W$143,3,FALSE)/VLOOKUP('All - MECs'!$B$14,'Annual Parameters'!$B$33:$W$143,3,FALSE)</f>
        <v>74.710590216260954</v>
      </c>
      <c r="BU31" s="3515">
        <f>'All - MECs'!BU31*VLOOKUP($B$14,'Annual Parameters'!$B$33:$W$143,3,FALSE)/VLOOKUP('All - MECs'!$B$14,'Annual Parameters'!$B$33:$W$143,3,FALSE)</f>
        <v>51.767231817806014</v>
      </c>
      <c r="BV31" s="3516">
        <f>'All - MECs'!BV31*VLOOKUP($B$14,'Annual Parameters'!$B$33:$W$143,3,FALSE)/VLOOKUP('All - MECs'!$B$14,'Annual Parameters'!$B$33:$W$143,3,FALSE)</f>
        <v>28.913080168408634</v>
      </c>
      <c r="BW31" s="3517">
        <f>'All - MECs'!BW31*VLOOKUP($B$14,'Annual Parameters'!$B$33:$W$143,3,FALSE)/VLOOKUP('All - MECs'!$B$14,'Annual Parameters'!$B$33:$W$143,3,FALSE)</f>
        <v>23.527843071975937</v>
      </c>
      <c r="BX31" s="3518">
        <f>'All - MECs'!BX31*VLOOKUP($B$14,'Annual Parameters'!$B$33:$W$143,3,FALSE)/VLOOKUP('All - MECs'!$B$14,'Annual Parameters'!$B$33:$W$143,3,FALSE)</f>
        <v>2.3987468134893648</v>
      </c>
      <c r="BY31" s="3519">
        <f>'All - MECs'!BY31*VLOOKUP($B$14,'Annual Parameters'!$B$33:$W$143,3,FALSE)/VLOOKUP('All - MECs'!$B$14,'Annual Parameters'!$B$33:$W$143,3,FALSE)</f>
        <v>4.8879631840818796</v>
      </c>
      <c r="BZ31" s="3517">
        <f>'All - MECs'!BZ31*VLOOKUP($B$14,'Annual Parameters'!$B$33:$W$143,3,FALSE)/VLOOKUP('All - MECs'!$B$14,'Annual Parameters'!$B$33:$W$143,3,FALSE)</f>
        <v>6.0267366949718237</v>
      </c>
      <c r="CA31" s="3520">
        <f>'All - MECs'!CA31*VLOOKUP($B$14,'Annual Parameters'!$B$33:$W$143,3,FALSE)/VLOOKUP('All - MECs'!$B$14,'Annual Parameters'!$B$33:$W$143,3,FALSE)</f>
        <v>25.22592796032675</v>
      </c>
    </row>
    <row r="32" spans="1:95" ht="13.5" customHeight="1">
      <c r="A32" s="3521" t="s">
        <v>1095</v>
      </c>
      <c r="B32" s="3522"/>
      <c r="C32" s="3523" t="s">
        <v>1096</v>
      </c>
      <c r="D32" s="3524">
        <f>'All - MECs'!D32*VLOOKUP($B$14,'Annual Parameters'!$B$33:$W$143,3,FALSE)/VLOOKUP('All - MECs'!$B$14,'Annual Parameters'!$B$33:$W$143,3,FALSE)</f>
        <v>0</v>
      </c>
      <c r="E32" s="3525">
        <f>'All - MECs'!E32*VLOOKUP($B$14,'Annual Parameters'!$B$33:$W$143,3,FALSE)/VLOOKUP('All - MECs'!$B$14,'Annual Parameters'!$B$33:$W$143,3,FALSE)</f>
        <v>0.1</v>
      </c>
      <c r="F32" s="3526">
        <f>'All - MECs'!F32*VLOOKUP($B$14,'Annual Parameters'!$B$33:$W$143,3,FALSE)/VLOOKUP('All - MECs'!$B$14,'Annual Parameters'!$B$33:$W$143,3,FALSE)</f>
        <v>0.1</v>
      </c>
      <c r="G32" s="3524">
        <f>'All - MECs'!G32*VLOOKUP($B$14,'Annual Parameters'!$B$33:$W$143,3,FALSE)/VLOOKUP('All - MECs'!$B$14,'Annual Parameters'!$B$33:$W$143,3,FALSE)</f>
        <v>0</v>
      </c>
      <c r="H32" s="3525">
        <f>'All - MECs'!H32*VLOOKUP($B$14,'Annual Parameters'!$B$33:$W$143,3,FALSE)/VLOOKUP('All - MECs'!$B$14,'Annual Parameters'!$B$33:$W$143,3,FALSE)</f>
        <v>0.1</v>
      </c>
      <c r="I32" s="3526">
        <f>'All - MECs'!I32*VLOOKUP($B$14,'Annual Parameters'!$B$33:$W$143,3,FALSE)/VLOOKUP('All - MECs'!$B$14,'Annual Parameters'!$B$33:$W$143,3,FALSE)</f>
        <v>0.1</v>
      </c>
      <c r="J32" s="3527">
        <f>'All - MECs'!J32*VLOOKUP($B$14,'Annual Parameters'!$B$33:$W$143,3,FALSE)/VLOOKUP('All - MECs'!$B$14,'Annual Parameters'!$B$33:$W$143,3,FALSE)</f>
        <v>0.1</v>
      </c>
      <c r="K32" s="3526">
        <f>'All - MECs'!K32*VLOOKUP($B$14,'Annual Parameters'!$B$33:$W$143,3,FALSE)/VLOOKUP('All - MECs'!$B$14,'Annual Parameters'!$B$33:$W$143,3,FALSE)</f>
        <v>0.1</v>
      </c>
      <c r="L32" s="3527">
        <f>'All - MECs'!L32*VLOOKUP($B$14,'Annual Parameters'!$B$33:$W$143,3,FALSE)/VLOOKUP('All - MECs'!$B$14,'Annual Parameters'!$B$33:$W$143,3,FALSE)</f>
        <v>0</v>
      </c>
      <c r="M32" s="3528">
        <f>'All - MECs'!M32*VLOOKUP($B$14,'Annual Parameters'!$B$33:$W$143,3,FALSE)/VLOOKUP('All - MECs'!$B$14,'Annual Parameters'!$B$33:$W$143,3,FALSE)</f>
        <v>0.1</v>
      </c>
      <c r="N32" s="3526">
        <f>'All - MECs'!N32*VLOOKUP($B$14,'Annual Parameters'!$B$33:$W$143,3,FALSE)/VLOOKUP('All - MECs'!$B$14,'Annual Parameters'!$B$33:$W$143,3,FALSE)</f>
        <v>0.1</v>
      </c>
      <c r="O32" s="3529">
        <f>'All - MECs'!O32*VLOOKUP($B$14,'Annual Parameters'!$B$33:$W$143,3,FALSE)/VLOOKUP('All - MECs'!$B$14,'Annual Parameters'!$B$33:$W$143,3,FALSE)</f>
        <v>8.2228101804739454E-2</v>
      </c>
      <c r="P32" s="3544"/>
      <c r="Q32" s="3521" t="s">
        <v>1095</v>
      </c>
      <c r="R32" s="3522"/>
      <c r="S32" s="3523" t="s">
        <v>1096</v>
      </c>
      <c r="T32" s="3524">
        <f>'All - MECs'!T32*VLOOKUP($B$14,'Annual Parameters'!$B$33:$W$143,3,FALSE)/VLOOKUP('All - MECs'!$B$14,'Annual Parameters'!$B$33:$W$143,3,FALSE)</f>
        <v>0</v>
      </c>
      <c r="U32" s="3525">
        <f>'All - MECs'!U32*VLOOKUP($B$14,'Annual Parameters'!$B$33:$W$143,3,FALSE)/VLOOKUP('All - MECs'!$B$14,'Annual Parameters'!$B$33:$W$143,3,FALSE)</f>
        <v>0.1</v>
      </c>
      <c r="V32" s="3526">
        <f>'All - MECs'!V32*VLOOKUP($B$14,'Annual Parameters'!$B$33:$W$143,3,FALSE)/VLOOKUP('All - MECs'!$B$14,'Annual Parameters'!$B$33:$W$143,3,FALSE)</f>
        <v>0.1</v>
      </c>
      <c r="W32" s="3524">
        <f>'All - MECs'!W32*VLOOKUP($B$14,'Annual Parameters'!$B$33:$W$143,3,FALSE)/VLOOKUP('All - MECs'!$B$14,'Annual Parameters'!$B$33:$W$143,3,FALSE)</f>
        <v>0</v>
      </c>
      <c r="X32" s="3525">
        <f>'All - MECs'!X32*VLOOKUP($B$14,'Annual Parameters'!$B$33:$W$143,3,FALSE)/VLOOKUP('All - MECs'!$B$14,'Annual Parameters'!$B$33:$W$143,3,FALSE)</f>
        <v>0.1</v>
      </c>
      <c r="Y32" s="3526">
        <f>'All - MECs'!Y32*VLOOKUP($B$14,'Annual Parameters'!$B$33:$W$143,3,FALSE)/VLOOKUP('All - MECs'!$B$14,'Annual Parameters'!$B$33:$W$143,3,FALSE)</f>
        <v>0.1</v>
      </c>
      <c r="Z32" s="3527">
        <f>'All - MECs'!Z32*VLOOKUP($B$14,'Annual Parameters'!$B$33:$W$143,3,FALSE)/VLOOKUP('All - MECs'!$B$14,'Annual Parameters'!$B$33:$W$143,3,FALSE)</f>
        <v>0.1</v>
      </c>
      <c r="AA32" s="3526">
        <f>'All - MECs'!AA32*VLOOKUP($B$14,'Annual Parameters'!$B$33:$W$143,3,FALSE)/VLOOKUP('All - MECs'!$B$14,'Annual Parameters'!$B$33:$W$143,3,FALSE)</f>
        <v>0.1</v>
      </c>
      <c r="AB32" s="3527">
        <f>'All - MECs'!AB32*VLOOKUP($B$14,'Annual Parameters'!$B$33:$W$143,3,FALSE)/VLOOKUP('All - MECs'!$B$14,'Annual Parameters'!$B$33:$W$143,3,FALSE)</f>
        <v>0</v>
      </c>
      <c r="AC32" s="3528">
        <f>'All - MECs'!AC32*VLOOKUP($B$14,'Annual Parameters'!$B$33:$W$143,3,FALSE)/VLOOKUP('All - MECs'!$B$14,'Annual Parameters'!$B$33:$W$143,3,FALSE)</f>
        <v>0.1</v>
      </c>
      <c r="AD32" s="3526">
        <f>'All - MECs'!AD32*VLOOKUP($B$14,'Annual Parameters'!$B$33:$W$143,3,FALSE)/VLOOKUP('All - MECs'!$B$14,'Annual Parameters'!$B$33:$W$143,3,FALSE)</f>
        <v>0.1</v>
      </c>
      <c r="AE32" s="3529">
        <f>'All - MECs'!AE32*VLOOKUP($B$14,'Annual Parameters'!$B$33:$W$143,3,FALSE)/VLOOKUP('All - MECs'!$B$14,'Annual Parameters'!$B$33:$W$143,3,FALSE)</f>
        <v>8.2438499770131471E-2</v>
      </c>
      <c r="AF32" s="3544"/>
      <c r="AG32" s="3521" t="s">
        <v>1095</v>
      </c>
      <c r="AH32" s="3522"/>
      <c r="AI32" s="3523" t="s">
        <v>1096</v>
      </c>
      <c r="AJ32" s="3524">
        <f>'All - MECs'!AJ32*VLOOKUP($B$14,'Annual Parameters'!$B$33:$W$143,3,FALSE)/VLOOKUP('All - MECs'!$B$14,'Annual Parameters'!$B$33:$W$143,3,FALSE)</f>
        <v>0.9</v>
      </c>
      <c r="AK32" s="3525">
        <f>'All - MECs'!AK32*VLOOKUP($B$14,'Annual Parameters'!$B$33:$W$143,3,FALSE)/VLOOKUP('All - MECs'!$B$14,'Annual Parameters'!$B$33:$W$143,3,FALSE)</f>
        <v>4.8</v>
      </c>
      <c r="AL32" s="3526">
        <f>'All - MECs'!AL32*VLOOKUP($B$14,'Annual Parameters'!$B$33:$W$143,3,FALSE)/VLOOKUP('All - MECs'!$B$14,'Annual Parameters'!$B$33:$W$143,3,FALSE)</f>
        <v>20.100000000000001</v>
      </c>
      <c r="AM32" s="3524">
        <f>'All - MECs'!AM32*VLOOKUP($B$14,'Annual Parameters'!$B$33:$W$143,3,FALSE)/VLOOKUP('All - MECs'!$B$14,'Annual Parameters'!$B$33:$W$143,3,FALSE)</f>
        <v>0.9</v>
      </c>
      <c r="AN32" s="3525">
        <f>'All - MECs'!AN32*VLOOKUP($B$14,'Annual Parameters'!$B$33:$W$143,3,FALSE)/VLOOKUP('All - MECs'!$B$14,'Annual Parameters'!$B$33:$W$143,3,FALSE)</f>
        <v>3.6</v>
      </c>
      <c r="AO32" s="3526">
        <f>'All - MECs'!AO32*VLOOKUP($B$14,'Annual Parameters'!$B$33:$W$143,3,FALSE)/VLOOKUP('All - MECs'!$B$14,'Annual Parameters'!$B$33:$W$143,3,FALSE)</f>
        <v>20.100000000000001</v>
      </c>
      <c r="AP32" s="3527">
        <f>'All - MECs'!AP32*VLOOKUP($B$14,'Annual Parameters'!$B$33:$W$143,3,FALSE)/VLOOKUP('All - MECs'!$B$14,'Annual Parameters'!$B$33:$W$143,3,FALSE)</f>
        <v>3.5</v>
      </c>
      <c r="AQ32" s="3526">
        <f>'All - MECs'!AQ32*VLOOKUP($B$14,'Annual Parameters'!$B$33:$W$143,3,FALSE)/VLOOKUP('All - MECs'!$B$14,'Annual Parameters'!$B$33:$W$143,3,FALSE)</f>
        <v>20.100000000000001</v>
      </c>
      <c r="AR32" s="3527">
        <f>'All - MECs'!AR32*VLOOKUP($B$14,'Annual Parameters'!$B$33:$W$143,3,FALSE)/VLOOKUP('All - MECs'!$B$14,'Annual Parameters'!$B$33:$W$143,3,FALSE)</f>
        <v>0.9</v>
      </c>
      <c r="AS32" s="3528">
        <f>'All - MECs'!AS32*VLOOKUP($B$14,'Annual Parameters'!$B$33:$W$143,3,FALSE)/VLOOKUP('All - MECs'!$B$14,'Annual Parameters'!$B$33:$W$143,3,FALSE)</f>
        <v>3</v>
      </c>
      <c r="AT32" s="3526">
        <f>'All - MECs'!AT32*VLOOKUP($B$14,'Annual Parameters'!$B$33:$W$143,3,FALSE)/VLOOKUP('All - MECs'!$B$14,'Annual Parameters'!$B$33:$W$143,3,FALSE)</f>
        <v>20.100000000000001</v>
      </c>
      <c r="AU32" s="3529">
        <f>'All - MECs'!AU32*VLOOKUP($B$14,'Annual Parameters'!$B$33:$W$143,3,FALSE)/VLOOKUP('All - MECs'!$B$14,'Annual Parameters'!$B$33:$W$143,3,FALSE)</f>
        <v>6.1616559035708862</v>
      </c>
      <c r="AV32" s="3544"/>
      <c r="AW32" s="3521" t="s">
        <v>1095</v>
      </c>
      <c r="AX32" s="3522"/>
      <c r="AY32" s="3523" t="s">
        <v>1096</v>
      </c>
      <c r="AZ32" s="3524">
        <f>'All - MECs'!AZ32*VLOOKUP($B$14,'Annual Parameters'!$B$33:$W$143,3,FALSE)/VLOOKUP('All - MECs'!$B$14,'Annual Parameters'!$B$33:$W$143,3,FALSE)</f>
        <v>3.6</v>
      </c>
      <c r="BA32" s="3525">
        <f>'All - MECs'!BA32*VLOOKUP($B$14,'Annual Parameters'!$B$33:$W$143,3,FALSE)/VLOOKUP('All - MECs'!$B$14,'Annual Parameters'!$B$33:$W$143,3,FALSE)</f>
        <v>16.8</v>
      </c>
      <c r="BB32" s="3526">
        <f>'All - MECs'!BB32*VLOOKUP($B$14,'Annual Parameters'!$B$33:$W$143,3,FALSE)/VLOOKUP('All - MECs'!$B$14,'Annual Parameters'!$B$33:$W$143,3,FALSE)</f>
        <v>82.8</v>
      </c>
      <c r="BC32" s="3524">
        <f>'All - MECs'!BC32*VLOOKUP($B$14,'Annual Parameters'!$B$33:$W$143,3,FALSE)/VLOOKUP('All - MECs'!$B$14,'Annual Parameters'!$B$33:$W$143,3,FALSE)</f>
        <v>3.6</v>
      </c>
      <c r="BD32" s="3525">
        <f>'All - MECs'!BD32*VLOOKUP($B$14,'Annual Parameters'!$B$33:$W$143,3,FALSE)/VLOOKUP('All - MECs'!$B$14,'Annual Parameters'!$B$33:$W$143,3,FALSE)</f>
        <v>12.7</v>
      </c>
      <c r="BE32" s="3526">
        <f>'All - MECs'!BE32*VLOOKUP($B$14,'Annual Parameters'!$B$33:$W$143,3,FALSE)/VLOOKUP('All - MECs'!$B$14,'Annual Parameters'!$B$33:$W$143,3,FALSE)</f>
        <v>82.8</v>
      </c>
      <c r="BF32" s="3527">
        <f>'All - MECs'!BF32*VLOOKUP($B$14,'Annual Parameters'!$B$33:$W$143,3,FALSE)/VLOOKUP('All - MECs'!$B$14,'Annual Parameters'!$B$33:$W$143,3,FALSE)</f>
        <v>12.5</v>
      </c>
      <c r="BG32" s="3526">
        <f>'All - MECs'!BG32*VLOOKUP($B$14,'Annual Parameters'!$B$33:$W$143,3,FALSE)/VLOOKUP('All - MECs'!$B$14,'Annual Parameters'!$B$33:$W$143,3,FALSE)</f>
        <v>82.8</v>
      </c>
      <c r="BH32" s="3527">
        <f>'All - MECs'!BH32*VLOOKUP($B$14,'Annual Parameters'!$B$33:$W$143,3,FALSE)/VLOOKUP('All - MECs'!$B$14,'Annual Parameters'!$B$33:$W$143,3,FALSE)</f>
        <v>3.6</v>
      </c>
      <c r="BI32" s="3528">
        <f>'All - MECs'!BI32*VLOOKUP($B$14,'Annual Parameters'!$B$33:$W$143,3,FALSE)/VLOOKUP('All - MECs'!$B$14,'Annual Parameters'!$B$33:$W$143,3,FALSE)</f>
        <v>10.9</v>
      </c>
      <c r="BJ32" s="3526">
        <f>'All - MECs'!BJ32*VLOOKUP($B$14,'Annual Parameters'!$B$33:$W$143,3,FALSE)/VLOOKUP('All - MECs'!$B$14,'Annual Parameters'!$B$33:$W$143,3,FALSE)</f>
        <v>82.8</v>
      </c>
      <c r="BK32" s="3529">
        <f>'All - MECs'!BK32*VLOOKUP($B$14,'Annual Parameters'!$B$33:$W$143,3,FALSE)/VLOOKUP('All - MECs'!$B$14,'Annual Parameters'!$B$33:$W$143,3,FALSE)</f>
        <v>8.4971857248413638</v>
      </c>
      <c r="BL32" s="3544"/>
      <c r="BM32" s="3521" t="s">
        <v>1095</v>
      </c>
      <c r="BN32" s="3522"/>
      <c r="BO32" s="3523" t="s">
        <v>1096</v>
      </c>
      <c r="BP32" s="3524">
        <f>'All - MECs'!BP32*VLOOKUP($B$14,'Annual Parameters'!$B$33:$W$143,3,FALSE)/VLOOKUP('All - MECs'!$B$14,'Annual Parameters'!$B$33:$W$143,3,FALSE)</f>
        <v>0</v>
      </c>
      <c r="BQ32" s="3525">
        <f>'All - MECs'!BQ32*VLOOKUP($B$14,'Annual Parameters'!$B$33:$W$143,3,FALSE)/VLOOKUP('All - MECs'!$B$14,'Annual Parameters'!$B$33:$W$143,3,FALSE)</f>
        <v>0</v>
      </c>
      <c r="BR32" s="3526">
        <f>'All - MECs'!BR32*VLOOKUP($B$14,'Annual Parameters'!$B$33:$W$143,3,FALSE)/VLOOKUP('All - MECs'!$B$14,'Annual Parameters'!$B$33:$W$143,3,FALSE)</f>
        <v>0</v>
      </c>
      <c r="BS32" s="3524">
        <f>'All - MECs'!BS32*VLOOKUP($B$14,'Annual Parameters'!$B$33:$W$143,3,FALSE)/VLOOKUP('All - MECs'!$B$14,'Annual Parameters'!$B$33:$W$143,3,FALSE)</f>
        <v>0</v>
      </c>
      <c r="BT32" s="3525">
        <f>'All - MECs'!BT32*VLOOKUP($B$14,'Annual Parameters'!$B$33:$W$143,3,FALSE)/VLOOKUP('All - MECs'!$B$14,'Annual Parameters'!$B$33:$W$143,3,FALSE)</f>
        <v>0</v>
      </c>
      <c r="BU32" s="3526">
        <f>'All - MECs'!BU32*VLOOKUP($B$14,'Annual Parameters'!$B$33:$W$143,3,FALSE)/VLOOKUP('All - MECs'!$B$14,'Annual Parameters'!$B$33:$W$143,3,FALSE)</f>
        <v>0</v>
      </c>
      <c r="BV32" s="3527">
        <f>'All - MECs'!BV32*VLOOKUP($B$14,'Annual Parameters'!$B$33:$W$143,3,FALSE)/VLOOKUP('All - MECs'!$B$14,'Annual Parameters'!$B$33:$W$143,3,FALSE)</f>
        <v>0</v>
      </c>
      <c r="BW32" s="3526">
        <f>'All - MECs'!BW32*VLOOKUP($B$14,'Annual Parameters'!$B$33:$W$143,3,FALSE)/VLOOKUP('All - MECs'!$B$14,'Annual Parameters'!$B$33:$W$143,3,FALSE)</f>
        <v>0</v>
      </c>
      <c r="BX32" s="3527">
        <f>'All - MECs'!BX32*VLOOKUP($B$14,'Annual Parameters'!$B$33:$W$143,3,FALSE)/VLOOKUP('All - MECs'!$B$14,'Annual Parameters'!$B$33:$W$143,3,FALSE)</f>
        <v>0</v>
      </c>
      <c r="BY32" s="3528">
        <f>'All - MECs'!BY32*VLOOKUP($B$14,'Annual Parameters'!$B$33:$W$143,3,FALSE)/VLOOKUP('All - MECs'!$B$14,'Annual Parameters'!$B$33:$W$143,3,FALSE)</f>
        <v>0</v>
      </c>
      <c r="BZ32" s="3526">
        <f>'All - MECs'!BZ32*VLOOKUP($B$14,'Annual Parameters'!$B$33:$W$143,3,FALSE)/VLOOKUP('All - MECs'!$B$14,'Annual Parameters'!$B$33:$W$143,3,FALSE)</f>
        <v>0</v>
      </c>
      <c r="CA32" s="3529">
        <f>'All - MECs'!CA32*VLOOKUP($B$14,'Annual Parameters'!$B$33:$W$143,3,FALSE)/VLOOKUP('All - MECs'!$B$14,'Annual Parameters'!$B$33:$W$143,3,FALSE)</f>
        <v>0</v>
      </c>
    </row>
    <row r="33" spans="1:95" ht="13.5" customHeight="1">
      <c r="A33" s="3521" t="s">
        <v>477</v>
      </c>
      <c r="B33" s="3522"/>
      <c r="C33" s="3530" t="s">
        <v>1096</v>
      </c>
      <c r="D33" s="3531">
        <f>'All - MECs'!D33*VLOOKUP($B$14,'Annual Parameters'!$B$33:$W$143,3,FALSE)/VLOOKUP('All - MECs'!$B$14,'Annual Parameters'!$B$33:$W$143,3,FALSE)</f>
        <v>0</v>
      </c>
      <c r="E33" s="3532">
        <f>'All - MECs'!E33*VLOOKUP($B$14,'Annual Parameters'!$B$33:$W$143,3,FALSE)/VLOOKUP('All - MECs'!$B$14,'Annual Parameters'!$B$33:$W$143,3,FALSE)</f>
        <v>3</v>
      </c>
      <c r="F33" s="3533">
        <f>'All - MECs'!F33*VLOOKUP($B$14,'Annual Parameters'!$B$33:$W$143,3,FALSE)/VLOOKUP('All - MECs'!$B$14,'Annual Parameters'!$B$33:$W$143,3,FALSE)</f>
        <v>3</v>
      </c>
      <c r="G33" s="3531">
        <f>'All - MECs'!G33*VLOOKUP($B$14,'Annual Parameters'!$B$33:$W$143,3,FALSE)/VLOOKUP('All - MECs'!$B$14,'Annual Parameters'!$B$33:$W$143,3,FALSE)</f>
        <v>0</v>
      </c>
      <c r="H33" s="3532">
        <f>'All - MECs'!H33*VLOOKUP($B$14,'Annual Parameters'!$B$33:$W$143,3,FALSE)/VLOOKUP('All - MECs'!$B$14,'Annual Parameters'!$B$33:$W$143,3,FALSE)</f>
        <v>3</v>
      </c>
      <c r="I33" s="3534">
        <f>'All - MECs'!I33*VLOOKUP($B$14,'Annual Parameters'!$B$33:$W$143,3,FALSE)/VLOOKUP('All - MECs'!$B$14,'Annual Parameters'!$B$33:$W$143,3,FALSE)</f>
        <v>3</v>
      </c>
      <c r="J33" s="3535">
        <f>'All - MECs'!J33*VLOOKUP($B$14,'Annual Parameters'!$B$33:$W$143,3,FALSE)/VLOOKUP('All - MECs'!$B$14,'Annual Parameters'!$B$33:$W$143,3,FALSE)</f>
        <v>3</v>
      </c>
      <c r="K33" s="3533">
        <f>'All - MECs'!K33*VLOOKUP($B$14,'Annual Parameters'!$B$33:$W$143,3,FALSE)/VLOOKUP('All - MECs'!$B$14,'Annual Parameters'!$B$33:$W$143,3,FALSE)</f>
        <v>3</v>
      </c>
      <c r="L33" s="3535">
        <f>'All - MECs'!L33*VLOOKUP($B$14,'Annual Parameters'!$B$33:$W$143,3,FALSE)/VLOOKUP('All - MECs'!$B$14,'Annual Parameters'!$B$33:$W$143,3,FALSE)</f>
        <v>0</v>
      </c>
      <c r="M33" s="3536">
        <f>'All - MECs'!M33*VLOOKUP($B$14,'Annual Parameters'!$B$33:$W$143,3,FALSE)/VLOOKUP('All - MECs'!$B$14,'Annual Parameters'!$B$33:$W$143,3,FALSE)</f>
        <v>0.7</v>
      </c>
      <c r="N33" s="3533">
        <f>'All - MECs'!N33*VLOOKUP($B$14,'Annual Parameters'!$B$33:$W$143,3,FALSE)/VLOOKUP('All - MECs'!$B$14,'Annual Parameters'!$B$33:$W$143,3,FALSE)</f>
        <v>0.7</v>
      </c>
      <c r="O33" s="3502">
        <f>'All - MECs'!O33*VLOOKUP($B$14,'Annual Parameters'!$B$33:$W$143,3,FALSE)/VLOOKUP('All - MECs'!$B$14,'Annual Parameters'!$B$33:$W$143,3,FALSE)</f>
        <v>1.6205979727883946</v>
      </c>
      <c r="P33" s="3544"/>
      <c r="Q33" s="3521" t="s">
        <v>477</v>
      </c>
      <c r="R33" s="3522"/>
      <c r="S33" s="3530" t="s">
        <v>1096</v>
      </c>
      <c r="T33" s="3531">
        <f>'All - MECs'!T33*VLOOKUP($B$14,'Annual Parameters'!$B$33:$W$143,3,FALSE)/VLOOKUP('All - MECs'!$B$14,'Annual Parameters'!$B$33:$W$143,3,FALSE)</f>
        <v>0</v>
      </c>
      <c r="U33" s="3532">
        <f>'All - MECs'!U33*VLOOKUP($B$14,'Annual Parameters'!$B$33:$W$143,3,FALSE)/VLOOKUP('All - MECs'!$B$14,'Annual Parameters'!$B$33:$W$143,3,FALSE)</f>
        <v>3</v>
      </c>
      <c r="V33" s="3533">
        <f>'All - MECs'!V33*VLOOKUP($B$14,'Annual Parameters'!$B$33:$W$143,3,FALSE)/VLOOKUP('All - MECs'!$B$14,'Annual Parameters'!$B$33:$W$143,3,FALSE)</f>
        <v>3</v>
      </c>
      <c r="W33" s="3531">
        <f>'All - MECs'!W33*VLOOKUP($B$14,'Annual Parameters'!$B$33:$W$143,3,FALSE)/VLOOKUP('All - MECs'!$B$14,'Annual Parameters'!$B$33:$W$143,3,FALSE)</f>
        <v>0</v>
      </c>
      <c r="X33" s="3532">
        <f>'All - MECs'!X33*VLOOKUP($B$14,'Annual Parameters'!$B$33:$W$143,3,FALSE)/VLOOKUP('All - MECs'!$B$14,'Annual Parameters'!$B$33:$W$143,3,FALSE)</f>
        <v>3</v>
      </c>
      <c r="Y33" s="3534">
        <f>'All - MECs'!Y33*VLOOKUP($B$14,'Annual Parameters'!$B$33:$W$143,3,FALSE)/VLOOKUP('All - MECs'!$B$14,'Annual Parameters'!$B$33:$W$143,3,FALSE)</f>
        <v>3</v>
      </c>
      <c r="Z33" s="3535">
        <f>'All - MECs'!Z33*VLOOKUP($B$14,'Annual Parameters'!$B$33:$W$143,3,FALSE)/VLOOKUP('All - MECs'!$B$14,'Annual Parameters'!$B$33:$W$143,3,FALSE)</f>
        <v>3</v>
      </c>
      <c r="AA33" s="3533">
        <f>'All - MECs'!AA33*VLOOKUP($B$14,'Annual Parameters'!$B$33:$W$143,3,FALSE)/VLOOKUP('All - MECs'!$B$14,'Annual Parameters'!$B$33:$W$143,3,FALSE)</f>
        <v>3</v>
      </c>
      <c r="AB33" s="3535">
        <f>'All - MECs'!AB33*VLOOKUP($B$14,'Annual Parameters'!$B$33:$W$143,3,FALSE)/VLOOKUP('All - MECs'!$B$14,'Annual Parameters'!$B$33:$W$143,3,FALSE)</f>
        <v>0</v>
      </c>
      <c r="AC33" s="3536">
        <f>'All - MECs'!AC33*VLOOKUP($B$14,'Annual Parameters'!$B$33:$W$143,3,FALSE)/VLOOKUP('All - MECs'!$B$14,'Annual Parameters'!$B$33:$W$143,3,FALSE)</f>
        <v>0.7</v>
      </c>
      <c r="AD33" s="3533">
        <f>'All - MECs'!AD33*VLOOKUP($B$14,'Annual Parameters'!$B$33:$W$143,3,FALSE)/VLOOKUP('All - MECs'!$B$14,'Annual Parameters'!$B$33:$W$143,3,FALSE)</f>
        <v>0.7</v>
      </c>
      <c r="AE33" s="3502">
        <f>'All - MECs'!AE33*VLOOKUP($B$14,'Annual Parameters'!$B$33:$W$143,3,FALSE)/VLOOKUP('All - MECs'!$B$14,'Annual Parameters'!$B$33:$W$143,3,FALSE)</f>
        <v>1.5598821650004222</v>
      </c>
      <c r="AF33" s="3544"/>
      <c r="AG33" s="3521" t="s">
        <v>477</v>
      </c>
      <c r="AH33" s="3522"/>
      <c r="AI33" s="3530" t="s">
        <v>1096</v>
      </c>
      <c r="AJ33" s="3531">
        <f>'All - MECs'!AJ33*VLOOKUP($B$14,'Annual Parameters'!$B$33:$W$143,3,FALSE)/VLOOKUP('All - MECs'!$B$14,'Annual Parameters'!$B$33:$W$143,3,FALSE)</f>
        <v>0.3</v>
      </c>
      <c r="AK33" s="3532">
        <f>'All - MECs'!AK33*VLOOKUP($B$14,'Annual Parameters'!$B$33:$W$143,3,FALSE)/VLOOKUP('All - MECs'!$B$14,'Annual Parameters'!$B$33:$W$143,3,FALSE)</f>
        <v>3.2</v>
      </c>
      <c r="AL33" s="3533">
        <f>'All - MECs'!AL33*VLOOKUP($B$14,'Annual Parameters'!$B$33:$W$143,3,FALSE)/VLOOKUP('All - MECs'!$B$14,'Annual Parameters'!$B$33:$W$143,3,FALSE)</f>
        <v>3.2</v>
      </c>
      <c r="AM33" s="3531">
        <f>'All - MECs'!AM33*VLOOKUP($B$14,'Annual Parameters'!$B$33:$W$143,3,FALSE)/VLOOKUP('All - MECs'!$B$14,'Annual Parameters'!$B$33:$W$143,3,FALSE)</f>
        <v>0.3</v>
      </c>
      <c r="AN33" s="3532">
        <f>'All - MECs'!AN33*VLOOKUP($B$14,'Annual Parameters'!$B$33:$W$143,3,FALSE)/VLOOKUP('All - MECs'!$B$14,'Annual Parameters'!$B$33:$W$143,3,FALSE)</f>
        <v>3.2</v>
      </c>
      <c r="AO33" s="3534">
        <f>'All - MECs'!AO33*VLOOKUP($B$14,'Annual Parameters'!$B$33:$W$143,3,FALSE)/VLOOKUP('All - MECs'!$B$14,'Annual Parameters'!$B$33:$W$143,3,FALSE)</f>
        <v>3.2</v>
      </c>
      <c r="AP33" s="3535">
        <f>'All - MECs'!AP33*VLOOKUP($B$14,'Annual Parameters'!$B$33:$W$143,3,FALSE)/VLOOKUP('All - MECs'!$B$14,'Annual Parameters'!$B$33:$W$143,3,FALSE)</f>
        <v>3.2</v>
      </c>
      <c r="AQ33" s="3533">
        <f>'All - MECs'!AQ33*VLOOKUP($B$14,'Annual Parameters'!$B$33:$W$143,3,FALSE)/VLOOKUP('All - MECs'!$B$14,'Annual Parameters'!$B$33:$W$143,3,FALSE)</f>
        <v>3.2</v>
      </c>
      <c r="AR33" s="3535">
        <f>'All - MECs'!AR33*VLOOKUP($B$14,'Annual Parameters'!$B$33:$W$143,3,FALSE)/VLOOKUP('All - MECs'!$B$14,'Annual Parameters'!$B$33:$W$143,3,FALSE)</f>
        <v>0.3</v>
      </c>
      <c r="AS33" s="3536">
        <f>'All - MECs'!AS33*VLOOKUP($B$14,'Annual Parameters'!$B$33:$W$143,3,FALSE)/VLOOKUP('All - MECs'!$B$14,'Annual Parameters'!$B$33:$W$143,3,FALSE)</f>
        <v>3.4</v>
      </c>
      <c r="AT33" s="3533">
        <f>'All - MECs'!AT33*VLOOKUP($B$14,'Annual Parameters'!$B$33:$W$143,3,FALSE)/VLOOKUP('All - MECs'!$B$14,'Annual Parameters'!$B$33:$W$143,3,FALSE)</f>
        <v>3.4</v>
      </c>
      <c r="AU33" s="3502">
        <f>'All - MECs'!AU33*VLOOKUP($B$14,'Annual Parameters'!$B$33:$W$143,3,FALSE)/VLOOKUP('All - MECs'!$B$14,'Annual Parameters'!$B$33:$W$143,3,FALSE)</f>
        <v>2.4138064029434125</v>
      </c>
      <c r="AV33" s="3544"/>
      <c r="AW33" s="3521" t="s">
        <v>477</v>
      </c>
      <c r="AX33" s="3522"/>
      <c r="AY33" s="3530" t="s">
        <v>1096</v>
      </c>
      <c r="AZ33" s="3531">
        <f>'All - MECs'!AZ33*VLOOKUP($B$14,'Annual Parameters'!$B$33:$W$143,3,FALSE)/VLOOKUP('All - MECs'!$B$14,'Annual Parameters'!$B$33:$W$143,3,FALSE)</f>
        <v>0.3</v>
      </c>
      <c r="BA33" s="3532">
        <f>'All - MECs'!BA33*VLOOKUP($B$14,'Annual Parameters'!$B$33:$W$143,3,FALSE)/VLOOKUP('All - MECs'!$B$14,'Annual Parameters'!$B$33:$W$143,3,FALSE)</f>
        <v>3.2</v>
      </c>
      <c r="BB33" s="3533">
        <f>'All - MECs'!BB33*VLOOKUP($B$14,'Annual Parameters'!$B$33:$W$143,3,FALSE)/VLOOKUP('All - MECs'!$B$14,'Annual Parameters'!$B$33:$W$143,3,FALSE)</f>
        <v>3.2</v>
      </c>
      <c r="BC33" s="3531">
        <f>'All - MECs'!BC33*VLOOKUP($B$14,'Annual Parameters'!$B$33:$W$143,3,FALSE)/VLOOKUP('All - MECs'!$B$14,'Annual Parameters'!$B$33:$W$143,3,FALSE)</f>
        <v>0.3</v>
      </c>
      <c r="BD33" s="3532">
        <f>'All - MECs'!BD33*VLOOKUP($B$14,'Annual Parameters'!$B$33:$W$143,3,FALSE)/VLOOKUP('All - MECs'!$B$14,'Annual Parameters'!$B$33:$W$143,3,FALSE)</f>
        <v>3.2</v>
      </c>
      <c r="BE33" s="3534">
        <f>'All - MECs'!BE33*VLOOKUP($B$14,'Annual Parameters'!$B$33:$W$143,3,FALSE)/VLOOKUP('All - MECs'!$B$14,'Annual Parameters'!$B$33:$W$143,3,FALSE)</f>
        <v>3.2</v>
      </c>
      <c r="BF33" s="3535">
        <f>'All - MECs'!BF33*VLOOKUP($B$14,'Annual Parameters'!$B$33:$W$143,3,FALSE)/VLOOKUP('All - MECs'!$B$14,'Annual Parameters'!$B$33:$W$143,3,FALSE)</f>
        <v>3.2</v>
      </c>
      <c r="BG33" s="3533">
        <f>'All - MECs'!BG33*VLOOKUP($B$14,'Annual Parameters'!$B$33:$W$143,3,FALSE)/VLOOKUP('All - MECs'!$B$14,'Annual Parameters'!$B$33:$W$143,3,FALSE)</f>
        <v>3.2</v>
      </c>
      <c r="BH33" s="3535">
        <f>'All - MECs'!BH33*VLOOKUP($B$14,'Annual Parameters'!$B$33:$W$143,3,FALSE)/VLOOKUP('All - MECs'!$B$14,'Annual Parameters'!$B$33:$W$143,3,FALSE)</f>
        <v>0.3</v>
      </c>
      <c r="BI33" s="3536">
        <f>'All - MECs'!BI33*VLOOKUP($B$14,'Annual Parameters'!$B$33:$W$143,3,FALSE)/VLOOKUP('All - MECs'!$B$14,'Annual Parameters'!$B$33:$W$143,3,FALSE)</f>
        <v>3.4</v>
      </c>
      <c r="BJ33" s="3533">
        <f>'All - MECs'!BJ33*VLOOKUP($B$14,'Annual Parameters'!$B$33:$W$143,3,FALSE)/VLOOKUP('All - MECs'!$B$14,'Annual Parameters'!$B$33:$W$143,3,FALSE)</f>
        <v>3.4</v>
      </c>
      <c r="BK33" s="3502">
        <f>'All - MECs'!BK33*VLOOKUP($B$14,'Annual Parameters'!$B$33:$W$143,3,FALSE)/VLOOKUP('All - MECs'!$B$14,'Annual Parameters'!$B$33:$W$143,3,FALSE)</f>
        <v>1.6380799377363064</v>
      </c>
      <c r="BL33" s="3544"/>
      <c r="BM33" s="3521" t="s">
        <v>477</v>
      </c>
      <c r="BN33" s="3522"/>
      <c r="BO33" s="3530" t="s">
        <v>1096</v>
      </c>
      <c r="BP33" s="3531">
        <f>'All - MECs'!BP33*VLOOKUP($B$14,'Annual Parameters'!$B$33:$W$143,3,FALSE)/VLOOKUP('All - MECs'!$B$14,'Annual Parameters'!$B$33:$W$143,3,FALSE)</f>
        <v>0</v>
      </c>
      <c r="BQ33" s="3532">
        <f>'All - MECs'!BQ33*VLOOKUP($B$14,'Annual Parameters'!$B$33:$W$143,3,FALSE)/VLOOKUP('All - MECs'!$B$14,'Annual Parameters'!$B$33:$W$143,3,FALSE)</f>
        <v>0</v>
      </c>
      <c r="BR33" s="3533">
        <f>'All - MECs'!BR33*VLOOKUP($B$14,'Annual Parameters'!$B$33:$W$143,3,FALSE)/VLOOKUP('All - MECs'!$B$14,'Annual Parameters'!$B$33:$W$143,3,FALSE)</f>
        <v>0</v>
      </c>
      <c r="BS33" s="3531">
        <f>'All - MECs'!BS33*VLOOKUP($B$14,'Annual Parameters'!$B$33:$W$143,3,FALSE)/VLOOKUP('All - MECs'!$B$14,'Annual Parameters'!$B$33:$W$143,3,FALSE)</f>
        <v>0</v>
      </c>
      <c r="BT33" s="3532">
        <f>'All - MECs'!BT33*VLOOKUP($B$14,'Annual Parameters'!$B$33:$W$143,3,FALSE)/VLOOKUP('All - MECs'!$B$14,'Annual Parameters'!$B$33:$W$143,3,FALSE)</f>
        <v>0</v>
      </c>
      <c r="BU33" s="3534">
        <f>'All - MECs'!BU33*VLOOKUP($B$14,'Annual Parameters'!$B$33:$W$143,3,FALSE)/VLOOKUP('All - MECs'!$B$14,'Annual Parameters'!$B$33:$W$143,3,FALSE)</f>
        <v>0</v>
      </c>
      <c r="BV33" s="3535">
        <f>'All - MECs'!BV33*VLOOKUP($B$14,'Annual Parameters'!$B$33:$W$143,3,FALSE)/VLOOKUP('All - MECs'!$B$14,'Annual Parameters'!$B$33:$W$143,3,FALSE)</f>
        <v>0</v>
      </c>
      <c r="BW33" s="3533">
        <f>'All - MECs'!BW33*VLOOKUP($B$14,'Annual Parameters'!$B$33:$W$143,3,FALSE)/VLOOKUP('All - MECs'!$B$14,'Annual Parameters'!$B$33:$W$143,3,FALSE)</f>
        <v>0</v>
      </c>
      <c r="BX33" s="3535">
        <f>'All - MECs'!BX33*VLOOKUP($B$14,'Annual Parameters'!$B$33:$W$143,3,FALSE)/VLOOKUP('All - MECs'!$B$14,'Annual Parameters'!$B$33:$W$143,3,FALSE)</f>
        <v>0</v>
      </c>
      <c r="BY33" s="3536">
        <f>'All - MECs'!BY33*VLOOKUP($B$14,'Annual Parameters'!$B$33:$W$143,3,FALSE)/VLOOKUP('All - MECs'!$B$14,'Annual Parameters'!$B$33:$W$143,3,FALSE)</f>
        <v>0</v>
      </c>
      <c r="BZ33" s="3533">
        <f>'All - MECs'!BZ33*VLOOKUP($B$14,'Annual Parameters'!$B$33:$W$143,3,FALSE)/VLOOKUP('All - MECs'!$B$14,'Annual Parameters'!$B$33:$W$143,3,FALSE)</f>
        <v>0</v>
      </c>
      <c r="CA33" s="3502">
        <f>'All - MECs'!CA33*VLOOKUP($B$14,'Annual Parameters'!$B$33:$W$143,3,FALSE)/VLOOKUP('All - MECs'!$B$14,'Annual Parameters'!$B$33:$W$143,3,FALSE)</f>
        <v>0</v>
      </c>
    </row>
    <row r="34" spans="1:95" ht="13.5" customHeight="1">
      <c r="A34" s="3521" t="s">
        <v>1097</v>
      </c>
      <c r="B34" s="3522"/>
      <c r="C34" s="3530" t="s">
        <v>1096</v>
      </c>
      <c r="D34" s="3535">
        <f>'All - MECs'!D34*VLOOKUP($B$14,'Annual Parameters'!$B$33:$W$143,3,FALSE)/VLOOKUP('All - MECs'!$B$14,'Annual Parameters'!$B$33:$W$143,3,FALSE)</f>
        <v>1.6626911512401679</v>
      </c>
      <c r="E34" s="3532">
        <f>'All - MECs'!E34*VLOOKUP($B$14,'Annual Parameters'!$B$33:$W$143,3,FALSE)/VLOOKUP('All - MECs'!$B$14,'Annual Parameters'!$B$33:$W$143,3,FALSE)</f>
        <v>1.5884631561645346</v>
      </c>
      <c r="F34" s="3537">
        <f>'All - MECs'!F34*VLOOKUP($B$14,'Annual Parameters'!$B$33:$W$143,3,FALSE)/VLOOKUP('All - MECs'!$B$14,'Annual Parameters'!$B$33:$W$143,3,FALSE)</f>
        <v>2.036838691657906</v>
      </c>
      <c r="G34" s="3531">
        <f>'All - MECs'!G34*VLOOKUP($B$14,'Annual Parameters'!$B$33:$W$143,3,FALSE)/VLOOKUP('All - MECs'!$B$14,'Annual Parameters'!$B$33:$W$143,3,FALSE)</f>
        <v>0.70199822697416214</v>
      </c>
      <c r="H34" s="3532">
        <f>'All - MECs'!H34*VLOOKUP($B$14,'Annual Parameters'!$B$33:$W$143,3,FALSE)/VLOOKUP('All - MECs'!$B$14,'Annual Parameters'!$B$33:$W$143,3,FALSE)</f>
        <v>0.59335577832972863</v>
      </c>
      <c r="I34" s="3537">
        <f>'All - MECs'!I34*VLOOKUP($B$14,'Annual Parameters'!$B$33:$W$143,3,FALSE)/VLOOKUP('All - MECs'!$B$14,'Annual Parameters'!$B$33:$W$143,3,FALSE)</f>
        <v>0.62868313663599307</v>
      </c>
      <c r="J34" s="3531">
        <f>'All - MECs'!J34*VLOOKUP($B$14,'Annual Parameters'!$B$33:$W$143,3,FALSE)/VLOOKUP('All - MECs'!$B$14,'Annual Parameters'!$B$33:$W$143,3,FALSE)</f>
        <v>0.43529327600106704</v>
      </c>
      <c r="K34" s="3537">
        <f>'All - MECs'!K34*VLOOKUP($B$14,'Annual Parameters'!$B$33:$W$143,3,FALSE)/VLOOKUP('All - MECs'!$B$14,'Annual Parameters'!$B$33:$W$143,3,FALSE)</f>
        <v>0.45863550197929526</v>
      </c>
      <c r="L34" s="3531">
        <f>'All - MECs'!L34*VLOOKUP($B$14,'Annual Parameters'!$B$33:$W$143,3,FALSE)/VLOOKUP('All - MECs'!$B$14,'Annual Parameters'!$B$33:$W$143,3,FALSE)</f>
        <v>0.20681674810070944</v>
      </c>
      <c r="M34" s="3538">
        <f>'All - MECs'!M34*VLOOKUP($B$14,'Annual Parameters'!$B$33:$W$143,3,FALSE)/VLOOKUP('All - MECs'!$B$14,'Annual Parameters'!$B$33:$W$143,3,FALSE)</f>
        <v>0.16565724922652678</v>
      </c>
      <c r="N34" s="3534">
        <f>'All - MECs'!N34*VLOOKUP($B$14,'Annual Parameters'!$B$33:$W$143,3,FALSE)/VLOOKUP('All - MECs'!$B$14,'Annual Parameters'!$B$33:$W$143,3,FALSE)</f>
        <v>0.14759898012573155</v>
      </c>
      <c r="O34" s="3539">
        <f>'All - MECs'!O34*VLOOKUP($B$14,'Annual Parameters'!$B$33:$W$143,3,FALSE)/VLOOKUP('All - MECs'!$B$14,'Annual Parameters'!$B$33:$W$143,3,FALSE)</f>
        <v>0.42677637529761425</v>
      </c>
      <c r="P34" s="3544"/>
      <c r="Q34" s="3521" t="s">
        <v>1097</v>
      </c>
      <c r="R34" s="3522"/>
      <c r="S34" s="3530" t="s">
        <v>1096</v>
      </c>
      <c r="T34" s="3535">
        <f>'All - MECs'!T34*VLOOKUP($B$14,'Annual Parameters'!$B$33:$W$143,3,FALSE)/VLOOKUP('All - MECs'!$B$14,'Annual Parameters'!$B$33:$W$143,3,FALSE)</f>
        <v>4.6789970637980325</v>
      </c>
      <c r="U34" s="3532">
        <f>'All - MECs'!U34*VLOOKUP($B$14,'Annual Parameters'!$B$33:$W$143,3,FALSE)/VLOOKUP('All - MECs'!$B$14,'Annual Parameters'!$B$33:$W$143,3,FALSE)</f>
        <v>4.3584787619125755</v>
      </c>
      <c r="V34" s="3537">
        <f>'All - MECs'!V34*VLOOKUP($B$14,'Annual Parameters'!$B$33:$W$143,3,FALSE)/VLOOKUP('All - MECs'!$B$14,'Annual Parameters'!$B$33:$W$143,3,FALSE)</f>
        <v>5.987292883513982</v>
      </c>
      <c r="W34" s="3531">
        <f>'All - MECs'!W34*VLOOKUP($B$14,'Annual Parameters'!$B$33:$W$143,3,FALSE)/VLOOKUP('All - MECs'!$B$14,'Annual Parameters'!$B$33:$W$143,3,FALSE)</f>
        <v>1.9841699062295171</v>
      </c>
      <c r="X34" s="3532">
        <f>'All - MECs'!X34*VLOOKUP($B$14,'Annual Parameters'!$B$33:$W$143,3,FALSE)/VLOOKUP('All - MECs'!$B$14,'Annual Parameters'!$B$33:$W$143,3,FALSE)</f>
        <v>1.6255272258272369</v>
      </c>
      <c r="Y34" s="3537">
        <f>'All - MECs'!Y34*VLOOKUP($B$14,'Annual Parameters'!$B$33:$W$143,3,FALSE)/VLOOKUP('All - MECs'!$B$14,'Annual Parameters'!$B$33:$W$143,3,FALSE)</f>
        <v>1.7772018980467441</v>
      </c>
      <c r="Z34" s="3531">
        <f>'All - MECs'!Z34*VLOOKUP($B$14,'Annual Parameters'!$B$33:$W$143,3,FALSE)/VLOOKUP('All - MECs'!$B$14,'Annual Parameters'!$B$33:$W$143,3,FALSE)</f>
        <v>1.1798309294018494</v>
      </c>
      <c r="AA34" s="3537">
        <f>'All - MECs'!AA34*VLOOKUP($B$14,'Annual Parameters'!$B$33:$W$143,3,FALSE)/VLOOKUP('All - MECs'!$B$14,'Annual Parameters'!$B$33:$W$143,3,FALSE)</f>
        <v>1.2747109262016818</v>
      </c>
      <c r="AB34" s="3531">
        <f>'All - MECs'!AB34*VLOOKUP($B$14,'Annual Parameters'!$B$33:$W$143,3,FALSE)/VLOOKUP('All - MECs'!$B$14,'Annual Parameters'!$B$33:$W$143,3,FALSE)</f>
        <v>0.57728435899227248</v>
      </c>
      <c r="AC34" s="3538">
        <f>'All - MECs'!AC34*VLOOKUP($B$14,'Annual Parameters'!$B$33:$W$143,3,FALSE)/VLOOKUP('All - MECs'!$B$14,'Annual Parameters'!$B$33:$W$143,3,FALSE)</f>
        <v>0.47702166736161222</v>
      </c>
      <c r="AD34" s="3534">
        <f>'All - MECs'!AD34*VLOOKUP($B$14,'Annual Parameters'!$B$33:$W$143,3,FALSE)/VLOOKUP('All - MECs'!$B$14,'Annual Parameters'!$B$33:$W$143,3,FALSE)</f>
        <v>0.39908161969077782</v>
      </c>
      <c r="AE34" s="3539">
        <f>'All - MECs'!AE34*VLOOKUP($B$14,'Annual Parameters'!$B$33:$W$143,3,FALSE)/VLOOKUP('All - MECs'!$B$14,'Annual Parameters'!$B$33:$W$143,3,FALSE)</f>
        <v>1.184184838352742</v>
      </c>
      <c r="AF34" s="3544"/>
      <c r="AG34" s="3521" t="s">
        <v>1097</v>
      </c>
      <c r="AH34" s="3522"/>
      <c r="AI34" s="3530" t="s">
        <v>1096</v>
      </c>
      <c r="AJ34" s="3535">
        <f>'All - MECs'!AJ34*VLOOKUP($B$14,'Annual Parameters'!$B$33:$W$143,3,FALSE)/VLOOKUP('All - MECs'!$B$14,'Annual Parameters'!$B$33:$W$143,3,FALSE)</f>
        <v>12.691168447467199</v>
      </c>
      <c r="AK34" s="3532">
        <f>'All - MECs'!AK34*VLOOKUP($B$14,'Annual Parameters'!$B$33:$W$143,3,FALSE)/VLOOKUP('All - MECs'!$B$14,'Annual Parameters'!$B$33:$W$143,3,FALSE)</f>
        <v>17.480281635673467</v>
      </c>
      <c r="AL34" s="3537">
        <f>'All - MECs'!AL34*VLOOKUP($B$14,'Annual Parameters'!$B$33:$W$143,3,FALSE)/VLOOKUP('All - MECs'!$B$14,'Annual Parameters'!$B$33:$W$143,3,FALSE)</f>
        <v>23.615799635101215</v>
      </c>
      <c r="AM34" s="3531">
        <f>'All - MECs'!AM34*VLOOKUP($B$14,'Annual Parameters'!$B$33:$W$143,3,FALSE)/VLOOKUP('All - MECs'!$B$14,'Annual Parameters'!$B$33:$W$143,3,FALSE)</f>
        <v>5.754655635255606</v>
      </c>
      <c r="AN34" s="3532">
        <f>'All - MECs'!AN34*VLOOKUP($B$14,'Annual Parameters'!$B$33:$W$143,3,FALSE)/VLOOKUP('All - MECs'!$B$14,'Annual Parameters'!$B$33:$W$143,3,FALSE)</f>
        <v>6.672865483704129</v>
      </c>
      <c r="AO34" s="3537">
        <f>'All - MECs'!AO34*VLOOKUP($B$14,'Annual Parameters'!$B$33:$W$143,3,FALSE)/VLOOKUP('All - MECs'!$B$14,'Annual Parameters'!$B$33:$W$143,3,FALSE)</f>
        <v>7.8632149470674371</v>
      </c>
      <c r="AP34" s="3531">
        <f>'All - MECs'!AP34*VLOOKUP($B$14,'Annual Parameters'!$B$33:$W$143,3,FALSE)/VLOOKUP('All - MECs'!$B$14,'Annual Parameters'!$B$33:$W$143,3,FALSE)</f>
        <v>4.6163799500195042</v>
      </c>
      <c r="AQ34" s="3537">
        <f>'All - MECs'!AQ34*VLOOKUP($B$14,'Annual Parameters'!$B$33:$W$143,3,FALSE)/VLOOKUP('All - MECs'!$B$14,'Annual Parameters'!$B$33:$W$143,3,FALSE)</f>
        <v>5.6261002412405112</v>
      </c>
      <c r="AR34" s="3531">
        <f>'All - MECs'!AR34*VLOOKUP($B$14,'Annual Parameters'!$B$33:$W$143,3,FALSE)/VLOOKUP('All - MECs'!$B$14,'Annual Parameters'!$B$33:$W$143,3,FALSE)</f>
        <v>1.6580947484060065</v>
      </c>
      <c r="AS34" s="3538">
        <f>'All - MECs'!AS34*VLOOKUP($B$14,'Annual Parameters'!$B$33:$W$143,3,FALSE)/VLOOKUP('All - MECs'!$B$14,'Annual Parameters'!$B$33:$W$143,3,FALSE)</f>
        <v>1.5772471401299974</v>
      </c>
      <c r="AT34" s="3534">
        <f>'All - MECs'!AT34*VLOOKUP($B$14,'Annual Parameters'!$B$33:$W$143,3,FALSE)/VLOOKUP('All - MECs'!$B$14,'Annual Parameters'!$B$33:$W$143,3,FALSE)</f>
        <v>1.5563694793149077</v>
      </c>
      <c r="AU34" s="3539">
        <f>'All - MECs'!AU34*VLOOKUP($B$14,'Annual Parameters'!$B$33:$W$143,3,FALSE)/VLOOKUP('All - MECs'!$B$14,'Annual Parameters'!$B$33:$W$143,3,FALSE)</f>
        <v>3.7744962863154425</v>
      </c>
      <c r="AV34" s="3544"/>
      <c r="AW34" s="3521" t="s">
        <v>1097</v>
      </c>
      <c r="AX34" s="3522"/>
      <c r="AY34" s="3530" t="s">
        <v>1096</v>
      </c>
      <c r="AZ34" s="3535">
        <f>'All - MECs'!AZ34*VLOOKUP($B$14,'Annual Parameters'!$B$33:$W$143,3,FALSE)/VLOOKUP('All - MECs'!$B$14,'Annual Parameters'!$B$33:$W$143,3,FALSE)</f>
        <v>21.139702156240322</v>
      </c>
      <c r="BA34" s="3532">
        <f>'All - MECs'!BA34*VLOOKUP($B$14,'Annual Parameters'!$B$33:$W$143,3,FALSE)/VLOOKUP('All - MECs'!$B$14,'Annual Parameters'!$B$33:$W$143,3,FALSE)</f>
        <v>29.337761562465683</v>
      </c>
      <c r="BB34" s="3537">
        <f>'All - MECs'!BB34*VLOOKUP($B$14,'Annual Parameters'!$B$33:$W$143,3,FALSE)/VLOOKUP('All - MECs'!$B$14,'Annual Parameters'!$B$33:$W$143,3,FALSE)</f>
        <v>49.448133832658975</v>
      </c>
      <c r="BC34" s="3531">
        <f>'All - MECs'!BC34*VLOOKUP($B$14,'Annual Parameters'!$B$33:$W$143,3,FALSE)/VLOOKUP('All - MECs'!$B$14,'Annual Parameters'!$B$33:$W$143,3,FALSE)</f>
        <v>9.2998981509464045</v>
      </c>
      <c r="BD34" s="3532">
        <f>'All - MECs'!BD34*VLOOKUP($B$14,'Annual Parameters'!$B$33:$W$143,3,FALSE)/VLOOKUP('All - MECs'!$B$14,'Annual Parameters'!$B$33:$W$143,3,FALSE)</f>
        <v>10.434723499045287</v>
      </c>
      <c r="BE34" s="3537">
        <f>'All - MECs'!BE34*VLOOKUP($B$14,'Annual Parameters'!$B$33:$W$143,3,FALSE)/VLOOKUP('All - MECs'!$B$14,'Annual Parameters'!$B$33:$W$143,3,FALSE)</f>
        <v>13.86146180893239</v>
      </c>
      <c r="BF34" s="3531">
        <f>'All - MECs'!BF34*VLOOKUP($B$14,'Annual Parameters'!$B$33:$W$143,3,FALSE)/VLOOKUP('All - MECs'!$B$14,'Annual Parameters'!$B$33:$W$143,3,FALSE)</f>
        <v>7.9845663402462064</v>
      </c>
      <c r="BG34" s="3537">
        <f>'All - MECs'!BG34*VLOOKUP($B$14,'Annual Parameters'!$B$33:$W$143,3,FALSE)/VLOOKUP('All - MECs'!$B$14,'Annual Parameters'!$B$33:$W$143,3,FALSE)</f>
        <v>10.13972177367682</v>
      </c>
      <c r="BH34" s="3531">
        <f>'All - MECs'!BH34*VLOOKUP($B$14,'Annual Parameters'!$B$33:$W$143,3,FALSE)/VLOOKUP('All - MECs'!$B$14,'Annual Parameters'!$B$33:$W$143,3,FALSE)</f>
        <v>2.7630666382050153</v>
      </c>
      <c r="BI34" s="3538">
        <f>'All - MECs'!BI34*VLOOKUP($B$14,'Annual Parameters'!$B$33:$W$143,3,FALSE)/VLOOKUP('All - MECs'!$B$14,'Annual Parameters'!$B$33:$W$143,3,FALSE)</f>
        <v>2.6514751875246145</v>
      </c>
      <c r="BJ34" s="3534">
        <f>'All - MECs'!BJ34*VLOOKUP($B$14,'Annual Parameters'!$B$33:$W$143,3,FALSE)/VLOOKUP('All - MECs'!$B$14,'Annual Parameters'!$B$33:$W$143,3,FALSE)</f>
        <v>2.6350608640977735</v>
      </c>
      <c r="BK34" s="3539">
        <f>'All - MECs'!BK34*VLOOKUP($B$14,'Annual Parameters'!$B$33:$W$143,3,FALSE)/VLOOKUP('All - MECs'!$B$14,'Annual Parameters'!$B$33:$W$143,3,FALSE)</f>
        <v>4.8349450043399713</v>
      </c>
      <c r="BL34" s="3544"/>
      <c r="BM34" s="3521" t="s">
        <v>1097</v>
      </c>
      <c r="BN34" s="3522"/>
      <c r="BO34" s="3530" t="s">
        <v>1096</v>
      </c>
      <c r="BP34" s="3535">
        <f>'All - MECs'!BP34*VLOOKUP($B$14,'Annual Parameters'!$B$33:$W$143,3,FALSE)/VLOOKUP('All - MECs'!$B$14,'Annual Parameters'!$B$33:$W$143,3,FALSE)</f>
        <v>18.501004111752948</v>
      </c>
      <c r="BQ34" s="3532">
        <f>'All - MECs'!BQ34*VLOOKUP($B$14,'Annual Parameters'!$B$33:$W$143,3,FALSE)/VLOOKUP('All - MECs'!$B$14,'Annual Parameters'!$B$33:$W$143,3,FALSE)</f>
        <v>29.307209560655068</v>
      </c>
      <c r="BR34" s="3537">
        <f>'All - MECs'!BR34*VLOOKUP($B$14,'Annual Parameters'!$B$33:$W$143,3,FALSE)/VLOOKUP('All - MECs'!$B$14,'Annual Parameters'!$B$33:$W$143,3,FALSE)</f>
        <v>37.386704476211953</v>
      </c>
      <c r="BS34" s="3531">
        <f>'All - MECs'!BS34*VLOOKUP($B$14,'Annual Parameters'!$B$33:$W$143,3,FALSE)/VLOOKUP('All - MECs'!$B$14,'Annual Parameters'!$B$33:$W$143,3,FALSE)</f>
        <v>9.0284211661245664</v>
      </c>
      <c r="BT34" s="3532">
        <f>'All - MECs'!BT34*VLOOKUP($B$14,'Annual Parameters'!$B$33:$W$143,3,FALSE)/VLOOKUP('All - MECs'!$B$14,'Annual Parameters'!$B$33:$W$143,3,FALSE)</f>
        <v>10.915487390281891</v>
      </c>
      <c r="BU34" s="3537">
        <f>'All - MECs'!BU34*VLOOKUP($B$14,'Annual Parameters'!$B$33:$W$143,3,FALSE)/VLOOKUP('All - MECs'!$B$14,'Annual Parameters'!$B$33:$W$143,3,FALSE)</f>
        <v>12.631345454549296</v>
      </c>
      <c r="BV34" s="3531">
        <f>'All - MECs'!BV34*VLOOKUP($B$14,'Annual Parameters'!$B$33:$W$143,3,FALSE)/VLOOKUP('All - MECs'!$B$14,'Annual Parameters'!$B$33:$W$143,3,FALSE)</f>
        <v>6.4660461010241246</v>
      </c>
      <c r="BW34" s="3537">
        <f>'All - MECs'!BW34*VLOOKUP($B$14,'Annual Parameters'!$B$33:$W$143,3,FALSE)/VLOOKUP('All - MECs'!$B$14,'Annual Parameters'!$B$33:$W$143,3,FALSE)</f>
        <v>8.540905727215705</v>
      </c>
      <c r="BX34" s="3531">
        <f>'All - MECs'!BX34*VLOOKUP($B$14,'Annual Parameters'!$B$33:$W$143,3,FALSE)/VLOOKUP('All - MECs'!$B$14,'Annual Parameters'!$B$33:$W$143,3,FALSE)</f>
        <v>2.4233174762027607</v>
      </c>
      <c r="BY34" s="3538">
        <f>'All - MECs'!BY34*VLOOKUP($B$14,'Annual Parameters'!$B$33:$W$143,3,FALSE)/VLOOKUP('All - MECs'!$B$14,'Annual Parameters'!$B$33:$W$143,3,FALSE)</f>
        <v>2.0160529001715819</v>
      </c>
      <c r="BZ34" s="3534">
        <f>'All - MECs'!BZ34*VLOOKUP($B$14,'Annual Parameters'!$B$33:$W$143,3,FALSE)/VLOOKUP('All - MECs'!$B$14,'Annual Parameters'!$B$33:$W$143,3,FALSE)</f>
        <v>2.0835432560682685</v>
      </c>
      <c r="CA34" s="3539">
        <f>'All - MECs'!CA34*VLOOKUP($B$14,'Annual Parameters'!$B$33:$W$143,3,FALSE)/VLOOKUP('All - MECs'!$B$14,'Annual Parameters'!$B$33:$W$143,3,FALSE)</f>
        <v>9.318193575643944</v>
      </c>
    </row>
    <row r="35" spans="1:95" ht="13.5" customHeight="1">
      <c r="A35" s="3521" t="s">
        <v>1074</v>
      </c>
      <c r="B35" s="3522"/>
      <c r="C35" s="3530" t="s">
        <v>1096</v>
      </c>
      <c r="D35" s="3531">
        <f>'All - MECs'!D35*VLOOKUP($B$14,'Annual Parameters'!$B$33:$W$143,3,FALSE)/VLOOKUP('All - MECs'!$B$14,'Annual Parameters'!$B$33:$W$143,3,FALSE)</f>
        <v>0.2</v>
      </c>
      <c r="E35" s="3532">
        <f>'All - MECs'!E35*VLOOKUP($B$14,'Annual Parameters'!$B$33:$W$143,3,FALSE)/VLOOKUP('All - MECs'!$B$14,'Annual Parameters'!$B$33:$W$143,3,FALSE)</f>
        <v>0.2</v>
      </c>
      <c r="F35" s="3534">
        <f>'All - MECs'!F35*VLOOKUP($B$14,'Annual Parameters'!$B$33:$W$143,3,FALSE)/VLOOKUP('All - MECs'!$B$14,'Annual Parameters'!$B$33:$W$143,3,FALSE)</f>
        <v>0.2</v>
      </c>
      <c r="G35" s="3531">
        <f>'All - MECs'!G35*VLOOKUP($B$14,'Annual Parameters'!$B$33:$W$143,3,FALSE)/VLOOKUP('All - MECs'!$B$14,'Annual Parameters'!$B$33:$W$143,3,FALSE)</f>
        <v>0.2</v>
      </c>
      <c r="H35" s="3532">
        <f>'All - MECs'!H35*VLOOKUP($B$14,'Annual Parameters'!$B$33:$W$143,3,FALSE)/VLOOKUP('All - MECs'!$B$14,'Annual Parameters'!$B$33:$W$143,3,FALSE)</f>
        <v>0.2</v>
      </c>
      <c r="I35" s="3534">
        <f>'All - MECs'!I35*VLOOKUP($B$14,'Annual Parameters'!$B$33:$W$143,3,FALSE)/VLOOKUP('All - MECs'!$B$14,'Annual Parameters'!$B$33:$W$143,3,FALSE)</f>
        <v>0.2</v>
      </c>
      <c r="J35" s="3531">
        <f>'All - MECs'!J35*VLOOKUP($B$14,'Annual Parameters'!$B$33:$W$143,3,FALSE)/VLOOKUP('All - MECs'!$B$14,'Annual Parameters'!$B$33:$W$143,3,FALSE)</f>
        <v>0.2</v>
      </c>
      <c r="K35" s="3534">
        <f>'All - MECs'!K35*VLOOKUP($B$14,'Annual Parameters'!$B$33:$W$143,3,FALSE)/VLOOKUP('All - MECs'!$B$14,'Annual Parameters'!$B$33:$W$143,3,FALSE)</f>
        <v>0.2</v>
      </c>
      <c r="L35" s="3531">
        <f>'All - MECs'!L35*VLOOKUP($B$14,'Annual Parameters'!$B$33:$W$143,3,FALSE)/VLOOKUP('All - MECs'!$B$14,'Annual Parameters'!$B$33:$W$143,3,FALSE)</f>
        <v>0</v>
      </c>
      <c r="M35" s="3532">
        <f>'All - MECs'!M35*VLOOKUP($B$14,'Annual Parameters'!$B$33:$W$143,3,FALSE)/VLOOKUP('All - MECs'!$B$14,'Annual Parameters'!$B$33:$W$143,3,FALSE)</f>
        <v>0</v>
      </c>
      <c r="N35" s="3534">
        <f>'All - MECs'!N35*VLOOKUP($B$14,'Annual Parameters'!$B$33:$W$143,3,FALSE)/VLOOKUP('All - MECs'!$B$14,'Annual Parameters'!$B$33:$W$143,3,FALSE)</f>
        <v>0.1</v>
      </c>
      <c r="O35" s="3540">
        <f>'All - MECs'!O35*VLOOKUP($B$14,'Annual Parameters'!$B$33:$W$143,3,FALSE)/VLOOKUP('All - MECs'!$B$14,'Annual Parameters'!$B$33:$W$143,3,FALSE)</f>
        <v>0.11376434094301519</v>
      </c>
      <c r="P35" s="3544"/>
      <c r="Q35" s="3521" t="s">
        <v>1074</v>
      </c>
      <c r="R35" s="3522"/>
      <c r="S35" s="3530" t="s">
        <v>1096</v>
      </c>
      <c r="T35" s="3531">
        <f>'All - MECs'!T35*VLOOKUP($B$14,'Annual Parameters'!$B$33:$W$143,3,FALSE)/VLOOKUP('All - MECs'!$B$14,'Annual Parameters'!$B$33:$W$143,3,FALSE)</f>
        <v>0.2</v>
      </c>
      <c r="U35" s="3532">
        <f>'All - MECs'!U35*VLOOKUP($B$14,'Annual Parameters'!$B$33:$W$143,3,FALSE)/VLOOKUP('All - MECs'!$B$14,'Annual Parameters'!$B$33:$W$143,3,FALSE)</f>
        <v>0.2</v>
      </c>
      <c r="V35" s="3534">
        <f>'All - MECs'!V35*VLOOKUP($B$14,'Annual Parameters'!$B$33:$W$143,3,FALSE)/VLOOKUP('All - MECs'!$B$14,'Annual Parameters'!$B$33:$W$143,3,FALSE)</f>
        <v>0.2</v>
      </c>
      <c r="W35" s="3531">
        <f>'All - MECs'!W35*VLOOKUP($B$14,'Annual Parameters'!$B$33:$W$143,3,FALSE)/VLOOKUP('All - MECs'!$B$14,'Annual Parameters'!$B$33:$W$143,3,FALSE)</f>
        <v>0.2</v>
      </c>
      <c r="X35" s="3532">
        <f>'All - MECs'!X35*VLOOKUP($B$14,'Annual Parameters'!$B$33:$W$143,3,FALSE)/VLOOKUP('All - MECs'!$B$14,'Annual Parameters'!$B$33:$W$143,3,FALSE)</f>
        <v>0.2</v>
      </c>
      <c r="Y35" s="3534">
        <f>'All - MECs'!Y35*VLOOKUP($B$14,'Annual Parameters'!$B$33:$W$143,3,FALSE)/VLOOKUP('All - MECs'!$B$14,'Annual Parameters'!$B$33:$W$143,3,FALSE)</f>
        <v>0.2</v>
      </c>
      <c r="Z35" s="3531">
        <f>'All - MECs'!Z35*VLOOKUP($B$14,'Annual Parameters'!$B$33:$W$143,3,FALSE)/VLOOKUP('All - MECs'!$B$14,'Annual Parameters'!$B$33:$W$143,3,FALSE)</f>
        <v>0.2</v>
      </c>
      <c r="AA35" s="3534">
        <f>'All - MECs'!AA35*VLOOKUP($B$14,'Annual Parameters'!$B$33:$W$143,3,FALSE)/VLOOKUP('All - MECs'!$B$14,'Annual Parameters'!$B$33:$W$143,3,FALSE)</f>
        <v>0.2</v>
      </c>
      <c r="AB35" s="3531">
        <f>'All - MECs'!AB35*VLOOKUP($B$14,'Annual Parameters'!$B$33:$W$143,3,FALSE)/VLOOKUP('All - MECs'!$B$14,'Annual Parameters'!$B$33:$W$143,3,FALSE)</f>
        <v>0</v>
      </c>
      <c r="AC35" s="3532">
        <f>'All - MECs'!AC35*VLOOKUP($B$14,'Annual Parameters'!$B$33:$W$143,3,FALSE)/VLOOKUP('All - MECs'!$B$14,'Annual Parameters'!$B$33:$W$143,3,FALSE)</f>
        <v>0</v>
      </c>
      <c r="AD35" s="3534">
        <f>'All - MECs'!AD35*VLOOKUP($B$14,'Annual Parameters'!$B$33:$W$143,3,FALSE)/VLOOKUP('All - MECs'!$B$14,'Annual Parameters'!$B$33:$W$143,3,FALSE)</f>
        <v>0.1</v>
      </c>
      <c r="AE35" s="3540">
        <f>'All - MECs'!AE35*VLOOKUP($B$14,'Annual Parameters'!$B$33:$W$143,3,FALSE)/VLOOKUP('All - MECs'!$B$14,'Annual Parameters'!$B$33:$W$143,3,FALSE)</f>
        <v>0.11294959054000582</v>
      </c>
      <c r="AF35" s="3544"/>
      <c r="AG35" s="3521" t="s">
        <v>1074</v>
      </c>
      <c r="AH35" s="3522"/>
      <c r="AI35" s="3530" t="s">
        <v>1096</v>
      </c>
      <c r="AJ35" s="3531">
        <f>'All - MECs'!AJ35*VLOOKUP($B$14,'Annual Parameters'!$B$33:$W$143,3,FALSE)/VLOOKUP('All - MECs'!$B$14,'Annual Parameters'!$B$33:$W$143,3,FALSE)</f>
        <v>4.9000000000000004</v>
      </c>
      <c r="AK35" s="3532">
        <f>'All - MECs'!AK35*VLOOKUP($B$14,'Annual Parameters'!$B$33:$W$143,3,FALSE)/VLOOKUP('All - MECs'!$B$14,'Annual Parameters'!$B$33:$W$143,3,FALSE)</f>
        <v>5.9</v>
      </c>
      <c r="AL35" s="3534">
        <f>'All - MECs'!AL35*VLOOKUP($B$14,'Annual Parameters'!$B$33:$W$143,3,FALSE)/VLOOKUP('All - MECs'!$B$14,'Annual Parameters'!$B$33:$W$143,3,FALSE)</f>
        <v>7.1</v>
      </c>
      <c r="AM35" s="3531">
        <f>'All - MECs'!AM35*VLOOKUP($B$14,'Annual Parameters'!$B$33:$W$143,3,FALSE)/VLOOKUP('All - MECs'!$B$14,'Annual Parameters'!$B$33:$W$143,3,FALSE)</f>
        <v>5.0999999999999996</v>
      </c>
      <c r="AN35" s="3532">
        <f>'All - MECs'!AN35*VLOOKUP($B$14,'Annual Parameters'!$B$33:$W$143,3,FALSE)/VLOOKUP('All - MECs'!$B$14,'Annual Parameters'!$B$33:$W$143,3,FALSE)</f>
        <v>5</v>
      </c>
      <c r="AO35" s="3534">
        <f>'All - MECs'!AO35*VLOOKUP($B$14,'Annual Parameters'!$B$33:$W$143,3,FALSE)/VLOOKUP('All - MECs'!$B$14,'Annual Parameters'!$B$33:$W$143,3,FALSE)</f>
        <v>5</v>
      </c>
      <c r="AP35" s="3531">
        <f>'All - MECs'!AP35*VLOOKUP($B$14,'Annual Parameters'!$B$33:$W$143,3,FALSE)/VLOOKUP('All - MECs'!$B$14,'Annual Parameters'!$B$33:$W$143,3,FALSE)</f>
        <v>4.4000000000000004</v>
      </c>
      <c r="AQ35" s="3534">
        <f>'All - MECs'!AQ35*VLOOKUP($B$14,'Annual Parameters'!$B$33:$W$143,3,FALSE)/VLOOKUP('All - MECs'!$B$14,'Annual Parameters'!$B$33:$W$143,3,FALSE)</f>
        <v>4.4000000000000004</v>
      </c>
      <c r="AR35" s="3531">
        <f>'All - MECs'!AR35*VLOOKUP($B$14,'Annual Parameters'!$B$33:$W$143,3,FALSE)/VLOOKUP('All - MECs'!$B$14,'Annual Parameters'!$B$33:$W$143,3,FALSE)</f>
        <v>0.9</v>
      </c>
      <c r="AS35" s="3532">
        <f>'All - MECs'!AS35*VLOOKUP($B$14,'Annual Parameters'!$B$33:$W$143,3,FALSE)/VLOOKUP('All - MECs'!$B$14,'Annual Parameters'!$B$33:$W$143,3,FALSE)</f>
        <v>0.9</v>
      </c>
      <c r="AT35" s="3534">
        <f>'All - MECs'!AT35*VLOOKUP($B$14,'Annual Parameters'!$B$33:$W$143,3,FALSE)/VLOOKUP('All - MECs'!$B$14,'Annual Parameters'!$B$33:$W$143,3,FALSE)</f>
        <v>1.1000000000000001</v>
      </c>
      <c r="AU35" s="3540">
        <f>'All - MECs'!AU35*VLOOKUP($B$14,'Annual Parameters'!$B$33:$W$143,3,FALSE)/VLOOKUP('All - MECs'!$B$14,'Annual Parameters'!$B$33:$W$143,3,FALSE)</f>
        <v>2.4197141226563863</v>
      </c>
      <c r="AV35" s="3544"/>
      <c r="AW35" s="3521" t="s">
        <v>1074</v>
      </c>
      <c r="AX35" s="3522"/>
      <c r="AY35" s="3530" t="s">
        <v>1096</v>
      </c>
      <c r="AZ35" s="3531">
        <f>'All - MECs'!AZ35*VLOOKUP($B$14,'Annual Parameters'!$B$33:$W$143,3,FALSE)/VLOOKUP('All - MECs'!$B$14,'Annual Parameters'!$B$33:$W$143,3,FALSE)</f>
        <v>9.6999999999999993</v>
      </c>
      <c r="BA35" s="3532">
        <f>'All - MECs'!BA35*VLOOKUP($B$14,'Annual Parameters'!$B$33:$W$143,3,FALSE)/VLOOKUP('All - MECs'!$B$14,'Annual Parameters'!$B$33:$W$143,3,FALSE)</f>
        <v>11.7</v>
      </c>
      <c r="BB35" s="3534">
        <f>'All - MECs'!BB35*VLOOKUP($B$14,'Annual Parameters'!$B$33:$W$143,3,FALSE)/VLOOKUP('All - MECs'!$B$14,'Annual Parameters'!$B$33:$W$143,3,FALSE)</f>
        <v>14.2</v>
      </c>
      <c r="BC35" s="3531">
        <f>'All - MECs'!BC35*VLOOKUP($B$14,'Annual Parameters'!$B$33:$W$143,3,FALSE)/VLOOKUP('All - MECs'!$B$14,'Annual Parameters'!$B$33:$W$143,3,FALSE)</f>
        <v>10.1</v>
      </c>
      <c r="BD35" s="3532">
        <f>'All - MECs'!BD35*VLOOKUP($B$14,'Annual Parameters'!$B$33:$W$143,3,FALSE)/VLOOKUP('All - MECs'!$B$14,'Annual Parameters'!$B$33:$W$143,3,FALSE)</f>
        <v>10</v>
      </c>
      <c r="BE35" s="3534">
        <f>'All - MECs'!BE35*VLOOKUP($B$14,'Annual Parameters'!$B$33:$W$143,3,FALSE)/VLOOKUP('All - MECs'!$B$14,'Annual Parameters'!$B$33:$W$143,3,FALSE)</f>
        <v>10</v>
      </c>
      <c r="BF35" s="3531">
        <f>'All - MECs'!BF35*VLOOKUP($B$14,'Annual Parameters'!$B$33:$W$143,3,FALSE)/VLOOKUP('All - MECs'!$B$14,'Annual Parameters'!$B$33:$W$143,3,FALSE)</f>
        <v>8.6999999999999993</v>
      </c>
      <c r="BG35" s="3534">
        <f>'All - MECs'!BG35*VLOOKUP($B$14,'Annual Parameters'!$B$33:$W$143,3,FALSE)/VLOOKUP('All - MECs'!$B$14,'Annual Parameters'!$B$33:$W$143,3,FALSE)</f>
        <v>8.8000000000000007</v>
      </c>
      <c r="BH35" s="3531">
        <f>'All - MECs'!BH35*VLOOKUP($B$14,'Annual Parameters'!$B$33:$W$143,3,FALSE)/VLOOKUP('All - MECs'!$B$14,'Annual Parameters'!$B$33:$W$143,3,FALSE)</f>
        <v>1.8</v>
      </c>
      <c r="BI35" s="3532">
        <f>'All - MECs'!BI35*VLOOKUP($B$14,'Annual Parameters'!$B$33:$W$143,3,FALSE)/VLOOKUP('All - MECs'!$B$14,'Annual Parameters'!$B$33:$W$143,3,FALSE)</f>
        <v>1.8</v>
      </c>
      <c r="BJ35" s="3534">
        <f>'All - MECs'!BJ35*VLOOKUP($B$14,'Annual Parameters'!$B$33:$W$143,3,FALSE)/VLOOKUP('All - MECs'!$B$14,'Annual Parameters'!$B$33:$W$143,3,FALSE)</f>
        <v>2.2999999999999998</v>
      </c>
      <c r="BK35" s="3540">
        <f>'All - MECs'!BK35*VLOOKUP($B$14,'Annual Parameters'!$B$33:$W$143,3,FALSE)/VLOOKUP('All - MECs'!$B$14,'Annual Parameters'!$B$33:$W$143,3,FALSE)</f>
        <v>4.0917323306960895</v>
      </c>
      <c r="BL35" s="3544"/>
      <c r="BM35" s="3521" t="s">
        <v>1074</v>
      </c>
      <c r="BN35" s="3522"/>
      <c r="BO35" s="3530" t="s">
        <v>1096</v>
      </c>
      <c r="BP35" s="3531">
        <f>'All - MECs'!BP35*VLOOKUP($B$14,'Annual Parameters'!$B$33:$W$143,3,FALSE)/VLOOKUP('All - MECs'!$B$14,'Annual Parameters'!$B$33:$W$143,3,FALSE)</f>
        <v>0</v>
      </c>
      <c r="BQ35" s="3532">
        <f>'All - MECs'!BQ35*VLOOKUP($B$14,'Annual Parameters'!$B$33:$W$143,3,FALSE)/VLOOKUP('All - MECs'!$B$14,'Annual Parameters'!$B$33:$W$143,3,FALSE)</f>
        <v>0</v>
      </c>
      <c r="BR35" s="3534">
        <f>'All - MECs'!BR35*VLOOKUP($B$14,'Annual Parameters'!$B$33:$W$143,3,FALSE)/VLOOKUP('All - MECs'!$B$14,'Annual Parameters'!$B$33:$W$143,3,FALSE)</f>
        <v>0</v>
      </c>
      <c r="BS35" s="3531">
        <f>'All - MECs'!BS35*VLOOKUP($B$14,'Annual Parameters'!$B$33:$W$143,3,FALSE)/VLOOKUP('All - MECs'!$B$14,'Annual Parameters'!$B$33:$W$143,3,FALSE)</f>
        <v>0</v>
      </c>
      <c r="BT35" s="3532">
        <f>'All - MECs'!BT35*VLOOKUP($B$14,'Annual Parameters'!$B$33:$W$143,3,FALSE)/VLOOKUP('All - MECs'!$B$14,'Annual Parameters'!$B$33:$W$143,3,FALSE)</f>
        <v>0</v>
      </c>
      <c r="BU35" s="3534">
        <f>'All - MECs'!BU35*VLOOKUP($B$14,'Annual Parameters'!$B$33:$W$143,3,FALSE)/VLOOKUP('All - MECs'!$B$14,'Annual Parameters'!$B$33:$W$143,3,FALSE)</f>
        <v>0</v>
      </c>
      <c r="BV35" s="3531">
        <f>'All - MECs'!BV35*VLOOKUP($B$14,'Annual Parameters'!$B$33:$W$143,3,FALSE)/VLOOKUP('All - MECs'!$B$14,'Annual Parameters'!$B$33:$W$143,3,FALSE)</f>
        <v>0</v>
      </c>
      <c r="BW35" s="3534">
        <f>'All - MECs'!BW35*VLOOKUP($B$14,'Annual Parameters'!$B$33:$W$143,3,FALSE)/VLOOKUP('All - MECs'!$B$14,'Annual Parameters'!$B$33:$W$143,3,FALSE)</f>
        <v>0</v>
      </c>
      <c r="BX35" s="3531">
        <f>'All - MECs'!BX35*VLOOKUP($B$14,'Annual Parameters'!$B$33:$W$143,3,FALSE)/VLOOKUP('All - MECs'!$B$14,'Annual Parameters'!$B$33:$W$143,3,FALSE)</f>
        <v>0</v>
      </c>
      <c r="BY35" s="3532">
        <f>'All - MECs'!BY35*VLOOKUP($B$14,'Annual Parameters'!$B$33:$W$143,3,FALSE)/VLOOKUP('All - MECs'!$B$14,'Annual Parameters'!$B$33:$W$143,3,FALSE)</f>
        <v>0</v>
      </c>
      <c r="BZ35" s="3534">
        <f>'All - MECs'!BZ35*VLOOKUP($B$14,'Annual Parameters'!$B$33:$W$143,3,FALSE)/VLOOKUP('All - MECs'!$B$14,'Annual Parameters'!$B$33:$W$143,3,FALSE)</f>
        <v>0</v>
      </c>
      <c r="CA35" s="3540">
        <f>'All - MECs'!CA35*VLOOKUP($B$14,'Annual Parameters'!$B$33:$W$143,3,FALSE)/VLOOKUP('All - MECs'!$B$14,'Annual Parameters'!$B$33:$W$143,3,FALSE)</f>
        <v>0</v>
      </c>
    </row>
    <row r="36" spans="1:95" ht="13.5" customHeight="1">
      <c r="A36" s="3521" t="s">
        <v>397</v>
      </c>
      <c r="B36" s="3522"/>
      <c r="C36" s="3530" t="s">
        <v>1096</v>
      </c>
      <c r="D36" s="3531">
        <f>'All - MECs'!D36*VLOOKUP($B$14,'Annual Parameters'!$B$33:$W$143,3,FALSE)/VLOOKUP('All - MECs'!$B$14,'Annual Parameters'!$B$33:$W$143,3,FALSE)</f>
        <v>0.89574509131955438</v>
      </c>
      <c r="E36" s="3532">
        <f>'All - MECs'!E36*VLOOKUP($B$14,'Annual Parameters'!$B$33:$W$143,3,FALSE)/VLOOKUP('All - MECs'!$B$14,'Annual Parameters'!$B$33:$W$143,3,FALSE)</f>
        <v>0.93336517432186161</v>
      </c>
      <c r="F36" s="3537">
        <f>'All - MECs'!F36*VLOOKUP($B$14,'Annual Parameters'!$B$33:$W$143,3,FALSE)/VLOOKUP('All - MECs'!$B$14,'Annual Parameters'!$B$33:$W$143,3,FALSE)</f>
        <v>1.1954519416366645</v>
      </c>
      <c r="G36" s="3531">
        <f>'All - MECs'!G36*VLOOKUP($B$14,'Annual Parameters'!$B$33:$W$143,3,FALSE)/VLOOKUP('All - MECs'!$B$14,'Annual Parameters'!$B$33:$W$143,3,FALSE)</f>
        <v>0.86750532142703018</v>
      </c>
      <c r="H36" s="3532">
        <f>'All - MECs'!H36*VLOOKUP($B$14,'Annual Parameters'!$B$33:$W$143,3,FALSE)/VLOOKUP('All - MECs'!$B$14,'Annual Parameters'!$B$33:$W$143,3,FALSE)</f>
        <v>0.86664182726584016</v>
      </c>
      <c r="I36" s="3537">
        <f>'All - MECs'!I36*VLOOKUP($B$14,'Annual Parameters'!$B$33:$W$143,3,FALSE)/VLOOKUP('All - MECs'!$B$14,'Annual Parameters'!$B$33:$W$143,3,FALSE)</f>
        <v>0.95708518439044288</v>
      </c>
      <c r="J36" s="3531">
        <f>'All - MECs'!J36*VLOOKUP($B$14,'Annual Parameters'!$B$33:$W$143,3,FALSE)/VLOOKUP('All - MECs'!$B$14,'Annual Parameters'!$B$33:$W$143,3,FALSE)</f>
        <v>0.81146232859153899</v>
      </c>
      <c r="K36" s="3537">
        <f>'All - MECs'!K36*VLOOKUP($B$14,'Annual Parameters'!$B$33:$W$143,3,FALSE)/VLOOKUP('All - MECs'!$B$14,'Annual Parameters'!$B$33:$W$143,3,FALSE)</f>
        <v>0.91304238205407728</v>
      </c>
      <c r="L36" s="3531">
        <f>'All - MECs'!L36*VLOOKUP($B$14,'Annual Parameters'!$B$33:$W$143,3,FALSE)/VLOOKUP('All - MECs'!$B$14,'Annual Parameters'!$B$33:$W$143,3,FALSE)</f>
        <v>0.88810393502914553</v>
      </c>
      <c r="M36" s="3532">
        <f>'All - MECs'!M36*VLOOKUP($B$14,'Annual Parameters'!$B$33:$W$143,3,FALSE)/VLOOKUP('All - MECs'!$B$14,'Annual Parameters'!$B$33:$W$143,3,FALSE)</f>
        <v>0.80949769003633931</v>
      </c>
      <c r="N36" s="3537">
        <f>'All - MECs'!N36*VLOOKUP($B$14,'Annual Parameters'!$B$33:$W$143,3,FALSE)/VLOOKUP('All - MECs'!$B$14,'Annual Parameters'!$B$33:$W$143,3,FALSE)</f>
        <v>0.79636077970858621</v>
      </c>
      <c r="O36" s="3539">
        <f>'All - MECs'!O36*VLOOKUP($B$14,'Annual Parameters'!$B$33:$W$143,3,FALSE)/VLOOKUP('All - MECs'!$B$14,'Annual Parameters'!$B$33:$W$143,3,FALSE)</f>
        <v>0.86327612332012482</v>
      </c>
      <c r="P36" s="3544"/>
      <c r="Q36" s="3521" t="s">
        <v>397</v>
      </c>
      <c r="R36" s="3522"/>
      <c r="S36" s="3530" t="s">
        <v>1096</v>
      </c>
      <c r="T36" s="3531">
        <f>'All - MECs'!T36*VLOOKUP($B$14,'Annual Parameters'!$B$33:$W$143,3,FALSE)/VLOOKUP('All - MECs'!$B$14,'Annual Parameters'!$B$33:$W$143,3,FALSE)</f>
        <v>1.3721306849809565</v>
      </c>
      <c r="U36" s="3532">
        <f>'All - MECs'!U36*VLOOKUP($B$14,'Annual Parameters'!$B$33:$W$143,3,FALSE)/VLOOKUP('All - MECs'!$B$14,'Annual Parameters'!$B$33:$W$143,3,FALSE)</f>
        <v>1.1270137675826377</v>
      </c>
      <c r="V36" s="3537">
        <f>'All - MECs'!V36*VLOOKUP($B$14,'Annual Parameters'!$B$33:$W$143,3,FALSE)/VLOOKUP('All - MECs'!$B$14,'Annual Parameters'!$B$33:$W$143,3,FALSE)</f>
        <v>1.4858196723315025</v>
      </c>
      <c r="W36" s="3531">
        <f>'All - MECs'!W36*VLOOKUP($B$14,'Annual Parameters'!$B$33:$W$143,3,FALSE)/VLOOKUP('All - MECs'!$B$14,'Annual Parameters'!$B$33:$W$143,3,FALSE)</f>
        <v>1.310713609381583</v>
      </c>
      <c r="X36" s="3532">
        <f>'All - MECs'!X36*VLOOKUP($B$14,'Annual Parameters'!$B$33:$W$143,3,FALSE)/VLOOKUP('All - MECs'!$B$14,'Annual Parameters'!$B$33:$W$143,3,FALSE)</f>
        <v>1.0668137375210485</v>
      </c>
      <c r="Y36" s="3537">
        <f>'All - MECs'!Y36*VLOOKUP($B$14,'Annual Parameters'!$B$33:$W$143,3,FALSE)/VLOOKUP('All - MECs'!$B$14,'Annual Parameters'!$B$33:$W$143,3,FALSE)</f>
        <v>1.1412237855464304</v>
      </c>
      <c r="Z36" s="3531">
        <f>'All - MECs'!Z36*VLOOKUP($B$14,'Annual Parameters'!$B$33:$W$143,3,FALSE)/VLOOKUP('All - MECs'!$B$14,'Annual Parameters'!$B$33:$W$143,3,FALSE)</f>
        <v>1.0302331480573725</v>
      </c>
      <c r="AA36" s="3537">
        <f>'All - MECs'!AA36*VLOOKUP($B$14,'Annual Parameters'!$B$33:$W$143,3,FALSE)/VLOOKUP('All - MECs'!$B$14,'Annual Parameters'!$B$33:$W$143,3,FALSE)</f>
        <v>1.0855293830399706</v>
      </c>
      <c r="AB36" s="3531">
        <f>'All - MECs'!AB36*VLOOKUP($B$14,'Annual Parameters'!$B$33:$W$143,3,FALSE)/VLOOKUP('All - MECs'!$B$14,'Annual Parameters'!$B$33:$W$143,3,FALSE)</f>
        <v>1.3614589814302185</v>
      </c>
      <c r="AC36" s="3532">
        <f>'All - MECs'!AC36*VLOOKUP($B$14,'Annual Parameters'!$B$33:$W$143,3,FALSE)/VLOOKUP('All - MECs'!$B$14,'Annual Parameters'!$B$33:$W$143,3,FALSE)</f>
        <v>1.1868588232811061</v>
      </c>
      <c r="AD36" s="3537">
        <f>'All - MECs'!AD36*VLOOKUP($B$14,'Annual Parameters'!$B$33:$W$143,3,FALSE)/VLOOKUP('All - MECs'!$B$14,'Annual Parameters'!$B$33:$W$143,3,FALSE)</f>
        <v>1.0484667541666655</v>
      </c>
      <c r="AE36" s="3539">
        <f>'All - MECs'!AE36*VLOOKUP($B$14,'Annual Parameters'!$B$33:$W$143,3,FALSE)/VLOOKUP('All - MECs'!$B$14,'Annual Parameters'!$B$33:$W$143,3,FALSE)</f>
        <v>1.1564982208320007</v>
      </c>
      <c r="AF36" s="3544"/>
      <c r="AG36" s="3521" t="s">
        <v>397</v>
      </c>
      <c r="AH36" s="3522"/>
      <c r="AI36" s="3530" t="s">
        <v>1096</v>
      </c>
      <c r="AJ36" s="3531">
        <f>'All - MECs'!AJ36*VLOOKUP($B$14,'Annual Parameters'!$B$33:$W$143,3,FALSE)/VLOOKUP('All - MECs'!$B$14,'Annual Parameters'!$B$33:$W$143,3,FALSE)</f>
        <v>3.5492029926759359</v>
      </c>
      <c r="AK36" s="3532">
        <f>'All - MECs'!AK36*VLOOKUP($B$14,'Annual Parameters'!$B$33:$W$143,3,FALSE)/VLOOKUP('All - MECs'!$B$14,'Annual Parameters'!$B$33:$W$143,3,FALSE)</f>
        <v>3.9238360861059483</v>
      </c>
      <c r="AL36" s="3537">
        <f>'All - MECs'!AL36*VLOOKUP($B$14,'Annual Parameters'!$B$33:$W$143,3,FALSE)/VLOOKUP('All - MECs'!$B$14,'Annual Parameters'!$B$33:$W$143,3,FALSE)</f>
        <v>4.9910114209259531</v>
      </c>
      <c r="AM36" s="3531">
        <f>'All - MECs'!AM36*VLOOKUP($B$14,'Annual Parameters'!$B$33:$W$143,3,FALSE)/VLOOKUP('All - MECs'!$B$14,'Annual Parameters'!$B$33:$W$143,3,FALSE)</f>
        <v>3.4989732995691276</v>
      </c>
      <c r="AN36" s="3532">
        <f>'All - MECs'!AN36*VLOOKUP($B$14,'Annual Parameters'!$B$33:$W$143,3,FALSE)/VLOOKUP('All - MECs'!$B$14,'Annual Parameters'!$B$33:$W$143,3,FALSE)</f>
        <v>3.5626499126790296</v>
      </c>
      <c r="AO36" s="3537">
        <f>'All - MECs'!AO36*VLOOKUP($B$14,'Annual Parameters'!$B$33:$W$143,3,FALSE)/VLOOKUP('All - MECs'!$B$14,'Annual Parameters'!$B$33:$W$143,3,FALSE)</f>
        <v>4.0911948341863091</v>
      </c>
      <c r="AP36" s="3531">
        <f>'All - MECs'!AP36*VLOOKUP($B$14,'Annual Parameters'!$B$33:$W$143,3,FALSE)/VLOOKUP('All - MECs'!$B$14,'Annual Parameters'!$B$33:$W$143,3,FALSE)</f>
        <v>3.3222690548446274</v>
      </c>
      <c r="AQ36" s="3537">
        <f>'All - MECs'!AQ36*VLOOKUP($B$14,'Annual Parameters'!$B$33:$W$143,3,FALSE)/VLOOKUP('All - MECs'!$B$14,'Annual Parameters'!$B$33:$W$143,3,FALSE)</f>
        <v>3.8761996002906249</v>
      </c>
      <c r="AR36" s="3531">
        <f>'All - MECs'!AR36*VLOOKUP($B$14,'Annual Parameters'!$B$33:$W$143,3,FALSE)/VLOOKUP('All - MECs'!$B$14,'Annual Parameters'!$B$33:$W$143,3,FALSE)</f>
        <v>3.5455986569143185</v>
      </c>
      <c r="AS36" s="3532">
        <f>'All - MECs'!AS36*VLOOKUP($B$14,'Annual Parameters'!$B$33:$W$143,3,FALSE)/VLOOKUP('All - MECs'!$B$14,'Annual Parameters'!$B$33:$W$143,3,FALSE)</f>
        <v>3.3161212050762954</v>
      </c>
      <c r="AT36" s="3537">
        <f>'All - MECs'!AT36*VLOOKUP($B$14,'Annual Parameters'!$B$33:$W$143,3,FALSE)/VLOOKUP('All - MECs'!$B$14,'Annual Parameters'!$B$33:$W$143,3,FALSE)</f>
        <v>3.2473343419905891</v>
      </c>
      <c r="AU36" s="3539">
        <f>'All - MECs'!AU36*VLOOKUP($B$14,'Annual Parameters'!$B$33:$W$143,3,FALSE)/VLOOKUP('All - MECs'!$B$14,'Annual Parameters'!$B$33:$W$143,3,FALSE)</f>
        <v>3.4893144188471741</v>
      </c>
      <c r="AV36" s="3544"/>
      <c r="AW36" s="3521" t="s">
        <v>397</v>
      </c>
      <c r="AX36" s="3522"/>
      <c r="AY36" s="3530" t="s">
        <v>1096</v>
      </c>
      <c r="AZ36" s="3531">
        <f>'All - MECs'!AZ36*VLOOKUP($B$14,'Annual Parameters'!$B$33:$W$143,3,FALSE)/VLOOKUP('All - MECs'!$B$14,'Annual Parameters'!$B$33:$W$143,3,FALSE)</f>
        <v>4.5296797641057385</v>
      </c>
      <c r="BA36" s="3532">
        <f>'All - MECs'!BA36*VLOOKUP($B$14,'Annual Parameters'!$B$33:$W$143,3,FALSE)/VLOOKUP('All - MECs'!$B$14,'Annual Parameters'!$B$33:$W$143,3,FALSE)</f>
        <v>5.5412402487249155</v>
      </c>
      <c r="BB36" s="3537">
        <f>'All - MECs'!BB36*VLOOKUP($B$14,'Annual Parameters'!$B$33:$W$143,3,FALSE)/VLOOKUP('All - MECs'!$B$14,'Annual Parameters'!$B$33:$W$143,3,FALSE)</f>
        <v>7.4558654496877468</v>
      </c>
      <c r="BC36" s="3531">
        <f>'All - MECs'!BC36*VLOOKUP($B$14,'Annual Parameters'!$B$33:$W$143,3,FALSE)/VLOOKUP('All - MECs'!$B$14,'Annual Parameters'!$B$33:$W$143,3,FALSE)</f>
        <v>4.5050742936164889</v>
      </c>
      <c r="BD36" s="3532">
        <f>'All - MECs'!BD36*VLOOKUP($B$14,'Annual Parameters'!$B$33:$W$143,3,FALSE)/VLOOKUP('All - MECs'!$B$14,'Annual Parameters'!$B$33:$W$143,3,FALSE)</f>
        <v>4.7399481528672034</v>
      </c>
      <c r="BE36" s="3537">
        <f>'All - MECs'!BE36*VLOOKUP($B$14,'Annual Parameters'!$B$33:$W$143,3,FALSE)/VLOOKUP('All - MECs'!$B$14,'Annual Parameters'!$B$33:$W$143,3,FALSE)</f>
        <v>5.9733143418538521</v>
      </c>
      <c r="BF36" s="3531">
        <f>'All - MECs'!BF36*VLOOKUP($B$14,'Annual Parameters'!$B$33:$W$143,3,FALSE)/VLOOKUP('All - MECs'!$B$14,'Annual Parameters'!$B$33:$W$143,3,FALSE)</f>
        <v>4.5618859856580407</v>
      </c>
      <c r="BG36" s="3537">
        <f>'All - MECs'!BG36*VLOOKUP($B$14,'Annual Parameters'!$B$33:$W$143,3,FALSE)/VLOOKUP('All - MECs'!$B$14,'Annual Parameters'!$B$33:$W$143,3,FALSE)</f>
        <v>5.7035806118462089</v>
      </c>
      <c r="BH36" s="3531">
        <f>'All - MECs'!BH36*VLOOKUP($B$14,'Annual Parameters'!$B$33:$W$143,3,FALSE)/VLOOKUP('All - MECs'!$B$14,'Annual Parameters'!$B$33:$W$143,3,FALSE)</f>
        <v>4.5275636682916698</v>
      </c>
      <c r="BI36" s="3532">
        <f>'All - MECs'!BI36*VLOOKUP($B$14,'Annual Parameters'!$B$33:$W$143,3,FALSE)/VLOOKUP('All - MECs'!$B$14,'Annual Parameters'!$B$33:$W$143,3,FALSE)</f>
        <v>4.3610195414541284</v>
      </c>
      <c r="BJ36" s="3537">
        <f>'All - MECs'!BJ36*VLOOKUP($B$14,'Annual Parameters'!$B$33:$W$143,3,FALSE)/VLOOKUP('All - MECs'!$B$14,'Annual Parameters'!$B$33:$W$143,3,FALSE)</f>
        <v>4.3180419413137709</v>
      </c>
      <c r="BK36" s="3539">
        <f>'All - MECs'!BK36*VLOOKUP($B$14,'Annual Parameters'!$B$33:$W$143,3,FALSE)/VLOOKUP('All - MECs'!$B$14,'Annual Parameters'!$B$33:$W$143,3,FALSE)</f>
        <v>4.5086076434259192</v>
      </c>
      <c r="BL36" s="3544"/>
      <c r="BM36" s="3521" t="s">
        <v>397</v>
      </c>
      <c r="BN36" s="3522"/>
      <c r="BO36" s="3530" t="s">
        <v>1096</v>
      </c>
      <c r="BP36" s="3531">
        <f>'All - MECs'!BP36*VLOOKUP($B$14,'Annual Parameters'!$B$33:$W$143,3,FALSE)/VLOOKUP('All - MECs'!$B$14,'Annual Parameters'!$B$33:$W$143,3,FALSE)</f>
        <v>3.239985303758627</v>
      </c>
      <c r="BQ36" s="3532">
        <f>'All - MECs'!BQ36*VLOOKUP($B$14,'Annual Parameters'!$B$33:$W$143,3,FALSE)/VLOOKUP('All - MECs'!$B$14,'Annual Parameters'!$B$33:$W$143,3,FALSE)</f>
        <v>3.8823867064511588</v>
      </c>
      <c r="BR36" s="3537">
        <f>'All - MECs'!BR36*VLOOKUP($B$14,'Annual Parameters'!$B$33:$W$143,3,FALSE)/VLOOKUP('All - MECs'!$B$14,'Annual Parameters'!$B$33:$W$143,3,FALSE)</f>
        <v>5.1939642108036113</v>
      </c>
      <c r="BS36" s="3531">
        <f>'All - MECs'!BS36*VLOOKUP($B$14,'Annual Parameters'!$B$33:$W$143,3,FALSE)/VLOOKUP('All - MECs'!$B$14,'Annual Parameters'!$B$33:$W$143,3,FALSE)</f>
        <v>3.2215455920774705</v>
      </c>
      <c r="BT36" s="3532">
        <f>'All - MECs'!BT36*VLOOKUP($B$14,'Annual Parameters'!$B$33:$W$143,3,FALSE)/VLOOKUP('All - MECs'!$B$14,'Annual Parameters'!$B$33:$W$143,3,FALSE)</f>
        <v>3.3573739780056102</v>
      </c>
      <c r="BU36" s="3537">
        <f>'All - MECs'!BU36*VLOOKUP($B$14,'Annual Parameters'!$B$33:$W$143,3,FALSE)/VLOOKUP('All - MECs'!$B$14,'Annual Parameters'!$B$33:$W$143,3,FALSE)</f>
        <v>3.9091079539105866</v>
      </c>
      <c r="BV36" s="3531">
        <f>'All - MECs'!BV36*VLOOKUP($B$14,'Annual Parameters'!$B$33:$W$143,3,FALSE)/VLOOKUP('All - MECs'!$B$14,'Annual Parameters'!$B$33:$W$143,3,FALSE)</f>
        <v>2.8968462518618612</v>
      </c>
      <c r="BW36" s="3537">
        <f>'All - MECs'!BW36*VLOOKUP($B$14,'Annual Parameters'!$B$33:$W$143,3,FALSE)/VLOOKUP('All - MECs'!$B$14,'Annual Parameters'!$B$33:$W$143,3,FALSE)</f>
        <v>3.5877933306594127</v>
      </c>
      <c r="BX36" s="3531">
        <f>'All - MECs'!BX36*VLOOKUP($B$14,'Annual Parameters'!$B$33:$W$143,3,FALSE)/VLOOKUP('All - MECs'!$B$14,'Annual Parameters'!$B$33:$W$143,3,FALSE)</f>
        <v>3.2381161099165405</v>
      </c>
      <c r="BY36" s="3532">
        <f>'All - MECs'!BY36*VLOOKUP($B$14,'Annual Parameters'!$B$33:$W$143,3,FALSE)/VLOOKUP('All - MECs'!$B$14,'Annual Parameters'!$B$33:$W$143,3,FALSE)</f>
        <v>2.7455991403554121</v>
      </c>
      <c r="BZ36" s="3537">
        <f>'All - MECs'!BZ36*VLOOKUP($B$14,'Annual Parameters'!$B$33:$W$143,3,FALSE)/VLOOKUP('All - MECs'!$B$14,'Annual Parameters'!$B$33:$W$143,3,FALSE)</f>
        <v>2.8040321936599373</v>
      </c>
      <c r="CA36" s="3539">
        <f>'All - MECs'!CA36*VLOOKUP($B$14,'Annual Parameters'!$B$33:$W$143,3,FALSE)/VLOOKUP('All - MECs'!$B$14,'Annual Parameters'!$B$33:$W$143,3,FALSE)</f>
        <v>3.3393145230450121</v>
      </c>
    </row>
    <row r="37" spans="1:95" ht="13.5" customHeight="1">
      <c r="A37" s="3521" t="s">
        <v>1098</v>
      </c>
      <c r="B37" s="3493"/>
      <c r="C37" s="3530" t="s">
        <v>1096</v>
      </c>
      <c r="D37" s="3495">
        <f>'All - MECs'!D37*VLOOKUP($B$14,'Annual Parameters'!$B$33:$W$143,3,FALSE)/VLOOKUP('All - MECs'!$B$14,'Annual Parameters'!$B$33:$W$143,3,FALSE)</f>
        <v>-4.8584465967025139</v>
      </c>
      <c r="E37" s="3496">
        <f>'All - MECs'!E37*VLOOKUP($B$14,'Annual Parameters'!$B$33:$W$143,3,FALSE)/VLOOKUP('All - MECs'!$B$14,'Annual Parameters'!$B$33:$W$143,3,FALSE)</f>
        <v>-5.0624947863062921</v>
      </c>
      <c r="F37" s="3496">
        <f>'All - MECs'!F37*VLOOKUP($B$14,'Annual Parameters'!$B$33:$W$143,3,FALSE)/VLOOKUP('All - MECs'!$B$14,'Annual Parameters'!$B$33:$W$143,3,FALSE)</f>
        <v>-6.484031532687534</v>
      </c>
      <c r="G37" s="3503">
        <f>'All - MECs'!G37*VLOOKUP($B$14,'Annual Parameters'!$B$33:$W$143,3,FALSE)/VLOOKUP('All - MECs'!$B$14,'Annual Parameters'!$B$33:$W$143,3,FALSE)</f>
        <v>-4.7052764423186604</v>
      </c>
      <c r="H37" s="3504">
        <f>'All - MECs'!H37*VLOOKUP($B$14,'Annual Parameters'!$B$33:$W$143,3,FALSE)/VLOOKUP('All - MECs'!$B$14,'Annual Parameters'!$B$33:$W$143,3,FALSE)</f>
        <v>-4.7005929220746063</v>
      </c>
      <c r="I37" s="3501">
        <f>'All - MECs'!I37*VLOOKUP($B$14,'Annual Parameters'!$B$33:$W$143,3,FALSE)/VLOOKUP('All - MECs'!$B$14,'Annual Parameters'!$B$33:$W$143,3,FALSE)</f>
        <v>-5.1911501407237859</v>
      </c>
      <c r="J37" s="3500">
        <f>'All - MECs'!J37*VLOOKUP($B$14,'Annual Parameters'!$B$33:$W$143,3,FALSE)/VLOOKUP('All - MECs'!$B$14,'Annual Parameters'!$B$33:$W$143,3,FALSE)</f>
        <v>-4.4013039277615258</v>
      </c>
      <c r="K37" s="3501">
        <f>'All - MECs'!K37*VLOOKUP($B$14,'Annual Parameters'!$B$33:$W$143,3,FALSE)/VLOOKUP('All - MECs'!$B$14,'Annual Parameters'!$B$33:$W$143,3,FALSE)</f>
        <v>-4.9522656576336965</v>
      </c>
      <c r="L37" s="3495">
        <f>'All - MECs'!L37*VLOOKUP($B$14,'Annual Parameters'!$B$33:$W$143,3,FALSE)/VLOOKUP('All - MECs'!$B$14,'Annual Parameters'!$B$33:$W$143,3,FALSE)</f>
        <v>-4.8170016028825433</v>
      </c>
      <c r="M37" s="3496">
        <f>'All - MECs'!M37*VLOOKUP($B$14,'Annual Parameters'!$B$33:$W$143,3,FALSE)/VLOOKUP('All - MECs'!$B$14,'Annual Parameters'!$B$33:$W$143,3,FALSE)</f>
        <v>-4.3906478922501275</v>
      </c>
      <c r="N37" s="3501">
        <f>'All - MECs'!N37*VLOOKUP($B$14,'Annual Parameters'!$B$33:$W$143,3,FALSE)/VLOOKUP('All - MECs'!$B$14,'Annual Parameters'!$B$33:$W$143,3,FALSE)</f>
        <v>-4.3193943873282805</v>
      </c>
      <c r="O37" s="3502">
        <f>'All - MECs'!O37*VLOOKUP($B$14,'Annual Parameters'!$B$33:$W$143,3,FALSE)/VLOOKUP('All - MECs'!$B$14,'Annual Parameters'!$B$33:$W$143,3,FALSE)</f>
        <v>-4.68233762484883</v>
      </c>
      <c r="P37" s="3544"/>
      <c r="Q37" s="3521" t="s">
        <v>1098</v>
      </c>
      <c r="R37" s="3493"/>
      <c r="S37" s="3530" t="s">
        <v>1096</v>
      </c>
      <c r="T37" s="3495">
        <f>'All - MECs'!T37*VLOOKUP($B$14,'Annual Parameters'!$B$33:$W$143,3,FALSE)/VLOOKUP('All - MECs'!$B$14,'Annual Parameters'!$B$33:$W$143,3,FALSE)</f>
        <v>-7.5696256710874197</v>
      </c>
      <c r="U37" s="3496">
        <f>'All - MECs'!U37*VLOOKUP($B$14,'Annual Parameters'!$B$33:$W$143,3,FALSE)/VLOOKUP('All - MECs'!$B$14,'Annual Parameters'!$B$33:$W$143,3,FALSE)</f>
        <v>-6.2173905446046396</v>
      </c>
      <c r="V37" s="3496">
        <f>'All - MECs'!V37*VLOOKUP($B$14,'Annual Parameters'!$B$33:$W$143,3,FALSE)/VLOOKUP('All - MECs'!$B$14,'Annual Parameters'!$B$33:$W$143,3,FALSE)</f>
        <v>-8.1968130713754395</v>
      </c>
      <c r="W37" s="3503">
        <f>'All - MECs'!W37*VLOOKUP($B$14,'Annual Parameters'!$B$33:$W$143,3,FALSE)/VLOOKUP('All - MECs'!$B$14,'Annual Parameters'!$B$33:$W$143,3,FALSE)</f>
        <v>-7.2308064338319058</v>
      </c>
      <c r="X37" s="3504">
        <f>'All - MECs'!X37*VLOOKUP($B$14,'Annual Parameters'!$B$33:$W$143,3,FALSE)/VLOOKUP('All - MECs'!$B$14,'Annual Parameters'!$B$33:$W$143,3,FALSE)</f>
        <v>-5.8852853756565624</v>
      </c>
      <c r="Y37" s="3501">
        <f>'All - MECs'!Y37*VLOOKUP($B$14,'Annual Parameters'!$B$33:$W$143,3,FALSE)/VLOOKUP('All - MECs'!$B$14,'Annual Parameters'!$B$33:$W$143,3,FALSE)</f>
        <v>-6.2957828711830883</v>
      </c>
      <c r="Z37" s="3500">
        <f>'All - MECs'!Z37*VLOOKUP($B$14,'Annual Parameters'!$B$33:$W$143,3,FALSE)/VLOOKUP('All - MECs'!$B$14,'Annual Parameters'!$B$33:$W$143,3,FALSE)</f>
        <v>-5.6834814424753777</v>
      </c>
      <c r="AA37" s="3501">
        <f>'All - MECs'!AA37*VLOOKUP($B$14,'Annual Parameters'!$B$33:$W$143,3,FALSE)/VLOOKUP('All - MECs'!$B$14,'Annual Parameters'!$B$33:$W$143,3,FALSE)</f>
        <v>-5.9885338725539068</v>
      </c>
      <c r="AB37" s="3495">
        <f>'All - MECs'!AB37*VLOOKUP($B$14,'Annual Parameters'!$B$33:$W$143,3,FALSE)/VLOOKUP('All - MECs'!$B$14,'Annual Parameters'!$B$33:$W$143,3,FALSE)</f>
        <v>-7.5107531438302768</v>
      </c>
      <c r="AC37" s="3496">
        <f>'All - MECs'!AC37*VLOOKUP($B$14,'Annual Parameters'!$B$33:$W$143,3,FALSE)/VLOOKUP('All - MECs'!$B$14,'Annual Parameters'!$B$33:$W$143,3,FALSE)</f>
        <v>-6.5475374284702017</v>
      </c>
      <c r="AD37" s="3501">
        <f>'All - MECs'!AD37*VLOOKUP($B$14,'Annual Parameters'!$B$33:$W$143,3,FALSE)/VLOOKUP('All - MECs'!$B$14,'Annual Parameters'!$B$33:$W$143,3,FALSE)</f>
        <v>-5.7840706752592181</v>
      </c>
      <c r="AE37" s="3502">
        <f>'All - MECs'!AE37*VLOOKUP($B$14,'Annual Parameters'!$B$33:$W$143,3,FALSE)/VLOOKUP('All - MECs'!$B$14,'Annual Parameters'!$B$33:$W$143,3,FALSE)</f>
        <v>-6.3800472628438714</v>
      </c>
      <c r="AF37" s="3544"/>
      <c r="AG37" s="3521" t="s">
        <v>1098</v>
      </c>
      <c r="AH37" s="3493"/>
      <c r="AI37" s="3530" t="s">
        <v>1096</v>
      </c>
      <c r="AJ37" s="3495">
        <f>'All - MECs'!AJ37*VLOOKUP($B$14,'Annual Parameters'!$B$33:$W$143,3,FALSE)/VLOOKUP('All - MECs'!$B$14,'Annual Parameters'!$B$33:$W$143,3,FALSE)</f>
        <v>-19.632534184614119</v>
      </c>
      <c r="AK37" s="3496">
        <f>'All - MECs'!AK37*VLOOKUP($B$14,'Annual Parameters'!$B$33:$W$143,3,FALSE)/VLOOKUP('All - MECs'!$B$14,'Annual Parameters'!$B$33:$W$143,3,FALSE)</f>
        <v>-21.704829578433543</v>
      </c>
      <c r="AL37" s="3496">
        <f>'All - MECs'!AL37*VLOOKUP($B$14,'Annual Parameters'!$B$33:$W$143,3,FALSE)/VLOOKUP('All - MECs'!$B$14,'Annual Parameters'!$B$33:$W$143,3,FALSE)</f>
        <v>-27.60794537233588</v>
      </c>
      <c r="AM37" s="3503">
        <f>'All - MECs'!AM37*VLOOKUP($B$14,'Annual Parameters'!$B$33:$W$143,3,FALSE)/VLOOKUP('All - MECs'!$B$14,'Annual Parameters'!$B$33:$W$143,3,FALSE)</f>
        <v>-19.354686969609215</v>
      </c>
      <c r="AN37" s="3504">
        <f>'All - MECs'!AN37*VLOOKUP($B$14,'Annual Parameters'!$B$33:$W$143,3,FALSE)/VLOOKUP('All - MECs'!$B$14,'Annual Parameters'!$B$33:$W$143,3,FALSE)</f>
        <v>-19.706916269037944</v>
      </c>
      <c r="AO37" s="3501">
        <f>'All - MECs'!AO37*VLOOKUP($B$14,'Annual Parameters'!$B$33:$W$143,3,FALSE)/VLOOKUP('All - MECs'!$B$14,'Annual Parameters'!$B$33:$W$143,3,FALSE)</f>
        <v>-22.630580049613172</v>
      </c>
      <c r="AP37" s="3500">
        <f>'All - MECs'!AP37*VLOOKUP($B$14,'Annual Parameters'!$B$33:$W$143,3,FALSE)/VLOOKUP('All - MECs'!$B$14,'Annual Parameters'!$B$33:$W$143,3,FALSE)</f>
        <v>-18.377241573479701</v>
      </c>
      <c r="AQ37" s="3501">
        <f>'All - MECs'!AQ37*VLOOKUP($B$14,'Annual Parameters'!$B$33:$W$143,3,FALSE)/VLOOKUP('All - MECs'!$B$14,'Annual Parameters'!$B$33:$W$143,3,FALSE)</f>
        <v>-21.441326775653838</v>
      </c>
      <c r="AR37" s="3495">
        <f>'All - MECs'!AR37*VLOOKUP($B$14,'Annual Parameters'!$B$33:$W$143,3,FALSE)/VLOOKUP('All - MECs'!$B$14,'Annual Parameters'!$B$33:$W$143,3,FALSE)</f>
        <v>-19.612596681687744</v>
      </c>
      <c r="AS37" s="3496">
        <f>'All - MECs'!AS37*VLOOKUP($B$14,'Annual Parameters'!$B$33:$W$143,3,FALSE)/VLOOKUP('All - MECs'!$B$14,'Annual Parameters'!$B$33:$W$143,3,FALSE)</f>
        <v>-18.343234538382607</v>
      </c>
      <c r="AT37" s="3501">
        <f>'All - MECs'!AT37*VLOOKUP($B$14,'Annual Parameters'!$B$33:$W$143,3,FALSE)/VLOOKUP('All - MECs'!$B$14,'Annual Parameters'!$B$33:$W$143,3,FALSE)</f>
        <v>-17.962737721556614</v>
      </c>
      <c r="AU37" s="3502">
        <f>'All - MECs'!AU37*VLOOKUP($B$14,'Annual Parameters'!$B$33:$W$143,3,FALSE)/VLOOKUP('All - MECs'!$B$14,'Annual Parameters'!$B$33:$W$143,3,FALSE)</f>
        <v>-19.301258550228813</v>
      </c>
      <c r="AV37" s="3544"/>
      <c r="AW37" s="3521" t="s">
        <v>1098</v>
      </c>
      <c r="AX37" s="3493"/>
      <c r="AY37" s="3530" t="s">
        <v>1096</v>
      </c>
      <c r="AZ37" s="3495">
        <f>'All - MECs'!AZ37*VLOOKUP($B$14,'Annual Parameters'!$B$33:$W$143,3,FALSE)/VLOOKUP('All - MECs'!$B$14,'Annual Parameters'!$B$33:$W$143,3,FALSE)</f>
        <v>-25.05607399680239</v>
      </c>
      <c r="BA37" s="3496">
        <f>'All - MECs'!BA37*VLOOKUP($B$14,'Annual Parameters'!$B$33:$W$143,3,FALSE)/VLOOKUP('All - MECs'!$B$14,'Annual Parameters'!$B$33:$W$143,3,FALSE)</f>
        <v>-30.651554400451449</v>
      </c>
      <c r="BB37" s="3496">
        <f>'All - MECs'!BB37*VLOOKUP($B$14,'Annual Parameters'!$B$33:$W$143,3,FALSE)/VLOOKUP('All - MECs'!$B$14,'Annual Parameters'!$B$33:$W$143,3,FALSE)</f>
        <v>-41.242367263563047</v>
      </c>
      <c r="BC37" s="3503">
        <f>'All - MECs'!BC37*VLOOKUP($B$14,'Annual Parameters'!$B$33:$W$143,3,FALSE)/VLOOKUP('All - MECs'!$B$14,'Annual Parameters'!$B$33:$W$143,3,FALSE)</f>
        <v>-24.919968019909664</v>
      </c>
      <c r="BD37" s="3504">
        <f>'All - MECs'!BD37*VLOOKUP($B$14,'Annual Parameters'!$B$33:$W$143,3,FALSE)/VLOOKUP('All - MECs'!$B$14,'Annual Parameters'!$B$33:$W$143,3,FALSE)</f>
        <v>-26.219180569974409</v>
      </c>
      <c r="BE37" s="3501">
        <f>'All - MECs'!BE37*VLOOKUP($B$14,'Annual Parameters'!$B$33:$W$143,3,FALSE)/VLOOKUP('All - MECs'!$B$14,'Annual Parameters'!$B$33:$W$143,3,FALSE)</f>
        <v>-33.041586591099531</v>
      </c>
      <c r="BF37" s="3500">
        <f>'All - MECs'!BF37*VLOOKUP($B$14,'Annual Parameters'!$B$33:$W$143,3,FALSE)/VLOOKUP('All - MECs'!$B$14,'Annual Parameters'!$B$33:$W$143,3,FALSE)</f>
        <v>-25.234223780539079</v>
      </c>
      <c r="BG37" s="3501">
        <f>'All - MECs'!BG37*VLOOKUP($B$14,'Annual Parameters'!$B$33:$W$143,3,FALSE)/VLOOKUP('All - MECs'!$B$14,'Annual Parameters'!$B$33:$W$143,3,FALSE)</f>
        <v>-31.549545508623734</v>
      </c>
      <c r="BH37" s="3495">
        <f>'All - MECs'!BH37*VLOOKUP($B$14,'Annual Parameters'!$B$33:$W$143,3,FALSE)/VLOOKUP('All - MECs'!$B$14,'Annual Parameters'!$B$33:$W$143,3,FALSE)</f>
        <v>-25.044368742554227</v>
      </c>
      <c r="BI37" s="3496">
        <f>'All - MECs'!BI37*VLOOKUP($B$14,'Annual Parameters'!$B$33:$W$143,3,FALSE)/VLOOKUP('All - MECs'!$B$14,'Annual Parameters'!$B$33:$W$143,3,FALSE)</f>
        <v>-24.123124375823998</v>
      </c>
      <c r="BJ37" s="3501">
        <f>'All - MECs'!BJ37*VLOOKUP($B$14,'Annual Parameters'!$B$33:$W$143,3,FALSE)/VLOOKUP('All - MECs'!$B$14,'Annual Parameters'!$B$33:$W$143,3,FALSE)</f>
        <v>-23.885392353826557</v>
      </c>
      <c r="BK37" s="3502">
        <f>'All - MECs'!BK37*VLOOKUP($B$14,'Annual Parameters'!$B$33:$W$143,3,FALSE)/VLOOKUP('All - MECs'!$B$14,'Annual Parameters'!$B$33:$W$143,3,FALSE)</f>
        <v>-24.939512861684843</v>
      </c>
      <c r="BL37" s="3544"/>
      <c r="BM37" s="3521" t="s">
        <v>1098</v>
      </c>
      <c r="BN37" s="3493"/>
      <c r="BO37" s="3530" t="s">
        <v>1096</v>
      </c>
      <c r="BP37" s="3495">
        <f>'All - MECs'!BP37*VLOOKUP($B$14,'Annual Parameters'!$B$33:$W$143,3,FALSE)/VLOOKUP('All - MECs'!$B$14,'Annual Parameters'!$B$33:$W$143,3,FALSE)</f>
        <v>-17.92208627259447</v>
      </c>
      <c r="BQ37" s="3496">
        <f>'All - MECs'!BQ37*VLOOKUP($B$14,'Annual Parameters'!$B$33:$W$143,3,FALSE)/VLOOKUP('All - MECs'!$B$14,'Annual Parameters'!$B$33:$W$143,3,FALSE)</f>
        <v>-21.475550958787675</v>
      </c>
      <c r="BR37" s="3496">
        <f>'All - MECs'!BR37*VLOOKUP($B$14,'Annual Parameters'!$B$33:$W$143,3,FALSE)/VLOOKUP('All - MECs'!$B$14,'Annual Parameters'!$B$33:$W$143,3,FALSE)</f>
        <v>-28.730585467410247</v>
      </c>
      <c r="BS37" s="3503">
        <f>'All - MECs'!BS37*VLOOKUP($B$14,'Annual Parameters'!$B$33:$W$143,3,FALSE)/VLOOKUP('All - MECs'!$B$14,'Annual Parameters'!$B$33:$W$143,3,FALSE)</f>
        <v>-17.820086395246857</v>
      </c>
      <c r="BT37" s="3504">
        <f>'All - MECs'!BT37*VLOOKUP($B$14,'Annual Parameters'!$B$33:$W$143,3,FALSE)/VLOOKUP('All - MECs'!$B$14,'Annual Parameters'!$B$33:$W$143,3,FALSE)</f>
        <v>-18.571425621399321</v>
      </c>
      <c r="BU37" s="3501">
        <f>'All - MECs'!BU37*VLOOKUP($B$14,'Annual Parameters'!$B$33:$W$143,3,FALSE)/VLOOKUP('All - MECs'!$B$14,'Annual Parameters'!$B$33:$W$143,3,FALSE)</f>
        <v>-21.623360426232992</v>
      </c>
      <c r="BV37" s="3500">
        <f>'All - MECs'!BV37*VLOOKUP($B$14,'Annual Parameters'!$B$33:$W$143,3,FALSE)/VLOOKUP('All - MECs'!$B$14,'Annual Parameters'!$B$33:$W$143,3,FALSE)</f>
        <v>-16.024001215092539</v>
      </c>
      <c r="BW37" s="3501">
        <f>'All - MECs'!BW37*VLOOKUP($B$14,'Annual Parameters'!$B$33:$W$143,3,FALSE)/VLOOKUP('All - MECs'!$B$14,'Annual Parameters'!$B$33:$W$143,3,FALSE)</f>
        <v>-19.845997920337279</v>
      </c>
      <c r="BX37" s="3495">
        <f>'All - MECs'!BX37*VLOOKUP($B$14,'Annual Parameters'!$B$33:$W$143,3,FALSE)/VLOOKUP('All - MECs'!$B$14,'Annual Parameters'!$B$33:$W$143,3,FALSE)</f>
        <v>-17.911746764801268</v>
      </c>
      <c r="BY37" s="3496">
        <f>'All - MECs'!BY37*VLOOKUP($B$14,'Annual Parameters'!$B$33:$W$143,3,FALSE)/VLOOKUP('All - MECs'!$B$14,'Annual Parameters'!$B$33:$W$143,3,FALSE)</f>
        <v>-15.187372796514614</v>
      </c>
      <c r="BZ37" s="3501">
        <f>'All - MECs'!BZ37*VLOOKUP($B$14,'Annual Parameters'!$B$33:$W$143,3,FALSE)/VLOOKUP('All - MECs'!$B$14,'Annual Parameters'!$B$33:$W$143,3,FALSE)</f>
        <v>-15.510597170798018</v>
      </c>
      <c r="CA37" s="3502">
        <f>'All - MECs'!CA37*VLOOKUP($B$14,'Annual Parameters'!$B$33:$W$143,3,FALSE)/VLOOKUP('All - MECs'!$B$14,'Annual Parameters'!$B$33:$W$143,3,FALSE)</f>
        <v>-18.471529146725686</v>
      </c>
    </row>
    <row r="38" spans="1:95" ht="13.5" customHeight="1" thickBot="1">
      <c r="A38" s="3541" t="s">
        <v>1449</v>
      </c>
      <c r="B38" s="3542"/>
      <c r="C38" s="3554"/>
      <c r="D38" s="3555">
        <f>'All - MECs'!D38*VLOOKUP($B$14,'Annual Parameters'!$B$33:$W$143,3,FALSE)/VLOOKUP('All - MECs'!$B$14,'Annual Parameters'!$B$33:$W$143,3,FALSE)</f>
        <v>-2.0182342099921167</v>
      </c>
      <c r="E38" s="3555">
        <f>'All - MECs'!E38*VLOOKUP($B$14,'Annual Parameters'!$B$33:$W$143,3,FALSE)/VLOOKUP('All - MECs'!$B$14,'Annual Parameters'!$B$33:$W$143,3,FALSE)</f>
        <v>59.789622820108463</v>
      </c>
      <c r="F38" s="3555">
        <f>'All - MECs'!F38*VLOOKUP($B$14,'Annual Parameters'!$B$33:$W$143,3,FALSE)/VLOOKUP('All - MECs'!$B$14,'Annual Parameters'!$B$33:$W$143,3,FALSE)</f>
        <v>40.857712083342562</v>
      </c>
      <c r="G38" s="3556">
        <f>'All - MECs'!G38*VLOOKUP($B$14,'Annual Parameters'!$B$33:$W$143,3,FALSE)/VLOOKUP('All - MECs'!$B$14,'Annual Parameters'!$B$33:$W$143,3,FALSE)</f>
        <v>-0.40480121587076034</v>
      </c>
      <c r="H38" s="3555">
        <f>'All - MECs'!H38*VLOOKUP($B$14,'Annual Parameters'!$B$33:$W$143,3,FALSE)/VLOOKUP('All - MECs'!$B$14,'Annual Parameters'!$B$33:$W$143,3,FALSE)</f>
        <v>29.943640770025343</v>
      </c>
      <c r="I38" s="3557">
        <f>'All - MECs'!I38*VLOOKUP($B$14,'Annual Parameters'!$B$33:$W$143,3,FALSE)/VLOOKUP('All - MECs'!$B$14,'Annual Parameters'!$B$33:$W$143,3,FALSE)</f>
        <v>20.401510907425056</v>
      </c>
      <c r="J38" s="3558">
        <f>'All - MECs'!J38*VLOOKUP($B$14,'Annual Parameters'!$B$33:$W$143,3,FALSE)/VLOOKUP('All - MECs'!$B$14,'Annual Parameters'!$B$33:$W$143,3,FALSE)</f>
        <v>11.710683744194533</v>
      </c>
      <c r="K38" s="3559">
        <f>'All - MECs'!K38*VLOOKUP($B$14,'Annual Parameters'!$B$33:$W$143,3,FALSE)/VLOOKUP('All - MECs'!$B$14,'Annual Parameters'!$B$33:$W$143,3,FALSE)</f>
        <v>9.1305494551900495</v>
      </c>
      <c r="L38" s="3556">
        <f>'All - MECs'!L38*VLOOKUP($B$14,'Annual Parameters'!$B$33:$W$143,3,FALSE)/VLOOKUP('All - MECs'!$B$14,'Annual Parameters'!$B$33:$W$143,3,FALSE)</f>
        <v>-2.7625821943569422</v>
      </c>
      <c r="M38" s="3555">
        <f>'All - MECs'!M38*VLOOKUP($B$14,'Annual Parameters'!$B$33:$W$143,3,FALSE)/VLOOKUP('All - MECs'!$B$14,'Annual Parameters'!$B$33:$W$143,3,FALSE)</f>
        <v>-0.66030767935450907</v>
      </c>
      <c r="N38" s="3557">
        <f>'All - MECs'!N38*VLOOKUP($B$14,'Annual Parameters'!$B$33:$W$143,3,FALSE)/VLOOKUP('All - MECs'!$B$14,'Annual Parameters'!$B$33:$W$143,3,FALSE)</f>
        <v>-6.4739949505232985E-2</v>
      </c>
      <c r="O38" s="3543">
        <f>'All - MECs'!O38*VLOOKUP($B$14,'Annual Parameters'!$B$33:$W$143,3,FALSE)/VLOOKUP('All - MECs'!$B$14,'Annual Parameters'!$B$33:$W$143,3,FALSE)</f>
        <v>8.5146764734357561</v>
      </c>
      <c r="P38" s="3544"/>
      <c r="Q38" s="3541" t="s">
        <v>1449</v>
      </c>
      <c r="R38" s="3542"/>
      <c r="S38" s="3554"/>
      <c r="T38" s="3555">
        <f>'All - MECs'!T38*VLOOKUP($B$14,'Annual Parameters'!$B$33:$W$143,3,FALSE)/VLOOKUP('All - MECs'!$B$14,'Annual Parameters'!$B$33:$W$143,3,FALSE)</f>
        <v>-1.2367217781577553</v>
      </c>
      <c r="U38" s="3555">
        <f>'All - MECs'!U38*VLOOKUP($B$14,'Annual Parameters'!$B$33:$W$143,3,FALSE)/VLOOKUP('All - MECs'!$B$14,'Annual Parameters'!$B$33:$W$143,3,FALSE)</f>
        <v>61.598391260818929</v>
      </c>
      <c r="V38" s="3555">
        <f>'All - MECs'!V38*VLOOKUP($B$14,'Annual Parameters'!$B$33:$W$143,3,FALSE)/VLOOKUP('All - MECs'!$B$14,'Annual Parameters'!$B$33:$W$143,3,FALSE)</f>
        <v>43.385752467205563</v>
      </c>
      <c r="W38" s="3556">
        <f>'All - MECs'!W38*VLOOKUP($B$14,'Annual Parameters'!$B$33:$W$143,3,FALSE)/VLOOKUP('All - MECs'!$B$14,'Annual Parameters'!$B$33:$W$143,3,FALSE)</f>
        <v>-1.2049512401740978</v>
      </c>
      <c r="X38" s="3555">
        <f>'All - MECs'!X38*VLOOKUP($B$14,'Annual Parameters'!$B$33:$W$143,3,FALSE)/VLOOKUP('All - MECs'!$B$14,'Annual Parameters'!$B$33:$W$143,3,FALSE)</f>
        <v>29.991291674196109</v>
      </c>
      <c r="Y38" s="3557">
        <f>'All - MECs'!Y38*VLOOKUP($B$14,'Annual Parameters'!$B$33:$W$143,3,FALSE)/VLOOKUP('All - MECs'!$B$14,'Annual Parameters'!$B$33:$W$143,3,FALSE)</f>
        <v>20.62953553953249</v>
      </c>
      <c r="Z38" s="3558">
        <f>'All - MECs'!Z38*VLOOKUP($B$14,'Annual Parameters'!$B$33:$W$143,3,FALSE)/VLOOKUP('All - MECs'!$B$14,'Annual Parameters'!$B$33:$W$143,3,FALSE)</f>
        <v>11.391814702347299</v>
      </c>
      <c r="AA38" s="3559">
        <f>'All - MECs'!AA38*VLOOKUP($B$14,'Annual Parameters'!$B$33:$W$143,3,FALSE)/VLOOKUP('All - MECs'!$B$14,'Annual Parameters'!$B$33:$W$143,3,FALSE)</f>
        <v>9.0828436654781175</v>
      </c>
      <c r="AB38" s="3556">
        <f>'All - MECs'!AB38*VLOOKUP($B$14,'Annual Parameters'!$B$33:$W$143,3,FALSE)/VLOOKUP('All - MECs'!$B$14,'Annual Parameters'!$B$33:$W$143,3,FALSE)</f>
        <v>-4.61251107801204</v>
      </c>
      <c r="AC38" s="3555">
        <f>'All - MECs'!AC38*VLOOKUP($B$14,'Annual Parameters'!$B$33:$W$143,3,FALSE)/VLOOKUP('All - MECs'!$B$14,'Annual Parameters'!$B$33:$W$143,3,FALSE)</f>
        <v>-2.1284716641947314</v>
      </c>
      <c r="AD38" s="3557">
        <f>'All - MECs'!AD38*VLOOKUP($B$14,'Annual Parameters'!$B$33:$W$143,3,FALSE)/VLOOKUP('All - MECs'!$B$14,'Annual Parameters'!$B$33:$W$143,3,FALSE)</f>
        <v>-1.0258276234130452</v>
      </c>
      <c r="AE38" s="3543">
        <f>'All - MECs'!AE38*VLOOKUP($B$14,'Annual Parameters'!$B$33:$W$143,3,FALSE)/VLOOKUP('All - MECs'!$B$14,'Annual Parameters'!$B$33:$W$143,3,FALSE)</f>
        <v>7.8062772357821295</v>
      </c>
      <c r="AF38" s="3544"/>
      <c r="AG38" s="3541" t="s">
        <v>1449</v>
      </c>
      <c r="AH38" s="3542"/>
      <c r="AI38" s="3554"/>
      <c r="AJ38" s="3555">
        <f>'All - MECs'!AJ38*VLOOKUP($B$14,'Annual Parameters'!$B$33:$W$143,3,FALSE)/VLOOKUP('All - MECs'!$B$14,'Annual Parameters'!$B$33:$W$143,3,FALSE)</f>
        <v>2.8632119294153</v>
      </c>
      <c r="AK38" s="3555">
        <f>'All - MECs'!AK38*VLOOKUP($B$14,'Annual Parameters'!$B$33:$W$143,3,FALSE)/VLOOKUP('All - MECs'!$B$14,'Annual Parameters'!$B$33:$W$143,3,FALSE)</f>
        <v>125.75683776760975</v>
      </c>
      <c r="AL38" s="3555">
        <f>'All - MECs'!AL38*VLOOKUP($B$14,'Annual Parameters'!$B$33:$W$143,3,FALSE)/VLOOKUP('All - MECs'!$B$14,'Annual Parameters'!$B$33:$W$143,3,FALSE)</f>
        <v>108.93682635088879</v>
      </c>
      <c r="AM38" s="3556">
        <f>'All - MECs'!AM38*VLOOKUP($B$14,'Annual Parameters'!$B$33:$W$143,3,FALSE)/VLOOKUP('All - MECs'!$B$14,'Annual Parameters'!$B$33:$W$143,3,FALSE)</f>
        <v>1.0077881535042579</v>
      </c>
      <c r="AN38" s="3555">
        <f>'All - MECs'!AN38*VLOOKUP($B$14,'Annual Parameters'!$B$33:$W$143,3,FALSE)/VLOOKUP('All - MECs'!$B$14,'Annual Parameters'!$B$33:$W$143,3,FALSE)</f>
        <v>59.108647691703538</v>
      </c>
      <c r="AO38" s="3557">
        <f>'All - MECs'!AO38*VLOOKUP($B$14,'Annual Parameters'!$B$33:$W$143,3,FALSE)/VLOOKUP('All - MECs'!$B$14,'Annual Parameters'!$B$33:$W$143,3,FALSE)</f>
        <v>56.966925913173142</v>
      </c>
      <c r="AP38" s="3558">
        <f>'All - MECs'!AP38*VLOOKUP($B$14,'Annual Parameters'!$B$33:$W$143,3,FALSE)/VLOOKUP('All - MECs'!$B$14,'Annual Parameters'!$B$33:$W$143,3,FALSE)</f>
        <v>22.635348359374987</v>
      </c>
      <c r="AQ38" s="3559">
        <f>'All - MECs'!AQ38*VLOOKUP($B$14,'Annual Parameters'!$B$33:$W$143,3,FALSE)/VLOOKUP('All - MECs'!$B$14,'Annual Parameters'!$B$33:$W$143,3,FALSE)</f>
        <v>33.642133800579018</v>
      </c>
      <c r="AR38" s="3556">
        <f>'All - MECs'!AR38*VLOOKUP($B$14,'Annual Parameters'!$B$33:$W$143,3,FALSE)/VLOOKUP('All - MECs'!$B$14,'Annual Parameters'!$B$33:$W$143,3,FALSE)</f>
        <v>-10.485855698115502</v>
      </c>
      <c r="AS38" s="3555">
        <f>'All - MECs'!AS38*VLOOKUP($B$14,'Annual Parameters'!$B$33:$W$143,3,FALSE)/VLOOKUP('All - MECs'!$B$14,'Annual Parameters'!$B$33:$W$143,3,FALSE)</f>
        <v>-2.4350141732740838</v>
      </c>
      <c r="AT38" s="3557">
        <f>'All - MECs'!AT38*VLOOKUP($B$14,'Annual Parameters'!$B$33:$W$143,3,FALSE)/VLOOKUP('All - MECs'!$B$14,'Annual Parameters'!$B$33:$W$143,3,FALSE)</f>
        <v>16.02128598792747</v>
      </c>
      <c r="AU38" s="3543">
        <f>'All - MECs'!AU38*VLOOKUP($B$14,'Annual Parameters'!$B$33:$W$143,3,FALSE)/VLOOKUP('All - MECs'!$B$14,'Annual Parameters'!$B$33:$W$143,3,FALSE)</f>
        <v>18.129433833952813</v>
      </c>
      <c r="AV38" s="3544"/>
      <c r="AW38" s="3541" t="s">
        <v>1449</v>
      </c>
      <c r="AX38" s="3542"/>
      <c r="AY38" s="3554"/>
      <c r="AZ38" s="3555">
        <f>'All - MECs'!AZ38*VLOOKUP($B$14,'Annual Parameters'!$B$33:$W$143,3,FALSE)/VLOOKUP('All - MECs'!$B$14,'Annual Parameters'!$B$33:$W$143,3,FALSE)</f>
        <v>14.450458741580627</v>
      </c>
      <c r="BA38" s="3555">
        <f>'All - MECs'!BA38*VLOOKUP($B$14,'Annual Parameters'!$B$33:$W$143,3,FALSE)/VLOOKUP('All - MECs'!$B$14,'Annual Parameters'!$B$33:$W$143,3,FALSE)</f>
        <v>207.11528631093134</v>
      </c>
      <c r="BB38" s="3555">
        <f>'All - MECs'!BB38*VLOOKUP($B$14,'Annual Parameters'!$B$33:$W$143,3,FALSE)/VLOOKUP('All - MECs'!$B$14,'Annual Parameters'!$B$33:$W$143,3,FALSE)</f>
        <v>234.20904566871667</v>
      </c>
      <c r="BC38" s="3556">
        <f>'All - MECs'!BC38*VLOOKUP($B$14,'Annual Parameters'!$B$33:$W$143,3,FALSE)/VLOOKUP('All - MECs'!$B$14,'Annual Parameters'!$B$33:$W$143,3,FALSE)</f>
        <v>10.224822290988676</v>
      </c>
      <c r="BD38" s="3555">
        <f>'All - MECs'!BD38*VLOOKUP($B$14,'Annual Parameters'!$B$33:$W$143,3,FALSE)/VLOOKUP('All - MECs'!$B$14,'Annual Parameters'!$B$33:$W$143,3,FALSE)</f>
        <v>101.51977573280077</v>
      </c>
      <c r="BE38" s="3557">
        <f>'All - MECs'!BE38*VLOOKUP($B$14,'Annual Parameters'!$B$33:$W$143,3,FALSE)/VLOOKUP('All - MECs'!$B$14,'Annual Parameters'!$B$33:$W$143,3,FALSE)</f>
        <v>142.84317846834168</v>
      </c>
      <c r="BF38" s="3558">
        <f>'All - MECs'!BF38*VLOOKUP($B$14,'Annual Parameters'!$B$33:$W$143,3,FALSE)/VLOOKUP('All - MECs'!$B$14,'Annual Parameters'!$B$33:$W$143,3,FALSE)</f>
        <v>45.251401540719172</v>
      </c>
      <c r="BG38" s="3559">
        <f>'All - MECs'!BG38*VLOOKUP($B$14,'Annual Parameters'!$B$33:$W$143,3,FALSE)/VLOOKUP('All - MECs'!$B$14,'Annual Parameters'!$B$33:$W$143,3,FALSE)</f>
        <v>106.3860548403914</v>
      </c>
      <c r="BH38" s="3556">
        <f>'All - MECs'!BH38*VLOOKUP($B$14,'Annual Parameters'!$B$33:$W$143,3,FALSE)/VLOOKUP('All - MECs'!$B$14,'Annual Parameters'!$B$33:$W$143,3,FALSE)</f>
        <v>-9.2711921324098743</v>
      </c>
      <c r="BI38" s="3555">
        <f>'All - MECs'!BI38*VLOOKUP($B$14,'Annual Parameters'!$B$33:$W$143,3,FALSE)/VLOOKUP('All - MECs'!$B$14,'Annual Parameters'!$B$33:$W$143,3,FALSE)</f>
        <v>4.6594076466897185</v>
      </c>
      <c r="BJ38" s="3557">
        <f>'All - MECs'!BJ38*VLOOKUP($B$14,'Annual Parameters'!$B$33:$W$143,3,FALSE)/VLOOKUP('All - MECs'!$B$14,'Annual Parameters'!$B$33:$W$143,3,FALSE)</f>
        <v>78.558725017752295</v>
      </c>
      <c r="BK38" s="3543">
        <f>'All - MECs'!BK38*VLOOKUP($B$14,'Annual Parameters'!$B$33:$W$143,3,FALSE)/VLOOKUP('All - MECs'!$B$14,'Annual Parameters'!$B$33:$W$143,3,FALSE)</f>
        <v>27.893114213333835</v>
      </c>
      <c r="BL38" s="3544"/>
      <c r="BM38" s="3541" t="s">
        <v>1449</v>
      </c>
      <c r="BN38" s="3542"/>
      <c r="BO38" s="3554"/>
      <c r="BP38" s="3555">
        <f>'All - MECs'!BP38*VLOOKUP($B$14,'Annual Parameters'!$B$33:$W$143,3,FALSE)/VLOOKUP('All - MECs'!$B$14,'Annual Parameters'!$B$33:$W$143,3,FALSE)</f>
        <v>4.0233435032937912</v>
      </c>
      <c r="BQ38" s="3555">
        <f>'All - MECs'!BQ38*VLOOKUP($B$14,'Annual Parameters'!$B$33:$W$143,3,FALSE)/VLOOKUP('All - MECs'!$B$14,'Annual Parameters'!$B$33:$W$143,3,FALSE)</f>
        <v>159.28976849813947</v>
      </c>
      <c r="BR38" s="3555">
        <f>'All - MECs'!BR38*VLOOKUP($B$14,'Annual Parameters'!$B$33:$W$143,3,FALSE)/VLOOKUP('All - MECs'!$B$14,'Annual Parameters'!$B$33:$W$143,3,FALSE)</f>
        <v>115.87371567644412</v>
      </c>
      <c r="BS38" s="3556">
        <f>'All - MECs'!BS38*VLOOKUP($B$14,'Annual Parameters'!$B$33:$W$143,3,FALSE)/VLOOKUP('All - MECs'!$B$14,'Annual Parameters'!$B$33:$W$143,3,FALSE)</f>
        <v>0.75730955807194889</v>
      </c>
      <c r="BT38" s="3555">
        <f>'All - MECs'!BT38*VLOOKUP($B$14,'Annual Parameters'!$B$33:$W$143,3,FALSE)/VLOOKUP('All - MECs'!$B$14,'Annual Parameters'!$B$33:$W$143,3,FALSE)</f>
        <v>70.412025963149148</v>
      </c>
      <c r="BU38" s="3557">
        <f>'All - MECs'!BU38*VLOOKUP($B$14,'Annual Parameters'!$B$33:$W$143,3,FALSE)/VLOOKUP('All - MECs'!$B$14,'Annual Parameters'!$B$33:$W$143,3,FALSE)</f>
        <v>46.684324800032911</v>
      </c>
      <c r="BV38" s="3558">
        <f>'All - MECs'!BV38*VLOOKUP($B$14,'Annual Parameters'!$B$33:$W$143,3,FALSE)/VLOOKUP('All - MECs'!$B$14,'Annual Parameters'!$B$33:$W$143,3,FALSE)</f>
        <v>22.25197130620208</v>
      </c>
      <c r="BW38" s="3559">
        <f>'All - MECs'!BW38*VLOOKUP($B$14,'Annual Parameters'!$B$33:$W$143,3,FALSE)/VLOOKUP('All - MECs'!$B$14,'Annual Parameters'!$B$33:$W$143,3,FALSE)</f>
        <v>15.810544209513775</v>
      </c>
      <c r="BX38" s="3556">
        <f>'All - MECs'!BX38*VLOOKUP($B$14,'Annual Parameters'!$B$33:$W$143,3,FALSE)/VLOOKUP('All - MECs'!$B$14,'Annual Parameters'!$B$33:$W$143,3,FALSE)</f>
        <v>-9.8515663651926033</v>
      </c>
      <c r="BY38" s="3555">
        <f>'All - MECs'!BY38*VLOOKUP($B$14,'Annual Parameters'!$B$33:$W$143,3,FALSE)/VLOOKUP('All - MECs'!$B$14,'Annual Parameters'!$B$33:$W$143,3,FALSE)</f>
        <v>-5.5377575719057397</v>
      </c>
      <c r="BZ38" s="3557">
        <f>'All - MECs'!BZ38*VLOOKUP($B$14,'Annual Parameters'!$B$33:$W$143,3,FALSE)/VLOOKUP('All - MECs'!$B$14,'Annual Parameters'!$B$33:$W$143,3,FALSE)</f>
        <v>-4.5962850260979913</v>
      </c>
      <c r="CA38" s="3543">
        <f>'All - MECs'!CA38*VLOOKUP($B$14,'Annual Parameters'!$B$33:$W$143,3,FALSE)/VLOOKUP('All - MECs'!$B$14,'Annual Parameters'!$B$33:$W$143,3,FALSE)</f>
        <v>19.411906912290021</v>
      </c>
    </row>
    <row r="39" spans="1:95" ht="13.5" customHeight="1" thickTop="1"/>
    <row r="40" spans="1:95" ht="13.5" customHeight="1" thickBot="1"/>
    <row r="41" spans="1:95" ht="13.95" customHeight="1" thickTop="1" thickBot="1">
      <c r="A41" s="3478" t="s">
        <v>2496</v>
      </c>
      <c r="B41" s="3479"/>
      <c r="C41" s="3479"/>
      <c r="D41" s="3480">
        <v>2015</v>
      </c>
      <c r="E41" s="3479" t="s">
        <v>2497</v>
      </c>
      <c r="F41" s="3479"/>
      <c r="G41" s="3479"/>
      <c r="H41" s="3479"/>
      <c r="I41" s="3479"/>
      <c r="J41" s="3479"/>
      <c r="K41" s="3479"/>
      <c r="L41" s="3479"/>
      <c r="M41" s="3479"/>
      <c r="N41" s="3481"/>
      <c r="O41" s="3482"/>
      <c r="P41" s="3544"/>
      <c r="Q41" s="3478" t="s">
        <v>2496</v>
      </c>
      <c r="R41" s="3479"/>
      <c r="S41" s="3479"/>
      <c r="T41" s="3480">
        <v>2015</v>
      </c>
      <c r="U41" s="3479" t="s">
        <v>2498</v>
      </c>
      <c r="V41" s="3479"/>
      <c r="W41" s="3479"/>
      <c r="X41" s="3479"/>
      <c r="Y41" s="3479"/>
      <c r="Z41" s="3479"/>
      <c r="AA41" s="3479"/>
      <c r="AB41" s="3479"/>
      <c r="AC41" s="3479"/>
      <c r="AD41" s="3481"/>
      <c r="AE41" s="3482"/>
      <c r="AF41" s="3544"/>
      <c r="AG41" s="3478" t="s">
        <v>1967</v>
      </c>
      <c r="AH41" s="3479"/>
      <c r="AI41" s="3479"/>
      <c r="AJ41" s="3480">
        <v>2015</v>
      </c>
      <c r="AK41" s="3479" t="s">
        <v>2499</v>
      </c>
      <c r="AL41" s="3479"/>
      <c r="AM41" s="3479"/>
      <c r="AN41" s="3479"/>
      <c r="AO41" s="3479"/>
      <c r="AP41" s="3479"/>
      <c r="AQ41" s="3479"/>
      <c r="AR41" s="3479"/>
      <c r="AS41" s="3479"/>
      <c r="AT41" s="3481"/>
      <c r="AU41" s="3482"/>
      <c r="AV41" s="3544"/>
      <c r="AW41" s="3478" t="s">
        <v>1963</v>
      </c>
      <c r="AX41" s="3479"/>
      <c r="AY41" s="3479"/>
      <c r="AZ41" s="3480">
        <v>2015</v>
      </c>
      <c r="BA41" s="3479" t="s">
        <v>2500</v>
      </c>
      <c r="BB41" s="3479"/>
      <c r="BC41" s="3479"/>
      <c r="BD41" s="3479"/>
      <c r="BE41" s="3479"/>
      <c r="BF41" s="3479"/>
      <c r="BG41" s="3479"/>
      <c r="BH41" s="3479"/>
      <c r="BI41" s="3479"/>
      <c r="BJ41" s="3481"/>
      <c r="BK41" s="3482"/>
      <c r="BL41" s="3544"/>
      <c r="BM41" s="3478" t="s">
        <v>1968</v>
      </c>
      <c r="BN41" s="3479"/>
      <c r="BO41" s="3479"/>
      <c r="BP41" s="3480">
        <v>2015</v>
      </c>
      <c r="BQ41" s="3479" t="s">
        <v>2501</v>
      </c>
      <c r="BR41" s="3479"/>
      <c r="BS41" s="3479"/>
      <c r="BT41" s="3479"/>
      <c r="BU41" s="3479"/>
      <c r="BV41" s="3479"/>
      <c r="BW41" s="3479"/>
      <c r="BX41" s="3479"/>
      <c r="BY41" s="3479"/>
      <c r="BZ41" s="3481"/>
      <c r="CA41" s="3482"/>
    </row>
    <row r="42" spans="1:95" ht="13.5" customHeight="1" thickTop="1">
      <c r="A42" s="3483"/>
      <c r="B42" s="3484"/>
      <c r="C42" s="3851" t="s">
        <v>1130</v>
      </c>
      <c r="D42" s="3855" t="s">
        <v>1487</v>
      </c>
      <c r="E42" s="3856"/>
      <c r="F42" s="3857"/>
      <c r="G42" s="3855" t="s">
        <v>1089</v>
      </c>
      <c r="H42" s="3856"/>
      <c r="I42" s="3857"/>
      <c r="J42" s="3858" t="s">
        <v>1132</v>
      </c>
      <c r="K42" s="3859"/>
      <c r="L42" s="3855" t="s">
        <v>789</v>
      </c>
      <c r="M42" s="3856"/>
      <c r="N42" s="3857"/>
      <c r="O42" s="3853" t="s">
        <v>1090</v>
      </c>
      <c r="P42" s="3544"/>
      <c r="Q42" s="3483"/>
      <c r="R42" s="3484"/>
      <c r="S42" s="3851" t="s">
        <v>1130</v>
      </c>
      <c r="T42" s="3855" t="s">
        <v>1487</v>
      </c>
      <c r="U42" s="3856"/>
      <c r="V42" s="3857"/>
      <c r="W42" s="3855" t="s">
        <v>1089</v>
      </c>
      <c r="X42" s="3856"/>
      <c r="Y42" s="3857"/>
      <c r="Z42" s="3858" t="s">
        <v>1132</v>
      </c>
      <c r="AA42" s="3859"/>
      <c r="AB42" s="3855" t="s">
        <v>789</v>
      </c>
      <c r="AC42" s="3856"/>
      <c r="AD42" s="3857"/>
      <c r="AE42" s="3853" t="s">
        <v>1090</v>
      </c>
      <c r="AF42" s="3544"/>
      <c r="AG42" s="3483"/>
      <c r="AH42" s="3484"/>
      <c r="AI42" s="3851" t="s">
        <v>1130</v>
      </c>
      <c r="AJ42" s="3855" t="s">
        <v>1487</v>
      </c>
      <c r="AK42" s="3856"/>
      <c r="AL42" s="3857"/>
      <c r="AM42" s="3855" t="s">
        <v>1089</v>
      </c>
      <c r="AN42" s="3856"/>
      <c r="AO42" s="3857"/>
      <c r="AP42" s="3858" t="s">
        <v>1132</v>
      </c>
      <c r="AQ42" s="3859"/>
      <c r="AR42" s="3855" t="s">
        <v>789</v>
      </c>
      <c r="AS42" s="3856"/>
      <c r="AT42" s="3857"/>
      <c r="AU42" s="3853" t="s">
        <v>1090</v>
      </c>
      <c r="AV42" s="3544"/>
      <c r="AW42" s="3483"/>
      <c r="AX42" s="3484"/>
      <c r="AY42" s="3851" t="s">
        <v>1130</v>
      </c>
      <c r="AZ42" s="3855" t="s">
        <v>1487</v>
      </c>
      <c r="BA42" s="3856"/>
      <c r="BB42" s="3857"/>
      <c r="BC42" s="3855" t="s">
        <v>1089</v>
      </c>
      <c r="BD42" s="3856"/>
      <c r="BE42" s="3857"/>
      <c r="BF42" s="3858" t="s">
        <v>1132</v>
      </c>
      <c r="BG42" s="3859"/>
      <c r="BH42" s="3855" t="s">
        <v>789</v>
      </c>
      <c r="BI42" s="3856"/>
      <c r="BJ42" s="3857"/>
      <c r="BK42" s="3853" t="s">
        <v>1090</v>
      </c>
      <c r="BL42" s="3544"/>
      <c r="BM42" s="3483"/>
      <c r="BN42" s="3484"/>
      <c r="BO42" s="3851" t="s">
        <v>1130</v>
      </c>
      <c r="BP42" s="3855" t="s">
        <v>1487</v>
      </c>
      <c r="BQ42" s="3856"/>
      <c r="BR42" s="3857"/>
      <c r="BS42" s="3855" t="s">
        <v>1089</v>
      </c>
      <c r="BT42" s="3856"/>
      <c r="BU42" s="3857"/>
      <c r="BV42" s="3858" t="s">
        <v>1132</v>
      </c>
      <c r="BW42" s="3859"/>
      <c r="BX42" s="3855" t="s">
        <v>789</v>
      </c>
      <c r="BY42" s="3856"/>
      <c r="BZ42" s="3857"/>
      <c r="CA42" s="3853" t="s">
        <v>1090</v>
      </c>
      <c r="CB42" s="2898"/>
      <c r="CC42" s="2898"/>
      <c r="CD42" s="2898"/>
      <c r="CE42" s="2898"/>
      <c r="CF42" s="2898"/>
      <c r="CG42" s="2898"/>
      <c r="CH42" s="2898"/>
      <c r="CI42" s="2898"/>
      <c r="CJ42" s="2898"/>
      <c r="CK42" s="2898"/>
      <c r="CL42" s="2898"/>
      <c r="CM42" s="2898"/>
      <c r="CN42" s="2898"/>
      <c r="CO42" s="2898"/>
      <c r="CP42" s="2898"/>
      <c r="CQ42" s="2898"/>
    </row>
    <row r="43" spans="1:95" ht="13.5" customHeight="1" thickBot="1">
      <c r="A43" s="3485" t="s">
        <v>1093</v>
      </c>
      <c r="B43" s="3486"/>
      <c r="C43" s="3852"/>
      <c r="D43" s="3487" t="s">
        <v>1058</v>
      </c>
      <c r="E43" s="3488" t="s">
        <v>1091</v>
      </c>
      <c r="F43" s="3489" t="s">
        <v>1092</v>
      </c>
      <c r="G43" s="3490" t="s">
        <v>1058</v>
      </c>
      <c r="H43" s="3491" t="s">
        <v>1091</v>
      </c>
      <c r="I43" s="3492" t="s">
        <v>1092</v>
      </c>
      <c r="J43" s="3487" t="s">
        <v>1091</v>
      </c>
      <c r="K43" s="3489" t="s">
        <v>1092</v>
      </c>
      <c r="L43" s="3487" t="s">
        <v>1058</v>
      </c>
      <c r="M43" s="3488" t="s">
        <v>1091</v>
      </c>
      <c r="N43" s="3489" t="s">
        <v>1092</v>
      </c>
      <c r="O43" s="3854"/>
      <c r="P43" s="3544"/>
      <c r="Q43" s="3485" t="s">
        <v>1093</v>
      </c>
      <c r="R43" s="3486"/>
      <c r="S43" s="3852"/>
      <c r="T43" s="3487" t="s">
        <v>1058</v>
      </c>
      <c r="U43" s="3488" t="s">
        <v>1091</v>
      </c>
      <c r="V43" s="3489" t="s">
        <v>1092</v>
      </c>
      <c r="W43" s="3490" t="s">
        <v>1058</v>
      </c>
      <c r="X43" s="3491" t="s">
        <v>1091</v>
      </c>
      <c r="Y43" s="3492" t="s">
        <v>1092</v>
      </c>
      <c r="Z43" s="3487" t="s">
        <v>1091</v>
      </c>
      <c r="AA43" s="3489" t="s">
        <v>1092</v>
      </c>
      <c r="AB43" s="3487" t="s">
        <v>1058</v>
      </c>
      <c r="AC43" s="3488" t="s">
        <v>1091</v>
      </c>
      <c r="AD43" s="3489" t="s">
        <v>1092</v>
      </c>
      <c r="AE43" s="3854"/>
      <c r="AF43" s="3544"/>
      <c r="AG43" s="3485" t="s">
        <v>1093</v>
      </c>
      <c r="AH43" s="3486"/>
      <c r="AI43" s="3852"/>
      <c r="AJ43" s="3487" t="s">
        <v>1058</v>
      </c>
      <c r="AK43" s="3488" t="s">
        <v>1091</v>
      </c>
      <c r="AL43" s="3489" t="s">
        <v>1092</v>
      </c>
      <c r="AM43" s="3490" t="s">
        <v>1058</v>
      </c>
      <c r="AN43" s="3491" t="s">
        <v>1091</v>
      </c>
      <c r="AO43" s="3492" t="s">
        <v>1092</v>
      </c>
      <c r="AP43" s="3487" t="s">
        <v>1091</v>
      </c>
      <c r="AQ43" s="3489" t="s">
        <v>1092</v>
      </c>
      <c r="AR43" s="3487" t="s">
        <v>1058</v>
      </c>
      <c r="AS43" s="3488" t="s">
        <v>1091</v>
      </c>
      <c r="AT43" s="3489" t="s">
        <v>1092</v>
      </c>
      <c r="AU43" s="3854"/>
      <c r="AV43" s="3544"/>
      <c r="AW43" s="3485" t="s">
        <v>1093</v>
      </c>
      <c r="AX43" s="3486"/>
      <c r="AY43" s="3852"/>
      <c r="AZ43" s="3487" t="s">
        <v>1058</v>
      </c>
      <c r="BA43" s="3488" t="s">
        <v>1091</v>
      </c>
      <c r="BB43" s="3489" t="s">
        <v>1092</v>
      </c>
      <c r="BC43" s="3490" t="s">
        <v>1058</v>
      </c>
      <c r="BD43" s="3491" t="s">
        <v>1091</v>
      </c>
      <c r="BE43" s="3492" t="s">
        <v>1092</v>
      </c>
      <c r="BF43" s="3487" t="s">
        <v>1091</v>
      </c>
      <c r="BG43" s="3489" t="s">
        <v>1092</v>
      </c>
      <c r="BH43" s="3487" t="s">
        <v>1058</v>
      </c>
      <c r="BI43" s="3488" t="s">
        <v>1091</v>
      </c>
      <c r="BJ43" s="3489" t="s">
        <v>1092</v>
      </c>
      <c r="BK43" s="3854"/>
      <c r="BL43" s="3544"/>
      <c r="BM43" s="3485" t="s">
        <v>1093</v>
      </c>
      <c r="BN43" s="3486"/>
      <c r="BO43" s="3852"/>
      <c r="BP43" s="3487" t="s">
        <v>1058</v>
      </c>
      <c r="BQ43" s="3488" t="s">
        <v>1091</v>
      </c>
      <c r="BR43" s="3489" t="s">
        <v>1092</v>
      </c>
      <c r="BS43" s="3490" t="s">
        <v>1058</v>
      </c>
      <c r="BT43" s="3491" t="s">
        <v>1091</v>
      </c>
      <c r="BU43" s="3492" t="s">
        <v>1092</v>
      </c>
      <c r="BV43" s="3487" t="s">
        <v>1091</v>
      </c>
      <c r="BW43" s="3489" t="s">
        <v>1092</v>
      </c>
      <c r="BX43" s="3487" t="s">
        <v>1058</v>
      </c>
      <c r="BY43" s="3488" t="s">
        <v>1091</v>
      </c>
      <c r="BZ43" s="3489" t="s">
        <v>1092</v>
      </c>
      <c r="CA43" s="3854"/>
    </row>
    <row r="44" spans="1:95" ht="13.5" customHeight="1" thickTop="1">
      <c r="A44" s="3860" t="s">
        <v>1094</v>
      </c>
      <c r="B44" s="3493"/>
      <c r="C44" s="3494">
        <v>1</v>
      </c>
      <c r="D44" s="3495">
        <f>'All - MECs'!D44*VLOOKUP($B$14,'Annual Parameters'!$B$33:$W$143,3,FALSE)/VLOOKUP('All - MECs'!$B$14,'Annual Parameters'!$B$33:$W$143,3,FALSE)</f>
        <v>-1.8987842893008249E-2</v>
      </c>
      <c r="E44" s="3496">
        <f>'All - MECs'!E44*VLOOKUP($B$14,'Annual Parameters'!$B$33:$W$143,3,FALSE)/VLOOKUP('All - MECs'!$B$14,'Annual Parameters'!$B$33:$W$143,3,FALSE)</f>
        <v>1.3312346737780365</v>
      </c>
      <c r="F44" s="3496">
        <f>'All - MECs'!F44*VLOOKUP($B$14,'Annual Parameters'!$B$33:$W$143,3,FALSE)/VLOOKUP('All - MECs'!$B$14,'Annual Parameters'!$B$33:$W$143,3,FALSE)</f>
        <v>11.950028319033697</v>
      </c>
      <c r="G44" s="3497">
        <f>'All - MECs'!G44*VLOOKUP($B$14,'Annual Parameters'!$B$33:$W$143,3,FALSE)/VLOOKUP('All - MECs'!$B$14,'Annual Parameters'!$B$33:$W$143,3,FALSE)</f>
        <v>-2.9019863894463038E-3</v>
      </c>
      <c r="H44" s="3498">
        <f>'All - MECs'!H44*VLOOKUP($B$14,'Annual Parameters'!$B$33:$W$143,3,FALSE)/VLOOKUP('All - MECs'!$B$14,'Annual Parameters'!$B$33:$W$143,3,FALSE)</f>
        <v>0.86681188922246077</v>
      </c>
      <c r="I44" s="3499">
        <f>'All - MECs'!I44*VLOOKUP($B$14,'Annual Parameters'!$B$33:$W$143,3,FALSE)/VLOOKUP('All - MECs'!$B$14,'Annual Parameters'!$B$33:$W$143,3,FALSE)</f>
        <v>2.1827670619755613</v>
      </c>
      <c r="J44" s="3500">
        <f>'All - MECs'!J44*VLOOKUP($B$14,'Annual Parameters'!$B$33:$W$143,3,FALSE)/VLOOKUP('All - MECs'!$B$14,'Annual Parameters'!$B$33:$W$143,3,FALSE)</f>
        <v>0.54027188727017639</v>
      </c>
      <c r="K44" s="3501">
        <f>'All - MECs'!K44*VLOOKUP($B$14,'Annual Parameters'!$B$33:$W$143,3,FALSE)/VLOOKUP('All - MECs'!$B$14,'Annual Parameters'!$B$33:$W$143,3,FALSE)</f>
        <v>2.1266469808943045</v>
      </c>
      <c r="L44" s="3495">
        <f>'All - MECs'!L44*VLOOKUP($B$14,'Annual Parameters'!$B$33:$W$143,3,FALSE)/VLOOKUP('All - MECs'!$B$14,'Annual Parameters'!$B$33:$W$143,3,FALSE)</f>
        <v>-1.2217476996189486E-2</v>
      </c>
      <c r="M44" s="3496">
        <f>'All - MECs'!M44*VLOOKUP($B$14,'Annual Parameters'!$B$33:$W$143,3,FALSE)/VLOOKUP('All - MECs'!$B$14,'Annual Parameters'!$B$33:$W$143,3,FALSE)</f>
        <v>0.37426657127035357</v>
      </c>
      <c r="N44" s="3501">
        <f>'All - MECs'!N44*VLOOKUP($B$14,'Annual Parameters'!$B$33:$W$143,3,FALSE)/VLOOKUP('All - MECs'!$B$14,'Annual Parameters'!$B$33:$W$143,3,FALSE)</f>
        <v>0.18405775557053952</v>
      </c>
      <c r="O44" s="3502">
        <f>'All - MECs'!O44*VLOOKUP($B$14,'Annual Parameters'!$B$33:$W$143,3,FALSE)/VLOOKUP('All - MECs'!$B$14,'Annual Parameters'!$B$33:$W$143,3,FALSE)</f>
        <v>1.1090274111143703</v>
      </c>
      <c r="P44" s="3544"/>
      <c r="Q44" s="3860" t="s">
        <v>1094</v>
      </c>
      <c r="R44" s="3493"/>
      <c r="S44" s="3494">
        <v>1</v>
      </c>
      <c r="T44" s="3495">
        <f>'All - MECs'!T44*VLOOKUP($B$14,'Annual Parameters'!$B$33:$W$143,3,FALSE)/VLOOKUP('All - MECs'!$B$14,'Annual Parameters'!$B$33:$W$143,3,FALSE)</f>
        <v>-1.8987842893008249E-2</v>
      </c>
      <c r="U44" s="3496">
        <f>'All - MECs'!U44*VLOOKUP($B$14,'Annual Parameters'!$B$33:$W$143,3,FALSE)/VLOOKUP('All - MECs'!$B$14,'Annual Parameters'!$B$33:$W$143,3,FALSE)</f>
        <v>1.3312346737780365</v>
      </c>
      <c r="V44" s="3496">
        <f>'All - MECs'!V44*VLOOKUP($B$14,'Annual Parameters'!$B$33:$W$143,3,FALSE)/VLOOKUP('All - MECs'!$B$14,'Annual Parameters'!$B$33:$W$143,3,FALSE)</f>
        <v>11.950028319033697</v>
      </c>
      <c r="W44" s="3497">
        <f>'All - MECs'!W44*VLOOKUP($B$14,'Annual Parameters'!$B$33:$W$143,3,FALSE)/VLOOKUP('All - MECs'!$B$14,'Annual Parameters'!$B$33:$W$143,3,FALSE)</f>
        <v>-2.9019863894463038E-3</v>
      </c>
      <c r="X44" s="3498">
        <f>'All - MECs'!X44*VLOOKUP($B$14,'Annual Parameters'!$B$33:$W$143,3,FALSE)/VLOOKUP('All - MECs'!$B$14,'Annual Parameters'!$B$33:$W$143,3,FALSE)</f>
        <v>0.86681188922246077</v>
      </c>
      <c r="Y44" s="3499">
        <f>'All - MECs'!Y44*VLOOKUP($B$14,'Annual Parameters'!$B$33:$W$143,3,FALSE)/VLOOKUP('All - MECs'!$B$14,'Annual Parameters'!$B$33:$W$143,3,FALSE)</f>
        <v>2.1827670619755613</v>
      </c>
      <c r="Z44" s="3500">
        <f>'All - MECs'!Z44*VLOOKUP($B$14,'Annual Parameters'!$B$33:$W$143,3,FALSE)/VLOOKUP('All - MECs'!$B$14,'Annual Parameters'!$B$33:$W$143,3,FALSE)</f>
        <v>0.54027188727017639</v>
      </c>
      <c r="AA44" s="3501">
        <f>'All - MECs'!AA44*VLOOKUP($B$14,'Annual Parameters'!$B$33:$W$143,3,FALSE)/VLOOKUP('All - MECs'!$B$14,'Annual Parameters'!$B$33:$W$143,3,FALSE)</f>
        <v>2.1266469808943045</v>
      </c>
      <c r="AB44" s="3495">
        <f>'All - MECs'!AB44*VLOOKUP($B$14,'Annual Parameters'!$B$33:$W$143,3,FALSE)/VLOOKUP('All - MECs'!$B$14,'Annual Parameters'!$B$33:$W$143,3,FALSE)</f>
        <v>-1.2217476996189486E-2</v>
      </c>
      <c r="AC44" s="3496">
        <f>'All - MECs'!AC44*VLOOKUP($B$14,'Annual Parameters'!$B$33:$W$143,3,FALSE)/VLOOKUP('All - MECs'!$B$14,'Annual Parameters'!$B$33:$W$143,3,FALSE)</f>
        <v>0.37426657127035357</v>
      </c>
      <c r="AD44" s="3501">
        <f>'All - MECs'!AD44*VLOOKUP($B$14,'Annual Parameters'!$B$33:$W$143,3,FALSE)/VLOOKUP('All - MECs'!$B$14,'Annual Parameters'!$B$33:$W$143,3,FALSE)</f>
        <v>0.18405775557053952</v>
      </c>
      <c r="AE44" s="3502">
        <f>'All - MECs'!AE44*VLOOKUP($B$14,'Annual Parameters'!$B$33:$W$143,3,FALSE)/VLOOKUP('All - MECs'!$B$14,'Annual Parameters'!$B$33:$W$143,3,FALSE)</f>
        <v>1.1090274111143703</v>
      </c>
      <c r="AF44" s="3544"/>
      <c r="AG44" s="3860" t="s">
        <v>1094</v>
      </c>
      <c r="AH44" s="3493"/>
      <c r="AI44" s="3494">
        <v>1</v>
      </c>
      <c r="AJ44" s="3495">
        <f>'All - MECs'!AJ44*VLOOKUP($B$14,'Annual Parameters'!$B$33:$W$143,3,FALSE)/VLOOKUP('All - MECs'!$B$14,'Annual Parameters'!$B$33:$W$143,3,FALSE)</f>
        <v>-3.607690149671567E-2</v>
      </c>
      <c r="AK44" s="3496">
        <f>'All - MECs'!AK44*VLOOKUP($B$14,'Annual Parameters'!$B$33:$W$143,3,FALSE)/VLOOKUP('All - MECs'!$B$14,'Annual Parameters'!$B$33:$W$143,3,FALSE)</f>
        <v>2.5293458801782691</v>
      </c>
      <c r="AL44" s="3496">
        <f>'All - MECs'!AL44*VLOOKUP($B$14,'Annual Parameters'!$B$33:$W$143,3,FALSE)/VLOOKUP('All - MECs'!$B$14,'Annual Parameters'!$B$33:$W$143,3,FALSE)</f>
        <v>22.705053806164024</v>
      </c>
      <c r="AM44" s="3497">
        <f>'All - MECs'!AM44*VLOOKUP($B$14,'Annual Parameters'!$B$33:$W$143,3,FALSE)/VLOOKUP('All - MECs'!$B$14,'Annual Parameters'!$B$33:$W$143,3,FALSE)</f>
        <v>-5.5137741399479768E-3</v>
      </c>
      <c r="AN44" s="3498">
        <f>'All - MECs'!AN44*VLOOKUP($B$14,'Annual Parameters'!$B$33:$W$143,3,FALSE)/VLOOKUP('All - MECs'!$B$14,'Annual Parameters'!$B$33:$W$143,3,FALSE)</f>
        <v>1.6469425895226755</v>
      </c>
      <c r="AO44" s="3499">
        <f>'All - MECs'!AO44*VLOOKUP($B$14,'Annual Parameters'!$B$33:$W$143,3,FALSE)/VLOOKUP('All - MECs'!$B$14,'Annual Parameters'!$B$33:$W$143,3,FALSE)</f>
        <v>4.1472574177535666</v>
      </c>
      <c r="AP44" s="3500">
        <f>'All - MECs'!AP44*VLOOKUP($B$14,'Annual Parameters'!$B$33:$W$143,3,FALSE)/VLOOKUP('All - MECs'!$B$14,'Annual Parameters'!$B$33:$W$143,3,FALSE)</f>
        <v>1.0265165858133352</v>
      </c>
      <c r="AQ44" s="3501">
        <f>'All - MECs'!AQ44*VLOOKUP($B$14,'Annual Parameters'!$B$33:$W$143,3,FALSE)/VLOOKUP('All - MECs'!$B$14,'Annual Parameters'!$B$33:$W$143,3,FALSE)</f>
        <v>4.0406292636991781</v>
      </c>
      <c r="AR44" s="3495">
        <f>'All - MECs'!AR44*VLOOKUP($B$14,'Annual Parameters'!$B$33:$W$143,3,FALSE)/VLOOKUP('All - MECs'!$B$14,'Annual Parameters'!$B$33:$W$143,3,FALSE)</f>
        <v>-2.3213206292760025E-2</v>
      </c>
      <c r="AS44" s="3496">
        <f>'All - MECs'!AS44*VLOOKUP($B$14,'Annual Parameters'!$B$33:$W$143,3,FALSE)/VLOOKUP('All - MECs'!$B$14,'Annual Parameters'!$B$33:$W$143,3,FALSE)</f>
        <v>0.71110648541367172</v>
      </c>
      <c r="AT44" s="3501">
        <f>'All - MECs'!AT44*VLOOKUP($B$14,'Annual Parameters'!$B$33:$W$143,3,FALSE)/VLOOKUP('All - MECs'!$B$14,'Annual Parameters'!$B$33:$W$143,3,FALSE)</f>
        <v>0.34970973558402507</v>
      </c>
      <c r="AU44" s="3502">
        <f>'All - MECs'!AU44*VLOOKUP($B$14,'Annual Parameters'!$B$33:$W$143,3,FALSE)/VLOOKUP('All - MECs'!$B$14,'Annual Parameters'!$B$33:$W$143,3,FALSE)</f>
        <v>2.1071520811173037</v>
      </c>
      <c r="AV44" s="3544"/>
      <c r="AW44" s="3860" t="s">
        <v>1094</v>
      </c>
      <c r="AX44" s="3493"/>
      <c r="AY44" s="3494">
        <v>1</v>
      </c>
      <c r="AZ44" s="3495">
        <f>'All - MECs'!AZ44*VLOOKUP($B$14,'Annual Parameters'!$B$33:$W$143,3,FALSE)/VLOOKUP('All - MECs'!$B$14,'Annual Parameters'!$B$33:$W$143,3,FALSE)</f>
        <v>-5.5064744389723919E-2</v>
      </c>
      <c r="BA44" s="3496">
        <f>'All - MECs'!BA44*VLOOKUP($B$14,'Annual Parameters'!$B$33:$W$143,3,FALSE)/VLOOKUP('All - MECs'!$B$14,'Annual Parameters'!$B$33:$W$143,3,FALSE)</f>
        <v>3.8605805539563054</v>
      </c>
      <c r="BB44" s="3496">
        <f>'All - MECs'!BB44*VLOOKUP($B$14,'Annual Parameters'!$B$33:$W$143,3,FALSE)/VLOOKUP('All - MECs'!$B$14,'Annual Parameters'!$B$33:$W$143,3,FALSE)</f>
        <v>34.655082125197723</v>
      </c>
      <c r="BC44" s="3497">
        <f>'All - MECs'!BC44*VLOOKUP($B$14,'Annual Parameters'!$B$33:$W$143,3,FALSE)/VLOOKUP('All - MECs'!$B$14,'Annual Parameters'!$B$33:$W$143,3,FALSE)</f>
        <v>-8.4157605293942814E-3</v>
      </c>
      <c r="BD44" s="3498">
        <f>'All - MECs'!BD44*VLOOKUP($B$14,'Annual Parameters'!$B$33:$W$143,3,FALSE)/VLOOKUP('All - MECs'!$B$14,'Annual Parameters'!$B$33:$W$143,3,FALSE)</f>
        <v>2.513754478745136</v>
      </c>
      <c r="BE44" s="3499">
        <f>'All - MECs'!BE44*VLOOKUP($B$14,'Annual Parameters'!$B$33:$W$143,3,FALSE)/VLOOKUP('All - MECs'!$B$14,'Annual Parameters'!$B$33:$W$143,3,FALSE)</f>
        <v>6.3300244797291274</v>
      </c>
      <c r="BF44" s="3500">
        <f>'All - MECs'!BF44*VLOOKUP($B$14,'Annual Parameters'!$B$33:$W$143,3,FALSE)/VLOOKUP('All - MECs'!$B$14,'Annual Parameters'!$B$33:$W$143,3,FALSE)</f>
        <v>1.5667884730835115</v>
      </c>
      <c r="BG44" s="3501">
        <f>'All - MECs'!BG44*VLOOKUP($B$14,'Annual Parameters'!$B$33:$W$143,3,FALSE)/VLOOKUP('All - MECs'!$B$14,'Annual Parameters'!$B$33:$W$143,3,FALSE)</f>
        <v>6.1672762445934826</v>
      </c>
      <c r="BH44" s="3495">
        <f>'All - MECs'!BH44*VLOOKUP($B$14,'Annual Parameters'!$B$33:$W$143,3,FALSE)/VLOOKUP('All - MECs'!$B$14,'Annual Parameters'!$B$33:$W$143,3,FALSE)</f>
        <v>-3.5430683288949508E-2</v>
      </c>
      <c r="BI44" s="3496">
        <f>'All - MECs'!BI44*VLOOKUP($B$14,'Annual Parameters'!$B$33:$W$143,3,FALSE)/VLOOKUP('All - MECs'!$B$14,'Annual Parameters'!$B$33:$W$143,3,FALSE)</f>
        <v>1.0853730566840254</v>
      </c>
      <c r="BJ44" s="3501">
        <f>'All - MECs'!BJ44*VLOOKUP($B$14,'Annual Parameters'!$B$33:$W$143,3,FALSE)/VLOOKUP('All - MECs'!$B$14,'Annual Parameters'!$B$33:$W$143,3,FALSE)</f>
        <v>0.53376749115456457</v>
      </c>
      <c r="BK44" s="3502">
        <f>'All - MECs'!BK44*VLOOKUP($B$14,'Annual Parameters'!$B$33:$W$143,3,FALSE)/VLOOKUP('All - MECs'!$B$14,'Annual Parameters'!$B$33:$W$143,3,FALSE)</f>
        <v>3.216179492231674</v>
      </c>
      <c r="BL44" s="3544"/>
      <c r="BM44" s="3860" t="s">
        <v>1094</v>
      </c>
      <c r="BN44" s="3493"/>
      <c r="BO44" s="3494">
        <v>1</v>
      </c>
      <c r="BP44" s="3495">
        <f>'All - MECs'!BP44*VLOOKUP($B$14,'Annual Parameters'!$B$33:$W$143,3,FALSE)/VLOOKUP('All - MECs'!$B$14,'Annual Parameters'!$B$33:$W$143,3,FALSE)</f>
        <v>-4.7469607232520625E-2</v>
      </c>
      <c r="BQ44" s="3496">
        <f>'All - MECs'!BQ44*VLOOKUP($B$14,'Annual Parameters'!$B$33:$W$143,3,FALSE)/VLOOKUP('All - MECs'!$B$14,'Annual Parameters'!$B$33:$W$143,3,FALSE)</f>
        <v>3.3280866844450911</v>
      </c>
      <c r="BR44" s="3496">
        <f>'All - MECs'!BR44*VLOOKUP($B$14,'Annual Parameters'!$B$33:$W$143,3,FALSE)/VLOOKUP('All - MECs'!$B$14,'Annual Parameters'!$B$33:$W$143,3,FALSE)</f>
        <v>29.875070797584243</v>
      </c>
      <c r="BS44" s="3497">
        <f>'All - MECs'!BS44*VLOOKUP($B$14,'Annual Parameters'!$B$33:$W$143,3,FALSE)/VLOOKUP('All - MECs'!$B$14,'Annual Parameters'!$B$33:$W$143,3,FALSE)</f>
        <v>-7.2549659736157587E-3</v>
      </c>
      <c r="BT44" s="3498">
        <f>'All - MECs'!BT44*VLOOKUP($B$14,'Annual Parameters'!$B$33:$W$143,3,FALSE)/VLOOKUP('All - MECs'!$B$14,'Annual Parameters'!$B$33:$W$143,3,FALSE)</f>
        <v>2.1670297230561522</v>
      </c>
      <c r="BU44" s="3499">
        <f>'All - MECs'!BU44*VLOOKUP($B$14,'Annual Parameters'!$B$33:$W$143,3,FALSE)/VLOOKUP('All - MECs'!$B$14,'Annual Parameters'!$B$33:$W$143,3,FALSE)</f>
        <v>5.4569176549389029</v>
      </c>
      <c r="BV44" s="3500">
        <f>'All - MECs'!BV44*VLOOKUP($B$14,'Annual Parameters'!$B$33:$W$143,3,FALSE)/VLOOKUP('All - MECs'!$B$14,'Annual Parameters'!$B$33:$W$143,3,FALSE)</f>
        <v>1.3506797181754409</v>
      </c>
      <c r="BW44" s="3501">
        <f>'All - MECs'!BW44*VLOOKUP($B$14,'Annual Parameters'!$B$33:$W$143,3,FALSE)/VLOOKUP('All - MECs'!$B$14,'Annual Parameters'!$B$33:$W$143,3,FALSE)</f>
        <v>5.3166174522357608</v>
      </c>
      <c r="BX44" s="3495">
        <f>'All - MECs'!BX44*VLOOKUP($B$14,'Annual Parameters'!$B$33:$W$143,3,FALSE)/VLOOKUP('All - MECs'!$B$14,'Annual Parameters'!$B$33:$W$143,3,FALSE)</f>
        <v>-3.0543692490473714E-2</v>
      </c>
      <c r="BY44" s="3496">
        <f>'All - MECs'!BY44*VLOOKUP($B$14,'Annual Parameters'!$B$33:$W$143,3,FALSE)/VLOOKUP('All - MECs'!$B$14,'Annual Parameters'!$B$33:$W$143,3,FALSE)</f>
        <v>0.93566642817588397</v>
      </c>
      <c r="BZ44" s="3501">
        <f>'All - MECs'!BZ44*VLOOKUP($B$14,'Annual Parameters'!$B$33:$W$143,3,FALSE)/VLOOKUP('All - MECs'!$B$14,'Annual Parameters'!$B$33:$W$143,3,FALSE)</f>
        <v>0.46014438892634879</v>
      </c>
      <c r="CA44" s="3502">
        <f>'All - MECs'!CA44*VLOOKUP($B$14,'Annual Parameters'!$B$33:$W$143,3,FALSE)/VLOOKUP('All - MECs'!$B$14,'Annual Parameters'!$B$33:$W$143,3,FALSE)</f>
        <v>2.7725685277859258</v>
      </c>
    </row>
    <row r="45" spans="1:95" ht="13.5" customHeight="1">
      <c r="A45" s="3860"/>
      <c r="B45" s="3493"/>
      <c r="C45" s="3494">
        <v>2</v>
      </c>
      <c r="D45" s="3495">
        <f>'All - MECs'!D45*VLOOKUP($B$14,'Annual Parameters'!$B$33:$W$143,3,FALSE)/VLOOKUP('All - MECs'!$B$14,'Annual Parameters'!$B$33:$W$143,3,FALSE)</f>
        <v>-3.3908952036702071E-2</v>
      </c>
      <c r="E45" s="3496">
        <f>'All - MECs'!E45*VLOOKUP($B$14,'Annual Parameters'!$B$33:$W$143,3,FALSE)/VLOOKUP('All - MECs'!$B$14,'Annual Parameters'!$B$33:$W$143,3,FALSE)</f>
        <v>4.2684468097195785</v>
      </c>
      <c r="F45" s="3496">
        <f>'All - MECs'!F45*VLOOKUP($B$14,'Annual Parameters'!$B$33:$W$143,3,FALSE)/VLOOKUP('All - MECs'!$B$14,'Annual Parameters'!$B$33:$W$143,3,FALSE)</f>
        <v>25.642449152847895</v>
      </c>
      <c r="G45" s="3503">
        <f>'All - MECs'!G45*VLOOKUP($B$14,'Annual Parameters'!$B$33:$W$143,3,FALSE)/VLOOKUP('All - MECs'!$B$14,'Annual Parameters'!$B$33:$W$143,3,FALSE)</f>
        <v>4.7991258613041717E-3</v>
      </c>
      <c r="H45" s="3504">
        <f>'All - MECs'!H45*VLOOKUP($B$14,'Annual Parameters'!$B$33:$W$143,3,FALSE)/VLOOKUP('All - MECs'!$B$14,'Annual Parameters'!$B$33:$W$143,3,FALSE)</f>
        <v>2.8399561009494105</v>
      </c>
      <c r="I45" s="3501">
        <f>'All - MECs'!I45*VLOOKUP($B$14,'Annual Parameters'!$B$33:$W$143,3,FALSE)/VLOOKUP('All - MECs'!$B$14,'Annual Parameters'!$B$33:$W$143,3,FALSE)</f>
        <v>8.692275077488306</v>
      </c>
      <c r="J45" s="3500">
        <f>'All - MECs'!J45*VLOOKUP($B$14,'Annual Parameters'!$B$33:$W$143,3,FALSE)/VLOOKUP('All - MECs'!$B$14,'Annual Parameters'!$B$33:$W$143,3,FALSE)</f>
        <v>1.7460857709696083</v>
      </c>
      <c r="K45" s="3501">
        <f>'All - MECs'!K45*VLOOKUP($B$14,'Annual Parameters'!$B$33:$W$143,3,FALSE)/VLOOKUP('All - MECs'!$B$14,'Annual Parameters'!$B$33:$W$143,3,FALSE)</f>
        <v>8.1063139333527658</v>
      </c>
      <c r="L45" s="3495">
        <f>'All - MECs'!L45*VLOOKUP($B$14,'Annual Parameters'!$B$33:$W$143,3,FALSE)/VLOOKUP('All - MECs'!$B$14,'Annual Parameters'!$B$33:$W$143,3,FALSE)</f>
        <v>-2.6827256714210511E-2</v>
      </c>
      <c r="M45" s="3496">
        <f>'All - MECs'!M45*VLOOKUP($B$14,'Annual Parameters'!$B$33:$W$143,3,FALSE)/VLOOKUP('All - MECs'!$B$14,'Annual Parameters'!$B$33:$W$143,3,FALSE)</f>
        <v>1.1283530069561549</v>
      </c>
      <c r="N45" s="3501">
        <f>'All - MECs'!N45*VLOOKUP($B$14,'Annual Parameters'!$B$33:$W$143,3,FALSE)/VLOOKUP('All - MECs'!$B$14,'Annual Parameters'!$B$33:$W$143,3,FALSE)</f>
        <v>1.3338256040063612</v>
      </c>
      <c r="O45" s="3502">
        <f>'All - MECs'!O45*VLOOKUP($B$14,'Annual Parameters'!$B$33:$W$143,3,FALSE)/VLOOKUP('All - MECs'!$B$14,'Annual Parameters'!$B$33:$W$143,3,FALSE)</f>
        <v>2.6786112979017118</v>
      </c>
      <c r="P45" s="3544"/>
      <c r="Q45" s="3860"/>
      <c r="R45" s="3493"/>
      <c r="S45" s="3494">
        <v>2</v>
      </c>
      <c r="T45" s="3495">
        <f>'All - MECs'!T45*VLOOKUP($B$14,'Annual Parameters'!$B$33:$W$143,3,FALSE)/VLOOKUP('All - MECs'!$B$14,'Annual Parameters'!$B$33:$W$143,3,FALSE)</f>
        <v>-3.3908952036702071E-2</v>
      </c>
      <c r="U45" s="3496">
        <f>'All - MECs'!U45*VLOOKUP($B$14,'Annual Parameters'!$B$33:$W$143,3,FALSE)/VLOOKUP('All - MECs'!$B$14,'Annual Parameters'!$B$33:$W$143,3,FALSE)</f>
        <v>4.2684468097195785</v>
      </c>
      <c r="V45" s="3496">
        <f>'All - MECs'!V45*VLOOKUP($B$14,'Annual Parameters'!$B$33:$W$143,3,FALSE)/VLOOKUP('All - MECs'!$B$14,'Annual Parameters'!$B$33:$W$143,3,FALSE)</f>
        <v>25.642449152847895</v>
      </c>
      <c r="W45" s="3503">
        <f>'All - MECs'!W45*VLOOKUP($B$14,'Annual Parameters'!$B$33:$W$143,3,FALSE)/VLOOKUP('All - MECs'!$B$14,'Annual Parameters'!$B$33:$W$143,3,FALSE)</f>
        <v>4.7991258613041717E-3</v>
      </c>
      <c r="X45" s="3504">
        <f>'All - MECs'!X45*VLOOKUP($B$14,'Annual Parameters'!$B$33:$W$143,3,FALSE)/VLOOKUP('All - MECs'!$B$14,'Annual Parameters'!$B$33:$W$143,3,FALSE)</f>
        <v>2.8399561009494105</v>
      </c>
      <c r="Y45" s="3501">
        <f>'All - MECs'!Y45*VLOOKUP($B$14,'Annual Parameters'!$B$33:$W$143,3,FALSE)/VLOOKUP('All - MECs'!$B$14,'Annual Parameters'!$B$33:$W$143,3,FALSE)</f>
        <v>8.692275077488306</v>
      </c>
      <c r="Z45" s="3500">
        <f>'All - MECs'!Z45*VLOOKUP($B$14,'Annual Parameters'!$B$33:$W$143,3,FALSE)/VLOOKUP('All - MECs'!$B$14,'Annual Parameters'!$B$33:$W$143,3,FALSE)</f>
        <v>1.7460857709696083</v>
      </c>
      <c r="AA45" s="3501">
        <f>'All - MECs'!AA45*VLOOKUP($B$14,'Annual Parameters'!$B$33:$W$143,3,FALSE)/VLOOKUP('All - MECs'!$B$14,'Annual Parameters'!$B$33:$W$143,3,FALSE)</f>
        <v>8.1063139333527658</v>
      </c>
      <c r="AB45" s="3495">
        <f>'All - MECs'!AB45*VLOOKUP($B$14,'Annual Parameters'!$B$33:$W$143,3,FALSE)/VLOOKUP('All - MECs'!$B$14,'Annual Parameters'!$B$33:$W$143,3,FALSE)</f>
        <v>-2.6827256714210511E-2</v>
      </c>
      <c r="AC45" s="3496">
        <f>'All - MECs'!AC45*VLOOKUP($B$14,'Annual Parameters'!$B$33:$W$143,3,FALSE)/VLOOKUP('All - MECs'!$B$14,'Annual Parameters'!$B$33:$W$143,3,FALSE)</f>
        <v>1.1283530069561549</v>
      </c>
      <c r="AD45" s="3501">
        <f>'All - MECs'!AD45*VLOOKUP($B$14,'Annual Parameters'!$B$33:$W$143,3,FALSE)/VLOOKUP('All - MECs'!$B$14,'Annual Parameters'!$B$33:$W$143,3,FALSE)</f>
        <v>1.3338256040063612</v>
      </c>
      <c r="AE45" s="3502">
        <f>'All - MECs'!AE45*VLOOKUP($B$14,'Annual Parameters'!$B$33:$W$143,3,FALSE)/VLOOKUP('All - MECs'!$B$14,'Annual Parameters'!$B$33:$W$143,3,FALSE)</f>
        <v>2.6786112979017118</v>
      </c>
      <c r="AF45" s="3544"/>
      <c r="AG45" s="3860"/>
      <c r="AH45" s="3493"/>
      <c r="AI45" s="3494">
        <v>2</v>
      </c>
      <c r="AJ45" s="3495">
        <f>'All - MECs'!AJ45*VLOOKUP($B$14,'Annual Parameters'!$B$33:$W$143,3,FALSE)/VLOOKUP('All - MECs'!$B$14,'Annual Parameters'!$B$33:$W$143,3,FALSE)</f>
        <v>-6.4427008869733932E-2</v>
      </c>
      <c r="AK45" s="3496">
        <f>'All - MECs'!AK45*VLOOKUP($B$14,'Annual Parameters'!$B$33:$W$143,3,FALSE)/VLOOKUP('All - MECs'!$B$14,'Annual Parameters'!$B$33:$W$143,3,FALSE)</f>
        <v>8.1100489384671981</v>
      </c>
      <c r="AL45" s="3496">
        <f>'All - MECs'!AL45*VLOOKUP($B$14,'Annual Parameters'!$B$33:$W$143,3,FALSE)/VLOOKUP('All - MECs'!$B$14,'Annual Parameters'!$B$33:$W$143,3,FALSE)</f>
        <v>48.720653390411002</v>
      </c>
      <c r="AM45" s="3503">
        <f>'All - MECs'!AM45*VLOOKUP($B$14,'Annual Parameters'!$B$33:$W$143,3,FALSE)/VLOOKUP('All - MECs'!$B$14,'Annual Parameters'!$B$33:$W$143,3,FALSE)</f>
        <v>9.1183391364779258E-3</v>
      </c>
      <c r="AN45" s="3504">
        <f>'All - MECs'!AN45*VLOOKUP($B$14,'Annual Parameters'!$B$33:$W$143,3,FALSE)/VLOOKUP('All - MECs'!$B$14,'Annual Parameters'!$B$33:$W$143,3,FALSE)</f>
        <v>5.3959165918038794</v>
      </c>
      <c r="AO45" s="3501">
        <f>'All - MECs'!AO45*VLOOKUP($B$14,'Annual Parameters'!$B$33:$W$143,3,FALSE)/VLOOKUP('All - MECs'!$B$14,'Annual Parameters'!$B$33:$W$143,3,FALSE)</f>
        <v>16.51532264722778</v>
      </c>
      <c r="AP45" s="3500">
        <f>'All - MECs'!AP45*VLOOKUP($B$14,'Annual Parameters'!$B$33:$W$143,3,FALSE)/VLOOKUP('All - MECs'!$B$14,'Annual Parameters'!$B$33:$W$143,3,FALSE)</f>
        <v>3.3175629648422555</v>
      </c>
      <c r="AQ45" s="3501">
        <f>'All - MECs'!AQ45*VLOOKUP($B$14,'Annual Parameters'!$B$33:$W$143,3,FALSE)/VLOOKUP('All - MECs'!$B$14,'Annual Parameters'!$B$33:$W$143,3,FALSE)</f>
        <v>15.401996473370254</v>
      </c>
      <c r="AR45" s="3495">
        <f>'All - MECs'!AR45*VLOOKUP($B$14,'Annual Parameters'!$B$33:$W$143,3,FALSE)/VLOOKUP('All - MECs'!$B$14,'Annual Parameters'!$B$33:$W$143,3,FALSE)</f>
        <v>-5.0971787756999974E-2</v>
      </c>
      <c r="AS45" s="3496">
        <f>'All - MECs'!AS45*VLOOKUP($B$14,'Annual Parameters'!$B$33:$W$143,3,FALSE)/VLOOKUP('All - MECs'!$B$14,'Annual Parameters'!$B$33:$W$143,3,FALSE)</f>
        <v>2.1438707132166943</v>
      </c>
      <c r="AT45" s="3501">
        <f>'All - MECs'!AT45*VLOOKUP($B$14,'Annual Parameters'!$B$33:$W$143,3,FALSE)/VLOOKUP('All - MECs'!$B$14,'Annual Parameters'!$B$33:$W$143,3,FALSE)</f>
        <v>2.5342686476120861</v>
      </c>
      <c r="AU45" s="3502">
        <f>'All - MECs'!AU45*VLOOKUP($B$14,'Annual Parameters'!$B$33:$W$143,3,FALSE)/VLOOKUP('All - MECs'!$B$14,'Annual Parameters'!$B$33:$W$143,3,FALSE)</f>
        <v>5.0893614660132522</v>
      </c>
      <c r="AV45" s="3544"/>
      <c r="AW45" s="3860"/>
      <c r="AX45" s="3493"/>
      <c r="AY45" s="3494">
        <v>2</v>
      </c>
      <c r="AZ45" s="3495">
        <f>'All - MECs'!AZ45*VLOOKUP($B$14,'Annual Parameters'!$B$33:$W$143,3,FALSE)/VLOOKUP('All - MECs'!$B$14,'Annual Parameters'!$B$33:$W$143,3,FALSE)</f>
        <v>-9.833596090643601E-2</v>
      </c>
      <c r="BA45" s="3496">
        <f>'All - MECs'!BA45*VLOOKUP($B$14,'Annual Parameters'!$B$33:$W$143,3,FALSE)/VLOOKUP('All - MECs'!$B$14,'Annual Parameters'!$B$33:$W$143,3,FALSE)</f>
        <v>12.378495748186776</v>
      </c>
      <c r="BB45" s="3496">
        <f>'All - MECs'!BB45*VLOOKUP($B$14,'Annual Parameters'!$B$33:$W$143,3,FALSE)/VLOOKUP('All - MECs'!$B$14,'Annual Parameters'!$B$33:$W$143,3,FALSE)</f>
        <v>74.36310254325889</v>
      </c>
      <c r="BC45" s="3503">
        <f>'All - MECs'!BC45*VLOOKUP($B$14,'Annual Parameters'!$B$33:$W$143,3,FALSE)/VLOOKUP('All - MECs'!$B$14,'Annual Parameters'!$B$33:$W$143,3,FALSE)</f>
        <v>1.3917464997782099E-2</v>
      </c>
      <c r="BD45" s="3504">
        <f>'All - MECs'!BD45*VLOOKUP($B$14,'Annual Parameters'!$B$33:$W$143,3,FALSE)/VLOOKUP('All - MECs'!$B$14,'Annual Parameters'!$B$33:$W$143,3,FALSE)</f>
        <v>8.2358726927532917</v>
      </c>
      <c r="BE45" s="3501">
        <f>'All - MECs'!BE45*VLOOKUP($B$14,'Annual Parameters'!$B$33:$W$143,3,FALSE)/VLOOKUP('All - MECs'!$B$14,'Annual Parameters'!$B$33:$W$143,3,FALSE)</f>
        <v>25.207597724716088</v>
      </c>
      <c r="BF45" s="3500">
        <f>'All - MECs'!BF45*VLOOKUP($B$14,'Annual Parameters'!$B$33:$W$143,3,FALSE)/VLOOKUP('All - MECs'!$B$14,'Annual Parameters'!$B$33:$W$143,3,FALSE)</f>
        <v>5.0636487358118636</v>
      </c>
      <c r="BG45" s="3501">
        <f>'All - MECs'!BG45*VLOOKUP($B$14,'Annual Parameters'!$B$33:$W$143,3,FALSE)/VLOOKUP('All - MECs'!$B$14,'Annual Parameters'!$B$33:$W$143,3,FALSE)</f>
        <v>23.508310406723023</v>
      </c>
      <c r="BH45" s="3495">
        <f>'All - MECs'!BH45*VLOOKUP($B$14,'Annual Parameters'!$B$33:$W$143,3,FALSE)/VLOOKUP('All - MECs'!$B$14,'Annual Parameters'!$B$33:$W$143,3,FALSE)</f>
        <v>-7.7799044471210485E-2</v>
      </c>
      <c r="BI45" s="3496">
        <f>'All - MECs'!BI45*VLOOKUP($B$14,'Annual Parameters'!$B$33:$W$143,3,FALSE)/VLOOKUP('All - MECs'!$B$14,'Annual Parameters'!$B$33:$W$143,3,FALSE)</f>
        <v>3.2722237201728488</v>
      </c>
      <c r="BJ45" s="3501">
        <f>'All - MECs'!BJ45*VLOOKUP($B$14,'Annual Parameters'!$B$33:$W$143,3,FALSE)/VLOOKUP('All - MECs'!$B$14,'Annual Parameters'!$B$33:$W$143,3,FALSE)</f>
        <v>3.8680942516184471</v>
      </c>
      <c r="BK45" s="3502">
        <f>'All - MECs'!BK45*VLOOKUP($B$14,'Annual Parameters'!$B$33:$W$143,3,FALSE)/VLOOKUP('All - MECs'!$B$14,'Annual Parameters'!$B$33:$W$143,3,FALSE)</f>
        <v>7.7679727639149636</v>
      </c>
      <c r="BL45" s="3544"/>
      <c r="BM45" s="3860"/>
      <c r="BN45" s="3493"/>
      <c r="BO45" s="3494">
        <v>2</v>
      </c>
      <c r="BP45" s="3495">
        <f>'All - MECs'!BP45*VLOOKUP($B$14,'Annual Parameters'!$B$33:$W$143,3,FALSE)/VLOOKUP('All - MECs'!$B$14,'Annual Parameters'!$B$33:$W$143,3,FALSE)</f>
        <v>-8.4772380091755195E-2</v>
      </c>
      <c r="BQ45" s="3496">
        <f>'All - MECs'!BQ45*VLOOKUP($B$14,'Annual Parameters'!$B$33:$W$143,3,FALSE)/VLOOKUP('All - MECs'!$B$14,'Annual Parameters'!$B$33:$W$143,3,FALSE)</f>
        <v>10.671117024298946</v>
      </c>
      <c r="BR45" s="3496">
        <f>'All - MECs'!BR45*VLOOKUP($B$14,'Annual Parameters'!$B$33:$W$143,3,FALSE)/VLOOKUP('All - MECs'!$B$14,'Annual Parameters'!$B$33:$W$143,3,FALSE)</f>
        <v>64.106122882119735</v>
      </c>
      <c r="BS45" s="3503">
        <f>'All - MECs'!BS45*VLOOKUP($B$14,'Annual Parameters'!$B$33:$W$143,3,FALSE)/VLOOKUP('All - MECs'!$B$14,'Annual Parameters'!$B$33:$W$143,3,FALSE)</f>
        <v>1.1997814653260431E-2</v>
      </c>
      <c r="BT45" s="3504">
        <f>'All - MECs'!BT45*VLOOKUP($B$14,'Annual Parameters'!$B$33:$W$143,3,FALSE)/VLOOKUP('All - MECs'!$B$14,'Annual Parameters'!$B$33:$W$143,3,FALSE)</f>
        <v>7.0998902523735277</v>
      </c>
      <c r="BU45" s="3501">
        <f>'All - MECs'!BU45*VLOOKUP($B$14,'Annual Parameters'!$B$33:$W$143,3,FALSE)/VLOOKUP('All - MECs'!$B$14,'Annual Parameters'!$B$33:$W$143,3,FALSE)</f>
        <v>21.730687693720764</v>
      </c>
      <c r="BV45" s="3500">
        <f>'All - MECs'!BV45*VLOOKUP($B$14,'Annual Parameters'!$B$33:$W$143,3,FALSE)/VLOOKUP('All - MECs'!$B$14,'Annual Parameters'!$B$33:$W$143,3,FALSE)</f>
        <v>4.3652144274240205</v>
      </c>
      <c r="BW45" s="3501">
        <f>'All - MECs'!BW45*VLOOKUP($B$14,'Annual Parameters'!$B$33:$W$143,3,FALSE)/VLOOKUP('All - MECs'!$B$14,'Annual Parameters'!$B$33:$W$143,3,FALSE)</f>
        <v>20.265784833381915</v>
      </c>
      <c r="BX45" s="3495">
        <f>'All - MECs'!BX45*VLOOKUP($B$14,'Annual Parameters'!$B$33:$W$143,3,FALSE)/VLOOKUP('All - MECs'!$B$14,'Annual Parameters'!$B$33:$W$143,3,FALSE)</f>
        <v>-6.7068141785526281E-2</v>
      </c>
      <c r="BY45" s="3496">
        <f>'All - MECs'!BY45*VLOOKUP($B$14,'Annual Parameters'!$B$33:$W$143,3,FALSE)/VLOOKUP('All - MECs'!$B$14,'Annual Parameters'!$B$33:$W$143,3,FALSE)</f>
        <v>2.8208825173903875</v>
      </c>
      <c r="BZ45" s="3501">
        <f>'All - MECs'!BZ45*VLOOKUP($B$14,'Annual Parameters'!$B$33:$W$143,3,FALSE)/VLOOKUP('All - MECs'!$B$14,'Annual Parameters'!$B$33:$W$143,3,FALSE)</f>
        <v>3.3345640100159026</v>
      </c>
      <c r="CA45" s="3502">
        <f>'All - MECs'!CA45*VLOOKUP($B$14,'Annual Parameters'!$B$33:$W$143,3,FALSE)/VLOOKUP('All - MECs'!$B$14,'Annual Parameters'!$B$33:$W$143,3,FALSE)</f>
        <v>6.6965282447542798</v>
      </c>
    </row>
    <row r="46" spans="1:95" ht="13.5" customHeight="1">
      <c r="A46" s="3860"/>
      <c r="B46" s="3493"/>
      <c r="C46" s="3494">
        <v>3</v>
      </c>
      <c r="D46" s="3495">
        <f>'All - MECs'!D46*VLOOKUP($B$14,'Annual Parameters'!$B$33:$W$143,3,FALSE)/VLOOKUP('All - MECs'!$B$14,'Annual Parameters'!$B$33:$W$143,3,FALSE)</f>
        <v>7.4940680737057633E-2</v>
      </c>
      <c r="E46" s="3496">
        <f>'All - MECs'!E46*VLOOKUP($B$14,'Annual Parameters'!$B$33:$W$143,3,FALSE)/VLOOKUP('All - MECs'!$B$14,'Annual Parameters'!$B$33:$W$143,3,FALSE)</f>
        <v>20.997518065931782</v>
      </c>
      <c r="F46" s="3496">
        <f>'All - MECs'!F46*VLOOKUP($B$14,'Annual Parameters'!$B$33:$W$143,3,FALSE)/VLOOKUP('All - MECs'!$B$14,'Annual Parameters'!$B$33:$W$143,3,FALSE)</f>
        <v>49.430437371477417</v>
      </c>
      <c r="G46" s="3503">
        <f>'All - MECs'!G46*VLOOKUP($B$14,'Annual Parameters'!$B$33:$W$143,3,FALSE)/VLOOKUP('All - MECs'!$B$14,'Annual Parameters'!$B$33:$W$143,3,FALSE)</f>
        <v>0.5688302371597681</v>
      </c>
      <c r="H46" s="3504">
        <f>'All - MECs'!H46*VLOOKUP($B$14,'Annual Parameters'!$B$33:$W$143,3,FALSE)/VLOOKUP('All - MECs'!$B$14,'Annual Parameters'!$B$33:$W$143,3,FALSE)</f>
        <v>22.653775774935227</v>
      </c>
      <c r="I46" s="3501">
        <f>'All - MECs'!I46*VLOOKUP($B$14,'Annual Parameters'!$B$33:$W$143,3,FALSE)/VLOOKUP('All - MECs'!$B$14,'Annual Parameters'!$B$33:$W$143,3,FALSE)</f>
        <v>19.3310742954089</v>
      </c>
      <c r="J46" s="3500">
        <f>'All - MECs'!J46*VLOOKUP($B$14,'Annual Parameters'!$B$33:$W$143,3,FALSE)/VLOOKUP('All - MECs'!$B$14,'Annual Parameters'!$B$33:$W$143,3,FALSE)</f>
        <v>9.9917704277535808</v>
      </c>
      <c r="K46" s="3501">
        <f>'All - MECs'!K46*VLOOKUP($B$14,'Annual Parameters'!$B$33:$W$143,3,FALSE)/VLOOKUP('All - MECs'!$B$14,'Annual Parameters'!$B$33:$W$143,3,FALSE)</f>
        <v>17.414038503419295</v>
      </c>
      <c r="L46" s="3495">
        <f>'All - MECs'!L46*VLOOKUP($B$14,'Annual Parameters'!$B$33:$W$143,3,FALSE)/VLOOKUP('All - MECs'!$B$14,'Annual Parameters'!$B$33:$W$143,3,FALSE)</f>
        <v>0.62905570158847424</v>
      </c>
      <c r="M46" s="3496">
        <f>'All - MECs'!M46*VLOOKUP($B$14,'Annual Parameters'!$B$33:$W$143,3,FALSE)/VLOOKUP('All - MECs'!$B$14,'Annual Parameters'!$B$33:$W$143,3,FALSE)</f>
        <v>3.2545803779168163</v>
      </c>
      <c r="N46" s="3501">
        <f>'All - MECs'!N46*VLOOKUP($B$14,'Annual Parameters'!$B$33:$W$143,3,FALSE)/VLOOKUP('All - MECs'!$B$14,'Annual Parameters'!$B$33:$W$143,3,FALSE)</f>
        <v>6.6045708880380039</v>
      </c>
      <c r="O46" s="3502">
        <f>'All - MECs'!O46*VLOOKUP($B$14,'Annual Parameters'!$B$33:$W$143,3,FALSE)/VLOOKUP('All - MECs'!$B$14,'Annual Parameters'!$B$33:$W$143,3,FALSE)</f>
        <v>9.0627373734159402</v>
      </c>
      <c r="P46" s="3544"/>
      <c r="Q46" s="3860"/>
      <c r="R46" s="3493"/>
      <c r="S46" s="3494">
        <v>3</v>
      </c>
      <c r="T46" s="3495">
        <f>'All - MECs'!T46*VLOOKUP($B$14,'Annual Parameters'!$B$33:$W$143,3,FALSE)/VLOOKUP('All - MECs'!$B$14,'Annual Parameters'!$B$33:$W$143,3,FALSE)</f>
        <v>7.4940680737057633E-2</v>
      </c>
      <c r="U46" s="3496">
        <f>'All - MECs'!U46*VLOOKUP($B$14,'Annual Parameters'!$B$33:$W$143,3,FALSE)/VLOOKUP('All - MECs'!$B$14,'Annual Parameters'!$B$33:$W$143,3,FALSE)</f>
        <v>20.997518065931782</v>
      </c>
      <c r="V46" s="3496">
        <f>'All - MECs'!V46*VLOOKUP($B$14,'Annual Parameters'!$B$33:$W$143,3,FALSE)/VLOOKUP('All - MECs'!$B$14,'Annual Parameters'!$B$33:$W$143,3,FALSE)</f>
        <v>49.430437371477417</v>
      </c>
      <c r="W46" s="3503">
        <f>'All - MECs'!W46*VLOOKUP($B$14,'Annual Parameters'!$B$33:$W$143,3,FALSE)/VLOOKUP('All - MECs'!$B$14,'Annual Parameters'!$B$33:$W$143,3,FALSE)</f>
        <v>0.5688302371597681</v>
      </c>
      <c r="X46" s="3504">
        <f>'All - MECs'!X46*VLOOKUP($B$14,'Annual Parameters'!$B$33:$W$143,3,FALSE)/VLOOKUP('All - MECs'!$B$14,'Annual Parameters'!$B$33:$W$143,3,FALSE)</f>
        <v>22.653775774935227</v>
      </c>
      <c r="Y46" s="3501">
        <f>'All - MECs'!Y46*VLOOKUP($B$14,'Annual Parameters'!$B$33:$W$143,3,FALSE)/VLOOKUP('All - MECs'!$B$14,'Annual Parameters'!$B$33:$W$143,3,FALSE)</f>
        <v>19.3310742954089</v>
      </c>
      <c r="Z46" s="3500">
        <f>'All - MECs'!Z46*VLOOKUP($B$14,'Annual Parameters'!$B$33:$W$143,3,FALSE)/VLOOKUP('All - MECs'!$B$14,'Annual Parameters'!$B$33:$W$143,3,FALSE)</f>
        <v>9.9917704277535808</v>
      </c>
      <c r="AA46" s="3501">
        <f>'All - MECs'!AA46*VLOOKUP($B$14,'Annual Parameters'!$B$33:$W$143,3,FALSE)/VLOOKUP('All - MECs'!$B$14,'Annual Parameters'!$B$33:$W$143,3,FALSE)</f>
        <v>17.414038503419295</v>
      </c>
      <c r="AB46" s="3495">
        <f>'All - MECs'!AB46*VLOOKUP($B$14,'Annual Parameters'!$B$33:$W$143,3,FALSE)/VLOOKUP('All - MECs'!$B$14,'Annual Parameters'!$B$33:$W$143,3,FALSE)</f>
        <v>0.62905570158847424</v>
      </c>
      <c r="AC46" s="3496">
        <f>'All - MECs'!AC46*VLOOKUP($B$14,'Annual Parameters'!$B$33:$W$143,3,FALSE)/VLOOKUP('All - MECs'!$B$14,'Annual Parameters'!$B$33:$W$143,3,FALSE)</f>
        <v>3.2545803779168163</v>
      </c>
      <c r="AD46" s="3501">
        <f>'All - MECs'!AD46*VLOOKUP($B$14,'Annual Parameters'!$B$33:$W$143,3,FALSE)/VLOOKUP('All - MECs'!$B$14,'Annual Parameters'!$B$33:$W$143,3,FALSE)</f>
        <v>6.6045708880380039</v>
      </c>
      <c r="AE46" s="3502">
        <f>'All - MECs'!AE46*VLOOKUP($B$14,'Annual Parameters'!$B$33:$W$143,3,FALSE)/VLOOKUP('All - MECs'!$B$14,'Annual Parameters'!$B$33:$W$143,3,FALSE)</f>
        <v>9.0627373734159402</v>
      </c>
      <c r="AF46" s="3544"/>
      <c r="AG46" s="3860"/>
      <c r="AH46" s="3493"/>
      <c r="AI46" s="3494">
        <v>3</v>
      </c>
      <c r="AJ46" s="3495">
        <f>'All - MECs'!AJ46*VLOOKUP($B$14,'Annual Parameters'!$B$33:$W$143,3,FALSE)/VLOOKUP('All - MECs'!$B$14,'Annual Parameters'!$B$33:$W$143,3,FALSE)</f>
        <v>0.14238729340040951</v>
      </c>
      <c r="AK46" s="3496">
        <f>'All - MECs'!AK46*VLOOKUP($B$14,'Annual Parameters'!$B$33:$W$143,3,FALSE)/VLOOKUP('All - MECs'!$B$14,'Annual Parameters'!$B$33:$W$143,3,FALSE)</f>
        <v>39.895284325270381</v>
      </c>
      <c r="AL46" s="3496">
        <f>'All - MECs'!AL46*VLOOKUP($B$14,'Annual Parameters'!$B$33:$W$143,3,FALSE)/VLOOKUP('All - MECs'!$B$14,'Annual Parameters'!$B$33:$W$143,3,FALSE)</f>
        <v>93.917831005807088</v>
      </c>
      <c r="AM46" s="3503">
        <f>'All - MECs'!AM46*VLOOKUP($B$14,'Annual Parameters'!$B$33:$W$143,3,FALSE)/VLOOKUP('All - MECs'!$B$14,'Annual Parameters'!$B$33:$W$143,3,FALSE)</f>
        <v>1.0807774506035595</v>
      </c>
      <c r="AN46" s="3504">
        <f>'All - MECs'!AN46*VLOOKUP($B$14,'Annual Parameters'!$B$33:$W$143,3,FALSE)/VLOOKUP('All - MECs'!$B$14,'Annual Parameters'!$B$33:$W$143,3,FALSE)</f>
        <v>43.042173972376929</v>
      </c>
      <c r="AO46" s="3501">
        <f>'All - MECs'!AO46*VLOOKUP($B$14,'Annual Parameters'!$B$33:$W$143,3,FALSE)/VLOOKUP('All - MECs'!$B$14,'Annual Parameters'!$B$33:$W$143,3,FALSE)</f>
        <v>36.729041161276911</v>
      </c>
      <c r="AP46" s="3500">
        <f>'All - MECs'!AP46*VLOOKUP($B$14,'Annual Parameters'!$B$33:$W$143,3,FALSE)/VLOOKUP('All - MECs'!$B$14,'Annual Parameters'!$B$33:$W$143,3,FALSE)</f>
        <v>18.984363812731804</v>
      </c>
      <c r="AQ46" s="3501">
        <f>'All - MECs'!AQ46*VLOOKUP($B$14,'Annual Parameters'!$B$33:$W$143,3,FALSE)/VLOOKUP('All - MECs'!$B$14,'Annual Parameters'!$B$33:$W$143,3,FALSE)</f>
        <v>33.086673156496659</v>
      </c>
      <c r="AR46" s="3495">
        <f>'All - MECs'!AR46*VLOOKUP($B$14,'Annual Parameters'!$B$33:$W$143,3,FALSE)/VLOOKUP('All - MECs'!$B$14,'Annual Parameters'!$B$33:$W$143,3,FALSE)</f>
        <v>1.195205833018101</v>
      </c>
      <c r="AS46" s="3496">
        <f>'All - MECs'!AS46*VLOOKUP($B$14,'Annual Parameters'!$B$33:$W$143,3,FALSE)/VLOOKUP('All - MECs'!$B$14,'Annual Parameters'!$B$33:$W$143,3,FALSE)</f>
        <v>6.1837027180419515</v>
      </c>
      <c r="AT46" s="3501">
        <f>'All - MECs'!AT46*VLOOKUP($B$14,'Annual Parameters'!$B$33:$W$143,3,FALSE)/VLOOKUP('All - MECs'!$B$14,'Annual Parameters'!$B$33:$W$143,3,FALSE)</f>
        <v>12.548684687272207</v>
      </c>
      <c r="AU46" s="3502">
        <f>'All - MECs'!AU46*VLOOKUP($B$14,'Annual Parameters'!$B$33:$W$143,3,FALSE)/VLOOKUP('All - MECs'!$B$14,'Annual Parameters'!$B$33:$W$143,3,FALSE)</f>
        <v>17.219201009490284</v>
      </c>
      <c r="AV46" s="3544"/>
      <c r="AW46" s="3860"/>
      <c r="AX46" s="3493"/>
      <c r="AY46" s="3494">
        <v>3</v>
      </c>
      <c r="AZ46" s="3495">
        <f>'All - MECs'!AZ46*VLOOKUP($B$14,'Annual Parameters'!$B$33:$W$143,3,FALSE)/VLOOKUP('All - MECs'!$B$14,'Annual Parameters'!$B$33:$W$143,3,FALSE)</f>
        <v>0.21732797413746713</v>
      </c>
      <c r="BA46" s="3496">
        <f>'All - MECs'!BA46*VLOOKUP($B$14,'Annual Parameters'!$B$33:$W$143,3,FALSE)/VLOOKUP('All - MECs'!$B$14,'Annual Parameters'!$B$33:$W$143,3,FALSE)</f>
        <v>60.892802391202167</v>
      </c>
      <c r="BB46" s="3496">
        <f>'All - MECs'!BB46*VLOOKUP($B$14,'Annual Parameters'!$B$33:$W$143,3,FALSE)/VLOOKUP('All - MECs'!$B$14,'Annual Parameters'!$B$33:$W$143,3,FALSE)</f>
        <v>143.34826837728451</v>
      </c>
      <c r="BC46" s="3503">
        <f>'All - MECs'!BC46*VLOOKUP($B$14,'Annual Parameters'!$B$33:$W$143,3,FALSE)/VLOOKUP('All - MECs'!$B$14,'Annual Parameters'!$B$33:$W$143,3,FALSE)</f>
        <v>1.6496076877633274</v>
      </c>
      <c r="BD46" s="3504">
        <f>'All - MECs'!BD46*VLOOKUP($B$14,'Annual Parameters'!$B$33:$W$143,3,FALSE)/VLOOKUP('All - MECs'!$B$14,'Annual Parameters'!$B$33:$W$143,3,FALSE)</f>
        <v>65.695949747312156</v>
      </c>
      <c r="BE46" s="3501">
        <f>'All - MECs'!BE46*VLOOKUP($B$14,'Annual Parameters'!$B$33:$W$143,3,FALSE)/VLOOKUP('All - MECs'!$B$14,'Annual Parameters'!$B$33:$W$143,3,FALSE)</f>
        <v>56.060115456685807</v>
      </c>
      <c r="BF46" s="3500">
        <f>'All - MECs'!BF46*VLOOKUP($B$14,'Annual Parameters'!$B$33:$W$143,3,FALSE)/VLOOKUP('All - MECs'!$B$14,'Annual Parameters'!$B$33:$W$143,3,FALSE)</f>
        <v>28.976134240485386</v>
      </c>
      <c r="BG46" s="3501">
        <f>'All - MECs'!BG46*VLOOKUP($B$14,'Annual Parameters'!$B$33:$W$143,3,FALSE)/VLOOKUP('All - MECs'!$B$14,'Annual Parameters'!$B$33:$W$143,3,FALSE)</f>
        <v>50.500711659915957</v>
      </c>
      <c r="BH46" s="3495">
        <f>'All - MECs'!BH46*VLOOKUP($B$14,'Annual Parameters'!$B$33:$W$143,3,FALSE)/VLOOKUP('All - MECs'!$B$14,'Annual Parameters'!$B$33:$W$143,3,FALSE)</f>
        <v>1.8242615346065749</v>
      </c>
      <c r="BI46" s="3496">
        <f>'All - MECs'!BI46*VLOOKUP($B$14,'Annual Parameters'!$B$33:$W$143,3,FALSE)/VLOOKUP('All - MECs'!$B$14,'Annual Parameters'!$B$33:$W$143,3,FALSE)</f>
        <v>9.4382830959587665</v>
      </c>
      <c r="BJ46" s="3501">
        <f>'All - MECs'!BJ46*VLOOKUP($B$14,'Annual Parameters'!$B$33:$W$143,3,FALSE)/VLOOKUP('All - MECs'!$B$14,'Annual Parameters'!$B$33:$W$143,3,FALSE)</f>
        <v>19.153255575310212</v>
      </c>
      <c r="BK46" s="3502">
        <f>'All - MECs'!BK46*VLOOKUP($B$14,'Annual Parameters'!$B$33:$W$143,3,FALSE)/VLOOKUP('All - MECs'!$B$14,'Annual Parameters'!$B$33:$W$143,3,FALSE)</f>
        <v>26.28193838290623</v>
      </c>
      <c r="BL46" s="3544"/>
      <c r="BM46" s="3860"/>
      <c r="BN46" s="3493"/>
      <c r="BO46" s="3494">
        <v>3</v>
      </c>
      <c r="BP46" s="3495">
        <f>'All - MECs'!BP46*VLOOKUP($B$14,'Annual Parameters'!$B$33:$W$143,3,FALSE)/VLOOKUP('All - MECs'!$B$14,'Annual Parameters'!$B$33:$W$143,3,FALSE)</f>
        <v>0.18735170184264408</v>
      </c>
      <c r="BQ46" s="3496">
        <f>'All - MECs'!BQ46*VLOOKUP($B$14,'Annual Parameters'!$B$33:$W$143,3,FALSE)/VLOOKUP('All - MECs'!$B$14,'Annual Parameters'!$B$33:$W$143,3,FALSE)</f>
        <v>52.49379516482945</v>
      </c>
      <c r="BR46" s="3496">
        <f>'All - MECs'!BR46*VLOOKUP($B$14,'Annual Parameters'!$B$33:$W$143,3,FALSE)/VLOOKUP('All - MECs'!$B$14,'Annual Parameters'!$B$33:$W$143,3,FALSE)</f>
        <v>123.57609342869355</v>
      </c>
      <c r="BS46" s="3503">
        <f>'All - MECs'!BS46*VLOOKUP($B$14,'Annual Parameters'!$B$33:$W$143,3,FALSE)/VLOOKUP('All - MECs'!$B$14,'Annual Parameters'!$B$33:$W$143,3,FALSE)</f>
        <v>1.4220755928994202</v>
      </c>
      <c r="BT46" s="3504">
        <f>'All - MECs'!BT46*VLOOKUP($B$14,'Annual Parameters'!$B$33:$W$143,3,FALSE)/VLOOKUP('All - MECs'!$B$14,'Annual Parameters'!$B$33:$W$143,3,FALSE)</f>
        <v>56.634439437338067</v>
      </c>
      <c r="BU46" s="3501">
        <f>'All - MECs'!BU46*VLOOKUP($B$14,'Annual Parameters'!$B$33:$W$143,3,FALSE)/VLOOKUP('All - MECs'!$B$14,'Annual Parameters'!$B$33:$W$143,3,FALSE)</f>
        <v>48.327685738522248</v>
      </c>
      <c r="BV46" s="3500">
        <f>'All - MECs'!BV46*VLOOKUP($B$14,'Annual Parameters'!$B$33:$W$143,3,FALSE)/VLOOKUP('All - MECs'!$B$14,'Annual Parameters'!$B$33:$W$143,3,FALSE)</f>
        <v>24.979426069383955</v>
      </c>
      <c r="BW46" s="3501">
        <f>'All - MECs'!BW46*VLOOKUP($B$14,'Annual Parameters'!$B$33:$W$143,3,FALSE)/VLOOKUP('All - MECs'!$B$14,'Annual Parameters'!$B$33:$W$143,3,FALSE)</f>
        <v>43.535096258548236</v>
      </c>
      <c r="BX46" s="3495">
        <f>'All - MECs'!BX46*VLOOKUP($B$14,'Annual Parameters'!$B$33:$W$143,3,FALSE)/VLOOKUP('All - MECs'!$B$14,'Annual Parameters'!$B$33:$W$143,3,FALSE)</f>
        <v>1.5726392539711855</v>
      </c>
      <c r="BY46" s="3496">
        <f>'All - MECs'!BY46*VLOOKUP($B$14,'Annual Parameters'!$B$33:$W$143,3,FALSE)/VLOOKUP('All - MECs'!$B$14,'Annual Parameters'!$B$33:$W$143,3,FALSE)</f>
        <v>8.1364509447920401</v>
      </c>
      <c r="BZ46" s="3501">
        <f>'All - MECs'!BZ46*VLOOKUP($B$14,'Annual Parameters'!$B$33:$W$143,3,FALSE)/VLOOKUP('All - MECs'!$B$14,'Annual Parameters'!$B$33:$W$143,3,FALSE)</f>
        <v>16.511427220095008</v>
      </c>
      <c r="CA46" s="3502">
        <f>'All - MECs'!CA46*VLOOKUP($B$14,'Annual Parameters'!$B$33:$W$143,3,FALSE)/VLOOKUP('All - MECs'!$B$14,'Annual Parameters'!$B$33:$W$143,3,FALSE)</f>
        <v>22.656843433539851</v>
      </c>
    </row>
    <row r="47" spans="1:95" ht="13.5" customHeight="1">
      <c r="A47" s="3860"/>
      <c r="B47" s="3493"/>
      <c r="C47" s="3494">
        <v>4</v>
      </c>
      <c r="D47" s="3495">
        <f>'All - MECs'!D47*VLOOKUP($B$14,'Annual Parameters'!$B$33:$W$143,3,FALSE)/VLOOKUP('All - MECs'!$B$14,'Annual Parameters'!$B$33:$W$143,3,FALSE)</f>
        <v>14.073130586235109</v>
      </c>
      <c r="E47" s="3496">
        <f>'All - MECs'!E47*VLOOKUP($B$14,'Annual Parameters'!$B$33:$W$143,3,FALSE)/VLOOKUP('All - MECs'!$B$14,'Annual Parameters'!$B$33:$W$143,3,FALSE)</f>
        <v>102.54789406053015</v>
      </c>
      <c r="F47" s="3496">
        <f>'All - MECs'!F47*VLOOKUP($B$14,'Annual Parameters'!$B$33:$W$143,3,FALSE)/VLOOKUP('All - MECs'!$B$14,'Annual Parameters'!$B$33:$W$143,3,FALSE)</f>
        <v>125.03180833158169</v>
      </c>
      <c r="G47" s="3503">
        <f>'All - MECs'!G47*VLOOKUP($B$14,'Annual Parameters'!$B$33:$W$143,3,FALSE)/VLOOKUP('All - MECs'!$B$14,'Annual Parameters'!$B$33:$W$143,3,FALSE)</f>
        <v>16.637659210393956</v>
      </c>
      <c r="H47" s="3504">
        <f>'All - MECs'!H47*VLOOKUP($B$14,'Annual Parameters'!$B$33:$W$143,3,FALSE)/VLOOKUP('All - MECs'!$B$14,'Annual Parameters'!$B$33:$W$143,3,FALSE)</f>
        <v>115.05328995380336</v>
      </c>
      <c r="I47" s="3501">
        <f>'All - MECs'!I47*VLOOKUP($B$14,'Annual Parameters'!$B$33:$W$143,3,FALSE)/VLOOKUP('All - MECs'!$B$14,'Annual Parameters'!$B$33:$W$143,3,FALSE)</f>
        <v>117.79898166068708</v>
      </c>
      <c r="J47" s="3500">
        <f>'All - MECs'!J47*VLOOKUP($B$14,'Annual Parameters'!$B$33:$W$143,3,FALSE)/VLOOKUP('All - MECs'!$B$14,'Annual Parameters'!$B$33:$W$143,3,FALSE)</f>
        <v>38.935805540779484</v>
      </c>
      <c r="K47" s="3501">
        <f>'All - MECs'!K47*VLOOKUP($B$14,'Annual Parameters'!$B$33:$W$143,3,FALSE)/VLOOKUP('All - MECs'!$B$14,'Annual Parameters'!$B$33:$W$143,3,FALSE)</f>
        <v>117.98707781191487</v>
      </c>
      <c r="L47" s="3495">
        <f>'All - MECs'!L47*VLOOKUP($B$14,'Annual Parameters'!$B$33:$W$143,3,FALSE)/VLOOKUP('All - MECs'!$B$14,'Annual Parameters'!$B$33:$W$143,3,FALSE)</f>
        <v>16.317360810989157</v>
      </c>
      <c r="M47" s="3496">
        <f>'All - MECs'!M47*VLOOKUP($B$14,'Annual Parameters'!$B$33:$W$143,3,FALSE)/VLOOKUP('All - MECs'!$B$14,'Annual Parameters'!$B$33:$W$143,3,FALSE)</f>
        <v>44.264057044804822</v>
      </c>
      <c r="N47" s="3501">
        <f>'All - MECs'!N47*VLOOKUP($B$14,'Annual Parameters'!$B$33:$W$143,3,FALSE)/VLOOKUP('All - MECs'!$B$14,'Annual Parameters'!$B$33:$W$143,3,FALSE)</f>
        <v>30.040023146493123</v>
      </c>
      <c r="O47" s="3502">
        <f>'All - MECs'!O47*VLOOKUP($B$14,'Annual Parameters'!$B$33:$W$143,3,FALSE)/VLOOKUP('All - MECs'!$B$14,'Annual Parameters'!$B$33:$W$143,3,FALSE)</f>
        <v>72.186566614512969</v>
      </c>
      <c r="P47" s="3544"/>
      <c r="Q47" s="3860"/>
      <c r="R47" s="3493"/>
      <c r="S47" s="3494">
        <v>4</v>
      </c>
      <c r="T47" s="3495">
        <f>'All - MECs'!T47*VLOOKUP($B$14,'Annual Parameters'!$B$33:$W$143,3,FALSE)/VLOOKUP('All - MECs'!$B$14,'Annual Parameters'!$B$33:$W$143,3,FALSE)</f>
        <v>14.073130586235109</v>
      </c>
      <c r="U47" s="3496">
        <f>'All - MECs'!U47*VLOOKUP($B$14,'Annual Parameters'!$B$33:$W$143,3,FALSE)/VLOOKUP('All - MECs'!$B$14,'Annual Parameters'!$B$33:$W$143,3,FALSE)</f>
        <v>102.54789406053015</v>
      </c>
      <c r="V47" s="3496">
        <f>'All - MECs'!V47*VLOOKUP($B$14,'Annual Parameters'!$B$33:$W$143,3,FALSE)/VLOOKUP('All - MECs'!$B$14,'Annual Parameters'!$B$33:$W$143,3,FALSE)</f>
        <v>125.03180833158169</v>
      </c>
      <c r="W47" s="3503">
        <f>'All - MECs'!W47*VLOOKUP($B$14,'Annual Parameters'!$B$33:$W$143,3,FALSE)/VLOOKUP('All - MECs'!$B$14,'Annual Parameters'!$B$33:$W$143,3,FALSE)</f>
        <v>16.637659210393956</v>
      </c>
      <c r="X47" s="3504">
        <f>'All - MECs'!X47*VLOOKUP($B$14,'Annual Parameters'!$B$33:$W$143,3,FALSE)/VLOOKUP('All - MECs'!$B$14,'Annual Parameters'!$B$33:$W$143,3,FALSE)</f>
        <v>115.05328995380336</v>
      </c>
      <c r="Y47" s="3501">
        <f>'All - MECs'!Y47*VLOOKUP($B$14,'Annual Parameters'!$B$33:$W$143,3,FALSE)/VLOOKUP('All - MECs'!$B$14,'Annual Parameters'!$B$33:$W$143,3,FALSE)</f>
        <v>117.79898166068708</v>
      </c>
      <c r="Z47" s="3500">
        <f>'All - MECs'!Z47*VLOOKUP($B$14,'Annual Parameters'!$B$33:$W$143,3,FALSE)/VLOOKUP('All - MECs'!$B$14,'Annual Parameters'!$B$33:$W$143,3,FALSE)</f>
        <v>38.935805540779484</v>
      </c>
      <c r="AA47" s="3501">
        <f>'All - MECs'!AA47*VLOOKUP($B$14,'Annual Parameters'!$B$33:$W$143,3,FALSE)/VLOOKUP('All - MECs'!$B$14,'Annual Parameters'!$B$33:$W$143,3,FALSE)</f>
        <v>117.98707781191487</v>
      </c>
      <c r="AB47" s="3495">
        <f>'All - MECs'!AB47*VLOOKUP($B$14,'Annual Parameters'!$B$33:$W$143,3,FALSE)/VLOOKUP('All - MECs'!$B$14,'Annual Parameters'!$B$33:$W$143,3,FALSE)</f>
        <v>16.317360810989157</v>
      </c>
      <c r="AC47" s="3496">
        <f>'All - MECs'!AC47*VLOOKUP($B$14,'Annual Parameters'!$B$33:$W$143,3,FALSE)/VLOOKUP('All - MECs'!$B$14,'Annual Parameters'!$B$33:$W$143,3,FALSE)</f>
        <v>44.264057044804822</v>
      </c>
      <c r="AD47" s="3501">
        <f>'All - MECs'!AD47*VLOOKUP($B$14,'Annual Parameters'!$B$33:$W$143,3,FALSE)/VLOOKUP('All - MECs'!$B$14,'Annual Parameters'!$B$33:$W$143,3,FALSE)</f>
        <v>30.040023146493123</v>
      </c>
      <c r="AE47" s="3502">
        <f>'All - MECs'!AE47*VLOOKUP($B$14,'Annual Parameters'!$B$33:$W$143,3,FALSE)/VLOOKUP('All - MECs'!$B$14,'Annual Parameters'!$B$33:$W$143,3,FALSE)</f>
        <v>72.186566614512969</v>
      </c>
      <c r="AF47" s="3544"/>
      <c r="AG47" s="3860"/>
      <c r="AH47" s="3493"/>
      <c r="AI47" s="3494">
        <v>4</v>
      </c>
      <c r="AJ47" s="3495">
        <f>'All - MECs'!AJ47*VLOOKUP($B$14,'Annual Parameters'!$B$33:$W$143,3,FALSE)/VLOOKUP('All - MECs'!$B$14,'Annual Parameters'!$B$33:$W$143,3,FALSE)</f>
        <v>26.73894811384671</v>
      </c>
      <c r="AK47" s="3496">
        <f>'All - MECs'!AK47*VLOOKUP($B$14,'Annual Parameters'!$B$33:$W$143,3,FALSE)/VLOOKUP('All - MECs'!$B$14,'Annual Parameters'!$B$33:$W$143,3,FALSE)</f>
        <v>194.84099871500729</v>
      </c>
      <c r="AL47" s="3496">
        <f>'All - MECs'!AL47*VLOOKUP($B$14,'Annual Parameters'!$B$33:$W$143,3,FALSE)/VLOOKUP('All - MECs'!$B$14,'Annual Parameters'!$B$33:$W$143,3,FALSE)</f>
        <v>237.56043583000519</v>
      </c>
      <c r="AM47" s="3503">
        <f>'All - MECs'!AM47*VLOOKUP($B$14,'Annual Parameters'!$B$33:$W$143,3,FALSE)/VLOOKUP('All - MECs'!$B$14,'Annual Parameters'!$B$33:$W$143,3,FALSE)</f>
        <v>31.61155249974852</v>
      </c>
      <c r="AN47" s="3504">
        <f>'All - MECs'!AN47*VLOOKUP($B$14,'Annual Parameters'!$B$33:$W$143,3,FALSE)/VLOOKUP('All - MECs'!$B$14,'Annual Parameters'!$B$33:$W$143,3,FALSE)</f>
        <v>218.60125091222636</v>
      </c>
      <c r="AO47" s="3501">
        <f>'All - MECs'!AO47*VLOOKUP($B$14,'Annual Parameters'!$B$33:$W$143,3,FALSE)/VLOOKUP('All - MECs'!$B$14,'Annual Parameters'!$B$33:$W$143,3,FALSE)</f>
        <v>223.81806515530545</v>
      </c>
      <c r="AP47" s="3500">
        <f>'All - MECs'!AP47*VLOOKUP($B$14,'Annual Parameters'!$B$33:$W$143,3,FALSE)/VLOOKUP('All - MECs'!$B$14,'Annual Parameters'!$B$33:$W$143,3,FALSE)</f>
        <v>73.97803052748101</v>
      </c>
      <c r="AQ47" s="3501">
        <f>'All - MECs'!AQ47*VLOOKUP($B$14,'Annual Parameters'!$B$33:$W$143,3,FALSE)/VLOOKUP('All - MECs'!$B$14,'Annual Parameters'!$B$33:$W$143,3,FALSE)</f>
        <v>224.17544784263825</v>
      </c>
      <c r="AR47" s="3495">
        <f>'All - MECs'!AR47*VLOOKUP($B$14,'Annual Parameters'!$B$33:$W$143,3,FALSE)/VLOOKUP('All - MECs'!$B$14,'Annual Parameters'!$B$33:$W$143,3,FALSE)</f>
        <v>31.002985540879401</v>
      </c>
      <c r="AS47" s="3496">
        <f>'All - MECs'!AS47*VLOOKUP($B$14,'Annual Parameters'!$B$33:$W$143,3,FALSE)/VLOOKUP('All - MECs'!$B$14,'Annual Parameters'!$B$33:$W$143,3,FALSE)</f>
        <v>84.101708385129143</v>
      </c>
      <c r="AT47" s="3501">
        <f>'All - MECs'!AT47*VLOOKUP($B$14,'Annual Parameters'!$B$33:$W$143,3,FALSE)/VLOOKUP('All - MECs'!$B$14,'Annual Parameters'!$B$33:$W$143,3,FALSE)</f>
        <v>57.076043978336926</v>
      </c>
      <c r="AU47" s="3502">
        <f>'All - MECs'!AU47*VLOOKUP($B$14,'Annual Parameters'!$B$33:$W$143,3,FALSE)/VLOOKUP('All - MECs'!$B$14,'Annual Parameters'!$B$33:$W$143,3,FALSE)</f>
        <v>137.15447656757465</v>
      </c>
      <c r="AV47" s="3544"/>
      <c r="AW47" s="3860"/>
      <c r="AX47" s="3493"/>
      <c r="AY47" s="3494">
        <v>4</v>
      </c>
      <c r="AZ47" s="3495">
        <f>'All - MECs'!AZ47*VLOOKUP($B$14,'Annual Parameters'!$B$33:$W$143,3,FALSE)/VLOOKUP('All - MECs'!$B$14,'Annual Parameters'!$B$33:$W$143,3,FALSE)</f>
        <v>40.812078700081813</v>
      </c>
      <c r="BA47" s="3496">
        <f>'All - MECs'!BA47*VLOOKUP($B$14,'Annual Parameters'!$B$33:$W$143,3,FALSE)/VLOOKUP('All - MECs'!$B$14,'Annual Parameters'!$B$33:$W$143,3,FALSE)</f>
        <v>297.38889277553744</v>
      </c>
      <c r="BB47" s="3496">
        <f>'All - MECs'!BB47*VLOOKUP($B$14,'Annual Parameters'!$B$33:$W$143,3,FALSE)/VLOOKUP('All - MECs'!$B$14,'Annual Parameters'!$B$33:$W$143,3,FALSE)</f>
        <v>362.5922441615869</v>
      </c>
      <c r="BC47" s="3503">
        <f>'All - MECs'!BC47*VLOOKUP($B$14,'Annual Parameters'!$B$33:$W$143,3,FALSE)/VLOOKUP('All - MECs'!$B$14,'Annual Parameters'!$B$33:$W$143,3,FALSE)</f>
        <v>48.249211710142475</v>
      </c>
      <c r="BD47" s="3504">
        <f>'All - MECs'!BD47*VLOOKUP($B$14,'Annual Parameters'!$B$33:$W$143,3,FALSE)/VLOOKUP('All - MECs'!$B$14,'Annual Parameters'!$B$33:$W$143,3,FALSE)</f>
        <v>333.65454086602972</v>
      </c>
      <c r="BE47" s="3501">
        <f>'All - MECs'!BE47*VLOOKUP($B$14,'Annual Parameters'!$B$33:$W$143,3,FALSE)/VLOOKUP('All - MECs'!$B$14,'Annual Parameters'!$B$33:$W$143,3,FALSE)</f>
        <v>341.61704681599252</v>
      </c>
      <c r="BF47" s="3500">
        <f>'All - MECs'!BF47*VLOOKUP($B$14,'Annual Parameters'!$B$33:$W$143,3,FALSE)/VLOOKUP('All - MECs'!$B$14,'Annual Parameters'!$B$33:$W$143,3,FALSE)</f>
        <v>112.91383606826049</v>
      </c>
      <c r="BG47" s="3501">
        <f>'All - MECs'!BG47*VLOOKUP($B$14,'Annual Parameters'!$B$33:$W$143,3,FALSE)/VLOOKUP('All - MECs'!$B$14,'Annual Parameters'!$B$33:$W$143,3,FALSE)</f>
        <v>342.16252565455312</v>
      </c>
      <c r="BH47" s="3495">
        <f>'All - MECs'!BH47*VLOOKUP($B$14,'Annual Parameters'!$B$33:$W$143,3,FALSE)/VLOOKUP('All - MECs'!$B$14,'Annual Parameters'!$B$33:$W$143,3,FALSE)</f>
        <v>47.320346351868558</v>
      </c>
      <c r="BI47" s="3496">
        <f>'All - MECs'!BI47*VLOOKUP($B$14,'Annual Parameters'!$B$33:$W$143,3,FALSE)/VLOOKUP('All - MECs'!$B$14,'Annual Parameters'!$B$33:$W$143,3,FALSE)</f>
        <v>128.36576542993399</v>
      </c>
      <c r="BJ47" s="3501">
        <f>'All - MECs'!BJ47*VLOOKUP($B$14,'Annual Parameters'!$B$33:$W$143,3,FALSE)/VLOOKUP('All - MECs'!$B$14,'Annual Parameters'!$B$33:$W$143,3,FALSE)</f>
        <v>87.116067124830067</v>
      </c>
      <c r="BK47" s="3502">
        <f>'All - MECs'!BK47*VLOOKUP($B$14,'Annual Parameters'!$B$33:$W$143,3,FALSE)/VLOOKUP('All - MECs'!$B$14,'Annual Parameters'!$B$33:$W$143,3,FALSE)</f>
        <v>209.34104318208765</v>
      </c>
      <c r="BL47" s="3544"/>
      <c r="BM47" s="3860"/>
      <c r="BN47" s="3493"/>
      <c r="BO47" s="3494">
        <v>4</v>
      </c>
      <c r="BP47" s="3495">
        <f>'All - MECs'!BP47*VLOOKUP($B$14,'Annual Parameters'!$B$33:$W$143,3,FALSE)/VLOOKUP('All - MECs'!$B$14,'Annual Parameters'!$B$33:$W$143,3,FALSE)</f>
        <v>35.182826465587773</v>
      </c>
      <c r="BQ47" s="3496">
        <f>'All - MECs'!BQ47*VLOOKUP($B$14,'Annual Parameters'!$B$33:$W$143,3,FALSE)/VLOOKUP('All - MECs'!$B$14,'Annual Parameters'!$B$33:$W$143,3,FALSE)</f>
        <v>256.36973515132536</v>
      </c>
      <c r="BR47" s="3496">
        <f>'All - MECs'!BR47*VLOOKUP($B$14,'Annual Parameters'!$B$33:$W$143,3,FALSE)/VLOOKUP('All - MECs'!$B$14,'Annual Parameters'!$B$33:$W$143,3,FALSE)</f>
        <v>312.57952082895423</v>
      </c>
      <c r="BS47" s="3503">
        <f>'All - MECs'!BS47*VLOOKUP($B$14,'Annual Parameters'!$B$33:$W$143,3,FALSE)/VLOOKUP('All - MECs'!$B$14,'Annual Parameters'!$B$33:$W$143,3,FALSE)</f>
        <v>41.594148025984893</v>
      </c>
      <c r="BT47" s="3504">
        <f>'All - MECs'!BT47*VLOOKUP($B$14,'Annual Parameters'!$B$33:$W$143,3,FALSE)/VLOOKUP('All - MECs'!$B$14,'Annual Parameters'!$B$33:$W$143,3,FALSE)</f>
        <v>287.63322488450842</v>
      </c>
      <c r="BU47" s="3501">
        <f>'All - MECs'!BU47*VLOOKUP($B$14,'Annual Parameters'!$B$33:$W$143,3,FALSE)/VLOOKUP('All - MECs'!$B$14,'Annual Parameters'!$B$33:$W$143,3,FALSE)</f>
        <v>294.4974541517177</v>
      </c>
      <c r="BV47" s="3500">
        <f>'All - MECs'!BV47*VLOOKUP($B$14,'Annual Parameters'!$B$33:$W$143,3,FALSE)/VLOOKUP('All - MECs'!$B$14,'Annual Parameters'!$B$33:$W$143,3,FALSE)</f>
        <v>97.339513851948709</v>
      </c>
      <c r="BW47" s="3501">
        <f>'All - MECs'!BW47*VLOOKUP($B$14,'Annual Parameters'!$B$33:$W$143,3,FALSE)/VLOOKUP('All - MECs'!$B$14,'Annual Parameters'!$B$33:$W$143,3,FALSE)</f>
        <v>294.9676945297872</v>
      </c>
      <c r="BX47" s="3495">
        <f>'All - MECs'!BX47*VLOOKUP($B$14,'Annual Parameters'!$B$33:$W$143,3,FALSE)/VLOOKUP('All - MECs'!$B$14,'Annual Parameters'!$B$33:$W$143,3,FALSE)</f>
        <v>40.793402027472894</v>
      </c>
      <c r="BY47" s="3496">
        <f>'All - MECs'!BY47*VLOOKUP($B$14,'Annual Parameters'!$B$33:$W$143,3,FALSE)/VLOOKUP('All - MECs'!$B$14,'Annual Parameters'!$B$33:$W$143,3,FALSE)</f>
        <v>110.66014261201207</v>
      </c>
      <c r="BZ47" s="3501">
        <f>'All - MECs'!BZ47*VLOOKUP($B$14,'Annual Parameters'!$B$33:$W$143,3,FALSE)/VLOOKUP('All - MECs'!$B$14,'Annual Parameters'!$B$33:$W$143,3,FALSE)</f>
        <v>75.100057866232802</v>
      </c>
      <c r="CA47" s="3502">
        <f>'All - MECs'!CA47*VLOOKUP($B$14,'Annual Parameters'!$B$33:$W$143,3,FALSE)/VLOOKUP('All - MECs'!$B$14,'Annual Parameters'!$B$33:$W$143,3,FALSE)</f>
        <v>180.46641653628242</v>
      </c>
    </row>
    <row r="48" spans="1:95" ht="13.5" customHeight="1">
      <c r="A48" s="3860"/>
      <c r="B48" s="3493"/>
      <c r="C48" s="3505">
        <v>5</v>
      </c>
      <c r="D48" s="3495" t="e">
        <f>'All - MECs'!D48*VLOOKUP($B$14,'Annual Parameters'!$B$33:$W$143,3,FALSE)/VLOOKUP('All - MECs'!$B$14,'Annual Parameters'!$B$33:$W$143,3,FALSE)</f>
        <v>#N/A</v>
      </c>
      <c r="E48" s="3496">
        <f>'All - MECs'!E48*VLOOKUP($B$14,'Annual Parameters'!$B$33:$W$143,3,FALSE)/VLOOKUP('All - MECs'!$B$14,'Annual Parameters'!$B$33:$W$143,3,FALSE)</f>
        <v>218.59909420291729</v>
      </c>
      <c r="F48" s="3496">
        <f>'All - MECs'!F48*VLOOKUP($B$14,'Annual Parameters'!$B$33:$W$143,3,FALSE)/VLOOKUP('All - MECs'!$B$14,'Annual Parameters'!$B$33:$W$143,3,FALSE)</f>
        <v>193.25779463581</v>
      </c>
      <c r="G48" s="3506">
        <f>'All - MECs'!G48*VLOOKUP($B$14,'Annual Parameters'!$B$33:$W$143,3,FALSE)/VLOOKUP('All - MECs'!$B$14,'Annual Parameters'!$B$33:$W$143,3,FALSE)</f>
        <v>57.748840448332864</v>
      </c>
      <c r="H48" s="3507">
        <f>'All - MECs'!H48*VLOOKUP($B$14,'Annual Parameters'!$B$33:$W$143,3,FALSE)/VLOOKUP('All - MECs'!$B$14,'Annual Parameters'!$B$33:$W$143,3,FALSE)</f>
        <v>187.78522923376568</v>
      </c>
      <c r="I48" s="3508">
        <f>'All - MECs'!I48*VLOOKUP($B$14,'Annual Parameters'!$B$33:$W$143,3,FALSE)/VLOOKUP('All - MECs'!$B$14,'Annual Parameters'!$B$33:$W$143,3,FALSE)</f>
        <v>227.62648152132886</v>
      </c>
      <c r="J48" s="3509">
        <f>'All - MECs'!J48*VLOOKUP($B$14,'Annual Parameters'!$B$33:$W$143,3,FALSE)/VLOOKUP('All - MECs'!$B$14,'Annual Parameters'!$B$33:$W$143,3,FALSE)</f>
        <v>67.76025302785014</v>
      </c>
      <c r="K48" s="3508">
        <f>'All - MECs'!K48*VLOOKUP($B$14,'Annual Parameters'!$B$33:$W$143,3,FALSE)/VLOOKUP('All - MECs'!$B$14,'Annual Parameters'!$B$33:$W$143,3,FALSE)</f>
        <v>207.99036696736536</v>
      </c>
      <c r="L48" s="3510">
        <f>'All - MECs'!L48*VLOOKUP($B$14,'Annual Parameters'!$B$33:$W$143,3,FALSE)/VLOOKUP('All - MECs'!$B$14,'Annual Parameters'!$B$33:$W$143,3,FALSE)</f>
        <v>69.688839944902526</v>
      </c>
      <c r="M48" s="3511">
        <f>'All - MECs'!M48*VLOOKUP($B$14,'Annual Parameters'!$B$33:$W$143,3,FALSE)/VLOOKUP('All - MECs'!$B$14,'Annual Parameters'!$B$33:$W$143,3,FALSE)</f>
        <v>115.40018929417279</v>
      </c>
      <c r="N48" s="3508">
        <f>'All - MECs'!N48*VLOOKUP($B$14,'Annual Parameters'!$B$33:$W$143,3,FALSE)/VLOOKUP('All - MECs'!$B$14,'Annual Parameters'!$B$33:$W$143,3,FALSE)</f>
        <v>128.0277637944472</v>
      </c>
      <c r="O48" s="3502">
        <f>'All - MECs'!O48*VLOOKUP($B$14,'Annual Parameters'!$B$33:$W$143,3,FALSE)/VLOOKUP('All - MECs'!$B$14,'Annual Parameters'!$B$33:$W$143,3,FALSE)</f>
        <v>154.29458650597363</v>
      </c>
      <c r="P48" s="3544"/>
      <c r="Q48" s="3860"/>
      <c r="R48" s="3493"/>
      <c r="S48" s="3505">
        <v>5</v>
      </c>
      <c r="T48" s="3495" t="e">
        <f>'All - MECs'!T48*VLOOKUP($B$14,'Annual Parameters'!$B$33:$W$143,3,FALSE)/VLOOKUP('All - MECs'!$B$14,'Annual Parameters'!$B$33:$W$143,3,FALSE)</f>
        <v>#N/A</v>
      </c>
      <c r="U48" s="3496">
        <f>'All - MECs'!U48*VLOOKUP($B$14,'Annual Parameters'!$B$33:$W$143,3,FALSE)/VLOOKUP('All - MECs'!$B$14,'Annual Parameters'!$B$33:$W$143,3,FALSE)</f>
        <v>218.59909420291729</v>
      </c>
      <c r="V48" s="3496">
        <f>'All - MECs'!V48*VLOOKUP($B$14,'Annual Parameters'!$B$33:$W$143,3,FALSE)/VLOOKUP('All - MECs'!$B$14,'Annual Parameters'!$B$33:$W$143,3,FALSE)</f>
        <v>193.25779463581</v>
      </c>
      <c r="W48" s="3506">
        <f>'All - MECs'!W48*VLOOKUP($B$14,'Annual Parameters'!$B$33:$W$143,3,FALSE)/VLOOKUP('All - MECs'!$B$14,'Annual Parameters'!$B$33:$W$143,3,FALSE)</f>
        <v>57.748840448332864</v>
      </c>
      <c r="X48" s="3507">
        <f>'All - MECs'!X48*VLOOKUP($B$14,'Annual Parameters'!$B$33:$W$143,3,FALSE)/VLOOKUP('All - MECs'!$B$14,'Annual Parameters'!$B$33:$W$143,3,FALSE)</f>
        <v>187.78522923376568</v>
      </c>
      <c r="Y48" s="3508">
        <f>'All - MECs'!Y48*VLOOKUP($B$14,'Annual Parameters'!$B$33:$W$143,3,FALSE)/VLOOKUP('All - MECs'!$B$14,'Annual Parameters'!$B$33:$W$143,3,FALSE)</f>
        <v>227.62648152132886</v>
      </c>
      <c r="Z48" s="3509">
        <f>'All - MECs'!Z48*VLOOKUP($B$14,'Annual Parameters'!$B$33:$W$143,3,FALSE)/VLOOKUP('All - MECs'!$B$14,'Annual Parameters'!$B$33:$W$143,3,FALSE)</f>
        <v>67.76025302785014</v>
      </c>
      <c r="AA48" s="3508">
        <f>'All - MECs'!AA48*VLOOKUP($B$14,'Annual Parameters'!$B$33:$W$143,3,FALSE)/VLOOKUP('All - MECs'!$B$14,'Annual Parameters'!$B$33:$W$143,3,FALSE)</f>
        <v>207.99036696736536</v>
      </c>
      <c r="AB48" s="3510">
        <f>'All - MECs'!AB48*VLOOKUP($B$14,'Annual Parameters'!$B$33:$W$143,3,FALSE)/VLOOKUP('All - MECs'!$B$14,'Annual Parameters'!$B$33:$W$143,3,FALSE)</f>
        <v>69.688839944902526</v>
      </c>
      <c r="AC48" s="3511">
        <f>'All - MECs'!AC48*VLOOKUP($B$14,'Annual Parameters'!$B$33:$W$143,3,FALSE)/VLOOKUP('All - MECs'!$B$14,'Annual Parameters'!$B$33:$W$143,3,FALSE)</f>
        <v>115.40018929417279</v>
      </c>
      <c r="AD48" s="3508">
        <f>'All - MECs'!AD48*VLOOKUP($B$14,'Annual Parameters'!$B$33:$W$143,3,FALSE)/VLOOKUP('All - MECs'!$B$14,'Annual Parameters'!$B$33:$W$143,3,FALSE)</f>
        <v>128.0277637944472</v>
      </c>
      <c r="AE48" s="3502">
        <f>'All - MECs'!AE48*VLOOKUP($B$14,'Annual Parameters'!$B$33:$W$143,3,FALSE)/VLOOKUP('All - MECs'!$B$14,'Annual Parameters'!$B$33:$W$143,3,FALSE)</f>
        <v>154.29458650597363</v>
      </c>
      <c r="AF48" s="3544"/>
      <c r="AG48" s="3860"/>
      <c r="AH48" s="3493"/>
      <c r="AI48" s="3505">
        <v>5</v>
      </c>
      <c r="AJ48" s="3495" t="e">
        <f>'All - MECs'!AJ48*VLOOKUP($B$14,'Annual Parameters'!$B$33:$W$143,3,FALSE)/VLOOKUP('All - MECs'!$B$14,'Annual Parameters'!$B$33:$W$143,3,FALSE)</f>
        <v>#N/A</v>
      </c>
      <c r="AK48" s="3496">
        <f>'All - MECs'!AK48*VLOOKUP($B$14,'Annual Parameters'!$B$33:$W$143,3,FALSE)/VLOOKUP('All - MECs'!$B$14,'Annual Parameters'!$B$33:$W$143,3,FALSE)</f>
        <v>415.33827898554284</v>
      </c>
      <c r="AL48" s="3496">
        <f>'All - MECs'!AL48*VLOOKUP($B$14,'Annual Parameters'!$B$33:$W$143,3,FALSE)/VLOOKUP('All - MECs'!$B$14,'Annual Parameters'!$B$33:$W$143,3,FALSE)</f>
        <v>367.189809808039</v>
      </c>
      <c r="AM48" s="3506">
        <f>'All - MECs'!AM48*VLOOKUP($B$14,'Annual Parameters'!$B$33:$W$143,3,FALSE)/VLOOKUP('All - MECs'!$B$14,'Annual Parameters'!$B$33:$W$143,3,FALSE)</f>
        <v>109.72279685183247</v>
      </c>
      <c r="AN48" s="3507">
        <f>'All - MECs'!AN48*VLOOKUP($B$14,'Annual Parameters'!$B$33:$W$143,3,FALSE)/VLOOKUP('All - MECs'!$B$14,'Annual Parameters'!$B$33:$W$143,3,FALSE)</f>
        <v>356.79193554415474</v>
      </c>
      <c r="AO48" s="3508">
        <f>'All - MECs'!AO48*VLOOKUP($B$14,'Annual Parameters'!$B$33:$W$143,3,FALSE)/VLOOKUP('All - MECs'!$B$14,'Annual Parameters'!$B$33:$W$143,3,FALSE)</f>
        <v>432.49031489052481</v>
      </c>
      <c r="AP48" s="3509">
        <f>'All - MECs'!AP48*VLOOKUP($B$14,'Annual Parameters'!$B$33:$W$143,3,FALSE)/VLOOKUP('All - MECs'!$B$14,'Annual Parameters'!$B$33:$W$143,3,FALSE)</f>
        <v>128.74448075291525</v>
      </c>
      <c r="AQ48" s="3508">
        <f>'All - MECs'!AQ48*VLOOKUP($B$14,'Annual Parameters'!$B$33:$W$143,3,FALSE)/VLOOKUP('All - MECs'!$B$14,'Annual Parameters'!$B$33:$W$143,3,FALSE)</f>
        <v>395.18169723799417</v>
      </c>
      <c r="AR48" s="3510">
        <f>'All - MECs'!AR48*VLOOKUP($B$14,'Annual Parameters'!$B$33:$W$143,3,FALSE)/VLOOKUP('All - MECs'!$B$14,'Annual Parameters'!$B$33:$W$143,3,FALSE)</f>
        <v>132.4087958953148</v>
      </c>
      <c r="AS48" s="3511">
        <f>'All - MECs'!AS48*VLOOKUP($B$14,'Annual Parameters'!$B$33:$W$143,3,FALSE)/VLOOKUP('All - MECs'!$B$14,'Annual Parameters'!$B$33:$W$143,3,FALSE)</f>
        <v>219.26035965892831</v>
      </c>
      <c r="AT48" s="3508">
        <f>'All - MECs'!AT48*VLOOKUP($B$14,'Annual Parameters'!$B$33:$W$143,3,FALSE)/VLOOKUP('All - MECs'!$B$14,'Annual Parameters'!$B$33:$W$143,3,FALSE)</f>
        <v>243.25275120944968</v>
      </c>
      <c r="AU48" s="3502">
        <f>'All - MECs'!AU48*VLOOKUP($B$14,'Annual Parameters'!$B$33:$W$143,3,FALSE)/VLOOKUP('All - MECs'!$B$14,'Annual Parameters'!$B$33:$W$143,3,FALSE)</f>
        <v>293.15971436134987</v>
      </c>
      <c r="AV48" s="3544"/>
      <c r="AW48" s="3860"/>
      <c r="AX48" s="3493"/>
      <c r="AY48" s="3505">
        <v>5</v>
      </c>
      <c r="AZ48" s="3495" t="e">
        <f>'All - MECs'!AZ48*VLOOKUP($B$14,'Annual Parameters'!$B$33:$W$143,3,FALSE)/VLOOKUP('All - MECs'!$B$14,'Annual Parameters'!$B$33:$W$143,3,FALSE)</f>
        <v>#N/A</v>
      </c>
      <c r="BA48" s="3496">
        <f>'All - MECs'!BA48*VLOOKUP($B$14,'Annual Parameters'!$B$33:$W$143,3,FALSE)/VLOOKUP('All - MECs'!$B$14,'Annual Parameters'!$B$33:$W$143,3,FALSE)</f>
        <v>633.93737318846013</v>
      </c>
      <c r="BB48" s="3496">
        <f>'All - MECs'!BB48*VLOOKUP($B$14,'Annual Parameters'!$B$33:$W$143,3,FALSE)/VLOOKUP('All - MECs'!$B$14,'Annual Parameters'!$B$33:$W$143,3,FALSE)</f>
        <v>560.44760444384895</v>
      </c>
      <c r="BC48" s="3506">
        <f>'All - MECs'!BC48*VLOOKUP($B$14,'Annual Parameters'!$B$33:$W$143,3,FALSE)/VLOOKUP('All - MECs'!$B$14,'Annual Parameters'!$B$33:$W$143,3,FALSE)</f>
        <v>167.4716373001653</v>
      </c>
      <c r="BD48" s="3507">
        <f>'All - MECs'!BD48*VLOOKUP($B$14,'Annual Parameters'!$B$33:$W$143,3,FALSE)/VLOOKUP('All - MECs'!$B$14,'Annual Parameters'!$B$33:$W$143,3,FALSE)</f>
        <v>544.57716477792042</v>
      </c>
      <c r="BE48" s="3508">
        <f>'All - MECs'!BE48*VLOOKUP($B$14,'Annual Parameters'!$B$33:$W$143,3,FALSE)/VLOOKUP('All - MECs'!$B$14,'Annual Parameters'!$B$33:$W$143,3,FALSE)</f>
        <v>660.11679641185367</v>
      </c>
      <c r="BF48" s="3509">
        <f>'All - MECs'!BF48*VLOOKUP($B$14,'Annual Parameters'!$B$33:$W$143,3,FALSE)/VLOOKUP('All - MECs'!$B$14,'Annual Parameters'!$B$33:$W$143,3,FALSE)</f>
        <v>196.50473378076541</v>
      </c>
      <c r="BG48" s="3508">
        <f>'All - MECs'!BG48*VLOOKUP($B$14,'Annual Parameters'!$B$33:$W$143,3,FALSE)/VLOOKUP('All - MECs'!$B$14,'Annual Parameters'!$B$33:$W$143,3,FALSE)</f>
        <v>603.17206420535956</v>
      </c>
      <c r="BH48" s="3510">
        <f>'All - MECs'!BH48*VLOOKUP($B$14,'Annual Parameters'!$B$33:$W$143,3,FALSE)/VLOOKUP('All - MECs'!$B$14,'Annual Parameters'!$B$33:$W$143,3,FALSE)</f>
        <v>202.09763584021732</v>
      </c>
      <c r="BI48" s="3511">
        <f>'All - MECs'!BI48*VLOOKUP($B$14,'Annual Parameters'!$B$33:$W$143,3,FALSE)/VLOOKUP('All - MECs'!$B$14,'Annual Parameters'!$B$33:$W$143,3,FALSE)</f>
        <v>334.66054895310111</v>
      </c>
      <c r="BJ48" s="3508">
        <f>'All - MECs'!BJ48*VLOOKUP($B$14,'Annual Parameters'!$B$33:$W$143,3,FALSE)/VLOOKUP('All - MECs'!$B$14,'Annual Parameters'!$B$33:$W$143,3,FALSE)</f>
        <v>371.28051500389688</v>
      </c>
      <c r="BK48" s="3502">
        <f>'All - MECs'!BK48*VLOOKUP($B$14,'Annual Parameters'!$B$33:$W$143,3,FALSE)/VLOOKUP('All - MECs'!$B$14,'Annual Parameters'!$B$33:$W$143,3,FALSE)</f>
        <v>447.45430086732352</v>
      </c>
      <c r="BL48" s="3544"/>
      <c r="BM48" s="3860"/>
      <c r="BN48" s="3493"/>
      <c r="BO48" s="3505">
        <v>5</v>
      </c>
      <c r="BP48" s="3495" t="e">
        <f>'All - MECs'!BP48*VLOOKUP($B$14,'Annual Parameters'!$B$33:$W$143,3,FALSE)/VLOOKUP('All - MECs'!$B$14,'Annual Parameters'!$B$33:$W$143,3,FALSE)</f>
        <v>#N/A</v>
      </c>
      <c r="BQ48" s="3496">
        <f>'All - MECs'!BQ48*VLOOKUP($B$14,'Annual Parameters'!$B$33:$W$143,3,FALSE)/VLOOKUP('All - MECs'!$B$14,'Annual Parameters'!$B$33:$W$143,3,FALSE)</f>
        <v>546.49773550729321</v>
      </c>
      <c r="BR48" s="3496">
        <f>'All - MECs'!BR48*VLOOKUP($B$14,'Annual Parameters'!$B$33:$W$143,3,FALSE)/VLOOKUP('All - MECs'!$B$14,'Annual Parameters'!$B$33:$W$143,3,FALSE)</f>
        <v>483.14448658952494</v>
      </c>
      <c r="BS48" s="3506">
        <f>'All - MECs'!BS48*VLOOKUP($B$14,'Annual Parameters'!$B$33:$W$143,3,FALSE)/VLOOKUP('All - MECs'!$B$14,'Annual Parameters'!$B$33:$W$143,3,FALSE)</f>
        <v>144.37210112083218</v>
      </c>
      <c r="BT48" s="3507">
        <f>'All - MECs'!BT48*VLOOKUP($B$14,'Annual Parameters'!$B$33:$W$143,3,FALSE)/VLOOKUP('All - MECs'!$B$14,'Annual Parameters'!$B$33:$W$143,3,FALSE)</f>
        <v>469.46307308441419</v>
      </c>
      <c r="BU48" s="3508">
        <f>'All - MECs'!BU48*VLOOKUP($B$14,'Annual Parameters'!$B$33:$W$143,3,FALSE)/VLOOKUP('All - MECs'!$B$14,'Annual Parameters'!$B$33:$W$143,3,FALSE)</f>
        <v>569.0662038033222</v>
      </c>
      <c r="BV48" s="3509">
        <f>'All - MECs'!BV48*VLOOKUP($B$14,'Annual Parameters'!$B$33:$W$143,3,FALSE)/VLOOKUP('All - MECs'!$B$14,'Annual Parameters'!$B$33:$W$143,3,FALSE)</f>
        <v>169.40063256962534</v>
      </c>
      <c r="BW48" s="3508">
        <f>'All - MECs'!BW48*VLOOKUP($B$14,'Annual Parameters'!$B$33:$W$143,3,FALSE)/VLOOKUP('All - MECs'!$B$14,'Annual Parameters'!$B$33:$W$143,3,FALSE)</f>
        <v>519.97591741841336</v>
      </c>
      <c r="BX48" s="3510">
        <f>'All - MECs'!BX48*VLOOKUP($B$14,'Annual Parameters'!$B$33:$W$143,3,FALSE)/VLOOKUP('All - MECs'!$B$14,'Annual Parameters'!$B$33:$W$143,3,FALSE)</f>
        <v>174.2220998622563</v>
      </c>
      <c r="BY48" s="3511">
        <f>'All - MECs'!BY48*VLOOKUP($B$14,'Annual Parameters'!$B$33:$W$143,3,FALSE)/VLOOKUP('All - MECs'!$B$14,'Annual Parameters'!$B$33:$W$143,3,FALSE)</f>
        <v>288.50047323543203</v>
      </c>
      <c r="BZ48" s="3508">
        <f>'All - MECs'!BZ48*VLOOKUP($B$14,'Annual Parameters'!$B$33:$W$143,3,FALSE)/VLOOKUP('All - MECs'!$B$14,'Annual Parameters'!$B$33:$W$143,3,FALSE)</f>
        <v>320.06940948611799</v>
      </c>
      <c r="CA48" s="3502">
        <f>'All - MECs'!CA48*VLOOKUP($B$14,'Annual Parameters'!$B$33:$W$143,3,FALSE)/VLOOKUP('All - MECs'!$B$14,'Annual Parameters'!$B$33:$W$143,3,FALSE)</f>
        <v>385.73646626493405</v>
      </c>
    </row>
    <row r="49" spans="1:95" ht="13.5" customHeight="1">
      <c r="A49" s="3860"/>
      <c r="B49" s="3493"/>
      <c r="C49" s="3512" t="s">
        <v>1422</v>
      </c>
      <c r="D49" s="3513">
        <f>'All - MECs'!D49*VLOOKUP($B$14,'Annual Parameters'!$B$33:$W$143,3,FALSE)/VLOOKUP('All - MECs'!$B$14,'Annual Parameters'!$B$33:$W$143,3,FALSE)</f>
        <v>0.10466306731469978</v>
      </c>
      <c r="E49" s="3514">
        <f>'All - MECs'!E49*VLOOKUP($B$14,'Annual Parameters'!$B$33:$W$143,3,FALSE)/VLOOKUP('All - MECs'!$B$14,'Annual Parameters'!$B$33:$W$143,3,FALSE)</f>
        <v>69.198368964282608</v>
      </c>
      <c r="F49" s="3515">
        <f>'All - MECs'!F49*VLOOKUP($B$14,'Annual Parameters'!$B$33:$W$143,3,FALSE)/VLOOKUP('All - MECs'!$B$14,'Annual Parameters'!$B$33:$W$143,3,FALSE)</f>
        <v>45.898744264912857</v>
      </c>
      <c r="G49" s="3513">
        <f>'All - MECs'!G49*VLOOKUP($B$14,'Annual Parameters'!$B$33:$W$143,3,FALSE)/VLOOKUP('All - MECs'!$B$14,'Annual Parameters'!$B$33:$W$143,3,FALSE)</f>
        <v>1.6486832335321815</v>
      </c>
      <c r="H49" s="3514">
        <f>'All - MECs'!H49*VLOOKUP($B$14,'Annual Parameters'!$B$33:$W$143,3,FALSE)/VLOOKUP('All - MECs'!$B$14,'Annual Parameters'!$B$33:$W$143,3,FALSE)</f>
        <v>32.962098344500987</v>
      </c>
      <c r="I49" s="3515">
        <f>'All - MECs'!I49*VLOOKUP($B$14,'Annual Parameters'!$B$33:$W$143,3,FALSE)/VLOOKUP('All - MECs'!$B$14,'Annual Parameters'!$B$33:$W$143,3,FALSE)</f>
        <v>23.521353345499978</v>
      </c>
      <c r="J49" s="3516">
        <f>'All - MECs'!J49*VLOOKUP($B$14,'Annual Parameters'!$B$33:$W$143,3,FALSE)/VLOOKUP('All - MECs'!$B$14,'Annual Parameters'!$B$33:$W$143,3,FALSE)</f>
        <v>13.297718917601635</v>
      </c>
      <c r="K49" s="3517">
        <f>'All - MECs'!K49*VLOOKUP($B$14,'Annual Parameters'!$B$33:$W$143,3,FALSE)/VLOOKUP('All - MECs'!$B$14,'Annual Parameters'!$B$33:$W$143,3,FALSE)</f>
        <v>10.272456095809126</v>
      </c>
      <c r="L49" s="3518">
        <f>'All - MECs'!L49*VLOOKUP($B$14,'Annual Parameters'!$B$33:$W$143,3,FALSE)/VLOOKUP('All - MECs'!$B$14,'Annual Parameters'!$B$33:$W$143,3,FALSE)</f>
        <v>0.97207108324924552</v>
      </c>
      <c r="M49" s="3519">
        <f>'All - MECs'!M49*VLOOKUP($B$14,'Annual Parameters'!$B$33:$W$143,3,FALSE)/VLOOKUP('All - MECs'!$B$14,'Annual Parameters'!$B$33:$W$143,3,FALSE)</f>
        <v>2.2179659536285601</v>
      </c>
      <c r="N49" s="3517">
        <f>'All - MECs'!N49*VLOOKUP($B$14,'Annual Parameters'!$B$33:$W$143,3,FALSE)/VLOOKUP('All - MECs'!$B$14,'Annual Parameters'!$B$33:$W$143,3,FALSE)</f>
        <v>2.9275789821827356</v>
      </c>
      <c r="O49" s="3520">
        <f>'All - MECs'!O49*VLOOKUP($B$14,'Annual Parameters'!$B$33:$W$143,3,FALSE)/VLOOKUP('All - MECs'!$B$14,'Annual Parameters'!$B$33:$W$143,3,FALSE)</f>
        <v>11.336490264908569</v>
      </c>
      <c r="P49" s="3544"/>
      <c r="Q49" s="3860"/>
      <c r="R49" s="3493"/>
      <c r="S49" s="3512" t="s">
        <v>1422</v>
      </c>
      <c r="T49" s="3513">
        <f>'All - MECs'!T49*VLOOKUP($B$14,'Annual Parameters'!$B$33:$W$143,3,FALSE)/VLOOKUP('All - MECs'!$B$14,'Annual Parameters'!$B$33:$W$143,3,FALSE)</f>
        <v>0.10466306731469978</v>
      </c>
      <c r="U49" s="3514">
        <f>'All - MECs'!U49*VLOOKUP($B$14,'Annual Parameters'!$B$33:$W$143,3,FALSE)/VLOOKUP('All - MECs'!$B$14,'Annual Parameters'!$B$33:$W$143,3,FALSE)</f>
        <v>69.198368964282608</v>
      </c>
      <c r="V49" s="3515">
        <f>'All - MECs'!V49*VLOOKUP($B$14,'Annual Parameters'!$B$33:$W$143,3,FALSE)/VLOOKUP('All - MECs'!$B$14,'Annual Parameters'!$B$33:$W$143,3,FALSE)</f>
        <v>45.898744264912857</v>
      </c>
      <c r="W49" s="3513">
        <f>'All - MECs'!W49*VLOOKUP($B$14,'Annual Parameters'!$B$33:$W$143,3,FALSE)/VLOOKUP('All - MECs'!$B$14,'Annual Parameters'!$B$33:$W$143,3,FALSE)</f>
        <v>1.6486832335321815</v>
      </c>
      <c r="X49" s="3514">
        <f>'All - MECs'!X49*VLOOKUP($B$14,'Annual Parameters'!$B$33:$W$143,3,FALSE)/VLOOKUP('All - MECs'!$B$14,'Annual Parameters'!$B$33:$W$143,3,FALSE)</f>
        <v>32.962098344500987</v>
      </c>
      <c r="Y49" s="3515">
        <f>'All - MECs'!Y49*VLOOKUP($B$14,'Annual Parameters'!$B$33:$W$143,3,FALSE)/VLOOKUP('All - MECs'!$B$14,'Annual Parameters'!$B$33:$W$143,3,FALSE)</f>
        <v>23.521353345499978</v>
      </c>
      <c r="Z49" s="3516">
        <f>'All - MECs'!Z49*VLOOKUP($B$14,'Annual Parameters'!$B$33:$W$143,3,FALSE)/VLOOKUP('All - MECs'!$B$14,'Annual Parameters'!$B$33:$W$143,3,FALSE)</f>
        <v>13.297718917601635</v>
      </c>
      <c r="AA49" s="3517">
        <f>'All - MECs'!AA49*VLOOKUP($B$14,'Annual Parameters'!$B$33:$W$143,3,FALSE)/VLOOKUP('All - MECs'!$B$14,'Annual Parameters'!$B$33:$W$143,3,FALSE)</f>
        <v>10.272456095809126</v>
      </c>
      <c r="AB49" s="3518">
        <f>'All - MECs'!AB49*VLOOKUP($B$14,'Annual Parameters'!$B$33:$W$143,3,FALSE)/VLOOKUP('All - MECs'!$B$14,'Annual Parameters'!$B$33:$W$143,3,FALSE)</f>
        <v>0.97207108324924552</v>
      </c>
      <c r="AC49" s="3519">
        <f>'All - MECs'!AC49*VLOOKUP($B$14,'Annual Parameters'!$B$33:$W$143,3,FALSE)/VLOOKUP('All - MECs'!$B$14,'Annual Parameters'!$B$33:$W$143,3,FALSE)</f>
        <v>2.2179659536285601</v>
      </c>
      <c r="AD49" s="3517">
        <f>'All - MECs'!AD49*VLOOKUP($B$14,'Annual Parameters'!$B$33:$W$143,3,FALSE)/VLOOKUP('All - MECs'!$B$14,'Annual Parameters'!$B$33:$W$143,3,FALSE)</f>
        <v>2.9275789821827356</v>
      </c>
      <c r="AE49" s="3520">
        <f>'All - MECs'!AE49*VLOOKUP($B$14,'Annual Parameters'!$B$33:$W$143,3,FALSE)/VLOOKUP('All - MECs'!$B$14,'Annual Parameters'!$B$33:$W$143,3,FALSE)</f>
        <v>11.336490264908569</v>
      </c>
      <c r="AF49" s="3544"/>
      <c r="AG49" s="3860"/>
      <c r="AH49" s="3493"/>
      <c r="AI49" s="3512" t="s">
        <v>1422</v>
      </c>
      <c r="AJ49" s="3513">
        <f>'All - MECs'!AJ49*VLOOKUP($B$14,'Annual Parameters'!$B$33:$W$143,3,FALSE)/VLOOKUP('All - MECs'!$B$14,'Annual Parameters'!$B$33:$W$143,3,FALSE)</f>
        <v>0.19885982789792955</v>
      </c>
      <c r="AK49" s="3514">
        <f>'All - MECs'!AK49*VLOOKUP($B$14,'Annual Parameters'!$B$33:$W$143,3,FALSE)/VLOOKUP('All - MECs'!$B$14,'Annual Parameters'!$B$33:$W$143,3,FALSE)</f>
        <v>131.47690103213694</v>
      </c>
      <c r="AL49" s="3515">
        <f>'All - MECs'!AL49*VLOOKUP($B$14,'Annual Parameters'!$B$33:$W$143,3,FALSE)/VLOOKUP('All - MECs'!$B$14,'Annual Parameters'!$B$33:$W$143,3,FALSE)</f>
        <v>87.207614103334421</v>
      </c>
      <c r="AM49" s="3513">
        <f>'All - MECs'!AM49*VLOOKUP($B$14,'Annual Parameters'!$B$33:$W$143,3,FALSE)/VLOOKUP('All - MECs'!$B$14,'Annual Parameters'!$B$33:$W$143,3,FALSE)</f>
        <v>3.1324981437111448</v>
      </c>
      <c r="AN49" s="3514">
        <f>'All - MECs'!AN49*VLOOKUP($B$14,'Annual Parameters'!$B$33:$W$143,3,FALSE)/VLOOKUP('All - MECs'!$B$14,'Annual Parameters'!$B$33:$W$143,3,FALSE)</f>
        <v>62.627986854551871</v>
      </c>
      <c r="AO49" s="3515">
        <f>'All - MECs'!AO49*VLOOKUP($B$14,'Annual Parameters'!$B$33:$W$143,3,FALSE)/VLOOKUP('All - MECs'!$B$14,'Annual Parameters'!$B$33:$W$143,3,FALSE)</f>
        <v>44.690571356449958</v>
      </c>
      <c r="AP49" s="3516">
        <f>'All - MECs'!AP49*VLOOKUP($B$14,'Annual Parameters'!$B$33:$W$143,3,FALSE)/VLOOKUP('All - MECs'!$B$14,'Annual Parameters'!$B$33:$W$143,3,FALSE)</f>
        <v>25.265665943443103</v>
      </c>
      <c r="AQ49" s="3517">
        <f>'All - MECs'!AQ49*VLOOKUP($B$14,'Annual Parameters'!$B$33:$W$143,3,FALSE)/VLOOKUP('All - MECs'!$B$14,'Annual Parameters'!$B$33:$W$143,3,FALSE)</f>
        <v>19.517666582037336</v>
      </c>
      <c r="AR49" s="3518">
        <f>'All - MECs'!AR49*VLOOKUP($B$14,'Annual Parameters'!$B$33:$W$143,3,FALSE)/VLOOKUP('All - MECs'!$B$14,'Annual Parameters'!$B$33:$W$143,3,FALSE)</f>
        <v>1.8469350581735662</v>
      </c>
      <c r="AS49" s="3519">
        <f>'All - MECs'!AS49*VLOOKUP($B$14,'Annual Parameters'!$B$33:$W$143,3,FALSE)/VLOOKUP('All - MECs'!$B$14,'Annual Parameters'!$B$33:$W$143,3,FALSE)</f>
        <v>4.2141353118942639</v>
      </c>
      <c r="AT49" s="3517">
        <f>'All - MECs'!AT49*VLOOKUP($B$14,'Annual Parameters'!$B$33:$W$143,3,FALSE)/VLOOKUP('All - MECs'!$B$14,'Annual Parameters'!$B$33:$W$143,3,FALSE)</f>
        <v>5.5624000661471973</v>
      </c>
      <c r="AU49" s="3520">
        <f>'All - MECs'!AU49*VLOOKUP($B$14,'Annual Parameters'!$B$33:$W$143,3,FALSE)/VLOOKUP('All - MECs'!$B$14,'Annual Parameters'!$B$33:$W$143,3,FALSE)</f>
        <v>21.539331503326281</v>
      </c>
      <c r="AV49" s="3544"/>
      <c r="AW49" s="3860"/>
      <c r="AX49" s="3493"/>
      <c r="AY49" s="3512" t="s">
        <v>1422</v>
      </c>
      <c r="AZ49" s="3513">
        <f>'All - MECs'!AZ49*VLOOKUP($B$14,'Annual Parameters'!$B$33:$W$143,3,FALSE)/VLOOKUP('All - MECs'!$B$14,'Annual Parameters'!$B$33:$W$143,3,FALSE)</f>
        <v>0.30352289521262932</v>
      </c>
      <c r="BA49" s="3514">
        <f>'All - MECs'!BA49*VLOOKUP($B$14,'Annual Parameters'!$B$33:$W$143,3,FALSE)/VLOOKUP('All - MECs'!$B$14,'Annual Parameters'!$B$33:$W$143,3,FALSE)</f>
        <v>200.67526999641956</v>
      </c>
      <c r="BB49" s="3515">
        <f>'All - MECs'!BB49*VLOOKUP($B$14,'Annual Parameters'!$B$33:$W$143,3,FALSE)/VLOOKUP('All - MECs'!$B$14,'Annual Parameters'!$B$33:$W$143,3,FALSE)</f>
        <v>133.10635836824727</v>
      </c>
      <c r="BC49" s="3513">
        <f>'All - MECs'!BC49*VLOOKUP($B$14,'Annual Parameters'!$B$33:$W$143,3,FALSE)/VLOOKUP('All - MECs'!$B$14,'Annual Parameters'!$B$33:$W$143,3,FALSE)</f>
        <v>4.7811813772433265</v>
      </c>
      <c r="BD49" s="3514">
        <f>'All - MECs'!BD49*VLOOKUP($B$14,'Annual Parameters'!$B$33:$W$143,3,FALSE)/VLOOKUP('All - MECs'!$B$14,'Annual Parameters'!$B$33:$W$143,3,FALSE)</f>
        <v>95.590085199052865</v>
      </c>
      <c r="BE49" s="3515">
        <f>'All - MECs'!BE49*VLOOKUP($B$14,'Annual Parameters'!$B$33:$W$143,3,FALSE)/VLOOKUP('All - MECs'!$B$14,'Annual Parameters'!$B$33:$W$143,3,FALSE)</f>
        <v>68.21192470194994</v>
      </c>
      <c r="BF49" s="3516">
        <f>'All - MECs'!BF49*VLOOKUP($B$14,'Annual Parameters'!$B$33:$W$143,3,FALSE)/VLOOKUP('All - MECs'!$B$14,'Annual Parameters'!$B$33:$W$143,3,FALSE)</f>
        <v>38.563384861044739</v>
      </c>
      <c r="BG49" s="3517">
        <f>'All - MECs'!BG49*VLOOKUP($B$14,'Annual Parameters'!$B$33:$W$143,3,FALSE)/VLOOKUP('All - MECs'!$B$14,'Annual Parameters'!$B$33:$W$143,3,FALSE)</f>
        <v>29.790122677846458</v>
      </c>
      <c r="BH49" s="3518">
        <f>'All - MECs'!BH49*VLOOKUP($B$14,'Annual Parameters'!$B$33:$W$143,3,FALSE)/VLOOKUP('All - MECs'!$B$14,'Annual Parameters'!$B$33:$W$143,3,FALSE)</f>
        <v>2.8190061414228116</v>
      </c>
      <c r="BI49" s="3519">
        <f>'All - MECs'!BI49*VLOOKUP($B$14,'Annual Parameters'!$B$33:$W$143,3,FALSE)/VLOOKUP('All - MECs'!$B$14,'Annual Parameters'!$B$33:$W$143,3,FALSE)</f>
        <v>6.4321012655228245</v>
      </c>
      <c r="BJ49" s="3517">
        <f>'All - MECs'!BJ49*VLOOKUP($B$14,'Annual Parameters'!$B$33:$W$143,3,FALSE)/VLOOKUP('All - MECs'!$B$14,'Annual Parameters'!$B$33:$W$143,3,FALSE)</f>
        <v>8.4899790483299338</v>
      </c>
      <c r="BK49" s="3520">
        <f>'All - MECs'!BK49*VLOOKUP($B$14,'Annual Parameters'!$B$33:$W$143,3,FALSE)/VLOOKUP('All - MECs'!$B$14,'Annual Parameters'!$B$33:$W$143,3,FALSE)</f>
        <v>32.87582176823485</v>
      </c>
      <c r="BL49" s="3544"/>
      <c r="BM49" s="3860"/>
      <c r="BN49" s="3493"/>
      <c r="BO49" s="3512" t="s">
        <v>1422</v>
      </c>
      <c r="BP49" s="3513">
        <f>'All - MECs'!BP49*VLOOKUP($B$14,'Annual Parameters'!$B$33:$W$143,3,FALSE)/VLOOKUP('All - MECs'!$B$14,'Annual Parameters'!$B$33:$W$143,3,FALSE)</f>
        <v>0.26165766828674941</v>
      </c>
      <c r="BQ49" s="3514">
        <f>'All - MECs'!BQ49*VLOOKUP($B$14,'Annual Parameters'!$B$33:$W$143,3,FALSE)/VLOOKUP('All - MECs'!$B$14,'Annual Parameters'!$B$33:$W$143,3,FALSE)</f>
        <v>172.99592241070653</v>
      </c>
      <c r="BR49" s="3515">
        <f>'All - MECs'!BR49*VLOOKUP($B$14,'Annual Parameters'!$B$33:$W$143,3,FALSE)/VLOOKUP('All - MECs'!$B$14,'Annual Parameters'!$B$33:$W$143,3,FALSE)</f>
        <v>114.74686066228215</v>
      </c>
      <c r="BS49" s="3513">
        <f>'All - MECs'!BS49*VLOOKUP($B$14,'Annual Parameters'!$B$33:$W$143,3,FALSE)/VLOOKUP('All - MECs'!$B$14,'Annual Parameters'!$B$33:$W$143,3,FALSE)</f>
        <v>4.1217080838304545</v>
      </c>
      <c r="BT49" s="3514">
        <f>'All - MECs'!BT49*VLOOKUP($B$14,'Annual Parameters'!$B$33:$W$143,3,FALSE)/VLOOKUP('All - MECs'!$B$14,'Annual Parameters'!$B$33:$W$143,3,FALSE)</f>
        <v>82.405245861252467</v>
      </c>
      <c r="BU49" s="3515">
        <f>'All - MECs'!BU49*VLOOKUP($B$14,'Annual Parameters'!$B$33:$W$143,3,FALSE)/VLOOKUP('All - MECs'!$B$14,'Annual Parameters'!$B$33:$W$143,3,FALSE)</f>
        <v>58.803383363749944</v>
      </c>
      <c r="BV49" s="3516">
        <f>'All - MECs'!BV49*VLOOKUP($B$14,'Annual Parameters'!$B$33:$W$143,3,FALSE)/VLOOKUP('All - MECs'!$B$14,'Annual Parameters'!$B$33:$W$143,3,FALSE)</f>
        <v>33.244297294004085</v>
      </c>
      <c r="BW49" s="3517">
        <f>'All - MECs'!BW49*VLOOKUP($B$14,'Annual Parameters'!$B$33:$W$143,3,FALSE)/VLOOKUP('All - MECs'!$B$14,'Annual Parameters'!$B$33:$W$143,3,FALSE)</f>
        <v>25.681140239522811</v>
      </c>
      <c r="BX49" s="3518">
        <f>'All - MECs'!BX49*VLOOKUP($B$14,'Annual Parameters'!$B$33:$W$143,3,FALSE)/VLOOKUP('All - MECs'!$B$14,'Annual Parameters'!$B$33:$W$143,3,FALSE)</f>
        <v>2.4301777081231135</v>
      </c>
      <c r="BY49" s="3519">
        <f>'All - MECs'!BY49*VLOOKUP($B$14,'Annual Parameters'!$B$33:$W$143,3,FALSE)/VLOOKUP('All - MECs'!$B$14,'Annual Parameters'!$B$33:$W$143,3,FALSE)</f>
        <v>5.5449148840714004</v>
      </c>
      <c r="BZ49" s="3517">
        <f>'All - MECs'!BZ49*VLOOKUP($B$14,'Annual Parameters'!$B$33:$W$143,3,FALSE)/VLOOKUP('All - MECs'!$B$14,'Annual Parameters'!$B$33:$W$143,3,FALSE)</f>
        <v>7.318947455456839</v>
      </c>
      <c r="CA49" s="3520">
        <f>'All - MECs'!CA49*VLOOKUP($B$14,'Annual Parameters'!$B$33:$W$143,3,FALSE)/VLOOKUP('All - MECs'!$B$14,'Annual Parameters'!$B$33:$W$143,3,FALSE)</f>
        <v>28.341225662271423</v>
      </c>
    </row>
    <row r="50" spans="1:95" ht="13.5" customHeight="1">
      <c r="A50" s="3521" t="s">
        <v>1095</v>
      </c>
      <c r="B50" s="3522"/>
      <c r="C50" s="3523" t="s">
        <v>1096</v>
      </c>
      <c r="D50" s="3524">
        <f>'All - MECs'!D50*VLOOKUP($B$14,'Annual Parameters'!$B$33:$W$143,3,FALSE)/VLOOKUP('All - MECs'!$B$14,'Annual Parameters'!$B$33:$W$143,3,FALSE)</f>
        <v>0</v>
      </c>
      <c r="E50" s="3525">
        <f>'All - MECs'!E50*VLOOKUP($B$14,'Annual Parameters'!$B$33:$W$143,3,FALSE)/VLOOKUP('All - MECs'!$B$14,'Annual Parameters'!$B$33:$W$143,3,FALSE)</f>
        <v>0.10771565467774159</v>
      </c>
      <c r="F50" s="3526">
        <f>'All - MECs'!F50*VLOOKUP($B$14,'Annual Parameters'!$B$33:$W$143,3,FALSE)/VLOOKUP('All - MECs'!$B$14,'Annual Parameters'!$B$33:$W$143,3,FALSE)</f>
        <v>0.10771565467774159</v>
      </c>
      <c r="G50" s="3524">
        <f>'All - MECs'!G50*VLOOKUP($B$14,'Annual Parameters'!$B$33:$W$143,3,FALSE)/VLOOKUP('All - MECs'!$B$14,'Annual Parameters'!$B$33:$W$143,3,FALSE)</f>
        <v>0</v>
      </c>
      <c r="H50" s="3525">
        <f>'All - MECs'!H50*VLOOKUP($B$14,'Annual Parameters'!$B$33:$W$143,3,FALSE)/VLOOKUP('All - MECs'!$B$14,'Annual Parameters'!$B$33:$W$143,3,FALSE)</f>
        <v>0.10771565467774159</v>
      </c>
      <c r="I50" s="3526">
        <f>'All - MECs'!I50*VLOOKUP($B$14,'Annual Parameters'!$B$33:$W$143,3,FALSE)/VLOOKUP('All - MECs'!$B$14,'Annual Parameters'!$B$33:$W$143,3,FALSE)</f>
        <v>0.10771565467774159</v>
      </c>
      <c r="J50" s="3527">
        <f>'All - MECs'!J50*VLOOKUP($B$14,'Annual Parameters'!$B$33:$W$143,3,FALSE)/VLOOKUP('All - MECs'!$B$14,'Annual Parameters'!$B$33:$W$143,3,FALSE)</f>
        <v>0.10771565467774159</v>
      </c>
      <c r="K50" s="3526">
        <f>'All - MECs'!K50*VLOOKUP($B$14,'Annual Parameters'!$B$33:$W$143,3,FALSE)/VLOOKUP('All - MECs'!$B$14,'Annual Parameters'!$B$33:$W$143,3,FALSE)</f>
        <v>0.10771565467774159</v>
      </c>
      <c r="L50" s="3527">
        <f>'All - MECs'!L50*VLOOKUP($B$14,'Annual Parameters'!$B$33:$W$143,3,FALSE)/VLOOKUP('All - MECs'!$B$14,'Annual Parameters'!$B$33:$W$143,3,FALSE)</f>
        <v>0</v>
      </c>
      <c r="M50" s="3528">
        <f>'All - MECs'!M50*VLOOKUP($B$14,'Annual Parameters'!$B$33:$W$143,3,FALSE)/VLOOKUP('All - MECs'!$B$14,'Annual Parameters'!$B$33:$W$143,3,FALSE)</f>
        <v>0.10771565467774159</v>
      </c>
      <c r="N50" s="3526">
        <f>'All - MECs'!N50*VLOOKUP($B$14,'Annual Parameters'!$B$33:$W$143,3,FALSE)/VLOOKUP('All - MECs'!$B$14,'Annual Parameters'!$B$33:$W$143,3,FALSE)</f>
        <v>0.10771565467774159</v>
      </c>
      <c r="O50" s="3529">
        <f>'All - MECs'!O50*VLOOKUP($B$14,'Annual Parameters'!$B$33:$W$143,3,FALSE)/VLOOKUP('All - MECs'!$B$14,'Annual Parameters'!$B$33:$W$143,3,FALSE)</f>
        <v>8.8468342638154243E-2</v>
      </c>
      <c r="P50" s="3544"/>
      <c r="Q50" s="3521" t="s">
        <v>1095</v>
      </c>
      <c r="R50" s="3522"/>
      <c r="S50" s="3523" t="s">
        <v>1096</v>
      </c>
      <c r="T50" s="3524">
        <f>'All - MECs'!T50*VLOOKUP($B$14,'Annual Parameters'!$B$33:$W$143,3,FALSE)/VLOOKUP('All - MECs'!$B$14,'Annual Parameters'!$B$33:$W$143,3,FALSE)</f>
        <v>0</v>
      </c>
      <c r="U50" s="3525">
        <f>'All - MECs'!U50*VLOOKUP($B$14,'Annual Parameters'!$B$33:$W$143,3,FALSE)/VLOOKUP('All - MECs'!$B$14,'Annual Parameters'!$B$33:$W$143,3,FALSE)</f>
        <v>0.10771565467774159</v>
      </c>
      <c r="V50" s="3526">
        <f>'All - MECs'!V50*VLOOKUP($B$14,'Annual Parameters'!$B$33:$W$143,3,FALSE)/VLOOKUP('All - MECs'!$B$14,'Annual Parameters'!$B$33:$W$143,3,FALSE)</f>
        <v>0.10771565467774159</v>
      </c>
      <c r="W50" s="3524">
        <f>'All - MECs'!W50*VLOOKUP($B$14,'Annual Parameters'!$B$33:$W$143,3,FALSE)/VLOOKUP('All - MECs'!$B$14,'Annual Parameters'!$B$33:$W$143,3,FALSE)</f>
        <v>0</v>
      </c>
      <c r="X50" s="3525">
        <f>'All - MECs'!X50*VLOOKUP($B$14,'Annual Parameters'!$B$33:$W$143,3,FALSE)/VLOOKUP('All - MECs'!$B$14,'Annual Parameters'!$B$33:$W$143,3,FALSE)</f>
        <v>0.10771565467774159</v>
      </c>
      <c r="Y50" s="3526">
        <f>'All - MECs'!Y50*VLOOKUP($B$14,'Annual Parameters'!$B$33:$W$143,3,FALSE)/VLOOKUP('All - MECs'!$B$14,'Annual Parameters'!$B$33:$W$143,3,FALSE)</f>
        <v>0.10771565467774159</v>
      </c>
      <c r="Z50" s="3527">
        <f>'All - MECs'!Z50*VLOOKUP($B$14,'Annual Parameters'!$B$33:$W$143,3,FALSE)/VLOOKUP('All - MECs'!$B$14,'Annual Parameters'!$B$33:$W$143,3,FALSE)</f>
        <v>0.10771565467774159</v>
      </c>
      <c r="AA50" s="3526">
        <f>'All - MECs'!AA50*VLOOKUP($B$14,'Annual Parameters'!$B$33:$W$143,3,FALSE)/VLOOKUP('All - MECs'!$B$14,'Annual Parameters'!$B$33:$W$143,3,FALSE)</f>
        <v>0.10771565467774159</v>
      </c>
      <c r="AB50" s="3527">
        <f>'All - MECs'!AB50*VLOOKUP($B$14,'Annual Parameters'!$B$33:$W$143,3,FALSE)/VLOOKUP('All - MECs'!$B$14,'Annual Parameters'!$B$33:$W$143,3,FALSE)</f>
        <v>0</v>
      </c>
      <c r="AC50" s="3528">
        <f>'All - MECs'!AC50*VLOOKUP($B$14,'Annual Parameters'!$B$33:$W$143,3,FALSE)/VLOOKUP('All - MECs'!$B$14,'Annual Parameters'!$B$33:$W$143,3,FALSE)</f>
        <v>0.10771565467774159</v>
      </c>
      <c r="AD50" s="3526">
        <f>'All - MECs'!AD50*VLOOKUP($B$14,'Annual Parameters'!$B$33:$W$143,3,FALSE)/VLOOKUP('All - MECs'!$B$14,'Annual Parameters'!$B$33:$W$143,3,FALSE)</f>
        <v>0.10771565467774159</v>
      </c>
      <c r="AE50" s="3529">
        <f>'All - MECs'!AE50*VLOOKUP($B$14,'Annual Parameters'!$B$33:$W$143,3,FALSE)/VLOOKUP('All - MECs'!$B$14,'Annual Parameters'!$B$33:$W$143,3,FALSE)</f>
        <v>8.8830618153804511E-2</v>
      </c>
      <c r="AF50" s="3544"/>
      <c r="AG50" s="3521" t="s">
        <v>1095</v>
      </c>
      <c r="AH50" s="3522"/>
      <c r="AI50" s="3523" t="s">
        <v>1096</v>
      </c>
      <c r="AJ50" s="3524">
        <f>'All - MECs'!AJ50*VLOOKUP($B$14,'Annual Parameters'!$B$33:$W$143,3,FALSE)/VLOOKUP('All - MECs'!$B$14,'Annual Parameters'!$B$33:$W$143,3,FALSE)</f>
        <v>0.96944089209967432</v>
      </c>
      <c r="AK50" s="3525">
        <f>'All - MECs'!AK50*VLOOKUP($B$14,'Annual Parameters'!$B$33:$W$143,3,FALSE)/VLOOKUP('All - MECs'!$B$14,'Annual Parameters'!$B$33:$W$143,3,FALSE)</f>
        <v>5.1703514245315958</v>
      </c>
      <c r="AL50" s="3526">
        <f>'All - MECs'!AL50*VLOOKUP($B$14,'Annual Parameters'!$B$33:$W$143,3,FALSE)/VLOOKUP('All - MECs'!$B$14,'Annual Parameters'!$B$33:$W$143,3,FALSE)</f>
        <v>21.65084659022606</v>
      </c>
      <c r="AM50" s="3524">
        <f>'All - MECs'!AM50*VLOOKUP($B$14,'Annual Parameters'!$B$33:$W$143,3,FALSE)/VLOOKUP('All - MECs'!$B$14,'Annual Parameters'!$B$33:$W$143,3,FALSE)</f>
        <v>0.96944089209967432</v>
      </c>
      <c r="AN50" s="3525">
        <f>'All - MECs'!AN50*VLOOKUP($B$14,'Annual Parameters'!$B$33:$W$143,3,FALSE)/VLOOKUP('All - MECs'!$B$14,'Annual Parameters'!$B$33:$W$143,3,FALSE)</f>
        <v>3.8777635683986973</v>
      </c>
      <c r="AO50" s="3526">
        <f>'All - MECs'!AO50*VLOOKUP($B$14,'Annual Parameters'!$B$33:$W$143,3,FALSE)/VLOOKUP('All - MECs'!$B$14,'Annual Parameters'!$B$33:$W$143,3,FALSE)</f>
        <v>21.65084659022606</v>
      </c>
      <c r="AP50" s="3527">
        <f>'All - MECs'!AP50*VLOOKUP($B$14,'Annual Parameters'!$B$33:$W$143,3,FALSE)/VLOOKUP('All - MECs'!$B$14,'Annual Parameters'!$B$33:$W$143,3,FALSE)</f>
        <v>3.7700479137209557</v>
      </c>
      <c r="AQ50" s="3526">
        <f>'All - MECs'!AQ50*VLOOKUP($B$14,'Annual Parameters'!$B$33:$W$143,3,FALSE)/VLOOKUP('All - MECs'!$B$14,'Annual Parameters'!$B$33:$W$143,3,FALSE)</f>
        <v>21.65084659022606</v>
      </c>
      <c r="AR50" s="3527">
        <f>'All - MECs'!AR50*VLOOKUP($B$14,'Annual Parameters'!$B$33:$W$143,3,FALSE)/VLOOKUP('All - MECs'!$B$14,'Annual Parameters'!$B$33:$W$143,3,FALSE)</f>
        <v>0.96944089209967432</v>
      </c>
      <c r="AS50" s="3528">
        <f>'All - MECs'!AS50*VLOOKUP($B$14,'Annual Parameters'!$B$33:$W$143,3,FALSE)/VLOOKUP('All - MECs'!$B$14,'Annual Parameters'!$B$33:$W$143,3,FALSE)</f>
        <v>3.2314696403322478</v>
      </c>
      <c r="AT50" s="3526">
        <f>'All - MECs'!AT50*VLOOKUP($B$14,'Annual Parameters'!$B$33:$W$143,3,FALSE)/VLOOKUP('All - MECs'!$B$14,'Annual Parameters'!$B$33:$W$143,3,FALSE)</f>
        <v>21.65084659022606</v>
      </c>
      <c r="AU50" s="3529">
        <f>'All - MECs'!AU50*VLOOKUP($B$14,'Annual Parameters'!$B$33:$W$143,3,FALSE)/VLOOKUP('All - MECs'!$B$14,'Annual Parameters'!$B$33:$W$143,3,FALSE)</f>
        <v>6.5684552234552704</v>
      </c>
      <c r="AV50" s="3544"/>
      <c r="AW50" s="3521" t="s">
        <v>1095</v>
      </c>
      <c r="AX50" s="3522"/>
      <c r="AY50" s="3523" t="s">
        <v>1096</v>
      </c>
      <c r="AZ50" s="3524">
        <f>'All - MECs'!AZ50*VLOOKUP($B$14,'Annual Parameters'!$B$33:$W$143,3,FALSE)/VLOOKUP('All - MECs'!$B$14,'Annual Parameters'!$B$33:$W$143,3,FALSE)</f>
        <v>3.8777635683986973</v>
      </c>
      <c r="BA50" s="3525">
        <f>'All - MECs'!BA50*VLOOKUP($B$14,'Annual Parameters'!$B$33:$W$143,3,FALSE)/VLOOKUP('All - MECs'!$B$14,'Annual Parameters'!$B$33:$W$143,3,FALSE)</f>
        <v>18.096229985860585</v>
      </c>
      <c r="BB50" s="3526">
        <f>'All - MECs'!BB50*VLOOKUP($B$14,'Annual Parameters'!$B$33:$W$143,3,FALSE)/VLOOKUP('All - MECs'!$B$14,'Annual Parameters'!$B$33:$W$143,3,FALSE)</f>
        <v>89.188562073170033</v>
      </c>
      <c r="BC50" s="3524">
        <f>'All - MECs'!BC50*VLOOKUP($B$14,'Annual Parameters'!$B$33:$W$143,3,FALSE)/VLOOKUP('All - MECs'!$B$14,'Annual Parameters'!$B$33:$W$143,3,FALSE)</f>
        <v>3.8777635683986973</v>
      </c>
      <c r="BD50" s="3525">
        <f>'All - MECs'!BD50*VLOOKUP($B$14,'Annual Parameters'!$B$33:$W$143,3,FALSE)/VLOOKUP('All - MECs'!$B$14,'Annual Parameters'!$B$33:$W$143,3,FALSE)</f>
        <v>13.67988814407318</v>
      </c>
      <c r="BE50" s="3526">
        <f>'All - MECs'!BE50*VLOOKUP($B$14,'Annual Parameters'!$B$33:$W$143,3,FALSE)/VLOOKUP('All - MECs'!$B$14,'Annual Parameters'!$B$33:$W$143,3,FALSE)</f>
        <v>89.188562073170033</v>
      </c>
      <c r="BF50" s="3527">
        <f>'All - MECs'!BF50*VLOOKUP($B$14,'Annual Parameters'!$B$33:$W$143,3,FALSE)/VLOOKUP('All - MECs'!$B$14,'Annual Parameters'!$B$33:$W$143,3,FALSE)</f>
        <v>13.464456834717698</v>
      </c>
      <c r="BG50" s="3526">
        <f>'All - MECs'!BG50*VLOOKUP($B$14,'Annual Parameters'!$B$33:$W$143,3,FALSE)/VLOOKUP('All - MECs'!$B$14,'Annual Parameters'!$B$33:$W$143,3,FALSE)</f>
        <v>89.188562073170033</v>
      </c>
      <c r="BH50" s="3527">
        <f>'All - MECs'!BH50*VLOOKUP($B$14,'Annual Parameters'!$B$33:$W$143,3,FALSE)/VLOOKUP('All - MECs'!$B$14,'Annual Parameters'!$B$33:$W$143,3,FALSE)</f>
        <v>3.8777635683986973</v>
      </c>
      <c r="BI50" s="3528">
        <f>'All - MECs'!BI50*VLOOKUP($B$14,'Annual Parameters'!$B$33:$W$143,3,FALSE)/VLOOKUP('All - MECs'!$B$14,'Annual Parameters'!$B$33:$W$143,3,FALSE)</f>
        <v>11.741006359873834</v>
      </c>
      <c r="BJ50" s="3526">
        <f>'All - MECs'!BJ50*VLOOKUP($B$14,'Annual Parameters'!$B$33:$W$143,3,FALSE)/VLOOKUP('All - MECs'!$B$14,'Annual Parameters'!$B$33:$W$143,3,FALSE)</f>
        <v>89.188562073170033</v>
      </c>
      <c r="BK50" s="3529">
        <f>'All - MECs'!BK50*VLOOKUP($B$14,'Annual Parameters'!$B$33:$W$143,3,FALSE)/VLOOKUP('All - MECs'!$B$14,'Annual Parameters'!$B$33:$W$143,3,FALSE)</f>
        <v>9.4397296279093332</v>
      </c>
      <c r="BL50" s="3544"/>
      <c r="BM50" s="3521" t="s">
        <v>1095</v>
      </c>
      <c r="BN50" s="3522"/>
      <c r="BO50" s="3523" t="s">
        <v>1096</v>
      </c>
      <c r="BP50" s="3524">
        <f>'All - MECs'!BP50*VLOOKUP($B$14,'Annual Parameters'!$B$33:$W$143,3,FALSE)/VLOOKUP('All - MECs'!$B$14,'Annual Parameters'!$B$33:$W$143,3,FALSE)</f>
        <v>0</v>
      </c>
      <c r="BQ50" s="3525">
        <f>'All - MECs'!BQ50*VLOOKUP($B$14,'Annual Parameters'!$B$33:$W$143,3,FALSE)/VLOOKUP('All - MECs'!$B$14,'Annual Parameters'!$B$33:$W$143,3,FALSE)</f>
        <v>0</v>
      </c>
      <c r="BR50" s="3526">
        <f>'All - MECs'!BR50*VLOOKUP($B$14,'Annual Parameters'!$B$33:$W$143,3,FALSE)/VLOOKUP('All - MECs'!$B$14,'Annual Parameters'!$B$33:$W$143,3,FALSE)</f>
        <v>0</v>
      </c>
      <c r="BS50" s="3524">
        <f>'All - MECs'!BS50*VLOOKUP($B$14,'Annual Parameters'!$B$33:$W$143,3,FALSE)/VLOOKUP('All - MECs'!$B$14,'Annual Parameters'!$B$33:$W$143,3,FALSE)</f>
        <v>0</v>
      </c>
      <c r="BT50" s="3525">
        <f>'All - MECs'!BT50*VLOOKUP($B$14,'Annual Parameters'!$B$33:$W$143,3,FALSE)/VLOOKUP('All - MECs'!$B$14,'Annual Parameters'!$B$33:$W$143,3,FALSE)</f>
        <v>0</v>
      </c>
      <c r="BU50" s="3526">
        <f>'All - MECs'!BU50*VLOOKUP($B$14,'Annual Parameters'!$B$33:$W$143,3,FALSE)/VLOOKUP('All - MECs'!$B$14,'Annual Parameters'!$B$33:$W$143,3,FALSE)</f>
        <v>0</v>
      </c>
      <c r="BV50" s="3527">
        <f>'All - MECs'!BV50*VLOOKUP($B$14,'Annual Parameters'!$B$33:$W$143,3,FALSE)/VLOOKUP('All - MECs'!$B$14,'Annual Parameters'!$B$33:$W$143,3,FALSE)</f>
        <v>0</v>
      </c>
      <c r="BW50" s="3526">
        <f>'All - MECs'!BW50*VLOOKUP($B$14,'Annual Parameters'!$B$33:$W$143,3,FALSE)/VLOOKUP('All - MECs'!$B$14,'Annual Parameters'!$B$33:$W$143,3,FALSE)</f>
        <v>0</v>
      </c>
      <c r="BX50" s="3527">
        <f>'All - MECs'!BX50*VLOOKUP($B$14,'Annual Parameters'!$B$33:$W$143,3,FALSE)/VLOOKUP('All - MECs'!$B$14,'Annual Parameters'!$B$33:$W$143,3,FALSE)</f>
        <v>0</v>
      </c>
      <c r="BY50" s="3528">
        <f>'All - MECs'!BY50*VLOOKUP($B$14,'Annual Parameters'!$B$33:$W$143,3,FALSE)/VLOOKUP('All - MECs'!$B$14,'Annual Parameters'!$B$33:$W$143,3,FALSE)</f>
        <v>0</v>
      </c>
      <c r="BZ50" s="3526">
        <f>'All - MECs'!BZ50*VLOOKUP($B$14,'Annual Parameters'!$B$33:$W$143,3,FALSE)/VLOOKUP('All - MECs'!$B$14,'Annual Parameters'!$B$33:$W$143,3,FALSE)</f>
        <v>0</v>
      </c>
      <c r="CA50" s="3529">
        <f>'All - MECs'!CA50*VLOOKUP($B$14,'Annual Parameters'!$B$33:$W$143,3,FALSE)/VLOOKUP('All - MECs'!$B$14,'Annual Parameters'!$B$33:$W$143,3,FALSE)</f>
        <v>0</v>
      </c>
    </row>
    <row r="51" spans="1:95" ht="13.5" customHeight="1">
      <c r="A51" s="3521" t="s">
        <v>477</v>
      </c>
      <c r="B51" s="3522"/>
      <c r="C51" s="3530" t="s">
        <v>1096</v>
      </c>
      <c r="D51" s="3531">
        <f>'All - MECs'!D51*VLOOKUP($B$14,'Annual Parameters'!$B$33:$W$143,3,FALSE)/VLOOKUP('All - MECs'!$B$14,'Annual Parameters'!$B$33:$W$143,3,FALSE)</f>
        <v>0</v>
      </c>
      <c r="E51" s="3532">
        <f>'All - MECs'!E51*VLOOKUP($B$14,'Annual Parameters'!$B$33:$W$143,3,FALSE)/VLOOKUP('All - MECs'!$B$14,'Annual Parameters'!$B$33:$W$143,3,FALSE)</f>
        <v>3.4534551216296858</v>
      </c>
      <c r="F51" s="3533">
        <f>'All - MECs'!F51*VLOOKUP($B$14,'Annual Parameters'!$B$33:$W$143,3,FALSE)/VLOOKUP('All - MECs'!$B$14,'Annual Parameters'!$B$33:$W$143,3,FALSE)</f>
        <v>3.4534551216296858</v>
      </c>
      <c r="G51" s="3531">
        <f>'All - MECs'!G51*VLOOKUP($B$14,'Annual Parameters'!$B$33:$W$143,3,FALSE)/VLOOKUP('All - MECs'!$B$14,'Annual Parameters'!$B$33:$W$143,3,FALSE)</f>
        <v>0</v>
      </c>
      <c r="H51" s="3532">
        <f>'All - MECs'!H51*VLOOKUP($B$14,'Annual Parameters'!$B$33:$W$143,3,FALSE)/VLOOKUP('All - MECs'!$B$14,'Annual Parameters'!$B$33:$W$143,3,FALSE)</f>
        <v>3.4534551216296858</v>
      </c>
      <c r="I51" s="3534">
        <f>'All - MECs'!I51*VLOOKUP($B$14,'Annual Parameters'!$B$33:$W$143,3,FALSE)/VLOOKUP('All - MECs'!$B$14,'Annual Parameters'!$B$33:$W$143,3,FALSE)</f>
        <v>3.4534551216296858</v>
      </c>
      <c r="J51" s="3535">
        <f>'All - MECs'!J51*VLOOKUP($B$14,'Annual Parameters'!$B$33:$W$143,3,FALSE)/VLOOKUP('All - MECs'!$B$14,'Annual Parameters'!$B$33:$W$143,3,FALSE)</f>
        <v>3.4534551216296858</v>
      </c>
      <c r="K51" s="3533">
        <f>'All - MECs'!K51*VLOOKUP($B$14,'Annual Parameters'!$B$33:$W$143,3,FALSE)/VLOOKUP('All - MECs'!$B$14,'Annual Parameters'!$B$33:$W$143,3,FALSE)</f>
        <v>3.4534551216296858</v>
      </c>
      <c r="L51" s="3535">
        <f>'All - MECs'!L51*VLOOKUP($B$14,'Annual Parameters'!$B$33:$W$143,3,FALSE)/VLOOKUP('All - MECs'!$B$14,'Annual Parameters'!$B$33:$W$143,3,FALSE)</f>
        <v>0</v>
      </c>
      <c r="M51" s="3536">
        <f>'All - MECs'!M51*VLOOKUP($B$14,'Annual Parameters'!$B$33:$W$143,3,FALSE)/VLOOKUP('All - MECs'!$B$14,'Annual Parameters'!$B$33:$W$143,3,FALSE)</f>
        <v>0.80580619504692663</v>
      </c>
      <c r="N51" s="3533">
        <f>'All - MECs'!N51*VLOOKUP($B$14,'Annual Parameters'!$B$33:$W$143,3,FALSE)/VLOOKUP('All - MECs'!$B$14,'Annual Parameters'!$B$33:$W$143,3,FALSE)</f>
        <v>0.80580619504692663</v>
      </c>
      <c r="O51" s="3502">
        <f>'All - MECs'!O51*VLOOKUP($B$14,'Annual Parameters'!$B$33:$W$143,3,FALSE)/VLOOKUP('All - MECs'!$B$14,'Annual Parameters'!$B$33:$W$143,3,FALSE)</f>
        <v>1.8612122781192506</v>
      </c>
      <c r="P51" s="3544"/>
      <c r="Q51" s="3521" t="s">
        <v>477</v>
      </c>
      <c r="R51" s="3522"/>
      <c r="S51" s="3530" t="s">
        <v>1096</v>
      </c>
      <c r="T51" s="3531">
        <f>'All - MECs'!T51*VLOOKUP($B$14,'Annual Parameters'!$B$33:$W$143,3,FALSE)/VLOOKUP('All - MECs'!$B$14,'Annual Parameters'!$B$33:$W$143,3,FALSE)</f>
        <v>0</v>
      </c>
      <c r="U51" s="3532">
        <f>'All - MECs'!U51*VLOOKUP($B$14,'Annual Parameters'!$B$33:$W$143,3,FALSE)/VLOOKUP('All - MECs'!$B$14,'Annual Parameters'!$B$33:$W$143,3,FALSE)</f>
        <v>3.4534551216296858</v>
      </c>
      <c r="V51" s="3533">
        <f>'All - MECs'!V51*VLOOKUP($B$14,'Annual Parameters'!$B$33:$W$143,3,FALSE)/VLOOKUP('All - MECs'!$B$14,'Annual Parameters'!$B$33:$W$143,3,FALSE)</f>
        <v>3.4534551216296858</v>
      </c>
      <c r="W51" s="3531">
        <f>'All - MECs'!W51*VLOOKUP($B$14,'Annual Parameters'!$B$33:$W$143,3,FALSE)/VLOOKUP('All - MECs'!$B$14,'Annual Parameters'!$B$33:$W$143,3,FALSE)</f>
        <v>0</v>
      </c>
      <c r="X51" s="3532">
        <f>'All - MECs'!X51*VLOOKUP($B$14,'Annual Parameters'!$B$33:$W$143,3,FALSE)/VLOOKUP('All - MECs'!$B$14,'Annual Parameters'!$B$33:$W$143,3,FALSE)</f>
        <v>3.4534551216296858</v>
      </c>
      <c r="Y51" s="3534">
        <f>'All - MECs'!Y51*VLOOKUP($B$14,'Annual Parameters'!$B$33:$W$143,3,FALSE)/VLOOKUP('All - MECs'!$B$14,'Annual Parameters'!$B$33:$W$143,3,FALSE)</f>
        <v>3.4534551216296858</v>
      </c>
      <c r="Z51" s="3535">
        <f>'All - MECs'!Z51*VLOOKUP($B$14,'Annual Parameters'!$B$33:$W$143,3,FALSE)/VLOOKUP('All - MECs'!$B$14,'Annual Parameters'!$B$33:$W$143,3,FALSE)</f>
        <v>3.4534551216296858</v>
      </c>
      <c r="AA51" s="3533">
        <f>'All - MECs'!AA51*VLOOKUP($B$14,'Annual Parameters'!$B$33:$W$143,3,FALSE)/VLOOKUP('All - MECs'!$B$14,'Annual Parameters'!$B$33:$W$143,3,FALSE)</f>
        <v>3.4534551216296858</v>
      </c>
      <c r="AB51" s="3535">
        <f>'All - MECs'!AB51*VLOOKUP($B$14,'Annual Parameters'!$B$33:$W$143,3,FALSE)/VLOOKUP('All - MECs'!$B$14,'Annual Parameters'!$B$33:$W$143,3,FALSE)</f>
        <v>0</v>
      </c>
      <c r="AC51" s="3536">
        <f>'All - MECs'!AC51*VLOOKUP($B$14,'Annual Parameters'!$B$33:$W$143,3,FALSE)/VLOOKUP('All - MECs'!$B$14,'Annual Parameters'!$B$33:$W$143,3,FALSE)</f>
        <v>0.80580619504692663</v>
      </c>
      <c r="AD51" s="3533">
        <f>'All - MECs'!AD51*VLOOKUP($B$14,'Annual Parameters'!$B$33:$W$143,3,FALSE)/VLOOKUP('All - MECs'!$B$14,'Annual Parameters'!$B$33:$W$143,3,FALSE)</f>
        <v>0.80580619504692663</v>
      </c>
      <c r="AE51" s="3502">
        <f>'All - MECs'!AE51*VLOOKUP($B$14,'Annual Parameters'!$B$33:$W$143,3,FALSE)/VLOOKUP('All - MECs'!$B$14,'Annual Parameters'!$B$33:$W$143,3,FALSE)</f>
        <v>1.7954512491847685</v>
      </c>
      <c r="AF51" s="3544"/>
      <c r="AG51" s="3521" t="s">
        <v>477</v>
      </c>
      <c r="AH51" s="3522"/>
      <c r="AI51" s="3530" t="s">
        <v>1096</v>
      </c>
      <c r="AJ51" s="3531">
        <f>'All - MECs'!AJ51*VLOOKUP($B$14,'Annual Parameters'!$B$33:$W$143,3,FALSE)/VLOOKUP('All - MECs'!$B$14,'Annual Parameters'!$B$33:$W$143,3,FALSE)</f>
        <v>0.3453455121629686</v>
      </c>
      <c r="AK51" s="3532">
        <f>'All - MECs'!AK51*VLOOKUP($B$14,'Annual Parameters'!$B$33:$W$143,3,FALSE)/VLOOKUP('All - MECs'!$B$14,'Annual Parameters'!$B$33:$W$143,3,FALSE)</f>
        <v>3.6836854630716651</v>
      </c>
      <c r="AL51" s="3533">
        <f>'All - MECs'!AL51*VLOOKUP($B$14,'Annual Parameters'!$B$33:$W$143,3,FALSE)/VLOOKUP('All - MECs'!$B$14,'Annual Parameters'!$B$33:$W$143,3,FALSE)</f>
        <v>3.6836854630716651</v>
      </c>
      <c r="AM51" s="3531">
        <f>'All - MECs'!AM51*VLOOKUP($B$14,'Annual Parameters'!$B$33:$W$143,3,FALSE)/VLOOKUP('All - MECs'!$B$14,'Annual Parameters'!$B$33:$W$143,3,FALSE)</f>
        <v>0.3453455121629686</v>
      </c>
      <c r="AN51" s="3532">
        <f>'All - MECs'!AN51*VLOOKUP($B$14,'Annual Parameters'!$B$33:$W$143,3,FALSE)/VLOOKUP('All - MECs'!$B$14,'Annual Parameters'!$B$33:$W$143,3,FALSE)</f>
        <v>3.6836854630716651</v>
      </c>
      <c r="AO51" s="3534">
        <f>'All - MECs'!AO51*VLOOKUP($B$14,'Annual Parameters'!$B$33:$W$143,3,FALSE)/VLOOKUP('All - MECs'!$B$14,'Annual Parameters'!$B$33:$W$143,3,FALSE)</f>
        <v>3.6836854630716651</v>
      </c>
      <c r="AP51" s="3535">
        <f>'All - MECs'!AP51*VLOOKUP($B$14,'Annual Parameters'!$B$33:$W$143,3,FALSE)/VLOOKUP('All - MECs'!$B$14,'Annual Parameters'!$B$33:$W$143,3,FALSE)</f>
        <v>3.6836854630716651</v>
      </c>
      <c r="AQ51" s="3533">
        <f>'All - MECs'!AQ51*VLOOKUP($B$14,'Annual Parameters'!$B$33:$W$143,3,FALSE)/VLOOKUP('All - MECs'!$B$14,'Annual Parameters'!$B$33:$W$143,3,FALSE)</f>
        <v>3.6836854630716651</v>
      </c>
      <c r="AR51" s="3535">
        <f>'All - MECs'!AR51*VLOOKUP($B$14,'Annual Parameters'!$B$33:$W$143,3,FALSE)/VLOOKUP('All - MECs'!$B$14,'Annual Parameters'!$B$33:$W$143,3,FALSE)</f>
        <v>0.3453455121629686</v>
      </c>
      <c r="AS51" s="3536">
        <f>'All - MECs'!AS51*VLOOKUP($B$14,'Annual Parameters'!$B$33:$W$143,3,FALSE)/VLOOKUP('All - MECs'!$B$14,'Annual Parameters'!$B$33:$W$143,3,FALSE)</f>
        <v>3.913915804513644</v>
      </c>
      <c r="AT51" s="3533">
        <f>'All - MECs'!AT51*VLOOKUP($B$14,'Annual Parameters'!$B$33:$W$143,3,FALSE)/VLOOKUP('All - MECs'!$B$14,'Annual Parameters'!$B$33:$W$143,3,FALSE)</f>
        <v>3.913915804513644</v>
      </c>
      <c r="AU51" s="3502">
        <f>'All - MECs'!AU51*VLOOKUP($B$14,'Annual Parameters'!$B$33:$W$143,3,FALSE)/VLOOKUP('All - MECs'!$B$14,'Annual Parameters'!$B$33:$W$143,3,FALSE)</f>
        <v>2.7685770951401611</v>
      </c>
      <c r="AV51" s="3544"/>
      <c r="AW51" s="3521" t="s">
        <v>477</v>
      </c>
      <c r="AX51" s="3522"/>
      <c r="AY51" s="3530" t="s">
        <v>1096</v>
      </c>
      <c r="AZ51" s="3531">
        <f>'All - MECs'!AZ51*VLOOKUP($B$14,'Annual Parameters'!$B$33:$W$143,3,FALSE)/VLOOKUP('All - MECs'!$B$14,'Annual Parameters'!$B$33:$W$143,3,FALSE)</f>
        <v>0.3453455121629686</v>
      </c>
      <c r="BA51" s="3532">
        <f>'All - MECs'!BA51*VLOOKUP($B$14,'Annual Parameters'!$B$33:$W$143,3,FALSE)/VLOOKUP('All - MECs'!$B$14,'Annual Parameters'!$B$33:$W$143,3,FALSE)</f>
        <v>3.6836854630716651</v>
      </c>
      <c r="BB51" s="3533">
        <f>'All - MECs'!BB51*VLOOKUP($B$14,'Annual Parameters'!$B$33:$W$143,3,FALSE)/VLOOKUP('All - MECs'!$B$14,'Annual Parameters'!$B$33:$W$143,3,FALSE)</f>
        <v>3.6836854630716651</v>
      </c>
      <c r="BC51" s="3531">
        <f>'All - MECs'!BC51*VLOOKUP($B$14,'Annual Parameters'!$B$33:$W$143,3,FALSE)/VLOOKUP('All - MECs'!$B$14,'Annual Parameters'!$B$33:$W$143,3,FALSE)</f>
        <v>0.3453455121629686</v>
      </c>
      <c r="BD51" s="3532">
        <f>'All - MECs'!BD51*VLOOKUP($B$14,'Annual Parameters'!$B$33:$W$143,3,FALSE)/VLOOKUP('All - MECs'!$B$14,'Annual Parameters'!$B$33:$W$143,3,FALSE)</f>
        <v>3.6836854630716651</v>
      </c>
      <c r="BE51" s="3534">
        <f>'All - MECs'!BE51*VLOOKUP($B$14,'Annual Parameters'!$B$33:$W$143,3,FALSE)/VLOOKUP('All - MECs'!$B$14,'Annual Parameters'!$B$33:$W$143,3,FALSE)</f>
        <v>3.6836854630716651</v>
      </c>
      <c r="BF51" s="3535">
        <f>'All - MECs'!BF51*VLOOKUP($B$14,'Annual Parameters'!$B$33:$W$143,3,FALSE)/VLOOKUP('All - MECs'!$B$14,'Annual Parameters'!$B$33:$W$143,3,FALSE)</f>
        <v>3.6836854630716651</v>
      </c>
      <c r="BG51" s="3533">
        <f>'All - MECs'!BG51*VLOOKUP($B$14,'Annual Parameters'!$B$33:$W$143,3,FALSE)/VLOOKUP('All - MECs'!$B$14,'Annual Parameters'!$B$33:$W$143,3,FALSE)</f>
        <v>3.6836854630716651</v>
      </c>
      <c r="BH51" s="3535">
        <f>'All - MECs'!BH51*VLOOKUP($B$14,'Annual Parameters'!$B$33:$W$143,3,FALSE)/VLOOKUP('All - MECs'!$B$14,'Annual Parameters'!$B$33:$W$143,3,FALSE)</f>
        <v>0.3453455121629686</v>
      </c>
      <c r="BI51" s="3536">
        <f>'All - MECs'!BI51*VLOOKUP($B$14,'Annual Parameters'!$B$33:$W$143,3,FALSE)/VLOOKUP('All - MECs'!$B$14,'Annual Parameters'!$B$33:$W$143,3,FALSE)</f>
        <v>3.913915804513644</v>
      </c>
      <c r="BJ51" s="3533">
        <f>'All - MECs'!BJ51*VLOOKUP($B$14,'Annual Parameters'!$B$33:$W$143,3,FALSE)/VLOOKUP('All - MECs'!$B$14,'Annual Parameters'!$B$33:$W$143,3,FALSE)</f>
        <v>3.913915804513644</v>
      </c>
      <c r="BK51" s="3502">
        <f>'All - MECs'!BK51*VLOOKUP($B$14,'Annual Parameters'!$B$33:$W$143,3,FALSE)/VLOOKUP('All - MECs'!$B$14,'Annual Parameters'!$B$33:$W$143,3,FALSE)</f>
        <v>1.9018007889074113</v>
      </c>
      <c r="BL51" s="3544"/>
      <c r="BM51" s="3521" t="s">
        <v>477</v>
      </c>
      <c r="BN51" s="3522"/>
      <c r="BO51" s="3530" t="s">
        <v>1096</v>
      </c>
      <c r="BP51" s="3531">
        <f>'All - MECs'!BP51*VLOOKUP($B$14,'Annual Parameters'!$B$33:$W$143,3,FALSE)/VLOOKUP('All - MECs'!$B$14,'Annual Parameters'!$B$33:$W$143,3,FALSE)</f>
        <v>0</v>
      </c>
      <c r="BQ51" s="3532">
        <f>'All - MECs'!BQ51*VLOOKUP($B$14,'Annual Parameters'!$B$33:$W$143,3,FALSE)/VLOOKUP('All - MECs'!$B$14,'Annual Parameters'!$B$33:$W$143,3,FALSE)</f>
        <v>0</v>
      </c>
      <c r="BR51" s="3533">
        <f>'All - MECs'!BR51*VLOOKUP($B$14,'Annual Parameters'!$B$33:$W$143,3,FALSE)/VLOOKUP('All - MECs'!$B$14,'Annual Parameters'!$B$33:$W$143,3,FALSE)</f>
        <v>0</v>
      </c>
      <c r="BS51" s="3531">
        <f>'All - MECs'!BS51*VLOOKUP($B$14,'Annual Parameters'!$B$33:$W$143,3,FALSE)/VLOOKUP('All - MECs'!$B$14,'Annual Parameters'!$B$33:$W$143,3,FALSE)</f>
        <v>0</v>
      </c>
      <c r="BT51" s="3532">
        <f>'All - MECs'!BT51*VLOOKUP($B$14,'Annual Parameters'!$B$33:$W$143,3,FALSE)/VLOOKUP('All - MECs'!$B$14,'Annual Parameters'!$B$33:$W$143,3,FALSE)</f>
        <v>0</v>
      </c>
      <c r="BU51" s="3534">
        <f>'All - MECs'!BU51*VLOOKUP($B$14,'Annual Parameters'!$B$33:$W$143,3,FALSE)/VLOOKUP('All - MECs'!$B$14,'Annual Parameters'!$B$33:$W$143,3,FALSE)</f>
        <v>0</v>
      </c>
      <c r="BV51" s="3535">
        <f>'All - MECs'!BV51*VLOOKUP($B$14,'Annual Parameters'!$B$33:$W$143,3,FALSE)/VLOOKUP('All - MECs'!$B$14,'Annual Parameters'!$B$33:$W$143,3,FALSE)</f>
        <v>0</v>
      </c>
      <c r="BW51" s="3533">
        <f>'All - MECs'!BW51*VLOOKUP($B$14,'Annual Parameters'!$B$33:$W$143,3,FALSE)/VLOOKUP('All - MECs'!$B$14,'Annual Parameters'!$B$33:$W$143,3,FALSE)</f>
        <v>0</v>
      </c>
      <c r="BX51" s="3535">
        <f>'All - MECs'!BX51*VLOOKUP($B$14,'Annual Parameters'!$B$33:$W$143,3,FALSE)/VLOOKUP('All - MECs'!$B$14,'Annual Parameters'!$B$33:$W$143,3,FALSE)</f>
        <v>0</v>
      </c>
      <c r="BY51" s="3536">
        <f>'All - MECs'!BY51*VLOOKUP($B$14,'Annual Parameters'!$B$33:$W$143,3,FALSE)/VLOOKUP('All - MECs'!$B$14,'Annual Parameters'!$B$33:$W$143,3,FALSE)</f>
        <v>0</v>
      </c>
      <c r="BZ51" s="3533">
        <f>'All - MECs'!BZ51*VLOOKUP($B$14,'Annual Parameters'!$B$33:$W$143,3,FALSE)/VLOOKUP('All - MECs'!$B$14,'Annual Parameters'!$B$33:$W$143,3,FALSE)</f>
        <v>0</v>
      </c>
      <c r="CA51" s="3502">
        <f>'All - MECs'!CA51*VLOOKUP($B$14,'Annual Parameters'!$B$33:$W$143,3,FALSE)/VLOOKUP('All - MECs'!$B$14,'Annual Parameters'!$B$33:$W$143,3,FALSE)</f>
        <v>0</v>
      </c>
    </row>
    <row r="52" spans="1:95" ht="13.5" customHeight="1">
      <c r="A52" s="3521" t="s">
        <v>1097</v>
      </c>
      <c r="B52" s="3522"/>
      <c r="C52" s="3530" t="s">
        <v>1096</v>
      </c>
      <c r="D52" s="3535">
        <f>'All - MECs'!D52*VLOOKUP($B$14,'Annual Parameters'!$B$33:$W$143,3,FALSE)/VLOOKUP('All - MECs'!$B$14,'Annual Parameters'!$B$33:$W$143,3,FALSE)</f>
        <v>1.0274001735814979</v>
      </c>
      <c r="E52" s="3532">
        <f>'All - MECs'!E52*VLOOKUP($B$14,'Annual Parameters'!$B$33:$W$143,3,FALSE)/VLOOKUP('All - MECs'!$B$14,'Annual Parameters'!$B$33:$W$143,3,FALSE)</f>
        <v>1.0056979829334107</v>
      </c>
      <c r="F52" s="3537">
        <f>'All - MECs'!F52*VLOOKUP($B$14,'Annual Parameters'!$B$33:$W$143,3,FALSE)/VLOOKUP('All - MECs'!$B$14,'Annual Parameters'!$B$33:$W$143,3,FALSE)</f>
        <v>1.3187340332036572</v>
      </c>
      <c r="G52" s="3531">
        <f>'All - MECs'!G52*VLOOKUP($B$14,'Annual Parameters'!$B$33:$W$143,3,FALSE)/VLOOKUP('All - MECs'!$B$14,'Annual Parameters'!$B$33:$W$143,3,FALSE)</f>
        <v>0.43343433980877044</v>
      </c>
      <c r="H52" s="3532">
        <f>'All - MECs'!H52*VLOOKUP($B$14,'Annual Parameters'!$B$33:$W$143,3,FALSE)/VLOOKUP('All - MECs'!$B$14,'Annual Parameters'!$B$33:$W$143,3,FALSE)</f>
        <v>0.36997109682827461</v>
      </c>
      <c r="I52" s="3537">
        <f>'All - MECs'!I52*VLOOKUP($B$14,'Annual Parameters'!$B$33:$W$143,3,FALSE)/VLOOKUP('All - MECs'!$B$14,'Annual Parameters'!$B$33:$W$143,3,FALSE)</f>
        <v>0.39760215551179956</v>
      </c>
      <c r="J52" s="3531">
        <f>'All - MECs'!J52*VLOOKUP($B$14,'Annual Parameters'!$B$33:$W$143,3,FALSE)/VLOOKUP('All - MECs'!$B$14,'Annual Parameters'!$B$33:$W$143,3,FALSE)</f>
        <v>0.26889125518204049</v>
      </c>
      <c r="K52" s="3537">
        <f>'All - MECs'!K52*VLOOKUP($B$14,'Annual Parameters'!$B$33:$W$143,3,FALSE)/VLOOKUP('All - MECs'!$B$14,'Annual Parameters'!$B$33:$W$143,3,FALSE)</f>
        <v>0.2873942777456196</v>
      </c>
      <c r="L52" s="3531">
        <f>'All - MECs'!L52*VLOOKUP($B$14,'Annual Parameters'!$B$33:$W$143,3,FALSE)/VLOOKUP('All - MECs'!$B$14,'Annual Parameters'!$B$33:$W$143,3,FALSE)</f>
        <v>0.12918730171530218</v>
      </c>
      <c r="M52" s="3538">
        <f>'All - MECs'!M52*VLOOKUP($B$14,'Annual Parameters'!$B$33:$W$143,3,FALSE)/VLOOKUP('All - MECs'!$B$14,'Annual Parameters'!$B$33:$W$143,3,FALSE)</f>
        <v>0.10286910855525883</v>
      </c>
      <c r="N52" s="3534">
        <f>'All - MECs'!N52*VLOOKUP($B$14,'Annual Parameters'!$B$33:$W$143,3,FALSE)/VLOOKUP('All - MECs'!$B$14,'Annual Parameters'!$B$33:$W$143,3,FALSE)</f>
        <v>9.1673769487344112E-2</v>
      </c>
      <c r="O52" s="3539">
        <f>'All - MECs'!O52*VLOOKUP($B$14,'Annual Parameters'!$B$33:$W$143,3,FALSE)/VLOOKUP('All - MECs'!$B$14,'Annual Parameters'!$B$33:$W$143,3,FALSE)</f>
        <v>0.26698321015614523</v>
      </c>
      <c r="P52" s="3544"/>
      <c r="Q52" s="3521" t="s">
        <v>1097</v>
      </c>
      <c r="R52" s="3522"/>
      <c r="S52" s="3530" t="s">
        <v>1096</v>
      </c>
      <c r="T52" s="3535">
        <f>'All - MECs'!T52*VLOOKUP($B$14,'Annual Parameters'!$B$33:$W$143,3,FALSE)/VLOOKUP('All - MECs'!$B$14,'Annual Parameters'!$B$33:$W$143,3,FALSE)</f>
        <v>2.4341765750066151</v>
      </c>
      <c r="U52" s="3532">
        <f>'All - MECs'!U52*VLOOKUP($B$14,'Annual Parameters'!$B$33:$W$143,3,FALSE)/VLOOKUP('All - MECs'!$B$14,'Annual Parameters'!$B$33:$W$143,3,FALSE)</f>
        <v>2.1755359307316233</v>
      </c>
      <c r="V52" s="3537">
        <f>'All - MECs'!V52*VLOOKUP($B$14,'Annual Parameters'!$B$33:$W$143,3,FALSE)/VLOOKUP('All - MECs'!$B$14,'Annual Parameters'!$B$33:$W$143,3,FALSE)</f>
        <v>3.0052138259214871</v>
      </c>
      <c r="W52" s="3531">
        <f>'All - MECs'!W52*VLOOKUP($B$14,'Annual Parameters'!$B$33:$W$143,3,FALSE)/VLOOKUP('All - MECs'!$B$14,'Annual Parameters'!$B$33:$W$143,3,FALSE)</f>
        <v>1.0330509974245241</v>
      </c>
      <c r="X52" s="3532">
        <f>'All - MECs'!X52*VLOOKUP($B$14,'Annual Parameters'!$B$33:$W$143,3,FALSE)/VLOOKUP('All - MECs'!$B$14,'Annual Parameters'!$B$33:$W$143,3,FALSE)</f>
        <v>0.829448933375868</v>
      </c>
      <c r="Y52" s="3537">
        <f>'All - MECs'!Y52*VLOOKUP($B$14,'Annual Parameters'!$B$33:$W$143,3,FALSE)/VLOOKUP('All - MECs'!$B$14,'Annual Parameters'!$B$33:$W$143,3,FALSE)</f>
        <v>0.90882817302852881</v>
      </c>
      <c r="Z52" s="3531">
        <f>'All - MECs'!Z52*VLOOKUP($B$14,'Annual Parameters'!$B$33:$W$143,3,FALSE)/VLOOKUP('All - MECs'!$B$14,'Annual Parameters'!$B$33:$W$143,3,FALSE)</f>
        <v>0.60172559634254541</v>
      </c>
      <c r="AA52" s="3537">
        <f>'All - MECs'!AA52*VLOOKUP($B$14,'Annual Parameters'!$B$33:$W$143,3,FALSE)/VLOOKUP('All - MECs'!$B$14,'Annual Parameters'!$B$33:$W$143,3,FALSE)</f>
        <v>0.64847282244336502</v>
      </c>
      <c r="AB52" s="3531">
        <f>'All - MECs'!AB52*VLOOKUP($B$14,'Annual Parameters'!$B$33:$W$143,3,FALSE)/VLOOKUP('All - MECs'!$B$14,'Annual Parameters'!$B$33:$W$143,3,FALSE)</f>
        <v>0.30467821258656896</v>
      </c>
      <c r="AC52" s="3538">
        <f>'All - MECs'!AC52*VLOOKUP($B$14,'Annual Parameters'!$B$33:$W$143,3,FALSE)/VLOOKUP('All - MECs'!$B$14,'Annual Parameters'!$B$33:$W$143,3,FALSE)</f>
        <v>0.24956594910936747</v>
      </c>
      <c r="AD52" s="3534">
        <f>'All - MECs'!AD52*VLOOKUP($B$14,'Annual Parameters'!$B$33:$W$143,3,FALSE)/VLOOKUP('All - MECs'!$B$14,'Annual Parameters'!$B$33:$W$143,3,FALSE)</f>
        <v>0.20666369647357574</v>
      </c>
      <c r="AE52" s="3539">
        <f>'All - MECs'!AE52*VLOOKUP($B$14,'Annual Parameters'!$B$33:$W$143,3,FALSE)/VLOOKUP('All - MECs'!$B$14,'Annual Parameters'!$B$33:$W$143,3,FALSE)</f>
        <v>0.60462553957301823</v>
      </c>
      <c r="AF52" s="3544"/>
      <c r="AG52" s="3521" t="s">
        <v>1097</v>
      </c>
      <c r="AH52" s="3522"/>
      <c r="AI52" s="3530" t="s">
        <v>1096</v>
      </c>
      <c r="AJ52" s="3535">
        <f>'All - MECs'!AJ52*VLOOKUP($B$14,'Annual Parameters'!$B$33:$W$143,3,FALSE)/VLOOKUP('All - MECs'!$B$14,'Annual Parameters'!$B$33:$W$143,3,FALSE)</f>
        <v>6.0290644790361236</v>
      </c>
      <c r="AK52" s="3532">
        <f>'All - MECs'!AK52*VLOOKUP($B$14,'Annual Parameters'!$B$33:$W$143,3,FALSE)/VLOOKUP('All - MECs'!$B$14,'Annual Parameters'!$B$33:$W$143,3,FALSE)</f>
        <v>6.6006769272003147</v>
      </c>
      <c r="AL52" s="3537">
        <f>'All - MECs'!AL52*VLOOKUP($B$14,'Annual Parameters'!$B$33:$W$143,3,FALSE)/VLOOKUP('All - MECs'!$B$14,'Annual Parameters'!$B$33:$W$143,3,FALSE)</f>
        <v>8.6755245483988315</v>
      </c>
      <c r="AM52" s="3531">
        <f>'All - MECs'!AM52*VLOOKUP($B$14,'Annual Parameters'!$B$33:$W$143,3,FALSE)/VLOOKUP('All - MECs'!$B$14,'Annual Parameters'!$B$33:$W$143,3,FALSE)</f>
        <v>2.7335863093043686</v>
      </c>
      <c r="AN52" s="3532">
        <f>'All - MECs'!AN52*VLOOKUP($B$14,'Annual Parameters'!$B$33:$W$143,3,FALSE)/VLOOKUP('All - MECs'!$B$14,'Annual Parameters'!$B$33:$W$143,3,FALSE)</f>
        <v>3.1862827414105084</v>
      </c>
      <c r="AO52" s="3537">
        <f>'All - MECs'!AO52*VLOOKUP($B$14,'Annual Parameters'!$B$33:$W$143,3,FALSE)/VLOOKUP('All - MECs'!$B$14,'Annual Parameters'!$B$33:$W$143,3,FALSE)</f>
        <v>3.7693816402935933</v>
      </c>
      <c r="AP52" s="3531">
        <f>'All - MECs'!AP52*VLOOKUP($B$14,'Annual Parameters'!$B$33:$W$143,3,FALSE)/VLOOKUP('All - MECs'!$B$14,'Annual Parameters'!$B$33:$W$143,3,FALSE)</f>
        <v>2.2112904082496696</v>
      </c>
      <c r="AQ52" s="3537">
        <f>'All - MECs'!AQ52*VLOOKUP($B$14,'Annual Parameters'!$B$33:$W$143,3,FALSE)/VLOOKUP('All - MECs'!$B$14,'Annual Parameters'!$B$33:$W$143,3,FALSE)</f>
        <v>2.6884716103624937</v>
      </c>
      <c r="AR52" s="3531">
        <f>'All - MECs'!AR52*VLOOKUP($B$14,'Annual Parameters'!$B$33:$W$143,3,FALSE)/VLOOKUP('All - MECs'!$B$14,'Annual Parameters'!$B$33:$W$143,3,FALSE)</f>
        <v>0.79164314920392154</v>
      </c>
      <c r="AS52" s="3538">
        <f>'All - MECs'!AS52*VLOOKUP($B$14,'Annual Parameters'!$B$33:$W$143,3,FALSE)/VLOOKUP('All - MECs'!$B$14,'Annual Parameters'!$B$33:$W$143,3,FALSE)</f>
        <v>0.75413559894563642</v>
      </c>
      <c r="AT52" s="3534">
        <f>'All - MECs'!AT52*VLOOKUP($B$14,'Annual Parameters'!$B$33:$W$143,3,FALSE)/VLOOKUP('All - MECs'!$B$14,'Annual Parameters'!$B$33:$W$143,3,FALSE)</f>
        <v>0.74389771895487489</v>
      </c>
      <c r="AU52" s="3539">
        <f>'All - MECs'!AU52*VLOOKUP($B$14,'Annual Parameters'!$B$33:$W$143,3,FALSE)/VLOOKUP('All - MECs'!$B$14,'Annual Parameters'!$B$33:$W$143,3,FALSE)</f>
        <v>1.7121170018077891</v>
      </c>
      <c r="AV52" s="3544"/>
      <c r="AW52" s="3521" t="s">
        <v>1097</v>
      </c>
      <c r="AX52" s="3522"/>
      <c r="AY52" s="3530" t="s">
        <v>1096</v>
      </c>
      <c r="AZ52" s="3535">
        <f>'All - MECs'!AZ52*VLOOKUP($B$14,'Annual Parameters'!$B$33:$W$143,3,FALSE)/VLOOKUP('All - MECs'!$B$14,'Annual Parameters'!$B$33:$W$143,3,FALSE)</f>
        <v>9.3864501829834488</v>
      </c>
      <c r="BA52" s="3532">
        <f>'All - MECs'!BA52*VLOOKUP($B$14,'Annual Parameters'!$B$33:$W$143,3,FALSE)/VLOOKUP('All - MECs'!$B$14,'Annual Parameters'!$B$33:$W$143,3,FALSE)</f>
        <v>11.038307840392802</v>
      </c>
      <c r="BB52" s="3537">
        <f>'All - MECs'!BB52*VLOOKUP($B$14,'Annual Parameters'!$B$33:$W$143,3,FALSE)/VLOOKUP('All - MECs'!$B$14,'Annual Parameters'!$B$33:$W$143,3,FALSE)</f>
        <v>16.223019149297574</v>
      </c>
      <c r="BC52" s="3531">
        <f>'All - MECs'!BC52*VLOOKUP($B$14,'Annual Parameters'!$B$33:$W$143,3,FALSE)/VLOOKUP('All - MECs'!$B$14,'Annual Parameters'!$B$33:$W$143,3,FALSE)</f>
        <v>4.1377695108080168</v>
      </c>
      <c r="BD52" s="3532">
        <f>'All - MECs'!BD52*VLOOKUP($B$14,'Annual Parameters'!$B$33:$W$143,3,FALSE)/VLOOKUP('All - MECs'!$B$14,'Annual Parameters'!$B$33:$W$143,3,FALSE)</f>
        <v>4.7038847894406368</v>
      </c>
      <c r="BE52" s="3537">
        <f>'All - MECs'!BE52*VLOOKUP($B$14,'Annual Parameters'!$B$33:$W$143,3,FALSE)/VLOOKUP('All - MECs'!$B$14,'Annual Parameters'!$B$33:$W$143,3,FALSE)</f>
        <v>6.2747456715561922</v>
      </c>
      <c r="BF52" s="3531">
        <f>'All - MECs'!BF52*VLOOKUP($B$14,'Annual Parameters'!$B$33:$W$143,3,FALSE)/VLOOKUP('All - MECs'!$B$14,'Annual Parameters'!$B$33:$W$143,3,FALSE)</f>
        <v>3.6031179084605043</v>
      </c>
      <c r="BG52" s="3537">
        <f>'All - MECs'!BG52*VLOOKUP($B$14,'Annual Parameters'!$B$33:$W$143,3,FALSE)/VLOOKUP('All - MECs'!$B$14,'Annual Parameters'!$B$33:$W$143,3,FALSE)</f>
        <v>4.5759794807799672</v>
      </c>
      <c r="BH52" s="3531">
        <f>'All - MECs'!BH52*VLOOKUP($B$14,'Annual Parameters'!$B$33:$W$143,3,FALSE)/VLOOKUP('All - MECs'!$B$14,'Annual Parameters'!$B$33:$W$143,3,FALSE)</f>
        <v>1.234554713673343</v>
      </c>
      <c r="BI52" s="3538">
        <f>'All - MECs'!BI52*VLOOKUP($B$14,'Annual Parameters'!$B$33:$W$143,3,FALSE)/VLOOKUP('All - MECs'!$B$14,'Annual Parameters'!$B$33:$W$143,3,FALSE)</f>
        <v>1.1917568180476636</v>
      </c>
      <c r="BJ52" s="3534">
        <f>'All - MECs'!BJ52*VLOOKUP($B$14,'Annual Parameters'!$B$33:$W$143,3,FALSE)/VLOOKUP('All - MECs'!$B$14,'Annual Parameters'!$B$33:$W$143,3,FALSE)</f>
        <v>1.1859402066005615</v>
      </c>
      <c r="BK52" s="3539">
        <f>'All - MECs'!BK52*VLOOKUP($B$14,'Annual Parameters'!$B$33:$W$143,3,FALSE)/VLOOKUP('All - MECs'!$B$14,'Annual Parameters'!$B$33:$W$143,3,FALSE)</f>
        <v>2.1335941831020184</v>
      </c>
      <c r="BL52" s="3544"/>
      <c r="BM52" s="3521" t="s">
        <v>1097</v>
      </c>
      <c r="BN52" s="3522"/>
      <c r="BO52" s="3530" t="s">
        <v>1096</v>
      </c>
      <c r="BP52" s="3535">
        <f>'All - MECs'!BP52*VLOOKUP($B$14,'Annual Parameters'!$B$33:$W$143,3,FALSE)/VLOOKUP('All - MECs'!$B$14,'Annual Parameters'!$B$33:$W$143,3,FALSE)</f>
        <v>9.9934528530602762</v>
      </c>
      <c r="BQ52" s="3532">
        <f>'All - MECs'!BQ52*VLOOKUP($B$14,'Annual Parameters'!$B$33:$W$143,3,FALSE)/VLOOKUP('All - MECs'!$B$14,'Annual Parameters'!$B$33:$W$143,3,FALSE)</f>
        <v>17.059979175561686</v>
      </c>
      <c r="BR52" s="3537">
        <f>'All - MECs'!BR52*VLOOKUP($B$14,'Annual Parameters'!$B$33:$W$143,3,FALSE)/VLOOKUP('All - MECs'!$B$14,'Annual Parameters'!$B$33:$W$143,3,FALSE)</f>
        <v>21.645235335467863</v>
      </c>
      <c r="BS52" s="3531">
        <f>'All - MECs'!BS52*VLOOKUP($B$14,'Annual Parameters'!$B$33:$W$143,3,FALSE)/VLOOKUP('All - MECs'!$B$14,'Annual Parameters'!$B$33:$W$143,3,FALSE)</f>
        <v>4.8689514552064006</v>
      </c>
      <c r="BT52" s="3532">
        <f>'All - MECs'!BT52*VLOOKUP($B$14,'Annual Parameters'!$B$33:$W$143,3,FALSE)/VLOOKUP('All - MECs'!$B$14,'Annual Parameters'!$B$33:$W$143,3,FALSE)</f>
        <v>5.9484226528677944</v>
      </c>
      <c r="BU52" s="3537">
        <f>'All - MECs'!BU52*VLOOKUP($B$14,'Annual Parameters'!$B$33:$W$143,3,FALSE)/VLOOKUP('All - MECs'!$B$14,'Annual Parameters'!$B$33:$W$143,3,FALSE)</f>
        <v>6.9012107044842033</v>
      </c>
      <c r="BV52" s="3531">
        <f>'All - MECs'!BV52*VLOOKUP($B$14,'Annual Parameters'!$B$33:$W$143,3,FALSE)/VLOOKUP('All - MECs'!$B$14,'Annual Parameters'!$B$33:$W$143,3,FALSE)</f>
        <v>3.5012597624755175</v>
      </c>
      <c r="BW52" s="3537">
        <f>'All - MECs'!BW52*VLOOKUP($B$14,'Annual Parameters'!$B$33:$W$143,3,FALSE)/VLOOKUP('All - MECs'!$B$14,'Annual Parameters'!$B$33:$W$143,3,FALSE)</f>
        <v>4.6250774597667874</v>
      </c>
      <c r="BX52" s="3531">
        <f>'All - MECs'!BX52*VLOOKUP($B$14,'Annual Parameters'!$B$33:$W$143,3,FALSE)/VLOOKUP('All - MECs'!$B$14,'Annual Parameters'!$B$33:$W$143,3,FALSE)</f>
        <v>1.3142771129709434</v>
      </c>
      <c r="BY52" s="3538">
        <f>'All - MECs'!BY52*VLOOKUP($B$14,'Annual Parameters'!$B$33:$W$143,3,FALSE)/VLOOKUP('All - MECs'!$B$14,'Annual Parameters'!$B$33:$W$143,3,FALSE)</f>
        <v>1.085841233708055</v>
      </c>
      <c r="BZ52" s="3534">
        <f>'All - MECs'!BZ52*VLOOKUP($B$14,'Annual Parameters'!$B$33:$W$143,3,FALSE)/VLOOKUP('All - MECs'!$B$14,'Annual Parameters'!$B$33:$W$143,3,FALSE)</f>
        <v>1.1235847263884524</v>
      </c>
      <c r="CA52" s="3539">
        <f>'All - MECs'!CA52*VLOOKUP($B$14,'Annual Parameters'!$B$33:$W$143,3,FALSE)/VLOOKUP('All - MECs'!$B$14,'Annual Parameters'!$B$33:$W$143,3,FALSE)</f>
        <v>5.2181007454421273</v>
      </c>
    </row>
    <row r="53" spans="1:95" ht="13.5" customHeight="1">
      <c r="A53" s="3521" t="s">
        <v>1074</v>
      </c>
      <c r="B53" s="3522"/>
      <c r="C53" s="3530" t="s">
        <v>1096</v>
      </c>
      <c r="D53" s="3531">
        <f>'All - MECs'!D53*VLOOKUP($B$14,'Annual Parameters'!$B$33:$W$143,3,FALSE)/VLOOKUP('All - MECs'!$B$14,'Annual Parameters'!$B$33:$W$143,3,FALSE)</f>
        <v>0.23023034144197907</v>
      </c>
      <c r="E53" s="3532">
        <f>'All - MECs'!E53*VLOOKUP($B$14,'Annual Parameters'!$B$33:$W$143,3,FALSE)/VLOOKUP('All - MECs'!$B$14,'Annual Parameters'!$B$33:$W$143,3,FALSE)</f>
        <v>0.23023034144197907</v>
      </c>
      <c r="F53" s="3534">
        <f>'All - MECs'!F53*VLOOKUP($B$14,'Annual Parameters'!$B$33:$W$143,3,FALSE)/VLOOKUP('All - MECs'!$B$14,'Annual Parameters'!$B$33:$W$143,3,FALSE)</f>
        <v>0.23023034144197907</v>
      </c>
      <c r="G53" s="3531">
        <f>'All - MECs'!G53*VLOOKUP($B$14,'Annual Parameters'!$B$33:$W$143,3,FALSE)/VLOOKUP('All - MECs'!$B$14,'Annual Parameters'!$B$33:$W$143,3,FALSE)</f>
        <v>0.23023034144197907</v>
      </c>
      <c r="H53" s="3532">
        <f>'All - MECs'!H53*VLOOKUP($B$14,'Annual Parameters'!$B$33:$W$143,3,FALSE)/VLOOKUP('All - MECs'!$B$14,'Annual Parameters'!$B$33:$W$143,3,FALSE)</f>
        <v>0.23023034144197907</v>
      </c>
      <c r="I53" s="3534">
        <f>'All - MECs'!I53*VLOOKUP($B$14,'Annual Parameters'!$B$33:$W$143,3,FALSE)/VLOOKUP('All - MECs'!$B$14,'Annual Parameters'!$B$33:$W$143,3,FALSE)</f>
        <v>0.23023034144197907</v>
      </c>
      <c r="J53" s="3531">
        <f>'All - MECs'!J53*VLOOKUP($B$14,'Annual Parameters'!$B$33:$W$143,3,FALSE)/VLOOKUP('All - MECs'!$B$14,'Annual Parameters'!$B$33:$W$143,3,FALSE)</f>
        <v>0.23023034144197907</v>
      </c>
      <c r="K53" s="3534">
        <f>'All - MECs'!K53*VLOOKUP($B$14,'Annual Parameters'!$B$33:$W$143,3,FALSE)/VLOOKUP('All - MECs'!$B$14,'Annual Parameters'!$B$33:$W$143,3,FALSE)</f>
        <v>0.23023034144197907</v>
      </c>
      <c r="L53" s="3531">
        <f>'All - MECs'!L53*VLOOKUP($B$14,'Annual Parameters'!$B$33:$W$143,3,FALSE)/VLOOKUP('All - MECs'!$B$14,'Annual Parameters'!$B$33:$W$143,3,FALSE)</f>
        <v>0</v>
      </c>
      <c r="M53" s="3532">
        <f>'All - MECs'!M53*VLOOKUP($B$14,'Annual Parameters'!$B$33:$W$143,3,FALSE)/VLOOKUP('All - MECs'!$B$14,'Annual Parameters'!$B$33:$W$143,3,FALSE)</f>
        <v>0</v>
      </c>
      <c r="N53" s="3534">
        <f>'All - MECs'!N53*VLOOKUP($B$14,'Annual Parameters'!$B$33:$W$143,3,FALSE)/VLOOKUP('All - MECs'!$B$14,'Annual Parameters'!$B$33:$W$143,3,FALSE)</f>
        <v>0.11511517072098953</v>
      </c>
      <c r="O53" s="3540">
        <f>'All - MECs'!O53*VLOOKUP($B$14,'Annual Parameters'!$B$33:$W$143,3,FALSE)/VLOOKUP('All - MECs'!$B$14,'Annual Parameters'!$B$33:$W$143,3,FALSE)</f>
        <v>0.13060759685968404</v>
      </c>
      <c r="P53" s="3544"/>
      <c r="Q53" s="3521" t="s">
        <v>1074</v>
      </c>
      <c r="R53" s="3522"/>
      <c r="S53" s="3530" t="s">
        <v>1096</v>
      </c>
      <c r="T53" s="3531">
        <f>'All - MECs'!T53*VLOOKUP($B$14,'Annual Parameters'!$B$33:$W$143,3,FALSE)/VLOOKUP('All - MECs'!$B$14,'Annual Parameters'!$B$33:$W$143,3,FALSE)</f>
        <v>0.23023034144197907</v>
      </c>
      <c r="U53" s="3532">
        <f>'All - MECs'!U53*VLOOKUP($B$14,'Annual Parameters'!$B$33:$W$143,3,FALSE)/VLOOKUP('All - MECs'!$B$14,'Annual Parameters'!$B$33:$W$143,3,FALSE)</f>
        <v>0.23023034144197907</v>
      </c>
      <c r="V53" s="3534">
        <f>'All - MECs'!V53*VLOOKUP($B$14,'Annual Parameters'!$B$33:$W$143,3,FALSE)/VLOOKUP('All - MECs'!$B$14,'Annual Parameters'!$B$33:$W$143,3,FALSE)</f>
        <v>0.23023034144197907</v>
      </c>
      <c r="W53" s="3531">
        <f>'All - MECs'!W53*VLOOKUP($B$14,'Annual Parameters'!$B$33:$W$143,3,FALSE)/VLOOKUP('All - MECs'!$B$14,'Annual Parameters'!$B$33:$W$143,3,FALSE)</f>
        <v>0.23023034144197907</v>
      </c>
      <c r="X53" s="3532">
        <f>'All - MECs'!X53*VLOOKUP($B$14,'Annual Parameters'!$B$33:$W$143,3,FALSE)/VLOOKUP('All - MECs'!$B$14,'Annual Parameters'!$B$33:$W$143,3,FALSE)</f>
        <v>0.23023034144197907</v>
      </c>
      <c r="Y53" s="3534">
        <f>'All - MECs'!Y53*VLOOKUP($B$14,'Annual Parameters'!$B$33:$W$143,3,FALSE)/VLOOKUP('All - MECs'!$B$14,'Annual Parameters'!$B$33:$W$143,3,FALSE)</f>
        <v>0.23023034144197907</v>
      </c>
      <c r="Z53" s="3531">
        <f>'All - MECs'!Z53*VLOOKUP($B$14,'Annual Parameters'!$B$33:$W$143,3,FALSE)/VLOOKUP('All - MECs'!$B$14,'Annual Parameters'!$B$33:$W$143,3,FALSE)</f>
        <v>0.23023034144197907</v>
      </c>
      <c r="AA53" s="3534">
        <f>'All - MECs'!AA53*VLOOKUP($B$14,'Annual Parameters'!$B$33:$W$143,3,FALSE)/VLOOKUP('All - MECs'!$B$14,'Annual Parameters'!$B$33:$W$143,3,FALSE)</f>
        <v>0.23023034144197907</v>
      </c>
      <c r="AB53" s="3531">
        <f>'All - MECs'!AB53*VLOOKUP($B$14,'Annual Parameters'!$B$33:$W$143,3,FALSE)/VLOOKUP('All - MECs'!$B$14,'Annual Parameters'!$B$33:$W$143,3,FALSE)</f>
        <v>0</v>
      </c>
      <c r="AC53" s="3532">
        <f>'All - MECs'!AC53*VLOOKUP($B$14,'Annual Parameters'!$B$33:$W$143,3,FALSE)/VLOOKUP('All - MECs'!$B$14,'Annual Parameters'!$B$33:$W$143,3,FALSE)</f>
        <v>0</v>
      </c>
      <c r="AD53" s="3534">
        <f>'All - MECs'!AD53*VLOOKUP($B$14,'Annual Parameters'!$B$33:$W$143,3,FALSE)/VLOOKUP('All - MECs'!$B$14,'Annual Parameters'!$B$33:$W$143,3,FALSE)</f>
        <v>0.11511517072098953</v>
      </c>
      <c r="AE53" s="3540">
        <f>'All - MECs'!AE53*VLOOKUP($B$14,'Annual Parameters'!$B$33:$W$143,3,FALSE)/VLOOKUP('All - MECs'!$B$14,'Annual Parameters'!$B$33:$W$143,3,FALSE)</f>
        <v>0.12993035587522406</v>
      </c>
      <c r="AF53" s="3544"/>
      <c r="AG53" s="3521" t="s">
        <v>1074</v>
      </c>
      <c r="AH53" s="3522"/>
      <c r="AI53" s="3530" t="s">
        <v>1096</v>
      </c>
      <c r="AJ53" s="3531">
        <f>'All - MECs'!AJ53*VLOOKUP($B$14,'Annual Parameters'!$B$33:$W$143,3,FALSE)/VLOOKUP('All - MECs'!$B$14,'Annual Parameters'!$B$33:$W$143,3,FALSE)</f>
        <v>5.6406433653284873</v>
      </c>
      <c r="AK53" s="3532">
        <f>'All - MECs'!AK53*VLOOKUP($B$14,'Annual Parameters'!$B$33:$W$143,3,FALSE)/VLOOKUP('All - MECs'!$B$14,'Annual Parameters'!$B$33:$W$143,3,FALSE)</f>
        <v>6.7917950725383829</v>
      </c>
      <c r="AL53" s="3534">
        <f>'All - MECs'!AL53*VLOOKUP($B$14,'Annual Parameters'!$B$33:$W$143,3,FALSE)/VLOOKUP('All - MECs'!$B$14,'Annual Parameters'!$B$33:$W$143,3,FALSE)</f>
        <v>8.1731771211902551</v>
      </c>
      <c r="AM53" s="3531">
        <f>'All - MECs'!AM53*VLOOKUP($B$14,'Annual Parameters'!$B$33:$W$143,3,FALSE)/VLOOKUP('All - MECs'!$B$14,'Annual Parameters'!$B$33:$W$143,3,FALSE)</f>
        <v>5.8708737067704657</v>
      </c>
      <c r="AN53" s="3532">
        <f>'All - MECs'!AN53*VLOOKUP($B$14,'Annual Parameters'!$B$33:$W$143,3,FALSE)/VLOOKUP('All - MECs'!$B$14,'Annual Parameters'!$B$33:$W$143,3,FALSE)</f>
        <v>5.7557585360494761</v>
      </c>
      <c r="AO53" s="3534">
        <f>'All - MECs'!AO53*VLOOKUP($B$14,'Annual Parameters'!$B$33:$W$143,3,FALSE)/VLOOKUP('All - MECs'!$B$14,'Annual Parameters'!$B$33:$W$143,3,FALSE)</f>
        <v>5.7557585360494761</v>
      </c>
      <c r="AP53" s="3531">
        <f>'All - MECs'!AP53*VLOOKUP($B$14,'Annual Parameters'!$B$33:$W$143,3,FALSE)/VLOOKUP('All - MECs'!$B$14,'Annual Parameters'!$B$33:$W$143,3,FALSE)</f>
        <v>5.0650675117235391</v>
      </c>
      <c r="AQ53" s="3534">
        <f>'All - MECs'!AQ53*VLOOKUP($B$14,'Annual Parameters'!$B$33:$W$143,3,FALSE)/VLOOKUP('All - MECs'!$B$14,'Annual Parameters'!$B$33:$W$143,3,FALSE)</f>
        <v>5.0650675117235391</v>
      </c>
      <c r="AR53" s="3531">
        <f>'All - MECs'!AR53*VLOOKUP($B$14,'Annual Parameters'!$B$33:$W$143,3,FALSE)/VLOOKUP('All - MECs'!$B$14,'Annual Parameters'!$B$33:$W$143,3,FALSE)</f>
        <v>1.0360365364889059</v>
      </c>
      <c r="AS53" s="3532">
        <f>'All - MECs'!AS53*VLOOKUP($B$14,'Annual Parameters'!$B$33:$W$143,3,FALSE)/VLOOKUP('All - MECs'!$B$14,'Annual Parameters'!$B$33:$W$143,3,FALSE)</f>
        <v>1.0360365364889059</v>
      </c>
      <c r="AT53" s="3534">
        <f>'All - MECs'!AT53*VLOOKUP($B$14,'Annual Parameters'!$B$33:$W$143,3,FALSE)/VLOOKUP('All - MECs'!$B$14,'Annual Parameters'!$B$33:$W$143,3,FALSE)</f>
        <v>1.2662668779308848</v>
      </c>
      <c r="AU53" s="3540">
        <f>'All - MECs'!AU53*VLOOKUP($B$14,'Annual Parameters'!$B$33:$W$143,3,FALSE)/VLOOKUP('All - MECs'!$B$14,'Annual Parameters'!$B$33:$W$143,3,FALSE)</f>
        <v>2.785747551120588</v>
      </c>
      <c r="AV53" s="3544"/>
      <c r="AW53" s="3521" t="s">
        <v>1074</v>
      </c>
      <c r="AX53" s="3522"/>
      <c r="AY53" s="3530" t="s">
        <v>1096</v>
      </c>
      <c r="AZ53" s="3531">
        <f>'All - MECs'!AZ53*VLOOKUP($B$14,'Annual Parameters'!$B$33:$W$143,3,FALSE)/VLOOKUP('All - MECs'!$B$14,'Annual Parameters'!$B$33:$W$143,3,FALSE)</f>
        <v>11.166171559935982</v>
      </c>
      <c r="BA53" s="3532">
        <f>'All - MECs'!BA53*VLOOKUP($B$14,'Annual Parameters'!$B$33:$W$143,3,FALSE)/VLOOKUP('All - MECs'!$B$14,'Annual Parameters'!$B$33:$W$143,3,FALSE)</f>
        <v>13.468474974355775</v>
      </c>
      <c r="BB53" s="3534">
        <f>'All - MECs'!BB53*VLOOKUP($B$14,'Annual Parameters'!$B$33:$W$143,3,FALSE)/VLOOKUP('All - MECs'!$B$14,'Annual Parameters'!$B$33:$W$143,3,FALSE)</f>
        <v>16.34635424238051</v>
      </c>
      <c r="BC53" s="3531">
        <f>'All - MECs'!BC53*VLOOKUP($B$14,'Annual Parameters'!$B$33:$W$143,3,FALSE)/VLOOKUP('All - MECs'!$B$14,'Annual Parameters'!$B$33:$W$143,3,FALSE)</f>
        <v>11.626632242819943</v>
      </c>
      <c r="BD53" s="3532">
        <f>'All - MECs'!BD53*VLOOKUP($B$14,'Annual Parameters'!$B$33:$W$143,3,FALSE)/VLOOKUP('All - MECs'!$B$14,'Annual Parameters'!$B$33:$W$143,3,FALSE)</f>
        <v>11.511517072098952</v>
      </c>
      <c r="BE53" s="3534">
        <f>'All - MECs'!BE53*VLOOKUP($B$14,'Annual Parameters'!$B$33:$W$143,3,FALSE)/VLOOKUP('All - MECs'!$B$14,'Annual Parameters'!$B$33:$W$143,3,FALSE)</f>
        <v>11.511517072098952</v>
      </c>
      <c r="BF53" s="3531">
        <f>'All - MECs'!BF53*VLOOKUP($B$14,'Annual Parameters'!$B$33:$W$143,3,FALSE)/VLOOKUP('All - MECs'!$B$14,'Annual Parameters'!$B$33:$W$143,3,FALSE)</f>
        <v>10.015019852726088</v>
      </c>
      <c r="BG53" s="3534">
        <f>'All - MECs'!BG53*VLOOKUP($B$14,'Annual Parameters'!$B$33:$W$143,3,FALSE)/VLOOKUP('All - MECs'!$B$14,'Annual Parameters'!$B$33:$W$143,3,FALSE)</f>
        <v>10.130135023447078</v>
      </c>
      <c r="BH53" s="3531">
        <f>'All - MECs'!BH53*VLOOKUP($B$14,'Annual Parameters'!$B$33:$W$143,3,FALSE)/VLOOKUP('All - MECs'!$B$14,'Annual Parameters'!$B$33:$W$143,3,FALSE)</f>
        <v>2.0720730729778118</v>
      </c>
      <c r="BI53" s="3532">
        <f>'All - MECs'!BI53*VLOOKUP($B$14,'Annual Parameters'!$B$33:$W$143,3,FALSE)/VLOOKUP('All - MECs'!$B$14,'Annual Parameters'!$B$33:$W$143,3,FALSE)</f>
        <v>2.0720730729778118</v>
      </c>
      <c r="BJ53" s="3534">
        <f>'All - MECs'!BJ53*VLOOKUP($B$14,'Annual Parameters'!$B$33:$W$143,3,FALSE)/VLOOKUP('All - MECs'!$B$14,'Annual Parameters'!$B$33:$W$143,3,FALSE)</f>
        <v>2.6476489265827592</v>
      </c>
      <c r="BK53" s="3540">
        <f>'All - MECs'!BK53*VLOOKUP($B$14,'Annual Parameters'!$B$33:$W$143,3,FALSE)/VLOOKUP('All - MECs'!$B$14,'Annual Parameters'!$B$33:$W$143,3,FALSE)</f>
        <v>4.6808028456208488</v>
      </c>
      <c r="BL53" s="3544"/>
      <c r="BM53" s="3521" t="s">
        <v>1074</v>
      </c>
      <c r="BN53" s="3522"/>
      <c r="BO53" s="3530" t="s">
        <v>1096</v>
      </c>
      <c r="BP53" s="3531">
        <f>'All - MECs'!BP53*VLOOKUP($B$14,'Annual Parameters'!$B$33:$W$143,3,FALSE)/VLOOKUP('All - MECs'!$B$14,'Annual Parameters'!$B$33:$W$143,3,FALSE)</f>
        <v>0</v>
      </c>
      <c r="BQ53" s="3532">
        <f>'All - MECs'!BQ53*VLOOKUP($B$14,'Annual Parameters'!$B$33:$W$143,3,FALSE)/VLOOKUP('All - MECs'!$B$14,'Annual Parameters'!$B$33:$W$143,3,FALSE)</f>
        <v>0</v>
      </c>
      <c r="BR53" s="3534">
        <f>'All - MECs'!BR53*VLOOKUP($B$14,'Annual Parameters'!$B$33:$W$143,3,FALSE)/VLOOKUP('All - MECs'!$B$14,'Annual Parameters'!$B$33:$W$143,3,FALSE)</f>
        <v>0</v>
      </c>
      <c r="BS53" s="3531">
        <f>'All - MECs'!BS53*VLOOKUP($B$14,'Annual Parameters'!$B$33:$W$143,3,FALSE)/VLOOKUP('All - MECs'!$B$14,'Annual Parameters'!$B$33:$W$143,3,FALSE)</f>
        <v>0</v>
      </c>
      <c r="BT53" s="3532">
        <f>'All - MECs'!BT53*VLOOKUP($B$14,'Annual Parameters'!$B$33:$W$143,3,FALSE)/VLOOKUP('All - MECs'!$B$14,'Annual Parameters'!$B$33:$W$143,3,FALSE)</f>
        <v>0</v>
      </c>
      <c r="BU53" s="3534">
        <f>'All - MECs'!BU53*VLOOKUP($B$14,'Annual Parameters'!$B$33:$W$143,3,FALSE)/VLOOKUP('All - MECs'!$B$14,'Annual Parameters'!$B$33:$W$143,3,FALSE)</f>
        <v>0</v>
      </c>
      <c r="BV53" s="3531">
        <f>'All - MECs'!BV53*VLOOKUP($B$14,'Annual Parameters'!$B$33:$W$143,3,FALSE)/VLOOKUP('All - MECs'!$B$14,'Annual Parameters'!$B$33:$W$143,3,FALSE)</f>
        <v>0</v>
      </c>
      <c r="BW53" s="3534">
        <f>'All - MECs'!BW53*VLOOKUP($B$14,'Annual Parameters'!$B$33:$W$143,3,FALSE)/VLOOKUP('All - MECs'!$B$14,'Annual Parameters'!$B$33:$W$143,3,FALSE)</f>
        <v>0</v>
      </c>
      <c r="BX53" s="3531">
        <f>'All - MECs'!BX53*VLOOKUP($B$14,'Annual Parameters'!$B$33:$W$143,3,FALSE)/VLOOKUP('All - MECs'!$B$14,'Annual Parameters'!$B$33:$W$143,3,FALSE)</f>
        <v>0</v>
      </c>
      <c r="BY53" s="3532">
        <f>'All - MECs'!BY53*VLOOKUP($B$14,'Annual Parameters'!$B$33:$W$143,3,FALSE)/VLOOKUP('All - MECs'!$B$14,'Annual Parameters'!$B$33:$W$143,3,FALSE)</f>
        <v>0</v>
      </c>
      <c r="BZ53" s="3534">
        <f>'All - MECs'!BZ53*VLOOKUP($B$14,'Annual Parameters'!$B$33:$W$143,3,FALSE)/VLOOKUP('All - MECs'!$B$14,'Annual Parameters'!$B$33:$W$143,3,FALSE)</f>
        <v>0</v>
      </c>
      <c r="CA53" s="3540">
        <f>'All - MECs'!CA53*VLOOKUP($B$14,'Annual Parameters'!$B$33:$W$143,3,FALSE)/VLOOKUP('All - MECs'!$B$14,'Annual Parameters'!$B$33:$W$143,3,FALSE)</f>
        <v>0</v>
      </c>
    </row>
    <row r="54" spans="1:95" ht="13.5" customHeight="1">
      <c r="A54" s="3521" t="s">
        <v>397</v>
      </c>
      <c r="B54" s="3522"/>
      <c r="C54" s="3530" t="s">
        <v>1096</v>
      </c>
      <c r="D54" s="3531">
        <f>'All - MECs'!D54*VLOOKUP($B$14,'Annual Parameters'!$B$33:$W$143,3,FALSE)/VLOOKUP('All - MECs'!$B$14,'Annual Parameters'!$B$33:$W$143,3,FALSE)</f>
        <v>0.83415087265780175</v>
      </c>
      <c r="E54" s="3532">
        <f>'All - MECs'!E54*VLOOKUP($B$14,'Annual Parameters'!$B$33:$W$143,3,FALSE)/VLOOKUP('All - MECs'!$B$14,'Annual Parameters'!$B$33:$W$143,3,FALSE)</f>
        <v>0.87795331203953919</v>
      </c>
      <c r="F54" s="3537">
        <f>'All - MECs'!F54*VLOOKUP($B$14,'Annual Parameters'!$B$33:$W$143,3,FALSE)/VLOOKUP('All - MECs'!$B$14,'Annual Parameters'!$B$33:$W$143,3,FALSE)</f>
        <v>1.1151734525048096</v>
      </c>
      <c r="G54" s="3531">
        <f>'All - MECs'!G54*VLOOKUP($B$14,'Annual Parameters'!$B$33:$W$143,3,FALSE)/VLOOKUP('All - MECs'!$B$14,'Annual Parameters'!$B$33:$W$143,3,FALSE)</f>
        <v>0.80697704563618355</v>
      </c>
      <c r="H54" s="3532">
        <f>'All - MECs'!H54*VLOOKUP($B$14,'Annual Parameters'!$B$33:$W$143,3,FALSE)/VLOOKUP('All - MECs'!$B$14,'Annual Parameters'!$B$33:$W$143,3,FALSE)</f>
        <v>0.80979917351213582</v>
      </c>
      <c r="I54" s="3537">
        <f>'All - MECs'!I54*VLOOKUP($B$14,'Annual Parameters'!$B$33:$W$143,3,FALSE)/VLOOKUP('All - MECs'!$B$14,'Annual Parameters'!$B$33:$W$143,3,FALSE)</f>
        <v>0.89585990906940938</v>
      </c>
      <c r="J54" s="3531">
        <f>'All - MECs'!J54*VLOOKUP($B$14,'Annual Parameters'!$B$33:$W$143,3,FALSE)/VLOOKUP('All - MECs'!$B$14,'Annual Parameters'!$B$33:$W$143,3,FALSE)</f>
        <v>0.75809492366487174</v>
      </c>
      <c r="K54" s="3537">
        <f>'All - MECs'!K54*VLOOKUP($B$14,'Annual Parameters'!$B$33:$W$143,3,FALSE)/VLOOKUP('All - MECs'!$B$14,'Annual Parameters'!$B$33:$W$143,3,FALSE)</f>
        <v>0.85366012737636365</v>
      </c>
      <c r="L54" s="3531">
        <f>'All - MECs'!L54*VLOOKUP($B$14,'Annual Parameters'!$B$33:$W$143,3,FALSE)/VLOOKUP('All - MECs'!$B$14,'Annual Parameters'!$B$33:$W$143,3,FALSE)</f>
        <v>0.82667002499353626</v>
      </c>
      <c r="M54" s="3532">
        <f>'All - MECs'!M54*VLOOKUP($B$14,'Annual Parameters'!$B$33:$W$143,3,FALSE)/VLOOKUP('All - MECs'!$B$14,'Annual Parameters'!$B$33:$W$143,3,FALSE)</f>
        <v>0.75284136240855148</v>
      </c>
      <c r="N54" s="3537">
        <f>'All - MECs'!N54*VLOOKUP($B$14,'Annual Parameters'!$B$33:$W$143,3,FALSE)/VLOOKUP('All - MECs'!$B$14,'Annual Parameters'!$B$33:$W$143,3,FALSE)</f>
        <v>0.74178344756511738</v>
      </c>
      <c r="O54" s="3539">
        <f>'All - MECs'!O54*VLOOKUP($B$14,'Annual Parameters'!$B$33:$W$143,3,FALSE)/VLOOKUP('All - MECs'!$B$14,'Annual Parameters'!$B$33:$W$143,3,FALSE)</f>
        <v>0.80506698332908566</v>
      </c>
      <c r="P54" s="3544"/>
      <c r="Q54" s="3521" t="s">
        <v>397</v>
      </c>
      <c r="R54" s="3522"/>
      <c r="S54" s="3530" t="s">
        <v>1096</v>
      </c>
      <c r="T54" s="3531">
        <f>'All - MECs'!T54*VLOOKUP($B$14,'Annual Parameters'!$B$33:$W$143,3,FALSE)/VLOOKUP('All - MECs'!$B$14,'Annual Parameters'!$B$33:$W$143,3,FALSE)</f>
        <v>1.2991331487639561</v>
      </c>
      <c r="U54" s="3532">
        <f>'All - MECs'!U54*VLOOKUP($B$14,'Annual Parameters'!$B$33:$W$143,3,FALSE)/VLOOKUP('All - MECs'!$B$14,'Annual Parameters'!$B$33:$W$143,3,FALSE)</f>
        <v>1.0754923849130045</v>
      </c>
      <c r="V54" s="3537">
        <f>'All - MECs'!V54*VLOOKUP($B$14,'Annual Parameters'!$B$33:$W$143,3,FALSE)/VLOOKUP('All - MECs'!$B$14,'Annual Parameters'!$B$33:$W$143,3,FALSE)</f>
        <v>1.4115969379170976</v>
      </c>
      <c r="W54" s="3531">
        <f>'All - MECs'!W54*VLOOKUP($B$14,'Annual Parameters'!$B$33:$W$143,3,FALSE)/VLOOKUP('All - MECs'!$B$14,'Annual Parameters'!$B$33:$W$143,3,FALSE)</f>
        <v>1.243422335484387</v>
      </c>
      <c r="X54" s="3532">
        <f>'All - MECs'!X54*VLOOKUP($B$14,'Annual Parameters'!$B$33:$W$143,3,FALSE)/VLOOKUP('All - MECs'!$B$14,'Annual Parameters'!$B$33:$W$143,3,FALSE)</f>
        <v>1.0101221653626715</v>
      </c>
      <c r="Y54" s="3537">
        <f>'All - MECs'!Y54*VLOOKUP($B$14,'Annual Parameters'!$B$33:$W$143,3,FALSE)/VLOOKUP('All - MECs'!$B$14,'Annual Parameters'!$B$33:$W$143,3,FALSE)</f>
        <v>1.0808033917294637</v>
      </c>
      <c r="Z54" s="3531">
        <f>'All - MECs'!Z54*VLOOKUP($B$14,'Annual Parameters'!$B$33:$W$143,3,FALSE)/VLOOKUP('All - MECs'!$B$14,'Annual Parameters'!$B$33:$W$143,3,FALSE)</f>
        <v>0.97433108474322683</v>
      </c>
      <c r="AA54" s="3537">
        <f>'All - MECs'!AA54*VLOOKUP($B$14,'Annual Parameters'!$B$33:$W$143,3,FALSE)/VLOOKUP('All - MECs'!$B$14,'Annual Parameters'!$B$33:$W$143,3,FALSE)</f>
        <v>1.0252462472693018</v>
      </c>
      <c r="AB54" s="3531">
        <f>'All - MECs'!AB54*VLOOKUP($B$14,'Annual Parameters'!$B$33:$W$143,3,FALSE)/VLOOKUP('All - MECs'!$B$14,'Annual Parameters'!$B$33:$W$143,3,FALSE)</f>
        <v>1.2883989882523756</v>
      </c>
      <c r="AC54" s="3532">
        <f>'All - MECs'!AC54*VLOOKUP($B$14,'Annual Parameters'!$B$33:$W$143,3,FALSE)/VLOOKUP('All - MECs'!$B$14,'Annual Parameters'!$B$33:$W$143,3,FALSE)</f>
        <v>1.1223833973370889</v>
      </c>
      <c r="AD54" s="3537">
        <f>'All - MECs'!AD54*VLOOKUP($B$14,'Annual Parameters'!$B$33:$W$143,3,FALSE)/VLOOKUP('All - MECs'!$B$14,'Annual Parameters'!$B$33:$W$143,3,FALSE)</f>
        <v>0.99114554015553391</v>
      </c>
      <c r="AE54" s="3539">
        <f>'All - MECs'!AE54*VLOOKUP($B$14,'Annual Parameters'!$B$33:$W$143,3,FALSE)/VLOOKUP('All - MECs'!$B$14,'Annual Parameters'!$B$33:$W$143,3,FALSE)</f>
        <v>1.0944065063996142</v>
      </c>
      <c r="AF54" s="3544"/>
      <c r="AG54" s="3521" t="s">
        <v>397</v>
      </c>
      <c r="AH54" s="3522"/>
      <c r="AI54" s="3530" t="s">
        <v>1096</v>
      </c>
      <c r="AJ54" s="3531">
        <f>'All - MECs'!AJ54*VLOOKUP($B$14,'Annual Parameters'!$B$33:$W$143,3,FALSE)/VLOOKUP('All - MECs'!$B$14,'Annual Parameters'!$B$33:$W$143,3,FALSE)</f>
        <v>3.5482443087083744</v>
      </c>
      <c r="AK54" s="3532">
        <f>'All - MECs'!AK54*VLOOKUP($B$14,'Annual Parameters'!$B$33:$W$143,3,FALSE)/VLOOKUP('All - MECs'!$B$14,'Annual Parameters'!$B$33:$W$143,3,FALSE)</f>
        <v>3.9706097385586752</v>
      </c>
      <c r="AL54" s="3537">
        <f>'All - MECs'!AL54*VLOOKUP($B$14,'Annual Parameters'!$B$33:$W$143,3,FALSE)/VLOOKUP('All - MECs'!$B$14,'Annual Parameters'!$B$33:$W$143,3,FALSE)</f>
        <v>5.0117279859671102</v>
      </c>
      <c r="AM54" s="3531">
        <f>'All - MECs'!AM54*VLOOKUP($B$14,'Annual Parameters'!$B$33:$W$143,3,FALSE)/VLOOKUP('All - MECs'!$B$14,'Annual Parameters'!$B$33:$W$143,3,FALSE)</f>
        <v>3.5024102770315686</v>
      </c>
      <c r="AN54" s="3532">
        <f>'All - MECs'!AN54*VLOOKUP($B$14,'Annual Parameters'!$B$33:$W$143,3,FALSE)/VLOOKUP('All - MECs'!$B$14,'Annual Parameters'!$B$33:$W$143,3,FALSE)</f>
        <v>3.5707989926666794</v>
      </c>
      <c r="AO54" s="3537">
        <f>'All - MECs'!AO54*VLOOKUP($B$14,'Annual Parameters'!$B$33:$W$143,3,FALSE)/VLOOKUP('All - MECs'!$B$14,'Annual Parameters'!$B$33:$W$143,3,FALSE)</f>
        <v>4.1064068098439837</v>
      </c>
      <c r="AP54" s="3531">
        <f>'All - MECs'!AP54*VLOOKUP($B$14,'Annual Parameters'!$B$33:$W$143,3,FALSE)/VLOOKUP('All - MECs'!$B$14,'Annual Parameters'!$B$33:$W$143,3,FALSE)</f>
        <v>3.3355635858120376</v>
      </c>
      <c r="AQ54" s="3537">
        <f>'All - MECs'!AQ54*VLOOKUP($B$14,'Annual Parameters'!$B$33:$W$143,3,FALSE)/VLOOKUP('All - MECs'!$B$14,'Annual Parameters'!$B$33:$W$143,3,FALSE)</f>
        <v>3.8792744999142368</v>
      </c>
      <c r="AR54" s="3531">
        <f>'All - MECs'!AR54*VLOOKUP($B$14,'Annual Parameters'!$B$33:$W$143,3,FALSE)/VLOOKUP('All - MECs'!$B$14,'Annual Parameters'!$B$33:$W$143,3,FALSE)</f>
        <v>3.5440454953529725</v>
      </c>
      <c r="AS54" s="3532">
        <f>'All - MECs'!AS54*VLOOKUP($B$14,'Annual Parameters'!$B$33:$W$143,3,FALSE)/VLOOKUP('All - MECs'!$B$14,'Annual Parameters'!$B$33:$W$143,3,FALSE)</f>
        <v>3.3153942283883602</v>
      </c>
      <c r="AT54" s="3537">
        <f>'All - MECs'!AT54*VLOOKUP($B$14,'Annual Parameters'!$B$33:$W$143,3,FALSE)/VLOOKUP('All - MECs'!$B$14,'Annual Parameters'!$B$33:$W$143,3,FALSE)</f>
        <v>3.2486458268212406</v>
      </c>
      <c r="AU54" s="3539">
        <f>'All - MECs'!AU54*VLOOKUP($B$14,'Annual Parameters'!$B$33:$W$143,3,FALSE)/VLOOKUP('All - MECs'!$B$14,'Annual Parameters'!$B$33:$W$143,3,FALSE)</f>
        <v>3.492861285250723</v>
      </c>
      <c r="AV54" s="3544"/>
      <c r="AW54" s="3521" t="s">
        <v>397</v>
      </c>
      <c r="AX54" s="3522"/>
      <c r="AY54" s="3530" t="s">
        <v>1096</v>
      </c>
      <c r="AZ54" s="3531">
        <f>'All - MECs'!AZ54*VLOOKUP($B$14,'Annual Parameters'!$B$33:$W$143,3,FALSE)/VLOOKUP('All - MECs'!$B$14,'Annual Parameters'!$B$33:$W$143,3,FALSE)</f>
        <v>4.528494941007442</v>
      </c>
      <c r="BA54" s="3532">
        <f>'All - MECs'!BA54*VLOOKUP($B$14,'Annual Parameters'!$B$33:$W$143,3,FALSE)/VLOOKUP('All - MECs'!$B$14,'Annual Parameters'!$B$33:$W$143,3,FALSE)</f>
        <v>5.6172190251440153</v>
      </c>
      <c r="BB54" s="3537">
        <f>'All - MECs'!BB54*VLOOKUP($B$14,'Annual Parameters'!$B$33:$W$143,3,FALSE)/VLOOKUP('All - MECs'!$B$14,'Annual Parameters'!$B$33:$W$143,3,FALSE)</f>
        <v>7.4160025133259868</v>
      </c>
      <c r="BC54" s="3531">
        <f>'All - MECs'!BC54*VLOOKUP($B$14,'Annual Parameters'!$B$33:$W$143,3,FALSE)/VLOOKUP('All - MECs'!$B$14,'Annual Parameters'!$B$33:$W$143,3,FALSE)</f>
        <v>4.5056533784095292</v>
      </c>
      <c r="BD54" s="3532">
        <f>'All - MECs'!BD54*VLOOKUP($B$14,'Annual Parameters'!$B$33:$W$143,3,FALSE)/VLOOKUP('All - MECs'!$B$14,'Annual Parameters'!$B$33:$W$143,3,FALSE)</f>
        <v>4.7605516022355534</v>
      </c>
      <c r="BE54" s="3537">
        <f>'All - MECs'!BE54*VLOOKUP($B$14,'Annual Parameters'!$B$33:$W$143,3,FALSE)/VLOOKUP('All - MECs'!$B$14,'Annual Parameters'!$B$33:$W$143,3,FALSE)</f>
        <v>6.002751848736648</v>
      </c>
      <c r="BF54" s="3531">
        <f>'All - MECs'!BF54*VLOOKUP($B$14,'Annual Parameters'!$B$33:$W$143,3,FALSE)/VLOOKUP('All - MECs'!$B$14,'Annual Parameters'!$B$33:$W$143,3,FALSE)</f>
        <v>4.5955983538949248</v>
      </c>
      <c r="BG54" s="3537">
        <f>'All - MECs'!BG54*VLOOKUP($B$14,'Annual Parameters'!$B$33:$W$143,3,FALSE)/VLOOKUP('All - MECs'!$B$14,'Annual Parameters'!$B$33:$W$143,3,FALSE)</f>
        <v>5.7043572256993995</v>
      </c>
      <c r="BH54" s="3531">
        <f>'All - MECs'!BH54*VLOOKUP($B$14,'Annual Parameters'!$B$33:$W$143,3,FALSE)/VLOOKUP('All - MECs'!$B$14,'Annual Parameters'!$B$33:$W$143,3,FALSE)</f>
        <v>4.5259533524752555</v>
      </c>
      <c r="BI54" s="3532">
        <f>'All - MECs'!BI54*VLOOKUP($B$14,'Annual Parameters'!$B$33:$W$143,3,FALSE)/VLOOKUP('All - MECs'!$B$14,'Annual Parameters'!$B$33:$W$143,3,FALSE)</f>
        <v>4.3607719730309835</v>
      </c>
      <c r="BJ54" s="3537">
        <f>'All - MECs'!BJ54*VLOOKUP($B$14,'Annual Parameters'!$B$33:$W$143,3,FALSE)/VLOOKUP('All - MECs'!$B$14,'Annual Parameters'!$B$33:$W$143,3,FALSE)</f>
        <v>4.324454536105125</v>
      </c>
      <c r="BK54" s="3539">
        <f>'All - MECs'!BK54*VLOOKUP($B$14,'Annual Parameters'!$B$33:$W$143,3,FALSE)/VLOOKUP('All - MECs'!$B$14,'Annual Parameters'!$B$33:$W$143,3,FALSE)</f>
        <v>4.5133458116199145</v>
      </c>
      <c r="BL54" s="3544"/>
      <c r="BM54" s="3521" t="s">
        <v>397</v>
      </c>
      <c r="BN54" s="3522"/>
      <c r="BO54" s="3530" t="s">
        <v>1096</v>
      </c>
      <c r="BP54" s="3531">
        <f>'All - MECs'!BP54*VLOOKUP($B$14,'Annual Parameters'!$B$33:$W$143,3,FALSE)/VLOOKUP('All - MECs'!$B$14,'Annual Parameters'!$B$33:$W$143,3,FALSE)</f>
        <v>3.3852268341903913</v>
      </c>
      <c r="BQ54" s="3532">
        <f>'All - MECs'!BQ54*VLOOKUP($B$14,'Annual Parameters'!$B$33:$W$143,3,FALSE)/VLOOKUP('All - MECs'!$B$14,'Annual Parameters'!$B$33:$W$143,3,FALSE)</f>
        <v>3.8343708243102914</v>
      </c>
      <c r="BR54" s="3537">
        <f>'All - MECs'!BR54*VLOOKUP($B$14,'Annual Parameters'!$B$33:$W$143,3,FALSE)/VLOOKUP('All - MECs'!$B$14,'Annual Parameters'!$B$33:$W$143,3,FALSE)</f>
        <v>5.0762695915556915</v>
      </c>
      <c r="BS54" s="3531">
        <f>'All - MECs'!BS54*VLOOKUP($B$14,'Annual Parameters'!$B$33:$W$143,3,FALSE)/VLOOKUP('All - MECs'!$B$14,'Annual Parameters'!$B$33:$W$143,3,FALSE)</f>
        <v>3.3663746073970886</v>
      </c>
      <c r="BT54" s="3532">
        <f>'All - MECs'!BT54*VLOOKUP($B$14,'Annual Parameters'!$B$33:$W$143,3,FALSE)/VLOOKUP('All - MECs'!$B$14,'Annual Parameters'!$B$33:$W$143,3,FALSE)</f>
        <v>3.619851108983565</v>
      </c>
      <c r="BU54" s="3537">
        <f>'All - MECs'!BU54*VLOOKUP($B$14,'Annual Parameters'!$B$33:$W$143,3,FALSE)/VLOOKUP('All - MECs'!$B$14,'Annual Parameters'!$B$33:$W$143,3,FALSE)</f>
        <v>4.2124082011065678</v>
      </c>
      <c r="BV54" s="3531">
        <f>'All - MECs'!BV54*VLOOKUP($B$14,'Annual Parameters'!$B$33:$W$143,3,FALSE)/VLOOKUP('All - MECs'!$B$14,'Annual Parameters'!$B$33:$W$143,3,FALSE)</f>
        <v>3.1214953125856018</v>
      </c>
      <c r="BW54" s="3537">
        <f>'All - MECs'!BW54*VLOOKUP($B$14,'Annual Parameters'!$B$33:$W$143,3,FALSE)/VLOOKUP('All - MECs'!$B$14,'Annual Parameters'!$B$33:$W$143,3,FALSE)</f>
        <v>3.8500763685686392</v>
      </c>
      <c r="BX54" s="3531">
        <f>'All - MECs'!BX54*VLOOKUP($B$14,'Annual Parameters'!$B$33:$W$143,3,FALSE)/VLOOKUP('All - MECs'!$B$14,'Annual Parameters'!$B$33:$W$143,3,FALSE)</f>
        <v>3.3829696140704026</v>
      </c>
      <c r="BY54" s="3532">
        <f>'All - MECs'!BY54*VLOOKUP($B$14,'Annual Parameters'!$B$33:$W$143,3,FALSE)/VLOOKUP('All - MECs'!$B$14,'Annual Parameters'!$B$33:$W$143,3,FALSE)</f>
        <v>2.9472948640811789</v>
      </c>
      <c r="BZ54" s="3537">
        <f>'All - MECs'!BZ54*VLOOKUP($B$14,'Annual Parameters'!$B$33:$W$143,3,FALSE)/VLOOKUP('All - MECs'!$B$14,'Annual Parameters'!$B$33:$W$143,3,FALSE)</f>
        <v>3.0115308531884635</v>
      </c>
      <c r="CA54" s="3539">
        <f>'All - MECs'!CA54*VLOOKUP($B$14,'Annual Parameters'!$B$33:$W$143,3,FALSE)/VLOOKUP('All - MECs'!$B$14,'Annual Parameters'!$B$33:$W$143,3,FALSE)</f>
        <v>3.538194971977306</v>
      </c>
    </row>
    <row r="55" spans="1:95" ht="13.5" customHeight="1">
      <c r="A55" s="3521" t="s">
        <v>1098</v>
      </c>
      <c r="B55" s="3493"/>
      <c r="C55" s="3530" t="s">
        <v>1096</v>
      </c>
      <c r="D55" s="3495">
        <f>'All - MECs'!D55*VLOOKUP($B$14,'Annual Parameters'!$B$33:$W$143,3,FALSE)/VLOOKUP('All - MECs'!$B$14,'Annual Parameters'!$B$33:$W$143,3,FALSE)</f>
        <v>-4.0670984879172938</v>
      </c>
      <c r="E55" s="3496">
        <f>'All - MECs'!E55*VLOOKUP($B$14,'Annual Parameters'!$B$33:$W$143,3,FALSE)/VLOOKUP('All - MECs'!$B$14,'Annual Parameters'!$B$33:$W$143,3,FALSE)</f>
        <v>-4.2807941088524339</v>
      </c>
      <c r="F55" s="3496">
        <f>'All - MECs'!F55*VLOOKUP($B$14,'Annual Parameters'!$B$33:$W$143,3,FALSE)/VLOOKUP('All - MECs'!$B$14,'Annual Parameters'!$B$33:$W$143,3,FALSE)</f>
        <v>-5.4381019193435263</v>
      </c>
      <c r="G55" s="3503">
        <f>'All - MECs'!G55*VLOOKUP($B$14,'Annual Parameters'!$B$33:$W$143,3,FALSE)/VLOOKUP('All - MECs'!$B$14,'Annual Parameters'!$B$33:$W$143,3,FALSE)</f>
        <v>-3.9345276101184212</v>
      </c>
      <c r="H55" s="3504">
        <f>'All - MECs'!H55*VLOOKUP($B$14,'Annual Parameters'!$B$33:$W$143,3,FALSE)/VLOOKUP('All - MECs'!$B$14,'Annual Parameters'!$B$33:$W$143,3,FALSE)</f>
        <v>-3.9482957101905241</v>
      </c>
      <c r="I55" s="3501">
        <f>'All - MECs'!I55*VLOOKUP($B$14,'Annual Parameters'!$B$33:$W$143,3,FALSE)/VLOOKUP('All - MECs'!$B$14,'Annual Parameters'!$B$33:$W$143,3,FALSE)</f>
        <v>-4.3681536583465856</v>
      </c>
      <c r="J55" s="3500">
        <f>'All - MECs'!J55*VLOOKUP($B$14,'Annual Parameters'!$B$33:$W$143,3,FALSE)/VLOOKUP('All - MECs'!$B$14,'Annual Parameters'!$B$33:$W$143,3,FALSE)</f>
        <v>-3.6960501290756196</v>
      </c>
      <c r="K55" s="3501">
        <f>'All - MECs'!K55*VLOOKUP($B$14,'Annual Parameters'!$B$33:$W$143,3,FALSE)/VLOOKUP('All - MECs'!$B$14,'Annual Parameters'!$B$33:$W$143,3,FALSE)</f>
        <v>-4.1622768012694751</v>
      </c>
      <c r="L55" s="3495">
        <f>'All - MECs'!L55*VLOOKUP($B$14,'Annual Parameters'!$B$33:$W$143,3,FALSE)/VLOOKUP('All - MECs'!$B$14,'Annual Parameters'!$B$33:$W$143,3,FALSE)</f>
        <v>-4.0306022468562777</v>
      </c>
      <c r="M55" s="3496">
        <f>'All - MECs'!M55*VLOOKUP($B$14,'Annual Parameters'!$B$33:$W$143,3,FALSE)/VLOOKUP('All - MECs'!$B$14,'Annual Parameters'!$B$33:$W$143,3,FALSE)</f>
        <v>-3.6704199803753124</v>
      </c>
      <c r="N55" s="3501">
        <f>'All - MECs'!N55*VLOOKUP($B$14,'Annual Parameters'!$B$33:$W$143,3,FALSE)/VLOOKUP('All - MECs'!$B$14,'Annual Parameters'!$B$33:$W$143,3,FALSE)</f>
        <v>-3.6164725744301363</v>
      </c>
      <c r="O55" s="3502">
        <f>'All - MECs'!O55*VLOOKUP($B$14,'Annual Parameters'!$B$33:$W$143,3,FALSE)/VLOOKUP('All - MECs'!$B$14,'Annual Parameters'!$B$33:$W$143,3,FALSE)</f>
        <v>-3.9252091347891627</v>
      </c>
      <c r="P55" s="3544"/>
      <c r="Q55" s="3521" t="s">
        <v>1098</v>
      </c>
      <c r="R55" s="3493"/>
      <c r="S55" s="3530" t="s">
        <v>1096</v>
      </c>
      <c r="T55" s="3495">
        <f>'All - MECs'!T55*VLOOKUP($B$14,'Annual Parameters'!$B$33:$W$143,3,FALSE)/VLOOKUP('All - MECs'!$B$14,'Annual Parameters'!$B$33:$W$143,3,FALSE)</f>
        <v>-6.2729481231855289</v>
      </c>
      <c r="U55" s="3496">
        <f>'All - MECs'!U55*VLOOKUP($B$14,'Annual Parameters'!$B$33:$W$143,3,FALSE)/VLOOKUP('All - MECs'!$B$14,'Annual Parameters'!$B$33:$W$143,3,FALSE)</f>
        <v>-5.1930444314522539</v>
      </c>
      <c r="V55" s="3496">
        <f>'All - MECs'!V55*VLOOKUP($B$14,'Annual Parameters'!$B$33:$W$143,3,FALSE)/VLOOKUP('All - MECs'!$B$14,'Annual Parameters'!$B$33:$W$143,3,FALSE)</f>
        <v>-6.816006816965217</v>
      </c>
      <c r="W55" s="3503">
        <f>'All - MECs'!W55*VLOOKUP($B$14,'Annual Parameters'!$B$33:$W$143,3,FALSE)/VLOOKUP('All - MECs'!$B$14,'Annual Parameters'!$B$33:$W$143,3,FALSE)</f>
        <v>-6.0039349437717524</v>
      </c>
      <c r="X55" s="3504">
        <f>'All - MECs'!X55*VLOOKUP($B$14,'Annual Parameters'!$B$33:$W$143,3,FALSE)/VLOOKUP('All - MECs'!$B$14,'Annual Parameters'!$B$33:$W$143,3,FALSE)</f>
        <v>-4.8773884651326815</v>
      </c>
      <c r="Y55" s="3501">
        <f>'All - MECs'!Y55*VLOOKUP($B$14,'Annual Parameters'!$B$33:$W$143,3,FALSE)/VLOOKUP('All - MECs'!$B$14,'Annual Parameters'!$B$33:$W$143,3,FALSE)</f>
        <v>-5.2186899165112175</v>
      </c>
      <c r="Z55" s="3500">
        <f>'All - MECs'!Z55*VLOOKUP($B$14,'Annual Parameters'!$B$33:$W$143,3,FALSE)/VLOOKUP('All - MECs'!$B$14,'Annual Parameters'!$B$33:$W$143,3,FALSE)</f>
        <v>-4.704562548128477</v>
      </c>
      <c r="AA55" s="3501">
        <f>'All - MECs'!AA55*VLOOKUP($B$14,'Annual Parameters'!$B$33:$W$143,3,FALSE)/VLOOKUP('All - MECs'!$B$14,'Annual Parameters'!$B$33:$W$143,3,FALSE)</f>
        <v>-4.9504187642776589</v>
      </c>
      <c r="AB55" s="3495">
        <f>'All - MECs'!AB55*VLOOKUP($B$14,'Annual Parameters'!$B$33:$W$143,3,FALSE)/VLOOKUP('All - MECs'!$B$14,'Annual Parameters'!$B$33:$W$143,3,FALSE)</f>
        <v>-6.221115624653021</v>
      </c>
      <c r="AC55" s="3496">
        <f>'All - MECs'!AC55*VLOOKUP($B$14,'Annual Parameters'!$B$33:$W$143,3,FALSE)/VLOOKUP('All - MECs'!$B$14,'Annual Parameters'!$B$33:$W$143,3,FALSE)</f>
        <v>-5.419469062427078</v>
      </c>
      <c r="AD55" s="3501">
        <f>'All - MECs'!AD55*VLOOKUP($B$14,'Annual Parameters'!$B$33:$W$143,3,FALSE)/VLOOKUP('All - MECs'!$B$14,'Annual Parameters'!$B$33:$W$143,3,FALSE)</f>
        <v>-4.785755225892431</v>
      </c>
      <c r="AE55" s="3502">
        <f>'All - MECs'!AE55*VLOOKUP($B$14,'Annual Parameters'!$B$33:$W$143,3,FALSE)/VLOOKUP('All - MECs'!$B$14,'Annual Parameters'!$B$33:$W$143,3,FALSE)</f>
        <v>-5.2843758563122325</v>
      </c>
      <c r="AF55" s="3544"/>
      <c r="AG55" s="3521" t="s">
        <v>1098</v>
      </c>
      <c r="AH55" s="3493"/>
      <c r="AI55" s="3530" t="s">
        <v>1096</v>
      </c>
      <c r="AJ55" s="3495">
        <f>'All - MECs'!AJ55*VLOOKUP($B$14,'Annual Parameters'!$B$33:$W$143,3,FALSE)/VLOOKUP('All - MECs'!$B$14,'Annual Parameters'!$B$33:$W$143,3,FALSE)</f>
        <v>-17.10507937171262</v>
      </c>
      <c r="AK55" s="3496">
        <f>'All - MECs'!AK55*VLOOKUP($B$14,'Annual Parameters'!$B$33:$W$143,3,FALSE)/VLOOKUP('All - MECs'!$B$14,'Annual Parameters'!$B$33:$W$143,3,FALSE)</f>
        <v>-19.14118330731981</v>
      </c>
      <c r="AL55" s="3496">
        <f>'All - MECs'!AL55*VLOOKUP($B$14,'Annual Parameters'!$B$33:$W$143,3,FALSE)/VLOOKUP('All - MECs'!$B$14,'Annual Parameters'!$B$33:$W$143,3,FALSE)</f>
        <v>-24.160119070438721</v>
      </c>
      <c r="AM55" s="3503">
        <f>'All - MECs'!AM55*VLOOKUP($B$14,'Annual Parameters'!$B$33:$W$143,3,FALSE)/VLOOKUP('All - MECs'!$B$14,'Annual Parameters'!$B$33:$W$143,3,FALSE)</f>
        <v>-16.884126505577335</v>
      </c>
      <c r="AN55" s="3504">
        <f>'All - MECs'!AN55*VLOOKUP($B$14,'Annual Parameters'!$B$33:$W$143,3,FALSE)/VLOOKUP('All - MECs'!$B$14,'Annual Parameters'!$B$33:$W$143,3,FALSE)</f>
        <v>-17.213809105559818</v>
      </c>
      <c r="AO55" s="3501">
        <f>'All - MECs'!AO55*VLOOKUP($B$14,'Annual Parameters'!$B$33:$W$143,3,FALSE)/VLOOKUP('All - MECs'!$B$14,'Annual Parameters'!$B$33:$W$143,3,FALSE)</f>
        <v>-19.7958224698714</v>
      </c>
      <c r="AP55" s="3500">
        <f>'All - MECs'!AP55*VLOOKUP($B$14,'Annual Parameters'!$B$33:$W$143,3,FALSE)/VLOOKUP('All - MECs'!$B$14,'Annual Parameters'!$B$33:$W$143,3,FALSE)</f>
        <v>-16.079805932381909</v>
      </c>
      <c r="AQ55" s="3501">
        <f>'All - MECs'!AQ55*VLOOKUP($B$14,'Annual Parameters'!$B$33:$W$143,3,FALSE)/VLOOKUP('All - MECs'!$B$14,'Annual Parameters'!$B$33:$W$143,3,FALSE)</f>
        <v>-18.700882028568195</v>
      </c>
      <c r="AR55" s="3495">
        <f>'All - MECs'!AR55*VLOOKUP($B$14,'Annual Parameters'!$B$33:$W$143,3,FALSE)/VLOOKUP('All - MECs'!$B$14,'Annual Parameters'!$B$33:$W$143,3,FALSE)</f>
        <v>-17.084838083497239</v>
      </c>
      <c r="AS55" s="3496">
        <f>'All - MECs'!AS55*VLOOKUP($B$14,'Annual Parameters'!$B$33:$W$143,3,FALSE)/VLOOKUP('All - MECs'!$B$14,'Annual Parameters'!$B$33:$W$143,3,FALSE)</f>
        <v>-15.982575181173001</v>
      </c>
      <c r="AT55" s="3501">
        <f>'All - MECs'!AT55*VLOOKUP($B$14,'Annual Parameters'!$B$33:$W$143,3,FALSE)/VLOOKUP('All - MECs'!$B$14,'Annual Parameters'!$B$33:$W$143,3,FALSE)</f>
        <v>-15.660800070045964</v>
      </c>
      <c r="AU55" s="3502">
        <f>'All - MECs'!AU55*VLOOKUP($B$14,'Annual Parameters'!$B$33:$W$143,3,FALSE)/VLOOKUP('All - MECs'!$B$14,'Annual Parameters'!$B$33:$W$143,3,FALSE)</f>
        <v>-16.838093524722456</v>
      </c>
      <c r="AV55" s="3544"/>
      <c r="AW55" s="3521" t="s">
        <v>1098</v>
      </c>
      <c r="AX55" s="3493"/>
      <c r="AY55" s="3530" t="s">
        <v>1096</v>
      </c>
      <c r="AZ55" s="3495">
        <f>'All - MECs'!AZ55*VLOOKUP($B$14,'Annual Parameters'!$B$33:$W$143,3,FALSE)/VLOOKUP('All - MECs'!$B$14,'Annual Parameters'!$B$33:$W$143,3,FALSE)</f>
        <v>-21.830589627163608</v>
      </c>
      <c r="BA55" s="3496">
        <f>'All - MECs'!BA55*VLOOKUP($B$14,'Annual Parameters'!$B$33:$W$143,3,FALSE)/VLOOKUP('All - MECs'!$B$14,'Annual Parameters'!$B$33:$W$143,3,FALSE)</f>
        <v>-27.079019626007245</v>
      </c>
      <c r="BB55" s="3496">
        <f>'All - MECs'!BB55*VLOOKUP($B$14,'Annual Parameters'!$B$33:$W$143,3,FALSE)/VLOOKUP('All - MECs'!$B$14,'Annual Parameters'!$B$33:$W$143,3,FALSE)</f>
        <v>-35.750444607191518</v>
      </c>
      <c r="BC55" s="3503">
        <f>'All - MECs'!BC55*VLOOKUP($B$14,'Annual Parameters'!$B$33:$W$143,3,FALSE)/VLOOKUP('All - MECs'!$B$14,'Annual Parameters'!$B$33:$W$143,3,FALSE)</f>
        <v>-21.720476932766459</v>
      </c>
      <c r="BD55" s="3504">
        <f>'All - MECs'!BD55*VLOOKUP($B$14,'Annual Parameters'!$B$33:$W$143,3,FALSE)/VLOOKUP('All - MECs'!$B$14,'Annual Parameters'!$B$33:$W$143,3,FALSE)</f>
        <v>-22.949268969310261</v>
      </c>
      <c r="BE55" s="3501">
        <f>'All - MECs'!BE55*VLOOKUP($B$14,'Annual Parameters'!$B$33:$W$143,3,FALSE)/VLOOKUP('All - MECs'!$B$14,'Annual Parameters'!$B$33:$W$143,3,FALSE)</f>
        <v>-28.937564014218495</v>
      </c>
      <c r="BF55" s="3500">
        <f>'All - MECs'!BF55*VLOOKUP($B$14,'Annual Parameters'!$B$33:$W$143,3,FALSE)/VLOOKUP('All - MECs'!$B$14,'Annual Parameters'!$B$33:$W$143,3,FALSE)</f>
        <v>-22.154076147169057</v>
      </c>
      <c r="BG55" s="3501">
        <f>'All - MECs'!BG55*VLOOKUP($B$14,'Annual Parameters'!$B$33:$W$143,3,FALSE)/VLOOKUP('All - MECs'!$B$14,'Annual Parameters'!$B$33:$W$143,3,FALSE)</f>
        <v>-27.499088174598995</v>
      </c>
      <c r="BH55" s="3495">
        <f>'All - MECs'!BH55*VLOOKUP($B$14,'Annual Parameters'!$B$33:$W$143,3,FALSE)/VLOOKUP('All - MECs'!$B$14,'Annual Parameters'!$B$33:$W$143,3,FALSE)</f>
        <v>-21.818337349757975</v>
      </c>
      <c r="BI55" s="3496">
        <f>'All - MECs'!BI55*VLOOKUP($B$14,'Annual Parameters'!$B$33:$W$143,3,FALSE)/VLOOKUP('All - MECs'!$B$14,'Annual Parameters'!$B$33:$W$143,3,FALSE)</f>
        <v>-21.022044772274274</v>
      </c>
      <c r="BJ55" s="3501">
        <f>'All - MECs'!BJ55*VLOOKUP($B$14,'Annual Parameters'!$B$33:$W$143,3,FALSE)/VLOOKUP('All - MECs'!$B$14,'Annual Parameters'!$B$33:$W$143,3,FALSE)</f>
        <v>-20.846968710101962</v>
      </c>
      <c r="BK55" s="3502">
        <f>'All - MECs'!BK55*VLOOKUP($B$14,'Annual Parameters'!$B$33:$W$143,3,FALSE)/VLOOKUP('All - MECs'!$B$14,'Annual Parameters'!$B$33:$W$143,3,FALSE)</f>
        <v>-21.757559971356088</v>
      </c>
      <c r="BL55" s="3544"/>
      <c r="BM55" s="3521" t="s">
        <v>1098</v>
      </c>
      <c r="BN55" s="3493"/>
      <c r="BO55" s="3530" t="s">
        <v>1096</v>
      </c>
      <c r="BP55" s="3495">
        <f>'All - MECs'!BP55*VLOOKUP($B$14,'Annual Parameters'!$B$33:$W$143,3,FALSE)/VLOOKUP('All - MECs'!$B$14,'Annual Parameters'!$B$33:$W$143,3,FALSE)</f>
        <v>-16.319218366098472</v>
      </c>
      <c r="BQ55" s="3496">
        <f>'All - MECs'!BQ55*VLOOKUP($B$14,'Annual Parameters'!$B$33:$W$143,3,FALSE)/VLOOKUP('All - MECs'!$B$14,'Annual Parameters'!$B$33:$W$143,3,FALSE)</f>
        <v>-18.48441414516962</v>
      </c>
      <c r="BR55" s="3496">
        <f>'All - MECs'!BR55*VLOOKUP($B$14,'Annual Parameters'!$B$33:$W$143,3,FALSE)/VLOOKUP('All - MECs'!$B$14,'Annual Parameters'!$B$33:$W$143,3,FALSE)</f>
        <v>-24.471255844099137</v>
      </c>
      <c r="BS55" s="3503">
        <f>'All - MECs'!BS55*VLOOKUP($B$14,'Annual Parameters'!$B$33:$W$143,3,FALSE)/VLOOKUP('All - MECs'!$B$14,'Annual Parameters'!$B$33:$W$143,3,FALSE)</f>
        <v>-16.228337128061529</v>
      </c>
      <c r="BT55" s="3504">
        <f>'All - MECs'!BT55*VLOOKUP($B$14,'Annual Parameters'!$B$33:$W$143,3,FALSE)/VLOOKUP('All - MECs'!$B$14,'Annual Parameters'!$B$33:$W$143,3,FALSE)</f>
        <v>-17.450275444952393</v>
      </c>
      <c r="BU55" s="3501">
        <f>'All - MECs'!BU55*VLOOKUP($B$14,'Annual Parameters'!$B$33:$W$143,3,FALSE)/VLOOKUP('All - MECs'!$B$14,'Annual Parameters'!$B$33:$W$143,3,FALSE)</f>
        <v>-20.30682511041914</v>
      </c>
      <c r="BV55" s="3500">
        <f>'All - MECs'!BV55*VLOOKUP($B$14,'Annual Parameters'!$B$33:$W$143,3,FALSE)/VLOOKUP('All - MECs'!$B$14,'Annual Parameters'!$B$33:$W$143,3,FALSE)</f>
        <v>-15.047843506481041</v>
      </c>
      <c r="BW55" s="3501">
        <f>'All - MECs'!BW55*VLOOKUP($B$14,'Annual Parameters'!$B$33:$W$143,3,FALSE)/VLOOKUP('All - MECs'!$B$14,'Annual Parameters'!$B$33:$W$143,3,FALSE)</f>
        <v>-18.560126119245268</v>
      </c>
      <c r="BX55" s="3495">
        <f>'All - MECs'!BX55*VLOOKUP($B$14,'Annual Parameters'!$B$33:$W$143,3,FALSE)/VLOOKUP('All - MECs'!$B$14,'Annual Parameters'!$B$33:$W$143,3,FALSE)</f>
        <v>-16.308336948148455</v>
      </c>
      <c r="BY55" s="3496">
        <f>'All - MECs'!BY55*VLOOKUP($B$14,'Annual Parameters'!$B$33:$W$143,3,FALSE)/VLOOKUP('All - MECs'!$B$14,'Annual Parameters'!$B$33:$W$143,3,FALSE)</f>
        <v>-14.208072555269181</v>
      </c>
      <c r="BZ55" s="3501">
        <f>'All - MECs'!BZ55*VLOOKUP($B$14,'Annual Parameters'!$B$33:$W$143,3,FALSE)/VLOOKUP('All - MECs'!$B$14,'Annual Parameters'!$B$33:$W$143,3,FALSE)</f>
        <v>-14.517736038559754</v>
      </c>
      <c r="CA55" s="3502">
        <f>'All - MECs'!CA55*VLOOKUP($B$14,'Annual Parameters'!$B$33:$W$143,3,FALSE)/VLOOKUP('All - MECs'!$B$14,'Annual Parameters'!$B$33:$W$143,3,FALSE)</f>
        <v>-17.056634369772897</v>
      </c>
    </row>
    <row r="56" spans="1:95" ht="13.5" customHeight="1" thickBot="1">
      <c r="A56" s="3541" t="s">
        <v>1449</v>
      </c>
      <c r="B56" s="3542"/>
      <c r="C56" s="3554"/>
      <c r="D56" s="3555">
        <f>'All - MECs'!D56*VLOOKUP($B$14,'Annual Parameters'!$B$33:$W$143,3,FALSE)/VLOOKUP('All - MECs'!$B$14,'Annual Parameters'!$B$33:$W$143,3,FALSE)</f>
        <v>-1.8706540329213155</v>
      </c>
      <c r="E56" s="3555">
        <f>'All - MECs'!E56*VLOOKUP($B$14,'Annual Parameters'!$B$33:$W$143,3,FALSE)/VLOOKUP('All - MECs'!$B$14,'Annual Parameters'!$B$33:$W$143,3,FALSE)</f>
        <v>70.59262726815254</v>
      </c>
      <c r="F56" s="3555">
        <f>'All - MECs'!F56*VLOOKUP($B$14,'Annual Parameters'!$B$33:$W$143,3,FALSE)/VLOOKUP('All - MECs'!$B$14,'Annual Parameters'!$B$33:$W$143,3,FALSE)</f>
        <v>46.685950949027209</v>
      </c>
      <c r="G56" s="3556">
        <f>'All - MECs'!G56*VLOOKUP($B$14,'Annual Parameters'!$B$33:$W$143,3,FALSE)/VLOOKUP('All - MECs'!$B$14,'Annual Parameters'!$B$33:$W$143,3,FALSE)</f>
        <v>-0.81520264969930711</v>
      </c>
      <c r="H56" s="3555">
        <f>'All - MECs'!H56*VLOOKUP($B$14,'Annual Parameters'!$B$33:$W$143,3,FALSE)/VLOOKUP('All - MECs'!$B$14,'Annual Parameters'!$B$33:$W$143,3,FALSE)</f>
        <v>33.98497402240028</v>
      </c>
      <c r="I56" s="3557">
        <f>'All - MECs'!I56*VLOOKUP($B$14,'Annual Parameters'!$B$33:$W$143,3,FALSE)/VLOOKUP('All - MECs'!$B$14,'Annual Parameters'!$B$33:$W$143,3,FALSE)</f>
        <v>24.238062869484001</v>
      </c>
      <c r="J56" s="3558">
        <f>'All - MECs'!J56*VLOOKUP($B$14,'Annual Parameters'!$B$33:$W$143,3,FALSE)/VLOOKUP('All - MECs'!$B$14,'Annual Parameters'!$B$33:$W$143,3,FALSE)</f>
        <v>14.420056085122333</v>
      </c>
      <c r="K56" s="3559">
        <f>'All - MECs'!K56*VLOOKUP($B$14,'Annual Parameters'!$B$33:$W$143,3,FALSE)/VLOOKUP('All - MECs'!$B$14,'Annual Parameters'!$B$33:$W$143,3,FALSE)</f>
        <v>11.042634817411038</v>
      </c>
      <c r="L56" s="3556">
        <f>'All - MECs'!L56*VLOOKUP($B$14,'Annual Parameters'!$B$33:$W$143,3,FALSE)/VLOOKUP('All - MECs'!$B$14,'Annual Parameters'!$B$33:$W$143,3,FALSE)</f>
        <v>-2.1026738368981936</v>
      </c>
      <c r="M56" s="3555">
        <f>'All - MECs'!M56*VLOOKUP($B$14,'Annual Parameters'!$B$33:$W$143,3,FALSE)/VLOOKUP('All - MECs'!$B$14,'Annual Parameters'!$B$33:$W$143,3,FALSE)</f>
        <v>0.3167782939417263</v>
      </c>
      <c r="N56" s="3557">
        <f>'All - MECs'!N56*VLOOKUP($B$14,'Annual Parameters'!$B$33:$W$143,3,FALSE)/VLOOKUP('All - MECs'!$B$14,'Annual Parameters'!$B$33:$W$143,3,FALSE)</f>
        <v>1.1732006452507182</v>
      </c>
      <c r="O56" s="3543">
        <f>'All - MECs'!O56*VLOOKUP($B$14,'Annual Parameters'!$B$33:$W$143,3,FALSE)/VLOOKUP('All - MECs'!$B$14,'Annual Parameters'!$B$33:$W$143,3,FALSE)</f>
        <v>10.563619541221726</v>
      </c>
      <c r="P56" s="3544"/>
      <c r="Q56" s="3541" t="s">
        <v>1449</v>
      </c>
      <c r="R56" s="3542"/>
      <c r="S56" s="3554"/>
      <c r="T56" s="3555">
        <f>'All - MECs'!T56*VLOOKUP($B$14,'Annual Parameters'!$B$33:$W$143,3,FALSE)/VLOOKUP('All - MECs'!$B$14,'Annual Parameters'!$B$33:$W$143,3,FALSE)</f>
        <v>-2.2047449906582788</v>
      </c>
      <c r="U56" s="3555">
        <f>'All - MECs'!U56*VLOOKUP($B$14,'Annual Parameters'!$B$33:$W$143,3,FALSE)/VLOOKUP('All - MECs'!$B$14,'Annual Parameters'!$B$33:$W$143,3,FALSE)</f>
        <v>71.047753966224406</v>
      </c>
      <c r="V56" s="3555">
        <f>'All - MECs'!V56*VLOOKUP($B$14,'Annual Parameters'!$B$33:$W$143,3,FALSE)/VLOOKUP('All - MECs'!$B$14,'Annual Parameters'!$B$33:$W$143,3,FALSE)</f>
        <v>47.290949329535621</v>
      </c>
      <c r="W56" s="3556">
        <f>'All - MECs'!W56*VLOOKUP($B$14,'Annual Parameters'!$B$33:$W$143,3,FALSE)/VLOOKUP('All - MECs'!$B$14,'Annual Parameters'!$B$33:$W$143,3,FALSE)</f>
        <v>-1.8485480358886806</v>
      </c>
      <c r="X56" s="3555">
        <f>'All - MECs'!X56*VLOOKUP($B$14,'Annual Parameters'!$B$33:$W$143,3,FALSE)/VLOOKUP('All - MECs'!$B$14,'Annual Parameters'!$B$33:$W$143,3,FALSE)</f>
        <v>33.715682095856252</v>
      </c>
      <c r="Y56" s="3557">
        <f>'All - MECs'!Y56*VLOOKUP($B$14,'Annual Parameters'!$B$33:$W$143,3,FALSE)/VLOOKUP('All - MECs'!$B$14,'Annual Parameters'!$B$33:$W$143,3,FALSE)</f>
        <v>24.083696111496156</v>
      </c>
      <c r="Z56" s="3558">
        <f>'All - MECs'!Z56*VLOOKUP($B$14,'Annual Parameters'!$B$33:$W$143,3,FALSE)/VLOOKUP('All - MECs'!$B$14,'Annual Parameters'!$B$33:$W$143,3,FALSE)</f>
        <v>13.960614168308336</v>
      </c>
      <c r="AA56" s="3559">
        <f>'All - MECs'!AA56*VLOOKUP($B$14,'Annual Parameters'!$B$33:$W$143,3,FALSE)/VLOOKUP('All - MECs'!$B$14,'Annual Parameters'!$B$33:$W$143,3,FALSE)</f>
        <v>10.787157518993538</v>
      </c>
      <c r="AB56" s="3556">
        <f>'All - MECs'!AB56*VLOOKUP($B$14,'Annual Parameters'!$B$33:$W$143,3,FALSE)/VLOOKUP('All - MECs'!$B$14,'Annual Parameters'!$B$33:$W$143,3,FALSE)</f>
        <v>-3.655967340564831</v>
      </c>
      <c r="AC56" s="3555">
        <f>'All - MECs'!AC56*VLOOKUP($B$14,'Annual Parameters'!$B$33:$W$143,3,FALSE)/VLOOKUP('All - MECs'!$B$14,'Annual Parameters'!$B$33:$W$143,3,FALSE)</f>
        <v>-0.91603191262739259</v>
      </c>
      <c r="AD56" s="3557">
        <f>'All - MECs'!AD56*VLOOKUP($B$14,'Annual Parameters'!$B$33:$W$143,3,FALSE)/VLOOKUP('All - MECs'!$B$14,'Annual Parameters'!$B$33:$W$143,3,FALSE)</f>
        <v>0.36827001336507253</v>
      </c>
      <c r="AE56" s="3543">
        <f>'All - MECs'!AE56*VLOOKUP($B$14,'Annual Parameters'!$B$33:$W$143,3,FALSE)/VLOOKUP('All - MECs'!$B$14,'Annual Parameters'!$B$33:$W$143,3,FALSE)</f>
        <v>9.7653586777827677</v>
      </c>
      <c r="AF56" s="3544"/>
      <c r="AG56" s="3541" t="s">
        <v>1449</v>
      </c>
      <c r="AH56" s="3542"/>
      <c r="AI56" s="3554"/>
      <c r="AJ56" s="3555">
        <f>'All - MECs'!AJ56*VLOOKUP($B$14,'Annual Parameters'!$B$33:$W$143,3,FALSE)/VLOOKUP('All - MECs'!$B$14,'Annual Parameters'!$B$33:$W$143,3,FALSE)</f>
        <v>-0.37348098647906269</v>
      </c>
      <c r="AK56" s="3555">
        <f>'All - MECs'!AK56*VLOOKUP($B$14,'Annual Parameters'!$B$33:$W$143,3,FALSE)/VLOOKUP('All - MECs'!$B$14,'Annual Parameters'!$B$33:$W$143,3,FALSE)</f>
        <v>138.55283635071774</v>
      </c>
      <c r="AL56" s="3555">
        <f>'All - MECs'!AL56*VLOOKUP($B$14,'Annual Parameters'!$B$33:$W$143,3,FALSE)/VLOOKUP('All - MECs'!$B$14,'Annual Parameters'!$B$33:$W$143,3,FALSE)</f>
        <v>110.24245674174961</v>
      </c>
      <c r="AM56" s="3556">
        <f>'All - MECs'!AM56*VLOOKUP($B$14,'Annual Parameters'!$B$33:$W$143,3,FALSE)/VLOOKUP('All - MECs'!$B$14,'Annual Parameters'!$B$33:$W$143,3,FALSE)</f>
        <v>-0.32997166449714399</v>
      </c>
      <c r="AN56" s="3555">
        <f>'All - MECs'!AN56*VLOOKUP($B$14,'Annual Parameters'!$B$33:$W$143,3,FALSE)/VLOOKUP('All - MECs'!$B$14,'Annual Parameters'!$B$33:$W$143,3,FALSE)</f>
        <v>65.48846705058908</v>
      </c>
      <c r="AO56" s="3557">
        <f>'All - MECs'!AO56*VLOOKUP($B$14,'Annual Parameters'!$B$33:$W$143,3,FALSE)/VLOOKUP('All - MECs'!$B$14,'Annual Parameters'!$B$33:$W$143,3,FALSE)</f>
        <v>63.860827926063337</v>
      </c>
      <c r="AP56" s="3558">
        <f>'All - MECs'!AP56*VLOOKUP($B$14,'Annual Parameters'!$B$33:$W$143,3,FALSE)/VLOOKUP('All - MECs'!$B$14,'Annual Parameters'!$B$33:$W$143,3,FALSE)</f>
        <v>27.251514893639058</v>
      </c>
      <c r="AQ56" s="3559">
        <f>'All - MECs'!AQ56*VLOOKUP($B$14,'Annual Parameters'!$B$33:$W$143,3,FALSE)/VLOOKUP('All - MECs'!$B$14,'Annual Parameters'!$B$33:$W$143,3,FALSE)</f>
        <v>37.784130228767133</v>
      </c>
      <c r="AR56" s="3556">
        <f>'All - MECs'!AR56*VLOOKUP($B$14,'Annual Parameters'!$B$33:$W$143,3,FALSE)/VLOOKUP('All - MECs'!$B$14,'Annual Parameters'!$B$33:$W$143,3,FALSE)</f>
        <v>-8.5513914400152302</v>
      </c>
      <c r="AS56" s="3555">
        <f>'All - MECs'!AS56*VLOOKUP($B$14,'Annual Parameters'!$B$33:$W$143,3,FALSE)/VLOOKUP('All - MECs'!$B$14,'Annual Parameters'!$B$33:$W$143,3,FALSE)</f>
        <v>0.4825119393900561</v>
      </c>
      <c r="AT56" s="3557">
        <f>'All - MECs'!AT56*VLOOKUP($B$14,'Annual Parameters'!$B$33:$W$143,3,FALSE)/VLOOKUP('All - MECs'!$B$14,'Annual Parameters'!$B$33:$W$143,3,FALSE)</f>
        <v>20.725172814547932</v>
      </c>
      <c r="AU56" s="3543">
        <f>'All - MECs'!AU56*VLOOKUP($B$14,'Annual Parameters'!$B$33:$W$143,3,FALSE)/VLOOKUP('All - MECs'!$B$14,'Annual Parameters'!$B$33:$W$143,3,FALSE)</f>
        <v>22.02899613537836</v>
      </c>
      <c r="AV56" s="3544"/>
      <c r="AW56" s="3541" t="s">
        <v>1449</v>
      </c>
      <c r="AX56" s="3542"/>
      <c r="AY56" s="3554"/>
      <c r="AZ56" s="3555">
        <f>'All - MECs'!AZ56*VLOOKUP($B$14,'Annual Parameters'!$B$33:$W$143,3,FALSE)/VLOOKUP('All - MECs'!$B$14,'Annual Parameters'!$B$33:$W$143,3,FALSE)</f>
        <v>7.7771590325375612</v>
      </c>
      <c r="BA56" s="3555">
        <f>'All - MECs'!BA56*VLOOKUP($B$14,'Annual Parameters'!$B$33:$W$143,3,FALSE)/VLOOKUP('All - MECs'!$B$14,'Annual Parameters'!$B$33:$W$143,3,FALSE)</f>
        <v>225.50016765923721</v>
      </c>
      <c r="BB56" s="3555">
        <f>'All - MECs'!BB56*VLOOKUP($B$14,'Annual Parameters'!$B$33:$W$143,3,FALSE)/VLOOKUP('All - MECs'!$B$14,'Annual Parameters'!$B$33:$W$143,3,FALSE)</f>
        <v>230.2135372023015</v>
      </c>
      <c r="BC56" s="3556">
        <f>'All - MECs'!BC56*VLOOKUP($B$14,'Annual Parameters'!$B$33:$W$143,3,FALSE)/VLOOKUP('All - MECs'!$B$14,'Annual Parameters'!$B$33:$W$143,3,FALSE)</f>
        <v>7.5538686570760198</v>
      </c>
      <c r="BD56" s="3555">
        <f>'All - MECs'!BD56*VLOOKUP($B$14,'Annual Parameters'!$B$33:$W$143,3,FALSE)/VLOOKUP('All - MECs'!$B$14,'Annual Parameters'!$B$33:$W$143,3,FALSE)</f>
        <v>110.98034330066258</v>
      </c>
      <c r="BE56" s="3557">
        <f>'All - MECs'!BE56*VLOOKUP($B$14,'Annual Parameters'!$B$33:$W$143,3,FALSE)/VLOOKUP('All - MECs'!$B$14,'Annual Parameters'!$B$33:$W$143,3,FALSE)</f>
        <v>155.93562281636491</v>
      </c>
      <c r="BF56" s="3558">
        <f>'All - MECs'!BF56*VLOOKUP($B$14,'Annual Parameters'!$B$33:$W$143,3,FALSE)/VLOOKUP('All - MECs'!$B$14,'Annual Parameters'!$B$33:$W$143,3,FALSE)</f>
        <v>51.771187126746561</v>
      </c>
      <c r="BG56" s="3559">
        <f>'All - MECs'!BG56*VLOOKUP($B$14,'Annual Parameters'!$B$33:$W$143,3,FALSE)/VLOOKUP('All - MECs'!$B$14,'Annual Parameters'!$B$33:$W$143,3,FALSE)</f>
        <v>115.5737537694156</v>
      </c>
      <c r="BH56" s="3556">
        <f>'All - MECs'!BH56*VLOOKUP($B$14,'Annual Parameters'!$B$33:$W$143,3,FALSE)/VLOOKUP('All - MECs'!$B$14,'Annual Parameters'!$B$33:$W$143,3,FALSE)</f>
        <v>-6.9436409886470862</v>
      </c>
      <c r="BI56" s="3555">
        <f>'All - MECs'!BI56*VLOOKUP($B$14,'Annual Parameters'!$B$33:$W$143,3,FALSE)/VLOOKUP('All - MECs'!$B$14,'Annual Parameters'!$B$33:$W$143,3,FALSE)</f>
        <v>8.6895805216924877</v>
      </c>
      <c r="BJ56" s="3557">
        <f>'All - MECs'!BJ56*VLOOKUP($B$14,'Annual Parameters'!$B$33:$W$143,3,FALSE)/VLOOKUP('All - MECs'!$B$14,'Annual Parameters'!$B$33:$W$143,3,FALSE)</f>
        <v>88.903531885200096</v>
      </c>
      <c r="BK56" s="3543">
        <f>'All - MECs'!BK56*VLOOKUP($B$14,'Annual Parameters'!$B$33:$W$143,3,FALSE)/VLOOKUP('All - MECs'!$B$14,'Annual Parameters'!$B$33:$W$143,3,FALSE)</f>
        <v>33.787535054038287</v>
      </c>
      <c r="BL56" s="3544"/>
      <c r="BM56" s="3541" t="s">
        <v>1449</v>
      </c>
      <c r="BN56" s="3542"/>
      <c r="BO56" s="3554"/>
      <c r="BP56" s="3555">
        <f>'All - MECs'!BP56*VLOOKUP($B$14,'Annual Parameters'!$B$33:$W$143,3,FALSE)/VLOOKUP('All - MECs'!$B$14,'Annual Parameters'!$B$33:$W$143,3,FALSE)</f>
        <v>-2.6788810105610548</v>
      </c>
      <c r="BQ56" s="3555">
        <f>'All - MECs'!BQ56*VLOOKUP($B$14,'Annual Parameters'!$B$33:$W$143,3,FALSE)/VLOOKUP('All - MECs'!$B$14,'Annual Parameters'!$B$33:$W$143,3,FALSE)</f>
        <v>175.40585826540891</v>
      </c>
      <c r="BR56" s="3555">
        <f>'All - MECs'!BR56*VLOOKUP($B$14,'Annual Parameters'!$B$33:$W$143,3,FALSE)/VLOOKUP('All - MECs'!$B$14,'Annual Parameters'!$B$33:$W$143,3,FALSE)</f>
        <v>116.99710974520659</v>
      </c>
      <c r="BS56" s="3556">
        <f>'All - MECs'!BS56*VLOOKUP($B$14,'Annual Parameters'!$B$33:$W$143,3,FALSE)/VLOOKUP('All - MECs'!$B$14,'Annual Parameters'!$B$33:$W$143,3,FALSE)</f>
        <v>-3.8713029816275868</v>
      </c>
      <c r="BT56" s="3555">
        <f>'All - MECs'!BT56*VLOOKUP($B$14,'Annual Parameters'!$B$33:$W$143,3,FALSE)/VLOOKUP('All - MECs'!$B$14,'Annual Parameters'!$B$33:$W$143,3,FALSE)</f>
        <v>74.52324417815143</v>
      </c>
      <c r="BU56" s="3557">
        <f>'All - MECs'!BU56*VLOOKUP($B$14,'Annual Parameters'!$B$33:$W$143,3,FALSE)/VLOOKUP('All - MECs'!$B$14,'Annual Parameters'!$B$33:$W$143,3,FALSE)</f>
        <v>49.610177158921573</v>
      </c>
      <c r="BV56" s="3558">
        <f>'All - MECs'!BV56*VLOOKUP($B$14,'Annual Parameters'!$B$33:$W$143,3,FALSE)/VLOOKUP('All - MECs'!$B$14,'Annual Parameters'!$B$33:$W$143,3,FALSE)</f>
        <v>24.819208862584166</v>
      </c>
      <c r="BW56" s="3559">
        <f>'All - MECs'!BW56*VLOOKUP($B$14,'Annual Parameters'!$B$33:$W$143,3,FALSE)/VLOOKUP('All - MECs'!$B$14,'Annual Parameters'!$B$33:$W$143,3,FALSE)</f>
        <v>15.596167948612965</v>
      </c>
      <c r="BX56" s="3556">
        <f>'All - MECs'!BX56*VLOOKUP($B$14,'Annual Parameters'!$B$33:$W$143,3,FALSE)/VLOOKUP('All - MECs'!$B$14,'Annual Parameters'!$B$33:$W$143,3,FALSE)</f>
        <v>-9.1809125129839941</v>
      </c>
      <c r="BY56" s="3555">
        <f>'All - MECs'!BY56*VLOOKUP($B$14,'Annual Parameters'!$B$33:$W$143,3,FALSE)/VLOOKUP('All - MECs'!$B$14,'Annual Parameters'!$B$33:$W$143,3,FALSE)</f>
        <v>-4.6300215734085466</v>
      </c>
      <c r="BZ56" s="3557">
        <f>'All - MECs'!BZ56*VLOOKUP($B$14,'Annual Parameters'!$B$33:$W$143,3,FALSE)/VLOOKUP('All - MECs'!$B$14,'Annual Parameters'!$B$33:$W$143,3,FALSE)</f>
        <v>-3.0636730035259983</v>
      </c>
      <c r="CA56" s="3543">
        <f>'All - MECs'!CA56*VLOOKUP($B$14,'Annual Parameters'!$B$33:$W$143,3,FALSE)/VLOOKUP('All - MECs'!$B$14,'Annual Parameters'!$B$33:$W$143,3,FALSE)</f>
        <v>20.040887009917956</v>
      </c>
    </row>
    <row r="57" spans="1:95" ht="13.5" customHeight="1" thickTop="1"/>
    <row r="58" spans="1:95" ht="13.5" customHeight="1" thickBot="1"/>
    <row r="59" spans="1:95" ht="13.95" customHeight="1" thickTop="1" thickBot="1">
      <c r="A59" s="3478" t="s">
        <v>2496</v>
      </c>
      <c r="B59" s="3479"/>
      <c r="C59" s="3479"/>
      <c r="D59" s="3480">
        <v>2020</v>
      </c>
      <c r="E59" s="3479" t="s">
        <v>2497</v>
      </c>
      <c r="F59" s="3479"/>
      <c r="G59" s="3479"/>
      <c r="H59" s="3479"/>
      <c r="I59" s="3479"/>
      <c r="J59" s="3479"/>
      <c r="K59" s="3479"/>
      <c r="L59" s="3479"/>
      <c r="M59" s="3479"/>
      <c r="N59" s="3481"/>
      <c r="O59" s="3482"/>
      <c r="P59" s="3544"/>
      <c r="Q59" s="3478" t="s">
        <v>2496</v>
      </c>
      <c r="R59" s="3479"/>
      <c r="S59" s="3479"/>
      <c r="T59" s="3480">
        <v>2020</v>
      </c>
      <c r="U59" s="3479" t="s">
        <v>2498</v>
      </c>
      <c r="V59" s="3479"/>
      <c r="W59" s="3479"/>
      <c r="X59" s="3479"/>
      <c r="Y59" s="3479"/>
      <c r="Z59" s="3479"/>
      <c r="AA59" s="3479"/>
      <c r="AB59" s="3479"/>
      <c r="AC59" s="3479"/>
      <c r="AD59" s="3481"/>
      <c r="AE59" s="3482"/>
      <c r="AF59" s="3544"/>
      <c r="AG59" s="3478" t="s">
        <v>1967</v>
      </c>
      <c r="AH59" s="3479"/>
      <c r="AI59" s="3479"/>
      <c r="AJ59" s="3480">
        <v>2020</v>
      </c>
      <c r="AK59" s="3479" t="s">
        <v>2499</v>
      </c>
      <c r="AL59" s="3479"/>
      <c r="AM59" s="3479"/>
      <c r="AN59" s="3479"/>
      <c r="AO59" s="3479"/>
      <c r="AP59" s="3479"/>
      <c r="AQ59" s="3479"/>
      <c r="AR59" s="3479"/>
      <c r="AS59" s="3479"/>
      <c r="AT59" s="3481"/>
      <c r="AU59" s="3482"/>
      <c r="AV59" s="3544"/>
      <c r="AW59" s="3478" t="s">
        <v>1963</v>
      </c>
      <c r="AX59" s="3479"/>
      <c r="AY59" s="3479"/>
      <c r="AZ59" s="3480">
        <v>2020</v>
      </c>
      <c r="BA59" s="3479" t="s">
        <v>2500</v>
      </c>
      <c r="BB59" s="3479"/>
      <c r="BC59" s="3479"/>
      <c r="BD59" s="3479"/>
      <c r="BE59" s="3479"/>
      <c r="BF59" s="3479"/>
      <c r="BG59" s="3479"/>
      <c r="BH59" s="3479"/>
      <c r="BI59" s="3479"/>
      <c r="BJ59" s="3481"/>
      <c r="BK59" s="3482"/>
      <c r="BL59" s="3544"/>
      <c r="BM59" s="3478" t="s">
        <v>1968</v>
      </c>
      <c r="BN59" s="3479"/>
      <c r="BO59" s="3479"/>
      <c r="BP59" s="3480">
        <v>2020</v>
      </c>
      <c r="BQ59" s="3479" t="s">
        <v>2501</v>
      </c>
      <c r="BR59" s="3479"/>
      <c r="BS59" s="3479"/>
      <c r="BT59" s="3479"/>
      <c r="BU59" s="3479"/>
      <c r="BV59" s="3479"/>
      <c r="BW59" s="3479"/>
      <c r="BX59" s="3479"/>
      <c r="BY59" s="3479"/>
      <c r="BZ59" s="3481"/>
      <c r="CA59" s="3482"/>
    </row>
    <row r="60" spans="1:95" ht="13.5" customHeight="1" thickTop="1">
      <c r="A60" s="3483"/>
      <c r="B60" s="3484"/>
      <c r="C60" s="3851" t="s">
        <v>1130</v>
      </c>
      <c r="D60" s="3855" t="s">
        <v>1487</v>
      </c>
      <c r="E60" s="3856"/>
      <c r="F60" s="3857"/>
      <c r="G60" s="3855" t="s">
        <v>1089</v>
      </c>
      <c r="H60" s="3856"/>
      <c r="I60" s="3857"/>
      <c r="J60" s="3858" t="s">
        <v>1132</v>
      </c>
      <c r="K60" s="3859"/>
      <c r="L60" s="3855" t="s">
        <v>789</v>
      </c>
      <c r="M60" s="3856"/>
      <c r="N60" s="3857"/>
      <c r="O60" s="3853" t="s">
        <v>1090</v>
      </c>
      <c r="P60" s="3544"/>
      <c r="Q60" s="3483"/>
      <c r="R60" s="3484"/>
      <c r="S60" s="3851" t="s">
        <v>1130</v>
      </c>
      <c r="T60" s="3855" t="s">
        <v>1487</v>
      </c>
      <c r="U60" s="3856"/>
      <c r="V60" s="3857"/>
      <c r="W60" s="3855" t="s">
        <v>1089</v>
      </c>
      <c r="X60" s="3856"/>
      <c r="Y60" s="3857"/>
      <c r="Z60" s="3858" t="s">
        <v>1132</v>
      </c>
      <c r="AA60" s="3859"/>
      <c r="AB60" s="3855" t="s">
        <v>789</v>
      </c>
      <c r="AC60" s="3856"/>
      <c r="AD60" s="3857"/>
      <c r="AE60" s="3853" t="s">
        <v>1090</v>
      </c>
      <c r="AF60" s="3544"/>
      <c r="AG60" s="3483"/>
      <c r="AH60" s="3484"/>
      <c r="AI60" s="3851" t="s">
        <v>1130</v>
      </c>
      <c r="AJ60" s="3855" t="s">
        <v>1487</v>
      </c>
      <c r="AK60" s="3856"/>
      <c r="AL60" s="3857"/>
      <c r="AM60" s="3855" t="s">
        <v>1089</v>
      </c>
      <c r="AN60" s="3856"/>
      <c r="AO60" s="3857"/>
      <c r="AP60" s="3858" t="s">
        <v>1132</v>
      </c>
      <c r="AQ60" s="3859"/>
      <c r="AR60" s="3855" t="s">
        <v>789</v>
      </c>
      <c r="AS60" s="3856"/>
      <c r="AT60" s="3857"/>
      <c r="AU60" s="3853" t="s">
        <v>1090</v>
      </c>
      <c r="AV60" s="3544"/>
      <c r="AW60" s="3483"/>
      <c r="AX60" s="3484"/>
      <c r="AY60" s="3851" t="s">
        <v>1130</v>
      </c>
      <c r="AZ60" s="3855" t="s">
        <v>1487</v>
      </c>
      <c r="BA60" s="3856"/>
      <c r="BB60" s="3857"/>
      <c r="BC60" s="3855" t="s">
        <v>1089</v>
      </c>
      <c r="BD60" s="3856"/>
      <c r="BE60" s="3857"/>
      <c r="BF60" s="3858" t="s">
        <v>1132</v>
      </c>
      <c r="BG60" s="3859"/>
      <c r="BH60" s="3855" t="s">
        <v>789</v>
      </c>
      <c r="BI60" s="3856"/>
      <c r="BJ60" s="3857"/>
      <c r="BK60" s="3853" t="s">
        <v>1090</v>
      </c>
      <c r="BL60" s="3544"/>
      <c r="BM60" s="3483"/>
      <c r="BN60" s="3484"/>
      <c r="BO60" s="3851" t="s">
        <v>1130</v>
      </c>
      <c r="BP60" s="3855" t="s">
        <v>1487</v>
      </c>
      <c r="BQ60" s="3856"/>
      <c r="BR60" s="3857"/>
      <c r="BS60" s="3855" t="s">
        <v>1089</v>
      </c>
      <c r="BT60" s="3856"/>
      <c r="BU60" s="3857"/>
      <c r="BV60" s="3858" t="s">
        <v>1132</v>
      </c>
      <c r="BW60" s="3859"/>
      <c r="BX60" s="3855" t="s">
        <v>789</v>
      </c>
      <c r="BY60" s="3856"/>
      <c r="BZ60" s="3857"/>
      <c r="CA60" s="3853" t="s">
        <v>1090</v>
      </c>
      <c r="CB60" s="2898"/>
      <c r="CC60" s="2898"/>
      <c r="CD60" s="2898"/>
      <c r="CE60" s="2898"/>
      <c r="CF60" s="2898"/>
      <c r="CG60" s="2898"/>
      <c r="CH60" s="2898"/>
      <c r="CI60" s="2898"/>
      <c r="CJ60" s="2898"/>
      <c r="CK60" s="2898"/>
      <c r="CL60" s="2898"/>
      <c r="CM60" s="2898"/>
      <c r="CN60" s="2898"/>
      <c r="CO60" s="2898"/>
      <c r="CP60" s="2898"/>
      <c r="CQ60" s="2898"/>
    </row>
    <row r="61" spans="1:95" ht="13.5" customHeight="1" thickBot="1">
      <c r="A61" s="3485" t="s">
        <v>1093</v>
      </c>
      <c r="B61" s="3486"/>
      <c r="C61" s="3852"/>
      <c r="D61" s="3487" t="s">
        <v>1058</v>
      </c>
      <c r="E61" s="3488" t="s">
        <v>1091</v>
      </c>
      <c r="F61" s="3489" t="s">
        <v>1092</v>
      </c>
      <c r="G61" s="3490" t="s">
        <v>1058</v>
      </c>
      <c r="H61" s="3491" t="s">
        <v>1091</v>
      </c>
      <c r="I61" s="3492" t="s">
        <v>1092</v>
      </c>
      <c r="J61" s="3487" t="s">
        <v>1091</v>
      </c>
      <c r="K61" s="3489" t="s">
        <v>1092</v>
      </c>
      <c r="L61" s="3487" t="s">
        <v>1058</v>
      </c>
      <c r="M61" s="3488" t="s">
        <v>1091</v>
      </c>
      <c r="N61" s="3489" t="s">
        <v>1092</v>
      </c>
      <c r="O61" s="3854"/>
      <c r="P61" s="3544"/>
      <c r="Q61" s="3485" t="s">
        <v>1093</v>
      </c>
      <c r="R61" s="3486"/>
      <c r="S61" s="3852"/>
      <c r="T61" s="3487" t="s">
        <v>1058</v>
      </c>
      <c r="U61" s="3488" t="s">
        <v>1091</v>
      </c>
      <c r="V61" s="3489" t="s">
        <v>1092</v>
      </c>
      <c r="W61" s="3490" t="s">
        <v>1058</v>
      </c>
      <c r="X61" s="3491" t="s">
        <v>1091</v>
      </c>
      <c r="Y61" s="3492" t="s">
        <v>1092</v>
      </c>
      <c r="Z61" s="3487" t="s">
        <v>1091</v>
      </c>
      <c r="AA61" s="3489" t="s">
        <v>1092</v>
      </c>
      <c r="AB61" s="3487" t="s">
        <v>1058</v>
      </c>
      <c r="AC61" s="3488" t="s">
        <v>1091</v>
      </c>
      <c r="AD61" s="3489" t="s">
        <v>1092</v>
      </c>
      <c r="AE61" s="3854"/>
      <c r="AF61" s="3544"/>
      <c r="AG61" s="3485" t="s">
        <v>1093</v>
      </c>
      <c r="AH61" s="3486"/>
      <c r="AI61" s="3852"/>
      <c r="AJ61" s="3487" t="s">
        <v>1058</v>
      </c>
      <c r="AK61" s="3488" t="s">
        <v>1091</v>
      </c>
      <c r="AL61" s="3489" t="s">
        <v>1092</v>
      </c>
      <c r="AM61" s="3490" t="s">
        <v>1058</v>
      </c>
      <c r="AN61" s="3491" t="s">
        <v>1091</v>
      </c>
      <c r="AO61" s="3492" t="s">
        <v>1092</v>
      </c>
      <c r="AP61" s="3487" t="s">
        <v>1091</v>
      </c>
      <c r="AQ61" s="3489" t="s">
        <v>1092</v>
      </c>
      <c r="AR61" s="3487" t="s">
        <v>1058</v>
      </c>
      <c r="AS61" s="3488" t="s">
        <v>1091</v>
      </c>
      <c r="AT61" s="3489" t="s">
        <v>1092</v>
      </c>
      <c r="AU61" s="3854"/>
      <c r="AV61" s="3544"/>
      <c r="AW61" s="3485" t="s">
        <v>1093</v>
      </c>
      <c r="AX61" s="3486"/>
      <c r="AY61" s="3852"/>
      <c r="AZ61" s="3487" t="s">
        <v>1058</v>
      </c>
      <c r="BA61" s="3488" t="s">
        <v>1091</v>
      </c>
      <c r="BB61" s="3489" t="s">
        <v>1092</v>
      </c>
      <c r="BC61" s="3490" t="s">
        <v>1058</v>
      </c>
      <c r="BD61" s="3491" t="s">
        <v>1091</v>
      </c>
      <c r="BE61" s="3492" t="s">
        <v>1092</v>
      </c>
      <c r="BF61" s="3487" t="s">
        <v>1091</v>
      </c>
      <c r="BG61" s="3489" t="s">
        <v>1092</v>
      </c>
      <c r="BH61" s="3487" t="s">
        <v>1058</v>
      </c>
      <c r="BI61" s="3488" t="s">
        <v>1091</v>
      </c>
      <c r="BJ61" s="3489" t="s">
        <v>1092</v>
      </c>
      <c r="BK61" s="3854"/>
      <c r="BL61" s="3544"/>
      <c r="BM61" s="3485" t="s">
        <v>1093</v>
      </c>
      <c r="BN61" s="3486"/>
      <c r="BO61" s="3852"/>
      <c r="BP61" s="3487" t="s">
        <v>1058</v>
      </c>
      <c r="BQ61" s="3488" t="s">
        <v>1091</v>
      </c>
      <c r="BR61" s="3489" t="s">
        <v>1092</v>
      </c>
      <c r="BS61" s="3490" t="s">
        <v>1058</v>
      </c>
      <c r="BT61" s="3491" t="s">
        <v>1091</v>
      </c>
      <c r="BU61" s="3492" t="s">
        <v>1092</v>
      </c>
      <c r="BV61" s="3487" t="s">
        <v>1091</v>
      </c>
      <c r="BW61" s="3489" t="s">
        <v>1092</v>
      </c>
      <c r="BX61" s="3487" t="s">
        <v>1058</v>
      </c>
      <c r="BY61" s="3488" t="s">
        <v>1091</v>
      </c>
      <c r="BZ61" s="3489" t="s">
        <v>1092</v>
      </c>
      <c r="CA61" s="3854"/>
    </row>
    <row r="62" spans="1:95" ht="13.5" customHeight="1" thickTop="1">
      <c r="A62" s="3860" t="s">
        <v>1094</v>
      </c>
      <c r="B62" s="3493"/>
      <c r="C62" s="3494">
        <v>1</v>
      </c>
      <c r="D62" s="3495">
        <f>'All - MECs'!D62*VLOOKUP($B$14,'Annual Parameters'!$B$33:$W$143,3,FALSE)/VLOOKUP('All - MECs'!$B$14,'Annual Parameters'!$B$33:$W$143,3,FALSE)</f>
        <v>-1.097191432541967E-2</v>
      </c>
      <c r="E62" s="3496">
        <f>'All - MECs'!E62*VLOOKUP($B$14,'Annual Parameters'!$B$33:$W$143,3,FALSE)/VLOOKUP('All - MECs'!$B$14,'Annual Parameters'!$B$33:$W$143,3,FALSE)</f>
        <v>1.2061928096871515</v>
      </c>
      <c r="F62" s="3496">
        <f>'All - MECs'!F62*VLOOKUP($B$14,'Annual Parameters'!$B$33:$W$143,3,FALSE)/VLOOKUP('All - MECs'!$B$14,'Annual Parameters'!$B$33:$W$143,3,FALSE)</f>
        <v>12.267574929276986</v>
      </c>
      <c r="G62" s="3497">
        <f>'All - MECs'!G62*VLOOKUP($B$14,'Annual Parameters'!$B$33:$W$143,3,FALSE)/VLOOKUP('All - MECs'!$B$14,'Annual Parameters'!$B$33:$W$143,3,FALSE)</f>
        <v>3.128318736543359E-3</v>
      </c>
      <c r="H62" s="3498">
        <f>'All - MECs'!H62*VLOOKUP($B$14,'Annual Parameters'!$B$33:$W$143,3,FALSE)/VLOOKUP('All - MECs'!$B$14,'Annual Parameters'!$B$33:$W$143,3,FALSE)</f>
        <v>0.86653876877353853</v>
      </c>
      <c r="I62" s="3499">
        <f>'All - MECs'!I62*VLOOKUP($B$14,'Annual Parameters'!$B$33:$W$143,3,FALSE)/VLOOKUP('All - MECs'!$B$14,'Annual Parameters'!$B$33:$W$143,3,FALSE)</f>
        <v>2.2506602014741612</v>
      </c>
      <c r="J62" s="3500">
        <f>'All - MECs'!J62*VLOOKUP($B$14,'Annual Parameters'!$B$33:$W$143,3,FALSE)/VLOOKUP('All - MECs'!$B$14,'Annual Parameters'!$B$33:$W$143,3,FALSE)</f>
        <v>0.53013501947143959</v>
      </c>
      <c r="K62" s="3501">
        <f>'All - MECs'!K62*VLOOKUP($B$14,'Annual Parameters'!$B$33:$W$143,3,FALSE)/VLOOKUP('All - MECs'!$B$14,'Annual Parameters'!$B$33:$W$143,3,FALSE)</f>
        <v>2.232461323758423</v>
      </c>
      <c r="L62" s="3495">
        <f>'All - MECs'!L62*VLOOKUP($B$14,'Annual Parameters'!$B$33:$W$143,3,FALSE)/VLOOKUP('All - MECs'!$B$14,'Annual Parameters'!$B$33:$W$143,3,FALSE)</f>
        <v>-6.9044382403593389E-3</v>
      </c>
      <c r="M62" s="3496">
        <f>'All - MECs'!M62*VLOOKUP($B$14,'Annual Parameters'!$B$33:$W$143,3,FALSE)/VLOOKUP('All - MECs'!$B$14,'Annual Parameters'!$B$33:$W$143,3,FALSE)</f>
        <v>0.36902214328786476</v>
      </c>
      <c r="N62" s="3501">
        <f>'All - MECs'!N62*VLOOKUP($B$14,'Annual Parameters'!$B$33:$W$143,3,FALSE)/VLOOKUP('All - MECs'!$B$14,'Annual Parameters'!$B$33:$W$143,3,FALSE)</f>
        <v>0.18195826564198586</v>
      </c>
      <c r="O62" s="3502">
        <f>'All - MECs'!O62*VLOOKUP($B$14,'Annual Parameters'!$B$33:$W$143,3,FALSE)/VLOOKUP('All - MECs'!$B$14,'Annual Parameters'!$B$33:$W$143,3,FALSE)</f>
        <v>1.1803227414978803</v>
      </c>
      <c r="P62" s="3544"/>
      <c r="Q62" s="3860" t="s">
        <v>1094</v>
      </c>
      <c r="R62" s="3493"/>
      <c r="S62" s="3494">
        <v>1</v>
      </c>
      <c r="T62" s="3495">
        <f>'All - MECs'!T62*VLOOKUP($B$14,'Annual Parameters'!$B$33:$W$143,3,FALSE)/VLOOKUP('All - MECs'!$B$14,'Annual Parameters'!$B$33:$W$143,3,FALSE)</f>
        <v>-1.097191432541967E-2</v>
      </c>
      <c r="U62" s="3496">
        <f>'All - MECs'!U62*VLOOKUP($B$14,'Annual Parameters'!$B$33:$W$143,3,FALSE)/VLOOKUP('All - MECs'!$B$14,'Annual Parameters'!$B$33:$W$143,3,FALSE)</f>
        <v>1.2061928096871515</v>
      </c>
      <c r="V62" s="3496">
        <f>'All - MECs'!V62*VLOOKUP($B$14,'Annual Parameters'!$B$33:$W$143,3,FALSE)/VLOOKUP('All - MECs'!$B$14,'Annual Parameters'!$B$33:$W$143,3,FALSE)</f>
        <v>12.267574929276986</v>
      </c>
      <c r="W62" s="3497">
        <f>'All - MECs'!W62*VLOOKUP($B$14,'Annual Parameters'!$B$33:$W$143,3,FALSE)/VLOOKUP('All - MECs'!$B$14,'Annual Parameters'!$B$33:$W$143,3,FALSE)</f>
        <v>3.128318736543359E-3</v>
      </c>
      <c r="X62" s="3498">
        <f>'All - MECs'!X62*VLOOKUP($B$14,'Annual Parameters'!$B$33:$W$143,3,FALSE)/VLOOKUP('All - MECs'!$B$14,'Annual Parameters'!$B$33:$W$143,3,FALSE)</f>
        <v>0.86653876877353853</v>
      </c>
      <c r="Y62" s="3499">
        <f>'All - MECs'!Y62*VLOOKUP($B$14,'Annual Parameters'!$B$33:$W$143,3,FALSE)/VLOOKUP('All - MECs'!$B$14,'Annual Parameters'!$B$33:$W$143,3,FALSE)</f>
        <v>2.2506602014741612</v>
      </c>
      <c r="Z62" s="3500">
        <f>'All - MECs'!Z62*VLOOKUP($B$14,'Annual Parameters'!$B$33:$W$143,3,FALSE)/VLOOKUP('All - MECs'!$B$14,'Annual Parameters'!$B$33:$W$143,3,FALSE)</f>
        <v>0.53013501947143959</v>
      </c>
      <c r="AA62" s="3501">
        <f>'All - MECs'!AA62*VLOOKUP($B$14,'Annual Parameters'!$B$33:$W$143,3,FALSE)/VLOOKUP('All - MECs'!$B$14,'Annual Parameters'!$B$33:$W$143,3,FALSE)</f>
        <v>2.232461323758423</v>
      </c>
      <c r="AB62" s="3495">
        <f>'All - MECs'!AB62*VLOOKUP($B$14,'Annual Parameters'!$B$33:$W$143,3,FALSE)/VLOOKUP('All - MECs'!$B$14,'Annual Parameters'!$B$33:$W$143,3,FALSE)</f>
        <v>-6.9044382403593389E-3</v>
      </c>
      <c r="AC62" s="3496">
        <f>'All - MECs'!AC62*VLOOKUP($B$14,'Annual Parameters'!$B$33:$W$143,3,FALSE)/VLOOKUP('All - MECs'!$B$14,'Annual Parameters'!$B$33:$W$143,3,FALSE)</f>
        <v>0.36902214328786476</v>
      </c>
      <c r="AD62" s="3501">
        <f>'All - MECs'!AD62*VLOOKUP($B$14,'Annual Parameters'!$B$33:$W$143,3,FALSE)/VLOOKUP('All - MECs'!$B$14,'Annual Parameters'!$B$33:$W$143,3,FALSE)</f>
        <v>0.18195826564198586</v>
      </c>
      <c r="AE62" s="3502">
        <f>'All - MECs'!AE62*VLOOKUP($B$14,'Annual Parameters'!$B$33:$W$143,3,FALSE)/VLOOKUP('All - MECs'!$B$14,'Annual Parameters'!$B$33:$W$143,3,FALSE)</f>
        <v>1.1803227414978803</v>
      </c>
      <c r="AF62" s="3544"/>
      <c r="AG62" s="3860" t="s">
        <v>1094</v>
      </c>
      <c r="AH62" s="3493"/>
      <c r="AI62" s="3494">
        <v>1</v>
      </c>
      <c r="AJ62" s="3495">
        <f>'All - MECs'!AJ62*VLOOKUP($B$14,'Annual Parameters'!$B$33:$W$143,3,FALSE)/VLOOKUP('All - MECs'!$B$14,'Annual Parameters'!$B$33:$W$143,3,FALSE)</f>
        <v>-2.0846637218297371E-2</v>
      </c>
      <c r="AK62" s="3496">
        <f>'All - MECs'!AK62*VLOOKUP($B$14,'Annual Parameters'!$B$33:$W$143,3,FALSE)/VLOOKUP('All - MECs'!$B$14,'Annual Parameters'!$B$33:$W$143,3,FALSE)</f>
        <v>2.2917663384055875</v>
      </c>
      <c r="AL62" s="3496">
        <f>'All - MECs'!AL62*VLOOKUP($B$14,'Annual Parameters'!$B$33:$W$143,3,FALSE)/VLOOKUP('All - MECs'!$B$14,'Annual Parameters'!$B$33:$W$143,3,FALSE)</f>
        <v>23.308392365626272</v>
      </c>
      <c r="AM62" s="3497">
        <f>'All - MECs'!AM62*VLOOKUP($B$14,'Annual Parameters'!$B$33:$W$143,3,FALSE)/VLOOKUP('All - MECs'!$B$14,'Annual Parameters'!$B$33:$W$143,3,FALSE)</f>
        <v>5.9438055994323821E-3</v>
      </c>
      <c r="AN62" s="3498">
        <f>'All - MECs'!AN62*VLOOKUP($B$14,'Annual Parameters'!$B$33:$W$143,3,FALSE)/VLOOKUP('All - MECs'!$B$14,'Annual Parameters'!$B$33:$W$143,3,FALSE)</f>
        <v>1.6464236606697229</v>
      </c>
      <c r="AO62" s="3499">
        <f>'All - MECs'!AO62*VLOOKUP($B$14,'Annual Parameters'!$B$33:$W$143,3,FALSE)/VLOOKUP('All - MECs'!$B$14,'Annual Parameters'!$B$33:$W$143,3,FALSE)</f>
        <v>4.2762543828009063</v>
      </c>
      <c r="AP62" s="3500">
        <f>'All - MECs'!AP62*VLOOKUP($B$14,'Annual Parameters'!$B$33:$W$143,3,FALSE)/VLOOKUP('All - MECs'!$B$14,'Annual Parameters'!$B$33:$W$143,3,FALSE)</f>
        <v>1.0072565369957351</v>
      </c>
      <c r="AQ62" s="3501">
        <f>'All - MECs'!AQ62*VLOOKUP($B$14,'Annual Parameters'!$B$33:$W$143,3,FALSE)/VLOOKUP('All - MECs'!$B$14,'Annual Parameters'!$B$33:$W$143,3,FALSE)</f>
        <v>4.2416765151410036</v>
      </c>
      <c r="AR62" s="3495">
        <f>'All - MECs'!AR62*VLOOKUP($B$14,'Annual Parameters'!$B$33:$W$143,3,FALSE)/VLOOKUP('All - MECs'!$B$14,'Annual Parameters'!$B$33:$W$143,3,FALSE)</f>
        <v>-1.3118432656682744E-2</v>
      </c>
      <c r="AS62" s="3496">
        <f>'All - MECs'!AS62*VLOOKUP($B$14,'Annual Parameters'!$B$33:$W$143,3,FALSE)/VLOOKUP('All - MECs'!$B$14,'Annual Parameters'!$B$33:$W$143,3,FALSE)</f>
        <v>0.70114207224694303</v>
      </c>
      <c r="AT62" s="3501">
        <f>'All - MECs'!AT62*VLOOKUP($B$14,'Annual Parameters'!$B$33:$W$143,3,FALSE)/VLOOKUP('All - MECs'!$B$14,'Annual Parameters'!$B$33:$W$143,3,FALSE)</f>
        <v>0.34572070471977312</v>
      </c>
      <c r="AU62" s="3502">
        <f>'All - MECs'!AU62*VLOOKUP($B$14,'Annual Parameters'!$B$33:$W$143,3,FALSE)/VLOOKUP('All - MECs'!$B$14,'Annual Parameters'!$B$33:$W$143,3,FALSE)</f>
        <v>2.2426132088459725</v>
      </c>
      <c r="AV62" s="3544"/>
      <c r="AW62" s="3860" t="s">
        <v>1094</v>
      </c>
      <c r="AX62" s="3493"/>
      <c r="AY62" s="3494">
        <v>1</v>
      </c>
      <c r="AZ62" s="3495">
        <f>'All - MECs'!AZ62*VLOOKUP($B$14,'Annual Parameters'!$B$33:$W$143,3,FALSE)/VLOOKUP('All - MECs'!$B$14,'Annual Parameters'!$B$33:$W$143,3,FALSE)</f>
        <v>-3.1818551543717044E-2</v>
      </c>
      <c r="BA62" s="3496">
        <f>'All - MECs'!BA62*VLOOKUP($B$14,'Annual Parameters'!$B$33:$W$143,3,FALSE)/VLOOKUP('All - MECs'!$B$14,'Annual Parameters'!$B$33:$W$143,3,FALSE)</f>
        <v>3.4979591480927392</v>
      </c>
      <c r="BB62" s="3496">
        <f>'All - MECs'!BB62*VLOOKUP($B$14,'Annual Parameters'!$B$33:$W$143,3,FALSE)/VLOOKUP('All - MECs'!$B$14,'Annual Parameters'!$B$33:$W$143,3,FALSE)</f>
        <v>35.575967294903258</v>
      </c>
      <c r="BC62" s="3497">
        <f>'All - MECs'!BC62*VLOOKUP($B$14,'Annual Parameters'!$B$33:$W$143,3,FALSE)/VLOOKUP('All - MECs'!$B$14,'Annual Parameters'!$B$33:$W$143,3,FALSE)</f>
        <v>9.0721243359757411E-3</v>
      </c>
      <c r="BD62" s="3498">
        <f>'All - MECs'!BD62*VLOOKUP($B$14,'Annual Parameters'!$B$33:$W$143,3,FALSE)/VLOOKUP('All - MECs'!$B$14,'Annual Parameters'!$B$33:$W$143,3,FALSE)</f>
        <v>2.5129624294432618</v>
      </c>
      <c r="BE62" s="3499">
        <f>'All - MECs'!BE62*VLOOKUP($B$14,'Annual Parameters'!$B$33:$W$143,3,FALSE)/VLOOKUP('All - MECs'!$B$14,'Annual Parameters'!$B$33:$W$143,3,FALSE)</f>
        <v>6.5269145842750671</v>
      </c>
      <c r="BF62" s="3500">
        <f>'All - MECs'!BF62*VLOOKUP($B$14,'Annual Parameters'!$B$33:$W$143,3,FALSE)/VLOOKUP('All - MECs'!$B$14,'Annual Parameters'!$B$33:$W$143,3,FALSE)</f>
        <v>1.5373915564671747</v>
      </c>
      <c r="BG62" s="3501">
        <f>'All - MECs'!BG62*VLOOKUP($B$14,'Annual Parameters'!$B$33:$W$143,3,FALSE)/VLOOKUP('All - MECs'!$B$14,'Annual Parameters'!$B$33:$W$143,3,FALSE)</f>
        <v>6.4741378388994262</v>
      </c>
      <c r="BH62" s="3495">
        <f>'All - MECs'!BH62*VLOOKUP($B$14,'Annual Parameters'!$B$33:$W$143,3,FALSE)/VLOOKUP('All - MECs'!$B$14,'Annual Parameters'!$B$33:$W$143,3,FALSE)</f>
        <v>-2.0022870897042081E-2</v>
      </c>
      <c r="BI62" s="3496">
        <f>'All - MECs'!BI62*VLOOKUP($B$14,'Annual Parameters'!$B$33:$W$143,3,FALSE)/VLOOKUP('All - MECs'!$B$14,'Annual Parameters'!$B$33:$W$143,3,FALSE)</f>
        <v>1.0701642155348077</v>
      </c>
      <c r="BJ62" s="3501">
        <f>'All - MECs'!BJ62*VLOOKUP($B$14,'Annual Parameters'!$B$33:$W$143,3,FALSE)/VLOOKUP('All - MECs'!$B$14,'Annual Parameters'!$B$33:$W$143,3,FALSE)</f>
        <v>0.52767897036175904</v>
      </c>
      <c r="BK62" s="3502">
        <f>'All - MECs'!BK62*VLOOKUP($B$14,'Annual Parameters'!$B$33:$W$143,3,FALSE)/VLOOKUP('All - MECs'!$B$14,'Annual Parameters'!$B$33:$W$143,3,FALSE)</f>
        <v>3.4229359503438532</v>
      </c>
      <c r="BL62" s="3544"/>
      <c r="BM62" s="3860" t="s">
        <v>1094</v>
      </c>
      <c r="BN62" s="3493"/>
      <c r="BO62" s="3494">
        <v>1</v>
      </c>
      <c r="BP62" s="3495">
        <f>'All - MECs'!BP62*VLOOKUP($B$14,'Annual Parameters'!$B$33:$W$143,3,FALSE)/VLOOKUP('All - MECs'!$B$14,'Annual Parameters'!$B$33:$W$143,3,FALSE)</f>
        <v>-2.7429785813549174E-2</v>
      </c>
      <c r="BQ62" s="3496">
        <f>'All - MECs'!BQ62*VLOOKUP($B$14,'Annual Parameters'!$B$33:$W$143,3,FALSE)/VLOOKUP('All - MECs'!$B$14,'Annual Parameters'!$B$33:$W$143,3,FALSE)</f>
        <v>3.0154820242178788</v>
      </c>
      <c r="BR62" s="3496">
        <f>'All - MECs'!BR62*VLOOKUP($B$14,'Annual Parameters'!$B$33:$W$143,3,FALSE)/VLOOKUP('All - MECs'!$B$14,'Annual Parameters'!$B$33:$W$143,3,FALSE)</f>
        <v>30.668937323192466</v>
      </c>
      <c r="BS62" s="3497">
        <f>'All - MECs'!BS62*VLOOKUP($B$14,'Annual Parameters'!$B$33:$W$143,3,FALSE)/VLOOKUP('All - MECs'!$B$14,'Annual Parameters'!$B$33:$W$143,3,FALSE)</f>
        <v>7.8207968413583975E-3</v>
      </c>
      <c r="BT62" s="3498">
        <f>'All - MECs'!BT62*VLOOKUP($B$14,'Annual Parameters'!$B$33:$W$143,3,FALSE)/VLOOKUP('All - MECs'!$B$14,'Annual Parameters'!$B$33:$W$143,3,FALSE)</f>
        <v>2.1663469219338465</v>
      </c>
      <c r="BU62" s="3499">
        <f>'All - MECs'!BU62*VLOOKUP($B$14,'Annual Parameters'!$B$33:$W$143,3,FALSE)/VLOOKUP('All - MECs'!$B$14,'Annual Parameters'!$B$33:$W$143,3,FALSE)</f>
        <v>5.6266505036854024</v>
      </c>
      <c r="BV62" s="3500">
        <f>'All - MECs'!BV62*VLOOKUP($B$14,'Annual Parameters'!$B$33:$W$143,3,FALSE)/VLOOKUP('All - MECs'!$B$14,'Annual Parameters'!$B$33:$W$143,3,FALSE)</f>
        <v>1.325337548678599</v>
      </c>
      <c r="BW62" s="3501">
        <f>'All - MECs'!BW62*VLOOKUP($B$14,'Annual Parameters'!$B$33:$W$143,3,FALSE)/VLOOKUP('All - MECs'!$B$14,'Annual Parameters'!$B$33:$W$143,3,FALSE)</f>
        <v>5.5811533093960577</v>
      </c>
      <c r="BX62" s="3495">
        <f>'All - MECs'!BX62*VLOOKUP($B$14,'Annual Parameters'!$B$33:$W$143,3,FALSE)/VLOOKUP('All - MECs'!$B$14,'Annual Parameters'!$B$33:$W$143,3,FALSE)</f>
        <v>-1.7261095600898349E-2</v>
      </c>
      <c r="BY62" s="3496">
        <f>'All - MECs'!BY62*VLOOKUP($B$14,'Annual Parameters'!$B$33:$W$143,3,FALSE)/VLOOKUP('All - MECs'!$B$14,'Annual Parameters'!$B$33:$W$143,3,FALSE)</f>
        <v>0.92255535821966195</v>
      </c>
      <c r="BZ62" s="3501">
        <f>'All - MECs'!BZ62*VLOOKUP($B$14,'Annual Parameters'!$B$33:$W$143,3,FALSE)/VLOOKUP('All - MECs'!$B$14,'Annual Parameters'!$B$33:$W$143,3,FALSE)</f>
        <v>0.45489566410496463</v>
      </c>
      <c r="CA62" s="3502">
        <f>'All - MECs'!CA62*VLOOKUP($B$14,'Annual Parameters'!$B$33:$W$143,3,FALSE)/VLOOKUP('All - MECs'!$B$14,'Annual Parameters'!$B$33:$W$143,3,FALSE)</f>
        <v>2.9508068537447008</v>
      </c>
    </row>
    <row r="63" spans="1:95" ht="13.5" customHeight="1">
      <c r="A63" s="3860"/>
      <c r="B63" s="3493"/>
      <c r="C63" s="3494">
        <v>2</v>
      </c>
      <c r="D63" s="3495">
        <f>'All - MECs'!D63*VLOOKUP($B$14,'Annual Parameters'!$B$33:$W$143,3,FALSE)/VLOOKUP('All - MECs'!$B$14,'Annual Parameters'!$B$33:$W$143,3,FALSE)</f>
        <v>-2.0552802167773495E-2</v>
      </c>
      <c r="E63" s="3496">
        <f>'All - MECs'!E63*VLOOKUP($B$14,'Annual Parameters'!$B$33:$W$143,3,FALSE)/VLOOKUP('All - MECs'!$B$14,'Annual Parameters'!$B$33:$W$143,3,FALSE)</f>
        <v>4.2030679325017175</v>
      </c>
      <c r="F63" s="3496">
        <f>'All - MECs'!F63*VLOOKUP($B$14,'Annual Parameters'!$B$33:$W$143,3,FALSE)/VLOOKUP('All - MECs'!$B$14,'Annual Parameters'!$B$33:$W$143,3,FALSE)</f>
        <v>26.654478377125901</v>
      </c>
      <c r="G63" s="3503">
        <f>'All - MECs'!G63*VLOOKUP($B$14,'Annual Parameters'!$B$33:$W$143,3,FALSE)/VLOOKUP('All - MECs'!$B$14,'Annual Parameters'!$B$33:$W$143,3,FALSE)</f>
        <v>1.3377021038441734E-2</v>
      </c>
      <c r="H63" s="3504">
        <f>'All - MECs'!H63*VLOOKUP($B$14,'Annual Parameters'!$B$33:$W$143,3,FALSE)/VLOOKUP('All - MECs'!$B$14,'Annual Parameters'!$B$33:$W$143,3,FALSE)</f>
        <v>2.9086310111710829</v>
      </c>
      <c r="I63" s="3501">
        <f>'All - MECs'!I63*VLOOKUP($B$14,'Annual Parameters'!$B$33:$W$143,3,FALSE)/VLOOKUP('All - MECs'!$B$14,'Annual Parameters'!$B$33:$W$143,3,FALSE)</f>
        <v>8.8749168821377875</v>
      </c>
      <c r="J63" s="3500">
        <f>'All - MECs'!J63*VLOOKUP($B$14,'Annual Parameters'!$B$33:$W$143,3,FALSE)/VLOOKUP('All - MECs'!$B$14,'Annual Parameters'!$B$33:$W$143,3,FALSE)</f>
        <v>1.779081593611713</v>
      </c>
      <c r="K63" s="3501">
        <f>'All - MECs'!K63*VLOOKUP($B$14,'Annual Parameters'!$B$33:$W$143,3,FALSE)/VLOOKUP('All - MECs'!$B$14,'Annual Parameters'!$B$33:$W$143,3,FALSE)</f>
        <v>8.524861863273907</v>
      </c>
      <c r="L63" s="3495">
        <f>'All - MECs'!L63*VLOOKUP($B$14,'Annual Parameters'!$B$33:$W$143,3,FALSE)/VLOOKUP('All - MECs'!$B$14,'Annual Parameters'!$B$33:$W$143,3,FALSE)</f>
        <v>-1.2650247981779461E-2</v>
      </c>
      <c r="M63" s="3496">
        <f>'All - MECs'!M63*VLOOKUP($B$14,'Annual Parameters'!$B$33:$W$143,3,FALSE)/VLOOKUP('All - MECs'!$B$14,'Annual Parameters'!$B$33:$W$143,3,FALSE)</f>
        <v>1.1677851859898263</v>
      </c>
      <c r="N63" s="3501">
        <f>'All - MECs'!N63*VLOOKUP($B$14,'Annual Parameters'!$B$33:$W$143,3,FALSE)/VLOOKUP('All - MECs'!$B$14,'Annual Parameters'!$B$33:$W$143,3,FALSE)</f>
        <v>1.3640427625890632</v>
      </c>
      <c r="O63" s="3502">
        <f>'All - MECs'!O63*VLOOKUP($B$14,'Annual Parameters'!$B$33:$W$143,3,FALSE)/VLOOKUP('All - MECs'!$B$14,'Annual Parameters'!$B$33:$W$143,3,FALSE)</f>
        <v>2.749503005407953</v>
      </c>
      <c r="P63" s="3544"/>
      <c r="Q63" s="3860"/>
      <c r="R63" s="3493"/>
      <c r="S63" s="3494">
        <v>2</v>
      </c>
      <c r="T63" s="3495">
        <f>'All - MECs'!T63*VLOOKUP($B$14,'Annual Parameters'!$B$33:$W$143,3,FALSE)/VLOOKUP('All - MECs'!$B$14,'Annual Parameters'!$B$33:$W$143,3,FALSE)</f>
        <v>-2.0552802167773495E-2</v>
      </c>
      <c r="U63" s="3496">
        <f>'All - MECs'!U63*VLOOKUP($B$14,'Annual Parameters'!$B$33:$W$143,3,FALSE)/VLOOKUP('All - MECs'!$B$14,'Annual Parameters'!$B$33:$W$143,3,FALSE)</f>
        <v>4.2030679325017175</v>
      </c>
      <c r="V63" s="3496">
        <f>'All - MECs'!V63*VLOOKUP($B$14,'Annual Parameters'!$B$33:$W$143,3,FALSE)/VLOOKUP('All - MECs'!$B$14,'Annual Parameters'!$B$33:$W$143,3,FALSE)</f>
        <v>26.654478377125901</v>
      </c>
      <c r="W63" s="3503">
        <f>'All - MECs'!W63*VLOOKUP($B$14,'Annual Parameters'!$B$33:$W$143,3,FALSE)/VLOOKUP('All - MECs'!$B$14,'Annual Parameters'!$B$33:$W$143,3,FALSE)</f>
        <v>1.3377021038441734E-2</v>
      </c>
      <c r="X63" s="3504">
        <f>'All - MECs'!X63*VLOOKUP($B$14,'Annual Parameters'!$B$33:$W$143,3,FALSE)/VLOOKUP('All - MECs'!$B$14,'Annual Parameters'!$B$33:$W$143,3,FALSE)</f>
        <v>2.9086310111710829</v>
      </c>
      <c r="Y63" s="3501">
        <f>'All - MECs'!Y63*VLOOKUP($B$14,'Annual Parameters'!$B$33:$W$143,3,FALSE)/VLOOKUP('All - MECs'!$B$14,'Annual Parameters'!$B$33:$W$143,3,FALSE)</f>
        <v>8.8749168821377875</v>
      </c>
      <c r="Z63" s="3500">
        <f>'All - MECs'!Z63*VLOOKUP($B$14,'Annual Parameters'!$B$33:$W$143,3,FALSE)/VLOOKUP('All - MECs'!$B$14,'Annual Parameters'!$B$33:$W$143,3,FALSE)</f>
        <v>1.779081593611713</v>
      </c>
      <c r="AA63" s="3501">
        <f>'All - MECs'!AA63*VLOOKUP($B$14,'Annual Parameters'!$B$33:$W$143,3,FALSE)/VLOOKUP('All - MECs'!$B$14,'Annual Parameters'!$B$33:$W$143,3,FALSE)</f>
        <v>8.524861863273907</v>
      </c>
      <c r="AB63" s="3495">
        <f>'All - MECs'!AB63*VLOOKUP($B$14,'Annual Parameters'!$B$33:$W$143,3,FALSE)/VLOOKUP('All - MECs'!$B$14,'Annual Parameters'!$B$33:$W$143,3,FALSE)</f>
        <v>-1.2650247981779461E-2</v>
      </c>
      <c r="AC63" s="3496">
        <f>'All - MECs'!AC63*VLOOKUP($B$14,'Annual Parameters'!$B$33:$W$143,3,FALSE)/VLOOKUP('All - MECs'!$B$14,'Annual Parameters'!$B$33:$W$143,3,FALSE)</f>
        <v>1.1677851859898263</v>
      </c>
      <c r="AD63" s="3501">
        <f>'All - MECs'!AD63*VLOOKUP($B$14,'Annual Parameters'!$B$33:$W$143,3,FALSE)/VLOOKUP('All - MECs'!$B$14,'Annual Parameters'!$B$33:$W$143,3,FALSE)</f>
        <v>1.3640427625890632</v>
      </c>
      <c r="AE63" s="3502">
        <f>'All - MECs'!AE63*VLOOKUP($B$14,'Annual Parameters'!$B$33:$W$143,3,FALSE)/VLOOKUP('All - MECs'!$B$14,'Annual Parameters'!$B$33:$W$143,3,FALSE)</f>
        <v>2.749503005407953</v>
      </c>
      <c r="AF63" s="3544"/>
      <c r="AG63" s="3860"/>
      <c r="AH63" s="3493"/>
      <c r="AI63" s="3494">
        <v>2</v>
      </c>
      <c r="AJ63" s="3495">
        <f>'All - MECs'!AJ63*VLOOKUP($B$14,'Annual Parameters'!$B$33:$W$143,3,FALSE)/VLOOKUP('All - MECs'!$B$14,'Annual Parameters'!$B$33:$W$143,3,FALSE)</f>
        <v>-3.9050324118769644E-2</v>
      </c>
      <c r="AK63" s="3496">
        <f>'All - MECs'!AK63*VLOOKUP($B$14,'Annual Parameters'!$B$33:$W$143,3,FALSE)/VLOOKUP('All - MECs'!$B$14,'Annual Parameters'!$B$33:$W$143,3,FALSE)</f>
        <v>7.9858290717532618</v>
      </c>
      <c r="AL63" s="3496">
        <f>'All - MECs'!AL63*VLOOKUP($B$14,'Annual Parameters'!$B$33:$W$143,3,FALSE)/VLOOKUP('All - MECs'!$B$14,'Annual Parameters'!$B$33:$W$143,3,FALSE)</f>
        <v>50.643508916539211</v>
      </c>
      <c r="AM63" s="3503">
        <f>'All - MECs'!AM63*VLOOKUP($B$14,'Annual Parameters'!$B$33:$W$143,3,FALSE)/VLOOKUP('All - MECs'!$B$14,'Annual Parameters'!$B$33:$W$143,3,FALSE)</f>
        <v>2.5416339973039291E-2</v>
      </c>
      <c r="AN63" s="3504">
        <f>'All - MECs'!AN63*VLOOKUP($B$14,'Annual Parameters'!$B$33:$W$143,3,FALSE)/VLOOKUP('All - MECs'!$B$14,'Annual Parameters'!$B$33:$W$143,3,FALSE)</f>
        <v>5.5263989212250575</v>
      </c>
      <c r="AO63" s="3501">
        <f>'All - MECs'!AO63*VLOOKUP($B$14,'Annual Parameters'!$B$33:$W$143,3,FALSE)/VLOOKUP('All - MECs'!$B$14,'Annual Parameters'!$B$33:$W$143,3,FALSE)</f>
        <v>16.862342076061797</v>
      </c>
      <c r="AP63" s="3500">
        <f>'All - MECs'!AP63*VLOOKUP($B$14,'Annual Parameters'!$B$33:$W$143,3,FALSE)/VLOOKUP('All - MECs'!$B$14,'Annual Parameters'!$B$33:$W$143,3,FALSE)</f>
        <v>3.3802550278622552</v>
      </c>
      <c r="AQ63" s="3501">
        <f>'All - MECs'!AQ63*VLOOKUP($B$14,'Annual Parameters'!$B$33:$W$143,3,FALSE)/VLOOKUP('All - MECs'!$B$14,'Annual Parameters'!$B$33:$W$143,3,FALSE)</f>
        <v>16.197237540220424</v>
      </c>
      <c r="AR63" s="3495">
        <f>'All - MECs'!AR63*VLOOKUP($B$14,'Annual Parameters'!$B$33:$W$143,3,FALSE)/VLOOKUP('All - MECs'!$B$14,'Annual Parameters'!$B$33:$W$143,3,FALSE)</f>
        <v>-2.4035471165380976E-2</v>
      </c>
      <c r="AS63" s="3496">
        <f>'All - MECs'!AS63*VLOOKUP($B$14,'Annual Parameters'!$B$33:$W$143,3,FALSE)/VLOOKUP('All - MECs'!$B$14,'Annual Parameters'!$B$33:$W$143,3,FALSE)</f>
        <v>2.2187918533806696</v>
      </c>
      <c r="AT63" s="3501">
        <f>'All - MECs'!AT63*VLOOKUP($B$14,'Annual Parameters'!$B$33:$W$143,3,FALSE)/VLOOKUP('All - MECs'!$B$14,'Annual Parameters'!$B$33:$W$143,3,FALSE)</f>
        <v>2.5916812489192198</v>
      </c>
      <c r="AU63" s="3502">
        <f>'All - MECs'!AU63*VLOOKUP($B$14,'Annual Parameters'!$B$33:$W$143,3,FALSE)/VLOOKUP('All - MECs'!$B$14,'Annual Parameters'!$B$33:$W$143,3,FALSE)</f>
        <v>5.2240557102751106</v>
      </c>
      <c r="AV63" s="3544"/>
      <c r="AW63" s="3860"/>
      <c r="AX63" s="3493"/>
      <c r="AY63" s="3494">
        <v>2</v>
      </c>
      <c r="AZ63" s="3495">
        <f>'All - MECs'!AZ63*VLOOKUP($B$14,'Annual Parameters'!$B$33:$W$143,3,FALSE)/VLOOKUP('All - MECs'!$B$14,'Annual Parameters'!$B$33:$W$143,3,FALSE)</f>
        <v>-5.9603126286543143E-2</v>
      </c>
      <c r="BA63" s="3496">
        <f>'All - MECs'!BA63*VLOOKUP($B$14,'Annual Parameters'!$B$33:$W$143,3,FALSE)/VLOOKUP('All - MECs'!$B$14,'Annual Parameters'!$B$33:$W$143,3,FALSE)</f>
        <v>12.188897004254981</v>
      </c>
      <c r="BB63" s="3496">
        <f>'All - MECs'!BB63*VLOOKUP($B$14,'Annual Parameters'!$B$33:$W$143,3,FALSE)/VLOOKUP('All - MECs'!$B$14,'Annual Parameters'!$B$33:$W$143,3,FALSE)</f>
        <v>77.297987293665116</v>
      </c>
      <c r="BC63" s="3503">
        <f>'All - MECs'!BC63*VLOOKUP($B$14,'Annual Parameters'!$B$33:$W$143,3,FALSE)/VLOOKUP('All - MECs'!$B$14,'Annual Parameters'!$B$33:$W$143,3,FALSE)</f>
        <v>3.879336101148103E-2</v>
      </c>
      <c r="BD63" s="3504">
        <f>'All - MECs'!BD63*VLOOKUP($B$14,'Annual Parameters'!$B$33:$W$143,3,FALSE)/VLOOKUP('All - MECs'!$B$14,'Annual Parameters'!$B$33:$W$143,3,FALSE)</f>
        <v>8.4350299323961409</v>
      </c>
      <c r="BE63" s="3501">
        <f>'All - MECs'!BE63*VLOOKUP($B$14,'Annual Parameters'!$B$33:$W$143,3,FALSE)/VLOOKUP('All - MECs'!$B$14,'Annual Parameters'!$B$33:$W$143,3,FALSE)</f>
        <v>25.737258958199583</v>
      </c>
      <c r="BF63" s="3500">
        <f>'All - MECs'!BF63*VLOOKUP($B$14,'Annual Parameters'!$B$33:$W$143,3,FALSE)/VLOOKUP('All - MECs'!$B$14,'Annual Parameters'!$B$33:$W$143,3,FALSE)</f>
        <v>5.159336621473968</v>
      </c>
      <c r="BG63" s="3501">
        <f>'All - MECs'!BG63*VLOOKUP($B$14,'Annual Parameters'!$B$33:$W$143,3,FALSE)/VLOOKUP('All - MECs'!$B$14,'Annual Parameters'!$B$33:$W$143,3,FALSE)</f>
        <v>24.72209940349433</v>
      </c>
      <c r="BH63" s="3495">
        <f>'All - MECs'!BH63*VLOOKUP($B$14,'Annual Parameters'!$B$33:$W$143,3,FALSE)/VLOOKUP('All - MECs'!$B$14,'Annual Parameters'!$B$33:$W$143,3,FALSE)</f>
        <v>-3.6685719147160435E-2</v>
      </c>
      <c r="BI63" s="3496">
        <f>'All - MECs'!BI63*VLOOKUP($B$14,'Annual Parameters'!$B$33:$W$143,3,FALSE)/VLOOKUP('All - MECs'!$B$14,'Annual Parameters'!$B$33:$W$143,3,FALSE)</f>
        <v>3.3865770393704961</v>
      </c>
      <c r="BJ63" s="3501">
        <f>'All - MECs'!BJ63*VLOOKUP($B$14,'Annual Parameters'!$B$33:$W$143,3,FALSE)/VLOOKUP('All - MECs'!$B$14,'Annual Parameters'!$B$33:$W$143,3,FALSE)</f>
        <v>3.9557240115082832</v>
      </c>
      <c r="BK63" s="3502">
        <f>'All - MECs'!BK63*VLOOKUP($B$14,'Annual Parameters'!$B$33:$W$143,3,FALSE)/VLOOKUP('All - MECs'!$B$14,'Annual Parameters'!$B$33:$W$143,3,FALSE)</f>
        <v>7.9735587156830636</v>
      </c>
      <c r="BL63" s="3544"/>
      <c r="BM63" s="3860"/>
      <c r="BN63" s="3493"/>
      <c r="BO63" s="3494">
        <v>2</v>
      </c>
      <c r="BP63" s="3495">
        <f>'All - MECs'!BP63*VLOOKUP($B$14,'Annual Parameters'!$B$33:$W$143,3,FALSE)/VLOOKUP('All - MECs'!$B$14,'Annual Parameters'!$B$33:$W$143,3,FALSE)</f>
        <v>-5.1382005419433746E-2</v>
      </c>
      <c r="BQ63" s="3496">
        <f>'All - MECs'!BQ63*VLOOKUP($B$14,'Annual Parameters'!$B$33:$W$143,3,FALSE)/VLOOKUP('All - MECs'!$B$14,'Annual Parameters'!$B$33:$W$143,3,FALSE)</f>
        <v>10.507669831254294</v>
      </c>
      <c r="BR63" s="3496">
        <f>'All - MECs'!BR63*VLOOKUP($B$14,'Annual Parameters'!$B$33:$W$143,3,FALSE)/VLOOKUP('All - MECs'!$B$14,'Annual Parameters'!$B$33:$W$143,3,FALSE)</f>
        <v>66.636195942814751</v>
      </c>
      <c r="BS63" s="3503">
        <f>'All - MECs'!BS63*VLOOKUP($B$14,'Annual Parameters'!$B$33:$W$143,3,FALSE)/VLOOKUP('All - MECs'!$B$14,'Annual Parameters'!$B$33:$W$143,3,FALSE)</f>
        <v>3.344255259610434E-2</v>
      </c>
      <c r="BT63" s="3504">
        <f>'All - MECs'!BT63*VLOOKUP($B$14,'Annual Parameters'!$B$33:$W$143,3,FALSE)/VLOOKUP('All - MECs'!$B$14,'Annual Parameters'!$B$33:$W$143,3,FALSE)</f>
        <v>7.2715775279277075</v>
      </c>
      <c r="BU63" s="3501">
        <f>'All - MECs'!BU63*VLOOKUP($B$14,'Annual Parameters'!$B$33:$W$143,3,FALSE)/VLOOKUP('All - MECs'!$B$14,'Annual Parameters'!$B$33:$W$143,3,FALSE)</f>
        <v>22.18729220534447</v>
      </c>
      <c r="BV63" s="3500">
        <f>'All - MECs'!BV63*VLOOKUP($B$14,'Annual Parameters'!$B$33:$W$143,3,FALSE)/VLOOKUP('All - MECs'!$B$14,'Annual Parameters'!$B$33:$W$143,3,FALSE)</f>
        <v>4.4477039840292827</v>
      </c>
      <c r="BW63" s="3501">
        <f>'All - MECs'!BW63*VLOOKUP($B$14,'Annual Parameters'!$B$33:$W$143,3,FALSE)/VLOOKUP('All - MECs'!$B$14,'Annual Parameters'!$B$33:$W$143,3,FALSE)</f>
        <v>21.312154658184767</v>
      </c>
      <c r="BX63" s="3495">
        <f>'All - MECs'!BX63*VLOOKUP($B$14,'Annual Parameters'!$B$33:$W$143,3,FALSE)/VLOOKUP('All - MECs'!$B$14,'Annual Parameters'!$B$33:$W$143,3,FALSE)</f>
        <v>-3.1625619954448653E-2</v>
      </c>
      <c r="BY63" s="3496">
        <f>'All - MECs'!BY63*VLOOKUP($B$14,'Annual Parameters'!$B$33:$W$143,3,FALSE)/VLOOKUP('All - MECs'!$B$14,'Annual Parameters'!$B$33:$W$143,3,FALSE)</f>
        <v>2.9194629649745654</v>
      </c>
      <c r="BZ63" s="3501">
        <f>'All - MECs'!BZ63*VLOOKUP($B$14,'Annual Parameters'!$B$33:$W$143,3,FALSE)/VLOOKUP('All - MECs'!$B$14,'Annual Parameters'!$B$33:$W$143,3,FALSE)</f>
        <v>3.4101069064726577</v>
      </c>
      <c r="CA63" s="3502">
        <f>'All - MECs'!CA63*VLOOKUP($B$14,'Annual Parameters'!$B$33:$W$143,3,FALSE)/VLOOKUP('All - MECs'!$B$14,'Annual Parameters'!$B$33:$W$143,3,FALSE)</f>
        <v>6.8737575135198821</v>
      </c>
    </row>
    <row r="64" spans="1:95" ht="13.5" customHeight="1">
      <c r="A64" s="3860"/>
      <c r="B64" s="3493"/>
      <c r="C64" s="3494">
        <v>3</v>
      </c>
      <c r="D64" s="3495">
        <f>'All - MECs'!D64*VLOOKUP($B$14,'Annual Parameters'!$B$33:$W$143,3,FALSE)/VLOOKUP('All - MECs'!$B$14,'Annual Parameters'!$B$33:$W$143,3,FALSE)</f>
        <v>0.5860894272187217</v>
      </c>
      <c r="E64" s="3496">
        <f>'All - MECs'!E64*VLOOKUP($B$14,'Annual Parameters'!$B$33:$W$143,3,FALSE)/VLOOKUP('All - MECs'!$B$14,'Annual Parameters'!$B$33:$W$143,3,FALSE)</f>
        <v>21.627090984912567</v>
      </c>
      <c r="F64" s="3496">
        <f>'All - MECs'!F64*VLOOKUP($B$14,'Annual Parameters'!$B$33:$W$143,3,FALSE)/VLOOKUP('All - MECs'!$B$14,'Annual Parameters'!$B$33:$W$143,3,FALSE)</f>
        <v>48.834269855762905</v>
      </c>
      <c r="G64" s="3503">
        <f>'All - MECs'!G64*VLOOKUP($B$14,'Annual Parameters'!$B$33:$W$143,3,FALSE)/VLOOKUP('All - MECs'!$B$14,'Annual Parameters'!$B$33:$W$143,3,FALSE)</f>
        <v>1.0550596802583816</v>
      </c>
      <c r="H64" s="3504">
        <f>'All - MECs'!H64*VLOOKUP($B$14,'Annual Parameters'!$B$33:$W$143,3,FALSE)/VLOOKUP('All - MECs'!$B$14,'Annual Parameters'!$B$33:$W$143,3,FALSE)</f>
        <v>23.32961008010566</v>
      </c>
      <c r="I64" s="3501">
        <f>'All - MECs'!I64*VLOOKUP($B$14,'Annual Parameters'!$B$33:$W$143,3,FALSE)/VLOOKUP('All - MECs'!$B$14,'Annual Parameters'!$B$33:$W$143,3,FALSE)</f>
        <v>20.049001034239961</v>
      </c>
      <c r="J64" s="3500">
        <f>'All - MECs'!J64*VLOOKUP($B$14,'Annual Parameters'!$B$33:$W$143,3,FALSE)/VLOOKUP('All - MECs'!$B$14,'Annual Parameters'!$B$33:$W$143,3,FALSE)</f>
        <v>10.934398370824475</v>
      </c>
      <c r="K64" s="3501">
        <f>'All - MECs'!K64*VLOOKUP($B$14,'Annual Parameters'!$B$33:$W$143,3,FALSE)/VLOOKUP('All - MECs'!$B$14,'Annual Parameters'!$B$33:$W$143,3,FALSE)</f>
        <v>18.074792555109795</v>
      </c>
      <c r="L64" s="3495">
        <f>'All - MECs'!L64*VLOOKUP($B$14,'Annual Parameters'!$B$33:$W$143,3,FALSE)/VLOOKUP('All - MECs'!$B$14,'Annual Parameters'!$B$33:$W$143,3,FALSE)</f>
        <v>1.4182132593781398</v>
      </c>
      <c r="M64" s="3496">
        <f>'All - MECs'!M64*VLOOKUP($B$14,'Annual Parameters'!$B$33:$W$143,3,FALSE)/VLOOKUP('All - MECs'!$B$14,'Annual Parameters'!$B$33:$W$143,3,FALSE)</f>
        <v>3.4117669759243254</v>
      </c>
      <c r="N64" s="3501">
        <f>'All - MECs'!N64*VLOOKUP($B$14,'Annual Parameters'!$B$33:$W$143,3,FALSE)/VLOOKUP('All - MECs'!$B$14,'Annual Parameters'!$B$33:$W$143,3,FALSE)</f>
        <v>6.8288334952420451</v>
      </c>
      <c r="O64" s="3502">
        <f>'All - MECs'!O64*VLOOKUP($B$14,'Annual Parameters'!$B$33:$W$143,3,FALSE)/VLOOKUP('All - MECs'!$B$14,'Annual Parameters'!$B$33:$W$143,3,FALSE)</f>
        <v>9.2866449861586187</v>
      </c>
      <c r="P64" s="3544"/>
      <c r="Q64" s="3860"/>
      <c r="R64" s="3493"/>
      <c r="S64" s="3494">
        <v>3</v>
      </c>
      <c r="T64" s="3495">
        <f>'All - MECs'!T64*VLOOKUP($B$14,'Annual Parameters'!$B$33:$W$143,3,FALSE)/VLOOKUP('All - MECs'!$B$14,'Annual Parameters'!$B$33:$W$143,3,FALSE)</f>
        <v>0.5860894272187217</v>
      </c>
      <c r="U64" s="3496">
        <f>'All - MECs'!U64*VLOOKUP($B$14,'Annual Parameters'!$B$33:$W$143,3,FALSE)/VLOOKUP('All - MECs'!$B$14,'Annual Parameters'!$B$33:$W$143,3,FALSE)</f>
        <v>21.627090984912567</v>
      </c>
      <c r="V64" s="3496">
        <f>'All - MECs'!V64*VLOOKUP($B$14,'Annual Parameters'!$B$33:$W$143,3,FALSE)/VLOOKUP('All - MECs'!$B$14,'Annual Parameters'!$B$33:$W$143,3,FALSE)</f>
        <v>48.834269855762905</v>
      </c>
      <c r="W64" s="3503">
        <f>'All - MECs'!W64*VLOOKUP($B$14,'Annual Parameters'!$B$33:$W$143,3,FALSE)/VLOOKUP('All - MECs'!$B$14,'Annual Parameters'!$B$33:$W$143,3,FALSE)</f>
        <v>1.0550596802583816</v>
      </c>
      <c r="X64" s="3504">
        <f>'All - MECs'!X64*VLOOKUP($B$14,'Annual Parameters'!$B$33:$W$143,3,FALSE)/VLOOKUP('All - MECs'!$B$14,'Annual Parameters'!$B$33:$W$143,3,FALSE)</f>
        <v>23.32961008010566</v>
      </c>
      <c r="Y64" s="3501">
        <f>'All - MECs'!Y64*VLOOKUP($B$14,'Annual Parameters'!$B$33:$W$143,3,FALSE)/VLOOKUP('All - MECs'!$B$14,'Annual Parameters'!$B$33:$W$143,3,FALSE)</f>
        <v>20.049001034239961</v>
      </c>
      <c r="Z64" s="3500">
        <f>'All - MECs'!Z64*VLOOKUP($B$14,'Annual Parameters'!$B$33:$W$143,3,FALSE)/VLOOKUP('All - MECs'!$B$14,'Annual Parameters'!$B$33:$W$143,3,FALSE)</f>
        <v>10.934398370824475</v>
      </c>
      <c r="AA64" s="3501">
        <f>'All - MECs'!AA64*VLOOKUP($B$14,'Annual Parameters'!$B$33:$W$143,3,FALSE)/VLOOKUP('All - MECs'!$B$14,'Annual Parameters'!$B$33:$W$143,3,FALSE)</f>
        <v>18.074792555109795</v>
      </c>
      <c r="AB64" s="3495">
        <f>'All - MECs'!AB64*VLOOKUP($B$14,'Annual Parameters'!$B$33:$W$143,3,FALSE)/VLOOKUP('All - MECs'!$B$14,'Annual Parameters'!$B$33:$W$143,3,FALSE)</f>
        <v>1.4182132593781398</v>
      </c>
      <c r="AC64" s="3496">
        <f>'All - MECs'!AC64*VLOOKUP($B$14,'Annual Parameters'!$B$33:$W$143,3,FALSE)/VLOOKUP('All - MECs'!$B$14,'Annual Parameters'!$B$33:$W$143,3,FALSE)</f>
        <v>3.4117669759243254</v>
      </c>
      <c r="AD64" s="3501">
        <f>'All - MECs'!AD64*VLOOKUP($B$14,'Annual Parameters'!$B$33:$W$143,3,FALSE)/VLOOKUP('All - MECs'!$B$14,'Annual Parameters'!$B$33:$W$143,3,FALSE)</f>
        <v>6.8288334952420451</v>
      </c>
      <c r="AE64" s="3502">
        <f>'All - MECs'!AE64*VLOOKUP($B$14,'Annual Parameters'!$B$33:$W$143,3,FALSE)/VLOOKUP('All - MECs'!$B$14,'Annual Parameters'!$B$33:$W$143,3,FALSE)</f>
        <v>9.2866449861586187</v>
      </c>
      <c r="AF64" s="3544"/>
      <c r="AG64" s="3860"/>
      <c r="AH64" s="3493"/>
      <c r="AI64" s="3494">
        <v>3</v>
      </c>
      <c r="AJ64" s="3495">
        <f>'All - MECs'!AJ64*VLOOKUP($B$14,'Annual Parameters'!$B$33:$W$143,3,FALSE)/VLOOKUP('All - MECs'!$B$14,'Annual Parameters'!$B$33:$W$143,3,FALSE)</f>
        <v>1.1135699117155713</v>
      </c>
      <c r="AK64" s="3496">
        <f>'All - MECs'!AK64*VLOOKUP($B$14,'Annual Parameters'!$B$33:$W$143,3,FALSE)/VLOOKUP('All - MECs'!$B$14,'Annual Parameters'!$B$33:$W$143,3,FALSE)</f>
        <v>41.091472871333877</v>
      </c>
      <c r="AL64" s="3496">
        <f>'All - MECs'!AL64*VLOOKUP($B$14,'Annual Parameters'!$B$33:$W$143,3,FALSE)/VLOOKUP('All - MECs'!$B$14,'Annual Parameters'!$B$33:$W$143,3,FALSE)</f>
        <v>92.785112725949517</v>
      </c>
      <c r="AM64" s="3503">
        <f>'All - MECs'!AM64*VLOOKUP($B$14,'Annual Parameters'!$B$33:$W$143,3,FALSE)/VLOOKUP('All - MECs'!$B$14,'Annual Parameters'!$B$33:$W$143,3,FALSE)</f>
        <v>2.0046133924909251</v>
      </c>
      <c r="AN64" s="3504">
        <f>'All - MECs'!AN64*VLOOKUP($B$14,'Annual Parameters'!$B$33:$W$143,3,FALSE)/VLOOKUP('All - MECs'!$B$14,'Annual Parameters'!$B$33:$W$143,3,FALSE)</f>
        <v>44.326259152200748</v>
      </c>
      <c r="AO64" s="3501">
        <f>'All - MECs'!AO64*VLOOKUP($B$14,'Annual Parameters'!$B$33:$W$143,3,FALSE)/VLOOKUP('All - MECs'!$B$14,'Annual Parameters'!$B$33:$W$143,3,FALSE)</f>
        <v>38.093101965055922</v>
      </c>
      <c r="AP64" s="3500">
        <f>'All - MECs'!AP64*VLOOKUP($B$14,'Annual Parameters'!$B$33:$W$143,3,FALSE)/VLOOKUP('All - MECs'!$B$14,'Annual Parameters'!$B$33:$W$143,3,FALSE)</f>
        <v>20.775356904566497</v>
      </c>
      <c r="AQ64" s="3501">
        <f>'All - MECs'!AQ64*VLOOKUP($B$14,'Annual Parameters'!$B$33:$W$143,3,FALSE)/VLOOKUP('All - MECs'!$B$14,'Annual Parameters'!$B$33:$W$143,3,FALSE)</f>
        <v>34.342105854708606</v>
      </c>
      <c r="AR64" s="3495">
        <f>'All - MECs'!AR64*VLOOKUP($B$14,'Annual Parameters'!$B$33:$W$143,3,FALSE)/VLOOKUP('All - MECs'!$B$14,'Annual Parameters'!$B$33:$W$143,3,FALSE)</f>
        <v>2.6946051928184653</v>
      </c>
      <c r="AS64" s="3496">
        <f>'All - MECs'!AS64*VLOOKUP($B$14,'Annual Parameters'!$B$33:$W$143,3,FALSE)/VLOOKUP('All - MECs'!$B$14,'Annual Parameters'!$B$33:$W$143,3,FALSE)</f>
        <v>6.4823572542562191</v>
      </c>
      <c r="AT64" s="3501">
        <f>'All - MECs'!AT64*VLOOKUP($B$14,'Annual Parameters'!$B$33:$W$143,3,FALSE)/VLOOKUP('All - MECs'!$B$14,'Annual Parameters'!$B$33:$W$143,3,FALSE)</f>
        <v>12.974783640959886</v>
      </c>
      <c r="AU64" s="3502">
        <f>'All - MECs'!AU64*VLOOKUP($B$14,'Annual Parameters'!$B$33:$W$143,3,FALSE)/VLOOKUP('All - MECs'!$B$14,'Annual Parameters'!$B$33:$W$143,3,FALSE)</f>
        <v>17.644625473701375</v>
      </c>
      <c r="AV64" s="3544"/>
      <c r="AW64" s="3860"/>
      <c r="AX64" s="3493"/>
      <c r="AY64" s="3494">
        <v>3</v>
      </c>
      <c r="AZ64" s="3495">
        <f>'All - MECs'!AZ64*VLOOKUP($B$14,'Annual Parameters'!$B$33:$W$143,3,FALSE)/VLOOKUP('All - MECs'!$B$14,'Annual Parameters'!$B$33:$W$143,3,FALSE)</f>
        <v>1.6996593389342929</v>
      </c>
      <c r="BA64" s="3496">
        <f>'All - MECs'!BA64*VLOOKUP($B$14,'Annual Parameters'!$B$33:$W$143,3,FALSE)/VLOOKUP('All - MECs'!$B$14,'Annual Parameters'!$B$33:$W$143,3,FALSE)</f>
        <v>62.71856385624644</v>
      </c>
      <c r="BB64" s="3496">
        <f>'All - MECs'!BB64*VLOOKUP($B$14,'Annual Parameters'!$B$33:$W$143,3,FALSE)/VLOOKUP('All - MECs'!$B$14,'Annual Parameters'!$B$33:$W$143,3,FALSE)</f>
        <v>141.61938258171242</v>
      </c>
      <c r="BC64" s="3503">
        <f>'All - MECs'!BC64*VLOOKUP($B$14,'Annual Parameters'!$B$33:$W$143,3,FALSE)/VLOOKUP('All - MECs'!$B$14,'Annual Parameters'!$B$33:$W$143,3,FALSE)</f>
        <v>3.0596730727493067</v>
      </c>
      <c r="BD64" s="3504">
        <f>'All - MECs'!BD64*VLOOKUP($B$14,'Annual Parameters'!$B$33:$W$143,3,FALSE)/VLOOKUP('All - MECs'!$B$14,'Annual Parameters'!$B$33:$W$143,3,FALSE)</f>
        <v>67.655869232306415</v>
      </c>
      <c r="BE64" s="3501">
        <f>'All - MECs'!BE64*VLOOKUP($B$14,'Annual Parameters'!$B$33:$W$143,3,FALSE)/VLOOKUP('All - MECs'!$B$14,'Annual Parameters'!$B$33:$W$143,3,FALSE)</f>
        <v>58.142102999295886</v>
      </c>
      <c r="BF64" s="3500">
        <f>'All - MECs'!BF64*VLOOKUP($B$14,'Annual Parameters'!$B$33:$W$143,3,FALSE)/VLOOKUP('All - MECs'!$B$14,'Annual Parameters'!$B$33:$W$143,3,FALSE)</f>
        <v>31.709755275390972</v>
      </c>
      <c r="BG64" s="3501">
        <f>'All - MECs'!BG64*VLOOKUP($B$14,'Annual Parameters'!$B$33:$W$143,3,FALSE)/VLOOKUP('All - MECs'!$B$14,'Annual Parameters'!$B$33:$W$143,3,FALSE)</f>
        <v>52.416898409818401</v>
      </c>
      <c r="BH64" s="3495">
        <f>'All - MECs'!BH64*VLOOKUP($B$14,'Annual Parameters'!$B$33:$W$143,3,FALSE)/VLOOKUP('All - MECs'!$B$14,'Annual Parameters'!$B$33:$W$143,3,FALSE)</f>
        <v>4.1128184521966054</v>
      </c>
      <c r="BI64" s="3496">
        <f>'All - MECs'!BI64*VLOOKUP($B$14,'Annual Parameters'!$B$33:$W$143,3,FALSE)/VLOOKUP('All - MECs'!$B$14,'Annual Parameters'!$B$33:$W$143,3,FALSE)</f>
        <v>9.8941242301805445</v>
      </c>
      <c r="BJ64" s="3501">
        <f>'All - MECs'!BJ64*VLOOKUP($B$14,'Annual Parameters'!$B$33:$W$143,3,FALSE)/VLOOKUP('All - MECs'!$B$14,'Annual Parameters'!$B$33:$W$143,3,FALSE)</f>
        <v>19.803617136201929</v>
      </c>
      <c r="BK64" s="3502">
        <f>'All - MECs'!BK64*VLOOKUP($B$14,'Annual Parameters'!$B$33:$W$143,3,FALSE)/VLOOKUP('All - MECs'!$B$14,'Annual Parameters'!$B$33:$W$143,3,FALSE)</f>
        <v>26.931270459859991</v>
      </c>
      <c r="BL64" s="3544"/>
      <c r="BM64" s="3860"/>
      <c r="BN64" s="3493"/>
      <c r="BO64" s="3494">
        <v>3</v>
      </c>
      <c r="BP64" s="3495">
        <f>'All - MECs'!BP64*VLOOKUP($B$14,'Annual Parameters'!$B$33:$W$143,3,FALSE)/VLOOKUP('All - MECs'!$B$14,'Annual Parameters'!$B$33:$W$143,3,FALSE)</f>
        <v>1.4652235680468042</v>
      </c>
      <c r="BQ64" s="3496">
        <f>'All - MECs'!BQ64*VLOOKUP($B$14,'Annual Parameters'!$B$33:$W$143,3,FALSE)/VLOOKUP('All - MECs'!$B$14,'Annual Parameters'!$B$33:$W$143,3,FALSE)</f>
        <v>54.067727462281418</v>
      </c>
      <c r="BR64" s="3496">
        <f>'All - MECs'!BR64*VLOOKUP($B$14,'Annual Parameters'!$B$33:$W$143,3,FALSE)/VLOOKUP('All - MECs'!$B$14,'Annual Parameters'!$B$33:$W$143,3,FALSE)</f>
        <v>122.08567463940726</v>
      </c>
      <c r="BS64" s="3503">
        <f>'All - MECs'!BS64*VLOOKUP($B$14,'Annual Parameters'!$B$33:$W$143,3,FALSE)/VLOOKUP('All - MECs'!$B$14,'Annual Parameters'!$B$33:$W$143,3,FALSE)</f>
        <v>2.6376492006459542</v>
      </c>
      <c r="BT64" s="3504">
        <f>'All - MECs'!BT64*VLOOKUP($B$14,'Annual Parameters'!$B$33:$W$143,3,FALSE)/VLOOKUP('All - MECs'!$B$14,'Annual Parameters'!$B$33:$W$143,3,FALSE)</f>
        <v>58.324025200264153</v>
      </c>
      <c r="BU64" s="3501">
        <f>'All - MECs'!BU64*VLOOKUP($B$14,'Annual Parameters'!$B$33:$W$143,3,FALSE)/VLOOKUP('All - MECs'!$B$14,'Annual Parameters'!$B$33:$W$143,3,FALSE)</f>
        <v>50.122502585599904</v>
      </c>
      <c r="BV64" s="3500">
        <f>'All - MECs'!BV64*VLOOKUP($B$14,'Annual Parameters'!$B$33:$W$143,3,FALSE)/VLOOKUP('All - MECs'!$B$14,'Annual Parameters'!$B$33:$W$143,3,FALSE)</f>
        <v>27.335995927061184</v>
      </c>
      <c r="BW64" s="3501">
        <f>'All - MECs'!BW64*VLOOKUP($B$14,'Annual Parameters'!$B$33:$W$143,3,FALSE)/VLOOKUP('All - MECs'!$B$14,'Annual Parameters'!$B$33:$W$143,3,FALSE)</f>
        <v>45.186981387774487</v>
      </c>
      <c r="BX64" s="3495">
        <f>'All - MECs'!BX64*VLOOKUP($B$14,'Annual Parameters'!$B$33:$W$143,3,FALSE)/VLOOKUP('All - MECs'!$B$14,'Annual Parameters'!$B$33:$W$143,3,FALSE)</f>
        <v>3.5455331484453496</v>
      </c>
      <c r="BY64" s="3496">
        <f>'All - MECs'!BY64*VLOOKUP($B$14,'Annual Parameters'!$B$33:$W$143,3,FALSE)/VLOOKUP('All - MECs'!$B$14,'Annual Parameters'!$B$33:$W$143,3,FALSE)</f>
        <v>8.529417439810814</v>
      </c>
      <c r="BZ64" s="3501">
        <f>'All - MECs'!BZ64*VLOOKUP($B$14,'Annual Parameters'!$B$33:$W$143,3,FALSE)/VLOOKUP('All - MECs'!$B$14,'Annual Parameters'!$B$33:$W$143,3,FALSE)</f>
        <v>17.072083738105114</v>
      </c>
      <c r="CA64" s="3502">
        <f>'All - MECs'!CA64*VLOOKUP($B$14,'Annual Parameters'!$B$33:$W$143,3,FALSE)/VLOOKUP('All - MECs'!$B$14,'Annual Parameters'!$B$33:$W$143,3,FALSE)</f>
        <v>23.216612465396548</v>
      </c>
    </row>
    <row r="65" spans="1:95" ht="13.5" customHeight="1">
      <c r="A65" s="3860"/>
      <c r="B65" s="3493"/>
      <c r="C65" s="3494">
        <v>4</v>
      </c>
      <c r="D65" s="3495">
        <f>'All - MECs'!D65*VLOOKUP($B$14,'Annual Parameters'!$B$33:$W$143,3,FALSE)/VLOOKUP('All - MECs'!$B$14,'Annual Parameters'!$B$33:$W$143,3,FALSE)</f>
        <v>14.499440269412558</v>
      </c>
      <c r="E65" s="3496">
        <f>'All - MECs'!E65*VLOOKUP($B$14,'Annual Parameters'!$B$33:$W$143,3,FALSE)/VLOOKUP('All - MECs'!$B$14,'Annual Parameters'!$B$33:$W$143,3,FALSE)</f>
        <v>99.347327516992323</v>
      </c>
      <c r="F65" s="3496">
        <f>'All - MECs'!F65*VLOOKUP($B$14,'Annual Parameters'!$B$33:$W$143,3,FALSE)/VLOOKUP('All - MECs'!$B$14,'Annual Parameters'!$B$33:$W$143,3,FALSE)</f>
        <v>115.14901051335221</v>
      </c>
      <c r="G65" s="3503">
        <f>'All - MECs'!G65*VLOOKUP($B$14,'Annual Parameters'!$B$33:$W$143,3,FALSE)/VLOOKUP('All - MECs'!$B$14,'Annual Parameters'!$B$33:$W$143,3,FALSE)</f>
        <v>19.191693581379088</v>
      </c>
      <c r="H65" s="3504">
        <f>'All - MECs'!H65*VLOOKUP($B$14,'Annual Parameters'!$B$33:$W$143,3,FALSE)/VLOOKUP('All - MECs'!$B$14,'Annual Parameters'!$B$33:$W$143,3,FALSE)</f>
        <v>84.312678791778723</v>
      </c>
      <c r="I65" s="3501">
        <f>'All - MECs'!I65*VLOOKUP($B$14,'Annual Parameters'!$B$33:$W$143,3,FALSE)/VLOOKUP('All - MECs'!$B$14,'Annual Parameters'!$B$33:$W$143,3,FALSE)</f>
        <v>81.571163093407762</v>
      </c>
      <c r="J65" s="3500">
        <f>'All - MECs'!J65*VLOOKUP($B$14,'Annual Parameters'!$B$33:$W$143,3,FALSE)/VLOOKUP('All - MECs'!$B$14,'Annual Parameters'!$B$33:$W$143,3,FALSE)</f>
        <v>39.3250459345957</v>
      </c>
      <c r="K65" s="3501">
        <f>'All - MECs'!K65*VLOOKUP($B$14,'Annual Parameters'!$B$33:$W$143,3,FALSE)/VLOOKUP('All - MECs'!$B$14,'Annual Parameters'!$B$33:$W$143,3,FALSE)</f>
        <v>78.247264324830098</v>
      </c>
      <c r="L65" s="3495">
        <f>'All - MECs'!L65*VLOOKUP($B$14,'Annual Parameters'!$B$33:$W$143,3,FALSE)/VLOOKUP('All - MECs'!$B$14,'Annual Parameters'!$B$33:$W$143,3,FALSE)</f>
        <v>18.949980154592296</v>
      </c>
      <c r="M65" s="3496">
        <f>'All - MECs'!M65*VLOOKUP($B$14,'Annual Parameters'!$B$33:$W$143,3,FALSE)/VLOOKUP('All - MECs'!$B$14,'Annual Parameters'!$B$33:$W$143,3,FALSE)</f>
        <v>41.128981001289723</v>
      </c>
      <c r="N65" s="3501">
        <f>'All - MECs'!N65*VLOOKUP($B$14,'Annual Parameters'!$B$33:$W$143,3,FALSE)/VLOOKUP('All - MECs'!$B$14,'Annual Parameters'!$B$33:$W$143,3,FALSE)</f>
        <v>26.622767851731659</v>
      </c>
      <c r="O65" s="3502">
        <f>'All - MECs'!O65*VLOOKUP($B$14,'Annual Parameters'!$B$33:$W$143,3,FALSE)/VLOOKUP('All - MECs'!$B$14,'Annual Parameters'!$B$33:$W$143,3,FALSE)</f>
        <v>55.210392235669843</v>
      </c>
      <c r="P65" s="3544"/>
      <c r="Q65" s="3860"/>
      <c r="R65" s="3493"/>
      <c r="S65" s="3494">
        <v>4</v>
      </c>
      <c r="T65" s="3495">
        <f>'All - MECs'!T65*VLOOKUP($B$14,'Annual Parameters'!$B$33:$W$143,3,FALSE)/VLOOKUP('All - MECs'!$B$14,'Annual Parameters'!$B$33:$W$143,3,FALSE)</f>
        <v>14.499440269412558</v>
      </c>
      <c r="U65" s="3496">
        <f>'All - MECs'!U65*VLOOKUP($B$14,'Annual Parameters'!$B$33:$W$143,3,FALSE)/VLOOKUP('All - MECs'!$B$14,'Annual Parameters'!$B$33:$W$143,3,FALSE)</f>
        <v>99.347327516992323</v>
      </c>
      <c r="V65" s="3496">
        <f>'All - MECs'!V65*VLOOKUP($B$14,'Annual Parameters'!$B$33:$W$143,3,FALSE)/VLOOKUP('All - MECs'!$B$14,'Annual Parameters'!$B$33:$W$143,3,FALSE)</f>
        <v>115.14901051335221</v>
      </c>
      <c r="W65" s="3503">
        <f>'All - MECs'!W65*VLOOKUP($B$14,'Annual Parameters'!$B$33:$W$143,3,FALSE)/VLOOKUP('All - MECs'!$B$14,'Annual Parameters'!$B$33:$W$143,3,FALSE)</f>
        <v>19.191693581379088</v>
      </c>
      <c r="X65" s="3504">
        <f>'All - MECs'!X65*VLOOKUP($B$14,'Annual Parameters'!$B$33:$W$143,3,FALSE)/VLOOKUP('All - MECs'!$B$14,'Annual Parameters'!$B$33:$W$143,3,FALSE)</f>
        <v>84.312678791778723</v>
      </c>
      <c r="Y65" s="3501">
        <f>'All - MECs'!Y65*VLOOKUP($B$14,'Annual Parameters'!$B$33:$W$143,3,FALSE)/VLOOKUP('All - MECs'!$B$14,'Annual Parameters'!$B$33:$W$143,3,FALSE)</f>
        <v>81.571163093407762</v>
      </c>
      <c r="Z65" s="3500">
        <f>'All - MECs'!Z65*VLOOKUP($B$14,'Annual Parameters'!$B$33:$W$143,3,FALSE)/VLOOKUP('All - MECs'!$B$14,'Annual Parameters'!$B$33:$W$143,3,FALSE)</f>
        <v>39.3250459345957</v>
      </c>
      <c r="AA65" s="3501">
        <f>'All - MECs'!AA65*VLOOKUP($B$14,'Annual Parameters'!$B$33:$W$143,3,FALSE)/VLOOKUP('All - MECs'!$B$14,'Annual Parameters'!$B$33:$W$143,3,FALSE)</f>
        <v>78.247264324830098</v>
      </c>
      <c r="AB65" s="3495">
        <f>'All - MECs'!AB65*VLOOKUP($B$14,'Annual Parameters'!$B$33:$W$143,3,FALSE)/VLOOKUP('All - MECs'!$B$14,'Annual Parameters'!$B$33:$W$143,3,FALSE)</f>
        <v>18.949980154592296</v>
      </c>
      <c r="AC65" s="3496">
        <f>'All - MECs'!AC65*VLOOKUP($B$14,'Annual Parameters'!$B$33:$W$143,3,FALSE)/VLOOKUP('All - MECs'!$B$14,'Annual Parameters'!$B$33:$W$143,3,FALSE)</f>
        <v>41.128981001289723</v>
      </c>
      <c r="AD65" s="3501">
        <f>'All - MECs'!AD65*VLOOKUP($B$14,'Annual Parameters'!$B$33:$W$143,3,FALSE)/VLOOKUP('All - MECs'!$B$14,'Annual Parameters'!$B$33:$W$143,3,FALSE)</f>
        <v>26.622767851731659</v>
      </c>
      <c r="AE65" s="3502">
        <f>'All - MECs'!AE65*VLOOKUP($B$14,'Annual Parameters'!$B$33:$W$143,3,FALSE)/VLOOKUP('All - MECs'!$B$14,'Annual Parameters'!$B$33:$W$143,3,FALSE)</f>
        <v>55.210392235669843</v>
      </c>
      <c r="AF65" s="3544"/>
      <c r="AG65" s="3860"/>
      <c r="AH65" s="3493"/>
      <c r="AI65" s="3494">
        <v>4</v>
      </c>
      <c r="AJ65" s="3495">
        <f>'All - MECs'!AJ65*VLOOKUP($B$14,'Annual Parameters'!$B$33:$W$143,3,FALSE)/VLOOKUP('All - MECs'!$B$14,'Annual Parameters'!$B$33:$W$143,3,FALSE)</f>
        <v>27.548936511883859</v>
      </c>
      <c r="AK65" s="3496">
        <f>'All - MECs'!AK65*VLOOKUP($B$14,'Annual Parameters'!$B$33:$W$143,3,FALSE)/VLOOKUP('All - MECs'!$B$14,'Annual Parameters'!$B$33:$W$143,3,FALSE)</f>
        <v>188.7599222822854</v>
      </c>
      <c r="AL65" s="3496">
        <f>'All - MECs'!AL65*VLOOKUP($B$14,'Annual Parameters'!$B$33:$W$143,3,FALSE)/VLOOKUP('All - MECs'!$B$14,'Annual Parameters'!$B$33:$W$143,3,FALSE)</f>
        <v>218.7831199753692</v>
      </c>
      <c r="AM65" s="3503">
        <f>'All - MECs'!AM65*VLOOKUP($B$14,'Annual Parameters'!$B$33:$W$143,3,FALSE)/VLOOKUP('All - MECs'!$B$14,'Annual Parameters'!$B$33:$W$143,3,FALSE)</f>
        <v>36.464217804620269</v>
      </c>
      <c r="AN65" s="3504">
        <f>'All - MECs'!AN65*VLOOKUP($B$14,'Annual Parameters'!$B$33:$W$143,3,FALSE)/VLOOKUP('All - MECs'!$B$14,'Annual Parameters'!$B$33:$W$143,3,FALSE)</f>
        <v>160.19408970437956</v>
      </c>
      <c r="AO65" s="3501">
        <f>'All - MECs'!AO65*VLOOKUP($B$14,'Annual Parameters'!$B$33:$W$143,3,FALSE)/VLOOKUP('All - MECs'!$B$14,'Annual Parameters'!$B$33:$W$143,3,FALSE)</f>
        <v>154.98520987747474</v>
      </c>
      <c r="AP65" s="3500">
        <f>'All - MECs'!AP65*VLOOKUP($B$14,'Annual Parameters'!$B$33:$W$143,3,FALSE)/VLOOKUP('All - MECs'!$B$14,'Annual Parameters'!$B$33:$W$143,3,FALSE)</f>
        <v>74.71758727573183</v>
      </c>
      <c r="AQ65" s="3501">
        <f>'All - MECs'!AQ65*VLOOKUP($B$14,'Annual Parameters'!$B$33:$W$143,3,FALSE)/VLOOKUP('All - MECs'!$B$14,'Annual Parameters'!$B$33:$W$143,3,FALSE)</f>
        <v>148.66980221717719</v>
      </c>
      <c r="AR65" s="3495">
        <f>'All - MECs'!AR65*VLOOKUP($B$14,'Annual Parameters'!$B$33:$W$143,3,FALSE)/VLOOKUP('All - MECs'!$B$14,'Annual Parameters'!$B$33:$W$143,3,FALSE)</f>
        <v>36.004962293725363</v>
      </c>
      <c r="AS65" s="3496">
        <f>'All - MECs'!AS65*VLOOKUP($B$14,'Annual Parameters'!$B$33:$W$143,3,FALSE)/VLOOKUP('All - MECs'!$B$14,'Annual Parameters'!$B$33:$W$143,3,FALSE)</f>
        <v>78.145063902450474</v>
      </c>
      <c r="AT65" s="3501">
        <f>'All - MECs'!AT65*VLOOKUP($B$14,'Annual Parameters'!$B$33:$W$143,3,FALSE)/VLOOKUP('All - MECs'!$B$14,'Annual Parameters'!$B$33:$W$143,3,FALSE)</f>
        <v>50.583258918290149</v>
      </c>
      <c r="AU65" s="3502">
        <f>'All - MECs'!AU65*VLOOKUP($B$14,'Annual Parameters'!$B$33:$W$143,3,FALSE)/VLOOKUP('All - MECs'!$B$14,'Annual Parameters'!$B$33:$W$143,3,FALSE)</f>
        <v>104.8997452477727</v>
      </c>
      <c r="AV65" s="3544"/>
      <c r="AW65" s="3860"/>
      <c r="AX65" s="3493"/>
      <c r="AY65" s="3494">
        <v>4</v>
      </c>
      <c r="AZ65" s="3495">
        <f>'All - MECs'!AZ65*VLOOKUP($B$14,'Annual Parameters'!$B$33:$W$143,3,FALSE)/VLOOKUP('All - MECs'!$B$14,'Annual Parameters'!$B$33:$W$143,3,FALSE)</f>
        <v>42.048376781296419</v>
      </c>
      <c r="BA65" s="3496">
        <f>'All - MECs'!BA65*VLOOKUP($B$14,'Annual Parameters'!$B$33:$W$143,3,FALSE)/VLOOKUP('All - MECs'!$B$14,'Annual Parameters'!$B$33:$W$143,3,FALSE)</f>
        <v>288.10724979927772</v>
      </c>
      <c r="BB65" s="3496">
        <f>'All - MECs'!BB65*VLOOKUP($B$14,'Annual Parameters'!$B$33:$W$143,3,FALSE)/VLOOKUP('All - MECs'!$B$14,'Annual Parameters'!$B$33:$W$143,3,FALSE)</f>
        <v>333.93213048872138</v>
      </c>
      <c r="BC65" s="3503">
        <f>'All - MECs'!BC65*VLOOKUP($B$14,'Annual Parameters'!$B$33:$W$143,3,FALSE)/VLOOKUP('All - MECs'!$B$14,'Annual Parameters'!$B$33:$W$143,3,FALSE)</f>
        <v>55.655911385999353</v>
      </c>
      <c r="BD65" s="3504">
        <f>'All - MECs'!BD65*VLOOKUP($B$14,'Annual Parameters'!$B$33:$W$143,3,FALSE)/VLOOKUP('All - MECs'!$B$14,'Annual Parameters'!$B$33:$W$143,3,FALSE)</f>
        <v>244.50676849615829</v>
      </c>
      <c r="BE65" s="3501">
        <f>'All - MECs'!BE65*VLOOKUP($B$14,'Annual Parameters'!$B$33:$W$143,3,FALSE)/VLOOKUP('All - MECs'!$B$14,'Annual Parameters'!$B$33:$W$143,3,FALSE)</f>
        <v>236.55637297088251</v>
      </c>
      <c r="BF65" s="3500">
        <f>'All - MECs'!BF65*VLOOKUP($B$14,'Annual Parameters'!$B$33:$W$143,3,FALSE)/VLOOKUP('All - MECs'!$B$14,'Annual Parameters'!$B$33:$W$143,3,FALSE)</f>
        <v>114.04263321032754</v>
      </c>
      <c r="BG65" s="3501">
        <f>'All - MECs'!BG65*VLOOKUP($B$14,'Annual Parameters'!$B$33:$W$143,3,FALSE)/VLOOKUP('All - MECs'!$B$14,'Annual Parameters'!$B$33:$W$143,3,FALSE)</f>
        <v>226.91706654200732</v>
      </c>
      <c r="BH65" s="3495">
        <f>'All - MECs'!BH65*VLOOKUP($B$14,'Annual Parameters'!$B$33:$W$143,3,FALSE)/VLOOKUP('All - MECs'!$B$14,'Annual Parameters'!$B$33:$W$143,3,FALSE)</f>
        <v>54.954942448317659</v>
      </c>
      <c r="BI65" s="3496">
        <f>'All - MECs'!BI65*VLOOKUP($B$14,'Annual Parameters'!$B$33:$W$143,3,FALSE)/VLOOKUP('All - MECs'!$B$14,'Annual Parameters'!$B$33:$W$143,3,FALSE)</f>
        <v>119.27404490374019</v>
      </c>
      <c r="BJ65" s="3501">
        <f>'All - MECs'!BJ65*VLOOKUP($B$14,'Annual Parameters'!$B$33:$W$143,3,FALSE)/VLOOKUP('All - MECs'!$B$14,'Annual Parameters'!$B$33:$W$143,3,FALSE)</f>
        <v>77.206026770021808</v>
      </c>
      <c r="BK65" s="3502">
        <f>'All - MECs'!BK65*VLOOKUP($B$14,'Annual Parameters'!$B$33:$W$143,3,FALSE)/VLOOKUP('All - MECs'!$B$14,'Annual Parameters'!$B$33:$W$143,3,FALSE)</f>
        <v>160.11013748344254</v>
      </c>
      <c r="BL65" s="3544"/>
      <c r="BM65" s="3860"/>
      <c r="BN65" s="3493"/>
      <c r="BO65" s="3494">
        <v>4</v>
      </c>
      <c r="BP65" s="3495">
        <f>'All - MECs'!BP65*VLOOKUP($B$14,'Annual Parameters'!$B$33:$W$143,3,FALSE)/VLOOKUP('All - MECs'!$B$14,'Annual Parameters'!$B$33:$W$143,3,FALSE)</f>
        <v>36.248600673531392</v>
      </c>
      <c r="BQ65" s="3496">
        <f>'All - MECs'!BQ65*VLOOKUP($B$14,'Annual Parameters'!$B$33:$W$143,3,FALSE)/VLOOKUP('All - MECs'!$B$14,'Annual Parameters'!$B$33:$W$143,3,FALSE)</f>
        <v>248.36831879248084</v>
      </c>
      <c r="BR65" s="3496">
        <f>'All - MECs'!BR65*VLOOKUP($B$14,'Annual Parameters'!$B$33:$W$143,3,FALSE)/VLOOKUP('All - MECs'!$B$14,'Annual Parameters'!$B$33:$W$143,3,FALSE)</f>
        <v>287.87252628338052</v>
      </c>
      <c r="BS65" s="3503">
        <f>'All - MECs'!BS65*VLOOKUP($B$14,'Annual Parameters'!$B$33:$W$143,3,FALSE)/VLOOKUP('All - MECs'!$B$14,'Annual Parameters'!$B$33:$W$143,3,FALSE)</f>
        <v>47.979233953447718</v>
      </c>
      <c r="BT65" s="3504">
        <f>'All - MECs'!BT65*VLOOKUP($B$14,'Annual Parameters'!$B$33:$W$143,3,FALSE)/VLOOKUP('All - MECs'!$B$14,'Annual Parameters'!$B$33:$W$143,3,FALSE)</f>
        <v>210.78169697944679</v>
      </c>
      <c r="BU65" s="3501">
        <f>'All - MECs'!BU65*VLOOKUP($B$14,'Annual Parameters'!$B$33:$W$143,3,FALSE)/VLOOKUP('All - MECs'!$B$14,'Annual Parameters'!$B$33:$W$143,3,FALSE)</f>
        <v>203.92790773351942</v>
      </c>
      <c r="BV65" s="3500">
        <f>'All - MECs'!BV65*VLOOKUP($B$14,'Annual Parameters'!$B$33:$W$143,3,FALSE)/VLOOKUP('All - MECs'!$B$14,'Annual Parameters'!$B$33:$W$143,3,FALSE)</f>
        <v>98.312614836489246</v>
      </c>
      <c r="BW65" s="3501">
        <f>'All - MECs'!BW65*VLOOKUP($B$14,'Annual Parameters'!$B$33:$W$143,3,FALSE)/VLOOKUP('All - MECs'!$B$14,'Annual Parameters'!$B$33:$W$143,3,FALSE)</f>
        <v>195.61816081207525</v>
      </c>
      <c r="BX65" s="3495">
        <f>'All - MECs'!BX65*VLOOKUP($B$14,'Annual Parameters'!$B$33:$W$143,3,FALSE)/VLOOKUP('All - MECs'!$B$14,'Annual Parameters'!$B$33:$W$143,3,FALSE)</f>
        <v>47.374950386480741</v>
      </c>
      <c r="BY65" s="3496">
        <f>'All - MECs'!BY65*VLOOKUP($B$14,'Annual Parameters'!$B$33:$W$143,3,FALSE)/VLOOKUP('All - MECs'!$B$14,'Annual Parameters'!$B$33:$W$143,3,FALSE)</f>
        <v>102.8224525032243</v>
      </c>
      <c r="BZ65" s="3501">
        <f>'All - MECs'!BZ65*VLOOKUP($B$14,'Annual Parameters'!$B$33:$W$143,3,FALSE)/VLOOKUP('All - MECs'!$B$14,'Annual Parameters'!$B$33:$W$143,3,FALSE)</f>
        <v>66.556919629329144</v>
      </c>
      <c r="CA65" s="3502">
        <f>'All - MECs'!CA65*VLOOKUP($B$14,'Annual Parameters'!$B$33:$W$143,3,FALSE)/VLOOKUP('All - MECs'!$B$14,'Annual Parameters'!$B$33:$W$143,3,FALSE)</f>
        <v>138.02598058917459</v>
      </c>
    </row>
    <row r="66" spans="1:95" ht="13.5" customHeight="1">
      <c r="A66" s="3860"/>
      <c r="B66" s="3493"/>
      <c r="C66" s="3505">
        <v>5</v>
      </c>
      <c r="D66" s="3495" t="e">
        <f>'All - MECs'!D66*VLOOKUP($B$14,'Annual Parameters'!$B$33:$W$143,3,FALSE)/VLOOKUP('All - MECs'!$B$14,'Annual Parameters'!$B$33:$W$143,3,FALSE)</f>
        <v>#N/A</v>
      </c>
      <c r="E66" s="3496">
        <f>'All - MECs'!E66*VLOOKUP($B$14,'Annual Parameters'!$B$33:$W$143,3,FALSE)/VLOOKUP('All - MECs'!$B$14,'Annual Parameters'!$B$33:$W$143,3,FALSE)</f>
        <v>255.67588798098663</v>
      </c>
      <c r="F66" s="3496">
        <f>'All - MECs'!F66*VLOOKUP($B$14,'Annual Parameters'!$B$33:$W$143,3,FALSE)/VLOOKUP('All - MECs'!$B$14,'Annual Parameters'!$B$33:$W$143,3,FALSE)</f>
        <v>218.86650483364105</v>
      </c>
      <c r="G66" s="3506">
        <f>'All - MECs'!G66*VLOOKUP($B$14,'Annual Parameters'!$B$33:$W$143,3,FALSE)/VLOOKUP('All - MECs'!$B$14,'Annual Parameters'!$B$33:$W$143,3,FALSE)</f>
        <v>63.875728899330994</v>
      </c>
      <c r="H66" s="3507">
        <f>'All - MECs'!H66*VLOOKUP($B$14,'Annual Parameters'!$B$33:$W$143,3,FALSE)/VLOOKUP('All - MECs'!$B$14,'Annual Parameters'!$B$33:$W$143,3,FALSE)</f>
        <v>216.59789554684946</v>
      </c>
      <c r="I66" s="3508">
        <f>'All - MECs'!I66*VLOOKUP($B$14,'Annual Parameters'!$B$33:$W$143,3,FALSE)/VLOOKUP('All - MECs'!$B$14,'Annual Parameters'!$B$33:$W$143,3,FALSE)</f>
        <v>257.6428229178228</v>
      </c>
      <c r="J66" s="3509">
        <f>'All - MECs'!J66*VLOOKUP($B$14,'Annual Parameters'!$B$33:$W$143,3,FALSE)/VLOOKUP('All - MECs'!$B$14,'Annual Parameters'!$B$33:$W$143,3,FALSE)</f>
        <v>75.490552385215864</v>
      </c>
      <c r="K66" s="3508">
        <f>'All - MECs'!K66*VLOOKUP($B$14,'Annual Parameters'!$B$33:$W$143,3,FALSE)/VLOOKUP('All - MECs'!$B$14,'Annual Parameters'!$B$33:$W$143,3,FALSE)</f>
        <v>222.46813437542295</v>
      </c>
      <c r="L66" s="3510">
        <f>'All - MECs'!L66*VLOOKUP($B$14,'Annual Parameters'!$B$33:$W$143,3,FALSE)/VLOOKUP('All - MECs'!$B$14,'Annual Parameters'!$B$33:$W$143,3,FALSE)</f>
        <v>82.745865700869629</v>
      </c>
      <c r="M66" s="3511">
        <f>'All - MECs'!M66*VLOOKUP($B$14,'Annual Parameters'!$B$33:$W$143,3,FALSE)/VLOOKUP('All - MECs'!$B$14,'Annual Parameters'!$B$33:$W$143,3,FALSE)</f>
        <v>119.62960693152577</v>
      </c>
      <c r="N66" s="3508">
        <f>'All - MECs'!N66*VLOOKUP($B$14,'Annual Parameters'!$B$33:$W$143,3,FALSE)/VLOOKUP('All - MECs'!$B$14,'Annual Parameters'!$B$33:$W$143,3,FALSE)</f>
        <v>152.44302652943978</v>
      </c>
      <c r="O66" s="3502">
        <f>'All - MECs'!O66*VLOOKUP($B$14,'Annual Parameters'!$B$33:$W$143,3,FALSE)/VLOOKUP('All - MECs'!$B$14,'Annual Parameters'!$B$33:$W$143,3,FALSE)</f>
        <v>186.00101170865383</v>
      </c>
      <c r="P66" s="3544"/>
      <c r="Q66" s="3860"/>
      <c r="R66" s="3493"/>
      <c r="S66" s="3505">
        <v>5</v>
      </c>
      <c r="T66" s="3495" t="e">
        <f>'All - MECs'!T66*VLOOKUP($B$14,'Annual Parameters'!$B$33:$W$143,3,FALSE)/VLOOKUP('All - MECs'!$B$14,'Annual Parameters'!$B$33:$W$143,3,FALSE)</f>
        <v>#N/A</v>
      </c>
      <c r="U66" s="3496">
        <f>'All - MECs'!U66*VLOOKUP($B$14,'Annual Parameters'!$B$33:$W$143,3,FALSE)/VLOOKUP('All - MECs'!$B$14,'Annual Parameters'!$B$33:$W$143,3,FALSE)</f>
        <v>255.67588798098663</v>
      </c>
      <c r="V66" s="3496">
        <f>'All - MECs'!V66*VLOOKUP($B$14,'Annual Parameters'!$B$33:$W$143,3,FALSE)/VLOOKUP('All - MECs'!$B$14,'Annual Parameters'!$B$33:$W$143,3,FALSE)</f>
        <v>218.86650483364105</v>
      </c>
      <c r="W66" s="3506">
        <f>'All - MECs'!W66*VLOOKUP($B$14,'Annual Parameters'!$B$33:$W$143,3,FALSE)/VLOOKUP('All - MECs'!$B$14,'Annual Parameters'!$B$33:$W$143,3,FALSE)</f>
        <v>63.875728899330994</v>
      </c>
      <c r="X66" s="3507">
        <f>'All - MECs'!X66*VLOOKUP($B$14,'Annual Parameters'!$B$33:$W$143,3,FALSE)/VLOOKUP('All - MECs'!$B$14,'Annual Parameters'!$B$33:$W$143,3,FALSE)</f>
        <v>216.59789554684946</v>
      </c>
      <c r="Y66" s="3508">
        <f>'All - MECs'!Y66*VLOOKUP($B$14,'Annual Parameters'!$B$33:$W$143,3,FALSE)/VLOOKUP('All - MECs'!$B$14,'Annual Parameters'!$B$33:$W$143,3,FALSE)</f>
        <v>257.6428229178228</v>
      </c>
      <c r="Z66" s="3509">
        <f>'All - MECs'!Z66*VLOOKUP($B$14,'Annual Parameters'!$B$33:$W$143,3,FALSE)/VLOOKUP('All - MECs'!$B$14,'Annual Parameters'!$B$33:$W$143,3,FALSE)</f>
        <v>75.490552385215864</v>
      </c>
      <c r="AA66" s="3508">
        <f>'All - MECs'!AA66*VLOOKUP($B$14,'Annual Parameters'!$B$33:$W$143,3,FALSE)/VLOOKUP('All - MECs'!$B$14,'Annual Parameters'!$B$33:$W$143,3,FALSE)</f>
        <v>222.46813437542295</v>
      </c>
      <c r="AB66" s="3510">
        <f>'All - MECs'!AB66*VLOOKUP($B$14,'Annual Parameters'!$B$33:$W$143,3,FALSE)/VLOOKUP('All - MECs'!$B$14,'Annual Parameters'!$B$33:$W$143,3,FALSE)</f>
        <v>82.745865700869629</v>
      </c>
      <c r="AC66" s="3511">
        <f>'All - MECs'!AC66*VLOOKUP($B$14,'Annual Parameters'!$B$33:$W$143,3,FALSE)/VLOOKUP('All - MECs'!$B$14,'Annual Parameters'!$B$33:$W$143,3,FALSE)</f>
        <v>119.62960693152577</v>
      </c>
      <c r="AD66" s="3508">
        <f>'All - MECs'!AD66*VLOOKUP($B$14,'Annual Parameters'!$B$33:$W$143,3,FALSE)/VLOOKUP('All - MECs'!$B$14,'Annual Parameters'!$B$33:$W$143,3,FALSE)</f>
        <v>152.44302652943978</v>
      </c>
      <c r="AE66" s="3502">
        <f>'All - MECs'!AE66*VLOOKUP($B$14,'Annual Parameters'!$B$33:$W$143,3,FALSE)/VLOOKUP('All - MECs'!$B$14,'Annual Parameters'!$B$33:$W$143,3,FALSE)</f>
        <v>186.00101170865383</v>
      </c>
      <c r="AF66" s="3544"/>
      <c r="AG66" s="3860"/>
      <c r="AH66" s="3493"/>
      <c r="AI66" s="3505">
        <v>5</v>
      </c>
      <c r="AJ66" s="3495" t="e">
        <f>'All - MECs'!AJ66*VLOOKUP($B$14,'Annual Parameters'!$B$33:$W$143,3,FALSE)/VLOOKUP('All - MECs'!$B$14,'Annual Parameters'!$B$33:$W$143,3,FALSE)</f>
        <v>#N/A</v>
      </c>
      <c r="AK66" s="3496">
        <f>'All - MECs'!AK66*VLOOKUP($B$14,'Annual Parameters'!$B$33:$W$143,3,FALSE)/VLOOKUP('All - MECs'!$B$14,'Annual Parameters'!$B$33:$W$143,3,FALSE)</f>
        <v>485.78418716387455</v>
      </c>
      <c r="AL66" s="3496">
        <f>'All - MECs'!AL66*VLOOKUP($B$14,'Annual Parameters'!$B$33:$W$143,3,FALSE)/VLOOKUP('All - MECs'!$B$14,'Annual Parameters'!$B$33:$W$143,3,FALSE)</f>
        <v>415.84635918391797</v>
      </c>
      <c r="AM66" s="3506">
        <f>'All - MECs'!AM66*VLOOKUP($B$14,'Annual Parameters'!$B$33:$W$143,3,FALSE)/VLOOKUP('All - MECs'!$B$14,'Annual Parameters'!$B$33:$W$143,3,FALSE)</f>
        <v>121.36388490872889</v>
      </c>
      <c r="AN66" s="3507">
        <f>'All - MECs'!AN66*VLOOKUP($B$14,'Annual Parameters'!$B$33:$W$143,3,FALSE)/VLOOKUP('All - MECs'!$B$14,'Annual Parameters'!$B$33:$W$143,3,FALSE)</f>
        <v>411.53600153901402</v>
      </c>
      <c r="AO66" s="3508">
        <f>'All - MECs'!AO66*VLOOKUP($B$14,'Annual Parameters'!$B$33:$W$143,3,FALSE)/VLOOKUP('All - MECs'!$B$14,'Annual Parameters'!$B$33:$W$143,3,FALSE)</f>
        <v>489.52136354386329</v>
      </c>
      <c r="AP66" s="3509">
        <f>'All - MECs'!AP66*VLOOKUP($B$14,'Annual Parameters'!$B$33:$W$143,3,FALSE)/VLOOKUP('All - MECs'!$B$14,'Annual Parameters'!$B$33:$W$143,3,FALSE)</f>
        <v>143.43204953191014</v>
      </c>
      <c r="AQ66" s="3508">
        <f>'All - MECs'!AQ66*VLOOKUP($B$14,'Annual Parameters'!$B$33:$W$143,3,FALSE)/VLOOKUP('All - MECs'!$B$14,'Annual Parameters'!$B$33:$W$143,3,FALSE)</f>
        <v>422.6894553133036</v>
      </c>
      <c r="AR66" s="3510">
        <f>'All - MECs'!AR66*VLOOKUP($B$14,'Annual Parameters'!$B$33:$W$143,3,FALSE)/VLOOKUP('All - MECs'!$B$14,'Annual Parameters'!$B$33:$W$143,3,FALSE)</f>
        <v>157.21714483165229</v>
      </c>
      <c r="AS66" s="3511">
        <f>'All - MECs'!AS66*VLOOKUP($B$14,'Annual Parameters'!$B$33:$W$143,3,FALSE)/VLOOKUP('All - MECs'!$B$14,'Annual Parameters'!$B$33:$W$143,3,FALSE)</f>
        <v>227.29625316989896</v>
      </c>
      <c r="AT66" s="3508">
        <f>'All - MECs'!AT66*VLOOKUP($B$14,'Annual Parameters'!$B$33:$W$143,3,FALSE)/VLOOKUP('All - MECs'!$B$14,'Annual Parameters'!$B$33:$W$143,3,FALSE)</f>
        <v>289.64175040593557</v>
      </c>
      <c r="AU66" s="3502">
        <f>'All - MECs'!AU66*VLOOKUP($B$14,'Annual Parameters'!$B$33:$W$143,3,FALSE)/VLOOKUP('All - MECs'!$B$14,'Annual Parameters'!$B$33:$W$143,3,FALSE)</f>
        <v>353.40192224644221</v>
      </c>
      <c r="AV66" s="3544"/>
      <c r="AW66" s="3860"/>
      <c r="AX66" s="3493"/>
      <c r="AY66" s="3505">
        <v>5</v>
      </c>
      <c r="AZ66" s="3495" t="e">
        <f>'All - MECs'!AZ66*VLOOKUP($B$14,'Annual Parameters'!$B$33:$W$143,3,FALSE)/VLOOKUP('All - MECs'!$B$14,'Annual Parameters'!$B$33:$W$143,3,FALSE)</f>
        <v>#N/A</v>
      </c>
      <c r="BA66" s="3496">
        <f>'All - MECs'!BA66*VLOOKUP($B$14,'Annual Parameters'!$B$33:$W$143,3,FALSE)/VLOOKUP('All - MECs'!$B$14,'Annual Parameters'!$B$33:$W$143,3,FALSE)</f>
        <v>741.46007514486121</v>
      </c>
      <c r="BB66" s="3496">
        <f>'All - MECs'!BB66*VLOOKUP($B$14,'Annual Parameters'!$B$33:$W$143,3,FALSE)/VLOOKUP('All - MECs'!$B$14,'Annual Parameters'!$B$33:$W$143,3,FALSE)</f>
        <v>634.71286401755901</v>
      </c>
      <c r="BC66" s="3506">
        <f>'All - MECs'!BC66*VLOOKUP($B$14,'Annual Parameters'!$B$33:$W$143,3,FALSE)/VLOOKUP('All - MECs'!$B$14,'Annual Parameters'!$B$33:$W$143,3,FALSE)</f>
        <v>185.23961380805989</v>
      </c>
      <c r="BD66" s="3507">
        <f>'All - MECs'!BD66*VLOOKUP($B$14,'Annual Parameters'!$B$33:$W$143,3,FALSE)/VLOOKUP('All - MECs'!$B$14,'Annual Parameters'!$B$33:$W$143,3,FALSE)</f>
        <v>628.13389708586351</v>
      </c>
      <c r="BE66" s="3508">
        <f>'All - MECs'!BE66*VLOOKUP($B$14,'Annual Parameters'!$B$33:$W$143,3,FALSE)/VLOOKUP('All - MECs'!$B$14,'Annual Parameters'!$B$33:$W$143,3,FALSE)</f>
        <v>747.16418646168609</v>
      </c>
      <c r="BF66" s="3509">
        <f>'All - MECs'!BF66*VLOOKUP($B$14,'Annual Parameters'!$B$33:$W$143,3,FALSE)/VLOOKUP('All - MECs'!$B$14,'Annual Parameters'!$B$33:$W$143,3,FALSE)</f>
        <v>218.922601917126</v>
      </c>
      <c r="BG66" s="3508">
        <f>'All - MECs'!BG66*VLOOKUP($B$14,'Annual Parameters'!$B$33:$W$143,3,FALSE)/VLOOKUP('All - MECs'!$B$14,'Annual Parameters'!$B$33:$W$143,3,FALSE)</f>
        <v>645.15758968872649</v>
      </c>
      <c r="BH66" s="3510">
        <f>'All - MECs'!BH66*VLOOKUP($B$14,'Annual Parameters'!$B$33:$W$143,3,FALSE)/VLOOKUP('All - MECs'!$B$14,'Annual Parameters'!$B$33:$W$143,3,FALSE)</f>
        <v>239.96301053252191</v>
      </c>
      <c r="BI66" s="3511">
        <f>'All - MECs'!BI66*VLOOKUP($B$14,'Annual Parameters'!$B$33:$W$143,3,FALSE)/VLOOKUP('All - MECs'!$B$14,'Annual Parameters'!$B$33:$W$143,3,FALSE)</f>
        <v>346.92586010142475</v>
      </c>
      <c r="BJ66" s="3508">
        <f>'All - MECs'!BJ66*VLOOKUP($B$14,'Annual Parameters'!$B$33:$W$143,3,FALSE)/VLOOKUP('All - MECs'!$B$14,'Annual Parameters'!$B$33:$W$143,3,FALSE)</f>
        <v>442.08477693537532</v>
      </c>
      <c r="BK66" s="3502">
        <f>'All - MECs'!BK66*VLOOKUP($B$14,'Annual Parameters'!$B$33:$W$143,3,FALSE)/VLOOKUP('All - MECs'!$B$14,'Annual Parameters'!$B$33:$W$143,3,FALSE)</f>
        <v>539.40293395509605</v>
      </c>
      <c r="BL66" s="3544"/>
      <c r="BM66" s="3860"/>
      <c r="BN66" s="3493"/>
      <c r="BO66" s="3505">
        <v>5</v>
      </c>
      <c r="BP66" s="3495" t="e">
        <f>'All - MECs'!BP66*VLOOKUP($B$14,'Annual Parameters'!$B$33:$W$143,3,FALSE)/VLOOKUP('All - MECs'!$B$14,'Annual Parameters'!$B$33:$W$143,3,FALSE)</f>
        <v>#N/A</v>
      </c>
      <c r="BQ66" s="3496">
        <f>'All - MECs'!BQ66*VLOOKUP($B$14,'Annual Parameters'!$B$33:$W$143,3,FALSE)/VLOOKUP('All - MECs'!$B$14,'Annual Parameters'!$B$33:$W$143,3,FALSE)</f>
        <v>639.18971995246659</v>
      </c>
      <c r="BR66" s="3496">
        <f>'All - MECs'!BR66*VLOOKUP($B$14,'Annual Parameters'!$B$33:$W$143,3,FALSE)/VLOOKUP('All - MECs'!$B$14,'Annual Parameters'!$B$33:$W$143,3,FALSE)</f>
        <v>547.16626208410264</v>
      </c>
      <c r="BS66" s="3506">
        <f>'All - MECs'!BS66*VLOOKUP($B$14,'Annual Parameters'!$B$33:$W$143,3,FALSE)/VLOOKUP('All - MECs'!$B$14,'Annual Parameters'!$B$33:$W$143,3,FALSE)</f>
        <v>159.6893222483275</v>
      </c>
      <c r="BT66" s="3507">
        <f>'All - MECs'!BT66*VLOOKUP($B$14,'Annual Parameters'!$B$33:$W$143,3,FALSE)/VLOOKUP('All - MECs'!$B$14,'Annual Parameters'!$B$33:$W$143,3,FALSE)</f>
        <v>541.49473886712371</v>
      </c>
      <c r="BU66" s="3508">
        <f>'All - MECs'!BU66*VLOOKUP($B$14,'Annual Parameters'!$B$33:$W$143,3,FALSE)/VLOOKUP('All - MECs'!$B$14,'Annual Parameters'!$B$33:$W$143,3,FALSE)</f>
        <v>644.10705729455697</v>
      </c>
      <c r="BV66" s="3509">
        <f>'All - MECs'!BV66*VLOOKUP($B$14,'Annual Parameters'!$B$33:$W$143,3,FALSE)/VLOOKUP('All - MECs'!$B$14,'Annual Parameters'!$B$33:$W$143,3,FALSE)</f>
        <v>188.72638096303967</v>
      </c>
      <c r="BW66" s="3508">
        <f>'All - MECs'!BW66*VLOOKUP($B$14,'Annual Parameters'!$B$33:$W$143,3,FALSE)/VLOOKUP('All - MECs'!$B$14,'Annual Parameters'!$B$33:$W$143,3,FALSE)</f>
        <v>556.1703359385574</v>
      </c>
      <c r="BX66" s="3510">
        <f>'All - MECs'!BX66*VLOOKUP($B$14,'Annual Parameters'!$B$33:$W$143,3,FALSE)/VLOOKUP('All - MECs'!$B$14,'Annual Parameters'!$B$33:$W$143,3,FALSE)</f>
        <v>206.86466425217407</v>
      </c>
      <c r="BY66" s="3511">
        <f>'All - MECs'!BY66*VLOOKUP($B$14,'Annual Parameters'!$B$33:$W$143,3,FALSE)/VLOOKUP('All - MECs'!$B$14,'Annual Parameters'!$B$33:$W$143,3,FALSE)</f>
        <v>299.07401732881442</v>
      </c>
      <c r="BZ66" s="3508">
        <f>'All - MECs'!BZ66*VLOOKUP($B$14,'Annual Parameters'!$B$33:$W$143,3,FALSE)/VLOOKUP('All - MECs'!$B$14,'Annual Parameters'!$B$33:$W$143,3,FALSE)</f>
        <v>381.10756632359949</v>
      </c>
      <c r="CA66" s="3502">
        <f>'All - MECs'!CA66*VLOOKUP($B$14,'Annual Parameters'!$B$33:$W$143,3,FALSE)/VLOOKUP('All - MECs'!$B$14,'Annual Parameters'!$B$33:$W$143,3,FALSE)</f>
        <v>465.0025292716345</v>
      </c>
    </row>
    <row r="67" spans="1:95" ht="13.5" customHeight="1">
      <c r="A67" s="3860"/>
      <c r="B67" s="3493"/>
      <c r="C67" s="3512" t="s">
        <v>1422</v>
      </c>
      <c r="D67" s="3513">
        <f>'All - MECs'!D67*VLOOKUP($B$14,'Annual Parameters'!$B$33:$W$143,3,FALSE)/VLOOKUP('All - MECs'!$B$14,'Annual Parameters'!$B$33:$W$143,3,FALSE)</f>
        <v>0.36829354678255333</v>
      </c>
      <c r="E67" s="3514">
        <f>'All - MECs'!E67*VLOOKUP($B$14,'Annual Parameters'!$B$33:$W$143,3,FALSE)/VLOOKUP('All - MECs'!$B$14,'Annual Parameters'!$B$33:$W$143,3,FALSE)</f>
        <v>87.286899690145844</v>
      </c>
      <c r="F67" s="3515">
        <f>'All - MECs'!F67*VLOOKUP($B$14,'Annual Parameters'!$B$33:$W$143,3,FALSE)/VLOOKUP('All - MECs'!$B$14,'Annual Parameters'!$B$33:$W$143,3,FALSE)</f>
        <v>54.084904291950089</v>
      </c>
      <c r="G67" s="3513">
        <f>'All - MECs'!G67*VLOOKUP($B$14,'Annual Parameters'!$B$33:$W$143,3,FALSE)/VLOOKUP('All - MECs'!$B$14,'Annual Parameters'!$B$33:$W$143,3,FALSE)</f>
        <v>2.7625520093817655</v>
      </c>
      <c r="H67" s="3514">
        <f>'All - MECs'!H67*VLOOKUP($B$14,'Annual Parameters'!$B$33:$W$143,3,FALSE)/VLOOKUP('All - MECs'!$B$14,'Annual Parameters'!$B$33:$W$143,3,FALSE)</f>
        <v>39.98291837613688</v>
      </c>
      <c r="I67" s="3515">
        <f>'All - MECs'!I67*VLOOKUP($B$14,'Annual Parameters'!$B$33:$W$143,3,FALSE)/VLOOKUP('All - MECs'!$B$14,'Annual Parameters'!$B$33:$W$143,3,FALSE)</f>
        <v>28.072778118989071</v>
      </c>
      <c r="J67" s="3516">
        <f>'All - MECs'!J67*VLOOKUP($B$14,'Annual Parameters'!$B$33:$W$143,3,FALSE)/VLOOKUP('All - MECs'!$B$14,'Annual Parameters'!$B$33:$W$143,3,FALSE)</f>
        <v>15.971238120135222</v>
      </c>
      <c r="K67" s="3517">
        <f>'All - MECs'!K67*VLOOKUP($B$14,'Annual Parameters'!$B$33:$W$143,3,FALSE)/VLOOKUP('All - MECs'!$B$14,'Annual Parameters'!$B$33:$W$143,3,FALSE)</f>
        <v>11.704985338784631</v>
      </c>
      <c r="L67" s="3518">
        <f>'All - MECs'!L67*VLOOKUP($B$14,'Annual Parameters'!$B$33:$W$143,3,FALSE)/VLOOKUP('All - MECs'!$B$14,'Annual Parameters'!$B$33:$W$143,3,FALSE)</f>
        <v>1.7673104413243719</v>
      </c>
      <c r="M67" s="3519">
        <f>'All - MECs'!M67*VLOOKUP($B$14,'Annual Parameters'!$B$33:$W$143,3,FALSE)/VLOOKUP('All - MECs'!$B$14,'Annual Parameters'!$B$33:$W$143,3,FALSE)</f>
        <v>2.6976561417040137</v>
      </c>
      <c r="N67" s="3517">
        <f>'All - MECs'!N67*VLOOKUP($B$14,'Annual Parameters'!$B$33:$W$143,3,FALSE)/VLOOKUP('All - MECs'!$B$14,'Annual Parameters'!$B$33:$W$143,3,FALSE)</f>
        <v>3.5901798641171401</v>
      </c>
      <c r="O67" s="3520">
        <f>'All - MECs'!O67*VLOOKUP($B$14,'Annual Parameters'!$B$33:$W$143,3,FALSE)/VLOOKUP('All - MECs'!$B$14,'Annual Parameters'!$B$33:$W$143,3,FALSE)</f>
        <v>13.761813966234802</v>
      </c>
      <c r="P67" s="3544"/>
      <c r="Q67" s="3860"/>
      <c r="R67" s="3493"/>
      <c r="S67" s="3512" t="s">
        <v>1422</v>
      </c>
      <c r="T67" s="3513">
        <f>'All - MECs'!T67*VLOOKUP($B$14,'Annual Parameters'!$B$33:$W$143,3,FALSE)/VLOOKUP('All - MECs'!$B$14,'Annual Parameters'!$B$33:$W$143,3,FALSE)</f>
        <v>0.36829354678255333</v>
      </c>
      <c r="U67" s="3514">
        <f>'All - MECs'!U67*VLOOKUP($B$14,'Annual Parameters'!$B$33:$W$143,3,FALSE)/VLOOKUP('All - MECs'!$B$14,'Annual Parameters'!$B$33:$W$143,3,FALSE)</f>
        <v>87.286899690145844</v>
      </c>
      <c r="V67" s="3515">
        <f>'All - MECs'!V67*VLOOKUP($B$14,'Annual Parameters'!$B$33:$W$143,3,FALSE)/VLOOKUP('All - MECs'!$B$14,'Annual Parameters'!$B$33:$W$143,3,FALSE)</f>
        <v>54.084904291950089</v>
      </c>
      <c r="W67" s="3513">
        <f>'All - MECs'!W67*VLOOKUP($B$14,'Annual Parameters'!$B$33:$W$143,3,FALSE)/VLOOKUP('All - MECs'!$B$14,'Annual Parameters'!$B$33:$W$143,3,FALSE)</f>
        <v>2.7625520093817655</v>
      </c>
      <c r="X67" s="3514">
        <f>'All - MECs'!X67*VLOOKUP($B$14,'Annual Parameters'!$B$33:$W$143,3,FALSE)/VLOOKUP('All - MECs'!$B$14,'Annual Parameters'!$B$33:$W$143,3,FALSE)</f>
        <v>39.98291837613688</v>
      </c>
      <c r="Y67" s="3515">
        <f>'All - MECs'!Y67*VLOOKUP($B$14,'Annual Parameters'!$B$33:$W$143,3,FALSE)/VLOOKUP('All - MECs'!$B$14,'Annual Parameters'!$B$33:$W$143,3,FALSE)</f>
        <v>28.072778118989071</v>
      </c>
      <c r="Z67" s="3516">
        <f>'All - MECs'!Z67*VLOOKUP($B$14,'Annual Parameters'!$B$33:$W$143,3,FALSE)/VLOOKUP('All - MECs'!$B$14,'Annual Parameters'!$B$33:$W$143,3,FALSE)</f>
        <v>15.971238120135222</v>
      </c>
      <c r="AA67" s="3517">
        <f>'All - MECs'!AA67*VLOOKUP($B$14,'Annual Parameters'!$B$33:$W$143,3,FALSE)/VLOOKUP('All - MECs'!$B$14,'Annual Parameters'!$B$33:$W$143,3,FALSE)</f>
        <v>11.704985338784631</v>
      </c>
      <c r="AB67" s="3518">
        <f>'All - MECs'!AB67*VLOOKUP($B$14,'Annual Parameters'!$B$33:$W$143,3,FALSE)/VLOOKUP('All - MECs'!$B$14,'Annual Parameters'!$B$33:$W$143,3,FALSE)</f>
        <v>1.7673104413243719</v>
      </c>
      <c r="AC67" s="3519">
        <f>'All - MECs'!AC67*VLOOKUP($B$14,'Annual Parameters'!$B$33:$W$143,3,FALSE)/VLOOKUP('All - MECs'!$B$14,'Annual Parameters'!$B$33:$W$143,3,FALSE)</f>
        <v>2.6976561417040137</v>
      </c>
      <c r="AD67" s="3517">
        <f>'All - MECs'!AD67*VLOOKUP($B$14,'Annual Parameters'!$B$33:$W$143,3,FALSE)/VLOOKUP('All - MECs'!$B$14,'Annual Parameters'!$B$33:$W$143,3,FALSE)</f>
        <v>3.5901798641171401</v>
      </c>
      <c r="AE67" s="3520">
        <f>'All - MECs'!AE67*VLOOKUP($B$14,'Annual Parameters'!$B$33:$W$143,3,FALSE)/VLOOKUP('All - MECs'!$B$14,'Annual Parameters'!$B$33:$W$143,3,FALSE)</f>
        <v>13.761813966234802</v>
      </c>
      <c r="AF67" s="3544"/>
      <c r="AG67" s="3860"/>
      <c r="AH67" s="3493"/>
      <c r="AI67" s="3512" t="s">
        <v>1422</v>
      </c>
      <c r="AJ67" s="3513">
        <f>'All - MECs'!AJ67*VLOOKUP($B$14,'Annual Parameters'!$B$33:$W$143,3,FALSE)/VLOOKUP('All - MECs'!$B$14,'Annual Parameters'!$B$33:$W$143,3,FALSE)</f>
        <v>0.69975773888685144</v>
      </c>
      <c r="AK67" s="3514">
        <f>'All - MECs'!AK67*VLOOKUP($B$14,'Annual Parameters'!$B$33:$W$143,3,FALSE)/VLOOKUP('All - MECs'!$B$14,'Annual Parameters'!$B$33:$W$143,3,FALSE)</f>
        <v>165.84510941127709</v>
      </c>
      <c r="AL67" s="3515">
        <f>'All - MECs'!AL67*VLOOKUP($B$14,'Annual Parameters'!$B$33:$W$143,3,FALSE)/VLOOKUP('All - MECs'!$B$14,'Annual Parameters'!$B$33:$W$143,3,FALSE)</f>
        <v>102.76131815470517</v>
      </c>
      <c r="AM67" s="3513">
        <f>'All - MECs'!AM67*VLOOKUP($B$14,'Annual Parameters'!$B$33:$W$143,3,FALSE)/VLOOKUP('All - MECs'!$B$14,'Annual Parameters'!$B$33:$W$143,3,FALSE)</f>
        <v>5.248848817825353</v>
      </c>
      <c r="AN67" s="3514">
        <f>'All - MECs'!AN67*VLOOKUP($B$14,'Annual Parameters'!$B$33:$W$143,3,FALSE)/VLOOKUP('All - MECs'!$B$14,'Annual Parameters'!$B$33:$W$143,3,FALSE)</f>
        <v>75.967544914660067</v>
      </c>
      <c r="AO67" s="3515">
        <f>'All - MECs'!AO67*VLOOKUP($B$14,'Annual Parameters'!$B$33:$W$143,3,FALSE)/VLOOKUP('All - MECs'!$B$14,'Annual Parameters'!$B$33:$W$143,3,FALSE)</f>
        <v>53.338278426079235</v>
      </c>
      <c r="AP67" s="3516">
        <f>'All - MECs'!AP67*VLOOKUP($B$14,'Annual Parameters'!$B$33:$W$143,3,FALSE)/VLOOKUP('All - MECs'!$B$14,'Annual Parameters'!$B$33:$W$143,3,FALSE)</f>
        <v>30.34535242825692</v>
      </c>
      <c r="AQ67" s="3517">
        <f>'All - MECs'!AQ67*VLOOKUP($B$14,'Annual Parameters'!$B$33:$W$143,3,FALSE)/VLOOKUP('All - MECs'!$B$14,'Annual Parameters'!$B$33:$W$143,3,FALSE)</f>
        <v>22.239472143690797</v>
      </c>
      <c r="AR67" s="3518">
        <f>'All - MECs'!AR67*VLOOKUP($B$14,'Annual Parameters'!$B$33:$W$143,3,FALSE)/VLOOKUP('All - MECs'!$B$14,'Annual Parameters'!$B$33:$W$143,3,FALSE)</f>
        <v>3.3578898385163063</v>
      </c>
      <c r="AS67" s="3519">
        <f>'All - MECs'!AS67*VLOOKUP($B$14,'Annual Parameters'!$B$33:$W$143,3,FALSE)/VLOOKUP('All - MECs'!$B$14,'Annual Parameters'!$B$33:$W$143,3,FALSE)</f>
        <v>5.1255466692376261</v>
      </c>
      <c r="AT67" s="3517">
        <f>'All - MECs'!AT67*VLOOKUP($B$14,'Annual Parameters'!$B$33:$W$143,3,FALSE)/VLOOKUP('All - MECs'!$B$14,'Annual Parameters'!$B$33:$W$143,3,FALSE)</f>
        <v>6.8213417418225655</v>
      </c>
      <c r="AU67" s="3520">
        <f>'All - MECs'!AU67*VLOOKUP($B$14,'Annual Parameters'!$B$33:$W$143,3,FALSE)/VLOOKUP('All - MECs'!$B$14,'Annual Parameters'!$B$33:$W$143,3,FALSE)</f>
        <v>26.147446535846122</v>
      </c>
      <c r="AV67" s="3544"/>
      <c r="AW67" s="3860"/>
      <c r="AX67" s="3493"/>
      <c r="AY67" s="3512" t="s">
        <v>1422</v>
      </c>
      <c r="AZ67" s="3513">
        <f>'All - MECs'!AZ67*VLOOKUP($B$14,'Annual Parameters'!$B$33:$W$143,3,FALSE)/VLOOKUP('All - MECs'!$B$14,'Annual Parameters'!$B$33:$W$143,3,FALSE)</f>
        <v>1.0680512856694049</v>
      </c>
      <c r="BA67" s="3514">
        <f>'All - MECs'!BA67*VLOOKUP($B$14,'Annual Parameters'!$B$33:$W$143,3,FALSE)/VLOOKUP('All - MECs'!$B$14,'Annual Parameters'!$B$33:$W$143,3,FALSE)</f>
        <v>253.13200910142297</v>
      </c>
      <c r="BB67" s="3515">
        <f>'All - MECs'!BB67*VLOOKUP($B$14,'Annual Parameters'!$B$33:$W$143,3,FALSE)/VLOOKUP('All - MECs'!$B$14,'Annual Parameters'!$B$33:$W$143,3,FALSE)</f>
        <v>156.84622244665525</v>
      </c>
      <c r="BC67" s="3513">
        <f>'All - MECs'!BC67*VLOOKUP($B$14,'Annual Parameters'!$B$33:$W$143,3,FALSE)/VLOOKUP('All - MECs'!$B$14,'Annual Parameters'!$B$33:$W$143,3,FALSE)</f>
        <v>8.0114008272071189</v>
      </c>
      <c r="BD67" s="3514">
        <f>'All - MECs'!BD67*VLOOKUP($B$14,'Annual Parameters'!$B$33:$W$143,3,FALSE)/VLOOKUP('All - MECs'!$B$14,'Annual Parameters'!$B$33:$W$143,3,FALSE)</f>
        <v>115.95046329079695</v>
      </c>
      <c r="BE67" s="3515">
        <f>'All - MECs'!BE67*VLOOKUP($B$14,'Annual Parameters'!$B$33:$W$143,3,FALSE)/VLOOKUP('All - MECs'!$B$14,'Annual Parameters'!$B$33:$W$143,3,FALSE)</f>
        <v>81.411056545068305</v>
      </c>
      <c r="BF67" s="3516">
        <f>'All - MECs'!BF67*VLOOKUP($B$14,'Annual Parameters'!$B$33:$W$143,3,FALSE)/VLOOKUP('All - MECs'!$B$14,'Annual Parameters'!$B$33:$W$143,3,FALSE)</f>
        <v>46.316590548392142</v>
      </c>
      <c r="BG67" s="3517">
        <f>'All - MECs'!BG67*VLOOKUP($B$14,'Annual Parameters'!$B$33:$W$143,3,FALSE)/VLOOKUP('All - MECs'!$B$14,'Annual Parameters'!$B$33:$W$143,3,FALSE)</f>
        <v>33.944457482475428</v>
      </c>
      <c r="BH67" s="3518">
        <f>'All - MECs'!BH67*VLOOKUP($B$14,'Annual Parameters'!$B$33:$W$143,3,FALSE)/VLOOKUP('All - MECs'!$B$14,'Annual Parameters'!$B$33:$W$143,3,FALSE)</f>
        <v>5.1252002798406782</v>
      </c>
      <c r="BI67" s="3519">
        <f>'All - MECs'!BI67*VLOOKUP($B$14,'Annual Parameters'!$B$33:$W$143,3,FALSE)/VLOOKUP('All - MECs'!$B$14,'Annual Parameters'!$B$33:$W$143,3,FALSE)</f>
        <v>7.8232028109416403</v>
      </c>
      <c r="BJ67" s="3517">
        <f>'All - MECs'!BJ67*VLOOKUP($B$14,'Annual Parameters'!$B$33:$W$143,3,FALSE)/VLOOKUP('All - MECs'!$B$14,'Annual Parameters'!$B$33:$W$143,3,FALSE)</f>
        <v>10.411521605939706</v>
      </c>
      <c r="BK67" s="3520">
        <f>'All - MECs'!BK67*VLOOKUP($B$14,'Annual Parameters'!$B$33:$W$143,3,FALSE)/VLOOKUP('All - MECs'!$B$14,'Annual Parameters'!$B$33:$W$143,3,FALSE)</f>
        <v>39.909260502080919</v>
      </c>
      <c r="BL67" s="3544"/>
      <c r="BM67" s="3860"/>
      <c r="BN67" s="3493"/>
      <c r="BO67" s="3512" t="s">
        <v>1422</v>
      </c>
      <c r="BP67" s="3513">
        <f>'All - MECs'!BP67*VLOOKUP($B$14,'Annual Parameters'!$B$33:$W$143,3,FALSE)/VLOOKUP('All - MECs'!$B$14,'Annual Parameters'!$B$33:$W$143,3,FALSE)</f>
        <v>0.92073386695638348</v>
      </c>
      <c r="BQ67" s="3514">
        <f>'All - MECs'!BQ67*VLOOKUP($B$14,'Annual Parameters'!$B$33:$W$143,3,FALSE)/VLOOKUP('All - MECs'!$B$14,'Annual Parameters'!$B$33:$W$143,3,FALSE)</f>
        <v>218.21724922536461</v>
      </c>
      <c r="BR67" s="3515">
        <f>'All - MECs'!BR67*VLOOKUP($B$14,'Annual Parameters'!$B$33:$W$143,3,FALSE)/VLOOKUP('All - MECs'!$B$14,'Annual Parameters'!$B$33:$W$143,3,FALSE)</f>
        <v>135.21226072987523</v>
      </c>
      <c r="BS67" s="3513">
        <f>'All - MECs'!BS67*VLOOKUP($B$14,'Annual Parameters'!$B$33:$W$143,3,FALSE)/VLOOKUP('All - MECs'!$B$14,'Annual Parameters'!$B$33:$W$143,3,FALSE)</f>
        <v>6.9063800234544139</v>
      </c>
      <c r="BT67" s="3514">
        <f>'All - MECs'!BT67*VLOOKUP($B$14,'Annual Parameters'!$B$33:$W$143,3,FALSE)/VLOOKUP('All - MECs'!$B$14,'Annual Parameters'!$B$33:$W$143,3,FALSE)</f>
        <v>99.957295940342192</v>
      </c>
      <c r="BU67" s="3515">
        <f>'All - MECs'!BU67*VLOOKUP($B$14,'Annual Parameters'!$B$33:$W$143,3,FALSE)/VLOOKUP('All - MECs'!$B$14,'Annual Parameters'!$B$33:$W$143,3,FALSE)</f>
        <v>70.18194529747268</v>
      </c>
      <c r="BV67" s="3516">
        <f>'All - MECs'!BV67*VLOOKUP($B$14,'Annual Parameters'!$B$33:$W$143,3,FALSE)/VLOOKUP('All - MECs'!$B$14,'Annual Parameters'!$B$33:$W$143,3,FALSE)</f>
        <v>39.928095300338057</v>
      </c>
      <c r="BW67" s="3517">
        <f>'All - MECs'!BW67*VLOOKUP($B$14,'Annual Parameters'!$B$33:$W$143,3,FALSE)/VLOOKUP('All - MECs'!$B$14,'Annual Parameters'!$B$33:$W$143,3,FALSE)</f>
        <v>29.262463346961578</v>
      </c>
      <c r="BX67" s="3518">
        <f>'All - MECs'!BX67*VLOOKUP($B$14,'Annual Parameters'!$B$33:$W$143,3,FALSE)/VLOOKUP('All - MECs'!$B$14,'Annual Parameters'!$B$33:$W$143,3,FALSE)</f>
        <v>4.4182761033109301</v>
      </c>
      <c r="BY67" s="3519">
        <f>'All - MECs'!BY67*VLOOKUP($B$14,'Annual Parameters'!$B$33:$W$143,3,FALSE)/VLOOKUP('All - MECs'!$B$14,'Annual Parameters'!$B$33:$W$143,3,FALSE)</f>
        <v>6.7441403542600344</v>
      </c>
      <c r="BZ67" s="3517">
        <f>'All - MECs'!BZ67*VLOOKUP($B$14,'Annual Parameters'!$B$33:$W$143,3,FALSE)/VLOOKUP('All - MECs'!$B$14,'Annual Parameters'!$B$33:$W$143,3,FALSE)</f>
        <v>8.9754496602928509</v>
      </c>
      <c r="CA67" s="3520">
        <f>'All - MECs'!CA67*VLOOKUP($B$14,'Annual Parameters'!$B$33:$W$143,3,FALSE)/VLOOKUP('All - MECs'!$B$14,'Annual Parameters'!$B$33:$W$143,3,FALSE)</f>
        <v>34.404534915587</v>
      </c>
    </row>
    <row r="68" spans="1:95" ht="13.5" customHeight="1">
      <c r="A68" s="3521" t="s">
        <v>1095</v>
      </c>
      <c r="B68" s="3522"/>
      <c r="C68" s="3523" t="s">
        <v>1096</v>
      </c>
      <c r="D68" s="3524">
        <f>'All - MECs'!D68*VLOOKUP($B$14,'Annual Parameters'!$B$33:$W$143,3,FALSE)/VLOOKUP('All - MECs'!$B$14,'Annual Parameters'!$B$33:$W$143,3,FALSE)</f>
        <v>0</v>
      </c>
      <c r="E68" s="3525">
        <f>'All - MECs'!E68*VLOOKUP($B$14,'Annual Parameters'!$B$33:$W$143,3,FALSE)/VLOOKUP('All - MECs'!$B$14,'Annual Parameters'!$B$33:$W$143,3,FALSE)</f>
        <v>0.11890986999877122</v>
      </c>
      <c r="F68" s="3526">
        <f>'All - MECs'!F68*VLOOKUP($B$14,'Annual Parameters'!$B$33:$W$143,3,FALSE)/VLOOKUP('All - MECs'!$B$14,'Annual Parameters'!$B$33:$W$143,3,FALSE)</f>
        <v>0.11890986999877122</v>
      </c>
      <c r="G68" s="3524">
        <f>'All - MECs'!G68*VLOOKUP($B$14,'Annual Parameters'!$B$33:$W$143,3,FALSE)/VLOOKUP('All - MECs'!$B$14,'Annual Parameters'!$B$33:$W$143,3,FALSE)</f>
        <v>0</v>
      </c>
      <c r="H68" s="3525">
        <f>'All - MECs'!H68*VLOOKUP($B$14,'Annual Parameters'!$B$33:$W$143,3,FALSE)/VLOOKUP('All - MECs'!$B$14,'Annual Parameters'!$B$33:$W$143,3,FALSE)</f>
        <v>0.11890986999877122</v>
      </c>
      <c r="I68" s="3526">
        <f>'All - MECs'!I68*VLOOKUP($B$14,'Annual Parameters'!$B$33:$W$143,3,FALSE)/VLOOKUP('All - MECs'!$B$14,'Annual Parameters'!$B$33:$W$143,3,FALSE)</f>
        <v>0.11890986999877122</v>
      </c>
      <c r="J68" s="3527">
        <f>'All - MECs'!J68*VLOOKUP($B$14,'Annual Parameters'!$B$33:$W$143,3,FALSE)/VLOOKUP('All - MECs'!$B$14,'Annual Parameters'!$B$33:$W$143,3,FALSE)</f>
        <v>0.11890986999877122</v>
      </c>
      <c r="K68" s="3526">
        <f>'All - MECs'!K68*VLOOKUP($B$14,'Annual Parameters'!$B$33:$W$143,3,FALSE)/VLOOKUP('All - MECs'!$B$14,'Annual Parameters'!$B$33:$W$143,3,FALSE)</f>
        <v>0.11890986999877122</v>
      </c>
      <c r="L68" s="3527">
        <f>'All - MECs'!L68*VLOOKUP($B$14,'Annual Parameters'!$B$33:$W$143,3,FALSE)/VLOOKUP('All - MECs'!$B$14,'Annual Parameters'!$B$33:$W$143,3,FALSE)</f>
        <v>0</v>
      </c>
      <c r="M68" s="3528">
        <f>'All - MECs'!M68*VLOOKUP($B$14,'Annual Parameters'!$B$33:$W$143,3,FALSE)/VLOOKUP('All - MECs'!$B$14,'Annual Parameters'!$B$33:$W$143,3,FALSE)</f>
        <v>0.11890986999877122</v>
      </c>
      <c r="N68" s="3526">
        <f>'All - MECs'!N68*VLOOKUP($B$14,'Annual Parameters'!$B$33:$W$143,3,FALSE)/VLOOKUP('All - MECs'!$B$14,'Annual Parameters'!$B$33:$W$143,3,FALSE)</f>
        <v>0.11890986999877122</v>
      </c>
      <c r="O68" s="3529">
        <f>'All - MECs'!O68*VLOOKUP($B$14,'Annual Parameters'!$B$33:$W$143,3,FALSE)/VLOOKUP('All - MECs'!$B$14,'Annual Parameters'!$B$33:$W$143,3,FALSE)</f>
        <v>9.7433286262429475E-2</v>
      </c>
      <c r="P68" s="3544"/>
      <c r="Q68" s="3521" t="s">
        <v>1095</v>
      </c>
      <c r="R68" s="3522"/>
      <c r="S68" s="3523" t="s">
        <v>1096</v>
      </c>
      <c r="T68" s="3524">
        <f>'All - MECs'!T68*VLOOKUP($B$14,'Annual Parameters'!$B$33:$W$143,3,FALSE)/VLOOKUP('All - MECs'!$B$14,'Annual Parameters'!$B$33:$W$143,3,FALSE)</f>
        <v>0</v>
      </c>
      <c r="U68" s="3525">
        <f>'All - MECs'!U68*VLOOKUP($B$14,'Annual Parameters'!$B$33:$W$143,3,FALSE)/VLOOKUP('All - MECs'!$B$14,'Annual Parameters'!$B$33:$W$143,3,FALSE)</f>
        <v>0.11890986999877122</v>
      </c>
      <c r="V68" s="3526">
        <f>'All - MECs'!V68*VLOOKUP($B$14,'Annual Parameters'!$B$33:$W$143,3,FALSE)/VLOOKUP('All - MECs'!$B$14,'Annual Parameters'!$B$33:$W$143,3,FALSE)</f>
        <v>0.11890986999877122</v>
      </c>
      <c r="W68" s="3524">
        <f>'All - MECs'!W68*VLOOKUP($B$14,'Annual Parameters'!$B$33:$W$143,3,FALSE)/VLOOKUP('All - MECs'!$B$14,'Annual Parameters'!$B$33:$W$143,3,FALSE)</f>
        <v>0</v>
      </c>
      <c r="X68" s="3525">
        <f>'All - MECs'!X68*VLOOKUP($B$14,'Annual Parameters'!$B$33:$W$143,3,FALSE)/VLOOKUP('All - MECs'!$B$14,'Annual Parameters'!$B$33:$W$143,3,FALSE)</f>
        <v>0.11890986999877122</v>
      </c>
      <c r="Y68" s="3526">
        <f>'All - MECs'!Y68*VLOOKUP($B$14,'Annual Parameters'!$B$33:$W$143,3,FALSE)/VLOOKUP('All - MECs'!$B$14,'Annual Parameters'!$B$33:$W$143,3,FALSE)</f>
        <v>0.11890986999877122</v>
      </c>
      <c r="Z68" s="3527">
        <f>'All - MECs'!Z68*VLOOKUP($B$14,'Annual Parameters'!$B$33:$W$143,3,FALSE)/VLOOKUP('All - MECs'!$B$14,'Annual Parameters'!$B$33:$W$143,3,FALSE)</f>
        <v>0.11890986999877122</v>
      </c>
      <c r="AA68" s="3526">
        <f>'All - MECs'!AA68*VLOOKUP($B$14,'Annual Parameters'!$B$33:$W$143,3,FALSE)/VLOOKUP('All - MECs'!$B$14,'Annual Parameters'!$B$33:$W$143,3,FALSE)</f>
        <v>0.11890986999877122</v>
      </c>
      <c r="AB68" s="3527">
        <f>'All - MECs'!AB68*VLOOKUP($B$14,'Annual Parameters'!$B$33:$W$143,3,FALSE)/VLOOKUP('All - MECs'!$B$14,'Annual Parameters'!$B$33:$W$143,3,FALSE)</f>
        <v>0</v>
      </c>
      <c r="AC68" s="3528">
        <f>'All - MECs'!AC68*VLOOKUP($B$14,'Annual Parameters'!$B$33:$W$143,3,FALSE)/VLOOKUP('All - MECs'!$B$14,'Annual Parameters'!$B$33:$W$143,3,FALSE)</f>
        <v>0.11890986999877122</v>
      </c>
      <c r="AD68" s="3526">
        <f>'All - MECs'!AD68*VLOOKUP($B$14,'Annual Parameters'!$B$33:$W$143,3,FALSE)/VLOOKUP('All - MECs'!$B$14,'Annual Parameters'!$B$33:$W$143,3,FALSE)</f>
        <v>0.11890986999877122</v>
      </c>
      <c r="AE68" s="3529">
        <f>'All - MECs'!AE68*VLOOKUP($B$14,'Annual Parameters'!$B$33:$W$143,3,FALSE)/VLOOKUP('All - MECs'!$B$14,'Annual Parameters'!$B$33:$W$143,3,FALSE)</f>
        <v>9.8025949490920555E-2</v>
      </c>
      <c r="AF68" s="3544"/>
      <c r="AG68" s="3521" t="s">
        <v>1095</v>
      </c>
      <c r="AH68" s="3522"/>
      <c r="AI68" s="3523" t="s">
        <v>1096</v>
      </c>
      <c r="AJ68" s="3524">
        <f>'All - MECs'!AJ68*VLOOKUP($B$14,'Annual Parameters'!$B$33:$W$143,3,FALSE)/VLOOKUP('All - MECs'!$B$14,'Annual Parameters'!$B$33:$W$143,3,FALSE)</f>
        <v>1.0701888299889408</v>
      </c>
      <c r="AK68" s="3525">
        <f>'All - MECs'!AK68*VLOOKUP($B$14,'Annual Parameters'!$B$33:$W$143,3,FALSE)/VLOOKUP('All - MECs'!$B$14,'Annual Parameters'!$B$33:$W$143,3,FALSE)</f>
        <v>5.7076737599410174</v>
      </c>
      <c r="AL68" s="3526">
        <f>'All - MECs'!AL68*VLOOKUP($B$14,'Annual Parameters'!$B$33:$W$143,3,FALSE)/VLOOKUP('All - MECs'!$B$14,'Annual Parameters'!$B$33:$W$143,3,FALSE)</f>
        <v>23.900883869753009</v>
      </c>
      <c r="AM68" s="3524">
        <f>'All - MECs'!AM68*VLOOKUP($B$14,'Annual Parameters'!$B$33:$W$143,3,FALSE)/VLOOKUP('All - MECs'!$B$14,'Annual Parameters'!$B$33:$W$143,3,FALSE)</f>
        <v>1.0701888299889408</v>
      </c>
      <c r="AN68" s="3525">
        <f>'All - MECs'!AN68*VLOOKUP($B$14,'Annual Parameters'!$B$33:$W$143,3,FALSE)/VLOOKUP('All - MECs'!$B$14,'Annual Parameters'!$B$33:$W$143,3,FALSE)</f>
        <v>4.2807553199557633</v>
      </c>
      <c r="AO68" s="3526">
        <f>'All - MECs'!AO68*VLOOKUP($B$14,'Annual Parameters'!$B$33:$W$143,3,FALSE)/VLOOKUP('All - MECs'!$B$14,'Annual Parameters'!$B$33:$W$143,3,FALSE)</f>
        <v>23.900883869753009</v>
      </c>
      <c r="AP68" s="3527">
        <f>'All - MECs'!AP68*VLOOKUP($B$14,'Annual Parameters'!$B$33:$W$143,3,FALSE)/VLOOKUP('All - MECs'!$B$14,'Annual Parameters'!$B$33:$W$143,3,FALSE)</f>
        <v>4.1618454499569921</v>
      </c>
      <c r="AQ68" s="3526">
        <f>'All - MECs'!AQ68*VLOOKUP($B$14,'Annual Parameters'!$B$33:$W$143,3,FALSE)/VLOOKUP('All - MECs'!$B$14,'Annual Parameters'!$B$33:$W$143,3,FALSE)</f>
        <v>23.900883869753009</v>
      </c>
      <c r="AR68" s="3527">
        <f>'All - MECs'!AR68*VLOOKUP($B$14,'Annual Parameters'!$B$33:$W$143,3,FALSE)/VLOOKUP('All - MECs'!$B$14,'Annual Parameters'!$B$33:$W$143,3,FALSE)</f>
        <v>1.0701888299889408</v>
      </c>
      <c r="AS68" s="3528">
        <f>'All - MECs'!AS68*VLOOKUP($B$14,'Annual Parameters'!$B$33:$W$143,3,FALSE)/VLOOKUP('All - MECs'!$B$14,'Annual Parameters'!$B$33:$W$143,3,FALSE)</f>
        <v>3.5672960999631358</v>
      </c>
      <c r="AT68" s="3526">
        <f>'All - MECs'!AT68*VLOOKUP($B$14,'Annual Parameters'!$B$33:$W$143,3,FALSE)/VLOOKUP('All - MECs'!$B$14,'Annual Parameters'!$B$33:$W$143,3,FALSE)</f>
        <v>23.900883869753009</v>
      </c>
      <c r="AU68" s="3529">
        <f>'All - MECs'!AU68*VLOOKUP($B$14,'Annual Parameters'!$B$33:$W$143,3,FALSE)/VLOOKUP('All - MECs'!$B$14,'Annual Parameters'!$B$33:$W$143,3,FALSE)</f>
        <v>7.2281527746440331</v>
      </c>
      <c r="AV68" s="3544"/>
      <c r="AW68" s="3521" t="s">
        <v>1095</v>
      </c>
      <c r="AX68" s="3522"/>
      <c r="AY68" s="3523" t="s">
        <v>1096</v>
      </c>
      <c r="AZ68" s="3524">
        <f>'All - MECs'!AZ68*VLOOKUP($B$14,'Annual Parameters'!$B$33:$W$143,3,FALSE)/VLOOKUP('All - MECs'!$B$14,'Annual Parameters'!$B$33:$W$143,3,FALSE)</f>
        <v>4.2807553199557633</v>
      </c>
      <c r="BA68" s="3525">
        <f>'All - MECs'!BA68*VLOOKUP($B$14,'Annual Parameters'!$B$33:$W$143,3,FALSE)/VLOOKUP('All - MECs'!$B$14,'Annual Parameters'!$B$33:$W$143,3,FALSE)</f>
        <v>19.976858159793561</v>
      </c>
      <c r="BB68" s="3526">
        <f>'All - MECs'!BB68*VLOOKUP($B$14,'Annual Parameters'!$B$33:$W$143,3,FALSE)/VLOOKUP('All - MECs'!$B$14,'Annual Parameters'!$B$33:$W$143,3,FALSE)</f>
        <v>98.457372358982553</v>
      </c>
      <c r="BC68" s="3524">
        <f>'All - MECs'!BC68*VLOOKUP($B$14,'Annual Parameters'!$B$33:$W$143,3,FALSE)/VLOOKUP('All - MECs'!$B$14,'Annual Parameters'!$B$33:$W$143,3,FALSE)</f>
        <v>4.2807553199557633</v>
      </c>
      <c r="BD68" s="3525">
        <f>'All - MECs'!BD68*VLOOKUP($B$14,'Annual Parameters'!$B$33:$W$143,3,FALSE)/VLOOKUP('All - MECs'!$B$14,'Annual Parameters'!$B$33:$W$143,3,FALSE)</f>
        <v>15.101553489843941</v>
      </c>
      <c r="BE68" s="3526">
        <f>'All - MECs'!BE68*VLOOKUP($B$14,'Annual Parameters'!$B$33:$W$143,3,FALSE)/VLOOKUP('All - MECs'!$B$14,'Annual Parameters'!$B$33:$W$143,3,FALSE)</f>
        <v>98.457372358982553</v>
      </c>
      <c r="BF68" s="3527">
        <f>'All - MECs'!BF68*VLOOKUP($B$14,'Annual Parameters'!$B$33:$W$143,3,FALSE)/VLOOKUP('All - MECs'!$B$14,'Annual Parameters'!$B$33:$W$143,3,FALSE)</f>
        <v>14.863733749846398</v>
      </c>
      <c r="BG68" s="3526">
        <f>'All - MECs'!BG68*VLOOKUP($B$14,'Annual Parameters'!$B$33:$W$143,3,FALSE)/VLOOKUP('All - MECs'!$B$14,'Annual Parameters'!$B$33:$W$143,3,FALSE)</f>
        <v>98.457372358982553</v>
      </c>
      <c r="BH68" s="3527">
        <f>'All - MECs'!BH68*VLOOKUP($B$14,'Annual Parameters'!$B$33:$W$143,3,FALSE)/VLOOKUP('All - MECs'!$B$14,'Annual Parameters'!$B$33:$W$143,3,FALSE)</f>
        <v>4.2807553199557633</v>
      </c>
      <c r="BI68" s="3528">
        <f>'All - MECs'!BI68*VLOOKUP($B$14,'Annual Parameters'!$B$33:$W$143,3,FALSE)/VLOOKUP('All - MECs'!$B$14,'Annual Parameters'!$B$33:$W$143,3,FALSE)</f>
        <v>12.961175829866061</v>
      </c>
      <c r="BJ68" s="3526">
        <f>'All - MECs'!BJ68*VLOOKUP($B$14,'Annual Parameters'!$B$33:$W$143,3,FALSE)/VLOOKUP('All - MECs'!$B$14,'Annual Parameters'!$B$33:$W$143,3,FALSE)</f>
        <v>98.457372358982553</v>
      </c>
      <c r="BK68" s="3529">
        <f>'All - MECs'!BK68*VLOOKUP($B$14,'Annual Parameters'!$B$33:$W$143,3,FALSE)/VLOOKUP('All - MECs'!$B$14,'Annual Parameters'!$B$33:$W$143,3,FALSE)</f>
        <v>10.696257688498969</v>
      </c>
      <c r="BL68" s="3544"/>
      <c r="BM68" s="3521" t="s">
        <v>1095</v>
      </c>
      <c r="BN68" s="3522"/>
      <c r="BO68" s="3523" t="s">
        <v>1096</v>
      </c>
      <c r="BP68" s="3524">
        <f>'All - MECs'!BP68*VLOOKUP($B$14,'Annual Parameters'!$B$33:$W$143,3,FALSE)/VLOOKUP('All - MECs'!$B$14,'Annual Parameters'!$B$33:$W$143,3,FALSE)</f>
        <v>0</v>
      </c>
      <c r="BQ68" s="3525">
        <f>'All - MECs'!BQ68*VLOOKUP($B$14,'Annual Parameters'!$B$33:$W$143,3,FALSE)/VLOOKUP('All - MECs'!$B$14,'Annual Parameters'!$B$33:$W$143,3,FALSE)</f>
        <v>0</v>
      </c>
      <c r="BR68" s="3526">
        <f>'All - MECs'!BR68*VLOOKUP($B$14,'Annual Parameters'!$B$33:$W$143,3,FALSE)/VLOOKUP('All - MECs'!$B$14,'Annual Parameters'!$B$33:$W$143,3,FALSE)</f>
        <v>0</v>
      </c>
      <c r="BS68" s="3524">
        <f>'All - MECs'!BS68*VLOOKUP($B$14,'Annual Parameters'!$B$33:$W$143,3,FALSE)/VLOOKUP('All - MECs'!$B$14,'Annual Parameters'!$B$33:$W$143,3,FALSE)</f>
        <v>0</v>
      </c>
      <c r="BT68" s="3525">
        <f>'All - MECs'!BT68*VLOOKUP($B$14,'Annual Parameters'!$B$33:$W$143,3,FALSE)/VLOOKUP('All - MECs'!$B$14,'Annual Parameters'!$B$33:$W$143,3,FALSE)</f>
        <v>0</v>
      </c>
      <c r="BU68" s="3526">
        <f>'All - MECs'!BU68*VLOOKUP($B$14,'Annual Parameters'!$B$33:$W$143,3,FALSE)/VLOOKUP('All - MECs'!$B$14,'Annual Parameters'!$B$33:$W$143,3,FALSE)</f>
        <v>0</v>
      </c>
      <c r="BV68" s="3527">
        <f>'All - MECs'!BV68*VLOOKUP($B$14,'Annual Parameters'!$B$33:$W$143,3,FALSE)/VLOOKUP('All - MECs'!$B$14,'Annual Parameters'!$B$33:$W$143,3,FALSE)</f>
        <v>0</v>
      </c>
      <c r="BW68" s="3526">
        <f>'All - MECs'!BW68*VLOOKUP($B$14,'Annual Parameters'!$B$33:$W$143,3,FALSE)/VLOOKUP('All - MECs'!$B$14,'Annual Parameters'!$B$33:$W$143,3,FALSE)</f>
        <v>0</v>
      </c>
      <c r="BX68" s="3527">
        <f>'All - MECs'!BX68*VLOOKUP($B$14,'Annual Parameters'!$B$33:$W$143,3,FALSE)/VLOOKUP('All - MECs'!$B$14,'Annual Parameters'!$B$33:$W$143,3,FALSE)</f>
        <v>0</v>
      </c>
      <c r="BY68" s="3528">
        <f>'All - MECs'!BY68*VLOOKUP($B$14,'Annual Parameters'!$B$33:$W$143,3,FALSE)/VLOOKUP('All - MECs'!$B$14,'Annual Parameters'!$B$33:$W$143,3,FALSE)</f>
        <v>0</v>
      </c>
      <c r="BZ68" s="3526">
        <f>'All - MECs'!BZ68*VLOOKUP($B$14,'Annual Parameters'!$B$33:$W$143,3,FALSE)/VLOOKUP('All - MECs'!$B$14,'Annual Parameters'!$B$33:$W$143,3,FALSE)</f>
        <v>0</v>
      </c>
      <c r="CA68" s="3529">
        <f>'All - MECs'!CA68*VLOOKUP($B$14,'Annual Parameters'!$B$33:$W$143,3,FALSE)/VLOOKUP('All - MECs'!$B$14,'Annual Parameters'!$B$33:$W$143,3,FALSE)</f>
        <v>0</v>
      </c>
    </row>
    <row r="69" spans="1:95" ht="13.5" customHeight="1">
      <c r="A69" s="3521" t="s">
        <v>477</v>
      </c>
      <c r="B69" s="3522"/>
      <c r="C69" s="3530" t="s">
        <v>1096</v>
      </c>
      <c r="D69" s="3531">
        <f>'All - MECs'!D69*VLOOKUP($B$14,'Annual Parameters'!$B$33:$W$143,3,FALSE)/VLOOKUP('All - MECs'!$B$14,'Annual Parameters'!$B$33:$W$143,3,FALSE)</f>
        <v>0</v>
      </c>
      <c r="E69" s="3532">
        <f>'All - MECs'!E69*VLOOKUP($B$14,'Annual Parameters'!$B$33:$W$143,3,FALSE)/VLOOKUP('All - MECs'!$B$14,'Annual Parameters'!$B$33:$W$143,3,FALSE)</f>
        <v>3.9839077517407468</v>
      </c>
      <c r="F69" s="3533">
        <f>'All - MECs'!F69*VLOOKUP($B$14,'Annual Parameters'!$B$33:$W$143,3,FALSE)/VLOOKUP('All - MECs'!$B$14,'Annual Parameters'!$B$33:$W$143,3,FALSE)</f>
        <v>3.9839077517407468</v>
      </c>
      <c r="G69" s="3531">
        <f>'All - MECs'!G69*VLOOKUP($B$14,'Annual Parameters'!$B$33:$W$143,3,FALSE)/VLOOKUP('All - MECs'!$B$14,'Annual Parameters'!$B$33:$W$143,3,FALSE)</f>
        <v>0</v>
      </c>
      <c r="H69" s="3532">
        <f>'All - MECs'!H69*VLOOKUP($B$14,'Annual Parameters'!$B$33:$W$143,3,FALSE)/VLOOKUP('All - MECs'!$B$14,'Annual Parameters'!$B$33:$W$143,3,FALSE)</f>
        <v>3.9839077517407468</v>
      </c>
      <c r="I69" s="3534">
        <f>'All - MECs'!I69*VLOOKUP($B$14,'Annual Parameters'!$B$33:$W$143,3,FALSE)/VLOOKUP('All - MECs'!$B$14,'Annual Parameters'!$B$33:$W$143,3,FALSE)</f>
        <v>3.9839077517407468</v>
      </c>
      <c r="J69" s="3535">
        <f>'All - MECs'!J69*VLOOKUP($B$14,'Annual Parameters'!$B$33:$W$143,3,FALSE)/VLOOKUP('All - MECs'!$B$14,'Annual Parameters'!$B$33:$W$143,3,FALSE)</f>
        <v>3.9839077517407468</v>
      </c>
      <c r="K69" s="3533">
        <f>'All - MECs'!K69*VLOOKUP($B$14,'Annual Parameters'!$B$33:$W$143,3,FALSE)/VLOOKUP('All - MECs'!$B$14,'Annual Parameters'!$B$33:$W$143,3,FALSE)</f>
        <v>3.9839077517407468</v>
      </c>
      <c r="L69" s="3535">
        <f>'All - MECs'!L69*VLOOKUP($B$14,'Annual Parameters'!$B$33:$W$143,3,FALSE)/VLOOKUP('All - MECs'!$B$14,'Annual Parameters'!$B$33:$W$143,3,FALSE)</f>
        <v>0</v>
      </c>
      <c r="M69" s="3536">
        <f>'All - MECs'!M69*VLOOKUP($B$14,'Annual Parameters'!$B$33:$W$143,3,FALSE)/VLOOKUP('All - MECs'!$B$14,'Annual Parameters'!$B$33:$W$143,3,FALSE)</f>
        <v>0.92957847540617422</v>
      </c>
      <c r="N69" s="3533">
        <f>'All - MECs'!N69*VLOOKUP($B$14,'Annual Parameters'!$B$33:$W$143,3,FALSE)/VLOOKUP('All - MECs'!$B$14,'Annual Parameters'!$B$33:$W$143,3,FALSE)</f>
        <v>0.92957847540617422</v>
      </c>
      <c r="O69" s="3502">
        <f>'All - MECs'!O69*VLOOKUP($B$14,'Annual Parameters'!$B$33:$W$143,3,FALSE)/VLOOKUP('All - MECs'!$B$14,'Annual Parameters'!$B$33:$W$143,3,FALSE)</f>
        <v>2.1380056719061544</v>
      </c>
      <c r="P69" s="3544"/>
      <c r="Q69" s="3521" t="s">
        <v>477</v>
      </c>
      <c r="R69" s="3522"/>
      <c r="S69" s="3530" t="s">
        <v>1096</v>
      </c>
      <c r="T69" s="3531">
        <f>'All - MECs'!T69*VLOOKUP($B$14,'Annual Parameters'!$B$33:$W$143,3,FALSE)/VLOOKUP('All - MECs'!$B$14,'Annual Parameters'!$B$33:$W$143,3,FALSE)</f>
        <v>0</v>
      </c>
      <c r="U69" s="3532">
        <f>'All - MECs'!U69*VLOOKUP($B$14,'Annual Parameters'!$B$33:$W$143,3,FALSE)/VLOOKUP('All - MECs'!$B$14,'Annual Parameters'!$B$33:$W$143,3,FALSE)</f>
        <v>3.9839077517407468</v>
      </c>
      <c r="V69" s="3533">
        <f>'All - MECs'!V69*VLOOKUP($B$14,'Annual Parameters'!$B$33:$W$143,3,FALSE)/VLOOKUP('All - MECs'!$B$14,'Annual Parameters'!$B$33:$W$143,3,FALSE)</f>
        <v>3.9839077517407468</v>
      </c>
      <c r="W69" s="3531">
        <f>'All - MECs'!W69*VLOOKUP($B$14,'Annual Parameters'!$B$33:$W$143,3,FALSE)/VLOOKUP('All - MECs'!$B$14,'Annual Parameters'!$B$33:$W$143,3,FALSE)</f>
        <v>0</v>
      </c>
      <c r="X69" s="3532">
        <f>'All - MECs'!X69*VLOOKUP($B$14,'Annual Parameters'!$B$33:$W$143,3,FALSE)/VLOOKUP('All - MECs'!$B$14,'Annual Parameters'!$B$33:$W$143,3,FALSE)</f>
        <v>3.9839077517407468</v>
      </c>
      <c r="Y69" s="3534">
        <f>'All - MECs'!Y69*VLOOKUP($B$14,'Annual Parameters'!$B$33:$W$143,3,FALSE)/VLOOKUP('All - MECs'!$B$14,'Annual Parameters'!$B$33:$W$143,3,FALSE)</f>
        <v>3.9839077517407468</v>
      </c>
      <c r="Z69" s="3535">
        <f>'All - MECs'!Z69*VLOOKUP($B$14,'Annual Parameters'!$B$33:$W$143,3,FALSE)/VLOOKUP('All - MECs'!$B$14,'Annual Parameters'!$B$33:$W$143,3,FALSE)</f>
        <v>3.9839077517407468</v>
      </c>
      <c r="AA69" s="3533">
        <f>'All - MECs'!AA69*VLOOKUP($B$14,'Annual Parameters'!$B$33:$W$143,3,FALSE)/VLOOKUP('All - MECs'!$B$14,'Annual Parameters'!$B$33:$W$143,3,FALSE)</f>
        <v>3.9839077517407468</v>
      </c>
      <c r="AB69" s="3535">
        <f>'All - MECs'!AB69*VLOOKUP($B$14,'Annual Parameters'!$B$33:$W$143,3,FALSE)/VLOOKUP('All - MECs'!$B$14,'Annual Parameters'!$B$33:$W$143,3,FALSE)</f>
        <v>0</v>
      </c>
      <c r="AC69" s="3536">
        <f>'All - MECs'!AC69*VLOOKUP($B$14,'Annual Parameters'!$B$33:$W$143,3,FALSE)/VLOOKUP('All - MECs'!$B$14,'Annual Parameters'!$B$33:$W$143,3,FALSE)</f>
        <v>0.92957847540617422</v>
      </c>
      <c r="AD69" s="3533">
        <f>'All - MECs'!AD69*VLOOKUP($B$14,'Annual Parameters'!$B$33:$W$143,3,FALSE)/VLOOKUP('All - MECs'!$B$14,'Annual Parameters'!$B$33:$W$143,3,FALSE)</f>
        <v>0.92957847540617422</v>
      </c>
      <c r="AE69" s="3502">
        <f>'All - MECs'!AE69*VLOOKUP($B$14,'Annual Parameters'!$B$33:$W$143,3,FALSE)/VLOOKUP('All - MECs'!$B$14,'Annual Parameters'!$B$33:$W$143,3,FALSE)</f>
        <v>2.0694539247927137</v>
      </c>
      <c r="AF69" s="3544"/>
      <c r="AG69" s="3521" t="s">
        <v>477</v>
      </c>
      <c r="AH69" s="3522"/>
      <c r="AI69" s="3530" t="s">
        <v>1096</v>
      </c>
      <c r="AJ69" s="3531">
        <f>'All - MECs'!AJ69*VLOOKUP($B$14,'Annual Parameters'!$B$33:$W$143,3,FALSE)/VLOOKUP('All - MECs'!$B$14,'Annual Parameters'!$B$33:$W$143,3,FALSE)</f>
        <v>0.39839077517407467</v>
      </c>
      <c r="AK69" s="3532">
        <f>'All - MECs'!AK69*VLOOKUP($B$14,'Annual Parameters'!$B$33:$W$143,3,FALSE)/VLOOKUP('All - MECs'!$B$14,'Annual Parameters'!$B$33:$W$143,3,FALSE)</f>
        <v>4.2495016018567968</v>
      </c>
      <c r="AL69" s="3533">
        <f>'All - MECs'!AL69*VLOOKUP($B$14,'Annual Parameters'!$B$33:$W$143,3,FALSE)/VLOOKUP('All - MECs'!$B$14,'Annual Parameters'!$B$33:$W$143,3,FALSE)</f>
        <v>4.2495016018567968</v>
      </c>
      <c r="AM69" s="3531">
        <f>'All - MECs'!AM69*VLOOKUP($B$14,'Annual Parameters'!$B$33:$W$143,3,FALSE)/VLOOKUP('All - MECs'!$B$14,'Annual Parameters'!$B$33:$W$143,3,FALSE)</f>
        <v>0.39839077517407467</v>
      </c>
      <c r="AN69" s="3532">
        <f>'All - MECs'!AN69*VLOOKUP($B$14,'Annual Parameters'!$B$33:$W$143,3,FALSE)/VLOOKUP('All - MECs'!$B$14,'Annual Parameters'!$B$33:$W$143,3,FALSE)</f>
        <v>4.2495016018567968</v>
      </c>
      <c r="AO69" s="3534">
        <f>'All - MECs'!AO69*VLOOKUP($B$14,'Annual Parameters'!$B$33:$W$143,3,FALSE)/VLOOKUP('All - MECs'!$B$14,'Annual Parameters'!$B$33:$W$143,3,FALSE)</f>
        <v>4.2495016018567968</v>
      </c>
      <c r="AP69" s="3535">
        <f>'All - MECs'!AP69*VLOOKUP($B$14,'Annual Parameters'!$B$33:$W$143,3,FALSE)/VLOOKUP('All - MECs'!$B$14,'Annual Parameters'!$B$33:$W$143,3,FALSE)</f>
        <v>4.2495016018567968</v>
      </c>
      <c r="AQ69" s="3533">
        <f>'All - MECs'!AQ69*VLOOKUP($B$14,'Annual Parameters'!$B$33:$W$143,3,FALSE)/VLOOKUP('All - MECs'!$B$14,'Annual Parameters'!$B$33:$W$143,3,FALSE)</f>
        <v>4.2495016018567968</v>
      </c>
      <c r="AR69" s="3535">
        <f>'All - MECs'!AR69*VLOOKUP($B$14,'Annual Parameters'!$B$33:$W$143,3,FALSE)/VLOOKUP('All - MECs'!$B$14,'Annual Parameters'!$B$33:$W$143,3,FALSE)</f>
        <v>0.39839077517407467</v>
      </c>
      <c r="AS69" s="3536">
        <f>'All - MECs'!AS69*VLOOKUP($B$14,'Annual Parameters'!$B$33:$W$143,3,FALSE)/VLOOKUP('All - MECs'!$B$14,'Annual Parameters'!$B$33:$W$143,3,FALSE)</f>
        <v>4.5150954519728463</v>
      </c>
      <c r="AT69" s="3533">
        <f>'All - MECs'!AT69*VLOOKUP($B$14,'Annual Parameters'!$B$33:$W$143,3,FALSE)/VLOOKUP('All - MECs'!$B$14,'Annual Parameters'!$B$33:$W$143,3,FALSE)</f>
        <v>4.5150954519728463</v>
      </c>
      <c r="AU69" s="3502">
        <f>'All - MECs'!AU69*VLOOKUP($B$14,'Annual Parameters'!$B$33:$W$143,3,FALSE)/VLOOKUP('All - MECs'!$B$14,'Annual Parameters'!$B$33:$W$143,3,FALSE)</f>
        <v>3.1906775352946624</v>
      </c>
      <c r="AV69" s="3544"/>
      <c r="AW69" s="3521" t="s">
        <v>477</v>
      </c>
      <c r="AX69" s="3522"/>
      <c r="AY69" s="3530" t="s">
        <v>1096</v>
      </c>
      <c r="AZ69" s="3531">
        <f>'All - MECs'!AZ69*VLOOKUP($B$14,'Annual Parameters'!$B$33:$W$143,3,FALSE)/VLOOKUP('All - MECs'!$B$14,'Annual Parameters'!$B$33:$W$143,3,FALSE)</f>
        <v>0.39839077517407467</v>
      </c>
      <c r="BA69" s="3532">
        <f>'All - MECs'!BA69*VLOOKUP($B$14,'Annual Parameters'!$B$33:$W$143,3,FALSE)/VLOOKUP('All - MECs'!$B$14,'Annual Parameters'!$B$33:$W$143,3,FALSE)</f>
        <v>4.2495016018567968</v>
      </c>
      <c r="BB69" s="3533">
        <f>'All - MECs'!BB69*VLOOKUP($B$14,'Annual Parameters'!$B$33:$W$143,3,FALSE)/VLOOKUP('All - MECs'!$B$14,'Annual Parameters'!$B$33:$W$143,3,FALSE)</f>
        <v>4.2495016018567968</v>
      </c>
      <c r="BC69" s="3531">
        <f>'All - MECs'!BC69*VLOOKUP($B$14,'Annual Parameters'!$B$33:$W$143,3,FALSE)/VLOOKUP('All - MECs'!$B$14,'Annual Parameters'!$B$33:$W$143,3,FALSE)</f>
        <v>0.39839077517407467</v>
      </c>
      <c r="BD69" s="3532">
        <f>'All - MECs'!BD69*VLOOKUP($B$14,'Annual Parameters'!$B$33:$W$143,3,FALSE)/VLOOKUP('All - MECs'!$B$14,'Annual Parameters'!$B$33:$W$143,3,FALSE)</f>
        <v>4.2495016018567968</v>
      </c>
      <c r="BE69" s="3534">
        <f>'All - MECs'!BE69*VLOOKUP($B$14,'Annual Parameters'!$B$33:$W$143,3,FALSE)/VLOOKUP('All - MECs'!$B$14,'Annual Parameters'!$B$33:$W$143,3,FALSE)</f>
        <v>4.2495016018567968</v>
      </c>
      <c r="BF69" s="3535">
        <f>'All - MECs'!BF69*VLOOKUP($B$14,'Annual Parameters'!$B$33:$W$143,3,FALSE)/VLOOKUP('All - MECs'!$B$14,'Annual Parameters'!$B$33:$W$143,3,FALSE)</f>
        <v>4.2495016018567968</v>
      </c>
      <c r="BG69" s="3533">
        <f>'All - MECs'!BG69*VLOOKUP($B$14,'Annual Parameters'!$B$33:$W$143,3,FALSE)/VLOOKUP('All - MECs'!$B$14,'Annual Parameters'!$B$33:$W$143,3,FALSE)</f>
        <v>4.2495016018567968</v>
      </c>
      <c r="BH69" s="3535">
        <f>'All - MECs'!BH69*VLOOKUP($B$14,'Annual Parameters'!$B$33:$W$143,3,FALSE)/VLOOKUP('All - MECs'!$B$14,'Annual Parameters'!$B$33:$W$143,3,FALSE)</f>
        <v>0.39839077517407467</v>
      </c>
      <c r="BI69" s="3536">
        <f>'All - MECs'!BI69*VLOOKUP($B$14,'Annual Parameters'!$B$33:$W$143,3,FALSE)/VLOOKUP('All - MECs'!$B$14,'Annual Parameters'!$B$33:$W$143,3,FALSE)</f>
        <v>4.5150954519728463</v>
      </c>
      <c r="BJ69" s="3533">
        <f>'All - MECs'!BJ69*VLOOKUP($B$14,'Annual Parameters'!$B$33:$W$143,3,FALSE)/VLOOKUP('All - MECs'!$B$14,'Annual Parameters'!$B$33:$W$143,3,FALSE)</f>
        <v>4.5150954519728463</v>
      </c>
      <c r="BK69" s="3502">
        <f>'All - MECs'!BK69*VLOOKUP($B$14,'Annual Parameters'!$B$33:$W$143,3,FALSE)/VLOOKUP('All - MECs'!$B$14,'Annual Parameters'!$B$33:$W$143,3,FALSE)</f>
        <v>2.2038794026606756</v>
      </c>
      <c r="BL69" s="3544"/>
      <c r="BM69" s="3521" t="s">
        <v>477</v>
      </c>
      <c r="BN69" s="3522"/>
      <c r="BO69" s="3530" t="s">
        <v>1096</v>
      </c>
      <c r="BP69" s="3531">
        <f>'All - MECs'!BP69*VLOOKUP($B$14,'Annual Parameters'!$B$33:$W$143,3,FALSE)/VLOOKUP('All - MECs'!$B$14,'Annual Parameters'!$B$33:$W$143,3,FALSE)</f>
        <v>0</v>
      </c>
      <c r="BQ69" s="3532">
        <f>'All - MECs'!BQ69*VLOOKUP($B$14,'Annual Parameters'!$B$33:$W$143,3,FALSE)/VLOOKUP('All - MECs'!$B$14,'Annual Parameters'!$B$33:$W$143,3,FALSE)</f>
        <v>0</v>
      </c>
      <c r="BR69" s="3533">
        <f>'All - MECs'!BR69*VLOOKUP($B$14,'Annual Parameters'!$B$33:$W$143,3,FALSE)/VLOOKUP('All - MECs'!$B$14,'Annual Parameters'!$B$33:$W$143,3,FALSE)</f>
        <v>0</v>
      </c>
      <c r="BS69" s="3531">
        <f>'All - MECs'!BS69*VLOOKUP($B$14,'Annual Parameters'!$B$33:$W$143,3,FALSE)/VLOOKUP('All - MECs'!$B$14,'Annual Parameters'!$B$33:$W$143,3,FALSE)</f>
        <v>0</v>
      </c>
      <c r="BT69" s="3532">
        <f>'All - MECs'!BT69*VLOOKUP($B$14,'Annual Parameters'!$B$33:$W$143,3,FALSE)/VLOOKUP('All - MECs'!$B$14,'Annual Parameters'!$B$33:$W$143,3,FALSE)</f>
        <v>0</v>
      </c>
      <c r="BU69" s="3534">
        <f>'All - MECs'!BU69*VLOOKUP($B$14,'Annual Parameters'!$B$33:$W$143,3,FALSE)/VLOOKUP('All - MECs'!$B$14,'Annual Parameters'!$B$33:$W$143,3,FALSE)</f>
        <v>0</v>
      </c>
      <c r="BV69" s="3535">
        <f>'All - MECs'!BV69*VLOOKUP($B$14,'Annual Parameters'!$B$33:$W$143,3,FALSE)/VLOOKUP('All - MECs'!$B$14,'Annual Parameters'!$B$33:$W$143,3,FALSE)</f>
        <v>0</v>
      </c>
      <c r="BW69" s="3533">
        <f>'All - MECs'!BW69*VLOOKUP($B$14,'Annual Parameters'!$B$33:$W$143,3,FALSE)/VLOOKUP('All - MECs'!$B$14,'Annual Parameters'!$B$33:$W$143,3,FALSE)</f>
        <v>0</v>
      </c>
      <c r="BX69" s="3535">
        <f>'All - MECs'!BX69*VLOOKUP($B$14,'Annual Parameters'!$B$33:$W$143,3,FALSE)/VLOOKUP('All - MECs'!$B$14,'Annual Parameters'!$B$33:$W$143,3,FALSE)</f>
        <v>0</v>
      </c>
      <c r="BY69" s="3536">
        <f>'All - MECs'!BY69*VLOOKUP($B$14,'Annual Parameters'!$B$33:$W$143,3,FALSE)/VLOOKUP('All - MECs'!$B$14,'Annual Parameters'!$B$33:$W$143,3,FALSE)</f>
        <v>0</v>
      </c>
      <c r="BZ69" s="3533">
        <f>'All - MECs'!BZ69*VLOOKUP($B$14,'Annual Parameters'!$B$33:$W$143,3,FALSE)/VLOOKUP('All - MECs'!$B$14,'Annual Parameters'!$B$33:$W$143,3,FALSE)</f>
        <v>0</v>
      </c>
      <c r="CA69" s="3502">
        <f>'All - MECs'!CA69*VLOOKUP($B$14,'Annual Parameters'!$B$33:$W$143,3,FALSE)/VLOOKUP('All - MECs'!$B$14,'Annual Parameters'!$B$33:$W$143,3,FALSE)</f>
        <v>0</v>
      </c>
    </row>
    <row r="70" spans="1:95" ht="13.5" customHeight="1">
      <c r="A70" s="3521" t="s">
        <v>1097</v>
      </c>
      <c r="B70" s="3522"/>
      <c r="C70" s="3530" t="s">
        <v>1096</v>
      </c>
      <c r="D70" s="3535">
        <f>'All - MECs'!D70*VLOOKUP($B$14,'Annual Parameters'!$B$33:$W$143,3,FALSE)/VLOOKUP('All - MECs'!$B$14,'Annual Parameters'!$B$33:$W$143,3,FALSE)</f>
        <v>0.65126337555025826</v>
      </c>
      <c r="E70" s="3532">
        <f>'All - MECs'!E70*VLOOKUP($B$14,'Annual Parameters'!$B$33:$W$143,3,FALSE)/VLOOKUP('All - MECs'!$B$14,'Annual Parameters'!$B$33:$W$143,3,FALSE)</f>
        <v>0.65274981537281174</v>
      </c>
      <c r="F70" s="3537">
        <f>'All - MECs'!F70*VLOOKUP($B$14,'Annual Parameters'!$B$33:$W$143,3,FALSE)/VLOOKUP('All - MECs'!$B$14,'Annual Parameters'!$B$33:$W$143,3,FALSE)</f>
        <v>0.86027954136438889</v>
      </c>
      <c r="G70" s="3531">
        <f>'All - MECs'!G70*VLOOKUP($B$14,'Annual Parameters'!$B$33:$W$143,3,FALSE)/VLOOKUP('All - MECs'!$B$14,'Annual Parameters'!$B$33:$W$143,3,FALSE)</f>
        <v>0.27440471231613384</v>
      </c>
      <c r="H70" s="3532">
        <f>'All - MECs'!H70*VLOOKUP($B$14,'Annual Parameters'!$B$33:$W$143,3,FALSE)/VLOOKUP('All - MECs'!$B$14,'Annual Parameters'!$B$33:$W$143,3,FALSE)</f>
        <v>0.23635413159441299</v>
      </c>
      <c r="I70" s="3537">
        <f>'All - MECs'!I70*VLOOKUP($B$14,'Annual Parameters'!$B$33:$W$143,3,FALSE)/VLOOKUP('All - MECs'!$B$14,'Annual Parameters'!$B$33:$W$143,3,FALSE)</f>
        <v>0.25408708587528722</v>
      </c>
      <c r="J70" s="3531">
        <f>'All - MECs'!J70*VLOOKUP($B$14,'Annual Parameters'!$B$33:$W$143,3,FALSE)/VLOOKUP('All - MECs'!$B$14,'Annual Parameters'!$B$33:$W$143,3,FALSE)</f>
        <v>0.17001583954464899</v>
      </c>
      <c r="K70" s="3537">
        <f>'All - MECs'!K70*VLOOKUP($B$14,'Annual Parameters'!$B$33:$W$143,3,FALSE)/VLOOKUP('All - MECs'!$B$14,'Annual Parameters'!$B$33:$W$143,3,FALSE)</f>
        <v>0.18220931922909642</v>
      </c>
      <c r="L70" s="3531">
        <f>'All - MECs'!L70*VLOOKUP($B$14,'Annual Parameters'!$B$33:$W$143,3,FALSE)/VLOOKUP('All - MECs'!$B$14,'Annual Parameters'!$B$33:$W$143,3,FALSE)</f>
        <v>8.2863118302161087E-2</v>
      </c>
      <c r="M70" s="3538">
        <f>'All - MECs'!M70*VLOOKUP($B$14,'Annual Parameters'!$B$33:$W$143,3,FALSE)/VLOOKUP('All - MECs'!$B$14,'Annual Parameters'!$B$33:$W$143,3,FALSE)</f>
        <v>6.6117775776223839E-2</v>
      </c>
      <c r="N70" s="3534">
        <f>'All - MECs'!N70*VLOOKUP($B$14,'Annual Parameters'!$B$33:$W$143,3,FALSE)/VLOOKUP('All - MECs'!$B$14,'Annual Parameters'!$B$33:$W$143,3,FALSE)</f>
        <v>5.876199030478417E-2</v>
      </c>
      <c r="O70" s="3539">
        <f>'All - MECs'!O70*VLOOKUP($B$14,'Annual Parameters'!$B$33:$W$143,3,FALSE)/VLOOKUP('All - MECs'!$B$14,'Annual Parameters'!$B$33:$W$143,3,FALSE)</f>
        <v>0.17082657282837585</v>
      </c>
      <c r="P70" s="3544"/>
      <c r="Q70" s="3521" t="s">
        <v>1097</v>
      </c>
      <c r="R70" s="3522"/>
      <c r="S70" s="3530" t="s">
        <v>1096</v>
      </c>
      <c r="T70" s="3535">
        <f>'All - MECs'!T70*VLOOKUP($B$14,'Annual Parameters'!$B$33:$W$143,3,FALSE)/VLOOKUP('All - MECs'!$B$14,'Annual Parameters'!$B$33:$W$143,3,FALSE)</f>
        <v>1.2829415515773985</v>
      </c>
      <c r="U70" s="3532">
        <f>'All - MECs'!U70*VLOOKUP($B$14,'Annual Parameters'!$B$33:$W$143,3,FALSE)/VLOOKUP('All - MECs'!$B$14,'Annual Parameters'!$B$33:$W$143,3,FALSE)</f>
        <v>1.251857776430491</v>
      </c>
      <c r="V70" s="3537">
        <f>'All - MECs'!V70*VLOOKUP($B$14,'Annual Parameters'!$B$33:$W$143,3,FALSE)/VLOOKUP('All - MECs'!$B$14,'Annual Parameters'!$B$33:$W$143,3,FALSE)</f>
        <v>1.6786890566124619</v>
      </c>
      <c r="W70" s="3531">
        <f>'All - MECs'!W70*VLOOKUP($B$14,'Annual Parameters'!$B$33:$W$143,3,FALSE)/VLOOKUP('All - MECs'!$B$14,'Annual Parameters'!$B$33:$W$143,3,FALSE)</f>
        <v>0.54350377402163441</v>
      </c>
      <c r="X70" s="3532">
        <f>'All - MECs'!X70*VLOOKUP($B$14,'Annual Parameters'!$B$33:$W$143,3,FALSE)/VLOOKUP('All - MECs'!$B$14,'Annual Parameters'!$B$33:$W$143,3,FALSE)</f>
        <v>0.44320564352419822</v>
      </c>
      <c r="Y70" s="3537">
        <f>'All - MECs'!Y70*VLOOKUP($B$14,'Annual Parameters'!$B$33:$W$143,3,FALSE)/VLOOKUP('All - MECs'!$B$14,'Annual Parameters'!$B$33:$W$143,3,FALSE)</f>
        <v>0.47910581838785171</v>
      </c>
      <c r="Z70" s="3531">
        <f>'All - MECs'!Z70*VLOOKUP($B$14,'Annual Parameters'!$B$33:$W$143,3,FALSE)/VLOOKUP('All - MECs'!$B$14,'Annual Parameters'!$B$33:$W$143,3,FALSE)</f>
        <v>0.32011817218299654</v>
      </c>
      <c r="AA70" s="3537">
        <f>'All - MECs'!AA70*VLOOKUP($B$14,'Annual Parameters'!$B$33:$W$143,3,FALSE)/VLOOKUP('All - MECs'!$B$14,'Annual Parameters'!$B$33:$W$143,3,FALSE)</f>
        <v>0.34106290667717121</v>
      </c>
      <c r="AB70" s="3531">
        <f>'All - MECs'!AB70*VLOOKUP($B$14,'Annual Parameters'!$B$33:$W$143,3,FALSE)/VLOOKUP('All - MECs'!$B$14,'Annual Parameters'!$B$33:$W$143,3,FALSE)</f>
        <v>0.16290066094086167</v>
      </c>
      <c r="AC70" s="3538">
        <f>'All - MECs'!AC70*VLOOKUP($B$14,'Annual Parameters'!$B$33:$W$143,3,FALSE)/VLOOKUP('All - MECs'!$B$14,'Annual Parameters'!$B$33:$W$143,3,FALSE)</f>
        <v>0.13458500222122605</v>
      </c>
      <c r="AD70" s="3534">
        <f>'All - MECs'!AD70*VLOOKUP($B$14,'Annual Parameters'!$B$33:$W$143,3,FALSE)/VLOOKUP('All - MECs'!$B$14,'Annual Parameters'!$B$33:$W$143,3,FALSE)</f>
        <v>0.11105395246934915</v>
      </c>
      <c r="AE70" s="3539">
        <f>'All - MECs'!AE70*VLOOKUP($B$14,'Annual Parameters'!$B$33:$W$143,3,FALSE)/VLOOKUP('All - MECs'!$B$14,'Annual Parameters'!$B$33:$W$143,3,FALSE)</f>
        <v>0.32656813489837078</v>
      </c>
      <c r="AF70" s="3544"/>
      <c r="AG70" s="3521" t="s">
        <v>1097</v>
      </c>
      <c r="AH70" s="3522"/>
      <c r="AI70" s="3530" t="s">
        <v>1096</v>
      </c>
      <c r="AJ70" s="3535">
        <f>'All - MECs'!AJ70*VLOOKUP($B$14,'Annual Parameters'!$B$33:$W$143,3,FALSE)/VLOOKUP('All - MECs'!$B$14,'Annual Parameters'!$B$33:$W$143,3,FALSE)</f>
        <v>2.5213638245081036</v>
      </c>
      <c r="AK70" s="3532">
        <f>'All - MECs'!AK70*VLOOKUP($B$14,'Annual Parameters'!$B$33:$W$143,3,FALSE)/VLOOKUP('All - MECs'!$B$14,'Annual Parameters'!$B$33:$W$143,3,FALSE)</f>
        <v>3.7753117083345518</v>
      </c>
      <c r="AL70" s="3537">
        <f>'All - MECs'!AL70*VLOOKUP($B$14,'Annual Parameters'!$B$33:$W$143,3,FALSE)/VLOOKUP('All - MECs'!$B$14,'Annual Parameters'!$B$33:$W$143,3,FALSE)</f>
        <v>4.8945896968084321</v>
      </c>
      <c r="AM70" s="3531">
        <f>'All - MECs'!AM70*VLOOKUP($B$14,'Annual Parameters'!$B$33:$W$143,3,FALSE)/VLOOKUP('All - MECs'!$B$14,'Annual Parameters'!$B$33:$W$143,3,FALSE)</f>
        <v>1.1427657144543386</v>
      </c>
      <c r="AN70" s="3532">
        <f>'All - MECs'!AN70*VLOOKUP($B$14,'Annual Parameters'!$B$33:$W$143,3,FALSE)/VLOOKUP('All - MECs'!$B$14,'Annual Parameters'!$B$33:$W$143,3,FALSE)</f>
        <v>1.3466403250354242</v>
      </c>
      <c r="AO70" s="3537">
        <f>'All - MECs'!AO70*VLOOKUP($B$14,'Annual Parameters'!$B$33:$W$143,3,FALSE)/VLOOKUP('All - MECs'!$B$14,'Annual Parameters'!$B$33:$W$143,3,FALSE)</f>
        <v>1.5747070232909879</v>
      </c>
      <c r="AP70" s="3531">
        <f>'All - MECs'!AP70*VLOOKUP($B$14,'Annual Parameters'!$B$33:$W$143,3,FALSE)/VLOOKUP('All - MECs'!$B$14,'Annual Parameters'!$B$33:$W$143,3,FALSE)</f>
        <v>0.93003128715963113</v>
      </c>
      <c r="AQ70" s="3537">
        <f>'All - MECs'!AQ70*VLOOKUP($B$14,'Annual Parameters'!$B$33:$W$143,3,FALSE)/VLOOKUP('All - MECs'!$B$14,'Annual Parameters'!$B$33:$W$143,3,FALSE)</f>
        <v>1.1191744441796059</v>
      </c>
      <c r="AR70" s="3531">
        <f>'All - MECs'!AR70*VLOOKUP($B$14,'Annual Parameters'!$B$33:$W$143,3,FALSE)/VLOOKUP('All - MECs'!$B$14,'Annual Parameters'!$B$33:$W$143,3,FALSE)</f>
        <v>0.33276208660686252</v>
      </c>
      <c r="AS70" s="3538">
        <f>'All - MECs'!AS70*VLOOKUP($B$14,'Annual Parameters'!$B$33:$W$143,3,FALSE)/VLOOKUP('All - MECs'!$B$14,'Annual Parameters'!$B$33:$W$143,3,FALSE)</f>
        <v>0.31692685419609251</v>
      </c>
      <c r="AT70" s="3534">
        <f>'All - MECs'!AT70*VLOOKUP($B$14,'Annual Parameters'!$B$33:$W$143,3,FALSE)/VLOOKUP('All - MECs'!$B$14,'Annual Parameters'!$B$33:$W$143,3,FALSE)</f>
        <v>0.30950896308298081</v>
      </c>
      <c r="AU70" s="3539">
        <f>'All - MECs'!AU70*VLOOKUP($B$14,'Annual Parameters'!$B$33:$W$143,3,FALSE)/VLOOKUP('All - MECs'!$B$14,'Annual Parameters'!$B$33:$W$143,3,FALSE)</f>
        <v>0.76565534397080626</v>
      </c>
      <c r="AV70" s="3544"/>
      <c r="AW70" s="3521" t="s">
        <v>1097</v>
      </c>
      <c r="AX70" s="3522"/>
      <c r="AY70" s="3530" t="s">
        <v>1096</v>
      </c>
      <c r="AZ70" s="3535">
        <f>'All - MECs'!AZ70*VLOOKUP($B$14,'Annual Parameters'!$B$33:$W$143,3,FALSE)/VLOOKUP('All - MECs'!$B$14,'Annual Parameters'!$B$33:$W$143,3,FALSE)</f>
        <v>3.5678674266447299</v>
      </c>
      <c r="BA70" s="3532">
        <f>'All - MECs'!BA70*VLOOKUP($B$14,'Annual Parameters'!$B$33:$W$143,3,FALSE)/VLOOKUP('All - MECs'!$B$14,'Annual Parameters'!$B$33:$W$143,3,FALSE)</f>
        <v>5.4673665864517886</v>
      </c>
      <c r="BB70" s="3537">
        <f>'All - MECs'!BB70*VLOOKUP($B$14,'Annual Parameters'!$B$33:$W$143,3,FALSE)/VLOOKUP('All - MECs'!$B$14,'Annual Parameters'!$B$33:$W$143,3,FALSE)</f>
        <v>7.8970813173430399</v>
      </c>
      <c r="BC70" s="3531">
        <f>'All - MECs'!BC70*VLOOKUP($B$14,'Annual Parameters'!$B$33:$W$143,3,FALSE)/VLOOKUP('All - MECs'!$B$14,'Annual Parameters'!$B$33:$W$143,3,FALSE)</f>
        <v>1.5746972031659474</v>
      </c>
      <c r="BD70" s="3532">
        <f>'All - MECs'!BD70*VLOOKUP($B$14,'Annual Parameters'!$B$33:$W$143,3,FALSE)/VLOOKUP('All - MECs'!$B$14,'Annual Parameters'!$B$33:$W$143,3,FALSE)</f>
        <v>1.828700764543771</v>
      </c>
      <c r="BE70" s="3537">
        <f>'All - MECs'!BE70*VLOOKUP($B$14,'Annual Parameters'!$B$33:$W$143,3,FALSE)/VLOOKUP('All - MECs'!$B$14,'Annual Parameters'!$B$33:$W$143,3,FALSE)</f>
        <v>2.4108969264925344</v>
      </c>
      <c r="BF70" s="3531">
        <f>'All - MECs'!BF70*VLOOKUP($B$14,'Annual Parameters'!$B$33:$W$143,3,FALSE)/VLOOKUP('All - MECs'!$B$14,'Annual Parameters'!$B$33:$W$143,3,FALSE)</f>
        <v>1.3901804742762591</v>
      </c>
      <c r="BG70" s="3537">
        <f>'All - MECs'!BG70*VLOOKUP($B$14,'Annual Parameters'!$B$33:$W$143,3,FALSE)/VLOOKUP('All - MECs'!$B$14,'Annual Parameters'!$B$33:$W$143,3,FALSE)</f>
        <v>1.7525342624677409</v>
      </c>
      <c r="BH70" s="3531">
        <f>'All - MECs'!BH70*VLOOKUP($B$14,'Annual Parameters'!$B$33:$W$143,3,FALSE)/VLOOKUP('All - MECs'!$B$14,'Annual Parameters'!$B$33:$W$143,3,FALSE)</f>
        <v>0.47175929189377974</v>
      </c>
      <c r="BI70" s="3538">
        <f>'All - MECs'!BI70*VLOOKUP($B$14,'Annual Parameters'!$B$33:$W$143,3,FALSE)/VLOOKUP('All - MECs'!$B$14,'Annual Parameters'!$B$33:$W$143,3,FALSE)</f>
        <v>0.45641699942850111</v>
      </c>
      <c r="BJ70" s="3534">
        <f>'All - MECs'!BJ70*VLOOKUP($B$14,'Annual Parameters'!$B$33:$W$143,3,FALSE)/VLOOKUP('All - MECs'!$B$14,'Annual Parameters'!$B$33:$W$143,3,FALSE)</f>
        <v>0.45069059939166706</v>
      </c>
      <c r="BK70" s="3539">
        <f>'All - MECs'!BK70*VLOOKUP($B$14,'Annual Parameters'!$B$33:$W$143,3,FALSE)/VLOOKUP('All - MECs'!$B$14,'Annual Parameters'!$B$33:$W$143,3,FALSE)</f>
        <v>0.82662560888297731</v>
      </c>
      <c r="BL70" s="3544"/>
      <c r="BM70" s="3521" t="s">
        <v>1097</v>
      </c>
      <c r="BN70" s="3522"/>
      <c r="BO70" s="3530" t="s">
        <v>1096</v>
      </c>
      <c r="BP70" s="3535">
        <f>'All - MECs'!BP70*VLOOKUP($B$14,'Annual Parameters'!$B$33:$W$143,3,FALSE)/VLOOKUP('All - MECs'!$B$14,'Annual Parameters'!$B$33:$W$143,3,FALSE)</f>
        <v>4.9639928650183052</v>
      </c>
      <c r="BQ70" s="3532">
        <f>'All - MECs'!BQ70*VLOOKUP($B$14,'Annual Parameters'!$B$33:$W$143,3,FALSE)/VLOOKUP('All - MECs'!$B$14,'Annual Parameters'!$B$33:$W$143,3,FALSE)</f>
        <v>7.8152426043773433</v>
      </c>
      <c r="BR70" s="3537">
        <f>'All - MECs'!BR70*VLOOKUP($B$14,'Annual Parameters'!$B$33:$W$143,3,FALSE)/VLOOKUP('All - MECs'!$B$14,'Annual Parameters'!$B$33:$W$143,3,FALSE)</f>
        <v>9.5131989727344148</v>
      </c>
      <c r="BS70" s="3531">
        <f>'All - MECs'!BS70*VLOOKUP($B$14,'Annual Parameters'!$B$33:$W$143,3,FALSE)/VLOOKUP('All - MECs'!$B$14,'Annual Parameters'!$B$33:$W$143,3,FALSE)</f>
        <v>2.4205773232486449</v>
      </c>
      <c r="BT70" s="3532">
        <f>'All - MECs'!BT70*VLOOKUP($B$14,'Annual Parameters'!$B$33:$W$143,3,FALSE)/VLOOKUP('All - MECs'!$B$14,'Annual Parameters'!$B$33:$W$143,3,FALSE)</f>
        <v>3.074709879364141</v>
      </c>
      <c r="BU70" s="3537">
        <f>'All - MECs'!BU70*VLOOKUP($B$14,'Annual Parameters'!$B$33:$W$143,3,FALSE)/VLOOKUP('All - MECs'!$B$14,'Annual Parameters'!$B$33:$W$143,3,FALSE)</f>
        <v>3.5189660014362132</v>
      </c>
      <c r="BV70" s="3531">
        <f>'All - MECs'!BV70*VLOOKUP($B$14,'Annual Parameters'!$B$33:$W$143,3,FALSE)/VLOOKUP('All - MECs'!$B$14,'Annual Parameters'!$B$33:$W$143,3,FALSE)</f>
        <v>1.759669335343502</v>
      </c>
      <c r="BW70" s="3537">
        <f>'All - MECs'!BW70*VLOOKUP($B$14,'Annual Parameters'!$B$33:$W$143,3,FALSE)/VLOOKUP('All - MECs'!$B$14,'Annual Parameters'!$B$33:$W$143,3,FALSE)</f>
        <v>2.3185445864136547</v>
      </c>
      <c r="BX70" s="3531">
        <f>'All - MECs'!BX70*VLOOKUP($B$14,'Annual Parameters'!$B$33:$W$143,3,FALSE)/VLOOKUP('All - MECs'!$B$14,'Annual Parameters'!$B$33:$W$143,3,FALSE)</f>
        <v>0.65515974738188765</v>
      </c>
      <c r="BY70" s="3538">
        <f>'All - MECs'!BY70*VLOOKUP($B$14,'Annual Parameters'!$B$33:$W$143,3,FALSE)/VLOOKUP('All - MECs'!$B$14,'Annual Parameters'!$B$33:$W$143,3,FALSE)</f>
        <v>0.540009400815466</v>
      </c>
      <c r="BZ70" s="3534">
        <f>'All - MECs'!BZ70*VLOOKUP($B$14,'Annual Parameters'!$B$33:$W$143,3,FALSE)/VLOOKUP('All - MECs'!$B$14,'Annual Parameters'!$B$33:$W$143,3,FALSE)</f>
        <v>0.55517579112642668</v>
      </c>
      <c r="CA70" s="3539">
        <f>'All - MECs'!CA70*VLOOKUP($B$14,'Annual Parameters'!$B$33:$W$143,3,FALSE)/VLOOKUP('All - MECs'!$B$14,'Annual Parameters'!$B$33:$W$143,3,FALSE)</f>
        <v>2.5189423646023754</v>
      </c>
    </row>
    <row r="71" spans="1:95" ht="13.5" customHeight="1">
      <c r="A71" s="3521" t="s">
        <v>1074</v>
      </c>
      <c r="B71" s="3522"/>
      <c r="C71" s="3530" t="s">
        <v>1096</v>
      </c>
      <c r="D71" s="3531">
        <f>'All - MECs'!D71*VLOOKUP($B$14,'Annual Parameters'!$B$33:$W$143,3,FALSE)/VLOOKUP('All - MECs'!$B$14,'Annual Parameters'!$B$33:$W$143,3,FALSE)</f>
        <v>0.2655938501160498</v>
      </c>
      <c r="E71" s="3532">
        <f>'All - MECs'!E71*VLOOKUP($B$14,'Annual Parameters'!$B$33:$W$143,3,FALSE)/VLOOKUP('All - MECs'!$B$14,'Annual Parameters'!$B$33:$W$143,3,FALSE)</f>
        <v>0.2655938501160498</v>
      </c>
      <c r="F71" s="3534">
        <f>'All - MECs'!F71*VLOOKUP($B$14,'Annual Parameters'!$B$33:$W$143,3,FALSE)/VLOOKUP('All - MECs'!$B$14,'Annual Parameters'!$B$33:$W$143,3,FALSE)</f>
        <v>0.2655938501160498</v>
      </c>
      <c r="G71" s="3531">
        <f>'All - MECs'!G71*VLOOKUP($B$14,'Annual Parameters'!$B$33:$W$143,3,FALSE)/VLOOKUP('All - MECs'!$B$14,'Annual Parameters'!$B$33:$W$143,3,FALSE)</f>
        <v>0.2655938501160498</v>
      </c>
      <c r="H71" s="3532">
        <f>'All - MECs'!H71*VLOOKUP($B$14,'Annual Parameters'!$B$33:$W$143,3,FALSE)/VLOOKUP('All - MECs'!$B$14,'Annual Parameters'!$B$33:$W$143,3,FALSE)</f>
        <v>0.2655938501160498</v>
      </c>
      <c r="I71" s="3534">
        <f>'All - MECs'!I71*VLOOKUP($B$14,'Annual Parameters'!$B$33:$W$143,3,FALSE)/VLOOKUP('All - MECs'!$B$14,'Annual Parameters'!$B$33:$W$143,3,FALSE)</f>
        <v>0.2655938501160498</v>
      </c>
      <c r="J71" s="3531">
        <f>'All - MECs'!J71*VLOOKUP($B$14,'Annual Parameters'!$B$33:$W$143,3,FALSE)/VLOOKUP('All - MECs'!$B$14,'Annual Parameters'!$B$33:$W$143,3,FALSE)</f>
        <v>0.2655938501160498</v>
      </c>
      <c r="K71" s="3534">
        <f>'All - MECs'!K71*VLOOKUP($B$14,'Annual Parameters'!$B$33:$W$143,3,FALSE)/VLOOKUP('All - MECs'!$B$14,'Annual Parameters'!$B$33:$W$143,3,FALSE)</f>
        <v>0.2655938501160498</v>
      </c>
      <c r="L71" s="3531">
        <f>'All - MECs'!L71*VLOOKUP($B$14,'Annual Parameters'!$B$33:$W$143,3,FALSE)/VLOOKUP('All - MECs'!$B$14,'Annual Parameters'!$B$33:$W$143,3,FALSE)</f>
        <v>0</v>
      </c>
      <c r="M71" s="3532">
        <f>'All - MECs'!M71*VLOOKUP($B$14,'Annual Parameters'!$B$33:$W$143,3,FALSE)/VLOOKUP('All - MECs'!$B$14,'Annual Parameters'!$B$33:$W$143,3,FALSE)</f>
        <v>0</v>
      </c>
      <c r="N71" s="3534">
        <f>'All - MECs'!N71*VLOOKUP($B$14,'Annual Parameters'!$B$33:$W$143,3,FALSE)/VLOOKUP('All - MECs'!$B$14,'Annual Parameters'!$B$33:$W$143,3,FALSE)</f>
        <v>0.1327969250580249</v>
      </c>
      <c r="O71" s="3540">
        <f>'All - MECs'!O71*VLOOKUP($B$14,'Annual Parameters'!$B$33:$W$143,3,FALSE)/VLOOKUP('All - MECs'!$B$14,'Annual Parameters'!$B$33:$W$143,3,FALSE)</f>
        <v>0.15004421308928093</v>
      </c>
      <c r="P71" s="3544"/>
      <c r="Q71" s="3521" t="s">
        <v>1074</v>
      </c>
      <c r="R71" s="3522"/>
      <c r="S71" s="3530" t="s">
        <v>1096</v>
      </c>
      <c r="T71" s="3531">
        <f>'All - MECs'!T71*VLOOKUP($B$14,'Annual Parameters'!$B$33:$W$143,3,FALSE)/VLOOKUP('All - MECs'!$B$14,'Annual Parameters'!$B$33:$W$143,3,FALSE)</f>
        <v>0.2655938501160498</v>
      </c>
      <c r="U71" s="3532">
        <f>'All - MECs'!U71*VLOOKUP($B$14,'Annual Parameters'!$B$33:$W$143,3,FALSE)/VLOOKUP('All - MECs'!$B$14,'Annual Parameters'!$B$33:$W$143,3,FALSE)</f>
        <v>0.2655938501160498</v>
      </c>
      <c r="V71" s="3534">
        <f>'All - MECs'!V71*VLOOKUP($B$14,'Annual Parameters'!$B$33:$W$143,3,FALSE)/VLOOKUP('All - MECs'!$B$14,'Annual Parameters'!$B$33:$W$143,3,FALSE)</f>
        <v>0.2655938501160498</v>
      </c>
      <c r="W71" s="3531">
        <f>'All - MECs'!W71*VLOOKUP($B$14,'Annual Parameters'!$B$33:$W$143,3,FALSE)/VLOOKUP('All - MECs'!$B$14,'Annual Parameters'!$B$33:$W$143,3,FALSE)</f>
        <v>0.2655938501160498</v>
      </c>
      <c r="X71" s="3532">
        <f>'All - MECs'!X71*VLOOKUP($B$14,'Annual Parameters'!$B$33:$W$143,3,FALSE)/VLOOKUP('All - MECs'!$B$14,'Annual Parameters'!$B$33:$W$143,3,FALSE)</f>
        <v>0.2655938501160498</v>
      </c>
      <c r="Y71" s="3534">
        <f>'All - MECs'!Y71*VLOOKUP($B$14,'Annual Parameters'!$B$33:$W$143,3,FALSE)/VLOOKUP('All - MECs'!$B$14,'Annual Parameters'!$B$33:$W$143,3,FALSE)</f>
        <v>0.2655938501160498</v>
      </c>
      <c r="Z71" s="3531">
        <f>'All - MECs'!Z71*VLOOKUP($B$14,'Annual Parameters'!$B$33:$W$143,3,FALSE)/VLOOKUP('All - MECs'!$B$14,'Annual Parameters'!$B$33:$W$143,3,FALSE)</f>
        <v>0.2655938501160498</v>
      </c>
      <c r="AA71" s="3534">
        <f>'All - MECs'!AA71*VLOOKUP($B$14,'Annual Parameters'!$B$33:$W$143,3,FALSE)/VLOOKUP('All - MECs'!$B$14,'Annual Parameters'!$B$33:$W$143,3,FALSE)</f>
        <v>0.2655938501160498</v>
      </c>
      <c r="AB71" s="3531">
        <f>'All - MECs'!AB71*VLOOKUP($B$14,'Annual Parameters'!$B$33:$W$143,3,FALSE)/VLOOKUP('All - MECs'!$B$14,'Annual Parameters'!$B$33:$W$143,3,FALSE)</f>
        <v>0</v>
      </c>
      <c r="AC71" s="3532">
        <f>'All - MECs'!AC71*VLOOKUP($B$14,'Annual Parameters'!$B$33:$W$143,3,FALSE)/VLOOKUP('All - MECs'!$B$14,'Annual Parameters'!$B$33:$W$143,3,FALSE)</f>
        <v>0</v>
      </c>
      <c r="AD71" s="3534">
        <f>'All - MECs'!AD71*VLOOKUP($B$14,'Annual Parameters'!$B$33:$W$143,3,FALSE)/VLOOKUP('All - MECs'!$B$14,'Annual Parameters'!$B$33:$W$143,3,FALSE)</f>
        <v>0.1327969250580249</v>
      </c>
      <c r="AE71" s="3540">
        <f>'All - MECs'!AE71*VLOOKUP($B$14,'Annual Parameters'!$B$33:$W$143,3,FALSE)/VLOOKUP('All - MECs'!$B$14,'Annual Parameters'!$B$33:$W$143,3,FALSE)</f>
        <v>0.14976776464131331</v>
      </c>
      <c r="AF71" s="3544"/>
      <c r="AG71" s="3521" t="s">
        <v>1074</v>
      </c>
      <c r="AH71" s="3522"/>
      <c r="AI71" s="3530" t="s">
        <v>1096</v>
      </c>
      <c r="AJ71" s="3531">
        <f>'All - MECs'!AJ71*VLOOKUP($B$14,'Annual Parameters'!$B$33:$W$143,3,FALSE)/VLOOKUP('All - MECs'!$B$14,'Annual Parameters'!$B$33:$W$143,3,FALSE)</f>
        <v>6.5070493278432204</v>
      </c>
      <c r="AK71" s="3532">
        <f>'All - MECs'!AK71*VLOOKUP($B$14,'Annual Parameters'!$B$33:$W$143,3,FALSE)/VLOOKUP('All - MECs'!$B$14,'Annual Parameters'!$B$33:$W$143,3,FALSE)</f>
        <v>7.8350185784234698</v>
      </c>
      <c r="AL71" s="3534">
        <f>'All - MECs'!AL71*VLOOKUP($B$14,'Annual Parameters'!$B$33:$W$143,3,FALSE)/VLOOKUP('All - MECs'!$B$14,'Annual Parameters'!$B$33:$W$143,3,FALSE)</f>
        <v>9.4285816791197661</v>
      </c>
      <c r="AM71" s="3531">
        <f>'All - MECs'!AM71*VLOOKUP($B$14,'Annual Parameters'!$B$33:$W$143,3,FALSE)/VLOOKUP('All - MECs'!$B$14,'Annual Parameters'!$B$33:$W$143,3,FALSE)</f>
        <v>6.77264317795927</v>
      </c>
      <c r="AN71" s="3532">
        <f>'All - MECs'!AN71*VLOOKUP($B$14,'Annual Parameters'!$B$33:$W$143,3,FALSE)/VLOOKUP('All - MECs'!$B$14,'Annual Parameters'!$B$33:$W$143,3,FALSE)</f>
        <v>6.6398462529012452</v>
      </c>
      <c r="AO71" s="3534">
        <f>'All - MECs'!AO71*VLOOKUP($B$14,'Annual Parameters'!$B$33:$W$143,3,FALSE)/VLOOKUP('All - MECs'!$B$14,'Annual Parameters'!$B$33:$W$143,3,FALSE)</f>
        <v>6.6398462529012452</v>
      </c>
      <c r="AP71" s="3531">
        <f>'All - MECs'!AP71*VLOOKUP($B$14,'Annual Parameters'!$B$33:$W$143,3,FALSE)/VLOOKUP('All - MECs'!$B$14,'Annual Parameters'!$B$33:$W$143,3,FALSE)</f>
        <v>5.8430647025530966</v>
      </c>
      <c r="AQ71" s="3534">
        <f>'All - MECs'!AQ71*VLOOKUP($B$14,'Annual Parameters'!$B$33:$W$143,3,FALSE)/VLOOKUP('All - MECs'!$B$14,'Annual Parameters'!$B$33:$W$143,3,FALSE)</f>
        <v>5.8430647025530966</v>
      </c>
      <c r="AR71" s="3531">
        <f>'All - MECs'!AR71*VLOOKUP($B$14,'Annual Parameters'!$B$33:$W$143,3,FALSE)/VLOOKUP('All - MECs'!$B$14,'Annual Parameters'!$B$33:$W$143,3,FALSE)</f>
        <v>1.1951723255222242</v>
      </c>
      <c r="AS71" s="3532">
        <f>'All - MECs'!AS71*VLOOKUP($B$14,'Annual Parameters'!$B$33:$W$143,3,FALSE)/VLOOKUP('All - MECs'!$B$14,'Annual Parameters'!$B$33:$W$143,3,FALSE)</f>
        <v>1.1951723255222242</v>
      </c>
      <c r="AT71" s="3534">
        <f>'All - MECs'!AT71*VLOOKUP($B$14,'Annual Parameters'!$B$33:$W$143,3,FALSE)/VLOOKUP('All - MECs'!$B$14,'Annual Parameters'!$B$33:$W$143,3,FALSE)</f>
        <v>1.4607661756382742</v>
      </c>
      <c r="AU71" s="3540">
        <f>'All - MECs'!AU71*VLOOKUP($B$14,'Annual Parameters'!$B$33:$W$143,3,FALSE)/VLOOKUP('All - MECs'!$B$14,'Annual Parameters'!$B$33:$W$143,3,FALSE)</f>
        <v>3.2166424178649309</v>
      </c>
      <c r="AV71" s="3544"/>
      <c r="AW71" s="3521" t="s">
        <v>1074</v>
      </c>
      <c r="AX71" s="3522"/>
      <c r="AY71" s="3530" t="s">
        <v>1096</v>
      </c>
      <c r="AZ71" s="3531">
        <f>'All - MECs'!AZ71*VLOOKUP($B$14,'Annual Parameters'!$B$33:$W$143,3,FALSE)/VLOOKUP('All - MECs'!$B$14,'Annual Parameters'!$B$33:$W$143,3,FALSE)</f>
        <v>12.881301730628415</v>
      </c>
      <c r="BA71" s="3532">
        <f>'All - MECs'!BA71*VLOOKUP($B$14,'Annual Parameters'!$B$33:$W$143,3,FALSE)/VLOOKUP('All - MECs'!$B$14,'Annual Parameters'!$B$33:$W$143,3,FALSE)</f>
        <v>15.537240231788912</v>
      </c>
      <c r="BB71" s="3534">
        <f>'All - MECs'!BB71*VLOOKUP($B$14,'Annual Parameters'!$B$33:$W$143,3,FALSE)/VLOOKUP('All - MECs'!$B$14,'Annual Parameters'!$B$33:$W$143,3,FALSE)</f>
        <v>18.857163358239532</v>
      </c>
      <c r="BC71" s="3531">
        <f>'All - MECs'!BC71*VLOOKUP($B$14,'Annual Parameters'!$B$33:$W$143,3,FALSE)/VLOOKUP('All - MECs'!$B$14,'Annual Parameters'!$B$33:$W$143,3,FALSE)</f>
        <v>13.412489430860514</v>
      </c>
      <c r="BD71" s="3532">
        <f>'All - MECs'!BD71*VLOOKUP($B$14,'Annual Parameters'!$B$33:$W$143,3,FALSE)/VLOOKUP('All - MECs'!$B$14,'Annual Parameters'!$B$33:$W$143,3,FALSE)</f>
        <v>13.27969250580249</v>
      </c>
      <c r="BE71" s="3534">
        <f>'All - MECs'!BE71*VLOOKUP($B$14,'Annual Parameters'!$B$33:$W$143,3,FALSE)/VLOOKUP('All - MECs'!$B$14,'Annual Parameters'!$B$33:$W$143,3,FALSE)</f>
        <v>13.27969250580249</v>
      </c>
      <c r="BF71" s="3531">
        <f>'All - MECs'!BF71*VLOOKUP($B$14,'Annual Parameters'!$B$33:$W$143,3,FALSE)/VLOOKUP('All - MECs'!$B$14,'Annual Parameters'!$B$33:$W$143,3,FALSE)</f>
        <v>11.553332480048166</v>
      </c>
      <c r="BG71" s="3534">
        <f>'All - MECs'!BG71*VLOOKUP($B$14,'Annual Parameters'!$B$33:$W$143,3,FALSE)/VLOOKUP('All - MECs'!$B$14,'Annual Parameters'!$B$33:$W$143,3,FALSE)</f>
        <v>11.686129405106193</v>
      </c>
      <c r="BH71" s="3531">
        <f>'All - MECs'!BH71*VLOOKUP($B$14,'Annual Parameters'!$B$33:$W$143,3,FALSE)/VLOOKUP('All - MECs'!$B$14,'Annual Parameters'!$B$33:$W$143,3,FALSE)</f>
        <v>2.3903446510444484</v>
      </c>
      <c r="BI71" s="3532">
        <f>'All - MECs'!BI71*VLOOKUP($B$14,'Annual Parameters'!$B$33:$W$143,3,FALSE)/VLOOKUP('All - MECs'!$B$14,'Annual Parameters'!$B$33:$W$143,3,FALSE)</f>
        <v>2.3903446510444484</v>
      </c>
      <c r="BJ71" s="3534">
        <f>'All - MECs'!BJ71*VLOOKUP($B$14,'Annual Parameters'!$B$33:$W$143,3,FALSE)/VLOOKUP('All - MECs'!$B$14,'Annual Parameters'!$B$33:$W$143,3,FALSE)</f>
        <v>3.0543292763345722</v>
      </c>
      <c r="BK71" s="3540">
        <f>'All - MECs'!BK71*VLOOKUP($B$14,'Annual Parameters'!$B$33:$W$143,3,FALSE)/VLOOKUP('All - MECs'!$B$14,'Annual Parameters'!$B$33:$W$143,3,FALSE)</f>
        <v>5.3510159634924266</v>
      </c>
      <c r="BL71" s="3544"/>
      <c r="BM71" s="3521" t="s">
        <v>1074</v>
      </c>
      <c r="BN71" s="3522"/>
      <c r="BO71" s="3530" t="s">
        <v>1096</v>
      </c>
      <c r="BP71" s="3531">
        <f>'All - MECs'!BP71*VLOOKUP($B$14,'Annual Parameters'!$B$33:$W$143,3,FALSE)/VLOOKUP('All - MECs'!$B$14,'Annual Parameters'!$B$33:$W$143,3,FALSE)</f>
        <v>0</v>
      </c>
      <c r="BQ71" s="3532">
        <f>'All - MECs'!BQ71*VLOOKUP($B$14,'Annual Parameters'!$B$33:$W$143,3,FALSE)/VLOOKUP('All - MECs'!$B$14,'Annual Parameters'!$B$33:$W$143,3,FALSE)</f>
        <v>0</v>
      </c>
      <c r="BR71" s="3534">
        <f>'All - MECs'!BR71*VLOOKUP($B$14,'Annual Parameters'!$B$33:$W$143,3,FALSE)/VLOOKUP('All - MECs'!$B$14,'Annual Parameters'!$B$33:$W$143,3,FALSE)</f>
        <v>0</v>
      </c>
      <c r="BS71" s="3531">
        <f>'All - MECs'!BS71*VLOOKUP($B$14,'Annual Parameters'!$B$33:$W$143,3,FALSE)/VLOOKUP('All - MECs'!$B$14,'Annual Parameters'!$B$33:$W$143,3,FALSE)</f>
        <v>0</v>
      </c>
      <c r="BT71" s="3532">
        <f>'All - MECs'!BT71*VLOOKUP($B$14,'Annual Parameters'!$B$33:$W$143,3,FALSE)/VLOOKUP('All - MECs'!$B$14,'Annual Parameters'!$B$33:$W$143,3,FALSE)</f>
        <v>0</v>
      </c>
      <c r="BU71" s="3534">
        <f>'All - MECs'!BU71*VLOOKUP($B$14,'Annual Parameters'!$B$33:$W$143,3,FALSE)/VLOOKUP('All - MECs'!$B$14,'Annual Parameters'!$B$33:$W$143,3,FALSE)</f>
        <v>0</v>
      </c>
      <c r="BV71" s="3531">
        <f>'All - MECs'!BV71*VLOOKUP($B$14,'Annual Parameters'!$B$33:$W$143,3,FALSE)/VLOOKUP('All - MECs'!$B$14,'Annual Parameters'!$B$33:$W$143,3,FALSE)</f>
        <v>0</v>
      </c>
      <c r="BW71" s="3534">
        <f>'All - MECs'!BW71*VLOOKUP($B$14,'Annual Parameters'!$B$33:$W$143,3,FALSE)/VLOOKUP('All - MECs'!$B$14,'Annual Parameters'!$B$33:$W$143,3,FALSE)</f>
        <v>0</v>
      </c>
      <c r="BX71" s="3531">
        <f>'All - MECs'!BX71*VLOOKUP($B$14,'Annual Parameters'!$B$33:$W$143,3,FALSE)/VLOOKUP('All - MECs'!$B$14,'Annual Parameters'!$B$33:$W$143,3,FALSE)</f>
        <v>0</v>
      </c>
      <c r="BY71" s="3532">
        <f>'All - MECs'!BY71*VLOOKUP($B$14,'Annual Parameters'!$B$33:$W$143,3,FALSE)/VLOOKUP('All - MECs'!$B$14,'Annual Parameters'!$B$33:$W$143,3,FALSE)</f>
        <v>0</v>
      </c>
      <c r="BZ71" s="3534">
        <f>'All - MECs'!BZ71*VLOOKUP($B$14,'Annual Parameters'!$B$33:$W$143,3,FALSE)/VLOOKUP('All - MECs'!$B$14,'Annual Parameters'!$B$33:$W$143,3,FALSE)</f>
        <v>0</v>
      </c>
      <c r="CA71" s="3540">
        <f>'All - MECs'!CA71*VLOOKUP($B$14,'Annual Parameters'!$B$33:$W$143,3,FALSE)/VLOOKUP('All - MECs'!$B$14,'Annual Parameters'!$B$33:$W$143,3,FALSE)</f>
        <v>0</v>
      </c>
    </row>
    <row r="72" spans="1:95" ht="13.5" customHeight="1">
      <c r="A72" s="3521" t="s">
        <v>397</v>
      </c>
      <c r="B72" s="3522"/>
      <c r="C72" s="3530" t="s">
        <v>1096</v>
      </c>
      <c r="D72" s="3531">
        <f>'All - MECs'!D72*VLOOKUP($B$14,'Annual Parameters'!$B$33:$W$143,3,FALSE)/VLOOKUP('All - MECs'!$B$14,'Annual Parameters'!$B$33:$W$143,3,FALSE)</f>
        <v>0.73797961333227424</v>
      </c>
      <c r="E72" s="3532">
        <f>'All - MECs'!E72*VLOOKUP($B$14,'Annual Parameters'!$B$33:$W$143,3,FALSE)/VLOOKUP('All - MECs'!$B$14,'Annual Parameters'!$B$33:$W$143,3,FALSE)</f>
        <v>0.79612839409977876</v>
      </c>
      <c r="F72" s="3537">
        <f>'All - MECs'!F72*VLOOKUP($B$14,'Annual Parameters'!$B$33:$W$143,3,FALSE)/VLOOKUP('All - MECs'!$B$14,'Annual Parameters'!$B$33:$W$143,3,FALSE)</f>
        <v>1.0049986749185118</v>
      </c>
      <c r="G72" s="3531">
        <f>'All - MECs'!G72*VLOOKUP($B$14,'Annual Parameters'!$B$33:$W$143,3,FALSE)/VLOOKUP('All - MECs'!$B$14,'Annual Parameters'!$B$33:$W$143,3,FALSE)</f>
        <v>0.71435705192149523</v>
      </c>
      <c r="H72" s="3532">
        <f>'All - MECs'!H72*VLOOKUP($B$14,'Annual Parameters'!$B$33:$W$143,3,FALSE)/VLOOKUP('All - MECs'!$B$14,'Annual Parameters'!$B$33:$W$143,3,FALSE)</f>
        <v>0.72683143397685768</v>
      </c>
      <c r="I72" s="3537">
        <f>'All - MECs'!I72*VLOOKUP($B$14,'Annual Parameters'!$B$33:$W$143,3,FALSE)/VLOOKUP('All - MECs'!$B$14,'Annual Parameters'!$B$33:$W$143,3,FALSE)</f>
        <v>0.80197991937861535</v>
      </c>
      <c r="J72" s="3531">
        <f>'All - MECs'!J72*VLOOKUP($B$14,'Annual Parameters'!$B$33:$W$143,3,FALSE)/VLOOKUP('All - MECs'!$B$14,'Annual Parameters'!$B$33:$W$143,3,FALSE)</f>
        <v>0.67652322355268457</v>
      </c>
      <c r="K72" s="3537">
        <f>'All - MECs'!K72*VLOOKUP($B$14,'Annual Parameters'!$B$33:$W$143,3,FALSE)/VLOOKUP('All - MECs'!$B$14,'Annual Parameters'!$B$33:$W$143,3,FALSE)</f>
        <v>0.76133734954831522</v>
      </c>
      <c r="L72" s="3531">
        <f>'All - MECs'!L72*VLOOKUP($B$14,'Annual Parameters'!$B$33:$W$143,3,FALSE)/VLOOKUP('All - MECs'!$B$14,'Annual Parameters'!$B$33:$W$143,3,FALSE)</f>
        <v>0.73020791847594457</v>
      </c>
      <c r="M72" s="3532">
        <f>'All - MECs'!M72*VLOOKUP($B$14,'Annual Parameters'!$B$33:$W$143,3,FALSE)/VLOOKUP('All - MECs'!$B$14,'Annual Parameters'!$B$33:$W$143,3,FALSE)</f>
        <v>0.66783737423087464</v>
      </c>
      <c r="N72" s="3537">
        <f>'All - MECs'!N72*VLOOKUP($B$14,'Annual Parameters'!$B$33:$W$143,3,FALSE)/VLOOKUP('All - MECs'!$B$14,'Annual Parameters'!$B$33:$W$143,3,FALSE)</f>
        <v>0.65896306469771648</v>
      </c>
      <c r="O72" s="3539">
        <f>'All - MECs'!O72*VLOOKUP($B$14,'Annual Parameters'!$B$33:$W$143,3,FALSE)/VLOOKUP('All - MECs'!$B$14,'Annual Parameters'!$B$33:$W$143,3,FALSE)</f>
        <v>0.7168560432354556</v>
      </c>
      <c r="P72" s="3544"/>
      <c r="Q72" s="3521" t="s">
        <v>397</v>
      </c>
      <c r="R72" s="3522"/>
      <c r="S72" s="3530" t="s">
        <v>1096</v>
      </c>
      <c r="T72" s="3531">
        <f>'All - MECs'!T72*VLOOKUP($B$14,'Annual Parameters'!$B$33:$W$143,3,FALSE)/VLOOKUP('All - MECs'!$B$14,'Annual Parameters'!$B$33:$W$143,3,FALSE)</f>
        <v>1.2104793927433544</v>
      </c>
      <c r="U72" s="3532">
        <f>'All - MECs'!U72*VLOOKUP($B$14,'Annual Parameters'!$B$33:$W$143,3,FALSE)/VLOOKUP('All - MECs'!$B$14,'Annual Parameters'!$B$33:$W$143,3,FALSE)</f>
        <v>1.0301990088441724</v>
      </c>
      <c r="V72" s="3537">
        <f>'All - MECs'!V72*VLOOKUP($B$14,'Annual Parameters'!$B$33:$W$143,3,FALSE)/VLOOKUP('All - MECs'!$B$14,'Annual Parameters'!$B$33:$W$143,3,FALSE)</f>
        <v>1.3495402385298703</v>
      </c>
      <c r="W72" s="3531">
        <f>'All - MECs'!W72*VLOOKUP($B$14,'Annual Parameters'!$B$33:$W$143,3,FALSE)/VLOOKUP('All - MECs'!$B$14,'Annual Parameters'!$B$33:$W$143,3,FALSE)</f>
        <v>1.1538239355763529</v>
      </c>
      <c r="X72" s="3532">
        <f>'All - MECs'!X72*VLOOKUP($B$14,'Annual Parameters'!$B$33:$W$143,3,FALSE)/VLOOKUP('All - MECs'!$B$14,'Annual Parameters'!$B$33:$W$143,3,FALSE)</f>
        <v>0.9512444100661771</v>
      </c>
      <c r="Y72" s="3537">
        <f>'All - MECs'!Y72*VLOOKUP($B$14,'Annual Parameters'!$B$33:$W$143,3,FALSE)/VLOOKUP('All - MECs'!$B$14,'Annual Parameters'!$B$33:$W$143,3,FALSE)</f>
        <v>1.0159284068735179</v>
      </c>
      <c r="Z72" s="3531">
        <f>'All - MECs'!Z72*VLOOKUP($B$14,'Annual Parameters'!$B$33:$W$143,3,FALSE)/VLOOKUP('All - MECs'!$B$14,'Annual Parameters'!$B$33:$W$143,3,FALSE)</f>
        <v>0.90906624539584757</v>
      </c>
      <c r="AA72" s="3537">
        <f>'All - MECs'!AA72*VLOOKUP($B$14,'Annual Parameters'!$B$33:$W$143,3,FALSE)/VLOOKUP('All - MECs'!$B$14,'Annual Parameters'!$B$33:$W$143,3,FALSE)</f>
        <v>0.95735909179735446</v>
      </c>
      <c r="AB72" s="3531">
        <f>'All - MECs'!AB72*VLOOKUP($B$14,'Annual Parameters'!$B$33:$W$143,3,FALSE)/VLOOKUP('All - MECs'!$B$14,'Annual Parameters'!$B$33:$W$143,3,FALSE)</f>
        <v>1.1962514224855836</v>
      </c>
      <c r="AC72" s="3532">
        <f>'All - MECs'!AC72*VLOOKUP($B$14,'Annual Parameters'!$B$33:$W$143,3,FALSE)/VLOOKUP('All - MECs'!$B$14,'Annual Parameters'!$B$33:$W$143,3,FALSE)</f>
        <v>1.0447295436097173</v>
      </c>
      <c r="AD72" s="3537">
        <f>'All - MECs'!AD72*VLOOKUP($B$14,'Annual Parameters'!$B$33:$W$143,3,FALSE)/VLOOKUP('All - MECs'!$B$14,'Annual Parameters'!$B$33:$W$143,3,FALSE)</f>
        <v>0.92337706138510622</v>
      </c>
      <c r="AE72" s="3539">
        <f>'All - MECs'!AE72*VLOOKUP($B$14,'Annual Parameters'!$B$33:$W$143,3,FALSE)/VLOOKUP('All - MECs'!$B$14,'Annual Parameters'!$B$33:$W$143,3,FALSE)</f>
        <v>1.0223091349402327</v>
      </c>
      <c r="AF72" s="3544"/>
      <c r="AG72" s="3521" t="s">
        <v>397</v>
      </c>
      <c r="AH72" s="3522"/>
      <c r="AI72" s="3530" t="s">
        <v>1096</v>
      </c>
      <c r="AJ72" s="3531">
        <f>'All - MECs'!AJ72*VLOOKUP($B$14,'Annual Parameters'!$B$33:$W$143,3,FALSE)/VLOOKUP('All - MECs'!$B$14,'Annual Parameters'!$B$33:$W$143,3,FALSE)</f>
        <v>3.6280013117304795</v>
      </c>
      <c r="AK72" s="3532">
        <f>'All - MECs'!AK72*VLOOKUP($B$14,'Annual Parameters'!$B$33:$W$143,3,FALSE)/VLOOKUP('All - MECs'!$B$14,'Annual Parameters'!$B$33:$W$143,3,FALSE)</f>
        <v>4.1819042343794655</v>
      </c>
      <c r="AL72" s="3537">
        <f>'All - MECs'!AL72*VLOOKUP($B$14,'Annual Parameters'!$B$33:$W$143,3,FALSE)/VLOOKUP('All - MECs'!$B$14,'Annual Parameters'!$B$33:$W$143,3,FALSE)</f>
        <v>5.2063314602415378</v>
      </c>
      <c r="AM72" s="3531">
        <f>'All - MECs'!AM72*VLOOKUP($B$14,'Annual Parameters'!$B$33:$W$143,3,FALSE)/VLOOKUP('All - MECs'!$B$14,'Annual Parameters'!$B$33:$W$143,3,FALSE)</f>
        <v>3.5793904538437018</v>
      </c>
      <c r="AN72" s="3532">
        <f>'All - MECs'!AN72*VLOOKUP($B$14,'Annual Parameters'!$B$33:$W$143,3,FALSE)/VLOOKUP('All - MECs'!$B$14,'Annual Parameters'!$B$33:$W$143,3,FALSE)</f>
        <v>3.7098426378658447</v>
      </c>
      <c r="AO72" s="3537">
        <f>'All - MECs'!AO72*VLOOKUP($B$14,'Annual Parameters'!$B$33:$W$143,3,FALSE)/VLOOKUP('All - MECs'!$B$14,'Annual Parameters'!$B$33:$W$143,3,FALSE)</f>
        <v>4.2446755483075185</v>
      </c>
      <c r="AP72" s="3531">
        <f>'All - MECs'!AP72*VLOOKUP($B$14,'Annual Parameters'!$B$33:$W$143,3,FALSE)/VLOOKUP('All - MECs'!$B$14,'Annual Parameters'!$B$33:$W$143,3,FALSE)</f>
        <v>3.4403656765664139</v>
      </c>
      <c r="AQ72" s="3537">
        <f>'All - MECs'!AQ72*VLOOKUP($B$14,'Annual Parameters'!$B$33:$W$143,3,FALSE)/VLOOKUP('All - MECs'!$B$14,'Annual Parameters'!$B$33:$W$143,3,FALSE)</f>
        <v>3.9867260726167002</v>
      </c>
      <c r="AR72" s="3531">
        <f>'All - MECs'!AR72*VLOOKUP($B$14,'Annual Parameters'!$B$33:$W$143,3,FALSE)/VLOOKUP('All - MECs'!$B$14,'Annual Parameters'!$B$33:$W$143,3,FALSE)</f>
        <v>3.6207681869374606</v>
      </c>
      <c r="AS72" s="3532">
        <f>'All - MECs'!AS72*VLOOKUP($B$14,'Annual Parameters'!$B$33:$W$143,3,FALSE)/VLOOKUP('All - MECs'!$B$14,'Annual Parameters'!$B$33:$W$143,3,FALSE)</f>
        <v>3.3904480095395018</v>
      </c>
      <c r="AT72" s="3537">
        <f>'All - MECs'!AT72*VLOOKUP($B$14,'Annual Parameters'!$B$33:$W$143,3,FALSE)/VLOOKUP('All - MECs'!$B$14,'Annual Parameters'!$B$33:$W$143,3,FALSE)</f>
        <v>3.3273480204759007</v>
      </c>
      <c r="AU72" s="3539">
        <f>'All - MECs'!AU72*VLOOKUP($B$14,'Annual Parameters'!$B$33:$W$143,3,FALSE)/VLOOKUP('All - MECs'!$B$14,'Annual Parameters'!$B$33:$W$143,3,FALSE)</f>
        <v>3.5854592988260809</v>
      </c>
      <c r="AV72" s="3544"/>
      <c r="AW72" s="3521" t="s">
        <v>397</v>
      </c>
      <c r="AX72" s="3522"/>
      <c r="AY72" s="3530" t="s">
        <v>1096</v>
      </c>
      <c r="AZ72" s="3531">
        <f>'All - MECs'!AZ72*VLOOKUP($B$14,'Annual Parameters'!$B$33:$W$143,3,FALSE)/VLOOKUP('All - MECs'!$B$14,'Annual Parameters'!$B$33:$W$143,3,FALSE)</f>
        <v>4.6306366121957296</v>
      </c>
      <c r="BA72" s="3532">
        <f>'All - MECs'!BA72*VLOOKUP($B$14,'Annual Parameters'!$B$33:$W$143,3,FALSE)/VLOOKUP('All - MECs'!$B$14,'Annual Parameters'!$B$33:$W$143,3,FALSE)</f>
        <v>5.912575263906672</v>
      </c>
      <c r="BB72" s="3537">
        <f>'All - MECs'!BB72*VLOOKUP($B$14,'Annual Parameters'!$B$33:$W$143,3,FALSE)/VLOOKUP('All - MECs'!$B$14,'Annual Parameters'!$B$33:$W$143,3,FALSE)</f>
        <v>7.7289822248469182</v>
      </c>
      <c r="BC72" s="3531">
        <f>'All - MECs'!BC72*VLOOKUP($B$14,'Annual Parameters'!$B$33:$W$143,3,FALSE)/VLOOKUP('All - MECs'!$B$14,'Annual Parameters'!$B$33:$W$143,3,FALSE)</f>
        <v>4.6060232717018499</v>
      </c>
      <c r="BD72" s="3532">
        <f>'All - MECs'!BD72*VLOOKUP($B$14,'Annual Parameters'!$B$33:$W$143,3,FALSE)/VLOOKUP('All - MECs'!$B$14,'Annual Parameters'!$B$33:$W$143,3,FALSE)</f>
        <v>4.9588532078592875</v>
      </c>
      <c r="BE72" s="3537">
        <f>'All - MECs'!BE72*VLOOKUP($B$14,'Annual Parameters'!$B$33:$W$143,3,FALSE)/VLOOKUP('All - MECs'!$B$14,'Annual Parameters'!$B$33:$W$143,3,FALSE)</f>
        <v>6.2032520219427791</v>
      </c>
      <c r="BF72" s="3531">
        <f>'All - MECs'!BF72*VLOOKUP($B$14,'Annual Parameters'!$B$33:$W$143,3,FALSE)/VLOOKUP('All - MECs'!$B$14,'Annual Parameters'!$B$33:$W$143,3,FALSE)</f>
        <v>4.7674351315591394</v>
      </c>
      <c r="BG72" s="3537">
        <f>'All - MECs'!BG72*VLOOKUP($B$14,'Annual Parameters'!$B$33:$W$143,3,FALSE)/VLOOKUP('All - MECs'!$B$14,'Annual Parameters'!$B$33:$W$143,3,FALSE)</f>
        <v>5.8595362080632949</v>
      </c>
      <c r="BH72" s="3531">
        <f>'All - MECs'!BH72*VLOOKUP($B$14,'Annual Parameters'!$B$33:$W$143,3,FALSE)/VLOOKUP('All - MECs'!$B$14,'Annual Parameters'!$B$33:$W$143,3,FALSE)</f>
        <v>4.6258479779383128</v>
      </c>
      <c r="BI72" s="3532">
        <f>'All - MECs'!BI72*VLOOKUP($B$14,'Annual Parameters'!$B$33:$W$143,3,FALSE)/VLOOKUP('All - MECs'!$B$14,'Annual Parameters'!$B$33:$W$143,3,FALSE)</f>
        <v>4.4610420804969015</v>
      </c>
      <c r="BJ72" s="3537">
        <f>'All - MECs'!BJ72*VLOOKUP($B$14,'Annual Parameters'!$B$33:$W$143,3,FALSE)/VLOOKUP('All - MECs'!$B$14,'Annual Parameters'!$B$33:$W$143,3,FALSE)</f>
        <v>4.436567687332249</v>
      </c>
      <c r="BK72" s="3539">
        <f>'All - MECs'!BK72*VLOOKUP($B$14,'Annual Parameters'!$B$33:$W$143,3,FALSE)/VLOOKUP('All - MECs'!$B$14,'Annual Parameters'!$B$33:$W$143,3,FALSE)</f>
        <v>4.6260242123294351</v>
      </c>
      <c r="BL72" s="3544"/>
      <c r="BM72" s="3521" t="s">
        <v>397</v>
      </c>
      <c r="BN72" s="3522"/>
      <c r="BO72" s="3530" t="s">
        <v>1096</v>
      </c>
      <c r="BP72" s="3531">
        <f>'All - MECs'!BP72*VLOOKUP($B$14,'Annual Parameters'!$B$33:$W$143,3,FALSE)/VLOOKUP('All - MECs'!$B$14,'Annual Parameters'!$B$33:$W$143,3,FALSE)</f>
        <v>3.5564433543509826</v>
      </c>
      <c r="BQ72" s="3532">
        <f>'All - MECs'!BQ72*VLOOKUP($B$14,'Annual Parameters'!$B$33:$W$143,3,FALSE)/VLOOKUP('All - MECs'!$B$14,'Annual Parameters'!$B$33:$W$143,3,FALSE)</f>
        <v>3.8136471614385332</v>
      </c>
      <c r="BR72" s="3537">
        <f>'All - MECs'!BR72*VLOOKUP($B$14,'Annual Parameters'!$B$33:$W$143,3,FALSE)/VLOOKUP('All - MECs'!$B$14,'Annual Parameters'!$B$33:$W$143,3,FALSE)</f>
        <v>4.9524451345595324</v>
      </c>
      <c r="BS72" s="3531">
        <f>'All - MECs'!BS72*VLOOKUP($B$14,'Annual Parameters'!$B$33:$W$143,3,FALSE)/VLOOKUP('All - MECs'!$B$14,'Annual Parameters'!$B$33:$W$143,3,FALSE)</f>
        <v>3.5401077316668319</v>
      </c>
      <c r="BT72" s="3532">
        <f>'All - MECs'!BT72*VLOOKUP($B$14,'Annual Parameters'!$B$33:$W$143,3,FALSE)/VLOOKUP('All - MECs'!$B$14,'Annual Parameters'!$B$33:$W$143,3,FALSE)</f>
        <v>3.7761465305802191</v>
      </c>
      <c r="BU72" s="3537">
        <f>'All - MECs'!BU72*VLOOKUP($B$14,'Annual Parameters'!$B$33:$W$143,3,FALSE)/VLOOKUP('All - MECs'!$B$14,'Annual Parameters'!$B$33:$W$143,3,FALSE)</f>
        <v>4.3527020482835228</v>
      </c>
      <c r="BV72" s="3531">
        <f>'All - MECs'!BV72*VLOOKUP($B$14,'Annual Parameters'!$B$33:$W$143,3,FALSE)/VLOOKUP('All - MECs'!$B$14,'Annual Parameters'!$B$33:$W$143,3,FALSE)</f>
        <v>3.2039519527383207</v>
      </c>
      <c r="BW72" s="3537">
        <f>'All - MECs'!BW72*VLOOKUP($B$14,'Annual Parameters'!$B$33:$W$143,3,FALSE)/VLOOKUP('All - MECs'!$B$14,'Annual Parameters'!$B$33:$W$143,3,FALSE)</f>
        <v>3.9386562406899377</v>
      </c>
      <c r="BX72" s="3531">
        <f>'All - MECs'!BX72*VLOOKUP($B$14,'Annual Parameters'!$B$33:$W$143,3,FALSE)/VLOOKUP('All - MECs'!$B$14,'Annual Parameters'!$B$33:$W$143,3,FALSE)</f>
        <v>3.5532144042514471</v>
      </c>
      <c r="BY72" s="3532">
        <f>'All - MECs'!BY72*VLOOKUP($B$14,'Annual Parameters'!$B$33:$W$143,3,FALSE)/VLOOKUP('All - MECs'!$B$14,'Annual Parameters'!$B$33:$W$143,3,FALSE)</f>
        <v>2.9956591791855036</v>
      </c>
      <c r="BZ72" s="3537">
        <f>'All - MECs'!BZ72*VLOOKUP($B$14,'Annual Parameters'!$B$33:$W$143,3,FALSE)/VLOOKUP('All - MECs'!$B$14,'Annual Parameters'!$B$33:$W$143,3,FALSE)</f>
        <v>3.0667912720904642</v>
      </c>
      <c r="CA72" s="3539">
        <f>'All - MECs'!CA72*VLOOKUP($B$14,'Annual Parameters'!$B$33:$W$143,3,FALSE)/VLOOKUP('All - MECs'!$B$14,'Annual Parameters'!$B$33:$W$143,3,FALSE)</f>
        <v>3.6165552100570788</v>
      </c>
    </row>
    <row r="73" spans="1:95" ht="13.5" customHeight="1">
      <c r="A73" s="3521" t="s">
        <v>1098</v>
      </c>
      <c r="B73" s="3493"/>
      <c r="C73" s="3530" t="s">
        <v>1096</v>
      </c>
      <c r="D73" s="3495">
        <f>'All - MECs'!D73*VLOOKUP($B$14,'Annual Parameters'!$B$33:$W$143,3,FALSE)/VLOOKUP('All - MECs'!$B$14,'Annual Parameters'!$B$33:$W$143,3,FALSE)</f>
        <v>-3.3675438518433425</v>
      </c>
      <c r="E73" s="3496">
        <f>'All - MECs'!E73*VLOOKUP($B$14,'Annual Parameters'!$B$33:$W$143,3,FALSE)/VLOOKUP('All - MECs'!$B$14,'Annual Parameters'!$B$33:$W$143,3,FALSE)</f>
        <v>-3.6347237573445015</v>
      </c>
      <c r="F73" s="3496">
        <f>'All - MECs'!F73*VLOOKUP($B$14,'Annual Parameters'!$B$33:$W$143,3,FALSE)/VLOOKUP('All - MECs'!$B$14,'Annual Parameters'!$B$33:$W$143,3,FALSE)</f>
        <v>-4.5944333360247125</v>
      </c>
      <c r="G73" s="3503">
        <f>'All - MECs'!G73*VLOOKUP($B$14,'Annual Parameters'!$B$33:$W$143,3,FALSE)/VLOOKUP('All - MECs'!$B$14,'Annual Parameters'!$B$33:$W$143,3,FALSE)</f>
        <v>-3.2590037648093197</v>
      </c>
      <c r="H73" s="3504">
        <f>'All - MECs'!H73*VLOOKUP($B$14,'Annual Parameters'!$B$33:$W$143,3,FALSE)/VLOOKUP('All - MECs'!$B$14,'Annual Parameters'!$B$33:$W$143,3,FALSE)</f>
        <v>-3.3163206023207206</v>
      </c>
      <c r="I73" s="3501">
        <f>'All - MECs'!I73*VLOOKUP($B$14,'Annual Parameters'!$B$33:$W$143,3,FALSE)/VLOOKUP('All - MECs'!$B$14,'Annual Parameters'!$B$33:$W$143,3,FALSE)</f>
        <v>-3.6616101331274806</v>
      </c>
      <c r="J73" s="3500">
        <f>'All - MECs'!J73*VLOOKUP($B$14,'Annual Parameters'!$B$33:$W$143,3,FALSE)/VLOOKUP('All - MECs'!$B$14,'Annual Parameters'!$B$33:$W$143,3,FALSE)</f>
        <v>-3.0851662646088887</v>
      </c>
      <c r="K73" s="3501">
        <f>'All - MECs'!K73*VLOOKUP($B$14,'Annual Parameters'!$B$33:$W$143,3,FALSE)/VLOOKUP('All - MECs'!$B$14,'Annual Parameters'!$B$33:$W$143,3,FALSE)</f>
        <v>-3.4748671296928819</v>
      </c>
      <c r="L73" s="3495">
        <f>'All - MECs'!L73*VLOOKUP($B$14,'Annual Parameters'!$B$33:$W$143,3,FALSE)/VLOOKUP('All - MECs'!$B$14,'Annual Parameters'!$B$33:$W$143,3,FALSE)</f>
        <v>-3.3318347506396524</v>
      </c>
      <c r="M73" s="3496">
        <f>'All - MECs'!M73*VLOOKUP($B$14,'Annual Parameters'!$B$33:$W$143,3,FALSE)/VLOOKUP('All - MECs'!$B$14,'Annual Parameters'!$B$33:$W$143,3,FALSE)</f>
        <v>-3.0452568396756776</v>
      </c>
      <c r="N73" s="3501">
        <f>'All - MECs'!N73*VLOOKUP($B$14,'Annual Parameters'!$B$33:$W$143,3,FALSE)/VLOOKUP('All - MECs'!$B$14,'Annual Parameters'!$B$33:$W$143,3,FALSE)</f>
        <v>-3.0044814846095527</v>
      </c>
      <c r="O73" s="3502">
        <f>'All - MECs'!O73*VLOOKUP($B$14,'Annual Parameters'!$B$33:$W$143,3,FALSE)/VLOOKUP('All - MECs'!$B$14,'Annual Parameters'!$B$33:$W$143,3,FALSE)</f>
        <v>-3.2704860393179072</v>
      </c>
      <c r="P73" s="3544"/>
      <c r="Q73" s="3521" t="s">
        <v>1098</v>
      </c>
      <c r="R73" s="3493"/>
      <c r="S73" s="3530" t="s">
        <v>1096</v>
      </c>
      <c r="T73" s="3495">
        <f>'All - MECs'!T73*VLOOKUP($B$14,'Annual Parameters'!$B$33:$W$143,3,FALSE)/VLOOKUP('All - MECs'!$B$14,'Annual Parameters'!$B$33:$W$143,3,FALSE)</f>
        <v>-5.4992343786504474</v>
      </c>
      <c r="U73" s="3496">
        <f>'All - MECs'!U73*VLOOKUP($B$14,'Annual Parameters'!$B$33:$W$143,3,FALSE)/VLOOKUP('All - MECs'!$B$14,'Annual Parameters'!$B$33:$W$143,3,FALSE)</f>
        <v>-4.6801254732341144</v>
      </c>
      <c r="V73" s="3496">
        <f>'All - MECs'!V73*VLOOKUP($B$14,'Annual Parameters'!$B$33:$W$143,3,FALSE)/VLOOKUP('All - MECs'!$B$14,'Annual Parameters'!$B$33:$W$143,3,FALSE)</f>
        <v>-6.1310611737506955</v>
      </c>
      <c r="W73" s="3503">
        <f>'All - MECs'!W73*VLOOKUP($B$14,'Annual Parameters'!$B$33:$W$143,3,FALSE)/VLOOKUP('All - MECs'!$B$14,'Annual Parameters'!$B$33:$W$143,3,FALSE)</f>
        <v>-5.2418187436145418</v>
      </c>
      <c r="X73" s="3504">
        <f>'All - MECs'!X73*VLOOKUP($B$14,'Annual Parameters'!$B$33:$W$143,3,FALSE)/VLOOKUP('All - MECs'!$B$14,'Annual Parameters'!$B$33:$W$143,3,FALSE)</f>
        <v>-4.3213930721604861</v>
      </c>
      <c r="Y73" s="3501">
        <f>'All - MECs'!Y73*VLOOKUP($B$14,'Annual Parameters'!$B$33:$W$143,3,FALSE)/VLOOKUP('All - MECs'!$B$14,'Annual Parameters'!$B$33:$W$143,3,FALSE)</f>
        <v>-4.6152865988818634</v>
      </c>
      <c r="Z73" s="3500">
        <f>'All - MECs'!Z73*VLOOKUP($B$14,'Annual Parameters'!$B$33:$W$143,3,FALSE)/VLOOKUP('All - MECs'!$B$14,'Annual Parameters'!$B$33:$W$143,3,FALSE)</f>
        <v>-4.1297554155926806</v>
      </c>
      <c r="AA73" s="3501">
        <f>'All - MECs'!AA73*VLOOKUP($B$14,'Annual Parameters'!$B$33:$W$143,3,FALSE)/VLOOKUP('All - MECs'!$B$14,'Annual Parameters'!$B$33:$W$143,3,FALSE)</f>
        <v>-4.3491752975555391</v>
      </c>
      <c r="AB73" s="3495">
        <f>'All - MECs'!AB73*VLOOKUP($B$14,'Annual Parameters'!$B$33:$W$143,3,FALSE)/VLOOKUP('All - MECs'!$B$14,'Annual Parameters'!$B$33:$W$143,3,FALSE)</f>
        <v>-5.4345892026636013</v>
      </c>
      <c r="AC73" s="3496">
        <f>'All - MECs'!AC73*VLOOKUP($B$14,'Annual Parameters'!$B$33:$W$143,3,FALSE)/VLOOKUP('All - MECs'!$B$14,'Annual Parameters'!$B$33:$W$143,3,FALSE)</f>
        <v>-4.7461453594219298</v>
      </c>
      <c r="AD73" s="3501">
        <f>'All - MECs'!AD73*VLOOKUP($B$14,'Annual Parameters'!$B$33:$W$143,3,FALSE)/VLOOKUP('All - MECs'!$B$14,'Annual Parameters'!$B$33:$W$143,3,FALSE)</f>
        <v>-4.1947770034495795</v>
      </c>
      <c r="AE73" s="3502">
        <f>'All - MECs'!AE73*VLOOKUP($B$14,'Annual Parameters'!$B$33:$W$143,3,FALSE)/VLOOKUP('All - MECs'!$B$14,'Annual Parameters'!$B$33:$W$143,3,FALSE)</f>
        <v>-4.6442776131533261</v>
      </c>
      <c r="AF73" s="3544"/>
      <c r="AG73" s="3521" t="s">
        <v>1098</v>
      </c>
      <c r="AH73" s="3493"/>
      <c r="AI73" s="3530" t="s">
        <v>1096</v>
      </c>
      <c r="AJ73" s="3495">
        <f>'All - MECs'!AJ73*VLOOKUP($B$14,'Annual Parameters'!$B$33:$W$143,3,FALSE)/VLOOKUP('All - MECs'!$B$14,'Annual Parameters'!$B$33:$W$143,3,FALSE)</f>
        <v>-16.453897820101808</v>
      </c>
      <c r="AK73" s="3496">
        <f>'All - MECs'!AK73*VLOOKUP($B$14,'Annual Parameters'!$B$33:$W$143,3,FALSE)/VLOOKUP('All - MECs'!$B$14,'Annual Parameters'!$B$33:$W$143,3,FALSE)</f>
        <v>-18.965986793734253</v>
      </c>
      <c r="AL73" s="3496">
        <f>'All - MECs'!AL73*VLOOKUP($B$14,'Annual Parameters'!$B$33:$W$143,3,FALSE)/VLOOKUP('All - MECs'!$B$14,'Annual Parameters'!$B$33:$W$143,3,FALSE)</f>
        <v>-23.612021745255543</v>
      </c>
      <c r="AM73" s="3503">
        <f>'All - MECs'!AM73*VLOOKUP($B$14,'Annual Parameters'!$B$33:$W$143,3,FALSE)/VLOOKUP('All - MECs'!$B$14,'Annual Parameters'!$B$33:$W$143,3,FALSE)</f>
        <v>-16.233435361604229</v>
      </c>
      <c r="AN73" s="3504">
        <f>'All - MECs'!AN73*VLOOKUP($B$14,'Annual Parameters'!$B$33:$W$143,3,FALSE)/VLOOKUP('All - MECs'!$B$14,'Annual Parameters'!$B$33:$W$143,3,FALSE)</f>
        <v>-16.82506880434013</v>
      </c>
      <c r="AO73" s="3501">
        <f>'All - MECs'!AO73*VLOOKUP($B$14,'Annual Parameters'!$B$33:$W$143,3,FALSE)/VLOOKUP('All - MECs'!$B$14,'Annual Parameters'!$B$33:$W$143,3,FALSE)</f>
        <v>-19.250670479505324</v>
      </c>
      <c r="AP73" s="3500">
        <f>'All - MECs'!AP73*VLOOKUP($B$14,'Annual Parameters'!$B$33:$W$143,3,FALSE)/VLOOKUP('All - MECs'!$B$14,'Annual Parameters'!$B$33:$W$143,3,FALSE)</f>
        <v>-15.602923053798092</v>
      </c>
      <c r="AQ73" s="3501">
        <f>'All - MECs'!AQ73*VLOOKUP($B$14,'Annual Parameters'!$B$33:$W$143,3,FALSE)/VLOOKUP('All - MECs'!$B$14,'Annual Parameters'!$B$33:$W$143,3,FALSE)</f>
        <v>-18.08080477354693</v>
      </c>
      <c r="AR73" s="3495">
        <f>'All - MECs'!AR73*VLOOKUP($B$14,'Annual Parameters'!$B$33:$W$143,3,FALSE)/VLOOKUP('All - MECs'!$B$14,'Annual Parameters'!$B$33:$W$143,3,FALSE)</f>
        <v>-16.421093781172832</v>
      </c>
      <c r="AS73" s="3496">
        <f>'All - MECs'!AS73*VLOOKUP($B$14,'Annual Parameters'!$B$33:$W$143,3,FALSE)/VLOOKUP('All - MECs'!$B$14,'Annual Parameters'!$B$33:$W$143,3,FALSE)</f>
        <v>-15.376533887393155</v>
      </c>
      <c r="AT73" s="3501">
        <f>'All - MECs'!AT73*VLOOKUP($B$14,'Annual Parameters'!$B$33:$W$143,3,FALSE)/VLOOKUP('All - MECs'!$B$14,'Annual Parameters'!$B$33:$W$143,3,FALSE)</f>
        <v>-15.090359577272295</v>
      </c>
      <c r="AU73" s="3502">
        <f>'All - MECs'!AU73*VLOOKUP($B$14,'Annual Parameters'!$B$33:$W$143,3,FALSE)/VLOOKUP('All - MECs'!$B$14,'Annual Parameters'!$B$33:$W$143,3,FALSE)</f>
        <v>-16.260959098958804</v>
      </c>
      <c r="AV73" s="3544"/>
      <c r="AW73" s="3521" t="s">
        <v>1098</v>
      </c>
      <c r="AX73" s="3493"/>
      <c r="AY73" s="3530" t="s">
        <v>1096</v>
      </c>
      <c r="AZ73" s="3495">
        <f>'All - MECs'!AZ73*VLOOKUP($B$14,'Annual Parameters'!$B$33:$W$143,3,FALSE)/VLOOKUP('All - MECs'!$B$14,'Annual Parameters'!$B$33:$W$143,3,FALSE)</f>
        <v>-21.001100912708591</v>
      </c>
      <c r="BA73" s="3496">
        <f>'All - MECs'!BA73*VLOOKUP($B$14,'Annual Parameters'!$B$33:$W$143,3,FALSE)/VLOOKUP('All - MECs'!$B$14,'Annual Parameters'!$B$33:$W$143,3,FALSE)</f>
        <v>-26.815014904054443</v>
      </c>
      <c r="BB73" s="3496">
        <f>'All - MECs'!BB73*VLOOKUP($B$14,'Annual Parameters'!$B$33:$W$143,3,FALSE)/VLOOKUP('All - MECs'!$B$14,'Annual Parameters'!$B$33:$W$143,3,FALSE)</f>
        <v>-35.052877012427551</v>
      </c>
      <c r="BC73" s="3503">
        <f>'All - MECs'!BC73*VLOOKUP($B$14,'Annual Parameters'!$B$33:$W$143,3,FALSE)/VLOOKUP('All - MECs'!$B$14,'Annual Parameters'!$B$33:$W$143,3,FALSE)</f>
        <v>-20.889473227187025</v>
      </c>
      <c r="BD73" s="3504">
        <f>'All - MECs'!BD73*VLOOKUP($B$14,'Annual Parameters'!$B$33:$W$143,3,FALSE)/VLOOKUP('All - MECs'!$B$14,'Annual Parameters'!$B$33:$W$143,3,FALSE)</f>
        <v>-22.489645668866345</v>
      </c>
      <c r="BE73" s="3501">
        <f>'All - MECs'!BE73*VLOOKUP($B$14,'Annual Parameters'!$B$33:$W$143,3,FALSE)/VLOOKUP('All - MECs'!$B$14,'Annual Parameters'!$B$33:$W$143,3,FALSE)</f>
        <v>-28.133307061210054</v>
      </c>
      <c r="BF73" s="3500">
        <f>'All - MECs'!BF73*VLOOKUP($B$14,'Annual Parameters'!$B$33:$W$143,3,FALSE)/VLOOKUP('All - MECs'!$B$14,'Annual Parameters'!$B$33:$W$143,3,FALSE)</f>
        <v>-21.621516581321774</v>
      </c>
      <c r="BG73" s="3501">
        <f>'All - MECs'!BG73*VLOOKUP($B$14,'Annual Parameters'!$B$33:$W$143,3,FALSE)/VLOOKUP('All - MECs'!$B$14,'Annual Parameters'!$B$33:$W$143,3,FALSE)</f>
        <v>-26.574469454828755</v>
      </c>
      <c r="BH73" s="3495">
        <f>'All - MECs'!BH73*VLOOKUP($B$14,'Annual Parameters'!$B$33:$W$143,3,FALSE)/VLOOKUP('All - MECs'!$B$14,'Annual Parameters'!$B$33:$W$143,3,FALSE)</f>
        <v>-20.97938325276326</v>
      </c>
      <c r="BI73" s="3496">
        <f>'All - MECs'!BI73*VLOOKUP($B$14,'Annual Parameters'!$B$33:$W$143,3,FALSE)/VLOOKUP('All - MECs'!$B$14,'Annual Parameters'!$B$33:$W$143,3,FALSE)</f>
        <v>-20.231947085118183</v>
      </c>
      <c r="BJ73" s="3501">
        <f>'All - MECs'!BJ73*VLOOKUP($B$14,'Annual Parameters'!$B$33:$W$143,3,FALSE)/VLOOKUP('All - MECs'!$B$14,'Annual Parameters'!$B$33:$W$143,3,FALSE)</f>
        <v>-20.120949560658048</v>
      </c>
      <c r="BK73" s="3502">
        <f>'All - MECs'!BK73*VLOOKUP($B$14,'Annual Parameters'!$B$33:$W$143,3,FALSE)/VLOOKUP('All - MECs'!$B$14,'Annual Parameters'!$B$33:$W$143,3,FALSE)</f>
        <v>-20.980182520022218</v>
      </c>
      <c r="BL73" s="3544"/>
      <c r="BM73" s="3521" t="s">
        <v>1098</v>
      </c>
      <c r="BN73" s="3493"/>
      <c r="BO73" s="3530" t="s">
        <v>1096</v>
      </c>
      <c r="BP73" s="3495">
        <f>'All - MECs'!BP73*VLOOKUP($B$14,'Annual Parameters'!$B$33:$W$143,3,FALSE)/VLOOKUP('All - MECs'!$B$14,'Annual Parameters'!$B$33:$W$143,3,FALSE)</f>
        <v>-16.129364497820333</v>
      </c>
      <c r="BQ73" s="3496">
        <f>'All - MECs'!BQ73*VLOOKUP($B$14,'Annual Parameters'!$B$33:$W$143,3,FALSE)/VLOOKUP('All - MECs'!$B$14,'Annual Parameters'!$B$33:$W$143,3,FALSE)</f>
        <v>-17.295848409244602</v>
      </c>
      <c r="BR73" s="3496">
        <f>'All - MECs'!BR73*VLOOKUP($B$14,'Annual Parameters'!$B$33:$W$143,3,FALSE)/VLOOKUP('All - MECs'!$B$14,'Annual Parameters'!$B$33:$W$143,3,FALSE)</f>
        <v>-22.46058344582994</v>
      </c>
      <c r="BS73" s="3503">
        <f>'All - MECs'!BS73*VLOOKUP($B$14,'Annual Parameters'!$B$33:$W$143,3,FALSE)/VLOOKUP('All - MECs'!$B$14,'Annual Parameters'!$B$33:$W$143,3,FALSE)</f>
        <v>-16.055278343109286</v>
      </c>
      <c r="BT73" s="3504">
        <f>'All - MECs'!BT73*VLOOKUP($B$14,'Annual Parameters'!$B$33:$W$143,3,FALSE)/VLOOKUP('All - MECs'!$B$14,'Annual Parameters'!$B$33:$W$143,3,FALSE)</f>
        <v>-17.125773622794828</v>
      </c>
      <c r="BU73" s="3501">
        <f>'All - MECs'!BU73*VLOOKUP($B$14,'Annual Parameters'!$B$33:$W$143,3,FALSE)/VLOOKUP('All - MECs'!$B$14,'Annual Parameters'!$B$33:$W$143,3,FALSE)</f>
        <v>-19.7405978085615</v>
      </c>
      <c r="BV73" s="3500">
        <f>'All - MECs'!BV73*VLOOKUP($B$14,'Annual Parameters'!$B$33:$W$143,3,FALSE)/VLOOKUP('All - MECs'!$B$14,'Annual Parameters'!$B$33:$W$143,3,FALSE)</f>
        <v>-14.530727395389745</v>
      </c>
      <c r="BW73" s="3501">
        <f>'All - MECs'!BW73*VLOOKUP($B$14,'Annual Parameters'!$B$33:$W$143,3,FALSE)/VLOOKUP('All - MECs'!$B$14,'Annual Parameters'!$B$33:$W$143,3,FALSE)</f>
        <v>-17.862796003760909</v>
      </c>
      <c r="BX73" s="3495">
        <f>'All - MECs'!BX73*VLOOKUP($B$14,'Annual Parameters'!$B$33:$W$143,3,FALSE)/VLOOKUP('All - MECs'!$B$14,'Annual Parameters'!$B$33:$W$143,3,FALSE)</f>
        <v>-16.114720397546119</v>
      </c>
      <c r="BY73" s="3496">
        <f>'All - MECs'!BY73*VLOOKUP($B$14,'Annual Parameters'!$B$33:$W$143,3,FALSE)/VLOOKUP('All - MECs'!$B$14,'Annual Parameters'!$B$33:$W$143,3,FALSE)</f>
        <v>-13.586067314473471</v>
      </c>
      <c r="BZ73" s="3501">
        <f>'All - MECs'!BZ73*VLOOKUP($B$14,'Annual Parameters'!$B$33:$W$143,3,FALSE)/VLOOKUP('All - MECs'!$B$14,'Annual Parameters'!$B$33:$W$143,3,FALSE)</f>
        <v>-13.908669234325025</v>
      </c>
      <c r="CA73" s="3502">
        <f>'All - MECs'!CA73*VLOOKUP($B$14,'Annual Parameters'!$B$33:$W$143,3,FALSE)/VLOOKUP('All - MECs'!$B$14,'Annual Parameters'!$B$33:$W$143,3,FALSE)</f>
        <v>-16.401986872119597</v>
      </c>
    </row>
    <row r="74" spans="1:95" ht="13.5" customHeight="1" thickBot="1">
      <c r="A74" s="3541" t="s">
        <v>1449</v>
      </c>
      <c r="B74" s="3542"/>
      <c r="C74" s="3554"/>
      <c r="D74" s="3555">
        <f>'All - MECs'!D74*VLOOKUP($B$14,'Annual Parameters'!$B$33:$W$143,3,FALSE)/VLOOKUP('All - MECs'!$B$14,'Annual Parameters'!$B$33:$W$143,3,FALSE)</f>
        <v>-1.3444134660622069</v>
      </c>
      <c r="E74" s="3555">
        <f>'All - MECs'!E74*VLOOKUP($B$14,'Annual Parameters'!$B$33:$W$143,3,FALSE)/VLOOKUP('All - MECs'!$B$14,'Annual Parameters'!$B$33:$W$143,3,FALSE)</f>
        <v>89.469465614129518</v>
      </c>
      <c r="F74" s="3555">
        <f>'All - MECs'!F74*VLOOKUP($B$14,'Annual Parameters'!$B$33:$W$143,3,FALSE)/VLOOKUP('All - MECs'!$B$14,'Annual Parameters'!$B$33:$W$143,3,FALSE)</f>
        <v>55.724160644063844</v>
      </c>
      <c r="G74" s="3556">
        <f>'All - MECs'!G74*VLOOKUP($B$14,'Annual Parameters'!$B$33:$W$143,3,FALSE)/VLOOKUP('All - MECs'!$B$14,'Annual Parameters'!$B$33:$W$143,3,FALSE)</f>
        <v>0.75790385892612466</v>
      </c>
      <c r="H74" s="3555">
        <f>'All - MECs'!H74*VLOOKUP($B$14,'Annual Parameters'!$B$33:$W$143,3,FALSE)/VLOOKUP('All - MECs'!$B$14,'Annual Parameters'!$B$33:$W$143,3,FALSE)</f>
        <v>41.998194811242996</v>
      </c>
      <c r="I74" s="3557">
        <f>'All - MECs'!I74*VLOOKUP($B$14,'Annual Parameters'!$B$33:$W$143,3,FALSE)/VLOOKUP('All - MECs'!$B$14,'Annual Parameters'!$B$33:$W$143,3,FALSE)</f>
        <v>29.835646462971052</v>
      </c>
      <c r="J74" s="3558">
        <f>'All - MECs'!J74*VLOOKUP($B$14,'Annual Parameters'!$B$33:$W$143,3,FALSE)/VLOOKUP('All - MECs'!$B$14,'Annual Parameters'!$B$33:$W$143,3,FALSE)</f>
        <v>18.101022390479237</v>
      </c>
      <c r="K74" s="3559">
        <f>'All - MECs'!K74*VLOOKUP($B$14,'Annual Parameters'!$B$33:$W$143,3,FALSE)/VLOOKUP('All - MECs'!$B$14,'Annual Parameters'!$B$33:$W$143,3,FALSE)</f>
        <v>13.542076349724731</v>
      </c>
      <c r="L74" s="3556">
        <f>'All - MECs'!L74*VLOOKUP($B$14,'Annual Parameters'!$B$33:$W$143,3,FALSE)/VLOOKUP('All - MECs'!$B$14,'Annual Parameters'!$B$33:$W$143,3,FALSE)</f>
        <v>-0.7514532725371752</v>
      </c>
      <c r="M74" s="3555">
        <f>'All - MECs'!M74*VLOOKUP($B$14,'Annual Parameters'!$B$33:$W$143,3,FALSE)/VLOOKUP('All - MECs'!$B$14,'Annual Parameters'!$B$33:$W$143,3,FALSE)</f>
        <v>1.4348427974403801</v>
      </c>
      <c r="N74" s="3557">
        <f>'All - MECs'!N74*VLOOKUP($B$14,'Annual Parameters'!$B$33:$W$143,3,FALSE)/VLOOKUP('All - MECs'!$B$14,'Annual Parameters'!$B$33:$W$143,3,FALSE)</f>
        <v>2.484708704973059</v>
      </c>
      <c r="O74" s="3543">
        <f>'All - MECs'!O74*VLOOKUP($B$14,'Annual Parameters'!$B$33:$W$143,3,FALSE)/VLOOKUP('All - MECs'!$B$14,'Annual Parameters'!$B$33:$W$143,3,FALSE)</f>
        <v>13.764493714238588</v>
      </c>
      <c r="P74" s="3544"/>
      <c r="Q74" s="3541" t="s">
        <v>1449</v>
      </c>
      <c r="R74" s="3542"/>
      <c r="S74" s="3554"/>
      <c r="T74" s="3555">
        <f>'All - MECs'!T74*VLOOKUP($B$14,'Annual Parameters'!$B$33:$W$143,3,FALSE)/VLOOKUP('All - MECs'!$B$14,'Annual Parameters'!$B$33:$W$143,3,FALSE)</f>
        <v>-2.3719260374310913</v>
      </c>
      <c r="U74" s="3555">
        <f>'All - MECs'!U74*VLOOKUP($B$14,'Annual Parameters'!$B$33:$W$143,3,FALSE)/VLOOKUP('All - MECs'!$B$14,'Annual Parameters'!$B$33:$W$143,3,FALSE)</f>
        <v>89.257242474041973</v>
      </c>
      <c r="V74" s="3555">
        <f>'All - MECs'!V74*VLOOKUP($B$14,'Annual Parameters'!$B$33:$W$143,3,FALSE)/VLOOKUP('All - MECs'!$B$14,'Annual Parameters'!$B$33:$W$143,3,FALSE)</f>
        <v>55.350483885197292</v>
      </c>
      <c r="W74" s="3556">
        <f>'All - MECs'!W74*VLOOKUP($B$14,'Annual Parameters'!$B$33:$W$143,3,FALSE)/VLOOKUP('All - MECs'!$B$14,'Annual Parameters'!$B$33:$W$143,3,FALSE)</f>
        <v>-0.51634517451874018</v>
      </c>
      <c r="X74" s="3555">
        <f>'All - MECs'!X74*VLOOKUP($B$14,'Annual Parameters'!$B$33:$W$143,3,FALSE)/VLOOKUP('All - MECs'!$B$14,'Annual Parameters'!$B$33:$W$143,3,FALSE)</f>
        <v>41.424386829422332</v>
      </c>
      <c r="Y74" s="3557">
        <f>'All - MECs'!Y74*VLOOKUP($B$14,'Annual Parameters'!$B$33:$W$143,3,FALSE)/VLOOKUP('All - MECs'!$B$14,'Annual Parameters'!$B$33:$W$143,3,FALSE)</f>
        <v>29.320937217224145</v>
      </c>
      <c r="Z74" s="3558">
        <f>'All - MECs'!Z74*VLOOKUP($B$14,'Annual Parameters'!$B$33:$W$143,3,FALSE)/VLOOKUP('All - MECs'!$B$14,'Annual Parameters'!$B$33:$W$143,3,FALSE)</f>
        <v>17.439078593976959</v>
      </c>
      <c r="AA74" s="3559">
        <f>'All - MECs'!AA74*VLOOKUP($B$14,'Annual Parameters'!$B$33:$W$143,3,FALSE)/VLOOKUP('All - MECs'!$B$14,'Annual Parameters'!$B$33:$W$143,3,FALSE)</f>
        <v>13.022643511559187</v>
      </c>
      <c r="AB74" s="3556">
        <f>'All - MECs'!AB74*VLOOKUP($B$14,'Annual Parameters'!$B$33:$W$143,3,FALSE)/VLOOKUP('All - MECs'!$B$14,'Annual Parameters'!$B$33:$W$143,3,FALSE)</f>
        <v>-2.3081266779127843</v>
      </c>
      <c r="AC74" s="3555">
        <f>'All - MECs'!AC74*VLOOKUP($B$14,'Annual Parameters'!$B$33:$W$143,3,FALSE)/VLOOKUP('All - MECs'!$B$14,'Annual Parameters'!$B$33:$W$143,3,FALSE)</f>
        <v>0.17931367351797256</v>
      </c>
      <c r="AD74" s="3557">
        <f>'All - MECs'!AD74*VLOOKUP($B$14,'Annual Parameters'!$B$33:$W$143,3,FALSE)/VLOOKUP('All - MECs'!$B$14,'Annual Parameters'!$B$33:$W$143,3,FALSE)</f>
        <v>1.611119144984986</v>
      </c>
      <c r="AE74" s="3543">
        <f>'All - MECs'!AE74*VLOOKUP($B$14,'Annual Parameters'!$B$33:$W$143,3,FALSE)/VLOOKUP('All - MECs'!$B$14,'Annual Parameters'!$B$33:$W$143,3,FALSE)</f>
        <v>12.783661261845028</v>
      </c>
      <c r="AF74" s="3544"/>
      <c r="AG74" s="3541" t="s">
        <v>1449</v>
      </c>
      <c r="AH74" s="3542"/>
      <c r="AI74" s="3554"/>
      <c r="AJ74" s="3555">
        <f>'All - MECs'!AJ74*VLOOKUP($B$14,'Annual Parameters'!$B$33:$W$143,3,FALSE)/VLOOKUP('All - MECs'!$B$14,'Annual Parameters'!$B$33:$W$143,3,FALSE)</f>
        <v>-1.6291460119701389</v>
      </c>
      <c r="AK74" s="3555">
        <f>'All - MECs'!AK74*VLOOKUP($B$14,'Annual Parameters'!$B$33:$W$143,3,FALSE)/VLOOKUP('All - MECs'!$B$14,'Annual Parameters'!$B$33:$W$143,3,FALSE)</f>
        <v>172.62853250047814</v>
      </c>
      <c r="AL74" s="3555">
        <f>'All - MECs'!AL74*VLOOKUP($B$14,'Annual Parameters'!$B$33:$W$143,3,FALSE)/VLOOKUP('All - MECs'!$B$14,'Annual Parameters'!$B$33:$W$143,3,FALSE)</f>
        <v>126.82918471722913</v>
      </c>
      <c r="AM74" s="3556">
        <f>'All - MECs'!AM74*VLOOKUP($B$14,'Annual Parameters'!$B$33:$W$143,3,FALSE)/VLOOKUP('All - MECs'!$B$14,'Annual Parameters'!$B$33:$W$143,3,FALSE)</f>
        <v>1.9787924076414498</v>
      </c>
      <c r="AN74" s="3555">
        <f>'All - MECs'!AN74*VLOOKUP($B$14,'Annual Parameters'!$B$33:$W$143,3,FALSE)/VLOOKUP('All - MECs'!$B$14,'Annual Parameters'!$B$33:$W$143,3,FALSE)</f>
        <v>79.369062247935005</v>
      </c>
      <c r="AO74" s="3557">
        <f>'All - MECs'!AO74*VLOOKUP($B$14,'Annual Parameters'!$B$33:$W$143,3,FALSE)/VLOOKUP('All - MECs'!$B$14,'Annual Parameters'!$B$33:$W$143,3,FALSE)</f>
        <v>74.697222242683466</v>
      </c>
      <c r="AP74" s="3558">
        <f>'All - MECs'!AP74*VLOOKUP($B$14,'Annual Parameters'!$B$33:$W$143,3,FALSE)/VLOOKUP('All - MECs'!$B$14,'Annual Parameters'!$B$33:$W$143,3,FALSE)</f>
        <v>33.367238092551759</v>
      </c>
      <c r="AQ74" s="3559">
        <f>'All - MECs'!AQ74*VLOOKUP($B$14,'Annual Parameters'!$B$33:$W$143,3,FALSE)/VLOOKUP('All - MECs'!$B$14,'Annual Parameters'!$B$33:$W$143,3,FALSE)</f>
        <v>43.258018061103073</v>
      </c>
      <c r="AR74" s="3556">
        <f>'All - MECs'!AR74*VLOOKUP($B$14,'Annual Parameters'!$B$33:$W$143,3,FALSE)/VLOOKUP('All - MECs'!$B$14,'Annual Parameters'!$B$33:$W$143,3,FALSE)</f>
        <v>-6.4459217384269634</v>
      </c>
      <c r="AS74" s="3555">
        <f>'All - MECs'!AS74*VLOOKUP($B$14,'Annual Parameters'!$B$33:$W$143,3,FALSE)/VLOOKUP('All - MECs'!$B$14,'Annual Parameters'!$B$33:$W$143,3,FALSE)</f>
        <v>2.7339515230382716</v>
      </c>
      <c r="AT74" s="3557">
        <f>'All - MECs'!AT74*VLOOKUP($B$14,'Annual Parameters'!$B$33:$W$143,3,FALSE)/VLOOKUP('All - MECs'!$B$14,'Annual Parameters'!$B$33:$W$143,3,FALSE)</f>
        <v>25.244584645473289</v>
      </c>
      <c r="AU74" s="3543">
        <f>'All - MECs'!AU74*VLOOKUP($B$14,'Annual Parameters'!$B$33:$W$143,3,FALSE)/VLOOKUP('All - MECs'!$B$14,'Annual Parameters'!$B$33:$W$143,3,FALSE)</f>
        <v>27.873074807487829</v>
      </c>
      <c r="AV74" s="3544"/>
      <c r="AW74" s="3541" t="s">
        <v>1449</v>
      </c>
      <c r="AX74" s="3542"/>
      <c r="AY74" s="3554"/>
      <c r="AZ74" s="3555">
        <f>'All - MECs'!AZ74*VLOOKUP($B$14,'Annual Parameters'!$B$33:$W$143,3,FALSE)/VLOOKUP('All - MECs'!$B$14,'Annual Parameters'!$B$33:$W$143,3,FALSE)</f>
        <v>5.8259022375595286</v>
      </c>
      <c r="BA74" s="3555">
        <f>'All - MECs'!BA74*VLOOKUP($B$14,'Annual Parameters'!$B$33:$W$143,3,FALSE)/VLOOKUP('All - MECs'!$B$14,'Annual Parameters'!$B$33:$W$143,3,FALSE)</f>
        <v>277.46053604116628</v>
      </c>
      <c r="BB74" s="3555">
        <f>'All - MECs'!BB74*VLOOKUP($B$14,'Annual Parameters'!$B$33:$W$143,3,FALSE)/VLOOKUP('All - MECs'!$B$14,'Annual Parameters'!$B$33:$W$143,3,FALSE)</f>
        <v>258.98344629549655</v>
      </c>
      <c r="BC74" s="3556">
        <f>'All - MECs'!BC74*VLOOKUP($B$14,'Annual Parameters'!$B$33:$W$143,3,FALSE)/VLOOKUP('All - MECs'!$B$14,'Annual Parameters'!$B$33:$W$143,3,FALSE)</f>
        <v>11.394283600878236</v>
      </c>
      <c r="BD74" s="3555">
        <f>'All - MECs'!BD74*VLOOKUP($B$14,'Annual Parameters'!$B$33:$W$143,3,FALSE)/VLOOKUP('All - MECs'!$B$14,'Annual Parameters'!$B$33:$W$143,3,FALSE)</f>
        <v>132.87911919183688</v>
      </c>
      <c r="BE74" s="3557">
        <f>'All - MECs'!BE74*VLOOKUP($B$14,'Annual Parameters'!$B$33:$W$143,3,FALSE)/VLOOKUP('All - MECs'!$B$14,'Annual Parameters'!$B$33:$W$143,3,FALSE)</f>
        <v>177.87846489893542</v>
      </c>
      <c r="BF74" s="3558">
        <f>'All - MECs'!BF74*VLOOKUP($B$14,'Annual Parameters'!$B$33:$W$143,3,FALSE)/VLOOKUP('All - MECs'!$B$14,'Annual Parameters'!$B$33:$W$143,3,FALSE)</f>
        <v>61.519257404657139</v>
      </c>
      <c r="BG74" s="3559">
        <f>'All - MECs'!BG74*VLOOKUP($B$14,'Annual Parameters'!$B$33:$W$143,3,FALSE)/VLOOKUP('All - MECs'!$B$14,'Annual Parameters'!$B$33:$W$143,3,FALSE)</f>
        <v>129.37506186412327</v>
      </c>
      <c r="BH74" s="3556">
        <f>'All - MECs'!BH74*VLOOKUP($B$14,'Annual Parameters'!$B$33:$W$143,3,FALSE)/VLOOKUP('All - MECs'!$B$14,'Annual Parameters'!$B$33:$W$143,3,FALSE)</f>
        <v>-3.6870849569162023</v>
      </c>
      <c r="BI74" s="3555">
        <f>'All - MECs'!BI74*VLOOKUP($B$14,'Annual Parameters'!$B$33:$W$143,3,FALSE)/VLOOKUP('All - MECs'!$B$14,'Annual Parameters'!$B$33:$W$143,3,FALSE)</f>
        <v>12.37533073863222</v>
      </c>
      <c r="BJ74" s="3557">
        <f>'All - MECs'!BJ74*VLOOKUP($B$14,'Annual Parameters'!$B$33:$W$143,3,FALSE)/VLOOKUP('All - MECs'!$B$14,'Annual Parameters'!$B$33:$W$143,3,FALSE)</f>
        <v>101.20462741929553</v>
      </c>
      <c r="BK74" s="3543">
        <f>'All - MECs'!BK74*VLOOKUP($B$14,'Annual Parameters'!$B$33:$W$143,3,FALSE)/VLOOKUP('All - MECs'!$B$14,'Annual Parameters'!$B$33:$W$143,3,FALSE)</f>
        <v>42.632880857923183</v>
      </c>
      <c r="BL74" s="3544"/>
      <c r="BM74" s="3541" t="s">
        <v>1449</v>
      </c>
      <c r="BN74" s="3542"/>
      <c r="BO74" s="3554"/>
      <c r="BP74" s="3555">
        <f>'All - MECs'!BP74*VLOOKUP($B$14,'Annual Parameters'!$B$33:$W$143,3,FALSE)/VLOOKUP('All - MECs'!$B$14,'Annual Parameters'!$B$33:$W$143,3,FALSE)</f>
        <v>-6.6881944114946634</v>
      </c>
      <c r="BQ74" s="3555">
        <f>'All - MECs'!BQ74*VLOOKUP($B$14,'Annual Parameters'!$B$33:$W$143,3,FALSE)/VLOOKUP('All - MECs'!$B$14,'Annual Parameters'!$B$33:$W$143,3,FALSE)</f>
        <v>212.55029058193588</v>
      </c>
      <c r="BR74" s="3555">
        <f>'All - MECs'!BR74*VLOOKUP($B$14,'Annual Parameters'!$B$33:$W$143,3,FALSE)/VLOOKUP('All - MECs'!$B$14,'Annual Parameters'!$B$33:$W$143,3,FALSE)</f>
        <v>127.21732139133923</v>
      </c>
      <c r="BS74" s="3556">
        <f>'All - MECs'!BS74*VLOOKUP($B$14,'Annual Parameters'!$B$33:$W$143,3,FALSE)/VLOOKUP('All - MECs'!$B$14,'Annual Parameters'!$B$33:$W$143,3,FALSE)</f>
        <v>-3.1882132647393964</v>
      </c>
      <c r="BT74" s="3555">
        <f>'All - MECs'!BT74*VLOOKUP($B$14,'Annual Parameters'!$B$33:$W$143,3,FALSE)/VLOOKUP('All - MECs'!$B$14,'Annual Parameters'!$B$33:$W$143,3,FALSE)</f>
        <v>89.682378727491724</v>
      </c>
      <c r="BU74" s="3557">
        <f>'All - MECs'!BU74*VLOOKUP($B$14,'Annual Parameters'!$B$33:$W$143,3,FALSE)/VLOOKUP('All - MECs'!$B$14,'Annual Parameters'!$B$33:$W$143,3,FALSE)</f>
        <v>58.313015538630907</v>
      </c>
      <c r="BV74" s="3558">
        <f>'All - MECs'!BV74*VLOOKUP($B$14,'Annual Parameters'!$B$33:$W$143,3,FALSE)/VLOOKUP('All - MECs'!$B$14,'Annual Parameters'!$B$33:$W$143,3,FALSE)</f>
        <v>30.360989193030136</v>
      </c>
      <c r="BW74" s="3559">
        <f>'All - MECs'!BW74*VLOOKUP($B$14,'Annual Parameters'!$B$33:$W$143,3,FALSE)/VLOOKUP('All - MECs'!$B$14,'Annual Parameters'!$B$33:$W$143,3,FALSE)</f>
        <v>17.656868170304261</v>
      </c>
      <c r="BX74" s="3556">
        <f>'All - MECs'!BX74*VLOOKUP($B$14,'Annual Parameters'!$B$33:$W$143,3,FALSE)/VLOOKUP('All - MECs'!$B$14,'Annual Parameters'!$B$33:$W$143,3,FALSE)</f>
        <v>-7.4880701426018534</v>
      </c>
      <c r="BY74" s="3555">
        <f>'All - MECs'!BY74*VLOOKUP($B$14,'Annual Parameters'!$B$33:$W$143,3,FALSE)/VLOOKUP('All - MECs'!$B$14,'Annual Parameters'!$B$33:$W$143,3,FALSE)</f>
        <v>-3.3062583802124674</v>
      </c>
      <c r="BZ74" s="3557">
        <f>'All - MECs'!BZ74*VLOOKUP($B$14,'Annual Parameters'!$B$33:$W$143,3,FALSE)/VLOOKUP('All - MECs'!$B$14,'Annual Parameters'!$B$33:$W$143,3,FALSE)</f>
        <v>-1.3112525108152828</v>
      </c>
      <c r="CA74" s="3543">
        <f>'All - MECs'!CA74*VLOOKUP($B$14,'Annual Parameters'!$B$33:$W$143,3,FALSE)/VLOOKUP('All - MECs'!$B$14,'Annual Parameters'!$B$33:$W$143,3,FALSE)</f>
        <v>24.138045618126856</v>
      </c>
    </row>
    <row r="75" spans="1:95" ht="13.5" customHeight="1" thickTop="1"/>
    <row r="76" spans="1:95" ht="13.5" customHeight="1" thickBot="1"/>
    <row r="77" spans="1:95" ht="13.95" customHeight="1" thickTop="1" thickBot="1">
      <c r="A77" s="3478" t="s">
        <v>2496</v>
      </c>
      <c r="B77" s="3479"/>
      <c r="C77" s="3479"/>
      <c r="D77" s="3480">
        <v>2025</v>
      </c>
      <c r="E77" s="3479" t="s">
        <v>2497</v>
      </c>
      <c r="F77" s="3479"/>
      <c r="G77" s="3479"/>
      <c r="H77" s="3479"/>
      <c r="I77" s="3479"/>
      <c r="J77" s="3479"/>
      <c r="K77" s="3479"/>
      <c r="L77" s="3479"/>
      <c r="M77" s="3479"/>
      <c r="N77" s="3481"/>
      <c r="O77" s="3482"/>
      <c r="P77" s="3544"/>
      <c r="Q77" s="3478" t="s">
        <v>2496</v>
      </c>
      <c r="R77" s="3479"/>
      <c r="S77" s="3479"/>
      <c r="T77" s="3480">
        <v>2025</v>
      </c>
      <c r="U77" s="3479" t="s">
        <v>2498</v>
      </c>
      <c r="V77" s="3479"/>
      <c r="W77" s="3479"/>
      <c r="X77" s="3479"/>
      <c r="Y77" s="3479"/>
      <c r="Z77" s="3479"/>
      <c r="AA77" s="3479"/>
      <c r="AB77" s="3479"/>
      <c r="AC77" s="3479"/>
      <c r="AD77" s="3481"/>
      <c r="AE77" s="3482"/>
      <c r="AF77" s="3544"/>
      <c r="AG77" s="3478" t="s">
        <v>1967</v>
      </c>
      <c r="AH77" s="3479"/>
      <c r="AI77" s="3479"/>
      <c r="AJ77" s="3480">
        <v>2025</v>
      </c>
      <c r="AK77" s="3479" t="s">
        <v>2499</v>
      </c>
      <c r="AL77" s="3479"/>
      <c r="AM77" s="3479"/>
      <c r="AN77" s="3479"/>
      <c r="AO77" s="3479"/>
      <c r="AP77" s="3479"/>
      <c r="AQ77" s="3479"/>
      <c r="AR77" s="3479"/>
      <c r="AS77" s="3479"/>
      <c r="AT77" s="3481"/>
      <c r="AU77" s="3482"/>
      <c r="AV77" s="3544"/>
      <c r="AW77" s="3478" t="s">
        <v>1963</v>
      </c>
      <c r="AX77" s="3479"/>
      <c r="AY77" s="3479"/>
      <c r="AZ77" s="3480">
        <v>2025</v>
      </c>
      <c r="BA77" s="3479" t="s">
        <v>2500</v>
      </c>
      <c r="BB77" s="3479"/>
      <c r="BC77" s="3479"/>
      <c r="BD77" s="3479"/>
      <c r="BE77" s="3479"/>
      <c r="BF77" s="3479"/>
      <c r="BG77" s="3479"/>
      <c r="BH77" s="3479"/>
      <c r="BI77" s="3479"/>
      <c r="BJ77" s="3481"/>
      <c r="BK77" s="3482"/>
      <c r="BL77" s="3544"/>
      <c r="BM77" s="3478" t="s">
        <v>1968</v>
      </c>
      <c r="BN77" s="3479"/>
      <c r="BO77" s="3479"/>
      <c r="BP77" s="3480">
        <v>2025</v>
      </c>
      <c r="BQ77" s="3479" t="s">
        <v>2501</v>
      </c>
      <c r="BR77" s="3479"/>
      <c r="BS77" s="3479"/>
      <c r="BT77" s="3479"/>
      <c r="BU77" s="3479"/>
      <c r="BV77" s="3479"/>
      <c r="BW77" s="3479"/>
      <c r="BX77" s="3479"/>
      <c r="BY77" s="3479"/>
      <c r="BZ77" s="3481"/>
      <c r="CA77" s="3482"/>
    </row>
    <row r="78" spans="1:95" ht="13.5" customHeight="1" thickTop="1">
      <c r="A78" s="3483"/>
      <c r="B78" s="3484"/>
      <c r="C78" s="3851" t="s">
        <v>1130</v>
      </c>
      <c r="D78" s="3855" t="s">
        <v>1487</v>
      </c>
      <c r="E78" s="3856"/>
      <c r="F78" s="3857"/>
      <c r="G78" s="3855" t="s">
        <v>1089</v>
      </c>
      <c r="H78" s="3856"/>
      <c r="I78" s="3857"/>
      <c r="J78" s="3858" t="s">
        <v>1132</v>
      </c>
      <c r="K78" s="3859"/>
      <c r="L78" s="3855" t="s">
        <v>789</v>
      </c>
      <c r="M78" s="3856"/>
      <c r="N78" s="3857"/>
      <c r="O78" s="3853" t="s">
        <v>1090</v>
      </c>
      <c r="P78" s="3544"/>
      <c r="Q78" s="3483"/>
      <c r="R78" s="3484"/>
      <c r="S78" s="3851" t="s">
        <v>1130</v>
      </c>
      <c r="T78" s="3855" t="s">
        <v>1487</v>
      </c>
      <c r="U78" s="3856"/>
      <c r="V78" s="3857"/>
      <c r="W78" s="3855" t="s">
        <v>1089</v>
      </c>
      <c r="X78" s="3856"/>
      <c r="Y78" s="3857"/>
      <c r="Z78" s="3858" t="s">
        <v>1132</v>
      </c>
      <c r="AA78" s="3859"/>
      <c r="AB78" s="3855" t="s">
        <v>789</v>
      </c>
      <c r="AC78" s="3856"/>
      <c r="AD78" s="3857"/>
      <c r="AE78" s="3853" t="s">
        <v>1090</v>
      </c>
      <c r="AF78" s="3544"/>
      <c r="AG78" s="3483"/>
      <c r="AH78" s="3484"/>
      <c r="AI78" s="3851" t="s">
        <v>1130</v>
      </c>
      <c r="AJ78" s="3855" t="s">
        <v>1487</v>
      </c>
      <c r="AK78" s="3856"/>
      <c r="AL78" s="3857"/>
      <c r="AM78" s="3855" t="s">
        <v>1089</v>
      </c>
      <c r="AN78" s="3856"/>
      <c r="AO78" s="3857"/>
      <c r="AP78" s="3858" t="s">
        <v>1132</v>
      </c>
      <c r="AQ78" s="3859"/>
      <c r="AR78" s="3855" t="s">
        <v>789</v>
      </c>
      <c r="AS78" s="3856"/>
      <c r="AT78" s="3857"/>
      <c r="AU78" s="3853" t="s">
        <v>1090</v>
      </c>
      <c r="AV78" s="3544"/>
      <c r="AW78" s="3483"/>
      <c r="AX78" s="3484"/>
      <c r="AY78" s="3851" t="s">
        <v>1130</v>
      </c>
      <c r="AZ78" s="3855" t="s">
        <v>1487</v>
      </c>
      <c r="BA78" s="3856"/>
      <c r="BB78" s="3857"/>
      <c r="BC78" s="3855" t="s">
        <v>1089</v>
      </c>
      <c r="BD78" s="3856"/>
      <c r="BE78" s="3857"/>
      <c r="BF78" s="3858" t="s">
        <v>1132</v>
      </c>
      <c r="BG78" s="3859"/>
      <c r="BH78" s="3855" t="s">
        <v>789</v>
      </c>
      <c r="BI78" s="3856"/>
      <c r="BJ78" s="3857"/>
      <c r="BK78" s="3853" t="s">
        <v>1090</v>
      </c>
      <c r="BL78" s="3544"/>
      <c r="BM78" s="3483"/>
      <c r="BN78" s="3484"/>
      <c r="BO78" s="3851" t="s">
        <v>1130</v>
      </c>
      <c r="BP78" s="3855" t="s">
        <v>1487</v>
      </c>
      <c r="BQ78" s="3856"/>
      <c r="BR78" s="3857"/>
      <c r="BS78" s="3855" t="s">
        <v>1089</v>
      </c>
      <c r="BT78" s="3856"/>
      <c r="BU78" s="3857"/>
      <c r="BV78" s="3858" t="s">
        <v>1132</v>
      </c>
      <c r="BW78" s="3859"/>
      <c r="BX78" s="3855" t="s">
        <v>789</v>
      </c>
      <c r="BY78" s="3856"/>
      <c r="BZ78" s="3857"/>
      <c r="CA78" s="3853" t="s">
        <v>1090</v>
      </c>
      <c r="CB78" s="2898"/>
      <c r="CC78" s="2898"/>
      <c r="CD78" s="2898"/>
      <c r="CE78" s="2898"/>
      <c r="CF78" s="2898"/>
      <c r="CG78" s="2898"/>
      <c r="CH78" s="2898"/>
      <c r="CI78" s="2898"/>
      <c r="CJ78" s="2898"/>
      <c r="CK78" s="2898"/>
      <c r="CL78" s="2898"/>
      <c r="CM78" s="2898"/>
      <c r="CN78" s="2898"/>
      <c r="CO78" s="2898"/>
      <c r="CP78" s="2898"/>
      <c r="CQ78" s="2898"/>
    </row>
    <row r="79" spans="1:95" ht="13.5" customHeight="1" thickBot="1">
      <c r="A79" s="3485" t="s">
        <v>1093</v>
      </c>
      <c r="B79" s="3486"/>
      <c r="C79" s="3852"/>
      <c r="D79" s="3487" t="s">
        <v>1058</v>
      </c>
      <c r="E79" s="3488" t="s">
        <v>1091</v>
      </c>
      <c r="F79" s="3489" t="s">
        <v>1092</v>
      </c>
      <c r="G79" s="3490" t="s">
        <v>1058</v>
      </c>
      <c r="H79" s="3491" t="s">
        <v>1091</v>
      </c>
      <c r="I79" s="3492" t="s">
        <v>1092</v>
      </c>
      <c r="J79" s="3487" t="s">
        <v>1091</v>
      </c>
      <c r="K79" s="3489" t="s">
        <v>1092</v>
      </c>
      <c r="L79" s="3487" t="s">
        <v>1058</v>
      </c>
      <c r="M79" s="3488" t="s">
        <v>1091</v>
      </c>
      <c r="N79" s="3489" t="s">
        <v>1092</v>
      </c>
      <c r="O79" s="3854"/>
      <c r="P79" s="3544"/>
      <c r="Q79" s="3485" t="s">
        <v>1093</v>
      </c>
      <c r="R79" s="3486"/>
      <c r="S79" s="3852"/>
      <c r="T79" s="3487" t="s">
        <v>1058</v>
      </c>
      <c r="U79" s="3488" t="s">
        <v>1091</v>
      </c>
      <c r="V79" s="3489" t="s">
        <v>1092</v>
      </c>
      <c r="W79" s="3490" t="s">
        <v>1058</v>
      </c>
      <c r="X79" s="3491" t="s">
        <v>1091</v>
      </c>
      <c r="Y79" s="3492" t="s">
        <v>1092</v>
      </c>
      <c r="Z79" s="3487" t="s">
        <v>1091</v>
      </c>
      <c r="AA79" s="3489" t="s">
        <v>1092</v>
      </c>
      <c r="AB79" s="3487" t="s">
        <v>1058</v>
      </c>
      <c r="AC79" s="3488" t="s">
        <v>1091</v>
      </c>
      <c r="AD79" s="3489" t="s">
        <v>1092</v>
      </c>
      <c r="AE79" s="3854"/>
      <c r="AF79" s="3544"/>
      <c r="AG79" s="3485" t="s">
        <v>1093</v>
      </c>
      <c r="AH79" s="3486"/>
      <c r="AI79" s="3852"/>
      <c r="AJ79" s="3487" t="s">
        <v>1058</v>
      </c>
      <c r="AK79" s="3488" t="s">
        <v>1091</v>
      </c>
      <c r="AL79" s="3489" t="s">
        <v>1092</v>
      </c>
      <c r="AM79" s="3490" t="s">
        <v>1058</v>
      </c>
      <c r="AN79" s="3491" t="s">
        <v>1091</v>
      </c>
      <c r="AO79" s="3492" t="s">
        <v>1092</v>
      </c>
      <c r="AP79" s="3487" t="s">
        <v>1091</v>
      </c>
      <c r="AQ79" s="3489" t="s">
        <v>1092</v>
      </c>
      <c r="AR79" s="3487" t="s">
        <v>1058</v>
      </c>
      <c r="AS79" s="3488" t="s">
        <v>1091</v>
      </c>
      <c r="AT79" s="3489" t="s">
        <v>1092</v>
      </c>
      <c r="AU79" s="3854"/>
      <c r="AV79" s="3544"/>
      <c r="AW79" s="3485" t="s">
        <v>1093</v>
      </c>
      <c r="AX79" s="3486"/>
      <c r="AY79" s="3852"/>
      <c r="AZ79" s="3487" t="s">
        <v>1058</v>
      </c>
      <c r="BA79" s="3488" t="s">
        <v>1091</v>
      </c>
      <c r="BB79" s="3489" t="s">
        <v>1092</v>
      </c>
      <c r="BC79" s="3490" t="s">
        <v>1058</v>
      </c>
      <c r="BD79" s="3491" t="s">
        <v>1091</v>
      </c>
      <c r="BE79" s="3492" t="s">
        <v>1092</v>
      </c>
      <c r="BF79" s="3487" t="s">
        <v>1091</v>
      </c>
      <c r="BG79" s="3489" t="s">
        <v>1092</v>
      </c>
      <c r="BH79" s="3487" t="s">
        <v>1058</v>
      </c>
      <c r="BI79" s="3488" t="s">
        <v>1091</v>
      </c>
      <c r="BJ79" s="3489" t="s">
        <v>1092</v>
      </c>
      <c r="BK79" s="3854"/>
      <c r="BL79" s="3544"/>
      <c r="BM79" s="3485" t="s">
        <v>1093</v>
      </c>
      <c r="BN79" s="3486"/>
      <c r="BO79" s="3852"/>
      <c r="BP79" s="3487" t="s">
        <v>1058</v>
      </c>
      <c r="BQ79" s="3488" t="s">
        <v>1091</v>
      </c>
      <c r="BR79" s="3489" t="s">
        <v>1092</v>
      </c>
      <c r="BS79" s="3490" t="s">
        <v>1058</v>
      </c>
      <c r="BT79" s="3491" t="s">
        <v>1091</v>
      </c>
      <c r="BU79" s="3492" t="s">
        <v>1092</v>
      </c>
      <c r="BV79" s="3487" t="s">
        <v>1091</v>
      </c>
      <c r="BW79" s="3489" t="s">
        <v>1092</v>
      </c>
      <c r="BX79" s="3487" t="s">
        <v>1058</v>
      </c>
      <c r="BY79" s="3488" t="s">
        <v>1091</v>
      </c>
      <c r="BZ79" s="3489" t="s">
        <v>1092</v>
      </c>
      <c r="CA79" s="3854"/>
    </row>
    <row r="80" spans="1:95" ht="13.5" customHeight="1" thickTop="1">
      <c r="A80" s="3860" t="s">
        <v>1094</v>
      </c>
      <c r="B80" s="3493"/>
      <c r="C80" s="3494">
        <v>1</v>
      </c>
      <c r="D80" s="3495">
        <f>'All - MECs'!D80*VLOOKUP($B$14,'Annual Parameters'!$B$33:$W$143,3,FALSE)/VLOOKUP('All - MECs'!$B$14,'Annual Parameters'!$B$33:$W$143,3,FALSE)</f>
        <v>-4.721018206124904E-3</v>
      </c>
      <c r="E80" s="3496">
        <f>'All - MECs'!E80*VLOOKUP($B$14,'Annual Parameters'!$B$33:$W$143,3,FALSE)/VLOOKUP('All - MECs'!$B$14,'Annual Parameters'!$B$33:$W$143,3,FALSE)</f>
        <v>1.4003274500029521</v>
      </c>
      <c r="F80" s="3496">
        <f>'All - MECs'!F80*VLOOKUP($B$14,'Annual Parameters'!$B$33:$W$143,3,FALSE)/VLOOKUP('All - MECs'!$B$14,'Annual Parameters'!$B$33:$W$143,3,FALSE)</f>
        <v>12.073218561890888</v>
      </c>
      <c r="G80" s="3497">
        <f>'All - MECs'!G80*VLOOKUP($B$14,'Annual Parameters'!$B$33:$W$143,3,FALSE)/VLOOKUP('All - MECs'!$B$14,'Annual Parameters'!$B$33:$W$143,3,FALSE)</f>
        <v>1.0499444937726388E-2</v>
      </c>
      <c r="H80" s="3498">
        <f>'All - MECs'!H80*VLOOKUP($B$14,'Annual Parameters'!$B$33:$W$143,3,FALSE)/VLOOKUP('All - MECs'!$B$14,'Annual Parameters'!$B$33:$W$143,3,FALSE)</f>
        <v>0.88011901009565885</v>
      </c>
      <c r="I80" s="3499">
        <f>'All - MECs'!I80*VLOOKUP($B$14,'Annual Parameters'!$B$33:$W$143,3,FALSE)/VLOOKUP('All - MECs'!$B$14,'Annual Parameters'!$B$33:$W$143,3,FALSE)</f>
        <v>2.2615199910216459</v>
      </c>
      <c r="J80" s="3500">
        <f>'All - MECs'!J80*VLOOKUP($B$14,'Annual Parameters'!$B$33:$W$143,3,FALSE)/VLOOKUP('All - MECs'!$B$14,'Annual Parameters'!$B$33:$W$143,3,FALSE)</f>
        <v>0.55017392690063616</v>
      </c>
      <c r="K80" s="3501">
        <f>'All - MECs'!K80*VLOOKUP($B$14,'Annual Parameters'!$B$33:$W$143,3,FALSE)/VLOOKUP('All - MECs'!$B$14,'Annual Parameters'!$B$33:$W$143,3,FALSE)</f>
        <v>2.262299497267025</v>
      </c>
      <c r="L80" s="3495">
        <f>'All - MECs'!L80*VLOOKUP($B$14,'Annual Parameters'!$B$33:$W$143,3,FALSE)/VLOOKUP('All - MECs'!$B$14,'Annual Parameters'!$B$33:$W$143,3,FALSE)</f>
        <v>-1.4714449987373735E-3</v>
      </c>
      <c r="M80" s="3496">
        <f>'All - MECs'!M80*VLOOKUP($B$14,'Annual Parameters'!$B$33:$W$143,3,FALSE)/VLOOKUP('All - MECs'!$B$14,'Annual Parameters'!$B$33:$W$143,3,FALSE)</f>
        <v>0.41296389272442158</v>
      </c>
      <c r="N80" s="3501">
        <f>'All - MECs'!N80*VLOOKUP($B$14,'Annual Parameters'!$B$33:$W$143,3,FALSE)/VLOOKUP('All - MECs'!$B$14,'Annual Parameters'!$B$33:$W$143,3,FALSE)</f>
        <v>0.19986732258776105</v>
      </c>
      <c r="O80" s="3502">
        <f>'All - MECs'!O80*VLOOKUP($B$14,'Annual Parameters'!$B$33:$W$143,3,FALSE)/VLOOKUP('All - MECs'!$B$14,'Annual Parameters'!$B$33:$W$143,3,FALSE)</f>
        <v>1.1767339058050805</v>
      </c>
      <c r="P80" s="3544"/>
      <c r="Q80" s="3860" t="s">
        <v>1094</v>
      </c>
      <c r="R80" s="3493"/>
      <c r="S80" s="3494">
        <v>1</v>
      </c>
      <c r="T80" s="3495">
        <f>'All - MECs'!T80*VLOOKUP($B$14,'Annual Parameters'!$B$33:$W$143,3,FALSE)/VLOOKUP('All - MECs'!$B$14,'Annual Parameters'!$B$33:$W$143,3,FALSE)</f>
        <v>-4.721018206124904E-3</v>
      </c>
      <c r="U80" s="3496">
        <f>'All - MECs'!U80*VLOOKUP($B$14,'Annual Parameters'!$B$33:$W$143,3,FALSE)/VLOOKUP('All - MECs'!$B$14,'Annual Parameters'!$B$33:$W$143,3,FALSE)</f>
        <v>1.4003274500029521</v>
      </c>
      <c r="V80" s="3496">
        <f>'All - MECs'!V80*VLOOKUP($B$14,'Annual Parameters'!$B$33:$W$143,3,FALSE)/VLOOKUP('All - MECs'!$B$14,'Annual Parameters'!$B$33:$W$143,3,FALSE)</f>
        <v>12.073218561890888</v>
      </c>
      <c r="W80" s="3497">
        <f>'All - MECs'!W80*VLOOKUP($B$14,'Annual Parameters'!$B$33:$W$143,3,FALSE)/VLOOKUP('All - MECs'!$B$14,'Annual Parameters'!$B$33:$W$143,3,FALSE)</f>
        <v>1.0499444937726388E-2</v>
      </c>
      <c r="X80" s="3498">
        <f>'All - MECs'!X80*VLOOKUP($B$14,'Annual Parameters'!$B$33:$W$143,3,FALSE)/VLOOKUP('All - MECs'!$B$14,'Annual Parameters'!$B$33:$W$143,3,FALSE)</f>
        <v>0.88011901009565885</v>
      </c>
      <c r="Y80" s="3499">
        <f>'All - MECs'!Y80*VLOOKUP($B$14,'Annual Parameters'!$B$33:$W$143,3,FALSE)/VLOOKUP('All - MECs'!$B$14,'Annual Parameters'!$B$33:$W$143,3,FALSE)</f>
        <v>2.2615199910216459</v>
      </c>
      <c r="Z80" s="3500">
        <f>'All - MECs'!Z80*VLOOKUP($B$14,'Annual Parameters'!$B$33:$W$143,3,FALSE)/VLOOKUP('All - MECs'!$B$14,'Annual Parameters'!$B$33:$W$143,3,FALSE)</f>
        <v>0.55017392690063616</v>
      </c>
      <c r="AA80" s="3501">
        <f>'All - MECs'!AA80*VLOOKUP($B$14,'Annual Parameters'!$B$33:$W$143,3,FALSE)/VLOOKUP('All - MECs'!$B$14,'Annual Parameters'!$B$33:$W$143,3,FALSE)</f>
        <v>2.262299497267025</v>
      </c>
      <c r="AB80" s="3495">
        <f>'All - MECs'!AB80*VLOOKUP($B$14,'Annual Parameters'!$B$33:$W$143,3,FALSE)/VLOOKUP('All - MECs'!$B$14,'Annual Parameters'!$B$33:$W$143,3,FALSE)</f>
        <v>-1.4714449987373735E-3</v>
      </c>
      <c r="AC80" s="3496">
        <f>'All - MECs'!AC80*VLOOKUP($B$14,'Annual Parameters'!$B$33:$W$143,3,FALSE)/VLOOKUP('All - MECs'!$B$14,'Annual Parameters'!$B$33:$W$143,3,FALSE)</f>
        <v>0.41296389272442158</v>
      </c>
      <c r="AD80" s="3501">
        <f>'All - MECs'!AD80*VLOOKUP($B$14,'Annual Parameters'!$B$33:$W$143,3,FALSE)/VLOOKUP('All - MECs'!$B$14,'Annual Parameters'!$B$33:$W$143,3,FALSE)</f>
        <v>0.19986732258776105</v>
      </c>
      <c r="AE80" s="3502">
        <f>'All - MECs'!AE80*VLOOKUP($B$14,'Annual Parameters'!$B$33:$W$143,3,FALSE)/VLOOKUP('All - MECs'!$B$14,'Annual Parameters'!$B$33:$W$143,3,FALSE)</f>
        <v>1.1767339058050805</v>
      </c>
      <c r="AF80" s="3544"/>
      <c r="AG80" s="3860" t="s">
        <v>1094</v>
      </c>
      <c r="AH80" s="3493"/>
      <c r="AI80" s="3494">
        <v>1</v>
      </c>
      <c r="AJ80" s="3495">
        <f>'All - MECs'!AJ80*VLOOKUP($B$14,'Annual Parameters'!$B$33:$W$143,3,FALSE)/VLOOKUP('All - MECs'!$B$14,'Annual Parameters'!$B$33:$W$143,3,FALSE)</f>
        <v>-8.9699345916373178E-3</v>
      </c>
      <c r="AK80" s="3496">
        <f>'All - MECs'!AK80*VLOOKUP($B$14,'Annual Parameters'!$B$33:$W$143,3,FALSE)/VLOOKUP('All - MECs'!$B$14,'Annual Parameters'!$B$33:$W$143,3,FALSE)</f>
        <v>2.6606221550056093</v>
      </c>
      <c r="AL80" s="3496">
        <f>'All - MECs'!AL80*VLOOKUP($B$14,'Annual Parameters'!$B$33:$W$143,3,FALSE)/VLOOKUP('All - MECs'!$B$14,'Annual Parameters'!$B$33:$W$143,3,FALSE)</f>
        <v>22.939115267592683</v>
      </c>
      <c r="AM80" s="3497">
        <f>'All - MECs'!AM80*VLOOKUP($B$14,'Annual Parameters'!$B$33:$W$143,3,FALSE)/VLOOKUP('All - MECs'!$B$14,'Annual Parameters'!$B$33:$W$143,3,FALSE)</f>
        <v>1.9948945381680135E-2</v>
      </c>
      <c r="AN80" s="3498">
        <f>'All - MECs'!AN80*VLOOKUP($B$14,'Annual Parameters'!$B$33:$W$143,3,FALSE)/VLOOKUP('All - MECs'!$B$14,'Annual Parameters'!$B$33:$W$143,3,FALSE)</f>
        <v>1.672226119181752</v>
      </c>
      <c r="AO80" s="3499">
        <f>'All - MECs'!AO80*VLOOKUP($B$14,'Annual Parameters'!$B$33:$W$143,3,FALSE)/VLOOKUP('All - MECs'!$B$14,'Annual Parameters'!$B$33:$W$143,3,FALSE)</f>
        <v>4.2968879829411266</v>
      </c>
      <c r="AP80" s="3500">
        <f>'All - MECs'!AP80*VLOOKUP($B$14,'Annual Parameters'!$B$33:$W$143,3,FALSE)/VLOOKUP('All - MECs'!$B$14,'Annual Parameters'!$B$33:$W$143,3,FALSE)</f>
        <v>1.0453304611112086</v>
      </c>
      <c r="AQ80" s="3501">
        <f>'All - MECs'!AQ80*VLOOKUP($B$14,'Annual Parameters'!$B$33:$W$143,3,FALSE)/VLOOKUP('All - MECs'!$B$14,'Annual Parameters'!$B$33:$W$143,3,FALSE)</f>
        <v>4.2983690448073473</v>
      </c>
      <c r="AR80" s="3495">
        <f>'All - MECs'!AR80*VLOOKUP($B$14,'Annual Parameters'!$B$33:$W$143,3,FALSE)/VLOOKUP('All - MECs'!$B$14,'Annual Parameters'!$B$33:$W$143,3,FALSE)</f>
        <v>-2.7957454976010095E-3</v>
      </c>
      <c r="AS80" s="3496">
        <f>'All - MECs'!AS80*VLOOKUP($B$14,'Annual Parameters'!$B$33:$W$143,3,FALSE)/VLOOKUP('All - MECs'!$B$14,'Annual Parameters'!$B$33:$W$143,3,FALSE)</f>
        <v>0.78463139617640076</v>
      </c>
      <c r="AT80" s="3501">
        <f>'All - MECs'!AT80*VLOOKUP($B$14,'Annual Parameters'!$B$33:$W$143,3,FALSE)/VLOOKUP('All - MECs'!$B$14,'Annual Parameters'!$B$33:$W$143,3,FALSE)</f>
        <v>0.37974791291674598</v>
      </c>
      <c r="AU80" s="3502">
        <f>'All - MECs'!AU80*VLOOKUP($B$14,'Annual Parameters'!$B$33:$W$143,3,FALSE)/VLOOKUP('All - MECs'!$B$14,'Annual Parameters'!$B$33:$W$143,3,FALSE)</f>
        <v>2.2357944210296528</v>
      </c>
      <c r="AV80" s="3544"/>
      <c r="AW80" s="3860" t="s">
        <v>1094</v>
      </c>
      <c r="AX80" s="3493"/>
      <c r="AY80" s="3494">
        <v>1</v>
      </c>
      <c r="AZ80" s="3495">
        <f>'All - MECs'!AZ80*VLOOKUP($B$14,'Annual Parameters'!$B$33:$W$143,3,FALSE)/VLOOKUP('All - MECs'!$B$14,'Annual Parameters'!$B$33:$W$143,3,FALSE)</f>
        <v>-1.3690952797762222E-2</v>
      </c>
      <c r="BA80" s="3496">
        <f>'All - MECs'!BA80*VLOOKUP($B$14,'Annual Parameters'!$B$33:$W$143,3,FALSE)/VLOOKUP('All - MECs'!$B$14,'Annual Parameters'!$B$33:$W$143,3,FALSE)</f>
        <v>4.0609496050085614</v>
      </c>
      <c r="BB80" s="3496">
        <f>'All - MECs'!BB80*VLOOKUP($B$14,'Annual Parameters'!$B$33:$W$143,3,FALSE)/VLOOKUP('All - MECs'!$B$14,'Annual Parameters'!$B$33:$W$143,3,FALSE)</f>
        <v>35.012333829483566</v>
      </c>
      <c r="BC80" s="3497">
        <f>'All - MECs'!BC80*VLOOKUP($B$14,'Annual Parameters'!$B$33:$W$143,3,FALSE)/VLOOKUP('All - MECs'!$B$14,'Annual Parameters'!$B$33:$W$143,3,FALSE)</f>
        <v>3.0448390319406524E-2</v>
      </c>
      <c r="BD80" s="3498">
        <f>'All - MECs'!BD80*VLOOKUP($B$14,'Annual Parameters'!$B$33:$W$143,3,FALSE)/VLOOKUP('All - MECs'!$B$14,'Annual Parameters'!$B$33:$W$143,3,FALSE)</f>
        <v>2.5523451292774109</v>
      </c>
      <c r="BE80" s="3499">
        <f>'All - MECs'!BE80*VLOOKUP($B$14,'Annual Parameters'!$B$33:$W$143,3,FALSE)/VLOOKUP('All - MECs'!$B$14,'Annual Parameters'!$B$33:$W$143,3,FALSE)</f>
        <v>6.5584079739627725</v>
      </c>
      <c r="BF80" s="3500">
        <f>'All - MECs'!BF80*VLOOKUP($B$14,'Annual Parameters'!$B$33:$W$143,3,FALSE)/VLOOKUP('All - MECs'!$B$14,'Annual Parameters'!$B$33:$W$143,3,FALSE)</f>
        <v>1.5955043880118449</v>
      </c>
      <c r="BG80" s="3501">
        <f>'All - MECs'!BG80*VLOOKUP($B$14,'Annual Parameters'!$B$33:$W$143,3,FALSE)/VLOOKUP('All - MECs'!$B$14,'Annual Parameters'!$B$33:$W$143,3,FALSE)</f>
        <v>6.5606685420743709</v>
      </c>
      <c r="BH80" s="3495">
        <f>'All - MECs'!BH80*VLOOKUP($B$14,'Annual Parameters'!$B$33:$W$143,3,FALSE)/VLOOKUP('All - MECs'!$B$14,'Annual Parameters'!$B$33:$W$143,3,FALSE)</f>
        <v>-4.2671904963383833E-3</v>
      </c>
      <c r="BI80" s="3496">
        <f>'All - MECs'!BI80*VLOOKUP($B$14,'Annual Parameters'!$B$33:$W$143,3,FALSE)/VLOOKUP('All - MECs'!$B$14,'Annual Parameters'!$B$33:$W$143,3,FALSE)</f>
        <v>1.1975952889008223</v>
      </c>
      <c r="BJ80" s="3501">
        <f>'All - MECs'!BJ80*VLOOKUP($B$14,'Annual Parameters'!$B$33:$W$143,3,FALSE)/VLOOKUP('All - MECs'!$B$14,'Annual Parameters'!$B$33:$W$143,3,FALSE)</f>
        <v>0.579615235504507</v>
      </c>
      <c r="BK80" s="3502">
        <f>'All - MECs'!BK80*VLOOKUP($B$14,'Annual Parameters'!$B$33:$W$143,3,FALSE)/VLOOKUP('All - MECs'!$B$14,'Annual Parameters'!$B$33:$W$143,3,FALSE)</f>
        <v>3.4125283268347335</v>
      </c>
      <c r="BL80" s="3544"/>
      <c r="BM80" s="3860" t="s">
        <v>1094</v>
      </c>
      <c r="BN80" s="3493"/>
      <c r="BO80" s="3494">
        <v>1</v>
      </c>
      <c r="BP80" s="3495">
        <f>'All - MECs'!BP80*VLOOKUP($B$14,'Annual Parameters'!$B$33:$W$143,3,FALSE)/VLOOKUP('All - MECs'!$B$14,'Annual Parameters'!$B$33:$W$143,3,FALSE)</f>
        <v>-1.1802545515312259E-2</v>
      </c>
      <c r="BQ80" s="3496">
        <f>'All - MECs'!BQ80*VLOOKUP($B$14,'Annual Parameters'!$B$33:$W$143,3,FALSE)/VLOOKUP('All - MECs'!$B$14,'Annual Parameters'!$B$33:$W$143,3,FALSE)</f>
        <v>3.5008186250073807</v>
      </c>
      <c r="BR80" s="3496">
        <f>'All - MECs'!BR80*VLOOKUP($B$14,'Annual Parameters'!$B$33:$W$143,3,FALSE)/VLOOKUP('All - MECs'!$B$14,'Annual Parameters'!$B$33:$W$143,3,FALSE)</f>
        <v>30.183046404727214</v>
      </c>
      <c r="BS80" s="3497">
        <f>'All - MECs'!BS80*VLOOKUP($B$14,'Annual Parameters'!$B$33:$W$143,3,FALSE)/VLOOKUP('All - MECs'!$B$14,'Annual Parameters'!$B$33:$W$143,3,FALSE)</f>
        <v>2.6248612344315969E-2</v>
      </c>
      <c r="BT80" s="3498">
        <f>'All - MECs'!BT80*VLOOKUP($B$14,'Annual Parameters'!$B$33:$W$143,3,FALSE)/VLOOKUP('All - MECs'!$B$14,'Annual Parameters'!$B$33:$W$143,3,FALSE)</f>
        <v>2.2002975252391472</v>
      </c>
      <c r="BU80" s="3499">
        <f>'All - MECs'!BU80*VLOOKUP($B$14,'Annual Parameters'!$B$33:$W$143,3,FALSE)/VLOOKUP('All - MECs'!$B$14,'Annual Parameters'!$B$33:$W$143,3,FALSE)</f>
        <v>5.6537999775541152</v>
      </c>
      <c r="BV80" s="3500">
        <f>'All - MECs'!BV80*VLOOKUP($B$14,'Annual Parameters'!$B$33:$W$143,3,FALSE)/VLOOKUP('All - MECs'!$B$14,'Annual Parameters'!$B$33:$W$143,3,FALSE)</f>
        <v>1.3754348172515904</v>
      </c>
      <c r="BW80" s="3501">
        <f>'All - MECs'!BW80*VLOOKUP($B$14,'Annual Parameters'!$B$33:$W$143,3,FALSE)/VLOOKUP('All - MECs'!$B$14,'Annual Parameters'!$B$33:$W$143,3,FALSE)</f>
        <v>5.6557487431675622</v>
      </c>
      <c r="BX80" s="3495">
        <f>'All - MECs'!BX80*VLOOKUP($B$14,'Annual Parameters'!$B$33:$W$143,3,FALSE)/VLOOKUP('All - MECs'!$B$14,'Annual Parameters'!$B$33:$W$143,3,FALSE)</f>
        <v>-3.678612496843434E-3</v>
      </c>
      <c r="BY80" s="3496">
        <f>'All - MECs'!BY80*VLOOKUP($B$14,'Annual Parameters'!$B$33:$W$143,3,FALSE)/VLOOKUP('All - MECs'!$B$14,'Annual Parameters'!$B$33:$W$143,3,FALSE)</f>
        <v>1.0324097318110539</v>
      </c>
      <c r="BZ80" s="3501">
        <f>'All - MECs'!BZ80*VLOOKUP($B$14,'Annual Parameters'!$B$33:$W$143,3,FALSE)/VLOOKUP('All - MECs'!$B$14,'Annual Parameters'!$B$33:$W$143,3,FALSE)</f>
        <v>0.49966830646940269</v>
      </c>
      <c r="CA80" s="3502">
        <f>'All - MECs'!CA80*VLOOKUP($B$14,'Annual Parameters'!$B$33:$W$143,3,FALSE)/VLOOKUP('All - MECs'!$B$14,'Annual Parameters'!$B$33:$W$143,3,FALSE)</f>
        <v>2.9418347645127012</v>
      </c>
    </row>
    <row r="81" spans="1:95" ht="13.5" customHeight="1">
      <c r="A81" s="3860"/>
      <c r="B81" s="3493"/>
      <c r="C81" s="3494">
        <v>2</v>
      </c>
      <c r="D81" s="3495">
        <f>'All - MECs'!D81*VLOOKUP($B$14,'Annual Parameters'!$B$33:$W$143,3,FALSE)/VLOOKUP('All - MECs'!$B$14,'Annual Parameters'!$B$33:$W$143,3,FALSE)</f>
        <v>-2.3069682142460306E-3</v>
      </c>
      <c r="E81" s="3496">
        <f>'All - MECs'!E81*VLOOKUP($B$14,'Annual Parameters'!$B$33:$W$143,3,FALSE)/VLOOKUP('All - MECs'!$B$14,'Annual Parameters'!$B$33:$W$143,3,FALSE)</f>
        <v>4.399987595406472</v>
      </c>
      <c r="F81" s="3496">
        <f>'All - MECs'!F81*VLOOKUP($B$14,'Annual Parameters'!$B$33:$W$143,3,FALSE)/VLOOKUP('All - MECs'!$B$14,'Annual Parameters'!$B$33:$W$143,3,FALSE)</f>
        <v>27.486513947919747</v>
      </c>
      <c r="G81" s="3503">
        <f>'All - MECs'!G81*VLOOKUP($B$14,'Annual Parameters'!$B$33:$W$143,3,FALSE)/VLOOKUP('All - MECs'!$B$14,'Annual Parameters'!$B$33:$W$143,3,FALSE)</f>
        <v>3.3588335755088364E-2</v>
      </c>
      <c r="H81" s="3504">
        <f>'All - MECs'!H81*VLOOKUP($B$14,'Annual Parameters'!$B$33:$W$143,3,FALSE)/VLOOKUP('All - MECs'!$B$14,'Annual Parameters'!$B$33:$W$143,3,FALSE)</f>
        <v>3.057676751045932</v>
      </c>
      <c r="I81" s="3501">
        <f>'All - MECs'!I81*VLOOKUP($B$14,'Annual Parameters'!$B$33:$W$143,3,FALSE)/VLOOKUP('All - MECs'!$B$14,'Annual Parameters'!$B$33:$W$143,3,FALSE)</f>
        <v>8.8731442455236333</v>
      </c>
      <c r="J81" s="3500">
        <f>'All - MECs'!J81*VLOOKUP($B$14,'Annual Parameters'!$B$33:$W$143,3,FALSE)/VLOOKUP('All - MECs'!$B$14,'Annual Parameters'!$B$33:$W$143,3,FALSE)</f>
        <v>1.8194825612739125</v>
      </c>
      <c r="K81" s="3501">
        <f>'All - MECs'!K81*VLOOKUP($B$14,'Annual Parameters'!$B$33:$W$143,3,FALSE)/VLOOKUP('All - MECs'!$B$14,'Annual Parameters'!$B$33:$W$143,3,FALSE)</f>
        <v>8.7590039958997785</v>
      </c>
      <c r="L81" s="3495">
        <f>'All - MECs'!L81*VLOOKUP($B$14,'Annual Parameters'!$B$33:$W$143,3,FALSE)/VLOOKUP('All - MECs'!$B$14,'Annual Parameters'!$B$33:$W$143,3,FALSE)</f>
        <v>4.401774689949723E-3</v>
      </c>
      <c r="M81" s="3496">
        <f>'All - MECs'!M81*VLOOKUP($B$14,'Annual Parameters'!$B$33:$W$143,3,FALSE)/VLOOKUP('All - MECs'!$B$14,'Annual Parameters'!$B$33:$W$143,3,FALSE)</f>
        <v>1.2459715181603581</v>
      </c>
      <c r="N81" s="3501">
        <f>'All - MECs'!N81*VLOOKUP($B$14,'Annual Parameters'!$B$33:$W$143,3,FALSE)/VLOOKUP('All - MECs'!$B$14,'Annual Parameters'!$B$33:$W$143,3,FALSE)</f>
        <v>1.6058073312723535</v>
      </c>
      <c r="O81" s="3502">
        <f>'All - MECs'!O81*VLOOKUP($B$14,'Annual Parameters'!$B$33:$W$143,3,FALSE)/VLOOKUP('All - MECs'!$B$14,'Annual Parameters'!$B$33:$W$143,3,FALSE)</f>
        <v>3.1238326613331613</v>
      </c>
      <c r="P81" s="3544"/>
      <c r="Q81" s="3860"/>
      <c r="R81" s="3493"/>
      <c r="S81" s="3494">
        <v>2</v>
      </c>
      <c r="T81" s="3495">
        <f>'All - MECs'!T81*VLOOKUP($B$14,'Annual Parameters'!$B$33:$W$143,3,FALSE)/VLOOKUP('All - MECs'!$B$14,'Annual Parameters'!$B$33:$W$143,3,FALSE)</f>
        <v>-2.3069682142460306E-3</v>
      </c>
      <c r="U81" s="3496">
        <f>'All - MECs'!U81*VLOOKUP($B$14,'Annual Parameters'!$B$33:$W$143,3,FALSE)/VLOOKUP('All - MECs'!$B$14,'Annual Parameters'!$B$33:$W$143,3,FALSE)</f>
        <v>4.399987595406472</v>
      </c>
      <c r="V81" s="3496">
        <f>'All - MECs'!V81*VLOOKUP($B$14,'Annual Parameters'!$B$33:$W$143,3,FALSE)/VLOOKUP('All - MECs'!$B$14,'Annual Parameters'!$B$33:$W$143,3,FALSE)</f>
        <v>27.486513947919747</v>
      </c>
      <c r="W81" s="3503">
        <f>'All - MECs'!W81*VLOOKUP($B$14,'Annual Parameters'!$B$33:$W$143,3,FALSE)/VLOOKUP('All - MECs'!$B$14,'Annual Parameters'!$B$33:$W$143,3,FALSE)</f>
        <v>3.3588335755088364E-2</v>
      </c>
      <c r="X81" s="3504">
        <f>'All - MECs'!X81*VLOOKUP($B$14,'Annual Parameters'!$B$33:$W$143,3,FALSE)/VLOOKUP('All - MECs'!$B$14,'Annual Parameters'!$B$33:$W$143,3,FALSE)</f>
        <v>3.057676751045932</v>
      </c>
      <c r="Y81" s="3501">
        <f>'All - MECs'!Y81*VLOOKUP($B$14,'Annual Parameters'!$B$33:$W$143,3,FALSE)/VLOOKUP('All - MECs'!$B$14,'Annual Parameters'!$B$33:$W$143,3,FALSE)</f>
        <v>8.8731442455236333</v>
      </c>
      <c r="Z81" s="3500">
        <f>'All - MECs'!Z81*VLOOKUP($B$14,'Annual Parameters'!$B$33:$W$143,3,FALSE)/VLOOKUP('All - MECs'!$B$14,'Annual Parameters'!$B$33:$W$143,3,FALSE)</f>
        <v>1.8194825612739125</v>
      </c>
      <c r="AA81" s="3501">
        <f>'All - MECs'!AA81*VLOOKUP($B$14,'Annual Parameters'!$B$33:$W$143,3,FALSE)/VLOOKUP('All - MECs'!$B$14,'Annual Parameters'!$B$33:$W$143,3,FALSE)</f>
        <v>8.7590039958997785</v>
      </c>
      <c r="AB81" s="3495">
        <f>'All - MECs'!AB81*VLOOKUP($B$14,'Annual Parameters'!$B$33:$W$143,3,FALSE)/VLOOKUP('All - MECs'!$B$14,'Annual Parameters'!$B$33:$W$143,3,FALSE)</f>
        <v>4.401774689949723E-3</v>
      </c>
      <c r="AC81" s="3496">
        <f>'All - MECs'!AC81*VLOOKUP($B$14,'Annual Parameters'!$B$33:$W$143,3,FALSE)/VLOOKUP('All - MECs'!$B$14,'Annual Parameters'!$B$33:$W$143,3,FALSE)</f>
        <v>1.2459715181603581</v>
      </c>
      <c r="AD81" s="3501">
        <f>'All - MECs'!AD81*VLOOKUP($B$14,'Annual Parameters'!$B$33:$W$143,3,FALSE)/VLOOKUP('All - MECs'!$B$14,'Annual Parameters'!$B$33:$W$143,3,FALSE)</f>
        <v>1.6058073312723535</v>
      </c>
      <c r="AE81" s="3502">
        <f>'All - MECs'!AE81*VLOOKUP($B$14,'Annual Parameters'!$B$33:$W$143,3,FALSE)/VLOOKUP('All - MECs'!$B$14,'Annual Parameters'!$B$33:$W$143,3,FALSE)</f>
        <v>3.1238326613331613</v>
      </c>
      <c r="AF81" s="3544"/>
      <c r="AG81" s="3860"/>
      <c r="AH81" s="3493"/>
      <c r="AI81" s="3494">
        <v>2</v>
      </c>
      <c r="AJ81" s="3495">
        <f>'All - MECs'!AJ81*VLOOKUP($B$14,'Annual Parameters'!$B$33:$W$143,3,FALSE)/VLOOKUP('All - MECs'!$B$14,'Annual Parameters'!$B$33:$W$143,3,FALSE)</f>
        <v>-4.3832396070674576E-3</v>
      </c>
      <c r="AK81" s="3496">
        <f>'All - MECs'!AK81*VLOOKUP($B$14,'Annual Parameters'!$B$33:$W$143,3,FALSE)/VLOOKUP('All - MECs'!$B$14,'Annual Parameters'!$B$33:$W$143,3,FALSE)</f>
        <v>8.3599764312722957</v>
      </c>
      <c r="AL81" s="3496">
        <f>'All - MECs'!AL81*VLOOKUP($B$14,'Annual Parameters'!$B$33:$W$143,3,FALSE)/VLOOKUP('All - MECs'!$B$14,'Annual Parameters'!$B$33:$W$143,3,FALSE)</f>
        <v>52.224376501047516</v>
      </c>
      <c r="AM81" s="3503">
        <f>'All - MECs'!AM81*VLOOKUP($B$14,'Annual Parameters'!$B$33:$W$143,3,FALSE)/VLOOKUP('All - MECs'!$B$14,'Annual Parameters'!$B$33:$W$143,3,FALSE)</f>
        <v>6.3817837934667887E-2</v>
      </c>
      <c r="AN81" s="3504">
        <f>'All - MECs'!AN81*VLOOKUP($B$14,'Annual Parameters'!$B$33:$W$143,3,FALSE)/VLOOKUP('All - MECs'!$B$14,'Annual Parameters'!$B$33:$W$143,3,FALSE)</f>
        <v>5.80958582698727</v>
      </c>
      <c r="AO81" s="3501">
        <f>'All - MECs'!AO81*VLOOKUP($B$14,'Annual Parameters'!$B$33:$W$143,3,FALSE)/VLOOKUP('All - MECs'!$B$14,'Annual Parameters'!$B$33:$W$143,3,FALSE)</f>
        <v>16.858974066494902</v>
      </c>
      <c r="AP81" s="3500">
        <f>'All - MECs'!AP81*VLOOKUP($B$14,'Annual Parameters'!$B$33:$W$143,3,FALSE)/VLOOKUP('All - MECs'!$B$14,'Annual Parameters'!$B$33:$W$143,3,FALSE)</f>
        <v>3.4570168664204339</v>
      </c>
      <c r="AQ81" s="3501">
        <f>'All - MECs'!AQ81*VLOOKUP($B$14,'Annual Parameters'!$B$33:$W$143,3,FALSE)/VLOOKUP('All - MECs'!$B$14,'Annual Parameters'!$B$33:$W$143,3,FALSE)</f>
        <v>16.642107592209577</v>
      </c>
      <c r="AR81" s="3495">
        <f>'All - MECs'!AR81*VLOOKUP($B$14,'Annual Parameters'!$B$33:$W$143,3,FALSE)/VLOOKUP('All - MECs'!$B$14,'Annual Parameters'!$B$33:$W$143,3,FALSE)</f>
        <v>8.363371910904473E-3</v>
      </c>
      <c r="AS81" s="3496">
        <f>'All - MECs'!AS81*VLOOKUP($B$14,'Annual Parameters'!$B$33:$W$143,3,FALSE)/VLOOKUP('All - MECs'!$B$14,'Annual Parameters'!$B$33:$W$143,3,FALSE)</f>
        <v>2.3673458845046804</v>
      </c>
      <c r="AT81" s="3501">
        <f>'All - MECs'!AT81*VLOOKUP($B$14,'Annual Parameters'!$B$33:$W$143,3,FALSE)/VLOOKUP('All - MECs'!$B$14,'Annual Parameters'!$B$33:$W$143,3,FALSE)</f>
        <v>3.0510339294174726</v>
      </c>
      <c r="AU81" s="3502">
        <f>'All - MECs'!AU81*VLOOKUP($B$14,'Annual Parameters'!$B$33:$W$143,3,FALSE)/VLOOKUP('All - MECs'!$B$14,'Annual Parameters'!$B$33:$W$143,3,FALSE)</f>
        <v>5.9352820565330058</v>
      </c>
      <c r="AV81" s="3544"/>
      <c r="AW81" s="3860"/>
      <c r="AX81" s="3493"/>
      <c r="AY81" s="3494">
        <v>2</v>
      </c>
      <c r="AZ81" s="3495">
        <f>'All - MECs'!AZ81*VLOOKUP($B$14,'Annual Parameters'!$B$33:$W$143,3,FALSE)/VLOOKUP('All - MECs'!$B$14,'Annual Parameters'!$B$33:$W$143,3,FALSE)</f>
        <v>-6.6902078213134887E-3</v>
      </c>
      <c r="BA81" s="3496">
        <f>'All - MECs'!BA81*VLOOKUP($B$14,'Annual Parameters'!$B$33:$W$143,3,FALSE)/VLOOKUP('All - MECs'!$B$14,'Annual Parameters'!$B$33:$W$143,3,FALSE)</f>
        <v>12.759964026678768</v>
      </c>
      <c r="BB81" s="3496">
        <f>'All - MECs'!BB81*VLOOKUP($B$14,'Annual Parameters'!$B$33:$W$143,3,FALSE)/VLOOKUP('All - MECs'!$B$14,'Annual Parameters'!$B$33:$W$143,3,FALSE)</f>
        <v>79.710890448967263</v>
      </c>
      <c r="BC81" s="3503">
        <f>'All - MECs'!BC81*VLOOKUP($B$14,'Annual Parameters'!$B$33:$W$143,3,FALSE)/VLOOKUP('All - MECs'!$B$14,'Annual Parameters'!$B$33:$W$143,3,FALSE)</f>
        <v>9.7406173689756251E-2</v>
      </c>
      <c r="BD81" s="3504">
        <f>'All - MECs'!BD81*VLOOKUP($B$14,'Annual Parameters'!$B$33:$W$143,3,FALSE)/VLOOKUP('All - MECs'!$B$14,'Annual Parameters'!$B$33:$W$143,3,FALSE)</f>
        <v>8.8672625780332019</v>
      </c>
      <c r="BE81" s="3501">
        <f>'All - MECs'!BE81*VLOOKUP($B$14,'Annual Parameters'!$B$33:$W$143,3,FALSE)/VLOOKUP('All - MECs'!$B$14,'Annual Parameters'!$B$33:$W$143,3,FALSE)</f>
        <v>25.732118312018532</v>
      </c>
      <c r="BF81" s="3500">
        <f>'All - MECs'!BF81*VLOOKUP($B$14,'Annual Parameters'!$B$33:$W$143,3,FALSE)/VLOOKUP('All - MECs'!$B$14,'Annual Parameters'!$B$33:$W$143,3,FALSE)</f>
        <v>5.2764994276943469</v>
      </c>
      <c r="BG81" s="3501">
        <f>'All - MECs'!BG81*VLOOKUP($B$14,'Annual Parameters'!$B$33:$W$143,3,FALSE)/VLOOKUP('All - MECs'!$B$14,'Annual Parameters'!$B$33:$W$143,3,FALSE)</f>
        <v>25.401111588109355</v>
      </c>
      <c r="BH81" s="3495">
        <f>'All - MECs'!BH81*VLOOKUP($B$14,'Annual Parameters'!$B$33:$W$143,3,FALSE)/VLOOKUP('All - MECs'!$B$14,'Annual Parameters'!$B$33:$W$143,3,FALSE)</f>
        <v>1.2765146600854196E-2</v>
      </c>
      <c r="BI81" s="3496">
        <f>'All - MECs'!BI81*VLOOKUP($B$14,'Annual Parameters'!$B$33:$W$143,3,FALSE)/VLOOKUP('All - MECs'!$B$14,'Annual Parameters'!$B$33:$W$143,3,FALSE)</f>
        <v>3.6133174026650385</v>
      </c>
      <c r="BJ81" s="3501">
        <f>'All - MECs'!BJ81*VLOOKUP($B$14,'Annual Parameters'!$B$33:$W$143,3,FALSE)/VLOOKUP('All - MECs'!$B$14,'Annual Parameters'!$B$33:$W$143,3,FALSE)</f>
        <v>4.6568412606898262</v>
      </c>
      <c r="BK81" s="3502">
        <f>'All - MECs'!BK81*VLOOKUP($B$14,'Annual Parameters'!$B$33:$W$143,3,FALSE)/VLOOKUP('All - MECs'!$B$14,'Annual Parameters'!$B$33:$W$143,3,FALSE)</f>
        <v>9.0591147178661675</v>
      </c>
      <c r="BL81" s="3544"/>
      <c r="BM81" s="3860"/>
      <c r="BN81" s="3493"/>
      <c r="BO81" s="3494">
        <v>2</v>
      </c>
      <c r="BP81" s="3495">
        <f>'All - MECs'!BP81*VLOOKUP($B$14,'Annual Parameters'!$B$33:$W$143,3,FALSE)/VLOOKUP('All - MECs'!$B$14,'Annual Parameters'!$B$33:$W$143,3,FALSE)</f>
        <v>-5.7674205356150763E-3</v>
      </c>
      <c r="BQ81" s="3496">
        <f>'All - MECs'!BQ81*VLOOKUP($B$14,'Annual Parameters'!$B$33:$W$143,3,FALSE)/VLOOKUP('All - MECs'!$B$14,'Annual Parameters'!$B$33:$W$143,3,FALSE)</f>
        <v>10.99996898851618</v>
      </c>
      <c r="BR81" s="3496">
        <f>'All - MECs'!BR81*VLOOKUP($B$14,'Annual Parameters'!$B$33:$W$143,3,FALSE)/VLOOKUP('All - MECs'!$B$14,'Annual Parameters'!$B$33:$W$143,3,FALSE)</f>
        <v>68.716284869799367</v>
      </c>
      <c r="BS81" s="3503">
        <f>'All - MECs'!BS81*VLOOKUP($B$14,'Annual Parameters'!$B$33:$W$143,3,FALSE)/VLOOKUP('All - MECs'!$B$14,'Annual Parameters'!$B$33:$W$143,3,FALSE)</f>
        <v>8.3970839387720903E-2</v>
      </c>
      <c r="BT81" s="3504">
        <f>'All - MECs'!BT81*VLOOKUP($B$14,'Annual Parameters'!$B$33:$W$143,3,FALSE)/VLOOKUP('All - MECs'!$B$14,'Annual Parameters'!$B$33:$W$143,3,FALSE)</f>
        <v>7.6441918776148308</v>
      </c>
      <c r="BU81" s="3501">
        <f>'All - MECs'!BU81*VLOOKUP($B$14,'Annual Parameters'!$B$33:$W$143,3,FALSE)/VLOOKUP('All - MECs'!$B$14,'Annual Parameters'!$B$33:$W$143,3,FALSE)</f>
        <v>22.182860613809083</v>
      </c>
      <c r="BV81" s="3500">
        <f>'All - MECs'!BV81*VLOOKUP($B$14,'Annual Parameters'!$B$33:$W$143,3,FALSE)/VLOOKUP('All - MECs'!$B$14,'Annual Parameters'!$B$33:$W$143,3,FALSE)</f>
        <v>4.5487064031847817</v>
      </c>
      <c r="BW81" s="3501">
        <f>'All - MECs'!BW81*VLOOKUP($B$14,'Annual Parameters'!$B$33:$W$143,3,FALSE)/VLOOKUP('All - MECs'!$B$14,'Annual Parameters'!$B$33:$W$143,3,FALSE)</f>
        <v>21.897509989749448</v>
      </c>
      <c r="BX81" s="3495">
        <f>'All - MECs'!BX81*VLOOKUP($B$14,'Annual Parameters'!$B$33:$W$143,3,FALSE)/VLOOKUP('All - MECs'!$B$14,'Annual Parameters'!$B$33:$W$143,3,FALSE)</f>
        <v>1.1004436724874308E-2</v>
      </c>
      <c r="BY81" s="3496">
        <f>'All - MECs'!BY81*VLOOKUP($B$14,'Annual Parameters'!$B$33:$W$143,3,FALSE)/VLOOKUP('All - MECs'!$B$14,'Annual Parameters'!$B$33:$W$143,3,FALSE)</f>
        <v>3.1149287954008953</v>
      </c>
      <c r="BZ81" s="3501">
        <f>'All - MECs'!BZ81*VLOOKUP($B$14,'Annual Parameters'!$B$33:$W$143,3,FALSE)/VLOOKUP('All - MECs'!$B$14,'Annual Parameters'!$B$33:$W$143,3,FALSE)</f>
        <v>4.0145183281808841</v>
      </c>
      <c r="CA81" s="3502">
        <f>'All - MECs'!CA81*VLOOKUP($B$14,'Annual Parameters'!$B$33:$W$143,3,FALSE)/VLOOKUP('All - MECs'!$B$14,'Annual Parameters'!$B$33:$W$143,3,FALSE)</f>
        <v>7.8095816533329021</v>
      </c>
    </row>
    <row r="82" spans="1:95" ht="13.5" customHeight="1">
      <c r="A82" s="3860"/>
      <c r="B82" s="3493"/>
      <c r="C82" s="3494">
        <v>3</v>
      </c>
      <c r="D82" s="3495">
        <f>'All - MECs'!D82*VLOOKUP($B$14,'Annual Parameters'!$B$33:$W$143,3,FALSE)/VLOOKUP('All - MECs'!$B$14,'Annual Parameters'!$B$33:$W$143,3,FALSE)</f>
        <v>1.5803020040258104</v>
      </c>
      <c r="E82" s="3496">
        <f>'All - MECs'!E82*VLOOKUP($B$14,'Annual Parameters'!$B$33:$W$143,3,FALSE)/VLOOKUP('All - MECs'!$B$14,'Annual Parameters'!$B$33:$W$143,3,FALSE)</f>
        <v>23.158540285978596</v>
      </c>
      <c r="F82" s="3496">
        <f>'All - MECs'!F82*VLOOKUP($B$14,'Annual Parameters'!$B$33:$W$143,3,FALSE)/VLOOKUP('All - MECs'!$B$14,'Annual Parameters'!$B$33:$W$143,3,FALSE)</f>
        <v>51.643105089844468</v>
      </c>
      <c r="G82" s="3503">
        <f>'All - MECs'!G82*VLOOKUP($B$14,'Annual Parameters'!$B$33:$W$143,3,FALSE)/VLOOKUP('All - MECs'!$B$14,'Annual Parameters'!$B$33:$W$143,3,FALSE)</f>
        <v>2.1575258524657404</v>
      </c>
      <c r="H82" s="3504">
        <f>'All - MECs'!H82*VLOOKUP($B$14,'Annual Parameters'!$B$33:$W$143,3,FALSE)/VLOOKUP('All - MECs'!$B$14,'Annual Parameters'!$B$33:$W$143,3,FALSE)</f>
        <v>24.236967585495098</v>
      </c>
      <c r="I82" s="3501">
        <f>'All - MECs'!I82*VLOOKUP($B$14,'Annual Parameters'!$B$33:$W$143,3,FALSE)/VLOOKUP('All - MECs'!$B$14,'Annual Parameters'!$B$33:$W$143,3,FALSE)</f>
        <v>21.03661811427942</v>
      </c>
      <c r="J82" s="3500">
        <f>'All - MECs'!J82*VLOOKUP($B$14,'Annual Parameters'!$B$33:$W$143,3,FALSE)/VLOOKUP('All - MECs'!$B$14,'Annual Parameters'!$B$33:$W$143,3,FALSE)</f>
        <v>11.678244567903272</v>
      </c>
      <c r="K82" s="3501">
        <f>'All - MECs'!K82*VLOOKUP($B$14,'Annual Parameters'!$B$33:$W$143,3,FALSE)/VLOOKUP('All - MECs'!$B$14,'Annual Parameters'!$B$33:$W$143,3,FALSE)</f>
        <v>18.863037593411299</v>
      </c>
      <c r="L82" s="3495">
        <f>'All - MECs'!L82*VLOOKUP($B$14,'Annual Parameters'!$B$33:$W$143,3,FALSE)/VLOOKUP('All - MECs'!$B$14,'Annual Parameters'!$B$33:$W$143,3,FALSE)</f>
        <v>2.2265394094093813</v>
      </c>
      <c r="M82" s="3496">
        <f>'All - MECs'!M82*VLOOKUP($B$14,'Annual Parameters'!$B$33:$W$143,3,FALSE)/VLOOKUP('All - MECs'!$B$14,'Annual Parameters'!$B$33:$W$143,3,FALSE)</f>
        <v>3.5574217385867013</v>
      </c>
      <c r="N82" s="3501">
        <f>'All - MECs'!N82*VLOOKUP($B$14,'Annual Parameters'!$B$33:$W$143,3,FALSE)/VLOOKUP('All - MECs'!$B$14,'Annual Parameters'!$B$33:$W$143,3,FALSE)</f>
        <v>7.0753773542772151</v>
      </c>
      <c r="O82" s="3502">
        <f>'All - MECs'!O82*VLOOKUP($B$14,'Annual Parameters'!$B$33:$W$143,3,FALSE)/VLOOKUP('All - MECs'!$B$14,'Annual Parameters'!$B$33:$W$143,3,FALSE)</f>
        <v>9.5532564685622496</v>
      </c>
      <c r="P82" s="3544"/>
      <c r="Q82" s="3860"/>
      <c r="R82" s="3493"/>
      <c r="S82" s="3494">
        <v>3</v>
      </c>
      <c r="T82" s="3495">
        <f>'All - MECs'!T82*VLOOKUP($B$14,'Annual Parameters'!$B$33:$W$143,3,FALSE)/VLOOKUP('All - MECs'!$B$14,'Annual Parameters'!$B$33:$W$143,3,FALSE)</f>
        <v>1.5803020040258104</v>
      </c>
      <c r="U82" s="3496">
        <f>'All - MECs'!U82*VLOOKUP($B$14,'Annual Parameters'!$B$33:$W$143,3,FALSE)/VLOOKUP('All - MECs'!$B$14,'Annual Parameters'!$B$33:$W$143,3,FALSE)</f>
        <v>23.158540285978596</v>
      </c>
      <c r="V82" s="3496">
        <f>'All - MECs'!V82*VLOOKUP($B$14,'Annual Parameters'!$B$33:$W$143,3,FALSE)/VLOOKUP('All - MECs'!$B$14,'Annual Parameters'!$B$33:$W$143,3,FALSE)</f>
        <v>51.643105089844468</v>
      </c>
      <c r="W82" s="3503">
        <f>'All - MECs'!W82*VLOOKUP($B$14,'Annual Parameters'!$B$33:$W$143,3,FALSE)/VLOOKUP('All - MECs'!$B$14,'Annual Parameters'!$B$33:$W$143,3,FALSE)</f>
        <v>2.1575258524657404</v>
      </c>
      <c r="X82" s="3504">
        <f>'All - MECs'!X82*VLOOKUP($B$14,'Annual Parameters'!$B$33:$W$143,3,FALSE)/VLOOKUP('All - MECs'!$B$14,'Annual Parameters'!$B$33:$W$143,3,FALSE)</f>
        <v>24.236967585495098</v>
      </c>
      <c r="Y82" s="3501">
        <f>'All - MECs'!Y82*VLOOKUP($B$14,'Annual Parameters'!$B$33:$W$143,3,FALSE)/VLOOKUP('All - MECs'!$B$14,'Annual Parameters'!$B$33:$W$143,3,FALSE)</f>
        <v>21.03661811427942</v>
      </c>
      <c r="Z82" s="3500">
        <f>'All - MECs'!Z82*VLOOKUP($B$14,'Annual Parameters'!$B$33:$W$143,3,FALSE)/VLOOKUP('All - MECs'!$B$14,'Annual Parameters'!$B$33:$W$143,3,FALSE)</f>
        <v>11.678244567903272</v>
      </c>
      <c r="AA82" s="3501">
        <f>'All - MECs'!AA82*VLOOKUP($B$14,'Annual Parameters'!$B$33:$W$143,3,FALSE)/VLOOKUP('All - MECs'!$B$14,'Annual Parameters'!$B$33:$W$143,3,FALSE)</f>
        <v>18.863037593411299</v>
      </c>
      <c r="AB82" s="3495">
        <f>'All - MECs'!AB82*VLOOKUP($B$14,'Annual Parameters'!$B$33:$W$143,3,FALSE)/VLOOKUP('All - MECs'!$B$14,'Annual Parameters'!$B$33:$W$143,3,FALSE)</f>
        <v>2.2265394094093813</v>
      </c>
      <c r="AC82" s="3496">
        <f>'All - MECs'!AC82*VLOOKUP($B$14,'Annual Parameters'!$B$33:$W$143,3,FALSE)/VLOOKUP('All - MECs'!$B$14,'Annual Parameters'!$B$33:$W$143,3,FALSE)</f>
        <v>3.5574217385867013</v>
      </c>
      <c r="AD82" s="3501">
        <f>'All - MECs'!AD82*VLOOKUP($B$14,'Annual Parameters'!$B$33:$W$143,3,FALSE)/VLOOKUP('All - MECs'!$B$14,'Annual Parameters'!$B$33:$W$143,3,FALSE)</f>
        <v>7.0753773542772151</v>
      </c>
      <c r="AE82" s="3502">
        <f>'All - MECs'!AE82*VLOOKUP($B$14,'Annual Parameters'!$B$33:$W$143,3,FALSE)/VLOOKUP('All - MECs'!$B$14,'Annual Parameters'!$B$33:$W$143,3,FALSE)</f>
        <v>9.5532564685622496</v>
      </c>
      <c r="AF82" s="3544"/>
      <c r="AG82" s="3860"/>
      <c r="AH82" s="3493"/>
      <c r="AI82" s="3494">
        <v>3</v>
      </c>
      <c r="AJ82" s="3495">
        <f>'All - MECs'!AJ82*VLOOKUP($B$14,'Annual Parameters'!$B$33:$W$143,3,FALSE)/VLOOKUP('All - MECs'!$B$14,'Annual Parameters'!$B$33:$W$143,3,FALSE)</f>
        <v>3.00257380764904</v>
      </c>
      <c r="AK82" s="3496">
        <f>'All - MECs'!AK82*VLOOKUP($B$14,'Annual Parameters'!$B$33:$W$143,3,FALSE)/VLOOKUP('All - MECs'!$B$14,'Annual Parameters'!$B$33:$W$143,3,FALSE)</f>
        <v>44.001226543359323</v>
      </c>
      <c r="AL82" s="3496">
        <f>'All - MECs'!AL82*VLOOKUP($B$14,'Annual Parameters'!$B$33:$W$143,3,FALSE)/VLOOKUP('All - MECs'!$B$14,'Annual Parameters'!$B$33:$W$143,3,FALSE)</f>
        <v>98.121899670704479</v>
      </c>
      <c r="AM82" s="3503">
        <f>'All - MECs'!AM82*VLOOKUP($B$14,'Annual Parameters'!$B$33:$W$143,3,FALSE)/VLOOKUP('All - MECs'!$B$14,'Annual Parameters'!$B$33:$W$143,3,FALSE)</f>
        <v>4.0992991196849067</v>
      </c>
      <c r="AN82" s="3504">
        <f>'All - MECs'!AN82*VLOOKUP($B$14,'Annual Parameters'!$B$33:$W$143,3,FALSE)/VLOOKUP('All - MECs'!$B$14,'Annual Parameters'!$B$33:$W$143,3,FALSE)</f>
        <v>46.050238412440684</v>
      </c>
      <c r="AO82" s="3501">
        <f>'All - MECs'!AO82*VLOOKUP($B$14,'Annual Parameters'!$B$33:$W$143,3,FALSE)/VLOOKUP('All - MECs'!$B$14,'Annual Parameters'!$B$33:$W$143,3,FALSE)</f>
        <v>39.9695744171309</v>
      </c>
      <c r="AP82" s="3500">
        <f>'All - MECs'!AP82*VLOOKUP($B$14,'Annual Parameters'!$B$33:$W$143,3,FALSE)/VLOOKUP('All - MECs'!$B$14,'Annual Parameters'!$B$33:$W$143,3,FALSE)</f>
        <v>22.188664679016213</v>
      </c>
      <c r="AQ82" s="3501">
        <f>'All - MECs'!AQ82*VLOOKUP($B$14,'Annual Parameters'!$B$33:$W$143,3,FALSE)/VLOOKUP('All - MECs'!$B$14,'Annual Parameters'!$B$33:$W$143,3,FALSE)</f>
        <v>35.839771427481466</v>
      </c>
      <c r="AR82" s="3495">
        <f>'All - MECs'!AR82*VLOOKUP($B$14,'Annual Parameters'!$B$33:$W$143,3,FALSE)/VLOOKUP('All - MECs'!$B$14,'Annual Parameters'!$B$33:$W$143,3,FALSE)</f>
        <v>4.230424877877824</v>
      </c>
      <c r="AS82" s="3496">
        <f>'All - MECs'!AS82*VLOOKUP($B$14,'Annual Parameters'!$B$33:$W$143,3,FALSE)/VLOOKUP('All - MECs'!$B$14,'Annual Parameters'!$B$33:$W$143,3,FALSE)</f>
        <v>6.7591013033147318</v>
      </c>
      <c r="AT82" s="3501">
        <f>'All - MECs'!AT82*VLOOKUP($B$14,'Annual Parameters'!$B$33:$W$143,3,FALSE)/VLOOKUP('All - MECs'!$B$14,'Annual Parameters'!$B$33:$W$143,3,FALSE)</f>
        <v>13.443216973126708</v>
      </c>
      <c r="AU82" s="3502">
        <f>'All - MECs'!AU82*VLOOKUP($B$14,'Annual Parameters'!$B$33:$W$143,3,FALSE)/VLOOKUP('All - MECs'!$B$14,'Annual Parameters'!$B$33:$W$143,3,FALSE)</f>
        <v>18.151187290268272</v>
      </c>
      <c r="AV82" s="3544"/>
      <c r="AW82" s="3860"/>
      <c r="AX82" s="3493"/>
      <c r="AY82" s="3494">
        <v>3</v>
      </c>
      <c r="AZ82" s="3495">
        <f>'All - MECs'!AZ82*VLOOKUP($B$14,'Annual Parameters'!$B$33:$W$143,3,FALSE)/VLOOKUP('All - MECs'!$B$14,'Annual Parameters'!$B$33:$W$143,3,FALSE)</f>
        <v>4.5828758116748505</v>
      </c>
      <c r="BA82" s="3496">
        <f>'All - MECs'!BA82*VLOOKUP($B$14,'Annual Parameters'!$B$33:$W$143,3,FALSE)/VLOOKUP('All - MECs'!$B$14,'Annual Parameters'!$B$33:$W$143,3,FALSE)</f>
        <v>67.159766829337926</v>
      </c>
      <c r="BB82" s="3496">
        <f>'All - MECs'!BB82*VLOOKUP($B$14,'Annual Parameters'!$B$33:$W$143,3,FALSE)/VLOOKUP('All - MECs'!$B$14,'Annual Parameters'!$B$33:$W$143,3,FALSE)</f>
        <v>149.76500476054895</v>
      </c>
      <c r="BC82" s="3503">
        <f>'All - MECs'!BC82*VLOOKUP($B$14,'Annual Parameters'!$B$33:$W$143,3,FALSE)/VLOOKUP('All - MECs'!$B$14,'Annual Parameters'!$B$33:$W$143,3,FALSE)</f>
        <v>6.256824972150647</v>
      </c>
      <c r="BD82" s="3504">
        <f>'All - MECs'!BD82*VLOOKUP($B$14,'Annual Parameters'!$B$33:$W$143,3,FALSE)/VLOOKUP('All - MECs'!$B$14,'Annual Parameters'!$B$33:$W$143,3,FALSE)</f>
        <v>70.287205997935786</v>
      </c>
      <c r="BE82" s="3501">
        <f>'All - MECs'!BE82*VLOOKUP($B$14,'Annual Parameters'!$B$33:$W$143,3,FALSE)/VLOOKUP('All - MECs'!$B$14,'Annual Parameters'!$B$33:$W$143,3,FALSE)</f>
        <v>61.006192531410328</v>
      </c>
      <c r="BF82" s="3500">
        <f>'All - MECs'!BF82*VLOOKUP($B$14,'Annual Parameters'!$B$33:$W$143,3,FALSE)/VLOOKUP('All - MECs'!$B$14,'Annual Parameters'!$B$33:$W$143,3,FALSE)</f>
        <v>33.866909246919491</v>
      </c>
      <c r="BG82" s="3501">
        <f>'All - MECs'!BG82*VLOOKUP($B$14,'Annual Parameters'!$B$33:$W$143,3,FALSE)/VLOOKUP('All - MECs'!$B$14,'Annual Parameters'!$B$33:$W$143,3,FALSE)</f>
        <v>54.702809020892765</v>
      </c>
      <c r="BH82" s="3495">
        <f>'All - MECs'!BH82*VLOOKUP($B$14,'Annual Parameters'!$B$33:$W$143,3,FALSE)/VLOOKUP('All - MECs'!$B$14,'Annual Parameters'!$B$33:$W$143,3,FALSE)</f>
        <v>6.4569642872872057</v>
      </c>
      <c r="BI82" s="3496">
        <f>'All - MECs'!BI82*VLOOKUP($B$14,'Annual Parameters'!$B$33:$W$143,3,FALSE)/VLOOKUP('All - MECs'!$B$14,'Annual Parameters'!$B$33:$W$143,3,FALSE)</f>
        <v>10.316523041901432</v>
      </c>
      <c r="BJ82" s="3501">
        <f>'All - MECs'!BJ82*VLOOKUP($B$14,'Annual Parameters'!$B$33:$W$143,3,FALSE)/VLOOKUP('All - MECs'!$B$14,'Annual Parameters'!$B$33:$W$143,3,FALSE)</f>
        <v>20.518594327403925</v>
      </c>
      <c r="BK82" s="3502">
        <f>'All - MECs'!BK82*VLOOKUP($B$14,'Annual Parameters'!$B$33:$W$143,3,FALSE)/VLOOKUP('All - MECs'!$B$14,'Annual Parameters'!$B$33:$W$143,3,FALSE)</f>
        <v>27.704443758830521</v>
      </c>
      <c r="BL82" s="3544"/>
      <c r="BM82" s="3860"/>
      <c r="BN82" s="3493"/>
      <c r="BO82" s="3494">
        <v>3</v>
      </c>
      <c r="BP82" s="3495">
        <f>'All - MECs'!BP82*VLOOKUP($B$14,'Annual Parameters'!$B$33:$W$143,3,FALSE)/VLOOKUP('All - MECs'!$B$14,'Annual Parameters'!$B$33:$W$143,3,FALSE)</f>
        <v>3.9507550100645261</v>
      </c>
      <c r="BQ82" s="3496">
        <f>'All - MECs'!BQ82*VLOOKUP($B$14,'Annual Parameters'!$B$33:$W$143,3,FALSE)/VLOOKUP('All - MECs'!$B$14,'Annual Parameters'!$B$33:$W$143,3,FALSE)</f>
        <v>57.896350714946493</v>
      </c>
      <c r="BR82" s="3496">
        <f>'All - MECs'!BR82*VLOOKUP($B$14,'Annual Parameters'!$B$33:$W$143,3,FALSE)/VLOOKUP('All - MECs'!$B$14,'Annual Parameters'!$B$33:$W$143,3,FALSE)</f>
        <v>129.10776272461118</v>
      </c>
      <c r="BS82" s="3503">
        <f>'All - MECs'!BS82*VLOOKUP($B$14,'Annual Parameters'!$B$33:$W$143,3,FALSE)/VLOOKUP('All - MECs'!$B$14,'Annual Parameters'!$B$33:$W$143,3,FALSE)</f>
        <v>5.39381463116435</v>
      </c>
      <c r="BT82" s="3504">
        <f>'All - MECs'!BT82*VLOOKUP($B$14,'Annual Parameters'!$B$33:$W$143,3,FALSE)/VLOOKUP('All - MECs'!$B$14,'Annual Parameters'!$B$33:$W$143,3,FALSE)</f>
        <v>60.592418963737742</v>
      </c>
      <c r="BU82" s="3501">
        <f>'All - MECs'!BU82*VLOOKUP($B$14,'Annual Parameters'!$B$33:$W$143,3,FALSE)/VLOOKUP('All - MECs'!$B$14,'Annual Parameters'!$B$33:$W$143,3,FALSE)</f>
        <v>52.591545285698558</v>
      </c>
      <c r="BV82" s="3500">
        <f>'All - MECs'!BV82*VLOOKUP($B$14,'Annual Parameters'!$B$33:$W$143,3,FALSE)/VLOOKUP('All - MECs'!$B$14,'Annual Parameters'!$B$33:$W$143,3,FALSE)</f>
        <v>29.19561141975818</v>
      </c>
      <c r="BW82" s="3501">
        <f>'All - MECs'!BW82*VLOOKUP($B$14,'Annual Parameters'!$B$33:$W$143,3,FALSE)/VLOOKUP('All - MECs'!$B$14,'Annual Parameters'!$B$33:$W$143,3,FALSE)</f>
        <v>47.157593983528244</v>
      </c>
      <c r="BX82" s="3495">
        <f>'All - MECs'!BX82*VLOOKUP($B$14,'Annual Parameters'!$B$33:$W$143,3,FALSE)/VLOOKUP('All - MECs'!$B$14,'Annual Parameters'!$B$33:$W$143,3,FALSE)</f>
        <v>5.5663485235234536</v>
      </c>
      <c r="BY82" s="3496">
        <f>'All - MECs'!BY82*VLOOKUP($B$14,'Annual Parameters'!$B$33:$W$143,3,FALSE)/VLOOKUP('All - MECs'!$B$14,'Annual Parameters'!$B$33:$W$143,3,FALSE)</f>
        <v>8.8935543464667539</v>
      </c>
      <c r="BZ82" s="3501">
        <f>'All - MECs'!BZ82*VLOOKUP($B$14,'Annual Parameters'!$B$33:$W$143,3,FALSE)/VLOOKUP('All - MECs'!$B$14,'Annual Parameters'!$B$33:$W$143,3,FALSE)</f>
        <v>17.688443385693038</v>
      </c>
      <c r="CA82" s="3502">
        <f>'All - MECs'!CA82*VLOOKUP($B$14,'Annual Parameters'!$B$33:$W$143,3,FALSE)/VLOOKUP('All - MECs'!$B$14,'Annual Parameters'!$B$33:$W$143,3,FALSE)</f>
        <v>23.883141171405626</v>
      </c>
    </row>
    <row r="83" spans="1:95" ht="13.5" customHeight="1">
      <c r="A83" s="3860"/>
      <c r="B83" s="3493"/>
      <c r="C83" s="3494">
        <v>4</v>
      </c>
      <c r="D83" s="3495">
        <f>'All - MECs'!D83*VLOOKUP($B$14,'Annual Parameters'!$B$33:$W$143,3,FALSE)/VLOOKUP('All - MECs'!$B$14,'Annual Parameters'!$B$33:$W$143,3,FALSE)</f>
        <v>17.700783211380646</v>
      </c>
      <c r="E83" s="3496">
        <f>'All - MECs'!E83*VLOOKUP($B$14,'Annual Parameters'!$B$33:$W$143,3,FALSE)/VLOOKUP('All - MECs'!$B$14,'Annual Parameters'!$B$33:$W$143,3,FALSE)</f>
        <v>97.942996536010426</v>
      </c>
      <c r="F83" s="3496">
        <f>'All - MECs'!F83*VLOOKUP($B$14,'Annual Parameters'!$B$33:$W$143,3,FALSE)/VLOOKUP('All - MECs'!$B$14,'Annual Parameters'!$B$33:$W$143,3,FALSE)</f>
        <v>121.94082799524205</v>
      </c>
      <c r="G83" s="3503">
        <f>'All - MECs'!G83*VLOOKUP($B$14,'Annual Parameters'!$B$33:$W$143,3,FALSE)/VLOOKUP('All - MECs'!$B$14,'Annual Parameters'!$B$33:$W$143,3,FALSE)</f>
        <v>20.375852703015056</v>
      </c>
      <c r="H83" s="3504">
        <f>'All - MECs'!H83*VLOOKUP($B$14,'Annual Parameters'!$B$33:$W$143,3,FALSE)/VLOOKUP('All - MECs'!$B$14,'Annual Parameters'!$B$33:$W$143,3,FALSE)</f>
        <v>90.049141187579409</v>
      </c>
      <c r="I83" s="3501">
        <f>'All - MECs'!I83*VLOOKUP($B$14,'Annual Parameters'!$B$33:$W$143,3,FALSE)/VLOOKUP('All - MECs'!$B$14,'Annual Parameters'!$B$33:$W$143,3,FALSE)</f>
        <v>88.567167003540547</v>
      </c>
      <c r="J83" s="3500">
        <f>'All - MECs'!J83*VLOOKUP($B$14,'Annual Parameters'!$B$33:$W$143,3,FALSE)/VLOOKUP('All - MECs'!$B$14,'Annual Parameters'!$B$33:$W$143,3,FALSE)</f>
        <v>39.948380908922331</v>
      </c>
      <c r="K83" s="3501">
        <f>'All - MECs'!K83*VLOOKUP($B$14,'Annual Parameters'!$B$33:$W$143,3,FALSE)/VLOOKUP('All - MECs'!$B$14,'Annual Parameters'!$B$33:$W$143,3,FALSE)</f>
        <v>73.642245603080994</v>
      </c>
      <c r="L83" s="3495">
        <f>'All - MECs'!L83*VLOOKUP($B$14,'Annual Parameters'!$B$33:$W$143,3,FALSE)/VLOOKUP('All - MECs'!$B$14,'Annual Parameters'!$B$33:$W$143,3,FALSE)</f>
        <v>19.472787713060072</v>
      </c>
      <c r="M83" s="3496">
        <f>'All - MECs'!M83*VLOOKUP($B$14,'Annual Parameters'!$B$33:$W$143,3,FALSE)/VLOOKUP('All - MECs'!$B$14,'Annual Parameters'!$B$33:$W$143,3,FALSE)</f>
        <v>40.905555838024704</v>
      </c>
      <c r="N83" s="3501">
        <f>'All - MECs'!N83*VLOOKUP($B$14,'Annual Parameters'!$B$33:$W$143,3,FALSE)/VLOOKUP('All - MECs'!$B$14,'Annual Parameters'!$B$33:$W$143,3,FALSE)</f>
        <v>25.88321026470804</v>
      </c>
      <c r="O83" s="3502">
        <f>'All - MECs'!O83*VLOOKUP($B$14,'Annual Parameters'!$B$33:$W$143,3,FALSE)/VLOOKUP('All - MECs'!$B$14,'Annual Parameters'!$B$33:$W$143,3,FALSE)</f>
        <v>53.05273496077443</v>
      </c>
      <c r="P83" s="3544"/>
      <c r="Q83" s="3860"/>
      <c r="R83" s="3493"/>
      <c r="S83" s="3494">
        <v>4</v>
      </c>
      <c r="T83" s="3495">
        <f>'All - MECs'!T83*VLOOKUP($B$14,'Annual Parameters'!$B$33:$W$143,3,FALSE)/VLOOKUP('All - MECs'!$B$14,'Annual Parameters'!$B$33:$W$143,3,FALSE)</f>
        <v>17.700783211380646</v>
      </c>
      <c r="U83" s="3496">
        <f>'All - MECs'!U83*VLOOKUP($B$14,'Annual Parameters'!$B$33:$W$143,3,FALSE)/VLOOKUP('All - MECs'!$B$14,'Annual Parameters'!$B$33:$W$143,3,FALSE)</f>
        <v>97.942996536010426</v>
      </c>
      <c r="V83" s="3496">
        <f>'All - MECs'!V83*VLOOKUP($B$14,'Annual Parameters'!$B$33:$W$143,3,FALSE)/VLOOKUP('All - MECs'!$B$14,'Annual Parameters'!$B$33:$W$143,3,FALSE)</f>
        <v>121.94082799524205</v>
      </c>
      <c r="W83" s="3503">
        <f>'All - MECs'!W83*VLOOKUP($B$14,'Annual Parameters'!$B$33:$W$143,3,FALSE)/VLOOKUP('All - MECs'!$B$14,'Annual Parameters'!$B$33:$W$143,3,FALSE)</f>
        <v>20.375852703015056</v>
      </c>
      <c r="X83" s="3504">
        <f>'All - MECs'!X83*VLOOKUP($B$14,'Annual Parameters'!$B$33:$W$143,3,FALSE)/VLOOKUP('All - MECs'!$B$14,'Annual Parameters'!$B$33:$W$143,3,FALSE)</f>
        <v>90.049141187579409</v>
      </c>
      <c r="Y83" s="3501">
        <f>'All - MECs'!Y83*VLOOKUP($B$14,'Annual Parameters'!$B$33:$W$143,3,FALSE)/VLOOKUP('All - MECs'!$B$14,'Annual Parameters'!$B$33:$W$143,3,FALSE)</f>
        <v>88.567167003540547</v>
      </c>
      <c r="Z83" s="3500">
        <f>'All - MECs'!Z83*VLOOKUP($B$14,'Annual Parameters'!$B$33:$W$143,3,FALSE)/VLOOKUP('All - MECs'!$B$14,'Annual Parameters'!$B$33:$W$143,3,FALSE)</f>
        <v>39.948380908922331</v>
      </c>
      <c r="AA83" s="3501">
        <f>'All - MECs'!AA83*VLOOKUP($B$14,'Annual Parameters'!$B$33:$W$143,3,FALSE)/VLOOKUP('All - MECs'!$B$14,'Annual Parameters'!$B$33:$W$143,3,FALSE)</f>
        <v>73.642245603080994</v>
      </c>
      <c r="AB83" s="3495">
        <f>'All - MECs'!AB83*VLOOKUP($B$14,'Annual Parameters'!$B$33:$W$143,3,FALSE)/VLOOKUP('All - MECs'!$B$14,'Annual Parameters'!$B$33:$W$143,3,FALSE)</f>
        <v>19.472787713060072</v>
      </c>
      <c r="AC83" s="3496">
        <f>'All - MECs'!AC83*VLOOKUP($B$14,'Annual Parameters'!$B$33:$W$143,3,FALSE)/VLOOKUP('All - MECs'!$B$14,'Annual Parameters'!$B$33:$W$143,3,FALSE)</f>
        <v>40.905555838024704</v>
      </c>
      <c r="AD83" s="3501">
        <f>'All - MECs'!AD83*VLOOKUP($B$14,'Annual Parameters'!$B$33:$W$143,3,FALSE)/VLOOKUP('All - MECs'!$B$14,'Annual Parameters'!$B$33:$W$143,3,FALSE)</f>
        <v>25.88321026470804</v>
      </c>
      <c r="AE83" s="3502">
        <f>'All - MECs'!AE83*VLOOKUP($B$14,'Annual Parameters'!$B$33:$W$143,3,FALSE)/VLOOKUP('All - MECs'!$B$14,'Annual Parameters'!$B$33:$W$143,3,FALSE)</f>
        <v>53.05273496077443</v>
      </c>
      <c r="AF83" s="3544"/>
      <c r="AG83" s="3860"/>
      <c r="AH83" s="3493"/>
      <c r="AI83" s="3494">
        <v>4</v>
      </c>
      <c r="AJ83" s="3495">
        <f>'All - MECs'!AJ83*VLOOKUP($B$14,'Annual Parameters'!$B$33:$W$143,3,FALSE)/VLOOKUP('All - MECs'!$B$14,'Annual Parameters'!$B$33:$W$143,3,FALSE)</f>
        <v>33.631488101623226</v>
      </c>
      <c r="AK83" s="3496">
        <f>'All - MECs'!AK83*VLOOKUP($B$14,'Annual Parameters'!$B$33:$W$143,3,FALSE)/VLOOKUP('All - MECs'!$B$14,'Annual Parameters'!$B$33:$W$143,3,FALSE)</f>
        <v>186.09169341841979</v>
      </c>
      <c r="AL83" s="3496">
        <f>'All - MECs'!AL83*VLOOKUP($B$14,'Annual Parameters'!$B$33:$W$143,3,FALSE)/VLOOKUP('All - MECs'!$B$14,'Annual Parameters'!$B$33:$W$143,3,FALSE)</f>
        <v>231.68757319095991</v>
      </c>
      <c r="AM83" s="3503">
        <f>'All - MECs'!AM83*VLOOKUP($B$14,'Annual Parameters'!$B$33:$W$143,3,FALSE)/VLOOKUP('All - MECs'!$B$14,'Annual Parameters'!$B$33:$W$143,3,FALSE)</f>
        <v>38.714120135728606</v>
      </c>
      <c r="AN83" s="3504">
        <f>'All - MECs'!AN83*VLOOKUP($B$14,'Annual Parameters'!$B$33:$W$143,3,FALSE)/VLOOKUP('All - MECs'!$B$14,'Annual Parameters'!$B$33:$W$143,3,FALSE)</f>
        <v>171.09336825640085</v>
      </c>
      <c r="AO83" s="3501">
        <f>'All - MECs'!AO83*VLOOKUP($B$14,'Annual Parameters'!$B$33:$W$143,3,FALSE)/VLOOKUP('All - MECs'!$B$14,'Annual Parameters'!$B$33:$W$143,3,FALSE)</f>
        <v>168.277617306727</v>
      </c>
      <c r="AP83" s="3500">
        <f>'All - MECs'!AP83*VLOOKUP($B$14,'Annual Parameters'!$B$33:$W$143,3,FALSE)/VLOOKUP('All - MECs'!$B$14,'Annual Parameters'!$B$33:$W$143,3,FALSE)</f>
        <v>75.901923726952433</v>
      </c>
      <c r="AQ83" s="3501">
        <f>'All - MECs'!AQ83*VLOOKUP($B$14,'Annual Parameters'!$B$33:$W$143,3,FALSE)/VLOOKUP('All - MECs'!$B$14,'Annual Parameters'!$B$33:$W$143,3,FALSE)</f>
        <v>139.92026664585387</v>
      </c>
      <c r="AR83" s="3495">
        <f>'All - MECs'!AR83*VLOOKUP($B$14,'Annual Parameters'!$B$33:$W$143,3,FALSE)/VLOOKUP('All - MECs'!$B$14,'Annual Parameters'!$B$33:$W$143,3,FALSE)</f>
        <v>36.998296654814133</v>
      </c>
      <c r="AS83" s="3496">
        <f>'All - MECs'!AS83*VLOOKUP($B$14,'Annual Parameters'!$B$33:$W$143,3,FALSE)/VLOOKUP('All - MECs'!$B$14,'Annual Parameters'!$B$33:$W$143,3,FALSE)</f>
        <v>77.720556092246937</v>
      </c>
      <c r="AT83" s="3501">
        <f>'All - MECs'!AT83*VLOOKUP($B$14,'Annual Parameters'!$B$33:$W$143,3,FALSE)/VLOOKUP('All - MECs'!$B$14,'Annual Parameters'!$B$33:$W$143,3,FALSE)</f>
        <v>49.178099502945273</v>
      </c>
      <c r="AU83" s="3502">
        <f>'All - MECs'!AU83*VLOOKUP($B$14,'Annual Parameters'!$B$33:$W$143,3,FALSE)/VLOOKUP('All - MECs'!$B$14,'Annual Parameters'!$B$33:$W$143,3,FALSE)</f>
        <v>100.80019642547143</v>
      </c>
      <c r="AV83" s="3544"/>
      <c r="AW83" s="3860"/>
      <c r="AX83" s="3493"/>
      <c r="AY83" s="3494">
        <v>4</v>
      </c>
      <c r="AZ83" s="3495">
        <f>'All - MECs'!AZ83*VLOOKUP($B$14,'Annual Parameters'!$B$33:$W$143,3,FALSE)/VLOOKUP('All - MECs'!$B$14,'Annual Parameters'!$B$33:$W$143,3,FALSE)</f>
        <v>51.332271313003872</v>
      </c>
      <c r="BA83" s="3496">
        <f>'All - MECs'!BA83*VLOOKUP($B$14,'Annual Parameters'!$B$33:$W$143,3,FALSE)/VLOOKUP('All - MECs'!$B$14,'Annual Parameters'!$B$33:$W$143,3,FALSE)</f>
        <v>284.03468995443023</v>
      </c>
      <c r="BB83" s="3496">
        <f>'All - MECs'!BB83*VLOOKUP($B$14,'Annual Parameters'!$B$33:$W$143,3,FALSE)/VLOOKUP('All - MECs'!$B$14,'Annual Parameters'!$B$33:$W$143,3,FALSE)</f>
        <v>353.62840118620193</v>
      </c>
      <c r="BC83" s="3503">
        <f>'All - MECs'!BC83*VLOOKUP($B$14,'Annual Parameters'!$B$33:$W$143,3,FALSE)/VLOOKUP('All - MECs'!$B$14,'Annual Parameters'!$B$33:$W$143,3,FALSE)</f>
        <v>59.089972838743662</v>
      </c>
      <c r="BD83" s="3504">
        <f>'All - MECs'!BD83*VLOOKUP($B$14,'Annual Parameters'!$B$33:$W$143,3,FALSE)/VLOOKUP('All - MECs'!$B$14,'Annual Parameters'!$B$33:$W$143,3,FALSE)</f>
        <v>261.14250944398026</v>
      </c>
      <c r="BE83" s="3501">
        <f>'All - MECs'!BE83*VLOOKUP($B$14,'Annual Parameters'!$B$33:$W$143,3,FALSE)/VLOOKUP('All - MECs'!$B$14,'Annual Parameters'!$B$33:$W$143,3,FALSE)</f>
        <v>256.84478431026758</v>
      </c>
      <c r="BF83" s="3500">
        <f>'All - MECs'!BF83*VLOOKUP($B$14,'Annual Parameters'!$B$33:$W$143,3,FALSE)/VLOOKUP('All - MECs'!$B$14,'Annual Parameters'!$B$33:$W$143,3,FALSE)</f>
        <v>115.85030463587476</v>
      </c>
      <c r="BG83" s="3501">
        <f>'All - MECs'!BG83*VLOOKUP($B$14,'Annual Parameters'!$B$33:$W$143,3,FALSE)/VLOOKUP('All - MECs'!$B$14,'Annual Parameters'!$B$33:$W$143,3,FALSE)</f>
        <v>213.56251224893487</v>
      </c>
      <c r="BH83" s="3495">
        <f>'All - MECs'!BH83*VLOOKUP($B$14,'Annual Parameters'!$B$33:$W$143,3,FALSE)/VLOOKUP('All - MECs'!$B$14,'Annual Parameters'!$B$33:$W$143,3,FALSE)</f>
        <v>56.471084367874212</v>
      </c>
      <c r="BI83" s="3496">
        <f>'All - MECs'!BI83*VLOOKUP($B$14,'Annual Parameters'!$B$33:$W$143,3,FALSE)/VLOOKUP('All - MECs'!$B$14,'Annual Parameters'!$B$33:$W$143,3,FALSE)</f>
        <v>118.62611193027163</v>
      </c>
      <c r="BJ83" s="3501">
        <f>'All - MECs'!BJ83*VLOOKUP($B$14,'Annual Parameters'!$B$33:$W$143,3,FALSE)/VLOOKUP('All - MECs'!$B$14,'Annual Parameters'!$B$33:$W$143,3,FALSE)</f>
        <v>75.061309767653313</v>
      </c>
      <c r="BK83" s="3502">
        <f>'All - MECs'!BK83*VLOOKUP($B$14,'Annual Parameters'!$B$33:$W$143,3,FALSE)/VLOOKUP('All - MECs'!$B$14,'Annual Parameters'!$B$33:$W$143,3,FALSE)</f>
        <v>153.85293138624587</v>
      </c>
      <c r="BL83" s="3544"/>
      <c r="BM83" s="3860"/>
      <c r="BN83" s="3493"/>
      <c r="BO83" s="3494">
        <v>4</v>
      </c>
      <c r="BP83" s="3495">
        <f>'All - MECs'!BP83*VLOOKUP($B$14,'Annual Parameters'!$B$33:$W$143,3,FALSE)/VLOOKUP('All - MECs'!$B$14,'Annual Parameters'!$B$33:$W$143,3,FALSE)</f>
        <v>44.251958028451611</v>
      </c>
      <c r="BQ83" s="3496">
        <f>'All - MECs'!BQ83*VLOOKUP($B$14,'Annual Parameters'!$B$33:$W$143,3,FALSE)/VLOOKUP('All - MECs'!$B$14,'Annual Parameters'!$B$33:$W$143,3,FALSE)</f>
        <v>244.85749134002606</v>
      </c>
      <c r="BR83" s="3496">
        <f>'All - MECs'!BR83*VLOOKUP($B$14,'Annual Parameters'!$B$33:$W$143,3,FALSE)/VLOOKUP('All - MECs'!$B$14,'Annual Parameters'!$B$33:$W$143,3,FALSE)</f>
        <v>304.85206998810514</v>
      </c>
      <c r="BS83" s="3503">
        <f>'All - MECs'!BS83*VLOOKUP($B$14,'Annual Parameters'!$B$33:$W$143,3,FALSE)/VLOOKUP('All - MECs'!$B$14,'Annual Parameters'!$B$33:$W$143,3,FALSE)</f>
        <v>50.939631757537633</v>
      </c>
      <c r="BT83" s="3504">
        <f>'All - MECs'!BT83*VLOOKUP($B$14,'Annual Parameters'!$B$33:$W$143,3,FALSE)/VLOOKUP('All - MECs'!$B$14,'Annual Parameters'!$B$33:$W$143,3,FALSE)</f>
        <v>225.12285296894851</v>
      </c>
      <c r="BU83" s="3501">
        <f>'All - MECs'!BU83*VLOOKUP($B$14,'Annual Parameters'!$B$33:$W$143,3,FALSE)/VLOOKUP('All - MECs'!$B$14,'Annual Parameters'!$B$33:$W$143,3,FALSE)</f>
        <v>221.41791750885136</v>
      </c>
      <c r="BV83" s="3500">
        <f>'All - MECs'!BV83*VLOOKUP($B$14,'Annual Parameters'!$B$33:$W$143,3,FALSE)/VLOOKUP('All - MECs'!$B$14,'Annual Parameters'!$B$33:$W$143,3,FALSE)</f>
        <v>99.870952272305829</v>
      </c>
      <c r="BW83" s="3501">
        <f>'All - MECs'!BW83*VLOOKUP($B$14,'Annual Parameters'!$B$33:$W$143,3,FALSE)/VLOOKUP('All - MECs'!$B$14,'Annual Parameters'!$B$33:$W$143,3,FALSE)</f>
        <v>184.10561400770248</v>
      </c>
      <c r="BX83" s="3495">
        <f>'All - MECs'!BX83*VLOOKUP($B$14,'Annual Parameters'!$B$33:$W$143,3,FALSE)/VLOOKUP('All - MECs'!$B$14,'Annual Parameters'!$B$33:$W$143,3,FALSE)</f>
        <v>48.681969282650179</v>
      </c>
      <c r="BY83" s="3496">
        <f>'All - MECs'!BY83*VLOOKUP($B$14,'Annual Parameters'!$B$33:$W$143,3,FALSE)/VLOOKUP('All - MECs'!$B$14,'Annual Parameters'!$B$33:$W$143,3,FALSE)</f>
        <v>102.26388959506176</v>
      </c>
      <c r="BZ83" s="3501">
        <f>'All - MECs'!BZ83*VLOOKUP($B$14,'Annual Parameters'!$B$33:$W$143,3,FALSE)/VLOOKUP('All - MECs'!$B$14,'Annual Parameters'!$B$33:$W$143,3,FALSE)</f>
        <v>64.708025661770108</v>
      </c>
      <c r="CA83" s="3502">
        <f>'All - MECs'!CA83*VLOOKUP($B$14,'Annual Parameters'!$B$33:$W$143,3,FALSE)/VLOOKUP('All - MECs'!$B$14,'Annual Parameters'!$B$33:$W$143,3,FALSE)</f>
        <v>132.63183740193608</v>
      </c>
    </row>
    <row r="84" spans="1:95" ht="13.5" customHeight="1">
      <c r="A84" s="3860"/>
      <c r="B84" s="3493"/>
      <c r="C84" s="3505">
        <v>5</v>
      </c>
      <c r="D84" s="3495" t="e">
        <f>'All - MECs'!D84*VLOOKUP($B$14,'Annual Parameters'!$B$33:$W$143,3,FALSE)/VLOOKUP('All - MECs'!$B$14,'Annual Parameters'!$B$33:$W$143,3,FALSE)</f>
        <v>#N/A</v>
      </c>
      <c r="E84" s="3496">
        <f>'All - MECs'!E84*VLOOKUP($B$14,'Annual Parameters'!$B$33:$W$143,3,FALSE)/VLOOKUP('All - MECs'!$B$14,'Annual Parameters'!$B$33:$W$143,3,FALSE)</f>
        <v>338.26391003424959</v>
      </c>
      <c r="F84" s="3496">
        <f>'All - MECs'!F84*VLOOKUP($B$14,'Annual Parameters'!$B$33:$W$143,3,FALSE)/VLOOKUP('All - MECs'!$B$14,'Annual Parameters'!$B$33:$W$143,3,FALSE)</f>
        <v>255.54115860611719</v>
      </c>
      <c r="G84" s="3506">
        <f>'All - MECs'!G84*VLOOKUP($B$14,'Annual Parameters'!$B$33:$W$143,3,FALSE)/VLOOKUP('All - MECs'!$B$14,'Annual Parameters'!$B$33:$W$143,3,FALSE)</f>
        <v>69.545432292287941</v>
      </c>
      <c r="H84" s="3507">
        <f>'All - MECs'!H84*VLOOKUP($B$14,'Annual Parameters'!$B$33:$W$143,3,FALSE)/VLOOKUP('All - MECs'!$B$14,'Annual Parameters'!$B$33:$W$143,3,FALSE)</f>
        <v>248.92583814076832</v>
      </c>
      <c r="I84" s="3508">
        <f>'All - MECs'!I84*VLOOKUP($B$14,'Annual Parameters'!$B$33:$W$143,3,FALSE)/VLOOKUP('All - MECs'!$B$14,'Annual Parameters'!$B$33:$W$143,3,FALSE)</f>
        <v>309.84759872884757</v>
      </c>
      <c r="J84" s="3509">
        <f>'All - MECs'!J84*VLOOKUP($B$14,'Annual Parameters'!$B$33:$W$143,3,FALSE)/VLOOKUP('All - MECs'!$B$14,'Annual Parameters'!$B$33:$W$143,3,FALSE)</f>
        <v>85.650317234095056</v>
      </c>
      <c r="K84" s="3508">
        <f>'All - MECs'!K84*VLOOKUP($B$14,'Annual Parameters'!$B$33:$W$143,3,FALSE)/VLOOKUP('All - MECs'!$B$14,'Annual Parameters'!$B$33:$W$143,3,FALSE)</f>
        <v>251.30602721162751</v>
      </c>
      <c r="L84" s="3510">
        <f>'All - MECs'!L84*VLOOKUP($B$14,'Annual Parameters'!$B$33:$W$143,3,FALSE)/VLOOKUP('All - MECs'!$B$14,'Annual Parameters'!$B$33:$W$143,3,FALSE)</f>
        <v>84.276626918798868</v>
      </c>
      <c r="M84" s="3511">
        <f>'All - MECs'!M84*VLOOKUP($B$14,'Annual Parameters'!$B$33:$W$143,3,FALSE)/VLOOKUP('All - MECs'!$B$14,'Annual Parameters'!$B$33:$W$143,3,FALSE)</f>
        <v>132.4034825658031</v>
      </c>
      <c r="N84" s="3508">
        <f>'All - MECs'!N84*VLOOKUP($B$14,'Annual Parameters'!$B$33:$W$143,3,FALSE)/VLOOKUP('All - MECs'!$B$14,'Annual Parameters'!$B$33:$W$143,3,FALSE)</f>
        <v>194.34236111120663</v>
      </c>
      <c r="O84" s="3502">
        <f>'All - MECs'!O84*VLOOKUP($B$14,'Annual Parameters'!$B$33:$W$143,3,FALSE)/VLOOKUP('All - MECs'!$B$14,'Annual Parameters'!$B$33:$W$143,3,FALSE)</f>
        <v>221.90859951347969</v>
      </c>
      <c r="P84" s="3544"/>
      <c r="Q84" s="3860"/>
      <c r="R84" s="3493"/>
      <c r="S84" s="3505">
        <v>5</v>
      </c>
      <c r="T84" s="3495" t="e">
        <f>'All - MECs'!T84*VLOOKUP($B$14,'Annual Parameters'!$B$33:$W$143,3,FALSE)/VLOOKUP('All - MECs'!$B$14,'Annual Parameters'!$B$33:$W$143,3,FALSE)</f>
        <v>#N/A</v>
      </c>
      <c r="U84" s="3496">
        <f>'All - MECs'!U84*VLOOKUP($B$14,'Annual Parameters'!$B$33:$W$143,3,FALSE)/VLOOKUP('All - MECs'!$B$14,'Annual Parameters'!$B$33:$W$143,3,FALSE)</f>
        <v>338.26391003424959</v>
      </c>
      <c r="V84" s="3496">
        <f>'All - MECs'!V84*VLOOKUP($B$14,'Annual Parameters'!$B$33:$W$143,3,FALSE)/VLOOKUP('All - MECs'!$B$14,'Annual Parameters'!$B$33:$W$143,3,FALSE)</f>
        <v>255.54115860611719</v>
      </c>
      <c r="W84" s="3506">
        <f>'All - MECs'!W84*VLOOKUP($B$14,'Annual Parameters'!$B$33:$W$143,3,FALSE)/VLOOKUP('All - MECs'!$B$14,'Annual Parameters'!$B$33:$W$143,3,FALSE)</f>
        <v>69.545432292287941</v>
      </c>
      <c r="X84" s="3507">
        <f>'All - MECs'!X84*VLOOKUP($B$14,'Annual Parameters'!$B$33:$W$143,3,FALSE)/VLOOKUP('All - MECs'!$B$14,'Annual Parameters'!$B$33:$W$143,3,FALSE)</f>
        <v>248.92583814076832</v>
      </c>
      <c r="Y84" s="3508">
        <f>'All - MECs'!Y84*VLOOKUP($B$14,'Annual Parameters'!$B$33:$W$143,3,FALSE)/VLOOKUP('All - MECs'!$B$14,'Annual Parameters'!$B$33:$W$143,3,FALSE)</f>
        <v>309.84759872884757</v>
      </c>
      <c r="Z84" s="3509">
        <f>'All - MECs'!Z84*VLOOKUP($B$14,'Annual Parameters'!$B$33:$W$143,3,FALSE)/VLOOKUP('All - MECs'!$B$14,'Annual Parameters'!$B$33:$W$143,3,FALSE)</f>
        <v>85.650317234095056</v>
      </c>
      <c r="AA84" s="3508">
        <f>'All - MECs'!AA84*VLOOKUP($B$14,'Annual Parameters'!$B$33:$W$143,3,FALSE)/VLOOKUP('All - MECs'!$B$14,'Annual Parameters'!$B$33:$W$143,3,FALSE)</f>
        <v>251.30602721162751</v>
      </c>
      <c r="AB84" s="3510">
        <f>'All - MECs'!AB84*VLOOKUP($B$14,'Annual Parameters'!$B$33:$W$143,3,FALSE)/VLOOKUP('All - MECs'!$B$14,'Annual Parameters'!$B$33:$W$143,3,FALSE)</f>
        <v>84.276626918798868</v>
      </c>
      <c r="AC84" s="3511">
        <f>'All - MECs'!AC84*VLOOKUP($B$14,'Annual Parameters'!$B$33:$W$143,3,FALSE)/VLOOKUP('All - MECs'!$B$14,'Annual Parameters'!$B$33:$W$143,3,FALSE)</f>
        <v>132.4034825658031</v>
      </c>
      <c r="AD84" s="3508">
        <f>'All - MECs'!AD84*VLOOKUP($B$14,'Annual Parameters'!$B$33:$W$143,3,FALSE)/VLOOKUP('All - MECs'!$B$14,'Annual Parameters'!$B$33:$W$143,3,FALSE)</f>
        <v>194.34236111120663</v>
      </c>
      <c r="AE84" s="3502">
        <f>'All - MECs'!AE84*VLOOKUP($B$14,'Annual Parameters'!$B$33:$W$143,3,FALSE)/VLOOKUP('All - MECs'!$B$14,'Annual Parameters'!$B$33:$W$143,3,FALSE)</f>
        <v>221.90859951347969</v>
      </c>
      <c r="AF84" s="3544"/>
      <c r="AG84" s="3860"/>
      <c r="AH84" s="3493"/>
      <c r="AI84" s="3505">
        <v>5</v>
      </c>
      <c r="AJ84" s="3495" t="e">
        <f>'All - MECs'!AJ84*VLOOKUP($B$14,'Annual Parameters'!$B$33:$W$143,3,FALSE)/VLOOKUP('All - MECs'!$B$14,'Annual Parameters'!$B$33:$W$143,3,FALSE)</f>
        <v>#N/A</v>
      </c>
      <c r="AK84" s="3496">
        <f>'All - MECs'!AK84*VLOOKUP($B$14,'Annual Parameters'!$B$33:$W$143,3,FALSE)/VLOOKUP('All - MECs'!$B$14,'Annual Parameters'!$B$33:$W$143,3,FALSE)</f>
        <v>642.70142906507408</v>
      </c>
      <c r="AL84" s="3496">
        <f>'All - MECs'!AL84*VLOOKUP($B$14,'Annual Parameters'!$B$33:$W$143,3,FALSE)/VLOOKUP('All - MECs'!$B$14,'Annual Parameters'!$B$33:$W$143,3,FALSE)</f>
        <v>485.52820135162273</v>
      </c>
      <c r="AM84" s="3506">
        <f>'All - MECs'!AM84*VLOOKUP($B$14,'Annual Parameters'!$B$33:$W$143,3,FALSE)/VLOOKUP('All - MECs'!$B$14,'Annual Parameters'!$B$33:$W$143,3,FALSE)</f>
        <v>132.13632135534709</v>
      </c>
      <c r="AN84" s="3507">
        <f>'All - MECs'!AN84*VLOOKUP($B$14,'Annual Parameters'!$B$33:$W$143,3,FALSE)/VLOOKUP('All - MECs'!$B$14,'Annual Parameters'!$B$33:$W$143,3,FALSE)</f>
        <v>472.95909246745975</v>
      </c>
      <c r="AO84" s="3508">
        <f>'All - MECs'!AO84*VLOOKUP($B$14,'Annual Parameters'!$B$33:$W$143,3,FALSE)/VLOOKUP('All - MECs'!$B$14,'Annual Parameters'!$B$33:$W$143,3,FALSE)</f>
        <v>588.71043758481039</v>
      </c>
      <c r="AP84" s="3509">
        <f>'All - MECs'!AP84*VLOOKUP($B$14,'Annual Parameters'!$B$33:$W$143,3,FALSE)/VLOOKUP('All - MECs'!$B$14,'Annual Parameters'!$B$33:$W$143,3,FALSE)</f>
        <v>162.73560274478061</v>
      </c>
      <c r="AQ84" s="3508">
        <f>'All - MECs'!AQ84*VLOOKUP($B$14,'Annual Parameters'!$B$33:$W$143,3,FALSE)/VLOOKUP('All - MECs'!$B$14,'Annual Parameters'!$B$33:$W$143,3,FALSE)</f>
        <v>477.48145170209233</v>
      </c>
      <c r="AR84" s="3510">
        <f>'All - MECs'!AR84*VLOOKUP($B$14,'Annual Parameters'!$B$33:$W$143,3,FALSE)/VLOOKUP('All - MECs'!$B$14,'Annual Parameters'!$B$33:$W$143,3,FALSE)</f>
        <v>160.12559114571783</v>
      </c>
      <c r="AS84" s="3511">
        <f>'All - MECs'!AS84*VLOOKUP($B$14,'Annual Parameters'!$B$33:$W$143,3,FALSE)/VLOOKUP('All - MECs'!$B$14,'Annual Parameters'!$B$33:$W$143,3,FALSE)</f>
        <v>251.56661687502591</v>
      </c>
      <c r="AT84" s="3508">
        <f>'All - MECs'!AT84*VLOOKUP($B$14,'Annual Parameters'!$B$33:$W$143,3,FALSE)/VLOOKUP('All - MECs'!$B$14,'Annual Parameters'!$B$33:$W$143,3,FALSE)</f>
        <v>369.25048611129256</v>
      </c>
      <c r="AU84" s="3502">
        <f>'All - MECs'!AU84*VLOOKUP($B$14,'Annual Parameters'!$B$33:$W$143,3,FALSE)/VLOOKUP('All - MECs'!$B$14,'Annual Parameters'!$B$33:$W$143,3,FALSE)</f>
        <v>421.62633907561138</v>
      </c>
      <c r="AV84" s="3544"/>
      <c r="AW84" s="3860"/>
      <c r="AX84" s="3493"/>
      <c r="AY84" s="3505">
        <v>5</v>
      </c>
      <c r="AZ84" s="3495" t="e">
        <f>'All - MECs'!AZ84*VLOOKUP($B$14,'Annual Parameters'!$B$33:$W$143,3,FALSE)/VLOOKUP('All - MECs'!$B$14,'Annual Parameters'!$B$33:$W$143,3,FALSE)</f>
        <v>#N/A</v>
      </c>
      <c r="BA84" s="3496">
        <f>'All - MECs'!BA84*VLOOKUP($B$14,'Annual Parameters'!$B$33:$W$143,3,FALSE)/VLOOKUP('All - MECs'!$B$14,'Annual Parameters'!$B$33:$W$143,3,FALSE)</f>
        <v>980.96533909932361</v>
      </c>
      <c r="BB84" s="3496">
        <f>'All - MECs'!BB84*VLOOKUP($B$14,'Annual Parameters'!$B$33:$W$143,3,FALSE)/VLOOKUP('All - MECs'!$B$14,'Annual Parameters'!$B$33:$W$143,3,FALSE)</f>
        <v>741.06935995773995</v>
      </c>
      <c r="BC84" s="3506">
        <f>'All - MECs'!BC84*VLOOKUP($B$14,'Annual Parameters'!$B$33:$W$143,3,FALSE)/VLOOKUP('All - MECs'!$B$14,'Annual Parameters'!$B$33:$W$143,3,FALSE)</f>
        <v>201.68175364763502</v>
      </c>
      <c r="BD84" s="3507">
        <f>'All - MECs'!BD84*VLOOKUP($B$14,'Annual Parameters'!$B$33:$W$143,3,FALSE)/VLOOKUP('All - MECs'!$B$14,'Annual Parameters'!$B$33:$W$143,3,FALSE)</f>
        <v>721.88493060822816</v>
      </c>
      <c r="BE84" s="3508">
        <f>'All - MECs'!BE84*VLOOKUP($B$14,'Annual Parameters'!$B$33:$W$143,3,FALSE)/VLOOKUP('All - MECs'!$B$14,'Annual Parameters'!$B$33:$W$143,3,FALSE)</f>
        <v>898.55803631365791</v>
      </c>
      <c r="BF84" s="3509">
        <f>'All - MECs'!BF84*VLOOKUP($B$14,'Annual Parameters'!$B$33:$W$143,3,FALSE)/VLOOKUP('All - MECs'!$B$14,'Annual Parameters'!$B$33:$W$143,3,FALSE)</f>
        <v>248.38591997887565</v>
      </c>
      <c r="BG84" s="3508">
        <f>'All - MECs'!BG84*VLOOKUP($B$14,'Annual Parameters'!$B$33:$W$143,3,FALSE)/VLOOKUP('All - MECs'!$B$14,'Annual Parameters'!$B$33:$W$143,3,FALSE)</f>
        <v>728.78747891371972</v>
      </c>
      <c r="BH84" s="3510">
        <f>'All - MECs'!BH84*VLOOKUP($B$14,'Annual Parameters'!$B$33:$W$143,3,FALSE)/VLOOKUP('All - MECs'!$B$14,'Annual Parameters'!$B$33:$W$143,3,FALSE)</f>
        <v>244.40221806451672</v>
      </c>
      <c r="BI84" s="3511">
        <f>'All - MECs'!BI84*VLOOKUP($B$14,'Annual Parameters'!$B$33:$W$143,3,FALSE)/VLOOKUP('All - MECs'!$B$14,'Annual Parameters'!$B$33:$W$143,3,FALSE)</f>
        <v>383.9700994408289</v>
      </c>
      <c r="BJ84" s="3508">
        <f>'All - MECs'!BJ84*VLOOKUP($B$14,'Annual Parameters'!$B$33:$W$143,3,FALSE)/VLOOKUP('All - MECs'!$B$14,'Annual Parameters'!$B$33:$W$143,3,FALSE)</f>
        <v>563.59284722249924</v>
      </c>
      <c r="BK84" s="3502">
        <f>'All - MECs'!BK84*VLOOKUP($B$14,'Annual Parameters'!$B$33:$W$143,3,FALSE)/VLOOKUP('All - MECs'!$B$14,'Annual Parameters'!$B$33:$W$143,3,FALSE)</f>
        <v>643.5349385890911</v>
      </c>
      <c r="BL84" s="3544"/>
      <c r="BM84" s="3860"/>
      <c r="BN84" s="3493"/>
      <c r="BO84" s="3505">
        <v>5</v>
      </c>
      <c r="BP84" s="3495" t="e">
        <f>'All - MECs'!BP84*VLOOKUP($B$14,'Annual Parameters'!$B$33:$W$143,3,FALSE)/VLOOKUP('All - MECs'!$B$14,'Annual Parameters'!$B$33:$W$143,3,FALSE)</f>
        <v>#N/A</v>
      </c>
      <c r="BQ84" s="3496">
        <f>'All - MECs'!BQ84*VLOOKUP($B$14,'Annual Parameters'!$B$33:$W$143,3,FALSE)/VLOOKUP('All - MECs'!$B$14,'Annual Parameters'!$B$33:$W$143,3,FALSE)</f>
        <v>845.65977508562389</v>
      </c>
      <c r="BR84" s="3496">
        <f>'All - MECs'!BR84*VLOOKUP($B$14,'Annual Parameters'!$B$33:$W$143,3,FALSE)/VLOOKUP('All - MECs'!$B$14,'Annual Parameters'!$B$33:$W$143,3,FALSE)</f>
        <v>638.85289651529308</v>
      </c>
      <c r="BS84" s="3506">
        <f>'All - MECs'!BS84*VLOOKUP($B$14,'Annual Parameters'!$B$33:$W$143,3,FALSE)/VLOOKUP('All - MECs'!$B$14,'Annual Parameters'!$B$33:$W$143,3,FALSE)</f>
        <v>173.86358073071989</v>
      </c>
      <c r="BT84" s="3507">
        <f>'All - MECs'!BT84*VLOOKUP($B$14,'Annual Parameters'!$B$33:$W$143,3,FALSE)/VLOOKUP('All - MECs'!$B$14,'Annual Parameters'!$B$33:$W$143,3,FALSE)</f>
        <v>622.31459535192084</v>
      </c>
      <c r="BU84" s="3508">
        <f>'All - MECs'!BU84*VLOOKUP($B$14,'Annual Parameters'!$B$33:$W$143,3,FALSE)/VLOOKUP('All - MECs'!$B$14,'Annual Parameters'!$B$33:$W$143,3,FALSE)</f>
        <v>774.6189968221189</v>
      </c>
      <c r="BV84" s="3509">
        <f>'All - MECs'!BV84*VLOOKUP($B$14,'Annual Parameters'!$B$33:$W$143,3,FALSE)/VLOOKUP('All - MECs'!$B$14,'Annual Parameters'!$B$33:$W$143,3,FALSE)</f>
        <v>214.12579308523763</v>
      </c>
      <c r="BW84" s="3508">
        <f>'All - MECs'!BW84*VLOOKUP($B$14,'Annual Parameters'!$B$33:$W$143,3,FALSE)/VLOOKUP('All - MECs'!$B$14,'Annual Parameters'!$B$33:$W$143,3,FALSE)</f>
        <v>628.26506802906874</v>
      </c>
      <c r="BX84" s="3510">
        <f>'All - MECs'!BX84*VLOOKUP($B$14,'Annual Parameters'!$B$33:$W$143,3,FALSE)/VLOOKUP('All - MECs'!$B$14,'Annual Parameters'!$B$33:$W$143,3,FALSE)</f>
        <v>210.69156729699716</v>
      </c>
      <c r="BY84" s="3511">
        <f>'All - MECs'!BY84*VLOOKUP($B$14,'Annual Parameters'!$B$33:$W$143,3,FALSE)/VLOOKUP('All - MECs'!$B$14,'Annual Parameters'!$B$33:$W$143,3,FALSE)</f>
        <v>331.00870641450774</v>
      </c>
      <c r="BZ84" s="3508">
        <f>'All - MECs'!BZ84*VLOOKUP($B$14,'Annual Parameters'!$B$33:$W$143,3,FALSE)/VLOOKUP('All - MECs'!$B$14,'Annual Parameters'!$B$33:$W$143,3,FALSE)</f>
        <v>485.85590277801663</v>
      </c>
      <c r="CA84" s="3502">
        <f>'All - MECs'!CA84*VLOOKUP($B$14,'Annual Parameters'!$B$33:$W$143,3,FALSE)/VLOOKUP('All - MECs'!$B$14,'Annual Parameters'!$B$33:$W$143,3,FALSE)</f>
        <v>554.77149878369926</v>
      </c>
    </row>
    <row r="85" spans="1:95" ht="13.5" customHeight="1">
      <c r="A85" s="3860"/>
      <c r="B85" s="3493"/>
      <c r="C85" s="3512" t="s">
        <v>1422</v>
      </c>
      <c r="D85" s="3513">
        <f>'All - MECs'!D85*VLOOKUP($B$14,'Annual Parameters'!$B$33:$W$143,3,FALSE)/VLOOKUP('All - MECs'!$B$14,'Annual Parameters'!$B$33:$W$143,3,FALSE)</f>
        <v>0.96093087940535471</v>
      </c>
      <c r="E85" s="3514">
        <f>'All - MECs'!E85*VLOOKUP($B$14,'Annual Parameters'!$B$33:$W$143,3,FALSE)/VLOOKUP('All - MECs'!$B$14,'Annual Parameters'!$B$33:$W$143,3,FALSE)</f>
        <v>119.67430244498192</v>
      </c>
      <c r="F85" s="3515">
        <f>'All - MECs'!F85*VLOOKUP($B$14,'Annual Parameters'!$B$33:$W$143,3,FALSE)/VLOOKUP('All - MECs'!$B$14,'Annual Parameters'!$B$33:$W$143,3,FALSE)</f>
        <v>63.847990046434369</v>
      </c>
      <c r="G85" s="3513">
        <f>'All - MECs'!G85*VLOOKUP($B$14,'Annual Parameters'!$B$33:$W$143,3,FALSE)/VLOOKUP('All - MECs'!$B$14,'Annual Parameters'!$B$33:$W$143,3,FALSE)</f>
        <v>4.6620588726186858</v>
      </c>
      <c r="H85" s="3514">
        <f>'All - MECs'!H85*VLOOKUP($B$14,'Annual Parameters'!$B$33:$W$143,3,FALSE)/VLOOKUP('All - MECs'!$B$14,'Annual Parameters'!$B$33:$W$143,3,FALSE)</f>
        <v>47.838854983694411</v>
      </c>
      <c r="I85" s="3515">
        <f>'All - MECs'!I85*VLOOKUP($B$14,'Annual Parameters'!$B$33:$W$143,3,FALSE)/VLOOKUP('All - MECs'!$B$14,'Annual Parameters'!$B$33:$W$143,3,FALSE)</f>
        <v>35.866083629120077</v>
      </c>
      <c r="J85" s="3516">
        <f>'All - MECs'!J85*VLOOKUP($B$14,'Annual Parameters'!$B$33:$W$143,3,FALSE)/VLOOKUP('All - MECs'!$B$14,'Annual Parameters'!$B$33:$W$143,3,FALSE)</f>
        <v>19.436700404020787</v>
      </c>
      <c r="K85" s="3517">
        <f>'All - MECs'!K85*VLOOKUP($B$14,'Annual Parameters'!$B$33:$W$143,3,FALSE)/VLOOKUP('All - MECs'!$B$14,'Annual Parameters'!$B$33:$W$143,3,FALSE)</f>
        <v>13.480145571194555</v>
      </c>
      <c r="L85" s="3518">
        <f>'All - MECs'!L85*VLOOKUP($B$14,'Annual Parameters'!$B$33:$W$143,3,FALSE)/VLOOKUP('All - MECs'!$B$14,'Annual Parameters'!$B$33:$W$143,3,FALSE)</f>
        <v>3.1114267459188949</v>
      </c>
      <c r="M85" s="3519">
        <f>'All - MECs'!M85*VLOOKUP($B$14,'Annual Parameters'!$B$33:$W$143,3,FALSE)/VLOOKUP('All - MECs'!$B$14,'Annual Parameters'!$B$33:$W$143,3,FALSE)</f>
        <v>3.4318393043403761</v>
      </c>
      <c r="N85" s="3517">
        <f>'All - MECs'!N85*VLOOKUP($B$14,'Annual Parameters'!$B$33:$W$143,3,FALSE)/VLOOKUP('All - MECs'!$B$14,'Annual Parameters'!$B$33:$W$143,3,FALSE)</f>
        <v>4.8320087021709197</v>
      </c>
      <c r="O85" s="3520">
        <f>'All - MECs'!O85*VLOOKUP($B$14,'Annual Parameters'!$B$33:$W$143,3,FALSE)/VLOOKUP('All - MECs'!$B$14,'Annual Parameters'!$B$33:$W$143,3,FALSE)</f>
        <v>17.35007186898957</v>
      </c>
      <c r="P85" s="3544"/>
      <c r="Q85" s="3860"/>
      <c r="R85" s="3493"/>
      <c r="S85" s="3512" t="s">
        <v>1422</v>
      </c>
      <c r="T85" s="3513">
        <f>'All - MECs'!T85*VLOOKUP($B$14,'Annual Parameters'!$B$33:$W$143,3,FALSE)/VLOOKUP('All - MECs'!$B$14,'Annual Parameters'!$B$33:$W$143,3,FALSE)</f>
        <v>0.96093087940535471</v>
      </c>
      <c r="U85" s="3514">
        <f>'All - MECs'!U85*VLOOKUP($B$14,'Annual Parameters'!$B$33:$W$143,3,FALSE)/VLOOKUP('All - MECs'!$B$14,'Annual Parameters'!$B$33:$W$143,3,FALSE)</f>
        <v>119.67430244498192</v>
      </c>
      <c r="V85" s="3515">
        <f>'All - MECs'!V85*VLOOKUP($B$14,'Annual Parameters'!$B$33:$W$143,3,FALSE)/VLOOKUP('All - MECs'!$B$14,'Annual Parameters'!$B$33:$W$143,3,FALSE)</f>
        <v>63.847990046434369</v>
      </c>
      <c r="W85" s="3513">
        <f>'All - MECs'!W85*VLOOKUP($B$14,'Annual Parameters'!$B$33:$W$143,3,FALSE)/VLOOKUP('All - MECs'!$B$14,'Annual Parameters'!$B$33:$W$143,3,FALSE)</f>
        <v>4.6620588726186858</v>
      </c>
      <c r="X85" s="3514">
        <f>'All - MECs'!X85*VLOOKUP($B$14,'Annual Parameters'!$B$33:$W$143,3,FALSE)/VLOOKUP('All - MECs'!$B$14,'Annual Parameters'!$B$33:$W$143,3,FALSE)</f>
        <v>47.838854983694411</v>
      </c>
      <c r="Y85" s="3515">
        <f>'All - MECs'!Y85*VLOOKUP($B$14,'Annual Parameters'!$B$33:$W$143,3,FALSE)/VLOOKUP('All - MECs'!$B$14,'Annual Parameters'!$B$33:$W$143,3,FALSE)</f>
        <v>35.866083629120077</v>
      </c>
      <c r="Z85" s="3516">
        <f>'All - MECs'!Z85*VLOOKUP($B$14,'Annual Parameters'!$B$33:$W$143,3,FALSE)/VLOOKUP('All - MECs'!$B$14,'Annual Parameters'!$B$33:$W$143,3,FALSE)</f>
        <v>19.436700404020787</v>
      </c>
      <c r="AA85" s="3517">
        <f>'All - MECs'!AA85*VLOOKUP($B$14,'Annual Parameters'!$B$33:$W$143,3,FALSE)/VLOOKUP('All - MECs'!$B$14,'Annual Parameters'!$B$33:$W$143,3,FALSE)</f>
        <v>13.480145571194555</v>
      </c>
      <c r="AB85" s="3518">
        <f>'All - MECs'!AB85*VLOOKUP($B$14,'Annual Parameters'!$B$33:$W$143,3,FALSE)/VLOOKUP('All - MECs'!$B$14,'Annual Parameters'!$B$33:$W$143,3,FALSE)</f>
        <v>3.1114267459188949</v>
      </c>
      <c r="AC85" s="3519">
        <f>'All - MECs'!AC85*VLOOKUP($B$14,'Annual Parameters'!$B$33:$W$143,3,FALSE)/VLOOKUP('All - MECs'!$B$14,'Annual Parameters'!$B$33:$W$143,3,FALSE)</f>
        <v>3.4318393043403761</v>
      </c>
      <c r="AD85" s="3517">
        <f>'All - MECs'!AD85*VLOOKUP($B$14,'Annual Parameters'!$B$33:$W$143,3,FALSE)/VLOOKUP('All - MECs'!$B$14,'Annual Parameters'!$B$33:$W$143,3,FALSE)</f>
        <v>4.8320087021709197</v>
      </c>
      <c r="AE85" s="3520">
        <f>'All - MECs'!AE85*VLOOKUP($B$14,'Annual Parameters'!$B$33:$W$143,3,FALSE)/VLOOKUP('All - MECs'!$B$14,'Annual Parameters'!$B$33:$W$143,3,FALSE)</f>
        <v>17.35007186898957</v>
      </c>
      <c r="AF85" s="3544"/>
      <c r="AG85" s="3860"/>
      <c r="AH85" s="3493"/>
      <c r="AI85" s="3512" t="s">
        <v>1422</v>
      </c>
      <c r="AJ85" s="3513">
        <f>'All - MECs'!AJ85*VLOOKUP($B$14,'Annual Parameters'!$B$33:$W$143,3,FALSE)/VLOOKUP('All - MECs'!$B$14,'Annual Parameters'!$B$33:$W$143,3,FALSE)</f>
        <v>1.8257686708701741</v>
      </c>
      <c r="AK85" s="3514">
        <f>'All - MECs'!AK85*VLOOKUP($B$14,'Annual Parameters'!$B$33:$W$143,3,FALSE)/VLOOKUP('All - MECs'!$B$14,'Annual Parameters'!$B$33:$W$143,3,FALSE)</f>
        <v>227.38117464546562</v>
      </c>
      <c r="AL85" s="3515">
        <f>'All - MECs'!AL85*VLOOKUP($B$14,'Annual Parameters'!$B$33:$W$143,3,FALSE)/VLOOKUP('All - MECs'!$B$14,'Annual Parameters'!$B$33:$W$143,3,FALSE)</f>
        <v>121.3111810882253</v>
      </c>
      <c r="AM85" s="3513">
        <f>'All - MECs'!AM85*VLOOKUP($B$14,'Annual Parameters'!$B$33:$W$143,3,FALSE)/VLOOKUP('All - MECs'!$B$14,'Annual Parameters'!$B$33:$W$143,3,FALSE)</f>
        <v>8.8579118579755018</v>
      </c>
      <c r="AN85" s="3514">
        <f>'All - MECs'!AN85*VLOOKUP($B$14,'Annual Parameters'!$B$33:$W$143,3,FALSE)/VLOOKUP('All - MECs'!$B$14,'Annual Parameters'!$B$33:$W$143,3,FALSE)</f>
        <v>90.893824469019378</v>
      </c>
      <c r="AO85" s="3515">
        <f>'All - MECs'!AO85*VLOOKUP($B$14,'Annual Parameters'!$B$33:$W$143,3,FALSE)/VLOOKUP('All - MECs'!$B$14,'Annual Parameters'!$B$33:$W$143,3,FALSE)</f>
        <v>68.145558895328136</v>
      </c>
      <c r="AP85" s="3516">
        <f>'All - MECs'!AP85*VLOOKUP($B$14,'Annual Parameters'!$B$33:$W$143,3,FALSE)/VLOOKUP('All - MECs'!$B$14,'Annual Parameters'!$B$33:$W$143,3,FALSE)</f>
        <v>36.929730767639491</v>
      </c>
      <c r="AQ85" s="3517">
        <f>'All - MECs'!AQ85*VLOOKUP($B$14,'Annual Parameters'!$B$33:$W$143,3,FALSE)/VLOOKUP('All - MECs'!$B$14,'Annual Parameters'!$B$33:$W$143,3,FALSE)</f>
        <v>25.612276585269655</v>
      </c>
      <c r="AR85" s="3518">
        <f>'All - MECs'!AR85*VLOOKUP($B$14,'Annual Parameters'!$B$33:$W$143,3,FALSE)/VLOOKUP('All - MECs'!$B$14,'Annual Parameters'!$B$33:$W$143,3,FALSE)</f>
        <v>5.9117108172458996</v>
      </c>
      <c r="AS85" s="3519">
        <f>'All - MECs'!AS85*VLOOKUP($B$14,'Annual Parameters'!$B$33:$W$143,3,FALSE)/VLOOKUP('All - MECs'!$B$14,'Annual Parameters'!$B$33:$W$143,3,FALSE)</f>
        <v>6.5204946782467141</v>
      </c>
      <c r="AT85" s="3517">
        <f>'All - MECs'!AT85*VLOOKUP($B$14,'Annual Parameters'!$B$33:$W$143,3,FALSE)/VLOOKUP('All - MECs'!$B$14,'Annual Parameters'!$B$33:$W$143,3,FALSE)</f>
        <v>9.1808165341247463</v>
      </c>
      <c r="AU85" s="3520">
        <f>'All - MECs'!AU85*VLOOKUP($B$14,'Annual Parameters'!$B$33:$W$143,3,FALSE)/VLOOKUP('All - MECs'!$B$14,'Annual Parameters'!$B$33:$W$143,3,FALSE)</f>
        <v>32.965136551080178</v>
      </c>
      <c r="AV85" s="3544"/>
      <c r="AW85" s="3860"/>
      <c r="AX85" s="3493"/>
      <c r="AY85" s="3512" t="s">
        <v>1422</v>
      </c>
      <c r="AZ85" s="3513">
        <f>'All - MECs'!AZ85*VLOOKUP($B$14,'Annual Parameters'!$B$33:$W$143,3,FALSE)/VLOOKUP('All - MECs'!$B$14,'Annual Parameters'!$B$33:$W$143,3,FALSE)</f>
        <v>2.7866995502755287</v>
      </c>
      <c r="BA85" s="3514">
        <f>'All - MECs'!BA85*VLOOKUP($B$14,'Annual Parameters'!$B$33:$W$143,3,FALSE)/VLOOKUP('All - MECs'!$B$14,'Annual Parameters'!$B$33:$W$143,3,FALSE)</f>
        <v>347.05547709044754</v>
      </c>
      <c r="BB85" s="3515">
        <f>'All - MECs'!BB85*VLOOKUP($B$14,'Annual Parameters'!$B$33:$W$143,3,FALSE)/VLOOKUP('All - MECs'!$B$14,'Annual Parameters'!$B$33:$W$143,3,FALSE)</f>
        <v>185.15917113465966</v>
      </c>
      <c r="BC85" s="3513">
        <f>'All - MECs'!BC85*VLOOKUP($B$14,'Annual Parameters'!$B$33:$W$143,3,FALSE)/VLOOKUP('All - MECs'!$B$14,'Annual Parameters'!$B$33:$W$143,3,FALSE)</f>
        <v>13.519970730594189</v>
      </c>
      <c r="BD85" s="3514">
        <f>'All - MECs'!BD85*VLOOKUP($B$14,'Annual Parameters'!$B$33:$W$143,3,FALSE)/VLOOKUP('All - MECs'!$B$14,'Annual Parameters'!$B$33:$W$143,3,FALSE)</f>
        <v>138.7326794527138</v>
      </c>
      <c r="BE85" s="3515">
        <f>'All - MECs'!BE85*VLOOKUP($B$14,'Annual Parameters'!$B$33:$W$143,3,FALSE)/VLOOKUP('All - MECs'!$B$14,'Annual Parameters'!$B$33:$W$143,3,FALSE)</f>
        <v>104.01164252444822</v>
      </c>
      <c r="BF85" s="3516">
        <f>'All - MECs'!BF85*VLOOKUP($B$14,'Annual Parameters'!$B$33:$W$143,3,FALSE)/VLOOKUP('All - MECs'!$B$14,'Annual Parameters'!$B$33:$W$143,3,FALSE)</f>
        <v>56.366431171660281</v>
      </c>
      <c r="BG85" s="3517">
        <f>'All - MECs'!BG85*VLOOKUP($B$14,'Annual Parameters'!$B$33:$W$143,3,FALSE)/VLOOKUP('All - MECs'!$B$14,'Annual Parameters'!$B$33:$W$143,3,FALSE)</f>
        <v>39.09242215646421</v>
      </c>
      <c r="BH85" s="3518">
        <f>'All - MECs'!BH85*VLOOKUP($B$14,'Annual Parameters'!$B$33:$W$143,3,FALSE)/VLOOKUP('All - MECs'!$B$14,'Annual Parameters'!$B$33:$W$143,3,FALSE)</f>
        <v>9.023137563164795</v>
      </c>
      <c r="BI85" s="3519">
        <f>'All - MECs'!BI85*VLOOKUP($B$14,'Annual Parameters'!$B$33:$W$143,3,FALSE)/VLOOKUP('All - MECs'!$B$14,'Annual Parameters'!$B$33:$W$143,3,FALSE)</f>
        <v>9.9523339825870902</v>
      </c>
      <c r="BJ85" s="3517">
        <f>'All - MECs'!BJ85*VLOOKUP($B$14,'Annual Parameters'!$B$33:$W$143,3,FALSE)/VLOOKUP('All - MECs'!$B$14,'Annual Parameters'!$B$33:$W$143,3,FALSE)</f>
        <v>14.012825236295667</v>
      </c>
      <c r="BK85" s="3520">
        <f>'All - MECs'!BK85*VLOOKUP($B$14,'Annual Parameters'!$B$33:$W$143,3,FALSE)/VLOOKUP('All - MECs'!$B$14,'Annual Parameters'!$B$33:$W$143,3,FALSE)</f>
        <v>50.315208420069752</v>
      </c>
      <c r="BL85" s="3544"/>
      <c r="BM85" s="3860"/>
      <c r="BN85" s="3493"/>
      <c r="BO85" s="3512" t="s">
        <v>1422</v>
      </c>
      <c r="BP85" s="3513">
        <f>'All - MECs'!BP85*VLOOKUP($B$14,'Annual Parameters'!$B$33:$W$143,3,FALSE)/VLOOKUP('All - MECs'!$B$14,'Annual Parameters'!$B$33:$W$143,3,FALSE)</f>
        <v>2.4023271985133867</v>
      </c>
      <c r="BQ85" s="3514">
        <f>'All - MECs'!BQ85*VLOOKUP($B$14,'Annual Parameters'!$B$33:$W$143,3,FALSE)/VLOOKUP('All - MECs'!$B$14,'Annual Parameters'!$B$33:$W$143,3,FALSE)</f>
        <v>299.18575611245478</v>
      </c>
      <c r="BR85" s="3515">
        <f>'All - MECs'!BR85*VLOOKUP($B$14,'Annual Parameters'!$B$33:$W$143,3,FALSE)/VLOOKUP('All - MECs'!$B$14,'Annual Parameters'!$B$33:$W$143,3,FALSE)</f>
        <v>159.61997511608593</v>
      </c>
      <c r="BS85" s="3513">
        <f>'All - MECs'!BS85*VLOOKUP($B$14,'Annual Parameters'!$B$33:$W$143,3,FALSE)/VLOOKUP('All - MECs'!$B$14,'Annual Parameters'!$B$33:$W$143,3,FALSE)</f>
        <v>11.655147181546715</v>
      </c>
      <c r="BT85" s="3514">
        <f>'All - MECs'!BT85*VLOOKUP($B$14,'Annual Parameters'!$B$33:$W$143,3,FALSE)/VLOOKUP('All - MECs'!$B$14,'Annual Parameters'!$B$33:$W$143,3,FALSE)</f>
        <v>119.59713745923602</v>
      </c>
      <c r="BU85" s="3515">
        <f>'All - MECs'!BU85*VLOOKUP($B$14,'Annual Parameters'!$B$33:$W$143,3,FALSE)/VLOOKUP('All - MECs'!$B$14,'Annual Parameters'!$B$33:$W$143,3,FALSE)</f>
        <v>89.665209072800195</v>
      </c>
      <c r="BV85" s="3516">
        <f>'All - MECs'!BV85*VLOOKUP($B$14,'Annual Parameters'!$B$33:$W$143,3,FALSE)/VLOOKUP('All - MECs'!$B$14,'Annual Parameters'!$B$33:$W$143,3,FALSE)</f>
        <v>48.591751010051965</v>
      </c>
      <c r="BW85" s="3517">
        <f>'All - MECs'!BW85*VLOOKUP($B$14,'Annual Parameters'!$B$33:$W$143,3,FALSE)/VLOOKUP('All - MECs'!$B$14,'Annual Parameters'!$B$33:$W$143,3,FALSE)</f>
        <v>33.700363927986388</v>
      </c>
      <c r="BX85" s="3518">
        <f>'All - MECs'!BX85*VLOOKUP($B$14,'Annual Parameters'!$B$33:$W$143,3,FALSE)/VLOOKUP('All - MECs'!$B$14,'Annual Parameters'!$B$33:$W$143,3,FALSE)</f>
        <v>7.7785668647972379</v>
      </c>
      <c r="BY85" s="3519">
        <f>'All - MECs'!BY85*VLOOKUP($B$14,'Annual Parameters'!$B$33:$W$143,3,FALSE)/VLOOKUP('All - MECs'!$B$14,'Annual Parameters'!$B$33:$W$143,3,FALSE)</f>
        <v>8.5795982608509398</v>
      </c>
      <c r="BZ85" s="3517">
        <f>'All - MECs'!BZ85*VLOOKUP($B$14,'Annual Parameters'!$B$33:$W$143,3,FALSE)/VLOOKUP('All - MECs'!$B$14,'Annual Parameters'!$B$33:$W$143,3,FALSE)</f>
        <v>12.0800217554273</v>
      </c>
      <c r="CA85" s="3520">
        <f>'All - MECs'!CA85*VLOOKUP($B$14,'Annual Parameters'!$B$33:$W$143,3,FALSE)/VLOOKUP('All - MECs'!$B$14,'Annual Parameters'!$B$33:$W$143,3,FALSE)</f>
        <v>43.375179672473926</v>
      </c>
    </row>
    <row r="86" spans="1:95" ht="13.5" customHeight="1">
      <c r="A86" s="3521" t="s">
        <v>1095</v>
      </c>
      <c r="B86" s="3522"/>
      <c r="C86" s="3523" t="s">
        <v>1096</v>
      </c>
      <c r="D86" s="3524">
        <f>'All - MECs'!D86*VLOOKUP($B$14,'Annual Parameters'!$B$33:$W$143,3,FALSE)/VLOOKUP('All - MECs'!$B$14,'Annual Parameters'!$B$33:$W$143,3,FALSE)</f>
        <v>0</v>
      </c>
      <c r="E86" s="3525">
        <f>'All - MECs'!E86*VLOOKUP($B$14,'Annual Parameters'!$B$33:$W$143,3,FALSE)/VLOOKUP('All - MECs'!$B$14,'Annual Parameters'!$B$33:$W$143,3,FALSE)</f>
        <v>0.1318812836874115</v>
      </c>
      <c r="F86" s="3526">
        <f>'All - MECs'!F86*VLOOKUP($B$14,'Annual Parameters'!$B$33:$W$143,3,FALSE)/VLOOKUP('All - MECs'!$B$14,'Annual Parameters'!$B$33:$W$143,3,FALSE)</f>
        <v>0.1318812836874115</v>
      </c>
      <c r="G86" s="3524">
        <f>'All - MECs'!G86*VLOOKUP($B$14,'Annual Parameters'!$B$33:$W$143,3,FALSE)/VLOOKUP('All - MECs'!$B$14,'Annual Parameters'!$B$33:$W$143,3,FALSE)</f>
        <v>0</v>
      </c>
      <c r="H86" s="3525">
        <f>'All - MECs'!H86*VLOOKUP($B$14,'Annual Parameters'!$B$33:$W$143,3,FALSE)/VLOOKUP('All - MECs'!$B$14,'Annual Parameters'!$B$33:$W$143,3,FALSE)</f>
        <v>0.1318812836874115</v>
      </c>
      <c r="I86" s="3526">
        <f>'All - MECs'!I86*VLOOKUP($B$14,'Annual Parameters'!$B$33:$W$143,3,FALSE)/VLOOKUP('All - MECs'!$B$14,'Annual Parameters'!$B$33:$W$143,3,FALSE)</f>
        <v>0.1318812836874115</v>
      </c>
      <c r="J86" s="3527">
        <f>'All - MECs'!J86*VLOOKUP($B$14,'Annual Parameters'!$B$33:$W$143,3,FALSE)/VLOOKUP('All - MECs'!$B$14,'Annual Parameters'!$B$33:$W$143,3,FALSE)</f>
        <v>0.1318812836874115</v>
      </c>
      <c r="K86" s="3526">
        <f>'All - MECs'!K86*VLOOKUP($B$14,'Annual Parameters'!$B$33:$W$143,3,FALSE)/VLOOKUP('All - MECs'!$B$14,'Annual Parameters'!$B$33:$W$143,3,FALSE)</f>
        <v>0.1318812836874115</v>
      </c>
      <c r="L86" s="3527">
        <f>'All - MECs'!L86*VLOOKUP($B$14,'Annual Parameters'!$B$33:$W$143,3,FALSE)/VLOOKUP('All - MECs'!$B$14,'Annual Parameters'!$B$33:$W$143,3,FALSE)</f>
        <v>0</v>
      </c>
      <c r="M86" s="3528">
        <f>'All - MECs'!M86*VLOOKUP($B$14,'Annual Parameters'!$B$33:$W$143,3,FALSE)/VLOOKUP('All - MECs'!$B$14,'Annual Parameters'!$B$33:$W$143,3,FALSE)</f>
        <v>0.1318812836874115</v>
      </c>
      <c r="N86" s="3526">
        <f>'All - MECs'!N86*VLOOKUP($B$14,'Annual Parameters'!$B$33:$W$143,3,FALSE)/VLOOKUP('All - MECs'!$B$14,'Annual Parameters'!$B$33:$W$143,3,FALSE)</f>
        <v>0.1318812836874115</v>
      </c>
      <c r="O86" s="3529">
        <f>'All - MECs'!O86*VLOOKUP($B$14,'Annual Parameters'!$B$33:$W$143,3,FALSE)/VLOOKUP('All - MECs'!$B$14,'Annual Parameters'!$B$33:$W$143,3,FALSE)</f>
        <v>0.10759284342044806</v>
      </c>
      <c r="P86" s="3544"/>
      <c r="Q86" s="3521" t="s">
        <v>1095</v>
      </c>
      <c r="R86" s="3522"/>
      <c r="S86" s="3523" t="s">
        <v>1096</v>
      </c>
      <c r="T86" s="3524">
        <f>'All - MECs'!T86*VLOOKUP($B$14,'Annual Parameters'!$B$33:$W$143,3,FALSE)/VLOOKUP('All - MECs'!$B$14,'Annual Parameters'!$B$33:$W$143,3,FALSE)</f>
        <v>0</v>
      </c>
      <c r="U86" s="3525">
        <f>'All - MECs'!U86*VLOOKUP($B$14,'Annual Parameters'!$B$33:$W$143,3,FALSE)/VLOOKUP('All - MECs'!$B$14,'Annual Parameters'!$B$33:$W$143,3,FALSE)</f>
        <v>0.1318812836874115</v>
      </c>
      <c r="V86" s="3526">
        <f>'All - MECs'!V86*VLOOKUP($B$14,'Annual Parameters'!$B$33:$W$143,3,FALSE)/VLOOKUP('All - MECs'!$B$14,'Annual Parameters'!$B$33:$W$143,3,FALSE)</f>
        <v>0.1318812836874115</v>
      </c>
      <c r="W86" s="3524">
        <f>'All - MECs'!W86*VLOOKUP($B$14,'Annual Parameters'!$B$33:$W$143,3,FALSE)/VLOOKUP('All - MECs'!$B$14,'Annual Parameters'!$B$33:$W$143,3,FALSE)</f>
        <v>0</v>
      </c>
      <c r="X86" s="3525">
        <f>'All - MECs'!X86*VLOOKUP($B$14,'Annual Parameters'!$B$33:$W$143,3,FALSE)/VLOOKUP('All - MECs'!$B$14,'Annual Parameters'!$B$33:$W$143,3,FALSE)</f>
        <v>0.1318812836874115</v>
      </c>
      <c r="Y86" s="3526">
        <f>'All - MECs'!Y86*VLOOKUP($B$14,'Annual Parameters'!$B$33:$W$143,3,FALSE)/VLOOKUP('All - MECs'!$B$14,'Annual Parameters'!$B$33:$W$143,3,FALSE)</f>
        <v>0.1318812836874115</v>
      </c>
      <c r="Z86" s="3527">
        <f>'All - MECs'!Z86*VLOOKUP($B$14,'Annual Parameters'!$B$33:$W$143,3,FALSE)/VLOOKUP('All - MECs'!$B$14,'Annual Parameters'!$B$33:$W$143,3,FALSE)</f>
        <v>0.1318812836874115</v>
      </c>
      <c r="AA86" s="3526">
        <f>'All - MECs'!AA86*VLOOKUP($B$14,'Annual Parameters'!$B$33:$W$143,3,FALSE)/VLOOKUP('All - MECs'!$B$14,'Annual Parameters'!$B$33:$W$143,3,FALSE)</f>
        <v>0.1318812836874115</v>
      </c>
      <c r="AB86" s="3527">
        <f>'All - MECs'!AB86*VLOOKUP($B$14,'Annual Parameters'!$B$33:$W$143,3,FALSE)/VLOOKUP('All - MECs'!$B$14,'Annual Parameters'!$B$33:$W$143,3,FALSE)</f>
        <v>0</v>
      </c>
      <c r="AC86" s="3528">
        <f>'All - MECs'!AC86*VLOOKUP($B$14,'Annual Parameters'!$B$33:$W$143,3,FALSE)/VLOOKUP('All - MECs'!$B$14,'Annual Parameters'!$B$33:$W$143,3,FALSE)</f>
        <v>0.1318812836874115</v>
      </c>
      <c r="AD86" s="3526">
        <f>'All - MECs'!AD86*VLOOKUP($B$14,'Annual Parameters'!$B$33:$W$143,3,FALSE)/VLOOKUP('All - MECs'!$B$14,'Annual Parameters'!$B$33:$W$143,3,FALSE)</f>
        <v>0.1318812836874115</v>
      </c>
      <c r="AE86" s="3529">
        <f>'All - MECs'!AE86*VLOOKUP($B$14,'Annual Parameters'!$B$33:$W$143,3,FALSE)/VLOOKUP('All - MECs'!$B$14,'Annual Parameters'!$B$33:$W$143,3,FALSE)</f>
        <v>0.10862650031475356</v>
      </c>
      <c r="AF86" s="3544"/>
      <c r="AG86" s="3521" t="s">
        <v>1095</v>
      </c>
      <c r="AH86" s="3522"/>
      <c r="AI86" s="3523" t="s">
        <v>1096</v>
      </c>
      <c r="AJ86" s="3524">
        <f>'All - MECs'!AJ86*VLOOKUP($B$14,'Annual Parameters'!$B$33:$W$143,3,FALSE)/VLOOKUP('All - MECs'!$B$14,'Annual Parameters'!$B$33:$W$143,3,FALSE)</f>
        <v>1.1869315531867035</v>
      </c>
      <c r="AK86" s="3525">
        <f>'All - MECs'!AK86*VLOOKUP($B$14,'Annual Parameters'!$B$33:$W$143,3,FALSE)/VLOOKUP('All - MECs'!$B$14,'Annual Parameters'!$B$33:$W$143,3,FALSE)</f>
        <v>6.3303016169957518</v>
      </c>
      <c r="AL86" s="3526">
        <f>'All - MECs'!AL86*VLOOKUP($B$14,'Annual Parameters'!$B$33:$W$143,3,FALSE)/VLOOKUP('All - MECs'!$B$14,'Annual Parameters'!$B$33:$W$143,3,FALSE)</f>
        <v>26.50813802116971</v>
      </c>
      <c r="AM86" s="3524">
        <f>'All - MECs'!AM86*VLOOKUP($B$14,'Annual Parameters'!$B$33:$W$143,3,FALSE)/VLOOKUP('All - MECs'!$B$14,'Annual Parameters'!$B$33:$W$143,3,FALSE)</f>
        <v>1.1869315531867035</v>
      </c>
      <c r="AN86" s="3525">
        <f>'All - MECs'!AN86*VLOOKUP($B$14,'Annual Parameters'!$B$33:$W$143,3,FALSE)/VLOOKUP('All - MECs'!$B$14,'Annual Parameters'!$B$33:$W$143,3,FALSE)</f>
        <v>4.7477262127468141</v>
      </c>
      <c r="AO86" s="3526">
        <f>'All - MECs'!AO86*VLOOKUP($B$14,'Annual Parameters'!$B$33:$W$143,3,FALSE)/VLOOKUP('All - MECs'!$B$14,'Annual Parameters'!$B$33:$W$143,3,FALSE)</f>
        <v>26.50813802116971</v>
      </c>
      <c r="AP86" s="3527">
        <f>'All - MECs'!AP86*VLOOKUP($B$14,'Annual Parameters'!$B$33:$W$143,3,FALSE)/VLOOKUP('All - MECs'!$B$14,'Annual Parameters'!$B$33:$W$143,3,FALSE)</f>
        <v>4.6158449290594028</v>
      </c>
      <c r="AQ86" s="3526">
        <f>'All - MECs'!AQ86*VLOOKUP($B$14,'Annual Parameters'!$B$33:$W$143,3,FALSE)/VLOOKUP('All - MECs'!$B$14,'Annual Parameters'!$B$33:$W$143,3,FALSE)</f>
        <v>26.50813802116971</v>
      </c>
      <c r="AR86" s="3527">
        <f>'All - MECs'!AR86*VLOOKUP($B$14,'Annual Parameters'!$B$33:$W$143,3,FALSE)/VLOOKUP('All - MECs'!$B$14,'Annual Parameters'!$B$33:$W$143,3,FALSE)</f>
        <v>1.1869315531867035</v>
      </c>
      <c r="AS86" s="3528">
        <f>'All - MECs'!AS86*VLOOKUP($B$14,'Annual Parameters'!$B$33:$W$143,3,FALSE)/VLOOKUP('All - MECs'!$B$14,'Annual Parameters'!$B$33:$W$143,3,FALSE)</f>
        <v>3.9564385106223448</v>
      </c>
      <c r="AT86" s="3526">
        <f>'All - MECs'!AT86*VLOOKUP($B$14,'Annual Parameters'!$B$33:$W$143,3,FALSE)/VLOOKUP('All - MECs'!$B$14,'Annual Parameters'!$B$33:$W$143,3,FALSE)</f>
        <v>26.50813802116971</v>
      </c>
      <c r="AU86" s="3529">
        <f>'All - MECs'!AU86*VLOOKUP($B$14,'Annual Parameters'!$B$33:$W$143,3,FALSE)/VLOOKUP('All - MECs'!$B$14,'Annual Parameters'!$B$33:$W$143,3,FALSE)</f>
        <v>8.0271762544903034</v>
      </c>
      <c r="AV86" s="3544"/>
      <c r="AW86" s="3521" t="s">
        <v>1095</v>
      </c>
      <c r="AX86" s="3522"/>
      <c r="AY86" s="3523" t="s">
        <v>1096</v>
      </c>
      <c r="AZ86" s="3524">
        <f>'All - MECs'!AZ86*VLOOKUP($B$14,'Annual Parameters'!$B$33:$W$143,3,FALSE)/VLOOKUP('All - MECs'!$B$14,'Annual Parameters'!$B$33:$W$143,3,FALSE)</f>
        <v>4.7477262127468141</v>
      </c>
      <c r="BA86" s="3525">
        <f>'All - MECs'!BA86*VLOOKUP($B$14,'Annual Parameters'!$B$33:$W$143,3,FALSE)/VLOOKUP('All - MECs'!$B$14,'Annual Parameters'!$B$33:$W$143,3,FALSE)</f>
        <v>22.156055659485133</v>
      </c>
      <c r="BB86" s="3526">
        <f>'All - MECs'!BB86*VLOOKUP($B$14,'Annual Parameters'!$B$33:$W$143,3,FALSE)/VLOOKUP('All - MECs'!$B$14,'Annual Parameters'!$B$33:$W$143,3,FALSE)</f>
        <v>109.19770289317673</v>
      </c>
      <c r="BC86" s="3524">
        <f>'All - MECs'!BC86*VLOOKUP($B$14,'Annual Parameters'!$B$33:$W$143,3,FALSE)/VLOOKUP('All - MECs'!$B$14,'Annual Parameters'!$B$33:$W$143,3,FALSE)</f>
        <v>4.7477262127468141</v>
      </c>
      <c r="BD86" s="3525">
        <f>'All - MECs'!BD86*VLOOKUP($B$14,'Annual Parameters'!$B$33:$W$143,3,FALSE)/VLOOKUP('All - MECs'!$B$14,'Annual Parameters'!$B$33:$W$143,3,FALSE)</f>
        <v>16.74892302830126</v>
      </c>
      <c r="BE86" s="3526">
        <f>'All - MECs'!BE86*VLOOKUP($B$14,'Annual Parameters'!$B$33:$W$143,3,FALSE)/VLOOKUP('All - MECs'!$B$14,'Annual Parameters'!$B$33:$W$143,3,FALSE)</f>
        <v>109.19770289317673</v>
      </c>
      <c r="BF86" s="3527">
        <f>'All - MECs'!BF86*VLOOKUP($B$14,'Annual Parameters'!$B$33:$W$143,3,FALSE)/VLOOKUP('All - MECs'!$B$14,'Annual Parameters'!$B$33:$W$143,3,FALSE)</f>
        <v>16.485160460926437</v>
      </c>
      <c r="BG86" s="3526">
        <f>'All - MECs'!BG86*VLOOKUP($B$14,'Annual Parameters'!$B$33:$W$143,3,FALSE)/VLOOKUP('All - MECs'!$B$14,'Annual Parameters'!$B$33:$W$143,3,FALSE)</f>
        <v>109.19770289317673</v>
      </c>
      <c r="BH86" s="3527">
        <f>'All - MECs'!BH86*VLOOKUP($B$14,'Annual Parameters'!$B$33:$W$143,3,FALSE)/VLOOKUP('All - MECs'!$B$14,'Annual Parameters'!$B$33:$W$143,3,FALSE)</f>
        <v>4.7477262127468141</v>
      </c>
      <c r="BI86" s="3528">
        <f>'All - MECs'!BI86*VLOOKUP($B$14,'Annual Parameters'!$B$33:$W$143,3,FALSE)/VLOOKUP('All - MECs'!$B$14,'Annual Parameters'!$B$33:$W$143,3,FALSE)</f>
        <v>14.375059921927855</v>
      </c>
      <c r="BJ86" s="3526">
        <f>'All - MECs'!BJ86*VLOOKUP($B$14,'Annual Parameters'!$B$33:$W$143,3,FALSE)/VLOOKUP('All - MECs'!$B$14,'Annual Parameters'!$B$33:$W$143,3,FALSE)</f>
        <v>109.19770289317673</v>
      </c>
      <c r="BK86" s="3529">
        <f>'All - MECs'!BK86*VLOOKUP($B$14,'Annual Parameters'!$B$33:$W$143,3,FALSE)/VLOOKUP('All - MECs'!$B$14,'Annual Parameters'!$B$33:$W$143,3,FALSE)</f>
        <v>12.095455025457452</v>
      </c>
      <c r="BL86" s="3544"/>
      <c r="BM86" s="3521" t="s">
        <v>1095</v>
      </c>
      <c r="BN86" s="3522"/>
      <c r="BO86" s="3523" t="s">
        <v>1096</v>
      </c>
      <c r="BP86" s="3524">
        <f>'All - MECs'!BP86*VLOOKUP($B$14,'Annual Parameters'!$B$33:$W$143,3,FALSE)/VLOOKUP('All - MECs'!$B$14,'Annual Parameters'!$B$33:$W$143,3,FALSE)</f>
        <v>0</v>
      </c>
      <c r="BQ86" s="3525">
        <f>'All - MECs'!BQ86*VLOOKUP($B$14,'Annual Parameters'!$B$33:$W$143,3,FALSE)/VLOOKUP('All - MECs'!$B$14,'Annual Parameters'!$B$33:$W$143,3,FALSE)</f>
        <v>0</v>
      </c>
      <c r="BR86" s="3526">
        <f>'All - MECs'!BR86*VLOOKUP($B$14,'Annual Parameters'!$B$33:$W$143,3,FALSE)/VLOOKUP('All - MECs'!$B$14,'Annual Parameters'!$B$33:$W$143,3,FALSE)</f>
        <v>0</v>
      </c>
      <c r="BS86" s="3524">
        <f>'All - MECs'!BS86*VLOOKUP($B$14,'Annual Parameters'!$B$33:$W$143,3,FALSE)/VLOOKUP('All - MECs'!$B$14,'Annual Parameters'!$B$33:$W$143,3,FALSE)</f>
        <v>0</v>
      </c>
      <c r="BT86" s="3525">
        <f>'All - MECs'!BT86*VLOOKUP($B$14,'Annual Parameters'!$B$33:$W$143,3,FALSE)/VLOOKUP('All - MECs'!$B$14,'Annual Parameters'!$B$33:$W$143,3,FALSE)</f>
        <v>0</v>
      </c>
      <c r="BU86" s="3526">
        <f>'All - MECs'!BU86*VLOOKUP($B$14,'Annual Parameters'!$B$33:$W$143,3,FALSE)/VLOOKUP('All - MECs'!$B$14,'Annual Parameters'!$B$33:$W$143,3,FALSE)</f>
        <v>0</v>
      </c>
      <c r="BV86" s="3527">
        <f>'All - MECs'!BV86*VLOOKUP($B$14,'Annual Parameters'!$B$33:$W$143,3,FALSE)/VLOOKUP('All - MECs'!$B$14,'Annual Parameters'!$B$33:$W$143,3,FALSE)</f>
        <v>0</v>
      </c>
      <c r="BW86" s="3526">
        <f>'All - MECs'!BW86*VLOOKUP($B$14,'Annual Parameters'!$B$33:$W$143,3,FALSE)/VLOOKUP('All - MECs'!$B$14,'Annual Parameters'!$B$33:$W$143,3,FALSE)</f>
        <v>0</v>
      </c>
      <c r="BX86" s="3527">
        <f>'All - MECs'!BX86*VLOOKUP($B$14,'Annual Parameters'!$B$33:$W$143,3,FALSE)/VLOOKUP('All - MECs'!$B$14,'Annual Parameters'!$B$33:$W$143,3,FALSE)</f>
        <v>0</v>
      </c>
      <c r="BY86" s="3528">
        <f>'All - MECs'!BY86*VLOOKUP($B$14,'Annual Parameters'!$B$33:$W$143,3,FALSE)/VLOOKUP('All - MECs'!$B$14,'Annual Parameters'!$B$33:$W$143,3,FALSE)</f>
        <v>0</v>
      </c>
      <c r="BZ86" s="3526">
        <f>'All - MECs'!BZ86*VLOOKUP($B$14,'Annual Parameters'!$B$33:$W$143,3,FALSE)/VLOOKUP('All - MECs'!$B$14,'Annual Parameters'!$B$33:$W$143,3,FALSE)</f>
        <v>0</v>
      </c>
      <c r="CA86" s="3529">
        <f>'All - MECs'!CA86*VLOOKUP($B$14,'Annual Parameters'!$B$33:$W$143,3,FALSE)/VLOOKUP('All - MECs'!$B$14,'Annual Parameters'!$B$33:$W$143,3,FALSE)</f>
        <v>0</v>
      </c>
    </row>
    <row r="87" spans="1:95" ht="13.5" customHeight="1">
      <c r="A87" s="3521" t="s">
        <v>477</v>
      </c>
      <c r="B87" s="3522"/>
      <c r="C87" s="3530" t="s">
        <v>1096</v>
      </c>
      <c r="D87" s="3531">
        <f>'All - MECs'!D87*VLOOKUP($B$14,'Annual Parameters'!$B$33:$W$143,3,FALSE)/VLOOKUP('All - MECs'!$B$14,'Annual Parameters'!$B$33:$W$143,3,FALSE)</f>
        <v>0</v>
      </c>
      <c r="E87" s="3532">
        <f>'All - MECs'!E87*VLOOKUP($B$14,'Annual Parameters'!$B$33:$W$143,3,FALSE)/VLOOKUP('All - MECs'!$B$14,'Annual Parameters'!$B$33:$W$143,3,FALSE)</f>
        <v>4.6872891207302585</v>
      </c>
      <c r="F87" s="3533">
        <f>'All - MECs'!F87*VLOOKUP($B$14,'Annual Parameters'!$B$33:$W$143,3,FALSE)/VLOOKUP('All - MECs'!$B$14,'Annual Parameters'!$B$33:$W$143,3,FALSE)</f>
        <v>4.6872891207302585</v>
      </c>
      <c r="G87" s="3531">
        <f>'All - MECs'!G87*VLOOKUP($B$14,'Annual Parameters'!$B$33:$W$143,3,FALSE)/VLOOKUP('All - MECs'!$B$14,'Annual Parameters'!$B$33:$W$143,3,FALSE)</f>
        <v>0</v>
      </c>
      <c r="H87" s="3532">
        <f>'All - MECs'!H87*VLOOKUP($B$14,'Annual Parameters'!$B$33:$W$143,3,FALSE)/VLOOKUP('All - MECs'!$B$14,'Annual Parameters'!$B$33:$W$143,3,FALSE)</f>
        <v>4.6872891207302585</v>
      </c>
      <c r="I87" s="3534">
        <f>'All - MECs'!I87*VLOOKUP($B$14,'Annual Parameters'!$B$33:$W$143,3,FALSE)/VLOOKUP('All - MECs'!$B$14,'Annual Parameters'!$B$33:$W$143,3,FALSE)</f>
        <v>4.6872891207302585</v>
      </c>
      <c r="J87" s="3535">
        <f>'All - MECs'!J87*VLOOKUP($B$14,'Annual Parameters'!$B$33:$W$143,3,FALSE)/VLOOKUP('All - MECs'!$B$14,'Annual Parameters'!$B$33:$W$143,3,FALSE)</f>
        <v>4.6872891207302585</v>
      </c>
      <c r="K87" s="3533">
        <f>'All - MECs'!K87*VLOOKUP($B$14,'Annual Parameters'!$B$33:$W$143,3,FALSE)/VLOOKUP('All - MECs'!$B$14,'Annual Parameters'!$B$33:$W$143,3,FALSE)</f>
        <v>4.6872891207302585</v>
      </c>
      <c r="L87" s="3535">
        <f>'All - MECs'!L87*VLOOKUP($B$14,'Annual Parameters'!$B$33:$W$143,3,FALSE)/VLOOKUP('All - MECs'!$B$14,'Annual Parameters'!$B$33:$W$143,3,FALSE)</f>
        <v>0</v>
      </c>
      <c r="M87" s="3536">
        <f>'All - MECs'!M87*VLOOKUP($B$14,'Annual Parameters'!$B$33:$W$143,3,FALSE)/VLOOKUP('All - MECs'!$B$14,'Annual Parameters'!$B$33:$W$143,3,FALSE)</f>
        <v>1.0937007948370601</v>
      </c>
      <c r="N87" s="3533">
        <f>'All - MECs'!N87*VLOOKUP($B$14,'Annual Parameters'!$B$33:$W$143,3,FALSE)/VLOOKUP('All - MECs'!$B$14,'Annual Parameters'!$B$33:$W$143,3,FALSE)</f>
        <v>1.0937007948370601</v>
      </c>
      <c r="O87" s="3502">
        <f>'All - MECs'!O87*VLOOKUP($B$14,'Annual Parameters'!$B$33:$W$143,3,FALSE)/VLOOKUP('All - MECs'!$B$14,'Annual Parameters'!$B$33:$W$143,3,FALSE)</f>
        <v>2.4984385981404889</v>
      </c>
      <c r="P87" s="3544"/>
      <c r="Q87" s="3521" t="s">
        <v>477</v>
      </c>
      <c r="R87" s="3522"/>
      <c r="S87" s="3530" t="s">
        <v>1096</v>
      </c>
      <c r="T87" s="3531">
        <f>'All - MECs'!T87*VLOOKUP($B$14,'Annual Parameters'!$B$33:$W$143,3,FALSE)/VLOOKUP('All - MECs'!$B$14,'Annual Parameters'!$B$33:$W$143,3,FALSE)</f>
        <v>0</v>
      </c>
      <c r="U87" s="3532">
        <f>'All - MECs'!U87*VLOOKUP($B$14,'Annual Parameters'!$B$33:$W$143,3,FALSE)/VLOOKUP('All - MECs'!$B$14,'Annual Parameters'!$B$33:$W$143,3,FALSE)</f>
        <v>4.6872891207302585</v>
      </c>
      <c r="V87" s="3533">
        <f>'All - MECs'!V87*VLOOKUP($B$14,'Annual Parameters'!$B$33:$W$143,3,FALSE)/VLOOKUP('All - MECs'!$B$14,'Annual Parameters'!$B$33:$W$143,3,FALSE)</f>
        <v>4.6872891207302585</v>
      </c>
      <c r="W87" s="3531">
        <f>'All - MECs'!W87*VLOOKUP($B$14,'Annual Parameters'!$B$33:$W$143,3,FALSE)/VLOOKUP('All - MECs'!$B$14,'Annual Parameters'!$B$33:$W$143,3,FALSE)</f>
        <v>0</v>
      </c>
      <c r="X87" s="3532">
        <f>'All - MECs'!X87*VLOOKUP($B$14,'Annual Parameters'!$B$33:$W$143,3,FALSE)/VLOOKUP('All - MECs'!$B$14,'Annual Parameters'!$B$33:$W$143,3,FALSE)</f>
        <v>4.6872891207302585</v>
      </c>
      <c r="Y87" s="3534">
        <f>'All - MECs'!Y87*VLOOKUP($B$14,'Annual Parameters'!$B$33:$W$143,3,FALSE)/VLOOKUP('All - MECs'!$B$14,'Annual Parameters'!$B$33:$W$143,3,FALSE)</f>
        <v>4.6872891207302585</v>
      </c>
      <c r="Z87" s="3535">
        <f>'All - MECs'!Z87*VLOOKUP($B$14,'Annual Parameters'!$B$33:$W$143,3,FALSE)/VLOOKUP('All - MECs'!$B$14,'Annual Parameters'!$B$33:$W$143,3,FALSE)</f>
        <v>4.6872891207302585</v>
      </c>
      <c r="AA87" s="3533">
        <f>'All - MECs'!AA87*VLOOKUP($B$14,'Annual Parameters'!$B$33:$W$143,3,FALSE)/VLOOKUP('All - MECs'!$B$14,'Annual Parameters'!$B$33:$W$143,3,FALSE)</f>
        <v>4.6872891207302585</v>
      </c>
      <c r="AB87" s="3535">
        <f>'All - MECs'!AB87*VLOOKUP($B$14,'Annual Parameters'!$B$33:$W$143,3,FALSE)/VLOOKUP('All - MECs'!$B$14,'Annual Parameters'!$B$33:$W$143,3,FALSE)</f>
        <v>0</v>
      </c>
      <c r="AC87" s="3536">
        <f>'All - MECs'!AC87*VLOOKUP($B$14,'Annual Parameters'!$B$33:$W$143,3,FALSE)/VLOOKUP('All - MECs'!$B$14,'Annual Parameters'!$B$33:$W$143,3,FALSE)</f>
        <v>1.0937007948370601</v>
      </c>
      <c r="AD87" s="3533">
        <f>'All - MECs'!AD87*VLOOKUP($B$14,'Annual Parameters'!$B$33:$W$143,3,FALSE)/VLOOKUP('All - MECs'!$B$14,'Annual Parameters'!$B$33:$W$143,3,FALSE)</f>
        <v>1.0937007948370601</v>
      </c>
      <c r="AE87" s="3502">
        <f>'All - MECs'!AE87*VLOOKUP($B$14,'Annual Parameters'!$B$33:$W$143,3,FALSE)/VLOOKUP('All - MECs'!$B$14,'Annual Parameters'!$B$33:$W$143,3,FALSE)</f>
        <v>2.4311065739353679</v>
      </c>
      <c r="AF87" s="3544"/>
      <c r="AG87" s="3521" t="s">
        <v>477</v>
      </c>
      <c r="AH87" s="3522"/>
      <c r="AI87" s="3530" t="s">
        <v>1096</v>
      </c>
      <c r="AJ87" s="3531">
        <f>'All - MECs'!AJ87*VLOOKUP($B$14,'Annual Parameters'!$B$33:$W$143,3,FALSE)/VLOOKUP('All - MECs'!$B$14,'Annual Parameters'!$B$33:$W$143,3,FALSE)</f>
        <v>0.46872891207302581</v>
      </c>
      <c r="AK87" s="3532">
        <f>'All - MECs'!AK87*VLOOKUP($B$14,'Annual Parameters'!$B$33:$W$143,3,FALSE)/VLOOKUP('All - MECs'!$B$14,'Annual Parameters'!$B$33:$W$143,3,FALSE)</f>
        <v>4.999775062112275</v>
      </c>
      <c r="AL87" s="3533">
        <f>'All - MECs'!AL87*VLOOKUP($B$14,'Annual Parameters'!$B$33:$W$143,3,FALSE)/VLOOKUP('All - MECs'!$B$14,'Annual Parameters'!$B$33:$W$143,3,FALSE)</f>
        <v>4.999775062112275</v>
      </c>
      <c r="AM87" s="3531">
        <f>'All - MECs'!AM87*VLOOKUP($B$14,'Annual Parameters'!$B$33:$W$143,3,FALSE)/VLOOKUP('All - MECs'!$B$14,'Annual Parameters'!$B$33:$W$143,3,FALSE)</f>
        <v>0.46872891207302581</v>
      </c>
      <c r="AN87" s="3532">
        <f>'All - MECs'!AN87*VLOOKUP($B$14,'Annual Parameters'!$B$33:$W$143,3,FALSE)/VLOOKUP('All - MECs'!$B$14,'Annual Parameters'!$B$33:$W$143,3,FALSE)</f>
        <v>4.999775062112275</v>
      </c>
      <c r="AO87" s="3534">
        <f>'All - MECs'!AO87*VLOOKUP($B$14,'Annual Parameters'!$B$33:$W$143,3,FALSE)/VLOOKUP('All - MECs'!$B$14,'Annual Parameters'!$B$33:$W$143,3,FALSE)</f>
        <v>4.999775062112275</v>
      </c>
      <c r="AP87" s="3535">
        <f>'All - MECs'!AP87*VLOOKUP($B$14,'Annual Parameters'!$B$33:$W$143,3,FALSE)/VLOOKUP('All - MECs'!$B$14,'Annual Parameters'!$B$33:$W$143,3,FALSE)</f>
        <v>4.999775062112275</v>
      </c>
      <c r="AQ87" s="3533">
        <f>'All - MECs'!AQ87*VLOOKUP($B$14,'Annual Parameters'!$B$33:$W$143,3,FALSE)/VLOOKUP('All - MECs'!$B$14,'Annual Parameters'!$B$33:$W$143,3,FALSE)</f>
        <v>4.999775062112275</v>
      </c>
      <c r="AR87" s="3535">
        <f>'All - MECs'!AR87*VLOOKUP($B$14,'Annual Parameters'!$B$33:$W$143,3,FALSE)/VLOOKUP('All - MECs'!$B$14,'Annual Parameters'!$B$33:$W$143,3,FALSE)</f>
        <v>0.46872891207302581</v>
      </c>
      <c r="AS87" s="3536">
        <f>'All - MECs'!AS87*VLOOKUP($B$14,'Annual Parameters'!$B$33:$W$143,3,FALSE)/VLOOKUP('All - MECs'!$B$14,'Annual Parameters'!$B$33:$W$143,3,FALSE)</f>
        <v>5.3122610034942932</v>
      </c>
      <c r="AT87" s="3533">
        <f>'All - MECs'!AT87*VLOOKUP($B$14,'Annual Parameters'!$B$33:$W$143,3,FALSE)/VLOOKUP('All - MECs'!$B$14,'Annual Parameters'!$B$33:$W$143,3,FALSE)</f>
        <v>5.3122610034942932</v>
      </c>
      <c r="AU87" s="3502">
        <f>'All - MECs'!AU87*VLOOKUP($B$14,'Annual Parameters'!$B$33:$W$143,3,FALSE)/VLOOKUP('All - MECs'!$B$14,'Annual Parameters'!$B$33:$W$143,3,FALSE)</f>
        <v>3.755997475583452</v>
      </c>
      <c r="AV87" s="3544"/>
      <c r="AW87" s="3521" t="s">
        <v>477</v>
      </c>
      <c r="AX87" s="3522"/>
      <c r="AY87" s="3530" t="s">
        <v>1096</v>
      </c>
      <c r="AZ87" s="3531">
        <f>'All - MECs'!AZ87*VLOOKUP($B$14,'Annual Parameters'!$B$33:$W$143,3,FALSE)/VLOOKUP('All - MECs'!$B$14,'Annual Parameters'!$B$33:$W$143,3,FALSE)</f>
        <v>0.46872891207302581</v>
      </c>
      <c r="BA87" s="3532">
        <f>'All - MECs'!BA87*VLOOKUP($B$14,'Annual Parameters'!$B$33:$W$143,3,FALSE)/VLOOKUP('All - MECs'!$B$14,'Annual Parameters'!$B$33:$W$143,3,FALSE)</f>
        <v>4.999775062112275</v>
      </c>
      <c r="BB87" s="3533">
        <f>'All - MECs'!BB87*VLOOKUP($B$14,'Annual Parameters'!$B$33:$W$143,3,FALSE)/VLOOKUP('All - MECs'!$B$14,'Annual Parameters'!$B$33:$W$143,3,FALSE)</f>
        <v>4.999775062112275</v>
      </c>
      <c r="BC87" s="3531">
        <f>'All - MECs'!BC87*VLOOKUP($B$14,'Annual Parameters'!$B$33:$W$143,3,FALSE)/VLOOKUP('All - MECs'!$B$14,'Annual Parameters'!$B$33:$W$143,3,FALSE)</f>
        <v>0.46872891207302581</v>
      </c>
      <c r="BD87" s="3532">
        <f>'All - MECs'!BD87*VLOOKUP($B$14,'Annual Parameters'!$B$33:$W$143,3,FALSE)/VLOOKUP('All - MECs'!$B$14,'Annual Parameters'!$B$33:$W$143,3,FALSE)</f>
        <v>4.999775062112275</v>
      </c>
      <c r="BE87" s="3534">
        <f>'All - MECs'!BE87*VLOOKUP($B$14,'Annual Parameters'!$B$33:$W$143,3,FALSE)/VLOOKUP('All - MECs'!$B$14,'Annual Parameters'!$B$33:$W$143,3,FALSE)</f>
        <v>4.999775062112275</v>
      </c>
      <c r="BF87" s="3535">
        <f>'All - MECs'!BF87*VLOOKUP($B$14,'Annual Parameters'!$B$33:$W$143,3,FALSE)/VLOOKUP('All - MECs'!$B$14,'Annual Parameters'!$B$33:$W$143,3,FALSE)</f>
        <v>4.999775062112275</v>
      </c>
      <c r="BG87" s="3533">
        <f>'All - MECs'!BG87*VLOOKUP($B$14,'Annual Parameters'!$B$33:$W$143,3,FALSE)/VLOOKUP('All - MECs'!$B$14,'Annual Parameters'!$B$33:$W$143,3,FALSE)</f>
        <v>4.999775062112275</v>
      </c>
      <c r="BH87" s="3535">
        <f>'All - MECs'!BH87*VLOOKUP($B$14,'Annual Parameters'!$B$33:$W$143,3,FALSE)/VLOOKUP('All - MECs'!$B$14,'Annual Parameters'!$B$33:$W$143,3,FALSE)</f>
        <v>0.46872891207302581</v>
      </c>
      <c r="BI87" s="3536">
        <f>'All - MECs'!BI87*VLOOKUP($B$14,'Annual Parameters'!$B$33:$W$143,3,FALSE)/VLOOKUP('All - MECs'!$B$14,'Annual Parameters'!$B$33:$W$143,3,FALSE)</f>
        <v>5.3122610034942932</v>
      </c>
      <c r="BJ87" s="3533">
        <f>'All - MECs'!BJ87*VLOOKUP($B$14,'Annual Parameters'!$B$33:$W$143,3,FALSE)/VLOOKUP('All - MECs'!$B$14,'Annual Parameters'!$B$33:$W$143,3,FALSE)</f>
        <v>5.3122610034942932</v>
      </c>
      <c r="BK87" s="3502">
        <f>'All - MECs'!BK87*VLOOKUP($B$14,'Annual Parameters'!$B$33:$W$143,3,FALSE)/VLOOKUP('All - MECs'!$B$14,'Annual Parameters'!$B$33:$W$143,3,FALSE)</f>
        <v>2.595725449674215</v>
      </c>
      <c r="BL87" s="3544"/>
      <c r="BM87" s="3521" t="s">
        <v>477</v>
      </c>
      <c r="BN87" s="3522"/>
      <c r="BO87" s="3530" t="s">
        <v>1096</v>
      </c>
      <c r="BP87" s="3531">
        <f>'All - MECs'!BP87*VLOOKUP($B$14,'Annual Parameters'!$B$33:$W$143,3,FALSE)/VLOOKUP('All - MECs'!$B$14,'Annual Parameters'!$B$33:$W$143,3,FALSE)</f>
        <v>0</v>
      </c>
      <c r="BQ87" s="3532">
        <f>'All - MECs'!BQ87*VLOOKUP($B$14,'Annual Parameters'!$B$33:$W$143,3,FALSE)/VLOOKUP('All - MECs'!$B$14,'Annual Parameters'!$B$33:$W$143,3,FALSE)</f>
        <v>0</v>
      </c>
      <c r="BR87" s="3533">
        <f>'All - MECs'!BR87*VLOOKUP($B$14,'Annual Parameters'!$B$33:$W$143,3,FALSE)/VLOOKUP('All - MECs'!$B$14,'Annual Parameters'!$B$33:$W$143,3,FALSE)</f>
        <v>0</v>
      </c>
      <c r="BS87" s="3531">
        <f>'All - MECs'!BS87*VLOOKUP($B$14,'Annual Parameters'!$B$33:$W$143,3,FALSE)/VLOOKUP('All - MECs'!$B$14,'Annual Parameters'!$B$33:$W$143,3,FALSE)</f>
        <v>0</v>
      </c>
      <c r="BT87" s="3532">
        <f>'All - MECs'!BT87*VLOOKUP($B$14,'Annual Parameters'!$B$33:$W$143,3,FALSE)/VLOOKUP('All - MECs'!$B$14,'Annual Parameters'!$B$33:$W$143,3,FALSE)</f>
        <v>0</v>
      </c>
      <c r="BU87" s="3534">
        <f>'All - MECs'!BU87*VLOOKUP($B$14,'Annual Parameters'!$B$33:$W$143,3,FALSE)/VLOOKUP('All - MECs'!$B$14,'Annual Parameters'!$B$33:$W$143,3,FALSE)</f>
        <v>0</v>
      </c>
      <c r="BV87" s="3535">
        <f>'All - MECs'!BV87*VLOOKUP($B$14,'Annual Parameters'!$B$33:$W$143,3,FALSE)/VLOOKUP('All - MECs'!$B$14,'Annual Parameters'!$B$33:$W$143,3,FALSE)</f>
        <v>0</v>
      </c>
      <c r="BW87" s="3533">
        <f>'All - MECs'!BW87*VLOOKUP($B$14,'Annual Parameters'!$B$33:$W$143,3,FALSE)/VLOOKUP('All - MECs'!$B$14,'Annual Parameters'!$B$33:$W$143,3,FALSE)</f>
        <v>0</v>
      </c>
      <c r="BX87" s="3535">
        <f>'All - MECs'!BX87*VLOOKUP($B$14,'Annual Parameters'!$B$33:$W$143,3,FALSE)/VLOOKUP('All - MECs'!$B$14,'Annual Parameters'!$B$33:$W$143,3,FALSE)</f>
        <v>0</v>
      </c>
      <c r="BY87" s="3536">
        <f>'All - MECs'!BY87*VLOOKUP($B$14,'Annual Parameters'!$B$33:$W$143,3,FALSE)/VLOOKUP('All - MECs'!$B$14,'Annual Parameters'!$B$33:$W$143,3,FALSE)</f>
        <v>0</v>
      </c>
      <c r="BZ87" s="3533">
        <f>'All - MECs'!BZ87*VLOOKUP($B$14,'Annual Parameters'!$B$33:$W$143,3,FALSE)/VLOOKUP('All - MECs'!$B$14,'Annual Parameters'!$B$33:$W$143,3,FALSE)</f>
        <v>0</v>
      </c>
      <c r="CA87" s="3502">
        <f>'All - MECs'!CA87*VLOOKUP($B$14,'Annual Parameters'!$B$33:$W$143,3,FALSE)/VLOOKUP('All - MECs'!$B$14,'Annual Parameters'!$B$33:$W$143,3,FALSE)</f>
        <v>0</v>
      </c>
    </row>
    <row r="88" spans="1:95" ht="13.5" customHeight="1">
      <c r="A88" s="3521" t="s">
        <v>1097</v>
      </c>
      <c r="B88" s="3522"/>
      <c r="C88" s="3530" t="s">
        <v>1096</v>
      </c>
      <c r="D88" s="3535">
        <f>'All - MECs'!D88*VLOOKUP($B$14,'Annual Parameters'!$B$33:$W$143,3,FALSE)/VLOOKUP('All - MECs'!$B$14,'Annual Parameters'!$B$33:$W$143,3,FALSE)</f>
        <v>0.45632070241503941</v>
      </c>
      <c r="E88" s="3532">
        <f>'All - MECs'!E88*VLOOKUP($B$14,'Annual Parameters'!$B$33:$W$143,3,FALSE)/VLOOKUP('All - MECs'!$B$14,'Annual Parameters'!$B$33:$W$143,3,FALSE)</f>
        <v>0.47933835154110727</v>
      </c>
      <c r="F88" s="3537">
        <f>'All - MECs'!F88*VLOOKUP($B$14,'Annual Parameters'!$B$33:$W$143,3,FALSE)/VLOOKUP('All - MECs'!$B$14,'Annual Parameters'!$B$33:$W$143,3,FALSE)</f>
        <v>0.62002288521215476</v>
      </c>
      <c r="G88" s="3531">
        <f>'All - MECs'!G88*VLOOKUP($B$14,'Annual Parameters'!$B$33:$W$143,3,FALSE)/VLOOKUP('All - MECs'!$B$14,'Annual Parameters'!$B$33:$W$143,3,FALSE)</f>
        <v>0.1916744163226502</v>
      </c>
      <c r="H88" s="3532">
        <f>'All - MECs'!H88*VLOOKUP($B$14,'Annual Parameters'!$B$33:$W$143,3,FALSE)/VLOOKUP('All - MECs'!$B$14,'Annual Parameters'!$B$33:$W$143,3,FALSE)</f>
        <v>0.1684475471823462</v>
      </c>
      <c r="I88" s="3537">
        <f>'All - MECs'!I88*VLOOKUP($B$14,'Annual Parameters'!$B$33:$W$143,3,FALSE)/VLOOKUP('All - MECs'!$B$14,'Annual Parameters'!$B$33:$W$143,3,FALSE)</f>
        <v>0.18122239098080184</v>
      </c>
      <c r="J88" s="3531">
        <f>'All - MECs'!J88*VLOOKUP($B$14,'Annual Parameters'!$B$33:$W$143,3,FALSE)/VLOOKUP('All - MECs'!$B$14,'Annual Parameters'!$B$33:$W$143,3,FALSE)</f>
        <v>0.12035178309360745</v>
      </c>
      <c r="K88" s="3537">
        <f>'All - MECs'!K88*VLOOKUP($B$14,'Annual Parameters'!$B$33:$W$143,3,FALSE)/VLOOKUP('All - MECs'!$B$14,'Annual Parameters'!$B$33:$W$143,3,FALSE)</f>
        <v>0.12886922076397703</v>
      </c>
      <c r="L88" s="3531">
        <f>'All - MECs'!L88*VLOOKUP($B$14,'Annual Parameters'!$B$33:$W$143,3,FALSE)/VLOOKUP('All - MECs'!$B$14,'Annual Parameters'!$B$33:$W$143,3,FALSE)</f>
        <v>5.816760237214947E-2</v>
      </c>
      <c r="M88" s="3538">
        <f>'All - MECs'!M88*VLOOKUP($B$14,'Annual Parameters'!$B$33:$W$143,3,FALSE)/VLOOKUP('All - MECs'!$B$14,'Annual Parameters'!$B$33:$W$143,3,FALSE)</f>
        <v>4.7128952433578244E-2</v>
      </c>
      <c r="N88" s="3534">
        <f>'All - MECs'!N88*VLOOKUP($B$14,'Annual Parameters'!$B$33:$W$143,3,FALSE)/VLOOKUP('All - MECs'!$B$14,'Annual Parameters'!$B$33:$W$143,3,FALSE)</f>
        <v>4.1887527850442717E-2</v>
      </c>
      <c r="O88" s="3539">
        <f>'All - MECs'!O88*VLOOKUP($B$14,'Annual Parameters'!$B$33:$W$143,3,FALSE)/VLOOKUP('All - MECs'!$B$14,'Annual Parameters'!$B$33:$W$143,3,FALSE)</f>
        <v>0.12161277261384723</v>
      </c>
      <c r="P88" s="3544"/>
      <c r="Q88" s="3521" t="s">
        <v>1097</v>
      </c>
      <c r="R88" s="3522"/>
      <c r="S88" s="3530" t="s">
        <v>1096</v>
      </c>
      <c r="T88" s="3535">
        <f>'All - MECs'!T88*VLOOKUP($B$14,'Annual Parameters'!$B$33:$W$143,3,FALSE)/VLOOKUP('All - MECs'!$B$14,'Annual Parameters'!$B$33:$W$143,3,FALSE)</f>
        <v>0.74116610882052147</v>
      </c>
      <c r="U88" s="3532">
        <f>'All - MECs'!U88*VLOOKUP($B$14,'Annual Parameters'!$B$33:$W$143,3,FALSE)/VLOOKUP('All - MECs'!$B$14,'Annual Parameters'!$B$33:$W$143,3,FALSE)</f>
        <v>0.76225759303704055</v>
      </c>
      <c r="V88" s="3537">
        <f>'All - MECs'!V88*VLOOKUP($B$14,'Annual Parameters'!$B$33:$W$143,3,FALSE)/VLOOKUP('All - MECs'!$B$14,'Annual Parameters'!$B$33:$W$143,3,FALSE)</f>
        <v>0.97453582487705182</v>
      </c>
      <c r="W88" s="3531">
        <f>'All - MECs'!W88*VLOOKUP($B$14,'Annual Parameters'!$B$33:$W$143,3,FALSE)/VLOOKUP('All - MECs'!$B$14,'Annual Parameters'!$B$33:$W$143,3,FALSE)</f>
        <v>0.31341837014718543</v>
      </c>
      <c r="X88" s="3532">
        <f>'All - MECs'!X88*VLOOKUP($B$14,'Annual Parameters'!$B$33:$W$143,3,FALSE)/VLOOKUP('All - MECs'!$B$14,'Annual Parameters'!$B$33:$W$143,3,FALSE)</f>
        <v>0.26038859158429967</v>
      </c>
      <c r="Y88" s="3537">
        <f>'All - MECs'!Y88*VLOOKUP($B$14,'Annual Parameters'!$B$33:$W$143,3,FALSE)/VLOOKUP('All - MECs'!$B$14,'Annual Parameters'!$B$33:$W$143,3,FALSE)</f>
        <v>0.27788927219626103</v>
      </c>
      <c r="Z88" s="3531">
        <f>'All - MECs'!Z88*VLOOKUP($B$14,'Annual Parameters'!$B$33:$W$143,3,FALSE)/VLOOKUP('All - MECs'!$B$14,'Annual Parameters'!$B$33:$W$143,3,FALSE)</f>
        <v>0.18900393675104354</v>
      </c>
      <c r="AA88" s="3537">
        <f>'All - MECs'!AA88*VLOOKUP($B$14,'Annual Parameters'!$B$33:$W$143,3,FALSE)/VLOOKUP('All - MECs'!$B$14,'Annual Parameters'!$B$33:$W$143,3,FALSE)</f>
        <v>0.19796481034411711</v>
      </c>
      <c r="AB88" s="3531">
        <f>'All - MECs'!AB88*VLOOKUP($B$14,'Annual Parameters'!$B$33:$W$143,3,FALSE)/VLOOKUP('All - MECs'!$B$14,'Annual Parameters'!$B$33:$W$143,3,FALSE)</f>
        <v>9.5180243607374829E-2</v>
      </c>
      <c r="AC88" s="3538">
        <f>'All - MECs'!AC88*VLOOKUP($B$14,'Annual Parameters'!$B$33:$W$143,3,FALSE)/VLOOKUP('All - MECs'!$B$14,'Annual Parameters'!$B$33:$W$143,3,FALSE)</f>
        <v>8.0086682913662874E-2</v>
      </c>
      <c r="AD88" s="3534">
        <f>'All - MECs'!AD88*VLOOKUP($B$14,'Annual Parameters'!$B$33:$W$143,3,FALSE)/VLOOKUP('All - MECs'!$B$14,'Annual Parameters'!$B$33:$W$143,3,FALSE)</f>
        <v>6.5048081697064108E-2</v>
      </c>
      <c r="AE88" s="3539">
        <f>'All - MECs'!AE88*VLOOKUP($B$14,'Annual Parameters'!$B$33:$W$143,3,FALSE)/VLOOKUP('All - MECs'!$B$14,'Annual Parameters'!$B$33:$W$143,3,FALSE)</f>
        <v>0.19169759533237818</v>
      </c>
      <c r="AF88" s="3544"/>
      <c r="AG88" s="3521" t="s">
        <v>1097</v>
      </c>
      <c r="AH88" s="3522"/>
      <c r="AI88" s="3530" t="s">
        <v>1096</v>
      </c>
      <c r="AJ88" s="3535">
        <f>'All - MECs'!AJ88*VLOOKUP($B$14,'Annual Parameters'!$B$33:$W$143,3,FALSE)/VLOOKUP('All - MECs'!$B$14,'Annual Parameters'!$B$33:$W$143,3,FALSE)</f>
        <v>1.3852787058993083</v>
      </c>
      <c r="AK88" s="3532">
        <f>'All - MECs'!AK88*VLOOKUP($B$14,'Annual Parameters'!$B$33:$W$143,3,FALSE)/VLOOKUP('All - MECs'!$B$14,'Annual Parameters'!$B$33:$W$143,3,FALSE)</f>
        <v>2.2849696018792329</v>
      </c>
      <c r="AL88" s="3537">
        <f>'All - MECs'!AL88*VLOOKUP($B$14,'Annual Parameters'!$B$33:$W$143,3,FALSE)/VLOOKUP('All - MECs'!$B$14,'Annual Parameters'!$B$33:$W$143,3,FALSE)</f>
        <v>2.8798151205761195</v>
      </c>
      <c r="AM88" s="3531">
        <f>'All - MECs'!AM88*VLOOKUP($B$14,'Annual Parameters'!$B$33:$W$143,3,FALSE)/VLOOKUP('All - MECs'!$B$14,'Annual Parameters'!$B$33:$W$143,3,FALSE)</f>
        <v>0.62765160101841355</v>
      </c>
      <c r="AN88" s="3532">
        <f>'All - MECs'!AN88*VLOOKUP($B$14,'Annual Parameters'!$B$33:$W$143,3,FALSE)/VLOOKUP('All - MECs'!$B$14,'Annual Parameters'!$B$33:$W$143,3,FALSE)</f>
        <v>0.74887591918921215</v>
      </c>
      <c r="AO88" s="3537">
        <f>'All - MECs'!AO88*VLOOKUP($B$14,'Annual Parameters'!$B$33:$W$143,3,FALSE)/VLOOKUP('All - MECs'!$B$14,'Annual Parameters'!$B$33:$W$143,3,FALSE)</f>
        <v>0.87087554839171044</v>
      </c>
      <c r="AP88" s="3531">
        <f>'All - MECs'!AP88*VLOOKUP($B$14,'Annual Parameters'!$B$33:$W$143,3,FALSE)/VLOOKUP('All - MECs'!$B$14,'Annual Parameters'!$B$33:$W$143,3,FALSE)</f>
        <v>0.51555297488113427</v>
      </c>
      <c r="AQ88" s="3537">
        <f>'All - MECs'!AQ88*VLOOKUP($B$14,'Annual Parameters'!$B$33:$W$143,3,FALSE)/VLOOKUP('All - MECs'!$B$14,'Annual Parameters'!$B$33:$W$143,3,FALSE)</f>
        <v>0.61451540838595253</v>
      </c>
      <c r="AR88" s="3531">
        <f>'All - MECs'!AR88*VLOOKUP($B$14,'Annual Parameters'!$B$33:$W$143,3,FALSE)/VLOOKUP('All - MECs'!$B$14,'Annual Parameters'!$B$33:$W$143,3,FALSE)</f>
        <v>0.18329023376898468</v>
      </c>
      <c r="AS88" s="3538">
        <f>'All - MECs'!AS88*VLOOKUP($B$14,'Annual Parameters'!$B$33:$W$143,3,FALSE)/VLOOKUP('All - MECs'!$B$14,'Annual Parameters'!$B$33:$W$143,3,FALSE)</f>
        <v>0.17475834852300656</v>
      </c>
      <c r="AT88" s="3534">
        <f>'All - MECs'!AT88*VLOOKUP($B$14,'Annual Parameters'!$B$33:$W$143,3,FALSE)/VLOOKUP('All - MECs'!$B$14,'Annual Parameters'!$B$33:$W$143,3,FALSE)</f>
        <v>0.16416586192922472</v>
      </c>
      <c r="AU88" s="3539">
        <f>'All - MECs'!AU88*VLOOKUP($B$14,'Annual Parameters'!$B$33:$W$143,3,FALSE)/VLOOKUP('All - MECs'!$B$14,'Annual Parameters'!$B$33:$W$143,3,FALSE)</f>
        <v>0.43113425174870734</v>
      </c>
      <c r="AV88" s="3544"/>
      <c r="AW88" s="3521" t="s">
        <v>1097</v>
      </c>
      <c r="AX88" s="3522"/>
      <c r="AY88" s="3530" t="s">
        <v>1096</v>
      </c>
      <c r="AZ88" s="3535">
        <f>'All - MECs'!AZ88*VLOOKUP($B$14,'Annual Parameters'!$B$33:$W$143,3,FALSE)/VLOOKUP('All - MECs'!$B$14,'Annual Parameters'!$B$33:$W$143,3,FALSE)</f>
        <v>2.240509934570909</v>
      </c>
      <c r="BA88" s="3532">
        <f>'All - MECs'!BA88*VLOOKUP($B$14,'Annual Parameters'!$B$33:$W$143,3,FALSE)/VLOOKUP('All - MECs'!$B$14,'Annual Parameters'!$B$33:$W$143,3,FALSE)</f>
        <v>3.6727541929000198</v>
      </c>
      <c r="BB88" s="3537">
        <f>'All - MECs'!BB88*VLOOKUP($B$14,'Annual Parameters'!$B$33:$W$143,3,FALSE)/VLOOKUP('All - MECs'!$B$14,'Annual Parameters'!$B$33:$W$143,3,FALSE)</f>
        <v>4.9601993268456894</v>
      </c>
      <c r="BC88" s="3531">
        <f>'All - MECs'!BC88*VLOOKUP($B$14,'Annual Parameters'!$B$33:$W$143,3,FALSE)/VLOOKUP('All - MECs'!$B$14,'Annual Parameters'!$B$33:$W$143,3,FALSE)</f>
        <v>0.98950193483635152</v>
      </c>
      <c r="BD88" s="3532">
        <f>'All - MECs'!BD88*VLOOKUP($B$14,'Annual Parameters'!$B$33:$W$143,3,FALSE)/VLOOKUP('All - MECs'!$B$14,'Annual Parameters'!$B$33:$W$143,3,FALSE)</f>
        <v>1.1698775748561632</v>
      </c>
      <c r="BE88" s="3537">
        <f>'All - MECs'!BE88*VLOOKUP($B$14,'Annual Parameters'!$B$33:$W$143,3,FALSE)/VLOOKUP('All - MECs'!$B$14,'Annual Parameters'!$B$33:$W$143,3,FALSE)</f>
        <v>1.529680787987165</v>
      </c>
      <c r="BF88" s="3531">
        <f>'All - MECs'!BF88*VLOOKUP($B$14,'Annual Parameters'!$B$33:$W$143,3,FALSE)/VLOOKUP('All - MECs'!$B$14,'Annual Parameters'!$B$33:$W$143,3,FALSE)</f>
        <v>0.88743197824037778</v>
      </c>
      <c r="BG88" s="3537">
        <f>'All - MECs'!BG88*VLOOKUP($B$14,'Annual Parameters'!$B$33:$W$143,3,FALSE)/VLOOKUP('All - MECs'!$B$14,'Annual Parameters'!$B$33:$W$143,3,FALSE)</f>
        <v>1.1022901589063292</v>
      </c>
      <c r="BH88" s="3531">
        <f>'All - MECs'!BH88*VLOOKUP($B$14,'Annual Parameters'!$B$33:$W$143,3,FALSE)/VLOOKUP('All - MECs'!$B$14,'Annual Parameters'!$B$33:$W$143,3,FALSE)</f>
        <v>0.29692212732793699</v>
      </c>
      <c r="BI88" s="3538">
        <f>'All - MECs'!BI88*VLOOKUP($B$14,'Annual Parameters'!$B$33:$W$143,3,FALSE)/VLOOKUP('All - MECs'!$B$14,'Annual Parameters'!$B$33:$W$143,3,FALSE)</f>
        <v>0.28778810530699406</v>
      </c>
      <c r="BJ88" s="3534">
        <f>'All - MECs'!BJ88*VLOOKUP($B$14,'Annual Parameters'!$B$33:$W$143,3,FALSE)/VLOOKUP('All - MECs'!$B$14,'Annual Parameters'!$B$33:$W$143,3,FALSE)</f>
        <v>0.27379376690908436</v>
      </c>
      <c r="BK88" s="3539">
        <f>'All - MECs'!BK88*VLOOKUP($B$14,'Annual Parameters'!$B$33:$W$143,3,FALSE)/VLOOKUP('All - MECs'!$B$14,'Annual Parameters'!$B$33:$W$143,3,FALSE)</f>
        <v>0.52159440618504438</v>
      </c>
      <c r="BL88" s="3544"/>
      <c r="BM88" s="3521" t="s">
        <v>1097</v>
      </c>
      <c r="BN88" s="3522"/>
      <c r="BO88" s="3530" t="s">
        <v>1096</v>
      </c>
      <c r="BP88" s="3535">
        <f>'All - MECs'!BP88*VLOOKUP($B$14,'Annual Parameters'!$B$33:$W$143,3,FALSE)/VLOOKUP('All - MECs'!$B$14,'Annual Parameters'!$B$33:$W$143,3,FALSE)</f>
        <v>2.5745944993992382</v>
      </c>
      <c r="BQ88" s="3532">
        <f>'All - MECs'!BQ88*VLOOKUP($B$14,'Annual Parameters'!$B$33:$W$143,3,FALSE)/VLOOKUP('All - MECs'!$B$14,'Annual Parameters'!$B$33:$W$143,3,FALSE)</f>
        <v>3.6140996346548842</v>
      </c>
      <c r="BR88" s="3537">
        <f>'All - MECs'!BR88*VLOOKUP($B$14,'Annual Parameters'!$B$33:$W$143,3,FALSE)/VLOOKUP('All - MECs'!$B$14,'Annual Parameters'!$B$33:$W$143,3,FALSE)</f>
        <v>4.2748267925868806</v>
      </c>
      <c r="BS88" s="3531">
        <f>'All - MECs'!BS88*VLOOKUP($B$14,'Annual Parameters'!$B$33:$W$143,3,FALSE)/VLOOKUP('All - MECs'!$B$14,'Annual Parameters'!$B$33:$W$143,3,FALSE)</f>
        <v>1.2566924190873585</v>
      </c>
      <c r="BT88" s="3532">
        <f>'All - MECs'!BT88*VLOOKUP($B$14,'Annual Parameters'!$B$33:$W$143,3,FALSE)/VLOOKUP('All - MECs'!$B$14,'Annual Parameters'!$B$33:$W$143,3,FALSE)</f>
        <v>1.6464692953886293</v>
      </c>
      <c r="BU88" s="3537">
        <f>'All - MECs'!BU88*VLOOKUP($B$14,'Annual Parameters'!$B$33:$W$143,3,FALSE)/VLOOKUP('All - MECs'!$B$14,'Annual Parameters'!$B$33:$W$143,3,FALSE)</f>
        <v>1.8681214811290909</v>
      </c>
      <c r="BV88" s="3531">
        <f>'All - MECs'!BV88*VLOOKUP($B$14,'Annual Parameters'!$B$33:$W$143,3,FALSE)/VLOOKUP('All - MECs'!$B$14,'Annual Parameters'!$B$33:$W$143,3,FALSE)</f>
        <v>0.92129144592367362</v>
      </c>
      <c r="BW88" s="3537">
        <f>'All - MECs'!BW88*VLOOKUP($B$14,'Annual Parameters'!$B$33:$W$143,3,FALSE)/VLOOKUP('All - MECs'!$B$14,'Annual Parameters'!$B$33:$W$143,3,FALSE)</f>
        <v>1.203860059874442</v>
      </c>
      <c r="BX88" s="3531">
        <f>'All - MECs'!BX88*VLOOKUP($B$14,'Annual Parameters'!$B$33:$W$143,3,FALSE)/VLOOKUP('All - MECs'!$B$14,'Annual Parameters'!$B$33:$W$143,3,FALSE)</f>
        <v>0.34122570814260006</v>
      </c>
      <c r="BY88" s="3538">
        <f>'All - MECs'!BY88*VLOOKUP($B$14,'Annual Parameters'!$B$33:$W$143,3,FALSE)/VLOOKUP('All - MECs'!$B$14,'Annual Parameters'!$B$33:$W$143,3,FALSE)</f>
        <v>0.28123592438965173</v>
      </c>
      <c r="BZ88" s="3534">
        <f>'All - MECs'!BZ88*VLOOKUP($B$14,'Annual Parameters'!$B$33:$W$143,3,FALSE)/VLOOKUP('All - MECs'!$B$14,'Annual Parameters'!$B$33:$W$143,3,FALSE)</f>
        <v>0.27876195838827855</v>
      </c>
      <c r="CA88" s="3539">
        <f>'All - MECs'!CA88*VLOOKUP($B$14,'Annual Parameters'!$B$33:$W$143,3,FALSE)/VLOOKUP('All - MECs'!$B$14,'Annual Parameters'!$B$33:$W$143,3,FALSE)</f>
        <v>1.2746485830159089</v>
      </c>
    </row>
    <row r="89" spans="1:95" ht="13.5" customHeight="1">
      <c r="A89" s="3521" t="s">
        <v>1074</v>
      </c>
      <c r="B89" s="3522"/>
      <c r="C89" s="3530" t="s">
        <v>1096</v>
      </c>
      <c r="D89" s="3531">
        <f>'All - MECs'!D89*VLOOKUP($B$14,'Annual Parameters'!$B$33:$W$143,3,FALSE)/VLOOKUP('All - MECs'!$B$14,'Annual Parameters'!$B$33:$W$143,3,FALSE)</f>
        <v>0.31248594138201718</v>
      </c>
      <c r="E89" s="3532">
        <f>'All - MECs'!E89*VLOOKUP($B$14,'Annual Parameters'!$B$33:$W$143,3,FALSE)/VLOOKUP('All - MECs'!$B$14,'Annual Parameters'!$B$33:$W$143,3,FALSE)</f>
        <v>0.31248594138201718</v>
      </c>
      <c r="F89" s="3534">
        <f>'All - MECs'!F89*VLOOKUP($B$14,'Annual Parameters'!$B$33:$W$143,3,FALSE)/VLOOKUP('All - MECs'!$B$14,'Annual Parameters'!$B$33:$W$143,3,FALSE)</f>
        <v>0.31248594138201718</v>
      </c>
      <c r="G89" s="3531">
        <f>'All - MECs'!G89*VLOOKUP($B$14,'Annual Parameters'!$B$33:$W$143,3,FALSE)/VLOOKUP('All - MECs'!$B$14,'Annual Parameters'!$B$33:$W$143,3,FALSE)</f>
        <v>0.31248594138201718</v>
      </c>
      <c r="H89" s="3532">
        <f>'All - MECs'!H89*VLOOKUP($B$14,'Annual Parameters'!$B$33:$W$143,3,FALSE)/VLOOKUP('All - MECs'!$B$14,'Annual Parameters'!$B$33:$W$143,3,FALSE)</f>
        <v>0.31248594138201718</v>
      </c>
      <c r="I89" s="3534">
        <f>'All - MECs'!I89*VLOOKUP($B$14,'Annual Parameters'!$B$33:$W$143,3,FALSE)/VLOOKUP('All - MECs'!$B$14,'Annual Parameters'!$B$33:$W$143,3,FALSE)</f>
        <v>0.31248594138201718</v>
      </c>
      <c r="J89" s="3531">
        <f>'All - MECs'!J89*VLOOKUP($B$14,'Annual Parameters'!$B$33:$W$143,3,FALSE)/VLOOKUP('All - MECs'!$B$14,'Annual Parameters'!$B$33:$W$143,3,FALSE)</f>
        <v>0.31248594138201718</v>
      </c>
      <c r="K89" s="3534">
        <f>'All - MECs'!K89*VLOOKUP($B$14,'Annual Parameters'!$B$33:$W$143,3,FALSE)/VLOOKUP('All - MECs'!$B$14,'Annual Parameters'!$B$33:$W$143,3,FALSE)</f>
        <v>0.31248594138201718</v>
      </c>
      <c r="L89" s="3531">
        <f>'All - MECs'!L89*VLOOKUP($B$14,'Annual Parameters'!$B$33:$W$143,3,FALSE)/VLOOKUP('All - MECs'!$B$14,'Annual Parameters'!$B$33:$W$143,3,FALSE)</f>
        <v>0</v>
      </c>
      <c r="M89" s="3532">
        <f>'All - MECs'!M89*VLOOKUP($B$14,'Annual Parameters'!$B$33:$W$143,3,FALSE)/VLOOKUP('All - MECs'!$B$14,'Annual Parameters'!$B$33:$W$143,3,FALSE)</f>
        <v>0</v>
      </c>
      <c r="N89" s="3534">
        <f>'All - MECs'!N89*VLOOKUP($B$14,'Annual Parameters'!$B$33:$W$143,3,FALSE)/VLOOKUP('All - MECs'!$B$14,'Annual Parameters'!$B$33:$W$143,3,FALSE)</f>
        <v>0.15624297069100859</v>
      </c>
      <c r="O89" s="3540">
        <f>'All - MECs'!O89*VLOOKUP($B$14,'Annual Parameters'!$B$33:$W$143,3,FALSE)/VLOOKUP('All - MECs'!$B$14,'Annual Parameters'!$B$33:$W$143,3,FALSE)</f>
        <v>0.17552446908578534</v>
      </c>
      <c r="P89" s="3544"/>
      <c r="Q89" s="3521" t="s">
        <v>1074</v>
      </c>
      <c r="R89" s="3522"/>
      <c r="S89" s="3530" t="s">
        <v>1096</v>
      </c>
      <c r="T89" s="3531">
        <f>'All - MECs'!T89*VLOOKUP($B$14,'Annual Parameters'!$B$33:$W$143,3,FALSE)/VLOOKUP('All - MECs'!$B$14,'Annual Parameters'!$B$33:$W$143,3,FALSE)</f>
        <v>0.31248594138201718</v>
      </c>
      <c r="U89" s="3532">
        <f>'All - MECs'!U89*VLOOKUP($B$14,'Annual Parameters'!$B$33:$W$143,3,FALSE)/VLOOKUP('All - MECs'!$B$14,'Annual Parameters'!$B$33:$W$143,3,FALSE)</f>
        <v>0.31248594138201718</v>
      </c>
      <c r="V89" s="3534">
        <f>'All - MECs'!V89*VLOOKUP($B$14,'Annual Parameters'!$B$33:$W$143,3,FALSE)/VLOOKUP('All - MECs'!$B$14,'Annual Parameters'!$B$33:$W$143,3,FALSE)</f>
        <v>0.31248594138201718</v>
      </c>
      <c r="W89" s="3531">
        <f>'All - MECs'!W89*VLOOKUP($B$14,'Annual Parameters'!$B$33:$W$143,3,FALSE)/VLOOKUP('All - MECs'!$B$14,'Annual Parameters'!$B$33:$W$143,3,FALSE)</f>
        <v>0.31248594138201718</v>
      </c>
      <c r="X89" s="3532">
        <f>'All - MECs'!X89*VLOOKUP($B$14,'Annual Parameters'!$B$33:$W$143,3,FALSE)/VLOOKUP('All - MECs'!$B$14,'Annual Parameters'!$B$33:$W$143,3,FALSE)</f>
        <v>0.31248594138201718</v>
      </c>
      <c r="Y89" s="3534">
        <f>'All - MECs'!Y89*VLOOKUP($B$14,'Annual Parameters'!$B$33:$W$143,3,FALSE)/VLOOKUP('All - MECs'!$B$14,'Annual Parameters'!$B$33:$W$143,3,FALSE)</f>
        <v>0.31248594138201718</v>
      </c>
      <c r="Z89" s="3531">
        <f>'All - MECs'!Z89*VLOOKUP($B$14,'Annual Parameters'!$B$33:$W$143,3,FALSE)/VLOOKUP('All - MECs'!$B$14,'Annual Parameters'!$B$33:$W$143,3,FALSE)</f>
        <v>0.31248594138201718</v>
      </c>
      <c r="AA89" s="3534">
        <f>'All - MECs'!AA89*VLOOKUP($B$14,'Annual Parameters'!$B$33:$W$143,3,FALSE)/VLOOKUP('All - MECs'!$B$14,'Annual Parameters'!$B$33:$W$143,3,FALSE)</f>
        <v>0.31248594138201718</v>
      </c>
      <c r="AB89" s="3531">
        <f>'All - MECs'!AB89*VLOOKUP($B$14,'Annual Parameters'!$B$33:$W$143,3,FALSE)/VLOOKUP('All - MECs'!$B$14,'Annual Parameters'!$B$33:$W$143,3,FALSE)</f>
        <v>0</v>
      </c>
      <c r="AC89" s="3532">
        <f>'All - MECs'!AC89*VLOOKUP($B$14,'Annual Parameters'!$B$33:$W$143,3,FALSE)/VLOOKUP('All - MECs'!$B$14,'Annual Parameters'!$B$33:$W$143,3,FALSE)</f>
        <v>0</v>
      </c>
      <c r="AD89" s="3534">
        <f>'All - MECs'!AD89*VLOOKUP($B$14,'Annual Parameters'!$B$33:$W$143,3,FALSE)/VLOOKUP('All - MECs'!$B$14,'Annual Parameters'!$B$33:$W$143,3,FALSE)</f>
        <v>0.15624297069100859</v>
      </c>
      <c r="AE89" s="3540">
        <f>'All - MECs'!AE89*VLOOKUP($B$14,'Annual Parameters'!$B$33:$W$143,3,FALSE)/VLOOKUP('All - MECs'!$B$14,'Annual Parameters'!$B$33:$W$143,3,FALSE)</f>
        <v>0.17611012195751727</v>
      </c>
      <c r="AF89" s="3544"/>
      <c r="AG89" s="3521" t="s">
        <v>1074</v>
      </c>
      <c r="AH89" s="3522"/>
      <c r="AI89" s="3530" t="s">
        <v>1096</v>
      </c>
      <c r="AJ89" s="3531">
        <f>'All - MECs'!AJ89*VLOOKUP($B$14,'Annual Parameters'!$B$33:$W$143,3,FALSE)/VLOOKUP('All - MECs'!$B$14,'Annual Parameters'!$B$33:$W$143,3,FALSE)</f>
        <v>7.6559055638594211</v>
      </c>
      <c r="AK89" s="3532">
        <f>'All - MECs'!AK89*VLOOKUP($B$14,'Annual Parameters'!$B$33:$W$143,3,FALSE)/VLOOKUP('All - MECs'!$B$14,'Annual Parameters'!$B$33:$W$143,3,FALSE)</f>
        <v>9.2183352707695079</v>
      </c>
      <c r="AL89" s="3534">
        <f>'All - MECs'!AL89*VLOOKUP($B$14,'Annual Parameters'!$B$33:$W$143,3,FALSE)/VLOOKUP('All - MECs'!$B$14,'Annual Parameters'!$B$33:$W$143,3,FALSE)</f>
        <v>11.093250919061608</v>
      </c>
      <c r="AM89" s="3531">
        <f>'All - MECs'!AM89*VLOOKUP($B$14,'Annual Parameters'!$B$33:$W$143,3,FALSE)/VLOOKUP('All - MECs'!$B$14,'Annual Parameters'!$B$33:$W$143,3,FALSE)</f>
        <v>7.9683915052414385</v>
      </c>
      <c r="AN89" s="3532">
        <f>'All - MECs'!AN89*VLOOKUP($B$14,'Annual Parameters'!$B$33:$W$143,3,FALSE)/VLOOKUP('All - MECs'!$B$14,'Annual Parameters'!$B$33:$W$143,3,FALSE)</f>
        <v>7.8121485345504302</v>
      </c>
      <c r="AO89" s="3534">
        <f>'All - MECs'!AO89*VLOOKUP($B$14,'Annual Parameters'!$B$33:$W$143,3,FALSE)/VLOOKUP('All - MECs'!$B$14,'Annual Parameters'!$B$33:$W$143,3,FALSE)</f>
        <v>7.8121485345504302</v>
      </c>
      <c r="AP89" s="3531">
        <f>'All - MECs'!AP89*VLOOKUP($B$14,'Annual Parameters'!$B$33:$W$143,3,FALSE)/VLOOKUP('All - MECs'!$B$14,'Annual Parameters'!$B$33:$W$143,3,FALSE)</f>
        <v>6.8746907104043782</v>
      </c>
      <c r="AQ89" s="3534">
        <f>'All - MECs'!AQ89*VLOOKUP($B$14,'Annual Parameters'!$B$33:$W$143,3,FALSE)/VLOOKUP('All - MECs'!$B$14,'Annual Parameters'!$B$33:$W$143,3,FALSE)</f>
        <v>6.8746907104043782</v>
      </c>
      <c r="AR89" s="3531">
        <f>'All - MECs'!AR89*VLOOKUP($B$14,'Annual Parameters'!$B$33:$W$143,3,FALSE)/VLOOKUP('All - MECs'!$B$14,'Annual Parameters'!$B$33:$W$143,3,FALSE)</f>
        <v>1.4061867362190774</v>
      </c>
      <c r="AS89" s="3532">
        <f>'All - MECs'!AS89*VLOOKUP($B$14,'Annual Parameters'!$B$33:$W$143,3,FALSE)/VLOOKUP('All - MECs'!$B$14,'Annual Parameters'!$B$33:$W$143,3,FALSE)</f>
        <v>1.4061867362190774</v>
      </c>
      <c r="AT89" s="3534">
        <f>'All - MECs'!AT89*VLOOKUP($B$14,'Annual Parameters'!$B$33:$W$143,3,FALSE)/VLOOKUP('All - MECs'!$B$14,'Annual Parameters'!$B$33:$W$143,3,FALSE)</f>
        <v>1.7186726776010945</v>
      </c>
      <c r="AU89" s="3540">
        <f>'All - MECs'!AU89*VLOOKUP($B$14,'Annual Parameters'!$B$33:$W$143,3,FALSE)/VLOOKUP('All - MECs'!$B$14,'Annual Parameters'!$B$33:$W$143,3,FALSE)</f>
        <v>3.7914857592986833</v>
      </c>
      <c r="AV89" s="3544"/>
      <c r="AW89" s="3521" t="s">
        <v>1074</v>
      </c>
      <c r="AX89" s="3522"/>
      <c r="AY89" s="3530" t="s">
        <v>1096</v>
      </c>
      <c r="AZ89" s="3531">
        <f>'All - MECs'!AZ89*VLOOKUP($B$14,'Annual Parameters'!$B$33:$W$143,3,FALSE)/VLOOKUP('All - MECs'!$B$14,'Annual Parameters'!$B$33:$W$143,3,FALSE)</f>
        <v>15.155568157027833</v>
      </c>
      <c r="BA89" s="3532">
        <f>'All - MECs'!BA89*VLOOKUP($B$14,'Annual Parameters'!$B$33:$W$143,3,FALSE)/VLOOKUP('All - MECs'!$B$14,'Annual Parameters'!$B$33:$W$143,3,FALSE)</f>
        <v>18.280427570848005</v>
      </c>
      <c r="BB89" s="3534">
        <f>'All - MECs'!BB89*VLOOKUP($B$14,'Annual Parameters'!$B$33:$W$143,3,FALSE)/VLOOKUP('All - MECs'!$B$14,'Annual Parameters'!$B$33:$W$143,3,FALSE)</f>
        <v>22.186501838123217</v>
      </c>
      <c r="BC89" s="3531">
        <f>'All - MECs'!BC89*VLOOKUP($B$14,'Annual Parameters'!$B$33:$W$143,3,FALSE)/VLOOKUP('All - MECs'!$B$14,'Annual Parameters'!$B$33:$W$143,3,FALSE)</f>
        <v>15.780540039791868</v>
      </c>
      <c r="BD89" s="3532">
        <f>'All - MECs'!BD89*VLOOKUP($B$14,'Annual Parameters'!$B$33:$W$143,3,FALSE)/VLOOKUP('All - MECs'!$B$14,'Annual Parameters'!$B$33:$W$143,3,FALSE)</f>
        <v>15.62429706910086</v>
      </c>
      <c r="BE89" s="3534">
        <f>'All - MECs'!BE89*VLOOKUP($B$14,'Annual Parameters'!$B$33:$W$143,3,FALSE)/VLOOKUP('All - MECs'!$B$14,'Annual Parameters'!$B$33:$W$143,3,FALSE)</f>
        <v>15.62429706910086</v>
      </c>
      <c r="BF89" s="3531">
        <f>'All - MECs'!BF89*VLOOKUP($B$14,'Annual Parameters'!$B$33:$W$143,3,FALSE)/VLOOKUP('All - MECs'!$B$14,'Annual Parameters'!$B$33:$W$143,3,FALSE)</f>
        <v>13.593138450117747</v>
      </c>
      <c r="BG89" s="3534">
        <f>'All - MECs'!BG89*VLOOKUP($B$14,'Annual Parameters'!$B$33:$W$143,3,FALSE)/VLOOKUP('All - MECs'!$B$14,'Annual Parameters'!$B$33:$W$143,3,FALSE)</f>
        <v>13.749381420808756</v>
      </c>
      <c r="BH89" s="3531">
        <f>'All - MECs'!BH89*VLOOKUP($B$14,'Annual Parameters'!$B$33:$W$143,3,FALSE)/VLOOKUP('All - MECs'!$B$14,'Annual Parameters'!$B$33:$W$143,3,FALSE)</f>
        <v>2.8123734724381548</v>
      </c>
      <c r="BI89" s="3532">
        <f>'All - MECs'!BI89*VLOOKUP($B$14,'Annual Parameters'!$B$33:$W$143,3,FALSE)/VLOOKUP('All - MECs'!$B$14,'Annual Parameters'!$B$33:$W$143,3,FALSE)</f>
        <v>2.8123734724381548</v>
      </c>
      <c r="BJ89" s="3534">
        <f>'All - MECs'!BJ89*VLOOKUP($B$14,'Annual Parameters'!$B$33:$W$143,3,FALSE)/VLOOKUP('All - MECs'!$B$14,'Annual Parameters'!$B$33:$W$143,3,FALSE)</f>
        <v>3.5935883258931973</v>
      </c>
      <c r="BK89" s="3540">
        <f>'All - MECs'!BK89*VLOOKUP($B$14,'Annual Parameters'!$B$33:$W$143,3,FALSE)/VLOOKUP('All - MECs'!$B$14,'Annual Parameters'!$B$33:$W$143,3,FALSE)</f>
        <v>6.2451942749747396</v>
      </c>
      <c r="BL89" s="3544"/>
      <c r="BM89" s="3521" t="s">
        <v>1074</v>
      </c>
      <c r="BN89" s="3522"/>
      <c r="BO89" s="3530" t="s">
        <v>1096</v>
      </c>
      <c r="BP89" s="3531">
        <f>'All - MECs'!BP89*VLOOKUP($B$14,'Annual Parameters'!$B$33:$W$143,3,FALSE)/VLOOKUP('All - MECs'!$B$14,'Annual Parameters'!$B$33:$W$143,3,FALSE)</f>
        <v>0</v>
      </c>
      <c r="BQ89" s="3532">
        <f>'All - MECs'!BQ89*VLOOKUP($B$14,'Annual Parameters'!$B$33:$W$143,3,FALSE)/VLOOKUP('All - MECs'!$B$14,'Annual Parameters'!$B$33:$W$143,3,FALSE)</f>
        <v>0</v>
      </c>
      <c r="BR89" s="3534">
        <f>'All - MECs'!BR89*VLOOKUP($B$14,'Annual Parameters'!$B$33:$W$143,3,FALSE)/VLOOKUP('All - MECs'!$B$14,'Annual Parameters'!$B$33:$W$143,3,FALSE)</f>
        <v>0</v>
      </c>
      <c r="BS89" s="3531">
        <f>'All - MECs'!BS89*VLOOKUP($B$14,'Annual Parameters'!$B$33:$W$143,3,FALSE)/VLOOKUP('All - MECs'!$B$14,'Annual Parameters'!$B$33:$W$143,3,FALSE)</f>
        <v>0</v>
      </c>
      <c r="BT89" s="3532">
        <f>'All - MECs'!BT89*VLOOKUP($B$14,'Annual Parameters'!$B$33:$W$143,3,FALSE)/VLOOKUP('All - MECs'!$B$14,'Annual Parameters'!$B$33:$W$143,3,FALSE)</f>
        <v>0</v>
      </c>
      <c r="BU89" s="3534">
        <f>'All - MECs'!BU89*VLOOKUP($B$14,'Annual Parameters'!$B$33:$W$143,3,FALSE)/VLOOKUP('All - MECs'!$B$14,'Annual Parameters'!$B$33:$W$143,3,FALSE)</f>
        <v>0</v>
      </c>
      <c r="BV89" s="3531">
        <f>'All - MECs'!BV89*VLOOKUP($B$14,'Annual Parameters'!$B$33:$W$143,3,FALSE)/VLOOKUP('All - MECs'!$B$14,'Annual Parameters'!$B$33:$W$143,3,FALSE)</f>
        <v>0</v>
      </c>
      <c r="BW89" s="3534">
        <f>'All - MECs'!BW89*VLOOKUP($B$14,'Annual Parameters'!$B$33:$W$143,3,FALSE)/VLOOKUP('All - MECs'!$B$14,'Annual Parameters'!$B$33:$W$143,3,FALSE)</f>
        <v>0</v>
      </c>
      <c r="BX89" s="3531">
        <f>'All - MECs'!BX89*VLOOKUP($B$14,'Annual Parameters'!$B$33:$W$143,3,FALSE)/VLOOKUP('All - MECs'!$B$14,'Annual Parameters'!$B$33:$W$143,3,FALSE)</f>
        <v>0</v>
      </c>
      <c r="BY89" s="3532">
        <f>'All - MECs'!BY89*VLOOKUP($B$14,'Annual Parameters'!$B$33:$W$143,3,FALSE)/VLOOKUP('All - MECs'!$B$14,'Annual Parameters'!$B$33:$W$143,3,FALSE)</f>
        <v>0</v>
      </c>
      <c r="BZ89" s="3534">
        <f>'All - MECs'!BZ89*VLOOKUP($B$14,'Annual Parameters'!$B$33:$W$143,3,FALSE)/VLOOKUP('All - MECs'!$B$14,'Annual Parameters'!$B$33:$W$143,3,FALSE)</f>
        <v>0</v>
      </c>
      <c r="CA89" s="3540">
        <f>'All - MECs'!CA89*VLOOKUP($B$14,'Annual Parameters'!$B$33:$W$143,3,FALSE)/VLOOKUP('All - MECs'!$B$14,'Annual Parameters'!$B$33:$W$143,3,FALSE)</f>
        <v>0</v>
      </c>
    </row>
    <row r="90" spans="1:95" ht="13.5" customHeight="1">
      <c r="A90" s="3521" t="s">
        <v>397</v>
      </c>
      <c r="B90" s="3522"/>
      <c r="C90" s="3530" t="s">
        <v>1096</v>
      </c>
      <c r="D90" s="3531">
        <f>'All - MECs'!D90*VLOOKUP($B$14,'Annual Parameters'!$B$33:$W$143,3,FALSE)/VLOOKUP('All - MECs'!$B$14,'Annual Parameters'!$B$33:$W$143,3,FALSE)</f>
        <v>0.6835788723347298</v>
      </c>
      <c r="E90" s="3532">
        <f>'All - MECs'!E90*VLOOKUP($B$14,'Annual Parameters'!$B$33:$W$143,3,FALSE)/VLOOKUP('All - MECs'!$B$14,'Annual Parameters'!$B$33:$W$143,3,FALSE)</f>
        <v>0.7629518970075676</v>
      </c>
      <c r="F90" s="3537">
        <f>'All - MECs'!F90*VLOOKUP($B$14,'Annual Parameters'!$B$33:$W$143,3,FALSE)/VLOOKUP('All - MECs'!$B$14,'Annual Parameters'!$B$33:$W$143,3,FALSE)</f>
        <v>0.95075097433735289</v>
      </c>
      <c r="G90" s="3531">
        <f>'All - MECs'!G90*VLOOKUP($B$14,'Annual Parameters'!$B$33:$W$143,3,FALSE)/VLOOKUP('All - MECs'!$B$14,'Annual Parameters'!$B$33:$W$143,3,FALSE)</f>
        <v>0.66122583144738067</v>
      </c>
      <c r="H90" s="3532">
        <f>'All - MECs'!H90*VLOOKUP($B$14,'Annual Parameters'!$B$33:$W$143,3,FALSE)/VLOOKUP('All - MECs'!$B$14,'Annual Parameters'!$B$33:$W$143,3,FALSE)</f>
        <v>0.68298870016330715</v>
      </c>
      <c r="I90" s="3537">
        <f>'All - MECs'!I90*VLOOKUP($B$14,'Annual Parameters'!$B$33:$W$143,3,FALSE)/VLOOKUP('All - MECs'!$B$14,'Annual Parameters'!$B$33:$W$143,3,FALSE)</f>
        <v>0.75276546592463789</v>
      </c>
      <c r="J90" s="3531">
        <f>'All - MECs'!J90*VLOOKUP($B$14,'Annual Parameters'!$B$33:$W$143,3,FALSE)/VLOOKUP('All - MECs'!$B$14,'Annual Parameters'!$B$33:$W$143,3,FALSE)</f>
        <v>0.63315936941369466</v>
      </c>
      <c r="K90" s="3537">
        <f>'All - MECs'!K90*VLOOKUP($B$14,'Annual Parameters'!$B$33:$W$143,3,FALSE)/VLOOKUP('All - MECs'!$B$14,'Annual Parameters'!$B$33:$W$143,3,FALSE)</f>
        <v>0.71051754314449378</v>
      </c>
      <c r="L90" s="3531">
        <f>'All - MECs'!L90*VLOOKUP($B$14,'Annual Parameters'!$B$33:$W$143,3,FALSE)/VLOOKUP('All - MECs'!$B$14,'Annual Parameters'!$B$33:$W$143,3,FALSE)</f>
        <v>0.67491122436262785</v>
      </c>
      <c r="M90" s="3532">
        <f>'All - MECs'!M90*VLOOKUP($B$14,'Annual Parameters'!$B$33:$W$143,3,FALSE)/VLOOKUP('All - MECs'!$B$14,'Annual Parameters'!$B$33:$W$143,3,FALSE)</f>
        <v>0.62194924536881591</v>
      </c>
      <c r="N90" s="3537">
        <f>'All - MECs'!N90*VLOOKUP($B$14,'Annual Parameters'!$B$33:$W$143,3,FALSE)/VLOOKUP('All - MECs'!$B$14,'Annual Parameters'!$B$33:$W$143,3,FALSE)</f>
        <v>0.61398256295397036</v>
      </c>
      <c r="O90" s="3539">
        <f>'All - MECs'!O90*VLOOKUP($B$14,'Annual Parameters'!$B$33:$W$143,3,FALSE)/VLOOKUP('All - MECs'!$B$14,'Annual Parameters'!$B$33:$W$143,3,FALSE)</f>
        <v>0.66919913575450263</v>
      </c>
      <c r="P90" s="3544"/>
      <c r="Q90" s="3521" t="s">
        <v>397</v>
      </c>
      <c r="R90" s="3522"/>
      <c r="S90" s="3530" t="s">
        <v>1096</v>
      </c>
      <c r="T90" s="3531">
        <f>'All - MECs'!T90*VLOOKUP($B$14,'Annual Parameters'!$B$33:$W$143,3,FALSE)/VLOOKUP('All - MECs'!$B$14,'Annual Parameters'!$B$33:$W$143,3,FALSE)</f>
        <v>1.1992133117866999</v>
      </c>
      <c r="U90" s="3532">
        <f>'All - MECs'!U90*VLOOKUP($B$14,'Annual Parameters'!$B$33:$W$143,3,FALSE)/VLOOKUP('All - MECs'!$B$14,'Annual Parameters'!$B$33:$W$143,3,FALSE)</f>
        <v>1.0662383567444298</v>
      </c>
      <c r="V90" s="3537">
        <f>'All - MECs'!V90*VLOOKUP($B$14,'Annual Parameters'!$B$33:$W$143,3,FALSE)/VLOOKUP('All - MECs'!$B$14,'Annual Parameters'!$B$33:$W$143,3,FALSE)</f>
        <v>1.3756598149718726</v>
      </c>
      <c r="W90" s="3531">
        <f>'All - MECs'!W90*VLOOKUP($B$14,'Annual Parameters'!$B$33:$W$143,3,FALSE)/VLOOKUP('All - MECs'!$B$14,'Annual Parameters'!$B$33:$W$143,3,FALSE)</f>
        <v>1.1362195443890057</v>
      </c>
      <c r="X90" s="3532">
        <f>'All - MECs'!X90*VLOOKUP($B$14,'Annual Parameters'!$B$33:$W$143,3,FALSE)/VLOOKUP('All - MECs'!$B$14,'Annual Parameters'!$B$33:$W$143,3,FALSE)</f>
        <v>0.95429447211284701</v>
      </c>
      <c r="Y90" s="3537">
        <f>'All - MECs'!Y90*VLOOKUP($B$14,'Annual Parameters'!$B$33:$W$143,3,FALSE)/VLOOKUP('All - MECs'!$B$14,'Annual Parameters'!$B$33:$W$143,3,FALSE)</f>
        <v>1.0205052790509213</v>
      </c>
      <c r="Z90" s="3531">
        <f>'All - MECs'!Z90*VLOOKUP($B$14,'Annual Parameters'!$B$33:$W$143,3,FALSE)/VLOOKUP('All - MECs'!$B$14,'Annual Parameters'!$B$33:$W$143,3,FALSE)</f>
        <v>0.90473970594175968</v>
      </c>
      <c r="AA90" s="3537">
        <f>'All - MECs'!AA90*VLOOKUP($B$14,'Annual Parameters'!$B$33:$W$143,3,FALSE)/VLOOKUP('All - MECs'!$B$14,'Annual Parameters'!$B$33:$W$143,3,FALSE)</f>
        <v>0.95332991807881939</v>
      </c>
      <c r="AB90" s="3531">
        <f>'All - MECs'!AB90*VLOOKUP($B$14,'Annual Parameters'!$B$33:$W$143,3,FALSE)/VLOOKUP('All - MECs'!$B$14,'Annual Parameters'!$B$33:$W$143,3,FALSE)</f>
        <v>1.1778945058510599</v>
      </c>
      <c r="AC90" s="3532">
        <f>'All - MECs'!AC90*VLOOKUP($B$14,'Annual Parameters'!$B$33:$W$143,3,FALSE)/VLOOKUP('All - MECs'!$B$14,'Annual Parameters'!$B$33:$W$143,3,FALSE)</f>
        <v>1.035558920702067</v>
      </c>
      <c r="AD90" s="3537">
        <f>'All - MECs'!AD90*VLOOKUP($B$14,'Annual Parameters'!$B$33:$W$143,3,FALSE)/VLOOKUP('All - MECs'!$B$14,'Annual Parameters'!$B$33:$W$143,3,FALSE)</f>
        <v>0.91682019152253114</v>
      </c>
      <c r="AE90" s="3539">
        <f>'All - MECs'!AE90*VLOOKUP($B$14,'Annual Parameters'!$B$33:$W$143,3,FALSE)/VLOOKUP('All - MECs'!$B$14,'Annual Parameters'!$B$33:$W$143,3,FALSE)</f>
        <v>1.0175969507690761</v>
      </c>
      <c r="AF90" s="3544"/>
      <c r="AG90" s="3521" t="s">
        <v>397</v>
      </c>
      <c r="AH90" s="3522"/>
      <c r="AI90" s="3530" t="s">
        <v>1096</v>
      </c>
      <c r="AJ90" s="3531">
        <f>'All - MECs'!AJ90*VLOOKUP($B$14,'Annual Parameters'!$B$33:$W$143,3,FALSE)/VLOOKUP('All - MECs'!$B$14,'Annual Parameters'!$B$33:$W$143,3,FALSE)</f>
        <v>3.9786274983320165</v>
      </c>
      <c r="AK90" s="3532">
        <f>'All - MECs'!AK90*VLOOKUP($B$14,'Annual Parameters'!$B$33:$W$143,3,FALSE)/VLOOKUP('All - MECs'!$B$14,'Annual Parameters'!$B$33:$W$143,3,FALSE)</f>
        <v>4.7571439006329346</v>
      </c>
      <c r="AL90" s="3537">
        <f>'All - MECs'!AL90*VLOOKUP($B$14,'Annual Parameters'!$B$33:$W$143,3,FALSE)/VLOOKUP('All - MECs'!$B$14,'Annual Parameters'!$B$33:$W$143,3,FALSE)</f>
        <v>5.7997669931942308</v>
      </c>
      <c r="AM90" s="3531">
        <f>'All - MECs'!AM90*VLOOKUP($B$14,'Annual Parameters'!$B$33:$W$143,3,FALSE)/VLOOKUP('All - MECs'!$B$14,'Annual Parameters'!$B$33:$W$143,3,FALSE)</f>
        <v>3.9216234687351816</v>
      </c>
      <c r="AN90" s="3532">
        <f>'All - MECs'!AN90*VLOOKUP($B$14,'Annual Parameters'!$B$33:$W$143,3,FALSE)/VLOOKUP('All - MECs'!$B$14,'Annual Parameters'!$B$33:$W$143,3,FALSE)</f>
        <v>4.1316780993608972</v>
      </c>
      <c r="AO90" s="3537">
        <f>'All - MECs'!AO90*VLOOKUP($B$14,'Annual Parameters'!$B$33:$W$143,3,FALSE)/VLOOKUP('All - MECs'!$B$14,'Annual Parameters'!$B$33:$W$143,3,FALSE)</f>
        <v>4.7128343113787103</v>
      </c>
      <c r="AP90" s="3531">
        <f>'All - MECs'!AP90*VLOOKUP($B$14,'Annual Parameters'!$B$33:$W$143,3,FALSE)/VLOOKUP('All - MECs'!$B$14,'Annual Parameters'!$B$33:$W$143,3,FALSE)</f>
        <v>3.8134301646783046</v>
      </c>
      <c r="AQ90" s="3537">
        <f>'All - MECs'!AQ90*VLOOKUP($B$14,'Annual Parameters'!$B$33:$W$143,3,FALSE)/VLOOKUP('All - MECs'!$B$14,'Annual Parameters'!$B$33:$W$143,3,FALSE)</f>
        <v>4.3956962763334095</v>
      </c>
      <c r="AR90" s="3531">
        <f>'All - MECs'!AR90*VLOOKUP($B$14,'Annual Parameters'!$B$33:$W$143,3,FALSE)/VLOOKUP('All - MECs'!$B$14,'Annual Parameters'!$B$33:$W$143,3,FALSE)</f>
        <v>3.965696589050951</v>
      </c>
      <c r="AS90" s="3532">
        <f>'All - MECs'!AS90*VLOOKUP($B$14,'Annual Parameters'!$B$33:$W$143,3,FALSE)/VLOOKUP('All - MECs'!$B$14,'Annual Parameters'!$B$33:$W$143,3,FALSE)</f>
        <v>3.7200660116394975</v>
      </c>
      <c r="AT90" s="3537">
        <f>'All - MECs'!AT90*VLOOKUP($B$14,'Annual Parameters'!$B$33:$W$143,3,FALSE)/VLOOKUP('All - MECs'!$B$14,'Annual Parameters'!$B$33:$W$143,3,FALSE)</f>
        <v>3.6584234998446719</v>
      </c>
      <c r="AU90" s="3539">
        <f>'All - MECs'!AU90*VLOOKUP($B$14,'Annual Parameters'!$B$33:$W$143,3,FALSE)/VLOOKUP('All - MECs'!$B$14,'Annual Parameters'!$B$33:$W$143,3,FALSE)</f>
        <v>3.9502311228191074</v>
      </c>
      <c r="AV90" s="3544"/>
      <c r="AW90" s="3521" t="s">
        <v>397</v>
      </c>
      <c r="AX90" s="3522"/>
      <c r="AY90" s="3530" t="s">
        <v>1096</v>
      </c>
      <c r="AZ90" s="3531">
        <f>'All - MECs'!AZ90*VLOOKUP($B$14,'Annual Parameters'!$B$33:$W$143,3,FALSE)/VLOOKUP('All - MECs'!$B$14,'Annual Parameters'!$B$33:$W$143,3,FALSE)</f>
        <v>5.0794416768986173</v>
      </c>
      <c r="BA90" s="3532">
        <f>'All - MECs'!BA90*VLOOKUP($B$14,'Annual Parameters'!$B$33:$W$143,3,FALSE)/VLOOKUP('All - MECs'!$B$14,'Annual Parameters'!$B$33:$W$143,3,FALSE)</f>
        <v>6.7159616058969434</v>
      </c>
      <c r="BB90" s="3537">
        <f>'All - MECs'!BB90*VLOOKUP($B$14,'Annual Parameters'!$B$33:$W$143,3,FALSE)/VLOOKUP('All - MECs'!$B$14,'Annual Parameters'!$B$33:$W$143,3,FALSE)</f>
        <v>8.5183721019759044</v>
      </c>
      <c r="BC90" s="3531">
        <f>'All - MECs'!BC90*VLOOKUP($B$14,'Annual Parameters'!$B$33:$W$143,3,FALSE)/VLOOKUP('All - MECs'!$B$14,'Annual Parameters'!$B$33:$W$143,3,FALSE)</f>
        <v>5.0500034327104508</v>
      </c>
      <c r="BD90" s="3532">
        <f>'All - MECs'!BD90*VLOOKUP($B$14,'Annual Parameters'!$B$33:$W$143,3,FALSE)/VLOOKUP('All - MECs'!$B$14,'Annual Parameters'!$B$33:$W$143,3,FALSE)</f>
        <v>5.5372263975506169</v>
      </c>
      <c r="BE90" s="3537">
        <f>'All - MECs'!BE90*VLOOKUP($B$14,'Annual Parameters'!$B$33:$W$143,3,FALSE)/VLOOKUP('All - MECs'!$B$14,'Annual Parameters'!$B$33:$W$143,3,FALSE)</f>
        <v>6.8826831936703146</v>
      </c>
      <c r="BF90" s="3531">
        <f>'All - MECs'!BF90*VLOOKUP($B$14,'Annual Parameters'!$B$33:$W$143,3,FALSE)/VLOOKUP('All - MECs'!$B$14,'Annual Parameters'!$B$33:$W$143,3,FALSE)</f>
        <v>5.3229025372735759</v>
      </c>
      <c r="BG90" s="3537">
        <f>'All - MECs'!BG90*VLOOKUP($B$14,'Annual Parameters'!$B$33:$W$143,3,FALSE)/VLOOKUP('All - MECs'!$B$14,'Annual Parameters'!$B$33:$W$143,3,FALSE)</f>
        <v>6.4550427386215929</v>
      </c>
      <c r="BH90" s="3531">
        <f>'All - MECs'!BH90*VLOOKUP($B$14,'Annual Parameters'!$B$33:$W$143,3,FALSE)/VLOOKUP('All - MECs'!$B$14,'Annual Parameters'!$B$33:$W$143,3,FALSE)</f>
        <v>5.0700512298189251</v>
      </c>
      <c r="BI90" s="3532">
        <f>'All - MECs'!BI90*VLOOKUP($B$14,'Annual Parameters'!$B$33:$W$143,3,FALSE)/VLOOKUP('All - MECs'!$B$14,'Annual Parameters'!$B$33:$W$143,3,FALSE)</f>
        <v>4.8973711654745031</v>
      </c>
      <c r="BJ90" s="3537">
        <f>'All - MECs'!BJ90*VLOOKUP($B$14,'Annual Parameters'!$B$33:$W$143,3,FALSE)/VLOOKUP('All - MECs'!$B$14,'Annual Parameters'!$B$33:$W$143,3,FALSE)</f>
        <v>4.8869467780812679</v>
      </c>
      <c r="BK90" s="3539">
        <f>'All - MECs'!BK90*VLOOKUP($B$14,'Annual Parameters'!$B$33:$W$143,3,FALSE)/VLOOKUP('All - MECs'!$B$14,'Annual Parameters'!$B$33:$W$143,3,FALSE)</f>
        <v>5.0875318240939746</v>
      </c>
      <c r="BL90" s="3544"/>
      <c r="BM90" s="3521" t="s">
        <v>397</v>
      </c>
      <c r="BN90" s="3522"/>
      <c r="BO90" s="3530" t="s">
        <v>1096</v>
      </c>
      <c r="BP90" s="3531">
        <f>'All - MECs'!BP90*VLOOKUP($B$14,'Annual Parameters'!$B$33:$W$143,3,FALSE)/VLOOKUP('All - MECs'!$B$14,'Annual Parameters'!$B$33:$W$143,3,FALSE)</f>
        <v>4.0067683517715915</v>
      </c>
      <c r="BQ90" s="3532">
        <f>'All - MECs'!BQ90*VLOOKUP($B$14,'Annual Parameters'!$B$33:$W$143,3,FALSE)/VLOOKUP('All - MECs'!$B$14,'Annual Parameters'!$B$33:$W$143,3,FALSE)</f>
        <v>3.7324290901948602</v>
      </c>
      <c r="BR90" s="3537">
        <f>'All - MECs'!BR90*VLOOKUP($B$14,'Annual Parameters'!$B$33:$W$143,3,FALSE)/VLOOKUP('All - MECs'!$B$14,'Annual Parameters'!$B$33:$W$143,3,FALSE)</f>
        <v>4.6830133925177124</v>
      </c>
      <c r="BS90" s="3531">
        <f>'All - MECs'!BS90*VLOOKUP($B$14,'Annual Parameters'!$B$33:$W$143,3,FALSE)/VLOOKUP('All - MECs'!$B$14,'Annual Parameters'!$B$33:$W$143,3,FALSE)</f>
        <v>3.9936697262667931</v>
      </c>
      <c r="BT90" s="3532">
        <f>'All - MECs'!BT90*VLOOKUP($B$14,'Annual Parameters'!$B$33:$W$143,3,FALSE)/VLOOKUP('All - MECs'!$B$14,'Annual Parameters'!$B$33:$W$143,3,FALSE)</f>
        <v>4.2051273832485618</v>
      </c>
      <c r="BU90" s="3537">
        <f>'All - MECs'!BU90*VLOOKUP($B$14,'Annual Parameters'!$B$33:$W$143,3,FALSE)/VLOOKUP('All - MECs'!$B$14,'Annual Parameters'!$B$33:$W$143,3,FALSE)</f>
        <v>4.8214582898219307</v>
      </c>
      <c r="BV90" s="3531">
        <f>'All - MECs'!BV90*VLOOKUP($B$14,'Annual Parameters'!$B$33:$W$143,3,FALSE)/VLOOKUP('All - MECs'!$B$14,'Annual Parameters'!$B$33:$W$143,3,FALSE)</f>
        <v>3.5207420163730636</v>
      </c>
      <c r="BW90" s="3537">
        <f>'All - MECs'!BW90*VLOOKUP($B$14,'Annual Parameters'!$B$33:$W$143,3,FALSE)/VLOOKUP('All - MECs'!$B$14,'Annual Parameters'!$B$33:$W$143,3,FALSE)</f>
        <v>4.3081082518246934</v>
      </c>
      <c r="BX90" s="3531">
        <f>'All - MECs'!BX90*VLOOKUP($B$14,'Annual Parameters'!$B$33:$W$143,3,FALSE)/VLOOKUP('All - MECs'!$B$14,'Annual Parameters'!$B$33:$W$143,3,FALSE)</f>
        <v>4.0020982059116594</v>
      </c>
      <c r="BY90" s="3532">
        <f>'All - MECs'!BY90*VLOOKUP($B$14,'Annual Parameters'!$B$33:$W$143,3,FALSE)/VLOOKUP('All - MECs'!$B$14,'Annual Parameters'!$B$33:$W$143,3,FALSE)</f>
        <v>3.257004048128822</v>
      </c>
      <c r="BZ90" s="3537">
        <f>'All - MECs'!BZ90*VLOOKUP($B$14,'Annual Parameters'!$B$33:$W$143,3,FALSE)/VLOOKUP('All - MECs'!$B$14,'Annual Parameters'!$B$33:$W$143,3,FALSE)</f>
        <v>3.3432835231584104</v>
      </c>
      <c r="CA90" s="3539">
        <f>'All - MECs'!CA90*VLOOKUP($B$14,'Annual Parameters'!$B$33:$W$143,3,FALSE)/VLOOKUP('All - MECs'!$B$14,'Annual Parameters'!$B$33:$W$143,3,FALSE)</f>
        <v>3.9092158057490058</v>
      </c>
    </row>
    <row r="91" spans="1:95" ht="13.5" customHeight="1">
      <c r="A91" s="3521" t="s">
        <v>1098</v>
      </c>
      <c r="B91" s="3493"/>
      <c r="C91" s="3530" t="s">
        <v>1096</v>
      </c>
      <c r="D91" s="3495">
        <f>'All - MECs'!D91*VLOOKUP($B$14,'Annual Parameters'!$B$33:$W$143,3,FALSE)/VLOOKUP('All - MECs'!$B$14,'Annual Parameters'!$B$33:$W$143,3,FALSE)</f>
        <v>-2.9324891209458754</v>
      </c>
      <c r="E91" s="3496">
        <f>'All - MECs'!E91*VLOOKUP($B$14,'Annual Parameters'!$B$33:$W$143,3,FALSE)/VLOOKUP('All - MECs'!$B$14,'Annual Parameters'!$B$33:$W$143,3,FALSE)</f>
        <v>-3.2857184835450992</v>
      </c>
      <c r="F91" s="3496">
        <f>'All - MECs'!F91*VLOOKUP($B$14,'Annual Parameters'!$B$33:$W$143,3,FALSE)/VLOOKUP('All - MECs'!$B$14,'Annual Parameters'!$B$33:$W$143,3,FALSE)</f>
        <v>-4.1214702853108589</v>
      </c>
      <c r="G91" s="3503">
        <f>'All - MECs'!G91*VLOOKUP($B$14,'Annual Parameters'!$B$33:$W$143,3,FALSE)/VLOOKUP('All - MECs'!$B$14,'Annual Parameters'!$B$33:$W$143,3,FALSE)</f>
        <v>-2.8330126247768361</v>
      </c>
      <c r="H91" s="3504">
        <f>'All - MECs'!H91*VLOOKUP($B$14,'Annual Parameters'!$B$33:$W$143,3,FALSE)/VLOOKUP('All - MECs'!$B$14,'Annual Parameters'!$B$33:$W$143,3,FALSE)</f>
        <v>-2.9298627105149433</v>
      </c>
      <c r="I91" s="3501">
        <f>'All - MECs'!I91*VLOOKUP($B$14,'Annual Parameters'!$B$33:$W$143,3,FALSE)/VLOOKUP('All - MECs'!$B$14,'Annual Parameters'!$B$33:$W$143,3,FALSE)</f>
        <v>-3.2403863751441007</v>
      </c>
      <c r="J91" s="3500">
        <f>'All - MECs'!J91*VLOOKUP($B$14,'Annual Parameters'!$B$33:$W$143,3,FALSE)/VLOOKUP('All - MECs'!$B$14,'Annual Parameters'!$B$33:$W$143,3,FALSE)</f>
        <v>-2.7081100078558138</v>
      </c>
      <c r="K91" s="3501">
        <f>'All - MECs'!K91*VLOOKUP($B$14,'Annual Parameters'!$B$33:$W$143,3,FALSE)/VLOOKUP('All - MECs'!$B$14,'Annual Parameters'!$B$33:$W$143,3,FALSE)</f>
        <v>-3.052372791230896</v>
      </c>
      <c r="L91" s="3495">
        <f>'All - MECs'!L91*VLOOKUP($B$14,'Annual Parameters'!$B$33:$W$143,3,FALSE)/VLOOKUP('All - MECs'!$B$14,'Annual Parameters'!$B$33:$W$143,3,FALSE)</f>
        <v>-2.8939159686559175</v>
      </c>
      <c r="M91" s="3496">
        <f>'All - MECs'!M91*VLOOKUP($B$14,'Annual Parameters'!$B$33:$W$143,3,FALSE)/VLOOKUP('All - MECs'!$B$14,'Annual Parameters'!$B$33:$W$143,3,FALSE)</f>
        <v>-2.6582222155315054</v>
      </c>
      <c r="N91" s="3501">
        <f>'All - MECs'!N91*VLOOKUP($B$14,'Annual Parameters'!$B$33:$W$143,3,FALSE)/VLOOKUP('All - MECs'!$B$14,'Annual Parameters'!$B$33:$W$143,3,FALSE)</f>
        <v>-2.62276853132298</v>
      </c>
      <c r="O91" s="3502">
        <f>'All - MECs'!O91*VLOOKUP($B$14,'Annual Parameters'!$B$33:$W$143,3,FALSE)/VLOOKUP('All - MECs'!$B$14,'Annual Parameters'!$B$33:$W$143,3,FALSE)</f>
        <v>-2.8684957780247187</v>
      </c>
      <c r="P91" s="3544"/>
      <c r="Q91" s="3521" t="s">
        <v>1098</v>
      </c>
      <c r="R91" s="3493"/>
      <c r="S91" s="3530" t="s">
        <v>1096</v>
      </c>
      <c r="T91" s="3495">
        <f>'All - MECs'!T91*VLOOKUP($B$14,'Annual Parameters'!$B$33:$W$143,3,FALSE)/VLOOKUP('All - MECs'!$B$14,'Annual Parameters'!$B$33:$W$143,3,FALSE)</f>
        <v>-5.2726310338362712</v>
      </c>
      <c r="U91" s="3496">
        <f>'All - MECs'!U91*VLOOKUP($B$14,'Annual Parameters'!$B$33:$W$143,3,FALSE)/VLOOKUP('All - MECs'!$B$14,'Annual Parameters'!$B$33:$W$143,3,FALSE)</f>
        <v>-4.6874266391313464</v>
      </c>
      <c r="V91" s="3496">
        <f>'All - MECs'!V91*VLOOKUP($B$14,'Annual Parameters'!$B$33:$W$143,3,FALSE)/VLOOKUP('All - MECs'!$B$14,'Annual Parameters'!$B$33:$W$143,3,FALSE)</f>
        <v>-6.0491477024183817</v>
      </c>
      <c r="W91" s="3503">
        <f>'All - MECs'!W91*VLOOKUP($B$14,'Annual Parameters'!$B$33:$W$143,3,FALSE)/VLOOKUP('All - MECs'!$B$14,'Annual Parameters'!$B$33:$W$143,3,FALSE)</f>
        <v>-4.9954041717671558</v>
      </c>
      <c r="X91" s="3504">
        <f>'All - MECs'!X91*VLOOKUP($B$14,'Annual Parameters'!$B$33:$W$143,3,FALSE)/VLOOKUP('All - MECs'!$B$14,'Annual Parameters'!$B$33:$W$143,3,FALSE)</f>
        <v>-4.1947770779721134</v>
      </c>
      <c r="Y91" s="3501">
        <f>'All - MECs'!Y91*VLOOKUP($B$14,'Annual Parameters'!$B$33:$W$143,3,FALSE)/VLOOKUP('All - MECs'!$B$14,'Annual Parameters'!$B$33:$W$143,3,FALSE)</f>
        <v>-4.4861616863354215</v>
      </c>
      <c r="Z91" s="3500">
        <f>'All - MECs'!Z91*VLOOKUP($B$14,'Annual Parameters'!$B$33:$W$143,3,FALSE)/VLOOKUP('All - MECs'!$B$14,'Annual Parameters'!$B$33:$W$143,3,FALSE)</f>
        <v>-3.9766934024959539</v>
      </c>
      <c r="AA91" s="3501">
        <f>'All - MECs'!AA91*VLOOKUP($B$14,'Annual Parameters'!$B$33:$W$143,3,FALSE)/VLOOKUP('All - MECs'!$B$14,'Annual Parameters'!$B$33:$W$143,3,FALSE)</f>
        <v>-4.1905322090081487</v>
      </c>
      <c r="AB91" s="3495">
        <f>'All - MECs'!AB91*VLOOKUP($B$14,'Annual Parameters'!$B$33:$W$143,3,FALSE)/VLOOKUP('All - MECs'!$B$14,'Annual Parameters'!$B$33:$W$143,3,FALSE)</f>
        <v>-5.1788099160217742</v>
      </c>
      <c r="AC91" s="3496">
        <f>'All - MECs'!AC91*VLOOKUP($B$14,'Annual Parameters'!$B$33:$W$143,3,FALSE)/VLOOKUP('All - MECs'!$B$14,'Annual Parameters'!$B$33:$W$143,3,FALSE)</f>
        <v>-4.5524106822291444</v>
      </c>
      <c r="AD91" s="3501">
        <f>'All - MECs'!AD91*VLOOKUP($B$14,'Annual Parameters'!$B$33:$W$143,3,FALSE)/VLOOKUP('All - MECs'!$B$14,'Annual Parameters'!$B$33:$W$143,3,FALSE)</f>
        <v>-4.0298579495325715</v>
      </c>
      <c r="AE91" s="3502">
        <f>'All - MECs'!AE91*VLOOKUP($B$14,'Annual Parameters'!$B$33:$W$143,3,FALSE)/VLOOKUP('All - MECs'!$B$14,'Annual Parameters'!$B$33:$W$143,3,FALSE)</f>
        <v>-4.4733625356138473</v>
      </c>
      <c r="AF91" s="3544"/>
      <c r="AG91" s="3521" t="s">
        <v>1098</v>
      </c>
      <c r="AH91" s="3493"/>
      <c r="AI91" s="3530" t="s">
        <v>1096</v>
      </c>
      <c r="AJ91" s="3495">
        <f>'All - MECs'!AJ91*VLOOKUP($B$14,'Annual Parameters'!$B$33:$W$143,3,FALSE)/VLOOKUP('All - MECs'!$B$14,'Annual Parameters'!$B$33:$W$143,3,FALSE)</f>
        <v>-17.477603413775341</v>
      </c>
      <c r="AK91" s="3496">
        <f>'All - MECs'!AK91*VLOOKUP($B$14,'Annual Parameters'!$B$33:$W$143,3,FALSE)/VLOOKUP('All - MECs'!$B$14,'Annual Parameters'!$B$33:$W$143,3,FALSE)</f>
        <v>-20.897526725580477</v>
      </c>
      <c r="AL91" s="3496">
        <f>'All - MECs'!AL91*VLOOKUP($B$14,'Annual Parameters'!$B$33:$W$143,3,FALSE)/VLOOKUP('All - MECs'!$B$14,'Annual Parameters'!$B$33:$W$143,3,FALSE)</f>
        <v>-25.477637059978427</v>
      </c>
      <c r="AM91" s="3503">
        <f>'All - MECs'!AM91*VLOOKUP($B$14,'Annual Parameters'!$B$33:$W$143,3,FALSE)/VLOOKUP('All - MECs'!$B$14,'Annual Parameters'!$B$33:$W$143,3,FALSE)</f>
        <v>-17.22719197850067</v>
      </c>
      <c r="AN91" s="3504">
        <f>'All - MECs'!AN91*VLOOKUP($B$14,'Annual Parameters'!$B$33:$W$143,3,FALSE)/VLOOKUP('All - MECs'!$B$14,'Annual Parameters'!$B$33:$W$143,3,FALSE)</f>
        <v>-18.149935193552203</v>
      </c>
      <c r="AO91" s="3501">
        <f>'All - MECs'!AO91*VLOOKUP($B$14,'Annual Parameters'!$B$33:$W$143,3,FALSE)/VLOOKUP('All - MECs'!$B$14,'Annual Parameters'!$B$33:$W$143,3,FALSE)</f>
        <v>-20.70288034847248</v>
      </c>
      <c r="AP91" s="3500">
        <f>'All - MECs'!AP91*VLOOKUP($B$14,'Annual Parameters'!$B$33:$W$143,3,FALSE)/VLOOKUP('All - MECs'!$B$14,'Annual Parameters'!$B$33:$W$143,3,FALSE)</f>
        <v>-16.751912586015482</v>
      </c>
      <c r="AQ91" s="3501">
        <f>'All - MECs'!AQ91*VLOOKUP($B$14,'Annual Parameters'!$B$33:$W$143,3,FALSE)/VLOOKUP('All - MECs'!$B$14,'Annual Parameters'!$B$33:$W$143,3,FALSE)</f>
        <v>-19.309733388554896</v>
      </c>
      <c r="AR91" s="3495">
        <f>'All - MECs'!AR91*VLOOKUP($B$14,'Annual Parameters'!$B$33:$W$143,3,FALSE)/VLOOKUP('All - MECs'!$B$14,'Annual Parameters'!$B$33:$W$143,3,FALSE)</f>
        <v>-17.420799577706568</v>
      </c>
      <c r="AS91" s="3496">
        <f>'All - MECs'!AS91*VLOOKUP($B$14,'Annual Parameters'!$B$33:$W$143,3,FALSE)/VLOOKUP('All - MECs'!$B$14,'Annual Parameters'!$B$33:$W$143,3,FALSE)</f>
        <v>-16.341775763566186</v>
      </c>
      <c r="AT91" s="3501">
        <f>'All - MECs'!AT91*VLOOKUP($B$14,'Annual Parameters'!$B$33:$W$143,3,FALSE)/VLOOKUP('All - MECs'!$B$14,'Annual Parameters'!$B$33:$W$143,3,FALSE)</f>
        <v>-16.070988067298916</v>
      </c>
      <c r="AU91" s="3502">
        <f>'All - MECs'!AU91*VLOOKUP($B$14,'Annual Parameters'!$B$33:$W$143,3,FALSE)/VLOOKUP('All - MECs'!$B$14,'Annual Parameters'!$B$33:$W$143,3,FALSE)</f>
        <v>-17.35286175605259</v>
      </c>
      <c r="AV91" s="3544"/>
      <c r="AW91" s="3521" t="s">
        <v>1098</v>
      </c>
      <c r="AX91" s="3493"/>
      <c r="AY91" s="3530" t="s">
        <v>1096</v>
      </c>
      <c r="AZ91" s="3495">
        <f>'All - MECs'!AZ91*VLOOKUP($B$14,'Annual Parameters'!$B$33:$W$143,3,FALSE)/VLOOKUP('All - MECs'!$B$14,'Annual Parameters'!$B$33:$W$143,3,FALSE)</f>
        <v>-22.313339770927108</v>
      </c>
      <c r="BA91" s="3496">
        <f>'All - MECs'!BA91*VLOOKUP($B$14,'Annual Parameters'!$B$33:$W$143,3,FALSE)/VLOOKUP('All - MECs'!$B$14,'Annual Parameters'!$B$33:$W$143,3,FALSE)</f>
        <v>-29.502363199173086</v>
      </c>
      <c r="BB91" s="3496">
        <f>'All - MECs'!BB91*VLOOKUP($B$14,'Annual Parameters'!$B$33:$W$143,3,FALSE)/VLOOKUP('All - MECs'!$B$14,'Annual Parameters'!$B$33:$W$143,3,FALSE)</f>
        <v>-37.420122741251568</v>
      </c>
      <c r="BC91" s="3503">
        <f>'All - MECs'!BC91*VLOOKUP($B$14,'Annual Parameters'!$B$33:$W$143,3,FALSE)/VLOOKUP('All - MECs'!$B$14,'Annual Parameters'!$B$33:$W$143,3,FALSE)</f>
        <v>-22.184021316929005</v>
      </c>
      <c r="BD91" s="3504">
        <f>'All - MECs'!BD91*VLOOKUP($B$14,'Annual Parameters'!$B$33:$W$143,3,FALSE)/VLOOKUP('All - MECs'!$B$14,'Annual Parameters'!$B$33:$W$143,3,FALSE)</f>
        <v>-24.324329691394883</v>
      </c>
      <c r="BE91" s="3501">
        <f>'All - MECs'!BE91*VLOOKUP($B$14,'Annual Parameters'!$B$33:$W$143,3,FALSE)/VLOOKUP('All - MECs'!$B$14,'Annual Parameters'!$B$33:$W$143,3,FALSE)</f>
        <v>-30.23474988097216</v>
      </c>
      <c r="BF91" s="3500">
        <f>'All - MECs'!BF91*VLOOKUP($B$14,'Annual Parameters'!$B$33:$W$143,3,FALSE)/VLOOKUP('All - MECs'!$B$14,'Annual Parameters'!$B$33:$W$143,3,FALSE)</f>
        <v>-23.382832294716774</v>
      </c>
      <c r="BG91" s="3501">
        <f>'All - MECs'!BG91*VLOOKUP($B$14,'Annual Parameters'!$B$33:$W$143,3,FALSE)/VLOOKUP('All - MECs'!$B$14,'Annual Parameters'!$B$33:$W$143,3,FALSE)</f>
        <v>-28.35617987657707</v>
      </c>
      <c r="BH91" s="3495">
        <f>'All - MECs'!BH91*VLOOKUP($B$14,'Annual Parameters'!$B$33:$W$143,3,FALSE)/VLOOKUP('All - MECs'!$B$14,'Annual Parameters'!$B$33:$W$143,3,FALSE)</f>
        <v>-22.27208873397889</v>
      </c>
      <c r="BI91" s="3496">
        <f>'All - MECs'!BI91*VLOOKUP($B$14,'Annual Parameters'!$B$33:$W$143,3,FALSE)/VLOOKUP('All - MECs'!$B$14,'Annual Parameters'!$B$33:$W$143,3,FALSE)</f>
        <v>-21.513527224176254</v>
      </c>
      <c r="BJ91" s="3501">
        <f>'All - MECs'!BJ91*VLOOKUP($B$14,'Annual Parameters'!$B$33:$W$143,3,FALSE)/VLOOKUP('All - MECs'!$B$14,'Annual Parameters'!$B$33:$W$143,3,FALSE)</f>
        <v>-21.467734219235002</v>
      </c>
      <c r="BK91" s="3502">
        <f>'All - MECs'!BK91*VLOOKUP($B$14,'Annual Parameters'!$B$33:$W$143,3,FALSE)/VLOOKUP('All - MECs'!$B$14,'Annual Parameters'!$B$33:$W$143,3,FALSE)</f>
        <v>-22.34887875624273</v>
      </c>
      <c r="BL91" s="3544"/>
      <c r="BM91" s="3521" t="s">
        <v>1098</v>
      </c>
      <c r="BN91" s="3493"/>
      <c r="BO91" s="3530" t="s">
        <v>1096</v>
      </c>
      <c r="BP91" s="3495">
        <f>'All - MECs'!BP91*VLOOKUP($B$14,'Annual Parameters'!$B$33:$W$143,3,FALSE)/VLOOKUP('All - MECs'!$B$14,'Annual Parameters'!$B$33:$W$143,3,FALSE)</f>
        <v>-17.601222595603311</v>
      </c>
      <c r="BQ91" s="3496">
        <f>'All - MECs'!BQ91*VLOOKUP($B$14,'Annual Parameters'!$B$33:$W$143,3,FALSE)/VLOOKUP('All - MECs'!$B$14,'Annual Parameters'!$B$33:$W$143,3,FALSE)</f>
        <v>-16.396085191642719</v>
      </c>
      <c r="BR91" s="3496">
        <f>'All - MECs'!BR91*VLOOKUP($B$14,'Annual Parameters'!$B$33:$W$143,3,FALSE)/VLOOKUP('All - MECs'!$B$14,'Annual Parameters'!$B$33:$W$143,3,FALSE)</f>
        <v>-20.57188085341912</v>
      </c>
      <c r="BS91" s="3503">
        <f>'All - MECs'!BS91*VLOOKUP($B$14,'Annual Parameters'!$B$33:$W$143,3,FALSE)/VLOOKUP('All - MECs'!$B$14,'Annual Parameters'!$B$33:$W$143,3,FALSE)</f>
        <v>-17.543682003543758</v>
      </c>
      <c r="BT91" s="3504">
        <f>'All - MECs'!BT91*VLOOKUP($B$14,'Annual Parameters'!$B$33:$W$143,3,FALSE)/VLOOKUP('All - MECs'!$B$14,'Annual Parameters'!$B$33:$W$143,3,FALSE)</f>
        <v>-18.472588534522824</v>
      </c>
      <c r="BU91" s="3501">
        <f>'All - MECs'!BU91*VLOOKUP($B$14,'Annual Parameters'!$B$33:$W$143,3,FALSE)/VLOOKUP('All - MECs'!$B$14,'Annual Parameters'!$B$33:$W$143,3,FALSE)</f>
        <v>-21.180051638635476</v>
      </c>
      <c r="BV91" s="3500">
        <f>'All - MECs'!BV91*VLOOKUP($B$14,'Annual Parameters'!$B$33:$W$143,3,FALSE)/VLOOKUP('All - MECs'!$B$14,'Annual Parameters'!$B$33:$W$143,3,FALSE)</f>
        <v>-15.466170861730951</v>
      </c>
      <c r="BW91" s="3501">
        <f>'All - MECs'!BW91*VLOOKUP($B$14,'Annual Parameters'!$B$33:$W$143,3,FALSE)/VLOOKUP('All - MECs'!$B$14,'Annual Parameters'!$B$33:$W$143,3,FALSE)</f>
        <v>-18.924970362410537</v>
      </c>
      <c r="BX91" s="3495">
        <f>'All - MECs'!BX91*VLOOKUP($B$14,'Annual Parameters'!$B$33:$W$143,3,FALSE)/VLOOKUP('All - MECs'!$B$14,'Annual Parameters'!$B$33:$W$143,3,FALSE)</f>
        <v>-17.580707240180217</v>
      </c>
      <c r="BY91" s="3496">
        <f>'All - MECs'!BY91*VLOOKUP($B$14,'Annual Parameters'!$B$33:$W$143,3,FALSE)/VLOOKUP('All - MECs'!$B$14,'Annual Parameters'!$B$33:$W$143,3,FALSE)</f>
        <v>-14.307603587951183</v>
      </c>
      <c r="BZ91" s="3501">
        <f>'All - MECs'!BZ91*VLOOKUP($B$14,'Annual Parameters'!$B$33:$W$143,3,FALSE)/VLOOKUP('All - MECs'!$B$14,'Annual Parameters'!$B$33:$W$143,3,FALSE)</f>
        <v>-14.68661832304465</v>
      </c>
      <c r="CA91" s="3502">
        <f>'All - MECs'!CA91*VLOOKUP($B$14,'Annual Parameters'!$B$33:$W$143,3,FALSE)/VLOOKUP('All - MECs'!$B$14,'Annual Parameters'!$B$33:$W$143,3,FALSE)</f>
        <v>-17.172686696703096</v>
      </c>
    </row>
    <row r="92" spans="1:95" ht="13.5" customHeight="1" thickBot="1">
      <c r="A92" s="3541" t="s">
        <v>1449</v>
      </c>
      <c r="B92" s="3542"/>
      <c r="C92" s="3554"/>
      <c r="D92" s="3555">
        <f>'All - MECs'!D92*VLOOKUP($B$14,'Annual Parameters'!$B$33:$W$143,3,FALSE)/VLOOKUP('All - MECs'!$B$14,'Annual Parameters'!$B$33:$W$143,3,FALSE)</f>
        <v>-0.5191727254087346</v>
      </c>
      <c r="E92" s="3555">
        <f>'All - MECs'!E92*VLOOKUP($B$14,'Annual Parameters'!$B$33:$W$143,3,FALSE)/VLOOKUP('All - MECs'!$B$14,'Annual Parameters'!$B$33:$W$143,3,FALSE)</f>
        <v>122.76253055578516</v>
      </c>
      <c r="F92" s="3555">
        <f>'All - MECs'!F92*VLOOKUP($B$14,'Annual Parameters'!$B$33:$W$143,3,FALSE)/VLOOKUP('All - MECs'!$B$14,'Annual Parameters'!$B$33:$W$143,3,FALSE)</f>
        <v>66.4289499664727</v>
      </c>
      <c r="G92" s="3556">
        <f>'All - MECs'!G92*VLOOKUP($B$14,'Annual Parameters'!$B$33:$W$143,3,FALSE)/VLOOKUP('All - MECs'!$B$14,'Annual Parameters'!$B$33:$W$143,3,FALSE)</f>
        <v>2.9944324369938982</v>
      </c>
      <c r="H92" s="3555">
        <f>'All - MECs'!H92*VLOOKUP($B$14,'Annual Parameters'!$B$33:$W$143,3,FALSE)/VLOOKUP('All - MECs'!$B$14,'Annual Parameters'!$B$33:$W$143,3,FALSE)</f>
        <v>50.892084866324801</v>
      </c>
      <c r="I92" s="3557">
        <f>'All - MECs'!I92*VLOOKUP($B$14,'Annual Parameters'!$B$33:$W$143,3,FALSE)/VLOOKUP('All - MECs'!$B$14,'Annual Parameters'!$B$33:$W$143,3,FALSE)</f>
        <v>38.691341456681101</v>
      </c>
      <c r="J92" s="3558">
        <f>'All - MECs'!J92*VLOOKUP($B$14,'Annual Parameters'!$B$33:$W$143,3,FALSE)/VLOOKUP('All - MECs'!$B$14,'Annual Parameters'!$B$33:$W$143,3,FALSE)</f>
        <v>22.613757894471963</v>
      </c>
      <c r="K92" s="3559">
        <f>'All - MECs'!K92*VLOOKUP($B$14,'Annual Parameters'!$B$33:$W$143,3,FALSE)/VLOOKUP('All - MECs'!$B$14,'Annual Parameters'!$B$33:$W$143,3,FALSE)</f>
        <v>16.398815889671816</v>
      </c>
      <c r="L92" s="3556">
        <f>'All - MECs'!L92*VLOOKUP($B$14,'Annual Parameters'!$B$33:$W$143,3,FALSE)/VLOOKUP('All - MECs'!$B$14,'Annual Parameters'!$B$33:$W$143,3,FALSE)</f>
        <v>0.95058960399775483</v>
      </c>
      <c r="M92" s="3555">
        <f>'All - MECs'!M92*VLOOKUP($B$14,'Annual Parameters'!$B$33:$W$143,3,FALSE)/VLOOKUP('All - MECs'!$B$14,'Annual Parameters'!$B$33:$W$143,3,FALSE)</f>
        <v>2.6682773651357361</v>
      </c>
      <c r="N92" s="3557">
        <f>'All - MECs'!N92*VLOOKUP($B$14,'Annual Parameters'!$B$33:$W$143,3,FALSE)/VLOOKUP('All - MECs'!$B$14,'Annual Parameters'!$B$33:$W$143,3,FALSE)</f>
        <v>4.2469353108678325</v>
      </c>
      <c r="O92" s="3543">
        <f>'All - MECs'!O92*VLOOKUP($B$14,'Annual Parameters'!$B$33:$W$143,3,FALSE)/VLOOKUP('All - MECs'!$B$14,'Annual Parameters'!$B$33:$W$143,3,FALSE)</f>
        <v>18.053943909979925</v>
      </c>
      <c r="P92" s="3544"/>
      <c r="Q92" s="3541" t="s">
        <v>1449</v>
      </c>
      <c r="R92" s="3542"/>
      <c r="S92" s="3554"/>
      <c r="T92" s="3555">
        <f>'All - MECs'!T92*VLOOKUP($B$14,'Annual Parameters'!$B$33:$W$143,3,FALSE)/VLOOKUP('All - MECs'!$B$14,'Annual Parameters'!$B$33:$W$143,3,FALSE)</f>
        <v>-2.0588347924416777</v>
      </c>
      <c r="U92" s="3555">
        <f>'All - MECs'!U92*VLOOKUP($B$14,'Annual Parameters'!$B$33:$W$143,3,FALSE)/VLOOKUP('All - MECs'!$B$14,'Annual Parameters'!$B$33:$W$143,3,FALSE)</f>
        <v>121.94702810143171</v>
      </c>
      <c r="V92" s="3555">
        <f>'All - MECs'!V92*VLOOKUP($B$14,'Annual Parameters'!$B$33:$W$143,3,FALSE)/VLOOKUP('All - MECs'!$B$14,'Annual Parameters'!$B$33:$W$143,3,FALSE)</f>
        <v>65.280694329664598</v>
      </c>
      <c r="W92" s="3556">
        <f>'All - MECs'!W92*VLOOKUP($B$14,'Annual Parameters'!$B$33:$W$143,3,FALSE)/VLOOKUP('All - MECs'!$B$14,'Annual Parameters'!$B$33:$W$143,3,FALSE)</f>
        <v>1.4287785567697382</v>
      </c>
      <c r="X92" s="3555">
        <f>'All - MECs'!X92*VLOOKUP($B$14,'Annual Parameters'!$B$33:$W$143,3,FALSE)/VLOOKUP('All - MECs'!$B$14,'Annual Parameters'!$B$33:$W$143,3,FALSE)</f>
        <v>49.990417315219126</v>
      </c>
      <c r="Y92" s="3557">
        <f>'All - MECs'!Y92*VLOOKUP($B$14,'Annual Parameters'!$B$33:$W$143,3,FALSE)/VLOOKUP('All - MECs'!$B$14,'Annual Parameters'!$B$33:$W$143,3,FALSE)</f>
        <v>37.809972839831524</v>
      </c>
      <c r="Z92" s="3558">
        <f>'All - MECs'!Z92*VLOOKUP($B$14,'Annual Parameters'!$B$33:$W$143,3,FALSE)/VLOOKUP('All - MECs'!$B$14,'Annual Parameters'!$B$33:$W$143,3,FALSE)</f>
        <v>21.685406990017327</v>
      </c>
      <c r="AA92" s="3559">
        <f>'All - MECs'!AA92*VLOOKUP($B$14,'Annual Parameters'!$B$33:$W$143,3,FALSE)/VLOOKUP('All - MECs'!$B$14,'Annual Parameters'!$B$33:$W$143,3,FALSE)</f>
        <v>15.57256443640903</v>
      </c>
      <c r="AB92" s="3556">
        <f>'All - MECs'!AB92*VLOOKUP($B$14,'Annual Parameters'!$B$33:$W$143,3,FALSE)/VLOOKUP('All - MECs'!$B$14,'Annual Parameters'!$B$33:$W$143,3,FALSE)</f>
        <v>-0.79430842064444551</v>
      </c>
      <c r="AC92" s="3555">
        <f>'All - MECs'!AC92*VLOOKUP($B$14,'Annual Parameters'!$B$33:$W$143,3,FALSE)/VLOOKUP('All - MECs'!$B$14,'Annual Parameters'!$B$33:$W$143,3,FALSE)</f>
        <v>1.2206563042514329</v>
      </c>
      <c r="AD92" s="3557">
        <f>'All - MECs'!AD92*VLOOKUP($B$14,'Annual Parameters'!$B$33:$W$143,3,FALSE)/VLOOKUP('All - MECs'!$B$14,'Annual Parameters'!$B$33:$W$143,3,FALSE)</f>
        <v>3.1658440750734229</v>
      </c>
      <c r="AE92" s="3543">
        <f>'All - MECs'!AE92*VLOOKUP($B$14,'Annual Parameters'!$B$33:$W$143,3,FALSE)/VLOOKUP('All - MECs'!$B$14,'Annual Parameters'!$B$33:$W$143,3,FALSE)</f>
        <v>16.801847075684812</v>
      </c>
      <c r="AF92" s="3544"/>
      <c r="AG92" s="3541" t="s">
        <v>1449</v>
      </c>
      <c r="AH92" s="3542"/>
      <c r="AI92" s="3554"/>
      <c r="AJ92" s="3555">
        <f>'All - MECs'!AJ92*VLOOKUP($B$14,'Annual Parameters'!$B$33:$W$143,3,FALSE)/VLOOKUP('All - MECs'!$B$14,'Annual Parameters'!$B$33:$W$143,3,FALSE)</f>
        <v>-0.9763625095546935</v>
      </c>
      <c r="AK92" s="3555">
        <f>'All - MECs'!AK92*VLOOKUP($B$14,'Annual Parameters'!$B$33:$W$143,3,FALSE)/VLOOKUP('All - MECs'!$B$14,'Annual Parameters'!$B$33:$W$143,3,FALSE)</f>
        <v>234.07417337227483</v>
      </c>
      <c r="AL92" s="3555">
        <f>'All - MECs'!AL92*VLOOKUP($B$14,'Annual Parameters'!$B$33:$W$143,3,FALSE)/VLOOKUP('All - MECs'!$B$14,'Annual Parameters'!$B$33:$W$143,3,FALSE)</f>
        <v>147.11429014436078</v>
      </c>
      <c r="AM92" s="3556">
        <f>'All - MECs'!AM92*VLOOKUP($B$14,'Annual Parameters'!$B$33:$W$143,3,FALSE)/VLOOKUP('All - MECs'!$B$14,'Annual Parameters'!$B$33:$W$143,3,FALSE)</f>
        <v>5.8040469197295934</v>
      </c>
      <c r="AN92" s="3555">
        <f>'All - MECs'!AN92*VLOOKUP($B$14,'Annual Parameters'!$B$33:$W$143,3,FALSE)/VLOOKUP('All - MECs'!$B$14,'Annual Parameters'!$B$33:$W$143,3,FALSE)</f>
        <v>95.184093103426818</v>
      </c>
      <c r="AO92" s="3557">
        <f>'All - MECs'!AO92*VLOOKUP($B$14,'Annual Parameters'!$B$33:$W$143,3,FALSE)/VLOOKUP('All - MECs'!$B$14,'Annual Parameters'!$B$33:$W$143,3,FALSE)</f>
        <v>92.346450024458505</v>
      </c>
      <c r="AP92" s="3558">
        <f>'All - MECs'!AP92*VLOOKUP($B$14,'Annual Parameters'!$B$33:$W$143,3,FALSE)/VLOOKUP('All - MECs'!$B$14,'Annual Parameters'!$B$33:$W$143,3,FALSE)</f>
        <v>40.997112022759495</v>
      </c>
      <c r="AQ92" s="3559">
        <f>'All - MECs'!AQ92*VLOOKUP($B$14,'Annual Parameters'!$B$33:$W$143,3,FALSE)/VLOOKUP('All - MECs'!$B$14,'Annual Parameters'!$B$33:$W$143,3,FALSE)</f>
        <v>49.695358675120495</v>
      </c>
      <c r="AR92" s="3556">
        <f>'All - MECs'!AR92*VLOOKUP($B$14,'Annual Parameters'!$B$33:$W$143,3,FALSE)/VLOOKUP('All - MECs'!$B$14,'Annual Parameters'!$B$33:$W$143,3,FALSE)</f>
        <v>-4.2982547361619243</v>
      </c>
      <c r="AS92" s="3555">
        <f>'All - MECs'!AS92*VLOOKUP($B$14,'Annual Parameters'!$B$33:$W$143,3,FALSE)/VLOOKUP('All - MECs'!$B$14,'Annual Parameters'!$B$33:$W$143,3,FALSE)</f>
        <v>4.7484295251787465</v>
      </c>
      <c r="AT92" s="3557">
        <f>'All - MECs'!AT92*VLOOKUP($B$14,'Annual Parameters'!$B$33:$W$143,3,FALSE)/VLOOKUP('All - MECs'!$B$14,'Annual Parameters'!$B$33:$W$143,3,FALSE)</f>
        <v>30.471489530864822</v>
      </c>
      <c r="AU92" s="3543">
        <f>'All - MECs'!AU92*VLOOKUP($B$14,'Annual Parameters'!$B$33:$W$143,3,FALSE)/VLOOKUP('All - MECs'!$B$14,'Annual Parameters'!$B$33:$W$143,3,FALSE)</f>
        <v>35.568299658967831</v>
      </c>
      <c r="AV92" s="3544"/>
      <c r="AW92" s="3541" t="s">
        <v>1449</v>
      </c>
      <c r="AX92" s="3542"/>
      <c r="AY92" s="3554"/>
      <c r="AZ92" s="3555">
        <f>'All - MECs'!AZ92*VLOOKUP($B$14,'Annual Parameters'!$B$33:$W$143,3,FALSE)/VLOOKUP('All - MECs'!$B$14,'Annual Parameters'!$B$33:$W$143,3,FALSE)</f>
        <v>8.1653346726656189</v>
      </c>
      <c r="BA92" s="3555">
        <f>'All - MECs'!BA92*VLOOKUP($B$14,'Annual Parameters'!$B$33:$W$143,3,FALSE)/VLOOKUP('All - MECs'!$B$14,'Annual Parameters'!$B$33:$W$143,3,FALSE)</f>
        <v>373.37808798251683</v>
      </c>
      <c r="BB92" s="3555">
        <f>'All - MECs'!BB92*VLOOKUP($B$14,'Annual Parameters'!$B$33:$W$143,3,FALSE)/VLOOKUP('All - MECs'!$B$14,'Annual Parameters'!$B$33:$W$143,3,FALSE)</f>
        <v>297.60159961564187</v>
      </c>
      <c r="BC92" s="3556">
        <f>'All - MECs'!BC92*VLOOKUP($B$14,'Annual Parameters'!$B$33:$W$143,3,FALSE)/VLOOKUP('All - MECs'!$B$14,'Annual Parameters'!$B$33:$W$143,3,FALSE)</f>
        <v>18.372449945823689</v>
      </c>
      <c r="BD92" s="3555">
        <f>'All - MECs'!BD92*VLOOKUP($B$14,'Annual Parameters'!$B$33:$W$143,3,FALSE)/VLOOKUP('All - MECs'!$B$14,'Annual Parameters'!$B$33:$W$143,3,FALSE)</f>
        <v>158.48844889324008</v>
      </c>
      <c r="BE92" s="3557">
        <f>'All - MECs'!BE92*VLOOKUP($B$14,'Annual Parameters'!$B$33:$W$143,3,FALSE)/VLOOKUP('All - MECs'!$B$14,'Annual Parameters'!$B$33:$W$143,3,FALSE)</f>
        <v>212.0110316495234</v>
      </c>
      <c r="BF92" s="3558">
        <f>'All - MECs'!BF92*VLOOKUP($B$14,'Annual Parameters'!$B$33:$W$143,3,FALSE)/VLOOKUP('All - MECs'!$B$14,'Annual Parameters'!$B$33:$W$143,3,FALSE)</f>
        <v>74.272007365613916</v>
      </c>
      <c r="BG92" s="3559">
        <f>'All - MECs'!BG92*VLOOKUP($B$14,'Annual Parameters'!$B$33:$W$143,3,FALSE)/VLOOKUP('All - MECs'!$B$14,'Annual Parameters'!$B$33:$W$143,3,FALSE)</f>
        <v>146.24043455351281</v>
      </c>
      <c r="BH92" s="3556">
        <f>'All - MECs'!BH92*VLOOKUP($B$14,'Annual Parameters'!$B$33:$W$143,3,FALSE)/VLOOKUP('All - MECs'!$B$14,'Annual Parameters'!$B$33:$W$143,3,FALSE)</f>
        <v>0.14685078359076087</v>
      </c>
      <c r="BI92" s="3555">
        <f>'All - MECs'!BI92*VLOOKUP($B$14,'Annual Parameters'!$B$33:$W$143,3,FALSE)/VLOOKUP('All - MECs'!$B$14,'Annual Parameters'!$B$33:$W$143,3,FALSE)</f>
        <v>16.123660427052638</v>
      </c>
      <c r="BJ92" s="3557">
        <f>'All - MECs'!BJ92*VLOOKUP($B$14,'Annual Parameters'!$B$33:$W$143,3,FALSE)/VLOOKUP('All - MECs'!$B$14,'Annual Parameters'!$B$33:$W$143,3,FALSE)</f>
        <v>115.80938378461524</v>
      </c>
      <c r="BK92" s="3543">
        <f>'All - MECs'!BK92*VLOOKUP($B$14,'Annual Parameters'!$B$33:$W$143,3,FALSE)/VLOOKUP('All - MECs'!$B$14,'Annual Parameters'!$B$33:$W$143,3,FALSE)</f>
        <v>54.511830644212452</v>
      </c>
      <c r="BL92" s="3544"/>
      <c r="BM92" s="3541" t="s">
        <v>1449</v>
      </c>
      <c r="BN92" s="3542"/>
      <c r="BO92" s="3554"/>
      <c r="BP92" s="3555">
        <f>'All - MECs'!BP92*VLOOKUP($B$14,'Annual Parameters'!$B$33:$W$143,3,FALSE)/VLOOKUP('All - MECs'!$B$14,'Annual Parameters'!$B$33:$W$143,3,FALSE)</f>
        <v>-8.6175325459190937</v>
      </c>
      <c r="BQ92" s="3555">
        <f>'All - MECs'!BQ92*VLOOKUP($B$14,'Annual Parameters'!$B$33:$W$143,3,FALSE)/VLOOKUP('All - MECs'!$B$14,'Annual Parameters'!$B$33:$W$143,3,FALSE)</f>
        <v>290.1361996456618</v>
      </c>
      <c r="BR92" s="3555">
        <f>'All - MECs'!BR92*VLOOKUP($B$14,'Annual Parameters'!$B$33:$W$143,3,FALSE)/VLOOKUP('All - MECs'!$B$14,'Annual Parameters'!$B$33:$W$143,3,FALSE)</f>
        <v>148.00593444777141</v>
      </c>
      <c r="BS92" s="3556">
        <f>'All - MECs'!BS92*VLOOKUP($B$14,'Annual Parameters'!$B$33:$W$143,3,FALSE)/VLOOKUP('All - MECs'!$B$14,'Annual Parameters'!$B$33:$W$143,3,FALSE)</f>
        <v>-0.6381726766428919</v>
      </c>
      <c r="BT92" s="3555">
        <f>'All - MECs'!BT92*VLOOKUP($B$14,'Annual Parameters'!$B$33:$W$143,3,FALSE)/VLOOKUP('All - MECs'!$B$14,'Annual Parameters'!$B$33:$W$143,3,FALSE)</f>
        <v>106.9761456033504</v>
      </c>
      <c r="BU92" s="3557">
        <f>'All - MECs'!BU92*VLOOKUP($B$14,'Annual Parameters'!$B$33:$W$143,3,FALSE)/VLOOKUP('All - MECs'!$B$14,'Annual Parameters'!$B$33:$W$143,3,FALSE)</f>
        <v>75.174737205115747</v>
      </c>
      <c r="BV92" s="3558">
        <f>'All - MECs'!BV92*VLOOKUP($B$14,'Annual Parameters'!$B$33:$W$143,3,FALSE)/VLOOKUP('All - MECs'!$B$14,'Annual Parameters'!$B$33:$W$143,3,FALSE)</f>
        <v>37.567613610617748</v>
      </c>
      <c r="BW92" s="3559">
        <f>'All - MECs'!BW92*VLOOKUP($B$14,'Annual Parameters'!$B$33:$W$143,3,FALSE)/VLOOKUP('All - MECs'!$B$14,'Annual Parameters'!$B$33:$W$143,3,FALSE)</f>
        <v>20.287361877274986</v>
      </c>
      <c r="BX92" s="3556">
        <f>'All - MECs'!BX92*VLOOKUP($B$14,'Annual Parameters'!$B$33:$W$143,3,FALSE)/VLOOKUP('All - MECs'!$B$14,'Annual Parameters'!$B$33:$W$143,3,FALSE)</f>
        <v>-5.4588164613287207</v>
      </c>
      <c r="BY92" s="3555">
        <f>'All - MECs'!BY92*VLOOKUP($B$14,'Annual Parameters'!$B$33:$W$143,3,FALSE)/VLOOKUP('All - MECs'!$B$14,'Annual Parameters'!$B$33:$W$143,3,FALSE)</f>
        <v>-2.1897653545817697</v>
      </c>
      <c r="BZ92" s="3557">
        <f>'All - MECs'!BZ92*VLOOKUP($B$14,'Annual Parameters'!$B$33:$W$143,3,FALSE)/VLOOKUP('All - MECs'!$B$14,'Annual Parameters'!$B$33:$W$143,3,FALSE)</f>
        <v>1.0154489139293386</v>
      </c>
      <c r="CA92" s="3543">
        <f>'All - MECs'!CA92*VLOOKUP($B$14,'Annual Parameters'!$B$33:$W$143,3,FALSE)/VLOOKUP('All - MECs'!$B$14,'Annual Parameters'!$B$33:$W$143,3,FALSE)</f>
        <v>31.386357364535748</v>
      </c>
    </row>
    <row r="93" spans="1:95" ht="13.5" customHeight="1" thickTop="1"/>
    <row r="94" spans="1:95" ht="13.5" customHeight="1" thickBot="1"/>
    <row r="95" spans="1:95" ht="13.95" customHeight="1" thickTop="1" thickBot="1">
      <c r="A95" s="3478" t="s">
        <v>2496</v>
      </c>
      <c r="B95" s="3479"/>
      <c r="C95" s="3479"/>
      <c r="D95" s="3480">
        <v>2030</v>
      </c>
      <c r="E95" s="3479" t="s">
        <v>2497</v>
      </c>
      <c r="F95" s="3479"/>
      <c r="G95" s="3479"/>
      <c r="H95" s="3479"/>
      <c r="I95" s="3479"/>
      <c r="J95" s="3479"/>
      <c r="K95" s="3479"/>
      <c r="L95" s="3479"/>
      <c r="M95" s="3479"/>
      <c r="N95" s="3481"/>
      <c r="O95" s="3482"/>
      <c r="P95" s="3544"/>
      <c r="Q95" s="3478" t="s">
        <v>2496</v>
      </c>
      <c r="R95" s="3479"/>
      <c r="S95" s="3479"/>
      <c r="T95" s="3480">
        <v>2030</v>
      </c>
      <c r="U95" s="3479" t="s">
        <v>2498</v>
      </c>
      <c r="V95" s="3479"/>
      <c r="W95" s="3479"/>
      <c r="X95" s="3479"/>
      <c r="Y95" s="3479"/>
      <c r="Z95" s="3479"/>
      <c r="AA95" s="3479"/>
      <c r="AB95" s="3479"/>
      <c r="AC95" s="3479"/>
      <c r="AD95" s="3481"/>
      <c r="AE95" s="3482"/>
      <c r="AF95" s="3544"/>
      <c r="AG95" s="3478" t="s">
        <v>1967</v>
      </c>
      <c r="AH95" s="3479"/>
      <c r="AI95" s="3479"/>
      <c r="AJ95" s="3480">
        <v>2030</v>
      </c>
      <c r="AK95" s="3479" t="s">
        <v>2499</v>
      </c>
      <c r="AL95" s="3479"/>
      <c r="AM95" s="3479"/>
      <c r="AN95" s="3479"/>
      <c r="AO95" s="3479"/>
      <c r="AP95" s="3479"/>
      <c r="AQ95" s="3479"/>
      <c r="AR95" s="3479"/>
      <c r="AS95" s="3479"/>
      <c r="AT95" s="3481"/>
      <c r="AU95" s="3482"/>
      <c r="AV95" s="3544"/>
      <c r="AW95" s="3478" t="s">
        <v>1963</v>
      </c>
      <c r="AX95" s="3479"/>
      <c r="AY95" s="3479"/>
      <c r="AZ95" s="3480">
        <v>2030</v>
      </c>
      <c r="BA95" s="3479" t="s">
        <v>2500</v>
      </c>
      <c r="BB95" s="3479"/>
      <c r="BC95" s="3479"/>
      <c r="BD95" s="3479"/>
      <c r="BE95" s="3479"/>
      <c r="BF95" s="3479"/>
      <c r="BG95" s="3479"/>
      <c r="BH95" s="3479"/>
      <c r="BI95" s="3479"/>
      <c r="BJ95" s="3481"/>
      <c r="BK95" s="3482"/>
      <c r="BL95" s="3544"/>
      <c r="BM95" s="3478" t="s">
        <v>1968</v>
      </c>
      <c r="BN95" s="3479"/>
      <c r="BO95" s="3479"/>
      <c r="BP95" s="3480">
        <v>2030</v>
      </c>
      <c r="BQ95" s="3479" t="s">
        <v>2501</v>
      </c>
      <c r="BR95" s="3479"/>
      <c r="BS95" s="3479"/>
      <c r="BT95" s="3479"/>
      <c r="BU95" s="3479"/>
      <c r="BV95" s="3479"/>
      <c r="BW95" s="3479"/>
      <c r="BX95" s="3479"/>
      <c r="BY95" s="3479"/>
      <c r="BZ95" s="3481"/>
      <c r="CA95" s="3482"/>
    </row>
    <row r="96" spans="1:95" ht="13.5" customHeight="1" thickTop="1">
      <c r="A96" s="3483"/>
      <c r="B96" s="3484"/>
      <c r="C96" s="3545" t="s">
        <v>1130</v>
      </c>
      <c r="D96" s="3546" t="s">
        <v>1487</v>
      </c>
      <c r="E96" s="3547"/>
      <c r="F96" s="3548"/>
      <c r="G96" s="3546" t="s">
        <v>1089</v>
      </c>
      <c r="H96" s="3547"/>
      <c r="I96" s="3548"/>
      <c r="J96" s="3549" t="s">
        <v>1132</v>
      </c>
      <c r="K96" s="3550"/>
      <c r="L96" s="3546" t="s">
        <v>789</v>
      </c>
      <c r="M96" s="3547"/>
      <c r="N96" s="3548"/>
      <c r="O96" s="3551" t="s">
        <v>1090</v>
      </c>
      <c r="P96" s="3544"/>
      <c r="Q96" s="3483"/>
      <c r="R96" s="3484"/>
      <c r="S96" s="3545" t="s">
        <v>1130</v>
      </c>
      <c r="T96" s="3546" t="s">
        <v>1487</v>
      </c>
      <c r="U96" s="3547"/>
      <c r="V96" s="3548"/>
      <c r="W96" s="3546" t="s">
        <v>1089</v>
      </c>
      <c r="X96" s="3547"/>
      <c r="Y96" s="3548"/>
      <c r="Z96" s="3549" t="s">
        <v>1132</v>
      </c>
      <c r="AA96" s="3550"/>
      <c r="AB96" s="3546" t="s">
        <v>789</v>
      </c>
      <c r="AC96" s="3547"/>
      <c r="AD96" s="3548"/>
      <c r="AE96" s="3551" t="s">
        <v>1090</v>
      </c>
      <c r="AF96" s="3544"/>
      <c r="AG96" s="3483"/>
      <c r="AH96" s="3484"/>
      <c r="AI96" s="3545" t="s">
        <v>1130</v>
      </c>
      <c r="AJ96" s="3546" t="s">
        <v>1487</v>
      </c>
      <c r="AK96" s="3547"/>
      <c r="AL96" s="3548"/>
      <c r="AM96" s="3546" t="s">
        <v>1089</v>
      </c>
      <c r="AN96" s="3547"/>
      <c r="AO96" s="3548"/>
      <c r="AP96" s="3549" t="s">
        <v>1132</v>
      </c>
      <c r="AQ96" s="3550"/>
      <c r="AR96" s="3546" t="s">
        <v>789</v>
      </c>
      <c r="AS96" s="3547"/>
      <c r="AT96" s="3548"/>
      <c r="AU96" s="3551" t="s">
        <v>1090</v>
      </c>
      <c r="AV96" s="3544"/>
      <c r="AW96" s="3483"/>
      <c r="AX96" s="3484"/>
      <c r="AY96" s="3545" t="s">
        <v>1130</v>
      </c>
      <c r="AZ96" s="3546" t="s">
        <v>1487</v>
      </c>
      <c r="BA96" s="3547"/>
      <c r="BB96" s="3548"/>
      <c r="BC96" s="3546" t="s">
        <v>1089</v>
      </c>
      <c r="BD96" s="3547"/>
      <c r="BE96" s="3548"/>
      <c r="BF96" s="3549" t="s">
        <v>1132</v>
      </c>
      <c r="BG96" s="3550"/>
      <c r="BH96" s="3546" t="s">
        <v>789</v>
      </c>
      <c r="BI96" s="3547"/>
      <c r="BJ96" s="3548"/>
      <c r="BK96" s="3551" t="s">
        <v>1090</v>
      </c>
      <c r="BL96" s="3544"/>
      <c r="BM96" s="3483"/>
      <c r="BN96" s="3484"/>
      <c r="BO96" s="3545" t="s">
        <v>1130</v>
      </c>
      <c r="BP96" s="3546" t="s">
        <v>1487</v>
      </c>
      <c r="BQ96" s="3547"/>
      <c r="BR96" s="3548"/>
      <c r="BS96" s="3546" t="s">
        <v>1089</v>
      </c>
      <c r="BT96" s="3547"/>
      <c r="BU96" s="3548"/>
      <c r="BV96" s="3549" t="s">
        <v>1132</v>
      </c>
      <c r="BW96" s="3550"/>
      <c r="BX96" s="3546" t="s">
        <v>789</v>
      </c>
      <c r="BY96" s="3547"/>
      <c r="BZ96" s="3548"/>
      <c r="CA96" s="3551" t="s">
        <v>1090</v>
      </c>
      <c r="CB96" s="2898"/>
      <c r="CC96" s="2898"/>
      <c r="CD96" s="2898"/>
      <c r="CE96" s="2898"/>
      <c r="CF96" s="2898"/>
      <c r="CG96" s="2898"/>
      <c r="CH96" s="2898"/>
      <c r="CI96" s="2898"/>
      <c r="CJ96" s="2898"/>
      <c r="CK96" s="2898"/>
      <c r="CL96" s="2898"/>
      <c r="CM96" s="2898"/>
      <c r="CN96" s="2898"/>
      <c r="CO96" s="2898"/>
      <c r="CP96" s="2898"/>
      <c r="CQ96" s="2898"/>
    </row>
    <row r="97" spans="1:79" ht="13.5" customHeight="1" thickBot="1">
      <c r="A97" s="3485" t="s">
        <v>1093</v>
      </c>
      <c r="B97" s="3486"/>
      <c r="C97" s="3489"/>
      <c r="D97" s="3487" t="s">
        <v>1058</v>
      </c>
      <c r="E97" s="3488" t="s">
        <v>1091</v>
      </c>
      <c r="F97" s="3489" t="s">
        <v>1092</v>
      </c>
      <c r="G97" s="3490" t="s">
        <v>1058</v>
      </c>
      <c r="H97" s="3491" t="s">
        <v>1091</v>
      </c>
      <c r="I97" s="3492" t="s">
        <v>1092</v>
      </c>
      <c r="J97" s="3487" t="s">
        <v>1091</v>
      </c>
      <c r="K97" s="3489" t="s">
        <v>1092</v>
      </c>
      <c r="L97" s="3487" t="s">
        <v>1058</v>
      </c>
      <c r="M97" s="3488" t="s">
        <v>1091</v>
      </c>
      <c r="N97" s="3489" t="s">
        <v>1092</v>
      </c>
      <c r="O97" s="3552"/>
      <c r="P97" s="3544"/>
      <c r="Q97" s="3485" t="s">
        <v>1093</v>
      </c>
      <c r="R97" s="3486"/>
      <c r="S97" s="3489"/>
      <c r="T97" s="3487" t="s">
        <v>1058</v>
      </c>
      <c r="U97" s="3488" t="s">
        <v>1091</v>
      </c>
      <c r="V97" s="3489" t="s">
        <v>1092</v>
      </c>
      <c r="W97" s="3490" t="s">
        <v>1058</v>
      </c>
      <c r="X97" s="3491" t="s">
        <v>1091</v>
      </c>
      <c r="Y97" s="3492" t="s">
        <v>1092</v>
      </c>
      <c r="Z97" s="3487" t="s">
        <v>1091</v>
      </c>
      <c r="AA97" s="3489" t="s">
        <v>1092</v>
      </c>
      <c r="AB97" s="3487" t="s">
        <v>1058</v>
      </c>
      <c r="AC97" s="3488" t="s">
        <v>1091</v>
      </c>
      <c r="AD97" s="3489" t="s">
        <v>1092</v>
      </c>
      <c r="AE97" s="3552"/>
      <c r="AF97" s="3544"/>
      <c r="AG97" s="3485" t="s">
        <v>1093</v>
      </c>
      <c r="AH97" s="3486"/>
      <c r="AI97" s="3489"/>
      <c r="AJ97" s="3487" t="s">
        <v>1058</v>
      </c>
      <c r="AK97" s="3488" t="s">
        <v>1091</v>
      </c>
      <c r="AL97" s="3489" t="s">
        <v>1092</v>
      </c>
      <c r="AM97" s="3490" t="s">
        <v>1058</v>
      </c>
      <c r="AN97" s="3491" t="s">
        <v>1091</v>
      </c>
      <c r="AO97" s="3492" t="s">
        <v>1092</v>
      </c>
      <c r="AP97" s="3487" t="s">
        <v>1091</v>
      </c>
      <c r="AQ97" s="3489" t="s">
        <v>1092</v>
      </c>
      <c r="AR97" s="3487" t="s">
        <v>1058</v>
      </c>
      <c r="AS97" s="3488" t="s">
        <v>1091</v>
      </c>
      <c r="AT97" s="3489" t="s">
        <v>1092</v>
      </c>
      <c r="AU97" s="3552"/>
      <c r="AV97" s="3544"/>
      <c r="AW97" s="3485" t="s">
        <v>1093</v>
      </c>
      <c r="AX97" s="3486"/>
      <c r="AY97" s="3489"/>
      <c r="AZ97" s="3487" t="s">
        <v>1058</v>
      </c>
      <c r="BA97" s="3488" t="s">
        <v>1091</v>
      </c>
      <c r="BB97" s="3489" t="s">
        <v>1092</v>
      </c>
      <c r="BC97" s="3490" t="s">
        <v>1058</v>
      </c>
      <c r="BD97" s="3491" t="s">
        <v>1091</v>
      </c>
      <c r="BE97" s="3492" t="s">
        <v>1092</v>
      </c>
      <c r="BF97" s="3487" t="s">
        <v>1091</v>
      </c>
      <c r="BG97" s="3489" t="s">
        <v>1092</v>
      </c>
      <c r="BH97" s="3487" t="s">
        <v>1058</v>
      </c>
      <c r="BI97" s="3488" t="s">
        <v>1091</v>
      </c>
      <c r="BJ97" s="3489" t="s">
        <v>1092</v>
      </c>
      <c r="BK97" s="3552"/>
      <c r="BL97" s="3544"/>
      <c r="BM97" s="3485" t="s">
        <v>1093</v>
      </c>
      <c r="BN97" s="3486"/>
      <c r="BO97" s="3489"/>
      <c r="BP97" s="3487" t="s">
        <v>1058</v>
      </c>
      <c r="BQ97" s="3488" t="s">
        <v>1091</v>
      </c>
      <c r="BR97" s="3489" t="s">
        <v>1092</v>
      </c>
      <c r="BS97" s="3490" t="s">
        <v>1058</v>
      </c>
      <c r="BT97" s="3491" t="s">
        <v>1091</v>
      </c>
      <c r="BU97" s="3492" t="s">
        <v>1092</v>
      </c>
      <c r="BV97" s="3487" t="s">
        <v>1091</v>
      </c>
      <c r="BW97" s="3489" t="s">
        <v>1092</v>
      </c>
      <c r="BX97" s="3487" t="s">
        <v>1058</v>
      </c>
      <c r="BY97" s="3488" t="s">
        <v>1091</v>
      </c>
      <c r="BZ97" s="3489" t="s">
        <v>1092</v>
      </c>
      <c r="CA97" s="3552"/>
    </row>
    <row r="98" spans="1:79" ht="13.5" customHeight="1" thickTop="1">
      <c r="A98" s="3553" t="s">
        <v>1094</v>
      </c>
      <c r="B98" s="3493"/>
      <c r="C98" s="3494">
        <v>1</v>
      </c>
      <c r="D98" s="3495">
        <f>'All - MECs'!D98*VLOOKUP($B$14,'Annual Parameters'!$B$33:$W$143,3,FALSE)/VLOOKUP('All - MECs'!$B$14,'Annual Parameters'!$B$33:$W$143,3,FALSE)</f>
        <v>-8.0706950941195749E-4</v>
      </c>
      <c r="E98" s="3496">
        <f>'All - MECs'!E98*VLOOKUP($B$14,'Annual Parameters'!$B$33:$W$143,3,FALSE)/VLOOKUP('All - MECs'!$B$14,'Annual Parameters'!$B$33:$W$143,3,FALSE)</f>
        <v>1.4600734063081202</v>
      </c>
      <c r="F98" s="3496">
        <f>'All - MECs'!F98*VLOOKUP($B$14,'Annual Parameters'!$B$33:$W$143,3,FALSE)/VLOOKUP('All - MECs'!$B$14,'Annual Parameters'!$B$33:$W$143,3,FALSE)</f>
        <v>13.784193254212461</v>
      </c>
      <c r="G98" s="3497">
        <f>'All - MECs'!G98*VLOOKUP($B$14,'Annual Parameters'!$B$33:$W$143,3,FALSE)/VLOOKUP('All - MECs'!$B$14,'Annual Parameters'!$B$33:$W$143,3,FALSE)</f>
        <v>1.5439409172571326E-2</v>
      </c>
      <c r="H98" s="3498">
        <f>'All - MECs'!H98*VLOOKUP($B$14,'Annual Parameters'!$B$33:$W$143,3,FALSE)/VLOOKUP('All - MECs'!$B$14,'Annual Parameters'!$B$33:$W$143,3,FALSE)</f>
        <v>0.9524948657462069</v>
      </c>
      <c r="I98" s="3499">
        <f>'All - MECs'!I98*VLOOKUP($B$14,'Annual Parameters'!$B$33:$W$143,3,FALSE)/VLOOKUP('All - MECs'!$B$14,'Annual Parameters'!$B$33:$W$143,3,FALSE)</f>
        <v>2.481710037535966</v>
      </c>
      <c r="J98" s="3500">
        <f>'All - MECs'!J98*VLOOKUP($B$14,'Annual Parameters'!$B$33:$W$143,3,FALSE)/VLOOKUP('All - MECs'!$B$14,'Annual Parameters'!$B$33:$W$143,3,FALSE)</f>
        <v>0.60629984260761693</v>
      </c>
      <c r="K98" s="3501">
        <f>'All - MECs'!K98*VLOOKUP($B$14,'Annual Parameters'!$B$33:$W$143,3,FALSE)/VLOOKUP('All - MECs'!$B$14,'Annual Parameters'!$B$33:$W$143,3,FALSE)</f>
        <v>2.3896225621368212</v>
      </c>
      <c r="L98" s="3495">
        <f>'All - MECs'!L98*VLOOKUP($B$14,'Annual Parameters'!$B$33:$W$143,3,FALSE)/VLOOKUP('All - MECs'!$B$14,'Annual Parameters'!$B$33:$W$143,3,FALSE)</f>
        <v>2.3198970770542614E-3</v>
      </c>
      <c r="M98" s="3496">
        <f>'All - MECs'!M98*VLOOKUP($B$14,'Annual Parameters'!$B$33:$W$143,3,FALSE)/VLOOKUP('All - MECs'!$B$14,'Annual Parameters'!$B$33:$W$143,3,FALSE)</f>
        <v>0.48384547610935585</v>
      </c>
      <c r="N98" s="3501">
        <f>'All - MECs'!N98*VLOOKUP($B$14,'Annual Parameters'!$B$33:$W$143,3,FALSE)/VLOOKUP('All - MECs'!$B$14,'Annual Parameters'!$B$33:$W$143,3,FALSE)</f>
        <v>0.2249038491460304</v>
      </c>
      <c r="O98" s="3502">
        <f>'All - MECs'!O98*VLOOKUP($B$14,'Annual Parameters'!$B$33:$W$143,3,FALSE)/VLOOKUP('All - MECs'!$B$14,'Annual Parameters'!$B$33:$W$143,3,FALSE)</f>
        <v>1.2958926338523511</v>
      </c>
      <c r="P98" s="3544"/>
      <c r="Q98" s="3553" t="s">
        <v>1094</v>
      </c>
      <c r="R98" s="3493"/>
      <c r="S98" s="3494">
        <v>1</v>
      </c>
      <c r="T98" s="3495">
        <f>'All - MECs'!T98*VLOOKUP($B$14,'Annual Parameters'!$B$33:$W$143,3,FALSE)/VLOOKUP('All - MECs'!$B$14,'Annual Parameters'!$B$33:$W$143,3,FALSE)</f>
        <v>-8.0706950941195749E-4</v>
      </c>
      <c r="U98" s="3496">
        <f>'All - MECs'!U98*VLOOKUP($B$14,'Annual Parameters'!$B$33:$W$143,3,FALSE)/VLOOKUP('All - MECs'!$B$14,'Annual Parameters'!$B$33:$W$143,3,FALSE)</f>
        <v>1.4600734063081202</v>
      </c>
      <c r="V98" s="3496">
        <f>'All - MECs'!V98*VLOOKUP($B$14,'Annual Parameters'!$B$33:$W$143,3,FALSE)/VLOOKUP('All - MECs'!$B$14,'Annual Parameters'!$B$33:$W$143,3,FALSE)</f>
        <v>13.784193254212461</v>
      </c>
      <c r="W98" s="3497">
        <f>'All - MECs'!W98*VLOOKUP($B$14,'Annual Parameters'!$B$33:$W$143,3,FALSE)/VLOOKUP('All - MECs'!$B$14,'Annual Parameters'!$B$33:$W$143,3,FALSE)</f>
        <v>1.5439409172571326E-2</v>
      </c>
      <c r="X98" s="3498">
        <f>'All - MECs'!X98*VLOOKUP($B$14,'Annual Parameters'!$B$33:$W$143,3,FALSE)/VLOOKUP('All - MECs'!$B$14,'Annual Parameters'!$B$33:$W$143,3,FALSE)</f>
        <v>0.9524948657462069</v>
      </c>
      <c r="Y98" s="3499">
        <f>'All - MECs'!Y98*VLOOKUP($B$14,'Annual Parameters'!$B$33:$W$143,3,FALSE)/VLOOKUP('All - MECs'!$B$14,'Annual Parameters'!$B$33:$W$143,3,FALSE)</f>
        <v>2.481710037535966</v>
      </c>
      <c r="Z98" s="3500">
        <f>'All - MECs'!Z98*VLOOKUP($B$14,'Annual Parameters'!$B$33:$W$143,3,FALSE)/VLOOKUP('All - MECs'!$B$14,'Annual Parameters'!$B$33:$W$143,3,FALSE)</f>
        <v>0.60629984260761693</v>
      </c>
      <c r="AA98" s="3501">
        <f>'All - MECs'!AA98*VLOOKUP($B$14,'Annual Parameters'!$B$33:$W$143,3,FALSE)/VLOOKUP('All - MECs'!$B$14,'Annual Parameters'!$B$33:$W$143,3,FALSE)</f>
        <v>2.3896225621368212</v>
      </c>
      <c r="AB98" s="3495">
        <f>'All - MECs'!AB98*VLOOKUP($B$14,'Annual Parameters'!$B$33:$W$143,3,FALSE)/VLOOKUP('All - MECs'!$B$14,'Annual Parameters'!$B$33:$W$143,3,FALSE)</f>
        <v>2.3198970770542614E-3</v>
      </c>
      <c r="AC98" s="3496">
        <f>'All - MECs'!AC98*VLOOKUP($B$14,'Annual Parameters'!$B$33:$W$143,3,FALSE)/VLOOKUP('All - MECs'!$B$14,'Annual Parameters'!$B$33:$W$143,3,FALSE)</f>
        <v>0.48384547610935585</v>
      </c>
      <c r="AD98" s="3501">
        <f>'All - MECs'!AD98*VLOOKUP($B$14,'Annual Parameters'!$B$33:$W$143,3,FALSE)/VLOOKUP('All - MECs'!$B$14,'Annual Parameters'!$B$33:$W$143,3,FALSE)</f>
        <v>0.2249038491460304</v>
      </c>
      <c r="AE98" s="3502">
        <f>'All - MECs'!AE98*VLOOKUP($B$14,'Annual Parameters'!$B$33:$W$143,3,FALSE)/VLOOKUP('All - MECs'!$B$14,'Annual Parameters'!$B$33:$W$143,3,FALSE)</f>
        <v>1.2958926338523511</v>
      </c>
      <c r="AF98" s="3544"/>
      <c r="AG98" s="3553" t="s">
        <v>1094</v>
      </c>
      <c r="AH98" s="3493"/>
      <c r="AI98" s="3494">
        <v>1</v>
      </c>
      <c r="AJ98" s="3495">
        <f>'All - MECs'!AJ98*VLOOKUP($B$14,'Annual Parameters'!$B$33:$W$143,3,FALSE)/VLOOKUP('All - MECs'!$B$14,'Annual Parameters'!$B$33:$W$143,3,FALSE)</f>
        <v>-1.5334320678827189E-3</v>
      </c>
      <c r="AK98" s="3496">
        <f>'All - MECs'!AK98*VLOOKUP($B$14,'Annual Parameters'!$B$33:$W$143,3,FALSE)/VLOOKUP('All - MECs'!$B$14,'Annual Parameters'!$B$33:$W$143,3,FALSE)</f>
        <v>2.774139471985428</v>
      </c>
      <c r="AL98" s="3496">
        <f>'All - MECs'!AL98*VLOOKUP($B$14,'Annual Parameters'!$B$33:$W$143,3,FALSE)/VLOOKUP('All - MECs'!$B$14,'Annual Parameters'!$B$33:$W$143,3,FALSE)</f>
        <v>26.189967183003674</v>
      </c>
      <c r="AM98" s="3497">
        <f>'All - MECs'!AM98*VLOOKUP($B$14,'Annual Parameters'!$B$33:$W$143,3,FALSE)/VLOOKUP('All - MECs'!$B$14,'Annual Parameters'!$B$33:$W$143,3,FALSE)</f>
        <v>2.9334877427885514E-2</v>
      </c>
      <c r="AN98" s="3498">
        <f>'All - MECs'!AN98*VLOOKUP($B$14,'Annual Parameters'!$B$33:$W$143,3,FALSE)/VLOOKUP('All - MECs'!$B$14,'Annual Parameters'!$B$33:$W$143,3,FALSE)</f>
        <v>1.8097402449177933</v>
      </c>
      <c r="AO98" s="3499">
        <f>'All - MECs'!AO98*VLOOKUP($B$14,'Annual Parameters'!$B$33:$W$143,3,FALSE)/VLOOKUP('All - MECs'!$B$14,'Annual Parameters'!$B$33:$W$143,3,FALSE)</f>
        <v>4.7152490713183353</v>
      </c>
      <c r="AP98" s="3500">
        <f>'All - MECs'!AP98*VLOOKUP($B$14,'Annual Parameters'!$B$33:$W$143,3,FALSE)/VLOOKUP('All - MECs'!$B$14,'Annual Parameters'!$B$33:$W$143,3,FALSE)</f>
        <v>1.151969700954472</v>
      </c>
      <c r="AQ98" s="3501">
        <f>'All - MECs'!AQ98*VLOOKUP($B$14,'Annual Parameters'!$B$33:$W$143,3,FALSE)/VLOOKUP('All - MECs'!$B$14,'Annual Parameters'!$B$33:$W$143,3,FALSE)</f>
        <v>4.5402828680599603</v>
      </c>
      <c r="AR98" s="3495">
        <f>'All - MECs'!AR98*VLOOKUP($B$14,'Annual Parameters'!$B$33:$W$143,3,FALSE)/VLOOKUP('All - MECs'!$B$14,'Annual Parameters'!$B$33:$W$143,3,FALSE)</f>
        <v>4.4078044464030963E-3</v>
      </c>
      <c r="AS98" s="3496">
        <f>'All - MECs'!AS98*VLOOKUP($B$14,'Annual Parameters'!$B$33:$W$143,3,FALSE)/VLOOKUP('All - MECs'!$B$14,'Annual Parameters'!$B$33:$W$143,3,FALSE)</f>
        <v>0.91930640460777613</v>
      </c>
      <c r="AT98" s="3501">
        <f>'All - MECs'!AT98*VLOOKUP($B$14,'Annual Parameters'!$B$33:$W$143,3,FALSE)/VLOOKUP('All - MECs'!$B$14,'Annual Parameters'!$B$33:$W$143,3,FALSE)</f>
        <v>0.42731731337745776</v>
      </c>
      <c r="AU98" s="3502">
        <f>'All - MECs'!AU98*VLOOKUP($B$14,'Annual Parameters'!$B$33:$W$143,3,FALSE)/VLOOKUP('All - MECs'!$B$14,'Annual Parameters'!$B$33:$W$143,3,FALSE)</f>
        <v>2.4621960043194671</v>
      </c>
      <c r="AV98" s="3544"/>
      <c r="AW98" s="3553" t="s">
        <v>1094</v>
      </c>
      <c r="AX98" s="3493"/>
      <c r="AY98" s="3494">
        <v>1</v>
      </c>
      <c r="AZ98" s="3495">
        <f>'All - MECs'!AZ98*VLOOKUP($B$14,'Annual Parameters'!$B$33:$W$143,3,FALSE)/VLOOKUP('All - MECs'!$B$14,'Annual Parameters'!$B$33:$W$143,3,FALSE)</f>
        <v>-2.3405015772946765E-3</v>
      </c>
      <c r="BA98" s="3496">
        <f>'All - MECs'!BA98*VLOOKUP($B$14,'Annual Parameters'!$B$33:$W$143,3,FALSE)/VLOOKUP('All - MECs'!$B$14,'Annual Parameters'!$B$33:$W$143,3,FALSE)</f>
        <v>4.2342128782935484</v>
      </c>
      <c r="BB98" s="3496">
        <f>'All - MECs'!BB98*VLOOKUP($B$14,'Annual Parameters'!$B$33:$W$143,3,FALSE)/VLOOKUP('All - MECs'!$B$14,'Annual Parameters'!$B$33:$W$143,3,FALSE)</f>
        <v>39.974160437216135</v>
      </c>
      <c r="BC98" s="3497">
        <f>'All - MECs'!BC98*VLOOKUP($B$14,'Annual Parameters'!$B$33:$W$143,3,FALSE)/VLOOKUP('All - MECs'!$B$14,'Annual Parameters'!$B$33:$W$143,3,FALSE)</f>
        <v>4.4774286600456834E-2</v>
      </c>
      <c r="BD98" s="3498">
        <f>'All - MECs'!BD98*VLOOKUP($B$14,'Annual Parameters'!$B$33:$W$143,3,FALSE)/VLOOKUP('All - MECs'!$B$14,'Annual Parameters'!$B$33:$W$143,3,FALSE)</f>
        <v>2.7622351106639997</v>
      </c>
      <c r="BE98" s="3499">
        <f>'All - MECs'!BE98*VLOOKUP($B$14,'Annual Parameters'!$B$33:$W$143,3,FALSE)/VLOOKUP('All - MECs'!$B$14,'Annual Parameters'!$B$33:$W$143,3,FALSE)</f>
        <v>7.1969591088543003</v>
      </c>
      <c r="BF98" s="3500">
        <f>'All - MECs'!BF98*VLOOKUP($B$14,'Annual Parameters'!$B$33:$W$143,3,FALSE)/VLOOKUP('All - MECs'!$B$14,'Annual Parameters'!$B$33:$W$143,3,FALSE)</f>
        <v>1.758269543562089</v>
      </c>
      <c r="BG98" s="3501">
        <f>'All - MECs'!BG98*VLOOKUP($B$14,'Annual Parameters'!$B$33:$W$143,3,FALSE)/VLOOKUP('All - MECs'!$B$14,'Annual Parameters'!$B$33:$W$143,3,FALSE)</f>
        <v>6.9299054301967802</v>
      </c>
      <c r="BH98" s="3495">
        <f>'All - MECs'!BH98*VLOOKUP($B$14,'Annual Parameters'!$B$33:$W$143,3,FALSE)/VLOOKUP('All - MECs'!$B$14,'Annual Parameters'!$B$33:$W$143,3,FALSE)</f>
        <v>6.7277015234573582E-3</v>
      </c>
      <c r="BI98" s="3496">
        <f>'All - MECs'!BI98*VLOOKUP($B$14,'Annual Parameters'!$B$33:$W$143,3,FALSE)/VLOOKUP('All - MECs'!$B$14,'Annual Parameters'!$B$33:$W$143,3,FALSE)</f>
        <v>1.4031518807171317</v>
      </c>
      <c r="BJ98" s="3501">
        <f>'All - MECs'!BJ98*VLOOKUP($B$14,'Annual Parameters'!$B$33:$W$143,3,FALSE)/VLOOKUP('All - MECs'!$B$14,'Annual Parameters'!$B$33:$W$143,3,FALSE)</f>
        <v>0.65222116252348816</v>
      </c>
      <c r="BK98" s="3502">
        <f>'All - MECs'!BK98*VLOOKUP($B$14,'Annual Parameters'!$B$33:$W$143,3,FALSE)/VLOOKUP('All - MECs'!$B$14,'Annual Parameters'!$B$33:$W$143,3,FALSE)</f>
        <v>3.7580886381718184</v>
      </c>
      <c r="BL98" s="3544"/>
      <c r="BM98" s="3553" t="s">
        <v>1094</v>
      </c>
      <c r="BN98" s="3493"/>
      <c r="BO98" s="3494">
        <v>1</v>
      </c>
      <c r="BP98" s="3495">
        <f>'All - MECs'!BP98*VLOOKUP($B$14,'Annual Parameters'!$B$33:$W$143,3,FALSE)/VLOOKUP('All - MECs'!$B$14,'Annual Parameters'!$B$33:$W$143,3,FALSE)</f>
        <v>-2.0176737735298936E-3</v>
      </c>
      <c r="BQ98" s="3496">
        <f>'All - MECs'!BQ98*VLOOKUP($B$14,'Annual Parameters'!$B$33:$W$143,3,FALSE)/VLOOKUP('All - MECs'!$B$14,'Annual Parameters'!$B$33:$W$143,3,FALSE)</f>
        <v>3.6501835157703004</v>
      </c>
      <c r="BR98" s="3496">
        <f>'All - MECs'!BR98*VLOOKUP($B$14,'Annual Parameters'!$B$33:$W$143,3,FALSE)/VLOOKUP('All - MECs'!$B$14,'Annual Parameters'!$B$33:$W$143,3,FALSE)</f>
        <v>34.460483135531149</v>
      </c>
      <c r="BS98" s="3497">
        <f>'All - MECs'!BS98*VLOOKUP($B$14,'Annual Parameters'!$B$33:$W$143,3,FALSE)/VLOOKUP('All - MECs'!$B$14,'Annual Parameters'!$B$33:$W$143,3,FALSE)</f>
        <v>3.8598522931428313E-2</v>
      </c>
      <c r="BT98" s="3498">
        <f>'All - MECs'!BT98*VLOOKUP($B$14,'Annual Parameters'!$B$33:$W$143,3,FALSE)/VLOOKUP('All - MECs'!$B$14,'Annual Parameters'!$B$33:$W$143,3,FALSE)</f>
        <v>2.3812371643655172</v>
      </c>
      <c r="BU98" s="3499">
        <f>'All - MECs'!BU98*VLOOKUP($B$14,'Annual Parameters'!$B$33:$W$143,3,FALSE)/VLOOKUP('All - MECs'!$B$14,'Annual Parameters'!$B$33:$W$143,3,FALSE)</f>
        <v>6.2042750938399145</v>
      </c>
      <c r="BV98" s="3500">
        <f>'All - MECs'!BV98*VLOOKUP($B$14,'Annual Parameters'!$B$33:$W$143,3,FALSE)/VLOOKUP('All - MECs'!$B$14,'Annual Parameters'!$B$33:$W$143,3,FALSE)</f>
        <v>1.5157496065190423</v>
      </c>
      <c r="BW98" s="3501">
        <f>'All - MECs'!BW98*VLOOKUP($B$14,'Annual Parameters'!$B$33:$W$143,3,FALSE)/VLOOKUP('All - MECs'!$B$14,'Annual Parameters'!$B$33:$W$143,3,FALSE)</f>
        <v>5.9740564053420533</v>
      </c>
      <c r="BX98" s="3495">
        <f>'All - MECs'!BX98*VLOOKUP($B$14,'Annual Parameters'!$B$33:$W$143,3,FALSE)/VLOOKUP('All - MECs'!$B$14,'Annual Parameters'!$B$33:$W$143,3,FALSE)</f>
        <v>5.7997426926356547E-3</v>
      </c>
      <c r="BY98" s="3496">
        <f>'All - MECs'!BY98*VLOOKUP($B$14,'Annual Parameters'!$B$33:$W$143,3,FALSE)/VLOOKUP('All - MECs'!$B$14,'Annual Parameters'!$B$33:$W$143,3,FALSE)</f>
        <v>1.2096136902733896</v>
      </c>
      <c r="BZ98" s="3501">
        <f>'All - MECs'!BZ98*VLOOKUP($B$14,'Annual Parameters'!$B$33:$W$143,3,FALSE)/VLOOKUP('All - MECs'!$B$14,'Annual Parameters'!$B$33:$W$143,3,FALSE)</f>
        <v>0.56225962286507603</v>
      </c>
      <c r="CA98" s="3502">
        <f>'All - MECs'!CA98*VLOOKUP($B$14,'Annual Parameters'!$B$33:$W$143,3,FALSE)/VLOOKUP('All - MECs'!$B$14,'Annual Parameters'!$B$33:$W$143,3,FALSE)</f>
        <v>3.2397315846308778</v>
      </c>
    </row>
    <row r="99" spans="1:79" ht="13.5" customHeight="1">
      <c r="A99" s="3553"/>
      <c r="B99" s="3493"/>
      <c r="C99" s="3494">
        <v>2</v>
      </c>
      <c r="D99" s="3495">
        <f>'All - MECs'!D99*VLOOKUP($B$14,'Annual Parameters'!$B$33:$W$143,3,FALSE)/VLOOKUP('All - MECs'!$B$14,'Annual Parameters'!$B$33:$W$143,3,FALSE)</f>
        <v>1.1208292519664528E-2</v>
      </c>
      <c r="E99" s="3496">
        <f>'All - MECs'!E99*VLOOKUP($B$14,'Annual Parameters'!$B$33:$W$143,3,FALSE)/VLOOKUP('All - MECs'!$B$14,'Annual Parameters'!$B$33:$W$143,3,FALSE)</f>
        <v>4.5063254020010755</v>
      </c>
      <c r="F99" s="3496">
        <f>'All - MECs'!F99*VLOOKUP($B$14,'Annual Parameters'!$B$33:$W$143,3,FALSE)/VLOOKUP('All - MECs'!$B$14,'Annual Parameters'!$B$33:$W$143,3,FALSE)</f>
        <v>31.819757869949946</v>
      </c>
      <c r="G99" s="3503">
        <f>'All - MECs'!G99*VLOOKUP($B$14,'Annual Parameters'!$B$33:$W$143,3,FALSE)/VLOOKUP('All - MECs'!$B$14,'Annual Parameters'!$B$33:$W$143,3,FALSE)</f>
        <v>3.9758339272971156E-2</v>
      </c>
      <c r="H99" s="3504">
        <f>'All - MECs'!H99*VLOOKUP($B$14,'Annual Parameters'!$B$33:$W$143,3,FALSE)/VLOOKUP('All - MECs'!$B$14,'Annual Parameters'!$B$33:$W$143,3,FALSE)</f>
        <v>3.3835326519742406</v>
      </c>
      <c r="I99" s="3501">
        <f>'All - MECs'!I99*VLOOKUP($B$14,'Annual Parameters'!$B$33:$W$143,3,FALSE)/VLOOKUP('All - MECs'!$B$14,'Annual Parameters'!$B$33:$W$143,3,FALSE)</f>
        <v>9.6610081288072127</v>
      </c>
      <c r="J99" s="3500">
        <f>'All - MECs'!J99*VLOOKUP($B$14,'Annual Parameters'!$B$33:$W$143,3,FALSE)/VLOOKUP('All - MECs'!$B$14,'Annual Parameters'!$B$33:$W$143,3,FALSE)</f>
        <v>1.9902746216763731</v>
      </c>
      <c r="K99" s="3501">
        <f>'All - MECs'!K99*VLOOKUP($B$14,'Annual Parameters'!$B$33:$W$143,3,FALSE)/VLOOKUP('All - MECs'!$B$14,'Annual Parameters'!$B$33:$W$143,3,FALSE)</f>
        <v>9.3690771693349273</v>
      </c>
      <c r="L99" s="3495">
        <f>'All - MECs'!L99*VLOOKUP($B$14,'Annual Parameters'!$B$33:$W$143,3,FALSE)/VLOOKUP('All - MECs'!$B$14,'Annual Parameters'!$B$33:$W$143,3,FALSE)</f>
        <v>1.6483891741525689E-2</v>
      </c>
      <c r="M99" s="3496">
        <f>'All - MECs'!M99*VLOOKUP($B$14,'Annual Parameters'!$B$33:$W$143,3,FALSE)/VLOOKUP('All - MECs'!$B$14,'Annual Parameters'!$B$33:$W$143,3,FALSE)</f>
        <v>1.3784376687679041</v>
      </c>
      <c r="N99" s="3501">
        <f>'All - MECs'!N99*VLOOKUP($B$14,'Annual Parameters'!$B$33:$W$143,3,FALSE)/VLOOKUP('All - MECs'!$B$14,'Annual Parameters'!$B$33:$W$143,3,FALSE)</f>
        <v>1.733121430126805</v>
      </c>
      <c r="O99" s="3502">
        <f>'All - MECs'!O99*VLOOKUP($B$14,'Annual Parameters'!$B$33:$W$143,3,FALSE)/VLOOKUP('All - MECs'!$B$14,'Annual Parameters'!$B$33:$W$143,3,FALSE)</f>
        <v>3.5609553519305321</v>
      </c>
      <c r="P99" s="3544"/>
      <c r="Q99" s="3553"/>
      <c r="R99" s="3493"/>
      <c r="S99" s="3494">
        <v>2</v>
      </c>
      <c r="T99" s="3495">
        <f>'All - MECs'!T99*VLOOKUP($B$14,'Annual Parameters'!$B$33:$W$143,3,FALSE)/VLOOKUP('All - MECs'!$B$14,'Annual Parameters'!$B$33:$W$143,3,FALSE)</f>
        <v>1.1208292519664528E-2</v>
      </c>
      <c r="U99" s="3496">
        <f>'All - MECs'!U99*VLOOKUP($B$14,'Annual Parameters'!$B$33:$W$143,3,FALSE)/VLOOKUP('All - MECs'!$B$14,'Annual Parameters'!$B$33:$W$143,3,FALSE)</f>
        <v>4.5063254020010755</v>
      </c>
      <c r="V99" s="3496">
        <f>'All - MECs'!V99*VLOOKUP($B$14,'Annual Parameters'!$B$33:$W$143,3,FALSE)/VLOOKUP('All - MECs'!$B$14,'Annual Parameters'!$B$33:$W$143,3,FALSE)</f>
        <v>31.819757869949946</v>
      </c>
      <c r="W99" s="3503">
        <f>'All - MECs'!W99*VLOOKUP($B$14,'Annual Parameters'!$B$33:$W$143,3,FALSE)/VLOOKUP('All - MECs'!$B$14,'Annual Parameters'!$B$33:$W$143,3,FALSE)</f>
        <v>3.9758339272971156E-2</v>
      </c>
      <c r="X99" s="3504">
        <f>'All - MECs'!X99*VLOOKUP($B$14,'Annual Parameters'!$B$33:$W$143,3,FALSE)/VLOOKUP('All - MECs'!$B$14,'Annual Parameters'!$B$33:$W$143,3,FALSE)</f>
        <v>3.3835326519742406</v>
      </c>
      <c r="Y99" s="3501">
        <f>'All - MECs'!Y99*VLOOKUP($B$14,'Annual Parameters'!$B$33:$W$143,3,FALSE)/VLOOKUP('All - MECs'!$B$14,'Annual Parameters'!$B$33:$W$143,3,FALSE)</f>
        <v>9.6610081288072127</v>
      </c>
      <c r="Z99" s="3500">
        <f>'All - MECs'!Z99*VLOOKUP($B$14,'Annual Parameters'!$B$33:$W$143,3,FALSE)/VLOOKUP('All - MECs'!$B$14,'Annual Parameters'!$B$33:$W$143,3,FALSE)</f>
        <v>1.9902746216763731</v>
      </c>
      <c r="AA99" s="3501">
        <f>'All - MECs'!AA99*VLOOKUP($B$14,'Annual Parameters'!$B$33:$W$143,3,FALSE)/VLOOKUP('All - MECs'!$B$14,'Annual Parameters'!$B$33:$W$143,3,FALSE)</f>
        <v>9.3690771693349273</v>
      </c>
      <c r="AB99" s="3495">
        <f>'All - MECs'!AB99*VLOOKUP($B$14,'Annual Parameters'!$B$33:$W$143,3,FALSE)/VLOOKUP('All - MECs'!$B$14,'Annual Parameters'!$B$33:$W$143,3,FALSE)</f>
        <v>1.6483891741525689E-2</v>
      </c>
      <c r="AC99" s="3496">
        <f>'All - MECs'!AC99*VLOOKUP($B$14,'Annual Parameters'!$B$33:$W$143,3,FALSE)/VLOOKUP('All - MECs'!$B$14,'Annual Parameters'!$B$33:$W$143,3,FALSE)</f>
        <v>1.3784376687679041</v>
      </c>
      <c r="AD99" s="3501">
        <f>'All - MECs'!AD99*VLOOKUP($B$14,'Annual Parameters'!$B$33:$W$143,3,FALSE)/VLOOKUP('All - MECs'!$B$14,'Annual Parameters'!$B$33:$W$143,3,FALSE)</f>
        <v>1.733121430126805</v>
      </c>
      <c r="AE99" s="3502">
        <f>'All - MECs'!AE99*VLOOKUP($B$14,'Annual Parameters'!$B$33:$W$143,3,FALSE)/VLOOKUP('All - MECs'!$B$14,'Annual Parameters'!$B$33:$W$143,3,FALSE)</f>
        <v>3.5609553519305321</v>
      </c>
      <c r="AF99" s="3544"/>
      <c r="AG99" s="3553"/>
      <c r="AH99" s="3493"/>
      <c r="AI99" s="3494">
        <v>2</v>
      </c>
      <c r="AJ99" s="3495">
        <f>'All - MECs'!AJ99*VLOOKUP($B$14,'Annual Parameters'!$B$33:$W$143,3,FALSE)/VLOOKUP('All - MECs'!$B$14,'Annual Parameters'!$B$33:$W$143,3,FALSE)</f>
        <v>2.1295755787362602E-2</v>
      </c>
      <c r="AK99" s="3496">
        <f>'All - MECs'!AK99*VLOOKUP($B$14,'Annual Parameters'!$B$33:$W$143,3,FALSE)/VLOOKUP('All - MECs'!$B$14,'Annual Parameters'!$B$33:$W$143,3,FALSE)</f>
        <v>8.5620182638020434</v>
      </c>
      <c r="AL99" s="3496">
        <f>'All - MECs'!AL99*VLOOKUP($B$14,'Annual Parameters'!$B$33:$W$143,3,FALSE)/VLOOKUP('All - MECs'!$B$14,'Annual Parameters'!$B$33:$W$143,3,FALSE)</f>
        <v>60.457539952904902</v>
      </c>
      <c r="AM99" s="3503">
        <f>'All - MECs'!AM99*VLOOKUP($B$14,'Annual Parameters'!$B$33:$W$143,3,FALSE)/VLOOKUP('All - MECs'!$B$14,'Annual Parameters'!$B$33:$W$143,3,FALSE)</f>
        <v>7.5540844618645187E-2</v>
      </c>
      <c r="AN99" s="3504">
        <f>'All - MECs'!AN99*VLOOKUP($B$14,'Annual Parameters'!$B$33:$W$143,3,FALSE)/VLOOKUP('All - MECs'!$B$14,'Annual Parameters'!$B$33:$W$143,3,FALSE)</f>
        <v>6.4287120387510557</v>
      </c>
      <c r="AO99" s="3501">
        <f>'All - MECs'!AO99*VLOOKUP($B$14,'Annual Parameters'!$B$33:$W$143,3,FALSE)/VLOOKUP('All - MECs'!$B$14,'Annual Parameters'!$B$33:$W$143,3,FALSE)</f>
        <v>18.355915444733704</v>
      </c>
      <c r="AP99" s="3500">
        <f>'All - MECs'!AP99*VLOOKUP($B$14,'Annual Parameters'!$B$33:$W$143,3,FALSE)/VLOOKUP('All - MECs'!$B$14,'Annual Parameters'!$B$33:$W$143,3,FALSE)</f>
        <v>3.7815217811851083</v>
      </c>
      <c r="AQ99" s="3501">
        <f>'All - MECs'!AQ99*VLOOKUP($B$14,'Annual Parameters'!$B$33:$W$143,3,FALSE)/VLOOKUP('All - MECs'!$B$14,'Annual Parameters'!$B$33:$W$143,3,FALSE)</f>
        <v>17.801246621736361</v>
      </c>
      <c r="AR99" s="3495">
        <f>'All - MECs'!AR99*VLOOKUP($B$14,'Annual Parameters'!$B$33:$W$143,3,FALSE)/VLOOKUP('All - MECs'!$B$14,'Annual Parameters'!$B$33:$W$143,3,FALSE)</f>
        <v>3.131939430889881E-2</v>
      </c>
      <c r="AS99" s="3496">
        <f>'All - MECs'!AS99*VLOOKUP($B$14,'Annual Parameters'!$B$33:$W$143,3,FALSE)/VLOOKUP('All - MECs'!$B$14,'Annual Parameters'!$B$33:$W$143,3,FALSE)</f>
        <v>2.619031570659017</v>
      </c>
      <c r="AT99" s="3501">
        <f>'All - MECs'!AT99*VLOOKUP($B$14,'Annual Parameters'!$B$33:$W$143,3,FALSE)/VLOOKUP('All - MECs'!$B$14,'Annual Parameters'!$B$33:$W$143,3,FALSE)</f>
        <v>3.2929307172409299</v>
      </c>
      <c r="AU99" s="3502">
        <f>'All - MECs'!AU99*VLOOKUP($B$14,'Annual Parameters'!$B$33:$W$143,3,FALSE)/VLOOKUP('All - MECs'!$B$14,'Annual Parameters'!$B$33:$W$143,3,FALSE)</f>
        <v>6.7658151686680101</v>
      </c>
      <c r="AV99" s="3544"/>
      <c r="AW99" s="3553"/>
      <c r="AX99" s="3493"/>
      <c r="AY99" s="3494">
        <v>2</v>
      </c>
      <c r="AZ99" s="3495">
        <f>'All - MECs'!AZ99*VLOOKUP($B$14,'Annual Parameters'!$B$33:$W$143,3,FALSE)/VLOOKUP('All - MECs'!$B$14,'Annual Parameters'!$B$33:$W$143,3,FALSE)</f>
        <v>3.2504048307027134E-2</v>
      </c>
      <c r="BA99" s="3496">
        <f>'All - MECs'!BA99*VLOOKUP($B$14,'Annual Parameters'!$B$33:$W$143,3,FALSE)/VLOOKUP('All - MECs'!$B$14,'Annual Parameters'!$B$33:$W$143,3,FALSE)</f>
        <v>13.068343665803118</v>
      </c>
      <c r="BB99" s="3496">
        <f>'All - MECs'!BB99*VLOOKUP($B$14,'Annual Parameters'!$B$33:$W$143,3,FALSE)/VLOOKUP('All - MECs'!$B$14,'Annual Parameters'!$B$33:$W$143,3,FALSE)</f>
        <v>92.277297822854834</v>
      </c>
      <c r="BC99" s="3503">
        <f>'All - MECs'!BC99*VLOOKUP($B$14,'Annual Parameters'!$B$33:$W$143,3,FALSE)/VLOOKUP('All - MECs'!$B$14,'Annual Parameters'!$B$33:$W$143,3,FALSE)</f>
        <v>0.11529918389161635</v>
      </c>
      <c r="BD99" s="3504">
        <f>'All - MECs'!BD99*VLOOKUP($B$14,'Annual Parameters'!$B$33:$W$143,3,FALSE)/VLOOKUP('All - MECs'!$B$14,'Annual Parameters'!$B$33:$W$143,3,FALSE)</f>
        <v>9.8122446907252954</v>
      </c>
      <c r="BE99" s="3501">
        <f>'All - MECs'!BE99*VLOOKUP($B$14,'Annual Parameters'!$B$33:$W$143,3,FALSE)/VLOOKUP('All - MECs'!$B$14,'Annual Parameters'!$B$33:$W$143,3,FALSE)</f>
        <v>28.016923573540918</v>
      </c>
      <c r="BF99" s="3500">
        <f>'All - MECs'!BF99*VLOOKUP($B$14,'Annual Parameters'!$B$33:$W$143,3,FALSE)/VLOOKUP('All - MECs'!$B$14,'Annual Parameters'!$B$33:$W$143,3,FALSE)</f>
        <v>5.7717964028614821</v>
      </c>
      <c r="BG99" s="3501">
        <f>'All - MECs'!BG99*VLOOKUP($B$14,'Annual Parameters'!$B$33:$W$143,3,FALSE)/VLOOKUP('All - MECs'!$B$14,'Annual Parameters'!$B$33:$W$143,3,FALSE)</f>
        <v>27.17032379107129</v>
      </c>
      <c r="BH99" s="3495">
        <f>'All - MECs'!BH99*VLOOKUP($B$14,'Annual Parameters'!$B$33:$W$143,3,FALSE)/VLOOKUP('All - MECs'!$B$14,'Annual Parameters'!$B$33:$W$143,3,FALSE)</f>
        <v>4.7803286050424498E-2</v>
      </c>
      <c r="BI99" s="3496">
        <f>'All - MECs'!BI99*VLOOKUP($B$14,'Annual Parameters'!$B$33:$W$143,3,FALSE)/VLOOKUP('All - MECs'!$B$14,'Annual Parameters'!$B$33:$W$143,3,FALSE)</f>
        <v>3.9974692394269211</v>
      </c>
      <c r="BJ99" s="3501">
        <f>'All - MECs'!BJ99*VLOOKUP($B$14,'Annual Parameters'!$B$33:$W$143,3,FALSE)/VLOOKUP('All - MECs'!$B$14,'Annual Parameters'!$B$33:$W$143,3,FALSE)</f>
        <v>5.0260521473677349</v>
      </c>
      <c r="BK99" s="3502">
        <f>'All - MECs'!BK99*VLOOKUP($B$14,'Annual Parameters'!$B$33:$W$143,3,FALSE)/VLOOKUP('All - MECs'!$B$14,'Annual Parameters'!$B$33:$W$143,3,FALSE)</f>
        <v>10.32677052059854</v>
      </c>
      <c r="BL99" s="3544"/>
      <c r="BM99" s="3553"/>
      <c r="BN99" s="3493"/>
      <c r="BO99" s="3494">
        <v>2</v>
      </c>
      <c r="BP99" s="3495">
        <f>'All - MECs'!BP99*VLOOKUP($B$14,'Annual Parameters'!$B$33:$W$143,3,FALSE)/VLOOKUP('All - MECs'!$B$14,'Annual Parameters'!$B$33:$W$143,3,FALSE)</f>
        <v>2.8020731299161321E-2</v>
      </c>
      <c r="BQ99" s="3496">
        <f>'All - MECs'!BQ99*VLOOKUP($B$14,'Annual Parameters'!$B$33:$W$143,3,FALSE)/VLOOKUP('All - MECs'!$B$14,'Annual Parameters'!$B$33:$W$143,3,FALSE)</f>
        <v>11.265813505002688</v>
      </c>
      <c r="BR99" s="3496">
        <f>'All - MECs'!BR99*VLOOKUP($B$14,'Annual Parameters'!$B$33:$W$143,3,FALSE)/VLOOKUP('All - MECs'!$B$14,'Annual Parameters'!$B$33:$W$143,3,FALSE)</f>
        <v>79.549394674874861</v>
      </c>
      <c r="BS99" s="3503">
        <f>'All - MECs'!BS99*VLOOKUP($B$14,'Annual Parameters'!$B$33:$W$143,3,FALSE)/VLOOKUP('All - MECs'!$B$14,'Annual Parameters'!$B$33:$W$143,3,FALSE)</f>
        <v>9.9395848182427887E-2</v>
      </c>
      <c r="BT99" s="3504">
        <f>'All - MECs'!BT99*VLOOKUP($B$14,'Annual Parameters'!$B$33:$W$143,3,FALSE)/VLOOKUP('All - MECs'!$B$14,'Annual Parameters'!$B$33:$W$143,3,FALSE)</f>
        <v>8.4588316299356006</v>
      </c>
      <c r="BU99" s="3501">
        <f>'All - MECs'!BU99*VLOOKUP($B$14,'Annual Parameters'!$B$33:$W$143,3,FALSE)/VLOOKUP('All - MECs'!$B$14,'Annual Parameters'!$B$33:$W$143,3,FALSE)</f>
        <v>24.152520322018031</v>
      </c>
      <c r="BV99" s="3500">
        <f>'All - MECs'!BV99*VLOOKUP($B$14,'Annual Parameters'!$B$33:$W$143,3,FALSE)/VLOOKUP('All - MECs'!$B$14,'Annual Parameters'!$B$33:$W$143,3,FALSE)</f>
        <v>4.9756865541909328</v>
      </c>
      <c r="BW99" s="3501">
        <f>'All - MECs'!BW99*VLOOKUP($B$14,'Annual Parameters'!$B$33:$W$143,3,FALSE)/VLOOKUP('All - MECs'!$B$14,'Annual Parameters'!$B$33:$W$143,3,FALSE)</f>
        <v>23.422692923337319</v>
      </c>
      <c r="BX99" s="3495">
        <f>'All - MECs'!BX99*VLOOKUP($B$14,'Annual Parameters'!$B$33:$W$143,3,FALSE)/VLOOKUP('All - MECs'!$B$14,'Annual Parameters'!$B$33:$W$143,3,FALSE)</f>
        <v>4.1209729353814221E-2</v>
      </c>
      <c r="BY99" s="3496">
        <f>'All - MECs'!BY99*VLOOKUP($B$14,'Annual Parameters'!$B$33:$W$143,3,FALSE)/VLOOKUP('All - MECs'!$B$14,'Annual Parameters'!$B$33:$W$143,3,FALSE)</f>
        <v>3.4460941719197598</v>
      </c>
      <c r="BZ99" s="3501">
        <f>'All - MECs'!BZ99*VLOOKUP($B$14,'Annual Parameters'!$B$33:$W$143,3,FALSE)/VLOOKUP('All - MECs'!$B$14,'Annual Parameters'!$B$33:$W$143,3,FALSE)</f>
        <v>4.3328035753170129</v>
      </c>
      <c r="CA99" s="3502">
        <f>'All - MECs'!CA99*VLOOKUP($B$14,'Annual Parameters'!$B$33:$W$143,3,FALSE)/VLOOKUP('All - MECs'!$B$14,'Annual Parameters'!$B$33:$W$143,3,FALSE)</f>
        <v>8.9023883798263288</v>
      </c>
    </row>
    <row r="100" spans="1:79" ht="13.5" customHeight="1">
      <c r="A100" s="3553"/>
      <c r="B100" s="3493"/>
      <c r="C100" s="3494">
        <v>3</v>
      </c>
      <c r="D100" s="3495">
        <f>'All - MECs'!D100*VLOOKUP($B$14,'Annual Parameters'!$B$33:$W$143,3,FALSE)/VLOOKUP('All - MECs'!$B$14,'Annual Parameters'!$B$33:$W$143,3,FALSE)</f>
        <v>2.1410752551925718</v>
      </c>
      <c r="E100" s="3496">
        <f>'All - MECs'!E100*VLOOKUP($B$14,'Annual Parameters'!$B$33:$W$143,3,FALSE)/VLOOKUP('All - MECs'!$B$14,'Annual Parameters'!$B$33:$W$143,3,FALSE)</f>
        <v>23.450180750428196</v>
      </c>
      <c r="F100" s="3496">
        <f>'All - MECs'!F100*VLOOKUP($B$14,'Annual Parameters'!$B$33:$W$143,3,FALSE)/VLOOKUP('All - MECs'!$B$14,'Annual Parameters'!$B$33:$W$143,3,FALSE)</f>
        <v>53.167558383882813</v>
      </c>
      <c r="G100" s="3503">
        <f>'All - MECs'!G100*VLOOKUP($B$14,'Annual Parameters'!$B$33:$W$143,3,FALSE)/VLOOKUP('All - MECs'!$B$14,'Annual Parameters'!$B$33:$W$143,3,FALSE)</f>
        <v>2.4993949597678058</v>
      </c>
      <c r="H100" s="3504">
        <f>'All - MECs'!H100*VLOOKUP($B$14,'Annual Parameters'!$B$33:$W$143,3,FALSE)/VLOOKUP('All - MECs'!$B$14,'Annual Parameters'!$B$33:$W$143,3,FALSE)</f>
        <v>27.316923506336199</v>
      </c>
      <c r="I100" s="3501">
        <f>'All - MECs'!I100*VLOOKUP($B$14,'Annual Parameters'!$B$33:$W$143,3,FALSE)/VLOOKUP('All - MECs'!$B$14,'Annual Parameters'!$B$33:$W$143,3,FALSE)</f>
        <v>22.465183869602484</v>
      </c>
      <c r="J100" s="3500">
        <f>'All - MECs'!J100*VLOOKUP($B$14,'Annual Parameters'!$B$33:$W$143,3,FALSE)/VLOOKUP('All - MECs'!$B$14,'Annual Parameters'!$B$33:$W$143,3,FALSE)</f>
        <v>12.90119563288569</v>
      </c>
      <c r="K100" s="3501">
        <f>'All - MECs'!K100*VLOOKUP($B$14,'Annual Parameters'!$B$33:$W$143,3,FALSE)/VLOOKUP('All - MECs'!$B$14,'Annual Parameters'!$B$33:$W$143,3,FALSE)</f>
        <v>20.320263183476296</v>
      </c>
      <c r="L100" s="3495">
        <f>'All - MECs'!L100*VLOOKUP($B$14,'Annual Parameters'!$B$33:$W$143,3,FALSE)/VLOOKUP('All - MECs'!$B$14,'Annual Parameters'!$B$33:$W$143,3,FALSE)</f>
        <v>4.2576962121478417</v>
      </c>
      <c r="M100" s="3496">
        <f>'All - MECs'!M100*VLOOKUP($B$14,'Annual Parameters'!$B$33:$W$143,3,FALSE)/VLOOKUP('All - MECs'!$B$14,'Annual Parameters'!$B$33:$W$143,3,FALSE)</f>
        <v>3.780167933925112</v>
      </c>
      <c r="N100" s="3501">
        <f>'All - MECs'!N100*VLOOKUP($B$14,'Annual Parameters'!$B$33:$W$143,3,FALSE)/VLOOKUP('All - MECs'!$B$14,'Annual Parameters'!$B$33:$W$143,3,FALSE)</f>
        <v>7.4693335392079208</v>
      </c>
      <c r="O100" s="3502">
        <f>'All - MECs'!O100*VLOOKUP($B$14,'Annual Parameters'!$B$33:$W$143,3,FALSE)/VLOOKUP('All - MECs'!$B$14,'Annual Parameters'!$B$33:$W$143,3,FALSE)</f>
        <v>10.621771983857775</v>
      </c>
      <c r="P100" s="3544"/>
      <c r="Q100" s="3553"/>
      <c r="R100" s="3493"/>
      <c r="S100" s="3494">
        <v>3</v>
      </c>
      <c r="T100" s="3495">
        <f>'All - MECs'!T100*VLOOKUP($B$14,'Annual Parameters'!$B$33:$W$143,3,FALSE)/VLOOKUP('All - MECs'!$B$14,'Annual Parameters'!$B$33:$W$143,3,FALSE)</f>
        <v>2.1410752551925718</v>
      </c>
      <c r="U100" s="3496">
        <f>'All - MECs'!U100*VLOOKUP($B$14,'Annual Parameters'!$B$33:$W$143,3,FALSE)/VLOOKUP('All - MECs'!$B$14,'Annual Parameters'!$B$33:$W$143,3,FALSE)</f>
        <v>23.450180750428196</v>
      </c>
      <c r="V100" s="3496">
        <f>'All - MECs'!V100*VLOOKUP($B$14,'Annual Parameters'!$B$33:$W$143,3,FALSE)/VLOOKUP('All - MECs'!$B$14,'Annual Parameters'!$B$33:$W$143,3,FALSE)</f>
        <v>53.167558383882813</v>
      </c>
      <c r="W100" s="3503">
        <f>'All - MECs'!W100*VLOOKUP($B$14,'Annual Parameters'!$B$33:$W$143,3,FALSE)/VLOOKUP('All - MECs'!$B$14,'Annual Parameters'!$B$33:$W$143,3,FALSE)</f>
        <v>2.4993949597678058</v>
      </c>
      <c r="X100" s="3504">
        <f>'All - MECs'!X100*VLOOKUP($B$14,'Annual Parameters'!$B$33:$W$143,3,FALSE)/VLOOKUP('All - MECs'!$B$14,'Annual Parameters'!$B$33:$W$143,3,FALSE)</f>
        <v>27.316923506336199</v>
      </c>
      <c r="Y100" s="3501">
        <f>'All - MECs'!Y100*VLOOKUP($B$14,'Annual Parameters'!$B$33:$W$143,3,FALSE)/VLOOKUP('All - MECs'!$B$14,'Annual Parameters'!$B$33:$W$143,3,FALSE)</f>
        <v>22.465183869602484</v>
      </c>
      <c r="Z100" s="3500">
        <f>'All - MECs'!Z100*VLOOKUP($B$14,'Annual Parameters'!$B$33:$W$143,3,FALSE)/VLOOKUP('All - MECs'!$B$14,'Annual Parameters'!$B$33:$W$143,3,FALSE)</f>
        <v>12.90119563288569</v>
      </c>
      <c r="AA100" s="3501">
        <f>'All - MECs'!AA100*VLOOKUP($B$14,'Annual Parameters'!$B$33:$W$143,3,FALSE)/VLOOKUP('All - MECs'!$B$14,'Annual Parameters'!$B$33:$W$143,3,FALSE)</f>
        <v>20.320263183476296</v>
      </c>
      <c r="AB100" s="3495">
        <f>'All - MECs'!AB100*VLOOKUP($B$14,'Annual Parameters'!$B$33:$W$143,3,FALSE)/VLOOKUP('All - MECs'!$B$14,'Annual Parameters'!$B$33:$W$143,3,FALSE)</f>
        <v>4.2576962121478417</v>
      </c>
      <c r="AC100" s="3496">
        <f>'All - MECs'!AC100*VLOOKUP($B$14,'Annual Parameters'!$B$33:$W$143,3,FALSE)/VLOOKUP('All - MECs'!$B$14,'Annual Parameters'!$B$33:$W$143,3,FALSE)</f>
        <v>3.780167933925112</v>
      </c>
      <c r="AD100" s="3501">
        <f>'All - MECs'!AD100*VLOOKUP($B$14,'Annual Parameters'!$B$33:$W$143,3,FALSE)/VLOOKUP('All - MECs'!$B$14,'Annual Parameters'!$B$33:$W$143,3,FALSE)</f>
        <v>7.4693335392079208</v>
      </c>
      <c r="AE100" s="3502">
        <f>'All - MECs'!AE100*VLOOKUP($B$14,'Annual Parameters'!$B$33:$W$143,3,FALSE)/VLOOKUP('All - MECs'!$B$14,'Annual Parameters'!$B$33:$W$143,3,FALSE)</f>
        <v>10.621771983857775</v>
      </c>
      <c r="AF100" s="3544"/>
      <c r="AG100" s="3553"/>
      <c r="AH100" s="3493"/>
      <c r="AI100" s="3494">
        <v>3</v>
      </c>
      <c r="AJ100" s="3495">
        <f>'All - MECs'!AJ100*VLOOKUP($B$14,'Annual Parameters'!$B$33:$W$143,3,FALSE)/VLOOKUP('All - MECs'!$B$14,'Annual Parameters'!$B$33:$W$143,3,FALSE)</f>
        <v>4.0680429848658859</v>
      </c>
      <c r="AK100" s="3496">
        <f>'All - MECs'!AK100*VLOOKUP($B$14,'Annual Parameters'!$B$33:$W$143,3,FALSE)/VLOOKUP('All - MECs'!$B$14,'Annual Parameters'!$B$33:$W$143,3,FALSE)</f>
        <v>44.555343425813561</v>
      </c>
      <c r="AL100" s="3496">
        <f>'All - MECs'!AL100*VLOOKUP($B$14,'Annual Parameters'!$B$33:$W$143,3,FALSE)/VLOOKUP('All - MECs'!$B$14,'Annual Parameters'!$B$33:$W$143,3,FALSE)</f>
        <v>101.01836092937734</v>
      </c>
      <c r="AM100" s="3503">
        <f>'All - MECs'!AM100*VLOOKUP($B$14,'Annual Parameters'!$B$33:$W$143,3,FALSE)/VLOOKUP('All - MECs'!$B$14,'Annual Parameters'!$B$33:$W$143,3,FALSE)</f>
        <v>4.7488504235588307</v>
      </c>
      <c r="AN100" s="3504">
        <f>'All - MECs'!AN100*VLOOKUP($B$14,'Annual Parameters'!$B$33:$W$143,3,FALSE)/VLOOKUP('All - MECs'!$B$14,'Annual Parameters'!$B$33:$W$143,3,FALSE)</f>
        <v>51.902154662038775</v>
      </c>
      <c r="AO100" s="3501">
        <f>'All - MECs'!AO100*VLOOKUP($B$14,'Annual Parameters'!$B$33:$W$143,3,FALSE)/VLOOKUP('All - MECs'!$B$14,'Annual Parameters'!$B$33:$W$143,3,FALSE)</f>
        <v>42.683849352244721</v>
      </c>
      <c r="AP100" s="3500">
        <f>'All - MECs'!AP100*VLOOKUP($B$14,'Annual Parameters'!$B$33:$W$143,3,FALSE)/VLOOKUP('All - MECs'!$B$14,'Annual Parameters'!$B$33:$W$143,3,FALSE)</f>
        <v>24.512271702482806</v>
      </c>
      <c r="AQ100" s="3501">
        <f>'All - MECs'!AQ100*VLOOKUP($B$14,'Annual Parameters'!$B$33:$W$143,3,FALSE)/VLOOKUP('All - MECs'!$B$14,'Annual Parameters'!$B$33:$W$143,3,FALSE)</f>
        <v>38.608500048604959</v>
      </c>
      <c r="AR100" s="3495">
        <f>'All - MECs'!AR100*VLOOKUP($B$14,'Annual Parameters'!$B$33:$W$143,3,FALSE)/VLOOKUP('All - MECs'!$B$14,'Annual Parameters'!$B$33:$W$143,3,FALSE)</f>
        <v>8.0896228030808981</v>
      </c>
      <c r="AS100" s="3496">
        <f>'All - MECs'!AS100*VLOOKUP($B$14,'Annual Parameters'!$B$33:$W$143,3,FALSE)/VLOOKUP('All - MECs'!$B$14,'Annual Parameters'!$B$33:$W$143,3,FALSE)</f>
        <v>7.1823190744577126</v>
      </c>
      <c r="AT100" s="3501">
        <f>'All - MECs'!AT100*VLOOKUP($B$14,'Annual Parameters'!$B$33:$W$143,3,FALSE)/VLOOKUP('All - MECs'!$B$14,'Annual Parameters'!$B$33:$W$143,3,FALSE)</f>
        <v>14.191733724495048</v>
      </c>
      <c r="AU100" s="3502">
        <f>'All - MECs'!AU100*VLOOKUP($B$14,'Annual Parameters'!$B$33:$W$143,3,FALSE)/VLOOKUP('All - MECs'!$B$14,'Annual Parameters'!$B$33:$W$143,3,FALSE)</f>
        <v>20.18136676932977</v>
      </c>
      <c r="AV100" s="3544"/>
      <c r="AW100" s="3553"/>
      <c r="AX100" s="3493"/>
      <c r="AY100" s="3494">
        <v>3</v>
      </c>
      <c r="AZ100" s="3495">
        <f>'All - MECs'!AZ100*VLOOKUP($B$14,'Annual Parameters'!$B$33:$W$143,3,FALSE)/VLOOKUP('All - MECs'!$B$14,'Annual Parameters'!$B$33:$W$143,3,FALSE)</f>
        <v>6.2091182400584577</v>
      </c>
      <c r="BA100" s="3496">
        <f>'All - MECs'!BA100*VLOOKUP($B$14,'Annual Parameters'!$B$33:$W$143,3,FALSE)/VLOOKUP('All - MECs'!$B$14,'Annual Parameters'!$B$33:$W$143,3,FALSE)</f>
        <v>68.00552417624175</v>
      </c>
      <c r="BB100" s="3496">
        <f>'All - MECs'!BB100*VLOOKUP($B$14,'Annual Parameters'!$B$33:$W$143,3,FALSE)/VLOOKUP('All - MECs'!$B$14,'Annual Parameters'!$B$33:$W$143,3,FALSE)</f>
        <v>154.18591931326014</v>
      </c>
      <c r="BC100" s="3503">
        <f>'All - MECs'!BC100*VLOOKUP($B$14,'Annual Parameters'!$B$33:$W$143,3,FALSE)/VLOOKUP('All - MECs'!$B$14,'Annual Parameters'!$B$33:$W$143,3,FALSE)</f>
        <v>7.2482453833266369</v>
      </c>
      <c r="BD100" s="3504">
        <f>'All - MECs'!BD100*VLOOKUP($B$14,'Annual Parameters'!$B$33:$W$143,3,FALSE)/VLOOKUP('All - MECs'!$B$14,'Annual Parameters'!$B$33:$W$143,3,FALSE)</f>
        <v>79.219078168374978</v>
      </c>
      <c r="BE100" s="3501">
        <f>'All - MECs'!BE100*VLOOKUP($B$14,'Annual Parameters'!$B$33:$W$143,3,FALSE)/VLOOKUP('All - MECs'!$B$14,'Annual Parameters'!$B$33:$W$143,3,FALSE)</f>
        <v>65.149033221847205</v>
      </c>
      <c r="BF100" s="3500">
        <f>'All - MECs'!BF100*VLOOKUP($B$14,'Annual Parameters'!$B$33:$W$143,3,FALSE)/VLOOKUP('All - MECs'!$B$14,'Annual Parameters'!$B$33:$W$143,3,FALSE)</f>
        <v>37.413467335368502</v>
      </c>
      <c r="BG100" s="3501">
        <f>'All - MECs'!BG100*VLOOKUP($B$14,'Annual Parameters'!$B$33:$W$143,3,FALSE)/VLOOKUP('All - MECs'!$B$14,'Annual Parameters'!$B$33:$W$143,3,FALSE)</f>
        <v>58.928763232081252</v>
      </c>
      <c r="BH100" s="3495">
        <f>'All - MECs'!BH100*VLOOKUP($B$14,'Annual Parameters'!$B$33:$W$143,3,FALSE)/VLOOKUP('All - MECs'!$B$14,'Annual Parameters'!$B$33:$W$143,3,FALSE)</f>
        <v>12.347319015228742</v>
      </c>
      <c r="BI100" s="3496">
        <f>'All - MECs'!BI100*VLOOKUP($B$14,'Annual Parameters'!$B$33:$W$143,3,FALSE)/VLOOKUP('All - MECs'!$B$14,'Annual Parameters'!$B$33:$W$143,3,FALSE)</f>
        <v>10.962487008382825</v>
      </c>
      <c r="BJ100" s="3501">
        <f>'All - MECs'!BJ100*VLOOKUP($B$14,'Annual Parameters'!$B$33:$W$143,3,FALSE)/VLOOKUP('All - MECs'!$B$14,'Annual Parameters'!$B$33:$W$143,3,FALSE)</f>
        <v>21.661067263702968</v>
      </c>
      <c r="BK100" s="3502">
        <f>'All - MECs'!BK100*VLOOKUP($B$14,'Annual Parameters'!$B$33:$W$143,3,FALSE)/VLOOKUP('All - MECs'!$B$14,'Annual Parameters'!$B$33:$W$143,3,FALSE)</f>
        <v>30.803138753187547</v>
      </c>
      <c r="BL100" s="3544"/>
      <c r="BM100" s="3553"/>
      <c r="BN100" s="3493"/>
      <c r="BO100" s="3494">
        <v>3</v>
      </c>
      <c r="BP100" s="3495">
        <f>'All - MECs'!BP100*VLOOKUP($B$14,'Annual Parameters'!$B$33:$W$143,3,FALSE)/VLOOKUP('All - MECs'!$B$14,'Annual Parameters'!$B$33:$W$143,3,FALSE)</f>
        <v>5.3526881379814286</v>
      </c>
      <c r="BQ100" s="3496">
        <f>'All - MECs'!BQ100*VLOOKUP($B$14,'Annual Parameters'!$B$33:$W$143,3,FALSE)/VLOOKUP('All - MECs'!$B$14,'Annual Parameters'!$B$33:$W$143,3,FALSE)</f>
        <v>58.625451876070471</v>
      </c>
      <c r="BR100" s="3496">
        <f>'All - MECs'!BR100*VLOOKUP($B$14,'Annual Parameters'!$B$33:$W$143,3,FALSE)/VLOOKUP('All - MECs'!$B$14,'Annual Parameters'!$B$33:$W$143,3,FALSE)</f>
        <v>132.91889595970704</v>
      </c>
      <c r="BS100" s="3503">
        <f>'All - MECs'!BS100*VLOOKUP($B$14,'Annual Parameters'!$B$33:$W$143,3,FALSE)/VLOOKUP('All - MECs'!$B$14,'Annual Parameters'!$B$33:$W$143,3,FALSE)</f>
        <v>6.2484873994195143</v>
      </c>
      <c r="BT100" s="3504">
        <f>'All - MECs'!BT100*VLOOKUP($B$14,'Annual Parameters'!$B$33:$W$143,3,FALSE)/VLOOKUP('All - MECs'!$B$14,'Annual Parameters'!$B$33:$W$143,3,FALSE)</f>
        <v>68.292308765840502</v>
      </c>
      <c r="BU100" s="3501">
        <f>'All - MECs'!BU100*VLOOKUP($B$14,'Annual Parameters'!$B$33:$W$143,3,FALSE)/VLOOKUP('All - MECs'!$B$14,'Annual Parameters'!$B$33:$W$143,3,FALSE)</f>
        <v>56.162959674006203</v>
      </c>
      <c r="BV100" s="3500">
        <f>'All - MECs'!BV100*VLOOKUP($B$14,'Annual Parameters'!$B$33:$W$143,3,FALSE)/VLOOKUP('All - MECs'!$B$14,'Annual Parameters'!$B$33:$W$143,3,FALSE)</f>
        <v>32.252989082214228</v>
      </c>
      <c r="BW100" s="3501">
        <f>'All - MECs'!BW100*VLOOKUP($B$14,'Annual Parameters'!$B$33:$W$143,3,FALSE)/VLOOKUP('All - MECs'!$B$14,'Annual Parameters'!$B$33:$W$143,3,FALSE)</f>
        <v>50.800657958690742</v>
      </c>
      <c r="BX100" s="3495">
        <f>'All - MECs'!BX100*VLOOKUP($B$14,'Annual Parameters'!$B$33:$W$143,3,FALSE)/VLOOKUP('All - MECs'!$B$14,'Annual Parameters'!$B$33:$W$143,3,FALSE)</f>
        <v>10.644240530369604</v>
      </c>
      <c r="BY100" s="3496">
        <f>'All - MECs'!BY100*VLOOKUP($B$14,'Annual Parameters'!$B$33:$W$143,3,FALSE)/VLOOKUP('All - MECs'!$B$14,'Annual Parameters'!$B$33:$W$143,3,FALSE)</f>
        <v>9.4504198348127808</v>
      </c>
      <c r="BZ100" s="3501">
        <f>'All - MECs'!BZ100*VLOOKUP($B$14,'Annual Parameters'!$B$33:$W$143,3,FALSE)/VLOOKUP('All - MECs'!$B$14,'Annual Parameters'!$B$33:$W$143,3,FALSE)</f>
        <v>18.673333848019801</v>
      </c>
      <c r="CA100" s="3502">
        <f>'All - MECs'!CA100*VLOOKUP($B$14,'Annual Parameters'!$B$33:$W$143,3,FALSE)/VLOOKUP('All - MECs'!$B$14,'Annual Parameters'!$B$33:$W$143,3,FALSE)</f>
        <v>26.554429959644441</v>
      </c>
    </row>
    <row r="101" spans="1:79" ht="13.5" customHeight="1">
      <c r="A101" s="3553"/>
      <c r="B101" s="3493"/>
      <c r="C101" s="3494">
        <v>4</v>
      </c>
      <c r="D101" s="3495">
        <f>'All - MECs'!D101*VLOOKUP($B$14,'Annual Parameters'!$B$33:$W$143,3,FALSE)/VLOOKUP('All - MECs'!$B$14,'Annual Parameters'!$B$33:$W$143,3,FALSE)</f>
        <v>18.974186537714715</v>
      </c>
      <c r="E101" s="3496">
        <f>'All - MECs'!E101*VLOOKUP($B$14,'Annual Parameters'!$B$33:$W$143,3,FALSE)/VLOOKUP('All - MECs'!$B$14,'Annual Parameters'!$B$33:$W$143,3,FALSE)</f>
        <v>102.17494692790366</v>
      </c>
      <c r="F101" s="3496">
        <f>'All - MECs'!F101*VLOOKUP($B$14,'Annual Parameters'!$B$33:$W$143,3,FALSE)/VLOOKUP('All - MECs'!$B$14,'Annual Parameters'!$B$33:$W$143,3,FALSE)</f>
        <v>129.57385754213624</v>
      </c>
      <c r="G101" s="3503">
        <f>'All - MECs'!G101*VLOOKUP($B$14,'Annual Parameters'!$B$33:$W$143,3,FALSE)/VLOOKUP('All - MECs'!$B$14,'Annual Parameters'!$B$33:$W$143,3,FALSE)</f>
        <v>23.402922526451906</v>
      </c>
      <c r="H101" s="3504">
        <f>'All - MECs'!H101*VLOOKUP($B$14,'Annual Parameters'!$B$33:$W$143,3,FALSE)/VLOOKUP('All - MECs'!$B$14,'Annual Parameters'!$B$33:$W$143,3,FALSE)</f>
        <v>95.443796098422396</v>
      </c>
      <c r="I101" s="3501">
        <f>'All - MECs'!I101*VLOOKUP($B$14,'Annual Parameters'!$B$33:$W$143,3,FALSE)/VLOOKUP('All - MECs'!$B$14,'Annual Parameters'!$B$33:$W$143,3,FALSE)</f>
        <v>94.776365436876929</v>
      </c>
      <c r="J101" s="3500">
        <f>'All - MECs'!J101*VLOOKUP($B$14,'Annual Parameters'!$B$33:$W$143,3,FALSE)/VLOOKUP('All - MECs'!$B$14,'Annual Parameters'!$B$33:$W$143,3,FALSE)</f>
        <v>43.184249365667995</v>
      </c>
      <c r="K101" s="3501">
        <f>'All - MECs'!K101*VLOOKUP($B$14,'Annual Parameters'!$B$33:$W$143,3,FALSE)/VLOOKUP('All - MECs'!$B$14,'Annual Parameters'!$B$33:$W$143,3,FALSE)</f>
        <v>78.134886054032648</v>
      </c>
      <c r="L101" s="3495">
        <f>'All - MECs'!L101*VLOOKUP($B$14,'Annual Parameters'!$B$33:$W$143,3,FALSE)/VLOOKUP('All - MECs'!$B$14,'Annual Parameters'!$B$33:$W$143,3,FALSE)</f>
        <v>21.820620665408732</v>
      </c>
      <c r="M101" s="3496">
        <f>'All - MECs'!M101*VLOOKUP($B$14,'Annual Parameters'!$B$33:$W$143,3,FALSE)/VLOOKUP('All - MECs'!$B$14,'Annual Parameters'!$B$33:$W$143,3,FALSE)</f>
        <v>43.749310325694296</v>
      </c>
      <c r="N101" s="3501">
        <f>'All - MECs'!N101*VLOOKUP($B$14,'Annual Parameters'!$B$33:$W$143,3,FALSE)/VLOOKUP('All - MECs'!$B$14,'Annual Parameters'!$B$33:$W$143,3,FALSE)</f>
        <v>26.421920584916357</v>
      </c>
      <c r="O101" s="3502">
        <f>'All - MECs'!O101*VLOOKUP($B$14,'Annual Parameters'!$B$33:$W$143,3,FALSE)/VLOOKUP('All - MECs'!$B$14,'Annual Parameters'!$B$33:$W$143,3,FALSE)</f>
        <v>54.467998494236596</v>
      </c>
      <c r="P101" s="3544"/>
      <c r="Q101" s="3553"/>
      <c r="R101" s="3493"/>
      <c r="S101" s="3494">
        <v>4</v>
      </c>
      <c r="T101" s="3495">
        <f>'All - MECs'!T101*VLOOKUP($B$14,'Annual Parameters'!$B$33:$W$143,3,FALSE)/VLOOKUP('All - MECs'!$B$14,'Annual Parameters'!$B$33:$W$143,3,FALSE)</f>
        <v>18.974186537714715</v>
      </c>
      <c r="U101" s="3496">
        <f>'All - MECs'!U101*VLOOKUP($B$14,'Annual Parameters'!$B$33:$W$143,3,FALSE)/VLOOKUP('All - MECs'!$B$14,'Annual Parameters'!$B$33:$W$143,3,FALSE)</f>
        <v>102.17494692790366</v>
      </c>
      <c r="V101" s="3496">
        <f>'All - MECs'!V101*VLOOKUP($B$14,'Annual Parameters'!$B$33:$W$143,3,FALSE)/VLOOKUP('All - MECs'!$B$14,'Annual Parameters'!$B$33:$W$143,3,FALSE)</f>
        <v>129.57385754213624</v>
      </c>
      <c r="W101" s="3503">
        <f>'All - MECs'!W101*VLOOKUP($B$14,'Annual Parameters'!$B$33:$W$143,3,FALSE)/VLOOKUP('All - MECs'!$B$14,'Annual Parameters'!$B$33:$W$143,3,FALSE)</f>
        <v>23.402922526451906</v>
      </c>
      <c r="X101" s="3504">
        <f>'All - MECs'!X101*VLOOKUP($B$14,'Annual Parameters'!$B$33:$W$143,3,FALSE)/VLOOKUP('All - MECs'!$B$14,'Annual Parameters'!$B$33:$W$143,3,FALSE)</f>
        <v>95.443796098422396</v>
      </c>
      <c r="Y101" s="3501">
        <f>'All - MECs'!Y101*VLOOKUP($B$14,'Annual Parameters'!$B$33:$W$143,3,FALSE)/VLOOKUP('All - MECs'!$B$14,'Annual Parameters'!$B$33:$W$143,3,FALSE)</f>
        <v>94.776365436876929</v>
      </c>
      <c r="Z101" s="3500">
        <f>'All - MECs'!Z101*VLOOKUP($B$14,'Annual Parameters'!$B$33:$W$143,3,FALSE)/VLOOKUP('All - MECs'!$B$14,'Annual Parameters'!$B$33:$W$143,3,FALSE)</f>
        <v>43.184249365667995</v>
      </c>
      <c r="AA101" s="3501">
        <f>'All - MECs'!AA101*VLOOKUP($B$14,'Annual Parameters'!$B$33:$W$143,3,FALSE)/VLOOKUP('All - MECs'!$B$14,'Annual Parameters'!$B$33:$W$143,3,FALSE)</f>
        <v>78.134886054032648</v>
      </c>
      <c r="AB101" s="3495">
        <f>'All - MECs'!AB101*VLOOKUP($B$14,'Annual Parameters'!$B$33:$W$143,3,FALSE)/VLOOKUP('All - MECs'!$B$14,'Annual Parameters'!$B$33:$W$143,3,FALSE)</f>
        <v>21.820620665408732</v>
      </c>
      <c r="AC101" s="3496">
        <f>'All - MECs'!AC101*VLOOKUP($B$14,'Annual Parameters'!$B$33:$W$143,3,FALSE)/VLOOKUP('All - MECs'!$B$14,'Annual Parameters'!$B$33:$W$143,3,FALSE)</f>
        <v>43.749310325694296</v>
      </c>
      <c r="AD101" s="3501">
        <f>'All - MECs'!AD101*VLOOKUP($B$14,'Annual Parameters'!$B$33:$W$143,3,FALSE)/VLOOKUP('All - MECs'!$B$14,'Annual Parameters'!$B$33:$W$143,3,FALSE)</f>
        <v>26.421920584916357</v>
      </c>
      <c r="AE101" s="3502">
        <f>'All - MECs'!AE101*VLOOKUP($B$14,'Annual Parameters'!$B$33:$W$143,3,FALSE)/VLOOKUP('All - MECs'!$B$14,'Annual Parameters'!$B$33:$W$143,3,FALSE)</f>
        <v>54.467998494236596</v>
      </c>
      <c r="AF101" s="3544"/>
      <c r="AG101" s="3553"/>
      <c r="AH101" s="3493"/>
      <c r="AI101" s="3494">
        <v>4</v>
      </c>
      <c r="AJ101" s="3495">
        <f>'All - MECs'!AJ101*VLOOKUP($B$14,'Annual Parameters'!$B$33:$W$143,3,FALSE)/VLOOKUP('All - MECs'!$B$14,'Annual Parameters'!$B$33:$W$143,3,FALSE)</f>
        <v>36.050954421657956</v>
      </c>
      <c r="AK101" s="3496">
        <f>'All - MECs'!AK101*VLOOKUP($B$14,'Annual Parameters'!$B$33:$W$143,3,FALSE)/VLOOKUP('All - MECs'!$B$14,'Annual Parameters'!$B$33:$W$143,3,FALSE)</f>
        <v>194.13239916301691</v>
      </c>
      <c r="AL101" s="3496">
        <f>'All - MECs'!AL101*VLOOKUP($B$14,'Annual Parameters'!$B$33:$W$143,3,FALSE)/VLOOKUP('All - MECs'!$B$14,'Annual Parameters'!$B$33:$W$143,3,FALSE)</f>
        <v>246.1903293300588</v>
      </c>
      <c r="AM101" s="3503">
        <f>'All - MECs'!AM101*VLOOKUP($B$14,'Annual Parameters'!$B$33:$W$143,3,FALSE)/VLOOKUP('All - MECs'!$B$14,'Annual Parameters'!$B$33:$W$143,3,FALSE)</f>
        <v>44.465552800258621</v>
      </c>
      <c r="AN101" s="3504">
        <f>'All - MECs'!AN101*VLOOKUP($B$14,'Annual Parameters'!$B$33:$W$143,3,FALSE)/VLOOKUP('All - MECs'!$B$14,'Annual Parameters'!$B$33:$W$143,3,FALSE)</f>
        <v>181.34321258700254</v>
      </c>
      <c r="AO101" s="3501">
        <f>'All - MECs'!AO101*VLOOKUP($B$14,'Annual Parameters'!$B$33:$W$143,3,FALSE)/VLOOKUP('All - MECs'!$B$14,'Annual Parameters'!$B$33:$W$143,3,FALSE)</f>
        <v>180.07509433006618</v>
      </c>
      <c r="AP101" s="3500">
        <f>'All - MECs'!AP101*VLOOKUP($B$14,'Annual Parameters'!$B$33:$W$143,3,FALSE)/VLOOKUP('All - MECs'!$B$14,'Annual Parameters'!$B$33:$W$143,3,FALSE)</f>
        <v>82.05007379476919</v>
      </c>
      <c r="AQ101" s="3501">
        <f>'All - MECs'!AQ101*VLOOKUP($B$14,'Annual Parameters'!$B$33:$W$143,3,FALSE)/VLOOKUP('All - MECs'!$B$14,'Annual Parameters'!$B$33:$W$143,3,FALSE)</f>
        <v>148.45628350266202</v>
      </c>
      <c r="AR101" s="3495">
        <f>'All - MECs'!AR101*VLOOKUP($B$14,'Annual Parameters'!$B$33:$W$143,3,FALSE)/VLOOKUP('All - MECs'!$B$14,'Annual Parameters'!$B$33:$W$143,3,FALSE)</f>
        <v>41.459179264276592</v>
      </c>
      <c r="AS101" s="3496">
        <f>'All - MECs'!AS101*VLOOKUP($B$14,'Annual Parameters'!$B$33:$W$143,3,FALSE)/VLOOKUP('All - MECs'!$B$14,'Annual Parameters'!$B$33:$W$143,3,FALSE)</f>
        <v>83.123689618819157</v>
      </c>
      <c r="AT101" s="3501">
        <f>'All - MECs'!AT101*VLOOKUP($B$14,'Annual Parameters'!$B$33:$W$143,3,FALSE)/VLOOKUP('All - MECs'!$B$14,'Annual Parameters'!$B$33:$W$143,3,FALSE)</f>
        <v>50.201649111341077</v>
      </c>
      <c r="AU101" s="3502">
        <f>'All - MECs'!AU101*VLOOKUP($B$14,'Annual Parameters'!$B$33:$W$143,3,FALSE)/VLOOKUP('All - MECs'!$B$14,'Annual Parameters'!$B$33:$W$143,3,FALSE)</f>
        <v>103.48919713904952</v>
      </c>
      <c r="AV101" s="3544"/>
      <c r="AW101" s="3553"/>
      <c r="AX101" s="3493"/>
      <c r="AY101" s="3494">
        <v>4</v>
      </c>
      <c r="AZ101" s="3495">
        <f>'All - MECs'!AZ101*VLOOKUP($B$14,'Annual Parameters'!$B$33:$W$143,3,FALSE)/VLOOKUP('All - MECs'!$B$14,'Annual Parameters'!$B$33:$W$143,3,FALSE)</f>
        <v>55.025140959372678</v>
      </c>
      <c r="BA101" s="3496">
        <f>'All - MECs'!BA101*VLOOKUP($B$14,'Annual Parameters'!$B$33:$W$143,3,FALSE)/VLOOKUP('All - MECs'!$B$14,'Annual Parameters'!$B$33:$W$143,3,FALSE)</f>
        <v>296.30734609092059</v>
      </c>
      <c r="BB101" s="3496">
        <f>'All - MECs'!BB101*VLOOKUP($B$14,'Annual Parameters'!$B$33:$W$143,3,FALSE)/VLOOKUP('All - MECs'!$B$14,'Annual Parameters'!$B$33:$W$143,3,FALSE)</f>
        <v>375.76418687219507</v>
      </c>
      <c r="BC101" s="3503">
        <f>'All - MECs'!BC101*VLOOKUP($B$14,'Annual Parameters'!$B$33:$W$143,3,FALSE)/VLOOKUP('All - MECs'!$B$14,'Annual Parameters'!$B$33:$W$143,3,FALSE)</f>
        <v>67.868475326710524</v>
      </c>
      <c r="BD101" s="3504">
        <f>'All - MECs'!BD101*VLOOKUP($B$14,'Annual Parameters'!$B$33:$W$143,3,FALSE)/VLOOKUP('All - MECs'!$B$14,'Annual Parameters'!$B$33:$W$143,3,FALSE)</f>
        <v>276.78700868542495</v>
      </c>
      <c r="BE101" s="3501">
        <f>'All - MECs'!BE101*VLOOKUP($B$14,'Annual Parameters'!$B$33:$W$143,3,FALSE)/VLOOKUP('All - MECs'!$B$14,'Annual Parameters'!$B$33:$W$143,3,FALSE)</f>
        <v>274.85145976694309</v>
      </c>
      <c r="BF101" s="3500">
        <f>'All - MECs'!BF101*VLOOKUP($B$14,'Annual Parameters'!$B$33:$W$143,3,FALSE)/VLOOKUP('All - MECs'!$B$14,'Annual Parameters'!$B$33:$W$143,3,FALSE)</f>
        <v>125.23432316043719</v>
      </c>
      <c r="BG101" s="3501">
        <f>'All - MECs'!BG101*VLOOKUP($B$14,'Annual Parameters'!$B$33:$W$143,3,FALSE)/VLOOKUP('All - MECs'!$B$14,'Annual Parameters'!$B$33:$W$143,3,FALSE)</f>
        <v>226.59116955669467</v>
      </c>
      <c r="BH101" s="3495">
        <f>'All - MECs'!BH101*VLOOKUP($B$14,'Annual Parameters'!$B$33:$W$143,3,FALSE)/VLOOKUP('All - MECs'!$B$14,'Annual Parameters'!$B$33:$W$143,3,FALSE)</f>
        <v>63.279799929685325</v>
      </c>
      <c r="BI101" s="3496">
        <f>'All - MECs'!BI101*VLOOKUP($B$14,'Annual Parameters'!$B$33:$W$143,3,FALSE)/VLOOKUP('All - MECs'!$B$14,'Annual Parameters'!$B$33:$W$143,3,FALSE)</f>
        <v>126.87299994451345</v>
      </c>
      <c r="BJ101" s="3501">
        <f>'All - MECs'!BJ101*VLOOKUP($B$14,'Annual Parameters'!$B$33:$W$143,3,FALSE)/VLOOKUP('All - MECs'!$B$14,'Annual Parameters'!$B$33:$W$143,3,FALSE)</f>
        <v>76.623569696257434</v>
      </c>
      <c r="BK101" s="3502">
        <f>'All - MECs'!BK101*VLOOKUP($B$14,'Annual Parameters'!$B$33:$W$143,3,FALSE)/VLOOKUP('All - MECs'!$B$14,'Annual Parameters'!$B$33:$W$143,3,FALSE)</f>
        <v>157.95719563328612</v>
      </c>
      <c r="BL101" s="3544"/>
      <c r="BM101" s="3553"/>
      <c r="BN101" s="3493"/>
      <c r="BO101" s="3494">
        <v>4</v>
      </c>
      <c r="BP101" s="3495">
        <f>'All - MECs'!BP101*VLOOKUP($B$14,'Annual Parameters'!$B$33:$W$143,3,FALSE)/VLOOKUP('All - MECs'!$B$14,'Annual Parameters'!$B$33:$W$143,3,FALSE)</f>
        <v>47.435466344286787</v>
      </c>
      <c r="BQ101" s="3496">
        <f>'All - MECs'!BQ101*VLOOKUP($B$14,'Annual Parameters'!$B$33:$W$143,3,FALSE)/VLOOKUP('All - MECs'!$B$14,'Annual Parameters'!$B$33:$W$143,3,FALSE)</f>
        <v>255.43736731975912</v>
      </c>
      <c r="BR101" s="3496">
        <f>'All - MECs'!BR101*VLOOKUP($B$14,'Annual Parameters'!$B$33:$W$143,3,FALSE)/VLOOKUP('All - MECs'!$B$14,'Annual Parameters'!$B$33:$W$143,3,FALSE)</f>
        <v>323.9346438553406</v>
      </c>
      <c r="BS101" s="3503">
        <f>'All - MECs'!BS101*VLOOKUP($B$14,'Annual Parameters'!$B$33:$W$143,3,FALSE)/VLOOKUP('All - MECs'!$B$14,'Annual Parameters'!$B$33:$W$143,3,FALSE)</f>
        <v>58.507306316129764</v>
      </c>
      <c r="BT101" s="3504">
        <f>'All - MECs'!BT101*VLOOKUP($B$14,'Annual Parameters'!$B$33:$W$143,3,FALSE)/VLOOKUP('All - MECs'!$B$14,'Annual Parameters'!$B$33:$W$143,3,FALSE)</f>
        <v>238.609490246056</v>
      </c>
      <c r="BU101" s="3501">
        <f>'All - MECs'!BU101*VLOOKUP($B$14,'Annual Parameters'!$B$33:$W$143,3,FALSE)/VLOOKUP('All - MECs'!$B$14,'Annual Parameters'!$B$33:$W$143,3,FALSE)</f>
        <v>236.94091359219229</v>
      </c>
      <c r="BV101" s="3500">
        <f>'All - MECs'!BV101*VLOOKUP($B$14,'Annual Parameters'!$B$33:$W$143,3,FALSE)/VLOOKUP('All - MECs'!$B$14,'Annual Parameters'!$B$33:$W$143,3,FALSE)</f>
        <v>107.96062341416999</v>
      </c>
      <c r="BW101" s="3501">
        <f>'All - MECs'!BW101*VLOOKUP($B$14,'Annual Parameters'!$B$33:$W$143,3,FALSE)/VLOOKUP('All - MECs'!$B$14,'Annual Parameters'!$B$33:$W$143,3,FALSE)</f>
        <v>195.33721513508164</v>
      </c>
      <c r="BX101" s="3495">
        <f>'All - MECs'!BX101*VLOOKUP($B$14,'Annual Parameters'!$B$33:$W$143,3,FALSE)/VLOOKUP('All - MECs'!$B$14,'Annual Parameters'!$B$33:$W$143,3,FALSE)</f>
        <v>54.551551663521835</v>
      </c>
      <c r="BY101" s="3496">
        <f>'All - MECs'!BY101*VLOOKUP($B$14,'Annual Parameters'!$B$33:$W$143,3,FALSE)/VLOOKUP('All - MECs'!$B$14,'Annual Parameters'!$B$33:$W$143,3,FALSE)</f>
        <v>109.37327581423575</v>
      </c>
      <c r="BZ101" s="3501">
        <f>'All - MECs'!BZ101*VLOOKUP($B$14,'Annual Parameters'!$B$33:$W$143,3,FALSE)/VLOOKUP('All - MECs'!$B$14,'Annual Parameters'!$B$33:$W$143,3,FALSE)</f>
        <v>66.054801462290897</v>
      </c>
      <c r="CA101" s="3502">
        <f>'All - MECs'!CA101*VLOOKUP($B$14,'Annual Parameters'!$B$33:$W$143,3,FALSE)/VLOOKUP('All - MECs'!$B$14,'Annual Parameters'!$B$33:$W$143,3,FALSE)</f>
        <v>136.1699962355915</v>
      </c>
    </row>
    <row r="102" spans="1:79" ht="13.5" customHeight="1">
      <c r="A102" s="3553"/>
      <c r="B102" s="3493"/>
      <c r="C102" s="3505">
        <v>5</v>
      </c>
      <c r="D102" s="3495" t="e">
        <f>'All - MECs'!D102*VLOOKUP($B$14,'Annual Parameters'!$B$33:$W$143,3,FALSE)/VLOOKUP('All - MECs'!$B$14,'Annual Parameters'!$B$33:$W$143,3,FALSE)</f>
        <v>#N/A</v>
      </c>
      <c r="E102" s="3496">
        <f>'All - MECs'!E102*VLOOKUP($B$14,'Annual Parameters'!$B$33:$W$143,3,FALSE)/VLOOKUP('All - MECs'!$B$14,'Annual Parameters'!$B$33:$W$143,3,FALSE)</f>
        <v>376.21975109129164</v>
      </c>
      <c r="F102" s="3496">
        <f>'All - MECs'!F102*VLOOKUP($B$14,'Annual Parameters'!$B$33:$W$143,3,FALSE)/VLOOKUP('All - MECs'!$B$14,'Annual Parameters'!$B$33:$W$143,3,FALSE)</f>
        <v>288.97365356489428</v>
      </c>
      <c r="G102" s="3506">
        <f>'All - MECs'!G102*VLOOKUP($B$14,'Annual Parameters'!$B$33:$W$143,3,FALSE)/VLOOKUP('All - MECs'!$B$14,'Annual Parameters'!$B$33:$W$143,3,FALSE)</f>
        <v>76.739778012110477</v>
      </c>
      <c r="H102" s="3507">
        <f>'All - MECs'!H102*VLOOKUP($B$14,'Annual Parameters'!$B$33:$W$143,3,FALSE)/VLOOKUP('All - MECs'!$B$14,'Annual Parameters'!$B$33:$W$143,3,FALSE)</f>
        <v>286.06816731108074</v>
      </c>
      <c r="I102" s="3508">
        <f>'All - MECs'!I102*VLOOKUP($B$14,'Annual Parameters'!$B$33:$W$143,3,FALSE)/VLOOKUP('All - MECs'!$B$14,'Annual Parameters'!$B$33:$W$143,3,FALSE)</f>
        <v>360.49927364927629</v>
      </c>
      <c r="J102" s="3509">
        <f>'All - MECs'!J102*VLOOKUP($B$14,'Annual Parameters'!$B$33:$W$143,3,FALSE)/VLOOKUP('All - MECs'!$B$14,'Annual Parameters'!$B$33:$W$143,3,FALSE)</f>
        <v>98.678478873597982</v>
      </c>
      <c r="K102" s="3508">
        <f>'All - MECs'!K102*VLOOKUP($B$14,'Annual Parameters'!$B$33:$W$143,3,FALSE)/VLOOKUP('All - MECs'!$B$14,'Annual Parameters'!$B$33:$W$143,3,FALSE)</f>
        <v>278.89899097767204</v>
      </c>
      <c r="L102" s="3510">
        <f>'All - MECs'!L102*VLOOKUP($B$14,'Annual Parameters'!$B$33:$W$143,3,FALSE)/VLOOKUP('All - MECs'!$B$14,'Annual Parameters'!$B$33:$W$143,3,FALSE)</f>
        <v>91.941667799192274</v>
      </c>
      <c r="M102" s="3511">
        <f>'All - MECs'!M102*VLOOKUP($B$14,'Annual Parameters'!$B$33:$W$143,3,FALSE)/VLOOKUP('All - MECs'!$B$14,'Annual Parameters'!$B$33:$W$143,3,FALSE)</f>
        <v>150.16021446070812</v>
      </c>
      <c r="N102" s="3508">
        <f>'All - MECs'!N102*VLOOKUP($B$14,'Annual Parameters'!$B$33:$W$143,3,FALSE)/VLOOKUP('All - MECs'!$B$14,'Annual Parameters'!$B$33:$W$143,3,FALSE)</f>
        <v>225.32481206285564</v>
      </c>
      <c r="O102" s="3502">
        <f>'All - MECs'!O102*VLOOKUP($B$14,'Annual Parameters'!$B$33:$W$143,3,FALSE)/VLOOKUP('All - MECs'!$B$14,'Annual Parameters'!$B$33:$W$143,3,FALSE)</f>
        <v>250.13130826561735</v>
      </c>
      <c r="P102" s="3544"/>
      <c r="Q102" s="3553"/>
      <c r="R102" s="3493"/>
      <c r="S102" s="3505">
        <v>5</v>
      </c>
      <c r="T102" s="3495" t="e">
        <f>'All - MECs'!T102*VLOOKUP($B$14,'Annual Parameters'!$B$33:$W$143,3,FALSE)/VLOOKUP('All - MECs'!$B$14,'Annual Parameters'!$B$33:$W$143,3,FALSE)</f>
        <v>#N/A</v>
      </c>
      <c r="U102" s="3496">
        <f>'All - MECs'!U102*VLOOKUP($B$14,'Annual Parameters'!$B$33:$W$143,3,FALSE)/VLOOKUP('All - MECs'!$B$14,'Annual Parameters'!$B$33:$W$143,3,FALSE)</f>
        <v>376.21975109129164</v>
      </c>
      <c r="V102" s="3496">
        <f>'All - MECs'!V102*VLOOKUP($B$14,'Annual Parameters'!$B$33:$W$143,3,FALSE)/VLOOKUP('All - MECs'!$B$14,'Annual Parameters'!$B$33:$W$143,3,FALSE)</f>
        <v>288.97365356489428</v>
      </c>
      <c r="W102" s="3506">
        <f>'All - MECs'!W102*VLOOKUP($B$14,'Annual Parameters'!$B$33:$W$143,3,FALSE)/VLOOKUP('All - MECs'!$B$14,'Annual Parameters'!$B$33:$W$143,3,FALSE)</f>
        <v>76.739778012110477</v>
      </c>
      <c r="X102" s="3507">
        <f>'All - MECs'!X102*VLOOKUP($B$14,'Annual Parameters'!$B$33:$W$143,3,FALSE)/VLOOKUP('All - MECs'!$B$14,'Annual Parameters'!$B$33:$W$143,3,FALSE)</f>
        <v>286.06816731108074</v>
      </c>
      <c r="Y102" s="3508">
        <f>'All - MECs'!Y102*VLOOKUP($B$14,'Annual Parameters'!$B$33:$W$143,3,FALSE)/VLOOKUP('All - MECs'!$B$14,'Annual Parameters'!$B$33:$W$143,3,FALSE)</f>
        <v>360.49927364927629</v>
      </c>
      <c r="Z102" s="3509">
        <f>'All - MECs'!Z102*VLOOKUP($B$14,'Annual Parameters'!$B$33:$W$143,3,FALSE)/VLOOKUP('All - MECs'!$B$14,'Annual Parameters'!$B$33:$W$143,3,FALSE)</f>
        <v>98.678478873597982</v>
      </c>
      <c r="AA102" s="3508">
        <f>'All - MECs'!AA102*VLOOKUP($B$14,'Annual Parameters'!$B$33:$W$143,3,FALSE)/VLOOKUP('All - MECs'!$B$14,'Annual Parameters'!$B$33:$W$143,3,FALSE)</f>
        <v>278.89899097767204</v>
      </c>
      <c r="AB102" s="3510">
        <f>'All - MECs'!AB102*VLOOKUP($B$14,'Annual Parameters'!$B$33:$W$143,3,FALSE)/VLOOKUP('All - MECs'!$B$14,'Annual Parameters'!$B$33:$W$143,3,FALSE)</f>
        <v>91.941667799192274</v>
      </c>
      <c r="AC102" s="3511">
        <f>'All - MECs'!AC102*VLOOKUP($B$14,'Annual Parameters'!$B$33:$W$143,3,FALSE)/VLOOKUP('All - MECs'!$B$14,'Annual Parameters'!$B$33:$W$143,3,FALSE)</f>
        <v>150.16021446070812</v>
      </c>
      <c r="AD102" s="3508">
        <f>'All - MECs'!AD102*VLOOKUP($B$14,'Annual Parameters'!$B$33:$W$143,3,FALSE)/VLOOKUP('All - MECs'!$B$14,'Annual Parameters'!$B$33:$W$143,3,FALSE)</f>
        <v>225.32481206285564</v>
      </c>
      <c r="AE102" s="3502">
        <f>'All - MECs'!AE102*VLOOKUP($B$14,'Annual Parameters'!$B$33:$W$143,3,FALSE)/VLOOKUP('All - MECs'!$B$14,'Annual Parameters'!$B$33:$W$143,3,FALSE)</f>
        <v>250.13130826561735</v>
      </c>
      <c r="AF102" s="3544"/>
      <c r="AG102" s="3553"/>
      <c r="AH102" s="3493"/>
      <c r="AI102" s="3505">
        <v>5</v>
      </c>
      <c r="AJ102" s="3495" t="e">
        <f>'All - MECs'!AJ102*VLOOKUP($B$14,'Annual Parameters'!$B$33:$W$143,3,FALSE)/VLOOKUP('All - MECs'!$B$14,'Annual Parameters'!$B$33:$W$143,3,FALSE)</f>
        <v>#N/A</v>
      </c>
      <c r="AK102" s="3496">
        <f>'All - MECs'!AK102*VLOOKUP($B$14,'Annual Parameters'!$B$33:$W$143,3,FALSE)/VLOOKUP('All - MECs'!$B$14,'Annual Parameters'!$B$33:$W$143,3,FALSE)</f>
        <v>714.81752707345402</v>
      </c>
      <c r="AL102" s="3496">
        <f>'All - MECs'!AL102*VLOOKUP($B$14,'Annual Parameters'!$B$33:$W$143,3,FALSE)/VLOOKUP('All - MECs'!$B$14,'Annual Parameters'!$B$33:$W$143,3,FALSE)</f>
        <v>549.04994177329911</v>
      </c>
      <c r="AM102" s="3506">
        <f>'All - MECs'!AM102*VLOOKUP($B$14,'Annual Parameters'!$B$33:$W$143,3,FALSE)/VLOOKUP('All - MECs'!$B$14,'Annual Parameters'!$B$33:$W$143,3,FALSE)</f>
        <v>145.80557822300989</v>
      </c>
      <c r="AN102" s="3507">
        <f>'All - MECs'!AN102*VLOOKUP($B$14,'Annual Parameters'!$B$33:$W$143,3,FALSE)/VLOOKUP('All - MECs'!$B$14,'Annual Parameters'!$B$33:$W$143,3,FALSE)</f>
        <v>543.52951789105339</v>
      </c>
      <c r="AO102" s="3508">
        <f>'All - MECs'!AO102*VLOOKUP($B$14,'Annual Parameters'!$B$33:$W$143,3,FALSE)/VLOOKUP('All - MECs'!$B$14,'Annual Parameters'!$B$33:$W$143,3,FALSE)</f>
        <v>684.94861993362497</v>
      </c>
      <c r="AP102" s="3509">
        <f>'All - MECs'!AP102*VLOOKUP($B$14,'Annual Parameters'!$B$33:$W$143,3,FALSE)/VLOOKUP('All - MECs'!$B$14,'Annual Parameters'!$B$33:$W$143,3,FALSE)</f>
        <v>187.48910985983616</v>
      </c>
      <c r="AQ102" s="3508">
        <f>'All - MECs'!AQ102*VLOOKUP($B$14,'Annual Parameters'!$B$33:$W$143,3,FALSE)/VLOOKUP('All - MECs'!$B$14,'Annual Parameters'!$B$33:$W$143,3,FALSE)</f>
        <v>529.9080828575768</v>
      </c>
      <c r="AR102" s="3510">
        <f>'All - MECs'!AR102*VLOOKUP($B$14,'Annual Parameters'!$B$33:$W$143,3,FALSE)/VLOOKUP('All - MECs'!$B$14,'Annual Parameters'!$B$33:$W$143,3,FALSE)</f>
        <v>174.6891688184653</v>
      </c>
      <c r="AS102" s="3511">
        <f>'All - MECs'!AS102*VLOOKUP($B$14,'Annual Parameters'!$B$33:$W$143,3,FALSE)/VLOOKUP('All - MECs'!$B$14,'Annual Parameters'!$B$33:$W$143,3,FALSE)</f>
        <v>285.30440747534539</v>
      </c>
      <c r="AT102" s="3508">
        <f>'All - MECs'!AT102*VLOOKUP($B$14,'Annual Parameters'!$B$33:$W$143,3,FALSE)/VLOOKUP('All - MECs'!$B$14,'Annual Parameters'!$B$33:$W$143,3,FALSE)</f>
        <v>428.1171429194257</v>
      </c>
      <c r="AU102" s="3502">
        <f>'All - MECs'!AU102*VLOOKUP($B$14,'Annual Parameters'!$B$33:$W$143,3,FALSE)/VLOOKUP('All - MECs'!$B$14,'Annual Parameters'!$B$33:$W$143,3,FALSE)</f>
        <v>475.24948570467291</v>
      </c>
      <c r="AV102" s="3544"/>
      <c r="AW102" s="3553"/>
      <c r="AX102" s="3493"/>
      <c r="AY102" s="3505">
        <v>5</v>
      </c>
      <c r="AZ102" s="3495" t="e">
        <f>'All - MECs'!AZ102*VLOOKUP($B$14,'Annual Parameters'!$B$33:$W$143,3,FALSE)/VLOOKUP('All - MECs'!$B$14,'Annual Parameters'!$B$33:$W$143,3,FALSE)</f>
        <v>#N/A</v>
      </c>
      <c r="BA102" s="3496">
        <f>'All - MECs'!BA102*VLOOKUP($B$14,'Annual Parameters'!$B$33:$W$143,3,FALSE)/VLOOKUP('All - MECs'!$B$14,'Annual Parameters'!$B$33:$W$143,3,FALSE)</f>
        <v>1091.0372781647457</v>
      </c>
      <c r="BB102" s="3496">
        <f>'All - MECs'!BB102*VLOOKUP($B$14,'Annual Parameters'!$B$33:$W$143,3,FALSE)/VLOOKUP('All - MECs'!$B$14,'Annual Parameters'!$B$33:$W$143,3,FALSE)</f>
        <v>838.02359533819322</v>
      </c>
      <c r="BC102" s="3506">
        <f>'All - MECs'!BC102*VLOOKUP($B$14,'Annual Parameters'!$B$33:$W$143,3,FALSE)/VLOOKUP('All - MECs'!$B$14,'Annual Parameters'!$B$33:$W$143,3,FALSE)</f>
        <v>222.54535623512038</v>
      </c>
      <c r="BD102" s="3507">
        <f>'All - MECs'!BD102*VLOOKUP($B$14,'Annual Parameters'!$B$33:$W$143,3,FALSE)/VLOOKUP('All - MECs'!$B$14,'Annual Parameters'!$B$33:$W$143,3,FALSE)</f>
        <v>829.59768520213413</v>
      </c>
      <c r="BE102" s="3508">
        <f>'All - MECs'!BE102*VLOOKUP($B$14,'Annual Parameters'!$B$33:$W$143,3,FALSE)/VLOOKUP('All - MECs'!$B$14,'Annual Parameters'!$B$33:$W$143,3,FALSE)</f>
        <v>1045.4478935829013</v>
      </c>
      <c r="BF102" s="3509">
        <f>'All - MECs'!BF102*VLOOKUP($B$14,'Annual Parameters'!$B$33:$W$143,3,FALSE)/VLOOKUP('All - MECs'!$B$14,'Annual Parameters'!$B$33:$W$143,3,FALSE)</f>
        <v>286.16758873343412</v>
      </c>
      <c r="BG102" s="3508">
        <f>'All - MECs'!BG102*VLOOKUP($B$14,'Annual Parameters'!$B$33:$W$143,3,FALSE)/VLOOKUP('All - MECs'!$B$14,'Annual Parameters'!$B$33:$W$143,3,FALSE)</f>
        <v>808.80707383524884</v>
      </c>
      <c r="BH102" s="3510">
        <f>'All - MECs'!BH102*VLOOKUP($B$14,'Annual Parameters'!$B$33:$W$143,3,FALSE)/VLOOKUP('All - MECs'!$B$14,'Annual Parameters'!$B$33:$W$143,3,FALSE)</f>
        <v>266.63083661765756</v>
      </c>
      <c r="BI102" s="3511">
        <f>'All - MECs'!BI102*VLOOKUP($B$14,'Annual Parameters'!$B$33:$W$143,3,FALSE)/VLOOKUP('All - MECs'!$B$14,'Annual Parameters'!$B$33:$W$143,3,FALSE)</f>
        <v>435.4646219360535</v>
      </c>
      <c r="BJ102" s="3508">
        <f>'All - MECs'!BJ102*VLOOKUP($B$14,'Annual Parameters'!$B$33:$W$143,3,FALSE)/VLOOKUP('All - MECs'!$B$14,'Annual Parameters'!$B$33:$W$143,3,FALSE)</f>
        <v>653.44195498228135</v>
      </c>
      <c r="BK102" s="3502">
        <f>'All - MECs'!BK102*VLOOKUP($B$14,'Annual Parameters'!$B$33:$W$143,3,FALSE)/VLOOKUP('All - MECs'!$B$14,'Annual Parameters'!$B$33:$W$143,3,FALSE)</f>
        <v>725.38079397029026</v>
      </c>
      <c r="BL102" s="3544"/>
      <c r="BM102" s="3553"/>
      <c r="BN102" s="3493"/>
      <c r="BO102" s="3505">
        <v>5</v>
      </c>
      <c r="BP102" s="3495" t="e">
        <f>'All - MECs'!BP102*VLOOKUP($B$14,'Annual Parameters'!$B$33:$W$143,3,FALSE)/VLOOKUP('All - MECs'!$B$14,'Annual Parameters'!$B$33:$W$143,3,FALSE)</f>
        <v>#N/A</v>
      </c>
      <c r="BQ102" s="3496">
        <f>'All - MECs'!BQ102*VLOOKUP($B$14,'Annual Parameters'!$B$33:$W$143,3,FALSE)/VLOOKUP('All - MECs'!$B$14,'Annual Parameters'!$B$33:$W$143,3,FALSE)</f>
        <v>940.54937772822882</v>
      </c>
      <c r="BR102" s="3496">
        <f>'All - MECs'!BR102*VLOOKUP($B$14,'Annual Parameters'!$B$33:$W$143,3,FALSE)/VLOOKUP('All - MECs'!$B$14,'Annual Parameters'!$B$33:$W$143,3,FALSE)</f>
        <v>722.43413391223567</v>
      </c>
      <c r="BS102" s="3506">
        <f>'All - MECs'!BS102*VLOOKUP($B$14,'Annual Parameters'!$B$33:$W$143,3,FALSE)/VLOOKUP('All - MECs'!$B$14,'Annual Parameters'!$B$33:$W$143,3,FALSE)</f>
        <v>191.84944503027617</v>
      </c>
      <c r="BT102" s="3507">
        <f>'All - MECs'!BT102*VLOOKUP($B$14,'Annual Parameters'!$B$33:$W$143,3,FALSE)/VLOOKUP('All - MECs'!$B$14,'Annual Parameters'!$B$33:$W$143,3,FALSE)</f>
        <v>715.17041827770186</v>
      </c>
      <c r="BU102" s="3508">
        <f>'All - MECs'!BU102*VLOOKUP($B$14,'Annual Parameters'!$B$33:$W$143,3,FALSE)/VLOOKUP('All - MECs'!$B$14,'Annual Parameters'!$B$33:$W$143,3,FALSE)</f>
        <v>901.24818412319075</v>
      </c>
      <c r="BV102" s="3509">
        <f>'All - MECs'!BV102*VLOOKUP($B$14,'Annual Parameters'!$B$33:$W$143,3,FALSE)/VLOOKUP('All - MECs'!$B$14,'Annual Parameters'!$B$33:$W$143,3,FALSE)</f>
        <v>246.69619718399497</v>
      </c>
      <c r="BW102" s="3508">
        <f>'All - MECs'!BW102*VLOOKUP($B$14,'Annual Parameters'!$B$33:$W$143,3,FALSE)/VLOOKUP('All - MECs'!$B$14,'Annual Parameters'!$B$33:$W$143,3,FALSE)</f>
        <v>697.24747744418016</v>
      </c>
      <c r="BX102" s="3510">
        <f>'All - MECs'!BX102*VLOOKUP($B$14,'Annual Parameters'!$B$33:$W$143,3,FALSE)/VLOOKUP('All - MECs'!$B$14,'Annual Parameters'!$B$33:$W$143,3,FALSE)</f>
        <v>229.85416949798071</v>
      </c>
      <c r="BY102" s="3511">
        <f>'All - MECs'!BY102*VLOOKUP($B$14,'Annual Parameters'!$B$33:$W$143,3,FALSE)/VLOOKUP('All - MECs'!$B$14,'Annual Parameters'!$B$33:$W$143,3,FALSE)</f>
        <v>375.40053615177038</v>
      </c>
      <c r="BZ102" s="3508">
        <f>'All - MECs'!BZ102*VLOOKUP($B$14,'Annual Parameters'!$B$33:$W$143,3,FALSE)/VLOOKUP('All - MECs'!$B$14,'Annual Parameters'!$B$33:$W$143,3,FALSE)</f>
        <v>563.31203015713913</v>
      </c>
      <c r="CA102" s="3502">
        <f>'All - MECs'!CA102*VLOOKUP($B$14,'Annual Parameters'!$B$33:$W$143,3,FALSE)/VLOOKUP('All - MECs'!$B$14,'Annual Parameters'!$B$33:$W$143,3,FALSE)</f>
        <v>625.32827066404332</v>
      </c>
    </row>
    <row r="103" spans="1:79" ht="13.5" customHeight="1">
      <c r="A103" s="3553"/>
      <c r="B103" s="3493"/>
      <c r="C103" s="3512" t="s">
        <v>1422</v>
      </c>
      <c r="D103" s="3513">
        <f>'All - MECs'!D103*VLOOKUP($B$14,'Annual Parameters'!$B$33:$W$143,3,FALSE)/VLOOKUP('All - MECs'!$B$14,'Annual Parameters'!$B$33:$W$143,3,FALSE)</f>
        <v>1.5995475549833313</v>
      </c>
      <c r="E103" s="3514">
        <f>'All - MECs'!E103*VLOOKUP($B$14,'Annual Parameters'!$B$33:$W$143,3,FALSE)/VLOOKUP('All - MECs'!$B$14,'Annual Parameters'!$B$33:$W$143,3,FALSE)</f>
        <v>143.88611522560487</v>
      </c>
      <c r="F103" s="3515">
        <f>'All - MECs'!F103*VLOOKUP($B$14,'Annual Parameters'!$B$33:$W$143,3,FALSE)/VLOOKUP('All - MECs'!$B$14,'Annual Parameters'!$B$33:$W$143,3,FALSE)</f>
        <v>74.885903182504606</v>
      </c>
      <c r="G103" s="3513">
        <f>'All - MECs'!G103*VLOOKUP($B$14,'Annual Parameters'!$B$33:$W$143,3,FALSE)/VLOOKUP('All - MECs'!$B$14,'Annual Parameters'!$B$33:$W$143,3,FALSE)</f>
        <v>6.3924695497249555</v>
      </c>
      <c r="H103" s="3514">
        <f>'All - MECs'!H103*VLOOKUP($B$14,'Annual Parameters'!$B$33:$W$143,3,FALSE)/VLOOKUP('All - MECs'!$B$14,'Annual Parameters'!$B$33:$W$143,3,FALSE)</f>
        <v>57.52764969338012</v>
      </c>
      <c r="I103" s="3515">
        <f>'All - MECs'!I103*VLOOKUP($B$14,'Annual Parameters'!$B$33:$W$143,3,FALSE)/VLOOKUP('All - MECs'!$B$14,'Annual Parameters'!$B$33:$W$143,3,FALSE)</f>
        <v>42.918923660835183</v>
      </c>
      <c r="J103" s="3516">
        <f>'All - MECs'!J103*VLOOKUP($B$14,'Annual Parameters'!$B$33:$W$143,3,FALSE)/VLOOKUP('All - MECs'!$B$14,'Annual Parameters'!$B$33:$W$143,3,FALSE)</f>
        <v>23.325410037063712</v>
      </c>
      <c r="K103" s="3517">
        <f>'All - MECs'!K103*VLOOKUP($B$14,'Annual Parameters'!$B$33:$W$143,3,FALSE)/VLOOKUP('All - MECs'!$B$14,'Annual Parameters'!$B$33:$W$143,3,FALSE)</f>
        <v>15.188005256960661</v>
      </c>
      <c r="L103" s="3518">
        <f>'All - MECs'!L103*VLOOKUP($B$14,'Annual Parameters'!$B$33:$W$143,3,FALSE)/VLOOKUP('All - MECs'!$B$14,'Annual Parameters'!$B$33:$W$143,3,FALSE)</f>
        <v>5.3726156598730741</v>
      </c>
      <c r="M103" s="3519">
        <f>'All - MECs'!M103*VLOOKUP($B$14,'Annual Parameters'!$B$33:$W$143,3,FALSE)/VLOOKUP('All - MECs'!$B$14,'Annual Parameters'!$B$33:$W$143,3,FALSE)</f>
        <v>4.2255870298432994</v>
      </c>
      <c r="N103" s="3517">
        <f>'All - MECs'!N103*VLOOKUP($B$14,'Annual Parameters'!$B$33:$W$143,3,FALSE)/VLOOKUP('All - MECs'!$B$14,'Annual Parameters'!$B$33:$W$143,3,FALSE)</f>
        <v>5.8944540162750423</v>
      </c>
      <c r="O103" s="3520">
        <f>'All - MECs'!O103*VLOOKUP($B$14,'Annual Parameters'!$B$33:$W$143,3,FALSE)/VLOOKUP('All - MECs'!$B$14,'Annual Parameters'!$B$33:$W$143,3,FALSE)</f>
        <v>20.945081273032169</v>
      </c>
      <c r="P103" s="3544"/>
      <c r="Q103" s="3553"/>
      <c r="R103" s="3493"/>
      <c r="S103" s="3512" t="s">
        <v>1422</v>
      </c>
      <c r="T103" s="3513">
        <f>'All - MECs'!T103*VLOOKUP($B$14,'Annual Parameters'!$B$33:$W$143,3,FALSE)/VLOOKUP('All - MECs'!$B$14,'Annual Parameters'!$B$33:$W$143,3,FALSE)</f>
        <v>1.5995475549833313</v>
      </c>
      <c r="U103" s="3514">
        <f>'All - MECs'!U103*VLOOKUP($B$14,'Annual Parameters'!$B$33:$W$143,3,FALSE)/VLOOKUP('All - MECs'!$B$14,'Annual Parameters'!$B$33:$W$143,3,FALSE)</f>
        <v>143.88611522560487</v>
      </c>
      <c r="V103" s="3515">
        <f>'All - MECs'!V103*VLOOKUP($B$14,'Annual Parameters'!$B$33:$W$143,3,FALSE)/VLOOKUP('All - MECs'!$B$14,'Annual Parameters'!$B$33:$W$143,3,FALSE)</f>
        <v>74.885903182504606</v>
      </c>
      <c r="W103" s="3513">
        <f>'All - MECs'!W103*VLOOKUP($B$14,'Annual Parameters'!$B$33:$W$143,3,FALSE)/VLOOKUP('All - MECs'!$B$14,'Annual Parameters'!$B$33:$W$143,3,FALSE)</f>
        <v>6.3924695497249555</v>
      </c>
      <c r="X103" s="3514">
        <f>'All - MECs'!X103*VLOOKUP($B$14,'Annual Parameters'!$B$33:$W$143,3,FALSE)/VLOOKUP('All - MECs'!$B$14,'Annual Parameters'!$B$33:$W$143,3,FALSE)</f>
        <v>57.52764969338012</v>
      </c>
      <c r="Y103" s="3515">
        <f>'All - MECs'!Y103*VLOOKUP($B$14,'Annual Parameters'!$B$33:$W$143,3,FALSE)/VLOOKUP('All - MECs'!$B$14,'Annual Parameters'!$B$33:$W$143,3,FALSE)</f>
        <v>42.918923660835183</v>
      </c>
      <c r="Z103" s="3516">
        <f>'All - MECs'!Z103*VLOOKUP($B$14,'Annual Parameters'!$B$33:$W$143,3,FALSE)/VLOOKUP('All - MECs'!$B$14,'Annual Parameters'!$B$33:$W$143,3,FALSE)</f>
        <v>23.325410037063712</v>
      </c>
      <c r="AA103" s="3517">
        <f>'All - MECs'!AA103*VLOOKUP($B$14,'Annual Parameters'!$B$33:$W$143,3,FALSE)/VLOOKUP('All - MECs'!$B$14,'Annual Parameters'!$B$33:$W$143,3,FALSE)</f>
        <v>15.188005256960661</v>
      </c>
      <c r="AB103" s="3518">
        <f>'All - MECs'!AB103*VLOOKUP($B$14,'Annual Parameters'!$B$33:$W$143,3,FALSE)/VLOOKUP('All - MECs'!$B$14,'Annual Parameters'!$B$33:$W$143,3,FALSE)</f>
        <v>5.3726156598730741</v>
      </c>
      <c r="AC103" s="3519">
        <f>'All - MECs'!AC103*VLOOKUP($B$14,'Annual Parameters'!$B$33:$W$143,3,FALSE)/VLOOKUP('All - MECs'!$B$14,'Annual Parameters'!$B$33:$W$143,3,FALSE)</f>
        <v>4.2255870298432994</v>
      </c>
      <c r="AD103" s="3517">
        <f>'All - MECs'!AD103*VLOOKUP($B$14,'Annual Parameters'!$B$33:$W$143,3,FALSE)/VLOOKUP('All - MECs'!$B$14,'Annual Parameters'!$B$33:$W$143,3,FALSE)</f>
        <v>5.8944540162750423</v>
      </c>
      <c r="AE103" s="3520">
        <f>'All - MECs'!AE103*VLOOKUP($B$14,'Annual Parameters'!$B$33:$W$143,3,FALSE)/VLOOKUP('All - MECs'!$B$14,'Annual Parameters'!$B$33:$W$143,3,FALSE)</f>
        <v>20.945081273032169</v>
      </c>
      <c r="AF103" s="3544"/>
      <c r="AG103" s="3553"/>
      <c r="AH103" s="3493"/>
      <c r="AI103" s="3512" t="s">
        <v>1422</v>
      </c>
      <c r="AJ103" s="3513">
        <f>'All - MECs'!AJ103*VLOOKUP($B$14,'Annual Parameters'!$B$33:$W$143,3,FALSE)/VLOOKUP('All - MECs'!$B$14,'Annual Parameters'!$B$33:$W$143,3,FALSE)</f>
        <v>3.0391403544683295</v>
      </c>
      <c r="AK103" s="3514">
        <f>'All - MECs'!AK103*VLOOKUP($B$14,'Annual Parameters'!$B$33:$W$143,3,FALSE)/VLOOKUP('All - MECs'!$B$14,'Annual Parameters'!$B$33:$W$143,3,FALSE)</f>
        <v>273.38361892864924</v>
      </c>
      <c r="AL103" s="3515">
        <f>'All - MECs'!AL103*VLOOKUP($B$14,'Annual Parameters'!$B$33:$W$143,3,FALSE)/VLOOKUP('All - MECs'!$B$14,'Annual Parameters'!$B$33:$W$143,3,FALSE)</f>
        <v>142.28321604675875</v>
      </c>
      <c r="AM103" s="3513">
        <f>'All - MECs'!AM103*VLOOKUP($B$14,'Annual Parameters'!$B$33:$W$143,3,FALSE)/VLOOKUP('All - MECs'!$B$14,'Annual Parameters'!$B$33:$W$143,3,FALSE)</f>
        <v>12.145692144477415</v>
      </c>
      <c r="AN103" s="3514">
        <f>'All - MECs'!AN103*VLOOKUP($B$14,'Annual Parameters'!$B$33:$W$143,3,FALSE)/VLOOKUP('All - MECs'!$B$14,'Annual Parameters'!$B$33:$W$143,3,FALSE)</f>
        <v>109.30253441742224</v>
      </c>
      <c r="AO103" s="3515">
        <f>'All - MECs'!AO103*VLOOKUP($B$14,'Annual Parameters'!$B$33:$W$143,3,FALSE)/VLOOKUP('All - MECs'!$B$14,'Annual Parameters'!$B$33:$W$143,3,FALSE)</f>
        <v>81.545954955586836</v>
      </c>
      <c r="AP103" s="3516">
        <f>'All - MECs'!AP103*VLOOKUP($B$14,'Annual Parameters'!$B$33:$W$143,3,FALSE)/VLOOKUP('All - MECs'!$B$14,'Annual Parameters'!$B$33:$W$143,3,FALSE)</f>
        <v>44.318279070421049</v>
      </c>
      <c r="AQ103" s="3517">
        <f>'All - MECs'!AQ103*VLOOKUP($B$14,'Annual Parameters'!$B$33:$W$143,3,FALSE)/VLOOKUP('All - MECs'!$B$14,'Annual Parameters'!$B$33:$W$143,3,FALSE)</f>
        <v>28.857209988225257</v>
      </c>
      <c r="AR103" s="3518">
        <f>'All - MECs'!AR103*VLOOKUP($B$14,'Annual Parameters'!$B$33:$W$143,3,FALSE)/VLOOKUP('All - MECs'!$B$14,'Annual Parameters'!$B$33:$W$143,3,FALSE)</f>
        <v>10.207969753758841</v>
      </c>
      <c r="AS103" s="3519">
        <f>'All - MECs'!AS103*VLOOKUP($B$14,'Annual Parameters'!$B$33:$W$143,3,FALSE)/VLOOKUP('All - MECs'!$B$14,'Annual Parameters'!$B$33:$W$143,3,FALSE)</f>
        <v>8.028615356702268</v>
      </c>
      <c r="AT103" s="3517">
        <f>'All - MECs'!AT103*VLOOKUP($B$14,'Annual Parameters'!$B$33:$W$143,3,FALSE)/VLOOKUP('All - MECs'!$B$14,'Annual Parameters'!$B$33:$W$143,3,FALSE)</f>
        <v>11.19946263092258</v>
      </c>
      <c r="AU103" s="3520">
        <f>'All - MECs'!AU103*VLOOKUP($B$14,'Annual Parameters'!$B$33:$W$143,3,FALSE)/VLOOKUP('All - MECs'!$B$14,'Annual Parameters'!$B$33:$W$143,3,FALSE)</f>
        <v>39.795654418761117</v>
      </c>
      <c r="AV103" s="3544"/>
      <c r="AW103" s="3553"/>
      <c r="AX103" s="3493"/>
      <c r="AY103" s="3512" t="s">
        <v>1422</v>
      </c>
      <c r="AZ103" s="3513">
        <f>'All - MECs'!AZ103*VLOOKUP($B$14,'Annual Parameters'!$B$33:$W$143,3,FALSE)/VLOOKUP('All - MECs'!$B$14,'Annual Parameters'!$B$33:$W$143,3,FALSE)</f>
        <v>4.6386879094516607</v>
      </c>
      <c r="BA103" s="3514">
        <f>'All - MECs'!BA103*VLOOKUP($B$14,'Annual Parameters'!$B$33:$W$143,3,FALSE)/VLOOKUP('All - MECs'!$B$14,'Annual Parameters'!$B$33:$W$143,3,FALSE)</f>
        <v>417.26973415425414</v>
      </c>
      <c r="BB103" s="3515">
        <f>'All - MECs'!BB103*VLOOKUP($B$14,'Annual Parameters'!$B$33:$W$143,3,FALSE)/VLOOKUP('All - MECs'!$B$14,'Annual Parameters'!$B$33:$W$143,3,FALSE)</f>
        <v>217.16911922926334</v>
      </c>
      <c r="BC103" s="3513">
        <f>'All - MECs'!BC103*VLOOKUP($B$14,'Annual Parameters'!$B$33:$W$143,3,FALSE)/VLOOKUP('All - MECs'!$B$14,'Annual Parameters'!$B$33:$W$143,3,FALSE)</f>
        <v>18.538161694202373</v>
      </c>
      <c r="BD103" s="3514">
        <f>'All - MECs'!BD103*VLOOKUP($B$14,'Annual Parameters'!$B$33:$W$143,3,FALSE)/VLOOKUP('All - MECs'!$B$14,'Annual Parameters'!$B$33:$W$143,3,FALSE)</f>
        <v>166.83018411080238</v>
      </c>
      <c r="BE103" s="3515">
        <f>'All - MECs'!BE103*VLOOKUP($B$14,'Annual Parameters'!$B$33:$W$143,3,FALSE)/VLOOKUP('All - MECs'!$B$14,'Annual Parameters'!$B$33:$W$143,3,FALSE)</f>
        <v>124.46487861642201</v>
      </c>
      <c r="BF103" s="3516">
        <f>'All - MECs'!BF103*VLOOKUP($B$14,'Annual Parameters'!$B$33:$W$143,3,FALSE)/VLOOKUP('All - MECs'!$B$14,'Annual Parameters'!$B$33:$W$143,3,FALSE)</f>
        <v>67.643689107484761</v>
      </c>
      <c r="BG103" s="3517">
        <f>'All - MECs'!BG103*VLOOKUP($B$14,'Annual Parameters'!$B$33:$W$143,3,FALSE)/VLOOKUP('All - MECs'!$B$14,'Annual Parameters'!$B$33:$W$143,3,FALSE)</f>
        <v>44.045215245185915</v>
      </c>
      <c r="BH103" s="3518">
        <f>'All - MECs'!BH103*VLOOKUP($B$14,'Annual Parameters'!$B$33:$W$143,3,FALSE)/VLOOKUP('All - MECs'!$B$14,'Annual Parameters'!$B$33:$W$143,3,FALSE)</f>
        <v>15.580585413631914</v>
      </c>
      <c r="BI103" s="3519">
        <f>'All - MECs'!BI103*VLOOKUP($B$14,'Annual Parameters'!$B$33:$W$143,3,FALSE)/VLOOKUP('All - MECs'!$B$14,'Annual Parameters'!$B$33:$W$143,3,FALSE)</f>
        <v>12.254202386545568</v>
      </c>
      <c r="BJ103" s="3517">
        <f>'All - MECs'!BJ103*VLOOKUP($B$14,'Annual Parameters'!$B$33:$W$143,3,FALSE)/VLOOKUP('All - MECs'!$B$14,'Annual Parameters'!$B$33:$W$143,3,FALSE)</f>
        <v>17.093916647197624</v>
      </c>
      <c r="BK103" s="3520">
        <f>'All - MECs'!BK103*VLOOKUP($B$14,'Annual Parameters'!$B$33:$W$143,3,FALSE)/VLOOKUP('All - MECs'!$B$14,'Annual Parameters'!$B$33:$W$143,3,FALSE)</f>
        <v>60.74073569179329</v>
      </c>
      <c r="BL103" s="3544"/>
      <c r="BM103" s="3553"/>
      <c r="BN103" s="3493"/>
      <c r="BO103" s="3512" t="s">
        <v>1422</v>
      </c>
      <c r="BP103" s="3513">
        <f>'All - MECs'!BP103*VLOOKUP($B$14,'Annual Parameters'!$B$33:$W$143,3,FALSE)/VLOOKUP('All - MECs'!$B$14,'Annual Parameters'!$B$33:$W$143,3,FALSE)</f>
        <v>3.9988688874583285</v>
      </c>
      <c r="BQ103" s="3514">
        <f>'All - MECs'!BQ103*VLOOKUP($B$14,'Annual Parameters'!$B$33:$W$143,3,FALSE)/VLOOKUP('All - MECs'!$B$14,'Annual Parameters'!$B$33:$W$143,3,FALSE)</f>
        <v>359.71528806401216</v>
      </c>
      <c r="BR103" s="3515">
        <f>'All - MECs'!BR103*VLOOKUP($B$14,'Annual Parameters'!$B$33:$W$143,3,FALSE)/VLOOKUP('All - MECs'!$B$14,'Annual Parameters'!$B$33:$W$143,3,FALSE)</f>
        <v>187.21475795626148</v>
      </c>
      <c r="BS103" s="3513">
        <f>'All - MECs'!BS103*VLOOKUP($B$14,'Annual Parameters'!$B$33:$W$143,3,FALSE)/VLOOKUP('All - MECs'!$B$14,'Annual Parameters'!$B$33:$W$143,3,FALSE)</f>
        <v>15.981173874312391</v>
      </c>
      <c r="BT103" s="3514">
        <f>'All - MECs'!BT103*VLOOKUP($B$14,'Annual Parameters'!$B$33:$W$143,3,FALSE)/VLOOKUP('All - MECs'!$B$14,'Annual Parameters'!$B$33:$W$143,3,FALSE)</f>
        <v>143.81912423345031</v>
      </c>
      <c r="BU103" s="3515">
        <f>'All - MECs'!BU103*VLOOKUP($B$14,'Annual Parameters'!$B$33:$W$143,3,FALSE)/VLOOKUP('All - MECs'!$B$14,'Annual Parameters'!$B$33:$W$143,3,FALSE)</f>
        <v>107.29730915208793</v>
      </c>
      <c r="BV103" s="3516">
        <f>'All - MECs'!BV103*VLOOKUP($B$14,'Annual Parameters'!$B$33:$W$143,3,FALSE)/VLOOKUP('All - MECs'!$B$14,'Annual Parameters'!$B$33:$W$143,3,FALSE)</f>
        <v>58.313525092659276</v>
      </c>
      <c r="BW103" s="3517">
        <f>'All - MECs'!BW103*VLOOKUP($B$14,'Annual Parameters'!$B$33:$W$143,3,FALSE)/VLOOKUP('All - MECs'!$B$14,'Annual Parameters'!$B$33:$W$143,3,FALSE)</f>
        <v>37.970013142401655</v>
      </c>
      <c r="BX103" s="3518">
        <f>'All - MECs'!BX103*VLOOKUP($B$14,'Annual Parameters'!$B$33:$W$143,3,FALSE)/VLOOKUP('All - MECs'!$B$14,'Annual Parameters'!$B$33:$W$143,3,FALSE)</f>
        <v>13.431539149682685</v>
      </c>
      <c r="BY103" s="3519">
        <f>'All - MECs'!BY103*VLOOKUP($B$14,'Annual Parameters'!$B$33:$W$143,3,FALSE)/VLOOKUP('All - MECs'!$B$14,'Annual Parameters'!$B$33:$W$143,3,FALSE)</f>
        <v>10.563967574608249</v>
      </c>
      <c r="BZ103" s="3517">
        <f>'All - MECs'!BZ103*VLOOKUP($B$14,'Annual Parameters'!$B$33:$W$143,3,FALSE)/VLOOKUP('All - MECs'!$B$14,'Annual Parameters'!$B$33:$W$143,3,FALSE)</f>
        <v>14.736135040687605</v>
      </c>
      <c r="CA103" s="3520">
        <f>'All - MECs'!CA103*VLOOKUP($B$14,'Annual Parameters'!$B$33:$W$143,3,FALSE)/VLOOKUP('All - MECs'!$B$14,'Annual Parameters'!$B$33:$W$143,3,FALSE)</f>
        <v>52.362703182580425</v>
      </c>
    </row>
    <row r="104" spans="1:79" ht="13.5" customHeight="1">
      <c r="A104" s="3521" t="s">
        <v>1095</v>
      </c>
      <c r="B104" s="3522"/>
      <c r="C104" s="3523" t="s">
        <v>1096</v>
      </c>
      <c r="D104" s="3524">
        <f>'All - MECs'!D104*VLOOKUP($B$14,'Annual Parameters'!$B$33:$W$143,3,FALSE)/VLOOKUP('All - MECs'!$B$14,'Annual Parameters'!$B$33:$W$143,3,FALSE)</f>
        <v>0</v>
      </c>
      <c r="E104" s="3525">
        <f>'All - MECs'!E104*VLOOKUP($B$14,'Annual Parameters'!$B$33:$W$143,3,FALSE)/VLOOKUP('All - MECs'!$B$14,'Annual Parameters'!$B$33:$W$143,3,FALSE)</f>
        <v>0.14776151467574114</v>
      </c>
      <c r="F104" s="3526">
        <f>'All - MECs'!F104*VLOOKUP($B$14,'Annual Parameters'!$B$33:$W$143,3,FALSE)/VLOOKUP('All - MECs'!$B$14,'Annual Parameters'!$B$33:$W$143,3,FALSE)</f>
        <v>0.14776151467574114</v>
      </c>
      <c r="G104" s="3524">
        <f>'All - MECs'!G104*VLOOKUP($B$14,'Annual Parameters'!$B$33:$W$143,3,FALSE)/VLOOKUP('All - MECs'!$B$14,'Annual Parameters'!$B$33:$W$143,3,FALSE)</f>
        <v>0</v>
      </c>
      <c r="H104" s="3525">
        <f>'All - MECs'!H104*VLOOKUP($B$14,'Annual Parameters'!$B$33:$W$143,3,FALSE)/VLOOKUP('All - MECs'!$B$14,'Annual Parameters'!$B$33:$W$143,3,FALSE)</f>
        <v>0.14776151467574114</v>
      </c>
      <c r="I104" s="3526">
        <f>'All - MECs'!I104*VLOOKUP($B$14,'Annual Parameters'!$B$33:$W$143,3,FALSE)/VLOOKUP('All - MECs'!$B$14,'Annual Parameters'!$B$33:$W$143,3,FALSE)</f>
        <v>0.14776151467574114</v>
      </c>
      <c r="J104" s="3527">
        <f>'All - MECs'!J104*VLOOKUP($B$14,'Annual Parameters'!$B$33:$W$143,3,FALSE)/VLOOKUP('All - MECs'!$B$14,'Annual Parameters'!$B$33:$W$143,3,FALSE)</f>
        <v>0.14776151467574114</v>
      </c>
      <c r="K104" s="3526">
        <f>'All - MECs'!K104*VLOOKUP($B$14,'Annual Parameters'!$B$33:$W$143,3,FALSE)/VLOOKUP('All - MECs'!$B$14,'Annual Parameters'!$B$33:$W$143,3,FALSE)</f>
        <v>0.14776151467574114</v>
      </c>
      <c r="L104" s="3527">
        <f>'All - MECs'!L104*VLOOKUP($B$14,'Annual Parameters'!$B$33:$W$143,3,FALSE)/VLOOKUP('All - MECs'!$B$14,'Annual Parameters'!$B$33:$W$143,3,FALSE)</f>
        <v>0</v>
      </c>
      <c r="M104" s="3528">
        <f>'All - MECs'!M104*VLOOKUP($B$14,'Annual Parameters'!$B$33:$W$143,3,FALSE)/VLOOKUP('All - MECs'!$B$14,'Annual Parameters'!$B$33:$W$143,3,FALSE)</f>
        <v>0.14776151467574114</v>
      </c>
      <c r="N104" s="3526">
        <f>'All - MECs'!N104*VLOOKUP($B$14,'Annual Parameters'!$B$33:$W$143,3,FALSE)/VLOOKUP('All - MECs'!$B$14,'Annual Parameters'!$B$33:$W$143,3,FALSE)</f>
        <v>0.14776151467574114</v>
      </c>
      <c r="O104" s="3529">
        <f>'All - MECs'!O104*VLOOKUP($B$14,'Annual Parameters'!$B$33:$W$143,3,FALSE)/VLOOKUP('All - MECs'!$B$14,'Annual Parameters'!$B$33:$W$143,3,FALSE)</f>
        <v>0.12033901496090796</v>
      </c>
      <c r="P104" s="3544"/>
      <c r="Q104" s="3521" t="s">
        <v>1095</v>
      </c>
      <c r="R104" s="3522"/>
      <c r="S104" s="3523" t="s">
        <v>1096</v>
      </c>
      <c r="T104" s="3524">
        <f>'All - MECs'!T104*VLOOKUP($B$14,'Annual Parameters'!$B$33:$W$143,3,FALSE)/VLOOKUP('All - MECs'!$B$14,'Annual Parameters'!$B$33:$W$143,3,FALSE)</f>
        <v>0</v>
      </c>
      <c r="U104" s="3525">
        <f>'All - MECs'!U104*VLOOKUP($B$14,'Annual Parameters'!$B$33:$W$143,3,FALSE)/VLOOKUP('All - MECs'!$B$14,'Annual Parameters'!$B$33:$W$143,3,FALSE)</f>
        <v>0.14776151467574114</v>
      </c>
      <c r="V104" s="3526">
        <f>'All - MECs'!V104*VLOOKUP($B$14,'Annual Parameters'!$B$33:$W$143,3,FALSE)/VLOOKUP('All - MECs'!$B$14,'Annual Parameters'!$B$33:$W$143,3,FALSE)</f>
        <v>0.14776151467574114</v>
      </c>
      <c r="W104" s="3524">
        <f>'All - MECs'!W104*VLOOKUP($B$14,'Annual Parameters'!$B$33:$W$143,3,FALSE)/VLOOKUP('All - MECs'!$B$14,'Annual Parameters'!$B$33:$W$143,3,FALSE)</f>
        <v>0</v>
      </c>
      <c r="X104" s="3525">
        <f>'All - MECs'!X104*VLOOKUP($B$14,'Annual Parameters'!$B$33:$W$143,3,FALSE)/VLOOKUP('All - MECs'!$B$14,'Annual Parameters'!$B$33:$W$143,3,FALSE)</f>
        <v>0.14776151467574114</v>
      </c>
      <c r="Y104" s="3526">
        <f>'All - MECs'!Y104*VLOOKUP($B$14,'Annual Parameters'!$B$33:$W$143,3,FALSE)/VLOOKUP('All - MECs'!$B$14,'Annual Parameters'!$B$33:$W$143,3,FALSE)</f>
        <v>0.14776151467574114</v>
      </c>
      <c r="Z104" s="3527">
        <f>'All - MECs'!Z104*VLOOKUP($B$14,'Annual Parameters'!$B$33:$W$143,3,FALSE)/VLOOKUP('All - MECs'!$B$14,'Annual Parameters'!$B$33:$W$143,3,FALSE)</f>
        <v>0.14776151467574114</v>
      </c>
      <c r="AA104" s="3526">
        <f>'All - MECs'!AA104*VLOOKUP($B$14,'Annual Parameters'!$B$33:$W$143,3,FALSE)/VLOOKUP('All - MECs'!$B$14,'Annual Parameters'!$B$33:$W$143,3,FALSE)</f>
        <v>0.14776151467574114</v>
      </c>
      <c r="AB104" s="3527">
        <f>'All - MECs'!AB104*VLOOKUP($B$14,'Annual Parameters'!$B$33:$W$143,3,FALSE)/VLOOKUP('All - MECs'!$B$14,'Annual Parameters'!$B$33:$W$143,3,FALSE)</f>
        <v>0</v>
      </c>
      <c r="AC104" s="3528">
        <f>'All - MECs'!AC104*VLOOKUP($B$14,'Annual Parameters'!$B$33:$W$143,3,FALSE)/VLOOKUP('All - MECs'!$B$14,'Annual Parameters'!$B$33:$W$143,3,FALSE)</f>
        <v>0.14776151467574114</v>
      </c>
      <c r="AD104" s="3526">
        <f>'All - MECs'!AD104*VLOOKUP($B$14,'Annual Parameters'!$B$33:$W$143,3,FALSE)/VLOOKUP('All - MECs'!$B$14,'Annual Parameters'!$B$33:$W$143,3,FALSE)</f>
        <v>0.14776151467574114</v>
      </c>
      <c r="AE104" s="3529">
        <f>'All - MECs'!AE104*VLOOKUP($B$14,'Annual Parameters'!$B$33:$W$143,3,FALSE)/VLOOKUP('All - MECs'!$B$14,'Annual Parameters'!$B$33:$W$143,3,FALSE)</f>
        <v>0.12166735404891194</v>
      </c>
      <c r="AF104" s="3544"/>
      <c r="AG104" s="3521" t="s">
        <v>1095</v>
      </c>
      <c r="AH104" s="3522"/>
      <c r="AI104" s="3523" t="s">
        <v>1096</v>
      </c>
      <c r="AJ104" s="3524">
        <f>'All - MECs'!AJ104*VLOOKUP($B$14,'Annual Parameters'!$B$33:$W$143,3,FALSE)/VLOOKUP('All - MECs'!$B$14,'Annual Parameters'!$B$33:$W$143,3,FALSE)</f>
        <v>1.3298536320816703</v>
      </c>
      <c r="AK104" s="3525">
        <f>'All - MECs'!AK104*VLOOKUP($B$14,'Annual Parameters'!$B$33:$W$143,3,FALSE)/VLOOKUP('All - MECs'!$B$14,'Annual Parameters'!$B$33:$W$143,3,FALSE)</f>
        <v>7.0925527044355734</v>
      </c>
      <c r="AL104" s="3526">
        <f>'All - MECs'!AL104*VLOOKUP($B$14,'Annual Parameters'!$B$33:$W$143,3,FALSE)/VLOOKUP('All - MECs'!$B$14,'Annual Parameters'!$B$33:$W$143,3,FALSE)</f>
        <v>29.700064449823966</v>
      </c>
      <c r="AM104" s="3524">
        <f>'All - MECs'!AM104*VLOOKUP($B$14,'Annual Parameters'!$B$33:$W$143,3,FALSE)/VLOOKUP('All - MECs'!$B$14,'Annual Parameters'!$B$33:$W$143,3,FALSE)</f>
        <v>1.3298536320816703</v>
      </c>
      <c r="AN104" s="3525">
        <f>'All - MECs'!AN104*VLOOKUP($B$14,'Annual Parameters'!$B$33:$W$143,3,FALSE)/VLOOKUP('All - MECs'!$B$14,'Annual Parameters'!$B$33:$W$143,3,FALSE)</f>
        <v>5.3194145283266812</v>
      </c>
      <c r="AO104" s="3526">
        <f>'All - MECs'!AO104*VLOOKUP($B$14,'Annual Parameters'!$B$33:$W$143,3,FALSE)/VLOOKUP('All - MECs'!$B$14,'Annual Parameters'!$B$33:$W$143,3,FALSE)</f>
        <v>29.700064449823966</v>
      </c>
      <c r="AP104" s="3527">
        <f>'All - MECs'!AP104*VLOOKUP($B$14,'Annual Parameters'!$B$33:$W$143,3,FALSE)/VLOOKUP('All - MECs'!$B$14,'Annual Parameters'!$B$33:$W$143,3,FALSE)</f>
        <v>5.1716530136509391</v>
      </c>
      <c r="AQ104" s="3526">
        <f>'All - MECs'!AQ104*VLOOKUP($B$14,'Annual Parameters'!$B$33:$W$143,3,FALSE)/VLOOKUP('All - MECs'!$B$14,'Annual Parameters'!$B$33:$W$143,3,FALSE)</f>
        <v>29.700064449823966</v>
      </c>
      <c r="AR104" s="3527">
        <f>'All - MECs'!AR104*VLOOKUP($B$14,'Annual Parameters'!$B$33:$W$143,3,FALSE)/VLOOKUP('All - MECs'!$B$14,'Annual Parameters'!$B$33:$W$143,3,FALSE)</f>
        <v>1.3298536320816703</v>
      </c>
      <c r="AS104" s="3528">
        <f>'All - MECs'!AS104*VLOOKUP($B$14,'Annual Parameters'!$B$33:$W$143,3,FALSE)/VLOOKUP('All - MECs'!$B$14,'Annual Parameters'!$B$33:$W$143,3,FALSE)</f>
        <v>4.4328454402722341</v>
      </c>
      <c r="AT104" s="3526">
        <f>'All - MECs'!AT104*VLOOKUP($B$14,'Annual Parameters'!$B$33:$W$143,3,FALSE)/VLOOKUP('All - MECs'!$B$14,'Annual Parameters'!$B$33:$W$143,3,FALSE)</f>
        <v>29.700064449823966</v>
      </c>
      <c r="AU104" s="3529">
        <f>'All - MECs'!AU104*VLOOKUP($B$14,'Annual Parameters'!$B$33:$W$143,3,FALSE)/VLOOKUP('All - MECs'!$B$14,'Annual Parameters'!$B$33:$W$143,3,FALSE)</f>
        <v>8.9660213395063479</v>
      </c>
      <c r="AV104" s="3544"/>
      <c r="AW104" s="3521" t="s">
        <v>1095</v>
      </c>
      <c r="AX104" s="3522"/>
      <c r="AY104" s="3523" t="s">
        <v>1096</v>
      </c>
      <c r="AZ104" s="3524">
        <f>'All - MECs'!AZ104*VLOOKUP($B$14,'Annual Parameters'!$B$33:$W$143,3,FALSE)/VLOOKUP('All - MECs'!$B$14,'Annual Parameters'!$B$33:$W$143,3,FALSE)</f>
        <v>5.3194145283266812</v>
      </c>
      <c r="BA104" s="3525">
        <f>'All - MECs'!BA104*VLOOKUP($B$14,'Annual Parameters'!$B$33:$W$143,3,FALSE)/VLOOKUP('All - MECs'!$B$14,'Annual Parameters'!$B$33:$W$143,3,FALSE)</f>
        <v>24.823934465524513</v>
      </c>
      <c r="BB104" s="3526">
        <f>'All - MECs'!BB104*VLOOKUP($B$14,'Annual Parameters'!$B$33:$W$143,3,FALSE)/VLOOKUP('All - MECs'!$B$14,'Annual Parameters'!$B$33:$W$143,3,FALSE)</f>
        <v>122.34653415151364</v>
      </c>
      <c r="BC104" s="3524">
        <f>'All - MECs'!BC104*VLOOKUP($B$14,'Annual Parameters'!$B$33:$W$143,3,FALSE)/VLOOKUP('All - MECs'!$B$14,'Annual Parameters'!$B$33:$W$143,3,FALSE)</f>
        <v>5.3194145283266812</v>
      </c>
      <c r="BD104" s="3525">
        <f>'All - MECs'!BD104*VLOOKUP($B$14,'Annual Parameters'!$B$33:$W$143,3,FALSE)/VLOOKUP('All - MECs'!$B$14,'Annual Parameters'!$B$33:$W$143,3,FALSE)</f>
        <v>18.765712363819123</v>
      </c>
      <c r="BE104" s="3526">
        <f>'All - MECs'!BE104*VLOOKUP($B$14,'Annual Parameters'!$B$33:$W$143,3,FALSE)/VLOOKUP('All - MECs'!$B$14,'Annual Parameters'!$B$33:$W$143,3,FALSE)</f>
        <v>122.34653415151364</v>
      </c>
      <c r="BF104" s="3527">
        <f>'All - MECs'!BF104*VLOOKUP($B$14,'Annual Parameters'!$B$33:$W$143,3,FALSE)/VLOOKUP('All - MECs'!$B$14,'Annual Parameters'!$B$33:$W$143,3,FALSE)</f>
        <v>18.470189334467641</v>
      </c>
      <c r="BG104" s="3526">
        <f>'All - MECs'!BG104*VLOOKUP($B$14,'Annual Parameters'!$B$33:$W$143,3,FALSE)/VLOOKUP('All - MECs'!$B$14,'Annual Parameters'!$B$33:$W$143,3,FALSE)</f>
        <v>122.34653415151364</v>
      </c>
      <c r="BH104" s="3527">
        <f>'All - MECs'!BH104*VLOOKUP($B$14,'Annual Parameters'!$B$33:$W$143,3,FALSE)/VLOOKUP('All - MECs'!$B$14,'Annual Parameters'!$B$33:$W$143,3,FALSE)</f>
        <v>5.3194145283266812</v>
      </c>
      <c r="BI104" s="3528">
        <f>'All - MECs'!BI104*VLOOKUP($B$14,'Annual Parameters'!$B$33:$W$143,3,FALSE)/VLOOKUP('All - MECs'!$B$14,'Annual Parameters'!$B$33:$W$143,3,FALSE)</f>
        <v>16.106005099655782</v>
      </c>
      <c r="BJ104" s="3526">
        <f>'All - MECs'!BJ104*VLOOKUP($B$14,'Annual Parameters'!$B$33:$W$143,3,FALSE)/VLOOKUP('All - MECs'!$B$14,'Annual Parameters'!$B$33:$W$143,3,FALSE)</f>
        <v>122.34653415151364</v>
      </c>
      <c r="BK104" s="3529">
        <f>'All - MECs'!BK104*VLOOKUP($B$14,'Annual Parameters'!$B$33:$W$143,3,FALSE)/VLOOKUP('All - MECs'!$B$14,'Annual Parameters'!$B$33:$W$143,3,FALSE)</f>
        <v>13.608570611281188</v>
      </c>
      <c r="BL104" s="3544"/>
      <c r="BM104" s="3521" t="s">
        <v>1095</v>
      </c>
      <c r="BN104" s="3522"/>
      <c r="BO104" s="3523" t="s">
        <v>1096</v>
      </c>
      <c r="BP104" s="3524">
        <f>'All - MECs'!BP104*VLOOKUP($B$14,'Annual Parameters'!$B$33:$W$143,3,FALSE)/VLOOKUP('All - MECs'!$B$14,'Annual Parameters'!$B$33:$W$143,3,FALSE)</f>
        <v>0</v>
      </c>
      <c r="BQ104" s="3525">
        <f>'All - MECs'!BQ104*VLOOKUP($B$14,'Annual Parameters'!$B$33:$W$143,3,FALSE)/VLOOKUP('All - MECs'!$B$14,'Annual Parameters'!$B$33:$W$143,3,FALSE)</f>
        <v>0</v>
      </c>
      <c r="BR104" s="3526">
        <f>'All - MECs'!BR104*VLOOKUP($B$14,'Annual Parameters'!$B$33:$W$143,3,FALSE)/VLOOKUP('All - MECs'!$B$14,'Annual Parameters'!$B$33:$W$143,3,FALSE)</f>
        <v>0</v>
      </c>
      <c r="BS104" s="3524">
        <f>'All - MECs'!BS104*VLOOKUP($B$14,'Annual Parameters'!$B$33:$W$143,3,FALSE)/VLOOKUP('All - MECs'!$B$14,'Annual Parameters'!$B$33:$W$143,3,FALSE)</f>
        <v>0</v>
      </c>
      <c r="BT104" s="3525">
        <f>'All - MECs'!BT104*VLOOKUP($B$14,'Annual Parameters'!$B$33:$W$143,3,FALSE)/VLOOKUP('All - MECs'!$B$14,'Annual Parameters'!$B$33:$W$143,3,FALSE)</f>
        <v>0</v>
      </c>
      <c r="BU104" s="3526">
        <f>'All - MECs'!BU104*VLOOKUP($B$14,'Annual Parameters'!$B$33:$W$143,3,FALSE)/VLOOKUP('All - MECs'!$B$14,'Annual Parameters'!$B$33:$W$143,3,FALSE)</f>
        <v>0</v>
      </c>
      <c r="BV104" s="3527">
        <f>'All - MECs'!BV104*VLOOKUP($B$14,'Annual Parameters'!$B$33:$W$143,3,FALSE)/VLOOKUP('All - MECs'!$B$14,'Annual Parameters'!$B$33:$W$143,3,FALSE)</f>
        <v>0</v>
      </c>
      <c r="BW104" s="3526">
        <f>'All - MECs'!BW104*VLOOKUP($B$14,'Annual Parameters'!$B$33:$W$143,3,FALSE)/VLOOKUP('All - MECs'!$B$14,'Annual Parameters'!$B$33:$W$143,3,FALSE)</f>
        <v>0</v>
      </c>
      <c r="BX104" s="3527">
        <f>'All - MECs'!BX104*VLOOKUP($B$14,'Annual Parameters'!$B$33:$W$143,3,FALSE)/VLOOKUP('All - MECs'!$B$14,'Annual Parameters'!$B$33:$W$143,3,FALSE)</f>
        <v>0</v>
      </c>
      <c r="BY104" s="3528">
        <f>'All - MECs'!BY104*VLOOKUP($B$14,'Annual Parameters'!$B$33:$W$143,3,FALSE)/VLOOKUP('All - MECs'!$B$14,'Annual Parameters'!$B$33:$W$143,3,FALSE)</f>
        <v>0</v>
      </c>
      <c r="BZ104" s="3526">
        <f>'All - MECs'!BZ104*VLOOKUP($B$14,'Annual Parameters'!$B$33:$W$143,3,FALSE)/VLOOKUP('All - MECs'!$B$14,'Annual Parameters'!$B$33:$W$143,3,FALSE)</f>
        <v>0</v>
      </c>
      <c r="CA104" s="3529">
        <f>'All - MECs'!CA104*VLOOKUP($B$14,'Annual Parameters'!$B$33:$W$143,3,FALSE)/VLOOKUP('All - MECs'!$B$14,'Annual Parameters'!$B$33:$W$143,3,FALSE)</f>
        <v>0</v>
      </c>
    </row>
    <row r="105" spans="1:79" ht="13.5" customHeight="1">
      <c r="A105" s="3521" t="s">
        <v>477</v>
      </c>
      <c r="B105" s="3522"/>
      <c r="C105" s="3530" t="s">
        <v>1096</v>
      </c>
      <c r="D105" s="3531">
        <f>'All - MECs'!D105*VLOOKUP($B$14,'Annual Parameters'!$B$33:$W$143,3,FALSE)/VLOOKUP('All - MECs'!$B$14,'Annual Parameters'!$B$33:$W$143,3,FALSE)</f>
        <v>0</v>
      </c>
      <c r="E105" s="3532">
        <f>'All - MECs'!E105*VLOOKUP($B$14,'Annual Parameters'!$B$33:$W$143,3,FALSE)/VLOOKUP('All - MECs'!$B$14,'Annual Parameters'!$B$33:$W$143,3,FALSE)</f>
        <v>5.7226891885597153</v>
      </c>
      <c r="F105" s="3533">
        <f>'All - MECs'!F105*VLOOKUP($B$14,'Annual Parameters'!$B$33:$W$143,3,FALSE)/VLOOKUP('All - MECs'!$B$14,'Annual Parameters'!$B$33:$W$143,3,FALSE)</f>
        <v>5.7226891885597153</v>
      </c>
      <c r="G105" s="3531">
        <f>'All - MECs'!G105*VLOOKUP($B$14,'Annual Parameters'!$B$33:$W$143,3,FALSE)/VLOOKUP('All - MECs'!$B$14,'Annual Parameters'!$B$33:$W$143,3,FALSE)</f>
        <v>0</v>
      </c>
      <c r="H105" s="3532">
        <f>'All - MECs'!H105*VLOOKUP($B$14,'Annual Parameters'!$B$33:$W$143,3,FALSE)/VLOOKUP('All - MECs'!$B$14,'Annual Parameters'!$B$33:$W$143,3,FALSE)</f>
        <v>5.7226891885597153</v>
      </c>
      <c r="I105" s="3534">
        <f>'All - MECs'!I105*VLOOKUP($B$14,'Annual Parameters'!$B$33:$W$143,3,FALSE)/VLOOKUP('All - MECs'!$B$14,'Annual Parameters'!$B$33:$W$143,3,FALSE)</f>
        <v>5.7226891885597153</v>
      </c>
      <c r="J105" s="3535">
        <f>'All - MECs'!J105*VLOOKUP($B$14,'Annual Parameters'!$B$33:$W$143,3,FALSE)/VLOOKUP('All - MECs'!$B$14,'Annual Parameters'!$B$33:$W$143,3,FALSE)</f>
        <v>5.7226891885597153</v>
      </c>
      <c r="K105" s="3533">
        <f>'All - MECs'!K105*VLOOKUP($B$14,'Annual Parameters'!$B$33:$W$143,3,FALSE)/VLOOKUP('All - MECs'!$B$14,'Annual Parameters'!$B$33:$W$143,3,FALSE)</f>
        <v>5.7226891885597153</v>
      </c>
      <c r="L105" s="3535">
        <f>'All - MECs'!L105*VLOOKUP($B$14,'Annual Parameters'!$B$33:$W$143,3,FALSE)/VLOOKUP('All - MECs'!$B$14,'Annual Parameters'!$B$33:$W$143,3,FALSE)</f>
        <v>0</v>
      </c>
      <c r="M105" s="3536">
        <f>'All - MECs'!M105*VLOOKUP($B$14,'Annual Parameters'!$B$33:$W$143,3,FALSE)/VLOOKUP('All - MECs'!$B$14,'Annual Parameters'!$B$33:$W$143,3,FALSE)</f>
        <v>1.3352941439972668</v>
      </c>
      <c r="N105" s="3533">
        <f>'All - MECs'!N105*VLOOKUP($B$14,'Annual Parameters'!$B$33:$W$143,3,FALSE)/VLOOKUP('All - MECs'!$B$14,'Annual Parameters'!$B$33:$W$143,3,FALSE)</f>
        <v>1.3352941439972668</v>
      </c>
      <c r="O105" s="3502">
        <f>'All - MECs'!O105*VLOOKUP($B$14,'Annual Parameters'!$B$33:$W$143,3,FALSE)/VLOOKUP('All - MECs'!$B$14,'Annual Parameters'!$B$33:$W$143,3,FALSE)</f>
        <v>3.0422618773597963</v>
      </c>
      <c r="P105" s="3544"/>
      <c r="Q105" s="3521" t="s">
        <v>477</v>
      </c>
      <c r="R105" s="3522"/>
      <c r="S105" s="3530" t="s">
        <v>1096</v>
      </c>
      <c r="T105" s="3531">
        <f>'All - MECs'!T105*VLOOKUP($B$14,'Annual Parameters'!$B$33:$W$143,3,FALSE)/VLOOKUP('All - MECs'!$B$14,'Annual Parameters'!$B$33:$W$143,3,FALSE)</f>
        <v>0</v>
      </c>
      <c r="U105" s="3532">
        <f>'All - MECs'!U105*VLOOKUP($B$14,'Annual Parameters'!$B$33:$W$143,3,FALSE)/VLOOKUP('All - MECs'!$B$14,'Annual Parameters'!$B$33:$W$143,3,FALSE)</f>
        <v>5.7226891885597153</v>
      </c>
      <c r="V105" s="3533">
        <f>'All - MECs'!V105*VLOOKUP($B$14,'Annual Parameters'!$B$33:$W$143,3,FALSE)/VLOOKUP('All - MECs'!$B$14,'Annual Parameters'!$B$33:$W$143,3,FALSE)</f>
        <v>5.7226891885597153</v>
      </c>
      <c r="W105" s="3531">
        <f>'All - MECs'!W105*VLOOKUP($B$14,'Annual Parameters'!$B$33:$W$143,3,FALSE)/VLOOKUP('All - MECs'!$B$14,'Annual Parameters'!$B$33:$W$143,3,FALSE)</f>
        <v>0</v>
      </c>
      <c r="X105" s="3532">
        <f>'All - MECs'!X105*VLOOKUP($B$14,'Annual Parameters'!$B$33:$W$143,3,FALSE)/VLOOKUP('All - MECs'!$B$14,'Annual Parameters'!$B$33:$W$143,3,FALSE)</f>
        <v>5.7226891885597153</v>
      </c>
      <c r="Y105" s="3534">
        <f>'All - MECs'!Y105*VLOOKUP($B$14,'Annual Parameters'!$B$33:$W$143,3,FALSE)/VLOOKUP('All - MECs'!$B$14,'Annual Parameters'!$B$33:$W$143,3,FALSE)</f>
        <v>5.7226891885597153</v>
      </c>
      <c r="Z105" s="3535">
        <f>'All - MECs'!Z105*VLOOKUP($B$14,'Annual Parameters'!$B$33:$W$143,3,FALSE)/VLOOKUP('All - MECs'!$B$14,'Annual Parameters'!$B$33:$W$143,3,FALSE)</f>
        <v>5.7226891885597153</v>
      </c>
      <c r="AA105" s="3533">
        <f>'All - MECs'!AA105*VLOOKUP($B$14,'Annual Parameters'!$B$33:$W$143,3,FALSE)/VLOOKUP('All - MECs'!$B$14,'Annual Parameters'!$B$33:$W$143,3,FALSE)</f>
        <v>5.7226891885597153</v>
      </c>
      <c r="AB105" s="3535">
        <f>'All - MECs'!AB105*VLOOKUP($B$14,'Annual Parameters'!$B$33:$W$143,3,FALSE)/VLOOKUP('All - MECs'!$B$14,'Annual Parameters'!$B$33:$W$143,3,FALSE)</f>
        <v>0</v>
      </c>
      <c r="AC105" s="3536">
        <f>'All - MECs'!AC105*VLOOKUP($B$14,'Annual Parameters'!$B$33:$W$143,3,FALSE)/VLOOKUP('All - MECs'!$B$14,'Annual Parameters'!$B$33:$W$143,3,FALSE)</f>
        <v>1.3352941439972668</v>
      </c>
      <c r="AD105" s="3533">
        <f>'All - MECs'!AD105*VLOOKUP($B$14,'Annual Parameters'!$B$33:$W$143,3,FALSE)/VLOOKUP('All - MECs'!$B$14,'Annual Parameters'!$B$33:$W$143,3,FALSE)</f>
        <v>1.3352941439972668</v>
      </c>
      <c r="AE105" s="3502">
        <f>'All - MECs'!AE105*VLOOKUP($B$14,'Annual Parameters'!$B$33:$W$143,3,FALSE)/VLOOKUP('All - MECs'!$B$14,'Annual Parameters'!$B$33:$W$143,3,FALSE)</f>
        <v>2.9655964067674274</v>
      </c>
      <c r="AF105" s="3544"/>
      <c r="AG105" s="3521" t="s">
        <v>477</v>
      </c>
      <c r="AH105" s="3522"/>
      <c r="AI105" s="3530" t="s">
        <v>1096</v>
      </c>
      <c r="AJ105" s="3531">
        <f>'All - MECs'!AJ105*VLOOKUP($B$14,'Annual Parameters'!$B$33:$W$143,3,FALSE)/VLOOKUP('All - MECs'!$B$14,'Annual Parameters'!$B$33:$W$143,3,FALSE)</f>
        <v>0.57226891885597153</v>
      </c>
      <c r="AK105" s="3532">
        <f>'All - MECs'!AK105*VLOOKUP($B$14,'Annual Parameters'!$B$33:$W$143,3,FALSE)/VLOOKUP('All - MECs'!$B$14,'Annual Parameters'!$B$33:$W$143,3,FALSE)</f>
        <v>6.1042018011303627</v>
      </c>
      <c r="AL105" s="3533">
        <f>'All - MECs'!AL105*VLOOKUP($B$14,'Annual Parameters'!$B$33:$W$143,3,FALSE)/VLOOKUP('All - MECs'!$B$14,'Annual Parameters'!$B$33:$W$143,3,FALSE)</f>
        <v>6.1042018011303627</v>
      </c>
      <c r="AM105" s="3531">
        <f>'All - MECs'!AM105*VLOOKUP($B$14,'Annual Parameters'!$B$33:$W$143,3,FALSE)/VLOOKUP('All - MECs'!$B$14,'Annual Parameters'!$B$33:$W$143,3,FALSE)</f>
        <v>0.57226891885597153</v>
      </c>
      <c r="AN105" s="3532">
        <f>'All - MECs'!AN105*VLOOKUP($B$14,'Annual Parameters'!$B$33:$W$143,3,FALSE)/VLOOKUP('All - MECs'!$B$14,'Annual Parameters'!$B$33:$W$143,3,FALSE)</f>
        <v>6.1042018011303627</v>
      </c>
      <c r="AO105" s="3534">
        <f>'All - MECs'!AO105*VLOOKUP($B$14,'Annual Parameters'!$B$33:$W$143,3,FALSE)/VLOOKUP('All - MECs'!$B$14,'Annual Parameters'!$B$33:$W$143,3,FALSE)</f>
        <v>6.1042018011303627</v>
      </c>
      <c r="AP105" s="3535">
        <f>'All - MECs'!AP105*VLOOKUP($B$14,'Annual Parameters'!$B$33:$W$143,3,FALSE)/VLOOKUP('All - MECs'!$B$14,'Annual Parameters'!$B$33:$W$143,3,FALSE)</f>
        <v>6.1042018011303627</v>
      </c>
      <c r="AQ105" s="3533">
        <f>'All - MECs'!AQ105*VLOOKUP($B$14,'Annual Parameters'!$B$33:$W$143,3,FALSE)/VLOOKUP('All - MECs'!$B$14,'Annual Parameters'!$B$33:$W$143,3,FALSE)</f>
        <v>6.1042018011303627</v>
      </c>
      <c r="AR105" s="3535">
        <f>'All - MECs'!AR105*VLOOKUP($B$14,'Annual Parameters'!$B$33:$W$143,3,FALSE)/VLOOKUP('All - MECs'!$B$14,'Annual Parameters'!$B$33:$W$143,3,FALSE)</f>
        <v>0.57226891885597153</v>
      </c>
      <c r="AS105" s="3536">
        <f>'All - MECs'!AS105*VLOOKUP($B$14,'Annual Parameters'!$B$33:$W$143,3,FALSE)/VLOOKUP('All - MECs'!$B$14,'Annual Parameters'!$B$33:$W$143,3,FALSE)</f>
        <v>6.485714413701011</v>
      </c>
      <c r="AT105" s="3533">
        <f>'All - MECs'!AT105*VLOOKUP($B$14,'Annual Parameters'!$B$33:$W$143,3,FALSE)/VLOOKUP('All - MECs'!$B$14,'Annual Parameters'!$B$33:$W$143,3,FALSE)</f>
        <v>6.485714413701011</v>
      </c>
      <c r="AU105" s="3502">
        <f>'All - MECs'!AU105*VLOOKUP($B$14,'Annual Parameters'!$B$33:$W$143,3,FALSE)/VLOOKUP('All - MECs'!$B$14,'Annual Parameters'!$B$33:$W$143,3,FALSE)</f>
        <v>4.5805447159060764</v>
      </c>
      <c r="AV105" s="3544"/>
      <c r="AW105" s="3521" t="s">
        <v>477</v>
      </c>
      <c r="AX105" s="3522"/>
      <c r="AY105" s="3530" t="s">
        <v>1096</v>
      </c>
      <c r="AZ105" s="3531">
        <f>'All - MECs'!AZ105*VLOOKUP($B$14,'Annual Parameters'!$B$33:$W$143,3,FALSE)/VLOOKUP('All - MECs'!$B$14,'Annual Parameters'!$B$33:$W$143,3,FALSE)</f>
        <v>0.57226891885597153</v>
      </c>
      <c r="BA105" s="3532">
        <f>'All - MECs'!BA105*VLOOKUP($B$14,'Annual Parameters'!$B$33:$W$143,3,FALSE)/VLOOKUP('All - MECs'!$B$14,'Annual Parameters'!$B$33:$W$143,3,FALSE)</f>
        <v>6.1042018011303627</v>
      </c>
      <c r="BB105" s="3533">
        <f>'All - MECs'!BB105*VLOOKUP($B$14,'Annual Parameters'!$B$33:$W$143,3,FALSE)/VLOOKUP('All - MECs'!$B$14,'Annual Parameters'!$B$33:$W$143,3,FALSE)</f>
        <v>6.1042018011303627</v>
      </c>
      <c r="BC105" s="3531">
        <f>'All - MECs'!BC105*VLOOKUP($B$14,'Annual Parameters'!$B$33:$W$143,3,FALSE)/VLOOKUP('All - MECs'!$B$14,'Annual Parameters'!$B$33:$W$143,3,FALSE)</f>
        <v>0.57226891885597153</v>
      </c>
      <c r="BD105" s="3532">
        <f>'All - MECs'!BD105*VLOOKUP($B$14,'Annual Parameters'!$B$33:$W$143,3,FALSE)/VLOOKUP('All - MECs'!$B$14,'Annual Parameters'!$B$33:$W$143,3,FALSE)</f>
        <v>6.1042018011303627</v>
      </c>
      <c r="BE105" s="3534">
        <f>'All - MECs'!BE105*VLOOKUP($B$14,'Annual Parameters'!$B$33:$W$143,3,FALSE)/VLOOKUP('All - MECs'!$B$14,'Annual Parameters'!$B$33:$W$143,3,FALSE)</f>
        <v>6.1042018011303627</v>
      </c>
      <c r="BF105" s="3535">
        <f>'All - MECs'!BF105*VLOOKUP($B$14,'Annual Parameters'!$B$33:$W$143,3,FALSE)/VLOOKUP('All - MECs'!$B$14,'Annual Parameters'!$B$33:$W$143,3,FALSE)</f>
        <v>6.1042018011303627</v>
      </c>
      <c r="BG105" s="3533">
        <f>'All - MECs'!BG105*VLOOKUP($B$14,'Annual Parameters'!$B$33:$W$143,3,FALSE)/VLOOKUP('All - MECs'!$B$14,'Annual Parameters'!$B$33:$W$143,3,FALSE)</f>
        <v>6.1042018011303627</v>
      </c>
      <c r="BH105" s="3535">
        <f>'All - MECs'!BH105*VLOOKUP($B$14,'Annual Parameters'!$B$33:$W$143,3,FALSE)/VLOOKUP('All - MECs'!$B$14,'Annual Parameters'!$B$33:$W$143,3,FALSE)</f>
        <v>0.57226891885597153</v>
      </c>
      <c r="BI105" s="3536">
        <f>'All - MECs'!BI105*VLOOKUP($B$14,'Annual Parameters'!$B$33:$W$143,3,FALSE)/VLOOKUP('All - MECs'!$B$14,'Annual Parameters'!$B$33:$W$143,3,FALSE)</f>
        <v>6.485714413701011</v>
      </c>
      <c r="BJ105" s="3533">
        <f>'All - MECs'!BJ105*VLOOKUP($B$14,'Annual Parameters'!$B$33:$W$143,3,FALSE)/VLOOKUP('All - MECs'!$B$14,'Annual Parameters'!$B$33:$W$143,3,FALSE)</f>
        <v>6.485714413701011</v>
      </c>
      <c r="BK105" s="3502">
        <f>'All - MECs'!BK105*VLOOKUP($B$14,'Annual Parameters'!$B$33:$W$143,3,FALSE)/VLOOKUP('All - MECs'!$B$14,'Annual Parameters'!$B$33:$W$143,3,FALSE)</f>
        <v>3.1639159918185005</v>
      </c>
      <c r="BL105" s="3544"/>
      <c r="BM105" s="3521" t="s">
        <v>477</v>
      </c>
      <c r="BN105" s="3522"/>
      <c r="BO105" s="3530" t="s">
        <v>1096</v>
      </c>
      <c r="BP105" s="3531">
        <f>'All - MECs'!BP105*VLOOKUP($B$14,'Annual Parameters'!$B$33:$W$143,3,FALSE)/VLOOKUP('All - MECs'!$B$14,'Annual Parameters'!$B$33:$W$143,3,FALSE)</f>
        <v>0</v>
      </c>
      <c r="BQ105" s="3532">
        <f>'All - MECs'!BQ105*VLOOKUP($B$14,'Annual Parameters'!$B$33:$W$143,3,FALSE)/VLOOKUP('All - MECs'!$B$14,'Annual Parameters'!$B$33:$W$143,3,FALSE)</f>
        <v>0</v>
      </c>
      <c r="BR105" s="3533">
        <f>'All - MECs'!BR105*VLOOKUP($B$14,'Annual Parameters'!$B$33:$W$143,3,FALSE)/VLOOKUP('All - MECs'!$B$14,'Annual Parameters'!$B$33:$W$143,3,FALSE)</f>
        <v>0</v>
      </c>
      <c r="BS105" s="3531">
        <f>'All - MECs'!BS105*VLOOKUP($B$14,'Annual Parameters'!$B$33:$W$143,3,FALSE)/VLOOKUP('All - MECs'!$B$14,'Annual Parameters'!$B$33:$W$143,3,FALSE)</f>
        <v>0</v>
      </c>
      <c r="BT105" s="3532">
        <f>'All - MECs'!BT105*VLOOKUP($B$14,'Annual Parameters'!$B$33:$W$143,3,FALSE)/VLOOKUP('All - MECs'!$B$14,'Annual Parameters'!$B$33:$W$143,3,FALSE)</f>
        <v>0</v>
      </c>
      <c r="BU105" s="3534">
        <f>'All - MECs'!BU105*VLOOKUP($B$14,'Annual Parameters'!$B$33:$W$143,3,FALSE)/VLOOKUP('All - MECs'!$B$14,'Annual Parameters'!$B$33:$W$143,3,FALSE)</f>
        <v>0</v>
      </c>
      <c r="BV105" s="3535">
        <f>'All - MECs'!BV105*VLOOKUP($B$14,'Annual Parameters'!$B$33:$W$143,3,FALSE)/VLOOKUP('All - MECs'!$B$14,'Annual Parameters'!$B$33:$W$143,3,FALSE)</f>
        <v>0</v>
      </c>
      <c r="BW105" s="3533">
        <f>'All - MECs'!BW105*VLOOKUP($B$14,'Annual Parameters'!$B$33:$W$143,3,FALSE)/VLOOKUP('All - MECs'!$B$14,'Annual Parameters'!$B$33:$W$143,3,FALSE)</f>
        <v>0</v>
      </c>
      <c r="BX105" s="3535">
        <f>'All - MECs'!BX105*VLOOKUP($B$14,'Annual Parameters'!$B$33:$W$143,3,FALSE)/VLOOKUP('All - MECs'!$B$14,'Annual Parameters'!$B$33:$W$143,3,FALSE)</f>
        <v>0</v>
      </c>
      <c r="BY105" s="3536">
        <f>'All - MECs'!BY105*VLOOKUP($B$14,'Annual Parameters'!$B$33:$W$143,3,FALSE)/VLOOKUP('All - MECs'!$B$14,'Annual Parameters'!$B$33:$W$143,3,FALSE)</f>
        <v>0</v>
      </c>
      <c r="BZ105" s="3533">
        <f>'All - MECs'!BZ105*VLOOKUP($B$14,'Annual Parameters'!$B$33:$W$143,3,FALSE)/VLOOKUP('All - MECs'!$B$14,'Annual Parameters'!$B$33:$W$143,3,FALSE)</f>
        <v>0</v>
      </c>
      <c r="CA105" s="3502">
        <f>'All - MECs'!CA105*VLOOKUP($B$14,'Annual Parameters'!$B$33:$W$143,3,FALSE)/VLOOKUP('All - MECs'!$B$14,'Annual Parameters'!$B$33:$W$143,3,FALSE)</f>
        <v>0</v>
      </c>
    </row>
    <row r="106" spans="1:79" ht="13.5" customHeight="1">
      <c r="A106" s="3521" t="s">
        <v>1097</v>
      </c>
      <c r="B106" s="3522"/>
      <c r="C106" s="3530" t="s">
        <v>1096</v>
      </c>
      <c r="D106" s="3535">
        <f>'All - MECs'!D106*VLOOKUP($B$14,'Annual Parameters'!$B$33:$W$143,3,FALSE)/VLOOKUP('All - MECs'!$B$14,'Annual Parameters'!$B$33:$W$143,3,FALSE)</f>
        <v>0.40400030298270212</v>
      </c>
      <c r="E106" s="3532">
        <f>'All - MECs'!E106*VLOOKUP($B$14,'Annual Parameters'!$B$33:$W$143,3,FALSE)/VLOOKUP('All - MECs'!$B$14,'Annual Parameters'!$B$33:$W$143,3,FALSE)</f>
        <v>0.44355350821551398</v>
      </c>
      <c r="F106" s="3537">
        <f>'All - MECs'!F106*VLOOKUP($B$14,'Annual Parameters'!$B$33:$W$143,3,FALSE)/VLOOKUP('All - MECs'!$B$14,'Annual Parameters'!$B$33:$W$143,3,FALSE)</f>
        <v>0.56291816249985482</v>
      </c>
      <c r="G106" s="3531">
        <f>'All - MECs'!G106*VLOOKUP($B$14,'Annual Parameters'!$B$33:$W$143,3,FALSE)/VLOOKUP('All - MECs'!$B$14,'Annual Parameters'!$B$33:$W$143,3,FALSE)</f>
        <v>0.1691819041158153</v>
      </c>
      <c r="H106" s="3532">
        <f>'All - MECs'!H106*VLOOKUP($B$14,'Annual Parameters'!$B$33:$W$143,3,FALSE)/VLOOKUP('All - MECs'!$B$14,'Annual Parameters'!$B$33:$W$143,3,FALSE)</f>
        <v>0.15219420691227015</v>
      </c>
      <c r="I106" s="3537">
        <f>'All - MECs'!I106*VLOOKUP($B$14,'Annual Parameters'!$B$33:$W$143,3,FALSE)/VLOOKUP('All - MECs'!$B$14,'Annual Parameters'!$B$33:$W$143,3,FALSE)</f>
        <v>0.16372134163602386</v>
      </c>
      <c r="J106" s="3531">
        <f>'All - MECs'!J106*VLOOKUP($B$14,'Annual Parameters'!$B$33:$W$143,3,FALSE)/VLOOKUP('All - MECs'!$B$14,'Annual Parameters'!$B$33:$W$143,3,FALSE)</f>
        <v>0.10806959531358284</v>
      </c>
      <c r="K106" s="3537">
        <f>'All - MECs'!K106*VLOOKUP($B$14,'Annual Parameters'!$B$33:$W$143,3,FALSE)/VLOOKUP('All - MECs'!$B$14,'Annual Parameters'!$B$33:$W$143,3,FALSE)</f>
        <v>0.11563715101856691</v>
      </c>
      <c r="L106" s="3531">
        <f>'All - MECs'!L106*VLOOKUP($B$14,'Annual Parameters'!$B$33:$W$143,3,FALSE)/VLOOKUP('All - MECs'!$B$14,'Annual Parameters'!$B$33:$W$143,3,FALSE)</f>
        <v>5.1133181593534388E-2</v>
      </c>
      <c r="M106" s="3538">
        <f>'All - MECs'!M106*VLOOKUP($B$14,'Annual Parameters'!$B$33:$W$143,3,FALSE)/VLOOKUP('All - MECs'!$B$14,'Annual Parameters'!$B$33:$W$143,3,FALSE)</f>
        <v>4.2132608592964881E-2</v>
      </c>
      <c r="N106" s="3534">
        <f>'All - MECs'!N106*VLOOKUP($B$14,'Annual Parameters'!$B$33:$W$143,3,FALSE)/VLOOKUP('All - MECs'!$B$14,'Annual Parameters'!$B$33:$W$143,3,FALSE)</f>
        <v>3.7571759986381216E-2</v>
      </c>
      <c r="O106" s="3539">
        <f>'All - MECs'!O106*VLOOKUP($B$14,'Annual Parameters'!$B$33:$W$143,3,FALSE)/VLOOKUP('All - MECs'!$B$14,'Annual Parameters'!$B$33:$W$143,3,FALSE)</f>
        <v>0.10943365810031398</v>
      </c>
      <c r="P106" s="3544"/>
      <c r="Q106" s="3521" t="s">
        <v>1097</v>
      </c>
      <c r="R106" s="3522"/>
      <c r="S106" s="3530" t="s">
        <v>1096</v>
      </c>
      <c r="T106" s="3535">
        <f>'All - MECs'!T106*VLOOKUP($B$14,'Annual Parameters'!$B$33:$W$143,3,FALSE)/VLOOKUP('All - MECs'!$B$14,'Annual Parameters'!$B$33:$W$143,3,FALSE)</f>
        <v>0.6159221979122067</v>
      </c>
      <c r="U106" s="3532">
        <f>'All - MECs'!U106*VLOOKUP($B$14,'Annual Parameters'!$B$33:$W$143,3,FALSE)/VLOOKUP('All - MECs'!$B$14,'Annual Parameters'!$B$33:$W$143,3,FALSE)</f>
        <v>0.6562843848350155</v>
      </c>
      <c r="V106" s="3537">
        <f>'All - MECs'!V106*VLOOKUP($B$14,'Annual Parameters'!$B$33:$W$143,3,FALSE)/VLOOKUP('All - MECs'!$B$14,'Annual Parameters'!$B$33:$W$143,3,FALSE)</f>
        <v>0.81682705678600021</v>
      </c>
      <c r="W106" s="3531">
        <f>'All - MECs'!W106*VLOOKUP($B$14,'Annual Parameters'!$B$33:$W$143,3,FALSE)/VLOOKUP('All - MECs'!$B$14,'Annual Parameters'!$B$33:$W$143,3,FALSE)</f>
        <v>0.2595816479993498</v>
      </c>
      <c r="X106" s="3532">
        <f>'All - MECs'!X106*VLOOKUP($B$14,'Annual Parameters'!$B$33:$W$143,3,FALSE)/VLOOKUP('All - MECs'!$B$14,'Annual Parameters'!$B$33:$W$143,3,FALSE)</f>
        <v>0.2197369771747946</v>
      </c>
      <c r="Y106" s="3537">
        <f>'All - MECs'!Y106*VLOOKUP($B$14,'Annual Parameters'!$B$33:$W$143,3,FALSE)/VLOOKUP('All - MECs'!$B$14,'Annual Parameters'!$B$33:$W$143,3,FALSE)</f>
        <v>0.2333097577484094</v>
      </c>
      <c r="Z106" s="3531">
        <f>'All - MECs'!Z106*VLOOKUP($B$14,'Annual Parameters'!$B$33:$W$143,3,FALSE)/VLOOKUP('All - MECs'!$B$14,'Annual Parameters'!$B$33:$W$143,3,FALSE)</f>
        <v>0.15914698430903795</v>
      </c>
      <c r="AA106" s="3537">
        <f>'All - MECs'!AA106*VLOOKUP($B$14,'Annual Parameters'!$B$33:$W$143,3,FALSE)/VLOOKUP('All - MECs'!$B$14,'Annual Parameters'!$B$33:$W$143,3,FALSE)</f>
        <v>0.16566879257184614</v>
      </c>
      <c r="AB106" s="3531">
        <f>'All - MECs'!AB106*VLOOKUP($B$14,'Annual Parameters'!$B$33:$W$143,3,FALSE)/VLOOKUP('All - MECs'!$B$14,'Annual Parameters'!$B$33:$W$143,3,FALSE)</f>
        <v>7.9047841298650362E-2</v>
      </c>
      <c r="AC106" s="3538">
        <f>'All - MECs'!AC106*VLOOKUP($B$14,'Annual Parameters'!$B$33:$W$143,3,FALSE)/VLOOKUP('All - MECs'!$B$14,'Annual Parameters'!$B$33:$W$143,3,FALSE)</f>
        <v>6.7426821739898585E-2</v>
      </c>
      <c r="AD106" s="3534">
        <f>'All - MECs'!AD106*VLOOKUP($B$14,'Annual Parameters'!$B$33:$W$143,3,FALSE)/VLOOKUP('All - MECs'!$B$14,'Annual Parameters'!$B$33:$W$143,3,FALSE)</f>
        <v>5.2182067964903697E-2</v>
      </c>
      <c r="AE106" s="3539">
        <f>'All - MECs'!AE106*VLOOKUP($B$14,'Annual Parameters'!$B$33:$W$143,3,FALSE)/VLOOKUP('All - MECs'!$B$14,'Annual Parameters'!$B$33:$W$143,3,FALSE)</f>
        <v>0.16073210001739671</v>
      </c>
      <c r="AF106" s="3544"/>
      <c r="AG106" s="3521" t="s">
        <v>1097</v>
      </c>
      <c r="AH106" s="3522"/>
      <c r="AI106" s="3530" t="s">
        <v>1096</v>
      </c>
      <c r="AJ106" s="3535">
        <f>'All - MECs'!AJ106*VLOOKUP($B$14,'Annual Parameters'!$B$33:$W$143,3,FALSE)/VLOOKUP('All - MECs'!$B$14,'Annual Parameters'!$B$33:$W$143,3,FALSE)</f>
        <v>1.3264980234447079</v>
      </c>
      <c r="AK106" s="3532">
        <f>'All - MECs'!AK106*VLOOKUP($B$14,'Annual Parameters'!$B$33:$W$143,3,FALSE)/VLOOKUP('All - MECs'!$B$14,'Annual Parameters'!$B$33:$W$143,3,FALSE)</f>
        <v>2.25970341326616</v>
      </c>
      <c r="AL106" s="3537">
        <f>'All - MECs'!AL106*VLOOKUP($B$14,'Annual Parameters'!$B$33:$W$143,3,FALSE)/VLOOKUP('All - MECs'!$B$14,'Annual Parameters'!$B$33:$W$143,3,FALSE)</f>
        <v>2.7873644595643321</v>
      </c>
      <c r="AM106" s="3531">
        <f>'All - MECs'!AM106*VLOOKUP($B$14,'Annual Parameters'!$B$33:$W$143,3,FALSE)/VLOOKUP('All - MECs'!$B$14,'Annual Parameters'!$B$33:$W$143,3,FALSE)</f>
        <v>0.60060898821339237</v>
      </c>
      <c r="AN106" s="3532">
        <f>'All - MECs'!AN106*VLOOKUP($B$14,'Annual Parameters'!$B$33:$W$143,3,FALSE)/VLOOKUP('All - MECs'!$B$14,'Annual Parameters'!$B$33:$W$143,3,FALSE)</f>
        <v>0.72618245628056133</v>
      </c>
      <c r="AO106" s="3537">
        <f>'All - MECs'!AO106*VLOOKUP($B$14,'Annual Parameters'!$B$33:$W$143,3,FALSE)/VLOOKUP('All - MECs'!$B$14,'Annual Parameters'!$B$33:$W$143,3,FALSE)</f>
        <v>0.84097702174670175</v>
      </c>
      <c r="AP106" s="3531">
        <f>'All - MECs'!AP106*VLOOKUP($B$14,'Annual Parameters'!$B$33:$W$143,3,FALSE)/VLOOKUP('All - MECs'!$B$14,'Annual Parameters'!$B$33:$W$143,3,FALSE)</f>
        <v>0.49767730767174906</v>
      </c>
      <c r="AQ106" s="3537">
        <f>'All - MECs'!AQ106*VLOOKUP($B$14,'Annual Parameters'!$B$33:$W$143,3,FALSE)/VLOOKUP('All - MECs'!$B$14,'Annual Parameters'!$B$33:$W$143,3,FALSE)</f>
        <v>0.58925050406836399</v>
      </c>
      <c r="AR106" s="3531">
        <f>'All - MECs'!AR106*VLOOKUP($B$14,'Annual Parameters'!$B$33:$W$143,3,FALSE)/VLOOKUP('All - MECs'!$B$14,'Annual Parameters'!$B$33:$W$143,3,FALSE)</f>
        <v>0.17545191488758013</v>
      </c>
      <c r="AS106" s="3538">
        <f>'All - MECs'!AS106*VLOOKUP($B$14,'Annual Parameters'!$B$33:$W$143,3,FALSE)/VLOOKUP('All - MECs'!$B$14,'Annual Parameters'!$B$33:$W$143,3,FALSE)</f>
        <v>0.16759343603144319</v>
      </c>
      <c r="AT106" s="3534">
        <f>'All - MECs'!AT106*VLOOKUP($B$14,'Annual Parameters'!$B$33:$W$143,3,FALSE)/VLOOKUP('All - MECs'!$B$14,'Annual Parameters'!$B$33:$W$143,3,FALSE)</f>
        <v>0.14333499669508984</v>
      </c>
      <c r="AU106" s="3539">
        <f>'All - MECs'!AU106*VLOOKUP($B$14,'Annual Parameters'!$B$33:$W$143,3,FALSE)/VLOOKUP('All - MECs'!$B$14,'Annual Parameters'!$B$33:$W$143,3,FALSE)</f>
        <v>0.41414611037001586</v>
      </c>
      <c r="AV106" s="3544"/>
      <c r="AW106" s="3521" t="s">
        <v>1097</v>
      </c>
      <c r="AX106" s="3522"/>
      <c r="AY106" s="3530" t="s">
        <v>1096</v>
      </c>
      <c r="AZ106" s="3535">
        <f>'All - MECs'!AZ106*VLOOKUP($B$14,'Annual Parameters'!$B$33:$W$143,3,FALSE)/VLOOKUP('All - MECs'!$B$14,'Annual Parameters'!$B$33:$W$143,3,FALSE)</f>
        <v>2.304173732047885</v>
      </c>
      <c r="BA106" s="3532">
        <f>'All - MECs'!BA106*VLOOKUP($B$14,'Annual Parameters'!$B$33:$W$143,3,FALSE)/VLOOKUP('All - MECs'!$B$14,'Annual Parameters'!$B$33:$W$143,3,FALSE)</f>
        <v>3.8965705743388184</v>
      </c>
      <c r="BB106" s="3537">
        <f>'All - MECs'!BB106*VLOOKUP($B$14,'Annual Parameters'!$B$33:$W$143,3,FALSE)/VLOOKUP('All - MECs'!$B$14,'Annual Parameters'!$B$33:$W$143,3,FALSE)</f>
        <v>5.4767336195155147</v>
      </c>
      <c r="BC106" s="3531">
        <f>'All - MECs'!BC106*VLOOKUP($B$14,'Annual Parameters'!$B$33:$W$143,3,FALSE)/VLOOKUP('All - MECs'!$B$14,'Annual Parameters'!$B$33:$W$143,3,FALSE)</f>
        <v>1.0178251657432207</v>
      </c>
      <c r="BD106" s="3532">
        <f>'All - MECs'!BD106*VLOOKUP($B$14,'Annual Parameters'!$B$33:$W$143,3,FALSE)/VLOOKUP('All - MECs'!$B$14,'Annual Parameters'!$B$33:$W$143,3,FALSE)</f>
        <v>1.2233152453045724</v>
      </c>
      <c r="BE106" s="3537">
        <f>'All - MECs'!BE106*VLOOKUP($B$14,'Annual Parameters'!$B$33:$W$143,3,FALSE)/VLOOKUP('All - MECs'!$B$14,'Annual Parameters'!$B$33:$W$143,3,FALSE)</f>
        <v>1.5885702005792772</v>
      </c>
      <c r="BF106" s="3531">
        <f>'All - MECs'!BF106*VLOOKUP($B$14,'Annual Parameters'!$B$33:$W$143,3,FALSE)/VLOOKUP('All - MECs'!$B$14,'Annual Parameters'!$B$33:$W$143,3,FALSE)</f>
        <v>0.9243698365818066</v>
      </c>
      <c r="BG106" s="3537">
        <f>'All - MECs'!BG106*VLOOKUP($B$14,'Annual Parameters'!$B$33:$W$143,3,FALSE)/VLOOKUP('All - MECs'!$B$14,'Annual Parameters'!$B$33:$W$143,3,FALSE)</f>
        <v>1.1344619048840816</v>
      </c>
      <c r="BH106" s="3531">
        <f>'All - MECs'!BH106*VLOOKUP($B$14,'Annual Parameters'!$B$33:$W$143,3,FALSE)/VLOOKUP('All - MECs'!$B$14,'Annual Parameters'!$B$33:$W$143,3,FALSE)</f>
        <v>0.30520462946238269</v>
      </c>
      <c r="BI106" s="3538">
        <f>'All - MECs'!BI106*VLOOKUP($B$14,'Annual Parameters'!$B$33:$W$143,3,FALSE)/VLOOKUP('All - MECs'!$B$14,'Annual Parameters'!$B$33:$W$143,3,FALSE)</f>
        <v>0.29633670404320189</v>
      </c>
      <c r="BJ106" s="3534">
        <f>'All - MECs'!BJ106*VLOOKUP($B$14,'Annual Parameters'!$B$33:$W$143,3,FALSE)/VLOOKUP('All - MECs'!$B$14,'Annual Parameters'!$B$33:$W$143,3,FALSE)</f>
        <v>0.25688379024724028</v>
      </c>
      <c r="BK106" s="3539">
        <f>'All - MECs'!BK106*VLOOKUP($B$14,'Annual Parameters'!$B$33:$W$143,3,FALSE)/VLOOKUP('All - MECs'!$B$14,'Annual Parameters'!$B$33:$W$143,3,FALSE)</f>
        <v>0.53791255595814635</v>
      </c>
      <c r="BL106" s="3544"/>
      <c r="BM106" s="3521" t="s">
        <v>1097</v>
      </c>
      <c r="BN106" s="3522"/>
      <c r="BO106" s="3530" t="s">
        <v>1096</v>
      </c>
      <c r="BP106" s="3535">
        <f>'All - MECs'!BP106*VLOOKUP($B$14,'Annual Parameters'!$B$33:$W$143,3,FALSE)/VLOOKUP('All - MECs'!$B$14,'Annual Parameters'!$B$33:$W$143,3,FALSE)</f>
        <v>2.0533771169897448</v>
      </c>
      <c r="BQ106" s="3532">
        <f>'All - MECs'!BQ106*VLOOKUP($B$14,'Annual Parameters'!$B$33:$W$143,3,FALSE)/VLOOKUP('All - MECs'!$B$14,'Annual Parameters'!$B$33:$W$143,3,FALSE)</f>
        <v>3.9269535149823964</v>
      </c>
      <c r="BR106" s="3537">
        <f>'All - MECs'!BR106*VLOOKUP($B$14,'Annual Parameters'!$B$33:$W$143,3,FALSE)/VLOOKUP('All - MECs'!$B$14,'Annual Parameters'!$B$33:$W$143,3,FALSE)</f>
        <v>4.4814004756082335</v>
      </c>
      <c r="BS106" s="3531">
        <f>'All - MECs'!BS106*VLOOKUP($B$14,'Annual Parameters'!$B$33:$W$143,3,FALSE)/VLOOKUP('All - MECs'!$B$14,'Annual Parameters'!$B$33:$W$143,3,FALSE)</f>
        <v>1.0037523750434776</v>
      </c>
      <c r="BT106" s="3532">
        <f>'All - MECs'!BT106*VLOOKUP($B$14,'Annual Parameters'!$B$33:$W$143,3,FALSE)/VLOOKUP('All - MECs'!$B$14,'Annual Parameters'!$B$33:$W$143,3,FALSE)</f>
        <v>1.3478525947823226</v>
      </c>
      <c r="BU106" s="3537">
        <f>'All - MECs'!BU106*VLOOKUP($B$14,'Annual Parameters'!$B$33:$W$143,3,FALSE)/VLOOKUP('All - MECs'!$B$14,'Annual Parameters'!$B$33:$W$143,3,FALSE)</f>
        <v>1.5140159339640267</v>
      </c>
      <c r="BV106" s="3531">
        <f>'All - MECs'!BV106*VLOOKUP($B$14,'Annual Parameters'!$B$33:$W$143,3,FALSE)/VLOOKUP('All - MECs'!$B$14,'Annual Parameters'!$B$33:$W$143,3,FALSE)</f>
        <v>0.73952379364865128</v>
      </c>
      <c r="BW106" s="3537">
        <f>'All - MECs'!BW106*VLOOKUP($B$14,'Annual Parameters'!$B$33:$W$143,3,FALSE)/VLOOKUP('All - MECs'!$B$14,'Annual Parameters'!$B$33:$W$143,3,FALSE)</f>
        <v>0.95864259091795001</v>
      </c>
      <c r="BX106" s="3531">
        <f>'All - MECs'!BX106*VLOOKUP($B$14,'Annual Parameters'!$B$33:$W$143,3,FALSE)/VLOOKUP('All - MECs'!$B$14,'Annual Parameters'!$B$33:$W$143,3,FALSE)</f>
        <v>0.27281040465777739</v>
      </c>
      <c r="BY106" s="3538">
        <f>'All - MECs'!BY106*VLOOKUP($B$14,'Annual Parameters'!$B$33:$W$143,3,FALSE)/VLOOKUP('All - MECs'!$B$14,'Annual Parameters'!$B$33:$W$143,3,FALSE)</f>
        <v>0.22488455019562414</v>
      </c>
      <c r="BZ106" s="3534">
        <f>'All - MECs'!BZ106*VLOOKUP($B$14,'Annual Parameters'!$B$33:$W$143,3,FALSE)/VLOOKUP('All - MECs'!$B$14,'Annual Parameters'!$B$33:$W$143,3,FALSE)</f>
        <v>0.20301593862731557</v>
      </c>
      <c r="CA106" s="3539">
        <f>'All - MECs'!CA106*VLOOKUP($B$14,'Annual Parameters'!$B$33:$W$143,3,FALSE)/VLOOKUP('All - MECs'!$B$14,'Annual Parameters'!$B$33:$W$143,3,FALSE)</f>
        <v>1.1761325740073798</v>
      </c>
    </row>
    <row r="107" spans="1:79" ht="13.5" customHeight="1">
      <c r="A107" s="3521" t="s">
        <v>1074</v>
      </c>
      <c r="B107" s="3522"/>
      <c r="C107" s="3530" t="s">
        <v>1096</v>
      </c>
      <c r="D107" s="3531">
        <f>'All - MECs'!D107*VLOOKUP($B$14,'Annual Parameters'!$B$33:$W$143,3,FALSE)/VLOOKUP('All - MECs'!$B$14,'Annual Parameters'!$B$33:$W$143,3,FALSE)</f>
        <v>0.38151261257064767</v>
      </c>
      <c r="E107" s="3532">
        <f>'All - MECs'!E107*VLOOKUP($B$14,'Annual Parameters'!$B$33:$W$143,3,FALSE)/VLOOKUP('All - MECs'!$B$14,'Annual Parameters'!$B$33:$W$143,3,FALSE)</f>
        <v>0.38151261257064767</v>
      </c>
      <c r="F107" s="3534">
        <f>'All - MECs'!F107*VLOOKUP($B$14,'Annual Parameters'!$B$33:$W$143,3,FALSE)/VLOOKUP('All - MECs'!$B$14,'Annual Parameters'!$B$33:$W$143,3,FALSE)</f>
        <v>0.38151261257064767</v>
      </c>
      <c r="G107" s="3531">
        <f>'All - MECs'!G107*VLOOKUP($B$14,'Annual Parameters'!$B$33:$W$143,3,FALSE)/VLOOKUP('All - MECs'!$B$14,'Annual Parameters'!$B$33:$W$143,3,FALSE)</f>
        <v>0.38151261257064767</v>
      </c>
      <c r="H107" s="3532">
        <f>'All - MECs'!H107*VLOOKUP($B$14,'Annual Parameters'!$B$33:$W$143,3,FALSE)/VLOOKUP('All - MECs'!$B$14,'Annual Parameters'!$B$33:$W$143,3,FALSE)</f>
        <v>0.38151261257064767</v>
      </c>
      <c r="I107" s="3534">
        <f>'All - MECs'!I107*VLOOKUP($B$14,'Annual Parameters'!$B$33:$W$143,3,FALSE)/VLOOKUP('All - MECs'!$B$14,'Annual Parameters'!$B$33:$W$143,3,FALSE)</f>
        <v>0.38151261257064767</v>
      </c>
      <c r="J107" s="3531">
        <f>'All - MECs'!J107*VLOOKUP($B$14,'Annual Parameters'!$B$33:$W$143,3,FALSE)/VLOOKUP('All - MECs'!$B$14,'Annual Parameters'!$B$33:$W$143,3,FALSE)</f>
        <v>0.38151261257064767</v>
      </c>
      <c r="K107" s="3534">
        <f>'All - MECs'!K107*VLOOKUP($B$14,'Annual Parameters'!$B$33:$W$143,3,FALSE)/VLOOKUP('All - MECs'!$B$14,'Annual Parameters'!$B$33:$W$143,3,FALSE)</f>
        <v>0.38151261257064767</v>
      </c>
      <c r="L107" s="3531">
        <f>'All - MECs'!L107*VLOOKUP($B$14,'Annual Parameters'!$B$33:$W$143,3,FALSE)/VLOOKUP('All - MECs'!$B$14,'Annual Parameters'!$B$33:$W$143,3,FALSE)</f>
        <v>0</v>
      </c>
      <c r="M107" s="3532">
        <f>'All - MECs'!M107*VLOOKUP($B$14,'Annual Parameters'!$B$33:$W$143,3,FALSE)/VLOOKUP('All - MECs'!$B$14,'Annual Parameters'!$B$33:$W$143,3,FALSE)</f>
        <v>0</v>
      </c>
      <c r="N107" s="3534">
        <f>'All - MECs'!N107*VLOOKUP($B$14,'Annual Parameters'!$B$33:$W$143,3,FALSE)/VLOOKUP('All - MECs'!$B$14,'Annual Parameters'!$B$33:$W$143,3,FALSE)</f>
        <v>0.19075630628532383</v>
      </c>
      <c r="O107" s="3540">
        <f>'All - MECs'!O107*VLOOKUP($B$14,'Annual Parameters'!$B$33:$W$143,3,FALSE)/VLOOKUP('All - MECs'!$B$14,'Annual Parameters'!$B$33:$W$143,3,FALSE)</f>
        <v>0.2137996752302132</v>
      </c>
      <c r="P107" s="3544"/>
      <c r="Q107" s="3521" t="s">
        <v>1074</v>
      </c>
      <c r="R107" s="3522"/>
      <c r="S107" s="3530" t="s">
        <v>1096</v>
      </c>
      <c r="T107" s="3531">
        <f>'All - MECs'!T107*VLOOKUP($B$14,'Annual Parameters'!$B$33:$W$143,3,FALSE)/VLOOKUP('All - MECs'!$B$14,'Annual Parameters'!$B$33:$W$143,3,FALSE)</f>
        <v>0.38151261257064767</v>
      </c>
      <c r="U107" s="3532">
        <f>'All - MECs'!U107*VLOOKUP($B$14,'Annual Parameters'!$B$33:$W$143,3,FALSE)/VLOOKUP('All - MECs'!$B$14,'Annual Parameters'!$B$33:$W$143,3,FALSE)</f>
        <v>0.38151261257064767</v>
      </c>
      <c r="V107" s="3534">
        <f>'All - MECs'!V107*VLOOKUP($B$14,'Annual Parameters'!$B$33:$W$143,3,FALSE)/VLOOKUP('All - MECs'!$B$14,'Annual Parameters'!$B$33:$W$143,3,FALSE)</f>
        <v>0.38151261257064767</v>
      </c>
      <c r="W107" s="3531">
        <f>'All - MECs'!W107*VLOOKUP($B$14,'Annual Parameters'!$B$33:$W$143,3,FALSE)/VLOOKUP('All - MECs'!$B$14,'Annual Parameters'!$B$33:$W$143,3,FALSE)</f>
        <v>0.38151261257064767</v>
      </c>
      <c r="X107" s="3532">
        <f>'All - MECs'!X107*VLOOKUP($B$14,'Annual Parameters'!$B$33:$W$143,3,FALSE)/VLOOKUP('All - MECs'!$B$14,'Annual Parameters'!$B$33:$W$143,3,FALSE)</f>
        <v>0.38151261257064767</v>
      </c>
      <c r="Y107" s="3534">
        <f>'All - MECs'!Y107*VLOOKUP($B$14,'Annual Parameters'!$B$33:$W$143,3,FALSE)/VLOOKUP('All - MECs'!$B$14,'Annual Parameters'!$B$33:$W$143,3,FALSE)</f>
        <v>0.38151261257064767</v>
      </c>
      <c r="Z107" s="3531">
        <f>'All - MECs'!Z107*VLOOKUP($B$14,'Annual Parameters'!$B$33:$W$143,3,FALSE)/VLOOKUP('All - MECs'!$B$14,'Annual Parameters'!$B$33:$W$143,3,FALSE)</f>
        <v>0.38151261257064767</v>
      </c>
      <c r="AA107" s="3534">
        <f>'All - MECs'!AA107*VLOOKUP($B$14,'Annual Parameters'!$B$33:$W$143,3,FALSE)/VLOOKUP('All - MECs'!$B$14,'Annual Parameters'!$B$33:$W$143,3,FALSE)</f>
        <v>0.38151261257064767</v>
      </c>
      <c r="AB107" s="3531">
        <f>'All - MECs'!AB107*VLOOKUP($B$14,'Annual Parameters'!$B$33:$W$143,3,FALSE)/VLOOKUP('All - MECs'!$B$14,'Annual Parameters'!$B$33:$W$143,3,FALSE)</f>
        <v>0</v>
      </c>
      <c r="AC107" s="3532">
        <f>'All - MECs'!AC107*VLOOKUP($B$14,'Annual Parameters'!$B$33:$W$143,3,FALSE)/VLOOKUP('All - MECs'!$B$14,'Annual Parameters'!$B$33:$W$143,3,FALSE)</f>
        <v>0</v>
      </c>
      <c r="AD107" s="3534">
        <f>'All - MECs'!AD107*VLOOKUP($B$14,'Annual Parameters'!$B$33:$W$143,3,FALSE)/VLOOKUP('All - MECs'!$B$14,'Annual Parameters'!$B$33:$W$143,3,FALSE)</f>
        <v>0.19075630628532383</v>
      </c>
      <c r="AE107" s="3540">
        <f>'All - MECs'!AE107*VLOOKUP($B$14,'Annual Parameters'!$B$33:$W$143,3,FALSE)/VLOOKUP('All - MECs'!$B$14,'Annual Parameters'!$B$33:$W$143,3,FALSE)</f>
        <v>0.21490320376970154</v>
      </c>
      <c r="AF107" s="3544"/>
      <c r="AG107" s="3521" t="s">
        <v>1074</v>
      </c>
      <c r="AH107" s="3522"/>
      <c r="AI107" s="3530" t="s">
        <v>1096</v>
      </c>
      <c r="AJ107" s="3531">
        <f>'All - MECs'!AJ107*VLOOKUP($B$14,'Annual Parameters'!$B$33:$W$143,3,FALSE)/VLOOKUP('All - MECs'!$B$14,'Annual Parameters'!$B$33:$W$143,3,FALSE)</f>
        <v>9.3470590079808691</v>
      </c>
      <c r="AK107" s="3532">
        <f>'All - MECs'!AK107*VLOOKUP($B$14,'Annual Parameters'!$B$33:$W$143,3,FALSE)/VLOOKUP('All - MECs'!$B$14,'Annual Parameters'!$B$33:$W$143,3,FALSE)</f>
        <v>11.25462207083411</v>
      </c>
      <c r="AL107" s="3534">
        <f>'All - MECs'!AL107*VLOOKUP($B$14,'Annual Parameters'!$B$33:$W$143,3,FALSE)/VLOOKUP('All - MECs'!$B$14,'Annual Parameters'!$B$33:$W$143,3,FALSE)</f>
        <v>13.54369774625799</v>
      </c>
      <c r="AM107" s="3531">
        <f>'All - MECs'!AM107*VLOOKUP($B$14,'Annual Parameters'!$B$33:$W$143,3,FALSE)/VLOOKUP('All - MECs'!$B$14,'Annual Parameters'!$B$33:$W$143,3,FALSE)</f>
        <v>9.7285716205515147</v>
      </c>
      <c r="AN107" s="3532">
        <f>'All - MECs'!AN107*VLOOKUP($B$14,'Annual Parameters'!$B$33:$W$143,3,FALSE)/VLOOKUP('All - MECs'!$B$14,'Annual Parameters'!$B$33:$W$143,3,FALSE)</f>
        <v>9.5378153142661919</v>
      </c>
      <c r="AO107" s="3534">
        <f>'All - MECs'!AO107*VLOOKUP($B$14,'Annual Parameters'!$B$33:$W$143,3,FALSE)/VLOOKUP('All - MECs'!$B$14,'Annual Parameters'!$B$33:$W$143,3,FALSE)</f>
        <v>9.5378153142661919</v>
      </c>
      <c r="AP107" s="3531">
        <f>'All - MECs'!AP107*VLOOKUP($B$14,'Annual Parameters'!$B$33:$W$143,3,FALSE)/VLOOKUP('All - MECs'!$B$14,'Annual Parameters'!$B$33:$W$143,3,FALSE)</f>
        <v>8.3932774765542497</v>
      </c>
      <c r="AQ107" s="3534">
        <f>'All - MECs'!AQ107*VLOOKUP($B$14,'Annual Parameters'!$B$33:$W$143,3,FALSE)/VLOOKUP('All - MECs'!$B$14,'Annual Parameters'!$B$33:$W$143,3,FALSE)</f>
        <v>8.3932774765542497</v>
      </c>
      <c r="AR107" s="3531">
        <f>'All - MECs'!AR107*VLOOKUP($B$14,'Annual Parameters'!$B$33:$W$143,3,FALSE)/VLOOKUP('All - MECs'!$B$14,'Annual Parameters'!$B$33:$W$143,3,FALSE)</f>
        <v>1.7168067565679144</v>
      </c>
      <c r="AS107" s="3532">
        <f>'All - MECs'!AS107*VLOOKUP($B$14,'Annual Parameters'!$B$33:$W$143,3,FALSE)/VLOOKUP('All - MECs'!$B$14,'Annual Parameters'!$B$33:$W$143,3,FALSE)</f>
        <v>1.7168067565679144</v>
      </c>
      <c r="AT107" s="3534">
        <f>'All - MECs'!AT107*VLOOKUP($B$14,'Annual Parameters'!$B$33:$W$143,3,FALSE)/VLOOKUP('All - MECs'!$B$14,'Annual Parameters'!$B$33:$W$143,3,FALSE)</f>
        <v>2.0983193691385624</v>
      </c>
      <c r="AU107" s="3540">
        <f>'All - MECs'!AU107*VLOOKUP($B$14,'Annual Parameters'!$B$33:$W$143,3,FALSE)/VLOOKUP('All - MECs'!$B$14,'Annual Parameters'!$B$33:$W$143,3,FALSE)</f>
        <v>4.6194309732960859</v>
      </c>
      <c r="AV107" s="3544"/>
      <c r="AW107" s="3521" t="s">
        <v>1074</v>
      </c>
      <c r="AX107" s="3522"/>
      <c r="AY107" s="3530" t="s">
        <v>1096</v>
      </c>
      <c r="AZ107" s="3531">
        <f>'All - MECs'!AZ107*VLOOKUP($B$14,'Annual Parameters'!$B$33:$W$143,3,FALSE)/VLOOKUP('All - MECs'!$B$14,'Annual Parameters'!$B$33:$W$143,3,FALSE)</f>
        <v>18.503361709676412</v>
      </c>
      <c r="BA107" s="3532">
        <f>'All - MECs'!BA107*VLOOKUP($B$14,'Annual Parameters'!$B$33:$W$143,3,FALSE)/VLOOKUP('All - MECs'!$B$14,'Annual Parameters'!$B$33:$W$143,3,FALSE)</f>
        <v>22.318487835382886</v>
      </c>
      <c r="BB107" s="3534">
        <f>'All - MECs'!BB107*VLOOKUP($B$14,'Annual Parameters'!$B$33:$W$143,3,FALSE)/VLOOKUP('All - MECs'!$B$14,'Annual Parameters'!$B$33:$W$143,3,FALSE)</f>
        <v>27.087395492515981</v>
      </c>
      <c r="BC107" s="3531">
        <f>'All - MECs'!BC107*VLOOKUP($B$14,'Annual Parameters'!$B$33:$W$143,3,FALSE)/VLOOKUP('All - MECs'!$B$14,'Annual Parameters'!$B$33:$W$143,3,FALSE)</f>
        <v>19.266386934817707</v>
      </c>
      <c r="BD107" s="3532">
        <f>'All - MECs'!BD107*VLOOKUP($B$14,'Annual Parameters'!$B$33:$W$143,3,FALSE)/VLOOKUP('All - MECs'!$B$14,'Annual Parameters'!$B$33:$W$143,3,FALSE)</f>
        <v>19.075630628532384</v>
      </c>
      <c r="BE107" s="3534">
        <f>'All - MECs'!BE107*VLOOKUP($B$14,'Annual Parameters'!$B$33:$W$143,3,FALSE)/VLOOKUP('All - MECs'!$B$14,'Annual Parameters'!$B$33:$W$143,3,FALSE)</f>
        <v>19.075630628532384</v>
      </c>
      <c r="BF107" s="3531">
        <f>'All - MECs'!BF107*VLOOKUP($B$14,'Annual Parameters'!$B$33:$W$143,3,FALSE)/VLOOKUP('All - MECs'!$B$14,'Annual Parameters'!$B$33:$W$143,3,FALSE)</f>
        <v>16.59579864682317</v>
      </c>
      <c r="BG107" s="3534">
        <f>'All - MECs'!BG107*VLOOKUP($B$14,'Annual Parameters'!$B$33:$W$143,3,FALSE)/VLOOKUP('All - MECs'!$B$14,'Annual Parameters'!$B$33:$W$143,3,FALSE)</f>
        <v>16.786554953108499</v>
      </c>
      <c r="BH107" s="3531">
        <f>'All - MECs'!BH107*VLOOKUP($B$14,'Annual Parameters'!$B$33:$W$143,3,FALSE)/VLOOKUP('All - MECs'!$B$14,'Annual Parameters'!$B$33:$W$143,3,FALSE)</f>
        <v>3.4336135131358287</v>
      </c>
      <c r="BI107" s="3532">
        <f>'All - MECs'!BI107*VLOOKUP($B$14,'Annual Parameters'!$B$33:$W$143,3,FALSE)/VLOOKUP('All - MECs'!$B$14,'Annual Parameters'!$B$33:$W$143,3,FALSE)</f>
        <v>3.4336135131358287</v>
      </c>
      <c r="BJ107" s="3534">
        <f>'All - MECs'!BJ107*VLOOKUP($B$14,'Annual Parameters'!$B$33:$W$143,3,FALSE)/VLOOKUP('All - MECs'!$B$14,'Annual Parameters'!$B$33:$W$143,3,FALSE)</f>
        <v>4.3873950445624477</v>
      </c>
      <c r="BK107" s="3540">
        <f>'All - MECs'!BK107*VLOOKUP($B$14,'Annual Parameters'!$B$33:$W$143,3,FALSE)/VLOOKUP('All - MECs'!$B$14,'Annual Parameters'!$B$33:$W$143,3,FALSE)</f>
        <v>7.5962247092059432</v>
      </c>
      <c r="BL107" s="3544"/>
      <c r="BM107" s="3521" t="s">
        <v>1074</v>
      </c>
      <c r="BN107" s="3522"/>
      <c r="BO107" s="3530" t="s">
        <v>1096</v>
      </c>
      <c r="BP107" s="3531">
        <f>'All - MECs'!BP107*VLOOKUP($B$14,'Annual Parameters'!$B$33:$W$143,3,FALSE)/VLOOKUP('All - MECs'!$B$14,'Annual Parameters'!$B$33:$W$143,3,FALSE)</f>
        <v>0</v>
      </c>
      <c r="BQ107" s="3532">
        <f>'All - MECs'!BQ107*VLOOKUP($B$14,'Annual Parameters'!$B$33:$W$143,3,FALSE)/VLOOKUP('All - MECs'!$B$14,'Annual Parameters'!$B$33:$W$143,3,FALSE)</f>
        <v>0</v>
      </c>
      <c r="BR107" s="3534">
        <f>'All - MECs'!BR107*VLOOKUP($B$14,'Annual Parameters'!$B$33:$W$143,3,FALSE)/VLOOKUP('All - MECs'!$B$14,'Annual Parameters'!$B$33:$W$143,3,FALSE)</f>
        <v>0</v>
      </c>
      <c r="BS107" s="3531">
        <f>'All - MECs'!BS107*VLOOKUP($B$14,'Annual Parameters'!$B$33:$W$143,3,FALSE)/VLOOKUP('All - MECs'!$B$14,'Annual Parameters'!$B$33:$W$143,3,FALSE)</f>
        <v>0</v>
      </c>
      <c r="BT107" s="3532">
        <f>'All - MECs'!BT107*VLOOKUP($B$14,'Annual Parameters'!$B$33:$W$143,3,FALSE)/VLOOKUP('All - MECs'!$B$14,'Annual Parameters'!$B$33:$W$143,3,FALSE)</f>
        <v>0</v>
      </c>
      <c r="BU107" s="3534">
        <f>'All - MECs'!BU107*VLOOKUP($B$14,'Annual Parameters'!$B$33:$W$143,3,FALSE)/VLOOKUP('All - MECs'!$B$14,'Annual Parameters'!$B$33:$W$143,3,FALSE)</f>
        <v>0</v>
      </c>
      <c r="BV107" s="3531">
        <f>'All - MECs'!BV107*VLOOKUP($B$14,'Annual Parameters'!$B$33:$W$143,3,FALSE)/VLOOKUP('All - MECs'!$B$14,'Annual Parameters'!$B$33:$W$143,3,FALSE)</f>
        <v>0</v>
      </c>
      <c r="BW107" s="3534">
        <f>'All - MECs'!BW107*VLOOKUP($B$14,'Annual Parameters'!$B$33:$W$143,3,FALSE)/VLOOKUP('All - MECs'!$B$14,'Annual Parameters'!$B$33:$W$143,3,FALSE)</f>
        <v>0</v>
      </c>
      <c r="BX107" s="3531">
        <f>'All - MECs'!BX107*VLOOKUP($B$14,'Annual Parameters'!$B$33:$W$143,3,FALSE)/VLOOKUP('All - MECs'!$B$14,'Annual Parameters'!$B$33:$W$143,3,FALSE)</f>
        <v>0</v>
      </c>
      <c r="BY107" s="3532">
        <f>'All - MECs'!BY107*VLOOKUP($B$14,'Annual Parameters'!$B$33:$W$143,3,FALSE)/VLOOKUP('All - MECs'!$B$14,'Annual Parameters'!$B$33:$W$143,3,FALSE)</f>
        <v>0</v>
      </c>
      <c r="BZ107" s="3534">
        <f>'All - MECs'!BZ107*VLOOKUP($B$14,'Annual Parameters'!$B$33:$W$143,3,FALSE)/VLOOKUP('All - MECs'!$B$14,'Annual Parameters'!$B$33:$W$143,3,FALSE)</f>
        <v>0</v>
      </c>
      <c r="CA107" s="3540">
        <f>'All - MECs'!CA107*VLOOKUP($B$14,'Annual Parameters'!$B$33:$W$143,3,FALSE)/VLOOKUP('All - MECs'!$B$14,'Annual Parameters'!$B$33:$W$143,3,FALSE)</f>
        <v>0</v>
      </c>
    </row>
    <row r="108" spans="1:79" ht="13.5" customHeight="1">
      <c r="A108" s="3521" t="s">
        <v>397</v>
      </c>
      <c r="B108" s="3522"/>
      <c r="C108" s="3530" t="s">
        <v>1096</v>
      </c>
      <c r="D108" s="3531">
        <f>'All - MECs'!D108*VLOOKUP($B$14,'Annual Parameters'!$B$33:$W$143,3,FALSE)/VLOOKUP('All - MECs'!$B$14,'Annual Parameters'!$B$33:$W$143,3,FALSE)</f>
        <v>0.59882684472124892</v>
      </c>
      <c r="E108" s="3532">
        <f>'All - MECs'!E108*VLOOKUP($B$14,'Annual Parameters'!$B$33:$W$143,3,FALSE)/VLOOKUP('All - MECs'!$B$14,'Annual Parameters'!$B$33:$W$143,3,FALSE)</f>
        <v>0.68649058152339393</v>
      </c>
      <c r="F108" s="3537">
        <f>'All - MECs'!F108*VLOOKUP($B$14,'Annual Parameters'!$B$33:$W$143,3,FALSE)/VLOOKUP('All - MECs'!$B$14,'Annual Parameters'!$B$33:$W$143,3,FALSE)</f>
        <v>0.8456902389677371</v>
      </c>
      <c r="G108" s="3531">
        <f>'All - MECs'!G108*VLOOKUP($B$14,'Annual Parameters'!$B$33:$W$143,3,FALSE)/VLOOKUP('All - MECs'!$B$14,'Annual Parameters'!$B$33:$W$143,3,FALSE)</f>
        <v>0.57851589667495706</v>
      </c>
      <c r="H108" s="3532">
        <f>'All - MECs'!H108*VLOOKUP($B$14,'Annual Parameters'!$B$33:$W$143,3,FALSE)/VLOOKUP('All - MECs'!$B$14,'Annual Parameters'!$B$33:$W$143,3,FALSE)</f>
        <v>0.60501331265569724</v>
      </c>
      <c r="I108" s="3537">
        <f>'All - MECs'!I108*VLOOKUP($B$14,'Annual Parameters'!$B$33:$W$143,3,FALSE)/VLOOKUP('All - MECs'!$B$14,'Annual Parameters'!$B$33:$W$143,3,FALSE)</f>
        <v>0.66577308145949332</v>
      </c>
      <c r="J108" s="3531">
        <f>'All - MECs'!J108*VLOOKUP($B$14,'Annual Parameters'!$B$33:$W$143,3,FALSE)/VLOOKUP('All - MECs'!$B$14,'Annual Parameters'!$B$33:$W$143,3,FALSE)</f>
        <v>0.55876494471555793</v>
      </c>
      <c r="K108" s="3537">
        <f>'All - MECs'!K108*VLOOKUP($B$14,'Annual Parameters'!$B$33:$W$143,3,FALSE)/VLOOKUP('All - MECs'!$B$14,'Annual Parameters'!$B$33:$W$143,3,FALSE)</f>
        <v>0.62514758189611552</v>
      </c>
      <c r="L108" s="3531">
        <f>'All - MECs'!L108*VLOOKUP($B$14,'Annual Parameters'!$B$33:$W$143,3,FALSE)/VLOOKUP('All - MECs'!$B$14,'Annual Parameters'!$B$33:$W$143,3,FALSE)</f>
        <v>0.58932655232110642</v>
      </c>
      <c r="M108" s="3532">
        <f>'All - MECs'!M108*VLOOKUP($B$14,'Annual Parameters'!$B$33:$W$143,3,FALSE)/VLOOKUP('All - MECs'!$B$14,'Annual Parameters'!$B$33:$W$143,3,FALSE)</f>
        <v>0.5468124579486412</v>
      </c>
      <c r="N108" s="3537">
        <f>'All - MECs'!N108*VLOOKUP($B$14,'Annual Parameters'!$B$33:$W$143,3,FALSE)/VLOOKUP('All - MECs'!$B$14,'Annual Parameters'!$B$33:$W$143,3,FALSE)</f>
        <v>0.53993452899252525</v>
      </c>
      <c r="O108" s="3539">
        <f>'All - MECs'!O108*VLOOKUP($B$14,'Annual Parameters'!$B$33:$W$143,3,FALSE)/VLOOKUP('All - MECs'!$B$14,'Annual Parameters'!$B$33:$W$143,3,FALSE)</f>
        <v>0.58933011950421355</v>
      </c>
      <c r="P108" s="3544"/>
      <c r="Q108" s="3521" t="s">
        <v>397</v>
      </c>
      <c r="R108" s="3522"/>
      <c r="S108" s="3530" t="s">
        <v>1096</v>
      </c>
      <c r="T108" s="3531">
        <f>'All - MECs'!T108*VLOOKUP($B$14,'Annual Parameters'!$B$33:$W$143,3,FALSE)/VLOOKUP('All - MECs'!$B$14,'Annual Parameters'!$B$33:$W$143,3,FALSE)</f>
        <v>1.1573893423946744</v>
      </c>
      <c r="U108" s="3532">
        <f>'All - MECs'!U108*VLOOKUP($B$14,'Annual Parameters'!$B$33:$W$143,3,FALSE)/VLOOKUP('All - MECs'!$B$14,'Annual Parameters'!$B$33:$W$143,3,FALSE)</f>
        <v>1.0684164167574257</v>
      </c>
      <c r="V108" s="3537">
        <f>'All - MECs'!V108*VLOOKUP($B$14,'Annual Parameters'!$B$33:$W$143,3,FALSE)/VLOOKUP('All - MECs'!$B$14,'Annual Parameters'!$B$33:$W$143,3,FALSE)</f>
        <v>1.3584833751148833</v>
      </c>
      <c r="W108" s="3531">
        <f>'All - MECs'!W108*VLOOKUP($B$14,'Annual Parameters'!$B$33:$W$143,3,FALSE)/VLOOKUP('All - MECs'!$B$14,'Annual Parameters'!$B$33:$W$143,3,FALSE)</f>
        <v>1.0914300773146786</v>
      </c>
      <c r="X108" s="3532">
        <f>'All - MECs'!X108*VLOOKUP($B$14,'Annual Parameters'!$B$33:$W$143,3,FALSE)/VLOOKUP('All - MECs'!$B$14,'Annual Parameters'!$B$33:$W$143,3,FALSE)</f>
        <v>0.9327052202564281</v>
      </c>
      <c r="Y108" s="3537">
        <f>'All - MECs'!Y108*VLOOKUP($B$14,'Annual Parameters'!$B$33:$W$143,3,FALSE)/VLOOKUP('All - MECs'!$B$14,'Annual Parameters'!$B$33:$W$143,3,FALSE)</f>
        <v>0.99752102280314281</v>
      </c>
      <c r="Z108" s="3531">
        <f>'All - MECs'!Z108*VLOOKUP($B$14,'Annual Parameters'!$B$33:$W$143,3,FALSE)/VLOOKUP('All - MECs'!$B$14,'Annual Parameters'!$B$33:$W$143,3,FALSE)</f>
        <v>0.8781209233565056</v>
      </c>
      <c r="AA108" s="3537">
        <f>'All - MECs'!AA108*VLOOKUP($B$14,'Annual Parameters'!$B$33:$W$143,3,FALSE)/VLOOKUP('All - MECs'!$B$14,'Annual Parameters'!$B$33:$W$143,3,FALSE)</f>
        <v>0.92495283826855113</v>
      </c>
      <c r="AB108" s="3531">
        <f>'All - MECs'!AB108*VLOOKUP($B$14,'Annual Parameters'!$B$33:$W$143,3,FALSE)/VLOOKUP('All - MECs'!$B$14,'Annual Parameters'!$B$33:$W$143,3,FALSE)</f>
        <v>1.1301773068777667</v>
      </c>
      <c r="AC108" s="3532">
        <f>'All - MECs'!AC108*VLOOKUP($B$14,'Annual Parameters'!$B$33:$W$143,3,FALSE)/VLOOKUP('All - MECs'!$B$14,'Annual Parameters'!$B$33:$W$143,3,FALSE)</f>
        <v>1.0012388728206865</v>
      </c>
      <c r="AD108" s="3537">
        <f>'All - MECs'!AD108*VLOOKUP($B$14,'Annual Parameters'!$B$33:$W$143,3,FALSE)/VLOOKUP('All - MECs'!$B$14,'Annual Parameters'!$B$33:$W$143,3,FALSE)</f>
        <v>0.88775010317841752</v>
      </c>
      <c r="AE108" s="3539">
        <f>'All - MECs'!AE108*VLOOKUP($B$14,'Annual Parameters'!$B$33:$W$143,3,FALSE)/VLOOKUP('All - MECs'!$B$14,'Annual Parameters'!$B$33:$W$143,3,FALSE)</f>
        <v>0.9869319326352094</v>
      </c>
      <c r="AF108" s="3544"/>
      <c r="AG108" s="3521" t="s">
        <v>397</v>
      </c>
      <c r="AH108" s="3522"/>
      <c r="AI108" s="3530" t="s">
        <v>1096</v>
      </c>
      <c r="AJ108" s="3531">
        <f>'All - MECs'!AJ108*VLOOKUP($B$14,'Annual Parameters'!$B$33:$W$143,3,FALSE)/VLOOKUP('All - MECs'!$B$14,'Annual Parameters'!$B$33:$W$143,3,FALSE)</f>
        <v>4.2550611854995095</v>
      </c>
      <c r="AK108" s="3532">
        <f>'All - MECs'!AK108*VLOOKUP($B$14,'Annual Parameters'!$B$33:$W$143,3,FALSE)/VLOOKUP('All - MECs'!$B$14,'Annual Parameters'!$B$33:$W$143,3,FALSE)</f>
        <v>5.2291247550295648</v>
      </c>
      <c r="AL108" s="3537">
        <f>'All - MECs'!AL108*VLOOKUP($B$14,'Annual Parameters'!$B$33:$W$143,3,FALSE)/VLOOKUP('All - MECs'!$B$14,'Annual Parameters'!$B$33:$W$143,3,FALSE)</f>
        <v>6.2720753498896764</v>
      </c>
      <c r="AM108" s="3531">
        <f>'All - MECs'!AM108*VLOOKUP($B$14,'Annual Parameters'!$B$33:$W$143,3,FALSE)/VLOOKUP('All - MECs'!$B$14,'Annual Parameters'!$B$33:$W$143,3,FALSE)</f>
        <v>4.1891425045707305</v>
      </c>
      <c r="AN108" s="3532">
        <f>'All - MECs'!AN108*VLOOKUP($B$14,'Annual Parameters'!$B$33:$W$143,3,FALSE)/VLOOKUP('All - MECs'!$B$14,'Annual Parameters'!$B$33:$W$143,3,FALSE)</f>
        <v>4.4753667122368039</v>
      </c>
      <c r="AO108" s="3537">
        <f>'All - MECs'!AO108*VLOOKUP($B$14,'Annual Parameters'!$B$33:$W$143,3,FALSE)/VLOOKUP('All - MECs'!$B$14,'Annual Parameters'!$B$33:$W$143,3,FALSE)</f>
        <v>5.086079818126052</v>
      </c>
      <c r="AP108" s="3531">
        <f>'All - MECs'!AP108*VLOOKUP($B$14,'Annual Parameters'!$B$33:$W$143,3,FALSE)/VLOOKUP('All - MECs'!$B$14,'Annual Parameters'!$B$33:$W$143,3,FALSE)</f>
        <v>4.1132399495868617</v>
      </c>
      <c r="AQ108" s="3537">
        <f>'All - MECs'!AQ108*VLOOKUP($B$14,'Annual Parameters'!$B$33:$W$143,3,FALSE)/VLOOKUP('All - MECs'!$B$14,'Annual Parameters'!$B$33:$W$143,3,FALSE)</f>
        <v>4.7169583672818423</v>
      </c>
      <c r="AR108" s="3531">
        <f>'All - MECs'!AR108*VLOOKUP($B$14,'Annual Parameters'!$B$33:$W$143,3,FALSE)/VLOOKUP('All - MECs'!$B$14,'Annual Parameters'!$B$33:$W$143,3,FALSE)</f>
        <v>4.2333592711792862</v>
      </c>
      <c r="AS108" s="3532">
        <f>'All - MECs'!AS108*VLOOKUP($B$14,'Annual Parameters'!$B$33:$W$143,3,FALSE)/VLOOKUP('All - MECs'!$B$14,'Annual Parameters'!$B$33:$W$143,3,FALSE)</f>
        <v>3.9807774617350731</v>
      </c>
      <c r="AT108" s="3537">
        <f>'All - MECs'!AT108*VLOOKUP($B$14,'Annual Parameters'!$B$33:$W$143,3,FALSE)/VLOOKUP('All - MECs'!$B$14,'Annual Parameters'!$B$33:$W$143,3,FALSE)</f>
        <v>3.9189325741774415</v>
      </c>
      <c r="AU108" s="3539">
        <f>'All - MECs'!AU108*VLOOKUP($B$14,'Annual Parameters'!$B$33:$W$143,3,FALSE)/VLOOKUP('All - MECs'!$B$14,'Annual Parameters'!$B$33:$W$143,3,FALSE)</f>
        <v>4.2378087609858026</v>
      </c>
      <c r="AV108" s="3544"/>
      <c r="AW108" s="3521" t="s">
        <v>397</v>
      </c>
      <c r="AX108" s="3522"/>
      <c r="AY108" s="3530" t="s">
        <v>1096</v>
      </c>
      <c r="AZ108" s="3531">
        <f>'All - MECs'!AZ108*VLOOKUP($B$14,'Annual Parameters'!$B$33:$W$143,3,FALSE)/VLOOKUP('All - MECs'!$B$14,'Annual Parameters'!$B$33:$W$143,3,FALSE)</f>
        <v>5.4337271359797397</v>
      </c>
      <c r="BA108" s="3532">
        <f>'All - MECs'!BA108*VLOOKUP($B$14,'Annual Parameters'!$B$33:$W$143,3,FALSE)/VLOOKUP('All - MECs'!$B$14,'Annual Parameters'!$B$33:$W$143,3,FALSE)</f>
        <v>7.3691899137463448</v>
      </c>
      <c r="BB108" s="3537">
        <f>'All - MECs'!BB108*VLOOKUP($B$14,'Annual Parameters'!$B$33:$W$143,3,FALSE)/VLOOKUP('All - MECs'!$B$14,'Annual Parameters'!$B$33:$W$143,3,FALSE)</f>
        <v>9.1950400386321345</v>
      </c>
      <c r="BC108" s="3531">
        <f>'All - MECs'!BC108*VLOOKUP($B$14,'Annual Parameters'!$B$33:$W$143,3,FALSE)/VLOOKUP('All - MECs'!$B$14,'Annual Parameters'!$B$33:$W$143,3,FALSE)</f>
        <v>5.3991591507668479</v>
      </c>
      <c r="BD108" s="3532">
        <f>'All - MECs'!BD108*VLOOKUP($B$14,'Annual Parameters'!$B$33:$W$143,3,FALSE)/VLOOKUP('All - MECs'!$B$14,'Annual Parameters'!$B$33:$W$143,3,FALSE)</f>
        <v>6.0108892513467609</v>
      </c>
      <c r="BE108" s="3537">
        <f>'All - MECs'!BE108*VLOOKUP($B$14,'Annual Parameters'!$B$33:$W$143,3,FALSE)/VLOOKUP('All - MECs'!$B$14,'Annual Parameters'!$B$33:$W$143,3,FALSE)</f>
        <v>7.4255071992039214</v>
      </c>
      <c r="BF108" s="3531">
        <f>'All - MECs'!BF108*VLOOKUP($B$14,'Annual Parameters'!$B$33:$W$143,3,FALSE)/VLOOKUP('All - MECs'!$B$14,'Annual Parameters'!$B$33:$W$143,3,FALSE)</f>
        <v>5.7710975376143097</v>
      </c>
      <c r="BG108" s="3537">
        <f>'All - MECs'!BG108*VLOOKUP($B$14,'Annual Parameters'!$B$33:$W$143,3,FALSE)/VLOOKUP('All - MECs'!$B$14,'Annual Parameters'!$B$33:$W$143,3,FALSE)</f>
        <v>6.9212698839312816</v>
      </c>
      <c r="BH108" s="3531">
        <f>'All - MECs'!BH108*VLOOKUP($B$14,'Annual Parameters'!$B$33:$W$143,3,FALSE)/VLOOKUP('All - MECs'!$B$14,'Annual Parameters'!$B$33:$W$143,3,FALSE)</f>
        <v>5.4177498264908035</v>
      </c>
      <c r="BI108" s="3532">
        <f>'All - MECs'!BI108*VLOOKUP($B$14,'Annual Parameters'!$B$33:$W$143,3,FALSE)/VLOOKUP('All - MECs'!$B$14,'Annual Parameters'!$B$33:$W$143,3,FALSE)</f>
        <v>5.2429230733617578</v>
      </c>
      <c r="BJ108" s="3537">
        <f>'All - MECs'!BJ108*VLOOKUP($B$14,'Annual Parameters'!$B$33:$W$143,3,FALSE)/VLOOKUP('All - MECs'!$B$14,'Annual Parameters'!$B$33:$W$143,3,FALSE)</f>
        <v>5.2407946838360946</v>
      </c>
      <c r="BK108" s="3539">
        <f>'All - MECs'!BK108*VLOOKUP($B$14,'Annual Parameters'!$B$33:$W$143,3,FALSE)/VLOOKUP('All - MECs'!$B$14,'Annual Parameters'!$B$33:$W$143,3,FALSE)</f>
        <v>5.4518604766793102</v>
      </c>
      <c r="BL108" s="3544"/>
      <c r="BM108" s="3521" t="s">
        <v>397</v>
      </c>
      <c r="BN108" s="3522"/>
      <c r="BO108" s="3530" t="s">
        <v>1096</v>
      </c>
      <c r="BP108" s="3531">
        <f>'All - MECs'!BP108*VLOOKUP($B$14,'Annual Parameters'!$B$33:$W$143,3,FALSE)/VLOOKUP('All - MECs'!$B$14,'Annual Parameters'!$B$33:$W$143,3,FALSE)</f>
        <v>4.327278987198568</v>
      </c>
      <c r="BQ108" s="3532">
        <f>'All - MECs'!BQ108*VLOOKUP($B$14,'Annual Parameters'!$B$33:$W$143,3,FALSE)/VLOOKUP('All - MECs'!$B$14,'Annual Parameters'!$B$33:$W$143,3,FALSE)</f>
        <v>3.6866542346485547</v>
      </c>
      <c r="BR108" s="3537">
        <f>'All - MECs'!BR108*VLOOKUP($B$14,'Annual Parameters'!$B$33:$W$143,3,FALSE)/VLOOKUP('All - MECs'!$B$14,'Annual Parameters'!$B$33:$W$143,3,FALSE)</f>
        <v>4.5049785869081393</v>
      </c>
      <c r="BS108" s="3531">
        <f>'All - MECs'!BS108*VLOOKUP($B$14,'Annual Parameters'!$B$33:$W$143,3,FALSE)/VLOOKUP('All - MECs'!$B$14,'Annual Parameters'!$B$33:$W$143,3,FALSE)</f>
        <v>4.3184152442449424</v>
      </c>
      <c r="BT108" s="3532">
        <f>'All - MECs'!BT108*VLOOKUP($B$14,'Annual Parameters'!$B$33:$W$143,3,FALSE)/VLOOKUP('All - MECs'!$B$14,'Annual Parameters'!$B$33:$W$143,3,FALSE)</f>
        <v>4.5688373487981462</v>
      </c>
      <c r="BU108" s="3537">
        <f>'All - MECs'!BU108*VLOOKUP($B$14,'Annual Parameters'!$B$33:$W$143,3,FALSE)/VLOOKUP('All - MECs'!$B$14,'Annual Parameters'!$B$33:$W$143,3,FALSE)</f>
        <v>5.2042304583176451</v>
      </c>
      <c r="BV108" s="3531">
        <f>'All - MECs'!BV108*VLOOKUP($B$14,'Annual Parameters'!$B$33:$W$143,3,FALSE)/VLOOKUP('All - MECs'!$B$14,'Annual Parameters'!$B$33:$W$143,3,FALSE)</f>
        <v>3.7818906911151453</v>
      </c>
      <c r="BW108" s="3537">
        <f>'All - MECs'!BW108*VLOOKUP($B$14,'Annual Parameters'!$B$33:$W$143,3,FALSE)/VLOOKUP('All - MECs'!$B$14,'Annual Parameters'!$B$33:$W$143,3,FALSE)</f>
        <v>4.6036182371832153</v>
      </c>
      <c r="BX108" s="3531">
        <f>'All - MECs'!BX108*VLOOKUP($B$14,'Annual Parameters'!$B$33:$W$143,3,FALSE)/VLOOKUP('All - MECs'!$B$14,'Annual Parameters'!$B$33:$W$143,3,FALSE)</f>
        <v>4.3199702004399079</v>
      </c>
      <c r="BY108" s="3532">
        <f>'All - MECs'!BY108*VLOOKUP($B$14,'Annual Parameters'!$B$33:$W$143,3,FALSE)/VLOOKUP('All - MECs'!$B$14,'Annual Parameters'!$B$33:$W$143,3,FALSE)</f>
        <v>3.4706658067844982</v>
      </c>
      <c r="BZ108" s="3537">
        <f>'All - MECs'!BZ108*VLOOKUP($B$14,'Annual Parameters'!$B$33:$W$143,3,FALSE)/VLOOKUP('All - MECs'!$B$14,'Annual Parameters'!$B$33:$W$143,3,FALSE)</f>
        <v>3.5668923069428669</v>
      </c>
      <c r="CA108" s="3539">
        <f>'All - MECs'!CA108*VLOOKUP($B$14,'Annual Parameters'!$B$33:$W$143,3,FALSE)/VLOOKUP('All - MECs'!$B$14,'Annual Parameters'!$B$33:$W$143,3,FALSE)</f>
        <v>4.1386640183714354</v>
      </c>
    </row>
    <row r="109" spans="1:79" ht="13.5" customHeight="1">
      <c r="A109" s="3521" t="s">
        <v>1098</v>
      </c>
      <c r="B109" s="3493"/>
      <c r="C109" s="3530" t="s">
        <v>1096</v>
      </c>
      <c r="D109" s="3495">
        <f>'All - MECs'!D109*VLOOKUP($B$14,'Annual Parameters'!$B$33:$W$143,3,FALSE)/VLOOKUP('All - MECs'!$B$14,'Annual Parameters'!$B$33:$W$143,3,FALSE)</f>
        <v>-2.3063954091245984</v>
      </c>
      <c r="E109" s="3496">
        <f>'All - MECs'!E109*VLOOKUP($B$14,'Annual Parameters'!$B$33:$W$143,3,FALSE)/VLOOKUP('All - MECs'!$B$14,'Annual Parameters'!$B$33:$W$143,3,FALSE)</f>
        <v>-2.6857768296730056</v>
      </c>
      <c r="F109" s="3496">
        <f>'All - MECs'!F109*VLOOKUP($B$14,'Annual Parameters'!$B$33:$W$143,3,FALSE)/VLOOKUP('All - MECs'!$B$14,'Annual Parameters'!$B$33:$W$143,3,FALSE)</f>
        <v>-3.3747434924604973</v>
      </c>
      <c r="G109" s="3503">
        <f>'All - MECs'!G109*VLOOKUP($B$14,'Annual Parameters'!$B$33:$W$143,3,FALSE)/VLOOKUP('All - MECs'!$B$14,'Annual Parameters'!$B$33:$W$143,3,FALSE)</f>
        <v>-2.2184959354815974</v>
      </c>
      <c r="H109" s="3504">
        <f>'All - MECs'!H109*VLOOKUP($B$14,'Annual Parameters'!$B$33:$W$143,3,FALSE)/VLOOKUP('All - MECs'!$B$14,'Annual Parameters'!$B$33:$W$143,3,FALSE)</f>
        <v>-2.3331685205474586</v>
      </c>
      <c r="I109" s="3501">
        <f>'All - MECs'!I109*VLOOKUP($B$14,'Annual Parameters'!$B$33:$W$143,3,FALSE)/VLOOKUP('All - MECs'!$B$14,'Annual Parameters'!$B$33:$W$143,3,FALSE)</f>
        <v>-2.596117925191284</v>
      </c>
      <c r="J109" s="3500">
        <f>'All - MECs'!J109*VLOOKUP($B$14,'Annual Parameters'!$B$33:$W$143,3,FALSE)/VLOOKUP('All - MECs'!$B$14,'Annual Parameters'!$B$33:$W$143,3,FALSE)</f>
        <v>-2.1330199509424936</v>
      </c>
      <c r="K109" s="3501">
        <f>'All - MECs'!K109*VLOOKUP($B$14,'Annual Parameters'!$B$33:$W$143,3,FALSE)/VLOOKUP('All - MECs'!$B$14,'Annual Parameters'!$B$33:$W$143,3,FALSE)</f>
        <v>-2.4203033832030858</v>
      </c>
      <c r="L109" s="3495">
        <f>'All - MECs'!L109*VLOOKUP($B$14,'Annual Parameters'!$B$33:$W$143,3,FALSE)/VLOOKUP('All - MECs'!$B$14,'Annual Parameters'!$B$33:$W$143,3,FALSE)</f>
        <v>-2.2652810948383393</v>
      </c>
      <c r="M109" s="3496">
        <f>'All - MECs'!M109*VLOOKUP($B$14,'Annual Parameters'!$B$33:$W$143,3,FALSE)/VLOOKUP('All - MECs'!$B$14,'Annual Parameters'!$B$33:$W$143,3,FALSE)</f>
        <v>-2.0812933011995876</v>
      </c>
      <c r="N109" s="3501">
        <f>'All - MECs'!N109*VLOOKUP($B$14,'Annual Parameters'!$B$33:$W$143,3,FALSE)/VLOOKUP('All - MECs'!$B$14,'Annual Parameters'!$B$33:$W$143,3,FALSE)</f>
        <v>-2.0515277612740923</v>
      </c>
      <c r="O109" s="3502">
        <f>'All - MECs'!O109*VLOOKUP($B$14,'Annual Parameters'!$B$33:$W$143,3,FALSE)/VLOOKUP('All - MECs'!$B$14,'Annual Parameters'!$B$33:$W$143,3,FALSE)</f>
        <v>-2.2652965324986973</v>
      </c>
      <c r="P109" s="3544"/>
      <c r="Q109" s="3521" t="s">
        <v>1098</v>
      </c>
      <c r="R109" s="3493"/>
      <c r="S109" s="3530" t="s">
        <v>1096</v>
      </c>
      <c r="T109" s="3495">
        <f>'All - MECs'!T109*VLOOKUP($B$14,'Annual Parameters'!$B$33:$W$143,3,FALSE)/VLOOKUP('All - MECs'!$B$14,'Annual Parameters'!$B$33:$W$143,3,FALSE)</f>
        <v>-4.9368057467332598</v>
      </c>
      <c r="U109" s="3496">
        <f>'All - MECs'!U109*VLOOKUP($B$14,'Annual Parameters'!$B$33:$W$143,3,FALSE)/VLOOKUP('All - MECs'!$B$14,'Annual Parameters'!$B$33:$W$143,3,FALSE)</f>
        <v>-4.556068196043606</v>
      </c>
      <c r="V109" s="3496">
        <f>'All - MECs'!V109*VLOOKUP($B$14,'Annual Parameters'!$B$33:$W$143,3,FALSE)/VLOOKUP('All - MECs'!$B$14,'Annual Parameters'!$B$33:$W$143,3,FALSE)</f>
        <v>-5.7973377448419479</v>
      </c>
      <c r="W109" s="3503">
        <f>'All - MECs'!W109*VLOOKUP($B$14,'Annual Parameters'!$B$33:$W$143,3,FALSE)/VLOOKUP('All - MECs'!$B$14,'Annual Parameters'!$B$33:$W$143,3,FALSE)</f>
        <v>-4.6545494440211739</v>
      </c>
      <c r="X109" s="3504">
        <f>'All - MECs'!X109*VLOOKUP($B$14,'Annual Parameters'!$B$33:$W$143,3,FALSE)/VLOOKUP('All - MECs'!$B$14,'Annual Parameters'!$B$33:$W$143,3,FALSE)</f>
        <v>-3.9753258164166025</v>
      </c>
      <c r="Y109" s="3501">
        <f>'All - MECs'!Y109*VLOOKUP($B$14,'Annual Parameters'!$B$33:$W$143,3,FALSE)/VLOOKUP('All - MECs'!$B$14,'Annual Parameters'!$B$33:$W$143,3,FALSE)</f>
        <v>-4.2526889550441247</v>
      </c>
      <c r="Z109" s="3500">
        <f>'All - MECs'!Z109*VLOOKUP($B$14,'Annual Parameters'!$B$33:$W$143,3,FALSE)/VLOOKUP('All - MECs'!$B$14,'Annual Parameters'!$B$33:$W$143,3,FALSE)</f>
        <v>-3.7417458665729324</v>
      </c>
      <c r="AA109" s="3501">
        <f>'All - MECs'!AA109*VLOOKUP($B$14,'Annual Parameters'!$B$33:$W$143,3,FALSE)/VLOOKUP('All - MECs'!$B$14,'Annual Parameters'!$B$33:$W$143,3,FALSE)</f>
        <v>-3.942151421970939</v>
      </c>
      <c r="AB109" s="3495">
        <f>'All - MECs'!AB109*VLOOKUP($B$14,'Annual Parameters'!$B$33:$W$143,3,FALSE)/VLOOKUP('All - MECs'!$B$14,'Annual Parameters'!$B$33:$W$143,3,FALSE)</f>
        <v>-4.8203585952230501</v>
      </c>
      <c r="AC109" s="3496">
        <f>'All - MECs'!AC109*VLOOKUP($B$14,'Annual Parameters'!$B$33:$W$143,3,FALSE)/VLOOKUP('All - MECs'!$B$14,'Annual Parameters'!$B$33:$W$143,3,FALSE)</f>
        <v>-4.2685985713613661</v>
      </c>
      <c r="AD109" s="3501">
        <f>'All - MECs'!AD109*VLOOKUP($B$14,'Annual Parameters'!$B$33:$W$143,3,FALSE)/VLOOKUP('All - MECs'!$B$14,'Annual Parameters'!$B$33:$W$143,3,FALSE)</f>
        <v>-3.7829515514965948</v>
      </c>
      <c r="AE109" s="3502">
        <f>'All - MECs'!AE109*VLOOKUP($B$14,'Annual Parameters'!$B$33:$W$143,3,FALSE)/VLOOKUP('All - MECs'!$B$14,'Annual Parameters'!$B$33:$W$143,3,FALSE)</f>
        <v>-4.2073755720605375</v>
      </c>
      <c r="AF109" s="3544"/>
      <c r="AG109" s="3521" t="s">
        <v>1098</v>
      </c>
      <c r="AH109" s="3493"/>
      <c r="AI109" s="3530" t="s">
        <v>1096</v>
      </c>
      <c r="AJ109" s="3495">
        <f>'All - MECs'!AJ109*VLOOKUP($B$14,'Annual Parameters'!$B$33:$W$143,3,FALSE)/VLOOKUP('All - MECs'!$B$14,'Annual Parameters'!$B$33:$W$143,3,FALSE)</f>
        <v>-18.175033535408453</v>
      </c>
      <c r="AK109" s="3496">
        <f>'All - MECs'!AK109*VLOOKUP($B$14,'Annual Parameters'!$B$33:$W$143,3,FALSE)/VLOOKUP('All - MECs'!$B$14,'Annual Parameters'!$B$33:$W$143,3,FALSE)</f>
        <v>-22.335640697100818</v>
      </c>
      <c r="AL109" s="3496">
        <f>'All - MECs'!AL109*VLOOKUP($B$14,'Annual Parameters'!$B$33:$W$143,3,FALSE)/VLOOKUP('All - MECs'!$B$14,'Annual Parameters'!$B$33:$W$143,3,FALSE)</f>
        <v>-26.790491335196037</v>
      </c>
      <c r="AM109" s="3503">
        <f>'All - MECs'!AM109*VLOOKUP($B$14,'Annual Parameters'!$B$33:$W$143,3,FALSE)/VLOOKUP('All - MECs'!$B$14,'Annual Parameters'!$B$33:$W$143,3,FALSE)</f>
        <v>-17.893469020996001</v>
      </c>
      <c r="AN109" s="3504">
        <f>'All - MECs'!AN109*VLOOKUP($B$14,'Annual Parameters'!$B$33:$W$143,3,FALSE)/VLOOKUP('All - MECs'!$B$14,'Annual Parameters'!$B$33:$W$143,3,FALSE)</f>
        <v>-19.116044759907709</v>
      </c>
      <c r="AO109" s="3501">
        <f>'All - MECs'!AO109*VLOOKUP($B$14,'Annual Parameters'!$B$33:$W$143,3,FALSE)/VLOOKUP('All - MECs'!$B$14,'Annual Parameters'!$B$33:$W$143,3,FALSE)</f>
        <v>-21.724639723918202</v>
      </c>
      <c r="AP109" s="3500">
        <f>'All - MECs'!AP109*VLOOKUP($B$14,'Annual Parameters'!$B$33:$W$143,3,FALSE)/VLOOKUP('All - MECs'!$B$14,'Annual Parameters'!$B$33:$W$143,3,FALSE)</f>
        <v>-17.569259468626651</v>
      </c>
      <c r="AQ109" s="3501">
        <f>'All - MECs'!AQ109*VLOOKUP($B$14,'Annual Parameters'!$B$33:$W$143,3,FALSE)/VLOOKUP('All - MECs'!$B$14,'Annual Parameters'!$B$33:$W$143,3,FALSE)</f>
        <v>-20.147977378710454</v>
      </c>
      <c r="AR109" s="3495">
        <f>'All - MECs'!AR109*VLOOKUP($B$14,'Annual Parameters'!$B$33:$W$143,3,FALSE)/VLOOKUP('All - MECs'!$B$14,'Annual Parameters'!$B$33:$W$143,3,FALSE)</f>
        <v>-18.082336156132975</v>
      </c>
      <c r="AS109" s="3496">
        <f>'All - MECs'!AS109*VLOOKUP($B$14,'Annual Parameters'!$B$33:$W$143,3,FALSE)/VLOOKUP('All - MECs'!$B$14,'Annual Parameters'!$B$33:$W$143,3,FALSE)</f>
        <v>-17.003460281744388</v>
      </c>
      <c r="AT109" s="3501">
        <f>'All - MECs'!AT109*VLOOKUP($B$14,'Annual Parameters'!$B$33:$W$143,3,FALSE)/VLOOKUP('All - MECs'!$B$14,'Annual Parameters'!$B$33:$W$143,3,FALSE)</f>
        <v>-16.739296535008144</v>
      </c>
      <c r="AU109" s="3502">
        <f>'All - MECs'!AU109*VLOOKUP($B$14,'Annual Parameters'!$B$33:$W$143,3,FALSE)/VLOOKUP('All - MECs'!$B$14,'Annual Parameters'!$B$33:$W$143,3,FALSE)</f>
        <v>-18.101341670489496</v>
      </c>
      <c r="AV109" s="3544"/>
      <c r="AW109" s="3521" t="s">
        <v>1098</v>
      </c>
      <c r="AX109" s="3493"/>
      <c r="AY109" s="3530" t="s">
        <v>1096</v>
      </c>
      <c r="AZ109" s="3495">
        <f>'All - MECs'!AZ109*VLOOKUP($B$14,'Annual Parameters'!$B$33:$W$143,3,FALSE)/VLOOKUP('All - MECs'!$B$14,'Annual Parameters'!$B$33:$W$143,3,FALSE)</f>
        <v>-23.209577633158592</v>
      </c>
      <c r="BA109" s="3496">
        <f>'All - MECs'!BA109*VLOOKUP($B$14,'Annual Parameters'!$B$33:$W$143,3,FALSE)/VLOOKUP('All - MECs'!$B$14,'Annual Parameters'!$B$33:$W$143,3,FALSE)</f>
        <v>-31.476697507326357</v>
      </c>
      <c r="BB109" s="3496">
        <f>'All - MECs'!BB109*VLOOKUP($B$14,'Annual Parameters'!$B$33:$W$143,3,FALSE)/VLOOKUP('All - MECs'!$B$14,'Annual Parameters'!$B$33:$W$143,3,FALSE)</f>
        <v>-39.27561879276336</v>
      </c>
      <c r="BC109" s="3503">
        <f>'All - MECs'!BC109*VLOOKUP($B$14,'Annual Parameters'!$B$33:$W$143,3,FALSE)/VLOOKUP('All - MECs'!$B$14,'Annual Parameters'!$B$33:$W$143,3,FALSE)</f>
        <v>-23.061924223934572</v>
      </c>
      <c r="BD109" s="3504">
        <f>'All - MECs'!BD109*VLOOKUP($B$14,'Annual Parameters'!$B$33:$W$143,3,FALSE)/VLOOKUP('All - MECs'!$B$14,'Annual Parameters'!$B$33:$W$143,3,FALSE)</f>
        <v>-25.674863170746338</v>
      </c>
      <c r="BE109" s="3501">
        <f>'All - MECs'!BE109*VLOOKUP($B$14,'Annual Parameters'!$B$33:$W$143,3,FALSE)/VLOOKUP('All - MECs'!$B$14,'Annual Parameters'!$B$33:$W$143,3,FALSE)</f>
        <v>-31.717250699675922</v>
      </c>
      <c r="BF109" s="3500">
        <f>'All - MECs'!BF109*VLOOKUP($B$14,'Annual Parameters'!$B$33:$W$143,3,FALSE)/VLOOKUP('All - MECs'!$B$14,'Annual Parameters'!$B$33:$W$143,3,FALSE)</f>
        <v>-24.650618806540155</v>
      </c>
      <c r="BG109" s="3501">
        <f>'All - MECs'!BG109*VLOOKUP($B$14,'Annual Parameters'!$B$33:$W$143,3,FALSE)/VLOOKUP('All - MECs'!$B$14,'Annual Parameters'!$B$33:$W$143,3,FALSE)</f>
        <v>-29.563455556584767</v>
      </c>
      <c r="BH109" s="3495">
        <f>'All - MECs'!BH109*VLOOKUP($B$14,'Annual Parameters'!$B$33:$W$143,3,FALSE)/VLOOKUP('All - MECs'!$B$14,'Annual Parameters'!$B$33:$W$143,3,FALSE)</f>
        <v>-23.141332284124225</v>
      </c>
      <c r="BI109" s="3496">
        <f>'All - MECs'!BI109*VLOOKUP($B$14,'Annual Parameters'!$B$33:$W$143,3,FALSE)/VLOOKUP('All - MECs'!$B$14,'Annual Parameters'!$B$33:$W$143,3,FALSE)</f>
        <v>-22.394578721135449</v>
      </c>
      <c r="BJ109" s="3501">
        <f>'All - MECs'!BJ109*VLOOKUP($B$14,'Annual Parameters'!$B$33:$W$143,3,FALSE)/VLOOKUP('All - MECs'!$B$14,'Annual Parameters'!$B$33:$W$143,3,FALSE)</f>
        <v>-22.385487535528728</v>
      </c>
      <c r="BK109" s="3502">
        <f>'All - MECs'!BK109*VLOOKUP($B$14,'Annual Parameters'!$B$33:$W$143,3,FALSE)/VLOOKUP('All - MECs'!$B$14,'Annual Parameters'!$B$33:$W$143,3,FALSE)</f>
        <v>-23.287032236266722</v>
      </c>
      <c r="BL109" s="3544"/>
      <c r="BM109" s="3521" t="s">
        <v>1098</v>
      </c>
      <c r="BN109" s="3493"/>
      <c r="BO109" s="3530" t="s">
        <v>1096</v>
      </c>
      <c r="BP109" s="3495">
        <f>'All - MECs'!BP109*VLOOKUP($B$14,'Annual Parameters'!$B$33:$W$143,3,FALSE)/VLOOKUP('All - MECs'!$B$14,'Annual Parameters'!$B$33:$W$143,3,FALSE)</f>
        <v>-18.483504062743489</v>
      </c>
      <c r="BQ109" s="3496">
        <f>'All - MECs'!BQ109*VLOOKUP($B$14,'Annual Parameters'!$B$33:$W$143,3,FALSE)/VLOOKUP('All - MECs'!$B$14,'Annual Parameters'!$B$33:$W$143,3,FALSE)</f>
        <v>-15.747144735905186</v>
      </c>
      <c r="BR109" s="3496">
        <f>'All - MECs'!BR109*VLOOKUP($B$14,'Annual Parameters'!$B$33:$W$143,3,FALSE)/VLOOKUP('All - MECs'!$B$14,'Annual Parameters'!$B$33:$W$143,3,FALSE)</f>
        <v>-19.242528679112425</v>
      </c>
      <c r="BS109" s="3503">
        <f>'All - MECs'!BS109*VLOOKUP($B$14,'Annual Parameters'!$B$33:$W$143,3,FALSE)/VLOOKUP('All - MECs'!$B$14,'Annual Parameters'!$B$33:$W$143,3,FALSE)</f>
        <v>-18.445643543609155</v>
      </c>
      <c r="BT109" s="3504">
        <f>'All - MECs'!BT109*VLOOKUP($B$14,'Annual Parameters'!$B$33:$W$143,3,FALSE)/VLOOKUP('All - MECs'!$B$14,'Annual Parameters'!$B$33:$W$143,3,FALSE)</f>
        <v>-19.515294472195677</v>
      </c>
      <c r="BU109" s="3501">
        <f>'All - MECs'!BU109*VLOOKUP($B$14,'Annual Parameters'!$B$33:$W$143,3,FALSE)/VLOOKUP('All - MECs'!$B$14,'Annual Parameters'!$B$33:$W$143,3,FALSE)</f>
        <v>-22.229307401795573</v>
      </c>
      <c r="BV109" s="3500">
        <f>'All - MECs'!BV109*VLOOKUP($B$14,'Annual Parameters'!$B$33:$W$143,3,FALSE)/VLOOKUP('All - MECs'!$B$14,'Annual Parameters'!$B$33:$W$143,3,FALSE)</f>
        <v>-16.153936956889559</v>
      </c>
      <c r="BW109" s="3501">
        <f>'All - MECs'!BW109*VLOOKUP($B$14,'Annual Parameters'!$B$33:$W$143,3,FALSE)/VLOOKUP('All - MECs'!$B$14,'Annual Parameters'!$B$33:$W$143,3,FALSE)</f>
        <v>-19.663857274287494</v>
      </c>
      <c r="BX109" s="3495">
        <f>'All - MECs'!BX109*VLOOKUP($B$14,'Annual Parameters'!$B$33:$W$143,3,FALSE)/VLOOKUP('All - MECs'!$B$14,'Annual Parameters'!$B$33:$W$143,3,FALSE)</f>
        <v>-18.452285370778615</v>
      </c>
      <c r="BY109" s="3496">
        <f>'All - MECs'!BY109*VLOOKUP($B$14,'Annual Parameters'!$B$33:$W$143,3,FALSE)/VLOOKUP('All - MECs'!$B$14,'Annual Parameters'!$B$33:$W$143,3,FALSE)</f>
        <v>-14.824573532213186</v>
      </c>
      <c r="BZ109" s="3501">
        <f>'All - MECs'!BZ109*VLOOKUP($B$14,'Annual Parameters'!$B$33:$W$143,3,FALSE)/VLOOKUP('All - MECs'!$B$14,'Annual Parameters'!$B$33:$W$143,3,FALSE)</f>
        <v>-15.235594617722681</v>
      </c>
      <c r="CA109" s="3502">
        <f>'All - MECs'!CA109*VLOOKUP($B$14,'Annual Parameters'!$B$33:$W$143,3,FALSE)/VLOOKUP('All - MECs'!$B$14,'Annual Parameters'!$B$33:$W$143,3,FALSE)</f>
        <v>-17.677855628028738</v>
      </c>
    </row>
    <row r="110" spans="1:79" ht="13.5" customHeight="1" thickBot="1">
      <c r="A110" s="3541" t="s">
        <v>1449</v>
      </c>
      <c r="B110" s="3542"/>
      <c r="C110" s="3554"/>
      <c r="D110" s="3555">
        <f>'All - MECs'!D110*VLOOKUP($B$14,'Annual Parameters'!$B$33:$W$143,3,FALSE)/VLOOKUP('All - MECs'!$B$14,'Annual Parameters'!$B$33:$W$143,3,FALSE)</f>
        <v>0.67749190613333188</v>
      </c>
      <c r="E110" s="3555">
        <f>'All - MECs'!E110*VLOOKUP($B$14,'Annual Parameters'!$B$33:$W$143,3,FALSE)/VLOOKUP('All - MECs'!$B$14,'Annual Parameters'!$B$33:$W$143,3,FALSE)</f>
        <v>148.58234580147686</v>
      </c>
      <c r="F110" s="3555">
        <f>'All - MECs'!F110*VLOOKUP($B$14,'Annual Parameters'!$B$33:$W$143,3,FALSE)/VLOOKUP('All - MECs'!$B$14,'Annual Parameters'!$B$33:$W$143,3,FALSE)</f>
        <v>79.171731407317793</v>
      </c>
      <c r="G110" s="3556">
        <f>'All - MECs'!G110*VLOOKUP($B$14,'Annual Parameters'!$B$33:$W$143,3,FALSE)/VLOOKUP('All - MECs'!$B$14,'Annual Parameters'!$B$33:$W$143,3,FALSE)</f>
        <v>5.3031840276047788</v>
      </c>
      <c r="H110" s="3555">
        <f>'All - MECs'!H110*VLOOKUP($B$14,'Annual Parameters'!$B$33:$W$143,3,FALSE)/VLOOKUP('All - MECs'!$B$14,'Annual Parameters'!$B$33:$W$143,3,FALSE)</f>
        <v>62.203652008206724</v>
      </c>
      <c r="I110" s="3557">
        <f>'All - MECs'!I110*VLOOKUP($B$14,'Annual Parameters'!$B$33:$W$143,3,FALSE)/VLOOKUP('All - MECs'!$B$14,'Annual Parameters'!$B$33:$W$143,3,FALSE)</f>
        <v>47.404263474545502</v>
      </c>
      <c r="J110" s="3558">
        <f>'All - MECs'!J110*VLOOKUP($B$14,'Annual Parameters'!$B$33:$W$143,3,FALSE)/VLOOKUP('All - MECs'!$B$14,'Annual Parameters'!$B$33:$W$143,3,FALSE)</f>
        <v>28.111187941956462</v>
      </c>
      <c r="K110" s="3559">
        <f>'All - MECs'!K110*VLOOKUP($B$14,'Annual Parameters'!$B$33:$W$143,3,FALSE)/VLOOKUP('All - MECs'!$B$14,'Annual Parameters'!$B$33:$W$143,3,FALSE)</f>
        <v>19.760449922478365</v>
      </c>
      <c r="L110" s="3556">
        <f>'All - MECs'!L110*VLOOKUP($B$14,'Annual Parameters'!$B$33:$W$143,3,FALSE)/VLOOKUP('All - MECs'!$B$14,'Annual Parameters'!$B$33:$W$143,3,FALSE)</f>
        <v>3.7477942989493749</v>
      </c>
      <c r="M110" s="3555">
        <f>'All - MECs'!M110*VLOOKUP($B$14,'Annual Parameters'!$B$33:$W$143,3,FALSE)/VLOOKUP('All - MECs'!$B$14,'Annual Parameters'!$B$33:$W$143,3,FALSE)</f>
        <v>4.2162944538583256</v>
      </c>
      <c r="N110" s="3557">
        <f>'All - MECs'!N110*VLOOKUP($B$14,'Annual Parameters'!$B$33:$W$143,3,FALSE)/VLOOKUP('All - MECs'!$B$14,'Annual Parameters'!$B$33:$W$143,3,FALSE)</f>
        <v>6.0942445089381874</v>
      </c>
      <c r="O110" s="3543">
        <f>'All - MECs'!O110*VLOOKUP($B$14,'Annual Parameters'!$B$33:$W$143,3,FALSE)/VLOOKUP('All - MECs'!$B$14,'Annual Parameters'!$B$33:$W$143,3,FALSE)</f>
        <v>22.754949085688917</v>
      </c>
      <c r="P110" s="3544"/>
      <c r="Q110" s="3541" t="s">
        <v>1449</v>
      </c>
      <c r="R110" s="3542"/>
      <c r="S110" s="3554"/>
      <c r="T110" s="3555">
        <f>'All - MECs'!T110*VLOOKUP($B$14,'Annual Parameters'!$B$33:$W$143,3,FALSE)/VLOOKUP('All - MECs'!$B$14,'Annual Parameters'!$B$33:$W$143,3,FALSE)</f>
        <v>-1.1824340388723993</v>
      </c>
      <c r="U110" s="3555">
        <f>'All - MECs'!U110*VLOOKUP($B$14,'Annual Parameters'!$B$33:$W$143,3,FALSE)/VLOOKUP('All - MECs'!$B$14,'Annual Parameters'!$B$33:$W$143,3,FALSE)</f>
        <v>147.3067111469598</v>
      </c>
      <c r="V110" s="3555">
        <f>'All - MECs'!V110*VLOOKUP($B$14,'Annual Parameters'!$B$33:$W$143,3,FALSE)/VLOOKUP('All - MECs'!$B$14,'Annual Parameters'!$B$33:$W$143,3,FALSE)</f>
        <v>77.515839185369629</v>
      </c>
      <c r="W110" s="3556">
        <f>'All - MECs'!W110*VLOOKUP($B$14,'Annual Parameters'!$B$33:$W$143,3,FALSE)/VLOOKUP('All - MECs'!$B$14,'Annual Parameters'!$B$33:$W$143,3,FALSE)</f>
        <v>3.470444443588458</v>
      </c>
      <c r="X110" s="3555">
        <f>'All - MECs'!X110*VLOOKUP($B$14,'Annual Parameters'!$B$33:$W$143,3,FALSE)/VLOOKUP('All - MECs'!$B$14,'Annual Parameters'!$B$33:$W$143,3,FALSE)</f>
        <v>60.956729390200856</v>
      </c>
      <c r="Y110" s="3557">
        <f>'All - MECs'!Y110*VLOOKUP($B$14,'Annual Parameters'!$B$33:$W$143,3,FALSE)/VLOOKUP('All - MECs'!$B$14,'Annual Parameters'!$B$33:$W$143,3,FALSE)</f>
        <v>46.149028802148706</v>
      </c>
      <c r="Z110" s="3558">
        <f>'All - MECs'!Z110*VLOOKUP($B$14,'Annual Parameters'!$B$33:$W$143,3,FALSE)/VLOOKUP('All - MECs'!$B$14,'Annual Parameters'!$B$33:$W$143,3,FALSE)</f>
        <v>26.87289539396243</v>
      </c>
      <c r="AA110" s="3559">
        <f>'All - MECs'!AA110*VLOOKUP($B$14,'Annual Parameters'!$B$33:$W$143,3,FALSE)/VLOOKUP('All - MECs'!$B$14,'Annual Parameters'!$B$33:$W$143,3,FALSE)</f>
        <v>18.588438781636228</v>
      </c>
      <c r="AB110" s="3556">
        <f>'All - MECs'!AB110*VLOOKUP($B$14,'Annual Parameters'!$B$33:$W$143,3,FALSE)/VLOOKUP('All - MECs'!$B$14,'Annual Parameters'!$B$33:$W$143,3,FALSE)</f>
        <v>1.7614822128264409</v>
      </c>
      <c r="AC110" s="3555">
        <f>'All - MECs'!AC110*VLOOKUP($B$14,'Annual Parameters'!$B$33:$W$143,3,FALSE)/VLOOKUP('All - MECs'!$B$14,'Annual Parameters'!$B$33:$W$143,3,FALSE)</f>
        <v>2.5087098117155264</v>
      </c>
      <c r="AD110" s="3557">
        <f>'All - MECs'!AD110*VLOOKUP($B$14,'Annual Parameters'!$B$33:$W$143,3,FALSE)/VLOOKUP('All - MECs'!$B$14,'Annual Parameters'!$B$33:$W$143,3,FALSE)</f>
        <v>4.7252466008801015</v>
      </c>
      <c r="AE110" s="3543">
        <f>'All - MECs'!AE110*VLOOKUP($B$14,'Annual Parameters'!$B$33:$W$143,3,FALSE)/VLOOKUP('All - MECs'!$B$14,'Annual Parameters'!$B$33:$W$143,3,FALSE)</f>
        <v>21.18753669821028</v>
      </c>
      <c r="AF110" s="3544"/>
      <c r="AG110" s="3541" t="s">
        <v>1449</v>
      </c>
      <c r="AH110" s="3542"/>
      <c r="AI110" s="3554"/>
      <c r="AJ110" s="3555">
        <f>'All - MECs'!AJ110*VLOOKUP($B$14,'Annual Parameters'!$B$33:$W$143,3,FALSE)/VLOOKUP('All - MECs'!$B$14,'Annual Parameters'!$B$33:$W$143,3,FALSE)</f>
        <v>1.6948475869226058</v>
      </c>
      <c r="AK110" s="3555">
        <f>'All - MECs'!AK110*VLOOKUP($B$14,'Annual Parameters'!$B$33:$W$143,3,FALSE)/VLOOKUP('All - MECs'!$B$14,'Annual Parameters'!$B$33:$W$143,3,FALSE)</f>
        <v>282.98818297624416</v>
      </c>
      <c r="AL110" s="3555">
        <f>'All - MECs'!AL110*VLOOKUP($B$14,'Annual Parameters'!$B$33:$W$143,3,FALSE)/VLOOKUP('All - MECs'!$B$14,'Annual Parameters'!$B$33:$W$143,3,FALSE)</f>
        <v>173.90012851822905</v>
      </c>
      <c r="AM110" s="3556">
        <f>'All - MECs'!AM110*VLOOKUP($B$14,'Annual Parameters'!$B$33:$W$143,3,FALSE)/VLOOKUP('All - MECs'!$B$14,'Annual Parameters'!$B$33:$W$143,3,FALSE)</f>
        <v>10.672668787754695</v>
      </c>
      <c r="AN110" s="3555">
        <f>'All - MECs'!AN110*VLOOKUP($B$14,'Annual Parameters'!$B$33:$W$143,3,FALSE)/VLOOKUP('All - MECs'!$B$14,'Annual Parameters'!$B$33:$W$143,3,FALSE)</f>
        <v>116.34947046975509</v>
      </c>
      <c r="AO110" s="3557">
        <f>'All - MECs'!AO110*VLOOKUP($B$14,'Annual Parameters'!$B$33:$W$143,3,FALSE)/VLOOKUP('All - MECs'!$B$14,'Annual Parameters'!$B$33:$W$143,3,FALSE)</f>
        <v>111.09045363676192</v>
      </c>
      <c r="AP110" s="3558">
        <f>'All - MECs'!AP110*VLOOKUP($B$14,'Annual Parameters'!$B$33:$W$143,3,FALSE)/VLOOKUP('All - MECs'!$B$14,'Annual Parameters'!$B$33:$W$143,3,FALSE)</f>
        <v>51.029069150388551</v>
      </c>
      <c r="AQ110" s="3559">
        <f>'All - MECs'!AQ110*VLOOKUP($B$14,'Annual Parameters'!$B$33:$W$143,3,FALSE)/VLOOKUP('All - MECs'!$B$14,'Annual Parameters'!$B$33:$W$143,3,FALSE)</f>
        <v>58.212985208373581</v>
      </c>
      <c r="AR110" s="3556">
        <f>'All - MECs'!AR110*VLOOKUP($B$14,'Annual Parameters'!$B$33:$W$143,3,FALSE)/VLOOKUP('All - MECs'!$B$14,'Annual Parameters'!$B$33:$W$143,3,FALSE)</f>
        <v>0.15337409119828749</v>
      </c>
      <c r="AS110" s="3555">
        <f>'All - MECs'!AS110*VLOOKUP($B$14,'Annual Parameters'!$B$33:$W$143,3,FALSE)/VLOOKUP('All - MECs'!$B$14,'Annual Parameters'!$B$33:$W$143,3,FALSE)</f>
        <v>7.8088925832655569</v>
      </c>
      <c r="AT110" s="3557">
        <f>'All - MECs'!AT110*VLOOKUP($B$14,'Annual Parameters'!$B$33:$W$143,3,FALSE)/VLOOKUP('All - MECs'!$B$14,'Annual Parameters'!$B$33:$W$143,3,FALSE)</f>
        <v>36.806531899450505</v>
      </c>
      <c r="AU110" s="3543">
        <f>'All - MECs'!AU110*VLOOKUP($B$14,'Annual Parameters'!$B$33:$W$143,3,FALSE)/VLOOKUP('All - MECs'!$B$14,'Annual Parameters'!$B$33:$W$143,3,FALSE)</f>
        <v>44.512264648335943</v>
      </c>
      <c r="AV110" s="3544"/>
      <c r="AW110" s="3541" t="s">
        <v>1449</v>
      </c>
      <c r="AX110" s="3542"/>
      <c r="AY110" s="3554"/>
      <c r="AZ110" s="3555">
        <f>'All - MECs'!AZ110*VLOOKUP($B$14,'Annual Parameters'!$B$33:$W$143,3,FALSE)/VLOOKUP('All - MECs'!$B$14,'Annual Parameters'!$B$33:$W$143,3,FALSE)</f>
        <v>13.562056301179755</v>
      </c>
      <c r="BA110" s="3555">
        <f>'All - MECs'!BA110*VLOOKUP($B$14,'Annual Parameters'!$B$33:$W$143,3,FALSE)/VLOOKUP('All - MECs'!$B$14,'Annual Parameters'!$B$33:$W$143,3,FALSE)</f>
        <v>450.30542123705067</v>
      </c>
      <c r="BB110" s="3555">
        <f>'All - MECs'!BB110*VLOOKUP($B$14,'Annual Parameters'!$B$33:$W$143,3,FALSE)/VLOOKUP('All - MECs'!$B$14,'Annual Parameters'!$B$33:$W$143,3,FALSE)</f>
        <v>348.10340553980774</v>
      </c>
      <c r="BC110" s="3556">
        <f>'All - MECs'!BC110*VLOOKUP($B$14,'Annual Parameters'!$B$33:$W$143,3,FALSE)/VLOOKUP('All - MECs'!$B$14,'Annual Parameters'!$B$33:$W$143,3,FALSE)</f>
        <v>27.051292168778229</v>
      </c>
      <c r="BD110" s="3555">
        <f>'All - MECs'!BD110*VLOOKUP($B$14,'Annual Parameters'!$B$33:$W$143,3,FALSE)/VLOOKUP('All - MECs'!$B$14,'Annual Parameters'!$B$33:$W$143,3,FALSE)</f>
        <v>192.33507023018922</v>
      </c>
      <c r="BE110" s="3557">
        <f>'All - MECs'!BE110*VLOOKUP($B$14,'Annual Parameters'!$B$33:$W$143,3,FALSE)/VLOOKUP('All - MECs'!$B$14,'Annual Parameters'!$B$33:$W$143,3,FALSE)</f>
        <v>249.28807189770569</v>
      </c>
      <c r="BF110" s="3558">
        <f>'All - MECs'!BF110*VLOOKUP($B$14,'Annual Parameters'!$B$33:$W$143,3,FALSE)/VLOOKUP('All - MECs'!$B$14,'Annual Parameters'!$B$33:$W$143,3,FALSE)</f>
        <v>90.858727457561884</v>
      </c>
      <c r="BG110" s="3559">
        <f>'All - MECs'!BG110*VLOOKUP($B$14,'Annual Parameters'!$B$33:$W$143,3,FALSE)/VLOOKUP('All - MECs'!$B$14,'Annual Parameters'!$B$33:$W$143,3,FALSE)</f>
        <v>167.77478238316905</v>
      </c>
      <c r="BH110" s="3556">
        <f>'All - MECs'!BH110*VLOOKUP($B$14,'Annual Parameters'!$B$33:$W$143,3,FALSE)/VLOOKUP('All - MECs'!$B$14,'Annual Parameters'!$B$33:$W$143,3,FALSE)</f>
        <v>7.4875045457793625</v>
      </c>
      <c r="BI110" s="3555">
        <f>'All - MECs'!BI110*VLOOKUP($B$14,'Annual Parameters'!$B$33:$W$143,3,FALSE)/VLOOKUP('All - MECs'!$B$14,'Annual Parameters'!$B$33:$W$143,3,FALSE)</f>
        <v>21.424216469307702</v>
      </c>
      <c r="BJ110" s="3557">
        <f>'All - MECs'!BJ110*VLOOKUP($B$14,'Annual Parameters'!$B$33:$W$143,3,FALSE)/VLOOKUP('All - MECs'!$B$14,'Annual Parameters'!$B$33:$W$143,3,FALSE)</f>
        <v>133.4257511955293</v>
      </c>
      <c r="BK110" s="3543">
        <f>'All - MECs'!BK110*VLOOKUP($B$14,'Annual Parameters'!$B$33:$W$143,3,FALSE)/VLOOKUP('All - MECs'!$B$14,'Annual Parameters'!$B$33:$W$143,3,FALSE)</f>
        <v>67.812187800469658</v>
      </c>
      <c r="BL110" s="3544"/>
      <c r="BM110" s="3541" t="s">
        <v>1449</v>
      </c>
      <c r="BN110" s="3542"/>
      <c r="BO110" s="3554"/>
      <c r="BP110" s="3555">
        <f>'All - MECs'!BP110*VLOOKUP($B$14,'Annual Parameters'!$B$33:$W$143,3,FALSE)/VLOOKUP('All - MECs'!$B$14,'Annual Parameters'!$B$33:$W$143,3,FALSE)</f>
        <v>-8.1039790710968482</v>
      </c>
      <c r="BQ110" s="3555">
        <f>'All - MECs'!BQ110*VLOOKUP($B$14,'Annual Parameters'!$B$33:$W$143,3,FALSE)/VLOOKUP('All - MECs'!$B$14,'Annual Parameters'!$B$33:$W$143,3,FALSE)</f>
        <v>351.58175107773792</v>
      </c>
      <c r="BR110" s="3555">
        <f>'All - MECs'!BR110*VLOOKUP($B$14,'Annual Parameters'!$B$33:$W$143,3,FALSE)/VLOOKUP('All - MECs'!$B$14,'Annual Parameters'!$B$33:$W$143,3,FALSE)</f>
        <v>176.95860833966549</v>
      </c>
      <c r="BS110" s="3556">
        <f>'All - MECs'!BS110*VLOOKUP($B$14,'Annual Parameters'!$B$33:$W$143,3,FALSE)/VLOOKUP('All - MECs'!$B$14,'Annual Parameters'!$B$33:$W$143,3,FALSE)</f>
        <v>2.8576979499916568</v>
      </c>
      <c r="BT110" s="3555">
        <f>'All - MECs'!BT110*VLOOKUP($B$14,'Annual Parameters'!$B$33:$W$143,3,FALSE)/VLOOKUP('All - MECs'!$B$14,'Annual Parameters'!$B$33:$W$143,3,FALSE)</f>
        <v>130.22051970483511</v>
      </c>
      <c r="BU110" s="3557">
        <f>'All - MECs'!BU110*VLOOKUP($B$14,'Annual Parameters'!$B$33:$W$143,3,FALSE)/VLOOKUP('All - MECs'!$B$14,'Annual Parameters'!$B$33:$W$143,3,FALSE)</f>
        <v>91.786248142574038</v>
      </c>
      <c r="BV110" s="3558">
        <f>'All - MECs'!BV110*VLOOKUP($B$14,'Annual Parameters'!$B$33:$W$143,3,FALSE)/VLOOKUP('All - MECs'!$B$14,'Annual Parameters'!$B$33:$W$143,3,FALSE)</f>
        <v>46.681002620533512</v>
      </c>
      <c r="BW110" s="3559">
        <f>'All - MECs'!BW110*VLOOKUP($B$14,'Annual Parameters'!$B$33:$W$143,3,FALSE)/VLOOKUP('All - MECs'!$B$14,'Annual Parameters'!$B$33:$W$143,3,FALSE)</f>
        <v>23.868416696215316</v>
      </c>
      <c r="BX110" s="3556">
        <f>'All - MECs'!BX110*VLOOKUP($B$14,'Annual Parameters'!$B$33:$W$143,3,FALSE)/VLOOKUP('All - MECs'!$B$14,'Annual Parameters'!$B$33:$W$143,3,FALSE)</f>
        <v>-0.42796561599824301</v>
      </c>
      <c r="BY110" s="3555">
        <f>'All - MECs'!BY110*VLOOKUP($B$14,'Annual Parameters'!$B$33:$W$143,3,FALSE)/VLOOKUP('All - MECs'!$B$14,'Annual Parameters'!$B$33:$W$143,3,FALSE)</f>
        <v>-0.56505560062481663</v>
      </c>
      <c r="BZ110" s="3557">
        <f>'All - MECs'!BZ110*VLOOKUP($B$14,'Annual Parameters'!$B$33:$W$143,3,FALSE)/VLOOKUP('All - MECs'!$B$14,'Annual Parameters'!$B$33:$W$143,3,FALSE)</f>
        <v>3.2704486685351046</v>
      </c>
      <c r="CA110" s="3543">
        <f>'All - MECs'!CA110*VLOOKUP($B$14,'Annual Parameters'!$B$33:$W$143,3,FALSE)/VLOOKUP('All - MECs'!$B$14,'Annual Parameters'!$B$33:$W$143,3,FALSE)</f>
        <v>39.999644146930507</v>
      </c>
    </row>
    <row r="111" spans="1:79" ht="13.5" customHeight="1" thickTop="1"/>
    <row r="112" spans="1:79" ht="13.2" customHeight="1" thickBot="1"/>
    <row r="113" spans="1:95" ht="13.95" customHeight="1" thickTop="1" thickBot="1">
      <c r="A113" s="3478" t="s">
        <v>2496</v>
      </c>
      <c r="B113" s="3479"/>
      <c r="C113" s="3479"/>
      <c r="D113" s="3480">
        <v>2035</v>
      </c>
      <c r="E113" s="3479" t="s">
        <v>2497</v>
      </c>
      <c r="F113" s="3479"/>
      <c r="G113" s="3479"/>
      <c r="H113" s="3479"/>
      <c r="I113" s="3479"/>
      <c r="J113" s="3479"/>
      <c r="K113" s="3479"/>
      <c r="L113" s="3479"/>
      <c r="M113" s="3479"/>
      <c r="N113" s="3481"/>
      <c r="O113" s="3482"/>
      <c r="P113" s="3544"/>
      <c r="Q113" s="3478" t="s">
        <v>2496</v>
      </c>
      <c r="R113" s="3479"/>
      <c r="S113" s="3479"/>
      <c r="T113" s="3480">
        <v>2035</v>
      </c>
      <c r="U113" s="3479" t="s">
        <v>2498</v>
      </c>
      <c r="V113" s="3479"/>
      <c r="W113" s="3479"/>
      <c r="X113" s="3479"/>
      <c r="Y113" s="3479"/>
      <c r="Z113" s="3479"/>
      <c r="AA113" s="3479"/>
      <c r="AB113" s="3479"/>
      <c r="AC113" s="3479"/>
      <c r="AD113" s="3481"/>
      <c r="AE113" s="3482"/>
      <c r="AF113" s="3544"/>
      <c r="AG113" s="3478" t="s">
        <v>1967</v>
      </c>
      <c r="AH113" s="3479"/>
      <c r="AI113" s="3479"/>
      <c r="AJ113" s="3480">
        <v>2035</v>
      </c>
      <c r="AK113" s="3479" t="s">
        <v>2499</v>
      </c>
      <c r="AL113" s="3479"/>
      <c r="AM113" s="3479"/>
      <c r="AN113" s="3479"/>
      <c r="AO113" s="3479"/>
      <c r="AP113" s="3479"/>
      <c r="AQ113" s="3479"/>
      <c r="AR113" s="3479"/>
      <c r="AS113" s="3479"/>
      <c r="AT113" s="3481"/>
      <c r="AU113" s="3482"/>
      <c r="AV113" s="3544"/>
      <c r="AW113" s="3478" t="s">
        <v>1963</v>
      </c>
      <c r="AX113" s="3479"/>
      <c r="AY113" s="3479"/>
      <c r="AZ113" s="3480">
        <v>2035</v>
      </c>
      <c r="BA113" s="3479" t="s">
        <v>2500</v>
      </c>
      <c r="BB113" s="3479"/>
      <c r="BC113" s="3479"/>
      <c r="BD113" s="3479"/>
      <c r="BE113" s="3479"/>
      <c r="BF113" s="3479"/>
      <c r="BG113" s="3479"/>
      <c r="BH113" s="3479"/>
      <c r="BI113" s="3479"/>
      <c r="BJ113" s="3481"/>
      <c r="BK113" s="3482"/>
      <c r="BL113" s="3544"/>
      <c r="BM113" s="3478" t="s">
        <v>1968</v>
      </c>
      <c r="BN113" s="3479"/>
      <c r="BO113" s="3479"/>
      <c r="BP113" s="3480">
        <v>2035</v>
      </c>
      <c r="BQ113" s="3479" t="s">
        <v>2501</v>
      </c>
      <c r="BR113" s="3479"/>
      <c r="BS113" s="3479"/>
      <c r="BT113" s="3479"/>
      <c r="BU113" s="3479"/>
      <c r="BV113" s="3479"/>
      <c r="BW113" s="3479"/>
      <c r="BX113" s="3479"/>
      <c r="BY113" s="3479"/>
      <c r="BZ113" s="3481"/>
      <c r="CA113" s="3482"/>
    </row>
    <row r="114" spans="1:95" ht="13.5" customHeight="1" thickTop="1">
      <c r="A114" s="3483"/>
      <c r="B114" s="3484"/>
      <c r="C114" s="3545" t="s">
        <v>1130</v>
      </c>
      <c r="D114" s="3546" t="s">
        <v>1487</v>
      </c>
      <c r="E114" s="3547"/>
      <c r="F114" s="3548"/>
      <c r="G114" s="3546" t="s">
        <v>1089</v>
      </c>
      <c r="H114" s="3547"/>
      <c r="I114" s="3548"/>
      <c r="J114" s="3549" t="s">
        <v>1132</v>
      </c>
      <c r="K114" s="3550"/>
      <c r="L114" s="3546" t="s">
        <v>789</v>
      </c>
      <c r="M114" s="3547"/>
      <c r="N114" s="3548"/>
      <c r="O114" s="3551" t="s">
        <v>1090</v>
      </c>
      <c r="P114" s="3544"/>
      <c r="Q114" s="3483"/>
      <c r="R114" s="3484"/>
      <c r="S114" s="3545" t="s">
        <v>1130</v>
      </c>
      <c r="T114" s="3546" t="s">
        <v>1487</v>
      </c>
      <c r="U114" s="3547"/>
      <c r="V114" s="3548"/>
      <c r="W114" s="3546" t="s">
        <v>1089</v>
      </c>
      <c r="X114" s="3547"/>
      <c r="Y114" s="3548"/>
      <c r="Z114" s="3549" t="s">
        <v>1132</v>
      </c>
      <c r="AA114" s="3550"/>
      <c r="AB114" s="3546" t="s">
        <v>789</v>
      </c>
      <c r="AC114" s="3547"/>
      <c r="AD114" s="3548"/>
      <c r="AE114" s="3551" t="s">
        <v>1090</v>
      </c>
      <c r="AF114" s="3544"/>
      <c r="AG114" s="3483"/>
      <c r="AH114" s="3484"/>
      <c r="AI114" s="3545" t="s">
        <v>1130</v>
      </c>
      <c r="AJ114" s="3546" t="s">
        <v>1487</v>
      </c>
      <c r="AK114" s="3547"/>
      <c r="AL114" s="3548"/>
      <c r="AM114" s="3546" t="s">
        <v>1089</v>
      </c>
      <c r="AN114" s="3547"/>
      <c r="AO114" s="3548"/>
      <c r="AP114" s="3549" t="s">
        <v>1132</v>
      </c>
      <c r="AQ114" s="3550"/>
      <c r="AR114" s="3546" t="s">
        <v>789</v>
      </c>
      <c r="AS114" s="3547"/>
      <c r="AT114" s="3548"/>
      <c r="AU114" s="3551" t="s">
        <v>1090</v>
      </c>
      <c r="AV114" s="3544"/>
      <c r="AW114" s="3483"/>
      <c r="AX114" s="3484"/>
      <c r="AY114" s="3545" t="s">
        <v>1130</v>
      </c>
      <c r="AZ114" s="3546" t="s">
        <v>1487</v>
      </c>
      <c r="BA114" s="3547"/>
      <c r="BB114" s="3548"/>
      <c r="BC114" s="3546" t="s">
        <v>1089</v>
      </c>
      <c r="BD114" s="3547"/>
      <c r="BE114" s="3548"/>
      <c r="BF114" s="3549" t="s">
        <v>1132</v>
      </c>
      <c r="BG114" s="3550"/>
      <c r="BH114" s="3546" t="s">
        <v>789</v>
      </c>
      <c r="BI114" s="3547"/>
      <c r="BJ114" s="3548"/>
      <c r="BK114" s="3551" t="s">
        <v>1090</v>
      </c>
      <c r="BL114" s="3544"/>
      <c r="BM114" s="3483"/>
      <c r="BN114" s="3484"/>
      <c r="BO114" s="3545" t="s">
        <v>1130</v>
      </c>
      <c r="BP114" s="3546" t="s">
        <v>1487</v>
      </c>
      <c r="BQ114" s="3547"/>
      <c r="BR114" s="3548"/>
      <c r="BS114" s="3546" t="s">
        <v>1089</v>
      </c>
      <c r="BT114" s="3547"/>
      <c r="BU114" s="3548"/>
      <c r="BV114" s="3549" t="s">
        <v>1132</v>
      </c>
      <c r="BW114" s="3550"/>
      <c r="BX114" s="3546" t="s">
        <v>789</v>
      </c>
      <c r="BY114" s="3547"/>
      <c r="BZ114" s="3548"/>
      <c r="CA114" s="3551" t="s">
        <v>1090</v>
      </c>
      <c r="CB114" s="2898"/>
      <c r="CC114" s="2898"/>
      <c r="CD114" s="2898"/>
      <c r="CE114" s="2898"/>
      <c r="CF114" s="2898"/>
      <c r="CG114" s="2898"/>
      <c r="CH114" s="2898"/>
      <c r="CI114" s="2898"/>
      <c r="CJ114" s="2898"/>
      <c r="CK114" s="2898"/>
      <c r="CL114" s="2898"/>
      <c r="CM114" s="2898"/>
      <c r="CN114" s="2898"/>
      <c r="CO114" s="2898"/>
      <c r="CP114" s="2898"/>
      <c r="CQ114" s="2898"/>
    </row>
    <row r="115" spans="1:95" ht="13.5" customHeight="1" thickBot="1">
      <c r="A115" s="3485" t="s">
        <v>1093</v>
      </c>
      <c r="B115" s="3486"/>
      <c r="C115" s="3489"/>
      <c r="D115" s="3487" t="s">
        <v>1058</v>
      </c>
      <c r="E115" s="3488" t="s">
        <v>1091</v>
      </c>
      <c r="F115" s="3489" t="s">
        <v>1092</v>
      </c>
      <c r="G115" s="3490" t="s">
        <v>1058</v>
      </c>
      <c r="H115" s="3491" t="s">
        <v>1091</v>
      </c>
      <c r="I115" s="3492" t="s">
        <v>1092</v>
      </c>
      <c r="J115" s="3487" t="s">
        <v>1091</v>
      </c>
      <c r="K115" s="3489" t="s">
        <v>1092</v>
      </c>
      <c r="L115" s="3487" t="s">
        <v>1058</v>
      </c>
      <c r="M115" s="3488" t="s">
        <v>1091</v>
      </c>
      <c r="N115" s="3489" t="s">
        <v>1092</v>
      </c>
      <c r="O115" s="3552"/>
      <c r="P115" s="3544"/>
      <c r="Q115" s="3485" t="s">
        <v>1093</v>
      </c>
      <c r="R115" s="3486"/>
      <c r="S115" s="3489"/>
      <c r="T115" s="3487" t="s">
        <v>1058</v>
      </c>
      <c r="U115" s="3488" t="s">
        <v>1091</v>
      </c>
      <c r="V115" s="3489" t="s">
        <v>1092</v>
      </c>
      <c r="W115" s="3490" t="s">
        <v>1058</v>
      </c>
      <c r="X115" s="3491" t="s">
        <v>1091</v>
      </c>
      <c r="Y115" s="3492" t="s">
        <v>1092</v>
      </c>
      <c r="Z115" s="3487" t="s">
        <v>1091</v>
      </c>
      <c r="AA115" s="3489" t="s">
        <v>1092</v>
      </c>
      <c r="AB115" s="3487" t="s">
        <v>1058</v>
      </c>
      <c r="AC115" s="3488" t="s">
        <v>1091</v>
      </c>
      <c r="AD115" s="3489" t="s">
        <v>1092</v>
      </c>
      <c r="AE115" s="3552"/>
      <c r="AF115" s="3544"/>
      <c r="AG115" s="3485" t="s">
        <v>1093</v>
      </c>
      <c r="AH115" s="3486"/>
      <c r="AI115" s="3489"/>
      <c r="AJ115" s="3487" t="s">
        <v>1058</v>
      </c>
      <c r="AK115" s="3488" t="s">
        <v>1091</v>
      </c>
      <c r="AL115" s="3489" t="s">
        <v>1092</v>
      </c>
      <c r="AM115" s="3490" t="s">
        <v>1058</v>
      </c>
      <c r="AN115" s="3491" t="s">
        <v>1091</v>
      </c>
      <c r="AO115" s="3492" t="s">
        <v>1092</v>
      </c>
      <c r="AP115" s="3487" t="s">
        <v>1091</v>
      </c>
      <c r="AQ115" s="3489" t="s">
        <v>1092</v>
      </c>
      <c r="AR115" s="3487" t="s">
        <v>1058</v>
      </c>
      <c r="AS115" s="3488" t="s">
        <v>1091</v>
      </c>
      <c r="AT115" s="3489" t="s">
        <v>1092</v>
      </c>
      <c r="AU115" s="3552"/>
      <c r="AV115" s="3544"/>
      <c r="AW115" s="3485" t="s">
        <v>1093</v>
      </c>
      <c r="AX115" s="3486"/>
      <c r="AY115" s="3489"/>
      <c r="AZ115" s="3487" t="s">
        <v>1058</v>
      </c>
      <c r="BA115" s="3488" t="s">
        <v>1091</v>
      </c>
      <c r="BB115" s="3489" t="s">
        <v>1092</v>
      </c>
      <c r="BC115" s="3490" t="s">
        <v>1058</v>
      </c>
      <c r="BD115" s="3491" t="s">
        <v>1091</v>
      </c>
      <c r="BE115" s="3492" t="s">
        <v>1092</v>
      </c>
      <c r="BF115" s="3487" t="s">
        <v>1091</v>
      </c>
      <c r="BG115" s="3489" t="s">
        <v>1092</v>
      </c>
      <c r="BH115" s="3487" t="s">
        <v>1058</v>
      </c>
      <c r="BI115" s="3488" t="s">
        <v>1091</v>
      </c>
      <c r="BJ115" s="3489" t="s">
        <v>1092</v>
      </c>
      <c r="BK115" s="3552"/>
      <c r="BL115" s="3544"/>
      <c r="BM115" s="3485" t="s">
        <v>1093</v>
      </c>
      <c r="BN115" s="3486"/>
      <c r="BO115" s="3489"/>
      <c r="BP115" s="3487" t="s">
        <v>1058</v>
      </c>
      <c r="BQ115" s="3488" t="s">
        <v>1091</v>
      </c>
      <c r="BR115" s="3489" t="s">
        <v>1092</v>
      </c>
      <c r="BS115" s="3490" t="s">
        <v>1058</v>
      </c>
      <c r="BT115" s="3491" t="s">
        <v>1091</v>
      </c>
      <c r="BU115" s="3492" t="s">
        <v>1092</v>
      </c>
      <c r="BV115" s="3487" t="s">
        <v>1091</v>
      </c>
      <c r="BW115" s="3489" t="s">
        <v>1092</v>
      </c>
      <c r="BX115" s="3487" t="s">
        <v>1058</v>
      </c>
      <c r="BY115" s="3488" t="s">
        <v>1091</v>
      </c>
      <c r="BZ115" s="3489" t="s">
        <v>1092</v>
      </c>
      <c r="CA115" s="3552"/>
    </row>
    <row r="116" spans="1:95" ht="13.5" customHeight="1" thickTop="1">
      <c r="A116" s="3553" t="s">
        <v>1094</v>
      </c>
      <c r="B116" s="3493"/>
      <c r="C116" s="3494">
        <v>1</v>
      </c>
      <c r="D116" s="3495">
        <f>'All - MECs'!D116*VLOOKUP($B$14,'Annual Parameters'!$B$33:$W$143,3,FALSE)/VLOOKUP('All - MECs'!$B$14,'Annual Parameters'!$B$33:$W$143,3,FALSE)</f>
        <v>2.7685864853558818E-3</v>
      </c>
      <c r="E116" s="3496">
        <f>'All - MECs'!E116*VLOOKUP($B$14,'Annual Parameters'!$B$33:$W$143,3,FALSE)/VLOOKUP('All - MECs'!$B$14,'Annual Parameters'!$B$33:$W$143,3,FALSE)</f>
        <v>1.5411558464600477</v>
      </c>
      <c r="F116" s="3496">
        <f>'All - MECs'!F116*VLOOKUP($B$14,'Annual Parameters'!$B$33:$W$143,3,FALSE)/VLOOKUP('All - MECs'!$B$14,'Annual Parameters'!$B$33:$W$143,3,FALSE)</f>
        <v>15.944100994728739</v>
      </c>
      <c r="G116" s="3497">
        <f>'All - MECs'!G116*VLOOKUP($B$14,'Annual Parameters'!$B$33:$W$143,3,FALSE)/VLOOKUP('All - MECs'!$B$14,'Annual Parameters'!$B$33:$W$143,3,FALSE)</f>
        <v>1.6994895648181477E-2</v>
      </c>
      <c r="H116" s="3498">
        <f>'All - MECs'!H116*VLOOKUP($B$14,'Annual Parameters'!$B$33:$W$143,3,FALSE)/VLOOKUP('All - MECs'!$B$14,'Annual Parameters'!$B$33:$W$143,3,FALSE)</f>
        <v>1.0442565263432499</v>
      </c>
      <c r="I116" s="3499">
        <f>'All - MECs'!I116*VLOOKUP($B$14,'Annual Parameters'!$B$33:$W$143,3,FALSE)/VLOOKUP('All - MECs'!$B$14,'Annual Parameters'!$B$33:$W$143,3,FALSE)</f>
        <v>2.7441422567850169</v>
      </c>
      <c r="J116" s="3500">
        <f>'All - MECs'!J116*VLOOKUP($B$14,'Annual Parameters'!$B$33:$W$143,3,FALSE)/VLOOKUP('All - MECs'!$B$14,'Annual Parameters'!$B$33:$W$143,3,FALSE)</f>
        <v>0.66280020107491167</v>
      </c>
      <c r="K116" s="3501">
        <f>'All - MECs'!K116*VLOOKUP($B$14,'Annual Parameters'!$B$33:$W$143,3,FALSE)/VLOOKUP('All - MECs'!$B$14,'Annual Parameters'!$B$33:$W$143,3,FALSE)</f>
        <v>2.6000212641760116</v>
      </c>
      <c r="L116" s="3495">
        <f>'All - MECs'!L116*VLOOKUP($B$14,'Annual Parameters'!$B$33:$W$143,3,FALSE)/VLOOKUP('All - MECs'!$B$14,'Annual Parameters'!$B$33:$W$143,3,FALSE)</f>
        <v>5.2256133856210651E-3</v>
      </c>
      <c r="M116" s="3496">
        <f>'All - MECs'!M116*VLOOKUP($B$14,'Annual Parameters'!$B$33:$W$143,3,FALSE)/VLOOKUP('All - MECs'!$B$14,'Annual Parameters'!$B$33:$W$143,3,FALSE)</f>
        <v>0.52513312923341726</v>
      </c>
      <c r="N116" s="3501">
        <f>'All - MECs'!N116*VLOOKUP($B$14,'Annual Parameters'!$B$33:$W$143,3,FALSE)/VLOOKUP('All - MECs'!$B$14,'Annual Parameters'!$B$33:$W$143,3,FALSE)</f>
        <v>0.23967418123884973</v>
      </c>
      <c r="O116" s="3502">
        <f>'All - MECs'!O116*VLOOKUP($B$14,'Annual Parameters'!$B$33:$W$143,3,FALSE)/VLOOKUP('All - MECs'!$B$14,'Annual Parameters'!$B$33:$W$143,3,FALSE)</f>
        <v>1.4715496055715669</v>
      </c>
      <c r="P116" s="3544"/>
      <c r="Q116" s="3553" t="s">
        <v>1094</v>
      </c>
      <c r="R116" s="3493"/>
      <c r="S116" s="3494">
        <v>1</v>
      </c>
      <c r="T116" s="3495">
        <f>'All - MECs'!T116*VLOOKUP($B$14,'Annual Parameters'!$B$33:$W$143,3,FALSE)/VLOOKUP('All - MECs'!$B$14,'Annual Parameters'!$B$33:$W$143,3,FALSE)</f>
        <v>2.7685864853558818E-3</v>
      </c>
      <c r="U116" s="3496">
        <f>'All - MECs'!U116*VLOOKUP($B$14,'Annual Parameters'!$B$33:$W$143,3,FALSE)/VLOOKUP('All - MECs'!$B$14,'Annual Parameters'!$B$33:$W$143,3,FALSE)</f>
        <v>1.5411558464600477</v>
      </c>
      <c r="V116" s="3496">
        <f>'All - MECs'!V116*VLOOKUP($B$14,'Annual Parameters'!$B$33:$W$143,3,FALSE)/VLOOKUP('All - MECs'!$B$14,'Annual Parameters'!$B$33:$W$143,3,FALSE)</f>
        <v>15.944100994728739</v>
      </c>
      <c r="W116" s="3497">
        <f>'All - MECs'!W116*VLOOKUP($B$14,'Annual Parameters'!$B$33:$W$143,3,FALSE)/VLOOKUP('All - MECs'!$B$14,'Annual Parameters'!$B$33:$W$143,3,FALSE)</f>
        <v>1.6994895648181477E-2</v>
      </c>
      <c r="X116" s="3498">
        <f>'All - MECs'!X116*VLOOKUP($B$14,'Annual Parameters'!$B$33:$W$143,3,FALSE)/VLOOKUP('All - MECs'!$B$14,'Annual Parameters'!$B$33:$W$143,3,FALSE)</f>
        <v>1.0442565263432499</v>
      </c>
      <c r="Y116" s="3499">
        <f>'All - MECs'!Y116*VLOOKUP($B$14,'Annual Parameters'!$B$33:$W$143,3,FALSE)/VLOOKUP('All - MECs'!$B$14,'Annual Parameters'!$B$33:$W$143,3,FALSE)</f>
        <v>2.7441422567850169</v>
      </c>
      <c r="Z116" s="3500">
        <f>'All - MECs'!Z116*VLOOKUP($B$14,'Annual Parameters'!$B$33:$W$143,3,FALSE)/VLOOKUP('All - MECs'!$B$14,'Annual Parameters'!$B$33:$W$143,3,FALSE)</f>
        <v>0.66280020107491167</v>
      </c>
      <c r="AA116" s="3501">
        <f>'All - MECs'!AA116*VLOOKUP($B$14,'Annual Parameters'!$B$33:$W$143,3,FALSE)/VLOOKUP('All - MECs'!$B$14,'Annual Parameters'!$B$33:$W$143,3,FALSE)</f>
        <v>2.6000212641760116</v>
      </c>
      <c r="AB116" s="3495">
        <f>'All - MECs'!AB116*VLOOKUP($B$14,'Annual Parameters'!$B$33:$W$143,3,FALSE)/VLOOKUP('All - MECs'!$B$14,'Annual Parameters'!$B$33:$W$143,3,FALSE)</f>
        <v>5.2256133856210651E-3</v>
      </c>
      <c r="AC116" s="3496">
        <f>'All - MECs'!AC116*VLOOKUP($B$14,'Annual Parameters'!$B$33:$W$143,3,FALSE)/VLOOKUP('All - MECs'!$B$14,'Annual Parameters'!$B$33:$W$143,3,FALSE)</f>
        <v>0.52513312923341726</v>
      </c>
      <c r="AD116" s="3501">
        <f>'All - MECs'!AD116*VLOOKUP($B$14,'Annual Parameters'!$B$33:$W$143,3,FALSE)/VLOOKUP('All - MECs'!$B$14,'Annual Parameters'!$B$33:$W$143,3,FALSE)</f>
        <v>0.23967418123884973</v>
      </c>
      <c r="AE116" s="3502">
        <f>'All - MECs'!AE116*VLOOKUP($B$14,'Annual Parameters'!$B$33:$W$143,3,FALSE)/VLOOKUP('All - MECs'!$B$14,'Annual Parameters'!$B$33:$W$143,3,FALSE)</f>
        <v>1.4715496055715669</v>
      </c>
      <c r="AF116" s="3544"/>
      <c r="AG116" s="3553" t="s">
        <v>1094</v>
      </c>
      <c r="AH116" s="3493"/>
      <c r="AI116" s="3494">
        <v>1</v>
      </c>
      <c r="AJ116" s="3495">
        <f>'All - MECs'!AJ116*VLOOKUP($B$14,'Annual Parameters'!$B$33:$W$143,3,FALSE)/VLOOKUP('All - MECs'!$B$14,'Annual Parameters'!$B$33:$W$143,3,FALSE)</f>
        <v>5.2603143221761749E-3</v>
      </c>
      <c r="AK116" s="3496">
        <f>'All - MECs'!AK116*VLOOKUP($B$14,'Annual Parameters'!$B$33:$W$143,3,FALSE)/VLOOKUP('All - MECs'!$B$14,'Annual Parameters'!$B$33:$W$143,3,FALSE)</f>
        <v>2.9281961082740908</v>
      </c>
      <c r="AL116" s="3496">
        <f>'All - MECs'!AL116*VLOOKUP($B$14,'Annual Parameters'!$B$33:$W$143,3,FALSE)/VLOOKUP('All - MECs'!$B$14,'Annual Parameters'!$B$33:$W$143,3,FALSE)</f>
        <v>30.293791889984604</v>
      </c>
      <c r="AM116" s="3497">
        <f>'All - MECs'!AM116*VLOOKUP($B$14,'Annual Parameters'!$B$33:$W$143,3,FALSE)/VLOOKUP('All - MECs'!$B$14,'Annual Parameters'!$B$33:$W$143,3,FALSE)</f>
        <v>3.2290301731544804E-2</v>
      </c>
      <c r="AN116" s="3498">
        <f>'All - MECs'!AN116*VLOOKUP($B$14,'Annual Parameters'!$B$33:$W$143,3,FALSE)/VLOOKUP('All - MECs'!$B$14,'Annual Parameters'!$B$33:$W$143,3,FALSE)</f>
        <v>1.9840874000521749</v>
      </c>
      <c r="AO116" s="3499">
        <f>'All - MECs'!AO116*VLOOKUP($B$14,'Annual Parameters'!$B$33:$W$143,3,FALSE)/VLOOKUP('All - MECs'!$B$14,'Annual Parameters'!$B$33:$W$143,3,FALSE)</f>
        <v>5.213870287891532</v>
      </c>
      <c r="AP116" s="3500">
        <f>'All - MECs'!AP116*VLOOKUP($B$14,'Annual Parameters'!$B$33:$W$143,3,FALSE)/VLOOKUP('All - MECs'!$B$14,'Annual Parameters'!$B$33:$W$143,3,FALSE)</f>
        <v>1.2593203820423322</v>
      </c>
      <c r="AQ116" s="3501">
        <f>'All - MECs'!AQ116*VLOOKUP($B$14,'Annual Parameters'!$B$33:$W$143,3,FALSE)/VLOOKUP('All - MECs'!$B$14,'Annual Parameters'!$B$33:$W$143,3,FALSE)</f>
        <v>4.9400404019344215</v>
      </c>
      <c r="AR116" s="3495">
        <f>'All - MECs'!AR116*VLOOKUP($B$14,'Annual Parameters'!$B$33:$W$143,3,FALSE)/VLOOKUP('All - MECs'!$B$14,'Annual Parameters'!$B$33:$W$143,3,FALSE)</f>
        <v>9.9286654326800235E-3</v>
      </c>
      <c r="AS116" s="3496">
        <f>'All - MECs'!AS116*VLOOKUP($B$14,'Annual Parameters'!$B$33:$W$143,3,FALSE)/VLOOKUP('All - MECs'!$B$14,'Annual Parameters'!$B$33:$W$143,3,FALSE)</f>
        <v>0.9977529455434927</v>
      </c>
      <c r="AT116" s="3501">
        <f>'All - MECs'!AT116*VLOOKUP($B$14,'Annual Parameters'!$B$33:$W$143,3,FALSE)/VLOOKUP('All - MECs'!$B$14,'Annual Parameters'!$B$33:$W$143,3,FALSE)</f>
        <v>0.45538094435381443</v>
      </c>
      <c r="AU116" s="3502">
        <f>'All - MECs'!AU116*VLOOKUP($B$14,'Annual Parameters'!$B$33:$W$143,3,FALSE)/VLOOKUP('All - MECs'!$B$14,'Annual Parameters'!$B$33:$W$143,3,FALSE)</f>
        <v>2.7959442505859773</v>
      </c>
      <c r="AV116" s="3544"/>
      <c r="AW116" s="3553" t="s">
        <v>1094</v>
      </c>
      <c r="AX116" s="3493"/>
      <c r="AY116" s="3494">
        <v>1</v>
      </c>
      <c r="AZ116" s="3495">
        <f>'All - MECs'!AZ116*VLOOKUP($B$14,'Annual Parameters'!$B$33:$W$143,3,FALSE)/VLOOKUP('All - MECs'!$B$14,'Annual Parameters'!$B$33:$W$143,3,FALSE)</f>
        <v>8.0289008075320571E-3</v>
      </c>
      <c r="BA116" s="3496">
        <f>'All - MECs'!BA116*VLOOKUP($B$14,'Annual Parameters'!$B$33:$W$143,3,FALSE)/VLOOKUP('All - MECs'!$B$14,'Annual Parameters'!$B$33:$W$143,3,FALSE)</f>
        <v>4.4693519547341385</v>
      </c>
      <c r="BB116" s="3496">
        <f>'All - MECs'!BB116*VLOOKUP($B$14,'Annual Parameters'!$B$33:$W$143,3,FALSE)/VLOOKUP('All - MECs'!$B$14,'Annual Parameters'!$B$33:$W$143,3,FALSE)</f>
        <v>46.237892884713339</v>
      </c>
      <c r="BC116" s="3497">
        <f>'All - MECs'!BC116*VLOOKUP($B$14,'Annual Parameters'!$B$33:$W$143,3,FALSE)/VLOOKUP('All - MECs'!$B$14,'Annual Parameters'!$B$33:$W$143,3,FALSE)</f>
        <v>4.9285197379726281E-2</v>
      </c>
      <c r="BD116" s="3498">
        <f>'All - MECs'!BD116*VLOOKUP($B$14,'Annual Parameters'!$B$33:$W$143,3,FALSE)/VLOOKUP('All - MECs'!$B$14,'Annual Parameters'!$B$33:$W$143,3,FALSE)</f>
        <v>3.0283439263954248</v>
      </c>
      <c r="BE116" s="3499">
        <f>'All - MECs'!BE116*VLOOKUP($B$14,'Annual Parameters'!$B$33:$W$143,3,FALSE)/VLOOKUP('All - MECs'!$B$14,'Annual Parameters'!$B$33:$W$143,3,FALSE)</f>
        <v>7.9580125446765484</v>
      </c>
      <c r="BF116" s="3500">
        <f>'All - MECs'!BF116*VLOOKUP($B$14,'Annual Parameters'!$B$33:$W$143,3,FALSE)/VLOOKUP('All - MECs'!$B$14,'Annual Parameters'!$B$33:$W$143,3,FALSE)</f>
        <v>1.9221205831172439</v>
      </c>
      <c r="BG116" s="3501">
        <f>'All - MECs'!BG116*VLOOKUP($B$14,'Annual Parameters'!$B$33:$W$143,3,FALSE)/VLOOKUP('All - MECs'!$B$14,'Annual Parameters'!$B$33:$W$143,3,FALSE)</f>
        <v>7.5400616661104332</v>
      </c>
      <c r="BH116" s="3495">
        <f>'All - MECs'!BH116*VLOOKUP($B$14,'Annual Parameters'!$B$33:$W$143,3,FALSE)/VLOOKUP('All - MECs'!$B$14,'Annual Parameters'!$B$33:$W$143,3,FALSE)</f>
        <v>1.5154278818301089E-2</v>
      </c>
      <c r="BI116" s="3496">
        <f>'All - MECs'!BI116*VLOOKUP($B$14,'Annual Parameters'!$B$33:$W$143,3,FALSE)/VLOOKUP('All - MECs'!$B$14,'Annual Parameters'!$B$33:$W$143,3,FALSE)</f>
        <v>1.52288607477691</v>
      </c>
      <c r="BJ116" s="3501">
        <f>'All - MECs'!BJ116*VLOOKUP($B$14,'Annual Parameters'!$B$33:$W$143,3,FALSE)/VLOOKUP('All - MECs'!$B$14,'Annual Parameters'!$B$33:$W$143,3,FALSE)</f>
        <v>0.69505512559266402</v>
      </c>
      <c r="BK116" s="3502">
        <f>'All - MECs'!BK116*VLOOKUP($B$14,'Annual Parameters'!$B$33:$W$143,3,FALSE)/VLOOKUP('All - MECs'!$B$14,'Annual Parameters'!$B$33:$W$143,3,FALSE)</f>
        <v>4.2674938561575448</v>
      </c>
      <c r="BL116" s="3544"/>
      <c r="BM116" s="3553" t="s">
        <v>1094</v>
      </c>
      <c r="BN116" s="3493"/>
      <c r="BO116" s="3494">
        <v>1</v>
      </c>
      <c r="BP116" s="3495">
        <f>'All - MECs'!BP116*VLOOKUP($B$14,'Annual Parameters'!$B$33:$W$143,3,FALSE)/VLOOKUP('All - MECs'!$B$14,'Annual Parameters'!$B$33:$W$143,3,FALSE)</f>
        <v>6.9214662133897046E-3</v>
      </c>
      <c r="BQ116" s="3496">
        <f>'All - MECs'!BQ116*VLOOKUP($B$14,'Annual Parameters'!$B$33:$W$143,3,FALSE)/VLOOKUP('All - MECs'!$B$14,'Annual Parameters'!$B$33:$W$143,3,FALSE)</f>
        <v>3.8528896161501196</v>
      </c>
      <c r="BR116" s="3496">
        <f>'All - MECs'!BR116*VLOOKUP($B$14,'Annual Parameters'!$B$33:$W$143,3,FALSE)/VLOOKUP('All - MECs'!$B$14,'Annual Parameters'!$B$33:$W$143,3,FALSE)</f>
        <v>39.86025248682185</v>
      </c>
      <c r="BS116" s="3497">
        <f>'All - MECs'!BS116*VLOOKUP($B$14,'Annual Parameters'!$B$33:$W$143,3,FALSE)/VLOOKUP('All - MECs'!$B$14,'Annual Parameters'!$B$33:$W$143,3,FALSE)</f>
        <v>4.2487239120453692E-2</v>
      </c>
      <c r="BT116" s="3498">
        <f>'All - MECs'!BT116*VLOOKUP($B$14,'Annual Parameters'!$B$33:$W$143,3,FALSE)/VLOOKUP('All - MECs'!$B$14,'Annual Parameters'!$B$33:$W$143,3,FALSE)</f>
        <v>2.6106413158581243</v>
      </c>
      <c r="BU116" s="3499">
        <f>'All - MECs'!BU116*VLOOKUP($B$14,'Annual Parameters'!$B$33:$W$143,3,FALSE)/VLOOKUP('All - MECs'!$B$14,'Annual Parameters'!$B$33:$W$143,3,FALSE)</f>
        <v>6.860355641962542</v>
      </c>
      <c r="BV116" s="3500">
        <f>'All - MECs'!BV116*VLOOKUP($B$14,'Annual Parameters'!$B$33:$W$143,3,FALSE)/VLOOKUP('All - MECs'!$B$14,'Annual Parameters'!$B$33:$W$143,3,FALSE)</f>
        <v>1.6570005026872792</v>
      </c>
      <c r="BW116" s="3501">
        <f>'All - MECs'!BW116*VLOOKUP($B$14,'Annual Parameters'!$B$33:$W$143,3,FALSE)/VLOOKUP('All - MECs'!$B$14,'Annual Parameters'!$B$33:$W$143,3,FALSE)</f>
        <v>6.5000531604400287</v>
      </c>
      <c r="BX116" s="3495">
        <f>'All - MECs'!BX116*VLOOKUP($B$14,'Annual Parameters'!$B$33:$W$143,3,FALSE)/VLOOKUP('All - MECs'!$B$14,'Annual Parameters'!$B$33:$W$143,3,FALSE)</f>
        <v>1.3064033464052665E-2</v>
      </c>
      <c r="BY116" s="3496">
        <f>'All - MECs'!BY116*VLOOKUP($B$14,'Annual Parameters'!$B$33:$W$143,3,FALSE)/VLOOKUP('All - MECs'!$B$14,'Annual Parameters'!$B$33:$W$143,3,FALSE)</f>
        <v>1.3128328230835431</v>
      </c>
      <c r="BZ116" s="3501">
        <f>'All - MECs'!BZ116*VLOOKUP($B$14,'Annual Parameters'!$B$33:$W$143,3,FALSE)/VLOOKUP('All - MECs'!$B$14,'Annual Parameters'!$B$33:$W$143,3,FALSE)</f>
        <v>0.59918545309712423</v>
      </c>
      <c r="CA116" s="3502">
        <f>'All - MECs'!CA116*VLOOKUP($B$14,'Annual Parameters'!$B$33:$W$143,3,FALSE)/VLOOKUP('All - MECs'!$B$14,'Annual Parameters'!$B$33:$W$143,3,FALSE)</f>
        <v>3.6788740139289176</v>
      </c>
    </row>
    <row r="117" spans="1:95" ht="13.5" customHeight="1">
      <c r="A117" s="3553"/>
      <c r="B117" s="3493"/>
      <c r="C117" s="3494">
        <v>2</v>
      </c>
      <c r="D117" s="3495">
        <f>'All - MECs'!D117*VLOOKUP($B$14,'Annual Parameters'!$B$33:$W$143,3,FALSE)/VLOOKUP('All - MECs'!$B$14,'Annual Parameters'!$B$33:$W$143,3,FALSE)</f>
        <v>2.0012270422458629E-2</v>
      </c>
      <c r="E117" s="3496">
        <f>'All - MECs'!E117*VLOOKUP($B$14,'Annual Parameters'!$B$33:$W$143,3,FALSE)/VLOOKUP('All - MECs'!$B$14,'Annual Parameters'!$B$33:$W$143,3,FALSE)</f>
        <v>4.8586930445143182</v>
      </c>
      <c r="F117" s="3496">
        <f>'All - MECs'!F117*VLOOKUP($B$14,'Annual Parameters'!$B$33:$W$143,3,FALSE)/VLOOKUP('All - MECs'!$B$14,'Annual Parameters'!$B$33:$W$143,3,FALSE)</f>
        <v>35.121872812109132</v>
      </c>
      <c r="G117" s="3503">
        <f>'All - MECs'!G117*VLOOKUP($B$14,'Annual Parameters'!$B$33:$W$143,3,FALSE)/VLOOKUP('All - MECs'!$B$14,'Annual Parameters'!$B$33:$W$143,3,FALSE)</f>
        <v>5.8104729290501832E-2</v>
      </c>
      <c r="H117" s="3504">
        <f>'All - MECs'!H117*VLOOKUP($B$14,'Annual Parameters'!$B$33:$W$143,3,FALSE)/VLOOKUP('All - MECs'!$B$14,'Annual Parameters'!$B$33:$W$143,3,FALSE)</f>
        <v>3.6714075443491949</v>
      </c>
      <c r="I117" s="3501">
        <f>'All - MECs'!I117*VLOOKUP($B$14,'Annual Parameters'!$B$33:$W$143,3,FALSE)/VLOOKUP('All - MECs'!$B$14,'Annual Parameters'!$B$33:$W$143,3,FALSE)</f>
        <v>10.447510370416781</v>
      </c>
      <c r="J117" s="3500">
        <f>'All - MECs'!J117*VLOOKUP($B$14,'Annual Parameters'!$B$33:$W$143,3,FALSE)/VLOOKUP('All - MECs'!$B$14,'Annual Parameters'!$B$33:$W$143,3,FALSE)</f>
        <v>2.1223669623753367</v>
      </c>
      <c r="K117" s="3501">
        <f>'All - MECs'!K117*VLOOKUP($B$14,'Annual Parameters'!$B$33:$W$143,3,FALSE)/VLOOKUP('All - MECs'!$B$14,'Annual Parameters'!$B$33:$W$143,3,FALSE)</f>
        <v>10.09638498812099</v>
      </c>
      <c r="L117" s="3495">
        <f>'All - MECs'!L117*VLOOKUP($B$14,'Annual Parameters'!$B$33:$W$143,3,FALSE)/VLOOKUP('All - MECs'!$B$14,'Annual Parameters'!$B$33:$W$143,3,FALSE)</f>
        <v>2.5932206221666313E-2</v>
      </c>
      <c r="M117" s="3496">
        <f>'All - MECs'!M117*VLOOKUP($B$14,'Annual Parameters'!$B$33:$W$143,3,FALSE)/VLOOKUP('All - MECs'!$B$14,'Annual Parameters'!$B$33:$W$143,3,FALSE)</f>
        <v>1.5107724369429516</v>
      </c>
      <c r="N117" s="3501">
        <f>'All - MECs'!N117*VLOOKUP($B$14,'Annual Parameters'!$B$33:$W$143,3,FALSE)/VLOOKUP('All - MECs'!$B$14,'Annual Parameters'!$B$33:$W$143,3,FALSE)</f>
        <v>1.8940030774352978</v>
      </c>
      <c r="O117" s="3502">
        <f>'All - MECs'!O117*VLOOKUP($B$14,'Annual Parameters'!$B$33:$W$143,3,FALSE)/VLOOKUP('All - MECs'!$B$14,'Annual Parameters'!$B$33:$W$143,3,FALSE)</f>
        <v>3.8880317506776021</v>
      </c>
      <c r="P117" s="3544"/>
      <c r="Q117" s="3553"/>
      <c r="R117" s="3493"/>
      <c r="S117" s="3494">
        <v>2</v>
      </c>
      <c r="T117" s="3495">
        <f>'All - MECs'!T117*VLOOKUP($B$14,'Annual Parameters'!$B$33:$W$143,3,FALSE)/VLOOKUP('All - MECs'!$B$14,'Annual Parameters'!$B$33:$W$143,3,FALSE)</f>
        <v>2.0012270422458629E-2</v>
      </c>
      <c r="U117" s="3496">
        <f>'All - MECs'!U117*VLOOKUP($B$14,'Annual Parameters'!$B$33:$W$143,3,FALSE)/VLOOKUP('All - MECs'!$B$14,'Annual Parameters'!$B$33:$W$143,3,FALSE)</f>
        <v>4.8586930445143182</v>
      </c>
      <c r="V117" s="3496">
        <f>'All - MECs'!V117*VLOOKUP($B$14,'Annual Parameters'!$B$33:$W$143,3,FALSE)/VLOOKUP('All - MECs'!$B$14,'Annual Parameters'!$B$33:$W$143,3,FALSE)</f>
        <v>35.121872812109132</v>
      </c>
      <c r="W117" s="3503">
        <f>'All - MECs'!W117*VLOOKUP($B$14,'Annual Parameters'!$B$33:$W$143,3,FALSE)/VLOOKUP('All - MECs'!$B$14,'Annual Parameters'!$B$33:$W$143,3,FALSE)</f>
        <v>5.8104729290501832E-2</v>
      </c>
      <c r="X117" s="3504">
        <f>'All - MECs'!X117*VLOOKUP($B$14,'Annual Parameters'!$B$33:$W$143,3,FALSE)/VLOOKUP('All - MECs'!$B$14,'Annual Parameters'!$B$33:$W$143,3,FALSE)</f>
        <v>3.6714075443491949</v>
      </c>
      <c r="Y117" s="3501">
        <f>'All - MECs'!Y117*VLOOKUP($B$14,'Annual Parameters'!$B$33:$W$143,3,FALSE)/VLOOKUP('All - MECs'!$B$14,'Annual Parameters'!$B$33:$W$143,3,FALSE)</f>
        <v>10.447510370416781</v>
      </c>
      <c r="Z117" s="3500">
        <f>'All - MECs'!Z117*VLOOKUP($B$14,'Annual Parameters'!$B$33:$W$143,3,FALSE)/VLOOKUP('All - MECs'!$B$14,'Annual Parameters'!$B$33:$W$143,3,FALSE)</f>
        <v>2.1223669623753367</v>
      </c>
      <c r="AA117" s="3501">
        <f>'All - MECs'!AA117*VLOOKUP($B$14,'Annual Parameters'!$B$33:$W$143,3,FALSE)/VLOOKUP('All - MECs'!$B$14,'Annual Parameters'!$B$33:$W$143,3,FALSE)</f>
        <v>10.09638498812099</v>
      </c>
      <c r="AB117" s="3495">
        <f>'All - MECs'!AB117*VLOOKUP($B$14,'Annual Parameters'!$B$33:$W$143,3,FALSE)/VLOOKUP('All - MECs'!$B$14,'Annual Parameters'!$B$33:$W$143,3,FALSE)</f>
        <v>2.5932206221666313E-2</v>
      </c>
      <c r="AC117" s="3496">
        <f>'All - MECs'!AC117*VLOOKUP($B$14,'Annual Parameters'!$B$33:$W$143,3,FALSE)/VLOOKUP('All - MECs'!$B$14,'Annual Parameters'!$B$33:$W$143,3,FALSE)</f>
        <v>1.5107724369429516</v>
      </c>
      <c r="AD117" s="3501">
        <f>'All - MECs'!AD117*VLOOKUP($B$14,'Annual Parameters'!$B$33:$W$143,3,FALSE)/VLOOKUP('All - MECs'!$B$14,'Annual Parameters'!$B$33:$W$143,3,FALSE)</f>
        <v>1.8940030774352978</v>
      </c>
      <c r="AE117" s="3502">
        <f>'All - MECs'!AE117*VLOOKUP($B$14,'Annual Parameters'!$B$33:$W$143,3,FALSE)/VLOOKUP('All - MECs'!$B$14,'Annual Parameters'!$B$33:$W$143,3,FALSE)</f>
        <v>3.8880317506776021</v>
      </c>
      <c r="AF117" s="3544"/>
      <c r="AG117" s="3553"/>
      <c r="AH117" s="3493"/>
      <c r="AI117" s="3494">
        <v>2</v>
      </c>
      <c r="AJ117" s="3495">
        <f>'All - MECs'!AJ117*VLOOKUP($B$14,'Annual Parameters'!$B$33:$W$143,3,FALSE)/VLOOKUP('All - MECs'!$B$14,'Annual Parameters'!$B$33:$W$143,3,FALSE)</f>
        <v>3.8023313802671391E-2</v>
      </c>
      <c r="AK117" s="3496">
        <f>'All - MECs'!AK117*VLOOKUP($B$14,'Annual Parameters'!$B$33:$W$143,3,FALSE)/VLOOKUP('All - MECs'!$B$14,'Annual Parameters'!$B$33:$W$143,3,FALSE)</f>
        <v>9.2315167845772041</v>
      </c>
      <c r="AL117" s="3496">
        <f>'All - MECs'!AL117*VLOOKUP($B$14,'Annual Parameters'!$B$33:$W$143,3,FALSE)/VLOOKUP('All - MECs'!$B$14,'Annual Parameters'!$B$33:$W$143,3,FALSE)</f>
        <v>66.73155834300735</v>
      </c>
      <c r="AM117" s="3503">
        <f>'All - MECs'!AM117*VLOOKUP($B$14,'Annual Parameters'!$B$33:$W$143,3,FALSE)/VLOOKUP('All - MECs'!$B$14,'Annual Parameters'!$B$33:$W$143,3,FALSE)</f>
        <v>0.11039898565195347</v>
      </c>
      <c r="AN117" s="3504">
        <f>'All - MECs'!AN117*VLOOKUP($B$14,'Annual Parameters'!$B$33:$W$143,3,FALSE)/VLOOKUP('All - MECs'!$B$14,'Annual Parameters'!$B$33:$W$143,3,FALSE)</f>
        <v>6.9756743342634699</v>
      </c>
      <c r="AO117" s="3501">
        <f>'All - MECs'!AO117*VLOOKUP($B$14,'Annual Parameters'!$B$33:$W$143,3,FALSE)/VLOOKUP('All - MECs'!$B$14,'Annual Parameters'!$B$33:$W$143,3,FALSE)</f>
        <v>19.850269703791881</v>
      </c>
      <c r="AP117" s="3500">
        <f>'All - MECs'!AP117*VLOOKUP($B$14,'Annual Parameters'!$B$33:$W$143,3,FALSE)/VLOOKUP('All - MECs'!$B$14,'Annual Parameters'!$B$33:$W$143,3,FALSE)</f>
        <v>4.0324972285131393</v>
      </c>
      <c r="AQ117" s="3501">
        <f>'All - MECs'!AQ117*VLOOKUP($B$14,'Annual Parameters'!$B$33:$W$143,3,FALSE)/VLOOKUP('All - MECs'!$B$14,'Annual Parameters'!$B$33:$W$143,3,FALSE)</f>
        <v>19.183131477429878</v>
      </c>
      <c r="AR117" s="3495">
        <f>'All - MECs'!AR117*VLOOKUP($B$14,'Annual Parameters'!$B$33:$W$143,3,FALSE)/VLOOKUP('All - MECs'!$B$14,'Annual Parameters'!$B$33:$W$143,3,FALSE)</f>
        <v>4.9271191821165995E-2</v>
      </c>
      <c r="AS117" s="3496">
        <f>'All - MECs'!AS117*VLOOKUP($B$14,'Annual Parameters'!$B$33:$W$143,3,FALSE)/VLOOKUP('All - MECs'!$B$14,'Annual Parameters'!$B$33:$W$143,3,FALSE)</f>
        <v>2.8704676301916079</v>
      </c>
      <c r="AT117" s="3501">
        <f>'All - MECs'!AT117*VLOOKUP($B$14,'Annual Parameters'!$B$33:$W$143,3,FALSE)/VLOOKUP('All - MECs'!$B$14,'Annual Parameters'!$B$33:$W$143,3,FALSE)</f>
        <v>3.5986058471270663</v>
      </c>
      <c r="AU117" s="3502">
        <f>'All - MECs'!AU117*VLOOKUP($B$14,'Annual Parameters'!$B$33:$W$143,3,FALSE)/VLOOKUP('All - MECs'!$B$14,'Annual Parameters'!$B$33:$W$143,3,FALSE)</f>
        <v>7.3872603262874437</v>
      </c>
      <c r="AV117" s="3544"/>
      <c r="AW117" s="3553"/>
      <c r="AX117" s="3493"/>
      <c r="AY117" s="3494">
        <v>2</v>
      </c>
      <c r="AZ117" s="3495">
        <f>'All - MECs'!AZ117*VLOOKUP($B$14,'Annual Parameters'!$B$33:$W$143,3,FALSE)/VLOOKUP('All - MECs'!$B$14,'Annual Parameters'!$B$33:$W$143,3,FALSE)</f>
        <v>5.803558422513002E-2</v>
      </c>
      <c r="BA117" s="3496">
        <f>'All - MECs'!BA117*VLOOKUP($B$14,'Annual Parameters'!$B$33:$W$143,3,FALSE)/VLOOKUP('All - MECs'!$B$14,'Annual Parameters'!$B$33:$W$143,3,FALSE)</f>
        <v>14.090209829091522</v>
      </c>
      <c r="BB117" s="3496">
        <f>'All - MECs'!BB117*VLOOKUP($B$14,'Annual Parameters'!$B$33:$W$143,3,FALSE)/VLOOKUP('All - MECs'!$B$14,'Annual Parameters'!$B$33:$W$143,3,FALSE)</f>
        <v>101.85343115511648</v>
      </c>
      <c r="BC117" s="3503">
        <f>'All - MECs'!BC117*VLOOKUP($B$14,'Annual Parameters'!$B$33:$W$143,3,FALSE)/VLOOKUP('All - MECs'!$B$14,'Annual Parameters'!$B$33:$W$143,3,FALSE)</f>
        <v>0.16850371494245528</v>
      </c>
      <c r="BD117" s="3504">
        <f>'All - MECs'!BD117*VLOOKUP($B$14,'Annual Parameters'!$B$33:$W$143,3,FALSE)/VLOOKUP('All - MECs'!$B$14,'Annual Parameters'!$B$33:$W$143,3,FALSE)</f>
        <v>10.647081878612664</v>
      </c>
      <c r="BE117" s="3501">
        <f>'All - MECs'!BE117*VLOOKUP($B$14,'Annual Parameters'!$B$33:$W$143,3,FALSE)/VLOOKUP('All - MECs'!$B$14,'Annual Parameters'!$B$33:$W$143,3,FALSE)</f>
        <v>30.29778007420866</v>
      </c>
      <c r="BF117" s="3500">
        <f>'All - MECs'!BF117*VLOOKUP($B$14,'Annual Parameters'!$B$33:$W$143,3,FALSE)/VLOOKUP('All - MECs'!$B$14,'Annual Parameters'!$B$33:$W$143,3,FALSE)</f>
        <v>6.1548641908884774</v>
      </c>
      <c r="BG117" s="3501">
        <f>'All - MECs'!BG117*VLOOKUP($B$14,'Annual Parameters'!$B$33:$W$143,3,FALSE)/VLOOKUP('All - MECs'!$B$14,'Annual Parameters'!$B$33:$W$143,3,FALSE)</f>
        <v>29.27951646555087</v>
      </c>
      <c r="BH117" s="3495">
        <f>'All - MECs'!BH117*VLOOKUP($B$14,'Annual Parameters'!$B$33:$W$143,3,FALSE)/VLOOKUP('All - MECs'!$B$14,'Annual Parameters'!$B$33:$W$143,3,FALSE)</f>
        <v>7.5203398042832312E-2</v>
      </c>
      <c r="BI117" s="3496">
        <f>'All - MECs'!BI117*VLOOKUP($B$14,'Annual Parameters'!$B$33:$W$143,3,FALSE)/VLOOKUP('All - MECs'!$B$14,'Annual Parameters'!$B$33:$W$143,3,FALSE)</f>
        <v>4.3812400671345593</v>
      </c>
      <c r="BJ117" s="3501">
        <f>'All - MECs'!BJ117*VLOOKUP($B$14,'Annual Parameters'!$B$33:$W$143,3,FALSE)/VLOOKUP('All - MECs'!$B$14,'Annual Parameters'!$B$33:$W$143,3,FALSE)</f>
        <v>5.4926089245623633</v>
      </c>
      <c r="BK117" s="3502">
        <f>'All - MECs'!BK117*VLOOKUP($B$14,'Annual Parameters'!$B$33:$W$143,3,FALSE)/VLOOKUP('All - MECs'!$B$14,'Annual Parameters'!$B$33:$W$143,3,FALSE)</f>
        <v>11.275292076965048</v>
      </c>
      <c r="BL117" s="3544"/>
      <c r="BM117" s="3553"/>
      <c r="BN117" s="3493"/>
      <c r="BO117" s="3494">
        <v>2</v>
      </c>
      <c r="BP117" s="3495">
        <f>'All - MECs'!BP117*VLOOKUP($B$14,'Annual Parameters'!$B$33:$W$143,3,FALSE)/VLOOKUP('All - MECs'!$B$14,'Annual Parameters'!$B$33:$W$143,3,FALSE)</f>
        <v>5.003067605614657E-2</v>
      </c>
      <c r="BQ117" s="3496">
        <f>'All - MECs'!BQ117*VLOOKUP($B$14,'Annual Parameters'!$B$33:$W$143,3,FALSE)/VLOOKUP('All - MECs'!$B$14,'Annual Parameters'!$B$33:$W$143,3,FALSE)</f>
        <v>12.146732611285795</v>
      </c>
      <c r="BR117" s="3496">
        <f>'All - MECs'!BR117*VLOOKUP($B$14,'Annual Parameters'!$B$33:$W$143,3,FALSE)/VLOOKUP('All - MECs'!$B$14,'Annual Parameters'!$B$33:$W$143,3,FALSE)</f>
        <v>87.804682030272829</v>
      </c>
      <c r="BS117" s="3503">
        <f>'All - MECs'!BS117*VLOOKUP($B$14,'Annual Parameters'!$B$33:$W$143,3,FALSE)/VLOOKUP('All - MECs'!$B$14,'Annual Parameters'!$B$33:$W$143,3,FALSE)</f>
        <v>0.14526182322625458</v>
      </c>
      <c r="BT117" s="3504">
        <f>'All - MECs'!BT117*VLOOKUP($B$14,'Annual Parameters'!$B$33:$W$143,3,FALSE)/VLOOKUP('All - MECs'!$B$14,'Annual Parameters'!$B$33:$W$143,3,FALSE)</f>
        <v>9.1785188608729875</v>
      </c>
      <c r="BU117" s="3501">
        <f>'All - MECs'!BU117*VLOOKUP($B$14,'Annual Parameters'!$B$33:$W$143,3,FALSE)/VLOOKUP('All - MECs'!$B$14,'Annual Parameters'!$B$33:$W$143,3,FALSE)</f>
        <v>26.118775926041948</v>
      </c>
      <c r="BV117" s="3500">
        <f>'All - MECs'!BV117*VLOOKUP($B$14,'Annual Parameters'!$B$33:$W$143,3,FALSE)/VLOOKUP('All - MECs'!$B$14,'Annual Parameters'!$B$33:$W$143,3,FALSE)</f>
        <v>5.3059174059383416</v>
      </c>
      <c r="BW117" s="3501">
        <f>'All - MECs'!BW117*VLOOKUP($B$14,'Annual Parameters'!$B$33:$W$143,3,FALSE)/VLOOKUP('All - MECs'!$B$14,'Annual Parameters'!$B$33:$W$143,3,FALSE)</f>
        <v>25.240962470302474</v>
      </c>
      <c r="BX117" s="3495">
        <f>'All - MECs'!BX117*VLOOKUP($B$14,'Annual Parameters'!$B$33:$W$143,3,FALSE)/VLOOKUP('All - MECs'!$B$14,'Annual Parameters'!$B$33:$W$143,3,FALSE)</f>
        <v>6.4830515554165788E-2</v>
      </c>
      <c r="BY117" s="3496">
        <f>'All - MECs'!BY117*VLOOKUP($B$14,'Annual Parameters'!$B$33:$W$143,3,FALSE)/VLOOKUP('All - MECs'!$B$14,'Annual Parameters'!$B$33:$W$143,3,FALSE)</f>
        <v>3.7769310923573789</v>
      </c>
      <c r="BZ117" s="3501">
        <f>'All - MECs'!BZ117*VLOOKUP($B$14,'Annual Parameters'!$B$33:$W$143,3,FALSE)/VLOOKUP('All - MECs'!$B$14,'Annual Parameters'!$B$33:$W$143,3,FALSE)</f>
        <v>4.7350076935882441</v>
      </c>
      <c r="CA117" s="3502">
        <f>'All - MECs'!CA117*VLOOKUP($B$14,'Annual Parameters'!$B$33:$W$143,3,FALSE)/VLOOKUP('All - MECs'!$B$14,'Annual Parameters'!$B$33:$W$143,3,FALSE)</f>
        <v>9.7200793766940059</v>
      </c>
    </row>
    <row r="118" spans="1:95" ht="13.5" customHeight="1">
      <c r="A118" s="3553"/>
      <c r="B118" s="3493"/>
      <c r="C118" s="3494">
        <v>3</v>
      </c>
      <c r="D118" s="3495">
        <f>'All - MECs'!D118*VLOOKUP($B$14,'Annual Parameters'!$B$33:$W$143,3,FALSE)/VLOOKUP('All - MECs'!$B$14,'Annual Parameters'!$B$33:$W$143,3,FALSE)</f>
        <v>2.9753731147324674</v>
      </c>
      <c r="E118" s="3496">
        <f>'All - MECs'!E118*VLOOKUP($B$14,'Annual Parameters'!$B$33:$W$143,3,FALSE)/VLOOKUP('All - MECs'!$B$14,'Annual Parameters'!$B$33:$W$143,3,FALSE)</f>
        <v>25.443035752786837</v>
      </c>
      <c r="F118" s="3496">
        <f>'All - MECs'!F118*VLOOKUP($B$14,'Annual Parameters'!$B$33:$W$143,3,FALSE)/VLOOKUP('All - MECs'!$B$14,'Annual Parameters'!$B$33:$W$143,3,FALSE)</f>
        <v>58.940833668288754</v>
      </c>
      <c r="G118" s="3503">
        <f>'All - MECs'!G118*VLOOKUP($B$14,'Annual Parameters'!$B$33:$W$143,3,FALSE)/VLOOKUP('All - MECs'!$B$14,'Annual Parameters'!$B$33:$W$143,3,FALSE)</f>
        <v>3.7944015608480028</v>
      </c>
      <c r="H118" s="3504">
        <f>'All - MECs'!H118*VLOOKUP($B$14,'Annual Parameters'!$B$33:$W$143,3,FALSE)/VLOOKUP('All - MECs'!$B$14,'Annual Parameters'!$B$33:$W$143,3,FALSE)</f>
        <v>29.372125350800147</v>
      </c>
      <c r="I118" s="3501">
        <f>'All - MECs'!I118*VLOOKUP($B$14,'Annual Parameters'!$B$33:$W$143,3,FALSE)/VLOOKUP('All - MECs'!$B$14,'Annual Parameters'!$B$33:$W$143,3,FALSE)</f>
        <v>24.1068445252304</v>
      </c>
      <c r="J118" s="3500">
        <f>'All - MECs'!J118*VLOOKUP($B$14,'Annual Parameters'!$B$33:$W$143,3,FALSE)/VLOOKUP('All - MECs'!$B$14,'Annual Parameters'!$B$33:$W$143,3,FALSE)</f>
        <v>14.196530353359888</v>
      </c>
      <c r="K118" s="3501">
        <f>'All - MECs'!K118*VLOOKUP($B$14,'Annual Parameters'!$B$33:$W$143,3,FALSE)/VLOOKUP('All - MECs'!$B$14,'Annual Parameters'!$B$33:$W$143,3,FALSE)</f>
        <v>22.176681501715379</v>
      </c>
      <c r="L118" s="3495">
        <f>'All - MECs'!L118*VLOOKUP($B$14,'Annual Parameters'!$B$33:$W$143,3,FALSE)/VLOOKUP('All - MECs'!$B$14,'Annual Parameters'!$B$33:$W$143,3,FALSE)</f>
        <v>7.2385921226989129</v>
      </c>
      <c r="M118" s="3496">
        <f>'All - MECs'!M118*VLOOKUP($B$14,'Annual Parameters'!$B$33:$W$143,3,FALSE)/VLOOKUP('All - MECs'!$B$14,'Annual Parameters'!$B$33:$W$143,3,FALSE)</f>
        <v>4.2070301852669347</v>
      </c>
      <c r="N118" s="3501">
        <f>'All - MECs'!N118*VLOOKUP($B$14,'Annual Parameters'!$B$33:$W$143,3,FALSE)/VLOOKUP('All - MECs'!$B$14,'Annual Parameters'!$B$33:$W$143,3,FALSE)</f>
        <v>8.4353583200186293</v>
      </c>
      <c r="O118" s="3502">
        <f>'All - MECs'!O118*VLOOKUP($B$14,'Annual Parameters'!$B$33:$W$143,3,FALSE)/VLOOKUP('All - MECs'!$B$14,'Annual Parameters'!$B$33:$W$143,3,FALSE)</f>
        <v>12.43962012053314</v>
      </c>
      <c r="P118" s="3544"/>
      <c r="Q118" s="3553"/>
      <c r="R118" s="3493"/>
      <c r="S118" s="3494">
        <v>3</v>
      </c>
      <c r="T118" s="3495">
        <f>'All - MECs'!T118*VLOOKUP($B$14,'Annual Parameters'!$B$33:$W$143,3,FALSE)/VLOOKUP('All - MECs'!$B$14,'Annual Parameters'!$B$33:$W$143,3,FALSE)</f>
        <v>2.9753731147324674</v>
      </c>
      <c r="U118" s="3496">
        <f>'All - MECs'!U118*VLOOKUP($B$14,'Annual Parameters'!$B$33:$W$143,3,FALSE)/VLOOKUP('All - MECs'!$B$14,'Annual Parameters'!$B$33:$W$143,3,FALSE)</f>
        <v>25.443035752786837</v>
      </c>
      <c r="V118" s="3496">
        <f>'All - MECs'!V118*VLOOKUP($B$14,'Annual Parameters'!$B$33:$W$143,3,FALSE)/VLOOKUP('All - MECs'!$B$14,'Annual Parameters'!$B$33:$W$143,3,FALSE)</f>
        <v>58.940833668288754</v>
      </c>
      <c r="W118" s="3503">
        <f>'All - MECs'!W118*VLOOKUP($B$14,'Annual Parameters'!$B$33:$W$143,3,FALSE)/VLOOKUP('All - MECs'!$B$14,'Annual Parameters'!$B$33:$W$143,3,FALSE)</f>
        <v>3.7944015608480028</v>
      </c>
      <c r="X118" s="3504">
        <f>'All - MECs'!X118*VLOOKUP($B$14,'Annual Parameters'!$B$33:$W$143,3,FALSE)/VLOOKUP('All - MECs'!$B$14,'Annual Parameters'!$B$33:$W$143,3,FALSE)</f>
        <v>29.372125350800147</v>
      </c>
      <c r="Y118" s="3501">
        <f>'All - MECs'!Y118*VLOOKUP($B$14,'Annual Parameters'!$B$33:$W$143,3,FALSE)/VLOOKUP('All - MECs'!$B$14,'Annual Parameters'!$B$33:$W$143,3,FALSE)</f>
        <v>24.1068445252304</v>
      </c>
      <c r="Z118" s="3500">
        <f>'All - MECs'!Z118*VLOOKUP($B$14,'Annual Parameters'!$B$33:$W$143,3,FALSE)/VLOOKUP('All - MECs'!$B$14,'Annual Parameters'!$B$33:$W$143,3,FALSE)</f>
        <v>14.196530353359888</v>
      </c>
      <c r="AA118" s="3501">
        <f>'All - MECs'!AA118*VLOOKUP($B$14,'Annual Parameters'!$B$33:$W$143,3,FALSE)/VLOOKUP('All - MECs'!$B$14,'Annual Parameters'!$B$33:$W$143,3,FALSE)</f>
        <v>22.176681501715379</v>
      </c>
      <c r="AB118" s="3495">
        <f>'All - MECs'!AB118*VLOOKUP($B$14,'Annual Parameters'!$B$33:$W$143,3,FALSE)/VLOOKUP('All - MECs'!$B$14,'Annual Parameters'!$B$33:$W$143,3,FALSE)</f>
        <v>7.2385921226989129</v>
      </c>
      <c r="AC118" s="3496">
        <f>'All - MECs'!AC118*VLOOKUP($B$14,'Annual Parameters'!$B$33:$W$143,3,FALSE)/VLOOKUP('All - MECs'!$B$14,'Annual Parameters'!$B$33:$W$143,3,FALSE)</f>
        <v>4.2070301852669347</v>
      </c>
      <c r="AD118" s="3501">
        <f>'All - MECs'!AD118*VLOOKUP($B$14,'Annual Parameters'!$B$33:$W$143,3,FALSE)/VLOOKUP('All - MECs'!$B$14,'Annual Parameters'!$B$33:$W$143,3,FALSE)</f>
        <v>8.4353583200186293</v>
      </c>
      <c r="AE118" s="3502">
        <f>'All - MECs'!AE118*VLOOKUP($B$14,'Annual Parameters'!$B$33:$W$143,3,FALSE)/VLOOKUP('All - MECs'!$B$14,'Annual Parameters'!$B$33:$W$143,3,FALSE)</f>
        <v>12.43962012053314</v>
      </c>
      <c r="AF118" s="3544"/>
      <c r="AG118" s="3553"/>
      <c r="AH118" s="3493"/>
      <c r="AI118" s="3494">
        <v>3</v>
      </c>
      <c r="AJ118" s="3495">
        <f>'All - MECs'!AJ118*VLOOKUP($B$14,'Annual Parameters'!$B$33:$W$143,3,FALSE)/VLOOKUP('All - MECs'!$B$14,'Annual Parameters'!$B$33:$W$143,3,FALSE)</f>
        <v>5.6532089179916873</v>
      </c>
      <c r="AK118" s="3496">
        <f>'All - MECs'!AK118*VLOOKUP($B$14,'Annual Parameters'!$B$33:$W$143,3,FALSE)/VLOOKUP('All - MECs'!$B$14,'Annual Parameters'!$B$33:$W$143,3,FALSE)</f>
        <v>48.341767930294992</v>
      </c>
      <c r="AL118" s="3496">
        <f>'All - MECs'!AL118*VLOOKUP($B$14,'Annual Parameters'!$B$33:$W$143,3,FALSE)/VLOOKUP('All - MECs'!$B$14,'Annual Parameters'!$B$33:$W$143,3,FALSE)</f>
        <v>111.98758396974863</v>
      </c>
      <c r="AM118" s="3503">
        <f>'All - MECs'!AM118*VLOOKUP($B$14,'Annual Parameters'!$B$33:$W$143,3,FALSE)/VLOOKUP('All - MECs'!$B$14,'Annual Parameters'!$B$33:$W$143,3,FALSE)</f>
        <v>7.209362965611203</v>
      </c>
      <c r="AN118" s="3504">
        <f>'All - MECs'!AN118*VLOOKUP($B$14,'Annual Parameters'!$B$33:$W$143,3,FALSE)/VLOOKUP('All - MECs'!$B$14,'Annual Parameters'!$B$33:$W$143,3,FALSE)</f>
        <v>55.807038166520279</v>
      </c>
      <c r="AO118" s="3501">
        <f>'All - MECs'!AO118*VLOOKUP($B$14,'Annual Parameters'!$B$33:$W$143,3,FALSE)/VLOOKUP('All - MECs'!$B$14,'Annual Parameters'!$B$33:$W$143,3,FALSE)</f>
        <v>45.803004597937758</v>
      </c>
      <c r="AP118" s="3500">
        <f>'All - MECs'!AP118*VLOOKUP($B$14,'Annual Parameters'!$B$33:$W$143,3,FALSE)/VLOOKUP('All - MECs'!$B$14,'Annual Parameters'!$B$33:$W$143,3,FALSE)</f>
        <v>26.973407671383782</v>
      </c>
      <c r="AQ118" s="3501">
        <f>'All - MECs'!AQ118*VLOOKUP($B$14,'Annual Parameters'!$B$33:$W$143,3,FALSE)/VLOOKUP('All - MECs'!$B$14,'Annual Parameters'!$B$33:$W$143,3,FALSE)</f>
        <v>42.135694853259217</v>
      </c>
      <c r="AR118" s="3495">
        <f>'All - MECs'!AR118*VLOOKUP($B$14,'Annual Parameters'!$B$33:$W$143,3,FALSE)/VLOOKUP('All - MECs'!$B$14,'Annual Parameters'!$B$33:$W$143,3,FALSE)</f>
        <v>13.753325033127933</v>
      </c>
      <c r="AS118" s="3496">
        <f>'All - MECs'!AS118*VLOOKUP($B$14,'Annual Parameters'!$B$33:$W$143,3,FALSE)/VLOOKUP('All - MECs'!$B$14,'Annual Parameters'!$B$33:$W$143,3,FALSE)</f>
        <v>7.9933573520071768</v>
      </c>
      <c r="AT118" s="3501">
        <f>'All - MECs'!AT118*VLOOKUP($B$14,'Annual Parameters'!$B$33:$W$143,3,FALSE)/VLOOKUP('All - MECs'!$B$14,'Annual Parameters'!$B$33:$W$143,3,FALSE)</f>
        <v>16.027180808035396</v>
      </c>
      <c r="AU118" s="3502">
        <f>'All - MECs'!AU118*VLOOKUP($B$14,'Annual Parameters'!$B$33:$W$143,3,FALSE)/VLOOKUP('All - MECs'!$B$14,'Annual Parameters'!$B$33:$W$143,3,FALSE)</f>
        <v>23.635278229012965</v>
      </c>
      <c r="AV118" s="3544"/>
      <c r="AW118" s="3553"/>
      <c r="AX118" s="3493"/>
      <c r="AY118" s="3494">
        <v>3</v>
      </c>
      <c r="AZ118" s="3495">
        <f>'All - MECs'!AZ118*VLOOKUP($B$14,'Annual Parameters'!$B$33:$W$143,3,FALSE)/VLOOKUP('All - MECs'!$B$14,'Annual Parameters'!$B$33:$W$143,3,FALSE)</f>
        <v>8.6285820327241556</v>
      </c>
      <c r="BA118" s="3496">
        <f>'All - MECs'!BA118*VLOOKUP($B$14,'Annual Parameters'!$B$33:$W$143,3,FALSE)/VLOOKUP('All - MECs'!$B$14,'Annual Parameters'!$B$33:$W$143,3,FALSE)</f>
        <v>73.784803683081833</v>
      </c>
      <c r="BB118" s="3496">
        <f>'All - MECs'!BB118*VLOOKUP($B$14,'Annual Parameters'!$B$33:$W$143,3,FALSE)/VLOOKUP('All - MECs'!$B$14,'Annual Parameters'!$B$33:$W$143,3,FALSE)</f>
        <v>170.92841763803739</v>
      </c>
      <c r="BC118" s="3503">
        <f>'All - MECs'!BC118*VLOOKUP($B$14,'Annual Parameters'!$B$33:$W$143,3,FALSE)/VLOOKUP('All - MECs'!$B$14,'Annual Parameters'!$B$33:$W$143,3,FALSE)</f>
        <v>11.003764526459209</v>
      </c>
      <c r="BD118" s="3504">
        <f>'All - MECs'!BD118*VLOOKUP($B$14,'Annual Parameters'!$B$33:$W$143,3,FALSE)/VLOOKUP('All - MECs'!$B$14,'Annual Parameters'!$B$33:$W$143,3,FALSE)</f>
        <v>85.179163517320418</v>
      </c>
      <c r="BE118" s="3501">
        <f>'All - MECs'!BE118*VLOOKUP($B$14,'Annual Parameters'!$B$33:$W$143,3,FALSE)/VLOOKUP('All - MECs'!$B$14,'Annual Parameters'!$B$33:$W$143,3,FALSE)</f>
        <v>69.909849123168158</v>
      </c>
      <c r="BF118" s="3500">
        <f>'All - MECs'!BF118*VLOOKUP($B$14,'Annual Parameters'!$B$33:$W$143,3,FALSE)/VLOOKUP('All - MECs'!$B$14,'Annual Parameters'!$B$33:$W$143,3,FALSE)</f>
        <v>41.169938024743672</v>
      </c>
      <c r="BG118" s="3501">
        <f>'All - MECs'!BG118*VLOOKUP($B$14,'Annual Parameters'!$B$33:$W$143,3,FALSE)/VLOOKUP('All - MECs'!$B$14,'Annual Parameters'!$B$33:$W$143,3,FALSE)</f>
        <v>64.312376354974603</v>
      </c>
      <c r="BH118" s="3495">
        <f>'All - MECs'!BH118*VLOOKUP($B$14,'Annual Parameters'!$B$33:$W$143,3,FALSE)/VLOOKUP('All - MECs'!$B$14,'Annual Parameters'!$B$33:$W$143,3,FALSE)</f>
        <v>20.991917155826844</v>
      </c>
      <c r="BI118" s="3496">
        <f>'All - MECs'!BI118*VLOOKUP($B$14,'Annual Parameters'!$B$33:$W$143,3,FALSE)/VLOOKUP('All - MECs'!$B$14,'Annual Parameters'!$B$33:$W$143,3,FALSE)</f>
        <v>12.200387537274109</v>
      </c>
      <c r="BJ118" s="3501">
        <f>'All - MECs'!BJ118*VLOOKUP($B$14,'Annual Parameters'!$B$33:$W$143,3,FALSE)/VLOOKUP('All - MECs'!$B$14,'Annual Parameters'!$B$33:$W$143,3,FALSE)</f>
        <v>24.462539128054026</v>
      </c>
      <c r="BK118" s="3502">
        <f>'All - MECs'!BK118*VLOOKUP($B$14,'Annual Parameters'!$B$33:$W$143,3,FALSE)/VLOOKUP('All - MECs'!$B$14,'Annual Parameters'!$B$33:$W$143,3,FALSE)</f>
        <v>36.074898349546103</v>
      </c>
      <c r="BL118" s="3544"/>
      <c r="BM118" s="3553"/>
      <c r="BN118" s="3493"/>
      <c r="BO118" s="3494">
        <v>3</v>
      </c>
      <c r="BP118" s="3495">
        <f>'All - MECs'!BP118*VLOOKUP($B$14,'Annual Parameters'!$B$33:$W$143,3,FALSE)/VLOOKUP('All - MECs'!$B$14,'Annual Parameters'!$B$33:$W$143,3,FALSE)</f>
        <v>7.4384327868311679</v>
      </c>
      <c r="BQ118" s="3496">
        <f>'All - MECs'!BQ118*VLOOKUP($B$14,'Annual Parameters'!$B$33:$W$143,3,FALSE)/VLOOKUP('All - MECs'!$B$14,'Annual Parameters'!$B$33:$W$143,3,FALSE)</f>
        <v>63.607589381967088</v>
      </c>
      <c r="BR118" s="3496">
        <f>'All - MECs'!BR118*VLOOKUP($B$14,'Annual Parameters'!$B$33:$W$143,3,FALSE)/VLOOKUP('All - MECs'!$B$14,'Annual Parameters'!$B$33:$W$143,3,FALSE)</f>
        <v>147.35208417072189</v>
      </c>
      <c r="BS118" s="3503">
        <f>'All - MECs'!BS118*VLOOKUP($B$14,'Annual Parameters'!$B$33:$W$143,3,FALSE)/VLOOKUP('All - MECs'!$B$14,'Annual Parameters'!$B$33:$W$143,3,FALSE)</f>
        <v>9.4860039021200055</v>
      </c>
      <c r="BT118" s="3504">
        <f>'All - MECs'!BT118*VLOOKUP($B$14,'Annual Parameters'!$B$33:$W$143,3,FALSE)/VLOOKUP('All - MECs'!$B$14,'Annual Parameters'!$B$33:$W$143,3,FALSE)</f>
        <v>73.430313377000374</v>
      </c>
      <c r="BU118" s="3501">
        <f>'All - MECs'!BU118*VLOOKUP($B$14,'Annual Parameters'!$B$33:$W$143,3,FALSE)/VLOOKUP('All - MECs'!$B$14,'Annual Parameters'!$B$33:$W$143,3,FALSE)</f>
        <v>60.267111313076001</v>
      </c>
      <c r="BV118" s="3500">
        <f>'All - MECs'!BV118*VLOOKUP($B$14,'Annual Parameters'!$B$33:$W$143,3,FALSE)/VLOOKUP('All - MECs'!$B$14,'Annual Parameters'!$B$33:$W$143,3,FALSE)</f>
        <v>35.491325883399718</v>
      </c>
      <c r="BW118" s="3501">
        <f>'All - MECs'!BW118*VLOOKUP($B$14,'Annual Parameters'!$B$33:$W$143,3,FALSE)/VLOOKUP('All - MECs'!$B$14,'Annual Parameters'!$B$33:$W$143,3,FALSE)</f>
        <v>55.441703754288447</v>
      </c>
      <c r="BX118" s="3495">
        <f>'All - MECs'!BX118*VLOOKUP($B$14,'Annual Parameters'!$B$33:$W$143,3,FALSE)/VLOOKUP('All - MECs'!$B$14,'Annual Parameters'!$B$33:$W$143,3,FALSE)</f>
        <v>18.096480306747281</v>
      </c>
      <c r="BY118" s="3496">
        <f>'All - MECs'!BY118*VLOOKUP($B$14,'Annual Parameters'!$B$33:$W$143,3,FALSE)/VLOOKUP('All - MECs'!$B$14,'Annual Parameters'!$B$33:$W$143,3,FALSE)</f>
        <v>10.517575463167336</v>
      </c>
      <c r="BZ118" s="3501">
        <f>'All - MECs'!BZ118*VLOOKUP($B$14,'Annual Parameters'!$B$33:$W$143,3,FALSE)/VLOOKUP('All - MECs'!$B$14,'Annual Parameters'!$B$33:$W$143,3,FALSE)</f>
        <v>21.088395800046573</v>
      </c>
      <c r="CA118" s="3502">
        <f>'All - MECs'!CA118*VLOOKUP($B$14,'Annual Parameters'!$B$33:$W$143,3,FALSE)/VLOOKUP('All - MECs'!$B$14,'Annual Parameters'!$B$33:$W$143,3,FALSE)</f>
        <v>31.099050301332856</v>
      </c>
    </row>
    <row r="119" spans="1:95" ht="13.5" customHeight="1">
      <c r="A119" s="3553"/>
      <c r="B119" s="3493"/>
      <c r="C119" s="3494">
        <v>4</v>
      </c>
      <c r="D119" s="3495">
        <f>'All - MECs'!D119*VLOOKUP($B$14,'Annual Parameters'!$B$33:$W$143,3,FALSE)/VLOOKUP('All - MECs'!$B$14,'Annual Parameters'!$B$33:$W$143,3,FALSE)</f>
        <v>20.803154875757141</v>
      </c>
      <c r="E119" s="3496">
        <f>'All - MECs'!E119*VLOOKUP($B$14,'Annual Parameters'!$B$33:$W$143,3,FALSE)/VLOOKUP('All - MECs'!$B$14,'Annual Parameters'!$B$33:$W$143,3,FALSE)</f>
        <v>117.04759322224234</v>
      </c>
      <c r="F119" s="3496">
        <f>'All - MECs'!F119*VLOOKUP($B$14,'Annual Parameters'!$B$33:$W$143,3,FALSE)/VLOOKUP('All - MECs'!$B$14,'Annual Parameters'!$B$33:$W$143,3,FALSE)</f>
        <v>139.83141259918312</v>
      </c>
      <c r="G119" s="3503">
        <f>'All - MECs'!G119*VLOOKUP($B$14,'Annual Parameters'!$B$33:$W$143,3,FALSE)/VLOOKUP('All - MECs'!$B$14,'Annual Parameters'!$B$33:$W$143,3,FALSE)</f>
        <v>26.019819894177875</v>
      </c>
      <c r="H119" s="3504">
        <f>'All - MECs'!H119*VLOOKUP($B$14,'Annual Parameters'!$B$33:$W$143,3,FALSE)/VLOOKUP('All - MECs'!$B$14,'Annual Parameters'!$B$33:$W$143,3,FALSE)</f>
        <v>103.44288685041472</v>
      </c>
      <c r="I119" s="3501">
        <f>'All - MECs'!I119*VLOOKUP($B$14,'Annual Parameters'!$B$33:$W$143,3,FALSE)/VLOOKUP('All - MECs'!$B$14,'Annual Parameters'!$B$33:$W$143,3,FALSE)</f>
        <v>100.40553735067124</v>
      </c>
      <c r="J119" s="3500">
        <f>'All - MECs'!J119*VLOOKUP($B$14,'Annual Parameters'!$B$33:$W$143,3,FALSE)/VLOOKUP('All - MECs'!$B$14,'Annual Parameters'!$B$33:$W$143,3,FALSE)</f>
        <v>47.033398878404981</v>
      </c>
      <c r="K119" s="3501">
        <f>'All - MECs'!K119*VLOOKUP($B$14,'Annual Parameters'!$B$33:$W$143,3,FALSE)/VLOOKUP('All - MECs'!$B$14,'Annual Parameters'!$B$33:$W$143,3,FALSE)</f>
        <v>80.725594954052227</v>
      </c>
      <c r="L119" s="3495">
        <f>'All - MECs'!L119*VLOOKUP($B$14,'Annual Parameters'!$B$33:$W$143,3,FALSE)/VLOOKUP('All - MECs'!$B$14,'Annual Parameters'!$B$33:$W$143,3,FALSE)</f>
        <v>24.839050293205734</v>
      </c>
      <c r="M119" s="3496">
        <f>'All - MECs'!M119*VLOOKUP($B$14,'Annual Parameters'!$B$33:$W$143,3,FALSE)/VLOOKUP('All - MECs'!$B$14,'Annual Parameters'!$B$33:$W$143,3,FALSE)</f>
        <v>47.468785533394545</v>
      </c>
      <c r="N119" s="3501">
        <f>'All - MECs'!N119*VLOOKUP($B$14,'Annual Parameters'!$B$33:$W$143,3,FALSE)/VLOOKUP('All - MECs'!$B$14,'Annual Parameters'!$B$33:$W$143,3,FALSE)</f>
        <v>28.454910025496538</v>
      </c>
      <c r="O119" s="3502">
        <f>'All - MECs'!O119*VLOOKUP($B$14,'Annual Parameters'!$B$33:$W$143,3,FALSE)/VLOOKUP('All - MECs'!$B$14,'Annual Parameters'!$B$33:$W$143,3,FALSE)</f>
        <v>56.782043126225084</v>
      </c>
      <c r="P119" s="3544"/>
      <c r="Q119" s="3553"/>
      <c r="R119" s="3493"/>
      <c r="S119" s="3494">
        <v>4</v>
      </c>
      <c r="T119" s="3495">
        <f>'All - MECs'!T119*VLOOKUP($B$14,'Annual Parameters'!$B$33:$W$143,3,FALSE)/VLOOKUP('All - MECs'!$B$14,'Annual Parameters'!$B$33:$W$143,3,FALSE)</f>
        <v>20.803154875757141</v>
      </c>
      <c r="U119" s="3496">
        <f>'All - MECs'!U119*VLOOKUP($B$14,'Annual Parameters'!$B$33:$W$143,3,FALSE)/VLOOKUP('All - MECs'!$B$14,'Annual Parameters'!$B$33:$W$143,3,FALSE)</f>
        <v>117.04759322224234</v>
      </c>
      <c r="V119" s="3496">
        <f>'All - MECs'!V119*VLOOKUP($B$14,'Annual Parameters'!$B$33:$W$143,3,FALSE)/VLOOKUP('All - MECs'!$B$14,'Annual Parameters'!$B$33:$W$143,3,FALSE)</f>
        <v>139.83141259918312</v>
      </c>
      <c r="W119" s="3503">
        <f>'All - MECs'!W119*VLOOKUP($B$14,'Annual Parameters'!$B$33:$W$143,3,FALSE)/VLOOKUP('All - MECs'!$B$14,'Annual Parameters'!$B$33:$W$143,3,FALSE)</f>
        <v>26.019819894177875</v>
      </c>
      <c r="X119" s="3504">
        <f>'All - MECs'!X119*VLOOKUP($B$14,'Annual Parameters'!$B$33:$W$143,3,FALSE)/VLOOKUP('All - MECs'!$B$14,'Annual Parameters'!$B$33:$W$143,3,FALSE)</f>
        <v>103.44288685041472</v>
      </c>
      <c r="Y119" s="3501">
        <f>'All - MECs'!Y119*VLOOKUP($B$14,'Annual Parameters'!$B$33:$W$143,3,FALSE)/VLOOKUP('All - MECs'!$B$14,'Annual Parameters'!$B$33:$W$143,3,FALSE)</f>
        <v>100.40553735067124</v>
      </c>
      <c r="Z119" s="3500">
        <f>'All - MECs'!Z119*VLOOKUP($B$14,'Annual Parameters'!$B$33:$W$143,3,FALSE)/VLOOKUP('All - MECs'!$B$14,'Annual Parameters'!$B$33:$W$143,3,FALSE)</f>
        <v>47.033398878404981</v>
      </c>
      <c r="AA119" s="3501">
        <f>'All - MECs'!AA119*VLOOKUP($B$14,'Annual Parameters'!$B$33:$W$143,3,FALSE)/VLOOKUP('All - MECs'!$B$14,'Annual Parameters'!$B$33:$W$143,3,FALSE)</f>
        <v>80.725594954052227</v>
      </c>
      <c r="AB119" s="3495">
        <f>'All - MECs'!AB119*VLOOKUP($B$14,'Annual Parameters'!$B$33:$W$143,3,FALSE)/VLOOKUP('All - MECs'!$B$14,'Annual Parameters'!$B$33:$W$143,3,FALSE)</f>
        <v>24.839050293205734</v>
      </c>
      <c r="AC119" s="3496">
        <f>'All - MECs'!AC119*VLOOKUP($B$14,'Annual Parameters'!$B$33:$W$143,3,FALSE)/VLOOKUP('All - MECs'!$B$14,'Annual Parameters'!$B$33:$W$143,3,FALSE)</f>
        <v>47.468785533394545</v>
      </c>
      <c r="AD119" s="3501">
        <f>'All - MECs'!AD119*VLOOKUP($B$14,'Annual Parameters'!$B$33:$W$143,3,FALSE)/VLOOKUP('All - MECs'!$B$14,'Annual Parameters'!$B$33:$W$143,3,FALSE)</f>
        <v>28.454910025496538</v>
      </c>
      <c r="AE119" s="3502">
        <f>'All - MECs'!AE119*VLOOKUP($B$14,'Annual Parameters'!$B$33:$W$143,3,FALSE)/VLOOKUP('All - MECs'!$B$14,'Annual Parameters'!$B$33:$W$143,3,FALSE)</f>
        <v>56.782043126225084</v>
      </c>
      <c r="AF119" s="3544"/>
      <c r="AG119" s="3553"/>
      <c r="AH119" s="3493"/>
      <c r="AI119" s="3494">
        <v>4</v>
      </c>
      <c r="AJ119" s="3495">
        <f>'All - MECs'!AJ119*VLOOKUP($B$14,'Annual Parameters'!$B$33:$W$143,3,FALSE)/VLOOKUP('All - MECs'!$B$14,'Annual Parameters'!$B$33:$W$143,3,FALSE)</f>
        <v>39.525994263938564</v>
      </c>
      <c r="AK119" s="3496">
        <f>'All - MECs'!AK119*VLOOKUP($B$14,'Annual Parameters'!$B$33:$W$143,3,FALSE)/VLOOKUP('All - MECs'!$B$14,'Annual Parameters'!$B$33:$W$143,3,FALSE)</f>
        <v>222.39042712226043</v>
      </c>
      <c r="AL119" s="3496">
        <f>'All - MECs'!AL119*VLOOKUP($B$14,'Annual Parameters'!$B$33:$W$143,3,FALSE)/VLOOKUP('All - MECs'!$B$14,'Annual Parameters'!$B$33:$W$143,3,FALSE)</f>
        <v>265.67968393844791</v>
      </c>
      <c r="AM119" s="3503">
        <f>'All - MECs'!AM119*VLOOKUP($B$14,'Annual Parameters'!$B$33:$W$143,3,FALSE)/VLOOKUP('All - MECs'!$B$14,'Annual Parameters'!$B$33:$W$143,3,FALSE)</f>
        <v>49.437657798937963</v>
      </c>
      <c r="AN119" s="3504">
        <f>'All - MECs'!AN119*VLOOKUP($B$14,'Annual Parameters'!$B$33:$W$143,3,FALSE)/VLOOKUP('All - MECs'!$B$14,'Annual Parameters'!$B$33:$W$143,3,FALSE)</f>
        <v>196.541485015788</v>
      </c>
      <c r="AO119" s="3501">
        <f>'All - MECs'!AO119*VLOOKUP($B$14,'Annual Parameters'!$B$33:$W$143,3,FALSE)/VLOOKUP('All - MECs'!$B$14,'Annual Parameters'!$B$33:$W$143,3,FALSE)</f>
        <v>190.77052096627531</v>
      </c>
      <c r="AP119" s="3500">
        <f>'All - MECs'!AP119*VLOOKUP($B$14,'Annual Parameters'!$B$33:$W$143,3,FALSE)/VLOOKUP('All - MECs'!$B$14,'Annual Parameters'!$B$33:$W$143,3,FALSE)</f>
        <v>89.363457868969448</v>
      </c>
      <c r="AQ119" s="3501">
        <f>'All - MECs'!AQ119*VLOOKUP($B$14,'Annual Parameters'!$B$33:$W$143,3,FALSE)/VLOOKUP('All - MECs'!$B$14,'Annual Parameters'!$B$33:$W$143,3,FALSE)</f>
        <v>153.37863041269921</v>
      </c>
      <c r="AR119" s="3495">
        <f>'All - MECs'!AR119*VLOOKUP($B$14,'Annual Parameters'!$B$33:$W$143,3,FALSE)/VLOOKUP('All - MECs'!$B$14,'Annual Parameters'!$B$33:$W$143,3,FALSE)</f>
        <v>47.1941955570909</v>
      </c>
      <c r="AS119" s="3496">
        <f>'All - MECs'!AS119*VLOOKUP($B$14,'Annual Parameters'!$B$33:$W$143,3,FALSE)/VLOOKUP('All - MECs'!$B$14,'Annual Parameters'!$B$33:$W$143,3,FALSE)</f>
        <v>90.190692513449633</v>
      </c>
      <c r="AT119" s="3501">
        <f>'All - MECs'!AT119*VLOOKUP($B$14,'Annual Parameters'!$B$33:$W$143,3,FALSE)/VLOOKUP('All - MECs'!$B$14,'Annual Parameters'!$B$33:$W$143,3,FALSE)</f>
        <v>54.064329048443412</v>
      </c>
      <c r="AU119" s="3502">
        <f>'All - MECs'!AU119*VLOOKUP($B$14,'Annual Parameters'!$B$33:$W$143,3,FALSE)/VLOOKUP('All - MECs'!$B$14,'Annual Parameters'!$B$33:$W$143,3,FALSE)</f>
        <v>107.88588193982766</v>
      </c>
      <c r="AV119" s="3544"/>
      <c r="AW119" s="3553"/>
      <c r="AX119" s="3493"/>
      <c r="AY119" s="3494">
        <v>4</v>
      </c>
      <c r="AZ119" s="3495">
        <f>'All - MECs'!AZ119*VLOOKUP($B$14,'Annual Parameters'!$B$33:$W$143,3,FALSE)/VLOOKUP('All - MECs'!$B$14,'Annual Parameters'!$B$33:$W$143,3,FALSE)</f>
        <v>60.329149139695708</v>
      </c>
      <c r="BA119" s="3496">
        <f>'All - MECs'!BA119*VLOOKUP($B$14,'Annual Parameters'!$B$33:$W$143,3,FALSE)/VLOOKUP('All - MECs'!$B$14,'Annual Parameters'!$B$33:$W$143,3,FALSE)</f>
        <v>339.43802034450277</v>
      </c>
      <c r="BB119" s="3496">
        <f>'All - MECs'!BB119*VLOOKUP($B$14,'Annual Parameters'!$B$33:$W$143,3,FALSE)/VLOOKUP('All - MECs'!$B$14,'Annual Parameters'!$B$33:$W$143,3,FALSE)</f>
        <v>405.51109653763103</v>
      </c>
      <c r="BC119" s="3503">
        <f>'All - MECs'!BC119*VLOOKUP($B$14,'Annual Parameters'!$B$33:$W$143,3,FALSE)/VLOOKUP('All - MECs'!$B$14,'Annual Parameters'!$B$33:$W$143,3,FALSE)</f>
        <v>75.457477693115834</v>
      </c>
      <c r="BD119" s="3504">
        <f>'All - MECs'!BD119*VLOOKUP($B$14,'Annual Parameters'!$B$33:$W$143,3,FALSE)/VLOOKUP('All - MECs'!$B$14,'Annual Parameters'!$B$33:$W$143,3,FALSE)</f>
        <v>299.98437186620271</v>
      </c>
      <c r="BE119" s="3501">
        <f>'All - MECs'!BE119*VLOOKUP($B$14,'Annual Parameters'!$B$33:$W$143,3,FALSE)/VLOOKUP('All - MECs'!$B$14,'Annual Parameters'!$B$33:$W$143,3,FALSE)</f>
        <v>291.17605831694658</v>
      </c>
      <c r="BF119" s="3500">
        <f>'All - MECs'!BF119*VLOOKUP($B$14,'Annual Parameters'!$B$33:$W$143,3,FALSE)/VLOOKUP('All - MECs'!$B$14,'Annual Parameters'!$B$33:$W$143,3,FALSE)</f>
        <v>136.39685674737441</v>
      </c>
      <c r="BG119" s="3501">
        <f>'All - MECs'!BG119*VLOOKUP($B$14,'Annual Parameters'!$B$33:$W$143,3,FALSE)/VLOOKUP('All - MECs'!$B$14,'Annual Parameters'!$B$33:$W$143,3,FALSE)</f>
        <v>234.10422536675145</v>
      </c>
      <c r="BH119" s="3495">
        <f>'All - MECs'!BH119*VLOOKUP($B$14,'Annual Parameters'!$B$33:$W$143,3,FALSE)/VLOOKUP('All - MECs'!$B$14,'Annual Parameters'!$B$33:$W$143,3,FALSE)</f>
        <v>72.033245850296623</v>
      </c>
      <c r="BI119" s="3496">
        <f>'All - MECs'!BI119*VLOOKUP($B$14,'Annual Parameters'!$B$33:$W$143,3,FALSE)/VLOOKUP('All - MECs'!$B$14,'Annual Parameters'!$B$33:$W$143,3,FALSE)</f>
        <v>137.65947804684419</v>
      </c>
      <c r="BJ119" s="3501">
        <f>'All - MECs'!BJ119*VLOOKUP($B$14,'Annual Parameters'!$B$33:$W$143,3,FALSE)/VLOOKUP('All - MECs'!$B$14,'Annual Parameters'!$B$33:$W$143,3,FALSE)</f>
        <v>82.519239073939957</v>
      </c>
      <c r="BK119" s="3502">
        <f>'All - MECs'!BK119*VLOOKUP($B$14,'Annual Parameters'!$B$33:$W$143,3,FALSE)/VLOOKUP('All - MECs'!$B$14,'Annual Parameters'!$B$33:$W$143,3,FALSE)</f>
        <v>164.66792506605273</v>
      </c>
      <c r="BL119" s="3544"/>
      <c r="BM119" s="3553"/>
      <c r="BN119" s="3493"/>
      <c r="BO119" s="3494">
        <v>4</v>
      </c>
      <c r="BP119" s="3495">
        <f>'All - MECs'!BP119*VLOOKUP($B$14,'Annual Parameters'!$B$33:$W$143,3,FALSE)/VLOOKUP('All - MECs'!$B$14,'Annual Parameters'!$B$33:$W$143,3,FALSE)</f>
        <v>52.007887189392846</v>
      </c>
      <c r="BQ119" s="3496">
        <f>'All - MECs'!BQ119*VLOOKUP($B$14,'Annual Parameters'!$B$33:$W$143,3,FALSE)/VLOOKUP('All - MECs'!$B$14,'Annual Parameters'!$B$33:$W$143,3,FALSE)</f>
        <v>292.61898305560584</v>
      </c>
      <c r="BR119" s="3496">
        <f>'All - MECs'!BR119*VLOOKUP($B$14,'Annual Parameters'!$B$33:$W$143,3,FALSE)/VLOOKUP('All - MECs'!$B$14,'Annual Parameters'!$B$33:$W$143,3,FALSE)</f>
        <v>349.57853149795778</v>
      </c>
      <c r="BS119" s="3503">
        <f>'All - MECs'!BS119*VLOOKUP($B$14,'Annual Parameters'!$B$33:$W$143,3,FALSE)/VLOOKUP('All - MECs'!$B$14,'Annual Parameters'!$B$33:$W$143,3,FALSE)</f>
        <v>65.049549735444685</v>
      </c>
      <c r="BT119" s="3504">
        <f>'All - MECs'!BT119*VLOOKUP($B$14,'Annual Parameters'!$B$33:$W$143,3,FALSE)/VLOOKUP('All - MECs'!$B$14,'Annual Parameters'!$B$33:$W$143,3,FALSE)</f>
        <v>258.6072171260368</v>
      </c>
      <c r="BU119" s="3501">
        <f>'All - MECs'!BU119*VLOOKUP($B$14,'Annual Parameters'!$B$33:$W$143,3,FALSE)/VLOOKUP('All - MECs'!$B$14,'Annual Parameters'!$B$33:$W$143,3,FALSE)</f>
        <v>251.0138433766781</v>
      </c>
      <c r="BV119" s="3500">
        <f>'All - MECs'!BV119*VLOOKUP($B$14,'Annual Parameters'!$B$33:$W$143,3,FALSE)/VLOOKUP('All - MECs'!$B$14,'Annual Parameters'!$B$33:$W$143,3,FALSE)</f>
        <v>117.58349719601243</v>
      </c>
      <c r="BW119" s="3501">
        <f>'All - MECs'!BW119*VLOOKUP($B$14,'Annual Parameters'!$B$33:$W$143,3,FALSE)/VLOOKUP('All - MECs'!$B$14,'Annual Parameters'!$B$33:$W$143,3,FALSE)</f>
        <v>201.81398738513056</v>
      </c>
      <c r="BX119" s="3495">
        <f>'All - MECs'!BX119*VLOOKUP($B$14,'Annual Parameters'!$B$33:$W$143,3,FALSE)/VLOOKUP('All - MECs'!$B$14,'Annual Parameters'!$B$33:$W$143,3,FALSE)</f>
        <v>62.097625733014326</v>
      </c>
      <c r="BY119" s="3496">
        <f>'All - MECs'!BY119*VLOOKUP($B$14,'Annual Parameters'!$B$33:$W$143,3,FALSE)/VLOOKUP('All - MECs'!$B$14,'Annual Parameters'!$B$33:$W$143,3,FALSE)</f>
        <v>118.67196383348636</v>
      </c>
      <c r="BZ119" s="3501">
        <f>'All - MECs'!BZ119*VLOOKUP($B$14,'Annual Parameters'!$B$33:$W$143,3,FALSE)/VLOOKUP('All - MECs'!$B$14,'Annual Parameters'!$B$33:$W$143,3,FALSE)</f>
        <v>71.137275063741342</v>
      </c>
      <c r="CA119" s="3502">
        <f>'All - MECs'!CA119*VLOOKUP($B$14,'Annual Parameters'!$B$33:$W$143,3,FALSE)/VLOOKUP('All - MECs'!$B$14,'Annual Parameters'!$B$33:$W$143,3,FALSE)</f>
        <v>141.95510781556271</v>
      </c>
    </row>
    <row r="120" spans="1:95" ht="13.5" customHeight="1">
      <c r="A120" s="3553"/>
      <c r="B120" s="3493"/>
      <c r="C120" s="3505">
        <v>5</v>
      </c>
      <c r="D120" s="3495" t="e">
        <f>'All - MECs'!D120*VLOOKUP($B$14,'Annual Parameters'!$B$33:$W$143,3,FALSE)/VLOOKUP('All - MECs'!$B$14,'Annual Parameters'!$B$33:$W$143,3,FALSE)</f>
        <v>#N/A</v>
      </c>
      <c r="E120" s="3496">
        <f>'All - MECs'!E120*VLOOKUP($B$14,'Annual Parameters'!$B$33:$W$143,3,FALSE)/VLOOKUP('All - MECs'!$B$14,'Annual Parameters'!$B$33:$W$143,3,FALSE)</f>
        <v>453.97448431601072</v>
      </c>
      <c r="F120" s="3496">
        <f>'All - MECs'!F120*VLOOKUP($B$14,'Annual Parameters'!$B$33:$W$143,3,FALSE)/VLOOKUP('All - MECs'!$B$14,'Annual Parameters'!$B$33:$W$143,3,FALSE)</f>
        <v>334.2596685352845</v>
      </c>
      <c r="G120" s="3506">
        <f>'All - MECs'!G120*VLOOKUP($B$14,'Annual Parameters'!$B$33:$W$143,3,FALSE)/VLOOKUP('All - MECs'!$B$14,'Annual Parameters'!$B$33:$W$143,3,FALSE)</f>
        <v>82.438613961726517</v>
      </c>
      <c r="H120" s="3507">
        <f>'All - MECs'!H120*VLOOKUP($B$14,'Annual Parameters'!$B$33:$W$143,3,FALSE)/VLOOKUP('All - MECs'!$B$14,'Annual Parameters'!$B$33:$W$143,3,FALSE)</f>
        <v>354.3352808439198</v>
      </c>
      <c r="I120" s="3508">
        <f>'All - MECs'!I120*VLOOKUP($B$14,'Annual Parameters'!$B$33:$W$143,3,FALSE)/VLOOKUP('All - MECs'!$B$14,'Annual Parameters'!$B$33:$W$143,3,FALSE)</f>
        <v>419.15434343159637</v>
      </c>
      <c r="J120" s="3509">
        <f>'All - MECs'!J120*VLOOKUP($B$14,'Annual Parameters'!$B$33:$W$143,3,FALSE)/VLOOKUP('All - MECs'!$B$14,'Annual Parameters'!$B$33:$W$143,3,FALSE)</f>
        <v>115.25379416625421</v>
      </c>
      <c r="K120" s="3508">
        <f>'All - MECs'!K120*VLOOKUP($B$14,'Annual Parameters'!$B$33:$W$143,3,FALSE)/VLOOKUP('All - MECs'!$B$14,'Annual Parameters'!$B$33:$W$143,3,FALSE)</f>
        <v>320.67439516593527</v>
      </c>
      <c r="L120" s="3510">
        <f>'All - MECs'!L120*VLOOKUP($B$14,'Annual Parameters'!$B$33:$W$143,3,FALSE)/VLOOKUP('All - MECs'!$B$14,'Annual Parameters'!$B$33:$W$143,3,FALSE)</f>
        <v>102.05644146671756</v>
      </c>
      <c r="M120" s="3511">
        <f>'All - MECs'!M120*VLOOKUP($B$14,'Annual Parameters'!$B$33:$W$143,3,FALSE)/VLOOKUP('All - MECs'!$B$14,'Annual Parameters'!$B$33:$W$143,3,FALSE)</f>
        <v>169.42915005404669</v>
      </c>
      <c r="N120" s="3508">
        <f>'All - MECs'!N120*VLOOKUP($B$14,'Annual Parameters'!$B$33:$W$143,3,FALSE)/VLOOKUP('All - MECs'!$B$14,'Annual Parameters'!$B$33:$W$143,3,FALSE)</f>
        <v>257.10377653433153</v>
      </c>
      <c r="O120" s="3502">
        <f>'All - MECs'!O120*VLOOKUP($B$14,'Annual Parameters'!$B$33:$W$143,3,FALSE)/VLOOKUP('All - MECs'!$B$14,'Annual Parameters'!$B$33:$W$143,3,FALSE)</f>
        <v>291.14624156764404</v>
      </c>
      <c r="P120" s="3544"/>
      <c r="Q120" s="3553"/>
      <c r="R120" s="3493"/>
      <c r="S120" s="3505">
        <v>5</v>
      </c>
      <c r="T120" s="3495" t="e">
        <f>'All - MECs'!T120*VLOOKUP($B$14,'Annual Parameters'!$B$33:$W$143,3,FALSE)/VLOOKUP('All - MECs'!$B$14,'Annual Parameters'!$B$33:$W$143,3,FALSE)</f>
        <v>#N/A</v>
      </c>
      <c r="U120" s="3496">
        <f>'All - MECs'!U120*VLOOKUP($B$14,'Annual Parameters'!$B$33:$W$143,3,FALSE)/VLOOKUP('All - MECs'!$B$14,'Annual Parameters'!$B$33:$W$143,3,FALSE)</f>
        <v>453.97448431601072</v>
      </c>
      <c r="V120" s="3496">
        <f>'All - MECs'!V120*VLOOKUP($B$14,'Annual Parameters'!$B$33:$W$143,3,FALSE)/VLOOKUP('All - MECs'!$B$14,'Annual Parameters'!$B$33:$W$143,3,FALSE)</f>
        <v>334.2596685352845</v>
      </c>
      <c r="W120" s="3506">
        <f>'All - MECs'!W120*VLOOKUP($B$14,'Annual Parameters'!$B$33:$W$143,3,FALSE)/VLOOKUP('All - MECs'!$B$14,'Annual Parameters'!$B$33:$W$143,3,FALSE)</f>
        <v>82.438613961726517</v>
      </c>
      <c r="X120" s="3507">
        <f>'All - MECs'!X120*VLOOKUP($B$14,'Annual Parameters'!$B$33:$W$143,3,FALSE)/VLOOKUP('All - MECs'!$B$14,'Annual Parameters'!$B$33:$W$143,3,FALSE)</f>
        <v>354.3352808439198</v>
      </c>
      <c r="Y120" s="3508">
        <f>'All - MECs'!Y120*VLOOKUP($B$14,'Annual Parameters'!$B$33:$W$143,3,FALSE)/VLOOKUP('All - MECs'!$B$14,'Annual Parameters'!$B$33:$W$143,3,FALSE)</f>
        <v>419.15434343159637</v>
      </c>
      <c r="Z120" s="3509">
        <f>'All - MECs'!Z120*VLOOKUP($B$14,'Annual Parameters'!$B$33:$W$143,3,FALSE)/VLOOKUP('All - MECs'!$B$14,'Annual Parameters'!$B$33:$W$143,3,FALSE)</f>
        <v>115.25379416625421</v>
      </c>
      <c r="AA120" s="3508">
        <f>'All - MECs'!AA120*VLOOKUP($B$14,'Annual Parameters'!$B$33:$W$143,3,FALSE)/VLOOKUP('All - MECs'!$B$14,'Annual Parameters'!$B$33:$W$143,3,FALSE)</f>
        <v>320.67439516593527</v>
      </c>
      <c r="AB120" s="3510">
        <f>'All - MECs'!AB120*VLOOKUP($B$14,'Annual Parameters'!$B$33:$W$143,3,FALSE)/VLOOKUP('All - MECs'!$B$14,'Annual Parameters'!$B$33:$W$143,3,FALSE)</f>
        <v>102.05644146671756</v>
      </c>
      <c r="AC120" s="3511">
        <f>'All - MECs'!AC120*VLOOKUP($B$14,'Annual Parameters'!$B$33:$W$143,3,FALSE)/VLOOKUP('All - MECs'!$B$14,'Annual Parameters'!$B$33:$W$143,3,FALSE)</f>
        <v>169.42915005404669</v>
      </c>
      <c r="AD120" s="3508">
        <f>'All - MECs'!AD120*VLOOKUP($B$14,'Annual Parameters'!$B$33:$W$143,3,FALSE)/VLOOKUP('All - MECs'!$B$14,'Annual Parameters'!$B$33:$W$143,3,FALSE)</f>
        <v>257.10377653433153</v>
      </c>
      <c r="AE120" s="3502">
        <f>'All - MECs'!AE120*VLOOKUP($B$14,'Annual Parameters'!$B$33:$W$143,3,FALSE)/VLOOKUP('All - MECs'!$B$14,'Annual Parameters'!$B$33:$W$143,3,FALSE)</f>
        <v>291.14624156764404</v>
      </c>
      <c r="AF120" s="3544"/>
      <c r="AG120" s="3553"/>
      <c r="AH120" s="3493"/>
      <c r="AI120" s="3505">
        <v>5</v>
      </c>
      <c r="AJ120" s="3495" t="e">
        <f>'All - MECs'!AJ120*VLOOKUP($B$14,'Annual Parameters'!$B$33:$W$143,3,FALSE)/VLOOKUP('All - MECs'!$B$14,'Annual Parameters'!$B$33:$W$143,3,FALSE)</f>
        <v>#N/A</v>
      </c>
      <c r="AK120" s="3496">
        <f>'All - MECs'!AK120*VLOOKUP($B$14,'Annual Parameters'!$B$33:$W$143,3,FALSE)/VLOOKUP('All - MECs'!$B$14,'Annual Parameters'!$B$33:$W$143,3,FALSE)</f>
        <v>862.55152020042033</v>
      </c>
      <c r="AL120" s="3496">
        <f>'All - MECs'!AL120*VLOOKUP($B$14,'Annual Parameters'!$B$33:$W$143,3,FALSE)/VLOOKUP('All - MECs'!$B$14,'Annual Parameters'!$B$33:$W$143,3,FALSE)</f>
        <v>635.0933702170405</v>
      </c>
      <c r="AM120" s="3506">
        <f>'All - MECs'!AM120*VLOOKUP($B$14,'Annual Parameters'!$B$33:$W$143,3,FALSE)/VLOOKUP('All - MECs'!$B$14,'Annual Parameters'!$B$33:$W$143,3,FALSE)</f>
        <v>156.63336652728037</v>
      </c>
      <c r="AN120" s="3507">
        <f>'All - MECs'!AN120*VLOOKUP($B$14,'Annual Parameters'!$B$33:$W$143,3,FALSE)/VLOOKUP('All - MECs'!$B$14,'Annual Parameters'!$B$33:$W$143,3,FALSE)</f>
        <v>673.23703360344768</v>
      </c>
      <c r="AO120" s="3508">
        <f>'All - MECs'!AO120*VLOOKUP($B$14,'Annual Parameters'!$B$33:$W$143,3,FALSE)/VLOOKUP('All - MECs'!$B$14,'Annual Parameters'!$B$33:$W$143,3,FALSE)</f>
        <v>796.39325252003312</v>
      </c>
      <c r="AP120" s="3509">
        <f>'All - MECs'!AP120*VLOOKUP($B$14,'Annual Parameters'!$B$33:$W$143,3,FALSE)/VLOOKUP('All - MECs'!$B$14,'Annual Parameters'!$B$33:$W$143,3,FALSE)</f>
        <v>218.98220891588298</v>
      </c>
      <c r="AQ120" s="3508">
        <f>'All - MECs'!AQ120*VLOOKUP($B$14,'Annual Parameters'!$B$33:$W$143,3,FALSE)/VLOOKUP('All - MECs'!$B$14,'Annual Parameters'!$B$33:$W$143,3,FALSE)</f>
        <v>609.28135081527694</v>
      </c>
      <c r="AR120" s="3510">
        <f>'All - MECs'!AR120*VLOOKUP($B$14,'Annual Parameters'!$B$33:$W$143,3,FALSE)/VLOOKUP('All - MECs'!$B$14,'Annual Parameters'!$B$33:$W$143,3,FALSE)</f>
        <v>193.90723878676329</v>
      </c>
      <c r="AS120" s="3511">
        <f>'All - MECs'!AS120*VLOOKUP($B$14,'Annual Parameters'!$B$33:$W$143,3,FALSE)/VLOOKUP('All - MECs'!$B$14,'Annual Parameters'!$B$33:$W$143,3,FALSE)</f>
        <v>321.91538510268867</v>
      </c>
      <c r="AT120" s="3508">
        <f>'All - MECs'!AT120*VLOOKUP($B$14,'Annual Parameters'!$B$33:$W$143,3,FALSE)/VLOOKUP('All - MECs'!$B$14,'Annual Parameters'!$B$33:$W$143,3,FALSE)</f>
        <v>488.49717541522989</v>
      </c>
      <c r="AU120" s="3502">
        <f>'All - MECs'!AU120*VLOOKUP($B$14,'Annual Parameters'!$B$33:$W$143,3,FALSE)/VLOOKUP('All - MECs'!$B$14,'Annual Parameters'!$B$33:$W$143,3,FALSE)</f>
        <v>553.17785897852366</v>
      </c>
      <c r="AV120" s="3544"/>
      <c r="AW120" s="3553"/>
      <c r="AX120" s="3493"/>
      <c r="AY120" s="3505">
        <v>5</v>
      </c>
      <c r="AZ120" s="3495" t="e">
        <f>'All - MECs'!AZ120*VLOOKUP($B$14,'Annual Parameters'!$B$33:$W$143,3,FALSE)/VLOOKUP('All - MECs'!$B$14,'Annual Parameters'!$B$33:$W$143,3,FALSE)</f>
        <v>#N/A</v>
      </c>
      <c r="BA120" s="3496">
        <f>'All - MECs'!BA120*VLOOKUP($B$14,'Annual Parameters'!$B$33:$W$143,3,FALSE)/VLOOKUP('All - MECs'!$B$14,'Annual Parameters'!$B$33:$W$143,3,FALSE)</f>
        <v>1316.5260045164309</v>
      </c>
      <c r="BB120" s="3496">
        <f>'All - MECs'!BB120*VLOOKUP($B$14,'Annual Parameters'!$B$33:$W$143,3,FALSE)/VLOOKUP('All - MECs'!$B$14,'Annual Parameters'!$B$33:$W$143,3,FALSE)</f>
        <v>969.35303875232489</v>
      </c>
      <c r="BC120" s="3506">
        <f>'All - MECs'!BC120*VLOOKUP($B$14,'Annual Parameters'!$B$33:$W$143,3,FALSE)/VLOOKUP('All - MECs'!$B$14,'Annual Parameters'!$B$33:$W$143,3,FALSE)</f>
        <v>239.0719804890069</v>
      </c>
      <c r="BD120" s="3507">
        <f>'All - MECs'!BD120*VLOOKUP($B$14,'Annual Parameters'!$B$33:$W$143,3,FALSE)/VLOOKUP('All - MECs'!$B$14,'Annual Parameters'!$B$33:$W$143,3,FALSE)</f>
        <v>1027.5723144473675</v>
      </c>
      <c r="BE120" s="3508">
        <f>'All - MECs'!BE120*VLOOKUP($B$14,'Annual Parameters'!$B$33:$W$143,3,FALSE)/VLOOKUP('All - MECs'!$B$14,'Annual Parameters'!$B$33:$W$143,3,FALSE)</f>
        <v>1215.5475959516295</v>
      </c>
      <c r="BF120" s="3509">
        <f>'All - MECs'!BF120*VLOOKUP($B$14,'Annual Parameters'!$B$33:$W$143,3,FALSE)/VLOOKUP('All - MECs'!$B$14,'Annual Parameters'!$B$33:$W$143,3,FALSE)</f>
        <v>334.23600308213719</v>
      </c>
      <c r="BG120" s="3508">
        <f>'All - MECs'!BG120*VLOOKUP($B$14,'Annual Parameters'!$B$33:$W$143,3,FALSE)/VLOOKUP('All - MECs'!$B$14,'Annual Parameters'!$B$33:$W$143,3,FALSE)</f>
        <v>929.9557459812122</v>
      </c>
      <c r="BH120" s="3510">
        <f>'All - MECs'!BH120*VLOOKUP($B$14,'Annual Parameters'!$B$33:$W$143,3,FALSE)/VLOOKUP('All - MECs'!$B$14,'Annual Parameters'!$B$33:$W$143,3,FALSE)</f>
        <v>295.96368025348085</v>
      </c>
      <c r="BI120" s="3511">
        <f>'All - MECs'!BI120*VLOOKUP($B$14,'Annual Parameters'!$B$33:$W$143,3,FALSE)/VLOOKUP('All - MECs'!$B$14,'Annual Parameters'!$B$33:$W$143,3,FALSE)</f>
        <v>491.34453515673539</v>
      </c>
      <c r="BJ120" s="3508">
        <f>'All - MECs'!BJ120*VLOOKUP($B$14,'Annual Parameters'!$B$33:$W$143,3,FALSE)/VLOOKUP('All - MECs'!$B$14,'Annual Parameters'!$B$33:$W$143,3,FALSE)</f>
        <v>745.60095194956148</v>
      </c>
      <c r="BK120" s="3502">
        <f>'All - MECs'!BK120*VLOOKUP($B$14,'Annual Parameters'!$B$33:$W$143,3,FALSE)/VLOOKUP('All - MECs'!$B$14,'Annual Parameters'!$B$33:$W$143,3,FALSE)</f>
        <v>844.32410054616764</v>
      </c>
      <c r="BL120" s="3544"/>
      <c r="BM120" s="3553"/>
      <c r="BN120" s="3493"/>
      <c r="BO120" s="3505">
        <v>5</v>
      </c>
      <c r="BP120" s="3495" t="e">
        <f>'All - MECs'!BP120*VLOOKUP($B$14,'Annual Parameters'!$B$33:$W$143,3,FALSE)/VLOOKUP('All - MECs'!$B$14,'Annual Parameters'!$B$33:$W$143,3,FALSE)</f>
        <v>#N/A</v>
      </c>
      <c r="BQ120" s="3496">
        <f>'All - MECs'!BQ120*VLOOKUP($B$14,'Annual Parameters'!$B$33:$W$143,3,FALSE)/VLOOKUP('All - MECs'!$B$14,'Annual Parameters'!$B$33:$W$143,3,FALSE)</f>
        <v>1134.9362107900267</v>
      </c>
      <c r="BR120" s="3496">
        <f>'All - MECs'!BR120*VLOOKUP($B$14,'Annual Parameters'!$B$33:$W$143,3,FALSE)/VLOOKUP('All - MECs'!$B$14,'Annual Parameters'!$B$33:$W$143,3,FALSE)</f>
        <v>835.64917133821132</v>
      </c>
      <c r="BS120" s="3506">
        <f>'All - MECs'!BS120*VLOOKUP($B$14,'Annual Parameters'!$B$33:$W$143,3,FALSE)/VLOOKUP('All - MECs'!$B$14,'Annual Parameters'!$B$33:$W$143,3,FALSE)</f>
        <v>206.09653490431629</v>
      </c>
      <c r="BT120" s="3507">
        <f>'All - MECs'!BT120*VLOOKUP($B$14,'Annual Parameters'!$B$33:$W$143,3,FALSE)/VLOOKUP('All - MECs'!$B$14,'Annual Parameters'!$B$33:$W$143,3,FALSE)</f>
        <v>885.83820210979979</v>
      </c>
      <c r="BU120" s="3508">
        <f>'All - MECs'!BU120*VLOOKUP($B$14,'Annual Parameters'!$B$33:$W$143,3,FALSE)/VLOOKUP('All - MECs'!$B$14,'Annual Parameters'!$B$33:$W$143,3,FALSE)</f>
        <v>1047.885858578991</v>
      </c>
      <c r="BV120" s="3509">
        <f>'All - MECs'!BV120*VLOOKUP($B$14,'Annual Parameters'!$B$33:$W$143,3,FALSE)/VLOOKUP('All - MECs'!$B$14,'Annual Parameters'!$B$33:$W$143,3,FALSE)</f>
        <v>288.13448541563554</v>
      </c>
      <c r="BW120" s="3508">
        <f>'All - MECs'!BW120*VLOOKUP($B$14,'Annual Parameters'!$B$33:$W$143,3,FALSE)/VLOOKUP('All - MECs'!$B$14,'Annual Parameters'!$B$33:$W$143,3,FALSE)</f>
        <v>801.68598791483817</v>
      </c>
      <c r="BX120" s="3510">
        <f>'All - MECs'!BX120*VLOOKUP($B$14,'Annual Parameters'!$B$33:$W$143,3,FALSE)/VLOOKUP('All - MECs'!$B$14,'Annual Parameters'!$B$33:$W$143,3,FALSE)</f>
        <v>255.14110366679387</v>
      </c>
      <c r="BY120" s="3511">
        <f>'All - MECs'!BY120*VLOOKUP($B$14,'Annual Parameters'!$B$33:$W$143,3,FALSE)/VLOOKUP('All - MECs'!$B$14,'Annual Parameters'!$B$33:$W$143,3,FALSE)</f>
        <v>423.5728751351167</v>
      </c>
      <c r="BZ120" s="3508">
        <f>'All - MECs'!BZ120*VLOOKUP($B$14,'Annual Parameters'!$B$33:$W$143,3,FALSE)/VLOOKUP('All - MECs'!$B$14,'Annual Parameters'!$B$33:$W$143,3,FALSE)</f>
        <v>642.7594413358288</v>
      </c>
      <c r="CA120" s="3502">
        <f>'All - MECs'!CA120*VLOOKUP($B$14,'Annual Parameters'!$B$33:$W$143,3,FALSE)/VLOOKUP('All - MECs'!$B$14,'Annual Parameters'!$B$33:$W$143,3,FALSE)</f>
        <v>727.86560391911019</v>
      </c>
    </row>
    <row r="121" spans="1:95" ht="13.5" customHeight="1">
      <c r="A121" s="3553"/>
      <c r="B121" s="3493"/>
      <c r="C121" s="3512" t="s">
        <v>1422</v>
      </c>
      <c r="D121" s="3513">
        <f>'All - MECs'!D121*VLOOKUP($B$14,'Annual Parameters'!$B$33:$W$143,3,FALSE)/VLOOKUP('All - MECs'!$B$14,'Annual Parameters'!$B$33:$W$143,3,FALSE)</f>
        <v>2.6551912735774206</v>
      </c>
      <c r="E121" s="3514">
        <f>'All - MECs'!E121*VLOOKUP($B$14,'Annual Parameters'!$B$33:$W$143,3,FALSE)/VLOOKUP('All - MECs'!$B$14,'Annual Parameters'!$B$33:$W$143,3,FALSE)</f>
        <v>182.22380909628109</v>
      </c>
      <c r="F121" s="3515">
        <f>'All - MECs'!F121*VLOOKUP($B$14,'Annual Parameters'!$B$33:$W$143,3,FALSE)/VLOOKUP('All - MECs'!$B$14,'Annual Parameters'!$B$33:$W$143,3,FALSE)</f>
        <v>88.56840375357244</v>
      </c>
      <c r="G121" s="3513">
        <f>'All - MECs'!G121*VLOOKUP($B$14,'Annual Parameters'!$B$33:$W$143,3,FALSE)/VLOOKUP('All - MECs'!$B$14,'Annual Parameters'!$B$33:$W$143,3,FALSE)</f>
        <v>9.5206339206420925</v>
      </c>
      <c r="H121" s="3514">
        <f>'All - MECs'!H121*VLOOKUP($B$14,'Annual Parameters'!$B$33:$W$143,3,FALSE)/VLOOKUP('All - MECs'!$B$14,'Annual Parameters'!$B$33:$W$143,3,FALSE)</f>
        <v>72.289079706851254</v>
      </c>
      <c r="I121" s="3515">
        <f>'All - MECs'!I121*VLOOKUP($B$14,'Annual Parameters'!$B$33:$W$143,3,FALSE)/VLOOKUP('All - MECs'!$B$14,'Annual Parameters'!$B$33:$W$143,3,FALSE)</f>
        <v>52.693290906098554</v>
      </c>
      <c r="J121" s="3516">
        <f>'All - MECs'!J121*VLOOKUP($B$14,'Annual Parameters'!$B$33:$W$143,3,FALSE)/VLOOKUP('All - MECs'!$B$14,'Annual Parameters'!$B$33:$W$143,3,FALSE)</f>
        <v>28.555058575730868</v>
      </c>
      <c r="K121" s="3517">
        <f>'All - MECs'!K121*VLOOKUP($B$14,'Annual Parameters'!$B$33:$W$143,3,FALSE)/VLOOKUP('All - MECs'!$B$14,'Annual Parameters'!$B$33:$W$143,3,FALSE)</f>
        <v>17.634738835641425</v>
      </c>
      <c r="L121" s="3518">
        <f>'All - MECs'!L121*VLOOKUP($B$14,'Annual Parameters'!$B$33:$W$143,3,FALSE)/VLOOKUP('All - MECs'!$B$14,'Annual Parameters'!$B$33:$W$143,3,FALSE)</f>
        <v>8.8482825181843427</v>
      </c>
      <c r="M121" s="3519">
        <f>'All - MECs'!M121*VLOOKUP($B$14,'Annual Parameters'!$B$33:$W$143,3,FALSE)/VLOOKUP('All - MECs'!$B$14,'Annual Parameters'!$B$33:$W$143,3,FALSE)</f>
        <v>5.2729072815611993</v>
      </c>
      <c r="N121" s="3517">
        <f>'All - MECs'!N121*VLOOKUP($B$14,'Annual Parameters'!$B$33:$W$143,3,FALSE)/VLOOKUP('All - MECs'!$B$14,'Annual Parameters'!$B$33:$W$143,3,FALSE)</f>
        <v>7.0488950908862718</v>
      </c>
      <c r="O121" s="3520">
        <f>'All - MECs'!O121*VLOOKUP($B$14,'Annual Parameters'!$B$33:$W$143,3,FALSE)/VLOOKUP('All - MECs'!$B$14,'Annual Parameters'!$B$33:$W$143,3,FALSE)</f>
        <v>26.132755425778292</v>
      </c>
      <c r="P121" s="3544"/>
      <c r="Q121" s="3553"/>
      <c r="R121" s="3493"/>
      <c r="S121" s="3512" t="s">
        <v>1422</v>
      </c>
      <c r="T121" s="3513">
        <f>'All - MECs'!T121*VLOOKUP($B$14,'Annual Parameters'!$B$33:$W$143,3,FALSE)/VLOOKUP('All - MECs'!$B$14,'Annual Parameters'!$B$33:$W$143,3,FALSE)</f>
        <v>2.6551912735774206</v>
      </c>
      <c r="U121" s="3514">
        <f>'All - MECs'!U121*VLOOKUP($B$14,'Annual Parameters'!$B$33:$W$143,3,FALSE)/VLOOKUP('All - MECs'!$B$14,'Annual Parameters'!$B$33:$W$143,3,FALSE)</f>
        <v>182.22380909628109</v>
      </c>
      <c r="V121" s="3515">
        <f>'All - MECs'!V121*VLOOKUP($B$14,'Annual Parameters'!$B$33:$W$143,3,FALSE)/VLOOKUP('All - MECs'!$B$14,'Annual Parameters'!$B$33:$W$143,3,FALSE)</f>
        <v>88.56840375357244</v>
      </c>
      <c r="W121" s="3513">
        <f>'All - MECs'!W121*VLOOKUP($B$14,'Annual Parameters'!$B$33:$W$143,3,FALSE)/VLOOKUP('All - MECs'!$B$14,'Annual Parameters'!$B$33:$W$143,3,FALSE)</f>
        <v>9.5206339206420925</v>
      </c>
      <c r="X121" s="3514">
        <f>'All - MECs'!X121*VLOOKUP($B$14,'Annual Parameters'!$B$33:$W$143,3,FALSE)/VLOOKUP('All - MECs'!$B$14,'Annual Parameters'!$B$33:$W$143,3,FALSE)</f>
        <v>72.289079706851254</v>
      </c>
      <c r="Y121" s="3515">
        <f>'All - MECs'!Y121*VLOOKUP($B$14,'Annual Parameters'!$B$33:$W$143,3,FALSE)/VLOOKUP('All - MECs'!$B$14,'Annual Parameters'!$B$33:$W$143,3,FALSE)</f>
        <v>52.693290906098554</v>
      </c>
      <c r="Z121" s="3516">
        <f>'All - MECs'!Z121*VLOOKUP($B$14,'Annual Parameters'!$B$33:$W$143,3,FALSE)/VLOOKUP('All - MECs'!$B$14,'Annual Parameters'!$B$33:$W$143,3,FALSE)</f>
        <v>28.555058575730868</v>
      </c>
      <c r="AA121" s="3517">
        <f>'All - MECs'!AA121*VLOOKUP($B$14,'Annual Parameters'!$B$33:$W$143,3,FALSE)/VLOOKUP('All - MECs'!$B$14,'Annual Parameters'!$B$33:$W$143,3,FALSE)</f>
        <v>17.634738835641425</v>
      </c>
      <c r="AB121" s="3518">
        <f>'All - MECs'!AB121*VLOOKUP($B$14,'Annual Parameters'!$B$33:$W$143,3,FALSE)/VLOOKUP('All - MECs'!$B$14,'Annual Parameters'!$B$33:$W$143,3,FALSE)</f>
        <v>8.8482825181843427</v>
      </c>
      <c r="AC121" s="3519">
        <f>'All - MECs'!AC121*VLOOKUP($B$14,'Annual Parameters'!$B$33:$W$143,3,FALSE)/VLOOKUP('All - MECs'!$B$14,'Annual Parameters'!$B$33:$W$143,3,FALSE)</f>
        <v>5.2729072815611993</v>
      </c>
      <c r="AD121" s="3517">
        <f>'All - MECs'!AD121*VLOOKUP($B$14,'Annual Parameters'!$B$33:$W$143,3,FALSE)/VLOOKUP('All - MECs'!$B$14,'Annual Parameters'!$B$33:$W$143,3,FALSE)</f>
        <v>7.0488950908862718</v>
      </c>
      <c r="AE121" s="3520">
        <f>'All - MECs'!AE121*VLOOKUP($B$14,'Annual Parameters'!$B$33:$W$143,3,FALSE)/VLOOKUP('All - MECs'!$B$14,'Annual Parameters'!$B$33:$W$143,3,FALSE)</f>
        <v>26.132755425778292</v>
      </c>
      <c r="AF121" s="3544"/>
      <c r="AG121" s="3553"/>
      <c r="AH121" s="3493"/>
      <c r="AI121" s="3512" t="s">
        <v>1422</v>
      </c>
      <c r="AJ121" s="3513">
        <f>'All - MECs'!AJ121*VLOOKUP($B$14,'Annual Parameters'!$B$33:$W$143,3,FALSE)/VLOOKUP('All - MECs'!$B$14,'Annual Parameters'!$B$33:$W$143,3,FALSE)</f>
        <v>5.0448634197970987</v>
      </c>
      <c r="AK121" s="3514">
        <f>'All - MECs'!AK121*VLOOKUP($B$14,'Annual Parameters'!$B$33:$W$143,3,FALSE)/VLOOKUP('All - MECs'!$B$14,'Annual Parameters'!$B$33:$W$143,3,FALSE)</f>
        <v>346.22523728293402</v>
      </c>
      <c r="AL121" s="3515">
        <f>'All - MECs'!AL121*VLOOKUP($B$14,'Annual Parameters'!$B$33:$W$143,3,FALSE)/VLOOKUP('All - MECs'!$B$14,'Annual Parameters'!$B$33:$W$143,3,FALSE)</f>
        <v>168.27996713178763</v>
      </c>
      <c r="AM121" s="3513">
        <f>'All - MECs'!AM121*VLOOKUP($B$14,'Annual Parameters'!$B$33:$W$143,3,FALSE)/VLOOKUP('All - MECs'!$B$14,'Annual Parameters'!$B$33:$W$143,3,FALSE)</f>
        <v>18.089204449219974</v>
      </c>
      <c r="AN121" s="3514">
        <f>'All - MECs'!AN121*VLOOKUP($B$14,'Annual Parameters'!$B$33:$W$143,3,FALSE)/VLOOKUP('All - MECs'!$B$14,'Annual Parameters'!$B$33:$W$143,3,FALSE)</f>
        <v>137.34925144301738</v>
      </c>
      <c r="AO121" s="3515">
        <f>'All - MECs'!AO121*VLOOKUP($B$14,'Annual Parameters'!$B$33:$W$143,3,FALSE)/VLOOKUP('All - MECs'!$B$14,'Annual Parameters'!$B$33:$W$143,3,FALSE)</f>
        <v>100.11725272158725</v>
      </c>
      <c r="AP121" s="3516">
        <f>'All - MECs'!AP121*VLOOKUP($B$14,'Annual Parameters'!$B$33:$W$143,3,FALSE)/VLOOKUP('All - MECs'!$B$14,'Annual Parameters'!$B$33:$W$143,3,FALSE)</f>
        <v>54.254611293888644</v>
      </c>
      <c r="AQ121" s="3517">
        <f>'All - MECs'!AQ121*VLOOKUP($B$14,'Annual Parameters'!$B$33:$W$143,3,FALSE)/VLOOKUP('All - MECs'!$B$14,'Annual Parameters'!$B$33:$W$143,3,FALSE)</f>
        <v>33.506003787718704</v>
      </c>
      <c r="AR121" s="3518">
        <f>'All - MECs'!AR121*VLOOKUP($B$14,'Annual Parameters'!$B$33:$W$143,3,FALSE)/VLOOKUP('All - MECs'!$B$14,'Annual Parameters'!$B$33:$W$143,3,FALSE)</f>
        <v>16.811736784550252</v>
      </c>
      <c r="AS121" s="3519">
        <f>'All - MECs'!AS121*VLOOKUP($B$14,'Annual Parameters'!$B$33:$W$143,3,FALSE)/VLOOKUP('All - MECs'!$B$14,'Annual Parameters'!$B$33:$W$143,3,FALSE)</f>
        <v>10.018523834966278</v>
      </c>
      <c r="AT121" s="3517">
        <f>'All - MECs'!AT121*VLOOKUP($B$14,'Annual Parameters'!$B$33:$W$143,3,FALSE)/VLOOKUP('All - MECs'!$B$14,'Annual Parameters'!$B$33:$W$143,3,FALSE)</f>
        <v>13.392900672683915</v>
      </c>
      <c r="AU121" s="3520">
        <f>'All - MECs'!AU121*VLOOKUP($B$14,'Annual Parameters'!$B$33:$W$143,3,FALSE)/VLOOKUP('All - MECs'!$B$14,'Annual Parameters'!$B$33:$W$143,3,FALSE)</f>
        <v>49.652235308978753</v>
      </c>
      <c r="AV121" s="3544"/>
      <c r="AW121" s="3553"/>
      <c r="AX121" s="3493"/>
      <c r="AY121" s="3512" t="s">
        <v>1422</v>
      </c>
      <c r="AZ121" s="3513">
        <f>'All - MECs'!AZ121*VLOOKUP($B$14,'Annual Parameters'!$B$33:$W$143,3,FALSE)/VLOOKUP('All - MECs'!$B$14,'Annual Parameters'!$B$33:$W$143,3,FALSE)</f>
        <v>7.7000546933745193</v>
      </c>
      <c r="BA121" s="3514">
        <f>'All - MECs'!BA121*VLOOKUP($B$14,'Annual Parameters'!$B$33:$W$143,3,FALSE)/VLOOKUP('All - MECs'!$B$14,'Annual Parameters'!$B$33:$W$143,3,FALSE)</f>
        <v>528.44904637921502</v>
      </c>
      <c r="BB121" s="3515">
        <f>'All - MECs'!BB121*VLOOKUP($B$14,'Annual Parameters'!$B$33:$W$143,3,FALSE)/VLOOKUP('All - MECs'!$B$14,'Annual Parameters'!$B$33:$W$143,3,FALSE)</f>
        <v>256.84837088536005</v>
      </c>
      <c r="BC121" s="3513">
        <f>'All - MECs'!BC121*VLOOKUP($B$14,'Annual Parameters'!$B$33:$W$143,3,FALSE)/VLOOKUP('All - MECs'!$B$14,'Annual Parameters'!$B$33:$W$143,3,FALSE)</f>
        <v>27.609838369862068</v>
      </c>
      <c r="BD121" s="3514">
        <f>'All - MECs'!BD121*VLOOKUP($B$14,'Annual Parameters'!$B$33:$W$143,3,FALSE)/VLOOKUP('All - MECs'!$B$14,'Annual Parameters'!$B$33:$W$143,3,FALSE)</f>
        <v>209.63833114986863</v>
      </c>
      <c r="BE121" s="3515">
        <f>'All - MECs'!BE121*VLOOKUP($B$14,'Annual Parameters'!$B$33:$W$143,3,FALSE)/VLOOKUP('All - MECs'!$B$14,'Annual Parameters'!$B$33:$W$143,3,FALSE)</f>
        <v>152.8105436276858</v>
      </c>
      <c r="BF121" s="3516">
        <f>'All - MECs'!BF121*VLOOKUP($B$14,'Annual Parameters'!$B$33:$W$143,3,FALSE)/VLOOKUP('All - MECs'!$B$14,'Annual Parameters'!$B$33:$W$143,3,FALSE)</f>
        <v>82.809669869619526</v>
      </c>
      <c r="BG121" s="3517">
        <f>'All - MECs'!BG121*VLOOKUP($B$14,'Annual Parameters'!$B$33:$W$143,3,FALSE)/VLOOKUP('All - MECs'!$B$14,'Annual Parameters'!$B$33:$W$143,3,FALSE)</f>
        <v>51.140742623360126</v>
      </c>
      <c r="BH121" s="3518">
        <f>'All - MECs'!BH121*VLOOKUP($B$14,'Annual Parameters'!$B$33:$W$143,3,FALSE)/VLOOKUP('All - MECs'!$B$14,'Annual Parameters'!$B$33:$W$143,3,FALSE)</f>
        <v>25.660019302734597</v>
      </c>
      <c r="BI121" s="3519">
        <f>'All - MECs'!BI121*VLOOKUP($B$14,'Annual Parameters'!$B$33:$W$143,3,FALSE)/VLOOKUP('All - MECs'!$B$14,'Annual Parameters'!$B$33:$W$143,3,FALSE)</f>
        <v>15.291431116527477</v>
      </c>
      <c r="BJ121" s="3517">
        <f>'All - MECs'!BJ121*VLOOKUP($B$14,'Annual Parameters'!$B$33:$W$143,3,FALSE)/VLOOKUP('All - MECs'!$B$14,'Annual Parameters'!$B$33:$W$143,3,FALSE)</f>
        <v>20.441795763570187</v>
      </c>
      <c r="BK121" s="3520">
        <f>'All - MECs'!BK121*VLOOKUP($B$14,'Annual Parameters'!$B$33:$W$143,3,FALSE)/VLOOKUP('All - MECs'!$B$14,'Annual Parameters'!$B$33:$W$143,3,FALSE)</f>
        <v>75.784990734757045</v>
      </c>
      <c r="BL121" s="3544"/>
      <c r="BM121" s="3553"/>
      <c r="BN121" s="3493"/>
      <c r="BO121" s="3512" t="s">
        <v>1422</v>
      </c>
      <c r="BP121" s="3513">
        <f>'All - MECs'!BP121*VLOOKUP($B$14,'Annual Parameters'!$B$33:$W$143,3,FALSE)/VLOOKUP('All - MECs'!$B$14,'Annual Parameters'!$B$33:$W$143,3,FALSE)</f>
        <v>6.6379781839435505</v>
      </c>
      <c r="BQ121" s="3514">
        <f>'All - MECs'!BQ121*VLOOKUP($B$14,'Annual Parameters'!$B$33:$W$143,3,FALSE)/VLOOKUP('All - MECs'!$B$14,'Annual Parameters'!$B$33:$W$143,3,FALSE)</f>
        <v>455.55952274070262</v>
      </c>
      <c r="BR121" s="3515">
        <f>'All - MECs'!BR121*VLOOKUP($B$14,'Annual Parameters'!$B$33:$W$143,3,FALSE)/VLOOKUP('All - MECs'!$B$14,'Annual Parameters'!$B$33:$W$143,3,FALSE)</f>
        <v>221.42100938393114</v>
      </c>
      <c r="BS121" s="3513">
        <f>'All - MECs'!BS121*VLOOKUP($B$14,'Annual Parameters'!$B$33:$W$143,3,FALSE)/VLOOKUP('All - MECs'!$B$14,'Annual Parameters'!$B$33:$W$143,3,FALSE)</f>
        <v>23.80158480160523</v>
      </c>
      <c r="BT121" s="3514">
        <f>'All - MECs'!BT121*VLOOKUP($B$14,'Annual Parameters'!$B$33:$W$143,3,FALSE)/VLOOKUP('All - MECs'!$B$14,'Annual Parameters'!$B$33:$W$143,3,FALSE)</f>
        <v>180.72269926712812</v>
      </c>
      <c r="BU121" s="3515">
        <f>'All - MECs'!BU121*VLOOKUP($B$14,'Annual Parameters'!$B$33:$W$143,3,FALSE)/VLOOKUP('All - MECs'!$B$14,'Annual Parameters'!$B$33:$W$143,3,FALSE)</f>
        <v>131.7332272652464</v>
      </c>
      <c r="BV121" s="3516">
        <f>'All - MECs'!BV121*VLOOKUP($B$14,'Annual Parameters'!$B$33:$W$143,3,FALSE)/VLOOKUP('All - MECs'!$B$14,'Annual Parameters'!$B$33:$W$143,3,FALSE)</f>
        <v>71.38764643932717</v>
      </c>
      <c r="BW121" s="3517">
        <f>'All - MECs'!BW121*VLOOKUP($B$14,'Annual Parameters'!$B$33:$W$143,3,FALSE)/VLOOKUP('All - MECs'!$B$14,'Annual Parameters'!$B$33:$W$143,3,FALSE)</f>
        <v>44.086847089103564</v>
      </c>
      <c r="BX121" s="3518">
        <f>'All - MECs'!BX121*VLOOKUP($B$14,'Annual Parameters'!$B$33:$W$143,3,FALSE)/VLOOKUP('All - MECs'!$B$14,'Annual Parameters'!$B$33:$W$143,3,FALSE)</f>
        <v>22.120706295460856</v>
      </c>
      <c r="BY121" s="3519">
        <f>'All - MECs'!BY121*VLOOKUP($B$14,'Annual Parameters'!$B$33:$W$143,3,FALSE)/VLOOKUP('All - MECs'!$B$14,'Annual Parameters'!$B$33:$W$143,3,FALSE)</f>
        <v>13.182268203902998</v>
      </c>
      <c r="BZ121" s="3517">
        <f>'All - MECs'!BZ121*VLOOKUP($B$14,'Annual Parameters'!$B$33:$W$143,3,FALSE)/VLOOKUP('All - MECs'!$B$14,'Annual Parameters'!$B$33:$W$143,3,FALSE)</f>
        <v>17.62223772721568</v>
      </c>
      <c r="CA121" s="3520">
        <f>'All - MECs'!CA121*VLOOKUP($B$14,'Annual Parameters'!$B$33:$W$143,3,FALSE)/VLOOKUP('All - MECs'!$B$14,'Annual Parameters'!$B$33:$W$143,3,FALSE)</f>
        <v>65.331888564445734</v>
      </c>
    </row>
    <row r="122" spans="1:95" ht="13.5" customHeight="1">
      <c r="A122" s="3521" t="s">
        <v>1095</v>
      </c>
      <c r="B122" s="3522"/>
      <c r="C122" s="3523" t="s">
        <v>1096</v>
      </c>
      <c r="D122" s="3524">
        <f>'All - MECs'!D122*VLOOKUP($B$14,'Annual Parameters'!$B$33:$W$143,3,FALSE)/VLOOKUP('All - MECs'!$B$14,'Annual Parameters'!$B$33:$W$143,3,FALSE)</f>
        <v>0</v>
      </c>
      <c r="E122" s="3525">
        <f>'All - MECs'!E122*VLOOKUP($B$14,'Annual Parameters'!$B$33:$W$143,3,FALSE)/VLOOKUP('All - MECs'!$B$14,'Annual Parameters'!$B$33:$W$143,3,FALSE)</f>
        <v>0.16555393311927047</v>
      </c>
      <c r="F122" s="3526">
        <f>'All - MECs'!F122*VLOOKUP($B$14,'Annual Parameters'!$B$33:$W$143,3,FALSE)/VLOOKUP('All - MECs'!$B$14,'Annual Parameters'!$B$33:$W$143,3,FALSE)</f>
        <v>0.16555393311927047</v>
      </c>
      <c r="G122" s="3524">
        <f>'All - MECs'!G122*VLOOKUP($B$14,'Annual Parameters'!$B$33:$W$143,3,FALSE)/VLOOKUP('All - MECs'!$B$14,'Annual Parameters'!$B$33:$W$143,3,FALSE)</f>
        <v>0</v>
      </c>
      <c r="H122" s="3525">
        <f>'All - MECs'!H122*VLOOKUP($B$14,'Annual Parameters'!$B$33:$W$143,3,FALSE)/VLOOKUP('All - MECs'!$B$14,'Annual Parameters'!$B$33:$W$143,3,FALSE)</f>
        <v>0.16555393311927047</v>
      </c>
      <c r="I122" s="3526">
        <f>'All - MECs'!I122*VLOOKUP($B$14,'Annual Parameters'!$B$33:$W$143,3,FALSE)/VLOOKUP('All - MECs'!$B$14,'Annual Parameters'!$B$33:$W$143,3,FALSE)</f>
        <v>0.16555393311927047</v>
      </c>
      <c r="J122" s="3527">
        <f>'All - MECs'!J122*VLOOKUP($B$14,'Annual Parameters'!$B$33:$W$143,3,FALSE)/VLOOKUP('All - MECs'!$B$14,'Annual Parameters'!$B$33:$W$143,3,FALSE)</f>
        <v>0.16555393311927047</v>
      </c>
      <c r="K122" s="3526">
        <f>'All - MECs'!K122*VLOOKUP($B$14,'Annual Parameters'!$B$33:$W$143,3,FALSE)/VLOOKUP('All - MECs'!$B$14,'Annual Parameters'!$B$33:$W$143,3,FALSE)</f>
        <v>0.16555393311927047</v>
      </c>
      <c r="L122" s="3527">
        <f>'All - MECs'!L122*VLOOKUP($B$14,'Annual Parameters'!$B$33:$W$143,3,FALSE)/VLOOKUP('All - MECs'!$B$14,'Annual Parameters'!$B$33:$W$143,3,FALSE)</f>
        <v>0</v>
      </c>
      <c r="M122" s="3528">
        <f>'All - MECs'!M122*VLOOKUP($B$14,'Annual Parameters'!$B$33:$W$143,3,FALSE)/VLOOKUP('All - MECs'!$B$14,'Annual Parameters'!$B$33:$W$143,3,FALSE)</f>
        <v>0.16555393311927047</v>
      </c>
      <c r="N122" s="3526">
        <f>'All - MECs'!N122*VLOOKUP($B$14,'Annual Parameters'!$B$33:$W$143,3,FALSE)/VLOOKUP('All - MECs'!$B$14,'Annual Parameters'!$B$33:$W$143,3,FALSE)</f>
        <v>0.16555393311927047</v>
      </c>
      <c r="O122" s="3529">
        <f>'All - MECs'!O122*VLOOKUP($B$14,'Annual Parameters'!$B$33:$W$143,3,FALSE)/VLOOKUP('All - MECs'!$B$14,'Annual Parameters'!$B$33:$W$143,3,FALSE)</f>
        <v>0.13476087647389076</v>
      </c>
      <c r="P122" s="3544"/>
      <c r="Q122" s="3521" t="s">
        <v>1095</v>
      </c>
      <c r="R122" s="3522"/>
      <c r="S122" s="3523" t="s">
        <v>1096</v>
      </c>
      <c r="T122" s="3524">
        <f>'All - MECs'!T122*VLOOKUP($B$14,'Annual Parameters'!$B$33:$W$143,3,FALSE)/VLOOKUP('All - MECs'!$B$14,'Annual Parameters'!$B$33:$W$143,3,FALSE)</f>
        <v>0</v>
      </c>
      <c r="U122" s="3525">
        <f>'All - MECs'!U122*VLOOKUP($B$14,'Annual Parameters'!$B$33:$W$143,3,FALSE)/VLOOKUP('All - MECs'!$B$14,'Annual Parameters'!$B$33:$W$143,3,FALSE)</f>
        <v>0.16555393311927047</v>
      </c>
      <c r="V122" s="3526">
        <f>'All - MECs'!V122*VLOOKUP($B$14,'Annual Parameters'!$B$33:$W$143,3,FALSE)/VLOOKUP('All - MECs'!$B$14,'Annual Parameters'!$B$33:$W$143,3,FALSE)</f>
        <v>0.16555393311927047</v>
      </c>
      <c r="W122" s="3524">
        <f>'All - MECs'!W122*VLOOKUP($B$14,'Annual Parameters'!$B$33:$W$143,3,FALSE)/VLOOKUP('All - MECs'!$B$14,'Annual Parameters'!$B$33:$W$143,3,FALSE)</f>
        <v>0</v>
      </c>
      <c r="X122" s="3525">
        <f>'All - MECs'!X122*VLOOKUP($B$14,'Annual Parameters'!$B$33:$W$143,3,FALSE)/VLOOKUP('All - MECs'!$B$14,'Annual Parameters'!$B$33:$W$143,3,FALSE)</f>
        <v>0.16555393311927047</v>
      </c>
      <c r="Y122" s="3526">
        <f>'All - MECs'!Y122*VLOOKUP($B$14,'Annual Parameters'!$B$33:$W$143,3,FALSE)/VLOOKUP('All - MECs'!$B$14,'Annual Parameters'!$B$33:$W$143,3,FALSE)</f>
        <v>0.16555393311927047</v>
      </c>
      <c r="Z122" s="3527">
        <f>'All - MECs'!Z122*VLOOKUP($B$14,'Annual Parameters'!$B$33:$W$143,3,FALSE)/VLOOKUP('All - MECs'!$B$14,'Annual Parameters'!$B$33:$W$143,3,FALSE)</f>
        <v>0.16555393311927047</v>
      </c>
      <c r="AA122" s="3526">
        <f>'All - MECs'!AA122*VLOOKUP($B$14,'Annual Parameters'!$B$33:$W$143,3,FALSE)/VLOOKUP('All - MECs'!$B$14,'Annual Parameters'!$B$33:$W$143,3,FALSE)</f>
        <v>0.16555393311927047</v>
      </c>
      <c r="AB122" s="3527">
        <f>'All - MECs'!AB122*VLOOKUP($B$14,'Annual Parameters'!$B$33:$W$143,3,FALSE)/VLOOKUP('All - MECs'!$B$14,'Annual Parameters'!$B$33:$W$143,3,FALSE)</f>
        <v>0</v>
      </c>
      <c r="AC122" s="3528">
        <f>'All - MECs'!AC122*VLOOKUP($B$14,'Annual Parameters'!$B$33:$W$143,3,FALSE)/VLOOKUP('All - MECs'!$B$14,'Annual Parameters'!$B$33:$W$143,3,FALSE)</f>
        <v>0.16555393311927047</v>
      </c>
      <c r="AD122" s="3526">
        <f>'All - MECs'!AD122*VLOOKUP($B$14,'Annual Parameters'!$B$33:$W$143,3,FALSE)/VLOOKUP('All - MECs'!$B$14,'Annual Parameters'!$B$33:$W$143,3,FALSE)</f>
        <v>0.16555393311927047</v>
      </c>
      <c r="AE122" s="3529">
        <f>'All - MECs'!AE122*VLOOKUP($B$14,'Annual Parameters'!$B$33:$W$143,3,FALSE)/VLOOKUP('All - MECs'!$B$14,'Annual Parameters'!$B$33:$W$143,3,FALSE)</f>
        <v>0.13630460189272159</v>
      </c>
      <c r="AF122" s="3544"/>
      <c r="AG122" s="3521" t="s">
        <v>1095</v>
      </c>
      <c r="AH122" s="3522"/>
      <c r="AI122" s="3523" t="s">
        <v>1096</v>
      </c>
      <c r="AJ122" s="3524">
        <f>'All - MECs'!AJ122*VLOOKUP($B$14,'Annual Parameters'!$B$33:$W$143,3,FALSE)/VLOOKUP('All - MECs'!$B$14,'Annual Parameters'!$B$33:$W$143,3,FALSE)</f>
        <v>1.4899853980734343</v>
      </c>
      <c r="AK122" s="3525">
        <f>'All - MECs'!AK122*VLOOKUP($B$14,'Annual Parameters'!$B$33:$W$143,3,FALSE)/VLOOKUP('All - MECs'!$B$14,'Annual Parameters'!$B$33:$W$143,3,FALSE)</f>
        <v>7.9465887897249834</v>
      </c>
      <c r="AL122" s="3526">
        <f>'All - MECs'!AL122*VLOOKUP($B$14,'Annual Parameters'!$B$33:$W$143,3,FALSE)/VLOOKUP('All - MECs'!$B$14,'Annual Parameters'!$B$33:$W$143,3,FALSE)</f>
        <v>33.276340556973366</v>
      </c>
      <c r="AM122" s="3524">
        <f>'All - MECs'!AM122*VLOOKUP($B$14,'Annual Parameters'!$B$33:$W$143,3,FALSE)/VLOOKUP('All - MECs'!$B$14,'Annual Parameters'!$B$33:$W$143,3,FALSE)</f>
        <v>1.4899853980734343</v>
      </c>
      <c r="AN122" s="3525">
        <f>'All - MECs'!AN122*VLOOKUP($B$14,'Annual Parameters'!$B$33:$W$143,3,FALSE)/VLOOKUP('All - MECs'!$B$14,'Annual Parameters'!$B$33:$W$143,3,FALSE)</f>
        <v>5.9599415922937373</v>
      </c>
      <c r="AO122" s="3526">
        <f>'All - MECs'!AO122*VLOOKUP($B$14,'Annual Parameters'!$B$33:$W$143,3,FALSE)/VLOOKUP('All - MECs'!$B$14,'Annual Parameters'!$B$33:$W$143,3,FALSE)</f>
        <v>33.276340556973366</v>
      </c>
      <c r="AP122" s="3527">
        <f>'All - MECs'!AP122*VLOOKUP($B$14,'Annual Parameters'!$B$33:$W$143,3,FALSE)/VLOOKUP('All - MECs'!$B$14,'Annual Parameters'!$B$33:$W$143,3,FALSE)</f>
        <v>5.7943876591744674</v>
      </c>
      <c r="AQ122" s="3526">
        <f>'All - MECs'!AQ122*VLOOKUP($B$14,'Annual Parameters'!$B$33:$W$143,3,FALSE)/VLOOKUP('All - MECs'!$B$14,'Annual Parameters'!$B$33:$W$143,3,FALSE)</f>
        <v>33.276340556973366</v>
      </c>
      <c r="AR122" s="3527">
        <f>'All - MECs'!AR122*VLOOKUP($B$14,'Annual Parameters'!$B$33:$W$143,3,FALSE)/VLOOKUP('All - MECs'!$B$14,'Annual Parameters'!$B$33:$W$143,3,FALSE)</f>
        <v>1.4899853980734343</v>
      </c>
      <c r="AS122" s="3528">
        <f>'All - MECs'!AS122*VLOOKUP($B$14,'Annual Parameters'!$B$33:$W$143,3,FALSE)/VLOOKUP('All - MECs'!$B$14,'Annual Parameters'!$B$33:$W$143,3,FALSE)</f>
        <v>4.9666179935781143</v>
      </c>
      <c r="AT122" s="3526">
        <f>'All - MECs'!AT122*VLOOKUP($B$14,'Annual Parameters'!$B$33:$W$143,3,FALSE)/VLOOKUP('All - MECs'!$B$14,'Annual Parameters'!$B$33:$W$143,3,FALSE)</f>
        <v>33.276340556973366</v>
      </c>
      <c r="AU122" s="3529">
        <f>'All - MECs'!AU122*VLOOKUP($B$14,'Annual Parameters'!$B$33:$W$143,3,FALSE)/VLOOKUP('All - MECs'!$B$14,'Annual Parameters'!$B$33:$W$143,3,FALSE)</f>
        <v>10.132286585556463</v>
      </c>
      <c r="AV122" s="3544"/>
      <c r="AW122" s="3521" t="s">
        <v>1095</v>
      </c>
      <c r="AX122" s="3522"/>
      <c r="AY122" s="3523" t="s">
        <v>1096</v>
      </c>
      <c r="AZ122" s="3524">
        <f>'All - MECs'!AZ122*VLOOKUP($B$14,'Annual Parameters'!$B$33:$W$143,3,FALSE)/VLOOKUP('All - MECs'!$B$14,'Annual Parameters'!$B$33:$W$143,3,FALSE)</f>
        <v>5.9599415922937373</v>
      </c>
      <c r="BA122" s="3525">
        <f>'All - MECs'!BA122*VLOOKUP($B$14,'Annual Parameters'!$B$33:$W$143,3,FALSE)/VLOOKUP('All - MECs'!$B$14,'Annual Parameters'!$B$33:$W$143,3,FALSE)</f>
        <v>27.813060764037441</v>
      </c>
      <c r="BB122" s="3526">
        <f>'All - MECs'!BB122*VLOOKUP($B$14,'Annual Parameters'!$B$33:$W$143,3,FALSE)/VLOOKUP('All - MECs'!$B$14,'Annual Parameters'!$B$33:$W$143,3,FALSE)</f>
        <v>137.07865662275594</v>
      </c>
      <c r="BC122" s="3524">
        <f>'All - MECs'!BC122*VLOOKUP($B$14,'Annual Parameters'!$B$33:$W$143,3,FALSE)/VLOOKUP('All - MECs'!$B$14,'Annual Parameters'!$B$33:$W$143,3,FALSE)</f>
        <v>5.9599415922937373</v>
      </c>
      <c r="BD122" s="3525">
        <f>'All - MECs'!BD122*VLOOKUP($B$14,'Annual Parameters'!$B$33:$W$143,3,FALSE)/VLOOKUP('All - MECs'!$B$14,'Annual Parameters'!$B$33:$W$143,3,FALSE)</f>
        <v>21.02534950614735</v>
      </c>
      <c r="BE122" s="3526">
        <f>'All - MECs'!BE122*VLOOKUP($B$14,'Annual Parameters'!$B$33:$W$143,3,FALSE)/VLOOKUP('All - MECs'!$B$14,'Annual Parameters'!$B$33:$W$143,3,FALSE)</f>
        <v>137.07865662275594</v>
      </c>
      <c r="BF122" s="3527">
        <f>'All - MECs'!BF122*VLOOKUP($B$14,'Annual Parameters'!$B$33:$W$143,3,FALSE)/VLOOKUP('All - MECs'!$B$14,'Annual Parameters'!$B$33:$W$143,3,FALSE)</f>
        <v>20.69424163990881</v>
      </c>
      <c r="BG122" s="3526">
        <f>'All - MECs'!BG122*VLOOKUP($B$14,'Annual Parameters'!$B$33:$W$143,3,FALSE)/VLOOKUP('All - MECs'!$B$14,'Annual Parameters'!$B$33:$W$143,3,FALSE)</f>
        <v>137.07865662275594</v>
      </c>
      <c r="BH122" s="3527">
        <f>'All - MECs'!BH122*VLOOKUP($B$14,'Annual Parameters'!$B$33:$W$143,3,FALSE)/VLOOKUP('All - MECs'!$B$14,'Annual Parameters'!$B$33:$W$143,3,FALSE)</f>
        <v>5.9599415922937373</v>
      </c>
      <c r="BI122" s="3528">
        <f>'All - MECs'!BI122*VLOOKUP($B$14,'Annual Parameters'!$B$33:$W$143,3,FALSE)/VLOOKUP('All - MECs'!$B$14,'Annual Parameters'!$B$33:$W$143,3,FALSE)</f>
        <v>18.045378710000485</v>
      </c>
      <c r="BJ122" s="3526">
        <f>'All - MECs'!BJ122*VLOOKUP($B$14,'Annual Parameters'!$B$33:$W$143,3,FALSE)/VLOOKUP('All - MECs'!$B$14,'Annual Parameters'!$B$33:$W$143,3,FALSE)</f>
        <v>137.07865662275594</v>
      </c>
      <c r="BK122" s="3529">
        <f>'All - MECs'!BK122*VLOOKUP($B$14,'Annual Parameters'!$B$33:$W$143,3,FALSE)/VLOOKUP('All - MECs'!$B$14,'Annual Parameters'!$B$33:$W$143,3,FALSE)</f>
        <v>15.636619041325179</v>
      </c>
      <c r="BL122" s="3544"/>
      <c r="BM122" s="3521" t="s">
        <v>1095</v>
      </c>
      <c r="BN122" s="3522"/>
      <c r="BO122" s="3523" t="s">
        <v>1096</v>
      </c>
      <c r="BP122" s="3524">
        <f>'All - MECs'!BP122*VLOOKUP($B$14,'Annual Parameters'!$B$33:$W$143,3,FALSE)/VLOOKUP('All - MECs'!$B$14,'Annual Parameters'!$B$33:$W$143,3,FALSE)</f>
        <v>0</v>
      </c>
      <c r="BQ122" s="3525">
        <f>'All - MECs'!BQ122*VLOOKUP($B$14,'Annual Parameters'!$B$33:$W$143,3,FALSE)/VLOOKUP('All - MECs'!$B$14,'Annual Parameters'!$B$33:$W$143,3,FALSE)</f>
        <v>0</v>
      </c>
      <c r="BR122" s="3526">
        <f>'All - MECs'!BR122*VLOOKUP($B$14,'Annual Parameters'!$B$33:$W$143,3,FALSE)/VLOOKUP('All - MECs'!$B$14,'Annual Parameters'!$B$33:$W$143,3,FALSE)</f>
        <v>0</v>
      </c>
      <c r="BS122" s="3524">
        <f>'All - MECs'!BS122*VLOOKUP($B$14,'Annual Parameters'!$B$33:$W$143,3,FALSE)/VLOOKUP('All - MECs'!$B$14,'Annual Parameters'!$B$33:$W$143,3,FALSE)</f>
        <v>0</v>
      </c>
      <c r="BT122" s="3525">
        <f>'All - MECs'!BT122*VLOOKUP($B$14,'Annual Parameters'!$B$33:$W$143,3,FALSE)/VLOOKUP('All - MECs'!$B$14,'Annual Parameters'!$B$33:$W$143,3,FALSE)</f>
        <v>0</v>
      </c>
      <c r="BU122" s="3526">
        <f>'All - MECs'!BU122*VLOOKUP($B$14,'Annual Parameters'!$B$33:$W$143,3,FALSE)/VLOOKUP('All - MECs'!$B$14,'Annual Parameters'!$B$33:$W$143,3,FALSE)</f>
        <v>0</v>
      </c>
      <c r="BV122" s="3527">
        <f>'All - MECs'!BV122*VLOOKUP($B$14,'Annual Parameters'!$B$33:$W$143,3,FALSE)/VLOOKUP('All - MECs'!$B$14,'Annual Parameters'!$B$33:$W$143,3,FALSE)</f>
        <v>0</v>
      </c>
      <c r="BW122" s="3526">
        <f>'All - MECs'!BW122*VLOOKUP($B$14,'Annual Parameters'!$B$33:$W$143,3,FALSE)/VLOOKUP('All - MECs'!$B$14,'Annual Parameters'!$B$33:$W$143,3,FALSE)</f>
        <v>0</v>
      </c>
      <c r="BX122" s="3527">
        <f>'All - MECs'!BX122*VLOOKUP($B$14,'Annual Parameters'!$B$33:$W$143,3,FALSE)/VLOOKUP('All - MECs'!$B$14,'Annual Parameters'!$B$33:$W$143,3,FALSE)</f>
        <v>0</v>
      </c>
      <c r="BY122" s="3528">
        <f>'All - MECs'!BY122*VLOOKUP($B$14,'Annual Parameters'!$B$33:$W$143,3,FALSE)/VLOOKUP('All - MECs'!$B$14,'Annual Parameters'!$B$33:$W$143,3,FALSE)</f>
        <v>0</v>
      </c>
      <c r="BZ122" s="3526">
        <f>'All - MECs'!BZ122*VLOOKUP($B$14,'Annual Parameters'!$B$33:$W$143,3,FALSE)/VLOOKUP('All - MECs'!$B$14,'Annual Parameters'!$B$33:$W$143,3,FALSE)</f>
        <v>0</v>
      </c>
      <c r="CA122" s="3529">
        <f>'All - MECs'!CA122*VLOOKUP($B$14,'Annual Parameters'!$B$33:$W$143,3,FALSE)/VLOOKUP('All - MECs'!$B$14,'Annual Parameters'!$B$33:$W$143,3,FALSE)</f>
        <v>0</v>
      </c>
    </row>
    <row r="123" spans="1:95" ht="13.5" customHeight="1">
      <c r="A123" s="3521" t="s">
        <v>477</v>
      </c>
      <c r="B123" s="3522"/>
      <c r="C123" s="3530" t="s">
        <v>1096</v>
      </c>
      <c r="D123" s="3531">
        <f>'All - MECs'!D123*VLOOKUP($B$14,'Annual Parameters'!$B$33:$W$143,3,FALSE)/VLOOKUP('All - MECs'!$B$14,'Annual Parameters'!$B$33:$W$143,3,FALSE)</f>
        <v>0</v>
      </c>
      <c r="E123" s="3532">
        <f>'All - MECs'!E123*VLOOKUP($B$14,'Annual Parameters'!$B$33:$W$143,3,FALSE)/VLOOKUP('All - MECs'!$B$14,'Annual Parameters'!$B$33:$W$143,3,FALSE)</f>
        <v>7.0402191067097313</v>
      </c>
      <c r="F123" s="3533">
        <f>'All - MECs'!F123*VLOOKUP($B$14,'Annual Parameters'!$B$33:$W$143,3,FALSE)/VLOOKUP('All - MECs'!$B$14,'Annual Parameters'!$B$33:$W$143,3,FALSE)</f>
        <v>7.0402191067097313</v>
      </c>
      <c r="G123" s="3531">
        <f>'All - MECs'!G123*VLOOKUP($B$14,'Annual Parameters'!$B$33:$W$143,3,FALSE)/VLOOKUP('All - MECs'!$B$14,'Annual Parameters'!$B$33:$W$143,3,FALSE)</f>
        <v>0</v>
      </c>
      <c r="H123" s="3532">
        <f>'All - MECs'!H123*VLOOKUP($B$14,'Annual Parameters'!$B$33:$W$143,3,FALSE)/VLOOKUP('All - MECs'!$B$14,'Annual Parameters'!$B$33:$W$143,3,FALSE)</f>
        <v>7.0402191067097313</v>
      </c>
      <c r="I123" s="3534">
        <f>'All - MECs'!I123*VLOOKUP($B$14,'Annual Parameters'!$B$33:$W$143,3,FALSE)/VLOOKUP('All - MECs'!$B$14,'Annual Parameters'!$B$33:$W$143,3,FALSE)</f>
        <v>7.0402191067097313</v>
      </c>
      <c r="J123" s="3535">
        <f>'All - MECs'!J123*VLOOKUP($B$14,'Annual Parameters'!$B$33:$W$143,3,FALSE)/VLOOKUP('All - MECs'!$B$14,'Annual Parameters'!$B$33:$W$143,3,FALSE)</f>
        <v>7.0402191067097313</v>
      </c>
      <c r="K123" s="3533">
        <f>'All - MECs'!K123*VLOOKUP($B$14,'Annual Parameters'!$B$33:$W$143,3,FALSE)/VLOOKUP('All - MECs'!$B$14,'Annual Parameters'!$B$33:$W$143,3,FALSE)</f>
        <v>7.0402191067097313</v>
      </c>
      <c r="L123" s="3535">
        <f>'All - MECs'!L123*VLOOKUP($B$14,'Annual Parameters'!$B$33:$W$143,3,FALSE)/VLOOKUP('All - MECs'!$B$14,'Annual Parameters'!$B$33:$W$143,3,FALSE)</f>
        <v>0</v>
      </c>
      <c r="M123" s="3536">
        <f>'All - MECs'!M123*VLOOKUP($B$14,'Annual Parameters'!$B$33:$W$143,3,FALSE)/VLOOKUP('All - MECs'!$B$14,'Annual Parameters'!$B$33:$W$143,3,FALSE)</f>
        <v>1.6427177915656039</v>
      </c>
      <c r="N123" s="3533">
        <f>'All - MECs'!N123*VLOOKUP($B$14,'Annual Parameters'!$B$33:$W$143,3,FALSE)/VLOOKUP('All - MECs'!$B$14,'Annual Parameters'!$B$33:$W$143,3,FALSE)</f>
        <v>1.6427177915656039</v>
      </c>
      <c r="O123" s="3502">
        <f>'All - MECs'!O123*VLOOKUP($B$14,'Annual Parameters'!$B$33:$W$143,3,FALSE)/VLOOKUP('All - MECs'!$B$14,'Annual Parameters'!$B$33:$W$143,3,FALSE)</f>
        <v>3.7409715845580673</v>
      </c>
      <c r="P123" s="3544"/>
      <c r="Q123" s="3521" t="s">
        <v>477</v>
      </c>
      <c r="R123" s="3522"/>
      <c r="S123" s="3530" t="s">
        <v>1096</v>
      </c>
      <c r="T123" s="3531">
        <f>'All - MECs'!T123*VLOOKUP($B$14,'Annual Parameters'!$B$33:$W$143,3,FALSE)/VLOOKUP('All - MECs'!$B$14,'Annual Parameters'!$B$33:$W$143,3,FALSE)</f>
        <v>0</v>
      </c>
      <c r="U123" s="3532">
        <f>'All - MECs'!U123*VLOOKUP($B$14,'Annual Parameters'!$B$33:$W$143,3,FALSE)/VLOOKUP('All - MECs'!$B$14,'Annual Parameters'!$B$33:$W$143,3,FALSE)</f>
        <v>7.0402191067097313</v>
      </c>
      <c r="V123" s="3533">
        <f>'All - MECs'!V123*VLOOKUP($B$14,'Annual Parameters'!$B$33:$W$143,3,FALSE)/VLOOKUP('All - MECs'!$B$14,'Annual Parameters'!$B$33:$W$143,3,FALSE)</f>
        <v>7.0402191067097313</v>
      </c>
      <c r="W123" s="3531">
        <f>'All - MECs'!W123*VLOOKUP($B$14,'Annual Parameters'!$B$33:$W$143,3,FALSE)/VLOOKUP('All - MECs'!$B$14,'Annual Parameters'!$B$33:$W$143,3,FALSE)</f>
        <v>0</v>
      </c>
      <c r="X123" s="3532">
        <f>'All - MECs'!X123*VLOOKUP($B$14,'Annual Parameters'!$B$33:$W$143,3,FALSE)/VLOOKUP('All - MECs'!$B$14,'Annual Parameters'!$B$33:$W$143,3,FALSE)</f>
        <v>7.0402191067097313</v>
      </c>
      <c r="Y123" s="3534">
        <f>'All - MECs'!Y123*VLOOKUP($B$14,'Annual Parameters'!$B$33:$W$143,3,FALSE)/VLOOKUP('All - MECs'!$B$14,'Annual Parameters'!$B$33:$W$143,3,FALSE)</f>
        <v>7.0402191067097313</v>
      </c>
      <c r="Z123" s="3535">
        <f>'All - MECs'!Z123*VLOOKUP($B$14,'Annual Parameters'!$B$33:$W$143,3,FALSE)/VLOOKUP('All - MECs'!$B$14,'Annual Parameters'!$B$33:$W$143,3,FALSE)</f>
        <v>7.0402191067097313</v>
      </c>
      <c r="AA123" s="3533">
        <f>'All - MECs'!AA123*VLOOKUP($B$14,'Annual Parameters'!$B$33:$W$143,3,FALSE)/VLOOKUP('All - MECs'!$B$14,'Annual Parameters'!$B$33:$W$143,3,FALSE)</f>
        <v>7.0402191067097313</v>
      </c>
      <c r="AB123" s="3535">
        <f>'All - MECs'!AB123*VLOOKUP($B$14,'Annual Parameters'!$B$33:$W$143,3,FALSE)/VLOOKUP('All - MECs'!$B$14,'Annual Parameters'!$B$33:$W$143,3,FALSE)</f>
        <v>0</v>
      </c>
      <c r="AC123" s="3536">
        <f>'All - MECs'!AC123*VLOOKUP($B$14,'Annual Parameters'!$B$33:$W$143,3,FALSE)/VLOOKUP('All - MECs'!$B$14,'Annual Parameters'!$B$33:$W$143,3,FALSE)</f>
        <v>1.6427177915656039</v>
      </c>
      <c r="AD123" s="3533">
        <f>'All - MECs'!AD123*VLOOKUP($B$14,'Annual Parameters'!$B$33:$W$143,3,FALSE)/VLOOKUP('All - MECs'!$B$14,'Annual Parameters'!$B$33:$W$143,3,FALSE)</f>
        <v>1.6427177915656039</v>
      </c>
      <c r="AE123" s="3502">
        <f>'All - MECs'!AE123*VLOOKUP($B$14,'Annual Parameters'!$B$33:$W$143,3,FALSE)/VLOOKUP('All - MECs'!$B$14,'Annual Parameters'!$B$33:$W$143,3,FALSE)</f>
        <v>3.6457391770636378</v>
      </c>
      <c r="AF123" s="3544"/>
      <c r="AG123" s="3521" t="s">
        <v>477</v>
      </c>
      <c r="AH123" s="3522"/>
      <c r="AI123" s="3530" t="s">
        <v>1096</v>
      </c>
      <c r="AJ123" s="3531">
        <f>'All - MECs'!AJ123*VLOOKUP($B$14,'Annual Parameters'!$B$33:$W$143,3,FALSE)/VLOOKUP('All - MECs'!$B$14,'Annual Parameters'!$B$33:$W$143,3,FALSE)</f>
        <v>0.70402191067097319</v>
      </c>
      <c r="AK123" s="3532">
        <f>'All - MECs'!AK123*VLOOKUP($B$14,'Annual Parameters'!$B$33:$W$143,3,FALSE)/VLOOKUP('All - MECs'!$B$14,'Annual Parameters'!$B$33:$W$143,3,FALSE)</f>
        <v>7.5095670471570486</v>
      </c>
      <c r="AL123" s="3533">
        <f>'All - MECs'!AL123*VLOOKUP($B$14,'Annual Parameters'!$B$33:$W$143,3,FALSE)/VLOOKUP('All - MECs'!$B$14,'Annual Parameters'!$B$33:$W$143,3,FALSE)</f>
        <v>7.5095670471570486</v>
      </c>
      <c r="AM123" s="3531">
        <f>'All - MECs'!AM123*VLOOKUP($B$14,'Annual Parameters'!$B$33:$W$143,3,FALSE)/VLOOKUP('All - MECs'!$B$14,'Annual Parameters'!$B$33:$W$143,3,FALSE)</f>
        <v>0.70402191067097319</v>
      </c>
      <c r="AN123" s="3532">
        <f>'All - MECs'!AN123*VLOOKUP($B$14,'Annual Parameters'!$B$33:$W$143,3,FALSE)/VLOOKUP('All - MECs'!$B$14,'Annual Parameters'!$B$33:$W$143,3,FALSE)</f>
        <v>7.5095670471570486</v>
      </c>
      <c r="AO123" s="3534">
        <f>'All - MECs'!AO123*VLOOKUP($B$14,'Annual Parameters'!$B$33:$W$143,3,FALSE)/VLOOKUP('All - MECs'!$B$14,'Annual Parameters'!$B$33:$W$143,3,FALSE)</f>
        <v>7.5095670471570486</v>
      </c>
      <c r="AP123" s="3535">
        <f>'All - MECs'!AP123*VLOOKUP($B$14,'Annual Parameters'!$B$33:$W$143,3,FALSE)/VLOOKUP('All - MECs'!$B$14,'Annual Parameters'!$B$33:$W$143,3,FALSE)</f>
        <v>7.5095670471570486</v>
      </c>
      <c r="AQ123" s="3533">
        <f>'All - MECs'!AQ123*VLOOKUP($B$14,'Annual Parameters'!$B$33:$W$143,3,FALSE)/VLOOKUP('All - MECs'!$B$14,'Annual Parameters'!$B$33:$W$143,3,FALSE)</f>
        <v>7.5095670471570486</v>
      </c>
      <c r="AR123" s="3535">
        <f>'All - MECs'!AR123*VLOOKUP($B$14,'Annual Parameters'!$B$33:$W$143,3,FALSE)/VLOOKUP('All - MECs'!$B$14,'Annual Parameters'!$B$33:$W$143,3,FALSE)</f>
        <v>0.70402191067097319</v>
      </c>
      <c r="AS123" s="3536">
        <f>'All - MECs'!AS123*VLOOKUP($B$14,'Annual Parameters'!$B$33:$W$143,3,FALSE)/VLOOKUP('All - MECs'!$B$14,'Annual Parameters'!$B$33:$W$143,3,FALSE)</f>
        <v>7.9789149876043632</v>
      </c>
      <c r="AT123" s="3533">
        <f>'All - MECs'!AT123*VLOOKUP($B$14,'Annual Parameters'!$B$33:$W$143,3,FALSE)/VLOOKUP('All - MECs'!$B$14,'Annual Parameters'!$B$33:$W$143,3,FALSE)</f>
        <v>7.9789149876043632</v>
      </c>
      <c r="AU123" s="3502">
        <f>'All - MECs'!AU123*VLOOKUP($B$14,'Annual Parameters'!$B$33:$W$143,3,FALSE)/VLOOKUP('All - MECs'!$B$14,'Annual Parameters'!$B$33:$W$143,3,FALSE)</f>
        <v>5.6577835143548043</v>
      </c>
      <c r="AV123" s="3544"/>
      <c r="AW123" s="3521" t="s">
        <v>477</v>
      </c>
      <c r="AX123" s="3522"/>
      <c r="AY123" s="3530" t="s">
        <v>1096</v>
      </c>
      <c r="AZ123" s="3531">
        <f>'All - MECs'!AZ123*VLOOKUP($B$14,'Annual Parameters'!$B$33:$W$143,3,FALSE)/VLOOKUP('All - MECs'!$B$14,'Annual Parameters'!$B$33:$W$143,3,FALSE)</f>
        <v>0.70402191067097319</v>
      </c>
      <c r="BA123" s="3532">
        <f>'All - MECs'!BA123*VLOOKUP($B$14,'Annual Parameters'!$B$33:$W$143,3,FALSE)/VLOOKUP('All - MECs'!$B$14,'Annual Parameters'!$B$33:$W$143,3,FALSE)</f>
        <v>7.5095670471570486</v>
      </c>
      <c r="BB123" s="3533">
        <f>'All - MECs'!BB123*VLOOKUP($B$14,'Annual Parameters'!$B$33:$W$143,3,FALSE)/VLOOKUP('All - MECs'!$B$14,'Annual Parameters'!$B$33:$W$143,3,FALSE)</f>
        <v>7.5095670471570486</v>
      </c>
      <c r="BC123" s="3531">
        <f>'All - MECs'!BC123*VLOOKUP($B$14,'Annual Parameters'!$B$33:$W$143,3,FALSE)/VLOOKUP('All - MECs'!$B$14,'Annual Parameters'!$B$33:$W$143,3,FALSE)</f>
        <v>0.70402191067097319</v>
      </c>
      <c r="BD123" s="3532">
        <f>'All - MECs'!BD123*VLOOKUP($B$14,'Annual Parameters'!$B$33:$W$143,3,FALSE)/VLOOKUP('All - MECs'!$B$14,'Annual Parameters'!$B$33:$W$143,3,FALSE)</f>
        <v>7.5095670471570486</v>
      </c>
      <c r="BE123" s="3534">
        <f>'All - MECs'!BE123*VLOOKUP($B$14,'Annual Parameters'!$B$33:$W$143,3,FALSE)/VLOOKUP('All - MECs'!$B$14,'Annual Parameters'!$B$33:$W$143,3,FALSE)</f>
        <v>7.5095670471570486</v>
      </c>
      <c r="BF123" s="3535">
        <f>'All - MECs'!BF123*VLOOKUP($B$14,'Annual Parameters'!$B$33:$W$143,3,FALSE)/VLOOKUP('All - MECs'!$B$14,'Annual Parameters'!$B$33:$W$143,3,FALSE)</f>
        <v>7.5095670471570486</v>
      </c>
      <c r="BG123" s="3533">
        <f>'All - MECs'!BG123*VLOOKUP($B$14,'Annual Parameters'!$B$33:$W$143,3,FALSE)/VLOOKUP('All - MECs'!$B$14,'Annual Parameters'!$B$33:$W$143,3,FALSE)</f>
        <v>7.5095670471570486</v>
      </c>
      <c r="BH123" s="3535">
        <f>'All - MECs'!BH123*VLOOKUP($B$14,'Annual Parameters'!$B$33:$W$143,3,FALSE)/VLOOKUP('All - MECs'!$B$14,'Annual Parameters'!$B$33:$W$143,3,FALSE)</f>
        <v>0.70402191067097319</v>
      </c>
      <c r="BI123" s="3536">
        <f>'All - MECs'!BI123*VLOOKUP($B$14,'Annual Parameters'!$B$33:$W$143,3,FALSE)/VLOOKUP('All - MECs'!$B$14,'Annual Parameters'!$B$33:$W$143,3,FALSE)</f>
        <v>7.9789149876043632</v>
      </c>
      <c r="BJ123" s="3533">
        <f>'All - MECs'!BJ123*VLOOKUP($B$14,'Annual Parameters'!$B$33:$W$143,3,FALSE)/VLOOKUP('All - MECs'!$B$14,'Annual Parameters'!$B$33:$W$143,3,FALSE)</f>
        <v>7.9789149876043632</v>
      </c>
      <c r="BK123" s="3502">
        <f>'All - MECs'!BK123*VLOOKUP($B$14,'Annual Parameters'!$B$33:$W$143,3,FALSE)/VLOOKUP('All - MECs'!$B$14,'Annual Parameters'!$B$33:$W$143,3,FALSE)</f>
        <v>3.8961207148331245</v>
      </c>
      <c r="BL123" s="3544"/>
      <c r="BM123" s="3521" t="s">
        <v>477</v>
      </c>
      <c r="BN123" s="3522"/>
      <c r="BO123" s="3530" t="s">
        <v>1096</v>
      </c>
      <c r="BP123" s="3531">
        <f>'All - MECs'!BP123*VLOOKUP($B$14,'Annual Parameters'!$B$33:$W$143,3,FALSE)/VLOOKUP('All - MECs'!$B$14,'Annual Parameters'!$B$33:$W$143,3,FALSE)</f>
        <v>0</v>
      </c>
      <c r="BQ123" s="3532">
        <f>'All - MECs'!BQ123*VLOOKUP($B$14,'Annual Parameters'!$B$33:$W$143,3,FALSE)/VLOOKUP('All - MECs'!$B$14,'Annual Parameters'!$B$33:$W$143,3,FALSE)</f>
        <v>0</v>
      </c>
      <c r="BR123" s="3533">
        <f>'All - MECs'!BR123*VLOOKUP($B$14,'Annual Parameters'!$B$33:$W$143,3,FALSE)/VLOOKUP('All - MECs'!$B$14,'Annual Parameters'!$B$33:$W$143,3,FALSE)</f>
        <v>0</v>
      </c>
      <c r="BS123" s="3531">
        <f>'All - MECs'!BS123*VLOOKUP($B$14,'Annual Parameters'!$B$33:$W$143,3,FALSE)/VLOOKUP('All - MECs'!$B$14,'Annual Parameters'!$B$33:$W$143,3,FALSE)</f>
        <v>0</v>
      </c>
      <c r="BT123" s="3532">
        <f>'All - MECs'!BT123*VLOOKUP($B$14,'Annual Parameters'!$B$33:$W$143,3,FALSE)/VLOOKUP('All - MECs'!$B$14,'Annual Parameters'!$B$33:$W$143,3,FALSE)</f>
        <v>0</v>
      </c>
      <c r="BU123" s="3534">
        <f>'All - MECs'!BU123*VLOOKUP($B$14,'Annual Parameters'!$B$33:$W$143,3,FALSE)/VLOOKUP('All - MECs'!$B$14,'Annual Parameters'!$B$33:$W$143,3,FALSE)</f>
        <v>0</v>
      </c>
      <c r="BV123" s="3535">
        <f>'All - MECs'!BV123*VLOOKUP($B$14,'Annual Parameters'!$B$33:$W$143,3,FALSE)/VLOOKUP('All - MECs'!$B$14,'Annual Parameters'!$B$33:$W$143,3,FALSE)</f>
        <v>0</v>
      </c>
      <c r="BW123" s="3533">
        <f>'All - MECs'!BW123*VLOOKUP($B$14,'Annual Parameters'!$B$33:$W$143,3,FALSE)/VLOOKUP('All - MECs'!$B$14,'Annual Parameters'!$B$33:$W$143,3,FALSE)</f>
        <v>0</v>
      </c>
      <c r="BX123" s="3535">
        <f>'All - MECs'!BX123*VLOOKUP($B$14,'Annual Parameters'!$B$33:$W$143,3,FALSE)/VLOOKUP('All - MECs'!$B$14,'Annual Parameters'!$B$33:$W$143,3,FALSE)</f>
        <v>0</v>
      </c>
      <c r="BY123" s="3536">
        <f>'All - MECs'!BY123*VLOOKUP($B$14,'Annual Parameters'!$B$33:$W$143,3,FALSE)/VLOOKUP('All - MECs'!$B$14,'Annual Parameters'!$B$33:$W$143,3,FALSE)</f>
        <v>0</v>
      </c>
      <c r="BZ123" s="3533">
        <f>'All - MECs'!BZ123*VLOOKUP($B$14,'Annual Parameters'!$B$33:$W$143,3,FALSE)/VLOOKUP('All - MECs'!$B$14,'Annual Parameters'!$B$33:$W$143,3,FALSE)</f>
        <v>0</v>
      </c>
      <c r="CA123" s="3502">
        <f>'All - MECs'!CA123*VLOOKUP($B$14,'Annual Parameters'!$B$33:$W$143,3,FALSE)/VLOOKUP('All - MECs'!$B$14,'Annual Parameters'!$B$33:$W$143,3,FALSE)</f>
        <v>0</v>
      </c>
    </row>
    <row r="124" spans="1:95" ht="13.5" customHeight="1">
      <c r="A124" s="3521" t="s">
        <v>1097</v>
      </c>
      <c r="B124" s="3522"/>
      <c r="C124" s="3530" t="s">
        <v>1096</v>
      </c>
      <c r="D124" s="3535">
        <f>'All - MECs'!D124*VLOOKUP($B$14,'Annual Parameters'!$B$33:$W$143,3,FALSE)/VLOOKUP('All - MECs'!$B$14,'Annual Parameters'!$B$33:$W$143,3,FALSE)</f>
        <v>0.38534433485196762</v>
      </c>
      <c r="E124" s="3532">
        <f>'All - MECs'!E124*VLOOKUP($B$14,'Annual Parameters'!$B$33:$W$143,3,FALSE)/VLOOKUP('All - MECs'!$B$14,'Annual Parameters'!$B$33:$W$143,3,FALSE)</f>
        <v>0.44032141747727827</v>
      </c>
      <c r="F124" s="3537">
        <f>'All - MECs'!F124*VLOOKUP($B$14,'Annual Parameters'!$B$33:$W$143,3,FALSE)/VLOOKUP('All - MECs'!$B$14,'Annual Parameters'!$B$33:$W$143,3,FALSE)</f>
        <v>0.5521340869378295</v>
      </c>
      <c r="G124" s="3531">
        <f>'All - MECs'!G124*VLOOKUP($B$14,'Annual Parameters'!$B$33:$W$143,3,FALSE)/VLOOKUP('All - MECs'!$B$14,'Annual Parameters'!$B$33:$W$143,3,FALSE)</f>
        <v>0.16070926690440718</v>
      </c>
      <c r="H124" s="3532">
        <f>'All - MECs'!H124*VLOOKUP($B$14,'Annual Parameters'!$B$33:$W$143,3,FALSE)/VLOOKUP('All - MECs'!$B$14,'Annual Parameters'!$B$33:$W$143,3,FALSE)</f>
        <v>0.14851281432273344</v>
      </c>
      <c r="I124" s="3537">
        <f>'All - MECs'!I124*VLOOKUP($B$14,'Annual Parameters'!$B$33:$W$143,3,FALSE)/VLOOKUP('All - MECs'!$B$14,'Annual Parameters'!$B$33:$W$143,3,FALSE)</f>
        <v>0.15959076862561294</v>
      </c>
      <c r="J124" s="3531">
        <f>'All - MECs'!J124*VLOOKUP($B$14,'Annual Parameters'!$B$33:$W$143,3,FALSE)/VLOOKUP('All - MECs'!$B$14,'Annual Parameters'!$B$33:$W$143,3,FALSE)</f>
        <v>0.10439830183839829</v>
      </c>
      <c r="K124" s="3537">
        <f>'All - MECs'!K124*VLOOKUP($B$14,'Annual Parameters'!$B$33:$W$143,3,FALSE)/VLOOKUP('All - MECs'!$B$14,'Annual Parameters'!$B$33:$W$143,3,FALSE)</f>
        <v>0.11168756925703384</v>
      </c>
      <c r="L124" s="3531">
        <f>'All - MECs'!L124*VLOOKUP($B$14,'Annual Parameters'!$B$33:$W$143,3,FALSE)/VLOOKUP('All - MECs'!$B$14,'Annual Parameters'!$B$33:$W$143,3,FALSE)</f>
        <v>4.8323932387952941E-2</v>
      </c>
      <c r="M124" s="3538">
        <f>'All - MECs'!M124*VLOOKUP($B$14,'Annual Parameters'!$B$33:$W$143,3,FALSE)/VLOOKUP('All - MECs'!$B$14,'Annual Parameters'!$B$33:$W$143,3,FALSE)</f>
        <v>4.050835169429947E-2</v>
      </c>
      <c r="N124" s="3534">
        <f>'All - MECs'!N124*VLOOKUP($B$14,'Annual Parameters'!$B$33:$W$143,3,FALSE)/VLOOKUP('All - MECs'!$B$14,'Annual Parameters'!$B$33:$W$143,3,FALSE)</f>
        <v>3.6195763082146559E-2</v>
      </c>
      <c r="O124" s="3539">
        <f>'All - MECs'!O124*VLOOKUP($B$14,'Annual Parameters'!$B$33:$W$143,3,FALSE)/VLOOKUP('All - MECs'!$B$14,'Annual Parameters'!$B$33:$W$143,3,FALSE)</f>
        <v>0.10616973788641136</v>
      </c>
      <c r="P124" s="3544"/>
      <c r="Q124" s="3521" t="s">
        <v>1097</v>
      </c>
      <c r="R124" s="3522"/>
      <c r="S124" s="3530" t="s">
        <v>1096</v>
      </c>
      <c r="T124" s="3535">
        <f>'All - MECs'!T124*VLOOKUP($B$14,'Annual Parameters'!$B$33:$W$143,3,FALSE)/VLOOKUP('All - MECs'!$B$14,'Annual Parameters'!$B$33:$W$143,3,FALSE)</f>
        <v>0.76706064471513746</v>
      </c>
      <c r="U124" s="3532">
        <f>'All - MECs'!U124*VLOOKUP($B$14,'Annual Parameters'!$B$33:$W$143,3,FALSE)/VLOOKUP('All - MECs'!$B$14,'Annual Parameters'!$B$33:$W$143,3,FALSE)</f>
        <v>0.81531999485472184</v>
      </c>
      <c r="V124" s="3537">
        <f>'All - MECs'!V124*VLOOKUP($B$14,'Annual Parameters'!$B$33:$W$143,3,FALSE)/VLOOKUP('All - MECs'!$B$14,'Annual Parameters'!$B$33:$W$143,3,FALSE)</f>
        <v>0.99801887127029887</v>
      </c>
      <c r="W124" s="3531">
        <f>'All - MECs'!W124*VLOOKUP($B$14,'Annual Parameters'!$B$33:$W$143,3,FALSE)/VLOOKUP('All - MECs'!$B$14,'Annual Parameters'!$B$33:$W$143,3,FALSE)</f>
        <v>0.28215063686557285</v>
      </c>
      <c r="X124" s="3532">
        <f>'All - MECs'!X124*VLOOKUP($B$14,'Annual Parameters'!$B$33:$W$143,3,FALSE)/VLOOKUP('All - MECs'!$B$14,'Annual Parameters'!$B$33:$W$143,3,FALSE)</f>
        <v>0.24933203396011186</v>
      </c>
      <c r="Y124" s="3537">
        <f>'All - MECs'!Y124*VLOOKUP($B$14,'Annual Parameters'!$B$33:$W$143,3,FALSE)/VLOOKUP('All - MECs'!$B$14,'Annual Parameters'!$B$33:$W$143,3,FALSE)</f>
        <v>0.26440985036909143</v>
      </c>
      <c r="Z124" s="3531">
        <f>'All - MECs'!Z124*VLOOKUP($B$14,'Annual Parameters'!$B$33:$W$143,3,FALSE)/VLOOKUP('All - MECs'!$B$14,'Annual Parameters'!$B$33:$W$143,3,FALSE)</f>
        <v>0.17845948380092047</v>
      </c>
      <c r="AA124" s="3537">
        <f>'All - MECs'!AA124*VLOOKUP($B$14,'Annual Parameters'!$B$33:$W$143,3,FALSE)/VLOOKUP('All - MECs'!$B$14,'Annual Parameters'!$B$33:$W$143,3,FALSE)</f>
        <v>0.18644748849904461</v>
      </c>
      <c r="AB124" s="3531">
        <f>'All - MECs'!AB124*VLOOKUP($B$14,'Annual Parameters'!$B$33:$W$143,3,FALSE)/VLOOKUP('All - MECs'!$B$14,'Annual Parameters'!$B$33:$W$143,3,FALSE)</f>
        <v>8.4643467837830375E-2</v>
      </c>
      <c r="AC124" s="3538">
        <f>'All - MECs'!AC124*VLOOKUP($B$14,'Annual Parameters'!$B$33:$W$143,3,FALSE)/VLOOKUP('All - MECs'!$B$14,'Annual Parameters'!$B$33:$W$143,3,FALSE)</f>
        <v>7.3614015790415849E-2</v>
      </c>
      <c r="AD124" s="3534">
        <f>'All - MECs'!AD124*VLOOKUP($B$14,'Annual Parameters'!$B$33:$W$143,3,FALSE)/VLOOKUP('All - MECs'!$B$14,'Annual Parameters'!$B$33:$W$143,3,FALSE)</f>
        <v>5.4880833188951449E-2</v>
      </c>
      <c r="AE124" s="3539">
        <f>'All - MECs'!AE124*VLOOKUP($B$14,'Annual Parameters'!$B$33:$W$143,3,FALSE)/VLOOKUP('All - MECs'!$B$14,'Annual Parameters'!$B$33:$W$143,3,FALSE)</f>
        <v>0.18371130386704745</v>
      </c>
      <c r="AF124" s="3544"/>
      <c r="AG124" s="3521" t="s">
        <v>1097</v>
      </c>
      <c r="AH124" s="3522"/>
      <c r="AI124" s="3530" t="s">
        <v>1096</v>
      </c>
      <c r="AJ124" s="3535">
        <f>'All - MECs'!AJ124*VLOOKUP($B$14,'Annual Parameters'!$B$33:$W$143,3,FALSE)/VLOOKUP('All - MECs'!$B$14,'Annual Parameters'!$B$33:$W$143,3,FALSE)</f>
        <v>1.4558621637501519</v>
      </c>
      <c r="AK124" s="3532">
        <f>'All - MECs'!AK124*VLOOKUP($B$14,'Annual Parameters'!$B$33:$W$143,3,FALSE)/VLOOKUP('All - MECs'!$B$14,'Annual Parameters'!$B$33:$W$143,3,FALSE)</f>
        <v>2.5630758069866819</v>
      </c>
      <c r="AL124" s="3537">
        <f>'All - MECs'!AL124*VLOOKUP($B$14,'Annual Parameters'!$B$33:$W$143,3,FALSE)/VLOOKUP('All - MECs'!$B$14,'Annual Parameters'!$B$33:$W$143,3,FALSE)</f>
        <v>3.1122418175345556</v>
      </c>
      <c r="AM124" s="3531">
        <f>'All - MECs'!AM124*VLOOKUP($B$14,'Annual Parameters'!$B$33:$W$143,3,FALSE)/VLOOKUP('All - MECs'!$B$14,'Annual Parameters'!$B$33:$W$143,3,FALSE)</f>
        <v>0.6588779846434244</v>
      </c>
      <c r="AN124" s="3532">
        <f>'All - MECs'!AN124*VLOOKUP($B$14,'Annual Parameters'!$B$33:$W$143,3,FALSE)/VLOOKUP('All - MECs'!$B$14,'Annual Parameters'!$B$33:$W$143,3,FALSE)</f>
        <v>0.81184535767559562</v>
      </c>
      <c r="AO124" s="3537">
        <f>'All - MECs'!AO124*VLOOKUP($B$14,'Annual Parameters'!$B$33:$W$143,3,FALSE)/VLOOKUP('All - MECs'!$B$14,'Annual Parameters'!$B$33:$W$143,3,FALSE)</f>
        <v>0.9349746895526132</v>
      </c>
      <c r="AP124" s="3531">
        <f>'All - MECs'!AP124*VLOOKUP($B$14,'Annual Parameters'!$B$33:$W$143,3,FALSE)/VLOOKUP('All - MECs'!$B$14,'Annual Parameters'!$B$33:$W$143,3,FALSE)</f>
        <v>0.55200603394842485</v>
      </c>
      <c r="AQ124" s="3537">
        <f>'All - MECs'!AQ124*VLOOKUP($B$14,'Annual Parameters'!$B$33:$W$143,3,FALSE)/VLOOKUP('All - MECs'!$B$14,'Annual Parameters'!$B$33:$W$143,3,FALSE)</f>
        <v>0.64923964591897976</v>
      </c>
      <c r="AR124" s="3531">
        <f>'All - MECs'!AR124*VLOOKUP($B$14,'Annual Parameters'!$B$33:$W$143,3,FALSE)/VLOOKUP('All - MECs'!$B$14,'Annual Parameters'!$B$33:$W$143,3,FALSE)</f>
        <v>0.19211475210713899</v>
      </c>
      <c r="AS124" s="3538">
        <f>'All - MECs'!AS124*VLOOKUP($B$14,'Annual Parameters'!$B$33:$W$143,3,FALSE)/VLOOKUP('All - MECs'!$B$14,'Annual Parameters'!$B$33:$W$143,3,FALSE)</f>
        <v>0.18405221671208249</v>
      </c>
      <c r="AT124" s="3534">
        <f>'All - MECs'!AT124*VLOOKUP($B$14,'Annual Parameters'!$B$33:$W$143,3,FALSE)/VLOOKUP('All - MECs'!$B$14,'Annual Parameters'!$B$33:$W$143,3,FALSE)</f>
        <v>0.14041947410455907</v>
      </c>
      <c r="AU124" s="3539">
        <f>'All - MECs'!AU124*VLOOKUP($B$14,'Annual Parameters'!$B$33:$W$143,3,FALSE)/VLOOKUP('All - MECs'!$B$14,'Annual Parameters'!$B$33:$W$143,3,FALSE)</f>
        <v>0.46193245753406731</v>
      </c>
      <c r="AV124" s="3544"/>
      <c r="AW124" s="3521" t="s">
        <v>1097</v>
      </c>
      <c r="AX124" s="3522"/>
      <c r="AY124" s="3530" t="s">
        <v>1096</v>
      </c>
      <c r="AZ124" s="3535">
        <f>'All - MECs'!AZ124*VLOOKUP($B$14,'Annual Parameters'!$B$33:$W$143,3,FALSE)/VLOOKUP('All - MECs'!$B$14,'Annual Parameters'!$B$33:$W$143,3,FALSE)</f>
        <v>2.5293555530643888</v>
      </c>
      <c r="BA124" s="3532">
        <f>'All - MECs'!BA124*VLOOKUP($B$14,'Annual Parameters'!$B$33:$W$143,3,FALSE)/VLOOKUP('All - MECs'!$B$14,'Annual Parameters'!$B$33:$W$143,3,FALSE)</f>
        <v>4.4324549898750645</v>
      </c>
      <c r="BB124" s="3537">
        <f>'All - MECs'!BB124*VLOOKUP($B$14,'Annual Parameters'!$B$33:$W$143,3,FALSE)/VLOOKUP('All - MECs'!$B$14,'Annual Parameters'!$B$33:$W$143,3,FALSE)</f>
        <v>5.8326641526121978</v>
      </c>
      <c r="BC124" s="3531">
        <f>'All - MECs'!BC124*VLOOKUP($B$14,'Annual Parameters'!$B$33:$W$143,3,FALSE)/VLOOKUP('All - MECs'!$B$14,'Annual Parameters'!$B$33:$W$143,3,FALSE)</f>
        <v>1.1179527739417774</v>
      </c>
      <c r="BD124" s="3532">
        <f>'All - MECs'!BD124*VLOOKUP($B$14,'Annual Parameters'!$B$33:$W$143,3,FALSE)/VLOOKUP('All - MECs'!$B$14,'Annual Parameters'!$B$33:$W$143,3,FALSE)</f>
        <v>1.3720378534619266</v>
      </c>
      <c r="BE124" s="3537">
        <f>'All - MECs'!BE124*VLOOKUP($B$14,'Annual Parameters'!$B$33:$W$143,3,FALSE)/VLOOKUP('All - MECs'!$B$14,'Annual Parameters'!$B$33:$W$143,3,FALSE)</f>
        <v>1.7657892217687043</v>
      </c>
      <c r="BF124" s="3531">
        <f>'All - MECs'!BF124*VLOOKUP($B$14,'Annual Parameters'!$B$33:$W$143,3,FALSE)/VLOOKUP('All - MECs'!$B$14,'Annual Parameters'!$B$33:$W$143,3,FALSE)</f>
        <v>1.0303894409008054</v>
      </c>
      <c r="BG124" s="3537">
        <f>'All - MECs'!BG124*VLOOKUP($B$14,'Annual Parameters'!$B$33:$W$143,3,FALSE)/VLOOKUP('All - MECs'!$B$14,'Annual Parameters'!$B$33:$W$143,3,FALSE)</f>
        <v>1.2500927482346236</v>
      </c>
      <c r="BH124" s="3531">
        <f>'All - MECs'!BH124*VLOOKUP($B$14,'Annual Parameters'!$B$33:$W$143,3,FALSE)/VLOOKUP('All - MECs'!$B$14,'Annual Parameters'!$B$33:$W$143,3,FALSE)</f>
        <v>0.33451131300306647</v>
      </c>
      <c r="BI124" s="3538">
        <f>'All - MECs'!BI124*VLOOKUP($B$14,'Annual Parameters'!$B$33:$W$143,3,FALSE)/VLOOKUP('All - MECs'!$B$14,'Annual Parameters'!$B$33:$W$143,3,FALSE)</f>
        <v>0.32562631774545936</v>
      </c>
      <c r="BJ124" s="3534">
        <f>'All - MECs'!BJ124*VLOOKUP($B$14,'Annual Parameters'!$B$33:$W$143,3,FALSE)/VLOOKUP('All - MECs'!$B$14,'Annual Parameters'!$B$33:$W$143,3,FALSE)</f>
        <v>0.25174126155526783</v>
      </c>
      <c r="BK124" s="3539">
        <f>'All - MECs'!BK124*VLOOKUP($B$14,'Annual Parameters'!$B$33:$W$143,3,FALSE)/VLOOKUP('All - MECs'!$B$14,'Annual Parameters'!$B$33:$W$143,3,FALSE)</f>
        <v>0.58896356951765338</v>
      </c>
      <c r="BL124" s="3544"/>
      <c r="BM124" s="3521" t="s">
        <v>1097</v>
      </c>
      <c r="BN124" s="3522"/>
      <c r="BO124" s="3530" t="s">
        <v>1096</v>
      </c>
      <c r="BP124" s="3535">
        <f>'All - MECs'!BP124*VLOOKUP($B$14,'Annual Parameters'!$B$33:$W$143,3,FALSE)/VLOOKUP('All - MECs'!$B$14,'Annual Parameters'!$B$33:$W$143,3,FALSE)</f>
        <v>2.0991671046574774</v>
      </c>
      <c r="BQ124" s="3532">
        <f>'All - MECs'!BQ124*VLOOKUP($B$14,'Annual Parameters'!$B$33:$W$143,3,FALSE)/VLOOKUP('All - MECs'!$B$14,'Annual Parameters'!$B$33:$W$143,3,FALSE)</f>
        <v>4.4734521570296133</v>
      </c>
      <c r="BR124" s="3537">
        <f>'All - MECs'!BR124*VLOOKUP($B$14,'Annual Parameters'!$B$33:$W$143,3,FALSE)/VLOOKUP('All - MECs'!$B$14,'Annual Parameters'!$B$33:$W$143,3,FALSE)</f>
        <v>4.955238520983686</v>
      </c>
      <c r="BS124" s="3531">
        <f>'All - MECs'!BS124*VLOOKUP($B$14,'Annual Parameters'!$B$33:$W$143,3,FALSE)/VLOOKUP('All - MECs'!$B$14,'Annual Parameters'!$B$33:$W$143,3,FALSE)</f>
        <v>1.0292572154066104</v>
      </c>
      <c r="BT124" s="3532">
        <f>'All - MECs'!BT124*VLOOKUP($B$14,'Annual Parameters'!$B$33:$W$143,3,FALSE)/VLOOKUP('All - MECs'!$B$14,'Annual Parameters'!$B$33:$W$143,3,FALSE)</f>
        <v>1.4234011143098355</v>
      </c>
      <c r="BU124" s="3537">
        <f>'All - MECs'!BU124*VLOOKUP($B$14,'Annual Parameters'!$B$33:$W$143,3,FALSE)/VLOOKUP('All - MECs'!$B$14,'Annual Parameters'!$B$33:$W$143,3,FALSE)</f>
        <v>1.5791750356755581</v>
      </c>
      <c r="BV124" s="3531">
        <f>'All - MECs'!BV124*VLOOKUP($B$14,'Annual Parameters'!$B$33:$W$143,3,FALSE)/VLOOKUP('All - MECs'!$B$14,'Annual Parameters'!$B$33:$W$143,3,FALSE)</f>
        <v>0.76303249483345037</v>
      </c>
      <c r="BW124" s="3537">
        <f>'All - MECs'!BW124*VLOOKUP($B$14,'Annual Parameters'!$B$33:$W$143,3,FALSE)/VLOOKUP('All - MECs'!$B$14,'Annual Parameters'!$B$33:$W$143,3,FALSE)</f>
        <v>0.98050093666119142</v>
      </c>
      <c r="BX124" s="3531">
        <f>'All - MECs'!BX124*VLOOKUP($B$14,'Annual Parameters'!$B$33:$W$143,3,FALSE)/VLOOKUP('All - MECs'!$B$14,'Annual Parameters'!$B$33:$W$143,3,FALSE)</f>
        <v>0.27922157729465752</v>
      </c>
      <c r="BY124" s="3538">
        <f>'All - MECs'!BY124*VLOOKUP($B$14,'Annual Parameters'!$B$33:$W$143,3,FALSE)/VLOOKUP('All - MECs'!$B$14,'Annual Parameters'!$B$33:$W$143,3,FALSE)</f>
        <v>0.23042032712517652</v>
      </c>
      <c r="BZ124" s="3534">
        <f>'All - MECs'!BZ124*VLOOKUP($B$14,'Annual Parameters'!$B$33:$W$143,3,FALSE)/VLOOKUP('All - MECs'!$B$14,'Annual Parameters'!$B$33:$W$143,3,FALSE)</f>
        <v>0.18540278879542568</v>
      </c>
      <c r="CA124" s="3539">
        <f>'All - MECs'!CA124*VLOOKUP($B$14,'Annual Parameters'!$B$33:$W$143,3,FALSE)/VLOOKUP('All - MECs'!$B$14,'Annual Parameters'!$B$33:$W$143,3,FALSE)</f>
        <v>1.2961904193362954</v>
      </c>
    </row>
    <row r="125" spans="1:95" ht="13.5" customHeight="1">
      <c r="A125" s="3521" t="s">
        <v>1074</v>
      </c>
      <c r="B125" s="3522"/>
      <c r="C125" s="3530" t="s">
        <v>1096</v>
      </c>
      <c r="D125" s="3531">
        <f>'All - MECs'!D125*VLOOKUP($B$14,'Annual Parameters'!$B$33:$W$143,3,FALSE)/VLOOKUP('All - MECs'!$B$14,'Annual Parameters'!$B$33:$W$143,3,FALSE)</f>
        <v>0.46934794044731554</v>
      </c>
      <c r="E125" s="3532">
        <f>'All - MECs'!E125*VLOOKUP($B$14,'Annual Parameters'!$B$33:$W$143,3,FALSE)/VLOOKUP('All - MECs'!$B$14,'Annual Parameters'!$B$33:$W$143,3,FALSE)</f>
        <v>0.46934794044731554</v>
      </c>
      <c r="F125" s="3534">
        <f>'All - MECs'!F125*VLOOKUP($B$14,'Annual Parameters'!$B$33:$W$143,3,FALSE)/VLOOKUP('All - MECs'!$B$14,'Annual Parameters'!$B$33:$W$143,3,FALSE)</f>
        <v>0.46934794044731554</v>
      </c>
      <c r="G125" s="3531">
        <f>'All - MECs'!G125*VLOOKUP($B$14,'Annual Parameters'!$B$33:$W$143,3,FALSE)/VLOOKUP('All - MECs'!$B$14,'Annual Parameters'!$B$33:$W$143,3,FALSE)</f>
        <v>0.46934794044731554</v>
      </c>
      <c r="H125" s="3532">
        <f>'All - MECs'!H125*VLOOKUP($B$14,'Annual Parameters'!$B$33:$W$143,3,FALSE)/VLOOKUP('All - MECs'!$B$14,'Annual Parameters'!$B$33:$W$143,3,FALSE)</f>
        <v>0.46934794044731554</v>
      </c>
      <c r="I125" s="3534">
        <f>'All - MECs'!I125*VLOOKUP($B$14,'Annual Parameters'!$B$33:$W$143,3,FALSE)/VLOOKUP('All - MECs'!$B$14,'Annual Parameters'!$B$33:$W$143,3,FALSE)</f>
        <v>0.46934794044731554</v>
      </c>
      <c r="J125" s="3531">
        <f>'All - MECs'!J125*VLOOKUP($B$14,'Annual Parameters'!$B$33:$W$143,3,FALSE)/VLOOKUP('All - MECs'!$B$14,'Annual Parameters'!$B$33:$W$143,3,FALSE)</f>
        <v>0.46934794044731554</v>
      </c>
      <c r="K125" s="3534">
        <f>'All - MECs'!K125*VLOOKUP($B$14,'Annual Parameters'!$B$33:$W$143,3,FALSE)/VLOOKUP('All - MECs'!$B$14,'Annual Parameters'!$B$33:$W$143,3,FALSE)</f>
        <v>0.46934794044731554</v>
      </c>
      <c r="L125" s="3531">
        <f>'All - MECs'!L125*VLOOKUP($B$14,'Annual Parameters'!$B$33:$W$143,3,FALSE)/VLOOKUP('All - MECs'!$B$14,'Annual Parameters'!$B$33:$W$143,3,FALSE)</f>
        <v>0</v>
      </c>
      <c r="M125" s="3532">
        <f>'All - MECs'!M125*VLOOKUP($B$14,'Annual Parameters'!$B$33:$W$143,3,FALSE)/VLOOKUP('All - MECs'!$B$14,'Annual Parameters'!$B$33:$W$143,3,FALSE)</f>
        <v>0</v>
      </c>
      <c r="N125" s="3534">
        <f>'All - MECs'!N125*VLOOKUP($B$14,'Annual Parameters'!$B$33:$W$143,3,FALSE)/VLOOKUP('All - MECs'!$B$14,'Annual Parameters'!$B$33:$W$143,3,FALSE)</f>
        <v>0.23467397022365777</v>
      </c>
      <c r="O125" s="3540">
        <f>'All - MECs'!O125*VLOOKUP($B$14,'Annual Parameters'!$B$33:$W$143,3,FALSE)/VLOOKUP('All - MECs'!$B$14,'Annual Parameters'!$B$33:$W$143,3,FALSE)</f>
        <v>0.26291840278746642</v>
      </c>
      <c r="P125" s="3544"/>
      <c r="Q125" s="3521" t="s">
        <v>1074</v>
      </c>
      <c r="R125" s="3522"/>
      <c r="S125" s="3530" t="s">
        <v>1096</v>
      </c>
      <c r="T125" s="3531">
        <f>'All - MECs'!T125*VLOOKUP($B$14,'Annual Parameters'!$B$33:$W$143,3,FALSE)/VLOOKUP('All - MECs'!$B$14,'Annual Parameters'!$B$33:$W$143,3,FALSE)</f>
        <v>0.46934794044731554</v>
      </c>
      <c r="U125" s="3532">
        <f>'All - MECs'!U125*VLOOKUP($B$14,'Annual Parameters'!$B$33:$W$143,3,FALSE)/VLOOKUP('All - MECs'!$B$14,'Annual Parameters'!$B$33:$W$143,3,FALSE)</f>
        <v>0.46934794044731554</v>
      </c>
      <c r="V125" s="3534">
        <f>'All - MECs'!V125*VLOOKUP($B$14,'Annual Parameters'!$B$33:$W$143,3,FALSE)/VLOOKUP('All - MECs'!$B$14,'Annual Parameters'!$B$33:$W$143,3,FALSE)</f>
        <v>0.46934794044731554</v>
      </c>
      <c r="W125" s="3531">
        <f>'All - MECs'!W125*VLOOKUP($B$14,'Annual Parameters'!$B$33:$W$143,3,FALSE)/VLOOKUP('All - MECs'!$B$14,'Annual Parameters'!$B$33:$W$143,3,FALSE)</f>
        <v>0.46934794044731554</v>
      </c>
      <c r="X125" s="3532">
        <f>'All - MECs'!X125*VLOOKUP($B$14,'Annual Parameters'!$B$33:$W$143,3,FALSE)/VLOOKUP('All - MECs'!$B$14,'Annual Parameters'!$B$33:$W$143,3,FALSE)</f>
        <v>0.46934794044731554</v>
      </c>
      <c r="Y125" s="3534">
        <f>'All - MECs'!Y125*VLOOKUP($B$14,'Annual Parameters'!$B$33:$W$143,3,FALSE)/VLOOKUP('All - MECs'!$B$14,'Annual Parameters'!$B$33:$W$143,3,FALSE)</f>
        <v>0.46934794044731554</v>
      </c>
      <c r="Z125" s="3531">
        <f>'All - MECs'!Z125*VLOOKUP($B$14,'Annual Parameters'!$B$33:$W$143,3,FALSE)/VLOOKUP('All - MECs'!$B$14,'Annual Parameters'!$B$33:$W$143,3,FALSE)</f>
        <v>0.46934794044731554</v>
      </c>
      <c r="AA125" s="3534">
        <f>'All - MECs'!AA125*VLOOKUP($B$14,'Annual Parameters'!$B$33:$W$143,3,FALSE)/VLOOKUP('All - MECs'!$B$14,'Annual Parameters'!$B$33:$W$143,3,FALSE)</f>
        <v>0.46934794044731554</v>
      </c>
      <c r="AB125" s="3531">
        <f>'All - MECs'!AB125*VLOOKUP($B$14,'Annual Parameters'!$B$33:$W$143,3,FALSE)/VLOOKUP('All - MECs'!$B$14,'Annual Parameters'!$B$33:$W$143,3,FALSE)</f>
        <v>0</v>
      </c>
      <c r="AC125" s="3532">
        <f>'All - MECs'!AC125*VLOOKUP($B$14,'Annual Parameters'!$B$33:$W$143,3,FALSE)/VLOOKUP('All - MECs'!$B$14,'Annual Parameters'!$B$33:$W$143,3,FALSE)</f>
        <v>0</v>
      </c>
      <c r="AD125" s="3534">
        <f>'All - MECs'!AD125*VLOOKUP($B$14,'Annual Parameters'!$B$33:$W$143,3,FALSE)/VLOOKUP('All - MECs'!$B$14,'Annual Parameters'!$B$33:$W$143,3,FALSE)</f>
        <v>0.23467397022365777</v>
      </c>
      <c r="AE125" s="3540">
        <f>'All - MECs'!AE125*VLOOKUP($B$14,'Annual Parameters'!$B$33:$W$143,3,FALSE)/VLOOKUP('All - MECs'!$B$14,'Annual Parameters'!$B$33:$W$143,3,FALSE)</f>
        <v>0.26422114879656905</v>
      </c>
      <c r="AF125" s="3544"/>
      <c r="AG125" s="3521" t="s">
        <v>1074</v>
      </c>
      <c r="AH125" s="3522"/>
      <c r="AI125" s="3530" t="s">
        <v>1096</v>
      </c>
      <c r="AJ125" s="3531">
        <f>'All - MECs'!AJ125*VLOOKUP($B$14,'Annual Parameters'!$B$33:$W$143,3,FALSE)/VLOOKUP('All - MECs'!$B$14,'Annual Parameters'!$B$33:$W$143,3,FALSE)</f>
        <v>11.499024540959232</v>
      </c>
      <c r="AK125" s="3532">
        <f>'All - MECs'!AK125*VLOOKUP($B$14,'Annual Parameters'!$B$33:$W$143,3,FALSE)/VLOOKUP('All - MECs'!$B$14,'Annual Parameters'!$B$33:$W$143,3,FALSE)</f>
        <v>13.845764243195809</v>
      </c>
      <c r="AL125" s="3534">
        <f>'All - MECs'!AL125*VLOOKUP($B$14,'Annual Parameters'!$B$33:$W$143,3,FALSE)/VLOOKUP('All - MECs'!$B$14,'Annual Parameters'!$B$33:$W$143,3,FALSE)</f>
        <v>16.661851885879699</v>
      </c>
      <c r="AM125" s="3531">
        <f>'All - MECs'!AM125*VLOOKUP($B$14,'Annual Parameters'!$B$33:$W$143,3,FALSE)/VLOOKUP('All - MECs'!$B$14,'Annual Parameters'!$B$33:$W$143,3,FALSE)</f>
        <v>11.968372481406544</v>
      </c>
      <c r="AN125" s="3532">
        <f>'All - MECs'!AN125*VLOOKUP($B$14,'Annual Parameters'!$B$33:$W$143,3,FALSE)/VLOOKUP('All - MECs'!$B$14,'Annual Parameters'!$B$33:$W$143,3,FALSE)</f>
        <v>11.733698511182888</v>
      </c>
      <c r="AO125" s="3534">
        <f>'All - MECs'!AO125*VLOOKUP($B$14,'Annual Parameters'!$B$33:$W$143,3,FALSE)/VLOOKUP('All - MECs'!$B$14,'Annual Parameters'!$B$33:$W$143,3,FALSE)</f>
        <v>11.733698511182888</v>
      </c>
      <c r="AP125" s="3531">
        <f>'All - MECs'!AP125*VLOOKUP($B$14,'Annual Parameters'!$B$33:$W$143,3,FALSE)/VLOOKUP('All - MECs'!$B$14,'Annual Parameters'!$B$33:$W$143,3,FALSE)</f>
        <v>10.325654689840942</v>
      </c>
      <c r="AQ125" s="3534">
        <f>'All - MECs'!AQ125*VLOOKUP($B$14,'Annual Parameters'!$B$33:$W$143,3,FALSE)/VLOOKUP('All - MECs'!$B$14,'Annual Parameters'!$B$33:$W$143,3,FALSE)</f>
        <v>10.325654689840942</v>
      </c>
      <c r="AR125" s="3531">
        <f>'All - MECs'!AR125*VLOOKUP($B$14,'Annual Parameters'!$B$33:$W$143,3,FALSE)/VLOOKUP('All - MECs'!$B$14,'Annual Parameters'!$B$33:$W$143,3,FALSE)</f>
        <v>2.1120657320129199</v>
      </c>
      <c r="AS125" s="3532">
        <f>'All - MECs'!AS125*VLOOKUP($B$14,'Annual Parameters'!$B$33:$W$143,3,FALSE)/VLOOKUP('All - MECs'!$B$14,'Annual Parameters'!$B$33:$W$143,3,FALSE)</f>
        <v>2.1120657320129199</v>
      </c>
      <c r="AT125" s="3534">
        <f>'All - MECs'!AT125*VLOOKUP($B$14,'Annual Parameters'!$B$33:$W$143,3,FALSE)/VLOOKUP('All - MECs'!$B$14,'Annual Parameters'!$B$33:$W$143,3,FALSE)</f>
        <v>2.5814136724602355</v>
      </c>
      <c r="AU125" s="3540">
        <f>'All - MECs'!AU125*VLOOKUP($B$14,'Annual Parameters'!$B$33:$W$143,3,FALSE)/VLOOKUP('All - MECs'!$B$14,'Annual Parameters'!$B$33:$W$143,3,FALSE)</f>
        <v>5.7274563567198911</v>
      </c>
      <c r="AV125" s="3544"/>
      <c r="AW125" s="3521" t="s">
        <v>1074</v>
      </c>
      <c r="AX125" s="3522"/>
      <c r="AY125" s="3530" t="s">
        <v>1096</v>
      </c>
      <c r="AZ125" s="3531">
        <f>'All - MECs'!AZ125*VLOOKUP($B$14,'Annual Parameters'!$B$33:$W$143,3,FALSE)/VLOOKUP('All - MECs'!$B$14,'Annual Parameters'!$B$33:$W$143,3,FALSE)</f>
        <v>22.763375111694799</v>
      </c>
      <c r="BA125" s="3532">
        <f>'All - MECs'!BA125*VLOOKUP($B$14,'Annual Parameters'!$B$33:$W$143,3,FALSE)/VLOOKUP('All - MECs'!$B$14,'Annual Parameters'!$B$33:$W$143,3,FALSE)</f>
        <v>27.456854516167954</v>
      </c>
      <c r="BB125" s="3534">
        <f>'All - MECs'!BB125*VLOOKUP($B$14,'Annual Parameters'!$B$33:$W$143,3,FALSE)/VLOOKUP('All - MECs'!$B$14,'Annual Parameters'!$B$33:$W$143,3,FALSE)</f>
        <v>33.323703771759398</v>
      </c>
      <c r="BC125" s="3531">
        <f>'All - MECs'!BC125*VLOOKUP($B$14,'Annual Parameters'!$B$33:$W$143,3,FALSE)/VLOOKUP('All - MECs'!$B$14,'Annual Parameters'!$B$33:$W$143,3,FALSE)</f>
        <v>23.702070992589434</v>
      </c>
      <c r="BD125" s="3532">
        <f>'All - MECs'!BD125*VLOOKUP($B$14,'Annual Parameters'!$B$33:$W$143,3,FALSE)/VLOOKUP('All - MECs'!$B$14,'Annual Parameters'!$B$33:$W$143,3,FALSE)</f>
        <v>23.467397022365777</v>
      </c>
      <c r="BE125" s="3534">
        <f>'All - MECs'!BE125*VLOOKUP($B$14,'Annual Parameters'!$B$33:$W$143,3,FALSE)/VLOOKUP('All - MECs'!$B$14,'Annual Parameters'!$B$33:$W$143,3,FALSE)</f>
        <v>23.467397022365777</v>
      </c>
      <c r="BF125" s="3531">
        <f>'All - MECs'!BF125*VLOOKUP($B$14,'Annual Parameters'!$B$33:$W$143,3,FALSE)/VLOOKUP('All - MECs'!$B$14,'Annual Parameters'!$B$33:$W$143,3,FALSE)</f>
        <v>20.416635409458223</v>
      </c>
      <c r="BG125" s="3534">
        <f>'All - MECs'!BG125*VLOOKUP($B$14,'Annual Parameters'!$B$33:$W$143,3,FALSE)/VLOOKUP('All - MECs'!$B$14,'Annual Parameters'!$B$33:$W$143,3,FALSE)</f>
        <v>20.651309379681884</v>
      </c>
      <c r="BH125" s="3531">
        <f>'All - MECs'!BH125*VLOOKUP($B$14,'Annual Parameters'!$B$33:$W$143,3,FALSE)/VLOOKUP('All - MECs'!$B$14,'Annual Parameters'!$B$33:$W$143,3,FALSE)</f>
        <v>4.2241314640258398</v>
      </c>
      <c r="BI125" s="3532">
        <f>'All - MECs'!BI125*VLOOKUP($B$14,'Annual Parameters'!$B$33:$W$143,3,FALSE)/VLOOKUP('All - MECs'!$B$14,'Annual Parameters'!$B$33:$W$143,3,FALSE)</f>
        <v>4.2241314640258398</v>
      </c>
      <c r="BJ125" s="3534">
        <f>'All - MECs'!BJ125*VLOOKUP($B$14,'Annual Parameters'!$B$33:$W$143,3,FALSE)/VLOOKUP('All - MECs'!$B$14,'Annual Parameters'!$B$33:$W$143,3,FALSE)</f>
        <v>5.3975013151441287</v>
      </c>
      <c r="BK125" s="3540">
        <f>'All - MECs'!BK125*VLOOKUP($B$14,'Annual Parameters'!$B$33:$W$143,3,FALSE)/VLOOKUP('All - MECs'!$B$14,'Annual Parameters'!$B$33:$W$143,3,FALSE)</f>
        <v>9.2373082658903449</v>
      </c>
      <c r="BL125" s="3544"/>
      <c r="BM125" s="3521" t="s">
        <v>1074</v>
      </c>
      <c r="BN125" s="3522"/>
      <c r="BO125" s="3530" t="s">
        <v>1096</v>
      </c>
      <c r="BP125" s="3531">
        <f>'All - MECs'!BP125*VLOOKUP($B$14,'Annual Parameters'!$B$33:$W$143,3,FALSE)/VLOOKUP('All - MECs'!$B$14,'Annual Parameters'!$B$33:$W$143,3,FALSE)</f>
        <v>0</v>
      </c>
      <c r="BQ125" s="3532">
        <f>'All - MECs'!BQ125*VLOOKUP($B$14,'Annual Parameters'!$B$33:$W$143,3,FALSE)/VLOOKUP('All - MECs'!$B$14,'Annual Parameters'!$B$33:$W$143,3,FALSE)</f>
        <v>0</v>
      </c>
      <c r="BR125" s="3534">
        <f>'All - MECs'!BR125*VLOOKUP($B$14,'Annual Parameters'!$B$33:$W$143,3,FALSE)/VLOOKUP('All - MECs'!$B$14,'Annual Parameters'!$B$33:$W$143,3,FALSE)</f>
        <v>0</v>
      </c>
      <c r="BS125" s="3531">
        <f>'All - MECs'!BS125*VLOOKUP($B$14,'Annual Parameters'!$B$33:$W$143,3,FALSE)/VLOOKUP('All - MECs'!$B$14,'Annual Parameters'!$B$33:$W$143,3,FALSE)</f>
        <v>0</v>
      </c>
      <c r="BT125" s="3532">
        <f>'All - MECs'!BT125*VLOOKUP($B$14,'Annual Parameters'!$B$33:$W$143,3,FALSE)/VLOOKUP('All - MECs'!$B$14,'Annual Parameters'!$B$33:$W$143,3,FALSE)</f>
        <v>0</v>
      </c>
      <c r="BU125" s="3534">
        <f>'All - MECs'!BU125*VLOOKUP($B$14,'Annual Parameters'!$B$33:$W$143,3,FALSE)/VLOOKUP('All - MECs'!$B$14,'Annual Parameters'!$B$33:$W$143,3,FALSE)</f>
        <v>0</v>
      </c>
      <c r="BV125" s="3531">
        <f>'All - MECs'!BV125*VLOOKUP($B$14,'Annual Parameters'!$B$33:$W$143,3,FALSE)/VLOOKUP('All - MECs'!$B$14,'Annual Parameters'!$B$33:$W$143,3,FALSE)</f>
        <v>0</v>
      </c>
      <c r="BW125" s="3534">
        <f>'All - MECs'!BW125*VLOOKUP($B$14,'Annual Parameters'!$B$33:$W$143,3,FALSE)/VLOOKUP('All - MECs'!$B$14,'Annual Parameters'!$B$33:$W$143,3,FALSE)</f>
        <v>0</v>
      </c>
      <c r="BX125" s="3531">
        <f>'All - MECs'!BX125*VLOOKUP($B$14,'Annual Parameters'!$B$33:$W$143,3,FALSE)/VLOOKUP('All - MECs'!$B$14,'Annual Parameters'!$B$33:$W$143,3,FALSE)</f>
        <v>0</v>
      </c>
      <c r="BY125" s="3532">
        <f>'All - MECs'!BY125*VLOOKUP($B$14,'Annual Parameters'!$B$33:$W$143,3,FALSE)/VLOOKUP('All - MECs'!$B$14,'Annual Parameters'!$B$33:$W$143,3,FALSE)</f>
        <v>0</v>
      </c>
      <c r="BZ125" s="3534">
        <f>'All - MECs'!BZ125*VLOOKUP($B$14,'Annual Parameters'!$B$33:$W$143,3,FALSE)/VLOOKUP('All - MECs'!$B$14,'Annual Parameters'!$B$33:$W$143,3,FALSE)</f>
        <v>0</v>
      </c>
      <c r="CA125" s="3540">
        <f>'All - MECs'!CA125*VLOOKUP($B$14,'Annual Parameters'!$B$33:$W$143,3,FALSE)/VLOOKUP('All - MECs'!$B$14,'Annual Parameters'!$B$33:$W$143,3,FALSE)</f>
        <v>0</v>
      </c>
    </row>
    <row r="126" spans="1:95" ht="13.5" customHeight="1">
      <c r="A126" s="3521" t="s">
        <v>397</v>
      </c>
      <c r="B126" s="3522"/>
      <c r="C126" s="3530" t="s">
        <v>1096</v>
      </c>
      <c r="D126" s="3531">
        <f>'All - MECs'!D126*VLOOKUP($B$14,'Annual Parameters'!$B$33:$W$143,3,FALSE)/VLOOKUP('All - MECs'!$B$14,'Annual Parameters'!$B$33:$W$143,3,FALSE)</f>
        <v>0.73556675581570474</v>
      </c>
      <c r="E126" s="3532">
        <f>'All - MECs'!E126*VLOOKUP($B$14,'Annual Parameters'!$B$33:$W$143,3,FALSE)/VLOOKUP('All - MECs'!$B$14,'Annual Parameters'!$B$33:$W$143,3,FALSE)</f>
        <v>0.8653208647334093</v>
      </c>
      <c r="F126" s="3537">
        <f>'All - MECs'!F126*VLOOKUP($B$14,'Annual Parameters'!$B$33:$W$143,3,FALSE)/VLOOKUP('All - MECs'!$B$14,'Annual Parameters'!$B$33:$W$143,3,FALSE)</f>
        <v>1.0567529230777526</v>
      </c>
      <c r="G126" s="3531">
        <f>'All - MECs'!G126*VLOOKUP($B$14,'Annual Parameters'!$B$33:$W$143,3,FALSE)/VLOOKUP('All - MECs'!$B$14,'Annual Parameters'!$B$33:$W$143,3,FALSE)</f>
        <v>0.7099343646556272</v>
      </c>
      <c r="H126" s="3532">
        <f>'All - MECs'!H126*VLOOKUP($B$14,'Annual Parameters'!$B$33:$W$143,3,FALSE)/VLOOKUP('All - MECs'!$B$14,'Annual Parameters'!$B$33:$W$143,3,FALSE)</f>
        <v>0.75413202493920128</v>
      </c>
      <c r="I126" s="3537">
        <f>'All - MECs'!I126*VLOOKUP($B$14,'Annual Parameters'!$B$33:$W$143,3,FALSE)/VLOOKUP('All - MECs'!$B$14,'Annual Parameters'!$B$33:$W$143,3,FALSE)</f>
        <v>0.82766809320153967</v>
      </c>
      <c r="J126" s="3531">
        <f>'All - MECs'!J126*VLOOKUP($B$14,'Annual Parameters'!$B$33:$W$143,3,FALSE)/VLOOKUP('All - MECs'!$B$14,'Annual Parameters'!$B$33:$W$143,3,FALSE)</f>
        <v>0.69279447175580855</v>
      </c>
      <c r="K126" s="3537">
        <f>'All - MECs'!K126*VLOOKUP($B$14,'Annual Parameters'!$B$33:$W$143,3,FALSE)/VLOOKUP('All - MECs'!$B$14,'Annual Parameters'!$B$33:$W$143,3,FALSE)</f>
        <v>0.77246318346496357</v>
      </c>
      <c r="L126" s="3531">
        <f>'All - MECs'!L126*VLOOKUP($B$14,'Annual Parameters'!$B$33:$W$143,3,FALSE)/VLOOKUP('All - MECs'!$B$14,'Annual Parameters'!$B$33:$W$143,3,FALSE)</f>
        <v>0.72135092883389351</v>
      </c>
      <c r="M126" s="3532">
        <f>'All - MECs'!M126*VLOOKUP($B$14,'Annual Parameters'!$B$33:$W$143,3,FALSE)/VLOOKUP('All - MECs'!$B$14,'Annual Parameters'!$B$33:$W$143,3,FALSE)</f>
        <v>0.6747520019402371</v>
      </c>
      <c r="N126" s="3537">
        <f>'All - MECs'!N126*VLOOKUP($B$14,'Annual Parameters'!$B$33:$W$143,3,FALSE)/VLOOKUP('All - MECs'!$B$14,'Annual Parameters'!$B$33:$W$143,3,FALSE)</f>
        <v>0.66654525278445209</v>
      </c>
      <c r="O126" s="3539">
        <f>'All - MECs'!O126*VLOOKUP($B$14,'Annual Parameters'!$B$33:$W$143,3,FALSE)/VLOOKUP('All - MECs'!$B$14,'Annual Parameters'!$B$33:$W$143,3,FALSE)</f>
        <v>0.72870545208390392</v>
      </c>
      <c r="P126" s="3544"/>
      <c r="Q126" s="3521" t="s">
        <v>397</v>
      </c>
      <c r="R126" s="3522"/>
      <c r="S126" s="3530" t="s">
        <v>1096</v>
      </c>
      <c r="T126" s="3531">
        <f>'All - MECs'!T126*VLOOKUP($B$14,'Annual Parameters'!$B$33:$W$143,3,FALSE)/VLOOKUP('All - MECs'!$B$14,'Annual Parameters'!$B$33:$W$143,3,FALSE)</f>
        <v>1.5438014713563555</v>
      </c>
      <c r="U126" s="3532">
        <f>'All - MECs'!U126*VLOOKUP($B$14,'Annual Parameters'!$B$33:$W$143,3,FALSE)/VLOOKUP('All - MECs'!$B$14,'Annual Parameters'!$B$33:$W$143,3,FALSE)</f>
        <v>1.4753813355145471</v>
      </c>
      <c r="V126" s="3537">
        <f>'All - MECs'!V126*VLOOKUP($B$14,'Annual Parameters'!$B$33:$W$143,3,FALSE)/VLOOKUP('All - MECs'!$B$14,'Annual Parameters'!$B$33:$W$143,3,FALSE)</f>
        <v>1.8586775819996115</v>
      </c>
      <c r="W126" s="3531">
        <f>'All - MECs'!W126*VLOOKUP($B$14,'Annual Parameters'!$B$33:$W$143,3,FALSE)/VLOOKUP('All - MECs'!$B$14,'Annual Parameters'!$B$33:$W$143,3,FALSE)</f>
        <v>1.446389198710446</v>
      </c>
      <c r="X126" s="3532">
        <f>'All - MECs'!X126*VLOOKUP($B$14,'Annual Parameters'!$B$33:$W$143,3,FALSE)/VLOOKUP('All - MECs'!$B$14,'Annual Parameters'!$B$33:$W$143,3,FALSE)</f>
        <v>1.2650065973043034</v>
      </c>
      <c r="Y126" s="3537">
        <f>'All - MECs'!Y126*VLOOKUP($B$14,'Annual Parameters'!$B$33:$W$143,3,FALSE)/VLOOKUP('All - MECs'!$B$14,'Annual Parameters'!$B$33:$W$143,3,FALSE)</f>
        <v>1.3511167740897922</v>
      </c>
      <c r="Z126" s="3531">
        <f>'All - MECs'!Z126*VLOOKUP($B$14,'Annual Parameters'!$B$33:$W$143,3,FALSE)/VLOOKUP('All - MECs'!$B$14,'Annual Parameters'!$B$33:$W$143,3,FALSE)</f>
        <v>1.1800720125621638</v>
      </c>
      <c r="AA126" s="3537">
        <f>'All - MECs'!AA126*VLOOKUP($B$14,'Annual Parameters'!$B$33:$W$143,3,FALSE)/VLOOKUP('All - MECs'!$B$14,'Annual Parameters'!$B$33:$W$143,3,FALSE)</f>
        <v>1.2420380592240516</v>
      </c>
      <c r="AB126" s="3531">
        <f>'All - MECs'!AB126*VLOOKUP($B$14,'Annual Parameters'!$B$33:$W$143,3,FALSE)/VLOOKUP('All - MECs'!$B$14,'Annual Parameters'!$B$33:$W$143,3,FALSE)</f>
        <v>1.4945129139472186</v>
      </c>
      <c r="AC126" s="3532">
        <f>'All - MECs'!AC126*VLOOKUP($B$14,'Annual Parameters'!$B$33:$W$143,3,FALSE)/VLOOKUP('All - MECs'!$B$14,'Annual Parameters'!$B$33:$W$143,3,FALSE)</f>
        <v>1.3386752056330193</v>
      </c>
      <c r="AD126" s="3537">
        <f>'All - MECs'!AD126*VLOOKUP($B$14,'Annual Parameters'!$B$33:$W$143,3,FALSE)/VLOOKUP('All - MECs'!$B$14,'Annual Parameters'!$B$33:$W$143,3,FALSE)</f>
        <v>1.1891104656619986</v>
      </c>
      <c r="AE126" s="3539">
        <f>'All - MECs'!AE126*VLOOKUP($B$14,'Annual Parameters'!$B$33:$W$143,3,FALSE)/VLOOKUP('All - MECs'!$B$14,'Annual Parameters'!$B$33:$W$143,3,FALSE)</f>
        <v>1.3236254358246067</v>
      </c>
      <c r="AF126" s="3544"/>
      <c r="AG126" s="3521" t="s">
        <v>397</v>
      </c>
      <c r="AH126" s="3522"/>
      <c r="AI126" s="3530" t="s">
        <v>1096</v>
      </c>
      <c r="AJ126" s="3531">
        <f>'All - MECs'!AJ126*VLOOKUP($B$14,'Annual Parameters'!$B$33:$W$143,3,FALSE)/VLOOKUP('All - MECs'!$B$14,'Annual Parameters'!$B$33:$W$143,3,FALSE)</f>
        <v>6.0531990836456142</v>
      </c>
      <c r="AK126" s="3532">
        <f>'All - MECs'!AK126*VLOOKUP($B$14,'Annual Parameters'!$B$33:$W$143,3,FALSE)/VLOOKUP('All - MECs'!$B$14,'Annual Parameters'!$B$33:$W$143,3,FALSE)</f>
        <v>7.6372963562456846</v>
      </c>
      <c r="AL126" s="3537">
        <f>'All - MECs'!AL126*VLOOKUP($B$14,'Annual Parameters'!$B$33:$W$143,3,FALSE)/VLOOKUP('All - MECs'!$B$14,'Annual Parameters'!$B$33:$W$143,3,FALSE)</f>
        <v>9.0314409496108592</v>
      </c>
      <c r="AM126" s="3531">
        <f>'All - MECs'!AM126*VLOOKUP($B$14,'Annual Parameters'!$B$33:$W$143,3,FALSE)/VLOOKUP('All - MECs'!$B$14,'Annual Parameters'!$B$33:$W$143,3,FALSE)</f>
        <v>5.9499521797849733</v>
      </c>
      <c r="AN126" s="3532">
        <f>'All - MECs'!AN126*VLOOKUP($B$14,'Annual Parameters'!$B$33:$W$143,3,FALSE)/VLOOKUP('All - MECs'!$B$14,'Annual Parameters'!$B$33:$W$143,3,FALSE)</f>
        <v>6.4638855157862691</v>
      </c>
      <c r="AO126" s="3537">
        <f>'All - MECs'!AO126*VLOOKUP($B$14,'Annual Parameters'!$B$33:$W$143,3,FALSE)/VLOOKUP('All - MECs'!$B$14,'Annual Parameters'!$B$33:$W$143,3,FALSE)</f>
        <v>7.3078020775737862</v>
      </c>
      <c r="AP126" s="3531">
        <f>'All - MECs'!AP126*VLOOKUP($B$14,'Annual Parameters'!$B$33:$W$143,3,FALSE)/VLOOKUP('All - MECs'!$B$14,'Annual Parameters'!$B$33:$W$143,3,FALSE)</f>
        <v>5.9106868328667543</v>
      </c>
      <c r="AQ126" s="3537">
        <f>'All - MECs'!AQ126*VLOOKUP($B$14,'Annual Parameters'!$B$33:$W$143,3,FALSE)/VLOOKUP('All - MECs'!$B$14,'Annual Parameters'!$B$33:$W$143,3,FALSE)</f>
        <v>6.7350613318164152</v>
      </c>
      <c r="AR126" s="3531">
        <f>'All - MECs'!AR126*VLOOKUP($B$14,'Annual Parameters'!$B$33:$W$143,3,FALSE)/VLOOKUP('All - MECs'!$B$14,'Annual Parameters'!$B$33:$W$143,3,FALSE)</f>
        <v>6.0034448392046196</v>
      </c>
      <c r="AS126" s="3532">
        <f>'All - MECs'!AS126*VLOOKUP($B$14,'Annual Parameters'!$B$33:$W$143,3,FALSE)/VLOOKUP('All - MECs'!$B$14,'Annual Parameters'!$B$33:$W$143,3,FALSE)</f>
        <v>5.6668288191653131</v>
      </c>
      <c r="AT126" s="3537">
        <f>'All - MECs'!AT126*VLOOKUP($B$14,'Annual Parameters'!$B$33:$W$143,3,FALSE)/VLOOKUP('All - MECs'!$B$14,'Annual Parameters'!$B$33:$W$143,3,FALSE)</f>
        <v>5.585909507439748</v>
      </c>
      <c r="AU126" s="3539">
        <f>'All - MECs'!AU126*VLOOKUP($B$14,'Annual Parameters'!$B$33:$W$143,3,FALSE)/VLOOKUP('All - MECs'!$B$14,'Annual Parameters'!$B$33:$W$143,3,FALSE)</f>
        <v>6.052813336844304</v>
      </c>
      <c r="AV126" s="3544"/>
      <c r="AW126" s="3521" t="s">
        <v>397</v>
      </c>
      <c r="AX126" s="3522"/>
      <c r="AY126" s="3530" t="s">
        <v>1096</v>
      </c>
      <c r="AZ126" s="3531">
        <f>'All - MECs'!AZ126*VLOOKUP($B$14,'Annual Parameters'!$B$33:$W$143,3,FALSE)/VLOOKUP('All - MECs'!$B$14,'Annual Parameters'!$B$33:$W$143,3,FALSE)</f>
        <v>7.7323563258347754</v>
      </c>
      <c r="BA126" s="3532">
        <f>'All - MECs'!BA126*VLOOKUP($B$14,'Annual Parameters'!$B$33:$W$143,3,FALSE)/VLOOKUP('All - MECs'!$B$14,'Annual Parameters'!$B$33:$W$143,3,FALSE)</f>
        <v>10.759792690249366</v>
      </c>
      <c r="BB126" s="3537">
        <f>'All - MECs'!BB126*VLOOKUP($B$14,'Annual Parameters'!$B$33:$W$143,3,FALSE)/VLOOKUP('All - MECs'!$B$14,'Annual Parameters'!$B$33:$W$143,3,FALSE)</f>
        <v>13.096542517867739</v>
      </c>
      <c r="BC126" s="3531">
        <f>'All - MECs'!BC126*VLOOKUP($B$14,'Annual Parameters'!$B$33:$W$143,3,FALSE)/VLOOKUP('All - MECs'!$B$14,'Annual Parameters'!$B$33:$W$143,3,FALSE)</f>
        <v>7.6780483505626869</v>
      </c>
      <c r="BD126" s="3532">
        <f>'All - MECs'!BD126*VLOOKUP($B$14,'Annual Parameters'!$B$33:$W$143,3,FALSE)/VLOOKUP('All - MECs'!$B$14,'Annual Parameters'!$B$33:$W$143,3,FALSE)</f>
        <v>8.7029909739046136</v>
      </c>
      <c r="BE126" s="3537">
        <f>'All - MECs'!BE126*VLOOKUP($B$14,'Annual Parameters'!$B$33:$W$143,3,FALSE)/VLOOKUP('All - MECs'!$B$14,'Annual Parameters'!$B$33:$W$143,3,FALSE)</f>
        <v>10.651926557718193</v>
      </c>
      <c r="BF126" s="3531">
        <f>'All - MECs'!BF126*VLOOKUP($B$14,'Annual Parameters'!$B$33:$W$143,3,FALSE)/VLOOKUP('All - MECs'!$B$14,'Annual Parameters'!$B$33:$W$143,3,FALSE)</f>
        <v>8.3404744605202339</v>
      </c>
      <c r="BG126" s="3537">
        <f>'All - MECs'!BG126*VLOOKUP($B$14,'Annual Parameters'!$B$33:$W$143,3,FALSE)/VLOOKUP('All - MECs'!$B$14,'Annual Parameters'!$B$33:$W$143,3,FALSE)</f>
        <v>9.8743106546364796</v>
      </c>
      <c r="BH126" s="3531">
        <f>'All - MECs'!BH126*VLOOKUP($B$14,'Annual Parameters'!$B$33:$W$143,3,FALSE)/VLOOKUP('All - MECs'!$B$14,'Annual Parameters'!$B$33:$W$143,3,FALSE)</f>
        <v>7.695929257703793</v>
      </c>
      <c r="BI126" s="3532">
        <f>'All - MECs'!BI126*VLOOKUP($B$14,'Annual Parameters'!$B$33:$W$143,3,FALSE)/VLOOKUP('All - MECs'!$B$14,'Annual Parameters'!$B$33:$W$143,3,FALSE)</f>
        <v>7.4683297975333751</v>
      </c>
      <c r="BJ126" s="3537">
        <f>'All - MECs'!BJ126*VLOOKUP($B$14,'Annual Parameters'!$B$33:$W$143,3,FALSE)/VLOOKUP('All - MECs'!$B$14,'Annual Parameters'!$B$33:$W$143,3,FALSE)</f>
        <v>7.4757524871211389</v>
      </c>
      <c r="BK126" s="3539">
        <f>'All - MECs'!BK126*VLOOKUP($B$14,'Annual Parameters'!$B$33:$W$143,3,FALSE)/VLOOKUP('All - MECs'!$B$14,'Annual Parameters'!$B$33:$W$143,3,FALSE)</f>
        <v>7.7718390117028182</v>
      </c>
      <c r="BL126" s="3544"/>
      <c r="BM126" s="3521" t="s">
        <v>397</v>
      </c>
      <c r="BN126" s="3522"/>
      <c r="BO126" s="3530" t="s">
        <v>1096</v>
      </c>
      <c r="BP126" s="3531">
        <f>'All - MECs'!BP126*VLOOKUP($B$14,'Annual Parameters'!$B$33:$W$143,3,FALSE)/VLOOKUP('All - MECs'!$B$14,'Annual Parameters'!$B$33:$W$143,3,FALSE)</f>
        <v>6.3020208195925029</v>
      </c>
      <c r="BQ126" s="3532">
        <f>'All - MECs'!BQ126*VLOOKUP($B$14,'Annual Parameters'!$B$33:$W$143,3,FALSE)/VLOOKUP('All - MECs'!$B$14,'Annual Parameters'!$B$33:$W$143,3,FALSE)</f>
        <v>5.3974282285102717</v>
      </c>
      <c r="BR126" s="3537">
        <f>'All - MECs'!BR126*VLOOKUP($B$14,'Annual Parameters'!$B$33:$W$143,3,FALSE)/VLOOKUP('All - MECs'!$B$14,'Annual Parameters'!$B$33:$W$143,3,FALSE)</f>
        <v>6.4543527043841253</v>
      </c>
      <c r="BS126" s="3531">
        <f>'All - MECs'!BS126*VLOOKUP($B$14,'Annual Parameters'!$B$33:$W$143,3,FALSE)/VLOOKUP('All - MECs'!$B$14,'Annual Parameters'!$B$33:$W$143,3,FALSE)</f>
        <v>6.3004390874099636</v>
      </c>
      <c r="BT126" s="3532">
        <f>'All - MECs'!BT126*VLOOKUP($B$14,'Annual Parameters'!$B$33:$W$143,3,FALSE)/VLOOKUP('All - MECs'!$B$14,'Annual Parameters'!$B$33:$W$143,3,FALSE)</f>
        <v>6.8976459561924583</v>
      </c>
      <c r="BU126" s="3537">
        <f>'All - MECs'!BU126*VLOOKUP($B$14,'Annual Parameters'!$B$33:$W$143,3,FALSE)/VLOOKUP('All - MECs'!$B$14,'Annual Parameters'!$B$33:$W$143,3,FALSE)</f>
        <v>7.7902444702630431</v>
      </c>
      <c r="BV126" s="3531">
        <f>'All - MECs'!BV126*VLOOKUP($B$14,'Annual Parameters'!$B$33:$W$143,3,FALSE)/VLOOKUP('All - MECs'!$B$14,'Annual Parameters'!$B$33:$W$143,3,FALSE)</f>
        <v>5.6331986413976942</v>
      </c>
      <c r="BW126" s="3537">
        <f>'All - MECs'!BW126*VLOOKUP($B$14,'Annual Parameters'!$B$33:$W$143,3,FALSE)/VLOOKUP('All - MECs'!$B$14,'Annual Parameters'!$B$33:$W$143,3,FALSE)</f>
        <v>6.809444552831815</v>
      </c>
      <c r="BX126" s="3531">
        <f>'All - MECs'!BX126*VLOOKUP($B$14,'Annual Parameters'!$B$33:$W$143,3,FALSE)/VLOOKUP('All - MECs'!$B$14,'Annual Parameters'!$B$33:$W$143,3,FALSE)</f>
        <v>6.2883861772257994</v>
      </c>
      <c r="BY126" s="3532">
        <f>'All - MECs'!BY126*VLOOKUP($B$14,'Annual Parameters'!$B$33:$W$143,3,FALSE)/VLOOKUP('All - MECs'!$B$14,'Annual Parameters'!$B$33:$W$143,3,FALSE)</f>
        <v>5.1258143258338853</v>
      </c>
      <c r="BZ126" s="3537">
        <f>'All - MECs'!BZ126*VLOOKUP($B$14,'Annual Parameters'!$B$33:$W$143,3,FALSE)/VLOOKUP('All - MECs'!$B$14,'Annual Parameters'!$B$33:$W$143,3,FALSE)</f>
        <v>5.272186744659809</v>
      </c>
      <c r="CA126" s="3539">
        <f>'All - MECs'!CA126*VLOOKUP($B$14,'Annual Parameters'!$B$33:$W$143,3,FALSE)/VLOOKUP('All - MECs'!$B$14,'Annual Parameters'!$B$33:$W$143,3,FALSE)</f>
        <v>6.1085310241567861</v>
      </c>
    </row>
    <row r="127" spans="1:95" ht="13.5" customHeight="1">
      <c r="A127" s="3521" t="s">
        <v>1098</v>
      </c>
      <c r="B127" s="3493"/>
      <c r="C127" s="3530" t="s">
        <v>1096</v>
      </c>
      <c r="D127" s="3495">
        <f>'All - MECs'!D127*VLOOKUP($B$14,'Annual Parameters'!$B$33:$W$143,3,FALSE)/VLOOKUP('All - MECs'!$B$14,'Annual Parameters'!$B$33:$W$143,3,FALSE)</f>
        <v>-1.803845579227898</v>
      </c>
      <c r="E127" s="3496">
        <f>'All - MECs'!E127*VLOOKUP($B$14,'Annual Parameters'!$B$33:$W$143,3,FALSE)/VLOOKUP('All - MECs'!$B$14,'Annual Parameters'!$B$33:$W$143,3,FALSE)</f>
        <v>-2.2073514622075887</v>
      </c>
      <c r="F127" s="3496">
        <f>'All - MECs'!F127*VLOOKUP($B$14,'Annual Parameters'!$B$33:$W$143,3,FALSE)/VLOOKUP('All - MECs'!$B$14,'Annual Parameters'!$B$33:$W$143,3,FALSE)</f>
        <v>-2.8026617947832246</v>
      </c>
      <c r="G127" s="3503">
        <f>'All - MECs'!G127*VLOOKUP($B$14,'Annual Parameters'!$B$33:$W$143,3,FALSE)/VLOOKUP('All - MECs'!$B$14,'Annual Parameters'!$B$33:$W$143,3,FALSE)</f>
        <v>-1.7241346497305687</v>
      </c>
      <c r="H127" s="3504">
        <f>'All - MECs'!H127*VLOOKUP($B$14,'Annual Parameters'!$B$33:$W$143,3,FALSE)/VLOOKUP('All - MECs'!$B$14,'Annual Parameters'!$B$33:$W$143,3,FALSE)</f>
        <v>-1.8615793602458326</v>
      </c>
      <c r="I127" s="3501">
        <f>'All - MECs'!I127*VLOOKUP($B$14,'Annual Parameters'!$B$33:$W$143,3,FALSE)/VLOOKUP('All - MECs'!$B$14,'Annual Parameters'!$B$33:$W$143,3,FALSE)</f>
        <v>-2.0902598729675463</v>
      </c>
      <c r="J127" s="3500">
        <f>'All - MECs'!J127*VLOOKUP($B$14,'Annual Parameters'!$B$33:$W$143,3,FALSE)/VLOOKUP('All - MECs'!$B$14,'Annual Parameters'!$B$33:$W$143,3,FALSE)</f>
        <v>-1.6708334658497166</v>
      </c>
      <c r="K127" s="3501">
        <f>'All - MECs'!K127*VLOOKUP($B$14,'Annual Parameters'!$B$33:$W$143,3,FALSE)/VLOOKUP('All - MECs'!$B$14,'Annual Parameters'!$B$33:$W$143,3,FALSE)</f>
        <v>-1.9185851103425007</v>
      </c>
      <c r="L127" s="3495">
        <f>'All - MECs'!L127*VLOOKUP($B$14,'Annual Parameters'!$B$33:$W$143,3,FALSE)/VLOOKUP('All - MECs'!$B$14,'Annual Parameters'!$B$33:$W$143,3,FALSE)</f>
        <v>-1.7596375779057936</v>
      </c>
      <c r="M127" s="3496">
        <f>'All - MECs'!M127*VLOOKUP($B$14,'Annual Parameters'!$B$33:$W$143,3,FALSE)/VLOOKUP('All - MECs'!$B$14,'Annual Parameters'!$B$33:$W$143,3,FALSE)</f>
        <v>-1.6147254722394027</v>
      </c>
      <c r="N127" s="3501">
        <f>'All - MECs'!N127*VLOOKUP($B$14,'Annual Parameters'!$B$33:$W$143,3,FALSE)/VLOOKUP('All - MECs'!$B$14,'Annual Parameters'!$B$33:$W$143,3,FALSE)</f>
        <v>-1.5892043416014652</v>
      </c>
      <c r="O127" s="3502">
        <f>'All - MECs'!O127*VLOOKUP($B$14,'Annual Parameters'!$B$33:$W$143,3,FALSE)/VLOOKUP('All - MECs'!$B$14,'Annual Parameters'!$B$33:$W$143,3,FALSE)</f>
        <v>-1.7825084790482955</v>
      </c>
      <c r="P127" s="3544"/>
      <c r="Q127" s="3521" t="s">
        <v>1098</v>
      </c>
      <c r="R127" s="3493"/>
      <c r="S127" s="3530" t="s">
        <v>1096</v>
      </c>
      <c r="T127" s="3495">
        <f>'All - MECs'!T127*VLOOKUP($B$14,'Annual Parameters'!$B$33:$W$143,3,FALSE)/VLOOKUP('All - MECs'!$B$14,'Annual Parameters'!$B$33:$W$143,3,FALSE)</f>
        <v>-4.7183739713064599</v>
      </c>
      <c r="U127" s="3496">
        <f>'All - MECs'!U127*VLOOKUP($B$14,'Annual Parameters'!$B$33:$W$143,3,FALSE)/VLOOKUP('All - MECs'!$B$14,'Annual Parameters'!$B$33:$W$143,3,FALSE)</f>
        <v>-4.5079391320581257</v>
      </c>
      <c r="V127" s="3496">
        <f>'All - MECs'!V127*VLOOKUP($B$14,'Annual Parameters'!$B$33:$W$143,3,FALSE)/VLOOKUP('All - MECs'!$B$14,'Annual Parameters'!$B$33:$W$143,3,FALSE)</f>
        <v>-5.6868155406063785</v>
      </c>
      <c r="W127" s="3503">
        <f>'All - MECs'!W127*VLOOKUP($B$14,'Annual Parameters'!$B$33:$W$143,3,FALSE)/VLOOKUP('All - MECs'!$B$14,'Annual Parameters'!$B$33:$W$143,3,FALSE)</f>
        <v>-4.4187701239470831</v>
      </c>
      <c r="X127" s="3504">
        <f>'All - MECs'!X127*VLOOKUP($B$14,'Annual Parameters'!$B$33:$W$143,3,FALSE)/VLOOKUP('All - MECs'!$B$14,'Annual Parameters'!$B$33:$W$143,3,FALSE)</f>
        <v>-3.8609048391192946</v>
      </c>
      <c r="Y127" s="3501">
        <f>'All - MECs'!Y127*VLOOKUP($B$14,'Annual Parameters'!$B$33:$W$143,3,FALSE)/VLOOKUP('All - MECs'!$B$14,'Annual Parameters'!$B$33:$W$143,3,FALSE)</f>
        <v>-4.1257476516415625</v>
      </c>
      <c r="Z127" s="3500">
        <f>'All - MECs'!Z127*VLOOKUP($B$14,'Annual Parameters'!$B$33:$W$143,3,FALSE)/VLOOKUP('All - MECs'!$B$14,'Annual Parameters'!$B$33:$W$143,3,FALSE)</f>
        <v>-3.5996777096064236</v>
      </c>
      <c r="AA127" s="3501">
        <f>'All - MECs'!AA127*VLOOKUP($B$14,'Annual Parameters'!$B$33:$W$143,3,FALSE)/VLOOKUP('All - MECs'!$B$14,'Annual Parameters'!$B$33:$W$143,3,FALSE)</f>
        <v>-3.7902621758269839</v>
      </c>
      <c r="AB127" s="3495">
        <f>'All - MECs'!AB127*VLOOKUP($B$14,'Annual Parameters'!$B$33:$W$143,3,FALSE)/VLOOKUP('All - MECs'!$B$14,'Annual Parameters'!$B$33:$W$143,3,FALSE)</f>
        <v>-4.566780737420534</v>
      </c>
      <c r="AC127" s="3496">
        <f>'All - MECs'!AC127*VLOOKUP($B$14,'Annual Parameters'!$B$33:$W$143,3,FALSE)/VLOOKUP('All - MECs'!$B$14,'Annual Parameters'!$B$33:$W$143,3,FALSE)</f>
        <v>-4.087482023753136</v>
      </c>
      <c r="AD127" s="3501">
        <f>'All - MECs'!AD127*VLOOKUP($B$14,'Annual Parameters'!$B$33:$W$143,3,FALSE)/VLOOKUP('All - MECs'!$B$14,'Annual Parameters'!$B$33:$W$143,3,FALSE)</f>
        <v>-3.627476622919239</v>
      </c>
      <c r="AE127" s="3502">
        <f>'All - MECs'!AE127*VLOOKUP($B$14,'Annual Parameters'!$B$33:$W$143,3,FALSE)/VLOOKUP('All - MECs'!$B$14,'Annual Parameters'!$B$33:$W$143,3,FALSE)</f>
        <v>-4.0411945405233434</v>
      </c>
      <c r="AF127" s="3544"/>
      <c r="AG127" s="3521" t="s">
        <v>1098</v>
      </c>
      <c r="AH127" s="3493"/>
      <c r="AI127" s="3530" t="s">
        <v>1096</v>
      </c>
      <c r="AJ127" s="3495">
        <f>'All - MECs'!AJ127*VLOOKUP($B$14,'Annual Parameters'!$B$33:$W$143,3,FALSE)/VLOOKUP('All - MECs'!$B$14,'Annual Parameters'!$B$33:$W$143,3,FALSE)</f>
        <v>-18.583834171342541</v>
      </c>
      <c r="AK127" s="3496">
        <f>'All - MECs'!AK127*VLOOKUP($B$14,'Annual Parameters'!$B$33:$W$143,3,FALSE)/VLOOKUP('All - MECs'!$B$14,'Annual Parameters'!$B$33:$W$143,3,FALSE)</f>
        <v>-23.44714704416911</v>
      </c>
      <c r="AL127" s="3496">
        <f>'All - MECs'!AL127*VLOOKUP($B$14,'Annual Parameters'!$B$33:$W$143,3,FALSE)/VLOOKUP('All - MECs'!$B$14,'Annual Parameters'!$B$33:$W$143,3,FALSE)</f>
        <v>-27.727289094010374</v>
      </c>
      <c r="AM127" s="3503">
        <f>'All - MECs'!AM127*VLOOKUP($B$14,'Annual Parameters'!$B$33:$W$143,3,FALSE)/VLOOKUP('All - MECs'!$B$14,'Annual Parameters'!$B$33:$W$143,3,FALSE)</f>
        <v>-18.266857426725853</v>
      </c>
      <c r="AN127" s="3504">
        <f>'All - MECs'!AN127*VLOOKUP($B$14,'Annual Parameters'!$B$33:$W$143,3,FALSE)/VLOOKUP('All - MECs'!$B$14,'Annual Parameters'!$B$33:$W$143,3,FALSE)</f>
        <v>-19.844676322056294</v>
      </c>
      <c r="AO127" s="3501">
        <f>'All - MECs'!AO127*VLOOKUP($B$14,'Annual Parameters'!$B$33:$W$143,3,FALSE)/VLOOKUP('All - MECs'!$B$14,'Annual Parameters'!$B$33:$W$143,3,FALSE)</f>
        <v>-22.435571685316567</v>
      </c>
      <c r="AP127" s="3500">
        <f>'All - MECs'!AP127*VLOOKUP($B$14,'Annual Parameters'!$B$33:$W$143,3,FALSE)/VLOOKUP('All - MECs'!$B$14,'Annual Parameters'!$B$33:$W$143,3,FALSE)</f>
        <v>-18.146309484104915</v>
      </c>
      <c r="AQ127" s="3501">
        <f>'All - MECs'!AQ127*VLOOKUP($B$14,'Annual Parameters'!$B$33:$W$143,3,FALSE)/VLOOKUP('All - MECs'!$B$14,'Annual Parameters'!$B$33:$W$143,3,FALSE)</f>
        <v>-20.677209058340864</v>
      </c>
      <c r="AR127" s="3495">
        <f>'All - MECs'!AR127*VLOOKUP($B$14,'Annual Parameters'!$B$33:$W$143,3,FALSE)/VLOOKUP('All - MECs'!$B$14,'Annual Parameters'!$B$33:$W$143,3,FALSE)</f>
        <v>-18.431084424434324</v>
      </c>
      <c r="AS127" s="3496">
        <f>'All - MECs'!AS127*VLOOKUP($B$14,'Annual Parameters'!$B$33:$W$143,3,FALSE)/VLOOKUP('All - MECs'!$B$14,'Annual Parameters'!$B$33:$W$143,3,FALSE)</f>
        <v>-17.397644716044585</v>
      </c>
      <c r="AT127" s="3501">
        <f>'All - MECs'!AT127*VLOOKUP($B$14,'Annual Parameters'!$B$33:$W$143,3,FALSE)/VLOOKUP('All - MECs'!$B$14,'Annual Parameters'!$B$33:$W$143,3,FALSE)</f>
        <v>-17.149215571457223</v>
      </c>
      <c r="AU127" s="3502">
        <f>'All - MECs'!AU127*VLOOKUP($B$14,'Annual Parameters'!$B$33:$W$143,3,FALSE)/VLOOKUP('All - MECs'!$B$14,'Annual Parameters'!$B$33:$W$143,3,FALSE)</f>
        <v>-18.582649895972011</v>
      </c>
      <c r="AV127" s="3544"/>
      <c r="AW127" s="3521" t="s">
        <v>1098</v>
      </c>
      <c r="AX127" s="3493"/>
      <c r="AY127" s="3530" t="s">
        <v>1096</v>
      </c>
      <c r="AZ127" s="3495">
        <f>'All - MECs'!AZ127*VLOOKUP($B$14,'Annual Parameters'!$B$33:$W$143,3,FALSE)/VLOOKUP('All - MECs'!$B$14,'Annual Parameters'!$B$33:$W$143,3,FALSE)</f>
        <v>-23.738989206762017</v>
      </c>
      <c r="BA127" s="3496">
        <f>'All - MECs'!BA127*VLOOKUP($B$14,'Annual Parameters'!$B$33:$W$143,3,FALSE)/VLOOKUP('All - MECs'!$B$14,'Annual Parameters'!$B$33:$W$143,3,FALSE)</f>
        <v>-33.033475408707453</v>
      </c>
      <c r="BB127" s="3496">
        <f>'All - MECs'!BB127*VLOOKUP($B$14,'Annual Parameters'!$B$33:$W$143,3,FALSE)/VLOOKUP('All - MECs'!$B$14,'Annual Parameters'!$B$33:$W$143,3,FALSE)</f>
        <v>-40.207495409751161</v>
      </c>
      <c r="BC127" s="3503">
        <f>'All - MECs'!BC127*VLOOKUP($B$14,'Annual Parameters'!$B$33:$W$143,3,FALSE)/VLOOKUP('All - MECs'!$B$14,'Annual Parameters'!$B$33:$W$143,3,FALSE)</f>
        <v>-23.572259120291768</v>
      </c>
      <c r="BD127" s="3504">
        <f>'All - MECs'!BD127*VLOOKUP($B$14,'Annual Parameters'!$B$33:$W$143,3,FALSE)/VLOOKUP('All - MECs'!$B$14,'Annual Parameters'!$B$33:$W$143,3,FALSE)</f>
        <v>-26.718919833762907</v>
      </c>
      <c r="BE127" s="3501">
        <f>'All - MECs'!BE127*VLOOKUP($B$14,'Annual Parameters'!$B$33:$W$143,3,FALSE)/VLOOKUP('All - MECs'!$B$14,'Annual Parameters'!$B$33:$W$143,3,FALSE)</f>
        <v>-32.702317240610959</v>
      </c>
      <c r="BF127" s="3500">
        <f>'All - MECs'!BF127*VLOOKUP($B$14,'Annual Parameters'!$B$33:$W$143,3,FALSE)/VLOOKUP('All - MECs'!$B$14,'Annual Parameters'!$B$33:$W$143,3,FALSE)</f>
        <v>-25.60596341583998</v>
      </c>
      <c r="BG127" s="3501">
        <f>'All - MECs'!BG127*VLOOKUP($B$14,'Annual Parameters'!$B$33:$W$143,3,FALSE)/VLOOKUP('All - MECs'!$B$14,'Annual Parameters'!$B$33:$W$143,3,FALSE)</f>
        <v>-30.314970518294675</v>
      </c>
      <c r="BH127" s="3495">
        <f>'All - MECs'!BH127*VLOOKUP($B$14,'Annual Parameters'!$B$33:$W$143,3,FALSE)/VLOOKUP('All - MECs'!$B$14,'Annual Parameters'!$B$33:$W$143,3,FALSE)</f>
        <v>-23.627155020550735</v>
      </c>
      <c r="BI127" s="3496">
        <f>'All - MECs'!BI127*VLOOKUP($B$14,'Annual Parameters'!$B$33:$W$143,3,FALSE)/VLOOKUP('All - MECs'!$B$14,'Annual Parameters'!$B$33:$W$143,3,FALSE)</f>
        <v>-22.928405389678399</v>
      </c>
      <c r="BJ127" s="3501">
        <f>'All - MECs'!BJ127*VLOOKUP($B$14,'Annual Parameters'!$B$33:$W$143,3,FALSE)/VLOOKUP('All - MECs'!$B$14,'Annual Parameters'!$B$33:$W$143,3,FALSE)</f>
        <v>-22.951193675756262</v>
      </c>
      <c r="BK127" s="3502">
        <f>'All - MECs'!BK127*VLOOKUP($B$14,'Annual Parameters'!$B$33:$W$143,3,FALSE)/VLOOKUP('All - MECs'!$B$14,'Annual Parameters'!$B$33:$W$143,3,FALSE)</f>
        <v>-23.860204398377526</v>
      </c>
      <c r="BL127" s="3544"/>
      <c r="BM127" s="3521" t="s">
        <v>1098</v>
      </c>
      <c r="BN127" s="3493"/>
      <c r="BO127" s="3530" t="s">
        <v>1096</v>
      </c>
      <c r="BP127" s="3495">
        <f>'All - MECs'!BP127*VLOOKUP($B$14,'Annual Parameters'!$B$33:$W$143,3,FALSE)/VLOOKUP('All - MECs'!$B$14,'Annual Parameters'!$B$33:$W$143,3,FALSE)</f>
        <v>-19.347737987352119</v>
      </c>
      <c r="BQ127" s="3496">
        <f>'All - MECs'!BQ127*VLOOKUP($B$14,'Annual Parameters'!$B$33:$W$143,3,FALSE)/VLOOKUP('All - MECs'!$B$14,'Annual Parameters'!$B$33:$W$143,3,FALSE)</f>
        <v>-16.570562072104877</v>
      </c>
      <c r="BR127" s="3496">
        <f>'All - MECs'!BR127*VLOOKUP($B$14,'Annual Parameters'!$B$33:$W$143,3,FALSE)/VLOOKUP('All - MECs'!$B$14,'Annual Parameters'!$B$33:$W$143,3,FALSE)</f>
        <v>-19.815409783183853</v>
      </c>
      <c r="BS127" s="3503">
        <f>'All - MECs'!BS127*VLOOKUP($B$14,'Annual Parameters'!$B$33:$W$143,3,FALSE)/VLOOKUP('All - MECs'!$B$14,'Annual Parameters'!$B$33:$W$143,3,FALSE)</f>
        <v>-19.34288193550621</v>
      </c>
      <c r="BT127" s="3504">
        <f>'All - MECs'!BT127*VLOOKUP($B$14,'Annual Parameters'!$B$33:$W$143,3,FALSE)/VLOOKUP('All - MECs'!$B$14,'Annual Parameters'!$B$33:$W$143,3,FALSE)</f>
        <v>-21.176357633575673</v>
      </c>
      <c r="BU127" s="3501">
        <f>'All - MECs'!BU127*VLOOKUP($B$14,'Annual Parameters'!$B$33:$W$143,3,FALSE)/VLOOKUP('All - MECs'!$B$14,'Annual Parameters'!$B$33:$W$143,3,FALSE)</f>
        <v>-23.916710715946827</v>
      </c>
      <c r="BV127" s="3500">
        <f>'All - MECs'!BV127*VLOOKUP($B$14,'Annual Parameters'!$B$33:$W$143,3,FALSE)/VLOOKUP('All - MECs'!$B$14,'Annual Parameters'!$B$33:$W$143,3,FALSE)</f>
        <v>-17.29439722027416</v>
      </c>
      <c r="BW127" s="3501">
        <f>'All - MECs'!BW127*VLOOKUP($B$14,'Annual Parameters'!$B$33:$W$143,3,FALSE)/VLOOKUP('All - MECs'!$B$14,'Annual Parameters'!$B$33:$W$143,3,FALSE)</f>
        <v>-20.905571850540312</v>
      </c>
      <c r="BX127" s="3495">
        <f>'All - MECs'!BX127*VLOOKUP($B$14,'Annual Parameters'!$B$33:$W$143,3,FALSE)/VLOOKUP('All - MECs'!$B$14,'Annual Parameters'!$B$33:$W$143,3,FALSE)</f>
        <v>-19.305878479804619</v>
      </c>
      <c r="BY127" s="3496">
        <f>'All - MECs'!BY127*VLOOKUP($B$14,'Annual Parameters'!$B$33:$W$143,3,FALSE)/VLOOKUP('All - MECs'!$B$14,'Annual Parameters'!$B$33:$W$143,3,FALSE)</f>
        <v>-15.736684372690252</v>
      </c>
      <c r="BZ127" s="3501">
        <f>'All - MECs'!BZ127*VLOOKUP($B$14,'Annual Parameters'!$B$33:$W$143,3,FALSE)/VLOOKUP('All - MECs'!$B$14,'Annual Parameters'!$B$33:$W$143,3,FALSE)</f>
        <v>-16.186060102966255</v>
      </c>
      <c r="CA127" s="3502">
        <f>'All - MECs'!CA127*VLOOKUP($B$14,'Annual Parameters'!$B$33:$W$143,3,FALSE)/VLOOKUP('All - MECs'!$B$14,'Annual Parameters'!$B$33:$W$143,3,FALSE)</f>
        <v>-18.753707917873758</v>
      </c>
    </row>
    <row r="128" spans="1:95" ht="13.5" customHeight="1" thickBot="1">
      <c r="A128" s="3541" t="s">
        <v>1449</v>
      </c>
      <c r="B128" s="3542"/>
      <c r="C128" s="3554"/>
      <c r="D128" s="3555">
        <f>'All - MECs'!D128*VLOOKUP($B$14,'Annual Parameters'!$B$33:$W$143,3,FALSE)/VLOOKUP('All - MECs'!$B$14,'Annual Parameters'!$B$33:$W$143,3,FALSE)</f>
        <v>2.4416047254645101</v>
      </c>
      <c r="E128" s="3555">
        <f>'All - MECs'!E128*VLOOKUP($B$14,'Annual Parameters'!$B$33:$W$143,3,FALSE)/VLOOKUP('All - MECs'!$B$14,'Annual Parameters'!$B$33:$W$143,3,FALSE)</f>
        <v>188.99722089656046</v>
      </c>
      <c r="F128" s="3555">
        <f>'All - MECs'!F128*VLOOKUP($B$14,'Annual Parameters'!$B$33:$W$143,3,FALSE)/VLOOKUP('All - MECs'!$B$14,'Annual Parameters'!$B$33:$W$143,3,FALSE)</f>
        <v>95.049749949081118</v>
      </c>
      <c r="G128" s="3556">
        <f>'All - MECs'!G128*VLOOKUP($B$14,'Annual Parameters'!$B$33:$W$143,3,FALSE)/VLOOKUP('All - MECs'!$B$14,'Annual Parameters'!$B$33:$W$143,3,FALSE)</f>
        <v>9.1364908429188727</v>
      </c>
      <c r="H128" s="3555">
        <f>'All - MECs'!H128*VLOOKUP($B$14,'Annual Parameters'!$B$33:$W$143,3,FALSE)/VLOOKUP('All - MECs'!$B$14,'Annual Parameters'!$B$33:$W$143,3,FALSE)</f>
        <v>79.00526616614367</v>
      </c>
      <c r="I128" s="3557">
        <f>'All - MECs'!I128*VLOOKUP($B$14,'Annual Parameters'!$B$33:$W$143,3,FALSE)/VLOOKUP('All - MECs'!$B$14,'Annual Parameters'!$B$33:$W$143,3,FALSE)</f>
        <v>59.265410875234473</v>
      </c>
      <c r="J128" s="3558">
        <f>'All - MECs'!J128*VLOOKUP($B$14,'Annual Parameters'!$B$33:$W$143,3,FALSE)/VLOOKUP('All - MECs'!$B$14,'Annual Parameters'!$B$33:$W$143,3,FALSE)</f>
        <v>35.356538863751673</v>
      </c>
      <c r="K128" s="3559">
        <f>'All - MECs'!K128*VLOOKUP($B$14,'Annual Parameters'!$B$33:$W$143,3,FALSE)/VLOOKUP('All - MECs'!$B$14,'Annual Parameters'!$B$33:$W$143,3,FALSE)</f>
        <v>24.275425458297242</v>
      </c>
      <c r="L128" s="3556">
        <f>'All - MECs'!L128*VLOOKUP($B$14,'Annual Parameters'!$B$33:$W$143,3,FALSE)/VLOOKUP('All - MECs'!$B$14,'Annual Parameters'!$B$33:$W$143,3,FALSE)</f>
        <v>7.8583198015003948</v>
      </c>
      <c r="M128" s="3555">
        <f>'All - MECs'!M128*VLOOKUP($B$14,'Annual Parameters'!$B$33:$W$143,3,FALSE)/VLOOKUP('All - MECs'!$B$14,'Annual Parameters'!$B$33:$W$143,3,FALSE)</f>
        <v>6.1817138876412079</v>
      </c>
      <c r="N128" s="3557">
        <f>'All - MECs'!N128*VLOOKUP($B$14,'Annual Parameters'!$B$33:$W$143,3,FALSE)/VLOOKUP('All - MECs'!$B$14,'Annual Parameters'!$B$33:$W$143,3,FALSE)</f>
        <v>8.2053774600599354</v>
      </c>
      <c r="O128" s="3543">
        <f>'All - MECs'!O128*VLOOKUP($B$14,'Annual Parameters'!$B$33:$W$143,3,FALSE)/VLOOKUP('All - MECs'!$B$14,'Annual Parameters'!$B$33:$W$143,3,FALSE)</f>
        <v>29.323773000519736</v>
      </c>
      <c r="P128" s="3544"/>
      <c r="Q128" s="3541" t="s">
        <v>1449</v>
      </c>
      <c r="R128" s="3542"/>
      <c r="S128" s="3554"/>
      <c r="T128" s="3555">
        <f>'All - MECs'!T128*VLOOKUP($B$14,'Annual Parameters'!$B$33:$W$143,3,FALSE)/VLOOKUP('All - MECs'!$B$14,'Annual Parameters'!$B$33:$W$143,3,FALSE)</f>
        <v>0.71702735878976942</v>
      </c>
      <c r="U128" s="3555">
        <f>'All - MECs'!U128*VLOOKUP($B$14,'Annual Parameters'!$B$33:$W$143,3,FALSE)/VLOOKUP('All - MECs'!$B$14,'Annual Parameters'!$B$33:$W$143,3,FALSE)</f>
        <v>187.68169227486854</v>
      </c>
      <c r="V128" s="3555">
        <f>'All - MECs'!V128*VLOOKUP($B$14,'Annual Parameters'!$B$33:$W$143,3,FALSE)/VLOOKUP('All - MECs'!$B$14,'Annual Parameters'!$B$33:$W$143,3,FALSE)</f>
        <v>93.413405646512317</v>
      </c>
      <c r="W128" s="3556">
        <f>'All - MECs'!W128*VLOOKUP($B$14,'Annual Parameters'!$B$33:$W$143,3,FALSE)/VLOOKUP('All - MECs'!$B$14,'Annual Parameters'!$B$33:$W$143,3,FALSE)</f>
        <v>7.2997515727183444</v>
      </c>
      <c r="X128" s="3555">
        <f>'All - MECs'!X128*VLOOKUP($B$14,'Annual Parameters'!$B$33:$W$143,3,FALSE)/VLOOKUP('All - MECs'!$B$14,'Annual Parameters'!$B$33:$W$143,3,FALSE)</f>
        <v>77.617634479272695</v>
      </c>
      <c r="Y128" s="3557">
        <f>'All - MECs'!Y128*VLOOKUP($B$14,'Annual Parameters'!$B$33:$W$143,3,FALSE)/VLOOKUP('All - MECs'!$B$14,'Annual Parameters'!$B$33:$W$143,3,FALSE)</f>
        <v>57.858190859192192</v>
      </c>
      <c r="Z128" s="3558">
        <f>'All - MECs'!Z128*VLOOKUP($B$14,'Annual Parameters'!$B$33:$W$143,3,FALSE)/VLOOKUP('All - MECs'!$B$14,'Annual Parameters'!$B$33:$W$143,3,FALSE)</f>
        <v>33.98903334276384</v>
      </c>
      <c r="AA128" s="3559">
        <f>'All - MECs'!AA128*VLOOKUP($B$14,'Annual Parameters'!$B$33:$W$143,3,FALSE)/VLOOKUP('All - MECs'!$B$14,'Annual Parameters'!$B$33:$W$143,3,FALSE)</f>
        <v>22.948083187813854</v>
      </c>
      <c r="AB128" s="3556">
        <f>'All - MECs'!AB128*VLOOKUP($B$14,'Annual Parameters'!$B$33:$W$143,3,FALSE)/VLOOKUP('All - MECs'!$B$14,'Annual Parameters'!$B$33:$W$143,3,FALSE)</f>
        <v>5.8606581625488579</v>
      </c>
      <c r="AC128" s="3555">
        <f>'All - MECs'!AC128*VLOOKUP($B$14,'Annual Parameters'!$B$33:$W$143,3,FALSE)/VLOOKUP('All - MECs'!$B$14,'Annual Parameters'!$B$33:$W$143,3,FALSE)</f>
        <v>4.405986203916374</v>
      </c>
      <c r="AD128" s="3557">
        <f>'All - MECs'!AD128*VLOOKUP($B$14,'Annual Parameters'!$B$33:$W$143,3,FALSE)/VLOOKUP('All - MECs'!$B$14,'Annual Parameters'!$B$33:$W$143,3,FALSE)</f>
        <v>6.7083554617265149</v>
      </c>
      <c r="AE128" s="3543">
        <f>'All - MECs'!AE128*VLOOKUP($B$14,'Annual Parameters'!$B$33:$W$143,3,FALSE)/VLOOKUP('All - MECs'!$B$14,'Annual Parameters'!$B$33:$W$143,3,FALSE)</f>
        <v>27.645162552699531</v>
      </c>
      <c r="AF128" s="3544"/>
      <c r="AG128" s="3541" t="s">
        <v>1449</v>
      </c>
      <c r="AH128" s="3542"/>
      <c r="AI128" s="3554"/>
      <c r="AJ128" s="3555">
        <f>'All - MECs'!AJ128*VLOOKUP($B$14,'Annual Parameters'!$B$33:$W$143,3,FALSE)/VLOOKUP('All - MECs'!$B$14,'Annual Parameters'!$B$33:$W$143,3,FALSE)</f>
        <v>7.6631223455539619</v>
      </c>
      <c r="AK128" s="3555">
        <f>'All - MECs'!AK128*VLOOKUP($B$14,'Annual Parameters'!$B$33:$W$143,3,FALSE)/VLOOKUP('All - MECs'!$B$14,'Annual Parameters'!$B$33:$W$143,3,FALSE)</f>
        <v>362.28038248207503</v>
      </c>
      <c r="AL128" s="3555">
        <f>'All - MECs'!AL128*VLOOKUP($B$14,'Annual Parameters'!$B$33:$W$143,3,FALSE)/VLOOKUP('All - MECs'!$B$14,'Annual Parameters'!$B$33:$W$143,3,FALSE)</f>
        <v>210.1441202949328</v>
      </c>
      <c r="AM128" s="3556">
        <f>'All - MECs'!AM128*VLOOKUP($B$14,'Annual Parameters'!$B$33:$W$143,3,FALSE)/VLOOKUP('All - MECs'!$B$14,'Annual Parameters'!$B$33:$W$143,3,FALSE)</f>
        <v>20.593556977073472</v>
      </c>
      <c r="AN128" s="3555">
        <f>'All - MECs'!AN128*VLOOKUP($B$14,'Annual Parameters'!$B$33:$W$143,3,FALSE)/VLOOKUP('All - MECs'!$B$14,'Annual Parameters'!$B$33:$W$143,3,FALSE)</f>
        <v>149.98351314505663</v>
      </c>
      <c r="AO128" s="3557">
        <f>'All - MECs'!AO128*VLOOKUP($B$14,'Annual Parameters'!$B$33:$W$143,3,FALSE)/VLOOKUP('All - MECs'!$B$14,'Annual Parameters'!$B$33:$W$143,3,FALSE)</f>
        <v>138.44406391871038</v>
      </c>
      <c r="AP128" s="3558">
        <f>'All - MECs'!AP128*VLOOKUP($B$14,'Annual Parameters'!$B$33:$W$143,3,FALSE)/VLOOKUP('All - MECs'!$B$14,'Annual Parameters'!$B$33:$W$143,3,FALSE)</f>
        <v>66.200604072771384</v>
      </c>
      <c r="AQ128" s="3559">
        <f>'All - MECs'!AQ128*VLOOKUP($B$14,'Annual Parameters'!$B$33:$W$143,3,FALSE)/VLOOKUP('All - MECs'!$B$14,'Annual Parameters'!$B$33:$W$143,3,FALSE)</f>
        <v>71.324658001084586</v>
      </c>
      <c r="AR128" s="3556">
        <f>'All - MECs'!AR128*VLOOKUP($B$14,'Annual Parameters'!$B$33:$W$143,3,FALSE)/VLOOKUP('All - MECs'!$B$14,'Annual Parameters'!$B$33:$W$143,3,FALSE)</f>
        <v>8.88228499218501</v>
      </c>
      <c r="AS128" s="3555">
        <f>'All - MECs'!AS128*VLOOKUP($B$14,'Annual Parameters'!$B$33:$W$143,3,FALSE)/VLOOKUP('All - MECs'!$B$14,'Annual Parameters'!$B$33:$W$143,3,FALSE)</f>
        <v>13.529358867994485</v>
      </c>
      <c r="AT128" s="3557">
        <f>'All - MECs'!AT128*VLOOKUP($B$14,'Annual Parameters'!$B$33:$W$143,3,FALSE)/VLOOKUP('All - MECs'!$B$14,'Annual Parameters'!$B$33:$W$143,3,FALSE)</f>
        <v>45.806683299808967</v>
      </c>
      <c r="AU128" s="3543">
        <f>'All - MECs'!AU128*VLOOKUP($B$14,'Annual Parameters'!$B$33:$W$143,3,FALSE)/VLOOKUP('All - MECs'!$B$14,'Annual Parameters'!$B$33:$W$143,3,FALSE)</f>
        <v>59.101857664016258</v>
      </c>
      <c r="AV128" s="3544"/>
      <c r="AW128" s="3541" t="s">
        <v>1449</v>
      </c>
      <c r="AX128" s="3542"/>
      <c r="AY128" s="3554"/>
      <c r="AZ128" s="3555">
        <f>'All - MECs'!AZ128*VLOOKUP($B$14,'Annual Parameters'!$B$33:$W$143,3,FALSE)/VLOOKUP('All - MECs'!$B$14,'Annual Parameters'!$B$33:$W$143,3,FALSE)</f>
        <v>23.650115980171176</v>
      </c>
      <c r="BA128" s="3555">
        <f>'All - MECs'!BA128*VLOOKUP($B$14,'Annual Parameters'!$B$33:$W$143,3,FALSE)/VLOOKUP('All - MECs'!$B$14,'Annual Parameters'!$B$33:$W$143,3,FALSE)</f>
        <v>573.38730097799441</v>
      </c>
      <c r="BB128" s="3555">
        <f>'All - MECs'!BB128*VLOOKUP($B$14,'Annual Parameters'!$B$33:$W$143,3,FALSE)/VLOOKUP('All - MECs'!$B$14,'Annual Parameters'!$B$33:$W$143,3,FALSE)</f>
        <v>413.48200958776118</v>
      </c>
      <c r="BC128" s="3556">
        <f>'All - MECs'!BC128*VLOOKUP($B$14,'Annual Parameters'!$B$33:$W$143,3,FALSE)/VLOOKUP('All - MECs'!$B$14,'Annual Parameters'!$B$33:$W$143,3,FALSE)</f>
        <v>43.19961486962891</v>
      </c>
      <c r="BD128" s="3555">
        <f>'All - MECs'!BD128*VLOOKUP($B$14,'Annual Parameters'!$B$33:$W$143,3,FALSE)/VLOOKUP('All - MECs'!$B$14,'Annual Parameters'!$B$33:$W$143,3,FALSE)</f>
        <v>244.99675371914245</v>
      </c>
      <c r="BE128" s="3557">
        <f>'All - MECs'!BE128*VLOOKUP($B$14,'Annual Parameters'!$B$33:$W$143,3,FALSE)/VLOOKUP('All - MECs'!$B$14,'Annual Parameters'!$B$33:$W$143,3,FALSE)</f>
        <v>300.58156285884047</v>
      </c>
      <c r="BF128" s="3558">
        <f>'All - MECs'!BF128*VLOOKUP($B$14,'Annual Parameters'!$B$33:$W$143,3,FALSE)/VLOOKUP('All - MECs'!$B$14,'Annual Parameters'!$B$33:$W$143,3,FALSE)</f>
        <v>115.19501445172463</v>
      </c>
      <c r="BG128" s="3559">
        <f>'All - MECs'!BG128*VLOOKUP($B$14,'Annual Parameters'!$B$33:$W$143,3,FALSE)/VLOOKUP('All - MECs'!$B$14,'Annual Parameters'!$B$33:$W$143,3,FALSE)</f>
        <v>197.18970855753145</v>
      </c>
      <c r="BH128" s="3556">
        <f>'All - MECs'!BH128*VLOOKUP($B$14,'Annual Parameters'!$B$33:$W$143,3,FALSE)/VLOOKUP('All - MECs'!$B$14,'Annual Parameters'!$B$33:$W$143,3,FALSE)</f>
        <v>20.951399819881271</v>
      </c>
      <c r="BI128" s="3555">
        <f>'All - MECs'!BI128*VLOOKUP($B$14,'Annual Parameters'!$B$33:$W$143,3,FALSE)/VLOOKUP('All - MECs'!$B$14,'Annual Parameters'!$B$33:$W$143,3,FALSE)</f>
        <v>30.405407003758601</v>
      </c>
      <c r="BJ128" s="3557">
        <f>'All - MECs'!BJ128*VLOOKUP($B$14,'Annual Parameters'!$B$33:$W$143,3,FALSE)/VLOOKUP('All - MECs'!$B$14,'Annual Parameters'!$B$33:$W$143,3,FALSE)</f>
        <v>155.67316876199476</v>
      </c>
      <c r="BK128" s="3543">
        <f>'All - MECs'!BK128*VLOOKUP($B$14,'Annual Parameters'!$B$33:$W$143,3,FALSE)/VLOOKUP('All - MECs'!$B$14,'Annual Parameters'!$B$33:$W$143,3,FALSE)</f>
        <v>89.05563693964865</v>
      </c>
      <c r="BL128" s="3544"/>
      <c r="BM128" s="3541" t="s">
        <v>1449</v>
      </c>
      <c r="BN128" s="3542"/>
      <c r="BO128" s="3554"/>
      <c r="BP128" s="3555">
        <f>'All - MECs'!BP128*VLOOKUP($B$14,'Annual Parameters'!$B$33:$W$143,3,FALSE)/VLOOKUP('All - MECs'!$B$14,'Annual Parameters'!$B$33:$W$143,3,FALSE)</f>
        <v>-4.3085718791585847</v>
      </c>
      <c r="BQ128" s="3555">
        <f>'All - MECs'!BQ128*VLOOKUP($B$14,'Annual Parameters'!$B$33:$W$143,3,FALSE)/VLOOKUP('All - MECs'!$B$14,'Annual Parameters'!$B$33:$W$143,3,FALSE)</f>
        <v>448.85984105413763</v>
      </c>
      <c r="BR128" s="3555">
        <f>'All - MECs'!BR128*VLOOKUP($B$14,'Annual Parameters'!$B$33:$W$143,3,FALSE)/VLOOKUP('All - MECs'!$B$14,'Annual Parameters'!$B$33:$W$143,3,FALSE)</f>
        <v>213.01519082611512</v>
      </c>
      <c r="BS128" s="3556">
        <f>'All - MECs'!BS128*VLOOKUP($B$14,'Annual Parameters'!$B$33:$W$143,3,FALSE)/VLOOKUP('All - MECs'!$B$14,'Annual Parameters'!$B$33:$W$143,3,FALSE)</f>
        <v>11.788399168915594</v>
      </c>
      <c r="BT128" s="3555">
        <f>'All - MECs'!BT128*VLOOKUP($B$14,'Annual Parameters'!$B$33:$W$143,3,FALSE)/VLOOKUP('All - MECs'!$B$14,'Annual Parameters'!$B$33:$W$143,3,FALSE)</f>
        <v>167.86738870405475</v>
      </c>
      <c r="BU128" s="3557">
        <f>'All - MECs'!BU128*VLOOKUP($B$14,'Annual Parameters'!$B$33:$W$143,3,FALSE)/VLOOKUP('All - MECs'!$B$14,'Annual Parameters'!$B$33:$W$143,3,FALSE)</f>
        <v>117.18593605523816</v>
      </c>
      <c r="BV128" s="3558">
        <f>'All - MECs'!BV128*VLOOKUP($B$14,'Annual Parameters'!$B$33:$W$143,3,FALSE)/VLOOKUP('All - MECs'!$B$14,'Annual Parameters'!$B$33:$W$143,3,FALSE)</f>
        <v>60.489480355284158</v>
      </c>
      <c r="BW128" s="3559">
        <f>'All - MECs'!BW128*VLOOKUP($B$14,'Annual Parameters'!$B$33:$W$143,3,FALSE)/VLOOKUP('All - MECs'!$B$14,'Annual Parameters'!$B$33:$W$143,3,FALSE)</f>
        <v>30.971220728056256</v>
      </c>
      <c r="BX128" s="3556">
        <f>'All - MECs'!BX128*VLOOKUP($B$14,'Annual Parameters'!$B$33:$W$143,3,FALSE)/VLOOKUP('All - MECs'!$B$14,'Annual Parameters'!$B$33:$W$143,3,FALSE)</f>
        <v>9.3824355701766926</v>
      </c>
      <c r="BY128" s="3555">
        <f>'All - MECs'!BY128*VLOOKUP($B$14,'Annual Parameters'!$B$33:$W$143,3,FALSE)/VLOOKUP('All - MECs'!$B$14,'Annual Parameters'!$B$33:$W$143,3,FALSE)</f>
        <v>2.8018184841718092</v>
      </c>
      <c r="BZ128" s="3557">
        <f>'All - MECs'!BZ128*VLOOKUP($B$14,'Annual Parameters'!$B$33:$W$143,3,FALSE)/VLOOKUP('All - MECs'!$B$14,'Annual Parameters'!$B$33:$W$143,3,FALSE)</f>
        <v>6.8937671577046578</v>
      </c>
      <c r="CA128" s="3543">
        <f>'All - MECs'!CA128*VLOOKUP($B$14,'Annual Parameters'!$B$33:$W$143,3,FALSE)/VLOOKUP('All - MECs'!$B$14,'Annual Parameters'!$B$33:$W$143,3,FALSE)</f>
        <v>53.982902090065075</v>
      </c>
    </row>
    <row r="129" ht="13.5" customHeight="1" thickTop="1"/>
  </sheetData>
  <sheetProtection sheet="1" objects="1" scenarios="1"/>
  <mergeCells count="152">
    <mergeCell ref="A80:A85"/>
    <mergeCell ref="Q80:Q85"/>
    <mergeCell ref="AG80:AG85"/>
    <mergeCell ref="AW80:AW85"/>
    <mergeCell ref="BM80:BM85"/>
    <mergeCell ref="BP78:BR78"/>
    <mergeCell ref="BS78:BU78"/>
    <mergeCell ref="BV78:BW78"/>
    <mergeCell ref="BX78:BZ78"/>
    <mergeCell ref="AB78:AD78"/>
    <mergeCell ref="AE78:AE79"/>
    <mergeCell ref="AI78:AI79"/>
    <mergeCell ref="AJ78:AL78"/>
    <mergeCell ref="AM78:AO78"/>
    <mergeCell ref="O78:O79"/>
    <mergeCell ref="S78:S79"/>
    <mergeCell ref="T78:V78"/>
    <mergeCell ref="W78:Y78"/>
    <mergeCell ref="Z78:AA78"/>
    <mergeCell ref="C78:C79"/>
    <mergeCell ref="D78:F78"/>
    <mergeCell ref="G78:I78"/>
    <mergeCell ref="J78:K78"/>
    <mergeCell ref="L78:N78"/>
    <mergeCell ref="CA78:CA79"/>
    <mergeCell ref="BC78:BE78"/>
    <mergeCell ref="BF78:BG78"/>
    <mergeCell ref="BH78:BJ78"/>
    <mergeCell ref="BK78:BK79"/>
    <mergeCell ref="BO78:BO79"/>
    <mergeCell ref="AP78:AQ78"/>
    <mergeCell ref="AR78:AT78"/>
    <mergeCell ref="AU78:AU79"/>
    <mergeCell ref="AY78:AY79"/>
    <mergeCell ref="AZ78:BB78"/>
    <mergeCell ref="A62:A67"/>
    <mergeCell ref="Q62:Q67"/>
    <mergeCell ref="AG62:AG67"/>
    <mergeCell ref="AW62:AW67"/>
    <mergeCell ref="BM62:BM67"/>
    <mergeCell ref="BP60:BR60"/>
    <mergeCell ref="BS60:BU60"/>
    <mergeCell ref="BV60:BW60"/>
    <mergeCell ref="BX60:BZ60"/>
    <mergeCell ref="AB60:AD60"/>
    <mergeCell ref="AE60:AE61"/>
    <mergeCell ref="AI60:AI61"/>
    <mergeCell ref="AJ60:AL60"/>
    <mergeCell ref="AM60:AO60"/>
    <mergeCell ref="O60:O61"/>
    <mergeCell ref="S60:S61"/>
    <mergeCell ref="T60:V60"/>
    <mergeCell ref="W60:Y60"/>
    <mergeCell ref="Z60:AA60"/>
    <mergeCell ref="C60:C61"/>
    <mergeCell ref="D60:F60"/>
    <mergeCell ref="G60:I60"/>
    <mergeCell ref="J60:K60"/>
    <mergeCell ref="L60:N60"/>
    <mergeCell ref="CA60:CA61"/>
    <mergeCell ref="BC60:BE60"/>
    <mergeCell ref="BF60:BG60"/>
    <mergeCell ref="BH60:BJ60"/>
    <mergeCell ref="BK60:BK61"/>
    <mergeCell ref="BO60:BO61"/>
    <mergeCell ref="AP60:AQ60"/>
    <mergeCell ref="AR60:AT60"/>
    <mergeCell ref="AU60:AU61"/>
    <mergeCell ref="AY60:AY61"/>
    <mergeCell ref="AZ60:BB60"/>
    <mergeCell ref="A44:A49"/>
    <mergeCell ref="Q44:Q49"/>
    <mergeCell ref="AG44:AG49"/>
    <mergeCell ref="AW44:AW49"/>
    <mergeCell ref="BM44:BM49"/>
    <mergeCell ref="BP42:BR42"/>
    <mergeCell ref="BS42:BU42"/>
    <mergeCell ref="BV42:BW42"/>
    <mergeCell ref="BX42:BZ42"/>
    <mergeCell ref="AB42:AD42"/>
    <mergeCell ref="AE42:AE43"/>
    <mergeCell ref="AI42:AI43"/>
    <mergeCell ref="AJ42:AL42"/>
    <mergeCell ref="AM42:AO42"/>
    <mergeCell ref="O42:O43"/>
    <mergeCell ref="S42:S43"/>
    <mergeCell ref="T42:V42"/>
    <mergeCell ref="W42:Y42"/>
    <mergeCell ref="Z42:AA42"/>
    <mergeCell ref="C42:C43"/>
    <mergeCell ref="D42:F42"/>
    <mergeCell ref="G42:I42"/>
    <mergeCell ref="J42:K42"/>
    <mergeCell ref="L42:N42"/>
    <mergeCell ref="CA42:CA43"/>
    <mergeCell ref="BC42:BE42"/>
    <mergeCell ref="BF42:BG42"/>
    <mergeCell ref="BH42:BJ42"/>
    <mergeCell ref="BK42:BK43"/>
    <mergeCell ref="BO42:BO43"/>
    <mergeCell ref="AP42:AQ42"/>
    <mergeCell ref="AR42:AT42"/>
    <mergeCell ref="AU42:AU43"/>
    <mergeCell ref="AY42:AY43"/>
    <mergeCell ref="AZ42:BB42"/>
    <mergeCell ref="A26:A31"/>
    <mergeCell ref="Q26:Q31"/>
    <mergeCell ref="AG26:AG31"/>
    <mergeCell ref="AW26:AW31"/>
    <mergeCell ref="BM26:BM31"/>
    <mergeCell ref="CA24:CA25"/>
    <mergeCell ref="BP24:BR24"/>
    <mergeCell ref="BS24:BU24"/>
    <mergeCell ref="BV24:BW24"/>
    <mergeCell ref="BX24:BZ24"/>
    <mergeCell ref="BF24:BG24"/>
    <mergeCell ref="BH24:BJ24"/>
    <mergeCell ref="BK24:BK25"/>
    <mergeCell ref="BO24:BO25"/>
    <mergeCell ref="AY24:AY25"/>
    <mergeCell ref="AZ24:BB24"/>
    <mergeCell ref="BC24:BE24"/>
    <mergeCell ref="A12:B12"/>
    <mergeCell ref="C24:C25"/>
    <mergeCell ref="AU24:AU25"/>
    <mergeCell ref="S24:S25"/>
    <mergeCell ref="T24:V24"/>
    <mergeCell ref="W24:Y24"/>
    <mergeCell ref="Z24:AA24"/>
    <mergeCell ref="AB24:AD24"/>
    <mergeCell ref="AE24:AE25"/>
    <mergeCell ref="AI24:AI25"/>
    <mergeCell ref="AJ24:AL24"/>
    <mergeCell ref="AM24:AO24"/>
    <mergeCell ref="D24:F24"/>
    <mergeCell ref="G24:I24"/>
    <mergeCell ref="J24:K24"/>
    <mergeCell ref="L24:N24"/>
    <mergeCell ref="AP24:AQ24"/>
    <mergeCell ref="AR24:AT24"/>
    <mergeCell ref="O24:O25"/>
    <mergeCell ref="A10:B10"/>
    <mergeCell ref="E6:S6"/>
    <mergeCell ref="A7:B7"/>
    <mergeCell ref="A8:B8"/>
    <mergeCell ref="A11:B11"/>
    <mergeCell ref="CC1:CQ1"/>
    <mergeCell ref="Q1:AE1"/>
    <mergeCell ref="AG1:AU1"/>
    <mergeCell ref="AW1:BK1"/>
    <mergeCell ref="D1:O1"/>
    <mergeCell ref="BM1:CA1"/>
  </mergeCells>
  <phoneticPr fontId="8" type="noConversion"/>
  <hyperlinks>
    <hyperlink ref="A18" location="'Car - MECs'!A23" tooltip="2010" display="'Car - MECs'!A23"/>
    <hyperlink ref="B18" location="'Car - MECs'!A41" tooltip="2015" display="'Car - MECs'!A41"/>
    <hyperlink ref="A19" location="'Car - MECs'!A59" tooltip="2020" display="'Car - MECs'!A59"/>
    <hyperlink ref="B19" location="'Car - MECs'!A79" tooltip="2025" display="'Car - MECs'!A79"/>
    <hyperlink ref="A20" location="'Car - MECs'!A95" tooltip="2030" display="'Car - MECs'!A95"/>
    <hyperlink ref="B20" location="'Car - MECs'!A113" tooltip="2035" display="'Car - MECs'!A113"/>
    <hyperlink ref="A11" location="Contents!A1" display="Contents"/>
    <hyperlink ref="A11:B11" r:id="rId1" display="WebTAG Unit 3.13.2"/>
    <hyperlink ref="A10" location="Contents!A1" display="Contents"/>
    <hyperlink ref="A10:B10" location="Contents!A1" tooltip="Contents page" display="Contents"/>
    <hyperlink ref="A12:B12" r:id="rId2" tooltip="Unit A5.4 Marginal External Congestion Costs" display="WebTAG Unit A 5.4"/>
  </hyperlinks>
  <pageMargins left="0.75" right="0.75" top="1" bottom="1" header="0.5" footer="0.5"/>
  <pageSetup paperSize="8" scale="47" fitToWidth="3" fitToHeight="0" orientation="landscape" r:id="rId3"/>
  <headerFooter alignWithMargins="0"/>
  <drawing r:id="rId4"/>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indexed="10"/>
    <pageSetUpPr fitToPage="1"/>
  </sheetPr>
  <dimension ref="A1:CQ129"/>
  <sheetViews>
    <sheetView topLeftCell="A104" zoomScale="85" zoomScaleNormal="85" workbookViewId="0">
      <selection activeCell="E23" sqref="E23:F23"/>
    </sheetView>
  </sheetViews>
  <sheetFormatPr defaultColWidth="12.88671875" defaultRowHeight="13.5" customHeight="1"/>
  <cols>
    <col min="1" max="16384" width="12.88671875" style="1327"/>
  </cols>
  <sheetData>
    <row r="1" spans="1:95" s="240" customFormat="1" ht="54.9" customHeight="1">
      <c r="A1" s="245"/>
      <c r="C1" s="245"/>
      <c r="D1" s="3827"/>
      <c r="E1" s="3689"/>
      <c r="F1" s="3689"/>
      <c r="G1" s="3689"/>
      <c r="H1" s="3689"/>
      <c r="I1" s="3689"/>
      <c r="J1" s="3689"/>
      <c r="K1" s="3689"/>
      <c r="L1" s="3689"/>
      <c r="M1" s="3689"/>
      <c r="N1" s="3689"/>
      <c r="O1" s="3689"/>
      <c r="Q1" s="3821"/>
      <c r="R1" s="3821"/>
      <c r="S1" s="3821"/>
      <c r="T1" s="3821"/>
      <c r="U1" s="3821"/>
      <c r="V1" s="3821"/>
      <c r="W1" s="3821"/>
      <c r="X1" s="3821"/>
      <c r="Y1" s="3821"/>
      <c r="Z1" s="3821"/>
      <c r="AA1" s="3821"/>
      <c r="AB1" s="3821"/>
      <c r="AC1" s="3821"/>
      <c r="AD1" s="3821"/>
      <c r="AE1" s="3821"/>
      <c r="AG1" s="3821"/>
      <c r="AH1" s="3821"/>
      <c r="AI1" s="3821"/>
      <c r="AJ1" s="3821"/>
      <c r="AK1" s="3821"/>
      <c r="AL1" s="3821"/>
      <c r="AM1" s="3821"/>
      <c r="AN1" s="3821"/>
      <c r="AO1" s="3821"/>
      <c r="AP1" s="3821"/>
      <c r="AQ1" s="3821"/>
      <c r="AR1" s="3821"/>
      <c r="AS1" s="3821"/>
      <c r="AT1" s="3821"/>
      <c r="AU1" s="3821"/>
      <c r="AW1" s="3821"/>
      <c r="AX1" s="3821"/>
      <c r="AY1" s="3821"/>
      <c r="AZ1" s="3821"/>
      <c r="BA1" s="3821"/>
      <c r="BB1" s="3821"/>
      <c r="BC1" s="3821"/>
      <c r="BD1" s="3821"/>
      <c r="BE1" s="3821"/>
      <c r="BF1" s="3821"/>
      <c r="BG1" s="3821"/>
      <c r="BH1" s="3821"/>
      <c r="BI1" s="3821"/>
      <c r="BJ1" s="3821"/>
      <c r="BK1" s="3821"/>
      <c r="BM1" s="3821"/>
      <c r="BN1" s="3821"/>
      <c r="BO1" s="3821"/>
      <c r="BP1" s="3821"/>
      <c r="BQ1" s="3821"/>
      <c r="BR1" s="3821"/>
      <c r="BS1" s="3821"/>
      <c r="BT1" s="3821"/>
      <c r="BU1" s="3821"/>
      <c r="BV1" s="3821"/>
      <c r="BW1" s="3821"/>
      <c r="BX1" s="3821"/>
      <c r="BY1" s="3821"/>
      <c r="BZ1" s="3821"/>
      <c r="CA1" s="3821"/>
      <c r="CC1" s="3821"/>
      <c r="CD1" s="3821"/>
      <c r="CE1" s="3821"/>
      <c r="CF1" s="3821"/>
      <c r="CG1" s="3821"/>
      <c r="CH1" s="3821"/>
      <c r="CI1" s="3821"/>
      <c r="CJ1" s="3821"/>
      <c r="CK1" s="3821"/>
      <c r="CL1" s="3821"/>
      <c r="CM1" s="3821"/>
      <c r="CN1" s="3821"/>
      <c r="CO1" s="3821"/>
      <c r="CP1" s="3821"/>
      <c r="CQ1" s="3821"/>
    </row>
    <row r="2" spans="1:95" s="262" customFormat="1" ht="5.0999999999999996" customHeight="1">
      <c r="D2" s="260"/>
      <c r="F2" s="260"/>
      <c r="I2" s="260"/>
      <c r="J2" s="260"/>
    </row>
    <row r="3" spans="1:95" s="262" customFormat="1" ht="20.100000000000001" customHeight="1">
      <c r="A3" s="262" t="s">
        <v>2319</v>
      </c>
      <c r="B3" s="1717"/>
      <c r="C3" s="1718"/>
      <c r="D3" s="271"/>
      <c r="E3" s="260"/>
      <c r="F3" s="261"/>
      <c r="J3" s="260"/>
    </row>
    <row r="4" spans="1:95" s="237" customFormat="1" ht="20.100000000000001" customHeight="1" thickBot="1">
      <c r="A4" s="1719" t="s">
        <v>1280</v>
      </c>
      <c r="B4" s="263"/>
      <c r="C4" s="263"/>
      <c r="D4" s="1720"/>
      <c r="E4" s="263"/>
      <c r="F4" s="263"/>
      <c r="G4" s="1720"/>
      <c r="H4" s="1720"/>
      <c r="I4" s="263"/>
      <c r="J4" s="263"/>
      <c r="K4" s="263"/>
      <c r="L4" s="263"/>
      <c r="M4" s="263"/>
      <c r="N4" s="263"/>
      <c r="O4" s="263"/>
      <c r="P4" s="263"/>
      <c r="Q4" s="263"/>
      <c r="R4" s="263"/>
      <c r="S4" s="263"/>
    </row>
    <row r="5" spans="1:95" s="240" customFormat="1" ht="9.9" customHeight="1" thickTop="1" thickBot="1">
      <c r="C5" s="1393"/>
      <c r="E5" s="1721"/>
      <c r="G5" s="245"/>
      <c r="H5" s="245"/>
      <c r="J5" s="237"/>
    </row>
    <row r="6" spans="1:95" s="240"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95" s="240" customFormat="1" ht="13.5" customHeight="1">
      <c r="A7" s="3636" t="str">
        <f>Audit!A12</f>
        <v>May 2019 v1.12</v>
      </c>
      <c r="B7" s="3637"/>
      <c r="D7" s="247"/>
      <c r="E7" s="1327" t="s">
        <v>1190</v>
      </c>
      <c r="F7" s="236"/>
      <c r="G7" s="237"/>
      <c r="H7" s="237"/>
      <c r="I7" s="237"/>
      <c r="J7" s="237"/>
      <c r="K7" s="237"/>
      <c r="L7" s="237"/>
      <c r="M7" s="237"/>
      <c r="N7" s="237"/>
      <c r="O7" s="237"/>
      <c r="P7" s="237"/>
      <c r="Q7" s="237"/>
      <c r="R7" s="237"/>
      <c r="S7" s="247"/>
    </row>
    <row r="8" spans="1:95" s="240" customFormat="1" ht="13.5" customHeight="1">
      <c r="A8" s="3638">
        <f>Audit!C12</f>
        <v>43586</v>
      </c>
      <c r="B8" s="3637"/>
      <c r="C8" s="239"/>
      <c r="D8" s="272"/>
      <c r="E8" s="269" t="s">
        <v>189</v>
      </c>
      <c r="F8" s="266"/>
      <c r="G8" s="237"/>
      <c r="H8" s="237"/>
      <c r="I8" s="237"/>
      <c r="J8" s="237"/>
      <c r="K8" s="237"/>
      <c r="L8" s="237"/>
      <c r="M8" s="237"/>
      <c r="N8" s="237"/>
      <c r="O8" s="237"/>
      <c r="P8" s="237"/>
      <c r="Q8" s="237"/>
      <c r="R8" s="237"/>
      <c r="S8" s="247"/>
    </row>
    <row r="9" spans="1:95" s="240" customFormat="1" ht="13.5" customHeight="1" thickBot="1">
      <c r="A9" s="169" t="s">
        <v>14</v>
      </c>
      <c r="B9" s="169"/>
      <c r="D9" s="272"/>
      <c r="F9" s="237"/>
      <c r="G9" s="237"/>
      <c r="H9" s="237"/>
      <c r="I9" s="237"/>
      <c r="J9" s="237"/>
      <c r="K9" s="237"/>
      <c r="L9" s="237"/>
      <c r="M9" s="237"/>
      <c r="N9" s="237"/>
      <c r="O9" s="237"/>
      <c r="P9" s="237"/>
      <c r="Q9" s="237"/>
      <c r="R9" s="237"/>
      <c r="S9" s="247"/>
    </row>
    <row r="10" spans="1:95" s="240" customFormat="1" ht="13.5" customHeight="1" thickBot="1">
      <c r="A10" s="3611" t="s">
        <v>1306</v>
      </c>
      <c r="B10" s="3612"/>
      <c r="D10" s="272"/>
      <c r="F10" s="237"/>
      <c r="G10" s="237"/>
      <c r="H10" s="237"/>
      <c r="I10" s="237"/>
      <c r="J10" s="237"/>
      <c r="K10" s="237"/>
      <c r="L10" s="237"/>
      <c r="M10" s="237"/>
      <c r="N10" s="237"/>
      <c r="O10" s="237"/>
      <c r="P10" s="237"/>
      <c r="Q10" s="237"/>
      <c r="R10" s="237"/>
      <c r="S10" s="247"/>
    </row>
    <row r="11" spans="1:95" s="240" customFormat="1" ht="13.5" customHeight="1" thickBot="1">
      <c r="A11" s="3611" t="s">
        <v>2314</v>
      </c>
      <c r="B11" s="3639"/>
      <c r="D11" s="272"/>
      <c r="F11" s="267"/>
      <c r="G11" s="267"/>
      <c r="H11" s="267"/>
      <c r="I11" s="267"/>
      <c r="J11" s="267"/>
      <c r="K11" s="267"/>
      <c r="L11" s="267"/>
      <c r="M11" s="267"/>
      <c r="N11" s="267"/>
      <c r="O11" s="267"/>
      <c r="P11" s="267"/>
      <c r="Q11" s="267"/>
      <c r="R11" s="267"/>
      <c r="S11" s="1319"/>
    </row>
    <row r="12" spans="1:95" s="240" customFormat="1" ht="13.5" customHeight="1" thickBot="1">
      <c r="A12" s="3611" t="s">
        <v>2315</v>
      </c>
      <c r="B12" s="3639"/>
      <c r="D12" s="272"/>
      <c r="F12" s="237"/>
      <c r="G12" s="237"/>
      <c r="H12" s="237"/>
      <c r="I12" s="237"/>
      <c r="J12" s="237"/>
      <c r="K12" s="237"/>
      <c r="L12" s="237"/>
      <c r="M12" s="237"/>
      <c r="N12" s="237"/>
      <c r="O12" s="237"/>
      <c r="P12" s="237"/>
      <c r="Q12" s="237"/>
      <c r="R12" s="237"/>
      <c r="S12" s="247"/>
    </row>
    <row r="13" spans="1:95" s="240" customFormat="1" ht="13.5" customHeight="1">
      <c r="A13" s="169" t="s">
        <v>252</v>
      </c>
      <c r="B13" s="169"/>
      <c r="C13" s="239"/>
      <c r="D13" s="272"/>
      <c r="F13" s="237"/>
      <c r="G13" s="237"/>
      <c r="H13" s="237"/>
      <c r="I13" s="237"/>
      <c r="J13" s="237"/>
      <c r="K13" s="237"/>
      <c r="L13" s="237"/>
      <c r="M13" s="237"/>
      <c r="N13" s="237"/>
      <c r="O13" s="237"/>
      <c r="P13" s="237"/>
      <c r="Q13" s="237"/>
      <c r="R13" s="237"/>
      <c r="S13" s="247"/>
    </row>
    <row r="14" spans="1:95" s="240" customFormat="1" ht="13.5" customHeight="1">
      <c r="A14" s="95" t="s">
        <v>799</v>
      </c>
      <c r="B14" s="195">
        <f>B16</f>
        <v>2010</v>
      </c>
      <c r="D14" s="272"/>
      <c r="F14" s="237"/>
      <c r="G14" s="237"/>
      <c r="H14" s="237"/>
      <c r="I14" s="237"/>
      <c r="J14" s="237"/>
      <c r="K14" s="237"/>
      <c r="L14" s="237"/>
      <c r="M14" s="237"/>
      <c r="N14" s="237"/>
      <c r="O14" s="237"/>
      <c r="P14" s="237"/>
      <c r="Q14" s="237"/>
      <c r="R14" s="237"/>
      <c r="S14" s="247"/>
    </row>
    <row r="15" spans="1:95" s="240" customFormat="1" ht="13.5" customHeight="1">
      <c r="A15" s="269"/>
      <c r="B15" s="244"/>
      <c r="C15" s="242"/>
      <c r="D15" s="272"/>
      <c r="F15" s="237"/>
      <c r="G15" s="237"/>
      <c r="H15" s="237"/>
      <c r="I15" s="237"/>
      <c r="J15" s="237"/>
      <c r="K15" s="237"/>
      <c r="L15" s="237"/>
      <c r="M15" s="237"/>
      <c r="N15" s="237"/>
      <c r="O15" s="237"/>
      <c r="P15" s="237"/>
      <c r="Q15" s="237"/>
      <c r="R15" s="237"/>
      <c r="S15" s="247"/>
    </row>
    <row r="16" spans="1:95" s="240" customFormat="1" ht="13.5" customHeight="1">
      <c r="A16" s="269" t="s">
        <v>370</v>
      </c>
      <c r="B16" s="1346">
        <v>2010</v>
      </c>
      <c r="C16" s="1723"/>
      <c r="D16" s="272"/>
      <c r="F16" s="237"/>
      <c r="G16" s="237"/>
      <c r="H16" s="237"/>
      <c r="I16" s="237"/>
      <c r="J16" s="237"/>
      <c r="K16" s="237"/>
      <c r="L16" s="237"/>
      <c r="M16" s="237"/>
      <c r="N16" s="237"/>
      <c r="O16" s="237"/>
      <c r="P16" s="237"/>
      <c r="Q16" s="237"/>
      <c r="R16" s="237"/>
      <c r="S16" s="247"/>
    </row>
    <row r="17" spans="1:95" s="240" customFormat="1" ht="13.5" customHeight="1" thickBot="1">
      <c r="A17" s="169" t="s">
        <v>253</v>
      </c>
      <c r="B17" s="169"/>
      <c r="C17" s="239"/>
      <c r="D17" s="272"/>
      <c r="F17" s="237"/>
      <c r="G17" s="237"/>
      <c r="H17" s="237"/>
      <c r="I17" s="237"/>
      <c r="J17" s="237"/>
      <c r="K17" s="237"/>
      <c r="L17" s="237"/>
      <c r="M17" s="237"/>
      <c r="N17" s="237"/>
      <c r="O17" s="237"/>
      <c r="P17" s="237"/>
      <c r="Q17" s="237"/>
      <c r="R17" s="237"/>
      <c r="S17" s="247"/>
    </row>
    <row r="18" spans="1:95" s="240" customFormat="1" ht="13.5" customHeight="1" thickBot="1">
      <c r="A18" s="528">
        <v>2010</v>
      </c>
      <c r="B18" s="528">
        <v>2015</v>
      </c>
      <c r="C18" s="239"/>
      <c r="D18" s="272"/>
      <c r="F18" s="237"/>
      <c r="G18" s="237"/>
      <c r="H18" s="237"/>
      <c r="I18" s="237"/>
      <c r="J18" s="237"/>
      <c r="K18" s="237"/>
      <c r="L18" s="237"/>
      <c r="M18" s="237"/>
      <c r="N18" s="237"/>
      <c r="O18" s="237"/>
      <c r="P18" s="237"/>
      <c r="Q18" s="237"/>
      <c r="R18" s="237"/>
      <c r="S18" s="247"/>
    </row>
    <row r="19" spans="1:95" s="240" customFormat="1" ht="13.5" customHeight="1" thickBot="1">
      <c r="A19" s="528">
        <v>2020</v>
      </c>
      <c r="B19" s="528">
        <v>2025</v>
      </c>
      <c r="D19" s="272"/>
      <c r="E19" s="240" t="s">
        <v>639</v>
      </c>
      <c r="F19" s="237"/>
      <c r="G19" s="237"/>
      <c r="H19" s="237"/>
      <c r="I19" s="237"/>
      <c r="J19" s="237"/>
      <c r="K19" s="237"/>
      <c r="L19" s="237"/>
      <c r="M19" s="237"/>
      <c r="N19" s="237"/>
      <c r="O19" s="237"/>
      <c r="P19" s="237"/>
      <c r="Q19" s="237"/>
      <c r="R19" s="237"/>
      <c r="S19" s="247"/>
    </row>
    <row r="20" spans="1:95" s="240" customFormat="1" ht="13.5" customHeight="1" thickBot="1">
      <c r="A20" s="528">
        <v>2030</v>
      </c>
      <c r="B20" s="528">
        <v>2035</v>
      </c>
      <c r="D20" s="272"/>
      <c r="E20" s="259" t="s">
        <v>2318</v>
      </c>
      <c r="F20" s="270"/>
      <c r="G20" s="270"/>
      <c r="H20" s="270"/>
      <c r="I20" s="270"/>
      <c r="J20" s="270"/>
      <c r="K20" s="270"/>
      <c r="L20" s="270"/>
      <c r="M20" s="270"/>
      <c r="N20" s="270"/>
      <c r="O20" s="270"/>
      <c r="P20" s="270"/>
      <c r="Q20" s="270"/>
      <c r="R20" s="270"/>
      <c r="S20" s="1322"/>
    </row>
    <row r="21" spans="1:95" s="240" customFormat="1" ht="13.5" customHeight="1">
      <c r="B21" s="1393"/>
      <c r="C21" s="1393"/>
      <c r="D21" s="242"/>
      <c r="E21" s="1721"/>
      <c r="G21" s="245"/>
      <c r="H21" s="245"/>
      <c r="I21" s="1724"/>
      <c r="J21" s="237"/>
    </row>
    <row r="22" spans="1:95" s="240" customFormat="1" ht="13.5" customHeight="1" thickBot="1">
      <c r="A22" s="2037"/>
      <c r="C22" s="1393"/>
      <c r="D22" s="242"/>
      <c r="E22" s="1721"/>
      <c r="G22" s="245"/>
      <c r="H22" s="245"/>
      <c r="I22" s="1724"/>
      <c r="J22" s="237"/>
    </row>
    <row r="23" spans="1:95" ht="14.4" thickTop="1" thickBot="1">
      <c r="A23" s="3478" t="s">
        <v>2496</v>
      </c>
      <c r="B23" s="3479"/>
      <c r="C23" s="3479"/>
      <c r="D23" s="3480">
        <v>2010</v>
      </c>
      <c r="E23" s="3479" t="s">
        <v>2497</v>
      </c>
      <c r="F23" s="3479"/>
      <c r="G23" s="3479"/>
      <c r="H23" s="3479"/>
      <c r="I23" s="3479"/>
      <c r="J23" s="3479"/>
      <c r="K23" s="3479"/>
      <c r="L23" s="3479"/>
      <c r="M23" s="3479"/>
      <c r="N23" s="3481"/>
      <c r="O23" s="3482"/>
      <c r="P23" s="3562"/>
      <c r="Q23" s="3478" t="s">
        <v>2496</v>
      </c>
      <c r="R23" s="3479"/>
      <c r="S23" s="3479"/>
      <c r="T23" s="3480">
        <v>2010</v>
      </c>
      <c r="U23" s="3479" t="s">
        <v>2498</v>
      </c>
      <c r="V23" s="3479"/>
      <c r="W23" s="3479"/>
      <c r="X23" s="3479"/>
      <c r="Y23" s="3479"/>
      <c r="Z23" s="3479"/>
      <c r="AA23" s="3479"/>
      <c r="AB23" s="3479"/>
      <c r="AC23" s="3479"/>
      <c r="AD23" s="3481"/>
      <c r="AE23" s="3482"/>
      <c r="AF23" s="3562"/>
      <c r="AG23" s="3478" t="s">
        <v>1967</v>
      </c>
      <c r="AH23" s="3479"/>
      <c r="AI23" s="3479"/>
      <c r="AJ23" s="3480">
        <v>2010</v>
      </c>
      <c r="AK23" s="3479" t="s">
        <v>2499</v>
      </c>
      <c r="AL23" s="3479"/>
      <c r="AM23" s="3479"/>
      <c r="AN23" s="3479"/>
      <c r="AO23" s="3479"/>
      <c r="AP23" s="3479"/>
      <c r="AQ23" s="3479"/>
      <c r="AR23" s="3479"/>
      <c r="AS23" s="3479"/>
      <c r="AT23" s="3481"/>
      <c r="AU23" s="3482"/>
      <c r="AV23" s="3562"/>
      <c r="AW23" s="3478" t="s">
        <v>1963</v>
      </c>
      <c r="AX23" s="3479"/>
      <c r="AY23" s="3479"/>
      <c r="AZ23" s="3480">
        <v>2010</v>
      </c>
      <c r="BA23" s="3479" t="s">
        <v>2500</v>
      </c>
      <c r="BB23" s="3479"/>
      <c r="BC23" s="3479"/>
      <c r="BD23" s="3479"/>
      <c r="BE23" s="3479"/>
      <c r="BF23" s="3479"/>
      <c r="BG23" s="3479"/>
      <c r="BH23" s="3479"/>
      <c r="BI23" s="3479"/>
      <c r="BJ23" s="3481"/>
      <c r="BK23" s="3482"/>
      <c r="BL23" s="3562"/>
      <c r="BM23" s="3478" t="s">
        <v>1968</v>
      </c>
      <c r="BN23" s="3479"/>
      <c r="BO23" s="3479"/>
      <c r="BP23" s="3480">
        <v>2010</v>
      </c>
      <c r="BQ23" s="3479" t="s">
        <v>2501</v>
      </c>
      <c r="BR23" s="3479"/>
      <c r="BS23" s="3479"/>
      <c r="BT23" s="3479"/>
      <c r="BU23" s="3479"/>
      <c r="BV23" s="3479"/>
      <c r="BW23" s="3479"/>
      <c r="BX23" s="3479"/>
      <c r="BY23" s="3479"/>
      <c r="BZ23" s="3481"/>
      <c r="CA23" s="3482"/>
    </row>
    <row r="24" spans="1:95" ht="13.95" customHeight="1" thickTop="1">
      <c r="A24" s="3483"/>
      <c r="B24" s="3484"/>
      <c r="C24" s="3851" t="s">
        <v>1130</v>
      </c>
      <c r="D24" s="3855" t="s">
        <v>1487</v>
      </c>
      <c r="E24" s="3856"/>
      <c r="F24" s="3857"/>
      <c r="G24" s="3855" t="s">
        <v>1089</v>
      </c>
      <c r="H24" s="3856"/>
      <c r="I24" s="3857"/>
      <c r="J24" s="3858" t="s">
        <v>1132</v>
      </c>
      <c r="K24" s="3859"/>
      <c r="L24" s="3855" t="s">
        <v>789</v>
      </c>
      <c r="M24" s="3856"/>
      <c r="N24" s="3857"/>
      <c r="O24" s="3853" t="s">
        <v>1090</v>
      </c>
      <c r="P24" s="3562"/>
      <c r="Q24" s="3483"/>
      <c r="R24" s="3484"/>
      <c r="S24" s="3851" t="s">
        <v>1130</v>
      </c>
      <c r="T24" s="3855" t="s">
        <v>1487</v>
      </c>
      <c r="U24" s="3856"/>
      <c r="V24" s="3857"/>
      <c r="W24" s="3855" t="s">
        <v>1089</v>
      </c>
      <c r="X24" s="3856"/>
      <c r="Y24" s="3857"/>
      <c r="Z24" s="3858" t="s">
        <v>1132</v>
      </c>
      <c r="AA24" s="3859"/>
      <c r="AB24" s="3855" t="s">
        <v>789</v>
      </c>
      <c r="AC24" s="3856"/>
      <c r="AD24" s="3857"/>
      <c r="AE24" s="3853" t="s">
        <v>1090</v>
      </c>
      <c r="AF24" s="3562"/>
      <c r="AG24" s="3483"/>
      <c r="AH24" s="3484"/>
      <c r="AI24" s="3851" t="s">
        <v>1130</v>
      </c>
      <c r="AJ24" s="3855" t="s">
        <v>1487</v>
      </c>
      <c r="AK24" s="3856"/>
      <c r="AL24" s="3857"/>
      <c r="AM24" s="3855" t="s">
        <v>1089</v>
      </c>
      <c r="AN24" s="3856"/>
      <c r="AO24" s="3857"/>
      <c r="AP24" s="3858" t="s">
        <v>1132</v>
      </c>
      <c r="AQ24" s="3859"/>
      <c r="AR24" s="3855" t="s">
        <v>789</v>
      </c>
      <c r="AS24" s="3856"/>
      <c r="AT24" s="3857"/>
      <c r="AU24" s="3853" t="s">
        <v>1090</v>
      </c>
      <c r="AV24" s="3562"/>
      <c r="AW24" s="3483"/>
      <c r="AX24" s="3484"/>
      <c r="AY24" s="3851" t="s">
        <v>1130</v>
      </c>
      <c r="AZ24" s="3855" t="s">
        <v>1487</v>
      </c>
      <c r="BA24" s="3856"/>
      <c r="BB24" s="3857"/>
      <c r="BC24" s="3855" t="s">
        <v>1089</v>
      </c>
      <c r="BD24" s="3856"/>
      <c r="BE24" s="3857"/>
      <c r="BF24" s="3858" t="s">
        <v>1132</v>
      </c>
      <c r="BG24" s="3859"/>
      <c r="BH24" s="3855" t="s">
        <v>789</v>
      </c>
      <c r="BI24" s="3856"/>
      <c r="BJ24" s="3857"/>
      <c r="BK24" s="3853" t="s">
        <v>1090</v>
      </c>
      <c r="BL24" s="3562"/>
      <c r="BM24" s="3483"/>
      <c r="BN24" s="3484"/>
      <c r="BO24" s="3851" t="s">
        <v>1130</v>
      </c>
      <c r="BP24" s="3855" t="s">
        <v>1487</v>
      </c>
      <c r="BQ24" s="3856"/>
      <c r="BR24" s="3857"/>
      <c r="BS24" s="3855" t="s">
        <v>1089</v>
      </c>
      <c r="BT24" s="3856"/>
      <c r="BU24" s="3857"/>
      <c r="BV24" s="3858" t="s">
        <v>1132</v>
      </c>
      <c r="BW24" s="3859"/>
      <c r="BX24" s="3855" t="s">
        <v>789</v>
      </c>
      <c r="BY24" s="3856"/>
      <c r="BZ24" s="3857"/>
      <c r="CA24" s="3853" t="s">
        <v>1090</v>
      </c>
      <c r="CB24" s="2898"/>
      <c r="CC24" s="2898"/>
      <c r="CD24" s="2898"/>
      <c r="CE24" s="2898"/>
      <c r="CF24" s="2898"/>
      <c r="CG24" s="2898"/>
      <c r="CH24" s="2898"/>
      <c r="CI24" s="2898"/>
      <c r="CJ24" s="2898"/>
      <c r="CK24" s="2898"/>
      <c r="CL24" s="2898"/>
      <c r="CM24" s="2898"/>
      <c r="CN24" s="2898"/>
      <c r="CO24" s="2898"/>
      <c r="CP24" s="2898"/>
      <c r="CQ24" s="2898"/>
    </row>
    <row r="25" spans="1:95" ht="13.8" thickBot="1">
      <c r="A25" s="3485" t="s">
        <v>1093</v>
      </c>
      <c r="B25" s="3486"/>
      <c r="C25" s="3852"/>
      <c r="D25" s="3487" t="s">
        <v>1058</v>
      </c>
      <c r="E25" s="3488" t="s">
        <v>1091</v>
      </c>
      <c r="F25" s="3560" t="s">
        <v>1092</v>
      </c>
      <c r="G25" s="3490" t="s">
        <v>1058</v>
      </c>
      <c r="H25" s="3491" t="s">
        <v>1091</v>
      </c>
      <c r="I25" s="3492" t="s">
        <v>1092</v>
      </c>
      <c r="J25" s="3487" t="s">
        <v>1091</v>
      </c>
      <c r="K25" s="3560" t="s">
        <v>1092</v>
      </c>
      <c r="L25" s="3487" t="s">
        <v>1058</v>
      </c>
      <c r="M25" s="3488" t="s">
        <v>1091</v>
      </c>
      <c r="N25" s="3560" t="s">
        <v>1092</v>
      </c>
      <c r="O25" s="3854"/>
      <c r="P25" s="3562"/>
      <c r="Q25" s="3485" t="s">
        <v>1093</v>
      </c>
      <c r="R25" s="3486"/>
      <c r="S25" s="3852"/>
      <c r="T25" s="3487" t="s">
        <v>1058</v>
      </c>
      <c r="U25" s="3488" t="s">
        <v>1091</v>
      </c>
      <c r="V25" s="3560" t="s">
        <v>1092</v>
      </c>
      <c r="W25" s="3490" t="s">
        <v>1058</v>
      </c>
      <c r="X25" s="3491" t="s">
        <v>1091</v>
      </c>
      <c r="Y25" s="3492" t="s">
        <v>1092</v>
      </c>
      <c r="Z25" s="3487" t="s">
        <v>1091</v>
      </c>
      <c r="AA25" s="3560" t="s">
        <v>1092</v>
      </c>
      <c r="AB25" s="3487" t="s">
        <v>1058</v>
      </c>
      <c r="AC25" s="3488" t="s">
        <v>1091</v>
      </c>
      <c r="AD25" s="3560" t="s">
        <v>1092</v>
      </c>
      <c r="AE25" s="3854"/>
      <c r="AF25" s="3562"/>
      <c r="AG25" s="3485" t="s">
        <v>1093</v>
      </c>
      <c r="AH25" s="3486"/>
      <c r="AI25" s="3852"/>
      <c r="AJ25" s="3487" t="s">
        <v>1058</v>
      </c>
      <c r="AK25" s="3488" t="s">
        <v>1091</v>
      </c>
      <c r="AL25" s="3560" t="s">
        <v>1092</v>
      </c>
      <c r="AM25" s="3490" t="s">
        <v>1058</v>
      </c>
      <c r="AN25" s="3491" t="s">
        <v>1091</v>
      </c>
      <c r="AO25" s="3492" t="s">
        <v>1092</v>
      </c>
      <c r="AP25" s="3487" t="s">
        <v>1091</v>
      </c>
      <c r="AQ25" s="3560" t="s">
        <v>1092</v>
      </c>
      <c r="AR25" s="3487" t="s">
        <v>1058</v>
      </c>
      <c r="AS25" s="3488" t="s">
        <v>1091</v>
      </c>
      <c r="AT25" s="3560" t="s">
        <v>1092</v>
      </c>
      <c r="AU25" s="3854"/>
      <c r="AV25" s="3562"/>
      <c r="AW25" s="3485" t="s">
        <v>1093</v>
      </c>
      <c r="AX25" s="3486"/>
      <c r="AY25" s="3852"/>
      <c r="AZ25" s="3487" t="s">
        <v>1058</v>
      </c>
      <c r="BA25" s="3488" t="s">
        <v>1091</v>
      </c>
      <c r="BB25" s="3560" t="s">
        <v>1092</v>
      </c>
      <c r="BC25" s="3490" t="s">
        <v>1058</v>
      </c>
      <c r="BD25" s="3491" t="s">
        <v>1091</v>
      </c>
      <c r="BE25" s="3492" t="s">
        <v>1092</v>
      </c>
      <c r="BF25" s="3487" t="s">
        <v>1091</v>
      </c>
      <c r="BG25" s="3560" t="s">
        <v>1092</v>
      </c>
      <c r="BH25" s="3487" t="s">
        <v>1058</v>
      </c>
      <c r="BI25" s="3488" t="s">
        <v>1091</v>
      </c>
      <c r="BJ25" s="3560" t="s">
        <v>1092</v>
      </c>
      <c r="BK25" s="3854"/>
      <c r="BL25" s="3562"/>
      <c r="BM25" s="3485" t="s">
        <v>1093</v>
      </c>
      <c r="BN25" s="3486"/>
      <c r="BO25" s="3852"/>
      <c r="BP25" s="3487" t="s">
        <v>1058</v>
      </c>
      <c r="BQ25" s="3488" t="s">
        <v>1091</v>
      </c>
      <c r="BR25" s="3560" t="s">
        <v>1092</v>
      </c>
      <c r="BS25" s="3490" t="s">
        <v>1058</v>
      </c>
      <c r="BT25" s="3491" t="s">
        <v>1091</v>
      </c>
      <c r="BU25" s="3492" t="s">
        <v>1092</v>
      </c>
      <c r="BV25" s="3487" t="s">
        <v>1091</v>
      </c>
      <c r="BW25" s="3560" t="s">
        <v>1092</v>
      </c>
      <c r="BX25" s="3487" t="s">
        <v>1058</v>
      </c>
      <c r="BY25" s="3488" t="s">
        <v>1091</v>
      </c>
      <c r="BZ25" s="3560" t="s">
        <v>1092</v>
      </c>
      <c r="CA25" s="3854"/>
    </row>
    <row r="26" spans="1:95" ht="13.8" thickTop="1">
      <c r="A26" s="3860" t="s">
        <v>1094</v>
      </c>
      <c r="B26" s="3493"/>
      <c r="C26" s="3494">
        <v>1</v>
      </c>
      <c r="D26" s="3495">
        <v>-1.6059520314671775E-2</v>
      </c>
      <c r="E26" s="3496">
        <v>1.1911792085313937</v>
      </c>
      <c r="F26" s="3496">
        <v>10.814458284036075</v>
      </c>
      <c r="G26" s="3497">
        <v>-7.6888654847856908E-4</v>
      </c>
      <c r="H26" s="3498">
        <v>0.79121670918158515</v>
      </c>
      <c r="I26" s="3499">
        <v>2.0079080683293173</v>
      </c>
      <c r="J26" s="3500">
        <v>0.5017791187701971</v>
      </c>
      <c r="K26" s="3501">
        <v>1.9945546361857478</v>
      </c>
      <c r="L26" s="3495">
        <v>-1.0126793454121532E-2</v>
      </c>
      <c r="M26" s="3496">
        <v>0.34505104908491258</v>
      </c>
      <c r="N26" s="3501">
        <v>0.17694661266747344</v>
      </c>
      <c r="O26" s="3502">
        <v>1.0270264727871661</v>
      </c>
      <c r="P26" s="3562"/>
      <c r="Q26" s="3860" t="s">
        <v>1094</v>
      </c>
      <c r="R26" s="3493"/>
      <c r="S26" s="3494">
        <v>1</v>
      </c>
      <c r="T26" s="3495">
        <v>-1.6059520314671775E-2</v>
      </c>
      <c r="U26" s="3496">
        <v>1.1911792085313937</v>
      </c>
      <c r="V26" s="3496">
        <v>10.814458284036075</v>
      </c>
      <c r="W26" s="3497">
        <v>-7.6888654847856908E-4</v>
      </c>
      <c r="X26" s="3498">
        <v>0.79121670918158515</v>
      </c>
      <c r="Y26" s="3499">
        <v>2.0079080683293173</v>
      </c>
      <c r="Z26" s="3500">
        <v>0.5017791187701971</v>
      </c>
      <c r="AA26" s="3501">
        <v>1.9945546361857478</v>
      </c>
      <c r="AB26" s="3495">
        <v>-1.0126793454121532E-2</v>
      </c>
      <c r="AC26" s="3496">
        <v>0.34505104908491258</v>
      </c>
      <c r="AD26" s="3501">
        <v>0.17694661266747344</v>
      </c>
      <c r="AE26" s="3502">
        <v>1.0270264727871661</v>
      </c>
      <c r="AF26" s="3562"/>
      <c r="AG26" s="3860" t="s">
        <v>1094</v>
      </c>
      <c r="AH26" s="3493"/>
      <c r="AI26" s="3494">
        <v>1</v>
      </c>
      <c r="AJ26" s="3495">
        <v>-3.0513088597876371E-2</v>
      </c>
      <c r="AK26" s="3496">
        <v>2.2632404962096477</v>
      </c>
      <c r="AL26" s="3496">
        <v>20.54747073966854</v>
      </c>
      <c r="AM26" s="3497">
        <v>-1.4608844421092812E-3</v>
      </c>
      <c r="AN26" s="3498">
        <v>1.5033117474450117</v>
      </c>
      <c r="AO26" s="3499">
        <v>3.8150253298257026</v>
      </c>
      <c r="AP26" s="3500">
        <v>0.95338032566337438</v>
      </c>
      <c r="AQ26" s="3501">
        <v>3.7896538087529206</v>
      </c>
      <c r="AR26" s="3495">
        <v>-1.9240907562830912E-2</v>
      </c>
      <c r="AS26" s="3496">
        <v>0.65559699326133392</v>
      </c>
      <c r="AT26" s="3501">
        <v>0.33619856406819953</v>
      </c>
      <c r="AU26" s="3502">
        <v>1.9513502982956155</v>
      </c>
      <c r="AV26" s="3562"/>
      <c r="AW26" s="3860" t="s">
        <v>1094</v>
      </c>
      <c r="AX26" s="3493"/>
      <c r="AY26" s="3494">
        <v>1</v>
      </c>
      <c r="AZ26" s="3495">
        <v>-4.657260891254815E-2</v>
      </c>
      <c r="BA26" s="3496">
        <v>3.4544197047410417</v>
      </c>
      <c r="BB26" s="3496">
        <v>31.361929023704615</v>
      </c>
      <c r="BC26" s="3497">
        <v>-2.2297709905878503E-3</v>
      </c>
      <c r="BD26" s="3498">
        <v>2.2945284566265967</v>
      </c>
      <c r="BE26" s="3499">
        <v>5.82293339815502</v>
      </c>
      <c r="BF26" s="3500">
        <v>1.4551594444335716</v>
      </c>
      <c r="BG26" s="3501">
        <v>5.7842084449386686</v>
      </c>
      <c r="BH26" s="3495">
        <v>-2.9367701016952442E-2</v>
      </c>
      <c r="BI26" s="3496">
        <v>1.0006480423462465</v>
      </c>
      <c r="BJ26" s="3501">
        <v>0.51314517673567295</v>
      </c>
      <c r="BK26" s="3502">
        <v>2.9783767710827815</v>
      </c>
      <c r="BL26" s="3562"/>
      <c r="BM26" s="3860" t="s">
        <v>1094</v>
      </c>
      <c r="BN26" s="3493"/>
      <c r="BO26" s="3494">
        <v>1</v>
      </c>
      <c r="BP26" s="3495">
        <v>-4.0148800786679442E-2</v>
      </c>
      <c r="BQ26" s="3496">
        <v>2.9779480213284844</v>
      </c>
      <c r="BR26" s="3496">
        <v>27.036145710090189</v>
      </c>
      <c r="BS26" s="3497">
        <v>-1.9222163711964226E-3</v>
      </c>
      <c r="BT26" s="3498">
        <v>1.9780417729539628</v>
      </c>
      <c r="BU26" s="3499">
        <v>5.0197701708232936</v>
      </c>
      <c r="BV26" s="3500">
        <v>1.2544477969254928</v>
      </c>
      <c r="BW26" s="3501">
        <v>4.9863865904643694</v>
      </c>
      <c r="BX26" s="3495">
        <v>-2.5316983635303832E-2</v>
      </c>
      <c r="BY26" s="3496">
        <v>0.86262762271228144</v>
      </c>
      <c r="BZ26" s="3501">
        <v>0.44236653166868362</v>
      </c>
      <c r="CA26" s="3502">
        <v>2.5675661819679152</v>
      </c>
    </row>
    <row r="27" spans="1:95" ht="13.2">
      <c r="A27" s="3860"/>
      <c r="B27" s="3493"/>
      <c r="C27" s="3494">
        <v>2</v>
      </c>
      <c r="D27" s="3495">
        <v>-2.8597506510061082E-2</v>
      </c>
      <c r="E27" s="3496">
        <v>3.8074139244005964</v>
      </c>
      <c r="F27" s="3496">
        <v>22.248864218651946</v>
      </c>
      <c r="G27" s="3503">
        <v>6.5246776211473042E-3</v>
      </c>
      <c r="H27" s="3504">
        <v>2.6403193933286397</v>
      </c>
      <c r="I27" s="3501">
        <v>8.0443174924336258</v>
      </c>
      <c r="J27" s="3500">
        <v>1.6253564210503235</v>
      </c>
      <c r="K27" s="3501">
        <v>7.5426306086645161</v>
      </c>
      <c r="L27" s="3495">
        <v>-2.1789230549573387E-2</v>
      </c>
      <c r="M27" s="3496">
        <v>1.0902406943500951</v>
      </c>
      <c r="N27" s="3501">
        <v>1.2547857871777071</v>
      </c>
      <c r="O27" s="3502">
        <v>2.4522283260218218</v>
      </c>
      <c r="P27" s="3562"/>
      <c r="Q27" s="3860"/>
      <c r="R27" s="3493"/>
      <c r="S27" s="3494">
        <v>2</v>
      </c>
      <c r="T27" s="3495">
        <v>-2.8597506510061082E-2</v>
      </c>
      <c r="U27" s="3496">
        <v>3.8074139244005964</v>
      </c>
      <c r="V27" s="3496">
        <v>22.248864218651946</v>
      </c>
      <c r="W27" s="3503">
        <v>6.5246776211473042E-3</v>
      </c>
      <c r="X27" s="3504">
        <v>2.6403193933286397</v>
      </c>
      <c r="Y27" s="3501">
        <v>8.0443174924336258</v>
      </c>
      <c r="Z27" s="3500">
        <v>1.6253564210503235</v>
      </c>
      <c r="AA27" s="3501">
        <v>7.5426306086645161</v>
      </c>
      <c r="AB27" s="3495">
        <v>-2.1789230549573387E-2</v>
      </c>
      <c r="AC27" s="3496">
        <v>1.0902406943500951</v>
      </c>
      <c r="AD27" s="3501">
        <v>1.2547857871777071</v>
      </c>
      <c r="AE27" s="3502">
        <v>2.4522283260218218</v>
      </c>
      <c r="AF27" s="3562"/>
      <c r="AG27" s="3860"/>
      <c r="AH27" s="3493"/>
      <c r="AI27" s="3494">
        <v>2</v>
      </c>
      <c r="AJ27" s="3495">
        <v>-5.4335262369116052E-2</v>
      </c>
      <c r="AK27" s="3496">
        <v>7.2340864563611333</v>
      </c>
      <c r="AL27" s="3496">
        <v>42.272842015438698</v>
      </c>
      <c r="AM27" s="3503">
        <v>1.2396887480179877E-2</v>
      </c>
      <c r="AN27" s="3504">
        <v>5.0166068473244154</v>
      </c>
      <c r="AO27" s="3501">
        <v>15.284203235623888</v>
      </c>
      <c r="AP27" s="3500">
        <v>3.0881771999956147</v>
      </c>
      <c r="AQ27" s="3501">
        <v>14.330998156462579</v>
      </c>
      <c r="AR27" s="3495">
        <v>-4.139953804418943E-2</v>
      </c>
      <c r="AS27" s="3496">
        <v>2.0714573192651806</v>
      </c>
      <c r="AT27" s="3501">
        <v>2.3840929956376433</v>
      </c>
      <c r="AU27" s="3502">
        <v>4.6592338194414609</v>
      </c>
      <c r="AV27" s="3562"/>
      <c r="AW27" s="3860"/>
      <c r="AX27" s="3493"/>
      <c r="AY27" s="3494">
        <v>2</v>
      </c>
      <c r="AZ27" s="3495">
        <v>-8.2932768879177138E-2</v>
      </c>
      <c r="BA27" s="3496">
        <v>11.041500380761729</v>
      </c>
      <c r="BB27" s="3496">
        <v>64.521706234090644</v>
      </c>
      <c r="BC27" s="3503">
        <v>1.8921565101327181E-2</v>
      </c>
      <c r="BD27" s="3504">
        <v>7.6569262406530552</v>
      </c>
      <c r="BE27" s="3501">
        <v>23.328520728057516</v>
      </c>
      <c r="BF27" s="3500">
        <v>4.7135336210459382</v>
      </c>
      <c r="BG27" s="3501">
        <v>21.873628765127094</v>
      </c>
      <c r="BH27" s="3495">
        <v>-6.3188768593762823E-2</v>
      </c>
      <c r="BI27" s="3496">
        <v>3.1616980136152755</v>
      </c>
      <c r="BJ27" s="3501">
        <v>3.6388787828153504</v>
      </c>
      <c r="BK27" s="3502">
        <v>7.1114621454632827</v>
      </c>
      <c r="BL27" s="3562"/>
      <c r="BM27" s="3860"/>
      <c r="BN27" s="3493"/>
      <c r="BO27" s="3494">
        <v>2</v>
      </c>
      <c r="BP27" s="3495">
        <v>-7.1493766275152706E-2</v>
      </c>
      <c r="BQ27" s="3496">
        <v>9.5185348110014907</v>
      </c>
      <c r="BR27" s="3496">
        <v>55.622160546629864</v>
      </c>
      <c r="BS27" s="3503">
        <v>1.631169405286826E-2</v>
      </c>
      <c r="BT27" s="3504">
        <v>6.6007984833215989</v>
      </c>
      <c r="BU27" s="3501">
        <v>20.110793731084065</v>
      </c>
      <c r="BV27" s="3500">
        <v>4.0633910526258088</v>
      </c>
      <c r="BW27" s="3501">
        <v>18.856576521661289</v>
      </c>
      <c r="BX27" s="3495">
        <v>-5.4473076373933463E-2</v>
      </c>
      <c r="BY27" s="3496">
        <v>2.7256017358752378</v>
      </c>
      <c r="BZ27" s="3501">
        <v>3.1369644679442676</v>
      </c>
      <c r="CA27" s="3502">
        <v>6.1305708150545541</v>
      </c>
    </row>
    <row r="28" spans="1:95" ht="13.2">
      <c r="A28" s="3860"/>
      <c r="B28" s="3493"/>
      <c r="C28" s="3494">
        <v>3</v>
      </c>
      <c r="D28" s="3495">
        <v>-9.429370139614526E-3</v>
      </c>
      <c r="E28" s="3496">
        <v>17.300871886802067</v>
      </c>
      <c r="F28" s="3496">
        <v>46.031972556728114</v>
      </c>
      <c r="G28" s="3503">
        <v>0.48849821583592984</v>
      </c>
      <c r="H28" s="3504">
        <v>21.757425939042196</v>
      </c>
      <c r="I28" s="3501">
        <v>17.868739307735044</v>
      </c>
      <c r="J28" s="3500">
        <v>9.3366961886328017</v>
      </c>
      <c r="K28" s="3501">
        <v>16.323651113998366</v>
      </c>
      <c r="L28" s="3495">
        <v>0.82775193346640352</v>
      </c>
      <c r="M28" s="3496">
        <v>2.9543738001529181</v>
      </c>
      <c r="N28" s="3501">
        <v>6.6344615108266316</v>
      </c>
      <c r="O28" s="3502">
        <v>8.6971229520945457</v>
      </c>
      <c r="P28" s="3562"/>
      <c r="Q28" s="3860"/>
      <c r="R28" s="3493"/>
      <c r="S28" s="3494">
        <v>3</v>
      </c>
      <c r="T28" s="3495">
        <v>-9.429370139614526E-3</v>
      </c>
      <c r="U28" s="3496">
        <v>17.300871886802067</v>
      </c>
      <c r="V28" s="3496">
        <v>46.031972556728114</v>
      </c>
      <c r="W28" s="3503">
        <v>0.48849821583592984</v>
      </c>
      <c r="X28" s="3504">
        <v>21.757425939042196</v>
      </c>
      <c r="Y28" s="3501">
        <v>17.868739307735044</v>
      </c>
      <c r="Z28" s="3500">
        <v>9.3366961886328017</v>
      </c>
      <c r="AA28" s="3501">
        <v>16.323651113998366</v>
      </c>
      <c r="AB28" s="3495">
        <v>0.82775193346640352</v>
      </c>
      <c r="AC28" s="3496">
        <v>2.9543738001529181</v>
      </c>
      <c r="AD28" s="3501">
        <v>6.6344615108266316</v>
      </c>
      <c r="AE28" s="3502">
        <v>8.6971229520945457</v>
      </c>
      <c r="AF28" s="3562"/>
      <c r="AG28" s="3860"/>
      <c r="AH28" s="3493"/>
      <c r="AI28" s="3494">
        <v>3</v>
      </c>
      <c r="AJ28" s="3495">
        <v>-1.7915803265267597E-2</v>
      </c>
      <c r="AK28" s="3496">
        <v>32.871656584923926</v>
      </c>
      <c r="AL28" s="3496">
        <v>87.460747857783417</v>
      </c>
      <c r="AM28" s="3503">
        <v>0.9281466100882666</v>
      </c>
      <c r="AN28" s="3504">
        <v>41.339109284180168</v>
      </c>
      <c r="AO28" s="3501">
        <v>33.950604684696586</v>
      </c>
      <c r="AP28" s="3500">
        <v>17.739722758402323</v>
      </c>
      <c r="AQ28" s="3501">
        <v>31.014937116596894</v>
      </c>
      <c r="AR28" s="3495">
        <v>1.5727286735861665</v>
      </c>
      <c r="AS28" s="3496">
        <v>5.6133102202905443</v>
      </c>
      <c r="AT28" s="3501">
        <v>12.6054768705706</v>
      </c>
      <c r="AU28" s="3502">
        <v>16.524533608979635</v>
      </c>
      <c r="AV28" s="3562"/>
      <c r="AW28" s="3860"/>
      <c r="AX28" s="3493"/>
      <c r="AY28" s="3494">
        <v>3</v>
      </c>
      <c r="AZ28" s="3495">
        <v>-2.7345173404882125E-2</v>
      </c>
      <c r="BA28" s="3496">
        <v>50.172528471725997</v>
      </c>
      <c r="BB28" s="3496">
        <v>133.49272041451152</v>
      </c>
      <c r="BC28" s="3503">
        <v>1.4166448259241964</v>
      </c>
      <c r="BD28" s="3504">
        <v>63.096535223222368</v>
      </c>
      <c r="BE28" s="3501">
        <v>51.819343992431627</v>
      </c>
      <c r="BF28" s="3500">
        <v>27.076418947035123</v>
      </c>
      <c r="BG28" s="3501">
        <v>47.338588230595263</v>
      </c>
      <c r="BH28" s="3495">
        <v>2.4004806070525699</v>
      </c>
      <c r="BI28" s="3496">
        <v>8.5676840204434619</v>
      </c>
      <c r="BJ28" s="3501">
        <v>19.239938381397231</v>
      </c>
      <c r="BK28" s="3502">
        <v>25.22165656107418</v>
      </c>
      <c r="BL28" s="3562"/>
      <c r="BM28" s="3860"/>
      <c r="BN28" s="3493"/>
      <c r="BO28" s="3494">
        <v>3</v>
      </c>
      <c r="BP28" s="3495">
        <v>-2.3573425349036316E-2</v>
      </c>
      <c r="BQ28" s="3496">
        <v>43.25217971700517</v>
      </c>
      <c r="BR28" s="3496">
        <v>115.07993139182028</v>
      </c>
      <c r="BS28" s="3503">
        <v>1.2212455395898245</v>
      </c>
      <c r="BT28" s="3504">
        <v>54.393564847605489</v>
      </c>
      <c r="BU28" s="3501">
        <v>44.671848269337609</v>
      </c>
      <c r="BV28" s="3500">
        <v>23.341740471582003</v>
      </c>
      <c r="BW28" s="3501">
        <v>40.809127784995916</v>
      </c>
      <c r="BX28" s="3495">
        <v>2.0693798336660088</v>
      </c>
      <c r="BY28" s="3496">
        <v>7.3859345003822954</v>
      </c>
      <c r="BZ28" s="3501">
        <v>16.586153777066578</v>
      </c>
      <c r="CA28" s="3502">
        <v>21.742807380236364</v>
      </c>
    </row>
    <row r="29" spans="1:95" ht="13.2">
      <c r="A29" s="3860"/>
      <c r="B29" s="3493"/>
      <c r="C29" s="3494">
        <v>4</v>
      </c>
      <c r="D29" s="3495">
        <v>12.269511992165226</v>
      </c>
      <c r="E29" s="3496">
        <v>115.95073157406486</v>
      </c>
      <c r="F29" s="3496">
        <v>127.0467039866621</v>
      </c>
      <c r="G29" s="3503">
        <v>22.438709086636518</v>
      </c>
      <c r="H29" s="3504">
        <v>115.63224444149867</v>
      </c>
      <c r="I29" s="3501">
        <v>129.67397931772885</v>
      </c>
      <c r="J29" s="3500">
        <v>39.768043257034122</v>
      </c>
      <c r="K29" s="3501">
        <v>113.25706734317008</v>
      </c>
      <c r="L29" s="3495">
        <v>16.238788202964734</v>
      </c>
      <c r="M29" s="3496">
        <v>43.380539528585004</v>
      </c>
      <c r="N29" s="3501">
        <v>34.284986896750503</v>
      </c>
      <c r="O29" s="3502">
        <v>77.119130314471946</v>
      </c>
      <c r="P29" s="3562"/>
      <c r="Q29" s="3860"/>
      <c r="R29" s="3493"/>
      <c r="S29" s="3494">
        <v>4</v>
      </c>
      <c r="T29" s="3495">
        <v>12.269511992165226</v>
      </c>
      <c r="U29" s="3496">
        <v>115.95073157406486</v>
      </c>
      <c r="V29" s="3496">
        <v>127.0467039866621</v>
      </c>
      <c r="W29" s="3503">
        <v>22.438709086636518</v>
      </c>
      <c r="X29" s="3504">
        <v>115.63224444149867</v>
      </c>
      <c r="Y29" s="3501">
        <v>129.67397931772885</v>
      </c>
      <c r="Z29" s="3500">
        <v>39.768043257034122</v>
      </c>
      <c r="AA29" s="3501">
        <v>113.25706734317008</v>
      </c>
      <c r="AB29" s="3495">
        <v>16.238788202964734</v>
      </c>
      <c r="AC29" s="3496">
        <v>43.380539528585004</v>
      </c>
      <c r="AD29" s="3501">
        <v>34.284986896750503</v>
      </c>
      <c r="AE29" s="3502">
        <v>77.119130314471946</v>
      </c>
      <c r="AF29" s="3562"/>
      <c r="AG29" s="3860"/>
      <c r="AH29" s="3493"/>
      <c r="AI29" s="3494">
        <v>4</v>
      </c>
      <c r="AJ29" s="3495">
        <v>23.31207278511393</v>
      </c>
      <c r="AK29" s="3496">
        <v>220.30638999072323</v>
      </c>
      <c r="AL29" s="3496">
        <v>241.38873757465797</v>
      </c>
      <c r="AM29" s="3503">
        <v>42.633547264609383</v>
      </c>
      <c r="AN29" s="3504">
        <v>219.70126443884746</v>
      </c>
      <c r="AO29" s="3501">
        <v>246.38056070368481</v>
      </c>
      <c r="AP29" s="3500">
        <v>75.559282188364833</v>
      </c>
      <c r="AQ29" s="3501">
        <v>215.18842795202315</v>
      </c>
      <c r="AR29" s="3495">
        <v>30.853697585632993</v>
      </c>
      <c r="AS29" s="3496">
        <v>82.423025104311506</v>
      </c>
      <c r="AT29" s="3501">
        <v>65.141475103825954</v>
      </c>
      <c r="AU29" s="3502">
        <v>146.52634759749668</v>
      </c>
      <c r="AV29" s="3562"/>
      <c r="AW29" s="3860"/>
      <c r="AX29" s="3493"/>
      <c r="AY29" s="3494">
        <v>4</v>
      </c>
      <c r="AZ29" s="3495">
        <v>35.581584777279154</v>
      </c>
      <c r="BA29" s="3496">
        <v>336.25712156478806</v>
      </c>
      <c r="BB29" s="3496">
        <v>368.43544156132009</v>
      </c>
      <c r="BC29" s="3503">
        <v>65.072256351245898</v>
      </c>
      <c r="BD29" s="3504">
        <v>335.33350888034613</v>
      </c>
      <c r="BE29" s="3501">
        <v>376.05454002141363</v>
      </c>
      <c r="BF29" s="3500">
        <v>115.32732544539896</v>
      </c>
      <c r="BG29" s="3501">
        <v>328.44549529519321</v>
      </c>
      <c r="BH29" s="3495">
        <v>47.092485788597727</v>
      </c>
      <c r="BI29" s="3496">
        <v>125.80356463289651</v>
      </c>
      <c r="BJ29" s="3501">
        <v>99.42646200057645</v>
      </c>
      <c r="BK29" s="3502">
        <v>223.64547791196864</v>
      </c>
      <c r="BL29" s="3562"/>
      <c r="BM29" s="3860"/>
      <c r="BN29" s="3493"/>
      <c r="BO29" s="3494">
        <v>4</v>
      </c>
      <c r="BP29" s="3495">
        <v>30.673779980413066</v>
      </c>
      <c r="BQ29" s="3496">
        <v>289.87682893516217</v>
      </c>
      <c r="BR29" s="3496">
        <v>317.61675996665525</v>
      </c>
      <c r="BS29" s="3503">
        <v>56.096772716591296</v>
      </c>
      <c r="BT29" s="3504">
        <v>289.08061110374666</v>
      </c>
      <c r="BU29" s="3501">
        <v>324.18494829432211</v>
      </c>
      <c r="BV29" s="3500">
        <v>99.420108142585306</v>
      </c>
      <c r="BW29" s="3501">
        <v>283.14266835792517</v>
      </c>
      <c r="BX29" s="3495">
        <v>40.596970507411839</v>
      </c>
      <c r="BY29" s="3496">
        <v>108.45134882146252</v>
      </c>
      <c r="BZ29" s="3501">
        <v>85.712467241876254</v>
      </c>
      <c r="CA29" s="3502">
        <v>192.79782578617986</v>
      </c>
    </row>
    <row r="30" spans="1:95" ht="13.2">
      <c r="A30" s="3860"/>
      <c r="B30" s="3493"/>
      <c r="C30" s="3505">
        <v>5</v>
      </c>
      <c r="D30" s="3495" t="e">
        <v>#N/A</v>
      </c>
      <c r="E30" s="3496">
        <v>226.89486677571611</v>
      </c>
      <c r="F30" s="3496">
        <v>173.52241108613623</v>
      </c>
      <c r="G30" s="3506">
        <v>51.541365964086715</v>
      </c>
      <c r="H30" s="3507">
        <v>148.27419047384936</v>
      </c>
      <c r="I30" s="3508">
        <v>197.32253921703048</v>
      </c>
      <c r="J30" s="3509">
        <v>62.041565421782281</v>
      </c>
      <c r="K30" s="3508">
        <v>187.18896083734566</v>
      </c>
      <c r="L30" s="3510">
        <v>69.029790885341598</v>
      </c>
      <c r="M30" s="3511">
        <v>103.14901012098619</v>
      </c>
      <c r="N30" s="3508">
        <v>113.609215917753</v>
      </c>
      <c r="O30" s="3502">
        <v>136.494886275357</v>
      </c>
      <c r="P30" s="3562"/>
      <c r="Q30" s="3860"/>
      <c r="R30" s="3493"/>
      <c r="S30" s="3505">
        <v>5</v>
      </c>
      <c r="T30" s="3495" t="e">
        <v>#N/A</v>
      </c>
      <c r="U30" s="3496">
        <v>226.89486677571611</v>
      </c>
      <c r="V30" s="3496">
        <v>173.52241108613623</v>
      </c>
      <c r="W30" s="3506">
        <v>51.541365964086715</v>
      </c>
      <c r="X30" s="3507">
        <v>148.27419047384936</v>
      </c>
      <c r="Y30" s="3508">
        <v>197.32253921703048</v>
      </c>
      <c r="Z30" s="3509">
        <v>62.041565421782281</v>
      </c>
      <c r="AA30" s="3508">
        <v>187.18896083734566</v>
      </c>
      <c r="AB30" s="3510">
        <v>69.029790885341598</v>
      </c>
      <c r="AC30" s="3511">
        <v>103.14901012098619</v>
      </c>
      <c r="AD30" s="3508">
        <v>113.609215917753</v>
      </c>
      <c r="AE30" s="3502">
        <v>136.494886275357</v>
      </c>
      <c r="AF30" s="3562"/>
      <c r="AG30" s="3860"/>
      <c r="AH30" s="3493"/>
      <c r="AI30" s="3505">
        <v>5</v>
      </c>
      <c r="AJ30" s="3495" t="e">
        <v>#N/A</v>
      </c>
      <c r="AK30" s="3496">
        <v>431.10024687386061</v>
      </c>
      <c r="AL30" s="3496">
        <v>329.69258106365885</v>
      </c>
      <c r="AM30" s="3506">
        <v>97.928595331764754</v>
      </c>
      <c r="AN30" s="3507">
        <v>281.7209619003138</v>
      </c>
      <c r="AO30" s="3508">
        <v>374.91282451235787</v>
      </c>
      <c r="AP30" s="3509">
        <v>117.87897430138632</v>
      </c>
      <c r="AQ30" s="3508">
        <v>355.65902559095673</v>
      </c>
      <c r="AR30" s="3510">
        <v>131.15660268214904</v>
      </c>
      <c r="AS30" s="3511">
        <v>195.98311922987375</v>
      </c>
      <c r="AT30" s="3508">
        <v>215.8575102437307</v>
      </c>
      <c r="AU30" s="3502">
        <v>259.34028392317828</v>
      </c>
      <c r="AV30" s="3562"/>
      <c r="AW30" s="3860"/>
      <c r="AX30" s="3493"/>
      <c r="AY30" s="3505">
        <v>5</v>
      </c>
      <c r="AZ30" s="3495" t="e">
        <v>#N/A</v>
      </c>
      <c r="BA30" s="3496">
        <v>657.99511364957675</v>
      </c>
      <c r="BB30" s="3496">
        <v>503.21499214979508</v>
      </c>
      <c r="BC30" s="3506">
        <v>149.46996129585148</v>
      </c>
      <c r="BD30" s="3507">
        <v>429.99515237416313</v>
      </c>
      <c r="BE30" s="3508">
        <v>572.23536372938838</v>
      </c>
      <c r="BF30" s="3509">
        <v>179.92053972316862</v>
      </c>
      <c r="BG30" s="3508">
        <v>542.84798642830242</v>
      </c>
      <c r="BH30" s="3510">
        <v>200.18639356749063</v>
      </c>
      <c r="BI30" s="3511">
        <v>299.13212935085994</v>
      </c>
      <c r="BJ30" s="3508">
        <v>329.46672616148368</v>
      </c>
      <c r="BK30" s="3502">
        <v>395.83517019853531</v>
      </c>
      <c r="BL30" s="3562"/>
      <c r="BM30" s="3860"/>
      <c r="BN30" s="3493"/>
      <c r="BO30" s="3505">
        <v>5</v>
      </c>
      <c r="BP30" s="3495" t="e">
        <v>#N/A</v>
      </c>
      <c r="BQ30" s="3496">
        <v>567.23716693929032</v>
      </c>
      <c r="BR30" s="3496">
        <v>433.80602771534058</v>
      </c>
      <c r="BS30" s="3506">
        <v>128.8534149102168</v>
      </c>
      <c r="BT30" s="3507">
        <v>370.68547618462338</v>
      </c>
      <c r="BU30" s="3508">
        <v>493.30634804257619</v>
      </c>
      <c r="BV30" s="3509">
        <v>155.10391355445569</v>
      </c>
      <c r="BW30" s="3508">
        <v>467.97240209336417</v>
      </c>
      <c r="BX30" s="3510">
        <v>172.57447721335399</v>
      </c>
      <c r="BY30" s="3511">
        <v>257.87252530246548</v>
      </c>
      <c r="BZ30" s="3508">
        <v>284.0230397943825</v>
      </c>
      <c r="CA30" s="3502">
        <v>341.2372156883925</v>
      </c>
    </row>
    <row r="31" spans="1:95" ht="13.2">
      <c r="A31" s="3860"/>
      <c r="B31" s="3493"/>
      <c r="C31" s="3512" t="s">
        <v>1422</v>
      </c>
      <c r="D31" s="3513">
        <v>8.1776144150674995E-2</v>
      </c>
      <c r="E31" s="3514">
        <v>59.030289275928354</v>
      </c>
      <c r="F31" s="3515">
        <v>40.809452982735522</v>
      </c>
      <c r="G31" s="3513">
        <v>2.5309716780467073</v>
      </c>
      <c r="H31" s="3514">
        <v>29.88423608650438</v>
      </c>
      <c r="I31" s="3515">
        <v>20.706892727122405</v>
      </c>
      <c r="J31" s="3516">
        <v>11.565232067363453</v>
      </c>
      <c r="K31" s="3517">
        <v>9.4111372287903734</v>
      </c>
      <c r="L31" s="3518">
        <v>0.95949872539574588</v>
      </c>
      <c r="M31" s="3519">
        <v>1.9551852736327517</v>
      </c>
      <c r="N31" s="3517">
        <v>2.4106946779887295</v>
      </c>
      <c r="O31" s="3520">
        <v>10.090371184130699</v>
      </c>
      <c r="P31" s="3562"/>
      <c r="Q31" s="3860"/>
      <c r="R31" s="3493"/>
      <c r="S31" s="3512" t="s">
        <v>1422</v>
      </c>
      <c r="T31" s="3513">
        <v>8.1776144150674995E-2</v>
      </c>
      <c r="U31" s="3514">
        <v>59.030289275928354</v>
      </c>
      <c r="V31" s="3515">
        <v>40.809452982735522</v>
      </c>
      <c r="W31" s="3513">
        <v>2.5309716780467073</v>
      </c>
      <c r="X31" s="3514">
        <v>29.88423608650438</v>
      </c>
      <c r="Y31" s="3515">
        <v>20.706892727122405</v>
      </c>
      <c r="Z31" s="3516">
        <v>11.565232067363453</v>
      </c>
      <c r="AA31" s="3517">
        <v>9.4111372287903734</v>
      </c>
      <c r="AB31" s="3518">
        <v>0.95949872539574588</v>
      </c>
      <c r="AC31" s="3519">
        <v>1.9551852736327517</v>
      </c>
      <c r="AD31" s="3517">
        <v>2.4106946779887295</v>
      </c>
      <c r="AE31" s="3520">
        <v>10.090371184130699</v>
      </c>
      <c r="AF31" s="3562"/>
      <c r="AG31" s="3860"/>
      <c r="AH31" s="3493"/>
      <c r="AI31" s="3512" t="s">
        <v>1422</v>
      </c>
      <c r="AJ31" s="3513">
        <v>0.15537467388628248</v>
      </c>
      <c r="AK31" s="3514">
        <v>112.15754962426386</v>
      </c>
      <c r="AL31" s="3515">
        <v>77.537960667197481</v>
      </c>
      <c r="AM31" s="3513">
        <v>4.8088461882887437</v>
      </c>
      <c r="AN31" s="3514">
        <v>56.780048564358317</v>
      </c>
      <c r="AO31" s="3515">
        <v>39.343096181532566</v>
      </c>
      <c r="AP31" s="3516">
        <v>21.973940927990562</v>
      </c>
      <c r="AQ31" s="3517">
        <v>17.881160734701709</v>
      </c>
      <c r="AR31" s="3518">
        <v>1.8230475782519171</v>
      </c>
      <c r="AS31" s="3519">
        <v>3.7148520199022284</v>
      </c>
      <c r="AT31" s="3517">
        <v>4.580319888178586</v>
      </c>
      <c r="AU31" s="3520">
        <v>19.171705249848326</v>
      </c>
      <c r="AV31" s="3562"/>
      <c r="AW31" s="3860"/>
      <c r="AX31" s="3493"/>
      <c r="AY31" s="3512" t="s">
        <v>1422</v>
      </c>
      <c r="AZ31" s="3513">
        <v>0.23715081803695748</v>
      </c>
      <c r="BA31" s="3514">
        <v>171.18783890019222</v>
      </c>
      <c r="BB31" s="3515">
        <v>118.347413649933</v>
      </c>
      <c r="BC31" s="3513">
        <v>7.3398178663354505</v>
      </c>
      <c r="BD31" s="3514">
        <v>86.664284650862697</v>
      </c>
      <c r="BE31" s="3515">
        <v>60.049988908654974</v>
      </c>
      <c r="BF31" s="3516">
        <v>33.539172995354015</v>
      </c>
      <c r="BG31" s="3517">
        <v>27.292297963492082</v>
      </c>
      <c r="BH31" s="3518">
        <v>2.782546303647663</v>
      </c>
      <c r="BI31" s="3519">
        <v>5.6700372935349801</v>
      </c>
      <c r="BJ31" s="3517">
        <v>6.9910145661673155</v>
      </c>
      <c r="BK31" s="3520">
        <v>29.262076433979026</v>
      </c>
      <c r="BL31" s="3562"/>
      <c r="BM31" s="3860"/>
      <c r="BN31" s="3493"/>
      <c r="BO31" s="3512" t="s">
        <v>1422</v>
      </c>
      <c r="BP31" s="3513">
        <v>0.2044403603766875</v>
      </c>
      <c r="BQ31" s="3514">
        <v>147.57572318982088</v>
      </c>
      <c r="BR31" s="3515">
        <v>102.02363245683881</v>
      </c>
      <c r="BS31" s="3513">
        <v>6.3274291951167685</v>
      </c>
      <c r="BT31" s="3514">
        <v>74.710590216260954</v>
      </c>
      <c r="BU31" s="3515">
        <v>51.767231817806014</v>
      </c>
      <c r="BV31" s="3516">
        <v>28.913080168408634</v>
      </c>
      <c r="BW31" s="3517">
        <v>23.527843071975933</v>
      </c>
      <c r="BX31" s="3518">
        <v>2.3987468134893648</v>
      </c>
      <c r="BY31" s="3519">
        <v>4.8879631840818796</v>
      </c>
      <c r="BZ31" s="3517">
        <v>6.0267366949718237</v>
      </c>
      <c r="CA31" s="3520">
        <v>25.22592796032675</v>
      </c>
    </row>
    <row r="32" spans="1:95" ht="13.2">
      <c r="A32" s="3521" t="s">
        <v>1095</v>
      </c>
      <c r="B32" s="3522"/>
      <c r="C32" s="3523" t="s">
        <v>1096</v>
      </c>
      <c r="D32" s="3524">
        <v>0</v>
      </c>
      <c r="E32" s="3525">
        <v>0.1</v>
      </c>
      <c r="F32" s="3526">
        <v>0.1</v>
      </c>
      <c r="G32" s="3524">
        <v>0</v>
      </c>
      <c r="H32" s="3525">
        <v>0.1</v>
      </c>
      <c r="I32" s="3526">
        <v>0.1</v>
      </c>
      <c r="J32" s="3527">
        <v>0.1</v>
      </c>
      <c r="K32" s="3526">
        <v>0.1</v>
      </c>
      <c r="L32" s="3527">
        <v>0</v>
      </c>
      <c r="M32" s="3528">
        <v>0.1</v>
      </c>
      <c r="N32" s="3526">
        <v>0.1</v>
      </c>
      <c r="O32" s="3529">
        <v>8.2228101804739454E-2</v>
      </c>
      <c r="P32" s="3562"/>
      <c r="Q32" s="3521" t="s">
        <v>1095</v>
      </c>
      <c r="R32" s="3522"/>
      <c r="S32" s="3523" t="s">
        <v>1096</v>
      </c>
      <c r="T32" s="3524">
        <v>0</v>
      </c>
      <c r="U32" s="3525">
        <v>0.1</v>
      </c>
      <c r="V32" s="3526">
        <v>0.1</v>
      </c>
      <c r="W32" s="3524">
        <v>0</v>
      </c>
      <c r="X32" s="3525">
        <v>0.1</v>
      </c>
      <c r="Y32" s="3526">
        <v>0.1</v>
      </c>
      <c r="Z32" s="3527">
        <v>0.1</v>
      </c>
      <c r="AA32" s="3526">
        <v>0.1</v>
      </c>
      <c r="AB32" s="3527">
        <v>0</v>
      </c>
      <c r="AC32" s="3528">
        <v>0.1</v>
      </c>
      <c r="AD32" s="3526">
        <v>0.1</v>
      </c>
      <c r="AE32" s="3529">
        <v>8.2438499770131471E-2</v>
      </c>
      <c r="AF32" s="3562"/>
      <c r="AG32" s="3521" t="s">
        <v>1095</v>
      </c>
      <c r="AH32" s="3522"/>
      <c r="AI32" s="3523" t="s">
        <v>1096</v>
      </c>
      <c r="AJ32" s="3524">
        <v>0.9</v>
      </c>
      <c r="AK32" s="3525">
        <v>4.8</v>
      </c>
      <c r="AL32" s="3526">
        <v>20.100000000000001</v>
      </c>
      <c r="AM32" s="3524">
        <v>0.9</v>
      </c>
      <c r="AN32" s="3525">
        <v>3.6</v>
      </c>
      <c r="AO32" s="3526">
        <v>20.100000000000001</v>
      </c>
      <c r="AP32" s="3527">
        <v>3.5</v>
      </c>
      <c r="AQ32" s="3526">
        <v>20.100000000000001</v>
      </c>
      <c r="AR32" s="3527">
        <v>0.9</v>
      </c>
      <c r="AS32" s="3528">
        <v>3</v>
      </c>
      <c r="AT32" s="3526">
        <v>20.100000000000001</v>
      </c>
      <c r="AU32" s="3529">
        <v>6.1616559035708862</v>
      </c>
      <c r="AV32" s="3562"/>
      <c r="AW32" s="3521" t="s">
        <v>1095</v>
      </c>
      <c r="AX32" s="3522"/>
      <c r="AY32" s="3523" t="s">
        <v>1096</v>
      </c>
      <c r="AZ32" s="3524">
        <v>3.6</v>
      </c>
      <c r="BA32" s="3525">
        <v>16.8</v>
      </c>
      <c r="BB32" s="3526">
        <v>82.8</v>
      </c>
      <c r="BC32" s="3524">
        <v>3.6</v>
      </c>
      <c r="BD32" s="3525">
        <v>12.7</v>
      </c>
      <c r="BE32" s="3526">
        <v>82.8</v>
      </c>
      <c r="BF32" s="3527">
        <v>12.5</v>
      </c>
      <c r="BG32" s="3526">
        <v>82.8</v>
      </c>
      <c r="BH32" s="3527">
        <v>3.6</v>
      </c>
      <c r="BI32" s="3528">
        <v>10.9</v>
      </c>
      <c r="BJ32" s="3526">
        <v>82.8</v>
      </c>
      <c r="BK32" s="3529">
        <v>8.4971857248413638</v>
      </c>
      <c r="BL32" s="3562"/>
      <c r="BM32" s="3521" t="s">
        <v>1095</v>
      </c>
      <c r="BN32" s="3522"/>
      <c r="BO32" s="3523" t="s">
        <v>1096</v>
      </c>
      <c r="BP32" s="3524">
        <v>0</v>
      </c>
      <c r="BQ32" s="3525">
        <v>0</v>
      </c>
      <c r="BR32" s="3526">
        <v>0</v>
      </c>
      <c r="BS32" s="3524">
        <v>0</v>
      </c>
      <c r="BT32" s="3525">
        <v>0</v>
      </c>
      <c r="BU32" s="3526">
        <v>0</v>
      </c>
      <c r="BV32" s="3527">
        <v>0</v>
      </c>
      <c r="BW32" s="3526">
        <v>0</v>
      </c>
      <c r="BX32" s="3527">
        <v>0</v>
      </c>
      <c r="BY32" s="3528">
        <v>0</v>
      </c>
      <c r="BZ32" s="3526">
        <v>0</v>
      </c>
      <c r="CA32" s="3529">
        <v>0</v>
      </c>
    </row>
    <row r="33" spans="1:95" ht="13.2">
      <c r="A33" s="3521" t="s">
        <v>477</v>
      </c>
      <c r="B33" s="3522"/>
      <c r="C33" s="3530" t="s">
        <v>1096</v>
      </c>
      <c r="D33" s="3531">
        <v>0</v>
      </c>
      <c r="E33" s="3532">
        <v>3</v>
      </c>
      <c r="F33" s="3533">
        <v>3</v>
      </c>
      <c r="G33" s="3531">
        <v>0</v>
      </c>
      <c r="H33" s="3532">
        <v>3</v>
      </c>
      <c r="I33" s="3534">
        <v>3</v>
      </c>
      <c r="J33" s="3535">
        <v>3</v>
      </c>
      <c r="K33" s="3533">
        <v>3</v>
      </c>
      <c r="L33" s="3535">
        <v>0</v>
      </c>
      <c r="M33" s="3536">
        <v>0.7</v>
      </c>
      <c r="N33" s="3533">
        <v>0.7</v>
      </c>
      <c r="O33" s="3502">
        <v>1.6205979727883946</v>
      </c>
      <c r="P33" s="3562"/>
      <c r="Q33" s="3521" t="s">
        <v>477</v>
      </c>
      <c r="R33" s="3522"/>
      <c r="S33" s="3530" t="s">
        <v>1096</v>
      </c>
      <c r="T33" s="3531">
        <v>0</v>
      </c>
      <c r="U33" s="3532">
        <v>3</v>
      </c>
      <c r="V33" s="3533">
        <v>3</v>
      </c>
      <c r="W33" s="3531">
        <v>0</v>
      </c>
      <c r="X33" s="3532">
        <v>3</v>
      </c>
      <c r="Y33" s="3534">
        <v>3</v>
      </c>
      <c r="Z33" s="3535">
        <v>3</v>
      </c>
      <c r="AA33" s="3533">
        <v>3</v>
      </c>
      <c r="AB33" s="3535">
        <v>0</v>
      </c>
      <c r="AC33" s="3536">
        <v>0.7</v>
      </c>
      <c r="AD33" s="3533">
        <v>0.7</v>
      </c>
      <c r="AE33" s="3502">
        <v>1.5598821650004222</v>
      </c>
      <c r="AF33" s="3562"/>
      <c r="AG33" s="3521" t="s">
        <v>477</v>
      </c>
      <c r="AH33" s="3522"/>
      <c r="AI33" s="3530" t="s">
        <v>1096</v>
      </c>
      <c r="AJ33" s="3531">
        <v>0.3</v>
      </c>
      <c r="AK33" s="3532">
        <v>3.2</v>
      </c>
      <c r="AL33" s="3533">
        <v>3.2</v>
      </c>
      <c r="AM33" s="3531">
        <v>0.3</v>
      </c>
      <c r="AN33" s="3532">
        <v>3.2</v>
      </c>
      <c r="AO33" s="3534">
        <v>3.2</v>
      </c>
      <c r="AP33" s="3535">
        <v>3.2</v>
      </c>
      <c r="AQ33" s="3533">
        <v>3.2</v>
      </c>
      <c r="AR33" s="3535">
        <v>0.3</v>
      </c>
      <c r="AS33" s="3536">
        <v>3.4</v>
      </c>
      <c r="AT33" s="3533">
        <v>3.4</v>
      </c>
      <c r="AU33" s="3502">
        <v>2.4138064029434125</v>
      </c>
      <c r="AV33" s="3562"/>
      <c r="AW33" s="3521" t="s">
        <v>477</v>
      </c>
      <c r="AX33" s="3522"/>
      <c r="AY33" s="3530" t="s">
        <v>1096</v>
      </c>
      <c r="AZ33" s="3531">
        <v>0.3</v>
      </c>
      <c r="BA33" s="3532">
        <v>3.2</v>
      </c>
      <c r="BB33" s="3533">
        <v>3.2</v>
      </c>
      <c r="BC33" s="3531">
        <v>0.3</v>
      </c>
      <c r="BD33" s="3532">
        <v>3.2</v>
      </c>
      <c r="BE33" s="3534">
        <v>3.2</v>
      </c>
      <c r="BF33" s="3535">
        <v>3.2</v>
      </c>
      <c r="BG33" s="3533">
        <v>3.2</v>
      </c>
      <c r="BH33" s="3535">
        <v>0.3</v>
      </c>
      <c r="BI33" s="3536">
        <v>3.4</v>
      </c>
      <c r="BJ33" s="3533">
        <v>3.4</v>
      </c>
      <c r="BK33" s="3502">
        <v>1.6380799377363064</v>
      </c>
      <c r="BL33" s="3562"/>
      <c r="BM33" s="3521" t="s">
        <v>477</v>
      </c>
      <c r="BN33" s="3522"/>
      <c r="BO33" s="3530" t="s">
        <v>1096</v>
      </c>
      <c r="BP33" s="3531">
        <v>0</v>
      </c>
      <c r="BQ33" s="3532">
        <v>0</v>
      </c>
      <c r="BR33" s="3533">
        <v>0</v>
      </c>
      <c r="BS33" s="3531">
        <v>0</v>
      </c>
      <c r="BT33" s="3532">
        <v>0</v>
      </c>
      <c r="BU33" s="3534">
        <v>0</v>
      </c>
      <c r="BV33" s="3535">
        <v>0</v>
      </c>
      <c r="BW33" s="3533">
        <v>0</v>
      </c>
      <c r="BX33" s="3535">
        <v>0</v>
      </c>
      <c r="BY33" s="3536">
        <v>0</v>
      </c>
      <c r="BZ33" s="3533">
        <v>0</v>
      </c>
      <c r="CA33" s="3502">
        <v>0</v>
      </c>
    </row>
    <row r="34" spans="1:95" ht="13.2">
      <c r="A34" s="3521" t="s">
        <v>1097</v>
      </c>
      <c r="B34" s="3522"/>
      <c r="C34" s="3530" t="s">
        <v>1096</v>
      </c>
      <c r="D34" s="3535">
        <v>1.6626911512401679</v>
      </c>
      <c r="E34" s="3532">
        <v>1.5884631561645346</v>
      </c>
      <c r="F34" s="3537">
        <v>2.036838691657906</v>
      </c>
      <c r="G34" s="3531">
        <v>0.70199822697416203</v>
      </c>
      <c r="H34" s="3532">
        <v>0.59335577832972863</v>
      </c>
      <c r="I34" s="3537">
        <v>0.62868313663599307</v>
      </c>
      <c r="J34" s="3531">
        <v>0.43529327600106704</v>
      </c>
      <c r="K34" s="3537">
        <v>0.45863550197929526</v>
      </c>
      <c r="L34" s="3531">
        <v>0.20681674810070946</v>
      </c>
      <c r="M34" s="3538">
        <v>0.16565724922652678</v>
      </c>
      <c r="N34" s="3534">
        <v>0.14759898012573155</v>
      </c>
      <c r="O34" s="3539">
        <v>0.42677637529761425</v>
      </c>
      <c r="P34" s="3562"/>
      <c r="Q34" s="3521" t="s">
        <v>1097</v>
      </c>
      <c r="R34" s="3522"/>
      <c r="S34" s="3530" t="s">
        <v>1096</v>
      </c>
      <c r="T34" s="3535">
        <v>4.6789970637980325</v>
      </c>
      <c r="U34" s="3532">
        <v>4.3584787619125755</v>
      </c>
      <c r="V34" s="3537">
        <v>5.987292883513982</v>
      </c>
      <c r="W34" s="3531">
        <v>1.9841699062295173</v>
      </c>
      <c r="X34" s="3532">
        <v>1.6255272258272369</v>
      </c>
      <c r="Y34" s="3537">
        <v>1.7772018980467443</v>
      </c>
      <c r="Z34" s="3531">
        <v>1.1798309294018494</v>
      </c>
      <c r="AA34" s="3537">
        <v>1.2747109262016818</v>
      </c>
      <c r="AB34" s="3531">
        <v>0.57728435899227248</v>
      </c>
      <c r="AC34" s="3538">
        <v>0.47702166736161222</v>
      </c>
      <c r="AD34" s="3534">
        <v>0.39908161969077782</v>
      </c>
      <c r="AE34" s="3539">
        <v>1.184184838352742</v>
      </c>
      <c r="AF34" s="3562"/>
      <c r="AG34" s="3521" t="s">
        <v>1097</v>
      </c>
      <c r="AH34" s="3522"/>
      <c r="AI34" s="3530" t="s">
        <v>1096</v>
      </c>
      <c r="AJ34" s="3535">
        <v>12.691168447467199</v>
      </c>
      <c r="AK34" s="3532">
        <v>17.480281635673467</v>
      </c>
      <c r="AL34" s="3537">
        <v>23.615799635101215</v>
      </c>
      <c r="AM34" s="3531">
        <v>5.754655635255606</v>
      </c>
      <c r="AN34" s="3532">
        <v>6.672865483704129</v>
      </c>
      <c r="AO34" s="3537">
        <v>7.8632149470674371</v>
      </c>
      <c r="AP34" s="3531">
        <v>4.6163799500195042</v>
      </c>
      <c r="AQ34" s="3537">
        <v>5.6261002412405112</v>
      </c>
      <c r="AR34" s="3531">
        <v>1.6580947484060065</v>
      </c>
      <c r="AS34" s="3538">
        <v>1.5772471401299977</v>
      </c>
      <c r="AT34" s="3534">
        <v>1.5563694793149077</v>
      </c>
      <c r="AU34" s="3539">
        <v>3.774496286315443</v>
      </c>
      <c r="AV34" s="3562"/>
      <c r="AW34" s="3521" t="s">
        <v>1097</v>
      </c>
      <c r="AX34" s="3522"/>
      <c r="AY34" s="3530" t="s">
        <v>1096</v>
      </c>
      <c r="AZ34" s="3535">
        <v>21.139702156240325</v>
      </c>
      <c r="BA34" s="3532">
        <v>29.337761562465687</v>
      </c>
      <c r="BB34" s="3537">
        <v>49.448133832658975</v>
      </c>
      <c r="BC34" s="3531">
        <v>9.2998981509464045</v>
      </c>
      <c r="BD34" s="3532">
        <v>10.434723499045287</v>
      </c>
      <c r="BE34" s="3537">
        <v>13.86146180893239</v>
      </c>
      <c r="BF34" s="3531">
        <v>7.9845663402462055</v>
      </c>
      <c r="BG34" s="3537">
        <v>10.13972177367682</v>
      </c>
      <c r="BH34" s="3531">
        <v>2.7630666382050153</v>
      </c>
      <c r="BI34" s="3538">
        <v>2.6514751875246145</v>
      </c>
      <c r="BJ34" s="3534">
        <v>2.6350608640977735</v>
      </c>
      <c r="BK34" s="3539">
        <v>4.8349450043399713</v>
      </c>
      <c r="BL34" s="3562"/>
      <c r="BM34" s="3521" t="s">
        <v>1097</v>
      </c>
      <c r="BN34" s="3522"/>
      <c r="BO34" s="3530" t="s">
        <v>1096</v>
      </c>
      <c r="BP34" s="3535">
        <v>18.501004111752948</v>
      </c>
      <c r="BQ34" s="3532">
        <v>29.307209560655068</v>
      </c>
      <c r="BR34" s="3537">
        <v>37.386704476211953</v>
      </c>
      <c r="BS34" s="3531">
        <v>9.0284211661245664</v>
      </c>
      <c r="BT34" s="3532">
        <v>10.915487390281891</v>
      </c>
      <c r="BU34" s="3537">
        <v>12.631345454549296</v>
      </c>
      <c r="BV34" s="3531">
        <v>6.4660461010241246</v>
      </c>
      <c r="BW34" s="3537">
        <v>8.540905727215705</v>
      </c>
      <c r="BX34" s="3531">
        <v>2.4233174762027607</v>
      </c>
      <c r="BY34" s="3538">
        <v>2.0160529001715819</v>
      </c>
      <c r="BZ34" s="3534">
        <v>2.0835432560682685</v>
      </c>
      <c r="CA34" s="3539">
        <v>9.318193575643944</v>
      </c>
    </row>
    <row r="35" spans="1:95" ht="13.2">
      <c r="A35" s="3521" t="s">
        <v>1074</v>
      </c>
      <c r="B35" s="3522"/>
      <c r="C35" s="3530" t="s">
        <v>1096</v>
      </c>
      <c r="D35" s="3531">
        <v>0.2</v>
      </c>
      <c r="E35" s="3532">
        <v>0.2</v>
      </c>
      <c r="F35" s="3534">
        <v>0.2</v>
      </c>
      <c r="G35" s="3531">
        <v>0.2</v>
      </c>
      <c r="H35" s="3532">
        <v>0.2</v>
      </c>
      <c r="I35" s="3534">
        <v>0.2</v>
      </c>
      <c r="J35" s="3531">
        <v>0.2</v>
      </c>
      <c r="K35" s="3534">
        <v>0.2</v>
      </c>
      <c r="L35" s="3531">
        <v>0</v>
      </c>
      <c r="M35" s="3532">
        <v>0</v>
      </c>
      <c r="N35" s="3534">
        <v>0.1</v>
      </c>
      <c r="O35" s="3540">
        <v>0.11376434094301519</v>
      </c>
      <c r="P35" s="3562"/>
      <c r="Q35" s="3521" t="s">
        <v>1074</v>
      </c>
      <c r="R35" s="3522"/>
      <c r="S35" s="3530" t="s">
        <v>1096</v>
      </c>
      <c r="T35" s="3531">
        <v>0.2</v>
      </c>
      <c r="U35" s="3532">
        <v>0.2</v>
      </c>
      <c r="V35" s="3534">
        <v>0.2</v>
      </c>
      <c r="W35" s="3531">
        <v>0.2</v>
      </c>
      <c r="X35" s="3532">
        <v>0.2</v>
      </c>
      <c r="Y35" s="3534">
        <v>0.2</v>
      </c>
      <c r="Z35" s="3531">
        <v>0.2</v>
      </c>
      <c r="AA35" s="3534">
        <v>0.2</v>
      </c>
      <c r="AB35" s="3531">
        <v>0</v>
      </c>
      <c r="AC35" s="3532">
        <v>0</v>
      </c>
      <c r="AD35" s="3534">
        <v>0.1</v>
      </c>
      <c r="AE35" s="3540">
        <v>0.11294959054000582</v>
      </c>
      <c r="AF35" s="3562"/>
      <c r="AG35" s="3521" t="s">
        <v>1074</v>
      </c>
      <c r="AH35" s="3522"/>
      <c r="AI35" s="3530" t="s">
        <v>1096</v>
      </c>
      <c r="AJ35" s="3531">
        <v>4.9000000000000004</v>
      </c>
      <c r="AK35" s="3532">
        <v>5.9</v>
      </c>
      <c r="AL35" s="3534">
        <v>7.1</v>
      </c>
      <c r="AM35" s="3531">
        <v>5.0999999999999996</v>
      </c>
      <c r="AN35" s="3532">
        <v>5</v>
      </c>
      <c r="AO35" s="3534">
        <v>5</v>
      </c>
      <c r="AP35" s="3531">
        <v>4.4000000000000004</v>
      </c>
      <c r="AQ35" s="3534">
        <v>4.4000000000000004</v>
      </c>
      <c r="AR35" s="3531">
        <v>0.9</v>
      </c>
      <c r="AS35" s="3532">
        <v>0.9</v>
      </c>
      <c r="AT35" s="3534">
        <v>1.1000000000000001</v>
      </c>
      <c r="AU35" s="3540">
        <v>2.4197141226563863</v>
      </c>
      <c r="AV35" s="3562"/>
      <c r="AW35" s="3521" t="s">
        <v>1074</v>
      </c>
      <c r="AX35" s="3522"/>
      <c r="AY35" s="3530" t="s">
        <v>1096</v>
      </c>
      <c r="AZ35" s="3531">
        <v>9.6999999999999993</v>
      </c>
      <c r="BA35" s="3532">
        <v>11.7</v>
      </c>
      <c r="BB35" s="3534">
        <v>14.2</v>
      </c>
      <c r="BC35" s="3531">
        <v>10.1</v>
      </c>
      <c r="BD35" s="3532">
        <v>10</v>
      </c>
      <c r="BE35" s="3534">
        <v>10</v>
      </c>
      <c r="BF35" s="3531">
        <v>8.6999999999999993</v>
      </c>
      <c r="BG35" s="3534">
        <v>8.8000000000000007</v>
      </c>
      <c r="BH35" s="3531">
        <v>1.8</v>
      </c>
      <c r="BI35" s="3532">
        <v>1.8</v>
      </c>
      <c r="BJ35" s="3534">
        <v>2.2999999999999998</v>
      </c>
      <c r="BK35" s="3540">
        <v>4.0917323306960895</v>
      </c>
      <c r="BL35" s="3562"/>
      <c r="BM35" s="3521" t="s">
        <v>1074</v>
      </c>
      <c r="BN35" s="3522"/>
      <c r="BO35" s="3530" t="s">
        <v>1096</v>
      </c>
      <c r="BP35" s="3531">
        <v>0</v>
      </c>
      <c r="BQ35" s="3532">
        <v>0</v>
      </c>
      <c r="BR35" s="3534">
        <v>0</v>
      </c>
      <c r="BS35" s="3531">
        <v>0</v>
      </c>
      <c r="BT35" s="3532">
        <v>0</v>
      </c>
      <c r="BU35" s="3534">
        <v>0</v>
      </c>
      <c r="BV35" s="3531">
        <v>0</v>
      </c>
      <c r="BW35" s="3534">
        <v>0</v>
      </c>
      <c r="BX35" s="3531">
        <v>0</v>
      </c>
      <c r="BY35" s="3532">
        <v>0</v>
      </c>
      <c r="BZ35" s="3534">
        <v>0</v>
      </c>
      <c r="CA35" s="3540">
        <v>0</v>
      </c>
    </row>
    <row r="36" spans="1:95" ht="13.2">
      <c r="A36" s="3521" t="s">
        <v>397</v>
      </c>
      <c r="B36" s="3522"/>
      <c r="C36" s="3530" t="s">
        <v>1096</v>
      </c>
      <c r="D36" s="3531">
        <v>0.89574509131955438</v>
      </c>
      <c r="E36" s="3532">
        <v>0.9333651743218615</v>
      </c>
      <c r="F36" s="3537">
        <v>1.1954519416366645</v>
      </c>
      <c r="G36" s="3531">
        <v>0.86750532142703018</v>
      </c>
      <c r="H36" s="3532">
        <v>0.86664182726584016</v>
      </c>
      <c r="I36" s="3537">
        <v>0.95708518439044288</v>
      </c>
      <c r="J36" s="3531">
        <v>0.81146232859153899</v>
      </c>
      <c r="K36" s="3537">
        <v>0.91304238205407728</v>
      </c>
      <c r="L36" s="3531">
        <v>0.88810393502914553</v>
      </c>
      <c r="M36" s="3532">
        <v>0.80949769003633931</v>
      </c>
      <c r="N36" s="3537">
        <v>0.79636077970858621</v>
      </c>
      <c r="O36" s="3539">
        <v>0.86327612332012482</v>
      </c>
      <c r="P36" s="3562"/>
      <c r="Q36" s="3521" t="s">
        <v>397</v>
      </c>
      <c r="R36" s="3522"/>
      <c r="S36" s="3530" t="s">
        <v>1096</v>
      </c>
      <c r="T36" s="3531">
        <v>1.3721306849809565</v>
      </c>
      <c r="U36" s="3532">
        <v>1.1270137675826377</v>
      </c>
      <c r="V36" s="3537">
        <v>1.4858196723315025</v>
      </c>
      <c r="W36" s="3531">
        <v>1.3107136093815832</v>
      </c>
      <c r="X36" s="3532">
        <v>1.0668137375210485</v>
      </c>
      <c r="Y36" s="3537">
        <v>1.1412237855464304</v>
      </c>
      <c r="Z36" s="3531">
        <v>1.0302331480573725</v>
      </c>
      <c r="AA36" s="3537">
        <v>1.0855293830399706</v>
      </c>
      <c r="AB36" s="3531">
        <v>1.3614589814302183</v>
      </c>
      <c r="AC36" s="3532">
        <v>1.1868588232811061</v>
      </c>
      <c r="AD36" s="3537">
        <v>1.0484667541666655</v>
      </c>
      <c r="AE36" s="3539">
        <v>1.1564982208320007</v>
      </c>
      <c r="AF36" s="3562"/>
      <c r="AG36" s="3521" t="s">
        <v>397</v>
      </c>
      <c r="AH36" s="3522"/>
      <c r="AI36" s="3530" t="s">
        <v>1096</v>
      </c>
      <c r="AJ36" s="3531">
        <v>3.5492029926759359</v>
      </c>
      <c r="AK36" s="3532">
        <v>3.9238360861059483</v>
      </c>
      <c r="AL36" s="3537">
        <v>4.9910114209259531</v>
      </c>
      <c r="AM36" s="3531">
        <v>3.4989732995691276</v>
      </c>
      <c r="AN36" s="3532">
        <v>3.5626499126790301</v>
      </c>
      <c r="AO36" s="3537">
        <v>4.0911948341863091</v>
      </c>
      <c r="AP36" s="3531">
        <v>3.3222690548446274</v>
      </c>
      <c r="AQ36" s="3537">
        <v>3.8761996002906249</v>
      </c>
      <c r="AR36" s="3531">
        <v>3.5455986569143185</v>
      </c>
      <c r="AS36" s="3532">
        <v>3.3161212050762954</v>
      </c>
      <c r="AT36" s="3537">
        <v>3.2473343419905896</v>
      </c>
      <c r="AU36" s="3539">
        <v>3.4893144188471741</v>
      </c>
      <c r="AV36" s="3562"/>
      <c r="AW36" s="3521" t="s">
        <v>397</v>
      </c>
      <c r="AX36" s="3522"/>
      <c r="AY36" s="3530" t="s">
        <v>1096</v>
      </c>
      <c r="AZ36" s="3531">
        <v>4.5296797641057385</v>
      </c>
      <c r="BA36" s="3532">
        <v>5.5412402487249155</v>
      </c>
      <c r="BB36" s="3537">
        <v>7.4558654496877468</v>
      </c>
      <c r="BC36" s="3531">
        <v>4.5050742936164889</v>
      </c>
      <c r="BD36" s="3532">
        <v>4.7399481528672034</v>
      </c>
      <c r="BE36" s="3537">
        <v>5.9733143418538521</v>
      </c>
      <c r="BF36" s="3531">
        <v>4.5618859856580407</v>
      </c>
      <c r="BG36" s="3537">
        <v>5.703580611846208</v>
      </c>
      <c r="BH36" s="3531">
        <v>4.5275636682916698</v>
      </c>
      <c r="BI36" s="3532">
        <v>4.3610195414541284</v>
      </c>
      <c r="BJ36" s="3537">
        <v>4.3180419413137709</v>
      </c>
      <c r="BK36" s="3539">
        <v>4.5086076434259192</v>
      </c>
      <c r="BL36" s="3562"/>
      <c r="BM36" s="3521" t="s">
        <v>397</v>
      </c>
      <c r="BN36" s="3522"/>
      <c r="BO36" s="3530" t="s">
        <v>1096</v>
      </c>
      <c r="BP36" s="3531">
        <v>3.2399853037586266</v>
      </c>
      <c r="BQ36" s="3532">
        <v>3.8823867064511588</v>
      </c>
      <c r="BR36" s="3537">
        <v>5.1939642108036121</v>
      </c>
      <c r="BS36" s="3531">
        <v>3.2215455920774709</v>
      </c>
      <c r="BT36" s="3532">
        <v>3.3573739780056102</v>
      </c>
      <c r="BU36" s="3537">
        <v>3.9091079539105866</v>
      </c>
      <c r="BV36" s="3531">
        <v>2.8968462518618612</v>
      </c>
      <c r="BW36" s="3537">
        <v>3.5877933306594127</v>
      </c>
      <c r="BX36" s="3531">
        <v>3.2381161099165405</v>
      </c>
      <c r="BY36" s="3532">
        <v>2.7455991403554125</v>
      </c>
      <c r="BZ36" s="3537">
        <v>2.8040321936599373</v>
      </c>
      <c r="CA36" s="3539">
        <v>3.3393145230450121</v>
      </c>
    </row>
    <row r="37" spans="1:95" ht="13.2">
      <c r="A37" s="3521" t="s">
        <v>1098</v>
      </c>
      <c r="B37" s="3493"/>
      <c r="C37" s="3530" t="s">
        <v>1096</v>
      </c>
      <c r="D37" s="3495">
        <v>-4.8584465967025139</v>
      </c>
      <c r="E37" s="3496">
        <v>-5.0624947863062921</v>
      </c>
      <c r="F37" s="3496">
        <v>-6.484031532687534</v>
      </c>
      <c r="G37" s="3503">
        <v>-4.7052764423186604</v>
      </c>
      <c r="H37" s="3504">
        <v>-4.7005929220746063</v>
      </c>
      <c r="I37" s="3501">
        <v>-5.1911501407237859</v>
      </c>
      <c r="J37" s="3500">
        <v>-4.4013039277615258</v>
      </c>
      <c r="K37" s="3501">
        <v>-4.9522656576336965</v>
      </c>
      <c r="L37" s="3495">
        <v>-4.8170016028825433</v>
      </c>
      <c r="M37" s="3496">
        <v>-4.3906478922501275</v>
      </c>
      <c r="N37" s="3501">
        <v>-4.3193943873282805</v>
      </c>
      <c r="O37" s="3502">
        <v>-4.68233762484883</v>
      </c>
      <c r="P37" s="3562"/>
      <c r="Q37" s="3521" t="s">
        <v>1098</v>
      </c>
      <c r="R37" s="3493"/>
      <c r="S37" s="3530" t="s">
        <v>1096</v>
      </c>
      <c r="T37" s="3495">
        <v>-7.5696256710874197</v>
      </c>
      <c r="U37" s="3496">
        <v>-6.2173905446046396</v>
      </c>
      <c r="V37" s="3496">
        <v>-8.1968130713754395</v>
      </c>
      <c r="W37" s="3503">
        <v>-7.2308064338319058</v>
      </c>
      <c r="X37" s="3504">
        <v>-5.8852853756565624</v>
      </c>
      <c r="Y37" s="3501">
        <v>-6.2957828711830883</v>
      </c>
      <c r="Z37" s="3500">
        <v>-5.6834814424753777</v>
      </c>
      <c r="AA37" s="3501">
        <v>-5.9885338725539068</v>
      </c>
      <c r="AB37" s="3495">
        <v>-7.5107531438302768</v>
      </c>
      <c r="AC37" s="3496">
        <v>-6.5475374284702017</v>
      </c>
      <c r="AD37" s="3501">
        <v>-5.7840706752592173</v>
      </c>
      <c r="AE37" s="3502">
        <v>-6.3800472628438722</v>
      </c>
      <c r="AF37" s="3562"/>
      <c r="AG37" s="3521" t="s">
        <v>1098</v>
      </c>
      <c r="AH37" s="3493"/>
      <c r="AI37" s="3530" t="s">
        <v>1096</v>
      </c>
      <c r="AJ37" s="3495">
        <v>-19.632534184614119</v>
      </c>
      <c r="AK37" s="3496">
        <v>-21.704829578433539</v>
      </c>
      <c r="AL37" s="3496">
        <v>-27.60794537233588</v>
      </c>
      <c r="AM37" s="3503">
        <v>-19.354686969609215</v>
      </c>
      <c r="AN37" s="3504">
        <v>-19.706916269037944</v>
      </c>
      <c r="AO37" s="3501">
        <v>-22.630580049613172</v>
      </c>
      <c r="AP37" s="3500">
        <v>-18.377241573479701</v>
      </c>
      <c r="AQ37" s="3501">
        <v>-21.441326775653838</v>
      </c>
      <c r="AR37" s="3495">
        <v>-19.612596681687744</v>
      </c>
      <c r="AS37" s="3496">
        <v>-18.343234538382607</v>
      </c>
      <c r="AT37" s="3501">
        <v>-17.962737721556614</v>
      </c>
      <c r="AU37" s="3502">
        <v>-19.301258550228813</v>
      </c>
      <c r="AV37" s="3562"/>
      <c r="AW37" s="3521" t="s">
        <v>1098</v>
      </c>
      <c r="AX37" s="3493"/>
      <c r="AY37" s="3530" t="s">
        <v>1096</v>
      </c>
      <c r="AZ37" s="3495">
        <v>-25.056073996802386</v>
      </c>
      <c r="BA37" s="3496">
        <v>-30.651554400451452</v>
      </c>
      <c r="BB37" s="3496">
        <v>-41.242367263563047</v>
      </c>
      <c r="BC37" s="3503">
        <v>-24.919968019909668</v>
      </c>
      <c r="BD37" s="3504">
        <v>-26.219180569974409</v>
      </c>
      <c r="BE37" s="3501">
        <v>-33.041586591099531</v>
      </c>
      <c r="BF37" s="3500">
        <v>-25.234223780539079</v>
      </c>
      <c r="BG37" s="3501">
        <v>-31.549545508623734</v>
      </c>
      <c r="BH37" s="3495">
        <v>-25.044368742554223</v>
      </c>
      <c r="BI37" s="3496">
        <v>-24.123124375824002</v>
      </c>
      <c r="BJ37" s="3501">
        <v>-23.885392353826557</v>
      </c>
      <c r="BK37" s="3502">
        <v>-24.939512861684843</v>
      </c>
      <c r="BL37" s="3562"/>
      <c r="BM37" s="3521" t="s">
        <v>1098</v>
      </c>
      <c r="BN37" s="3493"/>
      <c r="BO37" s="3530" t="s">
        <v>1096</v>
      </c>
      <c r="BP37" s="3495">
        <v>-17.92208627259447</v>
      </c>
      <c r="BQ37" s="3496">
        <v>-21.475550958787675</v>
      </c>
      <c r="BR37" s="3496">
        <v>-28.730585467410247</v>
      </c>
      <c r="BS37" s="3503">
        <v>-17.820086395246857</v>
      </c>
      <c r="BT37" s="3504">
        <v>-18.571425621399321</v>
      </c>
      <c r="BU37" s="3501">
        <v>-21.623360426232995</v>
      </c>
      <c r="BV37" s="3500">
        <v>-16.024001215092539</v>
      </c>
      <c r="BW37" s="3501">
        <v>-19.845997920337279</v>
      </c>
      <c r="BX37" s="3495">
        <v>-17.911746764801268</v>
      </c>
      <c r="BY37" s="3496">
        <v>-15.187372796514614</v>
      </c>
      <c r="BZ37" s="3501">
        <v>-15.51059717079802</v>
      </c>
      <c r="CA37" s="3502">
        <v>-18.471529146725686</v>
      </c>
    </row>
    <row r="38" spans="1:95" ht="13.8" thickBot="1">
      <c r="A38" s="3541" t="s">
        <v>1449</v>
      </c>
      <c r="B38" s="3542"/>
      <c r="C38" s="3563"/>
      <c r="D38" s="3564">
        <v>-2.0182342099921167</v>
      </c>
      <c r="E38" s="3564">
        <v>59.789622820108463</v>
      </c>
      <c r="F38" s="3564">
        <v>40.857712083342562</v>
      </c>
      <c r="G38" s="3565">
        <v>-0.40480121587076034</v>
      </c>
      <c r="H38" s="3564">
        <v>29.943640770025347</v>
      </c>
      <c r="I38" s="3566">
        <v>20.401510907425056</v>
      </c>
      <c r="J38" s="3567">
        <v>11.710683744194533</v>
      </c>
      <c r="K38" s="3568">
        <v>9.1305494551900495</v>
      </c>
      <c r="L38" s="3565">
        <v>-2.7625821943569422</v>
      </c>
      <c r="M38" s="3564">
        <v>-0.66030767935450907</v>
      </c>
      <c r="N38" s="3566">
        <v>-6.4739949505232985E-2</v>
      </c>
      <c r="O38" s="3543">
        <v>8.5146764734357561</v>
      </c>
      <c r="P38" s="3562"/>
      <c r="Q38" s="3541" t="s">
        <v>1449</v>
      </c>
      <c r="R38" s="3542"/>
      <c r="S38" s="3563"/>
      <c r="T38" s="3564">
        <v>-1.2367217781577553</v>
      </c>
      <c r="U38" s="3564">
        <v>61.598391260818929</v>
      </c>
      <c r="V38" s="3564">
        <v>43.38575246720557</v>
      </c>
      <c r="W38" s="3565">
        <v>-1.2049512401740978</v>
      </c>
      <c r="X38" s="3564">
        <v>29.991291674196109</v>
      </c>
      <c r="Y38" s="3566">
        <v>20.62953553953249</v>
      </c>
      <c r="Z38" s="3567">
        <v>11.391814702347299</v>
      </c>
      <c r="AA38" s="3568">
        <v>9.0828436654781175</v>
      </c>
      <c r="AB38" s="3565">
        <v>-4.61251107801204</v>
      </c>
      <c r="AC38" s="3564">
        <v>-2.1284716641947314</v>
      </c>
      <c r="AD38" s="3566">
        <v>-1.0258276234130452</v>
      </c>
      <c r="AE38" s="3543">
        <v>7.8062772357821295</v>
      </c>
      <c r="AF38" s="3562"/>
      <c r="AG38" s="3541" t="s">
        <v>1449</v>
      </c>
      <c r="AH38" s="3542"/>
      <c r="AI38" s="3563"/>
      <c r="AJ38" s="3564">
        <v>2.8632119294153</v>
      </c>
      <c r="AK38" s="3564">
        <v>125.75683776760977</v>
      </c>
      <c r="AL38" s="3564">
        <v>108.93682635088879</v>
      </c>
      <c r="AM38" s="3565">
        <v>1.0077881535042579</v>
      </c>
      <c r="AN38" s="3564">
        <v>59.108647691703538</v>
      </c>
      <c r="AO38" s="3566">
        <v>56.966925913173142</v>
      </c>
      <c r="AP38" s="3567">
        <v>22.635348359374987</v>
      </c>
      <c r="AQ38" s="3568">
        <v>33.642133800579018</v>
      </c>
      <c r="AR38" s="3565">
        <v>-10.485855698115502</v>
      </c>
      <c r="AS38" s="3564">
        <v>-2.4350141732740838</v>
      </c>
      <c r="AT38" s="3566">
        <v>16.02128598792747</v>
      </c>
      <c r="AU38" s="3543">
        <v>18.129433833952813</v>
      </c>
      <c r="AV38" s="3562"/>
      <c r="AW38" s="3541" t="s">
        <v>1449</v>
      </c>
      <c r="AX38" s="3542"/>
      <c r="AY38" s="3563"/>
      <c r="AZ38" s="3564">
        <v>14.450458741580629</v>
      </c>
      <c r="BA38" s="3564">
        <v>207.11528631093134</v>
      </c>
      <c r="BB38" s="3564">
        <v>234.20904566871667</v>
      </c>
      <c r="BC38" s="3565">
        <v>10.224822290988676</v>
      </c>
      <c r="BD38" s="3564">
        <v>101.51977573280078</v>
      </c>
      <c r="BE38" s="3566">
        <v>142.84317846834168</v>
      </c>
      <c r="BF38" s="3567">
        <v>45.251401540719172</v>
      </c>
      <c r="BG38" s="3568">
        <v>106.38605484039138</v>
      </c>
      <c r="BH38" s="3565">
        <v>-9.2711921324098743</v>
      </c>
      <c r="BI38" s="3564">
        <v>4.6594076466897185</v>
      </c>
      <c r="BJ38" s="3566">
        <v>78.558725017752295</v>
      </c>
      <c r="BK38" s="3543">
        <v>27.893114213333835</v>
      </c>
      <c r="BL38" s="3562"/>
      <c r="BM38" s="3541" t="s">
        <v>1449</v>
      </c>
      <c r="BN38" s="3542"/>
      <c r="BO38" s="3563"/>
      <c r="BP38" s="3564">
        <v>4.0233435032937912</v>
      </c>
      <c r="BQ38" s="3564">
        <v>159.28976849813947</v>
      </c>
      <c r="BR38" s="3564">
        <v>115.87371567644412</v>
      </c>
      <c r="BS38" s="3565">
        <v>0.75730955807194889</v>
      </c>
      <c r="BT38" s="3564">
        <v>70.412025963149148</v>
      </c>
      <c r="BU38" s="3566">
        <v>46.684324800032911</v>
      </c>
      <c r="BV38" s="3567">
        <v>22.25197130620208</v>
      </c>
      <c r="BW38" s="3568">
        <v>15.810544209513775</v>
      </c>
      <c r="BX38" s="3565">
        <v>-9.8515663651926033</v>
      </c>
      <c r="BY38" s="3564">
        <v>-5.5377575719057397</v>
      </c>
      <c r="BZ38" s="3566">
        <v>-4.5962850260979913</v>
      </c>
      <c r="CA38" s="3543">
        <v>19.411906912290021</v>
      </c>
    </row>
    <row r="39" spans="1:95" ht="13.5" customHeight="1" thickTop="1"/>
    <row r="40" spans="1:95" ht="13.5" customHeight="1" thickBot="1"/>
    <row r="41" spans="1:95" ht="13.95" customHeight="1" thickTop="1" thickBot="1">
      <c r="A41" s="3478" t="s">
        <v>2496</v>
      </c>
      <c r="B41" s="3479"/>
      <c r="C41" s="3479"/>
      <c r="D41" s="3480">
        <v>2015</v>
      </c>
      <c r="E41" s="3479" t="s">
        <v>2497</v>
      </c>
      <c r="F41" s="3479"/>
      <c r="G41" s="3479"/>
      <c r="H41" s="3479"/>
      <c r="I41" s="3479"/>
      <c r="J41" s="3479"/>
      <c r="K41" s="3479"/>
      <c r="L41" s="3479"/>
      <c r="M41" s="3479"/>
      <c r="N41" s="3481"/>
      <c r="O41" s="3482"/>
      <c r="P41" s="3544"/>
      <c r="Q41" s="3478" t="s">
        <v>2496</v>
      </c>
      <c r="R41" s="3479"/>
      <c r="S41" s="3479"/>
      <c r="T41" s="3480">
        <v>2015</v>
      </c>
      <c r="U41" s="3479" t="s">
        <v>2498</v>
      </c>
      <c r="V41" s="3479"/>
      <c r="W41" s="3479"/>
      <c r="X41" s="3479"/>
      <c r="Y41" s="3479"/>
      <c r="Z41" s="3479"/>
      <c r="AA41" s="3479"/>
      <c r="AB41" s="3479"/>
      <c r="AC41" s="3479"/>
      <c r="AD41" s="3481"/>
      <c r="AE41" s="3482"/>
      <c r="AF41" s="3544"/>
      <c r="AG41" s="3478" t="s">
        <v>1967</v>
      </c>
      <c r="AH41" s="3479"/>
      <c r="AI41" s="3479"/>
      <c r="AJ41" s="3480">
        <v>2015</v>
      </c>
      <c r="AK41" s="3479" t="s">
        <v>2499</v>
      </c>
      <c r="AL41" s="3479"/>
      <c r="AM41" s="3479"/>
      <c r="AN41" s="3479"/>
      <c r="AO41" s="3479"/>
      <c r="AP41" s="3479"/>
      <c r="AQ41" s="3479"/>
      <c r="AR41" s="3479"/>
      <c r="AS41" s="3479"/>
      <c r="AT41" s="3481"/>
      <c r="AU41" s="3482"/>
      <c r="AV41" s="3544"/>
      <c r="AW41" s="3478" t="s">
        <v>1963</v>
      </c>
      <c r="AX41" s="3479"/>
      <c r="AY41" s="3479"/>
      <c r="AZ41" s="3480">
        <v>2015</v>
      </c>
      <c r="BA41" s="3479" t="s">
        <v>2500</v>
      </c>
      <c r="BB41" s="3479"/>
      <c r="BC41" s="3479"/>
      <c r="BD41" s="3479"/>
      <c r="BE41" s="3479"/>
      <c r="BF41" s="3479"/>
      <c r="BG41" s="3479"/>
      <c r="BH41" s="3479"/>
      <c r="BI41" s="3479"/>
      <c r="BJ41" s="3481"/>
      <c r="BK41" s="3482"/>
      <c r="BL41" s="3544"/>
      <c r="BM41" s="3478" t="s">
        <v>1968</v>
      </c>
      <c r="BN41" s="3479"/>
      <c r="BO41" s="3479"/>
      <c r="BP41" s="3480">
        <v>2015</v>
      </c>
      <c r="BQ41" s="3479" t="s">
        <v>2501</v>
      </c>
      <c r="BR41" s="3479"/>
      <c r="BS41" s="3479"/>
      <c r="BT41" s="3479"/>
      <c r="BU41" s="3479"/>
      <c r="BV41" s="3479"/>
      <c r="BW41" s="3479"/>
      <c r="BX41" s="3479"/>
      <c r="BY41" s="3479"/>
      <c r="BZ41" s="3481"/>
      <c r="CA41" s="3482"/>
    </row>
    <row r="42" spans="1:95" ht="13.5" customHeight="1" thickTop="1">
      <c r="A42" s="3483"/>
      <c r="B42" s="3484"/>
      <c r="C42" s="3851" t="s">
        <v>1130</v>
      </c>
      <c r="D42" s="3855" t="s">
        <v>1487</v>
      </c>
      <c r="E42" s="3856"/>
      <c r="F42" s="3857"/>
      <c r="G42" s="3855" t="s">
        <v>1089</v>
      </c>
      <c r="H42" s="3856"/>
      <c r="I42" s="3857"/>
      <c r="J42" s="3858" t="s">
        <v>1132</v>
      </c>
      <c r="K42" s="3859"/>
      <c r="L42" s="3855" t="s">
        <v>789</v>
      </c>
      <c r="M42" s="3856"/>
      <c r="N42" s="3857"/>
      <c r="O42" s="3853" t="s">
        <v>1090</v>
      </c>
      <c r="P42" s="3544"/>
      <c r="Q42" s="3483"/>
      <c r="R42" s="3484"/>
      <c r="S42" s="3851" t="s">
        <v>1130</v>
      </c>
      <c r="T42" s="3855" t="s">
        <v>1487</v>
      </c>
      <c r="U42" s="3856"/>
      <c r="V42" s="3857"/>
      <c r="W42" s="3855" t="s">
        <v>1089</v>
      </c>
      <c r="X42" s="3856"/>
      <c r="Y42" s="3857"/>
      <c r="Z42" s="3858" t="s">
        <v>1132</v>
      </c>
      <c r="AA42" s="3859"/>
      <c r="AB42" s="3855" t="s">
        <v>789</v>
      </c>
      <c r="AC42" s="3856"/>
      <c r="AD42" s="3857"/>
      <c r="AE42" s="3853" t="s">
        <v>1090</v>
      </c>
      <c r="AF42" s="3544"/>
      <c r="AG42" s="3483"/>
      <c r="AH42" s="3484"/>
      <c r="AI42" s="3851" t="s">
        <v>1130</v>
      </c>
      <c r="AJ42" s="3855" t="s">
        <v>1487</v>
      </c>
      <c r="AK42" s="3856"/>
      <c r="AL42" s="3857"/>
      <c r="AM42" s="3855" t="s">
        <v>1089</v>
      </c>
      <c r="AN42" s="3856"/>
      <c r="AO42" s="3857"/>
      <c r="AP42" s="3858" t="s">
        <v>1132</v>
      </c>
      <c r="AQ42" s="3859"/>
      <c r="AR42" s="3855" t="s">
        <v>789</v>
      </c>
      <c r="AS42" s="3856"/>
      <c r="AT42" s="3857"/>
      <c r="AU42" s="3853" t="s">
        <v>1090</v>
      </c>
      <c r="AV42" s="3544"/>
      <c r="AW42" s="3483"/>
      <c r="AX42" s="3484"/>
      <c r="AY42" s="3851" t="s">
        <v>1130</v>
      </c>
      <c r="AZ42" s="3855" t="s">
        <v>1487</v>
      </c>
      <c r="BA42" s="3856"/>
      <c r="BB42" s="3857"/>
      <c r="BC42" s="3855" t="s">
        <v>1089</v>
      </c>
      <c r="BD42" s="3856"/>
      <c r="BE42" s="3857"/>
      <c r="BF42" s="3858" t="s">
        <v>1132</v>
      </c>
      <c r="BG42" s="3859"/>
      <c r="BH42" s="3855" t="s">
        <v>789</v>
      </c>
      <c r="BI42" s="3856"/>
      <c r="BJ42" s="3857"/>
      <c r="BK42" s="3853" t="s">
        <v>1090</v>
      </c>
      <c r="BL42" s="3544"/>
      <c r="BM42" s="3483"/>
      <c r="BN42" s="3484"/>
      <c r="BO42" s="3851" t="s">
        <v>1130</v>
      </c>
      <c r="BP42" s="3855" t="s">
        <v>1487</v>
      </c>
      <c r="BQ42" s="3856"/>
      <c r="BR42" s="3857"/>
      <c r="BS42" s="3855" t="s">
        <v>1089</v>
      </c>
      <c r="BT42" s="3856"/>
      <c r="BU42" s="3857"/>
      <c r="BV42" s="3858" t="s">
        <v>1132</v>
      </c>
      <c r="BW42" s="3859"/>
      <c r="BX42" s="3855" t="s">
        <v>789</v>
      </c>
      <c r="BY42" s="3856"/>
      <c r="BZ42" s="3857"/>
      <c r="CA42" s="3853" t="s">
        <v>1090</v>
      </c>
      <c r="CB42" s="2898"/>
      <c r="CC42" s="2898"/>
      <c r="CD42" s="2898"/>
      <c r="CE42" s="2898"/>
      <c r="CF42" s="2898"/>
      <c r="CG42" s="2898"/>
      <c r="CH42" s="2898"/>
      <c r="CI42" s="2898"/>
      <c r="CJ42" s="2898"/>
      <c r="CK42" s="2898"/>
      <c r="CL42" s="2898"/>
      <c r="CM42" s="2898"/>
      <c r="CN42" s="2898"/>
      <c r="CO42" s="2898"/>
      <c r="CP42" s="2898"/>
      <c r="CQ42" s="2898"/>
    </row>
    <row r="43" spans="1:95" ht="13.5" customHeight="1" thickBot="1">
      <c r="A43" s="3485" t="s">
        <v>1093</v>
      </c>
      <c r="B43" s="3486"/>
      <c r="C43" s="3852"/>
      <c r="D43" s="3487" t="s">
        <v>1058</v>
      </c>
      <c r="E43" s="3488" t="s">
        <v>1091</v>
      </c>
      <c r="F43" s="3489" t="s">
        <v>1092</v>
      </c>
      <c r="G43" s="3490" t="s">
        <v>1058</v>
      </c>
      <c r="H43" s="3491" t="s">
        <v>1091</v>
      </c>
      <c r="I43" s="3492" t="s">
        <v>1092</v>
      </c>
      <c r="J43" s="3487" t="s">
        <v>1091</v>
      </c>
      <c r="K43" s="3489" t="s">
        <v>1092</v>
      </c>
      <c r="L43" s="3487" t="s">
        <v>1058</v>
      </c>
      <c r="M43" s="3488" t="s">
        <v>1091</v>
      </c>
      <c r="N43" s="3489" t="s">
        <v>1092</v>
      </c>
      <c r="O43" s="3854"/>
      <c r="P43" s="3544"/>
      <c r="Q43" s="3485" t="s">
        <v>1093</v>
      </c>
      <c r="R43" s="3486"/>
      <c r="S43" s="3852"/>
      <c r="T43" s="3487" t="s">
        <v>1058</v>
      </c>
      <c r="U43" s="3488" t="s">
        <v>1091</v>
      </c>
      <c r="V43" s="3489" t="s">
        <v>1092</v>
      </c>
      <c r="W43" s="3490" t="s">
        <v>1058</v>
      </c>
      <c r="X43" s="3491" t="s">
        <v>1091</v>
      </c>
      <c r="Y43" s="3492" t="s">
        <v>1092</v>
      </c>
      <c r="Z43" s="3487" t="s">
        <v>1091</v>
      </c>
      <c r="AA43" s="3489" t="s">
        <v>1092</v>
      </c>
      <c r="AB43" s="3487" t="s">
        <v>1058</v>
      </c>
      <c r="AC43" s="3488" t="s">
        <v>1091</v>
      </c>
      <c r="AD43" s="3489" t="s">
        <v>1092</v>
      </c>
      <c r="AE43" s="3854"/>
      <c r="AF43" s="3544"/>
      <c r="AG43" s="3485" t="s">
        <v>1093</v>
      </c>
      <c r="AH43" s="3486"/>
      <c r="AI43" s="3852"/>
      <c r="AJ43" s="3487" t="s">
        <v>1058</v>
      </c>
      <c r="AK43" s="3488" t="s">
        <v>1091</v>
      </c>
      <c r="AL43" s="3489" t="s">
        <v>1092</v>
      </c>
      <c r="AM43" s="3490" t="s">
        <v>1058</v>
      </c>
      <c r="AN43" s="3491" t="s">
        <v>1091</v>
      </c>
      <c r="AO43" s="3492" t="s">
        <v>1092</v>
      </c>
      <c r="AP43" s="3487" t="s">
        <v>1091</v>
      </c>
      <c r="AQ43" s="3489" t="s">
        <v>1092</v>
      </c>
      <c r="AR43" s="3487" t="s">
        <v>1058</v>
      </c>
      <c r="AS43" s="3488" t="s">
        <v>1091</v>
      </c>
      <c r="AT43" s="3489" t="s">
        <v>1092</v>
      </c>
      <c r="AU43" s="3854"/>
      <c r="AV43" s="3544"/>
      <c r="AW43" s="3485" t="s">
        <v>1093</v>
      </c>
      <c r="AX43" s="3486"/>
      <c r="AY43" s="3852"/>
      <c r="AZ43" s="3487" t="s">
        <v>1058</v>
      </c>
      <c r="BA43" s="3488" t="s">
        <v>1091</v>
      </c>
      <c r="BB43" s="3489" t="s">
        <v>1092</v>
      </c>
      <c r="BC43" s="3490" t="s">
        <v>1058</v>
      </c>
      <c r="BD43" s="3491" t="s">
        <v>1091</v>
      </c>
      <c r="BE43" s="3492" t="s">
        <v>1092</v>
      </c>
      <c r="BF43" s="3487" t="s">
        <v>1091</v>
      </c>
      <c r="BG43" s="3489" t="s">
        <v>1092</v>
      </c>
      <c r="BH43" s="3487" t="s">
        <v>1058</v>
      </c>
      <c r="BI43" s="3488" t="s">
        <v>1091</v>
      </c>
      <c r="BJ43" s="3489" t="s">
        <v>1092</v>
      </c>
      <c r="BK43" s="3854"/>
      <c r="BL43" s="3544"/>
      <c r="BM43" s="3485" t="s">
        <v>1093</v>
      </c>
      <c r="BN43" s="3486"/>
      <c r="BO43" s="3852"/>
      <c r="BP43" s="3487" t="s">
        <v>1058</v>
      </c>
      <c r="BQ43" s="3488" t="s">
        <v>1091</v>
      </c>
      <c r="BR43" s="3489" t="s">
        <v>1092</v>
      </c>
      <c r="BS43" s="3490" t="s">
        <v>1058</v>
      </c>
      <c r="BT43" s="3491" t="s">
        <v>1091</v>
      </c>
      <c r="BU43" s="3492" t="s">
        <v>1092</v>
      </c>
      <c r="BV43" s="3487" t="s">
        <v>1091</v>
      </c>
      <c r="BW43" s="3489" t="s">
        <v>1092</v>
      </c>
      <c r="BX43" s="3487" t="s">
        <v>1058</v>
      </c>
      <c r="BY43" s="3488" t="s">
        <v>1091</v>
      </c>
      <c r="BZ43" s="3489" t="s">
        <v>1092</v>
      </c>
      <c r="CA43" s="3854"/>
    </row>
    <row r="44" spans="1:95" ht="13.5" customHeight="1" thickTop="1">
      <c r="A44" s="3860" t="s">
        <v>1094</v>
      </c>
      <c r="B44" s="3493"/>
      <c r="C44" s="3494">
        <v>1</v>
      </c>
      <c r="D44" s="3495">
        <v>-1.8987842893008249E-2</v>
      </c>
      <c r="E44" s="3496">
        <v>1.3312346737780365</v>
      </c>
      <c r="F44" s="3496">
        <v>11.950028319033697</v>
      </c>
      <c r="G44" s="3497">
        <v>-2.9019863894463038E-3</v>
      </c>
      <c r="H44" s="3498">
        <v>0.86681188922246077</v>
      </c>
      <c r="I44" s="3499">
        <v>2.1827670619755613</v>
      </c>
      <c r="J44" s="3500">
        <v>0.54027188727017639</v>
      </c>
      <c r="K44" s="3501">
        <v>2.1266469808943045</v>
      </c>
      <c r="L44" s="3495">
        <v>-1.2217476996189486E-2</v>
      </c>
      <c r="M44" s="3496">
        <v>0.37426657127035357</v>
      </c>
      <c r="N44" s="3501">
        <v>0.18405775557053952</v>
      </c>
      <c r="O44" s="3502">
        <v>1.1090274111143703</v>
      </c>
      <c r="P44" s="3544"/>
      <c r="Q44" s="3860" t="s">
        <v>1094</v>
      </c>
      <c r="R44" s="3493"/>
      <c r="S44" s="3494">
        <v>1</v>
      </c>
      <c r="T44" s="3495">
        <v>-1.8987842893008249E-2</v>
      </c>
      <c r="U44" s="3496">
        <v>1.3312346737780365</v>
      </c>
      <c r="V44" s="3496">
        <v>11.950028319033697</v>
      </c>
      <c r="W44" s="3497">
        <v>-2.9019863894463038E-3</v>
      </c>
      <c r="X44" s="3498">
        <v>0.86681188922246077</v>
      </c>
      <c r="Y44" s="3499">
        <v>2.1827670619755613</v>
      </c>
      <c r="Z44" s="3500">
        <v>0.54027188727017639</v>
      </c>
      <c r="AA44" s="3501">
        <v>2.1266469808943045</v>
      </c>
      <c r="AB44" s="3495">
        <v>-1.2217476996189486E-2</v>
      </c>
      <c r="AC44" s="3496">
        <v>0.37426657127035357</v>
      </c>
      <c r="AD44" s="3501">
        <v>0.18405775557053952</v>
      </c>
      <c r="AE44" s="3502">
        <v>1.1090274111143703</v>
      </c>
      <c r="AF44" s="3544"/>
      <c r="AG44" s="3860" t="s">
        <v>1094</v>
      </c>
      <c r="AH44" s="3493"/>
      <c r="AI44" s="3494">
        <v>1</v>
      </c>
      <c r="AJ44" s="3495">
        <v>-3.607690149671567E-2</v>
      </c>
      <c r="AK44" s="3496">
        <v>2.5293458801782691</v>
      </c>
      <c r="AL44" s="3496">
        <v>22.705053806164024</v>
      </c>
      <c r="AM44" s="3497">
        <v>-5.5137741399479768E-3</v>
      </c>
      <c r="AN44" s="3498">
        <v>1.6469425895226755</v>
      </c>
      <c r="AO44" s="3499">
        <v>4.1472574177535666</v>
      </c>
      <c r="AP44" s="3500">
        <v>1.0265165858133352</v>
      </c>
      <c r="AQ44" s="3501">
        <v>4.0406292636991781</v>
      </c>
      <c r="AR44" s="3495">
        <v>-2.3213206292760025E-2</v>
      </c>
      <c r="AS44" s="3496">
        <v>0.71110648541367172</v>
      </c>
      <c r="AT44" s="3501">
        <v>0.34970973558402507</v>
      </c>
      <c r="AU44" s="3502">
        <v>2.1071520811173037</v>
      </c>
      <c r="AV44" s="3544"/>
      <c r="AW44" s="3860" t="s">
        <v>1094</v>
      </c>
      <c r="AX44" s="3493"/>
      <c r="AY44" s="3494">
        <v>1</v>
      </c>
      <c r="AZ44" s="3495">
        <v>-5.5064744389723919E-2</v>
      </c>
      <c r="BA44" s="3496">
        <v>3.8605805539563058</v>
      </c>
      <c r="BB44" s="3496">
        <v>34.655082125197723</v>
      </c>
      <c r="BC44" s="3497">
        <v>-8.4157605293942814E-3</v>
      </c>
      <c r="BD44" s="3498">
        <v>2.513754478745136</v>
      </c>
      <c r="BE44" s="3499">
        <v>6.3300244797291274</v>
      </c>
      <c r="BF44" s="3500">
        <v>1.5667884730835115</v>
      </c>
      <c r="BG44" s="3501">
        <v>6.1672762445934826</v>
      </c>
      <c r="BH44" s="3495">
        <v>-3.5430683288949508E-2</v>
      </c>
      <c r="BI44" s="3496">
        <v>1.0853730566840254</v>
      </c>
      <c r="BJ44" s="3501">
        <v>0.53376749115456457</v>
      </c>
      <c r="BK44" s="3502">
        <v>3.216179492231674</v>
      </c>
      <c r="BL44" s="3544"/>
      <c r="BM44" s="3860" t="s">
        <v>1094</v>
      </c>
      <c r="BN44" s="3493"/>
      <c r="BO44" s="3494">
        <v>1</v>
      </c>
      <c r="BP44" s="3495">
        <v>-4.7469607232520625E-2</v>
      </c>
      <c r="BQ44" s="3496">
        <v>3.3280866844450911</v>
      </c>
      <c r="BR44" s="3496">
        <v>29.875070797584243</v>
      </c>
      <c r="BS44" s="3497">
        <v>-7.2549659736157596E-3</v>
      </c>
      <c r="BT44" s="3498">
        <v>2.1670297230561522</v>
      </c>
      <c r="BU44" s="3499">
        <v>5.4569176549389029</v>
      </c>
      <c r="BV44" s="3500">
        <v>1.3506797181754409</v>
      </c>
      <c r="BW44" s="3501">
        <v>5.3166174522357608</v>
      </c>
      <c r="BX44" s="3495">
        <v>-3.0543692490473714E-2</v>
      </c>
      <c r="BY44" s="3496">
        <v>0.93566642817588397</v>
      </c>
      <c r="BZ44" s="3501">
        <v>0.46014438892634879</v>
      </c>
      <c r="CA44" s="3502">
        <v>2.7725685277859258</v>
      </c>
    </row>
    <row r="45" spans="1:95" ht="13.5" customHeight="1">
      <c r="A45" s="3860"/>
      <c r="B45" s="3493"/>
      <c r="C45" s="3494">
        <v>2</v>
      </c>
      <c r="D45" s="3495">
        <v>-3.3908952036702071E-2</v>
      </c>
      <c r="E45" s="3496">
        <v>4.2684468097195785</v>
      </c>
      <c r="F45" s="3496">
        <v>25.642449152847892</v>
      </c>
      <c r="G45" s="3503">
        <v>4.7991258613041717E-3</v>
      </c>
      <c r="H45" s="3504">
        <v>2.839956100949411</v>
      </c>
      <c r="I45" s="3501">
        <v>8.692275077488306</v>
      </c>
      <c r="J45" s="3500">
        <v>1.7460857709696083</v>
      </c>
      <c r="K45" s="3501">
        <v>8.1063139333527658</v>
      </c>
      <c r="L45" s="3495">
        <v>-2.6827256714210514E-2</v>
      </c>
      <c r="M45" s="3496">
        <v>1.1283530069561549</v>
      </c>
      <c r="N45" s="3501">
        <v>1.3338256040063612</v>
      </c>
      <c r="O45" s="3502">
        <v>2.6786112979017118</v>
      </c>
      <c r="P45" s="3544"/>
      <c r="Q45" s="3860"/>
      <c r="R45" s="3493"/>
      <c r="S45" s="3494">
        <v>2</v>
      </c>
      <c r="T45" s="3495">
        <v>-3.3908952036702071E-2</v>
      </c>
      <c r="U45" s="3496">
        <v>4.2684468097195785</v>
      </c>
      <c r="V45" s="3496">
        <v>25.642449152847892</v>
      </c>
      <c r="W45" s="3503">
        <v>4.7991258613041717E-3</v>
      </c>
      <c r="X45" s="3504">
        <v>2.839956100949411</v>
      </c>
      <c r="Y45" s="3501">
        <v>8.692275077488306</v>
      </c>
      <c r="Z45" s="3500">
        <v>1.7460857709696083</v>
      </c>
      <c r="AA45" s="3501">
        <v>8.1063139333527658</v>
      </c>
      <c r="AB45" s="3495">
        <v>-2.6827256714210514E-2</v>
      </c>
      <c r="AC45" s="3496">
        <v>1.1283530069561549</v>
      </c>
      <c r="AD45" s="3501">
        <v>1.3338256040063612</v>
      </c>
      <c r="AE45" s="3502">
        <v>2.6786112979017118</v>
      </c>
      <c r="AF45" s="3544"/>
      <c r="AG45" s="3860"/>
      <c r="AH45" s="3493"/>
      <c r="AI45" s="3494">
        <v>2</v>
      </c>
      <c r="AJ45" s="3495">
        <v>-6.4427008869733932E-2</v>
      </c>
      <c r="AK45" s="3496">
        <v>8.1100489384671981</v>
      </c>
      <c r="AL45" s="3496">
        <v>48.720653390410995</v>
      </c>
      <c r="AM45" s="3503">
        <v>9.1183391364779258E-3</v>
      </c>
      <c r="AN45" s="3504">
        <v>5.3959165918038803</v>
      </c>
      <c r="AO45" s="3501">
        <v>16.51532264722778</v>
      </c>
      <c r="AP45" s="3500">
        <v>3.3175629648422555</v>
      </c>
      <c r="AQ45" s="3501">
        <v>15.401996473370254</v>
      </c>
      <c r="AR45" s="3495">
        <v>-5.0971787756999974E-2</v>
      </c>
      <c r="AS45" s="3496">
        <v>2.1438707132166943</v>
      </c>
      <c r="AT45" s="3501">
        <v>2.5342686476120861</v>
      </c>
      <c r="AU45" s="3502">
        <v>5.0893614660132522</v>
      </c>
      <c r="AV45" s="3544"/>
      <c r="AW45" s="3860"/>
      <c r="AX45" s="3493"/>
      <c r="AY45" s="3494">
        <v>2</v>
      </c>
      <c r="AZ45" s="3495">
        <v>-9.833596090643601E-2</v>
      </c>
      <c r="BA45" s="3496">
        <v>12.378495748186777</v>
      </c>
      <c r="BB45" s="3496">
        <v>74.36310254325889</v>
      </c>
      <c r="BC45" s="3503">
        <v>1.3917464997782097E-2</v>
      </c>
      <c r="BD45" s="3504">
        <v>8.2358726927532917</v>
      </c>
      <c r="BE45" s="3501">
        <v>25.207597724716088</v>
      </c>
      <c r="BF45" s="3500">
        <v>5.0636487358118636</v>
      </c>
      <c r="BG45" s="3501">
        <v>23.50831040672302</v>
      </c>
      <c r="BH45" s="3495">
        <v>-7.7799044471210485E-2</v>
      </c>
      <c r="BI45" s="3496">
        <v>3.2722237201728492</v>
      </c>
      <c r="BJ45" s="3501">
        <v>3.8680942516184471</v>
      </c>
      <c r="BK45" s="3502">
        <v>7.7679727639149636</v>
      </c>
      <c r="BL45" s="3544"/>
      <c r="BM45" s="3860"/>
      <c r="BN45" s="3493"/>
      <c r="BO45" s="3494">
        <v>2</v>
      </c>
      <c r="BP45" s="3495">
        <v>-8.4772380091755181E-2</v>
      </c>
      <c r="BQ45" s="3496">
        <v>10.671117024298946</v>
      </c>
      <c r="BR45" s="3496">
        <v>64.106122882119735</v>
      </c>
      <c r="BS45" s="3503">
        <v>1.1997814653260429E-2</v>
      </c>
      <c r="BT45" s="3504">
        <v>7.0998902523735277</v>
      </c>
      <c r="BU45" s="3501">
        <v>21.730687693720764</v>
      </c>
      <c r="BV45" s="3500">
        <v>4.3652144274240205</v>
      </c>
      <c r="BW45" s="3501">
        <v>20.265784833381915</v>
      </c>
      <c r="BX45" s="3495">
        <v>-6.7068141785526281E-2</v>
      </c>
      <c r="BY45" s="3496">
        <v>2.8208825173903875</v>
      </c>
      <c r="BZ45" s="3501">
        <v>3.3345640100159031</v>
      </c>
      <c r="CA45" s="3502">
        <v>6.6965282447542798</v>
      </c>
    </row>
    <row r="46" spans="1:95" ht="13.5" customHeight="1">
      <c r="A46" s="3860"/>
      <c r="B46" s="3493"/>
      <c r="C46" s="3494">
        <v>3</v>
      </c>
      <c r="D46" s="3495">
        <v>7.4940680737057633E-2</v>
      </c>
      <c r="E46" s="3496">
        <v>20.997518065931782</v>
      </c>
      <c r="F46" s="3496">
        <v>49.430437371477417</v>
      </c>
      <c r="G46" s="3503">
        <v>0.5688302371597681</v>
      </c>
      <c r="H46" s="3504">
        <v>22.653775774935227</v>
      </c>
      <c r="I46" s="3501">
        <v>19.3310742954089</v>
      </c>
      <c r="J46" s="3500">
        <v>9.9917704277535808</v>
      </c>
      <c r="K46" s="3501">
        <v>17.414038503419295</v>
      </c>
      <c r="L46" s="3495">
        <v>0.62905570158847424</v>
      </c>
      <c r="M46" s="3496">
        <v>3.2545803779168163</v>
      </c>
      <c r="N46" s="3501">
        <v>6.6045708880380039</v>
      </c>
      <c r="O46" s="3502">
        <v>9.0627373734159402</v>
      </c>
      <c r="P46" s="3544"/>
      <c r="Q46" s="3860"/>
      <c r="R46" s="3493"/>
      <c r="S46" s="3494">
        <v>3</v>
      </c>
      <c r="T46" s="3495">
        <v>7.4940680737057633E-2</v>
      </c>
      <c r="U46" s="3496">
        <v>20.997518065931782</v>
      </c>
      <c r="V46" s="3496">
        <v>49.430437371477417</v>
      </c>
      <c r="W46" s="3503">
        <v>0.5688302371597681</v>
      </c>
      <c r="X46" s="3504">
        <v>22.653775774935227</v>
      </c>
      <c r="Y46" s="3501">
        <v>19.3310742954089</v>
      </c>
      <c r="Z46" s="3500">
        <v>9.9917704277535808</v>
      </c>
      <c r="AA46" s="3501">
        <v>17.414038503419295</v>
      </c>
      <c r="AB46" s="3495">
        <v>0.62905570158847424</v>
      </c>
      <c r="AC46" s="3496">
        <v>3.2545803779168163</v>
      </c>
      <c r="AD46" s="3501">
        <v>6.6045708880380039</v>
      </c>
      <c r="AE46" s="3502">
        <v>9.0627373734159402</v>
      </c>
      <c r="AF46" s="3544"/>
      <c r="AG46" s="3860"/>
      <c r="AH46" s="3493"/>
      <c r="AI46" s="3494">
        <v>3</v>
      </c>
      <c r="AJ46" s="3495">
        <v>0.14238729340040951</v>
      </c>
      <c r="AK46" s="3496">
        <v>39.895284325270381</v>
      </c>
      <c r="AL46" s="3496">
        <v>93.917831005807088</v>
      </c>
      <c r="AM46" s="3503">
        <v>1.0807774506035595</v>
      </c>
      <c r="AN46" s="3504">
        <v>43.042173972376929</v>
      </c>
      <c r="AO46" s="3501">
        <v>36.729041161276911</v>
      </c>
      <c r="AP46" s="3500">
        <v>18.984363812731804</v>
      </c>
      <c r="AQ46" s="3501">
        <v>33.086673156496659</v>
      </c>
      <c r="AR46" s="3495">
        <v>1.195205833018101</v>
      </c>
      <c r="AS46" s="3496">
        <v>6.1837027180419506</v>
      </c>
      <c r="AT46" s="3501">
        <v>12.548684687272207</v>
      </c>
      <c r="AU46" s="3502">
        <v>17.219201009490284</v>
      </c>
      <c r="AV46" s="3544"/>
      <c r="AW46" s="3860"/>
      <c r="AX46" s="3493"/>
      <c r="AY46" s="3494">
        <v>3</v>
      </c>
      <c r="AZ46" s="3495">
        <v>0.21732797413746713</v>
      </c>
      <c r="BA46" s="3496">
        <v>60.892802391202167</v>
      </c>
      <c r="BB46" s="3496">
        <v>143.34826837728451</v>
      </c>
      <c r="BC46" s="3503">
        <v>1.6496076877633274</v>
      </c>
      <c r="BD46" s="3504">
        <v>65.695949747312156</v>
      </c>
      <c r="BE46" s="3501">
        <v>56.060115456685807</v>
      </c>
      <c r="BF46" s="3500">
        <v>28.976134240485383</v>
      </c>
      <c r="BG46" s="3501">
        <v>50.500711659915957</v>
      </c>
      <c r="BH46" s="3495">
        <v>1.8242615346065751</v>
      </c>
      <c r="BI46" s="3496">
        <v>9.4382830959587665</v>
      </c>
      <c r="BJ46" s="3501">
        <v>19.153255575310212</v>
      </c>
      <c r="BK46" s="3502">
        <v>26.281938382906226</v>
      </c>
      <c r="BL46" s="3544"/>
      <c r="BM46" s="3860"/>
      <c r="BN46" s="3493"/>
      <c r="BO46" s="3494">
        <v>3</v>
      </c>
      <c r="BP46" s="3495">
        <v>0.18735170184264408</v>
      </c>
      <c r="BQ46" s="3496">
        <v>52.493795164829457</v>
      </c>
      <c r="BR46" s="3496">
        <v>123.57609342869354</v>
      </c>
      <c r="BS46" s="3503">
        <v>1.4220755928994202</v>
      </c>
      <c r="BT46" s="3504">
        <v>56.634439437338067</v>
      </c>
      <c r="BU46" s="3501">
        <v>48.327685738522248</v>
      </c>
      <c r="BV46" s="3500">
        <v>24.979426069383951</v>
      </c>
      <c r="BW46" s="3501">
        <v>43.535096258548236</v>
      </c>
      <c r="BX46" s="3495">
        <v>1.5726392539711855</v>
      </c>
      <c r="BY46" s="3496">
        <v>8.1364509447920401</v>
      </c>
      <c r="BZ46" s="3501">
        <v>16.511427220095008</v>
      </c>
      <c r="CA46" s="3502">
        <v>22.656843433539851</v>
      </c>
    </row>
    <row r="47" spans="1:95" ht="13.5" customHeight="1">
      <c r="A47" s="3860"/>
      <c r="B47" s="3493"/>
      <c r="C47" s="3494">
        <v>4</v>
      </c>
      <c r="D47" s="3495">
        <v>14.073130586235109</v>
      </c>
      <c r="E47" s="3496">
        <v>102.54789406053015</v>
      </c>
      <c r="F47" s="3496">
        <v>125.03180833158169</v>
      </c>
      <c r="G47" s="3503">
        <v>16.637659210393956</v>
      </c>
      <c r="H47" s="3504">
        <v>115.05328995380336</v>
      </c>
      <c r="I47" s="3501">
        <v>117.79898166068708</v>
      </c>
      <c r="J47" s="3500">
        <v>38.935805540779484</v>
      </c>
      <c r="K47" s="3501">
        <v>117.98707781191487</v>
      </c>
      <c r="L47" s="3495">
        <v>16.317360810989157</v>
      </c>
      <c r="M47" s="3496">
        <v>44.264057044804822</v>
      </c>
      <c r="N47" s="3501">
        <v>30.040023146493123</v>
      </c>
      <c r="O47" s="3502">
        <v>72.186566614512969</v>
      </c>
      <c r="P47" s="3544"/>
      <c r="Q47" s="3860"/>
      <c r="R47" s="3493"/>
      <c r="S47" s="3494">
        <v>4</v>
      </c>
      <c r="T47" s="3495">
        <v>14.073130586235109</v>
      </c>
      <c r="U47" s="3496">
        <v>102.54789406053015</v>
      </c>
      <c r="V47" s="3496">
        <v>125.03180833158169</v>
      </c>
      <c r="W47" s="3503">
        <v>16.637659210393956</v>
      </c>
      <c r="X47" s="3504">
        <v>115.05328995380336</v>
      </c>
      <c r="Y47" s="3501">
        <v>117.79898166068708</v>
      </c>
      <c r="Z47" s="3500">
        <v>38.935805540779484</v>
      </c>
      <c r="AA47" s="3501">
        <v>117.98707781191487</v>
      </c>
      <c r="AB47" s="3495">
        <v>16.317360810989157</v>
      </c>
      <c r="AC47" s="3496">
        <v>44.264057044804822</v>
      </c>
      <c r="AD47" s="3501">
        <v>30.040023146493123</v>
      </c>
      <c r="AE47" s="3502">
        <v>72.186566614512969</v>
      </c>
      <c r="AF47" s="3544"/>
      <c r="AG47" s="3860"/>
      <c r="AH47" s="3493"/>
      <c r="AI47" s="3494">
        <v>4</v>
      </c>
      <c r="AJ47" s="3495">
        <v>26.738948113846707</v>
      </c>
      <c r="AK47" s="3496">
        <v>194.84099871500729</v>
      </c>
      <c r="AL47" s="3496">
        <v>237.56043583000519</v>
      </c>
      <c r="AM47" s="3503">
        <v>31.611552499748516</v>
      </c>
      <c r="AN47" s="3504">
        <v>218.60125091222636</v>
      </c>
      <c r="AO47" s="3501">
        <v>223.81806515530545</v>
      </c>
      <c r="AP47" s="3500">
        <v>73.97803052748101</v>
      </c>
      <c r="AQ47" s="3501">
        <v>224.17544784263825</v>
      </c>
      <c r="AR47" s="3495">
        <v>31.002985540879397</v>
      </c>
      <c r="AS47" s="3496">
        <v>84.101708385129157</v>
      </c>
      <c r="AT47" s="3501">
        <v>57.076043978336934</v>
      </c>
      <c r="AU47" s="3502">
        <v>137.15447656757465</v>
      </c>
      <c r="AV47" s="3544"/>
      <c r="AW47" s="3860"/>
      <c r="AX47" s="3493"/>
      <c r="AY47" s="3494">
        <v>4</v>
      </c>
      <c r="AZ47" s="3495">
        <v>40.812078700081813</v>
      </c>
      <c r="BA47" s="3496">
        <v>297.38889277553744</v>
      </c>
      <c r="BB47" s="3496">
        <v>362.5922441615869</v>
      </c>
      <c r="BC47" s="3503">
        <v>48.249211710142468</v>
      </c>
      <c r="BD47" s="3504">
        <v>333.65454086602972</v>
      </c>
      <c r="BE47" s="3501">
        <v>341.61704681599252</v>
      </c>
      <c r="BF47" s="3500">
        <v>112.91383606826049</v>
      </c>
      <c r="BG47" s="3501">
        <v>342.16252565455312</v>
      </c>
      <c r="BH47" s="3495">
        <v>47.320346351868558</v>
      </c>
      <c r="BI47" s="3496">
        <v>128.36576542993399</v>
      </c>
      <c r="BJ47" s="3501">
        <v>87.116067124830053</v>
      </c>
      <c r="BK47" s="3502">
        <v>209.34104318208762</v>
      </c>
      <c r="BL47" s="3544"/>
      <c r="BM47" s="3860"/>
      <c r="BN47" s="3493"/>
      <c r="BO47" s="3494">
        <v>4</v>
      </c>
      <c r="BP47" s="3495">
        <v>35.182826465587773</v>
      </c>
      <c r="BQ47" s="3496">
        <v>256.36973515132536</v>
      </c>
      <c r="BR47" s="3496">
        <v>312.57952082895423</v>
      </c>
      <c r="BS47" s="3503">
        <v>41.594148025984893</v>
      </c>
      <c r="BT47" s="3504">
        <v>287.63322488450842</v>
      </c>
      <c r="BU47" s="3501">
        <v>294.4974541517177</v>
      </c>
      <c r="BV47" s="3500">
        <v>97.339513851948709</v>
      </c>
      <c r="BW47" s="3501">
        <v>294.9676945297872</v>
      </c>
      <c r="BX47" s="3495">
        <v>40.793402027472894</v>
      </c>
      <c r="BY47" s="3496">
        <v>110.66014261201205</v>
      </c>
      <c r="BZ47" s="3501">
        <v>75.100057866232802</v>
      </c>
      <c r="CA47" s="3502">
        <v>180.46641653628242</v>
      </c>
    </row>
    <row r="48" spans="1:95" ht="13.5" customHeight="1">
      <c r="A48" s="3860"/>
      <c r="B48" s="3493"/>
      <c r="C48" s="3505">
        <v>5</v>
      </c>
      <c r="D48" s="3495" t="e">
        <v>#N/A</v>
      </c>
      <c r="E48" s="3496">
        <v>218.59909420291729</v>
      </c>
      <c r="F48" s="3496">
        <v>193.25779463581</v>
      </c>
      <c r="G48" s="3506">
        <v>57.748840448332871</v>
      </c>
      <c r="H48" s="3507">
        <v>187.78522923376568</v>
      </c>
      <c r="I48" s="3508">
        <v>227.62648152132886</v>
      </c>
      <c r="J48" s="3509">
        <v>67.76025302785014</v>
      </c>
      <c r="K48" s="3508">
        <v>207.99036696736536</v>
      </c>
      <c r="L48" s="3510">
        <v>69.688839944902526</v>
      </c>
      <c r="M48" s="3511">
        <v>115.4001892941728</v>
      </c>
      <c r="N48" s="3508">
        <v>128.0277637944472</v>
      </c>
      <c r="O48" s="3502">
        <v>154.29458650597363</v>
      </c>
      <c r="P48" s="3544"/>
      <c r="Q48" s="3860"/>
      <c r="R48" s="3493"/>
      <c r="S48" s="3505">
        <v>5</v>
      </c>
      <c r="T48" s="3495" t="e">
        <v>#N/A</v>
      </c>
      <c r="U48" s="3496">
        <v>218.59909420291729</v>
      </c>
      <c r="V48" s="3496">
        <v>193.25779463581</v>
      </c>
      <c r="W48" s="3506">
        <v>57.748840448332871</v>
      </c>
      <c r="X48" s="3507">
        <v>187.78522923376568</v>
      </c>
      <c r="Y48" s="3508">
        <v>227.62648152132886</v>
      </c>
      <c r="Z48" s="3509">
        <v>67.76025302785014</v>
      </c>
      <c r="AA48" s="3508">
        <v>207.99036696736536</v>
      </c>
      <c r="AB48" s="3510">
        <v>69.688839944902526</v>
      </c>
      <c r="AC48" s="3511">
        <v>115.4001892941728</v>
      </c>
      <c r="AD48" s="3508">
        <v>128.0277637944472</v>
      </c>
      <c r="AE48" s="3502">
        <v>154.29458650597363</v>
      </c>
      <c r="AF48" s="3544"/>
      <c r="AG48" s="3860"/>
      <c r="AH48" s="3493"/>
      <c r="AI48" s="3505">
        <v>5</v>
      </c>
      <c r="AJ48" s="3495" t="e">
        <v>#N/A</v>
      </c>
      <c r="AK48" s="3496">
        <v>415.33827898554284</v>
      </c>
      <c r="AL48" s="3496">
        <v>367.189809808039</v>
      </c>
      <c r="AM48" s="3506">
        <v>109.72279685183246</v>
      </c>
      <c r="AN48" s="3507">
        <v>356.7919355441548</v>
      </c>
      <c r="AO48" s="3508">
        <v>432.49031489052481</v>
      </c>
      <c r="AP48" s="3509">
        <v>128.74448075291525</v>
      </c>
      <c r="AQ48" s="3508">
        <v>395.18169723799417</v>
      </c>
      <c r="AR48" s="3510">
        <v>132.4087958953148</v>
      </c>
      <c r="AS48" s="3511">
        <v>219.26035965892831</v>
      </c>
      <c r="AT48" s="3508">
        <v>243.25275120944966</v>
      </c>
      <c r="AU48" s="3502">
        <v>293.15971436134987</v>
      </c>
      <c r="AV48" s="3544"/>
      <c r="AW48" s="3860"/>
      <c r="AX48" s="3493"/>
      <c r="AY48" s="3505">
        <v>5</v>
      </c>
      <c r="AZ48" s="3495" t="e">
        <v>#N/A</v>
      </c>
      <c r="BA48" s="3496">
        <v>633.93737318846013</v>
      </c>
      <c r="BB48" s="3496">
        <v>560.44760444384895</v>
      </c>
      <c r="BC48" s="3506">
        <v>167.47163730016533</v>
      </c>
      <c r="BD48" s="3507">
        <v>544.57716477792042</v>
      </c>
      <c r="BE48" s="3508">
        <v>660.11679641185367</v>
      </c>
      <c r="BF48" s="3509">
        <v>196.50473378076541</v>
      </c>
      <c r="BG48" s="3508">
        <v>603.17206420535956</v>
      </c>
      <c r="BH48" s="3510">
        <v>202.09763584021732</v>
      </c>
      <c r="BI48" s="3511">
        <v>334.66054895310111</v>
      </c>
      <c r="BJ48" s="3508">
        <v>371.28051500389688</v>
      </c>
      <c r="BK48" s="3502">
        <v>447.45430086732352</v>
      </c>
      <c r="BL48" s="3544"/>
      <c r="BM48" s="3860"/>
      <c r="BN48" s="3493"/>
      <c r="BO48" s="3505">
        <v>5</v>
      </c>
      <c r="BP48" s="3495" t="e">
        <v>#N/A</v>
      </c>
      <c r="BQ48" s="3496">
        <v>546.49773550729321</v>
      </c>
      <c r="BR48" s="3496">
        <v>483.144486589525</v>
      </c>
      <c r="BS48" s="3506">
        <v>144.37210112083218</v>
      </c>
      <c r="BT48" s="3507">
        <v>469.46307308441419</v>
      </c>
      <c r="BU48" s="3508">
        <v>569.0662038033222</v>
      </c>
      <c r="BV48" s="3509">
        <v>169.40063256962534</v>
      </c>
      <c r="BW48" s="3508">
        <v>519.97591741841336</v>
      </c>
      <c r="BX48" s="3510">
        <v>174.2220998622563</v>
      </c>
      <c r="BY48" s="3511">
        <v>288.50047323543203</v>
      </c>
      <c r="BZ48" s="3508">
        <v>320.06940948611799</v>
      </c>
      <c r="CA48" s="3502">
        <v>385.73646626493405</v>
      </c>
    </row>
    <row r="49" spans="1:95" ht="13.5" customHeight="1">
      <c r="A49" s="3860"/>
      <c r="B49" s="3493"/>
      <c r="C49" s="3512" t="s">
        <v>1422</v>
      </c>
      <c r="D49" s="3513">
        <v>0.10466306731469976</v>
      </c>
      <c r="E49" s="3514">
        <v>69.198368964282608</v>
      </c>
      <c r="F49" s="3515">
        <v>45.898744264912857</v>
      </c>
      <c r="G49" s="3513">
        <v>1.6486832335321817</v>
      </c>
      <c r="H49" s="3514">
        <v>32.962098344500987</v>
      </c>
      <c r="I49" s="3515">
        <v>23.521353345499978</v>
      </c>
      <c r="J49" s="3516">
        <v>13.297718917601635</v>
      </c>
      <c r="K49" s="3517">
        <v>10.272456095809124</v>
      </c>
      <c r="L49" s="3518">
        <v>0.9720710832492454</v>
      </c>
      <c r="M49" s="3519">
        <v>2.2179659536285601</v>
      </c>
      <c r="N49" s="3517">
        <v>2.9275789821827356</v>
      </c>
      <c r="O49" s="3520">
        <v>11.336490264908569</v>
      </c>
      <c r="P49" s="3544"/>
      <c r="Q49" s="3860"/>
      <c r="R49" s="3493"/>
      <c r="S49" s="3512" t="s">
        <v>1422</v>
      </c>
      <c r="T49" s="3513">
        <v>0.10466306731469976</v>
      </c>
      <c r="U49" s="3514">
        <v>69.198368964282608</v>
      </c>
      <c r="V49" s="3515">
        <v>45.898744264912857</v>
      </c>
      <c r="W49" s="3513">
        <v>1.6486832335321817</v>
      </c>
      <c r="X49" s="3514">
        <v>32.962098344500987</v>
      </c>
      <c r="Y49" s="3515">
        <v>23.521353345499978</v>
      </c>
      <c r="Z49" s="3516">
        <v>13.297718917601635</v>
      </c>
      <c r="AA49" s="3517">
        <v>10.272456095809124</v>
      </c>
      <c r="AB49" s="3518">
        <v>0.9720710832492454</v>
      </c>
      <c r="AC49" s="3519">
        <v>2.2179659536285601</v>
      </c>
      <c r="AD49" s="3517">
        <v>2.9275789821827356</v>
      </c>
      <c r="AE49" s="3520">
        <v>11.336490264908569</v>
      </c>
      <c r="AF49" s="3544"/>
      <c r="AG49" s="3860"/>
      <c r="AH49" s="3493"/>
      <c r="AI49" s="3512" t="s">
        <v>1422</v>
      </c>
      <c r="AJ49" s="3513">
        <v>0.19885982789792955</v>
      </c>
      <c r="AK49" s="3514">
        <v>131.47690103213694</v>
      </c>
      <c r="AL49" s="3515">
        <v>87.207614103334421</v>
      </c>
      <c r="AM49" s="3513">
        <v>3.1324981437111452</v>
      </c>
      <c r="AN49" s="3514">
        <v>62.627986854551871</v>
      </c>
      <c r="AO49" s="3515">
        <v>44.690571356449958</v>
      </c>
      <c r="AP49" s="3516">
        <v>25.265665943443107</v>
      </c>
      <c r="AQ49" s="3517">
        <v>19.517666582037336</v>
      </c>
      <c r="AR49" s="3518">
        <v>1.8469350581735662</v>
      </c>
      <c r="AS49" s="3519">
        <v>4.2141353118942639</v>
      </c>
      <c r="AT49" s="3517">
        <v>5.5624000661471973</v>
      </c>
      <c r="AU49" s="3520">
        <v>21.539331503326281</v>
      </c>
      <c r="AV49" s="3544"/>
      <c r="AW49" s="3860"/>
      <c r="AX49" s="3493"/>
      <c r="AY49" s="3512" t="s">
        <v>1422</v>
      </c>
      <c r="AZ49" s="3513">
        <v>0.30352289521262932</v>
      </c>
      <c r="BA49" s="3514">
        <v>200.67526999641956</v>
      </c>
      <c r="BB49" s="3515">
        <v>133.10635836824727</v>
      </c>
      <c r="BC49" s="3513">
        <v>4.7811813772433265</v>
      </c>
      <c r="BD49" s="3514">
        <v>95.590085199052865</v>
      </c>
      <c r="BE49" s="3515">
        <v>68.21192470194994</v>
      </c>
      <c r="BF49" s="3516">
        <v>38.563384861044739</v>
      </c>
      <c r="BG49" s="3517">
        <v>29.790122677846458</v>
      </c>
      <c r="BH49" s="3518">
        <v>2.8190061414228116</v>
      </c>
      <c r="BI49" s="3519">
        <v>6.4321012655228245</v>
      </c>
      <c r="BJ49" s="3517">
        <v>8.4899790483299338</v>
      </c>
      <c r="BK49" s="3520">
        <v>32.87582176823485</v>
      </c>
      <c r="BL49" s="3544"/>
      <c r="BM49" s="3860"/>
      <c r="BN49" s="3493"/>
      <c r="BO49" s="3512" t="s">
        <v>1422</v>
      </c>
      <c r="BP49" s="3513">
        <v>0.26165766828674941</v>
      </c>
      <c r="BQ49" s="3514">
        <v>172.99592241070653</v>
      </c>
      <c r="BR49" s="3515">
        <v>114.74686066228215</v>
      </c>
      <c r="BS49" s="3513">
        <v>4.1217080838304545</v>
      </c>
      <c r="BT49" s="3514">
        <v>82.405245861252467</v>
      </c>
      <c r="BU49" s="3515">
        <v>58.803383363749944</v>
      </c>
      <c r="BV49" s="3516">
        <v>33.244297294004085</v>
      </c>
      <c r="BW49" s="3517">
        <v>25.681140239522811</v>
      </c>
      <c r="BX49" s="3518">
        <v>2.4301777081231135</v>
      </c>
      <c r="BY49" s="3519">
        <v>5.5449148840714004</v>
      </c>
      <c r="BZ49" s="3517">
        <v>7.318947455456839</v>
      </c>
      <c r="CA49" s="3520">
        <v>28.341225662271423</v>
      </c>
    </row>
    <row r="50" spans="1:95" ht="13.5" customHeight="1">
      <c r="A50" s="3521" t="s">
        <v>1095</v>
      </c>
      <c r="B50" s="3522"/>
      <c r="C50" s="3523" t="s">
        <v>1096</v>
      </c>
      <c r="D50" s="3524">
        <v>0</v>
      </c>
      <c r="E50" s="3525">
        <v>0.10771565467774159</v>
      </c>
      <c r="F50" s="3526">
        <v>0.10771565467774159</v>
      </c>
      <c r="G50" s="3524">
        <v>0</v>
      </c>
      <c r="H50" s="3525">
        <v>0.10771565467774159</v>
      </c>
      <c r="I50" s="3526">
        <v>0.10771565467774159</v>
      </c>
      <c r="J50" s="3527">
        <v>0.10771565467774159</v>
      </c>
      <c r="K50" s="3526">
        <v>0.10771565467774159</v>
      </c>
      <c r="L50" s="3527">
        <v>0</v>
      </c>
      <c r="M50" s="3528">
        <v>0.10771565467774159</v>
      </c>
      <c r="N50" s="3526">
        <v>0.10771565467774159</v>
      </c>
      <c r="O50" s="3529">
        <v>8.8468342638154243E-2</v>
      </c>
      <c r="P50" s="3544"/>
      <c r="Q50" s="3521" t="s">
        <v>1095</v>
      </c>
      <c r="R50" s="3522"/>
      <c r="S50" s="3523" t="s">
        <v>1096</v>
      </c>
      <c r="T50" s="3524">
        <v>0</v>
      </c>
      <c r="U50" s="3525">
        <v>0.10771565467774159</v>
      </c>
      <c r="V50" s="3526">
        <v>0.10771565467774159</v>
      </c>
      <c r="W50" s="3524">
        <v>0</v>
      </c>
      <c r="X50" s="3525">
        <v>0.10771565467774159</v>
      </c>
      <c r="Y50" s="3526">
        <v>0.10771565467774159</v>
      </c>
      <c r="Z50" s="3527">
        <v>0.10771565467774159</v>
      </c>
      <c r="AA50" s="3526">
        <v>0.10771565467774159</v>
      </c>
      <c r="AB50" s="3527">
        <v>0</v>
      </c>
      <c r="AC50" s="3528">
        <v>0.10771565467774159</v>
      </c>
      <c r="AD50" s="3526">
        <v>0.10771565467774159</v>
      </c>
      <c r="AE50" s="3529">
        <v>8.8830618153804511E-2</v>
      </c>
      <c r="AF50" s="3544"/>
      <c r="AG50" s="3521" t="s">
        <v>1095</v>
      </c>
      <c r="AH50" s="3522"/>
      <c r="AI50" s="3523" t="s">
        <v>1096</v>
      </c>
      <c r="AJ50" s="3524">
        <v>0.96944089209967432</v>
      </c>
      <c r="AK50" s="3525">
        <v>5.1703514245315958</v>
      </c>
      <c r="AL50" s="3526">
        <v>21.65084659022606</v>
      </c>
      <c r="AM50" s="3524">
        <v>0.96944089209967432</v>
      </c>
      <c r="AN50" s="3525">
        <v>3.8777635683986973</v>
      </c>
      <c r="AO50" s="3526">
        <v>21.65084659022606</v>
      </c>
      <c r="AP50" s="3527">
        <v>3.7700479137209557</v>
      </c>
      <c r="AQ50" s="3526">
        <v>21.65084659022606</v>
      </c>
      <c r="AR50" s="3527">
        <v>0.96944089209967432</v>
      </c>
      <c r="AS50" s="3528">
        <v>3.2314696403322478</v>
      </c>
      <c r="AT50" s="3526">
        <v>21.65084659022606</v>
      </c>
      <c r="AU50" s="3529">
        <v>6.5684552234552704</v>
      </c>
      <c r="AV50" s="3544"/>
      <c r="AW50" s="3521" t="s">
        <v>1095</v>
      </c>
      <c r="AX50" s="3522"/>
      <c r="AY50" s="3523" t="s">
        <v>1096</v>
      </c>
      <c r="AZ50" s="3524">
        <v>3.8777635683986973</v>
      </c>
      <c r="BA50" s="3525">
        <v>18.096229985860585</v>
      </c>
      <c r="BB50" s="3526">
        <v>89.188562073170033</v>
      </c>
      <c r="BC50" s="3524">
        <v>3.8777635683986973</v>
      </c>
      <c r="BD50" s="3525">
        <v>13.67988814407318</v>
      </c>
      <c r="BE50" s="3526">
        <v>89.188562073170033</v>
      </c>
      <c r="BF50" s="3527">
        <v>13.464456834717698</v>
      </c>
      <c r="BG50" s="3526">
        <v>89.188562073170033</v>
      </c>
      <c r="BH50" s="3527">
        <v>3.8777635683986973</v>
      </c>
      <c r="BI50" s="3528">
        <v>11.741006359873834</v>
      </c>
      <c r="BJ50" s="3526">
        <v>89.188562073170033</v>
      </c>
      <c r="BK50" s="3529">
        <v>9.4397296279093332</v>
      </c>
      <c r="BL50" s="3544"/>
      <c r="BM50" s="3521" t="s">
        <v>1095</v>
      </c>
      <c r="BN50" s="3522"/>
      <c r="BO50" s="3523" t="s">
        <v>1096</v>
      </c>
      <c r="BP50" s="3524">
        <v>0</v>
      </c>
      <c r="BQ50" s="3525">
        <v>0</v>
      </c>
      <c r="BR50" s="3526">
        <v>0</v>
      </c>
      <c r="BS50" s="3524">
        <v>0</v>
      </c>
      <c r="BT50" s="3525">
        <v>0</v>
      </c>
      <c r="BU50" s="3526">
        <v>0</v>
      </c>
      <c r="BV50" s="3527">
        <v>0</v>
      </c>
      <c r="BW50" s="3526">
        <v>0</v>
      </c>
      <c r="BX50" s="3527">
        <v>0</v>
      </c>
      <c r="BY50" s="3528">
        <v>0</v>
      </c>
      <c r="BZ50" s="3526">
        <v>0</v>
      </c>
      <c r="CA50" s="3529">
        <v>0</v>
      </c>
    </row>
    <row r="51" spans="1:95" ht="13.5" customHeight="1">
      <c r="A51" s="3521" t="s">
        <v>477</v>
      </c>
      <c r="B51" s="3522"/>
      <c r="C51" s="3530" t="s">
        <v>1096</v>
      </c>
      <c r="D51" s="3531">
        <v>0</v>
      </c>
      <c r="E51" s="3532">
        <v>3.4534551216296858</v>
      </c>
      <c r="F51" s="3533">
        <v>3.4534551216296858</v>
      </c>
      <c r="G51" s="3531">
        <v>0</v>
      </c>
      <c r="H51" s="3532">
        <v>3.4534551216296858</v>
      </c>
      <c r="I51" s="3534">
        <v>3.4534551216296858</v>
      </c>
      <c r="J51" s="3535">
        <v>3.4534551216296858</v>
      </c>
      <c r="K51" s="3533">
        <v>3.4534551216296858</v>
      </c>
      <c r="L51" s="3535">
        <v>0</v>
      </c>
      <c r="M51" s="3536">
        <v>0.80580619504692663</v>
      </c>
      <c r="N51" s="3533">
        <v>0.80580619504692663</v>
      </c>
      <c r="O51" s="3502">
        <v>1.8612122781192506</v>
      </c>
      <c r="P51" s="3544"/>
      <c r="Q51" s="3521" t="s">
        <v>477</v>
      </c>
      <c r="R51" s="3522"/>
      <c r="S51" s="3530" t="s">
        <v>1096</v>
      </c>
      <c r="T51" s="3531">
        <v>0</v>
      </c>
      <c r="U51" s="3532">
        <v>3.4534551216296858</v>
      </c>
      <c r="V51" s="3533">
        <v>3.4534551216296858</v>
      </c>
      <c r="W51" s="3531">
        <v>0</v>
      </c>
      <c r="X51" s="3532">
        <v>3.4534551216296858</v>
      </c>
      <c r="Y51" s="3534">
        <v>3.4534551216296858</v>
      </c>
      <c r="Z51" s="3535">
        <v>3.4534551216296858</v>
      </c>
      <c r="AA51" s="3533">
        <v>3.4534551216296858</v>
      </c>
      <c r="AB51" s="3535">
        <v>0</v>
      </c>
      <c r="AC51" s="3536">
        <v>0.80580619504692663</v>
      </c>
      <c r="AD51" s="3533">
        <v>0.80580619504692663</v>
      </c>
      <c r="AE51" s="3502">
        <v>1.7954512491847685</v>
      </c>
      <c r="AF51" s="3544"/>
      <c r="AG51" s="3521" t="s">
        <v>477</v>
      </c>
      <c r="AH51" s="3522"/>
      <c r="AI51" s="3530" t="s">
        <v>1096</v>
      </c>
      <c r="AJ51" s="3531">
        <v>0.3453455121629686</v>
      </c>
      <c r="AK51" s="3532">
        <v>3.6836854630716651</v>
      </c>
      <c r="AL51" s="3533">
        <v>3.6836854630716651</v>
      </c>
      <c r="AM51" s="3531">
        <v>0.3453455121629686</v>
      </c>
      <c r="AN51" s="3532">
        <v>3.6836854630716651</v>
      </c>
      <c r="AO51" s="3534">
        <v>3.6836854630716651</v>
      </c>
      <c r="AP51" s="3535">
        <v>3.6836854630716651</v>
      </c>
      <c r="AQ51" s="3533">
        <v>3.6836854630716651</v>
      </c>
      <c r="AR51" s="3535">
        <v>0.3453455121629686</v>
      </c>
      <c r="AS51" s="3536">
        <v>3.913915804513644</v>
      </c>
      <c r="AT51" s="3533">
        <v>3.913915804513644</v>
      </c>
      <c r="AU51" s="3502">
        <v>2.7685770951401611</v>
      </c>
      <c r="AV51" s="3544"/>
      <c r="AW51" s="3521" t="s">
        <v>477</v>
      </c>
      <c r="AX51" s="3522"/>
      <c r="AY51" s="3530" t="s">
        <v>1096</v>
      </c>
      <c r="AZ51" s="3531">
        <v>0.3453455121629686</v>
      </c>
      <c r="BA51" s="3532">
        <v>3.6836854630716651</v>
      </c>
      <c r="BB51" s="3533">
        <v>3.6836854630716651</v>
      </c>
      <c r="BC51" s="3531">
        <v>0.3453455121629686</v>
      </c>
      <c r="BD51" s="3532">
        <v>3.6836854630716651</v>
      </c>
      <c r="BE51" s="3534">
        <v>3.6836854630716651</v>
      </c>
      <c r="BF51" s="3535">
        <v>3.6836854630716651</v>
      </c>
      <c r="BG51" s="3533">
        <v>3.6836854630716651</v>
      </c>
      <c r="BH51" s="3535">
        <v>0.3453455121629686</v>
      </c>
      <c r="BI51" s="3536">
        <v>3.913915804513644</v>
      </c>
      <c r="BJ51" s="3533">
        <v>3.913915804513644</v>
      </c>
      <c r="BK51" s="3502">
        <v>1.9018007889074113</v>
      </c>
      <c r="BL51" s="3544"/>
      <c r="BM51" s="3521" t="s">
        <v>477</v>
      </c>
      <c r="BN51" s="3522"/>
      <c r="BO51" s="3530" t="s">
        <v>1096</v>
      </c>
      <c r="BP51" s="3531">
        <v>0</v>
      </c>
      <c r="BQ51" s="3532">
        <v>0</v>
      </c>
      <c r="BR51" s="3533">
        <v>0</v>
      </c>
      <c r="BS51" s="3531">
        <v>0</v>
      </c>
      <c r="BT51" s="3532">
        <v>0</v>
      </c>
      <c r="BU51" s="3534">
        <v>0</v>
      </c>
      <c r="BV51" s="3535">
        <v>0</v>
      </c>
      <c r="BW51" s="3533">
        <v>0</v>
      </c>
      <c r="BX51" s="3535">
        <v>0</v>
      </c>
      <c r="BY51" s="3536">
        <v>0</v>
      </c>
      <c r="BZ51" s="3533">
        <v>0</v>
      </c>
      <c r="CA51" s="3502">
        <v>0</v>
      </c>
    </row>
    <row r="52" spans="1:95" ht="13.5" customHeight="1">
      <c r="A52" s="3521" t="s">
        <v>1097</v>
      </c>
      <c r="B52" s="3522"/>
      <c r="C52" s="3530" t="s">
        <v>1096</v>
      </c>
      <c r="D52" s="3535">
        <v>1.0274001735814979</v>
      </c>
      <c r="E52" s="3532">
        <v>1.0056979829334107</v>
      </c>
      <c r="F52" s="3537">
        <v>1.3187340332036572</v>
      </c>
      <c r="G52" s="3531">
        <v>0.43343433980877044</v>
      </c>
      <c r="H52" s="3532">
        <v>0.36997109682827461</v>
      </c>
      <c r="I52" s="3537">
        <v>0.39760215551179956</v>
      </c>
      <c r="J52" s="3531">
        <v>0.26889125518204049</v>
      </c>
      <c r="K52" s="3537">
        <v>0.2873942777456196</v>
      </c>
      <c r="L52" s="3531">
        <v>0.12918730171530218</v>
      </c>
      <c r="M52" s="3538">
        <v>0.10286910855525883</v>
      </c>
      <c r="N52" s="3534">
        <v>9.1673769487344112E-2</v>
      </c>
      <c r="O52" s="3539">
        <v>0.26698321015614523</v>
      </c>
      <c r="P52" s="3544"/>
      <c r="Q52" s="3521" t="s">
        <v>1097</v>
      </c>
      <c r="R52" s="3522"/>
      <c r="S52" s="3530" t="s">
        <v>1096</v>
      </c>
      <c r="T52" s="3535">
        <v>2.4341765750066151</v>
      </c>
      <c r="U52" s="3532">
        <v>2.1755359307316233</v>
      </c>
      <c r="V52" s="3537">
        <v>3.0052138259214871</v>
      </c>
      <c r="W52" s="3531">
        <v>1.0330509974245241</v>
      </c>
      <c r="X52" s="3532">
        <v>0.829448933375868</v>
      </c>
      <c r="Y52" s="3537">
        <v>0.90882817302852881</v>
      </c>
      <c r="Z52" s="3531">
        <v>0.60172559634254541</v>
      </c>
      <c r="AA52" s="3537">
        <v>0.64847282244336502</v>
      </c>
      <c r="AB52" s="3531">
        <v>0.30467821258656896</v>
      </c>
      <c r="AC52" s="3538">
        <v>0.24956594910936747</v>
      </c>
      <c r="AD52" s="3534">
        <v>0.20666369647357574</v>
      </c>
      <c r="AE52" s="3539">
        <v>0.60462553957301823</v>
      </c>
      <c r="AF52" s="3544"/>
      <c r="AG52" s="3521" t="s">
        <v>1097</v>
      </c>
      <c r="AH52" s="3522"/>
      <c r="AI52" s="3530" t="s">
        <v>1096</v>
      </c>
      <c r="AJ52" s="3535">
        <v>6.0290644790361236</v>
      </c>
      <c r="AK52" s="3532">
        <v>6.6006769272003147</v>
      </c>
      <c r="AL52" s="3537">
        <v>8.6755245483988315</v>
      </c>
      <c r="AM52" s="3531">
        <v>2.7335863093043686</v>
      </c>
      <c r="AN52" s="3532">
        <v>3.1862827414105084</v>
      </c>
      <c r="AO52" s="3537">
        <v>3.7693816402935929</v>
      </c>
      <c r="AP52" s="3531">
        <v>2.2112904082496696</v>
      </c>
      <c r="AQ52" s="3537">
        <v>2.6884716103624937</v>
      </c>
      <c r="AR52" s="3531">
        <v>0.79164314920392154</v>
      </c>
      <c r="AS52" s="3538">
        <v>0.75413559894563642</v>
      </c>
      <c r="AT52" s="3534">
        <v>0.74389771895487489</v>
      </c>
      <c r="AU52" s="3539">
        <v>1.7121170018077891</v>
      </c>
      <c r="AV52" s="3544"/>
      <c r="AW52" s="3521" t="s">
        <v>1097</v>
      </c>
      <c r="AX52" s="3522"/>
      <c r="AY52" s="3530" t="s">
        <v>1096</v>
      </c>
      <c r="AZ52" s="3535">
        <v>9.3864501829834488</v>
      </c>
      <c r="BA52" s="3532">
        <v>11.038307840392802</v>
      </c>
      <c r="BB52" s="3537">
        <v>16.223019149297574</v>
      </c>
      <c r="BC52" s="3531">
        <v>4.1377695108080168</v>
      </c>
      <c r="BD52" s="3532">
        <v>4.7038847894406368</v>
      </c>
      <c r="BE52" s="3537">
        <v>6.2747456715561913</v>
      </c>
      <c r="BF52" s="3531">
        <v>3.6031179084605043</v>
      </c>
      <c r="BG52" s="3537">
        <v>4.5759794807799672</v>
      </c>
      <c r="BH52" s="3531">
        <v>1.234554713673343</v>
      </c>
      <c r="BI52" s="3538">
        <v>1.1917568180476636</v>
      </c>
      <c r="BJ52" s="3534">
        <v>1.1859402066005615</v>
      </c>
      <c r="BK52" s="3539">
        <v>2.1335941831020184</v>
      </c>
      <c r="BL52" s="3544"/>
      <c r="BM52" s="3521" t="s">
        <v>1097</v>
      </c>
      <c r="BN52" s="3522"/>
      <c r="BO52" s="3530" t="s">
        <v>1096</v>
      </c>
      <c r="BP52" s="3535">
        <v>9.9934528530602762</v>
      </c>
      <c r="BQ52" s="3532">
        <v>17.059979175561686</v>
      </c>
      <c r="BR52" s="3537">
        <v>21.645235335467866</v>
      </c>
      <c r="BS52" s="3531">
        <v>4.8689514552064006</v>
      </c>
      <c r="BT52" s="3532">
        <v>5.9484226528677944</v>
      </c>
      <c r="BU52" s="3537">
        <v>6.9012107044842033</v>
      </c>
      <c r="BV52" s="3531">
        <v>3.5012597624755175</v>
      </c>
      <c r="BW52" s="3537">
        <v>4.6250774597667874</v>
      </c>
      <c r="BX52" s="3531">
        <v>1.3142771129709434</v>
      </c>
      <c r="BY52" s="3538">
        <v>1.085841233708055</v>
      </c>
      <c r="BZ52" s="3534">
        <v>1.1235847263884524</v>
      </c>
      <c r="CA52" s="3539">
        <v>5.2181007454421273</v>
      </c>
    </row>
    <row r="53" spans="1:95" ht="13.5" customHeight="1">
      <c r="A53" s="3521" t="s">
        <v>1074</v>
      </c>
      <c r="B53" s="3522"/>
      <c r="C53" s="3530" t="s">
        <v>1096</v>
      </c>
      <c r="D53" s="3531">
        <v>0.23023034144197907</v>
      </c>
      <c r="E53" s="3532">
        <v>0.23023034144197907</v>
      </c>
      <c r="F53" s="3534">
        <v>0.23023034144197907</v>
      </c>
      <c r="G53" s="3531">
        <v>0.23023034144197907</v>
      </c>
      <c r="H53" s="3532">
        <v>0.23023034144197907</v>
      </c>
      <c r="I53" s="3534">
        <v>0.23023034144197907</v>
      </c>
      <c r="J53" s="3531">
        <v>0.23023034144197907</v>
      </c>
      <c r="K53" s="3534">
        <v>0.23023034144197907</v>
      </c>
      <c r="L53" s="3531">
        <v>0</v>
      </c>
      <c r="M53" s="3532">
        <v>0</v>
      </c>
      <c r="N53" s="3534">
        <v>0.11511517072098953</v>
      </c>
      <c r="O53" s="3540">
        <v>0.13060759685968404</v>
      </c>
      <c r="P53" s="3544"/>
      <c r="Q53" s="3521" t="s">
        <v>1074</v>
      </c>
      <c r="R53" s="3522"/>
      <c r="S53" s="3530" t="s">
        <v>1096</v>
      </c>
      <c r="T53" s="3531">
        <v>0.23023034144197907</v>
      </c>
      <c r="U53" s="3532">
        <v>0.23023034144197907</v>
      </c>
      <c r="V53" s="3534">
        <v>0.23023034144197907</v>
      </c>
      <c r="W53" s="3531">
        <v>0.23023034144197907</v>
      </c>
      <c r="X53" s="3532">
        <v>0.23023034144197907</v>
      </c>
      <c r="Y53" s="3534">
        <v>0.23023034144197907</v>
      </c>
      <c r="Z53" s="3531">
        <v>0.23023034144197907</v>
      </c>
      <c r="AA53" s="3534">
        <v>0.23023034144197907</v>
      </c>
      <c r="AB53" s="3531">
        <v>0</v>
      </c>
      <c r="AC53" s="3532">
        <v>0</v>
      </c>
      <c r="AD53" s="3534">
        <v>0.11511517072098953</v>
      </c>
      <c r="AE53" s="3540">
        <v>0.12993035587522406</v>
      </c>
      <c r="AF53" s="3544"/>
      <c r="AG53" s="3521" t="s">
        <v>1074</v>
      </c>
      <c r="AH53" s="3522"/>
      <c r="AI53" s="3530" t="s">
        <v>1096</v>
      </c>
      <c r="AJ53" s="3531">
        <v>5.6406433653284873</v>
      </c>
      <c r="AK53" s="3532">
        <v>6.7917950725383829</v>
      </c>
      <c r="AL53" s="3534">
        <v>8.1731771211902551</v>
      </c>
      <c r="AM53" s="3531">
        <v>5.8708737067704657</v>
      </c>
      <c r="AN53" s="3532">
        <v>5.7557585360494761</v>
      </c>
      <c r="AO53" s="3534">
        <v>5.7557585360494761</v>
      </c>
      <c r="AP53" s="3531">
        <v>5.0650675117235391</v>
      </c>
      <c r="AQ53" s="3534">
        <v>5.0650675117235391</v>
      </c>
      <c r="AR53" s="3531">
        <v>1.0360365364889059</v>
      </c>
      <c r="AS53" s="3532">
        <v>1.0360365364889059</v>
      </c>
      <c r="AT53" s="3534">
        <v>1.2662668779308848</v>
      </c>
      <c r="AU53" s="3540">
        <v>2.785747551120588</v>
      </c>
      <c r="AV53" s="3544"/>
      <c r="AW53" s="3521" t="s">
        <v>1074</v>
      </c>
      <c r="AX53" s="3522"/>
      <c r="AY53" s="3530" t="s">
        <v>1096</v>
      </c>
      <c r="AZ53" s="3531">
        <v>11.166171559935982</v>
      </c>
      <c r="BA53" s="3532">
        <v>13.468474974355775</v>
      </c>
      <c r="BB53" s="3534">
        <v>16.34635424238051</v>
      </c>
      <c r="BC53" s="3531">
        <v>11.626632242819943</v>
      </c>
      <c r="BD53" s="3532">
        <v>11.511517072098952</v>
      </c>
      <c r="BE53" s="3534">
        <v>11.511517072098952</v>
      </c>
      <c r="BF53" s="3531">
        <v>10.015019852726088</v>
      </c>
      <c r="BG53" s="3534">
        <v>10.130135023447078</v>
      </c>
      <c r="BH53" s="3531">
        <v>2.0720730729778118</v>
      </c>
      <c r="BI53" s="3532">
        <v>2.0720730729778118</v>
      </c>
      <c r="BJ53" s="3534">
        <v>2.6476489265827592</v>
      </c>
      <c r="BK53" s="3540">
        <v>4.6808028456208488</v>
      </c>
      <c r="BL53" s="3544"/>
      <c r="BM53" s="3521" t="s">
        <v>1074</v>
      </c>
      <c r="BN53" s="3522"/>
      <c r="BO53" s="3530" t="s">
        <v>1096</v>
      </c>
      <c r="BP53" s="3531">
        <v>0</v>
      </c>
      <c r="BQ53" s="3532">
        <v>0</v>
      </c>
      <c r="BR53" s="3534">
        <v>0</v>
      </c>
      <c r="BS53" s="3531">
        <v>0</v>
      </c>
      <c r="BT53" s="3532">
        <v>0</v>
      </c>
      <c r="BU53" s="3534">
        <v>0</v>
      </c>
      <c r="BV53" s="3531">
        <v>0</v>
      </c>
      <c r="BW53" s="3534">
        <v>0</v>
      </c>
      <c r="BX53" s="3531">
        <v>0</v>
      </c>
      <c r="BY53" s="3532">
        <v>0</v>
      </c>
      <c r="BZ53" s="3534">
        <v>0</v>
      </c>
      <c r="CA53" s="3540">
        <v>0</v>
      </c>
    </row>
    <row r="54" spans="1:95" ht="13.5" customHeight="1">
      <c r="A54" s="3521" t="s">
        <v>397</v>
      </c>
      <c r="B54" s="3522"/>
      <c r="C54" s="3530" t="s">
        <v>1096</v>
      </c>
      <c r="D54" s="3531">
        <v>0.83415087265780175</v>
      </c>
      <c r="E54" s="3532">
        <v>0.87795331203953919</v>
      </c>
      <c r="F54" s="3537">
        <v>1.1151734525048096</v>
      </c>
      <c r="G54" s="3531">
        <v>0.80697704563618355</v>
      </c>
      <c r="H54" s="3532">
        <v>0.80979917351213582</v>
      </c>
      <c r="I54" s="3537">
        <v>0.89585990906940938</v>
      </c>
      <c r="J54" s="3531">
        <v>0.75809492366487174</v>
      </c>
      <c r="K54" s="3537">
        <v>0.85366012737636365</v>
      </c>
      <c r="L54" s="3531">
        <v>0.82667002499353626</v>
      </c>
      <c r="M54" s="3532">
        <v>0.75284136240855148</v>
      </c>
      <c r="N54" s="3537">
        <v>0.74178344756511727</v>
      </c>
      <c r="O54" s="3539">
        <v>0.80506698332908566</v>
      </c>
      <c r="P54" s="3544"/>
      <c r="Q54" s="3521" t="s">
        <v>397</v>
      </c>
      <c r="R54" s="3522"/>
      <c r="S54" s="3530" t="s">
        <v>1096</v>
      </c>
      <c r="T54" s="3531">
        <v>1.2991331487639561</v>
      </c>
      <c r="U54" s="3532">
        <v>1.0754923849130045</v>
      </c>
      <c r="V54" s="3537">
        <v>1.4115969379170976</v>
      </c>
      <c r="W54" s="3531">
        <v>1.243422335484387</v>
      </c>
      <c r="X54" s="3532">
        <v>1.0101221653626715</v>
      </c>
      <c r="Y54" s="3537">
        <v>1.0808033917294637</v>
      </c>
      <c r="Z54" s="3531">
        <v>0.97433108474322683</v>
      </c>
      <c r="AA54" s="3537">
        <v>1.0252462472693018</v>
      </c>
      <c r="AB54" s="3531">
        <v>1.2883989882523756</v>
      </c>
      <c r="AC54" s="3532">
        <v>1.1223833973370889</v>
      </c>
      <c r="AD54" s="3537">
        <v>0.99114554015553391</v>
      </c>
      <c r="AE54" s="3539">
        <v>1.0944065063996142</v>
      </c>
      <c r="AF54" s="3544"/>
      <c r="AG54" s="3521" t="s">
        <v>397</v>
      </c>
      <c r="AH54" s="3522"/>
      <c r="AI54" s="3530" t="s">
        <v>1096</v>
      </c>
      <c r="AJ54" s="3531">
        <v>3.5482443087083744</v>
      </c>
      <c r="AK54" s="3532">
        <v>3.9706097385586752</v>
      </c>
      <c r="AL54" s="3537">
        <v>5.0117279859671102</v>
      </c>
      <c r="AM54" s="3531">
        <v>3.5024102770315686</v>
      </c>
      <c r="AN54" s="3532">
        <v>3.5707989926666794</v>
      </c>
      <c r="AO54" s="3537">
        <v>4.1064068098439837</v>
      </c>
      <c r="AP54" s="3531">
        <v>3.3355635858120376</v>
      </c>
      <c r="AQ54" s="3537">
        <v>3.8792744999142368</v>
      </c>
      <c r="AR54" s="3531">
        <v>3.5440454953529725</v>
      </c>
      <c r="AS54" s="3532">
        <v>3.3153942283883602</v>
      </c>
      <c r="AT54" s="3537">
        <v>3.2486458268212406</v>
      </c>
      <c r="AU54" s="3539">
        <v>3.4928612852507226</v>
      </c>
      <c r="AV54" s="3544"/>
      <c r="AW54" s="3521" t="s">
        <v>397</v>
      </c>
      <c r="AX54" s="3522"/>
      <c r="AY54" s="3530" t="s">
        <v>1096</v>
      </c>
      <c r="AZ54" s="3531">
        <v>4.528494941007442</v>
      </c>
      <c r="BA54" s="3532">
        <v>5.6172190251440153</v>
      </c>
      <c r="BB54" s="3537">
        <v>7.4160025133259868</v>
      </c>
      <c r="BC54" s="3531">
        <v>4.5056533784095292</v>
      </c>
      <c r="BD54" s="3532">
        <v>4.7605516022355534</v>
      </c>
      <c r="BE54" s="3537">
        <v>6.002751848736648</v>
      </c>
      <c r="BF54" s="3531">
        <v>4.5955983538949248</v>
      </c>
      <c r="BG54" s="3537">
        <v>5.7043572256993986</v>
      </c>
      <c r="BH54" s="3531">
        <v>4.5259533524752555</v>
      </c>
      <c r="BI54" s="3532">
        <v>4.3607719730309835</v>
      </c>
      <c r="BJ54" s="3537">
        <v>4.324454536105125</v>
      </c>
      <c r="BK54" s="3539">
        <v>4.5133458116199145</v>
      </c>
      <c r="BL54" s="3544"/>
      <c r="BM54" s="3521" t="s">
        <v>397</v>
      </c>
      <c r="BN54" s="3522"/>
      <c r="BO54" s="3530" t="s">
        <v>1096</v>
      </c>
      <c r="BP54" s="3531">
        <v>3.3852268341903913</v>
      </c>
      <c r="BQ54" s="3532">
        <v>3.834370824310291</v>
      </c>
      <c r="BR54" s="3537">
        <v>5.0762695915556915</v>
      </c>
      <c r="BS54" s="3531">
        <v>3.3663746073970886</v>
      </c>
      <c r="BT54" s="3532">
        <v>3.619851108983565</v>
      </c>
      <c r="BU54" s="3537">
        <v>4.2124082011065678</v>
      </c>
      <c r="BV54" s="3531">
        <v>3.1214953125856018</v>
      </c>
      <c r="BW54" s="3537">
        <v>3.8500763685686392</v>
      </c>
      <c r="BX54" s="3531">
        <v>3.3829696140704026</v>
      </c>
      <c r="BY54" s="3532">
        <v>2.9472948640811789</v>
      </c>
      <c r="BZ54" s="3537">
        <v>3.0115308531884639</v>
      </c>
      <c r="CA54" s="3539">
        <v>3.5381949719773056</v>
      </c>
    </row>
    <row r="55" spans="1:95" ht="13.5" customHeight="1">
      <c r="A55" s="3521" t="s">
        <v>1098</v>
      </c>
      <c r="B55" s="3493"/>
      <c r="C55" s="3530" t="s">
        <v>1096</v>
      </c>
      <c r="D55" s="3495">
        <v>-4.0670984879172938</v>
      </c>
      <c r="E55" s="3496">
        <v>-4.2807941088524339</v>
      </c>
      <c r="F55" s="3496">
        <v>-5.4381019193435263</v>
      </c>
      <c r="G55" s="3503">
        <v>-3.9345276101184217</v>
      </c>
      <c r="H55" s="3504">
        <v>-3.9482957101905245</v>
      </c>
      <c r="I55" s="3501">
        <v>-4.3681536583465856</v>
      </c>
      <c r="J55" s="3500">
        <v>-3.6960501290756196</v>
      </c>
      <c r="K55" s="3501">
        <v>-4.1622768012694751</v>
      </c>
      <c r="L55" s="3495">
        <v>-4.0306022468562777</v>
      </c>
      <c r="M55" s="3496">
        <v>-3.6704199803753124</v>
      </c>
      <c r="N55" s="3501">
        <v>-3.6164725744301363</v>
      </c>
      <c r="O55" s="3502">
        <v>-3.9252091347891627</v>
      </c>
      <c r="P55" s="3544"/>
      <c r="Q55" s="3521" t="s">
        <v>1098</v>
      </c>
      <c r="R55" s="3493"/>
      <c r="S55" s="3530" t="s">
        <v>1096</v>
      </c>
      <c r="T55" s="3495">
        <v>-6.2729481231855289</v>
      </c>
      <c r="U55" s="3496">
        <v>-5.1930444314522539</v>
      </c>
      <c r="V55" s="3496">
        <v>-6.8160068169652179</v>
      </c>
      <c r="W55" s="3503">
        <v>-6.0039349437717524</v>
      </c>
      <c r="X55" s="3504">
        <v>-4.8773884651326815</v>
      </c>
      <c r="Y55" s="3501">
        <v>-5.2186899165112175</v>
      </c>
      <c r="Z55" s="3500">
        <v>-4.704562548128477</v>
      </c>
      <c r="AA55" s="3501">
        <v>-4.9504187642776589</v>
      </c>
      <c r="AB55" s="3495">
        <v>-6.221115624653021</v>
      </c>
      <c r="AC55" s="3496">
        <v>-5.4194690624270772</v>
      </c>
      <c r="AD55" s="3501">
        <v>-4.785755225892431</v>
      </c>
      <c r="AE55" s="3502">
        <v>-5.2843758563122325</v>
      </c>
      <c r="AF55" s="3544"/>
      <c r="AG55" s="3521" t="s">
        <v>1098</v>
      </c>
      <c r="AH55" s="3493"/>
      <c r="AI55" s="3530" t="s">
        <v>1096</v>
      </c>
      <c r="AJ55" s="3495">
        <v>-17.10507937171262</v>
      </c>
      <c r="AK55" s="3496">
        <v>-19.14118330731981</v>
      </c>
      <c r="AL55" s="3496">
        <v>-24.160119070438721</v>
      </c>
      <c r="AM55" s="3503">
        <v>-16.884126505577335</v>
      </c>
      <c r="AN55" s="3504">
        <v>-17.213809105559818</v>
      </c>
      <c r="AO55" s="3501">
        <v>-19.7958224698714</v>
      </c>
      <c r="AP55" s="3500">
        <v>-16.079805932381909</v>
      </c>
      <c r="AQ55" s="3501">
        <v>-18.700882028568195</v>
      </c>
      <c r="AR55" s="3495">
        <v>-17.084838083497239</v>
      </c>
      <c r="AS55" s="3496">
        <v>-15.982575181173003</v>
      </c>
      <c r="AT55" s="3501">
        <v>-15.660800070045964</v>
      </c>
      <c r="AU55" s="3502">
        <v>-16.838093524722456</v>
      </c>
      <c r="AV55" s="3544"/>
      <c r="AW55" s="3521" t="s">
        <v>1098</v>
      </c>
      <c r="AX55" s="3493"/>
      <c r="AY55" s="3530" t="s">
        <v>1096</v>
      </c>
      <c r="AZ55" s="3495">
        <v>-21.830589627163608</v>
      </c>
      <c r="BA55" s="3496">
        <v>-27.079019626007245</v>
      </c>
      <c r="BB55" s="3496">
        <v>-35.750444607191518</v>
      </c>
      <c r="BC55" s="3503">
        <v>-21.720476932766459</v>
      </c>
      <c r="BD55" s="3504">
        <v>-22.949268969310261</v>
      </c>
      <c r="BE55" s="3501">
        <v>-28.937564014218495</v>
      </c>
      <c r="BF55" s="3500">
        <v>-22.154076147169057</v>
      </c>
      <c r="BG55" s="3501">
        <v>-27.499088174598995</v>
      </c>
      <c r="BH55" s="3495">
        <v>-21.818337349757975</v>
      </c>
      <c r="BI55" s="3496">
        <v>-21.022044772274274</v>
      </c>
      <c r="BJ55" s="3501">
        <v>-20.846968710101962</v>
      </c>
      <c r="BK55" s="3502">
        <v>-21.757559971356084</v>
      </c>
      <c r="BL55" s="3544"/>
      <c r="BM55" s="3521" t="s">
        <v>1098</v>
      </c>
      <c r="BN55" s="3493"/>
      <c r="BO55" s="3530" t="s">
        <v>1096</v>
      </c>
      <c r="BP55" s="3495">
        <v>-16.319218366098472</v>
      </c>
      <c r="BQ55" s="3496">
        <v>-18.48441414516962</v>
      </c>
      <c r="BR55" s="3496">
        <v>-24.471255844099137</v>
      </c>
      <c r="BS55" s="3503">
        <v>-16.228337128061529</v>
      </c>
      <c r="BT55" s="3504">
        <v>-17.450275444952393</v>
      </c>
      <c r="BU55" s="3501">
        <v>-20.30682511041914</v>
      </c>
      <c r="BV55" s="3500">
        <v>-15.047843506481041</v>
      </c>
      <c r="BW55" s="3501">
        <v>-18.560126119245268</v>
      </c>
      <c r="BX55" s="3495">
        <v>-16.308336948148455</v>
      </c>
      <c r="BY55" s="3496">
        <v>-14.208072555269181</v>
      </c>
      <c r="BZ55" s="3501">
        <v>-14.517736038559754</v>
      </c>
      <c r="CA55" s="3502">
        <v>-17.056634369772897</v>
      </c>
    </row>
    <row r="56" spans="1:95" ht="13.5" customHeight="1" thickBot="1">
      <c r="A56" s="3541" t="s">
        <v>1449</v>
      </c>
      <c r="B56" s="3542"/>
      <c r="C56" s="3554"/>
      <c r="D56" s="3555">
        <v>-1.8706540329213155</v>
      </c>
      <c r="E56" s="3555">
        <v>70.59262726815254</v>
      </c>
      <c r="F56" s="3555">
        <v>46.685950949027209</v>
      </c>
      <c r="G56" s="3556">
        <v>-0.815202649699307</v>
      </c>
      <c r="H56" s="3555">
        <v>33.98497402240028</v>
      </c>
      <c r="I56" s="3557">
        <v>24.238062869484001</v>
      </c>
      <c r="J56" s="3558">
        <v>14.420056085122333</v>
      </c>
      <c r="K56" s="3559">
        <v>11.042634817411038</v>
      </c>
      <c r="L56" s="3556">
        <v>-2.1026738368981936</v>
      </c>
      <c r="M56" s="3555">
        <v>0.3167782939417263</v>
      </c>
      <c r="N56" s="3557">
        <v>1.1732006452507182</v>
      </c>
      <c r="O56" s="3543">
        <v>10.563619541221726</v>
      </c>
      <c r="P56" s="3544"/>
      <c r="Q56" s="3541" t="s">
        <v>1449</v>
      </c>
      <c r="R56" s="3542"/>
      <c r="S56" s="3554"/>
      <c r="T56" s="3555">
        <v>-2.2047449906582788</v>
      </c>
      <c r="U56" s="3555">
        <v>71.047753966224406</v>
      </c>
      <c r="V56" s="3555">
        <v>47.290949329535628</v>
      </c>
      <c r="W56" s="3556">
        <v>-1.8485480358886806</v>
      </c>
      <c r="X56" s="3555">
        <v>33.715682095856252</v>
      </c>
      <c r="Y56" s="3557">
        <v>24.083696111496156</v>
      </c>
      <c r="Z56" s="3558">
        <v>13.960614168308338</v>
      </c>
      <c r="AA56" s="3559">
        <v>10.787157518993538</v>
      </c>
      <c r="AB56" s="3556">
        <v>-3.655967340564831</v>
      </c>
      <c r="AC56" s="3555">
        <v>-0.91603191262739259</v>
      </c>
      <c r="AD56" s="3557">
        <v>0.36827001336507248</v>
      </c>
      <c r="AE56" s="3543">
        <v>9.7653586777827677</v>
      </c>
      <c r="AF56" s="3544"/>
      <c r="AG56" s="3541" t="s">
        <v>1449</v>
      </c>
      <c r="AH56" s="3542"/>
      <c r="AI56" s="3554"/>
      <c r="AJ56" s="3555">
        <v>-0.37348098647906269</v>
      </c>
      <c r="AK56" s="3555">
        <v>138.55283635071774</v>
      </c>
      <c r="AL56" s="3555">
        <v>110.24245674174961</v>
      </c>
      <c r="AM56" s="3556">
        <v>-0.32997166449714399</v>
      </c>
      <c r="AN56" s="3555">
        <v>65.48846705058908</v>
      </c>
      <c r="AO56" s="3557">
        <v>63.860827926063337</v>
      </c>
      <c r="AP56" s="3558">
        <v>27.251514893639062</v>
      </c>
      <c r="AQ56" s="3559">
        <v>37.784130228767133</v>
      </c>
      <c r="AR56" s="3556">
        <v>-8.5513914400152302</v>
      </c>
      <c r="AS56" s="3555">
        <v>0.4825119393900561</v>
      </c>
      <c r="AT56" s="3557">
        <v>20.725172814547932</v>
      </c>
      <c r="AU56" s="3543">
        <v>22.02899613537836</v>
      </c>
      <c r="AV56" s="3544"/>
      <c r="AW56" s="3541" t="s">
        <v>1449</v>
      </c>
      <c r="AX56" s="3542"/>
      <c r="AY56" s="3554"/>
      <c r="AZ56" s="3555">
        <v>7.7771590325375612</v>
      </c>
      <c r="BA56" s="3555">
        <v>225.50016765923718</v>
      </c>
      <c r="BB56" s="3555">
        <v>230.2135372023015</v>
      </c>
      <c r="BC56" s="3556">
        <v>7.5538686570760198</v>
      </c>
      <c r="BD56" s="3555">
        <v>110.98034330066258</v>
      </c>
      <c r="BE56" s="3557">
        <v>155.93562281636491</v>
      </c>
      <c r="BF56" s="3558">
        <v>51.771187126746561</v>
      </c>
      <c r="BG56" s="3559">
        <v>115.57375376941559</v>
      </c>
      <c r="BH56" s="3556">
        <v>-6.9436409886470862</v>
      </c>
      <c r="BI56" s="3555">
        <v>8.6895805216924877</v>
      </c>
      <c r="BJ56" s="3557">
        <v>88.903531885200096</v>
      </c>
      <c r="BK56" s="3543">
        <v>33.787535054038287</v>
      </c>
      <c r="BL56" s="3544"/>
      <c r="BM56" s="3541" t="s">
        <v>1449</v>
      </c>
      <c r="BN56" s="3542"/>
      <c r="BO56" s="3554"/>
      <c r="BP56" s="3555">
        <v>-2.6788810105610548</v>
      </c>
      <c r="BQ56" s="3555">
        <v>175.40585826540891</v>
      </c>
      <c r="BR56" s="3555">
        <v>116.99710974520657</v>
      </c>
      <c r="BS56" s="3556">
        <v>-3.8713029816275863</v>
      </c>
      <c r="BT56" s="3555">
        <v>74.52324417815143</v>
      </c>
      <c r="BU56" s="3557">
        <v>49.610177158921573</v>
      </c>
      <c r="BV56" s="3558">
        <v>24.819208862584166</v>
      </c>
      <c r="BW56" s="3559">
        <v>15.596167948612965</v>
      </c>
      <c r="BX56" s="3556">
        <v>-9.1809125129839941</v>
      </c>
      <c r="BY56" s="3555">
        <v>-4.6300215734085466</v>
      </c>
      <c r="BZ56" s="3557">
        <v>-3.0636730035259987</v>
      </c>
      <c r="CA56" s="3543">
        <v>20.040887009917956</v>
      </c>
    </row>
    <row r="57" spans="1:95" ht="13.5" customHeight="1" thickTop="1"/>
    <row r="58" spans="1:95" ht="13.5" customHeight="1" thickBot="1"/>
    <row r="59" spans="1:95" ht="13.95" customHeight="1" thickTop="1" thickBot="1">
      <c r="A59" s="3478" t="s">
        <v>2496</v>
      </c>
      <c r="B59" s="3479"/>
      <c r="C59" s="3479"/>
      <c r="D59" s="3480">
        <v>2020</v>
      </c>
      <c r="E59" s="3479" t="s">
        <v>2497</v>
      </c>
      <c r="F59" s="3479"/>
      <c r="G59" s="3479"/>
      <c r="H59" s="3479"/>
      <c r="I59" s="3479"/>
      <c r="J59" s="3479"/>
      <c r="K59" s="3479"/>
      <c r="L59" s="3479"/>
      <c r="M59" s="3479"/>
      <c r="N59" s="3481"/>
      <c r="O59" s="3482"/>
      <c r="P59" s="3544"/>
      <c r="Q59" s="3478" t="s">
        <v>2496</v>
      </c>
      <c r="R59" s="3479"/>
      <c r="S59" s="3479"/>
      <c r="T59" s="3480">
        <v>2020</v>
      </c>
      <c r="U59" s="3479" t="s">
        <v>2498</v>
      </c>
      <c r="V59" s="3479"/>
      <c r="W59" s="3479"/>
      <c r="X59" s="3479"/>
      <c r="Y59" s="3479"/>
      <c r="Z59" s="3479"/>
      <c r="AA59" s="3479"/>
      <c r="AB59" s="3479"/>
      <c r="AC59" s="3479"/>
      <c r="AD59" s="3481"/>
      <c r="AE59" s="3482"/>
      <c r="AF59" s="3544"/>
      <c r="AG59" s="3478" t="s">
        <v>1967</v>
      </c>
      <c r="AH59" s="3479"/>
      <c r="AI59" s="3479"/>
      <c r="AJ59" s="3480">
        <v>2020</v>
      </c>
      <c r="AK59" s="3479" t="s">
        <v>2499</v>
      </c>
      <c r="AL59" s="3479"/>
      <c r="AM59" s="3479"/>
      <c r="AN59" s="3479"/>
      <c r="AO59" s="3479"/>
      <c r="AP59" s="3479"/>
      <c r="AQ59" s="3479"/>
      <c r="AR59" s="3479"/>
      <c r="AS59" s="3479"/>
      <c r="AT59" s="3481"/>
      <c r="AU59" s="3482"/>
      <c r="AV59" s="3544"/>
      <c r="AW59" s="3478" t="s">
        <v>1963</v>
      </c>
      <c r="AX59" s="3479"/>
      <c r="AY59" s="3479"/>
      <c r="AZ59" s="3480">
        <v>2020</v>
      </c>
      <c r="BA59" s="3479" t="s">
        <v>2500</v>
      </c>
      <c r="BB59" s="3479"/>
      <c r="BC59" s="3479"/>
      <c r="BD59" s="3479"/>
      <c r="BE59" s="3479"/>
      <c r="BF59" s="3479"/>
      <c r="BG59" s="3479"/>
      <c r="BH59" s="3479"/>
      <c r="BI59" s="3479"/>
      <c r="BJ59" s="3481"/>
      <c r="BK59" s="3482"/>
      <c r="BL59" s="3544"/>
      <c r="BM59" s="3478" t="s">
        <v>1968</v>
      </c>
      <c r="BN59" s="3479"/>
      <c r="BO59" s="3479"/>
      <c r="BP59" s="3480">
        <v>2020</v>
      </c>
      <c r="BQ59" s="3479" t="s">
        <v>2501</v>
      </c>
      <c r="BR59" s="3479"/>
      <c r="BS59" s="3479"/>
      <c r="BT59" s="3479"/>
      <c r="BU59" s="3479"/>
      <c r="BV59" s="3479"/>
      <c r="BW59" s="3479"/>
      <c r="BX59" s="3479"/>
      <c r="BY59" s="3479"/>
      <c r="BZ59" s="3481"/>
      <c r="CA59" s="3482"/>
    </row>
    <row r="60" spans="1:95" ht="13.5" customHeight="1" thickTop="1">
      <c r="A60" s="3483"/>
      <c r="B60" s="3484"/>
      <c r="C60" s="3851" t="s">
        <v>1130</v>
      </c>
      <c r="D60" s="3855" t="s">
        <v>1487</v>
      </c>
      <c r="E60" s="3856"/>
      <c r="F60" s="3857"/>
      <c r="G60" s="3855" t="s">
        <v>1089</v>
      </c>
      <c r="H60" s="3856"/>
      <c r="I60" s="3857"/>
      <c r="J60" s="3858" t="s">
        <v>1132</v>
      </c>
      <c r="K60" s="3859"/>
      <c r="L60" s="3855" t="s">
        <v>789</v>
      </c>
      <c r="M60" s="3856"/>
      <c r="N60" s="3857"/>
      <c r="O60" s="3853" t="s">
        <v>1090</v>
      </c>
      <c r="P60" s="3544"/>
      <c r="Q60" s="3483"/>
      <c r="R60" s="3484"/>
      <c r="S60" s="3851" t="s">
        <v>1130</v>
      </c>
      <c r="T60" s="3855" t="s">
        <v>1487</v>
      </c>
      <c r="U60" s="3856"/>
      <c r="V60" s="3857"/>
      <c r="W60" s="3855" t="s">
        <v>1089</v>
      </c>
      <c r="X60" s="3856"/>
      <c r="Y60" s="3857"/>
      <c r="Z60" s="3858" t="s">
        <v>1132</v>
      </c>
      <c r="AA60" s="3859"/>
      <c r="AB60" s="3855" t="s">
        <v>789</v>
      </c>
      <c r="AC60" s="3856"/>
      <c r="AD60" s="3857"/>
      <c r="AE60" s="3853" t="s">
        <v>1090</v>
      </c>
      <c r="AF60" s="3544"/>
      <c r="AG60" s="3483"/>
      <c r="AH60" s="3484"/>
      <c r="AI60" s="3851" t="s">
        <v>1130</v>
      </c>
      <c r="AJ60" s="3855" t="s">
        <v>1487</v>
      </c>
      <c r="AK60" s="3856"/>
      <c r="AL60" s="3857"/>
      <c r="AM60" s="3855" t="s">
        <v>1089</v>
      </c>
      <c r="AN60" s="3856"/>
      <c r="AO60" s="3857"/>
      <c r="AP60" s="3858" t="s">
        <v>1132</v>
      </c>
      <c r="AQ60" s="3859"/>
      <c r="AR60" s="3855" t="s">
        <v>789</v>
      </c>
      <c r="AS60" s="3856"/>
      <c r="AT60" s="3857"/>
      <c r="AU60" s="3853" t="s">
        <v>1090</v>
      </c>
      <c r="AV60" s="3544"/>
      <c r="AW60" s="3483"/>
      <c r="AX60" s="3484"/>
      <c r="AY60" s="3851" t="s">
        <v>1130</v>
      </c>
      <c r="AZ60" s="3855" t="s">
        <v>1487</v>
      </c>
      <c r="BA60" s="3856"/>
      <c r="BB60" s="3857"/>
      <c r="BC60" s="3855" t="s">
        <v>1089</v>
      </c>
      <c r="BD60" s="3856"/>
      <c r="BE60" s="3857"/>
      <c r="BF60" s="3858" t="s">
        <v>1132</v>
      </c>
      <c r="BG60" s="3859"/>
      <c r="BH60" s="3855" t="s">
        <v>789</v>
      </c>
      <c r="BI60" s="3856"/>
      <c r="BJ60" s="3857"/>
      <c r="BK60" s="3853" t="s">
        <v>1090</v>
      </c>
      <c r="BL60" s="3544"/>
      <c r="BM60" s="3483"/>
      <c r="BN60" s="3484"/>
      <c r="BO60" s="3851" t="s">
        <v>1130</v>
      </c>
      <c r="BP60" s="3855" t="s">
        <v>1487</v>
      </c>
      <c r="BQ60" s="3856"/>
      <c r="BR60" s="3857"/>
      <c r="BS60" s="3855" t="s">
        <v>1089</v>
      </c>
      <c r="BT60" s="3856"/>
      <c r="BU60" s="3857"/>
      <c r="BV60" s="3858" t="s">
        <v>1132</v>
      </c>
      <c r="BW60" s="3859"/>
      <c r="BX60" s="3855" t="s">
        <v>789</v>
      </c>
      <c r="BY60" s="3856"/>
      <c r="BZ60" s="3857"/>
      <c r="CA60" s="3853" t="s">
        <v>1090</v>
      </c>
      <c r="CB60" s="2898"/>
      <c r="CC60" s="2898"/>
      <c r="CD60" s="2898"/>
      <c r="CE60" s="2898"/>
      <c r="CF60" s="2898"/>
      <c r="CG60" s="2898"/>
      <c r="CH60" s="2898"/>
      <c r="CI60" s="2898"/>
      <c r="CJ60" s="2898"/>
      <c r="CK60" s="2898"/>
      <c r="CL60" s="2898"/>
      <c r="CM60" s="2898"/>
      <c r="CN60" s="2898"/>
      <c r="CO60" s="2898"/>
      <c r="CP60" s="2898"/>
      <c r="CQ60" s="2898"/>
    </row>
    <row r="61" spans="1:95" ht="13.5" customHeight="1" thickBot="1">
      <c r="A61" s="3485" t="s">
        <v>1093</v>
      </c>
      <c r="B61" s="3486"/>
      <c r="C61" s="3852"/>
      <c r="D61" s="3487" t="s">
        <v>1058</v>
      </c>
      <c r="E61" s="3488" t="s">
        <v>1091</v>
      </c>
      <c r="F61" s="3489" t="s">
        <v>1092</v>
      </c>
      <c r="G61" s="3490" t="s">
        <v>1058</v>
      </c>
      <c r="H61" s="3491" t="s">
        <v>1091</v>
      </c>
      <c r="I61" s="3492" t="s">
        <v>1092</v>
      </c>
      <c r="J61" s="3487" t="s">
        <v>1091</v>
      </c>
      <c r="K61" s="3489" t="s">
        <v>1092</v>
      </c>
      <c r="L61" s="3487" t="s">
        <v>1058</v>
      </c>
      <c r="M61" s="3488" t="s">
        <v>1091</v>
      </c>
      <c r="N61" s="3489" t="s">
        <v>1092</v>
      </c>
      <c r="O61" s="3854"/>
      <c r="P61" s="3544"/>
      <c r="Q61" s="3485" t="s">
        <v>1093</v>
      </c>
      <c r="R61" s="3486"/>
      <c r="S61" s="3852"/>
      <c r="T61" s="3487" t="s">
        <v>1058</v>
      </c>
      <c r="U61" s="3488" t="s">
        <v>1091</v>
      </c>
      <c r="V61" s="3489" t="s">
        <v>1092</v>
      </c>
      <c r="W61" s="3490" t="s">
        <v>1058</v>
      </c>
      <c r="X61" s="3491" t="s">
        <v>1091</v>
      </c>
      <c r="Y61" s="3492" t="s">
        <v>1092</v>
      </c>
      <c r="Z61" s="3487" t="s">
        <v>1091</v>
      </c>
      <c r="AA61" s="3489" t="s">
        <v>1092</v>
      </c>
      <c r="AB61" s="3487" t="s">
        <v>1058</v>
      </c>
      <c r="AC61" s="3488" t="s">
        <v>1091</v>
      </c>
      <c r="AD61" s="3489" t="s">
        <v>1092</v>
      </c>
      <c r="AE61" s="3854"/>
      <c r="AF61" s="3544"/>
      <c r="AG61" s="3485" t="s">
        <v>1093</v>
      </c>
      <c r="AH61" s="3486"/>
      <c r="AI61" s="3852"/>
      <c r="AJ61" s="3487" t="s">
        <v>1058</v>
      </c>
      <c r="AK61" s="3488" t="s">
        <v>1091</v>
      </c>
      <c r="AL61" s="3489" t="s">
        <v>1092</v>
      </c>
      <c r="AM61" s="3490" t="s">
        <v>1058</v>
      </c>
      <c r="AN61" s="3491" t="s">
        <v>1091</v>
      </c>
      <c r="AO61" s="3492" t="s">
        <v>1092</v>
      </c>
      <c r="AP61" s="3487" t="s">
        <v>1091</v>
      </c>
      <c r="AQ61" s="3489" t="s">
        <v>1092</v>
      </c>
      <c r="AR61" s="3487" t="s">
        <v>1058</v>
      </c>
      <c r="AS61" s="3488" t="s">
        <v>1091</v>
      </c>
      <c r="AT61" s="3489" t="s">
        <v>1092</v>
      </c>
      <c r="AU61" s="3854"/>
      <c r="AV61" s="3544"/>
      <c r="AW61" s="3485" t="s">
        <v>1093</v>
      </c>
      <c r="AX61" s="3486"/>
      <c r="AY61" s="3852"/>
      <c r="AZ61" s="3487" t="s">
        <v>1058</v>
      </c>
      <c r="BA61" s="3488" t="s">
        <v>1091</v>
      </c>
      <c r="BB61" s="3489" t="s">
        <v>1092</v>
      </c>
      <c r="BC61" s="3490" t="s">
        <v>1058</v>
      </c>
      <c r="BD61" s="3491" t="s">
        <v>1091</v>
      </c>
      <c r="BE61" s="3492" t="s">
        <v>1092</v>
      </c>
      <c r="BF61" s="3487" t="s">
        <v>1091</v>
      </c>
      <c r="BG61" s="3489" t="s">
        <v>1092</v>
      </c>
      <c r="BH61" s="3487" t="s">
        <v>1058</v>
      </c>
      <c r="BI61" s="3488" t="s">
        <v>1091</v>
      </c>
      <c r="BJ61" s="3489" t="s">
        <v>1092</v>
      </c>
      <c r="BK61" s="3854"/>
      <c r="BL61" s="3544"/>
      <c r="BM61" s="3485" t="s">
        <v>1093</v>
      </c>
      <c r="BN61" s="3486"/>
      <c r="BO61" s="3852"/>
      <c r="BP61" s="3487" t="s">
        <v>1058</v>
      </c>
      <c r="BQ61" s="3488" t="s">
        <v>1091</v>
      </c>
      <c r="BR61" s="3489" t="s">
        <v>1092</v>
      </c>
      <c r="BS61" s="3490" t="s">
        <v>1058</v>
      </c>
      <c r="BT61" s="3491" t="s">
        <v>1091</v>
      </c>
      <c r="BU61" s="3492" t="s">
        <v>1092</v>
      </c>
      <c r="BV61" s="3487" t="s">
        <v>1091</v>
      </c>
      <c r="BW61" s="3489" t="s">
        <v>1092</v>
      </c>
      <c r="BX61" s="3487" t="s">
        <v>1058</v>
      </c>
      <c r="BY61" s="3488" t="s">
        <v>1091</v>
      </c>
      <c r="BZ61" s="3489" t="s">
        <v>1092</v>
      </c>
      <c r="CA61" s="3854"/>
    </row>
    <row r="62" spans="1:95" ht="13.5" customHeight="1" thickTop="1">
      <c r="A62" s="3860" t="s">
        <v>1094</v>
      </c>
      <c r="B62" s="3493"/>
      <c r="C62" s="3494">
        <v>1</v>
      </c>
      <c r="D62" s="3495">
        <v>-1.097191432541967E-2</v>
      </c>
      <c r="E62" s="3496">
        <v>1.2061928096871515</v>
      </c>
      <c r="F62" s="3496">
        <v>12.267574929276986</v>
      </c>
      <c r="G62" s="3497">
        <v>3.128318736543359E-3</v>
      </c>
      <c r="H62" s="3498">
        <v>0.86653876877353853</v>
      </c>
      <c r="I62" s="3499">
        <v>2.2506602014741612</v>
      </c>
      <c r="J62" s="3500">
        <v>0.53013501947143959</v>
      </c>
      <c r="K62" s="3501">
        <v>2.232461323758423</v>
      </c>
      <c r="L62" s="3495">
        <v>-6.9044382403593389E-3</v>
      </c>
      <c r="M62" s="3496">
        <v>0.36902214328786476</v>
      </c>
      <c r="N62" s="3501">
        <v>0.18195826564198586</v>
      </c>
      <c r="O62" s="3502">
        <v>1.1803227414978803</v>
      </c>
      <c r="P62" s="3544"/>
      <c r="Q62" s="3860" t="s">
        <v>1094</v>
      </c>
      <c r="R62" s="3493"/>
      <c r="S62" s="3494">
        <v>1</v>
      </c>
      <c r="T62" s="3495">
        <v>-1.097191432541967E-2</v>
      </c>
      <c r="U62" s="3496">
        <v>1.2061928096871515</v>
      </c>
      <c r="V62" s="3496">
        <v>12.267574929276986</v>
      </c>
      <c r="W62" s="3497">
        <v>3.128318736543359E-3</v>
      </c>
      <c r="X62" s="3498">
        <v>0.86653876877353853</v>
      </c>
      <c r="Y62" s="3499">
        <v>2.2506602014741612</v>
      </c>
      <c r="Z62" s="3500">
        <v>0.53013501947143959</v>
      </c>
      <c r="AA62" s="3501">
        <v>2.232461323758423</v>
      </c>
      <c r="AB62" s="3495">
        <v>-6.9044382403593389E-3</v>
      </c>
      <c r="AC62" s="3496">
        <v>0.36902214328786476</v>
      </c>
      <c r="AD62" s="3501">
        <v>0.18195826564198586</v>
      </c>
      <c r="AE62" s="3502">
        <v>1.1803227414978803</v>
      </c>
      <c r="AF62" s="3544"/>
      <c r="AG62" s="3860" t="s">
        <v>1094</v>
      </c>
      <c r="AH62" s="3493"/>
      <c r="AI62" s="3494">
        <v>1</v>
      </c>
      <c r="AJ62" s="3495">
        <v>-2.0846637218297371E-2</v>
      </c>
      <c r="AK62" s="3496">
        <v>2.2917663384055875</v>
      </c>
      <c r="AL62" s="3496">
        <v>23.308392365626272</v>
      </c>
      <c r="AM62" s="3497">
        <v>5.9438055994323821E-3</v>
      </c>
      <c r="AN62" s="3498">
        <v>1.6464236606697231</v>
      </c>
      <c r="AO62" s="3499">
        <v>4.2762543828009063</v>
      </c>
      <c r="AP62" s="3500">
        <v>1.0072565369957351</v>
      </c>
      <c r="AQ62" s="3501">
        <v>4.2416765151410036</v>
      </c>
      <c r="AR62" s="3495">
        <v>-1.3118432656682744E-2</v>
      </c>
      <c r="AS62" s="3496">
        <v>0.70114207224694303</v>
      </c>
      <c r="AT62" s="3501">
        <v>0.34572070471977312</v>
      </c>
      <c r="AU62" s="3502">
        <v>2.2426132088459725</v>
      </c>
      <c r="AV62" s="3544"/>
      <c r="AW62" s="3860" t="s">
        <v>1094</v>
      </c>
      <c r="AX62" s="3493"/>
      <c r="AY62" s="3494">
        <v>1</v>
      </c>
      <c r="AZ62" s="3495">
        <v>-3.1818551543717044E-2</v>
      </c>
      <c r="BA62" s="3496">
        <v>3.4979591480927392</v>
      </c>
      <c r="BB62" s="3496">
        <v>35.575967294903258</v>
      </c>
      <c r="BC62" s="3497">
        <v>9.0721243359757411E-3</v>
      </c>
      <c r="BD62" s="3498">
        <v>2.5129624294432618</v>
      </c>
      <c r="BE62" s="3499">
        <v>6.5269145842750671</v>
      </c>
      <c r="BF62" s="3500">
        <v>1.5373915564671747</v>
      </c>
      <c r="BG62" s="3501">
        <v>6.4741378388994262</v>
      </c>
      <c r="BH62" s="3495">
        <v>-2.0022870897042081E-2</v>
      </c>
      <c r="BI62" s="3496">
        <v>1.0701642155348077</v>
      </c>
      <c r="BJ62" s="3501">
        <v>0.52767897036175904</v>
      </c>
      <c r="BK62" s="3502">
        <v>3.4229359503438528</v>
      </c>
      <c r="BL62" s="3544"/>
      <c r="BM62" s="3860" t="s">
        <v>1094</v>
      </c>
      <c r="BN62" s="3493"/>
      <c r="BO62" s="3494">
        <v>1</v>
      </c>
      <c r="BP62" s="3495">
        <v>-2.7429785813549174E-2</v>
      </c>
      <c r="BQ62" s="3496">
        <v>3.0154820242178788</v>
      </c>
      <c r="BR62" s="3496">
        <v>30.668937323192466</v>
      </c>
      <c r="BS62" s="3497">
        <v>7.8207968413583975E-3</v>
      </c>
      <c r="BT62" s="3498">
        <v>2.1663469219338465</v>
      </c>
      <c r="BU62" s="3499">
        <v>5.6266505036854033</v>
      </c>
      <c r="BV62" s="3500">
        <v>1.325337548678599</v>
      </c>
      <c r="BW62" s="3501">
        <v>5.5811533093960577</v>
      </c>
      <c r="BX62" s="3495">
        <v>-1.7261095600898349E-2</v>
      </c>
      <c r="BY62" s="3496">
        <v>0.92255535821966195</v>
      </c>
      <c r="BZ62" s="3501">
        <v>0.45489566410496463</v>
      </c>
      <c r="CA62" s="3502">
        <v>2.9508068537447008</v>
      </c>
    </row>
    <row r="63" spans="1:95" ht="13.5" customHeight="1">
      <c r="A63" s="3860"/>
      <c r="B63" s="3493"/>
      <c r="C63" s="3494">
        <v>2</v>
      </c>
      <c r="D63" s="3495">
        <v>-2.0552802167773498E-2</v>
      </c>
      <c r="E63" s="3496">
        <v>4.2030679325017175</v>
      </c>
      <c r="F63" s="3496">
        <v>26.654478377125901</v>
      </c>
      <c r="G63" s="3503">
        <v>1.3377021038441735E-2</v>
      </c>
      <c r="H63" s="3504">
        <v>2.9086310111710829</v>
      </c>
      <c r="I63" s="3501">
        <v>8.8749168821377875</v>
      </c>
      <c r="J63" s="3500">
        <v>1.779081593611713</v>
      </c>
      <c r="K63" s="3501">
        <v>8.524861863273907</v>
      </c>
      <c r="L63" s="3495">
        <v>-1.2650247981779461E-2</v>
      </c>
      <c r="M63" s="3496">
        <v>1.1677851859898263</v>
      </c>
      <c r="N63" s="3501">
        <v>1.3640427625890632</v>
      </c>
      <c r="O63" s="3502">
        <v>2.749503005407953</v>
      </c>
      <c r="P63" s="3544"/>
      <c r="Q63" s="3860"/>
      <c r="R63" s="3493"/>
      <c r="S63" s="3494">
        <v>2</v>
      </c>
      <c r="T63" s="3495">
        <v>-2.0552802167773498E-2</v>
      </c>
      <c r="U63" s="3496">
        <v>4.2030679325017175</v>
      </c>
      <c r="V63" s="3496">
        <v>26.654478377125901</v>
      </c>
      <c r="W63" s="3503">
        <v>1.3377021038441735E-2</v>
      </c>
      <c r="X63" s="3504">
        <v>2.9086310111710829</v>
      </c>
      <c r="Y63" s="3501">
        <v>8.8749168821377875</v>
      </c>
      <c r="Z63" s="3500">
        <v>1.779081593611713</v>
      </c>
      <c r="AA63" s="3501">
        <v>8.524861863273907</v>
      </c>
      <c r="AB63" s="3495">
        <v>-1.2650247981779461E-2</v>
      </c>
      <c r="AC63" s="3496">
        <v>1.1677851859898263</v>
      </c>
      <c r="AD63" s="3501">
        <v>1.3640427625890632</v>
      </c>
      <c r="AE63" s="3502">
        <v>2.749503005407953</v>
      </c>
      <c r="AF63" s="3544"/>
      <c r="AG63" s="3860"/>
      <c r="AH63" s="3493"/>
      <c r="AI63" s="3494">
        <v>2</v>
      </c>
      <c r="AJ63" s="3495">
        <v>-3.9050324118769644E-2</v>
      </c>
      <c r="AK63" s="3496">
        <v>7.9858290717532627</v>
      </c>
      <c r="AL63" s="3496">
        <v>50.643508916539211</v>
      </c>
      <c r="AM63" s="3503">
        <v>2.5416339973039295E-2</v>
      </c>
      <c r="AN63" s="3504">
        <v>5.5263989212250575</v>
      </c>
      <c r="AO63" s="3501">
        <v>16.862342076061797</v>
      </c>
      <c r="AP63" s="3500">
        <v>3.3802550278622547</v>
      </c>
      <c r="AQ63" s="3501">
        <v>16.197237540220424</v>
      </c>
      <c r="AR63" s="3495">
        <v>-2.4035471165380976E-2</v>
      </c>
      <c r="AS63" s="3496">
        <v>2.2187918533806696</v>
      </c>
      <c r="AT63" s="3501">
        <v>2.5916812489192198</v>
      </c>
      <c r="AU63" s="3502">
        <v>5.2240557102751106</v>
      </c>
      <c r="AV63" s="3544"/>
      <c r="AW63" s="3860"/>
      <c r="AX63" s="3493"/>
      <c r="AY63" s="3494">
        <v>2</v>
      </c>
      <c r="AZ63" s="3495">
        <v>-5.9603126286543143E-2</v>
      </c>
      <c r="BA63" s="3496">
        <v>12.188897004254981</v>
      </c>
      <c r="BB63" s="3496">
        <v>77.297987293665116</v>
      </c>
      <c r="BC63" s="3503">
        <v>3.879336101148103E-2</v>
      </c>
      <c r="BD63" s="3504">
        <v>8.4350299323961409</v>
      </c>
      <c r="BE63" s="3501">
        <v>25.737258958199583</v>
      </c>
      <c r="BF63" s="3500">
        <v>5.159336621473968</v>
      </c>
      <c r="BG63" s="3501">
        <v>24.72209940349433</v>
      </c>
      <c r="BH63" s="3495">
        <v>-3.6685719147160435E-2</v>
      </c>
      <c r="BI63" s="3496">
        <v>3.3865770393704961</v>
      </c>
      <c r="BJ63" s="3501">
        <v>3.9557240115082832</v>
      </c>
      <c r="BK63" s="3502">
        <v>7.9735587156830636</v>
      </c>
      <c r="BL63" s="3544"/>
      <c r="BM63" s="3860"/>
      <c r="BN63" s="3493"/>
      <c r="BO63" s="3494">
        <v>2</v>
      </c>
      <c r="BP63" s="3495">
        <v>-5.1382005419433746E-2</v>
      </c>
      <c r="BQ63" s="3496">
        <v>10.507669831254294</v>
      </c>
      <c r="BR63" s="3496">
        <v>66.636195942814751</v>
      </c>
      <c r="BS63" s="3503">
        <v>3.344255259610434E-2</v>
      </c>
      <c r="BT63" s="3504">
        <v>7.2715775279277075</v>
      </c>
      <c r="BU63" s="3501">
        <v>22.18729220534447</v>
      </c>
      <c r="BV63" s="3500">
        <v>4.4477039840292827</v>
      </c>
      <c r="BW63" s="3501">
        <v>21.312154658184767</v>
      </c>
      <c r="BX63" s="3495">
        <v>-3.1625619954448653E-2</v>
      </c>
      <c r="BY63" s="3496">
        <v>2.9194629649745658</v>
      </c>
      <c r="BZ63" s="3501">
        <v>3.4101069064726581</v>
      </c>
      <c r="CA63" s="3502">
        <v>6.8737575135198821</v>
      </c>
    </row>
    <row r="64" spans="1:95" ht="13.5" customHeight="1">
      <c r="A64" s="3860"/>
      <c r="B64" s="3493"/>
      <c r="C64" s="3494">
        <v>3</v>
      </c>
      <c r="D64" s="3495">
        <v>0.5860894272187217</v>
      </c>
      <c r="E64" s="3496">
        <v>21.627090984912567</v>
      </c>
      <c r="F64" s="3496">
        <v>48.834269855762905</v>
      </c>
      <c r="G64" s="3503">
        <v>1.0550596802583816</v>
      </c>
      <c r="H64" s="3504">
        <v>23.32961008010566</v>
      </c>
      <c r="I64" s="3501">
        <v>20.049001034239961</v>
      </c>
      <c r="J64" s="3500">
        <v>10.934398370824473</v>
      </c>
      <c r="K64" s="3501">
        <v>18.074792555109795</v>
      </c>
      <c r="L64" s="3495">
        <v>1.4182132593781398</v>
      </c>
      <c r="M64" s="3496">
        <v>3.4117669759243259</v>
      </c>
      <c r="N64" s="3501">
        <v>6.8288334952420451</v>
      </c>
      <c r="O64" s="3502">
        <v>9.2866449861586187</v>
      </c>
      <c r="P64" s="3544"/>
      <c r="Q64" s="3860"/>
      <c r="R64" s="3493"/>
      <c r="S64" s="3494">
        <v>3</v>
      </c>
      <c r="T64" s="3495">
        <v>0.5860894272187217</v>
      </c>
      <c r="U64" s="3496">
        <v>21.627090984912567</v>
      </c>
      <c r="V64" s="3496">
        <v>48.834269855762905</v>
      </c>
      <c r="W64" s="3503">
        <v>1.0550596802583816</v>
      </c>
      <c r="X64" s="3504">
        <v>23.32961008010566</v>
      </c>
      <c r="Y64" s="3501">
        <v>20.049001034239961</v>
      </c>
      <c r="Z64" s="3500">
        <v>10.934398370824473</v>
      </c>
      <c r="AA64" s="3501">
        <v>18.074792555109795</v>
      </c>
      <c r="AB64" s="3495">
        <v>1.4182132593781398</v>
      </c>
      <c r="AC64" s="3496">
        <v>3.4117669759243259</v>
      </c>
      <c r="AD64" s="3501">
        <v>6.8288334952420451</v>
      </c>
      <c r="AE64" s="3502">
        <v>9.2866449861586187</v>
      </c>
      <c r="AF64" s="3544"/>
      <c r="AG64" s="3860"/>
      <c r="AH64" s="3493"/>
      <c r="AI64" s="3494">
        <v>3</v>
      </c>
      <c r="AJ64" s="3495">
        <v>1.1135699117155713</v>
      </c>
      <c r="AK64" s="3496">
        <v>41.091472871333877</v>
      </c>
      <c r="AL64" s="3496">
        <v>92.785112725949517</v>
      </c>
      <c r="AM64" s="3503">
        <v>2.0046133924909251</v>
      </c>
      <c r="AN64" s="3504">
        <v>44.326259152200748</v>
      </c>
      <c r="AO64" s="3501">
        <v>38.093101965055922</v>
      </c>
      <c r="AP64" s="3500">
        <v>20.775356904566497</v>
      </c>
      <c r="AQ64" s="3501">
        <v>34.342105854708606</v>
      </c>
      <c r="AR64" s="3495">
        <v>2.6946051928184653</v>
      </c>
      <c r="AS64" s="3496">
        <v>6.4823572542562191</v>
      </c>
      <c r="AT64" s="3501">
        <v>12.974783640959885</v>
      </c>
      <c r="AU64" s="3502">
        <v>17.644625473701375</v>
      </c>
      <c r="AV64" s="3544"/>
      <c r="AW64" s="3860"/>
      <c r="AX64" s="3493"/>
      <c r="AY64" s="3494">
        <v>3</v>
      </c>
      <c r="AZ64" s="3495">
        <v>1.6996593389342929</v>
      </c>
      <c r="BA64" s="3496">
        <v>62.71856385624644</v>
      </c>
      <c r="BB64" s="3496">
        <v>141.61938258171242</v>
      </c>
      <c r="BC64" s="3503">
        <v>3.0596730727493067</v>
      </c>
      <c r="BD64" s="3504">
        <v>67.655869232306415</v>
      </c>
      <c r="BE64" s="3501">
        <v>58.142102999295886</v>
      </c>
      <c r="BF64" s="3500">
        <v>31.709755275390972</v>
      </c>
      <c r="BG64" s="3501">
        <v>52.416898409818401</v>
      </c>
      <c r="BH64" s="3495">
        <v>4.1128184521966054</v>
      </c>
      <c r="BI64" s="3496">
        <v>9.8941242301805445</v>
      </c>
      <c r="BJ64" s="3501">
        <v>19.803617136201929</v>
      </c>
      <c r="BK64" s="3502">
        <v>26.931270459859995</v>
      </c>
      <c r="BL64" s="3544"/>
      <c r="BM64" s="3860"/>
      <c r="BN64" s="3493"/>
      <c r="BO64" s="3494">
        <v>3</v>
      </c>
      <c r="BP64" s="3495">
        <v>1.4652235680468042</v>
      </c>
      <c r="BQ64" s="3496">
        <v>54.067727462281418</v>
      </c>
      <c r="BR64" s="3496">
        <v>122.08567463940726</v>
      </c>
      <c r="BS64" s="3503">
        <v>2.6376492006459538</v>
      </c>
      <c r="BT64" s="3504">
        <v>58.324025200264145</v>
      </c>
      <c r="BU64" s="3501">
        <v>50.122502585599904</v>
      </c>
      <c r="BV64" s="3500">
        <v>27.335995927061184</v>
      </c>
      <c r="BW64" s="3501">
        <v>45.186981387774487</v>
      </c>
      <c r="BX64" s="3495">
        <v>3.5455331484453496</v>
      </c>
      <c r="BY64" s="3496">
        <v>8.529417439810814</v>
      </c>
      <c r="BZ64" s="3501">
        <v>17.072083738105114</v>
      </c>
      <c r="CA64" s="3502">
        <v>23.216612465396548</v>
      </c>
    </row>
    <row r="65" spans="1:95" ht="13.5" customHeight="1">
      <c r="A65" s="3860"/>
      <c r="B65" s="3493"/>
      <c r="C65" s="3494">
        <v>4</v>
      </c>
      <c r="D65" s="3495">
        <v>14.499440269412558</v>
      </c>
      <c r="E65" s="3496">
        <v>99.347327516992323</v>
      </c>
      <c r="F65" s="3496">
        <v>115.14901051335221</v>
      </c>
      <c r="G65" s="3503">
        <v>19.191693581379088</v>
      </c>
      <c r="H65" s="3504">
        <v>84.312678791778723</v>
      </c>
      <c r="I65" s="3501">
        <v>81.571163093407762</v>
      </c>
      <c r="J65" s="3500">
        <v>39.3250459345957</v>
      </c>
      <c r="K65" s="3501">
        <v>78.247264324830098</v>
      </c>
      <c r="L65" s="3495">
        <v>18.949980154592296</v>
      </c>
      <c r="M65" s="3496">
        <v>41.128981001289723</v>
      </c>
      <c r="N65" s="3501">
        <v>26.622767851731659</v>
      </c>
      <c r="O65" s="3502">
        <v>55.210392235669843</v>
      </c>
      <c r="P65" s="3544"/>
      <c r="Q65" s="3860"/>
      <c r="R65" s="3493"/>
      <c r="S65" s="3494">
        <v>4</v>
      </c>
      <c r="T65" s="3495">
        <v>14.499440269412558</v>
      </c>
      <c r="U65" s="3496">
        <v>99.347327516992323</v>
      </c>
      <c r="V65" s="3496">
        <v>115.14901051335221</v>
      </c>
      <c r="W65" s="3503">
        <v>19.191693581379088</v>
      </c>
      <c r="X65" s="3504">
        <v>84.312678791778723</v>
      </c>
      <c r="Y65" s="3501">
        <v>81.571163093407762</v>
      </c>
      <c r="Z65" s="3500">
        <v>39.3250459345957</v>
      </c>
      <c r="AA65" s="3501">
        <v>78.247264324830098</v>
      </c>
      <c r="AB65" s="3495">
        <v>18.949980154592296</v>
      </c>
      <c r="AC65" s="3496">
        <v>41.128981001289723</v>
      </c>
      <c r="AD65" s="3501">
        <v>26.622767851731659</v>
      </c>
      <c r="AE65" s="3502">
        <v>55.210392235669843</v>
      </c>
      <c r="AF65" s="3544"/>
      <c r="AG65" s="3860"/>
      <c r="AH65" s="3493"/>
      <c r="AI65" s="3494">
        <v>4</v>
      </c>
      <c r="AJ65" s="3495">
        <v>27.548936511883859</v>
      </c>
      <c r="AK65" s="3496">
        <v>188.7599222822854</v>
      </c>
      <c r="AL65" s="3496">
        <v>218.78311997536917</v>
      </c>
      <c r="AM65" s="3503">
        <v>36.464217804620269</v>
      </c>
      <c r="AN65" s="3504">
        <v>160.19408970437956</v>
      </c>
      <c r="AO65" s="3501">
        <v>154.98520987747474</v>
      </c>
      <c r="AP65" s="3500">
        <v>74.71758727573183</v>
      </c>
      <c r="AQ65" s="3501">
        <v>148.66980221717719</v>
      </c>
      <c r="AR65" s="3495">
        <v>36.004962293725363</v>
      </c>
      <c r="AS65" s="3496">
        <v>78.145063902450474</v>
      </c>
      <c r="AT65" s="3501">
        <v>50.583258918290149</v>
      </c>
      <c r="AU65" s="3502">
        <v>104.8997452477727</v>
      </c>
      <c r="AV65" s="3544"/>
      <c r="AW65" s="3860"/>
      <c r="AX65" s="3493"/>
      <c r="AY65" s="3494">
        <v>4</v>
      </c>
      <c r="AZ65" s="3495">
        <v>42.048376781296419</v>
      </c>
      <c r="BA65" s="3496">
        <v>288.10724979927772</v>
      </c>
      <c r="BB65" s="3496">
        <v>333.93213048872138</v>
      </c>
      <c r="BC65" s="3503">
        <v>55.655911385999353</v>
      </c>
      <c r="BD65" s="3504">
        <v>244.50676849615829</v>
      </c>
      <c r="BE65" s="3501">
        <v>236.55637297088251</v>
      </c>
      <c r="BF65" s="3500">
        <v>114.04263321032752</v>
      </c>
      <c r="BG65" s="3501">
        <v>226.91706654200729</v>
      </c>
      <c r="BH65" s="3495">
        <v>54.954942448317659</v>
      </c>
      <c r="BI65" s="3496">
        <v>119.27404490374019</v>
      </c>
      <c r="BJ65" s="3501">
        <v>77.206026770021808</v>
      </c>
      <c r="BK65" s="3502">
        <v>160.11013748344254</v>
      </c>
      <c r="BL65" s="3544"/>
      <c r="BM65" s="3860"/>
      <c r="BN65" s="3493"/>
      <c r="BO65" s="3494">
        <v>4</v>
      </c>
      <c r="BP65" s="3495">
        <v>36.248600673531392</v>
      </c>
      <c r="BQ65" s="3496">
        <v>248.36831879248081</v>
      </c>
      <c r="BR65" s="3496">
        <v>287.87252628338052</v>
      </c>
      <c r="BS65" s="3503">
        <v>47.979233953447718</v>
      </c>
      <c r="BT65" s="3504">
        <v>210.78169697944679</v>
      </c>
      <c r="BU65" s="3501">
        <v>203.92790773351942</v>
      </c>
      <c r="BV65" s="3500">
        <v>98.312614836489246</v>
      </c>
      <c r="BW65" s="3501">
        <v>195.61816081207525</v>
      </c>
      <c r="BX65" s="3495">
        <v>47.374950386480741</v>
      </c>
      <c r="BY65" s="3496">
        <v>102.82245250322431</v>
      </c>
      <c r="BZ65" s="3501">
        <v>66.556919629329144</v>
      </c>
      <c r="CA65" s="3502">
        <v>138.02598058917459</v>
      </c>
    </row>
    <row r="66" spans="1:95" ht="13.5" customHeight="1">
      <c r="A66" s="3860"/>
      <c r="B66" s="3493"/>
      <c r="C66" s="3505">
        <v>5</v>
      </c>
      <c r="D66" s="3495" t="e">
        <v>#N/A</v>
      </c>
      <c r="E66" s="3496">
        <v>255.67588798098663</v>
      </c>
      <c r="F66" s="3496">
        <v>218.86650483364105</v>
      </c>
      <c r="G66" s="3506">
        <v>63.875728899331001</v>
      </c>
      <c r="H66" s="3507">
        <v>216.59789554684949</v>
      </c>
      <c r="I66" s="3508">
        <v>257.6428229178228</v>
      </c>
      <c r="J66" s="3509">
        <v>75.490552385215864</v>
      </c>
      <c r="K66" s="3508">
        <v>222.46813437542295</v>
      </c>
      <c r="L66" s="3510">
        <v>82.745865700869629</v>
      </c>
      <c r="M66" s="3511">
        <v>119.62960693152577</v>
      </c>
      <c r="N66" s="3508">
        <v>152.44302652943978</v>
      </c>
      <c r="O66" s="3502">
        <v>186.00101170865381</v>
      </c>
      <c r="P66" s="3544"/>
      <c r="Q66" s="3860"/>
      <c r="R66" s="3493"/>
      <c r="S66" s="3505">
        <v>5</v>
      </c>
      <c r="T66" s="3495" t="e">
        <v>#N/A</v>
      </c>
      <c r="U66" s="3496">
        <v>255.67588798098663</v>
      </c>
      <c r="V66" s="3496">
        <v>218.86650483364105</v>
      </c>
      <c r="W66" s="3506">
        <v>63.875728899331001</v>
      </c>
      <c r="X66" s="3507">
        <v>216.59789554684949</v>
      </c>
      <c r="Y66" s="3508">
        <v>257.6428229178228</v>
      </c>
      <c r="Z66" s="3509">
        <v>75.490552385215864</v>
      </c>
      <c r="AA66" s="3508">
        <v>222.46813437542295</v>
      </c>
      <c r="AB66" s="3510">
        <v>82.745865700869629</v>
      </c>
      <c r="AC66" s="3511">
        <v>119.62960693152577</v>
      </c>
      <c r="AD66" s="3508">
        <v>152.44302652943978</v>
      </c>
      <c r="AE66" s="3502">
        <v>186.00101170865381</v>
      </c>
      <c r="AF66" s="3544"/>
      <c r="AG66" s="3860"/>
      <c r="AH66" s="3493"/>
      <c r="AI66" s="3505">
        <v>5</v>
      </c>
      <c r="AJ66" s="3495" t="e">
        <v>#N/A</v>
      </c>
      <c r="AK66" s="3496">
        <v>485.78418716387455</v>
      </c>
      <c r="AL66" s="3496">
        <v>415.84635918391797</v>
      </c>
      <c r="AM66" s="3506">
        <v>121.36388490872889</v>
      </c>
      <c r="AN66" s="3507">
        <v>411.53600153901402</v>
      </c>
      <c r="AO66" s="3508">
        <v>489.52136354386329</v>
      </c>
      <c r="AP66" s="3509">
        <v>143.43204953191014</v>
      </c>
      <c r="AQ66" s="3508">
        <v>422.6894553133036</v>
      </c>
      <c r="AR66" s="3510">
        <v>157.21714483165229</v>
      </c>
      <c r="AS66" s="3511">
        <v>227.29625316989896</v>
      </c>
      <c r="AT66" s="3508">
        <v>289.64175040593557</v>
      </c>
      <c r="AU66" s="3502">
        <v>353.40192224644221</v>
      </c>
      <c r="AV66" s="3544"/>
      <c r="AW66" s="3860"/>
      <c r="AX66" s="3493"/>
      <c r="AY66" s="3505">
        <v>5</v>
      </c>
      <c r="AZ66" s="3495" t="e">
        <v>#N/A</v>
      </c>
      <c r="BA66" s="3496">
        <v>741.46007514486121</v>
      </c>
      <c r="BB66" s="3496">
        <v>634.71286401755901</v>
      </c>
      <c r="BC66" s="3506">
        <v>185.23961380805989</v>
      </c>
      <c r="BD66" s="3507">
        <v>628.13389708586351</v>
      </c>
      <c r="BE66" s="3508">
        <v>747.16418646168609</v>
      </c>
      <c r="BF66" s="3509">
        <v>218.922601917126</v>
      </c>
      <c r="BG66" s="3508">
        <v>645.15758968872649</v>
      </c>
      <c r="BH66" s="3510">
        <v>239.96301053252191</v>
      </c>
      <c r="BI66" s="3511">
        <v>346.92586010142475</v>
      </c>
      <c r="BJ66" s="3508">
        <v>442.08477693537532</v>
      </c>
      <c r="BK66" s="3502">
        <v>539.40293395509605</v>
      </c>
      <c r="BL66" s="3544"/>
      <c r="BM66" s="3860"/>
      <c r="BN66" s="3493"/>
      <c r="BO66" s="3505">
        <v>5</v>
      </c>
      <c r="BP66" s="3495" t="e">
        <v>#N/A</v>
      </c>
      <c r="BQ66" s="3496">
        <v>639.18971995246659</v>
      </c>
      <c r="BR66" s="3496">
        <v>547.16626208410264</v>
      </c>
      <c r="BS66" s="3506">
        <v>159.6893222483275</v>
      </c>
      <c r="BT66" s="3507">
        <v>541.49473886712371</v>
      </c>
      <c r="BU66" s="3508">
        <v>644.10705729455697</v>
      </c>
      <c r="BV66" s="3509">
        <v>188.72638096303967</v>
      </c>
      <c r="BW66" s="3508">
        <v>556.1703359385574</v>
      </c>
      <c r="BX66" s="3510">
        <v>206.86466425217407</v>
      </c>
      <c r="BY66" s="3511">
        <v>299.07401732881442</v>
      </c>
      <c r="BZ66" s="3508">
        <v>381.10756632359943</v>
      </c>
      <c r="CA66" s="3502">
        <v>465.0025292716345</v>
      </c>
    </row>
    <row r="67" spans="1:95" ht="13.5" customHeight="1">
      <c r="A67" s="3860"/>
      <c r="B67" s="3493"/>
      <c r="C67" s="3512" t="s">
        <v>1422</v>
      </c>
      <c r="D67" s="3513">
        <v>0.36829354678255338</v>
      </c>
      <c r="E67" s="3514">
        <v>87.286899690145844</v>
      </c>
      <c r="F67" s="3515">
        <v>54.084904291950089</v>
      </c>
      <c r="G67" s="3513">
        <v>2.7625520093817655</v>
      </c>
      <c r="H67" s="3514">
        <v>39.98291837613688</v>
      </c>
      <c r="I67" s="3515">
        <v>28.072778118989071</v>
      </c>
      <c r="J67" s="3516">
        <v>15.971238120135222</v>
      </c>
      <c r="K67" s="3517">
        <v>11.704985338784631</v>
      </c>
      <c r="L67" s="3518">
        <v>1.7673104413243719</v>
      </c>
      <c r="M67" s="3519">
        <v>2.6976561417040137</v>
      </c>
      <c r="N67" s="3517">
        <v>3.5901798641171401</v>
      </c>
      <c r="O67" s="3520">
        <v>13.761813966234801</v>
      </c>
      <c r="P67" s="3544"/>
      <c r="Q67" s="3860"/>
      <c r="R67" s="3493"/>
      <c r="S67" s="3512" t="s">
        <v>1422</v>
      </c>
      <c r="T67" s="3513">
        <v>0.36829354678255338</v>
      </c>
      <c r="U67" s="3514">
        <v>87.286899690145844</v>
      </c>
      <c r="V67" s="3515">
        <v>54.084904291950089</v>
      </c>
      <c r="W67" s="3513">
        <v>2.7625520093817655</v>
      </c>
      <c r="X67" s="3514">
        <v>39.98291837613688</v>
      </c>
      <c r="Y67" s="3515">
        <v>28.072778118989071</v>
      </c>
      <c r="Z67" s="3516">
        <v>15.971238120135222</v>
      </c>
      <c r="AA67" s="3517">
        <v>11.704985338784631</v>
      </c>
      <c r="AB67" s="3518">
        <v>1.7673104413243719</v>
      </c>
      <c r="AC67" s="3519">
        <v>2.6976561417040137</v>
      </c>
      <c r="AD67" s="3517">
        <v>3.5901798641171401</v>
      </c>
      <c r="AE67" s="3520">
        <v>13.761813966234801</v>
      </c>
      <c r="AF67" s="3544"/>
      <c r="AG67" s="3860"/>
      <c r="AH67" s="3493"/>
      <c r="AI67" s="3512" t="s">
        <v>1422</v>
      </c>
      <c r="AJ67" s="3513">
        <v>0.69975773888685144</v>
      </c>
      <c r="AK67" s="3514">
        <v>165.84510941127709</v>
      </c>
      <c r="AL67" s="3515">
        <v>102.76131815470517</v>
      </c>
      <c r="AM67" s="3513">
        <v>5.2488488178253538</v>
      </c>
      <c r="AN67" s="3514">
        <v>75.967544914660067</v>
      </c>
      <c r="AO67" s="3515">
        <v>53.338278426079235</v>
      </c>
      <c r="AP67" s="3516">
        <v>30.34535242825692</v>
      </c>
      <c r="AQ67" s="3517">
        <v>22.239472143690797</v>
      </c>
      <c r="AR67" s="3518">
        <v>3.3578898385163063</v>
      </c>
      <c r="AS67" s="3519">
        <v>5.1255466692376261</v>
      </c>
      <c r="AT67" s="3517">
        <v>6.8213417418225655</v>
      </c>
      <c r="AU67" s="3520">
        <v>26.147446535846122</v>
      </c>
      <c r="AV67" s="3544"/>
      <c r="AW67" s="3860"/>
      <c r="AX67" s="3493"/>
      <c r="AY67" s="3512" t="s">
        <v>1422</v>
      </c>
      <c r="AZ67" s="3513">
        <v>1.0680512856694049</v>
      </c>
      <c r="BA67" s="3514">
        <v>253.13200910142294</v>
      </c>
      <c r="BB67" s="3515">
        <v>156.84622244665525</v>
      </c>
      <c r="BC67" s="3513">
        <v>8.0114008272071189</v>
      </c>
      <c r="BD67" s="3514">
        <v>115.95046329079695</v>
      </c>
      <c r="BE67" s="3515">
        <v>81.411056545068305</v>
      </c>
      <c r="BF67" s="3516">
        <v>46.316590548392142</v>
      </c>
      <c r="BG67" s="3517">
        <v>33.944457482475428</v>
      </c>
      <c r="BH67" s="3518">
        <v>5.1252002798406782</v>
      </c>
      <c r="BI67" s="3519">
        <v>7.8232028109416394</v>
      </c>
      <c r="BJ67" s="3517">
        <v>10.411521605939706</v>
      </c>
      <c r="BK67" s="3520">
        <v>39.909260502080919</v>
      </c>
      <c r="BL67" s="3544"/>
      <c r="BM67" s="3860"/>
      <c r="BN67" s="3493"/>
      <c r="BO67" s="3512" t="s">
        <v>1422</v>
      </c>
      <c r="BP67" s="3513">
        <v>0.92073386695638348</v>
      </c>
      <c r="BQ67" s="3514">
        <v>218.21724922536461</v>
      </c>
      <c r="BR67" s="3515">
        <v>135.21226072987523</v>
      </c>
      <c r="BS67" s="3513">
        <v>6.9063800234544139</v>
      </c>
      <c r="BT67" s="3514">
        <v>99.957295940342192</v>
      </c>
      <c r="BU67" s="3515">
        <v>70.18194529747268</v>
      </c>
      <c r="BV67" s="3516">
        <v>39.928095300338057</v>
      </c>
      <c r="BW67" s="3517">
        <v>29.262463346961578</v>
      </c>
      <c r="BX67" s="3518">
        <v>4.4182761033109301</v>
      </c>
      <c r="BY67" s="3519">
        <v>6.7441403542600344</v>
      </c>
      <c r="BZ67" s="3517">
        <v>8.9754496602928509</v>
      </c>
      <c r="CA67" s="3520">
        <v>34.404534915587</v>
      </c>
    </row>
    <row r="68" spans="1:95" ht="13.5" customHeight="1">
      <c r="A68" s="3521" t="s">
        <v>1095</v>
      </c>
      <c r="B68" s="3522"/>
      <c r="C68" s="3523" t="s">
        <v>1096</v>
      </c>
      <c r="D68" s="3524">
        <v>0</v>
      </c>
      <c r="E68" s="3525">
        <v>0.11890986999877122</v>
      </c>
      <c r="F68" s="3526">
        <v>0.11890986999877122</v>
      </c>
      <c r="G68" s="3524">
        <v>0</v>
      </c>
      <c r="H68" s="3525">
        <v>0.11890986999877122</v>
      </c>
      <c r="I68" s="3526">
        <v>0.11890986999877122</v>
      </c>
      <c r="J68" s="3527">
        <v>0.11890986999877122</v>
      </c>
      <c r="K68" s="3526">
        <v>0.11890986999877122</v>
      </c>
      <c r="L68" s="3527">
        <v>0</v>
      </c>
      <c r="M68" s="3528">
        <v>0.11890986999877122</v>
      </c>
      <c r="N68" s="3526">
        <v>0.11890986999877122</v>
      </c>
      <c r="O68" s="3529">
        <v>9.7433286262429475E-2</v>
      </c>
      <c r="P68" s="3544"/>
      <c r="Q68" s="3521" t="s">
        <v>1095</v>
      </c>
      <c r="R68" s="3522"/>
      <c r="S68" s="3523" t="s">
        <v>1096</v>
      </c>
      <c r="T68" s="3524">
        <v>0</v>
      </c>
      <c r="U68" s="3525">
        <v>0.11890986999877122</v>
      </c>
      <c r="V68" s="3526">
        <v>0.11890986999877122</v>
      </c>
      <c r="W68" s="3524">
        <v>0</v>
      </c>
      <c r="X68" s="3525">
        <v>0.11890986999877122</v>
      </c>
      <c r="Y68" s="3526">
        <v>0.11890986999877122</v>
      </c>
      <c r="Z68" s="3527">
        <v>0.11890986999877122</v>
      </c>
      <c r="AA68" s="3526">
        <v>0.11890986999877122</v>
      </c>
      <c r="AB68" s="3527">
        <v>0</v>
      </c>
      <c r="AC68" s="3528">
        <v>0.11890986999877122</v>
      </c>
      <c r="AD68" s="3526">
        <v>0.11890986999877122</v>
      </c>
      <c r="AE68" s="3529">
        <v>9.8025949490920555E-2</v>
      </c>
      <c r="AF68" s="3544"/>
      <c r="AG68" s="3521" t="s">
        <v>1095</v>
      </c>
      <c r="AH68" s="3522"/>
      <c r="AI68" s="3523" t="s">
        <v>1096</v>
      </c>
      <c r="AJ68" s="3524">
        <v>1.0701888299889408</v>
      </c>
      <c r="AK68" s="3525">
        <v>5.7076737599410174</v>
      </c>
      <c r="AL68" s="3526">
        <v>23.900883869753009</v>
      </c>
      <c r="AM68" s="3524">
        <v>1.0701888299889408</v>
      </c>
      <c r="AN68" s="3525">
        <v>4.2807553199557633</v>
      </c>
      <c r="AO68" s="3526">
        <v>23.900883869753009</v>
      </c>
      <c r="AP68" s="3527">
        <v>4.1618454499569921</v>
      </c>
      <c r="AQ68" s="3526">
        <v>23.900883869753009</v>
      </c>
      <c r="AR68" s="3527">
        <v>1.0701888299889408</v>
      </c>
      <c r="AS68" s="3528">
        <v>3.5672960999631358</v>
      </c>
      <c r="AT68" s="3526">
        <v>23.900883869753009</v>
      </c>
      <c r="AU68" s="3529">
        <v>7.2281527746440331</v>
      </c>
      <c r="AV68" s="3544"/>
      <c r="AW68" s="3521" t="s">
        <v>1095</v>
      </c>
      <c r="AX68" s="3522"/>
      <c r="AY68" s="3523" t="s">
        <v>1096</v>
      </c>
      <c r="AZ68" s="3524">
        <v>4.2807553199557633</v>
      </c>
      <c r="BA68" s="3525">
        <v>19.976858159793561</v>
      </c>
      <c r="BB68" s="3526">
        <v>98.457372358982553</v>
      </c>
      <c r="BC68" s="3524">
        <v>4.2807553199557633</v>
      </c>
      <c r="BD68" s="3525">
        <v>15.101553489843941</v>
      </c>
      <c r="BE68" s="3526">
        <v>98.457372358982553</v>
      </c>
      <c r="BF68" s="3527">
        <v>14.863733749846398</v>
      </c>
      <c r="BG68" s="3526">
        <v>98.457372358982553</v>
      </c>
      <c r="BH68" s="3527">
        <v>4.2807553199557633</v>
      </c>
      <c r="BI68" s="3528">
        <v>12.961175829866061</v>
      </c>
      <c r="BJ68" s="3526">
        <v>98.457372358982553</v>
      </c>
      <c r="BK68" s="3529">
        <v>10.696257688498969</v>
      </c>
      <c r="BL68" s="3544"/>
      <c r="BM68" s="3521" t="s">
        <v>1095</v>
      </c>
      <c r="BN68" s="3522"/>
      <c r="BO68" s="3523" t="s">
        <v>1096</v>
      </c>
      <c r="BP68" s="3524">
        <v>0</v>
      </c>
      <c r="BQ68" s="3525">
        <v>0</v>
      </c>
      <c r="BR68" s="3526">
        <v>0</v>
      </c>
      <c r="BS68" s="3524">
        <v>0</v>
      </c>
      <c r="BT68" s="3525">
        <v>0</v>
      </c>
      <c r="BU68" s="3526">
        <v>0</v>
      </c>
      <c r="BV68" s="3527">
        <v>0</v>
      </c>
      <c r="BW68" s="3526">
        <v>0</v>
      </c>
      <c r="BX68" s="3527">
        <v>0</v>
      </c>
      <c r="BY68" s="3528">
        <v>0</v>
      </c>
      <c r="BZ68" s="3526">
        <v>0</v>
      </c>
      <c r="CA68" s="3529">
        <v>0</v>
      </c>
    </row>
    <row r="69" spans="1:95" ht="13.5" customHeight="1">
      <c r="A69" s="3521" t="s">
        <v>477</v>
      </c>
      <c r="B69" s="3522"/>
      <c r="C69" s="3530" t="s">
        <v>1096</v>
      </c>
      <c r="D69" s="3531">
        <v>0</v>
      </c>
      <c r="E69" s="3532">
        <v>3.9839077517407468</v>
      </c>
      <c r="F69" s="3533">
        <v>3.9839077517407468</v>
      </c>
      <c r="G69" s="3531">
        <v>0</v>
      </c>
      <c r="H69" s="3532">
        <v>3.9839077517407468</v>
      </c>
      <c r="I69" s="3534">
        <v>3.9839077517407468</v>
      </c>
      <c r="J69" s="3535">
        <v>3.9839077517407468</v>
      </c>
      <c r="K69" s="3533">
        <v>3.9839077517407468</v>
      </c>
      <c r="L69" s="3535">
        <v>0</v>
      </c>
      <c r="M69" s="3536">
        <v>0.92957847540617422</v>
      </c>
      <c r="N69" s="3533">
        <v>0.92957847540617422</v>
      </c>
      <c r="O69" s="3502">
        <v>2.1380056719061544</v>
      </c>
      <c r="P69" s="3544"/>
      <c r="Q69" s="3521" t="s">
        <v>477</v>
      </c>
      <c r="R69" s="3522"/>
      <c r="S69" s="3530" t="s">
        <v>1096</v>
      </c>
      <c r="T69" s="3531">
        <v>0</v>
      </c>
      <c r="U69" s="3532">
        <v>3.9839077517407468</v>
      </c>
      <c r="V69" s="3533">
        <v>3.9839077517407468</v>
      </c>
      <c r="W69" s="3531">
        <v>0</v>
      </c>
      <c r="X69" s="3532">
        <v>3.9839077517407468</v>
      </c>
      <c r="Y69" s="3534">
        <v>3.9839077517407468</v>
      </c>
      <c r="Z69" s="3535">
        <v>3.9839077517407468</v>
      </c>
      <c r="AA69" s="3533">
        <v>3.9839077517407468</v>
      </c>
      <c r="AB69" s="3535">
        <v>0</v>
      </c>
      <c r="AC69" s="3536">
        <v>0.92957847540617422</v>
      </c>
      <c r="AD69" s="3533">
        <v>0.92957847540617422</v>
      </c>
      <c r="AE69" s="3502">
        <v>2.0694539247927137</v>
      </c>
      <c r="AF69" s="3544"/>
      <c r="AG69" s="3521" t="s">
        <v>477</v>
      </c>
      <c r="AH69" s="3522"/>
      <c r="AI69" s="3530" t="s">
        <v>1096</v>
      </c>
      <c r="AJ69" s="3531">
        <v>0.39839077517407467</v>
      </c>
      <c r="AK69" s="3532">
        <v>4.2495016018567968</v>
      </c>
      <c r="AL69" s="3533">
        <v>4.2495016018567968</v>
      </c>
      <c r="AM69" s="3531">
        <v>0.39839077517407467</v>
      </c>
      <c r="AN69" s="3532">
        <v>4.2495016018567968</v>
      </c>
      <c r="AO69" s="3534">
        <v>4.2495016018567968</v>
      </c>
      <c r="AP69" s="3535">
        <v>4.2495016018567968</v>
      </c>
      <c r="AQ69" s="3533">
        <v>4.2495016018567968</v>
      </c>
      <c r="AR69" s="3535">
        <v>0.39839077517407467</v>
      </c>
      <c r="AS69" s="3536">
        <v>4.5150954519728463</v>
      </c>
      <c r="AT69" s="3533">
        <v>4.5150954519728463</v>
      </c>
      <c r="AU69" s="3502">
        <v>3.1906775352946624</v>
      </c>
      <c r="AV69" s="3544"/>
      <c r="AW69" s="3521" t="s">
        <v>477</v>
      </c>
      <c r="AX69" s="3522"/>
      <c r="AY69" s="3530" t="s">
        <v>1096</v>
      </c>
      <c r="AZ69" s="3531">
        <v>0.39839077517407467</v>
      </c>
      <c r="BA69" s="3532">
        <v>4.2495016018567968</v>
      </c>
      <c r="BB69" s="3533">
        <v>4.2495016018567968</v>
      </c>
      <c r="BC69" s="3531">
        <v>0.39839077517407467</v>
      </c>
      <c r="BD69" s="3532">
        <v>4.2495016018567968</v>
      </c>
      <c r="BE69" s="3534">
        <v>4.2495016018567968</v>
      </c>
      <c r="BF69" s="3535">
        <v>4.2495016018567968</v>
      </c>
      <c r="BG69" s="3533">
        <v>4.2495016018567968</v>
      </c>
      <c r="BH69" s="3535">
        <v>0.39839077517407467</v>
      </c>
      <c r="BI69" s="3536">
        <v>4.5150954519728463</v>
      </c>
      <c r="BJ69" s="3533">
        <v>4.5150954519728463</v>
      </c>
      <c r="BK69" s="3502">
        <v>2.2038794026606756</v>
      </c>
      <c r="BL69" s="3544"/>
      <c r="BM69" s="3521" t="s">
        <v>477</v>
      </c>
      <c r="BN69" s="3522"/>
      <c r="BO69" s="3530" t="s">
        <v>1096</v>
      </c>
      <c r="BP69" s="3531">
        <v>0</v>
      </c>
      <c r="BQ69" s="3532">
        <v>0</v>
      </c>
      <c r="BR69" s="3533">
        <v>0</v>
      </c>
      <c r="BS69" s="3531">
        <v>0</v>
      </c>
      <c r="BT69" s="3532">
        <v>0</v>
      </c>
      <c r="BU69" s="3534">
        <v>0</v>
      </c>
      <c r="BV69" s="3535">
        <v>0</v>
      </c>
      <c r="BW69" s="3533">
        <v>0</v>
      </c>
      <c r="BX69" s="3535">
        <v>0</v>
      </c>
      <c r="BY69" s="3536">
        <v>0</v>
      </c>
      <c r="BZ69" s="3533">
        <v>0</v>
      </c>
      <c r="CA69" s="3502">
        <v>0</v>
      </c>
    </row>
    <row r="70" spans="1:95" ht="13.5" customHeight="1">
      <c r="A70" s="3521" t="s">
        <v>1097</v>
      </c>
      <c r="B70" s="3522"/>
      <c r="C70" s="3530" t="s">
        <v>1096</v>
      </c>
      <c r="D70" s="3535">
        <v>0.65126337555025826</v>
      </c>
      <c r="E70" s="3532">
        <v>0.65274981537281174</v>
      </c>
      <c r="F70" s="3537">
        <v>0.86027954136438889</v>
      </c>
      <c r="G70" s="3531">
        <v>0.27440471231613384</v>
      </c>
      <c r="H70" s="3532">
        <v>0.23635413159441299</v>
      </c>
      <c r="I70" s="3537">
        <v>0.25408708587528722</v>
      </c>
      <c r="J70" s="3531">
        <v>0.17001583954464899</v>
      </c>
      <c r="K70" s="3537">
        <v>0.18220931922909642</v>
      </c>
      <c r="L70" s="3531">
        <v>8.2863118302161087E-2</v>
      </c>
      <c r="M70" s="3538">
        <v>6.6117775776223839E-2</v>
      </c>
      <c r="N70" s="3534">
        <v>5.876199030478417E-2</v>
      </c>
      <c r="O70" s="3539">
        <v>0.17082657282837585</v>
      </c>
      <c r="P70" s="3544"/>
      <c r="Q70" s="3521" t="s">
        <v>1097</v>
      </c>
      <c r="R70" s="3522"/>
      <c r="S70" s="3530" t="s">
        <v>1096</v>
      </c>
      <c r="T70" s="3535">
        <v>1.2829415515773985</v>
      </c>
      <c r="U70" s="3532">
        <v>1.251857776430491</v>
      </c>
      <c r="V70" s="3537">
        <v>1.6786890566124621</v>
      </c>
      <c r="W70" s="3531">
        <v>0.54350377402163441</v>
      </c>
      <c r="X70" s="3532">
        <v>0.44320564352419822</v>
      </c>
      <c r="Y70" s="3537">
        <v>0.47910581838785171</v>
      </c>
      <c r="Z70" s="3531">
        <v>0.32011817218299654</v>
      </c>
      <c r="AA70" s="3537">
        <v>0.34106290667717121</v>
      </c>
      <c r="AB70" s="3531">
        <v>0.16290066094086167</v>
      </c>
      <c r="AC70" s="3538">
        <v>0.13458500222122605</v>
      </c>
      <c r="AD70" s="3534">
        <v>0.11105395246934914</v>
      </c>
      <c r="AE70" s="3539">
        <v>0.32656813489837078</v>
      </c>
      <c r="AF70" s="3544"/>
      <c r="AG70" s="3521" t="s">
        <v>1097</v>
      </c>
      <c r="AH70" s="3522"/>
      <c r="AI70" s="3530" t="s">
        <v>1096</v>
      </c>
      <c r="AJ70" s="3535">
        <v>2.5213638245081036</v>
      </c>
      <c r="AK70" s="3532">
        <v>3.7753117083345518</v>
      </c>
      <c r="AL70" s="3537">
        <v>4.8945896968084321</v>
      </c>
      <c r="AM70" s="3531">
        <v>1.1427657144543386</v>
      </c>
      <c r="AN70" s="3532">
        <v>1.3466403250354242</v>
      </c>
      <c r="AO70" s="3537">
        <v>1.5747070232909879</v>
      </c>
      <c r="AP70" s="3531">
        <v>0.93003128715963113</v>
      </c>
      <c r="AQ70" s="3537">
        <v>1.1191744441796059</v>
      </c>
      <c r="AR70" s="3531">
        <v>0.33276208660686252</v>
      </c>
      <c r="AS70" s="3538">
        <v>0.31692685419609251</v>
      </c>
      <c r="AT70" s="3534">
        <v>0.30950896308298081</v>
      </c>
      <c r="AU70" s="3539">
        <v>0.76565534397080626</v>
      </c>
      <c r="AV70" s="3544"/>
      <c r="AW70" s="3521" t="s">
        <v>1097</v>
      </c>
      <c r="AX70" s="3522"/>
      <c r="AY70" s="3530" t="s">
        <v>1096</v>
      </c>
      <c r="AZ70" s="3535">
        <v>3.5678674266447294</v>
      </c>
      <c r="BA70" s="3532">
        <v>5.4673665864517886</v>
      </c>
      <c r="BB70" s="3537">
        <v>7.897081317343039</v>
      </c>
      <c r="BC70" s="3531">
        <v>1.5746972031659474</v>
      </c>
      <c r="BD70" s="3532">
        <v>1.8287007645437707</v>
      </c>
      <c r="BE70" s="3537">
        <v>2.4108969264925344</v>
      </c>
      <c r="BF70" s="3531">
        <v>1.3901804742762591</v>
      </c>
      <c r="BG70" s="3537">
        <v>1.7525342624677409</v>
      </c>
      <c r="BH70" s="3531">
        <v>0.47175929189377974</v>
      </c>
      <c r="BI70" s="3538">
        <v>0.45641699942850111</v>
      </c>
      <c r="BJ70" s="3534">
        <v>0.45069059939166706</v>
      </c>
      <c r="BK70" s="3539">
        <v>0.82662560888297731</v>
      </c>
      <c r="BL70" s="3544"/>
      <c r="BM70" s="3521" t="s">
        <v>1097</v>
      </c>
      <c r="BN70" s="3522"/>
      <c r="BO70" s="3530" t="s">
        <v>1096</v>
      </c>
      <c r="BP70" s="3535">
        <v>4.9639928650183052</v>
      </c>
      <c r="BQ70" s="3532">
        <v>7.8152426043773442</v>
      </c>
      <c r="BR70" s="3537">
        <v>9.5131989727344148</v>
      </c>
      <c r="BS70" s="3531">
        <v>2.4205773232486449</v>
      </c>
      <c r="BT70" s="3532">
        <v>3.074709879364141</v>
      </c>
      <c r="BU70" s="3537">
        <v>3.5189660014362132</v>
      </c>
      <c r="BV70" s="3531">
        <v>1.759669335343502</v>
      </c>
      <c r="BW70" s="3537">
        <v>2.3185445864136547</v>
      </c>
      <c r="BX70" s="3531">
        <v>0.65515974738188765</v>
      </c>
      <c r="BY70" s="3538">
        <v>0.540009400815466</v>
      </c>
      <c r="BZ70" s="3534">
        <v>0.55517579112642668</v>
      </c>
      <c r="CA70" s="3539">
        <v>2.5189423646023754</v>
      </c>
    </row>
    <row r="71" spans="1:95" ht="13.5" customHeight="1">
      <c r="A71" s="3521" t="s">
        <v>1074</v>
      </c>
      <c r="B71" s="3522"/>
      <c r="C71" s="3530" t="s">
        <v>1096</v>
      </c>
      <c r="D71" s="3531">
        <v>0.2655938501160498</v>
      </c>
      <c r="E71" s="3532">
        <v>0.2655938501160498</v>
      </c>
      <c r="F71" s="3534">
        <v>0.2655938501160498</v>
      </c>
      <c r="G71" s="3531">
        <v>0.2655938501160498</v>
      </c>
      <c r="H71" s="3532">
        <v>0.2655938501160498</v>
      </c>
      <c r="I71" s="3534">
        <v>0.2655938501160498</v>
      </c>
      <c r="J71" s="3531">
        <v>0.2655938501160498</v>
      </c>
      <c r="K71" s="3534">
        <v>0.2655938501160498</v>
      </c>
      <c r="L71" s="3531">
        <v>0</v>
      </c>
      <c r="M71" s="3532">
        <v>0</v>
      </c>
      <c r="N71" s="3534">
        <v>0.1327969250580249</v>
      </c>
      <c r="O71" s="3540">
        <v>0.15004421308928093</v>
      </c>
      <c r="P71" s="3544"/>
      <c r="Q71" s="3521" t="s">
        <v>1074</v>
      </c>
      <c r="R71" s="3522"/>
      <c r="S71" s="3530" t="s">
        <v>1096</v>
      </c>
      <c r="T71" s="3531">
        <v>0.2655938501160498</v>
      </c>
      <c r="U71" s="3532">
        <v>0.2655938501160498</v>
      </c>
      <c r="V71" s="3534">
        <v>0.2655938501160498</v>
      </c>
      <c r="W71" s="3531">
        <v>0.2655938501160498</v>
      </c>
      <c r="X71" s="3532">
        <v>0.2655938501160498</v>
      </c>
      <c r="Y71" s="3534">
        <v>0.2655938501160498</v>
      </c>
      <c r="Z71" s="3531">
        <v>0.2655938501160498</v>
      </c>
      <c r="AA71" s="3534">
        <v>0.2655938501160498</v>
      </c>
      <c r="AB71" s="3531">
        <v>0</v>
      </c>
      <c r="AC71" s="3532">
        <v>0</v>
      </c>
      <c r="AD71" s="3534">
        <v>0.1327969250580249</v>
      </c>
      <c r="AE71" s="3540">
        <v>0.14976776464131331</v>
      </c>
      <c r="AF71" s="3544"/>
      <c r="AG71" s="3521" t="s">
        <v>1074</v>
      </c>
      <c r="AH71" s="3522"/>
      <c r="AI71" s="3530" t="s">
        <v>1096</v>
      </c>
      <c r="AJ71" s="3531">
        <v>6.5070493278432204</v>
      </c>
      <c r="AK71" s="3532">
        <v>7.8350185784234698</v>
      </c>
      <c r="AL71" s="3534">
        <v>9.4285816791197661</v>
      </c>
      <c r="AM71" s="3531">
        <v>6.77264317795927</v>
      </c>
      <c r="AN71" s="3532">
        <v>6.6398462529012452</v>
      </c>
      <c r="AO71" s="3534">
        <v>6.6398462529012452</v>
      </c>
      <c r="AP71" s="3531">
        <v>5.8430647025530966</v>
      </c>
      <c r="AQ71" s="3534">
        <v>5.8430647025530966</v>
      </c>
      <c r="AR71" s="3531">
        <v>1.1951723255222242</v>
      </c>
      <c r="AS71" s="3532">
        <v>1.1951723255222242</v>
      </c>
      <c r="AT71" s="3534">
        <v>1.4607661756382742</v>
      </c>
      <c r="AU71" s="3540">
        <v>3.2166424178649309</v>
      </c>
      <c r="AV71" s="3544"/>
      <c r="AW71" s="3521" t="s">
        <v>1074</v>
      </c>
      <c r="AX71" s="3522"/>
      <c r="AY71" s="3530" t="s">
        <v>1096</v>
      </c>
      <c r="AZ71" s="3531">
        <v>12.881301730628415</v>
      </c>
      <c r="BA71" s="3532">
        <v>15.537240231788912</v>
      </c>
      <c r="BB71" s="3534">
        <v>18.857163358239532</v>
      </c>
      <c r="BC71" s="3531">
        <v>13.412489430860514</v>
      </c>
      <c r="BD71" s="3532">
        <v>13.27969250580249</v>
      </c>
      <c r="BE71" s="3534">
        <v>13.27969250580249</v>
      </c>
      <c r="BF71" s="3531">
        <v>11.553332480048166</v>
      </c>
      <c r="BG71" s="3534">
        <v>11.686129405106193</v>
      </c>
      <c r="BH71" s="3531">
        <v>2.3903446510444484</v>
      </c>
      <c r="BI71" s="3532">
        <v>2.3903446510444484</v>
      </c>
      <c r="BJ71" s="3534">
        <v>3.0543292763345722</v>
      </c>
      <c r="BK71" s="3540">
        <v>5.3510159634924266</v>
      </c>
      <c r="BL71" s="3544"/>
      <c r="BM71" s="3521" t="s">
        <v>1074</v>
      </c>
      <c r="BN71" s="3522"/>
      <c r="BO71" s="3530" t="s">
        <v>1096</v>
      </c>
      <c r="BP71" s="3531">
        <v>0</v>
      </c>
      <c r="BQ71" s="3532">
        <v>0</v>
      </c>
      <c r="BR71" s="3534">
        <v>0</v>
      </c>
      <c r="BS71" s="3531">
        <v>0</v>
      </c>
      <c r="BT71" s="3532">
        <v>0</v>
      </c>
      <c r="BU71" s="3534">
        <v>0</v>
      </c>
      <c r="BV71" s="3531">
        <v>0</v>
      </c>
      <c r="BW71" s="3534">
        <v>0</v>
      </c>
      <c r="BX71" s="3531">
        <v>0</v>
      </c>
      <c r="BY71" s="3532">
        <v>0</v>
      </c>
      <c r="BZ71" s="3534">
        <v>0</v>
      </c>
      <c r="CA71" s="3540">
        <v>0</v>
      </c>
    </row>
    <row r="72" spans="1:95" ht="13.5" customHeight="1">
      <c r="A72" s="3521" t="s">
        <v>397</v>
      </c>
      <c r="B72" s="3522"/>
      <c r="C72" s="3530" t="s">
        <v>1096</v>
      </c>
      <c r="D72" s="3531">
        <v>0.73797961333227413</v>
      </c>
      <c r="E72" s="3532">
        <v>0.79612839409977876</v>
      </c>
      <c r="F72" s="3537">
        <v>1.0049986749185118</v>
      </c>
      <c r="G72" s="3531">
        <v>0.71435705192149523</v>
      </c>
      <c r="H72" s="3532">
        <v>0.72683143397685768</v>
      </c>
      <c r="I72" s="3537">
        <v>0.80197991937861535</v>
      </c>
      <c r="J72" s="3531">
        <v>0.67652322355268457</v>
      </c>
      <c r="K72" s="3537">
        <v>0.76133734954831522</v>
      </c>
      <c r="L72" s="3531">
        <v>0.73020791847594446</v>
      </c>
      <c r="M72" s="3532">
        <v>0.66783737423087464</v>
      </c>
      <c r="N72" s="3537">
        <v>0.65896306469771648</v>
      </c>
      <c r="O72" s="3539">
        <v>0.7168560432354556</v>
      </c>
      <c r="P72" s="3544"/>
      <c r="Q72" s="3521" t="s">
        <v>397</v>
      </c>
      <c r="R72" s="3522"/>
      <c r="S72" s="3530" t="s">
        <v>1096</v>
      </c>
      <c r="T72" s="3531">
        <v>1.2104793927433544</v>
      </c>
      <c r="U72" s="3532">
        <v>1.0301990088441724</v>
      </c>
      <c r="V72" s="3537">
        <v>1.3495402385298703</v>
      </c>
      <c r="W72" s="3531">
        <v>1.1538239355763529</v>
      </c>
      <c r="X72" s="3532">
        <v>0.95124441006617722</v>
      </c>
      <c r="Y72" s="3537">
        <v>1.0159284068735179</v>
      </c>
      <c r="Z72" s="3531">
        <v>0.90906624539584757</v>
      </c>
      <c r="AA72" s="3537">
        <v>0.95735909179735446</v>
      </c>
      <c r="AB72" s="3531">
        <v>1.1962514224855836</v>
      </c>
      <c r="AC72" s="3532">
        <v>1.0447295436097173</v>
      </c>
      <c r="AD72" s="3537">
        <v>0.92337706138510622</v>
      </c>
      <c r="AE72" s="3539">
        <v>1.0223091349402327</v>
      </c>
      <c r="AF72" s="3544"/>
      <c r="AG72" s="3521" t="s">
        <v>397</v>
      </c>
      <c r="AH72" s="3522"/>
      <c r="AI72" s="3530" t="s">
        <v>1096</v>
      </c>
      <c r="AJ72" s="3531">
        <v>3.628001311730479</v>
      </c>
      <c r="AK72" s="3532">
        <v>4.1819042343794655</v>
      </c>
      <c r="AL72" s="3537">
        <v>5.2063314602415378</v>
      </c>
      <c r="AM72" s="3531">
        <v>3.5793904538437014</v>
      </c>
      <c r="AN72" s="3532">
        <v>3.7098426378658442</v>
      </c>
      <c r="AO72" s="3537">
        <v>4.2446755483075185</v>
      </c>
      <c r="AP72" s="3531">
        <v>3.4403656765664139</v>
      </c>
      <c r="AQ72" s="3537">
        <v>3.9867260726167002</v>
      </c>
      <c r="AR72" s="3531">
        <v>3.6207681869374606</v>
      </c>
      <c r="AS72" s="3532">
        <v>3.3904480095395018</v>
      </c>
      <c r="AT72" s="3537">
        <v>3.3273480204759003</v>
      </c>
      <c r="AU72" s="3539">
        <v>3.5854592988260809</v>
      </c>
      <c r="AV72" s="3544"/>
      <c r="AW72" s="3521" t="s">
        <v>397</v>
      </c>
      <c r="AX72" s="3522"/>
      <c r="AY72" s="3530" t="s">
        <v>1096</v>
      </c>
      <c r="AZ72" s="3531">
        <v>4.6306366121957296</v>
      </c>
      <c r="BA72" s="3532">
        <v>5.912575263906672</v>
      </c>
      <c r="BB72" s="3537">
        <v>7.7289822248469182</v>
      </c>
      <c r="BC72" s="3531">
        <v>4.6060232717018499</v>
      </c>
      <c r="BD72" s="3532">
        <v>4.9588532078592875</v>
      </c>
      <c r="BE72" s="3537">
        <v>6.2032520219427791</v>
      </c>
      <c r="BF72" s="3531">
        <v>4.7674351315591394</v>
      </c>
      <c r="BG72" s="3537">
        <v>5.8595362080632949</v>
      </c>
      <c r="BH72" s="3531">
        <v>4.6258479779383128</v>
      </c>
      <c r="BI72" s="3532">
        <v>4.4610420804969015</v>
      </c>
      <c r="BJ72" s="3537">
        <v>4.436567687332249</v>
      </c>
      <c r="BK72" s="3539">
        <v>4.6260242123294351</v>
      </c>
      <c r="BL72" s="3544"/>
      <c r="BM72" s="3521" t="s">
        <v>397</v>
      </c>
      <c r="BN72" s="3522"/>
      <c r="BO72" s="3530" t="s">
        <v>1096</v>
      </c>
      <c r="BP72" s="3531">
        <v>3.5564433543509821</v>
      </c>
      <c r="BQ72" s="3532">
        <v>3.8136471614385332</v>
      </c>
      <c r="BR72" s="3537">
        <v>4.9524451345595324</v>
      </c>
      <c r="BS72" s="3531">
        <v>3.5401077316668319</v>
      </c>
      <c r="BT72" s="3532">
        <v>3.7761465305802191</v>
      </c>
      <c r="BU72" s="3537">
        <v>4.3527020482835228</v>
      </c>
      <c r="BV72" s="3531">
        <v>3.2039519527383211</v>
      </c>
      <c r="BW72" s="3537">
        <v>3.9386562406899377</v>
      </c>
      <c r="BX72" s="3531">
        <v>3.5532144042514471</v>
      </c>
      <c r="BY72" s="3532">
        <v>2.9956591791855041</v>
      </c>
      <c r="BZ72" s="3537">
        <v>3.0667912720904646</v>
      </c>
      <c r="CA72" s="3539">
        <v>3.6165552100570788</v>
      </c>
    </row>
    <row r="73" spans="1:95" ht="13.5" customHeight="1">
      <c r="A73" s="3521" t="s">
        <v>1098</v>
      </c>
      <c r="B73" s="3493"/>
      <c r="C73" s="3530" t="s">
        <v>1096</v>
      </c>
      <c r="D73" s="3495">
        <v>-3.3675438518433425</v>
      </c>
      <c r="E73" s="3496">
        <v>-3.6347237573445019</v>
      </c>
      <c r="F73" s="3496">
        <v>-4.5944333360247125</v>
      </c>
      <c r="G73" s="3503">
        <v>-3.2590037648093197</v>
      </c>
      <c r="H73" s="3504">
        <v>-3.3163206023207201</v>
      </c>
      <c r="I73" s="3501">
        <v>-3.6616101331274806</v>
      </c>
      <c r="J73" s="3500">
        <v>-3.0851662646088887</v>
      </c>
      <c r="K73" s="3501">
        <v>-3.4748671296928819</v>
      </c>
      <c r="L73" s="3495">
        <v>-3.3318347506396528</v>
      </c>
      <c r="M73" s="3496">
        <v>-3.0452568396756776</v>
      </c>
      <c r="N73" s="3501">
        <v>-3.0044814846095527</v>
      </c>
      <c r="O73" s="3502">
        <v>-3.2704860393179072</v>
      </c>
      <c r="P73" s="3544"/>
      <c r="Q73" s="3521" t="s">
        <v>1098</v>
      </c>
      <c r="R73" s="3493"/>
      <c r="S73" s="3530" t="s">
        <v>1096</v>
      </c>
      <c r="T73" s="3495">
        <v>-5.4992343786504474</v>
      </c>
      <c r="U73" s="3496">
        <v>-4.6801254732341144</v>
      </c>
      <c r="V73" s="3496">
        <v>-6.1310611737506955</v>
      </c>
      <c r="W73" s="3503">
        <v>-5.2418187436145427</v>
      </c>
      <c r="X73" s="3504">
        <v>-4.3213930721604861</v>
      </c>
      <c r="Y73" s="3501">
        <v>-4.6152865988818634</v>
      </c>
      <c r="Z73" s="3500">
        <v>-4.1297554155926806</v>
      </c>
      <c r="AA73" s="3501">
        <v>-4.3491752975555391</v>
      </c>
      <c r="AB73" s="3495">
        <v>-5.4345892026636013</v>
      </c>
      <c r="AC73" s="3496">
        <v>-4.7461453594219298</v>
      </c>
      <c r="AD73" s="3501">
        <v>-4.1947770034495795</v>
      </c>
      <c r="AE73" s="3502">
        <v>-4.6442776131533261</v>
      </c>
      <c r="AF73" s="3544"/>
      <c r="AG73" s="3521" t="s">
        <v>1098</v>
      </c>
      <c r="AH73" s="3493"/>
      <c r="AI73" s="3530" t="s">
        <v>1096</v>
      </c>
      <c r="AJ73" s="3495">
        <v>-16.453897820101808</v>
      </c>
      <c r="AK73" s="3496">
        <v>-18.965986793734253</v>
      </c>
      <c r="AL73" s="3496">
        <v>-23.612021745255543</v>
      </c>
      <c r="AM73" s="3503">
        <v>-16.233435361604229</v>
      </c>
      <c r="AN73" s="3504">
        <v>-16.82506880434013</v>
      </c>
      <c r="AO73" s="3501">
        <v>-19.250670479505324</v>
      </c>
      <c r="AP73" s="3500">
        <v>-15.602923053798092</v>
      </c>
      <c r="AQ73" s="3501">
        <v>-18.08080477354693</v>
      </c>
      <c r="AR73" s="3495">
        <v>-16.421093781172832</v>
      </c>
      <c r="AS73" s="3496">
        <v>-15.376533887393155</v>
      </c>
      <c r="AT73" s="3501">
        <v>-15.090359577272295</v>
      </c>
      <c r="AU73" s="3502">
        <v>-16.260959098958804</v>
      </c>
      <c r="AV73" s="3544"/>
      <c r="AW73" s="3521" t="s">
        <v>1098</v>
      </c>
      <c r="AX73" s="3493"/>
      <c r="AY73" s="3530" t="s">
        <v>1096</v>
      </c>
      <c r="AZ73" s="3495">
        <v>-21.001100912708591</v>
      </c>
      <c r="BA73" s="3496">
        <v>-26.81501490405444</v>
      </c>
      <c r="BB73" s="3496">
        <v>-35.052877012427551</v>
      </c>
      <c r="BC73" s="3503">
        <v>-20.889473227187029</v>
      </c>
      <c r="BD73" s="3504">
        <v>-22.489645668866345</v>
      </c>
      <c r="BE73" s="3501">
        <v>-28.133307061210054</v>
      </c>
      <c r="BF73" s="3500">
        <v>-21.621516581321774</v>
      </c>
      <c r="BG73" s="3501">
        <v>-26.574469454828755</v>
      </c>
      <c r="BH73" s="3495">
        <v>-20.97938325276326</v>
      </c>
      <c r="BI73" s="3496">
        <v>-20.231947085118183</v>
      </c>
      <c r="BJ73" s="3501">
        <v>-20.120949560658048</v>
      </c>
      <c r="BK73" s="3502">
        <v>-20.980182520022218</v>
      </c>
      <c r="BL73" s="3544"/>
      <c r="BM73" s="3521" t="s">
        <v>1098</v>
      </c>
      <c r="BN73" s="3493"/>
      <c r="BO73" s="3530" t="s">
        <v>1096</v>
      </c>
      <c r="BP73" s="3495">
        <v>-16.129364497820333</v>
      </c>
      <c r="BQ73" s="3496">
        <v>-17.295848409244602</v>
      </c>
      <c r="BR73" s="3496">
        <v>-22.46058344582994</v>
      </c>
      <c r="BS73" s="3503">
        <v>-16.055278343109286</v>
      </c>
      <c r="BT73" s="3504">
        <v>-17.125773622794828</v>
      </c>
      <c r="BU73" s="3501">
        <v>-19.7405978085615</v>
      </c>
      <c r="BV73" s="3500">
        <v>-14.530727395389745</v>
      </c>
      <c r="BW73" s="3501">
        <v>-17.862796003760909</v>
      </c>
      <c r="BX73" s="3495">
        <v>-16.114720397546119</v>
      </c>
      <c r="BY73" s="3496">
        <v>-13.586067314473471</v>
      </c>
      <c r="BZ73" s="3501">
        <v>-13.908669234325025</v>
      </c>
      <c r="CA73" s="3502">
        <v>-16.401986872119597</v>
      </c>
    </row>
    <row r="74" spans="1:95" ht="13.5" customHeight="1" thickBot="1">
      <c r="A74" s="3541" t="s">
        <v>1449</v>
      </c>
      <c r="B74" s="3542"/>
      <c r="C74" s="3554"/>
      <c r="D74" s="3555">
        <v>-1.3444134660622069</v>
      </c>
      <c r="E74" s="3555">
        <v>89.469465614129504</v>
      </c>
      <c r="F74" s="3555">
        <v>55.724160644063844</v>
      </c>
      <c r="G74" s="3556">
        <v>0.75790385892612466</v>
      </c>
      <c r="H74" s="3555">
        <v>41.998194811242989</v>
      </c>
      <c r="I74" s="3557">
        <v>29.835646462971056</v>
      </c>
      <c r="J74" s="3558">
        <v>18.101022390479237</v>
      </c>
      <c r="K74" s="3559">
        <v>13.542076349724731</v>
      </c>
      <c r="L74" s="3556">
        <v>-0.7514532725371752</v>
      </c>
      <c r="M74" s="3555">
        <v>1.4348427974403801</v>
      </c>
      <c r="N74" s="3557">
        <v>2.484708704973059</v>
      </c>
      <c r="O74" s="3543">
        <v>13.764493714238588</v>
      </c>
      <c r="P74" s="3544"/>
      <c r="Q74" s="3541" t="s">
        <v>1449</v>
      </c>
      <c r="R74" s="3542"/>
      <c r="S74" s="3554"/>
      <c r="T74" s="3555">
        <v>-2.3719260374310913</v>
      </c>
      <c r="U74" s="3555">
        <v>89.257242474041973</v>
      </c>
      <c r="V74" s="3555">
        <v>55.350483885197292</v>
      </c>
      <c r="W74" s="3556">
        <v>-0.51634517451874018</v>
      </c>
      <c r="X74" s="3555">
        <v>41.424386829422332</v>
      </c>
      <c r="Y74" s="3557">
        <v>29.320937217224145</v>
      </c>
      <c r="Z74" s="3558">
        <v>17.439078593976959</v>
      </c>
      <c r="AA74" s="3559">
        <v>13.022643511559185</v>
      </c>
      <c r="AB74" s="3556">
        <v>-2.3081266779127843</v>
      </c>
      <c r="AC74" s="3555">
        <v>0.17931367351797256</v>
      </c>
      <c r="AD74" s="3557">
        <v>1.6111191449849862</v>
      </c>
      <c r="AE74" s="3543">
        <v>12.783661261845028</v>
      </c>
      <c r="AF74" s="3544"/>
      <c r="AG74" s="3541" t="s">
        <v>1449</v>
      </c>
      <c r="AH74" s="3542"/>
      <c r="AI74" s="3554"/>
      <c r="AJ74" s="3555">
        <v>-1.6291460119701391</v>
      </c>
      <c r="AK74" s="3555">
        <v>172.62853250047814</v>
      </c>
      <c r="AL74" s="3555">
        <v>126.82918471722913</v>
      </c>
      <c r="AM74" s="3556">
        <v>1.9787924076414498</v>
      </c>
      <c r="AN74" s="3555">
        <v>79.369062247935005</v>
      </c>
      <c r="AO74" s="3557">
        <v>74.697222242683466</v>
      </c>
      <c r="AP74" s="3558">
        <v>33.367238092551759</v>
      </c>
      <c r="AQ74" s="3559">
        <v>43.25801806110308</v>
      </c>
      <c r="AR74" s="3556">
        <v>-6.4459217384269625</v>
      </c>
      <c r="AS74" s="3555">
        <v>2.7339515230382716</v>
      </c>
      <c r="AT74" s="3557">
        <v>25.244584645473289</v>
      </c>
      <c r="AU74" s="3543">
        <v>27.873074807487829</v>
      </c>
      <c r="AV74" s="3544"/>
      <c r="AW74" s="3541" t="s">
        <v>1449</v>
      </c>
      <c r="AX74" s="3542"/>
      <c r="AY74" s="3554"/>
      <c r="AZ74" s="3555">
        <v>5.8259022375595286</v>
      </c>
      <c r="BA74" s="3555">
        <v>277.46053604116628</v>
      </c>
      <c r="BB74" s="3555">
        <v>258.98344629549655</v>
      </c>
      <c r="BC74" s="3556">
        <v>11.394283600878236</v>
      </c>
      <c r="BD74" s="3555">
        <v>132.87911919183688</v>
      </c>
      <c r="BE74" s="3557">
        <v>177.87846489893542</v>
      </c>
      <c r="BF74" s="3558">
        <v>61.519257404657139</v>
      </c>
      <c r="BG74" s="3559">
        <v>129.37506186412327</v>
      </c>
      <c r="BH74" s="3556">
        <v>-3.6870849569162019</v>
      </c>
      <c r="BI74" s="3555">
        <v>12.375330738632218</v>
      </c>
      <c r="BJ74" s="3557">
        <v>101.20462741929553</v>
      </c>
      <c r="BK74" s="3543">
        <v>42.632880857923183</v>
      </c>
      <c r="BL74" s="3544"/>
      <c r="BM74" s="3541" t="s">
        <v>1449</v>
      </c>
      <c r="BN74" s="3542"/>
      <c r="BO74" s="3554"/>
      <c r="BP74" s="3555">
        <v>-6.6881944114946634</v>
      </c>
      <c r="BQ74" s="3555">
        <v>212.55029058193588</v>
      </c>
      <c r="BR74" s="3555">
        <v>127.21732139133923</v>
      </c>
      <c r="BS74" s="3556">
        <v>-3.1882132647393959</v>
      </c>
      <c r="BT74" s="3555">
        <v>89.682378727491724</v>
      </c>
      <c r="BU74" s="3557">
        <v>58.313015538630907</v>
      </c>
      <c r="BV74" s="3558">
        <v>30.360989193030136</v>
      </c>
      <c r="BW74" s="3559">
        <v>17.656868170304261</v>
      </c>
      <c r="BX74" s="3556">
        <v>-7.4880701426018543</v>
      </c>
      <c r="BY74" s="3555">
        <v>-3.3062583802124674</v>
      </c>
      <c r="BZ74" s="3557">
        <v>-1.311252510815283</v>
      </c>
      <c r="CA74" s="3543">
        <v>24.138045618126856</v>
      </c>
    </row>
    <row r="75" spans="1:95" ht="13.5" customHeight="1" thickTop="1"/>
    <row r="76" spans="1:95" ht="13.5" customHeight="1" thickBot="1"/>
    <row r="77" spans="1:95" ht="13.95" customHeight="1" thickTop="1" thickBot="1">
      <c r="A77" s="3478" t="s">
        <v>2496</v>
      </c>
      <c r="B77" s="3479"/>
      <c r="C77" s="3479"/>
      <c r="D77" s="3480">
        <v>2025</v>
      </c>
      <c r="E77" s="3479" t="s">
        <v>2497</v>
      </c>
      <c r="F77" s="3479"/>
      <c r="G77" s="3479"/>
      <c r="H77" s="3479"/>
      <c r="I77" s="3479"/>
      <c r="J77" s="3479"/>
      <c r="K77" s="3479"/>
      <c r="L77" s="3479"/>
      <c r="M77" s="3479"/>
      <c r="N77" s="3481"/>
      <c r="O77" s="3482"/>
      <c r="P77" s="3544"/>
      <c r="Q77" s="3478" t="s">
        <v>2496</v>
      </c>
      <c r="R77" s="3479"/>
      <c r="S77" s="3479"/>
      <c r="T77" s="3480">
        <v>2025</v>
      </c>
      <c r="U77" s="3479" t="s">
        <v>2498</v>
      </c>
      <c r="V77" s="3479"/>
      <c r="W77" s="3479"/>
      <c r="X77" s="3479"/>
      <c r="Y77" s="3479"/>
      <c r="Z77" s="3479"/>
      <c r="AA77" s="3479"/>
      <c r="AB77" s="3479"/>
      <c r="AC77" s="3479"/>
      <c r="AD77" s="3481"/>
      <c r="AE77" s="3482"/>
      <c r="AF77" s="3544"/>
      <c r="AG77" s="3478" t="s">
        <v>1967</v>
      </c>
      <c r="AH77" s="3479"/>
      <c r="AI77" s="3479"/>
      <c r="AJ77" s="3480">
        <v>2025</v>
      </c>
      <c r="AK77" s="3479" t="s">
        <v>2499</v>
      </c>
      <c r="AL77" s="3479"/>
      <c r="AM77" s="3479"/>
      <c r="AN77" s="3479"/>
      <c r="AO77" s="3479"/>
      <c r="AP77" s="3479"/>
      <c r="AQ77" s="3479"/>
      <c r="AR77" s="3479"/>
      <c r="AS77" s="3479"/>
      <c r="AT77" s="3481"/>
      <c r="AU77" s="3482"/>
      <c r="AV77" s="3544"/>
      <c r="AW77" s="3478" t="s">
        <v>1963</v>
      </c>
      <c r="AX77" s="3479"/>
      <c r="AY77" s="3479"/>
      <c r="AZ77" s="3480">
        <v>2025</v>
      </c>
      <c r="BA77" s="3479" t="s">
        <v>2500</v>
      </c>
      <c r="BB77" s="3479"/>
      <c r="BC77" s="3479"/>
      <c r="BD77" s="3479"/>
      <c r="BE77" s="3479"/>
      <c r="BF77" s="3479"/>
      <c r="BG77" s="3479"/>
      <c r="BH77" s="3479"/>
      <c r="BI77" s="3479"/>
      <c r="BJ77" s="3481"/>
      <c r="BK77" s="3482"/>
      <c r="BL77" s="3544"/>
      <c r="BM77" s="3478" t="s">
        <v>1968</v>
      </c>
      <c r="BN77" s="3479"/>
      <c r="BO77" s="3479"/>
      <c r="BP77" s="3480">
        <v>2025</v>
      </c>
      <c r="BQ77" s="3479" t="s">
        <v>2501</v>
      </c>
      <c r="BR77" s="3479"/>
      <c r="BS77" s="3479"/>
      <c r="BT77" s="3479"/>
      <c r="BU77" s="3479"/>
      <c r="BV77" s="3479"/>
      <c r="BW77" s="3479"/>
      <c r="BX77" s="3479"/>
      <c r="BY77" s="3479"/>
      <c r="BZ77" s="3481"/>
      <c r="CA77" s="3482"/>
    </row>
    <row r="78" spans="1:95" ht="13.5" customHeight="1" thickTop="1">
      <c r="A78" s="3483"/>
      <c r="B78" s="3484"/>
      <c r="C78" s="3851" t="s">
        <v>1130</v>
      </c>
      <c r="D78" s="3855" t="s">
        <v>1487</v>
      </c>
      <c r="E78" s="3856"/>
      <c r="F78" s="3857"/>
      <c r="G78" s="3855" t="s">
        <v>1089</v>
      </c>
      <c r="H78" s="3856"/>
      <c r="I78" s="3857"/>
      <c r="J78" s="3858" t="s">
        <v>1132</v>
      </c>
      <c r="K78" s="3859"/>
      <c r="L78" s="3855" t="s">
        <v>789</v>
      </c>
      <c r="M78" s="3856"/>
      <c r="N78" s="3857"/>
      <c r="O78" s="3853" t="s">
        <v>1090</v>
      </c>
      <c r="P78" s="3544"/>
      <c r="Q78" s="3483"/>
      <c r="R78" s="3484"/>
      <c r="S78" s="3851" t="s">
        <v>1130</v>
      </c>
      <c r="T78" s="3855" t="s">
        <v>1487</v>
      </c>
      <c r="U78" s="3856"/>
      <c r="V78" s="3857"/>
      <c r="W78" s="3855" t="s">
        <v>1089</v>
      </c>
      <c r="X78" s="3856"/>
      <c r="Y78" s="3857"/>
      <c r="Z78" s="3858" t="s">
        <v>1132</v>
      </c>
      <c r="AA78" s="3859"/>
      <c r="AB78" s="3855" t="s">
        <v>789</v>
      </c>
      <c r="AC78" s="3856"/>
      <c r="AD78" s="3857"/>
      <c r="AE78" s="3853" t="s">
        <v>1090</v>
      </c>
      <c r="AF78" s="3544"/>
      <c r="AG78" s="3483"/>
      <c r="AH78" s="3484"/>
      <c r="AI78" s="3851" t="s">
        <v>1130</v>
      </c>
      <c r="AJ78" s="3855" t="s">
        <v>1487</v>
      </c>
      <c r="AK78" s="3856"/>
      <c r="AL78" s="3857"/>
      <c r="AM78" s="3855" t="s">
        <v>1089</v>
      </c>
      <c r="AN78" s="3856"/>
      <c r="AO78" s="3857"/>
      <c r="AP78" s="3858" t="s">
        <v>1132</v>
      </c>
      <c r="AQ78" s="3859"/>
      <c r="AR78" s="3855" t="s">
        <v>789</v>
      </c>
      <c r="AS78" s="3856"/>
      <c r="AT78" s="3857"/>
      <c r="AU78" s="3853" t="s">
        <v>1090</v>
      </c>
      <c r="AV78" s="3544"/>
      <c r="AW78" s="3483"/>
      <c r="AX78" s="3484"/>
      <c r="AY78" s="3851" t="s">
        <v>1130</v>
      </c>
      <c r="AZ78" s="3855" t="s">
        <v>1487</v>
      </c>
      <c r="BA78" s="3856"/>
      <c r="BB78" s="3857"/>
      <c r="BC78" s="3855" t="s">
        <v>1089</v>
      </c>
      <c r="BD78" s="3856"/>
      <c r="BE78" s="3857"/>
      <c r="BF78" s="3858" t="s">
        <v>1132</v>
      </c>
      <c r="BG78" s="3859"/>
      <c r="BH78" s="3855" t="s">
        <v>789</v>
      </c>
      <c r="BI78" s="3856"/>
      <c r="BJ78" s="3857"/>
      <c r="BK78" s="3853" t="s">
        <v>1090</v>
      </c>
      <c r="BL78" s="3544"/>
      <c r="BM78" s="3483"/>
      <c r="BN78" s="3484"/>
      <c r="BO78" s="3851" t="s">
        <v>1130</v>
      </c>
      <c r="BP78" s="3855" t="s">
        <v>1487</v>
      </c>
      <c r="BQ78" s="3856"/>
      <c r="BR78" s="3857"/>
      <c r="BS78" s="3855" t="s">
        <v>1089</v>
      </c>
      <c r="BT78" s="3856"/>
      <c r="BU78" s="3857"/>
      <c r="BV78" s="3858" t="s">
        <v>1132</v>
      </c>
      <c r="BW78" s="3859"/>
      <c r="BX78" s="3855" t="s">
        <v>789</v>
      </c>
      <c r="BY78" s="3856"/>
      <c r="BZ78" s="3857"/>
      <c r="CA78" s="3853" t="s">
        <v>1090</v>
      </c>
      <c r="CB78" s="2898"/>
      <c r="CC78" s="2898"/>
      <c r="CD78" s="2898"/>
      <c r="CE78" s="2898"/>
      <c r="CF78" s="2898"/>
      <c r="CG78" s="2898"/>
      <c r="CH78" s="2898"/>
      <c r="CI78" s="2898"/>
      <c r="CJ78" s="2898"/>
      <c r="CK78" s="2898"/>
      <c r="CL78" s="2898"/>
      <c r="CM78" s="2898"/>
      <c r="CN78" s="2898"/>
      <c r="CO78" s="2898"/>
      <c r="CP78" s="2898"/>
      <c r="CQ78" s="2898"/>
    </row>
    <row r="79" spans="1:95" ht="13.5" customHeight="1" thickBot="1">
      <c r="A79" s="3485" t="s">
        <v>1093</v>
      </c>
      <c r="B79" s="3486"/>
      <c r="C79" s="3852"/>
      <c r="D79" s="3487" t="s">
        <v>1058</v>
      </c>
      <c r="E79" s="3488" t="s">
        <v>1091</v>
      </c>
      <c r="F79" s="3489" t="s">
        <v>1092</v>
      </c>
      <c r="G79" s="3490" t="s">
        <v>1058</v>
      </c>
      <c r="H79" s="3491" t="s">
        <v>1091</v>
      </c>
      <c r="I79" s="3492" t="s">
        <v>1092</v>
      </c>
      <c r="J79" s="3487" t="s">
        <v>1091</v>
      </c>
      <c r="K79" s="3489" t="s">
        <v>1092</v>
      </c>
      <c r="L79" s="3487" t="s">
        <v>1058</v>
      </c>
      <c r="M79" s="3488" t="s">
        <v>1091</v>
      </c>
      <c r="N79" s="3489" t="s">
        <v>1092</v>
      </c>
      <c r="O79" s="3854"/>
      <c r="P79" s="3544"/>
      <c r="Q79" s="3485" t="s">
        <v>1093</v>
      </c>
      <c r="R79" s="3486"/>
      <c r="S79" s="3852"/>
      <c r="T79" s="3487" t="s">
        <v>1058</v>
      </c>
      <c r="U79" s="3488" t="s">
        <v>1091</v>
      </c>
      <c r="V79" s="3489" t="s">
        <v>1092</v>
      </c>
      <c r="W79" s="3490" t="s">
        <v>1058</v>
      </c>
      <c r="X79" s="3491" t="s">
        <v>1091</v>
      </c>
      <c r="Y79" s="3492" t="s">
        <v>1092</v>
      </c>
      <c r="Z79" s="3487" t="s">
        <v>1091</v>
      </c>
      <c r="AA79" s="3489" t="s">
        <v>1092</v>
      </c>
      <c r="AB79" s="3487" t="s">
        <v>1058</v>
      </c>
      <c r="AC79" s="3488" t="s">
        <v>1091</v>
      </c>
      <c r="AD79" s="3489" t="s">
        <v>1092</v>
      </c>
      <c r="AE79" s="3854"/>
      <c r="AF79" s="3544"/>
      <c r="AG79" s="3485" t="s">
        <v>1093</v>
      </c>
      <c r="AH79" s="3486"/>
      <c r="AI79" s="3852"/>
      <c r="AJ79" s="3487" t="s">
        <v>1058</v>
      </c>
      <c r="AK79" s="3488" t="s">
        <v>1091</v>
      </c>
      <c r="AL79" s="3489" t="s">
        <v>1092</v>
      </c>
      <c r="AM79" s="3490" t="s">
        <v>1058</v>
      </c>
      <c r="AN79" s="3491" t="s">
        <v>1091</v>
      </c>
      <c r="AO79" s="3492" t="s">
        <v>1092</v>
      </c>
      <c r="AP79" s="3487" t="s">
        <v>1091</v>
      </c>
      <c r="AQ79" s="3489" t="s">
        <v>1092</v>
      </c>
      <c r="AR79" s="3487" t="s">
        <v>1058</v>
      </c>
      <c r="AS79" s="3488" t="s">
        <v>1091</v>
      </c>
      <c r="AT79" s="3489" t="s">
        <v>1092</v>
      </c>
      <c r="AU79" s="3854"/>
      <c r="AV79" s="3544"/>
      <c r="AW79" s="3485" t="s">
        <v>1093</v>
      </c>
      <c r="AX79" s="3486"/>
      <c r="AY79" s="3852"/>
      <c r="AZ79" s="3487" t="s">
        <v>1058</v>
      </c>
      <c r="BA79" s="3488" t="s">
        <v>1091</v>
      </c>
      <c r="BB79" s="3489" t="s">
        <v>1092</v>
      </c>
      <c r="BC79" s="3490" t="s">
        <v>1058</v>
      </c>
      <c r="BD79" s="3491" t="s">
        <v>1091</v>
      </c>
      <c r="BE79" s="3492" t="s">
        <v>1092</v>
      </c>
      <c r="BF79" s="3487" t="s">
        <v>1091</v>
      </c>
      <c r="BG79" s="3489" t="s">
        <v>1092</v>
      </c>
      <c r="BH79" s="3487" t="s">
        <v>1058</v>
      </c>
      <c r="BI79" s="3488" t="s">
        <v>1091</v>
      </c>
      <c r="BJ79" s="3489" t="s">
        <v>1092</v>
      </c>
      <c r="BK79" s="3854"/>
      <c r="BL79" s="3544"/>
      <c r="BM79" s="3485" t="s">
        <v>1093</v>
      </c>
      <c r="BN79" s="3486"/>
      <c r="BO79" s="3852"/>
      <c r="BP79" s="3487" t="s">
        <v>1058</v>
      </c>
      <c r="BQ79" s="3488" t="s">
        <v>1091</v>
      </c>
      <c r="BR79" s="3489" t="s">
        <v>1092</v>
      </c>
      <c r="BS79" s="3490" t="s">
        <v>1058</v>
      </c>
      <c r="BT79" s="3491" t="s">
        <v>1091</v>
      </c>
      <c r="BU79" s="3492" t="s">
        <v>1092</v>
      </c>
      <c r="BV79" s="3487" t="s">
        <v>1091</v>
      </c>
      <c r="BW79" s="3489" t="s">
        <v>1092</v>
      </c>
      <c r="BX79" s="3487" t="s">
        <v>1058</v>
      </c>
      <c r="BY79" s="3488" t="s">
        <v>1091</v>
      </c>
      <c r="BZ79" s="3489" t="s">
        <v>1092</v>
      </c>
      <c r="CA79" s="3854"/>
    </row>
    <row r="80" spans="1:95" ht="13.5" customHeight="1" thickTop="1">
      <c r="A80" s="3860" t="s">
        <v>1094</v>
      </c>
      <c r="B80" s="3493"/>
      <c r="C80" s="3494">
        <v>1</v>
      </c>
      <c r="D80" s="3495">
        <v>-4.721018206124904E-3</v>
      </c>
      <c r="E80" s="3496">
        <v>1.4003274500029523</v>
      </c>
      <c r="F80" s="3496">
        <v>12.073218561890886</v>
      </c>
      <c r="G80" s="3497">
        <v>1.0499444937726388E-2</v>
      </c>
      <c r="H80" s="3498">
        <v>0.88011901009565896</v>
      </c>
      <c r="I80" s="3499">
        <v>2.2615199910216459</v>
      </c>
      <c r="J80" s="3500">
        <v>0.55017392690063616</v>
      </c>
      <c r="K80" s="3501">
        <v>2.262299497267025</v>
      </c>
      <c r="L80" s="3495">
        <v>-1.4714449987373735E-3</v>
      </c>
      <c r="M80" s="3496">
        <v>0.41296389272442152</v>
      </c>
      <c r="N80" s="3501">
        <v>0.19986732258776105</v>
      </c>
      <c r="O80" s="3502">
        <v>1.1767339058050805</v>
      </c>
      <c r="P80" s="3544"/>
      <c r="Q80" s="3860" t="s">
        <v>1094</v>
      </c>
      <c r="R80" s="3493"/>
      <c r="S80" s="3494">
        <v>1</v>
      </c>
      <c r="T80" s="3495">
        <v>-4.721018206124904E-3</v>
      </c>
      <c r="U80" s="3496">
        <v>1.4003274500029523</v>
      </c>
      <c r="V80" s="3496">
        <v>12.073218561890886</v>
      </c>
      <c r="W80" s="3497">
        <v>1.0499444937726388E-2</v>
      </c>
      <c r="X80" s="3498">
        <v>0.88011901009565896</v>
      </c>
      <c r="Y80" s="3499">
        <v>2.2615199910216459</v>
      </c>
      <c r="Z80" s="3500">
        <v>0.55017392690063616</v>
      </c>
      <c r="AA80" s="3501">
        <v>2.262299497267025</v>
      </c>
      <c r="AB80" s="3495">
        <v>-1.4714449987373735E-3</v>
      </c>
      <c r="AC80" s="3496">
        <v>0.41296389272442152</v>
      </c>
      <c r="AD80" s="3501">
        <v>0.19986732258776105</v>
      </c>
      <c r="AE80" s="3502">
        <v>1.1767339058050805</v>
      </c>
      <c r="AF80" s="3544"/>
      <c r="AG80" s="3860" t="s">
        <v>1094</v>
      </c>
      <c r="AH80" s="3493"/>
      <c r="AI80" s="3494">
        <v>1</v>
      </c>
      <c r="AJ80" s="3495">
        <v>-8.9699345916373178E-3</v>
      </c>
      <c r="AK80" s="3496">
        <v>2.6606221550056093</v>
      </c>
      <c r="AL80" s="3496">
        <v>22.939115267592683</v>
      </c>
      <c r="AM80" s="3497">
        <v>1.9948945381680135E-2</v>
      </c>
      <c r="AN80" s="3498">
        <v>1.672226119181752</v>
      </c>
      <c r="AO80" s="3499">
        <v>4.2968879829411266</v>
      </c>
      <c r="AP80" s="3500">
        <v>1.0453304611112086</v>
      </c>
      <c r="AQ80" s="3501">
        <v>4.2983690448073473</v>
      </c>
      <c r="AR80" s="3495">
        <v>-2.7957454976010095E-3</v>
      </c>
      <c r="AS80" s="3496">
        <v>0.78463139617640087</v>
      </c>
      <c r="AT80" s="3501">
        <v>0.37974791291674598</v>
      </c>
      <c r="AU80" s="3502">
        <v>2.2357944210296528</v>
      </c>
      <c r="AV80" s="3544"/>
      <c r="AW80" s="3860" t="s">
        <v>1094</v>
      </c>
      <c r="AX80" s="3493"/>
      <c r="AY80" s="3494">
        <v>1</v>
      </c>
      <c r="AZ80" s="3495">
        <v>-1.3690952797762222E-2</v>
      </c>
      <c r="BA80" s="3496">
        <v>4.0609496050085614</v>
      </c>
      <c r="BB80" s="3496">
        <v>35.012333829483566</v>
      </c>
      <c r="BC80" s="3497">
        <v>3.0448390319406524E-2</v>
      </c>
      <c r="BD80" s="3498">
        <v>2.5523451292774109</v>
      </c>
      <c r="BE80" s="3499">
        <v>6.5584079739627725</v>
      </c>
      <c r="BF80" s="3500">
        <v>1.5955043880118449</v>
      </c>
      <c r="BG80" s="3501">
        <v>6.5606685420743718</v>
      </c>
      <c r="BH80" s="3495">
        <v>-4.2671904963383833E-3</v>
      </c>
      <c r="BI80" s="3496">
        <v>1.1975952889008223</v>
      </c>
      <c r="BJ80" s="3501">
        <v>0.579615235504507</v>
      </c>
      <c r="BK80" s="3502">
        <v>3.4125283268347335</v>
      </c>
      <c r="BL80" s="3544"/>
      <c r="BM80" s="3860" t="s">
        <v>1094</v>
      </c>
      <c r="BN80" s="3493"/>
      <c r="BO80" s="3494">
        <v>1</v>
      </c>
      <c r="BP80" s="3495">
        <v>-1.1802545515312259E-2</v>
      </c>
      <c r="BQ80" s="3496">
        <v>3.5008186250073807</v>
      </c>
      <c r="BR80" s="3496">
        <v>30.183046404727214</v>
      </c>
      <c r="BS80" s="3497">
        <v>2.6248612344315969E-2</v>
      </c>
      <c r="BT80" s="3498">
        <v>2.2002975252391472</v>
      </c>
      <c r="BU80" s="3499">
        <v>5.6537999775541152</v>
      </c>
      <c r="BV80" s="3500">
        <v>1.3754348172515904</v>
      </c>
      <c r="BW80" s="3501">
        <v>5.6557487431675622</v>
      </c>
      <c r="BX80" s="3495">
        <v>-3.678612496843434E-3</v>
      </c>
      <c r="BY80" s="3496">
        <v>1.0324097318110539</v>
      </c>
      <c r="BZ80" s="3501">
        <v>0.49966830646940263</v>
      </c>
      <c r="CA80" s="3502">
        <v>2.9418347645127012</v>
      </c>
    </row>
    <row r="81" spans="1:95" ht="13.5" customHeight="1">
      <c r="A81" s="3860"/>
      <c r="B81" s="3493"/>
      <c r="C81" s="3494">
        <v>2</v>
      </c>
      <c r="D81" s="3495">
        <v>-2.3069682142460306E-3</v>
      </c>
      <c r="E81" s="3496">
        <v>4.399987595406472</v>
      </c>
      <c r="F81" s="3496">
        <v>27.486513947919747</v>
      </c>
      <c r="G81" s="3503">
        <v>3.3588335755088364E-2</v>
      </c>
      <c r="H81" s="3504">
        <v>3.057676751045932</v>
      </c>
      <c r="I81" s="3501">
        <v>8.8731442455236333</v>
      </c>
      <c r="J81" s="3500">
        <v>1.8194825612739127</v>
      </c>
      <c r="K81" s="3501">
        <v>8.7590039958997785</v>
      </c>
      <c r="L81" s="3495">
        <v>4.401774689949723E-3</v>
      </c>
      <c r="M81" s="3496">
        <v>1.2459715181603581</v>
      </c>
      <c r="N81" s="3501">
        <v>1.6058073312723538</v>
      </c>
      <c r="O81" s="3502">
        <v>3.1238326613331613</v>
      </c>
      <c r="P81" s="3544"/>
      <c r="Q81" s="3860"/>
      <c r="R81" s="3493"/>
      <c r="S81" s="3494">
        <v>2</v>
      </c>
      <c r="T81" s="3495">
        <v>-2.3069682142460306E-3</v>
      </c>
      <c r="U81" s="3496">
        <v>4.399987595406472</v>
      </c>
      <c r="V81" s="3496">
        <v>27.486513947919747</v>
      </c>
      <c r="W81" s="3503">
        <v>3.3588335755088364E-2</v>
      </c>
      <c r="X81" s="3504">
        <v>3.057676751045932</v>
      </c>
      <c r="Y81" s="3501">
        <v>8.8731442455236333</v>
      </c>
      <c r="Z81" s="3500">
        <v>1.8194825612739127</v>
      </c>
      <c r="AA81" s="3501">
        <v>8.7590039958997785</v>
      </c>
      <c r="AB81" s="3495">
        <v>4.401774689949723E-3</v>
      </c>
      <c r="AC81" s="3496">
        <v>1.2459715181603581</v>
      </c>
      <c r="AD81" s="3501">
        <v>1.6058073312723538</v>
      </c>
      <c r="AE81" s="3502">
        <v>3.1238326613331613</v>
      </c>
      <c r="AF81" s="3544"/>
      <c r="AG81" s="3860"/>
      <c r="AH81" s="3493"/>
      <c r="AI81" s="3494">
        <v>2</v>
      </c>
      <c r="AJ81" s="3495">
        <v>-4.3832396070674576E-3</v>
      </c>
      <c r="AK81" s="3496">
        <v>8.3599764312722957</v>
      </c>
      <c r="AL81" s="3496">
        <v>52.224376501047516</v>
      </c>
      <c r="AM81" s="3503">
        <v>6.3817837934667887E-2</v>
      </c>
      <c r="AN81" s="3504">
        <v>5.80958582698727</v>
      </c>
      <c r="AO81" s="3501">
        <v>16.858974066494902</v>
      </c>
      <c r="AP81" s="3500">
        <v>3.4570168664204339</v>
      </c>
      <c r="AQ81" s="3501">
        <v>16.642107592209577</v>
      </c>
      <c r="AR81" s="3495">
        <v>8.363371910904473E-3</v>
      </c>
      <c r="AS81" s="3496">
        <v>2.3673458845046804</v>
      </c>
      <c r="AT81" s="3501">
        <v>3.0510339294174722</v>
      </c>
      <c r="AU81" s="3502">
        <v>5.9352820565330058</v>
      </c>
      <c r="AV81" s="3544"/>
      <c r="AW81" s="3860"/>
      <c r="AX81" s="3493"/>
      <c r="AY81" s="3494">
        <v>2</v>
      </c>
      <c r="AZ81" s="3495">
        <v>-6.6902078213134887E-3</v>
      </c>
      <c r="BA81" s="3496">
        <v>12.759964026678768</v>
      </c>
      <c r="BB81" s="3496">
        <v>79.710890448967263</v>
      </c>
      <c r="BC81" s="3503">
        <v>9.7406173689756251E-2</v>
      </c>
      <c r="BD81" s="3504">
        <v>8.8672625780332019</v>
      </c>
      <c r="BE81" s="3501">
        <v>25.732118312018535</v>
      </c>
      <c r="BF81" s="3500">
        <v>5.2764994276943469</v>
      </c>
      <c r="BG81" s="3501">
        <v>25.401111588109355</v>
      </c>
      <c r="BH81" s="3495">
        <v>1.2765146600854196E-2</v>
      </c>
      <c r="BI81" s="3496">
        <v>3.6133174026650385</v>
      </c>
      <c r="BJ81" s="3501">
        <v>4.6568412606898262</v>
      </c>
      <c r="BK81" s="3502">
        <v>9.0591147178661675</v>
      </c>
      <c r="BL81" s="3544"/>
      <c r="BM81" s="3860"/>
      <c r="BN81" s="3493"/>
      <c r="BO81" s="3494">
        <v>2</v>
      </c>
      <c r="BP81" s="3495">
        <v>-5.7674205356150763E-3</v>
      </c>
      <c r="BQ81" s="3496">
        <v>10.99996898851618</v>
      </c>
      <c r="BR81" s="3496">
        <v>68.716284869799367</v>
      </c>
      <c r="BS81" s="3503">
        <v>8.3970839387720903E-2</v>
      </c>
      <c r="BT81" s="3504">
        <v>7.6441918776148299</v>
      </c>
      <c r="BU81" s="3501">
        <v>22.182860613809083</v>
      </c>
      <c r="BV81" s="3500">
        <v>4.5487064031847817</v>
      </c>
      <c r="BW81" s="3501">
        <v>21.897509989749445</v>
      </c>
      <c r="BX81" s="3495">
        <v>1.1004436724874308E-2</v>
      </c>
      <c r="BY81" s="3496">
        <v>3.1149287954008953</v>
      </c>
      <c r="BZ81" s="3501">
        <v>4.0145183281808841</v>
      </c>
      <c r="CA81" s="3502">
        <v>7.809581653332903</v>
      </c>
    </row>
    <row r="82" spans="1:95" ht="13.5" customHeight="1">
      <c r="A82" s="3860"/>
      <c r="B82" s="3493"/>
      <c r="C82" s="3494">
        <v>3</v>
      </c>
      <c r="D82" s="3495">
        <v>1.5803020040258104</v>
      </c>
      <c r="E82" s="3496">
        <v>23.158540285978596</v>
      </c>
      <c r="F82" s="3496">
        <v>51.643105089844468</v>
      </c>
      <c r="G82" s="3503">
        <v>2.1575258524657404</v>
      </c>
      <c r="H82" s="3504">
        <v>24.236967585495098</v>
      </c>
      <c r="I82" s="3501">
        <v>21.036618114279424</v>
      </c>
      <c r="J82" s="3500">
        <v>11.678244567903272</v>
      </c>
      <c r="K82" s="3501">
        <v>18.863037593411299</v>
      </c>
      <c r="L82" s="3495">
        <v>2.2265394094093813</v>
      </c>
      <c r="M82" s="3496">
        <v>3.5574217385867013</v>
      </c>
      <c r="N82" s="3501">
        <v>7.0753773542772151</v>
      </c>
      <c r="O82" s="3502">
        <v>9.5532564685622496</v>
      </c>
      <c r="P82" s="3544"/>
      <c r="Q82" s="3860"/>
      <c r="R82" s="3493"/>
      <c r="S82" s="3494">
        <v>3</v>
      </c>
      <c r="T82" s="3495">
        <v>1.5803020040258104</v>
      </c>
      <c r="U82" s="3496">
        <v>23.158540285978596</v>
      </c>
      <c r="V82" s="3496">
        <v>51.643105089844468</v>
      </c>
      <c r="W82" s="3503">
        <v>2.1575258524657404</v>
      </c>
      <c r="X82" s="3504">
        <v>24.236967585495098</v>
      </c>
      <c r="Y82" s="3501">
        <v>21.036618114279424</v>
      </c>
      <c r="Z82" s="3500">
        <v>11.678244567903272</v>
      </c>
      <c r="AA82" s="3501">
        <v>18.863037593411299</v>
      </c>
      <c r="AB82" s="3495">
        <v>2.2265394094093813</v>
      </c>
      <c r="AC82" s="3496">
        <v>3.5574217385867013</v>
      </c>
      <c r="AD82" s="3501">
        <v>7.0753773542772151</v>
      </c>
      <c r="AE82" s="3502">
        <v>9.5532564685622496</v>
      </c>
      <c r="AF82" s="3544"/>
      <c r="AG82" s="3860"/>
      <c r="AH82" s="3493"/>
      <c r="AI82" s="3494">
        <v>3</v>
      </c>
      <c r="AJ82" s="3495">
        <v>3.0025738076490396</v>
      </c>
      <c r="AK82" s="3496">
        <v>44.00122654335933</v>
      </c>
      <c r="AL82" s="3496">
        <v>98.121899670704479</v>
      </c>
      <c r="AM82" s="3503">
        <v>4.0992991196849067</v>
      </c>
      <c r="AN82" s="3504">
        <v>46.050238412440684</v>
      </c>
      <c r="AO82" s="3501">
        <v>39.9695744171309</v>
      </c>
      <c r="AP82" s="3500">
        <v>22.188664679016217</v>
      </c>
      <c r="AQ82" s="3501">
        <v>35.839771427481466</v>
      </c>
      <c r="AR82" s="3495">
        <v>4.230424877877824</v>
      </c>
      <c r="AS82" s="3496">
        <v>6.7591013033147318</v>
      </c>
      <c r="AT82" s="3501">
        <v>13.443216973126708</v>
      </c>
      <c r="AU82" s="3502">
        <v>18.151187290268272</v>
      </c>
      <c r="AV82" s="3544"/>
      <c r="AW82" s="3860"/>
      <c r="AX82" s="3493"/>
      <c r="AY82" s="3494">
        <v>3</v>
      </c>
      <c r="AZ82" s="3495">
        <v>4.5828758116748505</v>
      </c>
      <c r="BA82" s="3496">
        <v>67.159766829337926</v>
      </c>
      <c r="BB82" s="3496">
        <v>149.76500476054895</v>
      </c>
      <c r="BC82" s="3503">
        <v>6.256824972150647</v>
      </c>
      <c r="BD82" s="3504">
        <v>70.287205997935786</v>
      </c>
      <c r="BE82" s="3501">
        <v>61.006192531410328</v>
      </c>
      <c r="BF82" s="3500">
        <v>33.866909246919491</v>
      </c>
      <c r="BG82" s="3501">
        <v>54.702809020892765</v>
      </c>
      <c r="BH82" s="3495">
        <v>6.4569642872872057</v>
      </c>
      <c r="BI82" s="3496">
        <v>10.316523041901434</v>
      </c>
      <c r="BJ82" s="3501">
        <v>20.518594327403925</v>
      </c>
      <c r="BK82" s="3502">
        <v>27.704443758830521</v>
      </c>
      <c r="BL82" s="3544"/>
      <c r="BM82" s="3860"/>
      <c r="BN82" s="3493"/>
      <c r="BO82" s="3494">
        <v>3</v>
      </c>
      <c r="BP82" s="3495">
        <v>3.9507550100645261</v>
      </c>
      <c r="BQ82" s="3496">
        <v>57.896350714946493</v>
      </c>
      <c r="BR82" s="3496">
        <v>129.10776272461118</v>
      </c>
      <c r="BS82" s="3503">
        <v>5.3938146311643509</v>
      </c>
      <c r="BT82" s="3504">
        <v>60.592418963737742</v>
      </c>
      <c r="BU82" s="3501">
        <v>52.591545285698558</v>
      </c>
      <c r="BV82" s="3500">
        <v>29.19561141975818</v>
      </c>
      <c r="BW82" s="3501">
        <v>47.157593983528244</v>
      </c>
      <c r="BX82" s="3495">
        <v>5.5663485235234536</v>
      </c>
      <c r="BY82" s="3496">
        <v>8.8935543464667539</v>
      </c>
      <c r="BZ82" s="3501">
        <v>17.688443385693038</v>
      </c>
      <c r="CA82" s="3502">
        <v>23.883141171405626</v>
      </c>
    </row>
    <row r="83" spans="1:95" ht="13.5" customHeight="1">
      <c r="A83" s="3860"/>
      <c r="B83" s="3493"/>
      <c r="C83" s="3494">
        <v>4</v>
      </c>
      <c r="D83" s="3495">
        <v>17.700783211380646</v>
      </c>
      <c r="E83" s="3496">
        <v>97.942996536010426</v>
      </c>
      <c r="F83" s="3496">
        <v>121.94082799524206</v>
      </c>
      <c r="G83" s="3503">
        <v>20.375852703015056</v>
      </c>
      <c r="H83" s="3504">
        <v>90.049141187579409</v>
      </c>
      <c r="I83" s="3501">
        <v>88.567167003540547</v>
      </c>
      <c r="J83" s="3500">
        <v>39.948380908922331</v>
      </c>
      <c r="K83" s="3501">
        <v>73.642245603080994</v>
      </c>
      <c r="L83" s="3495">
        <v>19.472787713060072</v>
      </c>
      <c r="M83" s="3496">
        <v>40.905555838024704</v>
      </c>
      <c r="N83" s="3501">
        <v>25.88321026470804</v>
      </c>
      <c r="O83" s="3502">
        <v>53.052734960774437</v>
      </c>
      <c r="P83" s="3544"/>
      <c r="Q83" s="3860"/>
      <c r="R83" s="3493"/>
      <c r="S83" s="3494">
        <v>4</v>
      </c>
      <c r="T83" s="3495">
        <v>17.700783211380646</v>
      </c>
      <c r="U83" s="3496">
        <v>97.942996536010426</v>
      </c>
      <c r="V83" s="3496">
        <v>121.94082799524206</v>
      </c>
      <c r="W83" s="3503">
        <v>20.375852703015056</v>
      </c>
      <c r="X83" s="3504">
        <v>90.049141187579409</v>
      </c>
      <c r="Y83" s="3501">
        <v>88.567167003540547</v>
      </c>
      <c r="Z83" s="3500">
        <v>39.948380908922331</v>
      </c>
      <c r="AA83" s="3501">
        <v>73.642245603080994</v>
      </c>
      <c r="AB83" s="3495">
        <v>19.472787713060072</v>
      </c>
      <c r="AC83" s="3496">
        <v>40.905555838024704</v>
      </c>
      <c r="AD83" s="3501">
        <v>25.88321026470804</v>
      </c>
      <c r="AE83" s="3502">
        <v>53.052734960774437</v>
      </c>
      <c r="AF83" s="3544"/>
      <c r="AG83" s="3860"/>
      <c r="AH83" s="3493"/>
      <c r="AI83" s="3494">
        <v>4</v>
      </c>
      <c r="AJ83" s="3495">
        <v>33.631488101623226</v>
      </c>
      <c r="AK83" s="3496">
        <v>186.09169341841979</v>
      </c>
      <c r="AL83" s="3496">
        <v>231.68757319095991</v>
      </c>
      <c r="AM83" s="3503">
        <v>38.714120135728606</v>
      </c>
      <c r="AN83" s="3504">
        <v>171.09336825640088</v>
      </c>
      <c r="AO83" s="3501">
        <v>168.27761730672702</v>
      </c>
      <c r="AP83" s="3500">
        <v>75.901923726952433</v>
      </c>
      <c r="AQ83" s="3501">
        <v>139.92026664585387</v>
      </c>
      <c r="AR83" s="3495">
        <v>36.998296654814133</v>
      </c>
      <c r="AS83" s="3496">
        <v>77.720556092246937</v>
      </c>
      <c r="AT83" s="3501">
        <v>49.178099502945273</v>
      </c>
      <c r="AU83" s="3502">
        <v>100.80019642547143</v>
      </c>
      <c r="AV83" s="3544"/>
      <c r="AW83" s="3860"/>
      <c r="AX83" s="3493"/>
      <c r="AY83" s="3494">
        <v>4</v>
      </c>
      <c r="AZ83" s="3495">
        <v>51.332271313003872</v>
      </c>
      <c r="BA83" s="3496">
        <v>284.03468995443023</v>
      </c>
      <c r="BB83" s="3496">
        <v>353.62840118620198</v>
      </c>
      <c r="BC83" s="3503">
        <v>59.089972838743662</v>
      </c>
      <c r="BD83" s="3504">
        <v>261.14250944398026</v>
      </c>
      <c r="BE83" s="3501">
        <v>256.84478431026758</v>
      </c>
      <c r="BF83" s="3500">
        <v>115.85030463587476</v>
      </c>
      <c r="BG83" s="3501">
        <v>213.56251224893487</v>
      </c>
      <c r="BH83" s="3495">
        <v>56.471084367874205</v>
      </c>
      <c r="BI83" s="3496">
        <v>118.62611193027163</v>
      </c>
      <c r="BJ83" s="3501">
        <v>75.061309767653313</v>
      </c>
      <c r="BK83" s="3502">
        <v>153.85293138624587</v>
      </c>
      <c r="BL83" s="3544"/>
      <c r="BM83" s="3860"/>
      <c r="BN83" s="3493"/>
      <c r="BO83" s="3494">
        <v>4</v>
      </c>
      <c r="BP83" s="3495">
        <v>44.251958028451611</v>
      </c>
      <c r="BQ83" s="3496">
        <v>244.85749134002606</v>
      </c>
      <c r="BR83" s="3496">
        <v>304.85206998810514</v>
      </c>
      <c r="BS83" s="3503">
        <v>50.93963175753764</v>
      </c>
      <c r="BT83" s="3504">
        <v>225.12285296894851</v>
      </c>
      <c r="BU83" s="3501">
        <v>221.41791750885136</v>
      </c>
      <c r="BV83" s="3500">
        <v>99.870952272305829</v>
      </c>
      <c r="BW83" s="3501">
        <v>184.10561400770248</v>
      </c>
      <c r="BX83" s="3495">
        <v>48.681969282650179</v>
      </c>
      <c r="BY83" s="3496">
        <v>102.26388959506176</v>
      </c>
      <c r="BZ83" s="3501">
        <v>64.708025661770108</v>
      </c>
      <c r="CA83" s="3502">
        <v>132.63183740193608</v>
      </c>
    </row>
    <row r="84" spans="1:95" ht="13.5" customHeight="1">
      <c r="A84" s="3860"/>
      <c r="B84" s="3493"/>
      <c r="C84" s="3505">
        <v>5</v>
      </c>
      <c r="D84" s="3495" t="e">
        <v>#N/A</v>
      </c>
      <c r="E84" s="3496">
        <v>338.26391003424953</v>
      </c>
      <c r="F84" s="3496">
        <v>255.54115860611722</v>
      </c>
      <c r="G84" s="3506">
        <v>69.545432292287941</v>
      </c>
      <c r="H84" s="3507">
        <v>248.92583814076832</v>
      </c>
      <c r="I84" s="3508">
        <v>309.84759872884757</v>
      </c>
      <c r="J84" s="3509">
        <v>85.650317234095056</v>
      </c>
      <c r="K84" s="3508">
        <v>251.30602721162751</v>
      </c>
      <c r="L84" s="3510">
        <v>84.276626918798868</v>
      </c>
      <c r="M84" s="3511">
        <v>132.4034825658031</v>
      </c>
      <c r="N84" s="3508">
        <v>194.34236111120663</v>
      </c>
      <c r="O84" s="3502">
        <v>221.90859951347969</v>
      </c>
      <c r="P84" s="3544"/>
      <c r="Q84" s="3860"/>
      <c r="R84" s="3493"/>
      <c r="S84" s="3505">
        <v>5</v>
      </c>
      <c r="T84" s="3495" t="e">
        <v>#N/A</v>
      </c>
      <c r="U84" s="3496">
        <v>338.26391003424953</v>
      </c>
      <c r="V84" s="3496">
        <v>255.54115860611722</v>
      </c>
      <c r="W84" s="3506">
        <v>69.545432292287941</v>
      </c>
      <c r="X84" s="3507">
        <v>248.92583814076832</v>
      </c>
      <c r="Y84" s="3508">
        <v>309.84759872884757</v>
      </c>
      <c r="Z84" s="3509">
        <v>85.650317234095056</v>
      </c>
      <c r="AA84" s="3508">
        <v>251.30602721162751</v>
      </c>
      <c r="AB84" s="3510">
        <v>84.276626918798868</v>
      </c>
      <c r="AC84" s="3511">
        <v>132.4034825658031</v>
      </c>
      <c r="AD84" s="3508">
        <v>194.34236111120663</v>
      </c>
      <c r="AE84" s="3502">
        <v>221.90859951347969</v>
      </c>
      <c r="AF84" s="3544"/>
      <c r="AG84" s="3860"/>
      <c r="AH84" s="3493"/>
      <c r="AI84" s="3505">
        <v>5</v>
      </c>
      <c r="AJ84" s="3495" t="e">
        <v>#N/A</v>
      </c>
      <c r="AK84" s="3496">
        <v>642.70142906507408</v>
      </c>
      <c r="AL84" s="3496">
        <v>485.52820135162273</v>
      </c>
      <c r="AM84" s="3506">
        <v>132.13632135534709</v>
      </c>
      <c r="AN84" s="3507">
        <v>472.95909246745981</v>
      </c>
      <c r="AO84" s="3508">
        <v>588.71043758481039</v>
      </c>
      <c r="AP84" s="3509">
        <v>162.73560274478061</v>
      </c>
      <c r="AQ84" s="3508">
        <v>477.48145170209227</v>
      </c>
      <c r="AR84" s="3510">
        <v>160.12559114571783</v>
      </c>
      <c r="AS84" s="3511">
        <v>251.56661687502589</v>
      </c>
      <c r="AT84" s="3508">
        <v>369.25048611129256</v>
      </c>
      <c r="AU84" s="3502">
        <v>421.62633907561138</v>
      </c>
      <c r="AV84" s="3544"/>
      <c r="AW84" s="3860"/>
      <c r="AX84" s="3493"/>
      <c r="AY84" s="3505">
        <v>5</v>
      </c>
      <c r="AZ84" s="3495" t="e">
        <v>#N/A</v>
      </c>
      <c r="BA84" s="3496">
        <v>980.96533909932361</v>
      </c>
      <c r="BB84" s="3496">
        <v>741.06935995773995</v>
      </c>
      <c r="BC84" s="3506">
        <v>201.68175364763502</v>
      </c>
      <c r="BD84" s="3507">
        <v>721.88493060822816</v>
      </c>
      <c r="BE84" s="3508">
        <v>898.55803631365791</v>
      </c>
      <c r="BF84" s="3509">
        <v>248.38591997887565</v>
      </c>
      <c r="BG84" s="3508">
        <v>728.78747891371972</v>
      </c>
      <c r="BH84" s="3510">
        <v>244.40221806451672</v>
      </c>
      <c r="BI84" s="3511">
        <v>383.97009944082896</v>
      </c>
      <c r="BJ84" s="3508">
        <v>563.59284722249924</v>
      </c>
      <c r="BK84" s="3502">
        <v>643.5349385890911</v>
      </c>
      <c r="BL84" s="3544"/>
      <c r="BM84" s="3860"/>
      <c r="BN84" s="3493"/>
      <c r="BO84" s="3505">
        <v>5</v>
      </c>
      <c r="BP84" s="3495" t="e">
        <v>#N/A</v>
      </c>
      <c r="BQ84" s="3496">
        <v>845.65977508562378</v>
      </c>
      <c r="BR84" s="3496">
        <v>638.85289651529308</v>
      </c>
      <c r="BS84" s="3506">
        <v>173.86358073071986</v>
      </c>
      <c r="BT84" s="3507">
        <v>622.31459535192084</v>
      </c>
      <c r="BU84" s="3508">
        <v>774.6189968221189</v>
      </c>
      <c r="BV84" s="3509">
        <v>214.12579308523763</v>
      </c>
      <c r="BW84" s="3508">
        <v>628.26506802906874</v>
      </c>
      <c r="BX84" s="3510">
        <v>210.69156729699716</v>
      </c>
      <c r="BY84" s="3511">
        <v>331.00870641450774</v>
      </c>
      <c r="BZ84" s="3508">
        <v>485.85590277801657</v>
      </c>
      <c r="CA84" s="3502">
        <v>554.77149878369926</v>
      </c>
    </row>
    <row r="85" spans="1:95" ht="13.5" customHeight="1">
      <c r="A85" s="3860"/>
      <c r="B85" s="3493"/>
      <c r="C85" s="3512" t="s">
        <v>1422</v>
      </c>
      <c r="D85" s="3513">
        <v>0.96093087940535471</v>
      </c>
      <c r="E85" s="3514">
        <v>119.6743024449819</v>
      </c>
      <c r="F85" s="3515">
        <v>63.847990046434369</v>
      </c>
      <c r="G85" s="3513">
        <v>4.6620588726186858</v>
      </c>
      <c r="H85" s="3514">
        <v>47.838854983694411</v>
      </c>
      <c r="I85" s="3515">
        <v>35.866083629120077</v>
      </c>
      <c r="J85" s="3516">
        <v>19.436700404020787</v>
      </c>
      <c r="K85" s="3517">
        <v>13.480145571194555</v>
      </c>
      <c r="L85" s="3518">
        <v>3.1114267459188949</v>
      </c>
      <c r="M85" s="3519">
        <v>3.4318393043403761</v>
      </c>
      <c r="N85" s="3517">
        <v>4.8320087021709197</v>
      </c>
      <c r="O85" s="3520">
        <v>17.35007186898957</v>
      </c>
      <c r="P85" s="3544"/>
      <c r="Q85" s="3860"/>
      <c r="R85" s="3493"/>
      <c r="S85" s="3512" t="s">
        <v>1422</v>
      </c>
      <c r="T85" s="3513">
        <v>0.96093087940535471</v>
      </c>
      <c r="U85" s="3514">
        <v>119.6743024449819</v>
      </c>
      <c r="V85" s="3515">
        <v>63.847990046434369</v>
      </c>
      <c r="W85" s="3513">
        <v>4.6620588726186858</v>
      </c>
      <c r="X85" s="3514">
        <v>47.838854983694411</v>
      </c>
      <c r="Y85" s="3515">
        <v>35.866083629120077</v>
      </c>
      <c r="Z85" s="3516">
        <v>19.436700404020787</v>
      </c>
      <c r="AA85" s="3517">
        <v>13.480145571194555</v>
      </c>
      <c r="AB85" s="3518">
        <v>3.1114267459188949</v>
      </c>
      <c r="AC85" s="3519">
        <v>3.4318393043403761</v>
      </c>
      <c r="AD85" s="3517">
        <v>4.8320087021709197</v>
      </c>
      <c r="AE85" s="3520">
        <v>17.35007186898957</v>
      </c>
      <c r="AF85" s="3544"/>
      <c r="AG85" s="3860"/>
      <c r="AH85" s="3493"/>
      <c r="AI85" s="3512" t="s">
        <v>1422</v>
      </c>
      <c r="AJ85" s="3513">
        <v>1.8257686708701739</v>
      </c>
      <c r="AK85" s="3514">
        <v>227.38117464546562</v>
      </c>
      <c r="AL85" s="3515">
        <v>121.3111810882253</v>
      </c>
      <c r="AM85" s="3513">
        <v>8.8579118579755018</v>
      </c>
      <c r="AN85" s="3514">
        <v>90.893824469019378</v>
      </c>
      <c r="AO85" s="3515">
        <v>68.145558895328136</v>
      </c>
      <c r="AP85" s="3516">
        <v>36.929730767639491</v>
      </c>
      <c r="AQ85" s="3517">
        <v>25.612276585269655</v>
      </c>
      <c r="AR85" s="3518">
        <v>5.9117108172458996</v>
      </c>
      <c r="AS85" s="3519">
        <v>6.5204946782467141</v>
      </c>
      <c r="AT85" s="3517">
        <v>9.1808165341247463</v>
      </c>
      <c r="AU85" s="3520">
        <v>32.965136551080178</v>
      </c>
      <c r="AV85" s="3544"/>
      <c r="AW85" s="3860"/>
      <c r="AX85" s="3493"/>
      <c r="AY85" s="3512" t="s">
        <v>1422</v>
      </c>
      <c r="AZ85" s="3513">
        <v>2.7866995502755287</v>
      </c>
      <c r="BA85" s="3514">
        <v>347.05547709044754</v>
      </c>
      <c r="BB85" s="3515">
        <v>185.15917113465966</v>
      </c>
      <c r="BC85" s="3513">
        <v>13.519970730594189</v>
      </c>
      <c r="BD85" s="3514">
        <v>138.7326794527138</v>
      </c>
      <c r="BE85" s="3515">
        <v>104.01164252444822</v>
      </c>
      <c r="BF85" s="3516">
        <v>56.366431171660281</v>
      </c>
      <c r="BG85" s="3517">
        <v>39.09242215646421</v>
      </c>
      <c r="BH85" s="3518">
        <v>9.023137563164795</v>
      </c>
      <c r="BI85" s="3519">
        <v>9.9523339825870902</v>
      </c>
      <c r="BJ85" s="3517">
        <v>14.012825236295667</v>
      </c>
      <c r="BK85" s="3520">
        <v>50.315208420069752</v>
      </c>
      <c r="BL85" s="3544"/>
      <c r="BM85" s="3860"/>
      <c r="BN85" s="3493"/>
      <c r="BO85" s="3512" t="s">
        <v>1422</v>
      </c>
      <c r="BP85" s="3513">
        <v>2.4023271985133867</v>
      </c>
      <c r="BQ85" s="3514">
        <v>299.18575611245478</v>
      </c>
      <c r="BR85" s="3515">
        <v>159.61997511608593</v>
      </c>
      <c r="BS85" s="3513">
        <v>11.655147181546715</v>
      </c>
      <c r="BT85" s="3514">
        <v>119.59713745923602</v>
      </c>
      <c r="BU85" s="3515">
        <v>89.665209072800195</v>
      </c>
      <c r="BV85" s="3516">
        <v>48.591751010051965</v>
      </c>
      <c r="BW85" s="3517">
        <v>33.700363927986388</v>
      </c>
      <c r="BX85" s="3518">
        <v>7.778566864797237</v>
      </c>
      <c r="BY85" s="3519">
        <v>8.5795982608509398</v>
      </c>
      <c r="BZ85" s="3517">
        <v>12.0800217554273</v>
      </c>
      <c r="CA85" s="3520">
        <v>43.375179672473926</v>
      </c>
    </row>
    <row r="86" spans="1:95" ht="13.5" customHeight="1">
      <c r="A86" s="3521" t="s">
        <v>1095</v>
      </c>
      <c r="B86" s="3522"/>
      <c r="C86" s="3523" t="s">
        <v>1096</v>
      </c>
      <c r="D86" s="3524">
        <v>0</v>
      </c>
      <c r="E86" s="3525">
        <v>0.1318812836874115</v>
      </c>
      <c r="F86" s="3526">
        <v>0.1318812836874115</v>
      </c>
      <c r="G86" s="3524">
        <v>0</v>
      </c>
      <c r="H86" s="3525">
        <v>0.1318812836874115</v>
      </c>
      <c r="I86" s="3526">
        <v>0.1318812836874115</v>
      </c>
      <c r="J86" s="3527">
        <v>0.1318812836874115</v>
      </c>
      <c r="K86" s="3526">
        <v>0.1318812836874115</v>
      </c>
      <c r="L86" s="3527">
        <v>0</v>
      </c>
      <c r="M86" s="3528">
        <v>0.1318812836874115</v>
      </c>
      <c r="N86" s="3526">
        <v>0.1318812836874115</v>
      </c>
      <c r="O86" s="3529">
        <v>0.10759284342044806</v>
      </c>
      <c r="P86" s="3544"/>
      <c r="Q86" s="3521" t="s">
        <v>1095</v>
      </c>
      <c r="R86" s="3522"/>
      <c r="S86" s="3523" t="s">
        <v>1096</v>
      </c>
      <c r="T86" s="3524">
        <v>0</v>
      </c>
      <c r="U86" s="3525">
        <v>0.1318812836874115</v>
      </c>
      <c r="V86" s="3526">
        <v>0.1318812836874115</v>
      </c>
      <c r="W86" s="3524">
        <v>0</v>
      </c>
      <c r="X86" s="3525">
        <v>0.1318812836874115</v>
      </c>
      <c r="Y86" s="3526">
        <v>0.1318812836874115</v>
      </c>
      <c r="Z86" s="3527">
        <v>0.1318812836874115</v>
      </c>
      <c r="AA86" s="3526">
        <v>0.1318812836874115</v>
      </c>
      <c r="AB86" s="3527">
        <v>0</v>
      </c>
      <c r="AC86" s="3528">
        <v>0.1318812836874115</v>
      </c>
      <c r="AD86" s="3526">
        <v>0.1318812836874115</v>
      </c>
      <c r="AE86" s="3529">
        <v>0.10862650031475356</v>
      </c>
      <c r="AF86" s="3544"/>
      <c r="AG86" s="3521" t="s">
        <v>1095</v>
      </c>
      <c r="AH86" s="3522"/>
      <c r="AI86" s="3523" t="s">
        <v>1096</v>
      </c>
      <c r="AJ86" s="3524">
        <v>1.1869315531867035</v>
      </c>
      <c r="AK86" s="3525">
        <v>6.3303016169957518</v>
      </c>
      <c r="AL86" s="3526">
        <v>26.50813802116971</v>
      </c>
      <c r="AM86" s="3524">
        <v>1.1869315531867035</v>
      </c>
      <c r="AN86" s="3525">
        <v>4.7477262127468141</v>
      </c>
      <c r="AO86" s="3526">
        <v>26.50813802116971</v>
      </c>
      <c r="AP86" s="3527">
        <v>4.6158449290594028</v>
      </c>
      <c r="AQ86" s="3526">
        <v>26.50813802116971</v>
      </c>
      <c r="AR86" s="3527">
        <v>1.1869315531867035</v>
      </c>
      <c r="AS86" s="3528">
        <v>3.9564385106223448</v>
      </c>
      <c r="AT86" s="3526">
        <v>26.50813802116971</v>
      </c>
      <c r="AU86" s="3529">
        <v>8.0271762544903034</v>
      </c>
      <c r="AV86" s="3544"/>
      <c r="AW86" s="3521" t="s">
        <v>1095</v>
      </c>
      <c r="AX86" s="3522"/>
      <c r="AY86" s="3523" t="s">
        <v>1096</v>
      </c>
      <c r="AZ86" s="3524">
        <v>4.7477262127468141</v>
      </c>
      <c r="BA86" s="3525">
        <v>22.156055659485133</v>
      </c>
      <c r="BB86" s="3526">
        <v>109.19770289317673</v>
      </c>
      <c r="BC86" s="3524">
        <v>4.7477262127468141</v>
      </c>
      <c r="BD86" s="3525">
        <v>16.74892302830126</v>
      </c>
      <c r="BE86" s="3526">
        <v>109.19770289317673</v>
      </c>
      <c r="BF86" s="3527">
        <v>16.485160460926437</v>
      </c>
      <c r="BG86" s="3526">
        <v>109.19770289317673</v>
      </c>
      <c r="BH86" s="3527">
        <v>4.7477262127468141</v>
      </c>
      <c r="BI86" s="3528">
        <v>14.375059921927855</v>
      </c>
      <c r="BJ86" s="3526">
        <v>109.19770289317673</v>
      </c>
      <c r="BK86" s="3529">
        <v>12.095455025457452</v>
      </c>
      <c r="BL86" s="3544"/>
      <c r="BM86" s="3521" t="s">
        <v>1095</v>
      </c>
      <c r="BN86" s="3522"/>
      <c r="BO86" s="3523" t="s">
        <v>1096</v>
      </c>
      <c r="BP86" s="3524">
        <v>0</v>
      </c>
      <c r="BQ86" s="3525">
        <v>0</v>
      </c>
      <c r="BR86" s="3526">
        <v>0</v>
      </c>
      <c r="BS86" s="3524">
        <v>0</v>
      </c>
      <c r="BT86" s="3525">
        <v>0</v>
      </c>
      <c r="BU86" s="3526">
        <v>0</v>
      </c>
      <c r="BV86" s="3527">
        <v>0</v>
      </c>
      <c r="BW86" s="3526">
        <v>0</v>
      </c>
      <c r="BX86" s="3527">
        <v>0</v>
      </c>
      <c r="BY86" s="3528">
        <v>0</v>
      </c>
      <c r="BZ86" s="3526">
        <v>0</v>
      </c>
      <c r="CA86" s="3529">
        <v>0</v>
      </c>
    </row>
    <row r="87" spans="1:95" ht="13.5" customHeight="1">
      <c r="A87" s="3521" t="s">
        <v>477</v>
      </c>
      <c r="B87" s="3522"/>
      <c r="C87" s="3530" t="s">
        <v>1096</v>
      </c>
      <c r="D87" s="3531">
        <v>0</v>
      </c>
      <c r="E87" s="3532">
        <v>4.6872891207302585</v>
      </c>
      <c r="F87" s="3533">
        <v>4.6872891207302585</v>
      </c>
      <c r="G87" s="3531">
        <v>0</v>
      </c>
      <c r="H87" s="3532">
        <v>4.6872891207302585</v>
      </c>
      <c r="I87" s="3534">
        <v>4.6872891207302585</v>
      </c>
      <c r="J87" s="3535">
        <v>4.6872891207302585</v>
      </c>
      <c r="K87" s="3533">
        <v>4.6872891207302585</v>
      </c>
      <c r="L87" s="3535">
        <v>0</v>
      </c>
      <c r="M87" s="3536">
        <v>1.0937007948370601</v>
      </c>
      <c r="N87" s="3533">
        <v>1.0937007948370601</v>
      </c>
      <c r="O87" s="3502">
        <v>2.4984385981404889</v>
      </c>
      <c r="P87" s="3544"/>
      <c r="Q87" s="3521" t="s">
        <v>477</v>
      </c>
      <c r="R87" s="3522"/>
      <c r="S87" s="3530" t="s">
        <v>1096</v>
      </c>
      <c r="T87" s="3531">
        <v>0</v>
      </c>
      <c r="U87" s="3532">
        <v>4.6872891207302585</v>
      </c>
      <c r="V87" s="3533">
        <v>4.6872891207302585</v>
      </c>
      <c r="W87" s="3531">
        <v>0</v>
      </c>
      <c r="X87" s="3532">
        <v>4.6872891207302585</v>
      </c>
      <c r="Y87" s="3534">
        <v>4.6872891207302585</v>
      </c>
      <c r="Z87" s="3535">
        <v>4.6872891207302585</v>
      </c>
      <c r="AA87" s="3533">
        <v>4.6872891207302585</v>
      </c>
      <c r="AB87" s="3535">
        <v>0</v>
      </c>
      <c r="AC87" s="3536">
        <v>1.0937007948370601</v>
      </c>
      <c r="AD87" s="3533">
        <v>1.0937007948370601</v>
      </c>
      <c r="AE87" s="3502">
        <v>2.4311065739353679</v>
      </c>
      <c r="AF87" s="3544"/>
      <c r="AG87" s="3521" t="s">
        <v>477</v>
      </c>
      <c r="AH87" s="3522"/>
      <c r="AI87" s="3530" t="s">
        <v>1096</v>
      </c>
      <c r="AJ87" s="3531">
        <v>0.46872891207302581</v>
      </c>
      <c r="AK87" s="3532">
        <v>4.999775062112275</v>
      </c>
      <c r="AL87" s="3533">
        <v>4.999775062112275</v>
      </c>
      <c r="AM87" s="3531">
        <v>0.46872891207302581</v>
      </c>
      <c r="AN87" s="3532">
        <v>4.999775062112275</v>
      </c>
      <c r="AO87" s="3534">
        <v>4.999775062112275</v>
      </c>
      <c r="AP87" s="3535">
        <v>4.999775062112275</v>
      </c>
      <c r="AQ87" s="3533">
        <v>4.999775062112275</v>
      </c>
      <c r="AR87" s="3535">
        <v>0.46872891207302581</v>
      </c>
      <c r="AS87" s="3536">
        <v>5.3122610034942932</v>
      </c>
      <c r="AT87" s="3533">
        <v>5.3122610034942932</v>
      </c>
      <c r="AU87" s="3502">
        <v>3.755997475583452</v>
      </c>
      <c r="AV87" s="3544"/>
      <c r="AW87" s="3521" t="s">
        <v>477</v>
      </c>
      <c r="AX87" s="3522"/>
      <c r="AY87" s="3530" t="s">
        <v>1096</v>
      </c>
      <c r="AZ87" s="3531">
        <v>0.46872891207302581</v>
      </c>
      <c r="BA87" s="3532">
        <v>4.999775062112275</v>
      </c>
      <c r="BB87" s="3533">
        <v>4.999775062112275</v>
      </c>
      <c r="BC87" s="3531">
        <v>0.46872891207302581</v>
      </c>
      <c r="BD87" s="3532">
        <v>4.999775062112275</v>
      </c>
      <c r="BE87" s="3534">
        <v>4.999775062112275</v>
      </c>
      <c r="BF87" s="3535">
        <v>4.999775062112275</v>
      </c>
      <c r="BG87" s="3533">
        <v>4.999775062112275</v>
      </c>
      <c r="BH87" s="3535">
        <v>0.46872891207302581</v>
      </c>
      <c r="BI87" s="3536">
        <v>5.3122610034942932</v>
      </c>
      <c r="BJ87" s="3533">
        <v>5.3122610034942932</v>
      </c>
      <c r="BK87" s="3502">
        <v>2.595725449674215</v>
      </c>
      <c r="BL87" s="3544"/>
      <c r="BM87" s="3521" t="s">
        <v>477</v>
      </c>
      <c r="BN87" s="3522"/>
      <c r="BO87" s="3530" t="s">
        <v>1096</v>
      </c>
      <c r="BP87" s="3531">
        <v>0</v>
      </c>
      <c r="BQ87" s="3532">
        <v>0</v>
      </c>
      <c r="BR87" s="3533">
        <v>0</v>
      </c>
      <c r="BS87" s="3531">
        <v>0</v>
      </c>
      <c r="BT87" s="3532">
        <v>0</v>
      </c>
      <c r="BU87" s="3534">
        <v>0</v>
      </c>
      <c r="BV87" s="3535">
        <v>0</v>
      </c>
      <c r="BW87" s="3533">
        <v>0</v>
      </c>
      <c r="BX87" s="3535">
        <v>0</v>
      </c>
      <c r="BY87" s="3536">
        <v>0</v>
      </c>
      <c r="BZ87" s="3533">
        <v>0</v>
      </c>
      <c r="CA87" s="3502">
        <v>0</v>
      </c>
    </row>
    <row r="88" spans="1:95" ht="13.5" customHeight="1">
      <c r="A88" s="3521" t="s">
        <v>1097</v>
      </c>
      <c r="B88" s="3522"/>
      <c r="C88" s="3530" t="s">
        <v>1096</v>
      </c>
      <c r="D88" s="3535">
        <v>0.45632070241503936</v>
      </c>
      <c r="E88" s="3532">
        <v>0.47933835154110727</v>
      </c>
      <c r="F88" s="3537">
        <v>0.62002288521215476</v>
      </c>
      <c r="G88" s="3531">
        <v>0.1916744163226502</v>
      </c>
      <c r="H88" s="3532">
        <v>0.16844754718234617</v>
      </c>
      <c r="I88" s="3537">
        <v>0.18122239098080184</v>
      </c>
      <c r="J88" s="3531">
        <v>0.12035178309360746</v>
      </c>
      <c r="K88" s="3537">
        <v>0.12886922076397703</v>
      </c>
      <c r="L88" s="3531">
        <v>5.816760237214947E-2</v>
      </c>
      <c r="M88" s="3538">
        <v>4.7128952433578238E-2</v>
      </c>
      <c r="N88" s="3534">
        <v>4.188752785044271E-2</v>
      </c>
      <c r="O88" s="3539">
        <v>0.12161277261384723</v>
      </c>
      <c r="P88" s="3544"/>
      <c r="Q88" s="3521" t="s">
        <v>1097</v>
      </c>
      <c r="R88" s="3522"/>
      <c r="S88" s="3530" t="s">
        <v>1096</v>
      </c>
      <c r="T88" s="3535">
        <v>0.74116610882052147</v>
      </c>
      <c r="U88" s="3532">
        <v>0.76225759303704055</v>
      </c>
      <c r="V88" s="3537">
        <v>0.97453582487705182</v>
      </c>
      <c r="W88" s="3531">
        <v>0.31341837014718543</v>
      </c>
      <c r="X88" s="3532">
        <v>0.26038859158429967</v>
      </c>
      <c r="Y88" s="3537">
        <v>0.27788927219626103</v>
      </c>
      <c r="Z88" s="3531">
        <v>0.18900393675104354</v>
      </c>
      <c r="AA88" s="3537">
        <v>0.19796481034411711</v>
      </c>
      <c r="AB88" s="3531">
        <v>9.5180243607374829E-2</v>
      </c>
      <c r="AC88" s="3538">
        <v>8.0086682913662874E-2</v>
      </c>
      <c r="AD88" s="3534">
        <v>6.5048081697064108E-2</v>
      </c>
      <c r="AE88" s="3539">
        <v>0.19169759533237818</v>
      </c>
      <c r="AF88" s="3544"/>
      <c r="AG88" s="3521" t="s">
        <v>1097</v>
      </c>
      <c r="AH88" s="3522"/>
      <c r="AI88" s="3530" t="s">
        <v>1096</v>
      </c>
      <c r="AJ88" s="3535">
        <v>1.3852787058993083</v>
      </c>
      <c r="AK88" s="3532">
        <v>2.2849696018792329</v>
      </c>
      <c r="AL88" s="3537">
        <v>2.8798151205761195</v>
      </c>
      <c r="AM88" s="3531">
        <v>0.62765160101841355</v>
      </c>
      <c r="AN88" s="3532">
        <v>0.74887591918921215</v>
      </c>
      <c r="AO88" s="3537">
        <v>0.87087554839171055</v>
      </c>
      <c r="AP88" s="3531">
        <v>0.51555297488113427</v>
      </c>
      <c r="AQ88" s="3537">
        <v>0.61451540838595253</v>
      </c>
      <c r="AR88" s="3531">
        <v>0.18329023376898468</v>
      </c>
      <c r="AS88" s="3538">
        <v>0.17475834852300656</v>
      </c>
      <c r="AT88" s="3534">
        <v>0.16416586192922472</v>
      </c>
      <c r="AU88" s="3539">
        <v>0.43113425174870734</v>
      </c>
      <c r="AV88" s="3544"/>
      <c r="AW88" s="3521" t="s">
        <v>1097</v>
      </c>
      <c r="AX88" s="3522"/>
      <c r="AY88" s="3530" t="s">
        <v>1096</v>
      </c>
      <c r="AZ88" s="3535">
        <v>2.240509934570909</v>
      </c>
      <c r="BA88" s="3532">
        <v>3.6727541929000198</v>
      </c>
      <c r="BB88" s="3537">
        <v>4.9601993268456894</v>
      </c>
      <c r="BC88" s="3531">
        <v>0.9895019348363514</v>
      </c>
      <c r="BD88" s="3532">
        <v>1.1698775748561632</v>
      </c>
      <c r="BE88" s="3537">
        <v>1.529680787987165</v>
      </c>
      <c r="BF88" s="3531">
        <v>0.88743197824037778</v>
      </c>
      <c r="BG88" s="3537">
        <v>1.1022901589063292</v>
      </c>
      <c r="BH88" s="3531">
        <v>0.29692212732793699</v>
      </c>
      <c r="BI88" s="3538">
        <v>0.28778810530699406</v>
      </c>
      <c r="BJ88" s="3534">
        <v>0.27379376690908436</v>
      </c>
      <c r="BK88" s="3539">
        <v>0.52159440618504438</v>
      </c>
      <c r="BL88" s="3544"/>
      <c r="BM88" s="3521" t="s">
        <v>1097</v>
      </c>
      <c r="BN88" s="3522"/>
      <c r="BO88" s="3530" t="s">
        <v>1096</v>
      </c>
      <c r="BP88" s="3535">
        <v>2.5745944993992387</v>
      </c>
      <c r="BQ88" s="3532">
        <v>3.6140996346548846</v>
      </c>
      <c r="BR88" s="3537">
        <v>4.2748267925868806</v>
      </c>
      <c r="BS88" s="3531">
        <v>1.2566924190873585</v>
      </c>
      <c r="BT88" s="3532">
        <v>1.6464692953886293</v>
      </c>
      <c r="BU88" s="3537">
        <v>1.8681214811290907</v>
      </c>
      <c r="BV88" s="3531">
        <v>0.92129144592367374</v>
      </c>
      <c r="BW88" s="3537">
        <v>1.203860059874442</v>
      </c>
      <c r="BX88" s="3531">
        <v>0.34122570814260011</v>
      </c>
      <c r="BY88" s="3538">
        <v>0.28123592438965173</v>
      </c>
      <c r="BZ88" s="3534">
        <v>0.27876195838827855</v>
      </c>
      <c r="CA88" s="3539">
        <v>1.2746485830159089</v>
      </c>
    </row>
    <row r="89" spans="1:95" ht="13.5" customHeight="1">
      <c r="A89" s="3521" t="s">
        <v>1074</v>
      </c>
      <c r="B89" s="3522"/>
      <c r="C89" s="3530" t="s">
        <v>1096</v>
      </c>
      <c r="D89" s="3531">
        <v>0.31248594138201718</v>
      </c>
      <c r="E89" s="3532">
        <v>0.31248594138201718</v>
      </c>
      <c r="F89" s="3534">
        <v>0.31248594138201718</v>
      </c>
      <c r="G89" s="3531">
        <v>0.31248594138201718</v>
      </c>
      <c r="H89" s="3532">
        <v>0.31248594138201718</v>
      </c>
      <c r="I89" s="3534">
        <v>0.31248594138201718</v>
      </c>
      <c r="J89" s="3531">
        <v>0.31248594138201718</v>
      </c>
      <c r="K89" s="3534">
        <v>0.31248594138201718</v>
      </c>
      <c r="L89" s="3531">
        <v>0</v>
      </c>
      <c r="M89" s="3532">
        <v>0</v>
      </c>
      <c r="N89" s="3534">
        <v>0.15624297069100859</v>
      </c>
      <c r="O89" s="3540">
        <v>0.17552446908578534</v>
      </c>
      <c r="P89" s="3544"/>
      <c r="Q89" s="3521" t="s">
        <v>1074</v>
      </c>
      <c r="R89" s="3522"/>
      <c r="S89" s="3530" t="s">
        <v>1096</v>
      </c>
      <c r="T89" s="3531">
        <v>0.31248594138201718</v>
      </c>
      <c r="U89" s="3532">
        <v>0.31248594138201718</v>
      </c>
      <c r="V89" s="3534">
        <v>0.31248594138201718</v>
      </c>
      <c r="W89" s="3531">
        <v>0.31248594138201718</v>
      </c>
      <c r="X89" s="3532">
        <v>0.31248594138201718</v>
      </c>
      <c r="Y89" s="3534">
        <v>0.31248594138201718</v>
      </c>
      <c r="Z89" s="3531">
        <v>0.31248594138201718</v>
      </c>
      <c r="AA89" s="3534">
        <v>0.31248594138201718</v>
      </c>
      <c r="AB89" s="3531">
        <v>0</v>
      </c>
      <c r="AC89" s="3532">
        <v>0</v>
      </c>
      <c r="AD89" s="3534">
        <v>0.15624297069100859</v>
      </c>
      <c r="AE89" s="3540">
        <v>0.17611012195751727</v>
      </c>
      <c r="AF89" s="3544"/>
      <c r="AG89" s="3521" t="s">
        <v>1074</v>
      </c>
      <c r="AH89" s="3522"/>
      <c r="AI89" s="3530" t="s">
        <v>1096</v>
      </c>
      <c r="AJ89" s="3531">
        <v>7.6559055638594211</v>
      </c>
      <c r="AK89" s="3532">
        <v>9.2183352707695079</v>
      </c>
      <c r="AL89" s="3534">
        <v>11.093250919061608</v>
      </c>
      <c r="AM89" s="3531">
        <v>7.9683915052414385</v>
      </c>
      <c r="AN89" s="3532">
        <v>7.8121485345504302</v>
      </c>
      <c r="AO89" s="3534">
        <v>7.8121485345504302</v>
      </c>
      <c r="AP89" s="3531">
        <v>6.8746907104043782</v>
      </c>
      <c r="AQ89" s="3534">
        <v>6.8746907104043782</v>
      </c>
      <c r="AR89" s="3531">
        <v>1.4061867362190774</v>
      </c>
      <c r="AS89" s="3532">
        <v>1.4061867362190774</v>
      </c>
      <c r="AT89" s="3534">
        <v>1.7186726776010945</v>
      </c>
      <c r="AU89" s="3540">
        <v>3.7914857592986833</v>
      </c>
      <c r="AV89" s="3544"/>
      <c r="AW89" s="3521" t="s">
        <v>1074</v>
      </c>
      <c r="AX89" s="3522"/>
      <c r="AY89" s="3530" t="s">
        <v>1096</v>
      </c>
      <c r="AZ89" s="3531">
        <v>15.155568157027833</v>
      </c>
      <c r="BA89" s="3532">
        <v>18.280427570848005</v>
      </c>
      <c r="BB89" s="3534">
        <v>22.186501838123217</v>
      </c>
      <c r="BC89" s="3531">
        <v>15.780540039791868</v>
      </c>
      <c r="BD89" s="3532">
        <v>15.62429706910086</v>
      </c>
      <c r="BE89" s="3534">
        <v>15.62429706910086</v>
      </c>
      <c r="BF89" s="3531">
        <v>13.593138450117747</v>
      </c>
      <c r="BG89" s="3534">
        <v>13.749381420808756</v>
      </c>
      <c r="BH89" s="3531">
        <v>2.8123734724381548</v>
      </c>
      <c r="BI89" s="3532">
        <v>2.8123734724381548</v>
      </c>
      <c r="BJ89" s="3534">
        <v>3.5935883258931973</v>
      </c>
      <c r="BK89" s="3540">
        <v>6.2451942749747396</v>
      </c>
      <c r="BL89" s="3544"/>
      <c r="BM89" s="3521" t="s">
        <v>1074</v>
      </c>
      <c r="BN89" s="3522"/>
      <c r="BO89" s="3530" t="s">
        <v>1096</v>
      </c>
      <c r="BP89" s="3531">
        <v>0</v>
      </c>
      <c r="BQ89" s="3532">
        <v>0</v>
      </c>
      <c r="BR89" s="3534">
        <v>0</v>
      </c>
      <c r="BS89" s="3531">
        <v>0</v>
      </c>
      <c r="BT89" s="3532">
        <v>0</v>
      </c>
      <c r="BU89" s="3534">
        <v>0</v>
      </c>
      <c r="BV89" s="3531">
        <v>0</v>
      </c>
      <c r="BW89" s="3534">
        <v>0</v>
      </c>
      <c r="BX89" s="3531">
        <v>0</v>
      </c>
      <c r="BY89" s="3532">
        <v>0</v>
      </c>
      <c r="BZ89" s="3534">
        <v>0</v>
      </c>
      <c r="CA89" s="3540">
        <v>0</v>
      </c>
    </row>
    <row r="90" spans="1:95" ht="13.5" customHeight="1">
      <c r="A90" s="3521" t="s">
        <v>397</v>
      </c>
      <c r="B90" s="3522"/>
      <c r="C90" s="3530" t="s">
        <v>1096</v>
      </c>
      <c r="D90" s="3531">
        <v>0.6835788723347298</v>
      </c>
      <c r="E90" s="3532">
        <v>0.76295189700756771</v>
      </c>
      <c r="F90" s="3537">
        <v>0.95075097433735289</v>
      </c>
      <c r="G90" s="3531">
        <v>0.66122583144738079</v>
      </c>
      <c r="H90" s="3532">
        <v>0.68298870016330715</v>
      </c>
      <c r="I90" s="3537">
        <v>0.75276546592463789</v>
      </c>
      <c r="J90" s="3531">
        <v>0.63315936941369466</v>
      </c>
      <c r="K90" s="3537">
        <v>0.71051754314449378</v>
      </c>
      <c r="L90" s="3531">
        <v>0.67491122436262785</v>
      </c>
      <c r="M90" s="3532">
        <v>0.62194924536881591</v>
      </c>
      <c r="N90" s="3537">
        <v>0.61398256295397036</v>
      </c>
      <c r="O90" s="3539">
        <v>0.66919913575450263</v>
      </c>
      <c r="P90" s="3544"/>
      <c r="Q90" s="3521" t="s">
        <v>397</v>
      </c>
      <c r="R90" s="3522"/>
      <c r="S90" s="3530" t="s">
        <v>1096</v>
      </c>
      <c r="T90" s="3531">
        <v>1.1992133117866999</v>
      </c>
      <c r="U90" s="3532">
        <v>1.0662383567444298</v>
      </c>
      <c r="V90" s="3537">
        <v>1.3756598149718726</v>
      </c>
      <c r="W90" s="3531">
        <v>1.1362195443890057</v>
      </c>
      <c r="X90" s="3532">
        <v>0.95429447211284701</v>
      </c>
      <c r="Y90" s="3537">
        <v>1.0205052790509213</v>
      </c>
      <c r="Z90" s="3531">
        <v>0.90473970594175968</v>
      </c>
      <c r="AA90" s="3537">
        <v>0.95332991807881939</v>
      </c>
      <c r="AB90" s="3531">
        <v>1.1778945058510599</v>
      </c>
      <c r="AC90" s="3532">
        <v>1.035558920702067</v>
      </c>
      <c r="AD90" s="3537">
        <v>0.91682019152253114</v>
      </c>
      <c r="AE90" s="3539">
        <v>1.0175969507690761</v>
      </c>
      <c r="AF90" s="3544"/>
      <c r="AG90" s="3521" t="s">
        <v>397</v>
      </c>
      <c r="AH90" s="3522"/>
      <c r="AI90" s="3530" t="s">
        <v>1096</v>
      </c>
      <c r="AJ90" s="3531">
        <v>3.9786274983320165</v>
      </c>
      <c r="AK90" s="3532">
        <v>4.7571439006329346</v>
      </c>
      <c r="AL90" s="3537">
        <v>5.7997669931942317</v>
      </c>
      <c r="AM90" s="3531">
        <v>3.9216234687351816</v>
      </c>
      <c r="AN90" s="3532">
        <v>4.1316780993608972</v>
      </c>
      <c r="AO90" s="3537">
        <v>4.7128343113787103</v>
      </c>
      <c r="AP90" s="3531">
        <v>3.8134301646783046</v>
      </c>
      <c r="AQ90" s="3537">
        <v>4.3956962763334095</v>
      </c>
      <c r="AR90" s="3531">
        <v>3.965696589050951</v>
      </c>
      <c r="AS90" s="3532">
        <v>3.7200660116394979</v>
      </c>
      <c r="AT90" s="3537">
        <v>3.6584234998446723</v>
      </c>
      <c r="AU90" s="3539">
        <v>3.9502311228191074</v>
      </c>
      <c r="AV90" s="3544"/>
      <c r="AW90" s="3521" t="s">
        <v>397</v>
      </c>
      <c r="AX90" s="3522"/>
      <c r="AY90" s="3530" t="s">
        <v>1096</v>
      </c>
      <c r="AZ90" s="3531">
        <v>5.0794416768986173</v>
      </c>
      <c r="BA90" s="3532">
        <v>6.7159616058969434</v>
      </c>
      <c r="BB90" s="3537">
        <v>8.5183721019759044</v>
      </c>
      <c r="BC90" s="3531">
        <v>5.0500034327104508</v>
      </c>
      <c r="BD90" s="3532">
        <v>5.5372263975506169</v>
      </c>
      <c r="BE90" s="3537">
        <v>6.8826831936703154</v>
      </c>
      <c r="BF90" s="3531">
        <v>5.3229025372735759</v>
      </c>
      <c r="BG90" s="3537">
        <v>6.4550427386215929</v>
      </c>
      <c r="BH90" s="3531">
        <v>5.0700512298189251</v>
      </c>
      <c r="BI90" s="3532">
        <v>4.8973711654745031</v>
      </c>
      <c r="BJ90" s="3537">
        <v>4.8869467780812679</v>
      </c>
      <c r="BK90" s="3539">
        <v>5.0875318240939746</v>
      </c>
      <c r="BL90" s="3544"/>
      <c r="BM90" s="3521" t="s">
        <v>397</v>
      </c>
      <c r="BN90" s="3522"/>
      <c r="BO90" s="3530" t="s">
        <v>1096</v>
      </c>
      <c r="BP90" s="3531">
        <v>4.0067683517715915</v>
      </c>
      <c r="BQ90" s="3532">
        <v>3.7324290901948602</v>
      </c>
      <c r="BR90" s="3537">
        <v>4.6830133925177124</v>
      </c>
      <c r="BS90" s="3531">
        <v>3.9936697262667931</v>
      </c>
      <c r="BT90" s="3532">
        <v>4.2051273832485618</v>
      </c>
      <c r="BU90" s="3537">
        <v>4.8214582898219307</v>
      </c>
      <c r="BV90" s="3531">
        <v>3.5207420163730636</v>
      </c>
      <c r="BW90" s="3537">
        <v>4.3081082518246934</v>
      </c>
      <c r="BX90" s="3531">
        <v>4.0020982059116594</v>
      </c>
      <c r="BY90" s="3532">
        <v>3.257004048128822</v>
      </c>
      <c r="BZ90" s="3537">
        <v>3.3432835231584099</v>
      </c>
      <c r="CA90" s="3539">
        <v>3.9092158057490058</v>
      </c>
    </row>
    <row r="91" spans="1:95" ht="13.5" customHeight="1">
      <c r="A91" s="3521" t="s">
        <v>1098</v>
      </c>
      <c r="B91" s="3493"/>
      <c r="C91" s="3530" t="s">
        <v>1096</v>
      </c>
      <c r="D91" s="3495">
        <v>-2.9324891209458754</v>
      </c>
      <c r="E91" s="3496">
        <v>-3.2857184835450997</v>
      </c>
      <c r="F91" s="3496">
        <v>-4.1214702853108589</v>
      </c>
      <c r="G91" s="3503">
        <v>-2.8330126247768361</v>
      </c>
      <c r="H91" s="3504">
        <v>-2.9298627105149433</v>
      </c>
      <c r="I91" s="3501">
        <v>-3.2403863751441007</v>
      </c>
      <c r="J91" s="3500">
        <v>-2.7081100078558138</v>
      </c>
      <c r="K91" s="3501">
        <v>-3.052372791230896</v>
      </c>
      <c r="L91" s="3495">
        <v>-2.8939159686559175</v>
      </c>
      <c r="M91" s="3496">
        <v>-2.6582222155315054</v>
      </c>
      <c r="N91" s="3501">
        <v>-2.62276853132298</v>
      </c>
      <c r="O91" s="3502">
        <v>-2.8684957780247187</v>
      </c>
      <c r="P91" s="3544"/>
      <c r="Q91" s="3521" t="s">
        <v>1098</v>
      </c>
      <c r="R91" s="3493"/>
      <c r="S91" s="3530" t="s">
        <v>1096</v>
      </c>
      <c r="T91" s="3495">
        <v>-5.2726310338362712</v>
      </c>
      <c r="U91" s="3496">
        <v>-4.6874266391313464</v>
      </c>
      <c r="V91" s="3496">
        <v>-6.0491477024183817</v>
      </c>
      <c r="W91" s="3503">
        <v>-4.9954041717671558</v>
      </c>
      <c r="X91" s="3504">
        <v>-4.1947770779721134</v>
      </c>
      <c r="Y91" s="3501">
        <v>-4.4861616863354215</v>
      </c>
      <c r="Z91" s="3500">
        <v>-3.9766934024959539</v>
      </c>
      <c r="AA91" s="3501">
        <v>-4.1905322090081487</v>
      </c>
      <c r="AB91" s="3495">
        <v>-5.1788099160217751</v>
      </c>
      <c r="AC91" s="3496">
        <v>-4.5524106822291444</v>
      </c>
      <c r="AD91" s="3501">
        <v>-4.0298579495325715</v>
      </c>
      <c r="AE91" s="3502">
        <v>-4.4733625356138473</v>
      </c>
      <c r="AF91" s="3544"/>
      <c r="AG91" s="3521" t="s">
        <v>1098</v>
      </c>
      <c r="AH91" s="3493"/>
      <c r="AI91" s="3530" t="s">
        <v>1096</v>
      </c>
      <c r="AJ91" s="3495">
        <v>-17.477603413775341</v>
      </c>
      <c r="AK91" s="3496">
        <v>-20.89752672558048</v>
      </c>
      <c r="AL91" s="3496">
        <v>-25.477637059978431</v>
      </c>
      <c r="AM91" s="3503">
        <v>-17.22719197850067</v>
      </c>
      <c r="AN91" s="3504">
        <v>-18.149935193552203</v>
      </c>
      <c r="AO91" s="3501">
        <v>-20.70288034847248</v>
      </c>
      <c r="AP91" s="3500">
        <v>-16.751912586015482</v>
      </c>
      <c r="AQ91" s="3501">
        <v>-19.309733388554896</v>
      </c>
      <c r="AR91" s="3495">
        <v>-17.420799577706568</v>
      </c>
      <c r="AS91" s="3496">
        <v>-16.341775763566186</v>
      </c>
      <c r="AT91" s="3501">
        <v>-16.070988067298916</v>
      </c>
      <c r="AU91" s="3502">
        <v>-17.35286175605259</v>
      </c>
      <c r="AV91" s="3544"/>
      <c r="AW91" s="3521" t="s">
        <v>1098</v>
      </c>
      <c r="AX91" s="3493"/>
      <c r="AY91" s="3530" t="s">
        <v>1096</v>
      </c>
      <c r="AZ91" s="3495">
        <v>-22.313339770927112</v>
      </c>
      <c r="BA91" s="3496">
        <v>-29.502363199173086</v>
      </c>
      <c r="BB91" s="3496">
        <v>-37.420122741251568</v>
      </c>
      <c r="BC91" s="3503">
        <v>-22.184021316929005</v>
      </c>
      <c r="BD91" s="3504">
        <v>-24.324329691394883</v>
      </c>
      <c r="BE91" s="3501">
        <v>-30.234749880972156</v>
      </c>
      <c r="BF91" s="3500">
        <v>-23.382832294716771</v>
      </c>
      <c r="BG91" s="3501">
        <v>-28.35617987657707</v>
      </c>
      <c r="BH91" s="3495">
        <v>-22.27208873397889</v>
      </c>
      <c r="BI91" s="3496">
        <v>-21.513527224176254</v>
      </c>
      <c r="BJ91" s="3501">
        <v>-21.467734219235002</v>
      </c>
      <c r="BK91" s="3502">
        <v>-22.34887875624273</v>
      </c>
      <c r="BL91" s="3544"/>
      <c r="BM91" s="3521" t="s">
        <v>1098</v>
      </c>
      <c r="BN91" s="3493"/>
      <c r="BO91" s="3530" t="s">
        <v>1096</v>
      </c>
      <c r="BP91" s="3495">
        <v>-17.601222595603311</v>
      </c>
      <c r="BQ91" s="3496">
        <v>-16.396085191642719</v>
      </c>
      <c r="BR91" s="3496">
        <v>-20.57188085341912</v>
      </c>
      <c r="BS91" s="3503">
        <v>-17.543682003543758</v>
      </c>
      <c r="BT91" s="3504">
        <v>-18.472588534522824</v>
      </c>
      <c r="BU91" s="3501">
        <v>-21.180051638635476</v>
      </c>
      <c r="BV91" s="3500">
        <v>-15.466170861730951</v>
      </c>
      <c r="BW91" s="3501">
        <v>-18.924970362410537</v>
      </c>
      <c r="BX91" s="3495">
        <v>-17.580707240180217</v>
      </c>
      <c r="BY91" s="3496">
        <v>-14.307603587951183</v>
      </c>
      <c r="BZ91" s="3501">
        <v>-14.68661832304465</v>
      </c>
      <c r="CA91" s="3502">
        <v>-17.172686696703096</v>
      </c>
    </row>
    <row r="92" spans="1:95" ht="13.5" customHeight="1" thickBot="1">
      <c r="A92" s="3541" t="s">
        <v>1449</v>
      </c>
      <c r="B92" s="3542"/>
      <c r="C92" s="3554"/>
      <c r="D92" s="3555">
        <v>-0.5191727254087346</v>
      </c>
      <c r="E92" s="3555">
        <v>122.76253055578516</v>
      </c>
      <c r="F92" s="3555">
        <v>66.4289499664727</v>
      </c>
      <c r="G92" s="3556">
        <v>2.9944324369938982</v>
      </c>
      <c r="H92" s="3555">
        <v>50.892084866324801</v>
      </c>
      <c r="I92" s="3557">
        <v>38.691341456681101</v>
      </c>
      <c r="J92" s="3558">
        <v>22.613757894471963</v>
      </c>
      <c r="K92" s="3559">
        <v>16.398815889671816</v>
      </c>
      <c r="L92" s="3556">
        <v>0.95058960399775483</v>
      </c>
      <c r="M92" s="3555">
        <v>2.6682773651357361</v>
      </c>
      <c r="N92" s="3557">
        <v>4.2469353108678325</v>
      </c>
      <c r="O92" s="3543">
        <v>18.053943909979925</v>
      </c>
      <c r="P92" s="3544"/>
      <c r="Q92" s="3541" t="s">
        <v>1449</v>
      </c>
      <c r="R92" s="3542"/>
      <c r="S92" s="3554"/>
      <c r="T92" s="3555">
        <v>-2.0588347924416777</v>
      </c>
      <c r="U92" s="3555">
        <v>121.94702810143171</v>
      </c>
      <c r="V92" s="3555">
        <v>65.280694329664598</v>
      </c>
      <c r="W92" s="3556">
        <v>1.4287785567697382</v>
      </c>
      <c r="X92" s="3555">
        <v>49.990417315219133</v>
      </c>
      <c r="Y92" s="3557">
        <v>37.809972839831524</v>
      </c>
      <c r="Z92" s="3558">
        <v>21.685406990017327</v>
      </c>
      <c r="AA92" s="3559">
        <v>15.57256443640903</v>
      </c>
      <c r="AB92" s="3556">
        <v>-0.79430842064444551</v>
      </c>
      <c r="AC92" s="3555">
        <v>1.2206563042514329</v>
      </c>
      <c r="AD92" s="3557">
        <v>3.1658440750734229</v>
      </c>
      <c r="AE92" s="3543">
        <v>16.801847075684812</v>
      </c>
      <c r="AF92" s="3544"/>
      <c r="AG92" s="3541" t="s">
        <v>1449</v>
      </c>
      <c r="AH92" s="3542"/>
      <c r="AI92" s="3554"/>
      <c r="AJ92" s="3555">
        <v>-0.9763625095546935</v>
      </c>
      <c r="AK92" s="3555">
        <v>234.0741733722748</v>
      </c>
      <c r="AL92" s="3555">
        <v>147.11429014436078</v>
      </c>
      <c r="AM92" s="3556">
        <v>5.8040469197295934</v>
      </c>
      <c r="AN92" s="3555">
        <v>95.184093103426818</v>
      </c>
      <c r="AO92" s="3557">
        <v>92.346450024458505</v>
      </c>
      <c r="AP92" s="3558">
        <v>40.997112022759495</v>
      </c>
      <c r="AQ92" s="3559">
        <v>49.695358675120495</v>
      </c>
      <c r="AR92" s="3556">
        <v>-4.2982547361619243</v>
      </c>
      <c r="AS92" s="3555">
        <v>4.7484295251787465</v>
      </c>
      <c r="AT92" s="3557">
        <v>30.471489530864826</v>
      </c>
      <c r="AU92" s="3543">
        <v>35.568299658967831</v>
      </c>
      <c r="AV92" s="3544"/>
      <c r="AW92" s="3541" t="s">
        <v>1449</v>
      </c>
      <c r="AX92" s="3542"/>
      <c r="AY92" s="3554"/>
      <c r="AZ92" s="3555">
        <v>8.1653346726656189</v>
      </c>
      <c r="BA92" s="3555">
        <v>373.37808798251683</v>
      </c>
      <c r="BB92" s="3555">
        <v>297.60159961564187</v>
      </c>
      <c r="BC92" s="3556">
        <v>18.372449945823689</v>
      </c>
      <c r="BD92" s="3555">
        <v>158.48844889324008</v>
      </c>
      <c r="BE92" s="3557">
        <v>212.0110316495234</v>
      </c>
      <c r="BF92" s="3558">
        <v>74.272007365613916</v>
      </c>
      <c r="BG92" s="3559">
        <v>146.24043455351281</v>
      </c>
      <c r="BH92" s="3556">
        <v>0.14685078359076087</v>
      </c>
      <c r="BI92" s="3555">
        <v>16.123660427052638</v>
      </c>
      <c r="BJ92" s="3557">
        <v>115.80938378461524</v>
      </c>
      <c r="BK92" s="3543">
        <v>54.511830644212452</v>
      </c>
      <c r="BL92" s="3544"/>
      <c r="BM92" s="3541" t="s">
        <v>1449</v>
      </c>
      <c r="BN92" s="3542"/>
      <c r="BO92" s="3554"/>
      <c r="BP92" s="3555">
        <v>-8.6175325459190937</v>
      </c>
      <c r="BQ92" s="3555">
        <v>290.1361996456618</v>
      </c>
      <c r="BR92" s="3555">
        <v>148.00593444777141</v>
      </c>
      <c r="BS92" s="3556">
        <v>-0.6381726766428919</v>
      </c>
      <c r="BT92" s="3555">
        <v>106.97614560335039</v>
      </c>
      <c r="BU92" s="3557">
        <v>75.174737205115747</v>
      </c>
      <c r="BV92" s="3558">
        <v>37.567613610617748</v>
      </c>
      <c r="BW92" s="3559">
        <v>20.287361877274986</v>
      </c>
      <c r="BX92" s="3556">
        <v>-5.4588164613287216</v>
      </c>
      <c r="BY92" s="3555">
        <v>-2.1897653545817697</v>
      </c>
      <c r="BZ92" s="3557">
        <v>1.0154489139293386</v>
      </c>
      <c r="CA92" s="3543">
        <v>31.386357364535748</v>
      </c>
    </row>
    <row r="93" spans="1:95" ht="13.5" customHeight="1" thickTop="1"/>
    <row r="94" spans="1:95" ht="13.5" customHeight="1" thickBot="1"/>
    <row r="95" spans="1:95" ht="13.95" customHeight="1" thickTop="1" thickBot="1">
      <c r="A95" s="3478" t="s">
        <v>2496</v>
      </c>
      <c r="B95" s="3479"/>
      <c r="C95" s="3479"/>
      <c r="D95" s="3480">
        <v>2030</v>
      </c>
      <c r="E95" s="3479" t="s">
        <v>2497</v>
      </c>
      <c r="F95" s="3479"/>
      <c r="G95" s="3479"/>
      <c r="H95" s="3479"/>
      <c r="I95" s="3479"/>
      <c r="J95" s="3479"/>
      <c r="K95" s="3479"/>
      <c r="L95" s="3479"/>
      <c r="M95" s="3479"/>
      <c r="N95" s="3481"/>
      <c r="O95" s="3482"/>
      <c r="P95" s="3544"/>
      <c r="Q95" s="3478" t="s">
        <v>2496</v>
      </c>
      <c r="R95" s="3479"/>
      <c r="S95" s="3479"/>
      <c r="T95" s="3480">
        <v>2030</v>
      </c>
      <c r="U95" s="3479" t="s">
        <v>2498</v>
      </c>
      <c r="V95" s="3479"/>
      <c r="W95" s="3479"/>
      <c r="X95" s="3479"/>
      <c r="Y95" s="3479"/>
      <c r="Z95" s="3479"/>
      <c r="AA95" s="3479"/>
      <c r="AB95" s="3479"/>
      <c r="AC95" s="3479"/>
      <c r="AD95" s="3481"/>
      <c r="AE95" s="3482"/>
      <c r="AF95" s="3544"/>
      <c r="AG95" s="3478" t="s">
        <v>1967</v>
      </c>
      <c r="AH95" s="3479"/>
      <c r="AI95" s="3479"/>
      <c r="AJ95" s="3480">
        <v>2030</v>
      </c>
      <c r="AK95" s="3479" t="s">
        <v>2499</v>
      </c>
      <c r="AL95" s="3479"/>
      <c r="AM95" s="3479"/>
      <c r="AN95" s="3479"/>
      <c r="AO95" s="3479"/>
      <c r="AP95" s="3479"/>
      <c r="AQ95" s="3479"/>
      <c r="AR95" s="3479"/>
      <c r="AS95" s="3479"/>
      <c r="AT95" s="3481"/>
      <c r="AU95" s="3482"/>
      <c r="AV95" s="3544"/>
      <c r="AW95" s="3478" t="s">
        <v>1963</v>
      </c>
      <c r="AX95" s="3479"/>
      <c r="AY95" s="3479"/>
      <c r="AZ95" s="3480">
        <v>2030</v>
      </c>
      <c r="BA95" s="3479" t="s">
        <v>2500</v>
      </c>
      <c r="BB95" s="3479"/>
      <c r="BC95" s="3479"/>
      <c r="BD95" s="3479"/>
      <c r="BE95" s="3479"/>
      <c r="BF95" s="3479"/>
      <c r="BG95" s="3479"/>
      <c r="BH95" s="3479"/>
      <c r="BI95" s="3479"/>
      <c r="BJ95" s="3481"/>
      <c r="BK95" s="3482"/>
      <c r="BL95" s="3544"/>
      <c r="BM95" s="3478" t="s">
        <v>1968</v>
      </c>
      <c r="BN95" s="3479"/>
      <c r="BO95" s="3479"/>
      <c r="BP95" s="3480">
        <v>2030</v>
      </c>
      <c r="BQ95" s="3479" t="s">
        <v>2501</v>
      </c>
      <c r="BR95" s="3479"/>
      <c r="BS95" s="3479"/>
      <c r="BT95" s="3479"/>
      <c r="BU95" s="3479"/>
      <c r="BV95" s="3479"/>
      <c r="BW95" s="3479"/>
      <c r="BX95" s="3479"/>
      <c r="BY95" s="3479"/>
      <c r="BZ95" s="3481"/>
      <c r="CA95" s="3482"/>
    </row>
    <row r="96" spans="1:95" ht="13.5" customHeight="1" thickTop="1">
      <c r="A96" s="3483"/>
      <c r="B96" s="3484"/>
      <c r="C96" s="3545" t="s">
        <v>1130</v>
      </c>
      <c r="D96" s="3546" t="s">
        <v>1487</v>
      </c>
      <c r="E96" s="3547"/>
      <c r="F96" s="3548"/>
      <c r="G96" s="3546" t="s">
        <v>1089</v>
      </c>
      <c r="H96" s="3547"/>
      <c r="I96" s="3548"/>
      <c r="J96" s="3549" t="s">
        <v>1132</v>
      </c>
      <c r="K96" s="3550"/>
      <c r="L96" s="3546" t="s">
        <v>789</v>
      </c>
      <c r="M96" s="3547"/>
      <c r="N96" s="3548"/>
      <c r="O96" s="3551" t="s">
        <v>1090</v>
      </c>
      <c r="P96" s="3544"/>
      <c r="Q96" s="3483"/>
      <c r="R96" s="3484"/>
      <c r="S96" s="3545" t="s">
        <v>1130</v>
      </c>
      <c r="T96" s="3546" t="s">
        <v>1487</v>
      </c>
      <c r="U96" s="3547"/>
      <c r="V96" s="3548"/>
      <c r="W96" s="3546" t="s">
        <v>1089</v>
      </c>
      <c r="X96" s="3547"/>
      <c r="Y96" s="3548"/>
      <c r="Z96" s="3549" t="s">
        <v>1132</v>
      </c>
      <c r="AA96" s="3550"/>
      <c r="AB96" s="3546" t="s">
        <v>789</v>
      </c>
      <c r="AC96" s="3547"/>
      <c r="AD96" s="3548"/>
      <c r="AE96" s="3551" t="s">
        <v>1090</v>
      </c>
      <c r="AF96" s="3544"/>
      <c r="AG96" s="3483"/>
      <c r="AH96" s="3484"/>
      <c r="AI96" s="3545" t="s">
        <v>1130</v>
      </c>
      <c r="AJ96" s="3546" t="s">
        <v>1487</v>
      </c>
      <c r="AK96" s="3547"/>
      <c r="AL96" s="3548"/>
      <c r="AM96" s="3546" t="s">
        <v>1089</v>
      </c>
      <c r="AN96" s="3547"/>
      <c r="AO96" s="3548"/>
      <c r="AP96" s="3549" t="s">
        <v>1132</v>
      </c>
      <c r="AQ96" s="3550"/>
      <c r="AR96" s="3546" t="s">
        <v>789</v>
      </c>
      <c r="AS96" s="3547"/>
      <c r="AT96" s="3548"/>
      <c r="AU96" s="3551" t="s">
        <v>1090</v>
      </c>
      <c r="AV96" s="3544"/>
      <c r="AW96" s="3483"/>
      <c r="AX96" s="3484"/>
      <c r="AY96" s="3545" t="s">
        <v>1130</v>
      </c>
      <c r="AZ96" s="3546" t="s">
        <v>1487</v>
      </c>
      <c r="BA96" s="3547"/>
      <c r="BB96" s="3548"/>
      <c r="BC96" s="3546" t="s">
        <v>1089</v>
      </c>
      <c r="BD96" s="3547"/>
      <c r="BE96" s="3548"/>
      <c r="BF96" s="3549" t="s">
        <v>1132</v>
      </c>
      <c r="BG96" s="3550"/>
      <c r="BH96" s="3546" t="s">
        <v>789</v>
      </c>
      <c r="BI96" s="3547"/>
      <c r="BJ96" s="3548"/>
      <c r="BK96" s="3551" t="s">
        <v>1090</v>
      </c>
      <c r="BL96" s="3544"/>
      <c r="BM96" s="3483"/>
      <c r="BN96" s="3484"/>
      <c r="BO96" s="3545" t="s">
        <v>1130</v>
      </c>
      <c r="BP96" s="3546" t="s">
        <v>1487</v>
      </c>
      <c r="BQ96" s="3547"/>
      <c r="BR96" s="3548"/>
      <c r="BS96" s="3546" t="s">
        <v>1089</v>
      </c>
      <c r="BT96" s="3547"/>
      <c r="BU96" s="3548"/>
      <c r="BV96" s="3549" t="s">
        <v>1132</v>
      </c>
      <c r="BW96" s="3550"/>
      <c r="BX96" s="3546" t="s">
        <v>789</v>
      </c>
      <c r="BY96" s="3547"/>
      <c r="BZ96" s="3548"/>
      <c r="CA96" s="3551" t="s">
        <v>1090</v>
      </c>
      <c r="CB96" s="2898"/>
      <c r="CC96" s="2898"/>
      <c r="CD96" s="2898"/>
      <c r="CE96" s="2898"/>
      <c r="CF96" s="2898"/>
      <c r="CG96" s="2898"/>
      <c r="CH96" s="2898"/>
      <c r="CI96" s="2898"/>
      <c r="CJ96" s="2898"/>
      <c r="CK96" s="2898"/>
      <c r="CL96" s="2898"/>
      <c r="CM96" s="2898"/>
      <c r="CN96" s="2898"/>
      <c r="CO96" s="2898"/>
      <c r="CP96" s="2898"/>
      <c r="CQ96" s="2898"/>
    </row>
    <row r="97" spans="1:79" ht="13.5" customHeight="1" thickBot="1">
      <c r="A97" s="3485" t="s">
        <v>1093</v>
      </c>
      <c r="B97" s="3486"/>
      <c r="C97" s="3489"/>
      <c r="D97" s="3487" t="s">
        <v>1058</v>
      </c>
      <c r="E97" s="3488" t="s">
        <v>1091</v>
      </c>
      <c r="F97" s="3489" t="s">
        <v>1092</v>
      </c>
      <c r="G97" s="3490" t="s">
        <v>1058</v>
      </c>
      <c r="H97" s="3491" t="s">
        <v>1091</v>
      </c>
      <c r="I97" s="3492" t="s">
        <v>1092</v>
      </c>
      <c r="J97" s="3487" t="s">
        <v>1091</v>
      </c>
      <c r="K97" s="3489" t="s">
        <v>1092</v>
      </c>
      <c r="L97" s="3487" t="s">
        <v>1058</v>
      </c>
      <c r="M97" s="3488" t="s">
        <v>1091</v>
      </c>
      <c r="N97" s="3489" t="s">
        <v>1092</v>
      </c>
      <c r="O97" s="3552"/>
      <c r="P97" s="3544"/>
      <c r="Q97" s="3485" t="s">
        <v>1093</v>
      </c>
      <c r="R97" s="3486"/>
      <c r="S97" s="3489"/>
      <c r="T97" s="3487" t="s">
        <v>1058</v>
      </c>
      <c r="U97" s="3488" t="s">
        <v>1091</v>
      </c>
      <c r="V97" s="3489" t="s">
        <v>1092</v>
      </c>
      <c r="W97" s="3490" t="s">
        <v>1058</v>
      </c>
      <c r="X97" s="3491" t="s">
        <v>1091</v>
      </c>
      <c r="Y97" s="3492" t="s">
        <v>1092</v>
      </c>
      <c r="Z97" s="3487" t="s">
        <v>1091</v>
      </c>
      <c r="AA97" s="3489" t="s">
        <v>1092</v>
      </c>
      <c r="AB97" s="3487" t="s">
        <v>1058</v>
      </c>
      <c r="AC97" s="3488" t="s">
        <v>1091</v>
      </c>
      <c r="AD97" s="3489" t="s">
        <v>1092</v>
      </c>
      <c r="AE97" s="3552"/>
      <c r="AF97" s="3544"/>
      <c r="AG97" s="3485" t="s">
        <v>1093</v>
      </c>
      <c r="AH97" s="3486"/>
      <c r="AI97" s="3489"/>
      <c r="AJ97" s="3487" t="s">
        <v>1058</v>
      </c>
      <c r="AK97" s="3488" t="s">
        <v>1091</v>
      </c>
      <c r="AL97" s="3489" t="s">
        <v>1092</v>
      </c>
      <c r="AM97" s="3490" t="s">
        <v>1058</v>
      </c>
      <c r="AN97" s="3491" t="s">
        <v>1091</v>
      </c>
      <c r="AO97" s="3492" t="s">
        <v>1092</v>
      </c>
      <c r="AP97" s="3487" t="s">
        <v>1091</v>
      </c>
      <c r="AQ97" s="3489" t="s">
        <v>1092</v>
      </c>
      <c r="AR97" s="3487" t="s">
        <v>1058</v>
      </c>
      <c r="AS97" s="3488" t="s">
        <v>1091</v>
      </c>
      <c r="AT97" s="3489" t="s">
        <v>1092</v>
      </c>
      <c r="AU97" s="3552"/>
      <c r="AV97" s="3544"/>
      <c r="AW97" s="3485" t="s">
        <v>1093</v>
      </c>
      <c r="AX97" s="3486"/>
      <c r="AY97" s="3489"/>
      <c r="AZ97" s="3487" t="s">
        <v>1058</v>
      </c>
      <c r="BA97" s="3488" t="s">
        <v>1091</v>
      </c>
      <c r="BB97" s="3489" t="s">
        <v>1092</v>
      </c>
      <c r="BC97" s="3490" t="s">
        <v>1058</v>
      </c>
      <c r="BD97" s="3491" t="s">
        <v>1091</v>
      </c>
      <c r="BE97" s="3492" t="s">
        <v>1092</v>
      </c>
      <c r="BF97" s="3487" t="s">
        <v>1091</v>
      </c>
      <c r="BG97" s="3489" t="s">
        <v>1092</v>
      </c>
      <c r="BH97" s="3487" t="s">
        <v>1058</v>
      </c>
      <c r="BI97" s="3488" t="s">
        <v>1091</v>
      </c>
      <c r="BJ97" s="3489" t="s">
        <v>1092</v>
      </c>
      <c r="BK97" s="3552"/>
      <c r="BL97" s="3544"/>
      <c r="BM97" s="3485" t="s">
        <v>1093</v>
      </c>
      <c r="BN97" s="3486"/>
      <c r="BO97" s="3489"/>
      <c r="BP97" s="3487" t="s">
        <v>1058</v>
      </c>
      <c r="BQ97" s="3488" t="s">
        <v>1091</v>
      </c>
      <c r="BR97" s="3489" t="s">
        <v>1092</v>
      </c>
      <c r="BS97" s="3490" t="s">
        <v>1058</v>
      </c>
      <c r="BT97" s="3491" t="s">
        <v>1091</v>
      </c>
      <c r="BU97" s="3492" t="s">
        <v>1092</v>
      </c>
      <c r="BV97" s="3487" t="s">
        <v>1091</v>
      </c>
      <c r="BW97" s="3489" t="s">
        <v>1092</v>
      </c>
      <c r="BX97" s="3487" t="s">
        <v>1058</v>
      </c>
      <c r="BY97" s="3488" t="s">
        <v>1091</v>
      </c>
      <c r="BZ97" s="3489" t="s">
        <v>1092</v>
      </c>
      <c r="CA97" s="3552"/>
    </row>
    <row r="98" spans="1:79" ht="13.5" customHeight="1" thickTop="1">
      <c r="A98" s="3553" t="s">
        <v>1094</v>
      </c>
      <c r="B98" s="3493"/>
      <c r="C98" s="3494">
        <v>1</v>
      </c>
      <c r="D98" s="3495">
        <v>-8.0706950941195749E-4</v>
      </c>
      <c r="E98" s="3496">
        <v>1.4600734063081202</v>
      </c>
      <c r="F98" s="3496">
        <v>13.784193254212461</v>
      </c>
      <c r="G98" s="3497">
        <v>1.5439409172571325E-2</v>
      </c>
      <c r="H98" s="3498">
        <v>0.9524948657462069</v>
      </c>
      <c r="I98" s="3499">
        <v>2.481710037535966</v>
      </c>
      <c r="J98" s="3500">
        <v>0.60629984260761693</v>
      </c>
      <c r="K98" s="3501">
        <v>2.3896225621368212</v>
      </c>
      <c r="L98" s="3495">
        <v>2.3198970770542614E-3</v>
      </c>
      <c r="M98" s="3496">
        <v>0.48384547610935585</v>
      </c>
      <c r="N98" s="3501">
        <v>0.22490384914603043</v>
      </c>
      <c r="O98" s="3502">
        <v>1.2958926338523511</v>
      </c>
      <c r="P98" s="3544"/>
      <c r="Q98" s="3553" t="s">
        <v>1094</v>
      </c>
      <c r="R98" s="3493"/>
      <c r="S98" s="3494">
        <v>1</v>
      </c>
      <c r="T98" s="3495">
        <v>-8.0706950941195749E-4</v>
      </c>
      <c r="U98" s="3496">
        <v>1.4600734063081202</v>
      </c>
      <c r="V98" s="3496">
        <v>13.784193254212461</v>
      </c>
      <c r="W98" s="3497">
        <v>1.5439409172571325E-2</v>
      </c>
      <c r="X98" s="3498">
        <v>0.9524948657462069</v>
      </c>
      <c r="Y98" s="3499">
        <v>2.481710037535966</v>
      </c>
      <c r="Z98" s="3500">
        <v>0.60629984260761693</v>
      </c>
      <c r="AA98" s="3501">
        <v>2.3896225621368212</v>
      </c>
      <c r="AB98" s="3495">
        <v>2.3198970770542614E-3</v>
      </c>
      <c r="AC98" s="3496">
        <v>0.48384547610935585</v>
      </c>
      <c r="AD98" s="3501">
        <v>0.22490384914603043</v>
      </c>
      <c r="AE98" s="3502">
        <v>1.2958926338523511</v>
      </c>
      <c r="AF98" s="3544"/>
      <c r="AG98" s="3553" t="s">
        <v>1094</v>
      </c>
      <c r="AH98" s="3493"/>
      <c r="AI98" s="3494">
        <v>1</v>
      </c>
      <c r="AJ98" s="3495">
        <v>-1.5334320678827191E-3</v>
      </c>
      <c r="AK98" s="3496">
        <v>2.7741394719854284</v>
      </c>
      <c r="AL98" s="3496">
        <v>26.189967183003674</v>
      </c>
      <c r="AM98" s="3497">
        <v>2.9334877427885514E-2</v>
      </c>
      <c r="AN98" s="3498">
        <v>1.8097402449177931</v>
      </c>
      <c r="AO98" s="3499">
        <v>4.7152490713183353</v>
      </c>
      <c r="AP98" s="3500">
        <v>1.151969700954472</v>
      </c>
      <c r="AQ98" s="3501">
        <v>4.5402828680599603</v>
      </c>
      <c r="AR98" s="3495">
        <v>4.4078044464030963E-3</v>
      </c>
      <c r="AS98" s="3496">
        <v>0.91930640460777613</v>
      </c>
      <c r="AT98" s="3501">
        <v>0.42731731337745776</v>
      </c>
      <c r="AU98" s="3502">
        <v>2.4621960043194671</v>
      </c>
      <c r="AV98" s="3544"/>
      <c r="AW98" s="3553" t="s">
        <v>1094</v>
      </c>
      <c r="AX98" s="3493"/>
      <c r="AY98" s="3494">
        <v>1</v>
      </c>
      <c r="AZ98" s="3495">
        <v>-2.3405015772946765E-3</v>
      </c>
      <c r="BA98" s="3496">
        <v>4.2342128782935484</v>
      </c>
      <c r="BB98" s="3496">
        <v>39.974160437216135</v>
      </c>
      <c r="BC98" s="3497">
        <v>4.477428660045684E-2</v>
      </c>
      <c r="BD98" s="3498">
        <v>2.7622351106639997</v>
      </c>
      <c r="BE98" s="3499">
        <v>7.1969591088543012</v>
      </c>
      <c r="BF98" s="3500">
        <v>1.758269543562089</v>
      </c>
      <c r="BG98" s="3501">
        <v>6.9299054301967811</v>
      </c>
      <c r="BH98" s="3495">
        <v>6.7277015234573582E-3</v>
      </c>
      <c r="BI98" s="3496">
        <v>1.4031518807171319</v>
      </c>
      <c r="BJ98" s="3501">
        <v>0.65222116252348816</v>
      </c>
      <c r="BK98" s="3502">
        <v>3.7580886381718179</v>
      </c>
      <c r="BL98" s="3544"/>
      <c r="BM98" s="3553" t="s">
        <v>1094</v>
      </c>
      <c r="BN98" s="3493"/>
      <c r="BO98" s="3494">
        <v>1</v>
      </c>
      <c r="BP98" s="3495">
        <v>-2.0176737735298936E-3</v>
      </c>
      <c r="BQ98" s="3496">
        <v>3.6501835157703004</v>
      </c>
      <c r="BR98" s="3496">
        <v>34.460483135531149</v>
      </c>
      <c r="BS98" s="3497">
        <v>3.8598522931428313E-2</v>
      </c>
      <c r="BT98" s="3498">
        <v>2.3812371643655172</v>
      </c>
      <c r="BU98" s="3499">
        <v>6.2042750938399145</v>
      </c>
      <c r="BV98" s="3500">
        <v>1.5157496065190423</v>
      </c>
      <c r="BW98" s="3501">
        <v>5.9740564053420533</v>
      </c>
      <c r="BX98" s="3495">
        <v>5.7997426926356538E-3</v>
      </c>
      <c r="BY98" s="3496">
        <v>1.2096136902733896</v>
      </c>
      <c r="BZ98" s="3501">
        <v>0.56225962286507603</v>
      </c>
      <c r="CA98" s="3502">
        <v>3.2397315846308778</v>
      </c>
    </row>
    <row r="99" spans="1:79" ht="13.5" customHeight="1">
      <c r="A99" s="3553"/>
      <c r="B99" s="3493"/>
      <c r="C99" s="3494">
        <v>2</v>
      </c>
      <c r="D99" s="3495">
        <v>1.1208292519664528E-2</v>
      </c>
      <c r="E99" s="3496">
        <v>4.5063254020010755</v>
      </c>
      <c r="F99" s="3496">
        <v>31.819757869949946</v>
      </c>
      <c r="G99" s="3503">
        <v>3.9758339272971156E-2</v>
      </c>
      <c r="H99" s="3504">
        <v>3.3835326519742401</v>
      </c>
      <c r="I99" s="3501">
        <v>9.6610081288072127</v>
      </c>
      <c r="J99" s="3500">
        <v>1.9902746216763731</v>
      </c>
      <c r="K99" s="3501">
        <v>9.3690771693349273</v>
      </c>
      <c r="L99" s="3495">
        <v>1.6483891741525689E-2</v>
      </c>
      <c r="M99" s="3496">
        <v>1.3784376687679039</v>
      </c>
      <c r="N99" s="3501">
        <v>1.7331214301268052</v>
      </c>
      <c r="O99" s="3502">
        <v>3.5609553519305317</v>
      </c>
      <c r="P99" s="3544"/>
      <c r="Q99" s="3553"/>
      <c r="R99" s="3493"/>
      <c r="S99" s="3494">
        <v>2</v>
      </c>
      <c r="T99" s="3495">
        <v>1.1208292519664528E-2</v>
      </c>
      <c r="U99" s="3496">
        <v>4.5063254020010755</v>
      </c>
      <c r="V99" s="3496">
        <v>31.819757869949946</v>
      </c>
      <c r="W99" s="3503">
        <v>3.9758339272971156E-2</v>
      </c>
      <c r="X99" s="3504">
        <v>3.3835326519742401</v>
      </c>
      <c r="Y99" s="3501">
        <v>9.6610081288072127</v>
      </c>
      <c r="Z99" s="3500">
        <v>1.9902746216763731</v>
      </c>
      <c r="AA99" s="3501">
        <v>9.3690771693349273</v>
      </c>
      <c r="AB99" s="3495">
        <v>1.6483891741525689E-2</v>
      </c>
      <c r="AC99" s="3496">
        <v>1.3784376687679039</v>
      </c>
      <c r="AD99" s="3501">
        <v>1.7331214301268052</v>
      </c>
      <c r="AE99" s="3502">
        <v>3.5609553519305317</v>
      </c>
      <c r="AF99" s="3544"/>
      <c r="AG99" s="3553"/>
      <c r="AH99" s="3493"/>
      <c r="AI99" s="3494">
        <v>2</v>
      </c>
      <c r="AJ99" s="3495">
        <v>2.1295755787362602E-2</v>
      </c>
      <c r="AK99" s="3496">
        <v>8.5620182638020434</v>
      </c>
      <c r="AL99" s="3496">
        <v>60.457539952904895</v>
      </c>
      <c r="AM99" s="3503">
        <v>7.5540844618645187E-2</v>
      </c>
      <c r="AN99" s="3504">
        <v>6.4287120387510557</v>
      </c>
      <c r="AO99" s="3501">
        <v>18.355915444733704</v>
      </c>
      <c r="AP99" s="3500">
        <v>3.7815217811851087</v>
      </c>
      <c r="AQ99" s="3501">
        <v>17.801246621736361</v>
      </c>
      <c r="AR99" s="3495">
        <v>3.131939430889881E-2</v>
      </c>
      <c r="AS99" s="3496">
        <v>2.619031570659017</v>
      </c>
      <c r="AT99" s="3501">
        <v>3.2929307172409299</v>
      </c>
      <c r="AU99" s="3502">
        <v>6.7658151686680101</v>
      </c>
      <c r="AV99" s="3544"/>
      <c r="AW99" s="3553"/>
      <c r="AX99" s="3493"/>
      <c r="AY99" s="3494">
        <v>2</v>
      </c>
      <c r="AZ99" s="3495">
        <v>3.2504048307027134E-2</v>
      </c>
      <c r="BA99" s="3496">
        <v>13.068343665803118</v>
      </c>
      <c r="BB99" s="3496">
        <v>92.277297822854834</v>
      </c>
      <c r="BC99" s="3503">
        <v>0.11529918389161635</v>
      </c>
      <c r="BD99" s="3504">
        <v>9.8122446907252954</v>
      </c>
      <c r="BE99" s="3501">
        <v>28.016923573540915</v>
      </c>
      <c r="BF99" s="3500">
        <v>5.7717964028614821</v>
      </c>
      <c r="BG99" s="3501">
        <v>27.17032379107129</v>
      </c>
      <c r="BH99" s="3495">
        <v>4.7803286050424498E-2</v>
      </c>
      <c r="BI99" s="3496">
        <v>3.9974692394269211</v>
      </c>
      <c r="BJ99" s="3501">
        <v>5.0260521473677349</v>
      </c>
      <c r="BK99" s="3502">
        <v>10.326770520598542</v>
      </c>
      <c r="BL99" s="3544"/>
      <c r="BM99" s="3553"/>
      <c r="BN99" s="3493"/>
      <c r="BO99" s="3494">
        <v>2</v>
      </c>
      <c r="BP99" s="3495">
        <v>2.8020731299161321E-2</v>
      </c>
      <c r="BQ99" s="3496">
        <v>11.265813505002688</v>
      </c>
      <c r="BR99" s="3496">
        <v>79.549394674874861</v>
      </c>
      <c r="BS99" s="3503">
        <v>9.9395848182427887E-2</v>
      </c>
      <c r="BT99" s="3504">
        <v>8.4588316299356006</v>
      </c>
      <c r="BU99" s="3501">
        <v>24.152520322018031</v>
      </c>
      <c r="BV99" s="3500">
        <v>4.9756865541909328</v>
      </c>
      <c r="BW99" s="3501">
        <v>23.422692923337319</v>
      </c>
      <c r="BX99" s="3495">
        <v>4.1209729353814221E-2</v>
      </c>
      <c r="BY99" s="3496">
        <v>3.4460941719197598</v>
      </c>
      <c r="BZ99" s="3501">
        <v>4.3328035753170129</v>
      </c>
      <c r="CA99" s="3502">
        <v>8.9023883798263288</v>
      </c>
    </row>
    <row r="100" spans="1:79" ht="13.5" customHeight="1">
      <c r="A100" s="3553"/>
      <c r="B100" s="3493"/>
      <c r="C100" s="3494">
        <v>3</v>
      </c>
      <c r="D100" s="3495">
        <v>2.1410752551925718</v>
      </c>
      <c r="E100" s="3496">
        <v>23.450180750428192</v>
      </c>
      <c r="F100" s="3496">
        <v>53.167558383882813</v>
      </c>
      <c r="G100" s="3503">
        <v>2.4993949597678058</v>
      </c>
      <c r="H100" s="3504">
        <v>27.316923506336199</v>
      </c>
      <c r="I100" s="3501">
        <v>22.465183869602484</v>
      </c>
      <c r="J100" s="3500">
        <v>12.90119563288569</v>
      </c>
      <c r="K100" s="3501">
        <v>20.320263183476296</v>
      </c>
      <c r="L100" s="3495">
        <v>4.2576962121478417</v>
      </c>
      <c r="M100" s="3496">
        <v>3.780167933925112</v>
      </c>
      <c r="N100" s="3501">
        <v>7.4693335392079208</v>
      </c>
      <c r="O100" s="3502">
        <v>10.621771983857775</v>
      </c>
      <c r="P100" s="3544"/>
      <c r="Q100" s="3553"/>
      <c r="R100" s="3493"/>
      <c r="S100" s="3494">
        <v>3</v>
      </c>
      <c r="T100" s="3495">
        <v>2.1410752551925718</v>
      </c>
      <c r="U100" s="3496">
        <v>23.450180750428192</v>
      </c>
      <c r="V100" s="3496">
        <v>53.167558383882813</v>
      </c>
      <c r="W100" s="3503">
        <v>2.4993949597678058</v>
      </c>
      <c r="X100" s="3504">
        <v>27.316923506336199</v>
      </c>
      <c r="Y100" s="3501">
        <v>22.465183869602484</v>
      </c>
      <c r="Z100" s="3500">
        <v>12.90119563288569</v>
      </c>
      <c r="AA100" s="3501">
        <v>20.320263183476296</v>
      </c>
      <c r="AB100" s="3495">
        <v>4.2576962121478417</v>
      </c>
      <c r="AC100" s="3496">
        <v>3.780167933925112</v>
      </c>
      <c r="AD100" s="3501">
        <v>7.4693335392079208</v>
      </c>
      <c r="AE100" s="3502">
        <v>10.621771983857775</v>
      </c>
      <c r="AF100" s="3544"/>
      <c r="AG100" s="3553"/>
      <c r="AH100" s="3493"/>
      <c r="AI100" s="3494">
        <v>3</v>
      </c>
      <c r="AJ100" s="3495">
        <v>4.0680429848658859</v>
      </c>
      <c r="AK100" s="3496">
        <v>44.555343425813561</v>
      </c>
      <c r="AL100" s="3496">
        <v>101.01836092937734</v>
      </c>
      <c r="AM100" s="3503">
        <v>4.7488504235588307</v>
      </c>
      <c r="AN100" s="3504">
        <v>51.902154662038775</v>
      </c>
      <c r="AO100" s="3501">
        <v>42.683849352244721</v>
      </c>
      <c r="AP100" s="3500">
        <v>24.51227170248281</v>
      </c>
      <c r="AQ100" s="3501">
        <v>38.608500048604959</v>
      </c>
      <c r="AR100" s="3495">
        <v>8.0896228030808981</v>
      </c>
      <c r="AS100" s="3496">
        <v>7.1823190744577126</v>
      </c>
      <c r="AT100" s="3501">
        <v>14.191733724495048</v>
      </c>
      <c r="AU100" s="3502">
        <v>20.18136676932977</v>
      </c>
      <c r="AV100" s="3544"/>
      <c r="AW100" s="3553"/>
      <c r="AX100" s="3493"/>
      <c r="AY100" s="3494">
        <v>3</v>
      </c>
      <c r="AZ100" s="3495">
        <v>6.2091182400584577</v>
      </c>
      <c r="BA100" s="3496">
        <v>68.00552417624175</v>
      </c>
      <c r="BB100" s="3496">
        <v>154.18591931326014</v>
      </c>
      <c r="BC100" s="3503">
        <v>7.2482453833266369</v>
      </c>
      <c r="BD100" s="3504">
        <v>79.219078168374978</v>
      </c>
      <c r="BE100" s="3501">
        <v>65.149033221847205</v>
      </c>
      <c r="BF100" s="3500">
        <v>37.413467335368502</v>
      </c>
      <c r="BG100" s="3501">
        <v>58.928763232081259</v>
      </c>
      <c r="BH100" s="3495">
        <v>12.34731901522874</v>
      </c>
      <c r="BI100" s="3496">
        <v>10.962487008382825</v>
      </c>
      <c r="BJ100" s="3501">
        <v>21.661067263702968</v>
      </c>
      <c r="BK100" s="3502">
        <v>30.803138753187547</v>
      </c>
      <c r="BL100" s="3544"/>
      <c r="BM100" s="3553"/>
      <c r="BN100" s="3493"/>
      <c r="BO100" s="3494">
        <v>3</v>
      </c>
      <c r="BP100" s="3495">
        <v>5.3526881379814295</v>
      </c>
      <c r="BQ100" s="3496">
        <v>58.625451876070478</v>
      </c>
      <c r="BR100" s="3496">
        <v>132.91889595970704</v>
      </c>
      <c r="BS100" s="3503">
        <v>6.2484873994195143</v>
      </c>
      <c r="BT100" s="3504">
        <v>68.292308765840502</v>
      </c>
      <c r="BU100" s="3501">
        <v>56.16295967400621</v>
      </c>
      <c r="BV100" s="3500">
        <v>32.252989082214228</v>
      </c>
      <c r="BW100" s="3501">
        <v>50.800657958690742</v>
      </c>
      <c r="BX100" s="3495">
        <v>10.644240530369604</v>
      </c>
      <c r="BY100" s="3496">
        <v>9.4504198348127808</v>
      </c>
      <c r="BZ100" s="3501">
        <v>18.673333848019801</v>
      </c>
      <c r="CA100" s="3502">
        <v>26.554429959644438</v>
      </c>
    </row>
    <row r="101" spans="1:79" ht="13.5" customHeight="1">
      <c r="A101" s="3553"/>
      <c r="B101" s="3493"/>
      <c r="C101" s="3494">
        <v>4</v>
      </c>
      <c r="D101" s="3495">
        <v>18.974186537714715</v>
      </c>
      <c r="E101" s="3496">
        <v>102.17494692790365</v>
      </c>
      <c r="F101" s="3496">
        <v>129.57385754213624</v>
      </c>
      <c r="G101" s="3503">
        <v>23.402922526451906</v>
      </c>
      <c r="H101" s="3504">
        <v>95.443796098422396</v>
      </c>
      <c r="I101" s="3501">
        <v>94.776365436876929</v>
      </c>
      <c r="J101" s="3500">
        <v>43.184249365667995</v>
      </c>
      <c r="K101" s="3501">
        <v>78.134886054032648</v>
      </c>
      <c r="L101" s="3495">
        <v>21.820620665408732</v>
      </c>
      <c r="M101" s="3496">
        <v>43.749310325694296</v>
      </c>
      <c r="N101" s="3501">
        <v>26.421920584916357</v>
      </c>
      <c r="O101" s="3502">
        <v>54.467998494236596</v>
      </c>
      <c r="P101" s="3544"/>
      <c r="Q101" s="3553"/>
      <c r="R101" s="3493"/>
      <c r="S101" s="3494">
        <v>4</v>
      </c>
      <c r="T101" s="3495">
        <v>18.974186537714715</v>
      </c>
      <c r="U101" s="3496">
        <v>102.17494692790365</v>
      </c>
      <c r="V101" s="3496">
        <v>129.57385754213624</v>
      </c>
      <c r="W101" s="3503">
        <v>23.402922526451906</v>
      </c>
      <c r="X101" s="3504">
        <v>95.443796098422396</v>
      </c>
      <c r="Y101" s="3501">
        <v>94.776365436876929</v>
      </c>
      <c r="Z101" s="3500">
        <v>43.184249365667995</v>
      </c>
      <c r="AA101" s="3501">
        <v>78.134886054032648</v>
      </c>
      <c r="AB101" s="3495">
        <v>21.820620665408732</v>
      </c>
      <c r="AC101" s="3496">
        <v>43.749310325694296</v>
      </c>
      <c r="AD101" s="3501">
        <v>26.421920584916357</v>
      </c>
      <c r="AE101" s="3502">
        <v>54.467998494236596</v>
      </c>
      <c r="AF101" s="3544"/>
      <c r="AG101" s="3553"/>
      <c r="AH101" s="3493"/>
      <c r="AI101" s="3494">
        <v>4</v>
      </c>
      <c r="AJ101" s="3495">
        <v>36.050954421657956</v>
      </c>
      <c r="AK101" s="3496">
        <v>194.13239916301691</v>
      </c>
      <c r="AL101" s="3496">
        <v>246.19032933005883</v>
      </c>
      <c r="AM101" s="3503">
        <v>44.465552800258621</v>
      </c>
      <c r="AN101" s="3504">
        <v>181.34321258700254</v>
      </c>
      <c r="AO101" s="3501">
        <v>180.07509433006615</v>
      </c>
      <c r="AP101" s="3500">
        <v>82.05007379476919</v>
      </c>
      <c r="AQ101" s="3501">
        <v>148.45628350266202</v>
      </c>
      <c r="AR101" s="3495">
        <v>41.459179264276592</v>
      </c>
      <c r="AS101" s="3496">
        <v>83.123689618819157</v>
      </c>
      <c r="AT101" s="3501">
        <v>50.201649111341077</v>
      </c>
      <c r="AU101" s="3502">
        <v>103.48919713904952</v>
      </c>
      <c r="AV101" s="3544"/>
      <c r="AW101" s="3553"/>
      <c r="AX101" s="3493"/>
      <c r="AY101" s="3494">
        <v>4</v>
      </c>
      <c r="AZ101" s="3495">
        <v>55.025140959372671</v>
      </c>
      <c r="BA101" s="3496">
        <v>296.30734609092059</v>
      </c>
      <c r="BB101" s="3496">
        <v>375.76418687219507</v>
      </c>
      <c r="BC101" s="3503">
        <v>67.868475326710524</v>
      </c>
      <c r="BD101" s="3504">
        <v>276.78700868542495</v>
      </c>
      <c r="BE101" s="3501">
        <v>274.85145976694309</v>
      </c>
      <c r="BF101" s="3500">
        <v>125.23432316043719</v>
      </c>
      <c r="BG101" s="3501">
        <v>226.59116955669467</v>
      </c>
      <c r="BH101" s="3495">
        <v>63.279799929685325</v>
      </c>
      <c r="BI101" s="3496">
        <v>126.87299994451345</v>
      </c>
      <c r="BJ101" s="3501">
        <v>76.623569696257434</v>
      </c>
      <c r="BK101" s="3502">
        <v>157.95719563328612</v>
      </c>
      <c r="BL101" s="3544"/>
      <c r="BM101" s="3553"/>
      <c r="BN101" s="3493"/>
      <c r="BO101" s="3494">
        <v>4</v>
      </c>
      <c r="BP101" s="3495">
        <v>47.435466344286787</v>
      </c>
      <c r="BQ101" s="3496">
        <v>255.43736731975912</v>
      </c>
      <c r="BR101" s="3496">
        <v>323.9346438553406</v>
      </c>
      <c r="BS101" s="3503">
        <v>58.507306316129764</v>
      </c>
      <c r="BT101" s="3504">
        <v>238.609490246056</v>
      </c>
      <c r="BU101" s="3501">
        <v>236.94091359219232</v>
      </c>
      <c r="BV101" s="3500">
        <v>107.96062341416999</v>
      </c>
      <c r="BW101" s="3501">
        <v>195.33721513508164</v>
      </c>
      <c r="BX101" s="3495">
        <v>54.551551663521835</v>
      </c>
      <c r="BY101" s="3496">
        <v>109.37327581423574</v>
      </c>
      <c r="BZ101" s="3501">
        <v>66.054801462290897</v>
      </c>
      <c r="CA101" s="3502">
        <v>136.1699962355915</v>
      </c>
    </row>
    <row r="102" spans="1:79" ht="13.5" customHeight="1">
      <c r="A102" s="3553"/>
      <c r="B102" s="3493"/>
      <c r="C102" s="3505">
        <v>5</v>
      </c>
      <c r="D102" s="3495" t="e">
        <v>#N/A</v>
      </c>
      <c r="E102" s="3496">
        <v>376.21975109129158</v>
      </c>
      <c r="F102" s="3496">
        <v>288.97365356489428</v>
      </c>
      <c r="G102" s="3506">
        <v>76.739778012110477</v>
      </c>
      <c r="H102" s="3507">
        <v>286.06816731108074</v>
      </c>
      <c r="I102" s="3508">
        <v>360.49927364927629</v>
      </c>
      <c r="J102" s="3509">
        <v>98.678478873597982</v>
      </c>
      <c r="K102" s="3508">
        <v>278.89899097767204</v>
      </c>
      <c r="L102" s="3510">
        <v>91.941667799192274</v>
      </c>
      <c r="M102" s="3511">
        <v>150.16021446070812</v>
      </c>
      <c r="N102" s="3508">
        <v>225.32481206285564</v>
      </c>
      <c r="O102" s="3502">
        <v>250.13130826561732</v>
      </c>
      <c r="P102" s="3544"/>
      <c r="Q102" s="3553"/>
      <c r="R102" s="3493"/>
      <c r="S102" s="3505">
        <v>5</v>
      </c>
      <c r="T102" s="3495" t="e">
        <v>#N/A</v>
      </c>
      <c r="U102" s="3496">
        <v>376.21975109129158</v>
      </c>
      <c r="V102" s="3496">
        <v>288.97365356489428</v>
      </c>
      <c r="W102" s="3506">
        <v>76.739778012110477</v>
      </c>
      <c r="X102" s="3507">
        <v>286.06816731108074</v>
      </c>
      <c r="Y102" s="3508">
        <v>360.49927364927629</v>
      </c>
      <c r="Z102" s="3509">
        <v>98.678478873597982</v>
      </c>
      <c r="AA102" s="3508">
        <v>278.89899097767204</v>
      </c>
      <c r="AB102" s="3510">
        <v>91.941667799192274</v>
      </c>
      <c r="AC102" s="3511">
        <v>150.16021446070812</v>
      </c>
      <c r="AD102" s="3508">
        <v>225.32481206285564</v>
      </c>
      <c r="AE102" s="3502">
        <v>250.13130826561732</v>
      </c>
      <c r="AF102" s="3544"/>
      <c r="AG102" s="3553"/>
      <c r="AH102" s="3493"/>
      <c r="AI102" s="3505">
        <v>5</v>
      </c>
      <c r="AJ102" s="3495" t="e">
        <v>#N/A</v>
      </c>
      <c r="AK102" s="3496">
        <v>714.81752707345402</v>
      </c>
      <c r="AL102" s="3496">
        <v>549.04994177329911</v>
      </c>
      <c r="AM102" s="3506">
        <v>145.80557822300989</v>
      </c>
      <c r="AN102" s="3507">
        <v>543.52951789105339</v>
      </c>
      <c r="AO102" s="3508">
        <v>684.94861993362497</v>
      </c>
      <c r="AP102" s="3509">
        <v>187.48910985983616</v>
      </c>
      <c r="AQ102" s="3508">
        <v>529.9080828575768</v>
      </c>
      <c r="AR102" s="3510">
        <v>174.6891688184653</v>
      </c>
      <c r="AS102" s="3511">
        <v>285.30440747534539</v>
      </c>
      <c r="AT102" s="3508">
        <v>428.1171429194257</v>
      </c>
      <c r="AU102" s="3502">
        <v>475.24948570467291</v>
      </c>
      <c r="AV102" s="3544"/>
      <c r="AW102" s="3553"/>
      <c r="AX102" s="3493"/>
      <c r="AY102" s="3505">
        <v>5</v>
      </c>
      <c r="AZ102" s="3495" t="e">
        <v>#N/A</v>
      </c>
      <c r="BA102" s="3496">
        <v>1091.0372781647457</v>
      </c>
      <c r="BB102" s="3496">
        <v>838.02359533819333</v>
      </c>
      <c r="BC102" s="3506">
        <v>222.54535623512038</v>
      </c>
      <c r="BD102" s="3507">
        <v>829.59768520213413</v>
      </c>
      <c r="BE102" s="3508">
        <v>1045.4478935829013</v>
      </c>
      <c r="BF102" s="3509">
        <v>286.16758873343412</v>
      </c>
      <c r="BG102" s="3508">
        <v>808.80707383524884</v>
      </c>
      <c r="BH102" s="3510">
        <v>266.63083661765756</v>
      </c>
      <c r="BI102" s="3511">
        <v>435.4646219360535</v>
      </c>
      <c r="BJ102" s="3508">
        <v>653.44195498228135</v>
      </c>
      <c r="BK102" s="3502">
        <v>725.38079397029026</v>
      </c>
      <c r="BL102" s="3544"/>
      <c r="BM102" s="3553"/>
      <c r="BN102" s="3493"/>
      <c r="BO102" s="3505">
        <v>5</v>
      </c>
      <c r="BP102" s="3495" t="e">
        <v>#N/A</v>
      </c>
      <c r="BQ102" s="3496">
        <v>940.54937772822893</v>
      </c>
      <c r="BR102" s="3496">
        <v>722.43413391223567</v>
      </c>
      <c r="BS102" s="3506">
        <v>191.8494450302762</v>
      </c>
      <c r="BT102" s="3507">
        <v>715.17041827770186</v>
      </c>
      <c r="BU102" s="3508">
        <v>901.24818412319075</v>
      </c>
      <c r="BV102" s="3509">
        <v>246.69619718399497</v>
      </c>
      <c r="BW102" s="3508">
        <v>697.24747744418005</v>
      </c>
      <c r="BX102" s="3510">
        <v>229.85416949798068</v>
      </c>
      <c r="BY102" s="3511">
        <v>375.40053615177032</v>
      </c>
      <c r="BZ102" s="3508">
        <v>563.31203015713913</v>
      </c>
      <c r="CA102" s="3502">
        <v>625.32827066404332</v>
      </c>
    </row>
    <row r="103" spans="1:79" ht="13.5" customHeight="1">
      <c r="A103" s="3553"/>
      <c r="B103" s="3493"/>
      <c r="C103" s="3512" t="s">
        <v>1422</v>
      </c>
      <c r="D103" s="3513">
        <v>1.5995475549833313</v>
      </c>
      <c r="E103" s="3514">
        <v>143.88611522560487</v>
      </c>
      <c r="F103" s="3515">
        <v>74.885903182504606</v>
      </c>
      <c r="G103" s="3513">
        <v>6.3924695497249564</v>
      </c>
      <c r="H103" s="3514">
        <v>57.52764969338012</v>
      </c>
      <c r="I103" s="3515">
        <v>42.918923660835176</v>
      </c>
      <c r="J103" s="3516">
        <v>23.325410037063712</v>
      </c>
      <c r="K103" s="3517">
        <v>15.188005256960663</v>
      </c>
      <c r="L103" s="3518">
        <v>5.3726156598730741</v>
      </c>
      <c r="M103" s="3519">
        <v>4.2255870298432994</v>
      </c>
      <c r="N103" s="3517">
        <v>5.8944540162750423</v>
      </c>
      <c r="O103" s="3520">
        <v>20.945081273032169</v>
      </c>
      <c r="P103" s="3544"/>
      <c r="Q103" s="3553"/>
      <c r="R103" s="3493"/>
      <c r="S103" s="3512" t="s">
        <v>1422</v>
      </c>
      <c r="T103" s="3513">
        <v>1.5995475549833313</v>
      </c>
      <c r="U103" s="3514">
        <v>143.88611522560487</v>
      </c>
      <c r="V103" s="3515">
        <v>74.885903182504606</v>
      </c>
      <c r="W103" s="3513">
        <v>6.3924695497249564</v>
      </c>
      <c r="X103" s="3514">
        <v>57.52764969338012</v>
      </c>
      <c r="Y103" s="3515">
        <v>42.918923660835176</v>
      </c>
      <c r="Z103" s="3516">
        <v>23.325410037063712</v>
      </c>
      <c r="AA103" s="3517">
        <v>15.188005256960663</v>
      </c>
      <c r="AB103" s="3518">
        <v>5.3726156598730741</v>
      </c>
      <c r="AC103" s="3519">
        <v>4.2255870298432994</v>
      </c>
      <c r="AD103" s="3517">
        <v>5.8944540162750423</v>
      </c>
      <c r="AE103" s="3520">
        <v>20.945081273032169</v>
      </c>
      <c r="AF103" s="3544"/>
      <c r="AG103" s="3553"/>
      <c r="AH103" s="3493"/>
      <c r="AI103" s="3512" t="s">
        <v>1422</v>
      </c>
      <c r="AJ103" s="3513">
        <v>3.0391403544683295</v>
      </c>
      <c r="AK103" s="3514">
        <v>273.38361892864924</v>
      </c>
      <c r="AL103" s="3515">
        <v>142.28321604675875</v>
      </c>
      <c r="AM103" s="3513">
        <v>12.145692144477417</v>
      </c>
      <c r="AN103" s="3514">
        <v>109.30253441742222</v>
      </c>
      <c r="AO103" s="3515">
        <v>81.545954955586836</v>
      </c>
      <c r="AP103" s="3516">
        <v>44.318279070421049</v>
      </c>
      <c r="AQ103" s="3517">
        <v>28.857209988225257</v>
      </c>
      <c r="AR103" s="3518">
        <v>10.207969753758841</v>
      </c>
      <c r="AS103" s="3519">
        <v>8.028615356702268</v>
      </c>
      <c r="AT103" s="3517">
        <v>11.19946263092258</v>
      </c>
      <c r="AU103" s="3520">
        <v>39.795654418761117</v>
      </c>
      <c r="AV103" s="3544"/>
      <c r="AW103" s="3553"/>
      <c r="AX103" s="3493"/>
      <c r="AY103" s="3512" t="s">
        <v>1422</v>
      </c>
      <c r="AZ103" s="3513">
        <v>4.6386879094516607</v>
      </c>
      <c r="BA103" s="3514">
        <v>417.26973415425408</v>
      </c>
      <c r="BB103" s="3515">
        <v>217.16911922926334</v>
      </c>
      <c r="BC103" s="3513">
        <v>18.538161694202373</v>
      </c>
      <c r="BD103" s="3514">
        <v>166.83018411080235</v>
      </c>
      <c r="BE103" s="3515">
        <v>124.46487861642201</v>
      </c>
      <c r="BF103" s="3516">
        <v>67.643689107484761</v>
      </c>
      <c r="BG103" s="3517">
        <v>44.045215245185922</v>
      </c>
      <c r="BH103" s="3518">
        <v>15.580585413631914</v>
      </c>
      <c r="BI103" s="3519">
        <v>12.254202386545568</v>
      </c>
      <c r="BJ103" s="3517">
        <v>17.093916647197624</v>
      </c>
      <c r="BK103" s="3520">
        <v>60.74073569179329</v>
      </c>
      <c r="BL103" s="3544"/>
      <c r="BM103" s="3553"/>
      <c r="BN103" s="3493"/>
      <c r="BO103" s="3512" t="s">
        <v>1422</v>
      </c>
      <c r="BP103" s="3513">
        <v>3.9988688874583285</v>
      </c>
      <c r="BQ103" s="3514">
        <v>359.71528806401216</v>
      </c>
      <c r="BR103" s="3515">
        <v>187.21475795626151</v>
      </c>
      <c r="BS103" s="3513">
        <v>15.981173874312391</v>
      </c>
      <c r="BT103" s="3514">
        <v>143.81912423345031</v>
      </c>
      <c r="BU103" s="3515">
        <v>107.29730915208793</v>
      </c>
      <c r="BV103" s="3516">
        <v>58.313525092659276</v>
      </c>
      <c r="BW103" s="3517">
        <v>37.970013142401655</v>
      </c>
      <c r="BX103" s="3518">
        <v>13.431539149682685</v>
      </c>
      <c r="BY103" s="3519">
        <v>10.563967574608249</v>
      </c>
      <c r="BZ103" s="3517">
        <v>14.736135040687605</v>
      </c>
      <c r="CA103" s="3520">
        <v>52.362703182580425</v>
      </c>
    </row>
    <row r="104" spans="1:79" ht="13.5" customHeight="1">
      <c r="A104" s="3521" t="s">
        <v>1095</v>
      </c>
      <c r="B104" s="3522"/>
      <c r="C104" s="3523" t="s">
        <v>1096</v>
      </c>
      <c r="D104" s="3524">
        <v>0</v>
      </c>
      <c r="E104" s="3525">
        <v>0.14776151467574114</v>
      </c>
      <c r="F104" s="3526">
        <v>0.14776151467574114</v>
      </c>
      <c r="G104" s="3524">
        <v>0</v>
      </c>
      <c r="H104" s="3525">
        <v>0.14776151467574114</v>
      </c>
      <c r="I104" s="3526">
        <v>0.14776151467574114</v>
      </c>
      <c r="J104" s="3527">
        <v>0.14776151467574114</v>
      </c>
      <c r="K104" s="3526">
        <v>0.14776151467574114</v>
      </c>
      <c r="L104" s="3527">
        <v>0</v>
      </c>
      <c r="M104" s="3528">
        <v>0.14776151467574114</v>
      </c>
      <c r="N104" s="3526">
        <v>0.14776151467574114</v>
      </c>
      <c r="O104" s="3529">
        <v>0.12033901496090796</v>
      </c>
      <c r="P104" s="3544"/>
      <c r="Q104" s="3521" t="s">
        <v>1095</v>
      </c>
      <c r="R104" s="3522"/>
      <c r="S104" s="3523" t="s">
        <v>1096</v>
      </c>
      <c r="T104" s="3524">
        <v>0</v>
      </c>
      <c r="U104" s="3525">
        <v>0.14776151467574114</v>
      </c>
      <c r="V104" s="3526">
        <v>0.14776151467574114</v>
      </c>
      <c r="W104" s="3524">
        <v>0</v>
      </c>
      <c r="X104" s="3525">
        <v>0.14776151467574114</v>
      </c>
      <c r="Y104" s="3526">
        <v>0.14776151467574114</v>
      </c>
      <c r="Z104" s="3527">
        <v>0.14776151467574114</v>
      </c>
      <c r="AA104" s="3526">
        <v>0.14776151467574114</v>
      </c>
      <c r="AB104" s="3527">
        <v>0</v>
      </c>
      <c r="AC104" s="3528">
        <v>0.14776151467574114</v>
      </c>
      <c r="AD104" s="3526">
        <v>0.14776151467574114</v>
      </c>
      <c r="AE104" s="3529">
        <v>0.12166735404891194</v>
      </c>
      <c r="AF104" s="3544"/>
      <c r="AG104" s="3521" t="s">
        <v>1095</v>
      </c>
      <c r="AH104" s="3522"/>
      <c r="AI104" s="3523" t="s">
        <v>1096</v>
      </c>
      <c r="AJ104" s="3524">
        <v>1.3298536320816703</v>
      </c>
      <c r="AK104" s="3525">
        <v>7.0925527044355734</v>
      </c>
      <c r="AL104" s="3526">
        <v>29.700064449823966</v>
      </c>
      <c r="AM104" s="3524">
        <v>1.3298536320816703</v>
      </c>
      <c r="AN104" s="3525">
        <v>5.3194145283266812</v>
      </c>
      <c r="AO104" s="3526">
        <v>29.700064449823966</v>
      </c>
      <c r="AP104" s="3527">
        <v>5.1716530136509391</v>
      </c>
      <c r="AQ104" s="3526">
        <v>29.700064449823966</v>
      </c>
      <c r="AR104" s="3527">
        <v>1.3298536320816703</v>
      </c>
      <c r="AS104" s="3528">
        <v>4.4328454402722341</v>
      </c>
      <c r="AT104" s="3526">
        <v>29.700064449823966</v>
      </c>
      <c r="AU104" s="3529">
        <v>8.9660213395063479</v>
      </c>
      <c r="AV104" s="3544"/>
      <c r="AW104" s="3521" t="s">
        <v>1095</v>
      </c>
      <c r="AX104" s="3522"/>
      <c r="AY104" s="3523" t="s">
        <v>1096</v>
      </c>
      <c r="AZ104" s="3524">
        <v>5.3194145283266812</v>
      </c>
      <c r="BA104" s="3525">
        <v>24.823934465524513</v>
      </c>
      <c r="BB104" s="3526">
        <v>122.34653415151364</v>
      </c>
      <c r="BC104" s="3524">
        <v>5.3194145283266812</v>
      </c>
      <c r="BD104" s="3525">
        <v>18.765712363819123</v>
      </c>
      <c r="BE104" s="3526">
        <v>122.34653415151364</v>
      </c>
      <c r="BF104" s="3527">
        <v>18.470189334467641</v>
      </c>
      <c r="BG104" s="3526">
        <v>122.34653415151364</v>
      </c>
      <c r="BH104" s="3527">
        <v>5.3194145283266812</v>
      </c>
      <c r="BI104" s="3528">
        <v>16.106005099655782</v>
      </c>
      <c r="BJ104" s="3526">
        <v>122.34653415151364</v>
      </c>
      <c r="BK104" s="3529">
        <v>13.608570611281188</v>
      </c>
      <c r="BL104" s="3544"/>
      <c r="BM104" s="3521" t="s">
        <v>1095</v>
      </c>
      <c r="BN104" s="3522"/>
      <c r="BO104" s="3523" t="s">
        <v>1096</v>
      </c>
      <c r="BP104" s="3524">
        <v>0</v>
      </c>
      <c r="BQ104" s="3525">
        <v>0</v>
      </c>
      <c r="BR104" s="3526">
        <v>0</v>
      </c>
      <c r="BS104" s="3524">
        <v>0</v>
      </c>
      <c r="BT104" s="3525">
        <v>0</v>
      </c>
      <c r="BU104" s="3526">
        <v>0</v>
      </c>
      <c r="BV104" s="3527">
        <v>0</v>
      </c>
      <c r="BW104" s="3526">
        <v>0</v>
      </c>
      <c r="BX104" s="3527">
        <v>0</v>
      </c>
      <c r="BY104" s="3528">
        <v>0</v>
      </c>
      <c r="BZ104" s="3526">
        <v>0</v>
      </c>
      <c r="CA104" s="3529">
        <v>0</v>
      </c>
    </row>
    <row r="105" spans="1:79" ht="13.5" customHeight="1">
      <c r="A105" s="3521" t="s">
        <v>477</v>
      </c>
      <c r="B105" s="3522"/>
      <c r="C105" s="3530" t="s">
        <v>1096</v>
      </c>
      <c r="D105" s="3531">
        <v>0</v>
      </c>
      <c r="E105" s="3532">
        <v>5.7226891885597153</v>
      </c>
      <c r="F105" s="3533">
        <v>5.7226891885597153</v>
      </c>
      <c r="G105" s="3531">
        <v>0</v>
      </c>
      <c r="H105" s="3532">
        <v>5.7226891885597153</v>
      </c>
      <c r="I105" s="3534">
        <v>5.7226891885597153</v>
      </c>
      <c r="J105" s="3535">
        <v>5.7226891885597153</v>
      </c>
      <c r="K105" s="3533">
        <v>5.7226891885597153</v>
      </c>
      <c r="L105" s="3535">
        <v>0</v>
      </c>
      <c r="M105" s="3536">
        <v>1.3352941439972668</v>
      </c>
      <c r="N105" s="3533">
        <v>1.3352941439972668</v>
      </c>
      <c r="O105" s="3502">
        <v>3.0422618773597963</v>
      </c>
      <c r="P105" s="3544"/>
      <c r="Q105" s="3521" t="s">
        <v>477</v>
      </c>
      <c r="R105" s="3522"/>
      <c r="S105" s="3530" t="s">
        <v>1096</v>
      </c>
      <c r="T105" s="3531">
        <v>0</v>
      </c>
      <c r="U105" s="3532">
        <v>5.7226891885597153</v>
      </c>
      <c r="V105" s="3533">
        <v>5.7226891885597153</v>
      </c>
      <c r="W105" s="3531">
        <v>0</v>
      </c>
      <c r="X105" s="3532">
        <v>5.7226891885597153</v>
      </c>
      <c r="Y105" s="3534">
        <v>5.7226891885597153</v>
      </c>
      <c r="Z105" s="3535">
        <v>5.7226891885597153</v>
      </c>
      <c r="AA105" s="3533">
        <v>5.7226891885597153</v>
      </c>
      <c r="AB105" s="3535">
        <v>0</v>
      </c>
      <c r="AC105" s="3536">
        <v>1.3352941439972668</v>
      </c>
      <c r="AD105" s="3533">
        <v>1.3352941439972668</v>
      </c>
      <c r="AE105" s="3502">
        <v>2.9655964067674274</v>
      </c>
      <c r="AF105" s="3544"/>
      <c r="AG105" s="3521" t="s">
        <v>477</v>
      </c>
      <c r="AH105" s="3522"/>
      <c r="AI105" s="3530" t="s">
        <v>1096</v>
      </c>
      <c r="AJ105" s="3531">
        <v>0.57226891885597153</v>
      </c>
      <c r="AK105" s="3532">
        <v>6.1042018011303627</v>
      </c>
      <c r="AL105" s="3533">
        <v>6.1042018011303627</v>
      </c>
      <c r="AM105" s="3531">
        <v>0.57226891885597153</v>
      </c>
      <c r="AN105" s="3532">
        <v>6.1042018011303627</v>
      </c>
      <c r="AO105" s="3534">
        <v>6.1042018011303627</v>
      </c>
      <c r="AP105" s="3535">
        <v>6.1042018011303627</v>
      </c>
      <c r="AQ105" s="3533">
        <v>6.1042018011303627</v>
      </c>
      <c r="AR105" s="3535">
        <v>0.57226891885597153</v>
      </c>
      <c r="AS105" s="3536">
        <v>6.485714413701011</v>
      </c>
      <c r="AT105" s="3533">
        <v>6.485714413701011</v>
      </c>
      <c r="AU105" s="3502">
        <v>4.5805447159060764</v>
      </c>
      <c r="AV105" s="3544"/>
      <c r="AW105" s="3521" t="s">
        <v>477</v>
      </c>
      <c r="AX105" s="3522"/>
      <c r="AY105" s="3530" t="s">
        <v>1096</v>
      </c>
      <c r="AZ105" s="3531">
        <v>0.57226891885597153</v>
      </c>
      <c r="BA105" s="3532">
        <v>6.1042018011303627</v>
      </c>
      <c r="BB105" s="3533">
        <v>6.1042018011303627</v>
      </c>
      <c r="BC105" s="3531">
        <v>0.57226891885597153</v>
      </c>
      <c r="BD105" s="3532">
        <v>6.1042018011303627</v>
      </c>
      <c r="BE105" s="3534">
        <v>6.1042018011303627</v>
      </c>
      <c r="BF105" s="3535">
        <v>6.1042018011303627</v>
      </c>
      <c r="BG105" s="3533">
        <v>6.1042018011303627</v>
      </c>
      <c r="BH105" s="3535">
        <v>0.57226891885597153</v>
      </c>
      <c r="BI105" s="3536">
        <v>6.485714413701011</v>
      </c>
      <c r="BJ105" s="3533">
        <v>6.485714413701011</v>
      </c>
      <c r="BK105" s="3502">
        <v>3.1639159918185005</v>
      </c>
      <c r="BL105" s="3544"/>
      <c r="BM105" s="3521" t="s">
        <v>477</v>
      </c>
      <c r="BN105" s="3522"/>
      <c r="BO105" s="3530" t="s">
        <v>1096</v>
      </c>
      <c r="BP105" s="3531">
        <v>0</v>
      </c>
      <c r="BQ105" s="3532">
        <v>0</v>
      </c>
      <c r="BR105" s="3533">
        <v>0</v>
      </c>
      <c r="BS105" s="3531">
        <v>0</v>
      </c>
      <c r="BT105" s="3532">
        <v>0</v>
      </c>
      <c r="BU105" s="3534">
        <v>0</v>
      </c>
      <c r="BV105" s="3535">
        <v>0</v>
      </c>
      <c r="BW105" s="3533">
        <v>0</v>
      </c>
      <c r="BX105" s="3535">
        <v>0</v>
      </c>
      <c r="BY105" s="3536">
        <v>0</v>
      </c>
      <c r="BZ105" s="3533">
        <v>0</v>
      </c>
      <c r="CA105" s="3502">
        <v>0</v>
      </c>
    </row>
    <row r="106" spans="1:79" ht="13.5" customHeight="1">
      <c r="A106" s="3521" t="s">
        <v>1097</v>
      </c>
      <c r="B106" s="3522"/>
      <c r="C106" s="3530" t="s">
        <v>1096</v>
      </c>
      <c r="D106" s="3535">
        <v>0.40400030298270206</v>
      </c>
      <c r="E106" s="3532">
        <v>0.44355350821551398</v>
      </c>
      <c r="F106" s="3537">
        <v>0.56291816249985482</v>
      </c>
      <c r="G106" s="3531">
        <v>0.1691819041158153</v>
      </c>
      <c r="H106" s="3532">
        <v>0.15219420691227015</v>
      </c>
      <c r="I106" s="3537">
        <v>0.16372134163602386</v>
      </c>
      <c r="J106" s="3531">
        <v>0.10806959531358284</v>
      </c>
      <c r="K106" s="3537">
        <v>0.11563715101856691</v>
      </c>
      <c r="L106" s="3531">
        <v>5.1133181593534388E-2</v>
      </c>
      <c r="M106" s="3538">
        <v>4.2132608592964881E-2</v>
      </c>
      <c r="N106" s="3534">
        <v>3.7571759986381216E-2</v>
      </c>
      <c r="O106" s="3539">
        <v>0.10943365810031398</v>
      </c>
      <c r="P106" s="3544"/>
      <c r="Q106" s="3521" t="s">
        <v>1097</v>
      </c>
      <c r="R106" s="3522"/>
      <c r="S106" s="3530" t="s">
        <v>1096</v>
      </c>
      <c r="T106" s="3535">
        <v>0.6159221979122067</v>
      </c>
      <c r="U106" s="3532">
        <v>0.65628438483501561</v>
      </c>
      <c r="V106" s="3537">
        <v>0.81682705678600021</v>
      </c>
      <c r="W106" s="3531">
        <v>0.2595816479993498</v>
      </c>
      <c r="X106" s="3532">
        <v>0.2197369771747946</v>
      </c>
      <c r="Y106" s="3537">
        <v>0.2333097577484094</v>
      </c>
      <c r="Z106" s="3531">
        <v>0.15914698430903795</v>
      </c>
      <c r="AA106" s="3537">
        <v>0.16566879257184614</v>
      </c>
      <c r="AB106" s="3531">
        <v>7.9047841298650362E-2</v>
      </c>
      <c r="AC106" s="3538">
        <v>6.7426821739898585E-2</v>
      </c>
      <c r="AD106" s="3534">
        <v>5.2182067964903704E-2</v>
      </c>
      <c r="AE106" s="3539">
        <v>0.16073210001739671</v>
      </c>
      <c r="AF106" s="3544"/>
      <c r="AG106" s="3521" t="s">
        <v>1097</v>
      </c>
      <c r="AH106" s="3522"/>
      <c r="AI106" s="3530" t="s">
        <v>1096</v>
      </c>
      <c r="AJ106" s="3535">
        <v>1.3264980234447081</v>
      </c>
      <c r="AK106" s="3532">
        <v>2.25970341326616</v>
      </c>
      <c r="AL106" s="3537">
        <v>2.7873644595643321</v>
      </c>
      <c r="AM106" s="3531">
        <v>0.60060898821339237</v>
      </c>
      <c r="AN106" s="3532">
        <v>0.72618245628056133</v>
      </c>
      <c r="AO106" s="3537">
        <v>0.84097702174670175</v>
      </c>
      <c r="AP106" s="3531">
        <v>0.49767730767174906</v>
      </c>
      <c r="AQ106" s="3537">
        <v>0.58925050406836399</v>
      </c>
      <c r="AR106" s="3531">
        <v>0.17545191488758016</v>
      </c>
      <c r="AS106" s="3538">
        <v>0.16759343603144319</v>
      </c>
      <c r="AT106" s="3534">
        <v>0.14333499669508984</v>
      </c>
      <c r="AU106" s="3539">
        <v>0.41414611037001586</v>
      </c>
      <c r="AV106" s="3544"/>
      <c r="AW106" s="3521" t="s">
        <v>1097</v>
      </c>
      <c r="AX106" s="3522"/>
      <c r="AY106" s="3530" t="s">
        <v>1096</v>
      </c>
      <c r="AZ106" s="3535">
        <v>2.304173732047885</v>
      </c>
      <c r="BA106" s="3532">
        <v>3.8965705743388184</v>
      </c>
      <c r="BB106" s="3537">
        <v>5.4767336195155147</v>
      </c>
      <c r="BC106" s="3531">
        <v>1.0178251657432207</v>
      </c>
      <c r="BD106" s="3532">
        <v>1.2233152453045724</v>
      </c>
      <c r="BE106" s="3537">
        <v>1.5885702005792772</v>
      </c>
      <c r="BF106" s="3531">
        <v>0.92436983658180671</v>
      </c>
      <c r="BG106" s="3537">
        <v>1.1344619048840816</v>
      </c>
      <c r="BH106" s="3531">
        <v>0.30520462946238269</v>
      </c>
      <c r="BI106" s="3538">
        <v>0.29633670404320189</v>
      </c>
      <c r="BJ106" s="3534">
        <v>0.25688379024724028</v>
      </c>
      <c r="BK106" s="3539">
        <v>0.53791255595814635</v>
      </c>
      <c r="BL106" s="3544"/>
      <c r="BM106" s="3521" t="s">
        <v>1097</v>
      </c>
      <c r="BN106" s="3522"/>
      <c r="BO106" s="3530" t="s">
        <v>1096</v>
      </c>
      <c r="BP106" s="3535">
        <v>2.0533771169897448</v>
      </c>
      <c r="BQ106" s="3532">
        <v>3.9269535149823964</v>
      </c>
      <c r="BR106" s="3537">
        <v>4.4814004756082335</v>
      </c>
      <c r="BS106" s="3531">
        <v>1.0037523750434776</v>
      </c>
      <c r="BT106" s="3532">
        <v>1.3478525947823226</v>
      </c>
      <c r="BU106" s="3537">
        <v>1.5140159339640267</v>
      </c>
      <c r="BV106" s="3531">
        <v>0.73952379364865117</v>
      </c>
      <c r="BW106" s="3537">
        <v>0.95864259091795012</v>
      </c>
      <c r="BX106" s="3531">
        <v>0.27281040465777739</v>
      </c>
      <c r="BY106" s="3538">
        <v>0.22488455019562414</v>
      </c>
      <c r="BZ106" s="3534">
        <v>0.20301593862731557</v>
      </c>
      <c r="CA106" s="3539">
        <v>1.1761325740073798</v>
      </c>
    </row>
    <row r="107" spans="1:79" ht="13.5" customHeight="1">
      <c r="A107" s="3521" t="s">
        <v>1074</v>
      </c>
      <c r="B107" s="3522"/>
      <c r="C107" s="3530" t="s">
        <v>1096</v>
      </c>
      <c r="D107" s="3531">
        <v>0.38151261257064767</v>
      </c>
      <c r="E107" s="3532">
        <v>0.38151261257064767</v>
      </c>
      <c r="F107" s="3534">
        <v>0.38151261257064767</v>
      </c>
      <c r="G107" s="3531">
        <v>0.38151261257064767</v>
      </c>
      <c r="H107" s="3532">
        <v>0.38151261257064767</v>
      </c>
      <c r="I107" s="3534">
        <v>0.38151261257064767</v>
      </c>
      <c r="J107" s="3531">
        <v>0.38151261257064767</v>
      </c>
      <c r="K107" s="3534">
        <v>0.38151261257064767</v>
      </c>
      <c r="L107" s="3531">
        <v>0</v>
      </c>
      <c r="M107" s="3532">
        <v>0</v>
      </c>
      <c r="N107" s="3534">
        <v>0.19075630628532383</v>
      </c>
      <c r="O107" s="3540">
        <v>0.2137996752302132</v>
      </c>
      <c r="P107" s="3544"/>
      <c r="Q107" s="3521" t="s">
        <v>1074</v>
      </c>
      <c r="R107" s="3522"/>
      <c r="S107" s="3530" t="s">
        <v>1096</v>
      </c>
      <c r="T107" s="3531">
        <v>0.38151261257064767</v>
      </c>
      <c r="U107" s="3532">
        <v>0.38151261257064767</v>
      </c>
      <c r="V107" s="3534">
        <v>0.38151261257064767</v>
      </c>
      <c r="W107" s="3531">
        <v>0.38151261257064767</v>
      </c>
      <c r="X107" s="3532">
        <v>0.38151261257064767</v>
      </c>
      <c r="Y107" s="3534">
        <v>0.38151261257064767</v>
      </c>
      <c r="Z107" s="3531">
        <v>0.38151261257064767</v>
      </c>
      <c r="AA107" s="3534">
        <v>0.38151261257064767</v>
      </c>
      <c r="AB107" s="3531">
        <v>0</v>
      </c>
      <c r="AC107" s="3532">
        <v>0</v>
      </c>
      <c r="AD107" s="3534">
        <v>0.19075630628532383</v>
      </c>
      <c r="AE107" s="3540">
        <v>0.21490320376970154</v>
      </c>
      <c r="AF107" s="3544"/>
      <c r="AG107" s="3521" t="s">
        <v>1074</v>
      </c>
      <c r="AH107" s="3522"/>
      <c r="AI107" s="3530" t="s">
        <v>1096</v>
      </c>
      <c r="AJ107" s="3531">
        <v>9.3470590079808691</v>
      </c>
      <c r="AK107" s="3532">
        <v>11.25462207083411</v>
      </c>
      <c r="AL107" s="3534">
        <v>13.54369774625799</v>
      </c>
      <c r="AM107" s="3531">
        <v>9.7285716205515147</v>
      </c>
      <c r="AN107" s="3532">
        <v>9.5378153142661919</v>
      </c>
      <c r="AO107" s="3534">
        <v>9.5378153142661919</v>
      </c>
      <c r="AP107" s="3531">
        <v>8.3932774765542497</v>
      </c>
      <c r="AQ107" s="3534">
        <v>8.3932774765542497</v>
      </c>
      <c r="AR107" s="3531">
        <v>1.7168067565679144</v>
      </c>
      <c r="AS107" s="3532">
        <v>1.7168067565679144</v>
      </c>
      <c r="AT107" s="3534">
        <v>2.0983193691385624</v>
      </c>
      <c r="AU107" s="3540">
        <v>4.6194309732960859</v>
      </c>
      <c r="AV107" s="3544"/>
      <c r="AW107" s="3521" t="s">
        <v>1074</v>
      </c>
      <c r="AX107" s="3522"/>
      <c r="AY107" s="3530" t="s">
        <v>1096</v>
      </c>
      <c r="AZ107" s="3531">
        <v>18.503361709676412</v>
      </c>
      <c r="BA107" s="3532">
        <v>22.318487835382886</v>
      </c>
      <c r="BB107" s="3534">
        <v>27.087395492515981</v>
      </c>
      <c r="BC107" s="3531">
        <v>19.266386934817707</v>
      </c>
      <c r="BD107" s="3532">
        <v>19.075630628532384</v>
      </c>
      <c r="BE107" s="3534">
        <v>19.075630628532384</v>
      </c>
      <c r="BF107" s="3531">
        <v>16.59579864682317</v>
      </c>
      <c r="BG107" s="3534">
        <v>16.786554953108499</v>
      </c>
      <c r="BH107" s="3531">
        <v>3.4336135131358287</v>
      </c>
      <c r="BI107" s="3532">
        <v>3.4336135131358287</v>
      </c>
      <c r="BJ107" s="3534">
        <v>4.3873950445624477</v>
      </c>
      <c r="BK107" s="3540">
        <v>7.5962247092059432</v>
      </c>
      <c r="BL107" s="3544"/>
      <c r="BM107" s="3521" t="s">
        <v>1074</v>
      </c>
      <c r="BN107" s="3522"/>
      <c r="BO107" s="3530" t="s">
        <v>1096</v>
      </c>
      <c r="BP107" s="3531">
        <v>0</v>
      </c>
      <c r="BQ107" s="3532">
        <v>0</v>
      </c>
      <c r="BR107" s="3534">
        <v>0</v>
      </c>
      <c r="BS107" s="3531">
        <v>0</v>
      </c>
      <c r="BT107" s="3532">
        <v>0</v>
      </c>
      <c r="BU107" s="3534">
        <v>0</v>
      </c>
      <c r="BV107" s="3531">
        <v>0</v>
      </c>
      <c r="BW107" s="3534">
        <v>0</v>
      </c>
      <c r="BX107" s="3531">
        <v>0</v>
      </c>
      <c r="BY107" s="3532">
        <v>0</v>
      </c>
      <c r="BZ107" s="3534">
        <v>0</v>
      </c>
      <c r="CA107" s="3540">
        <v>0</v>
      </c>
    </row>
    <row r="108" spans="1:79" ht="13.5" customHeight="1">
      <c r="A108" s="3521" t="s">
        <v>397</v>
      </c>
      <c r="B108" s="3522"/>
      <c r="C108" s="3530" t="s">
        <v>1096</v>
      </c>
      <c r="D108" s="3531">
        <v>0.59882684472124892</v>
      </c>
      <c r="E108" s="3532">
        <v>0.68649058152339393</v>
      </c>
      <c r="F108" s="3537">
        <v>0.8456902389677371</v>
      </c>
      <c r="G108" s="3531">
        <v>0.57851589667495706</v>
      </c>
      <c r="H108" s="3532">
        <v>0.60501331265569724</v>
      </c>
      <c r="I108" s="3537">
        <v>0.66577308145949332</v>
      </c>
      <c r="J108" s="3531">
        <v>0.55876494471555793</v>
      </c>
      <c r="K108" s="3537">
        <v>0.62514758189611552</v>
      </c>
      <c r="L108" s="3531">
        <v>0.58932655232110642</v>
      </c>
      <c r="M108" s="3532">
        <v>0.5468124579486412</v>
      </c>
      <c r="N108" s="3537">
        <v>0.53993452899252525</v>
      </c>
      <c r="O108" s="3539">
        <v>0.58933011950421355</v>
      </c>
      <c r="P108" s="3544"/>
      <c r="Q108" s="3521" t="s">
        <v>397</v>
      </c>
      <c r="R108" s="3522"/>
      <c r="S108" s="3530" t="s">
        <v>1096</v>
      </c>
      <c r="T108" s="3531">
        <v>1.1573893423946744</v>
      </c>
      <c r="U108" s="3532">
        <v>1.0684164167574257</v>
      </c>
      <c r="V108" s="3537">
        <v>1.3584833751148833</v>
      </c>
      <c r="W108" s="3531">
        <v>1.0914300773146786</v>
      </c>
      <c r="X108" s="3532">
        <v>0.93270522025642799</v>
      </c>
      <c r="Y108" s="3537">
        <v>0.9975210228031427</v>
      </c>
      <c r="Z108" s="3531">
        <v>0.8781209233565056</v>
      </c>
      <c r="AA108" s="3537">
        <v>0.92495283826855113</v>
      </c>
      <c r="AB108" s="3531">
        <v>1.1301773068777667</v>
      </c>
      <c r="AC108" s="3532">
        <v>1.0012388728206865</v>
      </c>
      <c r="AD108" s="3537">
        <v>0.88775010317841752</v>
      </c>
      <c r="AE108" s="3539">
        <v>0.9869319326352094</v>
      </c>
      <c r="AF108" s="3544"/>
      <c r="AG108" s="3521" t="s">
        <v>397</v>
      </c>
      <c r="AH108" s="3522"/>
      <c r="AI108" s="3530" t="s">
        <v>1096</v>
      </c>
      <c r="AJ108" s="3531">
        <v>4.2550611854995095</v>
      </c>
      <c r="AK108" s="3532">
        <v>5.2291247550295648</v>
      </c>
      <c r="AL108" s="3537">
        <v>6.2720753498896764</v>
      </c>
      <c r="AM108" s="3531">
        <v>4.1891425045707305</v>
      </c>
      <c r="AN108" s="3532">
        <v>4.4753667122368039</v>
      </c>
      <c r="AO108" s="3537">
        <v>5.086079818126052</v>
      </c>
      <c r="AP108" s="3531">
        <v>4.1132399495868617</v>
      </c>
      <c r="AQ108" s="3537">
        <v>4.7169583672818423</v>
      </c>
      <c r="AR108" s="3531">
        <v>4.2333592711792862</v>
      </c>
      <c r="AS108" s="3532">
        <v>3.9807774617350731</v>
      </c>
      <c r="AT108" s="3537">
        <v>3.9189325741774415</v>
      </c>
      <c r="AU108" s="3539">
        <v>4.2378087609858026</v>
      </c>
      <c r="AV108" s="3544"/>
      <c r="AW108" s="3521" t="s">
        <v>397</v>
      </c>
      <c r="AX108" s="3522"/>
      <c r="AY108" s="3530" t="s">
        <v>1096</v>
      </c>
      <c r="AZ108" s="3531">
        <v>5.4337271359797397</v>
      </c>
      <c r="BA108" s="3532">
        <v>7.3691899137463448</v>
      </c>
      <c r="BB108" s="3537">
        <v>9.1950400386321345</v>
      </c>
      <c r="BC108" s="3531">
        <v>5.3991591507668479</v>
      </c>
      <c r="BD108" s="3532">
        <v>6.0108892513467609</v>
      </c>
      <c r="BE108" s="3537">
        <v>7.4255071992039205</v>
      </c>
      <c r="BF108" s="3531">
        <v>5.7710975376143097</v>
      </c>
      <c r="BG108" s="3537">
        <v>6.9212698839312816</v>
      </c>
      <c r="BH108" s="3531">
        <v>5.4177498264908035</v>
      </c>
      <c r="BI108" s="3532">
        <v>5.2429230733617578</v>
      </c>
      <c r="BJ108" s="3537">
        <v>5.2407946838360937</v>
      </c>
      <c r="BK108" s="3539">
        <v>5.4518604766793102</v>
      </c>
      <c r="BL108" s="3544"/>
      <c r="BM108" s="3521" t="s">
        <v>397</v>
      </c>
      <c r="BN108" s="3522"/>
      <c r="BO108" s="3530" t="s">
        <v>1096</v>
      </c>
      <c r="BP108" s="3531">
        <v>4.327278987198568</v>
      </c>
      <c r="BQ108" s="3532">
        <v>3.6866542346485542</v>
      </c>
      <c r="BR108" s="3537">
        <v>4.5049785869081393</v>
      </c>
      <c r="BS108" s="3531">
        <v>4.3184152442449424</v>
      </c>
      <c r="BT108" s="3532">
        <v>4.5688373487981462</v>
      </c>
      <c r="BU108" s="3537">
        <v>5.2042304583176451</v>
      </c>
      <c r="BV108" s="3531">
        <v>3.7818906911151453</v>
      </c>
      <c r="BW108" s="3537">
        <v>4.6036182371832153</v>
      </c>
      <c r="BX108" s="3531">
        <v>4.3199702004399079</v>
      </c>
      <c r="BY108" s="3532">
        <v>3.4706658067844987</v>
      </c>
      <c r="BZ108" s="3537">
        <v>3.5668923069428664</v>
      </c>
      <c r="CA108" s="3539">
        <v>4.1386640183714354</v>
      </c>
    </row>
    <row r="109" spans="1:79" ht="13.5" customHeight="1">
      <c r="A109" s="3521" t="s">
        <v>1098</v>
      </c>
      <c r="B109" s="3493"/>
      <c r="C109" s="3530" t="s">
        <v>1096</v>
      </c>
      <c r="D109" s="3495">
        <v>-2.3063954091245984</v>
      </c>
      <c r="E109" s="3496">
        <v>-2.6857768296730056</v>
      </c>
      <c r="F109" s="3496">
        <v>-3.3747434924604969</v>
      </c>
      <c r="G109" s="3503">
        <v>-2.2184959354815974</v>
      </c>
      <c r="H109" s="3504">
        <v>-2.3331685205474586</v>
      </c>
      <c r="I109" s="3501">
        <v>-2.596117925191284</v>
      </c>
      <c r="J109" s="3500">
        <v>-2.1330199509424936</v>
      </c>
      <c r="K109" s="3501">
        <v>-2.4203033832030858</v>
      </c>
      <c r="L109" s="3495">
        <v>-2.2652810948383393</v>
      </c>
      <c r="M109" s="3496">
        <v>-2.0812933011995876</v>
      </c>
      <c r="N109" s="3501">
        <v>-2.0515277612740923</v>
      </c>
      <c r="O109" s="3502">
        <v>-2.2652965324986973</v>
      </c>
      <c r="P109" s="3544"/>
      <c r="Q109" s="3521" t="s">
        <v>1098</v>
      </c>
      <c r="R109" s="3493"/>
      <c r="S109" s="3530" t="s">
        <v>1096</v>
      </c>
      <c r="T109" s="3495">
        <v>-4.9368057467332598</v>
      </c>
      <c r="U109" s="3496">
        <v>-4.556068196043606</v>
      </c>
      <c r="V109" s="3496">
        <v>-5.7973377448419479</v>
      </c>
      <c r="W109" s="3503">
        <v>-4.6545494440211739</v>
      </c>
      <c r="X109" s="3504">
        <v>-3.975325816416603</v>
      </c>
      <c r="Y109" s="3501">
        <v>-4.2526889550441247</v>
      </c>
      <c r="Z109" s="3500">
        <v>-3.741745866572932</v>
      </c>
      <c r="AA109" s="3501">
        <v>-3.942151421970939</v>
      </c>
      <c r="AB109" s="3495">
        <v>-4.8203585952230501</v>
      </c>
      <c r="AC109" s="3496">
        <v>-4.2685985713613661</v>
      </c>
      <c r="AD109" s="3501">
        <v>-3.7829515514965948</v>
      </c>
      <c r="AE109" s="3502">
        <v>-4.2073755720605375</v>
      </c>
      <c r="AF109" s="3544"/>
      <c r="AG109" s="3521" t="s">
        <v>1098</v>
      </c>
      <c r="AH109" s="3493"/>
      <c r="AI109" s="3530" t="s">
        <v>1096</v>
      </c>
      <c r="AJ109" s="3495">
        <v>-18.175033535408453</v>
      </c>
      <c r="AK109" s="3496">
        <v>-22.335640697100814</v>
      </c>
      <c r="AL109" s="3496">
        <v>-26.790491335196037</v>
      </c>
      <c r="AM109" s="3503">
        <v>-17.893469020996001</v>
      </c>
      <c r="AN109" s="3504">
        <v>-19.116044759907709</v>
      </c>
      <c r="AO109" s="3501">
        <v>-21.724639723918205</v>
      </c>
      <c r="AP109" s="3500">
        <v>-17.569259468626651</v>
      </c>
      <c r="AQ109" s="3501">
        <v>-20.147977378710454</v>
      </c>
      <c r="AR109" s="3495">
        <v>-18.082336156132975</v>
      </c>
      <c r="AS109" s="3496">
        <v>-17.003460281744388</v>
      </c>
      <c r="AT109" s="3501">
        <v>-16.739296535008144</v>
      </c>
      <c r="AU109" s="3502">
        <v>-18.101341670489496</v>
      </c>
      <c r="AV109" s="3544"/>
      <c r="AW109" s="3521" t="s">
        <v>1098</v>
      </c>
      <c r="AX109" s="3493"/>
      <c r="AY109" s="3530" t="s">
        <v>1096</v>
      </c>
      <c r="AZ109" s="3495">
        <v>-23.209577633158592</v>
      </c>
      <c r="BA109" s="3496">
        <v>-31.476697507326357</v>
      </c>
      <c r="BB109" s="3496">
        <v>-39.27561879276336</v>
      </c>
      <c r="BC109" s="3503">
        <v>-23.061924223934572</v>
      </c>
      <c r="BD109" s="3504">
        <v>-25.674863170746338</v>
      </c>
      <c r="BE109" s="3501">
        <v>-31.717250699675926</v>
      </c>
      <c r="BF109" s="3500">
        <v>-24.650618806540155</v>
      </c>
      <c r="BG109" s="3501">
        <v>-29.563455556584767</v>
      </c>
      <c r="BH109" s="3495">
        <v>-23.141332284124221</v>
      </c>
      <c r="BI109" s="3496">
        <v>-22.394578721135449</v>
      </c>
      <c r="BJ109" s="3501">
        <v>-22.385487535528728</v>
      </c>
      <c r="BK109" s="3502">
        <v>-23.287032236266722</v>
      </c>
      <c r="BL109" s="3544"/>
      <c r="BM109" s="3521" t="s">
        <v>1098</v>
      </c>
      <c r="BN109" s="3493"/>
      <c r="BO109" s="3530" t="s">
        <v>1096</v>
      </c>
      <c r="BP109" s="3495">
        <v>-18.483504062743489</v>
      </c>
      <c r="BQ109" s="3496">
        <v>-15.747144735905184</v>
      </c>
      <c r="BR109" s="3496">
        <v>-19.242528679112425</v>
      </c>
      <c r="BS109" s="3503">
        <v>-18.445643543609155</v>
      </c>
      <c r="BT109" s="3504">
        <v>-19.515294472195677</v>
      </c>
      <c r="BU109" s="3501">
        <v>-22.229307401795573</v>
      </c>
      <c r="BV109" s="3500">
        <v>-16.153936956889559</v>
      </c>
      <c r="BW109" s="3501">
        <v>-19.663857274287494</v>
      </c>
      <c r="BX109" s="3495">
        <v>-18.452285370778615</v>
      </c>
      <c r="BY109" s="3496">
        <v>-14.824573532213188</v>
      </c>
      <c r="BZ109" s="3501">
        <v>-15.235594617722681</v>
      </c>
      <c r="CA109" s="3502">
        <v>-17.677855628028738</v>
      </c>
    </row>
    <row r="110" spans="1:79" ht="13.5" customHeight="1" thickBot="1">
      <c r="A110" s="3541" t="s">
        <v>1449</v>
      </c>
      <c r="B110" s="3542"/>
      <c r="C110" s="3554"/>
      <c r="D110" s="3555">
        <v>0.67749190613333177</v>
      </c>
      <c r="E110" s="3555">
        <v>148.58234580147686</v>
      </c>
      <c r="F110" s="3555">
        <v>79.171731407317793</v>
      </c>
      <c r="G110" s="3556">
        <v>5.3031840276047788</v>
      </c>
      <c r="H110" s="3555">
        <v>62.203652008206731</v>
      </c>
      <c r="I110" s="3557">
        <v>47.404263474545509</v>
      </c>
      <c r="J110" s="3558">
        <v>28.111187941956466</v>
      </c>
      <c r="K110" s="3559">
        <v>19.760449922478365</v>
      </c>
      <c r="L110" s="3556">
        <v>3.7477942989493749</v>
      </c>
      <c r="M110" s="3555">
        <v>4.2162944538583256</v>
      </c>
      <c r="N110" s="3557">
        <v>6.0942445089381874</v>
      </c>
      <c r="O110" s="3543">
        <v>22.754949085688917</v>
      </c>
      <c r="P110" s="3544"/>
      <c r="Q110" s="3541" t="s">
        <v>1449</v>
      </c>
      <c r="R110" s="3542"/>
      <c r="S110" s="3554"/>
      <c r="T110" s="3555">
        <v>-1.1824340388723993</v>
      </c>
      <c r="U110" s="3555">
        <v>147.3067111469598</v>
      </c>
      <c r="V110" s="3555">
        <v>77.515839185369629</v>
      </c>
      <c r="W110" s="3556">
        <v>3.470444443588458</v>
      </c>
      <c r="X110" s="3555">
        <v>60.956729390200849</v>
      </c>
      <c r="Y110" s="3557">
        <v>46.149028802148706</v>
      </c>
      <c r="Z110" s="3558">
        <v>26.87289539396243</v>
      </c>
      <c r="AA110" s="3559">
        <v>18.588438781636228</v>
      </c>
      <c r="AB110" s="3556">
        <v>1.7614822128264409</v>
      </c>
      <c r="AC110" s="3555">
        <v>2.5087098117155264</v>
      </c>
      <c r="AD110" s="3557">
        <v>4.7252466008801015</v>
      </c>
      <c r="AE110" s="3543">
        <v>21.18753669821028</v>
      </c>
      <c r="AF110" s="3544"/>
      <c r="AG110" s="3541" t="s">
        <v>1449</v>
      </c>
      <c r="AH110" s="3542"/>
      <c r="AI110" s="3554"/>
      <c r="AJ110" s="3555">
        <v>1.6948475869226058</v>
      </c>
      <c r="AK110" s="3555">
        <v>282.98818297624416</v>
      </c>
      <c r="AL110" s="3555">
        <v>173.90012851822908</v>
      </c>
      <c r="AM110" s="3556">
        <v>10.672668787754695</v>
      </c>
      <c r="AN110" s="3555">
        <v>116.34947046975509</v>
      </c>
      <c r="AO110" s="3557">
        <v>111.09045363676192</v>
      </c>
      <c r="AP110" s="3558">
        <v>51.029069150388551</v>
      </c>
      <c r="AQ110" s="3559">
        <v>58.212985208373581</v>
      </c>
      <c r="AR110" s="3556">
        <v>0.15337409119828749</v>
      </c>
      <c r="AS110" s="3555">
        <v>7.8088925832655569</v>
      </c>
      <c r="AT110" s="3557">
        <v>36.806531899450505</v>
      </c>
      <c r="AU110" s="3543">
        <v>44.512264648335943</v>
      </c>
      <c r="AV110" s="3544"/>
      <c r="AW110" s="3541" t="s">
        <v>1449</v>
      </c>
      <c r="AX110" s="3542"/>
      <c r="AY110" s="3554"/>
      <c r="AZ110" s="3555">
        <v>13.562056301179755</v>
      </c>
      <c r="BA110" s="3555">
        <v>450.30542123705067</v>
      </c>
      <c r="BB110" s="3555">
        <v>348.10340553980774</v>
      </c>
      <c r="BC110" s="3556">
        <v>27.051292168778229</v>
      </c>
      <c r="BD110" s="3555">
        <v>192.33507023018922</v>
      </c>
      <c r="BE110" s="3557">
        <v>249.28807189770569</v>
      </c>
      <c r="BF110" s="3558">
        <v>90.858727457561898</v>
      </c>
      <c r="BG110" s="3559">
        <v>167.77478238316903</v>
      </c>
      <c r="BH110" s="3556">
        <v>7.4875045457793625</v>
      </c>
      <c r="BI110" s="3555">
        <v>21.424216469307705</v>
      </c>
      <c r="BJ110" s="3557">
        <v>133.4257511955293</v>
      </c>
      <c r="BK110" s="3543">
        <v>67.812187800469658</v>
      </c>
      <c r="BL110" s="3544"/>
      <c r="BM110" s="3541" t="s">
        <v>1449</v>
      </c>
      <c r="BN110" s="3542"/>
      <c r="BO110" s="3554"/>
      <c r="BP110" s="3555">
        <v>-8.1039790710968482</v>
      </c>
      <c r="BQ110" s="3555">
        <v>351.58175107773792</v>
      </c>
      <c r="BR110" s="3555">
        <v>176.95860833966549</v>
      </c>
      <c r="BS110" s="3556">
        <v>2.8576979499916568</v>
      </c>
      <c r="BT110" s="3555">
        <v>130.22051970483511</v>
      </c>
      <c r="BU110" s="3557">
        <v>91.786248142574038</v>
      </c>
      <c r="BV110" s="3558">
        <v>46.681002620533512</v>
      </c>
      <c r="BW110" s="3559">
        <v>23.86841669621532</v>
      </c>
      <c r="BX110" s="3556">
        <v>-0.42796561599824301</v>
      </c>
      <c r="BY110" s="3555">
        <v>-0.56505560062481663</v>
      </c>
      <c r="BZ110" s="3557">
        <v>3.2704486685351046</v>
      </c>
      <c r="CA110" s="3543">
        <v>39.999644146930507</v>
      </c>
    </row>
    <row r="111" spans="1:79" ht="13.5" customHeight="1" thickTop="1"/>
    <row r="112" spans="1:79" ht="13.2" customHeight="1" thickBot="1"/>
    <row r="113" spans="1:95" ht="13.95" customHeight="1" thickTop="1" thickBot="1">
      <c r="A113" s="3478" t="s">
        <v>2496</v>
      </c>
      <c r="B113" s="3479"/>
      <c r="C113" s="3479"/>
      <c r="D113" s="3480">
        <v>2035</v>
      </c>
      <c r="E113" s="3479" t="s">
        <v>2497</v>
      </c>
      <c r="F113" s="3479"/>
      <c r="G113" s="3479"/>
      <c r="H113" s="3479"/>
      <c r="I113" s="3479"/>
      <c r="J113" s="3479"/>
      <c r="K113" s="3479"/>
      <c r="L113" s="3479"/>
      <c r="M113" s="3479"/>
      <c r="N113" s="3481"/>
      <c r="O113" s="3482"/>
      <c r="P113" s="3544"/>
      <c r="Q113" s="3478" t="s">
        <v>2496</v>
      </c>
      <c r="R113" s="3479"/>
      <c r="S113" s="3479"/>
      <c r="T113" s="3480">
        <v>2035</v>
      </c>
      <c r="U113" s="3479" t="s">
        <v>2498</v>
      </c>
      <c r="V113" s="3479"/>
      <c r="W113" s="3479"/>
      <c r="X113" s="3479"/>
      <c r="Y113" s="3479"/>
      <c r="Z113" s="3479"/>
      <c r="AA113" s="3479"/>
      <c r="AB113" s="3479"/>
      <c r="AC113" s="3479"/>
      <c r="AD113" s="3481"/>
      <c r="AE113" s="3482"/>
      <c r="AF113" s="3544"/>
      <c r="AG113" s="3478" t="s">
        <v>1967</v>
      </c>
      <c r="AH113" s="3479"/>
      <c r="AI113" s="3479"/>
      <c r="AJ113" s="3480">
        <v>2035</v>
      </c>
      <c r="AK113" s="3479" t="s">
        <v>2499</v>
      </c>
      <c r="AL113" s="3479"/>
      <c r="AM113" s="3479"/>
      <c r="AN113" s="3479"/>
      <c r="AO113" s="3479"/>
      <c r="AP113" s="3479"/>
      <c r="AQ113" s="3479"/>
      <c r="AR113" s="3479"/>
      <c r="AS113" s="3479"/>
      <c r="AT113" s="3481"/>
      <c r="AU113" s="3482"/>
      <c r="AV113" s="3544"/>
      <c r="AW113" s="3478" t="s">
        <v>1963</v>
      </c>
      <c r="AX113" s="3479"/>
      <c r="AY113" s="3479"/>
      <c r="AZ113" s="3480">
        <v>2035</v>
      </c>
      <c r="BA113" s="3479" t="s">
        <v>2500</v>
      </c>
      <c r="BB113" s="3479"/>
      <c r="BC113" s="3479"/>
      <c r="BD113" s="3479"/>
      <c r="BE113" s="3479"/>
      <c r="BF113" s="3479"/>
      <c r="BG113" s="3479"/>
      <c r="BH113" s="3479"/>
      <c r="BI113" s="3479"/>
      <c r="BJ113" s="3481"/>
      <c r="BK113" s="3482"/>
      <c r="BL113" s="3544"/>
      <c r="BM113" s="3478" t="s">
        <v>1968</v>
      </c>
      <c r="BN113" s="3479"/>
      <c r="BO113" s="3479"/>
      <c r="BP113" s="3480">
        <v>2035</v>
      </c>
      <c r="BQ113" s="3479" t="s">
        <v>2501</v>
      </c>
      <c r="BR113" s="3479"/>
      <c r="BS113" s="3479"/>
      <c r="BT113" s="3479"/>
      <c r="BU113" s="3479"/>
      <c r="BV113" s="3479"/>
      <c r="BW113" s="3479"/>
      <c r="BX113" s="3479"/>
      <c r="BY113" s="3479"/>
      <c r="BZ113" s="3481"/>
      <c r="CA113" s="3482"/>
    </row>
    <row r="114" spans="1:95" ht="13.5" customHeight="1" thickTop="1">
      <c r="A114" s="3483"/>
      <c r="B114" s="3484"/>
      <c r="C114" s="3545" t="s">
        <v>1130</v>
      </c>
      <c r="D114" s="3546" t="s">
        <v>1487</v>
      </c>
      <c r="E114" s="3547"/>
      <c r="F114" s="3548"/>
      <c r="G114" s="3546" t="s">
        <v>1089</v>
      </c>
      <c r="H114" s="3547"/>
      <c r="I114" s="3548"/>
      <c r="J114" s="3549" t="s">
        <v>1132</v>
      </c>
      <c r="K114" s="3550"/>
      <c r="L114" s="3546" t="s">
        <v>789</v>
      </c>
      <c r="M114" s="3547"/>
      <c r="N114" s="3548"/>
      <c r="O114" s="3551" t="s">
        <v>1090</v>
      </c>
      <c r="P114" s="3544"/>
      <c r="Q114" s="3483"/>
      <c r="R114" s="3484"/>
      <c r="S114" s="3545" t="s">
        <v>1130</v>
      </c>
      <c r="T114" s="3546" t="s">
        <v>1487</v>
      </c>
      <c r="U114" s="3547"/>
      <c r="V114" s="3548"/>
      <c r="W114" s="3546" t="s">
        <v>1089</v>
      </c>
      <c r="X114" s="3547"/>
      <c r="Y114" s="3548"/>
      <c r="Z114" s="3549" t="s">
        <v>1132</v>
      </c>
      <c r="AA114" s="3550"/>
      <c r="AB114" s="3546" t="s">
        <v>789</v>
      </c>
      <c r="AC114" s="3547"/>
      <c r="AD114" s="3548"/>
      <c r="AE114" s="3551" t="s">
        <v>1090</v>
      </c>
      <c r="AF114" s="3544"/>
      <c r="AG114" s="3483"/>
      <c r="AH114" s="3484"/>
      <c r="AI114" s="3545" t="s">
        <v>1130</v>
      </c>
      <c r="AJ114" s="3546" t="s">
        <v>1487</v>
      </c>
      <c r="AK114" s="3547"/>
      <c r="AL114" s="3548"/>
      <c r="AM114" s="3546" t="s">
        <v>1089</v>
      </c>
      <c r="AN114" s="3547"/>
      <c r="AO114" s="3548"/>
      <c r="AP114" s="3549" t="s">
        <v>1132</v>
      </c>
      <c r="AQ114" s="3550"/>
      <c r="AR114" s="3546" t="s">
        <v>789</v>
      </c>
      <c r="AS114" s="3547"/>
      <c r="AT114" s="3548"/>
      <c r="AU114" s="3551" t="s">
        <v>1090</v>
      </c>
      <c r="AV114" s="3544"/>
      <c r="AW114" s="3483"/>
      <c r="AX114" s="3484"/>
      <c r="AY114" s="3545" t="s">
        <v>1130</v>
      </c>
      <c r="AZ114" s="3546" t="s">
        <v>1487</v>
      </c>
      <c r="BA114" s="3547"/>
      <c r="BB114" s="3548"/>
      <c r="BC114" s="3546" t="s">
        <v>1089</v>
      </c>
      <c r="BD114" s="3547"/>
      <c r="BE114" s="3548"/>
      <c r="BF114" s="3549" t="s">
        <v>1132</v>
      </c>
      <c r="BG114" s="3550"/>
      <c r="BH114" s="3546" t="s">
        <v>789</v>
      </c>
      <c r="BI114" s="3547"/>
      <c r="BJ114" s="3548"/>
      <c r="BK114" s="3551" t="s">
        <v>1090</v>
      </c>
      <c r="BL114" s="3544"/>
      <c r="BM114" s="3483"/>
      <c r="BN114" s="3484"/>
      <c r="BO114" s="3545" t="s">
        <v>1130</v>
      </c>
      <c r="BP114" s="3546" t="s">
        <v>1487</v>
      </c>
      <c r="BQ114" s="3547"/>
      <c r="BR114" s="3548"/>
      <c r="BS114" s="3546" t="s">
        <v>1089</v>
      </c>
      <c r="BT114" s="3547"/>
      <c r="BU114" s="3548"/>
      <c r="BV114" s="3549" t="s">
        <v>1132</v>
      </c>
      <c r="BW114" s="3550"/>
      <c r="BX114" s="3546" t="s">
        <v>789</v>
      </c>
      <c r="BY114" s="3547"/>
      <c r="BZ114" s="3548"/>
      <c r="CA114" s="3551" t="s">
        <v>1090</v>
      </c>
      <c r="CB114" s="2898"/>
      <c r="CC114" s="2898"/>
      <c r="CD114" s="2898"/>
      <c r="CE114" s="2898"/>
      <c r="CF114" s="2898"/>
      <c r="CG114" s="2898"/>
      <c r="CH114" s="2898"/>
      <c r="CI114" s="2898"/>
      <c r="CJ114" s="2898"/>
      <c r="CK114" s="2898"/>
      <c r="CL114" s="2898"/>
      <c r="CM114" s="2898"/>
      <c r="CN114" s="2898"/>
      <c r="CO114" s="2898"/>
      <c r="CP114" s="2898"/>
      <c r="CQ114" s="2898"/>
    </row>
    <row r="115" spans="1:95" ht="13.5" customHeight="1" thickBot="1">
      <c r="A115" s="3485" t="s">
        <v>1093</v>
      </c>
      <c r="B115" s="3486"/>
      <c r="C115" s="3489"/>
      <c r="D115" s="3487" t="s">
        <v>1058</v>
      </c>
      <c r="E115" s="3488" t="s">
        <v>1091</v>
      </c>
      <c r="F115" s="3489" t="s">
        <v>1092</v>
      </c>
      <c r="G115" s="3490" t="s">
        <v>1058</v>
      </c>
      <c r="H115" s="3491" t="s">
        <v>1091</v>
      </c>
      <c r="I115" s="3492" t="s">
        <v>1092</v>
      </c>
      <c r="J115" s="3487" t="s">
        <v>1091</v>
      </c>
      <c r="K115" s="3489" t="s">
        <v>1092</v>
      </c>
      <c r="L115" s="3487" t="s">
        <v>1058</v>
      </c>
      <c r="M115" s="3488" t="s">
        <v>1091</v>
      </c>
      <c r="N115" s="3489" t="s">
        <v>1092</v>
      </c>
      <c r="O115" s="3552"/>
      <c r="P115" s="3544"/>
      <c r="Q115" s="3485" t="s">
        <v>1093</v>
      </c>
      <c r="R115" s="3486"/>
      <c r="S115" s="3489"/>
      <c r="T115" s="3487" t="s">
        <v>1058</v>
      </c>
      <c r="U115" s="3488" t="s">
        <v>1091</v>
      </c>
      <c r="V115" s="3489" t="s">
        <v>1092</v>
      </c>
      <c r="W115" s="3490" t="s">
        <v>1058</v>
      </c>
      <c r="X115" s="3491" t="s">
        <v>1091</v>
      </c>
      <c r="Y115" s="3492" t="s">
        <v>1092</v>
      </c>
      <c r="Z115" s="3487" t="s">
        <v>1091</v>
      </c>
      <c r="AA115" s="3489" t="s">
        <v>1092</v>
      </c>
      <c r="AB115" s="3487" t="s">
        <v>1058</v>
      </c>
      <c r="AC115" s="3488" t="s">
        <v>1091</v>
      </c>
      <c r="AD115" s="3489" t="s">
        <v>1092</v>
      </c>
      <c r="AE115" s="3552"/>
      <c r="AF115" s="3544"/>
      <c r="AG115" s="3485" t="s">
        <v>1093</v>
      </c>
      <c r="AH115" s="3486"/>
      <c r="AI115" s="3489"/>
      <c r="AJ115" s="3487" t="s">
        <v>1058</v>
      </c>
      <c r="AK115" s="3488" t="s">
        <v>1091</v>
      </c>
      <c r="AL115" s="3489" t="s">
        <v>1092</v>
      </c>
      <c r="AM115" s="3490" t="s">
        <v>1058</v>
      </c>
      <c r="AN115" s="3491" t="s">
        <v>1091</v>
      </c>
      <c r="AO115" s="3492" t="s">
        <v>1092</v>
      </c>
      <c r="AP115" s="3487" t="s">
        <v>1091</v>
      </c>
      <c r="AQ115" s="3489" t="s">
        <v>1092</v>
      </c>
      <c r="AR115" s="3487" t="s">
        <v>1058</v>
      </c>
      <c r="AS115" s="3488" t="s">
        <v>1091</v>
      </c>
      <c r="AT115" s="3489" t="s">
        <v>1092</v>
      </c>
      <c r="AU115" s="3552"/>
      <c r="AV115" s="3544"/>
      <c r="AW115" s="3485" t="s">
        <v>1093</v>
      </c>
      <c r="AX115" s="3486"/>
      <c r="AY115" s="3489"/>
      <c r="AZ115" s="3487" t="s">
        <v>1058</v>
      </c>
      <c r="BA115" s="3488" t="s">
        <v>1091</v>
      </c>
      <c r="BB115" s="3489" t="s">
        <v>1092</v>
      </c>
      <c r="BC115" s="3490" t="s">
        <v>1058</v>
      </c>
      <c r="BD115" s="3491" t="s">
        <v>1091</v>
      </c>
      <c r="BE115" s="3492" t="s">
        <v>1092</v>
      </c>
      <c r="BF115" s="3487" t="s">
        <v>1091</v>
      </c>
      <c r="BG115" s="3489" t="s">
        <v>1092</v>
      </c>
      <c r="BH115" s="3487" t="s">
        <v>1058</v>
      </c>
      <c r="BI115" s="3488" t="s">
        <v>1091</v>
      </c>
      <c r="BJ115" s="3489" t="s">
        <v>1092</v>
      </c>
      <c r="BK115" s="3552"/>
      <c r="BL115" s="3544"/>
      <c r="BM115" s="3485" t="s">
        <v>1093</v>
      </c>
      <c r="BN115" s="3486"/>
      <c r="BO115" s="3489"/>
      <c r="BP115" s="3487" t="s">
        <v>1058</v>
      </c>
      <c r="BQ115" s="3488" t="s">
        <v>1091</v>
      </c>
      <c r="BR115" s="3489" t="s">
        <v>1092</v>
      </c>
      <c r="BS115" s="3490" t="s">
        <v>1058</v>
      </c>
      <c r="BT115" s="3491" t="s">
        <v>1091</v>
      </c>
      <c r="BU115" s="3492" t="s">
        <v>1092</v>
      </c>
      <c r="BV115" s="3487" t="s">
        <v>1091</v>
      </c>
      <c r="BW115" s="3489" t="s">
        <v>1092</v>
      </c>
      <c r="BX115" s="3487" t="s">
        <v>1058</v>
      </c>
      <c r="BY115" s="3488" t="s">
        <v>1091</v>
      </c>
      <c r="BZ115" s="3489" t="s">
        <v>1092</v>
      </c>
      <c r="CA115" s="3552"/>
    </row>
    <row r="116" spans="1:95" ht="13.5" customHeight="1" thickTop="1">
      <c r="A116" s="3553" t="s">
        <v>1094</v>
      </c>
      <c r="B116" s="3493"/>
      <c r="C116" s="3494">
        <v>1</v>
      </c>
      <c r="D116" s="3495">
        <v>2.7685864853558818E-3</v>
      </c>
      <c r="E116" s="3496">
        <v>1.5411558464600477</v>
      </c>
      <c r="F116" s="3496">
        <v>15.944100994728739</v>
      </c>
      <c r="G116" s="3497">
        <v>1.6994895648181477E-2</v>
      </c>
      <c r="H116" s="3498">
        <v>1.0442565263432499</v>
      </c>
      <c r="I116" s="3499">
        <v>2.7441422567850169</v>
      </c>
      <c r="J116" s="3500">
        <v>0.66280020107491167</v>
      </c>
      <c r="K116" s="3501">
        <v>2.6000212641760116</v>
      </c>
      <c r="L116" s="3495">
        <v>5.2256133856210651E-3</v>
      </c>
      <c r="M116" s="3496">
        <v>0.52513312923341726</v>
      </c>
      <c r="N116" s="3501">
        <v>0.2396741812388497</v>
      </c>
      <c r="O116" s="3502">
        <v>1.4715496055715671</v>
      </c>
      <c r="P116" s="3544"/>
      <c r="Q116" s="3553" t="s">
        <v>1094</v>
      </c>
      <c r="R116" s="3493"/>
      <c r="S116" s="3494">
        <v>1</v>
      </c>
      <c r="T116" s="3495">
        <v>2.7685864853558818E-3</v>
      </c>
      <c r="U116" s="3496">
        <v>1.5411558464600477</v>
      </c>
      <c r="V116" s="3496">
        <v>15.944100994728739</v>
      </c>
      <c r="W116" s="3497">
        <v>1.6994895648181477E-2</v>
      </c>
      <c r="X116" s="3498">
        <v>1.0442565263432499</v>
      </c>
      <c r="Y116" s="3499">
        <v>2.7441422567850169</v>
      </c>
      <c r="Z116" s="3500">
        <v>0.66280020107491167</v>
      </c>
      <c r="AA116" s="3501">
        <v>2.6000212641760116</v>
      </c>
      <c r="AB116" s="3495">
        <v>5.2256133856210651E-3</v>
      </c>
      <c r="AC116" s="3496">
        <v>0.52513312923341726</v>
      </c>
      <c r="AD116" s="3501">
        <v>0.2396741812388497</v>
      </c>
      <c r="AE116" s="3502">
        <v>1.4715496055715671</v>
      </c>
      <c r="AF116" s="3544"/>
      <c r="AG116" s="3553" t="s">
        <v>1094</v>
      </c>
      <c r="AH116" s="3493"/>
      <c r="AI116" s="3494">
        <v>1</v>
      </c>
      <c r="AJ116" s="3495">
        <v>5.2603143221761749E-3</v>
      </c>
      <c r="AK116" s="3496">
        <v>2.9281961082740904</v>
      </c>
      <c r="AL116" s="3496">
        <v>30.293791889984604</v>
      </c>
      <c r="AM116" s="3497">
        <v>3.2290301731544804E-2</v>
      </c>
      <c r="AN116" s="3498">
        <v>1.9840874000521749</v>
      </c>
      <c r="AO116" s="3499">
        <v>5.213870287891532</v>
      </c>
      <c r="AP116" s="3500">
        <v>1.2593203820423322</v>
      </c>
      <c r="AQ116" s="3501">
        <v>4.9400404019344215</v>
      </c>
      <c r="AR116" s="3495">
        <v>9.9286654326800235E-3</v>
      </c>
      <c r="AS116" s="3496">
        <v>0.9977529455434927</v>
      </c>
      <c r="AT116" s="3501">
        <v>0.45538094435381443</v>
      </c>
      <c r="AU116" s="3502">
        <v>2.7959442505859773</v>
      </c>
      <c r="AV116" s="3544"/>
      <c r="AW116" s="3553" t="s">
        <v>1094</v>
      </c>
      <c r="AX116" s="3493"/>
      <c r="AY116" s="3494">
        <v>1</v>
      </c>
      <c r="AZ116" s="3495">
        <v>8.0289008075320571E-3</v>
      </c>
      <c r="BA116" s="3496">
        <v>4.4693519547341385</v>
      </c>
      <c r="BB116" s="3496">
        <v>46.237892884713339</v>
      </c>
      <c r="BC116" s="3497">
        <v>4.9285197379726281E-2</v>
      </c>
      <c r="BD116" s="3498">
        <v>3.0283439263954248</v>
      </c>
      <c r="BE116" s="3499">
        <v>7.9580125446765484</v>
      </c>
      <c r="BF116" s="3500">
        <v>1.9221205831172439</v>
      </c>
      <c r="BG116" s="3501">
        <v>7.5400616661104332</v>
      </c>
      <c r="BH116" s="3495">
        <v>1.5154278818301089E-2</v>
      </c>
      <c r="BI116" s="3496">
        <v>1.52288607477691</v>
      </c>
      <c r="BJ116" s="3501">
        <v>0.69505512559266414</v>
      </c>
      <c r="BK116" s="3502">
        <v>4.2674938561575448</v>
      </c>
      <c r="BL116" s="3544"/>
      <c r="BM116" s="3553" t="s">
        <v>1094</v>
      </c>
      <c r="BN116" s="3493"/>
      <c r="BO116" s="3494">
        <v>1</v>
      </c>
      <c r="BP116" s="3495">
        <v>6.9214662133897046E-3</v>
      </c>
      <c r="BQ116" s="3496">
        <v>3.8528896161501192</v>
      </c>
      <c r="BR116" s="3496">
        <v>39.86025248682185</v>
      </c>
      <c r="BS116" s="3497">
        <v>4.2487239120453692E-2</v>
      </c>
      <c r="BT116" s="3498">
        <v>2.6106413158581248</v>
      </c>
      <c r="BU116" s="3499">
        <v>6.860355641962542</v>
      </c>
      <c r="BV116" s="3500">
        <v>1.6570005026872792</v>
      </c>
      <c r="BW116" s="3501">
        <v>6.5000531604400287</v>
      </c>
      <c r="BX116" s="3495">
        <v>1.3064033464052664E-2</v>
      </c>
      <c r="BY116" s="3496">
        <v>1.3128328230835431</v>
      </c>
      <c r="BZ116" s="3501">
        <v>0.59918545309712423</v>
      </c>
      <c r="CA116" s="3502">
        <v>3.678874013928918</v>
      </c>
    </row>
    <row r="117" spans="1:95" ht="13.5" customHeight="1">
      <c r="A117" s="3553"/>
      <c r="B117" s="3493"/>
      <c r="C117" s="3494">
        <v>2</v>
      </c>
      <c r="D117" s="3495">
        <v>2.0012270422458629E-2</v>
      </c>
      <c r="E117" s="3496">
        <v>4.8586930445143182</v>
      </c>
      <c r="F117" s="3496">
        <v>35.121872812109132</v>
      </c>
      <c r="G117" s="3503">
        <v>5.8104729290501832E-2</v>
      </c>
      <c r="H117" s="3504">
        <v>3.6714075443491949</v>
      </c>
      <c r="I117" s="3501">
        <v>10.447510370416779</v>
      </c>
      <c r="J117" s="3500">
        <v>2.1223669623753367</v>
      </c>
      <c r="K117" s="3501">
        <v>10.09638498812099</v>
      </c>
      <c r="L117" s="3495">
        <v>2.5932206221666313E-2</v>
      </c>
      <c r="M117" s="3496">
        <v>1.5107724369429516</v>
      </c>
      <c r="N117" s="3501">
        <v>1.8940030774352978</v>
      </c>
      <c r="O117" s="3502">
        <v>3.8880317506776021</v>
      </c>
      <c r="P117" s="3544"/>
      <c r="Q117" s="3553"/>
      <c r="R117" s="3493"/>
      <c r="S117" s="3494">
        <v>2</v>
      </c>
      <c r="T117" s="3495">
        <v>2.0012270422458629E-2</v>
      </c>
      <c r="U117" s="3496">
        <v>4.8586930445143182</v>
      </c>
      <c r="V117" s="3496">
        <v>35.121872812109132</v>
      </c>
      <c r="W117" s="3503">
        <v>5.8104729290501832E-2</v>
      </c>
      <c r="X117" s="3504">
        <v>3.6714075443491949</v>
      </c>
      <c r="Y117" s="3501">
        <v>10.447510370416779</v>
      </c>
      <c r="Z117" s="3500">
        <v>2.1223669623753367</v>
      </c>
      <c r="AA117" s="3501">
        <v>10.09638498812099</v>
      </c>
      <c r="AB117" s="3495">
        <v>2.5932206221666313E-2</v>
      </c>
      <c r="AC117" s="3496">
        <v>1.5107724369429516</v>
      </c>
      <c r="AD117" s="3501">
        <v>1.8940030774352978</v>
      </c>
      <c r="AE117" s="3502">
        <v>3.8880317506776021</v>
      </c>
      <c r="AF117" s="3544"/>
      <c r="AG117" s="3553"/>
      <c r="AH117" s="3493"/>
      <c r="AI117" s="3494">
        <v>2</v>
      </c>
      <c r="AJ117" s="3495">
        <v>3.8023313802671391E-2</v>
      </c>
      <c r="AK117" s="3496">
        <v>9.2315167845772041</v>
      </c>
      <c r="AL117" s="3496">
        <v>66.73155834300735</v>
      </c>
      <c r="AM117" s="3503">
        <v>0.11039898565195347</v>
      </c>
      <c r="AN117" s="3504">
        <v>6.9756743342634699</v>
      </c>
      <c r="AO117" s="3501">
        <v>19.850269703791881</v>
      </c>
      <c r="AP117" s="3500">
        <v>4.0324972285131393</v>
      </c>
      <c r="AQ117" s="3501">
        <v>19.183131477429878</v>
      </c>
      <c r="AR117" s="3495">
        <v>4.9271191821165995E-2</v>
      </c>
      <c r="AS117" s="3496">
        <v>2.8704676301916079</v>
      </c>
      <c r="AT117" s="3501">
        <v>3.5986058471270659</v>
      </c>
      <c r="AU117" s="3502">
        <v>7.3872603262874437</v>
      </c>
      <c r="AV117" s="3544"/>
      <c r="AW117" s="3553"/>
      <c r="AX117" s="3493"/>
      <c r="AY117" s="3494">
        <v>2</v>
      </c>
      <c r="AZ117" s="3495">
        <v>5.803558422513002E-2</v>
      </c>
      <c r="BA117" s="3496">
        <v>14.090209829091522</v>
      </c>
      <c r="BB117" s="3496">
        <v>101.85343115511648</v>
      </c>
      <c r="BC117" s="3503">
        <v>0.16850371494245531</v>
      </c>
      <c r="BD117" s="3504">
        <v>10.647081878612665</v>
      </c>
      <c r="BE117" s="3501">
        <v>30.29778007420866</v>
      </c>
      <c r="BF117" s="3500">
        <v>6.1548641908884765</v>
      </c>
      <c r="BG117" s="3501">
        <v>29.27951646555087</v>
      </c>
      <c r="BH117" s="3495">
        <v>7.5203398042832312E-2</v>
      </c>
      <c r="BI117" s="3496">
        <v>4.3812400671345593</v>
      </c>
      <c r="BJ117" s="3501">
        <v>5.4926089245623633</v>
      </c>
      <c r="BK117" s="3502">
        <v>11.275292076965046</v>
      </c>
      <c r="BL117" s="3544"/>
      <c r="BM117" s="3553"/>
      <c r="BN117" s="3493"/>
      <c r="BO117" s="3494">
        <v>2</v>
      </c>
      <c r="BP117" s="3495">
        <v>5.003067605614657E-2</v>
      </c>
      <c r="BQ117" s="3496">
        <v>12.146732611285795</v>
      </c>
      <c r="BR117" s="3496">
        <v>87.804682030272829</v>
      </c>
      <c r="BS117" s="3503">
        <v>0.14526182322625458</v>
      </c>
      <c r="BT117" s="3504">
        <v>9.1785188608729875</v>
      </c>
      <c r="BU117" s="3501">
        <v>26.118775926041948</v>
      </c>
      <c r="BV117" s="3500">
        <v>5.3059174059383416</v>
      </c>
      <c r="BW117" s="3501">
        <v>25.240962470302474</v>
      </c>
      <c r="BX117" s="3495">
        <v>6.4830515554165788E-2</v>
      </c>
      <c r="BY117" s="3496">
        <v>3.7769310923573789</v>
      </c>
      <c r="BZ117" s="3501">
        <v>4.7350076935882441</v>
      </c>
      <c r="CA117" s="3502">
        <v>9.7200793766940059</v>
      </c>
    </row>
    <row r="118" spans="1:95" ht="13.5" customHeight="1">
      <c r="A118" s="3553"/>
      <c r="B118" s="3493"/>
      <c r="C118" s="3494">
        <v>3</v>
      </c>
      <c r="D118" s="3495">
        <v>2.9753731147324674</v>
      </c>
      <c r="E118" s="3496">
        <v>25.443035752786837</v>
      </c>
      <c r="F118" s="3496">
        <v>58.940833668288754</v>
      </c>
      <c r="G118" s="3503">
        <v>3.7944015608480024</v>
      </c>
      <c r="H118" s="3504">
        <v>29.372125350800147</v>
      </c>
      <c r="I118" s="3501">
        <v>24.1068445252304</v>
      </c>
      <c r="J118" s="3500">
        <v>14.196530353359888</v>
      </c>
      <c r="K118" s="3501">
        <v>22.176681501715379</v>
      </c>
      <c r="L118" s="3495">
        <v>7.2385921226989121</v>
      </c>
      <c r="M118" s="3496">
        <v>4.2070301852669347</v>
      </c>
      <c r="N118" s="3501">
        <v>8.4353583200186293</v>
      </c>
      <c r="O118" s="3502">
        <v>12.43962012053314</v>
      </c>
      <c r="P118" s="3544"/>
      <c r="Q118" s="3553"/>
      <c r="R118" s="3493"/>
      <c r="S118" s="3494">
        <v>3</v>
      </c>
      <c r="T118" s="3495">
        <v>2.9753731147324674</v>
      </c>
      <c r="U118" s="3496">
        <v>25.443035752786837</v>
      </c>
      <c r="V118" s="3496">
        <v>58.940833668288754</v>
      </c>
      <c r="W118" s="3503">
        <v>3.7944015608480024</v>
      </c>
      <c r="X118" s="3504">
        <v>29.372125350800147</v>
      </c>
      <c r="Y118" s="3501">
        <v>24.1068445252304</v>
      </c>
      <c r="Z118" s="3500">
        <v>14.196530353359888</v>
      </c>
      <c r="AA118" s="3501">
        <v>22.176681501715379</v>
      </c>
      <c r="AB118" s="3495">
        <v>7.2385921226989121</v>
      </c>
      <c r="AC118" s="3496">
        <v>4.2070301852669347</v>
      </c>
      <c r="AD118" s="3501">
        <v>8.4353583200186293</v>
      </c>
      <c r="AE118" s="3502">
        <v>12.43962012053314</v>
      </c>
      <c r="AF118" s="3544"/>
      <c r="AG118" s="3553"/>
      <c r="AH118" s="3493"/>
      <c r="AI118" s="3494">
        <v>3</v>
      </c>
      <c r="AJ118" s="3495">
        <v>5.6532089179916873</v>
      </c>
      <c r="AK118" s="3496">
        <v>48.341767930294992</v>
      </c>
      <c r="AL118" s="3496">
        <v>111.98758396974863</v>
      </c>
      <c r="AM118" s="3503">
        <v>7.2093629656112039</v>
      </c>
      <c r="AN118" s="3504">
        <v>55.807038166520279</v>
      </c>
      <c r="AO118" s="3501">
        <v>45.803004597937758</v>
      </c>
      <c r="AP118" s="3500">
        <v>26.973407671383786</v>
      </c>
      <c r="AQ118" s="3501">
        <v>42.135694853259217</v>
      </c>
      <c r="AR118" s="3495">
        <v>13.753325033127933</v>
      </c>
      <c r="AS118" s="3496">
        <v>7.9933573520071759</v>
      </c>
      <c r="AT118" s="3501">
        <v>16.027180808035396</v>
      </c>
      <c r="AU118" s="3502">
        <v>23.635278229012965</v>
      </c>
      <c r="AV118" s="3544"/>
      <c r="AW118" s="3553"/>
      <c r="AX118" s="3493"/>
      <c r="AY118" s="3494">
        <v>3</v>
      </c>
      <c r="AZ118" s="3495">
        <v>8.6285820327241556</v>
      </c>
      <c r="BA118" s="3496">
        <v>73.784803683081833</v>
      </c>
      <c r="BB118" s="3496">
        <v>170.92841763803739</v>
      </c>
      <c r="BC118" s="3503">
        <v>11.003764526459207</v>
      </c>
      <c r="BD118" s="3504">
        <v>85.179163517320418</v>
      </c>
      <c r="BE118" s="3501">
        <v>69.909849123168158</v>
      </c>
      <c r="BF118" s="3500">
        <v>41.169938024743672</v>
      </c>
      <c r="BG118" s="3501">
        <v>64.312376354974603</v>
      </c>
      <c r="BH118" s="3495">
        <v>20.991917155826844</v>
      </c>
      <c r="BI118" s="3496">
        <v>12.200387537274111</v>
      </c>
      <c r="BJ118" s="3501">
        <v>24.462539128054026</v>
      </c>
      <c r="BK118" s="3502">
        <v>36.074898349546103</v>
      </c>
      <c r="BL118" s="3544"/>
      <c r="BM118" s="3553"/>
      <c r="BN118" s="3493"/>
      <c r="BO118" s="3494">
        <v>3</v>
      </c>
      <c r="BP118" s="3495">
        <v>7.4384327868311679</v>
      </c>
      <c r="BQ118" s="3496">
        <v>63.607589381967095</v>
      </c>
      <c r="BR118" s="3496">
        <v>147.35208417072189</v>
      </c>
      <c r="BS118" s="3503">
        <v>9.4860039021200055</v>
      </c>
      <c r="BT118" s="3504">
        <v>73.430313377000374</v>
      </c>
      <c r="BU118" s="3501">
        <v>60.267111313076001</v>
      </c>
      <c r="BV118" s="3500">
        <v>35.491325883399718</v>
      </c>
      <c r="BW118" s="3501">
        <v>55.441703754288447</v>
      </c>
      <c r="BX118" s="3495">
        <v>18.096480306747281</v>
      </c>
      <c r="BY118" s="3496">
        <v>10.517575463167336</v>
      </c>
      <c r="BZ118" s="3501">
        <v>21.088395800046573</v>
      </c>
      <c r="CA118" s="3502">
        <v>31.099050301332852</v>
      </c>
    </row>
    <row r="119" spans="1:95" ht="13.5" customHeight="1">
      <c r="A119" s="3553"/>
      <c r="B119" s="3493"/>
      <c r="C119" s="3494">
        <v>4</v>
      </c>
      <c r="D119" s="3495">
        <v>20.803154875757141</v>
      </c>
      <c r="E119" s="3496">
        <v>117.04759322224234</v>
      </c>
      <c r="F119" s="3496">
        <v>139.83141259918312</v>
      </c>
      <c r="G119" s="3503">
        <v>26.019819894177875</v>
      </c>
      <c r="H119" s="3504">
        <v>103.44288685041472</v>
      </c>
      <c r="I119" s="3501">
        <v>100.40553735067124</v>
      </c>
      <c r="J119" s="3500">
        <v>47.033398878404974</v>
      </c>
      <c r="K119" s="3501">
        <v>80.725594954052227</v>
      </c>
      <c r="L119" s="3495">
        <v>24.839050293205734</v>
      </c>
      <c r="M119" s="3496">
        <v>47.468785533394545</v>
      </c>
      <c r="N119" s="3501">
        <v>28.454910025496538</v>
      </c>
      <c r="O119" s="3502">
        <v>56.782043126225084</v>
      </c>
      <c r="P119" s="3544"/>
      <c r="Q119" s="3553"/>
      <c r="R119" s="3493"/>
      <c r="S119" s="3494">
        <v>4</v>
      </c>
      <c r="T119" s="3495">
        <v>20.803154875757141</v>
      </c>
      <c r="U119" s="3496">
        <v>117.04759322224234</v>
      </c>
      <c r="V119" s="3496">
        <v>139.83141259918312</v>
      </c>
      <c r="W119" s="3503">
        <v>26.019819894177875</v>
      </c>
      <c r="X119" s="3504">
        <v>103.44288685041472</v>
      </c>
      <c r="Y119" s="3501">
        <v>100.40553735067124</v>
      </c>
      <c r="Z119" s="3500">
        <v>47.033398878404974</v>
      </c>
      <c r="AA119" s="3501">
        <v>80.725594954052227</v>
      </c>
      <c r="AB119" s="3495">
        <v>24.839050293205734</v>
      </c>
      <c r="AC119" s="3496">
        <v>47.468785533394545</v>
      </c>
      <c r="AD119" s="3501">
        <v>28.454910025496538</v>
      </c>
      <c r="AE119" s="3502">
        <v>56.782043126225084</v>
      </c>
      <c r="AF119" s="3544"/>
      <c r="AG119" s="3553"/>
      <c r="AH119" s="3493"/>
      <c r="AI119" s="3494">
        <v>4</v>
      </c>
      <c r="AJ119" s="3495">
        <v>39.525994263938564</v>
      </c>
      <c r="AK119" s="3496">
        <v>222.39042712226043</v>
      </c>
      <c r="AL119" s="3496">
        <v>265.67968393844791</v>
      </c>
      <c r="AM119" s="3503">
        <v>49.437657798937963</v>
      </c>
      <c r="AN119" s="3504">
        <v>196.54148501578797</v>
      </c>
      <c r="AO119" s="3501">
        <v>190.77052096627534</v>
      </c>
      <c r="AP119" s="3500">
        <v>89.363457868969448</v>
      </c>
      <c r="AQ119" s="3501">
        <v>153.37863041269921</v>
      </c>
      <c r="AR119" s="3495">
        <v>47.194195557090893</v>
      </c>
      <c r="AS119" s="3496">
        <v>90.190692513449633</v>
      </c>
      <c r="AT119" s="3501">
        <v>54.064329048443419</v>
      </c>
      <c r="AU119" s="3502">
        <v>107.88588193982766</v>
      </c>
      <c r="AV119" s="3544"/>
      <c r="AW119" s="3553"/>
      <c r="AX119" s="3493"/>
      <c r="AY119" s="3494">
        <v>4</v>
      </c>
      <c r="AZ119" s="3495">
        <v>60.329149139695708</v>
      </c>
      <c r="BA119" s="3496">
        <v>339.43802034450277</v>
      </c>
      <c r="BB119" s="3496">
        <v>405.51109653763103</v>
      </c>
      <c r="BC119" s="3503">
        <v>75.457477693115834</v>
      </c>
      <c r="BD119" s="3504">
        <v>299.98437186620271</v>
      </c>
      <c r="BE119" s="3501">
        <v>291.17605831694658</v>
      </c>
      <c r="BF119" s="3500">
        <v>136.39685674737441</v>
      </c>
      <c r="BG119" s="3501">
        <v>234.10422536675145</v>
      </c>
      <c r="BH119" s="3495">
        <v>72.033245850296623</v>
      </c>
      <c r="BI119" s="3496">
        <v>137.65947804684419</v>
      </c>
      <c r="BJ119" s="3501">
        <v>82.519239073939957</v>
      </c>
      <c r="BK119" s="3502">
        <v>164.66792506605273</v>
      </c>
      <c r="BL119" s="3544"/>
      <c r="BM119" s="3553"/>
      <c r="BN119" s="3493"/>
      <c r="BO119" s="3494">
        <v>4</v>
      </c>
      <c r="BP119" s="3495">
        <v>52.007887189392854</v>
      </c>
      <c r="BQ119" s="3496">
        <v>292.61898305560584</v>
      </c>
      <c r="BR119" s="3496">
        <v>349.57853149795778</v>
      </c>
      <c r="BS119" s="3503">
        <v>65.049549735444685</v>
      </c>
      <c r="BT119" s="3504">
        <v>258.6072171260368</v>
      </c>
      <c r="BU119" s="3501">
        <v>251.0138433766781</v>
      </c>
      <c r="BV119" s="3500">
        <v>117.58349719601243</v>
      </c>
      <c r="BW119" s="3501">
        <v>201.81398738513056</v>
      </c>
      <c r="BX119" s="3495">
        <v>62.097625733014333</v>
      </c>
      <c r="BY119" s="3496">
        <v>118.67196383348636</v>
      </c>
      <c r="BZ119" s="3501">
        <v>71.137275063741342</v>
      </c>
      <c r="CA119" s="3502">
        <v>141.95510781556271</v>
      </c>
    </row>
    <row r="120" spans="1:95" ht="13.5" customHeight="1">
      <c r="A120" s="3553"/>
      <c r="B120" s="3493"/>
      <c r="C120" s="3505">
        <v>5</v>
      </c>
      <c r="D120" s="3495" t="e">
        <v>#N/A</v>
      </c>
      <c r="E120" s="3496">
        <v>453.97448431601072</v>
      </c>
      <c r="F120" s="3496">
        <v>334.2596685352845</v>
      </c>
      <c r="G120" s="3506">
        <v>82.438613961726517</v>
      </c>
      <c r="H120" s="3507">
        <v>354.33528084391986</v>
      </c>
      <c r="I120" s="3508">
        <v>419.15434343159637</v>
      </c>
      <c r="J120" s="3509">
        <v>115.25379416625421</v>
      </c>
      <c r="K120" s="3508">
        <v>320.67439516593527</v>
      </c>
      <c r="L120" s="3510">
        <v>102.05644146671754</v>
      </c>
      <c r="M120" s="3511">
        <v>169.42915005404669</v>
      </c>
      <c r="N120" s="3508">
        <v>257.10377653433153</v>
      </c>
      <c r="O120" s="3502">
        <v>291.14624156764404</v>
      </c>
      <c r="P120" s="3544"/>
      <c r="Q120" s="3553"/>
      <c r="R120" s="3493"/>
      <c r="S120" s="3505">
        <v>5</v>
      </c>
      <c r="T120" s="3495" t="e">
        <v>#N/A</v>
      </c>
      <c r="U120" s="3496">
        <v>453.97448431601072</v>
      </c>
      <c r="V120" s="3496">
        <v>334.2596685352845</v>
      </c>
      <c r="W120" s="3506">
        <v>82.438613961726517</v>
      </c>
      <c r="X120" s="3507">
        <v>354.33528084391986</v>
      </c>
      <c r="Y120" s="3508">
        <v>419.15434343159637</v>
      </c>
      <c r="Z120" s="3509">
        <v>115.25379416625421</v>
      </c>
      <c r="AA120" s="3508">
        <v>320.67439516593527</v>
      </c>
      <c r="AB120" s="3510">
        <v>102.05644146671754</v>
      </c>
      <c r="AC120" s="3511">
        <v>169.42915005404669</v>
      </c>
      <c r="AD120" s="3508">
        <v>257.10377653433153</v>
      </c>
      <c r="AE120" s="3502">
        <v>291.14624156764404</v>
      </c>
      <c r="AF120" s="3544"/>
      <c r="AG120" s="3553"/>
      <c r="AH120" s="3493"/>
      <c r="AI120" s="3505">
        <v>5</v>
      </c>
      <c r="AJ120" s="3495" t="e">
        <v>#N/A</v>
      </c>
      <c r="AK120" s="3496">
        <v>862.55152020042033</v>
      </c>
      <c r="AL120" s="3496">
        <v>635.0933702170405</v>
      </c>
      <c r="AM120" s="3506">
        <v>156.63336652728037</v>
      </c>
      <c r="AN120" s="3507">
        <v>673.23703360344768</v>
      </c>
      <c r="AO120" s="3508">
        <v>796.39325252003312</v>
      </c>
      <c r="AP120" s="3509">
        <v>218.98220891588298</v>
      </c>
      <c r="AQ120" s="3508">
        <v>609.28135081527694</v>
      </c>
      <c r="AR120" s="3510">
        <v>193.90723878676332</v>
      </c>
      <c r="AS120" s="3511">
        <v>321.91538510268867</v>
      </c>
      <c r="AT120" s="3508">
        <v>488.49717541522989</v>
      </c>
      <c r="AU120" s="3502">
        <v>553.17785897852366</v>
      </c>
      <c r="AV120" s="3544"/>
      <c r="AW120" s="3553"/>
      <c r="AX120" s="3493"/>
      <c r="AY120" s="3505">
        <v>5</v>
      </c>
      <c r="AZ120" s="3495" t="e">
        <v>#N/A</v>
      </c>
      <c r="BA120" s="3496">
        <v>1316.5260045164309</v>
      </c>
      <c r="BB120" s="3496">
        <v>969.35303875232501</v>
      </c>
      <c r="BC120" s="3506">
        <v>239.0719804890069</v>
      </c>
      <c r="BD120" s="3507">
        <v>1027.5723144473675</v>
      </c>
      <c r="BE120" s="3508">
        <v>1215.5475959516295</v>
      </c>
      <c r="BF120" s="3509">
        <v>334.23600308213719</v>
      </c>
      <c r="BG120" s="3508">
        <v>929.9557459812122</v>
      </c>
      <c r="BH120" s="3510">
        <v>295.96368025348085</v>
      </c>
      <c r="BI120" s="3511">
        <v>491.34453515673539</v>
      </c>
      <c r="BJ120" s="3508">
        <v>745.60095194956136</v>
      </c>
      <c r="BK120" s="3502">
        <v>844.32410054616764</v>
      </c>
      <c r="BL120" s="3544"/>
      <c r="BM120" s="3553"/>
      <c r="BN120" s="3493"/>
      <c r="BO120" s="3505">
        <v>5</v>
      </c>
      <c r="BP120" s="3495" t="e">
        <v>#N/A</v>
      </c>
      <c r="BQ120" s="3496">
        <v>1134.9362107900267</v>
      </c>
      <c r="BR120" s="3496">
        <v>835.64917133821132</v>
      </c>
      <c r="BS120" s="3506">
        <v>206.09653490431629</v>
      </c>
      <c r="BT120" s="3507">
        <v>885.83820210979968</v>
      </c>
      <c r="BU120" s="3508">
        <v>1047.885858578991</v>
      </c>
      <c r="BV120" s="3509">
        <v>288.13448541563554</v>
      </c>
      <c r="BW120" s="3508">
        <v>801.68598791483817</v>
      </c>
      <c r="BX120" s="3510">
        <v>255.14110366679387</v>
      </c>
      <c r="BY120" s="3511">
        <v>423.5728751351167</v>
      </c>
      <c r="BZ120" s="3508">
        <v>642.7594413358288</v>
      </c>
      <c r="CA120" s="3502">
        <v>727.86560391911007</v>
      </c>
    </row>
    <row r="121" spans="1:95" ht="13.5" customHeight="1">
      <c r="A121" s="3553"/>
      <c r="B121" s="3493"/>
      <c r="C121" s="3512" t="s">
        <v>1422</v>
      </c>
      <c r="D121" s="3513">
        <v>2.6551912735774206</v>
      </c>
      <c r="E121" s="3514">
        <v>182.22380909628106</v>
      </c>
      <c r="F121" s="3515">
        <v>88.56840375357244</v>
      </c>
      <c r="G121" s="3513">
        <v>9.5206339206420925</v>
      </c>
      <c r="H121" s="3514">
        <v>72.289079706851254</v>
      </c>
      <c r="I121" s="3515">
        <v>52.693290906098554</v>
      </c>
      <c r="J121" s="3516">
        <v>28.555058575730868</v>
      </c>
      <c r="K121" s="3517">
        <v>17.634738835641425</v>
      </c>
      <c r="L121" s="3518">
        <v>8.8482825181843427</v>
      </c>
      <c r="M121" s="3519">
        <v>5.2729072815611993</v>
      </c>
      <c r="N121" s="3517">
        <v>7.0488950908862718</v>
      </c>
      <c r="O121" s="3520">
        <v>26.132755425778292</v>
      </c>
      <c r="P121" s="3544"/>
      <c r="Q121" s="3553"/>
      <c r="R121" s="3493"/>
      <c r="S121" s="3512" t="s">
        <v>1422</v>
      </c>
      <c r="T121" s="3513">
        <v>2.6551912735774206</v>
      </c>
      <c r="U121" s="3514">
        <v>182.22380909628106</v>
      </c>
      <c r="V121" s="3515">
        <v>88.56840375357244</v>
      </c>
      <c r="W121" s="3513">
        <v>9.5206339206420925</v>
      </c>
      <c r="X121" s="3514">
        <v>72.289079706851254</v>
      </c>
      <c r="Y121" s="3515">
        <v>52.693290906098554</v>
      </c>
      <c r="Z121" s="3516">
        <v>28.555058575730868</v>
      </c>
      <c r="AA121" s="3517">
        <v>17.634738835641425</v>
      </c>
      <c r="AB121" s="3518">
        <v>8.8482825181843427</v>
      </c>
      <c r="AC121" s="3519">
        <v>5.2729072815611993</v>
      </c>
      <c r="AD121" s="3517">
        <v>7.0488950908862718</v>
      </c>
      <c r="AE121" s="3520">
        <v>26.132755425778292</v>
      </c>
      <c r="AF121" s="3544"/>
      <c r="AG121" s="3553"/>
      <c r="AH121" s="3493"/>
      <c r="AI121" s="3512" t="s">
        <v>1422</v>
      </c>
      <c r="AJ121" s="3513">
        <v>5.0448634197970987</v>
      </c>
      <c r="AK121" s="3514">
        <v>346.22523728293402</v>
      </c>
      <c r="AL121" s="3515">
        <v>168.27996713178763</v>
      </c>
      <c r="AM121" s="3513">
        <v>18.089204449219974</v>
      </c>
      <c r="AN121" s="3514">
        <v>137.34925144301738</v>
      </c>
      <c r="AO121" s="3515">
        <v>100.11725272158725</v>
      </c>
      <c r="AP121" s="3516">
        <v>54.254611293888644</v>
      </c>
      <c r="AQ121" s="3517">
        <v>33.506003787718704</v>
      </c>
      <c r="AR121" s="3518">
        <v>16.811736784550252</v>
      </c>
      <c r="AS121" s="3519">
        <v>10.018523834966278</v>
      </c>
      <c r="AT121" s="3517">
        <v>13.392900672683915</v>
      </c>
      <c r="AU121" s="3520">
        <v>49.652235308978753</v>
      </c>
      <c r="AV121" s="3544"/>
      <c r="AW121" s="3553"/>
      <c r="AX121" s="3493"/>
      <c r="AY121" s="3512" t="s">
        <v>1422</v>
      </c>
      <c r="AZ121" s="3513">
        <v>7.7000546933745193</v>
      </c>
      <c r="BA121" s="3514">
        <v>528.44904637921502</v>
      </c>
      <c r="BB121" s="3515">
        <v>256.84837088536005</v>
      </c>
      <c r="BC121" s="3513">
        <v>27.609838369862068</v>
      </c>
      <c r="BD121" s="3514">
        <v>209.63833114986863</v>
      </c>
      <c r="BE121" s="3515">
        <v>152.8105436276858</v>
      </c>
      <c r="BF121" s="3516">
        <v>82.809669869619512</v>
      </c>
      <c r="BG121" s="3517">
        <v>51.140742623360133</v>
      </c>
      <c r="BH121" s="3518">
        <v>25.660019302734593</v>
      </c>
      <c r="BI121" s="3519">
        <v>15.291431116527477</v>
      </c>
      <c r="BJ121" s="3517">
        <v>20.441795763570187</v>
      </c>
      <c r="BK121" s="3520">
        <v>75.784990734757045</v>
      </c>
      <c r="BL121" s="3544"/>
      <c r="BM121" s="3553"/>
      <c r="BN121" s="3493"/>
      <c r="BO121" s="3512" t="s">
        <v>1422</v>
      </c>
      <c r="BP121" s="3513">
        <v>6.6379781839435514</v>
      </c>
      <c r="BQ121" s="3514">
        <v>455.55952274070262</v>
      </c>
      <c r="BR121" s="3515">
        <v>221.42100938393111</v>
      </c>
      <c r="BS121" s="3513">
        <v>23.80158480160523</v>
      </c>
      <c r="BT121" s="3514">
        <v>180.72269926712812</v>
      </c>
      <c r="BU121" s="3515">
        <v>131.7332272652464</v>
      </c>
      <c r="BV121" s="3516">
        <v>71.38764643932717</v>
      </c>
      <c r="BW121" s="3517">
        <v>44.086847089103564</v>
      </c>
      <c r="BX121" s="3518">
        <v>22.120706295460856</v>
      </c>
      <c r="BY121" s="3519">
        <v>13.182268203902998</v>
      </c>
      <c r="BZ121" s="3517">
        <v>17.62223772721568</v>
      </c>
      <c r="CA121" s="3520">
        <v>65.331888564445734</v>
      </c>
    </row>
    <row r="122" spans="1:95" ht="13.5" customHeight="1">
      <c r="A122" s="3521" t="s">
        <v>1095</v>
      </c>
      <c r="B122" s="3522"/>
      <c r="C122" s="3523" t="s">
        <v>1096</v>
      </c>
      <c r="D122" s="3524">
        <v>0</v>
      </c>
      <c r="E122" s="3525">
        <v>0.16555393311927047</v>
      </c>
      <c r="F122" s="3526">
        <v>0.16555393311927047</v>
      </c>
      <c r="G122" s="3524">
        <v>0</v>
      </c>
      <c r="H122" s="3525">
        <v>0.16555393311927047</v>
      </c>
      <c r="I122" s="3526">
        <v>0.16555393311927047</v>
      </c>
      <c r="J122" s="3527">
        <v>0.16555393311927047</v>
      </c>
      <c r="K122" s="3526">
        <v>0.16555393311927047</v>
      </c>
      <c r="L122" s="3527">
        <v>0</v>
      </c>
      <c r="M122" s="3528">
        <v>0.16555393311927047</v>
      </c>
      <c r="N122" s="3526">
        <v>0.16555393311927047</v>
      </c>
      <c r="O122" s="3529">
        <v>0.13476087647389076</v>
      </c>
      <c r="P122" s="3544"/>
      <c r="Q122" s="3521" t="s">
        <v>1095</v>
      </c>
      <c r="R122" s="3522"/>
      <c r="S122" s="3523" t="s">
        <v>1096</v>
      </c>
      <c r="T122" s="3524">
        <v>0</v>
      </c>
      <c r="U122" s="3525">
        <v>0.16555393311927047</v>
      </c>
      <c r="V122" s="3526">
        <v>0.16555393311927047</v>
      </c>
      <c r="W122" s="3524">
        <v>0</v>
      </c>
      <c r="X122" s="3525">
        <v>0.16555393311927047</v>
      </c>
      <c r="Y122" s="3526">
        <v>0.16555393311927047</v>
      </c>
      <c r="Z122" s="3527">
        <v>0.16555393311927047</v>
      </c>
      <c r="AA122" s="3526">
        <v>0.16555393311927047</v>
      </c>
      <c r="AB122" s="3527">
        <v>0</v>
      </c>
      <c r="AC122" s="3528">
        <v>0.16555393311927047</v>
      </c>
      <c r="AD122" s="3526">
        <v>0.16555393311927047</v>
      </c>
      <c r="AE122" s="3529">
        <v>0.13630460189272159</v>
      </c>
      <c r="AF122" s="3544"/>
      <c r="AG122" s="3521" t="s">
        <v>1095</v>
      </c>
      <c r="AH122" s="3522"/>
      <c r="AI122" s="3523" t="s">
        <v>1096</v>
      </c>
      <c r="AJ122" s="3524">
        <v>1.4899853980734343</v>
      </c>
      <c r="AK122" s="3525">
        <v>7.9465887897249834</v>
      </c>
      <c r="AL122" s="3526">
        <v>33.276340556973366</v>
      </c>
      <c r="AM122" s="3524">
        <v>1.4899853980734343</v>
      </c>
      <c r="AN122" s="3525">
        <v>5.9599415922937373</v>
      </c>
      <c r="AO122" s="3526">
        <v>33.276340556973366</v>
      </c>
      <c r="AP122" s="3527">
        <v>5.7943876591744674</v>
      </c>
      <c r="AQ122" s="3526">
        <v>33.276340556973366</v>
      </c>
      <c r="AR122" s="3527">
        <v>1.4899853980734343</v>
      </c>
      <c r="AS122" s="3528">
        <v>4.9666179935781143</v>
      </c>
      <c r="AT122" s="3526">
        <v>33.276340556973366</v>
      </c>
      <c r="AU122" s="3529">
        <v>10.132286585556463</v>
      </c>
      <c r="AV122" s="3544"/>
      <c r="AW122" s="3521" t="s">
        <v>1095</v>
      </c>
      <c r="AX122" s="3522"/>
      <c r="AY122" s="3523" t="s">
        <v>1096</v>
      </c>
      <c r="AZ122" s="3524">
        <v>5.9599415922937373</v>
      </c>
      <c r="BA122" s="3525">
        <v>27.813060764037441</v>
      </c>
      <c r="BB122" s="3526">
        <v>137.07865662275594</v>
      </c>
      <c r="BC122" s="3524">
        <v>5.9599415922937373</v>
      </c>
      <c r="BD122" s="3525">
        <v>21.02534950614735</v>
      </c>
      <c r="BE122" s="3526">
        <v>137.07865662275594</v>
      </c>
      <c r="BF122" s="3527">
        <v>20.69424163990881</v>
      </c>
      <c r="BG122" s="3526">
        <v>137.07865662275594</v>
      </c>
      <c r="BH122" s="3527">
        <v>5.9599415922937373</v>
      </c>
      <c r="BI122" s="3528">
        <v>18.045378710000485</v>
      </c>
      <c r="BJ122" s="3526">
        <v>137.07865662275594</v>
      </c>
      <c r="BK122" s="3529">
        <v>15.636619041325179</v>
      </c>
      <c r="BL122" s="3544"/>
      <c r="BM122" s="3521" t="s">
        <v>1095</v>
      </c>
      <c r="BN122" s="3522"/>
      <c r="BO122" s="3523" t="s">
        <v>1096</v>
      </c>
      <c r="BP122" s="3524">
        <v>0</v>
      </c>
      <c r="BQ122" s="3525">
        <v>0</v>
      </c>
      <c r="BR122" s="3526">
        <v>0</v>
      </c>
      <c r="BS122" s="3524">
        <v>0</v>
      </c>
      <c r="BT122" s="3525">
        <v>0</v>
      </c>
      <c r="BU122" s="3526">
        <v>0</v>
      </c>
      <c r="BV122" s="3527">
        <v>0</v>
      </c>
      <c r="BW122" s="3526">
        <v>0</v>
      </c>
      <c r="BX122" s="3527">
        <v>0</v>
      </c>
      <c r="BY122" s="3528">
        <v>0</v>
      </c>
      <c r="BZ122" s="3526">
        <v>0</v>
      </c>
      <c r="CA122" s="3529">
        <v>0</v>
      </c>
    </row>
    <row r="123" spans="1:95" ht="13.5" customHeight="1">
      <c r="A123" s="3521" t="s">
        <v>477</v>
      </c>
      <c r="B123" s="3522"/>
      <c r="C123" s="3530" t="s">
        <v>1096</v>
      </c>
      <c r="D123" s="3531">
        <v>0</v>
      </c>
      <c r="E123" s="3532">
        <v>7.0402191067097313</v>
      </c>
      <c r="F123" s="3533">
        <v>7.0402191067097313</v>
      </c>
      <c r="G123" s="3531">
        <v>0</v>
      </c>
      <c r="H123" s="3532">
        <v>7.0402191067097313</v>
      </c>
      <c r="I123" s="3534">
        <v>7.0402191067097313</v>
      </c>
      <c r="J123" s="3535">
        <v>7.0402191067097313</v>
      </c>
      <c r="K123" s="3533">
        <v>7.0402191067097313</v>
      </c>
      <c r="L123" s="3535">
        <v>0</v>
      </c>
      <c r="M123" s="3536">
        <v>1.6427177915656039</v>
      </c>
      <c r="N123" s="3533">
        <v>1.6427177915656039</v>
      </c>
      <c r="O123" s="3502">
        <v>3.7409715845580673</v>
      </c>
      <c r="P123" s="3544"/>
      <c r="Q123" s="3521" t="s">
        <v>477</v>
      </c>
      <c r="R123" s="3522"/>
      <c r="S123" s="3530" t="s">
        <v>1096</v>
      </c>
      <c r="T123" s="3531">
        <v>0</v>
      </c>
      <c r="U123" s="3532">
        <v>7.0402191067097313</v>
      </c>
      <c r="V123" s="3533">
        <v>7.0402191067097313</v>
      </c>
      <c r="W123" s="3531">
        <v>0</v>
      </c>
      <c r="X123" s="3532">
        <v>7.0402191067097313</v>
      </c>
      <c r="Y123" s="3534">
        <v>7.0402191067097313</v>
      </c>
      <c r="Z123" s="3535">
        <v>7.0402191067097313</v>
      </c>
      <c r="AA123" s="3533">
        <v>7.0402191067097313</v>
      </c>
      <c r="AB123" s="3535">
        <v>0</v>
      </c>
      <c r="AC123" s="3536">
        <v>1.6427177915656039</v>
      </c>
      <c r="AD123" s="3533">
        <v>1.6427177915656039</v>
      </c>
      <c r="AE123" s="3502">
        <v>3.6457391770636378</v>
      </c>
      <c r="AF123" s="3544"/>
      <c r="AG123" s="3521" t="s">
        <v>477</v>
      </c>
      <c r="AH123" s="3522"/>
      <c r="AI123" s="3530" t="s">
        <v>1096</v>
      </c>
      <c r="AJ123" s="3531">
        <v>0.70402191067097319</v>
      </c>
      <c r="AK123" s="3532">
        <v>7.5095670471570486</v>
      </c>
      <c r="AL123" s="3533">
        <v>7.5095670471570486</v>
      </c>
      <c r="AM123" s="3531">
        <v>0.70402191067097319</v>
      </c>
      <c r="AN123" s="3532">
        <v>7.5095670471570486</v>
      </c>
      <c r="AO123" s="3534">
        <v>7.5095670471570486</v>
      </c>
      <c r="AP123" s="3535">
        <v>7.5095670471570486</v>
      </c>
      <c r="AQ123" s="3533">
        <v>7.5095670471570486</v>
      </c>
      <c r="AR123" s="3535">
        <v>0.70402191067097319</v>
      </c>
      <c r="AS123" s="3536">
        <v>7.9789149876043632</v>
      </c>
      <c r="AT123" s="3533">
        <v>7.9789149876043632</v>
      </c>
      <c r="AU123" s="3502">
        <v>5.6577835143548043</v>
      </c>
      <c r="AV123" s="3544"/>
      <c r="AW123" s="3521" t="s">
        <v>477</v>
      </c>
      <c r="AX123" s="3522"/>
      <c r="AY123" s="3530" t="s">
        <v>1096</v>
      </c>
      <c r="AZ123" s="3531">
        <v>0.70402191067097319</v>
      </c>
      <c r="BA123" s="3532">
        <v>7.5095670471570486</v>
      </c>
      <c r="BB123" s="3533">
        <v>7.5095670471570486</v>
      </c>
      <c r="BC123" s="3531">
        <v>0.70402191067097319</v>
      </c>
      <c r="BD123" s="3532">
        <v>7.5095670471570486</v>
      </c>
      <c r="BE123" s="3534">
        <v>7.5095670471570486</v>
      </c>
      <c r="BF123" s="3535">
        <v>7.5095670471570486</v>
      </c>
      <c r="BG123" s="3533">
        <v>7.5095670471570486</v>
      </c>
      <c r="BH123" s="3535">
        <v>0.70402191067097319</v>
      </c>
      <c r="BI123" s="3536">
        <v>7.9789149876043632</v>
      </c>
      <c r="BJ123" s="3533">
        <v>7.9789149876043632</v>
      </c>
      <c r="BK123" s="3502">
        <v>3.8961207148331245</v>
      </c>
      <c r="BL123" s="3544"/>
      <c r="BM123" s="3521" t="s">
        <v>477</v>
      </c>
      <c r="BN123" s="3522"/>
      <c r="BO123" s="3530" t="s">
        <v>1096</v>
      </c>
      <c r="BP123" s="3531">
        <v>0</v>
      </c>
      <c r="BQ123" s="3532">
        <v>0</v>
      </c>
      <c r="BR123" s="3533">
        <v>0</v>
      </c>
      <c r="BS123" s="3531">
        <v>0</v>
      </c>
      <c r="BT123" s="3532">
        <v>0</v>
      </c>
      <c r="BU123" s="3534">
        <v>0</v>
      </c>
      <c r="BV123" s="3535">
        <v>0</v>
      </c>
      <c r="BW123" s="3533">
        <v>0</v>
      </c>
      <c r="BX123" s="3535">
        <v>0</v>
      </c>
      <c r="BY123" s="3536">
        <v>0</v>
      </c>
      <c r="BZ123" s="3533">
        <v>0</v>
      </c>
      <c r="CA123" s="3502">
        <v>0</v>
      </c>
    </row>
    <row r="124" spans="1:95" ht="13.5" customHeight="1">
      <c r="A124" s="3521" t="s">
        <v>1097</v>
      </c>
      <c r="B124" s="3522"/>
      <c r="C124" s="3530" t="s">
        <v>1096</v>
      </c>
      <c r="D124" s="3535">
        <v>0.38534433485196762</v>
      </c>
      <c r="E124" s="3532">
        <v>0.44032141747727827</v>
      </c>
      <c r="F124" s="3537">
        <v>0.5521340869378295</v>
      </c>
      <c r="G124" s="3531">
        <v>0.16070926690440718</v>
      </c>
      <c r="H124" s="3532">
        <v>0.14851281432273344</v>
      </c>
      <c r="I124" s="3537">
        <v>0.15959076862561294</v>
      </c>
      <c r="J124" s="3531">
        <v>0.10439830183839829</v>
      </c>
      <c r="K124" s="3537">
        <v>0.11168756925703384</v>
      </c>
      <c r="L124" s="3531">
        <v>4.8323932387952948E-2</v>
      </c>
      <c r="M124" s="3538">
        <v>4.0508351694299463E-2</v>
      </c>
      <c r="N124" s="3534">
        <v>3.6195763082146559E-2</v>
      </c>
      <c r="O124" s="3539">
        <v>0.10616973788641136</v>
      </c>
      <c r="P124" s="3544"/>
      <c r="Q124" s="3521" t="s">
        <v>1097</v>
      </c>
      <c r="R124" s="3522"/>
      <c r="S124" s="3530" t="s">
        <v>1096</v>
      </c>
      <c r="T124" s="3535">
        <v>0.76706064471513746</v>
      </c>
      <c r="U124" s="3532">
        <v>0.81531999485472184</v>
      </c>
      <c r="V124" s="3537">
        <v>0.99801887127029887</v>
      </c>
      <c r="W124" s="3531">
        <v>0.28215063686557285</v>
      </c>
      <c r="X124" s="3532">
        <v>0.24933203396011189</v>
      </c>
      <c r="Y124" s="3537">
        <v>0.26440985036909143</v>
      </c>
      <c r="Z124" s="3531">
        <v>0.17845948380092047</v>
      </c>
      <c r="AA124" s="3537">
        <v>0.18644748849904461</v>
      </c>
      <c r="AB124" s="3531">
        <v>8.4643467837830375E-2</v>
      </c>
      <c r="AC124" s="3538">
        <v>7.3614015790415849E-2</v>
      </c>
      <c r="AD124" s="3534">
        <v>5.4880833188951449E-2</v>
      </c>
      <c r="AE124" s="3539">
        <v>0.18371130386704745</v>
      </c>
      <c r="AF124" s="3544"/>
      <c r="AG124" s="3521" t="s">
        <v>1097</v>
      </c>
      <c r="AH124" s="3522"/>
      <c r="AI124" s="3530" t="s">
        <v>1096</v>
      </c>
      <c r="AJ124" s="3535">
        <v>1.4558621637501519</v>
      </c>
      <c r="AK124" s="3532">
        <v>2.5630758069866819</v>
      </c>
      <c r="AL124" s="3537">
        <v>3.1122418175345561</v>
      </c>
      <c r="AM124" s="3531">
        <v>0.6588779846434244</v>
      </c>
      <c r="AN124" s="3532">
        <v>0.81184535767559574</v>
      </c>
      <c r="AO124" s="3537">
        <v>0.93497468955261331</v>
      </c>
      <c r="AP124" s="3531">
        <v>0.55200603394842485</v>
      </c>
      <c r="AQ124" s="3537">
        <v>0.64923964591897965</v>
      </c>
      <c r="AR124" s="3531">
        <v>0.19211475210713899</v>
      </c>
      <c r="AS124" s="3538">
        <v>0.18405221671208249</v>
      </c>
      <c r="AT124" s="3534">
        <v>0.14041947410455907</v>
      </c>
      <c r="AU124" s="3539">
        <v>0.46193245753406725</v>
      </c>
      <c r="AV124" s="3544"/>
      <c r="AW124" s="3521" t="s">
        <v>1097</v>
      </c>
      <c r="AX124" s="3522"/>
      <c r="AY124" s="3530" t="s">
        <v>1096</v>
      </c>
      <c r="AZ124" s="3535">
        <v>2.5293555530643888</v>
      </c>
      <c r="BA124" s="3532">
        <v>4.4324549898750645</v>
      </c>
      <c r="BB124" s="3537">
        <v>5.8326641526121978</v>
      </c>
      <c r="BC124" s="3531">
        <v>1.1179527739417774</v>
      </c>
      <c r="BD124" s="3532">
        <v>1.3720378534619266</v>
      </c>
      <c r="BE124" s="3537">
        <v>1.7657892217687043</v>
      </c>
      <c r="BF124" s="3531">
        <v>1.0303894409008054</v>
      </c>
      <c r="BG124" s="3537">
        <v>1.2500927482346236</v>
      </c>
      <c r="BH124" s="3531">
        <v>0.33451131300306647</v>
      </c>
      <c r="BI124" s="3538">
        <v>0.32562631774545936</v>
      </c>
      <c r="BJ124" s="3534">
        <v>0.25174126155526783</v>
      </c>
      <c r="BK124" s="3539">
        <v>0.58896356951765338</v>
      </c>
      <c r="BL124" s="3544"/>
      <c r="BM124" s="3521" t="s">
        <v>1097</v>
      </c>
      <c r="BN124" s="3522"/>
      <c r="BO124" s="3530" t="s">
        <v>1096</v>
      </c>
      <c r="BP124" s="3535">
        <v>2.0991671046574774</v>
      </c>
      <c r="BQ124" s="3532">
        <v>4.4734521570296133</v>
      </c>
      <c r="BR124" s="3537">
        <v>4.955238520983686</v>
      </c>
      <c r="BS124" s="3531">
        <v>1.0292572154066104</v>
      </c>
      <c r="BT124" s="3532">
        <v>1.4234011143098355</v>
      </c>
      <c r="BU124" s="3537">
        <v>1.5791750356755578</v>
      </c>
      <c r="BV124" s="3531">
        <v>0.76303249483345037</v>
      </c>
      <c r="BW124" s="3537">
        <v>0.98050093666119142</v>
      </c>
      <c r="BX124" s="3531">
        <v>0.27922157729465752</v>
      </c>
      <c r="BY124" s="3538">
        <v>0.23042032712517654</v>
      </c>
      <c r="BZ124" s="3534">
        <v>0.18540278879542571</v>
      </c>
      <c r="CA124" s="3539">
        <v>1.2961904193362954</v>
      </c>
    </row>
    <row r="125" spans="1:95" ht="13.5" customHeight="1">
      <c r="A125" s="3521" t="s">
        <v>1074</v>
      </c>
      <c r="B125" s="3522"/>
      <c r="C125" s="3530" t="s">
        <v>1096</v>
      </c>
      <c r="D125" s="3531">
        <v>0.46934794044731554</v>
      </c>
      <c r="E125" s="3532">
        <v>0.46934794044731554</v>
      </c>
      <c r="F125" s="3534">
        <v>0.46934794044731554</v>
      </c>
      <c r="G125" s="3531">
        <v>0.46934794044731554</v>
      </c>
      <c r="H125" s="3532">
        <v>0.46934794044731554</v>
      </c>
      <c r="I125" s="3534">
        <v>0.46934794044731554</v>
      </c>
      <c r="J125" s="3531">
        <v>0.46934794044731554</v>
      </c>
      <c r="K125" s="3534">
        <v>0.46934794044731554</v>
      </c>
      <c r="L125" s="3531">
        <v>0</v>
      </c>
      <c r="M125" s="3532">
        <v>0</v>
      </c>
      <c r="N125" s="3534">
        <v>0.23467397022365777</v>
      </c>
      <c r="O125" s="3540">
        <v>0.26291840278746642</v>
      </c>
      <c r="P125" s="3544"/>
      <c r="Q125" s="3521" t="s">
        <v>1074</v>
      </c>
      <c r="R125" s="3522"/>
      <c r="S125" s="3530" t="s">
        <v>1096</v>
      </c>
      <c r="T125" s="3531">
        <v>0.46934794044731554</v>
      </c>
      <c r="U125" s="3532">
        <v>0.46934794044731554</v>
      </c>
      <c r="V125" s="3534">
        <v>0.46934794044731554</v>
      </c>
      <c r="W125" s="3531">
        <v>0.46934794044731554</v>
      </c>
      <c r="X125" s="3532">
        <v>0.46934794044731554</v>
      </c>
      <c r="Y125" s="3534">
        <v>0.46934794044731554</v>
      </c>
      <c r="Z125" s="3531">
        <v>0.46934794044731554</v>
      </c>
      <c r="AA125" s="3534">
        <v>0.46934794044731554</v>
      </c>
      <c r="AB125" s="3531">
        <v>0</v>
      </c>
      <c r="AC125" s="3532">
        <v>0</v>
      </c>
      <c r="AD125" s="3534">
        <v>0.23467397022365777</v>
      </c>
      <c r="AE125" s="3540">
        <v>0.26422114879656905</v>
      </c>
      <c r="AF125" s="3544"/>
      <c r="AG125" s="3521" t="s">
        <v>1074</v>
      </c>
      <c r="AH125" s="3522"/>
      <c r="AI125" s="3530" t="s">
        <v>1096</v>
      </c>
      <c r="AJ125" s="3531">
        <v>11.499024540959232</v>
      </c>
      <c r="AK125" s="3532">
        <v>13.845764243195809</v>
      </c>
      <c r="AL125" s="3534">
        <v>16.661851885879699</v>
      </c>
      <c r="AM125" s="3531">
        <v>11.968372481406544</v>
      </c>
      <c r="AN125" s="3532">
        <v>11.733698511182888</v>
      </c>
      <c r="AO125" s="3534">
        <v>11.733698511182888</v>
      </c>
      <c r="AP125" s="3531">
        <v>10.325654689840942</v>
      </c>
      <c r="AQ125" s="3534">
        <v>10.325654689840942</v>
      </c>
      <c r="AR125" s="3531">
        <v>2.1120657320129199</v>
      </c>
      <c r="AS125" s="3532">
        <v>2.1120657320129199</v>
      </c>
      <c r="AT125" s="3534">
        <v>2.5814136724602355</v>
      </c>
      <c r="AU125" s="3540">
        <v>5.7274563567198911</v>
      </c>
      <c r="AV125" s="3544"/>
      <c r="AW125" s="3521" t="s">
        <v>1074</v>
      </c>
      <c r="AX125" s="3522"/>
      <c r="AY125" s="3530" t="s">
        <v>1096</v>
      </c>
      <c r="AZ125" s="3531">
        <v>22.763375111694799</v>
      </c>
      <c r="BA125" s="3532">
        <v>27.456854516167954</v>
      </c>
      <c r="BB125" s="3534">
        <v>33.323703771759398</v>
      </c>
      <c r="BC125" s="3531">
        <v>23.702070992589434</v>
      </c>
      <c r="BD125" s="3532">
        <v>23.467397022365777</v>
      </c>
      <c r="BE125" s="3534">
        <v>23.467397022365777</v>
      </c>
      <c r="BF125" s="3531">
        <v>20.416635409458223</v>
      </c>
      <c r="BG125" s="3534">
        <v>20.651309379681884</v>
      </c>
      <c r="BH125" s="3531">
        <v>4.2241314640258398</v>
      </c>
      <c r="BI125" s="3532">
        <v>4.2241314640258398</v>
      </c>
      <c r="BJ125" s="3534">
        <v>5.3975013151441287</v>
      </c>
      <c r="BK125" s="3540">
        <v>9.2373082658903449</v>
      </c>
      <c r="BL125" s="3544"/>
      <c r="BM125" s="3521" t="s">
        <v>1074</v>
      </c>
      <c r="BN125" s="3522"/>
      <c r="BO125" s="3530" t="s">
        <v>1096</v>
      </c>
      <c r="BP125" s="3531">
        <v>0</v>
      </c>
      <c r="BQ125" s="3532">
        <v>0</v>
      </c>
      <c r="BR125" s="3534">
        <v>0</v>
      </c>
      <c r="BS125" s="3531">
        <v>0</v>
      </c>
      <c r="BT125" s="3532">
        <v>0</v>
      </c>
      <c r="BU125" s="3534">
        <v>0</v>
      </c>
      <c r="BV125" s="3531">
        <v>0</v>
      </c>
      <c r="BW125" s="3534">
        <v>0</v>
      </c>
      <c r="BX125" s="3531">
        <v>0</v>
      </c>
      <c r="BY125" s="3532">
        <v>0</v>
      </c>
      <c r="BZ125" s="3534">
        <v>0</v>
      </c>
      <c r="CA125" s="3540">
        <v>0</v>
      </c>
    </row>
    <row r="126" spans="1:95" ht="13.5" customHeight="1">
      <c r="A126" s="3521" t="s">
        <v>397</v>
      </c>
      <c r="B126" s="3522"/>
      <c r="C126" s="3530" t="s">
        <v>1096</v>
      </c>
      <c r="D126" s="3531">
        <v>0.73556675581570474</v>
      </c>
      <c r="E126" s="3532">
        <v>0.86532086473340919</v>
      </c>
      <c r="F126" s="3537">
        <v>1.0567529230777526</v>
      </c>
      <c r="G126" s="3531">
        <v>0.7099343646556272</v>
      </c>
      <c r="H126" s="3532">
        <v>0.75413202493920117</v>
      </c>
      <c r="I126" s="3537">
        <v>0.82766809320153967</v>
      </c>
      <c r="J126" s="3531">
        <v>0.69279447175580855</v>
      </c>
      <c r="K126" s="3537">
        <v>0.77246318346496357</v>
      </c>
      <c r="L126" s="3531">
        <v>0.72135092883389351</v>
      </c>
      <c r="M126" s="3532">
        <v>0.6747520019402371</v>
      </c>
      <c r="N126" s="3537">
        <v>0.66654525278445209</v>
      </c>
      <c r="O126" s="3539">
        <v>0.72870545208390403</v>
      </c>
      <c r="P126" s="3544"/>
      <c r="Q126" s="3521" t="s">
        <v>397</v>
      </c>
      <c r="R126" s="3522"/>
      <c r="S126" s="3530" t="s">
        <v>1096</v>
      </c>
      <c r="T126" s="3531">
        <v>1.5438014713563555</v>
      </c>
      <c r="U126" s="3532">
        <v>1.4753813355145471</v>
      </c>
      <c r="V126" s="3537">
        <v>1.8586775819996115</v>
      </c>
      <c r="W126" s="3531">
        <v>1.446389198710446</v>
      </c>
      <c r="X126" s="3532">
        <v>1.2650065973043034</v>
      </c>
      <c r="Y126" s="3537">
        <v>1.3511167740897925</v>
      </c>
      <c r="Z126" s="3531">
        <v>1.1800720125621638</v>
      </c>
      <c r="AA126" s="3537">
        <v>1.2420380592240516</v>
      </c>
      <c r="AB126" s="3531">
        <v>1.4945129139472186</v>
      </c>
      <c r="AC126" s="3532">
        <v>1.3386752056330193</v>
      </c>
      <c r="AD126" s="3537">
        <v>1.1891104656619986</v>
      </c>
      <c r="AE126" s="3539">
        <v>1.3236254358246067</v>
      </c>
      <c r="AF126" s="3544"/>
      <c r="AG126" s="3521" t="s">
        <v>397</v>
      </c>
      <c r="AH126" s="3522"/>
      <c r="AI126" s="3530" t="s">
        <v>1096</v>
      </c>
      <c r="AJ126" s="3531">
        <v>6.0531990836456151</v>
      </c>
      <c r="AK126" s="3532">
        <v>7.6372963562456846</v>
      </c>
      <c r="AL126" s="3537">
        <v>9.0314409496108592</v>
      </c>
      <c r="AM126" s="3531">
        <v>5.9499521797849733</v>
      </c>
      <c r="AN126" s="3532">
        <v>6.4638855157862691</v>
      </c>
      <c r="AO126" s="3537">
        <v>7.3078020775737871</v>
      </c>
      <c r="AP126" s="3531">
        <v>5.9106868328667543</v>
      </c>
      <c r="AQ126" s="3537">
        <v>6.7350613318164152</v>
      </c>
      <c r="AR126" s="3531">
        <v>6.0034448392046187</v>
      </c>
      <c r="AS126" s="3532">
        <v>5.6668288191653131</v>
      </c>
      <c r="AT126" s="3537">
        <v>5.585909507439748</v>
      </c>
      <c r="AU126" s="3539">
        <v>6.0528133368443031</v>
      </c>
      <c r="AV126" s="3544"/>
      <c r="AW126" s="3521" t="s">
        <v>397</v>
      </c>
      <c r="AX126" s="3522"/>
      <c r="AY126" s="3530" t="s">
        <v>1096</v>
      </c>
      <c r="AZ126" s="3531">
        <v>7.7323563258347754</v>
      </c>
      <c r="BA126" s="3532">
        <v>10.759792690249368</v>
      </c>
      <c r="BB126" s="3537">
        <v>13.096542517867741</v>
      </c>
      <c r="BC126" s="3531">
        <v>7.6780483505626869</v>
      </c>
      <c r="BD126" s="3532">
        <v>8.7029909739046136</v>
      </c>
      <c r="BE126" s="3537">
        <v>10.651926557718193</v>
      </c>
      <c r="BF126" s="3531">
        <v>8.3404744605202339</v>
      </c>
      <c r="BG126" s="3537">
        <v>9.8743106546364796</v>
      </c>
      <c r="BH126" s="3531">
        <v>7.695929257703793</v>
      </c>
      <c r="BI126" s="3532">
        <v>7.4683297975333751</v>
      </c>
      <c r="BJ126" s="3537">
        <v>7.4757524871211389</v>
      </c>
      <c r="BK126" s="3539">
        <v>7.7718390117028182</v>
      </c>
      <c r="BL126" s="3544"/>
      <c r="BM126" s="3521" t="s">
        <v>397</v>
      </c>
      <c r="BN126" s="3522"/>
      <c r="BO126" s="3530" t="s">
        <v>1096</v>
      </c>
      <c r="BP126" s="3531">
        <v>6.3020208195925038</v>
      </c>
      <c r="BQ126" s="3532">
        <v>5.3974282285102717</v>
      </c>
      <c r="BR126" s="3537">
        <v>6.4543527043841253</v>
      </c>
      <c r="BS126" s="3531">
        <v>6.3004390874099636</v>
      </c>
      <c r="BT126" s="3532">
        <v>6.8976459561924583</v>
      </c>
      <c r="BU126" s="3537">
        <v>7.7902444702630431</v>
      </c>
      <c r="BV126" s="3531">
        <v>5.6331986413976933</v>
      </c>
      <c r="BW126" s="3537">
        <v>6.8094445528318142</v>
      </c>
      <c r="BX126" s="3531">
        <v>6.2883861772257994</v>
      </c>
      <c r="BY126" s="3532">
        <v>5.1258143258338853</v>
      </c>
      <c r="BZ126" s="3537">
        <v>5.2721867446598099</v>
      </c>
      <c r="CA126" s="3539">
        <v>6.1085310241567861</v>
      </c>
    </row>
    <row r="127" spans="1:95" ht="13.5" customHeight="1">
      <c r="A127" s="3521" t="s">
        <v>1098</v>
      </c>
      <c r="B127" s="3493"/>
      <c r="C127" s="3530" t="s">
        <v>1096</v>
      </c>
      <c r="D127" s="3495">
        <v>-1.803845579227898</v>
      </c>
      <c r="E127" s="3496">
        <v>-2.2073514622075887</v>
      </c>
      <c r="F127" s="3496">
        <v>-2.8026617947832246</v>
      </c>
      <c r="G127" s="3503">
        <v>-1.7241346497305687</v>
      </c>
      <c r="H127" s="3504">
        <v>-1.8615793602458326</v>
      </c>
      <c r="I127" s="3501">
        <v>-2.0902598729675463</v>
      </c>
      <c r="J127" s="3500">
        <v>-1.6708334658497166</v>
      </c>
      <c r="K127" s="3501">
        <v>-1.9185851103425007</v>
      </c>
      <c r="L127" s="3495">
        <v>-1.7596375779057938</v>
      </c>
      <c r="M127" s="3496">
        <v>-1.6147254722394027</v>
      </c>
      <c r="N127" s="3501">
        <v>-1.5892043416014652</v>
      </c>
      <c r="O127" s="3502">
        <v>-1.7825084790482955</v>
      </c>
      <c r="P127" s="3544"/>
      <c r="Q127" s="3521" t="s">
        <v>1098</v>
      </c>
      <c r="R127" s="3493"/>
      <c r="S127" s="3530" t="s">
        <v>1096</v>
      </c>
      <c r="T127" s="3495">
        <v>-4.7183739713064599</v>
      </c>
      <c r="U127" s="3496">
        <v>-4.5079391320581257</v>
      </c>
      <c r="V127" s="3496">
        <v>-5.6868155406063785</v>
      </c>
      <c r="W127" s="3503">
        <v>-4.4187701239470831</v>
      </c>
      <c r="X127" s="3504">
        <v>-3.8609048391192951</v>
      </c>
      <c r="Y127" s="3501">
        <v>-4.1257476516415625</v>
      </c>
      <c r="Z127" s="3500">
        <v>-3.5996777096064241</v>
      </c>
      <c r="AA127" s="3501">
        <v>-3.7902621758269839</v>
      </c>
      <c r="AB127" s="3495">
        <v>-4.566780737420534</v>
      </c>
      <c r="AC127" s="3496">
        <v>-4.087482023753136</v>
      </c>
      <c r="AD127" s="3501">
        <v>-3.627476622919239</v>
      </c>
      <c r="AE127" s="3502">
        <v>-4.0411945405233434</v>
      </c>
      <c r="AF127" s="3544"/>
      <c r="AG127" s="3521" t="s">
        <v>1098</v>
      </c>
      <c r="AH127" s="3493"/>
      <c r="AI127" s="3530" t="s">
        <v>1096</v>
      </c>
      <c r="AJ127" s="3495">
        <v>-18.583834171342541</v>
      </c>
      <c r="AK127" s="3496">
        <v>-23.44714704416911</v>
      </c>
      <c r="AL127" s="3496">
        <v>-27.727289094010374</v>
      </c>
      <c r="AM127" s="3503">
        <v>-18.266857426725853</v>
      </c>
      <c r="AN127" s="3504">
        <v>-19.844676322056294</v>
      </c>
      <c r="AO127" s="3501">
        <v>-22.435571685316567</v>
      </c>
      <c r="AP127" s="3500">
        <v>-18.146309484104915</v>
      </c>
      <c r="AQ127" s="3501">
        <v>-20.677209058340864</v>
      </c>
      <c r="AR127" s="3495">
        <v>-18.431084424434324</v>
      </c>
      <c r="AS127" s="3496">
        <v>-17.397644716044585</v>
      </c>
      <c r="AT127" s="3501">
        <v>-17.149215571457223</v>
      </c>
      <c r="AU127" s="3502">
        <v>-18.582649895972011</v>
      </c>
      <c r="AV127" s="3544"/>
      <c r="AW127" s="3521" t="s">
        <v>1098</v>
      </c>
      <c r="AX127" s="3493"/>
      <c r="AY127" s="3530" t="s">
        <v>1096</v>
      </c>
      <c r="AZ127" s="3495">
        <v>-23.738989206762017</v>
      </c>
      <c r="BA127" s="3496">
        <v>-33.033475408707453</v>
      </c>
      <c r="BB127" s="3496">
        <v>-40.207495409751161</v>
      </c>
      <c r="BC127" s="3503">
        <v>-23.572259120291768</v>
      </c>
      <c r="BD127" s="3504">
        <v>-26.718919833762907</v>
      </c>
      <c r="BE127" s="3501">
        <v>-32.702317240610959</v>
      </c>
      <c r="BF127" s="3500">
        <v>-25.605963415839977</v>
      </c>
      <c r="BG127" s="3501">
        <v>-30.314970518294675</v>
      </c>
      <c r="BH127" s="3495">
        <v>-23.627155020550735</v>
      </c>
      <c r="BI127" s="3496">
        <v>-22.928405389678399</v>
      </c>
      <c r="BJ127" s="3501">
        <v>-22.951193675756262</v>
      </c>
      <c r="BK127" s="3502">
        <v>-23.860204398377526</v>
      </c>
      <c r="BL127" s="3544"/>
      <c r="BM127" s="3521" t="s">
        <v>1098</v>
      </c>
      <c r="BN127" s="3493"/>
      <c r="BO127" s="3530" t="s">
        <v>1096</v>
      </c>
      <c r="BP127" s="3495">
        <v>-19.347737987352119</v>
      </c>
      <c r="BQ127" s="3496">
        <v>-16.570562072104877</v>
      </c>
      <c r="BR127" s="3496">
        <v>-19.815409783183853</v>
      </c>
      <c r="BS127" s="3503">
        <v>-19.34288193550621</v>
      </c>
      <c r="BT127" s="3504">
        <v>-21.176357633575673</v>
      </c>
      <c r="BU127" s="3501">
        <v>-23.916710715946831</v>
      </c>
      <c r="BV127" s="3500">
        <v>-17.29439722027416</v>
      </c>
      <c r="BW127" s="3501">
        <v>-20.905571850540316</v>
      </c>
      <c r="BX127" s="3495">
        <v>-19.305878479804619</v>
      </c>
      <c r="BY127" s="3496">
        <v>-15.736684372690251</v>
      </c>
      <c r="BZ127" s="3501">
        <v>-16.186060102966255</v>
      </c>
      <c r="CA127" s="3502">
        <v>-18.753707917873758</v>
      </c>
    </row>
    <row r="128" spans="1:95" ht="13.5" customHeight="1" thickBot="1">
      <c r="A128" s="3541" t="s">
        <v>1449</v>
      </c>
      <c r="B128" s="3542"/>
      <c r="C128" s="3554"/>
      <c r="D128" s="3555">
        <v>2.4416047254645101</v>
      </c>
      <c r="E128" s="3555">
        <v>188.99722089656046</v>
      </c>
      <c r="F128" s="3555">
        <v>95.049749949081118</v>
      </c>
      <c r="G128" s="3556">
        <v>9.1364908429188727</v>
      </c>
      <c r="H128" s="3555">
        <v>79.00526616614367</v>
      </c>
      <c r="I128" s="3557">
        <v>59.265410875234473</v>
      </c>
      <c r="J128" s="3558">
        <v>35.356538863751673</v>
      </c>
      <c r="K128" s="3559">
        <v>24.275425458297239</v>
      </c>
      <c r="L128" s="3556">
        <v>7.8583198015003948</v>
      </c>
      <c r="M128" s="3555">
        <v>6.1817138876412088</v>
      </c>
      <c r="N128" s="3557">
        <v>8.2053774600599354</v>
      </c>
      <c r="O128" s="3543">
        <v>29.323773000519736</v>
      </c>
      <c r="P128" s="3544"/>
      <c r="Q128" s="3541" t="s">
        <v>1449</v>
      </c>
      <c r="R128" s="3542"/>
      <c r="S128" s="3554"/>
      <c r="T128" s="3555">
        <v>0.71702735878976931</v>
      </c>
      <c r="U128" s="3555">
        <v>187.68169227486854</v>
      </c>
      <c r="V128" s="3555">
        <v>93.413405646512302</v>
      </c>
      <c r="W128" s="3556">
        <v>7.2997515727183435</v>
      </c>
      <c r="X128" s="3555">
        <v>77.617634479272695</v>
      </c>
      <c r="Y128" s="3557">
        <v>57.858190859192192</v>
      </c>
      <c r="Z128" s="3558">
        <v>33.98903334276384</v>
      </c>
      <c r="AA128" s="3559">
        <v>22.948083187813854</v>
      </c>
      <c r="AB128" s="3556">
        <v>5.8606581625488579</v>
      </c>
      <c r="AC128" s="3555">
        <v>4.405986203916374</v>
      </c>
      <c r="AD128" s="3557">
        <v>6.708355461726514</v>
      </c>
      <c r="AE128" s="3543">
        <v>27.645162552699531</v>
      </c>
      <c r="AF128" s="3544"/>
      <c r="AG128" s="3541" t="s">
        <v>1449</v>
      </c>
      <c r="AH128" s="3542"/>
      <c r="AI128" s="3554"/>
      <c r="AJ128" s="3555">
        <v>7.6631223455539619</v>
      </c>
      <c r="AK128" s="3555">
        <v>362.28038248207497</v>
      </c>
      <c r="AL128" s="3555">
        <v>210.1441202949328</v>
      </c>
      <c r="AM128" s="3556">
        <v>20.593556977073472</v>
      </c>
      <c r="AN128" s="3555">
        <v>149.98351314505663</v>
      </c>
      <c r="AO128" s="3557">
        <v>138.44406391871038</v>
      </c>
      <c r="AP128" s="3558">
        <v>66.200604072771384</v>
      </c>
      <c r="AQ128" s="3559">
        <v>71.324658001084586</v>
      </c>
      <c r="AR128" s="3556">
        <v>8.88228499218501</v>
      </c>
      <c r="AS128" s="3555">
        <v>13.529358867994485</v>
      </c>
      <c r="AT128" s="3557">
        <v>45.806683299808967</v>
      </c>
      <c r="AU128" s="3543">
        <v>59.101857664016265</v>
      </c>
      <c r="AV128" s="3544"/>
      <c r="AW128" s="3541" t="s">
        <v>1449</v>
      </c>
      <c r="AX128" s="3542"/>
      <c r="AY128" s="3554"/>
      <c r="AZ128" s="3555">
        <v>23.650115980171176</v>
      </c>
      <c r="BA128" s="3555">
        <v>573.38730097799441</v>
      </c>
      <c r="BB128" s="3555">
        <v>413.48200958776118</v>
      </c>
      <c r="BC128" s="3556">
        <v>43.19961486962891</v>
      </c>
      <c r="BD128" s="3555">
        <v>244.99675371914245</v>
      </c>
      <c r="BE128" s="3557">
        <v>300.58156285884047</v>
      </c>
      <c r="BF128" s="3558">
        <v>115.19501445172465</v>
      </c>
      <c r="BG128" s="3559">
        <v>197.18970855753145</v>
      </c>
      <c r="BH128" s="3556">
        <v>20.951399819881271</v>
      </c>
      <c r="BI128" s="3555">
        <v>30.405407003758601</v>
      </c>
      <c r="BJ128" s="3557">
        <v>155.67316876199476</v>
      </c>
      <c r="BK128" s="3543">
        <v>89.05563693964865</v>
      </c>
      <c r="BL128" s="3544"/>
      <c r="BM128" s="3541" t="s">
        <v>1449</v>
      </c>
      <c r="BN128" s="3542"/>
      <c r="BO128" s="3554"/>
      <c r="BP128" s="3555">
        <v>-4.3085718791585847</v>
      </c>
      <c r="BQ128" s="3555">
        <v>448.85984105413763</v>
      </c>
      <c r="BR128" s="3555">
        <v>213.01519082611509</v>
      </c>
      <c r="BS128" s="3556">
        <v>11.788399168915593</v>
      </c>
      <c r="BT128" s="3555">
        <v>167.86738870405475</v>
      </c>
      <c r="BU128" s="3557">
        <v>117.18593605523816</v>
      </c>
      <c r="BV128" s="3558">
        <v>60.489480355284158</v>
      </c>
      <c r="BW128" s="3559">
        <v>30.971220728056256</v>
      </c>
      <c r="BX128" s="3556">
        <v>9.3824355701766926</v>
      </c>
      <c r="BY128" s="3555">
        <v>2.8018184841718092</v>
      </c>
      <c r="BZ128" s="3557">
        <v>6.8937671577046586</v>
      </c>
      <c r="CA128" s="3543">
        <v>53.982902090065068</v>
      </c>
    </row>
    <row r="129" ht="13.5" customHeight="1" thickTop="1"/>
  </sheetData>
  <sheetProtection sheet="1" objects="1" scenarios="1"/>
  <mergeCells count="152">
    <mergeCell ref="BV78:BW78"/>
    <mergeCell ref="BX78:BZ78"/>
    <mergeCell ref="CA78:CA79"/>
    <mergeCell ref="Q80:Q85"/>
    <mergeCell ref="AG80:AG85"/>
    <mergeCell ref="AW80:AW85"/>
    <mergeCell ref="BM80:BM85"/>
    <mergeCell ref="BH78:BJ78"/>
    <mergeCell ref="BK78:BK79"/>
    <mergeCell ref="BO78:BO79"/>
    <mergeCell ref="BP78:BR78"/>
    <mergeCell ref="BS78:BU78"/>
    <mergeCell ref="AU78:AU79"/>
    <mergeCell ref="AY78:AY79"/>
    <mergeCell ref="AZ78:BB78"/>
    <mergeCell ref="BC78:BE78"/>
    <mergeCell ref="BF78:BG78"/>
    <mergeCell ref="AI78:AI79"/>
    <mergeCell ref="AJ78:AL78"/>
    <mergeCell ref="AM78:AO78"/>
    <mergeCell ref="AP78:AQ78"/>
    <mergeCell ref="AR78:AT78"/>
    <mergeCell ref="T78:V78"/>
    <mergeCell ref="W78:Y78"/>
    <mergeCell ref="AP42:AQ42"/>
    <mergeCell ref="S42:S43"/>
    <mergeCell ref="Z78:AA78"/>
    <mergeCell ref="AB78:AD78"/>
    <mergeCell ref="AE78:AE79"/>
    <mergeCell ref="C78:C79"/>
    <mergeCell ref="D78:F78"/>
    <mergeCell ref="G78:I78"/>
    <mergeCell ref="J78:K78"/>
    <mergeCell ref="L78:N78"/>
    <mergeCell ref="O78:O79"/>
    <mergeCell ref="S78:S79"/>
    <mergeCell ref="L42:N42"/>
    <mergeCell ref="O42:O43"/>
    <mergeCell ref="C60:C61"/>
    <mergeCell ref="D60:F60"/>
    <mergeCell ref="G60:I60"/>
    <mergeCell ref="J60:K60"/>
    <mergeCell ref="L60:N60"/>
    <mergeCell ref="Z42:AA42"/>
    <mergeCell ref="AB42:AD42"/>
    <mergeCell ref="D42:F42"/>
    <mergeCell ref="G42:I42"/>
    <mergeCell ref="J42:K42"/>
    <mergeCell ref="BS42:BU42"/>
    <mergeCell ref="BV42:BW42"/>
    <mergeCell ref="BX42:BZ42"/>
    <mergeCell ref="CA42:CA43"/>
    <mergeCell ref="Q44:Q49"/>
    <mergeCell ref="AG44:AG49"/>
    <mergeCell ref="AW44:AW49"/>
    <mergeCell ref="BM44:BM49"/>
    <mergeCell ref="BF42:BG42"/>
    <mergeCell ref="BH42:BJ42"/>
    <mergeCell ref="BK42:BK43"/>
    <mergeCell ref="BO42:BO43"/>
    <mergeCell ref="BP42:BR42"/>
    <mergeCell ref="AR42:AT42"/>
    <mergeCell ref="AU42:AU43"/>
    <mergeCell ref="AY42:AY43"/>
    <mergeCell ref="AZ42:BB42"/>
    <mergeCell ref="BC42:BE42"/>
    <mergeCell ref="AE42:AE43"/>
    <mergeCell ref="AI42:AI43"/>
    <mergeCell ref="AJ42:AL42"/>
    <mergeCell ref="AM42:AO42"/>
    <mergeCell ref="T42:V42"/>
    <mergeCell ref="W42:Y42"/>
    <mergeCell ref="A44:A49"/>
    <mergeCell ref="A80:A85"/>
    <mergeCell ref="C42:C43"/>
    <mergeCell ref="A62:A67"/>
    <mergeCell ref="Q62:Q67"/>
    <mergeCell ref="AG62:AG67"/>
    <mergeCell ref="AW62:AW67"/>
    <mergeCell ref="BM62:BM67"/>
    <mergeCell ref="BP60:BR60"/>
    <mergeCell ref="AP60:AQ60"/>
    <mergeCell ref="AR60:AT60"/>
    <mergeCell ref="AU60:AU61"/>
    <mergeCell ref="AY60:AY61"/>
    <mergeCell ref="AZ60:BB60"/>
    <mergeCell ref="AB60:AD60"/>
    <mergeCell ref="AE60:AE61"/>
    <mergeCell ref="AI60:AI61"/>
    <mergeCell ref="AJ60:AL60"/>
    <mergeCell ref="AM60:AO60"/>
    <mergeCell ref="O60:O61"/>
    <mergeCell ref="S60:S61"/>
    <mergeCell ref="T60:V60"/>
    <mergeCell ref="W60:Y60"/>
    <mergeCell ref="Z60:AA60"/>
    <mergeCell ref="BS60:BU60"/>
    <mergeCell ref="BV60:BW60"/>
    <mergeCell ref="BX60:BZ60"/>
    <mergeCell ref="CA60:CA61"/>
    <mergeCell ref="BC60:BE60"/>
    <mergeCell ref="BF60:BG60"/>
    <mergeCell ref="BH60:BJ60"/>
    <mergeCell ref="BK60:BK61"/>
    <mergeCell ref="BO60:BO61"/>
    <mergeCell ref="A7:B7"/>
    <mergeCell ref="A8:B8"/>
    <mergeCell ref="A10:B10"/>
    <mergeCell ref="A11:B11"/>
    <mergeCell ref="A12:B12"/>
    <mergeCell ref="E6:S6"/>
    <mergeCell ref="A26:A31"/>
    <mergeCell ref="BM26:BM31"/>
    <mergeCell ref="AU24:AU25"/>
    <mergeCell ref="W24:Y24"/>
    <mergeCell ref="Z24:AA24"/>
    <mergeCell ref="C24:C25"/>
    <mergeCell ref="S24:S25"/>
    <mergeCell ref="G24:I24"/>
    <mergeCell ref="L24:N24"/>
    <mergeCell ref="D24:F24"/>
    <mergeCell ref="AB24:AD24"/>
    <mergeCell ref="J24:K24"/>
    <mergeCell ref="Q26:Q31"/>
    <mergeCell ref="AG26:AG31"/>
    <mergeCell ref="AW26:AW31"/>
    <mergeCell ref="AE24:AE25"/>
    <mergeCell ref="BK24:BK25"/>
    <mergeCell ref="BH24:BJ24"/>
    <mergeCell ref="BS24:BU24"/>
    <mergeCell ref="BV24:BW24"/>
    <mergeCell ref="BP24:BR24"/>
    <mergeCell ref="BX24:BZ24"/>
    <mergeCell ref="CA24:CA25"/>
    <mergeCell ref="BM1:CA1"/>
    <mergeCell ref="CC1:CQ1"/>
    <mergeCell ref="D1:O1"/>
    <mergeCell ref="Q1:AE1"/>
    <mergeCell ref="AG1:AU1"/>
    <mergeCell ref="AW1:BK1"/>
    <mergeCell ref="O24:O25"/>
    <mergeCell ref="BO24:BO25"/>
    <mergeCell ref="T24:V24"/>
    <mergeCell ref="AP24:AQ24"/>
    <mergeCell ref="AI24:AI25"/>
    <mergeCell ref="AJ24:AL24"/>
    <mergeCell ref="AM24:AO24"/>
    <mergeCell ref="AR24:AT24"/>
    <mergeCell ref="AZ24:BB24"/>
    <mergeCell ref="BC24:BE24"/>
    <mergeCell ref="BF24:BG24"/>
    <mergeCell ref="AY24:AY25"/>
  </mergeCells>
  <phoneticPr fontId="8" type="noConversion"/>
  <hyperlinks>
    <hyperlink ref="A18" location="'Car - MECs'!A23" tooltip="2010" display="'Car - MECs'!A23"/>
    <hyperlink ref="B18" location="'Car - MECs'!A41" tooltip="2015" display="'Car - MECs'!A41"/>
    <hyperlink ref="A19" location="'Car - MECs'!A59" tooltip="2020" display="'Car - MECs'!A59"/>
    <hyperlink ref="B19" location="'Car - MECs'!A79" tooltip="2025" display="'Car - MECs'!A79"/>
    <hyperlink ref="A20" location="'Car - MECs'!A95" tooltip="2030" display="'Car - MECs'!A95"/>
    <hyperlink ref="B20" location="'Car - MECs'!A113" tooltip="2035" display="'Car - MECs'!A113"/>
    <hyperlink ref="A11" location="Contents!A1" display="Contents"/>
    <hyperlink ref="A11:B11" r:id="rId1" display="WebTAG Unit 3.13.2"/>
    <hyperlink ref="A10" location="Contents!A1" display="Contents"/>
    <hyperlink ref="A10:B10" location="Contents!A1" tooltip="Contents page" display="Contents"/>
    <hyperlink ref="A12:B12" r:id="rId2" tooltip="Unit A5.4 Marginal External Congestion Costs" display="WebTAG Unit A 5.4"/>
  </hyperlinks>
  <pageMargins left="0" right="0" top="0" bottom="0" header="0" footer="0"/>
  <pageSetup paperSize="9" scale="10" orientation="portrait" r:id="rId3"/>
  <headerFooter alignWithMargins="0"/>
  <drawing r:id="rId4"/>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indexed="17"/>
    <pageSetUpPr fitToPage="1"/>
  </sheetPr>
  <dimension ref="A1:BH41"/>
  <sheetViews>
    <sheetView showGridLines="0" topLeftCell="A13" zoomScale="85" zoomScaleNormal="85" workbookViewId="0">
      <selection activeCell="B16" sqref="B16"/>
    </sheetView>
  </sheetViews>
  <sheetFormatPr defaultColWidth="13" defaultRowHeight="13.5" customHeight="1"/>
  <cols>
    <col min="1" max="16384" width="13" style="1327"/>
  </cols>
  <sheetData>
    <row r="1" spans="1:60" s="240" customFormat="1" ht="54.9" customHeight="1">
      <c r="A1" s="245"/>
      <c r="D1" s="3861"/>
      <c r="E1" s="3689"/>
      <c r="F1" s="3689"/>
      <c r="G1" s="3689"/>
      <c r="H1" s="3689"/>
      <c r="I1" s="3689"/>
      <c r="J1" s="3689"/>
      <c r="K1" s="237"/>
      <c r="L1" s="3821"/>
      <c r="M1" s="3821"/>
      <c r="N1" s="3821"/>
      <c r="O1" s="3821"/>
      <c r="P1" s="3821"/>
      <c r="Q1" s="3821"/>
      <c r="R1" s="3821"/>
      <c r="S1" s="3821"/>
      <c r="T1" s="3821"/>
      <c r="V1" s="3821"/>
      <c r="W1" s="3821"/>
      <c r="X1" s="3821"/>
      <c r="Y1" s="3821"/>
      <c r="Z1" s="3821"/>
      <c r="AA1" s="3821"/>
      <c r="AB1" s="3821"/>
      <c r="AC1" s="3821"/>
      <c r="AD1" s="3821"/>
      <c r="AF1" s="3821"/>
      <c r="AG1" s="3821"/>
      <c r="AH1" s="3821"/>
      <c r="AI1" s="3821"/>
      <c r="AJ1" s="3821"/>
      <c r="AK1" s="3821"/>
      <c r="AL1" s="3821"/>
      <c r="AM1" s="3821"/>
      <c r="AN1" s="3821"/>
      <c r="AP1" s="3821"/>
      <c r="AQ1" s="3821"/>
      <c r="AR1" s="3821"/>
      <c r="AS1" s="3821"/>
      <c r="AT1" s="3821"/>
      <c r="AU1" s="3821"/>
      <c r="AV1" s="3821"/>
      <c r="AW1" s="3821"/>
      <c r="AX1" s="3821"/>
      <c r="AZ1" s="3821"/>
      <c r="BA1" s="3821"/>
      <c r="BB1" s="3821"/>
      <c r="BC1" s="3821"/>
      <c r="BD1" s="3821"/>
      <c r="BE1" s="3821"/>
      <c r="BF1" s="3821"/>
      <c r="BG1" s="3821"/>
      <c r="BH1" s="3821"/>
    </row>
    <row r="2" spans="1:60" s="262" customFormat="1" ht="5.0999999999999996" customHeight="1">
      <c r="E2" s="260"/>
      <c r="G2" s="260"/>
      <c r="J2" s="260"/>
      <c r="K2" s="260"/>
    </row>
    <row r="3" spans="1:60" s="262" customFormat="1" ht="20.100000000000001" customHeight="1">
      <c r="A3" s="262" t="s">
        <v>2320</v>
      </c>
      <c r="B3" s="1717"/>
      <c r="C3" s="1717"/>
      <c r="D3" s="1718"/>
      <c r="E3" s="271"/>
      <c r="F3" s="260"/>
      <c r="G3" s="261"/>
      <c r="K3" s="260"/>
    </row>
    <row r="4" spans="1:60" s="237" customFormat="1" ht="20.100000000000001" customHeight="1" thickBot="1">
      <c r="A4" s="1719" t="s">
        <v>1284</v>
      </c>
      <c r="B4" s="263"/>
      <c r="C4" s="263"/>
      <c r="D4" s="263"/>
      <c r="E4" s="1720"/>
      <c r="F4" s="263"/>
      <c r="G4" s="263"/>
      <c r="H4" s="1720"/>
      <c r="I4" s="1720"/>
      <c r="J4" s="263"/>
      <c r="K4" s="263"/>
      <c r="L4" s="263"/>
      <c r="M4" s="263"/>
      <c r="N4" s="263"/>
      <c r="O4" s="263"/>
      <c r="P4" s="263"/>
      <c r="Q4" s="263"/>
      <c r="R4" s="263"/>
      <c r="S4" s="263"/>
      <c r="T4" s="263"/>
    </row>
    <row r="5" spans="1:60" s="240" customFormat="1" ht="9.9" customHeight="1" thickTop="1" thickBot="1">
      <c r="D5" s="1393"/>
      <c r="F5" s="1721"/>
      <c r="H5" s="245"/>
      <c r="I5" s="245"/>
      <c r="K5" s="237"/>
      <c r="T5" s="290"/>
    </row>
    <row r="6" spans="1:60" s="240" customFormat="1" ht="13.5" customHeight="1" thickTop="1">
      <c r="A6" s="169" t="s">
        <v>10</v>
      </c>
      <c r="B6" s="169"/>
      <c r="C6" s="29"/>
      <c r="E6" s="174" t="s">
        <v>255</v>
      </c>
      <c r="F6" s="328"/>
      <c r="G6" s="328"/>
      <c r="H6" s="328"/>
      <c r="I6" s="328"/>
      <c r="J6" s="328"/>
      <c r="K6" s="328"/>
      <c r="L6" s="328"/>
      <c r="M6" s="328"/>
      <c r="N6" s="328"/>
      <c r="O6" s="328"/>
      <c r="P6" s="328"/>
      <c r="Q6" s="328"/>
      <c r="R6" s="328"/>
      <c r="S6" s="328"/>
      <c r="T6" s="294"/>
    </row>
    <row r="7" spans="1:60" s="240" customFormat="1" ht="13.5" customHeight="1">
      <c r="A7" s="3636" t="str">
        <f>Audit!A12</f>
        <v>May 2019 v1.12</v>
      </c>
      <c r="B7" s="3637"/>
      <c r="C7" s="32"/>
      <c r="D7" s="247"/>
      <c r="E7" s="1722"/>
      <c r="G7" s="236"/>
      <c r="H7" s="237"/>
      <c r="I7" s="237"/>
      <c r="J7" s="237"/>
      <c r="K7" s="237"/>
      <c r="L7" s="237"/>
      <c r="M7" s="237"/>
      <c r="N7" s="237"/>
      <c r="O7" s="237"/>
      <c r="P7" s="237"/>
      <c r="Q7" s="237"/>
      <c r="R7" s="237"/>
      <c r="S7" s="237"/>
      <c r="T7" s="247"/>
    </row>
    <row r="8" spans="1:60" s="240" customFormat="1" ht="13.5" customHeight="1">
      <c r="A8" s="3630">
        <f>Audit!C12</f>
        <v>43586</v>
      </c>
      <c r="B8" s="3631"/>
      <c r="C8" s="32"/>
      <c r="D8" s="272"/>
      <c r="E8" s="1722"/>
      <c r="G8" s="266"/>
      <c r="H8" s="237"/>
      <c r="I8" s="237"/>
      <c r="J8" s="237"/>
      <c r="K8" s="237"/>
      <c r="L8" s="237"/>
      <c r="M8" s="237"/>
      <c r="N8" s="237"/>
      <c r="O8" s="237"/>
      <c r="P8" s="237"/>
      <c r="Q8" s="237"/>
      <c r="R8" s="237"/>
      <c r="S8" s="237"/>
      <c r="T8" s="247"/>
    </row>
    <row r="9" spans="1:60" s="240" customFormat="1" ht="13.5" customHeight="1" thickBot="1">
      <c r="A9" s="169" t="s">
        <v>14</v>
      </c>
      <c r="B9" s="169"/>
      <c r="D9" s="272"/>
      <c r="G9" s="237"/>
      <c r="H9" s="237"/>
      <c r="I9" s="237"/>
      <c r="J9" s="237"/>
      <c r="K9" s="237"/>
      <c r="L9" s="237"/>
      <c r="M9" s="237"/>
      <c r="N9" s="237"/>
      <c r="O9" s="237"/>
      <c r="P9" s="237"/>
      <c r="Q9" s="237"/>
      <c r="R9" s="237"/>
      <c r="S9" s="237"/>
      <c r="T9" s="247"/>
    </row>
    <row r="10" spans="1:60" s="240" customFormat="1" ht="13.5" customHeight="1" thickBot="1">
      <c r="A10" s="3570" t="s">
        <v>1306</v>
      </c>
      <c r="B10" s="3610"/>
      <c r="D10" s="272"/>
      <c r="G10" s="237"/>
      <c r="H10" s="237"/>
      <c r="I10" s="237"/>
      <c r="J10" s="237"/>
      <c r="K10" s="237"/>
      <c r="L10" s="237"/>
      <c r="M10" s="237"/>
      <c r="N10" s="237"/>
      <c r="O10" s="237"/>
      <c r="P10" s="237"/>
      <c r="Q10" s="237"/>
      <c r="R10" s="237"/>
      <c r="S10" s="237"/>
      <c r="T10" s="247"/>
    </row>
    <row r="11" spans="1:60" s="240" customFormat="1" ht="13.5" customHeight="1" thickBot="1">
      <c r="A11" s="3570" t="s">
        <v>2314</v>
      </c>
      <c r="B11" s="3581"/>
      <c r="D11" s="272"/>
      <c r="G11" s="267"/>
      <c r="H11" s="267"/>
      <c r="I11" s="267"/>
      <c r="J11" s="267"/>
      <c r="K11" s="267"/>
      <c r="L11" s="267"/>
      <c r="M11" s="267"/>
      <c r="N11" s="267"/>
      <c r="O11" s="267"/>
      <c r="P11" s="267"/>
      <c r="Q11" s="267"/>
      <c r="R11" s="267"/>
      <c r="S11" s="267"/>
      <c r="T11" s="1319"/>
    </row>
    <row r="12" spans="1:60" s="240" customFormat="1" ht="13.5" customHeight="1" thickBot="1">
      <c r="A12" s="3570" t="s">
        <v>2315</v>
      </c>
      <c r="B12" s="3581"/>
      <c r="D12" s="272"/>
      <c r="G12" s="237"/>
      <c r="H12" s="237"/>
      <c r="I12" s="237"/>
      <c r="J12" s="237"/>
      <c r="K12" s="237"/>
      <c r="L12" s="237"/>
      <c r="M12" s="237"/>
      <c r="N12" s="237"/>
      <c r="O12" s="237"/>
      <c r="P12" s="237"/>
      <c r="Q12" s="237"/>
      <c r="R12" s="237"/>
      <c r="S12" s="237"/>
      <c r="T12" s="247"/>
    </row>
    <row r="13" spans="1:60" s="240" customFormat="1" ht="13.5" customHeight="1">
      <c r="A13" s="169" t="s">
        <v>252</v>
      </c>
      <c r="B13" s="169"/>
      <c r="C13" s="29"/>
      <c r="D13" s="272"/>
      <c r="G13" s="237"/>
      <c r="H13" s="237"/>
      <c r="I13" s="237"/>
      <c r="J13" s="237"/>
      <c r="K13" s="237"/>
      <c r="L13" s="237"/>
      <c r="M13" s="237"/>
      <c r="N13" s="237"/>
      <c r="O13" s="237"/>
      <c r="P13" s="237"/>
      <c r="Q13" s="237"/>
      <c r="R13" s="237"/>
      <c r="S13" s="237"/>
      <c r="T13" s="247"/>
    </row>
    <row r="14" spans="1:60" s="240" customFormat="1" ht="13.5" customHeight="1">
      <c r="A14" s="2458"/>
      <c r="B14" s="2458"/>
      <c r="C14" s="26"/>
      <c r="D14" s="247"/>
      <c r="G14" s="237"/>
      <c r="H14" s="237"/>
      <c r="I14" s="237"/>
      <c r="J14" s="237"/>
      <c r="K14" s="237"/>
      <c r="L14" s="237"/>
      <c r="M14" s="237"/>
      <c r="N14" s="237"/>
      <c r="O14" s="237"/>
      <c r="P14" s="237"/>
      <c r="Q14" s="237"/>
      <c r="R14" s="237"/>
      <c r="S14" s="237"/>
      <c r="T14" s="247"/>
    </row>
    <row r="15" spans="1:60" s="240" customFormat="1" ht="13.5" customHeight="1">
      <c r="A15" s="2460"/>
      <c r="B15" s="244"/>
      <c r="C15" s="31"/>
      <c r="D15" s="185"/>
      <c r="G15" s="237"/>
      <c r="H15" s="237"/>
      <c r="I15" s="237"/>
      <c r="J15" s="237"/>
      <c r="K15" s="237"/>
      <c r="L15" s="237"/>
      <c r="M15" s="237"/>
      <c r="N15" s="237"/>
      <c r="O15" s="237"/>
      <c r="P15" s="237"/>
      <c r="Q15" s="237"/>
      <c r="R15" s="237"/>
      <c r="S15" s="237"/>
      <c r="T15" s="247"/>
    </row>
    <row r="16" spans="1:60" s="240" customFormat="1" ht="13.5" customHeight="1">
      <c r="A16" s="2460" t="s">
        <v>370</v>
      </c>
      <c r="B16" s="2462">
        <f>'Car Traffic Shares'!B16</f>
        <v>2010</v>
      </c>
      <c r="C16" s="32"/>
      <c r="D16" s="247"/>
      <c r="G16" s="237"/>
      <c r="H16" s="237"/>
      <c r="I16" s="237"/>
      <c r="J16" s="237"/>
      <c r="K16" s="237"/>
      <c r="L16" s="237"/>
      <c r="M16" s="237"/>
      <c r="N16" s="237"/>
      <c r="O16" s="237"/>
      <c r="P16" s="237"/>
      <c r="Q16" s="237"/>
      <c r="R16" s="237"/>
      <c r="S16" s="237"/>
      <c r="T16" s="247"/>
    </row>
    <row r="17" spans="1:60" s="240" customFormat="1" ht="13.5" customHeight="1" thickBot="1">
      <c r="A17" s="169" t="s">
        <v>253</v>
      </c>
      <c r="B17" s="169"/>
      <c r="C17" s="29"/>
      <c r="D17" s="272"/>
      <c r="G17" s="237"/>
      <c r="H17" s="237"/>
      <c r="I17" s="237"/>
      <c r="J17" s="237"/>
      <c r="K17" s="237"/>
      <c r="L17" s="237"/>
      <c r="M17" s="237"/>
      <c r="N17" s="237"/>
      <c r="O17" s="237"/>
      <c r="P17" s="237"/>
      <c r="Q17" s="237"/>
      <c r="R17" s="237"/>
      <c r="S17" s="237"/>
      <c r="T17" s="247"/>
    </row>
    <row r="18" spans="1:60" s="240" customFormat="1" ht="13.5" customHeight="1" thickBot="1">
      <c r="A18" s="2414">
        <v>2010</v>
      </c>
      <c r="B18" s="2414">
        <v>2015</v>
      </c>
      <c r="C18" s="31"/>
      <c r="D18" s="272"/>
      <c r="G18" s="237"/>
      <c r="H18" s="237"/>
      <c r="I18" s="237"/>
      <c r="J18" s="237"/>
      <c r="K18" s="237"/>
      <c r="L18" s="237"/>
      <c r="M18" s="237"/>
      <c r="N18" s="237"/>
      <c r="O18" s="237"/>
      <c r="P18" s="237"/>
      <c r="Q18" s="237"/>
      <c r="R18" s="237"/>
      <c r="S18" s="237"/>
      <c r="T18" s="247"/>
    </row>
    <row r="19" spans="1:60" s="240" customFormat="1" ht="13.5" customHeight="1" thickBot="1">
      <c r="A19" s="2414">
        <v>2020</v>
      </c>
      <c r="B19" s="2414">
        <v>2025</v>
      </c>
      <c r="C19" s="31"/>
      <c r="D19" s="247"/>
      <c r="E19" s="240" t="s">
        <v>2382</v>
      </c>
      <c r="G19" s="237"/>
      <c r="H19" s="237"/>
      <c r="I19" s="237"/>
      <c r="J19" s="237"/>
      <c r="K19" s="237"/>
      <c r="L19" s="237"/>
      <c r="M19" s="237"/>
      <c r="N19" s="237"/>
      <c r="O19" s="237"/>
      <c r="P19" s="237"/>
      <c r="Q19" s="237"/>
      <c r="R19" s="237"/>
      <c r="S19" s="237"/>
      <c r="T19" s="247"/>
    </row>
    <row r="20" spans="1:60" s="240" customFormat="1" ht="13.5" customHeight="1" thickBot="1">
      <c r="A20" s="2414">
        <v>2030</v>
      </c>
      <c r="B20" s="2414">
        <v>2035</v>
      </c>
      <c r="C20" s="31"/>
      <c r="E20" s="259" t="s">
        <v>2321</v>
      </c>
      <c r="F20" s="246"/>
      <c r="G20" s="270"/>
      <c r="H20" s="270"/>
      <c r="I20" s="270"/>
      <c r="J20" s="270"/>
      <c r="K20" s="270"/>
      <c r="L20" s="270"/>
      <c r="M20" s="270"/>
      <c r="N20" s="270"/>
      <c r="O20" s="270"/>
      <c r="P20" s="270"/>
      <c r="Q20" s="270"/>
      <c r="R20" s="270"/>
      <c r="S20" s="270"/>
      <c r="T20" s="1322"/>
    </row>
    <row r="21" spans="1:60" s="240" customFormat="1" ht="13.5" customHeight="1">
      <c r="A21" s="2426"/>
      <c r="B21" s="2426"/>
      <c r="C21" s="31"/>
      <c r="D21" s="1393"/>
      <c r="E21" s="242"/>
      <c r="F21" s="1721"/>
      <c r="H21" s="245"/>
      <c r="I21" s="245"/>
      <c r="J21" s="1724"/>
      <c r="K21" s="237"/>
    </row>
    <row r="22" spans="1:60" s="240" customFormat="1" ht="13.5" customHeight="1" thickBot="1">
      <c r="A22" s="241"/>
      <c r="D22" s="1393"/>
      <c r="E22" s="242"/>
      <c r="F22" s="1721"/>
      <c r="H22" s="245"/>
      <c r="I22" s="245"/>
      <c r="J22" s="1724"/>
      <c r="K22" s="237"/>
    </row>
    <row r="23" spans="1:60" ht="13.5" customHeight="1" thickTop="1" thickBot="1">
      <c r="A23" s="2036" t="s">
        <v>640</v>
      </c>
      <c r="B23" s="1726"/>
      <c r="C23" s="1726"/>
      <c r="D23" s="1725" t="s">
        <v>1192</v>
      </c>
      <c r="E23" s="1726"/>
      <c r="F23" s="1726"/>
      <c r="G23" s="1726"/>
      <c r="H23" s="1726"/>
      <c r="I23" s="1726"/>
      <c r="J23" s="1727"/>
      <c r="L23" s="1725" t="s">
        <v>1193</v>
      </c>
      <c r="M23" s="1726"/>
      <c r="N23" s="1726"/>
      <c r="O23" s="1726"/>
      <c r="P23" s="1726"/>
      <c r="Q23" s="1726"/>
      <c r="R23" s="1726"/>
      <c r="S23" s="1726"/>
      <c r="T23" s="1727"/>
      <c r="V23" s="1725" t="s">
        <v>1194</v>
      </c>
      <c r="W23" s="1726"/>
      <c r="X23" s="1726"/>
      <c r="Y23" s="1726"/>
      <c r="Z23" s="1726"/>
      <c r="AA23" s="1726"/>
      <c r="AB23" s="1726"/>
      <c r="AC23" s="1726"/>
      <c r="AD23" s="1727"/>
      <c r="AF23" s="1725" t="s">
        <v>1195</v>
      </c>
      <c r="AG23" s="1726"/>
      <c r="AH23" s="1726"/>
      <c r="AI23" s="1726"/>
      <c r="AJ23" s="1726"/>
      <c r="AK23" s="1726"/>
      <c r="AL23" s="1726"/>
      <c r="AM23" s="1726"/>
      <c r="AN23" s="1727"/>
      <c r="AP23" s="1725" t="s">
        <v>1196</v>
      </c>
      <c r="AQ23" s="1726"/>
      <c r="AR23" s="1726"/>
      <c r="AS23" s="1726"/>
      <c r="AT23" s="1726"/>
      <c r="AU23" s="1726"/>
      <c r="AV23" s="1726"/>
      <c r="AW23" s="1726"/>
      <c r="AX23" s="1727"/>
      <c r="AZ23" s="1725" t="s">
        <v>1197</v>
      </c>
      <c r="BA23" s="1726"/>
      <c r="BB23" s="1726"/>
      <c r="BC23" s="1726"/>
      <c r="BD23" s="1726"/>
      <c r="BE23" s="1726"/>
      <c r="BF23" s="1726"/>
      <c r="BG23" s="1726"/>
      <c r="BH23" s="1727"/>
    </row>
    <row r="24" spans="1:60" ht="13.5" customHeight="1" thickTop="1">
      <c r="A24" s="418"/>
      <c r="B24" s="1761"/>
      <c r="C24" s="1761"/>
      <c r="D24" s="418" t="s">
        <v>1084</v>
      </c>
      <c r="E24" s="1761" t="s">
        <v>1084</v>
      </c>
      <c r="F24" s="1761" t="s">
        <v>1084</v>
      </c>
      <c r="G24" s="498" t="s">
        <v>1084</v>
      </c>
      <c r="H24" s="1761"/>
      <c r="I24" s="498"/>
      <c r="J24" s="1137"/>
      <c r="L24" s="418"/>
      <c r="M24" s="1761"/>
      <c r="N24" s="418" t="s">
        <v>1084</v>
      </c>
      <c r="O24" s="1761" t="s">
        <v>1084</v>
      </c>
      <c r="P24" s="1761" t="s">
        <v>1084</v>
      </c>
      <c r="Q24" s="498" t="s">
        <v>1084</v>
      </c>
      <c r="R24" s="1761"/>
      <c r="S24" s="498"/>
      <c r="T24" s="1137"/>
      <c r="V24" s="418"/>
      <c r="W24" s="1761"/>
      <c r="X24" s="418" t="s">
        <v>1084</v>
      </c>
      <c r="Y24" s="1761" t="s">
        <v>1084</v>
      </c>
      <c r="Z24" s="1761" t="s">
        <v>1084</v>
      </c>
      <c r="AA24" s="498" t="s">
        <v>1084</v>
      </c>
      <c r="AB24" s="1761"/>
      <c r="AC24" s="498"/>
      <c r="AD24" s="1137"/>
      <c r="AF24" s="418"/>
      <c r="AG24" s="1761"/>
      <c r="AH24" s="418" t="s">
        <v>1084</v>
      </c>
      <c r="AI24" s="1761" t="s">
        <v>1084</v>
      </c>
      <c r="AJ24" s="1761" t="s">
        <v>1084</v>
      </c>
      <c r="AK24" s="498" t="s">
        <v>1084</v>
      </c>
      <c r="AL24" s="1761"/>
      <c r="AM24" s="498"/>
      <c r="AN24" s="1137"/>
      <c r="AP24" s="418"/>
      <c r="AQ24" s="1761"/>
      <c r="AR24" s="418" t="s">
        <v>1084</v>
      </c>
      <c r="AS24" s="1761" t="s">
        <v>1084</v>
      </c>
      <c r="AT24" s="1761" t="s">
        <v>1084</v>
      </c>
      <c r="AU24" s="498" t="s">
        <v>1084</v>
      </c>
      <c r="AV24" s="1761"/>
      <c r="AW24" s="498"/>
      <c r="AX24" s="1137"/>
      <c r="AZ24" s="418"/>
      <c r="BA24" s="1761"/>
      <c r="BB24" s="418" t="s">
        <v>1084</v>
      </c>
      <c r="BC24" s="1761" t="s">
        <v>1084</v>
      </c>
      <c r="BD24" s="1761" t="s">
        <v>1084</v>
      </c>
      <c r="BE24" s="498" t="s">
        <v>1084</v>
      </c>
      <c r="BF24" s="1761"/>
      <c r="BG24" s="498"/>
      <c r="BH24" s="1137"/>
    </row>
    <row r="25" spans="1:60" ht="13.5" customHeight="1">
      <c r="A25" s="1633"/>
      <c r="B25" s="286"/>
      <c r="C25" s="286"/>
      <c r="D25" s="420" t="s">
        <v>1086</v>
      </c>
      <c r="E25" s="286" t="s">
        <v>1087</v>
      </c>
      <c r="F25" s="286" t="s">
        <v>1088</v>
      </c>
      <c r="G25" s="285" t="s">
        <v>1419</v>
      </c>
      <c r="H25" s="286" t="s">
        <v>1084</v>
      </c>
      <c r="I25" s="285" t="s">
        <v>1085</v>
      </c>
      <c r="J25" s="1689" t="s">
        <v>1423</v>
      </c>
      <c r="L25" s="1633"/>
      <c r="M25" s="286"/>
      <c r="N25" s="420" t="s">
        <v>1086</v>
      </c>
      <c r="O25" s="286" t="s">
        <v>1087</v>
      </c>
      <c r="P25" s="286" t="s">
        <v>1088</v>
      </c>
      <c r="Q25" s="285" t="s">
        <v>1419</v>
      </c>
      <c r="R25" s="286" t="s">
        <v>1084</v>
      </c>
      <c r="S25" s="285" t="s">
        <v>1085</v>
      </c>
      <c r="T25" s="1689" t="s">
        <v>1423</v>
      </c>
      <c r="V25" s="1633"/>
      <c r="W25" s="286"/>
      <c r="X25" s="420" t="s">
        <v>1086</v>
      </c>
      <c r="Y25" s="286" t="s">
        <v>1087</v>
      </c>
      <c r="Z25" s="286" t="s">
        <v>1088</v>
      </c>
      <c r="AA25" s="285" t="s">
        <v>1419</v>
      </c>
      <c r="AB25" s="286" t="s">
        <v>1084</v>
      </c>
      <c r="AC25" s="285" t="s">
        <v>1085</v>
      </c>
      <c r="AD25" s="1689" t="s">
        <v>1423</v>
      </c>
      <c r="AF25" s="1633"/>
      <c r="AG25" s="286"/>
      <c r="AH25" s="420" t="s">
        <v>1086</v>
      </c>
      <c r="AI25" s="286" t="s">
        <v>1087</v>
      </c>
      <c r="AJ25" s="286" t="s">
        <v>1088</v>
      </c>
      <c r="AK25" s="285" t="s">
        <v>1419</v>
      </c>
      <c r="AL25" s="286" t="s">
        <v>1084</v>
      </c>
      <c r="AM25" s="285" t="s">
        <v>1085</v>
      </c>
      <c r="AN25" s="1689" t="s">
        <v>1423</v>
      </c>
      <c r="AP25" s="1633"/>
      <c r="AQ25" s="286"/>
      <c r="AR25" s="420" t="s">
        <v>1086</v>
      </c>
      <c r="AS25" s="286" t="s">
        <v>1087</v>
      </c>
      <c r="AT25" s="286" t="s">
        <v>1088</v>
      </c>
      <c r="AU25" s="285" t="s">
        <v>1419</v>
      </c>
      <c r="AV25" s="286" t="s">
        <v>1084</v>
      </c>
      <c r="AW25" s="285" t="s">
        <v>1085</v>
      </c>
      <c r="AX25" s="1689" t="s">
        <v>1423</v>
      </c>
      <c r="AZ25" s="1633"/>
      <c r="BA25" s="286"/>
      <c r="BB25" s="420" t="s">
        <v>1086</v>
      </c>
      <c r="BC25" s="286" t="s">
        <v>1087</v>
      </c>
      <c r="BD25" s="286" t="s">
        <v>1088</v>
      </c>
      <c r="BE25" s="285" t="s">
        <v>1419</v>
      </c>
      <c r="BF25" s="286" t="s">
        <v>1084</v>
      </c>
      <c r="BG25" s="285" t="s">
        <v>1085</v>
      </c>
      <c r="BH25" s="1689" t="s">
        <v>1423</v>
      </c>
    </row>
    <row r="26" spans="1:60" ht="13.5" customHeight="1" thickBot="1">
      <c r="A26" s="1762" t="s">
        <v>1082</v>
      </c>
      <c r="B26" s="1693"/>
      <c r="C26" s="1693"/>
      <c r="D26" s="1686" t="s">
        <v>458</v>
      </c>
      <c r="E26" s="1693" t="s">
        <v>459</v>
      </c>
      <c r="F26" s="1693" t="s">
        <v>460</v>
      </c>
      <c r="G26" s="668" t="s">
        <v>461</v>
      </c>
      <c r="H26" s="1693" t="s">
        <v>1422</v>
      </c>
      <c r="I26" s="668" t="s">
        <v>1422</v>
      </c>
      <c r="J26" s="668" t="s">
        <v>1422</v>
      </c>
      <c r="L26" s="1762" t="s">
        <v>1082</v>
      </c>
      <c r="M26" s="1693"/>
      <c r="N26" s="1686" t="s">
        <v>458</v>
      </c>
      <c r="O26" s="1693" t="s">
        <v>459</v>
      </c>
      <c r="P26" s="1693" t="s">
        <v>460</v>
      </c>
      <c r="Q26" s="668" t="s">
        <v>461</v>
      </c>
      <c r="R26" s="1693" t="s">
        <v>1422</v>
      </c>
      <c r="S26" s="668" t="s">
        <v>1422</v>
      </c>
      <c r="T26" s="668" t="s">
        <v>1422</v>
      </c>
      <c r="V26" s="1762" t="s">
        <v>1082</v>
      </c>
      <c r="W26" s="1693"/>
      <c r="X26" s="1686" t="s">
        <v>458</v>
      </c>
      <c r="Y26" s="1693" t="s">
        <v>459</v>
      </c>
      <c r="Z26" s="1693" t="s">
        <v>460</v>
      </c>
      <c r="AA26" s="668" t="s">
        <v>461</v>
      </c>
      <c r="AB26" s="1693" t="s">
        <v>1422</v>
      </c>
      <c r="AC26" s="668" t="s">
        <v>1422</v>
      </c>
      <c r="AD26" s="668" t="s">
        <v>1422</v>
      </c>
      <c r="AF26" s="1762" t="s">
        <v>1082</v>
      </c>
      <c r="AG26" s="1693"/>
      <c r="AH26" s="1686" t="s">
        <v>458</v>
      </c>
      <c r="AI26" s="1693" t="s">
        <v>459</v>
      </c>
      <c r="AJ26" s="1693" t="s">
        <v>460</v>
      </c>
      <c r="AK26" s="668" t="s">
        <v>461</v>
      </c>
      <c r="AL26" s="1693" t="s">
        <v>1422</v>
      </c>
      <c r="AM26" s="668" t="s">
        <v>1422</v>
      </c>
      <c r="AN26" s="668" t="s">
        <v>1422</v>
      </c>
      <c r="AP26" s="1762" t="s">
        <v>1082</v>
      </c>
      <c r="AQ26" s="1693"/>
      <c r="AR26" s="1686" t="s">
        <v>458</v>
      </c>
      <c r="AS26" s="1693" t="s">
        <v>459</v>
      </c>
      <c r="AT26" s="1693" t="s">
        <v>460</v>
      </c>
      <c r="AU26" s="668" t="s">
        <v>461</v>
      </c>
      <c r="AV26" s="1693" t="s">
        <v>1422</v>
      </c>
      <c r="AW26" s="668" t="s">
        <v>1422</v>
      </c>
      <c r="AX26" s="668" t="s">
        <v>1422</v>
      </c>
      <c r="AZ26" s="1762" t="s">
        <v>1082</v>
      </c>
      <c r="BA26" s="1693"/>
      <c r="BB26" s="1686" t="s">
        <v>458</v>
      </c>
      <c r="BC26" s="1693" t="s">
        <v>459</v>
      </c>
      <c r="BD26" s="1693" t="s">
        <v>460</v>
      </c>
      <c r="BE26" s="668" t="s">
        <v>461</v>
      </c>
      <c r="BF26" s="1693" t="s">
        <v>1422</v>
      </c>
      <c r="BG26" s="668" t="s">
        <v>1422</v>
      </c>
      <c r="BH26" s="668" t="s">
        <v>1422</v>
      </c>
    </row>
    <row r="27" spans="1:60" ht="13.5" customHeight="1" thickTop="1">
      <c r="A27" s="1763" t="s">
        <v>856</v>
      </c>
      <c r="B27" s="1764"/>
      <c r="C27" s="1764"/>
      <c r="D27" s="1809">
        <f>'Car Traffic Shares'!D27</f>
        <v>0.215</v>
      </c>
      <c r="E27" s="1810">
        <f>'Car Traffic Shares'!E27</f>
        <v>0.32400000000000001</v>
      </c>
      <c r="F27" s="1810">
        <f>'Car Traffic Shares'!F27</f>
        <v>0.254</v>
      </c>
      <c r="G27" s="1811">
        <f>'Car Traffic Shares'!G27</f>
        <v>0.20699999999999999</v>
      </c>
      <c r="H27" s="1809">
        <f>'Car Traffic Shares'!H27</f>
        <v>0.74399999999999999</v>
      </c>
      <c r="I27" s="1811">
        <f>'Car Traffic Shares'!I27</f>
        <v>0.25600000000000001</v>
      </c>
      <c r="J27" s="1812">
        <f>'Car Traffic Shares'!J27</f>
        <v>1</v>
      </c>
      <c r="L27" s="1763" t="s">
        <v>856</v>
      </c>
      <c r="M27" s="1764"/>
      <c r="N27" s="1809">
        <f>'Car Traffic Shares'!N27</f>
        <v>0.214</v>
      </c>
      <c r="O27" s="1810">
        <f>'Car Traffic Shares'!O27</f>
        <v>0.32600000000000001</v>
      </c>
      <c r="P27" s="1810">
        <f>'Car Traffic Shares'!P27</f>
        <v>0.253</v>
      </c>
      <c r="Q27" s="1811">
        <f>'Car Traffic Shares'!Q27</f>
        <v>0.20699999999999999</v>
      </c>
      <c r="R27" s="1809">
        <f>'Car Traffic Shares'!R27</f>
        <v>0.74299999999999999</v>
      </c>
      <c r="S27" s="1811">
        <f>'Car Traffic Shares'!S27</f>
        <v>0.25700000000000001</v>
      </c>
      <c r="T27" s="1812">
        <f>'Car Traffic Shares'!T27</f>
        <v>1</v>
      </c>
      <c r="V27" s="1763" t="s">
        <v>856</v>
      </c>
      <c r="W27" s="1764"/>
      <c r="X27" s="1809">
        <f>'Car Traffic Shares'!X27</f>
        <v>0.21199999999999999</v>
      </c>
      <c r="Y27" s="1810">
        <f>'Car Traffic Shares'!Y27</f>
        <v>0.32600000000000001</v>
      </c>
      <c r="Z27" s="1810">
        <f>'Car Traffic Shares'!Z27</f>
        <v>0.251</v>
      </c>
      <c r="AA27" s="1811">
        <f>'Car Traffic Shares'!AA27</f>
        <v>0.21099999999999999</v>
      </c>
      <c r="AB27" s="1809">
        <f>'Car Traffic Shares'!AB27</f>
        <v>0.73899999999999999</v>
      </c>
      <c r="AC27" s="1811">
        <f>'Car Traffic Shares'!AC27</f>
        <v>0.26100000000000001</v>
      </c>
      <c r="AD27" s="1812">
        <f>'Car Traffic Shares'!AD27</f>
        <v>1</v>
      </c>
      <c r="AF27" s="1763" t="s">
        <v>856</v>
      </c>
      <c r="AG27" s="1764"/>
      <c r="AH27" s="1809">
        <f>'Car Traffic Shares'!AH27</f>
        <v>0.20899999999999999</v>
      </c>
      <c r="AI27" s="1810">
        <f>'Car Traffic Shares'!AI27</f>
        <v>0.32700000000000001</v>
      </c>
      <c r="AJ27" s="1810">
        <f>'Car Traffic Shares'!AJ27</f>
        <v>0.249</v>
      </c>
      <c r="AK27" s="1811">
        <f>'Car Traffic Shares'!AK27</f>
        <v>0.215</v>
      </c>
      <c r="AL27" s="1809">
        <f>'Car Traffic Shares'!AL27</f>
        <v>0.73499999999999999</v>
      </c>
      <c r="AM27" s="1811">
        <f>'Car Traffic Shares'!AM27</f>
        <v>0.26500000000000001</v>
      </c>
      <c r="AN27" s="1812">
        <f>'Car Traffic Shares'!AN27</f>
        <v>1</v>
      </c>
      <c r="AP27" s="1763" t="s">
        <v>856</v>
      </c>
      <c r="AQ27" s="1764"/>
      <c r="AR27" s="1809">
        <f>'Car Traffic Shares'!AR27</f>
        <v>0.20799999999999999</v>
      </c>
      <c r="AS27" s="1810">
        <f>'Car Traffic Shares'!AS27</f>
        <v>0.32800000000000001</v>
      </c>
      <c r="AT27" s="1810">
        <f>'Car Traffic Shares'!AT27</f>
        <v>0.247</v>
      </c>
      <c r="AU27" s="1811">
        <f>'Car Traffic Shares'!AU27</f>
        <v>0.217</v>
      </c>
      <c r="AV27" s="1809">
        <f>'Car Traffic Shares'!AV27</f>
        <v>0.73199999999999998</v>
      </c>
      <c r="AW27" s="1811">
        <f>'Car Traffic Shares'!AW27</f>
        <v>0.26800000000000002</v>
      </c>
      <c r="AX27" s="1812">
        <f>'Car Traffic Shares'!AX27</f>
        <v>1</v>
      </c>
      <c r="AZ27" s="1763" t="s">
        <v>856</v>
      </c>
      <c r="BA27" s="1764"/>
      <c r="BB27" s="1809">
        <f>'Car Traffic Shares'!BB27</f>
        <v>0.20599999999999999</v>
      </c>
      <c r="BC27" s="1810">
        <f>'Car Traffic Shares'!BC27</f>
        <v>0.32800000000000001</v>
      </c>
      <c r="BD27" s="1810">
        <f>'Car Traffic Shares'!BD27</f>
        <v>0.246</v>
      </c>
      <c r="BE27" s="1811">
        <f>'Car Traffic Shares'!BE27</f>
        <v>0.22</v>
      </c>
      <c r="BF27" s="1809">
        <f>'Car Traffic Shares'!BF27</f>
        <v>0.73</v>
      </c>
      <c r="BG27" s="1811">
        <f>'Car Traffic Shares'!BG27</f>
        <v>0.27</v>
      </c>
      <c r="BH27" s="1812">
        <f>'Car Traffic Shares'!BH27</f>
        <v>1</v>
      </c>
    </row>
    <row r="28" spans="1:60" ht="13.5" customHeight="1">
      <c r="A28" s="265" t="s">
        <v>1083</v>
      </c>
      <c r="B28" s="1769"/>
      <c r="C28" s="1769"/>
      <c r="D28" s="1813">
        <f>'Car Traffic Shares'!D28</f>
        <v>0.215</v>
      </c>
      <c r="E28" s="1814">
        <f>'Car Traffic Shares'!E28</f>
        <v>0.32300000000000001</v>
      </c>
      <c r="F28" s="1814">
        <f>'Car Traffic Shares'!F28</f>
        <v>0.253</v>
      </c>
      <c r="G28" s="1815">
        <f>'Car Traffic Shares'!G28</f>
        <v>0.20899999999999999</v>
      </c>
      <c r="H28" s="1813">
        <f>'Car Traffic Shares'!H28</f>
        <v>0.74299999999999999</v>
      </c>
      <c r="I28" s="1815">
        <f>'Car Traffic Shares'!I28</f>
        <v>0.25700000000000001</v>
      </c>
      <c r="J28" s="1816">
        <f>'Car Traffic Shares'!J28</f>
        <v>1</v>
      </c>
      <c r="L28" s="265" t="s">
        <v>1083</v>
      </c>
      <c r="M28" s="1769"/>
      <c r="N28" s="1813">
        <f>'Car Traffic Shares'!N28</f>
        <v>0.214</v>
      </c>
      <c r="O28" s="1814">
        <f>'Car Traffic Shares'!O28</f>
        <v>0.32500000000000001</v>
      </c>
      <c r="P28" s="1814">
        <f>'Car Traffic Shares'!P28</f>
        <v>0.252</v>
      </c>
      <c r="Q28" s="1815">
        <f>'Car Traffic Shares'!Q28</f>
        <v>0.20899999999999999</v>
      </c>
      <c r="R28" s="1813">
        <f>'Car Traffic Shares'!R28</f>
        <v>0.74199999999999999</v>
      </c>
      <c r="S28" s="1815">
        <f>'Car Traffic Shares'!S28</f>
        <v>0.25800000000000001</v>
      </c>
      <c r="T28" s="1816">
        <f>'Car Traffic Shares'!T28</f>
        <v>1</v>
      </c>
      <c r="V28" s="265" t="s">
        <v>1083</v>
      </c>
      <c r="W28" s="1769"/>
      <c r="X28" s="1813">
        <f>'Car Traffic Shares'!X28</f>
        <v>0.21199999999999999</v>
      </c>
      <c r="Y28" s="1814">
        <f>'Car Traffic Shares'!Y28</f>
        <v>0.32500000000000001</v>
      </c>
      <c r="Z28" s="1814">
        <f>'Car Traffic Shares'!Z28</f>
        <v>0.25</v>
      </c>
      <c r="AA28" s="1815">
        <f>'Car Traffic Shares'!AA28</f>
        <v>0.21299999999999999</v>
      </c>
      <c r="AB28" s="1813">
        <f>'Car Traffic Shares'!AB28</f>
        <v>0.73799999999999999</v>
      </c>
      <c r="AC28" s="1815">
        <f>'Car Traffic Shares'!AC28</f>
        <v>0.26200000000000001</v>
      </c>
      <c r="AD28" s="1816">
        <f>'Car Traffic Shares'!AD28</f>
        <v>1</v>
      </c>
      <c r="AF28" s="265" t="s">
        <v>1083</v>
      </c>
      <c r="AG28" s="1769"/>
      <c r="AH28" s="1813">
        <f>'Car Traffic Shares'!AH28</f>
        <v>0.21</v>
      </c>
      <c r="AI28" s="1814">
        <f>'Car Traffic Shares'!AI28</f>
        <v>0.32600000000000001</v>
      </c>
      <c r="AJ28" s="1814">
        <f>'Car Traffic Shares'!AJ28</f>
        <v>0.248</v>
      </c>
      <c r="AK28" s="1815">
        <f>'Car Traffic Shares'!AK28</f>
        <v>0.217</v>
      </c>
      <c r="AL28" s="1813">
        <f>'Car Traffic Shares'!AL28</f>
        <v>0.73399999999999999</v>
      </c>
      <c r="AM28" s="1815">
        <f>'Car Traffic Shares'!AM28</f>
        <v>0.26600000000000001</v>
      </c>
      <c r="AN28" s="1816">
        <f>'Car Traffic Shares'!AN28</f>
        <v>1</v>
      </c>
      <c r="AP28" s="265" t="s">
        <v>1083</v>
      </c>
      <c r="AQ28" s="1769"/>
      <c r="AR28" s="1813">
        <f>'Car Traffic Shares'!AR28</f>
        <v>0.20799999999999999</v>
      </c>
      <c r="AS28" s="1814">
        <f>'Car Traffic Shares'!AS28</f>
        <v>0.32700000000000001</v>
      </c>
      <c r="AT28" s="1814">
        <f>'Car Traffic Shares'!AT28</f>
        <v>0.246</v>
      </c>
      <c r="AU28" s="1815">
        <f>'Car Traffic Shares'!AU28</f>
        <v>0.219</v>
      </c>
      <c r="AV28" s="1813">
        <f>'Car Traffic Shares'!AV28</f>
        <v>0.73099999999999998</v>
      </c>
      <c r="AW28" s="1815">
        <f>'Car Traffic Shares'!AW28</f>
        <v>0.26900000000000002</v>
      </c>
      <c r="AX28" s="1816">
        <f>'Car Traffic Shares'!AX28</f>
        <v>1</v>
      </c>
      <c r="AZ28" s="265" t="s">
        <v>1083</v>
      </c>
      <c r="BA28" s="1769"/>
      <c r="BB28" s="1813">
        <f>'Car Traffic Shares'!BB28</f>
        <v>0.20599999999999999</v>
      </c>
      <c r="BC28" s="1814">
        <f>'Car Traffic Shares'!BC28</f>
        <v>0.32700000000000001</v>
      </c>
      <c r="BD28" s="1814">
        <f>'Car Traffic Shares'!BD28</f>
        <v>0.245</v>
      </c>
      <c r="BE28" s="1815">
        <f>'Car Traffic Shares'!BE28</f>
        <v>0.222</v>
      </c>
      <c r="BF28" s="1813">
        <f>'Car Traffic Shares'!BF28</f>
        <v>0.72899999999999998</v>
      </c>
      <c r="BG28" s="1815">
        <f>'Car Traffic Shares'!BG28</f>
        <v>0.27100000000000002</v>
      </c>
      <c r="BH28" s="1816">
        <f>'Car Traffic Shares'!BH28</f>
        <v>1</v>
      </c>
    </row>
    <row r="29" spans="1:60" ht="13.5" customHeight="1">
      <c r="A29" s="265" t="s">
        <v>858</v>
      </c>
      <c r="B29" s="1769"/>
      <c r="C29" s="1769"/>
      <c r="D29" s="1813">
        <f>'Car Traffic Shares'!D29</f>
        <v>0.215</v>
      </c>
      <c r="E29" s="1814">
        <f>'Car Traffic Shares'!E29</f>
        <v>0.32200000000000001</v>
      </c>
      <c r="F29" s="1814">
        <f>'Car Traffic Shares'!F29</f>
        <v>0.252</v>
      </c>
      <c r="G29" s="1815">
        <f>'Car Traffic Shares'!G29</f>
        <v>0.21</v>
      </c>
      <c r="H29" s="1813">
        <f>'Car Traffic Shares'!H29</f>
        <v>0.74299999999999999</v>
      </c>
      <c r="I29" s="1815">
        <f>'Car Traffic Shares'!I29</f>
        <v>0.25700000000000001</v>
      </c>
      <c r="J29" s="1816">
        <f>'Car Traffic Shares'!J29</f>
        <v>1</v>
      </c>
      <c r="L29" s="265" t="s">
        <v>858</v>
      </c>
      <c r="M29" s="1769"/>
      <c r="N29" s="1813">
        <f>'Car Traffic Shares'!N29</f>
        <v>0.214</v>
      </c>
      <c r="O29" s="1814">
        <f>'Car Traffic Shares'!O29</f>
        <v>0.32400000000000001</v>
      </c>
      <c r="P29" s="1814">
        <f>'Car Traffic Shares'!P29</f>
        <v>0.252</v>
      </c>
      <c r="Q29" s="1815">
        <f>'Car Traffic Shares'!Q29</f>
        <v>0.21099999999999999</v>
      </c>
      <c r="R29" s="1813">
        <f>'Car Traffic Shares'!R29</f>
        <v>0.74199999999999999</v>
      </c>
      <c r="S29" s="1815">
        <f>'Car Traffic Shares'!S29</f>
        <v>0.25800000000000001</v>
      </c>
      <c r="T29" s="1816">
        <f>'Car Traffic Shares'!T29</f>
        <v>1</v>
      </c>
      <c r="V29" s="265" t="s">
        <v>858</v>
      </c>
      <c r="W29" s="1769"/>
      <c r="X29" s="1813">
        <f>'Car Traffic Shares'!X29</f>
        <v>0.21199999999999999</v>
      </c>
      <c r="Y29" s="1814">
        <f>'Car Traffic Shares'!Y29</f>
        <v>0.32400000000000001</v>
      </c>
      <c r="Z29" s="1814">
        <f>'Car Traffic Shares'!Z29</f>
        <v>0.249</v>
      </c>
      <c r="AA29" s="1815">
        <f>'Car Traffic Shares'!AA29</f>
        <v>0.214</v>
      </c>
      <c r="AB29" s="1813">
        <f>'Car Traffic Shares'!AB29</f>
        <v>0.73799999999999999</v>
      </c>
      <c r="AC29" s="1815">
        <f>'Car Traffic Shares'!AC29</f>
        <v>0.26200000000000001</v>
      </c>
      <c r="AD29" s="1816">
        <f>'Car Traffic Shares'!AD29</f>
        <v>1</v>
      </c>
      <c r="AF29" s="265" t="s">
        <v>858</v>
      </c>
      <c r="AG29" s="1769"/>
      <c r="AH29" s="1813">
        <f>'Car Traffic Shares'!AH29</f>
        <v>0.21</v>
      </c>
      <c r="AI29" s="1814">
        <f>'Car Traffic Shares'!AI29</f>
        <v>0.32500000000000001</v>
      </c>
      <c r="AJ29" s="1814">
        <f>'Car Traffic Shares'!AJ29</f>
        <v>0.247</v>
      </c>
      <c r="AK29" s="1815">
        <f>'Car Traffic Shares'!AK29</f>
        <v>0.218</v>
      </c>
      <c r="AL29" s="1813">
        <f>'Car Traffic Shares'!AL29</f>
        <v>0.73399999999999999</v>
      </c>
      <c r="AM29" s="1815">
        <f>'Car Traffic Shares'!AM29</f>
        <v>0.26600000000000001</v>
      </c>
      <c r="AN29" s="1816">
        <f>'Car Traffic Shares'!AN29</f>
        <v>1</v>
      </c>
      <c r="AP29" s="265" t="s">
        <v>858</v>
      </c>
      <c r="AQ29" s="1769"/>
      <c r="AR29" s="1813">
        <f>'Car Traffic Shares'!AR29</f>
        <v>0.20799999999999999</v>
      </c>
      <c r="AS29" s="1814">
        <f>'Car Traffic Shares'!AS29</f>
        <v>0.32600000000000001</v>
      </c>
      <c r="AT29" s="1814">
        <f>'Car Traffic Shares'!AT29</f>
        <v>0.246</v>
      </c>
      <c r="AU29" s="1815">
        <f>'Car Traffic Shares'!AU29</f>
        <v>0.221</v>
      </c>
      <c r="AV29" s="1813">
        <f>'Car Traffic Shares'!AV29</f>
        <v>0.73099999999999998</v>
      </c>
      <c r="AW29" s="1815">
        <f>'Car Traffic Shares'!AW29</f>
        <v>0.26900000000000002</v>
      </c>
      <c r="AX29" s="1816">
        <f>'Car Traffic Shares'!AX29</f>
        <v>1</v>
      </c>
      <c r="AZ29" s="265" t="s">
        <v>858</v>
      </c>
      <c r="BA29" s="1769"/>
      <c r="BB29" s="1813">
        <f>'Car Traffic Shares'!BB29</f>
        <v>0.20599999999999999</v>
      </c>
      <c r="BC29" s="1814">
        <f>'Car Traffic Shares'!BC29</f>
        <v>0.32500000000000001</v>
      </c>
      <c r="BD29" s="1814">
        <f>'Car Traffic Shares'!BD29</f>
        <v>0.24399999999999999</v>
      </c>
      <c r="BE29" s="1815">
        <f>'Car Traffic Shares'!BE29</f>
        <v>0.224</v>
      </c>
      <c r="BF29" s="1813">
        <f>'Car Traffic Shares'!BF29</f>
        <v>0.72899999999999998</v>
      </c>
      <c r="BG29" s="1815">
        <f>'Car Traffic Shares'!BG29</f>
        <v>0.27100000000000002</v>
      </c>
      <c r="BH29" s="1816">
        <f>'Car Traffic Shares'!BH29</f>
        <v>1</v>
      </c>
    </row>
    <row r="30" spans="1:60" ht="13.5" customHeight="1">
      <c r="A30" s="265" t="s">
        <v>859</v>
      </c>
      <c r="B30" s="1769"/>
      <c r="C30" s="1769"/>
      <c r="D30" s="1813">
        <f>'Car Traffic Shares'!D30</f>
        <v>0.21299999999999999</v>
      </c>
      <c r="E30" s="1814">
        <f>'Car Traffic Shares'!E30</f>
        <v>0.33700000000000002</v>
      </c>
      <c r="F30" s="1814">
        <f>'Car Traffic Shares'!F30</f>
        <v>0.26500000000000001</v>
      </c>
      <c r="G30" s="1815">
        <f>'Car Traffic Shares'!G30</f>
        <v>0.185</v>
      </c>
      <c r="H30" s="1813">
        <f>'Car Traffic Shares'!H30</f>
        <v>0.749</v>
      </c>
      <c r="I30" s="1815">
        <f>'Car Traffic Shares'!I30</f>
        <v>0.251</v>
      </c>
      <c r="J30" s="1816">
        <f>'Car Traffic Shares'!J30</f>
        <v>1</v>
      </c>
      <c r="L30" s="265" t="s">
        <v>859</v>
      </c>
      <c r="M30" s="1769"/>
      <c r="N30" s="1813">
        <f>'Car Traffic Shares'!N30</f>
        <v>0.21299999999999999</v>
      </c>
      <c r="O30" s="1814">
        <f>'Car Traffic Shares'!O30</f>
        <v>0.33800000000000002</v>
      </c>
      <c r="P30" s="1814">
        <f>'Car Traffic Shares'!P30</f>
        <v>0.26500000000000001</v>
      </c>
      <c r="Q30" s="1815">
        <f>'Car Traffic Shares'!Q30</f>
        <v>0.185</v>
      </c>
      <c r="R30" s="1813">
        <f>'Car Traffic Shares'!R30</f>
        <v>0.749</v>
      </c>
      <c r="S30" s="1815">
        <f>'Car Traffic Shares'!S30</f>
        <v>0.251</v>
      </c>
      <c r="T30" s="1816">
        <f>'Car Traffic Shares'!T30</f>
        <v>1</v>
      </c>
      <c r="V30" s="265" t="s">
        <v>859</v>
      </c>
      <c r="W30" s="1769"/>
      <c r="X30" s="1813">
        <f>'Car Traffic Shares'!X30</f>
        <v>0.21</v>
      </c>
      <c r="Y30" s="1814">
        <f>'Car Traffic Shares'!Y30</f>
        <v>0.33900000000000002</v>
      </c>
      <c r="Z30" s="1814">
        <f>'Car Traffic Shares'!Z30</f>
        <v>0.26300000000000001</v>
      </c>
      <c r="AA30" s="1815">
        <f>'Car Traffic Shares'!AA30</f>
        <v>0.188</v>
      </c>
      <c r="AB30" s="1813">
        <f>'Car Traffic Shares'!AB30</f>
        <v>0.745</v>
      </c>
      <c r="AC30" s="1815">
        <f>'Car Traffic Shares'!AC30</f>
        <v>0.255</v>
      </c>
      <c r="AD30" s="1816">
        <f>'Car Traffic Shares'!AD30</f>
        <v>1</v>
      </c>
      <c r="AF30" s="265" t="s">
        <v>859</v>
      </c>
      <c r="AG30" s="1769"/>
      <c r="AH30" s="1813">
        <f>'Car Traffic Shares'!AH30</f>
        <v>0.20799999999999999</v>
      </c>
      <c r="AI30" s="1814">
        <f>'Car Traffic Shares'!AI30</f>
        <v>0.34100000000000003</v>
      </c>
      <c r="AJ30" s="1814">
        <f>'Car Traffic Shares'!AJ30</f>
        <v>0.26</v>
      </c>
      <c r="AK30" s="1815">
        <f>'Car Traffic Shares'!AK30</f>
        <v>0.192</v>
      </c>
      <c r="AL30" s="1813">
        <f>'Car Traffic Shares'!AL30</f>
        <v>0.73899999999999999</v>
      </c>
      <c r="AM30" s="1815">
        <f>'Car Traffic Shares'!AM30</f>
        <v>0.26100000000000001</v>
      </c>
      <c r="AN30" s="1816">
        <f>'Car Traffic Shares'!AN30</f>
        <v>1</v>
      </c>
      <c r="AP30" s="265" t="s">
        <v>859</v>
      </c>
      <c r="AQ30" s="1769"/>
      <c r="AR30" s="1813">
        <f>'Car Traffic Shares'!AR30</f>
        <v>0.20599999999999999</v>
      </c>
      <c r="AS30" s="1814">
        <f>'Car Traffic Shares'!AS30</f>
        <v>0.34200000000000003</v>
      </c>
      <c r="AT30" s="1814">
        <f>'Car Traffic Shares'!AT30</f>
        <v>0.25900000000000001</v>
      </c>
      <c r="AU30" s="1815">
        <f>'Car Traffic Shares'!AU30</f>
        <v>0.19400000000000001</v>
      </c>
      <c r="AV30" s="1813">
        <f>'Car Traffic Shares'!AV30</f>
        <v>0.73599999999999999</v>
      </c>
      <c r="AW30" s="1815">
        <f>'Car Traffic Shares'!AW30</f>
        <v>0.26400000000000001</v>
      </c>
      <c r="AX30" s="1816">
        <f>'Car Traffic Shares'!AX30</f>
        <v>1</v>
      </c>
      <c r="AZ30" s="265" t="s">
        <v>859</v>
      </c>
      <c r="BA30" s="1769"/>
      <c r="BB30" s="1813">
        <f>'Car Traffic Shares'!BB30</f>
        <v>0.20399999999999999</v>
      </c>
      <c r="BC30" s="1814">
        <f>'Car Traffic Shares'!BC30</f>
        <v>0.34200000000000003</v>
      </c>
      <c r="BD30" s="1814">
        <f>'Car Traffic Shares'!BD30</f>
        <v>0.25800000000000001</v>
      </c>
      <c r="BE30" s="1815">
        <f>'Car Traffic Shares'!BE30</f>
        <v>0.19600000000000001</v>
      </c>
      <c r="BF30" s="1813">
        <f>'Car Traffic Shares'!BF30</f>
        <v>0.73399999999999999</v>
      </c>
      <c r="BG30" s="1815">
        <f>'Car Traffic Shares'!BG30</f>
        <v>0.26600000000000001</v>
      </c>
      <c r="BH30" s="1816">
        <f>'Car Traffic Shares'!BH30</f>
        <v>1</v>
      </c>
    </row>
    <row r="31" spans="1:60" ht="13.5" customHeight="1" thickBot="1">
      <c r="A31" s="259" t="s">
        <v>860</v>
      </c>
      <c r="B31" s="1774"/>
      <c r="C31" s="1774"/>
      <c r="D31" s="1817">
        <f>'Car Traffic Shares'!D31</f>
        <v>0.21199999999999999</v>
      </c>
      <c r="E31" s="1818">
        <f>'Car Traffic Shares'!E31</f>
        <v>0.34100000000000003</v>
      </c>
      <c r="F31" s="1818">
        <f>'Car Traffic Shares'!F31</f>
        <v>0.25900000000000001</v>
      </c>
      <c r="G31" s="1819">
        <f>'Car Traffic Shares'!G31</f>
        <v>0.188</v>
      </c>
      <c r="H31" s="1817">
        <f>'Car Traffic Shares'!H31</f>
        <v>0.745</v>
      </c>
      <c r="I31" s="1819">
        <f>'Car Traffic Shares'!I31</f>
        <v>0.255</v>
      </c>
      <c r="J31" s="1820">
        <f>'Car Traffic Shares'!J31</f>
        <v>1</v>
      </c>
      <c r="L31" s="259" t="s">
        <v>860</v>
      </c>
      <c r="M31" s="1774"/>
      <c r="N31" s="1817">
        <f>'Car Traffic Shares'!N31</f>
        <v>0.21099999999999999</v>
      </c>
      <c r="O31" s="1818">
        <f>'Car Traffic Shares'!O31</f>
        <v>0.34200000000000003</v>
      </c>
      <c r="P31" s="1818">
        <f>'Car Traffic Shares'!P31</f>
        <v>0.25800000000000001</v>
      </c>
      <c r="Q31" s="1819">
        <f>'Car Traffic Shares'!Q31</f>
        <v>0.188</v>
      </c>
      <c r="R31" s="1817">
        <f>'Car Traffic Shares'!R31</f>
        <v>0.74399999999999999</v>
      </c>
      <c r="S31" s="1819">
        <f>'Car Traffic Shares'!S31</f>
        <v>0.25600000000000001</v>
      </c>
      <c r="T31" s="1820">
        <f>'Car Traffic Shares'!T31</f>
        <v>1</v>
      </c>
      <c r="V31" s="259" t="s">
        <v>860</v>
      </c>
      <c r="W31" s="1774"/>
      <c r="X31" s="1817">
        <f>'Car Traffic Shares'!X31</f>
        <v>0.21</v>
      </c>
      <c r="Y31" s="1818">
        <f>'Car Traffic Shares'!Y31</f>
        <v>0.34300000000000003</v>
      </c>
      <c r="Z31" s="1818">
        <f>'Car Traffic Shares'!Z31</f>
        <v>0.25700000000000001</v>
      </c>
      <c r="AA31" s="1819">
        <f>'Car Traffic Shares'!AA31</f>
        <v>0.19</v>
      </c>
      <c r="AB31" s="1817">
        <f>'Car Traffic Shares'!AB31</f>
        <v>0.74</v>
      </c>
      <c r="AC31" s="1819">
        <f>'Car Traffic Shares'!AC31</f>
        <v>0.26</v>
      </c>
      <c r="AD31" s="1820">
        <f>'Car Traffic Shares'!AD31</f>
        <v>1</v>
      </c>
      <c r="AF31" s="259" t="s">
        <v>860</v>
      </c>
      <c r="AG31" s="1774"/>
      <c r="AH31" s="1817">
        <f>'Car Traffic Shares'!AH31</f>
        <v>0.20799999999999999</v>
      </c>
      <c r="AI31" s="1818">
        <f>'Car Traffic Shares'!AI31</f>
        <v>0.34399999999999997</v>
      </c>
      <c r="AJ31" s="1818">
        <f>'Car Traffic Shares'!AJ31</f>
        <v>0.255</v>
      </c>
      <c r="AK31" s="1819">
        <f>'Car Traffic Shares'!AK31</f>
        <v>0.193</v>
      </c>
      <c r="AL31" s="1817">
        <f>'Car Traffic Shares'!AL31</f>
        <v>0.73599999999999999</v>
      </c>
      <c r="AM31" s="1819">
        <f>'Car Traffic Shares'!AM31</f>
        <v>0.26400000000000001</v>
      </c>
      <c r="AN31" s="1820">
        <f>'Car Traffic Shares'!AN31</f>
        <v>1</v>
      </c>
      <c r="AP31" s="259" t="s">
        <v>860</v>
      </c>
      <c r="AQ31" s="1774"/>
      <c r="AR31" s="1817">
        <f>'Car Traffic Shares'!AR31</f>
        <v>0.20599999999999999</v>
      </c>
      <c r="AS31" s="1818">
        <f>'Car Traffic Shares'!AS31</f>
        <v>0.34499999999999997</v>
      </c>
      <c r="AT31" s="1818">
        <f>'Car Traffic Shares'!AT31</f>
        <v>0.254</v>
      </c>
      <c r="AU31" s="1819">
        <f>'Car Traffic Shares'!AU31</f>
        <v>0.19500000000000001</v>
      </c>
      <c r="AV31" s="1817">
        <f>'Car Traffic Shares'!AV31</f>
        <v>0.73299999999999998</v>
      </c>
      <c r="AW31" s="1819">
        <f>'Car Traffic Shares'!AW31</f>
        <v>0.26700000000000002</v>
      </c>
      <c r="AX31" s="1820">
        <f>'Car Traffic Shares'!AX31</f>
        <v>1</v>
      </c>
      <c r="AZ31" s="259" t="s">
        <v>860</v>
      </c>
      <c r="BA31" s="1774"/>
      <c r="BB31" s="1817">
        <f>'Car Traffic Shares'!BB31</f>
        <v>0.20499999999999999</v>
      </c>
      <c r="BC31" s="1818">
        <f>'Car Traffic Shares'!BC31</f>
        <v>0.34499999999999997</v>
      </c>
      <c r="BD31" s="1818">
        <f>'Car Traffic Shares'!BD31</f>
        <v>0.253</v>
      </c>
      <c r="BE31" s="1819">
        <f>'Car Traffic Shares'!BE31</f>
        <v>0.19600000000000001</v>
      </c>
      <c r="BF31" s="1817">
        <f>'Car Traffic Shares'!BF31</f>
        <v>0.73199999999999998</v>
      </c>
      <c r="BG31" s="1819">
        <f>'Car Traffic Shares'!BG31</f>
        <v>0.26800000000000002</v>
      </c>
      <c r="BH31" s="1820">
        <f>'Car Traffic Shares'!BH31</f>
        <v>1</v>
      </c>
    </row>
    <row r="32" spans="1:60" ht="13.5" customHeight="1" thickTop="1">
      <c r="A32" s="265" t="s">
        <v>1122</v>
      </c>
      <c r="B32" s="1769"/>
      <c r="C32" s="1769"/>
      <c r="D32" s="1821">
        <f>'Car Traffic Shares'!D32</f>
        <v>0.219</v>
      </c>
      <c r="E32" s="1822">
        <f>'Car Traffic Shares'!E32</f>
        <v>0.32200000000000001</v>
      </c>
      <c r="F32" s="1822">
        <f>'Car Traffic Shares'!F32</f>
        <v>0.252</v>
      </c>
      <c r="G32" s="1823">
        <f>'Car Traffic Shares'!G32</f>
        <v>0.20599999999999999</v>
      </c>
      <c r="H32" s="1821">
        <f>'Car Traffic Shares'!H32</f>
        <v>0.74099999999999999</v>
      </c>
      <c r="I32" s="1823">
        <f>'Car Traffic Shares'!I32</f>
        <v>0.25900000000000001</v>
      </c>
      <c r="J32" s="1824">
        <f>'Car Traffic Shares'!J32</f>
        <v>1</v>
      </c>
      <c r="L32" s="265" t="s">
        <v>1122</v>
      </c>
      <c r="M32" s="1769"/>
      <c r="N32" s="1821">
        <f>'Car Traffic Shares'!N32</f>
        <v>0.218</v>
      </c>
      <c r="O32" s="1822">
        <f>'Car Traffic Shares'!O32</f>
        <v>0.32400000000000001</v>
      </c>
      <c r="P32" s="1822">
        <f>'Car Traffic Shares'!P32</f>
        <v>0.251</v>
      </c>
      <c r="Q32" s="1823">
        <f>'Car Traffic Shares'!Q32</f>
        <v>0.20699999999999999</v>
      </c>
      <c r="R32" s="1821">
        <f>'Car Traffic Shares'!R32</f>
        <v>0.74</v>
      </c>
      <c r="S32" s="1823">
        <f>'Car Traffic Shares'!S32</f>
        <v>0.26</v>
      </c>
      <c r="T32" s="1824">
        <f>'Car Traffic Shares'!T32</f>
        <v>1</v>
      </c>
      <c r="V32" s="265" t="s">
        <v>1122</v>
      </c>
      <c r="W32" s="1769"/>
      <c r="X32" s="1821">
        <f>'Car Traffic Shares'!X32</f>
        <v>0.216</v>
      </c>
      <c r="Y32" s="1822">
        <f>'Car Traffic Shares'!Y32</f>
        <v>0.32400000000000001</v>
      </c>
      <c r="Z32" s="1822">
        <f>'Car Traffic Shares'!Z32</f>
        <v>0.249</v>
      </c>
      <c r="AA32" s="1823">
        <f>'Car Traffic Shares'!AA32</f>
        <v>0.21</v>
      </c>
      <c r="AB32" s="1821">
        <f>'Car Traffic Shares'!AB32</f>
        <v>0.73599999999999999</v>
      </c>
      <c r="AC32" s="1823">
        <f>'Car Traffic Shares'!AC32</f>
        <v>0.26400000000000001</v>
      </c>
      <c r="AD32" s="1824">
        <f>'Car Traffic Shares'!AD32</f>
        <v>1</v>
      </c>
      <c r="AF32" s="265" t="s">
        <v>1122</v>
      </c>
      <c r="AG32" s="1769"/>
      <c r="AH32" s="1821">
        <f>'Car Traffic Shares'!AH32</f>
        <v>0.214</v>
      </c>
      <c r="AI32" s="1822">
        <f>'Car Traffic Shares'!AI32</f>
        <v>0.32500000000000001</v>
      </c>
      <c r="AJ32" s="1822">
        <f>'Car Traffic Shares'!AJ32</f>
        <v>0.247</v>
      </c>
      <c r="AK32" s="1823">
        <f>'Car Traffic Shares'!AK32</f>
        <v>0.214</v>
      </c>
      <c r="AL32" s="1821">
        <f>'Car Traffic Shares'!AL32</f>
        <v>0.73199999999999998</v>
      </c>
      <c r="AM32" s="1823">
        <f>'Car Traffic Shares'!AM32</f>
        <v>0.26800000000000002</v>
      </c>
      <c r="AN32" s="1824">
        <f>'Car Traffic Shares'!AN32</f>
        <v>1</v>
      </c>
      <c r="AP32" s="265" t="s">
        <v>1122</v>
      </c>
      <c r="AQ32" s="1769"/>
      <c r="AR32" s="1821">
        <f>'Car Traffic Shares'!AR32</f>
        <v>0.21199999999999999</v>
      </c>
      <c r="AS32" s="1822">
        <f>'Car Traffic Shares'!AS32</f>
        <v>0.32500000000000001</v>
      </c>
      <c r="AT32" s="1822">
        <f>'Car Traffic Shares'!AT32</f>
        <v>0.246</v>
      </c>
      <c r="AU32" s="1823">
        <f>'Car Traffic Shares'!AU32</f>
        <v>0.217</v>
      </c>
      <c r="AV32" s="1821">
        <f>'Car Traffic Shares'!AV32</f>
        <v>0.72899999999999998</v>
      </c>
      <c r="AW32" s="1823">
        <f>'Car Traffic Shares'!AW32</f>
        <v>0.27100000000000002</v>
      </c>
      <c r="AX32" s="1824">
        <f>'Car Traffic Shares'!AX32</f>
        <v>1</v>
      </c>
      <c r="AZ32" s="265" t="s">
        <v>1122</v>
      </c>
      <c r="BA32" s="1769"/>
      <c r="BB32" s="1821">
        <f>'Car Traffic Shares'!BB32</f>
        <v>0.21099999999999999</v>
      </c>
      <c r="BC32" s="1822">
        <f>'Car Traffic Shares'!BC32</f>
        <v>0.32500000000000001</v>
      </c>
      <c r="BD32" s="1822">
        <f>'Car Traffic Shares'!BD32</f>
        <v>0.24399999999999999</v>
      </c>
      <c r="BE32" s="1823">
        <f>'Car Traffic Shares'!BE32</f>
        <v>0.22</v>
      </c>
      <c r="BF32" s="1821">
        <f>'Car Traffic Shares'!BF32</f>
        <v>0.72699999999999998</v>
      </c>
      <c r="BG32" s="1823">
        <f>'Car Traffic Shares'!BG32</f>
        <v>0.27300000000000002</v>
      </c>
      <c r="BH32" s="1824">
        <f>'Car Traffic Shares'!BH32</f>
        <v>1</v>
      </c>
    </row>
    <row r="33" spans="1:60" ht="13.5" customHeight="1">
      <c r="A33" s="265" t="s">
        <v>1123</v>
      </c>
      <c r="B33" s="1769"/>
      <c r="C33" s="1769"/>
      <c r="D33" s="1821">
        <f>'Car Traffic Shares'!D33</f>
        <v>0.217</v>
      </c>
      <c r="E33" s="1822">
        <f>'Car Traffic Shares'!E33</f>
        <v>0.32200000000000001</v>
      </c>
      <c r="F33" s="1822">
        <f>'Car Traffic Shares'!F33</f>
        <v>0.255</v>
      </c>
      <c r="G33" s="1823">
        <f>'Car Traffic Shares'!G33</f>
        <v>0.20599999999999999</v>
      </c>
      <c r="H33" s="1821">
        <f>'Car Traffic Shares'!H33</f>
        <v>0.74199999999999999</v>
      </c>
      <c r="I33" s="1823">
        <f>'Car Traffic Shares'!I33</f>
        <v>0.25800000000000001</v>
      </c>
      <c r="J33" s="1824">
        <f>'Car Traffic Shares'!J33</f>
        <v>1</v>
      </c>
      <c r="L33" s="265" t="s">
        <v>1123</v>
      </c>
      <c r="M33" s="1769"/>
      <c r="N33" s="1821">
        <f>'Car Traffic Shares'!N33</f>
        <v>0.216</v>
      </c>
      <c r="O33" s="1822">
        <f>'Car Traffic Shares'!O33</f>
        <v>0.32300000000000001</v>
      </c>
      <c r="P33" s="1822">
        <f>'Car Traffic Shares'!P33</f>
        <v>0.255</v>
      </c>
      <c r="Q33" s="1823">
        <f>'Car Traffic Shares'!Q33</f>
        <v>0.20599999999999999</v>
      </c>
      <c r="R33" s="1821">
        <f>'Car Traffic Shares'!R33</f>
        <v>0.74099999999999999</v>
      </c>
      <c r="S33" s="1823">
        <f>'Car Traffic Shares'!S33</f>
        <v>0.25900000000000001</v>
      </c>
      <c r="T33" s="1824">
        <f>'Car Traffic Shares'!T33</f>
        <v>1</v>
      </c>
      <c r="V33" s="265" t="s">
        <v>1123</v>
      </c>
      <c r="W33" s="1769"/>
      <c r="X33" s="1821">
        <f>'Car Traffic Shares'!X33</f>
        <v>0.214</v>
      </c>
      <c r="Y33" s="1822">
        <f>'Car Traffic Shares'!Y33</f>
        <v>0.32400000000000001</v>
      </c>
      <c r="Z33" s="1822">
        <f>'Car Traffic Shares'!Z33</f>
        <v>0.253</v>
      </c>
      <c r="AA33" s="1823">
        <f>'Car Traffic Shares'!AA33</f>
        <v>0.21</v>
      </c>
      <c r="AB33" s="1821">
        <f>'Car Traffic Shares'!AB33</f>
        <v>0.73699999999999999</v>
      </c>
      <c r="AC33" s="1823">
        <f>'Car Traffic Shares'!AC33</f>
        <v>0.26300000000000001</v>
      </c>
      <c r="AD33" s="1824">
        <f>'Car Traffic Shares'!AD33</f>
        <v>1</v>
      </c>
      <c r="AF33" s="265" t="s">
        <v>1123</v>
      </c>
      <c r="AG33" s="1769"/>
      <c r="AH33" s="1821">
        <f>'Car Traffic Shares'!AH33</f>
        <v>0.21199999999999999</v>
      </c>
      <c r="AI33" s="1822">
        <f>'Car Traffic Shares'!AI33</f>
        <v>0.32400000000000001</v>
      </c>
      <c r="AJ33" s="1822">
        <f>'Car Traffic Shares'!AJ33</f>
        <v>0.251</v>
      </c>
      <c r="AK33" s="1823">
        <f>'Car Traffic Shares'!AK33</f>
        <v>0.21299999999999999</v>
      </c>
      <c r="AL33" s="1821">
        <f>'Car Traffic Shares'!AL33</f>
        <v>0.73299999999999998</v>
      </c>
      <c r="AM33" s="1823">
        <f>'Car Traffic Shares'!AM33</f>
        <v>0.26700000000000002</v>
      </c>
      <c r="AN33" s="1824">
        <f>'Car Traffic Shares'!AN33</f>
        <v>1</v>
      </c>
      <c r="AP33" s="265" t="s">
        <v>1123</v>
      </c>
      <c r="AQ33" s="1769"/>
      <c r="AR33" s="1821">
        <f>'Car Traffic Shares'!AR33</f>
        <v>0.21</v>
      </c>
      <c r="AS33" s="1822">
        <f>'Car Traffic Shares'!AS33</f>
        <v>0.32500000000000001</v>
      </c>
      <c r="AT33" s="1822">
        <f>'Car Traffic Shares'!AT33</f>
        <v>0.249</v>
      </c>
      <c r="AU33" s="1823">
        <f>'Car Traffic Shares'!AU33</f>
        <v>0.216</v>
      </c>
      <c r="AV33" s="1821">
        <f>'Car Traffic Shares'!AV33</f>
        <v>0.72899999999999998</v>
      </c>
      <c r="AW33" s="1823">
        <f>'Car Traffic Shares'!AW33</f>
        <v>0.27100000000000002</v>
      </c>
      <c r="AX33" s="1824">
        <f>'Car Traffic Shares'!AX33</f>
        <v>1</v>
      </c>
      <c r="AZ33" s="265" t="s">
        <v>1123</v>
      </c>
      <c r="BA33" s="1769"/>
      <c r="BB33" s="1821">
        <f>'Car Traffic Shares'!BB33</f>
        <v>0.20899999999999999</v>
      </c>
      <c r="BC33" s="1822">
        <f>'Car Traffic Shares'!BC33</f>
        <v>0.32500000000000001</v>
      </c>
      <c r="BD33" s="1822">
        <f>'Car Traffic Shares'!BD33</f>
        <v>0.248</v>
      </c>
      <c r="BE33" s="1823">
        <f>'Car Traffic Shares'!BE33</f>
        <v>0.219</v>
      </c>
      <c r="BF33" s="1821">
        <f>'Car Traffic Shares'!BF33</f>
        <v>0.72699999999999998</v>
      </c>
      <c r="BG33" s="1823">
        <f>'Car Traffic Shares'!BG33</f>
        <v>0.27300000000000002</v>
      </c>
      <c r="BH33" s="1824">
        <f>'Car Traffic Shares'!BH33</f>
        <v>1</v>
      </c>
    </row>
    <row r="34" spans="1:60" ht="13.5" customHeight="1">
      <c r="A34" s="265" t="s">
        <v>1487</v>
      </c>
      <c r="B34" s="1769"/>
      <c r="C34" s="1769"/>
      <c r="D34" s="1821">
        <f>'Car Traffic Shares'!D34</f>
        <v>0.19800000000000001</v>
      </c>
      <c r="E34" s="1822">
        <f>'Car Traffic Shares'!E34</f>
        <v>0.28799999999999998</v>
      </c>
      <c r="F34" s="1822">
        <f>'Car Traffic Shares'!F34</f>
        <v>0.22800000000000001</v>
      </c>
      <c r="G34" s="1823">
        <f>'Car Traffic Shares'!G34</f>
        <v>0.28599999999999998</v>
      </c>
      <c r="H34" s="1821">
        <f>'Car Traffic Shares'!H34</f>
        <v>0.749</v>
      </c>
      <c r="I34" s="1823">
        <f>'Car Traffic Shares'!I34</f>
        <v>0.251</v>
      </c>
      <c r="J34" s="1824">
        <f>'Car Traffic Shares'!J34</f>
        <v>1</v>
      </c>
      <c r="L34" s="265" t="s">
        <v>1487</v>
      </c>
      <c r="M34" s="1769"/>
      <c r="N34" s="1821">
        <f>'Car Traffic Shares'!N34</f>
        <v>0.19700000000000001</v>
      </c>
      <c r="O34" s="1822">
        <f>'Car Traffic Shares'!O34</f>
        <v>0.28799999999999998</v>
      </c>
      <c r="P34" s="1822">
        <f>'Car Traffic Shares'!P34</f>
        <v>0.22800000000000001</v>
      </c>
      <c r="Q34" s="1823">
        <f>'Car Traffic Shares'!Q34</f>
        <v>0.28699999999999998</v>
      </c>
      <c r="R34" s="1821">
        <f>'Car Traffic Shares'!R34</f>
        <v>0.748</v>
      </c>
      <c r="S34" s="1823">
        <f>'Car Traffic Shares'!S34</f>
        <v>0.252</v>
      </c>
      <c r="T34" s="1824">
        <f>'Car Traffic Shares'!T34</f>
        <v>1</v>
      </c>
      <c r="V34" s="265" t="s">
        <v>1487</v>
      </c>
      <c r="W34" s="1769"/>
      <c r="X34" s="1821">
        <f>'Car Traffic Shares'!X34</f>
        <v>0.19400000000000001</v>
      </c>
      <c r="Y34" s="1822">
        <f>'Car Traffic Shares'!Y34</f>
        <v>0.28899999999999998</v>
      </c>
      <c r="Z34" s="1822">
        <f>'Car Traffic Shares'!Z34</f>
        <v>0.224</v>
      </c>
      <c r="AA34" s="1823">
        <f>'Car Traffic Shares'!AA34</f>
        <v>0.29299999999999998</v>
      </c>
      <c r="AB34" s="1821">
        <f>'Car Traffic Shares'!AB34</f>
        <v>0.74399999999999999</v>
      </c>
      <c r="AC34" s="1823">
        <f>'Car Traffic Shares'!AC34</f>
        <v>0.25600000000000001</v>
      </c>
      <c r="AD34" s="1824">
        <f>'Car Traffic Shares'!AD34</f>
        <v>1</v>
      </c>
      <c r="AF34" s="265" t="s">
        <v>1487</v>
      </c>
      <c r="AG34" s="1769"/>
      <c r="AH34" s="1821">
        <f>'Car Traffic Shares'!AH34</f>
        <v>0.191</v>
      </c>
      <c r="AI34" s="1822">
        <f>'Car Traffic Shares'!AI34</f>
        <v>0.28899999999999998</v>
      </c>
      <c r="AJ34" s="1822">
        <f>'Car Traffic Shares'!AJ34</f>
        <v>0.221</v>
      </c>
      <c r="AK34" s="1823">
        <f>'Car Traffic Shares'!AK34</f>
        <v>0.29899999999999999</v>
      </c>
      <c r="AL34" s="1821">
        <f>'Car Traffic Shares'!AL34</f>
        <v>0.73899999999999999</v>
      </c>
      <c r="AM34" s="1823">
        <f>'Car Traffic Shares'!AM34</f>
        <v>0.26100000000000001</v>
      </c>
      <c r="AN34" s="1824">
        <f>'Car Traffic Shares'!AN34</f>
        <v>1</v>
      </c>
      <c r="AP34" s="265" t="s">
        <v>1487</v>
      </c>
      <c r="AQ34" s="1769"/>
      <c r="AR34" s="1821">
        <f>'Car Traffic Shares'!AR34</f>
        <v>0.188</v>
      </c>
      <c r="AS34" s="1822">
        <f>'Car Traffic Shares'!AS34</f>
        <v>0.28999999999999998</v>
      </c>
      <c r="AT34" s="1822">
        <f>'Car Traffic Shares'!AT34</f>
        <v>0.219</v>
      </c>
      <c r="AU34" s="1823">
        <f>'Car Traffic Shares'!AU34</f>
        <v>0.30399999999999999</v>
      </c>
      <c r="AV34" s="1821">
        <f>'Car Traffic Shares'!AV34</f>
        <v>0.73599999999999999</v>
      </c>
      <c r="AW34" s="1823">
        <f>'Car Traffic Shares'!AW34</f>
        <v>0.26400000000000001</v>
      </c>
      <c r="AX34" s="1824">
        <f>'Car Traffic Shares'!AX34</f>
        <v>1</v>
      </c>
      <c r="AZ34" s="265" t="s">
        <v>1487</v>
      </c>
      <c r="BA34" s="1769"/>
      <c r="BB34" s="1821">
        <f>'Car Traffic Shares'!BB34</f>
        <v>0.186</v>
      </c>
      <c r="BC34" s="1822">
        <f>'Car Traffic Shares'!BC34</f>
        <v>0.28899999999999998</v>
      </c>
      <c r="BD34" s="1822">
        <f>'Car Traffic Shares'!BD34</f>
        <v>0.217</v>
      </c>
      <c r="BE34" s="1823">
        <f>'Car Traffic Shares'!BE34</f>
        <v>0.308</v>
      </c>
      <c r="BF34" s="1821">
        <f>'Car Traffic Shares'!BF34</f>
        <v>0.73299999999999998</v>
      </c>
      <c r="BG34" s="1823">
        <f>'Car Traffic Shares'!BG34</f>
        <v>0.26700000000000002</v>
      </c>
      <c r="BH34" s="1824">
        <f>'Car Traffic Shares'!BH34</f>
        <v>1</v>
      </c>
    </row>
    <row r="35" spans="1:60" ht="13.5" customHeight="1">
      <c r="A35" s="265" t="s">
        <v>1124</v>
      </c>
      <c r="B35" s="1769"/>
      <c r="C35" s="1769"/>
      <c r="D35" s="1821">
        <f>'Car Traffic Shares'!D35</f>
        <v>0.21199999999999999</v>
      </c>
      <c r="E35" s="1822">
        <f>'Car Traffic Shares'!E35</f>
        <v>0.32900000000000001</v>
      </c>
      <c r="F35" s="1822">
        <f>'Car Traffic Shares'!F35</f>
        <v>0.26100000000000001</v>
      </c>
      <c r="G35" s="1823">
        <f>'Car Traffic Shares'!G35</f>
        <v>0.19800000000000001</v>
      </c>
      <c r="H35" s="1821">
        <f>'Car Traffic Shares'!H35</f>
        <v>0.753</v>
      </c>
      <c r="I35" s="1823">
        <f>'Car Traffic Shares'!I35</f>
        <v>0.247</v>
      </c>
      <c r="J35" s="1824">
        <f>'Car Traffic Shares'!J35</f>
        <v>1</v>
      </c>
      <c r="L35" s="265" t="s">
        <v>1124</v>
      </c>
      <c r="M35" s="1769"/>
      <c r="N35" s="1821">
        <f>'Car Traffic Shares'!N35</f>
        <v>0.21</v>
      </c>
      <c r="O35" s="1822">
        <f>'Car Traffic Shares'!O35</f>
        <v>0.33100000000000002</v>
      </c>
      <c r="P35" s="1822">
        <f>'Car Traffic Shares'!P35</f>
        <v>0.26</v>
      </c>
      <c r="Q35" s="1823">
        <f>'Car Traffic Shares'!Q35</f>
        <v>0.19900000000000001</v>
      </c>
      <c r="R35" s="1821">
        <f>'Car Traffic Shares'!R35</f>
        <v>0.752</v>
      </c>
      <c r="S35" s="1823">
        <f>'Car Traffic Shares'!S35</f>
        <v>0.248</v>
      </c>
      <c r="T35" s="1824">
        <f>'Car Traffic Shares'!T35</f>
        <v>1</v>
      </c>
      <c r="V35" s="265" t="s">
        <v>1124</v>
      </c>
      <c r="W35" s="1769"/>
      <c r="X35" s="1821">
        <f>'Car Traffic Shares'!X35</f>
        <v>0.20899999999999999</v>
      </c>
      <c r="Y35" s="1822">
        <f>'Car Traffic Shares'!Y35</f>
        <v>0.33100000000000002</v>
      </c>
      <c r="Z35" s="1822">
        <f>'Car Traffic Shares'!Z35</f>
        <v>0.25800000000000001</v>
      </c>
      <c r="AA35" s="1823">
        <f>'Car Traffic Shares'!AA35</f>
        <v>0.20200000000000001</v>
      </c>
      <c r="AB35" s="1821">
        <f>'Car Traffic Shares'!AB35</f>
        <v>0.749</v>
      </c>
      <c r="AC35" s="1823">
        <f>'Car Traffic Shares'!AC35</f>
        <v>0.251</v>
      </c>
      <c r="AD35" s="1824">
        <f>'Car Traffic Shares'!AD35</f>
        <v>1</v>
      </c>
      <c r="AF35" s="265" t="s">
        <v>1124</v>
      </c>
      <c r="AG35" s="1769"/>
      <c r="AH35" s="1821">
        <f>'Car Traffic Shares'!AH35</f>
        <v>0.20699999999999999</v>
      </c>
      <c r="AI35" s="1822">
        <f>'Car Traffic Shares'!AI35</f>
        <v>0.33200000000000002</v>
      </c>
      <c r="AJ35" s="1822">
        <f>'Car Traffic Shares'!AJ35</f>
        <v>0.25700000000000001</v>
      </c>
      <c r="AK35" s="1823">
        <f>'Car Traffic Shares'!AK35</f>
        <v>0.20499999999999999</v>
      </c>
      <c r="AL35" s="1821">
        <f>'Car Traffic Shares'!AL35</f>
        <v>0.746</v>
      </c>
      <c r="AM35" s="1823">
        <f>'Car Traffic Shares'!AM35</f>
        <v>0.254</v>
      </c>
      <c r="AN35" s="1824">
        <f>'Car Traffic Shares'!AN35</f>
        <v>1</v>
      </c>
      <c r="AP35" s="265" t="s">
        <v>1124</v>
      </c>
      <c r="AQ35" s="1769"/>
      <c r="AR35" s="1821">
        <f>'Car Traffic Shares'!AR35</f>
        <v>0.20499999999999999</v>
      </c>
      <c r="AS35" s="1822">
        <f>'Car Traffic Shares'!AS35</f>
        <v>0.33200000000000002</v>
      </c>
      <c r="AT35" s="1822">
        <f>'Car Traffic Shares'!AT35</f>
        <v>0.255</v>
      </c>
      <c r="AU35" s="1823">
        <f>'Car Traffic Shares'!AU35</f>
        <v>0.20799999999999999</v>
      </c>
      <c r="AV35" s="1821">
        <f>'Car Traffic Shares'!AV35</f>
        <v>0.74299999999999999</v>
      </c>
      <c r="AW35" s="1823">
        <f>'Car Traffic Shares'!AW35</f>
        <v>0.25700000000000001</v>
      </c>
      <c r="AX35" s="1824">
        <f>'Car Traffic Shares'!AX35</f>
        <v>1</v>
      </c>
      <c r="AZ35" s="265" t="s">
        <v>1124</v>
      </c>
      <c r="BA35" s="1769"/>
      <c r="BB35" s="1821">
        <f>'Car Traffic Shares'!BB35</f>
        <v>0.20399999999999999</v>
      </c>
      <c r="BC35" s="1822">
        <f>'Car Traffic Shares'!BC35</f>
        <v>0.33200000000000002</v>
      </c>
      <c r="BD35" s="1822">
        <f>'Car Traffic Shares'!BD35</f>
        <v>0.254</v>
      </c>
      <c r="BE35" s="1823">
        <f>'Car Traffic Shares'!BE35</f>
        <v>0.21</v>
      </c>
      <c r="BF35" s="1821">
        <f>'Car Traffic Shares'!BF35</f>
        <v>0.74099999999999999</v>
      </c>
      <c r="BG35" s="1823">
        <f>'Car Traffic Shares'!BG35</f>
        <v>0.25900000000000001</v>
      </c>
      <c r="BH35" s="1824">
        <f>'Car Traffic Shares'!BH35</f>
        <v>1</v>
      </c>
    </row>
    <row r="36" spans="1:60" ht="13.5" customHeight="1">
      <c r="A36" s="265" t="s">
        <v>1125</v>
      </c>
      <c r="B36" s="1769"/>
      <c r="C36" s="1769"/>
      <c r="D36" s="1821">
        <f>'Car Traffic Shares'!D36</f>
        <v>0.215</v>
      </c>
      <c r="E36" s="1822">
        <f>'Car Traffic Shares'!E36</f>
        <v>0.32300000000000001</v>
      </c>
      <c r="F36" s="1822">
        <f>'Car Traffic Shares'!F36</f>
        <v>0.25700000000000001</v>
      </c>
      <c r="G36" s="1823">
        <f>'Car Traffic Shares'!G36</f>
        <v>0.20499999999999999</v>
      </c>
      <c r="H36" s="1821">
        <f>'Car Traffic Shares'!H36</f>
        <v>0.747</v>
      </c>
      <c r="I36" s="1823">
        <f>'Car Traffic Shares'!I36</f>
        <v>0.253</v>
      </c>
      <c r="J36" s="1824">
        <f>'Car Traffic Shares'!J36</f>
        <v>1</v>
      </c>
      <c r="L36" s="265" t="s">
        <v>1125</v>
      </c>
      <c r="M36" s="1769"/>
      <c r="N36" s="1821">
        <f>'Car Traffic Shares'!N36</f>
        <v>0.214</v>
      </c>
      <c r="O36" s="1822">
        <f>'Car Traffic Shares'!O36</f>
        <v>0.32400000000000001</v>
      </c>
      <c r="P36" s="1822">
        <f>'Car Traffic Shares'!P36</f>
        <v>0.25700000000000001</v>
      </c>
      <c r="Q36" s="1823">
        <f>'Car Traffic Shares'!Q36</f>
        <v>0.20499999999999999</v>
      </c>
      <c r="R36" s="1821">
        <f>'Car Traffic Shares'!R36</f>
        <v>0.747</v>
      </c>
      <c r="S36" s="1823">
        <f>'Car Traffic Shares'!S36</f>
        <v>0.253</v>
      </c>
      <c r="T36" s="1824">
        <f>'Car Traffic Shares'!T36</f>
        <v>1</v>
      </c>
      <c r="V36" s="265" t="s">
        <v>1125</v>
      </c>
      <c r="W36" s="1769"/>
      <c r="X36" s="1821">
        <f>'Car Traffic Shares'!X36</f>
        <v>0.21199999999999999</v>
      </c>
      <c r="Y36" s="1822">
        <f>'Car Traffic Shares'!Y36</f>
        <v>0.32400000000000001</v>
      </c>
      <c r="Z36" s="1822">
        <f>'Car Traffic Shares'!Z36</f>
        <v>0.255</v>
      </c>
      <c r="AA36" s="1823">
        <f>'Car Traffic Shares'!AA36</f>
        <v>0.20899999999999999</v>
      </c>
      <c r="AB36" s="1821">
        <f>'Car Traffic Shares'!AB36</f>
        <v>0.74199999999999999</v>
      </c>
      <c r="AC36" s="1823">
        <f>'Car Traffic Shares'!AC36</f>
        <v>0.25800000000000001</v>
      </c>
      <c r="AD36" s="1824">
        <f>'Car Traffic Shares'!AD36</f>
        <v>1</v>
      </c>
      <c r="AF36" s="265" t="s">
        <v>1125</v>
      </c>
      <c r="AG36" s="1769"/>
      <c r="AH36" s="1821">
        <f>'Car Traffic Shares'!AH36</f>
        <v>0.21</v>
      </c>
      <c r="AI36" s="1822">
        <f>'Car Traffic Shares'!AI36</f>
        <v>0.32500000000000001</v>
      </c>
      <c r="AJ36" s="1822">
        <f>'Car Traffic Shares'!AJ36</f>
        <v>0.253</v>
      </c>
      <c r="AK36" s="1823">
        <f>'Car Traffic Shares'!AK36</f>
        <v>0.21299999999999999</v>
      </c>
      <c r="AL36" s="1821">
        <f>'Car Traffic Shares'!AL36</f>
        <v>0.73799999999999999</v>
      </c>
      <c r="AM36" s="1823">
        <f>'Car Traffic Shares'!AM36</f>
        <v>0.26200000000000001</v>
      </c>
      <c r="AN36" s="1824">
        <f>'Car Traffic Shares'!AN36</f>
        <v>1</v>
      </c>
      <c r="AP36" s="265" t="s">
        <v>1125</v>
      </c>
      <c r="AQ36" s="1769"/>
      <c r="AR36" s="1821">
        <f>'Car Traffic Shares'!AR36</f>
        <v>0.20799999999999999</v>
      </c>
      <c r="AS36" s="1822">
        <f>'Car Traffic Shares'!AS36</f>
        <v>0.32600000000000001</v>
      </c>
      <c r="AT36" s="1822">
        <f>'Car Traffic Shares'!AT36</f>
        <v>0.251</v>
      </c>
      <c r="AU36" s="1823">
        <f>'Car Traffic Shares'!AU36</f>
        <v>0.216</v>
      </c>
      <c r="AV36" s="1821">
        <f>'Car Traffic Shares'!AV36</f>
        <v>0.73499999999999999</v>
      </c>
      <c r="AW36" s="1823">
        <f>'Car Traffic Shares'!AW36</f>
        <v>0.26500000000000001</v>
      </c>
      <c r="AX36" s="1824">
        <f>'Car Traffic Shares'!AX36</f>
        <v>1</v>
      </c>
      <c r="AZ36" s="265" t="s">
        <v>1125</v>
      </c>
      <c r="BA36" s="1769"/>
      <c r="BB36" s="1821">
        <f>'Car Traffic Shares'!BB36</f>
        <v>0.20699999999999999</v>
      </c>
      <c r="BC36" s="1822">
        <f>'Car Traffic Shares'!BC36</f>
        <v>0.32500000000000001</v>
      </c>
      <c r="BD36" s="1822">
        <f>'Car Traffic Shares'!BD36</f>
        <v>0.25</v>
      </c>
      <c r="BE36" s="1823">
        <f>'Car Traffic Shares'!BE36</f>
        <v>0.218</v>
      </c>
      <c r="BF36" s="1821">
        <f>'Car Traffic Shares'!BF36</f>
        <v>0.73299999999999998</v>
      </c>
      <c r="BG36" s="1823">
        <f>'Car Traffic Shares'!BG36</f>
        <v>0.26700000000000002</v>
      </c>
      <c r="BH36" s="1824">
        <f>'Car Traffic Shares'!BH36</f>
        <v>1</v>
      </c>
    </row>
    <row r="37" spans="1:60" ht="13.5" customHeight="1">
      <c r="A37" s="265" t="s">
        <v>1126</v>
      </c>
      <c r="B37" s="1769"/>
      <c r="C37" s="1769"/>
      <c r="D37" s="1821">
        <f>'Car Traffic Shares'!D37</f>
        <v>0.222</v>
      </c>
      <c r="E37" s="1822">
        <f>'Car Traffic Shares'!E37</f>
        <v>0.32200000000000001</v>
      </c>
      <c r="F37" s="1822">
        <f>'Car Traffic Shares'!F37</f>
        <v>0.247</v>
      </c>
      <c r="G37" s="1823">
        <f>'Car Traffic Shares'!G37</f>
        <v>0.20899999999999999</v>
      </c>
      <c r="H37" s="1821">
        <f>'Car Traffic Shares'!H37</f>
        <v>0.73899999999999999</v>
      </c>
      <c r="I37" s="1823">
        <f>'Car Traffic Shares'!I37</f>
        <v>0.26100000000000001</v>
      </c>
      <c r="J37" s="1824">
        <f>'Car Traffic Shares'!J37</f>
        <v>1</v>
      </c>
      <c r="L37" s="265" t="s">
        <v>1126</v>
      </c>
      <c r="M37" s="1769"/>
      <c r="N37" s="1821">
        <f>'Car Traffic Shares'!N37</f>
        <v>0.22</v>
      </c>
      <c r="O37" s="1822">
        <f>'Car Traffic Shares'!O37</f>
        <v>0.32400000000000001</v>
      </c>
      <c r="P37" s="1822">
        <f>'Car Traffic Shares'!P37</f>
        <v>0.246</v>
      </c>
      <c r="Q37" s="1823">
        <f>'Car Traffic Shares'!Q37</f>
        <v>0.20899999999999999</v>
      </c>
      <c r="R37" s="1821">
        <f>'Car Traffic Shares'!R37</f>
        <v>0.73899999999999999</v>
      </c>
      <c r="S37" s="1823">
        <f>'Car Traffic Shares'!S37</f>
        <v>0.26100000000000001</v>
      </c>
      <c r="T37" s="1824">
        <f>'Car Traffic Shares'!T37</f>
        <v>1</v>
      </c>
      <c r="V37" s="265" t="s">
        <v>1126</v>
      </c>
      <c r="W37" s="1769"/>
      <c r="X37" s="1821">
        <f>'Car Traffic Shares'!X37</f>
        <v>0.218</v>
      </c>
      <c r="Y37" s="1822">
        <f>'Car Traffic Shares'!Y37</f>
        <v>0.32500000000000001</v>
      </c>
      <c r="Z37" s="1822">
        <f>'Car Traffic Shares'!Z37</f>
        <v>0.24399999999999999</v>
      </c>
      <c r="AA37" s="1823">
        <f>'Car Traffic Shares'!AA37</f>
        <v>0.21299999999999999</v>
      </c>
      <c r="AB37" s="1821">
        <f>'Car Traffic Shares'!AB37</f>
        <v>0.73399999999999999</v>
      </c>
      <c r="AC37" s="1823">
        <f>'Car Traffic Shares'!AC37</f>
        <v>0.26600000000000001</v>
      </c>
      <c r="AD37" s="1824">
        <f>'Car Traffic Shares'!AD37</f>
        <v>1</v>
      </c>
      <c r="AF37" s="265" t="s">
        <v>1126</v>
      </c>
      <c r="AG37" s="1769"/>
      <c r="AH37" s="1821">
        <f>'Car Traffic Shares'!AH37</f>
        <v>0.216</v>
      </c>
      <c r="AI37" s="1822">
        <f>'Car Traffic Shares'!AI37</f>
        <v>0.32600000000000001</v>
      </c>
      <c r="AJ37" s="1822">
        <f>'Car Traffic Shares'!AJ37</f>
        <v>0.24299999999999999</v>
      </c>
      <c r="AK37" s="1823">
        <f>'Car Traffic Shares'!AK37</f>
        <v>0.216</v>
      </c>
      <c r="AL37" s="1821">
        <f>'Car Traffic Shares'!AL37</f>
        <v>0.73099999999999998</v>
      </c>
      <c r="AM37" s="1823">
        <f>'Car Traffic Shares'!AM37</f>
        <v>0.26900000000000002</v>
      </c>
      <c r="AN37" s="1824">
        <f>'Car Traffic Shares'!AN37</f>
        <v>1</v>
      </c>
      <c r="AP37" s="265" t="s">
        <v>1126</v>
      </c>
      <c r="AQ37" s="1769"/>
      <c r="AR37" s="1821">
        <f>'Car Traffic Shares'!AR37</f>
        <v>0.21299999999999999</v>
      </c>
      <c r="AS37" s="1822">
        <f>'Car Traffic Shares'!AS37</f>
        <v>0.32700000000000001</v>
      </c>
      <c r="AT37" s="1822">
        <f>'Car Traffic Shares'!AT37</f>
        <v>0.24099999999999999</v>
      </c>
      <c r="AU37" s="1823">
        <f>'Car Traffic Shares'!AU37</f>
        <v>0.219</v>
      </c>
      <c r="AV37" s="1821">
        <f>'Car Traffic Shares'!AV37</f>
        <v>0.72799999999999998</v>
      </c>
      <c r="AW37" s="1823">
        <f>'Car Traffic Shares'!AW37</f>
        <v>0.27200000000000002</v>
      </c>
      <c r="AX37" s="1824">
        <f>'Car Traffic Shares'!AX37</f>
        <v>1</v>
      </c>
      <c r="AZ37" s="265" t="s">
        <v>1126</v>
      </c>
      <c r="BA37" s="1769"/>
      <c r="BB37" s="1821">
        <f>'Car Traffic Shares'!BB37</f>
        <v>0.21199999999999999</v>
      </c>
      <c r="BC37" s="1822">
        <f>'Car Traffic Shares'!BC37</f>
        <v>0.32700000000000001</v>
      </c>
      <c r="BD37" s="1822">
        <f>'Car Traffic Shares'!BD37</f>
        <v>0.24</v>
      </c>
      <c r="BE37" s="1823">
        <f>'Car Traffic Shares'!BE37</f>
        <v>0.221</v>
      </c>
      <c r="BF37" s="1821">
        <f>'Car Traffic Shares'!BF37</f>
        <v>0.72599999999999998</v>
      </c>
      <c r="BG37" s="1823">
        <f>'Car Traffic Shares'!BG37</f>
        <v>0.27400000000000002</v>
      </c>
      <c r="BH37" s="1824">
        <f>'Car Traffic Shares'!BH37</f>
        <v>1</v>
      </c>
    </row>
    <row r="38" spans="1:60" ht="13.5" customHeight="1">
      <c r="A38" s="265" t="s">
        <v>1127</v>
      </c>
      <c r="B38" s="1769"/>
      <c r="C38" s="1769"/>
      <c r="D38" s="1821">
        <f>'Car Traffic Shares'!D38</f>
        <v>0.20899999999999999</v>
      </c>
      <c r="E38" s="1822">
        <f>'Car Traffic Shares'!E38</f>
        <v>0.34399999999999997</v>
      </c>
      <c r="F38" s="1822">
        <f>'Car Traffic Shares'!F38</f>
        <v>0.25600000000000001</v>
      </c>
      <c r="G38" s="1823">
        <f>'Car Traffic Shares'!G38</f>
        <v>0.191</v>
      </c>
      <c r="H38" s="1821">
        <f>'Car Traffic Shares'!H38</f>
        <v>0.73699999999999999</v>
      </c>
      <c r="I38" s="1823">
        <f>'Car Traffic Shares'!I38</f>
        <v>0.26300000000000001</v>
      </c>
      <c r="J38" s="1824">
        <f>'Car Traffic Shares'!J38</f>
        <v>1</v>
      </c>
      <c r="L38" s="265" t="s">
        <v>1127</v>
      </c>
      <c r="M38" s="1769"/>
      <c r="N38" s="1821">
        <f>'Car Traffic Shares'!N38</f>
        <v>0.20799999999999999</v>
      </c>
      <c r="O38" s="1822">
        <f>'Car Traffic Shares'!O38</f>
        <v>0.34499999999999997</v>
      </c>
      <c r="P38" s="1822">
        <f>'Car Traffic Shares'!P38</f>
        <v>0.255</v>
      </c>
      <c r="Q38" s="1823">
        <f>'Car Traffic Shares'!Q38</f>
        <v>0.191</v>
      </c>
      <c r="R38" s="1821">
        <f>'Car Traffic Shares'!R38</f>
        <v>0.73599999999999999</v>
      </c>
      <c r="S38" s="1823">
        <f>'Car Traffic Shares'!S38</f>
        <v>0.26400000000000001</v>
      </c>
      <c r="T38" s="1824">
        <f>'Car Traffic Shares'!T38</f>
        <v>1</v>
      </c>
      <c r="V38" s="265" t="s">
        <v>1127</v>
      </c>
      <c r="W38" s="1769"/>
      <c r="X38" s="1821">
        <f>'Car Traffic Shares'!X38</f>
        <v>0.20599999999999999</v>
      </c>
      <c r="Y38" s="1822">
        <f>'Car Traffic Shares'!Y38</f>
        <v>0.34599999999999997</v>
      </c>
      <c r="Z38" s="1822">
        <f>'Car Traffic Shares'!Z38</f>
        <v>0.254</v>
      </c>
      <c r="AA38" s="1823">
        <f>'Car Traffic Shares'!AA38</f>
        <v>0.19400000000000001</v>
      </c>
      <c r="AB38" s="1821">
        <f>'Car Traffic Shares'!AB38</f>
        <v>0.73199999999999998</v>
      </c>
      <c r="AC38" s="1823">
        <f>'Car Traffic Shares'!AC38</f>
        <v>0.26800000000000002</v>
      </c>
      <c r="AD38" s="1824">
        <f>'Car Traffic Shares'!AD38</f>
        <v>1</v>
      </c>
      <c r="AF38" s="265" t="s">
        <v>1127</v>
      </c>
      <c r="AG38" s="1769"/>
      <c r="AH38" s="1821">
        <f>'Car Traffic Shares'!AH38</f>
        <v>0.20499999999999999</v>
      </c>
      <c r="AI38" s="1822">
        <f>'Car Traffic Shares'!AI38</f>
        <v>0.34699999999999998</v>
      </c>
      <c r="AJ38" s="1822">
        <f>'Car Traffic Shares'!AJ38</f>
        <v>0.252</v>
      </c>
      <c r="AK38" s="1823">
        <f>'Car Traffic Shares'!AK38</f>
        <v>0.19600000000000001</v>
      </c>
      <c r="AL38" s="1821">
        <f>'Car Traffic Shares'!AL38</f>
        <v>0.72799999999999998</v>
      </c>
      <c r="AM38" s="1823">
        <f>'Car Traffic Shares'!AM38</f>
        <v>0.27200000000000002</v>
      </c>
      <c r="AN38" s="1824">
        <f>'Car Traffic Shares'!AN38</f>
        <v>1</v>
      </c>
      <c r="AP38" s="265" t="s">
        <v>1127</v>
      </c>
      <c r="AQ38" s="1769"/>
      <c r="AR38" s="1821">
        <f>'Car Traffic Shares'!AR38</f>
        <v>0.20300000000000001</v>
      </c>
      <c r="AS38" s="1822">
        <f>'Car Traffic Shares'!AS38</f>
        <v>0.34899999999999998</v>
      </c>
      <c r="AT38" s="1822">
        <f>'Car Traffic Shares'!AT38</f>
        <v>0.25</v>
      </c>
      <c r="AU38" s="1823">
        <f>'Car Traffic Shares'!AU38</f>
        <v>0.19800000000000001</v>
      </c>
      <c r="AV38" s="1821">
        <f>'Car Traffic Shares'!AV38</f>
        <v>0.72499999999999998</v>
      </c>
      <c r="AW38" s="1823">
        <f>'Car Traffic Shares'!AW38</f>
        <v>0.27500000000000002</v>
      </c>
      <c r="AX38" s="1824">
        <f>'Car Traffic Shares'!AX38</f>
        <v>1</v>
      </c>
      <c r="AZ38" s="265" t="s">
        <v>1127</v>
      </c>
      <c r="BA38" s="1769"/>
      <c r="BB38" s="1821">
        <f>'Car Traffic Shares'!BB38</f>
        <v>0.20200000000000001</v>
      </c>
      <c r="BC38" s="1822">
        <f>'Car Traffic Shares'!BC38</f>
        <v>0.34899999999999998</v>
      </c>
      <c r="BD38" s="1822">
        <f>'Car Traffic Shares'!BD38</f>
        <v>0.249</v>
      </c>
      <c r="BE38" s="1823">
        <f>'Car Traffic Shares'!BE38</f>
        <v>0.2</v>
      </c>
      <c r="BF38" s="1821">
        <f>'Car Traffic Shares'!BF38</f>
        <v>0.72299999999999998</v>
      </c>
      <c r="BG38" s="1823">
        <f>'Car Traffic Shares'!BG38</f>
        <v>0.27700000000000002</v>
      </c>
      <c r="BH38" s="1824">
        <f>'Car Traffic Shares'!BH38</f>
        <v>1</v>
      </c>
    </row>
    <row r="39" spans="1:60" ht="13.5" customHeight="1">
      <c r="A39" s="265" t="s">
        <v>1128</v>
      </c>
      <c r="B39" s="1769"/>
      <c r="C39" s="1769"/>
      <c r="D39" s="1821">
        <f>'Car Traffic Shares'!D39</f>
        <v>0.217</v>
      </c>
      <c r="E39" s="1822">
        <f>'Car Traffic Shares'!E39</f>
        <v>0.31900000000000001</v>
      </c>
      <c r="F39" s="1822">
        <f>'Car Traffic Shares'!F39</f>
        <v>0.255</v>
      </c>
      <c r="G39" s="1823">
        <f>'Car Traffic Shares'!G39</f>
        <v>0.20899999999999999</v>
      </c>
      <c r="H39" s="1821">
        <f>'Car Traffic Shares'!H39</f>
        <v>0.74399999999999999</v>
      </c>
      <c r="I39" s="1823">
        <f>'Car Traffic Shares'!I39</f>
        <v>0.25600000000000001</v>
      </c>
      <c r="J39" s="1824">
        <f>'Car Traffic Shares'!J39</f>
        <v>1</v>
      </c>
      <c r="L39" s="265" t="s">
        <v>1128</v>
      </c>
      <c r="M39" s="1769"/>
      <c r="N39" s="1821">
        <f>'Car Traffic Shares'!N39</f>
        <v>0.216</v>
      </c>
      <c r="O39" s="1822">
        <f>'Car Traffic Shares'!O39</f>
        <v>0.32</v>
      </c>
      <c r="P39" s="1822">
        <f>'Car Traffic Shares'!P39</f>
        <v>0.254</v>
      </c>
      <c r="Q39" s="1823">
        <f>'Car Traffic Shares'!Q39</f>
        <v>0.21</v>
      </c>
      <c r="R39" s="1821">
        <f>'Car Traffic Shares'!R39</f>
        <v>0.74399999999999999</v>
      </c>
      <c r="S39" s="1823">
        <f>'Car Traffic Shares'!S39</f>
        <v>0.25600000000000001</v>
      </c>
      <c r="T39" s="1824">
        <f>'Car Traffic Shares'!T39</f>
        <v>1</v>
      </c>
      <c r="V39" s="265" t="s">
        <v>1128</v>
      </c>
      <c r="W39" s="1769"/>
      <c r="X39" s="1821">
        <f>'Car Traffic Shares'!X39</f>
        <v>0.214</v>
      </c>
      <c r="Y39" s="1822">
        <f>'Car Traffic Shares'!Y39</f>
        <v>0.32</v>
      </c>
      <c r="Z39" s="1822">
        <f>'Car Traffic Shares'!Z39</f>
        <v>0.252</v>
      </c>
      <c r="AA39" s="1823">
        <f>'Car Traffic Shares'!AA39</f>
        <v>0.214</v>
      </c>
      <c r="AB39" s="1821">
        <f>'Car Traffic Shares'!AB39</f>
        <v>0.74</v>
      </c>
      <c r="AC39" s="1823">
        <f>'Car Traffic Shares'!AC39</f>
        <v>0.26</v>
      </c>
      <c r="AD39" s="1824">
        <f>'Car Traffic Shares'!AD39</f>
        <v>1</v>
      </c>
      <c r="AF39" s="265" t="s">
        <v>1128</v>
      </c>
      <c r="AG39" s="1769"/>
      <c r="AH39" s="1821">
        <f>'Car Traffic Shares'!AH39</f>
        <v>0.21199999999999999</v>
      </c>
      <c r="AI39" s="1822">
        <f>'Car Traffic Shares'!AI39</f>
        <v>0.32</v>
      </c>
      <c r="AJ39" s="1822">
        <f>'Car Traffic Shares'!AJ39</f>
        <v>0.25</v>
      </c>
      <c r="AK39" s="1823">
        <f>'Car Traffic Shares'!AK39</f>
        <v>0.218</v>
      </c>
      <c r="AL39" s="1821">
        <f>'Car Traffic Shares'!AL39</f>
        <v>0.73499999999999999</v>
      </c>
      <c r="AM39" s="1823">
        <f>'Car Traffic Shares'!AM39</f>
        <v>0.26500000000000001</v>
      </c>
      <c r="AN39" s="1824">
        <f>'Car Traffic Shares'!AN39</f>
        <v>1</v>
      </c>
      <c r="AP39" s="265" t="s">
        <v>1128</v>
      </c>
      <c r="AQ39" s="1769"/>
      <c r="AR39" s="1821">
        <f>'Car Traffic Shares'!AR39</f>
        <v>0.21</v>
      </c>
      <c r="AS39" s="1822">
        <f>'Car Traffic Shares'!AS39</f>
        <v>0.32100000000000001</v>
      </c>
      <c r="AT39" s="1822">
        <f>'Car Traffic Shares'!AT39</f>
        <v>0.248</v>
      </c>
      <c r="AU39" s="1823">
        <f>'Car Traffic Shares'!AU39</f>
        <v>0.221</v>
      </c>
      <c r="AV39" s="1821">
        <f>'Car Traffic Shares'!AV39</f>
        <v>0.73199999999999998</v>
      </c>
      <c r="AW39" s="1823">
        <f>'Car Traffic Shares'!AW39</f>
        <v>0.26800000000000002</v>
      </c>
      <c r="AX39" s="1824">
        <f>'Car Traffic Shares'!AX39</f>
        <v>1</v>
      </c>
      <c r="AZ39" s="265" t="s">
        <v>1128</v>
      </c>
      <c r="BA39" s="1769"/>
      <c r="BB39" s="1821">
        <f>'Car Traffic Shares'!BB39</f>
        <v>0.20899999999999999</v>
      </c>
      <c r="BC39" s="1822">
        <f>'Car Traffic Shares'!BC39</f>
        <v>0.32</v>
      </c>
      <c r="BD39" s="1822">
        <f>'Car Traffic Shares'!BD39</f>
        <v>0.247</v>
      </c>
      <c r="BE39" s="1823">
        <f>'Car Traffic Shares'!BE39</f>
        <v>0.224</v>
      </c>
      <c r="BF39" s="1821">
        <f>'Car Traffic Shares'!BF39</f>
        <v>0.73</v>
      </c>
      <c r="BG39" s="1823">
        <f>'Car Traffic Shares'!BG39</f>
        <v>0.27</v>
      </c>
      <c r="BH39" s="1824">
        <f>'Car Traffic Shares'!BH39</f>
        <v>1</v>
      </c>
    </row>
    <row r="40" spans="1:60" ht="13.5" customHeight="1" thickBot="1">
      <c r="A40" s="259" t="s">
        <v>1129</v>
      </c>
      <c r="B40" s="1774"/>
      <c r="C40" s="1774"/>
      <c r="D40" s="1825">
        <f>'Car Traffic Shares'!D40</f>
        <v>0.214</v>
      </c>
      <c r="E40" s="1826">
        <f>'Car Traffic Shares'!E40</f>
        <v>0.32400000000000001</v>
      </c>
      <c r="F40" s="1826">
        <f>'Car Traffic Shares'!F40</f>
        <v>0.26</v>
      </c>
      <c r="G40" s="1827">
        <f>'Car Traffic Shares'!G40</f>
        <v>0.20100000000000001</v>
      </c>
      <c r="H40" s="1825">
        <f>'Car Traffic Shares'!H40</f>
        <v>0.746</v>
      </c>
      <c r="I40" s="1827">
        <f>'Car Traffic Shares'!I40</f>
        <v>0.254</v>
      </c>
      <c r="J40" s="1828">
        <f>'Car Traffic Shares'!J40</f>
        <v>1</v>
      </c>
      <c r="L40" s="259" t="s">
        <v>1129</v>
      </c>
      <c r="M40" s="1774"/>
      <c r="N40" s="1825">
        <f>'Car Traffic Shares'!N40</f>
        <v>0.21299999999999999</v>
      </c>
      <c r="O40" s="1826">
        <f>'Car Traffic Shares'!O40</f>
        <v>0.32500000000000001</v>
      </c>
      <c r="P40" s="1826">
        <f>'Car Traffic Shares'!P40</f>
        <v>0.26</v>
      </c>
      <c r="Q40" s="1827">
        <f>'Car Traffic Shares'!Q40</f>
        <v>0.20200000000000001</v>
      </c>
      <c r="R40" s="1825">
        <f>'Car Traffic Shares'!R40</f>
        <v>0.746</v>
      </c>
      <c r="S40" s="1827">
        <f>'Car Traffic Shares'!S40</f>
        <v>0.254</v>
      </c>
      <c r="T40" s="1828">
        <f>'Car Traffic Shares'!T40</f>
        <v>1</v>
      </c>
      <c r="V40" s="259" t="s">
        <v>1129</v>
      </c>
      <c r="W40" s="1774"/>
      <c r="X40" s="1825">
        <f>'Car Traffic Shares'!X40</f>
        <v>0.21099999999999999</v>
      </c>
      <c r="Y40" s="1826">
        <f>'Car Traffic Shares'!Y40</f>
        <v>0.32500000000000001</v>
      </c>
      <c r="Z40" s="1826">
        <f>'Car Traffic Shares'!Z40</f>
        <v>0.25700000000000001</v>
      </c>
      <c r="AA40" s="1827">
        <f>'Car Traffic Shares'!AA40</f>
        <v>0.20599999999999999</v>
      </c>
      <c r="AB40" s="1825">
        <f>'Car Traffic Shares'!AB40</f>
        <v>0.74199999999999999</v>
      </c>
      <c r="AC40" s="1827">
        <f>'Car Traffic Shares'!AC40</f>
        <v>0.25800000000000001</v>
      </c>
      <c r="AD40" s="1828">
        <f>'Car Traffic Shares'!AD40</f>
        <v>1</v>
      </c>
      <c r="AF40" s="259" t="s">
        <v>1129</v>
      </c>
      <c r="AG40" s="1774"/>
      <c r="AH40" s="1825">
        <f>'Car Traffic Shares'!AH40</f>
        <v>0.20899999999999999</v>
      </c>
      <c r="AI40" s="1826">
        <f>'Car Traffic Shares'!AI40</f>
        <v>0.32600000000000001</v>
      </c>
      <c r="AJ40" s="1826">
        <f>'Car Traffic Shares'!AJ40</f>
        <v>0.255</v>
      </c>
      <c r="AK40" s="1827">
        <f>'Car Traffic Shares'!AK40</f>
        <v>0.21</v>
      </c>
      <c r="AL40" s="1825">
        <f>'Car Traffic Shares'!AL40</f>
        <v>0.73799999999999999</v>
      </c>
      <c r="AM40" s="1827">
        <f>'Car Traffic Shares'!AM40</f>
        <v>0.26200000000000001</v>
      </c>
      <c r="AN40" s="1828">
        <f>'Car Traffic Shares'!AN40</f>
        <v>1</v>
      </c>
      <c r="AP40" s="259" t="s">
        <v>1129</v>
      </c>
      <c r="AQ40" s="1774"/>
      <c r="AR40" s="1825">
        <f>'Car Traffic Shares'!AR40</f>
        <v>0.20699999999999999</v>
      </c>
      <c r="AS40" s="1826">
        <f>'Car Traffic Shares'!AS40</f>
        <v>0.32600000000000001</v>
      </c>
      <c r="AT40" s="1826">
        <f>'Car Traffic Shares'!AT40</f>
        <v>0.253</v>
      </c>
      <c r="AU40" s="1827">
        <f>'Car Traffic Shares'!AU40</f>
        <v>0.21299999999999999</v>
      </c>
      <c r="AV40" s="1825">
        <f>'Car Traffic Shares'!AV40</f>
        <v>0.73499999999999999</v>
      </c>
      <c r="AW40" s="1827">
        <f>'Car Traffic Shares'!AW40</f>
        <v>0.26500000000000001</v>
      </c>
      <c r="AX40" s="1828">
        <f>'Car Traffic Shares'!AX40</f>
        <v>1</v>
      </c>
      <c r="AZ40" s="259" t="s">
        <v>1129</v>
      </c>
      <c r="BA40" s="1774"/>
      <c r="BB40" s="1825">
        <f>'Car Traffic Shares'!BB40</f>
        <v>0.20599999999999999</v>
      </c>
      <c r="BC40" s="1826">
        <f>'Car Traffic Shares'!BC40</f>
        <v>0.32600000000000001</v>
      </c>
      <c r="BD40" s="1826">
        <f>'Car Traffic Shares'!BD40</f>
        <v>0.252</v>
      </c>
      <c r="BE40" s="1827">
        <f>'Car Traffic Shares'!BE40</f>
        <v>0.216</v>
      </c>
      <c r="BF40" s="1825">
        <f>'Car Traffic Shares'!BF40</f>
        <v>0.73299999999999998</v>
      </c>
      <c r="BG40" s="1827">
        <f>'Car Traffic Shares'!BG40</f>
        <v>0.26700000000000002</v>
      </c>
      <c r="BH40" s="1828">
        <f>'Car Traffic Shares'!BH40</f>
        <v>1</v>
      </c>
    </row>
    <row r="41" spans="1:60" ht="13.5" customHeight="1" thickTop="1"/>
  </sheetData>
  <sheetProtection sheet="1" objects="1" scenarios="1"/>
  <mergeCells count="11">
    <mergeCell ref="A12:B12"/>
    <mergeCell ref="A7:B7"/>
    <mergeCell ref="A8:B8"/>
    <mergeCell ref="A10:B10"/>
    <mergeCell ref="AP1:AX1"/>
    <mergeCell ref="A11:B11"/>
    <mergeCell ref="AZ1:BH1"/>
    <mergeCell ref="D1:J1"/>
    <mergeCell ref="L1:T1"/>
    <mergeCell ref="V1:AD1"/>
    <mergeCell ref="AF1:AN1"/>
  </mergeCells>
  <phoneticPr fontId="8" type="noConversion"/>
  <hyperlinks>
    <hyperlink ref="A18" location="A5.4.3!D1" tooltip="2010" display="A5.4.3!D1"/>
    <hyperlink ref="B18" location="A5.4.3!L1" tooltip="2015" display="A5.4.3!L1"/>
    <hyperlink ref="A19" location="A5.4.3!V1" tooltip="2020" display="A5.4.3!V1"/>
    <hyperlink ref="B19" location="A5.4.3!AF1" tooltip="2025" display="A5.4.3!AF1"/>
    <hyperlink ref="A20" location="A5.4.3!AP1" tooltip="2030" display="A5.4.3!AP1"/>
    <hyperlink ref="B20" location="A5.4.3!AZ1" tooltip="2035" display="A5.4.3!AZ1"/>
    <hyperlink ref="A11" location="Contents!A1" display="Contents"/>
    <hyperlink ref="A11:B11" r:id="rId1" display="WebTAG Unit 3.13.2"/>
    <hyperlink ref="A10" location="Contents!A1" display="Contents"/>
    <hyperlink ref="A10:B10" location="Contents!A1" tooltip="Contents page" display="Contents"/>
    <hyperlink ref="A12:B12" r:id="rId2" tooltip="Unit A5.4 Marginal External Congestion Costs" display="WebTAG Unit A 5.4"/>
  </hyperlinks>
  <pageMargins left="0.75" right="0.75" top="1" bottom="1" header="0.5" footer="0.5"/>
  <pageSetup paperSize="8" scale="75" fitToWidth="3" fitToHeight="0" orientation="landscape" r:id="rId3"/>
  <headerFooter alignWithMargins="0"/>
  <drawing r:id="rId4"/>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indexed="10"/>
  </sheetPr>
  <dimension ref="A1:BH41"/>
  <sheetViews>
    <sheetView showGridLines="0" topLeftCell="A4" zoomScale="85" zoomScaleNormal="85" workbookViewId="0">
      <selection activeCell="E23" sqref="E23:F23"/>
    </sheetView>
  </sheetViews>
  <sheetFormatPr defaultColWidth="13" defaultRowHeight="13.5" customHeight="1"/>
  <cols>
    <col min="1" max="16384" width="13" style="1327"/>
  </cols>
  <sheetData>
    <row r="1" spans="1:60" s="240" customFormat="1" ht="54.9" customHeight="1">
      <c r="A1" s="245"/>
      <c r="D1" s="3861"/>
      <c r="E1" s="3689"/>
      <c r="F1" s="3689"/>
      <c r="G1" s="3689"/>
      <c r="H1" s="3689"/>
      <c r="I1" s="3689"/>
      <c r="J1" s="3689"/>
      <c r="K1" s="237"/>
      <c r="L1" s="3821"/>
      <c r="M1" s="3821"/>
      <c r="N1" s="3821"/>
      <c r="O1" s="3821"/>
      <c r="P1" s="3821"/>
      <c r="Q1" s="3821"/>
      <c r="R1" s="3821"/>
      <c r="S1" s="3821"/>
      <c r="T1" s="3821"/>
      <c r="V1" s="3821"/>
      <c r="W1" s="3821"/>
      <c r="X1" s="3821"/>
      <c r="Y1" s="3821"/>
      <c r="Z1" s="3821"/>
      <c r="AA1" s="3821"/>
      <c r="AB1" s="3821"/>
      <c r="AC1" s="3821"/>
      <c r="AD1" s="3821"/>
      <c r="AF1" s="3821"/>
      <c r="AG1" s="3821"/>
      <c r="AH1" s="3821"/>
      <c r="AI1" s="3821"/>
      <c r="AJ1" s="3821"/>
      <c r="AK1" s="3821"/>
      <c r="AL1" s="3821"/>
      <c r="AM1" s="3821"/>
      <c r="AN1" s="3821"/>
      <c r="AP1" s="3821"/>
      <c r="AQ1" s="3821"/>
      <c r="AR1" s="3821"/>
      <c r="AS1" s="3821"/>
      <c r="AT1" s="3821"/>
      <c r="AU1" s="3821"/>
      <c r="AV1" s="3821"/>
      <c r="AW1" s="3821"/>
      <c r="AX1" s="3821"/>
      <c r="AZ1" s="3821"/>
      <c r="BA1" s="3821"/>
      <c r="BB1" s="3821"/>
      <c r="BC1" s="3821"/>
      <c r="BD1" s="3821"/>
      <c r="BE1" s="3821"/>
      <c r="BF1" s="3821"/>
      <c r="BG1" s="3821"/>
      <c r="BH1" s="3821"/>
    </row>
    <row r="2" spans="1:60" s="262" customFormat="1" ht="5.0999999999999996" customHeight="1">
      <c r="E2" s="260"/>
      <c r="G2" s="260"/>
      <c r="J2" s="260"/>
      <c r="K2" s="260"/>
    </row>
    <row r="3" spans="1:60" s="262" customFormat="1" ht="20.100000000000001" customHeight="1">
      <c r="A3" s="262" t="s">
        <v>2322</v>
      </c>
      <c r="B3" s="1717"/>
      <c r="C3" s="1717"/>
      <c r="D3" s="1718"/>
      <c r="E3" s="271"/>
      <c r="F3" s="260"/>
      <c r="G3" s="261"/>
      <c r="K3" s="260"/>
    </row>
    <row r="4" spans="1:60" s="237" customFormat="1" ht="20.100000000000001" customHeight="1" thickBot="1">
      <c r="A4" s="1719" t="s">
        <v>1285</v>
      </c>
      <c r="B4" s="263"/>
      <c r="C4" s="263"/>
      <c r="D4" s="263"/>
      <c r="E4" s="1720"/>
      <c r="F4" s="263"/>
      <c r="G4" s="263"/>
      <c r="H4" s="1720"/>
      <c r="I4" s="1720"/>
      <c r="J4" s="263"/>
      <c r="K4" s="263"/>
      <c r="L4" s="263"/>
      <c r="M4" s="263"/>
      <c r="N4" s="263"/>
      <c r="O4" s="263"/>
      <c r="P4" s="263"/>
      <c r="Q4" s="263"/>
      <c r="R4" s="263"/>
      <c r="S4" s="263"/>
      <c r="T4" s="263"/>
    </row>
    <row r="5" spans="1:60" s="240" customFormat="1" ht="9.9" customHeight="1" thickTop="1" thickBot="1">
      <c r="D5" s="1393"/>
      <c r="F5" s="1721"/>
      <c r="H5" s="245"/>
      <c r="I5" s="245"/>
      <c r="K5" s="237"/>
    </row>
    <row r="6" spans="1:60" s="240" customFormat="1" ht="13.5" customHeight="1" thickTop="1">
      <c r="A6" s="169" t="s">
        <v>10</v>
      </c>
      <c r="B6" s="169"/>
      <c r="C6" s="29"/>
      <c r="F6" s="3626" t="s">
        <v>255</v>
      </c>
      <c r="G6" s="3649"/>
      <c r="H6" s="3649"/>
      <c r="I6" s="3649"/>
      <c r="J6" s="3649"/>
      <c r="K6" s="3649"/>
      <c r="L6" s="3649"/>
      <c r="M6" s="3649"/>
      <c r="N6" s="3649"/>
      <c r="O6" s="3649"/>
      <c r="P6" s="3649"/>
      <c r="Q6" s="3649"/>
      <c r="R6" s="3649"/>
      <c r="S6" s="3649"/>
      <c r="T6" s="3650"/>
    </row>
    <row r="7" spans="1:60" s="240" customFormat="1" ht="13.5" customHeight="1">
      <c r="A7" s="3636" t="str">
        <f>Audit!A12</f>
        <v>May 2019 v1.12</v>
      </c>
      <c r="B7" s="3637"/>
      <c r="C7" s="32"/>
      <c r="E7" s="247"/>
      <c r="F7" s="1722"/>
      <c r="G7" s="236"/>
      <c r="H7" s="237"/>
      <c r="I7" s="237"/>
      <c r="J7" s="237"/>
      <c r="K7" s="237"/>
      <c r="L7" s="237"/>
      <c r="M7" s="237"/>
      <c r="N7" s="237"/>
      <c r="O7" s="237"/>
      <c r="P7" s="237"/>
      <c r="Q7" s="237"/>
      <c r="R7" s="237"/>
      <c r="S7" s="237"/>
      <c r="T7" s="247"/>
    </row>
    <row r="8" spans="1:60" s="240" customFormat="1" ht="13.5" customHeight="1">
      <c r="A8" s="3638">
        <f>Audit!C12</f>
        <v>43586</v>
      </c>
      <c r="B8" s="3637"/>
      <c r="C8" s="32"/>
      <c r="D8" s="239"/>
      <c r="E8" s="272"/>
      <c r="F8" s="1722"/>
      <c r="G8" s="266"/>
      <c r="H8" s="237"/>
      <c r="I8" s="237"/>
      <c r="J8" s="237"/>
      <c r="K8" s="237"/>
      <c r="L8" s="237"/>
      <c r="M8" s="237"/>
      <c r="N8" s="237"/>
      <c r="O8" s="237"/>
      <c r="P8" s="237"/>
      <c r="Q8" s="237"/>
      <c r="R8" s="237"/>
      <c r="S8" s="237"/>
      <c r="T8" s="247"/>
    </row>
    <row r="9" spans="1:60" s="240" customFormat="1" ht="13.5" customHeight="1" thickBot="1">
      <c r="A9" s="169" t="s">
        <v>14</v>
      </c>
      <c r="B9" s="169"/>
      <c r="D9" s="239"/>
      <c r="E9" s="272"/>
      <c r="G9" s="237"/>
      <c r="H9" s="237"/>
      <c r="I9" s="237"/>
      <c r="J9" s="237"/>
      <c r="K9" s="237"/>
      <c r="L9" s="237"/>
      <c r="M9" s="237"/>
      <c r="N9" s="237"/>
      <c r="O9" s="237"/>
      <c r="P9" s="237"/>
      <c r="Q9" s="237"/>
      <c r="R9" s="237"/>
      <c r="S9" s="237"/>
      <c r="T9" s="247"/>
    </row>
    <row r="10" spans="1:60" s="240" customFormat="1" ht="13.5" customHeight="1" thickBot="1">
      <c r="A10" s="3611" t="s">
        <v>1306</v>
      </c>
      <c r="B10" s="3612"/>
      <c r="D10" s="239"/>
      <c r="E10" s="272"/>
      <c r="G10" s="237"/>
      <c r="H10" s="237"/>
      <c r="I10" s="237"/>
      <c r="J10" s="237"/>
      <c r="K10" s="237"/>
      <c r="L10" s="237"/>
      <c r="M10" s="237"/>
      <c r="N10" s="237"/>
      <c r="O10" s="237"/>
      <c r="P10" s="237"/>
      <c r="Q10" s="237"/>
      <c r="R10" s="237"/>
      <c r="S10" s="237"/>
      <c r="T10" s="247"/>
    </row>
    <row r="11" spans="1:60" s="240" customFormat="1" ht="13.5" customHeight="1" thickBot="1">
      <c r="A11" s="3611" t="s">
        <v>2314</v>
      </c>
      <c r="B11" s="3639"/>
      <c r="D11" s="239"/>
      <c r="E11" s="272"/>
      <c r="G11" s="267"/>
      <c r="H11" s="267"/>
      <c r="I11" s="267"/>
      <c r="J11" s="267"/>
      <c r="K11" s="267"/>
      <c r="L11" s="267"/>
      <c r="M11" s="267"/>
      <c r="N11" s="267"/>
      <c r="O11" s="267"/>
      <c r="P11" s="267"/>
      <c r="Q11" s="267"/>
      <c r="R11" s="267"/>
      <c r="S11" s="267"/>
      <c r="T11" s="1319"/>
    </row>
    <row r="12" spans="1:60" s="240" customFormat="1" ht="13.5" customHeight="1" thickBot="1">
      <c r="A12" s="3611" t="s">
        <v>2315</v>
      </c>
      <c r="B12" s="3639"/>
      <c r="D12" s="239"/>
      <c r="E12" s="272"/>
      <c r="G12" s="237"/>
      <c r="H12" s="237"/>
      <c r="I12" s="237"/>
      <c r="J12" s="237"/>
      <c r="K12" s="237"/>
      <c r="L12" s="237"/>
      <c r="M12" s="237"/>
      <c r="N12" s="237"/>
      <c r="O12" s="237"/>
      <c r="P12" s="237"/>
      <c r="Q12" s="237"/>
      <c r="R12" s="237"/>
      <c r="S12" s="237"/>
      <c r="T12" s="247"/>
    </row>
    <row r="13" spans="1:60" s="240" customFormat="1" ht="13.5" customHeight="1">
      <c r="A13" s="169" t="s">
        <v>252</v>
      </c>
      <c r="B13" s="169"/>
      <c r="C13" s="29"/>
      <c r="D13" s="239"/>
      <c r="E13" s="272"/>
      <c r="G13" s="237"/>
      <c r="H13" s="237"/>
      <c r="I13" s="237"/>
      <c r="J13" s="237"/>
      <c r="K13" s="237"/>
      <c r="L13" s="237"/>
      <c r="M13" s="237"/>
      <c r="N13" s="237"/>
      <c r="O13" s="237"/>
      <c r="P13" s="237"/>
      <c r="Q13" s="237"/>
      <c r="R13" s="237"/>
      <c r="S13" s="237"/>
      <c r="T13" s="247"/>
    </row>
    <row r="14" spans="1:60" s="240" customFormat="1" ht="13.5" customHeight="1">
      <c r="C14" s="26"/>
      <c r="E14" s="272"/>
      <c r="G14" s="237"/>
      <c r="H14" s="237"/>
      <c r="I14" s="237"/>
      <c r="J14" s="237"/>
      <c r="K14" s="237"/>
      <c r="L14" s="237"/>
      <c r="M14" s="237"/>
      <c r="N14" s="237"/>
      <c r="O14" s="237"/>
      <c r="P14" s="237"/>
      <c r="Q14" s="237"/>
      <c r="R14" s="237"/>
      <c r="S14" s="237"/>
      <c r="T14" s="247"/>
    </row>
    <row r="15" spans="1:60" s="240" customFormat="1" ht="13.5" customHeight="1">
      <c r="A15" s="269"/>
      <c r="B15" s="244"/>
      <c r="C15" s="31"/>
      <c r="D15" s="242"/>
      <c r="E15" s="272"/>
      <c r="G15" s="237"/>
      <c r="H15" s="237"/>
      <c r="I15" s="237"/>
      <c r="J15" s="237"/>
      <c r="K15" s="237"/>
      <c r="L15" s="237"/>
      <c r="M15" s="237"/>
      <c r="N15" s="237"/>
      <c r="O15" s="237"/>
      <c r="P15" s="237"/>
      <c r="Q15" s="237"/>
      <c r="R15" s="237"/>
      <c r="S15" s="237"/>
      <c r="T15" s="247"/>
    </row>
    <row r="16" spans="1:60" s="240" customFormat="1" ht="13.5" customHeight="1">
      <c r="A16" s="269" t="s">
        <v>370</v>
      </c>
      <c r="B16" s="1346">
        <v>2010</v>
      </c>
      <c r="C16" s="952"/>
      <c r="D16" s="237"/>
      <c r="E16" s="272"/>
      <c r="G16" s="237"/>
      <c r="H16" s="237"/>
      <c r="I16" s="237"/>
      <c r="J16" s="237"/>
      <c r="K16" s="237"/>
      <c r="L16" s="237"/>
      <c r="M16" s="237"/>
      <c r="N16" s="237"/>
      <c r="O16" s="237"/>
      <c r="P16" s="237"/>
      <c r="Q16" s="237"/>
      <c r="R16" s="237"/>
      <c r="S16" s="237"/>
      <c r="T16" s="247"/>
    </row>
    <row r="17" spans="1:60" s="240" customFormat="1" ht="13.5" customHeight="1" thickBot="1">
      <c r="A17" s="169" t="s">
        <v>253</v>
      </c>
      <c r="B17" s="169"/>
      <c r="C17" s="29"/>
      <c r="D17" s="239"/>
      <c r="E17" s="272"/>
      <c r="G17" s="237"/>
      <c r="H17" s="237"/>
      <c r="I17" s="237"/>
      <c r="J17" s="237"/>
      <c r="K17" s="237"/>
      <c r="L17" s="237"/>
      <c r="M17" s="237"/>
      <c r="N17" s="237"/>
      <c r="O17" s="237"/>
      <c r="P17" s="237"/>
      <c r="Q17" s="237"/>
      <c r="R17" s="237"/>
      <c r="S17" s="237"/>
      <c r="T17" s="247"/>
    </row>
    <row r="18" spans="1:60" s="240" customFormat="1" ht="13.5" customHeight="1" thickBot="1">
      <c r="A18" s="528">
        <v>2010</v>
      </c>
      <c r="B18" s="528">
        <v>2015</v>
      </c>
      <c r="C18" s="31"/>
      <c r="D18" s="239"/>
      <c r="E18" s="272"/>
      <c r="G18" s="237"/>
      <c r="H18" s="237"/>
      <c r="I18" s="237"/>
      <c r="J18" s="237"/>
      <c r="K18" s="237"/>
      <c r="L18" s="237"/>
      <c r="M18" s="237"/>
      <c r="N18" s="237"/>
      <c r="O18" s="237"/>
      <c r="P18" s="237"/>
      <c r="Q18" s="237"/>
      <c r="R18" s="237"/>
      <c r="S18" s="237"/>
      <c r="T18" s="247"/>
    </row>
    <row r="19" spans="1:60" s="240" customFormat="1" ht="13.5" customHeight="1" thickBot="1">
      <c r="A19" s="528">
        <v>2020</v>
      </c>
      <c r="B19" s="528">
        <v>2025</v>
      </c>
      <c r="C19" s="31"/>
      <c r="E19" s="272"/>
      <c r="F19" s="240" t="s">
        <v>1002</v>
      </c>
      <c r="G19" s="237"/>
      <c r="H19" s="237"/>
      <c r="I19" s="237"/>
      <c r="J19" s="237"/>
      <c r="K19" s="237"/>
      <c r="L19" s="237"/>
      <c r="M19" s="237"/>
      <c r="N19" s="237"/>
      <c r="O19" s="237"/>
      <c r="P19" s="237"/>
      <c r="Q19" s="237"/>
      <c r="R19" s="237"/>
      <c r="S19" s="237"/>
      <c r="T19" s="247"/>
    </row>
    <row r="20" spans="1:60" s="240" customFormat="1" ht="13.5" customHeight="1" thickBot="1">
      <c r="A20" s="528">
        <v>2030</v>
      </c>
      <c r="B20" s="528">
        <v>2035</v>
      </c>
      <c r="C20" s="31"/>
      <c r="E20" s="272"/>
      <c r="F20" s="259" t="s">
        <v>2321</v>
      </c>
      <c r="G20" s="270"/>
      <c r="H20" s="270"/>
      <c r="I20" s="270"/>
      <c r="J20" s="270"/>
      <c r="K20" s="270"/>
      <c r="L20" s="270"/>
      <c r="M20" s="270"/>
      <c r="N20" s="270"/>
      <c r="O20" s="270"/>
      <c r="P20" s="270"/>
      <c r="Q20" s="270"/>
      <c r="R20" s="270"/>
      <c r="S20" s="270"/>
      <c r="T20" s="1322"/>
    </row>
    <row r="21" spans="1:60" s="240" customFormat="1" ht="13.5" customHeight="1">
      <c r="C21" s="31"/>
      <c r="D21" s="1393"/>
      <c r="E21" s="242"/>
      <c r="F21" s="1721"/>
      <c r="H21" s="245"/>
      <c r="I21" s="245"/>
      <c r="J21" s="1724"/>
      <c r="K21" s="237"/>
    </row>
    <row r="22" spans="1:60" s="240" customFormat="1" ht="13.5" customHeight="1" thickBot="1">
      <c r="A22" s="241"/>
      <c r="D22" s="1393"/>
      <c r="E22" s="242"/>
      <c r="F22" s="1721"/>
      <c r="H22" s="245"/>
      <c r="I22" s="245"/>
      <c r="J22" s="1724"/>
      <c r="K22" s="237"/>
    </row>
    <row r="23" spans="1:60" ht="13.5" customHeight="1" thickTop="1" thickBot="1">
      <c r="A23" s="2036" t="s">
        <v>640</v>
      </c>
      <c r="B23" s="1726"/>
      <c r="C23" s="1726"/>
      <c r="D23" s="1725" t="s">
        <v>1192</v>
      </c>
      <c r="E23" s="1726"/>
      <c r="F23" s="1726"/>
      <c r="G23" s="1726"/>
      <c r="H23" s="1726"/>
      <c r="I23" s="1726"/>
      <c r="J23" s="1727"/>
      <c r="L23" s="1725" t="s">
        <v>1193</v>
      </c>
      <c r="M23" s="1726"/>
      <c r="N23" s="1726"/>
      <c r="O23" s="1726"/>
      <c r="P23" s="1726"/>
      <c r="Q23" s="1726"/>
      <c r="R23" s="1726"/>
      <c r="S23" s="1726"/>
      <c r="T23" s="1727"/>
      <c r="V23" s="1725" t="s">
        <v>1194</v>
      </c>
      <c r="W23" s="1726"/>
      <c r="X23" s="1726"/>
      <c r="Y23" s="1726"/>
      <c r="Z23" s="1726"/>
      <c r="AA23" s="1726"/>
      <c r="AB23" s="1726"/>
      <c r="AC23" s="1726"/>
      <c r="AD23" s="1727"/>
      <c r="AF23" s="1725" t="s">
        <v>1195</v>
      </c>
      <c r="AG23" s="1726"/>
      <c r="AH23" s="1726"/>
      <c r="AI23" s="1726"/>
      <c r="AJ23" s="1726"/>
      <c r="AK23" s="1726"/>
      <c r="AL23" s="1726"/>
      <c r="AM23" s="1726"/>
      <c r="AN23" s="1727"/>
      <c r="AP23" s="1725" t="s">
        <v>1196</v>
      </c>
      <c r="AQ23" s="1726"/>
      <c r="AR23" s="1726"/>
      <c r="AS23" s="1726"/>
      <c r="AT23" s="1726"/>
      <c r="AU23" s="1726"/>
      <c r="AV23" s="1726"/>
      <c r="AW23" s="1726"/>
      <c r="AX23" s="1727"/>
      <c r="AZ23" s="1725" t="s">
        <v>1197</v>
      </c>
      <c r="BA23" s="1726"/>
      <c r="BB23" s="1726"/>
      <c r="BC23" s="1726"/>
      <c r="BD23" s="1726"/>
      <c r="BE23" s="1726"/>
      <c r="BF23" s="1726"/>
      <c r="BG23" s="1726"/>
      <c r="BH23" s="1727"/>
    </row>
    <row r="24" spans="1:60" ht="13.5" customHeight="1" thickTop="1">
      <c r="A24" s="418"/>
      <c r="B24" s="1761"/>
      <c r="C24" s="1761"/>
      <c r="D24" s="418" t="s">
        <v>1084</v>
      </c>
      <c r="E24" s="1761" t="s">
        <v>1084</v>
      </c>
      <c r="F24" s="1761" t="s">
        <v>1084</v>
      </c>
      <c r="G24" s="498" t="s">
        <v>1084</v>
      </c>
      <c r="H24" s="1761"/>
      <c r="I24" s="498"/>
      <c r="J24" s="1137"/>
      <c r="L24" s="418"/>
      <c r="M24" s="1761"/>
      <c r="N24" s="418" t="s">
        <v>1084</v>
      </c>
      <c r="O24" s="1761" t="s">
        <v>1084</v>
      </c>
      <c r="P24" s="1761" t="s">
        <v>1084</v>
      </c>
      <c r="Q24" s="498" t="s">
        <v>1084</v>
      </c>
      <c r="R24" s="1761"/>
      <c r="S24" s="498"/>
      <c r="T24" s="1137"/>
      <c r="V24" s="418"/>
      <c r="W24" s="1761"/>
      <c r="X24" s="418" t="s">
        <v>1084</v>
      </c>
      <c r="Y24" s="1761" t="s">
        <v>1084</v>
      </c>
      <c r="Z24" s="1761" t="s">
        <v>1084</v>
      </c>
      <c r="AA24" s="498" t="s">
        <v>1084</v>
      </c>
      <c r="AB24" s="1761"/>
      <c r="AC24" s="498"/>
      <c r="AD24" s="1137"/>
      <c r="AF24" s="418"/>
      <c r="AG24" s="1761"/>
      <c r="AH24" s="418" t="s">
        <v>1084</v>
      </c>
      <c r="AI24" s="1761" t="s">
        <v>1084</v>
      </c>
      <c r="AJ24" s="1761" t="s">
        <v>1084</v>
      </c>
      <c r="AK24" s="498" t="s">
        <v>1084</v>
      </c>
      <c r="AL24" s="1761"/>
      <c r="AM24" s="498"/>
      <c r="AN24" s="1137"/>
      <c r="AP24" s="418"/>
      <c r="AQ24" s="1761"/>
      <c r="AR24" s="418" t="s">
        <v>1084</v>
      </c>
      <c r="AS24" s="1761" t="s">
        <v>1084</v>
      </c>
      <c r="AT24" s="1761" t="s">
        <v>1084</v>
      </c>
      <c r="AU24" s="498" t="s">
        <v>1084</v>
      </c>
      <c r="AV24" s="1761"/>
      <c r="AW24" s="498"/>
      <c r="AX24" s="1137"/>
      <c r="AZ24" s="418"/>
      <c r="BA24" s="1761"/>
      <c r="BB24" s="418" t="s">
        <v>1084</v>
      </c>
      <c r="BC24" s="1761" t="s">
        <v>1084</v>
      </c>
      <c r="BD24" s="1761" t="s">
        <v>1084</v>
      </c>
      <c r="BE24" s="498" t="s">
        <v>1084</v>
      </c>
      <c r="BF24" s="1761"/>
      <c r="BG24" s="498"/>
      <c r="BH24" s="1137"/>
    </row>
    <row r="25" spans="1:60" ht="13.5" customHeight="1">
      <c r="A25" s="1633"/>
      <c r="B25" s="286"/>
      <c r="C25" s="286"/>
      <c r="D25" s="420" t="s">
        <v>1086</v>
      </c>
      <c r="E25" s="286" t="s">
        <v>1087</v>
      </c>
      <c r="F25" s="286" t="s">
        <v>1088</v>
      </c>
      <c r="G25" s="285" t="s">
        <v>1419</v>
      </c>
      <c r="H25" s="286" t="s">
        <v>1084</v>
      </c>
      <c r="I25" s="285" t="s">
        <v>1085</v>
      </c>
      <c r="J25" s="1689" t="s">
        <v>1423</v>
      </c>
      <c r="L25" s="1633"/>
      <c r="M25" s="286"/>
      <c r="N25" s="420" t="s">
        <v>1086</v>
      </c>
      <c r="O25" s="286" t="s">
        <v>1087</v>
      </c>
      <c r="P25" s="286" t="s">
        <v>1088</v>
      </c>
      <c r="Q25" s="285" t="s">
        <v>1419</v>
      </c>
      <c r="R25" s="286" t="s">
        <v>1084</v>
      </c>
      <c r="S25" s="285" t="s">
        <v>1085</v>
      </c>
      <c r="T25" s="1689" t="s">
        <v>1423</v>
      </c>
      <c r="V25" s="1633"/>
      <c r="W25" s="286"/>
      <c r="X25" s="420" t="s">
        <v>1086</v>
      </c>
      <c r="Y25" s="286" t="s">
        <v>1087</v>
      </c>
      <c r="Z25" s="286" t="s">
        <v>1088</v>
      </c>
      <c r="AA25" s="285" t="s">
        <v>1419</v>
      </c>
      <c r="AB25" s="286" t="s">
        <v>1084</v>
      </c>
      <c r="AC25" s="285" t="s">
        <v>1085</v>
      </c>
      <c r="AD25" s="1689" t="s">
        <v>1423</v>
      </c>
      <c r="AF25" s="1633"/>
      <c r="AG25" s="286"/>
      <c r="AH25" s="420" t="s">
        <v>1086</v>
      </c>
      <c r="AI25" s="286" t="s">
        <v>1087</v>
      </c>
      <c r="AJ25" s="286" t="s">
        <v>1088</v>
      </c>
      <c r="AK25" s="285" t="s">
        <v>1419</v>
      </c>
      <c r="AL25" s="286" t="s">
        <v>1084</v>
      </c>
      <c r="AM25" s="285" t="s">
        <v>1085</v>
      </c>
      <c r="AN25" s="1689" t="s">
        <v>1423</v>
      </c>
      <c r="AP25" s="1633"/>
      <c r="AQ25" s="286"/>
      <c r="AR25" s="420" t="s">
        <v>1086</v>
      </c>
      <c r="AS25" s="286" t="s">
        <v>1087</v>
      </c>
      <c r="AT25" s="286" t="s">
        <v>1088</v>
      </c>
      <c r="AU25" s="285" t="s">
        <v>1419</v>
      </c>
      <c r="AV25" s="286" t="s">
        <v>1084</v>
      </c>
      <c r="AW25" s="285" t="s">
        <v>1085</v>
      </c>
      <c r="AX25" s="1689" t="s">
        <v>1423</v>
      </c>
      <c r="AZ25" s="1633"/>
      <c r="BA25" s="286"/>
      <c r="BB25" s="420" t="s">
        <v>1086</v>
      </c>
      <c r="BC25" s="286" t="s">
        <v>1087</v>
      </c>
      <c r="BD25" s="286" t="s">
        <v>1088</v>
      </c>
      <c r="BE25" s="285" t="s">
        <v>1419</v>
      </c>
      <c r="BF25" s="286" t="s">
        <v>1084</v>
      </c>
      <c r="BG25" s="285" t="s">
        <v>1085</v>
      </c>
      <c r="BH25" s="1689" t="s">
        <v>1423</v>
      </c>
    </row>
    <row r="26" spans="1:60" ht="13.5" customHeight="1" thickBot="1">
      <c r="A26" s="1762" t="s">
        <v>1082</v>
      </c>
      <c r="B26" s="1693"/>
      <c r="C26" s="1693"/>
      <c r="D26" s="1686" t="s">
        <v>458</v>
      </c>
      <c r="E26" s="1693" t="s">
        <v>459</v>
      </c>
      <c r="F26" s="1693" t="s">
        <v>460</v>
      </c>
      <c r="G26" s="668" t="s">
        <v>461</v>
      </c>
      <c r="H26" s="1693" t="s">
        <v>1422</v>
      </c>
      <c r="I26" s="668" t="s">
        <v>1422</v>
      </c>
      <c r="J26" s="668" t="s">
        <v>1422</v>
      </c>
      <c r="L26" s="1762" t="s">
        <v>1082</v>
      </c>
      <c r="M26" s="1693"/>
      <c r="N26" s="1686" t="s">
        <v>458</v>
      </c>
      <c r="O26" s="1693" t="s">
        <v>459</v>
      </c>
      <c r="P26" s="1693" t="s">
        <v>460</v>
      </c>
      <c r="Q26" s="668" t="s">
        <v>461</v>
      </c>
      <c r="R26" s="1693" t="s">
        <v>1422</v>
      </c>
      <c r="S26" s="668" t="s">
        <v>1422</v>
      </c>
      <c r="T26" s="668" t="s">
        <v>1422</v>
      </c>
      <c r="V26" s="1762" t="s">
        <v>1082</v>
      </c>
      <c r="W26" s="1693"/>
      <c r="X26" s="1686" t="s">
        <v>458</v>
      </c>
      <c r="Y26" s="1693" t="s">
        <v>459</v>
      </c>
      <c r="Z26" s="1693" t="s">
        <v>460</v>
      </c>
      <c r="AA26" s="668" t="s">
        <v>461</v>
      </c>
      <c r="AB26" s="1693" t="s">
        <v>1422</v>
      </c>
      <c r="AC26" s="668" t="s">
        <v>1422</v>
      </c>
      <c r="AD26" s="668" t="s">
        <v>1422</v>
      </c>
      <c r="AF26" s="1762" t="s">
        <v>1082</v>
      </c>
      <c r="AG26" s="1693"/>
      <c r="AH26" s="1686" t="s">
        <v>458</v>
      </c>
      <c r="AI26" s="1693" t="s">
        <v>459</v>
      </c>
      <c r="AJ26" s="1693" t="s">
        <v>460</v>
      </c>
      <c r="AK26" s="668" t="s">
        <v>461</v>
      </c>
      <c r="AL26" s="1693" t="s">
        <v>1422</v>
      </c>
      <c r="AM26" s="668" t="s">
        <v>1422</v>
      </c>
      <c r="AN26" s="668" t="s">
        <v>1422</v>
      </c>
      <c r="AP26" s="1762" t="s">
        <v>1082</v>
      </c>
      <c r="AQ26" s="1693"/>
      <c r="AR26" s="1686" t="s">
        <v>458</v>
      </c>
      <c r="AS26" s="1693" t="s">
        <v>459</v>
      </c>
      <c r="AT26" s="1693" t="s">
        <v>460</v>
      </c>
      <c r="AU26" s="668" t="s">
        <v>461</v>
      </c>
      <c r="AV26" s="1693" t="s">
        <v>1422</v>
      </c>
      <c r="AW26" s="668" t="s">
        <v>1422</v>
      </c>
      <c r="AX26" s="668" t="s">
        <v>1422</v>
      </c>
      <c r="AZ26" s="1762" t="s">
        <v>1082</v>
      </c>
      <c r="BA26" s="1693"/>
      <c r="BB26" s="1686" t="s">
        <v>458</v>
      </c>
      <c r="BC26" s="1693" t="s">
        <v>459</v>
      </c>
      <c r="BD26" s="1693" t="s">
        <v>460</v>
      </c>
      <c r="BE26" s="668" t="s">
        <v>461</v>
      </c>
      <c r="BF26" s="1693" t="s">
        <v>1422</v>
      </c>
      <c r="BG26" s="668" t="s">
        <v>1422</v>
      </c>
      <c r="BH26" s="668" t="s">
        <v>1422</v>
      </c>
    </row>
    <row r="27" spans="1:60" ht="13.5" customHeight="1" thickTop="1">
      <c r="A27" s="1763" t="s">
        <v>856</v>
      </c>
      <c r="B27" s="1764"/>
      <c r="C27" s="1764"/>
      <c r="D27" s="1789">
        <v>0.215</v>
      </c>
      <c r="E27" s="1790">
        <v>0.32400000000000001</v>
      </c>
      <c r="F27" s="1790">
        <v>0.254</v>
      </c>
      <c r="G27" s="1791">
        <v>0.20699999999999999</v>
      </c>
      <c r="H27" s="1789">
        <v>0.74399999999999999</v>
      </c>
      <c r="I27" s="1791">
        <v>0.25600000000000001</v>
      </c>
      <c r="J27" s="1792">
        <v>1</v>
      </c>
      <c r="L27" s="1763" t="s">
        <v>856</v>
      </c>
      <c r="M27" s="1764"/>
      <c r="N27" s="1789">
        <v>0.214</v>
      </c>
      <c r="O27" s="1790">
        <v>0.32600000000000001</v>
      </c>
      <c r="P27" s="1790">
        <v>0.253</v>
      </c>
      <c r="Q27" s="1791">
        <v>0.20699999999999999</v>
      </c>
      <c r="R27" s="1789">
        <v>0.74299999999999999</v>
      </c>
      <c r="S27" s="1791">
        <v>0.25700000000000001</v>
      </c>
      <c r="T27" s="1792">
        <v>1</v>
      </c>
      <c r="V27" s="1763" t="s">
        <v>856</v>
      </c>
      <c r="W27" s="1764"/>
      <c r="X27" s="1789">
        <v>0.21199999999999999</v>
      </c>
      <c r="Y27" s="1790">
        <v>0.32600000000000001</v>
      </c>
      <c r="Z27" s="1790">
        <v>0.251</v>
      </c>
      <c r="AA27" s="1791">
        <v>0.21099999999999999</v>
      </c>
      <c r="AB27" s="1789">
        <v>0.73899999999999999</v>
      </c>
      <c r="AC27" s="1791">
        <v>0.26100000000000001</v>
      </c>
      <c r="AD27" s="1792">
        <v>1</v>
      </c>
      <c r="AF27" s="1763" t="s">
        <v>856</v>
      </c>
      <c r="AG27" s="1764"/>
      <c r="AH27" s="1789">
        <v>0.20899999999999999</v>
      </c>
      <c r="AI27" s="1790">
        <v>0.32700000000000001</v>
      </c>
      <c r="AJ27" s="1790">
        <v>0.249</v>
      </c>
      <c r="AK27" s="1791">
        <v>0.215</v>
      </c>
      <c r="AL27" s="1789">
        <v>0.73499999999999999</v>
      </c>
      <c r="AM27" s="1791">
        <v>0.26500000000000001</v>
      </c>
      <c r="AN27" s="1792">
        <v>1</v>
      </c>
      <c r="AP27" s="1763" t="s">
        <v>856</v>
      </c>
      <c r="AQ27" s="1764"/>
      <c r="AR27" s="1789">
        <v>0.20799999999999999</v>
      </c>
      <c r="AS27" s="1790">
        <v>0.32800000000000001</v>
      </c>
      <c r="AT27" s="1790">
        <v>0.247</v>
      </c>
      <c r="AU27" s="1791">
        <v>0.217</v>
      </c>
      <c r="AV27" s="1789">
        <v>0.73199999999999998</v>
      </c>
      <c r="AW27" s="1791">
        <v>0.26800000000000002</v>
      </c>
      <c r="AX27" s="1792">
        <v>1</v>
      </c>
      <c r="AZ27" s="1763" t="s">
        <v>856</v>
      </c>
      <c r="BA27" s="1764"/>
      <c r="BB27" s="1789">
        <v>0.20599999999999999</v>
      </c>
      <c r="BC27" s="1790">
        <v>0.32800000000000001</v>
      </c>
      <c r="BD27" s="1790">
        <v>0.246</v>
      </c>
      <c r="BE27" s="1791">
        <v>0.22</v>
      </c>
      <c r="BF27" s="1789">
        <v>0.73</v>
      </c>
      <c r="BG27" s="1791">
        <v>0.27</v>
      </c>
      <c r="BH27" s="1792">
        <v>1</v>
      </c>
    </row>
    <row r="28" spans="1:60" ht="13.5" customHeight="1">
      <c r="A28" s="265" t="s">
        <v>1083</v>
      </c>
      <c r="B28" s="1769"/>
      <c r="C28" s="1769"/>
      <c r="D28" s="1793">
        <v>0.215</v>
      </c>
      <c r="E28" s="1794">
        <v>0.32300000000000001</v>
      </c>
      <c r="F28" s="1794">
        <v>0.253</v>
      </c>
      <c r="G28" s="1795">
        <v>0.20899999999999999</v>
      </c>
      <c r="H28" s="1793">
        <v>0.74299999999999999</v>
      </c>
      <c r="I28" s="1795">
        <v>0.25700000000000001</v>
      </c>
      <c r="J28" s="1796">
        <v>1</v>
      </c>
      <c r="L28" s="265" t="s">
        <v>1083</v>
      </c>
      <c r="M28" s="1769"/>
      <c r="N28" s="1793">
        <v>0.214</v>
      </c>
      <c r="O28" s="1794">
        <v>0.32500000000000001</v>
      </c>
      <c r="P28" s="1794">
        <v>0.252</v>
      </c>
      <c r="Q28" s="1795">
        <v>0.20899999999999999</v>
      </c>
      <c r="R28" s="1793">
        <v>0.74199999999999999</v>
      </c>
      <c r="S28" s="1795">
        <v>0.25800000000000001</v>
      </c>
      <c r="T28" s="1796">
        <v>1</v>
      </c>
      <c r="V28" s="265" t="s">
        <v>1083</v>
      </c>
      <c r="W28" s="1769"/>
      <c r="X28" s="1793">
        <v>0.21199999999999999</v>
      </c>
      <c r="Y28" s="1794">
        <v>0.32500000000000001</v>
      </c>
      <c r="Z28" s="1794">
        <v>0.25</v>
      </c>
      <c r="AA28" s="1795">
        <v>0.21299999999999999</v>
      </c>
      <c r="AB28" s="1793">
        <v>0.73799999999999999</v>
      </c>
      <c r="AC28" s="1795">
        <v>0.26200000000000001</v>
      </c>
      <c r="AD28" s="1796">
        <v>1</v>
      </c>
      <c r="AF28" s="265" t="s">
        <v>1083</v>
      </c>
      <c r="AG28" s="1769"/>
      <c r="AH28" s="1793">
        <v>0.21</v>
      </c>
      <c r="AI28" s="1794">
        <v>0.32600000000000001</v>
      </c>
      <c r="AJ28" s="1794">
        <v>0.248</v>
      </c>
      <c r="AK28" s="1795">
        <v>0.217</v>
      </c>
      <c r="AL28" s="1793">
        <v>0.73399999999999999</v>
      </c>
      <c r="AM28" s="1795">
        <v>0.26600000000000001</v>
      </c>
      <c r="AN28" s="1796">
        <v>1</v>
      </c>
      <c r="AP28" s="265" t="s">
        <v>1083</v>
      </c>
      <c r="AQ28" s="1769"/>
      <c r="AR28" s="1793">
        <v>0.20799999999999999</v>
      </c>
      <c r="AS28" s="1794">
        <v>0.32700000000000001</v>
      </c>
      <c r="AT28" s="1794">
        <v>0.246</v>
      </c>
      <c r="AU28" s="1795">
        <v>0.219</v>
      </c>
      <c r="AV28" s="1793">
        <v>0.73099999999999998</v>
      </c>
      <c r="AW28" s="1795">
        <v>0.26900000000000002</v>
      </c>
      <c r="AX28" s="1796">
        <v>1</v>
      </c>
      <c r="AZ28" s="265" t="s">
        <v>1083</v>
      </c>
      <c r="BA28" s="1769"/>
      <c r="BB28" s="1793">
        <v>0.20599999999999999</v>
      </c>
      <c r="BC28" s="1794">
        <v>0.32700000000000001</v>
      </c>
      <c r="BD28" s="1794">
        <v>0.245</v>
      </c>
      <c r="BE28" s="1795">
        <v>0.222</v>
      </c>
      <c r="BF28" s="1793">
        <v>0.72899999999999998</v>
      </c>
      <c r="BG28" s="1795">
        <v>0.27100000000000002</v>
      </c>
      <c r="BH28" s="1796">
        <v>1</v>
      </c>
    </row>
    <row r="29" spans="1:60" ht="13.5" customHeight="1">
      <c r="A29" s="265" t="s">
        <v>858</v>
      </c>
      <c r="B29" s="1769"/>
      <c r="C29" s="1769"/>
      <c r="D29" s="1793">
        <v>0.215</v>
      </c>
      <c r="E29" s="1794">
        <v>0.32200000000000001</v>
      </c>
      <c r="F29" s="1794">
        <v>0.252</v>
      </c>
      <c r="G29" s="1795">
        <v>0.21</v>
      </c>
      <c r="H29" s="1793">
        <v>0.74299999999999999</v>
      </c>
      <c r="I29" s="1795">
        <v>0.25700000000000001</v>
      </c>
      <c r="J29" s="1796">
        <v>1</v>
      </c>
      <c r="L29" s="265" t="s">
        <v>858</v>
      </c>
      <c r="M29" s="1769"/>
      <c r="N29" s="1793">
        <v>0.214</v>
      </c>
      <c r="O29" s="1794">
        <v>0.32400000000000001</v>
      </c>
      <c r="P29" s="1794">
        <v>0.252</v>
      </c>
      <c r="Q29" s="1795">
        <v>0.21099999999999999</v>
      </c>
      <c r="R29" s="1793">
        <v>0.74199999999999999</v>
      </c>
      <c r="S29" s="1795">
        <v>0.25800000000000001</v>
      </c>
      <c r="T29" s="1796">
        <v>1</v>
      </c>
      <c r="V29" s="265" t="s">
        <v>858</v>
      </c>
      <c r="W29" s="1769"/>
      <c r="X29" s="1793">
        <v>0.21199999999999999</v>
      </c>
      <c r="Y29" s="1794">
        <v>0.32400000000000001</v>
      </c>
      <c r="Z29" s="1794">
        <v>0.249</v>
      </c>
      <c r="AA29" s="1795">
        <v>0.214</v>
      </c>
      <c r="AB29" s="1793">
        <v>0.73799999999999999</v>
      </c>
      <c r="AC29" s="1795">
        <v>0.26200000000000001</v>
      </c>
      <c r="AD29" s="1796">
        <v>1</v>
      </c>
      <c r="AF29" s="265" t="s">
        <v>858</v>
      </c>
      <c r="AG29" s="1769"/>
      <c r="AH29" s="1793">
        <v>0.21</v>
      </c>
      <c r="AI29" s="1794">
        <v>0.32500000000000001</v>
      </c>
      <c r="AJ29" s="1794">
        <v>0.247</v>
      </c>
      <c r="AK29" s="1795">
        <v>0.218</v>
      </c>
      <c r="AL29" s="1793">
        <v>0.73399999999999999</v>
      </c>
      <c r="AM29" s="1795">
        <v>0.26600000000000001</v>
      </c>
      <c r="AN29" s="1796">
        <v>1</v>
      </c>
      <c r="AP29" s="265" t="s">
        <v>858</v>
      </c>
      <c r="AQ29" s="1769"/>
      <c r="AR29" s="1793">
        <v>0.20799999999999999</v>
      </c>
      <c r="AS29" s="1794">
        <v>0.32600000000000001</v>
      </c>
      <c r="AT29" s="1794">
        <v>0.246</v>
      </c>
      <c r="AU29" s="1795">
        <v>0.221</v>
      </c>
      <c r="AV29" s="1793">
        <v>0.73099999999999998</v>
      </c>
      <c r="AW29" s="1795">
        <v>0.26900000000000002</v>
      </c>
      <c r="AX29" s="1796">
        <v>1</v>
      </c>
      <c r="AZ29" s="265" t="s">
        <v>858</v>
      </c>
      <c r="BA29" s="1769"/>
      <c r="BB29" s="1793">
        <v>0.20599999999999999</v>
      </c>
      <c r="BC29" s="1794">
        <v>0.32500000000000001</v>
      </c>
      <c r="BD29" s="1794">
        <v>0.24399999999999999</v>
      </c>
      <c r="BE29" s="1795">
        <v>0.224</v>
      </c>
      <c r="BF29" s="1793">
        <v>0.72899999999999998</v>
      </c>
      <c r="BG29" s="1795">
        <v>0.27100000000000002</v>
      </c>
      <c r="BH29" s="1796">
        <v>1</v>
      </c>
    </row>
    <row r="30" spans="1:60" ht="13.5" customHeight="1">
      <c r="A30" s="265" t="s">
        <v>859</v>
      </c>
      <c r="B30" s="1769"/>
      <c r="C30" s="1769"/>
      <c r="D30" s="1793">
        <v>0.21299999999999999</v>
      </c>
      <c r="E30" s="1794">
        <v>0.33700000000000002</v>
      </c>
      <c r="F30" s="1794">
        <v>0.26500000000000001</v>
      </c>
      <c r="G30" s="1795">
        <v>0.185</v>
      </c>
      <c r="H30" s="1793">
        <v>0.749</v>
      </c>
      <c r="I30" s="1795">
        <v>0.251</v>
      </c>
      <c r="J30" s="1796">
        <v>1</v>
      </c>
      <c r="L30" s="265" t="s">
        <v>859</v>
      </c>
      <c r="M30" s="1769"/>
      <c r="N30" s="1793">
        <v>0.21299999999999999</v>
      </c>
      <c r="O30" s="1794">
        <v>0.33800000000000002</v>
      </c>
      <c r="P30" s="1794">
        <v>0.26500000000000001</v>
      </c>
      <c r="Q30" s="1795">
        <v>0.185</v>
      </c>
      <c r="R30" s="1793">
        <v>0.749</v>
      </c>
      <c r="S30" s="1795">
        <v>0.251</v>
      </c>
      <c r="T30" s="1796">
        <v>1</v>
      </c>
      <c r="V30" s="265" t="s">
        <v>859</v>
      </c>
      <c r="W30" s="1769"/>
      <c r="X30" s="1793">
        <v>0.21</v>
      </c>
      <c r="Y30" s="1794">
        <v>0.33900000000000002</v>
      </c>
      <c r="Z30" s="1794">
        <v>0.26300000000000001</v>
      </c>
      <c r="AA30" s="1795">
        <v>0.188</v>
      </c>
      <c r="AB30" s="1793">
        <v>0.745</v>
      </c>
      <c r="AC30" s="1795">
        <v>0.255</v>
      </c>
      <c r="AD30" s="1796">
        <v>1</v>
      </c>
      <c r="AF30" s="265" t="s">
        <v>859</v>
      </c>
      <c r="AG30" s="1769"/>
      <c r="AH30" s="1793">
        <v>0.20799999999999999</v>
      </c>
      <c r="AI30" s="1794">
        <v>0.34100000000000003</v>
      </c>
      <c r="AJ30" s="1794">
        <v>0.26</v>
      </c>
      <c r="AK30" s="1795">
        <v>0.192</v>
      </c>
      <c r="AL30" s="1793">
        <v>0.73899999999999999</v>
      </c>
      <c r="AM30" s="1795">
        <v>0.26100000000000001</v>
      </c>
      <c r="AN30" s="1796">
        <v>1</v>
      </c>
      <c r="AP30" s="265" t="s">
        <v>859</v>
      </c>
      <c r="AQ30" s="1769"/>
      <c r="AR30" s="1793">
        <v>0.20599999999999999</v>
      </c>
      <c r="AS30" s="1794">
        <v>0.34200000000000003</v>
      </c>
      <c r="AT30" s="1794">
        <v>0.25900000000000001</v>
      </c>
      <c r="AU30" s="1795">
        <v>0.19400000000000001</v>
      </c>
      <c r="AV30" s="1793">
        <v>0.73599999999999999</v>
      </c>
      <c r="AW30" s="1795">
        <v>0.26400000000000001</v>
      </c>
      <c r="AX30" s="1796">
        <v>1</v>
      </c>
      <c r="AZ30" s="265" t="s">
        <v>859</v>
      </c>
      <c r="BA30" s="1769"/>
      <c r="BB30" s="1793">
        <v>0.20399999999999999</v>
      </c>
      <c r="BC30" s="1794">
        <v>0.34200000000000003</v>
      </c>
      <c r="BD30" s="1794">
        <v>0.25800000000000001</v>
      </c>
      <c r="BE30" s="1795">
        <v>0.19600000000000001</v>
      </c>
      <c r="BF30" s="1793">
        <v>0.73399999999999999</v>
      </c>
      <c r="BG30" s="1795">
        <v>0.26600000000000001</v>
      </c>
      <c r="BH30" s="1796">
        <v>1</v>
      </c>
    </row>
    <row r="31" spans="1:60" ht="13.5" customHeight="1" thickBot="1">
      <c r="A31" s="259" t="s">
        <v>860</v>
      </c>
      <c r="B31" s="1774"/>
      <c r="C31" s="1774"/>
      <c r="D31" s="1797">
        <v>0.21199999999999999</v>
      </c>
      <c r="E31" s="1798">
        <v>0.34100000000000003</v>
      </c>
      <c r="F31" s="1798">
        <v>0.25900000000000001</v>
      </c>
      <c r="G31" s="1799">
        <v>0.188</v>
      </c>
      <c r="H31" s="1797">
        <v>0.745</v>
      </c>
      <c r="I31" s="1799">
        <v>0.255</v>
      </c>
      <c r="J31" s="1800">
        <v>1</v>
      </c>
      <c r="L31" s="259" t="s">
        <v>860</v>
      </c>
      <c r="M31" s="1774"/>
      <c r="N31" s="1797">
        <v>0.21099999999999999</v>
      </c>
      <c r="O31" s="1798">
        <v>0.34200000000000003</v>
      </c>
      <c r="P31" s="1798">
        <v>0.25800000000000001</v>
      </c>
      <c r="Q31" s="1799">
        <v>0.188</v>
      </c>
      <c r="R31" s="1797">
        <v>0.74399999999999999</v>
      </c>
      <c r="S31" s="1799">
        <v>0.25600000000000001</v>
      </c>
      <c r="T31" s="1800">
        <v>1</v>
      </c>
      <c r="V31" s="259" t="s">
        <v>860</v>
      </c>
      <c r="W31" s="1774"/>
      <c r="X31" s="1797">
        <v>0.21</v>
      </c>
      <c r="Y31" s="1798">
        <v>0.34300000000000003</v>
      </c>
      <c r="Z31" s="1798">
        <v>0.25700000000000001</v>
      </c>
      <c r="AA31" s="1799">
        <v>0.19</v>
      </c>
      <c r="AB31" s="1797">
        <v>0.74</v>
      </c>
      <c r="AC31" s="1799">
        <v>0.26</v>
      </c>
      <c r="AD31" s="1800">
        <v>1</v>
      </c>
      <c r="AF31" s="259" t="s">
        <v>860</v>
      </c>
      <c r="AG31" s="1774"/>
      <c r="AH31" s="1797">
        <v>0.20799999999999999</v>
      </c>
      <c r="AI31" s="1798">
        <v>0.34399999999999997</v>
      </c>
      <c r="AJ31" s="1798">
        <v>0.255</v>
      </c>
      <c r="AK31" s="1799">
        <v>0.193</v>
      </c>
      <c r="AL31" s="1797">
        <v>0.73599999999999999</v>
      </c>
      <c r="AM31" s="1799">
        <v>0.26400000000000001</v>
      </c>
      <c r="AN31" s="1800">
        <v>1</v>
      </c>
      <c r="AP31" s="259" t="s">
        <v>860</v>
      </c>
      <c r="AQ31" s="1774"/>
      <c r="AR31" s="1797">
        <v>0.20599999999999999</v>
      </c>
      <c r="AS31" s="1798">
        <v>0.34499999999999997</v>
      </c>
      <c r="AT31" s="1798">
        <v>0.254</v>
      </c>
      <c r="AU31" s="1799">
        <v>0.19500000000000001</v>
      </c>
      <c r="AV31" s="1797">
        <v>0.73299999999999998</v>
      </c>
      <c r="AW31" s="1799">
        <v>0.26700000000000002</v>
      </c>
      <c r="AX31" s="1800">
        <v>1</v>
      </c>
      <c r="AZ31" s="259" t="s">
        <v>860</v>
      </c>
      <c r="BA31" s="1774"/>
      <c r="BB31" s="1797">
        <v>0.20499999999999999</v>
      </c>
      <c r="BC31" s="1798">
        <v>0.34499999999999997</v>
      </c>
      <c r="BD31" s="1798">
        <v>0.253</v>
      </c>
      <c r="BE31" s="1799">
        <v>0.19600000000000001</v>
      </c>
      <c r="BF31" s="1797">
        <v>0.73199999999999998</v>
      </c>
      <c r="BG31" s="1799">
        <v>0.26800000000000002</v>
      </c>
      <c r="BH31" s="1800">
        <v>1</v>
      </c>
    </row>
    <row r="32" spans="1:60" ht="13.5" customHeight="1" thickTop="1">
      <c r="A32" s="265" t="s">
        <v>1122</v>
      </c>
      <c r="B32" s="1769"/>
      <c r="C32" s="1769"/>
      <c r="D32" s="1801">
        <v>0.219</v>
      </c>
      <c r="E32" s="1802">
        <v>0.32200000000000001</v>
      </c>
      <c r="F32" s="1802">
        <v>0.252</v>
      </c>
      <c r="G32" s="1803">
        <v>0.20599999999999999</v>
      </c>
      <c r="H32" s="1801">
        <v>0.74099999999999999</v>
      </c>
      <c r="I32" s="1803">
        <v>0.25900000000000001</v>
      </c>
      <c r="J32" s="1804">
        <v>1</v>
      </c>
      <c r="L32" s="265" t="s">
        <v>1122</v>
      </c>
      <c r="M32" s="1769"/>
      <c r="N32" s="1801">
        <v>0.218</v>
      </c>
      <c r="O32" s="1802">
        <v>0.32400000000000001</v>
      </c>
      <c r="P32" s="1802">
        <v>0.251</v>
      </c>
      <c r="Q32" s="1803">
        <v>0.20699999999999999</v>
      </c>
      <c r="R32" s="1801">
        <v>0.74</v>
      </c>
      <c r="S32" s="1803">
        <v>0.26</v>
      </c>
      <c r="T32" s="1804">
        <v>1</v>
      </c>
      <c r="V32" s="265" t="s">
        <v>1122</v>
      </c>
      <c r="W32" s="1769"/>
      <c r="X32" s="1801">
        <v>0.216</v>
      </c>
      <c r="Y32" s="1802">
        <v>0.32400000000000001</v>
      </c>
      <c r="Z32" s="1802">
        <v>0.249</v>
      </c>
      <c r="AA32" s="1803">
        <v>0.21</v>
      </c>
      <c r="AB32" s="1801">
        <v>0.73599999999999999</v>
      </c>
      <c r="AC32" s="1803">
        <v>0.26400000000000001</v>
      </c>
      <c r="AD32" s="1804">
        <v>1</v>
      </c>
      <c r="AF32" s="265" t="s">
        <v>1122</v>
      </c>
      <c r="AG32" s="1769"/>
      <c r="AH32" s="1801">
        <v>0.214</v>
      </c>
      <c r="AI32" s="1802">
        <v>0.32500000000000001</v>
      </c>
      <c r="AJ32" s="1802">
        <v>0.247</v>
      </c>
      <c r="AK32" s="1803">
        <v>0.214</v>
      </c>
      <c r="AL32" s="1801">
        <v>0.73199999999999998</v>
      </c>
      <c r="AM32" s="1803">
        <v>0.26800000000000002</v>
      </c>
      <c r="AN32" s="1804">
        <v>1</v>
      </c>
      <c r="AP32" s="265" t="s">
        <v>1122</v>
      </c>
      <c r="AQ32" s="1769"/>
      <c r="AR32" s="1801">
        <v>0.21199999999999999</v>
      </c>
      <c r="AS32" s="1802">
        <v>0.32500000000000001</v>
      </c>
      <c r="AT32" s="1802">
        <v>0.246</v>
      </c>
      <c r="AU32" s="1803">
        <v>0.217</v>
      </c>
      <c r="AV32" s="1801">
        <v>0.72899999999999998</v>
      </c>
      <c r="AW32" s="1803">
        <v>0.27100000000000002</v>
      </c>
      <c r="AX32" s="1804">
        <v>1</v>
      </c>
      <c r="AZ32" s="265" t="s">
        <v>1122</v>
      </c>
      <c r="BA32" s="1769"/>
      <c r="BB32" s="1801">
        <v>0.21099999999999999</v>
      </c>
      <c r="BC32" s="1802">
        <v>0.32500000000000001</v>
      </c>
      <c r="BD32" s="1802">
        <v>0.24399999999999999</v>
      </c>
      <c r="BE32" s="1803">
        <v>0.22</v>
      </c>
      <c r="BF32" s="1801">
        <v>0.72699999999999998</v>
      </c>
      <c r="BG32" s="1803">
        <v>0.27300000000000002</v>
      </c>
      <c r="BH32" s="1804">
        <v>1</v>
      </c>
    </row>
    <row r="33" spans="1:60" ht="13.5" customHeight="1">
      <c r="A33" s="265" t="s">
        <v>1123</v>
      </c>
      <c r="B33" s="1769"/>
      <c r="C33" s="1769"/>
      <c r="D33" s="1801">
        <v>0.217</v>
      </c>
      <c r="E33" s="1802">
        <v>0.32200000000000001</v>
      </c>
      <c r="F33" s="1802">
        <v>0.255</v>
      </c>
      <c r="G33" s="1803">
        <v>0.20599999999999999</v>
      </c>
      <c r="H33" s="1801">
        <v>0.74199999999999999</v>
      </c>
      <c r="I33" s="1803">
        <v>0.25800000000000001</v>
      </c>
      <c r="J33" s="1804">
        <v>1</v>
      </c>
      <c r="L33" s="265" t="s">
        <v>1123</v>
      </c>
      <c r="M33" s="1769"/>
      <c r="N33" s="1801">
        <v>0.216</v>
      </c>
      <c r="O33" s="1802">
        <v>0.32300000000000001</v>
      </c>
      <c r="P33" s="1802">
        <v>0.255</v>
      </c>
      <c r="Q33" s="1803">
        <v>0.20599999999999999</v>
      </c>
      <c r="R33" s="1801">
        <v>0.74099999999999999</v>
      </c>
      <c r="S33" s="1803">
        <v>0.25900000000000001</v>
      </c>
      <c r="T33" s="1804">
        <v>1</v>
      </c>
      <c r="V33" s="265" t="s">
        <v>1123</v>
      </c>
      <c r="W33" s="1769"/>
      <c r="X33" s="1801">
        <v>0.214</v>
      </c>
      <c r="Y33" s="1802">
        <v>0.32400000000000001</v>
      </c>
      <c r="Z33" s="1802">
        <v>0.253</v>
      </c>
      <c r="AA33" s="1803">
        <v>0.21</v>
      </c>
      <c r="AB33" s="1801">
        <v>0.73699999999999999</v>
      </c>
      <c r="AC33" s="1803">
        <v>0.26300000000000001</v>
      </c>
      <c r="AD33" s="1804">
        <v>1</v>
      </c>
      <c r="AF33" s="265" t="s">
        <v>1123</v>
      </c>
      <c r="AG33" s="1769"/>
      <c r="AH33" s="1801">
        <v>0.21199999999999999</v>
      </c>
      <c r="AI33" s="1802">
        <v>0.32400000000000001</v>
      </c>
      <c r="AJ33" s="1802">
        <v>0.251</v>
      </c>
      <c r="AK33" s="1803">
        <v>0.21299999999999999</v>
      </c>
      <c r="AL33" s="1801">
        <v>0.73299999999999998</v>
      </c>
      <c r="AM33" s="1803">
        <v>0.26700000000000002</v>
      </c>
      <c r="AN33" s="1804">
        <v>1</v>
      </c>
      <c r="AP33" s="265" t="s">
        <v>1123</v>
      </c>
      <c r="AQ33" s="1769"/>
      <c r="AR33" s="1801">
        <v>0.21</v>
      </c>
      <c r="AS33" s="1802">
        <v>0.32500000000000001</v>
      </c>
      <c r="AT33" s="1802">
        <v>0.249</v>
      </c>
      <c r="AU33" s="1803">
        <v>0.216</v>
      </c>
      <c r="AV33" s="1801">
        <v>0.72899999999999998</v>
      </c>
      <c r="AW33" s="1803">
        <v>0.27100000000000002</v>
      </c>
      <c r="AX33" s="1804">
        <v>1</v>
      </c>
      <c r="AZ33" s="265" t="s">
        <v>1123</v>
      </c>
      <c r="BA33" s="1769"/>
      <c r="BB33" s="1801">
        <v>0.20899999999999999</v>
      </c>
      <c r="BC33" s="1802">
        <v>0.32500000000000001</v>
      </c>
      <c r="BD33" s="1802">
        <v>0.248</v>
      </c>
      <c r="BE33" s="1803">
        <v>0.219</v>
      </c>
      <c r="BF33" s="1801">
        <v>0.72699999999999998</v>
      </c>
      <c r="BG33" s="1803">
        <v>0.27300000000000002</v>
      </c>
      <c r="BH33" s="1804">
        <v>1</v>
      </c>
    </row>
    <row r="34" spans="1:60" ht="13.5" customHeight="1">
      <c r="A34" s="265" t="s">
        <v>1487</v>
      </c>
      <c r="B34" s="1769"/>
      <c r="C34" s="1769"/>
      <c r="D34" s="1801">
        <v>0.19800000000000001</v>
      </c>
      <c r="E34" s="1802">
        <v>0.28799999999999998</v>
      </c>
      <c r="F34" s="1802">
        <v>0.22800000000000001</v>
      </c>
      <c r="G34" s="1803">
        <v>0.28599999999999998</v>
      </c>
      <c r="H34" s="1801">
        <v>0.749</v>
      </c>
      <c r="I34" s="1803">
        <v>0.251</v>
      </c>
      <c r="J34" s="1804">
        <v>1</v>
      </c>
      <c r="L34" s="265" t="s">
        <v>1487</v>
      </c>
      <c r="M34" s="1769"/>
      <c r="N34" s="1801">
        <v>0.19700000000000001</v>
      </c>
      <c r="O34" s="1802">
        <v>0.28799999999999998</v>
      </c>
      <c r="P34" s="1802">
        <v>0.22800000000000001</v>
      </c>
      <c r="Q34" s="1803">
        <v>0.28699999999999998</v>
      </c>
      <c r="R34" s="1801">
        <v>0.748</v>
      </c>
      <c r="S34" s="1803">
        <v>0.252</v>
      </c>
      <c r="T34" s="1804">
        <v>1</v>
      </c>
      <c r="V34" s="265" t="s">
        <v>1487</v>
      </c>
      <c r="W34" s="1769"/>
      <c r="X34" s="1801">
        <v>0.19400000000000001</v>
      </c>
      <c r="Y34" s="1802">
        <v>0.28899999999999998</v>
      </c>
      <c r="Z34" s="1802">
        <v>0.224</v>
      </c>
      <c r="AA34" s="1803">
        <v>0.29299999999999998</v>
      </c>
      <c r="AB34" s="1801">
        <v>0.74399999999999999</v>
      </c>
      <c r="AC34" s="1803">
        <v>0.25600000000000001</v>
      </c>
      <c r="AD34" s="1804">
        <v>1</v>
      </c>
      <c r="AF34" s="265" t="s">
        <v>1487</v>
      </c>
      <c r="AG34" s="1769"/>
      <c r="AH34" s="1801">
        <v>0.191</v>
      </c>
      <c r="AI34" s="1802">
        <v>0.28899999999999998</v>
      </c>
      <c r="AJ34" s="1802">
        <v>0.221</v>
      </c>
      <c r="AK34" s="1803">
        <v>0.29899999999999999</v>
      </c>
      <c r="AL34" s="1801">
        <v>0.73899999999999999</v>
      </c>
      <c r="AM34" s="1803">
        <v>0.26100000000000001</v>
      </c>
      <c r="AN34" s="1804">
        <v>1</v>
      </c>
      <c r="AP34" s="265" t="s">
        <v>1487</v>
      </c>
      <c r="AQ34" s="1769"/>
      <c r="AR34" s="1801">
        <v>0.188</v>
      </c>
      <c r="AS34" s="1802">
        <v>0.28999999999999998</v>
      </c>
      <c r="AT34" s="1802">
        <v>0.219</v>
      </c>
      <c r="AU34" s="1803">
        <v>0.30399999999999999</v>
      </c>
      <c r="AV34" s="1801">
        <v>0.73599999999999999</v>
      </c>
      <c r="AW34" s="1803">
        <v>0.26400000000000001</v>
      </c>
      <c r="AX34" s="1804">
        <v>1</v>
      </c>
      <c r="AZ34" s="265" t="s">
        <v>1487</v>
      </c>
      <c r="BA34" s="1769"/>
      <c r="BB34" s="1801">
        <v>0.186</v>
      </c>
      <c r="BC34" s="1802">
        <v>0.28899999999999998</v>
      </c>
      <c r="BD34" s="1802">
        <v>0.217</v>
      </c>
      <c r="BE34" s="1803">
        <v>0.308</v>
      </c>
      <c r="BF34" s="1801">
        <v>0.73299999999999998</v>
      </c>
      <c r="BG34" s="1803">
        <v>0.26700000000000002</v>
      </c>
      <c r="BH34" s="1804">
        <v>1</v>
      </c>
    </row>
    <row r="35" spans="1:60" ht="13.5" customHeight="1">
      <c r="A35" s="265" t="s">
        <v>1124</v>
      </c>
      <c r="B35" s="1769"/>
      <c r="C35" s="1769"/>
      <c r="D35" s="1801">
        <v>0.21199999999999999</v>
      </c>
      <c r="E35" s="1802">
        <v>0.32900000000000001</v>
      </c>
      <c r="F35" s="1802">
        <v>0.26100000000000001</v>
      </c>
      <c r="G35" s="1803">
        <v>0.19800000000000001</v>
      </c>
      <c r="H35" s="1801">
        <v>0.753</v>
      </c>
      <c r="I35" s="1803">
        <v>0.247</v>
      </c>
      <c r="J35" s="1804">
        <v>1</v>
      </c>
      <c r="L35" s="265" t="s">
        <v>1124</v>
      </c>
      <c r="M35" s="1769"/>
      <c r="N35" s="1801">
        <v>0.21</v>
      </c>
      <c r="O35" s="1802">
        <v>0.33100000000000002</v>
      </c>
      <c r="P35" s="1802">
        <v>0.26</v>
      </c>
      <c r="Q35" s="1803">
        <v>0.19900000000000001</v>
      </c>
      <c r="R35" s="1801">
        <v>0.752</v>
      </c>
      <c r="S35" s="1803">
        <v>0.248</v>
      </c>
      <c r="T35" s="1804">
        <v>1</v>
      </c>
      <c r="V35" s="265" t="s">
        <v>1124</v>
      </c>
      <c r="W35" s="1769"/>
      <c r="X35" s="1801">
        <v>0.20899999999999999</v>
      </c>
      <c r="Y35" s="1802">
        <v>0.33100000000000002</v>
      </c>
      <c r="Z35" s="1802">
        <v>0.25800000000000001</v>
      </c>
      <c r="AA35" s="1803">
        <v>0.20200000000000001</v>
      </c>
      <c r="AB35" s="1801">
        <v>0.749</v>
      </c>
      <c r="AC35" s="1803">
        <v>0.251</v>
      </c>
      <c r="AD35" s="1804">
        <v>1</v>
      </c>
      <c r="AF35" s="265" t="s">
        <v>1124</v>
      </c>
      <c r="AG35" s="1769"/>
      <c r="AH35" s="1801">
        <v>0.20699999999999999</v>
      </c>
      <c r="AI35" s="1802">
        <v>0.33200000000000002</v>
      </c>
      <c r="AJ35" s="1802">
        <v>0.25700000000000001</v>
      </c>
      <c r="AK35" s="1803">
        <v>0.20499999999999999</v>
      </c>
      <c r="AL35" s="1801">
        <v>0.746</v>
      </c>
      <c r="AM35" s="1803">
        <v>0.254</v>
      </c>
      <c r="AN35" s="1804">
        <v>1</v>
      </c>
      <c r="AP35" s="265" t="s">
        <v>1124</v>
      </c>
      <c r="AQ35" s="1769"/>
      <c r="AR35" s="1801">
        <v>0.20499999999999999</v>
      </c>
      <c r="AS35" s="1802">
        <v>0.33200000000000002</v>
      </c>
      <c r="AT35" s="1802">
        <v>0.255</v>
      </c>
      <c r="AU35" s="1803">
        <v>0.20799999999999999</v>
      </c>
      <c r="AV35" s="1801">
        <v>0.74299999999999999</v>
      </c>
      <c r="AW35" s="1803">
        <v>0.25700000000000001</v>
      </c>
      <c r="AX35" s="1804">
        <v>1</v>
      </c>
      <c r="AZ35" s="265" t="s">
        <v>1124</v>
      </c>
      <c r="BA35" s="1769"/>
      <c r="BB35" s="1801">
        <v>0.20399999999999999</v>
      </c>
      <c r="BC35" s="1802">
        <v>0.33200000000000002</v>
      </c>
      <c r="BD35" s="1802">
        <v>0.254</v>
      </c>
      <c r="BE35" s="1803">
        <v>0.21</v>
      </c>
      <c r="BF35" s="1801">
        <v>0.74099999999999999</v>
      </c>
      <c r="BG35" s="1803">
        <v>0.25900000000000001</v>
      </c>
      <c r="BH35" s="1804">
        <v>1</v>
      </c>
    </row>
    <row r="36" spans="1:60" ht="13.5" customHeight="1">
      <c r="A36" s="265" t="s">
        <v>1125</v>
      </c>
      <c r="B36" s="1769"/>
      <c r="C36" s="1769"/>
      <c r="D36" s="1801">
        <v>0.215</v>
      </c>
      <c r="E36" s="1802">
        <v>0.32300000000000001</v>
      </c>
      <c r="F36" s="1802">
        <v>0.25700000000000001</v>
      </c>
      <c r="G36" s="1803">
        <v>0.20499999999999999</v>
      </c>
      <c r="H36" s="1801">
        <v>0.747</v>
      </c>
      <c r="I36" s="1803">
        <v>0.253</v>
      </c>
      <c r="J36" s="1804">
        <v>1</v>
      </c>
      <c r="L36" s="265" t="s">
        <v>1125</v>
      </c>
      <c r="M36" s="1769"/>
      <c r="N36" s="1801">
        <v>0.214</v>
      </c>
      <c r="O36" s="1802">
        <v>0.32400000000000001</v>
      </c>
      <c r="P36" s="1802">
        <v>0.25700000000000001</v>
      </c>
      <c r="Q36" s="1803">
        <v>0.20499999999999999</v>
      </c>
      <c r="R36" s="1801">
        <v>0.747</v>
      </c>
      <c r="S36" s="1803">
        <v>0.253</v>
      </c>
      <c r="T36" s="1804">
        <v>1</v>
      </c>
      <c r="V36" s="265" t="s">
        <v>1125</v>
      </c>
      <c r="W36" s="1769"/>
      <c r="X36" s="1801">
        <v>0.21199999999999999</v>
      </c>
      <c r="Y36" s="1802">
        <v>0.32400000000000001</v>
      </c>
      <c r="Z36" s="1802">
        <v>0.255</v>
      </c>
      <c r="AA36" s="1803">
        <v>0.20899999999999999</v>
      </c>
      <c r="AB36" s="1801">
        <v>0.74199999999999999</v>
      </c>
      <c r="AC36" s="1803">
        <v>0.25800000000000001</v>
      </c>
      <c r="AD36" s="1804">
        <v>1</v>
      </c>
      <c r="AF36" s="265" t="s">
        <v>1125</v>
      </c>
      <c r="AG36" s="1769"/>
      <c r="AH36" s="1801">
        <v>0.21</v>
      </c>
      <c r="AI36" s="1802">
        <v>0.32500000000000001</v>
      </c>
      <c r="AJ36" s="1802">
        <v>0.253</v>
      </c>
      <c r="AK36" s="1803">
        <v>0.21299999999999999</v>
      </c>
      <c r="AL36" s="1801">
        <v>0.73799999999999999</v>
      </c>
      <c r="AM36" s="1803">
        <v>0.26200000000000001</v>
      </c>
      <c r="AN36" s="1804">
        <v>1</v>
      </c>
      <c r="AP36" s="265" t="s">
        <v>1125</v>
      </c>
      <c r="AQ36" s="1769"/>
      <c r="AR36" s="1801">
        <v>0.20799999999999999</v>
      </c>
      <c r="AS36" s="1802">
        <v>0.32600000000000001</v>
      </c>
      <c r="AT36" s="1802">
        <v>0.251</v>
      </c>
      <c r="AU36" s="1803">
        <v>0.216</v>
      </c>
      <c r="AV36" s="1801">
        <v>0.73499999999999999</v>
      </c>
      <c r="AW36" s="1803">
        <v>0.26500000000000001</v>
      </c>
      <c r="AX36" s="1804">
        <v>1</v>
      </c>
      <c r="AZ36" s="265" t="s">
        <v>1125</v>
      </c>
      <c r="BA36" s="1769"/>
      <c r="BB36" s="1801">
        <v>0.20699999999999999</v>
      </c>
      <c r="BC36" s="1802">
        <v>0.32500000000000001</v>
      </c>
      <c r="BD36" s="1802">
        <v>0.25</v>
      </c>
      <c r="BE36" s="1803">
        <v>0.218</v>
      </c>
      <c r="BF36" s="1801">
        <v>0.73299999999999998</v>
      </c>
      <c r="BG36" s="1803">
        <v>0.26700000000000002</v>
      </c>
      <c r="BH36" s="1804">
        <v>1</v>
      </c>
    </row>
    <row r="37" spans="1:60" ht="13.5" customHeight="1">
      <c r="A37" s="265" t="s">
        <v>1126</v>
      </c>
      <c r="B37" s="1769"/>
      <c r="C37" s="1769"/>
      <c r="D37" s="1801">
        <v>0.222</v>
      </c>
      <c r="E37" s="1802">
        <v>0.32200000000000001</v>
      </c>
      <c r="F37" s="1802">
        <v>0.247</v>
      </c>
      <c r="G37" s="1803">
        <v>0.20899999999999999</v>
      </c>
      <c r="H37" s="1801">
        <v>0.73899999999999999</v>
      </c>
      <c r="I37" s="1803">
        <v>0.26100000000000001</v>
      </c>
      <c r="J37" s="1804">
        <v>1</v>
      </c>
      <c r="L37" s="265" t="s">
        <v>1126</v>
      </c>
      <c r="M37" s="1769"/>
      <c r="N37" s="1801">
        <v>0.22</v>
      </c>
      <c r="O37" s="1802">
        <v>0.32400000000000001</v>
      </c>
      <c r="P37" s="1802">
        <v>0.246</v>
      </c>
      <c r="Q37" s="1803">
        <v>0.20899999999999999</v>
      </c>
      <c r="R37" s="1801">
        <v>0.73899999999999999</v>
      </c>
      <c r="S37" s="1803">
        <v>0.26100000000000001</v>
      </c>
      <c r="T37" s="1804">
        <v>1</v>
      </c>
      <c r="V37" s="265" t="s">
        <v>1126</v>
      </c>
      <c r="W37" s="1769"/>
      <c r="X37" s="1801">
        <v>0.218</v>
      </c>
      <c r="Y37" s="1802">
        <v>0.32500000000000001</v>
      </c>
      <c r="Z37" s="1802">
        <v>0.24399999999999999</v>
      </c>
      <c r="AA37" s="1803">
        <v>0.21299999999999999</v>
      </c>
      <c r="AB37" s="1801">
        <v>0.73399999999999999</v>
      </c>
      <c r="AC37" s="1803">
        <v>0.26600000000000001</v>
      </c>
      <c r="AD37" s="1804">
        <v>1</v>
      </c>
      <c r="AF37" s="265" t="s">
        <v>1126</v>
      </c>
      <c r="AG37" s="1769"/>
      <c r="AH37" s="1801">
        <v>0.216</v>
      </c>
      <c r="AI37" s="1802">
        <v>0.32600000000000001</v>
      </c>
      <c r="AJ37" s="1802">
        <v>0.24299999999999999</v>
      </c>
      <c r="AK37" s="1803">
        <v>0.216</v>
      </c>
      <c r="AL37" s="1801">
        <v>0.73099999999999998</v>
      </c>
      <c r="AM37" s="1803">
        <v>0.26900000000000002</v>
      </c>
      <c r="AN37" s="1804">
        <v>1</v>
      </c>
      <c r="AP37" s="265" t="s">
        <v>1126</v>
      </c>
      <c r="AQ37" s="1769"/>
      <c r="AR37" s="1801">
        <v>0.21299999999999999</v>
      </c>
      <c r="AS37" s="1802">
        <v>0.32700000000000001</v>
      </c>
      <c r="AT37" s="1802">
        <v>0.24099999999999999</v>
      </c>
      <c r="AU37" s="1803">
        <v>0.219</v>
      </c>
      <c r="AV37" s="1801">
        <v>0.72799999999999998</v>
      </c>
      <c r="AW37" s="1803">
        <v>0.27200000000000002</v>
      </c>
      <c r="AX37" s="1804">
        <v>1</v>
      </c>
      <c r="AZ37" s="265" t="s">
        <v>1126</v>
      </c>
      <c r="BA37" s="1769"/>
      <c r="BB37" s="1801">
        <v>0.21199999999999999</v>
      </c>
      <c r="BC37" s="1802">
        <v>0.32700000000000001</v>
      </c>
      <c r="BD37" s="1802">
        <v>0.24</v>
      </c>
      <c r="BE37" s="1803">
        <v>0.221</v>
      </c>
      <c r="BF37" s="1801">
        <v>0.72599999999999998</v>
      </c>
      <c r="BG37" s="1803">
        <v>0.27400000000000002</v>
      </c>
      <c r="BH37" s="1804">
        <v>1</v>
      </c>
    </row>
    <row r="38" spans="1:60" ht="13.5" customHeight="1">
      <c r="A38" s="265" t="s">
        <v>1127</v>
      </c>
      <c r="B38" s="1769"/>
      <c r="C38" s="1769"/>
      <c r="D38" s="1801">
        <v>0.20899999999999999</v>
      </c>
      <c r="E38" s="1802">
        <v>0.34399999999999997</v>
      </c>
      <c r="F38" s="1802">
        <v>0.25600000000000001</v>
      </c>
      <c r="G38" s="1803">
        <v>0.191</v>
      </c>
      <c r="H38" s="1801">
        <v>0.73699999999999999</v>
      </c>
      <c r="I38" s="1803">
        <v>0.26300000000000001</v>
      </c>
      <c r="J38" s="1804">
        <v>1</v>
      </c>
      <c r="L38" s="265" t="s">
        <v>1127</v>
      </c>
      <c r="M38" s="1769"/>
      <c r="N38" s="1801">
        <v>0.20799999999999999</v>
      </c>
      <c r="O38" s="1802">
        <v>0.34499999999999997</v>
      </c>
      <c r="P38" s="1802">
        <v>0.255</v>
      </c>
      <c r="Q38" s="1803">
        <v>0.191</v>
      </c>
      <c r="R38" s="1801">
        <v>0.73599999999999999</v>
      </c>
      <c r="S38" s="1803">
        <v>0.26400000000000001</v>
      </c>
      <c r="T38" s="1804">
        <v>1</v>
      </c>
      <c r="V38" s="265" t="s">
        <v>1127</v>
      </c>
      <c r="W38" s="1769"/>
      <c r="X38" s="1801">
        <v>0.20599999999999999</v>
      </c>
      <c r="Y38" s="1802">
        <v>0.34599999999999997</v>
      </c>
      <c r="Z38" s="1802">
        <v>0.254</v>
      </c>
      <c r="AA38" s="1803">
        <v>0.19400000000000001</v>
      </c>
      <c r="AB38" s="1801">
        <v>0.73199999999999998</v>
      </c>
      <c r="AC38" s="1803">
        <v>0.26800000000000002</v>
      </c>
      <c r="AD38" s="1804">
        <v>1</v>
      </c>
      <c r="AF38" s="265" t="s">
        <v>1127</v>
      </c>
      <c r="AG38" s="1769"/>
      <c r="AH38" s="1801">
        <v>0.20499999999999999</v>
      </c>
      <c r="AI38" s="1802">
        <v>0.34699999999999998</v>
      </c>
      <c r="AJ38" s="1802">
        <v>0.252</v>
      </c>
      <c r="AK38" s="1803">
        <v>0.19600000000000001</v>
      </c>
      <c r="AL38" s="1801">
        <v>0.72799999999999998</v>
      </c>
      <c r="AM38" s="1803">
        <v>0.27200000000000002</v>
      </c>
      <c r="AN38" s="1804">
        <v>1</v>
      </c>
      <c r="AP38" s="265" t="s">
        <v>1127</v>
      </c>
      <c r="AQ38" s="1769"/>
      <c r="AR38" s="1801">
        <v>0.20300000000000001</v>
      </c>
      <c r="AS38" s="1802">
        <v>0.34899999999999998</v>
      </c>
      <c r="AT38" s="1802">
        <v>0.25</v>
      </c>
      <c r="AU38" s="1803">
        <v>0.19800000000000001</v>
      </c>
      <c r="AV38" s="1801">
        <v>0.72499999999999998</v>
      </c>
      <c r="AW38" s="1803">
        <v>0.27500000000000002</v>
      </c>
      <c r="AX38" s="1804">
        <v>1</v>
      </c>
      <c r="AZ38" s="265" t="s">
        <v>1127</v>
      </c>
      <c r="BA38" s="1769"/>
      <c r="BB38" s="1801">
        <v>0.20200000000000001</v>
      </c>
      <c r="BC38" s="1802">
        <v>0.34899999999999998</v>
      </c>
      <c r="BD38" s="1802">
        <v>0.249</v>
      </c>
      <c r="BE38" s="1803">
        <v>0.2</v>
      </c>
      <c r="BF38" s="1801">
        <v>0.72299999999999998</v>
      </c>
      <c r="BG38" s="1803">
        <v>0.27700000000000002</v>
      </c>
      <c r="BH38" s="1804">
        <v>1</v>
      </c>
    </row>
    <row r="39" spans="1:60" ht="13.5" customHeight="1">
      <c r="A39" s="265" t="s">
        <v>1128</v>
      </c>
      <c r="B39" s="1769"/>
      <c r="C39" s="1769"/>
      <c r="D39" s="1801">
        <v>0.217</v>
      </c>
      <c r="E39" s="1802">
        <v>0.31900000000000001</v>
      </c>
      <c r="F39" s="1802">
        <v>0.255</v>
      </c>
      <c r="G39" s="1803">
        <v>0.20899999999999999</v>
      </c>
      <c r="H39" s="1801">
        <v>0.74399999999999999</v>
      </c>
      <c r="I39" s="1803">
        <v>0.25600000000000001</v>
      </c>
      <c r="J39" s="1804">
        <v>1</v>
      </c>
      <c r="L39" s="265" t="s">
        <v>1128</v>
      </c>
      <c r="M39" s="1769"/>
      <c r="N39" s="1801">
        <v>0.216</v>
      </c>
      <c r="O39" s="1802">
        <v>0.32</v>
      </c>
      <c r="P39" s="1802">
        <v>0.254</v>
      </c>
      <c r="Q39" s="1803">
        <v>0.21</v>
      </c>
      <c r="R39" s="1801">
        <v>0.74399999999999999</v>
      </c>
      <c r="S39" s="1803">
        <v>0.25600000000000001</v>
      </c>
      <c r="T39" s="1804">
        <v>1</v>
      </c>
      <c r="V39" s="265" t="s">
        <v>1128</v>
      </c>
      <c r="W39" s="1769"/>
      <c r="X39" s="1801">
        <v>0.214</v>
      </c>
      <c r="Y39" s="1802">
        <v>0.32</v>
      </c>
      <c r="Z39" s="1802">
        <v>0.252</v>
      </c>
      <c r="AA39" s="1803">
        <v>0.214</v>
      </c>
      <c r="AB39" s="1801">
        <v>0.74</v>
      </c>
      <c r="AC39" s="1803">
        <v>0.26</v>
      </c>
      <c r="AD39" s="1804">
        <v>1</v>
      </c>
      <c r="AF39" s="265" t="s">
        <v>1128</v>
      </c>
      <c r="AG39" s="1769"/>
      <c r="AH39" s="1801">
        <v>0.21199999999999999</v>
      </c>
      <c r="AI39" s="1802">
        <v>0.32</v>
      </c>
      <c r="AJ39" s="1802">
        <v>0.25</v>
      </c>
      <c r="AK39" s="1803">
        <v>0.218</v>
      </c>
      <c r="AL39" s="1801">
        <v>0.73499999999999999</v>
      </c>
      <c r="AM39" s="1803">
        <v>0.26500000000000001</v>
      </c>
      <c r="AN39" s="1804">
        <v>1</v>
      </c>
      <c r="AP39" s="265" t="s">
        <v>1128</v>
      </c>
      <c r="AQ39" s="1769"/>
      <c r="AR39" s="1801">
        <v>0.21</v>
      </c>
      <c r="AS39" s="1802">
        <v>0.32100000000000001</v>
      </c>
      <c r="AT39" s="1802">
        <v>0.248</v>
      </c>
      <c r="AU39" s="1803">
        <v>0.221</v>
      </c>
      <c r="AV39" s="1801">
        <v>0.73199999999999998</v>
      </c>
      <c r="AW39" s="1803">
        <v>0.26800000000000002</v>
      </c>
      <c r="AX39" s="1804">
        <v>1</v>
      </c>
      <c r="AZ39" s="265" t="s">
        <v>1128</v>
      </c>
      <c r="BA39" s="1769"/>
      <c r="BB39" s="1801">
        <v>0.20899999999999999</v>
      </c>
      <c r="BC39" s="1802">
        <v>0.32</v>
      </c>
      <c r="BD39" s="1802">
        <v>0.247</v>
      </c>
      <c r="BE39" s="1803">
        <v>0.224</v>
      </c>
      <c r="BF39" s="1801">
        <v>0.73</v>
      </c>
      <c r="BG39" s="1803">
        <v>0.27</v>
      </c>
      <c r="BH39" s="1804">
        <v>1</v>
      </c>
    </row>
    <row r="40" spans="1:60" ht="13.5" customHeight="1" thickBot="1">
      <c r="A40" s="259" t="s">
        <v>1129</v>
      </c>
      <c r="B40" s="1774"/>
      <c r="C40" s="1774"/>
      <c r="D40" s="1805">
        <v>0.214</v>
      </c>
      <c r="E40" s="1806">
        <v>0.32400000000000001</v>
      </c>
      <c r="F40" s="1806">
        <v>0.26</v>
      </c>
      <c r="G40" s="1807">
        <v>0.20100000000000001</v>
      </c>
      <c r="H40" s="1805">
        <v>0.746</v>
      </c>
      <c r="I40" s="1807">
        <v>0.254</v>
      </c>
      <c r="J40" s="1808">
        <v>1</v>
      </c>
      <c r="L40" s="259" t="s">
        <v>1129</v>
      </c>
      <c r="M40" s="1774"/>
      <c r="N40" s="1805">
        <v>0.21299999999999999</v>
      </c>
      <c r="O40" s="1806">
        <v>0.32500000000000001</v>
      </c>
      <c r="P40" s="1806">
        <v>0.26</v>
      </c>
      <c r="Q40" s="1807">
        <v>0.20200000000000001</v>
      </c>
      <c r="R40" s="1805">
        <v>0.746</v>
      </c>
      <c r="S40" s="1807">
        <v>0.254</v>
      </c>
      <c r="T40" s="1808">
        <v>1</v>
      </c>
      <c r="V40" s="259" t="s">
        <v>1129</v>
      </c>
      <c r="W40" s="1774"/>
      <c r="X40" s="1805">
        <v>0.21099999999999999</v>
      </c>
      <c r="Y40" s="1806">
        <v>0.32500000000000001</v>
      </c>
      <c r="Z40" s="1806">
        <v>0.25700000000000001</v>
      </c>
      <c r="AA40" s="1807">
        <v>0.20599999999999999</v>
      </c>
      <c r="AB40" s="1805">
        <v>0.74199999999999999</v>
      </c>
      <c r="AC40" s="1807">
        <v>0.25800000000000001</v>
      </c>
      <c r="AD40" s="1808">
        <v>1</v>
      </c>
      <c r="AF40" s="259" t="s">
        <v>1129</v>
      </c>
      <c r="AG40" s="1774"/>
      <c r="AH40" s="1805">
        <v>0.20899999999999999</v>
      </c>
      <c r="AI40" s="1806">
        <v>0.32600000000000001</v>
      </c>
      <c r="AJ40" s="1806">
        <v>0.255</v>
      </c>
      <c r="AK40" s="1807">
        <v>0.21</v>
      </c>
      <c r="AL40" s="1805">
        <v>0.73799999999999999</v>
      </c>
      <c r="AM40" s="1807">
        <v>0.26200000000000001</v>
      </c>
      <c r="AN40" s="1808">
        <v>1</v>
      </c>
      <c r="AP40" s="259" t="s">
        <v>1129</v>
      </c>
      <c r="AQ40" s="1774"/>
      <c r="AR40" s="1805">
        <v>0.20699999999999999</v>
      </c>
      <c r="AS40" s="1806">
        <v>0.32600000000000001</v>
      </c>
      <c r="AT40" s="1806">
        <v>0.253</v>
      </c>
      <c r="AU40" s="1807">
        <v>0.21299999999999999</v>
      </c>
      <c r="AV40" s="1805">
        <v>0.73499999999999999</v>
      </c>
      <c r="AW40" s="1807">
        <v>0.26500000000000001</v>
      </c>
      <c r="AX40" s="1808">
        <v>1</v>
      </c>
      <c r="AZ40" s="259" t="s">
        <v>1129</v>
      </c>
      <c r="BA40" s="1774"/>
      <c r="BB40" s="1805">
        <v>0.20599999999999999</v>
      </c>
      <c r="BC40" s="1806">
        <v>0.32600000000000001</v>
      </c>
      <c r="BD40" s="1806">
        <v>0.252</v>
      </c>
      <c r="BE40" s="1807">
        <v>0.216</v>
      </c>
      <c r="BF40" s="1805">
        <v>0.73299999999999998</v>
      </c>
      <c r="BG40" s="1807">
        <v>0.26700000000000002</v>
      </c>
      <c r="BH40" s="1808">
        <v>1</v>
      </c>
    </row>
    <row r="41" spans="1:60" ht="13.5" customHeight="1" thickTop="1"/>
  </sheetData>
  <sheetProtection sheet="1" objects="1" scenarios="1"/>
  <mergeCells count="12">
    <mergeCell ref="A11:B11"/>
    <mergeCell ref="A12:B12"/>
    <mergeCell ref="F6:T6"/>
    <mergeCell ref="A7:B7"/>
    <mergeCell ref="A8:B8"/>
    <mergeCell ref="A10:B10"/>
    <mergeCell ref="AP1:AX1"/>
    <mergeCell ref="AZ1:BH1"/>
    <mergeCell ref="D1:J1"/>
    <mergeCell ref="L1:T1"/>
    <mergeCell ref="V1:AD1"/>
    <mergeCell ref="AF1:AN1"/>
  </mergeCells>
  <phoneticPr fontId="0" type="noConversion"/>
  <hyperlinks>
    <hyperlink ref="A18" location="'Car Traffic Shares'!D1" tooltip="2010" display="'Car Traffic Shares'!D1"/>
    <hyperlink ref="B18" location="'Car Traffic Shares'!L1" tooltip="2015" display="'Car Traffic Shares'!L1"/>
    <hyperlink ref="A19" location="'Car Traffic Shares'!V1" tooltip="2020" display="'Car Traffic Shares'!V1"/>
    <hyperlink ref="B19" location="'Car Traffic Shares'!AF1" tooltip="2025" display="'Car Traffic Shares'!AF1"/>
    <hyperlink ref="A20" location="'Car Traffic Shares'!AP1" tooltip="2030" display="'Car Traffic Shares'!AP1"/>
    <hyperlink ref="B20" location="'Car Traffic Shares'!AZ1" tooltip="2035" display="'Car Traffic Shares'!AZ1"/>
    <hyperlink ref="A11" location="Contents!A1" display="Contents"/>
    <hyperlink ref="A11:B11" r:id="rId1" display="WebTAG Unit 3.13.2"/>
    <hyperlink ref="A10" location="Contents!A1" display="Contents"/>
    <hyperlink ref="A10:B10" location="Contents!A1" tooltip="Contents page" display="Contents"/>
    <hyperlink ref="A12:B12" r:id="rId2" tooltip="Unit A5.4 Marginal External Congestion Costs" display="WebTAG Unit A 5.4"/>
  </hyperlinks>
  <pageMargins left="0.75" right="0.75" top="1" bottom="1" header="0.5" footer="0.5"/>
  <pageSetup paperSize="9" orientation="portrait" r:id="rId3"/>
  <headerFooter alignWithMargins="0"/>
  <drawing r:id="rId4"/>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tabColor indexed="17"/>
    <pageSetUpPr fitToPage="1"/>
  </sheetPr>
  <dimension ref="A1:BH130"/>
  <sheetViews>
    <sheetView showGridLines="0" topLeftCell="A13" zoomScale="85" zoomScaleNormal="85" workbookViewId="0">
      <selection activeCell="B16" sqref="B16"/>
    </sheetView>
  </sheetViews>
  <sheetFormatPr defaultColWidth="12.88671875" defaultRowHeight="13.5" customHeight="1"/>
  <cols>
    <col min="1" max="16384" width="12.88671875" style="1327"/>
  </cols>
  <sheetData>
    <row r="1" spans="1:60" s="240" customFormat="1" ht="54.9" customHeight="1">
      <c r="A1" s="245"/>
      <c r="D1" s="3861"/>
      <c r="E1" s="3689"/>
      <c r="F1" s="3689"/>
      <c r="G1" s="3689"/>
      <c r="H1" s="3689"/>
      <c r="I1" s="3689"/>
      <c r="J1" s="3689"/>
      <c r="K1" s="237"/>
      <c r="L1" s="3821"/>
      <c r="M1" s="3821"/>
      <c r="N1" s="3821"/>
      <c r="O1" s="3821"/>
      <c r="P1" s="3821"/>
      <c r="Q1" s="3821"/>
      <c r="R1" s="3821"/>
      <c r="S1" s="3821"/>
      <c r="T1" s="3821"/>
      <c r="V1" s="3821"/>
      <c r="W1" s="3821"/>
      <c r="X1" s="3821"/>
      <c r="Y1" s="3821"/>
      <c r="Z1" s="3821"/>
      <c r="AA1" s="3821"/>
      <c r="AB1" s="3821"/>
      <c r="AC1" s="3821"/>
      <c r="AD1" s="3821"/>
      <c r="AF1" s="3821"/>
      <c r="AG1" s="3821"/>
      <c r="AH1" s="3821"/>
      <c r="AI1" s="3821"/>
      <c r="AJ1" s="3821"/>
      <c r="AK1" s="3821"/>
      <c r="AL1" s="3821"/>
      <c r="AM1" s="3821"/>
      <c r="AN1" s="3821"/>
      <c r="AP1" s="3821"/>
      <c r="AQ1" s="3821"/>
      <c r="AR1" s="3821"/>
      <c r="AS1" s="3821"/>
      <c r="AT1" s="3821"/>
      <c r="AU1" s="3821"/>
      <c r="AV1" s="3821"/>
      <c r="AW1" s="3821"/>
      <c r="AX1" s="3821"/>
      <c r="AZ1" s="3821"/>
      <c r="BA1" s="3821"/>
      <c r="BB1" s="3821"/>
      <c r="BC1" s="3821"/>
      <c r="BD1" s="3821"/>
      <c r="BE1" s="3821"/>
      <c r="BF1" s="3821"/>
      <c r="BG1" s="3821"/>
      <c r="BH1" s="3821"/>
    </row>
    <row r="2" spans="1:60" s="262" customFormat="1" ht="5.0999999999999996" customHeight="1">
      <c r="E2" s="260"/>
      <c r="G2" s="260"/>
      <c r="J2" s="260"/>
      <c r="K2" s="260"/>
    </row>
    <row r="3" spans="1:60" s="262" customFormat="1" ht="20.100000000000001" customHeight="1">
      <c r="A3" s="262" t="s">
        <v>2323</v>
      </c>
      <c r="B3" s="1717"/>
      <c r="C3" s="1717"/>
      <c r="D3" s="1718"/>
      <c r="E3" s="271"/>
      <c r="F3" s="260"/>
      <c r="G3" s="261"/>
      <c r="K3" s="260"/>
    </row>
    <row r="4" spans="1:60" s="237" customFormat="1" ht="20.100000000000001" customHeight="1" thickBot="1">
      <c r="A4" s="1719" t="s">
        <v>1282</v>
      </c>
      <c r="B4" s="263"/>
      <c r="C4" s="263"/>
      <c r="D4" s="263"/>
      <c r="E4" s="1720"/>
      <c r="F4" s="263"/>
      <c r="G4" s="263"/>
      <c r="H4" s="1720"/>
      <c r="I4" s="1720"/>
      <c r="J4" s="263"/>
      <c r="K4" s="263"/>
      <c r="L4" s="263"/>
      <c r="M4" s="263"/>
      <c r="N4" s="263"/>
      <c r="O4" s="263"/>
      <c r="P4" s="263"/>
      <c r="Q4" s="263"/>
      <c r="R4" s="263"/>
      <c r="S4" s="263"/>
      <c r="T4" s="263"/>
    </row>
    <row r="5" spans="1:60" s="240" customFormat="1" ht="9.9" customHeight="1" thickTop="1" thickBot="1">
      <c r="D5" s="1393"/>
      <c r="F5" s="1721"/>
      <c r="H5" s="245"/>
      <c r="I5" s="245"/>
      <c r="K5" s="237"/>
      <c r="T5" s="290"/>
    </row>
    <row r="6" spans="1:60" s="240" customFormat="1" ht="13.5" customHeight="1" thickTop="1">
      <c r="A6" s="169" t="s">
        <v>10</v>
      </c>
      <c r="B6" s="169"/>
      <c r="C6" s="28"/>
      <c r="E6" s="174" t="s">
        <v>255</v>
      </c>
      <c r="F6" s="328"/>
      <c r="G6" s="328"/>
      <c r="H6" s="328"/>
      <c r="I6" s="328"/>
      <c r="J6" s="328"/>
      <c r="K6" s="328"/>
      <c r="L6" s="328"/>
      <c r="M6" s="328"/>
      <c r="N6" s="328"/>
      <c r="O6" s="328"/>
      <c r="P6" s="328"/>
      <c r="Q6" s="328"/>
      <c r="R6" s="328"/>
      <c r="S6" s="328"/>
      <c r="T6" s="294"/>
    </row>
    <row r="7" spans="1:60" s="240" customFormat="1" ht="13.5" customHeight="1">
      <c r="A7" s="3636" t="str">
        <f>Audit!A12</f>
        <v>May 2019 v1.12</v>
      </c>
      <c r="B7" s="3637"/>
      <c r="C7" s="32"/>
      <c r="D7" s="247"/>
      <c r="E7" s="237" t="s">
        <v>1191</v>
      </c>
      <c r="G7" s="236"/>
      <c r="H7" s="237"/>
      <c r="I7" s="237"/>
      <c r="J7" s="237"/>
      <c r="K7" s="237"/>
      <c r="L7" s="237"/>
      <c r="M7" s="237"/>
      <c r="N7" s="237"/>
      <c r="O7" s="237"/>
      <c r="P7" s="237"/>
      <c r="Q7" s="237"/>
      <c r="R7" s="237"/>
      <c r="S7" s="237"/>
      <c r="T7" s="247"/>
    </row>
    <row r="8" spans="1:60" s="240" customFormat="1" ht="13.5" customHeight="1">
      <c r="A8" s="3630">
        <f>Audit!C12</f>
        <v>43586</v>
      </c>
      <c r="B8" s="3631"/>
      <c r="C8" s="32"/>
      <c r="D8" s="272"/>
      <c r="E8" s="240" t="s">
        <v>1023</v>
      </c>
      <c r="G8" s="266"/>
      <c r="H8" s="237"/>
      <c r="I8" s="237"/>
      <c r="J8" s="237"/>
      <c r="K8" s="237"/>
      <c r="L8" s="237"/>
      <c r="M8" s="237"/>
      <c r="N8" s="237"/>
      <c r="O8" s="237"/>
      <c r="P8" s="237"/>
      <c r="Q8" s="237"/>
      <c r="R8" s="237"/>
      <c r="S8" s="237"/>
      <c r="T8" s="247"/>
    </row>
    <row r="9" spans="1:60" s="240" customFormat="1" ht="13.5" customHeight="1" thickBot="1">
      <c r="A9" s="169" t="s">
        <v>14</v>
      </c>
      <c r="B9" s="169"/>
      <c r="D9" s="272"/>
      <c r="G9" s="237"/>
      <c r="H9" s="237"/>
      <c r="I9" s="237"/>
      <c r="J9" s="237"/>
      <c r="K9" s="237"/>
      <c r="L9" s="237"/>
      <c r="M9" s="237"/>
      <c r="N9" s="237"/>
      <c r="O9" s="237"/>
      <c r="P9" s="237"/>
      <c r="Q9" s="237"/>
      <c r="R9" s="237"/>
      <c r="S9" s="237"/>
      <c r="T9" s="247"/>
    </row>
    <row r="10" spans="1:60" s="240" customFormat="1" ht="13.5" customHeight="1" thickBot="1">
      <c r="A10" s="3570" t="s">
        <v>1306</v>
      </c>
      <c r="B10" s="3610"/>
      <c r="D10" s="272"/>
      <c r="G10" s="237"/>
      <c r="H10" s="237"/>
      <c r="I10" s="237"/>
      <c r="J10" s="237"/>
      <c r="K10" s="237"/>
      <c r="L10" s="237"/>
      <c r="M10" s="237"/>
      <c r="N10" s="237"/>
      <c r="O10" s="237"/>
      <c r="P10" s="237"/>
      <c r="Q10" s="237"/>
      <c r="R10" s="237"/>
      <c r="S10" s="237"/>
      <c r="T10" s="247"/>
    </row>
    <row r="11" spans="1:60" s="240" customFormat="1" ht="13.5" customHeight="1" thickBot="1">
      <c r="A11" s="3570" t="s">
        <v>2314</v>
      </c>
      <c r="B11" s="3581"/>
      <c r="D11" s="272"/>
      <c r="G11" s="267"/>
      <c r="H11" s="267"/>
      <c r="I11" s="267"/>
      <c r="J11" s="267"/>
      <c r="K11" s="267"/>
      <c r="L11" s="267"/>
      <c r="M11" s="267"/>
      <c r="N11" s="267"/>
      <c r="O11" s="267"/>
      <c r="P11" s="267"/>
      <c r="Q11" s="267"/>
      <c r="R11" s="267"/>
      <c r="S11" s="267"/>
      <c r="T11" s="1319"/>
    </row>
    <row r="12" spans="1:60" s="240" customFormat="1" ht="13.5" customHeight="1" thickBot="1">
      <c r="A12" s="3570" t="s">
        <v>2315</v>
      </c>
      <c r="B12" s="3581"/>
      <c r="D12" s="272"/>
      <c r="G12" s="237"/>
      <c r="H12" s="237"/>
      <c r="I12" s="237"/>
      <c r="J12" s="237"/>
      <c r="K12" s="237"/>
      <c r="L12" s="237"/>
      <c r="M12" s="237"/>
      <c r="N12" s="237"/>
      <c r="O12" s="237"/>
      <c r="P12" s="237"/>
      <c r="Q12" s="237"/>
      <c r="R12" s="237"/>
      <c r="S12" s="237"/>
      <c r="T12" s="247"/>
    </row>
    <row r="13" spans="1:60" s="240" customFormat="1" ht="13.5" customHeight="1">
      <c r="A13" s="169" t="s">
        <v>252</v>
      </c>
      <c r="B13" s="169"/>
      <c r="C13" s="28"/>
      <c r="D13" s="272"/>
      <c r="G13" s="237"/>
      <c r="H13" s="237"/>
      <c r="I13" s="237"/>
      <c r="J13" s="237"/>
      <c r="K13" s="237"/>
      <c r="L13" s="237"/>
      <c r="M13" s="237"/>
      <c r="N13" s="237"/>
      <c r="O13" s="237"/>
      <c r="P13" s="237"/>
      <c r="Q13" s="237"/>
      <c r="R13" s="237"/>
      <c r="S13" s="237"/>
      <c r="T13" s="247"/>
    </row>
    <row r="14" spans="1:60" s="240" customFormat="1" ht="13.5" customHeight="1">
      <c r="A14" s="2458" t="s">
        <v>799</v>
      </c>
      <c r="B14" s="2459">
        <f>'User Parameters'!L13</f>
        <v>2010</v>
      </c>
      <c r="C14" s="32"/>
      <c r="D14" s="272"/>
      <c r="G14" s="237"/>
      <c r="H14" s="237"/>
      <c r="I14" s="237"/>
      <c r="J14" s="237"/>
      <c r="K14" s="237"/>
      <c r="L14" s="237"/>
      <c r="M14" s="237"/>
      <c r="N14" s="237"/>
      <c r="O14" s="237"/>
      <c r="P14" s="237"/>
      <c r="Q14" s="237"/>
      <c r="R14" s="237"/>
      <c r="S14" s="237"/>
      <c r="T14" s="247"/>
    </row>
    <row r="15" spans="1:60" s="240" customFormat="1" ht="13.5" customHeight="1">
      <c r="A15" s="2460"/>
      <c r="B15" s="2461"/>
      <c r="C15" s="32"/>
      <c r="D15" s="272"/>
      <c r="G15" s="237"/>
      <c r="H15" s="237"/>
      <c r="I15" s="237"/>
      <c r="J15" s="237"/>
      <c r="K15" s="237"/>
      <c r="L15" s="237"/>
      <c r="M15" s="237"/>
      <c r="N15" s="237"/>
      <c r="O15" s="237"/>
      <c r="P15" s="237"/>
      <c r="Q15" s="237"/>
      <c r="R15" s="237"/>
      <c r="S15" s="237"/>
      <c r="T15" s="247"/>
    </row>
    <row r="16" spans="1:60" s="240" customFormat="1" ht="13.5" customHeight="1">
      <c r="A16" s="2460" t="s">
        <v>370</v>
      </c>
      <c r="B16" s="2462">
        <f>'MECs - time of day'!B16</f>
        <v>2010</v>
      </c>
      <c r="C16" s="1990"/>
      <c r="D16" s="272"/>
      <c r="G16" s="237"/>
      <c r="H16" s="237"/>
      <c r="I16" s="237"/>
      <c r="J16" s="237"/>
      <c r="K16" s="237"/>
      <c r="L16" s="237"/>
      <c r="M16" s="237"/>
      <c r="N16" s="237"/>
      <c r="O16" s="237"/>
      <c r="P16" s="237"/>
      <c r="Q16" s="237"/>
      <c r="R16" s="237"/>
      <c r="S16" s="237"/>
      <c r="T16" s="247"/>
    </row>
    <row r="17" spans="1:60" s="240" customFormat="1" ht="13.5" customHeight="1" thickBot="1">
      <c r="A17" s="169" t="s">
        <v>253</v>
      </c>
      <c r="B17" s="169"/>
      <c r="C17" s="28"/>
      <c r="D17" s="272"/>
      <c r="G17" s="237"/>
      <c r="H17" s="237"/>
      <c r="I17" s="237"/>
      <c r="J17" s="237"/>
      <c r="K17" s="237"/>
      <c r="L17" s="237"/>
      <c r="M17" s="237"/>
      <c r="N17" s="237"/>
      <c r="O17" s="237"/>
      <c r="P17" s="237"/>
      <c r="Q17" s="237"/>
      <c r="R17" s="237"/>
      <c r="S17" s="237"/>
      <c r="T17" s="247"/>
    </row>
    <row r="18" spans="1:60" s="240" customFormat="1" ht="13.5" customHeight="1" thickBot="1">
      <c r="A18" s="2414">
        <v>2010</v>
      </c>
      <c r="B18" s="2414">
        <v>2015</v>
      </c>
      <c r="C18" s="31"/>
      <c r="D18" s="272"/>
      <c r="G18" s="237"/>
      <c r="H18" s="237"/>
      <c r="I18" s="237"/>
      <c r="J18" s="237"/>
      <c r="K18" s="237"/>
      <c r="L18" s="237"/>
      <c r="M18" s="237"/>
      <c r="N18" s="237"/>
      <c r="O18" s="237"/>
      <c r="P18" s="237"/>
      <c r="Q18" s="237"/>
      <c r="R18" s="237"/>
      <c r="S18" s="237"/>
      <c r="T18" s="247"/>
    </row>
    <row r="19" spans="1:60" s="240" customFormat="1" ht="13.5" customHeight="1" thickBot="1">
      <c r="A19" s="2414">
        <v>2020</v>
      </c>
      <c r="B19" s="2414">
        <v>2025</v>
      </c>
      <c r="C19" s="31"/>
      <c r="D19" s="272"/>
      <c r="E19" s="240" t="s">
        <v>2383</v>
      </c>
      <c r="G19" s="237"/>
      <c r="H19" s="237"/>
      <c r="I19" s="237"/>
      <c r="J19" s="237"/>
      <c r="K19" s="237"/>
      <c r="L19" s="237"/>
      <c r="M19" s="237"/>
      <c r="N19" s="237"/>
      <c r="O19" s="237"/>
      <c r="P19" s="237"/>
      <c r="Q19" s="237"/>
      <c r="R19" s="237"/>
      <c r="S19" s="237"/>
      <c r="T19" s="247"/>
    </row>
    <row r="20" spans="1:60" s="240" customFormat="1" ht="13.5" customHeight="1" thickBot="1">
      <c r="A20" s="2414">
        <v>2030</v>
      </c>
      <c r="B20" s="2414">
        <v>2035</v>
      </c>
      <c r="C20" s="31"/>
      <c r="D20" s="272"/>
      <c r="E20" s="259" t="s">
        <v>2321</v>
      </c>
      <c r="F20" s="246"/>
      <c r="G20" s="270"/>
      <c r="H20" s="270"/>
      <c r="I20" s="270"/>
      <c r="J20" s="270"/>
      <c r="K20" s="270"/>
      <c r="L20" s="270"/>
      <c r="M20" s="270"/>
      <c r="N20" s="270"/>
      <c r="O20" s="270"/>
      <c r="P20" s="270"/>
      <c r="Q20" s="270"/>
      <c r="R20" s="270"/>
      <c r="S20" s="270"/>
      <c r="T20" s="1322"/>
    </row>
    <row r="21" spans="1:60" s="240" customFormat="1" ht="13.5" customHeight="1">
      <c r="A21" s="2426"/>
      <c r="B21" s="2426"/>
      <c r="C21" s="31"/>
      <c r="D21" s="1393"/>
      <c r="E21" s="242"/>
      <c r="F21" s="1721"/>
      <c r="H21" s="245"/>
      <c r="I21" s="245"/>
      <c r="J21" s="1724"/>
      <c r="K21" s="237"/>
    </row>
    <row r="22" spans="1:60" s="240" customFormat="1" ht="13.5" customHeight="1" thickBot="1">
      <c r="A22" s="2037"/>
      <c r="D22" s="1393"/>
      <c r="E22" s="242"/>
      <c r="F22" s="1721"/>
      <c r="H22" s="245"/>
      <c r="I22" s="245"/>
      <c r="J22" s="1724"/>
      <c r="K22" s="237"/>
    </row>
    <row r="23" spans="1:60" ht="13.5" customHeight="1" thickTop="1" thickBot="1">
      <c r="A23" s="2036" t="s">
        <v>641</v>
      </c>
      <c r="B23" s="574"/>
      <c r="C23" s="574"/>
      <c r="D23" s="122" t="str">
        <f>"2010 Marginal External Congestion Costs - Cars (pence per km, £"&amp;$B$16&amp;", 1 d.p.)"</f>
        <v>2010 Marginal External Congestion Costs - Cars (pence per km, £2010, 1 d.p.)</v>
      </c>
      <c r="E23" s="574"/>
      <c r="F23" s="574"/>
      <c r="G23" s="574"/>
      <c r="H23" s="574"/>
      <c r="I23" s="574"/>
      <c r="J23" s="582"/>
      <c r="L23" s="122" t="str">
        <f>"2015 Marginal External Congestion Costs - Cars (pence per km, £"&amp;$B$16&amp;", 1 d.p.)"</f>
        <v>2015 Marginal External Congestion Costs - Cars (pence per km, £2010, 1 d.p.)</v>
      </c>
      <c r="M23" s="574"/>
      <c r="N23" s="574"/>
      <c r="O23" s="574"/>
      <c r="P23" s="574"/>
      <c r="Q23" s="574"/>
      <c r="R23" s="574"/>
      <c r="S23" s="574"/>
      <c r="T23" s="582"/>
      <c r="V23" s="122" t="str">
        <f>"2020 Marginal External Congestion Costs - Cars (pence per km, £"&amp;$B$16&amp;", 1 d.p.)"</f>
        <v>2020 Marginal External Congestion Costs - Cars (pence per km, £2010, 1 d.p.)</v>
      </c>
      <c r="W23" s="574"/>
      <c r="X23" s="574"/>
      <c r="Y23" s="574"/>
      <c r="Z23" s="574"/>
      <c r="AA23" s="574"/>
      <c r="AB23" s="574"/>
      <c r="AC23" s="574"/>
      <c r="AD23" s="582"/>
      <c r="AF23" s="122" t="str">
        <f>"2025 Marginal External Congestion Costs - Cars (pence per km, £"&amp;$B$16&amp;", 1 d.p.)"</f>
        <v>2025 Marginal External Congestion Costs - Cars (pence per km, £2010, 1 d.p.)</v>
      </c>
      <c r="AG23" s="574"/>
      <c r="AH23" s="574"/>
      <c r="AI23" s="574"/>
      <c r="AJ23" s="574"/>
      <c r="AK23" s="574"/>
      <c r="AL23" s="574"/>
      <c r="AM23" s="574"/>
      <c r="AN23" s="582"/>
      <c r="AP23" s="122" t="str">
        <f>"2030 Marginal External Congestion Costs - Cars (pence per km, £"&amp;$B$16&amp;", 1 d.p.)"</f>
        <v>2030 Marginal External Congestion Costs - Cars (pence per km, £2010, 1 d.p.)</v>
      </c>
      <c r="AQ23" s="574"/>
      <c r="AR23" s="574"/>
      <c r="AS23" s="574"/>
      <c r="AT23" s="574"/>
      <c r="AU23" s="574"/>
      <c r="AV23" s="574"/>
      <c r="AW23" s="574"/>
      <c r="AX23" s="582"/>
      <c r="AZ23" s="122" t="str">
        <f>"2035 Marginal External Congestion Costs - Cars (pence per km, £"&amp;$B$16&amp;", 1 d.p.)"</f>
        <v>2035 Marginal External Congestion Costs - Cars (pence per km, £2010, 1 d.p.)</v>
      </c>
      <c r="BA23" s="574"/>
      <c r="BB23" s="574"/>
      <c r="BC23" s="574"/>
      <c r="BD23" s="574"/>
      <c r="BE23" s="574"/>
      <c r="BF23" s="574"/>
      <c r="BG23" s="574"/>
      <c r="BH23" s="582"/>
    </row>
    <row r="24" spans="1:60" ht="13.5" customHeight="1" thickTop="1">
      <c r="A24" s="418"/>
      <c r="B24" s="1761"/>
      <c r="C24" s="1761"/>
      <c r="D24" s="418" t="s">
        <v>1084</v>
      </c>
      <c r="E24" s="1761" t="s">
        <v>1084</v>
      </c>
      <c r="F24" s="1761" t="s">
        <v>1084</v>
      </c>
      <c r="G24" s="498" t="s">
        <v>1084</v>
      </c>
      <c r="H24" s="1761"/>
      <c r="I24" s="498"/>
      <c r="J24" s="1137"/>
      <c r="L24" s="418"/>
      <c r="M24" s="1761"/>
      <c r="N24" s="418" t="s">
        <v>1084</v>
      </c>
      <c r="O24" s="1761" t="s">
        <v>1084</v>
      </c>
      <c r="P24" s="1761" t="s">
        <v>1084</v>
      </c>
      <c r="Q24" s="498" t="s">
        <v>1084</v>
      </c>
      <c r="R24" s="1761"/>
      <c r="S24" s="498"/>
      <c r="T24" s="1137"/>
      <c r="V24" s="418"/>
      <c r="W24" s="1761"/>
      <c r="X24" s="418" t="s">
        <v>1084</v>
      </c>
      <c r="Y24" s="1761" t="s">
        <v>1084</v>
      </c>
      <c r="Z24" s="1761" t="s">
        <v>1084</v>
      </c>
      <c r="AA24" s="498" t="s">
        <v>1084</v>
      </c>
      <c r="AB24" s="1761"/>
      <c r="AC24" s="498"/>
      <c r="AD24" s="1137"/>
      <c r="AF24" s="418"/>
      <c r="AG24" s="1761"/>
      <c r="AH24" s="418" t="s">
        <v>1084</v>
      </c>
      <c r="AI24" s="1761" t="s">
        <v>1084</v>
      </c>
      <c r="AJ24" s="1761" t="s">
        <v>1084</v>
      </c>
      <c r="AK24" s="498" t="s">
        <v>1084</v>
      </c>
      <c r="AL24" s="1761"/>
      <c r="AM24" s="498"/>
      <c r="AN24" s="1137"/>
      <c r="AP24" s="418"/>
      <c r="AQ24" s="1761"/>
      <c r="AR24" s="418" t="s">
        <v>1084</v>
      </c>
      <c r="AS24" s="1761" t="s">
        <v>1084</v>
      </c>
      <c r="AT24" s="1761" t="s">
        <v>1084</v>
      </c>
      <c r="AU24" s="498" t="s">
        <v>1084</v>
      </c>
      <c r="AV24" s="1761"/>
      <c r="AW24" s="498"/>
      <c r="AX24" s="1137"/>
      <c r="AZ24" s="418"/>
      <c r="BA24" s="1761"/>
      <c r="BB24" s="418" t="s">
        <v>1084</v>
      </c>
      <c r="BC24" s="1761" t="s">
        <v>1084</v>
      </c>
      <c r="BD24" s="1761" t="s">
        <v>1084</v>
      </c>
      <c r="BE24" s="498" t="s">
        <v>1084</v>
      </c>
      <c r="BF24" s="1761"/>
      <c r="BG24" s="498"/>
      <c r="BH24" s="1137"/>
    </row>
    <row r="25" spans="1:60" ht="13.5" customHeight="1">
      <c r="A25" s="1633"/>
      <c r="B25" s="286"/>
      <c r="C25" s="286"/>
      <c r="D25" s="420" t="s">
        <v>1086</v>
      </c>
      <c r="E25" s="286" t="s">
        <v>1087</v>
      </c>
      <c r="F25" s="286" t="s">
        <v>1088</v>
      </c>
      <c r="G25" s="285" t="s">
        <v>1419</v>
      </c>
      <c r="H25" s="286" t="s">
        <v>1084</v>
      </c>
      <c r="I25" s="285" t="s">
        <v>1085</v>
      </c>
      <c r="J25" s="1689" t="s">
        <v>1423</v>
      </c>
      <c r="L25" s="1633"/>
      <c r="M25" s="286"/>
      <c r="N25" s="420" t="s">
        <v>1086</v>
      </c>
      <c r="O25" s="286" t="s">
        <v>1087</v>
      </c>
      <c r="P25" s="286" t="s">
        <v>1088</v>
      </c>
      <c r="Q25" s="285" t="s">
        <v>1419</v>
      </c>
      <c r="R25" s="286" t="s">
        <v>1084</v>
      </c>
      <c r="S25" s="285" t="s">
        <v>1085</v>
      </c>
      <c r="T25" s="1689" t="s">
        <v>1423</v>
      </c>
      <c r="V25" s="1633"/>
      <c r="W25" s="286"/>
      <c r="X25" s="420" t="s">
        <v>1086</v>
      </c>
      <c r="Y25" s="286" t="s">
        <v>1087</v>
      </c>
      <c r="Z25" s="286" t="s">
        <v>1088</v>
      </c>
      <c r="AA25" s="285" t="s">
        <v>1419</v>
      </c>
      <c r="AB25" s="286" t="s">
        <v>1084</v>
      </c>
      <c r="AC25" s="285" t="s">
        <v>1085</v>
      </c>
      <c r="AD25" s="1689" t="s">
        <v>1423</v>
      </c>
      <c r="AF25" s="1633"/>
      <c r="AG25" s="286"/>
      <c r="AH25" s="420" t="s">
        <v>1086</v>
      </c>
      <c r="AI25" s="286" t="s">
        <v>1087</v>
      </c>
      <c r="AJ25" s="286" t="s">
        <v>1088</v>
      </c>
      <c r="AK25" s="285" t="s">
        <v>1419</v>
      </c>
      <c r="AL25" s="286" t="s">
        <v>1084</v>
      </c>
      <c r="AM25" s="285" t="s">
        <v>1085</v>
      </c>
      <c r="AN25" s="1689" t="s">
        <v>1423</v>
      </c>
      <c r="AP25" s="1633"/>
      <c r="AQ25" s="286"/>
      <c r="AR25" s="420" t="s">
        <v>1086</v>
      </c>
      <c r="AS25" s="286" t="s">
        <v>1087</v>
      </c>
      <c r="AT25" s="286" t="s">
        <v>1088</v>
      </c>
      <c r="AU25" s="285" t="s">
        <v>1419</v>
      </c>
      <c r="AV25" s="286" t="s">
        <v>1084</v>
      </c>
      <c r="AW25" s="285" t="s">
        <v>1085</v>
      </c>
      <c r="AX25" s="1689" t="s">
        <v>1423</v>
      </c>
      <c r="AZ25" s="1633"/>
      <c r="BA25" s="286"/>
      <c r="BB25" s="420" t="s">
        <v>1086</v>
      </c>
      <c r="BC25" s="286" t="s">
        <v>1087</v>
      </c>
      <c r="BD25" s="286" t="s">
        <v>1088</v>
      </c>
      <c r="BE25" s="285" t="s">
        <v>1419</v>
      </c>
      <c r="BF25" s="286" t="s">
        <v>1084</v>
      </c>
      <c r="BG25" s="285" t="s">
        <v>1085</v>
      </c>
      <c r="BH25" s="1689" t="s">
        <v>1423</v>
      </c>
    </row>
    <row r="26" spans="1:60" ht="13.5" customHeight="1" thickBot="1">
      <c r="A26" s="1762" t="s">
        <v>1082</v>
      </c>
      <c r="B26" s="1693"/>
      <c r="C26" s="1693"/>
      <c r="D26" s="1686" t="s">
        <v>458</v>
      </c>
      <c r="E26" s="1693" t="s">
        <v>459</v>
      </c>
      <c r="F26" s="1693" t="s">
        <v>460</v>
      </c>
      <c r="G26" s="668" t="s">
        <v>461</v>
      </c>
      <c r="H26" s="1693" t="s">
        <v>1422</v>
      </c>
      <c r="I26" s="668" t="s">
        <v>1422</v>
      </c>
      <c r="J26" s="668" t="s">
        <v>1422</v>
      </c>
      <c r="L26" s="1762" t="s">
        <v>1082</v>
      </c>
      <c r="M26" s="1693"/>
      <c r="N26" s="1686" t="s">
        <v>458</v>
      </c>
      <c r="O26" s="1693" t="s">
        <v>459</v>
      </c>
      <c r="P26" s="1693" t="s">
        <v>460</v>
      </c>
      <c r="Q26" s="668" t="s">
        <v>461</v>
      </c>
      <c r="R26" s="1693" t="s">
        <v>1422</v>
      </c>
      <c r="S26" s="668" t="s">
        <v>1422</v>
      </c>
      <c r="T26" s="668" t="s">
        <v>1422</v>
      </c>
      <c r="V26" s="1762" t="s">
        <v>1082</v>
      </c>
      <c r="W26" s="1693"/>
      <c r="X26" s="1686" t="s">
        <v>458</v>
      </c>
      <c r="Y26" s="1693" t="s">
        <v>459</v>
      </c>
      <c r="Z26" s="1693" t="s">
        <v>460</v>
      </c>
      <c r="AA26" s="668" t="s">
        <v>461</v>
      </c>
      <c r="AB26" s="1693" t="s">
        <v>1422</v>
      </c>
      <c r="AC26" s="668" t="s">
        <v>1422</v>
      </c>
      <c r="AD26" s="668" t="s">
        <v>1422</v>
      </c>
      <c r="AF26" s="1762" t="s">
        <v>1082</v>
      </c>
      <c r="AG26" s="1693"/>
      <c r="AH26" s="1686" t="s">
        <v>458</v>
      </c>
      <c r="AI26" s="1693" t="s">
        <v>459</v>
      </c>
      <c r="AJ26" s="1693" t="s">
        <v>460</v>
      </c>
      <c r="AK26" s="668" t="s">
        <v>461</v>
      </c>
      <c r="AL26" s="1693" t="s">
        <v>1422</v>
      </c>
      <c r="AM26" s="668" t="s">
        <v>1422</v>
      </c>
      <c r="AN26" s="668" t="s">
        <v>1422</v>
      </c>
      <c r="AP26" s="1762" t="s">
        <v>1082</v>
      </c>
      <c r="AQ26" s="1693"/>
      <c r="AR26" s="1686" t="s">
        <v>458</v>
      </c>
      <c r="AS26" s="1693" t="s">
        <v>459</v>
      </c>
      <c r="AT26" s="1693" t="s">
        <v>460</v>
      </c>
      <c r="AU26" s="668" t="s">
        <v>461</v>
      </c>
      <c r="AV26" s="1693" t="s">
        <v>1422</v>
      </c>
      <c r="AW26" s="668" t="s">
        <v>1422</v>
      </c>
      <c r="AX26" s="668" t="s">
        <v>1422</v>
      </c>
      <c r="AZ26" s="1762" t="s">
        <v>1082</v>
      </c>
      <c r="BA26" s="1693"/>
      <c r="BB26" s="1686" t="s">
        <v>458</v>
      </c>
      <c r="BC26" s="1693" t="s">
        <v>459</v>
      </c>
      <c r="BD26" s="1693" t="s">
        <v>460</v>
      </c>
      <c r="BE26" s="668" t="s">
        <v>461</v>
      </c>
      <c r="BF26" s="1693" t="s">
        <v>1422</v>
      </c>
      <c r="BG26" s="668" t="s">
        <v>1422</v>
      </c>
      <c r="BH26" s="668" t="s">
        <v>1422</v>
      </c>
    </row>
    <row r="27" spans="1:60" ht="13.5" customHeight="1" thickTop="1">
      <c r="A27" s="1763" t="s">
        <v>856</v>
      </c>
      <c r="B27" s="1764"/>
      <c r="C27" s="1764"/>
      <c r="D27" s="1829">
        <f>'MECs - time of day'!D27*VLOOKUP($B$14,'Annual Parameters'!$B$33:$W$143,3,FALSE)/VLOOKUP($B$16,'Annual Parameters'!$B$33:$W$143,3,FALSE)</f>
        <v>14.880778054816718</v>
      </c>
      <c r="E27" s="1830">
        <f>'MECs - time of day'!E27*VLOOKUP($B$14,'Annual Parameters'!$B$33:$W$143,3,FALSE)/VLOOKUP($B$16,'Annual Parameters'!$B$33:$W$143,3,FALSE)</f>
        <v>9.5498605567624608</v>
      </c>
      <c r="F27" s="1830">
        <f>'MECs - time of day'!F27*VLOOKUP($B$14,'Annual Parameters'!$B$33:$W$143,3,FALSE)/VLOOKUP($B$16,'Annual Parameters'!$B$33:$W$143,3,FALSE)</f>
        <v>16.472580613356719</v>
      </c>
      <c r="G27" s="1831">
        <f>'MECs - time of day'!G27*VLOOKUP($B$14,'Annual Parameters'!$B$33:$W$143,3,FALSE)/VLOOKUP($B$16,'Annual Parameters'!$B$33:$W$143,3,FALSE)</f>
        <v>4.2915434480616126</v>
      </c>
      <c r="H27" s="1829">
        <f>'MECs - time of day'!H27*VLOOKUP($B$14,'Annual Parameters'!$B$33:$W$143,3,FALSE)/VLOOKUP($B$16,'Annual Parameters'!$B$33:$W$143,3,FALSE)</f>
        <v>11.280831284213486</v>
      </c>
      <c r="I27" s="1831">
        <f>'MECs - time of day'!I27*VLOOKUP($B$14,'Annual Parameters'!$B$33:$W$143,3,FALSE)/VLOOKUP($B$16,'Annual Parameters'!$B$33:$W$143,3,FALSE)</f>
        <v>9.7919807148315527</v>
      </c>
      <c r="J27" s="3311">
        <f>'MECs - time of day'!J27*VLOOKUP($B$14,'Annual Parameters'!$B$33:$W$143,3,FALSE)/VLOOKUP($B$16,'Annual Parameters'!$B$33:$W$143,3,FALSE)</f>
        <v>10.055289107917993</v>
      </c>
      <c r="L27" s="1763" t="s">
        <v>856</v>
      </c>
      <c r="M27" s="1764"/>
      <c r="N27" s="1829">
        <f>'MECs - time of day'!N27*VLOOKUP($B$14,'Annual Parameters'!$B$33:$W$143,3,FALSE)/VLOOKUP($B$16,'Annual Parameters'!$B$33:$W$143,3,FALSE)</f>
        <v>16.430135434393996</v>
      </c>
      <c r="O27" s="1830">
        <f>'MECs - time of day'!O27*VLOOKUP($B$14,'Annual Parameters'!$B$33:$W$143,3,FALSE)/VLOOKUP($B$16,'Annual Parameters'!$B$33:$W$143,3,FALSE)</f>
        <v>10.883082882854644</v>
      </c>
      <c r="P27" s="1830">
        <f>'MECs - time of day'!P27*VLOOKUP($B$14,'Annual Parameters'!$B$33:$W$143,3,FALSE)/VLOOKUP($B$16,'Annual Parameters'!$B$33:$W$143,3,FALSE)</f>
        <v>18.135139988539255</v>
      </c>
      <c r="Q27" s="1831">
        <f>'MECs - time of day'!Q27*VLOOKUP($B$14,'Annual Parameters'!$B$33:$W$143,3,FALSE)/VLOOKUP($B$16,'Annual Parameters'!$B$33:$W$143,3,FALSE)</f>
        <v>4.9243945166883716</v>
      </c>
      <c r="R27" s="1829">
        <f>'MECs - time of day'!R27*VLOOKUP($B$14,'Annual Parameters'!$B$33:$W$143,3,FALSE)/VLOOKUP($B$16,'Annual Parameters'!$B$33:$W$143,3,FALSE)</f>
        <v>12.586707693843953</v>
      </c>
      <c r="S27" s="1831">
        <f>'MECs - time of day'!S27*VLOOKUP($B$14,'Annual Parameters'!$B$33:$W$143,3,FALSE)/VLOOKUP($B$16,'Annual Parameters'!$B$33:$W$143,3,FALSE)</f>
        <v>11.042236961863759</v>
      </c>
      <c r="T27" s="1832">
        <f>'MECs - time of day'!T27*VLOOKUP($B$14,'Annual Parameters'!$B$33:$W$143,3,FALSE)/VLOOKUP($B$16,'Annual Parameters'!$B$33:$W$143,3,FALSE)</f>
        <v>11.289075570830676</v>
      </c>
      <c r="V27" s="1763" t="s">
        <v>856</v>
      </c>
      <c r="W27" s="1764"/>
      <c r="X27" s="1829">
        <f>'MECs - time of day'!X27*VLOOKUP($B$14,'Annual Parameters'!$B$33:$W$143,3,FALSE)/VLOOKUP($B$16,'Annual Parameters'!$B$33:$W$143,3,FALSE)</f>
        <v>20.18581199600127</v>
      </c>
      <c r="Y27" s="1830">
        <f>'MECs - time of day'!Y27*VLOOKUP($B$14,'Annual Parameters'!$B$33:$W$143,3,FALSE)/VLOOKUP($B$16,'Annual Parameters'!$B$33:$W$143,3,FALSE)</f>
        <v>13.608923210076973</v>
      </c>
      <c r="Z27" s="1830">
        <f>'MECs - time of day'!Z27*VLOOKUP($B$14,'Annual Parameters'!$B$33:$W$143,3,FALSE)/VLOOKUP($B$16,'Annual Parameters'!$B$33:$W$143,3,FALSE)</f>
        <v>22.390580264900368</v>
      </c>
      <c r="AA27" s="1831">
        <f>'MECs - time of day'!AA27*VLOOKUP($B$14,'Annual Parameters'!$B$33:$W$143,3,FALSE)/VLOOKUP($B$16,'Annual Parameters'!$B$33:$W$143,3,FALSE)</f>
        <v>6.44156897882233</v>
      </c>
      <c r="AB27" s="1829">
        <f>'MECs - time of day'!AB27*VLOOKUP($B$14,'Annual Parameters'!$B$33:$W$143,3,FALSE)/VLOOKUP($B$16,'Annual Parameters'!$B$33:$W$143,3,FALSE)</f>
        <v>15.578832643859368</v>
      </c>
      <c r="AC27" s="1831">
        <f>'MECs - time of day'!AC27*VLOOKUP($B$14,'Annual Parameters'!$B$33:$W$143,3,FALSE)/VLOOKUP($B$16,'Annual Parameters'!$B$33:$W$143,3,FALSE)</f>
        <v>13.883622173106762</v>
      </c>
      <c r="AD27" s="1832">
        <f>'MECs - time of day'!AD27*VLOOKUP($B$14,'Annual Parameters'!$B$33:$W$143,3,FALSE)/VLOOKUP($B$16,'Annual Parameters'!$B$33:$W$143,3,FALSE)</f>
        <v>14.039525002916051</v>
      </c>
      <c r="AF27" s="1763" t="s">
        <v>856</v>
      </c>
      <c r="AG27" s="1764"/>
      <c r="AH27" s="1829">
        <f>'MECs - time of day'!AH27*VLOOKUP($B$14,'Annual Parameters'!$B$33:$W$143,3,FALSE)/VLOOKUP($B$16,'Annual Parameters'!$B$33:$W$143,3,FALSE)</f>
        <v>25.796195628426293</v>
      </c>
      <c r="AI27" s="1830">
        <f>'MECs - time of day'!AI27*VLOOKUP($B$14,'Annual Parameters'!$B$33:$W$143,3,FALSE)/VLOOKUP($B$16,'Annual Parameters'!$B$33:$W$143,3,FALSE)</f>
        <v>18.130898617819124</v>
      </c>
      <c r="AJ27" s="1830">
        <f>'MECs - time of day'!AJ27*VLOOKUP($B$14,'Annual Parameters'!$B$33:$W$143,3,FALSE)/VLOOKUP($B$16,'Annual Parameters'!$B$33:$W$143,3,FALSE)</f>
        <v>28.369799887819873</v>
      </c>
      <c r="AK27" s="1831">
        <f>'MECs - time of day'!AK27*VLOOKUP($B$14,'Annual Parameters'!$B$33:$W$143,3,FALSE)/VLOOKUP($B$16,'Annual Parameters'!$B$33:$W$143,3,FALSE)</f>
        <v>9.2318618740805309</v>
      </c>
      <c r="AL27" s="1829">
        <f>'MECs - time of day'!AL27*VLOOKUP($B$14,'Annual Parameters'!$B$33:$W$143,3,FALSE)/VLOOKUP($B$16,'Annual Parameters'!$B$33:$W$143,3,FALSE)</f>
        <v>20.304598014925837</v>
      </c>
      <c r="AM27" s="1831">
        <f>'MECs - time of day'!AM27*VLOOKUP($B$14,'Annual Parameters'!$B$33:$W$143,3,FALSE)/VLOOKUP($B$16,'Annual Parameters'!$B$33:$W$143,3,FALSE)</f>
        <v>18.227115918195793</v>
      </c>
      <c r="AN27" s="1832">
        <f>'MECs - time of day'!AN27*VLOOKUP($B$14,'Annual Parameters'!$B$33:$W$143,3,FALSE)/VLOOKUP($B$16,'Annual Parameters'!$B$33:$W$143,3,FALSE)</f>
        <v>18.35481473214028</v>
      </c>
      <c r="AP27" s="1763" t="s">
        <v>856</v>
      </c>
      <c r="AQ27" s="1764"/>
      <c r="AR27" s="1829">
        <f>'MECs - time of day'!AR27*VLOOKUP($B$14,'Annual Parameters'!$B$33:$W$143,3,FALSE)/VLOOKUP($B$16,'Annual Parameters'!$B$33:$W$143,3,FALSE)</f>
        <v>30.815717554270588</v>
      </c>
      <c r="AS27" s="1830">
        <f>'MECs - time of day'!AS27*VLOOKUP($B$14,'Annual Parameters'!$B$33:$W$143,3,FALSE)/VLOOKUP($B$16,'Annual Parameters'!$B$33:$W$143,3,FALSE)</f>
        <v>22.095217758430973</v>
      </c>
      <c r="AT27" s="1830">
        <f>'MECs - time of day'!AT27*VLOOKUP($B$14,'Annual Parameters'!$B$33:$W$143,3,FALSE)/VLOOKUP($B$16,'Annual Parameters'!$B$33:$W$143,3,FALSE)</f>
        <v>34.122447104086973</v>
      </c>
      <c r="AU27" s="1831">
        <f>'MECs - time of day'!AU27*VLOOKUP($B$14,'Annual Parameters'!$B$33:$W$143,3,FALSE)/VLOOKUP($B$16,'Annual Parameters'!$B$33:$W$143,3,FALSE)</f>
        <v>11.11210913350817</v>
      </c>
      <c r="AV27" s="1829">
        <f>'MECs - time of day'!AV27*VLOOKUP($B$14,'Annual Parameters'!$B$33:$W$143,3,FALSE)/VLOOKUP($B$16,'Annual Parameters'!$B$33:$W$143,3,FALSE)</f>
        <v>24.408581607007569</v>
      </c>
      <c r="AW27" s="1831">
        <f>'MECs - time of day'!AW27*VLOOKUP($B$14,'Annual Parameters'!$B$33:$W$143,3,FALSE)/VLOOKUP($B$16,'Annual Parameters'!$B$33:$W$143,3,FALSE)</f>
        <v>22.567079423268456</v>
      </c>
      <c r="AX27" s="1832">
        <f>'MECs - time of day'!AX27*VLOOKUP($B$14,'Annual Parameters'!$B$33:$W$143,3,FALSE)/VLOOKUP($B$16,'Annual Parameters'!$B$33:$W$143,3,FALSE)</f>
        <v>22.373910770704995</v>
      </c>
      <c r="AZ27" s="1763" t="s">
        <v>856</v>
      </c>
      <c r="BA27" s="1764"/>
      <c r="BB27" s="1829">
        <f>'MECs - time of day'!BB27*VLOOKUP($B$14,'Annual Parameters'!$B$33:$W$143,3,FALSE)/VLOOKUP($B$16,'Annual Parameters'!$B$33:$W$143,3,FALSE)</f>
        <v>37.83244018908055</v>
      </c>
      <c r="BC27" s="1830">
        <f>'MECs - time of day'!BC27*VLOOKUP($B$14,'Annual Parameters'!$B$33:$W$143,3,FALSE)/VLOOKUP($B$16,'Annual Parameters'!$B$33:$W$143,3,FALSE)</f>
        <v>27.705329609729848</v>
      </c>
      <c r="BD27" s="1830">
        <f>'MECs - time of day'!BD27*VLOOKUP($B$14,'Annual Parameters'!$B$33:$W$143,3,FALSE)/VLOOKUP($B$16,'Annual Parameters'!$B$33:$W$143,3,FALSE)</f>
        <v>42.402132636186131</v>
      </c>
      <c r="BE27" s="1831">
        <f>'MECs - time of day'!BE27*VLOOKUP($B$14,'Annual Parameters'!$B$33:$W$143,3,FALSE)/VLOOKUP($B$16,'Annual Parameters'!$B$33:$W$143,3,FALSE)</f>
        <v>15.616488816605992</v>
      </c>
      <c r="BF27" s="1829">
        <f>'MECs - time of day'!BF27*VLOOKUP($B$14,'Annual Parameters'!$B$33:$W$143,3,FALSE)/VLOOKUP($B$16,'Annual Parameters'!$B$33:$W$143,3,FALSE)</f>
        <v>30.579700842816987</v>
      </c>
      <c r="BG27" s="1831">
        <f>'MECs - time of day'!BG27*VLOOKUP($B$14,'Annual Parameters'!$B$33:$W$143,3,FALSE)/VLOOKUP($B$16,'Annual Parameters'!$B$33:$W$143,3,FALSE)</f>
        <v>28.613295348765678</v>
      </c>
      <c r="BH27" s="1832">
        <f>'MECs - time of day'!BH27*VLOOKUP($B$14,'Annual Parameters'!$B$33:$W$143,3,FALSE)/VLOOKUP($B$16,'Annual Parameters'!$B$33:$W$143,3,FALSE)</f>
        <v>28.173715835348045</v>
      </c>
    </row>
    <row r="28" spans="1:60" ht="13.5" customHeight="1">
      <c r="A28" s="265" t="s">
        <v>1083</v>
      </c>
      <c r="B28" s="1769"/>
      <c r="C28" s="1769"/>
      <c r="D28" s="1833">
        <f>'MECs - time of day'!D28*VLOOKUP($B$14,'Annual Parameters'!$B$33:$W$143,3,FALSE)/VLOOKUP($B$16,'Annual Parameters'!$B$33:$W$143,3,FALSE)</f>
        <v>15.476009177009386</v>
      </c>
      <c r="E28" s="1834">
        <f>'MECs - time of day'!E28*VLOOKUP($B$14,'Annual Parameters'!$B$33:$W$143,3,FALSE)/VLOOKUP($B$16,'Annual Parameters'!$B$33:$W$143,3,FALSE)</f>
        <v>10.080408365471486</v>
      </c>
      <c r="F28" s="1834">
        <f>'MECs - time of day'!F28*VLOOKUP($B$14,'Annual Parameters'!$B$33:$W$143,3,FALSE)/VLOOKUP($B$16,'Annual Parameters'!$B$33:$W$143,3,FALSE)</f>
        <v>17.09925487582138</v>
      </c>
      <c r="G28" s="1835">
        <f>'MECs - time of day'!G28*VLOOKUP($B$14,'Annual Parameters'!$B$33:$W$143,3,FALSE)/VLOOKUP($B$16,'Annual Parameters'!$B$33:$W$143,3,FALSE)</f>
        <v>4.6567811883221752</v>
      </c>
      <c r="H28" s="1833">
        <f>'MECs - time of day'!H28*VLOOKUP($B$14,'Annual Parameters'!$B$33:$W$143,3,FALSE)/VLOOKUP($B$16,'Annual Parameters'!$B$33:$W$143,3,FALSE)</f>
        <v>11.782201563511865</v>
      </c>
      <c r="I28" s="1835">
        <f>'MECs - time of day'!I28*VLOOKUP($B$14,'Annual Parameters'!$B$33:$W$143,3,FALSE)/VLOOKUP($B$16,'Annual Parameters'!$B$33:$W$143,3,FALSE)</f>
        <v>10.245313155333013</v>
      </c>
      <c r="J28" s="1836">
        <f>'MECs - time of day'!J28*VLOOKUP($B$14,'Annual Parameters'!$B$33:$W$143,3,FALSE)/VLOOKUP($B$16,'Annual Parameters'!$B$33:$W$143,3,FALSE)</f>
        <v>10.566574994761281</v>
      </c>
      <c r="L28" s="265" t="s">
        <v>1083</v>
      </c>
      <c r="M28" s="1769"/>
      <c r="N28" s="1833">
        <f>'MECs - time of day'!N28*VLOOKUP($B$14,'Annual Parameters'!$B$33:$W$143,3,FALSE)/VLOOKUP($B$16,'Annual Parameters'!$B$33:$W$143,3,FALSE)</f>
        <v>17.208405007602135</v>
      </c>
      <c r="O28" s="1834">
        <f>'MECs - time of day'!O28*VLOOKUP($B$14,'Annual Parameters'!$B$33:$W$143,3,FALSE)/VLOOKUP($B$16,'Annual Parameters'!$B$33:$W$143,3,FALSE)</f>
        <v>11.500562762732923</v>
      </c>
      <c r="P28" s="1834">
        <f>'MECs - time of day'!P28*VLOOKUP($B$14,'Annual Parameters'!$B$33:$W$143,3,FALSE)/VLOOKUP($B$16,'Annual Parameters'!$B$33:$W$143,3,FALSE)</f>
        <v>18.955322199076207</v>
      </c>
      <c r="Q28" s="1835">
        <f>'MECs - time of day'!Q28*VLOOKUP($B$14,'Annual Parameters'!$B$33:$W$143,3,FALSE)/VLOOKUP($B$16,'Annual Parameters'!$B$33:$W$143,3,FALSE)</f>
        <v>5.296046933042212</v>
      </c>
      <c r="R28" s="1833">
        <f>'MECs - time of day'!R28*VLOOKUP($B$14,'Annual Parameters'!$B$33:$W$143,3,FALSE)/VLOOKUP($B$16,'Annual Parameters'!$B$33:$W$143,3,FALSE)</f>
        <v>13.182024949633869</v>
      </c>
      <c r="S28" s="1835">
        <f>'MECs - time of day'!S28*VLOOKUP($B$14,'Annual Parameters'!$B$33:$W$143,3,FALSE)/VLOOKUP($B$16,'Annual Parameters'!$B$33:$W$143,3,FALSE)</f>
        <v>11.598988405319073</v>
      </c>
      <c r="T28" s="1836">
        <f>'MECs - time of day'!T28*VLOOKUP($B$14,'Annual Parameters'!$B$33:$W$143,3,FALSE)/VLOOKUP($B$16,'Annual Parameters'!$B$33:$W$143,3,FALSE)</f>
        <v>11.810109827945936</v>
      </c>
      <c r="V28" s="265" t="s">
        <v>1083</v>
      </c>
      <c r="W28" s="1769"/>
      <c r="X28" s="1833">
        <f>'MECs - time of day'!X28*VLOOKUP($B$14,'Annual Parameters'!$B$33:$W$143,3,FALSE)/VLOOKUP($B$16,'Annual Parameters'!$B$33:$W$143,3,FALSE)</f>
        <v>21.126676114458956</v>
      </c>
      <c r="Y28" s="1834">
        <f>'MECs - time of day'!Y28*VLOOKUP($B$14,'Annual Parameters'!$B$33:$W$143,3,FALSE)/VLOOKUP($B$16,'Annual Parameters'!$B$33:$W$143,3,FALSE)</f>
        <v>14.373469457834108</v>
      </c>
      <c r="Z28" s="1834">
        <f>'MECs - time of day'!Z28*VLOOKUP($B$14,'Annual Parameters'!$B$33:$W$143,3,FALSE)/VLOOKUP($B$16,'Annual Parameters'!$B$33:$W$143,3,FALSE)</f>
        <v>23.473995439008448</v>
      </c>
      <c r="AA28" s="1835">
        <f>'MECs - time of day'!AA28*VLOOKUP($B$14,'Annual Parameters'!$B$33:$W$143,3,FALSE)/VLOOKUP($B$16,'Annual Parameters'!$B$33:$W$143,3,FALSE)</f>
        <v>6.9016810487382108</v>
      </c>
      <c r="AB28" s="1833">
        <f>'MECs - time of day'!AB28*VLOOKUP($B$14,'Annual Parameters'!$B$33:$W$143,3,FALSE)/VLOOKUP($B$16,'Annual Parameters'!$B$33:$W$143,3,FALSE)</f>
        <v>16.336721799506581</v>
      </c>
      <c r="AC28" s="1835">
        <f>'MECs - time of day'!AC28*VLOOKUP($B$14,'Annual Parameters'!$B$33:$W$143,3,FALSE)/VLOOKUP($B$16,'Annual Parameters'!$B$33:$W$143,3,FALSE)</f>
        <v>14.531524541185076</v>
      </c>
      <c r="AD28" s="1836">
        <f>'MECs - time of day'!AD28*VLOOKUP($B$14,'Annual Parameters'!$B$33:$W$143,3,FALSE)/VLOOKUP($B$16,'Annual Parameters'!$B$33:$W$143,3,FALSE)</f>
        <v>14.728581444776962</v>
      </c>
      <c r="AF28" s="265" t="s">
        <v>1083</v>
      </c>
      <c r="AG28" s="1769"/>
      <c r="AH28" s="1833">
        <f>'MECs - time of day'!AH28*VLOOKUP($B$14,'Annual Parameters'!$B$33:$W$143,3,FALSE)/VLOOKUP($B$16,'Annual Parameters'!$B$33:$W$143,3,FALSE)</f>
        <v>27.094661851333655</v>
      </c>
      <c r="AI28" s="1834">
        <f>'MECs - time of day'!AI28*VLOOKUP($B$14,'Annual Parameters'!$B$33:$W$143,3,FALSE)/VLOOKUP($B$16,'Annual Parameters'!$B$33:$W$143,3,FALSE)</f>
        <v>19.215653235979246</v>
      </c>
      <c r="AJ28" s="1834">
        <f>'MECs - time of day'!AJ28*VLOOKUP($B$14,'Annual Parameters'!$B$33:$W$143,3,FALSE)/VLOOKUP($B$16,'Annual Parameters'!$B$33:$W$143,3,FALSE)</f>
        <v>29.742532140456319</v>
      </c>
      <c r="AK28" s="1835">
        <f>'MECs - time of day'!AK28*VLOOKUP($B$14,'Annual Parameters'!$B$33:$W$143,3,FALSE)/VLOOKUP($B$16,'Annual Parameters'!$B$33:$W$143,3,FALSE)</f>
        <v>9.8846197843690522</v>
      </c>
      <c r="AL28" s="1833">
        <f>'MECs - time of day'!AL28*VLOOKUP($B$14,'Annual Parameters'!$B$33:$W$143,3,FALSE)/VLOOKUP($B$16,'Annual Parameters'!$B$33:$W$143,3,FALSE)</f>
        <v>21.32835925937588</v>
      </c>
      <c r="AM28" s="1835">
        <f>'MECs - time of day'!AM28*VLOOKUP($B$14,'Annual Parameters'!$B$33:$W$143,3,FALSE)/VLOOKUP($B$16,'Annual Parameters'!$B$33:$W$143,3,FALSE)</f>
        <v>19.171526069397647</v>
      </c>
      <c r="AN28" s="1836">
        <f>'MECs - time of day'!AN28*VLOOKUP($B$14,'Annual Parameters'!$B$33:$W$143,3,FALSE)/VLOOKUP($B$16,'Annual Parameters'!$B$33:$W$143,3,FALSE)</f>
        <v>19.316257408585724</v>
      </c>
      <c r="AP28" s="265" t="s">
        <v>1083</v>
      </c>
      <c r="AQ28" s="1769"/>
      <c r="AR28" s="1833">
        <f>'MECs - time of day'!AR28*VLOOKUP($B$14,'Annual Parameters'!$B$33:$W$143,3,FALSE)/VLOOKUP($B$16,'Annual Parameters'!$B$33:$W$143,3,FALSE)</f>
        <v>32.224436071037239</v>
      </c>
      <c r="AS28" s="1834">
        <f>'MECs - time of day'!AS28*VLOOKUP($B$14,'Annual Parameters'!$B$33:$W$143,3,FALSE)/VLOOKUP($B$16,'Annual Parameters'!$B$33:$W$143,3,FALSE)</f>
        <v>23.357801630341317</v>
      </c>
      <c r="AT28" s="1834">
        <f>'MECs - time of day'!AT28*VLOOKUP($B$14,'Annual Parameters'!$B$33:$W$143,3,FALSE)/VLOOKUP($B$16,'Annual Parameters'!$B$33:$W$143,3,FALSE)</f>
        <v>35.800600240353539</v>
      </c>
      <c r="AU28" s="1835">
        <f>'MECs - time of day'!AU28*VLOOKUP($B$14,'Annual Parameters'!$B$33:$W$143,3,FALSE)/VLOOKUP($B$16,'Annual Parameters'!$B$33:$W$143,3,FALSE)</f>
        <v>11.87191146742326</v>
      </c>
      <c r="AV28" s="1833">
        <f>'MECs - time of day'!AV28*VLOOKUP($B$14,'Annual Parameters'!$B$33:$W$143,3,FALSE)/VLOOKUP($B$16,'Annual Parameters'!$B$33:$W$143,3,FALSE)</f>
        <v>25.624667523370935</v>
      </c>
      <c r="AW28" s="1835">
        <f>'MECs - time of day'!AW28*VLOOKUP($B$14,'Annual Parameters'!$B$33:$W$143,3,FALSE)/VLOOKUP($B$16,'Annual Parameters'!$B$33:$W$143,3,FALSE)</f>
        <v>23.826186858901462</v>
      </c>
      <c r="AX28" s="1836">
        <f>'MECs - time of day'!AX28*VLOOKUP($B$14,'Annual Parameters'!$B$33:$W$143,3,FALSE)/VLOOKUP($B$16,'Annual Parameters'!$B$33:$W$143,3,FALSE)</f>
        <v>23.532718898271391</v>
      </c>
      <c r="AZ28" s="265" t="s">
        <v>1083</v>
      </c>
      <c r="BA28" s="1769"/>
      <c r="BB28" s="1833">
        <f>'MECs - time of day'!BB28*VLOOKUP($B$14,'Annual Parameters'!$B$33:$W$143,3,FALSE)/VLOOKUP($B$16,'Annual Parameters'!$B$33:$W$143,3,FALSE)</f>
        <v>39.616989254603219</v>
      </c>
      <c r="BC28" s="1834">
        <f>'MECs - time of day'!BC28*VLOOKUP($B$14,'Annual Parameters'!$B$33:$W$143,3,FALSE)/VLOOKUP($B$16,'Annual Parameters'!$B$33:$W$143,3,FALSE)</f>
        <v>29.306793749020589</v>
      </c>
      <c r="BD28" s="1834">
        <f>'MECs - time of day'!BD28*VLOOKUP($B$14,'Annual Parameters'!$B$33:$W$143,3,FALSE)/VLOOKUP($B$16,'Annual Parameters'!$B$33:$W$143,3,FALSE)</f>
        <v>44.484380220998844</v>
      </c>
      <c r="BE28" s="1835">
        <f>'MECs - time of day'!BE28*VLOOKUP($B$14,'Annual Parameters'!$B$33:$W$143,3,FALSE)/VLOOKUP($B$16,'Annual Parameters'!$B$33:$W$143,3,FALSE)</f>
        <v>16.676867686869365</v>
      </c>
      <c r="BF28" s="1833">
        <f>'MECs - time of day'!BF28*VLOOKUP($B$14,'Annual Parameters'!$B$33:$W$143,3,FALSE)/VLOOKUP($B$16,'Annual Parameters'!$B$33:$W$143,3,FALSE)</f>
        <v>32.16596774532622</v>
      </c>
      <c r="BG28" s="1835">
        <f>'MECs - time of day'!BG28*VLOOKUP($B$14,'Annual Parameters'!$B$33:$W$143,3,FALSE)/VLOOKUP($B$16,'Annual Parameters'!$B$33:$W$143,3,FALSE)</f>
        <v>30.098414484514759</v>
      </c>
      <c r="BH28" s="1836">
        <f>'MECs - time of day'!BH28*VLOOKUP($B$14,'Annual Parameters'!$B$33:$W$143,3,FALSE)/VLOOKUP($B$16,'Annual Parameters'!$B$33:$W$143,3,FALSE)</f>
        <v>29.623167453886854</v>
      </c>
    </row>
    <row r="29" spans="1:60" ht="13.5" customHeight="1">
      <c r="A29" s="265" t="s">
        <v>858</v>
      </c>
      <c r="B29" s="1769"/>
      <c r="C29" s="1769"/>
      <c r="D29" s="1833">
        <f>'MECs - time of day'!D29*VLOOKUP($B$14,'Annual Parameters'!$B$33:$W$143,3,FALSE)/VLOOKUP($B$16,'Annual Parameters'!$B$33:$W$143,3,FALSE)</f>
        <v>16.071240299202053</v>
      </c>
      <c r="E29" s="1834">
        <f>'MECs - time of day'!E29*VLOOKUP($B$14,'Annual Parameters'!$B$33:$W$143,3,FALSE)/VLOOKUP($B$16,'Annual Parameters'!$B$33:$W$143,3,FALSE)</f>
        <v>10.535163630079223</v>
      </c>
      <c r="F29" s="1834">
        <f>'MECs - time of day'!F29*VLOOKUP($B$14,'Annual Parameters'!$B$33:$W$143,3,FALSE)/VLOOKUP($B$16,'Annual Parameters'!$B$33:$W$143,3,FALSE)</f>
        <v>17.90497892756165</v>
      </c>
      <c r="G29" s="1835">
        <f>'MECs - time of day'!G29*VLOOKUP($B$14,'Annual Parameters'!$B$33:$W$143,3,FALSE)/VLOOKUP($B$16,'Annual Parameters'!$B$33:$W$143,3,FALSE)</f>
        <v>4.8394000584524566</v>
      </c>
      <c r="H29" s="1833">
        <f>'MECs - time of day'!H29*VLOOKUP($B$14,'Annual Parameters'!$B$33:$W$143,3,FALSE)/VLOOKUP($B$16,'Annual Parameters'!$B$33:$W$143,3,FALSE)</f>
        <v>12.28357184281024</v>
      </c>
      <c r="I29" s="1835">
        <f>'MECs - time of day'!I29*VLOOKUP($B$14,'Annual Parameters'!$B$33:$W$143,3,FALSE)/VLOOKUP($B$16,'Annual Parameters'!$B$33:$W$143,3,FALSE)</f>
        <v>10.698645595834472</v>
      </c>
      <c r="J29" s="1836">
        <f>'MECs - time of day'!J29*VLOOKUP($B$14,'Annual Parameters'!$B$33:$W$143,3,FALSE)/VLOOKUP($B$16,'Annual Parameters'!$B$33:$W$143,3,FALSE)</f>
        <v>10.992646567130686</v>
      </c>
      <c r="L29" s="265" t="s">
        <v>858</v>
      </c>
      <c r="M29" s="1769"/>
      <c r="N29" s="1833">
        <f>'MECs - time of day'!N29*VLOOKUP($B$14,'Annual Parameters'!$B$33:$W$143,3,FALSE)/VLOOKUP($B$16,'Annual Parameters'!$B$33:$W$143,3,FALSE)</f>
        <v>17.900200183787145</v>
      </c>
      <c r="O29" s="1834">
        <f>'MECs - time of day'!O29*VLOOKUP($B$14,'Annual Parameters'!$B$33:$W$143,3,FALSE)/VLOOKUP($B$16,'Annual Parameters'!$B$33:$W$143,3,FALSE)</f>
        <v>12.040857657626413</v>
      </c>
      <c r="P29" s="1834">
        <f>'MECs - time of day'!P29*VLOOKUP($B$14,'Annual Parameters'!$B$33:$W$143,3,FALSE)/VLOOKUP($B$16,'Annual Parameters'!$B$33:$W$143,3,FALSE)</f>
        <v>19.775504409613156</v>
      </c>
      <c r="Q29" s="1835">
        <f>'MECs - time of day'!Q29*VLOOKUP($B$14,'Annual Parameters'!$B$33:$W$143,3,FALSE)/VLOOKUP($B$16,'Annual Parameters'!$B$33:$W$143,3,FALSE)</f>
        <v>5.4818731412191308</v>
      </c>
      <c r="R29" s="1833">
        <f>'MECs - time of day'!R29*VLOOKUP($B$14,'Annual Parameters'!$B$33:$W$143,3,FALSE)/VLOOKUP($B$16,'Annual Parameters'!$B$33:$W$143,3,FALSE)</f>
        <v>13.692296883168085</v>
      </c>
      <c r="S29" s="1835">
        <f>'MECs - time of day'!S29*VLOOKUP($B$14,'Annual Parameters'!$B$33:$W$143,3,FALSE)/VLOOKUP($B$16,'Annual Parameters'!$B$33:$W$143,3,FALSE)</f>
        <v>12.062947941531837</v>
      </c>
      <c r="T29" s="1836">
        <f>'MECs - time of day'!T29*VLOOKUP($B$14,'Annual Parameters'!$B$33:$W$143,3,FALSE)/VLOOKUP($B$16,'Annual Parameters'!$B$33:$W$143,3,FALSE)</f>
        <v>12.331144085061199</v>
      </c>
      <c r="V29" s="265" t="s">
        <v>858</v>
      </c>
      <c r="W29" s="1769"/>
      <c r="X29" s="1833">
        <f>'MECs - time of day'!X29*VLOOKUP($B$14,'Annual Parameters'!$B$33:$W$143,3,FALSE)/VLOOKUP($B$16,'Annual Parameters'!$B$33:$W$143,3,FALSE)</f>
        <v>21.982007131238671</v>
      </c>
      <c r="Y29" s="1834">
        <f>'MECs - time of day'!Y29*VLOOKUP($B$14,'Annual Parameters'!$B$33:$W$143,3,FALSE)/VLOOKUP($B$16,'Annual Parameters'!$B$33:$W$143,3,FALSE)</f>
        <v>15.061561080815528</v>
      </c>
      <c r="Z29" s="1834">
        <f>'MECs - time of day'!Z29*VLOOKUP($B$14,'Annual Parameters'!$B$33:$W$143,3,FALSE)/VLOOKUP($B$16,'Annual Parameters'!$B$33:$W$143,3,FALSE)</f>
        <v>24.557410613116534</v>
      </c>
      <c r="AA29" s="1835">
        <f>'MECs - time of day'!AA29*VLOOKUP($B$14,'Annual Parameters'!$B$33:$W$143,3,FALSE)/VLOOKUP($B$16,'Annual Parameters'!$B$33:$W$143,3,FALSE)</f>
        <v>7.177748290687739</v>
      </c>
      <c r="AB29" s="1833">
        <f>'MECs - time of day'!AB29*VLOOKUP($B$14,'Annual Parameters'!$B$33:$W$143,3,FALSE)/VLOOKUP($B$16,'Annual Parameters'!$B$33:$W$143,3,FALSE)</f>
        <v>17.01040104897077</v>
      </c>
      <c r="AC29" s="1835">
        <f>'MECs - time of day'!AC29*VLOOKUP($B$14,'Annual Parameters'!$B$33:$W$143,3,FALSE)/VLOOKUP($B$16,'Annual Parameters'!$B$33:$W$143,3,FALSE)</f>
        <v>15.179426909263391</v>
      </c>
      <c r="AD29" s="1836">
        <f>'MECs - time of day'!AD29*VLOOKUP($B$14,'Annual Parameters'!$B$33:$W$143,3,FALSE)/VLOOKUP($B$16,'Annual Parameters'!$B$33:$W$143,3,FALSE)</f>
        <v>15.41763788663787</v>
      </c>
      <c r="AF29" s="265" t="s">
        <v>858</v>
      </c>
      <c r="AG29" s="1769"/>
      <c r="AH29" s="1833">
        <f>'MECs - time of day'!AH29*VLOOKUP($B$14,'Annual Parameters'!$B$33:$W$143,3,FALSE)/VLOOKUP($B$16,'Annual Parameters'!$B$33:$W$143,3,FALSE)</f>
        <v>28.219999244520039</v>
      </c>
      <c r="AI29" s="1834">
        <f>'MECs - time of day'!AI29*VLOOKUP($B$14,'Annual Parameters'!$B$33:$W$143,3,FALSE)/VLOOKUP($B$16,'Annual Parameters'!$B$33:$W$143,3,FALSE)</f>
        <v>20.145442908687919</v>
      </c>
      <c r="AJ29" s="1834">
        <f>'MECs - time of day'!AJ29*VLOOKUP($B$14,'Annual Parameters'!$B$33:$W$143,3,FALSE)/VLOOKUP($B$16,'Annual Parameters'!$B$33:$W$143,3,FALSE)</f>
        <v>31.023748909583663</v>
      </c>
      <c r="AK29" s="1835">
        <f>'MECs - time of day'!AK29*VLOOKUP($B$14,'Annual Parameters'!$B$33:$W$143,3,FALSE)/VLOOKUP($B$16,'Annual Parameters'!$B$33:$W$143,3,FALSE)</f>
        <v>10.257624304533925</v>
      </c>
      <c r="AL29" s="1833">
        <f>'MECs - time of day'!AL29*VLOOKUP($B$14,'Annual Parameters'!$B$33:$W$143,3,FALSE)/VLOOKUP($B$16,'Annual Parameters'!$B$33:$W$143,3,FALSE)</f>
        <v>22.26680706678842</v>
      </c>
      <c r="AM29" s="1835">
        <f>'MECs - time of day'!AM29*VLOOKUP($B$14,'Annual Parameters'!$B$33:$W$143,3,FALSE)/VLOOKUP($B$16,'Annual Parameters'!$B$33:$W$143,3,FALSE)</f>
        <v>20.021495205479315</v>
      </c>
      <c r="AN29" s="1836">
        <f>'MECs - time of day'!AN29*VLOOKUP($B$14,'Annual Parameters'!$B$33:$W$143,3,FALSE)/VLOOKUP($B$16,'Annual Parameters'!$B$33:$W$143,3,FALSE)</f>
        <v>20.102892325677448</v>
      </c>
      <c r="AP29" s="265" t="s">
        <v>858</v>
      </c>
      <c r="AQ29" s="1769"/>
      <c r="AR29" s="1833">
        <f>'MECs - time of day'!AR29*VLOOKUP($B$14,'Annual Parameters'!$B$33:$W$143,3,FALSE)/VLOOKUP($B$16,'Annual Parameters'!$B$33:$W$143,3,FALSE)</f>
        <v>33.545109680505981</v>
      </c>
      <c r="AS29" s="1834">
        <f>'MECs - time of day'!AS29*VLOOKUP($B$14,'Annual Parameters'!$B$33:$W$143,3,FALSE)/VLOOKUP($B$16,'Annual Parameters'!$B$33:$W$143,3,FALSE)</f>
        <v>24.46256251826286</v>
      </c>
      <c r="AT29" s="1834">
        <f>'MECs - time of day'!AT29*VLOOKUP($B$14,'Annual Parameters'!$B$33:$W$143,3,FALSE)/VLOOKUP($B$16,'Annual Parameters'!$B$33:$W$143,3,FALSE)</f>
        <v>37.292291917034945</v>
      </c>
      <c r="AU29" s="1835">
        <f>'MECs - time of day'!AU29*VLOOKUP($B$14,'Annual Parameters'!$B$33:$W$143,3,FALSE)/VLOOKUP($B$16,'Annual Parameters'!$B$33:$W$143,3,FALSE)</f>
        <v>12.346787926120191</v>
      </c>
      <c r="AV29" s="1833">
        <f>'MECs - time of day'!AV29*VLOOKUP($B$14,'Annual Parameters'!$B$33:$W$143,3,FALSE)/VLOOKUP($B$16,'Annual Parameters'!$B$33:$W$143,3,FALSE)</f>
        <v>26.753890159994061</v>
      </c>
      <c r="AW29" s="1835">
        <f>'MECs - time of day'!AW29*VLOOKUP($B$14,'Annual Parameters'!$B$33:$W$143,3,FALSE)/VLOOKUP($B$16,'Annual Parameters'!$B$33:$W$143,3,FALSE)</f>
        <v>24.794731040157618</v>
      </c>
      <c r="AX29" s="1836">
        <f>'MECs - time of day'!AX29*VLOOKUP($B$14,'Annual Parameters'!$B$33:$W$143,3,FALSE)/VLOOKUP($B$16,'Annual Parameters'!$B$33:$W$143,3,FALSE)</f>
        <v>24.602387939101909</v>
      </c>
      <c r="AZ29" s="265" t="s">
        <v>858</v>
      </c>
      <c r="BA29" s="1769"/>
      <c r="BB29" s="1833">
        <f>'MECs - time of day'!BB29*VLOOKUP($B$14,'Annual Parameters'!$B$33:$W$143,3,FALSE)/VLOOKUP($B$16,'Annual Parameters'!$B$33:$W$143,3,FALSE)</f>
        <v>41.312310866849749</v>
      </c>
      <c r="BC29" s="1834">
        <f>'MECs - time of day'!BC29*VLOOKUP($B$14,'Annual Parameters'!$B$33:$W$143,3,FALSE)/VLOOKUP($B$16,'Annual Parameters'!$B$33:$W$143,3,FALSE)</f>
        <v>30.668038267417717</v>
      </c>
      <c r="BD29" s="1834">
        <f>'MECs - time of day'!BD29*VLOOKUP($B$14,'Annual Parameters'!$B$33:$W$143,3,FALSE)/VLOOKUP($B$16,'Annual Parameters'!$B$33:$W$143,3,FALSE)</f>
        <v>46.471980188320067</v>
      </c>
      <c r="BE29" s="1835">
        <f>'MECs - time of day'!BE29*VLOOKUP($B$14,'Annual Parameters'!$B$33:$W$143,3,FALSE)/VLOOKUP($B$16,'Annual Parameters'!$B$33:$W$143,3,FALSE)</f>
        <v>17.544450398903027</v>
      </c>
      <c r="BF29" s="1833">
        <f>'MECs - time of day'!BF29*VLOOKUP($B$14,'Annual Parameters'!$B$33:$W$143,3,FALSE)/VLOOKUP($B$16,'Annual Parameters'!$B$33:$W$143,3,FALSE)</f>
        <v>33.575982769778882</v>
      </c>
      <c r="BG29" s="1835">
        <f>'MECs - time of day'!BG29*VLOOKUP($B$14,'Annual Parameters'!$B$33:$W$143,3,FALSE)/VLOOKUP($B$16,'Annual Parameters'!$B$33:$W$143,3,FALSE)</f>
        <v>31.484525677880573</v>
      </c>
      <c r="BH29" s="1836">
        <f>'MECs - time of day'!BH29*VLOOKUP($B$14,'Annual Parameters'!$B$33:$W$143,3,FALSE)/VLOOKUP($B$16,'Annual Parameters'!$B$33:$W$143,3,FALSE)</f>
        <v>30.982028346266983</v>
      </c>
    </row>
    <row r="30" spans="1:60" ht="13.5" customHeight="1">
      <c r="A30" s="265" t="s">
        <v>859</v>
      </c>
      <c r="B30" s="1769"/>
      <c r="C30" s="1769"/>
      <c r="D30" s="1833">
        <f>'MECs - time of day'!D30*VLOOKUP($B$14,'Annual Parameters'!$B$33:$W$143,3,FALSE)/VLOOKUP($B$16,'Annual Parameters'!$B$33:$W$143,3,FALSE)</f>
        <v>8.7584007979778402</v>
      </c>
      <c r="E30" s="1834">
        <f>'MECs - time of day'!E30*VLOOKUP($B$14,'Annual Parameters'!$B$33:$W$143,3,FALSE)/VLOOKUP($B$16,'Annual Parameters'!$B$33:$W$143,3,FALSE)</f>
        <v>4.5475526460773619</v>
      </c>
      <c r="F30" s="1834">
        <f>'MECs - time of day'!F30*VLOOKUP($B$14,'Annual Parameters'!$B$33:$W$143,3,FALSE)/VLOOKUP($B$16,'Annual Parameters'!$B$33:$W$143,3,FALSE)</f>
        <v>9.8477384101589092</v>
      </c>
      <c r="G30" s="1835">
        <f>'MECs - time of day'!G30*VLOOKUP($B$14,'Annual Parameters'!$B$33:$W$143,3,FALSE)/VLOOKUP($B$16,'Annual Parameters'!$B$33:$W$143,3,FALSE)</f>
        <v>0.82178491558626632</v>
      </c>
      <c r="H30" s="1833">
        <f>'MECs - time of day'!H30*VLOOKUP($B$14,'Annual Parameters'!$B$33:$W$143,3,FALSE)/VLOOKUP($B$16,'Annual Parameters'!$B$33:$W$143,3,FALSE)</f>
        <v>6.1000050647969211</v>
      </c>
      <c r="I30" s="1835">
        <f>'MECs - time of day'!I30*VLOOKUP($B$14,'Annual Parameters'!$B$33:$W$143,3,FALSE)/VLOOKUP($B$16,'Annual Parameters'!$B$33:$W$143,3,FALSE)</f>
        <v>5.0773233336163601</v>
      </c>
      <c r="J30" s="1836">
        <f>'MECs - time of day'!J30*VLOOKUP($B$14,'Annual Parameters'!$B$33:$W$143,3,FALSE)/VLOOKUP($B$16,'Annual Parameters'!$B$33:$W$143,3,FALSE)</f>
        <v>5.2832874973806403</v>
      </c>
      <c r="L30" s="265" t="s">
        <v>859</v>
      </c>
      <c r="M30" s="1769"/>
      <c r="N30" s="1833">
        <f>'MECs - time of day'!N30*VLOOKUP($B$14,'Annual Parameters'!$B$33:$W$143,3,FALSE)/VLOOKUP($B$16,'Annual Parameters'!$B$33:$W$143,3,FALSE)</f>
        <v>8.733914099335756</v>
      </c>
      <c r="O30" s="1834">
        <f>'MECs - time of day'!O30*VLOOKUP($B$14,'Annual Parameters'!$B$33:$W$143,3,FALSE)/VLOOKUP($B$16,'Annual Parameters'!$B$33:$W$143,3,FALSE)</f>
        <v>4.8626540540414362</v>
      </c>
      <c r="P30" s="1834">
        <f>'MECs - time of day'!P30*VLOOKUP($B$14,'Annual Parameters'!$B$33:$W$143,3,FALSE)/VLOOKUP($B$16,'Annual Parameters'!$B$33:$W$143,3,FALSE)</f>
        <v>9.9333178831697424</v>
      </c>
      <c r="Q30" s="1835">
        <f>'MECs - time of day'!Q30*VLOOKUP($B$14,'Annual Parameters'!$B$33:$W$143,3,FALSE)/VLOOKUP($B$16,'Annual Parameters'!$B$33:$W$143,3,FALSE)</f>
        <v>0.83621793679613854</v>
      </c>
      <c r="R30" s="1833">
        <f>'MECs - time of day'!R30*VLOOKUP($B$14,'Annual Parameters'!$B$33:$W$143,3,FALSE)/VLOOKUP($B$16,'Annual Parameters'!$B$33:$W$143,3,FALSE)</f>
        <v>6.2083085246662737</v>
      </c>
      <c r="S30" s="1835">
        <f>'MECs - time of day'!S30*VLOOKUP($B$14,'Annual Parameters'!$B$33:$W$143,3,FALSE)/VLOOKUP($B$16,'Annual Parameters'!$B$33:$W$143,3,FALSE)</f>
        <v>5.1963468055829454</v>
      </c>
      <c r="T30" s="1836">
        <f>'MECs - time of day'!T30*VLOOKUP($B$14,'Annual Parameters'!$B$33:$W$143,3,FALSE)/VLOOKUP($B$16,'Annual Parameters'!$B$33:$W$143,3,FALSE)</f>
        <v>5.3840206568577056</v>
      </c>
      <c r="V30" s="265" t="s">
        <v>859</v>
      </c>
      <c r="W30" s="1769"/>
      <c r="X30" s="1833">
        <f>'MECs - time of day'!X30*VLOOKUP($B$14,'Annual Parameters'!$B$33:$W$143,3,FALSE)/VLOOKUP($B$16,'Annual Parameters'!$B$33:$W$143,3,FALSE)</f>
        <v>10.349505303034551</v>
      </c>
      <c r="Y30" s="1834">
        <f>'MECs - time of day'!Y30*VLOOKUP($B$14,'Annual Parameters'!$B$33:$W$143,3,FALSE)/VLOOKUP($B$16,'Annual Parameters'!$B$33:$W$143,3,FALSE)</f>
        <v>5.9634607325056406</v>
      </c>
      <c r="Z30" s="1834">
        <f>'MECs - time of day'!Z30*VLOOKUP($B$14,'Annual Parameters'!$B$33:$W$143,3,FALSE)/VLOOKUP($B$16,'Annual Parameters'!$B$33:$W$143,3,FALSE)</f>
        <v>11.646713121661884</v>
      </c>
      <c r="AA30" s="1835">
        <f>'MECs - time of day'!AA30*VLOOKUP($B$14,'Annual Parameters'!$B$33:$W$143,3,FALSE)/VLOOKUP($B$16,'Annual Parameters'!$B$33:$W$143,3,FALSE)</f>
        <v>1.0122465538149377</v>
      </c>
      <c r="AB30" s="1833">
        <f>'MECs - time of day'!AB30*VLOOKUP($B$14,'Annual Parameters'!$B$33:$W$143,3,FALSE)/VLOOKUP($B$16,'Annual Parameters'!$B$33:$W$143,3,FALSE)</f>
        <v>7.4104717441060792</v>
      </c>
      <c r="AC30" s="1835">
        <f>'MECs - time of day'!AC30*VLOOKUP($B$14,'Annual Parameters'!$B$33:$W$143,3,FALSE)/VLOOKUP($B$16,'Annual Parameters'!$B$33:$W$143,3,FALSE)</f>
        <v>6.2013512373210213</v>
      </c>
      <c r="AD30" s="1836">
        <f>'MECs - time of day'!AD30*VLOOKUP($B$14,'Annual Parameters'!$B$33:$W$143,3,FALSE)/VLOOKUP($B$16,'Annual Parameters'!$B$33:$W$143,3,FALSE)</f>
        <v>6.4599041424460344</v>
      </c>
      <c r="AF30" s="265" t="s">
        <v>859</v>
      </c>
      <c r="AG30" s="1769"/>
      <c r="AH30" s="1833">
        <f>'MECs - time of day'!AH30*VLOOKUP($B$14,'Annual Parameters'!$B$33:$W$143,3,FALSE)/VLOOKUP($B$16,'Annual Parameters'!$B$33:$W$143,3,FALSE)</f>
        <v>12.638404569631673</v>
      </c>
      <c r="AI30" s="1834">
        <f>'MECs - time of day'!AI30*VLOOKUP($B$14,'Annual Parameters'!$B$33:$W$143,3,FALSE)/VLOOKUP($B$16,'Annual Parameters'!$B$33:$W$143,3,FALSE)</f>
        <v>7.2833524362179398</v>
      </c>
      <c r="AJ30" s="1834">
        <f>'MECs - time of day'!AJ30*VLOOKUP($B$14,'Annual Parameters'!$B$33:$W$143,3,FALSE)/VLOOKUP($B$16,'Annual Parameters'!$B$33:$W$143,3,FALSE)</f>
        <v>13.81883800987355</v>
      </c>
      <c r="AK30" s="1835">
        <f>'MECs - time of day'!AK30*VLOOKUP($B$14,'Annual Parameters'!$B$33:$W$143,3,FALSE)/VLOOKUP($B$16,'Annual Parameters'!$B$33:$W$143,3,FALSE)</f>
        <v>1.3055158205770445</v>
      </c>
      <c r="AL30" s="1833">
        <f>'MECs - time of day'!AL30*VLOOKUP($B$14,'Annual Parameters'!$B$33:$W$143,3,FALSE)/VLOOKUP($B$16,'Annual Parameters'!$B$33:$W$143,3,FALSE)</f>
        <v>8.9579108889378691</v>
      </c>
      <c r="AM30" s="1835">
        <f>'MECs - time of day'!AM30*VLOOKUP($B$14,'Annual Parameters'!$B$33:$W$143,3,FALSE)/VLOOKUP($B$16,'Annual Parameters'!$B$33:$W$143,3,FALSE)</f>
        <v>7.5552812096148365</v>
      </c>
      <c r="AN30" s="1836">
        <f>'MECs - time of day'!AN30*VLOOKUP($B$14,'Annual Parameters'!$B$33:$W$143,3,FALSE)/VLOOKUP($B$16,'Annual Parameters'!$B$33:$W$143,3,FALSE)</f>
        <v>7.7789452912404045</v>
      </c>
      <c r="AP30" s="265" t="s">
        <v>859</v>
      </c>
      <c r="AQ30" s="1769"/>
      <c r="AR30" s="1833">
        <f>'MECs - time of day'!AR30*VLOOKUP($B$14,'Annual Parameters'!$B$33:$W$143,3,FALSE)/VLOOKUP($B$16,'Annual Parameters'!$B$33:$W$143,3,FALSE)</f>
        <v>15.407858777135294</v>
      </c>
      <c r="AS30" s="1834">
        <f>'MECs - time of day'!AS30*VLOOKUP($B$14,'Annual Parameters'!$B$33:$W$143,3,FALSE)/VLOOKUP($B$16,'Annual Parameters'!$B$33:$W$143,3,FALSE)</f>
        <v>8.9959100873611817</v>
      </c>
      <c r="AT30" s="1834">
        <f>'MECs - time of day'!AT30*VLOOKUP($B$14,'Annual Parameters'!$B$33:$W$143,3,FALSE)/VLOOKUP($B$16,'Annual Parameters'!$B$33:$W$143,3,FALSE)</f>
        <v>17.15445428183607</v>
      </c>
      <c r="AU30" s="1835">
        <f>'MECs - time of day'!AU30*VLOOKUP($B$14,'Annual Parameters'!$B$33:$W$143,3,FALSE)/VLOOKUP($B$16,'Annual Parameters'!$B$33:$W$143,3,FALSE)</f>
        <v>1.7095552513089496</v>
      </c>
      <c r="AV30" s="1833">
        <f>'MECs - time of day'!AV30*VLOOKUP($B$14,'Annual Parameters'!$B$33:$W$143,3,FALSE)/VLOOKUP($B$16,'Annual Parameters'!$B$33:$W$143,3,FALSE)</f>
        <v>10.944773247270296</v>
      </c>
      <c r="AW30" s="1835">
        <f>'MECs - time of day'!AW30*VLOOKUP($B$14,'Annual Parameters'!$B$33:$W$143,3,FALSE)/VLOOKUP($B$16,'Annual Parameters'!$B$33:$W$143,3,FALSE)</f>
        <v>9.3948785581847218</v>
      </c>
      <c r="AX30" s="1836">
        <f>'MECs - time of day'!AX30*VLOOKUP($B$14,'Annual Parameters'!$B$33:$W$143,3,FALSE)/VLOOKUP($B$16,'Annual Parameters'!$B$33:$W$143,3,FALSE)</f>
        <v>9.6270213674746614</v>
      </c>
      <c r="AZ30" s="265" t="s">
        <v>859</v>
      </c>
      <c r="BA30" s="1769"/>
      <c r="BB30" s="1833">
        <f>'MECs - time of day'!BB30*VLOOKUP($B$14,'Annual Parameters'!$B$33:$W$143,3,FALSE)/VLOOKUP($B$16,'Annual Parameters'!$B$33:$W$143,3,FALSE)</f>
        <v>18.648537734711873</v>
      </c>
      <c r="BC30" s="1834">
        <f>'MECs - time of day'!BC30*VLOOKUP($B$14,'Annual Parameters'!$B$33:$W$143,3,FALSE)/VLOOKUP($B$16,'Annual Parameters'!$B$33:$W$143,3,FALSE)</f>
        <v>11.450468595928809</v>
      </c>
      <c r="BD30" s="1834">
        <f>'MECs - time of day'!BD30*VLOOKUP($B$14,'Annual Parameters'!$B$33:$W$143,3,FALSE)/VLOOKUP($B$16,'Annual Parameters'!$B$33:$W$143,3,FALSE)</f>
        <v>21.201066318093066</v>
      </c>
      <c r="BE30" s="1835">
        <f>'MECs - time of day'!BE30*VLOOKUP($B$14,'Annual Parameters'!$B$33:$W$143,3,FALSE)/VLOOKUP($B$16,'Annual Parameters'!$B$33:$W$143,3,FALSE)</f>
        <v>2.2171558196415915</v>
      </c>
      <c r="BF30" s="1833">
        <f>'MECs - time of day'!BF30*VLOOKUP($B$14,'Annual Parameters'!$B$33:$W$143,3,FALSE)/VLOOKUP($B$16,'Annual Parameters'!$B$33:$W$143,3,FALSE)</f>
        <v>13.571394610356817</v>
      </c>
      <c r="BG30" s="1835">
        <f>'MECs - time of day'!BG30*VLOOKUP($B$14,'Annual Parameters'!$B$33:$W$143,3,FALSE)/VLOOKUP($B$16,'Annual Parameters'!$B$33:$W$143,3,FALSE)</f>
        <v>11.781945143609398</v>
      </c>
      <c r="BH30" s="1836">
        <f>'MECs - time of day'!BH30*VLOOKUP($B$14,'Annual Parameters'!$B$33:$W$143,3,FALSE)/VLOOKUP($B$16,'Annual Parameters'!$B$33:$W$143,3,FALSE)</f>
        <v>11.95797585294515</v>
      </c>
    </row>
    <row r="31" spans="1:60" ht="13.5" customHeight="1" thickBot="1">
      <c r="A31" s="259" t="s">
        <v>860</v>
      </c>
      <c r="B31" s="1774"/>
      <c r="C31" s="1774"/>
      <c r="D31" s="1837">
        <f>'MECs - time of day'!D31*VLOOKUP($B$14,'Annual Parameters'!$B$33:$W$143,3,FALSE)/VLOOKUP($B$16,'Annual Parameters'!$B$33:$W$143,3,FALSE)</f>
        <v>5.6121791521023043</v>
      </c>
      <c r="E31" s="1838">
        <f>'MECs - time of day'!E31*VLOOKUP($B$14,'Annual Parameters'!$B$33:$W$143,3,FALSE)/VLOOKUP($B$16,'Annual Parameters'!$B$33:$W$143,3,FALSE)</f>
        <v>3.1074943081528641</v>
      </c>
      <c r="F31" s="1838">
        <f>'MECs - time of day'!F31*VLOOKUP($B$14,'Annual Parameters'!$B$33:$W$143,3,FALSE)/VLOOKUP($B$16,'Annual Parameters'!$B$33:$W$143,3,FALSE)</f>
        <v>5.8191181514575359</v>
      </c>
      <c r="G31" s="1839">
        <f>'MECs - time of day'!G31*VLOOKUP($B$14,'Annual Parameters'!$B$33:$W$143,3,FALSE)/VLOOKUP($B$16,'Annual Parameters'!$B$33:$W$143,3,FALSE)</f>
        <v>1.0044037857165478</v>
      </c>
      <c r="H31" s="1837">
        <f>'MECs - time of day'!H31*VLOOKUP($B$14,'Annual Parameters'!$B$33:$W$143,3,FALSE)/VLOOKUP($B$16,'Annual Parameters'!$B$33:$W$143,3,FALSE)</f>
        <v>3.9274005211706213</v>
      </c>
      <c r="I31" s="1839">
        <f>'MECs - time of day'!I31*VLOOKUP($B$14,'Annual Parameters'!$B$33:$W$143,3,FALSE)/VLOOKUP($B$16,'Annual Parameters'!$B$33:$W$143,3,FALSE)</f>
        <v>3.445326547811101</v>
      </c>
      <c r="J31" s="1840">
        <f>'MECs - time of day'!J31*VLOOKUP($B$14,'Annual Parameters'!$B$33:$W$143,3,FALSE)/VLOOKUP($B$16,'Annual Parameters'!$B$33:$W$143,3,FALSE)</f>
        <v>3.5790012079030138</v>
      </c>
      <c r="L31" s="259" t="s">
        <v>860</v>
      </c>
      <c r="M31" s="1774"/>
      <c r="N31" s="1837">
        <f>'MECs - time of day'!N31*VLOOKUP($B$14,'Annual Parameters'!$B$33:$W$143,3,FALSE)/VLOOKUP($B$16,'Annual Parameters'!$B$33:$W$143,3,FALSE)</f>
        <v>6.3126309826882201</v>
      </c>
      <c r="O31" s="1838">
        <f>'MECs - time of day'!O31*VLOOKUP($B$14,'Annual Parameters'!$B$33:$W$143,3,FALSE)/VLOOKUP($B$16,'Annual Parameters'!$B$33:$W$143,3,FALSE)</f>
        <v>3.5505093093000966</v>
      </c>
      <c r="P31" s="1838">
        <f>'MECs - time of day'!P31*VLOOKUP($B$14,'Annual Parameters'!$B$33:$W$143,3,FALSE)/VLOOKUP($B$16,'Annual Parameters'!$B$33:$W$143,3,FALSE)</f>
        <v>6.4703263275692828</v>
      </c>
      <c r="Q31" s="1839">
        <f>'MECs - time of day'!Q31*VLOOKUP($B$14,'Annual Parameters'!$B$33:$W$143,3,FALSE)/VLOOKUP($B$16,'Annual Parameters'!$B$33:$W$143,3,FALSE)</f>
        <v>1.1149572490615183</v>
      </c>
      <c r="R31" s="1837">
        <f>'MECs - time of day'!R31*VLOOKUP($B$14,'Annual Parameters'!$B$33:$W$143,3,FALSE)/VLOOKUP($B$16,'Annual Parameters'!$B$33:$W$143,3,FALSE)</f>
        <v>4.4223567572965239</v>
      </c>
      <c r="S31" s="1839">
        <f>'MECs - time of day'!S31*VLOOKUP($B$14,'Annual Parameters'!$B$33:$W$143,3,FALSE)/VLOOKUP($B$16,'Annual Parameters'!$B$33:$W$143,3,FALSE)</f>
        <v>3.8972601041872093</v>
      </c>
      <c r="T31" s="1840">
        <f>'MECs - time of day'!T31*VLOOKUP($B$14,'Annual Parameters'!$B$33:$W$143,3,FALSE)/VLOOKUP($B$16,'Annual Parameters'!$B$33:$W$143,3,FALSE)</f>
        <v>3.994595971217008</v>
      </c>
      <c r="V31" s="259" t="s">
        <v>860</v>
      </c>
      <c r="W31" s="1774"/>
      <c r="X31" s="1837">
        <f>'MECs - time of day'!X31*VLOOKUP($B$14,'Annual Parameters'!$B$33:$W$143,3,FALSE)/VLOOKUP($B$16,'Annual Parameters'!$B$33:$W$143,3,FALSE)</f>
        <v>7.4413798459835183</v>
      </c>
      <c r="Y31" s="1838">
        <f>'MECs - time of day'!Y31*VLOOKUP($B$14,'Annual Parameters'!$B$33:$W$143,3,FALSE)/VLOOKUP($B$16,'Annual Parameters'!$B$33:$W$143,3,FALSE)</f>
        <v>4.2050043626642335</v>
      </c>
      <c r="Z31" s="1838">
        <f>'MECs - time of day'!Z31*VLOOKUP($B$14,'Annual Parameters'!$B$33:$W$143,3,FALSE)/VLOOKUP($B$16,'Annual Parameters'!$B$33:$W$143,3,FALSE)</f>
        <v>7.7644754144412556</v>
      </c>
      <c r="AA31" s="1839">
        <f>'MECs - time of day'!AA31*VLOOKUP($B$14,'Annual Parameters'!$B$33:$W$143,3,FALSE)/VLOOKUP($B$16,'Annual Parameters'!$B$33:$W$143,3,FALSE)</f>
        <v>1.1962913817812899</v>
      </c>
      <c r="AB31" s="1837">
        <f>'MECs - time of day'!AB31*VLOOKUP($B$14,'Annual Parameters'!$B$33:$W$143,3,FALSE)/VLOOKUP($B$16,'Annual Parameters'!$B$33:$W$143,3,FALSE)</f>
        <v>5.2210141833474646</v>
      </c>
      <c r="AC31" s="1839">
        <f>'MECs - time of day'!AC31*VLOOKUP($B$14,'Annual Parameters'!$B$33:$W$143,3,FALSE)/VLOOKUP($B$16,'Annual Parameters'!$B$33:$W$143,3,FALSE)</f>
        <v>4.6278740577022539</v>
      </c>
      <c r="AD31" s="1840">
        <f>'MECs - time of day'!AD31*VLOOKUP($B$14,'Annual Parameters'!$B$33:$W$143,3,FALSE)/VLOOKUP($B$16,'Annual Parameters'!$B$33:$W$143,3,FALSE)</f>
        <v>4.6511309825611455</v>
      </c>
      <c r="AF31" s="259" t="s">
        <v>860</v>
      </c>
      <c r="AG31" s="1774"/>
      <c r="AH31" s="1837">
        <f>'MECs - time of day'!AH31*VLOOKUP($B$14,'Annual Parameters'!$B$33:$W$143,3,FALSE)/VLOOKUP($B$16,'Annual Parameters'!$B$33:$W$143,3,FALSE)</f>
        <v>9.3489568049330192</v>
      </c>
      <c r="AI31" s="1838">
        <f>'MECs - time of day'!AI31*VLOOKUP($B$14,'Annual Parameters'!$B$33:$W$143,3,FALSE)/VLOOKUP($B$16,'Annual Parameters'!$B$33:$W$143,3,FALSE)</f>
        <v>5.346290618074871</v>
      </c>
      <c r="AJ31" s="1838">
        <f>'MECs - time of day'!AJ31*VLOOKUP($B$14,'Annual Parameters'!$B$33:$W$143,3,FALSE)/VLOOKUP($B$16,'Annual Parameters'!$B$33:$W$143,3,FALSE)</f>
        <v>9.700641251964214</v>
      </c>
      <c r="AK31" s="1839">
        <f>'MECs - time of day'!AK31*VLOOKUP($B$14,'Annual Parameters'!$B$33:$W$143,3,FALSE)/VLOOKUP($B$16,'Annual Parameters'!$B$33:$W$143,3,FALSE)</f>
        <v>1.4920180806594798</v>
      </c>
      <c r="AL31" s="1837">
        <f>'MECs - time of day'!AL31*VLOOKUP($B$14,'Annual Parameters'!$B$33:$W$143,3,FALSE)/VLOOKUP($B$16,'Annual Parameters'!$B$33:$W$143,3,FALSE)</f>
        <v>6.4838212148502672</v>
      </c>
      <c r="AM31" s="1839">
        <f>'MECs - time of day'!AM31*VLOOKUP($B$14,'Annual Parameters'!$B$33:$W$143,3,FALSE)/VLOOKUP($B$16,'Annual Parameters'!$B$33:$W$143,3,FALSE)</f>
        <v>5.7609019223313123</v>
      </c>
      <c r="AN31" s="1840">
        <f>'MECs - time of day'!AN31*VLOOKUP($B$14,'Annual Parameters'!$B$33:$W$143,3,FALSE)/VLOOKUP($B$16,'Annual Parameters'!$B$33:$W$143,3,FALSE)</f>
        <v>5.8560599383495182</v>
      </c>
      <c r="AP31" s="259" t="s">
        <v>860</v>
      </c>
      <c r="AQ31" s="1774"/>
      <c r="AR31" s="1837">
        <f>'MECs - time of day'!AR31*VLOOKUP($B$14,'Annual Parameters'!$B$33:$W$143,3,FALSE)/VLOOKUP($B$16,'Annual Parameters'!$B$33:$W$143,3,FALSE)</f>
        <v>11.269748134133243</v>
      </c>
      <c r="AS31" s="1838">
        <f>'MECs - time of day'!AS31*VLOOKUP($B$14,'Annual Parameters'!$B$33:$W$143,3,FALSE)/VLOOKUP($B$16,'Annual Parameters'!$B$33:$W$143,3,FALSE)</f>
        <v>6.7863883115180839</v>
      </c>
      <c r="AT31" s="1838">
        <f>'MECs - time of day'!AT31*VLOOKUP($B$14,'Annual Parameters'!$B$33:$W$143,3,FALSE)/VLOOKUP($B$16,'Annual Parameters'!$B$33:$W$143,3,FALSE)</f>
        <v>11.840302683658592</v>
      </c>
      <c r="AU31" s="1839">
        <f>'MECs - time of day'!AU31*VLOOKUP($B$14,'Annual Parameters'!$B$33:$W$143,3,FALSE)/VLOOKUP($B$16,'Annual Parameters'!$B$33:$W$143,3,FALSE)</f>
        <v>1.7095552513089496</v>
      </c>
      <c r="AV31" s="1837">
        <f>'MECs - time of day'!AV31*VLOOKUP($B$14,'Annual Parameters'!$B$33:$W$143,3,FALSE)/VLOOKUP($B$16,'Annual Parameters'!$B$33:$W$143,3,FALSE)</f>
        <v>7.9914217361021205</v>
      </c>
      <c r="AW31" s="1839">
        <f>'MECs - time of day'!AW31*VLOOKUP($B$14,'Annual Parameters'!$B$33:$W$143,3,FALSE)/VLOOKUP($B$16,'Annual Parameters'!$B$33:$W$143,3,FALSE)</f>
        <v>7.0703725231699455</v>
      </c>
      <c r="AX31" s="1840">
        <f>'MECs - time of day'!AX31*VLOOKUP($B$14,'Annual Parameters'!$B$33:$W$143,3,FALSE)/VLOOKUP($B$16,'Annual Parameters'!$B$33:$W$143,3,FALSE)</f>
        <v>7.1311269388701195</v>
      </c>
      <c r="AZ31" s="259" t="s">
        <v>860</v>
      </c>
      <c r="BA31" s="1774"/>
      <c r="BB31" s="1837">
        <f>'MECs - time of day'!BB31*VLOOKUP($B$14,'Annual Parameters'!$B$33:$W$143,3,FALSE)/VLOOKUP($B$16,'Annual Parameters'!$B$33:$W$143,3,FALSE)</f>
        <v>13.919482711076807</v>
      </c>
      <c r="BC31" s="1838">
        <f>'MECs - time of day'!BC31*VLOOKUP($B$14,'Annual Parameters'!$B$33:$W$143,3,FALSE)/VLOOKUP($B$16,'Annual Parameters'!$B$33:$W$143,3,FALSE)</f>
        <v>7.9272474894891749</v>
      </c>
      <c r="BD31" s="1838">
        <f>'MECs - time of day'!BD31*VLOOKUP($B$14,'Annual Parameters'!$B$33:$W$143,3,FALSE)/VLOOKUP($B$16,'Annual Parameters'!$B$33:$W$143,3,FALSE)</f>
        <v>14.102495006231548</v>
      </c>
      <c r="BE31" s="1839">
        <f>'MECs - time of day'!BE31*VLOOKUP($B$14,'Annual Parameters'!$B$33:$W$143,3,FALSE)/VLOOKUP($B$16,'Annual Parameters'!$B$33:$W$143,3,FALSE)</f>
        <v>2.2171558196415915</v>
      </c>
      <c r="BF31" s="1837">
        <f>'MECs - time of day'!BF31*VLOOKUP($B$14,'Annual Parameters'!$B$33:$W$143,3,FALSE)/VLOOKUP($B$16,'Annual Parameters'!$B$33:$W$143,3,FALSE)</f>
        <v>9.6057273540837222</v>
      </c>
      <c r="BG31" s="1839">
        <f>'MECs - time of day'!BG31*VLOOKUP($B$14,'Annual Parameters'!$B$33:$W$143,3,FALSE)/VLOOKUP($B$16,'Annual Parameters'!$B$33:$W$143,3,FALSE)</f>
        <v>8.6136909873446843</v>
      </c>
      <c r="BH31" s="1840">
        <f>'MECs - time of day'!BH31*VLOOKUP($B$14,'Annual Parameters'!$B$33:$W$143,3,FALSE)/VLOOKUP($B$16,'Annual Parameters'!$B$33:$W$143,3,FALSE)</f>
        <v>8.6967097112328364</v>
      </c>
    </row>
    <row r="32" spans="1:60" ht="13.5" customHeight="1" thickTop="1">
      <c r="A32" s="265" t="s">
        <v>1122</v>
      </c>
      <c r="B32" s="1769"/>
      <c r="C32" s="1769"/>
      <c r="D32" s="1841">
        <f>'MECs - time of day'!D32*VLOOKUP($B$14,'Annual Parameters'!$B$33:$W$143,3,FALSE)/VLOOKUP($B$16,'Annual Parameters'!$B$33:$W$143,3,FALSE)</f>
        <v>9.6937639899948902</v>
      </c>
      <c r="E32" s="1842">
        <f>'MECs - time of day'!E32*VLOOKUP($B$14,'Annual Parameters'!$B$33:$W$143,3,FALSE)/VLOOKUP($B$16,'Annual Parameters'!$B$33:$W$143,3,FALSE)</f>
        <v>5.3054780870902558</v>
      </c>
      <c r="F32" s="1842">
        <f>'MECs - time of day'!F32*VLOOKUP($B$14,'Annual Parameters'!$B$33:$W$143,3,FALSE)/VLOOKUP($B$16,'Annual Parameters'!$B$33:$W$143,3,FALSE)</f>
        <v>10.653462461899183</v>
      </c>
      <c r="G32" s="1843">
        <f>'MECs - time of day'!G32*VLOOKUP($B$14,'Annual Parameters'!$B$33:$W$143,3,FALSE)/VLOOKUP($B$16,'Annual Parameters'!$B$33:$W$143,3,FALSE)</f>
        <v>1.0044037857165478</v>
      </c>
      <c r="H32" s="1841">
        <f>'MECs - time of day'!H32*VLOOKUP($B$14,'Annual Parameters'!$B$33:$W$143,3,FALSE)/VLOOKUP($B$16,'Annual Parameters'!$B$33:$W$143,3,FALSE)</f>
        <v>6.6849370573116964</v>
      </c>
      <c r="I32" s="1843">
        <f>'MECs - time of day'!I32*VLOOKUP($B$14,'Annual Parameters'!$B$33:$W$143,3,FALSE)/VLOOKUP($B$16,'Annual Parameters'!$B$33:$W$143,3,FALSE)</f>
        <v>5.5306557741178208</v>
      </c>
      <c r="J32" s="1844">
        <f>'MECs - time of day'!J32*VLOOKUP($B$14,'Annual Parameters'!$B$33:$W$143,3,FALSE)/VLOOKUP($B$16,'Annual Parameters'!$B$33:$W$143,3,FALSE)</f>
        <v>5.794573384223928</v>
      </c>
      <c r="L32" s="265" t="s">
        <v>1122</v>
      </c>
      <c r="M32" s="1769"/>
      <c r="N32" s="1841">
        <f>'MECs - time of day'!N32*VLOOKUP($B$14,'Annual Parameters'!$B$33:$W$143,3,FALSE)/VLOOKUP($B$16,'Annual Parameters'!$B$33:$W$143,3,FALSE)</f>
        <v>10.895774024913914</v>
      </c>
      <c r="O32" s="1842">
        <f>'MECs - time of day'!O32*VLOOKUP($B$14,'Annual Parameters'!$B$33:$W$143,3,FALSE)/VLOOKUP($B$16,'Annual Parameters'!$B$33:$W$143,3,FALSE)</f>
        <v>6.0976138137979925</v>
      </c>
      <c r="P32" s="1842">
        <f>'MECs - time of day'!P32*VLOOKUP($B$14,'Annual Parameters'!$B$33:$W$143,3,FALSE)/VLOOKUP($B$16,'Annual Parameters'!$B$33:$W$143,3,FALSE)</f>
        <v>12.211601801327941</v>
      </c>
      <c r="Q32" s="1843">
        <f>'MECs - time of day'!Q32*VLOOKUP($B$14,'Annual Parameters'!$B$33:$W$143,3,FALSE)/VLOOKUP($B$16,'Annual Parameters'!$B$33:$W$143,3,FALSE)</f>
        <v>1.2078703531499781</v>
      </c>
      <c r="R32" s="1841">
        <f>'MECs - time of day'!R32*VLOOKUP($B$14,'Annual Parameters'!$B$33:$W$143,3,FALSE)/VLOOKUP($B$16,'Annual Parameters'!$B$33:$W$143,3,FALSE)</f>
        <v>7.5690336807575127</v>
      </c>
      <c r="S32" s="1843">
        <f>'MECs - time of day'!S32*VLOOKUP($B$14,'Annual Parameters'!$B$33:$W$143,3,FALSE)/VLOOKUP($B$16,'Annual Parameters'!$B$33:$W$143,3,FALSE)</f>
        <v>6.3098496924935761</v>
      </c>
      <c r="T32" s="1844">
        <f>'MECs - time of day'!T32*VLOOKUP($B$14,'Annual Parameters'!$B$33:$W$143,3,FALSE)/VLOOKUP($B$16,'Annual Parameters'!$B$33:$W$143,3,FALSE)</f>
        <v>6.5997672567933181</v>
      </c>
      <c r="V32" s="265" t="s">
        <v>1122</v>
      </c>
      <c r="W32" s="1769"/>
      <c r="X32" s="1841">
        <f>'MECs - time of day'!X32*VLOOKUP($B$14,'Annual Parameters'!$B$33:$W$143,3,FALSE)/VLOOKUP($B$16,'Annual Parameters'!$B$33:$W$143,3,FALSE)</f>
        <v>13.257630760085579</v>
      </c>
      <c r="Y32" s="1842">
        <f>'MECs - time of day'!Y32*VLOOKUP($B$14,'Annual Parameters'!$B$33:$W$143,3,FALSE)/VLOOKUP($B$16,'Annual Parameters'!$B$33:$W$143,3,FALSE)</f>
        <v>7.7219171023470459</v>
      </c>
      <c r="Z32" s="1842">
        <f>'MECs - time of day'!Z32*VLOOKUP($B$14,'Annual Parameters'!$B$33:$W$143,3,FALSE)/VLOOKUP($B$16,'Annual Parameters'!$B$33:$W$143,3,FALSE)</f>
        <v>14.896958643986132</v>
      </c>
      <c r="AA32" s="1843">
        <f>'MECs - time of day'!AA32*VLOOKUP($B$14,'Annual Parameters'!$B$33:$W$143,3,FALSE)/VLOOKUP($B$16,'Annual Parameters'!$B$33:$W$143,3,FALSE)</f>
        <v>1.6564034516971704</v>
      </c>
      <c r="AB32" s="1841">
        <f>'MECs - time of day'!AB32*VLOOKUP($B$14,'Annual Parameters'!$B$33:$W$143,3,FALSE)/VLOOKUP($B$16,'Annual Parameters'!$B$33:$W$143,3,FALSE)</f>
        <v>9.3472995863156214</v>
      </c>
      <c r="AC32" s="1843">
        <f>'MECs - time of day'!AC32*VLOOKUP($B$14,'Annual Parameters'!$B$33:$W$143,3,FALSE)/VLOOKUP($B$16,'Annual Parameters'!$B$33:$W$143,3,FALSE)</f>
        <v>7.9599433792478758</v>
      </c>
      <c r="AD32" s="1844">
        <f>'MECs - time of day'!AD32*VLOOKUP($B$14,'Annual Parameters'!$B$33:$W$143,3,FALSE)/VLOOKUP($B$16,'Annual Parameters'!$B$33:$W$143,3,FALSE)</f>
        <v>8.1825452470983109</v>
      </c>
      <c r="AF32" s="265" t="s">
        <v>1122</v>
      </c>
      <c r="AG32" s="1769"/>
      <c r="AH32" s="1841">
        <f>'MECs - time of day'!AH32*VLOOKUP($B$14,'Annual Parameters'!$B$33:$W$143,3,FALSE)/VLOOKUP($B$16,'Annual Parameters'!$B$33:$W$143,3,FALSE)</f>
        <v>17.572576216679657</v>
      </c>
      <c r="AI32" s="1842">
        <f>'MECs - time of day'!AI32*VLOOKUP($B$14,'Annual Parameters'!$B$33:$W$143,3,FALSE)/VLOOKUP($B$16,'Annual Parameters'!$B$33:$W$143,3,FALSE)</f>
        <v>10.46013381797257</v>
      </c>
      <c r="AJ32" s="1842">
        <f>'MECs - time of day'!AJ32*VLOOKUP($B$14,'Annual Parameters'!$B$33:$W$143,3,FALSE)/VLOOKUP($B$16,'Annual Parameters'!$B$33:$W$143,3,FALSE)</f>
        <v>19.858859921473911</v>
      </c>
      <c r="AK32" s="1843">
        <f>'MECs - time of day'!AK32*VLOOKUP($B$14,'Annual Parameters'!$B$33:$W$143,3,FALSE)/VLOOKUP($B$16,'Annual Parameters'!$B$33:$W$143,3,FALSE)</f>
        <v>2.3312782510304371</v>
      </c>
      <c r="AL32" s="1841">
        <f>'MECs - time of day'!AL32*VLOOKUP($B$14,'Annual Parameters'!$B$33:$W$143,3,FALSE)/VLOOKUP($B$16,'Annual Parameters'!$B$33:$W$143,3,FALSE)</f>
        <v>12.455761807475513</v>
      </c>
      <c r="AM32" s="1843">
        <f>'MECs - time of day'!AM32*VLOOKUP($B$14,'Annual Parameters'!$B$33:$W$143,3,FALSE)/VLOOKUP($B$16,'Annual Parameters'!$B$33:$W$143,3,FALSE)</f>
        <v>10.671834708580956</v>
      </c>
      <c r="AN32" s="1844">
        <f>'MECs - time of day'!AN32*VLOOKUP($B$14,'Annual Parameters'!$B$33:$W$143,3,FALSE)/VLOOKUP($B$16,'Annual Parameters'!$B$33:$W$143,3,FALSE)</f>
        <v>11.012888839284166</v>
      </c>
      <c r="AP32" s="265" t="s">
        <v>1122</v>
      </c>
      <c r="AQ32" s="1769"/>
      <c r="AR32" s="1841">
        <f>'MECs - time of day'!AR32*VLOOKUP($B$14,'Annual Parameters'!$B$33:$W$143,3,FALSE)/VLOOKUP($B$16,'Annual Parameters'!$B$33:$W$143,3,FALSE)</f>
        <v>21.130777751499828</v>
      </c>
      <c r="AS32" s="1842">
        <f>'MECs - time of day'!AS32*VLOOKUP($B$14,'Annual Parameters'!$B$33:$W$143,3,FALSE)/VLOOKUP($B$16,'Annual Parameters'!$B$33:$W$143,3,FALSE)</f>
        <v>12.862573195086602</v>
      </c>
      <c r="AT32" s="1842">
        <f>'MECs - time of day'!AT32*VLOOKUP($B$14,'Annual Parameters'!$B$33:$W$143,3,FALSE)/VLOOKUP($B$16,'Annual Parameters'!$B$33:$W$143,3,FALSE)</f>
        <v>23.494143907732013</v>
      </c>
      <c r="AU32" s="1843">
        <f>'MECs - time of day'!AU32*VLOOKUP($B$14,'Annual Parameters'!$B$33:$W$143,3,FALSE)/VLOOKUP($B$16,'Annual Parameters'!$B$33:$W$143,3,FALSE)</f>
        <v>3.1341846273997409</v>
      </c>
      <c r="AV32" s="1841">
        <f>'MECs - time of day'!AV32*VLOOKUP($B$14,'Annual Parameters'!$B$33:$W$143,3,FALSE)/VLOOKUP($B$16,'Annual Parameters'!$B$33:$W$143,3,FALSE)</f>
        <v>15.0273473950616</v>
      </c>
      <c r="AW32" s="1843">
        <f>'MECs - time of day'!AW32*VLOOKUP($B$14,'Annual Parameters'!$B$33:$W$143,3,FALSE)/VLOOKUP($B$16,'Annual Parameters'!$B$33:$W$143,3,FALSE)</f>
        <v>13.172200865083735</v>
      </c>
      <c r="AX32" s="1844">
        <f>'MECs - time of day'!AX32*VLOOKUP($B$14,'Annual Parameters'!$B$33:$W$143,3,FALSE)/VLOOKUP($B$16,'Annual Parameters'!$B$33:$W$143,3,FALSE)</f>
        <v>13.370863010381472</v>
      </c>
      <c r="AZ32" s="265" t="s">
        <v>1122</v>
      </c>
      <c r="BA32" s="1769"/>
      <c r="BB32" s="1841">
        <f>'MECs - time of day'!BB32*VLOOKUP($B$14,'Annual Parameters'!$B$33:$W$143,3,FALSE)/VLOOKUP($B$16,'Annual Parameters'!$B$33:$W$143,3,FALSE)</f>
        <v>25.965188903354814</v>
      </c>
      <c r="BC32" s="1842">
        <f>'MECs - time of day'!BC32*VLOOKUP($B$14,'Annual Parameters'!$B$33:$W$143,3,FALSE)/VLOOKUP($B$16,'Annual Parameters'!$B$33:$W$143,3,FALSE)</f>
        <v>15.85449497897835</v>
      </c>
      <c r="BD32" s="1842">
        <f>'MECs - time of day'!BD32*VLOOKUP($B$14,'Annual Parameters'!$B$33:$W$143,3,FALSE)/VLOOKUP($B$16,'Annual Parameters'!$B$33:$W$143,3,FALSE)</f>
        <v>29.15146618737797</v>
      </c>
      <c r="BE32" s="1843">
        <f>'MECs - time of day'!BE32*VLOOKUP($B$14,'Annual Parameters'!$B$33:$W$143,3,FALSE)/VLOOKUP($B$16,'Annual Parameters'!$B$33:$W$143,3,FALSE)</f>
        <v>4.2415154810534803</v>
      </c>
      <c r="BF32" s="1841">
        <f>'MECs - time of day'!BF32*VLOOKUP($B$14,'Annual Parameters'!$B$33:$W$143,3,FALSE)/VLOOKUP($B$16,'Annual Parameters'!$B$33:$W$143,3,FALSE)</f>
        <v>18.594573134969409</v>
      </c>
      <c r="BG32" s="1843">
        <f>'MECs - time of day'!BG32*VLOOKUP($B$14,'Annual Parameters'!$B$33:$W$143,3,FALSE)/VLOOKUP($B$16,'Annual Parameters'!$B$33:$W$143,3,FALSE)</f>
        <v>16.534326378006465</v>
      </c>
      <c r="BH32" s="1844">
        <f>'MECs - time of day'!BH32*VLOOKUP($B$14,'Annual Parameters'!$B$33:$W$143,3,FALSE)/VLOOKUP($B$16,'Annual Parameters'!$B$33:$W$143,3,FALSE)</f>
        <v>16.578102887037595</v>
      </c>
    </row>
    <row r="33" spans="1:60" ht="13.5" customHeight="1">
      <c r="A33" s="265" t="s">
        <v>1123</v>
      </c>
      <c r="B33" s="1769"/>
      <c r="C33" s="1769"/>
      <c r="D33" s="1841">
        <f>'MECs - time of day'!D33*VLOOKUP($B$14,'Annual Parameters'!$B$33:$W$143,3,FALSE)/VLOOKUP($B$16,'Annual Parameters'!$B$33:$W$143,3,FALSE)</f>
        <v>8.928466832890031</v>
      </c>
      <c r="E33" s="1842">
        <f>'MECs - time of day'!E33*VLOOKUP($B$14,'Annual Parameters'!$B$33:$W$143,3,FALSE)/VLOOKUP($B$16,'Annual Parameters'!$B$33:$W$143,3,FALSE)</f>
        <v>5.4570631752928351</v>
      </c>
      <c r="F33" s="1842">
        <f>'MECs - time of day'!F33*VLOOKUP($B$14,'Annual Parameters'!$B$33:$W$143,3,FALSE)/VLOOKUP($B$16,'Annual Parameters'!$B$33:$W$143,3,FALSE)</f>
        <v>10.026788199434524</v>
      </c>
      <c r="G33" s="1843">
        <f>'MECs - time of day'!G33*VLOOKUP($B$14,'Annual Parameters'!$B$33:$W$143,3,FALSE)/VLOOKUP($B$16,'Annual Parameters'!$B$33:$W$143,3,FALSE)</f>
        <v>1.5522603961073917</v>
      </c>
      <c r="H33" s="1841">
        <f>'MECs - time of day'!H33*VLOOKUP($B$14,'Annual Parameters'!$B$33:$W$143,3,FALSE)/VLOOKUP($B$16,'Annual Parameters'!$B$33:$W$143,3,FALSE)</f>
        <v>6.5178136308789032</v>
      </c>
      <c r="I33" s="1843">
        <f>'MECs - time of day'!I33*VLOOKUP($B$14,'Annual Parameters'!$B$33:$W$143,3,FALSE)/VLOOKUP($B$16,'Annual Parameters'!$B$33:$W$143,3,FALSE)</f>
        <v>5.4399892860175294</v>
      </c>
      <c r="J33" s="1844">
        <f>'MECs - time of day'!J33*VLOOKUP($B$14,'Annual Parameters'!$B$33:$W$143,3,FALSE)/VLOOKUP($B$16,'Annual Parameters'!$B$33:$W$143,3,FALSE)</f>
        <v>5.7093590697500467</v>
      </c>
      <c r="L33" s="265" t="s">
        <v>1123</v>
      </c>
      <c r="M33" s="1769"/>
      <c r="N33" s="1841">
        <f>'MECs - time of day'!N33*VLOOKUP($B$14,'Annual Parameters'!$B$33:$W$143,3,FALSE)/VLOOKUP($B$16,'Annual Parameters'!$B$33:$W$143,3,FALSE)</f>
        <v>9.6851324665901455</v>
      </c>
      <c r="O33" s="1842">
        <f>'MECs - time of day'!O33*VLOOKUP($B$14,'Annual Parameters'!$B$33:$W$143,3,FALSE)/VLOOKUP($B$16,'Annual Parameters'!$B$33:$W$143,3,FALSE)</f>
        <v>6.0204288288132064</v>
      </c>
      <c r="P33" s="1842">
        <f>'MECs - time of day'!P33*VLOOKUP($B$14,'Annual Parameters'!$B$33:$W$143,3,FALSE)/VLOOKUP($B$16,'Annual Parameters'!$B$33:$W$143,3,FALSE)</f>
        <v>11.026894163885677</v>
      </c>
      <c r="Q33" s="1843">
        <f>'MECs - time of day'!Q33*VLOOKUP($B$14,'Annual Parameters'!$B$33:$W$143,3,FALSE)/VLOOKUP($B$16,'Annual Parameters'!$B$33:$W$143,3,FALSE)</f>
        <v>1.6724358735922771</v>
      </c>
      <c r="R33" s="1841">
        <f>'MECs - time of day'!R33*VLOOKUP($B$14,'Annual Parameters'!$B$33:$W$143,3,FALSE)/VLOOKUP($B$16,'Annual Parameters'!$B$33:$W$143,3,FALSE)</f>
        <v>7.1438070694789992</v>
      </c>
      <c r="S33" s="1843">
        <f>'MECs - time of day'!S33*VLOOKUP($B$14,'Annual Parameters'!$B$33:$W$143,3,FALSE)/VLOOKUP($B$16,'Annual Parameters'!$B$33:$W$143,3,FALSE)</f>
        <v>6.0314739707659184</v>
      </c>
      <c r="T33" s="1844">
        <f>'MECs - time of day'!T33*VLOOKUP($B$14,'Annual Parameters'!$B$33:$W$143,3,FALSE)/VLOOKUP($B$16,'Annual Parameters'!$B$33:$W$143,3,FALSE)</f>
        <v>6.2524110853831436</v>
      </c>
      <c r="V33" s="265" t="s">
        <v>1123</v>
      </c>
      <c r="W33" s="1769"/>
      <c r="X33" s="1841">
        <f>'MECs - time of day'!X33*VLOOKUP($B$14,'Annual Parameters'!$B$33:$W$143,3,FALSE)/VLOOKUP($B$16,'Annual Parameters'!$B$33:$W$143,3,FALSE)</f>
        <v>11.889101133238036</v>
      </c>
      <c r="Y33" s="1842">
        <f>'MECs - time of day'!Y33*VLOOKUP($B$14,'Annual Parameters'!$B$33:$W$143,3,FALSE)/VLOOKUP($B$16,'Annual Parameters'!$B$33:$W$143,3,FALSE)</f>
        <v>7.6454624775713329</v>
      </c>
      <c r="Z33" s="1842">
        <f>'MECs - time of day'!Z33*VLOOKUP($B$14,'Annual Parameters'!$B$33:$W$143,3,FALSE)/VLOOKUP($B$16,'Annual Parameters'!$B$33:$W$143,3,FALSE)</f>
        <v>13.362120480666352</v>
      </c>
      <c r="AA33" s="1843">
        <f>'MECs - time of day'!AA33*VLOOKUP($B$14,'Annual Parameters'!$B$33:$W$143,3,FALSE)/VLOOKUP($B$16,'Annual Parameters'!$B$33:$W$143,3,FALSE)</f>
        <v>1.8404482796635226</v>
      </c>
      <c r="AB33" s="1841">
        <f>'MECs - time of day'!AB33*VLOOKUP($B$14,'Annual Parameters'!$B$33:$W$143,3,FALSE)/VLOOKUP($B$16,'Annual Parameters'!$B$33:$W$143,3,FALSE)</f>
        <v>8.6736203368514335</v>
      </c>
      <c r="AC33" s="1843">
        <f>'MECs - time of day'!AC33*VLOOKUP($B$14,'Annual Parameters'!$B$33:$W$143,3,FALSE)/VLOOKUP($B$16,'Annual Parameters'!$B$33:$W$143,3,FALSE)</f>
        <v>7.4045984923236059</v>
      </c>
      <c r="AD33" s="1844">
        <f>'MECs - time of day'!AD33*VLOOKUP($B$14,'Annual Parameters'!$B$33:$W$143,3,FALSE)/VLOOKUP($B$16,'Annual Parameters'!$B$33:$W$143,3,FALSE)</f>
        <v>7.6657529157026287</v>
      </c>
      <c r="AF33" s="265" t="s">
        <v>1123</v>
      </c>
      <c r="AG33" s="1769"/>
      <c r="AH33" s="1841">
        <f>'MECs - time of day'!AH33*VLOOKUP($B$14,'Annual Parameters'!$B$33:$W$143,3,FALSE)/VLOOKUP($B$16,'Annual Parameters'!$B$33:$W$143,3,FALSE)</f>
        <v>15.235337015446401</v>
      </c>
      <c r="AI33" s="1842">
        <f>'MECs - time of day'!AI33*VLOOKUP($B$14,'Annual Parameters'!$B$33:$W$143,3,FALSE)/VLOOKUP($B$16,'Annual Parameters'!$B$33:$W$143,3,FALSE)</f>
        <v>9.762791563441068</v>
      </c>
      <c r="AJ33" s="1842">
        <f>'MECs - time of day'!AJ33*VLOOKUP($B$14,'Annual Parameters'!$B$33:$W$143,3,FALSE)/VLOOKUP($B$16,'Annual Parameters'!$B$33:$W$143,3,FALSE)</f>
        <v>17.021879932691924</v>
      </c>
      <c r="AK33" s="1843">
        <f>'MECs - time of day'!AK33*VLOOKUP($B$14,'Annual Parameters'!$B$33:$W$143,3,FALSE)/VLOOKUP($B$16,'Annual Parameters'!$B$33:$W$143,3,FALSE)</f>
        <v>2.3312782510304371</v>
      </c>
      <c r="AL33" s="1841">
        <f>'MECs - time of day'!AL33*VLOOKUP($B$14,'Annual Parameters'!$B$33:$W$143,3,FALSE)/VLOOKUP($B$16,'Annual Parameters'!$B$33:$W$143,3,FALSE)</f>
        <v>11.090746814875455</v>
      </c>
      <c r="AM33" s="1843">
        <f>'MECs - time of day'!AM33*VLOOKUP($B$14,'Annual Parameters'!$B$33:$W$143,3,FALSE)/VLOOKUP($B$16,'Annual Parameters'!$B$33:$W$143,3,FALSE)</f>
        <v>9.5385425271387305</v>
      </c>
      <c r="AN33" s="1844">
        <f>'MECs - time of day'!AN33*VLOOKUP($B$14,'Annual Parameters'!$B$33:$W$143,3,FALSE)/VLOOKUP($B$16,'Annual Parameters'!$B$33:$W$143,3,FALSE)</f>
        <v>9.7892345238081493</v>
      </c>
      <c r="AP33" s="265" t="s">
        <v>1123</v>
      </c>
      <c r="AQ33" s="1769"/>
      <c r="AR33" s="1841">
        <f>'MECs - time of day'!AR33*VLOOKUP($B$14,'Annual Parameters'!$B$33:$W$143,3,FALSE)/VLOOKUP($B$16,'Annual Parameters'!$B$33:$W$143,3,FALSE)</f>
        <v>18.225295810668602</v>
      </c>
      <c r="AS33" s="1842">
        <f>'MECs - time of day'!AS33*VLOOKUP($B$14,'Annual Parameters'!$B$33:$W$143,3,FALSE)/VLOOKUP($B$16,'Annual Parameters'!$B$33:$W$143,3,FALSE)</f>
        <v>12.073458275142638</v>
      </c>
      <c r="AT33" s="1842">
        <f>'MECs - time of day'!AT33*VLOOKUP($B$14,'Annual Parameters'!$B$33:$W$143,3,FALSE)/VLOOKUP($B$16,'Annual Parameters'!$B$33:$W$143,3,FALSE)</f>
        <v>20.417529824576629</v>
      </c>
      <c r="AU33" s="1843">
        <f>'MECs - time of day'!AU33*VLOOKUP($B$14,'Annual Parameters'!$B$33:$W$143,3,FALSE)/VLOOKUP($B$16,'Annual Parameters'!$B$33:$W$143,3,FALSE)</f>
        <v>2.7542834604421969</v>
      </c>
      <c r="AV33" s="1841">
        <f>'MECs - time of day'!AV33*VLOOKUP($B$14,'Annual Parameters'!$B$33:$W$143,3,FALSE)/VLOOKUP($B$16,'Annual Parameters'!$B$33:$W$143,3,FALSE)</f>
        <v>13.46380835973727</v>
      </c>
      <c r="AW33" s="1843">
        <f>'MECs - time of day'!AW33*VLOOKUP($B$14,'Annual Parameters'!$B$33:$W$143,3,FALSE)/VLOOKUP($B$16,'Annual Parameters'!$B$33:$W$143,3,FALSE)</f>
        <v>11.719384593199498</v>
      </c>
      <c r="AX33" s="1844">
        <f>'MECs - time of day'!AX33*VLOOKUP($B$14,'Annual Parameters'!$B$33:$W$143,3,FALSE)/VLOOKUP($B$16,'Annual Parameters'!$B$33:$W$143,3,FALSE)</f>
        <v>11.94463762260745</v>
      </c>
      <c r="AZ33" s="265" t="s">
        <v>1123</v>
      </c>
      <c r="BA33" s="1769"/>
      <c r="BB33" s="1841">
        <f>'MECs - time of day'!BB33*VLOOKUP($B$14,'Annual Parameters'!$B$33:$W$143,3,FALSE)/VLOOKUP($B$16,'Annual Parameters'!$B$33:$W$143,3,FALSE)</f>
        <v>22.574545678861742</v>
      </c>
      <c r="BC33" s="1842">
        <f>'MECs - time of day'!BC33*VLOOKUP($B$14,'Annual Parameters'!$B$33:$W$143,3,FALSE)/VLOOKUP($B$16,'Annual Parameters'!$B$33:$W$143,3,FALSE)</f>
        <v>15.454128944155666</v>
      </c>
      <c r="BD33" s="1842">
        <f>'MECs - time of day'!BD33*VLOOKUP($B$14,'Annual Parameters'!$B$33:$W$143,3,FALSE)/VLOOKUP($B$16,'Annual Parameters'!$B$33:$W$143,3,FALSE)</f>
        <v>25.365561487718491</v>
      </c>
      <c r="BE33" s="1843">
        <f>'MECs - time of day'!BE33*VLOOKUP($B$14,'Annual Parameters'!$B$33:$W$143,3,FALSE)/VLOOKUP($B$16,'Annual Parameters'!$B$33:$W$143,3,FALSE)</f>
        <v>3.4703308481346653</v>
      </c>
      <c r="BF33" s="1841">
        <f>'MECs - time of day'!BF33*VLOOKUP($B$14,'Annual Parameters'!$B$33:$W$143,3,FALSE)/VLOOKUP($B$16,'Annual Parameters'!$B$33:$W$143,3,FALSE)</f>
        <v>16.743928415375294</v>
      </c>
      <c r="BG33" s="1843">
        <f>'MECs - time of day'!BG33*VLOOKUP($B$14,'Annual Parameters'!$B$33:$W$143,3,FALSE)/VLOOKUP($B$16,'Annual Parameters'!$B$33:$W$143,3,FALSE)</f>
        <v>14.752183415107565</v>
      </c>
      <c r="BH33" s="1844">
        <f>'MECs - time of day'!BH33*VLOOKUP($B$14,'Annual Parameters'!$B$33:$W$143,3,FALSE)/VLOOKUP($B$16,'Annual Parameters'!$B$33:$W$143,3,FALSE)</f>
        <v>14.947469816181437</v>
      </c>
    </row>
    <row r="34" spans="1:60" ht="13.5" customHeight="1">
      <c r="A34" s="265" t="s">
        <v>1487</v>
      </c>
      <c r="B34" s="1769"/>
      <c r="C34" s="1769"/>
      <c r="D34" s="1841">
        <f>'MECs - time of day'!D34*VLOOKUP($B$14,'Annual Parameters'!$B$33:$W$143,3,FALSE)/VLOOKUP($B$16,'Annual Parameters'!$B$33:$W$143,3,FALSE)</f>
        <v>63.604697057159456</v>
      </c>
      <c r="E34" s="1842">
        <f>'MECs - time of day'!E34*VLOOKUP($B$14,'Annual Parameters'!$B$33:$W$143,3,FALSE)/VLOOKUP($B$16,'Annual Parameters'!$B$33:$W$143,3,FALSE)</f>
        <v>53.812706311915456</v>
      </c>
      <c r="F34" s="1842">
        <f>'MECs - time of day'!F34*VLOOKUP($B$14,'Annual Parameters'!$B$33:$W$143,3,FALSE)/VLOOKUP($B$16,'Annual Parameters'!$B$33:$W$143,3,FALSE)</f>
        <v>72.515164656624691</v>
      </c>
      <c r="G34" s="1843">
        <f>'MECs - time of day'!G34*VLOOKUP($B$14,'Annual Parameters'!$B$33:$W$143,3,FALSE)/VLOOKUP($B$16,'Annual Parameters'!$B$33:$W$143,3,FALSE)</f>
        <v>34.423657019558043</v>
      </c>
      <c r="H34" s="1841">
        <f>'MECs - time of day'!H34*VLOOKUP($B$14,'Annual Parameters'!$B$33:$W$143,3,FALSE)/VLOOKUP($B$16,'Annual Parameters'!$B$33:$W$143,3,FALSE)</f>
        <v>53.813743311359161</v>
      </c>
      <c r="I34" s="1843">
        <f>'MECs - time of day'!I34*VLOOKUP($B$14,'Annual Parameters'!$B$33:$W$143,3,FALSE)/VLOOKUP($B$16,'Annual Parameters'!$B$33:$W$143,3,FALSE)</f>
        <v>49.05057006225806</v>
      </c>
      <c r="J34" s="1844">
        <f>'MECs - time of day'!J34*VLOOKUP($B$14,'Annual Parameters'!$B$33:$W$143,3,FALSE)/VLOOKUP($B$16,'Annual Parameters'!$B$33:$W$143,3,FALSE)</f>
        <v>49.424302394851146</v>
      </c>
      <c r="L34" s="265" t="s">
        <v>1487</v>
      </c>
      <c r="M34" s="1769"/>
      <c r="N34" s="1841">
        <f>'MECs - time of day'!N34*VLOOKUP($B$14,'Annual Parameters'!$B$33:$W$143,3,FALSE)/VLOOKUP($B$16,'Annual Parameters'!$B$33:$W$143,3,FALSE)</f>
        <v>72.724967896449215</v>
      </c>
      <c r="O34" s="1842">
        <f>'MECs - time of day'!O34*VLOOKUP($B$14,'Annual Parameters'!$B$33:$W$143,3,FALSE)/VLOOKUP($B$16,'Annual Parameters'!$B$33:$W$143,3,FALSE)</f>
        <v>62.519837837675617</v>
      </c>
      <c r="P34" s="1842">
        <f>'MECs - time of day'!P34*VLOOKUP($B$14,'Annual Parameters'!$B$33:$W$143,3,FALSE)/VLOOKUP($B$16,'Annual Parameters'!$B$33:$W$143,3,FALSE)</f>
        <v>82.747271907505748</v>
      </c>
      <c r="Q34" s="1843">
        <f>'MECs - time of day'!Q34*VLOOKUP($B$14,'Annual Parameters'!$B$33:$W$143,3,FALSE)/VLOOKUP($B$16,'Annual Parameters'!$B$33:$W$143,3,FALSE)</f>
        <v>39.859721653949272</v>
      </c>
      <c r="R34" s="1841">
        <f>'MECs - time of day'!R34*VLOOKUP($B$14,'Annual Parameters'!$B$33:$W$143,3,FALSE)/VLOOKUP($B$16,'Annual Parameters'!$B$33:$W$143,3,FALSE)</f>
        <v>61.912994602151329</v>
      </c>
      <c r="S34" s="1843">
        <f>'MECs - time of day'!S34*VLOOKUP($B$14,'Annual Parameters'!$B$33:$W$143,3,FALSE)/VLOOKUP($B$16,'Annual Parameters'!$B$33:$W$143,3,FALSE)</f>
        <v>56.881439139684737</v>
      </c>
      <c r="T34" s="1844">
        <f>'MECs - time of day'!T34*VLOOKUP($B$14,'Annual Parameters'!$B$33:$W$143,3,FALSE)/VLOOKUP($B$16,'Annual Parameters'!$B$33:$W$143,3,FALSE)</f>
        <v>56.966412111268625</v>
      </c>
      <c r="V34" s="265" t="s">
        <v>1487</v>
      </c>
      <c r="W34" s="1769"/>
      <c r="X34" s="1841">
        <f>'MECs - time of day'!X34*VLOOKUP($B$14,'Annual Parameters'!$B$33:$W$143,3,FALSE)/VLOOKUP($B$16,'Annual Parameters'!$B$33:$W$143,3,FALSE)</f>
        <v>89.467624355158165</v>
      </c>
      <c r="Y34" s="1842">
        <f>'MECs - time of day'!Y34*VLOOKUP($B$14,'Annual Parameters'!$B$33:$W$143,3,FALSE)/VLOOKUP($B$16,'Annual Parameters'!$B$33:$W$143,3,FALSE)</f>
        <v>79.665719016293295</v>
      </c>
      <c r="Z34" s="1842">
        <f>'MECs - time of day'!Z34*VLOOKUP($B$14,'Annual Parameters'!$B$33:$W$143,3,FALSE)/VLOOKUP($B$16,'Annual Parameters'!$B$33:$W$143,3,FALSE)</f>
        <v>102.38273395321379</v>
      </c>
      <c r="AA34" s="1843">
        <f>'MECs - time of day'!AA34*VLOOKUP($B$14,'Annual Parameters'!$B$33:$W$143,3,FALSE)/VLOOKUP($B$16,'Annual Parameters'!$B$33:$W$143,3,FALSE)</f>
        <v>51.440529416595467</v>
      </c>
      <c r="AB34" s="1841">
        <f>'MECs - time of day'!AB34*VLOOKUP($B$14,'Annual Parameters'!$B$33:$W$143,3,FALSE)/VLOOKUP($B$16,'Annual Parameters'!$B$33:$W$143,3,FALSE)</f>
        <v>77.641533500747784</v>
      </c>
      <c r="AC34" s="1843">
        <f>'MECs - time of day'!AC34*VLOOKUP($B$14,'Annual Parameters'!$B$33:$W$143,3,FALSE)/VLOOKUP($B$16,'Annual Parameters'!$B$33:$W$143,3,FALSE)</f>
        <v>72.657622705925377</v>
      </c>
      <c r="AD34" s="1844">
        <f>'MECs - time of day'!AD34*VLOOKUP($B$14,'Annual Parameters'!$B$33:$W$143,3,FALSE)/VLOOKUP($B$16,'Annual Parameters'!$B$33:$W$143,3,FALSE)</f>
        <v>72.092530229697758</v>
      </c>
      <c r="AF34" s="265" t="s">
        <v>1487</v>
      </c>
      <c r="AG34" s="1769"/>
      <c r="AH34" s="1841">
        <f>'MECs - time of day'!AH34*VLOOKUP($B$14,'Annual Parameters'!$B$33:$W$143,3,FALSE)/VLOOKUP($B$16,'Annual Parameters'!$B$33:$W$143,3,FALSE)</f>
        <v>117.2082177211047</v>
      </c>
      <c r="AI34" s="1842">
        <f>'MECs - time of day'!AI34*VLOOKUP($B$14,'Annual Parameters'!$B$33:$W$143,3,FALSE)/VLOOKUP($B$16,'Annual Parameters'!$B$33:$W$143,3,FALSE)</f>
        <v>111.10986588868644</v>
      </c>
      <c r="AJ34" s="1842">
        <f>'MECs - time of day'!AJ34*VLOOKUP($B$14,'Annual Parameters'!$B$33:$W$143,3,FALSE)/VLOOKUP($B$16,'Annual Parameters'!$B$33:$W$143,3,FALSE)</f>
        <v>132.23987367064424</v>
      </c>
      <c r="AK34" s="1843">
        <f>'MECs - time of day'!AK34*VLOOKUP($B$14,'Annual Parameters'!$B$33:$W$143,3,FALSE)/VLOOKUP($B$16,'Annual Parameters'!$B$33:$W$143,3,FALSE)</f>
        <v>74.227899512809103</v>
      </c>
      <c r="AL34" s="1841">
        <f>'MECs - time of day'!AL34*VLOOKUP($B$14,'Annual Parameters'!$B$33:$W$143,3,FALSE)/VLOOKUP($B$16,'Annual Parameters'!$B$33:$W$143,3,FALSE)</f>
        <v>105.19146786724183</v>
      </c>
      <c r="AM34" s="1843">
        <f>'MECs - time of day'!AM34*VLOOKUP($B$14,'Annual Parameters'!$B$33:$W$143,3,FALSE)/VLOOKUP($B$16,'Annual Parameters'!$B$33:$W$143,3,FALSE)</f>
        <v>99.163065876194736</v>
      </c>
      <c r="AN34" s="1844">
        <f>'MECs - time of day'!AN34*VLOOKUP($B$14,'Annual Parameters'!$B$33:$W$143,3,FALSE)/VLOOKUP($B$16,'Annual Parameters'!$B$33:$W$143,3,FALSE)</f>
        <v>97.717537478727778</v>
      </c>
      <c r="AP34" s="265" t="s">
        <v>1487</v>
      </c>
      <c r="AQ34" s="1769"/>
      <c r="AR34" s="1841">
        <f>'MECs - time of day'!AR34*VLOOKUP($B$14,'Annual Parameters'!$B$33:$W$143,3,FALSE)/VLOOKUP($B$16,'Annual Parameters'!$B$33:$W$143,3,FALSE)</f>
        <v>140.51967204747385</v>
      </c>
      <c r="AS34" s="1842">
        <f>'MECs - time of day'!AS34*VLOOKUP($B$14,'Annual Parameters'!$B$33:$W$143,3,FALSE)/VLOOKUP($B$16,'Annual Parameters'!$B$33:$W$143,3,FALSE)</f>
        <v>129.2570238868212</v>
      </c>
      <c r="AT34" s="1842">
        <f>'MECs - time of day'!AT34*VLOOKUP($B$14,'Annual Parameters'!$B$33:$W$143,3,FALSE)/VLOOKUP($B$16,'Annual Parameters'!$B$33:$W$143,3,FALSE)</f>
        <v>158.86516356656887</v>
      </c>
      <c r="AU34" s="1843">
        <f>'MECs - time of day'!AU34*VLOOKUP($B$14,'Annual Parameters'!$B$33:$W$143,3,FALSE)/VLOOKUP($B$16,'Annual Parameters'!$B$33:$W$143,3,FALSE)</f>
        <v>87.947120150671509</v>
      </c>
      <c r="AV34" s="1841">
        <f>'MECs - time of day'!AV34*VLOOKUP($B$14,'Annual Parameters'!$B$33:$W$143,3,FALSE)/VLOOKUP($B$16,'Annual Parameters'!$B$33:$W$143,3,FALSE)</f>
        <v>124.30135330828406</v>
      </c>
      <c r="AW34" s="1843">
        <f>'MECs - time of day'!AW34*VLOOKUP($B$14,'Annual Parameters'!$B$33:$W$143,3,FALSE)/VLOOKUP($B$16,'Annual Parameters'!$B$33:$W$143,3,FALSE)</f>
        <v>122.03656683827577</v>
      </c>
      <c r="AX34" s="1844">
        <f>'MECs - time of day'!AX34*VLOOKUP($B$14,'Annual Parameters'!$B$33:$W$143,3,FALSE)/VLOOKUP($B$16,'Annual Parameters'!$B$33:$W$143,3,FALSE)</f>
        <v>118.02015083830047</v>
      </c>
      <c r="AZ34" s="265" t="s">
        <v>1487</v>
      </c>
      <c r="BA34" s="1769"/>
      <c r="BB34" s="1841">
        <f>'MECs - time of day'!BB34*VLOOKUP($B$14,'Annual Parameters'!$B$33:$W$143,3,FALSE)/VLOOKUP($B$16,'Annual Parameters'!$B$33:$W$143,3,FALSE)</f>
        <v>167.92606706568299</v>
      </c>
      <c r="BC34" s="1842">
        <f>'MECs - time of day'!BC34*VLOOKUP($B$14,'Annual Parameters'!$B$33:$W$143,3,FALSE)/VLOOKUP($B$16,'Annual Parameters'!$B$33:$W$143,3,FALSE)</f>
        <v>161.98809768925861</v>
      </c>
      <c r="BD34" s="1842">
        <f>'MECs - time of day'!BD34*VLOOKUP($B$14,'Annual Parameters'!$B$33:$W$143,3,FALSE)/VLOOKUP($B$16,'Annual Parameters'!$B$33:$W$143,3,FALSE)</f>
        <v>192.13466350771844</v>
      </c>
      <c r="BE34" s="1843">
        <f>'MECs - time of day'!BE34*VLOOKUP($B$14,'Annual Parameters'!$B$33:$W$143,3,FALSE)/VLOOKUP($B$16,'Annual Parameters'!$B$33:$W$143,3,FALSE)</f>
        <v>126.95627019425982</v>
      </c>
      <c r="BF34" s="1841">
        <f>'MECs - time of day'!BF34*VLOOKUP($B$14,'Annual Parameters'!$B$33:$W$143,3,FALSE)/VLOOKUP($B$16,'Annual Parameters'!$B$33:$W$143,3,FALSE)</f>
        <v>157.30480116549947</v>
      </c>
      <c r="BG34" s="1843">
        <f>'MECs - time of day'!BG34*VLOOKUP($B$14,'Annual Parameters'!$B$33:$W$143,3,FALSE)/VLOOKUP($B$16,'Annual Parameters'!$B$33:$W$143,3,FALSE)</f>
        <v>152.6702471550058</v>
      </c>
      <c r="BH34" s="1844">
        <f>'MECs - time of day'!BH34*VLOOKUP($B$14,'Annual Parameters'!$B$33:$W$143,3,FALSE)/VLOOKUP($B$16,'Annual Parameters'!$B$33:$W$143,3,FALSE)</f>
        <v>147.84406509095822</v>
      </c>
    </row>
    <row r="35" spans="1:60" ht="13.5" customHeight="1">
      <c r="A35" s="265" t="s">
        <v>1124</v>
      </c>
      <c r="B35" s="1769"/>
      <c r="C35" s="1769"/>
      <c r="D35" s="1841">
        <f>'MECs - time of day'!D35*VLOOKUP($B$14,'Annual Parameters'!$B$33:$W$143,3,FALSE)/VLOOKUP($B$16,'Annual Parameters'!$B$33:$W$143,3,FALSE)</f>
        <v>18.962362892709304</v>
      </c>
      <c r="E35" s="1842">
        <f>'MECs - time of day'!E35*VLOOKUP($B$14,'Annual Parameters'!$B$33:$W$143,3,FALSE)/VLOOKUP($B$16,'Annual Parameters'!$B$33:$W$143,3,FALSE)</f>
        <v>12.126807056206298</v>
      </c>
      <c r="F35" s="1842">
        <f>'MECs - time of day'!F35*VLOOKUP($B$14,'Annual Parameters'!$B$33:$W$143,3,FALSE)/VLOOKUP($B$16,'Annual Parameters'!$B$33:$W$143,3,FALSE)</f>
        <v>20.76977555597152</v>
      </c>
      <c r="G35" s="1843">
        <f>'MECs - time of day'!G35*VLOOKUP($B$14,'Annual Parameters'!$B$33:$W$143,3,FALSE)/VLOOKUP($B$16,'Annual Parameters'!$B$33:$W$143,3,FALSE)</f>
        <v>2.1914264415633768</v>
      </c>
      <c r="H35" s="1841">
        <f>'MECs - time of day'!H35*VLOOKUP($B$14,'Annual Parameters'!$B$33:$W$143,3,FALSE)/VLOOKUP($B$16,'Annual Parameters'!$B$33:$W$143,3,FALSE)</f>
        <v>13.871244393921767</v>
      </c>
      <c r="I35" s="1843">
        <f>'MECs - time of day'!I35*VLOOKUP($B$14,'Annual Parameters'!$B$33:$W$143,3,FALSE)/VLOOKUP($B$16,'Annual Parameters'!$B$33:$W$143,3,FALSE)</f>
        <v>11.877309941138272</v>
      </c>
      <c r="J35" s="1844">
        <f>'MECs - time of day'!J35*VLOOKUP($B$14,'Annual Parameters'!$B$33:$W$143,3,FALSE)/VLOOKUP($B$16,'Annual Parameters'!$B$33:$W$143,3,FALSE)</f>
        <v>12.270861284238906</v>
      </c>
      <c r="L35" s="265" t="s">
        <v>1124</v>
      </c>
      <c r="M35" s="1769"/>
      <c r="N35" s="1841">
        <f>'MECs - time of day'!N35*VLOOKUP($B$14,'Annual Parameters'!$B$33:$W$143,3,FALSE)/VLOOKUP($B$16,'Annual Parameters'!$B$33:$W$143,3,FALSE)</f>
        <v>21.186227270665945</v>
      </c>
      <c r="O35" s="1842">
        <f>'MECs - time of day'!O35*VLOOKUP($B$14,'Annual Parameters'!$B$33:$W$143,3,FALSE)/VLOOKUP($B$16,'Annual Parameters'!$B$33:$W$143,3,FALSE)</f>
        <v>13.738927327291679</v>
      </c>
      <c r="P35" s="1842">
        <f>'MECs - time of day'!P35*VLOOKUP($B$14,'Annual Parameters'!$B$33:$W$143,3,FALSE)/VLOOKUP($B$16,'Annual Parameters'!$B$33:$W$143,3,FALSE)</f>
        <v>22.965101895034636</v>
      </c>
      <c r="Q35" s="1843">
        <f>'MECs - time of day'!Q35*VLOOKUP($B$14,'Annual Parameters'!$B$33:$W$143,3,FALSE)/VLOOKUP($B$16,'Annual Parameters'!$B$33:$W$143,3,FALSE)</f>
        <v>2.3228276022114964</v>
      </c>
      <c r="R35" s="1841">
        <f>'MECs - time of day'!R35*VLOOKUP($B$14,'Annual Parameters'!$B$33:$W$143,3,FALSE)/VLOOKUP($B$16,'Annual Parameters'!$B$33:$W$143,3,FALSE)</f>
        <v>15.478248650537832</v>
      </c>
      <c r="S35" s="1843">
        <f>'MECs - time of day'!S35*VLOOKUP($B$14,'Annual Parameters'!$B$33:$W$143,3,FALSE)/VLOOKUP($B$16,'Annual Parameters'!$B$33:$W$143,3,FALSE)</f>
        <v>13.269242735685022</v>
      </c>
      <c r="T35" s="1844">
        <f>'MECs - time of day'!T35*VLOOKUP($B$14,'Annual Parameters'!$B$33:$W$143,3,FALSE)/VLOOKUP($B$16,'Annual Parameters'!$B$33:$W$143,3,FALSE)</f>
        <v>13.720568770701897</v>
      </c>
      <c r="V35" s="265" t="s">
        <v>1124</v>
      </c>
      <c r="W35" s="1769"/>
      <c r="X35" s="1841">
        <f>'MECs - time of day'!X35*VLOOKUP($B$14,'Annual Parameters'!$B$33:$W$143,3,FALSE)/VLOOKUP($B$16,'Annual Parameters'!$B$33:$W$143,3,FALSE)</f>
        <v>25.830996706747381</v>
      </c>
      <c r="Y35" s="1842">
        <f>'MECs - time of day'!Y35*VLOOKUP($B$14,'Annual Parameters'!$B$33:$W$143,3,FALSE)/VLOOKUP($B$16,'Annual Parameters'!$B$33:$W$143,3,FALSE)</f>
        <v>17.278745199311214</v>
      </c>
      <c r="Z35" s="1842">
        <f>'MECs - time of day'!Z35*VLOOKUP($B$14,'Annual Parameters'!$B$33:$W$143,3,FALSE)/VLOOKUP($B$16,'Annual Parameters'!$B$33:$W$143,3,FALSE)</f>
        <v>27.988225331125463</v>
      </c>
      <c r="AA35" s="1843">
        <f>'MECs - time of day'!AA35*VLOOKUP($B$14,'Annual Parameters'!$B$33:$W$143,3,FALSE)/VLOOKUP($B$16,'Annual Parameters'!$B$33:$W$143,3,FALSE)</f>
        <v>3.0367396614448126</v>
      </c>
      <c r="AB35" s="1841">
        <f>'MECs - time of day'!AB35*VLOOKUP($B$14,'Annual Parameters'!$B$33:$W$143,3,FALSE)/VLOOKUP($B$16,'Annual Parameters'!$B$33:$W$143,3,FALSE)</f>
        <v>19.031438797363339</v>
      </c>
      <c r="AC35" s="1843">
        <f>'MECs - time of day'!AC35*VLOOKUP($B$14,'Annual Parameters'!$B$33:$W$143,3,FALSE)/VLOOKUP($B$16,'Annual Parameters'!$B$33:$W$143,3,FALSE)</f>
        <v>16.475231645420024</v>
      </c>
      <c r="AD35" s="1844">
        <f>'MECs - time of day'!AD35*VLOOKUP($B$14,'Annual Parameters'!$B$33:$W$143,3,FALSE)/VLOOKUP($B$16,'Annual Parameters'!$B$33:$W$143,3,FALSE)</f>
        <v>16.881882825592307</v>
      </c>
      <c r="AF35" s="265" t="s">
        <v>1124</v>
      </c>
      <c r="AG35" s="1769"/>
      <c r="AH35" s="1841">
        <f>'MECs - time of day'!AH35*VLOOKUP($B$14,'Annual Parameters'!$B$33:$W$143,3,FALSE)/VLOOKUP($B$16,'Annual Parameters'!$B$33:$W$143,3,FALSE)</f>
        <v>31.076624934916236</v>
      </c>
      <c r="AI35" s="1842">
        <f>'MECs - time of day'!AI35*VLOOKUP($B$14,'Annual Parameters'!$B$33:$W$143,3,FALSE)/VLOOKUP($B$16,'Annual Parameters'!$B$33:$W$143,3,FALSE)</f>
        <v>21.772574835928097</v>
      </c>
      <c r="AJ35" s="1842">
        <f>'MECs - time of day'!AJ35*VLOOKUP($B$14,'Annual Parameters'!$B$33:$W$143,3,FALSE)/VLOOKUP($B$16,'Annual Parameters'!$B$33:$W$143,3,FALSE)</f>
        <v>33.586182447838368</v>
      </c>
      <c r="AK35" s="1843">
        <f>'MECs - time of day'!AK35*VLOOKUP($B$14,'Annual Parameters'!$B$33:$W$143,3,FALSE)/VLOOKUP($B$16,'Annual Parameters'!$B$33:$W$143,3,FALSE)</f>
        <v>4.289551981896004</v>
      </c>
      <c r="AL35" s="1841">
        <f>'MECs - time of day'!AL35*VLOOKUP($B$14,'Annual Parameters'!$B$33:$W$143,3,FALSE)/VLOOKUP($B$16,'Annual Parameters'!$B$33:$W$143,3,FALSE)</f>
        <v>23.290568311238459</v>
      </c>
      <c r="AM35" s="1843">
        <f>'MECs - time of day'!AM35*VLOOKUP($B$14,'Annual Parameters'!$B$33:$W$143,3,FALSE)/VLOOKUP($B$16,'Annual Parameters'!$B$33:$W$143,3,FALSE)</f>
        <v>20.399259265960058</v>
      </c>
      <c r="AN35" s="1844">
        <f>'MECs - time of day'!AN35*VLOOKUP($B$14,'Annual Parameters'!$B$33:$W$143,3,FALSE)/VLOOKUP($B$16,'Annual Parameters'!$B$33:$W$143,3,FALSE)</f>
        <v>20.802123363092321</v>
      </c>
      <c r="AP35" s="265" t="s">
        <v>1124</v>
      </c>
      <c r="AQ35" s="1769"/>
      <c r="AR35" s="1841">
        <f>'MECs - time of day'!AR35*VLOOKUP($B$14,'Annual Parameters'!$B$33:$W$143,3,FALSE)/VLOOKUP($B$16,'Annual Parameters'!$B$33:$W$143,3,FALSE)</f>
        <v>37.771265230805945</v>
      </c>
      <c r="AS35" s="1842">
        <f>'MECs - time of day'!AS35*VLOOKUP($B$14,'Annual Parameters'!$B$33:$W$143,3,FALSE)/VLOOKUP($B$16,'Annual Parameters'!$B$33:$W$143,3,FALSE)</f>
        <v>26.27752683413398</v>
      </c>
      <c r="AT35" s="1842">
        <f>'MECs - time of day'!AT35*VLOOKUP($B$14,'Annual Parameters'!$B$33:$W$143,3,FALSE)/VLOOKUP($B$16,'Annual Parameters'!$B$33:$W$143,3,FALSE)</f>
        <v>40.368906000190321</v>
      </c>
      <c r="AU35" s="1843">
        <f>'MECs - time of day'!AU35*VLOOKUP($B$14,'Annual Parameters'!$B$33:$W$143,3,FALSE)/VLOOKUP($B$16,'Annual Parameters'!$B$33:$W$143,3,FALSE)</f>
        <v>5.7934927961025506</v>
      </c>
      <c r="AV35" s="1841">
        <f>'MECs - time of day'!AV35*VLOOKUP($B$14,'Annual Parameters'!$B$33:$W$143,3,FALSE)/VLOOKUP($B$16,'Annual Parameters'!$B$33:$W$143,3,FALSE)</f>
        <v>28.143702635837904</v>
      </c>
      <c r="AW35" s="1843">
        <f>'MECs - time of day'!AW35*VLOOKUP($B$14,'Annual Parameters'!$B$33:$W$143,3,FALSE)/VLOOKUP($B$16,'Annual Parameters'!$B$33:$W$143,3,FALSE)</f>
        <v>25.182148712660084</v>
      </c>
      <c r="AX35" s="1844">
        <f>'MECs - time of day'!AX35*VLOOKUP($B$14,'Annual Parameters'!$B$33:$W$143,3,FALSE)/VLOOKUP($B$16,'Annual Parameters'!$B$33:$W$143,3,FALSE)</f>
        <v>25.315500632988918</v>
      </c>
      <c r="AZ35" s="265" t="s">
        <v>1124</v>
      </c>
      <c r="BA35" s="1769"/>
      <c r="BB35" s="1841">
        <f>'MECs - time of day'!BB35*VLOOKUP($B$14,'Annual Parameters'!$B$33:$W$143,3,FALSE)/VLOOKUP($B$16,'Annual Parameters'!$B$33:$W$143,3,FALSE)</f>
        <v>46.487503156865486</v>
      </c>
      <c r="BC35" s="1842">
        <f>'MECs - time of day'!BC35*VLOOKUP($B$14,'Annual Parameters'!$B$33:$W$143,3,FALSE)/VLOOKUP($B$16,'Annual Parameters'!$B$33:$W$143,3,FALSE)</f>
        <v>33.310454097247444</v>
      </c>
      <c r="BD35" s="1842">
        <f>'MECs - time of day'!BD35*VLOOKUP($B$14,'Annual Parameters'!$B$33:$W$143,3,FALSE)/VLOOKUP($B$16,'Annual Parameters'!$B$33:$W$143,3,FALSE)</f>
        <v>51.393656297877385</v>
      </c>
      <c r="BE35" s="1843">
        <f>'MECs - time of day'!BE35*VLOOKUP($B$14,'Annual Parameters'!$B$33:$W$143,3,FALSE)/VLOOKUP($B$16,'Annual Parameters'!$B$33:$W$143,3,FALSE)</f>
        <v>7.9046424874178483</v>
      </c>
      <c r="BF35" s="1841">
        <f>'MECs - time of day'!BF35*VLOOKUP($B$14,'Annual Parameters'!$B$33:$W$143,3,FALSE)/VLOOKUP($B$16,'Annual Parameters'!$B$33:$W$143,3,FALSE)</f>
        <v>35.514753428401278</v>
      </c>
      <c r="BG35" s="1843">
        <f>'MECs - time of day'!BG35*VLOOKUP($B$14,'Annual Parameters'!$B$33:$W$143,3,FALSE)/VLOOKUP($B$16,'Annual Parameters'!$B$33:$W$143,3,FALSE)</f>
        <v>32.078573332180206</v>
      </c>
      <c r="BH35" s="1844">
        <f>'MECs - time of day'!BH35*VLOOKUP($B$14,'Annual Parameters'!$B$33:$W$143,3,FALSE)/VLOOKUP($B$16,'Annual Parameters'!$B$33:$W$143,3,FALSE)</f>
        <v>32.069117060171081</v>
      </c>
    </row>
    <row r="36" spans="1:60" ht="13.5" customHeight="1">
      <c r="A36" s="265" t="s">
        <v>1125</v>
      </c>
      <c r="B36" s="1769"/>
      <c r="C36" s="1769"/>
      <c r="D36" s="1841">
        <f>'MECs - time of day'!D36*VLOOKUP($B$14,'Annual Parameters'!$B$33:$W$143,3,FALSE)/VLOOKUP($B$16,'Annual Parameters'!$B$33:$W$143,3,FALSE)</f>
        <v>17.006603491219106</v>
      </c>
      <c r="E36" s="1842">
        <f>'MECs - time of day'!E36*VLOOKUP($B$14,'Annual Parameters'!$B$33:$W$143,3,FALSE)/VLOOKUP($B$16,'Annual Parameters'!$B$33:$W$143,3,FALSE)</f>
        <v>9.7772381890663294</v>
      </c>
      <c r="F36" s="1842">
        <f>'MECs - time of day'!F36*VLOOKUP($B$14,'Annual Parameters'!$B$33:$W$143,3,FALSE)/VLOOKUP($B$16,'Annual Parameters'!$B$33:$W$143,3,FALSE)</f>
        <v>19.247852347128777</v>
      </c>
      <c r="G36" s="1843">
        <f>'MECs - time of day'!G36*VLOOKUP($B$14,'Annual Parameters'!$B$33:$W$143,3,FALSE)/VLOOKUP($B$16,'Annual Parameters'!$B$33:$W$143,3,FALSE)</f>
        <v>1.6435698311725326</v>
      </c>
      <c r="H36" s="1841">
        <f>'MECs - time of day'!H36*VLOOKUP($B$14,'Annual Parameters'!$B$33:$W$143,3,FALSE)/VLOOKUP($B$16,'Annual Parameters'!$B$33:$W$143,3,FALSE)</f>
        <v>11.949324989944657</v>
      </c>
      <c r="I36" s="1843">
        <f>'MECs - time of day'!I36*VLOOKUP($B$14,'Annual Parameters'!$B$33:$W$143,3,FALSE)/VLOOKUP($B$16,'Annual Parameters'!$B$33:$W$143,3,FALSE)</f>
        <v>10.245313155333013</v>
      </c>
      <c r="J36" s="1844">
        <f>'MECs - time of day'!J36*VLOOKUP($B$14,'Annual Parameters'!$B$33:$W$143,3,FALSE)/VLOOKUP($B$16,'Annual Parameters'!$B$33:$W$143,3,FALSE)</f>
        <v>10.566574994761281</v>
      </c>
      <c r="L36" s="265" t="s">
        <v>1125</v>
      </c>
      <c r="M36" s="1769"/>
      <c r="N36" s="1841">
        <f>'MECs - time of day'!N36*VLOOKUP($B$14,'Annual Parameters'!$B$33:$W$143,3,FALSE)/VLOOKUP($B$16,'Annual Parameters'!$B$33:$W$143,3,FALSE)</f>
        <v>18.678469756995284</v>
      </c>
      <c r="O36" s="1842">
        <f>'MECs - time of day'!O36*VLOOKUP($B$14,'Annual Parameters'!$B$33:$W$143,3,FALSE)/VLOOKUP($B$16,'Annual Parameters'!$B$33:$W$143,3,FALSE)</f>
        <v>11.26900780777857</v>
      </c>
      <c r="P36" s="1842">
        <f>'MECs - time of day'!P36*VLOOKUP($B$14,'Annual Parameters'!$B$33:$W$143,3,FALSE)/VLOOKUP($B$16,'Annual Parameters'!$B$33:$W$143,3,FALSE)</f>
        <v>20.140029836518472</v>
      </c>
      <c r="Q36" s="1843">
        <f>'MECs - time of day'!Q36*VLOOKUP($B$14,'Annual Parameters'!$B$33:$W$143,3,FALSE)/VLOOKUP($B$16,'Annual Parameters'!$B$33:$W$143,3,FALSE)</f>
        <v>1.8582620817691968</v>
      </c>
      <c r="R36" s="1841">
        <f>'MECs - time of day'!R36*VLOOKUP($B$14,'Annual Parameters'!$B$33:$W$143,3,FALSE)/VLOOKUP($B$16,'Annual Parameters'!$B$33:$W$143,3,FALSE)</f>
        <v>13.096979627378166</v>
      </c>
      <c r="S36" s="1843">
        <f>'MECs - time of day'!S36*VLOOKUP($B$14,'Annual Parameters'!$B$33:$W$143,3,FALSE)/VLOOKUP($B$16,'Annual Parameters'!$B$33:$W$143,3,FALSE)</f>
        <v>11.320612683591417</v>
      </c>
      <c r="T36" s="1844">
        <f>'MECs - time of day'!T36*VLOOKUP($B$14,'Annual Parameters'!$B$33:$W$143,3,FALSE)/VLOOKUP($B$16,'Annual Parameters'!$B$33:$W$143,3,FALSE)</f>
        <v>11.63643174224085</v>
      </c>
      <c r="V36" s="265" t="s">
        <v>1125</v>
      </c>
      <c r="W36" s="1769"/>
      <c r="X36" s="1841">
        <f>'MECs - time of day'!X36*VLOOKUP($B$14,'Annual Parameters'!$B$33:$W$143,3,FALSE)/VLOOKUP($B$16,'Annual Parameters'!$B$33:$W$143,3,FALSE)</f>
        <v>23.350536758086214</v>
      </c>
      <c r="Y36" s="1842">
        <f>'MECs - time of day'!Y36*VLOOKUP($B$14,'Annual Parameters'!$B$33:$W$143,3,FALSE)/VLOOKUP($B$16,'Annual Parameters'!$B$33:$W$143,3,FALSE)</f>
        <v>13.914741709179825</v>
      </c>
      <c r="Z36" s="1842">
        <f>'MECs - time of day'!Z36*VLOOKUP($B$14,'Annual Parameters'!$B$33:$W$143,3,FALSE)/VLOOKUP($B$16,'Annual Parameters'!$B$33:$W$143,3,FALSE)</f>
        <v>25.279687395855252</v>
      </c>
      <c r="AA36" s="1843">
        <f>'MECs - time of day'!AA36*VLOOKUP($B$14,'Annual Parameters'!$B$33:$W$143,3,FALSE)/VLOOKUP($B$16,'Annual Parameters'!$B$33:$W$143,3,FALSE)</f>
        <v>2.6686500055121081</v>
      </c>
      <c r="AB36" s="1841">
        <f>'MECs - time of day'!AB36*VLOOKUP($B$14,'Annual Parameters'!$B$33:$W$143,3,FALSE)/VLOOKUP($B$16,'Annual Parameters'!$B$33:$W$143,3,FALSE)</f>
        <v>16.336721799506581</v>
      </c>
      <c r="AC36" s="1843">
        <f>'MECs - time of day'!AC36*VLOOKUP($B$14,'Annual Parameters'!$B$33:$W$143,3,FALSE)/VLOOKUP($B$16,'Annual Parameters'!$B$33:$W$143,3,FALSE)</f>
        <v>14.253852097722941</v>
      </c>
      <c r="AD36" s="1844">
        <f>'MECs - time of day'!AD36*VLOOKUP($B$14,'Annual Parameters'!$B$33:$W$143,3,FALSE)/VLOOKUP($B$16,'Annual Parameters'!$B$33:$W$143,3,FALSE)</f>
        <v>14.556317334311732</v>
      </c>
      <c r="AF36" s="265" t="s">
        <v>1125</v>
      </c>
      <c r="AG36" s="1769"/>
      <c r="AH36" s="1841">
        <f>'MECs - time of day'!AH36*VLOOKUP($B$14,'Annual Parameters'!$B$33:$W$143,3,FALSE)/VLOOKUP($B$16,'Annual Parameters'!$B$33:$W$143,3,FALSE)</f>
        <v>29.431901052566911</v>
      </c>
      <c r="AI36" s="1842">
        <f>'MECs - time of day'!AI36*VLOOKUP($B$14,'Annual Parameters'!$B$33:$W$143,3,FALSE)/VLOOKUP($B$16,'Annual Parameters'!$B$33:$W$143,3,FALSE)</f>
        <v>17.511038836013345</v>
      </c>
      <c r="AJ36" s="1842">
        <f>'MECs - time of day'!AJ36*VLOOKUP($B$14,'Annual Parameters'!$B$33:$W$143,3,FALSE)/VLOOKUP($B$16,'Annual Parameters'!$B$33:$W$143,3,FALSE)</f>
        <v>32.213450195201922</v>
      </c>
      <c r="AK36" s="1843">
        <f>'MECs - time of day'!AK36*VLOOKUP($B$14,'Annual Parameters'!$B$33:$W$143,3,FALSE)/VLOOKUP($B$16,'Annual Parameters'!$B$33:$W$143,3,FALSE)</f>
        <v>4.289551981896004</v>
      </c>
      <c r="AL36" s="1841">
        <f>'MECs - time of day'!AL36*VLOOKUP($B$14,'Annual Parameters'!$B$33:$W$143,3,FALSE)/VLOOKUP($B$16,'Annual Parameters'!$B$33:$W$143,3,FALSE)</f>
        <v>20.731165200113356</v>
      </c>
      <c r="AM36" s="1843">
        <f>'MECs - time of day'!AM36*VLOOKUP($B$14,'Annual Parameters'!$B$33:$W$143,3,FALSE)/VLOOKUP($B$16,'Annual Parameters'!$B$33:$W$143,3,FALSE)</f>
        <v>18.227115918195793</v>
      </c>
      <c r="AN36" s="1844">
        <f>'MECs - time of day'!AN36*VLOOKUP($B$14,'Annual Parameters'!$B$33:$W$143,3,FALSE)/VLOOKUP($B$16,'Annual Parameters'!$B$33:$W$143,3,FALSE)</f>
        <v>18.529622491493996</v>
      </c>
      <c r="AP36" s="265" t="s">
        <v>1125</v>
      </c>
      <c r="AQ36" s="1769"/>
      <c r="AR36" s="1841">
        <f>'MECs - time of day'!AR36*VLOOKUP($B$14,'Annual Parameters'!$B$33:$W$143,3,FALSE)/VLOOKUP($B$16,'Annual Parameters'!$B$33:$W$143,3,FALSE)</f>
        <v>34.865783289974722</v>
      </c>
      <c r="AS36" s="1842">
        <f>'MECs - time of day'!AS36*VLOOKUP($B$14,'Annual Parameters'!$B$33:$W$143,3,FALSE)/VLOOKUP($B$16,'Annual Parameters'!$B$33:$W$143,3,FALSE)</f>
        <v>21.937394774442183</v>
      </c>
      <c r="AT36" s="1842">
        <f>'MECs - time of day'!AT36*VLOOKUP($B$14,'Annual Parameters'!$B$33:$W$143,3,FALSE)/VLOOKUP($B$16,'Annual Parameters'!$B$33:$W$143,3,FALSE)</f>
        <v>37.851676295790469</v>
      </c>
      <c r="AU36" s="1843">
        <f>'MECs - time of day'!AU36*VLOOKUP($B$14,'Annual Parameters'!$B$33:$W$143,3,FALSE)/VLOOKUP($B$16,'Annual Parameters'!$B$33:$W$143,3,FALSE)</f>
        <v>5.1286657539268496</v>
      </c>
      <c r="AV36" s="1841">
        <f>'MECs - time of day'!AV36*VLOOKUP($B$14,'Annual Parameters'!$B$33:$W$143,3,FALSE)/VLOOKUP($B$16,'Annual Parameters'!$B$33:$W$143,3,FALSE)</f>
        <v>24.929761285449008</v>
      </c>
      <c r="AW36" s="1843">
        <f>'MECs - time of day'!AW36*VLOOKUP($B$14,'Annual Parameters'!$B$33:$W$143,3,FALSE)/VLOOKUP($B$16,'Annual Parameters'!$B$33:$W$143,3,FALSE)</f>
        <v>21.985952914514758</v>
      </c>
      <c r="AX36" s="1844">
        <f>'MECs - time of day'!AX36*VLOOKUP($B$14,'Annual Parameters'!$B$33:$W$143,3,FALSE)/VLOOKUP($B$16,'Annual Parameters'!$B$33:$W$143,3,FALSE)</f>
        <v>22.284771683969119</v>
      </c>
      <c r="AZ36" s="265" t="s">
        <v>1125</v>
      </c>
      <c r="BA36" s="1769"/>
      <c r="BB36" s="1841">
        <f>'MECs - time of day'!BB36*VLOOKUP($B$14,'Annual Parameters'!$B$33:$W$143,3,FALSE)/VLOOKUP($B$16,'Annual Parameters'!$B$33:$W$143,3,FALSE)</f>
        <v>41.758448133230416</v>
      </c>
      <c r="BC36" s="1842">
        <f>'MECs - time of day'!BC36*VLOOKUP($B$14,'Annual Parameters'!$B$33:$W$143,3,FALSE)/VLOOKUP($B$16,'Annual Parameters'!$B$33:$W$143,3,FALSE)</f>
        <v>26.904597540084474</v>
      </c>
      <c r="BD36" s="1842">
        <f>'MECs - time of day'!BD36*VLOOKUP($B$14,'Annual Parameters'!$B$33:$W$143,3,FALSE)/VLOOKUP($B$16,'Annual Parameters'!$B$33:$W$143,3,FALSE)</f>
        <v>49.500703948047637</v>
      </c>
      <c r="BE36" s="1843">
        <f>'MECs - time of day'!BE36*VLOOKUP($B$14,'Annual Parameters'!$B$33:$W$143,3,FALSE)/VLOOKUP($B$16,'Annual Parameters'!$B$33:$W$143,3,FALSE)</f>
        <v>5.7838847468911077</v>
      </c>
      <c r="BF36" s="1841">
        <f>'MECs - time of day'!BF36*VLOOKUP($B$14,'Annual Parameters'!$B$33:$W$143,3,FALSE)/VLOOKUP($B$16,'Annual Parameters'!$B$33:$W$143,3,FALSE)</f>
        <v>30.844078659901857</v>
      </c>
      <c r="BG36" s="1843">
        <f>'MECs - time of day'!BG36*VLOOKUP($B$14,'Annual Parameters'!$B$33:$W$143,3,FALSE)/VLOOKUP($B$16,'Annual Parameters'!$B$33:$W$143,3,FALSE)</f>
        <v>27.227184155399868</v>
      </c>
      <c r="BH36" s="1844">
        <f>'MECs - time of day'!BH36*VLOOKUP($B$14,'Annual Parameters'!$B$33:$W$143,3,FALSE)/VLOOKUP($B$16,'Annual Parameters'!$B$33:$W$143,3,FALSE)</f>
        <v>27.448990026078647</v>
      </c>
    </row>
    <row r="37" spans="1:60" ht="13.5" customHeight="1">
      <c r="A37" s="265" t="s">
        <v>1126</v>
      </c>
      <c r="B37" s="1769"/>
      <c r="C37" s="1769"/>
      <c r="D37" s="1841">
        <f>'MECs - time of day'!D37*VLOOKUP($B$14,'Annual Parameters'!$B$33:$W$143,3,FALSE)/VLOOKUP($B$16,'Annual Parameters'!$B$33:$W$143,3,FALSE)</f>
        <v>10.629127182011938</v>
      </c>
      <c r="E37" s="1842">
        <f>'MECs - time of day'!E37*VLOOKUP($B$14,'Annual Parameters'!$B$33:$W$143,3,FALSE)/VLOOKUP($B$16,'Annual Parameters'!$B$33:$W$143,3,FALSE)</f>
        <v>4.8507228224825205</v>
      </c>
      <c r="F37" s="1842">
        <f>'MECs - time of day'!F37*VLOOKUP($B$14,'Annual Parameters'!$B$33:$W$143,3,FALSE)/VLOOKUP($B$16,'Annual Parameters'!$B$33:$W$143,3,FALSE)</f>
        <v>11.101086935088224</v>
      </c>
      <c r="G37" s="1843">
        <f>'MECs - time of day'!G37*VLOOKUP($B$14,'Annual Parameters'!$B$33:$W$143,3,FALSE)/VLOOKUP($B$16,'Annual Parameters'!$B$33:$W$143,3,FALSE)</f>
        <v>1.0044037857165478</v>
      </c>
      <c r="H37" s="1841">
        <f>'MECs - time of day'!H37*VLOOKUP($B$14,'Annual Parameters'!$B$33:$W$143,3,FALSE)/VLOOKUP($B$16,'Annual Parameters'!$B$33:$W$143,3,FALSE)</f>
        <v>6.7684987705280912</v>
      </c>
      <c r="I37" s="1843">
        <f>'MECs - time of day'!I37*VLOOKUP($B$14,'Annual Parameters'!$B$33:$W$143,3,FALSE)/VLOOKUP($B$16,'Annual Parameters'!$B$33:$W$143,3,FALSE)</f>
        <v>5.4399892860175294</v>
      </c>
      <c r="J37" s="1844">
        <f>'MECs - time of day'!J37*VLOOKUP($B$14,'Annual Parameters'!$B$33:$W$143,3,FALSE)/VLOOKUP($B$16,'Annual Parameters'!$B$33:$W$143,3,FALSE)</f>
        <v>5.794573384223928</v>
      </c>
      <c r="L37" s="265" t="s">
        <v>1126</v>
      </c>
      <c r="M37" s="1769"/>
      <c r="N37" s="1841">
        <f>'MECs - time of day'!N37*VLOOKUP($B$14,'Annual Parameters'!$B$33:$W$143,3,FALSE)/VLOOKUP($B$16,'Annual Parameters'!$B$33:$W$143,3,FALSE)</f>
        <v>12.019941186214556</v>
      </c>
      <c r="O37" s="1842">
        <f>'MECs - time of day'!O37*VLOOKUP($B$14,'Annual Parameters'!$B$33:$W$143,3,FALSE)/VLOOKUP($B$16,'Annual Parameters'!$B$33:$W$143,3,FALSE)</f>
        <v>5.4801339339197144</v>
      </c>
      <c r="P37" s="1842">
        <f>'MECs - time of day'!P37*VLOOKUP($B$14,'Annual Parameters'!$B$33:$W$143,3,FALSE)/VLOOKUP($B$16,'Annual Parameters'!$B$33:$W$143,3,FALSE)</f>
        <v>12.302733158054268</v>
      </c>
      <c r="Q37" s="1843">
        <f>'MECs - time of day'!Q37*VLOOKUP($B$14,'Annual Parameters'!$B$33:$W$143,3,FALSE)/VLOOKUP($B$16,'Annual Parameters'!$B$33:$W$143,3,FALSE)</f>
        <v>1.1149572490615183</v>
      </c>
      <c r="R37" s="1841">
        <f>'MECs - time of day'!R37*VLOOKUP($B$14,'Annual Parameters'!$B$33:$W$143,3,FALSE)/VLOOKUP($B$16,'Annual Parameters'!$B$33:$W$143,3,FALSE)</f>
        <v>7.5690336807575127</v>
      </c>
      <c r="S37" s="1843">
        <f>'MECs - time of day'!S37*VLOOKUP($B$14,'Annual Parameters'!$B$33:$W$143,3,FALSE)/VLOOKUP($B$16,'Annual Parameters'!$B$33:$W$143,3,FALSE)</f>
        <v>6.1242658780084707</v>
      </c>
      <c r="T37" s="1844">
        <f>'MECs - time of day'!T37*VLOOKUP($B$14,'Annual Parameters'!$B$33:$W$143,3,FALSE)/VLOOKUP($B$16,'Annual Parameters'!$B$33:$W$143,3,FALSE)</f>
        <v>6.4260891710882309</v>
      </c>
      <c r="V37" s="265" t="s">
        <v>1126</v>
      </c>
      <c r="W37" s="1769"/>
      <c r="X37" s="1841">
        <f>'MECs - time of day'!X37*VLOOKUP($B$14,'Annual Parameters'!$B$33:$W$143,3,FALSE)/VLOOKUP($B$16,'Annual Parameters'!$B$33:$W$143,3,FALSE)</f>
        <v>14.455094183577181</v>
      </c>
      <c r="Y37" s="1842">
        <f>'MECs - time of day'!Y37*VLOOKUP($B$14,'Annual Parameters'!$B$33:$W$143,3,FALSE)/VLOOKUP($B$16,'Annual Parameters'!$B$33:$W$143,3,FALSE)</f>
        <v>7.2631893536927672</v>
      </c>
      <c r="Z37" s="1842">
        <f>'MECs - time of day'!Z37*VLOOKUP($B$14,'Annual Parameters'!$B$33:$W$143,3,FALSE)/VLOOKUP($B$16,'Annual Parameters'!$B$33:$W$143,3,FALSE)</f>
        <v>15.70952002456719</v>
      </c>
      <c r="AA37" s="1843">
        <f>'MECs - time of day'!AA37*VLOOKUP($B$14,'Annual Parameters'!$B$33:$W$143,3,FALSE)/VLOOKUP($B$16,'Annual Parameters'!$B$33:$W$143,3,FALSE)</f>
        <v>1.3803362097476422</v>
      </c>
      <c r="AB37" s="1841">
        <f>'MECs - time of day'!AB37*VLOOKUP($B$14,'Annual Parameters'!$B$33:$W$143,3,FALSE)/VLOOKUP($B$16,'Annual Parameters'!$B$33:$W$143,3,FALSE)</f>
        <v>9.4315094924986447</v>
      </c>
      <c r="AC37" s="1843">
        <f>'MECs - time of day'!AC37*VLOOKUP($B$14,'Annual Parameters'!$B$33:$W$143,3,FALSE)/VLOOKUP($B$16,'Annual Parameters'!$B$33:$W$143,3,FALSE)</f>
        <v>7.7748284169397861</v>
      </c>
      <c r="AD37" s="1844">
        <f>'MECs - time of day'!AD37*VLOOKUP($B$14,'Annual Parameters'!$B$33:$W$143,3,FALSE)/VLOOKUP($B$16,'Annual Parameters'!$B$33:$W$143,3,FALSE)</f>
        <v>8.1825452470983109</v>
      </c>
      <c r="AF37" s="265" t="s">
        <v>1126</v>
      </c>
      <c r="AG37" s="1769"/>
      <c r="AH37" s="1841">
        <f>'MECs - time of day'!AH37*VLOOKUP($B$14,'Annual Parameters'!$B$33:$W$143,3,FALSE)/VLOOKUP($B$16,'Annual Parameters'!$B$33:$W$143,3,FALSE)</f>
        <v>19.130735684168492</v>
      </c>
      <c r="AI37" s="1842">
        <f>'MECs - time of day'!AI37*VLOOKUP($B$14,'Annual Parameters'!$B$33:$W$143,3,FALSE)/VLOOKUP($B$16,'Annual Parameters'!$B$33:$W$143,3,FALSE)</f>
        <v>9.3753791998124534</v>
      </c>
      <c r="AJ37" s="1842">
        <f>'MECs - time of day'!AJ37*VLOOKUP($B$14,'Annual Parameters'!$B$33:$W$143,3,FALSE)/VLOOKUP($B$16,'Annual Parameters'!$B$33:$W$143,3,FALSE)</f>
        <v>19.675828954455717</v>
      </c>
      <c r="AK37" s="1843">
        <f>'MECs - time of day'!AK37*VLOOKUP($B$14,'Annual Parameters'!$B$33:$W$143,3,FALSE)/VLOOKUP($B$16,'Annual Parameters'!$B$33:$W$143,3,FALSE)</f>
        <v>1.8650226008243496</v>
      </c>
      <c r="AL37" s="1841">
        <f>'MECs - time of day'!AL37*VLOOKUP($B$14,'Annual Parameters'!$B$33:$W$143,3,FALSE)/VLOOKUP($B$16,'Annual Parameters'!$B$33:$W$143,3,FALSE)</f>
        <v>12.199821496363004</v>
      </c>
      <c r="AM37" s="1843">
        <f>'MECs - time of day'!AM37*VLOOKUP($B$14,'Annual Parameters'!$B$33:$W$143,3,FALSE)/VLOOKUP($B$16,'Annual Parameters'!$B$33:$W$143,3,FALSE)</f>
        <v>10.105188617859843</v>
      </c>
      <c r="AN37" s="1844">
        <f>'MECs - time of day'!AN37*VLOOKUP($B$14,'Annual Parameters'!$B$33:$W$143,3,FALSE)/VLOOKUP($B$16,'Annual Parameters'!$B$33:$W$143,3,FALSE)</f>
        <v>10.575869440899876</v>
      </c>
      <c r="AP37" s="265" t="s">
        <v>1126</v>
      </c>
      <c r="AQ37" s="1769"/>
      <c r="AR37" s="1841">
        <f>'MECs - time of day'!AR37*VLOOKUP($B$14,'Annual Parameters'!$B$33:$W$143,3,FALSE)/VLOOKUP($B$16,'Annual Parameters'!$B$33:$W$143,3,FALSE)</f>
        <v>23.155810619351897</v>
      </c>
      <c r="AS37" s="1842">
        <f>'MECs - time of day'!AS37*VLOOKUP($B$14,'Annual Parameters'!$B$33:$W$143,3,FALSE)/VLOOKUP($B$16,'Annual Parameters'!$B$33:$W$143,3,FALSE)</f>
        <v>11.678900815170659</v>
      </c>
      <c r="AT37" s="1842">
        <f>'MECs - time of day'!AT37*VLOOKUP($B$14,'Annual Parameters'!$B$33:$W$143,3,FALSE)/VLOOKUP($B$16,'Annual Parameters'!$B$33:$W$143,3,FALSE)</f>
        <v>24.426451205657887</v>
      </c>
      <c r="AU37" s="1843">
        <f>'MECs - time of day'!AU37*VLOOKUP($B$14,'Annual Parameters'!$B$33:$W$143,3,FALSE)/VLOOKUP($B$16,'Annual Parameters'!$B$33:$W$143,3,FALSE)</f>
        <v>2.4693575852240381</v>
      </c>
      <c r="AV37" s="1841">
        <f>'MECs - time of day'!AV37*VLOOKUP($B$14,'Annual Parameters'!$B$33:$W$143,3,FALSE)/VLOOKUP($B$16,'Annual Parameters'!$B$33:$W$143,3,FALSE)</f>
        <v>14.940484115321357</v>
      </c>
      <c r="AW37" s="1843">
        <f>'MECs - time of day'!AW37*VLOOKUP($B$14,'Annual Parameters'!$B$33:$W$143,3,FALSE)/VLOOKUP($B$16,'Annual Parameters'!$B$33:$W$143,3,FALSE)</f>
        <v>13.462764119460582</v>
      </c>
      <c r="AX37" s="1844">
        <f>'MECs - time of day'!AX37*VLOOKUP($B$14,'Annual Parameters'!$B$33:$W$143,3,FALSE)/VLOOKUP($B$16,'Annual Parameters'!$B$33:$W$143,3,FALSE)</f>
        <v>13.460002097117348</v>
      </c>
      <c r="AZ37" s="265" t="s">
        <v>1126</v>
      </c>
      <c r="BA37" s="1769"/>
      <c r="BB37" s="1841">
        <f>'MECs - time of day'!BB37*VLOOKUP($B$14,'Annual Parameters'!$B$33:$W$143,3,FALSE)/VLOOKUP($B$16,'Annual Parameters'!$B$33:$W$143,3,FALSE)</f>
        <v>29.177377221295615</v>
      </c>
      <c r="BC37" s="1842">
        <f>'MECs - time of day'!BC37*VLOOKUP($B$14,'Annual Parameters'!$B$33:$W$143,3,FALSE)/VLOOKUP($B$16,'Annual Parameters'!$B$33:$W$143,3,FALSE)</f>
        <v>14.813543288439369</v>
      </c>
      <c r="BD37" s="1842">
        <f>'MECs - time of day'!BD37*VLOOKUP($B$14,'Annual Parameters'!$B$33:$W$143,3,FALSE)/VLOOKUP($B$16,'Annual Parameters'!$B$33:$W$143,3,FALSE)</f>
        <v>30.381885214767298</v>
      </c>
      <c r="BE37" s="1843">
        <f>'MECs - time of day'!BE37*VLOOKUP($B$14,'Annual Parameters'!$B$33:$W$143,3,FALSE)/VLOOKUP($B$16,'Annual Parameters'!$B$33:$W$143,3,FALSE)</f>
        <v>3.2775346899049613</v>
      </c>
      <c r="BF37" s="1841">
        <f>'MECs - time of day'!BF37*VLOOKUP($B$14,'Annual Parameters'!$B$33:$W$143,3,FALSE)/VLOOKUP($B$16,'Annual Parameters'!$B$33:$W$143,3,FALSE)</f>
        <v>18.858950952054279</v>
      </c>
      <c r="BG37" s="1843">
        <f>'MECs - time of day'!BG37*VLOOKUP($B$14,'Annual Parameters'!$B$33:$W$143,3,FALSE)/VLOOKUP($B$16,'Annual Parameters'!$B$33:$W$143,3,FALSE)</f>
        <v>18.118453456138823</v>
      </c>
      <c r="BH37" s="1844">
        <f>'MECs - time of day'!BH37*VLOOKUP($B$14,'Annual Parameters'!$B$33:$W$143,3,FALSE)/VLOOKUP($B$16,'Annual Parameters'!$B$33:$W$143,3,FALSE)</f>
        <v>17.6651916009417</v>
      </c>
    </row>
    <row r="38" spans="1:60" ht="13.5" customHeight="1">
      <c r="A38" s="265" t="s">
        <v>1127</v>
      </c>
      <c r="B38" s="1769"/>
      <c r="C38" s="1769"/>
      <c r="D38" s="1841">
        <f>'MECs - time of day'!D38*VLOOKUP($B$14,'Annual Parameters'!$B$33:$W$143,3,FALSE)/VLOOKUP($B$16,'Annual Parameters'!$B$33:$W$143,3,FALSE)</f>
        <v>6.0373442393827812</v>
      </c>
      <c r="E38" s="1842">
        <f>'MECs - time of day'!E38*VLOOKUP($B$14,'Annual Parameters'!$B$33:$W$143,3,FALSE)/VLOOKUP($B$16,'Annual Parameters'!$B$33:$W$143,3,FALSE)</f>
        <v>3.3348719404567326</v>
      </c>
      <c r="F38" s="1842">
        <f>'MECs - time of day'!F38*VLOOKUP($B$14,'Annual Parameters'!$B$33:$W$143,3,FALSE)/VLOOKUP($B$16,'Annual Parameters'!$B$33:$W$143,3,FALSE)</f>
        <v>6.2667426246465787</v>
      </c>
      <c r="G38" s="1843">
        <f>'MECs - time of day'!G38*VLOOKUP($B$14,'Annual Parameters'!$B$33:$W$143,3,FALSE)/VLOOKUP($B$16,'Annual Parameters'!$B$33:$W$143,3,FALSE)</f>
        <v>0.91309435065140709</v>
      </c>
      <c r="H38" s="1841">
        <f>'MECs - time of day'!H38*VLOOKUP($B$14,'Annual Parameters'!$B$33:$W$143,3,FALSE)/VLOOKUP($B$16,'Annual Parameters'!$B$33:$W$143,3,FALSE)</f>
        <v>4.0945239476034141</v>
      </c>
      <c r="I38" s="1843">
        <f>'MECs - time of day'!I38*VLOOKUP($B$14,'Annual Parameters'!$B$33:$W$143,3,FALSE)/VLOOKUP($B$16,'Annual Parameters'!$B$33:$W$143,3,FALSE)</f>
        <v>3.5359930359113942</v>
      </c>
      <c r="J38" s="1844">
        <f>'MECs - time of day'!J38*VLOOKUP($B$14,'Annual Parameters'!$B$33:$W$143,3,FALSE)/VLOOKUP($B$16,'Annual Parameters'!$B$33:$W$143,3,FALSE)</f>
        <v>3.6642155223768951</v>
      </c>
      <c r="L38" s="265" t="s">
        <v>1127</v>
      </c>
      <c r="M38" s="1769"/>
      <c r="N38" s="1841">
        <f>'MECs - time of day'!N38*VLOOKUP($B$14,'Annual Parameters'!$B$33:$W$143,3,FALSE)/VLOOKUP($B$16,'Annual Parameters'!$B$33:$W$143,3,FALSE)</f>
        <v>6.7450029678038517</v>
      </c>
      <c r="O38" s="1842">
        <f>'MECs - time of day'!O38*VLOOKUP($B$14,'Annual Parameters'!$B$33:$W$143,3,FALSE)/VLOOKUP($B$16,'Annual Parameters'!$B$33:$W$143,3,FALSE)</f>
        <v>3.7820642642544509</v>
      </c>
      <c r="P38" s="1842">
        <f>'MECs - time of day'!P38*VLOOKUP($B$14,'Annual Parameters'!$B$33:$W$143,3,FALSE)/VLOOKUP($B$16,'Annual Parameters'!$B$33:$W$143,3,FALSE)</f>
        <v>7.0171144679272501</v>
      </c>
      <c r="Q38" s="1843">
        <f>'MECs - time of day'!Q38*VLOOKUP($B$14,'Annual Parameters'!$B$33:$W$143,3,FALSE)/VLOOKUP($B$16,'Annual Parameters'!$B$33:$W$143,3,FALSE)</f>
        <v>0.92913104088459841</v>
      </c>
      <c r="R38" s="1841">
        <f>'MECs - time of day'!R38*VLOOKUP($B$14,'Annual Parameters'!$B$33:$W$143,3,FALSE)/VLOOKUP($B$16,'Annual Parameters'!$B$33:$W$143,3,FALSE)</f>
        <v>4.6774927240636313</v>
      </c>
      <c r="S38" s="1843">
        <f>'MECs - time of day'!S38*VLOOKUP($B$14,'Annual Parameters'!$B$33:$W$143,3,FALSE)/VLOOKUP($B$16,'Annual Parameters'!$B$33:$W$143,3,FALSE)</f>
        <v>3.9900520114297615</v>
      </c>
      <c r="T38" s="1844">
        <f>'MECs - time of day'!T38*VLOOKUP($B$14,'Annual Parameters'!$B$33:$W$143,3,FALSE)/VLOOKUP($B$16,'Annual Parameters'!$B$33:$W$143,3,FALSE)</f>
        <v>4.0814350140695517</v>
      </c>
      <c r="V38" s="265" t="s">
        <v>1127</v>
      </c>
      <c r="W38" s="1769"/>
      <c r="X38" s="1841">
        <f>'MECs - time of day'!X38*VLOOKUP($B$14,'Annual Parameters'!$B$33:$W$143,3,FALSE)/VLOOKUP($B$16,'Annual Parameters'!$B$33:$W$143,3,FALSE)</f>
        <v>8.2111777610852617</v>
      </c>
      <c r="Y38" s="1842">
        <f>'MECs - time of day'!Y38*VLOOKUP($B$14,'Annual Parameters'!$B$33:$W$143,3,FALSE)/VLOOKUP($B$16,'Annual Parameters'!$B$33:$W$143,3,FALSE)</f>
        <v>4.5872774865428001</v>
      </c>
      <c r="Z38" s="1842">
        <f>'MECs - time of day'!Z38*VLOOKUP($B$14,'Annual Parameters'!$B$33:$W$143,3,FALSE)/VLOOKUP($B$16,'Annual Parameters'!$B$33:$W$143,3,FALSE)</f>
        <v>8.4867521971799782</v>
      </c>
      <c r="AA38" s="1843">
        <f>'MECs - time of day'!AA38*VLOOKUP($B$14,'Annual Parameters'!$B$33:$W$143,3,FALSE)/VLOOKUP($B$16,'Annual Parameters'!$B$33:$W$143,3,FALSE)</f>
        <v>1.1042689677981137</v>
      </c>
      <c r="AB38" s="1841">
        <f>'MECs - time of day'!AB38*VLOOKUP($B$14,'Annual Parameters'!$B$33:$W$143,3,FALSE)/VLOOKUP($B$16,'Annual Parameters'!$B$33:$W$143,3,FALSE)</f>
        <v>5.6420637142625818</v>
      </c>
      <c r="AC38" s="1843">
        <f>'MECs - time of day'!AC38*VLOOKUP($B$14,'Annual Parameters'!$B$33:$W$143,3,FALSE)/VLOOKUP($B$16,'Annual Parameters'!$B$33:$W$143,3,FALSE)</f>
        <v>4.8129890200103436</v>
      </c>
      <c r="AD38" s="1844">
        <f>'MECs - time of day'!AD38*VLOOKUP($B$14,'Annual Parameters'!$B$33:$W$143,3,FALSE)/VLOOKUP($B$16,'Annual Parameters'!$B$33:$W$143,3,FALSE)</f>
        <v>4.9956592034916003</v>
      </c>
      <c r="AF38" s="265" t="s">
        <v>1127</v>
      </c>
      <c r="AG38" s="1769"/>
      <c r="AH38" s="1841">
        <f>'MECs - time of day'!AH38*VLOOKUP($B$14,'Annual Parameters'!$B$33:$W$143,3,FALSE)/VLOOKUP($B$16,'Annual Parameters'!$B$33:$W$143,3,FALSE)</f>
        <v>10.214600953537929</v>
      </c>
      <c r="AI38" s="1842">
        <f>'MECs - time of day'!AI38*VLOOKUP($B$14,'Annual Parameters'!$B$33:$W$143,3,FALSE)/VLOOKUP($B$16,'Annual Parameters'!$B$33:$W$143,3,FALSE)</f>
        <v>5.8111854544292081</v>
      </c>
      <c r="AJ38" s="1842">
        <f>'MECs - time of day'!AJ38*VLOOKUP($B$14,'Annual Parameters'!$B$33:$W$143,3,FALSE)/VLOOKUP($B$16,'Annual Parameters'!$B$33:$W$143,3,FALSE)</f>
        <v>10.524280603546082</v>
      </c>
      <c r="AK38" s="1843">
        <f>'MECs - time of day'!AK38*VLOOKUP($B$14,'Annual Parameters'!$B$33:$W$143,3,FALSE)/VLOOKUP($B$16,'Annual Parameters'!$B$33:$W$143,3,FALSE)</f>
        <v>1.3055158205770445</v>
      </c>
      <c r="AL38" s="1841">
        <f>'MECs - time of day'!AL38*VLOOKUP($B$14,'Annual Parameters'!$B$33:$W$143,3,FALSE)/VLOOKUP($B$16,'Annual Parameters'!$B$33:$W$143,3,FALSE)</f>
        <v>6.9957018370752868</v>
      </c>
      <c r="AM38" s="1843">
        <f>'MECs - time of day'!AM38*VLOOKUP($B$14,'Annual Parameters'!$B$33:$W$143,3,FALSE)/VLOOKUP($B$16,'Annual Parameters'!$B$33:$W$143,3,FALSE)</f>
        <v>6.0442249676918696</v>
      </c>
      <c r="AN38" s="1844">
        <f>'MECs - time of day'!AN38*VLOOKUP($B$14,'Annual Parameters'!$B$33:$W$143,3,FALSE)/VLOOKUP($B$16,'Annual Parameters'!$B$33:$W$143,3,FALSE)</f>
        <v>6.2056754570569517</v>
      </c>
      <c r="AP38" s="265" t="s">
        <v>1127</v>
      </c>
      <c r="AQ38" s="1769"/>
      <c r="AR38" s="1841">
        <f>'MECs - time of day'!AR38*VLOOKUP($B$14,'Annual Parameters'!$B$33:$W$143,3,FALSE)/VLOOKUP($B$16,'Annual Parameters'!$B$33:$W$143,3,FALSE)</f>
        <v>12.062152299814485</v>
      </c>
      <c r="AS38" s="1842">
        <f>'MECs - time of day'!AS38*VLOOKUP($B$14,'Annual Parameters'!$B$33:$W$143,3,FALSE)/VLOOKUP($B$16,'Annual Parameters'!$B$33:$W$143,3,FALSE)</f>
        <v>7.1020342794956699</v>
      </c>
      <c r="AT38" s="1842">
        <f>'MECs - time of day'!AT38*VLOOKUP($B$14,'Annual Parameters'!$B$33:$W$143,3,FALSE)/VLOOKUP($B$16,'Annual Parameters'!$B$33:$W$143,3,FALSE)</f>
        <v>12.586148521999293</v>
      </c>
      <c r="AU38" s="1843">
        <f>'MECs - time of day'!AU38*VLOOKUP($B$14,'Annual Parameters'!$B$33:$W$143,3,FALSE)/VLOOKUP($B$16,'Annual Parameters'!$B$33:$W$143,3,FALSE)</f>
        <v>1.5196046678301771</v>
      </c>
      <c r="AV38" s="1841">
        <f>'MECs - time of day'!AV38*VLOOKUP($B$14,'Annual Parameters'!$B$33:$W$143,3,FALSE)/VLOOKUP($B$16,'Annual Parameters'!$B$33:$W$143,3,FALSE)</f>
        <v>8.3388748550630822</v>
      </c>
      <c r="AW38" s="1843">
        <f>'MECs - time of day'!AW38*VLOOKUP($B$14,'Annual Parameters'!$B$33:$W$143,3,FALSE)/VLOOKUP($B$16,'Annual Parameters'!$B$33:$W$143,3,FALSE)</f>
        <v>7.3609357775467927</v>
      </c>
      <c r="AX38" s="1844">
        <f>'MECs - time of day'!AX38*VLOOKUP($B$14,'Annual Parameters'!$B$33:$W$143,3,FALSE)/VLOOKUP($B$16,'Annual Parameters'!$B$33:$W$143,3,FALSE)</f>
        <v>7.3985441990777483</v>
      </c>
      <c r="AZ38" s="265" t="s">
        <v>1127</v>
      </c>
      <c r="BA38" s="1769"/>
      <c r="BB38" s="1841">
        <f>'MECs - time of day'!BB38*VLOOKUP($B$14,'Annual Parameters'!$B$33:$W$143,3,FALSE)/VLOOKUP($B$16,'Annual Parameters'!$B$33:$W$143,3,FALSE)</f>
        <v>14.54407488400974</v>
      </c>
      <c r="BC38" s="1842">
        <f>'MECs - time of day'!BC38*VLOOKUP($B$14,'Annual Parameters'!$B$33:$W$143,3,FALSE)/VLOOKUP($B$16,'Annual Parameters'!$B$33:$W$143,3,FALSE)</f>
        <v>8.8881259730636213</v>
      </c>
      <c r="BD38" s="1842">
        <f>'MECs - time of day'!BD38*VLOOKUP($B$14,'Annual Parameters'!$B$33:$W$143,3,FALSE)/VLOOKUP($B$16,'Annual Parameters'!$B$33:$W$143,3,FALSE)</f>
        <v>15.900799738569798</v>
      </c>
      <c r="BE38" s="1843">
        <f>'MECs - time of day'!BE38*VLOOKUP($B$14,'Annual Parameters'!$B$33:$W$143,3,FALSE)/VLOOKUP($B$16,'Annual Parameters'!$B$33:$W$143,3,FALSE)</f>
        <v>1.8315635031821842</v>
      </c>
      <c r="BF38" s="1841">
        <f>'MECs - time of day'!BF38*VLOOKUP($B$14,'Annual Parameters'!$B$33:$W$143,3,FALSE)/VLOOKUP($B$16,'Annual Parameters'!$B$33:$W$143,3,FALSE)</f>
        <v>10.398860805338341</v>
      </c>
      <c r="BG38" s="1843">
        <f>'MECs - time of day'!BG38*VLOOKUP($B$14,'Annual Parameters'!$B$33:$W$143,3,FALSE)/VLOOKUP($B$16,'Annual Parameters'!$B$33:$W$143,3,FALSE)</f>
        <v>9.1087306992610468</v>
      </c>
      <c r="BH38" s="1844">
        <f>'MECs - time of day'!BH38*VLOOKUP($B$14,'Annual Parameters'!$B$33:$W$143,3,FALSE)/VLOOKUP($B$16,'Annual Parameters'!$B$33:$W$143,3,FALSE)</f>
        <v>9.240254068184889</v>
      </c>
    </row>
    <row r="39" spans="1:60" ht="13.5" customHeight="1">
      <c r="A39" s="265" t="s">
        <v>1128</v>
      </c>
      <c r="B39" s="1769"/>
      <c r="C39" s="1769"/>
      <c r="D39" s="1841">
        <f>'MECs - time of day'!D39*VLOOKUP($B$14,'Annual Parameters'!$B$33:$W$143,3,FALSE)/VLOOKUP($B$16,'Annual Parameters'!$B$33:$W$143,3,FALSE)</f>
        <v>17.431768578499582</v>
      </c>
      <c r="E39" s="1842">
        <f>'MECs - time of day'!E39*VLOOKUP($B$14,'Annual Parameters'!$B$33:$W$143,3,FALSE)/VLOOKUP($B$16,'Annual Parameters'!$B$33:$W$143,3,FALSE)</f>
        <v>12.20259960030759</v>
      </c>
      <c r="F39" s="1842">
        <f>'MECs - time of day'!F39*VLOOKUP($B$14,'Annual Parameters'!$B$33:$W$143,3,FALSE)/VLOOKUP($B$16,'Annual Parameters'!$B$33:$W$143,3,FALSE)</f>
        <v>19.605951925680007</v>
      </c>
      <c r="G39" s="1843">
        <f>'MECs - time of day'!G39*VLOOKUP($B$14,'Annual Parameters'!$B$33:$W$143,3,FALSE)/VLOOKUP($B$16,'Annual Parameters'!$B$33:$W$143,3,FALSE)</f>
        <v>2.3740453116936582</v>
      </c>
      <c r="H39" s="1841">
        <f>'MECs - time of day'!H39*VLOOKUP($B$14,'Annual Parameters'!$B$33:$W$143,3,FALSE)/VLOOKUP($B$16,'Annual Parameters'!$B$33:$W$143,3,FALSE)</f>
        <v>13.119188974974202</v>
      </c>
      <c r="I39" s="1843">
        <f>'MECs - time of day'!I39*VLOOKUP($B$14,'Annual Parameters'!$B$33:$W$143,3,FALSE)/VLOOKUP($B$16,'Annual Parameters'!$B$33:$W$143,3,FALSE)</f>
        <v>11.33331101253652</v>
      </c>
      <c r="J39" s="1844">
        <f>'MECs - time of day'!J39*VLOOKUP($B$14,'Annual Parameters'!$B$33:$W$143,3,FALSE)/VLOOKUP($B$16,'Annual Parameters'!$B$33:$W$143,3,FALSE)</f>
        <v>11.674361082921736</v>
      </c>
      <c r="L39" s="265" t="s">
        <v>1128</v>
      </c>
      <c r="M39" s="1769"/>
      <c r="N39" s="1841">
        <f>'MECs - time of day'!N39*VLOOKUP($B$14,'Annual Parameters'!$B$33:$W$143,3,FALSE)/VLOOKUP($B$16,'Annual Parameters'!$B$33:$W$143,3,FALSE)</f>
        <v>19.110841742110914</v>
      </c>
      <c r="O39" s="1842">
        <f>'MECs - time of day'!O39*VLOOKUP($B$14,'Annual Parameters'!$B$33:$W$143,3,FALSE)/VLOOKUP($B$16,'Annual Parameters'!$B$33:$W$143,3,FALSE)</f>
        <v>13.58455735732211</v>
      </c>
      <c r="P39" s="1842">
        <f>'MECs - time of day'!P39*VLOOKUP($B$14,'Annual Parameters'!$B$33:$W$143,3,FALSE)/VLOOKUP($B$16,'Annual Parameters'!$B$33:$W$143,3,FALSE)</f>
        <v>21.598131544139715</v>
      </c>
      <c r="Q39" s="1843">
        <f>'MECs - time of day'!Q39*VLOOKUP($B$14,'Annual Parameters'!$B$33:$W$143,3,FALSE)/VLOOKUP($B$16,'Annual Parameters'!$B$33:$W$143,3,FALSE)</f>
        <v>2.6015669144768752</v>
      </c>
      <c r="R39" s="1841">
        <f>'MECs - time of day'!R39*VLOOKUP($B$14,'Annual Parameters'!$B$33:$W$143,3,FALSE)/VLOOKUP($B$16,'Annual Parameters'!$B$33:$W$143,3,FALSE)</f>
        <v>14.457704783469405</v>
      </c>
      <c r="S39" s="1843">
        <f>'MECs - time of day'!S39*VLOOKUP($B$14,'Annual Parameters'!$B$33:$W$143,3,FALSE)/VLOOKUP($B$16,'Annual Parameters'!$B$33:$W$143,3,FALSE)</f>
        <v>12.619699384987152</v>
      </c>
      <c r="T39" s="1844">
        <f>'MECs - time of day'!T39*VLOOKUP($B$14,'Annual Parameters'!$B$33:$W$143,3,FALSE)/VLOOKUP($B$16,'Annual Parameters'!$B$33:$W$143,3,FALSE)</f>
        <v>12.939017385029006</v>
      </c>
      <c r="V39" s="265" t="s">
        <v>1128</v>
      </c>
      <c r="W39" s="1769"/>
      <c r="X39" s="1841">
        <f>'MECs - time of day'!X39*VLOOKUP($B$14,'Annual Parameters'!$B$33:$W$143,3,FALSE)/VLOOKUP($B$16,'Annual Parameters'!$B$33:$W$143,3,FALSE)</f>
        <v>23.949268469832013</v>
      </c>
      <c r="Y39" s="1842">
        <f>'MECs - time of day'!Y39*VLOOKUP($B$14,'Annual Parameters'!$B$33:$W$143,3,FALSE)/VLOOKUP($B$16,'Annual Parameters'!$B$33:$W$143,3,FALSE)</f>
        <v>17.584563698414065</v>
      </c>
      <c r="Z39" s="1842">
        <f>'MECs - time of day'!Z39*VLOOKUP($B$14,'Annual Parameters'!$B$33:$W$143,3,FALSE)/VLOOKUP($B$16,'Annual Parameters'!$B$33:$W$143,3,FALSE)</f>
        <v>27.175663950544401</v>
      </c>
      <c r="AA39" s="1843">
        <f>'MECs - time of day'!AA39*VLOOKUP($B$14,'Annual Parameters'!$B$33:$W$143,3,FALSE)/VLOOKUP($B$16,'Annual Parameters'!$B$33:$W$143,3,FALSE)</f>
        <v>3.3128069033943408</v>
      </c>
      <c r="AB39" s="1841">
        <f>'MECs - time of day'!AB39*VLOOKUP($B$14,'Annual Parameters'!$B$33:$W$143,3,FALSE)/VLOOKUP($B$16,'Annual Parameters'!$B$33:$W$143,3,FALSE)</f>
        <v>18.273549641716127</v>
      </c>
      <c r="AC39" s="1843">
        <f>'MECs - time of day'!AC39*VLOOKUP($B$14,'Annual Parameters'!$B$33:$W$143,3,FALSE)/VLOOKUP($B$16,'Annual Parameters'!$B$33:$W$143,3,FALSE)</f>
        <v>16.105001720803841</v>
      </c>
      <c r="AD39" s="1844">
        <f>'MECs - time of day'!AD39*VLOOKUP($B$14,'Annual Parameters'!$B$33:$W$143,3,FALSE)/VLOOKUP($B$16,'Annual Parameters'!$B$33:$W$143,3,FALSE)</f>
        <v>16.365090494196622</v>
      </c>
      <c r="AF39" s="265" t="s">
        <v>1128</v>
      </c>
      <c r="AG39" s="1769"/>
      <c r="AH39" s="1841">
        <f>'MECs - time of day'!AH39*VLOOKUP($B$14,'Annual Parameters'!$B$33:$W$143,3,FALSE)/VLOOKUP($B$16,'Annual Parameters'!$B$33:$W$143,3,FALSE)</f>
        <v>31.076624934916236</v>
      </c>
      <c r="AI39" s="1842">
        <f>'MECs - time of day'!AI39*VLOOKUP($B$14,'Annual Parameters'!$B$33:$W$143,3,FALSE)/VLOOKUP($B$16,'Annual Parameters'!$B$33:$W$143,3,FALSE)</f>
        <v>23.322224290442549</v>
      </c>
      <c r="AJ39" s="1842">
        <f>'MECs - time of day'!AJ39*VLOOKUP($B$14,'Annual Parameters'!$B$33:$W$143,3,FALSE)/VLOOKUP($B$16,'Annual Parameters'!$B$33:$W$143,3,FALSE)</f>
        <v>34.409821799420236</v>
      </c>
      <c r="AK39" s="1843">
        <f>'MECs - time of day'!AK39*VLOOKUP($B$14,'Annual Parameters'!$B$33:$W$143,3,FALSE)/VLOOKUP($B$16,'Annual Parameters'!$B$33:$W$143,3,FALSE)</f>
        <v>4.7558076321020915</v>
      </c>
      <c r="AL39" s="1841">
        <f>'MECs - time of day'!AL39*VLOOKUP($B$14,'Annual Parameters'!$B$33:$W$143,3,FALSE)/VLOOKUP($B$16,'Annual Parameters'!$B$33:$W$143,3,FALSE)</f>
        <v>23.717135496425975</v>
      </c>
      <c r="AM39" s="1843">
        <f>'MECs - time of day'!AM39*VLOOKUP($B$14,'Annual Parameters'!$B$33:$W$143,3,FALSE)/VLOOKUP($B$16,'Annual Parameters'!$B$33:$W$143,3,FALSE)</f>
        <v>21.249228402041727</v>
      </c>
      <c r="AN39" s="1844">
        <f>'MECs - time of day'!AN39*VLOOKUP($B$14,'Annual Parameters'!$B$33:$W$143,3,FALSE)/VLOOKUP($B$16,'Annual Parameters'!$B$33:$W$143,3,FALSE)</f>
        <v>21.501354400507186</v>
      </c>
      <c r="AP39" s="265" t="s">
        <v>1128</v>
      </c>
      <c r="AQ39" s="1769"/>
      <c r="AR39" s="1841">
        <f>'MECs - time of day'!AR39*VLOOKUP($B$14,'Annual Parameters'!$B$33:$W$143,3,FALSE)/VLOOKUP($B$16,'Annual Parameters'!$B$33:$W$143,3,FALSE)</f>
        <v>35.746232362953876</v>
      </c>
      <c r="AS39" s="1842">
        <f>'MECs - time of day'!AS39*VLOOKUP($B$14,'Annual Parameters'!$B$33:$W$143,3,FALSE)/VLOOKUP($B$16,'Annual Parameters'!$B$33:$W$143,3,FALSE)</f>
        <v>30.065278449865005</v>
      </c>
      <c r="AT39" s="1842">
        <f>'MECs - time of day'!AT39*VLOOKUP($B$14,'Annual Parameters'!$B$33:$W$143,3,FALSE)/VLOOKUP($B$16,'Annual Parameters'!$B$33:$W$143,3,FALSE)</f>
        <v>41.953828406664307</v>
      </c>
      <c r="AU39" s="1843">
        <f>'MECs - time of day'!AU39*VLOOKUP($B$14,'Annual Parameters'!$B$33:$W$143,3,FALSE)/VLOOKUP($B$16,'Annual Parameters'!$B$33:$W$143,3,FALSE)</f>
        <v>6.6482704217570259</v>
      </c>
      <c r="AV39" s="1841">
        <f>'MECs - time of day'!AV39*VLOOKUP($B$14,'Annual Parameters'!$B$33:$W$143,3,FALSE)/VLOOKUP($B$16,'Annual Parameters'!$B$33:$W$143,3,FALSE)</f>
        <v>29.272925272461034</v>
      </c>
      <c r="AW39" s="1843">
        <f>'MECs - time of day'!AW39*VLOOKUP($B$14,'Annual Parameters'!$B$33:$W$143,3,FALSE)/VLOOKUP($B$16,'Annual Parameters'!$B$33:$W$143,3,FALSE)</f>
        <v>26.925528238921164</v>
      </c>
      <c r="AX39" s="1844">
        <f>'MECs - time of day'!AX39*VLOOKUP($B$14,'Annual Parameters'!$B$33:$W$143,3,FALSE)/VLOOKUP($B$16,'Annual Parameters'!$B$33:$W$143,3,FALSE)</f>
        <v>26.83086510749882</v>
      </c>
      <c r="AZ39" s="265" t="s">
        <v>1128</v>
      </c>
      <c r="BA39" s="1769"/>
      <c r="BB39" s="1841">
        <f>'MECs - time of day'!BB39*VLOOKUP($B$14,'Annual Parameters'!$B$33:$W$143,3,FALSE)/VLOOKUP($B$16,'Annual Parameters'!$B$33:$W$143,3,FALSE)</f>
        <v>46.844412969970023</v>
      </c>
      <c r="BC39" s="1842">
        <f>'MECs - time of day'!BC39*VLOOKUP($B$14,'Annual Parameters'!$B$33:$W$143,3,FALSE)/VLOOKUP($B$16,'Annual Parameters'!$B$33:$W$143,3,FALSE)</f>
        <v>39.956530275304026</v>
      </c>
      <c r="BD39" s="1842">
        <f>'MECs - time of day'!BD39*VLOOKUP($B$14,'Annual Parameters'!$B$33:$W$143,3,FALSE)/VLOOKUP($B$16,'Annual Parameters'!$B$33:$W$143,3,FALSE)</f>
        <v>53.475903882690098</v>
      </c>
      <c r="BE39" s="1843">
        <f>'MECs - time of day'!BE39*VLOOKUP($B$14,'Annual Parameters'!$B$33:$W$143,3,FALSE)/VLOOKUP($B$16,'Annual Parameters'!$B$33:$W$143,3,FALSE)</f>
        <v>9.4470117532554774</v>
      </c>
      <c r="BF39" s="1841">
        <f>'MECs - time of day'!BF39*VLOOKUP($B$14,'Annual Parameters'!$B$33:$W$143,3,FALSE)/VLOOKUP($B$16,'Annual Parameters'!$B$33:$W$143,3,FALSE)</f>
        <v>38.334783477306594</v>
      </c>
      <c r="BG39" s="1843">
        <f>'MECs - time of day'!BG39*VLOOKUP($B$14,'Annual Parameters'!$B$33:$W$143,3,FALSE)/VLOOKUP($B$16,'Annual Parameters'!$B$33:$W$143,3,FALSE)</f>
        <v>35.444843373211462</v>
      </c>
      <c r="BH39" s="1844">
        <f>'MECs - time of day'!BH39*VLOOKUP($B$14,'Annual Parameters'!$B$33:$W$143,3,FALSE)/VLOOKUP($B$16,'Annual Parameters'!$B$33:$W$143,3,FALSE)</f>
        <v>35.058611023407373</v>
      </c>
    </row>
    <row r="40" spans="1:60" ht="13.5" customHeight="1" thickBot="1">
      <c r="A40" s="259" t="s">
        <v>1129</v>
      </c>
      <c r="B40" s="1774"/>
      <c r="C40" s="1774"/>
      <c r="D40" s="1845">
        <f>'MECs - time of day'!D40*VLOOKUP($B$14,'Annual Parameters'!$B$33:$W$143,3,FALSE)/VLOOKUP($B$16,'Annual Parameters'!$B$33:$W$143,3,FALSE)</f>
        <v>18.537197805428825</v>
      </c>
      <c r="E40" s="1846">
        <f>'MECs - time of day'!E40*VLOOKUP($B$14,'Annual Parameters'!$B$33:$W$143,3,FALSE)/VLOOKUP($B$16,'Annual Parameters'!$B$33:$W$143,3,FALSE)</f>
        <v>13.036317585421774</v>
      </c>
      <c r="F40" s="1846">
        <f>'MECs - time of day'!F40*VLOOKUP($B$14,'Annual Parameters'!$B$33:$W$143,3,FALSE)/VLOOKUP($B$16,'Annual Parameters'!$B$33:$W$143,3,FALSE)</f>
        <v>20.501200872058092</v>
      </c>
      <c r="G40" s="1847">
        <f>'MECs - time of day'!G40*VLOOKUP($B$14,'Annual Parameters'!$B$33:$W$143,3,FALSE)/VLOOKUP($B$16,'Annual Parameters'!$B$33:$W$143,3,FALSE)</f>
        <v>2.5566641818239395</v>
      </c>
      <c r="H40" s="1845">
        <f>'MECs - time of day'!H40*VLOOKUP($B$14,'Annual Parameters'!$B$33:$W$143,3,FALSE)/VLOOKUP($B$16,'Annual Parameters'!$B$33:$W$143,3,FALSE)</f>
        <v>14.03836782035456</v>
      </c>
      <c r="I40" s="1847">
        <f>'MECs - time of day'!I40*VLOOKUP($B$14,'Annual Parameters'!$B$33:$W$143,3,FALSE)/VLOOKUP($B$16,'Annual Parameters'!$B$33:$W$143,3,FALSE)</f>
        <v>12.511975357840317</v>
      </c>
      <c r="J40" s="1848">
        <f>'MECs - time of day'!J40*VLOOKUP($B$14,'Annual Parameters'!$B$33:$W$143,3,FALSE)/VLOOKUP($B$16,'Annual Parameters'!$B$33:$W$143,3,FALSE)</f>
        <v>12.696932856608314</v>
      </c>
      <c r="L40" s="259" t="s">
        <v>1129</v>
      </c>
      <c r="M40" s="1774"/>
      <c r="N40" s="1845">
        <f>'MECs - time of day'!N40*VLOOKUP($B$14,'Annual Parameters'!$B$33:$W$143,3,FALSE)/VLOOKUP($B$16,'Annual Parameters'!$B$33:$W$143,3,FALSE)</f>
        <v>20.494432094480935</v>
      </c>
      <c r="O40" s="1846">
        <f>'MECs - time of day'!O40*VLOOKUP($B$14,'Annual Parameters'!$B$33:$W$143,3,FALSE)/VLOOKUP($B$16,'Annual Parameters'!$B$33:$W$143,3,FALSE)</f>
        <v>14.819517117078664</v>
      </c>
      <c r="P40" s="1846">
        <f>'MECs - time of day'!P40*VLOOKUP($B$14,'Annual Parameters'!$B$33:$W$143,3,FALSE)/VLOOKUP($B$16,'Annual Parameters'!$B$33:$W$143,3,FALSE)</f>
        <v>22.691707824855651</v>
      </c>
      <c r="Q40" s="1847">
        <f>'MECs - time of day'!Q40*VLOOKUP($B$14,'Annual Parameters'!$B$33:$W$143,3,FALSE)/VLOOKUP($B$16,'Annual Parameters'!$B$33:$W$143,3,FALSE)</f>
        <v>2.9732193308307155</v>
      </c>
      <c r="R40" s="1845">
        <f>'MECs - time of day'!R40*VLOOKUP($B$14,'Annual Parameters'!$B$33:$W$143,3,FALSE)/VLOOKUP($B$16,'Annual Parameters'!$B$33:$W$143,3,FALSE)</f>
        <v>15.648339295049237</v>
      </c>
      <c r="S40" s="1847">
        <f>'MECs - time of day'!S40*VLOOKUP($B$14,'Annual Parameters'!$B$33:$W$143,3,FALSE)/VLOOKUP($B$16,'Annual Parameters'!$B$33:$W$143,3,FALSE)</f>
        <v>14.011577993625442</v>
      </c>
      <c r="T40" s="1848">
        <f>'MECs - time of day'!T40*VLOOKUP($B$14,'Annual Parameters'!$B$33:$W$143,3,FALSE)/VLOOKUP($B$16,'Annual Parameters'!$B$33:$W$143,3,FALSE)</f>
        <v>14.241603027817156</v>
      </c>
      <c r="V40" s="259" t="s">
        <v>1129</v>
      </c>
      <c r="W40" s="1774"/>
      <c r="X40" s="1845">
        <f>'MECs - time of day'!X40*VLOOKUP($B$14,'Annual Parameters'!$B$33:$W$143,3,FALSE)/VLOOKUP($B$16,'Annual Parameters'!$B$33:$W$143,3,FALSE)</f>
        <v>24.890132588289703</v>
      </c>
      <c r="Y40" s="1846">
        <f>'MECs - time of day'!Y40*VLOOKUP($B$14,'Annual Parameters'!$B$33:$W$143,3,FALSE)/VLOOKUP($B$16,'Annual Parameters'!$B$33:$W$143,3,FALSE)</f>
        <v>16.590653576329792</v>
      </c>
      <c r="Z40" s="1846">
        <f>'MECs - time of day'!Z40*VLOOKUP($B$14,'Annual Parameters'!$B$33:$W$143,3,FALSE)/VLOOKUP($B$16,'Annual Parameters'!$B$33:$W$143,3,FALSE)</f>
        <v>28.078509928967804</v>
      </c>
      <c r="AA40" s="1847">
        <f>'MECs - time of day'!AA40*VLOOKUP($B$14,'Annual Parameters'!$B$33:$W$143,3,FALSE)/VLOOKUP($B$16,'Annual Parameters'!$B$33:$W$143,3,FALSE)</f>
        <v>4.4170758711924547</v>
      </c>
      <c r="AB40" s="1845">
        <f>'MECs - time of day'!AB40*VLOOKUP($B$14,'Annual Parameters'!$B$33:$W$143,3,FALSE)/VLOOKUP($B$16,'Annual Parameters'!$B$33:$W$143,3,FALSE)</f>
        <v>18.694599172631243</v>
      </c>
      <c r="AC40" s="1847">
        <f>'MECs - time of day'!AC40*VLOOKUP($B$14,'Annual Parameters'!$B$33:$W$143,3,FALSE)/VLOOKUP($B$16,'Annual Parameters'!$B$33:$W$143,3,FALSE)</f>
        <v>16.938019051190249</v>
      </c>
      <c r="AD40" s="1848">
        <f>'MECs - time of day'!AD40*VLOOKUP($B$14,'Annual Parameters'!$B$33:$W$143,3,FALSE)/VLOOKUP($B$16,'Annual Parameters'!$B$33:$W$143,3,FALSE)</f>
        <v>17.054146936057535</v>
      </c>
      <c r="AF40" s="259" t="s">
        <v>1129</v>
      </c>
      <c r="AG40" s="1774"/>
      <c r="AH40" s="1845">
        <f>'MECs - time of day'!AH40*VLOOKUP($B$14,'Annual Parameters'!$B$33:$W$143,3,FALSE)/VLOOKUP($B$16,'Annual Parameters'!$B$33:$W$143,3,FALSE)</f>
        <v>31.4228825943582</v>
      </c>
      <c r="AI40" s="1846">
        <f>'MECs - time of day'!AI40*VLOOKUP($B$14,'Annual Parameters'!$B$33:$W$143,3,FALSE)/VLOOKUP($B$16,'Annual Parameters'!$B$33:$W$143,3,FALSE)</f>
        <v>23.322224290442549</v>
      </c>
      <c r="AJ40" s="1846">
        <f>'MECs - time of day'!AJ40*VLOOKUP($B$14,'Annual Parameters'!$B$33:$W$143,3,FALSE)/VLOOKUP($B$16,'Annual Parameters'!$B$33:$W$143,3,FALSE)</f>
        <v>35.965585019074865</v>
      </c>
      <c r="AK40" s="1847">
        <f>'MECs - time of day'!AK40*VLOOKUP($B$14,'Annual Parameters'!$B$33:$W$143,3,FALSE)/VLOOKUP($B$16,'Annual Parameters'!$B$33:$W$143,3,FALSE)</f>
        <v>6.1545745827203531</v>
      </c>
      <c r="AL40" s="1845">
        <f>'MECs - time of day'!AL40*VLOOKUP($B$14,'Annual Parameters'!$B$33:$W$143,3,FALSE)/VLOOKUP($B$16,'Annual Parameters'!$B$33:$W$143,3,FALSE)</f>
        <v>24.655583303838515</v>
      </c>
      <c r="AM40" s="1847">
        <f>'MECs - time of day'!AM40*VLOOKUP($B$14,'Annual Parameters'!$B$33:$W$143,3,FALSE)/VLOOKUP($B$16,'Annual Parameters'!$B$33:$W$143,3,FALSE)</f>
        <v>22.28807956836377</v>
      </c>
      <c r="AN40" s="1848">
        <f>'MECs - time of day'!AN40*VLOOKUP($B$14,'Annual Parameters'!$B$33:$W$143,3,FALSE)/VLOOKUP($B$16,'Annual Parameters'!$B$33:$W$143,3,FALSE)</f>
        <v>22.37539319727577</v>
      </c>
      <c r="AP40" s="259" t="s">
        <v>1129</v>
      </c>
      <c r="AQ40" s="1774"/>
      <c r="AR40" s="1845">
        <f>'MECs - time of day'!AR40*VLOOKUP($B$14,'Annual Parameters'!$B$33:$W$143,3,FALSE)/VLOOKUP($B$16,'Annual Parameters'!$B$33:$W$143,3,FALSE)</f>
        <v>37.595175416210111</v>
      </c>
      <c r="AS40" s="1846">
        <f>'MECs - time of day'!AS40*VLOOKUP($B$14,'Annual Parameters'!$B$33:$W$143,3,FALSE)/VLOOKUP($B$16,'Annual Parameters'!$B$33:$W$143,3,FALSE)</f>
        <v>28.644871593965867</v>
      </c>
      <c r="AT40" s="1846">
        <f>'MECs - time of day'!AT40*VLOOKUP($B$14,'Annual Parameters'!$B$33:$W$143,3,FALSE)/VLOOKUP($B$16,'Annual Parameters'!$B$33:$W$143,3,FALSE)</f>
        <v>42.606443515212419</v>
      </c>
      <c r="AU40" s="1847">
        <f>'MECs - time of day'!AU40*VLOOKUP($B$14,'Annual Parameters'!$B$33:$W$143,3,FALSE)/VLOOKUP($B$16,'Annual Parameters'!$B$33:$W$143,3,FALSE)</f>
        <v>6.7432457134964112</v>
      </c>
      <c r="AV40" s="1845">
        <f>'MECs - time of day'!AV40*VLOOKUP($B$14,'Annual Parameters'!$B$33:$W$143,3,FALSE)/VLOOKUP($B$16,'Annual Parameters'!$B$33:$W$143,3,FALSE)</f>
        <v>29.533515111681755</v>
      </c>
      <c r="AW40" s="1847">
        <f>'MECs - time of day'!AW40*VLOOKUP($B$14,'Annual Parameters'!$B$33:$W$143,3,FALSE)/VLOOKUP($B$16,'Annual Parameters'!$B$33:$W$143,3,FALSE)</f>
        <v>27.022382657046776</v>
      </c>
      <c r="AX40" s="1848">
        <f>'MECs - time of day'!AX40*VLOOKUP($B$14,'Annual Parameters'!$B$33:$W$143,3,FALSE)/VLOOKUP($B$16,'Annual Parameters'!$B$33:$W$143,3,FALSE)</f>
        <v>26.920004194234696</v>
      </c>
      <c r="AZ40" s="259" t="s">
        <v>1129</v>
      </c>
      <c r="BA40" s="1774"/>
      <c r="BB40" s="1845">
        <f>'MECs - time of day'!BB40*VLOOKUP($B$14,'Annual Parameters'!$B$33:$W$143,3,FALSE)/VLOOKUP($B$16,'Annual Parameters'!$B$33:$W$143,3,FALSE)</f>
        <v>46.755185516693885</v>
      </c>
      <c r="BC40" s="1846">
        <f>'MECs - time of day'!BC40*VLOOKUP($B$14,'Annual Parameters'!$B$33:$W$143,3,FALSE)/VLOOKUP($B$16,'Annual Parameters'!$B$33:$W$143,3,FALSE)</f>
        <v>34.271332580821884</v>
      </c>
      <c r="BD40" s="1846">
        <f>'MECs - time of day'!BD40*VLOOKUP($B$14,'Annual Parameters'!$B$33:$W$143,3,FALSE)/VLOOKUP($B$16,'Annual Parameters'!$B$33:$W$143,3,FALSE)</f>
        <v>52.245484855300774</v>
      </c>
      <c r="BE40" s="1847">
        <f>'MECs - time of day'!BE40*VLOOKUP($B$14,'Annual Parameters'!$B$33:$W$143,3,FALSE)/VLOOKUP($B$16,'Annual Parameters'!$B$33:$W$143,3,FALSE)</f>
        <v>9.9290021488297366</v>
      </c>
      <c r="BF40" s="1845">
        <f>'MECs - time of day'!BF40*VLOOKUP($B$14,'Annual Parameters'!$B$33:$W$143,3,FALSE)/VLOOKUP($B$16,'Annual Parameters'!$B$33:$W$143,3,FALSE)</f>
        <v>36.219760940627609</v>
      </c>
      <c r="BG40" s="1847">
        <f>'MECs - time of day'!BG40*VLOOKUP($B$14,'Annual Parameters'!$B$33:$W$143,3,FALSE)/VLOOKUP($B$16,'Annual Parameters'!$B$33:$W$143,3,FALSE)</f>
        <v>33.563692467929293</v>
      </c>
      <c r="BH40" s="1848">
        <f>'MECs - time of day'!BH40*VLOOKUP($B$14,'Annual Parameters'!$B$33:$W$143,3,FALSE)/VLOOKUP($B$16,'Annual Parameters'!$B$33:$W$143,3,FALSE)</f>
        <v>33.24679650023387</v>
      </c>
    </row>
    <row r="41" spans="1:60" ht="13.5" customHeight="1" thickTop="1"/>
    <row r="117" spans="11:14" ht="13.5" customHeight="1">
      <c r="K117" s="1787"/>
      <c r="L117" s="1788"/>
      <c r="M117" s="1788"/>
      <c r="N117" s="1788"/>
    </row>
    <row r="118" spans="11:14" ht="13.5" customHeight="1">
      <c r="K118" s="1787"/>
      <c r="L118" s="1788"/>
      <c r="M118" s="1788"/>
      <c r="N118" s="1788"/>
    </row>
    <row r="119" spans="11:14" ht="13.5" customHeight="1">
      <c r="K119" s="1787"/>
      <c r="L119" s="1788"/>
      <c r="M119" s="1788"/>
      <c r="N119" s="1788"/>
    </row>
    <row r="120" spans="11:14" ht="13.5" customHeight="1">
      <c r="K120" s="1787"/>
      <c r="L120" s="1788"/>
      <c r="M120" s="1788"/>
      <c r="N120" s="1788"/>
    </row>
    <row r="121" spans="11:14" ht="13.5" customHeight="1">
      <c r="K121" s="1787"/>
      <c r="L121" s="1788"/>
      <c r="M121" s="1788"/>
      <c r="N121" s="1788"/>
    </row>
    <row r="122" spans="11:14" ht="13.5" customHeight="1">
      <c r="K122" s="1787"/>
      <c r="L122" s="1788"/>
      <c r="M122" s="1788"/>
      <c r="N122" s="1788"/>
    </row>
    <row r="123" spans="11:14" ht="13.5" customHeight="1">
      <c r="K123" s="1787"/>
      <c r="L123" s="1788"/>
      <c r="M123" s="1788"/>
      <c r="N123" s="1788"/>
    </row>
    <row r="124" spans="11:14" ht="13.5" customHeight="1">
      <c r="K124" s="1787"/>
      <c r="L124" s="1788"/>
      <c r="M124" s="1788"/>
      <c r="N124" s="1788"/>
    </row>
    <row r="125" spans="11:14" ht="13.5" customHeight="1">
      <c r="K125" s="1787"/>
      <c r="L125" s="1788"/>
      <c r="M125" s="1788"/>
      <c r="N125" s="1788"/>
    </row>
    <row r="126" spans="11:14" ht="13.5" customHeight="1">
      <c r="K126" s="1787"/>
      <c r="L126" s="1788"/>
      <c r="M126" s="1788"/>
      <c r="N126" s="1788"/>
    </row>
    <row r="127" spans="11:14" ht="13.5" customHeight="1">
      <c r="K127" s="1787"/>
      <c r="L127" s="1788"/>
      <c r="M127" s="1788"/>
      <c r="N127" s="1788"/>
    </row>
    <row r="128" spans="11:14" ht="13.5" customHeight="1">
      <c r="K128" s="1787"/>
      <c r="L128" s="1788"/>
      <c r="M128" s="1788"/>
      <c r="N128" s="1788"/>
    </row>
    <row r="129" spans="11:14" ht="13.5" customHeight="1">
      <c r="K129" s="1787"/>
      <c r="L129" s="1788"/>
      <c r="M129" s="1788"/>
      <c r="N129" s="1788"/>
    </row>
    <row r="130" spans="11:14" ht="13.5" customHeight="1">
      <c r="K130" s="1787"/>
      <c r="L130" s="1788"/>
      <c r="M130" s="1788"/>
      <c r="N130" s="1788"/>
    </row>
  </sheetData>
  <sheetProtection sheet="1" objects="1" scenarios="1"/>
  <mergeCells count="11">
    <mergeCell ref="A12:B12"/>
    <mergeCell ref="A7:B7"/>
    <mergeCell ref="A8:B8"/>
    <mergeCell ref="A10:B10"/>
    <mergeCell ref="AP1:AX1"/>
    <mergeCell ref="A11:B11"/>
    <mergeCell ref="AZ1:BH1"/>
    <mergeCell ref="D1:J1"/>
    <mergeCell ref="L1:T1"/>
    <mergeCell ref="V1:AD1"/>
    <mergeCell ref="AF1:AN1"/>
  </mergeCells>
  <phoneticPr fontId="8" type="noConversion"/>
  <hyperlinks>
    <hyperlink ref="A11" location="Contents!A1" display="Contents"/>
    <hyperlink ref="A11:B11" r:id="rId1" display="WebTAG Unit 3.13.2"/>
    <hyperlink ref="A10" location="Contents!A1" display="Contents"/>
    <hyperlink ref="A10:B10" location="Contents!A1" tooltip="Contents page" display="Contents"/>
    <hyperlink ref="A18" location="A5.4.4!D1" tooltip="2010" display="A5.4.4!D1"/>
    <hyperlink ref="B18" location="A5.4.4!L1" tooltip="2015" display="A5.4.4!L1"/>
    <hyperlink ref="A19" location="A5.4.4!V1" tooltip="2020" display="A5.4.4!V1"/>
    <hyperlink ref="B19" location="A5.4.4!AF1" tooltip="2025" display="A5.4.4!AF1"/>
    <hyperlink ref="A20" location="A5.4.4!AP1" tooltip="2030" display="A5.4.4!AP1"/>
    <hyperlink ref="B20" location="A5.4.4!AZ1" tooltip="2035" display="A5.4.4!AZ1"/>
    <hyperlink ref="A12:B12" r:id="rId2" tooltip="Unit A5.4 Marginal External Congestion Costs" display="WebTAG Unit A 5.4"/>
  </hyperlinks>
  <pageMargins left="0.75" right="0.75" top="1" bottom="1" header="0.5" footer="0.5"/>
  <pageSetup paperSize="8" scale="76" fitToWidth="3" fitToHeight="0" orientation="landscape" r:id="rId3"/>
  <headerFooter alignWithMargins="0"/>
  <drawing r:id="rId4"/>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indexed="10"/>
    <pageSetUpPr fitToPage="1"/>
  </sheetPr>
  <dimension ref="A1:BH130"/>
  <sheetViews>
    <sheetView showGridLines="0" zoomScale="85" zoomScaleNormal="85" workbookViewId="0">
      <selection activeCell="E23" sqref="E23:F23"/>
    </sheetView>
  </sheetViews>
  <sheetFormatPr defaultColWidth="12.88671875" defaultRowHeight="13.5" customHeight="1"/>
  <cols>
    <col min="1" max="16384" width="12.88671875" style="1327"/>
  </cols>
  <sheetData>
    <row r="1" spans="1:60" s="240" customFormat="1" ht="54.9" customHeight="1">
      <c r="A1" s="245"/>
      <c r="D1" s="3861"/>
      <c r="E1" s="3689"/>
      <c r="F1" s="3689"/>
      <c r="G1" s="3689"/>
      <c r="H1" s="3689"/>
      <c r="I1" s="3689"/>
      <c r="J1" s="3689"/>
      <c r="K1" s="237"/>
      <c r="L1" s="3821"/>
      <c r="M1" s="3821"/>
      <c r="N1" s="3821"/>
      <c r="O1" s="3821"/>
      <c r="P1" s="3821"/>
      <c r="Q1" s="3821"/>
      <c r="R1" s="3821"/>
      <c r="S1" s="3821"/>
      <c r="T1" s="3821"/>
      <c r="V1" s="3821"/>
      <c r="W1" s="3821"/>
      <c r="X1" s="3821"/>
      <c r="Y1" s="3821"/>
      <c r="Z1" s="3821"/>
      <c r="AA1" s="3821"/>
      <c r="AB1" s="3821"/>
      <c r="AC1" s="3821"/>
      <c r="AD1" s="3821"/>
      <c r="AF1" s="3821"/>
      <c r="AG1" s="3821"/>
      <c r="AH1" s="3821"/>
      <c r="AI1" s="3821"/>
      <c r="AJ1" s="3821"/>
      <c r="AK1" s="3821"/>
      <c r="AL1" s="3821"/>
      <c r="AM1" s="3821"/>
      <c r="AN1" s="3821"/>
      <c r="AP1" s="3821"/>
      <c r="AQ1" s="3821"/>
      <c r="AR1" s="3821"/>
      <c r="AS1" s="3821"/>
      <c r="AT1" s="3821"/>
      <c r="AU1" s="3821"/>
      <c r="AV1" s="3821"/>
      <c r="AW1" s="3821"/>
      <c r="AX1" s="3821"/>
      <c r="AZ1" s="3821"/>
      <c r="BA1" s="3821"/>
      <c r="BB1" s="3821"/>
      <c r="BC1" s="3821"/>
      <c r="BD1" s="3821"/>
      <c r="BE1" s="3821"/>
      <c r="BF1" s="3821"/>
      <c r="BG1" s="3821"/>
      <c r="BH1" s="3821"/>
    </row>
    <row r="2" spans="1:60" s="262" customFormat="1" ht="5.0999999999999996" customHeight="1">
      <c r="E2" s="260"/>
      <c r="G2" s="260"/>
      <c r="J2" s="260"/>
      <c r="K2" s="260"/>
    </row>
    <row r="3" spans="1:60" s="262" customFormat="1" ht="20.100000000000001" customHeight="1">
      <c r="A3" s="262" t="s">
        <v>2323</v>
      </c>
      <c r="B3" s="1717"/>
      <c r="C3" s="1717"/>
      <c r="D3" s="1718"/>
      <c r="E3" s="271"/>
      <c r="F3" s="260"/>
      <c r="G3" s="261"/>
      <c r="K3" s="260"/>
    </row>
    <row r="4" spans="1:60" s="237" customFormat="1" ht="20.100000000000001" customHeight="1" thickBot="1">
      <c r="A4" s="1719" t="s">
        <v>1281</v>
      </c>
      <c r="B4" s="263"/>
      <c r="C4" s="263"/>
      <c r="D4" s="263"/>
      <c r="E4" s="1720"/>
      <c r="F4" s="263"/>
      <c r="G4" s="263"/>
      <c r="H4" s="1720"/>
      <c r="I4" s="1720"/>
      <c r="J4" s="263"/>
      <c r="K4" s="263"/>
      <c r="L4" s="263"/>
      <c r="M4" s="263"/>
      <c r="N4" s="263"/>
      <c r="O4" s="263"/>
      <c r="P4" s="263"/>
      <c r="Q4" s="263"/>
      <c r="R4" s="263"/>
      <c r="S4" s="263"/>
      <c r="T4" s="263"/>
    </row>
    <row r="5" spans="1:60" s="240" customFormat="1" ht="9.9" customHeight="1" thickTop="1" thickBot="1">
      <c r="D5" s="1393"/>
      <c r="F5" s="1721"/>
      <c r="H5" s="245"/>
      <c r="I5" s="245"/>
      <c r="K5" s="237"/>
      <c r="T5" s="290"/>
    </row>
    <row r="6" spans="1:60" s="240" customFormat="1" ht="13.5" customHeight="1" thickTop="1">
      <c r="A6" s="169" t="s">
        <v>10</v>
      </c>
      <c r="B6" s="169"/>
      <c r="C6" s="28"/>
      <c r="E6" s="174" t="s">
        <v>255</v>
      </c>
      <c r="F6" s="328"/>
      <c r="G6" s="328"/>
      <c r="H6" s="328"/>
      <c r="I6" s="328"/>
      <c r="J6" s="328"/>
      <c r="K6" s="328"/>
      <c r="L6" s="328"/>
      <c r="M6" s="328"/>
      <c r="N6" s="328"/>
      <c r="O6" s="328"/>
      <c r="P6" s="328"/>
      <c r="Q6" s="328"/>
      <c r="R6" s="328"/>
      <c r="S6" s="328"/>
      <c r="T6" s="294"/>
    </row>
    <row r="7" spans="1:60" s="240" customFormat="1" ht="13.5" customHeight="1">
      <c r="A7" s="3636" t="str">
        <f>Audit!A12</f>
        <v>May 2019 v1.12</v>
      </c>
      <c r="B7" s="3637"/>
      <c r="C7" s="32"/>
      <c r="D7" s="247"/>
      <c r="E7" s="237" t="s">
        <v>1191</v>
      </c>
      <c r="F7" s="236"/>
      <c r="G7" s="237"/>
      <c r="H7" s="237"/>
      <c r="I7" s="237"/>
      <c r="J7" s="237"/>
      <c r="K7" s="237"/>
      <c r="L7" s="237"/>
      <c r="M7" s="237"/>
      <c r="N7" s="237"/>
      <c r="O7" s="237"/>
      <c r="P7" s="237"/>
      <c r="Q7" s="237"/>
      <c r="R7" s="237"/>
      <c r="S7" s="237"/>
      <c r="T7" s="247"/>
    </row>
    <row r="8" spans="1:60" s="240" customFormat="1" ht="13.5" customHeight="1">
      <c r="A8" s="3638">
        <f>Audit!C12</f>
        <v>43586</v>
      </c>
      <c r="B8" s="3637"/>
      <c r="C8" s="32"/>
      <c r="D8" s="272"/>
      <c r="E8" s="269" t="s">
        <v>189</v>
      </c>
      <c r="F8" s="266"/>
      <c r="G8" s="237"/>
      <c r="H8" s="237"/>
      <c r="I8" s="237"/>
      <c r="J8" s="237"/>
      <c r="K8" s="237"/>
      <c r="L8" s="237"/>
      <c r="M8" s="237"/>
      <c r="N8" s="237"/>
      <c r="O8" s="237"/>
      <c r="P8" s="237"/>
      <c r="Q8" s="237"/>
      <c r="R8" s="237"/>
      <c r="S8" s="237"/>
      <c r="T8" s="247"/>
    </row>
    <row r="9" spans="1:60" s="240" customFormat="1" ht="13.5" customHeight="1" thickBot="1">
      <c r="A9" s="169" t="s">
        <v>14</v>
      </c>
      <c r="B9" s="169"/>
      <c r="D9" s="272"/>
      <c r="F9" s="237"/>
      <c r="G9" s="237"/>
      <c r="H9" s="237"/>
      <c r="I9" s="237"/>
      <c r="J9" s="237"/>
      <c r="K9" s="237"/>
      <c r="L9" s="237"/>
      <c r="M9" s="237"/>
      <c r="N9" s="237"/>
      <c r="O9" s="237"/>
      <c r="P9" s="237"/>
      <c r="Q9" s="237"/>
      <c r="R9" s="237"/>
      <c r="S9" s="237"/>
      <c r="T9" s="247"/>
    </row>
    <row r="10" spans="1:60" s="240" customFormat="1" ht="13.5" customHeight="1" thickBot="1">
      <c r="A10" s="3611" t="s">
        <v>1306</v>
      </c>
      <c r="B10" s="3612"/>
      <c r="D10" s="272"/>
      <c r="F10" s="237"/>
      <c r="G10" s="237"/>
      <c r="H10" s="237"/>
      <c r="I10" s="237"/>
      <c r="J10" s="237"/>
      <c r="K10" s="237"/>
      <c r="L10" s="237"/>
      <c r="M10" s="237"/>
      <c r="N10" s="237"/>
      <c r="O10" s="237"/>
      <c r="P10" s="237"/>
      <c r="Q10" s="237"/>
      <c r="R10" s="237"/>
      <c r="S10" s="237"/>
      <c r="T10" s="247"/>
    </row>
    <row r="11" spans="1:60" s="240" customFormat="1" ht="13.5" customHeight="1" thickBot="1">
      <c r="A11" s="3611" t="s">
        <v>2314</v>
      </c>
      <c r="B11" s="3639"/>
      <c r="D11" s="272"/>
      <c r="F11" s="267"/>
      <c r="G11" s="267"/>
      <c r="H11" s="267"/>
      <c r="I11" s="267"/>
      <c r="J11" s="267"/>
      <c r="K11" s="267"/>
      <c r="L11" s="267"/>
      <c r="M11" s="267"/>
      <c r="N11" s="267"/>
      <c r="O11" s="267"/>
      <c r="P11" s="267"/>
      <c r="Q11" s="267"/>
      <c r="R11" s="267"/>
      <c r="S11" s="267"/>
      <c r="T11" s="247"/>
    </row>
    <row r="12" spans="1:60" s="240" customFormat="1" ht="13.5" customHeight="1" thickBot="1">
      <c r="A12" s="3611" t="s">
        <v>2315</v>
      </c>
      <c r="B12" s="3639"/>
      <c r="D12" s="272"/>
      <c r="F12" s="237"/>
      <c r="G12" s="237"/>
      <c r="H12" s="237"/>
      <c r="I12" s="237"/>
      <c r="J12" s="237"/>
      <c r="K12" s="237"/>
      <c r="L12" s="237"/>
      <c r="M12" s="237"/>
      <c r="N12" s="237"/>
      <c r="O12" s="237"/>
      <c r="P12" s="237"/>
      <c r="Q12" s="237"/>
      <c r="R12" s="237"/>
      <c r="S12" s="237"/>
      <c r="T12" s="247"/>
    </row>
    <row r="13" spans="1:60" s="240" customFormat="1" ht="13.5" customHeight="1">
      <c r="A13" s="169" t="s">
        <v>252</v>
      </c>
      <c r="B13" s="169"/>
      <c r="C13" s="28"/>
      <c r="D13" s="272"/>
      <c r="F13" s="237"/>
      <c r="G13" s="237"/>
      <c r="H13" s="237"/>
      <c r="I13" s="237"/>
      <c r="J13" s="237"/>
      <c r="K13" s="237"/>
      <c r="L13" s="237"/>
      <c r="M13" s="237"/>
      <c r="N13" s="237"/>
      <c r="O13" s="237"/>
      <c r="P13" s="237"/>
      <c r="Q13" s="237"/>
      <c r="R13" s="237"/>
      <c r="S13" s="237"/>
      <c r="T13" s="247"/>
    </row>
    <row r="14" spans="1:60" s="240" customFormat="1" ht="13.5" customHeight="1">
      <c r="A14" s="240" t="s">
        <v>799</v>
      </c>
      <c r="B14" s="1760">
        <f>B16</f>
        <v>2010</v>
      </c>
      <c r="C14" s="32"/>
      <c r="D14" s="247"/>
      <c r="F14" s="237"/>
      <c r="G14" s="237"/>
      <c r="H14" s="237"/>
      <c r="I14" s="237"/>
      <c r="J14" s="237"/>
      <c r="K14" s="237"/>
      <c r="L14" s="237"/>
      <c r="M14" s="237"/>
      <c r="N14" s="237"/>
      <c r="O14" s="237"/>
      <c r="P14" s="237"/>
      <c r="Q14" s="237"/>
      <c r="R14" s="237"/>
      <c r="S14" s="237"/>
      <c r="T14" s="247"/>
    </row>
    <row r="15" spans="1:60" s="240" customFormat="1" ht="13.5" customHeight="1">
      <c r="A15" s="269"/>
      <c r="B15" s="1991"/>
      <c r="C15" s="32"/>
      <c r="D15" s="185"/>
      <c r="F15" s="237"/>
      <c r="G15" s="237"/>
      <c r="H15" s="237"/>
      <c r="I15" s="237"/>
      <c r="J15" s="237"/>
      <c r="K15" s="237"/>
      <c r="L15" s="237"/>
      <c r="M15" s="237"/>
      <c r="N15" s="237"/>
      <c r="O15" s="237"/>
      <c r="P15" s="237"/>
      <c r="Q15" s="237"/>
      <c r="R15" s="237"/>
      <c r="S15" s="237"/>
      <c r="T15" s="247"/>
    </row>
    <row r="16" spans="1:60" s="240" customFormat="1" ht="13.5" customHeight="1">
      <c r="A16" s="269" t="s">
        <v>370</v>
      </c>
      <c r="B16" s="1346">
        <v>2010</v>
      </c>
      <c r="C16" s="1989"/>
      <c r="D16" s="247"/>
      <c r="F16" s="237"/>
      <c r="G16" s="237"/>
      <c r="H16" s="237"/>
      <c r="I16" s="237"/>
      <c r="J16" s="237"/>
      <c r="K16" s="237"/>
      <c r="L16" s="237"/>
      <c r="M16" s="237"/>
      <c r="N16" s="237"/>
      <c r="O16" s="237"/>
      <c r="P16" s="237"/>
      <c r="Q16" s="237"/>
      <c r="R16" s="237"/>
      <c r="S16" s="237"/>
      <c r="T16" s="247"/>
    </row>
    <row r="17" spans="1:60" s="240" customFormat="1" ht="13.5" customHeight="1" thickBot="1">
      <c r="A17" s="169" t="s">
        <v>253</v>
      </c>
      <c r="B17" s="169"/>
      <c r="C17" s="28"/>
      <c r="D17" s="272"/>
      <c r="F17" s="237"/>
      <c r="G17" s="237"/>
      <c r="H17" s="237"/>
      <c r="I17" s="237"/>
      <c r="J17" s="237"/>
      <c r="K17" s="237"/>
      <c r="L17" s="237"/>
      <c r="M17" s="237"/>
      <c r="N17" s="237"/>
      <c r="O17" s="237"/>
      <c r="P17" s="237"/>
      <c r="Q17" s="237"/>
      <c r="R17" s="237"/>
      <c r="S17" s="237"/>
      <c r="T17" s="247"/>
    </row>
    <row r="18" spans="1:60" s="240" customFormat="1" ht="13.5" customHeight="1" thickBot="1">
      <c r="A18" s="528">
        <v>2010</v>
      </c>
      <c r="B18" s="528">
        <v>2015</v>
      </c>
      <c r="C18" s="31"/>
      <c r="D18" s="272"/>
      <c r="F18" s="237"/>
      <c r="G18" s="237"/>
      <c r="H18" s="237"/>
      <c r="I18" s="237"/>
      <c r="J18" s="237"/>
      <c r="K18" s="237"/>
      <c r="L18" s="237"/>
      <c r="M18" s="237"/>
      <c r="N18" s="237"/>
      <c r="O18" s="237"/>
      <c r="P18" s="237"/>
      <c r="Q18" s="237"/>
      <c r="R18" s="237"/>
      <c r="S18" s="237"/>
      <c r="T18" s="247"/>
    </row>
    <row r="19" spans="1:60" s="240" customFormat="1" ht="13.5" customHeight="1" thickBot="1">
      <c r="A19" s="528">
        <v>2020</v>
      </c>
      <c r="B19" s="528">
        <v>2025</v>
      </c>
      <c r="C19" s="31"/>
      <c r="D19" s="247"/>
      <c r="E19" s="240" t="s">
        <v>642</v>
      </c>
      <c r="F19" s="237"/>
      <c r="G19" s="237"/>
      <c r="H19" s="237"/>
      <c r="I19" s="237"/>
      <c r="J19" s="237"/>
      <c r="K19" s="237"/>
      <c r="L19" s="237"/>
      <c r="M19" s="237"/>
      <c r="N19" s="237"/>
      <c r="O19" s="237"/>
      <c r="P19" s="237"/>
      <c r="Q19" s="237"/>
      <c r="R19" s="237"/>
      <c r="S19" s="237"/>
      <c r="T19" s="247"/>
    </row>
    <row r="20" spans="1:60" s="240" customFormat="1" ht="13.5" customHeight="1" thickBot="1">
      <c r="A20" s="528">
        <v>2030</v>
      </c>
      <c r="B20" s="528">
        <v>2035</v>
      </c>
      <c r="C20" s="31"/>
      <c r="E20" s="259" t="s">
        <v>2321</v>
      </c>
      <c r="F20" s="246"/>
      <c r="G20" s="270"/>
      <c r="H20" s="270"/>
      <c r="I20" s="270"/>
      <c r="J20" s="270"/>
      <c r="K20" s="270"/>
      <c r="L20" s="270"/>
      <c r="M20" s="270"/>
      <c r="N20" s="270"/>
      <c r="O20" s="270"/>
      <c r="P20" s="270"/>
      <c r="Q20" s="270"/>
      <c r="R20" s="270"/>
      <c r="S20" s="270"/>
      <c r="T20" s="1322"/>
    </row>
    <row r="21" spans="1:60" s="240" customFormat="1" ht="13.5" customHeight="1">
      <c r="C21" s="31"/>
      <c r="D21" s="1393"/>
      <c r="E21" s="242"/>
      <c r="F21" s="1721"/>
      <c r="H21" s="245"/>
      <c r="I21" s="245"/>
      <c r="J21" s="1724"/>
      <c r="K21" s="237"/>
    </row>
    <row r="22" spans="1:60" s="240" customFormat="1" ht="13.5" customHeight="1" thickBot="1">
      <c r="A22" s="241"/>
      <c r="D22" s="1393"/>
      <c r="E22" s="242"/>
      <c r="F22" s="1721"/>
      <c r="H22" s="245"/>
      <c r="I22" s="245"/>
      <c r="J22" s="1724"/>
      <c r="K22" s="237"/>
    </row>
    <row r="23" spans="1:60" ht="13.5" customHeight="1" thickTop="1" thickBot="1">
      <c r="A23" s="2036" t="s">
        <v>641</v>
      </c>
      <c r="B23" s="574"/>
      <c r="C23" s="574"/>
      <c r="D23" s="122" t="str">
        <f>"2010 Marginal External Congestion Costs - Cars (pence per km, £"&amp;$B$16&amp;", 1 d.p)"</f>
        <v>2010 Marginal External Congestion Costs - Cars (pence per km, £2010, 1 d.p)</v>
      </c>
      <c r="E23" s="574"/>
      <c r="F23" s="574"/>
      <c r="G23" s="574"/>
      <c r="H23" s="574"/>
      <c r="I23" s="574"/>
      <c r="J23" s="582"/>
      <c r="L23" s="122" t="str">
        <f>"2015 Marginal External Congestion Costs - Cars (pence per km, £"&amp;$B$16&amp;", 1 d.p)"</f>
        <v>2015 Marginal External Congestion Costs - Cars (pence per km, £2010, 1 d.p)</v>
      </c>
      <c r="M23" s="574"/>
      <c r="N23" s="574"/>
      <c r="O23" s="574"/>
      <c r="P23" s="574"/>
      <c r="Q23" s="574"/>
      <c r="R23" s="574"/>
      <c r="S23" s="574"/>
      <c r="T23" s="582"/>
      <c r="V23" s="122" t="str">
        <f>"2020 Marginal External Congestion Costs - Cars (pence per km, £"&amp;$B$16&amp;", 1 d.p)"</f>
        <v>2020 Marginal External Congestion Costs - Cars (pence per km, £2010, 1 d.p)</v>
      </c>
      <c r="W23" s="574"/>
      <c r="X23" s="574"/>
      <c r="Y23" s="574"/>
      <c r="Z23" s="574"/>
      <c r="AA23" s="574"/>
      <c r="AB23" s="574"/>
      <c r="AC23" s="574"/>
      <c r="AD23" s="582"/>
      <c r="AF23" s="122" t="str">
        <f>"2025 Marginal External Congestion Costs - Cars (pence per km, £"&amp;$B$16&amp;", 1 d.p)"</f>
        <v>2025 Marginal External Congestion Costs - Cars (pence per km, £2010, 1 d.p)</v>
      </c>
      <c r="AG23" s="574"/>
      <c r="AH23" s="574"/>
      <c r="AI23" s="574"/>
      <c r="AJ23" s="574"/>
      <c r="AK23" s="574"/>
      <c r="AL23" s="574"/>
      <c r="AM23" s="574"/>
      <c r="AN23" s="582"/>
      <c r="AP23" s="122" t="str">
        <f>"2030 Marginal External Congestion Costs - Cars (pence per km, £"&amp;$B$16&amp;", 1 d.p)"</f>
        <v>2030 Marginal External Congestion Costs - Cars (pence per km, £2010, 1 d.p)</v>
      </c>
      <c r="AQ23" s="574"/>
      <c r="AR23" s="574"/>
      <c r="AS23" s="574"/>
      <c r="AT23" s="574"/>
      <c r="AU23" s="574"/>
      <c r="AV23" s="574"/>
      <c r="AW23" s="574"/>
      <c r="AX23" s="582"/>
      <c r="AZ23" s="122" t="str">
        <f>"2035 Marginal External Congestion Costs - Cars (pence per km, £"&amp;$B$16&amp;", 1 d.p)"</f>
        <v>2035 Marginal External Congestion Costs - Cars (pence per km, £2010, 1 d.p)</v>
      </c>
      <c r="BA23" s="574"/>
      <c r="BB23" s="574"/>
      <c r="BC23" s="574"/>
      <c r="BD23" s="574"/>
      <c r="BE23" s="574"/>
      <c r="BF23" s="574"/>
      <c r="BG23" s="574"/>
      <c r="BH23" s="582"/>
    </row>
    <row r="24" spans="1:60" ht="13.5" customHeight="1" thickTop="1">
      <c r="A24" s="418"/>
      <c r="B24" s="1761"/>
      <c r="C24" s="1761"/>
      <c r="D24" s="418" t="s">
        <v>1084</v>
      </c>
      <c r="E24" s="1761" t="s">
        <v>1084</v>
      </c>
      <c r="F24" s="1761" t="s">
        <v>1084</v>
      </c>
      <c r="G24" s="498" t="s">
        <v>1084</v>
      </c>
      <c r="H24" s="1761"/>
      <c r="I24" s="498"/>
      <c r="J24" s="1137"/>
      <c r="L24" s="418"/>
      <c r="M24" s="1761"/>
      <c r="N24" s="418" t="s">
        <v>1084</v>
      </c>
      <c r="O24" s="1761" t="s">
        <v>1084</v>
      </c>
      <c r="P24" s="1761" t="s">
        <v>1084</v>
      </c>
      <c r="Q24" s="498" t="s">
        <v>1084</v>
      </c>
      <c r="R24" s="1761"/>
      <c r="S24" s="498"/>
      <c r="T24" s="1137"/>
      <c r="V24" s="418"/>
      <c r="W24" s="1761"/>
      <c r="X24" s="418" t="s">
        <v>1084</v>
      </c>
      <c r="Y24" s="1761" t="s">
        <v>1084</v>
      </c>
      <c r="Z24" s="1761" t="s">
        <v>1084</v>
      </c>
      <c r="AA24" s="498" t="s">
        <v>1084</v>
      </c>
      <c r="AB24" s="1761"/>
      <c r="AC24" s="498"/>
      <c r="AD24" s="1137"/>
      <c r="AF24" s="418"/>
      <c r="AG24" s="1761"/>
      <c r="AH24" s="418" t="s">
        <v>1084</v>
      </c>
      <c r="AI24" s="1761" t="s">
        <v>1084</v>
      </c>
      <c r="AJ24" s="1761" t="s">
        <v>1084</v>
      </c>
      <c r="AK24" s="498" t="s">
        <v>1084</v>
      </c>
      <c r="AL24" s="1761"/>
      <c r="AM24" s="498"/>
      <c r="AN24" s="1137"/>
      <c r="AP24" s="418"/>
      <c r="AQ24" s="1761"/>
      <c r="AR24" s="418" t="s">
        <v>1084</v>
      </c>
      <c r="AS24" s="1761" t="s">
        <v>1084</v>
      </c>
      <c r="AT24" s="1761" t="s">
        <v>1084</v>
      </c>
      <c r="AU24" s="498" t="s">
        <v>1084</v>
      </c>
      <c r="AV24" s="1761"/>
      <c r="AW24" s="498"/>
      <c r="AX24" s="1137"/>
      <c r="AZ24" s="418"/>
      <c r="BA24" s="1761"/>
      <c r="BB24" s="418" t="s">
        <v>1084</v>
      </c>
      <c r="BC24" s="1761" t="s">
        <v>1084</v>
      </c>
      <c r="BD24" s="1761" t="s">
        <v>1084</v>
      </c>
      <c r="BE24" s="498" t="s">
        <v>1084</v>
      </c>
      <c r="BF24" s="1761"/>
      <c r="BG24" s="498"/>
      <c r="BH24" s="1137"/>
    </row>
    <row r="25" spans="1:60" ht="13.5" customHeight="1">
      <c r="A25" s="1633"/>
      <c r="B25" s="286"/>
      <c r="C25" s="286"/>
      <c r="D25" s="420" t="s">
        <v>1086</v>
      </c>
      <c r="E25" s="286" t="s">
        <v>1087</v>
      </c>
      <c r="F25" s="286" t="s">
        <v>1088</v>
      </c>
      <c r="G25" s="285" t="s">
        <v>1419</v>
      </c>
      <c r="H25" s="286" t="s">
        <v>1084</v>
      </c>
      <c r="I25" s="285" t="s">
        <v>1085</v>
      </c>
      <c r="J25" s="1689" t="s">
        <v>1423</v>
      </c>
      <c r="L25" s="1633"/>
      <c r="M25" s="286"/>
      <c r="N25" s="420" t="s">
        <v>1086</v>
      </c>
      <c r="O25" s="286" t="s">
        <v>1087</v>
      </c>
      <c r="P25" s="286" t="s">
        <v>1088</v>
      </c>
      <c r="Q25" s="285" t="s">
        <v>1419</v>
      </c>
      <c r="R25" s="286" t="s">
        <v>1084</v>
      </c>
      <c r="S25" s="285" t="s">
        <v>1085</v>
      </c>
      <c r="T25" s="1689" t="s">
        <v>1423</v>
      </c>
      <c r="V25" s="1633"/>
      <c r="W25" s="286"/>
      <c r="X25" s="420" t="s">
        <v>1086</v>
      </c>
      <c r="Y25" s="286" t="s">
        <v>1087</v>
      </c>
      <c r="Z25" s="286" t="s">
        <v>1088</v>
      </c>
      <c r="AA25" s="285" t="s">
        <v>1419</v>
      </c>
      <c r="AB25" s="286" t="s">
        <v>1084</v>
      </c>
      <c r="AC25" s="285" t="s">
        <v>1085</v>
      </c>
      <c r="AD25" s="1689" t="s">
        <v>1423</v>
      </c>
      <c r="AF25" s="1633"/>
      <c r="AG25" s="286"/>
      <c r="AH25" s="420" t="s">
        <v>1086</v>
      </c>
      <c r="AI25" s="286" t="s">
        <v>1087</v>
      </c>
      <c r="AJ25" s="286" t="s">
        <v>1088</v>
      </c>
      <c r="AK25" s="285" t="s">
        <v>1419</v>
      </c>
      <c r="AL25" s="286" t="s">
        <v>1084</v>
      </c>
      <c r="AM25" s="285" t="s">
        <v>1085</v>
      </c>
      <c r="AN25" s="1689" t="s">
        <v>1423</v>
      </c>
      <c r="AP25" s="1633"/>
      <c r="AQ25" s="286"/>
      <c r="AR25" s="420" t="s">
        <v>1086</v>
      </c>
      <c r="AS25" s="286" t="s">
        <v>1087</v>
      </c>
      <c r="AT25" s="286" t="s">
        <v>1088</v>
      </c>
      <c r="AU25" s="285" t="s">
        <v>1419</v>
      </c>
      <c r="AV25" s="286" t="s">
        <v>1084</v>
      </c>
      <c r="AW25" s="285" t="s">
        <v>1085</v>
      </c>
      <c r="AX25" s="1689" t="s">
        <v>1423</v>
      </c>
      <c r="AZ25" s="1633"/>
      <c r="BA25" s="286"/>
      <c r="BB25" s="420" t="s">
        <v>1086</v>
      </c>
      <c r="BC25" s="286" t="s">
        <v>1087</v>
      </c>
      <c r="BD25" s="286" t="s">
        <v>1088</v>
      </c>
      <c r="BE25" s="285" t="s">
        <v>1419</v>
      </c>
      <c r="BF25" s="286" t="s">
        <v>1084</v>
      </c>
      <c r="BG25" s="285" t="s">
        <v>1085</v>
      </c>
      <c r="BH25" s="1689" t="s">
        <v>1423</v>
      </c>
    </row>
    <row r="26" spans="1:60" ht="13.5" customHeight="1" thickBot="1">
      <c r="A26" s="1762" t="s">
        <v>1082</v>
      </c>
      <c r="B26" s="1693"/>
      <c r="C26" s="1693"/>
      <c r="D26" s="1686" t="s">
        <v>458</v>
      </c>
      <c r="E26" s="1693" t="s">
        <v>459</v>
      </c>
      <c r="F26" s="1693" t="s">
        <v>460</v>
      </c>
      <c r="G26" s="668" t="s">
        <v>461</v>
      </c>
      <c r="H26" s="1693" t="s">
        <v>1422</v>
      </c>
      <c r="I26" s="668" t="s">
        <v>1422</v>
      </c>
      <c r="J26" s="668" t="s">
        <v>1422</v>
      </c>
      <c r="L26" s="1762" t="s">
        <v>1082</v>
      </c>
      <c r="M26" s="1693"/>
      <c r="N26" s="1686" t="s">
        <v>458</v>
      </c>
      <c r="O26" s="1693" t="s">
        <v>459</v>
      </c>
      <c r="P26" s="1693" t="s">
        <v>460</v>
      </c>
      <c r="Q26" s="668" t="s">
        <v>461</v>
      </c>
      <c r="R26" s="1693" t="s">
        <v>1422</v>
      </c>
      <c r="S26" s="668" t="s">
        <v>1422</v>
      </c>
      <c r="T26" s="668" t="s">
        <v>1422</v>
      </c>
      <c r="V26" s="1762" t="s">
        <v>1082</v>
      </c>
      <c r="W26" s="1693"/>
      <c r="X26" s="1686" t="s">
        <v>458</v>
      </c>
      <c r="Y26" s="1693" t="s">
        <v>459</v>
      </c>
      <c r="Z26" s="1693" t="s">
        <v>460</v>
      </c>
      <c r="AA26" s="668" t="s">
        <v>461</v>
      </c>
      <c r="AB26" s="1693" t="s">
        <v>1422</v>
      </c>
      <c r="AC26" s="668" t="s">
        <v>1422</v>
      </c>
      <c r="AD26" s="668" t="s">
        <v>1422</v>
      </c>
      <c r="AF26" s="1762" t="s">
        <v>1082</v>
      </c>
      <c r="AG26" s="1693"/>
      <c r="AH26" s="1686" t="s">
        <v>458</v>
      </c>
      <c r="AI26" s="1693" t="s">
        <v>459</v>
      </c>
      <c r="AJ26" s="1693" t="s">
        <v>460</v>
      </c>
      <c r="AK26" s="668" t="s">
        <v>461</v>
      </c>
      <c r="AL26" s="1693" t="s">
        <v>1422</v>
      </c>
      <c r="AM26" s="668" t="s">
        <v>1422</v>
      </c>
      <c r="AN26" s="668" t="s">
        <v>1422</v>
      </c>
      <c r="AP26" s="1762" t="s">
        <v>1082</v>
      </c>
      <c r="AQ26" s="1693"/>
      <c r="AR26" s="1686" t="s">
        <v>458</v>
      </c>
      <c r="AS26" s="1693" t="s">
        <v>459</v>
      </c>
      <c r="AT26" s="1693" t="s">
        <v>460</v>
      </c>
      <c r="AU26" s="668" t="s">
        <v>461</v>
      </c>
      <c r="AV26" s="1693" t="s">
        <v>1422</v>
      </c>
      <c r="AW26" s="668" t="s">
        <v>1422</v>
      </c>
      <c r="AX26" s="668" t="s">
        <v>1422</v>
      </c>
      <c r="AZ26" s="1762" t="s">
        <v>1082</v>
      </c>
      <c r="BA26" s="1693"/>
      <c r="BB26" s="1686" t="s">
        <v>458</v>
      </c>
      <c r="BC26" s="1693" t="s">
        <v>459</v>
      </c>
      <c r="BD26" s="1693" t="s">
        <v>460</v>
      </c>
      <c r="BE26" s="668" t="s">
        <v>461</v>
      </c>
      <c r="BF26" s="1693" t="s">
        <v>1422</v>
      </c>
      <c r="BG26" s="668" t="s">
        <v>1422</v>
      </c>
      <c r="BH26" s="668" t="s">
        <v>1422</v>
      </c>
    </row>
    <row r="27" spans="1:60" ht="13.5" customHeight="1" thickTop="1">
      <c r="A27" s="1763" t="s">
        <v>856</v>
      </c>
      <c r="B27" s="1764"/>
      <c r="C27" s="1764"/>
      <c r="D27" s="1765">
        <v>14.880778054816718</v>
      </c>
      <c r="E27" s="1766">
        <v>9.5498605567624608</v>
      </c>
      <c r="F27" s="1766">
        <v>16.472580613356719</v>
      </c>
      <c r="G27" s="1767">
        <v>4.2915434480616126</v>
      </c>
      <c r="H27" s="1765">
        <v>11.280831284213486</v>
      </c>
      <c r="I27" s="1767">
        <v>9.7919807148315527</v>
      </c>
      <c r="J27" s="1768">
        <v>10.055289107917993</v>
      </c>
      <c r="L27" s="1763" t="s">
        <v>856</v>
      </c>
      <c r="M27" s="1764"/>
      <c r="N27" s="1765">
        <v>16.430135434393996</v>
      </c>
      <c r="O27" s="1766">
        <v>10.883082882854644</v>
      </c>
      <c r="P27" s="1766">
        <v>18.135139988539255</v>
      </c>
      <c r="Q27" s="1767">
        <v>4.9243945166883716</v>
      </c>
      <c r="R27" s="1765">
        <v>12.586707693843953</v>
      </c>
      <c r="S27" s="1767">
        <v>11.042236961863759</v>
      </c>
      <c r="T27" s="1768">
        <v>11.289075570830676</v>
      </c>
      <c r="V27" s="1763" t="s">
        <v>856</v>
      </c>
      <c r="W27" s="1764"/>
      <c r="X27" s="1765">
        <v>20.18581199600127</v>
      </c>
      <c r="Y27" s="1766">
        <v>13.608923210076973</v>
      </c>
      <c r="Z27" s="1766">
        <v>22.390580264900368</v>
      </c>
      <c r="AA27" s="1767">
        <v>6.44156897882233</v>
      </c>
      <c r="AB27" s="1765">
        <v>15.57883264385937</v>
      </c>
      <c r="AC27" s="1767">
        <v>13.883622173106762</v>
      </c>
      <c r="AD27" s="1768">
        <v>14.039525002916051</v>
      </c>
      <c r="AF27" s="1763" t="s">
        <v>856</v>
      </c>
      <c r="AG27" s="1764"/>
      <c r="AH27" s="1765">
        <v>25.796195628426293</v>
      </c>
      <c r="AI27" s="1766">
        <v>18.130898617819124</v>
      </c>
      <c r="AJ27" s="1766">
        <v>28.369799887819873</v>
      </c>
      <c r="AK27" s="1767">
        <v>9.2318618740805309</v>
      </c>
      <c r="AL27" s="1765">
        <v>20.304598014925837</v>
      </c>
      <c r="AM27" s="1767">
        <v>18.227115918195793</v>
      </c>
      <c r="AN27" s="1768">
        <v>18.35481473214028</v>
      </c>
      <c r="AP27" s="1763" t="s">
        <v>856</v>
      </c>
      <c r="AQ27" s="1764"/>
      <c r="AR27" s="1765">
        <v>30.815717554270584</v>
      </c>
      <c r="AS27" s="1766">
        <v>22.095217758430973</v>
      </c>
      <c r="AT27" s="1766">
        <v>34.122447104086973</v>
      </c>
      <c r="AU27" s="1767">
        <v>11.11210913350817</v>
      </c>
      <c r="AV27" s="1765">
        <v>24.408581607007569</v>
      </c>
      <c r="AW27" s="1767">
        <v>22.567079423268456</v>
      </c>
      <c r="AX27" s="1768">
        <v>22.373910770704999</v>
      </c>
      <c r="AZ27" s="1763" t="s">
        <v>856</v>
      </c>
      <c r="BA27" s="1764"/>
      <c r="BB27" s="1765">
        <v>37.83244018908055</v>
      </c>
      <c r="BC27" s="1766">
        <v>27.705329609729848</v>
      </c>
      <c r="BD27" s="1766">
        <v>42.402132636186131</v>
      </c>
      <c r="BE27" s="1767">
        <v>15.616488816605992</v>
      </c>
      <c r="BF27" s="1765">
        <v>30.579700842816987</v>
      </c>
      <c r="BG27" s="1767">
        <v>28.613295348765678</v>
      </c>
      <c r="BH27" s="1768">
        <v>28.173715835348045</v>
      </c>
    </row>
    <row r="28" spans="1:60" ht="13.5" customHeight="1">
      <c r="A28" s="265" t="s">
        <v>1083</v>
      </c>
      <c r="B28" s="1769"/>
      <c r="C28" s="1769"/>
      <c r="D28" s="1770">
        <v>15.476009177009386</v>
      </c>
      <c r="E28" s="1771">
        <v>10.080408365471486</v>
      </c>
      <c r="F28" s="1771">
        <v>17.09925487582138</v>
      </c>
      <c r="G28" s="1772">
        <v>4.6567811883221752</v>
      </c>
      <c r="H28" s="1770">
        <v>11.782201563511864</v>
      </c>
      <c r="I28" s="1772">
        <v>10.245313155333013</v>
      </c>
      <c r="J28" s="1773">
        <v>10.566574994761281</v>
      </c>
      <c r="L28" s="265" t="s">
        <v>1083</v>
      </c>
      <c r="M28" s="1769"/>
      <c r="N28" s="1770">
        <v>17.208405007602135</v>
      </c>
      <c r="O28" s="1771">
        <v>11.500562762732923</v>
      </c>
      <c r="P28" s="1771">
        <v>18.955322199076207</v>
      </c>
      <c r="Q28" s="1772">
        <v>5.296046933042212</v>
      </c>
      <c r="R28" s="1770">
        <v>13.182024949633869</v>
      </c>
      <c r="S28" s="1772">
        <v>11.598988405319075</v>
      </c>
      <c r="T28" s="1773">
        <v>11.810109827945936</v>
      </c>
      <c r="V28" s="265" t="s">
        <v>1083</v>
      </c>
      <c r="W28" s="1769"/>
      <c r="X28" s="1770">
        <v>21.126676114458956</v>
      </c>
      <c r="Y28" s="1771">
        <v>14.373469457834107</v>
      </c>
      <c r="Z28" s="1771">
        <v>23.473995439008451</v>
      </c>
      <c r="AA28" s="1772">
        <v>6.9016810487382108</v>
      </c>
      <c r="AB28" s="1770">
        <v>16.336721799506581</v>
      </c>
      <c r="AC28" s="1772">
        <v>14.531524541185076</v>
      </c>
      <c r="AD28" s="1773">
        <v>14.728581444776962</v>
      </c>
      <c r="AF28" s="265" t="s">
        <v>1083</v>
      </c>
      <c r="AG28" s="1769"/>
      <c r="AH28" s="1770">
        <v>27.094661851333655</v>
      </c>
      <c r="AI28" s="1771">
        <v>19.215653235979246</v>
      </c>
      <c r="AJ28" s="1771">
        <v>29.742532140456319</v>
      </c>
      <c r="AK28" s="1772">
        <v>9.8846197843690522</v>
      </c>
      <c r="AL28" s="1770">
        <v>21.32835925937588</v>
      </c>
      <c r="AM28" s="1772">
        <v>19.171526069397647</v>
      </c>
      <c r="AN28" s="1773">
        <v>19.316257408585724</v>
      </c>
      <c r="AP28" s="265" t="s">
        <v>1083</v>
      </c>
      <c r="AQ28" s="1769"/>
      <c r="AR28" s="1770">
        <v>32.224436071037239</v>
      </c>
      <c r="AS28" s="1771">
        <v>23.357801630341317</v>
      </c>
      <c r="AT28" s="1771">
        <v>35.800600240353539</v>
      </c>
      <c r="AU28" s="1772">
        <v>11.87191146742326</v>
      </c>
      <c r="AV28" s="1770">
        <v>25.624667523370935</v>
      </c>
      <c r="AW28" s="1772">
        <v>23.826186858901462</v>
      </c>
      <c r="AX28" s="1773">
        <v>23.532718898271391</v>
      </c>
      <c r="AZ28" s="265" t="s">
        <v>1083</v>
      </c>
      <c r="BA28" s="1769"/>
      <c r="BB28" s="1770">
        <v>39.616989254603219</v>
      </c>
      <c r="BC28" s="1771">
        <v>29.306793749020589</v>
      </c>
      <c r="BD28" s="1771">
        <v>44.484380220998844</v>
      </c>
      <c r="BE28" s="1772">
        <v>16.676867686869365</v>
      </c>
      <c r="BF28" s="1770">
        <v>32.16596774532622</v>
      </c>
      <c r="BG28" s="1772">
        <v>30.098414484514763</v>
      </c>
      <c r="BH28" s="1773">
        <v>29.623167453886854</v>
      </c>
    </row>
    <row r="29" spans="1:60" ht="13.5" customHeight="1">
      <c r="A29" s="265" t="s">
        <v>858</v>
      </c>
      <c r="B29" s="1769"/>
      <c r="C29" s="1769"/>
      <c r="D29" s="1770">
        <v>16.071240299202053</v>
      </c>
      <c r="E29" s="1771">
        <v>10.535163630079223</v>
      </c>
      <c r="F29" s="1771">
        <v>17.90497892756165</v>
      </c>
      <c r="G29" s="1772">
        <v>4.8394000584524566</v>
      </c>
      <c r="H29" s="1770">
        <v>12.28357184281024</v>
      </c>
      <c r="I29" s="1772">
        <v>10.698645595834474</v>
      </c>
      <c r="J29" s="1773">
        <v>10.992646567130686</v>
      </c>
      <c r="L29" s="265" t="s">
        <v>858</v>
      </c>
      <c r="M29" s="1769"/>
      <c r="N29" s="1770">
        <v>17.900200183787145</v>
      </c>
      <c r="O29" s="1771">
        <v>12.040857657626415</v>
      </c>
      <c r="P29" s="1771">
        <v>19.775504409613156</v>
      </c>
      <c r="Q29" s="1772">
        <v>5.4818731412191317</v>
      </c>
      <c r="R29" s="1770">
        <v>13.692296883168085</v>
      </c>
      <c r="S29" s="1772">
        <v>12.062947941531837</v>
      </c>
      <c r="T29" s="1773">
        <v>12.331144085061199</v>
      </c>
      <c r="V29" s="265" t="s">
        <v>858</v>
      </c>
      <c r="W29" s="1769"/>
      <c r="X29" s="1770">
        <v>21.982007131238671</v>
      </c>
      <c r="Y29" s="1771">
        <v>15.061561080815526</v>
      </c>
      <c r="Z29" s="1771">
        <v>24.557410613116534</v>
      </c>
      <c r="AA29" s="1772">
        <v>7.177748290687739</v>
      </c>
      <c r="AB29" s="1770">
        <v>17.01040104897077</v>
      </c>
      <c r="AC29" s="1772">
        <v>15.179426909263391</v>
      </c>
      <c r="AD29" s="1773">
        <v>15.41763788663787</v>
      </c>
      <c r="AF29" s="265" t="s">
        <v>858</v>
      </c>
      <c r="AG29" s="1769"/>
      <c r="AH29" s="1770">
        <v>28.219999244520039</v>
      </c>
      <c r="AI29" s="1771">
        <v>20.145442908687919</v>
      </c>
      <c r="AJ29" s="1771">
        <v>31.023748909583666</v>
      </c>
      <c r="AK29" s="1772">
        <v>10.257624304533923</v>
      </c>
      <c r="AL29" s="1770">
        <v>22.26680706678842</v>
      </c>
      <c r="AM29" s="1772">
        <v>20.021495205479315</v>
      </c>
      <c r="AN29" s="1773">
        <v>20.102892325677448</v>
      </c>
      <c r="AP29" s="265" t="s">
        <v>858</v>
      </c>
      <c r="AQ29" s="1769"/>
      <c r="AR29" s="1770">
        <v>33.545109680505981</v>
      </c>
      <c r="AS29" s="1771">
        <v>24.462562518262864</v>
      </c>
      <c r="AT29" s="1771">
        <v>37.292291917034945</v>
      </c>
      <c r="AU29" s="1772">
        <v>12.346787926120191</v>
      </c>
      <c r="AV29" s="1770">
        <v>26.753890159994061</v>
      </c>
      <c r="AW29" s="1772">
        <v>24.794731040157618</v>
      </c>
      <c r="AX29" s="1773">
        <v>24.602387939101909</v>
      </c>
      <c r="AZ29" s="265" t="s">
        <v>858</v>
      </c>
      <c r="BA29" s="1769"/>
      <c r="BB29" s="1770">
        <v>41.312310866849749</v>
      </c>
      <c r="BC29" s="1771">
        <v>30.668038267417717</v>
      </c>
      <c r="BD29" s="1771">
        <v>46.471980188320067</v>
      </c>
      <c r="BE29" s="1772">
        <v>17.544450398903027</v>
      </c>
      <c r="BF29" s="1770">
        <v>33.575982769778882</v>
      </c>
      <c r="BG29" s="1772">
        <v>31.484525677880576</v>
      </c>
      <c r="BH29" s="1773">
        <v>30.982028346266983</v>
      </c>
    </row>
    <row r="30" spans="1:60" ht="13.5" customHeight="1">
      <c r="A30" s="265" t="s">
        <v>859</v>
      </c>
      <c r="B30" s="1769"/>
      <c r="C30" s="1769"/>
      <c r="D30" s="1770">
        <v>8.7584007979778402</v>
      </c>
      <c r="E30" s="1771">
        <v>4.5475526460773619</v>
      </c>
      <c r="F30" s="1771">
        <v>9.8477384101589092</v>
      </c>
      <c r="G30" s="1772">
        <v>0.82178491558626632</v>
      </c>
      <c r="H30" s="1770">
        <v>6.1000050647969219</v>
      </c>
      <c r="I30" s="1772">
        <v>5.0773233336163601</v>
      </c>
      <c r="J30" s="1773">
        <v>5.2832874973806403</v>
      </c>
      <c r="L30" s="265" t="s">
        <v>859</v>
      </c>
      <c r="M30" s="1769"/>
      <c r="N30" s="1770">
        <v>8.733914099335756</v>
      </c>
      <c r="O30" s="1771">
        <v>4.8626540540414362</v>
      </c>
      <c r="P30" s="1771">
        <v>9.9333178831697424</v>
      </c>
      <c r="Q30" s="1772">
        <v>0.83621793679613865</v>
      </c>
      <c r="R30" s="1770">
        <v>6.2083085246662737</v>
      </c>
      <c r="S30" s="1772">
        <v>5.1963468055829454</v>
      </c>
      <c r="T30" s="1773">
        <v>5.3840206568577065</v>
      </c>
      <c r="V30" s="265" t="s">
        <v>859</v>
      </c>
      <c r="W30" s="1769"/>
      <c r="X30" s="1770">
        <v>10.349505303034549</v>
      </c>
      <c r="Y30" s="1771">
        <v>5.9634607325056397</v>
      </c>
      <c r="Z30" s="1771">
        <v>11.646713121661886</v>
      </c>
      <c r="AA30" s="1772">
        <v>1.0122465538149377</v>
      </c>
      <c r="AB30" s="1770">
        <v>7.4104717441060792</v>
      </c>
      <c r="AC30" s="1772">
        <v>6.2013512373210204</v>
      </c>
      <c r="AD30" s="1773">
        <v>6.4599041424460353</v>
      </c>
      <c r="AF30" s="265" t="s">
        <v>859</v>
      </c>
      <c r="AG30" s="1769"/>
      <c r="AH30" s="1770">
        <v>12.638404569631673</v>
      </c>
      <c r="AI30" s="1771">
        <v>7.2833524362179398</v>
      </c>
      <c r="AJ30" s="1771">
        <v>13.81883800987355</v>
      </c>
      <c r="AK30" s="1772">
        <v>1.3055158205770445</v>
      </c>
      <c r="AL30" s="1770">
        <v>8.9579108889378691</v>
      </c>
      <c r="AM30" s="1772">
        <v>7.5552812096148365</v>
      </c>
      <c r="AN30" s="1773">
        <v>7.7789452912404045</v>
      </c>
      <c r="AP30" s="265" t="s">
        <v>859</v>
      </c>
      <c r="AQ30" s="1769"/>
      <c r="AR30" s="1770">
        <v>15.407858777135292</v>
      </c>
      <c r="AS30" s="1771">
        <v>8.9959100873611817</v>
      </c>
      <c r="AT30" s="1771">
        <v>17.15445428183607</v>
      </c>
      <c r="AU30" s="1772">
        <v>1.7095552513089496</v>
      </c>
      <c r="AV30" s="1770">
        <v>10.944773247270296</v>
      </c>
      <c r="AW30" s="1772">
        <v>9.3948785581847218</v>
      </c>
      <c r="AX30" s="1773">
        <v>9.6270213674746614</v>
      </c>
      <c r="AZ30" s="265" t="s">
        <v>859</v>
      </c>
      <c r="BA30" s="1769"/>
      <c r="BB30" s="1770">
        <v>18.648537734711873</v>
      </c>
      <c r="BC30" s="1771">
        <v>11.450468595928809</v>
      </c>
      <c r="BD30" s="1771">
        <v>21.201066318093066</v>
      </c>
      <c r="BE30" s="1772">
        <v>2.2171558196415915</v>
      </c>
      <c r="BF30" s="1770">
        <v>13.571394610356817</v>
      </c>
      <c r="BG30" s="1772">
        <v>11.781945143609398</v>
      </c>
      <c r="BH30" s="1773">
        <v>11.95797585294515</v>
      </c>
    </row>
    <row r="31" spans="1:60" ht="13.5" customHeight="1" thickBot="1">
      <c r="A31" s="259" t="s">
        <v>860</v>
      </c>
      <c r="B31" s="1774"/>
      <c r="C31" s="1774"/>
      <c r="D31" s="1775">
        <v>5.6121791521023043</v>
      </c>
      <c r="E31" s="1776">
        <v>3.1074943081528641</v>
      </c>
      <c r="F31" s="1776">
        <v>5.8191181514575367</v>
      </c>
      <c r="G31" s="1777">
        <v>1.0044037857165478</v>
      </c>
      <c r="H31" s="1775">
        <v>3.9274005211706213</v>
      </c>
      <c r="I31" s="1777">
        <v>3.4453265478111015</v>
      </c>
      <c r="J31" s="1778">
        <v>3.5790012079030142</v>
      </c>
      <c r="L31" s="259" t="s">
        <v>860</v>
      </c>
      <c r="M31" s="1774"/>
      <c r="N31" s="1775">
        <v>6.3126309826882201</v>
      </c>
      <c r="O31" s="1776">
        <v>3.5505093093000966</v>
      </c>
      <c r="P31" s="1776">
        <v>6.4703263275692819</v>
      </c>
      <c r="Q31" s="1777">
        <v>1.1149572490615183</v>
      </c>
      <c r="R31" s="1775">
        <v>4.4223567572965239</v>
      </c>
      <c r="S31" s="1777">
        <v>3.8972601041872093</v>
      </c>
      <c r="T31" s="1778">
        <v>3.994595971217008</v>
      </c>
      <c r="V31" s="259" t="s">
        <v>860</v>
      </c>
      <c r="W31" s="1774"/>
      <c r="X31" s="1775">
        <v>7.4413798459835183</v>
      </c>
      <c r="Y31" s="1776">
        <v>4.2050043626642335</v>
      </c>
      <c r="Z31" s="1776">
        <v>7.7644754144412564</v>
      </c>
      <c r="AA31" s="1777">
        <v>1.1962913817812899</v>
      </c>
      <c r="AB31" s="1775">
        <v>5.2210141833474646</v>
      </c>
      <c r="AC31" s="1777">
        <v>4.6278740577022539</v>
      </c>
      <c r="AD31" s="1778">
        <v>4.6511309825611455</v>
      </c>
      <c r="AF31" s="259" t="s">
        <v>860</v>
      </c>
      <c r="AG31" s="1774"/>
      <c r="AH31" s="1775">
        <v>9.3489568049330192</v>
      </c>
      <c r="AI31" s="1776">
        <v>5.346290618074871</v>
      </c>
      <c r="AJ31" s="1776">
        <v>9.700641251964214</v>
      </c>
      <c r="AK31" s="1777">
        <v>1.4920180806594798</v>
      </c>
      <c r="AL31" s="1775">
        <v>6.4838212148502672</v>
      </c>
      <c r="AM31" s="1777">
        <v>5.7609019223313123</v>
      </c>
      <c r="AN31" s="1778">
        <v>5.8560599383495182</v>
      </c>
      <c r="AP31" s="259" t="s">
        <v>860</v>
      </c>
      <c r="AQ31" s="1774"/>
      <c r="AR31" s="1775">
        <v>11.269748134133243</v>
      </c>
      <c r="AS31" s="1776">
        <v>6.7863883115180839</v>
      </c>
      <c r="AT31" s="1776">
        <v>11.840302683658592</v>
      </c>
      <c r="AU31" s="1777">
        <v>1.7095552513089496</v>
      </c>
      <c r="AV31" s="1775">
        <v>7.9914217361021205</v>
      </c>
      <c r="AW31" s="1777">
        <v>7.0703725231699455</v>
      </c>
      <c r="AX31" s="1778">
        <v>7.1311269388701186</v>
      </c>
      <c r="AZ31" s="259" t="s">
        <v>860</v>
      </c>
      <c r="BA31" s="1774"/>
      <c r="BB31" s="1775">
        <v>13.919482711076807</v>
      </c>
      <c r="BC31" s="1776">
        <v>7.9272474894891758</v>
      </c>
      <c r="BD31" s="1776">
        <v>14.102495006231548</v>
      </c>
      <c r="BE31" s="1777">
        <v>2.2171558196415915</v>
      </c>
      <c r="BF31" s="1775">
        <v>9.6057273540837222</v>
      </c>
      <c r="BG31" s="1777">
        <v>8.6136909873446843</v>
      </c>
      <c r="BH31" s="1778">
        <v>8.6967097112328364</v>
      </c>
    </row>
    <row r="32" spans="1:60" ht="13.5" customHeight="1" thickTop="1">
      <c r="A32" s="265" t="s">
        <v>1122</v>
      </c>
      <c r="B32" s="1769"/>
      <c r="C32" s="1769"/>
      <c r="D32" s="1779">
        <v>9.6937639899948902</v>
      </c>
      <c r="E32" s="1780">
        <v>5.3054780870902558</v>
      </c>
      <c r="F32" s="1780">
        <v>10.653462461899183</v>
      </c>
      <c r="G32" s="1781">
        <v>1.0044037857165478</v>
      </c>
      <c r="H32" s="1779">
        <v>6.6849370573116955</v>
      </c>
      <c r="I32" s="1781">
        <v>5.5306557741178208</v>
      </c>
      <c r="J32" s="1782">
        <v>5.794573384223928</v>
      </c>
      <c r="L32" s="265" t="s">
        <v>1122</v>
      </c>
      <c r="M32" s="1769"/>
      <c r="N32" s="1779">
        <v>10.895774024913914</v>
      </c>
      <c r="O32" s="1780">
        <v>6.0976138137979925</v>
      </c>
      <c r="P32" s="1780">
        <v>12.211601801327941</v>
      </c>
      <c r="Q32" s="1781">
        <v>1.2078703531499781</v>
      </c>
      <c r="R32" s="1779">
        <v>7.5690336807575127</v>
      </c>
      <c r="S32" s="1781">
        <v>6.3098496924935761</v>
      </c>
      <c r="T32" s="1782">
        <v>6.5997672567933181</v>
      </c>
      <c r="V32" s="265" t="s">
        <v>1122</v>
      </c>
      <c r="W32" s="1769"/>
      <c r="X32" s="1779">
        <v>13.257630760085579</v>
      </c>
      <c r="Y32" s="1780">
        <v>7.7219171023470459</v>
      </c>
      <c r="Z32" s="1780">
        <v>14.896958643986132</v>
      </c>
      <c r="AA32" s="1781">
        <v>1.6564034516971706</v>
      </c>
      <c r="AB32" s="1779">
        <v>9.3472995863156214</v>
      </c>
      <c r="AC32" s="1781">
        <v>7.9599433792478758</v>
      </c>
      <c r="AD32" s="1782">
        <v>8.1825452470983109</v>
      </c>
      <c r="AF32" s="265" t="s">
        <v>1122</v>
      </c>
      <c r="AG32" s="1769"/>
      <c r="AH32" s="1779">
        <v>17.572576216679657</v>
      </c>
      <c r="AI32" s="1780">
        <v>10.460133817972572</v>
      </c>
      <c r="AJ32" s="1780">
        <v>19.858859921473911</v>
      </c>
      <c r="AK32" s="1781">
        <v>2.3312782510304371</v>
      </c>
      <c r="AL32" s="1779">
        <v>12.455761807475513</v>
      </c>
      <c r="AM32" s="1781">
        <v>10.671834708580958</v>
      </c>
      <c r="AN32" s="1782">
        <v>11.012888839284168</v>
      </c>
      <c r="AP32" s="265" t="s">
        <v>1122</v>
      </c>
      <c r="AQ32" s="1769"/>
      <c r="AR32" s="1779">
        <v>21.130777751499828</v>
      </c>
      <c r="AS32" s="1780">
        <v>12.862573195086602</v>
      </c>
      <c r="AT32" s="1780">
        <v>23.494143907732013</v>
      </c>
      <c r="AU32" s="1781">
        <v>3.1341846273997405</v>
      </c>
      <c r="AV32" s="1779">
        <v>15.027347395061598</v>
      </c>
      <c r="AW32" s="1781">
        <v>13.172200865083735</v>
      </c>
      <c r="AX32" s="1782">
        <v>13.370863010381472</v>
      </c>
      <c r="AZ32" s="265" t="s">
        <v>1122</v>
      </c>
      <c r="BA32" s="1769"/>
      <c r="BB32" s="1779">
        <v>25.965188903354814</v>
      </c>
      <c r="BC32" s="1780">
        <v>15.854494978978352</v>
      </c>
      <c r="BD32" s="1780">
        <v>29.151466187377967</v>
      </c>
      <c r="BE32" s="1781">
        <v>4.2415154810534803</v>
      </c>
      <c r="BF32" s="1779">
        <v>18.594573134969409</v>
      </c>
      <c r="BG32" s="1781">
        <v>16.534326378006465</v>
      </c>
      <c r="BH32" s="1782">
        <v>16.578102887037595</v>
      </c>
    </row>
    <row r="33" spans="1:60" ht="13.5" customHeight="1">
      <c r="A33" s="265" t="s">
        <v>1123</v>
      </c>
      <c r="B33" s="1769"/>
      <c r="C33" s="1769"/>
      <c r="D33" s="1779">
        <v>8.928466832890031</v>
      </c>
      <c r="E33" s="1780">
        <v>5.4570631752928351</v>
      </c>
      <c r="F33" s="1780">
        <v>10.026788199434524</v>
      </c>
      <c r="G33" s="1781">
        <v>1.5522603961073917</v>
      </c>
      <c r="H33" s="1779">
        <v>6.5178136308789032</v>
      </c>
      <c r="I33" s="1781">
        <v>5.4399892860175294</v>
      </c>
      <c r="J33" s="1782">
        <v>5.7093590697500467</v>
      </c>
      <c r="L33" s="265" t="s">
        <v>1123</v>
      </c>
      <c r="M33" s="1769"/>
      <c r="N33" s="1779">
        <v>9.6851324665901455</v>
      </c>
      <c r="O33" s="1780">
        <v>6.0204288288132073</v>
      </c>
      <c r="P33" s="1780">
        <v>11.026894163885677</v>
      </c>
      <c r="Q33" s="1781">
        <v>1.6724358735922773</v>
      </c>
      <c r="R33" s="1779">
        <v>7.1438070694790001</v>
      </c>
      <c r="S33" s="1781">
        <v>6.0314739707659184</v>
      </c>
      <c r="T33" s="1782">
        <v>6.2524110853831436</v>
      </c>
      <c r="V33" s="265" t="s">
        <v>1123</v>
      </c>
      <c r="W33" s="1769"/>
      <c r="X33" s="1779">
        <v>11.889101133238036</v>
      </c>
      <c r="Y33" s="1780">
        <v>7.6454624775713329</v>
      </c>
      <c r="Z33" s="1780">
        <v>13.36212048066635</v>
      </c>
      <c r="AA33" s="1781">
        <v>1.8404482796635229</v>
      </c>
      <c r="AB33" s="1779">
        <v>8.6736203368514335</v>
      </c>
      <c r="AC33" s="1781">
        <v>7.4045984923236059</v>
      </c>
      <c r="AD33" s="1782">
        <v>7.6657529157026287</v>
      </c>
      <c r="AF33" s="265" t="s">
        <v>1123</v>
      </c>
      <c r="AG33" s="1769"/>
      <c r="AH33" s="1779">
        <v>15.235337015446401</v>
      </c>
      <c r="AI33" s="1780">
        <v>9.762791563441068</v>
      </c>
      <c r="AJ33" s="1780">
        <v>17.021879932691924</v>
      </c>
      <c r="AK33" s="1781">
        <v>2.3312782510304371</v>
      </c>
      <c r="AL33" s="1779">
        <v>11.090746814875457</v>
      </c>
      <c r="AM33" s="1781">
        <v>9.5385425271387305</v>
      </c>
      <c r="AN33" s="1782">
        <v>9.7892345238081493</v>
      </c>
      <c r="AP33" s="265" t="s">
        <v>1123</v>
      </c>
      <c r="AQ33" s="1769"/>
      <c r="AR33" s="1779">
        <v>18.225295810668602</v>
      </c>
      <c r="AS33" s="1780">
        <v>12.07345827514264</v>
      </c>
      <c r="AT33" s="1780">
        <v>20.417529824576629</v>
      </c>
      <c r="AU33" s="1781">
        <v>2.7542834604421964</v>
      </c>
      <c r="AV33" s="1779">
        <v>13.46380835973727</v>
      </c>
      <c r="AW33" s="1781">
        <v>11.719384593199498</v>
      </c>
      <c r="AX33" s="1782">
        <v>11.944637622607448</v>
      </c>
      <c r="AZ33" s="265" t="s">
        <v>1123</v>
      </c>
      <c r="BA33" s="1769"/>
      <c r="BB33" s="1779">
        <v>22.574545678861742</v>
      </c>
      <c r="BC33" s="1780">
        <v>15.454128944155666</v>
      </c>
      <c r="BD33" s="1780">
        <v>25.365561487718491</v>
      </c>
      <c r="BE33" s="1781">
        <v>3.4703308481346653</v>
      </c>
      <c r="BF33" s="1779">
        <v>16.743928415375294</v>
      </c>
      <c r="BG33" s="1781">
        <v>14.752183415107567</v>
      </c>
      <c r="BH33" s="1782">
        <v>14.947469816181439</v>
      </c>
    </row>
    <row r="34" spans="1:60" ht="13.5" customHeight="1">
      <c r="A34" s="265" t="s">
        <v>1487</v>
      </c>
      <c r="B34" s="1769"/>
      <c r="C34" s="1769"/>
      <c r="D34" s="1779">
        <v>63.604697057159456</v>
      </c>
      <c r="E34" s="1780">
        <v>53.812706311915456</v>
      </c>
      <c r="F34" s="1780">
        <v>72.515164656624691</v>
      </c>
      <c r="G34" s="1781">
        <v>34.423657019558043</v>
      </c>
      <c r="H34" s="1779">
        <v>53.813743311359154</v>
      </c>
      <c r="I34" s="1781">
        <v>49.050570062258053</v>
      </c>
      <c r="J34" s="1782">
        <v>49.424302394851146</v>
      </c>
      <c r="L34" s="265" t="s">
        <v>1487</v>
      </c>
      <c r="M34" s="1769"/>
      <c r="N34" s="1779">
        <v>72.724967896449215</v>
      </c>
      <c r="O34" s="1780">
        <v>62.519837837675617</v>
      </c>
      <c r="P34" s="1780">
        <v>82.747271907505748</v>
      </c>
      <c r="Q34" s="1781">
        <v>39.859721653949272</v>
      </c>
      <c r="R34" s="1779">
        <v>61.912994602151329</v>
      </c>
      <c r="S34" s="1781">
        <v>56.881439139684737</v>
      </c>
      <c r="T34" s="1782">
        <v>56.966412111268632</v>
      </c>
      <c r="V34" s="265" t="s">
        <v>1487</v>
      </c>
      <c r="W34" s="1769"/>
      <c r="X34" s="1779">
        <v>89.467624355158165</v>
      </c>
      <c r="Y34" s="1780">
        <v>79.665719016293295</v>
      </c>
      <c r="Z34" s="1780">
        <v>102.38273395321379</v>
      </c>
      <c r="AA34" s="1781">
        <v>51.44052941659546</v>
      </c>
      <c r="AB34" s="1779">
        <v>77.641533500747784</v>
      </c>
      <c r="AC34" s="1781">
        <v>72.657622705925377</v>
      </c>
      <c r="AD34" s="1782">
        <v>72.092530229697758</v>
      </c>
      <c r="AF34" s="265" t="s">
        <v>1487</v>
      </c>
      <c r="AG34" s="1769"/>
      <c r="AH34" s="1779">
        <v>117.2082177211047</v>
      </c>
      <c r="AI34" s="1780">
        <v>111.10986588868644</v>
      </c>
      <c r="AJ34" s="1780">
        <v>132.23987367064424</v>
      </c>
      <c r="AK34" s="1781">
        <v>74.227899512809103</v>
      </c>
      <c r="AL34" s="1779">
        <v>105.19146786724183</v>
      </c>
      <c r="AM34" s="1781">
        <v>99.163065876194736</v>
      </c>
      <c r="AN34" s="1782">
        <v>97.717537478727778</v>
      </c>
      <c r="AP34" s="265" t="s">
        <v>1487</v>
      </c>
      <c r="AQ34" s="1769"/>
      <c r="AR34" s="1779">
        <v>140.51967204747385</v>
      </c>
      <c r="AS34" s="1780">
        <v>129.2570238868212</v>
      </c>
      <c r="AT34" s="1780">
        <v>158.86516356656887</v>
      </c>
      <c r="AU34" s="1781">
        <v>87.947120150671509</v>
      </c>
      <c r="AV34" s="1779">
        <v>124.30135330828408</v>
      </c>
      <c r="AW34" s="1781">
        <v>122.03656683827577</v>
      </c>
      <c r="AX34" s="1782">
        <v>118.02015083830047</v>
      </c>
      <c r="AZ34" s="265" t="s">
        <v>1487</v>
      </c>
      <c r="BA34" s="1769"/>
      <c r="BB34" s="1779">
        <v>167.92606706568299</v>
      </c>
      <c r="BC34" s="1780">
        <v>161.98809768925861</v>
      </c>
      <c r="BD34" s="1780">
        <v>192.13466350771841</v>
      </c>
      <c r="BE34" s="1781">
        <v>126.95627019425982</v>
      </c>
      <c r="BF34" s="1779">
        <v>157.30480116549947</v>
      </c>
      <c r="BG34" s="1781">
        <v>152.6702471550058</v>
      </c>
      <c r="BH34" s="1782">
        <v>147.84406509095822</v>
      </c>
    </row>
    <row r="35" spans="1:60" ht="13.5" customHeight="1">
      <c r="A35" s="265" t="s">
        <v>1124</v>
      </c>
      <c r="B35" s="1769"/>
      <c r="C35" s="1769"/>
      <c r="D35" s="1779">
        <v>18.962362892709304</v>
      </c>
      <c r="E35" s="1780">
        <v>12.1268070562063</v>
      </c>
      <c r="F35" s="1780">
        <v>20.769775555971517</v>
      </c>
      <c r="G35" s="1781">
        <v>2.1914264415633768</v>
      </c>
      <c r="H35" s="1779">
        <v>13.871244393921769</v>
      </c>
      <c r="I35" s="1781">
        <v>11.877309941138272</v>
      </c>
      <c r="J35" s="1782">
        <v>12.270861284238906</v>
      </c>
      <c r="L35" s="265" t="s">
        <v>1124</v>
      </c>
      <c r="M35" s="1769"/>
      <c r="N35" s="1779">
        <v>21.186227270665945</v>
      </c>
      <c r="O35" s="1780">
        <v>13.738927327291679</v>
      </c>
      <c r="P35" s="1780">
        <v>22.965101895034636</v>
      </c>
      <c r="Q35" s="1781">
        <v>2.3228276022114964</v>
      </c>
      <c r="R35" s="1779">
        <v>15.478248650537832</v>
      </c>
      <c r="S35" s="1781">
        <v>13.269242735685022</v>
      </c>
      <c r="T35" s="1782">
        <v>13.720568770701899</v>
      </c>
      <c r="V35" s="265" t="s">
        <v>1124</v>
      </c>
      <c r="W35" s="1769"/>
      <c r="X35" s="1779">
        <v>25.830996706747385</v>
      </c>
      <c r="Y35" s="1780">
        <v>17.278745199311214</v>
      </c>
      <c r="Z35" s="1780">
        <v>27.988225331125463</v>
      </c>
      <c r="AA35" s="1781">
        <v>3.0367396614448126</v>
      </c>
      <c r="AB35" s="1779">
        <v>19.031438797363339</v>
      </c>
      <c r="AC35" s="1781">
        <v>16.475231645420024</v>
      </c>
      <c r="AD35" s="1782">
        <v>16.881882825592307</v>
      </c>
      <c r="AF35" s="265" t="s">
        <v>1124</v>
      </c>
      <c r="AG35" s="1769"/>
      <c r="AH35" s="1779">
        <v>31.076624934916236</v>
      </c>
      <c r="AI35" s="1780">
        <v>21.772574835928097</v>
      </c>
      <c r="AJ35" s="1780">
        <v>33.586182447838368</v>
      </c>
      <c r="AK35" s="1781">
        <v>4.289551981896004</v>
      </c>
      <c r="AL35" s="1779">
        <v>23.290568311238459</v>
      </c>
      <c r="AM35" s="1781">
        <v>20.399259265960058</v>
      </c>
      <c r="AN35" s="1782">
        <v>20.802123363092317</v>
      </c>
      <c r="AP35" s="265" t="s">
        <v>1124</v>
      </c>
      <c r="AQ35" s="1769"/>
      <c r="AR35" s="1779">
        <v>37.771265230805945</v>
      </c>
      <c r="AS35" s="1780">
        <v>26.277526834133976</v>
      </c>
      <c r="AT35" s="1780">
        <v>40.368906000190321</v>
      </c>
      <c r="AU35" s="1781">
        <v>5.7934927961025506</v>
      </c>
      <c r="AV35" s="1779">
        <v>28.143702635837904</v>
      </c>
      <c r="AW35" s="1781">
        <v>25.18214871266008</v>
      </c>
      <c r="AX35" s="1782">
        <v>25.315500632988918</v>
      </c>
      <c r="AZ35" s="265" t="s">
        <v>1124</v>
      </c>
      <c r="BA35" s="1769"/>
      <c r="BB35" s="1779">
        <v>46.487503156865486</v>
      </c>
      <c r="BC35" s="1780">
        <v>33.310454097247444</v>
      </c>
      <c r="BD35" s="1780">
        <v>51.393656297877385</v>
      </c>
      <c r="BE35" s="1781">
        <v>7.9046424874178474</v>
      </c>
      <c r="BF35" s="1779">
        <v>35.514753428401278</v>
      </c>
      <c r="BG35" s="1781">
        <v>32.078573332180206</v>
      </c>
      <c r="BH35" s="1782">
        <v>32.069117060171081</v>
      </c>
    </row>
    <row r="36" spans="1:60" ht="13.5" customHeight="1">
      <c r="A36" s="265" t="s">
        <v>1125</v>
      </c>
      <c r="B36" s="1769"/>
      <c r="C36" s="1769"/>
      <c r="D36" s="1779">
        <v>17.006603491219106</v>
      </c>
      <c r="E36" s="1780">
        <v>9.7772381890663294</v>
      </c>
      <c r="F36" s="1780">
        <v>19.247852347128777</v>
      </c>
      <c r="G36" s="1781">
        <v>1.6435698311725326</v>
      </c>
      <c r="H36" s="1779">
        <v>11.949324989944657</v>
      </c>
      <c r="I36" s="1781">
        <v>10.245313155333013</v>
      </c>
      <c r="J36" s="1782">
        <v>10.566574994761281</v>
      </c>
      <c r="L36" s="265" t="s">
        <v>1125</v>
      </c>
      <c r="M36" s="1769"/>
      <c r="N36" s="1779">
        <v>18.678469756995284</v>
      </c>
      <c r="O36" s="1780">
        <v>11.269007807778568</v>
      </c>
      <c r="P36" s="1780">
        <v>20.140029836518472</v>
      </c>
      <c r="Q36" s="1781">
        <v>1.858262081769197</v>
      </c>
      <c r="R36" s="1779">
        <v>13.096979627378166</v>
      </c>
      <c r="S36" s="1781">
        <v>11.320612683591417</v>
      </c>
      <c r="T36" s="1782">
        <v>11.63643174224085</v>
      </c>
      <c r="V36" s="265" t="s">
        <v>1125</v>
      </c>
      <c r="W36" s="1769"/>
      <c r="X36" s="1779">
        <v>23.350536758086214</v>
      </c>
      <c r="Y36" s="1780">
        <v>13.914741709179825</v>
      </c>
      <c r="Z36" s="1780">
        <v>25.279687395855255</v>
      </c>
      <c r="AA36" s="1781">
        <v>2.6686500055121081</v>
      </c>
      <c r="AB36" s="1779">
        <v>16.336721799506581</v>
      </c>
      <c r="AC36" s="1781">
        <v>14.253852097722941</v>
      </c>
      <c r="AD36" s="1782">
        <v>14.556317334311732</v>
      </c>
      <c r="AF36" s="265" t="s">
        <v>1125</v>
      </c>
      <c r="AG36" s="1769"/>
      <c r="AH36" s="1779">
        <v>29.431901052566911</v>
      </c>
      <c r="AI36" s="1780">
        <v>17.511038836013345</v>
      </c>
      <c r="AJ36" s="1780">
        <v>32.213450195201922</v>
      </c>
      <c r="AK36" s="1781">
        <v>4.289551981896004</v>
      </c>
      <c r="AL36" s="1779">
        <v>20.731165200113356</v>
      </c>
      <c r="AM36" s="1781">
        <v>18.227115918195793</v>
      </c>
      <c r="AN36" s="1782">
        <v>18.529622491493996</v>
      </c>
      <c r="AP36" s="265" t="s">
        <v>1125</v>
      </c>
      <c r="AQ36" s="1769"/>
      <c r="AR36" s="1779">
        <v>34.865783289974722</v>
      </c>
      <c r="AS36" s="1780">
        <v>21.937394774442183</v>
      </c>
      <c r="AT36" s="1780">
        <v>37.851676295790469</v>
      </c>
      <c r="AU36" s="1781">
        <v>5.1286657539268488</v>
      </c>
      <c r="AV36" s="1779">
        <v>24.929761285449008</v>
      </c>
      <c r="AW36" s="1781">
        <v>21.985952914514762</v>
      </c>
      <c r="AX36" s="1782">
        <v>22.284771683969122</v>
      </c>
      <c r="AZ36" s="265" t="s">
        <v>1125</v>
      </c>
      <c r="BA36" s="1769"/>
      <c r="BB36" s="1779">
        <v>41.758448133230416</v>
      </c>
      <c r="BC36" s="1780">
        <v>26.904597540084474</v>
      </c>
      <c r="BD36" s="1780">
        <v>49.500703948047644</v>
      </c>
      <c r="BE36" s="1781">
        <v>5.7838847468911085</v>
      </c>
      <c r="BF36" s="1779">
        <v>30.844078659901857</v>
      </c>
      <c r="BG36" s="1781">
        <v>27.227184155399868</v>
      </c>
      <c r="BH36" s="1782">
        <v>27.448990026078643</v>
      </c>
    </row>
    <row r="37" spans="1:60" ht="13.5" customHeight="1">
      <c r="A37" s="265" t="s">
        <v>1126</v>
      </c>
      <c r="B37" s="1769"/>
      <c r="C37" s="1769"/>
      <c r="D37" s="1779">
        <v>10.62912718201194</v>
      </c>
      <c r="E37" s="1780">
        <v>4.8507228224825205</v>
      </c>
      <c r="F37" s="1780">
        <v>11.101086935088224</v>
      </c>
      <c r="G37" s="1781">
        <v>1.0044037857165478</v>
      </c>
      <c r="H37" s="1779">
        <v>6.7684987705280912</v>
      </c>
      <c r="I37" s="1781">
        <v>5.4399892860175294</v>
      </c>
      <c r="J37" s="1782">
        <v>5.794573384223928</v>
      </c>
      <c r="L37" s="265" t="s">
        <v>1126</v>
      </c>
      <c r="M37" s="1769"/>
      <c r="N37" s="1779">
        <v>12.019941186214556</v>
      </c>
      <c r="O37" s="1780">
        <v>5.4801339339197144</v>
      </c>
      <c r="P37" s="1780">
        <v>12.302733158054268</v>
      </c>
      <c r="Q37" s="1781">
        <v>1.1149572490615183</v>
      </c>
      <c r="R37" s="1779">
        <v>7.5690336807575127</v>
      </c>
      <c r="S37" s="1781">
        <v>6.1242658780084707</v>
      </c>
      <c r="T37" s="1782">
        <v>6.4260891710882309</v>
      </c>
      <c r="V37" s="265" t="s">
        <v>1126</v>
      </c>
      <c r="W37" s="1769"/>
      <c r="X37" s="1779">
        <v>14.455094183577179</v>
      </c>
      <c r="Y37" s="1780">
        <v>7.2631893536927663</v>
      </c>
      <c r="Z37" s="1780">
        <v>15.709520024567192</v>
      </c>
      <c r="AA37" s="1781">
        <v>1.3803362097476422</v>
      </c>
      <c r="AB37" s="1779">
        <v>9.4315094924986447</v>
      </c>
      <c r="AC37" s="1781">
        <v>7.7748284169397861</v>
      </c>
      <c r="AD37" s="1782">
        <v>8.1825452470983109</v>
      </c>
      <c r="AF37" s="265" t="s">
        <v>1126</v>
      </c>
      <c r="AG37" s="1769"/>
      <c r="AH37" s="1779">
        <v>19.130735684168492</v>
      </c>
      <c r="AI37" s="1780">
        <v>9.3753791998124534</v>
      </c>
      <c r="AJ37" s="1780">
        <v>19.675828954455717</v>
      </c>
      <c r="AK37" s="1781">
        <v>1.8650226008243496</v>
      </c>
      <c r="AL37" s="1779">
        <v>12.199821496363004</v>
      </c>
      <c r="AM37" s="1781">
        <v>10.105188617859843</v>
      </c>
      <c r="AN37" s="1782">
        <v>10.575869440899876</v>
      </c>
      <c r="AP37" s="265" t="s">
        <v>1126</v>
      </c>
      <c r="AQ37" s="1769"/>
      <c r="AR37" s="1779">
        <v>23.155810619351897</v>
      </c>
      <c r="AS37" s="1780">
        <v>11.678900815170659</v>
      </c>
      <c r="AT37" s="1780">
        <v>24.426451205657887</v>
      </c>
      <c r="AU37" s="1781">
        <v>2.4693575852240381</v>
      </c>
      <c r="AV37" s="1779">
        <v>14.940484115321357</v>
      </c>
      <c r="AW37" s="1781">
        <v>13.462764119460582</v>
      </c>
      <c r="AX37" s="1782">
        <v>13.460002097117348</v>
      </c>
      <c r="AZ37" s="265" t="s">
        <v>1126</v>
      </c>
      <c r="BA37" s="1769"/>
      <c r="BB37" s="1779">
        <v>29.177377221295615</v>
      </c>
      <c r="BC37" s="1780">
        <v>14.813543288439368</v>
      </c>
      <c r="BD37" s="1780">
        <v>30.381885214767298</v>
      </c>
      <c r="BE37" s="1781">
        <v>3.2775346899049613</v>
      </c>
      <c r="BF37" s="1779">
        <v>18.858950952054279</v>
      </c>
      <c r="BG37" s="1781">
        <v>18.118453456138823</v>
      </c>
      <c r="BH37" s="1782">
        <v>17.6651916009417</v>
      </c>
    </row>
    <row r="38" spans="1:60" ht="13.5" customHeight="1">
      <c r="A38" s="265" t="s">
        <v>1127</v>
      </c>
      <c r="B38" s="1769"/>
      <c r="C38" s="1769"/>
      <c r="D38" s="1779">
        <v>6.0373442393827821</v>
      </c>
      <c r="E38" s="1780">
        <v>3.3348719404567326</v>
      </c>
      <c r="F38" s="1780">
        <v>6.2667426246465787</v>
      </c>
      <c r="G38" s="1781">
        <v>0.91309435065140698</v>
      </c>
      <c r="H38" s="1779">
        <v>4.0945239476034141</v>
      </c>
      <c r="I38" s="1781">
        <v>3.5359930359113938</v>
      </c>
      <c r="J38" s="1782">
        <v>3.6642155223768955</v>
      </c>
      <c r="L38" s="265" t="s">
        <v>1127</v>
      </c>
      <c r="M38" s="1769"/>
      <c r="N38" s="1779">
        <v>6.7450029678038517</v>
      </c>
      <c r="O38" s="1780">
        <v>3.7820642642544509</v>
      </c>
      <c r="P38" s="1780">
        <v>7.0171144679272501</v>
      </c>
      <c r="Q38" s="1781">
        <v>0.92913104088459852</v>
      </c>
      <c r="R38" s="1779">
        <v>4.6774927240636313</v>
      </c>
      <c r="S38" s="1781">
        <v>3.9900520114297615</v>
      </c>
      <c r="T38" s="1782">
        <v>4.0814350140695517</v>
      </c>
      <c r="V38" s="265" t="s">
        <v>1127</v>
      </c>
      <c r="W38" s="1769"/>
      <c r="X38" s="1779">
        <v>8.2111777610852617</v>
      </c>
      <c r="Y38" s="1780">
        <v>4.5872774865428001</v>
      </c>
      <c r="Z38" s="1780">
        <v>8.4867521971799782</v>
      </c>
      <c r="AA38" s="1781">
        <v>1.1042689677981137</v>
      </c>
      <c r="AB38" s="1779">
        <v>5.6420637142625827</v>
      </c>
      <c r="AC38" s="1781">
        <v>4.8129890200103436</v>
      </c>
      <c r="AD38" s="1782">
        <v>4.9956592034916003</v>
      </c>
      <c r="AF38" s="265" t="s">
        <v>1127</v>
      </c>
      <c r="AG38" s="1769"/>
      <c r="AH38" s="1779">
        <v>10.214600953537929</v>
      </c>
      <c r="AI38" s="1780">
        <v>5.8111854544292072</v>
      </c>
      <c r="AJ38" s="1780">
        <v>10.524280603546082</v>
      </c>
      <c r="AK38" s="1781">
        <v>1.3055158205770445</v>
      </c>
      <c r="AL38" s="1779">
        <v>6.9957018370752877</v>
      </c>
      <c r="AM38" s="1781">
        <v>6.0442249676918696</v>
      </c>
      <c r="AN38" s="1782">
        <v>6.2056754570569517</v>
      </c>
      <c r="AP38" s="265" t="s">
        <v>1127</v>
      </c>
      <c r="AQ38" s="1769"/>
      <c r="AR38" s="1779">
        <v>12.062152299814485</v>
      </c>
      <c r="AS38" s="1780">
        <v>7.1020342794956699</v>
      </c>
      <c r="AT38" s="1780">
        <v>12.586148521999293</v>
      </c>
      <c r="AU38" s="1781">
        <v>1.5196046678301773</v>
      </c>
      <c r="AV38" s="1779">
        <v>8.3388748550630822</v>
      </c>
      <c r="AW38" s="1781">
        <v>7.3609357775467927</v>
      </c>
      <c r="AX38" s="1782">
        <v>7.3985441990777483</v>
      </c>
      <c r="AZ38" s="265" t="s">
        <v>1127</v>
      </c>
      <c r="BA38" s="1769"/>
      <c r="BB38" s="1779">
        <v>14.54407488400974</v>
      </c>
      <c r="BC38" s="1780">
        <v>8.8881259730636213</v>
      </c>
      <c r="BD38" s="1780">
        <v>15.9007997385698</v>
      </c>
      <c r="BE38" s="1781">
        <v>1.8315635031821842</v>
      </c>
      <c r="BF38" s="1779">
        <v>10.398860805338341</v>
      </c>
      <c r="BG38" s="1781">
        <v>9.1087306992610468</v>
      </c>
      <c r="BH38" s="1782">
        <v>9.240254068184889</v>
      </c>
    </row>
    <row r="39" spans="1:60" ht="13.5" customHeight="1">
      <c r="A39" s="265" t="s">
        <v>1128</v>
      </c>
      <c r="B39" s="1769"/>
      <c r="C39" s="1769"/>
      <c r="D39" s="1779">
        <v>17.431768578499582</v>
      </c>
      <c r="E39" s="1780">
        <v>12.20259960030759</v>
      </c>
      <c r="F39" s="1780">
        <v>19.605951925680007</v>
      </c>
      <c r="G39" s="1781">
        <v>2.3740453116936582</v>
      </c>
      <c r="H39" s="1779">
        <v>13.119188974974202</v>
      </c>
      <c r="I39" s="1781">
        <v>11.33331101253652</v>
      </c>
      <c r="J39" s="1782">
        <v>11.674361082921736</v>
      </c>
      <c r="L39" s="265" t="s">
        <v>1128</v>
      </c>
      <c r="M39" s="1769"/>
      <c r="N39" s="1779">
        <v>19.110841742110914</v>
      </c>
      <c r="O39" s="1780">
        <v>13.58455735732211</v>
      </c>
      <c r="P39" s="1780">
        <v>21.598131544139715</v>
      </c>
      <c r="Q39" s="1781">
        <v>2.6015669144768756</v>
      </c>
      <c r="R39" s="1779">
        <v>14.457704783469405</v>
      </c>
      <c r="S39" s="1781">
        <v>12.619699384987152</v>
      </c>
      <c r="T39" s="1782">
        <v>12.939017385029006</v>
      </c>
      <c r="V39" s="265" t="s">
        <v>1128</v>
      </c>
      <c r="W39" s="1769"/>
      <c r="X39" s="1779">
        <v>23.949268469832013</v>
      </c>
      <c r="Y39" s="1780">
        <v>17.584563698414065</v>
      </c>
      <c r="Z39" s="1780">
        <v>27.175663950544401</v>
      </c>
      <c r="AA39" s="1781">
        <v>3.3128069033943413</v>
      </c>
      <c r="AB39" s="1779">
        <v>18.273549641716127</v>
      </c>
      <c r="AC39" s="1781">
        <v>16.105001720803841</v>
      </c>
      <c r="AD39" s="1782">
        <v>16.365090494196622</v>
      </c>
      <c r="AF39" s="265" t="s">
        <v>1128</v>
      </c>
      <c r="AG39" s="1769"/>
      <c r="AH39" s="1779">
        <v>31.076624934916236</v>
      </c>
      <c r="AI39" s="1780">
        <v>23.322224290442552</v>
      </c>
      <c r="AJ39" s="1780">
        <v>34.409821799420236</v>
      </c>
      <c r="AK39" s="1781">
        <v>4.7558076321020915</v>
      </c>
      <c r="AL39" s="1779">
        <v>23.717135496425978</v>
      </c>
      <c r="AM39" s="1781">
        <v>21.249228402041727</v>
      </c>
      <c r="AN39" s="1782">
        <v>21.501354400507186</v>
      </c>
      <c r="AP39" s="265" t="s">
        <v>1128</v>
      </c>
      <c r="AQ39" s="1769"/>
      <c r="AR39" s="1779">
        <v>35.746232362953876</v>
      </c>
      <c r="AS39" s="1780">
        <v>30.065278449865005</v>
      </c>
      <c r="AT39" s="1780">
        <v>41.953828406664307</v>
      </c>
      <c r="AU39" s="1781">
        <v>6.6482704217570259</v>
      </c>
      <c r="AV39" s="1779">
        <v>29.272925272461034</v>
      </c>
      <c r="AW39" s="1781">
        <v>26.925528238921164</v>
      </c>
      <c r="AX39" s="1782">
        <v>26.830865107498823</v>
      </c>
      <c r="AZ39" s="265" t="s">
        <v>1128</v>
      </c>
      <c r="BA39" s="1769"/>
      <c r="BB39" s="1779">
        <v>46.844412969970023</v>
      </c>
      <c r="BC39" s="1780">
        <v>39.956530275304026</v>
      </c>
      <c r="BD39" s="1780">
        <v>53.475903882690098</v>
      </c>
      <c r="BE39" s="1781">
        <v>9.4470117532554774</v>
      </c>
      <c r="BF39" s="1779">
        <v>38.334783477306594</v>
      </c>
      <c r="BG39" s="1781">
        <v>35.444843373211462</v>
      </c>
      <c r="BH39" s="1782">
        <v>35.058611023407373</v>
      </c>
    </row>
    <row r="40" spans="1:60" ht="13.5" customHeight="1" thickBot="1">
      <c r="A40" s="259" t="s">
        <v>1129</v>
      </c>
      <c r="B40" s="1774"/>
      <c r="C40" s="1774"/>
      <c r="D40" s="1783">
        <v>18.537197805428825</v>
      </c>
      <c r="E40" s="1784">
        <v>13.036317585421772</v>
      </c>
      <c r="F40" s="1784">
        <v>20.501200872058092</v>
      </c>
      <c r="G40" s="1785">
        <v>2.5566641818239395</v>
      </c>
      <c r="H40" s="1783">
        <v>14.03836782035456</v>
      </c>
      <c r="I40" s="1785">
        <v>12.511975357840317</v>
      </c>
      <c r="J40" s="1786">
        <v>12.696932856608314</v>
      </c>
      <c r="L40" s="259" t="s">
        <v>1129</v>
      </c>
      <c r="M40" s="1774"/>
      <c r="N40" s="1783">
        <v>20.494432094480935</v>
      </c>
      <c r="O40" s="1784">
        <v>14.819517117078664</v>
      </c>
      <c r="P40" s="1784">
        <v>22.691707824855651</v>
      </c>
      <c r="Q40" s="1785">
        <v>2.9732193308307155</v>
      </c>
      <c r="R40" s="1783">
        <v>15.648339295049237</v>
      </c>
      <c r="S40" s="1785">
        <v>14.011577993625442</v>
      </c>
      <c r="T40" s="1786">
        <v>14.241603027817158</v>
      </c>
      <c r="V40" s="259" t="s">
        <v>1129</v>
      </c>
      <c r="W40" s="1774"/>
      <c r="X40" s="1783">
        <v>24.890132588289703</v>
      </c>
      <c r="Y40" s="1784">
        <v>16.590653576329792</v>
      </c>
      <c r="Z40" s="1784">
        <v>28.078509928967804</v>
      </c>
      <c r="AA40" s="1785">
        <v>4.4170758711924547</v>
      </c>
      <c r="AB40" s="1783">
        <v>18.694599172631243</v>
      </c>
      <c r="AC40" s="1785">
        <v>16.938019051190249</v>
      </c>
      <c r="AD40" s="1786">
        <v>17.054146936057535</v>
      </c>
      <c r="AF40" s="259" t="s">
        <v>1129</v>
      </c>
      <c r="AG40" s="1774"/>
      <c r="AH40" s="1783">
        <v>31.4228825943582</v>
      </c>
      <c r="AI40" s="1784">
        <v>23.322224290442552</v>
      </c>
      <c r="AJ40" s="1784">
        <v>35.965585019074865</v>
      </c>
      <c r="AK40" s="1785">
        <v>6.1545745827203531</v>
      </c>
      <c r="AL40" s="1783">
        <v>24.655583303838515</v>
      </c>
      <c r="AM40" s="1785">
        <v>22.28807956836377</v>
      </c>
      <c r="AN40" s="1786">
        <v>22.37539319727577</v>
      </c>
      <c r="AP40" s="259" t="s">
        <v>1129</v>
      </c>
      <c r="AQ40" s="1774"/>
      <c r="AR40" s="1783">
        <v>37.595175416210111</v>
      </c>
      <c r="AS40" s="1784">
        <v>28.644871593965867</v>
      </c>
      <c r="AT40" s="1784">
        <v>42.606443515212426</v>
      </c>
      <c r="AU40" s="1785">
        <v>6.7432457134964112</v>
      </c>
      <c r="AV40" s="1783">
        <v>29.533515111681755</v>
      </c>
      <c r="AW40" s="1785">
        <v>27.022382657046776</v>
      </c>
      <c r="AX40" s="1786">
        <v>26.920004194234696</v>
      </c>
      <c r="AZ40" s="259" t="s">
        <v>1129</v>
      </c>
      <c r="BA40" s="1774"/>
      <c r="BB40" s="1783">
        <v>46.755185516693885</v>
      </c>
      <c r="BC40" s="1784">
        <v>34.271332580821884</v>
      </c>
      <c r="BD40" s="1784">
        <v>52.245484855300774</v>
      </c>
      <c r="BE40" s="1785">
        <v>9.9290021488297366</v>
      </c>
      <c r="BF40" s="1783">
        <v>36.219760940627609</v>
      </c>
      <c r="BG40" s="1785">
        <v>33.563692467929293</v>
      </c>
      <c r="BH40" s="1786">
        <v>33.24679650023387</v>
      </c>
    </row>
    <row r="41" spans="1:60" ht="13.5" customHeight="1" thickTop="1"/>
    <row r="117" spans="11:14" ht="13.5" customHeight="1">
      <c r="K117" s="1787"/>
      <c r="L117" s="1788"/>
      <c r="M117" s="1788"/>
      <c r="N117" s="1788"/>
    </row>
    <row r="118" spans="11:14" ht="13.5" customHeight="1">
      <c r="K118" s="1787"/>
      <c r="L118" s="1788"/>
      <c r="M118" s="1788"/>
      <c r="N118" s="1788"/>
    </row>
    <row r="119" spans="11:14" ht="13.5" customHeight="1">
      <c r="K119" s="1787"/>
      <c r="L119" s="1788"/>
      <c r="M119" s="1788"/>
      <c r="N119" s="1788"/>
    </row>
    <row r="120" spans="11:14" ht="13.5" customHeight="1">
      <c r="K120" s="1787"/>
      <c r="L120" s="1788"/>
      <c r="M120" s="1788"/>
      <c r="N120" s="1788"/>
    </row>
    <row r="121" spans="11:14" ht="13.5" customHeight="1">
      <c r="K121" s="1787"/>
      <c r="L121" s="1788"/>
      <c r="M121" s="1788"/>
      <c r="N121" s="1788"/>
    </row>
    <row r="122" spans="11:14" ht="13.5" customHeight="1">
      <c r="K122" s="1787"/>
      <c r="L122" s="1788"/>
      <c r="M122" s="1788"/>
      <c r="N122" s="1788"/>
    </row>
    <row r="123" spans="11:14" ht="13.5" customHeight="1">
      <c r="K123" s="1787"/>
      <c r="L123" s="1788"/>
      <c r="M123" s="1788"/>
      <c r="N123" s="1788"/>
    </row>
    <row r="124" spans="11:14" ht="13.5" customHeight="1">
      <c r="K124" s="1787"/>
      <c r="L124" s="1788"/>
      <c r="M124" s="1788"/>
      <c r="N124" s="1788"/>
    </row>
    <row r="125" spans="11:14" ht="13.5" customHeight="1">
      <c r="K125" s="1787"/>
      <c r="L125" s="1788"/>
      <c r="M125" s="1788"/>
      <c r="N125" s="1788"/>
    </row>
    <row r="126" spans="11:14" ht="13.5" customHeight="1">
      <c r="K126" s="1787"/>
      <c r="L126" s="1788"/>
      <c r="M126" s="1788"/>
      <c r="N126" s="1788"/>
    </row>
    <row r="127" spans="11:14" ht="13.5" customHeight="1">
      <c r="K127" s="1787"/>
      <c r="L127" s="1788"/>
      <c r="M127" s="1788"/>
      <c r="N127" s="1788"/>
    </row>
    <row r="128" spans="11:14" ht="13.5" customHeight="1">
      <c r="K128" s="1787"/>
      <c r="L128" s="1788"/>
      <c r="M128" s="1788"/>
      <c r="N128" s="1788"/>
    </row>
    <row r="129" spans="11:14" ht="13.5" customHeight="1">
      <c r="K129" s="1787"/>
      <c r="L129" s="1788"/>
      <c r="M129" s="1788"/>
      <c r="N129" s="1788"/>
    </row>
    <row r="130" spans="11:14" ht="13.5" customHeight="1">
      <c r="K130" s="1787"/>
      <c r="L130" s="1788"/>
      <c r="M130" s="1788"/>
      <c r="N130" s="1788"/>
    </row>
  </sheetData>
  <sheetProtection sheet="1" objects="1" scenarios="1"/>
  <mergeCells count="11">
    <mergeCell ref="A12:B12"/>
    <mergeCell ref="A7:B7"/>
    <mergeCell ref="A8:B8"/>
    <mergeCell ref="A10:B10"/>
    <mergeCell ref="AP1:AX1"/>
    <mergeCell ref="A11:B11"/>
    <mergeCell ref="AZ1:BH1"/>
    <mergeCell ref="D1:J1"/>
    <mergeCell ref="L1:T1"/>
    <mergeCell ref="V1:AD1"/>
    <mergeCell ref="AF1:AN1"/>
  </mergeCells>
  <phoneticPr fontId="0" type="noConversion"/>
  <hyperlinks>
    <hyperlink ref="A11" location="Contents!A1" display="Contents"/>
    <hyperlink ref="A11:B11" r:id="rId1" display="WebTAG Unit 3.13.2"/>
    <hyperlink ref="A10" location="Contents!A1" display="Contents"/>
    <hyperlink ref="A10:B10" location="Contents!A1" tooltip="Contents page" display="Contents"/>
    <hyperlink ref="A18" location="'MECs - time of day'!D1" tooltip="2010" display="'MECs - time of day'!D1"/>
    <hyperlink ref="B18" location="'MECs - time of day'!L1" tooltip="2015" display="'MECs - time of day'!L1"/>
    <hyperlink ref="A19" location="'MECs - time of day'!V1" tooltip="2020" display="'MECs - time of day'!V1"/>
    <hyperlink ref="B19" location="'MECs - time of day'!AF1" tooltip="2025" display="'MECs - time of day'!AF1"/>
    <hyperlink ref="A20" location="'MECs - time of day'!AP1" tooltip="2030" display="'MECs - time of day'!AP1"/>
    <hyperlink ref="B20" location="'MECs - time of day'!AZ1" tooltip="2035" display="'MECs - time of day'!AZ1"/>
    <hyperlink ref="A12:B12" r:id="rId2" tooltip="Unit A5.4 Marginal External Congestion Costs" display="WebTAG Unit A 5.4"/>
  </hyperlinks>
  <pageMargins left="0" right="0" top="0" bottom="0" header="0" footer="0"/>
  <pageSetup paperSize="9" scale="13" orientation="portrait" r:id="rId3"/>
  <headerFooter alignWithMargins="0"/>
  <drawing r:id="rId4"/>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tabColor rgb="FF008000"/>
  </sheetPr>
  <dimension ref="A1:AL45"/>
  <sheetViews>
    <sheetView zoomScale="85" zoomScaleNormal="85" workbookViewId="0">
      <selection activeCell="A9" sqref="A9:B9"/>
    </sheetView>
  </sheetViews>
  <sheetFormatPr defaultColWidth="9.109375" defaultRowHeight="13.2"/>
  <cols>
    <col min="1" max="1" width="45.5546875" style="3031" customWidth="1"/>
    <col min="2" max="2" width="22" style="3031" customWidth="1"/>
    <col min="3" max="3" width="16.5546875" style="3031" customWidth="1"/>
    <col min="4" max="18" width="9.109375" style="3031"/>
    <col min="19" max="19" width="19" style="3031" customWidth="1"/>
    <col min="20" max="16384" width="9.109375" style="3031"/>
  </cols>
  <sheetData>
    <row r="1" spans="1:38" s="240" customFormat="1" ht="54.9" customHeight="1">
      <c r="A1" s="3821"/>
      <c r="B1" s="3821"/>
      <c r="C1" s="3021"/>
    </row>
    <row r="2" spans="1:38" s="240" customFormat="1" ht="5.0999999999999996" customHeight="1">
      <c r="C2" s="3022"/>
    </row>
    <row r="3" spans="1:38" s="262" customFormat="1" ht="20.100000000000001" customHeight="1">
      <c r="A3" s="260" t="s">
        <v>2324</v>
      </c>
      <c r="B3" s="260"/>
      <c r="C3" s="260"/>
      <c r="D3" s="260"/>
      <c r="E3" s="260"/>
      <c r="F3" s="260"/>
      <c r="G3" s="260"/>
      <c r="H3" s="260"/>
      <c r="I3" s="260"/>
      <c r="J3" s="260"/>
      <c r="K3" s="260"/>
      <c r="L3" s="260"/>
      <c r="M3" s="260"/>
      <c r="N3" s="260"/>
      <c r="O3" s="260"/>
      <c r="P3" s="260"/>
      <c r="Q3" s="260"/>
      <c r="R3" s="260"/>
      <c r="S3" s="260"/>
      <c r="W3" s="260"/>
      <c r="X3" s="260"/>
      <c r="Y3" s="260"/>
      <c r="Z3" s="260"/>
      <c r="AA3" s="271"/>
      <c r="AB3" s="260"/>
      <c r="AL3" s="3023"/>
    </row>
    <row r="4" spans="1:38" s="262" customFormat="1" ht="20.100000000000001" customHeight="1" thickBot="1">
      <c r="A4" s="1719" t="s">
        <v>1879</v>
      </c>
      <c r="B4" s="1719"/>
      <c r="C4" s="1719"/>
      <c r="D4" s="1719"/>
      <c r="E4" s="1719"/>
      <c r="F4" s="1719"/>
      <c r="G4" s="1719"/>
      <c r="H4" s="1719"/>
      <c r="I4" s="1719"/>
      <c r="J4" s="1719"/>
      <c r="K4" s="1719"/>
      <c r="L4" s="1719"/>
      <c r="M4" s="1719"/>
      <c r="N4" s="1719"/>
      <c r="O4" s="1719"/>
      <c r="P4" s="1719"/>
      <c r="Q4" s="1719"/>
      <c r="R4" s="1719"/>
      <c r="S4" s="1719"/>
      <c r="W4" s="260"/>
      <c r="X4" s="260"/>
      <c r="Y4" s="260"/>
      <c r="Z4" s="260"/>
      <c r="AA4" s="271"/>
      <c r="AB4" s="260"/>
      <c r="AL4" s="3023"/>
    </row>
    <row r="5" spans="1:38" s="240" customFormat="1" ht="9.9" customHeight="1" thickTop="1" thickBot="1">
      <c r="B5" s="3024"/>
      <c r="C5" s="3024"/>
      <c r="D5" s="3025"/>
      <c r="E5" s="3024"/>
      <c r="F5" s="3024"/>
      <c r="G5" s="3025"/>
      <c r="H5" s="3024"/>
      <c r="I5" s="3025"/>
      <c r="J5" s="3025"/>
      <c r="K5" s="3025"/>
      <c r="L5" s="3025"/>
      <c r="M5" s="3025"/>
      <c r="N5" s="3025"/>
      <c r="O5" s="3025"/>
      <c r="P5" s="3025"/>
      <c r="Q5" s="3025"/>
      <c r="R5" s="3025"/>
      <c r="S5" s="3025"/>
      <c r="W5" s="237"/>
      <c r="X5" s="237"/>
      <c r="Y5" s="237"/>
      <c r="Z5" s="237"/>
      <c r="AA5" s="244"/>
      <c r="AB5" s="237"/>
      <c r="AL5" s="3026"/>
    </row>
    <row r="6" spans="1:38" s="240" customFormat="1" ht="13.5" customHeight="1" thickTop="1" thickBot="1">
      <c r="A6" s="169" t="s">
        <v>10</v>
      </c>
      <c r="B6" s="169"/>
      <c r="E6" s="174" t="s">
        <v>255</v>
      </c>
      <c r="F6" s="175"/>
      <c r="G6" s="175"/>
      <c r="H6" s="175"/>
      <c r="I6" s="175"/>
      <c r="J6" s="175"/>
      <c r="K6" s="175"/>
      <c r="L6" s="175"/>
      <c r="M6" s="175"/>
      <c r="N6" s="175"/>
      <c r="O6" s="175"/>
      <c r="P6" s="175"/>
      <c r="Q6" s="175"/>
      <c r="R6" s="175"/>
      <c r="S6" s="176"/>
      <c r="W6" s="237"/>
      <c r="X6" s="237"/>
      <c r="Y6" s="237"/>
      <c r="Z6" s="237"/>
      <c r="AA6" s="244"/>
      <c r="AB6" s="237"/>
      <c r="AL6" s="3026"/>
    </row>
    <row r="7" spans="1:38" s="240" customFormat="1" ht="13.5" customHeight="1" thickTop="1">
      <c r="A7" s="3644" t="str">
        <f>Audit!A12</f>
        <v>May 2019 v1.12</v>
      </c>
      <c r="B7" s="3645"/>
      <c r="E7" s="3027" t="s">
        <v>294</v>
      </c>
      <c r="F7" s="3028"/>
      <c r="G7" s="3029"/>
      <c r="H7" s="3029"/>
      <c r="I7" s="3029"/>
      <c r="J7" s="3029"/>
      <c r="K7" s="3029"/>
      <c r="L7" s="3029"/>
      <c r="M7" s="3029"/>
      <c r="N7" s="3029"/>
      <c r="O7" s="3029"/>
      <c r="P7" s="3029"/>
      <c r="Q7" s="3029"/>
      <c r="R7" s="3029"/>
      <c r="S7" s="3030"/>
      <c r="W7" s="237"/>
      <c r="X7" s="237"/>
      <c r="Y7" s="237"/>
      <c r="Z7" s="237"/>
      <c r="AA7" s="244"/>
      <c r="AB7" s="237"/>
      <c r="AL7" s="3026"/>
    </row>
    <row r="8" spans="1:38" s="240" customFormat="1" ht="13.5" customHeight="1">
      <c r="A8" s="3862">
        <f>Audit!C12</f>
        <v>43586</v>
      </c>
      <c r="B8" s="3863"/>
      <c r="E8" s="3068" t="s">
        <v>1851</v>
      </c>
      <c r="F8" s="1360" t="s">
        <v>1881</v>
      </c>
      <c r="G8" s="3032"/>
      <c r="H8" s="3031"/>
      <c r="I8" s="3033"/>
      <c r="J8" s="3031"/>
      <c r="K8" s="3034"/>
      <c r="L8" s="3035"/>
      <c r="M8" s="3031"/>
      <c r="N8" s="3031"/>
      <c r="O8" s="3012"/>
      <c r="P8" s="3033"/>
      <c r="Q8" s="3033"/>
      <c r="R8" s="3033"/>
      <c r="S8" s="3036"/>
      <c r="W8" s="237"/>
      <c r="X8" s="237"/>
      <c r="Y8" s="237"/>
      <c r="Z8" s="237"/>
      <c r="AA8" s="244"/>
      <c r="AB8" s="237"/>
      <c r="AL8" s="3026"/>
    </row>
    <row r="9" spans="1:38" s="240" customFormat="1" ht="13.5" customHeight="1" thickBot="1">
      <c r="A9" s="3642" t="s">
        <v>1149</v>
      </c>
      <c r="B9" s="3643"/>
      <c r="E9" s="265"/>
      <c r="F9" s="2629" t="s">
        <v>1882</v>
      </c>
      <c r="G9" s="3035"/>
      <c r="H9" s="2629"/>
      <c r="I9" s="3033"/>
      <c r="J9" s="3031"/>
      <c r="K9" s="2629"/>
      <c r="L9" s="3035"/>
      <c r="M9" s="3031"/>
      <c r="N9" s="3031"/>
      <c r="O9" s="3012"/>
      <c r="P9" s="3033"/>
      <c r="Q9" s="3033"/>
      <c r="R9" s="3033"/>
      <c r="S9" s="3036"/>
      <c r="W9" s="237"/>
      <c r="X9" s="237"/>
      <c r="Y9" s="237"/>
      <c r="Z9" s="237"/>
      <c r="AA9" s="244"/>
      <c r="AB9" s="237"/>
      <c r="AL9" s="3026"/>
    </row>
    <row r="10" spans="1:38" s="240" customFormat="1" ht="13.5" customHeight="1" thickBot="1">
      <c r="A10" s="3611" t="s">
        <v>1306</v>
      </c>
      <c r="B10" s="3612"/>
      <c r="E10" s="3068" t="s">
        <v>1853</v>
      </c>
      <c r="F10" s="1360" t="s">
        <v>1893</v>
      </c>
      <c r="G10" s="3035"/>
      <c r="H10" s="2629"/>
      <c r="I10" s="3033"/>
      <c r="J10" s="3033"/>
      <c r="K10" s="3033"/>
      <c r="L10" s="3031"/>
      <c r="M10" s="3031"/>
      <c r="N10" s="3037"/>
      <c r="O10" s="3033"/>
      <c r="P10" s="3033"/>
      <c r="Q10" s="3033"/>
      <c r="R10" s="3033"/>
      <c r="S10" s="3036"/>
      <c r="W10" s="237"/>
      <c r="X10" s="237"/>
      <c r="Y10" s="237"/>
      <c r="Z10" s="237"/>
      <c r="AA10" s="244"/>
      <c r="AB10" s="237"/>
      <c r="AL10" s="3026"/>
    </row>
    <row r="11" spans="1:38" s="240" customFormat="1" ht="13.5" customHeight="1" thickBot="1">
      <c r="A11" s="3611" t="s">
        <v>2310</v>
      </c>
      <c r="B11" s="3612"/>
      <c r="E11" s="3068"/>
      <c r="F11" s="1360" t="s">
        <v>1894</v>
      </c>
      <c r="G11" s="2629"/>
      <c r="H11" s="2629"/>
      <c r="I11" s="3038"/>
      <c r="J11" s="3038"/>
      <c r="K11" s="3038"/>
      <c r="L11" s="3038"/>
      <c r="M11" s="3038"/>
      <c r="N11" s="3038"/>
      <c r="O11" s="3038"/>
      <c r="P11" s="3038"/>
      <c r="Q11" s="3038"/>
      <c r="R11" s="3038"/>
      <c r="S11" s="3039"/>
      <c r="W11" s="237"/>
      <c r="X11" s="237"/>
      <c r="Y11" s="237"/>
      <c r="Z11" s="237"/>
      <c r="AA11" s="244"/>
      <c r="AB11" s="237"/>
      <c r="AL11" s="3026"/>
    </row>
    <row r="12" spans="1:38" s="240" customFormat="1" ht="13.5" customHeight="1">
      <c r="A12" s="2630"/>
      <c r="B12" s="2630"/>
      <c r="E12" s="189" t="s">
        <v>1451</v>
      </c>
      <c r="F12" s="3031"/>
      <c r="G12" s="2629"/>
      <c r="H12" s="2629"/>
      <c r="I12" s="3038"/>
      <c r="J12" s="3038"/>
      <c r="K12" s="3038"/>
      <c r="L12" s="3038"/>
      <c r="M12" s="3038"/>
      <c r="N12" s="3038"/>
      <c r="O12" s="3038"/>
      <c r="P12" s="3038"/>
      <c r="Q12" s="3038"/>
      <c r="R12" s="3038"/>
      <c r="S12" s="3039"/>
      <c r="W12" s="237"/>
      <c r="X12" s="237"/>
      <c r="Y12" s="237"/>
      <c r="Z12" s="237"/>
      <c r="AA12" s="244"/>
      <c r="AB12" s="237"/>
      <c r="AL12" s="3026"/>
    </row>
    <row r="13" spans="1:38" s="240" customFormat="1" ht="13.5" customHeight="1">
      <c r="A13" s="172" t="s">
        <v>252</v>
      </c>
      <c r="B13" s="194"/>
      <c r="E13" s="2614" t="s">
        <v>1899</v>
      </c>
      <c r="F13" s="2629"/>
      <c r="G13" s="2629"/>
      <c r="H13" s="2629"/>
      <c r="I13" s="3033"/>
      <c r="J13" s="3033"/>
      <c r="K13" s="3033"/>
      <c r="L13" s="3033"/>
      <c r="M13" s="3033"/>
      <c r="N13" s="3033"/>
      <c r="O13" s="3012" t="s">
        <v>1902</v>
      </c>
      <c r="P13" s="3033"/>
      <c r="Q13" s="3033"/>
      <c r="R13" s="3033"/>
      <c r="S13" s="3036"/>
      <c r="W13" s="237"/>
      <c r="X13" s="237"/>
      <c r="Y13" s="237"/>
      <c r="Z13" s="237"/>
      <c r="AA13" s="244"/>
      <c r="AB13" s="237"/>
      <c r="AL13" s="3026"/>
    </row>
    <row r="14" spans="1:38" s="240" customFormat="1" ht="13.5" customHeight="1">
      <c r="A14" s="38" t="s">
        <v>12</v>
      </c>
      <c r="B14" s="3031"/>
      <c r="C14" s="3031"/>
      <c r="E14" s="3040"/>
      <c r="F14" s="2629"/>
      <c r="G14" s="2629"/>
      <c r="H14" s="2629"/>
      <c r="I14" s="3033"/>
      <c r="J14" s="3033"/>
      <c r="K14" s="3033"/>
      <c r="L14" s="3033"/>
      <c r="M14" s="3033"/>
      <c r="N14" s="3033"/>
      <c r="O14" s="3033"/>
      <c r="P14" s="3033"/>
      <c r="Q14" s="3033"/>
      <c r="R14" s="3033"/>
      <c r="S14" s="3036"/>
      <c r="W14" s="1393"/>
      <c r="X14" s="1393"/>
      <c r="Y14" s="1393"/>
      <c r="Z14" s="3041"/>
      <c r="AA14" s="244"/>
      <c r="AB14" s="237"/>
    </row>
    <row r="15" spans="1:38" s="240" customFormat="1" ht="13.5" customHeight="1">
      <c r="A15" s="269"/>
      <c r="B15" s="3031"/>
      <c r="C15" s="3031"/>
      <c r="E15" s="265"/>
      <c r="F15" s="3031"/>
      <c r="G15" s="3031"/>
      <c r="H15" s="2629"/>
      <c r="I15" s="3033"/>
      <c r="J15" s="3033"/>
      <c r="K15" s="3033"/>
      <c r="L15" s="3033"/>
      <c r="M15" s="3033"/>
      <c r="N15" s="3033"/>
      <c r="O15" s="3033"/>
      <c r="P15" s="3033"/>
      <c r="Q15" s="3033"/>
      <c r="R15" s="3033"/>
      <c r="S15" s="3036"/>
      <c r="U15" s="3042"/>
      <c r="W15" s="269"/>
      <c r="X15" s="1393"/>
      <c r="Y15" s="1393"/>
      <c r="Z15" s="3041"/>
      <c r="AA15" s="244"/>
      <c r="AB15" s="237"/>
    </row>
    <row r="16" spans="1:38" s="240" customFormat="1" ht="13.5" customHeight="1">
      <c r="B16" s="3031"/>
      <c r="C16" s="3031"/>
      <c r="E16" s="2614"/>
      <c r="F16" s="2629"/>
      <c r="G16" s="2629"/>
      <c r="H16" s="3031"/>
      <c r="I16" s="3033"/>
      <c r="J16" s="3033"/>
      <c r="K16" s="3033"/>
      <c r="L16" s="3033"/>
      <c r="M16" s="3033"/>
      <c r="N16" s="3033"/>
      <c r="O16" s="3033"/>
      <c r="P16" s="3033"/>
      <c r="Q16" s="3033"/>
      <c r="R16" s="3033"/>
      <c r="S16" s="3036"/>
      <c r="U16" s="3042"/>
      <c r="W16" s="237"/>
      <c r="X16" s="237"/>
      <c r="Y16" s="237"/>
      <c r="Z16" s="237"/>
      <c r="AA16" s="237"/>
      <c r="AB16" s="237"/>
    </row>
    <row r="17" spans="1:21" s="240" customFormat="1" ht="13.5" customHeight="1">
      <c r="A17" s="169" t="s">
        <v>253</v>
      </c>
      <c r="B17" s="170"/>
      <c r="C17" s="238"/>
      <c r="E17" s="2614"/>
      <c r="F17" s="236"/>
      <c r="G17" s="2629"/>
      <c r="H17" s="2629"/>
      <c r="I17" s="3033"/>
      <c r="J17" s="3033"/>
      <c r="K17" s="3033"/>
      <c r="L17" s="3033"/>
      <c r="M17" s="3033"/>
      <c r="N17" s="3033"/>
      <c r="O17" s="3033"/>
      <c r="P17" s="3033"/>
      <c r="Q17" s="3033"/>
      <c r="R17" s="3033"/>
      <c r="S17" s="3036"/>
      <c r="U17" s="3042"/>
    </row>
    <row r="18" spans="1:21" s="240" customFormat="1" ht="13.5" customHeight="1">
      <c r="E18" s="2614"/>
      <c r="F18" s="2629"/>
      <c r="G18" s="3043"/>
      <c r="H18" s="3033"/>
      <c r="I18" s="3033"/>
      <c r="J18" s="3033"/>
      <c r="K18" s="3033"/>
      <c r="L18" s="3033"/>
      <c r="M18" s="3033"/>
      <c r="N18" s="3033"/>
      <c r="O18" s="3033"/>
      <c r="P18" s="3033"/>
      <c r="Q18" s="3033"/>
      <c r="R18" s="3033"/>
      <c r="S18" s="3036"/>
      <c r="U18" s="3042"/>
    </row>
    <row r="19" spans="1:21" s="240" customFormat="1" ht="13.5" customHeight="1">
      <c r="E19" s="3044"/>
      <c r="H19" s="2629"/>
      <c r="I19" s="244"/>
      <c r="J19" s="3033"/>
      <c r="K19" s="3045"/>
      <c r="L19" s="3045"/>
      <c r="M19" s="3045"/>
      <c r="N19" s="3045"/>
      <c r="O19" s="3041"/>
      <c r="P19" s="244"/>
      <c r="Q19" s="3033"/>
      <c r="R19" s="3033"/>
      <c r="S19" s="3036"/>
      <c r="U19" s="3042"/>
    </row>
    <row r="20" spans="1:21" s="240" customFormat="1" ht="13.5" customHeight="1" thickBot="1">
      <c r="E20" s="3046" t="s">
        <v>2311</v>
      </c>
      <c r="F20" s="270"/>
      <c r="G20" s="3047"/>
      <c r="H20" s="246"/>
      <c r="I20" s="292"/>
      <c r="J20" s="3048"/>
      <c r="K20" s="3049"/>
      <c r="L20" s="3049"/>
      <c r="M20" s="3049"/>
      <c r="N20" s="3049"/>
      <c r="O20" s="3050"/>
      <c r="P20" s="292"/>
      <c r="Q20" s="3048"/>
      <c r="R20" s="3048"/>
      <c r="S20" s="3051"/>
      <c r="U20" s="3042"/>
    </row>
    <row r="21" spans="1:21" ht="14.4" thickTop="1" thickBot="1"/>
    <row r="22" spans="1:21" ht="39" customHeight="1" thickTop="1" thickBot="1">
      <c r="A22" s="3054" t="s">
        <v>1858</v>
      </c>
      <c r="B22" s="3072" t="s">
        <v>1878</v>
      </c>
    </row>
    <row r="23" spans="1:21" ht="14.4" thickTop="1" thickBot="1">
      <c r="A23" s="3069" t="s">
        <v>1859</v>
      </c>
      <c r="B23" s="3073">
        <v>0.22</v>
      </c>
    </row>
    <row r="24" spans="1:21">
      <c r="A24" s="3071" t="s">
        <v>1860</v>
      </c>
      <c r="B24" s="3078">
        <v>0.21</v>
      </c>
    </row>
    <row r="25" spans="1:21">
      <c r="A25" s="3070" t="s">
        <v>1861</v>
      </c>
      <c r="B25" s="3074">
        <v>0.24</v>
      </c>
    </row>
    <row r="26" spans="1:21" ht="13.8" thickBot="1">
      <c r="A26" s="3079" t="s">
        <v>1862</v>
      </c>
      <c r="B26" s="3080">
        <v>0.35</v>
      </c>
    </row>
    <row r="27" spans="1:21">
      <c r="A27" s="3081" t="s">
        <v>1864</v>
      </c>
      <c r="B27" s="3074">
        <v>0.24</v>
      </c>
      <c r="C27" s="3052"/>
    </row>
    <row r="28" spans="1:21">
      <c r="A28" s="3082" t="s">
        <v>1865</v>
      </c>
      <c r="B28" s="3074">
        <v>0.26</v>
      </c>
      <c r="C28" s="3052"/>
    </row>
    <row r="29" spans="1:21" ht="11.25" customHeight="1">
      <c r="A29" s="3082" t="s">
        <v>1866</v>
      </c>
      <c r="B29" s="3074">
        <v>0.26</v>
      </c>
      <c r="C29" s="3052"/>
    </row>
    <row r="30" spans="1:21">
      <c r="A30" s="3082" t="s">
        <v>1867</v>
      </c>
      <c r="B30" s="3074">
        <v>0.26</v>
      </c>
      <c r="C30" s="3052"/>
    </row>
    <row r="31" spans="1:21">
      <c r="A31" s="3082" t="s">
        <v>1868</v>
      </c>
      <c r="B31" s="3074">
        <v>0.25</v>
      </c>
      <c r="C31" s="3052"/>
    </row>
    <row r="32" spans="1:21" ht="13.8" thickBot="1">
      <c r="A32" s="3083" t="s">
        <v>1869</v>
      </c>
      <c r="B32" s="3074">
        <v>0.26</v>
      </c>
      <c r="C32" s="3052"/>
    </row>
    <row r="33" spans="1:3">
      <c r="A33" s="3081" t="s">
        <v>1870</v>
      </c>
      <c r="B33" s="3078">
        <v>0.28999999999999998</v>
      </c>
      <c r="C33" s="3052"/>
    </row>
    <row r="34" spans="1:3">
      <c r="A34" s="3082" t="s">
        <v>1871</v>
      </c>
      <c r="B34" s="3074">
        <v>0.28999999999999998</v>
      </c>
      <c r="C34" s="3052"/>
    </row>
    <row r="35" spans="1:3">
      <c r="A35" s="3082" t="s">
        <v>1872</v>
      </c>
      <c r="B35" s="3074">
        <v>0.28000000000000003</v>
      </c>
      <c r="C35" s="3052"/>
    </row>
    <row r="36" spans="1:3">
      <c r="A36" s="3082" t="s">
        <v>1873</v>
      </c>
      <c r="B36" s="3074">
        <v>0.28000000000000003</v>
      </c>
      <c r="C36" s="3052"/>
    </row>
    <row r="37" spans="1:3">
      <c r="A37" s="3082" t="s">
        <v>1874</v>
      </c>
      <c r="B37" s="3074">
        <v>0.28000000000000003</v>
      </c>
      <c r="C37" s="3052"/>
    </row>
    <row r="38" spans="1:3" ht="13.8" thickBot="1">
      <c r="A38" s="3083" t="s">
        <v>1875</v>
      </c>
      <c r="B38" s="3080">
        <v>0.28000000000000003</v>
      </c>
      <c r="C38" s="3052"/>
    </row>
    <row r="39" spans="1:3">
      <c r="A39" s="3076" t="s">
        <v>1863</v>
      </c>
      <c r="B39" s="3074">
        <v>0.3</v>
      </c>
      <c r="C39" s="3052"/>
    </row>
    <row r="40" spans="1:3">
      <c r="A40" s="3076" t="s">
        <v>1876</v>
      </c>
      <c r="B40" s="3074">
        <v>0.27</v>
      </c>
      <c r="C40" s="3052"/>
    </row>
    <row r="41" spans="1:3" ht="13.8" thickBot="1">
      <c r="A41" s="3077" t="s">
        <v>1877</v>
      </c>
      <c r="B41" s="3075">
        <v>0.31</v>
      </c>
      <c r="C41" s="3052"/>
    </row>
    <row r="42" spans="1:3" ht="13.8" thickTop="1">
      <c r="A42" s="3052"/>
      <c r="B42" s="3052"/>
      <c r="C42" s="3052"/>
    </row>
    <row r="43" spans="1:3">
      <c r="A43" s="3052"/>
      <c r="B43" s="3052"/>
      <c r="C43" s="3052"/>
    </row>
    <row r="44" spans="1:3">
      <c r="A44" s="3052"/>
      <c r="B44" s="3052"/>
      <c r="C44" s="3052"/>
    </row>
    <row r="45" spans="1:3">
      <c r="A45" s="3052"/>
      <c r="B45" s="3052"/>
      <c r="C45" s="3052"/>
    </row>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 ref="O13" r:id="rId2"/>
  </hyperlinks>
  <pageMargins left="0.7" right="0.7" top="0.75" bottom="0.75" header="0.3" footer="0.3"/>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tabColor rgb="FF008000"/>
  </sheetPr>
  <dimension ref="A1:AL31"/>
  <sheetViews>
    <sheetView zoomScale="85" zoomScaleNormal="85" workbookViewId="0">
      <selection activeCell="A9" sqref="A9:B9"/>
    </sheetView>
  </sheetViews>
  <sheetFormatPr defaultColWidth="9.109375" defaultRowHeight="13.2"/>
  <cols>
    <col min="1" max="1" width="45.5546875" style="3031" customWidth="1"/>
    <col min="2" max="2" width="22" style="3031" customWidth="1"/>
    <col min="3" max="3" width="16.5546875" style="3031" customWidth="1"/>
    <col min="4" max="5" width="16.88671875" style="3031" customWidth="1"/>
    <col min="6" max="6" width="11.88671875" style="3031" customWidth="1"/>
    <col min="7" max="18" width="9.109375" style="3031"/>
    <col min="19" max="19" width="23.5546875" style="3031" customWidth="1"/>
    <col min="20" max="16384" width="9.109375" style="3031"/>
  </cols>
  <sheetData>
    <row r="1" spans="1:38" s="240" customFormat="1" ht="54.9" customHeight="1">
      <c r="A1" s="3821"/>
      <c r="B1" s="3821"/>
      <c r="C1" s="3021"/>
    </row>
    <row r="2" spans="1:38" s="240" customFormat="1" ht="5.0999999999999996" customHeight="1">
      <c r="C2" s="3022"/>
    </row>
    <row r="3" spans="1:38" s="262" customFormat="1" ht="20.100000000000001" customHeight="1">
      <c r="A3" s="260" t="s">
        <v>2325</v>
      </c>
      <c r="B3" s="260"/>
      <c r="C3" s="260"/>
      <c r="D3" s="260"/>
      <c r="E3" s="260"/>
      <c r="F3" s="260"/>
      <c r="G3" s="260"/>
      <c r="H3" s="260"/>
      <c r="I3" s="260"/>
      <c r="J3" s="260"/>
      <c r="K3" s="260"/>
      <c r="L3" s="260"/>
      <c r="M3" s="260"/>
      <c r="N3" s="260"/>
      <c r="O3" s="260"/>
      <c r="P3" s="260"/>
      <c r="Q3" s="260"/>
      <c r="R3" s="260"/>
      <c r="S3" s="260"/>
      <c r="W3" s="260"/>
      <c r="X3" s="260"/>
      <c r="Y3" s="260"/>
      <c r="Z3" s="260"/>
      <c r="AA3" s="271"/>
      <c r="AB3" s="260"/>
      <c r="AL3" s="3023"/>
    </row>
    <row r="4" spans="1:38" s="262" customFormat="1" ht="20.100000000000001" customHeight="1" thickBot="1">
      <c r="A4" s="1719" t="s">
        <v>2097</v>
      </c>
      <c r="B4" s="1719"/>
      <c r="C4" s="1719"/>
      <c r="D4" s="1719"/>
      <c r="E4" s="1719"/>
      <c r="F4" s="1719"/>
      <c r="G4" s="1719"/>
      <c r="H4" s="1719"/>
      <c r="I4" s="1719"/>
      <c r="J4" s="1719"/>
      <c r="K4" s="1719"/>
      <c r="L4" s="1719"/>
      <c r="M4" s="1719"/>
      <c r="N4" s="1719"/>
      <c r="O4" s="1719"/>
      <c r="P4" s="1719"/>
      <c r="Q4" s="1719"/>
      <c r="R4" s="1719"/>
      <c r="S4" s="1719"/>
      <c r="W4" s="260"/>
      <c r="X4" s="260"/>
      <c r="Y4" s="260"/>
      <c r="Z4" s="260"/>
      <c r="AA4" s="271"/>
      <c r="AB4" s="260"/>
      <c r="AL4" s="3023"/>
    </row>
    <row r="5" spans="1:38" s="240" customFormat="1" ht="9.9" customHeight="1" thickTop="1" thickBot="1">
      <c r="B5" s="3024"/>
      <c r="C5" s="3024"/>
      <c r="D5" s="3025"/>
      <c r="E5" s="3024"/>
      <c r="F5" s="3024"/>
      <c r="G5" s="3025"/>
      <c r="H5" s="3024"/>
      <c r="I5" s="3025"/>
      <c r="J5" s="3025"/>
      <c r="K5" s="3025"/>
      <c r="L5" s="3025"/>
      <c r="M5" s="3025"/>
      <c r="N5" s="3025"/>
      <c r="O5" s="3025"/>
      <c r="P5" s="3025"/>
      <c r="Q5" s="3025"/>
      <c r="R5" s="3025"/>
      <c r="S5" s="3025"/>
      <c r="W5" s="237"/>
      <c r="X5" s="237"/>
      <c r="Y5" s="237"/>
      <c r="Z5" s="237"/>
      <c r="AA5" s="244"/>
      <c r="AB5" s="237"/>
      <c r="AL5" s="3026"/>
    </row>
    <row r="6" spans="1:38" s="240" customFormat="1" ht="13.5" customHeight="1" thickTop="1" thickBot="1">
      <c r="A6" s="169" t="s">
        <v>10</v>
      </c>
      <c r="B6" s="169"/>
      <c r="E6" s="174" t="s">
        <v>255</v>
      </c>
      <c r="F6" s="175"/>
      <c r="G6" s="175"/>
      <c r="H6" s="175"/>
      <c r="I6" s="175"/>
      <c r="J6" s="175"/>
      <c r="K6" s="175"/>
      <c r="L6" s="175"/>
      <c r="M6" s="175"/>
      <c r="N6" s="175"/>
      <c r="O6" s="175"/>
      <c r="P6" s="175"/>
      <c r="Q6" s="175"/>
      <c r="R6" s="175"/>
      <c r="S6" s="176"/>
      <c r="W6" s="237"/>
      <c r="X6" s="237"/>
      <c r="Y6" s="237"/>
      <c r="Z6" s="237"/>
      <c r="AA6" s="244"/>
      <c r="AB6" s="237"/>
      <c r="AL6" s="3026"/>
    </row>
    <row r="7" spans="1:38" s="240" customFormat="1" ht="13.5" customHeight="1" thickTop="1">
      <c r="A7" s="3644" t="str">
        <f>Audit!A12</f>
        <v>May 2019 v1.12</v>
      </c>
      <c r="B7" s="3645"/>
      <c r="E7" s="3027" t="s">
        <v>294</v>
      </c>
      <c r="F7" s="3028"/>
      <c r="G7" s="3029"/>
      <c r="H7" s="3029"/>
      <c r="I7" s="3029"/>
      <c r="J7" s="3029"/>
      <c r="K7" s="3029"/>
      <c r="L7" s="3029"/>
      <c r="M7" s="3029"/>
      <c r="N7" s="3029"/>
      <c r="O7" s="3029"/>
      <c r="P7" s="3029"/>
      <c r="Q7" s="3029"/>
      <c r="R7" s="3029"/>
      <c r="S7" s="3030"/>
      <c r="W7" s="237"/>
      <c r="X7" s="237"/>
      <c r="Y7" s="237"/>
      <c r="Z7" s="237"/>
      <c r="AA7" s="244"/>
      <c r="AB7" s="237"/>
      <c r="AL7" s="3026"/>
    </row>
    <row r="8" spans="1:38" s="240" customFormat="1" ht="13.5" customHeight="1">
      <c r="A8" s="3862">
        <f>Audit!C12</f>
        <v>43586</v>
      </c>
      <c r="B8" s="3863"/>
      <c r="E8" s="3068" t="s">
        <v>1851</v>
      </c>
      <c r="F8" s="1360" t="s">
        <v>2083</v>
      </c>
      <c r="G8" s="3032"/>
      <c r="H8" s="3031"/>
      <c r="I8" s="3033"/>
      <c r="J8" s="3031"/>
      <c r="K8" s="3034"/>
      <c r="L8" s="3035"/>
      <c r="M8" s="3031"/>
      <c r="N8" s="3031"/>
      <c r="O8" s="3012"/>
      <c r="P8" s="3033"/>
      <c r="Q8" s="3033"/>
      <c r="R8" s="3033"/>
      <c r="S8" s="3036"/>
      <c r="W8" s="237"/>
      <c r="X8" s="237"/>
      <c r="Y8" s="237"/>
      <c r="Z8" s="237"/>
      <c r="AA8" s="244"/>
      <c r="AB8" s="237"/>
      <c r="AL8" s="3026"/>
    </row>
    <row r="9" spans="1:38" s="240" customFormat="1" ht="13.5" customHeight="1" thickBot="1">
      <c r="A9" s="3642" t="s">
        <v>1149</v>
      </c>
      <c r="B9" s="3643"/>
      <c r="E9" s="265"/>
      <c r="F9" s="2629" t="s">
        <v>2105</v>
      </c>
      <c r="G9" s="3035"/>
      <c r="H9" s="2629"/>
      <c r="I9" s="3033"/>
      <c r="J9" s="3031"/>
      <c r="K9" s="2629"/>
      <c r="L9" s="3035"/>
      <c r="M9" s="3031"/>
      <c r="N9" s="3031"/>
      <c r="O9" s="3012"/>
      <c r="P9" s="3033"/>
      <c r="Q9" s="3033"/>
      <c r="R9" s="3033"/>
      <c r="S9" s="3036"/>
      <c r="W9" s="237"/>
      <c r="X9" s="237"/>
      <c r="Y9" s="237"/>
      <c r="Z9" s="237"/>
      <c r="AA9" s="244"/>
      <c r="AB9" s="237"/>
      <c r="AL9" s="3026"/>
    </row>
    <row r="10" spans="1:38" s="240" customFormat="1" ht="13.5" customHeight="1" thickBot="1">
      <c r="A10" s="3611" t="s">
        <v>1306</v>
      </c>
      <c r="B10" s="3612"/>
      <c r="E10" s="3068" t="s">
        <v>1853</v>
      </c>
      <c r="F10" s="1360" t="s">
        <v>2084</v>
      </c>
      <c r="G10" s="3035"/>
      <c r="H10" s="2629"/>
      <c r="I10" s="3033"/>
      <c r="J10" s="3033"/>
      <c r="K10" s="3033"/>
      <c r="L10" s="3031"/>
      <c r="M10" s="3031"/>
      <c r="N10" s="3037"/>
      <c r="O10" s="3033"/>
      <c r="P10" s="3033"/>
      <c r="Q10" s="3033"/>
      <c r="R10" s="3033"/>
      <c r="S10" s="3036"/>
      <c r="W10" s="237"/>
      <c r="X10" s="237"/>
      <c r="Y10" s="237"/>
      <c r="Z10" s="237"/>
      <c r="AA10" s="244"/>
      <c r="AB10" s="237"/>
      <c r="AL10" s="3026"/>
    </row>
    <row r="11" spans="1:38" s="240" customFormat="1" ht="13.5" customHeight="1" thickBot="1">
      <c r="A11" s="3611" t="s">
        <v>2310</v>
      </c>
      <c r="B11" s="3612"/>
      <c r="E11" s="3226"/>
      <c r="F11" s="1360" t="s">
        <v>2108</v>
      </c>
      <c r="G11" s="2629"/>
      <c r="H11" s="2629"/>
      <c r="I11" s="3038"/>
      <c r="J11" s="3038"/>
      <c r="K11" s="3038"/>
      <c r="L11" s="3038"/>
      <c r="M11" s="3038"/>
      <c r="N11" s="3038"/>
      <c r="O11" s="3038"/>
      <c r="P11" s="3038"/>
      <c r="Q11" s="3038"/>
      <c r="R11" s="3038"/>
      <c r="S11" s="3039"/>
      <c r="W11" s="237"/>
      <c r="X11" s="237"/>
      <c r="Y11" s="237"/>
      <c r="Z11" s="237"/>
      <c r="AA11" s="244"/>
      <c r="AB11" s="237"/>
      <c r="AL11" s="3026"/>
    </row>
    <row r="12" spans="1:38" s="240" customFormat="1" ht="13.5" customHeight="1">
      <c r="A12" s="2630"/>
      <c r="B12" s="2630"/>
      <c r="E12" s="3226" t="s">
        <v>1855</v>
      </c>
      <c r="F12" s="2629" t="s">
        <v>2109</v>
      </c>
      <c r="H12" s="2629"/>
      <c r="I12" s="3038"/>
      <c r="J12" s="3038"/>
      <c r="K12" s="3038"/>
      <c r="L12" s="3038"/>
      <c r="M12" s="3038"/>
      <c r="N12" s="3038"/>
      <c r="O12" s="3038"/>
      <c r="P12" s="3038"/>
      <c r="Q12" s="3038"/>
      <c r="R12" s="3038"/>
      <c r="S12" s="3039"/>
      <c r="W12" s="237"/>
      <c r="X12" s="237"/>
      <c r="Y12" s="237"/>
      <c r="Z12" s="237"/>
      <c r="AA12" s="244"/>
      <c r="AB12" s="237"/>
      <c r="AL12" s="3026"/>
    </row>
    <row r="13" spans="1:38" s="240" customFormat="1" ht="13.5" customHeight="1">
      <c r="A13" s="172" t="s">
        <v>252</v>
      </c>
      <c r="B13" s="194"/>
      <c r="E13" s="3226" t="s">
        <v>2110</v>
      </c>
      <c r="F13" s="2629" t="s">
        <v>2112</v>
      </c>
      <c r="H13" s="2629"/>
      <c r="I13" s="3033"/>
      <c r="J13" s="3033"/>
      <c r="K13" s="3033"/>
      <c r="L13" s="3033"/>
      <c r="M13" s="3033"/>
      <c r="N13" s="3033"/>
      <c r="P13" s="3033"/>
      <c r="Q13" s="3033"/>
      <c r="R13" s="3033"/>
      <c r="S13" s="3036"/>
      <c r="W13" s="237"/>
      <c r="X13" s="237"/>
      <c r="Y13" s="237"/>
      <c r="Z13" s="237"/>
      <c r="AA13" s="244"/>
      <c r="AB13" s="237"/>
      <c r="AL13" s="3026"/>
    </row>
    <row r="14" spans="1:38" s="240" customFormat="1" ht="13.5" customHeight="1">
      <c r="A14" s="38" t="s">
        <v>12</v>
      </c>
      <c r="B14" s="3031"/>
      <c r="C14" s="3031"/>
      <c r="E14" s="3226" t="s">
        <v>2111</v>
      </c>
      <c r="F14" s="2629" t="s">
        <v>2113</v>
      </c>
      <c r="H14" s="2629"/>
      <c r="I14" s="3033"/>
      <c r="J14" s="3033"/>
      <c r="K14" s="3033"/>
      <c r="L14" s="3033"/>
      <c r="M14" s="3033"/>
      <c r="N14" s="3033"/>
      <c r="O14" s="3033"/>
      <c r="P14" s="3033"/>
      <c r="Q14" s="3033"/>
      <c r="R14" s="3033"/>
      <c r="S14" s="3036"/>
      <c r="W14" s="1393"/>
      <c r="X14" s="1393"/>
      <c r="Y14" s="1393"/>
      <c r="Z14" s="3041"/>
      <c r="AA14" s="244"/>
      <c r="AB14" s="237"/>
    </row>
    <row r="15" spans="1:38" s="240" customFormat="1" ht="13.5" customHeight="1">
      <c r="A15" s="269"/>
      <c r="B15" s="3031"/>
      <c r="C15" s="3031"/>
      <c r="E15" s="265"/>
      <c r="F15" s="3031"/>
      <c r="G15" s="3031"/>
      <c r="H15" s="2629"/>
      <c r="I15" s="3033"/>
      <c r="J15" s="3033"/>
      <c r="K15" s="3033"/>
      <c r="L15" s="3033"/>
      <c r="M15" s="3033"/>
      <c r="N15" s="3033"/>
      <c r="O15" s="3033"/>
      <c r="P15" s="3033"/>
      <c r="Q15" s="3033"/>
      <c r="R15" s="3033"/>
      <c r="S15" s="3036"/>
      <c r="U15" s="3042"/>
      <c r="W15" s="269"/>
      <c r="X15" s="1393"/>
      <c r="Y15" s="1393"/>
      <c r="Z15" s="3041"/>
      <c r="AA15" s="244"/>
      <c r="AB15" s="237"/>
    </row>
    <row r="16" spans="1:38" s="240" customFormat="1" ht="13.5" customHeight="1">
      <c r="B16" s="3031"/>
      <c r="C16" s="3031"/>
      <c r="E16" s="189" t="s">
        <v>1451</v>
      </c>
      <c r="F16" s="3031"/>
      <c r="G16" s="2629"/>
      <c r="H16" s="3031"/>
      <c r="I16" s="3033"/>
      <c r="J16" s="3033"/>
      <c r="K16" s="3033"/>
      <c r="L16" s="3033"/>
      <c r="M16" s="3033"/>
      <c r="N16" s="3033"/>
      <c r="O16" s="3033"/>
      <c r="P16" s="3033"/>
      <c r="Q16" s="3033"/>
      <c r="R16" s="3033"/>
      <c r="S16" s="3036"/>
      <c r="U16" s="3042"/>
      <c r="W16" s="237"/>
      <c r="X16" s="237"/>
      <c r="Y16" s="237"/>
      <c r="Z16" s="237"/>
      <c r="AA16" s="237"/>
      <c r="AB16" s="237"/>
    </row>
    <row r="17" spans="1:21" s="240" customFormat="1" ht="13.5" customHeight="1">
      <c r="A17" s="169" t="s">
        <v>253</v>
      </c>
      <c r="B17" s="170"/>
      <c r="C17" s="238"/>
      <c r="E17" s="2614" t="s">
        <v>2085</v>
      </c>
      <c r="F17" s="2629"/>
      <c r="G17" s="2629"/>
      <c r="H17" s="2629"/>
      <c r="I17" s="3033"/>
      <c r="J17" s="3033"/>
      <c r="K17" s="3033"/>
      <c r="L17" s="3033"/>
      <c r="M17" s="3033"/>
      <c r="N17" s="3033"/>
      <c r="O17" s="3033"/>
      <c r="P17" s="3033"/>
      <c r="Q17" s="3033"/>
      <c r="R17" s="3033"/>
      <c r="S17" s="3036"/>
      <c r="U17" s="3042"/>
    </row>
    <row r="18" spans="1:21" s="240" customFormat="1" ht="13.5" customHeight="1">
      <c r="E18" s="3216" t="s">
        <v>2086</v>
      </c>
      <c r="F18" s="2629"/>
      <c r="G18" s="2629"/>
      <c r="H18" s="3033"/>
      <c r="I18" s="3033"/>
      <c r="J18" s="3033"/>
      <c r="K18" s="3033"/>
      <c r="L18" s="3033"/>
      <c r="M18" s="3033"/>
      <c r="N18" s="3033"/>
      <c r="O18" s="3033"/>
      <c r="P18" s="3033"/>
      <c r="Q18" s="3033"/>
      <c r="R18" s="3033"/>
      <c r="S18" s="3036"/>
      <c r="U18" s="3042"/>
    </row>
    <row r="19" spans="1:21" s="240" customFormat="1" ht="13.5" customHeight="1">
      <c r="E19" s="3044"/>
      <c r="H19" s="2629"/>
      <c r="I19" s="244"/>
      <c r="J19" s="3033"/>
      <c r="K19" s="3045"/>
      <c r="L19" s="3045"/>
      <c r="M19" s="3045"/>
      <c r="N19" s="3045"/>
      <c r="O19" s="3041"/>
      <c r="P19" s="244"/>
      <c r="Q19" s="3033"/>
      <c r="R19" s="3033"/>
      <c r="S19" s="3036"/>
      <c r="U19" s="3042"/>
    </row>
    <row r="20" spans="1:21" s="240" customFormat="1" ht="13.5" customHeight="1" thickBot="1">
      <c r="E20" s="3046" t="s">
        <v>2311</v>
      </c>
      <c r="F20" s="270"/>
      <c r="G20" s="3047"/>
      <c r="H20" s="246"/>
      <c r="I20" s="292"/>
      <c r="J20" s="3048"/>
      <c r="K20" s="3049"/>
      <c r="L20" s="3049"/>
      <c r="M20" s="3049"/>
      <c r="N20" s="3049"/>
      <c r="O20" s="3050"/>
      <c r="P20" s="292"/>
      <c r="Q20" s="3048"/>
      <c r="R20" s="3048"/>
      <c r="S20" s="3051"/>
      <c r="U20" s="3042"/>
    </row>
    <row r="21" spans="1:21" ht="14.4" thickTop="1" thickBot="1"/>
    <row r="22" spans="1:21" ht="27.6" thickTop="1" thickBot="1">
      <c r="A22" s="3054" t="s">
        <v>2087</v>
      </c>
      <c r="B22" s="3054" t="s">
        <v>2098</v>
      </c>
      <c r="C22" s="3072" t="s">
        <v>1537</v>
      </c>
      <c r="D22" s="3054" t="s">
        <v>2099</v>
      </c>
      <c r="E22" s="3054" t="s">
        <v>2100</v>
      </c>
      <c r="F22" s="3072" t="s">
        <v>2114</v>
      </c>
    </row>
    <row r="23" spans="1:21" ht="13.8" thickTop="1">
      <c r="A23" s="3220" t="s">
        <v>2101</v>
      </c>
      <c r="B23" s="3223">
        <v>0.24</v>
      </c>
      <c r="C23" s="3217">
        <v>0.25</v>
      </c>
      <c r="D23" s="3228">
        <v>0.3</v>
      </c>
      <c r="E23" s="3223">
        <v>0.3</v>
      </c>
      <c r="F23" s="3217">
        <v>0.28999999999999998</v>
      </c>
    </row>
    <row r="24" spans="1:21">
      <c r="A24" s="3221" t="s">
        <v>2088</v>
      </c>
      <c r="B24" s="3224">
        <v>0.11</v>
      </c>
      <c r="C24" s="3218">
        <v>0.11</v>
      </c>
      <c r="D24" s="3229">
        <v>0.14000000000000001</v>
      </c>
      <c r="E24" s="3224">
        <v>7.0000000000000007E-2</v>
      </c>
      <c r="F24" s="3218">
        <v>0.1</v>
      </c>
    </row>
    <row r="25" spans="1:21">
      <c r="A25" s="3221" t="s">
        <v>2089</v>
      </c>
      <c r="B25" s="3224">
        <v>0.16</v>
      </c>
      <c r="C25" s="3218">
        <v>0.18</v>
      </c>
      <c r="D25" s="3229"/>
      <c r="E25" s="3224">
        <v>0.25</v>
      </c>
      <c r="F25" s="3218"/>
    </row>
    <row r="26" spans="1:21">
      <c r="A26" s="3221" t="s">
        <v>2102</v>
      </c>
      <c r="B26" s="3224">
        <v>0.04</v>
      </c>
      <c r="C26" s="3218">
        <v>0.06</v>
      </c>
      <c r="D26" s="3229">
        <v>7.0000000000000007E-2</v>
      </c>
      <c r="E26" s="3224">
        <v>7.0000000000000007E-2</v>
      </c>
      <c r="F26" s="3218">
        <v>0.04</v>
      </c>
    </row>
    <row r="27" spans="1:21">
      <c r="A27" s="3221" t="s">
        <v>2090</v>
      </c>
      <c r="B27" s="3224">
        <v>0.14000000000000001</v>
      </c>
      <c r="C27" s="3218">
        <v>0.18</v>
      </c>
      <c r="D27" s="3229">
        <v>0.22</v>
      </c>
      <c r="E27" s="3224">
        <v>0.14000000000000001</v>
      </c>
      <c r="F27" s="3218">
        <v>0.26</v>
      </c>
    </row>
    <row r="28" spans="1:21">
      <c r="A28" s="3221" t="s">
        <v>2091</v>
      </c>
      <c r="B28" s="3224">
        <v>0.12</v>
      </c>
      <c r="C28" s="3218">
        <v>0.1</v>
      </c>
      <c r="D28" s="3229">
        <v>0.12</v>
      </c>
      <c r="E28" s="3224">
        <v>7.0000000000000007E-2</v>
      </c>
      <c r="F28" s="3218">
        <v>0.13</v>
      </c>
    </row>
    <row r="29" spans="1:21">
      <c r="A29" s="3221" t="s">
        <v>2092</v>
      </c>
      <c r="B29" s="3224">
        <v>0.19</v>
      </c>
      <c r="C29" s="3218">
        <v>0.12</v>
      </c>
      <c r="D29" s="3229">
        <v>0.15</v>
      </c>
      <c r="E29" s="3224">
        <v>0.1</v>
      </c>
      <c r="F29" s="3218">
        <v>0.17</v>
      </c>
    </row>
    <row r="30" spans="1:21" ht="13.8" thickBot="1">
      <c r="A30" s="3222" t="s">
        <v>2103</v>
      </c>
      <c r="B30" s="3225"/>
      <c r="C30" s="3219">
        <v>94</v>
      </c>
      <c r="D30" s="3230">
        <v>86</v>
      </c>
      <c r="E30" s="3225">
        <v>19</v>
      </c>
      <c r="F30" s="3219">
        <v>25</v>
      </c>
    </row>
    <row r="31" spans="1:21" ht="13.8" thickTop="1">
      <c r="A31" s="3227"/>
    </row>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s>
  <pageMargins left="0.7" right="0.7" top="0.75" bottom="0.75" header="0.3" footer="0.3"/>
  <pageSetup paperSize="9" orientation="portrait" r:id="rId2"/>
  <drawing r:id="rId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tabColor rgb="FF008000"/>
  </sheetPr>
  <dimension ref="A1:AL31"/>
  <sheetViews>
    <sheetView zoomScale="85" zoomScaleNormal="85" workbookViewId="0">
      <selection activeCell="A9" sqref="A9:B9"/>
    </sheetView>
  </sheetViews>
  <sheetFormatPr defaultColWidth="9.109375" defaultRowHeight="13.2"/>
  <cols>
    <col min="1" max="1" width="45.5546875" style="3031" customWidth="1"/>
    <col min="2" max="2" width="22" style="3031" customWidth="1"/>
    <col min="3" max="3" width="16.5546875" style="3031" customWidth="1"/>
    <col min="4" max="18" width="9.109375" style="3031"/>
    <col min="19" max="19" width="19" style="3031" customWidth="1"/>
    <col min="20" max="16384" width="9.109375" style="3031"/>
  </cols>
  <sheetData>
    <row r="1" spans="1:38" s="240" customFormat="1" ht="54.9" customHeight="1">
      <c r="A1" s="3821"/>
      <c r="B1" s="3821"/>
      <c r="C1" s="3021"/>
    </row>
    <row r="2" spans="1:38" s="240" customFormat="1" ht="5.0999999999999996" customHeight="1">
      <c r="C2" s="3022"/>
    </row>
    <row r="3" spans="1:38" s="262" customFormat="1" ht="20.100000000000001" customHeight="1">
      <c r="A3" s="260" t="s">
        <v>2326</v>
      </c>
      <c r="B3" s="260"/>
      <c r="C3" s="260"/>
      <c r="D3" s="260"/>
      <c r="E3" s="260"/>
      <c r="F3" s="260"/>
      <c r="G3" s="260"/>
      <c r="H3" s="260"/>
      <c r="I3" s="260"/>
      <c r="J3" s="260"/>
      <c r="K3" s="260"/>
      <c r="L3" s="260"/>
      <c r="M3" s="260"/>
      <c r="N3" s="260"/>
      <c r="O3" s="260"/>
      <c r="P3" s="260"/>
      <c r="Q3" s="260"/>
      <c r="R3" s="260"/>
      <c r="S3" s="260"/>
      <c r="W3" s="260"/>
      <c r="X3" s="260"/>
      <c r="Y3" s="260"/>
      <c r="Z3" s="260"/>
      <c r="AA3" s="271"/>
      <c r="AB3" s="260"/>
      <c r="AL3" s="3023"/>
    </row>
    <row r="4" spans="1:38" s="262" customFormat="1" ht="20.100000000000001" customHeight="1" thickBot="1">
      <c r="A4" s="1719" t="s">
        <v>2082</v>
      </c>
      <c r="B4" s="1719"/>
      <c r="C4" s="1719"/>
      <c r="D4" s="1719"/>
      <c r="E4" s="1719"/>
      <c r="F4" s="1719"/>
      <c r="G4" s="1719"/>
      <c r="H4" s="1719"/>
      <c r="I4" s="1719"/>
      <c r="J4" s="1719"/>
      <c r="K4" s="1719"/>
      <c r="L4" s="1719"/>
      <c r="M4" s="1719"/>
      <c r="N4" s="1719"/>
      <c r="O4" s="1719"/>
      <c r="P4" s="1719"/>
      <c r="Q4" s="1719"/>
      <c r="R4" s="1719"/>
      <c r="S4" s="1719"/>
      <c r="W4" s="260"/>
      <c r="X4" s="260"/>
      <c r="Y4" s="260"/>
      <c r="Z4" s="260"/>
      <c r="AA4" s="271"/>
      <c r="AB4" s="260"/>
      <c r="AL4" s="3023"/>
    </row>
    <row r="5" spans="1:38" s="240" customFormat="1" ht="9.9" customHeight="1" thickTop="1" thickBot="1">
      <c r="B5" s="3024"/>
      <c r="C5" s="3024"/>
      <c r="D5" s="3025"/>
      <c r="E5" s="3024"/>
      <c r="F5" s="3024"/>
      <c r="G5" s="3025"/>
      <c r="H5" s="3024"/>
      <c r="I5" s="3025"/>
      <c r="J5" s="3025"/>
      <c r="K5" s="3025"/>
      <c r="L5" s="3025"/>
      <c r="M5" s="3025"/>
      <c r="N5" s="3025"/>
      <c r="O5" s="3025"/>
      <c r="P5" s="3025"/>
      <c r="Q5" s="3025"/>
      <c r="R5" s="3025"/>
      <c r="S5" s="3025"/>
      <c r="W5" s="237"/>
      <c r="X5" s="237"/>
      <c r="Y5" s="237"/>
      <c r="Z5" s="237"/>
      <c r="AA5" s="244"/>
      <c r="AB5" s="237"/>
      <c r="AL5" s="3026"/>
    </row>
    <row r="6" spans="1:38" s="240" customFormat="1" ht="13.5" customHeight="1" thickTop="1" thickBot="1">
      <c r="A6" s="169" t="s">
        <v>10</v>
      </c>
      <c r="B6" s="169"/>
      <c r="E6" s="174" t="s">
        <v>255</v>
      </c>
      <c r="F6" s="175"/>
      <c r="G6" s="175"/>
      <c r="H6" s="175"/>
      <c r="I6" s="175"/>
      <c r="J6" s="175"/>
      <c r="K6" s="175"/>
      <c r="L6" s="175"/>
      <c r="M6" s="175"/>
      <c r="N6" s="175"/>
      <c r="O6" s="175"/>
      <c r="P6" s="175"/>
      <c r="Q6" s="175"/>
      <c r="R6" s="175"/>
      <c r="S6" s="176"/>
      <c r="W6" s="237"/>
      <c r="X6" s="237"/>
      <c r="Y6" s="237"/>
      <c r="Z6" s="237"/>
      <c r="AA6" s="244"/>
      <c r="AB6" s="237"/>
      <c r="AL6" s="3026"/>
    </row>
    <row r="7" spans="1:38" s="240" customFormat="1" ht="13.5" customHeight="1" thickTop="1">
      <c r="A7" s="3644" t="str">
        <f>Audit!A12</f>
        <v>May 2019 v1.12</v>
      </c>
      <c r="B7" s="3645"/>
      <c r="E7" s="3027" t="s">
        <v>294</v>
      </c>
      <c r="F7" s="3028"/>
      <c r="G7" s="3029"/>
      <c r="H7" s="3029"/>
      <c r="I7" s="3029"/>
      <c r="J7" s="3029"/>
      <c r="K7" s="3029"/>
      <c r="L7" s="3029"/>
      <c r="M7" s="3029"/>
      <c r="N7" s="3029"/>
      <c r="O7" s="3029"/>
      <c r="P7" s="3029"/>
      <c r="Q7" s="3029"/>
      <c r="R7" s="3029"/>
      <c r="S7" s="3030"/>
      <c r="W7" s="237"/>
      <c r="X7" s="237"/>
      <c r="Y7" s="237"/>
      <c r="Z7" s="237"/>
      <c r="AA7" s="244"/>
      <c r="AB7" s="237"/>
      <c r="AL7" s="3026"/>
    </row>
    <row r="8" spans="1:38" s="240" customFormat="1" ht="13.5" customHeight="1">
      <c r="A8" s="3862">
        <f>Audit!C12</f>
        <v>43586</v>
      </c>
      <c r="B8" s="3863"/>
      <c r="E8" s="3068" t="s">
        <v>1851</v>
      </c>
      <c r="F8" s="1360" t="s">
        <v>2083</v>
      </c>
      <c r="G8" s="3032"/>
      <c r="H8" s="3031"/>
      <c r="I8" s="3033"/>
      <c r="J8" s="3031"/>
      <c r="K8" s="3034"/>
      <c r="L8" s="3035"/>
      <c r="M8" s="3031"/>
      <c r="N8" s="3031"/>
      <c r="O8" s="3012"/>
      <c r="P8" s="3033"/>
      <c r="Q8" s="3033"/>
      <c r="R8" s="3033"/>
      <c r="S8" s="3036"/>
      <c r="W8" s="237"/>
      <c r="X8" s="237"/>
      <c r="Y8" s="237"/>
      <c r="Z8" s="237"/>
      <c r="AA8" s="244"/>
      <c r="AB8" s="237"/>
      <c r="AL8" s="3026"/>
    </row>
    <row r="9" spans="1:38" s="240" customFormat="1" ht="13.5" customHeight="1" thickBot="1">
      <c r="A9" s="3642" t="s">
        <v>1149</v>
      </c>
      <c r="B9" s="3643"/>
      <c r="E9" s="265"/>
      <c r="F9" s="2629" t="s">
        <v>2096</v>
      </c>
      <c r="G9" s="3035"/>
      <c r="H9" s="2629"/>
      <c r="I9" s="3033"/>
      <c r="J9" s="3031"/>
      <c r="K9" s="2629"/>
      <c r="L9" s="3035"/>
      <c r="M9" s="3031"/>
      <c r="N9" s="3031"/>
      <c r="O9" s="3012"/>
      <c r="P9" s="3033"/>
      <c r="Q9" s="3033"/>
      <c r="R9" s="3033"/>
      <c r="S9" s="3036"/>
      <c r="W9" s="237"/>
      <c r="X9" s="237"/>
      <c r="Y9" s="237"/>
      <c r="Z9" s="237"/>
      <c r="AA9" s="244"/>
      <c r="AB9" s="237"/>
      <c r="AL9" s="3026"/>
    </row>
    <row r="10" spans="1:38" s="240" customFormat="1" ht="13.5" customHeight="1" thickBot="1">
      <c r="A10" s="3611" t="s">
        <v>1306</v>
      </c>
      <c r="B10" s="3612"/>
      <c r="E10" s="3068" t="s">
        <v>1853</v>
      </c>
      <c r="F10" s="1360" t="s">
        <v>2106</v>
      </c>
      <c r="G10" s="3035"/>
      <c r="H10" s="2629"/>
      <c r="I10" s="3033"/>
      <c r="J10" s="3033"/>
      <c r="K10" s="3033"/>
      <c r="L10" s="3031"/>
      <c r="M10" s="3031"/>
      <c r="N10" s="3037"/>
      <c r="O10" s="3033"/>
      <c r="P10" s="3033"/>
      <c r="Q10" s="3033"/>
      <c r="R10" s="3033"/>
      <c r="S10" s="3036"/>
      <c r="W10" s="237"/>
      <c r="X10" s="237"/>
      <c r="Y10" s="237"/>
      <c r="Z10" s="237"/>
      <c r="AA10" s="244"/>
      <c r="AB10" s="237"/>
      <c r="AL10" s="3026"/>
    </row>
    <row r="11" spans="1:38" s="240" customFormat="1" ht="13.5" customHeight="1" thickBot="1">
      <c r="A11" s="3611" t="s">
        <v>2310</v>
      </c>
      <c r="B11" s="3612"/>
      <c r="E11" s="3068"/>
      <c r="F11" s="1360" t="s">
        <v>2107</v>
      </c>
      <c r="G11" s="2629"/>
      <c r="H11" s="2629"/>
      <c r="I11" s="3038"/>
      <c r="J11" s="3038"/>
      <c r="K11" s="3038"/>
      <c r="L11" s="3038"/>
      <c r="M11" s="3038"/>
      <c r="N11" s="3038"/>
      <c r="O11" s="3038"/>
      <c r="P11" s="3038"/>
      <c r="Q11" s="3038"/>
      <c r="R11" s="3038"/>
      <c r="S11" s="3039"/>
      <c r="W11" s="237"/>
      <c r="X11" s="237"/>
      <c r="Y11" s="237"/>
      <c r="Z11" s="237"/>
      <c r="AA11" s="244"/>
      <c r="AB11" s="237"/>
      <c r="AL11" s="3026"/>
    </row>
    <row r="12" spans="1:38" s="240" customFormat="1" ht="13.5" customHeight="1">
      <c r="A12" s="2630"/>
      <c r="B12" s="2630"/>
      <c r="E12" s="3226" t="s">
        <v>1855</v>
      </c>
      <c r="F12" s="2629" t="s">
        <v>2109</v>
      </c>
      <c r="G12" s="2629"/>
      <c r="H12" s="2629"/>
      <c r="I12" s="3038"/>
      <c r="J12" s="3038"/>
      <c r="K12" s="3038"/>
      <c r="L12" s="3038"/>
      <c r="M12" s="3038"/>
      <c r="N12" s="3038"/>
      <c r="O12" s="3038"/>
      <c r="P12" s="3038"/>
      <c r="Q12" s="3038"/>
      <c r="R12" s="3038"/>
      <c r="S12" s="3039"/>
      <c r="W12" s="237"/>
      <c r="X12" s="237"/>
      <c r="Y12" s="237"/>
      <c r="Z12" s="237"/>
      <c r="AA12" s="244"/>
      <c r="AB12" s="237"/>
      <c r="AL12" s="3026"/>
    </row>
    <row r="13" spans="1:38" s="240" customFormat="1" ht="13.5" customHeight="1">
      <c r="A13" s="172" t="s">
        <v>252</v>
      </c>
      <c r="B13" s="194"/>
      <c r="E13" s="3068" t="s">
        <v>2110</v>
      </c>
      <c r="F13" s="2629" t="s">
        <v>2113</v>
      </c>
      <c r="G13" s="2629"/>
      <c r="H13" s="2629"/>
      <c r="I13" s="3033"/>
      <c r="J13" s="3033"/>
      <c r="K13" s="3033"/>
      <c r="L13" s="3033"/>
      <c r="M13" s="3033"/>
      <c r="N13" s="3033"/>
      <c r="P13" s="3033"/>
      <c r="Q13" s="3033"/>
      <c r="R13" s="3033"/>
      <c r="S13" s="3036"/>
      <c r="W13" s="237"/>
      <c r="X13" s="237"/>
      <c r="Y13" s="237"/>
      <c r="Z13" s="237"/>
      <c r="AA13" s="244"/>
      <c r="AB13" s="237"/>
      <c r="AL13" s="3026"/>
    </row>
    <row r="14" spans="1:38" s="240" customFormat="1" ht="13.5" customHeight="1">
      <c r="A14" s="38" t="s">
        <v>12</v>
      </c>
      <c r="B14" s="3031"/>
      <c r="C14" s="3031"/>
      <c r="E14" s="3068"/>
      <c r="F14" s="2629"/>
      <c r="G14" s="2629"/>
      <c r="H14" s="2629"/>
      <c r="I14" s="3033"/>
      <c r="J14" s="3033"/>
      <c r="K14" s="3033"/>
      <c r="L14" s="3033"/>
      <c r="M14" s="3033"/>
      <c r="N14" s="3033"/>
      <c r="O14" s="3033"/>
      <c r="P14" s="3033"/>
      <c r="Q14" s="3033"/>
      <c r="R14" s="3033"/>
      <c r="S14" s="3036"/>
      <c r="W14" s="1393"/>
      <c r="X14" s="1393"/>
      <c r="Y14" s="1393"/>
      <c r="Z14" s="3041"/>
      <c r="AA14" s="244"/>
      <c r="AB14" s="237"/>
    </row>
    <row r="15" spans="1:38" s="240" customFormat="1" ht="13.5" customHeight="1">
      <c r="A15" s="269"/>
      <c r="B15" s="3031"/>
      <c r="C15" s="3031"/>
      <c r="E15" s="189" t="s">
        <v>1451</v>
      </c>
      <c r="F15" s="3031"/>
      <c r="G15" s="3031"/>
      <c r="H15" s="2629"/>
      <c r="I15" s="3033"/>
      <c r="J15" s="3033"/>
      <c r="K15" s="3033"/>
      <c r="L15" s="3033"/>
      <c r="M15" s="3033"/>
      <c r="N15" s="3033"/>
      <c r="O15" s="3033"/>
      <c r="P15" s="3033"/>
      <c r="Q15" s="3033"/>
      <c r="R15" s="3033"/>
      <c r="S15" s="3036"/>
      <c r="U15" s="3042"/>
      <c r="W15" s="269"/>
      <c r="X15" s="1393"/>
      <c r="Y15" s="1393"/>
      <c r="Z15" s="3041"/>
      <c r="AA15" s="244"/>
      <c r="AB15" s="237"/>
    </row>
    <row r="16" spans="1:38" s="240" customFormat="1" ht="13.5" customHeight="1">
      <c r="B16" s="3031"/>
      <c r="C16" s="3031"/>
      <c r="E16" s="2614" t="s">
        <v>2085</v>
      </c>
      <c r="F16" s="2629"/>
      <c r="G16" s="2629"/>
      <c r="H16" s="3031"/>
      <c r="I16" s="3033"/>
      <c r="J16" s="3033"/>
      <c r="K16" s="3033"/>
      <c r="L16" s="3033"/>
      <c r="M16" s="3033"/>
      <c r="N16" s="3033"/>
      <c r="O16" s="3033"/>
      <c r="P16" s="3033"/>
      <c r="Q16" s="3033"/>
      <c r="R16" s="3033"/>
      <c r="S16" s="3036"/>
      <c r="U16" s="3042"/>
      <c r="W16" s="237"/>
      <c r="X16" s="237"/>
      <c r="Y16" s="237"/>
      <c r="Z16" s="237"/>
      <c r="AA16" s="237"/>
      <c r="AB16" s="237"/>
    </row>
    <row r="17" spans="1:21" s="240" customFormat="1" ht="13.5" customHeight="1">
      <c r="A17" s="169" t="s">
        <v>253</v>
      </c>
      <c r="B17" s="170"/>
      <c r="C17" s="238"/>
      <c r="E17" s="3216" t="s">
        <v>2086</v>
      </c>
      <c r="F17" s="236"/>
      <c r="G17" s="2629"/>
      <c r="H17" s="2629"/>
      <c r="I17" s="3033"/>
      <c r="J17" s="3033"/>
      <c r="K17" s="3033"/>
      <c r="L17" s="3033"/>
      <c r="M17" s="3033"/>
      <c r="N17" s="3033"/>
      <c r="O17" s="3033"/>
      <c r="P17" s="3033"/>
      <c r="Q17" s="3033"/>
      <c r="R17" s="3033"/>
      <c r="S17" s="3036"/>
      <c r="U17" s="3042"/>
    </row>
    <row r="18" spans="1:21" s="240" customFormat="1" ht="13.5" customHeight="1">
      <c r="E18" s="2614"/>
      <c r="F18" s="2629"/>
      <c r="G18" s="3043"/>
      <c r="H18" s="3033"/>
      <c r="I18" s="3033"/>
      <c r="J18" s="3033"/>
      <c r="K18" s="3033"/>
      <c r="L18" s="3033"/>
      <c r="M18" s="3033"/>
      <c r="N18" s="3033"/>
      <c r="O18" s="3033"/>
      <c r="P18" s="3033"/>
      <c r="Q18" s="3033"/>
      <c r="R18" s="3033"/>
      <c r="S18" s="3036"/>
      <c r="U18" s="3042"/>
    </row>
    <row r="19" spans="1:21" s="240" customFormat="1" ht="13.5" customHeight="1">
      <c r="E19" s="3044"/>
      <c r="H19" s="2629"/>
      <c r="I19" s="244"/>
      <c r="J19" s="3033"/>
      <c r="K19" s="3045"/>
      <c r="L19" s="3045"/>
      <c r="M19" s="3045"/>
      <c r="N19" s="3045"/>
      <c r="O19" s="3041"/>
      <c r="P19" s="244"/>
      <c r="Q19" s="3033"/>
      <c r="R19" s="3033"/>
      <c r="S19" s="3036"/>
      <c r="U19" s="3042"/>
    </row>
    <row r="20" spans="1:21" s="240" customFormat="1" ht="13.5" customHeight="1" thickBot="1">
      <c r="E20" s="3046" t="s">
        <v>2311</v>
      </c>
      <c r="F20" s="270"/>
      <c r="G20" s="3047"/>
      <c r="H20" s="246"/>
      <c r="I20" s="292"/>
      <c r="J20" s="3048"/>
      <c r="K20" s="3049"/>
      <c r="L20" s="3049"/>
      <c r="M20" s="3049"/>
      <c r="N20" s="3049"/>
      <c r="O20" s="3050"/>
      <c r="P20" s="292"/>
      <c r="Q20" s="3048"/>
      <c r="R20" s="3048"/>
      <c r="S20" s="3051"/>
      <c r="U20" s="3042"/>
    </row>
    <row r="21" spans="1:21" ht="14.4" thickTop="1" thickBot="1"/>
    <row r="22" spans="1:21" ht="39" customHeight="1" thickTop="1" thickBot="1">
      <c r="A22" s="3054" t="s">
        <v>2087</v>
      </c>
      <c r="B22" s="3054" t="s">
        <v>1537</v>
      </c>
      <c r="C22" s="3072" t="s">
        <v>2093</v>
      </c>
    </row>
    <row r="23" spans="1:21" ht="13.8" thickTop="1">
      <c r="A23" s="3220" t="s">
        <v>46</v>
      </c>
      <c r="B23" s="3223">
        <v>0.19</v>
      </c>
      <c r="C23" s="3217">
        <v>0.25</v>
      </c>
    </row>
    <row r="24" spans="1:21">
      <c r="A24" s="3221" t="s">
        <v>1439</v>
      </c>
      <c r="B24" s="3224">
        <v>0.11</v>
      </c>
      <c r="C24" s="3218">
        <v>0.15</v>
      </c>
    </row>
    <row r="25" spans="1:21">
      <c r="A25" s="3221" t="s">
        <v>584</v>
      </c>
      <c r="B25" s="3224">
        <v>0.14000000000000001</v>
      </c>
      <c r="C25" s="3218">
        <v>0.18</v>
      </c>
    </row>
    <row r="26" spans="1:21">
      <c r="A26" s="3221" t="s">
        <v>1446</v>
      </c>
      <c r="B26" s="3224">
        <v>0.12</v>
      </c>
      <c r="C26" s="3218">
        <v>0.16</v>
      </c>
    </row>
    <row r="27" spans="1:21">
      <c r="A27" s="3221" t="s">
        <v>2094</v>
      </c>
      <c r="B27" s="3224">
        <v>0.2</v>
      </c>
      <c r="C27" s="3218">
        <v>0.26</v>
      </c>
    </row>
    <row r="28" spans="1:21">
      <c r="A28" s="3221" t="s">
        <v>794</v>
      </c>
      <c r="B28" s="3224">
        <v>0.08</v>
      </c>
      <c r="C28" s="3218"/>
    </row>
    <row r="29" spans="1:21">
      <c r="A29" s="3221" t="s">
        <v>2095</v>
      </c>
      <c r="B29" s="3224">
        <v>0.17</v>
      </c>
      <c r="C29" s="3218"/>
    </row>
    <row r="30" spans="1:21" ht="13.8" thickBot="1">
      <c r="A30" s="3222" t="s">
        <v>2104</v>
      </c>
      <c r="B30" s="3225">
        <v>33</v>
      </c>
      <c r="C30" s="3219"/>
    </row>
    <row r="31" spans="1:21" ht="13.8" thickTop="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s>
  <pageMargins left="0.7" right="0.7" top="0.75" bottom="0.75" header="0.3" footer="0.3"/>
  <pageSetup paperSize="9" orientation="portrait" r:id="rId2"/>
  <drawing r:id="rId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tabColor rgb="FFFF0000"/>
  </sheetPr>
  <dimension ref="A1:AL45"/>
  <sheetViews>
    <sheetView zoomScale="85" zoomScaleNormal="85" workbookViewId="0">
      <selection activeCell="E23" sqref="E23:F23"/>
    </sheetView>
  </sheetViews>
  <sheetFormatPr defaultColWidth="9.109375" defaultRowHeight="13.2"/>
  <cols>
    <col min="1" max="1" width="45.5546875" style="3031" customWidth="1"/>
    <col min="2" max="2" width="22" style="3031" customWidth="1"/>
    <col min="3" max="3" width="16.5546875" style="3031" customWidth="1"/>
    <col min="4" max="18" width="9.109375" style="3031"/>
    <col min="19" max="19" width="13.44140625" style="3031" customWidth="1"/>
    <col min="20" max="16384" width="9.109375" style="3031"/>
  </cols>
  <sheetData>
    <row r="1" spans="1:38" s="240" customFormat="1" ht="54.9" customHeight="1">
      <c r="A1" s="3821"/>
      <c r="B1" s="3821"/>
      <c r="C1" s="3021"/>
    </row>
    <row r="2" spans="1:38" s="240" customFormat="1" ht="5.0999999999999996" customHeight="1">
      <c r="C2" s="3022"/>
    </row>
    <row r="3" spans="1:38" s="262" customFormat="1" ht="20.100000000000001" customHeight="1">
      <c r="A3" s="260" t="s">
        <v>2324</v>
      </c>
      <c r="B3" s="260"/>
      <c r="C3" s="260"/>
      <c r="D3" s="260"/>
      <c r="E3" s="260"/>
      <c r="F3" s="260"/>
      <c r="G3" s="260"/>
      <c r="H3" s="260"/>
      <c r="I3" s="260"/>
      <c r="J3" s="260"/>
      <c r="K3" s="260"/>
      <c r="L3" s="260"/>
      <c r="M3" s="260"/>
      <c r="N3" s="260"/>
      <c r="O3" s="260"/>
      <c r="P3" s="260"/>
      <c r="Q3" s="260"/>
      <c r="R3" s="260"/>
      <c r="S3" s="260"/>
      <c r="W3" s="260"/>
      <c r="X3" s="260"/>
      <c r="Y3" s="260"/>
      <c r="Z3" s="260"/>
      <c r="AA3" s="271"/>
      <c r="AB3" s="260"/>
      <c r="AL3" s="3023"/>
    </row>
    <row r="4" spans="1:38" s="262" customFormat="1" ht="20.100000000000001" customHeight="1" thickBot="1">
      <c r="A4" s="1719" t="s">
        <v>1879</v>
      </c>
      <c r="B4" s="1719"/>
      <c r="C4" s="1719"/>
      <c r="D4" s="1719"/>
      <c r="E4" s="1719"/>
      <c r="F4" s="1719"/>
      <c r="G4" s="1719"/>
      <c r="H4" s="1719"/>
      <c r="I4" s="1719"/>
      <c r="J4" s="1719"/>
      <c r="K4" s="1719"/>
      <c r="L4" s="1719"/>
      <c r="M4" s="1719"/>
      <c r="N4" s="1719"/>
      <c r="O4" s="1719"/>
      <c r="P4" s="1719"/>
      <c r="Q4" s="1719"/>
      <c r="R4" s="1719"/>
      <c r="S4" s="1719"/>
      <c r="W4" s="260"/>
      <c r="X4" s="260"/>
      <c r="Y4" s="260"/>
      <c r="Z4" s="260"/>
      <c r="AA4" s="271"/>
      <c r="AB4" s="260"/>
      <c r="AL4" s="3023"/>
    </row>
    <row r="5" spans="1:38" s="240" customFormat="1" ht="9.9" customHeight="1" thickTop="1" thickBot="1">
      <c r="B5" s="3024"/>
      <c r="C5" s="3024"/>
      <c r="D5" s="3025"/>
      <c r="E5" s="3024"/>
      <c r="F5" s="3024"/>
      <c r="G5" s="3025"/>
      <c r="H5" s="3024"/>
      <c r="I5" s="3025"/>
      <c r="J5" s="3025"/>
      <c r="K5" s="3025"/>
      <c r="L5" s="3025"/>
      <c r="M5" s="3025"/>
      <c r="N5" s="3025"/>
      <c r="O5" s="3025"/>
      <c r="P5" s="3025"/>
      <c r="Q5" s="3025"/>
      <c r="R5" s="3025"/>
      <c r="S5" s="3025"/>
      <c r="W5" s="237"/>
      <c r="X5" s="237"/>
      <c r="Y5" s="237"/>
      <c r="Z5" s="237"/>
      <c r="AA5" s="244"/>
      <c r="AB5" s="237"/>
      <c r="AL5" s="3026"/>
    </row>
    <row r="6" spans="1:38" s="240" customFormat="1" ht="13.5" customHeight="1" thickTop="1" thickBot="1">
      <c r="A6" s="169" t="s">
        <v>10</v>
      </c>
      <c r="B6" s="169"/>
      <c r="E6" s="174" t="s">
        <v>255</v>
      </c>
      <c r="F6" s="175"/>
      <c r="G6" s="175"/>
      <c r="H6" s="175"/>
      <c r="I6" s="175"/>
      <c r="J6" s="175"/>
      <c r="K6" s="175"/>
      <c r="L6" s="175"/>
      <c r="M6" s="175"/>
      <c r="N6" s="175"/>
      <c r="O6" s="175"/>
      <c r="P6" s="175"/>
      <c r="Q6" s="175"/>
      <c r="R6" s="175"/>
      <c r="S6" s="176"/>
      <c r="W6" s="237"/>
      <c r="X6" s="237"/>
      <c r="Y6" s="237"/>
      <c r="Z6" s="237"/>
      <c r="AA6" s="244"/>
      <c r="AB6" s="237"/>
      <c r="AL6" s="3026"/>
    </row>
    <row r="7" spans="1:38" s="240" customFormat="1" ht="13.5" customHeight="1" thickTop="1">
      <c r="A7" s="3644" t="str">
        <f>Audit!A12</f>
        <v>May 2019 v1.12</v>
      </c>
      <c r="B7" s="3645"/>
      <c r="E7" s="3027" t="s">
        <v>294</v>
      </c>
      <c r="F7" s="3028"/>
      <c r="G7" s="3029"/>
      <c r="H7" s="3029"/>
      <c r="I7" s="3029"/>
      <c r="J7" s="3029"/>
      <c r="K7" s="3029"/>
      <c r="L7" s="3029"/>
      <c r="M7" s="3029"/>
      <c r="N7" s="3029"/>
      <c r="O7" s="3029"/>
      <c r="P7" s="3029"/>
      <c r="Q7" s="3029"/>
      <c r="R7" s="3029"/>
      <c r="S7" s="3030"/>
      <c r="W7" s="237"/>
      <c r="X7" s="237"/>
      <c r="Y7" s="237"/>
      <c r="Z7" s="237"/>
      <c r="AA7" s="244"/>
      <c r="AB7" s="237"/>
      <c r="AL7" s="3026"/>
    </row>
    <row r="8" spans="1:38" s="240" customFormat="1" ht="13.5" customHeight="1">
      <c r="A8" s="3646">
        <f>Audit!C12</f>
        <v>43586</v>
      </c>
      <c r="B8" s="3645"/>
      <c r="E8" s="3068" t="s">
        <v>1851</v>
      </c>
      <c r="F8" s="1360" t="s">
        <v>1881</v>
      </c>
      <c r="G8" s="3032"/>
      <c r="H8" s="3031"/>
      <c r="I8" s="3033"/>
      <c r="J8" s="3031"/>
      <c r="K8" s="3034"/>
      <c r="L8" s="3035"/>
      <c r="M8" s="3031"/>
      <c r="N8" s="3031"/>
      <c r="O8" s="3012"/>
      <c r="P8" s="3033"/>
      <c r="Q8" s="3033"/>
      <c r="R8" s="3033"/>
      <c r="S8" s="3036"/>
      <c r="W8" s="237"/>
      <c r="X8" s="237"/>
      <c r="Y8" s="237"/>
      <c r="Z8" s="237"/>
      <c r="AA8" s="244"/>
      <c r="AB8" s="237"/>
      <c r="AL8" s="3026"/>
    </row>
    <row r="9" spans="1:38" s="240" customFormat="1" ht="13.5" customHeight="1" thickBot="1">
      <c r="A9" s="3642" t="s">
        <v>1149</v>
      </c>
      <c r="B9" s="3643"/>
      <c r="E9" s="265"/>
      <c r="F9" s="2629" t="s">
        <v>1882</v>
      </c>
      <c r="G9" s="3035"/>
      <c r="H9" s="2629"/>
      <c r="I9" s="3033"/>
      <c r="J9" s="3031"/>
      <c r="K9" s="2629"/>
      <c r="L9" s="3035"/>
      <c r="M9" s="3031"/>
      <c r="N9" s="3031"/>
      <c r="O9" s="3012"/>
      <c r="P9" s="3033"/>
      <c r="Q9" s="3033"/>
      <c r="R9" s="3033"/>
      <c r="S9" s="3036"/>
      <c r="W9" s="237"/>
      <c r="X9" s="237"/>
      <c r="Y9" s="237"/>
      <c r="Z9" s="237"/>
      <c r="AA9" s="244"/>
      <c r="AB9" s="237"/>
      <c r="AL9" s="3026"/>
    </row>
    <row r="10" spans="1:38" s="240" customFormat="1" ht="13.5" customHeight="1" thickBot="1">
      <c r="A10" s="3611" t="s">
        <v>1306</v>
      </c>
      <c r="B10" s="3612"/>
      <c r="E10" s="3068" t="s">
        <v>1853</v>
      </c>
      <c r="F10" s="1360" t="s">
        <v>1893</v>
      </c>
      <c r="G10" s="3035"/>
      <c r="H10" s="2629"/>
      <c r="I10" s="3033"/>
      <c r="J10" s="3033"/>
      <c r="K10" s="3033"/>
      <c r="L10" s="3031"/>
      <c r="M10" s="3031"/>
      <c r="N10" s="3037"/>
      <c r="O10" s="3033"/>
      <c r="P10" s="3033"/>
      <c r="Q10" s="3033"/>
      <c r="R10" s="3033"/>
      <c r="S10" s="3036"/>
      <c r="W10" s="237"/>
      <c r="X10" s="237"/>
      <c r="Y10" s="237"/>
      <c r="Z10" s="237"/>
      <c r="AA10" s="244"/>
      <c r="AB10" s="237"/>
      <c r="AL10" s="3026"/>
    </row>
    <row r="11" spans="1:38" s="240" customFormat="1" ht="13.5" customHeight="1" thickBot="1">
      <c r="A11" s="3611" t="s">
        <v>2310</v>
      </c>
      <c r="B11" s="3612"/>
      <c r="E11" s="3068"/>
      <c r="F11" s="1360" t="s">
        <v>1894</v>
      </c>
      <c r="G11" s="2629"/>
      <c r="H11" s="2629"/>
      <c r="I11" s="3038"/>
      <c r="J11" s="3038"/>
      <c r="K11" s="3038"/>
      <c r="L11" s="3038"/>
      <c r="M11" s="3038"/>
      <c r="N11" s="3038"/>
      <c r="O11" s="3038"/>
      <c r="P11" s="3038"/>
      <c r="Q11" s="3038"/>
      <c r="R11" s="3038"/>
      <c r="S11" s="3039"/>
      <c r="W11" s="237"/>
      <c r="X11" s="237"/>
      <c r="Y11" s="237"/>
      <c r="Z11" s="237"/>
      <c r="AA11" s="244"/>
      <c r="AB11" s="237"/>
      <c r="AL11" s="3026"/>
    </row>
    <row r="12" spans="1:38" s="240" customFormat="1" ht="13.5" customHeight="1">
      <c r="A12" s="2630"/>
      <c r="B12" s="2630"/>
      <c r="E12" s="189" t="s">
        <v>1451</v>
      </c>
      <c r="F12" s="3031"/>
      <c r="G12" s="2629"/>
      <c r="H12" s="2629"/>
      <c r="I12" s="3038"/>
      <c r="J12" s="3038"/>
      <c r="K12" s="3038"/>
      <c r="L12" s="3038"/>
      <c r="M12" s="3038"/>
      <c r="N12" s="3038"/>
      <c r="O12" s="3038"/>
      <c r="P12" s="3038"/>
      <c r="Q12" s="3038"/>
      <c r="R12" s="3038"/>
      <c r="S12" s="3039"/>
      <c r="W12" s="237"/>
      <c r="X12" s="237"/>
      <c r="Y12" s="237"/>
      <c r="Z12" s="237"/>
      <c r="AA12" s="244"/>
      <c r="AB12" s="237"/>
      <c r="AL12" s="3026"/>
    </row>
    <row r="13" spans="1:38" s="240" customFormat="1" ht="13.5" customHeight="1">
      <c r="A13" s="172" t="s">
        <v>252</v>
      </c>
      <c r="B13" s="194"/>
      <c r="E13" s="2614" t="s">
        <v>1880</v>
      </c>
      <c r="F13" s="2629"/>
      <c r="G13" s="2629"/>
      <c r="H13" s="2629"/>
      <c r="I13" s="3033"/>
      <c r="J13" s="3033"/>
      <c r="K13" s="3033"/>
      <c r="L13" s="3033"/>
      <c r="M13" s="3033"/>
      <c r="N13" s="3033"/>
      <c r="O13" s="3033"/>
      <c r="P13" s="3033"/>
      <c r="Q13" s="3033"/>
      <c r="R13" s="3033"/>
      <c r="S13" s="3036"/>
      <c r="W13" s="237"/>
      <c r="X13" s="237"/>
      <c r="Y13" s="237"/>
      <c r="Z13" s="237"/>
      <c r="AA13" s="244"/>
      <c r="AB13" s="237"/>
      <c r="AL13" s="3026"/>
    </row>
    <row r="14" spans="1:38" s="240" customFormat="1" ht="13.5" customHeight="1">
      <c r="A14" s="38" t="s">
        <v>12</v>
      </c>
      <c r="B14" s="3031"/>
      <c r="C14" s="3031"/>
      <c r="E14" s="3040"/>
      <c r="F14" s="2629"/>
      <c r="G14" s="2629"/>
      <c r="H14" s="2629"/>
      <c r="I14" s="3033"/>
      <c r="J14" s="3033"/>
      <c r="K14" s="3033"/>
      <c r="L14" s="3033"/>
      <c r="M14" s="3033"/>
      <c r="N14" s="3033"/>
      <c r="O14" s="3033"/>
      <c r="P14" s="3033"/>
      <c r="Q14" s="3033"/>
      <c r="R14" s="3033"/>
      <c r="S14" s="3036"/>
      <c r="W14" s="1393"/>
      <c r="X14" s="1393"/>
      <c r="Y14" s="1393"/>
      <c r="Z14" s="3041"/>
      <c r="AA14" s="244"/>
      <c r="AB14" s="237"/>
    </row>
    <row r="15" spans="1:38" s="240" customFormat="1" ht="13.5" customHeight="1">
      <c r="A15" s="269"/>
      <c r="B15" s="3031"/>
      <c r="C15" s="3031"/>
      <c r="E15" s="265"/>
      <c r="F15" s="3031"/>
      <c r="G15" s="3031"/>
      <c r="H15" s="2629"/>
      <c r="I15" s="3033"/>
      <c r="J15" s="3033"/>
      <c r="K15" s="3033"/>
      <c r="L15" s="3033"/>
      <c r="M15" s="3033"/>
      <c r="N15" s="3033"/>
      <c r="O15" s="3033"/>
      <c r="P15" s="3033"/>
      <c r="Q15" s="3033"/>
      <c r="R15" s="3033"/>
      <c r="S15" s="3036"/>
      <c r="U15" s="3042"/>
      <c r="W15" s="269"/>
      <c r="X15" s="1393"/>
      <c r="Y15" s="1393"/>
      <c r="Z15" s="3041"/>
      <c r="AA15" s="244"/>
      <c r="AB15" s="237"/>
    </row>
    <row r="16" spans="1:38" s="240" customFormat="1" ht="13.5" customHeight="1">
      <c r="B16" s="3031"/>
      <c r="C16" s="3031"/>
      <c r="E16" s="2614"/>
      <c r="F16" s="2629"/>
      <c r="G16" s="2629"/>
      <c r="H16" s="3031"/>
      <c r="I16" s="3033"/>
      <c r="J16" s="3033"/>
      <c r="K16" s="3033"/>
      <c r="L16" s="3033"/>
      <c r="M16" s="3033"/>
      <c r="N16" s="3033"/>
      <c r="O16" s="3033"/>
      <c r="P16" s="3033"/>
      <c r="Q16" s="3033"/>
      <c r="R16" s="3033"/>
      <c r="S16" s="3036"/>
      <c r="U16" s="3042"/>
      <c r="W16" s="237"/>
      <c r="X16" s="237"/>
      <c r="Y16" s="237"/>
      <c r="Z16" s="237"/>
      <c r="AA16" s="237"/>
      <c r="AB16" s="237"/>
    </row>
    <row r="17" spans="1:21" s="240" customFormat="1" ht="13.5" customHeight="1">
      <c r="A17" s="169" t="s">
        <v>253</v>
      </c>
      <c r="B17" s="170"/>
      <c r="C17" s="238"/>
      <c r="E17" s="2614"/>
      <c r="F17" s="236"/>
      <c r="G17" s="2629"/>
      <c r="H17" s="2629"/>
      <c r="I17" s="3033"/>
      <c r="J17" s="3033"/>
      <c r="K17" s="3033"/>
      <c r="L17" s="3033"/>
      <c r="M17" s="3033"/>
      <c r="N17" s="3033"/>
      <c r="O17" s="3033"/>
      <c r="P17" s="3033"/>
      <c r="Q17" s="3033"/>
      <c r="R17" s="3033"/>
      <c r="S17" s="3036"/>
      <c r="U17" s="3042"/>
    </row>
    <row r="18" spans="1:21" s="240" customFormat="1" ht="13.5" customHeight="1">
      <c r="E18" s="2614"/>
      <c r="F18" s="2629"/>
      <c r="G18" s="3043"/>
      <c r="H18" s="3033"/>
      <c r="I18" s="3033"/>
      <c r="J18" s="3033"/>
      <c r="K18" s="3033"/>
      <c r="L18" s="3033"/>
      <c r="M18" s="3033"/>
      <c r="N18" s="3033"/>
      <c r="O18" s="3033"/>
      <c r="P18" s="3033"/>
      <c r="Q18" s="3033"/>
      <c r="R18" s="3033"/>
      <c r="S18" s="3036"/>
      <c r="U18" s="3042"/>
    </row>
    <row r="19" spans="1:21" s="240" customFormat="1" ht="13.5" customHeight="1">
      <c r="E19" s="3044"/>
      <c r="H19" s="2629"/>
      <c r="I19" s="244"/>
      <c r="J19" s="3033"/>
      <c r="K19" s="3045"/>
      <c r="L19" s="3045"/>
      <c r="M19" s="3045"/>
      <c r="N19" s="3045"/>
      <c r="O19" s="3041"/>
      <c r="P19" s="244"/>
      <c r="Q19" s="3033"/>
      <c r="R19" s="3033"/>
      <c r="S19" s="3036"/>
      <c r="U19" s="3042"/>
    </row>
    <row r="20" spans="1:21" s="240" customFormat="1" ht="13.5" customHeight="1" thickBot="1">
      <c r="E20" s="3046" t="s">
        <v>2311</v>
      </c>
      <c r="F20" s="270"/>
      <c r="G20" s="3047"/>
      <c r="H20" s="246"/>
      <c r="I20" s="292"/>
      <c r="J20" s="3048"/>
      <c r="K20" s="3049"/>
      <c r="L20" s="3049"/>
      <c r="M20" s="3049"/>
      <c r="N20" s="3049"/>
      <c r="O20" s="3050"/>
      <c r="P20" s="292"/>
      <c r="Q20" s="3048"/>
      <c r="R20" s="3048"/>
      <c r="S20" s="3051"/>
      <c r="U20" s="3042"/>
    </row>
    <row r="21" spans="1:21" ht="14.4" thickTop="1" thickBot="1"/>
    <row r="22" spans="1:21" ht="27.6" thickTop="1" thickBot="1">
      <c r="A22" s="3054" t="s">
        <v>1858</v>
      </c>
      <c r="B22" s="3072" t="s">
        <v>1878</v>
      </c>
    </row>
    <row r="23" spans="1:21" ht="14.4" thickTop="1" thickBot="1">
      <c r="A23" s="3069" t="s">
        <v>1859</v>
      </c>
      <c r="B23" s="3099">
        <v>0.22</v>
      </c>
    </row>
    <row r="24" spans="1:21">
      <c r="A24" s="3071" t="s">
        <v>1860</v>
      </c>
      <c r="B24" s="3100">
        <v>0.21</v>
      </c>
    </row>
    <row r="25" spans="1:21">
      <c r="A25" s="3070" t="s">
        <v>1861</v>
      </c>
      <c r="B25" s="3101">
        <v>0.24</v>
      </c>
    </row>
    <row r="26" spans="1:21" ht="13.8" thickBot="1">
      <c r="A26" s="3079" t="s">
        <v>1862</v>
      </c>
      <c r="B26" s="3102">
        <v>0.35</v>
      </c>
    </row>
    <row r="27" spans="1:21">
      <c r="A27" s="3081" t="s">
        <v>1864</v>
      </c>
      <c r="B27" s="3101">
        <v>0.24</v>
      </c>
      <c r="C27" s="3052"/>
    </row>
    <row r="28" spans="1:21">
      <c r="A28" s="3082" t="s">
        <v>1865</v>
      </c>
      <c r="B28" s="3101">
        <v>0.26</v>
      </c>
      <c r="C28" s="3052"/>
    </row>
    <row r="29" spans="1:21" ht="11.25" customHeight="1">
      <c r="A29" s="3082" t="s">
        <v>1866</v>
      </c>
      <c r="B29" s="3101">
        <v>0.26</v>
      </c>
      <c r="C29" s="3052"/>
    </row>
    <row r="30" spans="1:21">
      <c r="A30" s="3082" t="s">
        <v>1867</v>
      </c>
      <c r="B30" s="3101">
        <v>0.26</v>
      </c>
      <c r="C30" s="3052"/>
    </row>
    <row r="31" spans="1:21">
      <c r="A31" s="3082" t="s">
        <v>1868</v>
      </c>
      <c r="B31" s="3101">
        <v>0.25</v>
      </c>
      <c r="C31" s="3052"/>
    </row>
    <row r="32" spans="1:21" ht="13.8" thickBot="1">
      <c r="A32" s="3083" t="s">
        <v>1869</v>
      </c>
      <c r="B32" s="3101">
        <v>0.26</v>
      </c>
      <c r="C32" s="3052"/>
    </row>
    <row r="33" spans="1:3">
      <c r="A33" s="3081" t="s">
        <v>1870</v>
      </c>
      <c r="B33" s="3100">
        <v>0.28999999999999998</v>
      </c>
      <c r="C33" s="3052"/>
    </row>
    <row r="34" spans="1:3">
      <c r="A34" s="3082" t="s">
        <v>1871</v>
      </c>
      <c r="B34" s="3101">
        <v>0.28999999999999998</v>
      </c>
      <c r="C34" s="3052"/>
    </row>
    <row r="35" spans="1:3">
      <c r="A35" s="3082" t="s">
        <v>1872</v>
      </c>
      <c r="B35" s="3101">
        <v>0.28000000000000003</v>
      </c>
      <c r="C35" s="3052"/>
    </row>
    <row r="36" spans="1:3">
      <c r="A36" s="3082" t="s">
        <v>1873</v>
      </c>
      <c r="B36" s="3101">
        <v>0.28000000000000003</v>
      </c>
      <c r="C36" s="3052"/>
    </row>
    <row r="37" spans="1:3">
      <c r="A37" s="3082" t="s">
        <v>1874</v>
      </c>
      <c r="B37" s="3101">
        <v>0.28000000000000003</v>
      </c>
      <c r="C37" s="3052"/>
    </row>
    <row r="38" spans="1:3" ht="13.8" thickBot="1">
      <c r="A38" s="3083" t="s">
        <v>1875</v>
      </c>
      <c r="B38" s="3102">
        <v>0.28000000000000003</v>
      </c>
      <c r="C38" s="3052"/>
    </row>
    <row r="39" spans="1:3">
      <c r="A39" s="3076" t="s">
        <v>1863</v>
      </c>
      <c r="B39" s="3101">
        <v>0.3</v>
      </c>
      <c r="C39" s="3052"/>
    </row>
    <row r="40" spans="1:3">
      <c r="A40" s="3076" t="s">
        <v>1876</v>
      </c>
      <c r="B40" s="3101">
        <v>0.27</v>
      </c>
      <c r="C40" s="3052"/>
    </row>
    <row r="41" spans="1:3" ht="13.8" thickBot="1">
      <c r="A41" s="3077" t="s">
        <v>1877</v>
      </c>
      <c r="B41" s="3103">
        <v>0.31</v>
      </c>
      <c r="C41" s="3052"/>
    </row>
    <row r="42" spans="1:3" ht="13.8" thickTop="1">
      <c r="A42" s="3052"/>
      <c r="B42" s="3052"/>
      <c r="C42" s="3052"/>
    </row>
    <row r="43" spans="1:3">
      <c r="A43" s="3052"/>
      <c r="B43" s="3052"/>
      <c r="C43" s="3052"/>
    </row>
    <row r="44" spans="1:3">
      <c r="A44" s="3052"/>
      <c r="B44" s="3052"/>
      <c r="C44" s="3052"/>
    </row>
    <row r="45" spans="1:3">
      <c r="A45" s="3052"/>
      <c r="B45" s="3052"/>
      <c r="C45" s="3052"/>
    </row>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A5.3: Rail Appraisal" display="WebTAG Unit A 5.3"/>
  </hyperlinks>
  <pageMargins left="0.7" right="0.7" top="0.75" bottom="0.75" header="0.3" footer="0.3"/>
  <pageSetup paperSize="9" orientation="portrait" r:id="rId2"/>
  <drawing r:id="rId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tabColor indexed="17"/>
    <pageSetUpPr fitToPage="1"/>
  </sheetPr>
  <dimension ref="A1:AL105"/>
  <sheetViews>
    <sheetView showGridLines="0" zoomScale="85" zoomScaleNormal="85" workbookViewId="0">
      <selection activeCell="B14" sqref="B14"/>
    </sheetView>
  </sheetViews>
  <sheetFormatPr defaultColWidth="9.109375" defaultRowHeight="13.2"/>
  <cols>
    <col min="1" max="19" width="12.88671875" style="33" customWidth="1"/>
    <col min="20" max="20" width="3.88671875" style="33" customWidth="1"/>
    <col min="21" max="25" width="9.109375" style="33"/>
    <col min="26" max="26" width="10.664062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2327</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1333</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2398" t="s">
        <v>424</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30">
        <f>Audit!C12</f>
        <v>43586</v>
      </c>
      <c r="B8" s="3631"/>
      <c r="E8" s="113" t="s">
        <v>426</v>
      </c>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90" t="s">
        <v>425</v>
      </c>
      <c r="I9" s="27"/>
      <c r="J9" s="27"/>
      <c r="K9" s="27"/>
      <c r="L9" s="27"/>
      <c r="M9" s="27"/>
      <c r="N9" s="27"/>
      <c r="O9" s="27"/>
      <c r="P9" s="27"/>
      <c r="Q9" s="27"/>
      <c r="R9" s="27"/>
      <c r="S9" s="55"/>
      <c r="W9" s="26"/>
      <c r="X9" s="26"/>
      <c r="Y9" s="26"/>
      <c r="Z9" s="26"/>
      <c r="AA9" s="31"/>
      <c r="AB9" s="26"/>
      <c r="AL9" s="87"/>
    </row>
    <row r="10" spans="1:38" s="38" customFormat="1" ht="13.5" customHeight="1" thickBot="1">
      <c r="A10" s="3570" t="s">
        <v>1306</v>
      </c>
      <c r="B10" s="3610"/>
      <c r="E10" s="113"/>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570" t="s">
        <v>2328</v>
      </c>
      <c r="B11" s="3610"/>
      <c r="E11" s="113"/>
      <c r="I11" s="68"/>
      <c r="J11" s="68"/>
      <c r="K11" s="68"/>
      <c r="L11" s="68"/>
      <c r="M11" s="68"/>
      <c r="N11" s="68"/>
      <c r="O11" s="68"/>
      <c r="P11" s="68"/>
      <c r="Q11" s="68"/>
      <c r="R11" s="68"/>
      <c r="S11" s="107"/>
      <c r="W11" s="26"/>
      <c r="X11" s="26"/>
      <c r="Y11" s="26"/>
      <c r="Z11" s="26"/>
      <c r="AA11" s="31"/>
      <c r="AB11" s="26"/>
      <c r="AL11" s="87"/>
    </row>
    <row r="12" spans="1:38" s="38" customFormat="1" ht="13.5" customHeight="1">
      <c r="A12" s="2417"/>
      <c r="B12" s="2417"/>
      <c r="E12" s="113"/>
      <c r="I12" s="68"/>
      <c r="J12" s="68"/>
      <c r="K12" s="68"/>
      <c r="L12" s="68"/>
      <c r="M12" s="68"/>
      <c r="N12" s="68"/>
      <c r="O12" s="68"/>
      <c r="P12" s="68"/>
      <c r="Q12" s="68"/>
      <c r="R12" s="68"/>
      <c r="S12" s="107"/>
      <c r="W12" s="26"/>
      <c r="X12" s="26"/>
      <c r="Y12" s="26"/>
      <c r="Z12" s="26"/>
      <c r="AA12" s="31"/>
      <c r="AB12" s="26"/>
      <c r="AL12" s="87"/>
    </row>
    <row r="13" spans="1:38" s="38" customFormat="1" ht="13.5" customHeight="1">
      <c r="A13" s="172" t="s">
        <v>252</v>
      </c>
      <c r="B13" s="179"/>
      <c r="E13" s="113"/>
      <c r="I13" s="27"/>
      <c r="J13" s="26"/>
      <c r="K13" s="26"/>
      <c r="L13" s="26"/>
      <c r="M13" s="27"/>
      <c r="N13" s="27"/>
      <c r="O13" s="27"/>
      <c r="P13" s="27"/>
      <c r="Q13" s="27"/>
      <c r="R13" s="27"/>
      <c r="S13" s="55"/>
      <c r="W13" s="26"/>
      <c r="X13" s="26"/>
      <c r="Y13" s="26"/>
      <c r="Z13" s="26"/>
      <c r="AA13" s="31"/>
      <c r="AB13" s="26"/>
      <c r="AL13" s="87"/>
    </row>
    <row r="14" spans="1:38" ht="13.5" customHeight="1">
      <c r="A14" s="2452" t="s">
        <v>799</v>
      </c>
      <c r="B14" s="2451">
        <f>'User Parameters'!L13</f>
        <v>2010</v>
      </c>
      <c r="C14" s="82"/>
      <c r="E14" s="114"/>
      <c r="I14" s="27"/>
      <c r="J14" s="27"/>
      <c r="K14" s="27"/>
      <c r="L14" s="27"/>
      <c r="M14" s="27"/>
      <c r="N14" s="27"/>
      <c r="O14" s="27"/>
      <c r="P14" s="27"/>
      <c r="Q14" s="27"/>
      <c r="R14" s="27"/>
      <c r="S14" s="55"/>
      <c r="W14" s="72"/>
      <c r="X14" s="72"/>
      <c r="Y14" s="72"/>
      <c r="Z14" s="96"/>
      <c r="AA14" s="31"/>
      <c r="AB14" s="26"/>
    </row>
    <row r="15" spans="1:38" ht="13.5" customHeight="1">
      <c r="A15" s="2441" t="s">
        <v>54</v>
      </c>
      <c r="B15" s="2450">
        <f>'User Parameters'!L19</f>
        <v>2010</v>
      </c>
      <c r="C15" s="178"/>
      <c r="E15" s="113"/>
      <c r="I15" s="27"/>
      <c r="J15" s="27"/>
      <c r="K15" s="27"/>
      <c r="L15" s="27"/>
      <c r="M15" s="27"/>
      <c r="N15" s="27"/>
      <c r="O15" s="27"/>
      <c r="P15" s="27"/>
      <c r="Q15" s="27"/>
      <c r="R15" s="27"/>
      <c r="S15" s="55"/>
      <c r="U15" s="25"/>
      <c r="W15" s="56"/>
      <c r="X15" s="72"/>
      <c r="Y15" s="72"/>
      <c r="Z15" s="96"/>
      <c r="AA15" s="31"/>
      <c r="AB15" s="26"/>
    </row>
    <row r="16" spans="1:38" ht="13.5" customHeight="1">
      <c r="A16" s="2453"/>
      <c r="B16" s="2457"/>
      <c r="C16" s="7"/>
      <c r="E16" s="113"/>
      <c r="I16" s="26"/>
      <c r="J16" s="26"/>
      <c r="K16" s="26"/>
      <c r="L16" s="26"/>
      <c r="M16" s="26"/>
      <c r="N16" s="26"/>
      <c r="O16" s="26"/>
      <c r="P16" s="26"/>
      <c r="Q16" s="26"/>
      <c r="R16" s="26"/>
      <c r="S16" s="147"/>
      <c r="U16" s="25"/>
      <c r="W16" s="26"/>
      <c r="X16" s="26"/>
      <c r="Y16" s="26"/>
      <c r="Z16" s="26"/>
      <c r="AA16" s="26"/>
      <c r="AB16" s="26"/>
    </row>
    <row r="17" spans="1:25" ht="13.5" customHeight="1">
      <c r="A17" s="169" t="s">
        <v>253</v>
      </c>
      <c r="B17" s="170"/>
      <c r="C17" s="82"/>
      <c r="E17" s="113"/>
      <c r="I17" s="27"/>
      <c r="J17" s="27"/>
      <c r="K17" s="27"/>
      <c r="L17" s="27"/>
      <c r="M17" s="27"/>
      <c r="N17" s="27"/>
      <c r="O17" s="27"/>
      <c r="P17" s="27"/>
      <c r="Q17" s="27"/>
      <c r="R17" s="27"/>
      <c r="S17" s="55"/>
      <c r="U17" s="25"/>
    </row>
    <row r="18" spans="1:25" ht="13.5" customHeight="1">
      <c r="A18" s="2424"/>
      <c r="B18" s="2424"/>
      <c r="C18" s="38"/>
      <c r="E18" s="149"/>
      <c r="I18" s="27"/>
      <c r="J18" s="27"/>
      <c r="K18" s="27"/>
      <c r="L18" s="27"/>
      <c r="M18" s="27"/>
      <c r="N18" s="27"/>
      <c r="O18" s="27"/>
      <c r="P18" s="27"/>
      <c r="Q18" s="27"/>
      <c r="R18" s="27"/>
      <c r="S18" s="55"/>
      <c r="U18" s="25"/>
    </row>
    <row r="19" spans="1:25" ht="13.5" customHeight="1">
      <c r="A19" s="2424"/>
      <c r="B19" s="2424"/>
      <c r="E19" s="161" t="s">
        <v>2384</v>
      </c>
      <c r="F19" s="29"/>
      <c r="G19" s="32"/>
      <c r="H19" s="26"/>
      <c r="I19" s="31"/>
      <c r="J19" s="26"/>
      <c r="K19" s="72"/>
      <c r="L19" s="72"/>
      <c r="M19" s="72"/>
      <c r="N19" s="72"/>
      <c r="O19" s="96"/>
      <c r="P19" s="31"/>
      <c r="Q19" s="26"/>
      <c r="R19" s="26"/>
      <c r="S19" s="147"/>
      <c r="U19" s="25"/>
    </row>
    <row r="20" spans="1:25" ht="13.5" customHeight="1" thickBot="1">
      <c r="A20" s="2424"/>
      <c r="B20" s="2424"/>
      <c r="E20" s="162" t="s">
        <v>2329</v>
      </c>
      <c r="F20" s="163"/>
      <c r="G20" s="164"/>
      <c r="H20" s="13"/>
      <c r="I20" s="165"/>
      <c r="J20" s="13"/>
      <c r="K20" s="166"/>
      <c r="L20" s="166"/>
      <c r="M20" s="166"/>
      <c r="N20" s="166"/>
      <c r="O20" s="167"/>
      <c r="P20" s="165"/>
      <c r="Q20" s="13"/>
      <c r="R20" s="13"/>
      <c r="S20" s="168"/>
      <c r="U20" s="25"/>
    </row>
    <row r="21" spans="1:25" ht="13.5" customHeight="1" thickTop="1">
      <c r="A21" s="2424"/>
      <c r="B21" s="2424"/>
      <c r="E21" s="95"/>
      <c r="F21" s="29"/>
      <c r="G21" s="32"/>
      <c r="H21" s="26"/>
      <c r="I21" s="31"/>
      <c r="J21" s="26"/>
      <c r="K21" s="72"/>
      <c r="L21" s="72"/>
      <c r="M21" s="72"/>
      <c r="N21" s="72"/>
      <c r="O21" s="96"/>
      <c r="P21" s="31"/>
      <c r="Q21" s="26"/>
      <c r="R21" s="26"/>
      <c r="S21" s="26"/>
      <c r="U21" s="25"/>
    </row>
    <row r="22" spans="1:25" ht="13.5" customHeight="1" thickBot="1">
      <c r="B22" s="27"/>
      <c r="C22" s="27"/>
      <c r="D22" s="69"/>
      <c r="E22" s="37"/>
      <c r="F22" s="37"/>
      <c r="G22" s="27"/>
      <c r="H22" s="27"/>
      <c r="I22" s="27"/>
      <c r="J22" s="27"/>
      <c r="K22" s="27"/>
      <c r="L22" s="27"/>
      <c r="M22" s="27"/>
      <c r="N22" s="27"/>
      <c r="O22" s="27"/>
      <c r="P22" s="27"/>
      <c r="Q22" s="27"/>
      <c r="R22" s="27"/>
      <c r="S22" s="27"/>
    </row>
    <row r="23" spans="1:25" ht="13.5" customHeight="1" thickTop="1" thickBot="1">
      <c r="A23" s="122" t="s">
        <v>1336</v>
      </c>
      <c r="B23" s="88"/>
      <c r="C23" s="88"/>
      <c r="D23" s="125"/>
      <c r="E23" s="151"/>
      <c r="F23" s="152"/>
      <c r="G23" s="18"/>
      <c r="H23" s="27"/>
      <c r="I23" s="27"/>
      <c r="J23" s="27"/>
      <c r="K23" s="27"/>
      <c r="L23" s="27"/>
      <c r="M23" s="27"/>
      <c r="N23" s="27"/>
      <c r="O23" s="27"/>
      <c r="P23" s="27"/>
      <c r="Q23" s="27"/>
      <c r="R23" s="27"/>
      <c r="S23" s="27"/>
    </row>
    <row r="24" spans="1:25" ht="13.5" customHeight="1" thickTop="1">
      <c r="A24" s="99"/>
      <c r="B24" s="100"/>
      <c r="C24" s="100"/>
      <c r="D24" s="157"/>
      <c r="E24" s="770" t="s">
        <v>1335</v>
      </c>
      <c r="F24" s="1068"/>
      <c r="G24" s="72"/>
    </row>
    <row r="25" spans="1:25" s="27" customFormat="1" ht="13.5" customHeight="1">
      <c r="A25" s="104"/>
      <c r="B25" s="105"/>
      <c r="C25" s="105"/>
      <c r="D25" s="153"/>
      <c r="E25" s="154"/>
      <c r="F25" s="1154" t="s">
        <v>1096</v>
      </c>
      <c r="G25" s="459"/>
      <c r="I25" s="3663"/>
      <c r="J25" s="3663"/>
      <c r="K25" s="3663"/>
      <c r="L25" s="3663"/>
      <c r="M25" s="3663"/>
      <c r="N25" s="3663"/>
      <c r="O25" s="3663"/>
      <c r="P25" s="3663"/>
      <c r="Q25" s="3663"/>
      <c r="R25" s="3663"/>
      <c r="S25" s="3663"/>
      <c r="T25" s="3663"/>
      <c r="U25" s="3663"/>
      <c r="V25" s="3663"/>
      <c r="W25" s="3663"/>
      <c r="X25" s="3663"/>
      <c r="Y25" s="3663"/>
    </row>
    <row r="26" spans="1:25" s="27" customFormat="1" ht="13.5" customHeight="1" thickBot="1">
      <c r="A26" s="809" t="s">
        <v>1328</v>
      </c>
      <c r="B26" s="105"/>
      <c r="C26" s="105"/>
      <c r="D26" s="153" t="s">
        <v>1418</v>
      </c>
      <c r="E26" s="154" t="s">
        <v>1419</v>
      </c>
      <c r="F26" s="1154" t="s">
        <v>1329</v>
      </c>
      <c r="G26" s="459"/>
      <c r="I26" s="68"/>
      <c r="J26" s="68"/>
      <c r="K26" s="68"/>
      <c r="L26" s="68"/>
      <c r="M26" s="68"/>
      <c r="N26" s="68"/>
      <c r="O26" s="68"/>
      <c r="P26" s="68"/>
      <c r="Q26" s="68"/>
      <c r="R26" s="68"/>
      <c r="S26" s="68"/>
      <c r="T26" s="68"/>
      <c r="U26" s="68"/>
      <c r="V26" s="68"/>
      <c r="W26" s="68"/>
      <c r="X26" s="68"/>
      <c r="Y26" s="68"/>
    </row>
    <row r="27" spans="1:25" ht="13.5" customHeight="1" thickTop="1">
      <c r="A27" s="2398" t="s">
        <v>1324</v>
      </c>
      <c r="B27" s="2399"/>
      <c r="C27" s="2399"/>
      <c r="D27" s="2252">
        <f>'Income segmented VTTS'!D27*(VLOOKUP($B$14,Parameters,3,1)/VLOOKUP('Income segmented VTTS'!$B$14,Parameters,3,1))*(VLOOKUP($B$15,Parameters,22,1)/VLOOKUP('Income segmented VTTS'!$B$15,Parameters,22,1))</f>
        <v>4.0104314095267997</v>
      </c>
      <c r="E27" s="2253">
        <f>'Income segmented VTTS'!E27*(VLOOKUP($B$14,Parameters,3,1)/VLOOKUP('Income segmented VTTS'!$B$14,Parameters,3,1))*(VLOOKUP($B$15,Parameters,22,1)/VLOOKUP('Income segmented VTTS'!$B$15,Parameters,22,1))</f>
        <v>2.2471969113600845</v>
      </c>
      <c r="F27" s="2254">
        <f>'Income segmented VTTS'!F27*(VLOOKUP($B$14,Parameters,3,1)/VLOOKUP('Income segmented VTTS'!$B$14,Parameters,3,1))*(VLOOKUP($B$15,Parameters,22,1)/VLOOKUP('Income segmented VTTS'!$B$15,Parameters,22,1))</f>
        <v>2.4648884019718214</v>
      </c>
      <c r="G27" s="73"/>
    </row>
    <row r="28" spans="1:25" ht="13.5" customHeight="1">
      <c r="A28" s="90" t="s">
        <v>1325</v>
      </c>
      <c r="B28" s="82"/>
      <c r="C28" s="82"/>
      <c r="D28" s="117">
        <f>'Income segmented VTTS'!D28*(VLOOKUP($B$14,Parameters,3,1)/VLOOKUP('Income segmented VTTS'!$B$14,Parameters,3,1))*(VLOOKUP($B$15,Parameters,22,1)/VLOOKUP('Income segmented VTTS'!$B$15,Parameters,22,1))</f>
        <v>6.7691797186801859</v>
      </c>
      <c r="E28" s="73">
        <f>'Income segmented VTTS'!E28*(VLOOKUP($B$14,Parameters,3,1)/VLOOKUP('Income segmented VTTS'!$B$14,Parameters,3,1))*(VLOOKUP($B$15,Parameters,22,1)/VLOOKUP('Income segmented VTTS'!$B$15,Parameters,22,1))</f>
        <v>3.8010651577534533</v>
      </c>
      <c r="F28" s="74">
        <f>'Income segmented VTTS'!F28*(VLOOKUP($B$14,Parameters,3,1)/VLOOKUP('Income segmented VTTS'!$B$14,Parameters,3,1))*(VLOOKUP($B$15,Parameters,22,1)/VLOOKUP('Income segmented VTTS'!$B$15,Parameters,22,1))</f>
        <v>4.5198996044223652</v>
      </c>
      <c r="G28" s="73"/>
    </row>
    <row r="29" spans="1:25" ht="13.5" customHeight="1">
      <c r="A29" s="90" t="s">
        <v>1326</v>
      </c>
      <c r="B29" s="82"/>
      <c r="C29" s="82"/>
      <c r="D29" s="117">
        <f>'Income segmented VTTS'!D29*(VLOOKUP($B$14,Parameters,3,1)/VLOOKUP('Income segmented VTTS'!$B$14,Parameters,3,1))*(VLOOKUP($B$15,Parameters,22,1)/VLOOKUP('Income segmented VTTS'!$B$15,Parameters,22,1))</f>
        <v>12.327493659651349</v>
      </c>
      <c r="E29" s="73">
        <f>'Income segmented VTTS'!E29*(VLOOKUP($B$14,Parameters,3,1)/VLOOKUP('Income segmented VTTS'!$B$14,Parameters,3,1))*(VLOOKUP($B$15,Parameters,22,1)/VLOOKUP('Income segmented VTTS'!$B$15,Parameters,22,1))</f>
        <v>6.3032277631154434</v>
      </c>
      <c r="F29" s="74">
        <f>'Income segmented VTTS'!F29*(VLOOKUP($B$14,Parameters,3,1)/VLOOKUP('Income segmented VTTS'!$B$14,Parameters,3,1))*(VLOOKUP($B$15,Parameters,22,1)/VLOOKUP('Income segmented VTTS'!$B$15,Parameters,22,1))</f>
        <v>8.2353120699744071</v>
      </c>
      <c r="G29" s="73"/>
    </row>
    <row r="30" spans="1:25" ht="13.5" customHeight="1">
      <c r="A30" s="90" t="s">
        <v>1327</v>
      </c>
      <c r="B30" s="82"/>
      <c r="C30" s="82"/>
      <c r="D30" s="117">
        <f>'Income segmented VTTS'!D30*(VLOOKUP($B$14,Parameters,3,1)/VLOOKUP('Income segmented VTTS'!$B$14,Parameters,3,1))*(VLOOKUP($B$15,Parameters,22,1)/VLOOKUP('Income segmented VTTS'!$B$15,Parameters,22,1))</f>
        <v>9.952950318575903</v>
      </c>
      <c r="E30" s="73">
        <f>'Income segmented VTTS'!E30*(VLOOKUP($B$14,Parameters,3,1)/VLOOKUP('Income segmented VTTS'!$B$14,Parameters,3,1))*(VLOOKUP($B$15,Parameters,22,1)/VLOOKUP('Income segmented VTTS'!$B$15,Parameters,22,1))</f>
        <v>4.5428252146458146</v>
      </c>
      <c r="F30" s="74">
        <f>'Income segmented VTTS'!F30*(VLOOKUP($B$14,Parameters,3,1)/VLOOKUP('Income segmented VTTS'!$B$14,Parameters,3,1))*(VLOOKUP($B$15,Parameters,22,1)/VLOOKUP('Income segmented VTTS'!$B$15,Parameters,22,1))</f>
        <v>5.9259313252961281</v>
      </c>
      <c r="G30" s="73"/>
      <c r="I30" s="3661"/>
      <c r="J30" s="3662"/>
      <c r="K30" s="3662"/>
      <c r="L30" s="3662"/>
      <c r="M30" s="3662"/>
      <c r="N30" s="3662"/>
      <c r="O30" s="3662"/>
      <c r="P30" s="3662"/>
      <c r="Q30" s="3662"/>
      <c r="R30" s="3662"/>
      <c r="S30" s="3662"/>
      <c r="T30" s="3662"/>
      <c r="U30" s="3662"/>
      <c r="V30" s="3662"/>
      <c r="W30" s="3662"/>
      <c r="X30" s="3662"/>
      <c r="Y30" s="3662"/>
    </row>
    <row r="31" spans="1:25" ht="13.5" customHeight="1" thickBot="1">
      <c r="A31" s="92"/>
      <c r="B31" s="93"/>
      <c r="C31" s="93"/>
      <c r="D31" s="98"/>
      <c r="E31" s="78"/>
      <c r="F31" s="79"/>
      <c r="G31" s="73"/>
      <c r="I31" s="2388"/>
      <c r="J31" s="2389"/>
      <c r="K31" s="2389"/>
      <c r="L31" s="2389"/>
      <c r="M31" s="2389"/>
      <c r="N31" s="2389"/>
      <c r="O31" s="2389"/>
      <c r="P31" s="2389"/>
      <c r="Q31" s="2389"/>
      <c r="R31" s="2389"/>
      <c r="S31" s="2389"/>
      <c r="T31" s="2389"/>
      <c r="U31" s="2389"/>
      <c r="V31" s="2389"/>
      <c r="W31" s="2389"/>
      <c r="X31" s="2389"/>
      <c r="Y31" s="2389"/>
    </row>
    <row r="32" spans="1:25" ht="13.5" customHeight="1" thickTop="1"/>
    <row r="33" spans="4:4" ht="13.5" customHeight="1">
      <c r="D33" s="31"/>
    </row>
    <row r="34" spans="4:4" ht="13.5" customHeight="1"/>
    <row r="35" spans="4:4" ht="13.5" customHeight="1"/>
    <row r="36" spans="4:4" ht="13.5" customHeight="1"/>
    <row r="37" spans="4:4" ht="13.5" customHeight="1"/>
    <row r="38" spans="4:4" ht="13.5" customHeight="1"/>
    <row r="39" spans="4:4" ht="13.5" customHeight="1"/>
    <row r="40" spans="4:4" ht="13.5" customHeight="1"/>
    <row r="41" spans="4:4" ht="13.5" customHeight="1"/>
    <row r="42" spans="4:4" ht="13.5" customHeight="1"/>
    <row r="43" spans="4:4" ht="13.5" customHeight="1"/>
    <row r="44" spans="4:4" ht="13.5" customHeight="1"/>
    <row r="45" spans="4:4" ht="13.5" customHeight="1"/>
    <row r="46" spans="4:4" ht="13.5" customHeight="1"/>
    <row r="47" spans="4:4" ht="13.5" customHeight="1"/>
    <row r="48" spans="4:4"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sheetData>
  <sheetProtection sheet="1" objects="1" scenarios="1"/>
  <mergeCells count="8">
    <mergeCell ref="A11:B11"/>
    <mergeCell ref="I25:Y25"/>
    <mergeCell ref="I30:Y30"/>
    <mergeCell ref="A10:B10"/>
    <mergeCell ref="A1:B1"/>
    <mergeCell ref="A7:B7"/>
    <mergeCell ref="A8:B8"/>
    <mergeCell ref="A9:B9"/>
  </mergeCells>
  <phoneticPr fontId="8" type="noConversion"/>
  <hyperlinks>
    <hyperlink ref="A10" location="Contents!A1" display="Contents"/>
    <hyperlink ref="A10:B10" location="Contents!A1" tooltip="Contents page" display="Contents"/>
    <hyperlink ref="A11:B11" r:id="rId1" tooltip="Unit M2: Variable Demand Modelling" display="WebTAG Unit M2"/>
  </hyperlinks>
  <pageMargins left="0.75" right="0.75" top="1" bottom="1" header="0.5" footer="0.5"/>
  <pageSetup paperSize="9" scale="43" fitToHeight="0" orientation="landscape" r:id="rId2"/>
  <headerFooter alignWithMargins="0"/>
  <drawing r:id="rId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tabColor indexed="17"/>
    <pageSetUpPr fitToPage="1"/>
  </sheetPr>
  <dimension ref="A1:AL105"/>
  <sheetViews>
    <sheetView showGridLines="0" zoomScale="85" zoomScaleNormal="85" workbookViewId="0">
      <selection activeCell="B14" sqref="B14"/>
    </sheetView>
  </sheetViews>
  <sheetFormatPr defaultColWidth="9.109375" defaultRowHeight="13.2"/>
  <cols>
    <col min="1" max="19" width="12.88671875" style="33" customWidth="1"/>
    <col min="20" max="20" width="3.88671875" style="33" customWidth="1"/>
    <col min="21" max="25" width="9.109375" style="33"/>
    <col min="26" max="26" width="10.664062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2330</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1334</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2398" t="s">
        <v>427</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30">
        <f>Audit!C12</f>
        <v>43586</v>
      </c>
      <c r="B8" s="3631"/>
      <c r="E8" s="113" t="s">
        <v>428</v>
      </c>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113" t="s">
        <v>429</v>
      </c>
      <c r="I9" s="27"/>
      <c r="J9" s="27"/>
      <c r="K9" s="27"/>
      <c r="L9" s="27"/>
      <c r="M9" s="27"/>
      <c r="N9" s="27"/>
      <c r="O9" s="27"/>
      <c r="P9" s="27"/>
      <c r="Q9" s="27"/>
      <c r="R9" s="27"/>
      <c r="S9" s="55"/>
      <c r="W9" s="26"/>
      <c r="X9" s="26"/>
      <c r="Y9" s="26"/>
      <c r="Z9" s="26"/>
      <c r="AA9" s="31"/>
      <c r="AB9" s="26"/>
      <c r="AL9" s="87"/>
    </row>
    <row r="10" spans="1:38" s="38" customFormat="1" ht="13.5" customHeight="1" thickBot="1">
      <c r="A10" s="3570" t="s">
        <v>1306</v>
      </c>
      <c r="B10" s="3610"/>
      <c r="E10" s="90" t="s">
        <v>1345</v>
      </c>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570" t="s">
        <v>2328</v>
      </c>
      <c r="B11" s="3610"/>
      <c r="E11" s="113"/>
      <c r="I11" s="68"/>
      <c r="J11" s="68"/>
      <c r="K11" s="68"/>
      <c r="L11" s="68"/>
      <c r="M11" s="68"/>
      <c r="N11" s="68"/>
      <c r="O11" s="68"/>
      <c r="P11" s="68"/>
      <c r="Q11" s="68"/>
      <c r="R11" s="68"/>
      <c r="S11" s="107"/>
      <c r="W11" s="26"/>
      <c r="X11" s="26"/>
      <c r="Y11" s="26"/>
      <c r="Z11" s="26"/>
      <c r="AA11" s="31"/>
      <c r="AB11" s="26"/>
      <c r="AL11" s="87"/>
    </row>
    <row r="12" spans="1:38" s="38" customFormat="1" ht="13.5" customHeight="1">
      <c r="A12" s="2417"/>
      <c r="B12" s="2417"/>
      <c r="E12" s="113"/>
      <c r="I12" s="68"/>
      <c r="J12" s="68"/>
      <c r="K12" s="68"/>
      <c r="L12" s="68"/>
      <c r="M12" s="68"/>
      <c r="N12" s="68"/>
      <c r="O12" s="68"/>
      <c r="P12" s="68"/>
      <c r="Q12" s="68"/>
      <c r="R12" s="68"/>
      <c r="S12" s="107"/>
      <c r="W12" s="26"/>
      <c r="X12" s="26"/>
      <c r="Y12" s="26"/>
      <c r="Z12" s="26"/>
      <c r="AA12" s="31"/>
      <c r="AB12" s="26"/>
      <c r="AL12" s="87"/>
    </row>
    <row r="13" spans="1:38" s="38" customFormat="1" ht="13.5" customHeight="1">
      <c r="A13" s="172" t="s">
        <v>252</v>
      </c>
      <c r="B13" s="179"/>
      <c r="E13" s="113"/>
      <c r="I13" s="27"/>
      <c r="J13" s="26"/>
      <c r="K13" s="26"/>
      <c r="L13" s="26"/>
      <c r="M13" s="27"/>
      <c r="N13" s="27"/>
      <c r="O13" s="27"/>
      <c r="P13" s="27"/>
      <c r="Q13" s="27"/>
      <c r="R13" s="27"/>
      <c r="S13" s="55"/>
      <c r="W13" s="26"/>
      <c r="X13" s="26"/>
      <c r="Y13" s="26"/>
      <c r="Z13" s="26"/>
      <c r="AA13" s="31"/>
      <c r="AB13" s="26"/>
      <c r="AL13" s="87"/>
    </row>
    <row r="14" spans="1:38" ht="13.5" customHeight="1">
      <c r="A14" s="2452" t="s">
        <v>799</v>
      </c>
      <c r="B14" s="2451">
        <f>'User Parameters'!L13</f>
        <v>2010</v>
      </c>
      <c r="C14" s="82"/>
      <c r="E14" s="114"/>
      <c r="I14" s="27"/>
      <c r="J14" s="27"/>
      <c r="K14" s="27"/>
      <c r="L14" s="27"/>
      <c r="M14" s="27"/>
      <c r="N14" s="27"/>
      <c r="O14" s="27"/>
      <c r="P14" s="27"/>
      <c r="Q14" s="27"/>
      <c r="R14" s="27"/>
      <c r="S14" s="55"/>
      <c r="W14" s="72"/>
      <c r="X14" s="72"/>
      <c r="Y14" s="72"/>
      <c r="Z14" s="96"/>
      <c r="AA14" s="31"/>
      <c r="AB14" s="26"/>
    </row>
    <row r="15" spans="1:38" ht="13.5" customHeight="1">
      <c r="A15" s="2441" t="s">
        <v>54</v>
      </c>
      <c r="B15" s="2450">
        <f>'User Parameters'!L19</f>
        <v>2010</v>
      </c>
      <c r="C15" s="178"/>
      <c r="E15" s="113"/>
      <c r="I15" s="27"/>
      <c r="J15" s="27"/>
      <c r="K15" s="27"/>
      <c r="L15" s="27"/>
      <c r="M15" s="27"/>
      <c r="N15" s="27"/>
      <c r="O15" s="27"/>
      <c r="P15" s="27"/>
      <c r="Q15" s="27"/>
      <c r="R15" s="27"/>
      <c r="S15" s="55"/>
      <c r="U15" s="25"/>
      <c r="W15" s="56"/>
      <c r="X15" s="72"/>
      <c r="Y15" s="72"/>
      <c r="Z15" s="96"/>
      <c r="AA15" s="31"/>
      <c r="AB15" s="26"/>
    </row>
    <row r="16" spans="1:38" ht="13.5" customHeight="1">
      <c r="A16" s="2453"/>
      <c r="B16" s="2457"/>
      <c r="C16" s="7"/>
      <c r="E16" s="113"/>
      <c r="I16" s="26"/>
      <c r="J16" s="26"/>
      <c r="K16" s="26"/>
      <c r="L16" s="26"/>
      <c r="M16" s="26"/>
      <c r="N16" s="26"/>
      <c r="O16" s="26"/>
      <c r="P16" s="26"/>
      <c r="Q16" s="26"/>
      <c r="R16" s="26"/>
      <c r="S16" s="147"/>
      <c r="U16" s="25"/>
      <c r="W16" s="26"/>
      <c r="X16" s="26"/>
      <c r="Y16" s="26"/>
      <c r="Z16" s="26"/>
      <c r="AA16" s="26"/>
      <c r="AB16" s="26"/>
    </row>
    <row r="17" spans="1:25" ht="13.5" customHeight="1">
      <c r="A17" s="169" t="s">
        <v>253</v>
      </c>
      <c r="B17" s="170"/>
      <c r="C17" s="82"/>
      <c r="E17" s="113"/>
      <c r="I17" s="27"/>
      <c r="J17" s="27"/>
      <c r="K17" s="27"/>
      <c r="L17" s="27"/>
      <c r="M17" s="27"/>
      <c r="N17" s="27"/>
      <c r="O17" s="27"/>
      <c r="P17" s="27"/>
      <c r="Q17" s="27"/>
      <c r="R17" s="27"/>
      <c r="S17" s="55"/>
      <c r="U17" s="25"/>
    </row>
    <row r="18" spans="1:25" ht="13.5" customHeight="1">
      <c r="A18" s="2424"/>
      <c r="B18" s="2424"/>
      <c r="C18" s="38"/>
      <c r="E18" s="149"/>
      <c r="I18" s="27"/>
      <c r="J18" s="27"/>
      <c r="K18" s="27"/>
      <c r="L18" s="27"/>
      <c r="M18" s="27"/>
      <c r="N18" s="27"/>
      <c r="O18" s="27"/>
      <c r="P18" s="27"/>
      <c r="Q18" s="27"/>
      <c r="R18" s="27"/>
      <c r="S18" s="55"/>
      <c r="U18" s="25"/>
    </row>
    <row r="19" spans="1:25" ht="13.5" customHeight="1">
      <c r="A19" s="2424"/>
      <c r="B19" s="2424"/>
      <c r="E19" s="161" t="s">
        <v>2384</v>
      </c>
      <c r="F19" s="29"/>
      <c r="G19" s="32"/>
      <c r="H19" s="26"/>
      <c r="I19" s="31"/>
      <c r="J19" s="26"/>
      <c r="K19" s="72"/>
      <c r="L19" s="72"/>
      <c r="M19" s="72"/>
      <c r="N19" s="72"/>
      <c r="O19" s="96"/>
      <c r="P19" s="31"/>
      <c r="Q19" s="26"/>
      <c r="R19" s="26"/>
      <c r="S19" s="147"/>
      <c r="U19" s="25"/>
    </row>
    <row r="20" spans="1:25" ht="13.5" customHeight="1" thickBot="1">
      <c r="A20" s="2424"/>
      <c r="B20" s="2424"/>
      <c r="E20" s="162" t="s">
        <v>2329</v>
      </c>
      <c r="F20" s="163"/>
      <c r="G20" s="164"/>
      <c r="H20" s="13"/>
      <c r="I20" s="165"/>
      <c r="J20" s="13"/>
      <c r="K20" s="166"/>
      <c r="L20" s="166"/>
      <c r="M20" s="166"/>
      <c r="N20" s="166"/>
      <c r="O20" s="167"/>
      <c r="P20" s="165"/>
      <c r="Q20" s="13"/>
      <c r="R20" s="13"/>
      <c r="S20" s="168"/>
      <c r="U20" s="25"/>
    </row>
    <row r="21" spans="1:25" ht="13.5" customHeight="1" thickTop="1">
      <c r="A21" s="2424"/>
      <c r="B21" s="2424"/>
      <c r="E21" s="95"/>
      <c r="F21" s="29"/>
      <c r="G21" s="32"/>
      <c r="H21" s="26"/>
      <c r="I21" s="31"/>
      <c r="J21" s="26"/>
      <c r="K21" s="72"/>
      <c r="L21" s="72"/>
      <c r="M21" s="72"/>
      <c r="N21" s="72"/>
      <c r="O21" s="96"/>
      <c r="P21" s="31"/>
      <c r="Q21" s="26"/>
      <c r="R21" s="26"/>
      <c r="S21" s="26"/>
      <c r="U21" s="25"/>
    </row>
    <row r="22" spans="1:25" ht="13.5" customHeight="1" thickBot="1">
      <c r="B22" s="27"/>
      <c r="C22" s="27"/>
      <c r="D22" s="69"/>
      <c r="E22" s="37"/>
      <c r="F22" s="37"/>
      <c r="G22" s="27"/>
      <c r="H22" s="27"/>
      <c r="I22" s="27"/>
      <c r="J22" s="27"/>
      <c r="K22" s="27"/>
      <c r="L22" s="27"/>
      <c r="M22" s="27"/>
      <c r="N22" s="27"/>
      <c r="O22" s="27"/>
      <c r="P22" s="27"/>
      <c r="Q22" s="27"/>
      <c r="R22" s="27"/>
      <c r="S22" s="27"/>
    </row>
    <row r="23" spans="1:25" ht="13.5" customHeight="1" thickTop="1" thickBot="1">
      <c r="A23" s="122" t="s">
        <v>423</v>
      </c>
      <c r="B23" s="88"/>
      <c r="C23" s="88"/>
      <c r="D23" s="125"/>
      <c r="E23" s="151"/>
      <c r="F23" s="151"/>
      <c r="G23" s="151"/>
      <c r="H23" s="152"/>
      <c r="I23" s="27"/>
      <c r="J23" s="27"/>
      <c r="K23" s="27"/>
      <c r="L23" s="27"/>
      <c r="M23" s="27"/>
      <c r="N23" s="27"/>
      <c r="O23" s="27"/>
      <c r="P23" s="27"/>
      <c r="Q23" s="27"/>
      <c r="R23" s="27"/>
      <c r="S23" s="27"/>
    </row>
    <row r="24" spans="1:25" ht="13.5" customHeight="1" thickTop="1">
      <c r="A24" s="99"/>
      <c r="B24" s="100"/>
      <c r="C24" s="100"/>
      <c r="D24" s="157"/>
      <c r="E24" s="100"/>
      <c r="F24" s="770" t="s">
        <v>422</v>
      </c>
      <c r="G24" s="470"/>
      <c r="H24" s="1068"/>
    </row>
    <row r="25" spans="1:25" s="27" customFormat="1" ht="13.5" customHeight="1">
      <c r="A25" s="104"/>
      <c r="B25" s="105"/>
      <c r="C25" s="105"/>
      <c r="D25" s="153"/>
      <c r="E25" s="154" t="s">
        <v>1439</v>
      </c>
      <c r="F25" s="154"/>
      <c r="G25" s="154" t="s">
        <v>1434</v>
      </c>
      <c r="H25" s="156" t="s">
        <v>794</v>
      </c>
      <c r="I25" s="3663"/>
      <c r="J25" s="3663"/>
      <c r="K25" s="3663"/>
      <c r="L25" s="3663"/>
      <c r="M25" s="3663"/>
      <c r="N25" s="3663"/>
      <c r="O25" s="3663"/>
      <c r="P25" s="3663"/>
      <c r="Q25" s="3663"/>
      <c r="R25" s="3663"/>
      <c r="S25" s="3663"/>
      <c r="T25" s="3663"/>
      <c r="U25" s="3663"/>
      <c r="V25" s="3663"/>
      <c r="W25" s="3663"/>
      <c r="X25" s="3663"/>
      <c r="Y25" s="3663"/>
    </row>
    <row r="26" spans="1:25" s="27" customFormat="1" ht="13.5" customHeight="1" thickBot="1">
      <c r="A26" s="809" t="s">
        <v>1328</v>
      </c>
      <c r="B26" s="105"/>
      <c r="C26" s="105"/>
      <c r="D26" s="153" t="s">
        <v>1322</v>
      </c>
      <c r="E26" s="154" t="s">
        <v>1436</v>
      </c>
      <c r="F26" s="154" t="s">
        <v>1323</v>
      </c>
      <c r="G26" s="154" t="s">
        <v>1436</v>
      </c>
      <c r="H26" s="156" t="s">
        <v>1436</v>
      </c>
      <c r="I26" s="68"/>
      <c r="J26" s="68"/>
      <c r="K26" s="68"/>
      <c r="L26" s="68"/>
      <c r="M26" s="68"/>
      <c r="N26" s="68"/>
      <c r="O26" s="68"/>
      <c r="P26" s="68"/>
      <c r="Q26" s="68"/>
      <c r="R26" s="68"/>
      <c r="S26" s="68"/>
      <c r="T26" s="68"/>
      <c r="U26" s="68"/>
      <c r="V26" s="68"/>
      <c r="W26" s="68"/>
      <c r="X26" s="68"/>
      <c r="Y26" s="68"/>
    </row>
    <row r="27" spans="1:25" ht="13.5" customHeight="1" thickTop="1">
      <c r="A27" s="2398" t="s">
        <v>1324</v>
      </c>
      <c r="B27" s="2399"/>
      <c r="C27" s="2399"/>
      <c r="D27" s="2252">
        <f>'Income segmented VTTS'!G27*(VLOOKUP($B$14,Parameters,3,1)/VLOOKUP('Income segmented VTTS'!$B$14,Parameters,3,1))*(VLOOKUP($B$15,Parameters,22,1)/VLOOKUP('Income segmented VTTS'!$B$15,Parameters,22,1))</f>
        <v>8.1491845707284902</v>
      </c>
      <c r="E27" s="2253">
        <f>'Income segmented VTTS'!H27*(VLOOKUP($B$14,Parameters,3,1)/VLOOKUP('Income segmented VTTS'!$B$14,Parameters,3,1))*(VLOOKUP($B$15,Parameters,22,1)/VLOOKUP('Income segmented VTTS'!$B$15,Parameters,22,1))</f>
        <v>8.1491845707284902</v>
      </c>
      <c r="F27" s="2253">
        <f>'Income segmented VTTS'!I27*(VLOOKUP($B$14,Parameters,3,1)/VLOOKUP('Income segmented VTTS'!$B$14,Parameters,3,1))*(VLOOKUP($B$15,Parameters,22,1)/VLOOKUP('Income segmented VTTS'!$B$15,Parameters,22,1))</f>
        <v>8.1491845707284902</v>
      </c>
      <c r="G27" s="2253">
        <f>'Income segmented VTTS'!J27*(VLOOKUP($B$14,Parameters,3,1)/VLOOKUP('Income segmented VTTS'!$B$14,Parameters,3,1))*(VLOOKUP($B$15,Parameters,22,1)/VLOOKUP('Income segmented VTTS'!$B$15,Parameters,22,1))</f>
        <v>9.4600000000000009</v>
      </c>
      <c r="H27" s="2254">
        <f>'Income segmented VTTS'!K27*(VLOOKUP($B$14,Parameters,3,1)/VLOOKUP('Income segmented VTTS'!$B$14,Parameters,3,1))*(VLOOKUP($B$15,Parameters,22,1)/VLOOKUP('Income segmented VTTS'!$B$15,Parameters,22,1))</f>
        <v>8.1491845707284902</v>
      </c>
    </row>
    <row r="28" spans="1:25" ht="13.5" customHeight="1">
      <c r="A28" s="90" t="s">
        <v>1325</v>
      </c>
      <c r="B28" s="82"/>
      <c r="C28" s="82"/>
      <c r="D28" s="117">
        <f>'Income segmented VTTS'!G28*(VLOOKUP($B$14,Parameters,3,1)/VLOOKUP('Income segmented VTTS'!$B$14,Parameters,3,1))*(VLOOKUP($B$15,Parameters,22,1)/VLOOKUP('Income segmented VTTS'!$B$15,Parameters,22,1))</f>
        <v>11.215165427545458</v>
      </c>
      <c r="E28" s="73">
        <f>'Income segmented VTTS'!H28*(VLOOKUP($B$14,Parameters,3,1)/VLOOKUP('Income segmented VTTS'!$B$14,Parameters,3,1))*(VLOOKUP($B$15,Parameters,22,1)/VLOOKUP('Income segmented VTTS'!$B$15,Parameters,22,1))</f>
        <v>11.215165427545458</v>
      </c>
      <c r="F28" s="73">
        <f>'Income segmented VTTS'!I28*(VLOOKUP($B$14,Parameters,3,1)/VLOOKUP('Income segmented VTTS'!$B$14,Parameters,3,1))*(VLOOKUP($B$15,Parameters,22,1)/VLOOKUP('Income segmented VTTS'!$B$15,Parameters,22,1))</f>
        <v>11.215165427545458</v>
      </c>
      <c r="G28" s="73">
        <f>'Income segmented VTTS'!J28*(VLOOKUP($B$14,Parameters,3,1)/VLOOKUP('Income segmented VTTS'!$B$14,Parameters,3,1))*(VLOOKUP($B$15,Parameters,22,1)/VLOOKUP('Income segmented VTTS'!$B$15,Parameters,22,1))</f>
        <v>18.45</v>
      </c>
      <c r="H28" s="74">
        <f>'Income segmented VTTS'!K28*(VLOOKUP($B$14,Parameters,3,1)/VLOOKUP('Income segmented VTTS'!$B$14,Parameters,3,1))*(VLOOKUP($B$15,Parameters,22,1)/VLOOKUP('Income segmented VTTS'!$B$15,Parameters,22,1))</f>
        <v>11.215165427545458</v>
      </c>
    </row>
    <row r="29" spans="1:25" ht="13.5" customHeight="1">
      <c r="A29" s="90" t="s">
        <v>1326</v>
      </c>
      <c r="B29" s="82"/>
      <c r="C29" s="82"/>
      <c r="D29" s="117">
        <f>'Income segmented VTTS'!G29*(VLOOKUP($B$14,Parameters,3,1)/VLOOKUP('Income segmented VTTS'!$B$14,Parameters,3,1))*(VLOOKUP($B$15,Parameters,22,1)/VLOOKUP('Income segmented VTTS'!$B$15,Parameters,22,1))</f>
        <v>16.811075554910584</v>
      </c>
      <c r="E29" s="73">
        <f>'Income segmented VTTS'!H29*(VLOOKUP($B$14,Parameters,3,1)/VLOOKUP('Income segmented VTTS'!$B$14,Parameters,3,1))*(VLOOKUP($B$15,Parameters,22,1)/VLOOKUP('Income segmented VTTS'!$B$15,Parameters,22,1))</f>
        <v>16.811075554910584</v>
      </c>
      <c r="F29" s="73">
        <f>'Income segmented VTTS'!I29*(VLOOKUP($B$14,Parameters,3,1)/VLOOKUP('Income segmented VTTS'!$B$14,Parameters,3,1))*(VLOOKUP($B$15,Parameters,22,1)/VLOOKUP('Income segmented VTTS'!$B$15,Parameters,22,1))</f>
        <v>16.811075554910584</v>
      </c>
      <c r="G29" s="73">
        <f>'Income segmented VTTS'!J29*(VLOOKUP($B$14,Parameters,3,1)/VLOOKUP('Income segmented VTTS'!$B$14,Parameters,3,1))*(VLOOKUP($B$15,Parameters,22,1)/VLOOKUP('Income segmented VTTS'!$B$15,Parameters,22,1))</f>
        <v>33.31</v>
      </c>
      <c r="H29" s="74">
        <f>'Income segmented VTTS'!K29*(VLOOKUP($B$14,Parameters,3,1)/VLOOKUP('Income segmented VTTS'!$B$14,Parameters,3,1))*(VLOOKUP($B$15,Parameters,22,1)/VLOOKUP('Income segmented VTTS'!$B$15,Parameters,22,1))</f>
        <v>16.811075554910584</v>
      </c>
    </row>
    <row r="30" spans="1:25" ht="13.5" customHeight="1">
      <c r="A30" s="90" t="s">
        <v>1327</v>
      </c>
      <c r="B30" s="82"/>
      <c r="C30" s="82"/>
      <c r="D30" s="117">
        <f>'Income segmented VTTS'!G30*(VLOOKUP($B$14,Parameters,3,1)/VLOOKUP('Income segmented VTTS'!$B$14,Parameters,3,1))*(VLOOKUP($B$15,Parameters,22,1)/VLOOKUP('Income segmented VTTS'!$B$15,Parameters,22,1))</f>
        <v>14.864388217189035</v>
      </c>
      <c r="E30" s="73">
        <f>'Income segmented VTTS'!H30*(VLOOKUP($B$14,Parameters,3,1)/VLOOKUP('Income segmented VTTS'!$B$14,Parameters,3,1))*(VLOOKUP($B$15,Parameters,22,1)/VLOOKUP('Income segmented VTTS'!$B$15,Parameters,22,1))</f>
        <v>14.864388217189035</v>
      </c>
      <c r="F30" s="73">
        <f>'Income segmented VTTS'!I30*(VLOOKUP($B$14,Parameters,3,1)/VLOOKUP('Income segmented VTTS'!$B$14,Parameters,3,1))*(VLOOKUP($B$15,Parameters,22,1)/VLOOKUP('Income segmented VTTS'!$B$15,Parameters,22,1))</f>
        <v>14.864388217189035</v>
      </c>
      <c r="G30" s="73">
        <f>'Income segmented VTTS'!J30*(VLOOKUP($B$14,Parameters,3,1)/VLOOKUP('Income segmented VTTS'!$B$14,Parameters,3,1))*(VLOOKUP($B$15,Parameters,22,1)/VLOOKUP('Income segmented VTTS'!$B$15,Parameters,22,1))</f>
        <v>13.97</v>
      </c>
      <c r="H30" s="74">
        <f>'Income segmented VTTS'!K30*(VLOOKUP($B$14,Parameters,3,1)/VLOOKUP('Income segmented VTTS'!$B$14,Parameters,3,1))*(VLOOKUP($B$15,Parameters,22,1)/VLOOKUP('Income segmented VTTS'!$B$15,Parameters,22,1))</f>
        <v>14.864388217189035</v>
      </c>
      <c r="I30" s="3661"/>
      <c r="J30" s="3662"/>
      <c r="K30" s="3662"/>
      <c r="L30" s="3662"/>
      <c r="M30" s="3662"/>
      <c r="N30" s="3662"/>
      <c r="O30" s="3662"/>
      <c r="P30" s="3662"/>
      <c r="Q30" s="3662"/>
      <c r="R30" s="3662"/>
      <c r="S30" s="3662"/>
      <c r="T30" s="3662"/>
      <c r="U30" s="3662"/>
      <c r="V30" s="3662"/>
      <c r="W30" s="3662"/>
      <c r="X30" s="3662"/>
      <c r="Y30" s="3662"/>
    </row>
    <row r="31" spans="1:25" ht="13.5" customHeight="1" thickBot="1">
      <c r="A31" s="92"/>
      <c r="B31" s="93"/>
      <c r="C31" s="93"/>
      <c r="D31" s="98"/>
      <c r="E31" s="78"/>
      <c r="F31" s="78"/>
      <c r="G31" s="78"/>
      <c r="H31" s="1385"/>
      <c r="I31" s="2388"/>
      <c r="J31" s="2389"/>
      <c r="K31" s="2389"/>
      <c r="L31" s="2389"/>
      <c r="M31" s="2389"/>
      <c r="N31" s="2389"/>
      <c r="O31" s="2389"/>
      <c r="P31" s="2389"/>
      <c r="Q31" s="2389"/>
      <c r="R31" s="2389"/>
      <c r="S31" s="2389"/>
      <c r="T31" s="2389"/>
      <c r="U31" s="2389"/>
      <c r="V31" s="2389"/>
      <c r="W31" s="2389"/>
      <c r="X31" s="2389"/>
      <c r="Y31" s="2389"/>
    </row>
    <row r="32" spans="1:25" ht="13.5" customHeight="1" thickTop="1"/>
    <row r="33" spans="4:4" ht="13.5" customHeight="1">
      <c r="D33" s="31"/>
    </row>
    <row r="34" spans="4:4" ht="13.5" customHeight="1"/>
    <row r="35" spans="4:4" ht="13.5" customHeight="1"/>
    <row r="36" spans="4:4" ht="13.5" customHeight="1"/>
    <row r="37" spans="4:4" ht="13.5" customHeight="1"/>
    <row r="38" spans="4:4" ht="13.5" customHeight="1"/>
    <row r="39" spans="4:4" ht="13.5" customHeight="1"/>
    <row r="40" spans="4:4" ht="13.5" customHeight="1"/>
    <row r="41" spans="4:4" ht="13.5" customHeight="1"/>
    <row r="42" spans="4:4" ht="13.5" customHeight="1"/>
    <row r="43" spans="4:4" ht="13.5" customHeight="1"/>
    <row r="44" spans="4:4" ht="13.5" customHeight="1"/>
    <row r="45" spans="4:4" ht="13.5" customHeight="1"/>
    <row r="46" spans="4:4" ht="13.5" customHeight="1"/>
    <row r="47" spans="4:4" ht="13.5" customHeight="1"/>
    <row r="48" spans="4:4"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sheetData>
  <sheetProtection sheet="1" objects="1" scenarios="1"/>
  <mergeCells count="8">
    <mergeCell ref="I30:Y30"/>
    <mergeCell ref="A10:B10"/>
    <mergeCell ref="A1:B1"/>
    <mergeCell ref="A7:B7"/>
    <mergeCell ref="A8:B8"/>
    <mergeCell ref="A9:B9"/>
    <mergeCell ref="A11:B11"/>
    <mergeCell ref="I25:Y25"/>
  </mergeCells>
  <phoneticPr fontId="8" type="noConversion"/>
  <hyperlinks>
    <hyperlink ref="A10" location="Contents!A1" display="Contents"/>
    <hyperlink ref="A10:B10" location="Contents!A1" tooltip="Contents page" display="Contents"/>
    <hyperlink ref="A11:B11" r:id="rId1" tooltip="Unit M2: Variable Demand Modelling" display="WebTAG Unit M2"/>
  </hyperlinks>
  <pageMargins left="0.75" right="0.75" top="1" bottom="1" header="0.5" footer="0.5"/>
  <pageSetup paperSize="9" scale="43" fitToHeight="0" orientation="landscape" r:id="rId2"/>
  <headerFooter alignWithMargins="0"/>
  <drawing r:id="rId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indexed="10"/>
  </sheetPr>
  <dimension ref="A1:AL105"/>
  <sheetViews>
    <sheetView showGridLines="0" topLeftCell="A7" zoomScale="85" zoomScaleNormal="85" workbookViewId="0">
      <selection activeCell="E23" sqref="E23:F23"/>
    </sheetView>
  </sheetViews>
  <sheetFormatPr defaultColWidth="9.109375" defaultRowHeight="13.2"/>
  <cols>
    <col min="1" max="19" width="12.88671875" style="33" customWidth="1"/>
    <col min="20" max="20" width="3.88671875" style="33" customWidth="1"/>
    <col min="21" max="25" width="9.109375" style="33"/>
    <col min="26" max="26" width="10.664062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2331</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1331</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793" t="s">
        <v>1332</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46">
        <f>Audit!C12</f>
        <v>43586</v>
      </c>
      <c r="B8" s="3645"/>
      <c r="E8" s="207" t="s">
        <v>1317</v>
      </c>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113" t="s">
        <v>1318</v>
      </c>
      <c r="I9" s="27"/>
      <c r="J9" s="27"/>
      <c r="K9" s="27"/>
      <c r="L9" s="27"/>
      <c r="M9" s="27"/>
      <c r="N9" s="27"/>
      <c r="O9" s="27"/>
      <c r="P9" s="27"/>
      <c r="Q9" s="27"/>
      <c r="R9" s="27"/>
      <c r="S9" s="55"/>
      <c r="W9" s="26"/>
      <c r="X9" s="26"/>
      <c r="Y9" s="26"/>
      <c r="Z9" s="26"/>
      <c r="AA9" s="31"/>
      <c r="AB9" s="26"/>
      <c r="AL9" s="87"/>
    </row>
    <row r="10" spans="1:38" s="38" customFormat="1" ht="13.5" customHeight="1" thickBot="1">
      <c r="A10" s="3611" t="s">
        <v>1306</v>
      </c>
      <c r="B10" s="3612"/>
      <c r="E10" s="113"/>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611" t="s">
        <v>2328</v>
      </c>
      <c r="B11" s="3612"/>
      <c r="E11" s="113"/>
      <c r="I11" s="68"/>
      <c r="J11" s="68"/>
      <c r="K11" s="68"/>
      <c r="L11" s="68"/>
      <c r="M11" s="68"/>
      <c r="N11" s="68"/>
      <c r="O11" s="68"/>
      <c r="P11" s="68"/>
      <c r="Q11" s="68"/>
      <c r="R11" s="68"/>
      <c r="S11" s="107"/>
      <c r="W11" s="26"/>
      <c r="X11" s="26"/>
      <c r="Y11" s="26"/>
      <c r="Z11" s="26"/>
      <c r="AA11" s="31"/>
      <c r="AB11" s="26"/>
      <c r="AL11" s="87"/>
    </row>
    <row r="12" spans="1:38" s="38" customFormat="1" ht="13.5" customHeight="1">
      <c r="A12" s="15"/>
      <c r="B12" s="15"/>
      <c r="E12" s="113"/>
      <c r="I12" s="68"/>
      <c r="J12" s="68"/>
      <c r="K12" s="68"/>
      <c r="L12" s="68"/>
      <c r="M12" s="68"/>
      <c r="N12" s="68"/>
      <c r="O12" s="68"/>
      <c r="P12" s="68"/>
      <c r="Q12" s="68"/>
      <c r="R12" s="68"/>
      <c r="S12" s="107"/>
      <c r="W12" s="26"/>
      <c r="X12" s="26"/>
      <c r="Y12" s="26"/>
      <c r="Z12" s="26"/>
      <c r="AA12" s="31"/>
      <c r="AB12" s="26"/>
      <c r="AL12" s="87"/>
    </row>
    <row r="13" spans="1:38" s="38" customFormat="1" ht="13.5" customHeight="1">
      <c r="A13" s="172" t="s">
        <v>252</v>
      </c>
      <c r="B13" s="179"/>
      <c r="E13" s="113"/>
      <c r="I13" s="27"/>
      <c r="J13" s="26"/>
      <c r="K13" s="26"/>
      <c r="L13" s="26"/>
      <c r="M13" s="27"/>
      <c r="N13" s="27"/>
      <c r="O13" s="27"/>
      <c r="P13" s="27"/>
      <c r="Q13" s="27"/>
      <c r="R13" s="27"/>
      <c r="S13" s="55"/>
      <c r="W13" s="26"/>
      <c r="X13" s="26"/>
      <c r="Y13" s="26"/>
      <c r="Z13" s="26"/>
      <c r="AA13" s="31"/>
      <c r="AB13" s="26"/>
      <c r="AL13" s="87"/>
    </row>
    <row r="14" spans="1:38" ht="13.5" customHeight="1">
      <c r="A14" s="56" t="s">
        <v>799</v>
      </c>
      <c r="B14" s="195">
        <f>B16</f>
        <v>2010</v>
      </c>
      <c r="C14" s="82"/>
      <c r="E14" s="114"/>
      <c r="I14" s="27"/>
      <c r="J14" s="27"/>
      <c r="K14" s="27"/>
      <c r="L14" s="27"/>
      <c r="M14" s="27"/>
      <c r="N14" s="27"/>
      <c r="O14" s="27"/>
      <c r="P14" s="27"/>
      <c r="Q14" s="27"/>
      <c r="R14" s="27"/>
      <c r="S14" s="55"/>
      <c r="W14" s="72"/>
      <c r="X14" s="72"/>
      <c r="Y14" s="72"/>
      <c r="Z14" s="96"/>
      <c r="AA14" s="31"/>
      <c r="AB14" s="26"/>
    </row>
    <row r="15" spans="1:38" ht="13.5" customHeight="1">
      <c r="A15" s="26" t="s">
        <v>54</v>
      </c>
      <c r="B15" s="1639">
        <f>B16</f>
        <v>2010</v>
      </c>
      <c r="C15" s="178"/>
      <c r="E15" s="113"/>
      <c r="I15" s="27"/>
      <c r="J15" s="27"/>
      <c r="K15" s="27"/>
      <c r="L15" s="27"/>
      <c r="M15" s="27"/>
      <c r="N15" s="27"/>
      <c r="O15" s="27"/>
      <c r="P15" s="27"/>
      <c r="Q15" s="27"/>
      <c r="R15" s="27"/>
      <c r="S15" s="55"/>
      <c r="U15" s="25"/>
      <c r="W15" s="56"/>
      <c r="X15" s="72"/>
      <c r="Y15" s="72"/>
      <c r="Z15" s="96"/>
      <c r="AA15" s="31"/>
      <c r="AB15" s="26"/>
    </row>
    <row r="16" spans="1:38" ht="13.5" customHeight="1">
      <c r="A16" s="56" t="s">
        <v>370</v>
      </c>
      <c r="B16" s="1221">
        <v>2010</v>
      </c>
      <c r="C16" s="178"/>
      <c r="E16" s="113"/>
      <c r="I16" s="26"/>
      <c r="J16" s="26"/>
      <c r="K16" s="26"/>
      <c r="L16" s="26"/>
      <c r="M16" s="26"/>
      <c r="N16" s="26"/>
      <c r="O16" s="26"/>
      <c r="P16" s="26"/>
      <c r="Q16" s="26"/>
      <c r="R16" s="26"/>
      <c r="S16" s="147"/>
      <c r="U16" s="25"/>
      <c r="W16" s="26"/>
      <c r="X16" s="26"/>
      <c r="Y16" s="26"/>
      <c r="Z16" s="26"/>
      <c r="AA16" s="26"/>
      <c r="AB16" s="26"/>
    </row>
    <row r="17" spans="1:29" ht="13.5" customHeight="1">
      <c r="A17" s="169" t="s">
        <v>253</v>
      </c>
      <c r="B17" s="170"/>
      <c r="C17" s="82"/>
      <c r="E17" s="113"/>
      <c r="I17" s="27"/>
      <c r="J17" s="27"/>
      <c r="K17" s="27"/>
      <c r="L17" s="27"/>
      <c r="M17" s="27"/>
      <c r="N17" s="27"/>
      <c r="O17" s="27"/>
      <c r="P17" s="27"/>
      <c r="Q17" s="27"/>
      <c r="R17" s="27"/>
      <c r="S17" s="55"/>
      <c r="U17" s="25"/>
    </row>
    <row r="18" spans="1:29" ht="13.5" customHeight="1">
      <c r="C18" s="38"/>
      <c r="E18" s="149"/>
      <c r="I18" s="27"/>
      <c r="J18" s="27"/>
      <c r="K18" s="27"/>
      <c r="L18" s="27"/>
      <c r="M18" s="27"/>
      <c r="N18" s="27"/>
      <c r="O18" s="27"/>
      <c r="P18" s="27"/>
      <c r="Q18" s="27"/>
      <c r="R18" s="27"/>
      <c r="S18" s="55"/>
      <c r="U18" s="25"/>
    </row>
    <row r="19" spans="1:29" ht="13.5" customHeight="1">
      <c r="E19" s="161" t="s">
        <v>1330</v>
      </c>
      <c r="F19" s="29"/>
      <c r="G19" s="32"/>
      <c r="H19" s="26"/>
      <c r="I19" s="31"/>
      <c r="J19" s="26"/>
      <c r="K19" s="72"/>
      <c r="L19" s="72"/>
      <c r="M19" s="72"/>
      <c r="N19" s="72"/>
      <c r="O19" s="96"/>
      <c r="P19" s="31"/>
      <c r="Q19" s="26"/>
      <c r="R19" s="26"/>
      <c r="S19" s="147"/>
      <c r="U19" s="25"/>
    </row>
    <row r="20" spans="1:29" ht="13.5" customHeight="1" thickBot="1">
      <c r="E20" s="162" t="s">
        <v>2329</v>
      </c>
      <c r="F20" s="163"/>
      <c r="G20" s="164"/>
      <c r="H20" s="13"/>
      <c r="I20" s="165"/>
      <c r="J20" s="13"/>
      <c r="K20" s="166"/>
      <c r="L20" s="166"/>
      <c r="M20" s="166"/>
      <c r="N20" s="166"/>
      <c r="O20" s="167"/>
      <c r="P20" s="165"/>
      <c r="Q20" s="13"/>
      <c r="R20" s="13"/>
      <c r="S20" s="168"/>
      <c r="U20" s="25"/>
    </row>
    <row r="21" spans="1:29" ht="13.5" customHeight="1" thickTop="1">
      <c r="E21" s="95"/>
      <c r="F21" s="29"/>
      <c r="G21" s="32"/>
      <c r="H21" s="26"/>
      <c r="I21" s="31"/>
      <c r="J21" s="26"/>
      <c r="K21" s="72"/>
      <c r="L21" s="72"/>
      <c r="M21" s="72"/>
      <c r="N21" s="72"/>
      <c r="O21" s="96"/>
      <c r="P21" s="31"/>
      <c r="Q21" s="26"/>
      <c r="R21" s="26"/>
      <c r="S21" s="26"/>
      <c r="U21" s="25"/>
    </row>
    <row r="22" spans="1:29" ht="13.5" customHeight="1" thickBot="1">
      <c r="B22" s="27"/>
      <c r="C22" s="27"/>
      <c r="D22" s="69"/>
      <c r="E22" s="37"/>
      <c r="F22" s="37"/>
      <c r="G22" s="37"/>
      <c r="H22" s="37"/>
      <c r="I22" s="37"/>
      <c r="J22" s="37"/>
      <c r="K22" s="37"/>
      <c r="L22" s="27"/>
      <c r="M22" s="27"/>
      <c r="N22" s="27"/>
      <c r="O22" s="27"/>
      <c r="P22" s="27"/>
      <c r="Q22" s="27"/>
      <c r="R22" s="27"/>
      <c r="S22" s="27"/>
    </row>
    <row r="23" spans="1:29" ht="13.5" customHeight="1" thickTop="1" thickBot="1">
      <c r="A23" s="122" t="s">
        <v>1173</v>
      </c>
      <c r="B23" s="88"/>
      <c r="C23" s="88"/>
      <c r="D23" s="125" t="s">
        <v>1319</v>
      </c>
      <c r="E23" s="151"/>
      <c r="F23" s="151"/>
      <c r="G23" s="151"/>
      <c r="H23" s="151"/>
      <c r="I23" s="151"/>
      <c r="J23" s="151"/>
      <c r="K23" s="152"/>
      <c r="L23" s="27"/>
      <c r="M23" s="27"/>
      <c r="N23" s="27"/>
      <c r="O23" s="27"/>
      <c r="P23" s="27"/>
      <c r="Q23" s="27"/>
      <c r="R23" s="27"/>
      <c r="S23" s="27"/>
    </row>
    <row r="24" spans="1:29" ht="13.5" customHeight="1" thickTop="1">
      <c r="A24" s="99"/>
      <c r="B24" s="100"/>
      <c r="C24" s="100"/>
      <c r="D24" s="157" t="s">
        <v>1320</v>
      </c>
      <c r="E24" s="102"/>
      <c r="F24" s="173"/>
      <c r="G24" s="2298" t="s">
        <v>1321</v>
      </c>
      <c r="H24" s="2396"/>
      <c r="I24" s="102"/>
      <c r="J24" s="102"/>
      <c r="K24" s="67"/>
    </row>
    <row r="25" spans="1:29" s="27" customFormat="1" ht="13.5" customHeight="1">
      <c r="A25" s="104"/>
      <c r="B25" s="105"/>
      <c r="C25" s="105"/>
      <c r="D25" s="153"/>
      <c r="E25" s="154"/>
      <c r="F25" s="172" t="s">
        <v>1096</v>
      </c>
      <c r="G25" s="154"/>
      <c r="H25" s="154" t="s">
        <v>1439</v>
      </c>
      <c r="I25" s="154"/>
      <c r="J25" s="154" t="s">
        <v>1434</v>
      </c>
      <c r="K25" s="156" t="s">
        <v>794</v>
      </c>
      <c r="M25" s="3663"/>
      <c r="N25" s="3663"/>
      <c r="O25" s="3663"/>
      <c r="P25" s="3663"/>
      <c r="Q25" s="3663"/>
      <c r="R25" s="3663"/>
      <c r="S25" s="3663"/>
      <c r="T25" s="3663"/>
      <c r="U25" s="3663"/>
      <c r="V25" s="3663"/>
      <c r="W25" s="3663"/>
      <c r="X25" s="3663"/>
      <c r="Y25" s="3663"/>
      <c r="Z25" s="3663"/>
      <c r="AA25" s="3663"/>
      <c r="AB25" s="3663"/>
      <c r="AC25" s="3663"/>
    </row>
    <row r="26" spans="1:29" s="27" customFormat="1" ht="13.5" customHeight="1" thickBot="1">
      <c r="A26" s="809" t="s">
        <v>1328</v>
      </c>
      <c r="B26" s="105"/>
      <c r="C26" s="105"/>
      <c r="D26" s="153" t="s">
        <v>1418</v>
      </c>
      <c r="E26" s="154" t="s">
        <v>1419</v>
      </c>
      <c r="F26" s="172" t="s">
        <v>1329</v>
      </c>
      <c r="G26" s="154" t="s">
        <v>1322</v>
      </c>
      <c r="H26" s="154" t="s">
        <v>1436</v>
      </c>
      <c r="I26" s="154" t="s">
        <v>1323</v>
      </c>
      <c r="J26" s="154" t="s">
        <v>1436</v>
      </c>
      <c r="K26" s="156" t="s">
        <v>1436</v>
      </c>
      <c r="M26" s="68"/>
      <c r="N26" s="68"/>
      <c r="O26" s="68"/>
      <c r="P26" s="68"/>
      <c r="Q26" s="68"/>
      <c r="R26" s="68"/>
      <c r="S26" s="68"/>
      <c r="T26" s="68"/>
      <c r="U26" s="68"/>
      <c r="V26" s="68"/>
      <c r="W26" s="68"/>
      <c r="X26" s="68"/>
      <c r="Y26" s="68"/>
      <c r="Z26" s="68"/>
      <c r="AA26" s="68"/>
      <c r="AB26" s="68"/>
      <c r="AC26" s="68"/>
    </row>
    <row r="27" spans="1:29" ht="13.5" customHeight="1" thickTop="1">
      <c r="A27" s="1970" t="s">
        <v>1324</v>
      </c>
      <c r="B27" s="27"/>
      <c r="C27" s="32"/>
      <c r="D27" s="2900">
        <v>4.0104314095267997</v>
      </c>
      <c r="E27" s="2901">
        <v>2.2471969113600845</v>
      </c>
      <c r="F27" s="2901">
        <v>2.4648884019718214</v>
      </c>
      <c r="G27" s="2901">
        <v>8.1491845707284902</v>
      </c>
      <c r="H27" s="2901">
        <v>8.1491845707284902</v>
      </c>
      <c r="I27" s="2901">
        <v>8.1491845707284902</v>
      </c>
      <c r="J27" s="2901">
        <v>9.4600000000000009</v>
      </c>
      <c r="K27" s="2902">
        <f>H27</f>
        <v>8.1491845707284902</v>
      </c>
    </row>
    <row r="28" spans="1:29" ht="13.5" customHeight="1">
      <c r="A28" s="1970" t="s">
        <v>1325</v>
      </c>
      <c r="B28" s="27"/>
      <c r="C28" s="82"/>
      <c r="D28" s="2899">
        <v>6.7691797186801859</v>
      </c>
      <c r="E28" s="2397">
        <v>3.8010651577534533</v>
      </c>
      <c r="F28" s="2397">
        <v>4.5198996044223652</v>
      </c>
      <c r="G28" s="2397">
        <v>11.215165427545458</v>
      </c>
      <c r="H28" s="2397">
        <v>11.215165427545458</v>
      </c>
      <c r="I28" s="2397">
        <v>11.215165427545458</v>
      </c>
      <c r="J28" s="2397">
        <v>18.45</v>
      </c>
      <c r="K28" s="2903">
        <f>H28</f>
        <v>11.215165427545458</v>
      </c>
    </row>
    <row r="29" spans="1:29" ht="13.5" customHeight="1">
      <c r="A29" s="1970" t="s">
        <v>1326</v>
      </c>
      <c r="B29" s="27"/>
      <c r="C29" s="82"/>
      <c r="D29" s="2899">
        <v>12.327493659651349</v>
      </c>
      <c r="E29" s="2397">
        <v>6.3032277631154434</v>
      </c>
      <c r="F29" s="2397">
        <v>8.2353120699744071</v>
      </c>
      <c r="G29" s="2397">
        <v>16.811075554910584</v>
      </c>
      <c r="H29" s="2397">
        <v>16.811075554910584</v>
      </c>
      <c r="I29" s="2397">
        <v>16.811075554910584</v>
      </c>
      <c r="J29" s="2397">
        <v>33.31</v>
      </c>
      <c r="K29" s="2903">
        <f>H29</f>
        <v>16.811075554910584</v>
      </c>
    </row>
    <row r="30" spans="1:29" ht="13.5" customHeight="1">
      <c r="A30" s="1970" t="s">
        <v>1327</v>
      </c>
      <c r="B30" s="27"/>
      <c r="C30" s="82"/>
      <c r="D30" s="2899">
        <f>'Source VoT'!D45</f>
        <v>9.952950318575903</v>
      </c>
      <c r="E30" s="2397">
        <f>'Source VoT'!D46</f>
        <v>4.5428252146458146</v>
      </c>
      <c r="F30" s="2397">
        <v>5.9259313252961281</v>
      </c>
      <c r="G30" s="2397">
        <f>'Source VoT'!$D$27</f>
        <v>14.864388217189035</v>
      </c>
      <c r="H30" s="2397">
        <f>'Source VoT'!$D$27</f>
        <v>14.864388217189035</v>
      </c>
      <c r="I30" s="2397">
        <f>'Source VoT'!$D$27</f>
        <v>14.864388217189035</v>
      </c>
      <c r="J30" s="2397">
        <v>13.97</v>
      </c>
      <c r="K30" s="2903">
        <f>H30</f>
        <v>14.864388217189035</v>
      </c>
      <c r="M30" s="3661"/>
      <c r="N30" s="3662"/>
      <c r="O30" s="3662"/>
      <c r="P30" s="3662"/>
      <c r="Q30" s="3662"/>
      <c r="R30" s="3662"/>
      <c r="S30" s="3662"/>
      <c r="T30" s="3662"/>
      <c r="U30" s="3662"/>
      <c r="V30" s="3662"/>
      <c r="W30" s="3662"/>
      <c r="X30" s="3662"/>
      <c r="Y30" s="3662"/>
      <c r="Z30" s="3662"/>
      <c r="AA30" s="3662"/>
      <c r="AB30" s="3662"/>
      <c r="AC30" s="3662"/>
    </row>
    <row r="31" spans="1:29" ht="13.5" customHeight="1" thickBot="1">
      <c r="A31" s="92"/>
      <c r="B31" s="93"/>
      <c r="C31" s="93"/>
      <c r="D31" s="98"/>
      <c r="E31" s="78"/>
      <c r="F31" s="78"/>
      <c r="G31" s="78"/>
      <c r="H31" s="78"/>
      <c r="I31" s="78"/>
      <c r="J31" s="78"/>
      <c r="K31" s="79"/>
      <c r="M31" s="3662"/>
      <c r="N31" s="3662"/>
      <c r="O31" s="3662"/>
      <c r="P31" s="3662"/>
      <c r="Q31" s="3662"/>
      <c r="R31" s="3662"/>
      <c r="S31" s="3662"/>
      <c r="T31" s="3662"/>
      <c r="U31" s="3662"/>
      <c r="V31" s="3662"/>
      <c r="W31" s="3662"/>
      <c r="X31" s="3662"/>
      <c r="Y31" s="3662"/>
      <c r="Z31" s="3662"/>
      <c r="AA31" s="3662"/>
      <c r="AB31" s="3662"/>
      <c r="AC31" s="3662"/>
    </row>
    <row r="32" spans="1:29" ht="13.5" customHeight="1" thickTop="1"/>
    <row r="33" spans="4:6" ht="13.5" customHeight="1">
      <c r="D33" s="31"/>
    </row>
    <row r="34" spans="4:6" ht="13.5" customHeight="1"/>
    <row r="35" spans="4:6" ht="13.5" customHeight="1"/>
    <row r="36" spans="4:6" ht="13.5" customHeight="1">
      <c r="F36" s="2555"/>
    </row>
    <row r="37" spans="4:6" ht="13.5" customHeight="1"/>
    <row r="38" spans="4:6" ht="13.5" customHeight="1"/>
    <row r="39" spans="4:6" ht="13.5" customHeight="1"/>
    <row r="40" spans="4:6" ht="13.5" customHeight="1"/>
    <row r="41" spans="4:6" ht="13.5" customHeight="1"/>
    <row r="42" spans="4:6" ht="13.5" customHeight="1"/>
    <row r="43" spans="4:6" ht="13.5" customHeight="1"/>
    <row r="44" spans="4:6" ht="13.5" customHeight="1"/>
    <row r="45" spans="4:6" ht="13.5" customHeight="1"/>
    <row r="46" spans="4:6" ht="13.5" customHeight="1"/>
    <row r="47" spans="4:6" ht="13.5" customHeight="1"/>
    <row r="48" spans="4:6"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sheetData>
  <sheetProtection sheet="1" objects="1" scenarios="1"/>
  <mergeCells count="8">
    <mergeCell ref="M30:AC31"/>
    <mergeCell ref="A10:B10"/>
    <mergeCell ref="A1:B1"/>
    <mergeCell ref="A7:B7"/>
    <mergeCell ref="A8:B8"/>
    <mergeCell ref="A9:B9"/>
    <mergeCell ref="A11:B11"/>
    <mergeCell ref="M25:AC25"/>
  </mergeCells>
  <phoneticPr fontId="8" type="noConversion"/>
  <hyperlinks>
    <hyperlink ref="A10" location="Contents!A1" display="Contents"/>
    <hyperlink ref="A10:B10" location="Contents!A1" tooltip="Contents page" display="Contents"/>
    <hyperlink ref="A11:B11" r:id="rId1" tooltip="Unit M2: Variable Demand Modelling" display="WebTAG Unit M2"/>
  </hyperlinks>
  <pageMargins left="0.75" right="0.75" top="1" bottom="1" header="0.5" footer="0.5"/>
  <pageSetup paperSize="9" orientation="portrait" r:id="rId2"/>
  <headerFooter alignWithMargins="0"/>
  <drawing r:id="rId3"/>
  <legacyDrawing r:id="rId4"/>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tabColor indexed="17"/>
    <pageSetUpPr fitToPage="1"/>
  </sheetPr>
  <dimension ref="A1:AL98"/>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B9"/>
    </sheetView>
  </sheetViews>
  <sheetFormatPr defaultColWidth="9.109375" defaultRowHeight="13.2"/>
  <cols>
    <col min="1" max="19" width="12.88671875" style="33" customWidth="1"/>
    <col min="20" max="20" width="3.88671875" style="33" customWidth="1"/>
    <col min="21" max="25" width="9.109375" style="33"/>
    <col min="26" max="26" width="10.664062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2332</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30</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867" t="str">
        <f>Audit!A12</f>
        <v>May 2019 v1.12</v>
      </c>
      <c r="B7" s="3868"/>
      <c r="C7" s="26"/>
      <c r="E7" s="1687" t="s">
        <v>11</v>
      </c>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30">
        <f>Audit!C12</f>
        <v>43586</v>
      </c>
      <c r="B8" s="3631"/>
      <c r="C8" s="26"/>
      <c r="D8" s="147"/>
      <c r="E8" s="3105" t="s">
        <v>31</v>
      </c>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2053" t="s">
        <v>1903</v>
      </c>
      <c r="I9" s="27"/>
      <c r="J9" s="27"/>
      <c r="K9" s="27"/>
      <c r="L9" s="27"/>
      <c r="M9" s="27"/>
      <c r="N9" s="27"/>
      <c r="O9" s="27"/>
      <c r="P9" s="27"/>
      <c r="Q9" s="27"/>
      <c r="R9" s="27"/>
      <c r="S9" s="55"/>
      <c r="W9" s="26"/>
      <c r="X9" s="26"/>
      <c r="Y9" s="26"/>
      <c r="Z9" s="26"/>
      <c r="AA9" s="31"/>
      <c r="AB9" s="26"/>
      <c r="AL9" s="87"/>
    </row>
    <row r="10" spans="1:38" s="38" customFormat="1" ht="13.5" customHeight="1" thickBot="1">
      <c r="A10" s="3570" t="s">
        <v>1306</v>
      </c>
      <c r="B10" s="3610"/>
      <c r="E10" s="113"/>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570" t="s">
        <v>2333</v>
      </c>
      <c r="B11" s="3610"/>
      <c r="E11" s="3864" t="s">
        <v>33</v>
      </c>
      <c r="F11" s="3865"/>
      <c r="G11" s="3865"/>
      <c r="H11" s="3865"/>
      <c r="I11" s="3865"/>
      <c r="J11" s="3865"/>
      <c r="K11" s="3865"/>
      <c r="L11" s="3865"/>
      <c r="M11" s="3865"/>
      <c r="N11" s="3865"/>
      <c r="O11" s="3865"/>
      <c r="P11" s="3865"/>
      <c r="Q11" s="3865"/>
      <c r="R11" s="3865"/>
      <c r="S11" s="3771"/>
      <c r="W11" s="26"/>
      <c r="X11" s="26"/>
      <c r="Y11" s="26"/>
      <c r="Z11" s="26"/>
      <c r="AA11" s="31"/>
      <c r="AB11" s="26"/>
      <c r="AL11" s="87"/>
    </row>
    <row r="12" spans="1:38" s="38" customFormat="1" ht="13.5" customHeight="1">
      <c r="A12" s="3866"/>
      <c r="B12" s="3866"/>
      <c r="E12" s="3772"/>
      <c r="F12" s="3865"/>
      <c r="G12" s="3865"/>
      <c r="H12" s="3865"/>
      <c r="I12" s="3865"/>
      <c r="J12" s="3865"/>
      <c r="K12" s="3865"/>
      <c r="L12" s="3865"/>
      <c r="M12" s="3865"/>
      <c r="N12" s="3865"/>
      <c r="O12" s="3865"/>
      <c r="P12" s="3865"/>
      <c r="Q12" s="3865"/>
      <c r="R12" s="3865"/>
      <c r="S12" s="3771"/>
      <c r="W12" s="26"/>
      <c r="X12" s="26"/>
      <c r="Y12" s="26"/>
      <c r="Z12" s="26"/>
      <c r="AA12" s="31"/>
      <c r="AB12" s="26"/>
      <c r="AL12" s="87"/>
    </row>
    <row r="13" spans="1:38" s="38" customFormat="1" ht="13.5" customHeight="1">
      <c r="A13" s="172" t="s">
        <v>252</v>
      </c>
      <c r="B13" s="194"/>
      <c r="E13" s="113"/>
      <c r="I13" s="27"/>
      <c r="J13" s="26"/>
      <c r="K13" s="26"/>
      <c r="L13" s="26"/>
      <c r="M13" s="27"/>
      <c r="N13" s="27"/>
      <c r="O13" s="27"/>
      <c r="P13" s="27"/>
      <c r="Q13" s="27"/>
      <c r="R13" s="27"/>
      <c r="S13" s="55"/>
      <c r="W13" s="26"/>
      <c r="X13" s="26"/>
      <c r="Y13" s="26"/>
      <c r="Z13" s="26"/>
      <c r="AA13" s="31"/>
      <c r="AB13" s="26"/>
      <c r="AL13" s="87"/>
    </row>
    <row r="14" spans="1:38" ht="13.5" customHeight="1">
      <c r="A14" s="2441"/>
      <c r="B14" s="2456"/>
      <c r="C14" s="82"/>
      <c r="E14" s="114"/>
      <c r="I14" s="27"/>
      <c r="J14" s="27"/>
      <c r="K14" s="27"/>
      <c r="L14" s="27"/>
      <c r="M14" s="27"/>
      <c r="N14" s="27"/>
      <c r="O14" s="27"/>
      <c r="P14" s="27"/>
      <c r="Q14" s="27"/>
      <c r="R14" s="27"/>
      <c r="S14" s="55"/>
      <c r="W14" s="72"/>
      <c r="X14" s="72"/>
      <c r="Y14" s="72"/>
      <c r="Z14" s="96"/>
      <c r="AA14" s="31"/>
      <c r="AB14" s="26"/>
    </row>
    <row r="15" spans="1:38" ht="13.5" customHeight="1">
      <c r="A15" s="2452"/>
      <c r="B15" s="2446"/>
      <c r="C15" s="7"/>
      <c r="E15" s="113"/>
      <c r="I15" s="27"/>
      <c r="J15" s="27"/>
      <c r="K15" s="27"/>
      <c r="L15" s="27"/>
      <c r="M15" s="27"/>
      <c r="N15" s="27"/>
      <c r="O15" s="27"/>
      <c r="P15" s="27"/>
      <c r="Q15" s="27"/>
      <c r="R15" s="27"/>
      <c r="S15" s="55"/>
      <c r="U15" s="25"/>
      <c r="W15" s="56"/>
      <c r="X15" s="72"/>
      <c r="Y15" s="72"/>
      <c r="Z15" s="96"/>
      <c r="AA15" s="31"/>
      <c r="AB15" s="26"/>
    </row>
    <row r="16" spans="1:38" ht="13.5" customHeight="1">
      <c r="A16" s="2453"/>
      <c r="B16" s="2453"/>
      <c r="C16" s="7"/>
      <c r="E16" s="113"/>
      <c r="I16" s="26"/>
      <c r="J16" s="26"/>
      <c r="K16" s="26"/>
      <c r="L16" s="26"/>
      <c r="M16" s="26"/>
      <c r="N16" s="26"/>
      <c r="O16" s="26"/>
      <c r="P16" s="26"/>
      <c r="Q16" s="26"/>
      <c r="R16" s="26"/>
      <c r="S16" s="147"/>
      <c r="U16" s="25"/>
      <c r="W16" s="26"/>
      <c r="X16" s="26"/>
      <c r="Y16" s="26"/>
      <c r="Z16" s="26"/>
      <c r="AA16" s="26"/>
      <c r="AB16" s="26"/>
    </row>
    <row r="17" spans="1:37" ht="13.5" customHeight="1">
      <c r="A17" s="169" t="s">
        <v>253</v>
      </c>
      <c r="B17" s="170"/>
      <c r="C17" s="82"/>
      <c r="E17" s="113"/>
      <c r="I17" s="27"/>
      <c r="J17" s="27"/>
      <c r="K17" s="27"/>
      <c r="L17" s="27"/>
      <c r="M17" s="27"/>
      <c r="N17" s="27"/>
      <c r="O17" s="27"/>
      <c r="P17" s="27"/>
      <c r="Q17" s="27"/>
      <c r="R17" s="27"/>
      <c r="S17" s="55"/>
      <c r="U17" s="25"/>
    </row>
    <row r="18" spans="1:37" ht="13.5" customHeight="1">
      <c r="A18" s="2424"/>
      <c r="B18" s="2424"/>
      <c r="C18" s="38"/>
      <c r="D18" s="55"/>
      <c r="E18" s="56"/>
      <c r="I18" s="27"/>
      <c r="J18" s="27"/>
      <c r="K18" s="27"/>
      <c r="L18" s="27"/>
      <c r="M18" s="27"/>
      <c r="N18" s="27"/>
      <c r="O18" s="27"/>
      <c r="P18" s="27"/>
      <c r="Q18" s="27"/>
      <c r="R18" s="27"/>
      <c r="S18" s="55"/>
      <c r="U18" s="25"/>
    </row>
    <row r="19" spans="1:37" ht="13.5" customHeight="1">
      <c r="A19" s="2424"/>
      <c r="B19" s="2424"/>
      <c r="D19" s="55"/>
      <c r="E19" s="240" t="s">
        <v>2385</v>
      </c>
      <c r="F19" s="29"/>
      <c r="G19" s="32"/>
      <c r="H19" s="26"/>
      <c r="I19" s="31"/>
      <c r="J19" s="26"/>
      <c r="K19" s="72"/>
      <c r="L19" s="72"/>
      <c r="M19" s="72"/>
      <c r="N19" s="72"/>
      <c r="O19" s="96"/>
      <c r="P19" s="31"/>
      <c r="Q19" s="26"/>
      <c r="R19" s="26"/>
      <c r="S19" s="147"/>
      <c r="U19" s="25"/>
    </row>
    <row r="20" spans="1:37" ht="13.5" customHeight="1" thickBot="1">
      <c r="A20" s="2424"/>
      <c r="B20" s="2424"/>
      <c r="E20" s="162"/>
      <c r="F20" s="163"/>
      <c r="G20" s="164"/>
      <c r="H20" s="13"/>
      <c r="I20" s="165"/>
      <c r="J20" s="13"/>
      <c r="K20" s="166"/>
      <c r="L20" s="166"/>
      <c r="M20" s="166"/>
      <c r="N20" s="166"/>
      <c r="O20" s="167"/>
      <c r="P20" s="165"/>
      <c r="Q20" s="13"/>
      <c r="R20" s="13"/>
      <c r="S20" s="168"/>
      <c r="U20" s="25"/>
    </row>
    <row r="21" spans="1:37" ht="13.5" customHeight="1" thickTop="1">
      <c r="A21" s="2424"/>
      <c r="B21" s="2424"/>
      <c r="E21" s="95"/>
      <c r="F21" s="29"/>
      <c r="G21" s="32"/>
      <c r="H21" s="26"/>
      <c r="I21" s="31"/>
      <c r="J21" s="26"/>
      <c r="K21" s="72"/>
      <c r="L21" s="72"/>
      <c r="M21" s="72"/>
      <c r="N21" s="72"/>
      <c r="O21" s="96"/>
      <c r="P21" s="31"/>
      <c r="Q21" s="26"/>
      <c r="R21" s="26"/>
      <c r="S21" s="26"/>
      <c r="U21" s="25"/>
    </row>
    <row r="22" spans="1:37" ht="13.5" customHeight="1" thickBot="1">
      <c r="B22" s="27"/>
      <c r="C22" s="27"/>
      <c r="D22" s="43"/>
      <c r="E22" s="27"/>
      <c r="F22" s="27"/>
      <c r="G22" s="27"/>
      <c r="H22" s="27"/>
      <c r="I22" s="27"/>
      <c r="J22" s="27"/>
      <c r="K22" s="27"/>
      <c r="L22" s="27"/>
      <c r="M22" s="27"/>
      <c r="N22" s="27"/>
      <c r="O22" s="27"/>
      <c r="P22" s="27"/>
      <c r="Q22" s="27"/>
      <c r="R22" s="27"/>
      <c r="S22" s="27"/>
    </row>
    <row r="23" spans="1:37" ht="13.5" customHeight="1" thickTop="1">
      <c r="A23" s="174" t="s">
        <v>1213</v>
      </c>
      <c r="B23" s="1602"/>
      <c r="C23" s="1684"/>
      <c r="D23" s="1602"/>
      <c r="E23" s="2075"/>
      <c r="F23" s="2076"/>
      <c r="G23" s="18"/>
      <c r="H23" s="18"/>
      <c r="I23" s="18"/>
      <c r="J23" s="18"/>
      <c r="K23" s="18"/>
      <c r="L23" s="18"/>
      <c r="M23" s="18"/>
      <c r="N23" s="18"/>
      <c r="O23" s="18"/>
      <c r="P23" s="18"/>
      <c r="Q23" s="18"/>
      <c r="R23" s="18"/>
      <c r="S23" s="18"/>
    </row>
    <row r="24" spans="1:37" ht="13.5" customHeight="1" thickBot="1">
      <c r="A24" s="836" t="s">
        <v>956</v>
      </c>
      <c r="B24" s="1701"/>
      <c r="C24" s="1701"/>
      <c r="D24" s="1605"/>
      <c r="E24" s="1702"/>
      <c r="F24" s="1703"/>
      <c r="G24" s="18"/>
      <c r="H24" s="18"/>
      <c r="I24" s="18"/>
      <c r="J24" s="18"/>
      <c r="K24" s="18"/>
      <c r="L24" s="18"/>
      <c r="M24" s="18"/>
      <c r="N24" s="18"/>
      <c r="O24" s="18"/>
      <c r="P24" s="18"/>
      <c r="Q24" s="18"/>
      <c r="R24" s="18"/>
      <c r="S24" s="18"/>
    </row>
    <row r="25" spans="1:37" s="27" customFormat="1" ht="13.5" customHeight="1" thickTop="1" thickBot="1">
      <c r="A25" s="2074" t="s">
        <v>34</v>
      </c>
      <c r="B25" s="659"/>
      <c r="C25" s="393"/>
      <c r="D25" s="2488" t="s">
        <v>953</v>
      </c>
      <c r="E25" s="2489" t="s">
        <v>954</v>
      </c>
      <c r="F25" s="2490" t="s">
        <v>955</v>
      </c>
      <c r="G25" s="459"/>
      <c r="H25" s="459"/>
      <c r="I25" s="459"/>
      <c r="J25" s="459"/>
      <c r="K25" s="459"/>
      <c r="L25" s="459"/>
      <c r="M25" s="459"/>
      <c r="N25" s="459"/>
      <c r="O25" s="459"/>
      <c r="P25" s="459"/>
      <c r="Q25" s="459"/>
      <c r="R25" s="459"/>
      <c r="S25" s="459"/>
      <c r="U25" s="68"/>
      <c r="V25" s="68"/>
      <c r="W25" s="68"/>
      <c r="X25" s="68"/>
      <c r="Y25" s="68"/>
      <c r="Z25" s="68"/>
      <c r="AA25" s="68"/>
      <c r="AB25" s="68"/>
      <c r="AC25" s="68"/>
      <c r="AD25" s="68"/>
      <c r="AE25" s="68"/>
      <c r="AF25" s="68"/>
      <c r="AG25" s="68"/>
      <c r="AH25" s="68"/>
      <c r="AI25" s="68"/>
      <c r="AJ25" s="68"/>
      <c r="AK25" s="68"/>
    </row>
    <row r="26" spans="1:37" ht="13.5" customHeight="1" thickTop="1">
      <c r="A26" s="2054" t="s">
        <v>35</v>
      </c>
      <c r="B26" s="32"/>
      <c r="C26" s="32"/>
      <c r="D26" s="2491">
        <f>IF('Soft bus'!D26="","",'Soft bus'!D26)</f>
        <v>1.22</v>
      </c>
      <c r="E26" s="2061" t="str">
        <f>IF('Soft bus'!E26="","",'Soft bus'!E26)</f>
        <v/>
      </c>
      <c r="F26" s="2492" t="str">
        <f>IF('Soft bus'!F26="","",'Soft bus'!F26)</f>
        <v/>
      </c>
      <c r="G26" s="73"/>
      <c r="H26" s="73"/>
      <c r="I26" s="73"/>
      <c r="J26" s="73"/>
      <c r="K26" s="73"/>
      <c r="L26" s="73"/>
      <c r="M26" s="73"/>
      <c r="N26" s="73"/>
      <c r="O26" s="73"/>
      <c r="P26" s="73"/>
      <c r="Q26" s="73"/>
      <c r="R26" s="65"/>
      <c r="S26" s="65"/>
    </row>
    <row r="27" spans="1:37" ht="13.5" customHeight="1">
      <c r="A27" s="2054" t="s">
        <v>36</v>
      </c>
      <c r="B27" s="82"/>
      <c r="C27" s="82"/>
      <c r="D27" s="2493">
        <f>IF('Soft bus'!D27="","",'Soft bus'!D27)</f>
        <v>3.7</v>
      </c>
      <c r="E27" s="2060">
        <f>IF('Soft bus'!E27="","",'Soft bus'!E27)</f>
        <v>2.4900000000000002</v>
      </c>
      <c r="F27" s="2494">
        <f>IF('Soft bus'!F27="","",'Soft bus'!F27)</f>
        <v>2.91</v>
      </c>
      <c r="G27" s="73"/>
      <c r="H27" s="73"/>
      <c r="I27" s="73"/>
      <c r="J27" s="73"/>
      <c r="K27" s="73"/>
      <c r="L27" s="73"/>
      <c r="M27" s="73"/>
      <c r="N27" s="73"/>
      <c r="O27" s="73"/>
      <c r="P27" s="73"/>
      <c r="Q27" s="73"/>
      <c r="R27" s="65"/>
      <c r="S27" s="65"/>
    </row>
    <row r="28" spans="1:37" ht="13.5" customHeight="1">
      <c r="A28" s="2054" t="s">
        <v>37</v>
      </c>
      <c r="B28" s="27"/>
      <c r="C28" s="27"/>
      <c r="D28" s="2493">
        <f>IF('Soft bus'!D28="","",'Soft bus'!D28)</f>
        <v>1.66</v>
      </c>
      <c r="E28" s="2060">
        <f>IF('Soft bus'!E28="","",'Soft bus'!E28)</f>
        <v>3.18</v>
      </c>
      <c r="F28" s="2494">
        <f>IF('Soft bus'!F28="","",'Soft bus'!F28)</f>
        <v>2.54</v>
      </c>
    </row>
    <row r="29" spans="1:37" ht="13.5" customHeight="1">
      <c r="A29" s="2054" t="s">
        <v>945</v>
      </c>
      <c r="B29" s="27"/>
      <c r="C29" s="27"/>
      <c r="D29" s="2493">
        <f>IF('Soft bus'!D29="","",'Soft bus'!D29)</f>
        <v>1.24</v>
      </c>
      <c r="E29" s="2060" t="str">
        <f>IF('Soft bus'!E29="","",'Soft bus'!E29)</f>
        <v/>
      </c>
      <c r="F29" s="2494" t="str">
        <f>IF('Soft bus'!F29="","",'Soft bus'!F29)</f>
        <v/>
      </c>
    </row>
    <row r="30" spans="1:37" ht="13.5" customHeight="1">
      <c r="A30" s="2054" t="s">
        <v>946</v>
      </c>
      <c r="B30" s="27"/>
      <c r="C30" s="27"/>
      <c r="D30" s="2493">
        <f>IF('Soft bus'!D30="","",'Soft bus'!D30)</f>
        <v>1.08</v>
      </c>
      <c r="E30" s="2060" t="str">
        <f>IF('Soft bus'!E30="","",'Soft bus'!E30)</f>
        <v/>
      </c>
      <c r="F30" s="2494" t="str">
        <f>IF('Soft bus'!F30="","",'Soft bus'!F30)</f>
        <v/>
      </c>
    </row>
    <row r="31" spans="1:37" ht="13.5" customHeight="1">
      <c r="A31" s="2054" t="s">
        <v>947</v>
      </c>
      <c r="B31" s="27"/>
      <c r="C31" s="27"/>
      <c r="D31" s="2493">
        <f>IF('Soft bus'!D31="","",'Soft bus'!D31)</f>
        <v>1.19</v>
      </c>
      <c r="E31" s="2060">
        <f>IF('Soft bus'!E31="","",'Soft bus'!E31)</f>
        <v>2.23</v>
      </c>
      <c r="F31" s="2494">
        <f>IF('Soft bus'!F31="","",'Soft bus'!F31)</f>
        <v>1.78</v>
      </c>
    </row>
    <row r="32" spans="1:37" ht="13.5" customHeight="1">
      <c r="A32" s="2054" t="s">
        <v>948</v>
      </c>
      <c r="B32" s="27"/>
      <c r="C32" s="27"/>
      <c r="D32" s="2493">
        <f>IF('Soft bus'!D32="","",'Soft bus'!D32)</f>
        <v>1.27</v>
      </c>
      <c r="E32" s="2060" t="str">
        <f>IF('Soft bus'!E32="","",'Soft bus'!E32)</f>
        <v/>
      </c>
      <c r="F32" s="2494" t="str">
        <f>IF('Soft bus'!F32="","",'Soft bus'!F32)</f>
        <v/>
      </c>
    </row>
    <row r="33" spans="1:6" ht="13.5" customHeight="1">
      <c r="A33" s="2054" t="s">
        <v>949</v>
      </c>
      <c r="B33" s="27"/>
      <c r="C33" s="27"/>
      <c r="D33" s="2493">
        <f>IF('Soft bus'!D33="","",'Soft bus'!D33)</f>
        <v>1.9</v>
      </c>
      <c r="E33" s="2060">
        <f>IF('Soft bus'!E33="","",'Soft bus'!E33)</f>
        <v>0.89</v>
      </c>
      <c r="F33" s="2494">
        <f>IF('Soft bus'!F33="","",'Soft bus'!F33)</f>
        <v>1.29</v>
      </c>
    </row>
    <row r="34" spans="1:6" ht="13.5" customHeight="1">
      <c r="A34" s="2054" t="s">
        <v>950</v>
      </c>
      <c r="B34" s="27"/>
      <c r="C34" s="27"/>
      <c r="D34" s="2493">
        <f>IF('Soft bus'!D34="","",'Soft bus'!D34)</f>
        <v>1.47</v>
      </c>
      <c r="E34" s="2060">
        <f>IF('Soft bus'!E34="","",'Soft bus'!E34)</f>
        <v>1.74</v>
      </c>
      <c r="F34" s="2494">
        <f>IF('Soft bus'!F34="","",'Soft bus'!F34)</f>
        <v>1.69</v>
      </c>
    </row>
    <row r="35" spans="1:6" ht="13.5" customHeight="1">
      <c r="A35" s="2054" t="s">
        <v>951</v>
      </c>
      <c r="B35" s="27"/>
      <c r="C35" s="27"/>
      <c r="D35" s="2493">
        <f>IF('Soft bus'!D35="","",'Soft bus'!D35)</f>
        <v>0.84</v>
      </c>
      <c r="E35" s="2060">
        <f>IF('Soft bus'!E35="","",'Soft bus'!E35)</f>
        <v>2.06</v>
      </c>
      <c r="F35" s="2494">
        <f>IF('Soft bus'!F35="","",'Soft bus'!F35)</f>
        <v>1.43</v>
      </c>
    </row>
    <row r="36" spans="1:6" ht="13.5" customHeight="1" thickBot="1">
      <c r="A36" s="2055" t="s">
        <v>952</v>
      </c>
      <c r="B36" s="37"/>
      <c r="C36" s="37"/>
      <c r="D36" s="2495">
        <f>IF('Soft bus'!D36="","",'Soft bus'!D36)</f>
        <v>2.46</v>
      </c>
      <c r="E36" s="2062">
        <f>IF('Soft bus'!E36="","",'Soft bus'!E36)</f>
        <v>2.78</v>
      </c>
      <c r="F36" s="2496">
        <f>IF('Soft bus'!F36="","",'Soft bus'!F36)</f>
        <v>2.63</v>
      </c>
    </row>
    <row r="37" spans="1:6" ht="13.5" customHeight="1" thickTop="1"/>
    <row r="38" spans="1:6" ht="13.5" customHeight="1"/>
    <row r="39" spans="1:6" ht="13.5" customHeight="1"/>
    <row r="40" spans="1:6" ht="13.5" customHeight="1"/>
    <row r="41" spans="1:6" ht="13.5" customHeight="1"/>
    <row r="42" spans="1:6" ht="13.5" customHeight="1"/>
    <row r="43" spans="1:6" ht="13.5" customHeight="1"/>
    <row r="44" spans="1:6" ht="13.5" customHeight="1"/>
    <row r="45" spans="1:6" ht="13.5" customHeight="1"/>
    <row r="46" spans="1:6" ht="13.5" customHeight="1"/>
    <row r="47" spans="1:6" ht="13.5" customHeight="1"/>
    <row r="48" spans="1:6"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sheetData>
  <sheetProtection sheet="1" objects="1" scenarios="1"/>
  <mergeCells count="8">
    <mergeCell ref="E11:S12"/>
    <mergeCell ref="A12:B12"/>
    <mergeCell ref="A1:B1"/>
    <mergeCell ref="A7:B7"/>
    <mergeCell ref="A8:B8"/>
    <mergeCell ref="A9:B9"/>
    <mergeCell ref="A10:B10"/>
    <mergeCell ref="A11:B11"/>
  </mergeCells>
  <phoneticPr fontId="8" type="noConversion"/>
  <hyperlinks>
    <hyperlink ref="E9" r:id="rId1"/>
    <hyperlink ref="A10" location="Contents!A1" display="Contents"/>
    <hyperlink ref="A10:B10" location="Contents!A1" tooltip="Contents page" display="Contents"/>
    <hyperlink ref="A11:B11" r:id="rId2" tooltip="Unit M 3.2 Public Transport Assignment Modelling" display="WebTAG Unit M 3.2"/>
  </hyperlinks>
  <pageMargins left="0.75" right="0.75" top="1" bottom="1" header="0.5" footer="0.5"/>
  <pageSetup paperSize="9" scale="43" fitToHeight="0" orientation="landscape" r:id="rId3"/>
  <headerFooter alignWithMargins="0"/>
  <drawing r:id="rId4"/>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tabColor indexed="10"/>
  </sheetPr>
  <dimension ref="A1:AL94"/>
  <sheetViews>
    <sheetView showGridLines="0" zoomScale="85" zoomScaleNormal="85" workbookViewId="0">
      <pane xSplit="3" ySplit="25" topLeftCell="D26" activePane="bottomRight" state="frozen"/>
      <selection activeCell="E23" sqref="E23:F23"/>
      <selection pane="topRight" activeCell="E23" sqref="E23:F23"/>
      <selection pane="bottomLeft" activeCell="E23" sqref="E23:F23"/>
      <selection pane="bottomRight" activeCell="E23" sqref="E23:F23"/>
    </sheetView>
  </sheetViews>
  <sheetFormatPr defaultColWidth="9.109375" defaultRowHeight="13.2"/>
  <cols>
    <col min="1" max="19" width="12.88671875" style="33" customWidth="1"/>
    <col min="20" max="20" width="3.88671875" style="33" customWidth="1"/>
    <col min="21" max="25" width="9.109375" style="33"/>
    <col min="26" max="26" width="10.6640625" style="33" customWidth="1"/>
    <col min="27" max="27" width="12.109375" style="33" customWidth="1"/>
    <col min="28" max="16384" width="9.109375" style="33"/>
  </cols>
  <sheetData>
    <row r="1" spans="1:38" ht="54.9" customHeight="1">
      <c r="A1" s="3569"/>
      <c r="B1" s="3569"/>
      <c r="C1" s="112"/>
    </row>
    <row r="2" spans="1:38" ht="5.0999999999999996" customHeight="1">
      <c r="C2" s="111"/>
    </row>
    <row r="3" spans="1:38" s="20" customFormat="1" ht="20.100000000000001" customHeight="1">
      <c r="A3" s="83" t="s">
        <v>2332</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30</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46">
        <f>Audit!C12</f>
        <v>43586</v>
      </c>
      <c r="B8" s="3645"/>
      <c r="D8" s="147"/>
      <c r="E8" t="s">
        <v>31</v>
      </c>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2053" t="s">
        <v>32</v>
      </c>
      <c r="I9" s="27"/>
      <c r="J9" s="27"/>
      <c r="K9" s="27"/>
      <c r="L9" s="27"/>
      <c r="M9" s="27"/>
      <c r="N9" s="27"/>
      <c r="O9" s="27"/>
      <c r="P9" s="27"/>
      <c r="Q9" s="27"/>
      <c r="R9" s="27"/>
      <c r="S9" s="55"/>
      <c r="W9" s="26"/>
      <c r="X9" s="26"/>
      <c r="Y9" s="26"/>
      <c r="Z9" s="26"/>
      <c r="AA9" s="31"/>
      <c r="AB9" s="26"/>
      <c r="AL9" s="87"/>
    </row>
    <row r="10" spans="1:38" s="38" customFormat="1" ht="13.5" customHeight="1" thickBot="1">
      <c r="A10" s="3611" t="s">
        <v>1306</v>
      </c>
      <c r="B10" s="3612"/>
      <c r="E10" s="113"/>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611" t="s">
        <v>2333</v>
      </c>
      <c r="B11" s="3612"/>
      <c r="E11" s="3864" t="s">
        <v>33</v>
      </c>
      <c r="F11" s="3865"/>
      <c r="G11" s="3865"/>
      <c r="H11" s="3865"/>
      <c r="I11" s="3865"/>
      <c r="J11" s="3865"/>
      <c r="K11" s="3865"/>
      <c r="L11" s="3865"/>
      <c r="M11" s="3865"/>
      <c r="N11" s="3865"/>
      <c r="O11" s="3865"/>
      <c r="P11" s="3865"/>
      <c r="Q11" s="3865"/>
      <c r="R11" s="3865"/>
      <c r="S11" s="3771"/>
      <c r="W11" s="26"/>
      <c r="X11" s="26"/>
      <c r="Y11" s="26"/>
      <c r="Z11" s="26"/>
      <c r="AA11" s="31"/>
      <c r="AB11" s="26"/>
      <c r="AL11" s="87"/>
    </row>
    <row r="12" spans="1:38" s="38" customFormat="1" ht="13.5" customHeight="1">
      <c r="A12" s="3618"/>
      <c r="B12" s="3618"/>
      <c r="E12" s="3772"/>
      <c r="F12" s="3865"/>
      <c r="G12" s="3865"/>
      <c r="H12" s="3865"/>
      <c r="I12" s="3865"/>
      <c r="J12" s="3865"/>
      <c r="K12" s="3865"/>
      <c r="L12" s="3865"/>
      <c r="M12" s="3865"/>
      <c r="N12" s="3865"/>
      <c r="O12" s="3865"/>
      <c r="P12" s="3865"/>
      <c r="Q12" s="3865"/>
      <c r="R12" s="3865"/>
      <c r="S12" s="3771"/>
      <c r="W12" s="26"/>
      <c r="X12" s="26"/>
      <c r="Y12" s="26"/>
      <c r="Z12" s="26"/>
      <c r="AA12" s="31"/>
      <c r="AB12" s="26"/>
      <c r="AL12" s="87"/>
    </row>
    <row r="13" spans="1:38" s="38" customFormat="1" ht="13.5" customHeight="1">
      <c r="A13" s="172" t="s">
        <v>252</v>
      </c>
      <c r="B13" s="194"/>
      <c r="E13" s="113"/>
      <c r="I13" s="27"/>
      <c r="J13" s="26"/>
      <c r="K13" s="26"/>
      <c r="L13" s="26"/>
      <c r="M13" s="27"/>
      <c r="N13" s="27"/>
      <c r="O13" s="27"/>
      <c r="P13" s="27"/>
      <c r="Q13" s="27"/>
      <c r="R13" s="27"/>
      <c r="S13" s="55"/>
      <c r="W13" s="26"/>
      <c r="X13" s="26"/>
      <c r="Y13" s="26"/>
      <c r="Z13" s="26"/>
      <c r="AA13" s="31"/>
      <c r="AB13" s="26"/>
      <c r="AL13" s="87"/>
    </row>
    <row r="14" spans="1:38" ht="13.5" customHeight="1">
      <c r="A14" s="26"/>
      <c r="B14" s="29"/>
      <c r="C14" s="82"/>
      <c r="E14" s="113" t="s">
        <v>310</v>
      </c>
      <c r="I14" s="27"/>
      <c r="J14" s="27"/>
      <c r="K14" s="27"/>
      <c r="L14" s="27"/>
      <c r="M14" s="27"/>
      <c r="N14" s="27"/>
      <c r="O14" s="27"/>
      <c r="P14" s="27"/>
      <c r="Q14" s="27"/>
      <c r="R14" s="27"/>
      <c r="S14" s="55"/>
      <c r="W14" s="72"/>
      <c r="X14" s="72"/>
      <c r="Y14" s="72"/>
      <c r="Z14" s="96"/>
      <c r="AA14" s="31"/>
      <c r="AB14" s="26"/>
    </row>
    <row r="15" spans="1:38" ht="13.5" customHeight="1">
      <c r="A15" s="95"/>
      <c r="B15" s="32"/>
      <c r="C15" s="7"/>
      <c r="E15" s="113"/>
      <c r="I15" s="27"/>
      <c r="J15" s="27"/>
      <c r="K15" s="27"/>
      <c r="L15" s="27"/>
      <c r="M15" s="27"/>
      <c r="N15" s="27"/>
      <c r="O15" s="27"/>
      <c r="P15" s="27"/>
      <c r="Q15" s="27"/>
      <c r="R15" s="27"/>
      <c r="S15" s="55"/>
      <c r="U15" s="25"/>
      <c r="W15" s="56"/>
      <c r="X15" s="72"/>
      <c r="Y15" s="72"/>
      <c r="Z15" s="96"/>
      <c r="AA15" s="31"/>
      <c r="AB15" s="26"/>
    </row>
    <row r="16" spans="1:38" ht="13.5" customHeight="1">
      <c r="C16" s="7"/>
      <c r="E16" s="113"/>
      <c r="I16" s="26"/>
      <c r="J16" s="26"/>
      <c r="K16" s="26"/>
      <c r="L16" s="26"/>
      <c r="M16" s="26"/>
      <c r="N16" s="26"/>
      <c r="O16" s="26"/>
      <c r="P16" s="26"/>
      <c r="Q16" s="26"/>
      <c r="R16" s="26"/>
      <c r="S16" s="147"/>
      <c r="U16" s="25"/>
      <c r="W16" s="26"/>
      <c r="X16" s="26"/>
      <c r="Y16" s="26"/>
      <c r="Z16" s="26"/>
      <c r="AA16" s="26"/>
      <c r="AB16" s="26"/>
    </row>
    <row r="17" spans="1:21" ht="13.5" customHeight="1">
      <c r="A17" s="169" t="s">
        <v>253</v>
      </c>
      <c r="B17" s="170"/>
      <c r="C17" s="82"/>
      <c r="E17" s="113"/>
      <c r="I17" s="27"/>
      <c r="J17" s="27"/>
      <c r="K17" s="27"/>
      <c r="L17" s="27"/>
      <c r="M17" s="27"/>
      <c r="N17" s="27"/>
      <c r="O17" s="27"/>
      <c r="P17" s="27"/>
      <c r="Q17" s="27"/>
      <c r="R17" s="27"/>
      <c r="S17" s="55"/>
      <c r="U17" s="25"/>
    </row>
    <row r="18" spans="1:21" ht="13.5" customHeight="1">
      <c r="C18" s="38"/>
      <c r="E18" s="149"/>
      <c r="I18" s="27"/>
      <c r="J18" s="27"/>
      <c r="K18" s="27"/>
      <c r="L18" s="27"/>
      <c r="M18" s="27"/>
      <c r="N18" s="27"/>
      <c r="O18" s="27"/>
      <c r="P18" s="27"/>
      <c r="Q18" s="27"/>
      <c r="R18" s="27"/>
      <c r="S18" s="55"/>
      <c r="U18" s="25"/>
    </row>
    <row r="19" spans="1:21" ht="13.5" customHeight="1">
      <c r="D19" s="55"/>
      <c r="E19" s="240" t="s">
        <v>909</v>
      </c>
      <c r="F19" s="29"/>
      <c r="G19" s="32"/>
      <c r="H19" s="26"/>
      <c r="I19" s="31"/>
      <c r="J19" s="26"/>
      <c r="K19" s="72"/>
      <c r="L19" s="72"/>
      <c r="M19" s="72"/>
      <c r="N19" s="72"/>
      <c r="O19" s="96"/>
      <c r="P19" s="31"/>
      <c r="Q19" s="26"/>
      <c r="R19" s="26"/>
      <c r="S19" s="147"/>
      <c r="U19" s="25"/>
    </row>
    <row r="20" spans="1:21" ht="13.5" customHeight="1" thickBot="1">
      <c r="E20" s="162"/>
      <c r="F20" s="163"/>
      <c r="G20" s="164"/>
      <c r="H20" s="13"/>
      <c r="I20" s="165"/>
      <c r="J20" s="13"/>
      <c r="K20" s="166"/>
      <c r="L20" s="166"/>
      <c r="M20" s="166"/>
      <c r="N20" s="166"/>
      <c r="O20" s="167"/>
      <c r="P20" s="165"/>
      <c r="Q20" s="13"/>
      <c r="R20" s="13"/>
      <c r="S20" s="168"/>
      <c r="U20" s="25"/>
    </row>
    <row r="21" spans="1:21" ht="13.5" customHeight="1" thickTop="1">
      <c r="E21" s="95"/>
      <c r="F21" s="29"/>
      <c r="G21" s="32"/>
      <c r="H21" s="26"/>
      <c r="I21" s="31"/>
      <c r="J21" s="26"/>
      <c r="K21" s="72"/>
      <c r="L21" s="72"/>
      <c r="M21" s="72"/>
      <c r="N21" s="72"/>
      <c r="O21" s="96"/>
      <c r="P21" s="31"/>
      <c r="Q21" s="26"/>
      <c r="R21" s="26"/>
      <c r="S21" s="26"/>
      <c r="U21" s="25"/>
    </row>
    <row r="22" spans="1:21" ht="13.5" customHeight="1" thickBot="1">
      <c r="B22" s="27"/>
      <c r="C22" s="27"/>
      <c r="D22" s="43"/>
      <c r="E22" s="27"/>
      <c r="F22" s="27"/>
      <c r="G22" s="27"/>
      <c r="H22" s="27"/>
      <c r="I22" s="27"/>
      <c r="J22" s="27"/>
      <c r="K22" s="27"/>
      <c r="L22" s="27"/>
      <c r="M22" s="27"/>
      <c r="N22" s="27"/>
      <c r="O22" s="27"/>
      <c r="P22" s="27"/>
      <c r="Q22" s="27"/>
      <c r="R22" s="27"/>
      <c r="S22" s="27"/>
    </row>
    <row r="23" spans="1:21" s="27" customFormat="1" ht="13.5" customHeight="1" thickTop="1">
      <c r="A23" s="174" t="s">
        <v>957</v>
      </c>
      <c r="B23" s="1602" t="s">
        <v>958</v>
      </c>
      <c r="C23" s="1684"/>
      <c r="D23" s="1602"/>
      <c r="E23" s="2077"/>
      <c r="F23" s="2078"/>
    </row>
    <row r="24" spans="1:21" s="27" customFormat="1" ht="13.5" customHeight="1" thickBot="1">
      <c r="A24" s="836" t="s">
        <v>956</v>
      </c>
      <c r="B24" s="1701"/>
      <c r="C24" s="1701"/>
      <c r="D24" s="1605"/>
      <c r="E24" s="2079"/>
      <c r="F24" s="2080"/>
    </row>
    <row r="25" spans="1:21" ht="13.5" customHeight="1" thickTop="1" thickBot="1">
      <c r="A25" s="2056" t="s">
        <v>34</v>
      </c>
      <c r="B25" s="143"/>
      <c r="C25" s="662"/>
      <c r="D25" s="2057" t="s">
        <v>953</v>
      </c>
      <c r="E25" s="2059" t="s">
        <v>954</v>
      </c>
      <c r="F25" s="2058" t="s">
        <v>955</v>
      </c>
    </row>
    <row r="26" spans="1:21" ht="13.5" customHeight="1" thickTop="1">
      <c r="A26" s="2054" t="s">
        <v>35</v>
      </c>
      <c r="B26" s="32"/>
      <c r="C26" s="45"/>
      <c r="D26" s="2063">
        <v>1.22</v>
      </c>
      <c r="E26" s="2064"/>
      <c r="F26" s="2065"/>
    </row>
    <row r="27" spans="1:21" ht="13.5" customHeight="1">
      <c r="A27" s="2054" t="s">
        <v>36</v>
      </c>
      <c r="B27" s="82"/>
      <c r="C27" s="42"/>
      <c r="D27" s="2066">
        <v>3.7</v>
      </c>
      <c r="E27" s="2064">
        <v>2.4900000000000002</v>
      </c>
      <c r="F27" s="2065">
        <v>2.91</v>
      </c>
    </row>
    <row r="28" spans="1:21" ht="13.5" customHeight="1">
      <c r="A28" s="2054" t="s">
        <v>37</v>
      </c>
      <c r="B28" s="27"/>
      <c r="C28" s="55"/>
      <c r="D28" s="2066">
        <v>1.66</v>
      </c>
      <c r="E28" s="2064">
        <v>3.18</v>
      </c>
      <c r="F28" s="2065">
        <v>2.54</v>
      </c>
    </row>
    <row r="29" spans="1:21" ht="13.5" customHeight="1">
      <c r="A29" s="2054" t="s">
        <v>945</v>
      </c>
      <c r="B29" s="27"/>
      <c r="C29" s="55"/>
      <c r="D29" s="2063">
        <v>1.24</v>
      </c>
      <c r="E29" s="2067"/>
      <c r="F29" s="2068"/>
    </row>
    <row r="30" spans="1:21" ht="13.5" customHeight="1">
      <c r="A30" s="2054" t="s">
        <v>946</v>
      </c>
      <c r="B30" s="27"/>
      <c r="C30" s="55"/>
      <c r="D30" s="2063">
        <v>1.08</v>
      </c>
      <c r="E30" s="2067"/>
      <c r="F30" s="2068"/>
    </row>
    <row r="31" spans="1:21" ht="13.5" customHeight="1">
      <c r="A31" s="2054" t="s">
        <v>947</v>
      </c>
      <c r="B31" s="27"/>
      <c r="C31" s="55"/>
      <c r="D31" s="2063">
        <v>1.19</v>
      </c>
      <c r="E31" s="2069">
        <v>2.23</v>
      </c>
      <c r="F31" s="2070">
        <v>1.78</v>
      </c>
    </row>
    <row r="32" spans="1:21" ht="13.5" customHeight="1">
      <c r="A32" s="2054" t="s">
        <v>948</v>
      </c>
      <c r="B32" s="27"/>
      <c r="C32" s="55"/>
      <c r="D32" s="2063">
        <v>1.27</v>
      </c>
      <c r="E32" s="2067"/>
      <c r="F32" s="2068"/>
    </row>
    <row r="33" spans="1:6" ht="13.5" customHeight="1">
      <c r="A33" s="2054" t="s">
        <v>949</v>
      </c>
      <c r="B33" s="27"/>
      <c r="C33" s="55"/>
      <c r="D33" s="2066">
        <v>1.9</v>
      </c>
      <c r="E33" s="2064">
        <v>0.89</v>
      </c>
      <c r="F33" s="2065">
        <v>1.29</v>
      </c>
    </row>
    <row r="34" spans="1:6" ht="13.5" customHeight="1">
      <c r="A34" s="2054" t="s">
        <v>950</v>
      </c>
      <c r="B34" s="27"/>
      <c r="C34" s="55"/>
      <c r="D34" s="2066">
        <v>1.47</v>
      </c>
      <c r="E34" s="2064">
        <v>1.74</v>
      </c>
      <c r="F34" s="2065">
        <v>1.69</v>
      </c>
    </row>
    <row r="35" spans="1:6" ht="13.5" customHeight="1">
      <c r="A35" s="2054" t="s">
        <v>951</v>
      </c>
      <c r="B35" s="27"/>
      <c r="C35" s="55"/>
      <c r="D35" s="2066">
        <v>0.84</v>
      </c>
      <c r="E35" s="2064">
        <v>2.06</v>
      </c>
      <c r="F35" s="2065">
        <v>1.43</v>
      </c>
    </row>
    <row r="36" spans="1:6" ht="13.5" customHeight="1" thickBot="1">
      <c r="A36" s="2055" t="s">
        <v>952</v>
      </c>
      <c r="B36" s="37"/>
      <c r="C36" s="1385"/>
      <c r="D36" s="2071">
        <v>2.46</v>
      </c>
      <c r="E36" s="2072">
        <v>2.78</v>
      </c>
      <c r="F36" s="2073">
        <v>2.63</v>
      </c>
    </row>
    <row r="37" spans="1:6" ht="13.5" customHeight="1" thickTop="1"/>
    <row r="38" spans="1:6" ht="13.5" customHeight="1"/>
    <row r="39" spans="1:6" ht="13.5" customHeight="1"/>
    <row r="40" spans="1:6" ht="13.5" customHeight="1"/>
    <row r="41" spans="1:6" ht="13.5" customHeight="1"/>
    <row r="42" spans="1:6" ht="13.5" customHeight="1"/>
    <row r="43" spans="1:6" ht="13.5" customHeight="1"/>
    <row r="44" spans="1:6" ht="13.5" customHeight="1"/>
    <row r="45" spans="1:6" ht="13.5" customHeight="1"/>
    <row r="46" spans="1:6" ht="13.5" customHeight="1"/>
    <row r="47" spans="1:6" ht="13.5" customHeight="1"/>
    <row r="48" spans="1:6" ht="13.5" customHeight="1"/>
    <row r="49" ht="13.5" customHeight="1"/>
    <row r="50" ht="13.5" customHeight="1"/>
    <row r="51" ht="13.5" customHeight="1"/>
    <row r="52" ht="13.5" customHeight="1"/>
    <row r="53" ht="13.5" customHeight="1"/>
    <row r="54" ht="13.5" customHeight="1"/>
    <row r="55" ht="13.5" customHeight="1"/>
    <row r="56" ht="13.5" customHeight="1"/>
    <row r="57" ht="13.5" customHeight="1"/>
    <row r="58" ht="13.5" customHeight="1"/>
    <row r="59" ht="13.5" customHeight="1"/>
    <row r="60" ht="13.5" customHeight="1"/>
    <row r="61" ht="13.5" customHeight="1"/>
    <row r="62" ht="13.5" customHeight="1"/>
    <row r="63" ht="13.5" customHeight="1"/>
    <row r="64"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sheetData>
  <sheetProtection sheet="1" objects="1" scenarios="1"/>
  <mergeCells count="8">
    <mergeCell ref="E11:S12"/>
    <mergeCell ref="A12:B12"/>
    <mergeCell ref="A1:B1"/>
    <mergeCell ref="A7:B7"/>
    <mergeCell ref="A8:B8"/>
    <mergeCell ref="A9:B9"/>
    <mergeCell ref="A10:B10"/>
    <mergeCell ref="A11:B11"/>
  </mergeCells>
  <phoneticPr fontId="8" type="noConversion"/>
  <hyperlinks>
    <hyperlink ref="E9" r:id="rId1"/>
    <hyperlink ref="A10" location="Contents!A1" display="Contents"/>
    <hyperlink ref="A10:B10" location="Contents!A1" tooltip="Contents page" display="Contents"/>
    <hyperlink ref="A11:B11" r:id="rId2" tooltip="Unit M 3.2 Public Transport Assignment Modelling" display="WebTAG Unit M 3.2"/>
  </hyperlinks>
  <pageMargins left="0.75" right="0.75" top="1" bottom="1" header="0.5" footer="0.5"/>
  <headerFooter alignWithMargins="0"/>
  <drawing r:id="rId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8000"/>
    <pageSetUpPr fitToPage="1"/>
  </sheetPr>
  <dimension ref="A1:S66"/>
  <sheetViews>
    <sheetView showGridLines="0" zoomScale="85" zoomScaleNormal="85" workbookViewId="0">
      <selection activeCell="A7" sqref="A7:B7"/>
    </sheetView>
  </sheetViews>
  <sheetFormatPr defaultColWidth="12.88671875" defaultRowHeight="13.5" customHeight="1"/>
  <cols>
    <col min="1" max="16384" width="12.88671875" style="599"/>
  </cols>
  <sheetData>
    <row r="1" spans="1:19" s="38" customFormat="1" ht="54.9" customHeight="1">
      <c r="A1" s="28"/>
      <c r="B1" s="28"/>
    </row>
    <row r="2" spans="1:19" s="300" customFormat="1" ht="5.0999999999999996" customHeight="1"/>
    <row r="3" spans="1:19" s="300" customFormat="1" ht="20.100000000000001" customHeight="1">
      <c r="A3" s="300" t="s">
        <v>2334</v>
      </c>
      <c r="B3" s="485"/>
      <c r="C3" s="83"/>
      <c r="D3" s="46"/>
      <c r="E3" s="83"/>
      <c r="F3" s="445"/>
      <c r="H3" s="444"/>
      <c r="I3" s="485"/>
      <c r="K3" s="83"/>
    </row>
    <row r="4" spans="1:19" s="26" customFormat="1" ht="20.100000000000001" customHeight="1" thickBot="1">
      <c r="A4" s="529" t="s">
        <v>525</v>
      </c>
      <c r="B4" s="447"/>
      <c r="C4" s="447"/>
      <c r="D4" s="446"/>
      <c r="E4" s="446"/>
      <c r="F4" s="446"/>
      <c r="G4" s="446"/>
      <c r="H4" s="448"/>
      <c r="I4" s="447"/>
      <c r="J4" s="487"/>
      <c r="K4" s="446"/>
      <c r="L4" s="446"/>
      <c r="M4" s="446"/>
      <c r="N4" s="446"/>
      <c r="O4" s="446"/>
      <c r="P4" s="446"/>
      <c r="Q4" s="446"/>
      <c r="R4" s="446"/>
      <c r="S4" s="446"/>
    </row>
    <row r="5" spans="1:19" s="38" customFormat="1" ht="9.9" customHeight="1" thickTop="1" thickBot="1">
      <c r="A5" s="35"/>
      <c r="B5" s="321"/>
      <c r="C5" s="321"/>
      <c r="F5" s="427"/>
      <c r="H5" s="35"/>
      <c r="I5" s="321"/>
      <c r="J5" s="32"/>
      <c r="K5" s="26"/>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E7" s="113"/>
      <c r="F7" s="29"/>
      <c r="G7" s="26"/>
      <c r="H7" s="26"/>
      <c r="I7" s="26"/>
      <c r="J7" s="26"/>
      <c r="K7" s="26"/>
      <c r="L7" s="26"/>
      <c r="M7" s="26"/>
      <c r="N7" s="26"/>
      <c r="O7" s="26"/>
      <c r="P7" s="26"/>
      <c r="Q7" s="26"/>
      <c r="R7" s="26"/>
      <c r="S7" s="147"/>
    </row>
    <row r="8" spans="1:19" s="38" customFormat="1" ht="13.5" customHeight="1">
      <c r="A8" s="3630">
        <f>Audit!C12</f>
        <v>43586</v>
      </c>
      <c r="B8" s="3631"/>
      <c r="C8" s="321"/>
      <c r="D8" s="321"/>
      <c r="E8" s="113" t="s">
        <v>1175</v>
      </c>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26"/>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570" t="s">
        <v>2335</v>
      </c>
      <c r="B11" s="3581"/>
      <c r="D11" s="321"/>
      <c r="E11" s="113"/>
      <c r="F11" s="53"/>
      <c r="G11" s="53"/>
      <c r="H11" s="53"/>
      <c r="I11" s="53"/>
      <c r="J11" s="53"/>
      <c r="K11" s="53"/>
      <c r="L11" s="53"/>
      <c r="M11" s="53"/>
      <c r="N11" s="53"/>
      <c r="O11" s="53"/>
      <c r="P11" s="53"/>
      <c r="Q11" s="53"/>
      <c r="R11" s="53"/>
      <c r="S11" s="379"/>
    </row>
    <row r="12" spans="1:19" s="38" customFormat="1" ht="13.5" customHeight="1" thickBot="1">
      <c r="A12" s="3570" t="s">
        <v>2211</v>
      </c>
      <c r="B12" s="3581"/>
      <c r="D12" s="321"/>
      <c r="E12" s="113"/>
      <c r="F12" s="26"/>
      <c r="G12" s="26"/>
      <c r="H12" s="26"/>
      <c r="I12" s="26"/>
      <c r="J12" s="26"/>
      <c r="K12" s="26"/>
      <c r="L12" s="26"/>
      <c r="M12" s="26"/>
      <c r="N12" s="26"/>
      <c r="O12" s="26"/>
      <c r="P12" s="26"/>
      <c r="Q12" s="26"/>
      <c r="R12" s="26"/>
      <c r="S12" s="147"/>
    </row>
    <row r="13" spans="1:19" s="38" customFormat="1" ht="13.5" customHeight="1">
      <c r="A13" s="172" t="s">
        <v>252</v>
      </c>
      <c r="B13" s="194"/>
      <c r="C13" s="321"/>
      <c r="D13" s="321"/>
      <c r="E13" s="114"/>
      <c r="F13" s="26"/>
      <c r="G13" s="26"/>
      <c r="H13" s="26"/>
      <c r="I13" s="26"/>
      <c r="J13" s="26"/>
      <c r="K13" s="26"/>
      <c r="L13" s="26"/>
      <c r="M13" s="26"/>
      <c r="N13" s="26"/>
      <c r="O13" s="26"/>
      <c r="P13" s="26"/>
      <c r="Q13" s="26"/>
      <c r="R13" s="26"/>
      <c r="S13" s="147"/>
    </row>
    <row r="14" spans="1:19" s="38" customFormat="1" ht="13.5" customHeight="1">
      <c r="A14" s="2445" t="s">
        <v>1174</v>
      </c>
      <c r="B14" s="2450">
        <f>'User Parameters'!L16</f>
        <v>2010</v>
      </c>
      <c r="C14" s="321"/>
      <c r="D14" s="321"/>
      <c r="E14" s="113"/>
      <c r="F14" s="26"/>
      <c r="G14" s="26"/>
      <c r="H14" s="26"/>
      <c r="I14" s="26"/>
      <c r="J14" s="26"/>
      <c r="K14" s="26"/>
      <c r="L14" s="26"/>
      <c r="M14" s="26"/>
      <c r="N14" s="26"/>
      <c r="O14" s="26"/>
      <c r="P14" s="26"/>
      <c r="Q14" s="26"/>
      <c r="R14" s="26"/>
      <c r="S14" s="147"/>
    </row>
    <row r="15" spans="1:19" s="38" customFormat="1" ht="13.5" customHeight="1">
      <c r="A15" s="2445"/>
      <c r="B15" s="2455"/>
      <c r="C15" s="321"/>
      <c r="D15" s="321"/>
      <c r="E15" s="1229"/>
      <c r="F15" s="26"/>
      <c r="G15" s="26"/>
      <c r="H15" s="26"/>
      <c r="I15" s="26"/>
      <c r="J15" s="26"/>
      <c r="K15" s="26"/>
      <c r="L15" s="26"/>
      <c r="M15" s="26"/>
      <c r="N15" s="26"/>
      <c r="O15" s="26"/>
      <c r="P15" s="26"/>
      <c r="Q15" s="26"/>
      <c r="R15" s="26"/>
      <c r="S15" s="147"/>
    </row>
    <row r="16" spans="1:19" s="38" customFormat="1" ht="13.5" customHeight="1">
      <c r="A16" s="2440"/>
      <c r="B16" s="2440"/>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t="s">
        <v>2386</v>
      </c>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t="str">
        <f>'Adjustment Factors'!E20</f>
        <v>TAG 1: Unit 3.15.2 (Table 1)</v>
      </c>
      <c r="F20" s="163"/>
      <c r="G20" s="163"/>
      <c r="H20" s="163"/>
      <c r="I20" s="163"/>
      <c r="J20" s="163"/>
      <c r="K20" s="163"/>
      <c r="L20" s="163"/>
      <c r="M20" s="163"/>
      <c r="N20" s="163"/>
      <c r="O20" s="163"/>
      <c r="P20" s="163"/>
      <c r="Q20" s="163"/>
      <c r="R20" s="163"/>
      <c r="S20" s="382"/>
    </row>
    <row r="21" spans="1:19" s="38" customFormat="1" ht="13.5" customHeight="1" thickTop="1">
      <c r="A21" s="2420"/>
      <c r="B21" s="2421"/>
      <c r="C21" s="321"/>
      <c r="D21" s="32"/>
      <c r="F21" s="427"/>
      <c r="H21" s="35"/>
      <c r="I21" s="321"/>
      <c r="J21" s="32"/>
      <c r="K21" s="26"/>
    </row>
    <row r="22" spans="1:19" s="38" customFormat="1" ht="13.5" customHeight="1" thickBot="1">
      <c r="H22" s="35"/>
      <c r="I22" s="321"/>
      <c r="J22" s="32"/>
    </row>
    <row r="23" spans="1:19" s="38" customFormat="1" ht="13.5" customHeight="1" thickTop="1">
      <c r="A23" s="174" t="s">
        <v>1214</v>
      </c>
      <c r="B23" s="328"/>
      <c r="C23" s="1634"/>
      <c r="D23" s="1634"/>
      <c r="E23" s="225"/>
    </row>
    <row r="24" spans="1:19" s="38" customFormat="1" ht="13.5" customHeight="1" thickBot="1">
      <c r="A24" s="526" t="s">
        <v>1394</v>
      </c>
      <c r="B24" s="527"/>
      <c r="C24" s="1635"/>
      <c r="D24" s="1635"/>
      <c r="E24" s="1057"/>
    </row>
    <row r="25" spans="1:19" s="38" customFormat="1" ht="13.5" customHeight="1" thickTop="1">
      <c r="A25" s="230"/>
      <c r="B25" s="100"/>
      <c r="C25" s="853"/>
      <c r="D25" s="3799" t="s">
        <v>1396</v>
      </c>
      <c r="E25" s="3828" t="s">
        <v>1397</v>
      </c>
    </row>
    <row r="26" spans="1:19" s="38" customFormat="1" ht="13.5" customHeight="1">
      <c r="A26" s="809"/>
      <c r="B26" s="173"/>
      <c r="C26" s="854"/>
      <c r="D26" s="3869"/>
      <c r="E26" s="3805"/>
    </row>
    <row r="27" spans="1:19" s="38" customFormat="1" ht="13.5" customHeight="1" thickBot="1">
      <c r="A27" s="464"/>
      <c r="B27" s="659" t="s">
        <v>1450</v>
      </c>
      <c r="C27" s="465"/>
      <c r="D27" s="3870"/>
      <c r="E27" s="3871"/>
      <c r="F27" s="26"/>
      <c r="G27" s="26"/>
    </row>
    <row r="28" spans="1:19" ht="13.5" customHeight="1" thickTop="1">
      <c r="A28" s="623"/>
      <c r="B28" s="768">
        <f>B14</f>
        <v>2010</v>
      </c>
      <c r="C28" s="624"/>
      <c r="D28" s="2255">
        <f>IF($B28&lt;'Adjustment Factors'!$B$29,"",VLOOKUP($B28,'Adjustment Factors'!$B$29:$E$78,3,FALSE))</f>
        <v>1</v>
      </c>
      <c r="E28" s="2255">
        <f>IF($B28&lt;'Adjustment Factors'!$B$29,"",VLOOKUP($B28,'Adjustment Factors'!$B$29:$E$78,4,FALSE))</f>
        <v>1</v>
      </c>
    </row>
    <row r="29" spans="1:19" ht="13.5" customHeight="1">
      <c r="A29" s="623"/>
      <c r="B29" s="768">
        <f>B28+1</f>
        <v>2011</v>
      </c>
      <c r="C29" s="624"/>
      <c r="D29" s="2255">
        <f>IF($B29&lt;'Adjustment Factors'!$B$29,"",VLOOKUP($B29,'Adjustment Factors'!$B$29:$E$78,3,FALSE))</f>
        <v>1.0015842944377698</v>
      </c>
      <c r="E29" s="2255">
        <f>IF($B29&lt;'Adjustment Factors'!$B$29,"",VLOOKUP($B29,'Adjustment Factors'!$B$29:$E$78,4,FALSE))</f>
        <v>0.98928095585932219</v>
      </c>
    </row>
    <row r="30" spans="1:19" ht="13.5" customHeight="1">
      <c r="A30" s="623"/>
      <c r="B30" s="768">
        <f t="shared" ref="B30:B53" si="0">B29+1</f>
        <v>2012</v>
      </c>
      <c r="C30" s="624"/>
      <c r="D30" s="2255">
        <f>IF($B30&lt;'Adjustment Factors'!$B$29,"",VLOOKUP($B30,'Adjustment Factors'!$B$29:$E$78,3,FALSE))</f>
        <v>1.0026480402408171</v>
      </c>
      <c r="E30" s="2255">
        <f>IF($B30&lt;'Adjustment Factors'!$B$29,"",VLOOKUP($B30,'Adjustment Factors'!$B$29:$E$78,4,FALSE))</f>
        <v>0.98626901867419925</v>
      </c>
    </row>
    <row r="31" spans="1:19" ht="13.5" customHeight="1">
      <c r="A31" s="623"/>
      <c r="B31" s="768">
        <f t="shared" si="0"/>
        <v>2013</v>
      </c>
      <c r="C31" s="624"/>
      <c r="D31" s="2255">
        <f>IF($B31&lt;'Adjustment Factors'!$B$29,"",VLOOKUP($B31,'Adjustment Factors'!$B$29:$E$78,3,FALSE))</f>
        <v>1.0056189898340406</v>
      </c>
      <c r="E31" s="2255">
        <f>IF($B31&lt;'Adjustment Factors'!$B$29,"",VLOOKUP($B31,'Adjustment Factors'!$B$29:$E$78,4,FALSE))</f>
        <v>0.996720288775642</v>
      </c>
    </row>
    <row r="32" spans="1:19" ht="13.5" customHeight="1">
      <c r="A32" s="623"/>
      <c r="B32" s="768">
        <f t="shared" si="0"/>
        <v>2014</v>
      </c>
      <c r="C32" s="624"/>
      <c r="D32" s="2255">
        <f>IF($B32&lt;'Adjustment Factors'!$B$29,"",VLOOKUP($B32,'Adjustment Factors'!$B$29:$E$78,3,FALSE))</f>
        <v>1.0098740991664026</v>
      </c>
      <c r="E32" s="2255">
        <f>IF($B32&lt;'Adjustment Factors'!$B$29,"",VLOOKUP($B32,'Adjustment Factors'!$B$29:$E$78,4,FALSE))</f>
        <v>1.0193474210613629</v>
      </c>
    </row>
    <row r="33" spans="1:5" ht="13.5" customHeight="1">
      <c r="A33" s="623"/>
      <c r="B33" s="768">
        <f t="shared" si="0"/>
        <v>2015</v>
      </c>
      <c r="C33" s="624"/>
      <c r="D33" s="2255">
        <f>IF($B33&lt;'Adjustment Factors'!$B$29,"",VLOOKUP($B33,'Adjustment Factors'!$B$29:$E$78,3,FALSE))</f>
        <v>1.0117646852510573</v>
      </c>
      <c r="E33" s="2255">
        <f>IF($B33&lt;'Adjustment Factors'!$B$29,"",VLOOKUP($B33,'Adjustment Factors'!$B$29:$E$78,4,FALSE))</f>
        <v>1.0507052157058268</v>
      </c>
    </row>
    <row r="34" spans="1:5" ht="13.5" customHeight="1">
      <c r="A34" s="623"/>
      <c r="B34" s="768">
        <f t="shared" si="0"/>
        <v>2016</v>
      </c>
      <c r="C34" s="624"/>
      <c r="D34" s="2255">
        <f>IF($B34&lt;'Adjustment Factors'!$B$29,"",VLOOKUP($B34,'Adjustment Factors'!$B$29:$E$78,3,FALSE))</f>
        <v>1.0143578231582535</v>
      </c>
      <c r="E34" s="2255">
        <f>IF($B34&lt;'Adjustment Factors'!$B$29,"",VLOOKUP($B34,'Adjustment Factors'!$B$29:$E$78,4,FALSE))</f>
        <v>1.0694893750691472</v>
      </c>
    </row>
    <row r="35" spans="1:5" ht="13.5" customHeight="1">
      <c r="A35" s="623"/>
      <c r="B35" s="768">
        <f t="shared" si="0"/>
        <v>2017</v>
      </c>
      <c r="C35" s="624"/>
      <c r="D35" s="2255">
        <f>IF($B35&lt;'Adjustment Factors'!$B$29,"",VLOOKUP($B35,'Adjustment Factors'!$B$29:$E$78,3,FALSE))</f>
        <v>1.0164612639600428</v>
      </c>
      <c r="E35" s="2255">
        <f>IF($B35&lt;'Adjustment Factors'!$B$29,"",VLOOKUP($B35,'Adjustment Factors'!$B$29:$E$78,4,FALSE))</f>
        <v>1.0675518192958069</v>
      </c>
    </row>
    <row r="36" spans="1:5" ht="13.5" customHeight="1">
      <c r="A36" s="623"/>
      <c r="B36" s="768">
        <f t="shared" si="0"/>
        <v>2018</v>
      </c>
      <c r="C36" s="624"/>
      <c r="D36" s="2255">
        <f>IF($B36&lt;'Adjustment Factors'!$B$29,"",VLOOKUP($B36,'Adjustment Factors'!$B$29:$E$78,3,FALSE))</f>
        <v>1.0175504329373812</v>
      </c>
      <c r="E36" s="2255">
        <f>IF($B36&lt;'Adjustment Factors'!$B$29,"",VLOOKUP($B36,'Adjustment Factors'!$B$29:$E$78,4,FALSE))</f>
        <v>1.0644753923569814</v>
      </c>
    </row>
    <row r="37" spans="1:5" ht="13.5" customHeight="1">
      <c r="A37" s="623"/>
      <c r="B37" s="768">
        <f t="shared" si="0"/>
        <v>2019</v>
      </c>
      <c r="C37" s="624"/>
      <c r="D37" s="2255">
        <f>IF($B37&lt;'Adjustment Factors'!$B$29,"",VLOOKUP($B37,'Adjustment Factors'!$B$29:$E$78,3,FALSE))</f>
        <v>1.0184180970628689</v>
      </c>
      <c r="E37" s="2255">
        <f>IF($B37&lt;'Adjustment Factors'!$B$29,"",VLOOKUP($B37,'Adjustment Factors'!$B$29:$E$78,4,FALSE))</f>
        <v>1.069271279843252</v>
      </c>
    </row>
    <row r="38" spans="1:5" ht="13.5" customHeight="1">
      <c r="A38" s="623"/>
      <c r="B38" s="768">
        <f t="shared" si="0"/>
        <v>2020</v>
      </c>
      <c r="C38" s="624"/>
      <c r="D38" s="2255">
        <f>IF($B38&lt;'Adjustment Factors'!$B$29,"",VLOOKUP($B38,'Adjustment Factors'!$B$29:$E$78,3,FALSE))</f>
        <v>1.0196970212537708</v>
      </c>
      <c r="E38" s="2255">
        <f>IF($B38&lt;'Adjustment Factors'!$B$29,"",VLOOKUP($B38,'Adjustment Factors'!$B$29:$E$78,4,FALSE))</f>
        <v>1.075407651085353</v>
      </c>
    </row>
    <row r="39" spans="1:5" ht="13.5" customHeight="1">
      <c r="A39" s="623"/>
      <c r="B39" s="768">
        <f t="shared" si="0"/>
        <v>2021</v>
      </c>
      <c r="C39" s="624"/>
      <c r="D39" s="2255">
        <f>IF($B39&lt;'Adjustment Factors'!$B$29,"",VLOOKUP($B39,'Adjustment Factors'!$B$29:$E$78,3,FALSE))</f>
        <v>1.0212937605650383</v>
      </c>
      <c r="E39" s="2255">
        <f>IF($B39&lt;'Adjustment Factors'!$B$29,"",VLOOKUP($B39,'Adjustment Factors'!$B$29:$E$78,4,FALSE))</f>
        <v>1.0800582821524793</v>
      </c>
    </row>
    <row r="40" spans="1:5" ht="13.5" customHeight="1">
      <c r="A40" s="623"/>
      <c r="B40" s="768">
        <f t="shared" si="0"/>
        <v>2022</v>
      </c>
      <c r="C40" s="624"/>
      <c r="D40" s="2255">
        <f>IF($B40&lt;'Adjustment Factors'!$B$29,"",VLOOKUP($B40,'Adjustment Factors'!$B$29:$E$78,3,FALSE))</f>
        <v>1.0227068615775579</v>
      </c>
      <c r="E40" s="2255">
        <f>IF($B40&lt;'Adjustment Factors'!$B$29,"",VLOOKUP($B40,'Adjustment Factors'!$B$29:$E$78,4,FALSE))</f>
        <v>1.0841573340412887</v>
      </c>
    </row>
    <row r="41" spans="1:5" ht="13.5" customHeight="1">
      <c r="A41" s="623"/>
      <c r="B41" s="768">
        <f t="shared" si="0"/>
        <v>2023</v>
      </c>
      <c r="C41" s="624"/>
      <c r="D41" s="2255">
        <f>IF($B41&lt;'Adjustment Factors'!$B$29,"",VLOOKUP($B41,'Adjustment Factors'!$B$29:$E$78,3,FALSE))</f>
        <v>1.0241610045519072</v>
      </c>
      <c r="E41" s="2255">
        <f>IF($B41&lt;'Adjustment Factors'!$B$29,"",VLOOKUP($B41,'Adjustment Factors'!$B$29:$E$78,4,FALSE))</f>
        <v>1.0875873155552764</v>
      </c>
    </row>
    <row r="42" spans="1:5" ht="13.5" customHeight="1">
      <c r="A42" s="623"/>
      <c r="B42" s="768">
        <f t="shared" si="0"/>
        <v>2024</v>
      </c>
      <c r="C42" s="624"/>
      <c r="D42" s="2255">
        <f>IF($B42&lt;'Adjustment Factors'!$B$29,"",VLOOKUP($B42,'Adjustment Factors'!$B$29:$E$78,3,FALSE))</f>
        <v>1.0258900436493219</v>
      </c>
      <c r="E42" s="2255">
        <f>IF($B42&lt;'Adjustment Factors'!$B$29,"",VLOOKUP($B42,'Adjustment Factors'!$B$29:$E$78,4,FALSE))</f>
        <v>1.0912740484397876</v>
      </c>
    </row>
    <row r="43" spans="1:5" ht="13.5" customHeight="1">
      <c r="A43" s="623"/>
      <c r="B43" s="768">
        <f t="shared" si="0"/>
        <v>2025</v>
      </c>
      <c r="C43" s="624"/>
      <c r="D43" s="2255">
        <f>IF($B43&lt;'Adjustment Factors'!$B$29,"",VLOOKUP($B43,'Adjustment Factors'!$B$29:$E$78,3,FALSE))</f>
        <v>1.0278888955371126</v>
      </c>
      <c r="E43" s="2255">
        <f>IF($B43&lt;'Adjustment Factors'!$B$29,"",VLOOKUP($B43,'Adjustment Factors'!$B$29:$E$78,4,FALSE))</f>
        <v>1.095041993844152</v>
      </c>
    </row>
    <row r="44" spans="1:5" ht="13.5" customHeight="1">
      <c r="A44" s="623"/>
      <c r="B44" s="768">
        <f t="shared" si="0"/>
        <v>2026</v>
      </c>
      <c r="C44" s="624"/>
      <c r="D44" s="2255">
        <f>IF($B44&lt;'Adjustment Factors'!$B$29,"",VLOOKUP($B44,'Adjustment Factors'!$B$29:$E$78,3,FALSE))</f>
        <v>1.0300864916200998</v>
      </c>
      <c r="E44" s="2255">
        <f>IF($B44&lt;'Adjustment Factors'!$B$29,"",VLOOKUP($B44,'Adjustment Factors'!$B$29:$E$78,4,FALSE))</f>
        <v>1.0982283123096772</v>
      </c>
    </row>
    <row r="45" spans="1:5" ht="13.5" customHeight="1">
      <c r="A45" s="623"/>
      <c r="B45" s="768">
        <f t="shared" si="0"/>
        <v>2027</v>
      </c>
      <c r="C45" s="624"/>
      <c r="D45" s="2255">
        <f>IF($B45&lt;'Adjustment Factors'!$B$29,"",VLOOKUP($B45,'Adjustment Factors'!$B$29:$E$78,3,FALSE))</f>
        <v>1.032423288471352</v>
      </c>
      <c r="E45" s="2255">
        <f>IF($B45&lt;'Adjustment Factors'!$B$29,"",VLOOKUP($B45,'Adjustment Factors'!$B$29:$E$78,4,FALSE))</f>
        <v>1.1017479934134753</v>
      </c>
    </row>
    <row r="46" spans="1:5" ht="13.5" customHeight="1">
      <c r="A46" s="623"/>
      <c r="B46" s="768">
        <f t="shared" si="0"/>
        <v>2028</v>
      </c>
      <c r="C46" s="624"/>
      <c r="D46" s="2255">
        <f>IF($B46&lt;'Adjustment Factors'!$B$29,"",VLOOKUP($B46,'Adjustment Factors'!$B$29:$E$78,3,FALSE))</f>
        <v>1.0349354068770398</v>
      </c>
      <c r="E46" s="2255">
        <f>IF($B46&lt;'Adjustment Factors'!$B$29,"",VLOOKUP($B46,'Adjustment Factors'!$B$29:$E$78,4,FALSE))</f>
        <v>1.1055092146424246</v>
      </c>
    </row>
    <row r="47" spans="1:5" ht="13.5" customHeight="1">
      <c r="A47" s="623"/>
      <c r="B47" s="768">
        <f t="shared" si="0"/>
        <v>2029</v>
      </c>
      <c r="C47" s="624"/>
      <c r="D47" s="2255">
        <f>IF($B47&lt;'Adjustment Factors'!$B$29,"",VLOOKUP($B47,'Adjustment Factors'!$B$29:$E$78,3,FALSE))</f>
        <v>1.0375435341823105</v>
      </c>
      <c r="E47" s="2255">
        <f>IF($B47&lt;'Adjustment Factors'!$B$29,"",VLOOKUP($B47,'Adjustment Factors'!$B$29:$E$78,4,FALSE))</f>
        <v>1.1085706726252427</v>
      </c>
    </row>
    <row r="48" spans="1:5" ht="13.5" customHeight="1">
      <c r="A48" s="623"/>
      <c r="B48" s="768">
        <f t="shared" si="0"/>
        <v>2030</v>
      </c>
      <c r="C48" s="624"/>
      <c r="D48" s="2255">
        <f>IF($B48&lt;'Adjustment Factors'!$B$29,"",VLOOKUP($B48,'Adjustment Factors'!$B$29:$E$78,3,FALSE))</f>
        <v>1.0403154288682002</v>
      </c>
      <c r="E48" s="2255">
        <f>IF($B48&lt;'Adjustment Factors'!$B$29,"",VLOOKUP($B48,'Adjustment Factors'!$B$29:$E$78,4,FALSE))</f>
        <v>1.1119923209687388</v>
      </c>
    </row>
    <row r="49" spans="1:5" ht="13.5" customHeight="1">
      <c r="A49" s="623"/>
      <c r="B49" s="768">
        <f t="shared" si="0"/>
        <v>2031</v>
      </c>
      <c r="C49" s="624"/>
      <c r="D49" s="2255">
        <f>IF($B49&lt;'Adjustment Factors'!$B$29,"",VLOOKUP($B49,'Adjustment Factors'!$B$29:$E$78,3,FALSE))</f>
        <v>1.043056421236171</v>
      </c>
      <c r="E49" s="2255">
        <f>IF($B49&lt;'Adjustment Factors'!$B$29,"",VLOOKUP($B49,'Adjustment Factors'!$B$29:$E$78,4,FALSE))</f>
        <v>1.1163191573108608</v>
      </c>
    </row>
    <row r="50" spans="1:5" ht="13.5" customHeight="1">
      <c r="A50" s="623"/>
      <c r="B50" s="768">
        <f t="shared" si="0"/>
        <v>2032</v>
      </c>
      <c r="C50" s="624"/>
      <c r="D50" s="2255">
        <f>IF($B50&lt;'Adjustment Factors'!$B$29,"",VLOOKUP($B50,'Adjustment Factors'!$B$29:$E$78,3,FALSE))</f>
        <v>1.0457840108372516</v>
      </c>
      <c r="E50" s="2255">
        <f>IF($B50&lt;'Adjustment Factors'!$B$29,"",VLOOKUP($B50,'Adjustment Factors'!$B$29:$E$78,4,FALSE))</f>
        <v>1.1204342853312643</v>
      </c>
    </row>
    <row r="51" spans="1:5" ht="13.5" customHeight="1">
      <c r="A51" s="623"/>
      <c r="B51" s="768">
        <f t="shared" si="0"/>
        <v>2033</v>
      </c>
      <c r="C51" s="624"/>
      <c r="D51" s="2255">
        <f>IF($B51&lt;'Adjustment Factors'!$B$29,"",VLOOKUP($B51,'Adjustment Factors'!$B$29:$E$78,3,FALSE))</f>
        <v>1.0484881369858261</v>
      </c>
      <c r="E51" s="2255">
        <f>IF($B51&lt;'Adjustment Factors'!$B$29,"",VLOOKUP($B51,'Adjustment Factors'!$B$29:$E$78,4,FALSE))</f>
        <v>1.1242567392241853</v>
      </c>
    </row>
    <row r="52" spans="1:5" ht="13.5" customHeight="1">
      <c r="A52" s="623"/>
      <c r="B52" s="768">
        <f t="shared" si="0"/>
        <v>2034</v>
      </c>
      <c r="C52" s="624"/>
      <c r="D52" s="2255">
        <f>IF($B52&lt;'Adjustment Factors'!$B$29,"",VLOOKUP($B52,'Adjustment Factors'!$B$29:$E$78,3,FALSE))</f>
        <v>1.0512306456388298</v>
      </c>
      <c r="E52" s="2255">
        <f>IF($B52&lt;'Adjustment Factors'!$B$29,"",VLOOKUP($B52,'Adjustment Factors'!$B$29:$E$78,4,FALSE))</f>
        <v>1.128087257522185</v>
      </c>
    </row>
    <row r="53" spans="1:5" ht="13.5" customHeight="1">
      <c r="A53" s="623"/>
      <c r="B53" s="768">
        <f t="shared" si="0"/>
        <v>2035</v>
      </c>
      <c r="C53" s="624"/>
      <c r="D53" s="2255">
        <f>IF($B53&lt;'Adjustment Factors'!$B$29,"",VLOOKUP($B53,'Adjustment Factors'!$B$29:$E$78,3,FALSE))</f>
        <v>1.0540407536602505</v>
      </c>
      <c r="E53" s="2255">
        <f>IF($B53&lt;'Adjustment Factors'!$B$29,"",VLOOKUP($B53,'Adjustment Factors'!$B$29:$E$78,4,FALSE))</f>
        <v>1.1304402956784172</v>
      </c>
    </row>
    <row r="54" spans="1:5" ht="13.5" customHeight="1">
      <c r="A54" s="623"/>
      <c r="B54" s="768">
        <f t="shared" ref="B54:B63" si="1">B53+1</f>
        <v>2036</v>
      </c>
      <c r="C54" s="624"/>
      <c r="D54" s="2255">
        <f>IF($B54&lt;'Adjustment Factors'!$B$29,"",VLOOKUP($B54,'Adjustment Factors'!$B$29:$E$78,3,FALSE))</f>
        <v>1.0569450439349422</v>
      </c>
      <c r="E54" s="2255">
        <f>IF($B54&lt;'Adjustment Factors'!$B$29,"",VLOOKUP($B54,'Adjustment Factors'!$B$29:$E$78,4,FALSE))</f>
        <v>1.1305901866643802</v>
      </c>
    </row>
    <row r="55" spans="1:5" ht="13.5" customHeight="1">
      <c r="A55" s="623"/>
      <c r="B55" s="768">
        <f t="shared" si="1"/>
        <v>2037</v>
      </c>
      <c r="C55" s="624"/>
      <c r="D55" s="2255">
        <f>IF($B55&lt;'Adjustment Factors'!$B$29,"",VLOOKUP($B55,'Adjustment Factors'!$B$29:$E$78,3,FALSE))</f>
        <v>1.0599005787036377</v>
      </c>
      <c r="E55" s="2255">
        <f>IF($B55&lt;'Adjustment Factors'!$B$29,"",VLOOKUP($B55,'Adjustment Factors'!$B$29:$E$78,4,FALSE))</f>
        <v>1.1298567280630738</v>
      </c>
    </row>
    <row r="56" spans="1:5" ht="13.5" customHeight="1">
      <c r="A56" s="623"/>
      <c r="B56" s="768">
        <f t="shared" si="1"/>
        <v>2038</v>
      </c>
      <c r="C56" s="624"/>
      <c r="D56" s="2255">
        <f>IF($B56&lt;'Adjustment Factors'!$B$29,"",VLOOKUP($B56,'Adjustment Factors'!$B$29:$E$78,3,FALSE))</f>
        <v>1.0628764242578865</v>
      </c>
      <c r="E56" s="2255">
        <f>IF($B56&lt;'Adjustment Factors'!$B$29,"",VLOOKUP($B56,'Adjustment Factors'!$B$29:$E$78,4,FALSE))</f>
        <v>1.1288058115434561</v>
      </c>
    </row>
    <row r="57" spans="1:5" ht="13.5" customHeight="1">
      <c r="A57" s="623"/>
      <c r="B57" s="768">
        <f t="shared" si="1"/>
        <v>2039</v>
      </c>
      <c r="C57" s="624"/>
      <c r="D57" s="2255">
        <f>IF($B57&lt;'Adjustment Factors'!$B$29,"",VLOOKUP($B57,'Adjustment Factors'!$B$29:$E$78,3,FALSE))</f>
        <v>1.0658505428466787</v>
      </c>
      <c r="E57" s="2255">
        <f>IF($B57&lt;'Adjustment Factors'!$B$29,"",VLOOKUP($B57,'Adjustment Factors'!$B$29:$E$78,4,FALSE))</f>
        <v>1.1275524475584227</v>
      </c>
    </row>
    <row r="58" spans="1:5" ht="13.5" customHeight="1">
      <c r="A58" s="623"/>
      <c r="B58" s="768">
        <f t="shared" si="1"/>
        <v>2040</v>
      </c>
      <c r="C58" s="624"/>
      <c r="D58" s="2255">
        <f>IF($B58&lt;'Adjustment Factors'!$B$29,"",VLOOKUP($B58,'Adjustment Factors'!$B$29:$E$78,3,FALSE))</f>
        <v>1.0691424756737469</v>
      </c>
      <c r="E58" s="2255">
        <f>IF($B58&lt;'Adjustment Factors'!$B$29,"",VLOOKUP($B58,'Adjustment Factors'!$B$29:$E$78,4,FALSE))</f>
        <v>1.1263777869993352</v>
      </c>
    </row>
    <row r="59" spans="1:5" ht="13.5" customHeight="1">
      <c r="A59" s="623"/>
      <c r="B59" s="768">
        <f t="shared" si="1"/>
        <v>2041</v>
      </c>
      <c r="C59" s="624"/>
      <c r="D59" s="2255">
        <f>IF($B59&lt;'Adjustment Factors'!$B$29,"",VLOOKUP($B59,'Adjustment Factors'!$B$29:$E$78,3,FALSE))</f>
        <v>1.0724528293073412</v>
      </c>
      <c r="E59" s="2255">
        <f>IF($B59&lt;'Adjustment Factors'!$B$29,"",VLOOKUP($B59,'Adjustment Factors'!$B$29:$E$78,4,FALSE))</f>
        <v>1.1252311719371273</v>
      </c>
    </row>
    <row r="60" spans="1:5" ht="13.5" customHeight="1">
      <c r="A60" s="623"/>
      <c r="B60" s="768">
        <f t="shared" si="1"/>
        <v>2042</v>
      </c>
      <c r="C60" s="624"/>
      <c r="D60" s="2255">
        <f>IF($B60&lt;'Adjustment Factors'!$B$29,"",VLOOKUP($B60,'Adjustment Factors'!$B$29:$E$78,3,FALSE))</f>
        <v>1.0757742556093985</v>
      </c>
      <c r="E60" s="2255">
        <f>IF($B60&lt;'Adjustment Factors'!$B$29,"",VLOOKUP($B60,'Adjustment Factors'!$B$29:$E$78,4,FALSE))</f>
        <v>1.1240820767102537</v>
      </c>
    </row>
    <row r="61" spans="1:5" ht="13.5" customHeight="1">
      <c r="A61" s="623"/>
      <c r="B61" s="768">
        <f t="shared" si="1"/>
        <v>2043</v>
      </c>
      <c r="C61" s="624"/>
      <c r="D61" s="2255">
        <f>IF($B61&lt;'Adjustment Factors'!$B$29,"",VLOOKUP($B61,'Adjustment Factors'!$B$29:$E$78,3,FALSE))</f>
        <v>1.0790838302964076</v>
      </c>
      <c r="E61" s="2255">
        <f>IF($B61&lt;'Adjustment Factors'!$B$29,"",VLOOKUP($B61,'Adjustment Factors'!$B$29:$E$78,4,FALSE))</f>
        <v>1.1229305142144566</v>
      </c>
    </row>
    <row r="62" spans="1:5" ht="13.5" customHeight="1">
      <c r="A62" s="623"/>
      <c r="B62" s="768">
        <f t="shared" si="1"/>
        <v>2044</v>
      </c>
      <c r="C62" s="624"/>
      <c r="D62" s="2255">
        <f>IF($B62&lt;'Adjustment Factors'!$B$29,"",VLOOKUP($B62,'Adjustment Factors'!$B$29:$E$78,3,FALSE))</f>
        <v>1.0823666539624257</v>
      </c>
      <c r="E62" s="2255">
        <f>IF($B62&lt;'Adjustment Factors'!$B$29,"",VLOOKUP($B62,'Adjustment Factors'!$B$29:$E$78,4,FALSE))</f>
        <v>1.121776497421773</v>
      </c>
    </row>
    <row r="63" spans="1:5" ht="13.5" customHeight="1">
      <c r="A63" s="623"/>
      <c r="B63" s="768">
        <f t="shared" si="1"/>
        <v>2045</v>
      </c>
      <c r="C63" s="624"/>
      <c r="D63" s="2255">
        <f>IF($B63&lt;'Adjustment Factors'!$B$29,"",VLOOKUP($B63,'Adjustment Factors'!$B$29:$E$78,3,FALSE))</f>
        <v>1.0856420780163583</v>
      </c>
      <c r="E63" s="2255">
        <f>IF($B63&lt;'Adjustment Factors'!$B$29,"",VLOOKUP($B63,'Adjustment Factors'!$B$29:$E$78,4,FALSE))</f>
        <v>1.1206200393798402</v>
      </c>
    </row>
    <row r="64" spans="1:5" ht="13.5" customHeight="1" thickBot="1">
      <c r="A64" s="619"/>
      <c r="B64" s="627"/>
      <c r="C64" s="620"/>
      <c r="D64" s="712"/>
      <c r="E64" s="620"/>
    </row>
    <row r="65" spans="4:4" ht="13.5" customHeight="1" thickTop="1" thickBot="1"/>
    <row r="66" spans="4:4" ht="13.5" customHeight="1" thickBot="1">
      <c r="D66" s="2431" t="s">
        <v>1489</v>
      </c>
    </row>
  </sheetData>
  <sheetProtection sheet="1" objects="1" scenarios="1"/>
  <mergeCells count="11">
    <mergeCell ref="E6:S6"/>
    <mergeCell ref="A7:B7"/>
    <mergeCell ref="A8:B8"/>
    <mergeCell ref="A20:B20"/>
    <mergeCell ref="D25:D27"/>
    <mergeCell ref="E25:E27"/>
    <mergeCell ref="A18:B18"/>
    <mergeCell ref="A19:B19"/>
    <mergeCell ref="A10:B10"/>
    <mergeCell ref="A11:B11"/>
    <mergeCell ref="A12:B12"/>
  </mergeCells>
  <phoneticPr fontId="8" type="noConversion"/>
  <hyperlinks>
    <hyperlink ref="A11" location="Contents!A1" display="Contents"/>
    <hyperlink ref="A11:B11" r:id="rId1" tooltip="Use of Tempro data" display="WebTAG1 Unit 3.15.2"/>
    <hyperlink ref="A10" location="Contents!A1" display="Contents"/>
    <hyperlink ref="A10:B10" location="Contents!A1" tooltip="Contents page" display="Contents"/>
    <hyperlink ref="D66" location="M4.2.1!D28" tooltip="Top of this page" display="Top"/>
    <hyperlink ref="A12:B12" r:id="rId2" tooltip="Unit M4: Forecasting &amp; Uncertainty" display="WebTAG Unit M 4"/>
  </hyperlinks>
  <pageMargins left="0.75" right="0.75" top="1" bottom="1" header="0.5" footer="0.5"/>
  <pageSetup paperSize="9" scale="49" orientation="landscape" r:id="rId3"/>
  <headerFooter alignWithMargins="0"/>
  <drawing r:id="rId4"/>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tabColor indexed="10"/>
  </sheetPr>
  <dimension ref="A1:S87"/>
  <sheetViews>
    <sheetView showGridLines="0" topLeftCell="A7" zoomScale="85" zoomScaleNormal="85" workbookViewId="0">
      <selection activeCell="E23" sqref="E23:F23"/>
    </sheetView>
  </sheetViews>
  <sheetFormatPr defaultColWidth="12.88671875" defaultRowHeight="13.5" customHeight="1"/>
  <cols>
    <col min="1" max="16384" width="12.88671875" style="599"/>
  </cols>
  <sheetData>
    <row r="1" spans="1:19" s="38" customFormat="1" ht="54.9" customHeight="1">
      <c r="A1" s="28"/>
      <c r="B1" s="28"/>
    </row>
    <row r="2" spans="1:19" s="300" customFormat="1" ht="5.0999999999999996" customHeight="1"/>
    <row r="3" spans="1:19" s="300" customFormat="1" ht="20.100000000000001" customHeight="1">
      <c r="A3" s="300" t="s">
        <v>2334</v>
      </c>
      <c r="B3" s="485"/>
      <c r="C3" s="83"/>
      <c r="D3" s="46"/>
      <c r="E3" s="83"/>
      <c r="F3" s="445"/>
      <c r="H3" s="444"/>
      <c r="I3" s="485"/>
      <c r="K3" s="83"/>
    </row>
    <row r="4" spans="1:19" s="26" customFormat="1" ht="20.100000000000001" customHeight="1" thickBot="1">
      <c r="A4" s="529" t="s">
        <v>525</v>
      </c>
      <c r="B4" s="447"/>
      <c r="C4" s="447"/>
      <c r="D4" s="446"/>
      <c r="E4" s="446"/>
      <c r="F4" s="446"/>
      <c r="G4" s="446"/>
      <c r="H4" s="448"/>
      <c r="I4" s="447"/>
      <c r="J4" s="487"/>
      <c r="K4" s="446"/>
      <c r="L4" s="446"/>
      <c r="M4" s="446"/>
      <c r="N4" s="446"/>
      <c r="O4" s="446"/>
      <c r="P4" s="446"/>
      <c r="Q4" s="446"/>
      <c r="R4" s="446"/>
      <c r="S4" s="446"/>
    </row>
    <row r="5" spans="1:19" s="38" customFormat="1" ht="9.9" customHeight="1" thickTop="1" thickBot="1">
      <c r="A5" s="35"/>
      <c r="B5" s="321"/>
      <c r="C5" s="321"/>
      <c r="F5" s="427"/>
      <c r="H5" s="35"/>
      <c r="I5" s="321"/>
      <c r="J5" s="32"/>
      <c r="K5" s="26"/>
    </row>
    <row r="6" spans="1:19" s="38" customFormat="1" ht="13.5" customHeight="1" thickTop="1">
      <c r="A6" s="169" t="s">
        <v>10</v>
      </c>
      <c r="B6" s="169"/>
      <c r="E6" s="3626" t="s">
        <v>255</v>
      </c>
      <c r="F6" s="3627"/>
      <c r="G6" s="3627"/>
      <c r="H6" s="3627"/>
      <c r="I6" s="3627"/>
      <c r="J6" s="3627"/>
      <c r="K6" s="3627"/>
      <c r="L6" s="3627"/>
      <c r="M6" s="3627"/>
      <c r="N6" s="3627"/>
      <c r="O6" s="3627"/>
      <c r="P6" s="3627"/>
      <c r="Q6" s="3627"/>
      <c r="R6" s="3627"/>
      <c r="S6" s="3729"/>
    </row>
    <row r="7" spans="1:19" s="38" customFormat="1" ht="13.5" customHeight="1">
      <c r="A7" s="3644" t="str">
        <f>Audit!A12</f>
        <v>May 2019 v1.12</v>
      </c>
      <c r="B7" s="3651"/>
      <c r="E7" s="113"/>
      <c r="F7" s="29"/>
      <c r="G7" s="26"/>
      <c r="H7" s="26"/>
      <c r="I7" s="26"/>
      <c r="J7" s="26"/>
      <c r="K7" s="26"/>
      <c r="L7" s="26"/>
      <c r="M7" s="26"/>
      <c r="N7" s="26"/>
      <c r="O7" s="26"/>
      <c r="P7" s="26"/>
      <c r="Q7" s="26"/>
      <c r="R7" s="26"/>
      <c r="S7" s="147"/>
    </row>
    <row r="8" spans="1:19" s="38" customFormat="1" ht="13.5" customHeight="1">
      <c r="A8" s="3646">
        <f>Audit!C12</f>
        <v>43586</v>
      </c>
      <c r="B8" s="3651"/>
      <c r="C8" s="321"/>
      <c r="D8" s="321"/>
      <c r="E8" s="180" t="s">
        <v>341</v>
      </c>
      <c r="F8" s="26" t="s">
        <v>1478</v>
      </c>
      <c r="G8" s="2681" t="s">
        <v>1742</v>
      </c>
      <c r="H8" s="26"/>
      <c r="I8" s="26"/>
      <c r="J8" s="26"/>
      <c r="K8" s="26"/>
      <c r="L8" s="26"/>
      <c r="M8" s="26"/>
      <c r="N8" s="26"/>
      <c r="O8" s="26"/>
      <c r="P8" s="26"/>
      <c r="Q8" s="26"/>
      <c r="R8" s="26"/>
      <c r="S8" s="147"/>
    </row>
    <row r="9" spans="1:19" s="38" customFormat="1" ht="13.5" customHeight="1" thickBot="1">
      <c r="A9" s="172" t="s">
        <v>14</v>
      </c>
      <c r="B9" s="173"/>
      <c r="D9" s="321"/>
      <c r="E9" s="113"/>
      <c r="F9" s="26" t="s">
        <v>1399</v>
      </c>
      <c r="G9" s="26" t="s">
        <v>404</v>
      </c>
      <c r="H9" s="26"/>
      <c r="I9" s="26"/>
      <c r="J9" s="26"/>
      <c r="K9" s="26"/>
      <c r="L9" s="26"/>
      <c r="M9" s="26"/>
      <c r="N9" s="26"/>
      <c r="O9" s="26"/>
      <c r="P9" s="26"/>
      <c r="Q9" s="26"/>
      <c r="R9" s="26"/>
      <c r="S9" s="147"/>
    </row>
    <row r="10" spans="1:19" s="38" customFormat="1" ht="13.5" customHeight="1" thickBot="1">
      <c r="A10" s="3611" t="s">
        <v>1306</v>
      </c>
      <c r="B10" s="3612"/>
      <c r="D10" s="321"/>
      <c r="E10" s="113"/>
      <c r="F10" s="26"/>
      <c r="G10" s="26"/>
      <c r="H10" s="26"/>
      <c r="I10" s="26"/>
      <c r="J10" s="26"/>
      <c r="K10" s="26"/>
      <c r="L10" s="26"/>
      <c r="M10" s="26"/>
      <c r="N10" s="26"/>
      <c r="O10" s="26"/>
      <c r="P10" s="26"/>
      <c r="Q10" s="26"/>
      <c r="R10" s="26"/>
      <c r="S10" s="147"/>
    </row>
    <row r="11" spans="1:19" s="38" customFormat="1" ht="13.5" customHeight="1" thickBot="1">
      <c r="A11" s="3611" t="s">
        <v>2336</v>
      </c>
      <c r="B11" s="3639"/>
      <c r="D11" s="321"/>
      <c r="E11" s="113" t="s">
        <v>1204</v>
      </c>
      <c r="F11" s="53"/>
      <c r="G11" s="53"/>
      <c r="H11" s="53"/>
      <c r="I11" s="53"/>
      <c r="J11" s="2312">
        <v>0.16</v>
      </c>
      <c r="K11" s="53"/>
      <c r="L11" s="53"/>
      <c r="M11" s="53"/>
      <c r="N11" s="53"/>
      <c r="O11" s="53"/>
      <c r="P11" s="53"/>
      <c r="Q11" s="53"/>
      <c r="R11" s="53"/>
      <c r="S11" s="379"/>
    </row>
    <row r="12" spans="1:19" s="38" customFormat="1" ht="13.5" customHeight="1" thickBot="1">
      <c r="A12" s="3640" t="s">
        <v>2337</v>
      </c>
      <c r="B12" s="3652"/>
      <c r="D12" s="321"/>
      <c r="E12" s="113" t="s">
        <v>1205</v>
      </c>
      <c r="F12" s="26"/>
      <c r="G12" s="26"/>
      <c r="H12" s="26"/>
      <c r="I12" s="26"/>
      <c r="J12" s="26"/>
      <c r="K12" s="26"/>
      <c r="L12" s="2313">
        <v>-0.25</v>
      </c>
      <c r="M12" s="26"/>
      <c r="N12" s="26"/>
      <c r="O12" s="26"/>
      <c r="P12" s="26"/>
      <c r="Q12" s="26"/>
      <c r="R12" s="26"/>
      <c r="S12" s="147"/>
    </row>
    <row r="13" spans="1:19" s="38" customFormat="1" ht="13.5" customHeight="1">
      <c r="A13" s="172" t="s">
        <v>252</v>
      </c>
      <c r="B13" s="194"/>
      <c r="C13" s="321"/>
      <c r="D13" s="321"/>
      <c r="E13" s="113" t="s">
        <v>485</v>
      </c>
      <c r="F13" s="26"/>
      <c r="G13" s="26"/>
      <c r="H13" s="26"/>
      <c r="I13" s="26"/>
      <c r="J13" s="26"/>
      <c r="K13" s="26"/>
      <c r="L13" s="26"/>
      <c r="M13" s="26"/>
      <c r="N13" s="26"/>
      <c r="O13" s="26"/>
      <c r="P13" s="26"/>
      <c r="Q13" s="26"/>
      <c r="R13" s="26"/>
      <c r="S13" s="147"/>
    </row>
    <row r="14" spans="1:19" s="38" customFormat="1" ht="13.5" customHeight="1">
      <c r="A14" s="26"/>
      <c r="B14" s="316"/>
      <c r="C14" s="321"/>
      <c r="D14" s="321"/>
      <c r="E14" s="113"/>
      <c r="F14" s="26"/>
      <c r="G14" s="26"/>
      <c r="H14" s="26"/>
      <c r="I14" s="26"/>
      <c r="J14" s="26"/>
      <c r="K14" s="26"/>
      <c r="L14" s="26"/>
      <c r="M14" s="26"/>
      <c r="N14" s="26"/>
      <c r="O14" s="26"/>
      <c r="P14" s="26"/>
      <c r="Q14" s="26"/>
      <c r="R14" s="26"/>
      <c r="S14" s="147"/>
    </row>
    <row r="15" spans="1:19" s="38" customFormat="1" ht="13.5" customHeight="1">
      <c r="A15" s="56" t="s">
        <v>1174</v>
      </c>
      <c r="B15" s="221">
        <f>'User Parameters'!L16</f>
        <v>2010</v>
      </c>
      <c r="C15" s="321"/>
      <c r="D15" s="321"/>
      <c r="E15" s="1229" t="s">
        <v>1175</v>
      </c>
      <c r="F15" s="26"/>
      <c r="G15" s="26"/>
      <c r="H15" s="26"/>
      <c r="I15" s="26"/>
      <c r="J15" s="26"/>
      <c r="K15" s="26"/>
      <c r="L15" s="26"/>
      <c r="M15" s="26"/>
      <c r="N15" s="26"/>
      <c r="O15" s="26"/>
      <c r="P15" s="26"/>
      <c r="Q15" s="26"/>
      <c r="R15" s="26"/>
      <c r="S15" s="147"/>
    </row>
    <row r="16" spans="1:19" s="38" customFormat="1" ht="13.5" customHeight="1">
      <c r="A16" s="26"/>
      <c r="B16" s="952"/>
      <c r="C16" s="321"/>
      <c r="D16" s="321"/>
      <c r="E16" s="1229"/>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113" t="s">
        <v>2387</v>
      </c>
      <c r="F17" s="26"/>
      <c r="G17" s="26"/>
      <c r="H17" s="26"/>
      <c r="I17" s="26"/>
      <c r="J17" s="26"/>
      <c r="K17" s="26"/>
      <c r="L17" s="26"/>
      <c r="M17" s="26"/>
      <c r="N17" s="26"/>
      <c r="O17" s="26"/>
      <c r="P17" s="26"/>
      <c r="Q17" s="26"/>
      <c r="R17" s="26"/>
      <c r="S17" s="147"/>
    </row>
    <row r="18" spans="1:19" s="38" customFormat="1" ht="13.5" customHeight="1">
      <c r="A18" s="3615"/>
      <c r="B18" s="3615"/>
      <c r="C18" s="321"/>
      <c r="D18" s="321"/>
      <c r="E18" s="113" t="s">
        <v>375</v>
      </c>
      <c r="F18" s="26"/>
      <c r="G18" s="26"/>
      <c r="H18" s="26"/>
      <c r="I18" s="26"/>
      <c r="J18" s="26"/>
      <c r="K18" s="26"/>
      <c r="L18" s="26"/>
      <c r="M18" s="26"/>
      <c r="N18" s="26"/>
      <c r="O18" s="26"/>
      <c r="P18" s="26"/>
      <c r="Q18" s="26"/>
      <c r="R18" s="26"/>
      <c r="S18" s="147"/>
    </row>
    <row r="19" spans="1:19" s="38" customFormat="1" ht="13.5" customHeight="1">
      <c r="A19" s="3615"/>
      <c r="B19" s="3615"/>
      <c r="C19" s="321"/>
      <c r="D19" s="321"/>
      <c r="E19" s="113" t="s">
        <v>1003</v>
      </c>
      <c r="F19" s="26"/>
      <c r="G19" s="26"/>
      <c r="H19" s="26"/>
      <c r="I19" s="26"/>
      <c r="J19" s="26"/>
      <c r="K19" s="26"/>
      <c r="L19" s="26"/>
      <c r="M19" s="26"/>
      <c r="N19" s="26"/>
      <c r="O19" s="26"/>
      <c r="P19" s="26"/>
      <c r="Q19" s="26"/>
      <c r="R19" s="26"/>
      <c r="S19" s="147"/>
    </row>
    <row r="20" spans="1:19" s="38" customFormat="1" ht="13.5" customHeight="1" thickBot="1">
      <c r="A20" s="3615"/>
      <c r="B20" s="3615"/>
      <c r="C20" s="321"/>
      <c r="D20" s="412"/>
      <c r="E20" s="381" t="s">
        <v>2338</v>
      </c>
      <c r="F20" s="163"/>
      <c r="G20" s="163"/>
      <c r="H20" s="163"/>
      <c r="I20" s="163"/>
      <c r="J20" s="163"/>
      <c r="K20" s="163"/>
      <c r="L20" s="163"/>
      <c r="M20" s="163"/>
      <c r="N20" s="163"/>
      <c r="O20" s="163"/>
      <c r="P20" s="163"/>
      <c r="Q20" s="163"/>
      <c r="R20" s="163"/>
      <c r="S20" s="382"/>
    </row>
    <row r="21" spans="1:19" s="38" customFormat="1" ht="13.5" customHeight="1" thickTop="1">
      <c r="A21" s="31"/>
      <c r="B21" s="31"/>
      <c r="C21" s="321"/>
      <c r="D21" s="72"/>
      <c r="E21" s="26"/>
      <c r="F21" s="29"/>
      <c r="G21" s="29"/>
      <c r="H21" s="29"/>
      <c r="I21" s="29"/>
      <c r="J21" s="29"/>
      <c r="K21" s="29"/>
      <c r="L21" s="29"/>
      <c r="M21" s="29"/>
      <c r="N21" s="29"/>
      <c r="O21" s="29"/>
      <c r="P21" s="29"/>
      <c r="Q21" s="29"/>
      <c r="R21" s="29"/>
      <c r="S21" s="29"/>
    </row>
    <row r="22" spans="1:19" s="38" customFormat="1" ht="13.5" customHeight="1" thickBot="1">
      <c r="A22" s="35"/>
      <c r="B22" s="321"/>
      <c r="C22" s="321"/>
      <c r="D22" s="32"/>
      <c r="F22" s="427"/>
      <c r="H22" s="35"/>
      <c r="I22" s="321"/>
      <c r="J22" s="32"/>
      <c r="K22" s="26"/>
    </row>
    <row r="23" spans="1:19" s="38" customFormat="1" ht="13.5" customHeight="1" thickTop="1">
      <c r="A23" s="680" t="s">
        <v>1395</v>
      </c>
      <c r="B23" s="1033"/>
      <c r="C23" s="1634"/>
      <c r="D23" s="1634"/>
      <c r="E23" s="850"/>
    </row>
    <row r="24" spans="1:19" s="38" customFormat="1" ht="13.5" customHeight="1" thickBot="1">
      <c r="A24" s="526" t="s">
        <v>1394</v>
      </c>
      <c r="B24" s="527"/>
      <c r="C24" s="1635"/>
      <c r="D24" s="1635"/>
      <c r="E24" s="1057"/>
    </row>
    <row r="25" spans="1:19" s="38" customFormat="1" ht="13.5" customHeight="1" thickTop="1">
      <c r="A25" s="230"/>
      <c r="B25" s="100"/>
      <c r="C25" s="853"/>
      <c r="D25" s="3799" t="s">
        <v>1396</v>
      </c>
      <c r="E25" s="3828" t="s">
        <v>1397</v>
      </c>
    </row>
    <row r="26" spans="1:19" s="38" customFormat="1" ht="13.5" customHeight="1">
      <c r="A26" s="809"/>
      <c r="B26" s="173"/>
      <c r="C26" s="854"/>
      <c r="D26" s="3869"/>
      <c r="E26" s="3805"/>
    </row>
    <row r="27" spans="1:19" s="38" customFormat="1" ht="13.5" customHeight="1" thickBot="1">
      <c r="A27" s="464"/>
      <c r="B27" s="659" t="s">
        <v>1450</v>
      </c>
      <c r="C27" s="465"/>
      <c r="D27" s="3870"/>
      <c r="E27" s="3871"/>
      <c r="F27" s="26"/>
      <c r="G27" s="26"/>
    </row>
    <row r="28" spans="1:19" s="38" customFormat="1" ht="13.5" customHeight="1" thickTop="1">
      <c r="A28" s="113"/>
      <c r="B28" s="32"/>
      <c r="C28" s="26"/>
      <c r="D28" s="1592"/>
      <c r="E28" s="2311"/>
      <c r="F28" s="26"/>
      <c r="G28" s="26"/>
    </row>
    <row r="29" spans="1:19" ht="13.5" customHeight="1">
      <c r="A29" s="623"/>
      <c r="B29" s="768">
        <f>B15</f>
        <v>2010</v>
      </c>
      <c r="C29" s="624"/>
      <c r="D29" s="856">
        <v>1</v>
      </c>
      <c r="E29" s="2310">
        <f t="shared" ref="E29:E60" si="0">IF(ISERROR(VLOOKUP(B29,Av_car_cost_CPI,12,0)),"",IF(VLOOKUP(B29,Av_car_cost_CPI,12,0)="","",IF(AND(E28="",VLOOKUP(B29,Av_car_cost_CPI,12)&lt;&gt;0),1,(VLOOKUP(B29,Av_car_cost_CPI,12,0)/VLOOKUP(B29-1,Av_car_cost_CPI,12,0))^$L$12*E28)))</f>
        <v>1</v>
      </c>
      <c r="F29" s="2308"/>
      <c r="G29" s="2309"/>
    </row>
    <row r="30" spans="1:19" ht="13.5" customHeight="1">
      <c r="A30" s="623"/>
      <c r="B30" s="768">
        <f>B29+1</f>
        <v>2011</v>
      </c>
      <c r="C30" s="624"/>
      <c r="D30" s="2240">
        <f t="shared" ref="D30:D61" si="1">((VLOOKUP(B30,Parameters,18,FALSE))/(VLOOKUP(B$29,Parameters,18,FALSE)))^$J$11</f>
        <v>1.0015842944377698</v>
      </c>
      <c r="E30" s="2310">
        <f t="shared" si="0"/>
        <v>0.98928095585932219</v>
      </c>
      <c r="F30" s="2309"/>
      <c r="G30" s="2309"/>
    </row>
    <row r="31" spans="1:19" ht="13.5" customHeight="1">
      <c r="A31" s="623"/>
      <c r="B31" s="768">
        <f t="shared" ref="B31:B63" si="2">B30+1</f>
        <v>2012</v>
      </c>
      <c r="C31" s="624"/>
      <c r="D31" s="2240">
        <f t="shared" si="1"/>
        <v>1.0026480402408171</v>
      </c>
      <c r="E31" s="2310">
        <f t="shared" si="0"/>
        <v>0.98626901867419925</v>
      </c>
      <c r="F31" s="2309"/>
      <c r="G31" s="2309"/>
    </row>
    <row r="32" spans="1:19" ht="13.5" customHeight="1">
      <c r="A32" s="623"/>
      <c r="B32" s="768">
        <f t="shared" si="2"/>
        <v>2013</v>
      </c>
      <c r="C32" s="624"/>
      <c r="D32" s="2240">
        <f>((VLOOKUP(B32,Parameters,18,FALSE))/(VLOOKUP(B$29,Parameters,18,FALSE)))^$J$11</f>
        <v>1.0056189898340406</v>
      </c>
      <c r="E32" s="2310">
        <f t="shared" si="0"/>
        <v>0.996720288775642</v>
      </c>
      <c r="F32" s="2309"/>
      <c r="G32" s="2309"/>
    </row>
    <row r="33" spans="1:9" ht="13.5" customHeight="1">
      <c r="A33" s="623"/>
      <c r="B33" s="768">
        <f t="shared" si="2"/>
        <v>2014</v>
      </c>
      <c r="C33" s="624"/>
      <c r="D33" s="2240">
        <f t="shared" si="1"/>
        <v>1.0098740991664026</v>
      </c>
      <c r="E33" s="2310">
        <f t="shared" si="0"/>
        <v>1.0193474210613629</v>
      </c>
      <c r="F33" s="2309"/>
      <c r="G33" s="2309"/>
    </row>
    <row r="34" spans="1:9" ht="13.5" customHeight="1">
      <c r="A34" s="623"/>
      <c r="B34" s="768">
        <f t="shared" si="2"/>
        <v>2015</v>
      </c>
      <c r="C34" s="624"/>
      <c r="D34" s="2240">
        <f t="shared" si="1"/>
        <v>1.0117646852510573</v>
      </c>
      <c r="E34" s="2310">
        <f t="shared" si="0"/>
        <v>1.0507052157058268</v>
      </c>
      <c r="F34" s="2309"/>
      <c r="G34" s="2309"/>
    </row>
    <row r="35" spans="1:9" ht="13.5" customHeight="1">
      <c r="A35" s="623"/>
      <c r="B35" s="768">
        <f t="shared" si="2"/>
        <v>2016</v>
      </c>
      <c r="C35" s="624"/>
      <c r="D35" s="2240">
        <f t="shared" si="1"/>
        <v>1.0143578231582535</v>
      </c>
      <c r="E35" s="2310">
        <f t="shared" si="0"/>
        <v>1.0694893750691472</v>
      </c>
      <c r="F35" s="2309"/>
      <c r="G35" s="2309"/>
    </row>
    <row r="36" spans="1:9" ht="13.5" customHeight="1">
      <c r="A36" s="623"/>
      <c r="B36" s="768">
        <f t="shared" si="2"/>
        <v>2017</v>
      </c>
      <c r="C36" s="624"/>
      <c r="D36" s="2240">
        <f t="shared" si="1"/>
        <v>1.0164612639600428</v>
      </c>
      <c r="E36" s="2310">
        <f t="shared" si="0"/>
        <v>1.0675518192958069</v>
      </c>
      <c r="F36" s="2309"/>
      <c r="G36" s="2309"/>
    </row>
    <row r="37" spans="1:9" ht="13.5" customHeight="1">
      <c r="A37" s="623"/>
      <c r="B37" s="768">
        <f t="shared" si="2"/>
        <v>2018</v>
      </c>
      <c r="C37" s="624"/>
      <c r="D37" s="2240">
        <f t="shared" si="1"/>
        <v>1.0175504329373812</v>
      </c>
      <c r="E37" s="2310">
        <f t="shared" si="0"/>
        <v>1.0644753923569814</v>
      </c>
      <c r="F37" s="2309"/>
      <c r="G37" s="2309"/>
    </row>
    <row r="38" spans="1:9" ht="13.5" customHeight="1">
      <c r="A38" s="623"/>
      <c r="B38" s="768">
        <f>B37+1</f>
        <v>2019</v>
      </c>
      <c r="C38" s="624"/>
      <c r="D38" s="2240">
        <f t="shared" si="1"/>
        <v>1.0184180970628689</v>
      </c>
      <c r="E38" s="2310">
        <f t="shared" si="0"/>
        <v>1.069271279843252</v>
      </c>
      <c r="F38" s="2309"/>
      <c r="G38" s="2309"/>
    </row>
    <row r="39" spans="1:9" ht="13.5" customHeight="1">
      <c r="A39" s="623"/>
      <c r="B39" s="768">
        <f t="shared" si="2"/>
        <v>2020</v>
      </c>
      <c r="C39" s="624"/>
      <c r="D39" s="2240">
        <f t="shared" si="1"/>
        <v>1.0196970212537708</v>
      </c>
      <c r="E39" s="2310">
        <f t="shared" si="0"/>
        <v>1.075407651085353</v>
      </c>
      <c r="F39" s="2309"/>
      <c r="G39" s="2309"/>
    </row>
    <row r="40" spans="1:9" ht="13.5" customHeight="1">
      <c r="A40" s="623"/>
      <c r="B40" s="768">
        <f t="shared" si="2"/>
        <v>2021</v>
      </c>
      <c r="C40" s="624"/>
      <c r="D40" s="2240">
        <f t="shared" ref="D40:D45" si="3">((VLOOKUP(B40,Parameters,18,FALSE))/(VLOOKUP(B$29,Parameters,18,FALSE)))^$J$11</f>
        <v>1.0212937605650383</v>
      </c>
      <c r="E40" s="2310">
        <f t="shared" si="0"/>
        <v>1.0800582821524793</v>
      </c>
      <c r="F40" s="1901"/>
      <c r="G40" s="2309"/>
      <c r="H40" s="2309"/>
      <c r="I40" s="2309"/>
    </row>
    <row r="41" spans="1:9" ht="13.5" customHeight="1">
      <c r="A41" s="623"/>
      <c r="B41" s="768">
        <f t="shared" si="2"/>
        <v>2022</v>
      </c>
      <c r="C41" s="624"/>
      <c r="D41" s="2240">
        <f t="shared" si="3"/>
        <v>1.0227068615775579</v>
      </c>
      <c r="E41" s="2310">
        <f t="shared" si="0"/>
        <v>1.0841573340412887</v>
      </c>
      <c r="F41" s="1901"/>
      <c r="G41" s="2309"/>
      <c r="H41" s="2309"/>
      <c r="I41" s="2309"/>
    </row>
    <row r="42" spans="1:9" ht="13.5" customHeight="1">
      <c r="A42" s="623"/>
      <c r="B42" s="768">
        <f t="shared" si="2"/>
        <v>2023</v>
      </c>
      <c r="C42" s="624"/>
      <c r="D42" s="2240">
        <f t="shared" si="3"/>
        <v>1.0241610045519072</v>
      </c>
      <c r="E42" s="2310">
        <f t="shared" si="0"/>
        <v>1.0875873155552764</v>
      </c>
      <c r="F42" s="1901"/>
      <c r="G42" s="2309"/>
      <c r="H42" s="2309"/>
      <c r="I42" s="2309"/>
    </row>
    <row r="43" spans="1:9" ht="13.5" customHeight="1">
      <c r="A43" s="623"/>
      <c r="B43" s="768">
        <f t="shared" si="2"/>
        <v>2024</v>
      </c>
      <c r="C43" s="624"/>
      <c r="D43" s="2240">
        <f t="shared" si="3"/>
        <v>1.0258900436493219</v>
      </c>
      <c r="E43" s="2310">
        <f t="shared" si="0"/>
        <v>1.0912740484397876</v>
      </c>
      <c r="F43" s="1901"/>
      <c r="G43" s="2309"/>
      <c r="H43" s="2309"/>
      <c r="I43" s="2309"/>
    </row>
    <row r="44" spans="1:9" ht="13.5" customHeight="1">
      <c r="A44" s="623"/>
      <c r="B44" s="768">
        <f t="shared" si="2"/>
        <v>2025</v>
      </c>
      <c r="C44" s="624"/>
      <c r="D44" s="2240">
        <f t="shared" si="3"/>
        <v>1.0278888955371126</v>
      </c>
      <c r="E44" s="2310">
        <f t="shared" si="0"/>
        <v>1.095041993844152</v>
      </c>
      <c r="F44" s="1901"/>
      <c r="G44" s="2309"/>
      <c r="H44" s="2309"/>
      <c r="I44" s="2309"/>
    </row>
    <row r="45" spans="1:9" ht="13.5" customHeight="1">
      <c r="A45" s="623"/>
      <c r="B45" s="768">
        <f t="shared" si="2"/>
        <v>2026</v>
      </c>
      <c r="C45" s="624"/>
      <c r="D45" s="2240">
        <f t="shared" si="3"/>
        <v>1.0300864916200998</v>
      </c>
      <c r="E45" s="2310">
        <f t="shared" si="0"/>
        <v>1.0982283123096772</v>
      </c>
      <c r="F45" s="1901"/>
      <c r="G45" s="2309"/>
      <c r="H45" s="2309"/>
      <c r="I45" s="2309"/>
    </row>
    <row r="46" spans="1:9" ht="13.5" customHeight="1">
      <c r="A46" s="623"/>
      <c r="B46" s="768">
        <f t="shared" si="2"/>
        <v>2027</v>
      </c>
      <c r="C46" s="624"/>
      <c r="D46" s="2240">
        <f t="shared" si="1"/>
        <v>1.032423288471352</v>
      </c>
      <c r="E46" s="2310">
        <f t="shared" si="0"/>
        <v>1.1017479934134753</v>
      </c>
      <c r="F46" s="1901"/>
      <c r="G46" s="2309"/>
      <c r="H46" s="2309"/>
      <c r="I46" s="2309"/>
    </row>
    <row r="47" spans="1:9" ht="13.5" customHeight="1">
      <c r="A47" s="623"/>
      <c r="B47" s="768">
        <f t="shared" si="2"/>
        <v>2028</v>
      </c>
      <c r="C47" s="624"/>
      <c r="D47" s="2240">
        <f t="shared" si="1"/>
        <v>1.0349354068770398</v>
      </c>
      <c r="E47" s="2310">
        <f t="shared" si="0"/>
        <v>1.1055092146424246</v>
      </c>
      <c r="F47" s="1901"/>
      <c r="G47" s="2309"/>
      <c r="H47" s="2309"/>
      <c r="I47" s="2309"/>
    </row>
    <row r="48" spans="1:9" ht="13.5" customHeight="1">
      <c r="A48" s="623"/>
      <c r="B48" s="768">
        <f t="shared" si="2"/>
        <v>2029</v>
      </c>
      <c r="C48" s="624"/>
      <c r="D48" s="2240">
        <f t="shared" si="1"/>
        <v>1.0375435341823105</v>
      </c>
      <c r="E48" s="2310">
        <f t="shared" si="0"/>
        <v>1.1085706726252427</v>
      </c>
      <c r="F48" s="1901"/>
      <c r="G48" s="2309"/>
      <c r="H48" s="2309"/>
      <c r="I48" s="2309"/>
    </row>
    <row r="49" spans="1:9" ht="13.5" customHeight="1">
      <c r="A49" s="623"/>
      <c r="B49" s="768">
        <f t="shared" si="2"/>
        <v>2030</v>
      </c>
      <c r="C49" s="624"/>
      <c r="D49" s="2240">
        <f t="shared" si="1"/>
        <v>1.0403154288682002</v>
      </c>
      <c r="E49" s="2310">
        <f t="shared" si="0"/>
        <v>1.1119923209687388</v>
      </c>
      <c r="F49" s="1901"/>
      <c r="G49" s="2309"/>
      <c r="H49" s="2309"/>
      <c r="I49" s="2309"/>
    </row>
    <row r="50" spans="1:9" ht="13.5" customHeight="1">
      <c r="A50" s="623"/>
      <c r="B50" s="768">
        <f t="shared" si="2"/>
        <v>2031</v>
      </c>
      <c r="C50" s="624"/>
      <c r="D50" s="2240">
        <f t="shared" si="1"/>
        <v>1.043056421236171</v>
      </c>
      <c r="E50" s="2310">
        <f t="shared" si="0"/>
        <v>1.1163191573108608</v>
      </c>
      <c r="F50" s="1901"/>
      <c r="G50" s="2309"/>
      <c r="H50" s="2309"/>
      <c r="I50" s="2309"/>
    </row>
    <row r="51" spans="1:9" ht="13.5" customHeight="1">
      <c r="A51" s="623"/>
      <c r="B51" s="768">
        <f t="shared" si="2"/>
        <v>2032</v>
      </c>
      <c r="C51" s="624"/>
      <c r="D51" s="2240">
        <f t="shared" si="1"/>
        <v>1.0457840108372516</v>
      </c>
      <c r="E51" s="2310">
        <f t="shared" si="0"/>
        <v>1.1204342853312643</v>
      </c>
      <c r="F51" s="1901"/>
      <c r="G51" s="2309"/>
      <c r="H51" s="2309"/>
      <c r="I51" s="2309"/>
    </row>
    <row r="52" spans="1:9" ht="13.5" customHeight="1">
      <c r="A52" s="623"/>
      <c r="B52" s="768">
        <f t="shared" si="2"/>
        <v>2033</v>
      </c>
      <c r="C52" s="624"/>
      <c r="D52" s="2240">
        <f t="shared" si="1"/>
        <v>1.0484881369858261</v>
      </c>
      <c r="E52" s="2310">
        <f t="shared" si="0"/>
        <v>1.1242567392241853</v>
      </c>
      <c r="F52" s="1901"/>
      <c r="G52" s="2309"/>
      <c r="H52" s="2309"/>
      <c r="I52" s="2309"/>
    </row>
    <row r="53" spans="1:9" ht="13.5" customHeight="1">
      <c r="A53" s="623"/>
      <c r="B53" s="768">
        <f t="shared" si="2"/>
        <v>2034</v>
      </c>
      <c r="C53" s="624"/>
      <c r="D53" s="2240">
        <f t="shared" si="1"/>
        <v>1.0512306456388298</v>
      </c>
      <c r="E53" s="2310">
        <f t="shared" si="0"/>
        <v>1.128087257522185</v>
      </c>
      <c r="F53" s="1901"/>
      <c r="G53" s="2309"/>
      <c r="H53" s="2309"/>
      <c r="I53" s="2309"/>
    </row>
    <row r="54" spans="1:9" ht="13.5" customHeight="1">
      <c r="A54" s="623"/>
      <c r="B54" s="768">
        <f t="shared" si="2"/>
        <v>2035</v>
      </c>
      <c r="C54" s="624"/>
      <c r="D54" s="2240">
        <f t="shared" si="1"/>
        <v>1.0540407536602505</v>
      </c>
      <c r="E54" s="2310">
        <f t="shared" si="0"/>
        <v>1.1304402956784172</v>
      </c>
      <c r="F54" s="1901"/>
      <c r="G54" s="2309"/>
      <c r="H54" s="2309"/>
      <c r="I54" s="2309"/>
    </row>
    <row r="55" spans="1:9" ht="13.5" customHeight="1">
      <c r="A55" s="623"/>
      <c r="B55" s="768">
        <f t="shared" si="2"/>
        <v>2036</v>
      </c>
      <c r="C55" s="624"/>
      <c r="D55" s="2240">
        <f t="shared" si="1"/>
        <v>1.0569450439349422</v>
      </c>
      <c r="E55" s="2310">
        <f t="shared" si="0"/>
        <v>1.1305901866643802</v>
      </c>
      <c r="F55" s="1901"/>
      <c r="G55" s="2309"/>
      <c r="H55" s="2309"/>
      <c r="I55" s="2309"/>
    </row>
    <row r="56" spans="1:9" ht="13.5" customHeight="1">
      <c r="A56" s="623"/>
      <c r="B56" s="768">
        <f t="shared" si="2"/>
        <v>2037</v>
      </c>
      <c r="C56" s="624"/>
      <c r="D56" s="2240">
        <f t="shared" si="1"/>
        <v>1.0599005787036377</v>
      </c>
      <c r="E56" s="2310">
        <f t="shared" si="0"/>
        <v>1.1298567280630738</v>
      </c>
      <c r="F56" s="1901"/>
      <c r="G56" s="2309"/>
      <c r="H56" s="2309"/>
      <c r="I56" s="2309"/>
    </row>
    <row r="57" spans="1:9" ht="13.5" customHeight="1">
      <c r="A57" s="623"/>
      <c r="B57" s="768">
        <f t="shared" si="2"/>
        <v>2038</v>
      </c>
      <c r="C57" s="624"/>
      <c r="D57" s="2240">
        <f t="shared" si="1"/>
        <v>1.0628764242578865</v>
      </c>
      <c r="E57" s="2310">
        <f t="shared" si="0"/>
        <v>1.1288058115434561</v>
      </c>
      <c r="F57" s="1901"/>
      <c r="G57" s="2309"/>
      <c r="H57" s="2309"/>
      <c r="I57" s="2309"/>
    </row>
    <row r="58" spans="1:9" ht="13.5" customHeight="1">
      <c r="A58" s="623"/>
      <c r="B58" s="768">
        <f t="shared" si="2"/>
        <v>2039</v>
      </c>
      <c r="C58" s="624"/>
      <c r="D58" s="2240">
        <f t="shared" si="1"/>
        <v>1.0658505428466787</v>
      </c>
      <c r="E58" s="2310">
        <f t="shared" si="0"/>
        <v>1.1275524475584227</v>
      </c>
      <c r="F58" s="1901"/>
      <c r="G58" s="2309"/>
      <c r="H58" s="2309"/>
      <c r="I58" s="2309"/>
    </row>
    <row r="59" spans="1:9" ht="13.5" customHeight="1">
      <c r="A59" s="623"/>
      <c r="B59" s="768">
        <f t="shared" si="2"/>
        <v>2040</v>
      </c>
      <c r="C59" s="624"/>
      <c r="D59" s="2240">
        <f t="shared" si="1"/>
        <v>1.0691424756737469</v>
      </c>
      <c r="E59" s="2310">
        <f t="shared" si="0"/>
        <v>1.1263777869993352</v>
      </c>
      <c r="F59" s="1901"/>
      <c r="G59" s="2309"/>
      <c r="H59" s="2309"/>
      <c r="I59" s="2309"/>
    </row>
    <row r="60" spans="1:9" ht="13.5" customHeight="1">
      <c r="A60" s="623"/>
      <c r="B60" s="768">
        <f t="shared" si="2"/>
        <v>2041</v>
      </c>
      <c r="C60" s="624"/>
      <c r="D60" s="2240">
        <f t="shared" si="1"/>
        <v>1.0724528293073412</v>
      </c>
      <c r="E60" s="2310">
        <f t="shared" si="0"/>
        <v>1.1252311719371273</v>
      </c>
      <c r="F60" s="1901"/>
      <c r="G60" s="2309"/>
      <c r="H60" s="2309"/>
      <c r="I60" s="2309"/>
    </row>
    <row r="61" spans="1:9" ht="13.5" customHeight="1">
      <c r="A61" s="623"/>
      <c r="B61" s="768">
        <f t="shared" si="2"/>
        <v>2042</v>
      </c>
      <c r="C61" s="624"/>
      <c r="D61" s="2240">
        <f t="shared" si="1"/>
        <v>1.0757742556093985</v>
      </c>
      <c r="E61" s="2310">
        <f t="shared" ref="E61:E79" si="4">IF(ISERROR(VLOOKUP(B61,Av_car_cost_CPI,12,0)),"",IF(VLOOKUP(B61,Av_car_cost_CPI,12,0)="","",IF(AND(E60="",VLOOKUP(B61,Av_car_cost_CPI,12)&lt;&gt;0),1,(VLOOKUP(B61,Av_car_cost_CPI,12,0)/VLOOKUP(B61-1,Av_car_cost_CPI,12,0))^$L$12*E60)))</f>
        <v>1.1240820767102537</v>
      </c>
      <c r="F61" s="1901"/>
      <c r="G61" s="2309"/>
      <c r="H61" s="2309"/>
      <c r="I61" s="2309"/>
    </row>
    <row r="62" spans="1:9" ht="13.5" customHeight="1">
      <c r="A62" s="623"/>
      <c r="B62" s="768">
        <f t="shared" si="2"/>
        <v>2043</v>
      </c>
      <c r="C62" s="624"/>
      <c r="D62" s="2240">
        <f t="shared" ref="D62:D79" si="5">((VLOOKUP(B62,Parameters,18,FALSE))/(VLOOKUP(B$29,Parameters,18,FALSE)))^$J$11</f>
        <v>1.0790838302964076</v>
      </c>
      <c r="E62" s="2310">
        <f t="shared" si="4"/>
        <v>1.1229305142144566</v>
      </c>
      <c r="F62" s="1901"/>
      <c r="G62" s="2309"/>
      <c r="H62" s="2309"/>
      <c r="I62" s="2309"/>
    </row>
    <row r="63" spans="1:9" ht="13.5" customHeight="1">
      <c r="A63" s="623"/>
      <c r="B63" s="768">
        <f t="shared" si="2"/>
        <v>2044</v>
      </c>
      <c r="C63" s="624"/>
      <c r="D63" s="2240">
        <f t="shared" si="5"/>
        <v>1.0823666539624257</v>
      </c>
      <c r="E63" s="2310">
        <f t="shared" si="4"/>
        <v>1.121776497421773</v>
      </c>
      <c r="F63" s="1901"/>
      <c r="G63" s="2309"/>
      <c r="H63" s="2309"/>
      <c r="I63" s="2309"/>
    </row>
    <row r="64" spans="1:9" ht="13.5" customHeight="1">
      <c r="A64" s="623"/>
      <c r="B64" s="768">
        <f t="shared" ref="B64:B78" si="6">B63+1</f>
        <v>2045</v>
      </c>
      <c r="C64" s="624"/>
      <c r="D64" s="2240">
        <f t="shared" si="5"/>
        <v>1.0856420780163583</v>
      </c>
      <c r="E64" s="2310">
        <f t="shared" si="4"/>
        <v>1.1206200393798402</v>
      </c>
      <c r="F64" s="1901"/>
      <c r="G64" s="2309"/>
      <c r="H64" s="2309"/>
      <c r="I64" s="2309"/>
    </row>
    <row r="65" spans="1:9" ht="13.5" customHeight="1">
      <c r="A65" s="623"/>
      <c r="B65" s="768">
        <f t="shared" si="6"/>
        <v>2046</v>
      </c>
      <c r="C65" s="624"/>
      <c r="D65" s="2240">
        <f t="shared" si="5"/>
        <v>1.0889170640059147</v>
      </c>
      <c r="E65" s="2310">
        <f t="shared" si="4"/>
        <v>1.1194681928852008</v>
      </c>
      <c r="F65" s="1901"/>
      <c r="G65" s="2309"/>
      <c r="H65" s="2309"/>
      <c r="I65" s="2309"/>
    </row>
    <row r="66" spans="1:9" ht="13.5" customHeight="1">
      <c r="A66" s="623"/>
      <c r="B66" s="768">
        <f t="shared" si="6"/>
        <v>2047</v>
      </c>
      <c r="C66" s="624"/>
      <c r="D66" s="2240">
        <f t="shared" si="5"/>
        <v>1.0921681030206836</v>
      </c>
      <c r="E66" s="2310">
        <f t="shared" si="4"/>
        <v>1.1183139476637354</v>
      </c>
      <c r="F66" s="1901"/>
      <c r="G66" s="2309"/>
      <c r="H66" s="2309"/>
      <c r="I66" s="2309"/>
    </row>
    <row r="67" spans="1:9" ht="13.5" customHeight="1">
      <c r="A67" s="623"/>
      <c r="B67" s="768">
        <f t="shared" si="6"/>
        <v>2048</v>
      </c>
      <c r="C67" s="624"/>
      <c r="D67" s="2240">
        <f t="shared" si="5"/>
        <v>1.0954106806027064</v>
      </c>
      <c r="E67" s="2310">
        <f t="shared" si="4"/>
        <v>1.1171573165940814</v>
      </c>
      <c r="F67" s="1901"/>
      <c r="G67" s="2309"/>
      <c r="H67" s="2309"/>
      <c r="I67" s="2309"/>
    </row>
    <row r="68" spans="1:9" ht="13.5" customHeight="1">
      <c r="A68" s="623"/>
      <c r="B68" s="768">
        <f t="shared" si="6"/>
        <v>2049</v>
      </c>
      <c r="C68" s="624"/>
      <c r="D68" s="2240">
        <f t="shared" si="5"/>
        <v>1.0986688371838156</v>
      </c>
      <c r="E68" s="2310">
        <f t="shared" si="4"/>
        <v>1.1159983126295681</v>
      </c>
      <c r="F68" s="1901"/>
      <c r="G68" s="2309"/>
      <c r="H68" s="2309"/>
      <c r="I68" s="2309"/>
    </row>
    <row r="69" spans="1:9" ht="13.5" customHeight="1">
      <c r="A69" s="623"/>
      <c r="B69" s="768">
        <f t="shared" si="6"/>
        <v>2050</v>
      </c>
      <c r="C69" s="624"/>
      <c r="D69" s="2240">
        <f t="shared" si="5"/>
        <v>1.101972222313117</v>
      </c>
      <c r="E69" s="2310">
        <f t="shared" si="4"/>
        <v>1.1148369487974807</v>
      </c>
      <c r="F69" s="1901"/>
      <c r="G69" s="2309"/>
      <c r="H69" s="2309"/>
      <c r="I69" s="2309"/>
    </row>
    <row r="70" spans="1:9" ht="13.5" customHeight="1">
      <c r="A70" s="623"/>
      <c r="B70" s="768">
        <f t="shared" si="6"/>
        <v>2051</v>
      </c>
      <c r="C70" s="624"/>
      <c r="D70" s="2240">
        <f t="shared" si="5"/>
        <v>1.1054310125073756</v>
      </c>
      <c r="E70" s="2310">
        <f t="shared" si="4"/>
        <v>1.1138095752458661</v>
      </c>
      <c r="F70" s="1901"/>
      <c r="G70" s="2309"/>
      <c r="H70" s="2309"/>
      <c r="I70" s="2309"/>
    </row>
    <row r="71" spans="1:9" ht="13.5" customHeight="1">
      <c r="A71" s="623"/>
      <c r="B71" s="768">
        <f t="shared" si="6"/>
        <v>2052</v>
      </c>
      <c r="C71" s="624"/>
      <c r="D71" s="2240">
        <f t="shared" si="5"/>
        <v>1.1089166098789633</v>
      </c>
      <c r="E71" s="2310">
        <f t="shared" si="4"/>
        <v>1.1127799366761857</v>
      </c>
      <c r="F71" s="1901"/>
      <c r="G71" s="2309"/>
      <c r="H71" s="2309"/>
      <c r="I71" s="2309"/>
    </row>
    <row r="72" spans="1:9" ht="13.5" customHeight="1">
      <c r="A72" s="623"/>
      <c r="B72" s="768">
        <f t="shared" si="6"/>
        <v>2053</v>
      </c>
      <c r="C72" s="624"/>
      <c r="D72" s="2240">
        <f t="shared" si="5"/>
        <v>1.1124180434157314</v>
      </c>
      <c r="E72" s="2310">
        <f t="shared" si="4"/>
        <v>1.1117480429822566</v>
      </c>
      <c r="F72" s="1901"/>
      <c r="G72" s="2309"/>
      <c r="H72" s="2309"/>
      <c r="I72" s="2309"/>
    </row>
    <row r="73" spans="1:9" ht="13.5" customHeight="1">
      <c r="A73" s="623"/>
      <c r="B73" s="768">
        <f t="shared" si="6"/>
        <v>2054</v>
      </c>
      <c r="C73" s="624"/>
      <c r="D73" s="2240">
        <f t="shared" si="5"/>
        <v>1.1159048417935664</v>
      </c>
      <c r="E73" s="2310">
        <f t="shared" si="4"/>
        <v>1.11071390413589</v>
      </c>
      <c r="F73" s="1901"/>
      <c r="G73" s="2309"/>
      <c r="H73" s="2309"/>
      <c r="I73" s="2309"/>
    </row>
    <row r="74" spans="1:9" ht="13.5" customHeight="1">
      <c r="A74" s="623"/>
      <c r="B74" s="768">
        <f t="shared" si="6"/>
        <v>2055</v>
      </c>
      <c r="C74" s="624"/>
      <c r="D74" s="2240">
        <f t="shared" si="5"/>
        <v>1.1193557275281318</v>
      </c>
      <c r="E74" s="2310">
        <f t="shared" si="4"/>
        <v>1.1096775301862334</v>
      </c>
      <c r="F74" s="1901"/>
      <c r="G74" s="2309"/>
      <c r="H74" s="2309"/>
      <c r="I74" s="2309"/>
    </row>
    <row r="75" spans="1:9" ht="13.5" customHeight="1">
      <c r="A75" s="623"/>
      <c r="B75" s="768">
        <f t="shared" si="6"/>
        <v>2056</v>
      </c>
      <c r="C75" s="624"/>
      <c r="D75" s="2240">
        <f t="shared" si="5"/>
        <v>1.1228399519940255</v>
      </c>
      <c r="E75" s="2310">
        <f t="shared" si="4"/>
        <v>1.1086389312591045</v>
      </c>
      <c r="F75" s="1901"/>
      <c r="G75" s="2309"/>
      <c r="H75" s="2309"/>
      <c r="I75" s="2309"/>
    </row>
    <row r="76" spans="1:9" ht="13.5" customHeight="1">
      <c r="A76" s="623"/>
      <c r="B76" s="768">
        <f t="shared" si="6"/>
        <v>2057</v>
      </c>
      <c r="C76" s="624"/>
      <c r="D76" s="2240">
        <f t="shared" si="5"/>
        <v>1.1263406068584385</v>
      </c>
      <c r="E76" s="2310">
        <f t="shared" si="4"/>
        <v>1.1075981175563172</v>
      </c>
      <c r="F76" s="1901"/>
      <c r="G76" s="2309"/>
      <c r="H76" s="2309"/>
      <c r="I76" s="2309"/>
    </row>
    <row r="77" spans="1:9" ht="13.5" customHeight="1">
      <c r="A77" s="623"/>
      <c r="B77" s="768">
        <f t="shared" si="6"/>
        <v>2058</v>
      </c>
      <c r="C77" s="624"/>
      <c r="D77" s="2240">
        <f t="shared" si="5"/>
        <v>1.1298663009450503</v>
      </c>
      <c r="E77" s="2310">
        <f t="shared" si="4"/>
        <v>1.1065550993550017</v>
      </c>
      <c r="F77" s="1901"/>
      <c r="G77" s="2309"/>
      <c r="H77" s="2309"/>
      <c r="I77" s="2309"/>
    </row>
    <row r="78" spans="1:9" ht="13.5" customHeight="1">
      <c r="A78" s="623"/>
      <c r="B78" s="768">
        <f t="shared" si="6"/>
        <v>2059</v>
      </c>
      <c r="C78" s="624"/>
      <c r="D78" s="2240">
        <f t="shared" si="5"/>
        <v>1.1334021371707037</v>
      </c>
      <c r="E78" s="2310">
        <f t="shared" si="4"/>
        <v>1.1055098870069171</v>
      </c>
      <c r="F78" s="1901"/>
      <c r="G78" s="2309"/>
      <c r="H78" s="2309"/>
      <c r="I78" s="2309"/>
    </row>
    <row r="79" spans="1:9" ht="13.5" customHeight="1">
      <c r="A79" s="623"/>
      <c r="B79" s="768">
        <f>B78+1</f>
        <v>2060</v>
      </c>
      <c r="C79" s="624"/>
      <c r="D79" s="2240">
        <f t="shared" si="5"/>
        <v>1.1369718835994671</v>
      </c>
      <c r="E79" s="2310">
        <f t="shared" si="4"/>
        <v>1.1044642784176164</v>
      </c>
      <c r="F79" s="1901"/>
      <c r="G79" s="2309"/>
      <c r="H79" s="2309"/>
      <c r="I79" s="2309"/>
    </row>
    <row r="80" spans="1:9" ht="13.5" customHeight="1" thickBot="1">
      <c r="A80" s="619"/>
      <c r="B80" s="627"/>
      <c r="C80" s="620"/>
      <c r="D80" s="712"/>
      <c r="E80" s="620"/>
      <c r="F80" s="1901"/>
      <c r="H80" s="2309"/>
      <c r="I80" s="2309"/>
    </row>
    <row r="81" spans="4:9" ht="13.5" customHeight="1" thickTop="1" thickBot="1">
      <c r="F81" s="1901"/>
      <c r="H81" s="2309"/>
      <c r="I81" s="2309"/>
    </row>
    <row r="82" spans="4:9" ht="13.5" customHeight="1" thickBot="1">
      <c r="D82" s="640" t="s">
        <v>1489</v>
      </c>
      <c r="F82" s="1901"/>
      <c r="H82" s="2309"/>
      <c r="I82" s="2309"/>
    </row>
    <row r="83" spans="4:9" ht="13.5" customHeight="1">
      <c r="F83" s="1901"/>
      <c r="H83" s="2309"/>
      <c r="I83" s="2309"/>
    </row>
    <row r="84" spans="4:9" ht="13.5" customHeight="1">
      <c r="F84" s="1901"/>
      <c r="H84" s="2309"/>
      <c r="I84" s="2309"/>
    </row>
    <row r="85" spans="4:9" ht="13.5" customHeight="1">
      <c r="H85" s="2309"/>
      <c r="I85" s="2309"/>
    </row>
    <row r="86" spans="4:9" ht="13.5" customHeight="1">
      <c r="H86" s="2309"/>
      <c r="I86" s="2309"/>
    </row>
    <row r="87" spans="4:9" ht="13.5" customHeight="1">
      <c r="H87" s="2309"/>
      <c r="I87" s="2309"/>
    </row>
  </sheetData>
  <sheetProtection sheet="1" objects="1" scenarios="1"/>
  <mergeCells count="11">
    <mergeCell ref="E6:S6"/>
    <mergeCell ref="A7:B7"/>
    <mergeCell ref="A8:B8"/>
    <mergeCell ref="A20:B20"/>
    <mergeCell ref="D25:D27"/>
    <mergeCell ref="E25:E27"/>
    <mergeCell ref="A18:B18"/>
    <mergeCell ref="A19:B19"/>
    <mergeCell ref="A10:B10"/>
    <mergeCell ref="A11:B11"/>
    <mergeCell ref="A12:B12"/>
  </mergeCells>
  <phoneticPr fontId="8" type="noConversion"/>
  <hyperlinks>
    <hyperlink ref="A11" location="Contents!A1" display="Contents"/>
    <hyperlink ref="A11:B11" r:id="rId1" display="WebTAG Unit 3.15.2"/>
    <hyperlink ref="A10" location="Contents!A1" display="Contents"/>
    <hyperlink ref="A10:B10" location="Contents!A1" tooltip="Contents page" display="Contents"/>
    <hyperlink ref="D82" location="'Adjustment Factors'!D28" tooltip="Top of this page" display="Top"/>
  </hyperlinks>
  <pageMargins left="0.75" right="0.75" top="1" bottom="1" header="0.5" footer="0.5"/>
  <pageSetup paperSize="9" orientation="portrait" r:id="rId2"/>
  <headerFooter alignWithMargins="0"/>
  <drawing r:id="rId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tabColor rgb="FF008000"/>
    <pageSetUpPr fitToPage="1"/>
  </sheetPr>
  <dimension ref="A1:AM125"/>
  <sheetViews>
    <sheetView showGridLines="0" topLeftCell="A7" zoomScale="70" zoomScaleNormal="70" workbookViewId="0">
      <selection activeCell="I55" sqref="I55"/>
    </sheetView>
  </sheetViews>
  <sheetFormatPr defaultColWidth="12.88671875" defaultRowHeight="13.2"/>
  <cols>
    <col min="1" max="8" width="12.88671875" style="2555" customWidth="1"/>
    <col min="9" max="9" width="14.44140625" style="2555" customWidth="1"/>
    <col min="10" max="16384" width="12.88671875" style="2555"/>
  </cols>
  <sheetData>
    <row r="1" spans="1:38" ht="54.9" customHeight="1">
      <c r="A1" s="3742"/>
      <c r="B1" s="3742"/>
      <c r="C1" s="112"/>
    </row>
    <row r="2" spans="1:38" ht="5.0999999999999996" customHeight="1">
      <c r="C2" s="111"/>
    </row>
    <row r="3" spans="1:38" s="20" customFormat="1" ht="20.100000000000001" customHeight="1">
      <c r="A3" s="83" t="s">
        <v>2339</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381</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2619" customFormat="1" ht="9.9" customHeight="1" thickTop="1" thickBot="1">
      <c r="B5" s="85"/>
      <c r="C5" s="85"/>
      <c r="D5" s="314"/>
      <c r="E5" s="85"/>
      <c r="F5" s="85"/>
      <c r="G5" s="314"/>
      <c r="H5" s="85"/>
      <c r="I5" s="314"/>
      <c r="J5" s="314"/>
      <c r="K5" s="314"/>
      <c r="L5" s="314"/>
      <c r="M5" s="314"/>
      <c r="N5" s="314"/>
      <c r="O5" s="314"/>
      <c r="P5" s="314"/>
      <c r="Q5" s="314"/>
      <c r="R5" s="314"/>
      <c r="S5" s="314"/>
      <c r="W5" s="335"/>
      <c r="X5" s="335"/>
      <c r="Y5" s="335"/>
      <c r="Z5" s="335"/>
      <c r="AA5" s="31"/>
      <c r="AB5" s="335"/>
      <c r="AL5" s="87"/>
    </row>
    <row r="6" spans="1:38" s="2619" customFormat="1" ht="13.5" customHeight="1" thickTop="1" thickBot="1">
      <c r="A6" s="169" t="s">
        <v>10</v>
      </c>
      <c r="B6" s="169"/>
      <c r="E6" s="122" t="s">
        <v>255</v>
      </c>
      <c r="F6" s="175"/>
      <c r="G6" s="175"/>
      <c r="H6" s="175"/>
      <c r="I6" s="175"/>
      <c r="J6" s="175"/>
      <c r="K6" s="175"/>
      <c r="L6" s="175"/>
      <c r="M6" s="175"/>
      <c r="N6" s="175"/>
      <c r="O6" s="175"/>
      <c r="P6" s="175"/>
      <c r="Q6" s="175"/>
      <c r="R6" s="175"/>
      <c r="S6" s="176"/>
      <c r="W6" s="335"/>
      <c r="X6" s="335"/>
      <c r="Y6" s="335"/>
      <c r="Z6" s="335"/>
      <c r="AA6" s="31"/>
      <c r="AB6" s="335"/>
      <c r="AL6" s="87"/>
    </row>
    <row r="7" spans="1:38" s="2619" customFormat="1" ht="13.5" customHeight="1" thickTop="1">
      <c r="A7" s="3644" t="str">
        <f>Audit!A12</f>
        <v>May 2019 v1.12</v>
      </c>
      <c r="B7" s="3645"/>
      <c r="E7" s="1687" t="s">
        <v>11</v>
      </c>
      <c r="F7" s="158"/>
      <c r="G7" s="2620"/>
      <c r="H7" s="2620"/>
      <c r="I7" s="2620"/>
      <c r="J7" s="2620"/>
      <c r="K7" s="2620"/>
      <c r="L7" s="2620"/>
      <c r="M7" s="2620"/>
      <c r="N7" s="2620"/>
      <c r="O7" s="2620"/>
      <c r="P7" s="2620"/>
      <c r="Q7" s="2620"/>
      <c r="R7" s="2620"/>
      <c r="S7" s="2705"/>
      <c r="W7" s="335"/>
      <c r="X7" s="335"/>
      <c r="Y7" s="335"/>
      <c r="Z7" s="335"/>
      <c r="AA7" s="31"/>
      <c r="AB7" s="335"/>
      <c r="AL7" s="87"/>
    </row>
    <row r="8" spans="1:38" s="2619" customFormat="1" ht="13.5" customHeight="1">
      <c r="A8" s="3740">
        <f>Audit!C12</f>
        <v>43586</v>
      </c>
      <c r="B8" s="3741"/>
      <c r="E8" s="2528" t="s">
        <v>1274</v>
      </c>
      <c r="I8" s="2563"/>
      <c r="J8" s="2563"/>
      <c r="K8" s="2563"/>
      <c r="L8" s="2563"/>
      <c r="M8" s="2563"/>
      <c r="N8" s="2563"/>
      <c r="O8" s="2563"/>
      <c r="P8" s="2563"/>
      <c r="Q8" s="2557"/>
      <c r="R8" s="2557"/>
      <c r="S8" s="2558"/>
      <c r="W8" s="335"/>
      <c r="X8" s="335"/>
      <c r="Y8" s="335"/>
      <c r="Z8" s="335"/>
      <c r="AA8" s="31"/>
      <c r="AB8" s="335"/>
      <c r="AL8" s="87"/>
    </row>
    <row r="9" spans="1:38" s="2619" customFormat="1" ht="13.5" customHeight="1" thickBot="1">
      <c r="A9" s="3642" t="s">
        <v>1149</v>
      </c>
      <c r="B9" s="3643"/>
      <c r="E9" s="2528" t="s">
        <v>1386</v>
      </c>
      <c r="I9" s="2555" t="str">
        <f>'Car costs (CPI)'!H14</f>
        <v>L = a/v + b + c.v + d.v2</v>
      </c>
      <c r="J9" s="2557"/>
      <c r="K9" s="2557" t="s">
        <v>1276</v>
      </c>
      <c r="L9" s="2557"/>
      <c r="M9" s="2557" t="s">
        <v>1387</v>
      </c>
      <c r="N9" s="2557"/>
      <c r="O9" s="2557"/>
      <c r="P9" s="2557" t="str">
        <f>'Car costs (CPI)'!N13</f>
        <v>C = a1 + b1/V</v>
      </c>
      <c r="Q9" s="2557"/>
      <c r="R9" s="2557"/>
      <c r="S9" s="2558"/>
      <c r="W9" s="335"/>
      <c r="X9" s="335"/>
      <c r="Y9" s="335"/>
      <c r="Z9" s="335"/>
      <c r="AA9" s="31"/>
      <c r="AB9" s="335"/>
      <c r="AL9" s="87"/>
    </row>
    <row r="10" spans="1:38" s="2619" customFormat="1" ht="13.5" customHeight="1" thickBot="1">
      <c r="A10" s="3570" t="s">
        <v>1306</v>
      </c>
      <c r="B10" s="3610"/>
      <c r="E10" s="2528" t="s">
        <v>1275</v>
      </c>
      <c r="F10" s="2555"/>
      <c r="G10" s="2555"/>
      <c r="I10" s="2555" t="str">
        <f>I9</f>
        <v>L = a/v + b + c.v + d.v2</v>
      </c>
      <c r="J10" s="2557"/>
      <c r="K10" s="2557" t="s">
        <v>1276</v>
      </c>
      <c r="L10" s="2557"/>
      <c r="M10" s="2557"/>
      <c r="N10" s="2557"/>
      <c r="O10" s="2557"/>
      <c r="P10" s="2247"/>
      <c r="Q10" s="335"/>
      <c r="R10" s="335"/>
      <c r="S10" s="2562"/>
      <c r="W10" s="335"/>
      <c r="X10" s="335"/>
      <c r="Y10" s="335"/>
      <c r="Z10" s="335"/>
      <c r="AA10" s="31"/>
      <c r="AB10" s="335"/>
      <c r="AL10" s="87"/>
    </row>
    <row r="11" spans="1:38" s="2619" customFormat="1" ht="13.5" customHeight="1" thickBot="1">
      <c r="A11" s="3570" t="s">
        <v>2211</v>
      </c>
      <c r="B11" s="3581"/>
      <c r="E11" s="2528" t="s">
        <v>2</v>
      </c>
      <c r="F11" s="2555"/>
      <c r="G11" s="2795">
        <f>'A1.3.4'!J27/100</f>
        <v>0.1205924519584583</v>
      </c>
      <c r="H11" s="2619" t="s">
        <v>1206</v>
      </c>
      <c r="I11" s="2555"/>
      <c r="J11" s="2555"/>
      <c r="K11" s="2555"/>
      <c r="L11" s="2555"/>
      <c r="M11" s="2555"/>
      <c r="N11" s="2555"/>
      <c r="O11" s="2555"/>
      <c r="P11" s="2557"/>
      <c r="Q11" s="2563"/>
      <c r="R11" s="2563"/>
      <c r="S11" s="2564"/>
      <c r="W11" s="335"/>
      <c r="X11" s="335"/>
      <c r="Y11" s="335"/>
      <c r="Z11" s="335"/>
      <c r="AA11" s="31"/>
      <c r="AB11" s="335"/>
      <c r="AL11" s="87"/>
    </row>
    <row r="12" spans="1:38" s="2619" customFormat="1" ht="13.5" customHeight="1">
      <c r="A12" s="2417"/>
      <c r="B12" s="2417"/>
      <c r="E12" s="2528"/>
      <c r="Q12" s="2563"/>
      <c r="R12" s="2563"/>
      <c r="S12" s="2564"/>
      <c r="W12" s="335"/>
      <c r="X12" s="335"/>
      <c r="Y12" s="335"/>
      <c r="Z12" s="335"/>
      <c r="AA12" s="31"/>
      <c r="AB12" s="335"/>
      <c r="AL12" s="87"/>
    </row>
    <row r="13" spans="1:38" s="2619" customFormat="1" ht="13.5" customHeight="1">
      <c r="A13" s="172" t="s">
        <v>252</v>
      </c>
      <c r="B13" s="2565"/>
      <c r="E13" s="2528" t="s">
        <v>1635</v>
      </c>
      <c r="Q13" s="2557"/>
      <c r="R13" s="2557"/>
      <c r="S13" s="2558"/>
      <c r="W13" s="335"/>
      <c r="X13" s="335"/>
      <c r="Y13" s="335"/>
      <c r="Z13" s="335"/>
      <c r="AA13" s="31"/>
      <c r="AB13" s="335"/>
      <c r="AL13" s="87"/>
    </row>
    <row r="14" spans="1:38" ht="13.5" customHeight="1">
      <c r="A14" s="2767"/>
      <c r="B14" s="2446"/>
      <c r="C14" s="2647"/>
      <c r="E14" s="2560"/>
      <c r="Q14" s="2557"/>
      <c r="R14" s="2557"/>
      <c r="S14" s="2558"/>
      <c r="W14" s="2647"/>
      <c r="X14" s="2647"/>
      <c r="Y14" s="2647"/>
      <c r="Z14" s="31"/>
      <c r="AA14" s="31"/>
      <c r="AB14" s="335"/>
    </row>
    <row r="15" spans="1:38" ht="13.5" customHeight="1">
      <c r="A15" s="2567"/>
      <c r="B15" s="2446"/>
      <c r="C15" s="7"/>
      <c r="E15" s="2528" t="s">
        <v>1207</v>
      </c>
      <c r="F15" s="2795"/>
      <c r="I15" s="335"/>
      <c r="J15" s="335"/>
      <c r="K15" s="2796"/>
      <c r="L15" s="2796"/>
      <c r="M15" s="2796"/>
      <c r="N15" s="2796"/>
      <c r="O15" s="2246"/>
      <c r="P15" s="2557"/>
      <c r="Q15" s="2557"/>
      <c r="R15" s="2557"/>
      <c r="S15" s="2558"/>
      <c r="U15" s="25"/>
      <c r="W15" s="59"/>
      <c r="X15" s="2647"/>
      <c r="Y15" s="2647"/>
      <c r="Z15" s="31"/>
      <c r="AA15" s="31"/>
      <c r="AB15" s="335"/>
    </row>
    <row r="16" spans="1:38" ht="13.5" customHeight="1">
      <c r="A16" s="2856"/>
      <c r="B16" s="2857"/>
      <c r="C16" s="7"/>
      <c r="E16" s="2528" t="s">
        <v>1505</v>
      </c>
      <c r="F16" s="2858"/>
      <c r="I16" s="335"/>
      <c r="J16" s="2796"/>
      <c r="K16" s="2796"/>
      <c r="L16" s="2796"/>
      <c r="M16" s="2796"/>
      <c r="N16" s="2246"/>
      <c r="O16" s="335"/>
      <c r="P16" s="335"/>
      <c r="Q16" s="335"/>
      <c r="R16" s="335"/>
      <c r="S16" s="2562"/>
      <c r="U16" s="25"/>
      <c r="W16" s="335"/>
      <c r="X16" s="335"/>
      <c r="Y16" s="335"/>
      <c r="Z16" s="335"/>
      <c r="AA16" s="335"/>
      <c r="AB16" s="335"/>
    </row>
    <row r="17" spans="1:39" ht="13.5" customHeight="1">
      <c r="A17" s="169" t="s">
        <v>253</v>
      </c>
      <c r="B17" s="2570"/>
      <c r="C17" s="2647"/>
      <c r="E17" s="2528" t="s">
        <v>1506</v>
      </c>
      <c r="F17" s="1496"/>
      <c r="I17" s="2557"/>
      <c r="J17" s="2557"/>
      <c r="K17" s="2557"/>
      <c r="L17" s="2557"/>
      <c r="M17" s="2557"/>
      <c r="N17" s="2557"/>
      <c r="O17" s="2557"/>
      <c r="P17" s="2557"/>
      <c r="Q17" s="2557"/>
      <c r="R17" s="2557"/>
      <c r="S17" s="2558"/>
      <c r="U17" s="25"/>
    </row>
    <row r="18" spans="1:39" ht="13.5" customHeight="1">
      <c r="A18" s="2859"/>
      <c r="B18" s="2859"/>
      <c r="C18" s="2619"/>
      <c r="E18" s="2554" t="s">
        <v>1532</v>
      </c>
      <c r="I18" s="2557"/>
      <c r="J18" s="691"/>
      <c r="K18" s="691"/>
      <c r="L18" s="691"/>
      <c r="M18" s="691"/>
      <c r="N18" s="2243"/>
      <c r="O18" s="2557"/>
      <c r="P18" s="2557"/>
      <c r="Q18" s="2557"/>
      <c r="R18" s="2557"/>
      <c r="S18" s="2558"/>
      <c r="U18" s="25"/>
    </row>
    <row r="19" spans="1:39" ht="13.5" customHeight="1">
      <c r="A19" s="2859"/>
      <c r="B19" s="2859"/>
      <c r="E19" s="2554" t="s">
        <v>2388</v>
      </c>
      <c r="F19" s="29"/>
      <c r="G19" s="32"/>
      <c r="H19" s="335"/>
      <c r="I19" s="31"/>
      <c r="J19" s="335"/>
      <c r="K19" s="2556"/>
      <c r="L19" s="2556"/>
      <c r="M19" s="2556"/>
      <c r="N19" s="2647"/>
      <c r="O19" s="31"/>
      <c r="P19" s="31"/>
      <c r="Q19" s="335"/>
      <c r="R19" s="335"/>
      <c r="S19" s="2562"/>
      <c r="U19" s="25"/>
    </row>
    <row r="20" spans="1:39" ht="13.5" customHeight="1" thickBot="1">
      <c r="A20" s="2859"/>
      <c r="B20" s="2859"/>
      <c r="E20" s="2677" t="s">
        <v>2340</v>
      </c>
      <c r="F20" s="163"/>
      <c r="G20" s="164"/>
      <c r="H20" s="2707"/>
      <c r="I20" s="165"/>
      <c r="J20" s="2707"/>
      <c r="K20" s="2708"/>
      <c r="L20" s="2708"/>
      <c r="M20" s="2708"/>
      <c r="N20" s="2710"/>
      <c r="O20" s="165"/>
      <c r="P20" s="165"/>
      <c r="Q20" s="2707"/>
      <c r="R20" s="2707"/>
      <c r="S20" s="2709"/>
      <c r="U20" s="25"/>
    </row>
    <row r="21" spans="1:39" ht="13.5" customHeight="1" thickTop="1">
      <c r="A21" s="2859"/>
      <c r="B21" s="2859"/>
      <c r="E21" s="2794"/>
      <c r="F21" s="29"/>
      <c r="G21" s="32"/>
      <c r="H21" s="335"/>
      <c r="I21" s="31"/>
      <c r="J21" s="335"/>
      <c r="K21" s="2556"/>
      <c r="L21" s="2556"/>
      <c r="M21" s="2556"/>
      <c r="N21" s="2647"/>
      <c r="O21" s="31"/>
      <c r="P21" s="31"/>
      <c r="Q21" s="335"/>
      <c r="R21" s="335"/>
      <c r="S21" s="335"/>
      <c r="U21" s="25"/>
    </row>
    <row r="22" spans="1:39" ht="13.5" customHeight="1" thickBot="1">
      <c r="B22" s="2557"/>
      <c r="C22" s="2557"/>
      <c r="D22" s="69"/>
      <c r="E22" s="2850"/>
      <c r="F22" s="2850"/>
      <c r="G22" s="2850"/>
      <c r="H22" s="2850"/>
      <c r="I22" s="2850"/>
      <c r="J22" s="2557"/>
      <c r="K22" s="2547"/>
      <c r="L22" s="2547"/>
      <c r="M22" s="2547"/>
      <c r="N22" s="2547"/>
      <c r="O22" s="2547"/>
      <c r="P22" s="2547"/>
      <c r="Q22" s="2547"/>
      <c r="R22" s="2547"/>
      <c r="S22" s="2557"/>
      <c r="T22" s="2557"/>
      <c r="U22" s="2557"/>
      <c r="V22" s="2557"/>
      <c r="W22" s="2557"/>
      <c r="X22" s="2557"/>
      <c r="Y22" s="2557"/>
      <c r="Z22" s="2557"/>
      <c r="AA22" s="2557"/>
    </row>
    <row r="23" spans="1:39" ht="13.5" customHeight="1" thickTop="1" thickBot="1">
      <c r="A23" s="122" t="s">
        <v>2072</v>
      </c>
      <c r="B23" s="88"/>
      <c r="C23" s="88"/>
      <c r="D23" s="823" t="s">
        <v>1998</v>
      </c>
      <c r="E23" s="2797"/>
      <c r="F23" s="2797"/>
      <c r="G23" s="151"/>
      <c r="H23" s="151"/>
      <c r="I23" s="151"/>
      <c r="J23" s="151"/>
      <c r="K23" s="151"/>
      <c r="L23" s="151"/>
      <c r="M23" s="151"/>
      <c r="N23" s="151"/>
      <c r="O23" s="151"/>
      <c r="P23" s="151"/>
      <c r="Q23" s="151"/>
      <c r="R23" s="151"/>
      <c r="S23" s="152"/>
      <c r="T23" s="18"/>
      <c r="U23" s="122" t="s">
        <v>2073</v>
      </c>
      <c r="V23" s="88"/>
      <c r="W23" s="88"/>
      <c r="X23" s="823" t="s">
        <v>1999</v>
      </c>
      <c r="Y23" s="2797"/>
      <c r="Z23" s="2797"/>
      <c r="AA23" s="151"/>
      <c r="AB23" s="151"/>
      <c r="AC23" s="151"/>
      <c r="AD23" s="151"/>
      <c r="AE23" s="151"/>
      <c r="AF23" s="151"/>
      <c r="AG23" s="151"/>
      <c r="AH23" s="151"/>
      <c r="AI23" s="151"/>
      <c r="AJ23" s="151"/>
      <c r="AK23" s="151"/>
      <c r="AL23" s="151"/>
      <c r="AM23" s="152"/>
    </row>
    <row r="24" spans="1:39" s="2619" customFormat="1" ht="13.5" customHeight="1" thickTop="1">
      <c r="A24" s="2241"/>
      <c r="B24" s="2669" t="s">
        <v>1450</v>
      </c>
      <c r="C24" s="2242"/>
      <c r="D24" s="2548" t="s">
        <v>1528</v>
      </c>
      <c r="E24" s="2548"/>
      <c r="F24" s="2548"/>
      <c r="G24" s="2548"/>
      <c r="H24" s="2548"/>
      <c r="I24" s="2548"/>
      <c r="J24" s="2548"/>
      <c r="K24" s="2860"/>
      <c r="L24" s="2553" t="s">
        <v>1529</v>
      </c>
      <c r="M24" s="2548"/>
      <c r="N24" s="2669"/>
      <c r="O24" s="2669"/>
      <c r="P24" s="2669"/>
      <c r="Q24" s="2669"/>
      <c r="R24" s="2669"/>
      <c r="S24" s="2802"/>
      <c r="T24" s="335"/>
      <c r="U24" s="2241"/>
      <c r="V24" s="2669" t="s">
        <v>1450</v>
      </c>
      <c r="W24" s="2242"/>
      <c r="X24" s="2669" t="s">
        <v>1528</v>
      </c>
      <c r="Y24" s="2669"/>
      <c r="Z24" s="2669"/>
      <c r="AA24" s="2669"/>
      <c r="AB24" s="2669"/>
      <c r="AC24" s="2669"/>
      <c r="AD24" s="2669"/>
      <c r="AE24" s="2860"/>
      <c r="AF24" s="2545" t="s">
        <v>1529</v>
      </c>
      <c r="AG24" s="2548"/>
      <c r="AH24" s="2548"/>
      <c r="AI24" s="2548"/>
      <c r="AJ24" s="2548"/>
      <c r="AK24" s="2548"/>
      <c r="AL24" s="2548"/>
      <c r="AM24" s="2801"/>
    </row>
    <row r="25" spans="1:39" s="2557" customFormat="1" ht="13.5" customHeight="1">
      <c r="A25" s="2805"/>
      <c r="B25" s="105"/>
      <c r="C25" s="105"/>
      <c r="D25" s="3872" t="s">
        <v>919</v>
      </c>
      <c r="E25" s="3872" t="s">
        <v>920</v>
      </c>
      <c r="F25" s="3872" t="s">
        <v>4</v>
      </c>
      <c r="G25" s="3872" t="s">
        <v>0</v>
      </c>
      <c r="H25" s="3872" t="s">
        <v>1665</v>
      </c>
      <c r="I25" s="3872" t="s">
        <v>1666</v>
      </c>
      <c r="J25" s="3872" t="s">
        <v>1667</v>
      </c>
      <c r="K25" s="3874" t="s">
        <v>72</v>
      </c>
      <c r="L25" s="2550"/>
      <c r="M25" s="2551"/>
      <c r="N25" s="2551"/>
      <c r="O25" s="2551"/>
      <c r="P25" s="2551"/>
      <c r="Q25" s="2551"/>
      <c r="R25" s="2551" t="s">
        <v>1530</v>
      </c>
      <c r="S25" s="2610"/>
      <c r="T25" s="326"/>
      <c r="U25" s="2805"/>
      <c r="V25" s="105"/>
      <c r="W25" s="105"/>
      <c r="X25" s="3872" t="s">
        <v>919</v>
      </c>
      <c r="Y25" s="3872" t="s">
        <v>920</v>
      </c>
      <c r="Z25" s="3872" t="s">
        <v>4</v>
      </c>
      <c r="AA25" s="3872" t="s">
        <v>0</v>
      </c>
      <c r="AB25" s="3872" t="s">
        <v>1665</v>
      </c>
      <c r="AC25" s="3872" t="s">
        <v>1666</v>
      </c>
      <c r="AD25" s="3872" t="s">
        <v>1667</v>
      </c>
      <c r="AE25" s="3874" t="s">
        <v>72</v>
      </c>
      <c r="AF25" s="2550"/>
      <c r="AG25" s="2551"/>
      <c r="AH25" s="2551"/>
      <c r="AI25" s="2551"/>
      <c r="AJ25" s="2551"/>
      <c r="AK25" s="2551"/>
      <c r="AL25" s="2551" t="s">
        <v>1530</v>
      </c>
      <c r="AM25" s="2610"/>
    </row>
    <row r="26" spans="1:39" s="2557" customFormat="1" ht="13.5" customHeight="1" thickBot="1">
      <c r="A26" s="2811"/>
      <c r="B26" s="659"/>
      <c r="C26" s="659"/>
      <c r="D26" s="3873"/>
      <c r="E26" s="3873"/>
      <c r="F26" s="3873"/>
      <c r="G26" s="3873"/>
      <c r="H26" s="3873"/>
      <c r="I26" s="3873"/>
      <c r="J26" s="3873"/>
      <c r="K26" s="3875"/>
      <c r="L26" s="2615" t="s">
        <v>1521</v>
      </c>
      <c r="M26" s="2616" t="s">
        <v>1522</v>
      </c>
      <c r="N26" s="2616" t="s">
        <v>1523</v>
      </c>
      <c r="O26" s="2616" t="s">
        <v>1524</v>
      </c>
      <c r="P26" s="2616" t="s">
        <v>1525</v>
      </c>
      <c r="Q26" s="2616" t="s">
        <v>1526</v>
      </c>
      <c r="R26" s="2616" t="s">
        <v>1531</v>
      </c>
      <c r="S26" s="2617" t="s">
        <v>1527</v>
      </c>
      <c r="T26" s="326"/>
      <c r="U26" s="2811"/>
      <c r="V26" s="659"/>
      <c r="W26" s="659"/>
      <c r="X26" s="3876"/>
      <c r="Y26" s="3876"/>
      <c r="Z26" s="3876"/>
      <c r="AA26" s="3876"/>
      <c r="AB26" s="3876"/>
      <c r="AC26" s="3876"/>
      <c r="AD26" s="3876"/>
      <c r="AE26" s="3877"/>
      <c r="AF26" s="2615" t="s">
        <v>1521</v>
      </c>
      <c r="AG26" s="2616" t="s">
        <v>1522</v>
      </c>
      <c r="AH26" s="2616" t="s">
        <v>1523</v>
      </c>
      <c r="AI26" s="2616" t="s">
        <v>1524</v>
      </c>
      <c r="AJ26" s="2616" t="s">
        <v>1525</v>
      </c>
      <c r="AK26" s="2616" t="s">
        <v>1526</v>
      </c>
      <c r="AL26" s="2616" t="s">
        <v>1531</v>
      </c>
      <c r="AM26" s="2617" t="s">
        <v>1527</v>
      </c>
    </row>
    <row r="27" spans="1:39" ht="13.5" customHeight="1" thickTop="1">
      <c r="A27" s="2560"/>
      <c r="B27" s="2547" t="s">
        <v>7</v>
      </c>
      <c r="C27" s="2647"/>
      <c r="D27" s="73">
        <f>'Car costs (RPI)'!AV28</f>
        <v>100</v>
      </c>
      <c r="E27" s="73">
        <f>'Car costs (RPI)'!AW28</f>
        <v>100</v>
      </c>
      <c r="F27" s="73">
        <f>'Car costs (RPI)'!AX28</f>
        <v>100</v>
      </c>
      <c r="G27" s="73">
        <f>'Car costs (RPI)'!AY28</f>
        <v>100</v>
      </c>
      <c r="H27" s="73">
        <f>'Car costs (RPI)'!BA28</f>
        <v>100</v>
      </c>
      <c r="I27" s="73">
        <f>'Car costs (RPI)'!BB28</f>
        <v>100</v>
      </c>
      <c r="J27" s="73">
        <f>'Car costs (RPI)'!BC28</f>
        <v>100</v>
      </c>
      <c r="K27" s="73">
        <f>'Car costs (RPI)'!BD28</f>
        <v>100</v>
      </c>
      <c r="L27" s="2861">
        <f t="shared" ref="L27:L32" si="0">F27</f>
        <v>100</v>
      </c>
      <c r="M27" s="2862">
        <f t="shared" ref="M27:M32" si="1">E27</f>
        <v>100</v>
      </c>
      <c r="N27" s="2862">
        <f t="shared" ref="N27:N32" si="2">J27</f>
        <v>100</v>
      </c>
      <c r="O27" s="2862">
        <f t="shared" ref="O27:O32" si="3">F27</f>
        <v>100</v>
      </c>
      <c r="P27" s="2862">
        <f t="shared" ref="P27:P32" si="4">J27</f>
        <v>100</v>
      </c>
      <c r="Q27" s="2862">
        <f t="shared" ref="Q27:Q32" si="5">F27</f>
        <v>100</v>
      </c>
      <c r="R27" s="2862">
        <f t="shared" ref="R27:R32" si="6">F27</f>
        <v>100</v>
      </c>
      <c r="S27" s="2672">
        <f t="shared" ref="S27:S32" si="7">J27</f>
        <v>100</v>
      </c>
      <c r="T27" s="2256"/>
      <c r="U27" s="2560"/>
      <c r="V27" s="2547" t="s">
        <v>7</v>
      </c>
      <c r="W27" s="2647"/>
      <c r="X27" s="73">
        <f>'Car costs (CPI)'!AV28</f>
        <v>100</v>
      </c>
      <c r="Y27" s="73">
        <f>'Car costs (CPI)'!AW28</f>
        <v>100</v>
      </c>
      <c r="Z27" s="73">
        <f>'Car costs (CPI)'!AX28</f>
        <v>100</v>
      </c>
      <c r="AA27" s="73">
        <f>'Car costs (CPI)'!AY28</f>
        <v>100</v>
      </c>
      <c r="AB27" s="73">
        <f>'Car costs (CPI)'!BA28</f>
        <v>100</v>
      </c>
      <c r="AC27" s="73">
        <f>'Car costs (CPI)'!BB28</f>
        <v>100</v>
      </c>
      <c r="AD27" s="73">
        <f>'Car costs (CPI)'!BC28</f>
        <v>100</v>
      </c>
      <c r="AE27" s="73">
        <f>'Car costs (CPI)'!BD28</f>
        <v>100</v>
      </c>
      <c r="AF27" s="2861">
        <f t="shared" ref="AF27:AF32" si="8">Z27</f>
        <v>100</v>
      </c>
      <c r="AG27" s="2862">
        <f>Y27</f>
        <v>100</v>
      </c>
      <c r="AH27" s="2862">
        <f>AD27</f>
        <v>100</v>
      </c>
      <c r="AI27" s="2862">
        <f>Z27</f>
        <v>100</v>
      </c>
      <c r="AJ27" s="2862">
        <f>AD27</f>
        <v>100</v>
      </c>
      <c r="AK27" s="2862">
        <f>Z27</f>
        <v>100</v>
      </c>
      <c r="AL27" s="2862">
        <f t="shared" ref="AL27:AL32" si="9">Z27</f>
        <v>100</v>
      </c>
      <c r="AM27" s="2672">
        <f>AD27</f>
        <v>100</v>
      </c>
    </row>
    <row r="28" spans="1:39" ht="13.5" customHeight="1">
      <c r="A28" s="2560"/>
      <c r="B28" s="2547" t="s">
        <v>8</v>
      </c>
      <c r="C28" s="2647"/>
      <c r="D28" s="73">
        <f>'Car costs (RPI)'!AV29</f>
        <v>103.84551722695961</v>
      </c>
      <c r="E28" s="73">
        <f>'Car costs (RPI)'!AW29</f>
        <v>103.89108657480301</v>
      </c>
      <c r="F28" s="73">
        <f>'Car costs (RPI)'!AX29</f>
        <v>103.79358112457062</v>
      </c>
      <c r="G28" s="73">
        <f>'Car costs (RPI)'!AY29</f>
        <v>103.84059178633457</v>
      </c>
      <c r="H28" s="73">
        <f>'Car costs (RPI)'!BA29</f>
        <v>103.82584932950741</v>
      </c>
      <c r="I28" s="73">
        <f>'Car costs (RPI)'!BB29</f>
        <v>103.93426758362396</v>
      </c>
      <c r="J28" s="73">
        <f>'Car costs (RPI)'!BC29</f>
        <v>103.88820042046946</v>
      </c>
      <c r="K28" s="73">
        <f>'Car costs (RPI)'!BD29</f>
        <v>103.75609953937685</v>
      </c>
      <c r="L28" s="2861">
        <f t="shared" si="0"/>
        <v>103.79358112457062</v>
      </c>
      <c r="M28" s="2862">
        <f t="shared" si="1"/>
        <v>103.89108657480301</v>
      </c>
      <c r="N28" s="2862">
        <f t="shared" si="2"/>
        <v>103.88820042046946</v>
      </c>
      <c r="O28" s="2862">
        <f t="shared" si="3"/>
        <v>103.79358112457062</v>
      </c>
      <c r="P28" s="2862">
        <f t="shared" si="4"/>
        <v>103.88820042046946</v>
      </c>
      <c r="Q28" s="2862">
        <f t="shared" si="5"/>
        <v>103.79358112457062</v>
      </c>
      <c r="R28" s="2862">
        <f t="shared" si="6"/>
        <v>103.79358112457062</v>
      </c>
      <c r="S28" s="2672">
        <f t="shared" si="7"/>
        <v>103.88820042046946</v>
      </c>
      <c r="T28" s="2257"/>
      <c r="U28" s="2560"/>
      <c r="V28" s="2547" t="s">
        <v>8</v>
      </c>
      <c r="W28" s="2647"/>
      <c r="X28" s="73">
        <f>'Car costs (CPI)'!AV29</f>
        <v>104.33340069753656</v>
      </c>
      <c r="Y28" s="73">
        <f>'Car costs (CPI)'!AW29</f>
        <v>104.37918413773724</v>
      </c>
      <c r="Z28" s="73">
        <f>'Car costs (CPI)'!AX29</f>
        <v>104.28122059072101</v>
      </c>
      <c r="AA28" s="73">
        <f>'Car costs (CPI)'!AY29</f>
        <v>104.32845211637421</v>
      </c>
      <c r="AB28" s="73">
        <f>'Car costs (CPI)'!BA29</f>
        <v>104.3136403970387</v>
      </c>
      <c r="AC28" s="73">
        <f>'Car costs (CPI)'!BB29</f>
        <v>104.42256801810248</v>
      </c>
      <c r="AD28" s="73">
        <f>'Car costs (CPI)'!BC29</f>
        <v>104.37628442377175</v>
      </c>
      <c r="AE28" s="73">
        <f>'Car costs (CPI)'!BD29</f>
        <v>104.24356291082083</v>
      </c>
      <c r="AF28" s="2861">
        <f t="shared" si="8"/>
        <v>104.28122059072101</v>
      </c>
      <c r="AG28" s="2862">
        <f>Y28</f>
        <v>104.37918413773724</v>
      </c>
      <c r="AH28" s="2862">
        <f>AD28</f>
        <v>104.37628442377175</v>
      </c>
      <c r="AI28" s="2862">
        <f>Z28</f>
        <v>104.28122059072101</v>
      </c>
      <c r="AJ28" s="2862">
        <f>AD28</f>
        <v>104.37628442377175</v>
      </c>
      <c r="AK28" s="2862">
        <f>Z28</f>
        <v>104.28122059072101</v>
      </c>
      <c r="AL28" s="2862">
        <f t="shared" si="9"/>
        <v>104.28122059072101</v>
      </c>
      <c r="AM28" s="2672">
        <f>AD28</f>
        <v>104.37628442377175</v>
      </c>
    </row>
    <row r="29" spans="1:39" ht="13.5" customHeight="1">
      <c r="A29" s="2560"/>
      <c r="B29" s="2547" t="s">
        <v>1251</v>
      </c>
      <c r="C29" s="2647"/>
      <c r="D29" s="73">
        <f>'Car costs (RPI)'!AV30</f>
        <v>101.40179634389443</v>
      </c>
      <c r="E29" s="73">
        <f>'Car costs (RPI)'!AW30</f>
        <v>101.41467989153708</v>
      </c>
      <c r="F29" s="73">
        <f>'Car costs (RPI)'!AX30</f>
        <v>101.26854402756608</v>
      </c>
      <c r="G29" s="73">
        <f>'Car costs (RPI)'!AY30</f>
        <v>101.34376634438681</v>
      </c>
      <c r="H29" s="73">
        <f>'Car costs (RPI)'!BA30</f>
        <v>101.29554723263634</v>
      </c>
      <c r="I29" s="73">
        <f>'Car costs (RPI)'!BB30</f>
        <v>101.46232979906435</v>
      </c>
      <c r="J29" s="73">
        <f>'Car costs (RPI)'!BC30</f>
        <v>101.39146350665288</v>
      </c>
      <c r="K29" s="73">
        <f>'Car costs (RPI)'!BD30</f>
        <v>101.20406863894166</v>
      </c>
      <c r="L29" s="2861">
        <f t="shared" si="0"/>
        <v>101.26854402756608</v>
      </c>
      <c r="M29" s="2862">
        <f t="shared" si="1"/>
        <v>101.41467989153708</v>
      </c>
      <c r="N29" s="2862">
        <f t="shared" si="2"/>
        <v>101.39146350665288</v>
      </c>
      <c r="O29" s="2862">
        <f t="shared" si="3"/>
        <v>101.26854402756608</v>
      </c>
      <c r="P29" s="2862">
        <f t="shared" si="4"/>
        <v>101.39146350665288</v>
      </c>
      <c r="Q29" s="2862">
        <f t="shared" si="5"/>
        <v>101.26854402756608</v>
      </c>
      <c r="R29" s="2862">
        <f t="shared" si="6"/>
        <v>101.26854402756608</v>
      </c>
      <c r="S29" s="2672">
        <f t="shared" si="7"/>
        <v>101.39146350665288</v>
      </c>
      <c r="T29" s="2257"/>
      <c r="U29" s="2560"/>
      <c r="V29" s="2547" t="s">
        <v>1251</v>
      </c>
      <c r="W29" s="2647"/>
      <c r="X29" s="73">
        <f>'Car costs (CPI)'!AV30</f>
        <v>102.33790906729115</v>
      </c>
      <c r="Y29" s="73">
        <f>'Car costs (CPI)'!AW30</f>
        <v>102.3509115522042</v>
      </c>
      <c r="Z29" s="73">
        <f>'Car costs (CPI)'!AX30</f>
        <v>102.2034266032412</v>
      </c>
      <c r="AA29" s="73">
        <f>'Car costs (CPI)'!AY30</f>
        <v>102.27934335122981</v>
      </c>
      <c r="AB29" s="73">
        <f>'Car costs (CPI)'!BA30</f>
        <v>102.23067909426842</v>
      </c>
      <c r="AC29" s="73">
        <f>'Car costs (CPI)'!BB30</f>
        <v>102.39900135020987</v>
      </c>
      <c r="AD29" s="73">
        <f>'Car costs (CPI)'!BC30</f>
        <v>102.32748084021668</v>
      </c>
      <c r="AE29" s="73">
        <f>'Car costs (CPI)'!BD30</f>
        <v>102.1383559960525</v>
      </c>
      <c r="AF29" s="2861">
        <f t="shared" si="8"/>
        <v>102.2034266032412</v>
      </c>
      <c r="AG29" s="2862">
        <f>Y29</f>
        <v>102.3509115522042</v>
      </c>
      <c r="AH29" s="2862">
        <f>AD29</f>
        <v>102.32748084021668</v>
      </c>
      <c r="AI29" s="2862">
        <f>Z29</f>
        <v>102.2034266032412</v>
      </c>
      <c r="AJ29" s="2862">
        <f>AD29</f>
        <v>102.32748084021668</v>
      </c>
      <c r="AK29" s="2862">
        <f>Z29</f>
        <v>102.2034266032412</v>
      </c>
      <c r="AL29" s="2862">
        <f t="shared" si="9"/>
        <v>102.2034266032412</v>
      </c>
      <c r="AM29" s="2672">
        <f>AD29</f>
        <v>102.32748084021668</v>
      </c>
    </row>
    <row r="30" spans="1:39" s="24" customFormat="1" ht="13.5" customHeight="1">
      <c r="A30" s="91"/>
      <c r="B30" s="2547" t="s">
        <v>1252</v>
      </c>
      <c r="C30" s="32"/>
      <c r="D30" s="73">
        <f>'Car costs (RPI)'!AV31</f>
        <v>96.004316842238723</v>
      </c>
      <c r="E30" s="73">
        <f>'Car costs (RPI)'!AW31</f>
        <v>95.956205229801554</v>
      </c>
      <c r="F30" s="73">
        <f>'Car costs (RPI)'!AX31</f>
        <v>95.786844751261683</v>
      </c>
      <c r="G30" s="73">
        <f>'Car costs (RPI)'!AY31</f>
        <v>95.879021897356637</v>
      </c>
      <c r="H30" s="73">
        <f>'Car costs (RPI)'!BA31</f>
        <v>95.795327269605849</v>
      </c>
      <c r="I30" s="73">
        <f>'Car costs (RPI)'!BB31</f>
        <v>95.992980952100055</v>
      </c>
      <c r="J30" s="73">
        <f>'Car costs (RPI)'!BC31</f>
        <v>95.908997452146679</v>
      </c>
      <c r="K30" s="73">
        <f>'Car costs (RPI)'!BD31</f>
        <v>95.703383291789592</v>
      </c>
      <c r="L30" s="2861">
        <f t="shared" si="0"/>
        <v>95.786844751261683</v>
      </c>
      <c r="M30" s="2862">
        <f t="shared" si="1"/>
        <v>95.956205229801554</v>
      </c>
      <c r="N30" s="2862">
        <f t="shared" si="2"/>
        <v>95.908997452146679</v>
      </c>
      <c r="O30" s="2862">
        <f t="shared" si="3"/>
        <v>95.786844751261683</v>
      </c>
      <c r="P30" s="2862">
        <f t="shared" si="4"/>
        <v>95.908997452146679</v>
      </c>
      <c r="Q30" s="2862">
        <f t="shared" si="5"/>
        <v>95.786844751261683</v>
      </c>
      <c r="R30" s="2862">
        <f t="shared" si="6"/>
        <v>95.786844751261683</v>
      </c>
      <c r="S30" s="2672">
        <f t="shared" si="7"/>
        <v>95.908997452146679</v>
      </c>
      <c r="T30" s="2257"/>
      <c r="U30" s="91"/>
      <c r="V30" s="2547" t="s">
        <v>1252</v>
      </c>
      <c r="W30" s="32"/>
      <c r="X30" s="73">
        <f>'Car costs (CPI)'!AV31</f>
        <v>97.427158014383764</v>
      </c>
      <c r="Y30" s="73">
        <f>'Car costs (CPI)'!AW31</f>
        <v>97.378333359186797</v>
      </c>
      <c r="Z30" s="73">
        <f>'Car costs (CPI)'!AX31</f>
        <v>97.20646285745498</v>
      </c>
      <c r="AA30" s="73">
        <f>'Car costs (CPI)'!AY31</f>
        <v>97.300006123771482</v>
      </c>
      <c r="AB30" s="73">
        <f>'Car costs (CPI)'!BA31</f>
        <v>97.215071091774647</v>
      </c>
      <c r="AC30" s="73">
        <f>'Car costs (CPI)'!BB31</f>
        <v>97.415654119599665</v>
      </c>
      <c r="AD30" s="73">
        <f>'Car costs (CPI)'!BC31</f>
        <v>97.33042593414207</v>
      </c>
      <c r="AE30" s="73">
        <f>'Car costs (CPI)'!BD31</f>
        <v>97.121764449429634</v>
      </c>
      <c r="AF30" s="2861">
        <f t="shared" si="8"/>
        <v>97.20646285745498</v>
      </c>
      <c r="AG30" s="2862">
        <f>Y30</f>
        <v>97.378333359186797</v>
      </c>
      <c r="AH30" s="2862">
        <f>AD30</f>
        <v>97.33042593414207</v>
      </c>
      <c r="AI30" s="2862">
        <f>Z30</f>
        <v>97.20646285745498</v>
      </c>
      <c r="AJ30" s="2862">
        <f>AD30</f>
        <v>97.33042593414207</v>
      </c>
      <c r="AK30" s="2862">
        <f>Z30</f>
        <v>97.20646285745498</v>
      </c>
      <c r="AL30" s="2862">
        <f t="shared" si="9"/>
        <v>97.20646285745498</v>
      </c>
      <c r="AM30" s="2672">
        <f>AD30</f>
        <v>97.33042593414207</v>
      </c>
    </row>
    <row r="31" spans="1:39" ht="13.5" customHeight="1">
      <c r="A31" s="2560"/>
      <c r="B31" s="2547" t="s">
        <v>1253</v>
      </c>
      <c r="C31" s="2647"/>
      <c r="D31" s="73">
        <f>'Car costs (RPI)'!AV32</f>
        <v>87.218374928027998</v>
      </c>
      <c r="E31" s="73">
        <f>'Car costs (RPI)'!AW32</f>
        <v>87.072988359417522</v>
      </c>
      <c r="F31" s="73">
        <f>'Car costs (RPI)'!AX32</f>
        <v>86.916907791479318</v>
      </c>
      <c r="G31" s="73">
        <f>'Car costs (RPI)'!AY32</f>
        <v>87.009137287189233</v>
      </c>
      <c r="H31" s="73">
        <f>'Car costs (RPI)'!BA32</f>
        <v>86.889900705022512</v>
      </c>
      <c r="I31" s="73">
        <f>'Car costs (RPI)'!BB32</f>
        <v>87.077991513491952</v>
      </c>
      <c r="J31" s="73">
        <f>'Car costs (RPI)'!BC32</f>
        <v>86.998071300496221</v>
      </c>
      <c r="K31" s="73">
        <f>'Car costs (RPI)'!BD32</f>
        <v>86.827075603756782</v>
      </c>
      <c r="L31" s="2861">
        <f t="shared" si="0"/>
        <v>86.916907791479318</v>
      </c>
      <c r="M31" s="2862">
        <f t="shared" si="1"/>
        <v>87.072988359417522</v>
      </c>
      <c r="N31" s="2862">
        <f t="shared" si="2"/>
        <v>86.998071300496221</v>
      </c>
      <c r="O31" s="2862">
        <f t="shared" si="3"/>
        <v>86.916907791479318</v>
      </c>
      <c r="P31" s="2862">
        <f t="shared" si="4"/>
        <v>86.998071300496221</v>
      </c>
      <c r="Q31" s="2862">
        <f t="shared" si="5"/>
        <v>86.916907791479318</v>
      </c>
      <c r="R31" s="2862">
        <f t="shared" si="6"/>
        <v>86.916907791479318</v>
      </c>
      <c r="S31" s="2672">
        <f t="shared" si="7"/>
        <v>86.998071300496221</v>
      </c>
      <c r="T31" s="2257"/>
      <c r="U31" s="2560"/>
      <c r="V31" s="2547" t="s">
        <v>1253</v>
      </c>
      <c r="W31" s="2647"/>
      <c r="X31" s="73">
        <f>'Car costs (CPI)'!AV32</f>
        <v>89.30537886979694</v>
      </c>
      <c r="Y31" s="73">
        <f>'Car costs (CPI)'!AW32</f>
        <v>89.15651342025086</v>
      </c>
      <c r="Z31" s="73">
        <f>'Car costs (CPI)'!AX32</f>
        <v>88.996698080129747</v>
      </c>
      <c r="AA31" s="73">
        <f>'Car costs (CPI)'!AY32</f>
        <v>89.091134488330894</v>
      </c>
      <c r="AB31" s="73">
        <f>'Car costs (CPI)'!BA32</f>
        <v>88.969044754896558</v>
      </c>
      <c r="AC31" s="73">
        <f>'Car costs (CPI)'!BB32</f>
        <v>89.161636292243486</v>
      </c>
      <c r="AD31" s="73">
        <f>'Car costs (CPI)'!BC32</f>
        <v>89.079803709294907</v>
      </c>
      <c r="AE31" s="73">
        <f>'Car costs (CPI)'!BD32</f>
        <v>88.904716343874242</v>
      </c>
      <c r="AF31" s="2861">
        <f t="shared" si="8"/>
        <v>88.996698080129747</v>
      </c>
      <c r="AG31" s="2862">
        <f>Y31</f>
        <v>89.15651342025086</v>
      </c>
      <c r="AH31" s="2862">
        <f>AD31</f>
        <v>89.079803709294907</v>
      </c>
      <c r="AI31" s="2862">
        <f>Z31</f>
        <v>88.996698080129747</v>
      </c>
      <c r="AJ31" s="2862">
        <f>AD31</f>
        <v>89.079803709294907</v>
      </c>
      <c r="AK31" s="2862">
        <f>Z31</f>
        <v>88.996698080129747</v>
      </c>
      <c r="AL31" s="2862">
        <f t="shared" si="9"/>
        <v>88.996698080129747</v>
      </c>
      <c r="AM31" s="2672">
        <f>AD31</f>
        <v>89.079803709294907</v>
      </c>
    </row>
    <row r="32" spans="1:39" ht="13.5" customHeight="1">
      <c r="A32" s="2560"/>
      <c r="B32" s="2547" t="s">
        <v>1254</v>
      </c>
      <c r="C32" s="2647"/>
      <c r="D32" s="73">
        <f>'Car costs (RPI)'!AV33</f>
        <v>76.762914766754491</v>
      </c>
      <c r="E32" s="73">
        <f>'Car costs (RPI)'!AW33</f>
        <v>76.482894567055297</v>
      </c>
      <c r="F32" s="73">
        <f>'Car costs (RPI)'!AX33</f>
        <v>76.371087757325697</v>
      </c>
      <c r="G32" s="73">
        <f>'Car costs (RPI)'!AY33</f>
        <v>76.447491579624398</v>
      </c>
      <c r="H32" s="73">
        <f>'Car costs (RPI)'!BA33</f>
        <v>76.302533576194378</v>
      </c>
      <c r="I32" s="73">
        <f>'Car costs (RPI)'!BB33</f>
        <v>76.443276625935198</v>
      </c>
      <c r="J32" s="73">
        <f>'Car costs (RPI)'!BC33</f>
        <v>76.383474583483022</v>
      </c>
      <c r="K32" s="73">
        <f>'Car costs (RPI)'!BD33</f>
        <v>76.288813101853663</v>
      </c>
      <c r="L32" s="2861">
        <f t="shared" si="0"/>
        <v>76.371087757325697</v>
      </c>
      <c r="M32" s="2862">
        <f t="shared" si="1"/>
        <v>76.482894567055297</v>
      </c>
      <c r="N32" s="2862">
        <f t="shared" si="2"/>
        <v>76.383474583483022</v>
      </c>
      <c r="O32" s="2862">
        <f t="shared" si="3"/>
        <v>76.371087757325697</v>
      </c>
      <c r="P32" s="2862">
        <f t="shared" si="4"/>
        <v>76.383474583483022</v>
      </c>
      <c r="Q32" s="2862">
        <f t="shared" si="5"/>
        <v>76.371087757325697</v>
      </c>
      <c r="R32" s="2862">
        <f t="shared" si="6"/>
        <v>76.371087757325697</v>
      </c>
      <c r="S32" s="2672">
        <f t="shared" si="7"/>
        <v>76.383474583483022</v>
      </c>
      <c r="T32" s="2256"/>
      <c r="U32" s="2560"/>
      <c r="V32" s="2547" t="s">
        <v>1254</v>
      </c>
      <c r="W32" s="2647"/>
      <c r="X32" s="73">
        <f>'Car costs (CPI)'!AV33</f>
        <v>79.360990505675559</v>
      </c>
      <c r="Y32" s="73">
        <f>'Car costs (CPI)'!AW33</f>
        <v>79.071492895048749</v>
      </c>
      <c r="Z32" s="73">
        <f>'Car costs (CPI)'!AX33</f>
        <v>78.955901933027803</v>
      </c>
      <c r="AA32" s="73">
        <f>'Car costs (CPI)'!AY33</f>
        <v>79.034891677417647</v>
      </c>
      <c r="AB32" s="73">
        <f>'Car costs (CPI)'!BA33</f>
        <v>78.885027504478316</v>
      </c>
      <c r="AC32" s="73">
        <f>'Car costs (CPI)'!BB33</f>
        <v>79.030534066705144</v>
      </c>
      <c r="AD32" s="73">
        <f>'Car costs (CPI)'!BC33</f>
        <v>78.968707996946208</v>
      </c>
      <c r="AE32" s="73">
        <f>'Car costs (CPI)'!BD33</f>
        <v>78.8708426544476</v>
      </c>
      <c r="AF32" s="2861">
        <f t="shared" si="8"/>
        <v>78.955901933027803</v>
      </c>
      <c r="AG32" s="2862">
        <f t="shared" ref="AG32:AG67" si="10">Y32</f>
        <v>79.071492895048749</v>
      </c>
      <c r="AH32" s="2862">
        <f t="shared" ref="AH32:AH67" si="11">AD32</f>
        <v>78.968707996946208</v>
      </c>
      <c r="AI32" s="2862">
        <f t="shared" ref="AI32:AI67" si="12">Z32</f>
        <v>78.955901933027803</v>
      </c>
      <c r="AJ32" s="2862">
        <f t="shared" ref="AJ32:AJ67" si="13">AD32</f>
        <v>78.968707996946208</v>
      </c>
      <c r="AK32" s="2862">
        <f t="shared" ref="AK32:AK67" si="14">Z32</f>
        <v>78.955901933027803</v>
      </c>
      <c r="AL32" s="2862">
        <f t="shared" si="9"/>
        <v>78.955901933027803</v>
      </c>
      <c r="AM32" s="2672">
        <f t="shared" ref="AM32:AM49" si="15">AD32</f>
        <v>78.968707996946208</v>
      </c>
    </row>
    <row r="33" spans="1:39" ht="13.5" customHeight="1">
      <c r="A33" s="2560"/>
      <c r="B33" s="2547" t="s">
        <v>1255</v>
      </c>
      <c r="C33" s="2647"/>
      <c r="D33" s="73">
        <f>'Car costs (RPI)'!AV34</f>
        <v>74.046757083094036</v>
      </c>
      <c r="E33" s="73">
        <f>'Car costs (RPI)'!AW34</f>
        <v>73.690305221279871</v>
      </c>
      <c r="F33" s="73">
        <f>'Car costs (RPI)'!AX34</f>
        <v>73.566950769999764</v>
      </c>
      <c r="G33" s="73">
        <f>'Car costs (RPI)'!AY34</f>
        <v>73.650477369741211</v>
      </c>
      <c r="H33" s="73">
        <f>'Car costs (RPI)'!BA34</f>
        <v>73.500453580864544</v>
      </c>
      <c r="I33" s="73">
        <f>'Car costs (RPI)'!BB34</f>
        <v>73.646967014945545</v>
      </c>
      <c r="J33" s="73">
        <f>'Car costs (RPI)'!BC34</f>
        <v>73.584713123042093</v>
      </c>
      <c r="K33" s="73">
        <f>'Car costs (RPI)'!BD34</f>
        <v>73.478938336981145</v>
      </c>
      <c r="L33" s="2861">
        <f t="shared" ref="L33:L51" si="16">F33</f>
        <v>73.566950769999764</v>
      </c>
      <c r="M33" s="2862">
        <f t="shared" ref="M33:M51" si="17">E33</f>
        <v>73.690305221279871</v>
      </c>
      <c r="N33" s="2862">
        <f t="shared" ref="N33:N51" si="18">J33</f>
        <v>73.584713123042093</v>
      </c>
      <c r="O33" s="2862">
        <f t="shared" ref="O33:O51" si="19">F33</f>
        <v>73.566950769999764</v>
      </c>
      <c r="P33" s="2862">
        <f t="shared" ref="P33:P51" si="20">J33</f>
        <v>73.584713123042093</v>
      </c>
      <c r="Q33" s="2862">
        <f t="shared" ref="Q33:Q51" si="21">F33</f>
        <v>73.566950769999764</v>
      </c>
      <c r="R33" s="2862">
        <f t="shared" ref="R33:R51" si="22">F33</f>
        <v>73.566950769999764</v>
      </c>
      <c r="S33" s="2672">
        <f t="shared" ref="S33:S51" si="23">J33</f>
        <v>73.584713123042093</v>
      </c>
      <c r="T33" s="2257"/>
      <c r="U33" s="2560"/>
      <c r="V33" s="2547" t="s">
        <v>1255</v>
      </c>
      <c r="W33" s="2647"/>
      <c r="X33" s="73">
        <f>'Car costs (CPI)'!AV34</f>
        <v>77.34304720188193</v>
      </c>
      <c r="Y33" s="73">
        <f>'Car costs (CPI)'!AW34</f>
        <v>76.970727410178498</v>
      </c>
      <c r="Z33" s="73">
        <f>'Car costs (CPI)'!AX34</f>
        <v>76.841881671030023</v>
      </c>
      <c r="AA33" s="73">
        <f>'Car costs (CPI)'!AY34</f>
        <v>76.929126568725749</v>
      </c>
      <c r="AB33" s="73">
        <f>'Car costs (CPI)'!BA34</f>
        <v>76.772424270859119</v>
      </c>
      <c r="AC33" s="73">
        <f>'Car costs (CPI)'!BB34</f>
        <v>76.925459945805969</v>
      </c>
      <c r="AD33" s="73">
        <f>'Car costs (CPI)'!BC34</f>
        <v>76.860434738900736</v>
      </c>
      <c r="AE33" s="73">
        <f>'Car costs (CPI)'!BD34</f>
        <v>76.749951247207775</v>
      </c>
      <c r="AF33" s="2861">
        <f t="shared" ref="AF33:AF48" si="24">Z33</f>
        <v>76.841881671030023</v>
      </c>
      <c r="AG33" s="2862">
        <f t="shared" si="10"/>
        <v>76.970727410178498</v>
      </c>
      <c r="AH33" s="2862">
        <f t="shared" si="11"/>
        <v>76.860434738900736</v>
      </c>
      <c r="AI33" s="2862">
        <f t="shared" si="12"/>
        <v>76.841881671030023</v>
      </c>
      <c r="AJ33" s="2862">
        <f t="shared" si="13"/>
        <v>76.860434738900736</v>
      </c>
      <c r="AK33" s="2862">
        <f t="shared" si="14"/>
        <v>76.841881671030023</v>
      </c>
      <c r="AL33" s="2862">
        <f t="shared" ref="AL33:AL66" si="25">Z33</f>
        <v>76.841881671030023</v>
      </c>
      <c r="AM33" s="2672">
        <f t="shared" si="15"/>
        <v>76.860434738900736</v>
      </c>
    </row>
    <row r="34" spans="1:39" ht="13.5" customHeight="1">
      <c r="A34" s="2560"/>
      <c r="B34" s="2547" t="s">
        <v>1256</v>
      </c>
      <c r="C34" s="2647"/>
      <c r="D34" s="73">
        <f>'Car costs (RPI)'!AV35</f>
        <v>75.175484210957336</v>
      </c>
      <c r="E34" s="73">
        <f>'Car costs (RPI)'!AW35</f>
        <v>74.747894177779827</v>
      </c>
      <c r="F34" s="73">
        <f>'Car costs (RPI)'!AX35</f>
        <v>74.589722165909535</v>
      </c>
      <c r="G34" s="73">
        <f>'Car costs (RPI)'!AY35</f>
        <v>74.68928600528281</v>
      </c>
      <c r="H34" s="73">
        <f>'Car costs (RPI)'!BA35</f>
        <v>74.547409339641774</v>
      </c>
      <c r="I34" s="73">
        <f>'Car costs (RPI)'!BB35</f>
        <v>74.724839169050384</v>
      </c>
      <c r="J34" s="73">
        <f>'Car costs (RPI)'!BC35</f>
        <v>74.649448830343658</v>
      </c>
      <c r="K34" s="73">
        <f>'Car costs (RPI)'!BD35</f>
        <v>74.492424645489507</v>
      </c>
      <c r="L34" s="2861">
        <f t="shared" si="16"/>
        <v>74.589722165909535</v>
      </c>
      <c r="M34" s="2862">
        <f t="shared" si="17"/>
        <v>74.747894177779827</v>
      </c>
      <c r="N34" s="2862">
        <f t="shared" si="18"/>
        <v>74.649448830343658</v>
      </c>
      <c r="O34" s="2862">
        <f t="shared" si="19"/>
        <v>74.589722165909535</v>
      </c>
      <c r="P34" s="2862">
        <f t="shared" si="20"/>
        <v>74.649448830343658</v>
      </c>
      <c r="Q34" s="2862">
        <f t="shared" si="21"/>
        <v>74.589722165909535</v>
      </c>
      <c r="R34" s="2862">
        <f t="shared" si="22"/>
        <v>74.589722165909535</v>
      </c>
      <c r="S34" s="2672">
        <f t="shared" si="23"/>
        <v>74.649448830343658</v>
      </c>
      <c r="T34" s="2257"/>
      <c r="U34" s="2560"/>
      <c r="V34" s="2547" t="s">
        <v>1256</v>
      </c>
      <c r="W34" s="2647"/>
      <c r="X34" s="73">
        <f>'Car costs (CPI)'!AV35</f>
        <v>79.222733324019558</v>
      </c>
      <c r="Y34" s="73">
        <f>'Car costs (CPI)'!AW35</f>
        <v>78.772122975100871</v>
      </c>
      <c r="Z34" s="73">
        <f>'Car costs (CPI)'!AX35</f>
        <v>78.605435400724105</v>
      </c>
      <c r="AA34" s="73">
        <f>'Car costs (CPI)'!AY35</f>
        <v>78.710359493706989</v>
      </c>
      <c r="AB34" s="73">
        <f>'Car costs (CPI)'!BA35</f>
        <v>78.560844563873758</v>
      </c>
      <c r="AC34" s="73">
        <f>'Car costs (CPI)'!BB35</f>
        <v>78.747826745718029</v>
      </c>
      <c r="AD34" s="73">
        <f>'Car costs (CPI)'!BC35</f>
        <v>78.668377590700814</v>
      </c>
      <c r="AE34" s="73">
        <f>'Car costs (CPI)'!BD35</f>
        <v>78.502899639308936</v>
      </c>
      <c r="AF34" s="2861">
        <f t="shared" si="24"/>
        <v>78.605435400724105</v>
      </c>
      <c r="AG34" s="2862">
        <f t="shared" si="10"/>
        <v>78.772122975100871</v>
      </c>
      <c r="AH34" s="2862">
        <f t="shared" si="11"/>
        <v>78.668377590700814</v>
      </c>
      <c r="AI34" s="2862">
        <f t="shared" si="12"/>
        <v>78.605435400724105</v>
      </c>
      <c r="AJ34" s="2862">
        <f t="shared" si="13"/>
        <v>78.668377590700814</v>
      </c>
      <c r="AK34" s="2862">
        <f t="shared" si="14"/>
        <v>78.605435400724105</v>
      </c>
      <c r="AL34" s="2862">
        <f t="shared" si="25"/>
        <v>78.605435400724105</v>
      </c>
      <c r="AM34" s="2672">
        <f t="shared" si="15"/>
        <v>78.668377590700814</v>
      </c>
    </row>
    <row r="35" spans="1:39" s="24" customFormat="1" ht="13.5" customHeight="1">
      <c r="A35" s="91"/>
      <c r="B35" s="2547" t="s">
        <v>1257</v>
      </c>
      <c r="C35" s="32"/>
      <c r="D35" s="73">
        <f>'Car costs (RPI)'!AV36</f>
        <v>74.908413486476078</v>
      </c>
      <c r="E35" s="73">
        <f>'Car costs (RPI)'!AW36</f>
        <v>74.281795635660544</v>
      </c>
      <c r="F35" s="73">
        <f>'Car costs (RPI)'!AX36</f>
        <v>74.147393951341982</v>
      </c>
      <c r="G35" s="73">
        <f>'Car costs (RPI)'!AY36</f>
        <v>74.233465039545564</v>
      </c>
      <c r="H35" s="73">
        <f>'Car costs (RPI)'!BA36</f>
        <v>74.115861952178435</v>
      </c>
      <c r="I35" s="73">
        <f>'Car costs (RPI)'!BB36</f>
        <v>74.258852475329959</v>
      </c>
      <c r="J35" s="73">
        <f>'Car costs (RPI)'!BC36</f>
        <v>74.198095476305738</v>
      </c>
      <c r="K35" s="73">
        <f>'Car costs (RPI)'!BD36</f>
        <v>74.067552833949136</v>
      </c>
      <c r="L35" s="2861">
        <f t="shared" si="16"/>
        <v>74.147393951341982</v>
      </c>
      <c r="M35" s="2862">
        <f t="shared" si="17"/>
        <v>74.281795635660544</v>
      </c>
      <c r="N35" s="2862">
        <f t="shared" si="18"/>
        <v>74.198095476305738</v>
      </c>
      <c r="O35" s="2862">
        <f t="shared" si="19"/>
        <v>74.147393951341982</v>
      </c>
      <c r="P35" s="2862">
        <f t="shared" si="20"/>
        <v>74.198095476305738</v>
      </c>
      <c r="Q35" s="2862">
        <f t="shared" si="21"/>
        <v>74.147393951341982</v>
      </c>
      <c r="R35" s="2862">
        <f t="shared" si="22"/>
        <v>74.147393951341982</v>
      </c>
      <c r="S35" s="2672">
        <f t="shared" si="23"/>
        <v>74.198095476305738</v>
      </c>
      <c r="T35" s="2257"/>
      <c r="U35" s="91"/>
      <c r="V35" s="2547" t="s">
        <v>1257</v>
      </c>
      <c r="W35" s="32"/>
      <c r="X35" s="73">
        <f>'Car costs (CPI)'!AV36</f>
        <v>79.556576861375817</v>
      </c>
      <c r="Y35" s="73">
        <f>'Car costs (CPI)'!AW36</f>
        <v>78.891076567205033</v>
      </c>
      <c r="Z35" s="73">
        <f>'Car costs (CPI)'!AX36</f>
        <v>78.748335085559347</v>
      </c>
      <c r="AA35" s="73">
        <f>'Car costs (CPI)'!AY36</f>
        <v>78.839746995457105</v>
      </c>
      <c r="AB35" s="73">
        <f>'Car costs (CPI)'!BA36</f>
        <v>78.714846485303497</v>
      </c>
      <c r="AC35" s="73">
        <f>'Car costs (CPI)'!BB36</f>
        <v>78.866709754275362</v>
      </c>
      <c r="AD35" s="73">
        <f>'Car costs (CPI)'!BC36</f>
        <v>78.802182705339675</v>
      </c>
      <c r="AE35" s="73">
        <f>'Car costs (CPI)'!BD36</f>
        <v>78.663539724171684</v>
      </c>
      <c r="AF35" s="2861">
        <f t="shared" si="24"/>
        <v>78.748335085559347</v>
      </c>
      <c r="AG35" s="2862">
        <f t="shared" si="10"/>
        <v>78.891076567205033</v>
      </c>
      <c r="AH35" s="2862">
        <f t="shared" si="11"/>
        <v>78.802182705339675</v>
      </c>
      <c r="AI35" s="2862">
        <f t="shared" si="12"/>
        <v>78.748335085559347</v>
      </c>
      <c r="AJ35" s="2862">
        <f t="shared" si="13"/>
        <v>78.802182705339675</v>
      </c>
      <c r="AK35" s="2862">
        <f t="shared" si="14"/>
        <v>78.748335085559347</v>
      </c>
      <c r="AL35" s="2862">
        <f t="shared" si="25"/>
        <v>78.748335085559347</v>
      </c>
      <c r="AM35" s="2672">
        <f t="shared" si="15"/>
        <v>78.802182705339675</v>
      </c>
    </row>
    <row r="36" spans="1:39" ht="13.5" customHeight="1">
      <c r="A36" s="2560"/>
      <c r="B36" s="2547" t="s">
        <v>1258</v>
      </c>
      <c r="C36" s="2647"/>
      <c r="D36" s="73">
        <f>'Car costs (RPI)'!AV37</f>
        <v>72.179587545571678</v>
      </c>
      <c r="E36" s="73">
        <f>'Car costs (RPI)'!AW37</f>
        <v>71.3980643373541</v>
      </c>
      <c r="F36" s="73">
        <f>'Car costs (RPI)'!AX37</f>
        <v>71.289549645032054</v>
      </c>
      <c r="G36" s="73">
        <f>'Car costs (RPI)'!AY37</f>
        <v>71.362568612988568</v>
      </c>
      <c r="H36" s="73">
        <f>'Car costs (RPI)'!BA37</f>
        <v>71.257106078963702</v>
      </c>
      <c r="I36" s="73">
        <f>'Car costs (RPI)'!BB37</f>
        <v>71.364518263255633</v>
      </c>
      <c r="J36" s="73">
        <f>'Car costs (RPI)'!BC37</f>
        <v>71.31887858146149</v>
      </c>
      <c r="K36" s="73">
        <f>'Car costs (RPI)'!BD37</f>
        <v>71.223549189351047</v>
      </c>
      <c r="L36" s="2861">
        <f t="shared" si="16"/>
        <v>71.289549645032054</v>
      </c>
      <c r="M36" s="2862">
        <f t="shared" si="17"/>
        <v>71.3980643373541</v>
      </c>
      <c r="N36" s="2862">
        <f t="shared" si="18"/>
        <v>71.31887858146149</v>
      </c>
      <c r="O36" s="2862">
        <f t="shared" si="19"/>
        <v>71.289549645032054</v>
      </c>
      <c r="P36" s="2862">
        <f t="shared" si="20"/>
        <v>71.31887858146149</v>
      </c>
      <c r="Q36" s="2862">
        <f t="shared" si="21"/>
        <v>71.289549645032054</v>
      </c>
      <c r="R36" s="2862">
        <f t="shared" si="22"/>
        <v>71.289549645032054</v>
      </c>
      <c r="S36" s="2672">
        <f t="shared" si="23"/>
        <v>71.31887858146149</v>
      </c>
      <c r="T36" s="2257"/>
      <c r="U36" s="2560"/>
      <c r="V36" s="2547" t="s">
        <v>1258</v>
      </c>
      <c r="W36" s="2647"/>
      <c r="X36" s="73">
        <f>'Car costs (CPI)'!AV37</f>
        <v>77.348829828805634</v>
      </c>
      <c r="Y36" s="73">
        <f>'Car costs (CPI)'!AW37</f>
        <v>76.511336741144007</v>
      </c>
      <c r="Z36" s="73">
        <f>'Car costs (CPI)'!AX37</f>
        <v>76.395050617105923</v>
      </c>
      <c r="AA36" s="73">
        <f>'Car costs (CPI)'!AY37</f>
        <v>76.473298940749729</v>
      </c>
      <c r="AB36" s="73">
        <f>'Car costs (CPI)'!BA37</f>
        <v>76.360283559601243</v>
      </c>
      <c r="AC36" s="73">
        <f>'Car costs (CPI)'!BB37</f>
        <v>76.475388217952073</v>
      </c>
      <c r="AD36" s="73">
        <f>'Car costs (CPI)'!BC37</f>
        <v>76.426479986406591</v>
      </c>
      <c r="AE36" s="73">
        <f>'Car costs (CPI)'!BD37</f>
        <v>76.324323446326915</v>
      </c>
      <c r="AF36" s="2861">
        <f t="shared" si="24"/>
        <v>76.395050617105923</v>
      </c>
      <c r="AG36" s="2862">
        <f t="shared" si="10"/>
        <v>76.511336741144007</v>
      </c>
      <c r="AH36" s="2862">
        <f t="shared" si="11"/>
        <v>76.426479986406591</v>
      </c>
      <c r="AI36" s="2862">
        <f t="shared" si="12"/>
        <v>76.395050617105923</v>
      </c>
      <c r="AJ36" s="2862">
        <f t="shared" si="13"/>
        <v>76.426479986406591</v>
      </c>
      <c r="AK36" s="2862">
        <f t="shared" si="14"/>
        <v>76.395050617105923</v>
      </c>
      <c r="AL36" s="2862">
        <f t="shared" si="25"/>
        <v>76.395050617105923</v>
      </c>
      <c r="AM36" s="2672">
        <f t="shared" si="15"/>
        <v>76.426479986406591</v>
      </c>
    </row>
    <row r="37" spans="1:39" ht="13.5" customHeight="1">
      <c r="A37" s="2560"/>
      <c r="B37" s="2547" t="s">
        <v>1259</v>
      </c>
      <c r="C37" s="2647"/>
      <c r="D37" s="73">
        <f>'Car costs (RPI)'!AV38</f>
        <v>70.572215127004256</v>
      </c>
      <c r="E37" s="73">
        <f>'Car costs (RPI)'!AW38</f>
        <v>69.656814947484378</v>
      </c>
      <c r="F37" s="73">
        <f>'Car costs (RPI)'!AX38</f>
        <v>69.562928826117613</v>
      </c>
      <c r="G37" s="73">
        <f>'Car costs (RPI)'!AY38</f>
        <v>69.630624516649362</v>
      </c>
      <c r="H37" s="73">
        <f>'Car costs (RPI)'!BA38</f>
        <v>69.536206511007549</v>
      </c>
      <c r="I37" s="73">
        <f>'Car costs (RPI)'!BB38</f>
        <v>69.618530265387264</v>
      </c>
      <c r="J37" s="73">
        <f>'Car costs (RPI)'!BC38</f>
        <v>69.583550714615086</v>
      </c>
      <c r="K37" s="73">
        <f>'Car costs (RPI)'!BD38</f>
        <v>69.511403254443238</v>
      </c>
      <c r="L37" s="2861">
        <f t="shared" si="16"/>
        <v>69.562928826117613</v>
      </c>
      <c r="M37" s="2862">
        <f t="shared" si="17"/>
        <v>69.656814947484378</v>
      </c>
      <c r="N37" s="2862">
        <f t="shared" si="18"/>
        <v>69.583550714615086</v>
      </c>
      <c r="O37" s="2862">
        <f t="shared" si="19"/>
        <v>69.562928826117613</v>
      </c>
      <c r="P37" s="2862">
        <f t="shared" si="20"/>
        <v>69.583550714615086</v>
      </c>
      <c r="Q37" s="2862">
        <f t="shared" si="21"/>
        <v>69.562928826117613</v>
      </c>
      <c r="R37" s="2862">
        <f t="shared" si="22"/>
        <v>69.562928826117613</v>
      </c>
      <c r="S37" s="2672">
        <f t="shared" si="23"/>
        <v>69.583550714615086</v>
      </c>
      <c r="T37" s="2256"/>
      <c r="U37" s="2560"/>
      <c r="V37" s="2547" t="s">
        <v>1259</v>
      </c>
      <c r="W37" s="2647"/>
      <c r="X37" s="73">
        <f>'Car costs (CPI)'!AV38</f>
        <v>76.316282530370188</v>
      </c>
      <c r="Y37" s="73">
        <f>'Car costs (CPI)'!AW38</f>
        <v>75.326375403282455</v>
      </c>
      <c r="Z37" s="73">
        <f>'Car costs (CPI)'!AX38</f>
        <v>75.224847631325574</v>
      </c>
      <c r="AA37" s="73">
        <f>'Car costs (CPI)'!AY38</f>
        <v>75.298053260983252</v>
      </c>
      <c r="AB37" s="73">
        <f>'Car costs (CPI)'!BA38</f>
        <v>75.1959503132219</v>
      </c>
      <c r="AC37" s="73">
        <f>'Car costs (CPI)'!BB38</f>
        <v>75.284974625224805</v>
      </c>
      <c r="AD37" s="73">
        <f>'Car costs (CPI)'!BC38</f>
        <v>75.247147992254455</v>
      </c>
      <c r="AE37" s="73">
        <f>'Car costs (CPI)'!BD38</f>
        <v>75.169128251136584</v>
      </c>
      <c r="AF37" s="2861">
        <f t="shared" si="24"/>
        <v>75.224847631325574</v>
      </c>
      <c r="AG37" s="2862">
        <f t="shared" si="10"/>
        <v>75.326375403282455</v>
      </c>
      <c r="AH37" s="2862">
        <f t="shared" si="11"/>
        <v>75.247147992254455</v>
      </c>
      <c r="AI37" s="2862">
        <f t="shared" si="12"/>
        <v>75.224847631325574</v>
      </c>
      <c r="AJ37" s="2862">
        <f t="shared" si="13"/>
        <v>75.247147992254455</v>
      </c>
      <c r="AK37" s="2862">
        <f t="shared" si="14"/>
        <v>75.224847631325574</v>
      </c>
      <c r="AL37" s="2862">
        <f t="shared" si="25"/>
        <v>75.224847631325574</v>
      </c>
      <c r="AM37" s="2672">
        <f t="shared" si="15"/>
        <v>75.247147992254455</v>
      </c>
    </row>
    <row r="38" spans="1:39" ht="13.5" customHeight="1">
      <c r="A38" s="2560"/>
      <c r="B38" s="2547" t="s">
        <v>1260</v>
      </c>
      <c r="C38" s="2647"/>
      <c r="D38" s="73">
        <f>'Car costs (RPI)'!AV39</f>
        <v>68.79017613372244</v>
      </c>
      <c r="E38" s="73">
        <f>'Car costs (RPI)'!AW39</f>
        <v>67.785397993786077</v>
      </c>
      <c r="F38" s="73">
        <f>'Car costs (RPI)'!AX39</f>
        <v>67.698751638360847</v>
      </c>
      <c r="G38" s="73">
        <f>'Car costs (RPI)'!AY39</f>
        <v>67.772480732633809</v>
      </c>
      <c r="H38" s="73">
        <f>'Car costs (RPI)'!BA39</f>
        <v>67.681880402765287</v>
      </c>
      <c r="I38" s="73">
        <f>'Car costs (RPI)'!BB39</f>
        <v>67.7421667002926</v>
      </c>
      <c r="J38" s="73">
        <f>'Car costs (RPI)'!BC39</f>
        <v>67.716550915139081</v>
      </c>
      <c r="K38" s="73">
        <f>'Car costs (RPI)'!BD39</f>
        <v>67.670995034819924</v>
      </c>
      <c r="L38" s="2861">
        <f t="shared" si="16"/>
        <v>67.698751638360847</v>
      </c>
      <c r="M38" s="2862">
        <f t="shared" si="17"/>
        <v>67.785397993786077</v>
      </c>
      <c r="N38" s="2862">
        <f t="shared" si="18"/>
        <v>67.716550915139081</v>
      </c>
      <c r="O38" s="2862">
        <f t="shared" si="19"/>
        <v>67.698751638360847</v>
      </c>
      <c r="P38" s="2862">
        <f t="shared" si="20"/>
        <v>67.716550915139081</v>
      </c>
      <c r="Q38" s="2862">
        <f t="shared" si="21"/>
        <v>67.698751638360847</v>
      </c>
      <c r="R38" s="2862">
        <f t="shared" si="22"/>
        <v>67.698751638360847</v>
      </c>
      <c r="S38" s="2672">
        <f t="shared" si="23"/>
        <v>67.716550915139081</v>
      </c>
      <c r="T38" s="2257"/>
      <c r="U38" s="2560"/>
      <c r="V38" s="2547" t="s">
        <v>1260</v>
      </c>
      <c r="W38" s="2647"/>
      <c r="X38" s="73">
        <f>'Car costs (CPI)'!AV39</f>
        <v>75.159884261045178</v>
      </c>
      <c r="Y38" s="73">
        <f>'Car costs (CPI)'!AW39</f>
        <v>74.062067494900518</v>
      </c>
      <c r="Z38" s="73">
        <f>'Car costs (CPI)'!AX39</f>
        <v>73.967398017201518</v>
      </c>
      <c r="AA38" s="73">
        <f>'Car costs (CPI)'!AY39</f>
        <v>74.047954144597611</v>
      </c>
      <c r="AB38" s="73">
        <f>'Car costs (CPI)'!BA39</f>
        <v>73.948964569491807</v>
      </c>
      <c r="AC38" s="73">
        <f>'Car costs (CPI)'!BB39</f>
        <v>74.014833148398637</v>
      </c>
      <c r="AD38" s="73">
        <f>'Car costs (CPI)'!BC39</f>
        <v>73.986845439170338</v>
      </c>
      <c r="AE38" s="73">
        <f>'Car costs (CPI)'!BD39</f>
        <v>73.937071257962515</v>
      </c>
      <c r="AF38" s="2861">
        <f t="shared" si="24"/>
        <v>73.967398017201518</v>
      </c>
      <c r="AG38" s="2862">
        <f t="shared" si="10"/>
        <v>74.062067494900518</v>
      </c>
      <c r="AH38" s="2862">
        <f t="shared" si="11"/>
        <v>73.986845439170338</v>
      </c>
      <c r="AI38" s="2862">
        <f t="shared" si="12"/>
        <v>73.967398017201518</v>
      </c>
      <c r="AJ38" s="2862">
        <f t="shared" si="13"/>
        <v>73.986845439170338</v>
      </c>
      <c r="AK38" s="2862">
        <f t="shared" si="14"/>
        <v>73.967398017201518</v>
      </c>
      <c r="AL38" s="2862">
        <f t="shared" si="25"/>
        <v>73.967398017201518</v>
      </c>
      <c r="AM38" s="2672">
        <f t="shared" si="15"/>
        <v>73.986845439170338</v>
      </c>
    </row>
    <row r="39" spans="1:39" ht="13.5" customHeight="1">
      <c r="A39" s="2560"/>
      <c r="B39" s="2547" t="s">
        <v>1261</v>
      </c>
      <c r="C39" s="2647"/>
      <c r="D39" s="73">
        <f>'Car costs (RPI)'!AV40</f>
        <v>67.262039259895417</v>
      </c>
      <c r="E39" s="73">
        <f>'Car costs (RPI)'!AW40</f>
        <v>66.175230979479608</v>
      </c>
      <c r="F39" s="73">
        <f>'Car costs (RPI)'!AX40</f>
        <v>66.094993709145996</v>
      </c>
      <c r="G39" s="73">
        <f>'Car costs (RPI)'!AY40</f>
        <v>66.174981671364222</v>
      </c>
      <c r="H39" s="73">
        <f>'Car costs (RPI)'!BA40</f>
        <v>66.086499481644267</v>
      </c>
      <c r="I39" s="73">
        <f>'Car costs (RPI)'!BB40</f>
        <v>66.126878054854885</v>
      </c>
      <c r="J39" s="73">
        <f>'Car costs (RPI)'!BC40</f>
        <v>66.109721107113955</v>
      </c>
      <c r="K39" s="73">
        <f>'Car costs (RPI)'!BD40</f>
        <v>66.089281918643209</v>
      </c>
      <c r="L39" s="2861">
        <f t="shared" si="16"/>
        <v>66.094993709145996</v>
      </c>
      <c r="M39" s="2862">
        <f t="shared" si="17"/>
        <v>66.175230979479608</v>
      </c>
      <c r="N39" s="2862">
        <f t="shared" si="18"/>
        <v>66.109721107113955</v>
      </c>
      <c r="O39" s="2862">
        <f t="shared" si="19"/>
        <v>66.094993709145996</v>
      </c>
      <c r="P39" s="2862">
        <f t="shared" si="20"/>
        <v>66.109721107113955</v>
      </c>
      <c r="Q39" s="2862">
        <f t="shared" si="21"/>
        <v>66.094993709145996</v>
      </c>
      <c r="R39" s="2862">
        <f t="shared" si="22"/>
        <v>66.094993709145996</v>
      </c>
      <c r="S39" s="2672">
        <f t="shared" si="23"/>
        <v>66.109721107113955</v>
      </c>
      <c r="T39" s="2257"/>
      <c r="U39" s="2560"/>
      <c r="V39" s="2547" t="s">
        <v>1261</v>
      </c>
      <c r="W39" s="2647"/>
      <c r="X39" s="73">
        <f>'Car costs (CPI)'!AV40</f>
        <v>74.259509709559694</v>
      </c>
      <c r="Y39" s="73">
        <f>'Car costs (CPI)'!AW40</f>
        <v>73.059637524000081</v>
      </c>
      <c r="Z39" s="73">
        <f>'Car costs (CPI)'!AX40</f>
        <v>72.971052931249559</v>
      </c>
      <c r="AA39" s="73">
        <f>'Car costs (CPI)'!AY40</f>
        <v>73.05936227961827</v>
      </c>
      <c r="AB39" s="73">
        <f>'Car costs (CPI)'!BA40</f>
        <v>72.961675023939861</v>
      </c>
      <c r="AC39" s="73">
        <f>'Car costs (CPI)'!BB40</f>
        <v>73.006254300488507</v>
      </c>
      <c r="AD39" s="73">
        <f>'Car costs (CPI)'!BC40</f>
        <v>72.987312464329918</v>
      </c>
      <c r="AE39" s="73">
        <f>'Car costs (CPI)'!BD40</f>
        <v>72.964746926154135</v>
      </c>
      <c r="AF39" s="2861">
        <f t="shared" si="24"/>
        <v>72.971052931249559</v>
      </c>
      <c r="AG39" s="2862">
        <f t="shared" si="10"/>
        <v>73.059637524000081</v>
      </c>
      <c r="AH39" s="2862">
        <f t="shared" si="11"/>
        <v>72.987312464329918</v>
      </c>
      <c r="AI39" s="2862">
        <f t="shared" si="12"/>
        <v>72.971052931249559</v>
      </c>
      <c r="AJ39" s="2862">
        <f t="shared" si="13"/>
        <v>72.987312464329918</v>
      </c>
      <c r="AK39" s="2862">
        <f t="shared" si="14"/>
        <v>72.971052931249559</v>
      </c>
      <c r="AL39" s="2862">
        <f t="shared" si="25"/>
        <v>72.971052931249559</v>
      </c>
      <c r="AM39" s="2672">
        <f t="shared" si="15"/>
        <v>72.987312464329918</v>
      </c>
    </row>
    <row r="40" spans="1:39" ht="13.5" customHeight="1">
      <c r="A40" s="2560"/>
      <c r="B40" s="2547" t="s">
        <v>1262</v>
      </c>
      <c r="C40" s="2647"/>
      <c r="D40" s="73">
        <f>'Car costs (RPI)'!AV41</f>
        <v>65.942827935864912</v>
      </c>
      <c r="E40" s="73">
        <f>'Car costs (RPI)'!AW41</f>
        <v>64.780312650383664</v>
      </c>
      <c r="F40" s="73">
        <f>'Car costs (RPI)'!AX41</f>
        <v>64.706327647511543</v>
      </c>
      <c r="G40" s="73">
        <f>'Car costs (RPI)'!AY41</f>
        <v>64.792583546021476</v>
      </c>
      <c r="H40" s="73">
        <f>'Car costs (RPI)'!BA41</f>
        <v>64.704329024732417</v>
      </c>
      <c r="I40" s="73">
        <f>'Car costs (RPI)'!BB41</f>
        <v>64.726134661958596</v>
      </c>
      <c r="J40" s="73">
        <f>'Car costs (RPI)'!BC41</f>
        <v>64.716869397027224</v>
      </c>
      <c r="K40" s="73">
        <f>'Car costs (RPI)'!BD41</f>
        <v>64.721269110514413</v>
      </c>
      <c r="L40" s="2861">
        <f t="shared" si="16"/>
        <v>64.706327647511543</v>
      </c>
      <c r="M40" s="2862">
        <f t="shared" si="17"/>
        <v>64.780312650383664</v>
      </c>
      <c r="N40" s="2862">
        <f t="shared" si="18"/>
        <v>64.716869397027224</v>
      </c>
      <c r="O40" s="2862">
        <f t="shared" si="19"/>
        <v>64.706327647511543</v>
      </c>
      <c r="P40" s="2862">
        <f t="shared" si="20"/>
        <v>64.716869397027224</v>
      </c>
      <c r="Q40" s="2862">
        <f t="shared" si="21"/>
        <v>64.706327647511543</v>
      </c>
      <c r="R40" s="2862">
        <f t="shared" si="22"/>
        <v>64.706327647511543</v>
      </c>
      <c r="S40" s="2672">
        <f t="shared" si="23"/>
        <v>64.716869397027224</v>
      </c>
      <c r="T40" s="2862"/>
      <c r="U40" s="2560"/>
      <c r="V40" s="2547" t="s">
        <v>1262</v>
      </c>
      <c r="W40" s="2647"/>
      <c r="X40" s="73">
        <f>'Car costs (CPI)'!AV41</f>
        <v>73.565670469168083</v>
      </c>
      <c r="Y40" s="73">
        <f>'Car costs (CPI)'!AW41</f>
        <v>72.268771032427807</v>
      </c>
      <c r="Z40" s="73">
        <f>'Car costs (CPI)'!AX41</f>
        <v>72.18623352969523</v>
      </c>
      <c r="AA40" s="73">
        <f>'Car costs (CPI)'!AY41</f>
        <v>72.282460415990954</v>
      </c>
      <c r="AB40" s="73">
        <f>'Car costs (CPI)'!BA41</f>
        <v>72.184003870619875</v>
      </c>
      <c r="AC40" s="73">
        <f>'Car costs (CPI)'!BB41</f>
        <v>72.208330190445153</v>
      </c>
      <c r="AD40" s="73">
        <f>'Car costs (CPI)'!BC41</f>
        <v>72.197993881735229</v>
      </c>
      <c r="AE40" s="73">
        <f>'Car costs (CPI)'!BD41</f>
        <v>72.202902192201861</v>
      </c>
      <c r="AF40" s="2861">
        <f t="shared" si="24"/>
        <v>72.18623352969523</v>
      </c>
      <c r="AG40" s="2862">
        <f t="shared" si="10"/>
        <v>72.268771032427807</v>
      </c>
      <c r="AH40" s="2862">
        <f t="shared" si="11"/>
        <v>72.197993881735229</v>
      </c>
      <c r="AI40" s="2862">
        <f t="shared" si="12"/>
        <v>72.18623352969523</v>
      </c>
      <c r="AJ40" s="2862">
        <f t="shared" si="13"/>
        <v>72.197993881735229</v>
      </c>
      <c r="AK40" s="2862">
        <f t="shared" si="14"/>
        <v>72.18623352969523</v>
      </c>
      <c r="AL40" s="2862">
        <f t="shared" si="25"/>
        <v>72.18623352969523</v>
      </c>
      <c r="AM40" s="2672">
        <f t="shared" si="15"/>
        <v>72.197993881735229</v>
      </c>
    </row>
    <row r="41" spans="1:39" ht="13.5" customHeight="1">
      <c r="A41" s="2560"/>
      <c r="B41" s="2547" t="s">
        <v>1263</v>
      </c>
      <c r="C41" s="2647"/>
      <c r="D41" s="73">
        <f>'Car costs (RPI)'!AV42</f>
        <v>64.645401564661327</v>
      </c>
      <c r="E41" s="73">
        <f>'Car costs (RPI)'!AW42</f>
        <v>63.414965559384491</v>
      </c>
      <c r="F41" s="73">
        <f>'Car costs (RPI)'!AX42</f>
        <v>63.348856914113021</v>
      </c>
      <c r="G41" s="73">
        <f>'Car costs (RPI)'!AY42</f>
        <v>63.440748236826202</v>
      </c>
      <c r="H41" s="73">
        <f>'Car costs (RPI)'!BA42</f>
        <v>63.349363592770182</v>
      </c>
      <c r="I41" s="73">
        <f>'Car costs (RPI)'!BB42</f>
        <v>63.352253697419592</v>
      </c>
      <c r="J41" s="73">
        <f>'Car costs (RPI)'!BC42</f>
        <v>63.351025685370303</v>
      </c>
      <c r="K41" s="73">
        <f>'Car costs (RPI)'!BD42</f>
        <v>63.383164127141285</v>
      </c>
      <c r="L41" s="2861">
        <f t="shared" si="16"/>
        <v>63.348856914113021</v>
      </c>
      <c r="M41" s="2862">
        <f t="shared" si="17"/>
        <v>63.414965559384491</v>
      </c>
      <c r="N41" s="2862">
        <f t="shared" si="18"/>
        <v>63.351025685370303</v>
      </c>
      <c r="O41" s="2862">
        <f t="shared" si="19"/>
        <v>63.348856914113021</v>
      </c>
      <c r="P41" s="2862">
        <f t="shared" si="20"/>
        <v>63.351025685370303</v>
      </c>
      <c r="Q41" s="2862">
        <f t="shared" si="21"/>
        <v>63.348856914113021</v>
      </c>
      <c r="R41" s="2862">
        <f t="shared" si="22"/>
        <v>63.348856914113021</v>
      </c>
      <c r="S41" s="2672">
        <f t="shared" si="23"/>
        <v>63.351025685370303</v>
      </c>
      <c r="T41" s="2862"/>
      <c r="U41" s="2560"/>
      <c r="V41" s="2547" t="s">
        <v>1263</v>
      </c>
      <c r="W41" s="2647"/>
      <c r="X41" s="73">
        <f>'Car costs (CPI)'!AV42</f>
        <v>72.906514099709028</v>
      </c>
      <c r="Y41" s="73">
        <f>'Car costs (CPI)'!AW42</f>
        <v>71.518839218027352</v>
      </c>
      <c r="Z41" s="73">
        <f>'Car costs (CPI)'!AX42</f>
        <v>71.444282470572148</v>
      </c>
      <c r="AA41" s="73">
        <f>'Car costs (CPI)'!AY42</f>
        <v>71.547916694397472</v>
      </c>
      <c r="AB41" s="73">
        <f>'Car costs (CPI)'!BA42</f>
        <v>71.444853898295833</v>
      </c>
      <c r="AC41" s="73">
        <f>'Car costs (CPI)'!BB42</f>
        <v>71.448113332846034</v>
      </c>
      <c r="AD41" s="73">
        <f>'Car costs (CPI)'!BC42</f>
        <v>71.446728391680551</v>
      </c>
      <c r="AE41" s="73">
        <f>'Car costs (CPI)'!BD42</f>
        <v>71.482973843041464</v>
      </c>
      <c r="AF41" s="2861">
        <f t="shared" si="24"/>
        <v>71.444282470572148</v>
      </c>
      <c r="AG41" s="2862">
        <f t="shared" si="10"/>
        <v>71.518839218027352</v>
      </c>
      <c r="AH41" s="2862">
        <f t="shared" si="11"/>
        <v>71.446728391680551</v>
      </c>
      <c r="AI41" s="2862">
        <f t="shared" si="12"/>
        <v>71.444282470572148</v>
      </c>
      <c r="AJ41" s="2862">
        <f t="shared" si="13"/>
        <v>71.446728391680551</v>
      </c>
      <c r="AK41" s="2862">
        <f t="shared" si="14"/>
        <v>71.444282470572148</v>
      </c>
      <c r="AL41" s="2862">
        <f t="shared" si="25"/>
        <v>71.444282470572148</v>
      </c>
      <c r="AM41" s="2672">
        <f t="shared" si="15"/>
        <v>71.446728391680551</v>
      </c>
    </row>
    <row r="42" spans="1:39" ht="13.5" customHeight="1">
      <c r="A42" s="2560"/>
      <c r="B42" s="2547" t="s">
        <v>1264</v>
      </c>
      <c r="C42" s="2647"/>
      <c r="D42" s="73">
        <f>'Car costs (RPI)'!AV43</f>
        <v>63.284443421278318</v>
      </c>
      <c r="E42" s="73">
        <f>'Car costs (RPI)'!AW43</f>
        <v>62.004334817475481</v>
      </c>
      <c r="F42" s="73">
        <f>'Car costs (RPI)'!AX43</f>
        <v>61.950576184293965</v>
      </c>
      <c r="G42" s="73">
        <f>'Car costs (RPI)'!AY43</f>
        <v>62.045710787069865</v>
      </c>
      <c r="H42" s="73">
        <f>'Car costs (RPI)'!BA43</f>
        <v>61.942206681374472</v>
      </c>
      <c r="I42" s="73">
        <f>'Car costs (RPI)'!BB43</f>
        <v>61.924412945643091</v>
      </c>
      <c r="J42" s="73">
        <f>'Car costs (RPI)'!BC43</f>
        <v>61.93197354449007</v>
      </c>
      <c r="K42" s="73">
        <f>'Car costs (RPI)'!BD43</f>
        <v>61.999801443407996</v>
      </c>
      <c r="L42" s="2861">
        <f t="shared" si="16"/>
        <v>61.950576184293965</v>
      </c>
      <c r="M42" s="2862">
        <f t="shared" si="17"/>
        <v>62.004334817475481</v>
      </c>
      <c r="N42" s="2862">
        <f t="shared" si="18"/>
        <v>61.93197354449007</v>
      </c>
      <c r="O42" s="2862">
        <f t="shared" si="19"/>
        <v>61.950576184293965</v>
      </c>
      <c r="P42" s="2862">
        <f t="shared" si="20"/>
        <v>61.93197354449007</v>
      </c>
      <c r="Q42" s="2862">
        <f t="shared" si="21"/>
        <v>61.950576184293965</v>
      </c>
      <c r="R42" s="2862">
        <f t="shared" si="22"/>
        <v>61.950576184293965</v>
      </c>
      <c r="S42" s="2672">
        <f t="shared" si="23"/>
        <v>61.93197354449007</v>
      </c>
      <c r="T42" s="2862"/>
      <c r="U42" s="2560"/>
      <c r="V42" s="2547" t="s">
        <v>1264</v>
      </c>
      <c r="W42" s="2647"/>
      <c r="X42" s="73">
        <f>'Car costs (CPI)'!AV43</f>
        <v>72.206487743748482</v>
      </c>
      <c r="Y42" s="73">
        <f>'Car costs (CPI)'!AW43</f>
        <v>70.745905312836584</v>
      </c>
      <c r="Z42" s="73">
        <f>'Car costs (CPI)'!AX43</f>
        <v>70.684567614690124</v>
      </c>
      <c r="AA42" s="73">
        <f>'Car costs (CPI)'!AY43</f>
        <v>70.793114599667391</v>
      </c>
      <c r="AB42" s="73">
        <f>'Car costs (CPI)'!BA43</f>
        <v>70.675018152337188</v>
      </c>
      <c r="AC42" s="73">
        <f>'Car costs (CPI)'!BB43</f>
        <v>70.654715798527249</v>
      </c>
      <c r="AD42" s="73">
        <f>'Car costs (CPI)'!BC43</f>
        <v>70.663342314910537</v>
      </c>
      <c r="AE42" s="73">
        <f>'Car costs (CPI)'!BD43</f>
        <v>70.740732809116167</v>
      </c>
      <c r="AF42" s="2861">
        <f t="shared" si="24"/>
        <v>70.684567614690124</v>
      </c>
      <c r="AG42" s="2862">
        <f t="shared" si="10"/>
        <v>70.745905312836584</v>
      </c>
      <c r="AH42" s="2862">
        <f t="shared" si="11"/>
        <v>70.663342314910537</v>
      </c>
      <c r="AI42" s="2862">
        <f t="shared" si="12"/>
        <v>70.684567614690124</v>
      </c>
      <c r="AJ42" s="2862">
        <f t="shared" si="13"/>
        <v>70.663342314910537</v>
      </c>
      <c r="AK42" s="2862">
        <f t="shared" si="14"/>
        <v>70.684567614690124</v>
      </c>
      <c r="AL42" s="2862">
        <f t="shared" si="25"/>
        <v>70.684567614690124</v>
      </c>
      <c r="AM42" s="2672">
        <f t="shared" si="15"/>
        <v>70.663342314910537</v>
      </c>
    </row>
    <row r="43" spans="1:39" ht="13.5" customHeight="1">
      <c r="A43" s="2560"/>
      <c r="B43" s="2547" t="s">
        <v>1265</v>
      </c>
      <c r="C43" s="2647"/>
      <c r="D43" s="73">
        <f>'Car costs (RPI)'!AV44</f>
        <v>62.18222133933368</v>
      </c>
      <c r="E43" s="73">
        <f>'Car costs (RPI)'!AW44</f>
        <v>60.864072970807889</v>
      </c>
      <c r="F43" s="73">
        <f>'Car costs (RPI)'!AX44</f>
        <v>60.83372778142143</v>
      </c>
      <c r="G43" s="73">
        <f>'Car costs (RPI)'!AY44</f>
        <v>60.92555528785482</v>
      </c>
      <c r="H43" s="73">
        <f>'Car costs (RPI)'!BA44</f>
        <v>60.795227672540491</v>
      </c>
      <c r="I43" s="73">
        <f>'Car costs (RPI)'!BB44</f>
        <v>60.748938486122093</v>
      </c>
      <c r="J43" s="73">
        <f>'Car costs (RPI)'!BC44</f>
        <v>60.76860686687958</v>
      </c>
      <c r="K43" s="73">
        <f>'Car costs (RPI)'!BD44</f>
        <v>60.890193762699404</v>
      </c>
      <c r="L43" s="2861">
        <f t="shared" si="16"/>
        <v>60.83372778142143</v>
      </c>
      <c r="M43" s="2862">
        <f t="shared" si="17"/>
        <v>60.864072970807889</v>
      </c>
      <c r="N43" s="2862">
        <f t="shared" si="18"/>
        <v>60.76860686687958</v>
      </c>
      <c r="O43" s="2862">
        <f t="shared" si="19"/>
        <v>60.83372778142143</v>
      </c>
      <c r="P43" s="2862">
        <f t="shared" si="20"/>
        <v>60.76860686687958</v>
      </c>
      <c r="Q43" s="2862">
        <f t="shared" si="21"/>
        <v>60.83372778142143</v>
      </c>
      <c r="R43" s="2862">
        <f t="shared" si="22"/>
        <v>60.83372778142143</v>
      </c>
      <c r="S43" s="2672">
        <f t="shared" si="23"/>
        <v>60.76860686687958</v>
      </c>
      <c r="T43" s="2862"/>
      <c r="U43" s="2560"/>
      <c r="V43" s="2547" t="s">
        <v>1265</v>
      </c>
      <c r="W43" s="2647"/>
      <c r="X43" s="73">
        <f>'Car costs (CPI)'!AV44</f>
        <v>71.777439096416614</v>
      </c>
      <c r="Y43" s="73">
        <f>'Car costs (CPI)'!AW44</f>
        <v>70.255889814257841</v>
      </c>
      <c r="Z43" s="73">
        <f>'Car costs (CPI)'!AX44</f>
        <v>70.220862117656765</v>
      </c>
      <c r="AA43" s="73">
        <f>'Car costs (CPI)'!AY44</f>
        <v>70.326859348190382</v>
      </c>
      <c r="AB43" s="73">
        <f>'Car costs (CPI)'!BA44</f>
        <v>70.17642113177871</v>
      </c>
      <c r="AC43" s="73">
        <f>'Car costs (CPI)'!BB44</f>
        <v>70.122989150942288</v>
      </c>
      <c r="AD43" s="73">
        <f>'Car costs (CPI)'!BC44</f>
        <v>70.145692521319518</v>
      </c>
      <c r="AE43" s="73">
        <f>'Car costs (CPI)'!BD44</f>
        <v>70.286041254794398</v>
      </c>
      <c r="AF43" s="2861">
        <f t="shared" si="24"/>
        <v>70.220862117656765</v>
      </c>
      <c r="AG43" s="2862">
        <f t="shared" si="10"/>
        <v>70.255889814257841</v>
      </c>
      <c r="AH43" s="2862">
        <f t="shared" si="11"/>
        <v>70.145692521319518</v>
      </c>
      <c r="AI43" s="2862">
        <f t="shared" si="12"/>
        <v>70.220862117656765</v>
      </c>
      <c r="AJ43" s="2862">
        <f t="shared" si="13"/>
        <v>70.145692521319518</v>
      </c>
      <c r="AK43" s="2862">
        <f t="shared" si="14"/>
        <v>70.220862117656765</v>
      </c>
      <c r="AL43" s="2862">
        <f t="shared" si="25"/>
        <v>70.220862117656765</v>
      </c>
      <c r="AM43" s="2672">
        <f t="shared" si="15"/>
        <v>70.145692521319518</v>
      </c>
    </row>
    <row r="44" spans="1:39" ht="13.5" customHeight="1">
      <c r="A44" s="2560"/>
      <c r="B44" s="2547" t="s">
        <v>1266</v>
      </c>
      <c r="C44" s="2647"/>
      <c r="D44" s="73">
        <f>'Car costs (RPI)'!AV45</f>
        <v>60.864068729009723</v>
      </c>
      <c r="E44" s="73">
        <f>'Car costs (RPI)'!AW45</f>
        <v>59.515974062034964</v>
      </c>
      <c r="F44" s="73">
        <f>'Car costs (RPI)'!AX45</f>
        <v>59.509148333672755</v>
      </c>
      <c r="G44" s="73">
        <f>'Car costs (RPI)'!AY45</f>
        <v>59.597282814768818</v>
      </c>
      <c r="H44" s="73">
        <f>'Car costs (RPI)'!BA45</f>
        <v>59.440052204023978</v>
      </c>
      <c r="I44" s="73">
        <f>'Car costs (RPI)'!BB45</f>
        <v>59.365910278027769</v>
      </c>
      <c r="J44" s="73">
        <f>'Car costs (RPI)'!BC45</f>
        <v>59.397413351281308</v>
      </c>
      <c r="K44" s="73">
        <f>'Car costs (RPI)'!BD45</f>
        <v>59.572146614527163</v>
      </c>
      <c r="L44" s="2861">
        <f t="shared" si="16"/>
        <v>59.509148333672755</v>
      </c>
      <c r="M44" s="2862">
        <f t="shared" si="17"/>
        <v>59.515974062034964</v>
      </c>
      <c r="N44" s="2862">
        <f t="shared" si="18"/>
        <v>59.397413351281308</v>
      </c>
      <c r="O44" s="2862">
        <f t="shared" si="19"/>
        <v>59.509148333672755</v>
      </c>
      <c r="P44" s="2862">
        <f t="shared" si="20"/>
        <v>59.397413351281308</v>
      </c>
      <c r="Q44" s="2862">
        <f t="shared" si="21"/>
        <v>59.509148333672755</v>
      </c>
      <c r="R44" s="2862">
        <f t="shared" si="22"/>
        <v>59.509148333672755</v>
      </c>
      <c r="S44" s="2672">
        <f t="shared" si="23"/>
        <v>59.397413351281308</v>
      </c>
      <c r="T44" s="2862"/>
      <c r="U44" s="2560"/>
      <c r="V44" s="2547" t="s">
        <v>1266</v>
      </c>
      <c r="W44" s="2647"/>
      <c r="X44" s="73">
        <f>'Car costs (CPI)'!AV45</f>
        <v>71.076160659219184</v>
      </c>
      <c r="Y44" s="73">
        <f>'Car costs (CPI)'!AW45</f>
        <v>69.501875614945362</v>
      </c>
      <c r="Z44" s="73">
        <f>'Car costs (CPI)'!AX45</f>
        <v>69.493904630162064</v>
      </c>
      <c r="AA44" s="73">
        <f>'Car costs (CPI)'!AY45</f>
        <v>69.596826775671119</v>
      </c>
      <c r="AB44" s="73">
        <f>'Car costs (CPI)'!BA45</f>
        <v>69.413215190326667</v>
      </c>
      <c r="AC44" s="73">
        <f>'Car costs (CPI)'!BB45</f>
        <v>69.326633344029901</v>
      </c>
      <c r="AD44" s="73">
        <f>'Car costs (CPI)'!BC45</f>
        <v>69.363422167757705</v>
      </c>
      <c r="AE44" s="73">
        <f>'Car costs (CPI)'!BD45</f>
        <v>69.567473092224603</v>
      </c>
      <c r="AF44" s="2861">
        <f t="shared" si="24"/>
        <v>69.493904630162064</v>
      </c>
      <c r="AG44" s="2862">
        <f t="shared" si="10"/>
        <v>69.501875614945362</v>
      </c>
      <c r="AH44" s="2862">
        <f t="shared" si="11"/>
        <v>69.363422167757705</v>
      </c>
      <c r="AI44" s="2862">
        <f t="shared" si="12"/>
        <v>69.493904630162064</v>
      </c>
      <c r="AJ44" s="2862">
        <f t="shared" si="13"/>
        <v>69.363422167757705</v>
      </c>
      <c r="AK44" s="2862">
        <f t="shared" si="14"/>
        <v>69.493904630162064</v>
      </c>
      <c r="AL44" s="2862">
        <f t="shared" si="25"/>
        <v>69.493904630162064</v>
      </c>
      <c r="AM44" s="2672">
        <f t="shared" si="15"/>
        <v>69.363422167757705</v>
      </c>
    </row>
    <row r="45" spans="1:39" ht="13.5" customHeight="1">
      <c r="A45" s="2560"/>
      <c r="B45" s="2547" t="s">
        <v>1267</v>
      </c>
      <c r="C45" s="2647"/>
      <c r="D45" s="73">
        <f>'Car costs (RPI)'!AV46</f>
        <v>59.537067670247055</v>
      </c>
      <c r="E45" s="73">
        <f>'Car costs (RPI)'!AW46</f>
        <v>58.161682846249505</v>
      </c>
      <c r="F45" s="73">
        <f>'Car costs (RPI)'!AX46</f>
        <v>58.17706557049992</v>
      </c>
      <c r="G45" s="73">
        <f>'Car costs (RPI)'!AY46</f>
        <v>58.261737545585881</v>
      </c>
      <c r="H45" s="73">
        <f>'Car costs (RPI)'!BA46</f>
        <v>58.079161904157402</v>
      </c>
      <c r="I45" s="73">
        <f>'Car costs (RPI)'!BB46</f>
        <v>57.978693767546375</v>
      </c>
      <c r="J45" s="73">
        <f>'Car costs (RPI)'!BC46</f>
        <v>58.021382907662137</v>
      </c>
      <c r="K45" s="73">
        <f>'Car costs (RPI)'!BD46</f>
        <v>58.246260363789062</v>
      </c>
      <c r="L45" s="2861">
        <f t="shared" si="16"/>
        <v>58.17706557049992</v>
      </c>
      <c r="M45" s="2862">
        <f t="shared" si="17"/>
        <v>58.161682846249505</v>
      </c>
      <c r="N45" s="2862">
        <f t="shared" si="18"/>
        <v>58.021382907662137</v>
      </c>
      <c r="O45" s="2862">
        <f t="shared" si="19"/>
        <v>58.17706557049992</v>
      </c>
      <c r="P45" s="2862">
        <f t="shared" si="20"/>
        <v>58.021382907662137</v>
      </c>
      <c r="Q45" s="2862">
        <f t="shared" si="21"/>
        <v>58.17706557049992</v>
      </c>
      <c r="R45" s="2862">
        <f t="shared" si="22"/>
        <v>58.17706557049992</v>
      </c>
      <c r="S45" s="2672">
        <f t="shared" si="23"/>
        <v>58.021382907662137</v>
      </c>
      <c r="T45" s="2862"/>
      <c r="U45" s="2560"/>
      <c r="V45" s="2547" t="s">
        <v>1267</v>
      </c>
      <c r="W45" s="2647"/>
      <c r="X45" s="73">
        <f>'Car costs (CPI)'!AV46</f>
        <v>70.338980647326906</v>
      </c>
      <c r="Y45" s="73">
        <f>'Car costs (CPI)'!AW46</f>
        <v>68.714057380134548</v>
      </c>
      <c r="Z45" s="73">
        <f>'Car costs (CPI)'!AX46</f>
        <v>68.732231018603699</v>
      </c>
      <c r="AA45" s="73">
        <f>'Car costs (CPI)'!AY46</f>
        <v>68.832265176314138</v>
      </c>
      <c r="AB45" s="73">
        <f>'Car costs (CPI)'!BA46</f>
        <v>68.616564521047763</v>
      </c>
      <c r="AC45" s="73">
        <f>'Car costs (CPI)'!BB46</f>
        <v>68.497868276954975</v>
      </c>
      <c r="AD45" s="73">
        <f>'Car costs (CPI)'!BC46</f>
        <v>68.548302581463972</v>
      </c>
      <c r="AE45" s="73">
        <f>'Car costs (CPI)'!BD46</f>
        <v>68.813979942702844</v>
      </c>
      <c r="AF45" s="2861">
        <f t="shared" si="24"/>
        <v>68.732231018603699</v>
      </c>
      <c r="AG45" s="2862">
        <f t="shared" si="10"/>
        <v>68.714057380134548</v>
      </c>
      <c r="AH45" s="2862">
        <f t="shared" si="11"/>
        <v>68.548302581463972</v>
      </c>
      <c r="AI45" s="2862">
        <f t="shared" si="12"/>
        <v>68.732231018603699</v>
      </c>
      <c r="AJ45" s="2862">
        <f t="shared" si="13"/>
        <v>68.548302581463972</v>
      </c>
      <c r="AK45" s="2862">
        <f t="shared" si="14"/>
        <v>68.732231018603699</v>
      </c>
      <c r="AL45" s="2862">
        <f t="shared" si="25"/>
        <v>68.732231018603699</v>
      </c>
      <c r="AM45" s="2672">
        <f t="shared" si="15"/>
        <v>68.548302581463972</v>
      </c>
    </row>
    <row r="46" spans="1:39" ht="13.5" customHeight="1">
      <c r="A46" s="2560"/>
      <c r="B46" s="2547" t="s">
        <v>1268</v>
      </c>
      <c r="C46" s="2647"/>
      <c r="D46" s="73">
        <f>'Car costs (RPI)'!AV47</f>
        <v>58.503682626314657</v>
      </c>
      <c r="E46" s="73">
        <f>'Car costs (RPI)'!AW47</f>
        <v>57.115609751083738</v>
      </c>
      <c r="F46" s="73">
        <f>'Car costs (RPI)'!AX47</f>
        <v>57.148208192354637</v>
      </c>
      <c r="G46" s="73">
        <f>'Car costs (RPI)'!AY47</f>
        <v>57.232139093084527</v>
      </c>
      <c r="H46" s="73">
        <f>'Car costs (RPI)'!BA47</f>
        <v>57.021227150937143</v>
      </c>
      <c r="I46" s="73">
        <f>'Car costs (RPI)'!BB47</f>
        <v>56.900773162280373</v>
      </c>
      <c r="J46" s="73">
        <f>'Car costs (RPI)'!BC47</f>
        <v>56.951954336458797</v>
      </c>
      <c r="K46" s="73">
        <f>'Car costs (RPI)'!BD47</f>
        <v>57.220927997978244</v>
      </c>
      <c r="L46" s="2861">
        <f t="shared" si="16"/>
        <v>57.148208192354637</v>
      </c>
      <c r="M46" s="2862">
        <f t="shared" si="17"/>
        <v>57.115609751083738</v>
      </c>
      <c r="N46" s="2862">
        <f t="shared" si="18"/>
        <v>56.951954336458797</v>
      </c>
      <c r="O46" s="2862">
        <f t="shared" si="19"/>
        <v>57.148208192354637</v>
      </c>
      <c r="P46" s="2862">
        <f t="shared" si="20"/>
        <v>56.951954336458797</v>
      </c>
      <c r="Q46" s="2862">
        <f t="shared" si="21"/>
        <v>57.148208192354637</v>
      </c>
      <c r="R46" s="2862">
        <f t="shared" si="22"/>
        <v>57.148208192354637</v>
      </c>
      <c r="S46" s="2672">
        <f t="shared" si="23"/>
        <v>56.951954336458797</v>
      </c>
      <c r="T46" s="2862"/>
      <c r="U46" s="2560"/>
      <c r="V46" s="2547" t="s">
        <v>1268</v>
      </c>
      <c r="W46" s="2647"/>
      <c r="X46" s="73">
        <f>'Car costs (CPI)'!AV47</f>
        <v>69.927263810746823</v>
      </c>
      <c r="Y46" s="73">
        <f>'Car costs (CPI)'!AW47</f>
        <v>68.268152216784429</v>
      </c>
      <c r="Z46" s="73">
        <f>'Car costs (CPI)'!AX47</f>
        <v>68.307115914456759</v>
      </c>
      <c r="AA46" s="73">
        <f>'Car costs (CPI)'!AY47</f>
        <v>68.407435381091034</v>
      </c>
      <c r="AB46" s="73">
        <f>'Car costs (CPI)'!BA47</f>
        <v>68.155340224729997</v>
      </c>
      <c r="AC46" s="73">
        <f>'Car costs (CPI)'!BB47</f>
        <v>68.011366077056948</v>
      </c>
      <c r="AD46" s="73">
        <f>'Car costs (CPI)'!BC47</f>
        <v>68.072541020381081</v>
      </c>
      <c r="AE46" s="73">
        <f>'Car costs (CPI)'!BD47</f>
        <v>68.394035178404451</v>
      </c>
      <c r="AF46" s="2861">
        <f t="shared" si="24"/>
        <v>68.307115914456759</v>
      </c>
      <c r="AG46" s="2862">
        <f t="shared" si="10"/>
        <v>68.268152216784429</v>
      </c>
      <c r="AH46" s="2862">
        <f t="shared" si="11"/>
        <v>68.072541020381081</v>
      </c>
      <c r="AI46" s="2862">
        <f t="shared" si="12"/>
        <v>68.307115914456759</v>
      </c>
      <c r="AJ46" s="2862">
        <f t="shared" si="13"/>
        <v>68.072541020381081</v>
      </c>
      <c r="AK46" s="2862">
        <f t="shared" si="14"/>
        <v>68.307115914456759</v>
      </c>
      <c r="AL46" s="2862">
        <f t="shared" si="25"/>
        <v>68.307115914456759</v>
      </c>
      <c r="AM46" s="2672">
        <f t="shared" si="15"/>
        <v>68.072541020381081</v>
      </c>
    </row>
    <row r="47" spans="1:39" ht="13.5" customHeight="1">
      <c r="A47" s="2560"/>
      <c r="B47" s="2547" t="s">
        <v>1269</v>
      </c>
      <c r="C47" s="2647"/>
      <c r="D47" s="73">
        <f>'Car costs (RPI)'!AV48</f>
        <v>57.260404580933972</v>
      </c>
      <c r="E47" s="73">
        <f>'Car costs (RPI)'!AW48</f>
        <v>55.879394640535914</v>
      </c>
      <c r="F47" s="73">
        <f>'Car costs (RPI)'!AX48</f>
        <v>55.927463479788614</v>
      </c>
      <c r="G47" s="73">
        <f>'Car costs (RPI)'!AY48</f>
        <v>56.012069816340578</v>
      </c>
      <c r="H47" s="73">
        <f>'Car costs (RPI)'!BA48</f>
        <v>55.767414415545801</v>
      </c>
      <c r="I47" s="73">
        <f>'Car costs (RPI)'!BB48</f>
        <v>55.630137274663532</v>
      </c>
      <c r="J47" s="73">
        <f>'Car costs (RPI)'!BC48</f>
        <v>55.688466644546281</v>
      </c>
      <c r="K47" s="73">
        <f>'Car costs (RPI)'!BD48</f>
        <v>56.000970740730303</v>
      </c>
      <c r="L47" s="2861">
        <f t="shared" si="16"/>
        <v>55.927463479788614</v>
      </c>
      <c r="M47" s="2862">
        <f t="shared" si="17"/>
        <v>55.879394640535914</v>
      </c>
      <c r="N47" s="2862">
        <f t="shared" si="18"/>
        <v>55.688466644546281</v>
      </c>
      <c r="O47" s="2862">
        <f t="shared" si="19"/>
        <v>55.927463479788614</v>
      </c>
      <c r="P47" s="2862">
        <f t="shared" si="20"/>
        <v>55.688466644546281</v>
      </c>
      <c r="Q47" s="2862">
        <f t="shared" si="21"/>
        <v>55.927463479788614</v>
      </c>
      <c r="R47" s="2862">
        <f t="shared" si="22"/>
        <v>55.927463479788614</v>
      </c>
      <c r="S47" s="2672">
        <f t="shared" si="23"/>
        <v>55.688466644546281</v>
      </c>
      <c r="T47" s="2862"/>
      <c r="U47" s="2560"/>
      <c r="V47" s="2547" t="s">
        <v>1269</v>
      </c>
      <c r="W47" s="2647"/>
      <c r="X47" s="73">
        <f>'Car costs (CPI)'!AV48</f>
        <v>69.24430586843323</v>
      </c>
      <c r="Y47" s="73">
        <f>'Car costs (CPI)'!AW48</f>
        <v>67.574267463707898</v>
      </c>
      <c r="Z47" s="73">
        <f>'Car costs (CPI)'!AX48</f>
        <v>67.632396522213767</v>
      </c>
      <c r="AA47" s="73">
        <f>'Car costs (CPI)'!AY48</f>
        <v>67.734709928650332</v>
      </c>
      <c r="AB47" s="73">
        <f>'Car costs (CPI)'!BA48</f>
        <v>67.438851149289931</v>
      </c>
      <c r="AC47" s="73">
        <f>'Car costs (CPI)'!BB48</f>
        <v>67.272843584349317</v>
      </c>
      <c r="AD47" s="73">
        <f>'Car costs (CPI)'!BC48</f>
        <v>67.343380576863311</v>
      </c>
      <c r="AE47" s="73">
        <f>'Car costs (CPI)'!BD48</f>
        <v>67.721287952469069</v>
      </c>
      <c r="AF47" s="2861">
        <f t="shared" si="24"/>
        <v>67.632396522213767</v>
      </c>
      <c r="AG47" s="2862">
        <f t="shared" si="10"/>
        <v>67.574267463707898</v>
      </c>
      <c r="AH47" s="2862">
        <f t="shared" si="11"/>
        <v>67.343380576863311</v>
      </c>
      <c r="AI47" s="2862">
        <f t="shared" si="12"/>
        <v>67.632396522213767</v>
      </c>
      <c r="AJ47" s="2862">
        <f t="shared" si="13"/>
        <v>67.343380576863311</v>
      </c>
      <c r="AK47" s="2862">
        <f t="shared" si="14"/>
        <v>67.632396522213767</v>
      </c>
      <c r="AL47" s="2862">
        <f t="shared" si="25"/>
        <v>67.632396522213767</v>
      </c>
      <c r="AM47" s="2672">
        <f t="shared" si="15"/>
        <v>67.343380576863311</v>
      </c>
    </row>
    <row r="48" spans="1:39" ht="13.5" customHeight="1">
      <c r="A48" s="2560"/>
      <c r="B48" s="2547" t="s">
        <v>1270</v>
      </c>
      <c r="C48" s="2647"/>
      <c r="D48" s="73">
        <f>'Car costs (RPI)'!AV49</f>
        <v>55.8565164056767</v>
      </c>
      <c r="E48" s="73">
        <f>'Car costs (RPI)'!AW49</f>
        <v>54.470274616363213</v>
      </c>
      <c r="F48" s="73">
        <f>'Car costs (RPI)'!AX49</f>
        <v>54.535466468845186</v>
      </c>
      <c r="G48" s="73">
        <f>'Car costs (RPI)'!AY49</f>
        <v>54.620866417427187</v>
      </c>
      <c r="H48" s="73">
        <f>'Car costs (RPI)'!BA49</f>
        <v>54.3422296817362</v>
      </c>
      <c r="I48" s="73">
        <f>'Car costs (RPI)'!BB49</f>
        <v>54.184207198992972</v>
      </c>
      <c r="J48" s="73">
        <f>'Car costs (RPI)'!BC49</f>
        <v>54.251351311891021</v>
      </c>
      <c r="K48" s="73">
        <f>'Car costs (RPI)'!BD49</f>
        <v>54.611367533491524</v>
      </c>
      <c r="L48" s="2861">
        <f t="shared" si="16"/>
        <v>54.535466468845186</v>
      </c>
      <c r="M48" s="2862">
        <f t="shared" si="17"/>
        <v>54.470274616363213</v>
      </c>
      <c r="N48" s="2862">
        <f t="shared" si="18"/>
        <v>54.251351311891021</v>
      </c>
      <c r="O48" s="2862">
        <f t="shared" si="19"/>
        <v>54.535466468845186</v>
      </c>
      <c r="P48" s="2862">
        <f t="shared" si="20"/>
        <v>54.251351311891021</v>
      </c>
      <c r="Q48" s="2862">
        <f t="shared" si="21"/>
        <v>54.535466468845186</v>
      </c>
      <c r="R48" s="2862">
        <f t="shared" si="22"/>
        <v>54.535466468845186</v>
      </c>
      <c r="S48" s="2672">
        <f t="shared" si="23"/>
        <v>54.251351311891021</v>
      </c>
      <c r="T48" s="2862"/>
      <c r="U48" s="2560"/>
      <c r="V48" s="2547" t="s">
        <v>1270</v>
      </c>
      <c r="W48" s="2647"/>
      <c r="X48" s="73">
        <f>'Car costs (CPI)'!AV49</f>
        <v>68.334578220688087</v>
      </c>
      <c r="Y48" s="73">
        <f>'Car costs (CPI)'!AW49</f>
        <v>66.638657062686875</v>
      </c>
      <c r="Z48" s="73">
        <f>'Car costs (CPI)'!AX49</f>
        <v>66.718412443606553</v>
      </c>
      <c r="AA48" s="73">
        <f>'Car costs (CPI)'!AY49</f>
        <v>66.82289030656591</v>
      </c>
      <c r="AB48" s="73">
        <f>'Car costs (CPI)'!BA49</f>
        <v>66.482007540588441</v>
      </c>
      <c r="AC48" s="73">
        <f>'Car costs (CPI)'!BB49</f>
        <v>66.288683638517341</v>
      </c>
      <c r="AD48" s="73">
        <f>'Car costs (CPI)'!BC49</f>
        <v>66.370827404905597</v>
      </c>
      <c r="AE48" s="73">
        <f>'Car costs (CPI)'!BD49</f>
        <v>66.811269420247186</v>
      </c>
      <c r="AF48" s="2861">
        <f t="shared" si="24"/>
        <v>66.718412443606553</v>
      </c>
      <c r="AG48" s="2862">
        <f t="shared" si="10"/>
        <v>66.638657062686875</v>
      </c>
      <c r="AH48" s="2862">
        <f t="shared" si="11"/>
        <v>66.370827404905597</v>
      </c>
      <c r="AI48" s="2862">
        <f t="shared" si="12"/>
        <v>66.718412443606553</v>
      </c>
      <c r="AJ48" s="2862">
        <f t="shared" si="13"/>
        <v>66.370827404905597</v>
      </c>
      <c r="AK48" s="2862">
        <f t="shared" si="14"/>
        <v>66.718412443606553</v>
      </c>
      <c r="AL48" s="2862">
        <f t="shared" si="25"/>
        <v>66.718412443606553</v>
      </c>
      <c r="AM48" s="2672">
        <f t="shared" si="15"/>
        <v>66.370827404905597</v>
      </c>
    </row>
    <row r="49" spans="1:39" ht="13.5" customHeight="1">
      <c r="A49" s="2560"/>
      <c r="B49" s="2547" t="s">
        <v>1271</v>
      </c>
      <c r="C49" s="2647"/>
      <c r="D49" s="73">
        <f>'Car costs (RPI)'!AV50</f>
        <v>54.673060710725657</v>
      </c>
      <c r="E49" s="73">
        <f>'Car costs (RPI)'!AW50</f>
        <v>53.282822217837953</v>
      </c>
      <c r="F49" s="73">
        <f>'Car costs (RPI)'!AX50</f>
        <v>53.361604747295651</v>
      </c>
      <c r="G49" s="73">
        <f>'Car costs (RPI)'!AY50</f>
        <v>53.449212227575067</v>
      </c>
      <c r="H49" s="73">
        <f>'Car costs (RPI)'!BA50</f>
        <v>53.138488235190415</v>
      </c>
      <c r="I49" s="73">
        <f>'Car costs (RPI)'!BB50</f>
        <v>52.963393500636329</v>
      </c>
      <c r="J49" s="73">
        <f>'Car costs (RPI)'!BC50</f>
        <v>53.037791652219951</v>
      </c>
      <c r="K49" s="73">
        <f>'Car costs (RPI)'!BD50</f>
        <v>53.43922422765111</v>
      </c>
      <c r="L49" s="2861">
        <f>F49</f>
        <v>53.361604747295651</v>
      </c>
      <c r="M49" s="2862">
        <f t="shared" si="17"/>
        <v>53.282822217837953</v>
      </c>
      <c r="N49" s="2862">
        <f t="shared" si="18"/>
        <v>53.037791652219951</v>
      </c>
      <c r="O49" s="2862">
        <f t="shared" si="19"/>
        <v>53.361604747295651</v>
      </c>
      <c r="P49" s="2862">
        <f t="shared" si="20"/>
        <v>53.037791652219951</v>
      </c>
      <c r="Q49" s="2862">
        <f t="shared" si="21"/>
        <v>53.361604747295651</v>
      </c>
      <c r="R49" s="2862">
        <f t="shared" si="22"/>
        <v>53.361604747295651</v>
      </c>
      <c r="S49" s="2672">
        <f t="shared" si="23"/>
        <v>53.037791652219951</v>
      </c>
      <c r="T49" s="2862"/>
      <c r="U49" s="2560"/>
      <c r="V49" s="2547" t="s">
        <v>1271</v>
      </c>
      <c r="W49" s="2647"/>
      <c r="X49" s="73">
        <f>'Car costs (CPI)'!AV50</f>
        <v>67.662903980599978</v>
      </c>
      <c r="Y49" s="73">
        <f>'Car costs (CPI)'!AW50</f>
        <v>65.942356924489374</v>
      </c>
      <c r="Z49" s="73">
        <f>'Car costs (CPI)'!AX50</f>
        <v>66.039857497106837</v>
      </c>
      <c r="AA49" s="73">
        <f>'Car costs (CPI)'!AY50</f>
        <v>66.148279752035876</v>
      </c>
      <c r="AB49" s="73">
        <f>'Car costs (CPI)'!BA50</f>
        <v>65.763730444060741</v>
      </c>
      <c r="AC49" s="73">
        <f>'Car costs (CPI)'!BB50</f>
        <v>65.547034724859543</v>
      </c>
      <c r="AD49" s="73">
        <f>'Car costs (CPI)'!BC50</f>
        <v>65.639109229588144</v>
      </c>
      <c r="AE49" s="73">
        <f>'Car costs (CPI)'!BD50</f>
        <v>66.135918690280263</v>
      </c>
      <c r="AF49" s="2861">
        <f>Z49</f>
        <v>66.039857497106837</v>
      </c>
      <c r="AG49" s="2862">
        <f t="shared" si="10"/>
        <v>65.942356924489374</v>
      </c>
      <c r="AH49" s="2862">
        <f t="shared" si="11"/>
        <v>65.639109229588144</v>
      </c>
      <c r="AI49" s="2862">
        <f t="shared" si="12"/>
        <v>66.039857497106837</v>
      </c>
      <c r="AJ49" s="2862">
        <f t="shared" si="13"/>
        <v>65.639109229588144</v>
      </c>
      <c r="AK49" s="2862">
        <f t="shared" si="14"/>
        <v>66.039857497106837</v>
      </c>
      <c r="AL49" s="2862">
        <f t="shared" si="25"/>
        <v>66.039857497106837</v>
      </c>
      <c r="AM49" s="2672">
        <f t="shared" si="15"/>
        <v>65.639109229588144</v>
      </c>
    </row>
    <row r="50" spans="1:39" ht="13.5" customHeight="1">
      <c r="A50" s="2560"/>
      <c r="B50" s="2547" t="s">
        <v>1272</v>
      </c>
      <c r="C50" s="2647"/>
      <c r="D50" s="73">
        <f>'Car costs (RPI)'!AV51</f>
        <v>53.523755781169214</v>
      </c>
      <c r="E50" s="73">
        <f>'Car costs (RPI)'!AW51</f>
        <v>52.13495659889491</v>
      </c>
      <c r="F50" s="73">
        <f>'Car costs (RPI)'!AX51</f>
        <v>52.224752156348416</v>
      </c>
      <c r="G50" s="73">
        <f>'Car costs (RPI)'!AY51</f>
        <v>52.315398000027216</v>
      </c>
      <c r="H50" s="73">
        <f>'Car costs (RPI)'!BA51</f>
        <v>51.973852852038398</v>
      </c>
      <c r="I50" s="73">
        <f>'Car costs (RPI)'!BB51</f>
        <v>51.784799192265439</v>
      </c>
      <c r="J50" s="73">
        <f>'Car costs (RPI)'!BC51</f>
        <v>51.865128522973457</v>
      </c>
      <c r="K50" s="73">
        <f>'Car costs (RPI)'!BD51</f>
        <v>52.303116504912964</v>
      </c>
      <c r="L50" s="2861">
        <f t="shared" si="16"/>
        <v>52.224752156348416</v>
      </c>
      <c r="M50" s="2862">
        <f t="shared" si="17"/>
        <v>52.13495659889491</v>
      </c>
      <c r="N50" s="2862">
        <f t="shared" si="18"/>
        <v>51.865128522973457</v>
      </c>
      <c r="O50" s="2862">
        <f t="shared" si="19"/>
        <v>52.224752156348416</v>
      </c>
      <c r="P50" s="2862">
        <f t="shared" si="20"/>
        <v>51.865128522973457</v>
      </c>
      <c r="Q50" s="2862">
        <f t="shared" si="21"/>
        <v>52.224752156348416</v>
      </c>
      <c r="R50" s="2862">
        <f t="shared" si="22"/>
        <v>52.224752156348416</v>
      </c>
      <c r="S50" s="2672">
        <f>J50</f>
        <v>51.865128522973457</v>
      </c>
      <c r="T50" s="2862"/>
      <c r="U50" s="2560"/>
      <c r="V50" s="2547" t="s">
        <v>1272</v>
      </c>
      <c r="W50" s="2647"/>
      <c r="X50" s="73">
        <f>'Car costs (CPI)'!AV51</f>
        <v>67.005494906033377</v>
      </c>
      <c r="Y50" s="73">
        <f>'Car costs (CPI)'!AW51</f>
        <v>65.266880431484054</v>
      </c>
      <c r="Z50" s="73">
        <f>'Car costs (CPI)'!AX51</f>
        <v>65.379293988412584</v>
      </c>
      <c r="AA50" s="73">
        <f>'Car costs (CPI)'!AY51</f>
        <v>65.492772004449151</v>
      </c>
      <c r="AB50" s="73">
        <f>'Car costs (CPI)'!BA51</f>
        <v>65.065197344567068</v>
      </c>
      <c r="AC50" s="73">
        <f>'Car costs (CPI)'!BB51</f>
        <v>64.828524229013013</v>
      </c>
      <c r="AD50" s="73">
        <f>'Car costs (CPI)'!BC51</f>
        <v>64.929087174961111</v>
      </c>
      <c r="AE50" s="73">
        <f>'Car costs (CPI)'!BD51</f>
        <v>65.477397006071229</v>
      </c>
      <c r="AF50" s="2861">
        <f t="shared" ref="AF50:AF67" si="26">Z50</f>
        <v>65.379293988412584</v>
      </c>
      <c r="AG50" s="2862">
        <f t="shared" si="10"/>
        <v>65.266880431484054</v>
      </c>
      <c r="AH50" s="2862">
        <f t="shared" si="11"/>
        <v>64.929087174961111</v>
      </c>
      <c r="AI50" s="2862">
        <f t="shared" si="12"/>
        <v>65.379293988412584</v>
      </c>
      <c r="AJ50" s="2862">
        <f t="shared" si="13"/>
        <v>64.929087174961111</v>
      </c>
      <c r="AK50" s="2862">
        <f t="shared" si="14"/>
        <v>65.379293988412584</v>
      </c>
      <c r="AL50" s="2862">
        <f t="shared" si="25"/>
        <v>65.379293988412584</v>
      </c>
      <c r="AM50" s="2672">
        <f>AD50</f>
        <v>64.929087174961111</v>
      </c>
    </row>
    <row r="51" spans="1:39" ht="13.5" customHeight="1">
      <c r="A51" s="2560"/>
      <c r="B51" s="2547" t="s">
        <v>1680</v>
      </c>
      <c r="C51" s="2647"/>
      <c r="D51" s="73">
        <f>'Car costs (RPI)'!AV52</f>
        <v>52.355913555087994</v>
      </c>
      <c r="E51" s="73">
        <f>'Car costs (RPI)'!AW52</f>
        <v>50.974506818564947</v>
      </c>
      <c r="F51" s="73">
        <f>'Car costs (RPI)'!AX52</f>
        <v>51.073365715588764</v>
      </c>
      <c r="G51" s="73">
        <f>'Car costs (RPI)'!AY52</f>
        <v>51.167537556358695</v>
      </c>
      <c r="H51" s="73">
        <f>'Car costs (RPI)'!BA52</f>
        <v>50.796314504894255</v>
      </c>
      <c r="I51" s="73">
        <f>'Car costs (RPI)'!BB52</f>
        <v>50.595878532785996</v>
      </c>
      <c r="J51" s="73">
        <f>'Car costs (RPI)'!BC52</f>
        <v>50.681044233934564</v>
      </c>
      <c r="K51" s="73">
        <f>'Car costs (RPI)'!BD52</f>
        <v>51.151566707844758</v>
      </c>
      <c r="L51" s="2861">
        <f t="shared" si="16"/>
        <v>51.073365715588764</v>
      </c>
      <c r="M51" s="2862">
        <f t="shared" si="17"/>
        <v>50.974506818564947</v>
      </c>
      <c r="N51" s="2862">
        <f t="shared" si="18"/>
        <v>50.681044233934564</v>
      </c>
      <c r="O51" s="2862">
        <f t="shared" si="19"/>
        <v>51.073365715588764</v>
      </c>
      <c r="P51" s="2862">
        <f t="shared" si="20"/>
        <v>50.681044233934564</v>
      </c>
      <c r="Q51" s="2862">
        <f t="shared" si="21"/>
        <v>51.073365715588764</v>
      </c>
      <c r="R51" s="2862">
        <f t="shared" si="22"/>
        <v>51.073365715588764</v>
      </c>
      <c r="S51" s="2672">
        <f t="shared" si="23"/>
        <v>50.681044233934564</v>
      </c>
      <c r="T51" s="2862"/>
      <c r="U51" s="2560"/>
      <c r="V51" s="2547" t="s">
        <v>1680</v>
      </c>
      <c r="W51" s="2647"/>
      <c r="X51" s="73">
        <f>'Car costs (CPI)'!AV52</f>
        <v>66.297068650116458</v>
      </c>
      <c r="Y51" s="73">
        <f>'Car costs (CPI)'!AW52</f>
        <v>64.547825612868337</v>
      </c>
      <c r="Z51" s="73">
        <f>'Car costs (CPI)'!AX52</f>
        <v>64.673008321709176</v>
      </c>
      <c r="AA51" s="73">
        <f>'Car costs (CPI)'!AY52</f>
        <v>64.792255920853123</v>
      </c>
      <c r="AB51" s="73">
        <f>'Car costs (CPI)'!BA52</f>
        <v>64.322184854257202</v>
      </c>
      <c r="AC51" s="73">
        <f>'Car costs (CPI)'!BB52</f>
        <v>64.068377471279689</v>
      </c>
      <c r="AD51" s="73">
        <f>'Car costs (CPI)'!BC52</f>
        <v>64.176220806488445</v>
      </c>
      <c r="AE51" s="73">
        <f>'Car costs (CPI)'!BD52</f>
        <v>64.772032408962431</v>
      </c>
      <c r="AF51" s="2861">
        <f t="shared" si="26"/>
        <v>64.673008321709176</v>
      </c>
      <c r="AG51" s="2862">
        <f t="shared" si="10"/>
        <v>64.547825612868337</v>
      </c>
      <c r="AH51" s="2862">
        <f t="shared" si="11"/>
        <v>64.176220806488445</v>
      </c>
      <c r="AI51" s="2862">
        <f t="shared" si="12"/>
        <v>64.673008321709176</v>
      </c>
      <c r="AJ51" s="2862">
        <f t="shared" si="13"/>
        <v>64.176220806488445</v>
      </c>
      <c r="AK51" s="2862">
        <f t="shared" si="14"/>
        <v>64.673008321709176</v>
      </c>
      <c r="AL51" s="2862">
        <f t="shared" si="25"/>
        <v>64.673008321709176</v>
      </c>
      <c r="AM51" s="2672">
        <f t="shared" ref="AM51:AM67" si="27">AD51</f>
        <v>64.176220806488445</v>
      </c>
    </row>
    <row r="52" spans="1:39" ht="13.5" customHeight="1">
      <c r="A52" s="2560"/>
      <c r="B52" s="2547" t="s">
        <v>1979</v>
      </c>
      <c r="C52" s="2647"/>
      <c r="D52" s="73">
        <f>'Car costs (RPI)'!AV53</f>
        <v>51.565954625909605</v>
      </c>
      <c r="E52" s="73">
        <f>'Car costs (RPI)'!AW53</f>
        <v>50.168382827127857</v>
      </c>
      <c r="F52" s="73">
        <f>'Car costs (RPI)'!AX53</f>
        <v>50.276162794991841</v>
      </c>
      <c r="G52" s="73">
        <f>'Car costs (RPI)'!AY53</f>
        <v>50.373662073934184</v>
      </c>
      <c r="H52" s="73">
        <f>'Car costs (RPI)'!BA53</f>
        <v>49.980155205800095</v>
      </c>
      <c r="I52" s="73">
        <f>'Car costs (RPI)'!BB53</f>
        <v>49.765967989694374</v>
      </c>
      <c r="J52" s="73">
        <f>'Car costs (RPI)'!BC53</f>
        <v>49.856976625743251</v>
      </c>
      <c r="K52" s="73">
        <f>'Car costs (RPI)'!BD53</f>
        <v>50.357048887212834</v>
      </c>
      <c r="L52" s="2861">
        <f t="shared" ref="L52:L67" si="28">F52</f>
        <v>50.276162794991841</v>
      </c>
      <c r="M52" s="2862">
        <f t="shared" ref="M52:M67" si="29">E52</f>
        <v>50.168382827127857</v>
      </c>
      <c r="N52" s="2862">
        <f t="shared" ref="N52:N67" si="30">J52</f>
        <v>49.856976625743251</v>
      </c>
      <c r="O52" s="2862">
        <f t="shared" ref="O52:O67" si="31">F52</f>
        <v>50.276162794991841</v>
      </c>
      <c r="P52" s="2862">
        <f t="shared" ref="P52:P67" si="32">J52</f>
        <v>49.856976625743251</v>
      </c>
      <c r="Q52" s="2862">
        <f t="shared" ref="Q52:Q67" si="33">F52</f>
        <v>50.276162794991841</v>
      </c>
      <c r="R52" s="2862">
        <f t="shared" ref="R52:R67" si="34">F52</f>
        <v>50.276162794991841</v>
      </c>
      <c r="S52" s="2672">
        <f t="shared" ref="S52:S67" si="35">J52</f>
        <v>49.856976625743251</v>
      </c>
      <c r="T52" s="2862"/>
      <c r="U52" s="2560"/>
      <c r="V52" s="2547" t="s">
        <v>1979</v>
      </c>
      <c r="W52" s="2647"/>
      <c r="X52" s="73">
        <f>'Car costs (CPI)'!AV53</f>
        <v>66.044461817634371</v>
      </c>
      <c r="Y52" s="73">
        <f>'Car costs (CPI)'!AW53</f>
        <v>64.254484729618511</v>
      </c>
      <c r="Z52" s="73">
        <f>'Car costs (CPI)'!AX53</f>
        <v>64.392526777398658</v>
      </c>
      <c r="AA52" s="73">
        <f>'Car costs (CPI)'!AY53</f>
        <v>64.517401560616946</v>
      </c>
      <c r="AB52" s="73">
        <f>'Car costs (CPI)'!BA53</f>
        <v>64.013407219466899</v>
      </c>
      <c r="AC52" s="73">
        <f>'Car costs (CPI)'!BB53</f>
        <v>63.739081270911448</v>
      </c>
      <c r="AD52" s="73">
        <f>'Car costs (CPI)'!BC53</f>
        <v>63.855642991376236</v>
      </c>
      <c r="AE52" s="73">
        <f>'Car costs (CPI)'!BD53</f>
        <v>64.496123781817985</v>
      </c>
      <c r="AF52" s="2861">
        <f t="shared" si="26"/>
        <v>64.392526777398658</v>
      </c>
      <c r="AG52" s="2862">
        <f t="shared" si="10"/>
        <v>64.254484729618511</v>
      </c>
      <c r="AH52" s="2862">
        <f t="shared" si="11"/>
        <v>63.855642991376236</v>
      </c>
      <c r="AI52" s="2862">
        <f t="shared" si="12"/>
        <v>64.392526777398658</v>
      </c>
      <c r="AJ52" s="2862">
        <f t="shared" si="13"/>
        <v>63.855642991376236</v>
      </c>
      <c r="AK52" s="2862">
        <f t="shared" si="14"/>
        <v>64.392526777398658</v>
      </c>
      <c r="AL52" s="2862">
        <f t="shared" si="25"/>
        <v>64.392526777398658</v>
      </c>
      <c r="AM52" s="2672">
        <f t="shared" si="27"/>
        <v>63.855642991376236</v>
      </c>
    </row>
    <row r="53" spans="1:39" ht="13.5" customHeight="1">
      <c r="A53" s="2560"/>
      <c r="B53" s="2547" t="s">
        <v>1980</v>
      </c>
      <c r="C53" s="2647"/>
      <c r="D53" s="73">
        <f>'Car costs (RPI)'!AV54</f>
        <v>51.336898382892365</v>
      </c>
      <c r="E53" s="73">
        <f>'Car costs (RPI)'!AW54</f>
        <v>49.864545345904602</v>
      </c>
      <c r="F53" s="73">
        <f>'Car costs (RPI)'!AX54</f>
        <v>49.985524170328134</v>
      </c>
      <c r="G53" s="73">
        <f>'Car costs (RPI)'!AY54</f>
        <v>50.083795027991954</v>
      </c>
      <c r="H53" s="73">
        <f>'Car costs (RPI)'!BA54</f>
        <v>49.685164888607048</v>
      </c>
      <c r="I53" s="73">
        <f>'Car costs (RPI)'!BB54</f>
        <v>49.446459192132473</v>
      </c>
      <c r="J53" s="73">
        <f>'Car costs (RPI)'!BC54</f>
        <v>49.547885786343976</v>
      </c>
      <c r="K53" s="73">
        <f>'Car costs (RPI)'!BD54</f>
        <v>50.076963629464409</v>
      </c>
      <c r="L53" s="2861">
        <f t="shared" si="28"/>
        <v>49.985524170328134</v>
      </c>
      <c r="M53" s="2862">
        <f t="shared" si="29"/>
        <v>49.864545345904602</v>
      </c>
      <c r="N53" s="2862">
        <f t="shared" si="30"/>
        <v>49.547885786343976</v>
      </c>
      <c r="O53" s="2862">
        <f t="shared" si="31"/>
        <v>49.985524170328134</v>
      </c>
      <c r="P53" s="2862">
        <f t="shared" si="32"/>
        <v>49.547885786343976</v>
      </c>
      <c r="Q53" s="2862">
        <f t="shared" si="33"/>
        <v>49.985524170328134</v>
      </c>
      <c r="R53" s="2862">
        <f t="shared" si="34"/>
        <v>49.985524170328134</v>
      </c>
      <c r="S53" s="2672">
        <f t="shared" si="35"/>
        <v>49.547885786343976</v>
      </c>
      <c r="U53" s="2560"/>
      <c r="V53" s="2547" t="s">
        <v>1980</v>
      </c>
      <c r="W53" s="2647"/>
      <c r="X53" s="73">
        <f>'Car costs (CPI)'!AV54</f>
        <v>66.501183653446091</v>
      </c>
      <c r="Y53" s="73">
        <f>'Car costs (CPI)'!AW54</f>
        <v>64.593915727262583</v>
      </c>
      <c r="Z53" s="73">
        <f>'Car costs (CPI)'!AX54</f>
        <v>64.750630201151566</v>
      </c>
      <c r="AA53" s="73">
        <f>'Car costs (CPI)'!AY54</f>
        <v>64.877929055565048</v>
      </c>
      <c r="AB53" s="73">
        <f>'Car costs (CPI)'!BA54</f>
        <v>64.361548499978767</v>
      </c>
      <c r="AC53" s="73">
        <f>'Car costs (CPI)'!BB54</f>
        <v>64.052332091110756</v>
      </c>
      <c r="AD53" s="73">
        <f>'Car costs (CPI)'!BC54</f>
        <v>64.183718847643974</v>
      </c>
      <c r="AE53" s="73">
        <f>'Car costs (CPI)'!BD54</f>
        <v>64.869079746346912</v>
      </c>
      <c r="AF53" s="2861">
        <f t="shared" si="26"/>
        <v>64.750630201151566</v>
      </c>
      <c r="AG53" s="2862">
        <f t="shared" si="10"/>
        <v>64.593915727262583</v>
      </c>
      <c r="AH53" s="2862">
        <f t="shared" si="11"/>
        <v>64.183718847643974</v>
      </c>
      <c r="AI53" s="2862">
        <f t="shared" si="12"/>
        <v>64.750630201151566</v>
      </c>
      <c r="AJ53" s="2862">
        <f t="shared" si="13"/>
        <v>64.183718847643974</v>
      </c>
      <c r="AK53" s="2862">
        <f t="shared" si="14"/>
        <v>64.750630201151566</v>
      </c>
      <c r="AL53" s="2862">
        <f t="shared" si="25"/>
        <v>64.750630201151566</v>
      </c>
      <c r="AM53" s="2672">
        <f t="shared" si="27"/>
        <v>64.183718847643974</v>
      </c>
    </row>
    <row r="54" spans="1:39" ht="13.5" customHeight="1">
      <c r="A54" s="2560"/>
      <c r="B54" s="2547" t="s">
        <v>1981</v>
      </c>
      <c r="C54" s="2647"/>
      <c r="D54" s="73">
        <f>'Car costs (RPI)'!AV55</f>
        <v>51.047143310974597</v>
      </c>
      <c r="E54" s="73">
        <f>'Car costs (RPI)'!AW55</f>
        <v>49.506227592201959</v>
      </c>
      <c r="F54" s="73">
        <f>'Car costs (RPI)'!AX55</f>
        <v>49.639816005730836</v>
      </c>
      <c r="G54" s="73">
        <f>'Car costs (RPI)'!AY55</f>
        <v>49.739113068553685</v>
      </c>
      <c r="H54" s="73">
        <f>'Car costs (RPI)'!BA55</f>
        <v>49.334492565225496</v>
      </c>
      <c r="I54" s="73">
        <f>'Car costs (RPI)'!BB55</f>
        <v>49.072467908814218</v>
      </c>
      <c r="J54" s="73">
        <f>'Car costs (RPI)'!BC55</f>
        <v>49.183802782224198</v>
      </c>
      <c r="K54" s="73">
        <f>'Car costs (RPI)'!BD55</f>
        <v>49.741049884132217</v>
      </c>
      <c r="L54" s="2861">
        <f t="shared" si="28"/>
        <v>49.639816005730836</v>
      </c>
      <c r="M54" s="2862">
        <f t="shared" si="29"/>
        <v>49.506227592201959</v>
      </c>
      <c r="N54" s="2862">
        <f t="shared" si="30"/>
        <v>49.183802782224198</v>
      </c>
      <c r="O54" s="2862">
        <f t="shared" si="31"/>
        <v>49.639816005730836</v>
      </c>
      <c r="P54" s="2862">
        <f t="shared" si="32"/>
        <v>49.183802782224198</v>
      </c>
      <c r="Q54" s="2862">
        <f t="shared" si="33"/>
        <v>49.639816005730836</v>
      </c>
      <c r="R54" s="2862">
        <f t="shared" si="34"/>
        <v>49.639816005730836</v>
      </c>
      <c r="S54" s="2672">
        <f t="shared" si="35"/>
        <v>49.183802782224198</v>
      </c>
      <c r="U54" s="2560"/>
      <c r="V54" s="2547" t="s">
        <v>1981</v>
      </c>
      <c r="W54" s="2647"/>
      <c r="X54" s="73">
        <f>'Car costs (CPI)'!AV55</f>
        <v>66.877600847231818</v>
      </c>
      <c r="Y54" s="73">
        <f>'Car costs (CPI)'!AW55</f>
        <v>64.858824874764295</v>
      </c>
      <c r="Z54" s="73">
        <f>'Car costs (CPI)'!AX55</f>
        <v>65.033840987681202</v>
      </c>
      <c r="AA54" s="73">
        <f>'Car costs (CPI)'!AY55</f>
        <v>65.163931506014706</v>
      </c>
      <c r="AB54" s="73">
        <f>'Car costs (CPI)'!BA55</f>
        <v>64.633832331779985</v>
      </c>
      <c r="AC54" s="73">
        <f>'Car costs (CPI)'!BB55</f>
        <v>64.290550039236123</v>
      </c>
      <c r="AD54" s="73">
        <f>'Car costs (CPI)'!BC55</f>
        <v>64.436411467346417</v>
      </c>
      <c r="AE54" s="73">
        <f>'Car costs (CPI)'!BD55</f>
        <v>65.166468956120127</v>
      </c>
      <c r="AF54" s="2861">
        <f t="shared" si="26"/>
        <v>65.033840987681202</v>
      </c>
      <c r="AG54" s="2862">
        <f t="shared" si="10"/>
        <v>64.858824874764295</v>
      </c>
      <c r="AH54" s="2862">
        <f t="shared" si="11"/>
        <v>64.436411467346417</v>
      </c>
      <c r="AI54" s="2862">
        <f t="shared" si="12"/>
        <v>65.033840987681202</v>
      </c>
      <c r="AJ54" s="2862">
        <f t="shared" si="13"/>
        <v>64.436411467346417</v>
      </c>
      <c r="AK54" s="2862">
        <f t="shared" si="14"/>
        <v>65.033840987681202</v>
      </c>
      <c r="AL54" s="2862">
        <f t="shared" si="25"/>
        <v>65.033840987681202</v>
      </c>
      <c r="AM54" s="2672">
        <f t="shared" si="27"/>
        <v>64.436411467346417</v>
      </c>
    </row>
    <row r="55" spans="1:39" ht="13.5" customHeight="1">
      <c r="A55" s="2560"/>
      <c r="B55" s="2547" t="s">
        <v>1982</v>
      </c>
      <c r="C55" s="2647"/>
      <c r="D55" s="73">
        <f>'Car costs (RPI)'!AV56</f>
        <v>50.885995341017718</v>
      </c>
      <c r="E55" s="73">
        <f>'Car costs (RPI)'!AW56</f>
        <v>49.278283519420569</v>
      </c>
      <c r="F55" s="73">
        <f>'Car costs (RPI)'!AX56</f>
        <v>49.423469082227705</v>
      </c>
      <c r="G55" s="73">
        <f>'Car costs (RPI)'!AY56</f>
        <v>49.524660620317071</v>
      </c>
      <c r="H55" s="73">
        <f>'Car costs (RPI)'!BA56</f>
        <v>49.112645156793356</v>
      </c>
      <c r="I55" s="73">
        <f>'Car costs (RPI)'!BB56</f>
        <v>48.828460533930205</v>
      </c>
      <c r="J55" s="73">
        <f>'Car costs (RPI)'!BC56</f>
        <v>48.949211227566721</v>
      </c>
      <c r="K55" s="73">
        <f>'Car costs (RPI)'!BD56</f>
        <v>49.534079409921752</v>
      </c>
      <c r="L55" s="2861">
        <f t="shared" si="28"/>
        <v>49.423469082227705</v>
      </c>
      <c r="M55" s="2862">
        <f t="shared" si="29"/>
        <v>49.278283519420569</v>
      </c>
      <c r="N55" s="2862">
        <f t="shared" si="30"/>
        <v>48.949211227566721</v>
      </c>
      <c r="O55" s="2862">
        <f t="shared" si="31"/>
        <v>49.423469082227705</v>
      </c>
      <c r="P55" s="2862">
        <f t="shared" si="32"/>
        <v>48.949211227566721</v>
      </c>
      <c r="Q55" s="2862">
        <f t="shared" si="33"/>
        <v>49.423469082227705</v>
      </c>
      <c r="R55" s="2862">
        <f t="shared" si="34"/>
        <v>49.423469082227705</v>
      </c>
      <c r="S55" s="2672">
        <f t="shared" si="35"/>
        <v>48.949211227566721</v>
      </c>
      <c r="U55" s="2560"/>
      <c r="V55" s="2547" t="s">
        <v>1982</v>
      </c>
      <c r="W55" s="2647"/>
      <c r="X55" s="73">
        <f>'Car costs (CPI)'!AV56</f>
        <v>67.421959896271446</v>
      </c>
      <c r="Y55" s="73">
        <f>'Car costs (CPI)'!AW56</f>
        <v>65.291804413725345</v>
      </c>
      <c r="Z55" s="73">
        <f>'Car costs (CPI)'!AX56</f>
        <v>65.484169623986048</v>
      </c>
      <c r="AA55" s="73">
        <f>'Car costs (CPI)'!AY56</f>
        <v>65.618244466723851</v>
      </c>
      <c r="AB55" s="73">
        <f>'Car costs (CPI)'!BA56</f>
        <v>65.07234004111173</v>
      </c>
      <c r="AC55" s="73">
        <f>'Car costs (CPI)'!BB56</f>
        <v>64.69580649553771</v>
      </c>
      <c r="AD55" s="73">
        <f>'Car costs (CPI)'!BC56</f>
        <v>64.855796456807965</v>
      </c>
      <c r="AE55" s="73">
        <f>'Car costs (CPI)'!BD56</f>
        <v>65.630723995732623</v>
      </c>
      <c r="AF55" s="2861">
        <f t="shared" si="26"/>
        <v>65.484169623986048</v>
      </c>
      <c r="AG55" s="2862">
        <f t="shared" si="10"/>
        <v>65.291804413725345</v>
      </c>
      <c r="AH55" s="2862">
        <f t="shared" si="11"/>
        <v>64.855796456807965</v>
      </c>
      <c r="AI55" s="2862">
        <f t="shared" si="12"/>
        <v>65.484169623986048</v>
      </c>
      <c r="AJ55" s="2862">
        <f t="shared" si="13"/>
        <v>64.855796456807965</v>
      </c>
      <c r="AK55" s="2862">
        <f t="shared" si="14"/>
        <v>65.484169623986048</v>
      </c>
      <c r="AL55" s="2862">
        <f t="shared" si="25"/>
        <v>65.484169623986048</v>
      </c>
      <c r="AM55" s="2672">
        <f t="shared" si="27"/>
        <v>64.855796456807965</v>
      </c>
    </row>
    <row r="56" spans="1:39" ht="13.5" customHeight="1">
      <c r="A56" s="2560"/>
      <c r="B56" s="2547" t="s">
        <v>1983</v>
      </c>
      <c r="C56" s="2647"/>
      <c r="D56" s="73">
        <f>'Car costs (RPI)'!AV57</f>
        <v>50.748760169861377</v>
      </c>
      <c r="E56" s="73">
        <f>'Car costs (RPI)'!AW57</f>
        <v>49.074516140862627</v>
      </c>
      <c r="F56" s="73">
        <f>'Car costs (RPI)'!AX57</f>
        <v>49.231058518010997</v>
      </c>
      <c r="G56" s="73">
        <f>'Car costs (RPI)'!AY57</f>
        <v>49.334364608433503</v>
      </c>
      <c r="H56" s="73">
        <f>'Car costs (RPI)'!BA57</f>
        <v>48.914702494822286</v>
      </c>
      <c r="I56" s="73">
        <f>'Car costs (RPI)'!BB57</f>
        <v>48.608624335028139</v>
      </c>
      <c r="J56" s="73">
        <f>'Car costs (RPI)'!BC57</f>
        <v>48.738677642380821</v>
      </c>
      <c r="K56" s="73">
        <f>'Car costs (RPI)'!BD57</f>
        <v>49.350970232755103</v>
      </c>
      <c r="L56" s="2861">
        <f t="shared" si="28"/>
        <v>49.231058518010997</v>
      </c>
      <c r="M56" s="2862">
        <f t="shared" si="29"/>
        <v>49.074516140862627</v>
      </c>
      <c r="N56" s="2862">
        <f t="shared" si="30"/>
        <v>48.738677642380821</v>
      </c>
      <c r="O56" s="2862">
        <f t="shared" si="31"/>
        <v>49.231058518010997</v>
      </c>
      <c r="P56" s="2862">
        <f t="shared" si="32"/>
        <v>48.738677642380821</v>
      </c>
      <c r="Q56" s="2862">
        <f t="shared" si="33"/>
        <v>49.231058518010997</v>
      </c>
      <c r="R56" s="2862">
        <f t="shared" si="34"/>
        <v>49.231058518010997</v>
      </c>
      <c r="S56" s="2672">
        <f t="shared" si="35"/>
        <v>48.738677642380821</v>
      </c>
      <c r="U56" s="2560"/>
      <c r="V56" s="2547" t="s">
        <v>1983</v>
      </c>
      <c r="W56" s="2647"/>
      <c r="X56" s="73">
        <f>'Car costs (CPI)'!AV57</f>
        <v>67.947941399791247</v>
      </c>
      <c r="Y56" s="73">
        <f>'Car costs (CPI)'!AW57</f>
        <v>65.706282001796382</v>
      </c>
      <c r="Z56" s="73">
        <f>'Car costs (CPI)'!AX57</f>
        <v>65.915877905882695</v>
      </c>
      <c r="AA56" s="73">
        <f>'Car costs (CPI)'!AY57</f>
        <v>66.05419529836233</v>
      </c>
      <c r="AB56" s="73">
        <f>'Car costs (CPI)'!BA57</f>
        <v>65.492306168304296</v>
      </c>
      <c r="AC56" s="73">
        <f>'Car costs (CPI)'!BB57</f>
        <v>65.08249554838298</v>
      </c>
      <c r="AD56" s="73">
        <f>'Car costs (CPI)'!BC57</f>
        <v>65.256625014349666</v>
      </c>
      <c r="AE56" s="73">
        <f>'Car costs (CPI)'!BD57</f>
        <v>66.076428708292624</v>
      </c>
      <c r="AF56" s="2861">
        <f t="shared" si="26"/>
        <v>65.915877905882695</v>
      </c>
      <c r="AG56" s="2862">
        <f t="shared" si="10"/>
        <v>65.706282001796382</v>
      </c>
      <c r="AH56" s="2862">
        <f t="shared" si="11"/>
        <v>65.256625014349666</v>
      </c>
      <c r="AI56" s="2862">
        <f t="shared" si="12"/>
        <v>65.915877905882695</v>
      </c>
      <c r="AJ56" s="2862">
        <f t="shared" si="13"/>
        <v>65.256625014349666</v>
      </c>
      <c r="AK56" s="2862">
        <f t="shared" si="14"/>
        <v>65.915877905882695</v>
      </c>
      <c r="AL56" s="2862">
        <f t="shared" si="25"/>
        <v>65.915877905882695</v>
      </c>
      <c r="AM56" s="2672">
        <f t="shared" si="27"/>
        <v>65.256625014349666</v>
      </c>
    </row>
    <row r="57" spans="1:39" ht="13.5" customHeight="1">
      <c r="A57" s="2560"/>
      <c r="B57" s="2547" t="s">
        <v>1984</v>
      </c>
      <c r="C57" s="2647"/>
      <c r="D57" s="73">
        <f>'Car costs (RPI)'!AV58</f>
        <v>50.632259398339478</v>
      </c>
      <c r="E57" s="73">
        <f>'Car costs (RPI)'!AW58</f>
        <v>48.895737258614332</v>
      </c>
      <c r="F57" s="73">
        <f>'Car costs (RPI)'!AX58</f>
        <v>49.06365811080169</v>
      </c>
      <c r="G57" s="73">
        <f>'Car costs (RPI)'!AY58</f>
        <v>49.169143711345782</v>
      </c>
      <c r="H57" s="73">
        <f>'Car costs (RPI)'!BA58</f>
        <v>48.741590748383047</v>
      </c>
      <c r="I57" s="73">
        <f>'Car costs (RPI)'!BB58</f>
        <v>48.414049437484742</v>
      </c>
      <c r="J57" s="73">
        <f>'Car costs (RPI)'!BC58</f>
        <v>48.553222486635356</v>
      </c>
      <c r="K57" s="73">
        <f>'Car costs (RPI)'!BD58</f>
        <v>49.192376549079746</v>
      </c>
      <c r="L57" s="2861">
        <f t="shared" si="28"/>
        <v>49.06365811080169</v>
      </c>
      <c r="M57" s="2862">
        <f t="shared" si="29"/>
        <v>48.895737258614332</v>
      </c>
      <c r="N57" s="2862">
        <f t="shared" si="30"/>
        <v>48.553222486635356</v>
      </c>
      <c r="O57" s="2862">
        <f t="shared" si="31"/>
        <v>49.06365811080169</v>
      </c>
      <c r="P57" s="2862">
        <f t="shared" si="32"/>
        <v>48.553222486635356</v>
      </c>
      <c r="Q57" s="2862">
        <f t="shared" si="33"/>
        <v>49.06365811080169</v>
      </c>
      <c r="R57" s="2862">
        <f t="shared" si="34"/>
        <v>49.06365811080169</v>
      </c>
      <c r="S57" s="2672">
        <f t="shared" si="35"/>
        <v>48.553222486635356</v>
      </c>
      <c r="U57" s="2560"/>
      <c r="V57" s="2547" t="s">
        <v>1984</v>
      </c>
      <c r="W57" s="2647"/>
      <c r="X57" s="73">
        <f>'Car costs (CPI)'!AV58</f>
        <v>68.456584572606928</v>
      </c>
      <c r="Y57" s="73">
        <f>'Car costs (CPI)'!AW58</f>
        <v>66.108745939038116</v>
      </c>
      <c r="Z57" s="73">
        <f>'Car costs (CPI)'!AX58</f>
        <v>66.335780800919963</v>
      </c>
      <c r="AA57" s="73">
        <f>'Car costs (CPI)'!AY58</f>
        <v>66.478401020136886</v>
      </c>
      <c r="AB57" s="73">
        <f>'Car costs (CPI)'!BA58</f>
        <v>65.900334468967202</v>
      </c>
      <c r="AC57" s="73">
        <f>'Car costs (CPI)'!BB58</f>
        <v>65.457487167326377</v>
      </c>
      <c r="AD57" s="73">
        <f>'Car costs (CPI)'!BC58</f>
        <v>65.645653994614349</v>
      </c>
      <c r="AE57" s="73">
        <f>'Car costs (CPI)'!BD58</f>
        <v>66.509812628864125</v>
      </c>
      <c r="AF57" s="2861">
        <f t="shared" si="26"/>
        <v>66.335780800919963</v>
      </c>
      <c r="AG57" s="2862">
        <f t="shared" si="10"/>
        <v>66.108745939038116</v>
      </c>
      <c r="AH57" s="2862">
        <f t="shared" si="11"/>
        <v>65.645653994614349</v>
      </c>
      <c r="AI57" s="2862">
        <f t="shared" si="12"/>
        <v>66.335780800919963</v>
      </c>
      <c r="AJ57" s="2862">
        <f t="shared" si="13"/>
        <v>65.645653994614349</v>
      </c>
      <c r="AK57" s="2862">
        <f t="shared" si="14"/>
        <v>66.335780800919963</v>
      </c>
      <c r="AL57" s="2862">
        <f t="shared" si="25"/>
        <v>66.335780800919963</v>
      </c>
      <c r="AM57" s="2672">
        <f t="shared" si="27"/>
        <v>65.645653994614349</v>
      </c>
    </row>
    <row r="58" spans="1:39" ht="13.5" customHeight="1">
      <c r="A58" s="2560"/>
      <c r="B58" s="2547" t="s">
        <v>1985</v>
      </c>
      <c r="C58" s="2647"/>
      <c r="D58" s="73">
        <f>'Car costs (RPI)'!AV59</f>
        <v>50.504101756798789</v>
      </c>
      <c r="E58" s="73">
        <f>'Car costs (RPI)'!AW59</f>
        <v>48.718459408402758</v>
      </c>
      <c r="F58" s="73">
        <f>'Car costs (RPI)'!AX59</f>
        <v>48.898190385885677</v>
      </c>
      <c r="G58" s="73">
        <f>'Car costs (RPI)'!AY59</f>
        <v>49.005556315228894</v>
      </c>
      <c r="H58" s="73">
        <f>'Car costs (RPI)'!BA59</f>
        <v>48.570116946951778</v>
      </c>
      <c r="I58" s="73">
        <f>'Car costs (RPI)'!BB59</f>
        <v>48.222069216812343</v>
      </c>
      <c r="J58" s="73">
        <f>'Car costs (RPI)'!BC59</f>
        <v>48.36995549021281</v>
      </c>
      <c r="K58" s="73">
        <f>'Car costs (RPI)'!BD59</f>
        <v>49.034309336051166</v>
      </c>
      <c r="L58" s="2861">
        <f t="shared" si="28"/>
        <v>48.898190385885677</v>
      </c>
      <c r="M58" s="2862">
        <f t="shared" si="29"/>
        <v>48.718459408402758</v>
      </c>
      <c r="N58" s="2862">
        <f t="shared" si="30"/>
        <v>48.36995549021281</v>
      </c>
      <c r="O58" s="2862">
        <f t="shared" si="31"/>
        <v>48.898190385885677</v>
      </c>
      <c r="P58" s="2862">
        <f t="shared" si="32"/>
        <v>48.36995549021281</v>
      </c>
      <c r="Q58" s="2862">
        <f t="shared" si="33"/>
        <v>48.898190385885677</v>
      </c>
      <c r="R58" s="2862">
        <f t="shared" si="34"/>
        <v>48.898190385885677</v>
      </c>
      <c r="S58" s="2672">
        <f t="shared" si="35"/>
        <v>48.36995549021281</v>
      </c>
      <c r="U58" s="2560"/>
      <c r="V58" s="2547" t="s">
        <v>1985</v>
      </c>
      <c r="W58" s="2647"/>
      <c r="X58" s="73">
        <f>'Car costs (CPI)'!AV59</f>
        <v>68.952755186566819</v>
      </c>
      <c r="Y58" s="73">
        <f>'Car costs (CPI)'!AW59</f>
        <v>66.51483518766014</v>
      </c>
      <c r="Z58" s="73">
        <f>'Car costs (CPI)'!AX59</f>
        <v>66.76022012984761</v>
      </c>
      <c r="AA58" s="73">
        <f>'Car costs (CPI)'!AY59</f>
        <v>66.906805780989984</v>
      </c>
      <c r="AB58" s="73">
        <f>'Car costs (CPI)'!BA59</f>
        <v>66.312304678802505</v>
      </c>
      <c r="AC58" s="73">
        <f>'Car costs (CPI)'!BB59</f>
        <v>65.837118523723248</v>
      </c>
      <c r="AD58" s="73">
        <f>'Car costs (CPI)'!BC59</f>
        <v>66.039026203506182</v>
      </c>
      <c r="AE58" s="73">
        <f>'Car costs (CPI)'!BD59</f>
        <v>66.946061998538013</v>
      </c>
      <c r="AF58" s="2861">
        <f t="shared" si="26"/>
        <v>66.76022012984761</v>
      </c>
      <c r="AG58" s="2862">
        <f t="shared" si="10"/>
        <v>66.51483518766014</v>
      </c>
      <c r="AH58" s="2862">
        <f t="shared" si="11"/>
        <v>66.039026203506182</v>
      </c>
      <c r="AI58" s="2862">
        <f t="shared" si="12"/>
        <v>66.76022012984761</v>
      </c>
      <c r="AJ58" s="2862">
        <f t="shared" si="13"/>
        <v>66.039026203506182</v>
      </c>
      <c r="AK58" s="2862">
        <f t="shared" si="14"/>
        <v>66.76022012984761</v>
      </c>
      <c r="AL58" s="2862">
        <f t="shared" si="25"/>
        <v>66.76022012984761</v>
      </c>
      <c r="AM58" s="2672">
        <f t="shared" si="27"/>
        <v>66.039026203506182</v>
      </c>
    </row>
    <row r="59" spans="1:39" ht="13.5" customHeight="1">
      <c r="A59" s="2560"/>
      <c r="B59" s="2547" t="s">
        <v>1986</v>
      </c>
      <c r="C59" s="2647"/>
      <c r="D59" s="73">
        <f>'Car costs (RPI)'!AV60</f>
        <v>50.376868617932374</v>
      </c>
      <c r="E59" s="73">
        <f>'Car costs (RPI)'!AW60</f>
        <v>48.542691152845698</v>
      </c>
      <c r="F59" s="73">
        <f>'Car costs (RPI)'!AX60</f>
        <v>48.733913160934527</v>
      </c>
      <c r="G59" s="73">
        <f>'Car costs (RPI)'!AY60</f>
        <v>48.843331717572013</v>
      </c>
      <c r="H59" s="73">
        <f>'Car costs (RPI)'!BA60</f>
        <v>48.40006100009672</v>
      </c>
      <c r="I59" s="73">
        <f>'Car costs (RPI)'!BB60</f>
        <v>48.031836177934849</v>
      </c>
      <c r="J59" s="73">
        <f>'Car costs (RPI)'!BC60</f>
        <v>48.188295743699733</v>
      </c>
      <c r="K59" s="73">
        <f>'Car costs (RPI)'!BD60</f>
        <v>48.877369684442058</v>
      </c>
      <c r="L59" s="2861">
        <f t="shared" si="28"/>
        <v>48.733913160934527</v>
      </c>
      <c r="M59" s="2862">
        <f t="shared" si="29"/>
        <v>48.542691152845698</v>
      </c>
      <c r="N59" s="2862">
        <f t="shared" si="30"/>
        <v>48.188295743699733</v>
      </c>
      <c r="O59" s="2862">
        <f t="shared" si="31"/>
        <v>48.733913160934527</v>
      </c>
      <c r="P59" s="2862">
        <f t="shared" si="32"/>
        <v>48.188295743699733</v>
      </c>
      <c r="Q59" s="2862">
        <f t="shared" si="33"/>
        <v>48.733913160934527</v>
      </c>
      <c r="R59" s="2862">
        <f t="shared" si="34"/>
        <v>48.733913160934527</v>
      </c>
      <c r="S59" s="2672">
        <f t="shared" si="35"/>
        <v>48.188295743699733</v>
      </c>
      <c r="U59" s="2560"/>
      <c r="V59" s="2547" t="s">
        <v>1986</v>
      </c>
      <c r="W59" s="2647"/>
      <c r="X59" s="73">
        <f>'Car costs (CPI)'!AV60</f>
        <v>69.453349391990827</v>
      </c>
      <c r="Y59" s="73">
        <f>'Car costs (CPI)'!AW60</f>
        <v>66.92461404530367</v>
      </c>
      <c r="Z59" s="73">
        <f>'Car costs (CPI)'!AX60</f>
        <v>67.188247123412538</v>
      </c>
      <c r="AA59" s="73">
        <f>'Car costs (CPI)'!AY60</f>
        <v>67.339099795533684</v>
      </c>
      <c r="AB59" s="73">
        <f>'Car costs (CPI)'!BA60</f>
        <v>66.727973362695195</v>
      </c>
      <c r="AC59" s="73">
        <f>'Car costs (CPI)'!BB60</f>
        <v>66.220310859446457</v>
      </c>
      <c r="AD59" s="73">
        <f>'Car costs (CPI)'!BC60</f>
        <v>66.436017813548787</v>
      </c>
      <c r="AE59" s="73">
        <f>'Car costs (CPI)'!BD60</f>
        <v>67.386027103055454</v>
      </c>
      <c r="AF59" s="2861">
        <f t="shared" si="26"/>
        <v>67.188247123412538</v>
      </c>
      <c r="AG59" s="2862">
        <f t="shared" si="10"/>
        <v>66.92461404530367</v>
      </c>
      <c r="AH59" s="2862">
        <f t="shared" si="11"/>
        <v>66.436017813548787</v>
      </c>
      <c r="AI59" s="2862">
        <f t="shared" si="12"/>
        <v>67.188247123412538</v>
      </c>
      <c r="AJ59" s="2862">
        <f t="shared" si="13"/>
        <v>66.436017813548787</v>
      </c>
      <c r="AK59" s="2862">
        <f t="shared" si="14"/>
        <v>67.188247123412538</v>
      </c>
      <c r="AL59" s="2862">
        <f t="shared" si="25"/>
        <v>67.188247123412538</v>
      </c>
      <c r="AM59" s="2672">
        <f t="shared" si="27"/>
        <v>66.436017813548787</v>
      </c>
    </row>
    <row r="60" spans="1:39" ht="13.5" customHeight="1">
      <c r="A60" s="2560"/>
      <c r="B60" s="2547" t="s">
        <v>1987</v>
      </c>
      <c r="C60" s="2647"/>
      <c r="D60" s="73">
        <f>'Car costs (RPI)'!AV61</f>
        <v>50.250554770795169</v>
      </c>
      <c r="E60" s="73">
        <f>'Car costs (RPI)'!AW61</f>
        <v>48.368419786550646</v>
      </c>
      <c r="F60" s="73">
        <f>'Car costs (RPI)'!AX61</f>
        <v>48.570818336565424</v>
      </c>
      <c r="G60" s="73">
        <f>'Car costs (RPI)'!AY61</f>
        <v>48.682458917164588</v>
      </c>
      <c r="H60" s="73">
        <f>'Car costs (RPI)'!BA61</f>
        <v>48.231411267026644</v>
      </c>
      <c r="I60" s="73">
        <f>'Car costs (RPI)'!BB61</f>
        <v>47.843334242997912</v>
      </c>
      <c r="J60" s="73">
        <f>'Car costs (RPI)'!BC61</f>
        <v>48.008229054559983</v>
      </c>
      <c r="K60" s="73">
        <f>'Car costs (RPI)'!BD61</f>
        <v>48.721550144044514</v>
      </c>
      <c r="L60" s="2861">
        <f t="shared" si="28"/>
        <v>48.570818336565424</v>
      </c>
      <c r="M60" s="2862">
        <f t="shared" si="29"/>
        <v>48.368419786550646</v>
      </c>
      <c r="N60" s="2862">
        <f t="shared" si="30"/>
        <v>48.008229054559983</v>
      </c>
      <c r="O60" s="2862">
        <f t="shared" si="31"/>
        <v>48.570818336565424</v>
      </c>
      <c r="P60" s="2862">
        <f t="shared" si="32"/>
        <v>48.008229054559983</v>
      </c>
      <c r="Q60" s="2862">
        <f t="shared" si="33"/>
        <v>48.570818336565424</v>
      </c>
      <c r="R60" s="2862">
        <f t="shared" si="34"/>
        <v>48.570818336565424</v>
      </c>
      <c r="S60" s="2672">
        <f t="shared" si="35"/>
        <v>48.008229054559983</v>
      </c>
      <c r="U60" s="2560"/>
      <c r="V60" s="2547" t="s">
        <v>1987</v>
      </c>
      <c r="W60" s="2647"/>
      <c r="X60" s="73">
        <f>'Car costs (CPI)'!AV61</f>
        <v>69.958411476932426</v>
      </c>
      <c r="Y60" s="73">
        <f>'Car costs (CPI)'!AW61</f>
        <v>67.338118541192884</v>
      </c>
      <c r="Z60" s="73">
        <f>'Car costs (CPI)'!AX61</f>
        <v>67.61989614760644</v>
      </c>
      <c r="AA60" s="73">
        <f>'Car costs (CPI)'!AY61</f>
        <v>67.775321251084492</v>
      </c>
      <c r="AB60" s="73">
        <f>'Car costs (CPI)'!BA61</f>
        <v>67.147376400565278</v>
      </c>
      <c r="AC60" s="73">
        <f>'Car costs (CPI)'!BB61</f>
        <v>66.60709874083436</v>
      </c>
      <c r="AD60" s="73">
        <f>'Car costs (CPI)'!BC61</f>
        <v>66.836663949224373</v>
      </c>
      <c r="AE60" s="73">
        <f>'Car costs (CPI)'!BD61</f>
        <v>67.829743737516281</v>
      </c>
      <c r="AF60" s="2861">
        <f t="shared" si="26"/>
        <v>67.61989614760644</v>
      </c>
      <c r="AG60" s="2862">
        <f t="shared" si="10"/>
        <v>67.338118541192884</v>
      </c>
      <c r="AH60" s="2862">
        <f t="shared" si="11"/>
        <v>66.836663949224373</v>
      </c>
      <c r="AI60" s="2862">
        <f t="shared" si="12"/>
        <v>67.61989614760644</v>
      </c>
      <c r="AJ60" s="2862">
        <f t="shared" si="13"/>
        <v>66.836663949224373</v>
      </c>
      <c r="AK60" s="2862">
        <f t="shared" si="14"/>
        <v>67.61989614760644</v>
      </c>
      <c r="AL60" s="2862">
        <f t="shared" si="25"/>
        <v>67.61989614760644</v>
      </c>
      <c r="AM60" s="2672">
        <f t="shared" si="27"/>
        <v>66.836663949224373</v>
      </c>
    </row>
    <row r="61" spans="1:39" ht="13.5" customHeight="1">
      <c r="A61" s="2560"/>
      <c r="B61" s="2547" t="s">
        <v>1988</v>
      </c>
      <c r="C61" s="2647"/>
      <c r="D61" s="73">
        <f>'Car costs (RPI)'!AV62</f>
        <v>50.125155037926291</v>
      </c>
      <c r="E61" s="73">
        <f>'Car costs (RPI)'!AW62</f>
        <v>48.195632729006121</v>
      </c>
      <c r="F61" s="73">
        <f>'Car costs (RPI)'!AX62</f>
        <v>48.408897872220059</v>
      </c>
      <c r="G61" s="73">
        <f>'Car costs (RPI)'!AY62</f>
        <v>48.522927018033862</v>
      </c>
      <c r="H61" s="73">
        <f>'Car costs (RPI)'!BA62</f>
        <v>48.064156218997319</v>
      </c>
      <c r="I61" s="73">
        <f>'Car costs (RPI)'!BB62</f>
        <v>47.656547506053215</v>
      </c>
      <c r="J61" s="73">
        <f>'Car costs (RPI)'!BC62</f>
        <v>47.829741376729267</v>
      </c>
      <c r="K61" s="73">
        <f>'Car costs (RPI)'!BD62</f>
        <v>48.566843316941664</v>
      </c>
      <c r="L61" s="2861">
        <f t="shared" si="28"/>
        <v>48.408897872220059</v>
      </c>
      <c r="M61" s="2862">
        <f t="shared" si="29"/>
        <v>48.195632729006121</v>
      </c>
      <c r="N61" s="2862">
        <f t="shared" si="30"/>
        <v>47.829741376729267</v>
      </c>
      <c r="O61" s="2862">
        <f t="shared" si="31"/>
        <v>48.408897872220059</v>
      </c>
      <c r="P61" s="2862">
        <f t="shared" si="32"/>
        <v>47.829741376729267</v>
      </c>
      <c r="Q61" s="2862">
        <f t="shared" si="33"/>
        <v>48.408897872220059</v>
      </c>
      <c r="R61" s="2862">
        <f t="shared" si="34"/>
        <v>48.408897872220059</v>
      </c>
      <c r="S61" s="2672">
        <f t="shared" si="35"/>
        <v>47.829741376729267</v>
      </c>
      <c r="U61" s="2560"/>
      <c r="V61" s="2547" t="s">
        <v>1988</v>
      </c>
      <c r="W61" s="2647"/>
      <c r="X61" s="73">
        <f>'Car costs (CPI)'!AV62</f>
        <v>70.467986199991728</v>
      </c>
      <c r="Y61" s="73">
        <f>'Car costs (CPI)'!AW62</f>
        <v>67.755385085148617</v>
      </c>
      <c r="Z61" s="73">
        <f>'Car costs (CPI)'!AX62</f>
        <v>68.055201916788704</v>
      </c>
      <c r="AA61" s="73">
        <f>'Car costs (CPI)'!AY62</f>
        <v>68.215508738134673</v>
      </c>
      <c r="AB61" s="73">
        <f>'Car costs (CPI)'!BA62</f>
        <v>67.57055004801181</v>
      </c>
      <c r="AC61" s="73">
        <f>'Car costs (CPI)'!BB62</f>
        <v>66.997517104033719</v>
      </c>
      <c r="AD61" s="73">
        <f>'Car costs (CPI)'!BC62</f>
        <v>67.241000107317973</v>
      </c>
      <c r="AE61" s="73">
        <f>'Car costs (CPI)'!BD62</f>
        <v>68.277248061295836</v>
      </c>
      <c r="AF61" s="2861">
        <f t="shared" si="26"/>
        <v>68.055201916788704</v>
      </c>
      <c r="AG61" s="2862">
        <f t="shared" si="10"/>
        <v>67.755385085148617</v>
      </c>
      <c r="AH61" s="2862">
        <f t="shared" si="11"/>
        <v>67.241000107317973</v>
      </c>
      <c r="AI61" s="2862">
        <f t="shared" si="12"/>
        <v>68.055201916788704</v>
      </c>
      <c r="AJ61" s="2862">
        <f t="shared" si="13"/>
        <v>67.241000107317973</v>
      </c>
      <c r="AK61" s="2862">
        <f t="shared" si="14"/>
        <v>68.055201916788704</v>
      </c>
      <c r="AL61" s="2862">
        <f t="shared" si="25"/>
        <v>68.055201916788704</v>
      </c>
      <c r="AM61" s="2672">
        <f t="shared" si="27"/>
        <v>67.241000107317973</v>
      </c>
    </row>
    <row r="62" spans="1:39" ht="13.5" customHeight="1">
      <c r="A62" s="2560"/>
      <c r="B62" s="2547" t="s">
        <v>1989</v>
      </c>
      <c r="C62" s="2647"/>
      <c r="D62" s="73">
        <f>'Car costs (RPI)'!AV63</f>
        <v>49.998877600940332</v>
      </c>
      <c r="E62" s="73">
        <f>'Car costs (RPI)'!AW63</f>
        <v>48.02421873635258</v>
      </c>
      <c r="F62" s="73">
        <f>'Car costs (RPI)'!AX63</f>
        <v>48.247872956640755</v>
      </c>
      <c r="G62" s="73">
        <f>'Car costs (RPI)'!AY63</f>
        <v>48.364393480365209</v>
      </c>
      <c r="H62" s="73">
        <f>'Car costs (RPI)'!BA63</f>
        <v>47.89810177218677</v>
      </c>
      <c r="I62" s="73">
        <f>'Car costs (RPI)'!BB63</f>
        <v>47.471662023898794</v>
      </c>
      <c r="J62" s="73">
        <f>'Car costs (RPI)'!BC63</f>
        <v>47.652857244390177</v>
      </c>
      <c r="K62" s="73">
        <f>'Car costs (RPI)'!BD63</f>
        <v>48.412925083249618</v>
      </c>
      <c r="L62" s="2861">
        <f t="shared" si="28"/>
        <v>48.247872956640755</v>
      </c>
      <c r="M62" s="2862">
        <f t="shared" si="29"/>
        <v>48.02421873635258</v>
      </c>
      <c r="N62" s="2862">
        <f t="shared" si="30"/>
        <v>47.652857244390177</v>
      </c>
      <c r="O62" s="2862">
        <f t="shared" si="31"/>
        <v>48.247872956640755</v>
      </c>
      <c r="P62" s="2862">
        <f t="shared" si="32"/>
        <v>47.652857244390177</v>
      </c>
      <c r="Q62" s="2862">
        <f t="shared" si="33"/>
        <v>48.247872956640755</v>
      </c>
      <c r="R62" s="2862">
        <f t="shared" si="34"/>
        <v>48.247872956640755</v>
      </c>
      <c r="S62" s="2672">
        <f t="shared" si="35"/>
        <v>47.652857244390177</v>
      </c>
      <c r="U62" s="2560"/>
      <c r="V62" s="2547" t="s">
        <v>1989</v>
      </c>
      <c r="W62" s="2647"/>
      <c r="X62" s="73">
        <f>'Car costs (CPI)'!AV63</f>
        <v>70.979582390773558</v>
      </c>
      <c r="Y62" s="73">
        <f>'Car costs (CPI)'!AW63</f>
        <v>68.176310231519295</v>
      </c>
      <c r="Z62" s="73">
        <f>'Car costs (CPI)'!AX63</f>
        <v>68.493815021980637</v>
      </c>
      <c r="AA62" s="73">
        <f>'Car costs (CPI)'!AY63</f>
        <v>68.659230297497942</v>
      </c>
      <c r="AB62" s="73">
        <f>'Car costs (CPI)'!BA63</f>
        <v>67.99727162348637</v>
      </c>
      <c r="AC62" s="73">
        <f>'Car costs (CPI)'!BB63</f>
        <v>67.39188772887394</v>
      </c>
      <c r="AD62" s="73">
        <f>'Car costs (CPI)'!BC63</f>
        <v>67.649116724779248</v>
      </c>
      <c r="AE62" s="73">
        <f>'Car costs (CPI)'!BD63</f>
        <v>68.728126902197431</v>
      </c>
      <c r="AF62" s="2861">
        <f t="shared" si="26"/>
        <v>68.493815021980637</v>
      </c>
      <c r="AG62" s="2862">
        <f t="shared" si="10"/>
        <v>68.176310231519295</v>
      </c>
      <c r="AH62" s="2862">
        <f t="shared" si="11"/>
        <v>67.649116724779248</v>
      </c>
      <c r="AI62" s="2862">
        <f t="shared" si="12"/>
        <v>68.493815021980637</v>
      </c>
      <c r="AJ62" s="2862">
        <f t="shared" si="13"/>
        <v>67.649116724779248</v>
      </c>
      <c r="AK62" s="2862">
        <f t="shared" si="14"/>
        <v>68.493815021980637</v>
      </c>
      <c r="AL62" s="2862">
        <f t="shared" si="25"/>
        <v>68.493815021980637</v>
      </c>
      <c r="AM62" s="2672">
        <f t="shared" si="27"/>
        <v>67.649116724779248</v>
      </c>
    </row>
    <row r="63" spans="1:39" ht="13.5" customHeight="1">
      <c r="A63" s="2560"/>
      <c r="B63" s="2547" t="s">
        <v>1990</v>
      </c>
      <c r="C63" s="2647"/>
      <c r="D63" s="73">
        <f>'Car costs (RPI)'!AV64</f>
        <v>49.8681885110217</v>
      </c>
      <c r="E63" s="73">
        <f>'Car costs (RPI)'!AW64</f>
        <v>47.853962176052029</v>
      </c>
      <c r="F63" s="73">
        <f>'Car costs (RPI)'!AX64</f>
        <v>48.087199406592788</v>
      </c>
      <c r="G63" s="73">
        <f>'Car costs (RPI)'!AY64</f>
        <v>48.206185673558366</v>
      </c>
      <c r="H63" s="73">
        <f>'Car costs (RPI)'!BA64</f>
        <v>47.73286644915008</v>
      </c>
      <c r="I63" s="73">
        <f>'Car costs (RPI)'!BB64</f>
        <v>47.289043174721996</v>
      </c>
      <c r="J63" s="73">
        <f>'Car costs (RPI)'!BC64</f>
        <v>47.47762469507056</v>
      </c>
      <c r="K63" s="73">
        <f>'Car costs (RPI)'!BD64</f>
        <v>48.25916187293074</v>
      </c>
      <c r="L63" s="2861">
        <f t="shared" si="28"/>
        <v>48.087199406592788</v>
      </c>
      <c r="M63" s="2862">
        <f t="shared" si="29"/>
        <v>47.853962176052029</v>
      </c>
      <c r="N63" s="2862">
        <f t="shared" si="30"/>
        <v>47.47762469507056</v>
      </c>
      <c r="O63" s="2862">
        <f t="shared" si="31"/>
        <v>48.087199406592788</v>
      </c>
      <c r="P63" s="2862">
        <f t="shared" si="32"/>
        <v>47.47762469507056</v>
      </c>
      <c r="Q63" s="2862">
        <f t="shared" si="33"/>
        <v>48.087199406592788</v>
      </c>
      <c r="R63" s="2862">
        <f t="shared" si="34"/>
        <v>48.087199406592788</v>
      </c>
      <c r="S63" s="2672">
        <f t="shared" si="35"/>
        <v>47.47762469507056</v>
      </c>
      <c r="U63" s="2560"/>
      <c r="V63" s="2547" t="s">
        <v>1990</v>
      </c>
      <c r="W63" s="2647"/>
      <c r="X63" s="73">
        <f>'Car costs (CPI)'!AV64</f>
        <v>71.488112429481674</v>
      </c>
      <c r="Y63" s="73">
        <f>'Car costs (CPI)'!AW64</f>
        <v>68.600635603229804</v>
      </c>
      <c r="Z63" s="73">
        <f>'Car costs (CPI)'!AX64</f>
        <v>68.934990827622073</v>
      </c>
      <c r="AA63" s="73">
        <f>'Car costs (CPI)'!AY64</f>
        <v>69.105562566527709</v>
      </c>
      <c r="AB63" s="73">
        <f>'Car costs (CPI)'!BA64</f>
        <v>68.427039866188281</v>
      </c>
      <c r="AC63" s="73">
        <f>'Car costs (CPI)'!BB64</f>
        <v>67.790800831074279</v>
      </c>
      <c r="AD63" s="73">
        <f>'Car costs (CPI)'!BC64</f>
        <v>68.061140246467744</v>
      </c>
      <c r="AE63" s="73">
        <f>'Car costs (CPI)'!BD64</f>
        <v>69.181506141177152</v>
      </c>
      <c r="AF63" s="2861">
        <f t="shared" si="26"/>
        <v>68.934990827622073</v>
      </c>
      <c r="AG63" s="2862">
        <f t="shared" si="10"/>
        <v>68.600635603229804</v>
      </c>
      <c r="AH63" s="2862">
        <f t="shared" si="11"/>
        <v>68.061140246467744</v>
      </c>
      <c r="AI63" s="2862">
        <f t="shared" si="12"/>
        <v>68.934990827622073</v>
      </c>
      <c r="AJ63" s="2862">
        <f t="shared" si="13"/>
        <v>68.061140246467744</v>
      </c>
      <c r="AK63" s="2862">
        <f t="shared" si="14"/>
        <v>68.934990827622073</v>
      </c>
      <c r="AL63" s="2862">
        <f t="shared" si="25"/>
        <v>68.934990827622073</v>
      </c>
      <c r="AM63" s="2672">
        <f t="shared" si="27"/>
        <v>68.061140246467744</v>
      </c>
    </row>
    <row r="64" spans="1:39" ht="13.5" customHeight="1">
      <c r="A64" s="2560"/>
      <c r="B64" s="2547" t="s">
        <v>1991</v>
      </c>
      <c r="C64" s="2647"/>
      <c r="D64" s="73">
        <f>'Car costs (RPI)'!AV65</f>
        <v>49.738430288390902</v>
      </c>
      <c r="E64" s="73">
        <f>'Car costs (RPI)'!AW65</f>
        <v>47.685122265914444</v>
      </c>
      <c r="F64" s="73">
        <f>'Car costs (RPI)'!AX65</f>
        <v>47.927675965474947</v>
      </c>
      <c r="G64" s="73">
        <f>'Car costs (RPI)'!AY65</f>
        <v>48.049266080284525</v>
      </c>
      <c r="H64" s="73">
        <f>'Car costs (RPI)'!BA65</f>
        <v>47.568957977087734</v>
      </c>
      <c r="I64" s="73">
        <f>'Car costs (RPI)'!BB65</f>
        <v>47.108019420466675</v>
      </c>
      <c r="J64" s="73">
        <f>'Car costs (RPI)'!BC65</f>
        <v>47.303873263208224</v>
      </c>
      <c r="K64" s="73">
        <f>'Car costs (RPI)'!BD65</f>
        <v>48.106492728659035</v>
      </c>
      <c r="L64" s="2861">
        <f t="shared" si="28"/>
        <v>47.927675965474947</v>
      </c>
      <c r="M64" s="2862">
        <f t="shared" si="29"/>
        <v>47.685122265914444</v>
      </c>
      <c r="N64" s="2862">
        <f t="shared" si="30"/>
        <v>47.303873263208224</v>
      </c>
      <c r="O64" s="2862">
        <f t="shared" si="31"/>
        <v>47.927675965474947</v>
      </c>
      <c r="P64" s="2862">
        <f t="shared" si="32"/>
        <v>47.303873263208224</v>
      </c>
      <c r="Q64" s="2862">
        <f t="shared" si="33"/>
        <v>47.927675965474947</v>
      </c>
      <c r="R64" s="2862">
        <f t="shared" si="34"/>
        <v>47.927675965474947</v>
      </c>
      <c r="S64" s="2672">
        <f t="shared" si="35"/>
        <v>47.303873263208224</v>
      </c>
      <c r="U64" s="2560"/>
      <c r="V64" s="2547" t="s">
        <v>1991</v>
      </c>
      <c r="W64" s="2647"/>
      <c r="X64" s="73">
        <f>'Car costs (CPI)'!AV65</f>
        <v>72.001138829051612</v>
      </c>
      <c r="Y64" s="73">
        <f>'Car costs (CPI)'!AW65</f>
        <v>69.028778922879852</v>
      </c>
      <c r="Z64" s="73">
        <f>'Car costs (CPI)'!AX65</f>
        <v>69.379898620351128</v>
      </c>
      <c r="AA64" s="73">
        <f>'Car costs (CPI)'!AY65</f>
        <v>69.555911950202585</v>
      </c>
      <c r="AB64" s="73">
        <f>'Car costs (CPI)'!BA65</f>
        <v>68.860619995501267</v>
      </c>
      <c r="AC64" s="73">
        <f>'Car costs (CPI)'!BB65</f>
        <v>68.193367313530686</v>
      </c>
      <c r="AD64" s="73">
        <f>'Car costs (CPI)'!BC65</f>
        <v>68.476884498123653</v>
      </c>
      <c r="AE64" s="73">
        <f>'Car costs (CPI)'!BD65</f>
        <v>69.63875300148716</v>
      </c>
      <c r="AF64" s="2861">
        <f t="shared" si="26"/>
        <v>69.379898620351128</v>
      </c>
      <c r="AG64" s="2862">
        <f t="shared" si="10"/>
        <v>69.028778922879852</v>
      </c>
      <c r="AH64" s="2862">
        <f t="shared" si="11"/>
        <v>68.476884498123653</v>
      </c>
      <c r="AI64" s="2862">
        <f t="shared" si="12"/>
        <v>69.379898620351128</v>
      </c>
      <c r="AJ64" s="2862">
        <f t="shared" si="13"/>
        <v>68.476884498123653</v>
      </c>
      <c r="AK64" s="2862">
        <f t="shared" si="14"/>
        <v>69.379898620351128</v>
      </c>
      <c r="AL64" s="2862">
        <f t="shared" si="25"/>
        <v>69.379898620351128</v>
      </c>
      <c r="AM64" s="2672">
        <f t="shared" si="27"/>
        <v>68.476884498123653</v>
      </c>
    </row>
    <row r="65" spans="1:39" ht="13.5" customHeight="1">
      <c r="A65" s="2560"/>
      <c r="B65" s="2547" t="s">
        <v>1992</v>
      </c>
      <c r="C65" s="2647"/>
      <c r="D65" s="73">
        <f>'Car costs (RPI)'!AV66</f>
        <v>49.609597561462365</v>
      </c>
      <c r="E65" s="73">
        <f>'Car costs (RPI)'!AW66</f>
        <v>47.517687473688369</v>
      </c>
      <c r="F65" s="73">
        <f>'Car costs (RPI)'!AX66</f>
        <v>47.769294863173378</v>
      </c>
      <c r="G65" s="73">
        <f>'Car costs (RPI)'!AY66</f>
        <v>47.893624659447454</v>
      </c>
      <c r="H65" s="73">
        <f>'Car costs (RPI)'!BA66</f>
        <v>47.406365912761544</v>
      </c>
      <c r="I65" s="73">
        <f>'Car costs (RPI)'!BB66</f>
        <v>46.928576816238049</v>
      </c>
      <c r="J65" s="73">
        <f>'Car costs (RPI)'!BC66</f>
        <v>47.131590491770218</v>
      </c>
      <c r="K65" s="73">
        <f>'Car costs (RPI)'!BD66</f>
        <v>47.954910451510713</v>
      </c>
      <c r="L65" s="2861">
        <f t="shared" si="28"/>
        <v>47.769294863173378</v>
      </c>
      <c r="M65" s="2862">
        <f t="shared" si="29"/>
        <v>47.517687473688369</v>
      </c>
      <c r="N65" s="2862">
        <f t="shared" si="30"/>
        <v>47.131590491770218</v>
      </c>
      <c r="O65" s="2862">
        <f t="shared" si="31"/>
        <v>47.769294863173378</v>
      </c>
      <c r="P65" s="2862">
        <f t="shared" si="32"/>
        <v>47.131590491770218</v>
      </c>
      <c r="Q65" s="2862">
        <f t="shared" si="33"/>
        <v>47.769294863173378</v>
      </c>
      <c r="R65" s="2862">
        <f t="shared" si="34"/>
        <v>47.769294863173378</v>
      </c>
      <c r="S65" s="2672">
        <f t="shared" si="35"/>
        <v>47.131590491770218</v>
      </c>
      <c r="U65" s="2560"/>
      <c r="V65" s="2547" t="s">
        <v>1992</v>
      </c>
      <c r="W65" s="2647"/>
      <c r="X65" s="73">
        <f>'Car costs (CPI)'!AV66</f>
        <v>72.518706233959207</v>
      </c>
      <c r="Y65" s="73">
        <f>'Car costs (CPI)'!AW66</f>
        <v>69.460777514920707</v>
      </c>
      <c r="Z65" s="73">
        <f>'Car costs (CPI)'!AX66</f>
        <v>69.828574136164221</v>
      </c>
      <c r="AA65" s="73">
        <f>'Car costs (CPI)'!AY66</f>
        <v>70.010317919934238</v>
      </c>
      <c r="AB65" s="73">
        <f>'Car costs (CPI)'!BA66</f>
        <v>69.298049011341206</v>
      </c>
      <c r="AC65" s="73">
        <f>'Car costs (CPI)'!BB66</f>
        <v>68.599622722160987</v>
      </c>
      <c r="AD65" s="73">
        <f>'Car costs (CPI)'!BC66</f>
        <v>68.896385643471802</v>
      </c>
      <c r="AE65" s="73">
        <f>'Car costs (CPI)'!BD66</f>
        <v>70.099904745254577</v>
      </c>
      <c r="AF65" s="2861">
        <f t="shared" si="26"/>
        <v>69.828574136164221</v>
      </c>
      <c r="AG65" s="2862">
        <f t="shared" si="10"/>
        <v>69.460777514920707</v>
      </c>
      <c r="AH65" s="2862">
        <f t="shared" si="11"/>
        <v>68.896385643471802</v>
      </c>
      <c r="AI65" s="2862">
        <f t="shared" si="12"/>
        <v>69.828574136164221</v>
      </c>
      <c r="AJ65" s="2862">
        <f t="shared" si="13"/>
        <v>68.896385643471802</v>
      </c>
      <c r="AK65" s="2862">
        <f t="shared" si="14"/>
        <v>69.828574136164221</v>
      </c>
      <c r="AL65" s="2862">
        <f t="shared" si="25"/>
        <v>69.828574136164221</v>
      </c>
      <c r="AM65" s="2672">
        <f t="shared" si="27"/>
        <v>68.896385643471802</v>
      </c>
    </row>
    <row r="66" spans="1:39" ht="13.5" customHeight="1">
      <c r="A66" s="2560"/>
      <c r="B66" s="2547" t="s">
        <v>1993</v>
      </c>
      <c r="C66" s="2647"/>
      <c r="D66" s="73">
        <f>'Car costs (RPI)'!AV67</f>
        <v>49.481684992405597</v>
      </c>
      <c r="E66" s="73">
        <f>'Car costs (RPI)'!AW67</f>
        <v>47.351646375955745</v>
      </c>
      <c r="F66" s="73">
        <f>'Car costs (RPI)'!AX67</f>
        <v>47.61204838513838</v>
      </c>
      <c r="G66" s="73">
        <f>'Car costs (RPI)'!AY67</f>
        <v>47.739251461536902</v>
      </c>
      <c r="H66" s="73">
        <f>'Car costs (RPI)'!BA67</f>
        <v>47.245079907932642</v>
      </c>
      <c r="I66" s="73">
        <f>'Car costs (RPI)'!BB67</f>
        <v>46.750701558199978</v>
      </c>
      <c r="J66" s="73">
        <f>'Car costs (RPI)'!BC67</f>
        <v>46.960764045211583</v>
      </c>
      <c r="K66" s="73">
        <f>'Car costs (RPI)'!BD67</f>
        <v>47.804407892490467</v>
      </c>
      <c r="L66" s="2861">
        <f t="shared" si="28"/>
        <v>47.61204838513838</v>
      </c>
      <c r="M66" s="2862">
        <f t="shared" si="29"/>
        <v>47.351646375955745</v>
      </c>
      <c r="N66" s="2862">
        <f t="shared" si="30"/>
        <v>46.960764045211583</v>
      </c>
      <c r="O66" s="2862">
        <f t="shared" si="31"/>
        <v>47.61204838513838</v>
      </c>
      <c r="P66" s="2862">
        <f t="shared" si="32"/>
        <v>46.960764045211583</v>
      </c>
      <c r="Q66" s="2862">
        <f t="shared" si="33"/>
        <v>47.61204838513838</v>
      </c>
      <c r="R66" s="2862">
        <f t="shared" si="34"/>
        <v>47.61204838513838</v>
      </c>
      <c r="S66" s="2672">
        <f t="shared" si="35"/>
        <v>46.960764045211583</v>
      </c>
      <c r="U66" s="2560"/>
      <c r="V66" s="2547" t="s">
        <v>1993</v>
      </c>
      <c r="W66" s="2647"/>
      <c r="X66" s="73">
        <f>'Car costs (CPI)'!AV67</f>
        <v>73.040859757268677</v>
      </c>
      <c r="Y66" s="73">
        <f>'Car costs (CPI)'!AW67</f>
        <v>69.896669095904613</v>
      </c>
      <c r="Z66" s="73">
        <f>'Car costs (CPI)'!AX67</f>
        <v>70.281053472389345</v>
      </c>
      <c r="AA66" s="73">
        <f>'Car costs (CPI)'!AY67</f>
        <v>70.468820361599839</v>
      </c>
      <c r="AB66" s="73">
        <f>'Car costs (CPI)'!BA67</f>
        <v>69.739364298242648</v>
      </c>
      <c r="AC66" s="73">
        <f>'Car costs (CPI)'!BB67</f>
        <v>69.009602979172868</v>
      </c>
      <c r="AD66" s="73">
        <f>'Car costs (CPI)'!BC67</f>
        <v>69.319680226065998</v>
      </c>
      <c r="AE66" s="73">
        <f>'Car costs (CPI)'!BD67</f>
        <v>70.564999013080566</v>
      </c>
      <c r="AF66" s="2861">
        <f t="shared" si="26"/>
        <v>70.281053472389345</v>
      </c>
      <c r="AG66" s="2862">
        <f t="shared" si="10"/>
        <v>69.896669095904613</v>
      </c>
      <c r="AH66" s="2862">
        <f t="shared" si="11"/>
        <v>69.319680226065998</v>
      </c>
      <c r="AI66" s="2862">
        <f t="shared" si="12"/>
        <v>70.281053472389345</v>
      </c>
      <c r="AJ66" s="2862">
        <f t="shared" si="13"/>
        <v>69.319680226065998</v>
      </c>
      <c r="AK66" s="2862">
        <f t="shared" si="14"/>
        <v>70.281053472389345</v>
      </c>
      <c r="AL66" s="2862">
        <f t="shared" si="25"/>
        <v>70.281053472389345</v>
      </c>
      <c r="AM66" s="2672">
        <f t="shared" si="27"/>
        <v>69.319680226065998</v>
      </c>
    </row>
    <row r="67" spans="1:39" ht="13.5" customHeight="1" thickBot="1">
      <c r="A67" s="2571"/>
      <c r="B67" s="2696" t="s">
        <v>1994</v>
      </c>
      <c r="C67" s="2710"/>
      <c r="D67" s="78">
        <f>'Car costs (RPI)'!AV68</f>
        <v>49.341930101510179</v>
      </c>
      <c r="E67" s="78">
        <f>'Car costs (RPI)'!AW68</f>
        <v>47.185060609573846</v>
      </c>
      <c r="F67" s="78">
        <f>'Car costs (RPI)'!AX68</f>
        <v>47.451611006449028</v>
      </c>
      <c r="G67" s="78">
        <f>'Car costs (RPI)'!AY68</f>
        <v>47.580901405329811</v>
      </c>
      <c r="H67" s="78">
        <f>'Car costs (RPI)'!BA68</f>
        <v>47.082375944473121</v>
      </c>
      <c r="I67" s="78">
        <f>'Car costs (RPI)'!BB68</f>
        <v>46.576161811284123</v>
      </c>
      <c r="J67" s="78">
        <f>'Car costs (RPI)'!BC68</f>
        <v>46.791253349648649</v>
      </c>
      <c r="K67" s="78">
        <f>'Car costs (RPI)'!BD68</f>
        <v>47.648918111944226</v>
      </c>
      <c r="L67" s="2863">
        <f t="shared" si="28"/>
        <v>47.451611006449028</v>
      </c>
      <c r="M67" s="2864">
        <f t="shared" si="29"/>
        <v>47.185060609573846</v>
      </c>
      <c r="N67" s="2864">
        <f t="shared" si="30"/>
        <v>46.791253349648649</v>
      </c>
      <c r="O67" s="2864">
        <f t="shared" si="31"/>
        <v>47.451611006449028</v>
      </c>
      <c r="P67" s="2864">
        <f t="shared" si="32"/>
        <v>46.791253349648649</v>
      </c>
      <c r="Q67" s="2864">
        <f t="shared" si="33"/>
        <v>47.451611006449028</v>
      </c>
      <c r="R67" s="2864">
        <f t="shared" si="34"/>
        <v>47.451611006449028</v>
      </c>
      <c r="S67" s="2673">
        <f t="shared" si="35"/>
        <v>46.791253349648649</v>
      </c>
      <c r="U67" s="2571"/>
      <c r="V67" s="2696" t="s">
        <v>1994</v>
      </c>
      <c r="W67" s="2710"/>
      <c r="X67" s="78">
        <f>'Car costs (CPI)'!AV68</f>
        <v>73.548629256798264</v>
      </c>
      <c r="Y67" s="78">
        <f>'Car costs (CPI)'!AW68</f>
        <v>70.333619339444638</v>
      </c>
      <c r="Z67" s="78">
        <f>'Car costs (CPI)'!AX68</f>
        <v>70.730936920611271</v>
      </c>
      <c r="AA67" s="78">
        <f>'Car costs (CPI)'!AY68</f>
        <v>70.923656005458255</v>
      </c>
      <c r="AB67" s="78">
        <f>'Car costs (CPI)'!BA68</f>
        <v>70.180558517780085</v>
      </c>
      <c r="AC67" s="78">
        <f>'Car costs (CPI)'!BB68</f>
        <v>69.426000365517439</v>
      </c>
      <c r="AD67" s="78">
        <f>'Car costs (CPI)'!BC68</f>
        <v>69.746613843322237</v>
      </c>
      <c r="AE67" s="78">
        <f>'Car costs (CPI)'!BD68</f>
        <v>71.025041085607327</v>
      </c>
      <c r="AF67" s="2863">
        <f t="shared" si="26"/>
        <v>70.730936920611271</v>
      </c>
      <c r="AG67" s="2864">
        <f t="shared" si="10"/>
        <v>70.333619339444638</v>
      </c>
      <c r="AH67" s="2864">
        <f t="shared" si="11"/>
        <v>69.746613843322237</v>
      </c>
      <c r="AI67" s="2864">
        <f t="shared" si="12"/>
        <v>70.730936920611271</v>
      </c>
      <c r="AJ67" s="2864">
        <f t="shared" si="13"/>
        <v>69.746613843322237</v>
      </c>
      <c r="AK67" s="2864">
        <f t="shared" si="14"/>
        <v>70.730936920611271</v>
      </c>
      <c r="AL67" s="2864">
        <f>Z67</f>
        <v>70.730936920611271</v>
      </c>
      <c r="AM67" s="2673">
        <f t="shared" si="27"/>
        <v>69.746613843322237</v>
      </c>
    </row>
    <row r="68" spans="1:39" ht="13.5" customHeight="1" thickTop="1"/>
    <row r="69" spans="1:39" ht="13.5" customHeight="1"/>
    <row r="70" spans="1:39" ht="13.5" customHeight="1"/>
    <row r="71" spans="1:39" ht="13.5" customHeight="1"/>
    <row r="72" spans="1:39" ht="13.5" customHeight="1"/>
    <row r="73" spans="1:39" ht="13.5" customHeight="1"/>
    <row r="74" spans="1:39" ht="13.5" customHeight="1"/>
    <row r="75" spans="1:39" ht="13.5" customHeight="1"/>
    <row r="76" spans="1:39" ht="13.5" customHeight="1"/>
    <row r="77" spans="1:39" ht="13.5" customHeight="1"/>
    <row r="78" spans="1:39" ht="13.5" customHeight="1"/>
    <row r="79" spans="1:39" ht="13.5" customHeight="1"/>
    <row r="80" spans="1:39"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sheetData>
  <sheetProtection sheet="1" objects="1" scenarios="1"/>
  <mergeCells count="22">
    <mergeCell ref="K25:K26"/>
    <mergeCell ref="H25:H26"/>
    <mergeCell ref="J25:J26"/>
    <mergeCell ref="AD25:AD26"/>
    <mergeCell ref="AE25:AE26"/>
    <mergeCell ref="X25:X26"/>
    <mergeCell ref="Y25:Y26"/>
    <mergeCell ref="Z25:Z26"/>
    <mergeCell ref="AA25:AA26"/>
    <mergeCell ref="AB25:AB26"/>
    <mergeCell ref="AC25:AC26"/>
    <mergeCell ref="D25:D26"/>
    <mergeCell ref="E25:E26"/>
    <mergeCell ref="F25:F26"/>
    <mergeCell ref="G25:G26"/>
    <mergeCell ref="I25:I26"/>
    <mergeCell ref="A10:B10"/>
    <mergeCell ref="A11:B11"/>
    <mergeCell ref="A1:B1"/>
    <mergeCell ref="A7:B7"/>
    <mergeCell ref="A8:B8"/>
    <mergeCell ref="A9:B9"/>
  </mergeCells>
  <phoneticPr fontId="8" type="noConversion"/>
  <hyperlinks>
    <hyperlink ref="A10" location="Contents!A1" display="Contents"/>
    <hyperlink ref="A10:B10" location="Contents!A1" tooltip="Contents page" display="Contents"/>
    <hyperlink ref="A11:B11" r:id="rId1" tooltip="Unit M4: Forecasting &amp; Uncertainty" display="WebTAG Unit M 4"/>
  </hyperlinks>
  <pageMargins left="0.75" right="0.75" top="1" bottom="1" header="0.5" footer="0.5"/>
  <pageSetup paperSize="9" scale="54" fitToHeight="0" orientation="landscape" r:id="rId2"/>
  <headerFooter alignWithMargins="0"/>
  <drawing r:id="rId3"/>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indexed="10"/>
  </sheetPr>
  <dimension ref="A1:BQ84"/>
  <sheetViews>
    <sheetView showGridLines="0" topLeftCell="A7" zoomScale="70" zoomScaleNormal="70" workbookViewId="0">
      <selection activeCell="E23" sqref="E23:F23"/>
    </sheetView>
  </sheetViews>
  <sheetFormatPr defaultColWidth="12.88671875" defaultRowHeight="13.2"/>
  <cols>
    <col min="1" max="56" width="12.88671875" style="2555"/>
    <col min="57" max="57" width="12.33203125" style="2555" customWidth="1"/>
    <col min="58" max="16384" width="12.88671875" style="2555"/>
  </cols>
  <sheetData>
    <row r="1" spans="1:41" ht="54.9" customHeight="1">
      <c r="A1" s="3742"/>
      <c r="B1" s="3742"/>
      <c r="C1" s="112"/>
    </row>
    <row r="2" spans="1:41" ht="5.0999999999999996" customHeight="1">
      <c r="C2" s="111"/>
    </row>
    <row r="3" spans="1:41" s="20" customFormat="1" ht="20.100000000000001" customHeight="1">
      <c r="A3" s="83" t="s">
        <v>2339</v>
      </c>
      <c r="B3" s="83"/>
      <c r="C3" s="83"/>
      <c r="D3" s="83"/>
      <c r="E3" s="83"/>
      <c r="F3" s="83"/>
      <c r="G3" s="83"/>
      <c r="H3" s="83"/>
      <c r="I3" s="83"/>
      <c r="J3" s="83"/>
      <c r="K3" s="83"/>
      <c r="L3" s="83"/>
      <c r="M3" s="83"/>
      <c r="N3" s="83"/>
      <c r="O3" s="83"/>
      <c r="P3" s="83"/>
      <c r="Q3" s="83"/>
      <c r="R3" s="83"/>
      <c r="S3" s="83"/>
      <c r="T3" s="83"/>
      <c r="U3" s="83"/>
      <c r="Z3" s="83"/>
      <c r="AA3" s="83"/>
      <c r="AB3" s="83"/>
      <c r="AC3" s="83"/>
      <c r="AD3" s="46"/>
      <c r="AE3" s="83"/>
      <c r="AO3" s="150"/>
    </row>
    <row r="4" spans="1:41" s="20" customFormat="1" ht="20.100000000000001" customHeight="1" thickBot="1">
      <c r="A4" s="109" t="s">
        <v>1373</v>
      </c>
      <c r="B4" s="109"/>
      <c r="C4" s="109"/>
      <c r="D4" s="109"/>
      <c r="E4" s="109"/>
      <c r="F4" s="109"/>
      <c r="G4" s="109"/>
      <c r="H4" s="109"/>
      <c r="I4" s="109"/>
      <c r="J4" s="109"/>
      <c r="K4" s="109"/>
      <c r="L4" s="109"/>
      <c r="M4" s="109"/>
      <c r="N4" s="109"/>
      <c r="O4" s="109"/>
      <c r="P4" s="109"/>
      <c r="Q4" s="109"/>
      <c r="R4" s="109"/>
      <c r="S4" s="109"/>
      <c r="T4" s="109"/>
      <c r="U4" s="109"/>
      <c r="V4" s="235"/>
      <c r="W4" s="235"/>
      <c r="X4" s="235"/>
      <c r="Y4" s="235"/>
      <c r="Z4" s="109"/>
      <c r="AA4" s="109"/>
      <c r="AB4" s="109"/>
      <c r="AC4" s="109"/>
      <c r="AD4" s="440"/>
      <c r="AE4" s="109"/>
      <c r="AF4" s="235"/>
      <c r="AG4" s="235"/>
      <c r="AH4" s="235"/>
      <c r="AI4" s="235"/>
      <c r="AJ4" s="235"/>
      <c r="AK4" s="235"/>
      <c r="AL4" s="235"/>
      <c r="AM4" s="235"/>
      <c r="AO4" s="150"/>
    </row>
    <row r="5" spans="1:41" s="2619" customFormat="1" ht="9.9" customHeight="1" thickTop="1" thickBot="1">
      <c r="B5" s="85"/>
      <c r="C5" s="85"/>
      <c r="D5" s="314"/>
      <c r="E5" s="85"/>
      <c r="F5" s="85"/>
      <c r="G5" s="314"/>
      <c r="H5" s="85"/>
      <c r="I5" s="314"/>
      <c r="J5" s="314"/>
      <c r="K5" s="314"/>
      <c r="L5" s="314"/>
      <c r="M5" s="314"/>
      <c r="N5" s="314"/>
      <c r="O5" s="314"/>
      <c r="P5" s="314"/>
      <c r="Q5" s="314"/>
      <c r="R5" s="314"/>
      <c r="S5" s="314"/>
      <c r="T5" s="314"/>
      <c r="U5" s="314"/>
      <c r="Z5" s="335"/>
      <c r="AA5" s="335"/>
      <c r="AB5" s="335"/>
      <c r="AC5" s="335"/>
      <c r="AD5" s="31"/>
      <c r="AE5" s="335"/>
      <c r="AO5" s="87"/>
    </row>
    <row r="6" spans="1:41" s="2619" customFormat="1" ht="13.5" customHeight="1" thickTop="1" thickBot="1">
      <c r="A6" s="169" t="s">
        <v>10</v>
      </c>
      <c r="B6" s="169"/>
      <c r="E6" s="122" t="s">
        <v>255</v>
      </c>
      <c r="F6" s="175"/>
      <c r="G6" s="175"/>
      <c r="H6" s="175"/>
      <c r="I6" s="175"/>
      <c r="J6" s="175"/>
      <c r="K6" s="175"/>
      <c r="L6" s="175"/>
      <c r="M6" s="175"/>
      <c r="N6" s="175"/>
      <c r="O6" s="175"/>
      <c r="P6" s="175"/>
      <c r="Q6" s="175"/>
      <c r="R6" s="175"/>
      <c r="S6" s="176"/>
      <c r="T6" s="15"/>
      <c r="U6" s="15"/>
      <c r="Z6" s="335"/>
      <c r="AA6" s="335"/>
      <c r="AB6" s="335"/>
      <c r="AC6" s="335"/>
      <c r="AD6" s="31"/>
      <c r="AE6" s="335"/>
      <c r="AO6" s="87"/>
    </row>
    <row r="7" spans="1:41" s="2619" customFormat="1" ht="13.5" customHeight="1" thickTop="1">
      <c r="A7" s="3644" t="str">
        <f>Audit!A12</f>
        <v>May 2019 v1.12</v>
      </c>
      <c r="B7" s="3645"/>
      <c r="E7" s="1687" t="s">
        <v>11</v>
      </c>
      <c r="F7" s="2620" t="s">
        <v>328</v>
      </c>
      <c r="G7" s="2620"/>
      <c r="H7" s="2620"/>
      <c r="I7" s="2620"/>
      <c r="J7" s="2620"/>
      <c r="K7" s="2620"/>
      <c r="L7" s="2620"/>
      <c r="M7" s="2620"/>
      <c r="N7" s="2620"/>
      <c r="O7" s="2620"/>
      <c r="P7" s="2620"/>
      <c r="Q7" s="2620"/>
      <c r="R7" s="2620"/>
      <c r="S7" s="2705"/>
      <c r="T7" s="2557"/>
      <c r="U7" s="2557"/>
      <c r="Z7" s="335"/>
      <c r="AA7" s="335"/>
      <c r="AB7" s="335"/>
      <c r="AC7" s="335"/>
      <c r="AD7" s="31"/>
      <c r="AE7" s="335"/>
      <c r="AO7" s="87"/>
    </row>
    <row r="8" spans="1:41" s="2619" customFormat="1" ht="13.5" customHeight="1">
      <c r="A8" s="3646">
        <f>Audit!C12</f>
        <v>43586</v>
      </c>
      <c r="B8" s="3645"/>
      <c r="E8" s="91" t="s">
        <v>74</v>
      </c>
      <c r="F8" s="2568"/>
      <c r="G8" s="2568"/>
      <c r="H8" s="2557" t="s">
        <v>917</v>
      </c>
      <c r="I8" s="2557"/>
      <c r="J8" s="2557"/>
      <c r="K8" s="2557"/>
      <c r="L8" s="2557"/>
      <c r="M8" s="2557"/>
      <c r="N8" s="2557"/>
      <c r="O8" s="2557"/>
      <c r="P8" s="2557"/>
      <c r="Q8" s="2557"/>
      <c r="R8" s="2557"/>
      <c r="S8" s="2558"/>
      <c r="T8" s="2557"/>
      <c r="U8" s="2557"/>
      <c r="Z8" s="335"/>
      <c r="AA8" s="335"/>
      <c r="AB8" s="335"/>
      <c r="AC8" s="335"/>
      <c r="AD8" s="31"/>
      <c r="AE8" s="335"/>
      <c r="AO8" s="87"/>
    </row>
    <row r="9" spans="1:41" s="2619" customFormat="1" ht="13.5" customHeight="1" thickBot="1">
      <c r="A9" s="3642" t="s">
        <v>1149</v>
      </c>
      <c r="B9" s="3643"/>
      <c r="E9" s="2528"/>
      <c r="F9" s="2793" t="s">
        <v>75</v>
      </c>
      <c r="G9" s="2717"/>
      <c r="H9" s="2619" t="s">
        <v>918</v>
      </c>
      <c r="I9" s="2557"/>
      <c r="J9" s="2557"/>
      <c r="K9" s="2557"/>
      <c r="L9" s="2557"/>
      <c r="M9" s="2557"/>
      <c r="N9" s="2557"/>
      <c r="O9" s="2557"/>
      <c r="P9" s="2557"/>
      <c r="Q9" s="2557"/>
      <c r="R9" s="2557"/>
      <c r="S9" s="2558"/>
      <c r="T9" s="2557"/>
      <c r="U9" s="2557"/>
      <c r="Z9" s="335"/>
      <c r="AA9" s="335"/>
      <c r="AB9" s="335"/>
      <c r="AC9" s="335"/>
      <c r="AD9" s="31"/>
      <c r="AE9" s="335"/>
      <c r="AO9" s="87"/>
    </row>
    <row r="10" spans="1:41" s="2619" customFormat="1" ht="13.5" customHeight="1" thickBot="1">
      <c r="A10" s="3611" t="s">
        <v>1306</v>
      </c>
      <c r="B10" s="3612"/>
      <c r="E10" s="2528"/>
      <c r="F10" s="2793" t="s">
        <v>1478</v>
      </c>
      <c r="G10" s="2717"/>
      <c r="H10" s="2681" t="s">
        <v>1742</v>
      </c>
      <c r="I10" s="335"/>
      <c r="J10" s="335"/>
      <c r="K10" s="335"/>
      <c r="L10" s="335"/>
      <c r="M10" s="335"/>
      <c r="N10" s="335"/>
      <c r="O10" s="335"/>
      <c r="P10" s="335"/>
      <c r="Q10" s="335"/>
      <c r="R10" s="335"/>
      <c r="S10" s="2562"/>
      <c r="T10" s="335"/>
      <c r="U10" s="335"/>
      <c r="Z10" s="335"/>
      <c r="AA10" s="335"/>
      <c r="AB10" s="335"/>
      <c r="AC10" s="335"/>
      <c r="AD10" s="31"/>
      <c r="AE10" s="335"/>
      <c r="AO10" s="87"/>
    </row>
    <row r="11" spans="1:41" s="2619" customFormat="1" ht="13.5" customHeight="1" thickBot="1">
      <c r="A11" s="3611" t="s">
        <v>2211</v>
      </c>
      <c r="B11" s="3639"/>
      <c r="E11" s="2528"/>
      <c r="F11" s="2619" t="s">
        <v>1388</v>
      </c>
      <c r="H11" s="2619" t="s">
        <v>1389</v>
      </c>
      <c r="I11" s="2563"/>
      <c r="J11" s="2563"/>
      <c r="K11" s="2563"/>
      <c r="L11" s="2563"/>
      <c r="M11" s="2563"/>
      <c r="N11" s="2563"/>
      <c r="O11" s="2563"/>
      <c r="P11" s="2563"/>
      <c r="Q11" s="2563"/>
      <c r="R11" s="2563"/>
      <c r="S11" s="2564"/>
      <c r="T11" s="2563"/>
      <c r="U11" s="2563"/>
      <c r="Z11" s="335"/>
      <c r="AA11" s="335"/>
      <c r="AB11" s="335"/>
      <c r="AC11" s="335"/>
      <c r="AD11" s="31"/>
      <c r="AE11" s="335"/>
      <c r="AO11" s="87"/>
    </row>
    <row r="12" spans="1:41" s="2619" customFormat="1" ht="13.5" customHeight="1">
      <c r="A12" s="15"/>
      <c r="B12" s="15"/>
      <c r="E12" s="2528" t="s">
        <v>1274</v>
      </c>
      <c r="I12" s="2557"/>
      <c r="J12" s="2557"/>
      <c r="K12" s="335"/>
      <c r="L12" s="335"/>
      <c r="M12" s="335"/>
      <c r="N12" s="2557"/>
      <c r="O12" s="2557"/>
      <c r="P12" s="2563"/>
      <c r="Q12" s="2563"/>
      <c r="R12" s="2563"/>
      <c r="S12" s="2564"/>
      <c r="T12" s="2563"/>
      <c r="U12" s="2563"/>
      <c r="Z12" s="335"/>
      <c r="AA12" s="335"/>
      <c r="AB12" s="335"/>
      <c r="AC12" s="335"/>
      <c r="AD12" s="31"/>
      <c r="AE12" s="335"/>
      <c r="AO12" s="87"/>
    </row>
    <row r="13" spans="1:41" s="2619" customFormat="1" ht="13.5" customHeight="1">
      <c r="A13" s="172" t="s">
        <v>252</v>
      </c>
      <c r="B13" s="2565"/>
      <c r="E13" s="2528" t="s">
        <v>1386</v>
      </c>
      <c r="F13" s="2555"/>
      <c r="G13" s="2555"/>
      <c r="H13" s="2555" t="str">
        <f>H14</f>
        <v>L = a/v + b + c.v + d.v2</v>
      </c>
      <c r="I13" s="2557"/>
      <c r="J13" s="2557" t="s">
        <v>1276</v>
      </c>
      <c r="K13" s="2557"/>
      <c r="L13" s="2557" t="s">
        <v>1390</v>
      </c>
      <c r="M13" s="2557"/>
      <c r="N13" s="2557" t="str">
        <f>'VoC Non-Fuel'!J8</f>
        <v>C = a1 + b1/V</v>
      </c>
      <c r="O13" s="2555"/>
      <c r="P13" s="2557"/>
      <c r="Q13" s="2557"/>
      <c r="R13" s="2557"/>
      <c r="S13" s="2558"/>
      <c r="T13" s="2557"/>
      <c r="U13" s="2557"/>
      <c r="Z13" s="335"/>
      <c r="AA13" s="335"/>
      <c r="AB13" s="335"/>
      <c r="AC13" s="335"/>
      <c r="AD13" s="31"/>
      <c r="AE13" s="335"/>
      <c r="AO13" s="87"/>
    </row>
    <row r="14" spans="1:41" ht="13.5" customHeight="1">
      <c r="A14" s="59" t="s">
        <v>799</v>
      </c>
      <c r="B14" s="221">
        <f>'User Parameters'!L13</f>
        <v>2010</v>
      </c>
      <c r="C14" s="2647"/>
      <c r="E14" s="2528" t="s">
        <v>1275</v>
      </c>
      <c r="H14" s="2555" t="str">
        <f>'Fuel consumption'!I7</f>
        <v>L = a/v + b + c.v + d.v2</v>
      </c>
      <c r="I14" s="2557"/>
      <c r="J14" s="2557" t="s">
        <v>1276</v>
      </c>
      <c r="K14" s="2557"/>
      <c r="L14" s="2557"/>
      <c r="M14" s="2557"/>
      <c r="N14" s="2557"/>
      <c r="O14" s="2557"/>
      <c r="P14" s="2557"/>
      <c r="Q14" s="2557"/>
      <c r="R14" s="2557"/>
      <c r="S14" s="2558"/>
      <c r="T14" s="2557"/>
      <c r="U14" s="2557"/>
      <c r="Z14" s="2556"/>
      <c r="AA14" s="2556"/>
      <c r="AB14" s="2556"/>
      <c r="AC14" s="96"/>
      <c r="AD14" s="31"/>
      <c r="AE14" s="335"/>
    </row>
    <row r="15" spans="1:41" ht="13.5" customHeight="1">
      <c r="A15" s="2794"/>
      <c r="B15" s="32"/>
      <c r="C15" s="7"/>
      <c r="E15" s="2528" t="s">
        <v>2</v>
      </c>
      <c r="F15" s="2795"/>
      <c r="G15" s="2795">
        <f>'A1.3.4'!J27/100</f>
        <v>0.1205924519584583</v>
      </c>
      <c r="H15" s="2619" t="s">
        <v>3</v>
      </c>
      <c r="I15" s="335"/>
      <c r="J15" s="335"/>
      <c r="K15" s="2796"/>
      <c r="L15" s="2796"/>
      <c r="M15" s="2796"/>
      <c r="N15" s="2796"/>
      <c r="O15" s="2246"/>
      <c r="P15" s="2557"/>
      <c r="Q15" s="2557"/>
      <c r="R15" s="2557"/>
      <c r="S15" s="2558"/>
      <c r="T15" s="2557"/>
      <c r="U15" s="2557"/>
      <c r="W15" s="25"/>
      <c r="X15" s="25"/>
      <c r="Z15" s="59"/>
      <c r="AA15" s="2556"/>
      <c r="AB15" s="2556"/>
      <c r="AC15" s="96"/>
      <c r="AD15" s="31"/>
      <c r="AE15" s="335"/>
    </row>
    <row r="16" spans="1:41" ht="13.5" customHeight="1">
      <c r="B16" s="2557"/>
      <c r="C16" s="7"/>
      <c r="E16" s="2528" t="s">
        <v>1515</v>
      </c>
      <c r="F16" s="2795"/>
      <c r="G16" s="2795"/>
      <c r="H16" s="2619"/>
      <c r="I16" s="335"/>
      <c r="J16" s="335"/>
      <c r="K16" s="2796"/>
      <c r="L16" s="2796"/>
      <c r="M16" s="2796"/>
      <c r="N16" s="2796"/>
      <c r="O16" s="2246"/>
      <c r="P16" s="335"/>
      <c r="Q16" s="335"/>
      <c r="R16" s="335"/>
      <c r="S16" s="2562"/>
      <c r="T16" s="335"/>
      <c r="U16" s="335"/>
      <c r="W16" s="25"/>
      <c r="X16" s="25"/>
      <c r="Z16" s="335"/>
      <c r="AA16" s="335"/>
      <c r="AB16" s="335"/>
      <c r="AC16" s="335"/>
      <c r="AD16" s="335"/>
      <c r="AE16" s="335"/>
    </row>
    <row r="17" spans="1:69" ht="13.5" customHeight="1">
      <c r="A17" s="169" t="s">
        <v>253</v>
      </c>
      <c r="B17" s="2570"/>
      <c r="C17" s="2647"/>
      <c r="E17" s="2528" t="s">
        <v>1516</v>
      </c>
      <c r="F17" s="1496"/>
      <c r="I17" s="2557"/>
      <c r="J17" s="2557"/>
      <c r="K17" s="2557"/>
      <c r="L17" s="2557"/>
      <c r="M17" s="2557"/>
      <c r="N17" s="2557"/>
      <c r="O17" s="2557"/>
      <c r="P17" s="2557"/>
      <c r="Q17" s="2557"/>
      <c r="R17" s="2557"/>
      <c r="S17" s="2558"/>
      <c r="T17" s="2557"/>
      <c r="U17" s="2557"/>
      <c r="W17" s="25"/>
      <c r="X17" s="25"/>
    </row>
    <row r="18" spans="1:69" ht="13.5" customHeight="1">
      <c r="C18" s="2619"/>
      <c r="E18" s="2554" t="s">
        <v>2389</v>
      </c>
      <c r="I18" s="2557"/>
      <c r="J18" s="2557"/>
      <c r="K18" s="691"/>
      <c r="L18" s="691"/>
      <c r="M18" s="691"/>
      <c r="N18" s="691"/>
      <c r="O18" s="2243"/>
      <c r="P18" s="2557"/>
      <c r="Q18" s="2557"/>
      <c r="R18" s="2557"/>
      <c r="S18" s="2558"/>
      <c r="T18" s="2557"/>
      <c r="U18" s="2557"/>
      <c r="W18" s="25"/>
      <c r="X18" s="25"/>
    </row>
    <row r="19" spans="1:69" ht="13.5" customHeight="1">
      <c r="E19" s="2676" t="s">
        <v>76</v>
      </c>
      <c r="F19" s="29"/>
      <c r="G19" s="32"/>
      <c r="H19" s="335"/>
      <c r="I19" s="31"/>
      <c r="J19" s="31"/>
      <c r="K19" s="335"/>
      <c r="L19" s="2556"/>
      <c r="M19" s="2556"/>
      <c r="N19" s="2556"/>
      <c r="O19" s="2556"/>
      <c r="P19" s="96"/>
      <c r="Q19" s="96"/>
      <c r="R19" s="31"/>
      <c r="S19" s="2562"/>
      <c r="T19" s="335"/>
      <c r="U19" s="335"/>
      <c r="W19" s="25"/>
      <c r="X19" s="25"/>
    </row>
    <row r="20" spans="1:69" ht="13.5" customHeight="1" thickBot="1">
      <c r="E20" s="2677" t="s">
        <v>2340</v>
      </c>
      <c r="F20" s="163"/>
      <c r="G20" s="164"/>
      <c r="H20" s="2707"/>
      <c r="I20" s="165"/>
      <c r="J20" s="165"/>
      <c r="K20" s="2707"/>
      <c r="L20" s="2708"/>
      <c r="M20" s="2708"/>
      <c r="N20" s="2708"/>
      <c r="O20" s="2708"/>
      <c r="P20" s="167"/>
      <c r="Q20" s="167"/>
      <c r="R20" s="165"/>
      <c r="S20" s="2709"/>
      <c r="T20" s="335"/>
      <c r="U20" s="335"/>
      <c r="W20" s="25"/>
      <c r="X20" s="25"/>
    </row>
    <row r="21" spans="1:69" ht="13.5" customHeight="1" thickTop="1">
      <c r="E21" s="2794"/>
      <c r="F21" s="29"/>
      <c r="G21" s="32"/>
      <c r="H21" s="335"/>
      <c r="I21" s="31"/>
      <c r="J21" s="31"/>
      <c r="K21" s="335"/>
      <c r="L21" s="2556"/>
      <c r="M21" s="2556"/>
      <c r="N21" s="2556"/>
      <c r="O21" s="2556"/>
      <c r="P21" s="96"/>
      <c r="Q21" s="96"/>
      <c r="R21" s="31"/>
      <c r="S21" s="335"/>
      <c r="T21" s="335"/>
      <c r="U21" s="335"/>
      <c r="W21" s="25"/>
      <c r="X21" s="25"/>
    </row>
    <row r="22" spans="1:69" ht="13.5" customHeight="1" thickBot="1">
      <c r="A22" s="2557"/>
      <c r="B22" s="2557"/>
      <c r="C22" s="2557"/>
      <c r="D22" s="2557"/>
      <c r="E22" s="2557"/>
      <c r="F22" s="2557"/>
      <c r="G22" s="2557"/>
      <c r="H22" s="2557"/>
      <c r="I22" s="2557"/>
      <c r="J22" s="2557"/>
      <c r="K22" s="2557">
        <v>15</v>
      </c>
      <c r="L22" s="2557">
        <v>16</v>
      </c>
      <c r="M22" s="2557">
        <v>17</v>
      </c>
      <c r="N22" s="2557">
        <v>18</v>
      </c>
      <c r="O22" s="2557">
        <v>15</v>
      </c>
      <c r="P22" s="2557">
        <v>16</v>
      </c>
      <c r="Q22" s="2557">
        <v>17</v>
      </c>
      <c r="R22" s="2557">
        <v>18</v>
      </c>
      <c r="S22" s="2557">
        <v>3</v>
      </c>
      <c r="T22" s="2557">
        <v>4</v>
      </c>
      <c r="U22" s="2557"/>
      <c r="V22" s="2557"/>
      <c r="W22" s="2557"/>
      <c r="X22" s="2557"/>
      <c r="Y22" s="2557"/>
      <c r="Z22" s="2557"/>
      <c r="AA22" s="2557"/>
      <c r="AB22" s="2557"/>
      <c r="AC22" s="2557"/>
      <c r="AD22" s="2557"/>
      <c r="AE22" s="2557"/>
      <c r="AF22" s="2557"/>
      <c r="AG22" s="2557"/>
      <c r="AH22" s="2557"/>
      <c r="AI22" s="2557"/>
      <c r="AJ22" s="2557"/>
      <c r="AK22" s="2557"/>
      <c r="AL22" s="2557"/>
      <c r="AM22" s="2557"/>
      <c r="AN22" s="2557"/>
      <c r="AO22" s="2557"/>
      <c r="AP22" s="2557"/>
      <c r="AQ22" s="2557"/>
      <c r="AR22" s="2557"/>
      <c r="AS22" s="2557"/>
      <c r="AT22" s="2557"/>
      <c r="AU22" s="2557"/>
      <c r="AV22" s="2557"/>
      <c r="AW22" s="2557"/>
      <c r="AX22" s="2557"/>
      <c r="AY22" s="2557"/>
      <c r="AZ22" s="2557"/>
      <c r="BA22" s="2557"/>
      <c r="BB22" s="2557"/>
      <c r="BC22" s="2557"/>
      <c r="BD22" s="2557"/>
      <c r="BE22" s="2557"/>
      <c r="BF22" s="2557"/>
      <c r="BG22" s="2557"/>
      <c r="BH22" s="2557"/>
      <c r="BI22" s="2557"/>
      <c r="BJ22" s="2557"/>
      <c r="BK22" s="2557"/>
      <c r="BL22" s="2557"/>
      <c r="BM22" s="2557"/>
      <c r="BN22" s="2557"/>
      <c r="BO22" s="2557"/>
      <c r="BP22" s="2557"/>
      <c r="BQ22" s="2557"/>
    </row>
    <row r="23" spans="1:69" ht="13.5" customHeight="1" thickTop="1" thickBot="1">
      <c r="A23" s="122" t="s">
        <v>71</v>
      </c>
      <c r="B23" s="88"/>
      <c r="C23" s="126"/>
      <c r="D23" s="125" t="s">
        <v>381</v>
      </c>
      <c r="E23" s="2797"/>
      <c r="F23" s="2797"/>
      <c r="G23" s="151"/>
      <c r="H23" s="151"/>
      <c r="I23" s="151"/>
      <c r="J23" s="152"/>
      <c r="K23" s="2537"/>
      <c r="L23" s="151"/>
      <c r="M23" s="151"/>
      <c r="N23" s="152"/>
      <c r="O23" s="2538"/>
      <c r="P23" s="151"/>
      <c r="Q23" s="151"/>
      <c r="R23" s="152"/>
      <c r="S23" s="2538"/>
      <c r="T23" s="152"/>
      <c r="U23" s="2538"/>
      <c r="V23" s="2797"/>
      <c r="W23" s="2797"/>
      <c r="X23" s="2797"/>
      <c r="Y23" s="2797"/>
      <c r="Z23" s="2797"/>
      <c r="AA23" s="2798"/>
      <c r="AB23" s="2799"/>
      <c r="AC23" s="2797"/>
      <c r="AD23" s="2797"/>
      <c r="AE23" s="2797"/>
      <c r="AF23" s="2797"/>
      <c r="AG23" s="2797"/>
      <c r="AH23" s="2798"/>
      <c r="AI23" s="2800"/>
      <c r="AJ23" s="2799"/>
      <c r="AK23" s="2797"/>
      <c r="AL23" s="2797"/>
      <c r="AM23" s="2797"/>
      <c r="AN23" s="2797"/>
      <c r="AO23" s="2797"/>
      <c r="AP23" s="2798"/>
      <c r="AQ23" s="2799"/>
      <c r="AR23" s="2797"/>
      <c r="AS23" s="2797"/>
      <c r="AT23" s="2797"/>
      <c r="AU23" s="2797"/>
      <c r="AV23" s="2691" t="s">
        <v>1669</v>
      </c>
      <c r="AW23" s="2797"/>
      <c r="AX23" s="2797"/>
      <c r="AY23" s="2797"/>
      <c r="AZ23" s="2797"/>
      <c r="BA23" s="2797"/>
      <c r="BB23" s="2797"/>
      <c r="BC23" s="2797"/>
      <c r="BD23" s="2798"/>
      <c r="BE23" s="2557"/>
      <c r="BF23" s="2799"/>
      <c r="BG23" s="2797"/>
      <c r="BH23" s="2797"/>
      <c r="BI23" s="2797"/>
      <c r="BJ23" s="2797"/>
      <c r="BK23" s="2797"/>
      <c r="BL23" s="2798"/>
      <c r="BM23" s="2799"/>
      <c r="BN23" s="2797"/>
      <c r="BO23" s="2797"/>
      <c r="BP23" s="2797"/>
      <c r="BQ23" s="2797"/>
    </row>
    <row r="24" spans="1:69" ht="13.5" customHeight="1" thickTop="1">
      <c r="A24" s="2241"/>
      <c r="B24" s="2242"/>
      <c r="C24" s="2244"/>
      <c r="D24" s="1140" t="s">
        <v>382</v>
      </c>
      <c r="E24" s="2539"/>
      <c r="F24" s="2539"/>
      <c r="G24" s="2548"/>
      <c r="H24" s="2539"/>
      <c r="I24" s="2539"/>
      <c r="J24" s="2801"/>
      <c r="K24" s="3878" t="s">
        <v>1507</v>
      </c>
      <c r="L24" s="3696"/>
      <c r="M24" s="3696"/>
      <c r="N24" s="3697"/>
      <c r="O24" s="3878" t="s">
        <v>1508</v>
      </c>
      <c r="P24" s="3696"/>
      <c r="Q24" s="3696"/>
      <c r="R24" s="3697"/>
      <c r="S24" s="3878" t="s">
        <v>647</v>
      </c>
      <c r="T24" s="3697"/>
      <c r="U24" s="1140" t="s">
        <v>1517</v>
      </c>
      <c r="V24" s="2548"/>
      <c r="W24" s="2548"/>
      <c r="X24" s="2548"/>
      <c r="Y24" s="2548"/>
      <c r="Z24" s="2548"/>
      <c r="AA24" s="2802"/>
      <c r="AB24" s="1140" t="s">
        <v>1517</v>
      </c>
      <c r="AC24" s="2548"/>
      <c r="AD24" s="2548"/>
      <c r="AE24" s="2548"/>
      <c r="AF24" s="2548"/>
      <c r="AG24" s="2548"/>
      <c r="AH24" s="2802"/>
      <c r="AI24" s="1153" t="s">
        <v>1511</v>
      </c>
      <c r="AJ24" s="1140" t="s">
        <v>1517</v>
      </c>
      <c r="AK24" s="2548"/>
      <c r="AL24" s="2548"/>
      <c r="AM24" s="2548"/>
      <c r="AN24" s="2548"/>
      <c r="AO24" s="2548"/>
      <c r="AP24" s="2802"/>
      <c r="AQ24" s="2803"/>
      <c r="AR24" s="2584" t="s">
        <v>1995</v>
      </c>
      <c r="AS24" s="2669"/>
      <c r="AT24" s="2669"/>
      <c r="AU24" s="2802"/>
      <c r="AV24" s="2545"/>
      <c r="AW24" s="2669"/>
      <c r="AX24" s="2669"/>
      <c r="AY24" s="2692" t="s">
        <v>1671</v>
      </c>
      <c r="AZ24" s="2804"/>
      <c r="BA24" s="2804">
        <v>0.51</v>
      </c>
      <c r="BB24" s="2804">
        <v>0.9</v>
      </c>
      <c r="BC24" s="2804">
        <v>0.74</v>
      </c>
      <c r="BD24" s="2802"/>
      <c r="BE24" s="2557"/>
      <c r="BF24" s="2546"/>
      <c r="BG24" s="3878" t="s">
        <v>483</v>
      </c>
      <c r="BH24" s="3696"/>
      <c r="BI24" s="3696"/>
      <c r="BJ24" s="3697"/>
      <c r="BK24" s="3878" t="s">
        <v>484</v>
      </c>
      <c r="BL24" s="3696"/>
      <c r="BM24" s="3696"/>
      <c r="BN24" s="3697"/>
      <c r="BO24" s="2545"/>
      <c r="BP24" s="1152" t="s">
        <v>1519</v>
      </c>
      <c r="BQ24" s="2802"/>
    </row>
    <row r="25" spans="1:69" ht="13.5" customHeight="1">
      <c r="A25" s="2805"/>
      <c r="B25" s="2565" t="s">
        <v>1450</v>
      </c>
      <c r="C25" s="2806"/>
      <c r="D25" s="2529" t="s">
        <v>376</v>
      </c>
      <c r="E25" s="2245" t="s">
        <v>1126</v>
      </c>
      <c r="F25" s="2245" t="s">
        <v>377</v>
      </c>
      <c r="G25" s="2245" t="s">
        <v>378</v>
      </c>
      <c r="H25" s="2245" t="s">
        <v>67</v>
      </c>
      <c r="I25" s="2245" t="s">
        <v>67</v>
      </c>
      <c r="J25" s="2735" t="s">
        <v>72</v>
      </c>
      <c r="K25" s="2533" t="s">
        <v>1513</v>
      </c>
      <c r="L25" s="2245"/>
      <c r="M25" s="2245"/>
      <c r="N25" s="2735"/>
      <c r="O25" s="2533" t="s">
        <v>1513</v>
      </c>
      <c r="P25" s="2245"/>
      <c r="Q25" s="2245"/>
      <c r="R25" s="2735"/>
      <c r="S25" s="2807" t="s">
        <v>1510</v>
      </c>
      <c r="T25" s="2535"/>
      <c r="U25" s="280" t="s">
        <v>1441</v>
      </c>
      <c r="V25" s="2808"/>
      <c r="W25" s="2808"/>
      <c r="X25" s="2808"/>
      <c r="Y25" s="2808"/>
      <c r="Z25" s="2808"/>
      <c r="AA25" s="2735"/>
      <c r="AB25" s="280" t="s">
        <v>256</v>
      </c>
      <c r="AC25" s="2808"/>
      <c r="AD25" s="2808"/>
      <c r="AE25" s="2808"/>
      <c r="AF25" s="2808"/>
      <c r="AG25" s="2808"/>
      <c r="AH25" s="2735"/>
      <c r="AI25" s="279" t="s">
        <v>1518</v>
      </c>
      <c r="AJ25" s="280" t="s">
        <v>1</v>
      </c>
      <c r="AK25" s="2808"/>
      <c r="AL25" s="2808"/>
      <c r="AM25" s="2808"/>
      <c r="AN25" s="2808"/>
      <c r="AO25" s="2808"/>
      <c r="AP25" s="2735"/>
      <c r="AQ25" s="2688"/>
      <c r="AR25" s="2690" t="s">
        <v>1737</v>
      </c>
      <c r="AS25" s="2565" t="s">
        <v>1997</v>
      </c>
      <c r="AT25" s="2565" t="s">
        <v>1739</v>
      </c>
      <c r="AU25" s="2735" t="s">
        <v>1740</v>
      </c>
      <c r="AV25" s="2690"/>
      <c r="AW25" s="2565"/>
      <c r="AX25" s="2565"/>
      <c r="AY25" s="2693" t="s">
        <v>1670</v>
      </c>
      <c r="AZ25" s="2809"/>
      <c r="BA25" s="2809">
        <v>0.49</v>
      </c>
      <c r="BB25" s="2809">
        <v>0.1</v>
      </c>
      <c r="BC25" s="2809">
        <v>0.26</v>
      </c>
      <c r="BD25" s="2735"/>
      <c r="BE25" s="2647"/>
      <c r="BF25" s="2688" t="s">
        <v>1450</v>
      </c>
      <c r="BG25" s="2533" t="s">
        <v>1513</v>
      </c>
      <c r="BH25" s="2245"/>
      <c r="BI25" s="2245"/>
      <c r="BJ25" s="2735"/>
      <c r="BK25" s="2533" t="s">
        <v>1513</v>
      </c>
      <c r="BL25" s="2245"/>
      <c r="BM25" s="2245"/>
      <c r="BN25" s="2735"/>
      <c r="BO25" s="2690"/>
      <c r="BP25" s="2565"/>
      <c r="BQ25" s="2735"/>
    </row>
    <row r="26" spans="1:69" ht="13.5" customHeight="1">
      <c r="A26" s="2805"/>
      <c r="B26" s="2565"/>
      <c r="C26" s="2806"/>
      <c r="D26" s="2529"/>
      <c r="E26" s="2245"/>
      <c r="F26" s="2245"/>
      <c r="G26" s="2245"/>
      <c r="H26" s="2245"/>
      <c r="I26" s="2245"/>
      <c r="J26" s="2735"/>
      <c r="K26" s="2534">
        <f>$B$14</f>
        <v>2010</v>
      </c>
      <c r="L26" s="2527" t="s">
        <v>1514</v>
      </c>
      <c r="M26" s="2245"/>
      <c r="N26" s="2735"/>
      <c r="O26" s="2534">
        <f>$B$14</f>
        <v>2010</v>
      </c>
      <c r="P26" s="2527" t="s">
        <v>1514</v>
      </c>
      <c r="Q26" s="2245"/>
      <c r="R26" s="2735"/>
      <c r="S26" s="2534">
        <f>$B$14</f>
        <v>2010</v>
      </c>
      <c r="T26" s="2536" t="s">
        <v>1514</v>
      </c>
      <c r="U26" s="3879" t="s">
        <v>919</v>
      </c>
      <c r="V26" s="3872" t="s">
        <v>920</v>
      </c>
      <c r="W26" s="3872" t="s">
        <v>4</v>
      </c>
      <c r="X26" s="3872" t="s">
        <v>0</v>
      </c>
      <c r="Y26" s="3872" t="s">
        <v>5</v>
      </c>
      <c r="Z26" s="3872" t="s">
        <v>6</v>
      </c>
      <c r="AA26" s="3881" t="s">
        <v>72</v>
      </c>
      <c r="AB26" s="3879" t="s">
        <v>919</v>
      </c>
      <c r="AC26" s="3872" t="s">
        <v>920</v>
      </c>
      <c r="AD26" s="3872" t="s">
        <v>4</v>
      </c>
      <c r="AE26" s="3872" t="s">
        <v>0</v>
      </c>
      <c r="AF26" s="3872" t="s">
        <v>5</v>
      </c>
      <c r="AG26" s="3872" t="s">
        <v>6</v>
      </c>
      <c r="AH26" s="3881" t="s">
        <v>72</v>
      </c>
      <c r="AI26" s="2688"/>
      <c r="AJ26" s="3879" t="s">
        <v>919</v>
      </c>
      <c r="AK26" s="3872" t="s">
        <v>920</v>
      </c>
      <c r="AL26" s="3872" t="s">
        <v>4</v>
      </c>
      <c r="AM26" s="3872" t="s">
        <v>0</v>
      </c>
      <c r="AN26" s="3872" t="s">
        <v>5</v>
      </c>
      <c r="AO26" s="3872" t="s">
        <v>6</v>
      </c>
      <c r="AP26" s="3881" t="s">
        <v>72</v>
      </c>
      <c r="AQ26" s="2688" t="s">
        <v>1668</v>
      </c>
      <c r="AR26" s="2690" t="s">
        <v>1741</v>
      </c>
      <c r="AS26" s="2565" t="s">
        <v>1644</v>
      </c>
      <c r="AT26" s="2565"/>
      <c r="AU26" s="2735" t="s">
        <v>1645</v>
      </c>
      <c r="AV26" s="3882" t="s">
        <v>919</v>
      </c>
      <c r="AW26" s="3872" t="s">
        <v>920</v>
      </c>
      <c r="AX26" s="3872" t="s">
        <v>4</v>
      </c>
      <c r="AY26" s="3872" t="s">
        <v>0</v>
      </c>
      <c r="AZ26" s="3872" t="s">
        <v>1827</v>
      </c>
      <c r="BA26" s="3872" t="s">
        <v>1665</v>
      </c>
      <c r="BB26" s="3872" t="s">
        <v>1666</v>
      </c>
      <c r="BC26" s="3872" t="s">
        <v>1667</v>
      </c>
      <c r="BD26" s="3881" t="s">
        <v>72</v>
      </c>
      <c r="BE26" s="2810"/>
      <c r="BF26" s="2688"/>
      <c r="BG26" s="2534">
        <f>$B$14</f>
        <v>2010</v>
      </c>
      <c r="BH26" s="2527" t="s">
        <v>1514</v>
      </c>
      <c r="BI26" s="2245"/>
      <c r="BJ26" s="2735"/>
      <c r="BK26" s="2534">
        <f>$B$14</f>
        <v>2010</v>
      </c>
      <c r="BL26" s="2527" t="s">
        <v>1514</v>
      </c>
      <c r="BM26" s="2245"/>
      <c r="BN26" s="2735"/>
      <c r="BO26" s="2690"/>
      <c r="BP26" s="2565"/>
      <c r="BQ26" s="2735"/>
    </row>
    <row r="27" spans="1:69" ht="63.75" customHeight="1" thickBot="1">
      <c r="A27" s="2811"/>
      <c r="B27" s="659"/>
      <c r="C27" s="393"/>
      <c r="D27" s="2540"/>
      <c r="E27" s="2250" t="s">
        <v>379</v>
      </c>
      <c r="F27" s="2250"/>
      <c r="G27" s="2250" t="s">
        <v>379</v>
      </c>
      <c r="H27" s="2250" t="s">
        <v>380</v>
      </c>
      <c r="I27" s="2250" t="s">
        <v>788</v>
      </c>
      <c r="J27" s="2544" t="s">
        <v>1061</v>
      </c>
      <c r="K27" s="2540" t="s">
        <v>569</v>
      </c>
      <c r="L27" s="2250" t="s">
        <v>570</v>
      </c>
      <c r="M27" s="2250" t="s">
        <v>571</v>
      </c>
      <c r="N27" s="2544" t="s">
        <v>572</v>
      </c>
      <c r="O27" s="2540" t="s">
        <v>569</v>
      </c>
      <c r="P27" s="2250" t="s">
        <v>570</v>
      </c>
      <c r="Q27" s="2250" t="s">
        <v>571</v>
      </c>
      <c r="R27" s="2544" t="s">
        <v>572</v>
      </c>
      <c r="S27" s="2540" t="s">
        <v>569</v>
      </c>
      <c r="T27" s="2541" t="s">
        <v>570</v>
      </c>
      <c r="U27" s="3880"/>
      <c r="V27" s="3873"/>
      <c r="W27" s="3873"/>
      <c r="X27" s="3873"/>
      <c r="Y27" s="3873"/>
      <c r="Z27" s="3873"/>
      <c r="AA27" s="3875"/>
      <c r="AB27" s="3880"/>
      <c r="AC27" s="3873"/>
      <c r="AD27" s="3873"/>
      <c r="AE27" s="3873"/>
      <c r="AF27" s="3873"/>
      <c r="AG27" s="3873"/>
      <c r="AH27" s="3875"/>
      <c r="AI27" s="2812"/>
      <c r="AJ27" s="3880"/>
      <c r="AK27" s="3873"/>
      <c r="AL27" s="3873"/>
      <c r="AM27" s="3873"/>
      <c r="AN27" s="3873"/>
      <c r="AO27" s="3873"/>
      <c r="AP27" s="3875"/>
      <c r="AQ27" s="2689" t="s">
        <v>1352</v>
      </c>
      <c r="AR27" s="2813"/>
      <c r="AS27" s="2814"/>
      <c r="AT27" s="2814"/>
      <c r="AU27" s="2815"/>
      <c r="AV27" s="3880"/>
      <c r="AW27" s="3873"/>
      <c r="AX27" s="3873"/>
      <c r="AY27" s="3873"/>
      <c r="AZ27" s="3876"/>
      <c r="BA27" s="3873"/>
      <c r="BB27" s="3873"/>
      <c r="BC27" s="3873"/>
      <c r="BD27" s="3875"/>
      <c r="BE27" s="2524"/>
      <c r="BF27" s="392"/>
      <c r="BG27" s="2540" t="s">
        <v>569</v>
      </c>
      <c r="BH27" s="2250" t="s">
        <v>570</v>
      </c>
      <c r="BI27" s="2250" t="s">
        <v>571</v>
      </c>
      <c r="BJ27" s="2544" t="s">
        <v>572</v>
      </c>
      <c r="BK27" s="2540" t="s">
        <v>569</v>
      </c>
      <c r="BL27" s="2250" t="s">
        <v>570</v>
      </c>
      <c r="BM27" s="2250" t="s">
        <v>571</v>
      </c>
      <c r="BN27" s="2544" t="s">
        <v>572</v>
      </c>
      <c r="BO27" s="2542" t="s">
        <v>1509</v>
      </c>
      <c r="BP27" s="2543" t="s">
        <v>1329</v>
      </c>
      <c r="BQ27" s="2544" t="s">
        <v>1512</v>
      </c>
    </row>
    <row r="28" spans="1:69" ht="13.5" customHeight="1" thickTop="1">
      <c r="A28" s="2822"/>
      <c r="B28" s="714">
        <v>2010</v>
      </c>
      <c r="C28" s="64"/>
      <c r="D28" s="2307">
        <v>30.424004981897845</v>
      </c>
      <c r="E28" s="2243">
        <v>80.020522293548595</v>
      </c>
      <c r="F28" s="2243">
        <v>62.447206487633004</v>
      </c>
      <c r="G28" s="2243">
        <v>70.989690839615477</v>
      </c>
      <c r="H28" s="2243">
        <v>91.472919212651263</v>
      </c>
      <c r="I28" s="2243">
        <v>41.961539380188782</v>
      </c>
      <c r="J28" s="2530">
        <v>54.251273449332835</v>
      </c>
      <c r="K28" s="2816">
        <f t="shared" ref="K28:N32" si="0">IF(ISERROR(VLOOKUP($B28,Av_car_cost_work,1,0)),"",VLOOKUP($B28,Av_car_cost_work,K$22,0))</f>
        <v>49.235793453437267</v>
      </c>
      <c r="L28" s="2817">
        <f t="shared" si="0"/>
        <v>9.0290199180907909</v>
      </c>
      <c r="M28" s="2817">
        <f t="shared" si="0"/>
        <v>-9.7583794314037603E-2</v>
      </c>
      <c r="N28" s="2818">
        <f t="shared" si="0"/>
        <v>6.8226228560917476E-4</v>
      </c>
      <c r="O28" s="2819">
        <f t="shared" ref="O28:R32" si="1">IF(ISERROR(VLOOKUP($B28,av_car_cost_nonwork,1,0)),"",VLOOKUP($B28,av_car_cost_nonwork,O$22,0))</f>
        <v>57.852057307788797</v>
      </c>
      <c r="P28" s="2820">
        <f t="shared" si="1"/>
        <v>10.609098403756679</v>
      </c>
      <c r="Q28" s="2820">
        <f t="shared" si="1"/>
        <v>-0.1146609583189942</v>
      </c>
      <c r="R28" s="2821">
        <f t="shared" si="1"/>
        <v>8.0165818559078039E-4</v>
      </c>
      <c r="S28" s="2819">
        <f>IF(ISERROR(VLOOKUP($B28,Non_fuel_op_cost,1,0)),#REF!,VLOOKUP($B28,Non_fuel_op_cost,S$22,1))</f>
        <v>4.9660000000000002</v>
      </c>
      <c r="T28" s="2828">
        <f>IF(ISERROR(VLOOKUP($B28,Non_fuel_op_cost,1,0)),#REF!,VLOOKUP($B28,Non_fuel_op_cost,T$22,1))</f>
        <v>135.946</v>
      </c>
      <c r="U28" s="2822">
        <f t="shared" ref="U28:AA32" si="2">$K28/D28+$L28+$M28*D28+$N28*D28^2+$S28+$T28/D28</f>
        <v>17.744345821115022</v>
      </c>
      <c r="V28" s="2823">
        <f t="shared" si="2"/>
        <v>12.8692116638118</v>
      </c>
      <c r="W28" s="2823">
        <f t="shared" si="2"/>
        <v>13.527184710467013</v>
      </c>
      <c r="X28" s="2823">
        <f t="shared" si="2"/>
        <v>13.114435056099712</v>
      </c>
      <c r="Y28" s="2823">
        <f t="shared" si="2"/>
        <v>12.801879062314359</v>
      </c>
      <c r="Z28" s="2823">
        <f t="shared" si="2"/>
        <v>15.514692744846583</v>
      </c>
      <c r="AA28" s="2824">
        <f t="shared" si="2"/>
        <v>14.12241878008914</v>
      </c>
      <c r="AB28" s="2822">
        <f t="shared" ref="AB28:AH32" si="3">$O28/D28+$P28+$Q28*D28+$R28*D28^2</f>
        <v>9.7642104338374605</v>
      </c>
      <c r="AC28" s="2823">
        <f t="shared" si="3"/>
        <v>7.2900789111730946</v>
      </c>
      <c r="AD28" s="2823">
        <f t="shared" si="3"/>
        <v>7.5014465479716543</v>
      </c>
      <c r="AE28" s="2823">
        <f t="shared" si="3"/>
        <v>7.3242739088590225</v>
      </c>
      <c r="AF28" s="2823">
        <f t="shared" si="3"/>
        <v>7.4608864183658294</v>
      </c>
      <c r="AG28" s="2823">
        <f t="shared" si="3"/>
        <v>8.5879768449688552</v>
      </c>
      <c r="AH28" s="2824">
        <f t="shared" si="3"/>
        <v>7.814408647675716</v>
      </c>
      <c r="AI28" s="2825">
        <f>'A1.3.4'!$J$27/100</f>
        <v>0.1205924519584583</v>
      </c>
      <c r="AJ28" s="2822">
        <f t="shared" ref="AJ28:AP32" si="4">U28*$AI28+AB28*(1-$AI28)</f>
        <v>10.726554527149723</v>
      </c>
      <c r="AK28" s="2823">
        <f t="shared" si="4"/>
        <v>7.9628802096155393</v>
      </c>
      <c r="AL28" s="2823">
        <f t="shared" si="4"/>
        <v>8.2281050878466253</v>
      </c>
      <c r="AM28" s="2823">
        <f t="shared" si="4"/>
        <v>8.0225236388393775</v>
      </c>
      <c r="AN28" s="2823">
        <f t="shared" si="4"/>
        <v>8.1049698171916713</v>
      </c>
      <c r="AO28" s="2823">
        <f t="shared" si="4"/>
        <v>9.4232864993547505</v>
      </c>
      <c r="AP28" s="2824">
        <f t="shared" si="4"/>
        <v>8.5751070565222509</v>
      </c>
      <c r="AQ28" s="2829" t="str">
        <f>B28&amp;"/"&amp;RIGHT(B29,2)</f>
        <v>2010/11</v>
      </c>
      <c r="AR28" s="2830">
        <f>'Cost and rev series'!D27</f>
        <v>1.8608111862235877</v>
      </c>
      <c r="AS28" s="3181">
        <f>'Cost and rev series'!E27</f>
        <v>3.504249021292849</v>
      </c>
      <c r="AT28" s="2826">
        <f>AS28-AR28</f>
        <v>1.6434378350692613</v>
      </c>
      <c r="AU28" s="2827">
        <v>1</v>
      </c>
      <c r="AV28" s="2822">
        <f t="shared" ref="AV28:AV59" si="5">(AJ28*0.75+AJ29*0.25)/(AJ$28*0.75+AJ$29*0.25)*100/GDP_deflator_to_CPI_conversion</f>
        <v>100</v>
      </c>
      <c r="AW28" s="2823">
        <f t="shared" ref="AW28:AW59" si="6">(AK28*0.75+AK29*0.25)/(AK$28*0.75+AK$29*0.25)*100/GDP_deflator_to_CPI_conversion</f>
        <v>100</v>
      </c>
      <c r="AX28" s="2823">
        <f t="shared" ref="AX28:AX59" si="7">(AL28*0.75+AL29*0.25)/(AL$28*0.75+AL$29*0.25)*100/GDP_deflator_to_CPI_conversion</f>
        <v>100</v>
      </c>
      <c r="AY28" s="2823">
        <f t="shared" ref="AY28:AY59" si="8">(AM28*0.75+AM29*0.25)/(AM$28*0.75+AM$29*0.25)*100/GDP_deflator_to_CPI_conversion</f>
        <v>100</v>
      </c>
      <c r="AZ28" s="2823">
        <f t="shared" ref="AZ28:AZ59" si="9">($AO28*0.75+$AO29*0.25)/($AO$28*0.75+$AO$29*0.25)*100/GDP_deflator_to_CPI_conversion</f>
        <v>100</v>
      </c>
      <c r="BA28" s="2823">
        <f t="shared" ref="BA28:BA59" si="10">(($AN28*0.75+$AN29*0.25)*BA$24+($AO28*0.75+$AO29*0.25)*BA$25)/(($AN$28*0.75+$AN$29*0.25)*BA$24+($AO$28*0.75+$AO$29*0.25)*BA$25)*100/GDP_deflator_to_CPI_conversion</f>
        <v>100</v>
      </c>
      <c r="BB28" s="2823">
        <f t="shared" ref="BB28:BB59" si="11">(($AN28*0.75+$AN29*0.25)*BB$24+($AO28*0.75+$AO29*0.25)*BB$25)/(($AN$28*0.75+$AN$29*0.25)*BB$24+($AO$28*0.75+$AO$29*0.25)*BB$25)*100/GDP_deflator_to_CPI_conversion</f>
        <v>100</v>
      </c>
      <c r="BC28" s="2823">
        <f t="shared" ref="BC28:BC59" si="12">(($AN28*0.75+$AN29*0.25)*BC$24+($AO28*0.75+$AO29*0.25)*BC$25)/(($AN$28*0.75+$AN$29*0.25)*BC$24+($AO$28*0.75+$AO$29*0.25)*BC$25)*100/GDP_deflator_to_CPI_conversion</f>
        <v>100</v>
      </c>
      <c r="BD28" s="2824">
        <f t="shared" ref="BD28:BD59" si="13">(AP28*0.75+AP29*0.25)/(AP$28*0.75+AP$29*0.25)*100/GDP_deflator_to_CPI_conversion</f>
        <v>100</v>
      </c>
      <c r="BE28" s="2823"/>
      <c r="BF28" s="2825">
        <f>B28</f>
        <v>2010</v>
      </c>
      <c r="BG28" s="2819">
        <f t="shared" ref="BG28:BN28" si="14">K28*(2/3)+K29*(1/3)</f>
        <v>50.87283889667647</v>
      </c>
      <c r="BH28" s="2820">
        <f t="shared" si="14"/>
        <v>9.2957166280599566</v>
      </c>
      <c r="BI28" s="2820">
        <f t="shared" si="14"/>
        <v>-0.10032312224556728</v>
      </c>
      <c r="BJ28" s="2828">
        <f t="shared" si="14"/>
        <v>7.0244186314326199E-4</v>
      </c>
      <c r="BK28" s="2819">
        <f t="shared" si="14"/>
        <v>60.22681011845448</v>
      </c>
      <c r="BL28" s="2820">
        <f t="shared" si="14"/>
        <v>11.004371627008618</v>
      </c>
      <c r="BM28" s="2820">
        <f t="shared" si="14"/>
        <v>-0.11876135012278012</v>
      </c>
      <c r="BN28" s="2828">
        <f t="shared" si="14"/>
        <v>8.3155919767842804E-4</v>
      </c>
      <c r="BO28" s="2822">
        <f>BG28/$J28+BH28+BI28*$J28+BJ28*$J28^2</f>
        <v>6.858213023183529</v>
      </c>
      <c r="BP28" s="2823">
        <f>BK28/$J28+BL28+BM28*$J28+BN28*$J28^2</f>
        <v>8.119008290604862</v>
      </c>
      <c r="BQ28" s="2824">
        <f>BO28*AI28+BP28*(1-AI28)</f>
        <v>7.9669658978889037</v>
      </c>
    </row>
    <row r="29" spans="1:69" ht="13.5" customHeight="1">
      <c r="A29" s="2822"/>
      <c r="B29" s="2547">
        <v>2011</v>
      </c>
      <c r="C29" s="64"/>
      <c r="D29" s="2531">
        <f t="shared" ref="D29:J32" si="15">D28*(D$33/D$28)^(1/5)</f>
        <v>30.254007274666183</v>
      </c>
      <c r="E29" s="2258">
        <f t="shared" si="15"/>
        <v>79.895922782379813</v>
      </c>
      <c r="F29" s="2258">
        <f t="shared" si="15"/>
        <v>62.404746925906579</v>
      </c>
      <c r="G29" s="2258">
        <f t="shared" si="15"/>
        <v>70.946257968202914</v>
      </c>
      <c r="H29" s="2258">
        <f t="shared" si="15"/>
        <v>91.434679342586321</v>
      </c>
      <c r="I29" s="2258">
        <f t="shared" si="15"/>
        <v>41.922019330745599</v>
      </c>
      <c r="J29" s="2532">
        <f t="shared" si="15"/>
        <v>54.204671784792396</v>
      </c>
      <c r="K29" s="2816">
        <f t="shared" si="0"/>
        <v>54.146929783154874</v>
      </c>
      <c r="L29" s="2817">
        <f t="shared" si="0"/>
        <v>9.829110047998288</v>
      </c>
      <c r="M29" s="2817">
        <f t="shared" si="0"/>
        <v>-0.10580177810862663</v>
      </c>
      <c r="N29" s="2818">
        <f t="shared" si="0"/>
        <v>7.4280101821143645E-4</v>
      </c>
      <c r="O29" s="2819">
        <f t="shared" si="1"/>
        <v>64.976315739785846</v>
      </c>
      <c r="P29" s="2820">
        <f t="shared" si="1"/>
        <v>11.794918073512498</v>
      </c>
      <c r="Q29" s="2820">
        <f t="shared" si="1"/>
        <v>-0.12696213373035198</v>
      </c>
      <c r="R29" s="2821">
        <f t="shared" si="1"/>
        <v>8.9136122185372356E-4</v>
      </c>
      <c r="S29" s="2819">
        <f>IF(ISERROR(VLOOKUP($B29,Non_fuel_op_cost,1,0)),#REF!,VLOOKUP($B29,Non_fuel_op_cost,S$22,1))</f>
        <v>4.9658120770035978</v>
      </c>
      <c r="T29" s="2828">
        <f>IF(ISERROR(VLOOKUP($B29,Non_fuel_op_cost,1,0)),#REF!,VLOOKUP($B29,Non_fuel_op_cost,T$22,1))</f>
        <v>135.946</v>
      </c>
      <c r="U29" s="2822">
        <f t="shared" si="2"/>
        <v>18.557115256793271</v>
      </c>
      <c r="V29" s="2823">
        <f t="shared" si="2"/>
        <v>13.462613560340104</v>
      </c>
      <c r="W29" s="2823">
        <f t="shared" si="2"/>
        <v>14.131247222152053</v>
      </c>
      <c r="X29" s="2823">
        <f t="shared" si="2"/>
        <v>13.706868693143551</v>
      </c>
      <c r="Y29" s="2823">
        <f t="shared" si="2"/>
        <v>13.410012789051965</v>
      </c>
      <c r="Z29" s="2823">
        <f t="shared" si="2"/>
        <v>16.199378980562049</v>
      </c>
      <c r="AA29" s="2824">
        <f t="shared" si="2"/>
        <v>14.749376982758996</v>
      </c>
      <c r="AB29" s="2822">
        <f t="shared" si="3"/>
        <v>10.917364971027032</v>
      </c>
      <c r="AC29" s="2823">
        <f t="shared" si="3"/>
        <v>8.1543014248044408</v>
      </c>
      <c r="AD29" s="2823">
        <f t="shared" si="3"/>
        <v>8.3843609010460618</v>
      </c>
      <c r="AE29" s="2823">
        <f t="shared" si="3"/>
        <v>8.1898345824789995</v>
      </c>
      <c r="AF29" s="2823">
        <f t="shared" si="3"/>
        <v>8.3488548125391837</v>
      </c>
      <c r="AG29" s="2823">
        <f t="shared" si="3"/>
        <v>9.5888697834058227</v>
      </c>
      <c r="AH29" s="2824">
        <f t="shared" si="3"/>
        <v>8.7306487787281828</v>
      </c>
      <c r="AI29" s="2825">
        <f>'A1.3.4'!$J$27/100</f>
        <v>0.1205924519584583</v>
      </c>
      <c r="AJ29" s="2822">
        <f t="shared" si="4"/>
        <v>11.838661190337916</v>
      </c>
      <c r="AK29" s="2823">
        <f t="shared" si="4"/>
        <v>8.7944438009895265</v>
      </c>
      <c r="AL29" s="2823">
        <f t="shared" si="4"/>
        <v>9.077392013634757</v>
      </c>
      <c r="AM29" s="2823">
        <f t="shared" si="4"/>
        <v>8.8551472534224906</v>
      </c>
      <c r="AN29" s="2823">
        <f t="shared" si="4"/>
        <v>8.9591922626759697</v>
      </c>
      <c r="AO29" s="2823">
        <f t="shared" si="4"/>
        <v>10.386047296184833</v>
      </c>
      <c r="AP29" s="2824">
        <f t="shared" si="4"/>
        <v>9.4564619705237867</v>
      </c>
      <c r="AQ29" s="2829" t="str">
        <f>B29&amp;"/"&amp;RIGHT(B30,2)</f>
        <v>2011/12</v>
      </c>
      <c r="AR29" s="2830">
        <f>'Cost and rev series'!D28</f>
        <v>1.3147121684594198</v>
      </c>
      <c r="AS29" s="2826">
        <f>'Cost and rev series'!E28</f>
        <v>4.3081180811808339</v>
      </c>
      <c r="AT29" s="2826">
        <f>AS29-AR29</f>
        <v>2.9934059127214141</v>
      </c>
      <c r="AU29" s="2827">
        <f t="shared" ref="AU29:AU34" si="16">(1+AS29/100)/(1+AR29/100)*AU28</f>
        <v>1.0295456192753543</v>
      </c>
      <c r="AV29" s="2822">
        <f>(AJ29*0.75+AJ30*0.25)/(AJ$28*0.75+AJ$29*0.25)*100/GDP_deflator_to_CPI_conversion</f>
        <v>104.33340069753656</v>
      </c>
      <c r="AW29" s="2823">
        <f t="shared" si="6"/>
        <v>104.37918413773724</v>
      </c>
      <c r="AX29" s="2823">
        <f t="shared" si="7"/>
        <v>104.28122059072101</v>
      </c>
      <c r="AY29" s="2823">
        <f t="shared" si="8"/>
        <v>104.32845211637421</v>
      </c>
      <c r="AZ29" s="2823">
        <f t="shared" si="9"/>
        <v>104.1890449399145</v>
      </c>
      <c r="BA29" s="2823">
        <f t="shared" si="10"/>
        <v>104.3136403970387</v>
      </c>
      <c r="BB29" s="2823">
        <f t="shared" si="11"/>
        <v>104.42256801810248</v>
      </c>
      <c r="BC29" s="2823">
        <f t="shared" si="12"/>
        <v>104.37628442377175</v>
      </c>
      <c r="BD29" s="2824">
        <f t="shared" si="13"/>
        <v>104.24356291082083</v>
      </c>
      <c r="BE29" s="2823"/>
      <c r="BF29" s="2825">
        <f>B29</f>
        <v>2011</v>
      </c>
      <c r="BG29" s="2819">
        <f t="shared" ref="BG29:BN33" si="17">K29*0.5+K28*0.25+K30*0.25</f>
        <v>52.871868567169152</v>
      </c>
      <c r="BH29" s="2820">
        <f t="shared" si="17"/>
        <v>9.5992296370257844</v>
      </c>
      <c r="BI29" s="2820">
        <f t="shared" si="17"/>
        <v>-0.10333375518743923</v>
      </c>
      <c r="BJ29" s="2828">
        <f t="shared" si="17"/>
        <v>7.2542550733944717E-4</v>
      </c>
      <c r="BK29" s="2819">
        <f t="shared" si="17"/>
        <v>63.138518571519</v>
      </c>
      <c r="BL29" s="2820">
        <f t="shared" si="17"/>
        <v>11.462627129762055</v>
      </c>
      <c r="BM29" s="2820">
        <f t="shared" si="17"/>
        <v>-0.12339060751046436</v>
      </c>
      <c r="BN29" s="2828">
        <f t="shared" si="17"/>
        <v>8.6624646952227922E-4</v>
      </c>
      <c r="BO29" s="2822">
        <f>BG29/$J29+BH29+BI29*$J29+BJ29*$J29^2</f>
        <v>7.1048753811967567</v>
      </c>
      <c r="BP29" s="2823">
        <f>BK29/$J29+BL29+BM29*$J29+BN29*$J29^2</f>
        <v>8.4842556468610226</v>
      </c>
      <c r="BQ29" s="2824">
        <f>BO29*AI29+BP29*(1-AI29)</f>
        <v>8.3179127984414603</v>
      </c>
    </row>
    <row r="30" spans="1:69" ht="13.5" customHeight="1">
      <c r="A30" s="2822"/>
      <c r="B30" s="2547">
        <v>2012</v>
      </c>
      <c r="C30" s="64"/>
      <c r="D30" s="2531">
        <f t="shared" si="15"/>
        <v>30.08495944962397</v>
      </c>
      <c r="E30" s="2258">
        <f t="shared" si="15"/>
        <v>79.77151728441838</v>
      </c>
      <c r="F30" s="2258">
        <f t="shared" si="15"/>
        <v>62.362316233596154</v>
      </c>
      <c r="G30" s="2258">
        <f t="shared" si="15"/>
        <v>70.902851669864503</v>
      </c>
      <c r="H30" s="2258">
        <f t="shared" si="15"/>
        <v>91.396455458538611</v>
      </c>
      <c r="I30" s="2258">
        <f t="shared" si="15"/>
        <v>41.882536501917556</v>
      </c>
      <c r="J30" s="2532">
        <f t="shared" si="15"/>
        <v>54.158110150927733</v>
      </c>
      <c r="K30" s="2816">
        <f t="shared" si="0"/>
        <v>53.957821248929605</v>
      </c>
      <c r="L30" s="2817">
        <f t="shared" si="0"/>
        <v>9.7096785340157741</v>
      </c>
      <c r="M30" s="2817">
        <f t="shared" si="0"/>
        <v>-0.10414767021846608</v>
      </c>
      <c r="N30" s="2818">
        <f t="shared" si="0"/>
        <v>7.3383770732574115E-4</v>
      </c>
      <c r="O30" s="2819">
        <f t="shared" si="1"/>
        <v>64.749385498715512</v>
      </c>
      <c r="P30" s="2820">
        <f t="shared" si="1"/>
        <v>11.651573968266547</v>
      </c>
      <c r="Q30" s="2820">
        <f t="shared" si="1"/>
        <v>-0.12497720426215929</v>
      </c>
      <c r="R30" s="2821">
        <f t="shared" si="1"/>
        <v>8.8060524879088938E-4</v>
      </c>
      <c r="S30" s="2819">
        <f>IF(ISERROR(VLOOKUP($B30,Non_fuel_op_cost,1,0)),#REF!,VLOOKUP($B30,Non_fuel_op_cost,S$22,1))</f>
        <v>4.965480144389363</v>
      </c>
      <c r="T30" s="2828">
        <f>IF(ISERROR(VLOOKUP($B30,Non_fuel_op_cost,1,0)),#REF!,VLOOKUP($B30,Non_fuel_op_cost,T$22,1))</f>
        <v>135.946</v>
      </c>
      <c r="U30" s="2822">
        <f t="shared" si="2"/>
        <v>18.518331458869213</v>
      </c>
      <c r="V30" s="2823">
        <f t="shared" si="2"/>
        <v>13.41751039367022</v>
      </c>
      <c r="W30" s="2823">
        <f t="shared" si="2"/>
        <v>14.079375962691248</v>
      </c>
      <c r="X30" s="2823">
        <f t="shared" si="2"/>
        <v>13.658317816268029</v>
      </c>
      <c r="Y30" s="2823">
        <f t="shared" si="2"/>
        <v>13.364209065940623</v>
      </c>
      <c r="Z30" s="2823">
        <f t="shared" si="2"/>
        <v>16.134649770567187</v>
      </c>
      <c r="AA30" s="2824">
        <f t="shared" si="2"/>
        <v>14.693608323655004</v>
      </c>
      <c r="AB30" s="2822">
        <f t="shared" si="3"/>
        <v>10.840897678971681</v>
      </c>
      <c r="AC30" s="2823">
        <f t="shared" si="3"/>
        <v>8.0973653495529465</v>
      </c>
      <c r="AD30" s="2823">
        <f t="shared" si="3"/>
        <v>8.3207087808582578</v>
      </c>
      <c r="AE30" s="2823">
        <f t="shared" si="3"/>
        <v>8.1305378702210618</v>
      </c>
      <c r="AF30" s="2823">
        <f t="shared" si="3"/>
        <v>8.2935161978967589</v>
      </c>
      <c r="AG30" s="2823">
        <f t="shared" si="3"/>
        <v>9.5078983275648721</v>
      </c>
      <c r="AH30" s="2824">
        <f t="shared" si="3"/>
        <v>8.6615109464016555</v>
      </c>
      <c r="AI30" s="2825">
        <f>'A1.3.4'!$J$27/100</f>
        <v>0.1205924519584583</v>
      </c>
      <c r="AJ30" s="2822">
        <f t="shared" si="4"/>
        <v>11.766738243238219</v>
      </c>
      <c r="AK30" s="2823">
        <f t="shared" si="4"/>
        <v>8.7389346851976892</v>
      </c>
      <c r="AL30" s="2823">
        <f t="shared" si="4"/>
        <v>9.0151605763282028</v>
      </c>
      <c r="AM30" s="2823">
        <f t="shared" si="4"/>
        <v>8.7971464078016606</v>
      </c>
      <c r="AN30" s="2823">
        <f t="shared" si="4"/>
        <v>8.905003483982437</v>
      </c>
      <c r="AO30" s="2823">
        <f t="shared" si="4"/>
        <v>10.307034532595774</v>
      </c>
      <c r="AP30" s="2824">
        <f t="shared" si="4"/>
        <v>9.3889363595768227</v>
      </c>
      <c r="AQ30" s="2829" t="str">
        <f>B30&amp;"/"&amp;RIGHT(B31,2)</f>
        <v>2012/13</v>
      </c>
      <c r="AR30" s="2830">
        <f>'Cost and rev series'!D29</f>
        <v>2.0131806938054719</v>
      </c>
      <c r="AS30" s="2826">
        <f>'Cost and rev series'!E29</f>
        <v>2.6266914300875355</v>
      </c>
      <c r="AT30" s="2826">
        <f>AS30-AR30</f>
        <v>0.61351073628206354</v>
      </c>
      <c r="AU30" s="2827">
        <f t="shared" si="16"/>
        <v>1.035737341625562</v>
      </c>
      <c r="AV30" s="2822">
        <f t="shared" si="5"/>
        <v>102.33790906729115</v>
      </c>
      <c r="AW30" s="2823">
        <f t="shared" si="6"/>
        <v>102.3509115522042</v>
      </c>
      <c r="AX30" s="2823">
        <f t="shared" si="7"/>
        <v>102.2034266032412</v>
      </c>
      <c r="AY30" s="2823">
        <f t="shared" si="8"/>
        <v>102.27934335122981</v>
      </c>
      <c r="AZ30" s="2823">
        <f t="shared" si="9"/>
        <v>102.03814584862893</v>
      </c>
      <c r="BA30" s="2823">
        <f t="shared" si="10"/>
        <v>102.23067909426842</v>
      </c>
      <c r="BB30" s="2823">
        <f t="shared" si="11"/>
        <v>102.39900135020987</v>
      </c>
      <c r="BC30" s="2823">
        <f t="shared" si="12"/>
        <v>102.32748084021668</v>
      </c>
      <c r="BD30" s="2824">
        <f t="shared" si="13"/>
        <v>102.1383559960525</v>
      </c>
      <c r="BE30" s="2823"/>
      <c r="BF30" s="2825">
        <f>B30</f>
        <v>2012</v>
      </c>
      <c r="BG30" s="2819">
        <f t="shared" si="17"/>
        <v>53.522083438149423</v>
      </c>
      <c r="BH30" s="2820">
        <f t="shared" si="17"/>
        <v>9.6335577251439268</v>
      </c>
      <c r="BI30" s="2820">
        <f t="shared" si="17"/>
        <v>-0.10334081144135621</v>
      </c>
      <c r="BJ30" s="2828">
        <f t="shared" si="17"/>
        <v>7.2808108947775767E-4</v>
      </c>
      <c r="BK30" s="2819">
        <f t="shared" si="17"/>
        <v>64.226500125779296</v>
      </c>
      <c r="BL30" s="2820">
        <f t="shared" si="17"/>
        <v>11.560226273960502</v>
      </c>
      <c r="BM30" s="2820">
        <f t="shared" si="17"/>
        <v>-0.12400897372962744</v>
      </c>
      <c r="BN30" s="2828">
        <f t="shared" si="17"/>
        <v>8.736973073733092E-4</v>
      </c>
      <c r="BO30" s="2822">
        <f>BG30/$J30+BH30+BI30*$J30+BJ30*$J30^2</f>
        <v>7.1606060845233186</v>
      </c>
      <c r="BP30" s="2823">
        <f>BK30/$J30+BL30+BM30*$J30+BN30*$J30^2</f>
        <v>8.5926843052157729</v>
      </c>
      <c r="BQ30" s="2824">
        <f>BO30*AI30+BP30*(1-AI30)</f>
        <v>8.4199864811861644</v>
      </c>
    </row>
    <row r="31" spans="1:69" ht="13.5" customHeight="1">
      <c r="A31" s="2822"/>
      <c r="B31" s="2547">
        <v>2013</v>
      </c>
      <c r="C31" s="64"/>
      <c r="D31" s="2531">
        <f t="shared" si="15"/>
        <v>29.916856199192718</v>
      </c>
      <c r="E31" s="2258">
        <f t="shared" si="15"/>
        <v>79.647305497567402</v>
      </c>
      <c r="F31" s="2258">
        <f t="shared" si="15"/>
        <v>62.319914391072622</v>
      </c>
      <c r="G31" s="2258">
        <f t="shared" si="15"/>
        <v>70.85947192834233</v>
      </c>
      <c r="H31" s="2258">
        <f t="shared" si="15"/>
        <v>91.358247553825251</v>
      </c>
      <c r="I31" s="2258">
        <f t="shared" si="15"/>
        <v>41.843090858649681</v>
      </c>
      <c r="J31" s="2532">
        <f t="shared" si="15"/>
        <v>54.111588513352629</v>
      </c>
      <c r="K31" s="2816">
        <f t="shared" si="0"/>
        <v>52.025761471583607</v>
      </c>
      <c r="L31" s="2817">
        <f t="shared" si="0"/>
        <v>9.2857637845458711</v>
      </c>
      <c r="M31" s="2817">
        <f t="shared" si="0"/>
        <v>-9.9266127219866024E-2</v>
      </c>
      <c r="N31" s="2818">
        <f t="shared" si="0"/>
        <v>7.0184792504811191E-4</v>
      </c>
      <c r="O31" s="2819">
        <f t="shared" si="1"/>
        <v>62.430913765900321</v>
      </c>
      <c r="P31" s="2820">
        <f t="shared" si="1"/>
        <v>11.142839085796419</v>
      </c>
      <c r="Q31" s="2820">
        <f t="shared" si="1"/>
        <v>-0.11911935266383922</v>
      </c>
      <c r="R31" s="2821">
        <f t="shared" si="1"/>
        <v>8.4221751005773425E-4</v>
      </c>
      <c r="S31" s="2819">
        <f>IF(ISERROR(VLOOKUP($B31,Non_fuel_op_cost,1,0)),#REF!,VLOOKUP($B31,Non_fuel_op_cost,S$22,1))</f>
        <v>4.9650415963110044</v>
      </c>
      <c r="T31" s="2828">
        <f>IF(ISERROR(VLOOKUP($B31,Non_fuel_op_cost,1,0)),#REF!,VLOOKUP($B31,Non_fuel_op_cost,T$22,1))</f>
        <v>135.946</v>
      </c>
      <c r="U31" s="2822">
        <f t="shared" si="2"/>
        <v>18.19238050402063</v>
      </c>
      <c r="V31" s="2823">
        <f t="shared" si="2"/>
        <v>13.156885515725136</v>
      </c>
      <c r="W31" s="2823">
        <f t="shared" si="2"/>
        <v>13.806605044017342</v>
      </c>
      <c r="X31" s="2823">
        <f t="shared" si="2"/>
        <v>13.393623993783653</v>
      </c>
      <c r="Y31" s="2823">
        <f t="shared" si="2"/>
        <v>13.097403646245377</v>
      </c>
      <c r="Z31" s="2823">
        <f t="shared" si="2"/>
        <v>15.818331267463989</v>
      </c>
      <c r="AA31" s="2824">
        <f t="shared" si="2"/>
        <v>14.408193341334316</v>
      </c>
      <c r="AB31" s="2822">
        <f t="shared" si="3"/>
        <v>10.419776593321782</v>
      </c>
      <c r="AC31" s="2823">
        <f t="shared" si="3"/>
        <v>7.7819152986912528</v>
      </c>
      <c r="AD31" s="2823">
        <f t="shared" si="3"/>
        <v>7.9920929033639485</v>
      </c>
      <c r="AE31" s="2823">
        <f t="shared" si="3"/>
        <v>7.8119858053703934</v>
      </c>
      <c r="AF31" s="2823">
        <f t="shared" si="3"/>
        <v>7.9730922792044243</v>
      </c>
      <c r="AG31" s="2823">
        <f t="shared" si="3"/>
        <v>9.1251333056641819</v>
      </c>
      <c r="AH31" s="2824">
        <f t="shared" si="3"/>
        <v>8.3169123455919038</v>
      </c>
      <c r="AI31" s="2825">
        <f>'A1.3.4'!$J$27/100</f>
        <v>0.1205924519584583</v>
      </c>
      <c r="AJ31" s="2822">
        <f t="shared" si="4"/>
        <v>11.357093957014859</v>
      </c>
      <c r="AK31" s="2823">
        <f t="shared" si="4"/>
        <v>8.4300961363670552</v>
      </c>
      <c r="AL31" s="2823">
        <f t="shared" si="4"/>
        <v>8.6932791793475666</v>
      </c>
      <c r="AM31" s="2823">
        <f t="shared" si="4"/>
        <v>8.4850892404561158</v>
      </c>
      <c r="AN31" s="2823">
        <f t="shared" si="4"/>
        <v>8.5910455515544921</v>
      </c>
      <c r="AO31" s="2823">
        <f t="shared" si="4"/>
        <v>9.9322824593209766</v>
      </c>
      <c r="AP31" s="2824">
        <f t="shared" si="4"/>
        <v>9.0514748564364425</v>
      </c>
      <c r="AQ31" s="2829" t="str">
        <f>B31&amp;"/"&amp;RIGHT(B32,2)</f>
        <v>2013/14</v>
      </c>
      <c r="AR31" s="2830">
        <f>'Cost and rev series'!D30</f>
        <v>1.8346235290033874</v>
      </c>
      <c r="AS31" s="2826">
        <f>'Cost and rev series'!E30</f>
        <v>2.3181661496035844</v>
      </c>
      <c r="AT31" s="2826">
        <f>AS31-AR31</f>
        <v>0.48354262060019693</v>
      </c>
      <c r="AU31" s="2827">
        <f t="shared" si="16"/>
        <v>1.0406553462399795</v>
      </c>
      <c r="AV31" s="2822">
        <f t="shared" si="5"/>
        <v>97.427158014383764</v>
      </c>
      <c r="AW31" s="2823">
        <f t="shared" si="6"/>
        <v>97.378333359186797</v>
      </c>
      <c r="AX31" s="2823">
        <f t="shared" si="7"/>
        <v>97.20646285745498</v>
      </c>
      <c r="AY31" s="2823">
        <f t="shared" si="8"/>
        <v>97.300006123771482</v>
      </c>
      <c r="AZ31" s="2823">
        <f t="shared" si="9"/>
        <v>96.985636777510365</v>
      </c>
      <c r="BA31" s="2823">
        <f t="shared" si="10"/>
        <v>97.215071091774647</v>
      </c>
      <c r="BB31" s="2823">
        <f t="shared" si="11"/>
        <v>97.415654119599665</v>
      </c>
      <c r="BC31" s="2823">
        <f t="shared" si="12"/>
        <v>97.33042593414207</v>
      </c>
      <c r="BD31" s="2824">
        <f t="shared" si="13"/>
        <v>97.121764449429634</v>
      </c>
      <c r="BE31" s="2823"/>
      <c r="BF31" s="2825">
        <f>B31</f>
        <v>2013</v>
      </c>
      <c r="BG31" s="2819">
        <f t="shared" si="17"/>
        <v>51.520553772901764</v>
      </c>
      <c r="BH31" s="2820">
        <f t="shared" si="17"/>
        <v>9.1990259681900604</v>
      </c>
      <c r="BI31" s="2820">
        <f t="shared" si="17"/>
        <v>-9.8351368527217015E-2</v>
      </c>
      <c r="BJ31" s="2828">
        <f t="shared" si="17"/>
        <v>6.9527634656343473E-4</v>
      </c>
      <c r="BK31" s="2819">
        <f t="shared" si="17"/>
        <v>61.824664527482106</v>
      </c>
      <c r="BL31" s="2820">
        <f t="shared" si="17"/>
        <v>11.038729208886307</v>
      </c>
      <c r="BM31" s="2820">
        <f t="shared" si="17"/>
        <v>-0.1180216422326604</v>
      </c>
      <c r="BN31" s="2828">
        <f t="shared" si="17"/>
        <v>8.343316158761217E-4</v>
      </c>
      <c r="BO31" s="2822">
        <f>BG31/$J31+BH31+BI31*$J31+BJ31*$J31^2</f>
        <v>6.8650076566529403</v>
      </c>
      <c r="BP31" s="2823">
        <f>BK31/$J31+BL31+BM31*$J31+BN31*$J31^2</f>
        <v>8.2379072350417637</v>
      </c>
      <c r="BQ31" s="2824">
        <f>BO31*AI31+BP31*(1-AI31)</f>
        <v>8.0723459085911227</v>
      </c>
    </row>
    <row r="32" spans="1:69" ht="13.5" customHeight="1">
      <c r="A32" s="2822"/>
      <c r="B32" s="2547">
        <v>2014</v>
      </c>
      <c r="C32" s="64"/>
      <c r="D32" s="2531">
        <f t="shared" si="15"/>
        <v>29.74969224545066</v>
      </c>
      <c r="E32" s="2258">
        <f t="shared" si="15"/>
        <v>79.523287120200379</v>
      </c>
      <c r="F32" s="2258">
        <f t="shared" si="15"/>
        <v>62.277541378720223</v>
      </c>
      <c r="G32" s="2258">
        <f t="shared" si="15"/>
        <v>70.816118727388414</v>
      </c>
      <c r="H32" s="2258">
        <f t="shared" si="15"/>
        <v>91.32005562176613</v>
      </c>
      <c r="I32" s="2258">
        <f t="shared" si="15"/>
        <v>41.803682365920025</v>
      </c>
      <c r="J32" s="2532">
        <f t="shared" si="15"/>
        <v>54.06510683771041</v>
      </c>
      <c r="K32" s="2816">
        <f t="shared" si="0"/>
        <v>48.072870899510235</v>
      </c>
      <c r="L32" s="2817">
        <f t="shared" si="0"/>
        <v>8.5148977696527268</v>
      </c>
      <c r="M32" s="2817">
        <f t="shared" si="0"/>
        <v>-9.0725549450669879E-2</v>
      </c>
      <c r="N32" s="2818">
        <f t="shared" si="0"/>
        <v>6.4357182883177406E-4</v>
      </c>
      <c r="O32" s="2819">
        <f t="shared" si="1"/>
        <v>57.687445079412278</v>
      </c>
      <c r="P32" s="2820">
        <f t="shared" si="1"/>
        <v>10.217664695685849</v>
      </c>
      <c r="Q32" s="2820">
        <f t="shared" si="1"/>
        <v>-0.10887065934080384</v>
      </c>
      <c r="R32" s="2821">
        <f t="shared" si="1"/>
        <v>7.7228619459812891E-4</v>
      </c>
      <c r="S32" s="2819">
        <f>IF(ISERROR(VLOOKUP($B32,Non_fuel_op_cost,1,0)),#REF!,VLOOKUP($B32,Non_fuel_op_cost,S$22,1))</f>
        <v>4.9634021417388876</v>
      </c>
      <c r="T32" s="2828">
        <f>IF(ISERROR(VLOOKUP($B32,Non_fuel_op_cost,1,0)),#REF!,VLOOKUP($B32,Non_fuel_op_cost,T$22,1))</f>
        <v>135.94600000000003</v>
      </c>
      <c r="U32" s="2822">
        <f t="shared" si="2"/>
        <v>17.534404496914469</v>
      </c>
      <c r="V32" s="2823">
        <f t="shared" si="2"/>
        <v>12.647449071052465</v>
      </c>
      <c r="W32" s="2823">
        <f t="shared" si="2"/>
        <v>13.279043178249905</v>
      </c>
      <c r="X32" s="2823">
        <f t="shared" si="2"/>
        <v>12.879476580318057</v>
      </c>
      <c r="Y32" s="2823">
        <f t="shared" si="2"/>
        <v>12.575308170306934</v>
      </c>
      <c r="Z32" s="2823">
        <f t="shared" si="2"/>
        <v>15.212287972343326</v>
      </c>
      <c r="AA32" s="2824">
        <f t="shared" si="2"/>
        <v>13.858050012982591</v>
      </c>
      <c r="AB32" s="2822">
        <f t="shared" si="3"/>
        <v>9.6013973377872368</v>
      </c>
      <c r="AC32" s="2823">
        <f t="shared" si="3"/>
        <v>7.1692294926742255</v>
      </c>
      <c r="AD32" s="2823">
        <f t="shared" si="3"/>
        <v>7.3590697770255584</v>
      </c>
      <c r="AE32" s="2823">
        <f t="shared" si="3"/>
        <v>7.1954316676948906</v>
      </c>
      <c r="AF32" s="2823">
        <f t="shared" si="3"/>
        <v>7.3476630794828344</v>
      </c>
      <c r="AG32" s="2823">
        <f t="shared" si="3"/>
        <v>8.3960381704950091</v>
      </c>
      <c r="AH32" s="2824">
        <f t="shared" si="3"/>
        <v>7.6559806017515193</v>
      </c>
      <c r="AI32" s="2825">
        <f>'A1.3.4'!$J$27/100</f>
        <v>0.1205924519584583</v>
      </c>
      <c r="AJ32" s="2822">
        <f t="shared" si="4"/>
        <v>10.558058122510394</v>
      </c>
      <c r="AK32" s="2823">
        <f t="shared" si="4"/>
        <v>7.8298614239976896</v>
      </c>
      <c r="AL32" s="2823">
        <f t="shared" si="4"/>
        <v>8.0729738850080572</v>
      </c>
      <c r="AM32" s="2823">
        <f t="shared" si="4"/>
        <v>7.8808845807501191</v>
      </c>
      <c r="AN32" s="2823">
        <f t="shared" si="4"/>
        <v>7.9780776189539111</v>
      </c>
      <c r="AO32" s="2823">
        <f t="shared" si="4"/>
        <v>9.2180264472612539</v>
      </c>
      <c r="AP32" s="2824">
        <f t="shared" si="4"/>
        <v>8.4039033592684262</v>
      </c>
      <c r="AQ32" s="2829" t="str">
        <f>B32&amp;"/"&amp;RIGHT(B33,2)</f>
        <v>2014/15</v>
      </c>
      <c r="AR32" s="2830">
        <f>'Cost and rev series'!D31</f>
        <v>1.2848926641781944</v>
      </c>
      <c r="AS32" s="2826">
        <f>'Cost and rev series'!E31</f>
        <v>1.052808894129531</v>
      </c>
      <c r="AT32" s="2826">
        <f>AS32-AR32</f>
        <v>-0.23208377004866332</v>
      </c>
      <c r="AU32" s="2827">
        <f t="shared" si="16"/>
        <v>1.0382707930285004</v>
      </c>
      <c r="AV32" s="2822">
        <f t="shared" si="5"/>
        <v>89.30537886979694</v>
      </c>
      <c r="AW32" s="2823">
        <f t="shared" si="6"/>
        <v>89.15651342025086</v>
      </c>
      <c r="AX32" s="2823">
        <f t="shared" si="7"/>
        <v>88.996698080129747</v>
      </c>
      <c r="AY32" s="2823">
        <f t="shared" si="8"/>
        <v>89.091134488330894</v>
      </c>
      <c r="AZ32" s="2823">
        <f t="shared" si="9"/>
        <v>88.748751404140904</v>
      </c>
      <c r="BA32" s="2823">
        <f t="shared" si="10"/>
        <v>88.969044754896558</v>
      </c>
      <c r="BB32" s="2823">
        <f t="shared" si="11"/>
        <v>89.161636292243486</v>
      </c>
      <c r="BC32" s="2823">
        <f t="shared" si="12"/>
        <v>89.079803709294907</v>
      </c>
      <c r="BD32" s="2824">
        <f t="shared" si="13"/>
        <v>88.904716343874242</v>
      </c>
      <c r="BE32" s="2823"/>
      <c r="BF32" s="2825">
        <f>B32</f>
        <v>2014</v>
      </c>
      <c r="BG32" s="2819">
        <f t="shared" si="17"/>
        <v>47.257357514668371</v>
      </c>
      <c r="BH32" s="2820">
        <f t="shared" si="17"/>
        <v>8.379172972651391</v>
      </c>
      <c r="BI32" s="2820">
        <f t="shared" si="17"/>
        <v>-8.9314990457123905E-2</v>
      </c>
      <c r="BJ32" s="2828">
        <f t="shared" si="17"/>
        <v>6.3329140949785426E-4</v>
      </c>
      <c r="BK32" s="2819">
        <f t="shared" si="17"/>
        <v>56.708829017602042</v>
      </c>
      <c r="BL32" s="2820">
        <f t="shared" si="17"/>
        <v>10.054769895196213</v>
      </c>
      <c r="BM32" s="2820">
        <f t="shared" si="17"/>
        <v>-0.10717798854854868</v>
      </c>
      <c r="BN32" s="2828">
        <f t="shared" si="17"/>
        <v>7.5994969139742499E-4</v>
      </c>
      <c r="BO32" s="2822">
        <f>BG32/$J32+BH32+BI32*$J32+BJ32*$J32^2</f>
        <v>6.2755643035598174</v>
      </c>
      <c r="BP32" s="2823">
        <f>BK32/$J32+BL32+BM32*$J32+BN32*$J32^2</f>
        <v>7.5304394922863249</v>
      </c>
      <c r="BQ32" s="2824">
        <f>BO32*AI32+BP32*(1-AI32)</f>
        <v>7.3791110163759628</v>
      </c>
    </row>
    <row r="33" spans="1:69" ht="13.5" customHeight="1">
      <c r="A33" s="2822"/>
      <c r="B33" s="714">
        <v>2015</v>
      </c>
      <c r="C33" s="64"/>
      <c r="D33" s="2307">
        <v>29.583462339967038</v>
      </c>
      <c r="E33" s="2243">
        <v>79.39946185116051</v>
      </c>
      <c r="F33" s="2243">
        <v>62.235197176936538</v>
      </c>
      <c r="G33" s="2243">
        <v>70.772792050764735</v>
      </c>
      <c r="H33" s="2243">
        <v>91.281879655683966</v>
      </c>
      <c r="I33" s="2243">
        <v>41.764310988739602</v>
      </c>
      <c r="J33" s="2530">
        <v>54.018665089673895</v>
      </c>
      <c r="K33" s="2816">
        <f t="shared" ref="K33:N48" si="18">IF(ISERROR(VLOOKUP($B33,Av_car_cost_work,1,0)),"",VLOOKUP($B33,Av_car_cost_work,K$22,0))</f>
        <v>40.857926788069406</v>
      </c>
      <c r="L33" s="2817">
        <f t="shared" si="18"/>
        <v>7.2011325667542394</v>
      </c>
      <c r="M33" s="2817">
        <f t="shared" si="18"/>
        <v>-7.6542735707289852E-2</v>
      </c>
      <c r="N33" s="2818">
        <f t="shared" si="18"/>
        <v>5.4417405527975682E-4</v>
      </c>
      <c r="O33" s="2819">
        <f t="shared" ref="O33:R48" si="19">IF(ISERROR(VLOOKUP($B33,av_car_cost_nonwork,1,0)),"",VLOOKUP($B33,av_car_cost_nonwork,O$22,0))</f>
        <v>49.029512145683285</v>
      </c>
      <c r="P33" s="2820">
        <f t="shared" si="19"/>
        <v>8.6409111036167268</v>
      </c>
      <c r="Q33" s="2820">
        <f t="shared" si="19"/>
        <v>-9.1851282848747828E-2</v>
      </c>
      <c r="R33" s="2821">
        <f t="shared" si="19"/>
        <v>6.5300886633570809E-4</v>
      </c>
      <c r="S33" s="2819">
        <f>IF(ISERROR(VLOOKUP($B33,Non_fuel_op_cost,1,0)),#REF!,VLOOKUP($B33,Non_fuel_op_cost,S$22,1))</f>
        <v>4.9604658410414988</v>
      </c>
      <c r="T33" s="2828">
        <f>IF(ISERROR(VLOOKUP($B33,Non_fuel_op_cost,1,0)),#REF!,VLOOKUP($B33,Non_fuel_op_cost,T$22,1))</f>
        <v>135.94600000000003</v>
      </c>
      <c r="U33" s="2822">
        <f t="shared" ref="U33:AA59" si="20">$K33/D33+$L33+$M33*D33+$N33*D33^2+$S33+$T33/D33</f>
        <v>16.349894897925434</v>
      </c>
      <c r="V33" s="2823">
        <f t="shared" si="20"/>
        <v>11.741533827263481</v>
      </c>
      <c r="W33" s="2823">
        <f t="shared" si="20"/>
        <v>12.346551145538392</v>
      </c>
      <c r="X33" s="2823">
        <f t="shared" si="20"/>
        <v>11.968298461793742</v>
      </c>
      <c r="Y33" s="2823">
        <f t="shared" si="20"/>
        <v>11.645800071021833</v>
      </c>
      <c r="Z33" s="2823">
        <f t="shared" si="20"/>
        <v>14.147397046506265</v>
      </c>
      <c r="AA33" s="2824">
        <f t="shared" si="20"/>
        <v>12.887786174767239</v>
      </c>
      <c r="AB33" s="2822">
        <f t="shared" ref="AB33:AH59" si="21">$O33/D33+$P33+$Q33*D33+$R33*D33^2</f>
        <v>8.1524616431478449</v>
      </c>
      <c r="AC33" s="2823">
        <f t="shared" si="21"/>
        <v>6.0822201852169515</v>
      </c>
      <c r="AD33" s="2823">
        <f t="shared" si="21"/>
        <v>6.241585277536708</v>
      </c>
      <c r="AE33" s="2823">
        <f t="shared" si="21"/>
        <v>6.1038958601118907</v>
      </c>
      <c r="AF33" s="2823">
        <f t="shared" si="21"/>
        <v>6.2347944584154922</v>
      </c>
      <c r="AG33" s="2823">
        <f t="shared" si="21"/>
        <v>7.1177784526936829</v>
      </c>
      <c r="AH33" s="2824">
        <f t="shared" si="21"/>
        <v>6.4923580567054611</v>
      </c>
      <c r="AI33" s="2825">
        <f>'A1.3.4'!$J$27/100</f>
        <v>0.1205924519584583</v>
      </c>
      <c r="AJ33" s="2822">
        <f t="shared" ref="AJ33:AP59" si="22">U33*$AI33+AB33*(1-$AI33)</f>
        <v>9.1410102191072813</v>
      </c>
      <c r="AK33" s="2823">
        <f t="shared" si="22"/>
        <v>6.7646906937132965</v>
      </c>
      <c r="AL33" s="2823">
        <f t="shared" si="22"/>
        <v>6.9777980806817288</v>
      </c>
      <c r="AM33" s="2823">
        <f t="shared" si="22"/>
        <v>6.8110985491202669</v>
      </c>
      <c r="AN33" s="2823">
        <f t="shared" si="22"/>
        <v>6.8873208928006706</v>
      </c>
      <c r="AO33" s="2823">
        <f t="shared" si="22"/>
        <v>7.965497395254312</v>
      </c>
      <c r="AP33" s="2824">
        <f t="shared" si="22"/>
        <v>7.2635984147865997</v>
      </c>
      <c r="AQ33" s="2829" t="str">
        <f t="shared" ref="AQ33:AQ77" si="23">B33&amp;"/"&amp;RIGHT(B34,2)</f>
        <v>2015/16</v>
      </c>
      <c r="AR33" s="2830">
        <f>'Cost and rev series'!D32</f>
        <v>0.79930248046968799</v>
      </c>
      <c r="AS33" s="2826">
        <f>'Cost and rev series'!E32</f>
        <v>0.10835139189864229</v>
      </c>
      <c r="AT33" s="2826">
        <f t="shared" ref="AT33:AT52" si="24">AS33-AR33</f>
        <v>-0.6909510885710457</v>
      </c>
      <c r="AU33" s="2827">
        <f t="shared" si="16"/>
        <v>1.031153736491194</v>
      </c>
      <c r="AV33" s="2822">
        <f t="shared" si="5"/>
        <v>79.360990505675559</v>
      </c>
      <c r="AW33" s="2823">
        <f t="shared" si="6"/>
        <v>79.071492895048749</v>
      </c>
      <c r="AX33" s="2823">
        <f t="shared" si="7"/>
        <v>78.955901933027803</v>
      </c>
      <c r="AY33" s="2823">
        <f t="shared" si="8"/>
        <v>79.034891677417647</v>
      </c>
      <c r="AZ33" s="2823">
        <f t="shared" si="9"/>
        <v>78.718591696386966</v>
      </c>
      <c r="BA33" s="2823">
        <f t="shared" si="10"/>
        <v>78.885027504478316</v>
      </c>
      <c r="BB33" s="2823">
        <f t="shared" si="11"/>
        <v>79.030534066705144</v>
      </c>
      <c r="BC33" s="2823">
        <f t="shared" si="12"/>
        <v>78.968707996946208</v>
      </c>
      <c r="BD33" s="2824">
        <f t="shared" si="13"/>
        <v>78.8708426544476</v>
      </c>
      <c r="BE33" s="2823"/>
      <c r="BF33" s="2825">
        <f t="shared" ref="BF33:BF78" si="25">B33</f>
        <v>2015</v>
      </c>
      <c r="BG33" s="2819">
        <f t="shared" si="17"/>
        <v>41.974557894622166</v>
      </c>
      <c r="BH33" s="2820">
        <f t="shared" si="17"/>
        <v>7.4003364374381722</v>
      </c>
      <c r="BI33" s="2820">
        <f t="shared" si="17"/>
        <v>-7.8672377341604705E-2</v>
      </c>
      <c r="BJ33" s="2828">
        <f t="shared" si="17"/>
        <v>5.5923332790942988E-4</v>
      </c>
      <c r="BK33" s="2819">
        <f t="shared" si="17"/>
        <v>50.369469473546594</v>
      </c>
      <c r="BL33" s="2820">
        <f t="shared" si="17"/>
        <v>8.8799595403018081</v>
      </c>
      <c r="BM33" s="2820">
        <f t="shared" si="17"/>
        <v>-9.4406852809925654E-2</v>
      </c>
      <c r="BN33" s="2828">
        <f t="shared" si="17"/>
        <v>6.710799934913159E-4</v>
      </c>
      <c r="BO33" s="2822">
        <f t="shared" ref="BO33:BO77" si="26">BG33/$J33+BH33+BI33*$J33+BJ33*$J33^2</f>
        <v>5.5594495767960694</v>
      </c>
      <c r="BP33" s="2823">
        <f t="shared" ref="BP33:BP78" si="27">BK33/$J33+BL33+BM33*$J33+BN33*$J33^2</f>
        <v>6.6708953075312838</v>
      </c>
      <c r="BQ33" s="2824">
        <f t="shared" ref="BQ33:BQ78" si="28">BO33*AI33+BP33*(1-AI33)</f>
        <v>6.5368633416431638</v>
      </c>
    </row>
    <row r="34" spans="1:69" ht="13.5" customHeight="1">
      <c r="A34" s="2822"/>
      <c r="B34" s="2547">
        <v>2016</v>
      </c>
      <c r="C34" s="64"/>
      <c r="D34" s="2531">
        <f>D33*(D$38/D$33)^(1/5)</f>
        <v>29.426999980226284</v>
      </c>
      <c r="E34" s="2258">
        <f t="shared" ref="E34:J37" si="29">E33*(E$38/E$33)^(1/5)</f>
        <v>79.33479597859872</v>
      </c>
      <c r="F34" s="2258">
        <f t="shared" si="29"/>
        <v>62.223021396564555</v>
      </c>
      <c r="G34" s="2258">
        <f t="shared" si="29"/>
        <v>70.771516079426377</v>
      </c>
      <c r="H34" s="2258">
        <f t="shared" si="29"/>
        <v>91.281817698815942</v>
      </c>
      <c r="I34" s="2258">
        <f t="shared" si="29"/>
        <v>41.716020304991353</v>
      </c>
      <c r="J34" s="2532">
        <f t="shared" si="29"/>
        <v>53.992490850404685</v>
      </c>
      <c r="K34" s="2816">
        <f t="shared" si="18"/>
        <v>38.109507102839629</v>
      </c>
      <c r="L34" s="2817">
        <f t="shared" si="18"/>
        <v>6.6841828465914848</v>
      </c>
      <c r="M34" s="2817">
        <f>IF(ISERROR(VLOOKUP($B34,Av_car_cost_work,1,0)),"",VLOOKUP($B34,Av_car_cost_work,M$22,0))</f>
        <v>-7.0878488501169262E-2</v>
      </c>
      <c r="N34" s="2818">
        <f t="shared" si="18"/>
        <v>5.0501337224643193E-4</v>
      </c>
      <c r="O34" s="2819">
        <f t="shared" si="19"/>
        <v>45.731408523407545</v>
      </c>
      <c r="P34" s="2820">
        <f t="shared" si="19"/>
        <v>8.0203512582879313</v>
      </c>
      <c r="Q34" s="2820">
        <f t="shared" si="19"/>
        <v>-8.5054186201403092E-2</v>
      </c>
      <c r="R34" s="2821">
        <f t="shared" si="19"/>
        <v>6.0601604669571828E-4</v>
      </c>
      <c r="S34" s="2819">
        <f t="shared" ref="S34:T49" si="30">IF(ISERROR(VLOOKUP($B34,Non_fuel_op_cost,1,0)),S33,VLOOKUP($B34,Non_fuel_op_cost,S$22,1))</f>
        <v>4.9576025622709503</v>
      </c>
      <c r="T34" s="2828">
        <f t="shared" si="30"/>
        <v>135.946</v>
      </c>
      <c r="U34" s="2822">
        <f t="shared" si="20"/>
        <v>15.908182981340826</v>
      </c>
      <c r="V34" s="2823">
        <f t="shared" si="20"/>
        <v>11.391150656476507</v>
      </c>
      <c r="W34" s="2823">
        <f t="shared" si="20"/>
        <v>11.984058915396865</v>
      </c>
      <c r="X34" s="2823">
        <f t="shared" si="20"/>
        <v>11.614421649739196</v>
      </c>
      <c r="Y34" s="2823">
        <f t="shared" si="20"/>
        <v>11.28661927568738</v>
      </c>
      <c r="Z34" s="2823">
        <f t="shared" si="20"/>
        <v>13.736244548277302</v>
      </c>
      <c r="AA34" s="2824">
        <f t="shared" si="20"/>
        <v>12.510787142694307</v>
      </c>
      <c r="AB34" s="2822">
        <f t="shared" si="21"/>
        <v>7.5963031911647416</v>
      </c>
      <c r="AC34" s="2823">
        <f t="shared" si="21"/>
        <v>5.6633014161825219</v>
      </c>
      <c r="AD34" s="2823">
        <f t="shared" si="21"/>
        <v>5.8092974256800343</v>
      </c>
      <c r="AE34" s="2823">
        <f t="shared" si="21"/>
        <v>5.6824178801637855</v>
      </c>
      <c r="AF34" s="2823">
        <f t="shared" si="21"/>
        <v>5.806992044384427</v>
      </c>
      <c r="AG34" s="2823">
        <f t="shared" si="21"/>
        <v>6.6230894967756671</v>
      </c>
      <c r="AH34" s="2824">
        <f t="shared" si="21"/>
        <v>6.04171095994512</v>
      </c>
      <c r="AI34" s="2825">
        <f>'A1.3.4'!$J$27/100</f>
        <v>0.1205924519584583</v>
      </c>
      <c r="AJ34" s="2822">
        <f t="shared" si="22"/>
        <v>8.5986531554460317</v>
      </c>
      <c r="AK34" s="2823">
        <f t="shared" si="22"/>
        <v>6.3540368005179664</v>
      </c>
      <c r="AL34" s="2823">
        <f t="shared" si="22"/>
        <v>6.5539270539836494</v>
      </c>
      <c r="AM34" s="2823">
        <f t="shared" si="22"/>
        <v>6.3977727597637024</v>
      </c>
      <c r="AN34" s="2823">
        <f t="shared" si="22"/>
        <v>6.4677937280255886</v>
      </c>
      <c r="AO34" s="2823">
        <f t="shared" si="22"/>
        <v>7.4808823055969427</v>
      </c>
      <c r="AP34" s="2824">
        <f t="shared" si="22"/>
        <v>6.8218327187289081</v>
      </c>
      <c r="AQ34" s="2829" t="str">
        <f t="shared" si="23"/>
        <v>2016/17</v>
      </c>
      <c r="AR34" s="2830">
        <f>'Cost and rev series'!D33</f>
        <v>2.2781518107048537</v>
      </c>
      <c r="AS34" s="2826">
        <f>'Cost and rev series'!E33</f>
        <v>1.0989925901257358</v>
      </c>
      <c r="AT34" s="2826">
        <f t="shared" si="24"/>
        <v>-1.1791592205791179</v>
      </c>
      <c r="AU34" s="2827">
        <f t="shared" si="16"/>
        <v>1.0192656214373694</v>
      </c>
      <c r="AV34" s="2822">
        <f t="shared" si="5"/>
        <v>77.34304720188193</v>
      </c>
      <c r="AW34" s="2823">
        <f t="shared" si="6"/>
        <v>76.970727410178498</v>
      </c>
      <c r="AX34" s="2823">
        <f t="shared" si="7"/>
        <v>76.841881671030023</v>
      </c>
      <c r="AY34" s="2823">
        <f t="shared" si="8"/>
        <v>76.929126568725749</v>
      </c>
      <c r="AZ34" s="2823">
        <f t="shared" si="9"/>
        <v>76.597376384105544</v>
      </c>
      <c r="BA34" s="2823">
        <f t="shared" si="10"/>
        <v>76.772424270859119</v>
      </c>
      <c r="BB34" s="2823">
        <f t="shared" si="11"/>
        <v>76.925459945805969</v>
      </c>
      <c r="BC34" s="2823">
        <f t="shared" si="12"/>
        <v>76.860434738900736</v>
      </c>
      <c r="BD34" s="2824">
        <f t="shared" si="13"/>
        <v>76.749951247207775</v>
      </c>
      <c r="BE34" s="2823"/>
      <c r="BF34" s="2825">
        <f t="shared" si="25"/>
        <v>2016</v>
      </c>
      <c r="BG34" s="2819">
        <f t="shared" ref="BG34:BG61" si="31">K34*0.5+K33*0.25+K35*0.25</f>
        <v>39.205323931771801</v>
      </c>
      <c r="BH34" s="2820">
        <f t="shared" ref="BH34:BN60" si="32">L34*0.5+L33*0.25+L35*0.25</f>
        <v>6.8740451621796357</v>
      </c>
      <c r="BI34" s="2820">
        <f t="shared" si="32"/>
        <v>-7.2878587331466543E-2</v>
      </c>
      <c r="BJ34" s="2828">
        <f t="shared" si="32"/>
        <v>5.1934647728601687E-4</v>
      </c>
      <c r="BK34" s="2819">
        <f t="shared" si="32"/>
        <v>47.04638871812616</v>
      </c>
      <c r="BL34" s="2820">
        <f t="shared" si="32"/>
        <v>8.248139337354397</v>
      </c>
      <c r="BM34" s="2820">
        <f t="shared" si="32"/>
        <v>-8.7454304797759841E-2</v>
      </c>
      <c r="BN34" s="2828">
        <f t="shared" si="32"/>
        <v>6.232157727432202E-4</v>
      </c>
      <c r="BO34" s="2822">
        <f t="shared" si="26"/>
        <v>5.1792673667536713</v>
      </c>
      <c r="BP34" s="2823">
        <f t="shared" si="27"/>
        <v>6.214405982843239</v>
      </c>
      <c r="BQ34" s="2824">
        <f t="shared" si="28"/>
        <v>6.0895760790121134</v>
      </c>
    </row>
    <row r="35" spans="1:69" ht="13.5" customHeight="1">
      <c r="A35" s="2822"/>
      <c r="B35" s="2547">
        <v>2017</v>
      </c>
      <c r="C35" s="64"/>
      <c r="D35" s="2531">
        <f>D34*(D$38/D$33)^(1/5)</f>
        <v>29.271365125722557</v>
      </c>
      <c r="E35" s="2258">
        <f t="shared" si="29"/>
        <v>79.270182772326805</v>
      </c>
      <c r="F35" s="2258">
        <f t="shared" si="29"/>
        <v>62.210847998279149</v>
      </c>
      <c r="G35" s="2258">
        <f t="shared" si="29"/>
        <v>70.770240131092663</v>
      </c>
      <c r="H35" s="2258">
        <f t="shared" si="29"/>
        <v>91.281755741989969</v>
      </c>
      <c r="I35" s="2258">
        <f t="shared" si="29"/>
        <v>41.667785458154611</v>
      </c>
      <c r="J35" s="2532">
        <f t="shared" si="29"/>
        <v>53.966329293618465</v>
      </c>
      <c r="K35" s="2816">
        <f t="shared" si="18"/>
        <v>39.744354733338554</v>
      </c>
      <c r="L35" s="2817">
        <f t="shared" si="18"/>
        <v>6.9266823887813329</v>
      </c>
      <c r="M35" s="2817">
        <f t="shared" si="18"/>
        <v>-7.3214636616237755E-2</v>
      </c>
      <c r="N35" s="2818">
        <f t="shared" si="18"/>
        <v>5.2318510937144681E-4</v>
      </c>
      <c r="O35" s="2819">
        <f t="shared" si="19"/>
        <v>47.693225680006265</v>
      </c>
      <c r="P35" s="2820">
        <f t="shared" si="19"/>
        <v>8.3109437292249986</v>
      </c>
      <c r="Q35" s="2820">
        <f t="shared" si="19"/>
        <v>-8.7857563939485323E-2</v>
      </c>
      <c r="R35" s="2821">
        <f t="shared" si="19"/>
        <v>6.2782213124573617E-4</v>
      </c>
      <c r="S35" s="2819">
        <f t="shared" si="30"/>
        <v>4.9528739405132214</v>
      </c>
      <c r="T35" s="2828">
        <f t="shared" si="30"/>
        <v>135.946</v>
      </c>
      <c r="U35" s="2822">
        <f t="shared" si="20"/>
        <v>16.186859388384789</v>
      </c>
      <c r="V35" s="2823">
        <f t="shared" si="20"/>
        <v>11.579737898977513</v>
      </c>
      <c r="W35" s="2823">
        <f>$K35/F35+$L35+$M35*F35+$N35*F35^2+$S35+$T35/F35</f>
        <v>12.173748507607726</v>
      </c>
      <c r="X35" s="2823">
        <f t="shared" si="20"/>
        <v>11.801018975774952</v>
      </c>
      <c r="Y35" s="2823">
        <f t="shared" si="20"/>
        <v>11.480465809649447</v>
      </c>
      <c r="Z35" s="2823">
        <f t="shared" si="20"/>
        <v>13.953676116072526</v>
      </c>
      <c r="AA35" s="2824">
        <f t="shared" si="20"/>
        <v>12.707692012392556</v>
      </c>
      <c r="AB35" s="2822">
        <f t="shared" si="21"/>
        <v>7.9065064476214006</v>
      </c>
      <c r="AC35" s="2823">
        <f t="shared" si="21"/>
        <v>5.8931973910571003</v>
      </c>
      <c r="AD35" s="2823">
        <f t="shared" si="21"/>
        <v>6.0416792733037905</v>
      </c>
      <c r="AE35" s="2823">
        <f t="shared" si="21"/>
        <v>5.9115604782021114</v>
      </c>
      <c r="AF35" s="2823">
        <f t="shared" si="21"/>
        <v>6.0448740385357116</v>
      </c>
      <c r="AG35" s="2823">
        <f t="shared" si="21"/>
        <v>6.8847477987571724</v>
      </c>
      <c r="AH35" s="2824">
        <f t="shared" si="21"/>
        <v>6.2817994486204949</v>
      </c>
      <c r="AI35" s="2825">
        <f>'A1.3.4'!$J$27/100</f>
        <v>0.1205924519584583</v>
      </c>
      <c r="AJ35" s="2822">
        <f t="shared" si="22"/>
        <v>8.9050545118294888</v>
      </c>
      <c r="AK35" s="2823">
        <f t="shared" si="22"/>
        <v>6.5789512540683202</v>
      </c>
      <c r="AL35" s="2823">
        <f t="shared" si="22"/>
        <v>6.7811605378475281</v>
      </c>
      <c r="AM35" s="2823">
        <f t="shared" si="22"/>
        <v>6.6217847191319983</v>
      </c>
      <c r="AN35" s="2823">
        <f t="shared" si="22"/>
        <v>6.7003653780595362</v>
      </c>
      <c r="AO35" s="2823">
        <f t="shared" si="22"/>
        <v>7.7372071972608101</v>
      </c>
      <c r="AP35" s="2824">
        <f t="shared" si="22"/>
        <v>7.0567135889073915</v>
      </c>
      <c r="AQ35" s="2829" t="str">
        <f t="shared" si="23"/>
        <v>2017/18</v>
      </c>
      <c r="AR35" s="2830">
        <f>'Cost and rev series'!D34</f>
        <v>2.0167434980266297</v>
      </c>
      <c r="AS35" s="2826">
        <f>'Cost and rev series'!E34</f>
        <v>2.8246726509099984</v>
      </c>
      <c r="AT35" s="2826">
        <f t="shared" si="24"/>
        <v>0.80792915288336875</v>
      </c>
      <c r="AU35" s="2827">
        <f t="shared" ref="AU35:AU77" si="33">(1+AS35/100)/(1+AR35/100)*AU34</f>
        <v>1.027337770987085</v>
      </c>
      <c r="AV35" s="2822">
        <f t="shared" si="5"/>
        <v>79.222733324019558</v>
      </c>
      <c r="AW35" s="2823">
        <f t="shared" si="6"/>
        <v>78.772122975100871</v>
      </c>
      <c r="AX35" s="2823">
        <f t="shared" si="7"/>
        <v>78.605435400724105</v>
      </c>
      <c r="AY35" s="2823">
        <f t="shared" si="8"/>
        <v>78.710359493706989</v>
      </c>
      <c r="AZ35" s="2823">
        <f t="shared" si="9"/>
        <v>78.34696740220032</v>
      </c>
      <c r="BA35" s="2823">
        <f t="shared" si="10"/>
        <v>78.560844563873758</v>
      </c>
      <c r="BB35" s="2823">
        <f t="shared" si="11"/>
        <v>78.747826745718029</v>
      </c>
      <c r="BC35" s="2823">
        <f t="shared" si="12"/>
        <v>78.668377590700814</v>
      </c>
      <c r="BD35" s="2824">
        <f t="shared" si="13"/>
        <v>78.502899639308936</v>
      </c>
      <c r="BE35" s="2823"/>
      <c r="BF35" s="2825">
        <f t="shared" si="25"/>
        <v>2017</v>
      </c>
      <c r="BG35" s="2819">
        <f t="shared" si="31"/>
        <v>39.535113045085645</v>
      </c>
      <c r="BH35" s="2820">
        <f t="shared" si="32"/>
        <v>6.9109070770909122</v>
      </c>
      <c r="BI35" s="2820">
        <f t="shared" si="32"/>
        <v>-7.3119182534384847E-2</v>
      </c>
      <c r="BJ35" s="2828">
        <f t="shared" si="32"/>
        <v>5.2186852568736081E-4</v>
      </c>
      <c r="BK35" s="2819">
        <f t="shared" si="32"/>
        <v>47.442135654102771</v>
      </c>
      <c r="BL35" s="2820">
        <f t="shared" si="32"/>
        <v>8.291803053279331</v>
      </c>
      <c r="BM35" s="2820">
        <f t="shared" si="32"/>
        <v>-8.7743019041261805E-2</v>
      </c>
      <c r="BN35" s="2828">
        <f t="shared" si="32"/>
        <v>6.2624223082483293E-4</v>
      </c>
      <c r="BO35" s="2822">
        <f t="shared" si="26"/>
        <v>5.2173931808162672</v>
      </c>
      <c r="BP35" s="2823">
        <f t="shared" si="27"/>
        <v>6.2595863777497582</v>
      </c>
      <c r="BQ35" s="2824">
        <f t="shared" si="28"/>
        <v>6.1339057447171239</v>
      </c>
    </row>
    <row r="36" spans="1:69" ht="13.5" customHeight="1">
      <c r="A36" s="2822"/>
      <c r="B36" s="2547">
        <v>2018</v>
      </c>
      <c r="C36" s="64"/>
      <c r="D36" s="2531">
        <f>D35*(D$38/D$33)^(1/5)</f>
        <v>29.116553399908558</v>
      </c>
      <c r="E36" s="2258">
        <f t="shared" si="29"/>
        <v>79.20562218945139</v>
      </c>
      <c r="F36" s="2258">
        <f t="shared" si="29"/>
        <v>62.198676981614284</v>
      </c>
      <c r="G36" s="2258">
        <f t="shared" si="29"/>
        <v>70.768964205763169</v>
      </c>
      <c r="H36" s="2258">
        <f t="shared" si="29"/>
        <v>91.281693785206045</v>
      </c>
      <c r="I36" s="2258">
        <f t="shared" si="29"/>
        <v>41.619606383667012</v>
      </c>
      <c r="J36" s="2532">
        <f t="shared" si="29"/>
        <v>53.940180413170062</v>
      </c>
      <c r="K36" s="2816">
        <f t="shared" si="18"/>
        <v>40.542235610825834</v>
      </c>
      <c r="L36" s="2817">
        <f t="shared" si="18"/>
        <v>7.1060806842094975</v>
      </c>
      <c r="M36" s="2817">
        <f t="shared" si="18"/>
        <v>-7.5168968403894587E-2</v>
      </c>
      <c r="N36" s="2818">
        <f t="shared" si="18"/>
        <v>5.3609051176011771E-4</v>
      </c>
      <c r="O36" s="2819">
        <f t="shared" si="19"/>
        <v>48.650682732991001</v>
      </c>
      <c r="P36" s="2820">
        <f t="shared" si="19"/>
        <v>8.5249734963793955</v>
      </c>
      <c r="Q36" s="2820">
        <f t="shared" si="19"/>
        <v>-9.020276208467351E-2</v>
      </c>
      <c r="R36" s="2821">
        <f t="shared" si="19"/>
        <v>6.4330861411214123E-4</v>
      </c>
      <c r="S36" s="2819">
        <f t="shared" si="30"/>
        <v>4.9394010579933294</v>
      </c>
      <c r="T36" s="2828">
        <f t="shared" si="30"/>
        <v>135.946</v>
      </c>
      <c r="U36" s="2822">
        <f t="shared" si="20"/>
        <v>16.372743686422695</v>
      </c>
      <c r="V36" s="2823">
        <f t="shared" si="20"/>
        <v>11.683085690514501</v>
      </c>
      <c r="W36" s="2823">
        <f t="shared" si="20"/>
        <v>12.281523337469773</v>
      </c>
      <c r="X36" s="2823">
        <f t="shared" si="20"/>
        <v>11.904589923752095</v>
      </c>
      <c r="Y36" s="2823">
        <f t="shared" si="20"/>
        <v>11.584269594466972</v>
      </c>
      <c r="Z36" s="2823">
        <f t="shared" si="20"/>
        <v>14.086097447104798</v>
      </c>
      <c r="AA36" s="2824">
        <f t="shared" si="20"/>
        <v>12.82255765511238</v>
      </c>
      <c r="AB36" s="2822">
        <f t="shared" si="21"/>
        <v>8.1148543566973785</v>
      </c>
      <c r="AC36" s="2823">
        <f t="shared" si="21"/>
        <v>6.0304565638442327</v>
      </c>
      <c r="AD36" s="2823">
        <f t="shared" si="21"/>
        <v>6.185415210965477</v>
      </c>
      <c r="AE36" s="2823">
        <f t="shared" si="21"/>
        <v>6.0507233270667555</v>
      </c>
      <c r="AF36" s="2823">
        <f t="shared" si="21"/>
        <v>6.184356638958671</v>
      </c>
      <c r="AG36" s="2823">
        <f t="shared" si="21"/>
        <v>7.0540404814529092</v>
      </c>
      <c r="AH36" s="2824">
        <f t="shared" si="21"/>
        <v>6.4330920601066008</v>
      </c>
      <c r="AI36" s="2825">
        <f>'A1.3.4'!$J$27/100</f>
        <v>0.1205924519584583</v>
      </c>
      <c r="AJ36" s="2822">
        <f t="shared" si="22"/>
        <v>9.1106934789705445</v>
      </c>
      <c r="AK36" s="2823">
        <f t="shared" si="22"/>
        <v>6.7121209702411999</v>
      </c>
      <c r="AL36" s="2823">
        <f t="shared" si="22"/>
        <v>6.9205598373445145</v>
      </c>
      <c r="AM36" s="2823">
        <f t="shared" si="22"/>
        <v>6.7566554533987562</v>
      </c>
      <c r="AN36" s="2823">
        <f t="shared" si="22"/>
        <v>6.8355453826256634</v>
      </c>
      <c r="AO36" s="2823">
        <f t="shared" si="22"/>
        <v>7.902053473252427</v>
      </c>
      <c r="AP36" s="2824">
        <f t="shared" si="22"/>
        <v>7.2036133829125584</v>
      </c>
      <c r="AQ36" s="2829" t="str">
        <f t="shared" si="23"/>
        <v>2018/19</v>
      </c>
      <c r="AR36" s="2830">
        <f>'Cost and rev series'!D35</f>
        <v>1.7772515238199418</v>
      </c>
      <c r="AS36" s="2826">
        <f>'Cost and rev series'!E35</f>
        <v>2.258529553099442</v>
      </c>
      <c r="AT36" s="2826">
        <f t="shared" si="24"/>
        <v>0.48127802927950025</v>
      </c>
      <c r="AU36" s="2827">
        <f t="shared" si="33"/>
        <v>1.0321957828750299</v>
      </c>
      <c r="AV36" s="2822">
        <f t="shared" si="5"/>
        <v>79.556576861375817</v>
      </c>
      <c r="AW36" s="2823">
        <f t="shared" si="6"/>
        <v>78.891076567205033</v>
      </c>
      <c r="AX36" s="2823">
        <f t="shared" si="7"/>
        <v>78.748335085559347</v>
      </c>
      <c r="AY36" s="2823">
        <f t="shared" si="8"/>
        <v>78.839746995457105</v>
      </c>
      <c r="AZ36" s="2823">
        <f t="shared" si="9"/>
        <v>78.541139640031972</v>
      </c>
      <c r="BA36" s="2823">
        <f t="shared" si="10"/>
        <v>78.714846485303497</v>
      </c>
      <c r="BB36" s="2823">
        <f t="shared" si="11"/>
        <v>78.866709754275362</v>
      </c>
      <c r="BC36" s="2823">
        <f t="shared" si="12"/>
        <v>78.802182705339675</v>
      </c>
      <c r="BD36" s="2824">
        <f t="shared" si="13"/>
        <v>78.663539724171684</v>
      </c>
      <c r="BE36" s="2823"/>
      <c r="BF36" s="2825">
        <f t="shared" si="25"/>
        <v>2018</v>
      </c>
      <c r="BG36" s="2819">
        <f t="shared" si="31"/>
        <v>39.92757971893181</v>
      </c>
      <c r="BH36" s="2820">
        <f t="shared" si="32"/>
        <v>6.9918890473771382</v>
      </c>
      <c r="BI36" s="2820">
        <f t="shared" si="32"/>
        <v>-7.3938878403455532E-2</v>
      </c>
      <c r="BJ36" s="2828">
        <f t="shared" si="32"/>
        <v>5.2751439232077198E-4</v>
      </c>
      <c r="BK36" s="2819">
        <f t="shared" si="32"/>
        <v>47.913095662718177</v>
      </c>
      <c r="BL36" s="2820">
        <f t="shared" si="32"/>
        <v>8.388046524417593</v>
      </c>
      <c r="BM36" s="2820">
        <f t="shared" si="32"/>
        <v>-8.872665408414665E-2</v>
      </c>
      <c r="BN36" s="2828">
        <f t="shared" si="32"/>
        <v>6.3301727078492642E-4</v>
      </c>
      <c r="BO36" s="2822">
        <f t="shared" si="26"/>
        <v>5.2786580651637598</v>
      </c>
      <c r="BP36" s="2823">
        <f t="shared" si="27"/>
        <v>6.3321693457615389</v>
      </c>
      <c r="BQ36" s="2824">
        <f t="shared" si="28"/>
        <v>6.2051238372683573</v>
      </c>
    </row>
    <row r="37" spans="1:69" ht="13.5" customHeight="1">
      <c r="A37" s="2822"/>
      <c r="B37" s="2547">
        <v>2019</v>
      </c>
      <c r="C37" s="64"/>
      <c r="D37" s="2531">
        <f>D36*(D$38/D$33)^(1/5)</f>
        <v>28.962560449383876</v>
      </c>
      <c r="E37" s="2258">
        <f t="shared" si="29"/>
        <v>79.141114187114027</v>
      </c>
      <c r="F37" s="2258">
        <f t="shared" si="29"/>
        <v>62.186508346104013</v>
      </c>
      <c r="G37" s="2258">
        <f t="shared" si="29"/>
        <v>70.767688303437495</v>
      </c>
      <c r="H37" s="2258">
        <f t="shared" si="29"/>
        <v>91.281631828464185</v>
      </c>
      <c r="I37" s="2258">
        <f t="shared" si="29"/>
        <v>41.571483017040848</v>
      </c>
      <c r="J37" s="2532">
        <f t="shared" si="29"/>
        <v>53.914044202917275</v>
      </c>
      <c r="K37" s="2816">
        <f t="shared" si="18"/>
        <v>38.881492920737031</v>
      </c>
      <c r="L37" s="2817">
        <f t="shared" si="18"/>
        <v>6.8287124323082251</v>
      </c>
      <c r="M37" s="2817">
        <f t="shared" si="18"/>
        <v>-7.2202940189795201E-2</v>
      </c>
      <c r="N37" s="2818">
        <f t="shared" si="18"/>
        <v>5.1469143639140593E-4</v>
      </c>
      <c r="O37" s="2819">
        <f t="shared" si="19"/>
        <v>46.657791504884436</v>
      </c>
      <c r="P37" s="2820">
        <f t="shared" si="19"/>
        <v>8.1912953756865843</v>
      </c>
      <c r="Q37" s="2820">
        <f t="shared" si="19"/>
        <v>-8.6643528227754257E-2</v>
      </c>
      <c r="R37" s="2821">
        <f t="shared" si="19"/>
        <v>6.1762972366968718E-4</v>
      </c>
      <c r="S37" s="2819">
        <f t="shared" si="30"/>
        <v>4.9303918792917889</v>
      </c>
      <c r="T37" s="2828">
        <f t="shared" si="30"/>
        <v>135.94599999999997</v>
      </c>
      <c r="U37" s="2822">
        <f t="shared" si="20"/>
        <v>16.135988113593765</v>
      </c>
      <c r="V37" s="2823">
        <f t="shared" si="20"/>
        <v>11.477618556062986</v>
      </c>
      <c r="W37" s="2823">
        <f t="shared" si="20"/>
        <v>12.070791839676875</v>
      </c>
      <c r="X37" s="2823">
        <f t="shared" si="20"/>
        <v>11.697520010327169</v>
      </c>
      <c r="Y37" s="2823">
        <f t="shared" si="20"/>
        <v>11.3721380593463</v>
      </c>
      <c r="Z37" s="2823">
        <f t="shared" si="20"/>
        <v>13.852471507302678</v>
      </c>
      <c r="AA37" s="2824">
        <f t="shared" si="20"/>
        <v>12.605125660188387</v>
      </c>
      <c r="AB37" s="2822">
        <f t="shared" si="21"/>
        <v>7.8109323899952887</v>
      </c>
      <c r="AC37" s="2823">
        <f t="shared" si="21"/>
        <v>5.7921919825210963</v>
      </c>
      <c r="AD37" s="2823">
        <f t="shared" si="21"/>
        <v>5.9419989793982531</v>
      </c>
      <c r="AE37" s="2823">
        <f t="shared" si="21"/>
        <v>5.8121726658656963</v>
      </c>
      <c r="AF37" s="2823">
        <f t="shared" si="21"/>
        <v>5.939772379821064</v>
      </c>
      <c r="AG37" s="2823">
        <f t="shared" si="21"/>
        <v>6.7791267170309641</v>
      </c>
      <c r="AH37" s="2824">
        <f t="shared" si="21"/>
        <v>6.1806823203808898</v>
      </c>
      <c r="AI37" s="2825">
        <f>'A1.3.4'!$J$27/100</f>
        <v>0.1205924519584583</v>
      </c>
      <c r="AJ37" s="2822">
        <f t="shared" si="22"/>
        <v>8.8148712723948268</v>
      </c>
      <c r="AK37" s="2823">
        <f t="shared" si="22"/>
        <v>6.4778115134542888</v>
      </c>
      <c r="AL37" s="2823">
        <f t="shared" si="22"/>
        <v>6.6810851379647449</v>
      </c>
      <c r="AM37" s="2823">
        <f t="shared" si="22"/>
        <v>6.5219011327615064</v>
      </c>
      <c r="AN37" s="2823">
        <f t="shared" si="22"/>
        <v>6.5948746770499884</v>
      </c>
      <c r="AO37" s="2823">
        <f t="shared" si="22"/>
        <v>7.6321187088374174</v>
      </c>
      <c r="AP37" s="2824">
        <f t="shared" si="22"/>
        <v>6.9554216951964634</v>
      </c>
      <c r="AQ37" s="2829" t="str">
        <f t="shared" si="23"/>
        <v>2019/20</v>
      </c>
      <c r="AR37" s="2830">
        <f>'Cost and rev series'!D36</f>
        <v>1.999285785193635</v>
      </c>
      <c r="AS37" s="2826">
        <f>'Cost and rev series'!E36</f>
        <v>2.0273859860266867</v>
      </c>
      <c r="AT37" s="2826">
        <f t="shared" si="24"/>
        <v>2.8100200833051758E-2</v>
      </c>
      <c r="AU37" s="2827">
        <f t="shared" si="33"/>
        <v>1.0324801467171347</v>
      </c>
      <c r="AV37" s="2822">
        <f t="shared" si="5"/>
        <v>77.348829828805634</v>
      </c>
      <c r="AW37" s="2823">
        <f t="shared" si="6"/>
        <v>76.511336741144007</v>
      </c>
      <c r="AX37" s="2823">
        <f t="shared" si="7"/>
        <v>76.395050617105923</v>
      </c>
      <c r="AY37" s="2823">
        <f t="shared" si="8"/>
        <v>76.473298940749729</v>
      </c>
      <c r="AZ37" s="2823">
        <f t="shared" si="9"/>
        <v>76.228622577893574</v>
      </c>
      <c r="BA37" s="2823">
        <f t="shared" si="10"/>
        <v>76.360283559601243</v>
      </c>
      <c r="BB37" s="2823">
        <f t="shared" si="11"/>
        <v>76.475388217952073</v>
      </c>
      <c r="BC37" s="2823">
        <f t="shared" si="12"/>
        <v>76.426479986406591</v>
      </c>
      <c r="BD37" s="2824">
        <f t="shared" si="13"/>
        <v>76.324323446326915</v>
      </c>
      <c r="BE37" s="2823"/>
      <c r="BF37" s="2825">
        <f t="shared" si="25"/>
        <v>2019</v>
      </c>
      <c r="BG37" s="2819">
        <f t="shared" si="31"/>
        <v>39.123743000226</v>
      </c>
      <c r="BH37" s="2820">
        <f t="shared" si="32"/>
        <v>6.8712737578612391</v>
      </c>
      <c r="BI37" s="2820">
        <f t="shared" si="32"/>
        <v>-7.2652334092476567E-2</v>
      </c>
      <c r="BJ37" s="2828">
        <f t="shared" si="32"/>
        <v>5.1789590409823962E-4</v>
      </c>
      <c r="BK37" s="2819">
        <f t="shared" si="32"/>
        <v>46.948491600271197</v>
      </c>
      <c r="BL37" s="2820">
        <f t="shared" si="32"/>
        <v>8.2423423721421258</v>
      </c>
      <c r="BM37" s="2820">
        <f t="shared" si="32"/>
        <v>-8.71828009109719E-2</v>
      </c>
      <c r="BN37" s="2828">
        <f t="shared" si="32"/>
        <v>6.2147508491788741E-4</v>
      </c>
      <c r="BO37" s="2822">
        <f t="shared" si="26"/>
        <v>5.1853420042623268</v>
      </c>
      <c r="BP37" s="2823">
        <f t="shared" si="27"/>
        <v>6.2192242678234289</v>
      </c>
      <c r="BQ37" s="2824">
        <f t="shared" si="28"/>
        <v>6.0945458706242341</v>
      </c>
    </row>
    <row r="38" spans="1:69" ht="13.5" customHeight="1">
      <c r="A38" s="2822"/>
      <c r="B38" s="714">
        <v>2020</v>
      </c>
      <c r="C38" s="64"/>
      <c r="D38" s="2307">
        <v>28.809381943772554</v>
      </c>
      <c r="E38" s="2243">
        <v>79.076658722491189</v>
      </c>
      <c r="F38" s="2243">
        <v>62.174342091282483</v>
      </c>
      <c r="G38" s="2243">
        <v>70.766412424115231</v>
      </c>
      <c r="H38" s="2243">
        <v>91.281569871764376</v>
      </c>
      <c r="I38" s="2243">
        <v>41.523415293862968</v>
      </c>
      <c r="J38" s="2530">
        <v>53.887920656720866</v>
      </c>
      <c r="K38" s="2816">
        <f t="shared" si="18"/>
        <v>38.189750548604096</v>
      </c>
      <c r="L38" s="2817">
        <f t="shared" si="18"/>
        <v>6.7215894826190103</v>
      </c>
      <c r="M38" s="2817">
        <f t="shared" si="18"/>
        <v>-7.103448758642128E-2</v>
      </c>
      <c r="N38" s="2818">
        <f t="shared" si="18"/>
        <v>5.061102318500287E-4</v>
      </c>
      <c r="O38" s="2819">
        <f t="shared" si="19"/>
        <v>45.827700658324915</v>
      </c>
      <c r="P38" s="2820">
        <f t="shared" si="19"/>
        <v>8.0618052408159393</v>
      </c>
      <c r="Q38" s="2820">
        <f t="shared" si="19"/>
        <v>-8.5241385103705533E-2</v>
      </c>
      <c r="R38" s="2821">
        <f t="shared" si="19"/>
        <v>6.0733227822003439E-4</v>
      </c>
      <c r="S38" s="2819">
        <f t="shared" si="30"/>
        <v>4.9205531138927485</v>
      </c>
      <c r="T38" s="2828">
        <f t="shared" si="30"/>
        <v>135.946</v>
      </c>
      <c r="U38" s="2822">
        <f t="shared" si="20"/>
        <v>16.060155717946138</v>
      </c>
      <c r="V38" s="2823">
        <f t="shared" si="20"/>
        <v>11.3918527985062</v>
      </c>
      <c r="W38" s="2823">
        <f t="shared" si="20"/>
        <v>11.982829954382128</v>
      </c>
      <c r="X38" s="2823">
        <f t="shared" si="20"/>
        <v>11.610540517456126</v>
      </c>
      <c r="Y38" s="2823">
        <f t="shared" si="20"/>
        <v>11.282754982323487</v>
      </c>
      <c r="Z38" s="2823">
        <f t="shared" si="20"/>
        <v>13.758856311766984</v>
      </c>
      <c r="AA38" s="2824">
        <f t="shared" si="20"/>
        <v>12.515382434717921</v>
      </c>
      <c r="AB38" s="2822">
        <f t="shared" si="21"/>
        <v>7.7008489702963736</v>
      </c>
      <c r="AC38" s="2823">
        <f t="shared" si="21"/>
        <v>5.6984568122717079</v>
      </c>
      <c r="AD38" s="2823">
        <f t="shared" si="21"/>
        <v>5.846795309604774</v>
      </c>
      <c r="AE38" s="2823">
        <f t="shared" si="21"/>
        <v>5.7186196357846724</v>
      </c>
      <c r="AF38" s="2823">
        <f t="shared" si="21"/>
        <v>5.8433753976047642</v>
      </c>
      <c r="AG38" s="2823">
        <f t="shared" si="21"/>
        <v>6.6731097203775578</v>
      </c>
      <c r="AH38" s="2824">
        <f t="shared" si="21"/>
        <v>6.0823875204543931</v>
      </c>
      <c r="AI38" s="2825">
        <f>'A1.3.4'!$J$27/100</f>
        <v>0.1205924519584583</v>
      </c>
      <c r="AJ38" s="2822">
        <f t="shared" si="22"/>
        <v>8.708918267668345</v>
      </c>
      <c r="AK38" s="2823">
        <f t="shared" si="22"/>
        <v>6.3850373942221701</v>
      </c>
      <c r="AL38" s="2823">
        <f t="shared" si="22"/>
        <v>6.5867547727205231</v>
      </c>
      <c r="AM38" s="2823">
        <f t="shared" si="22"/>
        <v>6.4291408216506749</v>
      </c>
      <c r="AN38" s="2823">
        <f t="shared" si="22"/>
        <v>6.4993235188587759</v>
      </c>
      <c r="AO38" s="2823">
        <f t="shared" si="22"/>
        <v>7.5275972757894971</v>
      </c>
      <c r="AP38" s="2824">
        <f t="shared" si="22"/>
        <v>6.8581581506017244</v>
      </c>
      <c r="AQ38" s="2829" t="str">
        <f t="shared" si="23"/>
        <v>2020/21</v>
      </c>
      <c r="AR38" s="2830">
        <f>'Cost and rev series'!D37</f>
        <v>1.8421066460050639</v>
      </c>
      <c r="AS38" s="2826">
        <f>'Cost and rev series'!E37</f>
        <v>1.8956588352500034</v>
      </c>
      <c r="AT38" s="2826">
        <f t="shared" si="24"/>
        <v>5.3552189244939541E-2</v>
      </c>
      <c r="AU38" s="2827">
        <f t="shared" si="33"/>
        <v>1.0330230613722766</v>
      </c>
      <c r="AV38" s="2822">
        <f t="shared" si="5"/>
        <v>76.316282530370188</v>
      </c>
      <c r="AW38" s="2823">
        <f t="shared" si="6"/>
        <v>75.326375403282455</v>
      </c>
      <c r="AX38" s="2823">
        <f t="shared" si="7"/>
        <v>75.224847631325574</v>
      </c>
      <c r="AY38" s="2823">
        <f t="shared" si="8"/>
        <v>75.298053260983252</v>
      </c>
      <c r="AZ38" s="2823">
        <f t="shared" si="9"/>
        <v>75.094120999950931</v>
      </c>
      <c r="BA38" s="2823">
        <f t="shared" si="10"/>
        <v>75.1959503132219</v>
      </c>
      <c r="BB38" s="2823">
        <f t="shared" si="11"/>
        <v>75.284974625224805</v>
      </c>
      <c r="BC38" s="2823">
        <f t="shared" si="12"/>
        <v>75.247147992254455</v>
      </c>
      <c r="BD38" s="2824">
        <f t="shared" si="13"/>
        <v>75.169128251136584</v>
      </c>
      <c r="BE38" s="2823"/>
      <c r="BF38" s="2825">
        <f t="shared" si="25"/>
        <v>2020</v>
      </c>
      <c r="BG38" s="2819">
        <f t="shared" si="31"/>
        <v>38.157011343463836</v>
      </c>
      <c r="BH38" s="2820">
        <f t="shared" si="32"/>
        <v>6.7168796408914027</v>
      </c>
      <c r="BI38" s="2820">
        <f t="shared" si="32"/>
        <v>-7.0971266180414105E-2</v>
      </c>
      <c r="BJ38" s="2828">
        <f t="shared" si="32"/>
        <v>5.056648268388377E-4</v>
      </c>
      <c r="BK38" s="2819">
        <f t="shared" si="32"/>
        <v>45.788413612156603</v>
      </c>
      <c r="BL38" s="2820">
        <f t="shared" si="32"/>
        <v>8.0559759301955598</v>
      </c>
      <c r="BM38" s="2820">
        <f t="shared" si="32"/>
        <v>-8.5165519416496915E-2</v>
      </c>
      <c r="BN38" s="2828">
        <f t="shared" si="32"/>
        <v>6.0679779220660529E-4</v>
      </c>
      <c r="BO38" s="2822">
        <f t="shared" si="26"/>
        <v>5.0688707863045668</v>
      </c>
      <c r="BP38" s="2823">
        <f t="shared" si="27"/>
        <v>6.0783653046913573</v>
      </c>
      <c r="BQ38" s="2824">
        <f t="shared" si="28"/>
        <v>5.9566278854804713</v>
      </c>
    </row>
    <row r="39" spans="1:69" ht="13.5" customHeight="1">
      <c r="A39" s="2822"/>
      <c r="B39" s="2547">
        <v>2021</v>
      </c>
      <c r="C39" s="64"/>
      <c r="D39" s="2531">
        <f>D38*(D$43/D$38)^(1/5)</f>
        <v>28.691462102919303</v>
      </c>
      <c r="E39" s="2258">
        <f t="shared" ref="E39:J42" si="34">E38*(E$43/E$38)^(1/5)</f>
        <v>79.124693589163513</v>
      </c>
      <c r="F39" s="2258">
        <f t="shared" si="34"/>
        <v>62.192101698683722</v>
      </c>
      <c r="G39" s="2258">
        <f t="shared" si="34"/>
        <v>70.713175954213455</v>
      </c>
      <c r="H39" s="2258">
        <f t="shared" si="34"/>
        <v>91.300204841199132</v>
      </c>
      <c r="I39" s="2258">
        <f t="shared" si="34"/>
        <v>41.47413666581744</v>
      </c>
      <c r="J39" s="2532">
        <f t="shared" si="34"/>
        <v>53.844200695391251</v>
      </c>
      <c r="K39" s="2816">
        <f t="shared" si="18"/>
        <v>37.367051355910121</v>
      </c>
      <c r="L39" s="2817">
        <f t="shared" si="18"/>
        <v>6.5956271660193666</v>
      </c>
      <c r="M39" s="2817">
        <f t="shared" si="18"/>
        <v>-6.9613149359018647E-2</v>
      </c>
      <c r="N39" s="2818">
        <f t="shared" si="18"/>
        <v>4.957474072638877E-4</v>
      </c>
      <c r="O39" s="2819">
        <f t="shared" si="19"/>
        <v>44.840461627092139</v>
      </c>
      <c r="P39" s="2820">
        <f t="shared" si="19"/>
        <v>7.9089978634637745</v>
      </c>
      <c r="Q39" s="2820">
        <f t="shared" si="19"/>
        <v>-8.3535779230822366E-2</v>
      </c>
      <c r="R39" s="2821">
        <f t="shared" si="19"/>
        <v>5.9489688871666507E-4</v>
      </c>
      <c r="S39" s="2819">
        <f t="shared" si="30"/>
        <v>4.9009063859352606</v>
      </c>
      <c r="T39" s="2828">
        <f t="shared" si="30"/>
        <v>135.94600000000003</v>
      </c>
      <c r="U39" s="2822">
        <f t="shared" si="20"/>
        <v>15.947909054990703</v>
      </c>
      <c r="V39" s="2823">
        <f t="shared" si="20"/>
        <v>11.282527526237578</v>
      </c>
      <c r="W39" s="2823">
        <f t="shared" si="20"/>
        <v>11.871363150265767</v>
      </c>
      <c r="X39" s="2823">
        <f t="shared" si="20"/>
        <v>11.503808932641007</v>
      </c>
      <c r="Y39" s="2823">
        <f t="shared" si="20"/>
        <v>11.171530701865418</v>
      </c>
      <c r="Z39" s="2823">
        <f t="shared" si="20"/>
        <v>13.640947786831815</v>
      </c>
      <c r="AA39" s="2824">
        <f t="shared" si="20"/>
        <v>12.404326741150715</v>
      </c>
      <c r="AB39" s="2822">
        <f t="shared" si="21"/>
        <v>7.564803688098702</v>
      </c>
      <c r="AC39" s="2823">
        <f t="shared" si="21"/>
        <v>5.5904423641418743</v>
      </c>
      <c r="AD39" s="2823">
        <f t="shared" si="21"/>
        <v>5.7357078843369091</v>
      </c>
      <c r="AE39" s="2823">
        <f t="shared" si="21"/>
        <v>5.6107296909848872</v>
      </c>
      <c r="AF39" s="2823">
        <f t="shared" si="21"/>
        <v>5.7321945091863062</v>
      </c>
      <c r="AG39" s="2823">
        <f t="shared" si="21"/>
        <v>6.5488749126227592</v>
      </c>
      <c r="AH39" s="2824">
        <f t="shared" si="21"/>
        <v>5.9685860782041846</v>
      </c>
      <c r="AI39" s="2825">
        <f>'A1.3.4'!$J$27/100</f>
        <v>0.1205924519584583</v>
      </c>
      <c r="AJ39" s="2822">
        <f t="shared" si="22"/>
        <v>8.5757429193183192</v>
      </c>
      <c r="AK39" s="2823">
        <f t="shared" si="22"/>
        <v>6.2768648705953538</v>
      </c>
      <c r="AL39" s="2823">
        <f t="shared" si="22"/>
        <v>6.4756215972270965</v>
      </c>
      <c r="AM39" s="2823">
        <f t="shared" si="22"/>
        <v>6.3213905663216909</v>
      </c>
      <c r="AN39" s="2823">
        <f t="shared" si="22"/>
        <v>6.3881373976878661</v>
      </c>
      <c r="AO39" s="2823">
        <f t="shared" si="22"/>
        <v>7.4041253699917009</v>
      </c>
      <c r="AP39" s="2824">
        <f t="shared" si="22"/>
        <v>6.7446878249176612</v>
      </c>
      <c r="AQ39" s="2829" t="str">
        <f t="shared" si="23"/>
        <v>2021/22</v>
      </c>
      <c r="AR39" s="2830">
        <f>'Cost and rev series'!D38</f>
        <v>1.9386047923892562</v>
      </c>
      <c r="AS39" s="2826">
        <f>'Cost and rev series'!E38</f>
        <v>1.9964216805305313</v>
      </c>
      <c r="AT39" s="2826">
        <f t="shared" si="24"/>
        <v>5.7816888141275058E-2</v>
      </c>
      <c r="AU39" s="2827">
        <f t="shared" si="33"/>
        <v>1.0336089648080591</v>
      </c>
      <c r="AV39" s="2822">
        <f t="shared" si="5"/>
        <v>75.159884261045178</v>
      </c>
      <c r="AW39" s="2823">
        <f t="shared" si="6"/>
        <v>74.062067494900518</v>
      </c>
      <c r="AX39" s="2823">
        <f t="shared" si="7"/>
        <v>73.967398017201518</v>
      </c>
      <c r="AY39" s="2823">
        <f t="shared" si="8"/>
        <v>74.047954144597611</v>
      </c>
      <c r="AZ39" s="2823">
        <f t="shared" si="9"/>
        <v>73.873621643438071</v>
      </c>
      <c r="BA39" s="2823">
        <f t="shared" si="10"/>
        <v>73.948964569491807</v>
      </c>
      <c r="BB39" s="2823">
        <f t="shared" si="11"/>
        <v>74.014833148398637</v>
      </c>
      <c r="BC39" s="2823">
        <f t="shared" si="12"/>
        <v>73.986845439170338</v>
      </c>
      <c r="BD39" s="2824">
        <f t="shared" si="13"/>
        <v>73.937071257962515</v>
      </c>
      <c r="BE39" s="2823"/>
      <c r="BF39" s="2825">
        <f t="shared" si="25"/>
        <v>2021</v>
      </c>
      <c r="BG39" s="2819">
        <f t="shared" si="31"/>
        <v>37.396331022282375</v>
      </c>
      <c r="BH39" s="2820">
        <f t="shared" si="32"/>
        <v>6.6018617461010818</v>
      </c>
      <c r="BI39" s="2820">
        <f t="shared" si="32"/>
        <v>-6.9673167964506844E-2</v>
      </c>
      <c r="BJ39" s="2828">
        <f t="shared" si="32"/>
        <v>4.9616298948542792E-4</v>
      </c>
      <c r="BK39" s="2819">
        <f t="shared" si="32"/>
        <v>44.875597226738847</v>
      </c>
      <c r="BL39" s="2820">
        <f t="shared" si="32"/>
        <v>7.9163693711752234</v>
      </c>
      <c r="BM39" s="2820">
        <f t="shared" si="32"/>
        <v>-8.3607801557408212E-2</v>
      </c>
      <c r="BN39" s="2828">
        <f t="shared" si="32"/>
        <v>5.9539558738251348E-4</v>
      </c>
      <c r="BO39" s="2822">
        <f t="shared" si="26"/>
        <v>4.9833689112934225</v>
      </c>
      <c r="BP39" s="2823">
        <f t="shared" si="27"/>
        <v>5.9741779694060329</v>
      </c>
      <c r="BQ39" s="2824">
        <f t="shared" si="28"/>
        <v>5.8546938756655829</v>
      </c>
    </row>
    <row r="40" spans="1:69" ht="13.5" customHeight="1">
      <c r="A40" s="2822"/>
      <c r="B40" s="2547">
        <v>2022</v>
      </c>
      <c r="C40" s="64"/>
      <c r="D40" s="2531">
        <f>D39*(D$43/D$38)^(1/5)</f>
        <v>28.574024920419987</v>
      </c>
      <c r="E40" s="2258">
        <f t="shared" si="34"/>
        <v>79.172757634463935</v>
      </c>
      <c r="F40" s="2258">
        <f t="shared" si="34"/>
        <v>62.209866378975875</v>
      </c>
      <c r="G40" s="2258">
        <f t="shared" si="34"/>
        <v>70.659979533278843</v>
      </c>
      <c r="H40" s="2258">
        <f t="shared" si="34"/>
        <v>91.318843614929619</v>
      </c>
      <c r="I40" s="2258">
        <f t="shared" si="34"/>
        <v>41.42491652003222</v>
      </c>
      <c r="J40" s="2532">
        <f t="shared" si="34"/>
        <v>53.800516204627122</v>
      </c>
      <c r="K40" s="2816">
        <f t="shared" si="18"/>
        <v>36.661470828705163</v>
      </c>
      <c r="L40" s="2817">
        <f t="shared" si="18"/>
        <v>6.4946031697465827</v>
      </c>
      <c r="M40" s="2817">
        <f t="shared" si="18"/>
        <v>-6.8431885553568786E-2</v>
      </c>
      <c r="N40" s="2818">
        <f t="shared" si="18"/>
        <v>4.8704691156390778E-4</v>
      </c>
      <c r="O40" s="2819">
        <f t="shared" si="19"/>
        <v>43.993764994446195</v>
      </c>
      <c r="P40" s="2820">
        <f t="shared" si="19"/>
        <v>7.7856765169574045</v>
      </c>
      <c r="Q40" s="2820">
        <f t="shared" si="19"/>
        <v>-8.2118262664282543E-2</v>
      </c>
      <c r="R40" s="2821">
        <f t="shared" si="19"/>
        <v>5.8445629387668928E-4</v>
      </c>
      <c r="S40" s="2819">
        <f t="shared" si="30"/>
        <v>4.8766083809777845</v>
      </c>
      <c r="T40" s="2828">
        <f t="shared" si="30"/>
        <v>135.946</v>
      </c>
      <c r="U40" s="2822">
        <f t="shared" si="20"/>
        <v>15.854211272131483</v>
      </c>
      <c r="V40" s="2823">
        <f t="shared" si="20"/>
        <v>11.186376219938118</v>
      </c>
      <c r="W40" s="2823">
        <f t="shared" si="20"/>
        <v>11.773577112919472</v>
      </c>
      <c r="X40" s="2823">
        <f t="shared" si="20"/>
        <v>11.410349377109711</v>
      </c>
      <c r="Y40" s="2823">
        <f t="shared" si="20"/>
        <v>11.073801678349408</v>
      </c>
      <c r="Z40" s="2823">
        <f t="shared" si="20"/>
        <v>13.538965277901529</v>
      </c>
      <c r="AA40" s="2824">
        <f t="shared" si="20"/>
        <v>12.307582416790451</v>
      </c>
      <c r="AB40" s="2822">
        <f t="shared" si="21"/>
        <v>7.4560629914928143</v>
      </c>
      <c r="AC40" s="2823">
        <f t="shared" si="21"/>
        <v>5.5033774937225006</v>
      </c>
      <c r="AD40" s="2823">
        <f t="shared" si="21"/>
        <v>5.6461787440865994</v>
      </c>
      <c r="AE40" s="2823">
        <f t="shared" si="21"/>
        <v>5.5239064535922964</v>
      </c>
      <c r="AF40" s="2823">
        <f t="shared" si="21"/>
        <v>5.6423494334995157</v>
      </c>
      <c r="AG40" s="2823">
        <f t="shared" si="21"/>
        <v>6.4488873564515998</v>
      </c>
      <c r="AH40" s="2824">
        <f t="shared" si="21"/>
        <v>5.8770978619597827</v>
      </c>
      <c r="AI40" s="2825">
        <f>'A1.3.4'!$J$27/100</f>
        <v>0.1205924519584583</v>
      </c>
      <c r="AJ40" s="2822">
        <f t="shared" si="22"/>
        <v>8.468816284565742</v>
      </c>
      <c r="AK40" s="2823">
        <f t="shared" si="22"/>
        <v>6.1887042445936373</v>
      </c>
      <c r="AL40" s="2823">
        <f t="shared" si="22"/>
        <v>6.3850967375104135</v>
      </c>
      <c r="AM40" s="2823">
        <f t="shared" si="22"/>
        <v>6.2337670390527773</v>
      </c>
      <c r="AN40" s="2823">
        <f t="shared" si="22"/>
        <v>6.2973415774012373</v>
      </c>
      <c r="AO40" s="2823">
        <f t="shared" si="22"/>
        <v>7.303897237575776</v>
      </c>
      <c r="AP40" s="2824">
        <f t="shared" si="22"/>
        <v>6.6525657617078089</v>
      </c>
      <c r="AQ40" s="2829" t="str">
        <f t="shared" si="23"/>
        <v>2022/23</v>
      </c>
      <c r="AR40" s="2830">
        <f>'Cost and rev series'!D39</f>
        <v>1.9542187516043725</v>
      </c>
      <c r="AS40" s="2826">
        <f>'Cost and rev series'!E39</f>
        <v>2.0000000000000142</v>
      </c>
      <c r="AT40" s="2826">
        <f t="shared" si="24"/>
        <v>4.5781248395641683E-2</v>
      </c>
      <c r="AU40" s="2827">
        <f t="shared" si="33"/>
        <v>1.0340730937998874</v>
      </c>
      <c r="AV40" s="2822">
        <f t="shared" si="5"/>
        <v>74.259509709559694</v>
      </c>
      <c r="AW40" s="2823">
        <f t="shared" si="6"/>
        <v>73.059637524000081</v>
      </c>
      <c r="AX40" s="2823">
        <f t="shared" si="7"/>
        <v>72.971052931249559</v>
      </c>
      <c r="AY40" s="2823">
        <f t="shared" si="8"/>
        <v>73.05936227961827</v>
      </c>
      <c r="AZ40" s="2823">
        <f t="shared" si="9"/>
        <v>72.910683592330514</v>
      </c>
      <c r="BA40" s="2823">
        <f t="shared" si="10"/>
        <v>72.961675023939861</v>
      </c>
      <c r="BB40" s="2823">
        <f t="shared" si="11"/>
        <v>73.006254300488507</v>
      </c>
      <c r="BC40" s="2823">
        <f t="shared" si="12"/>
        <v>72.987312464329918</v>
      </c>
      <c r="BD40" s="2824">
        <f t="shared" si="13"/>
        <v>72.964746926154135</v>
      </c>
      <c r="BE40" s="2823"/>
      <c r="BF40" s="2825">
        <f t="shared" si="25"/>
        <v>2022</v>
      </c>
      <c r="BG40" s="2819">
        <f t="shared" si="31"/>
        <v>36.69806464258069</v>
      </c>
      <c r="BH40" s="2820">
        <f t="shared" si="32"/>
        <v>6.5024499292308944</v>
      </c>
      <c r="BI40" s="2820">
        <f t="shared" si="32"/>
        <v>-6.8507788601450348E-2</v>
      </c>
      <c r="BJ40" s="2828">
        <f t="shared" si="32"/>
        <v>4.8757072813014157E-4</v>
      </c>
      <c r="BK40" s="2819">
        <f t="shared" si="32"/>
        <v>44.037677571096822</v>
      </c>
      <c r="BL40" s="2820">
        <f t="shared" si="32"/>
        <v>7.7949558287124603</v>
      </c>
      <c r="BM40" s="2820">
        <f t="shared" si="32"/>
        <v>-8.2209346321740401E-2</v>
      </c>
      <c r="BN40" s="2828">
        <f t="shared" si="32"/>
        <v>5.8508487375616989E-4</v>
      </c>
      <c r="BO40" s="2822">
        <f t="shared" si="26"/>
        <v>4.9100804541799548</v>
      </c>
      <c r="BP40" s="2823">
        <f t="shared" si="27"/>
        <v>5.8841124586513356</v>
      </c>
      <c r="BQ40" s="2824">
        <f t="shared" si="28"/>
        <v>5.7666515509461203</v>
      </c>
    </row>
    <row r="41" spans="1:69" ht="13.5" customHeight="1">
      <c r="A41" s="2822"/>
      <c r="B41" s="2547">
        <v>2023</v>
      </c>
      <c r="C41" s="64"/>
      <c r="D41" s="2531">
        <f>D40*(D$43/D$38)^(1/5)</f>
        <v>28.45706842070302</v>
      </c>
      <c r="E41" s="2258">
        <f t="shared" si="34"/>
        <v>79.220850876116927</v>
      </c>
      <c r="F41" s="2258">
        <f t="shared" si="34"/>
        <v>62.227636133607973</v>
      </c>
      <c r="G41" s="2258">
        <f t="shared" si="34"/>
        <v>70.606823131183177</v>
      </c>
      <c r="H41" s="2258">
        <f t="shared" si="34"/>
        <v>91.337486193732474</v>
      </c>
      <c r="I41" s="2258">
        <f t="shared" si="34"/>
        <v>41.375754787102473</v>
      </c>
      <c r="J41" s="2532">
        <f t="shared" si="34"/>
        <v>53.75686715565076</v>
      </c>
      <c r="K41" s="2816">
        <f t="shared" si="18"/>
        <v>36.102265557002305</v>
      </c>
      <c r="L41" s="2817">
        <f t="shared" si="18"/>
        <v>6.4249662114110464</v>
      </c>
      <c r="M41" s="2817">
        <f t="shared" si="18"/>
        <v>-6.7554233939645145E-2</v>
      </c>
      <c r="N41" s="2818">
        <f t="shared" si="18"/>
        <v>4.8044168212886312E-4</v>
      </c>
      <c r="O41" s="2819">
        <f t="shared" si="19"/>
        <v>43.322718668402757</v>
      </c>
      <c r="P41" s="2820">
        <f t="shared" si="19"/>
        <v>7.6994724174712568</v>
      </c>
      <c r="Q41" s="2820">
        <f t="shared" si="19"/>
        <v>-8.1065080727574179E-2</v>
      </c>
      <c r="R41" s="2821">
        <f t="shared" si="19"/>
        <v>5.765300185546357E-4</v>
      </c>
      <c r="S41" s="2819">
        <f t="shared" si="30"/>
        <v>4.8466421921185425</v>
      </c>
      <c r="T41" s="2828">
        <f t="shared" si="30"/>
        <v>135.94599999999997</v>
      </c>
      <c r="U41" s="2822">
        <f t="shared" si="20"/>
        <v>15.784165499272387</v>
      </c>
      <c r="V41" s="2823">
        <f t="shared" si="20"/>
        <v>11.106884055382849</v>
      </c>
      <c r="W41" s="2823">
        <f t="shared" si="20"/>
        <v>11.693093051999195</v>
      </c>
      <c r="X41" s="2823">
        <f t="shared" si="20"/>
        <v>11.33368452698727</v>
      </c>
      <c r="Y41" s="2823">
        <f t="shared" si="20"/>
        <v>10.993131192813731</v>
      </c>
      <c r="Z41" s="2823">
        <f t="shared" si="20"/>
        <v>13.457184985583082</v>
      </c>
      <c r="AA41" s="2824">
        <f t="shared" si="20"/>
        <v>12.228974231110616</v>
      </c>
      <c r="AB41" s="2822">
        <f t="shared" si="21"/>
        <v>7.3818632865754541</v>
      </c>
      <c r="AC41" s="2823">
        <f t="shared" si="21"/>
        <v>5.4425574557292826</v>
      </c>
      <c r="AD41" s="2823">
        <f t="shared" si="21"/>
        <v>5.5836663838261833</v>
      </c>
      <c r="AE41" s="2823">
        <f t="shared" si="21"/>
        <v>5.4634901772973645</v>
      </c>
      <c r="AF41" s="2823">
        <f t="shared" si="21"/>
        <v>5.579229151129609</v>
      </c>
      <c r="AG41" s="2823">
        <f t="shared" si="21"/>
        <v>6.3793915293263188</v>
      </c>
      <c r="AH41" s="2824">
        <f t="shared" si="21"/>
        <v>5.813625636792854</v>
      </c>
      <c r="AI41" s="2825">
        <f>'A1.3.4'!$J$27/100</f>
        <v>0.1205924519584583</v>
      </c>
      <c r="AJ41" s="2822">
        <f t="shared" si="22"/>
        <v>8.3951175125005584</v>
      </c>
      <c r="AK41" s="2823">
        <f t="shared" si="22"/>
        <v>6.1256324890750236</v>
      </c>
      <c r="AL41" s="2823">
        <f t="shared" si="22"/>
        <v>6.320417125801562</v>
      </c>
      <c r="AM41" s="2823">
        <f t="shared" si="22"/>
        <v>6.1713913073991584</v>
      </c>
      <c r="AN41" s="2823">
        <f t="shared" si="22"/>
        <v>6.2321048729992006</v>
      </c>
      <c r="AO41" s="2823">
        <f t="shared" si="22"/>
        <v>7.2329199966718534</v>
      </c>
      <c r="AP41" s="2824">
        <f t="shared" si="22"/>
        <v>6.5872682539498815</v>
      </c>
      <c r="AQ41" s="2829" t="str">
        <f t="shared" si="23"/>
        <v>2023/24</v>
      </c>
      <c r="AR41" s="2830">
        <f>'Cost and rev series'!D40</f>
        <v>1.996615266823909</v>
      </c>
      <c r="AS41" s="2826">
        <f>'Cost and rev series'!E40</f>
        <v>1.9999999999999858</v>
      </c>
      <c r="AT41" s="2826">
        <f t="shared" si="24"/>
        <v>3.3847331760767929E-3</v>
      </c>
      <c r="AU41" s="2827">
        <f t="shared" si="33"/>
        <v>1.034107409267101</v>
      </c>
      <c r="AV41" s="2822">
        <f t="shared" si="5"/>
        <v>73.565670469168083</v>
      </c>
      <c r="AW41" s="2823">
        <f t="shared" si="6"/>
        <v>72.268771032427807</v>
      </c>
      <c r="AX41" s="2823">
        <f t="shared" si="7"/>
        <v>72.18623352969523</v>
      </c>
      <c r="AY41" s="2823">
        <f t="shared" si="8"/>
        <v>72.282460415990954</v>
      </c>
      <c r="AZ41" s="2823">
        <f t="shared" si="9"/>
        <v>72.156178522841401</v>
      </c>
      <c r="BA41" s="2823">
        <f t="shared" si="10"/>
        <v>72.184003870619875</v>
      </c>
      <c r="BB41" s="2823">
        <f t="shared" si="11"/>
        <v>72.208330190445153</v>
      </c>
      <c r="BC41" s="2823">
        <f t="shared" si="12"/>
        <v>72.197993881735229</v>
      </c>
      <c r="BD41" s="2824">
        <f t="shared" si="13"/>
        <v>72.202902192201861</v>
      </c>
      <c r="BE41" s="2823"/>
      <c r="BF41" s="2825">
        <f t="shared" si="25"/>
        <v>2023</v>
      </c>
      <c r="BG41" s="2819">
        <f t="shared" si="31"/>
        <v>36.072478799353021</v>
      </c>
      <c r="BH41" s="2820">
        <f t="shared" si="32"/>
        <v>6.4210172876019866</v>
      </c>
      <c r="BI41" s="2820">
        <f t="shared" si="32"/>
        <v>-6.7506336924291005E-2</v>
      </c>
      <c r="BJ41" s="2828">
        <f t="shared" si="32"/>
        <v>4.800841555016893E-4</v>
      </c>
      <c r="BK41" s="2819">
        <f t="shared" si="32"/>
        <v>43.286974559223623</v>
      </c>
      <c r="BL41" s="2820">
        <f t="shared" si="32"/>
        <v>7.6946176133521167</v>
      </c>
      <c r="BM41" s="2820">
        <f t="shared" si="32"/>
        <v>-8.1007604309149189E-2</v>
      </c>
      <c r="BN41" s="2828">
        <f t="shared" si="32"/>
        <v>5.7610098660202714E-4</v>
      </c>
      <c r="BO41" s="2822">
        <f t="shared" si="26"/>
        <v>4.8504658150308897</v>
      </c>
      <c r="BP41" s="2823">
        <f t="shared" si="27"/>
        <v>5.8099558462668011</v>
      </c>
      <c r="BQ41" s="2824">
        <f t="shared" si="28"/>
        <v>5.694248590770365</v>
      </c>
    </row>
    <row r="42" spans="1:69" ht="13.5" customHeight="1">
      <c r="A42" s="2822"/>
      <c r="B42" s="2547">
        <v>2024</v>
      </c>
      <c r="C42" s="64"/>
      <c r="D42" s="2531">
        <f>D41*(D$43/D$38)^(1/5)</f>
        <v>28.340590636283046</v>
      </c>
      <c r="E42" s="2258">
        <f t="shared" si="34"/>
        <v>79.268973331857723</v>
      </c>
      <c r="F42" s="2258">
        <f t="shared" si="34"/>
        <v>62.24541096402946</v>
      </c>
      <c r="G42" s="2258">
        <f t="shared" si="34"/>
        <v>70.553706717820916</v>
      </c>
      <c r="H42" s="2258">
        <f t="shared" si="34"/>
        <v>91.356132578384489</v>
      </c>
      <c r="I42" s="2258">
        <f t="shared" si="34"/>
        <v>41.326651397705746</v>
      </c>
      <c r="J42" s="2532">
        <f t="shared" si="34"/>
        <v>53.713253519707777</v>
      </c>
      <c r="K42" s="2816">
        <f t="shared" si="18"/>
        <v>35.423913254702327</v>
      </c>
      <c r="L42" s="2817">
        <f t="shared" si="18"/>
        <v>6.339533557839272</v>
      </c>
      <c r="M42" s="2817">
        <f t="shared" si="18"/>
        <v>-6.6484994264304903E-2</v>
      </c>
      <c r="N42" s="2818">
        <f t="shared" si="18"/>
        <v>4.724063461851233E-4</v>
      </c>
      <c r="O42" s="2819">
        <f t="shared" si="19"/>
        <v>42.508695905642782</v>
      </c>
      <c r="P42" s="2820">
        <f t="shared" si="19"/>
        <v>7.5938491015085496</v>
      </c>
      <c r="Q42" s="2820">
        <f t="shared" si="19"/>
        <v>-7.9781993117165884E-2</v>
      </c>
      <c r="R42" s="2821">
        <f t="shared" si="19"/>
        <v>5.66887615422148E-4</v>
      </c>
      <c r="S42" s="2819">
        <f t="shared" si="30"/>
        <v>4.8106630556428884</v>
      </c>
      <c r="T42" s="2828">
        <f t="shared" si="30"/>
        <v>135.946</v>
      </c>
      <c r="U42" s="2822">
        <f t="shared" si="20"/>
        <v>15.692205276359928</v>
      </c>
      <c r="V42" s="2823">
        <f t="shared" si="20"/>
        <v>11.0102765876665</v>
      </c>
      <c r="W42" s="2823">
        <f t="shared" si="20"/>
        <v>11.595278339992515</v>
      </c>
      <c r="X42" s="2823">
        <f t="shared" si="20"/>
        <v>11.239918758277906</v>
      </c>
      <c r="Y42" s="2823">
        <f t="shared" si="20"/>
        <v>10.894905739853742</v>
      </c>
      <c r="Z42" s="2823">
        <f t="shared" si="20"/>
        <v>13.35613015194707</v>
      </c>
      <c r="AA42" s="2824">
        <f t="shared" si="20"/>
        <v>12.132475867470543</v>
      </c>
      <c r="AB42" s="2822">
        <f t="shared" si="21"/>
        <v>7.2880209593236973</v>
      </c>
      <c r="AC42" s="2823">
        <f t="shared" si="21"/>
        <v>5.3679494495061544</v>
      </c>
      <c r="AD42" s="2823">
        <f t="shared" si="21"/>
        <v>5.5071081833708062</v>
      </c>
      <c r="AE42" s="2823">
        <f t="shared" si="21"/>
        <v>5.3893026450897334</v>
      </c>
      <c r="AF42" s="2823">
        <f t="shared" si="21"/>
        <v>5.5017939883751783</v>
      </c>
      <c r="AG42" s="2823">
        <f t="shared" si="21"/>
        <v>6.293511847902586</v>
      </c>
      <c r="AH42" s="2824">
        <f t="shared" si="21"/>
        <v>5.7354343538816535</v>
      </c>
      <c r="AI42" s="2825">
        <f>'A1.3.4'!$J$27/100</f>
        <v>0.1205924519584583</v>
      </c>
      <c r="AJ42" s="2822">
        <f t="shared" si="22"/>
        <v>8.3015021528259183</v>
      </c>
      <c r="AK42" s="2823">
        <f t="shared" si="22"/>
        <v>6.0483715138486618</v>
      </c>
      <c r="AL42" s="2823">
        <f t="shared" si="22"/>
        <v>6.2412955504981298</v>
      </c>
      <c r="AM42" s="2823">
        <f t="shared" si="22"/>
        <v>6.0948427876467601</v>
      </c>
      <c r="AN42" s="2823">
        <f t="shared" si="22"/>
        <v>6.1521625581719546</v>
      </c>
      <c r="AO42" s="2823">
        <f t="shared" si="22"/>
        <v>7.1452103064339996</v>
      </c>
      <c r="AP42" s="2824">
        <f t="shared" si="22"/>
        <v>6.5068692752853856</v>
      </c>
      <c r="AQ42" s="2829" t="str">
        <f t="shared" si="23"/>
        <v>2024/25</v>
      </c>
      <c r="AR42" s="2830">
        <f>'Cost and rev series'!D41</f>
        <v>2.2999999999999998</v>
      </c>
      <c r="AS42" s="2826">
        <f>'Cost and rev series'!E41</f>
        <v>2</v>
      </c>
      <c r="AT42" s="2826">
        <f t="shared" si="24"/>
        <v>-0.29999999999999982</v>
      </c>
      <c r="AU42" s="2827">
        <f t="shared" si="33"/>
        <v>1.0310748362193969</v>
      </c>
      <c r="AV42" s="2822">
        <f t="shared" si="5"/>
        <v>72.906514099709028</v>
      </c>
      <c r="AW42" s="2823">
        <f t="shared" si="6"/>
        <v>71.518839218027352</v>
      </c>
      <c r="AX42" s="2823">
        <f t="shared" si="7"/>
        <v>71.444282470572148</v>
      </c>
      <c r="AY42" s="2823">
        <f t="shared" si="8"/>
        <v>71.547916694397472</v>
      </c>
      <c r="AZ42" s="2823">
        <f t="shared" si="9"/>
        <v>71.441125636044404</v>
      </c>
      <c r="BA42" s="2823">
        <f t="shared" si="10"/>
        <v>71.444853898295833</v>
      </c>
      <c r="BB42" s="2823">
        <f t="shared" si="11"/>
        <v>71.448113332846034</v>
      </c>
      <c r="BC42" s="2823">
        <f t="shared" si="12"/>
        <v>71.446728391680551</v>
      </c>
      <c r="BD42" s="2824">
        <f t="shared" si="13"/>
        <v>71.482973843041464</v>
      </c>
      <c r="BE42" s="2823"/>
      <c r="BF42" s="2825">
        <f t="shared" si="25"/>
        <v>2024</v>
      </c>
      <c r="BG42" s="2819">
        <f t="shared" si="31"/>
        <v>35.38665149370317</v>
      </c>
      <c r="BH42" s="2820">
        <f t="shared" si="32"/>
        <v>6.3350861093900175</v>
      </c>
      <c r="BI42" s="2820">
        <f t="shared" si="32"/>
        <v>-6.6421504411412327E-2</v>
      </c>
      <c r="BJ42" s="2828">
        <f t="shared" si="32"/>
        <v>4.7194138269614937E-4</v>
      </c>
      <c r="BK42" s="2819">
        <f t="shared" si="32"/>
        <v>42.463981792443796</v>
      </c>
      <c r="BL42" s="2820">
        <f t="shared" si="32"/>
        <v>7.5882574845522894</v>
      </c>
      <c r="BM42" s="2820">
        <f t="shared" si="32"/>
        <v>-7.9705805293694781E-2</v>
      </c>
      <c r="BN42" s="2828">
        <f t="shared" si="32"/>
        <v>5.6632965923537925E-4</v>
      </c>
      <c r="BO42" s="2822">
        <f t="shared" si="26"/>
        <v>4.7877822107833223</v>
      </c>
      <c r="BP42" s="2823">
        <f t="shared" si="27"/>
        <v>5.7314928062242565</v>
      </c>
      <c r="BQ42" s="2824">
        <f t="shared" si="28"/>
        <v>5.6176884315808575</v>
      </c>
    </row>
    <row r="43" spans="1:69" ht="13.5" customHeight="1">
      <c r="A43" s="2822"/>
      <c r="B43" s="714">
        <v>2025</v>
      </c>
      <c r="C43" s="64"/>
      <c r="D43" s="2307">
        <v>28.224589607727825</v>
      </c>
      <c r="E43" s="2243">
        <v>79.317125019432311</v>
      </c>
      <c r="F43" s="2243">
        <v>62.263190871690199</v>
      </c>
      <c r="G43" s="2243">
        <v>70.500630263109187</v>
      </c>
      <c r="H43" s="2243">
        <v>91.374782769662616</v>
      </c>
      <c r="I43" s="2243">
        <v>41.277606282601838</v>
      </c>
      <c r="J43" s="2530">
        <v>53.669675268067124</v>
      </c>
      <c r="K43" s="2816">
        <f t="shared" si="18"/>
        <v>34.596513908405726</v>
      </c>
      <c r="L43" s="2817">
        <f t="shared" si="18"/>
        <v>6.2363111104704805</v>
      </c>
      <c r="M43" s="2817">
        <f t="shared" si="18"/>
        <v>-6.5161795177394344E-2</v>
      </c>
      <c r="N43" s="2818">
        <f t="shared" si="18"/>
        <v>4.6251115628548784E-4</v>
      </c>
      <c r="O43" s="2819">
        <f t="shared" si="19"/>
        <v>41.515816690086865</v>
      </c>
      <c r="P43" s="2820">
        <f t="shared" si="19"/>
        <v>7.4658593177208017</v>
      </c>
      <c r="Q43" s="2820">
        <f t="shared" si="19"/>
        <v>-7.8194154212873207E-2</v>
      </c>
      <c r="R43" s="2821">
        <f t="shared" si="19"/>
        <v>5.550133875425853E-4</v>
      </c>
      <c r="S43" s="2819">
        <f t="shared" si="30"/>
        <v>4.7647556695081192</v>
      </c>
      <c r="T43" s="2828">
        <f t="shared" si="30"/>
        <v>135.946</v>
      </c>
      <c r="U43" s="2822">
        <f t="shared" si="20"/>
        <v>15.572689067060637</v>
      </c>
      <c r="V43" s="2823">
        <f t="shared" si="20"/>
        <v>10.892508475463044</v>
      </c>
      <c r="W43" s="2823">
        <f t="shared" si="20"/>
        <v>11.475963139461303</v>
      </c>
      <c r="X43" s="2823">
        <f t="shared" si="20"/>
        <v>11.1249774522942</v>
      </c>
      <c r="Y43" s="2823">
        <f t="shared" si="20"/>
        <v>10.774996629971049</v>
      </c>
      <c r="Z43" s="2823">
        <f t="shared" si="20"/>
        <v>13.230988152446161</v>
      </c>
      <c r="AA43" s="2824">
        <f t="shared" si="20"/>
        <v>12.013719950166291</v>
      </c>
      <c r="AB43" s="2822">
        <f t="shared" si="21"/>
        <v>7.1719097991630747</v>
      </c>
      <c r="AC43" s="2823">
        <f t="shared" si="21"/>
        <v>5.278843095298587</v>
      </c>
      <c r="AD43" s="2823">
        <f t="shared" si="21"/>
        <v>5.4156443672314865</v>
      </c>
      <c r="AE43" s="2823">
        <f t="shared" si="21"/>
        <v>5.3005983429350518</v>
      </c>
      <c r="AF43" s="2823">
        <f t="shared" si="21"/>
        <v>5.4092335472290474</v>
      </c>
      <c r="AG43" s="2823">
        <f t="shared" si="21"/>
        <v>6.189617185493427</v>
      </c>
      <c r="AH43" s="2824">
        <f t="shared" si="21"/>
        <v>5.6414271901339061</v>
      </c>
      <c r="AI43" s="2825">
        <f>'A1.3.4'!$J$27/100</f>
        <v>0.1205924519584583</v>
      </c>
      <c r="AJ43" s="2822">
        <f t="shared" si="22"/>
        <v>8.1849803694406233</v>
      </c>
      <c r="AK43" s="2823">
        <f t="shared" si="22"/>
        <v>5.9558087679669303</v>
      </c>
      <c r="AL43" s="2823">
        <f t="shared" si="22"/>
        <v>6.1464730676245543</v>
      </c>
      <c r="AM43" s="2823">
        <f t="shared" si="22"/>
        <v>6.0029745008682935</v>
      </c>
      <c r="AN43" s="2823">
        <f t="shared" si="22"/>
        <v>6.056304074005082</v>
      </c>
      <c r="AO43" s="2823">
        <f t="shared" si="22"/>
        <v>7.0387533755473584</v>
      </c>
      <c r="AP43" s="2824">
        <f t="shared" si="22"/>
        <v>6.4098775986633427</v>
      </c>
      <c r="AQ43" s="2829" t="str">
        <f t="shared" si="23"/>
        <v>2025/26</v>
      </c>
      <c r="AR43" s="2830">
        <f>'Cost and rev series'!D42</f>
        <v>2.2999999999999998</v>
      </c>
      <c r="AS43" s="2826">
        <f>'Cost and rev series'!E42</f>
        <v>2</v>
      </c>
      <c r="AT43" s="2826">
        <f t="shared" si="24"/>
        <v>-0.29999999999999982</v>
      </c>
      <c r="AU43" s="2827">
        <f t="shared" si="33"/>
        <v>1.0280511563477859</v>
      </c>
      <c r="AV43" s="2822">
        <f t="shared" si="5"/>
        <v>72.206487743748482</v>
      </c>
      <c r="AW43" s="2823">
        <f t="shared" si="6"/>
        <v>70.745905312836584</v>
      </c>
      <c r="AX43" s="2823">
        <f t="shared" si="7"/>
        <v>70.684567614690124</v>
      </c>
      <c r="AY43" s="2823">
        <f t="shared" si="8"/>
        <v>70.793114599667391</v>
      </c>
      <c r="AZ43" s="2823">
        <f t="shared" si="9"/>
        <v>70.698240738389643</v>
      </c>
      <c r="BA43" s="2823">
        <f t="shared" si="10"/>
        <v>70.675018152337188</v>
      </c>
      <c r="BB43" s="2823">
        <f t="shared" si="11"/>
        <v>70.654715798527249</v>
      </c>
      <c r="BC43" s="2823">
        <f t="shared" si="12"/>
        <v>70.663342314910537</v>
      </c>
      <c r="BD43" s="2824">
        <f t="shared" si="13"/>
        <v>70.740732809116167</v>
      </c>
      <c r="BE43" s="2823"/>
      <c r="BF43" s="2825">
        <f t="shared" si="25"/>
        <v>2025</v>
      </c>
      <c r="BG43" s="2819">
        <f t="shared" si="31"/>
        <v>34.657618577559568</v>
      </c>
      <c r="BH43" s="2820">
        <f t="shared" si="32"/>
        <v>6.2485072824868411</v>
      </c>
      <c r="BI43" s="2820">
        <f t="shared" si="32"/>
        <v>-6.5278359627972127E-2</v>
      </c>
      <c r="BJ43" s="2828">
        <f t="shared" si="32"/>
        <v>4.6333536124685935E-4</v>
      </c>
      <c r="BK43" s="2819">
        <f t="shared" si="32"/>
        <v>41.589142293071475</v>
      </c>
      <c r="BL43" s="2820">
        <f t="shared" si="32"/>
        <v>7.4803008948416307</v>
      </c>
      <c r="BM43" s="2820">
        <f t="shared" si="32"/>
        <v>-7.8334031553566552E-2</v>
      </c>
      <c r="BN43" s="2828">
        <f t="shared" si="32"/>
        <v>5.560024334962312E-4</v>
      </c>
      <c r="BO43" s="2822">
        <f t="shared" si="26"/>
        <v>4.7254038004760606</v>
      </c>
      <c r="BP43" s="2823">
        <f t="shared" si="27"/>
        <v>5.652576716428694</v>
      </c>
      <c r="BQ43" s="2824">
        <f t="shared" si="28"/>
        <v>5.5407666611044935</v>
      </c>
    </row>
    <row r="44" spans="1:69" ht="13.5" customHeight="1">
      <c r="A44" s="2822"/>
      <c r="B44" s="2547">
        <v>2026</v>
      </c>
      <c r="C44" s="64"/>
      <c r="D44" s="2531">
        <f>D43*(D$48/D$43)^(1/5)</f>
        <v>28.113938411879307</v>
      </c>
      <c r="E44" s="2258">
        <f t="shared" ref="E44:J47" si="35">E43*(E$48/E$43)^(1/5)</f>
        <v>79.19214617272138</v>
      </c>
      <c r="F44" s="2258">
        <f t="shared" si="35"/>
        <v>62.207316687682933</v>
      </c>
      <c r="G44" s="2258">
        <f t="shared" si="35"/>
        <v>70.389632547788864</v>
      </c>
      <c r="H44" s="2258">
        <f t="shared" si="35"/>
        <v>91.205942469211863</v>
      </c>
      <c r="I44" s="2258">
        <f t="shared" si="35"/>
        <v>41.215741937873403</v>
      </c>
      <c r="J44" s="2532">
        <f t="shared" si="35"/>
        <v>53.599936037498324</v>
      </c>
      <c r="K44" s="2816">
        <f t="shared" si="18"/>
        <v>34.013533238724492</v>
      </c>
      <c r="L44" s="2817">
        <f t="shared" si="18"/>
        <v>6.1818733511671304</v>
      </c>
      <c r="M44" s="2817">
        <f t="shared" si="18"/>
        <v>-6.4304853892794944E-2</v>
      </c>
      <c r="N44" s="2818">
        <f t="shared" si="18"/>
        <v>4.5591278623133849E-4</v>
      </c>
      <c r="O44" s="2819">
        <f t="shared" si="19"/>
        <v>40.816239886469376</v>
      </c>
      <c r="P44" s="2820">
        <f t="shared" si="19"/>
        <v>7.3956358424163708</v>
      </c>
      <c r="Q44" s="2820">
        <f t="shared" si="19"/>
        <v>-7.7165824671353939E-2</v>
      </c>
      <c r="R44" s="2821">
        <f t="shared" si="19"/>
        <v>5.470953434776061E-4</v>
      </c>
      <c r="S44" s="2819">
        <f t="shared" si="30"/>
        <v>4.7084072434548103</v>
      </c>
      <c r="T44" s="2828">
        <f t="shared" si="30"/>
        <v>135.94600000000003</v>
      </c>
      <c r="U44" s="2822">
        <f t="shared" si="20"/>
        <v>15.488151691573826</v>
      </c>
      <c r="V44" s="2823">
        <f t="shared" si="20"/>
        <v>10.803217362497586</v>
      </c>
      <c r="W44" s="2823">
        <f t="shared" si="20"/>
        <v>11.386463795344831</v>
      </c>
      <c r="X44" s="2823">
        <f t="shared" si="20"/>
        <v>11.037350303207186</v>
      </c>
      <c r="Y44" s="2823">
        <f t="shared" si="20"/>
        <v>10.681287169614327</v>
      </c>
      <c r="Z44" s="2823">
        <f t="shared" si="20"/>
        <v>13.138040223478896</v>
      </c>
      <c r="AA44" s="2824">
        <f t="shared" si="20"/>
        <v>11.924251209381746</v>
      </c>
      <c r="AB44" s="2822">
        <f t="shared" si="21"/>
        <v>7.1104363065856404</v>
      </c>
      <c r="AC44" s="2823">
        <f t="shared" si="21"/>
        <v>5.2311678070161953</v>
      </c>
      <c r="AD44" s="2823">
        <f t="shared" si="21"/>
        <v>5.368611754074772</v>
      </c>
      <c r="AE44" s="2823">
        <f t="shared" si="21"/>
        <v>5.2545168274505301</v>
      </c>
      <c r="AF44" s="2823">
        <f t="shared" si="21"/>
        <v>5.3561971203175753</v>
      </c>
      <c r="AG44" s="2823">
        <f t="shared" si="21"/>
        <v>6.1348674904424758</v>
      </c>
      <c r="AH44" s="2824">
        <f t="shared" si="21"/>
        <v>5.5928297839639178</v>
      </c>
      <c r="AI44" s="2825">
        <f>'A1.3.4'!$J$27/100</f>
        <v>0.1205924519584583</v>
      </c>
      <c r="AJ44" s="2822">
        <f t="shared" si="22"/>
        <v>8.1207255466714656</v>
      </c>
      <c r="AK44" s="2823">
        <f t="shared" si="22"/>
        <v>5.9031149253457347</v>
      </c>
      <c r="AL44" s="2823">
        <f t="shared" si="22"/>
        <v>6.0943192872547423</v>
      </c>
      <c r="AM44" s="2823">
        <f t="shared" si="22"/>
        <v>5.9518828955594794</v>
      </c>
      <c r="AN44" s="2823">
        <f t="shared" si="22"/>
        <v>5.9983627862618585</v>
      </c>
      <c r="AO44" s="2823">
        <f t="shared" si="22"/>
        <v>6.9793972618079563</v>
      </c>
      <c r="AP44" s="2824">
        <f t="shared" si="22"/>
        <v>6.356351418037371</v>
      </c>
      <c r="AQ44" s="2829" t="str">
        <f t="shared" si="23"/>
        <v>2026/27</v>
      </c>
      <c r="AR44" s="2830">
        <f>'Cost and rev series'!D43</f>
        <v>2.2999999999999998</v>
      </c>
      <c r="AS44" s="2826">
        <f>'Cost and rev series'!E43</f>
        <v>2</v>
      </c>
      <c r="AT44" s="2826">
        <f t="shared" si="24"/>
        <v>-0.29999999999999982</v>
      </c>
      <c r="AU44" s="2827">
        <f t="shared" si="33"/>
        <v>1.0250363435725725</v>
      </c>
      <c r="AV44" s="2822">
        <f t="shared" si="5"/>
        <v>71.777439096416614</v>
      </c>
      <c r="AW44" s="2823">
        <f t="shared" si="6"/>
        <v>70.255889814257841</v>
      </c>
      <c r="AX44" s="2823">
        <f t="shared" si="7"/>
        <v>70.220862117656765</v>
      </c>
      <c r="AY44" s="2823">
        <f t="shared" si="8"/>
        <v>70.326859348190382</v>
      </c>
      <c r="AZ44" s="2823">
        <f t="shared" si="9"/>
        <v>70.237538615226384</v>
      </c>
      <c r="BA44" s="2823">
        <f t="shared" si="10"/>
        <v>70.17642113177871</v>
      </c>
      <c r="BB44" s="2823">
        <f t="shared" si="11"/>
        <v>70.122989150942288</v>
      </c>
      <c r="BC44" s="2823">
        <f t="shared" si="12"/>
        <v>70.145692521319518</v>
      </c>
      <c r="BD44" s="2824">
        <f t="shared" si="13"/>
        <v>70.286041254794398</v>
      </c>
      <c r="BE44" s="2823"/>
      <c r="BF44" s="2825">
        <f t="shared" si="25"/>
        <v>2026</v>
      </c>
      <c r="BG44" s="2819">
        <f t="shared" si="31"/>
        <v>33.97188685488419</v>
      </c>
      <c r="BH44" s="2820">
        <f t="shared" si="32"/>
        <v>6.1750728047847581</v>
      </c>
      <c r="BI44" s="2820">
        <f t="shared" si="32"/>
        <v>-6.422715731367637E-2</v>
      </c>
      <c r="BJ44" s="2828">
        <f t="shared" si="32"/>
        <v>4.5535971360998335E-4</v>
      </c>
      <c r="BK44" s="2819">
        <f t="shared" si="32"/>
        <v>40.766264225861015</v>
      </c>
      <c r="BL44" s="2820">
        <f t="shared" si="32"/>
        <v>7.3873979296467862</v>
      </c>
      <c r="BM44" s="2820">
        <f t="shared" si="32"/>
        <v>-7.7072588776411641E-2</v>
      </c>
      <c r="BN44" s="2828">
        <f t="shared" si="32"/>
        <v>5.4643165633197998E-4</v>
      </c>
      <c r="BO44" s="2822">
        <f t="shared" si="26"/>
        <v>4.6745330169858414</v>
      </c>
      <c r="BP44" s="2823">
        <f t="shared" si="27"/>
        <v>5.5867501842880856</v>
      </c>
      <c r="BQ44" s="2824">
        <f t="shared" si="28"/>
        <v>5.4767436793645095</v>
      </c>
    </row>
    <row r="45" spans="1:69" ht="13.5" customHeight="1">
      <c r="A45" s="2822"/>
      <c r="B45" s="2547">
        <v>2027</v>
      </c>
      <c r="C45" s="64"/>
      <c r="D45" s="2531">
        <f>D44*(D$48/D$43)^(1/5)</f>
        <v>28.003721011076628</v>
      </c>
      <c r="E45" s="2258">
        <f t="shared" si="35"/>
        <v>79.067364253371608</v>
      </c>
      <c r="F45" s="2258">
        <f t="shared" si="35"/>
        <v>62.151492644447366</v>
      </c>
      <c r="G45" s="2258">
        <f t="shared" si="35"/>
        <v>70.278809589669436</v>
      </c>
      <c r="H45" s="2258">
        <f t="shared" si="35"/>
        <v>91.03741414812994</v>
      </c>
      <c r="I45" s="2258">
        <f t="shared" si="35"/>
        <v>41.153970311630687</v>
      </c>
      <c r="J45" s="2532">
        <f t="shared" si="35"/>
        <v>53.530287427196114</v>
      </c>
      <c r="K45" s="2816">
        <f t="shared" si="18"/>
        <v>33.263967033682036</v>
      </c>
      <c r="L45" s="2817">
        <f t="shared" si="18"/>
        <v>6.1002334063342909</v>
      </c>
      <c r="M45" s="2817">
        <f t="shared" si="18"/>
        <v>-6.3137126291721218E-2</v>
      </c>
      <c r="N45" s="2818">
        <f t="shared" si="18"/>
        <v>4.4710212569176863E-4</v>
      </c>
      <c r="O45" s="2819">
        <f t="shared" si="19"/>
        <v>39.916760440418443</v>
      </c>
      <c r="P45" s="2820">
        <f t="shared" si="19"/>
        <v>7.2924607160336041</v>
      </c>
      <c r="Q45" s="2820">
        <f t="shared" si="19"/>
        <v>-7.5764551550065465E-2</v>
      </c>
      <c r="R45" s="2821">
        <f t="shared" si="19"/>
        <v>5.365225508301224E-4</v>
      </c>
      <c r="S45" s="2819">
        <f t="shared" si="30"/>
        <v>4.6434404804148057</v>
      </c>
      <c r="T45" s="2828">
        <f t="shared" si="30"/>
        <v>135.946</v>
      </c>
      <c r="U45" s="2822">
        <f t="shared" si="20"/>
        <v>15.368630767808916</v>
      </c>
      <c r="V45" s="2823">
        <f t="shared" si="20"/>
        <v>10.686786324859789</v>
      </c>
      <c r="W45" s="2823">
        <f t="shared" si="20"/>
        <v>11.269217611118682</v>
      </c>
      <c r="X45" s="2823">
        <f t="shared" si="20"/>
        <v>10.922454278408464</v>
      </c>
      <c r="Y45" s="2823">
        <f t="shared" si="20"/>
        <v>10.560016985827051</v>
      </c>
      <c r="Z45" s="2823">
        <f t="shared" si="20"/>
        <v>13.014196309955302</v>
      </c>
      <c r="AA45" s="2824">
        <f t="shared" si="20"/>
        <v>11.80610639542201</v>
      </c>
      <c r="AB45" s="2822">
        <f t="shared" si="21"/>
        <v>7.0169259978296168</v>
      </c>
      <c r="AC45" s="2823">
        <f t="shared" si="21"/>
        <v>5.1609524624790541</v>
      </c>
      <c r="AD45" s="2823">
        <f t="shared" si="21"/>
        <v>5.2983137949671359</v>
      </c>
      <c r="AE45" s="2823">
        <f t="shared" si="21"/>
        <v>5.1857398831125874</v>
      </c>
      <c r="AF45" s="2823">
        <f t="shared" si="21"/>
        <v>5.28011468297961</v>
      </c>
      <c r="AG45" s="2823">
        <f t="shared" si="21"/>
        <v>6.0530666858114204</v>
      </c>
      <c r="AH45" s="2824">
        <f t="shared" si="21"/>
        <v>5.519848920224673</v>
      </c>
      <c r="AI45" s="2825">
        <f>'A1.3.4'!$J$27/100</f>
        <v>0.1205924519584583</v>
      </c>
      <c r="AJ45" s="2822">
        <f t="shared" si="22"/>
        <v>8.0240785540745723</v>
      </c>
      <c r="AK45" s="2823">
        <f t="shared" si="22"/>
        <v>5.8273263170586258</v>
      </c>
      <c r="AL45" s="2823">
        <f t="shared" si="22"/>
        <v>6.0183597265649666</v>
      </c>
      <c r="AM45" s="2823">
        <f t="shared" si="22"/>
        <v>5.8775443382267021</v>
      </c>
      <c r="AN45" s="2823">
        <f t="shared" si="22"/>
        <v>5.9168310477810939</v>
      </c>
      <c r="AO45" s="2823">
        <f t="shared" si="22"/>
        <v>6.8925263755875923</v>
      </c>
      <c r="AP45" s="2824">
        <f t="shared" si="22"/>
        <v>6.2779241228009077</v>
      </c>
      <c r="AQ45" s="2829" t="str">
        <f t="shared" si="23"/>
        <v>2027/28</v>
      </c>
      <c r="AR45" s="2830">
        <f>'Cost and rev series'!D44</f>
        <v>2.2999999999999998</v>
      </c>
      <c r="AS45" s="2826">
        <f>'Cost and rev series'!E44</f>
        <v>2</v>
      </c>
      <c r="AT45" s="2826">
        <f t="shared" si="24"/>
        <v>-0.29999999999999982</v>
      </c>
      <c r="AU45" s="2827">
        <f t="shared" si="33"/>
        <v>1.0220303718905415</v>
      </c>
      <c r="AV45" s="2822">
        <f t="shared" si="5"/>
        <v>71.076160659219184</v>
      </c>
      <c r="AW45" s="2823">
        <f t="shared" si="6"/>
        <v>69.501875614945362</v>
      </c>
      <c r="AX45" s="2823">
        <f t="shared" si="7"/>
        <v>69.493904630162064</v>
      </c>
      <c r="AY45" s="2823">
        <f t="shared" si="8"/>
        <v>69.596826775671119</v>
      </c>
      <c r="AZ45" s="2823">
        <f t="shared" si="9"/>
        <v>69.512250720641632</v>
      </c>
      <c r="BA45" s="2823">
        <f t="shared" si="10"/>
        <v>69.413215190326667</v>
      </c>
      <c r="BB45" s="2823">
        <f t="shared" si="11"/>
        <v>69.326633344029901</v>
      </c>
      <c r="BC45" s="2823">
        <f t="shared" si="12"/>
        <v>69.363422167757705</v>
      </c>
      <c r="BD45" s="2824">
        <f t="shared" si="13"/>
        <v>69.567473092224603</v>
      </c>
      <c r="BE45" s="2823"/>
      <c r="BF45" s="2825">
        <f t="shared" si="25"/>
        <v>2027</v>
      </c>
      <c r="BG45" s="2819">
        <f t="shared" si="31"/>
        <v>33.239030616870792</v>
      </c>
      <c r="BH45" s="2820">
        <f t="shared" si="32"/>
        <v>6.0950642533936534</v>
      </c>
      <c r="BI45" s="2820">
        <f t="shared" si="32"/>
        <v>-6.3087922373974675E-2</v>
      </c>
      <c r="BJ45" s="2828">
        <f t="shared" si="32"/>
        <v>4.4675766798449442E-4</v>
      </c>
      <c r="BK45" s="2819">
        <f t="shared" si="32"/>
        <v>39.886836740244945</v>
      </c>
      <c r="BL45" s="2820">
        <f t="shared" si="32"/>
        <v>7.2863493507894344</v>
      </c>
      <c r="BM45" s="2820">
        <f t="shared" si="32"/>
        <v>-7.5705506848769616E-2</v>
      </c>
      <c r="BN45" s="2828">
        <f t="shared" si="32"/>
        <v>5.361092015813934E-4</v>
      </c>
      <c r="BO45" s="2822">
        <f t="shared" si="26"/>
        <v>4.6190687785253592</v>
      </c>
      <c r="BP45" s="2823">
        <f t="shared" si="27"/>
        <v>5.5151547809474817</v>
      </c>
      <c r="BQ45" s="2824">
        <f t="shared" si="28"/>
        <v>5.4070935727497451</v>
      </c>
    </row>
    <row r="46" spans="1:69" ht="13.5" customHeight="1">
      <c r="A46" s="2822"/>
      <c r="B46" s="2547">
        <v>2028</v>
      </c>
      <c r="C46" s="64"/>
      <c r="D46" s="2531">
        <f>D45*(D$48/D$43)^(1/5)</f>
        <v>27.893935704677148</v>
      </c>
      <c r="E46" s="2258">
        <f t="shared" si="35"/>
        <v>78.942778951087405</v>
      </c>
      <c r="F46" s="2258">
        <f t="shared" si="35"/>
        <v>62.095718696987809</v>
      </c>
      <c r="G46" s="2258">
        <f t="shared" si="35"/>
        <v>70.168161113609401</v>
      </c>
      <c r="H46" s="2258">
        <f t="shared" si="35"/>
        <v>90.869197229948298</v>
      </c>
      <c r="I46" s="2258">
        <f t="shared" si="35"/>
        <v>41.092291264912909</v>
      </c>
      <c r="J46" s="2532">
        <f t="shared" si="35"/>
        <v>53.460729319407072</v>
      </c>
      <c r="K46" s="2816">
        <f t="shared" si="18"/>
        <v>32.414655161394592</v>
      </c>
      <c r="L46" s="2817">
        <f t="shared" si="18"/>
        <v>5.9979168497388997</v>
      </c>
      <c r="M46" s="2817">
        <f t="shared" si="18"/>
        <v>-6.1772583019661348E-2</v>
      </c>
      <c r="N46" s="2818">
        <f t="shared" si="18"/>
        <v>4.3691363432310211E-4</v>
      </c>
      <c r="O46" s="2819">
        <f t="shared" si="19"/>
        <v>38.897586193673504</v>
      </c>
      <c r="P46" s="2820">
        <f t="shared" si="19"/>
        <v>7.1648401286741574</v>
      </c>
      <c r="Q46" s="2820">
        <f t="shared" si="19"/>
        <v>-7.4127099623593609E-2</v>
      </c>
      <c r="R46" s="2821">
        <f t="shared" si="19"/>
        <v>5.2429636118772258E-4</v>
      </c>
      <c r="S46" s="2819">
        <f t="shared" si="30"/>
        <v>4.574498445011943</v>
      </c>
      <c r="T46" s="2828">
        <f t="shared" si="30"/>
        <v>135.946</v>
      </c>
      <c r="U46" s="2822">
        <f t="shared" si="20"/>
        <v>15.225028951082987</v>
      </c>
      <c r="V46" s="2823">
        <f t="shared" si="20"/>
        <v>10.55143752597043</v>
      </c>
      <c r="W46" s="2823">
        <f t="shared" si="20"/>
        <v>11.132596733875017</v>
      </c>
      <c r="X46" s="2823">
        <f t="shared" si="20"/>
        <v>10.788510126496551</v>
      </c>
      <c r="Y46" s="2823">
        <f t="shared" si="20"/>
        <v>10.419658597805293</v>
      </c>
      <c r="Z46" s="2823">
        <f t="shared" si="20"/>
        <v>12.868935139618504</v>
      </c>
      <c r="AA46" s="2824">
        <f t="shared" si="20"/>
        <v>11.667968558150637</v>
      </c>
      <c r="AB46" s="2822">
        <f t="shared" si="21"/>
        <v>6.8995655309184434</v>
      </c>
      <c r="AC46" s="2823">
        <f t="shared" si="21"/>
        <v>5.0731674737404875</v>
      </c>
      <c r="AD46" s="2823">
        <f t="shared" si="21"/>
        <v>5.2099008885533351</v>
      </c>
      <c r="AE46" s="2823">
        <f t="shared" si="21"/>
        <v>5.0992362231987594</v>
      </c>
      <c r="AF46" s="2823">
        <f t="shared" si="21"/>
        <v>5.1862570709570655</v>
      </c>
      <c r="AG46" s="2823">
        <f t="shared" si="21"/>
        <v>5.950693055559853</v>
      </c>
      <c r="AH46" s="2824">
        <f t="shared" si="21"/>
        <v>5.4280080760900606</v>
      </c>
      <c r="AI46" s="2825">
        <f>'A1.3.4'!$J$27/100</f>
        <v>0.1205924519584583</v>
      </c>
      <c r="AJ46" s="2822">
        <f t="shared" si="22"/>
        <v>7.9035535784465383</v>
      </c>
      <c r="AK46" s="2823">
        <f t="shared" si="22"/>
        <v>5.7338054918294885</v>
      </c>
      <c r="AL46" s="2823">
        <f t="shared" si="22"/>
        <v>5.9241333027448508</v>
      </c>
      <c r="AM46" s="2823">
        <f t="shared" si="22"/>
        <v>5.7853197130607086</v>
      </c>
      <c r="AN46" s="2823">
        <f t="shared" si="22"/>
        <v>5.8173657931628329</v>
      </c>
      <c r="AO46" s="2823">
        <f t="shared" si="22"/>
        <v>6.7849808317186806</v>
      </c>
      <c r="AP46" s="2824">
        <f t="shared" si="22"/>
        <v>6.1805002107456293</v>
      </c>
      <c r="AQ46" s="2829" t="str">
        <f t="shared" si="23"/>
        <v>2028/29</v>
      </c>
      <c r="AR46" s="2830">
        <f>'Cost and rev series'!D45</f>
        <v>2.2999999999999998</v>
      </c>
      <c r="AS46" s="2826">
        <f>'Cost and rev series'!E45</f>
        <v>2</v>
      </c>
      <c r="AT46" s="2826">
        <f t="shared" si="24"/>
        <v>-0.29999999999999982</v>
      </c>
      <c r="AU46" s="2827">
        <f t="shared" si="33"/>
        <v>1.0190332153747335</v>
      </c>
      <c r="AV46" s="2822">
        <f t="shared" si="5"/>
        <v>70.338980647326906</v>
      </c>
      <c r="AW46" s="2823">
        <f t="shared" si="6"/>
        <v>68.714057380134548</v>
      </c>
      <c r="AX46" s="2823">
        <f t="shared" si="7"/>
        <v>68.732231018603699</v>
      </c>
      <c r="AY46" s="2823">
        <f t="shared" si="8"/>
        <v>68.832265176314138</v>
      </c>
      <c r="AZ46" s="2823">
        <f t="shared" si="9"/>
        <v>68.752333691871755</v>
      </c>
      <c r="BA46" s="2823">
        <f t="shared" si="10"/>
        <v>68.616564521047763</v>
      </c>
      <c r="BB46" s="2823">
        <f t="shared" si="11"/>
        <v>68.497868276954975</v>
      </c>
      <c r="BC46" s="2823">
        <f t="shared" si="12"/>
        <v>68.548302581463972</v>
      </c>
      <c r="BD46" s="2824">
        <f t="shared" si="13"/>
        <v>68.813979942702844</v>
      </c>
      <c r="BE46" s="2823"/>
      <c r="BF46" s="2825">
        <f t="shared" si="25"/>
        <v>2028</v>
      </c>
      <c r="BG46" s="2819">
        <f t="shared" si="31"/>
        <v>32.483026125516062</v>
      </c>
      <c r="BH46" s="2820">
        <f t="shared" si="32"/>
        <v>6.0108108836111711</v>
      </c>
      <c r="BI46" s="2820">
        <f t="shared" si="32"/>
        <v>-6.1897280958882459E-2</v>
      </c>
      <c r="BJ46" s="2828">
        <f t="shared" si="32"/>
        <v>4.3780745121261211E-4</v>
      </c>
      <c r="BK46" s="2819">
        <f t="shared" si="32"/>
        <v>38.979631350619272</v>
      </c>
      <c r="BL46" s="2820">
        <f t="shared" si="32"/>
        <v>7.1801519215207854</v>
      </c>
      <c r="BM46" s="2820">
        <f t="shared" si="32"/>
        <v>-7.4276737150658939E-2</v>
      </c>
      <c r="BN46" s="2828">
        <f t="shared" si="32"/>
        <v>5.2536894145513457E-4</v>
      </c>
      <c r="BO46" s="2822">
        <f t="shared" si="26"/>
        <v>4.5606178707002769</v>
      </c>
      <c r="BP46" s="2823">
        <f t="shared" si="27"/>
        <v>5.4399203060277133</v>
      </c>
      <c r="BQ46" s="2824">
        <f t="shared" si="28"/>
        <v>5.3338830693385342</v>
      </c>
    </row>
    <row r="47" spans="1:69" ht="13.5" customHeight="1">
      <c r="A47" s="2822"/>
      <c r="B47" s="2547">
        <v>2029</v>
      </c>
      <c r="C47" s="64"/>
      <c r="D47" s="2531">
        <f>D46*(D$48/D$43)^(1/5)</f>
        <v>27.784580798705399</v>
      </c>
      <c r="E47" s="2258">
        <f t="shared" si="35"/>
        <v>78.818389956062106</v>
      </c>
      <c r="F47" s="2258">
        <f t="shared" si="35"/>
        <v>62.039994800348964</v>
      </c>
      <c r="G47" s="2258">
        <f t="shared" si="35"/>
        <v>70.057686844900431</v>
      </c>
      <c r="H47" s="2258">
        <f t="shared" si="35"/>
        <v>90.701291139263532</v>
      </c>
      <c r="I47" s="2258">
        <f t="shared" si="35"/>
        <v>41.030704658967558</v>
      </c>
      <c r="J47" s="2532">
        <f t="shared" si="35"/>
        <v>53.391261596530789</v>
      </c>
      <c r="K47" s="2816">
        <f t="shared" si="18"/>
        <v>31.83882714559304</v>
      </c>
      <c r="L47" s="2817">
        <f t="shared" si="18"/>
        <v>5.9471764286325932</v>
      </c>
      <c r="M47" s="2817">
        <f t="shared" si="18"/>
        <v>-6.0906831504485906E-2</v>
      </c>
      <c r="N47" s="2818">
        <f t="shared" si="18"/>
        <v>4.3030041051247568E-4</v>
      </c>
      <c r="O47" s="2819">
        <f t="shared" si="19"/>
        <v>38.206592574711649</v>
      </c>
      <c r="P47" s="2820">
        <f t="shared" si="19"/>
        <v>7.0984667127012235</v>
      </c>
      <c r="Q47" s="2820">
        <f t="shared" si="19"/>
        <v>-7.3088197805383087E-2</v>
      </c>
      <c r="R47" s="2821">
        <f t="shared" si="19"/>
        <v>5.1636049261497073E-4</v>
      </c>
      <c r="S47" s="2819">
        <f t="shared" si="30"/>
        <v>4.5015533628012756</v>
      </c>
      <c r="T47" s="2828">
        <f t="shared" si="30"/>
        <v>135.946</v>
      </c>
      <c r="U47" s="2822">
        <f t="shared" si="20"/>
        <v>15.127418410486815</v>
      </c>
      <c r="V47" s="2823">
        <f t="shared" si="20"/>
        <v>10.450075520435639</v>
      </c>
      <c r="W47" s="2823">
        <f t="shared" si="20"/>
        <v>11.030742062365917</v>
      </c>
      <c r="X47" s="2823">
        <f t="shared" si="20"/>
        <v>10.688639107947406</v>
      </c>
      <c r="Y47" s="2823">
        <f t="shared" si="20"/>
        <v>10.314225848725673</v>
      </c>
      <c r="Z47" s="2823">
        <f t="shared" si="20"/>
        <v>12.763348816245529</v>
      </c>
      <c r="AA47" s="2824">
        <f t="shared" si="20"/>
        <v>11.566015316606331</v>
      </c>
      <c r="AB47" s="2822">
        <f t="shared" si="21"/>
        <v>6.8414638199794897</v>
      </c>
      <c r="AC47" s="2823">
        <f t="shared" si="21"/>
        <v>5.0303209632259307</v>
      </c>
      <c r="AD47" s="2823">
        <f t="shared" si="21"/>
        <v>5.1673647764307544</v>
      </c>
      <c r="AE47" s="2823">
        <f t="shared" si="21"/>
        <v>5.057774016187631</v>
      </c>
      <c r="AF47" s="2823">
        <f t="shared" si="21"/>
        <v>5.138463549709984</v>
      </c>
      <c r="AG47" s="2823">
        <f t="shared" si="21"/>
        <v>5.9000797758304282</v>
      </c>
      <c r="AH47" s="2824">
        <f t="shared" si="21"/>
        <v>5.3837430526978691</v>
      </c>
      <c r="AI47" s="2825">
        <f>'A1.3.4'!$J$27/100</f>
        <v>0.1205924519584583</v>
      </c>
      <c r="AJ47" s="2822">
        <f t="shared" si="22"/>
        <v>7.8406874008652121</v>
      </c>
      <c r="AK47" s="2823">
        <f t="shared" si="22"/>
        <v>5.6839024542928778</v>
      </c>
      <c r="AL47" s="2823">
        <f t="shared" si="22"/>
        <v>5.8744438200992066</v>
      </c>
      <c r="AM47" s="2823">
        <f t="shared" si="22"/>
        <v>5.7368138442502321</v>
      </c>
      <c r="AN47" s="2823">
        <f t="shared" si="22"/>
        <v>5.7626214161024336</v>
      </c>
      <c r="AO47" s="2823">
        <f t="shared" si="22"/>
        <v>6.727738217864661</v>
      </c>
      <c r="AP47" s="2824">
        <f t="shared" si="22"/>
        <v>6.1292784236773592</v>
      </c>
      <c r="AQ47" s="2829" t="str">
        <f t="shared" si="23"/>
        <v>2029/30</v>
      </c>
      <c r="AR47" s="2830">
        <f>'Cost and rev series'!D46</f>
        <v>2.2999999999999998</v>
      </c>
      <c r="AS47" s="2826">
        <f>'Cost and rev series'!E46</f>
        <v>2</v>
      </c>
      <c r="AT47" s="2826">
        <f t="shared" si="24"/>
        <v>-0.29999999999999982</v>
      </c>
      <c r="AU47" s="2827">
        <f t="shared" si="33"/>
        <v>1.0160448481742212</v>
      </c>
      <c r="AV47" s="2822">
        <f t="shared" si="5"/>
        <v>69.927263810746823</v>
      </c>
      <c r="AW47" s="2823">
        <f t="shared" si="6"/>
        <v>68.268152216784429</v>
      </c>
      <c r="AX47" s="2823">
        <f t="shared" si="7"/>
        <v>68.307115914456759</v>
      </c>
      <c r="AY47" s="2823">
        <f t="shared" si="8"/>
        <v>68.407435381091034</v>
      </c>
      <c r="AZ47" s="2823">
        <f t="shared" si="9"/>
        <v>68.320023200160804</v>
      </c>
      <c r="BA47" s="2823">
        <f t="shared" si="10"/>
        <v>68.155340224729997</v>
      </c>
      <c r="BB47" s="2823">
        <f t="shared" si="11"/>
        <v>68.011366077056948</v>
      </c>
      <c r="BC47" s="2823">
        <f t="shared" si="12"/>
        <v>68.072541020381081</v>
      </c>
      <c r="BD47" s="2824">
        <f t="shared" si="13"/>
        <v>68.394035178404451</v>
      </c>
      <c r="BE47" s="2823"/>
      <c r="BF47" s="2825">
        <f t="shared" si="25"/>
        <v>2029</v>
      </c>
      <c r="BG47" s="2819">
        <f t="shared" si="31"/>
        <v>31.799806876572326</v>
      </c>
      <c r="BH47" s="2820">
        <f t="shared" si="32"/>
        <v>5.9419276538430648</v>
      </c>
      <c r="BI47" s="2820">
        <f t="shared" si="32"/>
        <v>-6.0827464090525224E-2</v>
      </c>
      <c r="BJ47" s="2828">
        <f t="shared" si="32"/>
        <v>4.2974963799760087E-4</v>
      </c>
      <c r="BK47" s="2819">
        <f t="shared" si="32"/>
        <v>38.159768251886788</v>
      </c>
      <c r="BL47" s="2820">
        <f t="shared" si="32"/>
        <v>7.0918619304562762</v>
      </c>
      <c r="BM47" s="2820">
        <f t="shared" si="32"/>
        <v>-7.2992956908630252E-2</v>
      </c>
      <c r="BN47" s="2828">
        <f t="shared" si="32"/>
        <v>5.15699565597121E-4</v>
      </c>
      <c r="BO47" s="2822">
        <f t="shared" si="26"/>
        <v>4.5149279137254101</v>
      </c>
      <c r="BP47" s="2823">
        <f t="shared" si="27"/>
        <v>5.3794622423150917</v>
      </c>
      <c r="BQ47" s="2824">
        <f t="shared" si="28"/>
        <v>5.2752059278282033</v>
      </c>
    </row>
    <row r="48" spans="1:69" ht="13.5" customHeight="1">
      <c r="A48" s="2822"/>
      <c r="B48" s="714">
        <v>2030</v>
      </c>
      <c r="C48" s="64"/>
      <c r="D48" s="2307">
        <v>27.675654605826949</v>
      </c>
      <c r="E48" s="2243">
        <v>78.694196958977173</v>
      </c>
      <c r="F48" s="2243">
        <v>61.984320909615882</v>
      </c>
      <c r="G48" s="2243">
        <v>69.947386509266707</v>
      </c>
      <c r="H48" s="2243">
        <v>90.533695301735463</v>
      </c>
      <c r="I48" s="2243">
        <v>40.969210355250084</v>
      </c>
      <c r="J48" s="2530">
        <v>53.321884141119661</v>
      </c>
      <c r="K48" s="2816">
        <f t="shared" si="18"/>
        <v>31.106918053708618</v>
      </c>
      <c r="L48" s="2817">
        <f t="shared" si="18"/>
        <v>5.8754409083681738</v>
      </c>
      <c r="M48" s="2817">
        <f t="shared" si="18"/>
        <v>-5.9723610333467722E-2</v>
      </c>
      <c r="N48" s="2818">
        <f t="shared" si="18"/>
        <v>4.214840966423499E-4</v>
      </c>
      <c r="O48" s="2819">
        <f t="shared" si="19"/>
        <v>37.328301664450343</v>
      </c>
      <c r="P48" s="2820">
        <f t="shared" si="19"/>
        <v>7.0056741677484977</v>
      </c>
      <c r="Q48" s="2820">
        <f t="shared" si="19"/>
        <v>-7.1668332400161266E-2</v>
      </c>
      <c r="R48" s="2821">
        <f t="shared" si="19"/>
        <v>5.0578091597081986E-4</v>
      </c>
      <c r="S48" s="2819">
        <f t="shared" si="30"/>
        <v>4.421521986431598</v>
      </c>
      <c r="T48" s="2828">
        <f t="shared" si="30"/>
        <v>135.946</v>
      </c>
      <c r="U48" s="2822">
        <f t="shared" si="20"/>
        <v>15.003001556409345</v>
      </c>
      <c r="V48" s="2823">
        <f t="shared" si="20"/>
        <v>10.330029347053046</v>
      </c>
      <c r="W48" s="2823">
        <f t="shared" si="20"/>
        <v>10.909484444551641</v>
      </c>
      <c r="X48" s="2823">
        <f t="shared" si="20"/>
        <v>10.569886403413516</v>
      </c>
      <c r="Y48" s="2823">
        <f t="shared" si="20"/>
        <v>10.189796508593851</v>
      </c>
      <c r="Z48" s="2823">
        <f t="shared" si="20"/>
        <v>12.635108264868668</v>
      </c>
      <c r="AA48" s="2824">
        <f t="shared" si="20"/>
        <v>11.443675643909332</v>
      </c>
      <c r="AB48" s="2822">
        <f t="shared" si="21"/>
        <v>6.7583824803421448</v>
      </c>
      <c r="AC48" s="2823">
        <f t="shared" si="21"/>
        <v>4.9723268474144557</v>
      </c>
      <c r="AD48" s="2823">
        <f t="shared" si="21"/>
        <v>5.1088215522815119</v>
      </c>
      <c r="AE48" s="2823">
        <f t="shared" si="21"/>
        <v>5.0009265477919245</v>
      </c>
      <c r="AF48" s="2823">
        <f t="shared" si="21"/>
        <v>5.07514650990887</v>
      </c>
      <c r="AG48" s="2823">
        <f t="shared" si="21"/>
        <v>5.8295510212886521</v>
      </c>
      <c r="AH48" s="2824">
        <f t="shared" si="21"/>
        <v>5.3222876891116346</v>
      </c>
      <c r="AI48" s="2825">
        <f>'A1.3.4'!$J$27/100</f>
        <v>0.1205924519584583</v>
      </c>
      <c r="AJ48" s="2822">
        <f t="shared" si="22"/>
        <v>7.7526213101885677</v>
      </c>
      <c r="AK48" s="2823">
        <f t="shared" si="22"/>
        <v>5.6184253287098347</v>
      </c>
      <c r="AL48" s="2823">
        <f t="shared" si="22"/>
        <v>5.8083377134448098</v>
      </c>
      <c r="AM48" s="2823">
        <f t="shared" si="22"/>
        <v>5.6725010716395552</v>
      </c>
      <c r="AN48" s="2823">
        <f t="shared" si="22"/>
        <v>5.6919346941596176</v>
      </c>
      <c r="AO48" s="2823">
        <f t="shared" si="22"/>
        <v>6.6502498562356136</v>
      </c>
      <c r="AP48" s="2824">
        <f t="shared" si="22"/>
        <v>6.060480871969661</v>
      </c>
      <c r="AQ48" s="2829" t="str">
        <f t="shared" si="23"/>
        <v>2030/31</v>
      </c>
      <c r="AR48" s="2830">
        <f>'Cost and rev series'!D47</f>
        <v>2.2999999999999998</v>
      </c>
      <c r="AS48" s="2826">
        <f>'Cost and rev series'!E47</f>
        <v>2</v>
      </c>
      <c r="AT48" s="2826">
        <f t="shared" si="24"/>
        <v>-0.29999999999999982</v>
      </c>
      <c r="AU48" s="2827">
        <f t="shared" si="33"/>
        <v>1.0130652445138864</v>
      </c>
      <c r="AV48" s="2822">
        <f t="shared" si="5"/>
        <v>69.24430586843323</v>
      </c>
      <c r="AW48" s="2823">
        <f t="shared" si="6"/>
        <v>67.574267463707898</v>
      </c>
      <c r="AX48" s="2823">
        <f t="shared" si="7"/>
        <v>67.632396522213767</v>
      </c>
      <c r="AY48" s="2823">
        <f t="shared" si="8"/>
        <v>67.734709928650332</v>
      </c>
      <c r="AZ48" s="2823">
        <f t="shared" si="9"/>
        <v>67.628736765425174</v>
      </c>
      <c r="BA48" s="2823">
        <f t="shared" si="10"/>
        <v>67.438851149289931</v>
      </c>
      <c r="BB48" s="2823">
        <f t="shared" si="11"/>
        <v>67.272843584349317</v>
      </c>
      <c r="BC48" s="2823">
        <f t="shared" si="12"/>
        <v>67.343380576863311</v>
      </c>
      <c r="BD48" s="2824">
        <f t="shared" si="13"/>
        <v>67.721287952469069</v>
      </c>
      <c r="BE48" s="2823"/>
      <c r="BF48" s="2825">
        <f t="shared" si="25"/>
        <v>2030</v>
      </c>
      <c r="BG48" s="2819">
        <f t="shared" si="31"/>
        <v>31.059625638250253</v>
      </c>
      <c r="BH48" s="2820">
        <f t="shared" si="32"/>
        <v>5.8649489766315011</v>
      </c>
      <c r="BI48" s="2820">
        <f t="shared" si="32"/>
        <v>-5.962433974784169E-2</v>
      </c>
      <c r="BJ48" s="2828">
        <f t="shared" si="32"/>
        <v>4.2080130367841157E-4</v>
      </c>
      <c r="BK48" s="2819">
        <f t="shared" si="32"/>
        <v>37.271550765900301</v>
      </c>
      <c r="BL48" s="2820">
        <f t="shared" si="32"/>
        <v>6.9933015921473016</v>
      </c>
      <c r="BM48" s="2820">
        <f t="shared" si="32"/>
        <v>-7.1549207697410022E-2</v>
      </c>
      <c r="BN48" s="2828">
        <f t="shared" si="32"/>
        <v>5.0496156441409386E-4</v>
      </c>
      <c r="BO48" s="2822">
        <f t="shared" si="26"/>
        <v>4.4645919496949125</v>
      </c>
      <c r="BP48" s="2823">
        <f t="shared" si="27"/>
        <v>5.3128731598233951</v>
      </c>
      <c r="BQ48" s="2824">
        <f t="shared" si="28"/>
        <v>5.2105768487437132</v>
      </c>
    </row>
    <row r="49" spans="1:69" ht="13.5" customHeight="1">
      <c r="A49" s="2822"/>
      <c r="B49" s="2547">
        <v>2031</v>
      </c>
      <c r="C49" s="64"/>
      <c r="D49" s="2531">
        <f>D48*(D$53/D$48)^(1/5)</f>
        <v>27.54478245575028</v>
      </c>
      <c r="E49" s="2258">
        <f t="shared" ref="E49:J52" si="36">E48*(E$53/E$48)^(1/5)</f>
        <v>78.532039135106089</v>
      </c>
      <c r="F49" s="2258">
        <f t="shared" si="36"/>
        <v>61.910918604107053</v>
      </c>
      <c r="G49" s="2258">
        <f t="shared" si="36"/>
        <v>69.798276905405231</v>
      </c>
      <c r="H49" s="2258">
        <f t="shared" si="36"/>
        <v>90.294896078756338</v>
      </c>
      <c r="I49" s="2258">
        <f t="shared" si="36"/>
        <v>40.894177855284411</v>
      </c>
      <c r="J49" s="2532">
        <f t="shared" si="36"/>
        <v>53.234329429735631</v>
      </c>
      <c r="K49" s="2816">
        <f t="shared" ref="K49:N68" si="37">IF(ISERROR(VLOOKUP($B49,Av_car_cost_work,1,0)),"",VLOOKUP($B49,Av_car_cost_work,K$22,0))</f>
        <v>30.185839299990739</v>
      </c>
      <c r="L49" s="2817">
        <f t="shared" si="37"/>
        <v>5.7617376611570634</v>
      </c>
      <c r="M49" s="2817">
        <f t="shared" si="37"/>
        <v>-5.8143306819945381E-2</v>
      </c>
      <c r="N49" s="2818">
        <f t="shared" si="37"/>
        <v>4.099366109164708E-4</v>
      </c>
      <c r="O49" s="2819">
        <f t="shared" ref="O49:R68" si="38">IF(ISERROR(VLOOKUP($B49,av_car_cost_nonwork,1,0)),"",VLOOKUP($B49,av_car_cost_nonwork,O$22,0))</f>
        <v>36.223007159988882</v>
      </c>
      <c r="P49" s="2820">
        <f t="shared" si="38"/>
        <v>6.8633913203909893</v>
      </c>
      <c r="Q49" s="2820">
        <f t="shared" si="38"/>
        <v>-6.9771968183934455E-2</v>
      </c>
      <c r="R49" s="2821">
        <f t="shared" si="38"/>
        <v>4.9192393309976489E-4</v>
      </c>
      <c r="S49" s="2819">
        <f t="shared" si="30"/>
        <v>4.3427459090371077</v>
      </c>
      <c r="T49" s="2828">
        <f t="shared" si="30"/>
        <v>135.94600000000003</v>
      </c>
      <c r="U49" s="2822">
        <f t="shared" si="20"/>
        <v>14.845299950781786</v>
      </c>
      <c r="V49" s="2823">
        <f t="shared" si="20"/>
        <v>10.182031218213162</v>
      </c>
      <c r="W49" s="2823">
        <f t="shared" si="20"/>
        <v>10.759450719049537</v>
      </c>
      <c r="X49" s="2823">
        <f t="shared" si="20"/>
        <v>10.423480968045242</v>
      </c>
      <c r="Y49" s="2823">
        <f t="shared" si="20"/>
        <v>10.03660261693606</v>
      </c>
      <c r="Z49" s="2823">
        <f t="shared" si="20"/>
        <v>12.474793141663737</v>
      </c>
      <c r="AA49" s="2824">
        <f t="shared" si="20"/>
        <v>11.2917455886803</v>
      </c>
      <c r="AB49" s="2822">
        <f t="shared" si="21"/>
        <v>6.6298264711785038</v>
      </c>
      <c r="AC49" s="2823">
        <f t="shared" si="21"/>
        <v>4.8791409201557387</v>
      </c>
      <c r="AD49" s="2823">
        <f t="shared" si="21"/>
        <v>5.0143530381028061</v>
      </c>
      <c r="AE49" s="2823">
        <f t="shared" si="21"/>
        <v>4.908949984595484</v>
      </c>
      <c r="AF49" s="2823">
        <f t="shared" si="21"/>
        <v>4.9752406967333922</v>
      </c>
      <c r="AG49" s="2823">
        <f t="shared" si="21"/>
        <v>5.7185592433074541</v>
      </c>
      <c r="AH49" s="2824">
        <f t="shared" si="21"/>
        <v>5.2236320890586478</v>
      </c>
      <c r="AI49" s="2825">
        <f>'A1.3.4'!$J$27/100</f>
        <v>0.1205924519584583</v>
      </c>
      <c r="AJ49" s="2822">
        <f t="shared" si="22"/>
        <v>7.620550562083551</v>
      </c>
      <c r="AK49" s="2823">
        <f t="shared" si="22"/>
        <v>5.5186294636652029</v>
      </c>
      <c r="AL49" s="2823">
        <f t="shared" si="22"/>
        <v>5.7071684541890253</v>
      </c>
      <c r="AM49" s="2823">
        <f t="shared" si="22"/>
        <v>5.5739607972905789</v>
      </c>
      <c r="AN49" s="2823">
        <f t="shared" si="22"/>
        <v>5.5856027409398026</v>
      </c>
      <c r="AO49" s="2823">
        <f t="shared" si="22"/>
        <v>6.5333100551150922</v>
      </c>
      <c r="AP49" s="2824">
        <f t="shared" si="22"/>
        <v>5.9554007747402444</v>
      </c>
      <c r="AQ49" s="2829" t="str">
        <f t="shared" si="23"/>
        <v>2031/32</v>
      </c>
      <c r="AR49" s="2830">
        <f>'Cost and rev series'!D48</f>
        <v>2.2999999999999998</v>
      </c>
      <c r="AS49" s="2826">
        <f>'Cost and rev series'!E48</f>
        <v>2</v>
      </c>
      <c r="AT49" s="2826">
        <f t="shared" si="24"/>
        <v>-0.29999999999999982</v>
      </c>
      <c r="AU49" s="2827">
        <f t="shared" si="33"/>
        <v>1.0100943786941976</v>
      </c>
      <c r="AV49" s="2822">
        <f t="shared" si="5"/>
        <v>68.334578220688087</v>
      </c>
      <c r="AW49" s="2823">
        <f t="shared" si="6"/>
        <v>66.638657062686875</v>
      </c>
      <c r="AX49" s="2823">
        <f t="shared" si="7"/>
        <v>66.718412443606553</v>
      </c>
      <c r="AY49" s="2823">
        <f t="shared" si="8"/>
        <v>66.82289030656591</v>
      </c>
      <c r="AZ49" s="2823">
        <f t="shared" si="9"/>
        <v>66.703138597306122</v>
      </c>
      <c r="BA49" s="2823">
        <f t="shared" si="10"/>
        <v>66.482007540588441</v>
      </c>
      <c r="BB49" s="2823">
        <f t="shared" si="11"/>
        <v>66.288683638517341</v>
      </c>
      <c r="BC49" s="2823">
        <f t="shared" si="12"/>
        <v>66.370827404905597</v>
      </c>
      <c r="BD49" s="2824">
        <f t="shared" si="13"/>
        <v>66.811269420247186</v>
      </c>
      <c r="BE49" s="2823"/>
      <c r="BF49" s="2825">
        <f t="shared" si="25"/>
        <v>2031</v>
      </c>
      <c r="BG49" s="2819">
        <f t="shared" si="31"/>
        <v>30.230913238937291</v>
      </c>
      <c r="BH49" s="2820">
        <f t="shared" si="32"/>
        <v>5.7689215185015215</v>
      </c>
      <c r="BI49" s="2820">
        <f t="shared" si="32"/>
        <v>-5.8220641094444095E-2</v>
      </c>
      <c r="BJ49" s="2828">
        <f t="shared" si="32"/>
        <v>4.1050170148112657E-4</v>
      </c>
      <c r="BK49" s="2819">
        <f t="shared" si="32"/>
        <v>36.277095886724751</v>
      </c>
      <c r="BL49" s="2820">
        <f t="shared" si="32"/>
        <v>6.8720547384307373</v>
      </c>
      <c r="BM49" s="2820">
        <f t="shared" si="32"/>
        <v>-6.9864769313332922E-2</v>
      </c>
      <c r="BN49" s="2828">
        <f t="shared" si="32"/>
        <v>4.9260204177735184E-4</v>
      </c>
      <c r="BO49" s="2822">
        <f t="shared" si="26"/>
        <v>4.4007867689300051</v>
      </c>
      <c r="BP49" s="2823">
        <f t="shared" si="27"/>
        <v>5.2302930389449163</v>
      </c>
      <c r="BQ49" s="2824">
        <f t="shared" si="28"/>
        <v>5.1302608439289035</v>
      </c>
    </row>
    <row r="50" spans="1:69" ht="13.5" customHeight="1">
      <c r="A50" s="2822"/>
      <c r="B50" s="2547">
        <v>2032</v>
      </c>
      <c r="C50" s="64"/>
      <c r="D50" s="2531">
        <f>D49*(D$53/D$48)^(1/5)</f>
        <v>27.414529171601433</v>
      </c>
      <c r="E50" s="2258">
        <f t="shared" si="36"/>
        <v>78.370215454804153</v>
      </c>
      <c r="F50" s="2258">
        <f t="shared" si="36"/>
        <v>61.837603222168163</v>
      </c>
      <c r="G50" s="2258">
        <f t="shared" si="36"/>
        <v>69.649485164369992</v>
      </c>
      <c r="H50" s="2258">
        <f t="shared" si="36"/>
        <v>90.056726732517646</v>
      </c>
      <c r="I50" s="2258">
        <f t="shared" si="36"/>
        <v>40.81928277256457</v>
      </c>
      <c r="J50" s="2532">
        <f t="shared" si="36"/>
        <v>53.146918483479354</v>
      </c>
      <c r="K50" s="2816">
        <f t="shared" si="37"/>
        <v>29.445056302059072</v>
      </c>
      <c r="L50" s="2817">
        <f t="shared" si="37"/>
        <v>5.6767698433237843</v>
      </c>
      <c r="M50" s="2817">
        <f t="shared" si="37"/>
        <v>-5.6872340404417916E-2</v>
      </c>
      <c r="N50" s="2818">
        <f t="shared" si="37"/>
        <v>4.0064948744921477E-4</v>
      </c>
      <c r="O50" s="2819">
        <f t="shared" si="38"/>
        <v>35.334067562470892</v>
      </c>
      <c r="P50" s="2820">
        <f t="shared" si="38"/>
        <v>6.7557621451924721</v>
      </c>
      <c r="Q50" s="2820">
        <f t="shared" si="38"/>
        <v>-6.8246808485301499E-2</v>
      </c>
      <c r="R50" s="2821">
        <f t="shared" si="38"/>
        <v>4.8077938493905771E-4</v>
      </c>
      <c r="S50" s="2819">
        <f t="shared" ref="S50:T65" si="39">IF(ISERROR(VLOOKUP($B50,Non_fuel_op_cost,1,0)),S49,VLOOKUP($B50,Non_fuel_op_cost,S$22,1))</f>
        <v>4.265396615277627</v>
      </c>
      <c r="T50" s="2828">
        <f t="shared" si="39"/>
        <v>135.94600000000003</v>
      </c>
      <c r="U50" s="2822">
        <f t="shared" si="20"/>
        <v>14.717119598272197</v>
      </c>
      <c r="V50" s="2823">
        <f t="shared" si="20"/>
        <v>10.056195780854594</v>
      </c>
      <c r="W50" s="2823">
        <f t="shared" si="20"/>
        <v>10.631959753616078</v>
      </c>
      <c r="X50" s="2823">
        <f t="shared" si="20"/>
        <v>10.299228179692438</v>
      </c>
      <c r="Y50" s="2823">
        <f t="shared" si="20"/>
        <v>9.906303584017774</v>
      </c>
      <c r="Z50" s="2823">
        <f t="shared" si="20"/>
        <v>12.340033453937121</v>
      </c>
      <c r="AA50" s="2824">
        <f t="shared" si="20"/>
        <v>11.163208806335062</v>
      </c>
      <c r="AB50" s="2822">
        <f t="shared" si="21"/>
        <v>6.5350219167727479</v>
      </c>
      <c r="AC50" s="2823">
        <f t="shared" si="21"/>
        <v>4.8110004005457636</v>
      </c>
      <c r="AD50" s="2823">
        <f t="shared" si="21"/>
        <v>4.9453911529844046</v>
      </c>
      <c r="AE50" s="2823">
        <f t="shared" si="21"/>
        <v>4.8420049705290404</v>
      </c>
      <c r="AF50" s="2823">
        <f t="shared" si="21"/>
        <v>4.9012551275044594</v>
      </c>
      <c r="AG50" s="2823">
        <f t="shared" si="21"/>
        <v>5.6366795994704093</v>
      </c>
      <c r="AH50" s="2824">
        <f t="shared" si="21"/>
        <v>5.1514991570636006</v>
      </c>
      <c r="AI50" s="2825">
        <f>'A1.3.4'!$J$27/100</f>
        <v>0.1205924519584583</v>
      </c>
      <c r="AJ50" s="2822">
        <f t="shared" si="22"/>
        <v>7.5217211383483837</v>
      </c>
      <c r="AK50" s="2823">
        <f t="shared" si="22"/>
        <v>5.4435313724583843</v>
      </c>
      <c r="AL50" s="2823">
        <f t="shared" si="22"/>
        <v>5.6311484037645574</v>
      </c>
      <c r="AM50" s="2823">
        <f t="shared" si="22"/>
        <v>5.5001048982066614</v>
      </c>
      <c r="AN50" s="2823">
        <f t="shared" si="22"/>
        <v>5.5048261930462976</v>
      </c>
      <c r="AO50" s="2823">
        <f t="shared" si="22"/>
        <v>6.4450534771257333</v>
      </c>
      <c r="AP50" s="2824">
        <f t="shared" si="22"/>
        <v>5.8764659641315697</v>
      </c>
      <c r="AQ50" s="2829" t="str">
        <f t="shared" si="23"/>
        <v>2032/33</v>
      </c>
      <c r="AR50" s="2830">
        <f>'Cost and rev series'!D49</f>
        <v>2.2999999999999998</v>
      </c>
      <c r="AS50" s="2826">
        <f>'Cost and rev series'!E49</f>
        <v>2</v>
      </c>
      <c r="AT50" s="2826">
        <f t="shared" si="24"/>
        <v>-0.29999999999999982</v>
      </c>
      <c r="AU50" s="2827">
        <f t="shared" si="33"/>
        <v>1.0071322250909889</v>
      </c>
      <c r="AV50" s="2822">
        <f t="shared" si="5"/>
        <v>67.662903980599978</v>
      </c>
      <c r="AW50" s="2823">
        <f t="shared" si="6"/>
        <v>65.942356924489374</v>
      </c>
      <c r="AX50" s="2823">
        <f t="shared" si="7"/>
        <v>66.039857497106837</v>
      </c>
      <c r="AY50" s="2823">
        <f t="shared" si="8"/>
        <v>66.148279752035876</v>
      </c>
      <c r="AZ50" s="2823">
        <f t="shared" si="9"/>
        <v>66.011595052936329</v>
      </c>
      <c r="BA50" s="2823">
        <f t="shared" si="10"/>
        <v>65.763730444060741</v>
      </c>
      <c r="BB50" s="2823">
        <f t="shared" si="11"/>
        <v>65.547034724859543</v>
      </c>
      <c r="BC50" s="2823">
        <f t="shared" si="12"/>
        <v>65.639109229588144</v>
      </c>
      <c r="BD50" s="2824">
        <f t="shared" si="13"/>
        <v>66.135918690280263</v>
      </c>
      <c r="BE50" s="2823"/>
      <c r="BF50" s="2825">
        <f t="shared" si="25"/>
        <v>2032</v>
      </c>
      <c r="BG50" s="2819">
        <f t="shared" si="31"/>
        <v>29.459468740654309</v>
      </c>
      <c r="BH50" s="2820">
        <f t="shared" si="32"/>
        <v>5.6784739982319712</v>
      </c>
      <c r="BI50" s="2820">
        <f t="shared" si="32"/>
        <v>-5.6891349518564283E-2</v>
      </c>
      <c r="BJ50" s="2828">
        <f t="shared" si="32"/>
        <v>4.0080182268248431E-4</v>
      </c>
      <c r="BK50" s="2819">
        <f t="shared" si="32"/>
        <v>35.351362488785171</v>
      </c>
      <c r="BL50" s="2820">
        <f t="shared" si="32"/>
        <v>6.757852801520885</v>
      </c>
      <c r="BM50" s="2820">
        <f t="shared" si="32"/>
        <v>-6.8269619422277147E-2</v>
      </c>
      <c r="BN50" s="2828">
        <f t="shared" si="32"/>
        <v>4.8096218721898118E-4</v>
      </c>
      <c r="BO50" s="2822">
        <f t="shared" si="26"/>
        <v>4.3412793653580266</v>
      </c>
      <c r="BP50" s="2823">
        <f t="shared" si="27"/>
        <v>5.1532192420721508</v>
      </c>
      <c r="BQ50" s="2824">
        <f t="shared" si="28"/>
        <v>5.0553054214963469</v>
      </c>
    </row>
    <row r="51" spans="1:69" ht="13.5" customHeight="1">
      <c r="A51" s="2822"/>
      <c r="B51" s="2547">
        <v>2033</v>
      </c>
      <c r="C51" s="64"/>
      <c r="D51" s="2531">
        <f>D50*(D$53/D$48)^(1/5)</f>
        <v>27.284891826898061</v>
      </c>
      <c r="E51" s="2258">
        <f t="shared" si="36"/>
        <v>78.208725229532732</v>
      </c>
      <c r="F51" s="2258">
        <f t="shared" si="36"/>
        <v>61.764374660863666</v>
      </c>
      <c r="G51" s="2258">
        <f t="shared" si="36"/>
        <v>69.50101060856025</v>
      </c>
      <c r="H51" s="2258">
        <f t="shared" si="36"/>
        <v>89.819185601603976</v>
      </c>
      <c r="I51" s="2258">
        <f t="shared" si="36"/>
        <v>40.744524855419634</v>
      </c>
      <c r="J51" s="2532">
        <f t="shared" si="36"/>
        <v>53.059651066288012</v>
      </c>
      <c r="K51" s="2816">
        <f t="shared" si="37"/>
        <v>28.761923058508359</v>
      </c>
      <c r="L51" s="2817">
        <f t="shared" si="37"/>
        <v>5.5986186451232527</v>
      </c>
      <c r="M51" s="2817">
        <f t="shared" si="37"/>
        <v>-5.5677410445475924E-2</v>
      </c>
      <c r="N51" s="2818">
        <f t="shared" si="37"/>
        <v>3.9197170491503711E-4</v>
      </c>
      <c r="O51" s="2819">
        <f t="shared" si="38"/>
        <v>34.51430767021003</v>
      </c>
      <c r="P51" s="2820">
        <f t="shared" si="38"/>
        <v>6.656495595307609</v>
      </c>
      <c r="Q51" s="2820">
        <f t="shared" si="38"/>
        <v>-6.6812892534571108E-2</v>
      </c>
      <c r="R51" s="2821">
        <f t="shared" si="38"/>
        <v>4.7036604589804448E-4</v>
      </c>
      <c r="S51" s="2819">
        <f t="shared" si="39"/>
        <v>4.1896679723243926</v>
      </c>
      <c r="T51" s="2828">
        <f t="shared" si="39"/>
        <v>135.94599999999997</v>
      </c>
      <c r="U51" s="2822">
        <f t="shared" si="20"/>
        <v>14.597541824051877</v>
      </c>
      <c r="V51" s="2823">
        <f t="shared" si="20"/>
        <v>9.937367741887579</v>
      </c>
      <c r="W51" s="2823">
        <f t="shared" si="20"/>
        <v>10.511428731734732</v>
      </c>
      <c r="X51" s="2823">
        <f t="shared" si="20"/>
        <v>10.181890426556663</v>
      </c>
      <c r="Y51" s="2823">
        <f t="shared" si="20"/>
        <v>9.7833854085562972</v>
      </c>
      <c r="Z51" s="2823">
        <f t="shared" si="20"/>
        <v>12.212910966442383</v>
      </c>
      <c r="AA51" s="2824">
        <f t="shared" si="20"/>
        <v>11.041793909484408</v>
      </c>
      <c r="AB51" s="2822">
        <f t="shared" si="21"/>
        <v>6.4486446593461197</v>
      </c>
      <c r="AC51" s="2823">
        <f t="shared" si="21"/>
        <v>4.7494978028694552</v>
      </c>
      <c r="AD51" s="2823">
        <f t="shared" si="21"/>
        <v>4.8830153969635068</v>
      </c>
      <c r="AE51" s="2823">
        <f t="shared" si="21"/>
        <v>4.7815852329393884</v>
      </c>
      <c r="AF51" s="2823">
        <f t="shared" si="21"/>
        <v>4.8343518515952608</v>
      </c>
      <c r="AG51" s="2823">
        <f t="shared" si="21"/>
        <v>5.5621890671296725</v>
      </c>
      <c r="AH51" s="2824">
        <f t="shared" si="21"/>
        <v>5.0861420988912371</v>
      </c>
      <c r="AI51" s="2825">
        <f>'A1.3.4'!$J$27/100</f>
        <v>0.1205924519584583</v>
      </c>
      <c r="AJ51" s="2822">
        <f t="shared" si="22"/>
        <v>7.4313401491953162</v>
      </c>
      <c r="AK51" s="2823">
        <f t="shared" si="22"/>
        <v>5.3751157592572287</v>
      </c>
      <c r="AL51" s="2823">
        <f t="shared" si="22"/>
        <v>5.5617595616392519</v>
      </c>
      <c r="AM51" s="2823">
        <f t="shared" si="22"/>
        <v>5.4328212775616933</v>
      </c>
      <c r="AN51" s="2823">
        <f t="shared" si="22"/>
        <v>5.4311679430538824</v>
      </c>
      <c r="AO51" s="2823">
        <f t="shared" si="22"/>
        <v>6.3642159282616078</v>
      </c>
      <c r="AP51" s="2824">
        <f t="shared" si="22"/>
        <v>5.8043487537414995</v>
      </c>
      <c r="AQ51" s="2829" t="str">
        <f t="shared" si="23"/>
        <v>2033/34</v>
      </c>
      <c r="AR51" s="2830">
        <f>'Cost and rev series'!D50</f>
        <v>2.2999999999999998</v>
      </c>
      <c r="AS51" s="2826">
        <f>'Cost and rev series'!E50</f>
        <v>2</v>
      </c>
      <c r="AT51" s="2826">
        <f t="shared" si="24"/>
        <v>-0.29999999999999982</v>
      </c>
      <c r="AU51" s="2827">
        <f t="shared" si="33"/>
        <v>1.0041787581552384</v>
      </c>
      <c r="AV51" s="2822">
        <f t="shared" si="5"/>
        <v>67.005494906033377</v>
      </c>
      <c r="AW51" s="2823">
        <f t="shared" si="6"/>
        <v>65.266880431484054</v>
      </c>
      <c r="AX51" s="2823">
        <f t="shared" si="7"/>
        <v>65.379293988412584</v>
      </c>
      <c r="AY51" s="2823">
        <f t="shared" si="8"/>
        <v>65.492772004449151</v>
      </c>
      <c r="AZ51" s="2823">
        <f t="shared" si="9"/>
        <v>65.33591284109103</v>
      </c>
      <c r="BA51" s="2823">
        <f t="shared" si="10"/>
        <v>65.065197344567068</v>
      </c>
      <c r="BB51" s="2823">
        <f t="shared" si="11"/>
        <v>64.828524229013013</v>
      </c>
      <c r="BC51" s="2823">
        <f t="shared" si="12"/>
        <v>64.929087174961111</v>
      </c>
      <c r="BD51" s="2824">
        <f t="shared" si="13"/>
        <v>65.477397006071229</v>
      </c>
      <c r="BE51" s="2823"/>
      <c r="BF51" s="2825">
        <f t="shared" si="25"/>
        <v>2033</v>
      </c>
      <c r="BG51" s="2819">
        <f t="shared" si="31"/>
        <v>28.744160890232145</v>
      </c>
      <c r="BH51" s="2820">
        <f t="shared" si="32"/>
        <v>5.5948032768869975</v>
      </c>
      <c r="BI51" s="2820">
        <f t="shared" si="32"/>
        <v>-5.5636940518261194E-2</v>
      </c>
      <c r="BJ51" s="2828">
        <f t="shared" si="32"/>
        <v>3.9169946546962966E-4</v>
      </c>
      <c r="BK51" s="2819">
        <f t="shared" si="32"/>
        <v>34.492993068278572</v>
      </c>
      <c r="BL51" s="2820">
        <f t="shared" si="32"/>
        <v>6.6519484291819992</v>
      </c>
      <c r="BM51" s="2820">
        <f t="shared" si="32"/>
        <v>-6.6764328621913421E-2</v>
      </c>
      <c r="BN51" s="2828">
        <f t="shared" si="32"/>
        <v>4.7003935856355553E-4</v>
      </c>
      <c r="BO51" s="2822">
        <f t="shared" si="26"/>
        <v>4.2872214819964132</v>
      </c>
      <c r="BP51" s="2823">
        <f t="shared" si="27"/>
        <v>5.0828502753132971</v>
      </c>
      <c r="BQ51" s="2824">
        <f t="shared" si="28"/>
        <v>4.9869034482784649</v>
      </c>
    </row>
    <row r="52" spans="1:69" ht="13.5" customHeight="1">
      <c r="A52" s="2822"/>
      <c r="B52" s="2547">
        <v>2034</v>
      </c>
      <c r="C52" s="64"/>
      <c r="D52" s="2531">
        <f>D51*(D$53/D$48)^(1/5)</f>
        <v>27.155867508996518</v>
      </c>
      <c r="E52" s="2258">
        <f t="shared" si="36"/>
        <v>78.047567772172016</v>
      </c>
      <c r="F52" s="2258">
        <f t="shared" si="36"/>
        <v>61.691232817379898</v>
      </c>
      <c r="G52" s="2258">
        <f t="shared" si="36"/>
        <v>69.352852561819759</v>
      </c>
      <c r="H52" s="2258">
        <f t="shared" si="36"/>
        <v>89.582271028982206</v>
      </c>
      <c r="I52" s="2258">
        <f t="shared" si="36"/>
        <v>40.669903852639578</v>
      </c>
      <c r="J52" s="2532">
        <f t="shared" si="36"/>
        <v>52.972526942486397</v>
      </c>
      <c r="K52" s="2816">
        <f t="shared" si="37"/>
        <v>28.00774114185279</v>
      </c>
      <c r="L52" s="2817">
        <f t="shared" si="37"/>
        <v>5.5052059739777004</v>
      </c>
      <c r="M52" s="2817">
        <f t="shared" si="37"/>
        <v>-5.4320600777674991E-2</v>
      </c>
      <c r="N52" s="2818">
        <f t="shared" si="37"/>
        <v>3.8220496459922951E-4</v>
      </c>
      <c r="O52" s="2819">
        <f t="shared" si="38"/>
        <v>33.609289370223337</v>
      </c>
      <c r="P52" s="2820">
        <f t="shared" si="38"/>
        <v>6.5390403809203033</v>
      </c>
      <c r="Q52" s="2820">
        <f t="shared" si="38"/>
        <v>-6.5184720933209997E-2</v>
      </c>
      <c r="R52" s="2821">
        <f t="shared" si="38"/>
        <v>4.5864595751907546E-4</v>
      </c>
      <c r="S52" s="2819">
        <f t="shared" si="39"/>
        <v>4.1149485279560913</v>
      </c>
      <c r="T52" s="2828">
        <f t="shared" si="39"/>
        <v>135.94599999999997</v>
      </c>
      <c r="U52" s="2822">
        <f t="shared" si="20"/>
        <v>14.464392164620854</v>
      </c>
      <c r="V52" s="2823">
        <f t="shared" si="20"/>
        <v>9.8094257291115827</v>
      </c>
      <c r="W52" s="2823">
        <f t="shared" si="20"/>
        <v>10.381299050944394</v>
      </c>
      <c r="X52" s="2823">
        <f t="shared" si="20"/>
        <v>10.055254139207236</v>
      </c>
      <c r="Y52" s="2823">
        <f t="shared" si="20"/>
        <v>9.6513831716174483</v>
      </c>
      <c r="Z52" s="2823">
        <f t="shared" si="20"/>
        <v>12.0744520700471</v>
      </c>
      <c r="AA52" s="2824">
        <f t="shared" si="20"/>
        <v>10.910227185588429</v>
      </c>
      <c r="AB52" s="2822">
        <f t="shared" si="21"/>
        <v>6.344760871409985</v>
      </c>
      <c r="AC52" s="2823">
        <f t="shared" si="21"/>
        <v>4.6759636261406516</v>
      </c>
      <c r="AD52" s="2823">
        <f t="shared" si="21"/>
        <v>4.8080316066381323</v>
      </c>
      <c r="AE52" s="2823">
        <f t="shared" si="21"/>
        <v>4.7089106296655849</v>
      </c>
      <c r="AF52" s="2823">
        <f t="shared" si="21"/>
        <v>4.7554490968085545</v>
      </c>
      <c r="AG52" s="2823">
        <f t="shared" si="21"/>
        <v>5.472995454628605</v>
      </c>
      <c r="AH52" s="2824">
        <f t="shared" si="21"/>
        <v>5.0075086098025947</v>
      </c>
      <c r="AI52" s="2825">
        <f>'A1.3.4'!$J$27/100</f>
        <v>0.1205924519584583</v>
      </c>
      <c r="AJ52" s="2822">
        <f t="shared" si="22"/>
        <v>7.3239271180569112</v>
      </c>
      <c r="AK52" s="2823">
        <f t="shared" si="22"/>
        <v>5.2950204081737402</v>
      </c>
      <c r="AL52" s="2823">
        <f t="shared" si="22"/>
        <v>5.4801255931672754</v>
      </c>
      <c r="AM52" s="2823">
        <f t="shared" si="22"/>
        <v>5.3536393024934021</v>
      </c>
      <c r="AN52" s="2823">
        <f t="shared" si="22"/>
        <v>5.3458617915167252</v>
      </c>
      <c r="AO52" s="2823">
        <f t="shared" si="22"/>
        <v>6.2690812943793075</v>
      </c>
      <c r="AP52" s="2824">
        <f t="shared" si="22"/>
        <v>5.7193319160773477</v>
      </c>
      <c r="AQ52" s="2829" t="str">
        <f t="shared" si="23"/>
        <v>2034/35</v>
      </c>
      <c r="AR52" s="2830">
        <f>'Cost and rev series'!D114</f>
        <v>2.2999999999999998</v>
      </c>
      <c r="AS52" s="2826">
        <f>'Cost and rev series'!E51</f>
        <v>2</v>
      </c>
      <c r="AT52" s="2826">
        <f t="shared" si="24"/>
        <v>-0.29999999999999982</v>
      </c>
      <c r="AU52" s="2827">
        <f t="shared" si="33"/>
        <v>1.0012339524128477</v>
      </c>
      <c r="AV52" s="2822">
        <f t="shared" si="5"/>
        <v>66.297068650116458</v>
      </c>
      <c r="AW52" s="2823">
        <f t="shared" si="6"/>
        <v>64.547825612868337</v>
      </c>
      <c r="AX52" s="2823">
        <f t="shared" si="7"/>
        <v>64.673008321709176</v>
      </c>
      <c r="AY52" s="2823">
        <f t="shared" si="8"/>
        <v>64.792255920853123</v>
      </c>
      <c r="AZ52" s="2823">
        <f t="shared" si="9"/>
        <v>64.612499162003374</v>
      </c>
      <c r="BA52" s="2823">
        <f t="shared" si="10"/>
        <v>64.322184854257202</v>
      </c>
      <c r="BB52" s="2823">
        <f t="shared" si="11"/>
        <v>64.068377471279689</v>
      </c>
      <c r="BC52" s="2823">
        <f t="shared" si="12"/>
        <v>64.176220806488445</v>
      </c>
      <c r="BD52" s="2824">
        <f t="shared" si="13"/>
        <v>64.772032408962431</v>
      </c>
      <c r="BE52" s="2823"/>
      <c r="BF52" s="2825">
        <f t="shared" si="25"/>
        <v>2034</v>
      </c>
      <c r="BG52" s="2819">
        <f t="shared" si="31"/>
        <v>28.048393628756319</v>
      </c>
      <c r="BH52" s="2820">
        <f t="shared" si="32"/>
        <v>5.5118026734365522</v>
      </c>
      <c r="BI52" s="2820">
        <f t="shared" si="32"/>
        <v>-5.4393548105318795E-2</v>
      </c>
      <c r="BJ52" s="2828">
        <f t="shared" si="32"/>
        <v>3.8273048447478523E-4</v>
      </c>
      <c r="BK52" s="2819">
        <f t="shared" si="32"/>
        <v>33.658072354507581</v>
      </c>
      <c r="BL52" s="2820">
        <f t="shared" si="32"/>
        <v>6.5470092381075951</v>
      </c>
      <c r="BM52" s="2820">
        <f t="shared" si="32"/>
        <v>-6.5272257726382552E-2</v>
      </c>
      <c r="BN52" s="2828">
        <f t="shared" si="32"/>
        <v>4.5927658136974228E-4</v>
      </c>
      <c r="BO52" s="2822">
        <f t="shared" si="26"/>
        <v>4.2339040744209386</v>
      </c>
      <c r="BP52" s="2823">
        <f t="shared" si="27"/>
        <v>5.0135309192888595</v>
      </c>
      <c r="BQ52" s="2824">
        <f t="shared" si="28"/>
        <v>4.9195138064536001</v>
      </c>
    </row>
    <row r="53" spans="1:69" ht="13.5" customHeight="1">
      <c r="A53" s="2822"/>
      <c r="B53" s="714">
        <v>2035</v>
      </c>
      <c r="C53" s="2672"/>
      <c r="D53" s="2307">
        <v>27.027453319026417</v>
      </c>
      <c r="E53" s="2243">
        <v>77.886742397018054</v>
      </c>
      <c r="F53" s="2243">
        <v>61.618177589024953</v>
      </c>
      <c r="G53" s="2243">
        <v>69.20501034943365</v>
      </c>
      <c r="H53" s="2243">
        <v>89.345981361989956</v>
      </c>
      <c r="I53" s="2243">
        <v>40.595419513474475</v>
      </c>
      <c r="J53" s="2530">
        <v>52.885545876786296</v>
      </c>
      <c r="K53" s="2816">
        <f t="shared" si="37"/>
        <v>27.416169172811337</v>
      </c>
      <c r="L53" s="2817">
        <f t="shared" si="37"/>
        <v>5.4381801006675543</v>
      </c>
      <c r="M53" s="2817">
        <f t="shared" si="37"/>
        <v>-5.3255580420449276E-2</v>
      </c>
      <c r="N53" s="2818">
        <f t="shared" si="37"/>
        <v>3.7454030378564478E-4</v>
      </c>
      <c r="O53" s="2819">
        <f t="shared" si="38"/>
        <v>32.899403007373607</v>
      </c>
      <c r="P53" s="2820">
        <f t="shared" si="38"/>
        <v>6.4534605952821673</v>
      </c>
      <c r="Q53" s="2820">
        <f t="shared" si="38"/>
        <v>-6.3906696504539132E-2</v>
      </c>
      <c r="R53" s="2821">
        <f t="shared" si="38"/>
        <v>4.494483645427737E-4</v>
      </c>
      <c r="S53" s="2819">
        <f t="shared" si="39"/>
        <v>4.0425633889616162</v>
      </c>
      <c r="T53" s="2828">
        <f t="shared" si="39"/>
        <v>135.94599999999997</v>
      </c>
      <c r="U53" s="2822">
        <f t="shared" si="20"/>
        <v>14.359281111560334</v>
      </c>
      <c r="V53" s="2823">
        <f t="shared" si="20"/>
        <v>9.7023626800782079</v>
      </c>
      <c r="W53" s="2823">
        <f t="shared" si="20"/>
        <v>10.272487152673309</v>
      </c>
      <c r="X53" s="2823">
        <f t="shared" si="20"/>
        <v>9.9495429782971172</v>
      </c>
      <c r="Y53" s="2823">
        <f t="shared" si="20"/>
        <v>9.5408380453432322</v>
      </c>
      <c r="Z53" s="2823">
        <f t="shared" si="20"/>
        <v>11.960201571666099</v>
      </c>
      <c r="AA53" s="2824">
        <f t="shared" si="20"/>
        <v>10.800813451729818</v>
      </c>
      <c r="AB53" s="2822">
        <f t="shared" si="21"/>
        <v>6.2717985447806059</v>
      </c>
      <c r="AC53" s="2823">
        <f t="shared" si="21"/>
        <v>4.6248854172636182</v>
      </c>
      <c r="AD53" s="2823">
        <f t="shared" si="21"/>
        <v>4.7560355474939531</v>
      </c>
      <c r="AE53" s="2823">
        <f t="shared" si="21"/>
        <v>4.6587455708240135</v>
      </c>
      <c r="AF53" s="2823">
        <f t="shared" si="21"/>
        <v>4.699692276375794</v>
      </c>
      <c r="AG53" s="2823">
        <f t="shared" si="21"/>
        <v>5.4102485457476988</v>
      </c>
      <c r="AH53" s="2824">
        <f t="shared" si="21"/>
        <v>4.9528604968090439</v>
      </c>
      <c r="AI53" s="2825">
        <f>'A1.3.4'!$J$27/100</f>
        <v>0.1205924519584583</v>
      </c>
      <c r="AJ53" s="2822">
        <f t="shared" si="22"/>
        <v>7.2470878976798598</v>
      </c>
      <c r="AK53" s="2823">
        <f t="shared" si="22"/>
        <v>5.2371908501497515</v>
      </c>
      <c r="AL53" s="2823">
        <f t="shared" si="22"/>
        <v>5.4212779726727049</v>
      </c>
      <c r="AM53" s="2823">
        <f t="shared" si="22"/>
        <v>5.2967758030066499</v>
      </c>
      <c r="AN53" s="2823">
        <f t="shared" si="22"/>
        <v>5.2834979149438936</v>
      </c>
      <c r="AO53" s="2823">
        <f t="shared" si="22"/>
        <v>6.2001234413559221</v>
      </c>
      <c r="AP53" s="2824">
        <f t="shared" si="22"/>
        <v>5.6580794825806526</v>
      </c>
      <c r="AQ53" s="2829" t="str">
        <f t="shared" si="23"/>
        <v>2035/36</v>
      </c>
      <c r="AR53" s="2830">
        <f>AR52</f>
        <v>2.2999999999999998</v>
      </c>
      <c r="AS53" s="2826">
        <f>'Cost and rev series'!E52</f>
        <v>2</v>
      </c>
      <c r="AT53" s="2826">
        <f>AT52</f>
        <v>-0.29999999999999982</v>
      </c>
      <c r="AU53" s="2827">
        <f t="shared" si="33"/>
        <v>0.99829778246442313</v>
      </c>
      <c r="AV53" s="3180">
        <f t="shared" si="5"/>
        <v>66.044461817634371</v>
      </c>
      <c r="AW53" s="2823">
        <f t="shared" si="6"/>
        <v>64.254484729618511</v>
      </c>
      <c r="AX53" s="2823">
        <f t="shared" si="7"/>
        <v>64.392526777398658</v>
      </c>
      <c r="AY53" s="2823">
        <f t="shared" si="8"/>
        <v>64.517401560616946</v>
      </c>
      <c r="AZ53" s="2823">
        <f t="shared" si="9"/>
        <v>64.327191424313071</v>
      </c>
      <c r="BA53" s="2823">
        <f t="shared" si="10"/>
        <v>64.013407219466899</v>
      </c>
      <c r="BB53" s="2823">
        <f t="shared" si="11"/>
        <v>63.739081270911448</v>
      </c>
      <c r="BC53" s="2823">
        <f t="shared" si="12"/>
        <v>63.855642991376236</v>
      </c>
      <c r="BD53" s="2824">
        <f t="shared" si="13"/>
        <v>64.496123781817985</v>
      </c>
      <c r="BE53" s="2823"/>
      <c r="BF53" s="2825">
        <f t="shared" si="25"/>
        <v>2035</v>
      </c>
      <c r="BG53" s="2819">
        <f t="shared" si="31"/>
        <v>27.596327357231146</v>
      </c>
      <c r="BH53" s="2820">
        <f t="shared" si="32"/>
        <v>5.4598740227401876</v>
      </c>
      <c r="BI53" s="2820">
        <f t="shared" si="32"/>
        <v>-5.3583590694441505E-2</v>
      </c>
      <c r="BJ53" s="2828">
        <f t="shared" si="32"/>
        <v>3.7689269397269656E-4</v>
      </c>
      <c r="BK53" s="2819">
        <f t="shared" si="32"/>
        <v>33.115592828677379</v>
      </c>
      <c r="BL53" s="2820">
        <f t="shared" si="32"/>
        <v>6.4809055607889379</v>
      </c>
      <c r="BM53" s="2820">
        <f t="shared" si="32"/>
        <v>-6.4300308833329808E-2</v>
      </c>
      <c r="BN53" s="2828">
        <f t="shared" si="32"/>
        <v>4.5227123276723585E-4</v>
      </c>
      <c r="BO53" s="2822">
        <f t="shared" si="26"/>
        <v>4.2020128611664216</v>
      </c>
      <c r="BP53" s="2823">
        <f t="shared" si="27"/>
        <v>4.9714721669004183</v>
      </c>
      <c r="BQ53" s="2824">
        <f t="shared" si="28"/>
        <v>4.8786811825397027</v>
      </c>
    </row>
    <row r="54" spans="1:69" ht="13.5" customHeight="1">
      <c r="A54" s="2822"/>
      <c r="B54" s="2547">
        <v>2036</v>
      </c>
      <c r="C54" s="64"/>
      <c r="D54" s="2531">
        <f t="shared" ref="D54:J57" si="40">D53*(D$58/D$53)^(1/5)</f>
        <v>26.924688680634816</v>
      </c>
      <c r="E54" s="2258">
        <f t="shared" si="40"/>
        <v>77.698393388843527</v>
      </c>
      <c r="F54" s="2258">
        <f t="shared" si="40"/>
        <v>61.529888945337504</v>
      </c>
      <c r="G54" s="2258">
        <f t="shared" si="40"/>
        <v>69.034306405247577</v>
      </c>
      <c r="H54" s="2258">
        <f t="shared" si="40"/>
        <v>89.094560277708396</v>
      </c>
      <c r="I54" s="2258">
        <f t="shared" si="40"/>
        <v>40.516980195391007</v>
      </c>
      <c r="J54" s="2532">
        <f t="shared" si="40"/>
        <v>52.795328195015337</v>
      </c>
      <c r="K54" s="2816">
        <f t="shared" si="37"/>
        <v>27.545229941449129</v>
      </c>
      <c r="L54" s="2817">
        <f t="shared" si="37"/>
        <v>5.4579299156479424</v>
      </c>
      <c r="M54" s="2817">
        <f t="shared" si="37"/>
        <v>-5.3502601159192462E-2</v>
      </c>
      <c r="N54" s="2818">
        <f t="shared" si="37"/>
        <v>3.7628520372026718E-4</v>
      </c>
      <c r="O54" s="2819">
        <f t="shared" si="38"/>
        <v>33.054275929738957</v>
      </c>
      <c r="P54" s="2820">
        <f t="shared" si="38"/>
        <v>6.4776606716711127</v>
      </c>
      <c r="Q54" s="2820">
        <f t="shared" si="38"/>
        <v>-6.4203121391030959E-2</v>
      </c>
      <c r="R54" s="2821">
        <f t="shared" si="38"/>
        <v>4.5154224446432062E-4</v>
      </c>
      <c r="S54" s="2819">
        <f t="shared" si="39"/>
        <v>4.0425633889616162</v>
      </c>
      <c r="T54" s="2828">
        <f t="shared" si="39"/>
        <v>135.94599999999997</v>
      </c>
      <c r="U54" s="2822">
        <f t="shared" si="20"/>
        <v>14.404904077410766</v>
      </c>
      <c r="V54" s="2823">
        <f t="shared" si="20"/>
        <v>9.7192538466046869</v>
      </c>
      <c r="W54" s="2823">
        <f t="shared" si="20"/>
        <v>10.290175230642374</v>
      </c>
      <c r="X54" s="2823">
        <f t="shared" si="20"/>
        <v>9.9685147109297478</v>
      </c>
      <c r="Y54" s="2823">
        <f t="shared" si="20"/>
        <v>9.5556250123149393</v>
      </c>
      <c r="Z54" s="2823">
        <f t="shared" si="20"/>
        <v>11.985577635875895</v>
      </c>
      <c r="AA54" s="2824">
        <f t="shared" si="20"/>
        <v>10.821342039136546</v>
      </c>
      <c r="AB54" s="2822">
        <f t="shared" si="21"/>
        <v>6.3040088908869674</v>
      </c>
      <c r="AC54" s="2823">
        <f t="shared" si="21"/>
        <v>4.640577784953118</v>
      </c>
      <c r="AD54" s="2823">
        <f t="shared" si="21"/>
        <v>4.7739626422467278</v>
      </c>
      <c r="AE54" s="2823">
        <f t="shared" si="21"/>
        <v>4.6761830198466985</v>
      </c>
      <c r="AF54" s="2823">
        <f t="shared" si="21"/>
        <v>4.7127843739102282</v>
      </c>
      <c r="AG54" s="2823">
        <f t="shared" si="21"/>
        <v>5.4334203399531198</v>
      </c>
      <c r="AH54" s="2824">
        <f t="shared" si="21"/>
        <v>4.9727239321147909</v>
      </c>
      <c r="AI54" s="2825">
        <f>'A1.3.4'!$J$27/100</f>
        <v>0.1205924519584583</v>
      </c>
      <c r="AJ54" s="2822">
        <f t="shared" si="22"/>
        <v>7.2809157044883452</v>
      </c>
      <c r="AK54" s="2823">
        <f t="shared" si="22"/>
        <v>5.253027783930408</v>
      </c>
      <c r="AL54" s="2823">
        <f t="shared" si="22"/>
        <v>5.4391762438054734</v>
      </c>
      <c r="AM54" s="2823">
        <f t="shared" si="22"/>
        <v>5.3143982750518584</v>
      </c>
      <c r="AN54" s="2823">
        <f t="shared" si="22"/>
        <v>5.2967944009395183</v>
      </c>
      <c r="AO54" s="2823">
        <f t="shared" si="22"/>
        <v>6.2235610538859492</v>
      </c>
      <c r="AP54" s="2824">
        <f t="shared" si="22"/>
        <v>5.6780231302091817</v>
      </c>
      <c r="AQ54" s="2829" t="str">
        <f t="shared" si="23"/>
        <v>2036/37</v>
      </c>
      <c r="AR54" s="2830">
        <f t="shared" ref="AR54:AT69" si="41">AR53</f>
        <v>2.2999999999999998</v>
      </c>
      <c r="AS54" s="2826">
        <f>'Cost and rev series'!E53</f>
        <v>2</v>
      </c>
      <c r="AT54" s="2826">
        <f t="shared" si="41"/>
        <v>-0.29999999999999982</v>
      </c>
      <c r="AU54" s="2827">
        <f t="shared" si="33"/>
        <v>0.9953702229850554</v>
      </c>
      <c r="AV54" s="3180">
        <f t="shared" si="5"/>
        <v>66.501183653446091</v>
      </c>
      <c r="AW54" s="2823">
        <f t="shared" si="6"/>
        <v>64.593915727262583</v>
      </c>
      <c r="AX54" s="2823">
        <f t="shared" si="7"/>
        <v>64.750630201151566</v>
      </c>
      <c r="AY54" s="2823">
        <f t="shared" si="8"/>
        <v>64.877929055565048</v>
      </c>
      <c r="AZ54" s="2823">
        <f t="shared" si="9"/>
        <v>64.715241708707197</v>
      </c>
      <c r="BA54" s="2823">
        <f t="shared" si="10"/>
        <v>64.361548499978767</v>
      </c>
      <c r="BB54" s="2823">
        <f t="shared" si="11"/>
        <v>64.052332091110756</v>
      </c>
      <c r="BC54" s="2823">
        <f t="shared" si="12"/>
        <v>64.183718847643974</v>
      </c>
      <c r="BD54" s="2824">
        <f t="shared" si="13"/>
        <v>64.869079746346912</v>
      </c>
      <c r="BE54" s="2823"/>
      <c r="BF54" s="2825">
        <f t="shared" si="25"/>
        <v>2036</v>
      </c>
      <c r="BG54" s="2819">
        <f t="shared" si="31"/>
        <v>27.51996077488317</v>
      </c>
      <c r="BH54" s="2820">
        <f t="shared" si="32"/>
        <v>5.4534843294117783</v>
      </c>
      <c r="BI54" s="2820">
        <f t="shared" si="32"/>
        <v>-5.345390323634111E-2</v>
      </c>
      <c r="BJ54" s="2828">
        <f t="shared" si="32"/>
        <v>3.7594191365717994E-4</v>
      </c>
      <c r="BK54" s="2819">
        <f t="shared" si="32"/>
        <v>33.023952929859803</v>
      </c>
      <c r="BL54" s="2820">
        <f t="shared" si="32"/>
        <v>6.4723115042031676</v>
      </c>
      <c r="BM54" s="2820">
        <f t="shared" si="32"/>
        <v>-6.4144683883609332E-2</v>
      </c>
      <c r="BN54" s="2828">
        <f t="shared" si="32"/>
        <v>4.5113029638861585E-4</v>
      </c>
      <c r="BO54" s="2822">
        <f t="shared" si="26"/>
        <v>4.2005059091340966</v>
      </c>
      <c r="BP54" s="2823">
        <f t="shared" si="27"/>
        <v>4.9687373998699504</v>
      </c>
      <c r="BQ54" s="2824">
        <f t="shared" si="28"/>
        <v>4.8760944807304121</v>
      </c>
    </row>
    <row r="55" spans="1:69" ht="13.5" customHeight="1">
      <c r="A55" s="2822"/>
      <c r="B55" s="2547">
        <v>2037</v>
      </c>
      <c r="C55" s="64"/>
      <c r="D55" s="2531">
        <f t="shared" si="40"/>
        <v>26.822314777203665</v>
      </c>
      <c r="E55" s="2258">
        <f t="shared" si="40"/>
        <v>77.510499854191053</v>
      </c>
      <c r="F55" s="2258">
        <f t="shared" si="40"/>
        <v>61.441726804654671</v>
      </c>
      <c r="G55" s="2258">
        <f t="shared" si="40"/>
        <v>68.864023526478775</v>
      </c>
      <c r="H55" s="2258">
        <f t="shared" si="40"/>
        <v>88.843846696558572</v>
      </c>
      <c r="I55" s="2258">
        <f t="shared" si="40"/>
        <v>40.438692439397428</v>
      </c>
      <c r="J55" s="2532">
        <f t="shared" si="40"/>
        <v>52.705264415978462</v>
      </c>
      <c r="K55" s="2816">
        <f t="shared" si="37"/>
        <v>27.573214043823086</v>
      </c>
      <c r="L55" s="2817">
        <f>IF(ISERROR(VLOOKUP($B55,Av_car_cost_work,1,0)),"",VLOOKUP($B55,Av_car_cost_work,L$22,0))</f>
        <v>5.459897385683675</v>
      </c>
      <c r="M55" s="2817">
        <f t="shared" si="37"/>
        <v>-5.3554830206530249E-2</v>
      </c>
      <c r="N55" s="2818">
        <f t="shared" si="37"/>
        <v>3.7665694340254045E-4</v>
      </c>
      <c r="O55" s="2819">
        <f t="shared" si="38"/>
        <v>33.087856852587706</v>
      </c>
      <c r="P55" s="2820">
        <f t="shared" si="38"/>
        <v>6.4804640781882785</v>
      </c>
      <c r="Q55" s="2820">
        <f t="shared" si="38"/>
        <v>-6.4265796247836293E-2</v>
      </c>
      <c r="R55" s="2821">
        <f t="shared" si="38"/>
        <v>4.5198833208304852E-4</v>
      </c>
      <c r="S55" s="2819">
        <f t="shared" si="39"/>
        <v>4.0425633889616162</v>
      </c>
      <c r="T55" s="2828">
        <f t="shared" si="39"/>
        <v>135.94599999999997</v>
      </c>
      <c r="U55" s="2822">
        <f t="shared" si="20"/>
        <v>14.433364149531673</v>
      </c>
      <c r="V55" s="2823">
        <f t="shared" si="20"/>
        <v>9.7239474485713053</v>
      </c>
      <c r="W55" s="2823">
        <f t="shared" si="20"/>
        <v>10.295242545604985</v>
      </c>
      <c r="X55" s="2823">
        <f t="shared" si="20"/>
        <v>9.9751855760793013</v>
      </c>
      <c r="Y55" s="2823">
        <f t="shared" si="20"/>
        <v>9.5580069915267902</v>
      </c>
      <c r="Z55" s="2823">
        <f t="shared" si="20"/>
        <v>11.996348564150612</v>
      </c>
      <c r="AA55" s="2824">
        <f t="shared" si="20"/>
        <v>10.828655318690799</v>
      </c>
      <c r="AB55" s="2822">
        <f t="shared" si="21"/>
        <v>6.3154779803013481</v>
      </c>
      <c r="AC55" s="2823">
        <f t="shared" si="21"/>
        <v>4.6415629112538506</v>
      </c>
      <c r="AD55" s="2823">
        <f t="shared" si="21"/>
        <v>4.7766815144526111</v>
      </c>
      <c r="AE55" s="2823">
        <f t="shared" si="21"/>
        <v>4.6787871585222103</v>
      </c>
      <c r="AF55" s="2823">
        <f t="shared" si="21"/>
        <v>4.710918089884542</v>
      </c>
      <c r="AG55" s="2823">
        <f t="shared" si="21"/>
        <v>5.438993053740429</v>
      </c>
      <c r="AH55" s="2824">
        <f t="shared" si="21"/>
        <v>4.9766621345851707</v>
      </c>
      <c r="AI55" s="2825">
        <f>'A1.3.4'!$J$27/100</f>
        <v>0.1205924519584583</v>
      </c>
      <c r="AJ55" s="2822">
        <f t="shared" si="22"/>
        <v>7.2944337781684894</v>
      </c>
      <c r="AK55" s="2823">
        <f t="shared" si="22"/>
        <v>5.2544601244047175</v>
      </c>
      <c r="AL55" s="2823">
        <f t="shared" si="22"/>
        <v>5.4421783204816734</v>
      </c>
      <c r="AM55" s="2823">
        <f t="shared" si="22"/>
        <v>5.3174928302443192</v>
      </c>
      <c r="AN55" s="2823">
        <f t="shared" si="22"/>
        <v>5.2954404253942116</v>
      </c>
      <c r="AO55" s="2823">
        <f t="shared" si="22"/>
        <v>6.2297606331041013</v>
      </c>
      <c r="AP55" s="2824">
        <f t="shared" si="22"/>
        <v>5.6823683415006538</v>
      </c>
      <c r="AQ55" s="2829" t="str">
        <f t="shared" si="23"/>
        <v>2037/38</v>
      </c>
      <c r="AR55" s="2830">
        <f t="shared" si="41"/>
        <v>2.2999999999999998</v>
      </c>
      <c r="AS55" s="2826">
        <f>'Cost and rev series'!E54</f>
        <v>2</v>
      </c>
      <c r="AT55" s="2826">
        <f t="shared" si="41"/>
        <v>-0.29999999999999982</v>
      </c>
      <c r="AU55" s="2827">
        <f t="shared" si="33"/>
        <v>0.99245124872410229</v>
      </c>
      <c r="AV55" s="3180">
        <f t="shared" si="5"/>
        <v>66.877600847231818</v>
      </c>
      <c r="AW55" s="2823">
        <f t="shared" si="6"/>
        <v>64.858824874764295</v>
      </c>
      <c r="AX55" s="2823">
        <f t="shared" si="7"/>
        <v>65.033840987681202</v>
      </c>
      <c r="AY55" s="2823">
        <f t="shared" si="8"/>
        <v>65.163931506014706</v>
      </c>
      <c r="AZ55" s="2823">
        <f t="shared" si="9"/>
        <v>65.026491363019531</v>
      </c>
      <c r="BA55" s="2823">
        <f t="shared" si="10"/>
        <v>64.633832331779985</v>
      </c>
      <c r="BB55" s="2823">
        <f t="shared" si="11"/>
        <v>64.290550039236123</v>
      </c>
      <c r="BC55" s="2823">
        <f t="shared" si="12"/>
        <v>64.436411467346417</v>
      </c>
      <c r="BD55" s="2824">
        <f t="shared" si="13"/>
        <v>65.166468956120127</v>
      </c>
      <c r="BE55" s="2823"/>
      <c r="BF55" s="2825">
        <f t="shared" si="25"/>
        <v>2037</v>
      </c>
      <c r="BG55" s="2819">
        <f t="shared" si="31"/>
        <v>27.599341530115801</v>
      </c>
      <c r="BH55" s="2820">
        <f t="shared" si="32"/>
        <v>5.4654141615367378</v>
      </c>
      <c r="BI55" s="2820">
        <f t="shared" si="32"/>
        <v>-5.3606433727945595E-2</v>
      </c>
      <c r="BJ55" s="2828">
        <f t="shared" si="32"/>
        <v>3.7701809887863294E-4</v>
      </c>
      <c r="BK55" s="2819">
        <f t="shared" si="32"/>
        <v>33.119209836138971</v>
      </c>
      <c r="BL55" s="2820">
        <f t="shared" si="32"/>
        <v>6.4869735985933819</v>
      </c>
      <c r="BM55" s="2820">
        <f t="shared" si="32"/>
        <v>-6.4327720473534716E-2</v>
      </c>
      <c r="BN55" s="2828">
        <f t="shared" si="32"/>
        <v>4.5242171865435954E-4</v>
      </c>
      <c r="BO55" s="2822">
        <f t="shared" si="26"/>
        <v>4.2110250600643875</v>
      </c>
      <c r="BP55" s="2823">
        <f t="shared" si="27"/>
        <v>4.9817066768265619</v>
      </c>
      <c r="BQ55" s="2824">
        <f t="shared" si="28"/>
        <v>4.8887682909819032</v>
      </c>
    </row>
    <row r="56" spans="1:69" ht="13.5" customHeight="1">
      <c r="A56" s="2822"/>
      <c r="B56" s="2547">
        <v>2038</v>
      </c>
      <c r="C56" s="64"/>
      <c r="D56" s="2531">
        <f t="shared" si="40"/>
        <v>26.720330123068138</v>
      </c>
      <c r="E56" s="2258">
        <f t="shared" si="40"/>
        <v>77.323060691615325</v>
      </c>
      <c r="F56" s="2258">
        <f t="shared" si="40"/>
        <v>61.3536909857186</v>
      </c>
      <c r="G56" s="2258">
        <f t="shared" si="40"/>
        <v>68.69416067450986</v>
      </c>
      <c r="H56" s="2258">
        <f t="shared" si="40"/>
        <v>88.593838627614844</v>
      </c>
      <c r="I56" s="2258">
        <f t="shared" si="40"/>
        <v>40.360555952642301</v>
      </c>
      <c r="J56" s="2532">
        <f t="shared" si="40"/>
        <v>52.61535427713234</v>
      </c>
      <c r="K56" s="2816">
        <f t="shared" si="37"/>
        <v>27.705708091367917</v>
      </c>
      <c r="L56" s="2817">
        <f t="shared" si="37"/>
        <v>5.4839319591316587</v>
      </c>
      <c r="M56" s="2817">
        <f t="shared" si="37"/>
        <v>-5.3813473339529433E-2</v>
      </c>
      <c r="N56" s="2818">
        <f t="shared" si="37"/>
        <v>3.784733049891838E-4</v>
      </c>
      <c r="O56" s="2819">
        <f t="shared" si="38"/>
        <v>33.246849709641502</v>
      </c>
      <c r="P56" s="2820">
        <f t="shared" si="38"/>
        <v>6.5093055663258585</v>
      </c>
      <c r="Q56" s="2820">
        <f t="shared" si="38"/>
        <v>-6.4576168007435319E-2</v>
      </c>
      <c r="R56" s="2821">
        <f t="shared" si="38"/>
        <v>4.5416796598702047E-4</v>
      </c>
      <c r="S56" s="2819">
        <f t="shared" si="39"/>
        <v>4.0425633889616162</v>
      </c>
      <c r="T56" s="2828">
        <f t="shared" si="39"/>
        <v>135.94599999999997</v>
      </c>
      <c r="U56" s="2822">
        <f t="shared" si="20"/>
        <v>14.483416452700165</v>
      </c>
      <c r="V56" s="2823">
        <f t="shared" si="20"/>
        <v>9.744777188697892</v>
      </c>
      <c r="W56" s="2823">
        <f t="shared" si="20"/>
        <v>10.31686691380499</v>
      </c>
      <c r="X56" s="2823">
        <f t="shared" si="20"/>
        <v>9.9981204161803099</v>
      </c>
      <c r="Y56" s="2823">
        <f t="shared" si="20"/>
        <v>9.57675347864771</v>
      </c>
      <c r="Z56" s="2823">
        <f t="shared" si="20"/>
        <v>12.025820653615689</v>
      </c>
      <c r="AA56" s="2824">
        <f t="shared" si="20"/>
        <v>10.853177885251945</v>
      </c>
      <c r="AB56" s="2822">
        <f t="shared" si="21"/>
        <v>6.3523270406204722</v>
      </c>
      <c r="AC56" s="2823">
        <f t="shared" si="21"/>
        <v>4.6614566230576875</v>
      </c>
      <c r="AD56" s="2823">
        <f t="shared" si="21"/>
        <v>4.7988209492465401</v>
      </c>
      <c r="AE56" s="2823">
        <f t="shared" si="21"/>
        <v>4.7004511755952194</v>
      </c>
      <c r="AF56" s="2823">
        <f t="shared" si="21"/>
        <v>4.7282321915332037</v>
      </c>
      <c r="AG56" s="2823">
        <f t="shared" si="21"/>
        <v>5.4665496279658461</v>
      </c>
      <c r="AH56" s="2824">
        <f t="shared" si="21"/>
        <v>5.0008000161231845</v>
      </c>
      <c r="AI56" s="2825">
        <f>'A1.3.4'!$J$27/100</f>
        <v>0.1205924519584583</v>
      </c>
      <c r="AJ56" s="2822">
        <f t="shared" si="22"/>
        <v>7.3328750499166215</v>
      </c>
      <c r="AK56" s="2823">
        <f t="shared" si="22"/>
        <v>5.2744667141590966</v>
      </c>
      <c r="AL56" s="2823">
        <f t="shared" si="22"/>
        <v>5.4642556421321196</v>
      </c>
      <c r="AM56" s="2823">
        <f t="shared" si="22"/>
        <v>5.3393100989822795</v>
      </c>
      <c r="AN56" s="2823">
        <f t="shared" si="22"/>
        <v>5.312927261919123</v>
      </c>
      <c r="AO56" s="2823">
        <f t="shared" si="22"/>
        <v>6.2575482040090327</v>
      </c>
      <c r="AP56" s="2824">
        <f t="shared" si="22"/>
        <v>5.7065526131488395</v>
      </c>
      <c r="AQ56" s="2829" t="str">
        <f t="shared" si="23"/>
        <v>2038/39</v>
      </c>
      <c r="AR56" s="2830">
        <f t="shared" si="41"/>
        <v>2.2999999999999998</v>
      </c>
      <c r="AS56" s="2826">
        <f>'Cost and rev series'!E55</f>
        <v>2</v>
      </c>
      <c r="AT56" s="2826">
        <f t="shared" si="41"/>
        <v>-0.29999999999999982</v>
      </c>
      <c r="AU56" s="2827">
        <f t="shared" si="33"/>
        <v>0.9895408345049701</v>
      </c>
      <c r="AV56" s="3180">
        <f t="shared" si="5"/>
        <v>67.421959896271446</v>
      </c>
      <c r="AW56" s="2823">
        <f t="shared" si="6"/>
        <v>65.291804413725345</v>
      </c>
      <c r="AX56" s="2823">
        <f t="shared" si="7"/>
        <v>65.484169623986048</v>
      </c>
      <c r="AY56" s="2823">
        <f t="shared" si="8"/>
        <v>65.618244466723851</v>
      </c>
      <c r="AZ56" s="2823">
        <f t="shared" si="9"/>
        <v>65.503033090085083</v>
      </c>
      <c r="BA56" s="2823">
        <f t="shared" si="10"/>
        <v>65.07234004111173</v>
      </c>
      <c r="BB56" s="2823">
        <f t="shared" si="11"/>
        <v>64.69580649553771</v>
      </c>
      <c r="BC56" s="2823">
        <f t="shared" si="12"/>
        <v>64.855796456807965</v>
      </c>
      <c r="BD56" s="2824">
        <f t="shared" si="13"/>
        <v>65.630723995732623</v>
      </c>
      <c r="BE56" s="2823"/>
      <c r="BF56" s="2825">
        <f t="shared" si="25"/>
        <v>2038</v>
      </c>
      <c r="BG56" s="2819">
        <f t="shared" si="31"/>
        <v>27.702778490701661</v>
      </c>
      <c r="BH56" s="2820">
        <f t="shared" si="32"/>
        <v>5.4834005261828498</v>
      </c>
      <c r="BI56" s="2820">
        <f t="shared" si="32"/>
        <v>-5.3807754432840429E-2</v>
      </c>
      <c r="BJ56" s="2828">
        <f t="shared" si="32"/>
        <v>3.7843314307841876E-4</v>
      </c>
      <c r="BK56" s="2819">
        <f t="shared" si="32"/>
        <v>33.243334188841992</v>
      </c>
      <c r="BL56" s="2820">
        <f t="shared" si="32"/>
        <v>6.5086678467872874</v>
      </c>
      <c r="BM56" s="2820">
        <f t="shared" si="32"/>
        <v>-6.4569305319408521E-2</v>
      </c>
      <c r="BN56" s="2828">
        <f t="shared" si="32"/>
        <v>4.541197716941024E-4</v>
      </c>
      <c r="BO56" s="2822">
        <f t="shared" si="26"/>
        <v>4.2264466071551858</v>
      </c>
      <c r="BP56" s="2823">
        <f t="shared" si="27"/>
        <v>5.0003231439540903</v>
      </c>
      <c r="BQ56" s="2824">
        <f t="shared" si="28"/>
        <v>4.9069994748683907</v>
      </c>
    </row>
    <row r="57" spans="1:69" ht="13.5" customHeight="1">
      <c r="A57" s="2822"/>
      <c r="B57" s="2547">
        <v>2039</v>
      </c>
      <c r="C57" s="64"/>
      <c r="D57" s="2531">
        <f t="shared" si="40"/>
        <v>26.618733238212236</v>
      </c>
      <c r="E57" s="2258">
        <f t="shared" si="40"/>
        <v>77.136074802334619</v>
      </c>
      <c r="F57" s="2258">
        <f t="shared" si="40"/>
        <v>61.265781307531157</v>
      </c>
      <c r="G57" s="2258">
        <f t="shared" si="40"/>
        <v>68.524716813285337</v>
      </c>
      <c r="H57" s="2258">
        <f t="shared" si="40"/>
        <v>88.344534085554073</v>
      </c>
      <c r="I57" s="2258">
        <f t="shared" si="40"/>
        <v>40.28257044284004</v>
      </c>
      <c r="J57" s="2532">
        <f t="shared" si="40"/>
        <v>52.525597516381495</v>
      </c>
      <c r="K57" s="2816">
        <f t="shared" si="37"/>
        <v>27.826483736247717</v>
      </c>
      <c r="L57" s="2817">
        <f t="shared" si="37"/>
        <v>5.5058408007844033</v>
      </c>
      <c r="M57" s="2817">
        <f t="shared" si="37"/>
        <v>-5.4049240845772603E-2</v>
      </c>
      <c r="N57" s="2818">
        <f t="shared" si="37"/>
        <v>3.801290189327668E-4</v>
      </c>
      <c r="O57" s="2819">
        <f t="shared" si="38"/>
        <v>33.391780483497257</v>
      </c>
      <c r="P57" s="2820">
        <f t="shared" si="38"/>
        <v>6.5355961763091521</v>
      </c>
      <c r="Q57" s="2820">
        <f t="shared" si="38"/>
        <v>-6.4859089014927124E-2</v>
      </c>
      <c r="R57" s="2821">
        <f t="shared" si="38"/>
        <v>4.5615482271932014E-4</v>
      </c>
      <c r="S57" s="2819">
        <f t="shared" si="39"/>
        <v>4.0425633889616162</v>
      </c>
      <c r="T57" s="2828">
        <f t="shared" si="39"/>
        <v>135.94599999999997</v>
      </c>
      <c r="U57" s="2822">
        <f t="shared" si="20"/>
        <v>14.531552257637053</v>
      </c>
      <c r="V57" s="2823">
        <f t="shared" si="20"/>
        <v>9.7641790057100213</v>
      </c>
      <c r="W57" s="2823">
        <f t="shared" si="20"/>
        <v>10.3369956787568</v>
      </c>
      <c r="X57" s="2823">
        <f t="shared" si="20"/>
        <v>10.019619887072729</v>
      </c>
      <c r="Y57" s="2823">
        <f t="shared" si="20"/>
        <v>9.5940567530042173</v>
      </c>
      <c r="Z57" s="2823">
        <f t="shared" si="20"/>
        <v>12.053583370390303</v>
      </c>
      <c r="AA57" s="2824">
        <f t="shared" si="20"/>
        <v>10.876143717819605</v>
      </c>
      <c r="AB57" s="2822">
        <f t="shared" si="21"/>
        <v>6.3867877023030086</v>
      </c>
      <c r="AC57" s="2823">
        <f t="shared" si="21"/>
        <v>4.6796244594014631</v>
      </c>
      <c r="AD57" s="2823">
        <f t="shared" si="21"/>
        <v>4.8191601934872814</v>
      </c>
      <c r="AE57" s="2823">
        <f t="shared" si="21"/>
        <v>4.7203782648191606</v>
      </c>
      <c r="AF57" s="2823">
        <f t="shared" si="21"/>
        <v>4.7437998153744001</v>
      </c>
      <c r="AG57" s="2823">
        <f t="shared" si="21"/>
        <v>5.4920398352320081</v>
      </c>
      <c r="AH57" s="2824">
        <f t="shared" si="21"/>
        <v>5.0230607785842212</v>
      </c>
      <c r="AI57" s="2825">
        <f>'A1.3.4'!$J$27/100</f>
        <v>0.1205924519584583</v>
      </c>
      <c r="AJ57" s="2822">
        <f t="shared" si="22"/>
        <v>7.3689848306550836</v>
      </c>
      <c r="AK57" s="2823">
        <f t="shared" si="22"/>
        <v>5.2927833592573386</v>
      </c>
      <c r="AL57" s="2823">
        <f t="shared" si="22"/>
        <v>5.4845695041593228</v>
      </c>
      <c r="AM57" s="2823">
        <f t="shared" si="22"/>
        <v>5.3594268055670362</v>
      </c>
      <c r="AN57" s="2823">
        <f t="shared" si="22"/>
        <v>5.3287041921117035</v>
      </c>
      <c r="AO57" s="2823">
        <f t="shared" si="22"/>
        <v>6.2833124587689175</v>
      </c>
      <c r="AP57" s="2824">
        <f t="shared" si="22"/>
        <v>5.7288984017428355</v>
      </c>
      <c r="AQ57" s="2829" t="str">
        <f t="shared" si="23"/>
        <v>2039/40</v>
      </c>
      <c r="AR57" s="2830">
        <f t="shared" si="41"/>
        <v>2.2999999999999998</v>
      </c>
      <c r="AS57" s="2826">
        <f>'Cost and rev series'!E56</f>
        <v>2</v>
      </c>
      <c r="AT57" s="2826">
        <f t="shared" si="41"/>
        <v>-0.29999999999999982</v>
      </c>
      <c r="AU57" s="2827">
        <f t="shared" si="33"/>
        <v>0.98663895522489697</v>
      </c>
      <c r="AV57" s="3180">
        <f t="shared" si="5"/>
        <v>67.947941399791247</v>
      </c>
      <c r="AW57" s="2823">
        <f t="shared" si="6"/>
        <v>65.706282001796382</v>
      </c>
      <c r="AX57" s="2823">
        <f t="shared" si="7"/>
        <v>65.915877905882695</v>
      </c>
      <c r="AY57" s="2823">
        <f t="shared" si="8"/>
        <v>66.05419529836233</v>
      </c>
      <c r="AZ57" s="2823">
        <f t="shared" si="9"/>
        <v>65.961062770392687</v>
      </c>
      <c r="BA57" s="2823">
        <f t="shared" si="10"/>
        <v>65.492306168304296</v>
      </c>
      <c r="BB57" s="2823">
        <f t="shared" si="11"/>
        <v>65.08249554838298</v>
      </c>
      <c r="BC57" s="2823">
        <f t="shared" si="12"/>
        <v>65.256625014349666</v>
      </c>
      <c r="BD57" s="2824">
        <f t="shared" si="13"/>
        <v>66.076428708292624</v>
      </c>
      <c r="BE57" s="2823"/>
      <c r="BF57" s="2825">
        <f t="shared" si="25"/>
        <v>2039</v>
      </c>
      <c r="BG57" s="2819">
        <f t="shared" si="31"/>
        <v>27.823813556693651</v>
      </c>
      <c r="BH57" s="2820">
        <f t="shared" si="32"/>
        <v>5.5053564271253546</v>
      </c>
      <c r="BI57" s="2820">
        <f t="shared" si="32"/>
        <v>-5.404402835797914E-2</v>
      </c>
      <c r="BJ57" s="2828">
        <f t="shared" si="32"/>
        <v>3.8009241342737757E-4</v>
      </c>
      <c r="BK57" s="2819">
        <f t="shared" si="32"/>
        <v>33.388576268032381</v>
      </c>
      <c r="BL57" s="2820">
        <f t="shared" si="32"/>
        <v>6.5350149279182936</v>
      </c>
      <c r="BM57" s="2820">
        <f t="shared" si="32"/>
        <v>-6.4852834029574966E-2</v>
      </c>
      <c r="BN57" s="2828">
        <f t="shared" si="32"/>
        <v>4.5611089611285305E-4</v>
      </c>
      <c r="BO57" s="2822">
        <f t="shared" si="26"/>
        <v>4.245032223279364</v>
      </c>
      <c r="BP57" s="2823">
        <f t="shared" si="27"/>
        <v>5.022625883303105</v>
      </c>
      <c r="BQ57" s="2824">
        <f t="shared" si="28"/>
        <v>4.9288539572134908</v>
      </c>
    </row>
    <row r="58" spans="1:69" ht="13.5" customHeight="1">
      <c r="A58" s="2822"/>
      <c r="B58" s="714">
        <v>2040</v>
      </c>
      <c r="C58" s="2672"/>
      <c r="D58" s="2307">
        <v>26.517522648247343</v>
      </c>
      <c r="E58" s="2243">
        <v>76.949541090224329</v>
      </c>
      <c r="F58" s="2243">
        <v>61.177997589353531</v>
      </c>
      <c r="G58" s="2243">
        <v>68.355690909305295</v>
      </c>
      <c r="H58" s="2243">
        <v>88.095931090639851</v>
      </c>
      <c r="I58" s="2243">
        <v>40.204735618269822</v>
      </c>
      <c r="J58" s="2530">
        <v>52.435993872077582</v>
      </c>
      <c r="K58" s="2816">
        <f t="shared" si="37"/>
        <v>27.936578662911252</v>
      </c>
      <c r="L58" s="2817">
        <f t="shared" si="37"/>
        <v>5.525812147800953</v>
      </c>
      <c r="M58" s="2817">
        <f t="shared" si="37"/>
        <v>-5.4264158400841908E-2</v>
      </c>
      <c r="N58" s="2818">
        <f t="shared" si="37"/>
        <v>3.8163831085479287E-4</v>
      </c>
      <c r="O58" s="2819">
        <f t="shared" si="38"/>
        <v>33.5238943954935</v>
      </c>
      <c r="P58" s="2820">
        <f t="shared" si="38"/>
        <v>6.5595617927290117</v>
      </c>
      <c r="Q58" s="2820">
        <f t="shared" si="38"/>
        <v>-6.5116990081010295E-2</v>
      </c>
      <c r="R58" s="2821">
        <f t="shared" si="38"/>
        <v>4.5796597302575145E-4</v>
      </c>
      <c r="S58" s="2819">
        <f t="shared" si="39"/>
        <v>4.0425633889616162</v>
      </c>
      <c r="T58" s="2828">
        <f t="shared" si="39"/>
        <v>135.94599999999997</v>
      </c>
      <c r="U58" s="2822">
        <f t="shared" si="20"/>
        <v>14.5779462666644</v>
      </c>
      <c r="V58" s="2823">
        <f t="shared" si="20"/>
        <v>9.7822831997386377</v>
      </c>
      <c r="W58" s="2823">
        <f t="shared" si="20"/>
        <v>10.355761755948873</v>
      </c>
      <c r="X58" s="2823">
        <f t="shared" si="20"/>
        <v>10.039813904345246</v>
      </c>
      <c r="Y58" s="2823">
        <f t="shared" si="20"/>
        <v>9.6100521983980514</v>
      </c>
      <c r="Z58" s="2823">
        <f t="shared" si="20"/>
        <v>12.079788364421637</v>
      </c>
      <c r="AA58" s="2824">
        <f t="shared" si="20"/>
        <v>10.897691044922876</v>
      </c>
      <c r="AB58" s="2822">
        <f t="shared" si="21"/>
        <v>6.4190692699690217</v>
      </c>
      <c r="AC58" s="2823">
        <f t="shared" si="21"/>
        <v>4.6962227504616596</v>
      </c>
      <c r="AD58" s="2823">
        <f t="shared" si="21"/>
        <v>4.8378587379169291</v>
      </c>
      <c r="AE58" s="2823">
        <f t="shared" si="21"/>
        <v>4.7387242890833008</v>
      </c>
      <c r="AF58" s="2823">
        <f t="shared" si="21"/>
        <v>4.7577833807061669</v>
      </c>
      <c r="AG58" s="2823">
        <f t="shared" si="21"/>
        <v>5.5156456262043205</v>
      </c>
      <c r="AH58" s="2824">
        <f t="shared" si="21"/>
        <v>5.0436102807583918</v>
      </c>
      <c r="AI58" s="2825">
        <f>'A1.3.4'!$J$27/100</f>
        <v>0.1205924519584583</v>
      </c>
      <c r="AJ58" s="2822">
        <f t="shared" si="22"/>
        <v>7.4029682522279803</v>
      </c>
      <c r="AK58" s="2823">
        <f t="shared" si="22"/>
        <v>5.3095632508489086</v>
      </c>
      <c r="AL58" s="2823">
        <f t="shared" si="22"/>
        <v>5.5032761925303779</v>
      </c>
      <c r="AM58" s="2823">
        <f t="shared" si="22"/>
        <v>5.3779956838392593</v>
      </c>
      <c r="AN58" s="2823">
        <f t="shared" si="22"/>
        <v>5.3429303749932018</v>
      </c>
      <c r="AO58" s="2823">
        <f t="shared" si="22"/>
        <v>6.3072316940112554</v>
      </c>
      <c r="AP58" s="2824">
        <f t="shared" si="22"/>
        <v>5.7495682340718322</v>
      </c>
      <c r="AQ58" s="2829" t="str">
        <f t="shared" si="23"/>
        <v>2040/41</v>
      </c>
      <c r="AR58" s="2830">
        <f t="shared" si="41"/>
        <v>2.2999999999999998</v>
      </c>
      <c r="AS58" s="2826">
        <f>'Cost and rev series'!E57</f>
        <v>2</v>
      </c>
      <c r="AT58" s="2826">
        <f t="shared" si="41"/>
        <v>-0.29999999999999982</v>
      </c>
      <c r="AU58" s="2827">
        <f t="shared" si="33"/>
        <v>0.98374558585473615</v>
      </c>
      <c r="AV58" s="3180">
        <f t="shared" si="5"/>
        <v>68.456584572606928</v>
      </c>
      <c r="AW58" s="2823">
        <f t="shared" si="6"/>
        <v>66.108745939038116</v>
      </c>
      <c r="AX58" s="2823">
        <f t="shared" si="7"/>
        <v>66.335780800919963</v>
      </c>
      <c r="AY58" s="2823">
        <f t="shared" si="8"/>
        <v>66.478401020136886</v>
      </c>
      <c r="AZ58" s="2823">
        <f t="shared" si="9"/>
        <v>66.406879654157905</v>
      </c>
      <c r="BA58" s="2823">
        <f t="shared" si="10"/>
        <v>65.900334468967202</v>
      </c>
      <c r="BB58" s="2823">
        <f t="shared" si="11"/>
        <v>65.457487167326377</v>
      </c>
      <c r="BC58" s="2823">
        <f t="shared" si="12"/>
        <v>65.645653994614349</v>
      </c>
      <c r="BD58" s="2824">
        <f t="shared" si="13"/>
        <v>66.509812628864125</v>
      </c>
      <c r="BE58" s="2823"/>
      <c r="BF58" s="2825">
        <f t="shared" si="25"/>
        <v>2040</v>
      </c>
      <c r="BG58" s="2819">
        <f t="shared" si="31"/>
        <v>27.936766997341024</v>
      </c>
      <c r="BH58" s="2820">
        <f t="shared" si="32"/>
        <v>5.5258463118843153</v>
      </c>
      <c r="BI58" s="2820">
        <f t="shared" si="32"/>
        <v>-5.426452605061842E-2</v>
      </c>
      <c r="BJ58" s="2828">
        <f t="shared" si="32"/>
        <v>3.8164089273246991E-4</v>
      </c>
      <c r="BK58" s="2819">
        <f t="shared" si="32"/>
        <v>33.524120396809231</v>
      </c>
      <c r="BL58" s="2820">
        <f t="shared" si="32"/>
        <v>6.5596027896290456</v>
      </c>
      <c r="BM58" s="2820">
        <f t="shared" si="32"/>
        <v>-6.5117431260742112E-2</v>
      </c>
      <c r="BN58" s="2828">
        <f t="shared" si="32"/>
        <v>4.5796907127896387E-4</v>
      </c>
      <c r="BO58" s="2822">
        <f t="shared" si="26"/>
        <v>4.2625447978210964</v>
      </c>
      <c r="BP58" s="2823">
        <f t="shared" si="27"/>
        <v>5.0436409727531819</v>
      </c>
      <c r="BQ58" s="2824">
        <f t="shared" si="28"/>
        <v>4.9494466698027493</v>
      </c>
    </row>
    <row r="59" spans="1:69" ht="13.5" customHeight="1">
      <c r="A59" s="2822"/>
      <c r="B59" s="2547">
        <v>2041</v>
      </c>
      <c r="C59" s="64"/>
      <c r="D59" s="2531">
        <f t="shared" ref="D59:J62" si="42">D58*(D$63/D$58)^(1/5)</f>
        <v>26.438898631464077</v>
      </c>
      <c r="E59" s="2258">
        <f t="shared" si="42"/>
        <v>76.764532433744066</v>
      </c>
      <c r="F59" s="2258">
        <f t="shared" si="42"/>
        <v>61.085364037453225</v>
      </c>
      <c r="G59" s="2258">
        <f t="shared" si="42"/>
        <v>68.184145866420735</v>
      </c>
      <c r="H59" s="2258">
        <f t="shared" si="42"/>
        <v>87.864062293308407</v>
      </c>
      <c r="I59" s="2258">
        <f t="shared" si="42"/>
        <v>40.128529912010151</v>
      </c>
      <c r="J59" s="2532">
        <f t="shared" si="42"/>
        <v>52.349274411508119</v>
      </c>
      <c r="K59" s="2816">
        <f t="shared" si="37"/>
        <v>28.047426927293891</v>
      </c>
      <c r="L59" s="2817">
        <f t="shared" si="37"/>
        <v>5.5459201511509502</v>
      </c>
      <c r="M59" s="2817">
        <f t="shared" si="37"/>
        <v>-5.4480546555017273E-2</v>
      </c>
      <c r="N59" s="2818">
        <f t="shared" si="37"/>
        <v>3.8315793028752688E-4</v>
      </c>
      <c r="O59" s="2819">
        <f t="shared" si="38"/>
        <v>33.656912312752667</v>
      </c>
      <c r="P59" s="2820">
        <f t="shared" si="38"/>
        <v>6.5836913967490069</v>
      </c>
      <c r="Q59" s="2820">
        <f t="shared" si="38"/>
        <v>-6.5376655866020733E-2</v>
      </c>
      <c r="R59" s="2821">
        <f t="shared" si="38"/>
        <v>4.5978951634503232E-4</v>
      </c>
      <c r="S59" s="2819">
        <f t="shared" si="39"/>
        <v>4.0425633889616162</v>
      </c>
      <c r="T59" s="2828">
        <f t="shared" si="39"/>
        <v>135.94599999999997</v>
      </c>
      <c r="U59" s="2822">
        <f t="shared" si="20"/>
        <v>14.618644091915137</v>
      </c>
      <c r="V59" s="2823">
        <f t="shared" si="20"/>
        <v>9.8004980632501582</v>
      </c>
      <c r="W59" s="2823">
        <f t="shared" si="20"/>
        <v>10.374903230047593</v>
      </c>
      <c r="X59" s="2823">
        <f t="shared" si="20"/>
        <v>10.060259832200328</v>
      </c>
      <c r="Y59" s="2823">
        <f t="shared" si="20"/>
        <v>9.62606128304928</v>
      </c>
      <c r="Z59" s="2823">
        <f t="shared" si="20"/>
        <v>12.105962176953646</v>
      </c>
      <c r="AA59" s="2824">
        <f t="shared" si="20"/>
        <v>10.91916840672247</v>
      </c>
      <c r="AB59" s="2822">
        <f t="shared" si="21"/>
        <v>6.4496119052204071</v>
      </c>
      <c r="AC59" s="2823">
        <f t="shared" si="21"/>
        <v>4.7129711492367612</v>
      </c>
      <c r="AD59" s="2823">
        <f t="shared" si="21"/>
        <v>4.8567847635948</v>
      </c>
      <c r="AE59" s="2823">
        <f t="shared" si="21"/>
        <v>4.7572550280257442</v>
      </c>
      <c r="AF59" s="2823">
        <f t="shared" si="21"/>
        <v>4.7721075014680512</v>
      </c>
      <c r="AG59" s="2823">
        <f t="shared" si="21"/>
        <v>5.5393486322793626</v>
      </c>
      <c r="AH59" s="2824">
        <f t="shared" si="21"/>
        <v>5.0642293562659697</v>
      </c>
      <c r="AI59" s="2825">
        <f>'A1.3.4'!$J$27/100</f>
        <v>0.1205924519584583</v>
      </c>
      <c r="AJ59" s="2822">
        <f t="shared" si="22"/>
        <v>7.4347355267414912</v>
      </c>
      <c r="AK59" s="2823">
        <f t="shared" si="22"/>
        <v>5.3264884942022857</v>
      </c>
      <c r="AL59" s="2823">
        <f t="shared" si="22"/>
        <v>5.5222281996615905</v>
      </c>
      <c r="AM59" s="2823">
        <f t="shared" si="22"/>
        <v>5.3967573801086424</v>
      </c>
      <c r="AN59" s="2823">
        <f t="shared" si="22"/>
        <v>5.3574576896819632</v>
      </c>
      <c r="AO59" s="2823">
        <f t="shared" si="22"/>
        <v>6.3312326606952576</v>
      </c>
      <c r="AP59" s="2824">
        <f t="shared" si="22"/>
        <v>5.7702908124278469</v>
      </c>
      <c r="AQ59" s="2829" t="str">
        <f t="shared" si="23"/>
        <v>2041/42</v>
      </c>
      <c r="AR59" s="2830">
        <f t="shared" si="41"/>
        <v>2.2999999999999998</v>
      </c>
      <c r="AS59" s="2826">
        <f>'Cost and rev series'!E58</f>
        <v>2</v>
      </c>
      <c r="AT59" s="2826">
        <f t="shared" si="41"/>
        <v>-0.29999999999999982</v>
      </c>
      <c r="AU59" s="2827">
        <f t="shared" si="33"/>
        <v>0.98086070143873993</v>
      </c>
      <c r="AV59" s="3180">
        <f t="shared" si="5"/>
        <v>68.952755186566819</v>
      </c>
      <c r="AW59" s="2823">
        <f t="shared" si="6"/>
        <v>66.51483518766014</v>
      </c>
      <c r="AX59" s="2823">
        <f t="shared" si="7"/>
        <v>66.76022012984761</v>
      </c>
      <c r="AY59" s="2823">
        <f t="shared" si="8"/>
        <v>66.906805780989984</v>
      </c>
      <c r="AZ59" s="2823">
        <f t="shared" si="9"/>
        <v>66.855840245199431</v>
      </c>
      <c r="BA59" s="2823">
        <f t="shared" si="10"/>
        <v>66.312304678802505</v>
      </c>
      <c r="BB59" s="2823">
        <f t="shared" si="11"/>
        <v>65.837118523723248</v>
      </c>
      <c r="BC59" s="2823">
        <f t="shared" si="12"/>
        <v>66.039026203506182</v>
      </c>
      <c r="BD59" s="2824">
        <f t="shared" si="13"/>
        <v>66.946061998538013</v>
      </c>
      <c r="BE59" s="2823"/>
      <c r="BF59" s="2825">
        <f t="shared" si="25"/>
        <v>2041</v>
      </c>
      <c r="BG59" s="2819">
        <f t="shared" si="31"/>
        <v>28.047616550424557</v>
      </c>
      <c r="BH59" s="2820">
        <f t="shared" si="32"/>
        <v>5.5459545490061428</v>
      </c>
      <c r="BI59" s="2820">
        <f t="shared" si="32"/>
        <v>-5.4480916720481415E-2</v>
      </c>
      <c r="BJ59" s="2828">
        <f t="shared" si="32"/>
        <v>3.8316052983201101E-4</v>
      </c>
      <c r="BK59" s="2819">
        <f t="shared" si="32"/>
        <v>33.657139860509467</v>
      </c>
      <c r="BL59" s="2820">
        <f t="shared" si="32"/>
        <v>6.5837326741752396</v>
      </c>
      <c r="BM59" s="2820">
        <f t="shared" si="32"/>
        <v>-6.5377100064577698E-2</v>
      </c>
      <c r="BN59" s="2828">
        <f t="shared" si="32"/>
        <v>4.5979263579841326E-4</v>
      </c>
      <c r="BO59" s="2822">
        <f t="shared" si="26"/>
        <v>4.279727550224707</v>
      </c>
      <c r="BP59" s="2823">
        <f t="shared" si="27"/>
        <v>5.0642602756375172</v>
      </c>
      <c r="BQ59" s="2824">
        <f t="shared" si="28"/>
        <v>4.9696515506383347</v>
      </c>
    </row>
    <row r="60" spans="1:69" ht="13.5" customHeight="1">
      <c r="A60" s="2822"/>
      <c r="B60" s="2547">
        <v>2042</v>
      </c>
      <c r="C60" s="64"/>
      <c r="D60" s="2531">
        <f t="shared" si="42"/>
        <v>26.3605077335923</v>
      </c>
      <c r="E60" s="2258">
        <f t="shared" si="42"/>
        <v>76.57996859087136</v>
      </c>
      <c r="F60" s="2258">
        <f t="shared" si="42"/>
        <v>60.99287074798837</v>
      </c>
      <c r="G60" s="2258">
        <f t="shared" si="42"/>
        <v>68.013031331974418</v>
      </c>
      <c r="H60" s="2258">
        <f t="shared" si="42"/>
        <v>87.632803775458768</v>
      </c>
      <c r="I60" s="2258">
        <f t="shared" si="42"/>
        <v>40.052468649174301</v>
      </c>
      <c r="J60" s="2532">
        <f t="shared" si="42"/>
        <v>52.262698368928589</v>
      </c>
      <c r="K60" s="2816">
        <f t="shared" si="37"/>
        <v>28.159033684199194</v>
      </c>
      <c r="L60" s="2817">
        <f t="shared" si="37"/>
        <v>5.5661657459217189</v>
      </c>
      <c r="M60" s="2817">
        <f t="shared" si="37"/>
        <v>-5.4698415371049178E-2</v>
      </c>
      <c r="N60" s="2818">
        <f t="shared" si="37"/>
        <v>3.8468794789819753E-4</v>
      </c>
      <c r="O60" s="2819">
        <f t="shared" si="38"/>
        <v>33.790840421039036</v>
      </c>
      <c r="P60" s="2820">
        <f t="shared" si="38"/>
        <v>6.6079861104739308</v>
      </c>
      <c r="Q60" s="2820">
        <f t="shared" si="38"/>
        <v>-6.5638098445259002E-2</v>
      </c>
      <c r="R60" s="2821">
        <f t="shared" si="38"/>
        <v>4.6162553747783704E-4</v>
      </c>
      <c r="S60" s="2819">
        <f t="shared" si="39"/>
        <v>4.0425633889616162</v>
      </c>
      <c r="T60" s="2828">
        <f t="shared" si="39"/>
        <v>135.94599999999997</v>
      </c>
      <c r="U60" s="2822">
        <f t="shared" ref="U60:AA78" si="43">$K60/D60+$L60+$M60*D60+$N60*D60^2+$S60+$T60/D60</f>
        <v>14.659574172220523</v>
      </c>
      <c r="V60" s="2823">
        <f t="shared" si="43"/>
        <v>9.8188491916103242</v>
      </c>
      <c r="W60" s="2823">
        <f t="shared" si="43"/>
        <v>10.394165947885469</v>
      </c>
      <c r="X60" s="2823">
        <f t="shared" si="43"/>
        <v>10.080849927926268</v>
      </c>
      <c r="Y60" s="2823">
        <f t="shared" si="43"/>
        <v>9.6422118017727048</v>
      </c>
      <c r="Z60" s="2823">
        <f t="shared" si="43"/>
        <v>12.132290479234083</v>
      </c>
      <c r="AA60" s="2824">
        <f t="shared" si="43"/>
        <v>10.940778103792681</v>
      </c>
      <c r="AB60" s="2822">
        <f t="shared" ref="AB60:AH78" si="44">$O60/D60+$P60+$Q60*D60+$R60*D60^2</f>
        <v>6.4803788415809489</v>
      </c>
      <c r="AC60" s="2823">
        <f t="shared" si="44"/>
        <v>4.729870751677784</v>
      </c>
      <c r="AD60" s="2823">
        <f t="shared" si="44"/>
        <v>4.8758501495820887</v>
      </c>
      <c r="AE60" s="2823">
        <f t="shared" si="44"/>
        <v>4.7759436619589977</v>
      </c>
      <c r="AF60" s="2823">
        <f t="shared" si="44"/>
        <v>4.7865884471502209</v>
      </c>
      <c r="AG60" s="2823">
        <f t="shared" si="44"/>
        <v>5.5632223928644589</v>
      </c>
      <c r="AH60" s="2824">
        <f t="shared" si="44"/>
        <v>5.0849986966128151</v>
      </c>
      <c r="AI60" s="2825">
        <f>'A1.3.4'!$J$27/100</f>
        <v>0.1205924519584583</v>
      </c>
      <c r="AJ60" s="2822">
        <f t="shared" ref="AJ60:AP78" si="45">U60*$AI60+AB60*(1-$AI60)</f>
        <v>7.4667280615499489</v>
      </c>
      <c r="AK60" s="2823">
        <f t="shared" si="45"/>
        <v>5.3435631397129795</v>
      </c>
      <c r="AL60" s="2823">
        <f t="shared" si="45"/>
        <v>5.5413173823805915</v>
      </c>
      <c r="AM60" s="2823">
        <f t="shared" si="45"/>
        <v>5.4156753159817805</v>
      </c>
      <c r="AN60" s="2823">
        <f t="shared" si="45"/>
        <v>5.3721399732709019</v>
      </c>
      <c r="AO60" s="2823">
        <f t="shared" si="45"/>
        <v>6.3554024204818296</v>
      </c>
      <c r="AP60" s="2824">
        <f t="shared" si="45"/>
        <v>5.7911614934524831</v>
      </c>
      <c r="AQ60" s="2829" t="str">
        <f t="shared" si="23"/>
        <v>2042/43</v>
      </c>
      <c r="AR60" s="2830">
        <f t="shared" si="41"/>
        <v>2.2999999999999998</v>
      </c>
      <c r="AS60" s="2826">
        <f>'Cost and rev series'!E59</f>
        <v>2</v>
      </c>
      <c r="AT60" s="2826">
        <f t="shared" si="41"/>
        <v>-0.29999999999999982</v>
      </c>
      <c r="AU60" s="2827">
        <f t="shared" si="33"/>
        <v>0.97798427709434488</v>
      </c>
      <c r="AV60" s="3180">
        <f t="shared" ref="AV60:AV77" si="46">(AJ60*0.75+AJ61*0.25)/(AJ$28*0.75+AJ$29*0.25)*100/GDP_deflator_to_CPI_conversion</f>
        <v>69.453349391990827</v>
      </c>
      <c r="AW60" s="2823">
        <f t="shared" ref="AW60:AW77" si="47">(AK60*0.75+AK61*0.25)/(AK$28*0.75+AK$29*0.25)*100/GDP_deflator_to_CPI_conversion</f>
        <v>66.92461404530367</v>
      </c>
      <c r="AX60" s="2823">
        <f t="shared" ref="AX60:AX77" si="48">(AL60*0.75+AL61*0.25)/(AL$28*0.75+AL$29*0.25)*100/GDP_deflator_to_CPI_conversion</f>
        <v>67.188247123412538</v>
      </c>
      <c r="AY60" s="2823">
        <f t="shared" ref="AY60:AY77" si="49">(AM60*0.75+AM61*0.25)/(AM$28*0.75+AM$29*0.25)*100/GDP_deflator_to_CPI_conversion</f>
        <v>67.339099795533684</v>
      </c>
      <c r="AZ60" s="2823">
        <f t="shared" ref="AZ60:AZ77" si="50">($AO60*0.75+$AO61*0.25)/($AO$28*0.75+$AO$29*0.25)*100/GDP_deflator_to_CPI_conversion</f>
        <v>67.308656581876448</v>
      </c>
      <c r="BA60" s="2823">
        <f t="shared" ref="BA60:BA77" si="51">(($AN60*0.75+$AN61*0.25)*BA$24+($AO60*0.75+$AO61*0.25)*BA$25)/(($AN$28*0.75+$AN$29*0.25)*BA$24+($AO$28*0.75+$AO$29*0.25)*BA$25)*100/GDP_deflator_to_CPI_conversion</f>
        <v>66.727973362695195</v>
      </c>
      <c r="BB60" s="2823">
        <f t="shared" ref="BB60:BB77" si="52">(($AN60*0.75+$AN61*0.25)*BB$24+($AO60*0.75+$AO61*0.25)*BB$25)/(($AN$28*0.75+$AN$29*0.25)*BB$24+($AO$28*0.75+$AO$29*0.25)*BB$25)*100/GDP_deflator_to_CPI_conversion</f>
        <v>66.220310859446457</v>
      </c>
      <c r="BC60" s="2823">
        <f t="shared" ref="BC60:BC77" si="53">(($AN60*0.75+$AN61*0.25)*BC$24+($AO60*0.75+$AO61*0.25)*BC$25)/(($AN$28*0.75+$AN$29*0.25)*BC$24+($AO$28*0.75+$AO$29*0.25)*BC$25)*100/GDP_deflator_to_CPI_conversion</f>
        <v>66.436017813548787</v>
      </c>
      <c r="BD60" s="2824">
        <f t="shared" ref="BD60:BD77" si="54">(AP60*0.75+AP61*0.25)/(AP$28*0.75+AP$29*0.25)*100/GDP_deflator_to_CPI_conversion</f>
        <v>67.386027103055454</v>
      </c>
      <c r="BE60" s="2823"/>
      <c r="BF60" s="2825">
        <f t="shared" si="25"/>
        <v>2042</v>
      </c>
      <c r="BG60" s="2819">
        <f t="shared" si="31"/>
        <v>28.159224604848838</v>
      </c>
      <c r="BH60" s="2820">
        <f t="shared" si="32"/>
        <v>5.5662003791483556</v>
      </c>
      <c r="BI60" s="2820">
        <f t="shared" si="32"/>
        <v>-5.4698788069414819E-2</v>
      </c>
      <c r="BJ60" s="2828">
        <f t="shared" si="32"/>
        <v>3.846905652303761E-4</v>
      </c>
      <c r="BK60" s="2819">
        <f t="shared" si="32"/>
        <v>33.7910695258186</v>
      </c>
      <c r="BL60" s="2820">
        <f t="shared" si="32"/>
        <v>6.6080276703458942</v>
      </c>
      <c r="BM60" s="2820">
        <f t="shared" si="32"/>
        <v>-6.5638545683297772E-2</v>
      </c>
      <c r="BN60" s="2828">
        <f t="shared" si="32"/>
        <v>4.6162867827645134E-4</v>
      </c>
      <c r="BO60" s="2822">
        <f t="shared" si="26"/>
        <v>4.2970355247584013</v>
      </c>
      <c r="BP60" s="2823">
        <f t="shared" si="27"/>
        <v>5.0850298450779494</v>
      </c>
      <c r="BQ60" s="2824">
        <f t="shared" si="28"/>
        <v>4.9900036778612771</v>
      </c>
    </row>
    <row r="61" spans="1:69" ht="13.5" customHeight="1">
      <c r="A61" s="2822"/>
      <c r="B61" s="2547">
        <v>2043</v>
      </c>
      <c r="C61" s="64"/>
      <c r="D61" s="2531">
        <f t="shared" si="42"/>
        <v>26.282349263438288</v>
      </c>
      <c r="E61" s="2258">
        <f t="shared" si="42"/>
        <v>76.395848492147366</v>
      </c>
      <c r="F61" s="2258">
        <f t="shared" si="42"/>
        <v>60.90051750857856</v>
      </c>
      <c r="G61" s="2258">
        <f t="shared" si="42"/>
        <v>67.842346225564881</v>
      </c>
      <c r="H61" s="2258">
        <f t="shared" si="42"/>
        <v>87.402153930833222</v>
      </c>
      <c r="I61" s="2258">
        <f t="shared" si="42"/>
        <v>39.976551555978276</v>
      </c>
      <c r="J61" s="2532">
        <f t="shared" si="42"/>
        <v>52.176265507152102</v>
      </c>
      <c r="K61" s="2816">
        <f t="shared" si="37"/>
        <v>28.271404123703064</v>
      </c>
      <c r="L61" s="2817">
        <f t="shared" si="37"/>
        <v>5.586549873599032</v>
      </c>
      <c r="M61" s="2817">
        <f t="shared" si="37"/>
        <v>-5.4917774980543649E-2</v>
      </c>
      <c r="N61" s="2818">
        <f t="shared" si="37"/>
        <v>3.8622843483758246E-4</v>
      </c>
      <c r="O61" s="2819">
        <f t="shared" si="38"/>
        <v>33.925684948443674</v>
      </c>
      <c r="P61" s="2820">
        <f t="shared" si="38"/>
        <v>6.6324470636867066</v>
      </c>
      <c r="Q61" s="2820">
        <f t="shared" si="38"/>
        <v>-6.5901329976652379E-2</v>
      </c>
      <c r="R61" s="2821">
        <f t="shared" si="38"/>
        <v>4.634741218050989E-4</v>
      </c>
      <c r="S61" s="2819">
        <f t="shared" si="39"/>
        <v>4.0425633889616162</v>
      </c>
      <c r="T61" s="2828">
        <f t="shared" si="39"/>
        <v>135.94599999999997</v>
      </c>
      <c r="U61" s="2822">
        <f t="shared" si="43"/>
        <v>14.700738121340367</v>
      </c>
      <c r="V61" s="2823">
        <f t="shared" si="43"/>
        <v>9.8373374406106997</v>
      </c>
      <c r="W61" s="2823">
        <f t="shared" si="43"/>
        <v>10.413550757340996</v>
      </c>
      <c r="X61" s="2823">
        <f t="shared" si="43"/>
        <v>10.101585125514761</v>
      </c>
      <c r="Y61" s="2823">
        <f t="shared" si="43"/>
        <v>9.658504542056761</v>
      </c>
      <c r="Z61" s="2823">
        <f t="shared" si="43"/>
        <v>12.158774357700533</v>
      </c>
      <c r="AA61" s="2824">
        <f t="shared" si="43"/>
        <v>10.962521066767989</v>
      </c>
      <c r="AB61" s="2822">
        <f t="shared" si="44"/>
        <v>6.5113718537729071</v>
      </c>
      <c r="AC61" s="2823">
        <f t="shared" si="44"/>
        <v>4.7469225550565053</v>
      </c>
      <c r="AD61" s="2823">
        <f t="shared" si="44"/>
        <v>4.8950559040337795</v>
      </c>
      <c r="AE61" s="2823">
        <f t="shared" si="44"/>
        <v>4.7947912736666414</v>
      </c>
      <c r="AF61" s="2823">
        <f t="shared" si="44"/>
        <v>4.8012271287069872</v>
      </c>
      <c r="AG61" s="2823">
        <f t="shared" si="44"/>
        <v>5.5872681838956835</v>
      </c>
      <c r="AH61" s="2824">
        <f t="shared" si="44"/>
        <v>5.1059194044174738</v>
      </c>
      <c r="AI61" s="2825">
        <f>'A1.3.4'!$J$27/100</f>
        <v>0.1205924519584583</v>
      </c>
      <c r="AJ61" s="2822">
        <f t="shared" si="45"/>
        <v>7.4989476119647556</v>
      </c>
      <c r="AK61" s="2823">
        <f t="shared" si="45"/>
        <v>5.3607881675913207</v>
      </c>
      <c r="AL61" s="2823">
        <f t="shared" si="45"/>
        <v>5.5605447295142296</v>
      </c>
      <c r="AM61" s="2823">
        <f t="shared" si="45"/>
        <v>5.4347505562990781</v>
      </c>
      <c r="AN61" s="2823">
        <f t="shared" si="45"/>
        <v>5.3869781218252744</v>
      </c>
      <c r="AO61" s="2823">
        <f t="shared" si="45"/>
        <v>6.3797422264549573</v>
      </c>
      <c r="AP61" s="2824">
        <f t="shared" si="45"/>
        <v>5.8121813590243061</v>
      </c>
      <c r="AQ61" s="2829" t="str">
        <f t="shared" si="23"/>
        <v>2043/44</v>
      </c>
      <c r="AR61" s="2830">
        <f t="shared" si="41"/>
        <v>2.2999999999999998</v>
      </c>
      <c r="AS61" s="2826">
        <f>'Cost and rev series'!E60</f>
        <v>2</v>
      </c>
      <c r="AT61" s="2826">
        <f t="shared" si="41"/>
        <v>-0.29999999999999982</v>
      </c>
      <c r="AU61" s="2827">
        <f t="shared" si="33"/>
        <v>0.97511628801195693</v>
      </c>
      <c r="AV61" s="3180">
        <f t="shared" si="46"/>
        <v>69.958411476932426</v>
      </c>
      <c r="AW61" s="2823">
        <f t="shared" si="47"/>
        <v>67.338118541192884</v>
      </c>
      <c r="AX61" s="2823">
        <f t="shared" si="48"/>
        <v>67.61989614760644</v>
      </c>
      <c r="AY61" s="2823">
        <f t="shared" si="49"/>
        <v>67.775321251084492</v>
      </c>
      <c r="AZ61" s="2823">
        <f t="shared" si="50"/>
        <v>67.765366046632408</v>
      </c>
      <c r="BA61" s="2823">
        <f t="shared" si="51"/>
        <v>67.147376400565278</v>
      </c>
      <c r="BB61" s="2823">
        <f t="shared" si="52"/>
        <v>66.60709874083436</v>
      </c>
      <c r="BC61" s="2823">
        <f t="shared" si="53"/>
        <v>66.836663949224373</v>
      </c>
      <c r="BD61" s="2824">
        <f t="shared" si="54"/>
        <v>67.829743737516281</v>
      </c>
      <c r="BE61" s="2823"/>
      <c r="BF61" s="2825">
        <f t="shared" si="25"/>
        <v>2043</v>
      </c>
      <c r="BG61" s="2819">
        <f t="shared" si="31"/>
        <v>28.271596350750116</v>
      </c>
      <c r="BH61" s="2820">
        <f t="shared" ref="BH61:BN61" si="55">L61*0.5+L60*0.25+L62*0.25</f>
        <v>5.5865847438076681</v>
      </c>
      <c r="BI61" s="2820">
        <f t="shared" si="55"/>
        <v>-5.4918150229142496E-2</v>
      </c>
      <c r="BJ61" s="2828">
        <f t="shared" si="55"/>
        <v>3.8623107007916991E-4</v>
      </c>
      <c r="BK61" s="2819">
        <f t="shared" si="55"/>
        <v>33.925915620900142</v>
      </c>
      <c r="BL61" s="2820">
        <f t="shared" si="55"/>
        <v>6.6324889079370717</v>
      </c>
      <c r="BM61" s="2820">
        <f t="shared" si="55"/>
        <v>-6.5901780274970984E-2</v>
      </c>
      <c r="BN61" s="2828">
        <f t="shared" si="55"/>
        <v>4.6347728409500382E-4</v>
      </c>
      <c r="BO61" s="2822">
        <f t="shared" si="26"/>
        <v>4.3144696402817591</v>
      </c>
      <c r="BP61" s="2823">
        <f t="shared" si="27"/>
        <v>5.1059507837059819</v>
      </c>
      <c r="BQ61" s="2824">
        <f t="shared" si="28"/>
        <v>5.0105041319415706</v>
      </c>
    </row>
    <row r="62" spans="1:69" ht="13.5" customHeight="1">
      <c r="A62" s="2822"/>
      <c r="B62" s="2547">
        <v>2044</v>
      </c>
      <c r="C62" s="64"/>
      <c r="D62" s="2531">
        <f t="shared" si="42"/>
        <v>26.204422531857695</v>
      </c>
      <c r="E62" s="2258">
        <f t="shared" si="42"/>
        <v>76.212171070684505</v>
      </c>
      <c r="F62" s="2258">
        <f t="shared" si="42"/>
        <v>60.808304107164979</v>
      </c>
      <c r="G62" s="2258">
        <f t="shared" si="42"/>
        <v>67.672089469502026</v>
      </c>
      <c r="H62" s="2258">
        <f t="shared" si="42"/>
        <v>87.17211115740173</v>
      </c>
      <c r="I62" s="2258">
        <f t="shared" si="42"/>
        <v>39.900778359157023</v>
      </c>
      <c r="J62" s="2532">
        <f t="shared" si="42"/>
        <v>52.089975589384018</v>
      </c>
      <c r="K62" s="2816">
        <f t="shared" si="37"/>
        <v>28.384543471395141</v>
      </c>
      <c r="L62" s="2817">
        <f t="shared" si="37"/>
        <v>5.6070734821108932</v>
      </c>
      <c r="M62" s="2817">
        <f t="shared" si="37"/>
        <v>-5.5138635584433507E-2</v>
      </c>
      <c r="N62" s="2818">
        <f t="shared" si="37"/>
        <v>3.8777946274331707E-4</v>
      </c>
      <c r="O62" s="2819">
        <f t="shared" si="38"/>
        <v>34.061452165674169</v>
      </c>
      <c r="P62" s="2820">
        <f t="shared" si="38"/>
        <v>6.6570753939009411</v>
      </c>
      <c r="Q62" s="2820">
        <f t="shared" si="38"/>
        <v>-6.6166362701320203E-2</v>
      </c>
      <c r="R62" s="2821">
        <f t="shared" si="38"/>
        <v>4.653353552919805E-4</v>
      </c>
      <c r="S62" s="2819">
        <f t="shared" si="39"/>
        <v>4.0425633889616162</v>
      </c>
      <c r="T62" s="2828">
        <f t="shared" si="39"/>
        <v>135.94599999999997</v>
      </c>
      <c r="U62" s="2822">
        <f t="shared" si="43"/>
        <v>14.742137565538055</v>
      </c>
      <c r="V62" s="2823">
        <f t="shared" si="43"/>
        <v>9.8559636736393532</v>
      </c>
      <c r="W62" s="2823">
        <f t="shared" si="43"/>
        <v>10.433058512714794</v>
      </c>
      <c r="X62" s="2823">
        <f t="shared" si="43"/>
        <v>10.122466366987767</v>
      </c>
      <c r="Y62" s="2823">
        <f t="shared" si="43"/>
        <v>9.6749402994101796</v>
      </c>
      <c r="Z62" s="2823">
        <f t="shared" si="43"/>
        <v>12.185414906965429</v>
      </c>
      <c r="AA62" s="2824">
        <f t="shared" si="43"/>
        <v>10.984398233312108</v>
      </c>
      <c r="AB62" s="2822">
        <f t="shared" si="44"/>
        <v>6.5425927310417187</v>
      </c>
      <c r="AC62" s="2823">
        <f t="shared" si="44"/>
        <v>4.7641275656889883</v>
      </c>
      <c r="AD62" s="2823">
        <f t="shared" si="44"/>
        <v>4.9144030427973107</v>
      </c>
      <c r="AE62" s="2823">
        <f t="shared" si="44"/>
        <v>4.8137989554729561</v>
      </c>
      <c r="AF62" s="2823">
        <f t="shared" si="44"/>
        <v>4.8160244666272209</v>
      </c>
      <c r="AG62" s="2823">
        <f t="shared" si="44"/>
        <v>5.6114872910661715</v>
      </c>
      <c r="AH62" s="2824">
        <f t="shared" si="44"/>
        <v>5.1269925907101692</v>
      </c>
      <c r="AI62" s="2825">
        <f>'A1.3.4'!$J$27/100</f>
        <v>0.1205924519584583</v>
      </c>
      <c r="AJ62" s="2822">
        <f t="shared" si="45"/>
        <v>7.531395947576943</v>
      </c>
      <c r="AK62" s="2823">
        <f t="shared" si="45"/>
        <v>5.3781645669173361</v>
      </c>
      <c r="AL62" s="2823">
        <f t="shared" si="45"/>
        <v>5.5799112374286182</v>
      </c>
      <c r="AM62" s="2823">
        <f t="shared" si="45"/>
        <v>5.4539841752594898</v>
      </c>
      <c r="AN62" s="2823">
        <f t="shared" si="45"/>
        <v>5.401973040762293</v>
      </c>
      <c r="AO62" s="2823">
        <f t="shared" si="45"/>
        <v>6.4042533412648854</v>
      </c>
      <c r="AP62" s="2824">
        <f t="shared" si="45"/>
        <v>5.8333514992668469</v>
      </c>
      <c r="AQ62" s="2829" t="str">
        <f t="shared" si="23"/>
        <v>2044/45</v>
      </c>
      <c r="AR62" s="2830">
        <f t="shared" si="41"/>
        <v>2.2999999999999998</v>
      </c>
      <c r="AS62" s="2826">
        <f>'Cost and rev series'!E61</f>
        <v>2</v>
      </c>
      <c r="AT62" s="2826">
        <f t="shared" si="41"/>
        <v>-0.29999999999999982</v>
      </c>
      <c r="AU62" s="2827">
        <f t="shared" si="33"/>
        <v>0.97225670945473719</v>
      </c>
      <c r="AV62" s="3180">
        <f t="shared" si="46"/>
        <v>70.467986199991728</v>
      </c>
      <c r="AW62" s="2823">
        <f t="shared" si="47"/>
        <v>67.755385085148617</v>
      </c>
      <c r="AX62" s="2823">
        <f t="shared" si="48"/>
        <v>68.055201916788704</v>
      </c>
      <c r="AY62" s="2823">
        <f t="shared" si="49"/>
        <v>68.215508738134673</v>
      </c>
      <c r="AZ62" s="2823">
        <f t="shared" si="50"/>
        <v>68.226006404305068</v>
      </c>
      <c r="BA62" s="2823">
        <f t="shared" si="51"/>
        <v>67.57055004801181</v>
      </c>
      <c r="BB62" s="2823">
        <f t="shared" si="52"/>
        <v>66.997517104033719</v>
      </c>
      <c r="BC62" s="2823">
        <f t="shared" si="53"/>
        <v>67.241000107317973</v>
      </c>
      <c r="BD62" s="2824">
        <f t="shared" si="54"/>
        <v>68.277248061295836</v>
      </c>
      <c r="BE62" s="2823"/>
      <c r="BF62" s="2825">
        <f t="shared" si="25"/>
        <v>2044</v>
      </c>
      <c r="BG62" s="2819">
        <f t="shared" ref="BG62:BN77" si="56">K62*0.5+K61*0.25+K63*0.25</f>
        <v>28.384737013778775</v>
      </c>
      <c r="BH62" s="2820">
        <f t="shared" si="56"/>
        <v>5.607108590923108</v>
      </c>
      <c r="BI62" s="2820">
        <f t="shared" si="56"/>
        <v>-5.5139013400715808E-2</v>
      </c>
      <c r="BJ62" s="2828">
        <f t="shared" si="56"/>
        <v>3.8778211601686054E-4</v>
      </c>
      <c r="BK62" s="2819">
        <f t="shared" si="56"/>
        <v>34.061684416534526</v>
      </c>
      <c r="BL62" s="2820">
        <f t="shared" si="56"/>
        <v>6.6571175244755985</v>
      </c>
      <c r="BM62" s="2820">
        <f t="shared" si="56"/>
        <v>-6.6166816080858976E-2</v>
      </c>
      <c r="BN62" s="2828">
        <f t="shared" si="56"/>
        <v>4.6533853922023268E-4</v>
      </c>
      <c r="BO62" s="2822">
        <f t="shared" si="26"/>
        <v>4.3320308226641728</v>
      </c>
      <c r="BP62" s="2823">
        <f t="shared" si="27"/>
        <v>5.1270242025648756</v>
      </c>
      <c r="BQ62" s="2824">
        <f t="shared" si="28"/>
        <v>5.0311540015919078</v>
      </c>
    </row>
    <row r="63" spans="1:69" ht="13.5" customHeight="1">
      <c r="A63" s="2822"/>
      <c r="B63" s="714">
        <v>2045</v>
      </c>
      <c r="C63" s="2672"/>
      <c r="D63" s="2307">
        <v>26.126726851749471</v>
      </c>
      <c r="E63" s="2243">
        <v>76.028935262160331</v>
      </c>
      <c r="F63" s="2243">
        <v>60.716230332009886</v>
      </c>
      <c r="G63" s="2243">
        <v>67.50225998880029</v>
      </c>
      <c r="H63" s="2243">
        <v>86.942673857350783</v>
      </c>
      <c r="I63" s="2243">
        <v>39.825148785963449</v>
      </c>
      <c r="J63" s="2530">
        <v>52.003828379221332</v>
      </c>
      <c r="K63" s="2816">
        <f t="shared" si="37"/>
        <v>28.498456988621747</v>
      </c>
      <c r="L63" s="2817">
        <f t="shared" si="37"/>
        <v>5.6277375258716118</v>
      </c>
      <c r="M63" s="2817">
        <f t="shared" si="37"/>
        <v>-5.5361007453452585E-2</v>
      </c>
      <c r="N63" s="2818">
        <f t="shared" si="37"/>
        <v>3.8934110374322557E-4</v>
      </c>
      <c r="O63" s="2819">
        <f t="shared" si="38"/>
        <v>34.198148386346098</v>
      </c>
      <c r="P63" s="2820">
        <f t="shared" si="38"/>
        <v>6.6818722464138016</v>
      </c>
      <c r="Q63" s="2820">
        <f t="shared" si="38"/>
        <v>-6.6433208944143105E-2</v>
      </c>
      <c r="R63" s="2821">
        <f t="shared" si="38"/>
        <v>4.6720932449187077E-4</v>
      </c>
      <c r="S63" s="2819">
        <f t="shared" si="39"/>
        <v>4.0425633889616162</v>
      </c>
      <c r="T63" s="2828">
        <f t="shared" si="39"/>
        <v>135.94599999999997</v>
      </c>
      <c r="U63" s="2822">
        <f t="shared" si="43"/>
        <v>14.783774143680791</v>
      </c>
      <c r="V63" s="2823">
        <f t="shared" si="43"/>
        <v>9.8747287617331381</v>
      </c>
      <c r="W63" s="2823">
        <f t="shared" si="43"/>
        <v>10.452690074776868</v>
      </c>
      <c r="X63" s="2823">
        <f t="shared" si="43"/>
        <v>10.143494602453554</v>
      </c>
      <c r="Y63" s="2823">
        <f t="shared" si="43"/>
        <v>9.6915198774121869</v>
      </c>
      <c r="Z63" s="2823">
        <f t="shared" si="43"/>
        <v>12.212213229877138</v>
      </c>
      <c r="AA63" s="2824">
        <f t="shared" si="43"/>
        <v>11.006410548169905</v>
      </c>
      <c r="AB63" s="2822">
        <f t="shared" si="44"/>
        <v>6.5740432772748356</v>
      </c>
      <c r="AC63" s="2823">
        <f t="shared" si="44"/>
        <v>4.7814867989981442</v>
      </c>
      <c r="AD63" s="2823">
        <f t="shared" si="44"/>
        <v>4.9338925894692487</v>
      </c>
      <c r="AE63" s="2823">
        <f t="shared" si="44"/>
        <v>4.8329678093099266</v>
      </c>
      <c r="AF63" s="2823">
        <f t="shared" si="44"/>
        <v>4.8309813909943378</v>
      </c>
      <c r="AG63" s="2823">
        <f t="shared" si="44"/>
        <v>5.6358810098992933</v>
      </c>
      <c r="AH63" s="2824">
        <f t="shared" si="44"/>
        <v>5.1482193749950245</v>
      </c>
      <c r="AI63" s="2825">
        <f>'A1.3.4'!$J$27/100</f>
        <v>0.1205924519584583</v>
      </c>
      <c r="AJ63" s="2822">
        <f t="shared" si="45"/>
        <v>7.5640748523737686</v>
      </c>
      <c r="AK63" s="2823">
        <f t="shared" si="45"/>
        <v>5.3956933357020676</v>
      </c>
      <c r="AL63" s="2823">
        <f t="shared" si="45"/>
        <v>5.5994179100846688</v>
      </c>
      <c r="AM63" s="2823">
        <f t="shared" si="45"/>
        <v>5.4733772564862049</v>
      </c>
      <c r="AN63" s="2823">
        <f t="shared" si="45"/>
        <v>5.4171256449099197</v>
      </c>
      <c r="AO63" s="2823">
        <f t="shared" si="45"/>
        <v>6.4289370371998338</v>
      </c>
      <c r="AP63" s="2824">
        <f t="shared" si="45"/>
        <v>5.854673012609581</v>
      </c>
      <c r="AQ63" s="2829" t="str">
        <f t="shared" si="23"/>
        <v>2045/46</v>
      </c>
      <c r="AR63" s="2830">
        <f t="shared" si="41"/>
        <v>2.2999999999999998</v>
      </c>
      <c r="AS63" s="2826">
        <f>'Cost and rev series'!E62</f>
        <v>2</v>
      </c>
      <c r="AT63" s="2826">
        <f t="shared" si="41"/>
        <v>-0.29999999999999982</v>
      </c>
      <c r="AU63" s="2827">
        <f t="shared" si="33"/>
        <v>0.96940551675838915</v>
      </c>
      <c r="AV63" s="3180">
        <f t="shared" si="46"/>
        <v>70.979582390773558</v>
      </c>
      <c r="AW63" s="2823">
        <f t="shared" si="47"/>
        <v>68.176310231519295</v>
      </c>
      <c r="AX63" s="2823">
        <f t="shared" si="48"/>
        <v>68.493815021980637</v>
      </c>
      <c r="AY63" s="2823">
        <f t="shared" si="49"/>
        <v>68.659230297497942</v>
      </c>
      <c r="AZ63" s="2823">
        <f t="shared" si="50"/>
        <v>68.689732198207565</v>
      </c>
      <c r="BA63" s="2823">
        <f t="shared" si="51"/>
        <v>67.99727162348637</v>
      </c>
      <c r="BB63" s="2823">
        <f t="shared" si="52"/>
        <v>67.39188772887394</v>
      </c>
      <c r="BC63" s="2823">
        <f t="shared" si="53"/>
        <v>67.649116724779248</v>
      </c>
      <c r="BD63" s="2824">
        <f t="shared" si="54"/>
        <v>68.728126902197431</v>
      </c>
      <c r="BE63" s="2823"/>
      <c r="BF63" s="2825">
        <f t="shared" si="25"/>
        <v>2045</v>
      </c>
      <c r="BG63" s="2819">
        <f t="shared" si="56"/>
        <v>28.498651855342324</v>
      </c>
      <c r="BH63" s="2820">
        <f t="shared" si="56"/>
        <v>5.6277728749200788</v>
      </c>
      <c r="BI63" s="2820">
        <f t="shared" si="56"/>
        <v>-5.5361387854988064E-2</v>
      </c>
      <c r="BJ63" s="2828">
        <f t="shared" si="56"/>
        <v>3.8934377517211107E-4</v>
      </c>
      <c r="BK63" s="2819">
        <f t="shared" si="56"/>
        <v>34.198382226410793</v>
      </c>
      <c r="BL63" s="2820">
        <f t="shared" si="56"/>
        <v>6.6819146652719628</v>
      </c>
      <c r="BM63" s="2820">
        <f t="shared" si="56"/>
        <v>-6.6433665425985666E-2</v>
      </c>
      <c r="BN63" s="2828">
        <f t="shared" si="56"/>
        <v>4.6721253020653341E-4</v>
      </c>
      <c r="BO63" s="2822">
        <f t="shared" si="26"/>
        <v>4.3497200048367022</v>
      </c>
      <c r="BP63" s="2823">
        <f t="shared" si="27"/>
        <v>5.1482512211719111</v>
      </c>
      <c r="BQ63" s="2824">
        <f t="shared" si="28"/>
        <v>5.0519543838286793</v>
      </c>
    </row>
    <row r="64" spans="1:69" ht="13.5" customHeight="1">
      <c r="A64" s="2822"/>
      <c r="B64" s="2547">
        <v>2046</v>
      </c>
      <c r="C64" s="64"/>
      <c r="D64" s="2531">
        <f t="shared" ref="D64:J67" si="57">D63*(D$68/D$63)^(1/5)</f>
        <v>26.058662765431958</v>
      </c>
      <c r="E64" s="2258">
        <f t="shared" si="57"/>
        <v>75.856411366067363</v>
      </c>
      <c r="F64" s="2258">
        <f t="shared" si="57"/>
        <v>60.629710847529999</v>
      </c>
      <c r="G64" s="2258">
        <f t="shared" si="57"/>
        <v>67.343229560191659</v>
      </c>
      <c r="H64" s="2258">
        <f t="shared" si="57"/>
        <v>86.732137515071628</v>
      </c>
      <c r="I64" s="2258">
        <f t="shared" si="57"/>
        <v>39.755137276237669</v>
      </c>
      <c r="J64" s="2532">
        <f t="shared" si="57"/>
        <v>51.922061331785677</v>
      </c>
      <c r="K64" s="2816">
        <f t="shared" si="37"/>
        <v>28.613149972730668</v>
      </c>
      <c r="L64" s="2817">
        <f t="shared" si="37"/>
        <v>5.6485429658261976</v>
      </c>
      <c r="M64" s="2817">
        <f t="shared" si="37"/>
        <v>-5.5584900928613554E-2</v>
      </c>
      <c r="N64" s="2818">
        <f t="shared" si="37"/>
        <v>3.9091343045867625E-4</v>
      </c>
      <c r="O64" s="2819">
        <f t="shared" si="38"/>
        <v>34.3357799672768</v>
      </c>
      <c r="P64" s="2820">
        <f t="shared" si="38"/>
        <v>6.7068387743593059</v>
      </c>
      <c r="Q64" s="2820">
        <f t="shared" si="38"/>
        <v>-6.6701881114336267E-2</v>
      </c>
      <c r="R64" s="2821">
        <f t="shared" si="38"/>
        <v>4.6909611655041148E-4</v>
      </c>
      <c r="S64" s="2819">
        <f t="shared" si="39"/>
        <v>4.0425633889616162</v>
      </c>
      <c r="T64" s="2828">
        <f t="shared" si="39"/>
        <v>135.94599999999997</v>
      </c>
      <c r="U64" s="2822">
        <f t="shared" si="43"/>
        <v>14.823039363837664</v>
      </c>
      <c r="V64" s="2823">
        <f t="shared" si="43"/>
        <v>9.8933779877211627</v>
      </c>
      <c r="W64" s="2823">
        <f t="shared" si="43"/>
        <v>10.472159564097822</v>
      </c>
      <c r="X64" s="2823">
        <f t="shared" si="43"/>
        <v>10.164263869653052</v>
      </c>
      <c r="Y64" s="2823">
        <f t="shared" si="43"/>
        <v>9.7080672857804817</v>
      </c>
      <c r="Z64" s="2823">
        <f t="shared" si="43"/>
        <v>12.238466170217546</v>
      </c>
      <c r="AA64" s="2824">
        <f t="shared" si="43"/>
        <v>11.028236737695931</v>
      </c>
      <c r="AB64" s="2822">
        <f t="shared" si="44"/>
        <v>6.6048524950639917</v>
      </c>
      <c r="AC64" s="2823">
        <f t="shared" si="44"/>
        <v>4.798985803737966</v>
      </c>
      <c r="AD64" s="2823">
        <f t="shared" si="44"/>
        <v>4.9534218071739913</v>
      </c>
      <c r="AE64" s="2823">
        <f t="shared" si="44"/>
        <v>4.852183827668255</v>
      </c>
      <c r="AF64" s="2823">
        <f t="shared" si="44"/>
        <v>4.846283560752692</v>
      </c>
      <c r="AG64" s="2823">
        <f t="shared" si="44"/>
        <v>5.6601706990961196</v>
      </c>
      <c r="AH64" s="2824">
        <f t="shared" si="44"/>
        <v>5.169470668151348</v>
      </c>
      <c r="AI64" s="2825">
        <f>'A1.3.4'!$J$27/100</f>
        <v>0.1205924519584583</v>
      </c>
      <c r="AJ64" s="2822">
        <f t="shared" si="45"/>
        <v>7.5959038002222137</v>
      </c>
      <c r="AK64" s="2823">
        <f t="shared" si="45"/>
        <v>5.4133310484425055</v>
      </c>
      <c r="AL64" s="2823">
        <f t="shared" si="45"/>
        <v>5.6189399249971581</v>
      </c>
      <c r="AM64" s="2823">
        <f t="shared" si="45"/>
        <v>5.4927805849307925</v>
      </c>
      <c r="AN64" s="2823">
        <f t="shared" si="45"/>
        <v>5.4325779810455197</v>
      </c>
      <c r="AO64" s="2823">
        <f t="shared" si="45"/>
        <v>6.4534634796658743</v>
      </c>
      <c r="AP64" s="2824">
        <f t="shared" si="45"/>
        <v>5.8759936339287488</v>
      </c>
      <c r="AQ64" s="2829" t="str">
        <f t="shared" si="23"/>
        <v>2046/47</v>
      </c>
      <c r="AR64" s="2830">
        <f t="shared" si="41"/>
        <v>2.2999999999999998</v>
      </c>
      <c r="AS64" s="2826">
        <f>'Cost and rev series'!E63</f>
        <v>2</v>
      </c>
      <c r="AT64" s="2826">
        <f t="shared" si="41"/>
        <v>-0.29999999999999982</v>
      </c>
      <c r="AU64" s="2827">
        <f t="shared" si="33"/>
        <v>0.96656268533094536</v>
      </c>
      <c r="AV64" s="3180">
        <f t="shared" si="46"/>
        <v>71.488112429481674</v>
      </c>
      <c r="AW64" s="2823">
        <f t="shared" si="47"/>
        <v>68.600635603229804</v>
      </c>
      <c r="AX64" s="2823">
        <f t="shared" si="48"/>
        <v>68.934990827622073</v>
      </c>
      <c r="AY64" s="2823">
        <f t="shared" si="49"/>
        <v>69.105562566527709</v>
      </c>
      <c r="AZ64" s="2823">
        <f t="shared" si="50"/>
        <v>69.154793696172746</v>
      </c>
      <c r="BA64" s="2823">
        <f t="shared" si="51"/>
        <v>68.427039866188281</v>
      </c>
      <c r="BB64" s="2823">
        <f t="shared" si="52"/>
        <v>67.790800831074279</v>
      </c>
      <c r="BC64" s="2823">
        <f t="shared" si="53"/>
        <v>68.061140246467744</v>
      </c>
      <c r="BD64" s="2824">
        <f t="shared" si="54"/>
        <v>69.181506141177152</v>
      </c>
      <c r="BE64" s="2823"/>
      <c r="BF64" s="2825">
        <f t="shared" si="25"/>
        <v>2046</v>
      </c>
      <c r="BG64" s="2819">
        <f t="shared" si="56"/>
        <v>28.613346172850108</v>
      </c>
      <c r="BH64" s="2820">
        <f t="shared" si="56"/>
        <v>5.6485785567547611</v>
      </c>
      <c r="BI64" s="2820">
        <f t="shared" si="56"/>
        <v>-5.5585283933092089E-2</v>
      </c>
      <c r="BJ64" s="2828">
        <f t="shared" si="56"/>
        <v>3.9091612016713373E-4</v>
      </c>
      <c r="BK64" s="2819">
        <f t="shared" si="56"/>
        <v>34.336015407420128</v>
      </c>
      <c r="BL64" s="2820">
        <f t="shared" si="56"/>
        <v>6.7068814834735822</v>
      </c>
      <c r="BM64" s="2820">
        <f t="shared" si="56"/>
        <v>-6.6702340719710498E-2</v>
      </c>
      <c r="BN64" s="2828">
        <f t="shared" si="56"/>
        <v>4.6909934420056047E-4</v>
      </c>
      <c r="BO64" s="2822">
        <f t="shared" si="26"/>
        <v>4.3674296117952309</v>
      </c>
      <c r="BP64" s="2823">
        <f t="shared" si="27"/>
        <v>5.1695027495221462</v>
      </c>
      <c r="BQ64" s="2824">
        <f t="shared" si="28"/>
        <v>5.0727787831936428</v>
      </c>
    </row>
    <row r="65" spans="1:69" ht="13.5" customHeight="1">
      <c r="A65" s="2822"/>
      <c r="B65" s="2547">
        <v>2047</v>
      </c>
      <c r="C65" s="64"/>
      <c r="D65" s="2531">
        <f t="shared" si="57"/>
        <v>25.990775996383174</v>
      </c>
      <c r="E65" s="2258">
        <f t="shared" si="57"/>
        <v>75.68427895901236</v>
      </c>
      <c r="F65" s="2258">
        <f t="shared" si="57"/>
        <v>60.543314651685684</v>
      </c>
      <c r="G65" s="2258">
        <f t="shared" si="57"/>
        <v>67.184573795738388</v>
      </c>
      <c r="H65" s="2258">
        <f t="shared" si="57"/>
        <v>86.522110997823773</v>
      </c>
      <c r="I65" s="2258">
        <f t="shared" si="57"/>
        <v>39.685248844808982</v>
      </c>
      <c r="J65" s="2532">
        <f t="shared" si="57"/>
        <v>51.840422848924106</v>
      </c>
      <c r="K65" s="2816">
        <f t="shared" si="37"/>
        <v>28.728627757317348</v>
      </c>
      <c r="L65" s="2817">
        <f t="shared" si="37"/>
        <v>5.6694907694950372</v>
      </c>
      <c r="M65" s="2817">
        <f t="shared" si="37"/>
        <v>-5.5810326421688636E-2</v>
      </c>
      <c r="N65" s="2818">
        <f t="shared" si="37"/>
        <v>3.9249651600795684E-4</v>
      </c>
      <c r="O65" s="2819">
        <f t="shared" si="38"/>
        <v>34.474353308780813</v>
      </c>
      <c r="P65" s="2820">
        <f t="shared" si="38"/>
        <v>6.7319761387619135</v>
      </c>
      <c r="Q65" s="2820">
        <f t="shared" si="38"/>
        <v>-6.6972391706026355E-2</v>
      </c>
      <c r="R65" s="2821">
        <f t="shared" si="38"/>
        <v>4.7099581920954827E-4</v>
      </c>
      <c r="S65" s="2819">
        <f t="shared" si="39"/>
        <v>4.0425633889616162</v>
      </c>
      <c r="T65" s="2828">
        <f t="shared" si="39"/>
        <v>135.94599999999997</v>
      </c>
      <c r="U65" s="2822">
        <f t="shared" si="43"/>
        <v>14.862527191994072</v>
      </c>
      <c r="V65" s="2823">
        <f t="shared" si="43"/>
        <v>9.9121633164676446</v>
      </c>
      <c r="W65" s="2823">
        <f t="shared" si="43"/>
        <v>10.491752558945141</v>
      </c>
      <c r="X65" s="2823">
        <f t="shared" si="43"/>
        <v>10.185176923917918</v>
      </c>
      <c r="Y65" s="2823">
        <f t="shared" si="43"/>
        <v>9.7247519404658451</v>
      </c>
      <c r="Z65" s="2823">
        <f t="shared" si="43"/>
        <v>12.264875005574151</v>
      </c>
      <c r="AA65" s="2824">
        <f t="shared" si="43"/>
        <v>11.050197919075066</v>
      </c>
      <c r="AB65" s="2822">
        <f t="shared" si="44"/>
        <v>6.635886243937394</v>
      </c>
      <c r="AC65" s="2823">
        <f t="shared" si="44"/>
        <v>4.8166370328173773</v>
      </c>
      <c r="AD65" s="2823">
        <f t="shared" si="44"/>
        <v>4.9730937600944225</v>
      </c>
      <c r="AE65" s="2823">
        <f t="shared" si="44"/>
        <v>4.8715589132345132</v>
      </c>
      <c r="AF65" s="2823">
        <f t="shared" si="44"/>
        <v>4.8617393698190092</v>
      </c>
      <c r="AG65" s="2823">
        <f t="shared" si="44"/>
        <v>5.6846347582492402</v>
      </c>
      <c r="AH65" s="2824">
        <f t="shared" si="44"/>
        <v>5.1908761717903182</v>
      </c>
      <c r="AI65" s="2825">
        <f>'A1.3.4'!$J$27/100</f>
        <v>0.1205924519584583</v>
      </c>
      <c r="AJ65" s="2822">
        <f t="shared" si="45"/>
        <v>7.6279570472454052</v>
      </c>
      <c r="AK65" s="2823">
        <f t="shared" si="45"/>
        <v>5.4311190413815345</v>
      </c>
      <c r="AL65" s="2823">
        <f t="shared" si="45"/>
        <v>5.638602356169951</v>
      </c>
      <c r="AM65" s="2823">
        <f t="shared" si="45"/>
        <v>5.5123411379134515</v>
      </c>
      <c r="AN65" s="2823">
        <f t="shared" si="45"/>
        <v>5.4481819796181172</v>
      </c>
      <c r="AO65" s="2823">
        <f t="shared" si="45"/>
        <v>6.4781620641498838</v>
      </c>
      <c r="AP65" s="2824">
        <f t="shared" si="45"/>
        <v>5.8974661481089043</v>
      </c>
      <c r="AQ65" s="2829" t="str">
        <f t="shared" si="23"/>
        <v>2047/48</v>
      </c>
      <c r="AR65" s="2830">
        <f t="shared" si="41"/>
        <v>2.2999999999999998</v>
      </c>
      <c r="AS65" s="2826">
        <f>'Cost and rev series'!E64</f>
        <v>2</v>
      </c>
      <c r="AT65" s="2826">
        <f t="shared" si="41"/>
        <v>-0.29999999999999982</v>
      </c>
      <c r="AU65" s="2827">
        <f t="shared" si="33"/>
        <v>0.96372819065255555</v>
      </c>
      <c r="AV65" s="2822">
        <f t="shared" si="46"/>
        <v>72.001138829051612</v>
      </c>
      <c r="AW65" s="2823">
        <f t="shared" si="47"/>
        <v>69.028778922879852</v>
      </c>
      <c r="AX65" s="2823">
        <f t="shared" si="48"/>
        <v>69.379898620351128</v>
      </c>
      <c r="AY65" s="2823">
        <f t="shared" si="49"/>
        <v>69.555911950202585</v>
      </c>
      <c r="AZ65" s="2823">
        <f t="shared" si="50"/>
        <v>69.623848386202695</v>
      </c>
      <c r="BA65" s="2823">
        <f t="shared" si="51"/>
        <v>68.860619995501267</v>
      </c>
      <c r="BB65" s="2823">
        <f t="shared" si="52"/>
        <v>68.193367313530686</v>
      </c>
      <c r="BC65" s="2823">
        <f t="shared" si="53"/>
        <v>68.476884498123653</v>
      </c>
      <c r="BD65" s="2824">
        <f t="shared" si="54"/>
        <v>69.63875300148716</v>
      </c>
      <c r="BE65" s="2823"/>
      <c r="BF65" s="2825">
        <f t="shared" si="25"/>
        <v>2047</v>
      </c>
      <c r="BG65" s="2819">
        <f t="shared" si="56"/>
        <v>28.728825299959603</v>
      </c>
      <c r="BH65" s="2820">
        <f t="shared" si="56"/>
        <v>5.6695266039587917</v>
      </c>
      <c r="BI65" s="2820">
        <f t="shared" si="56"/>
        <v>-5.581071204692116E-2</v>
      </c>
      <c r="BJ65" s="2828">
        <f t="shared" si="56"/>
        <v>3.9249922412106658E-4</v>
      </c>
      <c r="BK65" s="2819">
        <f t="shared" si="56"/>
        <v>34.47459035995152</v>
      </c>
      <c r="BL65" s="2820">
        <f t="shared" si="56"/>
        <v>6.7320191401184184</v>
      </c>
      <c r="BM65" s="2820">
        <f t="shared" si="56"/>
        <v>-6.6972854456305395E-2</v>
      </c>
      <c r="BN65" s="2828">
        <f t="shared" si="56"/>
        <v>4.7099906894527993E-4</v>
      </c>
      <c r="BO65" s="2822">
        <f t="shared" si="26"/>
        <v>4.3852677289611224</v>
      </c>
      <c r="BP65" s="2823">
        <f t="shared" si="27"/>
        <v>5.190908490121215</v>
      </c>
      <c r="BQ65" s="2824">
        <f t="shared" si="28"/>
        <v>5.0937542953352413</v>
      </c>
    </row>
    <row r="66" spans="1:69" ht="13.5" customHeight="1">
      <c r="A66" s="2822"/>
      <c r="B66" s="2547">
        <v>2048</v>
      </c>
      <c r="C66" s="64"/>
      <c r="D66" s="2531">
        <f t="shared" si="57"/>
        <v>25.923066082664743</v>
      </c>
      <c r="E66" s="2258">
        <f t="shared" si="57"/>
        <v>75.512537152633357</v>
      </c>
      <c r="F66" s="2258">
        <f t="shared" si="57"/>
        <v>60.45704156879296</v>
      </c>
      <c r="G66" s="2258">
        <f t="shared" si="57"/>
        <v>67.026291812758899</v>
      </c>
      <c r="H66" s="2258">
        <f t="shared" si="57"/>
        <v>86.312593071038592</v>
      </c>
      <c r="I66" s="2258">
        <f t="shared" si="57"/>
        <v>39.615483275309153</v>
      </c>
      <c r="J66" s="2532">
        <f t="shared" si="57"/>
        <v>51.758912728491012</v>
      </c>
      <c r="K66" s="2816">
        <f t="shared" si="37"/>
        <v>28.844895712473054</v>
      </c>
      <c r="L66" s="2817">
        <f t="shared" si="37"/>
        <v>5.690581911018894</v>
      </c>
      <c r="M66" s="2817">
        <f t="shared" si="37"/>
        <v>-5.6037294415693842E-2</v>
      </c>
      <c r="N66" s="2818">
        <f t="shared" si="37"/>
        <v>3.9409043400967639E-4</v>
      </c>
      <c r="O66" s="2819">
        <f t="shared" si="38"/>
        <v>34.613874854967662</v>
      </c>
      <c r="P66" s="2820">
        <f t="shared" si="38"/>
        <v>6.7572855085905417</v>
      </c>
      <c r="Q66" s="2820">
        <f t="shared" si="38"/>
        <v>-6.7244753298832616E-2</v>
      </c>
      <c r="R66" s="2821">
        <f t="shared" si="38"/>
        <v>4.7290852081161168E-4</v>
      </c>
      <c r="S66" s="2819">
        <f t="shared" ref="S66:T78" si="58">IF(ISERROR(VLOOKUP($B66,Non_fuel_op_cost,1,0)),S65,VLOOKUP($B66,Non_fuel_op_cost,S$22,1))</f>
        <v>4.0425633889616162</v>
      </c>
      <c r="T66" s="2828">
        <f t="shared" si="58"/>
        <v>135.94599999999997</v>
      </c>
      <c r="U66" s="2822">
        <f t="shared" si="43"/>
        <v>14.90223917982383</v>
      </c>
      <c r="V66" s="2823">
        <f t="shared" si="43"/>
        <v>9.9310856272340171</v>
      </c>
      <c r="W66" s="2823">
        <f t="shared" si="43"/>
        <v>10.511469926607202</v>
      </c>
      <c r="X66" s="2823">
        <f t="shared" si="43"/>
        <v>10.206234719444742</v>
      </c>
      <c r="Y66" s="2823">
        <f t="shared" si="43"/>
        <v>9.7415746559983045</v>
      </c>
      <c r="Z66" s="2823">
        <f t="shared" si="43"/>
        <v>12.29144083652252</v>
      </c>
      <c r="AA66" s="2824">
        <f t="shared" si="43"/>
        <v>11.072295045069954</v>
      </c>
      <c r="AB66" s="2822">
        <f t="shared" si="44"/>
        <v>6.6671462746381582</v>
      </c>
      <c r="AC66" s="2823">
        <f t="shared" si="44"/>
        <v>4.8344415161071739</v>
      </c>
      <c r="AD66" s="2823">
        <f t="shared" si="44"/>
        <v>4.9929094811688017</v>
      </c>
      <c r="AE66" s="2823">
        <f t="shared" si="44"/>
        <v>4.8910941792181566</v>
      </c>
      <c r="AF66" s="2823">
        <f t="shared" si="44"/>
        <v>4.8773497687909702</v>
      </c>
      <c r="AG66" s="2823">
        <f t="shared" si="44"/>
        <v>5.7092744856766142</v>
      </c>
      <c r="AH66" s="2824">
        <f t="shared" si="44"/>
        <v>5.2124370169755503</v>
      </c>
      <c r="AI66" s="2825">
        <f>'A1.3.4'!$J$27/100</f>
        <v>0.1205924519584583</v>
      </c>
      <c r="AJ66" s="2822">
        <f t="shared" si="45"/>
        <v>7.6602363201802026</v>
      </c>
      <c r="AK66" s="2823">
        <f t="shared" si="45"/>
        <v>5.4490583262275969</v>
      </c>
      <c r="AL66" s="2823">
        <f t="shared" si="45"/>
        <v>5.6584062165651803</v>
      </c>
      <c r="AM66" s="2823">
        <f t="shared" si="45"/>
        <v>5.5320600094678856</v>
      </c>
      <c r="AN66" s="2823">
        <f t="shared" si="45"/>
        <v>5.463938574816658</v>
      </c>
      <c r="AO66" s="2823">
        <f t="shared" si="45"/>
        <v>6.5030340651235807</v>
      </c>
      <c r="AP66" s="2824">
        <f t="shared" si="45"/>
        <v>5.9190916647119103</v>
      </c>
      <c r="AQ66" s="2829" t="str">
        <f t="shared" si="23"/>
        <v>2048/49</v>
      </c>
      <c r="AR66" s="2830">
        <f t="shared" si="41"/>
        <v>2.2999999999999998</v>
      </c>
      <c r="AS66" s="2826">
        <f>'Cost and rev series'!E65</f>
        <v>2</v>
      </c>
      <c r="AT66" s="2826">
        <f t="shared" si="41"/>
        <v>-0.29999999999999982</v>
      </c>
      <c r="AU66" s="2827">
        <f t="shared" si="33"/>
        <v>0.96090200827527539</v>
      </c>
      <c r="AV66" s="2822">
        <f t="shared" si="46"/>
        <v>72.518706233959207</v>
      </c>
      <c r="AW66" s="2823">
        <f t="shared" si="47"/>
        <v>69.460777514920707</v>
      </c>
      <c r="AX66" s="2823">
        <f t="shared" si="48"/>
        <v>69.828574136164221</v>
      </c>
      <c r="AY66" s="2823">
        <f t="shared" si="49"/>
        <v>70.010317919934238</v>
      </c>
      <c r="AZ66" s="2823">
        <f t="shared" si="50"/>
        <v>70.096934931350248</v>
      </c>
      <c r="BA66" s="2823">
        <f t="shared" si="51"/>
        <v>69.298049011341206</v>
      </c>
      <c r="BB66" s="2823">
        <f t="shared" si="52"/>
        <v>68.599622722160987</v>
      </c>
      <c r="BC66" s="2823">
        <f t="shared" si="53"/>
        <v>68.896385643471802</v>
      </c>
      <c r="BD66" s="2824">
        <f t="shared" si="54"/>
        <v>70.099904745254577</v>
      </c>
      <c r="BE66" s="2823"/>
      <c r="BF66" s="2825">
        <f t="shared" si="25"/>
        <v>2048</v>
      </c>
      <c r="BG66" s="2819">
        <f t="shared" si="56"/>
        <v>28.845094606824492</v>
      </c>
      <c r="BH66" s="2820">
        <f t="shared" si="56"/>
        <v>5.6906179906842578</v>
      </c>
      <c r="BI66" s="2820">
        <f t="shared" si="56"/>
        <v>-5.6037682679613204E-2</v>
      </c>
      <c r="BJ66" s="2828">
        <f t="shared" si="56"/>
        <v>3.9409316065337438E-4</v>
      </c>
      <c r="BK66" s="2819">
        <f t="shared" si="56"/>
        <v>34.614113528189392</v>
      </c>
      <c r="BL66" s="2820">
        <f t="shared" si="56"/>
        <v>6.7573288041889779</v>
      </c>
      <c r="BM66" s="2820">
        <f t="shared" si="56"/>
        <v>-6.7245219215535848E-2</v>
      </c>
      <c r="BN66" s="2828">
        <f t="shared" si="56"/>
        <v>4.7291179278404925E-4</v>
      </c>
      <c r="BO66" s="2822">
        <f t="shared" si="26"/>
        <v>4.4032352988984353</v>
      </c>
      <c r="BP66" s="2823">
        <f t="shared" si="27"/>
        <v>5.2124695740459908</v>
      </c>
      <c r="BQ66" s="2824">
        <f t="shared" si="28"/>
        <v>5.1148820285971217</v>
      </c>
    </row>
    <row r="67" spans="1:69" ht="13.5" customHeight="1">
      <c r="A67" s="2822"/>
      <c r="B67" s="2547">
        <v>2049</v>
      </c>
      <c r="C67" s="64"/>
      <c r="D67" s="2531">
        <f t="shared" si="57"/>
        <v>25.855532563541701</v>
      </c>
      <c r="E67" s="2258">
        <f t="shared" si="57"/>
        <v>75.341185060584252</v>
      </c>
      <c r="F67" s="2258">
        <f t="shared" si="57"/>
        <v>60.370891423418186</v>
      </c>
      <c r="G67" s="2258">
        <f t="shared" si="57"/>
        <v>66.868382730651149</v>
      </c>
      <c r="H67" s="2258">
        <f t="shared" si="57"/>
        <v>86.103582503137019</v>
      </c>
      <c r="I67" s="2258">
        <f t="shared" si="57"/>
        <v>39.5458403517503</v>
      </c>
      <c r="J67" s="2532">
        <f t="shared" si="57"/>
        <v>51.67753076865862</v>
      </c>
      <c r="K67" s="2816">
        <f t="shared" si="37"/>
        <v>28.961959245034521</v>
      </c>
      <c r="L67" s="2817">
        <f t="shared" si="37"/>
        <v>5.7118173712042051</v>
      </c>
      <c r="M67" s="2817">
        <f t="shared" si="37"/>
        <v>-5.6265815465376498E-2</v>
      </c>
      <c r="N67" s="2818">
        <f t="shared" si="37"/>
        <v>3.9569525858618778E-4</v>
      </c>
      <c r="O67" s="2819">
        <f t="shared" si="38"/>
        <v>34.754351094041425</v>
      </c>
      <c r="P67" s="2820">
        <f t="shared" si="38"/>
        <v>6.7827680608129146</v>
      </c>
      <c r="Q67" s="2820">
        <f t="shared" si="38"/>
        <v>-6.7518978558451806E-2</v>
      </c>
      <c r="R67" s="2821">
        <f t="shared" si="38"/>
        <v>4.748343103034253E-4</v>
      </c>
      <c r="S67" s="2819">
        <f t="shared" si="58"/>
        <v>4.0425633889616162</v>
      </c>
      <c r="T67" s="2828">
        <f t="shared" si="58"/>
        <v>135.94599999999997</v>
      </c>
      <c r="U67" s="2822">
        <f t="shared" si="43"/>
        <v>14.942176890877221</v>
      </c>
      <c r="V67" s="2823">
        <f t="shared" si="43"/>
        <v>9.9501458068389237</v>
      </c>
      <c r="W67" s="2823">
        <f t="shared" si="43"/>
        <v>10.531312540890724</v>
      </c>
      <c r="X67" s="2823">
        <f t="shared" si="43"/>
        <v>10.227438218406306</v>
      </c>
      <c r="Y67" s="2823">
        <f t="shared" si="43"/>
        <v>9.7585362546147536</v>
      </c>
      <c r="Z67" s="2823">
        <f t="shared" si="43"/>
        <v>12.318164771869354</v>
      </c>
      <c r="AA67" s="2824">
        <f t="shared" si="43"/>
        <v>11.094529075599365</v>
      </c>
      <c r="AB67" s="2822">
        <f t="shared" si="44"/>
        <v>6.6986343518705498</v>
      </c>
      <c r="AC67" s="2823">
        <f t="shared" si="44"/>
        <v>4.8524002924893939</v>
      </c>
      <c r="AD67" s="2823">
        <f t="shared" si="44"/>
        <v>5.0128700111462674</v>
      </c>
      <c r="AE67" s="2823">
        <f t="shared" si="44"/>
        <v>4.9107907483249127</v>
      </c>
      <c r="AF67" s="2823">
        <f t="shared" si="44"/>
        <v>4.8931157174493585</v>
      </c>
      <c r="AG67" s="2823">
        <f t="shared" si="44"/>
        <v>5.7340911895341602</v>
      </c>
      <c r="AH67" s="2824">
        <f t="shared" si="44"/>
        <v>5.2341543433387017</v>
      </c>
      <c r="AI67" s="2825">
        <f>'A1.3.4'!$J$27/100</f>
        <v>0.1205924519584583</v>
      </c>
      <c r="AJ67" s="2822">
        <f t="shared" si="45"/>
        <v>7.6927433594732202</v>
      </c>
      <c r="AK67" s="2823">
        <f t="shared" si="45"/>
        <v>5.467149923525036</v>
      </c>
      <c r="AL67" s="2823">
        <f t="shared" si="45"/>
        <v>5.6783525267999888</v>
      </c>
      <c r="AM67" s="2823">
        <f t="shared" si="45"/>
        <v>5.5519383029407621</v>
      </c>
      <c r="AN67" s="2823">
        <f t="shared" si="45"/>
        <v>5.4798487098351734</v>
      </c>
      <c r="AO67" s="2823">
        <f t="shared" si="45"/>
        <v>6.528080766702872</v>
      </c>
      <c r="AP67" s="2824">
        <f t="shared" si="45"/>
        <v>5.9408713016974088</v>
      </c>
      <c r="AQ67" s="2829" t="str">
        <f t="shared" si="23"/>
        <v>2049/50</v>
      </c>
      <c r="AR67" s="2830">
        <f t="shared" si="41"/>
        <v>2.2999999999999998</v>
      </c>
      <c r="AS67" s="2826">
        <f>'Cost and rev series'!E66</f>
        <v>2</v>
      </c>
      <c r="AT67" s="2826">
        <f t="shared" si="41"/>
        <v>-0.29999999999999982</v>
      </c>
      <c r="AU67" s="2827">
        <f t="shared" si="33"/>
        <v>0.9580841138228553</v>
      </c>
      <c r="AV67" s="2822">
        <f t="shared" si="46"/>
        <v>73.040859757268677</v>
      </c>
      <c r="AW67" s="2823">
        <f t="shared" si="47"/>
        <v>69.896669095904613</v>
      </c>
      <c r="AX67" s="2823">
        <f t="shared" si="48"/>
        <v>70.281053472389345</v>
      </c>
      <c r="AY67" s="2823">
        <f t="shared" si="49"/>
        <v>70.468820361599839</v>
      </c>
      <c r="AZ67" s="2823">
        <f t="shared" si="50"/>
        <v>70.57409238881381</v>
      </c>
      <c r="BA67" s="2823">
        <f t="shared" si="51"/>
        <v>69.739364298242648</v>
      </c>
      <c r="BB67" s="2823">
        <f t="shared" si="52"/>
        <v>69.009602979172868</v>
      </c>
      <c r="BC67" s="2823">
        <f t="shared" si="53"/>
        <v>69.319680226065998</v>
      </c>
      <c r="BD67" s="2824">
        <f t="shared" si="54"/>
        <v>70.564999013080566</v>
      </c>
      <c r="BE67" s="2823"/>
      <c r="BF67" s="2825">
        <f t="shared" si="25"/>
        <v>2049</v>
      </c>
      <c r="BG67" s="2819">
        <f t="shared" si="56"/>
        <v>28.962159500344377</v>
      </c>
      <c r="BH67" s="2820">
        <f t="shared" si="56"/>
        <v>5.7118536977489995</v>
      </c>
      <c r="BI67" s="2820">
        <f t="shared" si="56"/>
        <v>-5.6266206386038228E-2</v>
      </c>
      <c r="BJ67" s="2828">
        <f t="shared" si="56"/>
        <v>3.9569800388727174E-4</v>
      </c>
      <c r="BK67" s="2819">
        <f t="shared" si="56"/>
        <v>34.754591400413247</v>
      </c>
      <c r="BL67" s="2820">
        <f t="shared" si="56"/>
        <v>6.7828116526666671</v>
      </c>
      <c r="BM67" s="2820">
        <f t="shared" si="56"/>
        <v>-6.7519447663245871E-2</v>
      </c>
      <c r="BN67" s="2828">
        <f t="shared" si="56"/>
        <v>4.7483760466472609E-4</v>
      </c>
      <c r="BO67" s="2822">
        <f t="shared" si="26"/>
        <v>4.4213332713113518</v>
      </c>
      <c r="BP67" s="2823">
        <f t="shared" si="27"/>
        <v>5.23418714094149</v>
      </c>
      <c r="BQ67" s="2824">
        <f t="shared" si="28"/>
        <v>5.1361630997188712</v>
      </c>
    </row>
    <row r="68" spans="1:69" ht="13.5" customHeight="1">
      <c r="A68" s="2822"/>
      <c r="B68" s="714">
        <v>2050</v>
      </c>
      <c r="C68" s="2672"/>
      <c r="D68" s="2307">
        <v>25.788174979479372</v>
      </c>
      <c r="E68" s="2243">
        <v>75.170221798530207</v>
      </c>
      <c r="F68" s="2243">
        <v>60.284864040377727</v>
      </c>
      <c r="G68" s="2243">
        <v>66.710845670887736</v>
      </c>
      <c r="H68" s="2243">
        <v>85.895078065522341</v>
      </c>
      <c r="I68" s="2243">
        <v>39.476319858524271</v>
      </c>
      <c r="J68" s="2530">
        <v>51.596276767916478</v>
      </c>
      <c r="K68" s="2816">
        <f t="shared" si="37"/>
        <v>29.079823798835406</v>
      </c>
      <c r="L68" s="2817">
        <f t="shared" si="37"/>
        <v>5.7331981375686905</v>
      </c>
      <c r="M68" s="2817">
        <f t="shared" si="37"/>
        <v>-5.6495900197706062E-2</v>
      </c>
      <c r="N68" s="2818">
        <f t="shared" si="37"/>
        <v>3.9731106436703494E-4</v>
      </c>
      <c r="O68" s="2819">
        <f t="shared" si="38"/>
        <v>34.89578855860249</v>
      </c>
      <c r="P68" s="2820">
        <f t="shared" si="38"/>
        <v>6.8084249804502974</v>
      </c>
      <c r="Q68" s="2820">
        <f t="shared" si="38"/>
        <v>-6.7795080237247271E-2</v>
      </c>
      <c r="R68" s="2821">
        <f t="shared" si="38"/>
        <v>4.7677327724044192E-4</v>
      </c>
      <c r="S68" s="2819">
        <f t="shared" si="58"/>
        <v>4.0425633889616162</v>
      </c>
      <c r="T68" s="2828">
        <f t="shared" si="58"/>
        <v>135.94599999999997</v>
      </c>
      <c r="U68" s="2822">
        <f t="shared" si="43"/>
        <v>14.982341900674749</v>
      </c>
      <c r="V68" s="2823">
        <f t="shared" si="43"/>
        <v>9.9693447497114747</v>
      </c>
      <c r="W68" s="2823">
        <f t="shared" si="43"/>
        <v>10.551281282168691</v>
      </c>
      <c r="X68" s="2823">
        <f t="shared" si="43"/>
        <v>10.248788391008432</v>
      </c>
      <c r="Y68" s="2823">
        <f t="shared" si="43"/>
        <v>9.7756375663103388</v>
      </c>
      <c r="Z68" s="2823">
        <f t="shared" si="43"/>
        <v>12.34504792871379</v>
      </c>
      <c r="AA68" s="2824">
        <f t="shared" si="43"/>
        <v>11.116900977790962</v>
      </c>
      <c r="AB68" s="2822">
        <f t="shared" si="44"/>
        <v>6.7303522544117156</v>
      </c>
      <c r="AC68" s="2823">
        <f t="shared" si="44"/>
        <v>4.8705144099210909</v>
      </c>
      <c r="AD68" s="2823">
        <f t="shared" si="44"/>
        <v>5.0329763986443075</v>
      </c>
      <c r="AE68" s="2823">
        <f t="shared" si="44"/>
        <v>4.9306497528248254</v>
      </c>
      <c r="AF68" s="2823">
        <f t="shared" si="44"/>
        <v>4.9090381848195506</v>
      </c>
      <c r="AG68" s="2823">
        <f t="shared" si="44"/>
        <v>5.7590861878892543</v>
      </c>
      <c r="AH68" s="2824">
        <f t="shared" si="44"/>
        <v>5.2560292991427939</v>
      </c>
      <c r="AI68" s="2825">
        <f>'A1.3.4'!$J$27/100</f>
        <v>0.1205924519584583</v>
      </c>
      <c r="AJ68" s="2822">
        <f t="shared" si="45"/>
        <v>7.725479919390386</v>
      </c>
      <c r="AK68" s="2823">
        <f t="shared" si="45"/>
        <v>5.4853948627165927</v>
      </c>
      <c r="AL68" s="2823">
        <f t="shared" si="45"/>
        <v>5.6984423152028478</v>
      </c>
      <c r="AM68" s="2823">
        <f t="shared" si="45"/>
        <v>5.5719771310584036</v>
      </c>
      <c r="AN68" s="2823">
        <f t="shared" si="45"/>
        <v>5.4959133369330422</v>
      </c>
      <c r="AO68" s="2823">
        <f t="shared" si="45"/>
        <v>6.5533034627198816</v>
      </c>
      <c r="AP68" s="2824">
        <f t="shared" si="45"/>
        <v>5.9628061854848617</v>
      </c>
      <c r="AQ68" s="2829" t="str">
        <f t="shared" si="23"/>
        <v>2050/51</v>
      </c>
      <c r="AR68" s="2830">
        <f t="shared" si="41"/>
        <v>2.2999999999999998</v>
      </c>
      <c r="AS68" s="2826">
        <f>'Cost and rev series'!E67</f>
        <v>2</v>
      </c>
      <c r="AT68" s="2826">
        <f t="shared" si="41"/>
        <v>-0.29999999999999982</v>
      </c>
      <c r="AU68" s="2827">
        <f t="shared" si="33"/>
        <v>0.9552744829905303</v>
      </c>
      <c r="AV68" s="2822">
        <f t="shared" si="46"/>
        <v>73.548629256798264</v>
      </c>
      <c r="AW68" s="2823">
        <f t="shared" si="47"/>
        <v>70.333619339444638</v>
      </c>
      <c r="AX68" s="2823">
        <f t="shared" si="48"/>
        <v>70.730936920611271</v>
      </c>
      <c r="AY68" s="2823">
        <f t="shared" si="49"/>
        <v>70.923656005458255</v>
      </c>
      <c r="AZ68" s="2823">
        <f t="shared" si="50"/>
        <v>71.043650146788281</v>
      </c>
      <c r="BA68" s="2823">
        <f t="shared" si="51"/>
        <v>70.180558517780085</v>
      </c>
      <c r="BB68" s="2823">
        <f t="shared" si="52"/>
        <v>69.426000365517439</v>
      </c>
      <c r="BC68" s="2823">
        <f t="shared" si="53"/>
        <v>69.746613843322237</v>
      </c>
      <c r="BD68" s="2824">
        <f t="shared" si="54"/>
        <v>71.025041085607327</v>
      </c>
      <c r="BE68" s="2823"/>
      <c r="BF68" s="2825">
        <f t="shared" si="25"/>
        <v>2050</v>
      </c>
      <c r="BG68" s="2819">
        <f t="shared" si="56"/>
        <v>29.080025424416199</v>
      </c>
      <c r="BH68" s="2820">
        <f t="shared" si="56"/>
        <v>5.7332347126822167</v>
      </c>
      <c r="BI68" s="2820">
        <f t="shared" si="56"/>
        <v>-5.6496293793289229E-2</v>
      </c>
      <c r="BJ68" s="2828">
        <f t="shared" si="56"/>
        <v>3.9731382845317026E-4</v>
      </c>
      <c r="BK68" s="2819">
        <f t="shared" si="56"/>
        <v>34.896030509299436</v>
      </c>
      <c r="BL68" s="2820">
        <f t="shared" si="56"/>
        <v>6.8084688705865286</v>
      </c>
      <c r="BM68" s="2820">
        <f t="shared" si="56"/>
        <v>-6.779555255194708E-2</v>
      </c>
      <c r="BN68" s="2828">
        <f t="shared" si="56"/>
        <v>4.767765941438044E-4</v>
      </c>
      <c r="BO68" s="2822">
        <f t="shared" si="26"/>
        <v>4.4395626030969364</v>
      </c>
      <c r="BP68" s="2823">
        <f t="shared" si="27"/>
        <v>5.2560623390841918</v>
      </c>
      <c r="BQ68" s="2824">
        <f t="shared" si="28"/>
        <v>5.1575986338980551</v>
      </c>
    </row>
    <row r="69" spans="1:69">
      <c r="A69" s="2835"/>
      <c r="B69" s="2836">
        <v>2051</v>
      </c>
      <c r="C69" s="2837"/>
      <c r="D69" s="2838">
        <f t="shared" ref="D69:J78" si="59">D68</f>
        <v>25.788174979479372</v>
      </c>
      <c r="E69" s="2839">
        <f t="shared" si="59"/>
        <v>75.170221798530207</v>
      </c>
      <c r="F69" s="2839">
        <f t="shared" si="59"/>
        <v>60.284864040377727</v>
      </c>
      <c r="G69" s="2839">
        <f t="shared" si="59"/>
        <v>66.710845670887736</v>
      </c>
      <c r="H69" s="2839">
        <f t="shared" si="59"/>
        <v>85.895078065522341</v>
      </c>
      <c r="I69" s="2839">
        <f t="shared" si="59"/>
        <v>39.476319858524271</v>
      </c>
      <c r="J69" s="2840">
        <f t="shared" si="59"/>
        <v>51.596276767916478</v>
      </c>
      <c r="K69" s="2841">
        <f t="shared" ref="K69:N78" si="60">IF(ISERROR(VLOOKUP($B69,Av_car_cost_work,1,0)),"",VLOOKUP($B69,Av_car_cost_work,K$22,0))</f>
        <v>29.198494854959463</v>
      </c>
      <c r="L69" s="2842">
        <f t="shared" si="60"/>
        <v>5.7547252043872827</v>
      </c>
      <c r="M69" s="2842">
        <f t="shared" si="60"/>
        <v>-5.6727559312368281E-2</v>
      </c>
      <c r="N69" s="2843">
        <f t="shared" si="60"/>
        <v>3.989379264924235E-4</v>
      </c>
      <c r="O69" s="2841">
        <f t="shared" ref="O69:R78" si="61">IF(ISERROR(VLOOKUP($B69,av_car_cost_nonwork,1,0)),"",VLOOKUP($B69,av_car_cost_nonwork,O$22,0))</f>
        <v>35.038193825951353</v>
      </c>
      <c r="P69" s="2842">
        <f t="shared" si="61"/>
        <v>6.8342574606326085</v>
      </c>
      <c r="Q69" s="2842">
        <f t="shared" si="61"/>
        <v>-6.8073071174841931E-2</v>
      </c>
      <c r="R69" s="2843">
        <f t="shared" si="61"/>
        <v>4.7872551179090831E-4</v>
      </c>
      <c r="S69" s="2841">
        <f t="shared" si="58"/>
        <v>4.0425633889616162</v>
      </c>
      <c r="T69" s="2844">
        <f t="shared" si="58"/>
        <v>135.94599999999997</v>
      </c>
      <c r="U69" s="2845">
        <f t="shared" si="43"/>
        <v>15.003578576260226</v>
      </c>
      <c r="V69" s="2846">
        <f t="shared" si="43"/>
        <v>9.9842293329013554</v>
      </c>
      <c r="W69" s="2846">
        <f t="shared" si="43"/>
        <v>10.566723763562852</v>
      </c>
      <c r="X69" s="2846">
        <f t="shared" si="43"/>
        <v>10.263880253977394</v>
      </c>
      <c r="Y69" s="2846">
        <f t="shared" si="43"/>
        <v>9.7906507678556558</v>
      </c>
      <c r="Z69" s="2846">
        <f t="shared" si="43"/>
        <v>12.362971348048616</v>
      </c>
      <c r="AA69" s="2847">
        <f t="shared" si="43"/>
        <v>11.133106282381799</v>
      </c>
      <c r="AB69" s="2845">
        <f t="shared" si="44"/>
        <v>6.7558362651142883</v>
      </c>
      <c r="AC69" s="2846">
        <f t="shared" si="44"/>
        <v>4.8883759097489481</v>
      </c>
      <c r="AD69" s="2846">
        <f t="shared" si="44"/>
        <v>5.0515073763172991</v>
      </c>
      <c r="AE69" s="2846">
        <f t="shared" si="44"/>
        <v>4.9487599883875788</v>
      </c>
      <c r="AF69" s="2846">
        <f t="shared" si="44"/>
        <v>4.9270540266739316</v>
      </c>
      <c r="AG69" s="2846">
        <f t="shared" si="44"/>
        <v>5.7805942910910471</v>
      </c>
      <c r="AH69" s="2847">
        <f t="shared" si="44"/>
        <v>5.2754756646517977</v>
      </c>
      <c r="AI69" s="2848">
        <f>'A1.3.4'!$J$27/100</f>
        <v>0.1205924519584583</v>
      </c>
      <c r="AJ69" s="2845">
        <f t="shared" si="45"/>
        <v>7.7504517335368988</v>
      </c>
      <c r="AK69" s="2846">
        <f t="shared" si="45"/>
        <v>5.5028973688678002</v>
      </c>
      <c r="AL69" s="2846">
        <f t="shared" si="45"/>
        <v>5.7166008435367104</v>
      </c>
      <c r="AM69" s="2846">
        <f t="shared" si="45"/>
        <v>5.5897233736691474</v>
      </c>
      <c r="AN69" s="2846">
        <f t="shared" si="45"/>
        <v>5.5135670830302033</v>
      </c>
      <c r="AO69" s="2846">
        <f t="shared" si="45"/>
        <v>6.5743792801046608</v>
      </c>
      <c r="AP69" s="2847">
        <f t="shared" si="45"/>
        <v>5.9818617035107975</v>
      </c>
      <c r="AQ69" s="2849" t="str">
        <f t="shared" si="23"/>
        <v>2051/52</v>
      </c>
      <c r="AR69" s="2832">
        <f t="shared" si="41"/>
        <v>2.2999999999999998</v>
      </c>
      <c r="AS69" s="2833">
        <f>'Cost and rev series'!E68</f>
        <v>2</v>
      </c>
      <c r="AT69" s="2833">
        <f t="shared" si="41"/>
        <v>-0.29999999999999982</v>
      </c>
      <c r="AU69" s="2834">
        <f t="shared" si="33"/>
        <v>0.95247309154481041</v>
      </c>
      <c r="AV69" s="2845">
        <f t="shared" si="46"/>
        <v>74.003601345221981</v>
      </c>
      <c r="AW69" s="2846">
        <f t="shared" si="47"/>
        <v>70.765765070701008</v>
      </c>
      <c r="AX69" s="2846">
        <f t="shared" si="48"/>
        <v>71.165228064046588</v>
      </c>
      <c r="AY69" s="2846">
        <f t="shared" si="49"/>
        <v>71.359011783280025</v>
      </c>
      <c r="AZ69" s="2846">
        <f t="shared" si="50"/>
        <v>71.481962297116979</v>
      </c>
      <c r="BA69" s="2846">
        <f t="shared" si="51"/>
        <v>70.613417728968301</v>
      </c>
      <c r="BB69" s="2846">
        <f t="shared" si="52"/>
        <v>69.854092342794502</v>
      </c>
      <c r="BC69" s="2846">
        <f t="shared" si="53"/>
        <v>70.176731429148063</v>
      </c>
      <c r="BD69" s="2847">
        <f t="shared" si="54"/>
        <v>71.461790074664179</v>
      </c>
      <c r="BE69" s="2823"/>
      <c r="BF69" s="2848">
        <f t="shared" si="25"/>
        <v>2051</v>
      </c>
      <c r="BG69" s="2841">
        <f t="shared" si="56"/>
        <v>29.198697860187441</v>
      </c>
      <c r="BH69" s="2842">
        <f t="shared" si="56"/>
        <v>5.7547620297704043</v>
      </c>
      <c r="BI69" s="2842">
        <f t="shared" si="56"/>
        <v>-5.6727955601176355E-2</v>
      </c>
      <c r="BJ69" s="2844">
        <f t="shared" si="56"/>
        <v>3.989407094921493E-4</v>
      </c>
      <c r="BK69" s="2841">
        <f t="shared" si="56"/>
        <v>35.038437432224924</v>
      </c>
      <c r="BL69" s="2842">
        <f t="shared" si="56"/>
        <v>6.8343016510923533</v>
      </c>
      <c r="BM69" s="2842">
        <f t="shared" si="56"/>
        <v>-6.8073546721411637E-2</v>
      </c>
      <c r="BN69" s="2844">
        <f t="shared" si="56"/>
        <v>4.7872885139057923E-4</v>
      </c>
      <c r="BO69" s="2845">
        <f t="shared" si="26"/>
        <v>4.4557680960875699</v>
      </c>
      <c r="BP69" s="2846">
        <f t="shared" si="27"/>
        <v>5.2755089306729515</v>
      </c>
      <c r="BQ69" s="2847">
        <f t="shared" si="28"/>
        <v>5.1766543734598276</v>
      </c>
    </row>
    <row r="70" spans="1:69">
      <c r="A70" s="2835"/>
      <c r="B70" s="2836">
        <v>2052</v>
      </c>
      <c r="C70" s="2837"/>
      <c r="D70" s="2838">
        <f t="shared" si="59"/>
        <v>25.788174979479372</v>
      </c>
      <c r="E70" s="2839">
        <f t="shared" si="59"/>
        <v>75.170221798530207</v>
      </c>
      <c r="F70" s="2839">
        <f t="shared" si="59"/>
        <v>60.284864040377727</v>
      </c>
      <c r="G70" s="2839">
        <f t="shared" si="59"/>
        <v>66.710845670887736</v>
      </c>
      <c r="H70" s="2839">
        <f t="shared" si="59"/>
        <v>85.895078065522341</v>
      </c>
      <c r="I70" s="2839">
        <f t="shared" si="59"/>
        <v>39.476319858524271</v>
      </c>
      <c r="J70" s="2840">
        <f t="shared" si="59"/>
        <v>51.596276767916478</v>
      </c>
      <c r="K70" s="2841">
        <f t="shared" si="60"/>
        <v>29.317977931995426</v>
      </c>
      <c r="L70" s="2842">
        <f t="shared" si="60"/>
        <v>5.7763995727383612</v>
      </c>
      <c r="M70" s="2842">
        <f t="shared" si="60"/>
        <v>-5.6960803582262805E-2</v>
      </c>
      <c r="N70" s="2843">
        <f t="shared" si="60"/>
        <v>4.0057592061671531E-4</v>
      </c>
      <c r="O70" s="2841">
        <f t="shared" si="61"/>
        <v>35.181573518394515</v>
      </c>
      <c r="P70" s="2842">
        <f t="shared" si="61"/>
        <v>6.8602667026539006</v>
      </c>
      <c r="Q70" s="2842">
        <f t="shared" si="61"/>
        <v>-6.8352964298715374E-2</v>
      </c>
      <c r="R70" s="2843">
        <f t="shared" si="61"/>
        <v>4.8069110474005836E-4</v>
      </c>
      <c r="S70" s="2841">
        <f t="shared" si="58"/>
        <v>4.0425633889616162</v>
      </c>
      <c r="T70" s="2844">
        <f t="shared" si="58"/>
        <v>135.94599999999997</v>
      </c>
      <c r="U70" s="2845">
        <f t="shared" si="43"/>
        <v>15.024960566341401</v>
      </c>
      <c r="V70" s="2846">
        <f t="shared" si="43"/>
        <v>9.9992157656340837</v>
      </c>
      <c r="W70" s="2846">
        <f t="shared" si="43"/>
        <v>10.582271911985124</v>
      </c>
      <c r="X70" s="2846">
        <f t="shared" si="43"/>
        <v>10.279075384825912</v>
      </c>
      <c r="Y70" s="2846">
        <f t="shared" si="43"/>
        <v>9.8057666990303201</v>
      </c>
      <c r="Z70" s="2846">
        <f t="shared" si="43"/>
        <v>12.3810174105265</v>
      </c>
      <c r="AA70" s="2847">
        <f t="shared" si="43"/>
        <v>11.149422473709819</v>
      </c>
      <c r="AB70" s="2845">
        <f t="shared" si="44"/>
        <v>6.7814946532116966</v>
      </c>
      <c r="AC70" s="2846">
        <f t="shared" si="44"/>
        <v>4.9063596290282199</v>
      </c>
      <c r="AD70" s="2846">
        <f t="shared" si="44"/>
        <v>5.0701651544240267</v>
      </c>
      <c r="AE70" s="2846">
        <f t="shared" si="44"/>
        <v>4.9669941454057982</v>
      </c>
      <c r="AF70" s="2846">
        <f t="shared" si="44"/>
        <v>4.9451931440835244</v>
      </c>
      <c r="AG70" s="2846">
        <f t="shared" si="44"/>
        <v>5.802249566064507</v>
      </c>
      <c r="AH70" s="2847">
        <f t="shared" si="44"/>
        <v>5.29505509424542</v>
      </c>
      <c r="AI70" s="2848">
        <f>'A1.3.4'!$J$27/100</f>
        <v>0.1205924519584583</v>
      </c>
      <c r="AJ70" s="2845">
        <f t="shared" si="45"/>
        <v>7.7755944203119798</v>
      </c>
      <c r="AK70" s="2846">
        <f t="shared" si="45"/>
        <v>5.5205196380132024</v>
      </c>
      <c r="AL70" s="2846">
        <f t="shared" si="45"/>
        <v>5.7348836237751062</v>
      </c>
      <c r="AM70" s="2846">
        <f t="shared" si="45"/>
        <v>5.607591047069997</v>
      </c>
      <c r="AN70" s="2846">
        <f t="shared" si="45"/>
        <v>5.5313416269989988</v>
      </c>
      <c r="AO70" s="2846">
        <f t="shared" si="45"/>
        <v>6.5955993112936406</v>
      </c>
      <c r="AP70" s="2847">
        <f t="shared" si="45"/>
        <v>6.0010476112006463</v>
      </c>
      <c r="AQ70" s="2849" t="str">
        <f t="shared" si="23"/>
        <v>2052/53</v>
      </c>
      <c r="AR70" s="2832">
        <f t="shared" ref="AR70:AT77" si="62">AR69</f>
        <v>2.2999999999999998</v>
      </c>
      <c r="AS70" s="2833">
        <f>'Cost and rev series'!E69</f>
        <v>2</v>
      </c>
      <c r="AT70" s="2833">
        <f t="shared" si="62"/>
        <v>-0.29999999999999982</v>
      </c>
      <c r="AU70" s="2834">
        <f t="shared" si="33"/>
        <v>0.94967991532327145</v>
      </c>
      <c r="AV70" s="2845">
        <f t="shared" si="46"/>
        <v>74.462251318127443</v>
      </c>
      <c r="AW70" s="2846">
        <f t="shared" si="47"/>
        <v>71.201390467294075</v>
      </c>
      <c r="AX70" s="2846">
        <f t="shared" si="48"/>
        <v>71.603014759629502</v>
      </c>
      <c r="AY70" s="2846">
        <f t="shared" si="49"/>
        <v>71.79787112505204</v>
      </c>
      <c r="AZ70" s="2846">
        <f t="shared" si="50"/>
        <v>71.923812230614629</v>
      </c>
      <c r="BA70" s="2846">
        <f t="shared" si="51"/>
        <v>71.049770112383413</v>
      </c>
      <c r="BB70" s="2846">
        <f t="shared" si="52"/>
        <v>70.285638491167077</v>
      </c>
      <c r="BC70" s="2846">
        <f t="shared" si="53"/>
        <v>70.610319757738949</v>
      </c>
      <c r="BD70" s="2847">
        <f t="shared" si="54"/>
        <v>71.902057460839785</v>
      </c>
      <c r="BE70" s="2823"/>
      <c r="BF70" s="2848">
        <f t="shared" si="25"/>
        <v>2052</v>
      </c>
      <c r="BG70" s="2841">
        <f t="shared" si="56"/>
        <v>29.318182326310975</v>
      </c>
      <c r="BH70" s="2842">
        <f t="shared" si="56"/>
        <v>5.7764366501035749</v>
      </c>
      <c r="BI70" s="2842">
        <f t="shared" si="56"/>
        <v>-5.6961202582724496E-2</v>
      </c>
      <c r="BJ70" s="2844">
        <f t="shared" si="56"/>
        <v>4.0057872265944987E-4</v>
      </c>
      <c r="BK70" s="2841">
        <f t="shared" si="56"/>
        <v>35.181818791573178</v>
      </c>
      <c r="BL70" s="2842">
        <f t="shared" si="56"/>
        <v>6.8603111954921587</v>
      </c>
      <c r="BM70" s="2842">
        <f t="shared" si="56"/>
        <v>-6.8353443099269398E-2</v>
      </c>
      <c r="BN70" s="2844">
        <f t="shared" si="56"/>
        <v>4.8069446719133986E-4</v>
      </c>
      <c r="BO70" s="2845">
        <f t="shared" si="26"/>
        <v>4.4720844771045325</v>
      </c>
      <c r="BP70" s="2846">
        <f t="shared" si="27"/>
        <v>5.2950885878933081</v>
      </c>
      <c r="BQ70" s="2847">
        <f t="shared" si="28"/>
        <v>5.1958405042013993</v>
      </c>
    </row>
    <row r="71" spans="1:69">
      <c r="A71" s="2835"/>
      <c r="B71" s="2836">
        <v>2053</v>
      </c>
      <c r="C71" s="2837"/>
      <c r="D71" s="2838">
        <f t="shared" si="59"/>
        <v>25.788174979479372</v>
      </c>
      <c r="E71" s="2839">
        <f t="shared" si="59"/>
        <v>75.170221798530207</v>
      </c>
      <c r="F71" s="2839">
        <f t="shared" si="59"/>
        <v>60.284864040377727</v>
      </c>
      <c r="G71" s="2839">
        <f t="shared" si="59"/>
        <v>66.710845670887736</v>
      </c>
      <c r="H71" s="2839">
        <f t="shared" si="59"/>
        <v>85.895078065522341</v>
      </c>
      <c r="I71" s="2839">
        <f t="shared" si="59"/>
        <v>39.476319858524271</v>
      </c>
      <c r="J71" s="2840">
        <f t="shared" si="59"/>
        <v>51.596276767916478</v>
      </c>
      <c r="K71" s="2841">
        <f t="shared" si="60"/>
        <v>29.438278586293599</v>
      </c>
      <c r="L71" s="2842">
        <f t="shared" si="60"/>
        <v>5.7982222505502943</v>
      </c>
      <c r="M71" s="2842">
        <f t="shared" si="60"/>
        <v>-5.7195643854004094E-2</v>
      </c>
      <c r="N71" s="2843">
        <f t="shared" si="60"/>
        <v>4.0222512291194536E-4</v>
      </c>
      <c r="O71" s="2841">
        <f t="shared" si="61"/>
        <v>35.325934303552323</v>
      </c>
      <c r="P71" s="2842">
        <f t="shared" si="61"/>
        <v>6.8864539160282217</v>
      </c>
      <c r="Q71" s="2842">
        <f t="shared" si="61"/>
        <v>-6.8634772624804913E-2</v>
      </c>
      <c r="R71" s="2843">
        <f t="shared" si="61"/>
        <v>4.8267014749433438E-4</v>
      </c>
      <c r="S71" s="2841">
        <f t="shared" si="58"/>
        <v>4.0425633889616162</v>
      </c>
      <c r="T71" s="2844">
        <f t="shared" si="58"/>
        <v>135.94599999999997</v>
      </c>
      <c r="U71" s="2845">
        <f t="shared" si="43"/>
        <v>15.04648886525011</v>
      </c>
      <c r="V71" s="2846">
        <f t="shared" si="43"/>
        <v>10.014304744827347</v>
      </c>
      <c r="W71" s="2846">
        <f t="shared" si="43"/>
        <v>10.597926450474802</v>
      </c>
      <c r="X71" s="2846">
        <f t="shared" si="43"/>
        <v>10.294374490176812</v>
      </c>
      <c r="Y71" s="2846">
        <f t="shared" si="43"/>
        <v>9.8209860627741126</v>
      </c>
      <c r="Z71" s="2846">
        <f t="shared" si="43"/>
        <v>12.399186955347828</v>
      </c>
      <c r="AA71" s="2847">
        <f t="shared" si="43"/>
        <v>11.165850310530793</v>
      </c>
      <c r="AB71" s="2845">
        <f t="shared" si="44"/>
        <v>6.8073286119021468</v>
      </c>
      <c r="AC71" s="2846">
        <f t="shared" si="44"/>
        <v>4.9244664040601371</v>
      </c>
      <c r="AD71" s="2846">
        <f t="shared" si="44"/>
        <v>5.0889506006116427</v>
      </c>
      <c r="AE71" s="2846">
        <f t="shared" si="44"/>
        <v>4.9853530718268804</v>
      </c>
      <c r="AF71" s="2846">
        <f t="shared" si="44"/>
        <v>4.9634563805760781</v>
      </c>
      <c r="AG71" s="2846">
        <f t="shared" si="44"/>
        <v>5.8240530198501004</v>
      </c>
      <c r="AH71" s="2847">
        <f t="shared" si="44"/>
        <v>5.314768498430591</v>
      </c>
      <c r="AI71" s="2848">
        <f>'A1.3.4'!$J$27/100</f>
        <v>0.1205924519584583</v>
      </c>
      <c r="AJ71" s="2845">
        <f t="shared" si="45"/>
        <v>7.8009091489320506</v>
      </c>
      <c r="AK71" s="2846">
        <f t="shared" si="45"/>
        <v>5.5382624896454269</v>
      </c>
      <c r="AL71" s="2846">
        <f t="shared" si="45"/>
        <v>5.7532915061265735</v>
      </c>
      <c r="AM71" s="2846">
        <f t="shared" si="45"/>
        <v>5.6255809821656708</v>
      </c>
      <c r="AN71" s="2846">
        <f t="shared" si="45"/>
        <v>5.5492377954133305</v>
      </c>
      <c r="AO71" s="2846">
        <f t="shared" si="45"/>
        <v>6.6169645430870387</v>
      </c>
      <c r="AP71" s="2847">
        <f t="shared" si="45"/>
        <v>6.0203648007612944</v>
      </c>
      <c r="AQ71" s="2849" t="str">
        <f t="shared" si="23"/>
        <v>2053/54</v>
      </c>
      <c r="AR71" s="2832">
        <f t="shared" si="62"/>
        <v>2.2999999999999998</v>
      </c>
      <c r="AS71" s="2833">
        <f>'Cost and rev series'!E70</f>
        <v>2</v>
      </c>
      <c r="AT71" s="2833">
        <f t="shared" si="62"/>
        <v>-0.29999999999999982</v>
      </c>
      <c r="AU71" s="2834">
        <f t="shared" si="33"/>
        <v>0.94689493023434701</v>
      </c>
      <c r="AV71" s="2845">
        <f t="shared" si="46"/>
        <v>74.924612931363896</v>
      </c>
      <c r="AW71" s="2846">
        <f t="shared" si="47"/>
        <v>71.640527416950093</v>
      </c>
      <c r="AX71" s="2846">
        <f t="shared" si="48"/>
        <v>72.044329035702148</v>
      </c>
      <c r="AY71" s="2846">
        <f t="shared" si="49"/>
        <v>72.240266130528724</v>
      </c>
      <c r="AZ71" s="2846">
        <f t="shared" si="50"/>
        <v>72.369232397915852</v>
      </c>
      <c r="BA71" s="2846">
        <f t="shared" si="51"/>
        <v>71.489647707325048</v>
      </c>
      <c r="BB71" s="2846">
        <f t="shared" si="52"/>
        <v>70.720670490325034</v>
      </c>
      <c r="BC71" s="2846">
        <f t="shared" si="53"/>
        <v>71.047410661583825</v>
      </c>
      <c r="BD71" s="2847">
        <f t="shared" si="54"/>
        <v>72.345875492765501</v>
      </c>
      <c r="BE71" s="2823"/>
      <c r="BF71" s="2848">
        <f t="shared" si="25"/>
        <v>2053</v>
      </c>
      <c r="BG71" s="2841">
        <f t="shared" si="56"/>
        <v>29.438484379201736</v>
      </c>
      <c r="BH71" s="2842">
        <f t="shared" si="56"/>
        <v>5.7982595816218199</v>
      </c>
      <c r="BI71" s="2842">
        <f t="shared" si="56"/>
        <v>-5.7196045584674227E-2</v>
      </c>
      <c r="BJ71" s="2844">
        <f t="shared" si="56"/>
        <v>4.0222794412799292E-4</v>
      </c>
      <c r="BK71" s="2841">
        <f t="shared" si="56"/>
        <v>35.326181255042087</v>
      </c>
      <c r="BL71" s="2842">
        <f t="shared" si="56"/>
        <v>6.8864987133140518</v>
      </c>
      <c r="BM71" s="2842">
        <f t="shared" si="56"/>
        <v>-6.8635254701609083E-2</v>
      </c>
      <c r="BN71" s="2844">
        <f t="shared" si="56"/>
        <v>4.8267353295359145E-4</v>
      </c>
      <c r="BO71" s="2845">
        <f t="shared" si="26"/>
        <v>4.488512504912423</v>
      </c>
      <c r="BP71" s="2846">
        <f t="shared" si="27"/>
        <v>5.3148022212627755</v>
      </c>
      <c r="BQ71" s="2847">
        <f t="shared" si="28"/>
        <v>5.2151579183400276</v>
      </c>
    </row>
    <row r="72" spans="1:69">
      <c r="A72" s="2835"/>
      <c r="B72" s="2836">
        <v>2054</v>
      </c>
      <c r="C72" s="2837"/>
      <c r="D72" s="2838">
        <f t="shared" si="59"/>
        <v>25.788174979479372</v>
      </c>
      <c r="E72" s="2839">
        <f t="shared" si="59"/>
        <v>75.170221798530207</v>
      </c>
      <c r="F72" s="2839">
        <f t="shared" si="59"/>
        <v>60.284864040377727</v>
      </c>
      <c r="G72" s="2839">
        <f t="shared" si="59"/>
        <v>66.710845670887736</v>
      </c>
      <c r="H72" s="2839">
        <f t="shared" si="59"/>
        <v>85.895078065522341</v>
      </c>
      <c r="I72" s="2839">
        <f t="shared" si="59"/>
        <v>39.476319858524271</v>
      </c>
      <c r="J72" s="2840">
        <f t="shared" si="59"/>
        <v>51.596276767916478</v>
      </c>
      <c r="K72" s="2841">
        <f t="shared" si="60"/>
        <v>29.559402412224316</v>
      </c>
      <c r="L72" s="2842">
        <f t="shared" si="60"/>
        <v>5.8201942526483315</v>
      </c>
      <c r="M72" s="2842">
        <f t="shared" si="60"/>
        <v>-5.7432091048425921E-2</v>
      </c>
      <c r="N72" s="2843">
        <f t="shared" si="60"/>
        <v>4.038856100713657E-4</v>
      </c>
      <c r="O72" s="2841">
        <f t="shared" si="61"/>
        <v>35.47128289466918</v>
      </c>
      <c r="P72" s="2842">
        <f t="shared" si="61"/>
        <v>6.9128203185458652</v>
      </c>
      <c r="Q72" s="2842">
        <f t="shared" si="61"/>
        <v>-6.8918509258111105E-2</v>
      </c>
      <c r="R72" s="2843">
        <f t="shared" si="61"/>
        <v>4.8466273208563876E-4</v>
      </c>
      <c r="S72" s="2841">
        <f t="shared" si="58"/>
        <v>4.0425633889616162</v>
      </c>
      <c r="T72" s="2844">
        <f t="shared" si="58"/>
        <v>135.94599999999997</v>
      </c>
      <c r="U72" s="2845">
        <f t="shared" si="43"/>
        <v>15.068164474122026</v>
      </c>
      <c r="V72" s="2846">
        <f t="shared" si="43"/>
        <v>10.029496972167582</v>
      </c>
      <c r="W72" s="2846">
        <f t="shared" si="43"/>
        <v>10.613688107018664</v>
      </c>
      <c r="X72" s="2846">
        <f t="shared" si="43"/>
        <v>10.309778281488082</v>
      </c>
      <c r="Y72" s="2846">
        <f t="shared" si="43"/>
        <v>9.8363095668367784</v>
      </c>
      <c r="Z72" s="2846">
        <f t="shared" si="43"/>
        <v>12.417480827455323</v>
      </c>
      <c r="AA72" s="2847">
        <f t="shared" si="43"/>
        <v>11.182390556792384</v>
      </c>
      <c r="AB72" s="2845">
        <f t="shared" si="44"/>
        <v>6.8333393425484461</v>
      </c>
      <c r="AC72" s="2846">
        <f t="shared" si="44"/>
        <v>4.94269707686842</v>
      </c>
      <c r="AD72" s="2846">
        <f t="shared" si="44"/>
        <v>5.107864588464273</v>
      </c>
      <c r="AE72" s="2846">
        <f t="shared" si="44"/>
        <v>5.0038376214004012</v>
      </c>
      <c r="AF72" s="2846">
        <f t="shared" si="44"/>
        <v>4.9818445854512774</v>
      </c>
      <c r="AG72" s="2846">
        <f t="shared" si="44"/>
        <v>5.846005666379094</v>
      </c>
      <c r="AH72" s="2847">
        <f t="shared" si="44"/>
        <v>5.3346167939444964</v>
      </c>
      <c r="AI72" s="2848">
        <f>'A1.3.4'!$J$27/100</f>
        <v>0.1205924519584583</v>
      </c>
      <c r="AJ72" s="2845">
        <f t="shared" si="45"/>
        <v>7.8263970966140386</v>
      </c>
      <c r="AK72" s="2846">
        <f t="shared" si="45"/>
        <v>5.5561267488645756</v>
      </c>
      <c r="AL72" s="2846">
        <f t="shared" si="45"/>
        <v>5.7718253466172937</v>
      </c>
      <c r="AM72" s="2846">
        <f t="shared" si="45"/>
        <v>5.6436940155464548</v>
      </c>
      <c r="AN72" s="2846">
        <f t="shared" si="45"/>
        <v>5.5672564205030266</v>
      </c>
      <c r="AO72" s="2846">
        <f t="shared" si="45"/>
        <v>6.6384759690373816</v>
      </c>
      <c r="AP72" s="2847">
        <f t="shared" si="45"/>
        <v>6.0398141705046635</v>
      </c>
      <c r="AQ72" s="2849" t="str">
        <f t="shared" si="23"/>
        <v>2054/55</v>
      </c>
      <c r="AR72" s="2832">
        <f t="shared" si="62"/>
        <v>2.2999999999999998</v>
      </c>
      <c r="AS72" s="2833">
        <f>'Cost and rev series'!E71</f>
        <v>2</v>
      </c>
      <c r="AT72" s="2833">
        <f t="shared" si="62"/>
        <v>-0.29999999999999982</v>
      </c>
      <c r="AU72" s="2834">
        <f t="shared" si="33"/>
        <v>0.94411811225712028</v>
      </c>
      <c r="AV72" s="2845">
        <f t="shared" si="46"/>
        <v>75.39072026495019</v>
      </c>
      <c r="AW72" s="2846">
        <f t="shared" si="47"/>
        <v>72.083208113471187</v>
      </c>
      <c r="AX72" s="2846">
        <f t="shared" si="48"/>
        <v>72.489203228016521</v>
      </c>
      <c r="AY72" s="2846">
        <f t="shared" si="49"/>
        <v>72.686229207553737</v>
      </c>
      <c r="AZ72" s="2846">
        <f t="shared" si="50"/>
        <v>72.818255561229691</v>
      </c>
      <c r="BA72" s="2846">
        <f t="shared" si="51"/>
        <v>71.933082860711096</v>
      </c>
      <c r="BB72" s="2846">
        <f t="shared" si="52"/>
        <v>71.159220324117868</v>
      </c>
      <c r="BC72" s="2846">
        <f t="shared" si="53"/>
        <v>71.488036278800749</v>
      </c>
      <c r="BD72" s="2847">
        <f t="shared" si="54"/>
        <v>72.793276728631554</v>
      </c>
      <c r="BE72" s="2823"/>
      <c r="BF72" s="2848">
        <f t="shared" si="25"/>
        <v>2054</v>
      </c>
      <c r="BG72" s="2841">
        <f t="shared" si="56"/>
        <v>29.559609613295066</v>
      </c>
      <c r="BH72" s="2842">
        <f t="shared" si="56"/>
        <v>5.8202318391621848</v>
      </c>
      <c r="BI72" s="2842">
        <f t="shared" si="56"/>
        <v>-5.743249552798628E-2</v>
      </c>
      <c r="BJ72" s="2844">
        <f t="shared" si="56"/>
        <v>4.0388845059192188E-4</v>
      </c>
      <c r="BK72" s="2841">
        <f t="shared" si="56"/>
        <v>35.471531535954085</v>
      </c>
      <c r="BL72" s="2842">
        <f t="shared" si="56"/>
        <v>6.9128654223624899</v>
      </c>
      <c r="BM72" s="2842">
        <f t="shared" si="56"/>
        <v>-6.891899463358353E-2</v>
      </c>
      <c r="BN72" s="2844">
        <f t="shared" si="56"/>
        <v>4.8466614071030628E-4</v>
      </c>
      <c r="BO72" s="2845">
        <f t="shared" si="26"/>
        <v>4.505052943467776</v>
      </c>
      <c r="BP72" s="2846">
        <f t="shared" si="27"/>
        <v>5.3346507475292002</v>
      </c>
      <c r="BQ72" s="2847">
        <f t="shared" si="28"/>
        <v>5.234607514198081</v>
      </c>
    </row>
    <row r="73" spans="1:69">
      <c r="A73" s="2835"/>
      <c r="B73" s="2836">
        <v>2055</v>
      </c>
      <c r="C73" s="2837"/>
      <c r="D73" s="2838">
        <f t="shared" si="59"/>
        <v>25.788174979479372</v>
      </c>
      <c r="E73" s="2839">
        <f t="shared" si="59"/>
        <v>75.170221798530207</v>
      </c>
      <c r="F73" s="2839">
        <f t="shared" si="59"/>
        <v>60.284864040377727</v>
      </c>
      <c r="G73" s="2839">
        <f t="shared" si="59"/>
        <v>66.710845670887736</v>
      </c>
      <c r="H73" s="2839">
        <f t="shared" si="59"/>
        <v>85.895078065522341</v>
      </c>
      <c r="I73" s="2839">
        <f t="shared" si="59"/>
        <v>39.476319858524271</v>
      </c>
      <c r="J73" s="2840">
        <f t="shared" si="59"/>
        <v>51.596276767916478</v>
      </c>
      <c r="K73" s="2841">
        <f t="shared" si="60"/>
        <v>29.681355042438035</v>
      </c>
      <c r="L73" s="2842">
        <f t="shared" si="60"/>
        <v>5.8423166008017811</v>
      </c>
      <c r="M73" s="2842">
        <f t="shared" si="60"/>
        <v>-5.7670156161089163E-2</v>
      </c>
      <c r="N73" s="2843">
        <f t="shared" si="60"/>
        <v>4.0555745931301088E-4</v>
      </c>
      <c r="O73" s="2841">
        <f t="shared" si="61"/>
        <v>35.617626050925644</v>
      </c>
      <c r="P73" s="2842">
        <f t="shared" si="61"/>
        <v>6.9393671363300058</v>
      </c>
      <c r="Q73" s="2842">
        <f t="shared" si="61"/>
        <v>-6.9204187393306985E-2</v>
      </c>
      <c r="R73" s="2843">
        <f t="shared" si="61"/>
        <v>4.8666895117561299E-4</v>
      </c>
      <c r="S73" s="2841">
        <f t="shared" si="58"/>
        <v>4.0425633889616162</v>
      </c>
      <c r="T73" s="2844">
        <f t="shared" si="58"/>
        <v>135.94599999999997</v>
      </c>
      <c r="U73" s="2845">
        <f t="shared" si="43"/>
        <v>15.089988400943213</v>
      </c>
      <c r="V73" s="2846">
        <f t="shared" si="43"/>
        <v>10.044793154142601</v>
      </c>
      <c r="W73" s="2846">
        <f t="shared" si="43"/>
        <v>10.629557614584819</v>
      </c>
      <c r="X73" s="2846">
        <f t="shared" si="43"/>
        <v>10.325287475085938</v>
      </c>
      <c r="Y73" s="2846">
        <f t="shared" si="43"/>
        <v>9.8517379238109211</v>
      </c>
      <c r="Z73" s="2846">
        <f t="shared" si="43"/>
        <v>12.43589987757333</v>
      </c>
      <c r="AA73" s="2847">
        <f t="shared" si="43"/>
        <v>11.199043981669643</v>
      </c>
      <c r="AB73" s="2845">
        <f t="shared" si="44"/>
        <v>6.8595280547338708</v>
      </c>
      <c r="AC73" s="2846">
        <f t="shared" si="44"/>
        <v>4.9610524952384427</v>
      </c>
      <c r="AD73" s="2846">
        <f t="shared" si="44"/>
        <v>5.1269079975436611</v>
      </c>
      <c r="AE73" s="2846">
        <f t="shared" si="44"/>
        <v>5.0224486537178308</v>
      </c>
      <c r="AF73" s="2846">
        <f t="shared" si="44"/>
        <v>5.0003586138202483</v>
      </c>
      <c r="AG73" s="2846">
        <f t="shared" si="44"/>
        <v>5.8681085265207047</v>
      </c>
      <c r="AH73" s="2847">
        <f t="shared" si="44"/>
        <v>5.3546009037972109</v>
      </c>
      <c r="AI73" s="2848">
        <f>'A1.3.4'!$J$27/100</f>
        <v>0.1205924519584583</v>
      </c>
      <c r="AJ73" s="2845">
        <f t="shared" si="45"/>
        <v>7.8520594486301176</v>
      </c>
      <c r="AK73" s="2846">
        <f t="shared" si="45"/>
        <v>5.5741132464166041</v>
      </c>
      <c r="AL73" s="2846">
        <f t="shared" si="45"/>
        <v>5.7904860071309265</v>
      </c>
      <c r="AM73" s="2846">
        <f t="shared" si="45"/>
        <v>5.6619309895271126</v>
      </c>
      <c r="AN73" s="2846">
        <f t="shared" si="45"/>
        <v>5.5853983401925573</v>
      </c>
      <c r="AO73" s="2846">
        <f t="shared" si="45"/>
        <v>6.660134589495696</v>
      </c>
      <c r="AP73" s="2847">
        <f t="shared" si="45"/>
        <v>6.0593966248894864</v>
      </c>
      <c r="AQ73" s="2849" t="str">
        <f t="shared" si="23"/>
        <v>2055/56</v>
      </c>
      <c r="AR73" s="2832">
        <f t="shared" si="62"/>
        <v>2.2999999999999998</v>
      </c>
      <c r="AS73" s="2833">
        <f>'Cost and rev series'!E72</f>
        <v>2</v>
      </c>
      <c r="AT73" s="2833">
        <f t="shared" si="62"/>
        <v>-0.29999999999999982</v>
      </c>
      <c r="AU73" s="2834">
        <f t="shared" si="33"/>
        <v>0.9413494374411171</v>
      </c>
      <c r="AV73" s="2845">
        <f t="shared" si="46"/>
        <v>75.860607726232956</v>
      </c>
      <c r="AW73" s="2846">
        <f t="shared" si="47"/>
        <v>72.529465059716756</v>
      </c>
      <c r="AX73" s="2846">
        <f t="shared" si="48"/>
        <v>72.937669982729062</v>
      </c>
      <c r="AY73" s="2846">
        <f t="shared" si="49"/>
        <v>73.135793075060761</v>
      </c>
      <c r="AZ73" s="2846">
        <f t="shared" si="50"/>
        <v>73.270914797374758</v>
      </c>
      <c r="BA73" s="2846">
        <f t="shared" si="51"/>
        <v>72.380108230074356</v>
      </c>
      <c r="BB73" s="2846">
        <f t="shared" si="52"/>
        <v>71.601320283517566</v>
      </c>
      <c r="BC73" s="2846">
        <f t="shared" si="53"/>
        <v>71.932229056114195</v>
      </c>
      <c r="BD73" s="2847">
        <f t="shared" si="54"/>
        <v>73.244294039202344</v>
      </c>
      <c r="BE73" s="2823"/>
      <c r="BF73" s="2848">
        <f t="shared" si="25"/>
        <v>2055</v>
      </c>
      <c r="BG73" s="2841">
        <f t="shared" si="56"/>
        <v>29.681563661306924</v>
      </c>
      <c r="BH73" s="2842">
        <f t="shared" si="56"/>
        <v>5.8423544445058555</v>
      </c>
      <c r="BI73" s="2842">
        <f t="shared" si="56"/>
        <v>-5.7670563408349328E-2</v>
      </c>
      <c r="BJ73" s="2844">
        <f t="shared" si="56"/>
        <v>4.0556031927016902E-4</v>
      </c>
      <c r="BK73" s="2841">
        <f t="shared" si="56"/>
        <v>35.617876393568309</v>
      </c>
      <c r="BL73" s="2842">
        <f t="shared" si="56"/>
        <v>6.9394125487748948</v>
      </c>
      <c r="BM73" s="2842">
        <f t="shared" si="56"/>
        <v>-6.9204676090019193E-2</v>
      </c>
      <c r="BN73" s="2844">
        <f t="shared" si="56"/>
        <v>4.8667238312420278E-4</v>
      </c>
      <c r="BO73" s="2845">
        <f t="shared" si="26"/>
        <v>4.521706561954594</v>
      </c>
      <c r="BP73" s="2846">
        <f t="shared" si="27"/>
        <v>5.3546350897133808</v>
      </c>
      <c r="BQ73" s="2847">
        <f t="shared" si="28"/>
        <v>5.2541901962448003</v>
      </c>
    </row>
    <row r="74" spans="1:69">
      <c r="A74" s="2835"/>
      <c r="B74" s="2836">
        <v>2056</v>
      </c>
      <c r="C74" s="2837"/>
      <c r="D74" s="2838">
        <f t="shared" si="59"/>
        <v>25.788174979479372</v>
      </c>
      <c r="E74" s="2839">
        <f t="shared" si="59"/>
        <v>75.170221798530207</v>
      </c>
      <c r="F74" s="2839">
        <f t="shared" si="59"/>
        <v>60.284864040377727</v>
      </c>
      <c r="G74" s="2839">
        <f t="shared" si="59"/>
        <v>66.710845670887736</v>
      </c>
      <c r="H74" s="2839">
        <f t="shared" si="59"/>
        <v>85.895078065522341</v>
      </c>
      <c r="I74" s="2839">
        <f t="shared" si="59"/>
        <v>39.476319858524271</v>
      </c>
      <c r="J74" s="2840">
        <f t="shared" si="59"/>
        <v>51.596276767916478</v>
      </c>
      <c r="K74" s="2841">
        <f t="shared" si="60"/>
        <v>29.804142148127312</v>
      </c>
      <c r="L74" s="2842">
        <f t="shared" si="60"/>
        <v>5.8645903237715276</v>
      </c>
      <c r="M74" s="2842">
        <f t="shared" si="60"/>
        <v>-5.7909850262793085E-2</v>
      </c>
      <c r="N74" s="2843">
        <f t="shared" si="60"/>
        <v>4.0724074838328873E-4</v>
      </c>
      <c r="O74" s="2841">
        <f t="shared" si="61"/>
        <v>35.76497057775277</v>
      </c>
      <c r="P74" s="2842">
        <f t="shared" si="61"/>
        <v>6.9660956038937014</v>
      </c>
      <c r="Q74" s="2842">
        <f t="shared" si="61"/>
        <v>-6.9491820315351699E-2</v>
      </c>
      <c r="R74" s="2843">
        <f t="shared" si="61"/>
        <v>4.8868889805994654E-4</v>
      </c>
      <c r="S74" s="2841">
        <f t="shared" si="58"/>
        <v>4.0425633889616162</v>
      </c>
      <c r="T74" s="2844">
        <f t="shared" si="58"/>
        <v>135.94599999999997</v>
      </c>
      <c r="U74" s="2845">
        <f t="shared" si="43"/>
        <v>15.111961660596995</v>
      </c>
      <c r="V74" s="2846">
        <f t="shared" si="43"/>
        <v>10.060194002074436</v>
      </c>
      <c r="W74" s="2846">
        <f t="shared" si="43"/>
        <v>10.6455357111568</v>
      </c>
      <c r="X74" s="2846">
        <f t="shared" si="43"/>
        <v>10.340902792198147</v>
      </c>
      <c r="Y74" s="2846">
        <f t="shared" si="43"/>
        <v>9.8672718511651389</v>
      </c>
      <c r="Z74" s="2846">
        <f t="shared" si="43"/>
        <v>12.454444962247372</v>
      </c>
      <c r="AA74" s="2847">
        <f t="shared" si="43"/>
        <v>11.215811359600803</v>
      </c>
      <c r="AB74" s="2845">
        <f t="shared" si="44"/>
        <v>6.8858959663184098</v>
      </c>
      <c r="AC74" s="2846">
        <f t="shared" si="44"/>
        <v>4.9795335127566442</v>
      </c>
      <c r="AD74" s="2846">
        <f t="shared" si="44"/>
        <v>5.1460817134300392</v>
      </c>
      <c r="AE74" s="2846">
        <f t="shared" si="44"/>
        <v>5.0411870342524825</v>
      </c>
      <c r="AF74" s="2846">
        <f t="shared" si="44"/>
        <v>5.018999326645309</v>
      </c>
      <c r="AG74" s="2846">
        <f t="shared" si="44"/>
        <v>5.8903626281295542</v>
      </c>
      <c r="AH74" s="2847">
        <f t="shared" si="44"/>
        <v>5.3747217573146013</v>
      </c>
      <c r="AI74" s="2848">
        <f>'A1.3.4'!$J$27/100</f>
        <v>0.1205924519584583</v>
      </c>
      <c r="AJ74" s="2845">
        <f t="shared" si="45"/>
        <v>7.8778973983628218</v>
      </c>
      <c r="AK74" s="2846">
        <f t="shared" si="45"/>
        <v>5.5922228187319369</v>
      </c>
      <c r="AL74" s="2846">
        <f t="shared" si="45"/>
        <v>5.8092743554486557</v>
      </c>
      <c r="AM74" s="2846">
        <f t="shared" si="45"/>
        <v>5.6802927521860305</v>
      </c>
      <c r="AN74" s="2846">
        <f t="shared" si="45"/>
        <v>5.6036643981399799</v>
      </c>
      <c r="AO74" s="2846">
        <f t="shared" si="45"/>
        <v>6.6819414116580225</v>
      </c>
      <c r="AP74" s="2847">
        <f t="shared" si="45"/>
        <v>6.0791130745633506</v>
      </c>
      <c r="AQ74" s="2849" t="str">
        <f t="shared" si="23"/>
        <v>2056/57</v>
      </c>
      <c r="AR74" s="2832">
        <f t="shared" si="62"/>
        <v>2.2999999999999998</v>
      </c>
      <c r="AS74" s="2833">
        <f>'Cost and rev series'!E73</f>
        <v>2</v>
      </c>
      <c r="AT74" s="2833">
        <f t="shared" si="62"/>
        <v>-0.29999999999999982</v>
      </c>
      <c r="AU74" s="2834">
        <f t="shared" si="33"/>
        <v>0.93858888190609924</v>
      </c>
      <c r="AV74" s="2845">
        <f t="shared" si="46"/>
        <v>76.33431005307574</v>
      </c>
      <c r="AW74" s="2846">
        <f t="shared" si="47"/>
        <v>72.979331070614194</v>
      </c>
      <c r="AX74" s="2846">
        <f t="shared" si="48"/>
        <v>73.389762259424145</v>
      </c>
      <c r="AY74" s="2846">
        <f t="shared" si="49"/>
        <v>73.588990766103805</v>
      </c>
      <c r="AZ74" s="2846">
        <f t="shared" si="50"/>
        <v>73.727243500844324</v>
      </c>
      <c r="BA74" s="2846">
        <f t="shared" si="51"/>
        <v>72.830756786588609</v>
      </c>
      <c r="BB74" s="2846">
        <f t="shared" si="52"/>
        <v>72.047002969610716</v>
      </c>
      <c r="BC74" s="2846">
        <f t="shared" si="53"/>
        <v>72.380021751861705</v>
      </c>
      <c r="BD74" s="2847">
        <f t="shared" si="54"/>
        <v>73.698960610861477</v>
      </c>
      <c r="BE74" s="2823"/>
      <c r="BF74" s="2848">
        <f t="shared" si="25"/>
        <v>2056</v>
      </c>
      <c r="BG74" s="2841">
        <f t="shared" si="56"/>
        <v>29.804352194495795</v>
      </c>
      <c r="BH74" s="2842">
        <f t="shared" si="56"/>
        <v>5.8646284264256803</v>
      </c>
      <c r="BI74" s="2842">
        <f t="shared" si="56"/>
        <v>-5.7910260296691413E-2</v>
      </c>
      <c r="BJ74" s="2844">
        <f t="shared" si="56"/>
        <v>4.0724362791004639E-4</v>
      </c>
      <c r="BK74" s="2841">
        <f t="shared" si="56"/>
        <v>35.765222633394949</v>
      </c>
      <c r="BL74" s="2842">
        <f t="shared" si="56"/>
        <v>6.9661413270786845</v>
      </c>
      <c r="BM74" s="2842">
        <f t="shared" si="56"/>
        <v>-6.9492312356029678E-2</v>
      </c>
      <c r="BN74" s="2844">
        <f t="shared" si="56"/>
        <v>4.886923534920556E-4</v>
      </c>
      <c r="BO74" s="2845">
        <f t="shared" si="26"/>
        <v>4.5384741348201079</v>
      </c>
      <c r="BP74" s="2846">
        <f t="shared" si="27"/>
        <v>5.3747561771519994</v>
      </c>
      <c r="BQ74" s="2847">
        <f t="shared" si="28"/>
        <v>5.2739068751383691</v>
      </c>
    </row>
    <row r="75" spans="1:69">
      <c r="A75" s="2835"/>
      <c r="B75" s="2836">
        <v>2057</v>
      </c>
      <c r="C75" s="2837"/>
      <c r="D75" s="2838">
        <f t="shared" si="59"/>
        <v>25.788174979479372</v>
      </c>
      <c r="E75" s="2839">
        <f t="shared" si="59"/>
        <v>75.170221798530207</v>
      </c>
      <c r="F75" s="2839">
        <f t="shared" si="59"/>
        <v>60.284864040377727</v>
      </c>
      <c r="G75" s="2839">
        <f t="shared" si="59"/>
        <v>66.710845670887736</v>
      </c>
      <c r="H75" s="2839">
        <f t="shared" si="59"/>
        <v>85.895078065522341</v>
      </c>
      <c r="I75" s="2839">
        <f t="shared" si="59"/>
        <v>39.476319858524271</v>
      </c>
      <c r="J75" s="2840">
        <f t="shared" si="59"/>
        <v>51.596276767916478</v>
      </c>
      <c r="K75" s="2841">
        <f t="shared" si="60"/>
        <v>29.927769439290518</v>
      </c>
      <c r="L75" s="2842">
        <f t="shared" si="60"/>
        <v>5.8870164573578823</v>
      </c>
      <c r="M75" s="2842">
        <f t="shared" si="60"/>
        <v>-5.8151184500090311E-2</v>
      </c>
      <c r="N75" s="2843">
        <f t="shared" si="60"/>
        <v>4.0893555556059712E-4</v>
      </c>
      <c r="O75" s="2841">
        <f t="shared" si="61"/>
        <v>35.913323327148618</v>
      </c>
      <c r="P75" s="2842">
        <f t="shared" si="61"/>
        <v>6.9930069641973276</v>
      </c>
      <c r="Q75" s="2842">
        <f t="shared" si="61"/>
        <v>-6.9781421400108373E-2</v>
      </c>
      <c r="R75" s="2843">
        <f t="shared" si="61"/>
        <v>4.9072266667271646E-4</v>
      </c>
      <c r="S75" s="2841">
        <f t="shared" si="58"/>
        <v>4.0425633889616162</v>
      </c>
      <c r="T75" s="2844">
        <f t="shared" si="58"/>
        <v>135.94599999999997</v>
      </c>
      <c r="U75" s="2845">
        <f t="shared" si="43"/>
        <v>15.134085274911167</v>
      </c>
      <c r="V75" s="2846">
        <f t="shared" si="43"/>
        <v>10.075700232152434</v>
      </c>
      <c r="W75" s="2846">
        <f t="shared" si="43"/>
        <v>10.66162313976789</v>
      </c>
      <c r="X75" s="2846">
        <f t="shared" si="43"/>
        <v>10.356624958987569</v>
      </c>
      <c r="Y75" s="2846">
        <f t="shared" si="43"/>
        <v>9.8829120712774028</v>
      </c>
      <c r="Z75" s="2846">
        <f t="shared" si="43"/>
        <v>12.473116943883996</v>
      </c>
      <c r="AA75" s="2847">
        <f t="shared" si="43"/>
        <v>11.23269347032328</v>
      </c>
      <c r="AB75" s="2845">
        <f t="shared" si="44"/>
        <v>6.9124443034954179</v>
      </c>
      <c r="AC75" s="2846">
        <f t="shared" si="44"/>
        <v>4.9981409888502402</v>
      </c>
      <c r="AD75" s="2846">
        <f t="shared" si="44"/>
        <v>5.1653866277633451</v>
      </c>
      <c r="AE75" s="2846">
        <f t="shared" si="44"/>
        <v>5.0600536343997859</v>
      </c>
      <c r="AF75" s="2846">
        <f t="shared" si="44"/>
        <v>5.0377675907800246</v>
      </c>
      <c r="AG75" s="2846">
        <f t="shared" si="44"/>
        <v>5.9127690060935016</v>
      </c>
      <c r="AH75" s="2847">
        <f t="shared" si="44"/>
        <v>5.394980290181576</v>
      </c>
      <c r="AI75" s="2848">
        <f>'A1.3.4'!$J$27/100</f>
        <v>0.1205924519584583</v>
      </c>
      <c r="AJ75" s="2845">
        <f t="shared" si="45"/>
        <v>7.9039121473605647</v>
      </c>
      <c r="AK75" s="2846">
        <f t="shared" si="45"/>
        <v>5.6104563079643857</v>
      </c>
      <c r="AL75" s="2846">
        <f t="shared" si="45"/>
        <v>5.8281912652895782</v>
      </c>
      <c r="AM75" s="2846">
        <f t="shared" si="45"/>
        <v>5.6987801574046859</v>
      </c>
      <c r="AN75" s="2846">
        <f t="shared" si="45"/>
        <v>5.6220554437761949</v>
      </c>
      <c r="AO75" s="2846">
        <f t="shared" si="45"/>
        <v>6.7038974496122732</v>
      </c>
      <c r="AP75" s="2847">
        <f t="shared" si="45"/>
        <v>6.0989644364050744</v>
      </c>
      <c r="AQ75" s="2849" t="str">
        <f t="shared" si="23"/>
        <v>2057/58</v>
      </c>
      <c r="AR75" s="2832">
        <f t="shared" si="62"/>
        <v>2.2999999999999998</v>
      </c>
      <c r="AS75" s="2833">
        <f>'Cost and rev series'!E74</f>
        <v>2</v>
      </c>
      <c r="AT75" s="2833">
        <f t="shared" si="62"/>
        <v>-0.29999999999999982</v>
      </c>
      <c r="AU75" s="2834">
        <f t="shared" si="33"/>
        <v>0.93583642184185856</v>
      </c>
      <c r="AV75" s="2845">
        <f t="shared" si="46"/>
        <v>76.811862317079402</v>
      </c>
      <c r="AW75" s="2846">
        <f t="shared" si="47"/>
        <v>73.43283927619899</v>
      </c>
      <c r="AX75" s="2846">
        <f t="shared" si="48"/>
        <v>73.845513334167549</v>
      </c>
      <c r="AY75" s="2846">
        <f t="shared" si="49"/>
        <v>74.045855630917487</v>
      </c>
      <c r="AZ75" s="2846">
        <f t="shared" si="50"/>
        <v>74.18727538690149</v>
      </c>
      <c r="BA75" s="2846">
        <f t="shared" si="51"/>
        <v>73.285061818124504</v>
      </c>
      <c r="BB75" s="2846">
        <f t="shared" si="52"/>
        <v>72.496301296620018</v>
      </c>
      <c r="BC75" s="2846">
        <f t="shared" si="53"/>
        <v>72.831447439029773</v>
      </c>
      <c r="BD75" s="2847">
        <f t="shared" si="54"/>
        <v>74.157309948686503</v>
      </c>
      <c r="BE75" s="2823"/>
      <c r="BF75" s="2848">
        <f t="shared" si="25"/>
        <v>2057</v>
      </c>
      <c r="BG75" s="2841">
        <f t="shared" si="56"/>
        <v>29.927980922926423</v>
      </c>
      <c r="BH75" s="2842">
        <f t="shared" si="56"/>
        <v>5.887054820734007</v>
      </c>
      <c r="BI75" s="2842">
        <f t="shared" si="56"/>
        <v>-5.8151597339694674E-2</v>
      </c>
      <c r="BJ75" s="2844">
        <f t="shared" si="56"/>
        <v>4.089384547908613E-4</v>
      </c>
      <c r="BK75" s="2841">
        <f t="shared" si="56"/>
        <v>35.913577107511706</v>
      </c>
      <c r="BL75" s="2842">
        <f t="shared" si="56"/>
        <v>6.9930530002486782</v>
      </c>
      <c r="BM75" s="2842">
        <f t="shared" si="56"/>
        <v>-6.9781916807633612E-2</v>
      </c>
      <c r="BN75" s="2844">
        <f t="shared" si="56"/>
        <v>4.9072614574903353E-4</v>
      </c>
      <c r="BO75" s="2845">
        <f t="shared" si="26"/>
        <v>4.555356441810801</v>
      </c>
      <c r="BP75" s="2846">
        <f t="shared" si="27"/>
        <v>5.3950149455408312</v>
      </c>
      <c r="BQ75" s="2847">
        <f t="shared" si="28"/>
        <v>5.2937584677682565</v>
      </c>
    </row>
    <row r="76" spans="1:69">
      <c r="A76" s="2835"/>
      <c r="B76" s="2836">
        <v>2058</v>
      </c>
      <c r="C76" s="2837"/>
      <c r="D76" s="2838">
        <f t="shared" si="59"/>
        <v>25.788174979479372</v>
      </c>
      <c r="E76" s="2839">
        <f t="shared" si="59"/>
        <v>75.170221798530207</v>
      </c>
      <c r="F76" s="2839">
        <f t="shared" si="59"/>
        <v>60.284864040377727</v>
      </c>
      <c r="G76" s="2839">
        <f t="shared" si="59"/>
        <v>66.710845670887736</v>
      </c>
      <c r="H76" s="2839">
        <f t="shared" si="59"/>
        <v>85.895078065522341</v>
      </c>
      <c r="I76" s="2839">
        <f t="shared" si="59"/>
        <v>39.476319858524271</v>
      </c>
      <c r="J76" s="2840">
        <f t="shared" si="59"/>
        <v>51.596276767916478</v>
      </c>
      <c r="K76" s="2841">
        <f t="shared" si="60"/>
        <v>30.052242664997355</v>
      </c>
      <c r="L76" s="2842">
        <f t="shared" si="60"/>
        <v>5.9095960444487377</v>
      </c>
      <c r="M76" s="2842">
        <f t="shared" si="60"/>
        <v>-5.8394170095805012E-2</v>
      </c>
      <c r="N76" s="2843">
        <f t="shared" si="60"/>
        <v>4.1064195965896227E-4</v>
      </c>
      <c r="O76" s="2841">
        <f t="shared" si="61"/>
        <v>36.062691197996827</v>
      </c>
      <c r="P76" s="2842">
        <f t="shared" si="61"/>
        <v>7.0201024687063542</v>
      </c>
      <c r="Q76" s="2842">
        <f t="shared" si="61"/>
        <v>-7.0073004114966003E-2</v>
      </c>
      <c r="R76" s="2843">
        <f t="shared" si="61"/>
        <v>4.9277035159075468E-4</v>
      </c>
      <c r="S76" s="2841">
        <f t="shared" si="58"/>
        <v>4.0425633889616162</v>
      </c>
      <c r="T76" s="2844">
        <f t="shared" si="58"/>
        <v>135.94599999999997</v>
      </c>
      <c r="U76" s="2845">
        <f t="shared" si="43"/>
        <v>15.156360272705497</v>
      </c>
      <c r="V76" s="2846">
        <f t="shared" si="43"/>
        <v>10.091312565466545</v>
      </c>
      <c r="W76" s="2846">
        <f t="shared" si="43"/>
        <v>10.677820648535651</v>
      </c>
      <c r="X76" s="2846">
        <f t="shared" si="43"/>
        <v>10.372454706585909</v>
      </c>
      <c r="Y76" s="2846">
        <f t="shared" si="43"/>
        <v>9.8986593114686343</v>
      </c>
      <c r="Z76" s="2846">
        <f t="shared" si="43"/>
        <v>12.491916690790859</v>
      </c>
      <c r="AA76" s="2847">
        <f t="shared" si="43"/>
        <v>11.249691098909942</v>
      </c>
      <c r="AB76" s="2845">
        <f t="shared" si="44"/>
        <v>6.9391743008486113</v>
      </c>
      <c r="AC76" s="2846">
        <f t="shared" si="44"/>
        <v>5.0168757888271758</v>
      </c>
      <c r="AD76" s="2846">
        <f t="shared" si="44"/>
        <v>5.1848236382846604</v>
      </c>
      <c r="AE76" s="2846">
        <f t="shared" si="44"/>
        <v>5.0790493315177976</v>
      </c>
      <c r="AF76" s="2846">
        <f t="shared" si="44"/>
        <v>5.056664279009504</v>
      </c>
      <c r="AG76" s="2846">
        <f t="shared" si="44"/>
        <v>5.9353287023817378</v>
      </c>
      <c r="AH76" s="2847">
        <f t="shared" si="44"/>
        <v>5.4153774444855678</v>
      </c>
      <c r="AI76" s="2848">
        <f>'A1.3.4'!$J$27/100</f>
        <v>0.1205924519584583</v>
      </c>
      <c r="AJ76" s="2845">
        <f t="shared" si="45"/>
        <v>7.9301049053934802</v>
      </c>
      <c r="AK76" s="2846">
        <f t="shared" si="45"/>
        <v>5.6288145620302936</v>
      </c>
      <c r="AL76" s="2846">
        <f t="shared" si="45"/>
        <v>5.8472376163513076</v>
      </c>
      <c r="AM76" s="2846">
        <f t="shared" si="45"/>
        <v>5.717394064907344</v>
      </c>
      <c r="AN76" s="2846">
        <f t="shared" si="45"/>
        <v>5.6405723323444255</v>
      </c>
      <c r="AO76" s="2846">
        <f t="shared" si="45"/>
        <v>6.7260037243853699</v>
      </c>
      <c r="AP76" s="2847">
        <f t="shared" si="45"/>
        <v>6.1189516335673169</v>
      </c>
      <c r="AQ76" s="2849" t="str">
        <f t="shared" si="23"/>
        <v>2058/59</v>
      </c>
      <c r="AR76" s="2832">
        <f t="shared" si="62"/>
        <v>2.2999999999999998</v>
      </c>
      <c r="AS76" s="2833">
        <f>'Cost and rev series'!E75</f>
        <v>2</v>
      </c>
      <c r="AT76" s="2833">
        <f t="shared" si="62"/>
        <v>-0.29999999999999982</v>
      </c>
      <c r="AU76" s="2834">
        <f t="shared" si="33"/>
        <v>0.93309203350801162</v>
      </c>
      <c r="AV76" s="2845">
        <f t="shared" si="46"/>
        <v>77.293299926833797</v>
      </c>
      <c r="AW76" s="2846">
        <f t="shared" si="47"/>
        <v>73.890023124684518</v>
      </c>
      <c r="AX76" s="2846">
        <f t="shared" si="48"/>
        <v>74.304956802589658</v>
      </c>
      <c r="AY76" s="2846">
        <f t="shared" si="49"/>
        <v>74.506421340006881</v>
      </c>
      <c r="AZ76" s="2846">
        <f t="shared" si="50"/>
        <v>74.651044494704166</v>
      </c>
      <c r="BA76" s="2846">
        <f t="shared" si="51"/>
        <v>73.743056932334881</v>
      </c>
      <c r="BB76" s="2846">
        <f t="shared" si="52"/>
        <v>72.949248494954773</v>
      </c>
      <c r="BC76" s="2846">
        <f t="shared" si="53"/>
        <v>73.286539508319393</v>
      </c>
      <c r="BD76" s="2847">
        <f t="shared" si="54"/>
        <v>74.619375879553886</v>
      </c>
      <c r="BE76" s="2823"/>
      <c r="BF76" s="2848">
        <f t="shared" si="25"/>
        <v>2058</v>
      </c>
      <c r="BG76" s="2841">
        <f t="shared" si="56"/>
        <v>30.052455595735367</v>
      </c>
      <c r="BH76" s="2842">
        <f t="shared" si="56"/>
        <v>5.909634670330858</v>
      </c>
      <c r="BI76" s="2842">
        <f t="shared" si="56"/>
        <v>-5.8394585760313804E-2</v>
      </c>
      <c r="BJ76" s="2844">
        <f t="shared" si="56"/>
        <v>4.106448787275567E-4</v>
      </c>
      <c r="BK76" s="2841">
        <f t="shared" si="56"/>
        <v>36.062946714882443</v>
      </c>
      <c r="BL76" s="2842">
        <f t="shared" si="56"/>
        <v>7.0201488197648985</v>
      </c>
      <c r="BM76" s="2842">
        <f t="shared" si="56"/>
        <v>-7.0073502912376559E-2</v>
      </c>
      <c r="BN76" s="2844">
        <f t="shared" si="56"/>
        <v>4.9277385447306799E-4</v>
      </c>
      <c r="BO76" s="2845">
        <f t="shared" si="26"/>
        <v>4.5723542680086657</v>
      </c>
      <c r="BP76" s="2846">
        <f t="shared" si="27"/>
        <v>5.4154123369782692</v>
      </c>
      <c r="BQ76" s="2847">
        <f t="shared" si="28"/>
        <v>5.3137458972978617</v>
      </c>
    </row>
    <row r="77" spans="1:69">
      <c r="A77" s="2835"/>
      <c r="B77" s="2836">
        <v>2059</v>
      </c>
      <c r="C77" s="2837"/>
      <c r="D77" s="2838">
        <f t="shared" si="59"/>
        <v>25.788174979479372</v>
      </c>
      <c r="E77" s="2839">
        <f t="shared" si="59"/>
        <v>75.170221798530207</v>
      </c>
      <c r="F77" s="2839">
        <f t="shared" si="59"/>
        <v>60.284864040377727</v>
      </c>
      <c r="G77" s="2839">
        <f t="shared" si="59"/>
        <v>66.710845670887736</v>
      </c>
      <c r="H77" s="2839">
        <f t="shared" si="59"/>
        <v>85.895078065522341</v>
      </c>
      <c r="I77" s="2839">
        <f t="shared" si="59"/>
        <v>39.476319858524271</v>
      </c>
      <c r="J77" s="2840">
        <f t="shared" si="59"/>
        <v>51.596276767916478</v>
      </c>
      <c r="K77" s="2841">
        <f t="shared" si="60"/>
        <v>30.177567613656244</v>
      </c>
      <c r="L77" s="2842">
        <f t="shared" si="60"/>
        <v>5.9323301350680735</v>
      </c>
      <c r="M77" s="2842">
        <f t="shared" si="60"/>
        <v>-5.8638818349554887E-2</v>
      </c>
      <c r="N77" s="2843">
        <f t="shared" si="60"/>
        <v>4.1236004003170513E-4</v>
      </c>
      <c r="O77" s="2841">
        <f t="shared" si="61"/>
        <v>36.213081136387487</v>
      </c>
      <c r="P77" s="2842">
        <f t="shared" si="61"/>
        <v>7.047383377449556</v>
      </c>
      <c r="Q77" s="2842">
        <f t="shared" si="61"/>
        <v>-7.036658201946587E-2</v>
      </c>
      <c r="R77" s="2843">
        <f t="shared" si="61"/>
        <v>4.9483204803804615E-4</v>
      </c>
      <c r="S77" s="2841">
        <f t="shared" si="58"/>
        <v>4.0425633889616162</v>
      </c>
      <c r="T77" s="2844">
        <f t="shared" si="58"/>
        <v>135.94599999999997</v>
      </c>
      <c r="U77" s="2845">
        <f t="shared" si="43"/>
        <v>15.178787689839568</v>
      </c>
      <c r="V77" s="2846">
        <f t="shared" si="43"/>
        <v>10.107031728040871</v>
      </c>
      <c r="W77" s="2846">
        <f t="shared" si="43"/>
        <v>10.69412899069674</v>
      </c>
      <c r="X77" s="2846">
        <f t="shared" si="43"/>
        <v>10.388392771127737</v>
      </c>
      <c r="Y77" s="2846">
        <f t="shared" si="43"/>
        <v>9.9145143040365404</v>
      </c>
      <c r="Z77" s="2846">
        <f t="shared" si="43"/>
        <v>12.510845077217123</v>
      </c>
      <c r="AA77" s="2847">
        <f t="shared" si="43"/>
        <v>11.2668050358056</v>
      </c>
      <c r="AB77" s="2845">
        <f t="shared" si="44"/>
        <v>6.9660872014094979</v>
      </c>
      <c r="AC77" s="2846">
        <f t="shared" si="44"/>
        <v>5.035738783916365</v>
      </c>
      <c r="AD77" s="2846">
        <f t="shared" si="44"/>
        <v>5.2043936488779661</v>
      </c>
      <c r="AE77" s="2846">
        <f t="shared" si="44"/>
        <v>5.0981750089679903</v>
      </c>
      <c r="AF77" s="2846">
        <f t="shared" si="44"/>
        <v>5.0756902700909912</v>
      </c>
      <c r="AG77" s="2846">
        <f t="shared" si="44"/>
        <v>5.9580427660932553</v>
      </c>
      <c r="AH77" s="2847">
        <f t="shared" si="44"/>
        <v>5.4359141687603572</v>
      </c>
      <c r="AI77" s="2848">
        <f>'A1.3.4'!$J$27/100</f>
        <v>0.1205924519584583</v>
      </c>
      <c r="AJ77" s="2845">
        <f t="shared" si="45"/>
        <v>7.9564768905097081</v>
      </c>
      <c r="AK77" s="2846">
        <f t="shared" si="45"/>
        <v>5.6472984346479684</v>
      </c>
      <c r="AL77" s="2846">
        <f t="shared" si="45"/>
        <v>5.8664142943508972</v>
      </c>
      <c r="AM77" s="2846">
        <f t="shared" si="45"/>
        <v>5.736135340301022</v>
      </c>
      <c r="AN77" s="2846">
        <f t="shared" si="45"/>
        <v>5.6592159249400034</v>
      </c>
      <c r="AO77" s="2846">
        <f t="shared" si="45"/>
        <v>6.7482612639907353</v>
      </c>
      <c r="AP77" s="2847">
        <f t="shared" si="45"/>
        <v>6.1390755955195235</v>
      </c>
      <c r="AQ77" s="2849" t="str">
        <f t="shared" si="23"/>
        <v>2059/60</v>
      </c>
      <c r="AR77" s="2832">
        <f t="shared" si="62"/>
        <v>2.2999999999999998</v>
      </c>
      <c r="AS77" s="2833">
        <f>'Cost and rev series'!E76</f>
        <v>2</v>
      </c>
      <c r="AT77" s="2833">
        <f t="shared" si="62"/>
        <v>-0.29999999999999982</v>
      </c>
      <c r="AU77" s="2834">
        <f t="shared" si="33"/>
        <v>0.93035569323379463</v>
      </c>
      <c r="AV77" s="2845">
        <f t="shared" si="46"/>
        <v>77.778658631201637</v>
      </c>
      <c r="AW77" s="2846">
        <f t="shared" si="47"/>
        <v>74.350916385562044</v>
      </c>
      <c r="AX77" s="2846">
        <f t="shared" si="48"/>
        <v>74.768126582998747</v>
      </c>
      <c r="AY77" s="2846">
        <f t="shared" si="49"/>
        <v>74.970721887267743</v>
      </c>
      <c r="AZ77" s="2846">
        <f t="shared" si="50"/>
        <v>75.118585190461388</v>
      </c>
      <c r="BA77" s="2846">
        <f t="shared" si="51"/>
        <v>74.204776059770836</v>
      </c>
      <c r="BB77" s="2846">
        <f t="shared" si="52"/>
        <v>73.405878114292051</v>
      </c>
      <c r="BC77" s="2846">
        <f t="shared" si="53"/>
        <v>73.745331671241885</v>
      </c>
      <c r="BD77" s="2847">
        <f t="shared" si="54"/>
        <v>75.08519255527402</v>
      </c>
      <c r="BE77" s="2823"/>
      <c r="BF77" s="2848">
        <f t="shared" si="25"/>
        <v>2059</v>
      </c>
      <c r="BG77" s="2841">
        <f t="shared" si="56"/>
        <v>30.177782001398327</v>
      </c>
      <c r="BH77" s="2842">
        <f t="shared" si="56"/>
        <v>5.9323690252524175</v>
      </c>
      <c r="BI77" s="2842">
        <f t="shared" si="56"/>
        <v>-5.8639236858297861E-2</v>
      </c>
      <c r="BJ77" s="2844">
        <f t="shared" si="56"/>
        <v>4.1236297907437604E-4</v>
      </c>
      <c r="BK77" s="2841">
        <f t="shared" si="56"/>
        <v>36.213338401677987</v>
      </c>
      <c r="BL77" s="2842">
        <f t="shared" si="56"/>
        <v>7.0474300456707688</v>
      </c>
      <c r="BM77" s="2842">
        <f t="shared" si="56"/>
        <v>-7.0367084229957438E-2</v>
      </c>
      <c r="BN77" s="2844">
        <f t="shared" si="56"/>
        <v>4.9483557488925122E-4</v>
      </c>
      <c r="BO77" s="2845">
        <f t="shared" si="26"/>
        <v>4.5894684038677083</v>
      </c>
      <c r="BP77" s="2846">
        <f t="shared" si="27"/>
        <v>5.435949300009117</v>
      </c>
      <c r="BQ77" s="2847">
        <f t="shared" si="28"/>
        <v>5.3338700932074321</v>
      </c>
    </row>
    <row r="78" spans="1:69">
      <c r="A78" s="2835"/>
      <c r="B78" s="2836">
        <v>2060</v>
      </c>
      <c r="C78" s="2837"/>
      <c r="D78" s="2838">
        <f t="shared" si="59"/>
        <v>25.788174979479372</v>
      </c>
      <c r="E78" s="2839">
        <f t="shared" si="59"/>
        <v>75.170221798530207</v>
      </c>
      <c r="F78" s="2839">
        <f t="shared" si="59"/>
        <v>60.284864040377727</v>
      </c>
      <c r="G78" s="2839">
        <f t="shared" si="59"/>
        <v>66.710845670887736</v>
      </c>
      <c r="H78" s="2839">
        <f t="shared" si="59"/>
        <v>85.895078065522341</v>
      </c>
      <c r="I78" s="2839">
        <f t="shared" si="59"/>
        <v>39.476319858524271</v>
      </c>
      <c r="J78" s="2840">
        <f t="shared" si="59"/>
        <v>51.596276767916478</v>
      </c>
      <c r="K78" s="2841">
        <f t="shared" si="60"/>
        <v>30.303750113283471</v>
      </c>
      <c r="L78" s="2842">
        <f t="shared" si="60"/>
        <v>5.9552197864247844</v>
      </c>
      <c r="M78" s="2842">
        <f t="shared" si="60"/>
        <v>-5.8885140638276663E-2</v>
      </c>
      <c r="N78" s="2843">
        <f t="shared" si="60"/>
        <v>4.1408987657513157E-4</v>
      </c>
      <c r="O78" s="2841">
        <f t="shared" si="61"/>
        <v>36.364500135940162</v>
      </c>
      <c r="P78" s="2842">
        <f t="shared" si="61"/>
        <v>7.074850959077609</v>
      </c>
      <c r="Q78" s="2842">
        <f t="shared" si="61"/>
        <v>-7.0662168765931996E-2</v>
      </c>
      <c r="R78" s="2843">
        <f t="shared" si="61"/>
        <v>4.9690785189015791E-4</v>
      </c>
      <c r="S78" s="2841">
        <f t="shared" si="58"/>
        <v>4.0425633889616162</v>
      </c>
      <c r="T78" s="2844">
        <f t="shared" si="58"/>
        <v>135.94599999999997</v>
      </c>
      <c r="U78" s="2845">
        <f t="shared" si="43"/>
        <v>15.201368569260973</v>
      </c>
      <c r="V78" s="2846">
        <f t="shared" si="43"/>
        <v>10.122858450867415</v>
      </c>
      <c r="W78" s="2846">
        <f t="shared" si="43"/>
        <v>10.710548924641923</v>
      </c>
      <c r="X78" s="2846">
        <f t="shared" si="43"/>
        <v>10.404439893784712</v>
      </c>
      <c r="Y78" s="2846">
        <f t="shared" si="43"/>
        <v>9.9304777862896643</v>
      </c>
      <c r="Z78" s="2846">
        <f t="shared" si="43"/>
        <v>12.529902983394106</v>
      </c>
      <c r="AA78" s="2847">
        <f t="shared" si="43"/>
        <v>11.284036076863789</v>
      </c>
      <c r="AB78" s="2845">
        <f t="shared" si="44"/>
        <v>6.9931842567151818</v>
      </c>
      <c r="AC78" s="2846">
        <f t="shared" si="44"/>
        <v>5.0547308513082188</v>
      </c>
      <c r="AD78" s="2846">
        <f t="shared" si="44"/>
        <v>5.2240975696121854</v>
      </c>
      <c r="AE78" s="2846">
        <f t="shared" si="44"/>
        <v>5.1174315561563581</v>
      </c>
      <c r="AF78" s="2846">
        <f t="shared" si="44"/>
        <v>5.0948464487947387</v>
      </c>
      <c r="AG78" s="2846">
        <f t="shared" si="44"/>
        <v>5.9809122535056325</v>
      </c>
      <c r="AH78" s="2847">
        <f t="shared" si="44"/>
        <v>5.4565914180301851</v>
      </c>
      <c r="AI78" s="2848">
        <f>'A1.3.4'!$J$27/100</f>
        <v>0.1205924519584583</v>
      </c>
      <c r="AJ78" s="2845">
        <f t="shared" si="45"/>
        <v>7.9830293290920311</v>
      </c>
      <c r="AK78" s="2846">
        <f t="shared" si="45"/>
        <v>5.6659087853773986</v>
      </c>
      <c r="AL78" s="2846">
        <f t="shared" si="45"/>
        <v>5.8857221910660282</v>
      </c>
      <c r="AM78" s="2846">
        <f t="shared" si="45"/>
        <v>5.7550048551157742</v>
      </c>
      <c r="AN78" s="2846">
        <f t="shared" si="45"/>
        <v>5.6779870885504113</v>
      </c>
      <c r="AO78" s="2846">
        <f t="shared" si="45"/>
        <v>6.7706711034760971</v>
      </c>
      <c r="AP78" s="2847">
        <f t="shared" si="45"/>
        <v>6.159337258091151</v>
      </c>
      <c r="AQ78" s="2849"/>
      <c r="AR78" s="2832"/>
      <c r="AS78" s="2833"/>
      <c r="AT78" s="2833"/>
      <c r="AU78" s="2834"/>
      <c r="AV78" s="2845"/>
      <c r="AW78" s="2846"/>
      <c r="AX78" s="2846"/>
      <c r="AY78" s="2846"/>
      <c r="AZ78" s="2846"/>
      <c r="BA78" s="2846"/>
      <c r="BB78" s="2846"/>
      <c r="BC78" s="2846"/>
      <c r="BD78" s="2847"/>
      <c r="BE78" s="2831"/>
      <c r="BF78" s="2848">
        <f t="shared" si="25"/>
        <v>2060</v>
      </c>
      <c r="BG78" s="2841">
        <f t="shared" ref="BG78:BN78" si="63">K78</f>
        <v>30.303750113283471</v>
      </c>
      <c r="BH78" s="2842">
        <f t="shared" si="63"/>
        <v>5.9552197864247844</v>
      </c>
      <c r="BI78" s="2842">
        <f t="shared" si="63"/>
        <v>-5.8885140638276663E-2</v>
      </c>
      <c r="BJ78" s="2844">
        <f t="shared" si="63"/>
        <v>4.1408987657513157E-4</v>
      </c>
      <c r="BK78" s="2841">
        <f t="shared" si="63"/>
        <v>36.364500135940162</v>
      </c>
      <c r="BL78" s="2842">
        <f t="shared" si="63"/>
        <v>7.074850959077609</v>
      </c>
      <c r="BM78" s="2842">
        <f t="shared" si="63"/>
        <v>-7.0662168765931996E-2</v>
      </c>
      <c r="BN78" s="2844">
        <f t="shared" si="63"/>
        <v>4.9690785189015791E-4</v>
      </c>
      <c r="BO78" s="2845">
        <f>BG78/$J78+BH78+BI78*$J78+BJ78*$J78^2</f>
        <v>4.6066701688852643</v>
      </c>
      <c r="BP78" s="2846">
        <f t="shared" si="27"/>
        <v>5.4565914180301851</v>
      </c>
      <c r="BQ78" s="2847">
        <f t="shared" si="28"/>
        <v>5.354097330624203</v>
      </c>
    </row>
    <row r="79" spans="1:69" ht="13.8" thickBot="1">
      <c r="A79" s="2571"/>
      <c r="B79" s="2850"/>
      <c r="C79" s="2851"/>
      <c r="D79" s="2571"/>
      <c r="E79" s="2850"/>
      <c r="F79" s="2850"/>
      <c r="G79" s="2850"/>
      <c r="H79" s="2850"/>
      <c r="I79" s="2850"/>
      <c r="J79" s="2851"/>
      <c r="K79" s="2571"/>
      <c r="L79" s="2850"/>
      <c r="M79" s="2850"/>
      <c r="N79" s="2851"/>
      <c r="O79" s="2571"/>
      <c r="P79" s="2850"/>
      <c r="Q79" s="2850"/>
      <c r="R79" s="2851"/>
      <c r="S79" s="2571"/>
      <c r="T79" s="2851"/>
      <c r="U79" s="2571"/>
      <c r="V79" s="2850"/>
      <c r="W79" s="2850"/>
      <c r="X79" s="2850"/>
      <c r="Y79" s="2850"/>
      <c r="Z79" s="2850"/>
      <c r="AA79" s="2851"/>
      <c r="AB79" s="2571"/>
      <c r="AC79" s="2850"/>
      <c r="AD79" s="2850"/>
      <c r="AE79" s="2850"/>
      <c r="AF79" s="2850"/>
      <c r="AG79" s="2850"/>
      <c r="AH79" s="2851"/>
      <c r="AI79" s="2852"/>
      <c r="AJ79" s="2571"/>
      <c r="AK79" s="2850"/>
      <c r="AL79" s="2850"/>
      <c r="AM79" s="2850"/>
      <c r="AN79" s="2850"/>
      <c r="AO79" s="2850"/>
      <c r="AP79" s="2851"/>
      <c r="AQ79" s="2852"/>
      <c r="AR79" s="2571"/>
      <c r="AS79" s="2850"/>
      <c r="AT79" s="2850"/>
      <c r="AU79" s="2851"/>
      <c r="AV79" s="2571"/>
      <c r="AW79" s="2850"/>
      <c r="AX79" s="2850"/>
      <c r="AY79" s="2850"/>
      <c r="AZ79" s="2850"/>
      <c r="BA79" s="2850"/>
      <c r="BB79" s="2850"/>
      <c r="BC79" s="2850"/>
      <c r="BD79" s="2851"/>
      <c r="BE79" s="2557"/>
      <c r="BF79" s="2852"/>
      <c r="BG79" s="2853"/>
      <c r="BH79" s="2854"/>
      <c r="BI79" s="2854"/>
      <c r="BJ79" s="2855"/>
      <c r="BK79" s="2853"/>
      <c r="BL79" s="2854"/>
      <c r="BM79" s="2854"/>
      <c r="BN79" s="2855"/>
      <c r="BO79" s="2571"/>
      <c r="BP79" s="2850"/>
      <c r="BQ79" s="2851"/>
    </row>
    <row r="80" spans="1:69" ht="13.8" thickTop="1">
      <c r="A80" s="2557"/>
      <c r="B80" s="2557"/>
      <c r="C80" s="2557"/>
      <c r="D80" s="2557"/>
      <c r="E80" s="2557"/>
      <c r="F80" s="2557"/>
      <c r="G80" s="2557"/>
      <c r="H80" s="2557"/>
      <c r="I80" s="2557"/>
      <c r="J80" s="2557"/>
      <c r="K80" s="2557"/>
      <c r="L80" s="2557"/>
      <c r="M80" s="2557"/>
      <c r="N80" s="2557"/>
      <c r="O80" s="2557"/>
      <c r="P80" s="2557"/>
      <c r="Q80" s="2557"/>
      <c r="R80" s="2557"/>
      <c r="S80" s="2557"/>
      <c r="T80" s="2557"/>
      <c r="U80" s="2557"/>
      <c r="V80" s="2557"/>
      <c r="W80" s="2557"/>
      <c r="X80" s="2557"/>
      <c r="Y80" s="2557"/>
      <c r="Z80" s="2557"/>
      <c r="AA80" s="2557"/>
      <c r="AB80" s="2557"/>
      <c r="AC80" s="2557"/>
      <c r="AD80" s="2557"/>
      <c r="AE80" s="2557"/>
      <c r="AF80" s="2557"/>
      <c r="AG80" s="2557"/>
      <c r="AH80" s="2557"/>
      <c r="AI80" s="2557"/>
      <c r="AJ80" s="2557"/>
      <c r="AK80" s="2557"/>
      <c r="AL80" s="2557"/>
      <c r="AM80" s="2557"/>
      <c r="AN80" s="2557"/>
      <c r="AO80" s="2557"/>
      <c r="AP80" s="2557"/>
      <c r="AQ80" s="2557"/>
      <c r="AR80" s="2557"/>
      <c r="AS80" s="2557"/>
      <c r="AT80" s="2557"/>
      <c r="AU80" s="2557"/>
      <c r="AV80" s="2557"/>
      <c r="AW80" s="2557"/>
      <c r="AX80" s="2557"/>
      <c r="AY80" s="2557"/>
      <c r="AZ80" s="2557"/>
      <c r="BA80" s="2557"/>
      <c r="BB80" s="2557"/>
      <c r="BC80" s="2557"/>
      <c r="BD80" s="2557"/>
      <c r="BE80" s="2557"/>
      <c r="BF80" s="2557"/>
      <c r="BG80" s="2820"/>
      <c r="BH80" s="2820"/>
      <c r="BI80" s="2820"/>
      <c r="BJ80" s="2820"/>
      <c r="BK80" s="2820"/>
      <c r="BL80" s="2820"/>
      <c r="BM80" s="2820"/>
      <c r="BN80" s="2820"/>
      <c r="BO80" s="2557"/>
      <c r="BP80" s="2557"/>
      <c r="BQ80" s="2557"/>
    </row>
    <row r="81" spans="1:69">
      <c r="A81" s="2557"/>
      <c r="B81" s="2557"/>
      <c r="C81" s="2557"/>
      <c r="D81" s="2557"/>
      <c r="E81" s="2557"/>
      <c r="F81" s="2557"/>
      <c r="G81" s="2557"/>
      <c r="H81" s="2557"/>
      <c r="I81" s="2557"/>
      <c r="J81" s="2557"/>
      <c r="K81" s="2557"/>
      <c r="L81" s="2557"/>
      <c r="M81" s="2557"/>
      <c r="N81" s="2557"/>
      <c r="O81" s="2557"/>
      <c r="P81" s="2557"/>
      <c r="Q81" s="2557"/>
      <c r="R81" s="2557"/>
      <c r="S81" s="2557"/>
      <c r="T81" s="2557"/>
      <c r="U81" s="2557"/>
      <c r="V81" s="2557"/>
      <c r="W81" s="2557"/>
      <c r="X81" s="2557"/>
      <c r="Y81" s="2557"/>
      <c r="Z81" s="2557"/>
      <c r="AA81" s="2557"/>
      <c r="AB81" s="2557"/>
      <c r="AC81" s="2557"/>
      <c r="AD81" s="2557"/>
      <c r="AE81" s="2557"/>
      <c r="AF81" s="2557"/>
      <c r="AG81" s="2557"/>
      <c r="AH81" s="2557"/>
      <c r="AI81" s="2557"/>
      <c r="AJ81" s="2557"/>
      <c r="AK81" s="2557"/>
      <c r="AL81" s="2557"/>
      <c r="AM81" s="2557"/>
      <c r="AN81" s="2557"/>
      <c r="AO81" s="2557"/>
      <c r="AP81" s="2557"/>
      <c r="AQ81" s="2557"/>
      <c r="AR81" s="2557"/>
      <c r="AS81" s="2557"/>
      <c r="AT81" s="2557"/>
      <c r="AU81" s="2557"/>
      <c r="AV81" s="2557"/>
      <c r="AW81" s="2557"/>
      <c r="AX81" s="2557"/>
      <c r="AY81" s="2557"/>
      <c r="AZ81" s="2557"/>
      <c r="BA81" s="2557"/>
      <c r="BB81" s="2557"/>
      <c r="BC81" s="2557"/>
      <c r="BD81" s="2557"/>
      <c r="BE81" s="2557"/>
      <c r="BF81" s="2557"/>
      <c r="BG81" s="2820"/>
      <c r="BH81" s="2820"/>
      <c r="BI81" s="2820"/>
      <c r="BJ81" s="2820"/>
      <c r="BK81" s="2820"/>
      <c r="BL81" s="2820"/>
      <c r="BM81" s="2820"/>
      <c r="BN81" s="2820"/>
      <c r="BO81" s="2557"/>
      <c r="BP81" s="2557"/>
      <c r="BQ81" s="2557"/>
    </row>
    <row r="82" spans="1:69">
      <c r="BG82" s="2820"/>
      <c r="BH82" s="2820"/>
      <c r="BI82" s="2820"/>
      <c r="BJ82" s="2820"/>
      <c r="BK82" s="2820"/>
      <c r="BL82" s="2820"/>
      <c r="BM82" s="2820"/>
      <c r="BN82" s="2820"/>
    </row>
    <row r="83" spans="1:69">
      <c r="BG83" s="2820"/>
      <c r="BH83" s="2820"/>
      <c r="BI83" s="2820"/>
      <c r="BJ83" s="2820"/>
      <c r="BK83" s="2820"/>
      <c r="BL83" s="2820"/>
      <c r="BM83" s="2820"/>
      <c r="BN83" s="2820"/>
    </row>
    <row r="84" spans="1:69">
      <c r="BG84" s="335"/>
      <c r="BH84" s="335"/>
      <c r="BI84" s="335"/>
      <c r="BJ84" s="335"/>
      <c r="BK84" s="335"/>
      <c r="BL84" s="335"/>
      <c r="BM84" s="335"/>
      <c r="BN84" s="335"/>
    </row>
  </sheetData>
  <sheetProtection sheet="1" objects="1" scenarios="1"/>
  <mergeCells count="41">
    <mergeCell ref="AP26:AP27"/>
    <mergeCell ref="AV26:AV27"/>
    <mergeCell ref="AW26:AW27"/>
    <mergeCell ref="BD26:BD27"/>
    <mergeCell ref="AX26:AX27"/>
    <mergeCell ref="AY26:AY27"/>
    <mergeCell ref="AZ26:AZ27"/>
    <mergeCell ref="BA26:BA27"/>
    <mergeCell ref="BB26:BB27"/>
    <mergeCell ref="BC26:BC27"/>
    <mergeCell ref="AK26:AK27"/>
    <mergeCell ref="AL26:AL27"/>
    <mergeCell ref="AM26:AM27"/>
    <mergeCell ref="AN26:AN27"/>
    <mergeCell ref="AO26:AO27"/>
    <mergeCell ref="BK24:BN24"/>
    <mergeCell ref="U26:U27"/>
    <mergeCell ref="V26:V27"/>
    <mergeCell ref="W26:W27"/>
    <mergeCell ref="X26:X27"/>
    <mergeCell ref="Y26:Y27"/>
    <mergeCell ref="Z26:Z27"/>
    <mergeCell ref="AA26:AA27"/>
    <mergeCell ref="AB26:AB27"/>
    <mergeCell ref="AC26:AC27"/>
    <mergeCell ref="AD26:AD27"/>
    <mergeCell ref="AE26:AE27"/>
    <mergeCell ref="AF26:AF27"/>
    <mergeCell ref="AG26:AG27"/>
    <mergeCell ref="AH26:AH27"/>
    <mergeCell ref="AJ26:AJ27"/>
    <mergeCell ref="A11:B11"/>
    <mergeCell ref="K24:N24"/>
    <mergeCell ref="O24:R24"/>
    <mergeCell ref="S24:T24"/>
    <mergeCell ref="BG24:BJ24"/>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M4: Forecasting &amp; Uncertainty" display="WebTAG Unit M 4"/>
  </hyperlinks>
  <pageMargins left="0.75" right="0.75" top="1" bottom="1" header="0.5" footer="0.5"/>
  <pageSetup paperSize="9" orientation="portrait" r:id="rId2"/>
  <headerFooter alignWithMargins="0"/>
  <drawing r:id="rId3"/>
  <legacyDrawing r:id="rId4"/>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indexed="10"/>
  </sheetPr>
  <dimension ref="A1:BQ84"/>
  <sheetViews>
    <sheetView showGridLines="0" zoomScale="70" zoomScaleNormal="70" workbookViewId="0">
      <selection activeCell="E23" sqref="E23:F23"/>
    </sheetView>
  </sheetViews>
  <sheetFormatPr defaultColWidth="12.88671875" defaultRowHeight="13.2"/>
  <cols>
    <col min="1" max="56" width="12.88671875" style="2555"/>
    <col min="57" max="57" width="12.33203125" style="2555" customWidth="1"/>
    <col min="58" max="16384" width="12.88671875" style="2555"/>
  </cols>
  <sheetData>
    <row r="1" spans="1:41" ht="54.9" customHeight="1">
      <c r="A1" s="3742"/>
      <c r="B1" s="3742"/>
      <c r="C1" s="112"/>
    </row>
    <row r="2" spans="1:41" ht="5.0999999999999996" customHeight="1">
      <c r="C2" s="111"/>
    </row>
    <row r="3" spans="1:41" s="20" customFormat="1" ht="20.100000000000001" customHeight="1">
      <c r="A3" s="83" t="s">
        <v>2339</v>
      </c>
      <c r="B3" s="83"/>
      <c r="C3" s="83"/>
      <c r="D3" s="83"/>
      <c r="E3" s="83"/>
      <c r="F3" s="83"/>
      <c r="G3" s="83"/>
      <c r="H3" s="83"/>
      <c r="I3" s="83"/>
      <c r="J3" s="83"/>
      <c r="K3" s="83"/>
      <c r="L3" s="83"/>
      <c r="M3" s="83"/>
      <c r="N3" s="83"/>
      <c r="O3" s="83"/>
      <c r="P3" s="83"/>
      <c r="Q3" s="83"/>
      <c r="R3" s="83"/>
      <c r="S3" s="83"/>
      <c r="T3" s="83"/>
      <c r="U3" s="83"/>
      <c r="Z3" s="83"/>
      <c r="AA3" s="83"/>
      <c r="AB3" s="83"/>
      <c r="AC3" s="83"/>
      <c r="AD3" s="46"/>
      <c r="AE3" s="83"/>
      <c r="AO3" s="150"/>
    </row>
    <row r="4" spans="1:41" s="20" customFormat="1" ht="20.100000000000001" customHeight="1" thickBot="1">
      <c r="A4" s="109" t="s">
        <v>1373</v>
      </c>
      <c r="B4" s="109"/>
      <c r="C4" s="109"/>
      <c r="D4" s="109"/>
      <c r="E4" s="109"/>
      <c r="F4" s="109"/>
      <c r="G4" s="109"/>
      <c r="H4" s="109"/>
      <c r="I4" s="109"/>
      <c r="J4" s="109"/>
      <c r="K4" s="109"/>
      <c r="L4" s="109"/>
      <c r="M4" s="109"/>
      <c r="N4" s="109"/>
      <c r="O4" s="109"/>
      <c r="P4" s="109"/>
      <c r="Q4" s="109"/>
      <c r="R4" s="109"/>
      <c r="S4" s="109"/>
      <c r="T4" s="109"/>
      <c r="U4" s="109"/>
      <c r="V4" s="235"/>
      <c r="W4" s="235"/>
      <c r="X4" s="235"/>
      <c r="Y4" s="235"/>
      <c r="Z4" s="109"/>
      <c r="AA4" s="109"/>
      <c r="AB4" s="109"/>
      <c r="AC4" s="109"/>
      <c r="AD4" s="440"/>
      <c r="AE4" s="109"/>
      <c r="AF4" s="235"/>
      <c r="AG4" s="235"/>
      <c r="AH4" s="235"/>
      <c r="AI4" s="235"/>
      <c r="AJ4" s="235"/>
      <c r="AK4" s="235"/>
      <c r="AL4" s="235"/>
      <c r="AM4" s="235"/>
      <c r="AO4" s="150"/>
    </row>
    <row r="5" spans="1:41" s="2619" customFormat="1" ht="9.9" customHeight="1" thickTop="1" thickBot="1">
      <c r="B5" s="85"/>
      <c r="C5" s="85"/>
      <c r="D5" s="314"/>
      <c r="E5" s="85"/>
      <c r="F5" s="85"/>
      <c r="G5" s="314"/>
      <c r="H5" s="85"/>
      <c r="I5" s="314"/>
      <c r="J5" s="314"/>
      <c r="K5" s="314"/>
      <c r="L5" s="314"/>
      <c r="M5" s="314"/>
      <c r="N5" s="314"/>
      <c r="O5" s="314"/>
      <c r="P5" s="314"/>
      <c r="Q5" s="314"/>
      <c r="R5" s="314"/>
      <c r="S5" s="314"/>
      <c r="T5" s="314"/>
      <c r="U5" s="314"/>
      <c r="Z5" s="335"/>
      <c r="AA5" s="335"/>
      <c r="AB5" s="335"/>
      <c r="AC5" s="335"/>
      <c r="AD5" s="31"/>
      <c r="AE5" s="335"/>
      <c r="AO5" s="87"/>
    </row>
    <row r="6" spans="1:41" s="2619" customFormat="1" ht="13.5" customHeight="1" thickTop="1" thickBot="1">
      <c r="A6" s="169" t="s">
        <v>10</v>
      </c>
      <c r="B6" s="169"/>
      <c r="E6" s="122" t="s">
        <v>255</v>
      </c>
      <c r="F6" s="175"/>
      <c r="G6" s="175"/>
      <c r="H6" s="175"/>
      <c r="I6" s="175"/>
      <c r="J6" s="175"/>
      <c r="K6" s="175"/>
      <c r="L6" s="175"/>
      <c r="M6" s="175"/>
      <c r="N6" s="175"/>
      <c r="O6" s="175"/>
      <c r="P6" s="175"/>
      <c r="Q6" s="175"/>
      <c r="R6" s="175"/>
      <c r="S6" s="176"/>
      <c r="T6" s="15"/>
      <c r="U6" s="15"/>
      <c r="Z6" s="335"/>
      <c r="AA6" s="335"/>
      <c r="AB6" s="335"/>
      <c r="AC6" s="335"/>
      <c r="AD6" s="31"/>
      <c r="AE6" s="335"/>
      <c r="AO6" s="87"/>
    </row>
    <row r="7" spans="1:41" s="2619" customFormat="1" ht="13.5" customHeight="1" thickTop="1">
      <c r="A7" s="3644" t="str">
        <f>Audit!A12</f>
        <v>May 2019 v1.12</v>
      </c>
      <c r="B7" s="3645"/>
      <c r="E7" s="1687" t="s">
        <v>11</v>
      </c>
      <c r="F7" s="2620" t="s">
        <v>328</v>
      </c>
      <c r="G7" s="2620"/>
      <c r="H7" s="2620"/>
      <c r="I7" s="2620"/>
      <c r="J7" s="2620"/>
      <c r="K7" s="2620"/>
      <c r="L7" s="2620"/>
      <c r="M7" s="2620"/>
      <c r="N7" s="2620"/>
      <c r="O7" s="2620"/>
      <c r="P7" s="2620"/>
      <c r="Q7" s="2620"/>
      <c r="R7" s="2620"/>
      <c r="S7" s="2705"/>
      <c r="T7" s="2557"/>
      <c r="U7" s="2557"/>
      <c r="Z7" s="335"/>
      <c r="AA7" s="335"/>
      <c r="AB7" s="335"/>
      <c r="AC7" s="335"/>
      <c r="AD7" s="31"/>
      <c r="AE7" s="335"/>
      <c r="AO7" s="87"/>
    </row>
    <row r="8" spans="1:41" s="2619" customFormat="1" ht="13.5" customHeight="1">
      <c r="A8" s="3646">
        <f>Audit!C12</f>
        <v>43586</v>
      </c>
      <c r="B8" s="3645"/>
      <c r="E8" s="91" t="s">
        <v>74</v>
      </c>
      <c r="F8" s="2568"/>
      <c r="G8" s="2568"/>
      <c r="H8" s="2557" t="s">
        <v>917</v>
      </c>
      <c r="I8" s="2557"/>
      <c r="J8" s="2557"/>
      <c r="K8" s="2557"/>
      <c r="L8" s="2557"/>
      <c r="M8" s="2557"/>
      <c r="N8" s="2557"/>
      <c r="O8" s="2557"/>
      <c r="P8" s="2557"/>
      <c r="Q8" s="2557"/>
      <c r="R8" s="2557"/>
      <c r="S8" s="2558"/>
      <c r="T8" s="2557"/>
      <c r="U8" s="2557"/>
      <c r="Z8" s="335"/>
      <c r="AA8" s="335"/>
      <c r="AB8" s="335"/>
      <c r="AC8" s="335"/>
      <c r="AD8" s="31"/>
      <c r="AE8" s="335"/>
      <c r="AO8" s="87"/>
    </row>
    <row r="9" spans="1:41" s="2619" customFormat="1" ht="13.5" customHeight="1" thickBot="1">
      <c r="A9" s="3642" t="s">
        <v>1149</v>
      </c>
      <c r="B9" s="3643"/>
      <c r="E9" s="2528"/>
      <c r="F9" s="2793" t="s">
        <v>75</v>
      </c>
      <c r="G9" s="2717"/>
      <c r="H9" s="2619" t="s">
        <v>918</v>
      </c>
      <c r="I9" s="2557"/>
      <c r="J9" s="2557"/>
      <c r="K9" s="2557"/>
      <c r="L9" s="2557"/>
      <c r="M9" s="2557"/>
      <c r="N9" s="2557"/>
      <c r="O9" s="2557"/>
      <c r="P9" s="2557"/>
      <c r="Q9" s="2557"/>
      <c r="R9" s="2557"/>
      <c r="S9" s="2558"/>
      <c r="T9" s="2557"/>
      <c r="U9" s="2557"/>
      <c r="Z9" s="335"/>
      <c r="AA9" s="335"/>
      <c r="AB9" s="335"/>
      <c r="AC9" s="335"/>
      <c r="AD9" s="31"/>
      <c r="AE9" s="335"/>
      <c r="AO9" s="87"/>
    </row>
    <row r="10" spans="1:41" s="2619" customFormat="1" ht="13.5" customHeight="1" thickBot="1">
      <c r="A10" s="3611" t="s">
        <v>1306</v>
      </c>
      <c r="B10" s="3612"/>
      <c r="E10" s="2528"/>
      <c r="F10" s="2793" t="s">
        <v>1478</v>
      </c>
      <c r="G10" s="2717"/>
      <c r="H10" s="2681" t="s">
        <v>1742</v>
      </c>
      <c r="I10" s="335"/>
      <c r="J10" s="335"/>
      <c r="K10" s="335"/>
      <c r="L10" s="335"/>
      <c r="M10" s="335"/>
      <c r="N10" s="335"/>
      <c r="O10" s="335"/>
      <c r="P10" s="335"/>
      <c r="Q10" s="335"/>
      <c r="R10" s="335"/>
      <c r="S10" s="2562"/>
      <c r="T10" s="335"/>
      <c r="U10" s="335"/>
      <c r="Z10" s="335"/>
      <c r="AA10" s="335"/>
      <c r="AB10" s="335"/>
      <c r="AC10" s="335"/>
      <c r="AD10" s="31"/>
      <c r="AE10" s="335"/>
      <c r="AO10" s="87"/>
    </row>
    <row r="11" spans="1:41" s="2619" customFormat="1" ht="13.5" customHeight="1" thickBot="1">
      <c r="A11" s="3611" t="s">
        <v>2211</v>
      </c>
      <c r="B11" s="3639"/>
      <c r="E11" s="2528"/>
      <c r="F11" s="2619" t="s">
        <v>1388</v>
      </c>
      <c r="H11" s="2619" t="s">
        <v>1389</v>
      </c>
      <c r="I11" s="2563"/>
      <c r="J11" s="2563"/>
      <c r="K11" s="2563"/>
      <c r="L11" s="2563"/>
      <c r="M11" s="2563"/>
      <c r="N11" s="2563"/>
      <c r="O11" s="2563"/>
      <c r="P11" s="2563"/>
      <c r="Q11" s="2563"/>
      <c r="R11" s="2563"/>
      <c r="S11" s="2564"/>
      <c r="T11" s="2563"/>
      <c r="U11" s="2563"/>
      <c r="Z11" s="335"/>
      <c r="AA11" s="335"/>
      <c r="AB11" s="335"/>
      <c r="AC11" s="335"/>
      <c r="AD11" s="31"/>
      <c r="AE11" s="335"/>
      <c r="AO11" s="87"/>
    </row>
    <row r="12" spans="1:41" s="2619" customFormat="1" ht="13.5" customHeight="1">
      <c r="A12" s="15"/>
      <c r="B12" s="15"/>
      <c r="E12" s="2528" t="s">
        <v>1274</v>
      </c>
      <c r="I12" s="2557"/>
      <c r="J12" s="2557"/>
      <c r="K12" s="335"/>
      <c r="L12" s="335"/>
      <c r="M12" s="335"/>
      <c r="N12" s="2557"/>
      <c r="O12" s="2557"/>
      <c r="P12" s="2563"/>
      <c r="Q12" s="2563"/>
      <c r="R12" s="2563"/>
      <c r="S12" s="2564"/>
      <c r="T12" s="2563"/>
      <c r="U12" s="2563"/>
      <c r="Z12" s="335"/>
      <c r="AA12" s="335"/>
      <c r="AB12" s="335"/>
      <c r="AC12" s="335"/>
      <c r="AD12" s="31"/>
      <c r="AE12" s="335"/>
      <c r="AO12" s="87"/>
    </row>
    <row r="13" spans="1:41" s="2619" customFormat="1" ht="13.5" customHeight="1">
      <c r="A13" s="172" t="s">
        <v>252</v>
      </c>
      <c r="B13" s="2565"/>
      <c r="E13" s="2528" t="s">
        <v>1386</v>
      </c>
      <c r="F13" s="2555"/>
      <c r="G13" s="2555"/>
      <c r="H13" s="2555" t="str">
        <f>H14</f>
        <v>L = a/v + b + c.v + d.v2</v>
      </c>
      <c r="I13" s="2557"/>
      <c r="J13" s="2557" t="s">
        <v>1276</v>
      </c>
      <c r="K13" s="2557"/>
      <c r="L13" s="2557" t="s">
        <v>1390</v>
      </c>
      <c r="M13" s="2557"/>
      <c r="N13" s="2557" t="str">
        <f>'VoC Non-Fuel'!J8</f>
        <v>C = a1 + b1/V</v>
      </c>
      <c r="O13" s="2555"/>
      <c r="P13" s="2557"/>
      <c r="Q13" s="2557"/>
      <c r="R13" s="2557"/>
      <c r="S13" s="2558"/>
      <c r="T13" s="2557"/>
      <c r="U13" s="2557"/>
      <c r="Z13" s="335"/>
      <c r="AA13" s="335"/>
      <c r="AB13" s="335"/>
      <c r="AC13" s="335"/>
      <c r="AD13" s="31"/>
      <c r="AE13" s="335"/>
      <c r="AO13" s="87"/>
    </row>
    <row r="14" spans="1:41" ht="13.5" customHeight="1">
      <c r="A14" s="59" t="s">
        <v>799</v>
      </c>
      <c r="B14" s="221">
        <f>'User Parameters'!L13</f>
        <v>2010</v>
      </c>
      <c r="C14" s="2647"/>
      <c r="E14" s="2528" t="s">
        <v>1275</v>
      </c>
      <c r="H14" s="2555" t="str">
        <f>'Fuel consumption'!I7</f>
        <v>L = a/v + b + c.v + d.v2</v>
      </c>
      <c r="I14" s="2557"/>
      <c r="J14" s="2557" t="s">
        <v>1276</v>
      </c>
      <c r="K14" s="2557"/>
      <c r="L14" s="2557"/>
      <c r="M14" s="2557"/>
      <c r="N14" s="2557"/>
      <c r="O14" s="2557"/>
      <c r="P14" s="2557"/>
      <c r="Q14" s="2557"/>
      <c r="R14" s="2557"/>
      <c r="S14" s="2558"/>
      <c r="T14" s="2557"/>
      <c r="U14" s="2557"/>
      <c r="Z14" s="2556"/>
      <c r="AA14" s="2556"/>
      <c r="AB14" s="2556"/>
      <c r="AC14" s="96"/>
      <c r="AD14" s="31"/>
      <c r="AE14" s="335"/>
    </row>
    <row r="15" spans="1:41" ht="13.5" customHeight="1">
      <c r="A15" s="2794"/>
      <c r="B15" s="32"/>
      <c r="C15" s="7"/>
      <c r="E15" s="2528" t="s">
        <v>2</v>
      </c>
      <c r="F15" s="2795"/>
      <c r="G15" s="2795">
        <f>'A1.3.4'!J27/100</f>
        <v>0.1205924519584583</v>
      </c>
      <c r="H15" s="2619" t="s">
        <v>3</v>
      </c>
      <c r="I15" s="335"/>
      <c r="J15" s="335"/>
      <c r="K15" s="2796"/>
      <c r="L15" s="2796"/>
      <c r="M15" s="2796"/>
      <c r="N15" s="2796"/>
      <c r="O15" s="2246"/>
      <c r="P15" s="2557"/>
      <c r="Q15" s="2557"/>
      <c r="R15" s="2557"/>
      <c r="S15" s="2558"/>
      <c r="T15" s="2557"/>
      <c r="U15" s="2557"/>
      <c r="W15" s="25"/>
      <c r="X15" s="25"/>
      <c r="Z15" s="59"/>
      <c r="AA15" s="2556"/>
      <c r="AB15" s="2556"/>
      <c r="AC15" s="96"/>
      <c r="AD15" s="31"/>
      <c r="AE15" s="335"/>
    </row>
    <row r="16" spans="1:41" ht="13.5" customHeight="1">
      <c r="B16" s="2557"/>
      <c r="C16" s="7"/>
      <c r="E16" s="2528" t="s">
        <v>1515</v>
      </c>
      <c r="F16" s="2795"/>
      <c r="G16" s="2795"/>
      <c r="H16" s="2619"/>
      <c r="I16" s="335"/>
      <c r="J16" s="335"/>
      <c r="K16" s="2796"/>
      <c r="L16" s="2796"/>
      <c r="M16" s="2796"/>
      <c r="N16" s="2796"/>
      <c r="O16" s="2246"/>
      <c r="P16" s="335"/>
      <c r="Q16" s="335"/>
      <c r="R16" s="335"/>
      <c r="S16" s="2562"/>
      <c r="T16" s="335"/>
      <c r="U16" s="335"/>
      <c r="W16" s="25"/>
      <c r="X16" s="25"/>
      <c r="Z16" s="335"/>
      <c r="AA16" s="335"/>
      <c r="AB16" s="335"/>
      <c r="AC16" s="335"/>
      <c r="AD16" s="335"/>
      <c r="AE16" s="335"/>
    </row>
    <row r="17" spans="1:69" ht="13.5" customHeight="1">
      <c r="A17" s="169" t="s">
        <v>253</v>
      </c>
      <c r="B17" s="2570"/>
      <c r="C17" s="2647"/>
      <c r="E17" s="2528" t="s">
        <v>1516</v>
      </c>
      <c r="F17" s="1496"/>
      <c r="I17" s="2557"/>
      <c r="J17" s="2557"/>
      <c r="K17" s="2557"/>
      <c r="L17" s="2557"/>
      <c r="M17" s="2557"/>
      <c r="N17" s="2557"/>
      <c r="O17" s="2557"/>
      <c r="P17" s="2557"/>
      <c r="Q17" s="2557"/>
      <c r="R17" s="2557"/>
      <c r="S17" s="2558"/>
      <c r="T17" s="2557"/>
      <c r="U17" s="2557"/>
      <c r="W17" s="25"/>
      <c r="X17" s="25"/>
    </row>
    <row r="18" spans="1:69" ht="13.5" customHeight="1">
      <c r="C18" s="2619"/>
      <c r="E18" s="2554" t="s">
        <v>2389</v>
      </c>
      <c r="I18" s="2557"/>
      <c r="J18" s="2557"/>
      <c r="K18" s="691"/>
      <c r="L18" s="691"/>
      <c r="M18" s="691"/>
      <c r="N18" s="691"/>
      <c r="O18" s="2243"/>
      <c r="P18" s="2557"/>
      <c r="Q18" s="2557"/>
      <c r="R18" s="2557"/>
      <c r="S18" s="2558"/>
      <c r="T18" s="2557"/>
      <c r="U18" s="2557"/>
      <c r="W18" s="25"/>
      <c r="X18" s="25"/>
    </row>
    <row r="19" spans="1:69" ht="13.5" customHeight="1">
      <c r="E19" s="2676" t="s">
        <v>76</v>
      </c>
      <c r="F19" s="29"/>
      <c r="G19" s="32"/>
      <c r="H19" s="335"/>
      <c r="I19" s="31"/>
      <c r="J19" s="31"/>
      <c r="K19" s="335"/>
      <c r="L19" s="2556"/>
      <c r="M19" s="2556"/>
      <c r="N19" s="2556"/>
      <c r="O19" s="2556"/>
      <c r="P19" s="96"/>
      <c r="Q19" s="96"/>
      <c r="R19" s="31"/>
      <c r="S19" s="2562"/>
      <c r="T19" s="335"/>
      <c r="U19" s="335"/>
      <c r="W19" s="25"/>
      <c r="X19" s="25"/>
    </row>
    <row r="20" spans="1:69" ht="13.5" customHeight="1" thickBot="1">
      <c r="E20" s="2677" t="s">
        <v>2340</v>
      </c>
      <c r="F20" s="163"/>
      <c r="G20" s="164"/>
      <c r="H20" s="2707"/>
      <c r="I20" s="165"/>
      <c r="J20" s="165"/>
      <c r="K20" s="2707"/>
      <c r="L20" s="2708"/>
      <c r="M20" s="2708"/>
      <c r="N20" s="2708"/>
      <c r="O20" s="2708"/>
      <c r="P20" s="167"/>
      <c r="Q20" s="167"/>
      <c r="R20" s="165"/>
      <c r="S20" s="2709"/>
      <c r="T20" s="335"/>
      <c r="U20" s="335"/>
      <c r="W20" s="25"/>
      <c r="X20" s="25"/>
    </row>
    <row r="21" spans="1:69" ht="13.5" customHeight="1" thickTop="1">
      <c r="E21" s="2794"/>
      <c r="F21" s="29"/>
      <c r="G21" s="32"/>
      <c r="H21" s="335"/>
      <c r="I21" s="31"/>
      <c r="J21" s="31"/>
      <c r="K21" s="335"/>
      <c r="L21" s="2556"/>
      <c r="M21" s="2556"/>
      <c r="N21" s="2556"/>
      <c r="O21" s="2556"/>
      <c r="P21" s="96"/>
      <c r="Q21" s="96"/>
      <c r="R21" s="31"/>
      <c r="S21" s="335"/>
      <c r="T21" s="335"/>
      <c r="U21" s="335"/>
      <c r="W21" s="25"/>
      <c r="X21" s="25"/>
    </row>
    <row r="22" spans="1:69" ht="13.5" customHeight="1" thickBot="1">
      <c r="A22" s="2557"/>
      <c r="B22" s="2557"/>
      <c r="C22" s="2557"/>
      <c r="D22" s="2557"/>
      <c r="E22" s="2557"/>
      <c r="F22" s="2557"/>
      <c r="G22" s="2557"/>
      <c r="H22" s="2557"/>
      <c r="I22" s="2557"/>
      <c r="J22" s="2557"/>
      <c r="K22" s="2557">
        <v>15</v>
      </c>
      <c r="L22" s="2557">
        <v>16</v>
      </c>
      <c r="M22" s="2557">
        <v>17</v>
      </c>
      <c r="N22" s="2557">
        <v>18</v>
      </c>
      <c r="O22" s="2557">
        <v>15</v>
      </c>
      <c r="P22" s="2557">
        <v>16</v>
      </c>
      <c r="Q22" s="2557">
        <v>17</v>
      </c>
      <c r="R22" s="2557">
        <v>18</v>
      </c>
      <c r="S22" s="2557">
        <v>3</v>
      </c>
      <c r="T22" s="2557">
        <v>4</v>
      </c>
      <c r="U22" s="2557"/>
      <c r="V22" s="2557"/>
      <c r="W22" s="2557"/>
      <c r="X22" s="2557"/>
      <c r="Y22" s="2557"/>
      <c r="Z22" s="2557"/>
      <c r="AA22" s="2557"/>
      <c r="AB22" s="2557"/>
      <c r="AC22" s="2557"/>
      <c r="AD22" s="2557"/>
      <c r="AE22" s="2557"/>
      <c r="AF22" s="2557"/>
      <c r="AG22" s="2557"/>
      <c r="AH22" s="2557"/>
      <c r="AI22" s="2557"/>
      <c r="AJ22" s="2557"/>
      <c r="AK22" s="2557"/>
      <c r="AL22" s="2557"/>
      <c r="AM22" s="2557"/>
      <c r="AN22" s="2557"/>
      <c r="AO22" s="2557"/>
      <c r="AP22" s="2557"/>
      <c r="AQ22" s="2557"/>
      <c r="AR22" s="2557"/>
      <c r="AS22" s="2557"/>
      <c r="AT22" s="2557"/>
      <c r="AU22" s="2557"/>
      <c r="AV22" s="2557"/>
      <c r="AW22" s="2557"/>
      <c r="AX22" s="2557"/>
      <c r="AY22" s="2557"/>
      <c r="AZ22" s="2557"/>
      <c r="BA22" s="2557"/>
      <c r="BB22" s="2557"/>
      <c r="BC22" s="2557"/>
      <c r="BD22" s="2557"/>
      <c r="BE22" s="2557"/>
      <c r="BF22" s="2557"/>
      <c r="BG22" s="2557"/>
      <c r="BH22" s="2557"/>
      <c r="BI22" s="2557"/>
      <c r="BJ22" s="2557"/>
      <c r="BK22" s="2557"/>
      <c r="BL22" s="2557"/>
      <c r="BM22" s="2557"/>
      <c r="BN22" s="2557"/>
      <c r="BO22" s="2557"/>
      <c r="BP22" s="2557"/>
      <c r="BQ22" s="2557"/>
    </row>
    <row r="23" spans="1:69" ht="13.5" customHeight="1" thickTop="1" thickBot="1">
      <c r="A23" s="122" t="s">
        <v>71</v>
      </c>
      <c r="B23" s="88"/>
      <c r="C23" s="126"/>
      <c r="D23" s="125" t="s">
        <v>381</v>
      </c>
      <c r="E23" s="2797"/>
      <c r="F23" s="2797"/>
      <c r="G23" s="151"/>
      <c r="H23" s="151"/>
      <c r="I23" s="151"/>
      <c r="J23" s="152"/>
      <c r="K23" s="2537"/>
      <c r="L23" s="151"/>
      <c r="M23" s="151"/>
      <c r="N23" s="152"/>
      <c r="O23" s="2538"/>
      <c r="P23" s="151"/>
      <c r="Q23" s="151"/>
      <c r="R23" s="152"/>
      <c r="S23" s="2538"/>
      <c r="T23" s="152"/>
      <c r="U23" s="2538"/>
      <c r="V23" s="2797"/>
      <c r="W23" s="2797"/>
      <c r="X23" s="2797"/>
      <c r="Y23" s="2797"/>
      <c r="Z23" s="2797"/>
      <c r="AA23" s="2798"/>
      <c r="AB23" s="2799"/>
      <c r="AC23" s="2797"/>
      <c r="AD23" s="2797"/>
      <c r="AE23" s="2797"/>
      <c r="AF23" s="2797"/>
      <c r="AG23" s="2797"/>
      <c r="AH23" s="2798"/>
      <c r="AI23" s="2800"/>
      <c r="AJ23" s="2799"/>
      <c r="AK23" s="2797"/>
      <c r="AL23" s="2797"/>
      <c r="AM23" s="2797"/>
      <c r="AN23" s="2797"/>
      <c r="AO23" s="2797"/>
      <c r="AP23" s="2798"/>
      <c r="AQ23" s="2799"/>
      <c r="AR23" s="2797"/>
      <c r="AS23" s="2797"/>
      <c r="AT23" s="2797"/>
      <c r="AU23" s="2797"/>
      <c r="AV23" s="2691" t="s">
        <v>1669</v>
      </c>
      <c r="AW23" s="2797"/>
      <c r="AX23" s="2797"/>
      <c r="AY23" s="2797"/>
      <c r="AZ23" s="2797"/>
      <c r="BA23" s="2797"/>
      <c r="BB23" s="2797"/>
      <c r="BC23" s="2797"/>
      <c r="BD23" s="2798"/>
      <c r="BE23" s="2557"/>
      <c r="BF23" s="2799"/>
      <c r="BG23" s="2797"/>
      <c r="BH23" s="2797"/>
      <c r="BI23" s="2797"/>
      <c r="BJ23" s="2797"/>
      <c r="BK23" s="2797"/>
      <c r="BL23" s="2798"/>
      <c r="BM23" s="2799"/>
      <c r="BN23" s="2797"/>
      <c r="BO23" s="2797"/>
      <c r="BP23" s="2797"/>
      <c r="BQ23" s="2797"/>
    </row>
    <row r="24" spans="1:69" ht="13.5" customHeight="1" thickTop="1">
      <c r="A24" s="2241"/>
      <c r="B24" s="2242"/>
      <c r="C24" s="2244"/>
      <c r="D24" s="1140" t="s">
        <v>382</v>
      </c>
      <c r="E24" s="2539"/>
      <c r="F24" s="2539"/>
      <c r="G24" s="2548"/>
      <c r="H24" s="2539"/>
      <c r="I24" s="2539"/>
      <c r="J24" s="2801"/>
      <c r="K24" s="3878" t="s">
        <v>1507</v>
      </c>
      <c r="L24" s="3696"/>
      <c r="M24" s="3696"/>
      <c r="N24" s="3697"/>
      <c r="O24" s="3878" t="s">
        <v>1508</v>
      </c>
      <c r="P24" s="3696"/>
      <c r="Q24" s="3696"/>
      <c r="R24" s="3697"/>
      <c r="S24" s="3878" t="s">
        <v>647</v>
      </c>
      <c r="T24" s="3697"/>
      <c r="U24" s="1140" t="s">
        <v>1517</v>
      </c>
      <c r="V24" s="2548"/>
      <c r="W24" s="2548"/>
      <c r="X24" s="2548"/>
      <c r="Y24" s="2548"/>
      <c r="Z24" s="2548"/>
      <c r="AA24" s="2802"/>
      <c r="AB24" s="1140" t="s">
        <v>1517</v>
      </c>
      <c r="AC24" s="2548"/>
      <c r="AD24" s="2548"/>
      <c r="AE24" s="2548"/>
      <c r="AF24" s="2548"/>
      <c r="AG24" s="2548"/>
      <c r="AH24" s="2802"/>
      <c r="AI24" s="1153" t="s">
        <v>1511</v>
      </c>
      <c r="AJ24" s="1140" t="s">
        <v>1517</v>
      </c>
      <c r="AK24" s="2548"/>
      <c r="AL24" s="2548"/>
      <c r="AM24" s="2548"/>
      <c r="AN24" s="2548"/>
      <c r="AO24" s="2548"/>
      <c r="AP24" s="2802"/>
      <c r="AQ24" s="2803"/>
      <c r="AR24" s="2584" t="s">
        <v>1736</v>
      </c>
      <c r="AS24" s="2669"/>
      <c r="AT24" s="2669"/>
      <c r="AU24" s="2802"/>
      <c r="AV24" s="2545"/>
      <c r="AW24" s="2669"/>
      <c r="AX24" s="2669"/>
      <c r="AY24" s="2692" t="s">
        <v>1671</v>
      </c>
      <c r="AZ24" s="2804"/>
      <c r="BA24" s="2804">
        <v>0.51</v>
      </c>
      <c r="BB24" s="2804">
        <v>0.9</v>
      </c>
      <c r="BC24" s="2804">
        <v>0.74</v>
      </c>
      <c r="BD24" s="2802"/>
      <c r="BE24" s="2557"/>
      <c r="BF24" s="2546"/>
      <c r="BG24" s="3878" t="s">
        <v>483</v>
      </c>
      <c r="BH24" s="3696"/>
      <c r="BI24" s="3696"/>
      <c r="BJ24" s="3697"/>
      <c r="BK24" s="3878" t="s">
        <v>484</v>
      </c>
      <c r="BL24" s="3696"/>
      <c r="BM24" s="3696"/>
      <c r="BN24" s="3697"/>
      <c r="BO24" s="2545"/>
      <c r="BP24" s="1152" t="s">
        <v>1519</v>
      </c>
      <c r="BQ24" s="2802"/>
    </row>
    <row r="25" spans="1:69" ht="13.5" customHeight="1">
      <c r="A25" s="2805"/>
      <c r="B25" s="2565" t="s">
        <v>1450</v>
      </c>
      <c r="C25" s="2806"/>
      <c r="D25" s="2529" t="s">
        <v>376</v>
      </c>
      <c r="E25" s="2245" t="s">
        <v>1126</v>
      </c>
      <c r="F25" s="2245" t="s">
        <v>377</v>
      </c>
      <c r="G25" s="2245" t="s">
        <v>378</v>
      </c>
      <c r="H25" s="2245" t="s">
        <v>67</v>
      </c>
      <c r="I25" s="2245" t="s">
        <v>67</v>
      </c>
      <c r="J25" s="2735" t="s">
        <v>72</v>
      </c>
      <c r="K25" s="2533" t="s">
        <v>1513</v>
      </c>
      <c r="L25" s="2245"/>
      <c r="M25" s="2245"/>
      <c r="N25" s="2735"/>
      <c r="O25" s="2533" t="s">
        <v>1513</v>
      </c>
      <c r="P25" s="2245"/>
      <c r="Q25" s="2245"/>
      <c r="R25" s="2735"/>
      <c r="S25" s="2807" t="s">
        <v>1510</v>
      </c>
      <c r="T25" s="2535"/>
      <c r="U25" s="280" t="s">
        <v>1441</v>
      </c>
      <c r="V25" s="2808"/>
      <c r="W25" s="2808"/>
      <c r="X25" s="2808"/>
      <c r="Y25" s="2808"/>
      <c r="Z25" s="2808"/>
      <c r="AA25" s="2735"/>
      <c r="AB25" s="280" t="s">
        <v>256</v>
      </c>
      <c r="AC25" s="2808"/>
      <c r="AD25" s="2808"/>
      <c r="AE25" s="2808"/>
      <c r="AF25" s="2808"/>
      <c r="AG25" s="2808"/>
      <c r="AH25" s="2735"/>
      <c r="AI25" s="279" t="s">
        <v>1518</v>
      </c>
      <c r="AJ25" s="280" t="s">
        <v>1</v>
      </c>
      <c r="AK25" s="2808"/>
      <c r="AL25" s="2808"/>
      <c r="AM25" s="2808"/>
      <c r="AN25" s="2808"/>
      <c r="AO25" s="2808"/>
      <c r="AP25" s="2735"/>
      <c r="AQ25" s="2688"/>
      <c r="AR25" s="2690" t="s">
        <v>1737</v>
      </c>
      <c r="AS25" s="2565" t="s">
        <v>1738</v>
      </c>
      <c r="AT25" s="2565" t="s">
        <v>1739</v>
      </c>
      <c r="AU25" s="2735" t="s">
        <v>1740</v>
      </c>
      <c r="AV25" s="2690"/>
      <c r="AW25" s="2565"/>
      <c r="AX25" s="2565"/>
      <c r="AY25" s="2693" t="s">
        <v>1670</v>
      </c>
      <c r="AZ25" s="2809"/>
      <c r="BA25" s="2809">
        <v>0.49</v>
      </c>
      <c r="BB25" s="2809">
        <v>0.1</v>
      </c>
      <c r="BC25" s="2809">
        <v>0.26</v>
      </c>
      <c r="BD25" s="2735"/>
      <c r="BE25" s="2647"/>
      <c r="BF25" s="2688" t="s">
        <v>1450</v>
      </c>
      <c r="BG25" s="2533" t="s">
        <v>1513</v>
      </c>
      <c r="BH25" s="2245"/>
      <c r="BI25" s="2245"/>
      <c r="BJ25" s="2735"/>
      <c r="BK25" s="2533" t="s">
        <v>1513</v>
      </c>
      <c r="BL25" s="2245"/>
      <c r="BM25" s="2245"/>
      <c r="BN25" s="2735"/>
      <c r="BO25" s="2690"/>
      <c r="BP25" s="2565"/>
      <c r="BQ25" s="2735"/>
    </row>
    <row r="26" spans="1:69" ht="13.5" customHeight="1">
      <c r="A26" s="2805"/>
      <c r="B26" s="2565"/>
      <c r="C26" s="2806"/>
      <c r="D26" s="2529"/>
      <c r="E26" s="2245"/>
      <c r="F26" s="2245"/>
      <c r="G26" s="2245"/>
      <c r="H26" s="2245"/>
      <c r="I26" s="2245"/>
      <c r="J26" s="2735"/>
      <c r="K26" s="2534">
        <f>$B$14</f>
        <v>2010</v>
      </c>
      <c r="L26" s="2527" t="s">
        <v>1514</v>
      </c>
      <c r="M26" s="2245"/>
      <c r="N26" s="2735"/>
      <c r="O26" s="2534">
        <f>$B$14</f>
        <v>2010</v>
      </c>
      <c r="P26" s="2527" t="s">
        <v>1514</v>
      </c>
      <c r="Q26" s="2245"/>
      <c r="R26" s="2735"/>
      <c r="S26" s="2534">
        <f>$B$14</f>
        <v>2010</v>
      </c>
      <c r="T26" s="2536" t="s">
        <v>1514</v>
      </c>
      <c r="U26" s="3879" t="s">
        <v>919</v>
      </c>
      <c r="V26" s="3872" t="s">
        <v>920</v>
      </c>
      <c r="W26" s="3872" t="s">
        <v>4</v>
      </c>
      <c r="X26" s="3872" t="s">
        <v>0</v>
      </c>
      <c r="Y26" s="3872" t="s">
        <v>5</v>
      </c>
      <c r="Z26" s="3872" t="s">
        <v>6</v>
      </c>
      <c r="AA26" s="3881" t="s">
        <v>72</v>
      </c>
      <c r="AB26" s="3879" t="s">
        <v>919</v>
      </c>
      <c r="AC26" s="3872" t="s">
        <v>920</v>
      </c>
      <c r="AD26" s="3872" t="s">
        <v>4</v>
      </c>
      <c r="AE26" s="3872" t="s">
        <v>0</v>
      </c>
      <c r="AF26" s="3872" t="s">
        <v>5</v>
      </c>
      <c r="AG26" s="3872" t="s">
        <v>6</v>
      </c>
      <c r="AH26" s="3881" t="s">
        <v>72</v>
      </c>
      <c r="AI26" s="2688"/>
      <c r="AJ26" s="3879" t="s">
        <v>919</v>
      </c>
      <c r="AK26" s="3872" t="s">
        <v>920</v>
      </c>
      <c r="AL26" s="3872" t="s">
        <v>4</v>
      </c>
      <c r="AM26" s="3872" t="s">
        <v>0</v>
      </c>
      <c r="AN26" s="3872" t="s">
        <v>5</v>
      </c>
      <c r="AO26" s="3872" t="s">
        <v>6</v>
      </c>
      <c r="AP26" s="3881" t="s">
        <v>72</v>
      </c>
      <c r="AQ26" s="2688" t="s">
        <v>1668</v>
      </c>
      <c r="AR26" s="2690" t="s">
        <v>1741</v>
      </c>
      <c r="AS26" s="2565" t="s">
        <v>1644</v>
      </c>
      <c r="AT26" s="2565"/>
      <c r="AU26" s="2735" t="s">
        <v>1645</v>
      </c>
      <c r="AV26" s="3882" t="s">
        <v>919</v>
      </c>
      <c r="AW26" s="3872" t="s">
        <v>920</v>
      </c>
      <c r="AX26" s="3872" t="s">
        <v>4</v>
      </c>
      <c r="AY26" s="3872" t="s">
        <v>0</v>
      </c>
      <c r="AZ26" s="3872" t="s">
        <v>1827</v>
      </c>
      <c r="BA26" s="3872" t="s">
        <v>1665</v>
      </c>
      <c r="BB26" s="3872" t="s">
        <v>1666</v>
      </c>
      <c r="BC26" s="3872" t="s">
        <v>1667</v>
      </c>
      <c r="BD26" s="3881" t="s">
        <v>72</v>
      </c>
      <c r="BE26" s="2810"/>
      <c r="BF26" s="2688"/>
      <c r="BG26" s="2534">
        <f>$B$14</f>
        <v>2010</v>
      </c>
      <c r="BH26" s="2527" t="s">
        <v>1514</v>
      </c>
      <c r="BI26" s="2245"/>
      <c r="BJ26" s="2735"/>
      <c r="BK26" s="2534">
        <f>$B$14</f>
        <v>2010</v>
      </c>
      <c r="BL26" s="2527" t="s">
        <v>1514</v>
      </c>
      <c r="BM26" s="2245"/>
      <c r="BN26" s="2735"/>
      <c r="BO26" s="2690"/>
      <c r="BP26" s="2565"/>
      <c r="BQ26" s="2735"/>
    </row>
    <row r="27" spans="1:69" ht="63.75" customHeight="1" thickBot="1">
      <c r="A27" s="2811"/>
      <c r="B27" s="659"/>
      <c r="C27" s="393"/>
      <c r="D27" s="2540"/>
      <c r="E27" s="2250" t="s">
        <v>379</v>
      </c>
      <c r="F27" s="2250"/>
      <c r="G27" s="2250" t="s">
        <v>379</v>
      </c>
      <c r="H27" s="2250" t="s">
        <v>380</v>
      </c>
      <c r="I27" s="2250" t="s">
        <v>788</v>
      </c>
      <c r="J27" s="2544" t="s">
        <v>1061</v>
      </c>
      <c r="K27" s="2540" t="s">
        <v>569</v>
      </c>
      <c r="L27" s="2250" t="s">
        <v>570</v>
      </c>
      <c r="M27" s="2250" t="s">
        <v>571</v>
      </c>
      <c r="N27" s="2544" t="s">
        <v>572</v>
      </c>
      <c r="O27" s="2540" t="s">
        <v>569</v>
      </c>
      <c r="P27" s="2250" t="s">
        <v>570</v>
      </c>
      <c r="Q27" s="2250" t="s">
        <v>571</v>
      </c>
      <c r="R27" s="2544" t="s">
        <v>572</v>
      </c>
      <c r="S27" s="2540" t="s">
        <v>569</v>
      </c>
      <c r="T27" s="2541" t="s">
        <v>570</v>
      </c>
      <c r="U27" s="3880"/>
      <c r="V27" s="3873"/>
      <c r="W27" s="3873"/>
      <c r="X27" s="3873"/>
      <c r="Y27" s="3873"/>
      <c r="Z27" s="3873"/>
      <c r="AA27" s="3875"/>
      <c r="AB27" s="3880"/>
      <c r="AC27" s="3873"/>
      <c r="AD27" s="3873"/>
      <c r="AE27" s="3873"/>
      <c r="AF27" s="3873"/>
      <c r="AG27" s="3873"/>
      <c r="AH27" s="3875"/>
      <c r="AI27" s="2812"/>
      <c r="AJ27" s="3880"/>
      <c r="AK27" s="3873"/>
      <c r="AL27" s="3873"/>
      <c r="AM27" s="3873"/>
      <c r="AN27" s="3873"/>
      <c r="AO27" s="3873"/>
      <c r="AP27" s="3875"/>
      <c r="AQ27" s="2689" t="s">
        <v>1352</v>
      </c>
      <c r="AR27" s="2813"/>
      <c r="AS27" s="2814"/>
      <c r="AT27" s="2814"/>
      <c r="AU27" s="2815"/>
      <c r="AV27" s="3880"/>
      <c r="AW27" s="3873"/>
      <c r="AX27" s="3873"/>
      <c r="AY27" s="3873"/>
      <c r="AZ27" s="3876"/>
      <c r="BA27" s="3873"/>
      <c r="BB27" s="3873"/>
      <c r="BC27" s="3873"/>
      <c r="BD27" s="3875"/>
      <c r="BE27" s="2524"/>
      <c r="BF27" s="392"/>
      <c r="BG27" s="2540" t="s">
        <v>569</v>
      </c>
      <c r="BH27" s="2250" t="s">
        <v>570</v>
      </c>
      <c r="BI27" s="2250" t="s">
        <v>571</v>
      </c>
      <c r="BJ27" s="2544" t="s">
        <v>572</v>
      </c>
      <c r="BK27" s="2540" t="s">
        <v>569</v>
      </c>
      <c r="BL27" s="2250" t="s">
        <v>570</v>
      </c>
      <c r="BM27" s="2250" t="s">
        <v>571</v>
      </c>
      <c r="BN27" s="2544" t="s">
        <v>572</v>
      </c>
      <c r="BO27" s="2542" t="s">
        <v>1509</v>
      </c>
      <c r="BP27" s="2543" t="s">
        <v>1329</v>
      </c>
      <c r="BQ27" s="2544" t="s">
        <v>1512</v>
      </c>
    </row>
    <row r="28" spans="1:69" ht="13.5" customHeight="1" thickTop="1">
      <c r="A28" s="2822"/>
      <c r="B28" s="714">
        <v>2010</v>
      </c>
      <c r="C28" s="64"/>
      <c r="D28" s="2307">
        <v>30.424004981897845</v>
      </c>
      <c r="E28" s="2243">
        <v>80.020522293548595</v>
      </c>
      <c r="F28" s="2243">
        <v>62.447206487633004</v>
      </c>
      <c r="G28" s="2243">
        <v>70.989690839615477</v>
      </c>
      <c r="H28" s="2243">
        <v>91.472919212651263</v>
      </c>
      <c r="I28" s="2243">
        <v>41.961539380188782</v>
      </c>
      <c r="J28" s="2530">
        <v>54.251273449332835</v>
      </c>
      <c r="K28" s="2816">
        <f t="shared" ref="K28:N43" si="0">IF(ISERROR(VLOOKUP($B28,Av_car_cost_work,1,0)),"",VLOOKUP($B28,Av_car_cost_work,K$22,0))</f>
        <v>49.235793453437267</v>
      </c>
      <c r="L28" s="2817">
        <f t="shared" si="0"/>
        <v>9.0290199180907909</v>
      </c>
      <c r="M28" s="2817">
        <f t="shared" si="0"/>
        <v>-9.7583794314037603E-2</v>
      </c>
      <c r="N28" s="2818">
        <f t="shared" si="0"/>
        <v>6.8226228560917476E-4</v>
      </c>
      <c r="O28" s="2819">
        <f t="shared" ref="O28:R43" si="1">IF(ISERROR(VLOOKUP($B28,av_car_cost_nonwork,1,0)),"",VLOOKUP($B28,av_car_cost_nonwork,O$22,0))</f>
        <v>57.852057307788797</v>
      </c>
      <c r="P28" s="2820">
        <f t="shared" si="1"/>
        <v>10.609098403756679</v>
      </c>
      <c r="Q28" s="2820">
        <f t="shared" si="1"/>
        <v>-0.1146609583189942</v>
      </c>
      <c r="R28" s="2821">
        <f t="shared" si="1"/>
        <v>8.0165818559078039E-4</v>
      </c>
      <c r="S28" s="2819">
        <f>IF(ISERROR(VLOOKUP($B28,Non_fuel_op_cost,1,0)),#REF!,VLOOKUP($B28,Non_fuel_op_cost,S$22,1))</f>
        <v>4.9660000000000002</v>
      </c>
      <c r="T28" s="2828">
        <f>IF(ISERROR(VLOOKUP($B28,Non_fuel_op_cost,1,0)),#REF!,VLOOKUP($B28,Non_fuel_op_cost,T$22,1))</f>
        <v>135.946</v>
      </c>
      <c r="U28" s="2822">
        <f t="shared" ref="U28:AA43" si="2">$K28/D28+$L28+$M28*D28+$N28*D28^2+$S28+$T28/D28</f>
        <v>17.744345821115022</v>
      </c>
      <c r="V28" s="2823">
        <f t="shared" si="2"/>
        <v>12.8692116638118</v>
      </c>
      <c r="W28" s="2823">
        <f t="shared" si="2"/>
        <v>13.527184710467013</v>
      </c>
      <c r="X28" s="2823">
        <f t="shared" si="2"/>
        <v>13.114435056099712</v>
      </c>
      <c r="Y28" s="2823">
        <f t="shared" si="2"/>
        <v>12.801879062314359</v>
      </c>
      <c r="Z28" s="2823">
        <f t="shared" si="2"/>
        <v>15.514692744846583</v>
      </c>
      <c r="AA28" s="2824">
        <f t="shared" si="2"/>
        <v>14.12241878008914</v>
      </c>
      <c r="AB28" s="2822">
        <f t="shared" ref="AB28:AH43" si="3">$O28/D28+$P28+$Q28*D28+$R28*D28^2</f>
        <v>9.7642104338374605</v>
      </c>
      <c r="AC28" s="2823">
        <f t="shared" si="3"/>
        <v>7.2900789111730946</v>
      </c>
      <c r="AD28" s="2823">
        <f>$O28/F28+$P28+$Q28*F28+$R28*F28^2</f>
        <v>7.5014465479716543</v>
      </c>
      <c r="AE28" s="2823">
        <f t="shared" ref="AE28:AH32" si="4">$O28/G28+$P28+$Q28*G28+$R28*G28^2</f>
        <v>7.3242739088590225</v>
      </c>
      <c r="AF28" s="2823">
        <f t="shared" si="4"/>
        <v>7.4608864183658294</v>
      </c>
      <c r="AG28" s="2823">
        <f t="shared" si="4"/>
        <v>8.5879768449688552</v>
      </c>
      <c r="AH28" s="2824">
        <f t="shared" si="4"/>
        <v>7.814408647675716</v>
      </c>
      <c r="AI28" s="2825">
        <f>'A1.3.4'!$J$27/100</f>
        <v>0.1205924519584583</v>
      </c>
      <c r="AJ28" s="2822">
        <f t="shared" ref="AJ28:AP43" si="5">U28*$AI28+AB28*(1-$AI28)</f>
        <v>10.726554527149723</v>
      </c>
      <c r="AK28" s="2823">
        <f t="shared" si="5"/>
        <v>7.9628802096155393</v>
      </c>
      <c r="AL28" s="2823">
        <f t="shared" si="5"/>
        <v>8.2281050878466253</v>
      </c>
      <c r="AM28" s="2823">
        <f t="shared" si="5"/>
        <v>8.0225236388393775</v>
      </c>
      <c r="AN28" s="2823">
        <f t="shared" si="5"/>
        <v>8.1049698171916713</v>
      </c>
      <c r="AO28" s="2823">
        <f t="shared" si="5"/>
        <v>9.4232864993547505</v>
      </c>
      <c r="AP28" s="2824">
        <f t="shared" si="5"/>
        <v>8.5751070565222509</v>
      </c>
      <c r="AQ28" s="2829" t="str">
        <f t="shared" ref="AQ28:AQ77" si="6">B28&amp;"/"&amp;RIGHT(B29,2)</f>
        <v>2010/11</v>
      </c>
      <c r="AR28" s="2830">
        <f>'Cost and rev series'!D27</f>
        <v>1.8608111862235877</v>
      </c>
      <c r="AS28" s="3181">
        <f>'Cost and rev series'!F27</f>
        <v>4.9629229105515371</v>
      </c>
      <c r="AT28" s="2826">
        <f t="shared" ref="AT28:AT52" si="7">AS28-AR28</f>
        <v>3.1021117243279495</v>
      </c>
      <c r="AU28" s="2827">
        <v>1</v>
      </c>
      <c r="AV28" s="2822">
        <f>(AJ28*0.75+AJ29*0.25)/(AJ$28*0.75+AJ$29*0.25)*100/GDP_deflator_to_RPI_conversion</f>
        <v>100</v>
      </c>
      <c r="AW28" s="2823">
        <f t="shared" ref="AW28:AW59" si="8">(AK28*0.75+AK29*0.25)/(AK$28*0.75+AK$29*0.25)*100/GDP_deflator_to_RPI_conversion</f>
        <v>100</v>
      </c>
      <c r="AX28" s="2823">
        <f t="shared" ref="AX28:AX59" si="9">(AL28*0.75+AL29*0.25)/(AL$28*0.75+AL$29*0.25)*100/GDP_deflator_to_RPI_conversion</f>
        <v>100</v>
      </c>
      <c r="AY28" s="2823">
        <f t="shared" ref="AY28:AY59" si="10">(AM28*0.75+AM29*0.25)/(AM$28*0.75+AM$29*0.25)*100/GDP_deflator_to_RPI_conversion</f>
        <v>100</v>
      </c>
      <c r="AZ28" s="2823">
        <f t="shared" ref="AZ28:AZ59" si="11">($AO28*0.75+$AO29*0.25)/($AO$28*0.75+$AO$29*0.25)*100/GDP_deflator_to_RPI_conversion</f>
        <v>100</v>
      </c>
      <c r="BA28" s="2823">
        <f t="shared" ref="BA28:BA59" si="12">(($AN28*0.75+$AN29*0.25)*BA$24+($AO28*0.75+$AO29*0.25)*BA$25)/(($AN$28*0.75+$AN$29*0.25)*BA$24+($AO$28*0.75+$AO$29*0.25)*BA$25)*100/GDP_deflator_to_RPI_conversion</f>
        <v>100</v>
      </c>
      <c r="BB28" s="2823">
        <f t="shared" ref="BB28:BB59" si="13">(($AN28*0.75+$AN29*0.25)*BB$24+($AO28*0.75+$AO29*0.25)*BB$25)/(($AN$28*0.75+$AN$29*0.25)*BB$24+($AO$28*0.75+$AO$29*0.25)*BB$25)*100/GDP_deflator_to_RPI_conversion</f>
        <v>100</v>
      </c>
      <c r="BC28" s="2823">
        <f t="shared" ref="BC28:BC59" si="14">(($AN28*0.75+$AN29*0.25)*BC$24+($AO28*0.75+$AO29*0.25)*BC$25)/(($AN$28*0.75+$AN$29*0.25)*BC$24+($AO$28*0.75+$AO$29*0.25)*BC$25)*100/GDP_deflator_to_RPI_conversion</f>
        <v>100</v>
      </c>
      <c r="BD28" s="2824">
        <f t="shared" ref="BD28:BD59" si="15">(AP28*0.75+AP29*0.25)/(AP$28*0.75+AP$29*0.25)*100/GDP_deflator_to_RPI_conversion</f>
        <v>100</v>
      </c>
      <c r="BE28" s="2823"/>
      <c r="BF28" s="2825">
        <f t="shared" ref="BF28:BF78" si="16">B28</f>
        <v>2010</v>
      </c>
      <c r="BG28" s="2819">
        <f t="shared" ref="BG28:BN28" si="17">K28*(2/3)+K29*(1/3)</f>
        <v>50.87283889667647</v>
      </c>
      <c r="BH28" s="2820">
        <f t="shared" si="17"/>
        <v>9.2957166280599566</v>
      </c>
      <c r="BI28" s="2820">
        <f t="shared" si="17"/>
        <v>-0.10032312224556728</v>
      </c>
      <c r="BJ28" s="2828">
        <f t="shared" si="17"/>
        <v>7.0244186314326199E-4</v>
      </c>
      <c r="BK28" s="2819">
        <f t="shared" si="17"/>
        <v>60.22681011845448</v>
      </c>
      <c r="BL28" s="2820">
        <f t="shared" si="17"/>
        <v>11.004371627008618</v>
      </c>
      <c r="BM28" s="2820">
        <f t="shared" si="17"/>
        <v>-0.11876135012278012</v>
      </c>
      <c r="BN28" s="2828">
        <f t="shared" si="17"/>
        <v>8.3155919767842804E-4</v>
      </c>
      <c r="BO28" s="2822">
        <f>BG28/$J28+BH28+BI28*$J28+BJ28*$J28^2</f>
        <v>6.858213023183529</v>
      </c>
      <c r="BP28" s="2823">
        <f t="shared" ref="BP28:BP78" si="18">BK28/$J28+BL28+BM28*$J28+BN28*$J28^2</f>
        <v>8.119008290604862</v>
      </c>
      <c r="BQ28" s="2824">
        <f t="shared" ref="BQ28:BQ78" si="19">BO28*AI28+BP28*(1-AI28)</f>
        <v>7.9669658978889037</v>
      </c>
    </row>
    <row r="29" spans="1:69" ht="13.5" customHeight="1">
      <c r="A29" s="2822"/>
      <c r="B29" s="2547">
        <v>2011</v>
      </c>
      <c r="C29" s="64"/>
      <c r="D29" s="2531">
        <f>D28*(D$33/D$28)^(1/5)</f>
        <v>30.254007274666183</v>
      </c>
      <c r="E29" s="2258">
        <f t="shared" ref="E29:J32" si="20">E28*(E$33/E$28)^(1/5)</f>
        <v>79.895922782379813</v>
      </c>
      <c r="F29" s="2258">
        <f t="shared" si="20"/>
        <v>62.404746925906579</v>
      </c>
      <c r="G29" s="2258">
        <f t="shared" si="20"/>
        <v>70.946257968202914</v>
      </c>
      <c r="H29" s="2258">
        <f t="shared" si="20"/>
        <v>91.434679342586321</v>
      </c>
      <c r="I29" s="2258">
        <f t="shared" si="20"/>
        <v>41.922019330745599</v>
      </c>
      <c r="J29" s="2532">
        <f t="shared" si="20"/>
        <v>54.204671784792396</v>
      </c>
      <c r="K29" s="2816">
        <f t="shared" si="0"/>
        <v>54.146929783154874</v>
      </c>
      <c r="L29" s="2817">
        <f t="shared" si="0"/>
        <v>9.829110047998288</v>
      </c>
      <c r="M29" s="2817">
        <f t="shared" si="0"/>
        <v>-0.10580177810862663</v>
      </c>
      <c r="N29" s="2818">
        <f t="shared" si="0"/>
        <v>7.4280101821143645E-4</v>
      </c>
      <c r="O29" s="2819">
        <f t="shared" si="1"/>
        <v>64.976315739785846</v>
      </c>
      <c r="P29" s="2820">
        <f t="shared" si="1"/>
        <v>11.794918073512498</v>
      </c>
      <c r="Q29" s="2820">
        <f t="shared" si="1"/>
        <v>-0.12696213373035198</v>
      </c>
      <c r="R29" s="2821">
        <f t="shared" si="1"/>
        <v>8.9136122185372356E-4</v>
      </c>
      <c r="S29" s="2819">
        <f>IF(ISERROR(VLOOKUP($B29,Non_fuel_op_cost,1,0)),#REF!,VLOOKUP($B29,Non_fuel_op_cost,S$22,1))</f>
        <v>4.9658120770035978</v>
      </c>
      <c r="T29" s="2828">
        <f>IF(ISERROR(VLOOKUP($B29,Non_fuel_op_cost,1,0)),#REF!,VLOOKUP($B29,Non_fuel_op_cost,T$22,1))</f>
        <v>135.946</v>
      </c>
      <c r="U29" s="2822">
        <f t="shared" si="2"/>
        <v>18.557115256793271</v>
      </c>
      <c r="V29" s="2823">
        <f t="shared" si="2"/>
        <v>13.462613560340104</v>
      </c>
      <c r="W29" s="2823">
        <f t="shared" si="2"/>
        <v>14.131247222152053</v>
      </c>
      <c r="X29" s="2823">
        <f t="shared" si="2"/>
        <v>13.706868693143551</v>
      </c>
      <c r="Y29" s="2823">
        <f t="shared" si="2"/>
        <v>13.410012789051965</v>
      </c>
      <c r="Z29" s="2823">
        <f t="shared" si="2"/>
        <v>16.199378980562049</v>
      </c>
      <c r="AA29" s="2824">
        <f t="shared" si="2"/>
        <v>14.749376982758996</v>
      </c>
      <c r="AB29" s="2822">
        <f t="shared" si="3"/>
        <v>10.917364971027032</v>
      </c>
      <c r="AC29" s="2823">
        <f t="shared" si="3"/>
        <v>8.1543014248044408</v>
      </c>
      <c r="AD29" s="2823">
        <f t="shared" si="3"/>
        <v>8.3843609010460618</v>
      </c>
      <c r="AE29" s="2823">
        <f t="shared" si="4"/>
        <v>8.1898345824789995</v>
      </c>
      <c r="AF29" s="2823">
        <f t="shared" si="4"/>
        <v>8.3488548125391837</v>
      </c>
      <c r="AG29" s="2823">
        <f t="shared" si="4"/>
        <v>9.5888697834058227</v>
      </c>
      <c r="AH29" s="2824">
        <f t="shared" si="4"/>
        <v>8.7306487787281828</v>
      </c>
      <c r="AI29" s="2825">
        <f>'A1.3.4'!$J$27/100</f>
        <v>0.1205924519584583</v>
      </c>
      <c r="AJ29" s="2822">
        <f t="shared" si="5"/>
        <v>11.838661190337916</v>
      </c>
      <c r="AK29" s="2823">
        <f t="shared" si="5"/>
        <v>8.7944438009895265</v>
      </c>
      <c r="AL29" s="2823">
        <f t="shared" si="5"/>
        <v>9.077392013634757</v>
      </c>
      <c r="AM29" s="2823">
        <f t="shared" si="5"/>
        <v>8.8551472534224906</v>
      </c>
      <c r="AN29" s="2823">
        <f t="shared" si="5"/>
        <v>8.9591922626759697</v>
      </c>
      <c r="AO29" s="2823">
        <f t="shared" si="5"/>
        <v>10.386047296184833</v>
      </c>
      <c r="AP29" s="2824">
        <f t="shared" si="5"/>
        <v>9.4564619705237867</v>
      </c>
      <c r="AQ29" s="2829" t="str">
        <f t="shared" si="6"/>
        <v>2011/12</v>
      </c>
      <c r="AR29" s="2830">
        <f>'Cost and rev series'!D28</f>
        <v>1.3147121684594198</v>
      </c>
      <c r="AS29" s="2826">
        <f>'Cost and rev series'!F28</f>
        <v>4.7981749273282803</v>
      </c>
      <c r="AT29" s="2826">
        <f t="shared" si="7"/>
        <v>3.4834627588688605</v>
      </c>
      <c r="AU29" s="2827">
        <f t="shared" ref="AU29:AU34" si="21">(1+AS29/100)/(1+AR29/100)*AU28</f>
        <v>1.0343825954228325</v>
      </c>
      <c r="AV29" s="2822">
        <f t="shared" ref="AV29:AV59" si="22">(AJ29*0.75+AJ30*0.25)/(AJ$28*0.75+AJ$29*0.25)*100/GDP_deflator_to_RPI_conversion</f>
        <v>103.84551722695961</v>
      </c>
      <c r="AW29" s="2823">
        <f>(AK29*0.75+AK30*0.25)/(AK$28*0.75+AK$29*0.25)*100/GDP_deflator_to_RPI_conversion</f>
        <v>103.89108657480301</v>
      </c>
      <c r="AX29" s="2823">
        <f t="shared" si="9"/>
        <v>103.79358112457062</v>
      </c>
      <c r="AY29" s="2823">
        <f t="shared" si="10"/>
        <v>103.84059178633457</v>
      </c>
      <c r="AZ29" s="2823">
        <f t="shared" si="11"/>
        <v>103.70183650520868</v>
      </c>
      <c r="BA29" s="2823">
        <f t="shared" si="12"/>
        <v>103.82584932950741</v>
      </c>
      <c r="BB29" s="2823">
        <f t="shared" si="13"/>
        <v>103.93426758362396</v>
      </c>
      <c r="BC29" s="2823">
        <f t="shared" si="14"/>
        <v>103.88820042046946</v>
      </c>
      <c r="BD29" s="2824">
        <f t="shared" si="15"/>
        <v>103.75609953937685</v>
      </c>
      <c r="BE29" s="2823"/>
      <c r="BF29" s="2825">
        <f t="shared" si="16"/>
        <v>2011</v>
      </c>
      <c r="BG29" s="2819">
        <f t="shared" ref="BG29:BN44" si="23">K29*0.5+K28*0.25+K30*0.25</f>
        <v>52.871868567169152</v>
      </c>
      <c r="BH29" s="2820">
        <f t="shared" si="23"/>
        <v>9.5992296370257844</v>
      </c>
      <c r="BI29" s="2820">
        <f t="shared" si="23"/>
        <v>-0.10333375518743923</v>
      </c>
      <c r="BJ29" s="2828">
        <f t="shared" si="23"/>
        <v>7.2542550733944717E-4</v>
      </c>
      <c r="BK29" s="2819">
        <f t="shared" si="23"/>
        <v>63.138518571519</v>
      </c>
      <c r="BL29" s="2820">
        <f t="shared" si="23"/>
        <v>11.462627129762055</v>
      </c>
      <c r="BM29" s="2820">
        <f t="shared" si="23"/>
        <v>-0.12339060751046436</v>
      </c>
      <c r="BN29" s="2828">
        <f t="shared" si="23"/>
        <v>8.6624646952227922E-4</v>
      </c>
      <c r="BO29" s="2822">
        <f t="shared" ref="BO29:BO77" si="24">BG29/$J29+BH29+BI29*$J29+BJ29*$J29^2</f>
        <v>7.1048753811967567</v>
      </c>
      <c r="BP29" s="2823">
        <f t="shared" si="18"/>
        <v>8.4842556468610226</v>
      </c>
      <c r="BQ29" s="2824">
        <f t="shared" si="19"/>
        <v>8.3179127984414603</v>
      </c>
    </row>
    <row r="30" spans="1:69" ht="13.5" customHeight="1">
      <c r="A30" s="2822"/>
      <c r="B30" s="2547">
        <v>2012</v>
      </c>
      <c r="C30" s="64"/>
      <c r="D30" s="2531">
        <f>D29*(D$33/D$28)^(1/5)</f>
        <v>30.08495944962397</v>
      </c>
      <c r="E30" s="2258">
        <f t="shared" si="20"/>
        <v>79.77151728441838</v>
      </c>
      <c r="F30" s="2258">
        <f t="shared" si="20"/>
        <v>62.362316233596154</v>
      </c>
      <c r="G30" s="2258">
        <f t="shared" si="20"/>
        <v>70.902851669864503</v>
      </c>
      <c r="H30" s="2258">
        <f t="shared" si="20"/>
        <v>91.396455458538611</v>
      </c>
      <c r="I30" s="2258">
        <f t="shared" si="20"/>
        <v>41.882536501917556</v>
      </c>
      <c r="J30" s="2532">
        <f t="shared" si="20"/>
        <v>54.158110150927733</v>
      </c>
      <c r="K30" s="2816">
        <f t="shared" si="0"/>
        <v>53.957821248929605</v>
      </c>
      <c r="L30" s="2817">
        <f t="shared" si="0"/>
        <v>9.7096785340157741</v>
      </c>
      <c r="M30" s="2817">
        <f t="shared" si="0"/>
        <v>-0.10414767021846608</v>
      </c>
      <c r="N30" s="2818">
        <f t="shared" si="0"/>
        <v>7.3383770732574115E-4</v>
      </c>
      <c r="O30" s="2819">
        <f t="shared" si="1"/>
        <v>64.749385498715512</v>
      </c>
      <c r="P30" s="2820">
        <f t="shared" si="1"/>
        <v>11.651573968266547</v>
      </c>
      <c r="Q30" s="2820">
        <f t="shared" si="1"/>
        <v>-0.12497720426215929</v>
      </c>
      <c r="R30" s="2821">
        <f t="shared" si="1"/>
        <v>8.8060524879088938E-4</v>
      </c>
      <c r="S30" s="2819">
        <f>IF(ISERROR(VLOOKUP($B30,Non_fuel_op_cost,1,0)),#REF!,VLOOKUP($B30,Non_fuel_op_cost,S$22,1))</f>
        <v>4.965480144389363</v>
      </c>
      <c r="T30" s="2828">
        <f>IF(ISERROR(VLOOKUP($B30,Non_fuel_op_cost,1,0)),#REF!,VLOOKUP($B30,Non_fuel_op_cost,T$22,1))</f>
        <v>135.946</v>
      </c>
      <c r="U30" s="2822">
        <f t="shared" si="2"/>
        <v>18.518331458869213</v>
      </c>
      <c r="V30" s="2823">
        <f t="shared" si="2"/>
        <v>13.41751039367022</v>
      </c>
      <c r="W30" s="2823">
        <f t="shared" si="2"/>
        <v>14.079375962691248</v>
      </c>
      <c r="X30" s="2823">
        <f t="shared" si="2"/>
        <v>13.658317816268029</v>
      </c>
      <c r="Y30" s="2823">
        <f t="shared" si="2"/>
        <v>13.364209065940623</v>
      </c>
      <c r="Z30" s="2823">
        <f t="shared" si="2"/>
        <v>16.134649770567187</v>
      </c>
      <c r="AA30" s="2824">
        <f t="shared" si="2"/>
        <v>14.693608323655004</v>
      </c>
      <c r="AB30" s="2822">
        <f t="shared" si="3"/>
        <v>10.840897678971681</v>
      </c>
      <c r="AC30" s="2823">
        <f t="shared" si="3"/>
        <v>8.0973653495529465</v>
      </c>
      <c r="AD30" s="2823">
        <f t="shared" si="3"/>
        <v>8.3207087808582578</v>
      </c>
      <c r="AE30" s="2823">
        <f t="shared" si="4"/>
        <v>8.1305378702210618</v>
      </c>
      <c r="AF30" s="2823">
        <f t="shared" si="4"/>
        <v>8.2935161978967589</v>
      </c>
      <c r="AG30" s="2823">
        <f t="shared" si="4"/>
        <v>9.5078983275648721</v>
      </c>
      <c r="AH30" s="2824">
        <f t="shared" si="4"/>
        <v>8.6615109464016555</v>
      </c>
      <c r="AI30" s="2825">
        <f>'A1.3.4'!$J$27/100</f>
        <v>0.1205924519584583</v>
      </c>
      <c r="AJ30" s="2822">
        <f t="shared" si="5"/>
        <v>11.766738243238219</v>
      </c>
      <c r="AK30" s="2823">
        <f t="shared" si="5"/>
        <v>8.7389346851976892</v>
      </c>
      <c r="AL30" s="2823">
        <f t="shared" si="5"/>
        <v>9.0151605763282028</v>
      </c>
      <c r="AM30" s="2823">
        <f t="shared" si="5"/>
        <v>8.7971464078016606</v>
      </c>
      <c r="AN30" s="2823">
        <f t="shared" si="5"/>
        <v>8.905003483982437</v>
      </c>
      <c r="AO30" s="2823">
        <f t="shared" si="5"/>
        <v>10.307034532595774</v>
      </c>
      <c r="AP30" s="2824">
        <f t="shared" si="5"/>
        <v>9.3889363595768227</v>
      </c>
      <c r="AQ30" s="2829" t="str">
        <f t="shared" si="6"/>
        <v>2012/13</v>
      </c>
      <c r="AR30" s="2830">
        <f>'Cost and rev series'!D29</f>
        <v>2.0131806938054719</v>
      </c>
      <c r="AS30" s="2826">
        <f>'Cost and rev series'!F29</f>
        <v>3.0897791510129391</v>
      </c>
      <c r="AT30" s="2826">
        <f t="shared" si="7"/>
        <v>1.0765984572074672</v>
      </c>
      <c r="AU30" s="2827">
        <f t="shared" si="21"/>
        <v>1.0452989760201301</v>
      </c>
      <c r="AV30" s="2822">
        <f t="shared" si="22"/>
        <v>101.40179634389443</v>
      </c>
      <c r="AW30" s="2823">
        <f t="shared" si="8"/>
        <v>101.41467989153708</v>
      </c>
      <c r="AX30" s="2823">
        <f t="shared" si="9"/>
        <v>101.26854402756608</v>
      </c>
      <c r="AY30" s="2823">
        <f t="shared" si="10"/>
        <v>101.34376634438681</v>
      </c>
      <c r="AZ30" s="2823">
        <f t="shared" si="11"/>
        <v>101.10477514102629</v>
      </c>
      <c r="BA30" s="2823">
        <f t="shared" si="12"/>
        <v>101.29554723263634</v>
      </c>
      <c r="BB30" s="2823">
        <f t="shared" si="13"/>
        <v>101.46232979906435</v>
      </c>
      <c r="BC30" s="2823">
        <f t="shared" si="14"/>
        <v>101.39146350665288</v>
      </c>
      <c r="BD30" s="2824">
        <f t="shared" si="15"/>
        <v>101.20406863894166</v>
      </c>
      <c r="BE30" s="2823"/>
      <c r="BF30" s="2825">
        <f t="shared" si="16"/>
        <v>2012</v>
      </c>
      <c r="BG30" s="2819">
        <f>K30*0.5+K29*0.25+K31*0.25</f>
        <v>53.522083438149423</v>
      </c>
      <c r="BH30" s="2820">
        <f t="shared" si="23"/>
        <v>9.6335577251439268</v>
      </c>
      <c r="BI30" s="2820">
        <f t="shared" si="23"/>
        <v>-0.10334081144135621</v>
      </c>
      <c r="BJ30" s="2828">
        <f t="shared" si="23"/>
        <v>7.2808108947775767E-4</v>
      </c>
      <c r="BK30" s="2819">
        <f t="shared" si="23"/>
        <v>64.226500125779296</v>
      </c>
      <c r="BL30" s="2820">
        <f t="shared" si="23"/>
        <v>11.560226273960502</v>
      </c>
      <c r="BM30" s="2820">
        <f t="shared" si="23"/>
        <v>-0.12400897372962744</v>
      </c>
      <c r="BN30" s="2828">
        <f t="shared" si="23"/>
        <v>8.736973073733092E-4</v>
      </c>
      <c r="BO30" s="2822">
        <f t="shared" si="24"/>
        <v>7.1606060845233186</v>
      </c>
      <c r="BP30" s="2823">
        <f t="shared" si="18"/>
        <v>8.5926843052157729</v>
      </c>
      <c r="BQ30" s="2824">
        <f t="shared" si="19"/>
        <v>8.4199864811861644</v>
      </c>
    </row>
    <row r="31" spans="1:69" ht="13.5" customHeight="1">
      <c r="A31" s="2822"/>
      <c r="B31" s="2547">
        <v>2013</v>
      </c>
      <c r="C31" s="64"/>
      <c r="D31" s="2531">
        <f>D30*(D$33/D$28)^(1/5)</f>
        <v>29.916856199192718</v>
      </c>
      <c r="E31" s="2258">
        <f t="shared" si="20"/>
        <v>79.647305497567402</v>
      </c>
      <c r="F31" s="2258">
        <f t="shared" si="20"/>
        <v>62.319914391072622</v>
      </c>
      <c r="G31" s="2258">
        <f t="shared" si="20"/>
        <v>70.85947192834233</v>
      </c>
      <c r="H31" s="2258">
        <f t="shared" si="20"/>
        <v>91.358247553825251</v>
      </c>
      <c r="I31" s="2258">
        <f t="shared" si="20"/>
        <v>41.843090858649681</v>
      </c>
      <c r="J31" s="2532">
        <f t="shared" si="20"/>
        <v>54.111588513352629</v>
      </c>
      <c r="K31" s="2816">
        <f t="shared" si="0"/>
        <v>52.025761471583607</v>
      </c>
      <c r="L31" s="2817">
        <f t="shared" si="0"/>
        <v>9.2857637845458711</v>
      </c>
      <c r="M31" s="2817">
        <f t="shared" si="0"/>
        <v>-9.9266127219866024E-2</v>
      </c>
      <c r="N31" s="2818">
        <f t="shared" si="0"/>
        <v>7.0184792504811191E-4</v>
      </c>
      <c r="O31" s="2819">
        <f t="shared" si="1"/>
        <v>62.430913765900321</v>
      </c>
      <c r="P31" s="2820">
        <f t="shared" si="1"/>
        <v>11.142839085796419</v>
      </c>
      <c r="Q31" s="2820">
        <f t="shared" si="1"/>
        <v>-0.11911935266383922</v>
      </c>
      <c r="R31" s="2821">
        <f t="shared" si="1"/>
        <v>8.4221751005773425E-4</v>
      </c>
      <c r="S31" s="2819">
        <f>IF(ISERROR(VLOOKUP($B31,Non_fuel_op_cost,1,0)),#REF!,VLOOKUP($B31,Non_fuel_op_cost,S$22,1))</f>
        <v>4.9650415963110044</v>
      </c>
      <c r="T31" s="2828">
        <f>IF(ISERROR(VLOOKUP($B31,Non_fuel_op_cost,1,0)),#REF!,VLOOKUP($B31,Non_fuel_op_cost,T$22,1))</f>
        <v>135.946</v>
      </c>
      <c r="U31" s="2822">
        <f t="shared" si="2"/>
        <v>18.19238050402063</v>
      </c>
      <c r="V31" s="2823">
        <f t="shared" si="2"/>
        <v>13.156885515725136</v>
      </c>
      <c r="W31" s="2823">
        <f t="shared" si="2"/>
        <v>13.806605044017342</v>
      </c>
      <c r="X31" s="2823">
        <f t="shared" si="2"/>
        <v>13.393623993783653</v>
      </c>
      <c r="Y31" s="2823">
        <f t="shared" si="2"/>
        <v>13.097403646245377</v>
      </c>
      <c r="Z31" s="2823">
        <f t="shared" si="2"/>
        <v>15.818331267463989</v>
      </c>
      <c r="AA31" s="2824">
        <f t="shared" si="2"/>
        <v>14.408193341334316</v>
      </c>
      <c r="AB31" s="2822">
        <f t="shared" si="3"/>
        <v>10.419776593321782</v>
      </c>
      <c r="AC31" s="2823">
        <f t="shared" si="3"/>
        <v>7.7819152986912528</v>
      </c>
      <c r="AD31" s="2823">
        <f t="shared" si="3"/>
        <v>7.9920929033639485</v>
      </c>
      <c r="AE31" s="2823">
        <f t="shared" si="4"/>
        <v>7.8119858053703934</v>
      </c>
      <c r="AF31" s="2823">
        <f t="shared" si="4"/>
        <v>7.9730922792044243</v>
      </c>
      <c r="AG31" s="2823">
        <f t="shared" si="4"/>
        <v>9.1251333056641819</v>
      </c>
      <c r="AH31" s="2824">
        <f t="shared" si="4"/>
        <v>8.3169123455919038</v>
      </c>
      <c r="AI31" s="2825">
        <f>'A1.3.4'!$J$27/100</f>
        <v>0.1205924519584583</v>
      </c>
      <c r="AJ31" s="2822">
        <f t="shared" si="5"/>
        <v>11.357093957014859</v>
      </c>
      <c r="AK31" s="2823">
        <f t="shared" si="5"/>
        <v>8.4300961363670552</v>
      </c>
      <c r="AL31" s="2823">
        <f t="shared" si="5"/>
        <v>8.6932791793475666</v>
      </c>
      <c r="AM31" s="2823">
        <f t="shared" si="5"/>
        <v>8.4850892404561158</v>
      </c>
      <c r="AN31" s="2823">
        <f t="shared" si="5"/>
        <v>8.5910455515544921</v>
      </c>
      <c r="AO31" s="2823">
        <f t="shared" si="5"/>
        <v>9.9322824593209766</v>
      </c>
      <c r="AP31" s="2824">
        <f t="shared" si="5"/>
        <v>9.0514748564364425</v>
      </c>
      <c r="AQ31" s="2829" t="str">
        <f t="shared" si="6"/>
        <v>2013/14</v>
      </c>
      <c r="AR31" s="2830">
        <f>'Cost and rev series'!D30</f>
        <v>1.8346235290033874</v>
      </c>
      <c r="AS31" s="2826">
        <f>'Cost and rev series'!F30</f>
        <v>2.8847791287762714</v>
      </c>
      <c r="AT31" s="2826">
        <f t="shared" si="7"/>
        <v>1.050155599772884</v>
      </c>
      <c r="AU31" s="2827">
        <f t="shared" si="21"/>
        <v>1.0560784784630468</v>
      </c>
      <c r="AV31" s="2822">
        <f t="shared" si="22"/>
        <v>96.004316842238723</v>
      </c>
      <c r="AW31" s="2823">
        <f t="shared" si="8"/>
        <v>95.956205229801554</v>
      </c>
      <c r="AX31" s="2823">
        <f t="shared" si="9"/>
        <v>95.786844751261683</v>
      </c>
      <c r="AY31" s="2823">
        <f t="shared" si="10"/>
        <v>95.879021897356637</v>
      </c>
      <c r="AZ31" s="2823">
        <f t="shared" si="11"/>
        <v>95.569243649288623</v>
      </c>
      <c r="BA31" s="2823">
        <f t="shared" si="12"/>
        <v>95.795327269605849</v>
      </c>
      <c r="BB31" s="2823">
        <f t="shared" si="13"/>
        <v>95.992980952100055</v>
      </c>
      <c r="BC31" s="2823">
        <f t="shared" si="14"/>
        <v>95.908997452146679</v>
      </c>
      <c r="BD31" s="2824">
        <f t="shared" si="15"/>
        <v>95.703383291789592</v>
      </c>
      <c r="BE31" s="2823"/>
      <c r="BF31" s="2825">
        <f t="shared" si="16"/>
        <v>2013</v>
      </c>
      <c r="BG31" s="2819">
        <f t="shared" si="23"/>
        <v>51.520553772901764</v>
      </c>
      <c r="BH31" s="2820">
        <f t="shared" si="23"/>
        <v>9.1990259681900604</v>
      </c>
      <c r="BI31" s="2820">
        <f t="shared" si="23"/>
        <v>-9.8351368527217015E-2</v>
      </c>
      <c r="BJ31" s="2828">
        <f t="shared" si="23"/>
        <v>6.9527634656343473E-4</v>
      </c>
      <c r="BK31" s="2819">
        <f t="shared" si="23"/>
        <v>61.824664527482106</v>
      </c>
      <c r="BL31" s="2820">
        <f t="shared" si="23"/>
        <v>11.038729208886307</v>
      </c>
      <c r="BM31" s="2820">
        <f t="shared" si="23"/>
        <v>-0.1180216422326604</v>
      </c>
      <c r="BN31" s="2828">
        <f t="shared" si="23"/>
        <v>8.343316158761217E-4</v>
      </c>
      <c r="BO31" s="2822">
        <f t="shared" si="24"/>
        <v>6.8650076566529403</v>
      </c>
      <c r="BP31" s="2823">
        <f t="shared" si="18"/>
        <v>8.2379072350417637</v>
      </c>
      <c r="BQ31" s="2824">
        <f t="shared" si="19"/>
        <v>8.0723459085911227</v>
      </c>
    </row>
    <row r="32" spans="1:69" ht="13.5" customHeight="1">
      <c r="A32" s="2822"/>
      <c r="B32" s="2547">
        <v>2014</v>
      </c>
      <c r="C32" s="64"/>
      <c r="D32" s="2531">
        <f>D31*(D$33/D$28)^(1/5)</f>
        <v>29.74969224545066</v>
      </c>
      <c r="E32" s="2258">
        <f t="shared" si="20"/>
        <v>79.523287120200379</v>
      </c>
      <c r="F32" s="2258">
        <f t="shared" si="20"/>
        <v>62.277541378720223</v>
      </c>
      <c r="G32" s="2258">
        <f t="shared" si="20"/>
        <v>70.816118727388414</v>
      </c>
      <c r="H32" s="2258">
        <f t="shared" si="20"/>
        <v>91.32005562176613</v>
      </c>
      <c r="I32" s="2258">
        <f t="shared" si="20"/>
        <v>41.803682365920025</v>
      </c>
      <c r="J32" s="2532">
        <f t="shared" si="20"/>
        <v>54.06510683771041</v>
      </c>
      <c r="K32" s="2816">
        <f t="shared" si="0"/>
        <v>48.072870899510235</v>
      </c>
      <c r="L32" s="2817">
        <f t="shared" si="0"/>
        <v>8.5148977696527268</v>
      </c>
      <c r="M32" s="2817">
        <f t="shared" si="0"/>
        <v>-9.0725549450669879E-2</v>
      </c>
      <c r="N32" s="2818">
        <f t="shared" si="0"/>
        <v>6.4357182883177406E-4</v>
      </c>
      <c r="O32" s="2819">
        <f t="shared" si="1"/>
        <v>57.687445079412278</v>
      </c>
      <c r="P32" s="2820">
        <f t="shared" si="1"/>
        <v>10.217664695685849</v>
      </c>
      <c r="Q32" s="2820">
        <f t="shared" si="1"/>
        <v>-0.10887065934080384</v>
      </c>
      <c r="R32" s="2821">
        <f t="shared" si="1"/>
        <v>7.7228619459812891E-4</v>
      </c>
      <c r="S32" s="2819">
        <f>IF(ISERROR(VLOOKUP($B32,Non_fuel_op_cost,1,0)),#REF!,VLOOKUP($B32,Non_fuel_op_cost,S$22,1))</f>
        <v>4.9634021417388876</v>
      </c>
      <c r="T32" s="2828">
        <f>IF(ISERROR(VLOOKUP($B32,Non_fuel_op_cost,1,0)),#REF!,VLOOKUP($B32,Non_fuel_op_cost,T$22,1))</f>
        <v>135.94600000000003</v>
      </c>
      <c r="U32" s="2822">
        <f t="shared" si="2"/>
        <v>17.534404496914469</v>
      </c>
      <c r="V32" s="2823">
        <f t="shared" si="2"/>
        <v>12.647449071052465</v>
      </c>
      <c r="W32" s="2823">
        <f t="shared" si="2"/>
        <v>13.279043178249905</v>
      </c>
      <c r="X32" s="2823">
        <f t="shared" si="2"/>
        <v>12.879476580318057</v>
      </c>
      <c r="Y32" s="2823">
        <f t="shared" si="2"/>
        <v>12.575308170306934</v>
      </c>
      <c r="Z32" s="2823">
        <f t="shared" si="2"/>
        <v>15.212287972343326</v>
      </c>
      <c r="AA32" s="2824">
        <f t="shared" si="2"/>
        <v>13.858050012982591</v>
      </c>
      <c r="AB32" s="2822">
        <f t="shared" si="3"/>
        <v>9.6013973377872368</v>
      </c>
      <c r="AC32" s="2823">
        <f t="shared" si="3"/>
        <v>7.1692294926742255</v>
      </c>
      <c r="AD32" s="2823">
        <f t="shared" si="3"/>
        <v>7.3590697770255584</v>
      </c>
      <c r="AE32" s="2823">
        <f t="shared" si="4"/>
        <v>7.1954316676948906</v>
      </c>
      <c r="AF32" s="2823">
        <f t="shared" si="4"/>
        <v>7.3476630794828344</v>
      </c>
      <c r="AG32" s="2823">
        <f t="shared" si="4"/>
        <v>8.3960381704950091</v>
      </c>
      <c r="AH32" s="2824">
        <f t="shared" si="4"/>
        <v>7.6559806017515193</v>
      </c>
      <c r="AI32" s="2825">
        <f>'A1.3.4'!$J$27/100</f>
        <v>0.1205924519584583</v>
      </c>
      <c r="AJ32" s="2822">
        <f t="shared" si="5"/>
        <v>10.558058122510394</v>
      </c>
      <c r="AK32" s="2823">
        <f t="shared" si="5"/>
        <v>7.8298614239976896</v>
      </c>
      <c r="AL32" s="2823">
        <f t="shared" si="5"/>
        <v>8.0729738850080572</v>
      </c>
      <c r="AM32" s="2823">
        <f t="shared" si="5"/>
        <v>7.8808845807501191</v>
      </c>
      <c r="AN32" s="2823">
        <f t="shared" si="5"/>
        <v>7.9780776189539111</v>
      </c>
      <c r="AO32" s="2823">
        <f t="shared" si="5"/>
        <v>9.2180264472612539</v>
      </c>
      <c r="AP32" s="2824">
        <f t="shared" si="5"/>
        <v>8.4039033592684262</v>
      </c>
      <c r="AQ32" s="2829" t="str">
        <f t="shared" si="6"/>
        <v>2014/15</v>
      </c>
      <c r="AR32" s="2830">
        <f>'Cost and rev series'!D31</f>
        <v>1.2848926641781944</v>
      </c>
      <c r="AS32" s="2826">
        <f>'Cost and rev series'!F31</f>
        <v>1.9597457627118731</v>
      </c>
      <c r="AT32" s="2826">
        <f t="shared" si="7"/>
        <v>0.6748530985336787</v>
      </c>
      <c r="AU32" s="2827">
        <f t="shared" si="21"/>
        <v>1.0631150444773738</v>
      </c>
      <c r="AV32" s="2822">
        <f t="shared" si="22"/>
        <v>87.218374928027998</v>
      </c>
      <c r="AW32" s="2823">
        <f t="shared" si="8"/>
        <v>87.072988359417522</v>
      </c>
      <c r="AX32" s="2823">
        <f t="shared" si="9"/>
        <v>86.916907791479318</v>
      </c>
      <c r="AY32" s="2823">
        <f t="shared" si="10"/>
        <v>87.009137287189233</v>
      </c>
      <c r="AZ32" s="2823">
        <f t="shared" si="11"/>
        <v>86.674755455055305</v>
      </c>
      <c r="BA32" s="2823">
        <f t="shared" si="12"/>
        <v>86.889900705022512</v>
      </c>
      <c r="BB32" s="2823">
        <f t="shared" si="13"/>
        <v>87.077991513491952</v>
      </c>
      <c r="BC32" s="2823">
        <f t="shared" si="14"/>
        <v>86.998071300496221</v>
      </c>
      <c r="BD32" s="2824">
        <f t="shared" si="15"/>
        <v>86.827075603756782</v>
      </c>
      <c r="BE32" s="2823"/>
      <c r="BF32" s="2825">
        <f t="shared" si="16"/>
        <v>2014</v>
      </c>
      <c r="BG32" s="2819">
        <f t="shared" si="23"/>
        <v>47.257357514668371</v>
      </c>
      <c r="BH32" s="2820">
        <f t="shared" si="23"/>
        <v>8.379172972651391</v>
      </c>
      <c r="BI32" s="2820">
        <f t="shared" si="23"/>
        <v>-8.9314990457123905E-2</v>
      </c>
      <c r="BJ32" s="2828">
        <f t="shared" si="23"/>
        <v>6.3329140949785426E-4</v>
      </c>
      <c r="BK32" s="2819">
        <f t="shared" si="23"/>
        <v>56.708829017602042</v>
      </c>
      <c r="BL32" s="2820">
        <f t="shared" si="23"/>
        <v>10.054769895196213</v>
      </c>
      <c r="BM32" s="2820">
        <f t="shared" si="23"/>
        <v>-0.10717798854854868</v>
      </c>
      <c r="BN32" s="2828">
        <f t="shared" si="23"/>
        <v>7.5994969139742499E-4</v>
      </c>
      <c r="BO32" s="2822">
        <f t="shared" si="24"/>
        <v>6.2755643035598174</v>
      </c>
      <c r="BP32" s="2823">
        <f t="shared" si="18"/>
        <v>7.5304394922863249</v>
      </c>
      <c r="BQ32" s="2824">
        <f t="shared" si="19"/>
        <v>7.3791110163759628</v>
      </c>
    </row>
    <row r="33" spans="1:69" ht="13.5" customHeight="1">
      <c r="A33" s="2822"/>
      <c r="B33" s="714">
        <v>2015</v>
      </c>
      <c r="C33" s="64"/>
      <c r="D33" s="2307">
        <v>29.583462339967038</v>
      </c>
      <c r="E33" s="2243">
        <v>79.39946185116051</v>
      </c>
      <c r="F33" s="2243">
        <v>62.235197176936538</v>
      </c>
      <c r="G33" s="2243">
        <v>70.772792050764735</v>
      </c>
      <c r="H33" s="2243">
        <v>91.281879655683966</v>
      </c>
      <c r="I33" s="2243">
        <v>41.764310988739602</v>
      </c>
      <c r="J33" s="2530">
        <v>54.018665089673895</v>
      </c>
      <c r="K33" s="2816">
        <f t="shared" si="0"/>
        <v>40.857926788069406</v>
      </c>
      <c r="L33" s="2817">
        <f t="shared" si="0"/>
        <v>7.2011325667542394</v>
      </c>
      <c r="M33" s="2817">
        <f t="shared" si="0"/>
        <v>-7.6542735707289852E-2</v>
      </c>
      <c r="N33" s="2818">
        <f t="shared" si="0"/>
        <v>5.4417405527975682E-4</v>
      </c>
      <c r="O33" s="2819">
        <f t="shared" si="1"/>
        <v>49.029512145683285</v>
      </c>
      <c r="P33" s="2820">
        <f t="shared" si="1"/>
        <v>8.6409111036167268</v>
      </c>
      <c r="Q33" s="2820">
        <f t="shared" si="1"/>
        <v>-9.1851282848747828E-2</v>
      </c>
      <c r="R33" s="2821">
        <f t="shared" si="1"/>
        <v>6.5300886633570809E-4</v>
      </c>
      <c r="S33" s="2819">
        <f>IF(ISERROR(VLOOKUP($B33,Non_fuel_op_cost,1,0)),#REF!,VLOOKUP($B33,Non_fuel_op_cost,S$22,1))</f>
        <v>4.9604658410414988</v>
      </c>
      <c r="T33" s="2828">
        <f>IF(ISERROR(VLOOKUP($B33,Non_fuel_op_cost,1,0)),#REF!,VLOOKUP($B33,Non_fuel_op_cost,T$22,1))</f>
        <v>135.94600000000003</v>
      </c>
      <c r="U33" s="2822">
        <f t="shared" si="2"/>
        <v>16.349894897925434</v>
      </c>
      <c r="V33" s="2823">
        <f t="shared" si="2"/>
        <v>11.741533827263481</v>
      </c>
      <c r="W33" s="2823">
        <f t="shared" si="2"/>
        <v>12.346551145538392</v>
      </c>
      <c r="X33" s="2823">
        <f t="shared" si="2"/>
        <v>11.968298461793742</v>
      </c>
      <c r="Y33" s="2823">
        <f t="shared" si="2"/>
        <v>11.645800071021833</v>
      </c>
      <c r="Z33" s="2823">
        <f t="shared" si="2"/>
        <v>14.147397046506265</v>
      </c>
      <c r="AA33" s="2824">
        <f t="shared" si="2"/>
        <v>12.887786174767239</v>
      </c>
      <c r="AB33" s="2822">
        <f t="shared" si="3"/>
        <v>8.1524616431478449</v>
      </c>
      <c r="AC33" s="2823">
        <f t="shared" si="3"/>
        <v>6.0822201852169515</v>
      </c>
      <c r="AD33" s="2823">
        <f t="shared" si="3"/>
        <v>6.241585277536708</v>
      </c>
      <c r="AE33" s="2823">
        <f t="shared" si="3"/>
        <v>6.1038958601118907</v>
      </c>
      <c r="AF33" s="2823">
        <f t="shared" si="3"/>
        <v>6.2347944584154922</v>
      </c>
      <c r="AG33" s="2823">
        <f t="shared" si="3"/>
        <v>7.1177784526936829</v>
      </c>
      <c r="AH33" s="2824">
        <f t="shared" si="3"/>
        <v>6.4923580567054611</v>
      </c>
      <c r="AI33" s="2825">
        <f>'A1.3.4'!$J$27/100</f>
        <v>0.1205924519584583</v>
      </c>
      <c r="AJ33" s="2822">
        <f t="shared" si="5"/>
        <v>9.1410102191072813</v>
      </c>
      <c r="AK33" s="2823">
        <f t="shared" si="5"/>
        <v>6.7646906937132965</v>
      </c>
      <c r="AL33" s="2823">
        <f t="shared" si="5"/>
        <v>6.9777980806817288</v>
      </c>
      <c r="AM33" s="2823">
        <f t="shared" si="5"/>
        <v>6.8110985491202669</v>
      </c>
      <c r="AN33" s="2823">
        <f t="shared" si="5"/>
        <v>6.8873208928006706</v>
      </c>
      <c r="AO33" s="2823">
        <f t="shared" si="5"/>
        <v>7.965497395254312</v>
      </c>
      <c r="AP33" s="2824">
        <f t="shared" si="5"/>
        <v>7.2635984147865997</v>
      </c>
      <c r="AQ33" s="2829" t="str">
        <f t="shared" si="6"/>
        <v>2015/16</v>
      </c>
      <c r="AR33" s="2830">
        <f>'Cost and rev series'!D32</f>
        <v>0.79930248046968799</v>
      </c>
      <c r="AS33" s="2826">
        <f>'Cost and rev series'!F32</f>
        <v>1.0779220779220777</v>
      </c>
      <c r="AT33" s="2826">
        <f t="shared" si="7"/>
        <v>0.27861959745238973</v>
      </c>
      <c r="AU33" s="2827">
        <f t="shared" si="21"/>
        <v>1.066053603360708</v>
      </c>
      <c r="AV33" s="2822">
        <f t="shared" si="22"/>
        <v>76.762914766754491</v>
      </c>
      <c r="AW33" s="2823">
        <f t="shared" si="8"/>
        <v>76.482894567055297</v>
      </c>
      <c r="AX33" s="2823">
        <f t="shared" si="9"/>
        <v>76.371087757325697</v>
      </c>
      <c r="AY33" s="2823">
        <f t="shared" si="10"/>
        <v>76.447491579624398</v>
      </c>
      <c r="AZ33" s="2823">
        <f t="shared" si="11"/>
        <v>76.141546450539266</v>
      </c>
      <c r="BA33" s="2823">
        <f t="shared" si="12"/>
        <v>76.302533576194378</v>
      </c>
      <c r="BB33" s="2823">
        <f t="shared" si="13"/>
        <v>76.443276625935198</v>
      </c>
      <c r="BC33" s="2823">
        <f t="shared" si="14"/>
        <v>76.383474583483022</v>
      </c>
      <c r="BD33" s="2824">
        <f t="shared" si="15"/>
        <v>76.288813101853663</v>
      </c>
      <c r="BE33" s="2823"/>
      <c r="BF33" s="2825">
        <f t="shared" si="16"/>
        <v>2015</v>
      </c>
      <c r="BG33" s="2819">
        <f t="shared" si="23"/>
        <v>41.974557894622166</v>
      </c>
      <c r="BH33" s="2820">
        <f t="shared" si="23"/>
        <v>7.4003364374381722</v>
      </c>
      <c r="BI33" s="2820">
        <f t="shared" si="23"/>
        <v>-7.8672377341604705E-2</v>
      </c>
      <c r="BJ33" s="2828">
        <f t="shared" si="23"/>
        <v>5.5923332790942988E-4</v>
      </c>
      <c r="BK33" s="2819">
        <f t="shared" si="23"/>
        <v>50.369469473546594</v>
      </c>
      <c r="BL33" s="2820">
        <f t="shared" si="23"/>
        <v>8.8799595403018081</v>
      </c>
      <c r="BM33" s="2820">
        <f t="shared" si="23"/>
        <v>-9.4406852809925654E-2</v>
      </c>
      <c r="BN33" s="2828">
        <f t="shared" si="23"/>
        <v>6.710799934913159E-4</v>
      </c>
      <c r="BO33" s="2822">
        <f t="shared" si="24"/>
        <v>5.5594495767960694</v>
      </c>
      <c r="BP33" s="2823">
        <f t="shared" si="18"/>
        <v>6.6708953075312838</v>
      </c>
      <c r="BQ33" s="2824">
        <f t="shared" si="19"/>
        <v>6.5368633416431638</v>
      </c>
    </row>
    <row r="34" spans="1:69" ht="13.5" customHeight="1">
      <c r="A34" s="2822"/>
      <c r="B34" s="2547">
        <v>2016</v>
      </c>
      <c r="C34" s="64"/>
      <c r="D34" s="2531">
        <f>D33*(D$38/D$33)^(1/5)</f>
        <v>29.426999980226284</v>
      </c>
      <c r="E34" s="2258">
        <f t="shared" ref="E34:J37" si="25">E33*(E$38/E$33)^(1/5)</f>
        <v>79.33479597859872</v>
      </c>
      <c r="F34" s="2258">
        <f t="shared" si="25"/>
        <v>62.223021396564555</v>
      </c>
      <c r="G34" s="2258">
        <f t="shared" si="25"/>
        <v>70.771516079426377</v>
      </c>
      <c r="H34" s="2258">
        <f t="shared" si="25"/>
        <v>91.281817698815942</v>
      </c>
      <c r="I34" s="2258">
        <f t="shared" si="25"/>
        <v>41.716020304991353</v>
      </c>
      <c r="J34" s="2532">
        <f t="shared" si="25"/>
        <v>53.992490850404685</v>
      </c>
      <c r="K34" s="2816">
        <f t="shared" si="0"/>
        <v>38.109507102839629</v>
      </c>
      <c r="L34" s="2817">
        <f t="shared" si="0"/>
        <v>6.6841828465914848</v>
      </c>
      <c r="M34" s="2817">
        <f>IF(ISERROR(VLOOKUP($B34,Av_car_cost_work,1,0)),"",VLOOKUP($B34,Av_car_cost_work,M$22,0))</f>
        <v>-7.0878488501169262E-2</v>
      </c>
      <c r="N34" s="2818">
        <f t="shared" si="0"/>
        <v>5.0501337224643193E-4</v>
      </c>
      <c r="O34" s="2819">
        <f t="shared" si="1"/>
        <v>45.731408523407545</v>
      </c>
      <c r="P34" s="2820">
        <f t="shared" si="1"/>
        <v>8.0203512582879313</v>
      </c>
      <c r="Q34" s="2820">
        <f t="shared" si="1"/>
        <v>-8.5054186201403092E-2</v>
      </c>
      <c r="R34" s="2821">
        <f t="shared" si="1"/>
        <v>6.0601604669571828E-4</v>
      </c>
      <c r="S34" s="2819">
        <f t="shared" ref="S34:T49" si="26">IF(ISERROR(VLOOKUP($B34,Non_fuel_op_cost,1,0)),S33,VLOOKUP($B34,Non_fuel_op_cost,S$22,1))</f>
        <v>4.9576025622709503</v>
      </c>
      <c r="T34" s="2828">
        <f t="shared" si="26"/>
        <v>135.946</v>
      </c>
      <c r="U34" s="2822">
        <f t="shared" si="2"/>
        <v>15.908182981340826</v>
      </c>
      <c r="V34" s="2823">
        <f t="shared" si="2"/>
        <v>11.391150656476507</v>
      </c>
      <c r="W34" s="2823">
        <f t="shared" si="2"/>
        <v>11.984058915396865</v>
      </c>
      <c r="X34" s="2823">
        <f t="shared" si="2"/>
        <v>11.614421649739196</v>
      </c>
      <c r="Y34" s="2823">
        <f t="shared" si="2"/>
        <v>11.28661927568738</v>
      </c>
      <c r="Z34" s="2823">
        <f t="shared" si="2"/>
        <v>13.736244548277302</v>
      </c>
      <c r="AA34" s="2824">
        <f t="shared" si="2"/>
        <v>12.510787142694307</v>
      </c>
      <c r="AB34" s="2822">
        <f t="shared" si="3"/>
        <v>7.5963031911647416</v>
      </c>
      <c r="AC34" s="2823">
        <f t="shared" si="3"/>
        <v>5.6633014161825219</v>
      </c>
      <c r="AD34" s="2823">
        <f t="shared" si="3"/>
        <v>5.8092974256800343</v>
      </c>
      <c r="AE34" s="2823">
        <f t="shared" si="3"/>
        <v>5.6824178801637855</v>
      </c>
      <c r="AF34" s="2823">
        <f t="shared" si="3"/>
        <v>5.806992044384427</v>
      </c>
      <c r="AG34" s="2823">
        <f t="shared" si="3"/>
        <v>6.6230894967756671</v>
      </c>
      <c r="AH34" s="2824">
        <f t="shared" si="3"/>
        <v>6.04171095994512</v>
      </c>
      <c r="AI34" s="2825">
        <f>'A1.3.4'!$J$27/100</f>
        <v>0.1205924519584583</v>
      </c>
      <c r="AJ34" s="2822">
        <f t="shared" si="5"/>
        <v>8.5986531554460317</v>
      </c>
      <c r="AK34" s="2823">
        <f t="shared" si="5"/>
        <v>6.3540368005179664</v>
      </c>
      <c r="AL34" s="2823">
        <f t="shared" si="5"/>
        <v>6.5539270539836494</v>
      </c>
      <c r="AM34" s="2823">
        <f t="shared" si="5"/>
        <v>6.3977727597637024</v>
      </c>
      <c r="AN34" s="2823">
        <f t="shared" si="5"/>
        <v>6.4677937280255886</v>
      </c>
      <c r="AO34" s="2823">
        <f t="shared" si="5"/>
        <v>7.4808823055969427</v>
      </c>
      <c r="AP34" s="2824">
        <f t="shared" si="5"/>
        <v>6.8218327187289081</v>
      </c>
      <c r="AQ34" s="2829" t="str">
        <f t="shared" si="6"/>
        <v>2016/17</v>
      </c>
      <c r="AR34" s="2830">
        <f>'Cost and rev series'!D33</f>
        <v>2.2781518107048537</v>
      </c>
      <c r="AS34" s="2826">
        <f>'Cost and rev series'!F33</f>
        <v>2.1424900424001248</v>
      </c>
      <c r="AT34" s="2826">
        <f t="shared" si="7"/>
        <v>-0.13566176830472898</v>
      </c>
      <c r="AU34" s="2827">
        <f t="shared" si="21"/>
        <v>1.0646395895720426</v>
      </c>
      <c r="AV34" s="2822">
        <f t="shared" si="22"/>
        <v>74.046757083094036</v>
      </c>
      <c r="AW34" s="2823">
        <f t="shared" si="8"/>
        <v>73.690305221279871</v>
      </c>
      <c r="AX34" s="2823">
        <f t="shared" si="9"/>
        <v>73.566950769999764</v>
      </c>
      <c r="AY34" s="2823">
        <f t="shared" si="10"/>
        <v>73.650477369741211</v>
      </c>
      <c r="AZ34" s="2823">
        <f t="shared" si="11"/>
        <v>73.332866075364308</v>
      </c>
      <c r="BA34" s="2823">
        <f t="shared" si="12"/>
        <v>73.500453580864544</v>
      </c>
      <c r="BB34" s="2823">
        <f t="shared" si="13"/>
        <v>73.646967014945545</v>
      </c>
      <c r="BC34" s="2823">
        <f t="shared" si="14"/>
        <v>73.584713123042093</v>
      </c>
      <c r="BD34" s="2824">
        <f t="shared" si="15"/>
        <v>73.478938336981145</v>
      </c>
      <c r="BE34" s="2823"/>
      <c r="BF34" s="2825">
        <f t="shared" si="16"/>
        <v>2016</v>
      </c>
      <c r="BG34" s="2819">
        <f t="shared" si="23"/>
        <v>39.205323931771801</v>
      </c>
      <c r="BH34" s="2820">
        <f t="shared" si="23"/>
        <v>6.8740451621796357</v>
      </c>
      <c r="BI34" s="2820">
        <f t="shared" si="23"/>
        <v>-7.2878587331466543E-2</v>
      </c>
      <c r="BJ34" s="2828">
        <f t="shared" si="23"/>
        <v>5.1934647728601687E-4</v>
      </c>
      <c r="BK34" s="2819">
        <f t="shared" si="23"/>
        <v>47.04638871812616</v>
      </c>
      <c r="BL34" s="2820">
        <f t="shared" si="23"/>
        <v>8.248139337354397</v>
      </c>
      <c r="BM34" s="2820">
        <f t="shared" si="23"/>
        <v>-8.7454304797759841E-2</v>
      </c>
      <c r="BN34" s="2828">
        <f t="shared" si="23"/>
        <v>6.232157727432202E-4</v>
      </c>
      <c r="BO34" s="2822">
        <f t="shared" si="24"/>
        <v>5.1792673667536713</v>
      </c>
      <c r="BP34" s="2823">
        <f t="shared" si="18"/>
        <v>6.214405982843239</v>
      </c>
      <c r="BQ34" s="2824">
        <f t="shared" si="19"/>
        <v>6.0895760790121134</v>
      </c>
    </row>
    <row r="35" spans="1:69" ht="13.5" customHeight="1">
      <c r="A35" s="2822"/>
      <c r="B35" s="2547">
        <v>2017</v>
      </c>
      <c r="C35" s="64"/>
      <c r="D35" s="2531">
        <f>D34*(D$38/D$33)^(1/5)</f>
        <v>29.271365125722557</v>
      </c>
      <c r="E35" s="2258">
        <f t="shared" si="25"/>
        <v>79.270182772326805</v>
      </c>
      <c r="F35" s="2258">
        <f t="shared" si="25"/>
        <v>62.210847998279149</v>
      </c>
      <c r="G35" s="2258">
        <f t="shared" si="25"/>
        <v>70.770240131092663</v>
      </c>
      <c r="H35" s="2258">
        <f t="shared" si="25"/>
        <v>91.281755741989969</v>
      </c>
      <c r="I35" s="2258">
        <f t="shared" si="25"/>
        <v>41.667785458154611</v>
      </c>
      <c r="J35" s="2532">
        <f t="shared" si="25"/>
        <v>53.966329293618465</v>
      </c>
      <c r="K35" s="2816">
        <f t="shared" si="0"/>
        <v>39.744354733338554</v>
      </c>
      <c r="L35" s="2817">
        <f t="shared" si="0"/>
        <v>6.9266823887813329</v>
      </c>
      <c r="M35" s="2817">
        <f t="shared" si="0"/>
        <v>-7.3214636616237755E-2</v>
      </c>
      <c r="N35" s="2818">
        <f t="shared" si="0"/>
        <v>5.2318510937144681E-4</v>
      </c>
      <c r="O35" s="2819">
        <f t="shared" si="1"/>
        <v>47.693225680006265</v>
      </c>
      <c r="P35" s="2820">
        <f t="shared" si="1"/>
        <v>8.3109437292249986</v>
      </c>
      <c r="Q35" s="2820">
        <f t="shared" si="1"/>
        <v>-8.7857563939485323E-2</v>
      </c>
      <c r="R35" s="2821">
        <f t="shared" si="1"/>
        <v>6.2782213124573617E-4</v>
      </c>
      <c r="S35" s="2819">
        <f t="shared" si="26"/>
        <v>4.9528739405132214</v>
      </c>
      <c r="T35" s="2828">
        <f t="shared" si="26"/>
        <v>135.946</v>
      </c>
      <c r="U35" s="2822">
        <f t="shared" si="2"/>
        <v>16.186859388384789</v>
      </c>
      <c r="V35" s="2823">
        <f t="shared" si="2"/>
        <v>11.579737898977513</v>
      </c>
      <c r="W35" s="2823">
        <f>$K35/F35+$L35+$M35*F35+$N35*F35^2+$S35+$T35/F35</f>
        <v>12.173748507607726</v>
      </c>
      <c r="X35" s="2823">
        <f t="shared" si="2"/>
        <v>11.801018975774952</v>
      </c>
      <c r="Y35" s="2823">
        <f t="shared" si="2"/>
        <v>11.480465809649447</v>
      </c>
      <c r="Z35" s="2823">
        <f t="shared" si="2"/>
        <v>13.953676116072526</v>
      </c>
      <c r="AA35" s="2824">
        <f t="shared" si="2"/>
        <v>12.707692012392556</v>
      </c>
      <c r="AB35" s="2822">
        <f t="shared" si="3"/>
        <v>7.9065064476214006</v>
      </c>
      <c r="AC35" s="2823">
        <f t="shared" si="3"/>
        <v>5.8931973910571003</v>
      </c>
      <c r="AD35" s="2823">
        <f t="shared" si="3"/>
        <v>6.0416792733037905</v>
      </c>
      <c r="AE35" s="2823">
        <f t="shared" si="3"/>
        <v>5.9115604782021114</v>
      </c>
      <c r="AF35" s="2823">
        <f t="shared" si="3"/>
        <v>6.0448740385357116</v>
      </c>
      <c r="AG35" s="2823">
        <f t="shared" si="3"/>
        <v>6.8847477987571724</v>
      </c>
      <c r="AH35" s="2824">
        <f t="shared" si="3"/>
        <v>6.2817994486204949</v>
      </c>
      <c r="AI35" s="2825">
        <f>'A1.3.4'!$J$27/100</f>
        <v>0.1205924519584583</v>
      </c>
      <c r="AJ35" s="2822">
        <f t="shared" si="5"/>
        <v>8.9050545118294888</v>
      </c>
      <c r="AK35" s="2823">
        <f t="shared" si="5"/>
        <v>6.5789512540683202</v>
      </c>
      <c r="AL35" s="2823">
        <f t="shared" si="5"/>
        <v>6.7811605378475281</v>
      </c>
      <c r="AM35" s="2823">
        <f t="shared" si="5"/>
        <v>6.6217847191319983</v>
      </c>
      <c r="AN35" s="2823">
        <f t="shared" si="5"/>
        <v>6.7003653780595362</v>
      </c>
      <c r="AO35" s="2823">
        <f t="shared" si="5"/>
        <v>7.7372071972608101</v>
      </c>
      <c r="AP35" s="2824">
        <f t="shared" si="5"/>
        <v>7.0567135889073915</v>
      </c>
      <c r="AQ35" s="2829" t="str">
        <f t="shared" si="6"/>
        <v>2017/18</v>
      </c>
      <c r="AR35" s="2830">
        <f>'Cost and rev series'!D34</f>
        <v>2.0167434980266297</v>
      </c>
      <c r="AS35" s="2826">
        <f>'Cost and rev series'!F34</f>
        <v>3.7422560457875953</v>
      </c>
      <c r="AT35" s="2826">
        <f t="shared" si="7"/>
        <v>1.7255125477609656</v>
      </c>
      <c r="AU35" s="2827">
        <f t="shared" ref="AU35:AU77" si="27">(1+AS35/100)/(1+AR35/100)*AU34</f>
        <v>1.0826469176601536</v>
      </c>
      <c r="AV35" s="2822">
        <f t="shared" si="22"/>
        <v>75.175484210957336</v>
      </c>
      <c r="AW35" s="2823">
        <f t="shared" si="8"/>
        <v>74.747894177779827</v>
      </c>
      <c r="AX35" s="2823">
        <f t="shared" si="9"/>
        <v>74.589722165909535</v>
      </c>
      <c r="AY35" s="2823">
        <f t="shared" si="10"/>
        <v>74.68928600528281</v>
      </c>
      <c r="AZ35" s="2823">
        <f t="shared" si="11"/>
        <v>74.344458513334061</v>
      </c>
      <c r="BA35" s="2823">
        <f t="shared" si="12"/>
        <v>74.547409339641774</v>
      </c>
      <c r="BB35" s="2823">
        <f t="shared" si="13"/>
        <v>74.724839169050384</v>
      </c>
      <c r="BC35" s="2823">
        <f t="shared" si="14"/>
        <v>74.649448830343658</v>
      </c>
      <c r="BD35" s="2824">
        <f t="shared" si="15"/>
        <v>74.492424645489507</v>
      </c>
      <c r="BE35" s="2823"/>
      <c r="BF35" s="2825">
        <f t="shared" si="16"/>
        <v>2017</v>
      </c>
      <c r="BG35" s="2819">
        <f t="shared" si="23"/>
        <v>39.535113045085645</v>
      </c>
      <c r="BH35" s="2820">
        <f t="shared" si="23"/>
        <v>6.9109070770909122</v>
      </c>
      <c r="BI35" s="2820">
        <f t="shared" si="23"/>
        <v>-7.3119182534384847E-2</v>
      </c>
      <c r="BJ35" s="2828">
        <f t="shared" si="23"/>
        <v>5.2186852568736081E-4</v>
      </c>
      <c r="BK35" s="2819">
        <f t="shared" si="23"/>
        <v>47.442135654102771</v>
      </c>
      <c r="BL35" s="2820">
        <f t="shared" si="23"/>
        <v>8.291803053279331</v>
      </c>
      <c r="BM35" s="2820">
        <f t="shared" si="23"/>
        <v>-8.7743019041261805E-2</v>
      </c>
      <c r="BN35" s="2828">
        <f t="shared" si="23"/>
        <v>6.2624223082483293E-4</v>
      </c>
      <c r="BO35" s="2822">
        <f t="shared" si="24"/>
        <v>5.2173931808162672</v>
      </c>
      <c r="BP35" s="2823">
        <f t="shared" si="18"/>
        <v>6.2595863777497582</v>
      </c>
      <c r="BQ35" s="2824">
        <f t="shared" si="19"/>
        <v>6.1339057447171239</v>
      </c>
    </row>
    <row r="36" spans="1:69" ht="13.5" customHeight="1">
      <c r="A36" s="2822"/>
      <c r="B36" s="2547">
        <v>2018</v>
      </c>
      <c r="C36" s="64"/>
      <c r="D36" s="2531">
        <f>D35*(D$38/D$33)^(1/5)</f>
        <v>29.116553399908558</v>
      </c>
      <c r="E36" s="2258">
        <f t="shared" si="25"/>
        <v>79.20562218945139</v>
      </c>
      <c r="F36" s="2258">
        <f t="shared" si="25"/>
        <v>62.198676981614284</v>
      </c>
      <c r="G36" s="2258">
        <f t="shared" si="25"/>
        <v>70.768964205763169</v>
      </c>
      <c r="H36" s="2258">
        <f t="shared" si="25"/>
        <v>91.281693785206045</v>
      </c>
      <c r="I36" s="2258">
        <f t="shared" si="25"/>
        <v>41.619606383667012</v>
      </c>
      <c r="J36" s="2532">
        <f t="shared" si="25"/>
        <v>53.940180413170062</v>
      </c>
      <c r="K36" s="2816">
        <f t="shared" si="0"/>
        <v>40.542235610825834</v>
      </c>
      <c r="L36" s="2817">
        <f t="shared" si="0"/>
        <v>7.1060806842094975</v>
      </c>
      <c r="M36" s="2817">
        <f t="shared" si="0"/>
        <v>-7.5168968403894587E-2</v>
      </c>
      <c r="N36" s="2818">
        <f t="shared" si="0"/>
        <v>5.3609051176011771E-4</v>
      </c>
      <c r="O36" s="2819">
        <f t="shared" si="1"/>
        <v>48.650682732991001</v>
      </c>
      <c r="P36" s="2820">
        <f t="shared" si="1"/>
        <v>8.5249734963793955</v>
      </c>
      <c r="Q36" s="2820">
        <f t="shared" si="1"/>
        <v>-9.020276208467351E-2</v>
      </c>
      <c r="R36" s="2821">
        <f t="shared" si="1"/>
        <v>6.4330861411214123E-4</v>
      </c>
      <c r="S36" s="2819">
        <f t="shared" si="26"/>
        <v>4.9394010579933294</v>
      </c>
      <c r="T36" s="2828">
        <f t="shared" si="26"/>
        <v>135.946</v>
      </c>
      <c r="U36" s="2822">
        <f t="shared" si="2"/>
        <v>16.372743686422695</v>
      </c>
      <c r="V36" s="2823">
        <f t="shared" si="2"/>
        <v>11.683085690514501</v>
      </c>
      <c r="W36" s="2823">
        <f t="shared" si="2"/>
        <v>12.281523337469773</v>
      </c>
      <c r="X36" s="2823">
        <f t="shared" si="2"/>
        <v>11.904589923752095</v>
      </c>
      <c r="Y36" s="2823">
        <f t="shared" si="2"/>
        <v>11.584269594466972</v>
      </c>
      <c r="Z36" s="2823">
        <f t="shared" si="2"/>
        <v>14.086097447104798</v>
      </c>
      <c r="AA36" s="2824">
        <f t="shared" si="2"/>
        <v>12.82255765511238</v>
      </c>
      <c r="AB36" s="2822">
        <f t="shared" si="3"/>
        <v>8.1148543566973785</v>
      </c>
      <c r="AC36" s="2823">
        <f t="shared" si="3"/>
        <v>6.0304565638442327</v>
      </c>
      <c r="AD36" s="2823">
        <f t="shared" si="3"/>
        <v>6.185415210965477</v>
      </c>
      <c r="AE36" s="2823">
        <f t="shared" si="3"/>
        <v>6.0507233270667555</v>
      </c>
      <c r="AF36" s="2823">
        <f t="shared" si="3"/>
        <v>6.184356638958671</v>
      </c>
      <c r="AG36" s="2823">
        <f t="shared" si="3"/>
        <v>7.0540404814529092</v>
      </c>
      <c r="AH36" s="2824">
        <f t="shared" si="3"/>
        <v>6.4330920601066008</v>
      </c>
      <c r="AI36" s="2825">
        <f>'A1.3.4'!$J$27/100</f>
        <v>0.1205924519584583</v>
      </c>
      <c r="AJ36" s="2822">
        <f t="shared" si="5"/>
        <v>9.1106934789705445</v>
      </c>
      <c r="AK36" s="2823">
        <f t="shared" si="5"/>
        <v>6.7121209702411999</v>
      </c>
      <c r="AL36" s="2823">
        <f t="shared" si="5"/>
        <v>6.9205598373445145</v>
      </c>
      <c r="AM36" s="2823">
        <f t="shared" si="5"/>
        <v>6.7566554533987562</v>
      </c>
      <c r="AN36" s="2823">
        <f t="shared" si="5"/>
        <v>6.8355453826256634</v>
      </c>
      <c r="AO36" s="2823">
        <f t="shared" si="5"/>
        <v>7.902053473252427</v>
      </c>
      <c r="AP36" s="2824">
        <f t="shared" si="5"/>
        <v>7.2036133829125584</v>
      </c>
      <c r="AQ36" s="2829" t="str">
        <f t="shared" si="6"/>
        <v>2018/19</v>
      </c>
      <c r="AR36" s="2830">
        <f>'Cost and rev series'!D35</f>
        <v>1.7772515238199418</v>
      </c>
      <c r="AS36" s="2826">
        <f>'Cost and rev series'!F35</f>
        <v>3.0555639758707454</v>
      </c>
      <c r="AT36" s="2826">
        <f t="shared" si="7"/>
        <v>1.2783124520508036</v>
      </c>
      <c r="AU36" s="2827">
        <f t="shared" si="27"/>
        <v>1.0962448584111426</v>
      </c>
      <c r="AV36" s="2822">
        <f t="shared" si="22"/>
        <v>74.908413486476078</v>
      </c>
      <c r="AW36" s="2823">
        <f t="shared" si="8"/>
        <v>74.281795635660544</v>
      </c>
      <c r="AX36" s="2823">
        <f t="shared" si="9"/>
        <v>74.147393951341982</v>
      </c>
      <c r="AY36" s="2823">
        <f t="shared" si="10"/>
        <v>74.233465039545564</v>
      </c>
      <c r="AZ36" s="2823">
        <f t="shared" si="11"/>
        <v>73.952304082994303</v>
      </c>
      <c r="BA36" s="2823">
        <f t="shared" si="12"/>
        <v>74.115861952178435</v>
      </c>
      <c r="BB36" s="2823">
        <f t="shared" si="13"/>
        <v>74.258852475329959</v>
      </c>
      <c r="BC36" s="2823">
        <f t="shared" si="14"/>
        <v>74.198095476305738</v>
      </c>
      <c r="BD36" s="2824">
        <f t="shared" si="15"/>
        <v>74.067552833949136</v>
      </c>
      <c r="BE36" s="2823"/>
      <c r="BF36" s="2825">
        <f t="shared" si="16"/>
        <v>2018</v>
      </c>
      <c r="BG36" s="2819">
        <f t="shared" si="23"/>
        <v>39.92757971893181</v>
      </c>
      <c r="BH36" s="2820">
        <f t="shared" si="23"/>
        <v>6.9918890473771382</v>
      </c>
      <c r="BI36" s="2820">
        <f t="shared" si="23"/>
        <v>-7.3938878403455532E-2</v>
      </c>
      <c r="BJ36" s="2828">
        <f t="shared" si="23"/>
        <v>5.2751439232077198E-4</v>
      </c>
      <c r="BK36" s="2819">
        <f t="shared" si="23"/>
        <v>47.913095662718177</v>
      </c>
      <c r="BL36" s="2820">
        <f t="shared" si="23"/>
        <v>8.388046524417593</v>
      </c>
      <c r="BM36" s="2820">
        <f t="shared" si="23"/>
        <v>-8.872665408414665E-2</v>
      </c>
      <c r="BN36" s="2828">
        <f t="shared" si="23"/>
        <v>6.3301727078492642E-4</v>
      </c>
      <c r="BO36" s="2822">
        <f t="shared" si="24"/>
        <v>5.2786580651637598</v>
      </c>
      <c r="BP36" s="2823">
        <f t="shared" si="18"/>
        <v>6.3321693457615389</v>
      </c>
      <c r="BQ36" s="2824">
        <f t="shared" si="19"/>
        <v>6.2051238372683573</v>
      </c>
    </row>
    <row r="37" spans="1:69" ht="13.5" customHeight="1">
      <c r="A37" s="2822"/>
      <c r="B37" s="2547">
        <v>2019</v>
      </c>
      <c r="C37" s="64"/>
      <c r="D37" s="2531">
        <f>D36*(D$38/D$33)^(1/5)</f>
        <v>28.962560449383876</v>
      </c>
      <c r="E37" s="2258">
        <f t="shared" si="25"/>
        <v>79.141114187114027</v>
      </c>
      <c r="F37" s="2258">
        <f t="shared" si="25"/>
        <v>62.186508346104013</v>
      </c>
      <c r="G37" s="2258">
        <f t="shared" si="25"/>
        <v>70.767688303437495</v>
      </c>
      <c r="H37" s="2258">
        <f t="shared" si="25"/>
        <v>91.281631828464185</v>
      </c>
      <c r="I37" s="2258">
        <f t="shared" si="25"/>
        <v>41.571483017040848</v>
      </c>
      <c r="J37" s="2532">
        <f t="shared" si="25"/>
        <v>53.914044202917275</v>
      </c>
      <c r="K37" s="2816">
        <f t="shared" si="0"/>
        <v>38.881492920737031</v>
      </c>
      <c r="L37" s="2817">
        <f t="shared" si="0"/>
        <v>6.8287124323082251</v>
      </c>
      <c r="M37" s="2817">
        <f t="shared" si="0"/>
        <v>-7.2202940189795201E-2</v>
      </c>
      <c r="N37" s="2818">
        <f t="shared" si="0"/>
        <v>5.1469143639140593E-4</v>
      </c>
      <c r="O37" s="2819">
        <f t="shared" si="1"/>
        <v>46.657791504884436</v>
      </c>
      <c r="P37" s="2820">
        <f t="shared" si="1"/>
        <v>8.1912953756865843</v>
      </c>
      <c r="Q37" s="2820">
        <f t="shared" si="1"/>
        <v>-8.6643528227754257E-2</v>
      </c>
      <c r="R37" s="2821">
        <f t="shared" si="1"/>
        <v>6.1762972366968718E-4</v>
      </c>
      <c r="S37" s="2819">
        <f t="shared" si="26"/>
        <v>4.9303918792917889</v>
      </c>
      <c r="T37" s="2828">
        <f t="shared" si="26"/>
        <v>135.94599999999997</v>
      </c>
      <c r="U37" s="2822">
        <f t="shared" si="2"/>
        <v>16.135988113593765</v>
      </c>
      <c r="V37" s="2823">
        <f t="shared" si="2"/>
        <v>11.477618556062986</v>
      </c>
      <c r="W37" s="2823">
        <f t="shared" si="2"/>
        <v>12.070791839676875</v>
      </c>
      <c r="X37" s="2823">
        <f t="shared" si="2"/>
        <v>11.697520010327169</v>
      </c>
      <c r="Y37" s="2823">
        <f t="shared" si="2"/>
        <v>11.3721380593463</v>
      </c>
      <c r="Z37" s="2823">
        <f t="shared" si="2"/>
        <v>13.852471507302678</v>
      </c>
      <c r="AA37" s="2824">
        <f t="shared" si="2"/>
        <v>12.605125660188387</v>
      </c>
      <c r="AB37" s="2822">
        <f t="shared" si="3"/>
        <v>7.8109323899952887</v>
      </c>
      <c r="AC37" s="2823">
        <f t="shared" si="3"/>
        <v>5.7921919825210963</v>
      </c>
      <c r="AD37" s="2823">
        <f t="shared" si="3"/>
        <v>5.9419989793982531</v>
      </c>
      <c r="AE37" s="2823">
        <f t="shared" si="3"/>
        <v>5.8121726658656963</v>
      </c>
      <c r="AF37" s="2823">
        <f t="shared" si="3"/>
        <v>5.939772379821064</v>
      </c>
      <c r="AG37" s="2823">
        <f t="shared" si="3"/>
        <v>6.7791267170309641</v>
      </c>
      <c r="AH37" s="2824">
        <f t="shared" si="3"/>
        <v>6.1806823203808898</v>
      </c>
      <c r="AI37" s="2825">
        <f>'A1.3.4'!$J$27/100</f>
        <v>0.1205924519584583</v>
      </c>
      <c r="AJ37" s="2822">
        <f t="shared" si="5"/>
        <v>8.8148712723948268</v>
      </c>
      <c r="AK37" s="2823">
        <f t="shared" si="5"/>
        <v>6.4778115134542888</v>
      </c>
      <c r="AL37" s="2823">
        <f t="shared" si="5"/>
        <v>6.6810851379647449</v>
      </c>
      <c r="AM37" s="2823">
        <f t="shared" si="5"/>
        <v>6.5219011327615064</v>
      </c>
      <c r="AN37" s="2823">
        <f t="shared" si="5"/>
        <v>6.5948746770499884</v>
      </c>
      <c r="AO37" s="2823">
        <f t="shared" si="5"/>
        <v>7.6321187088374174</v>
      </c>
      <c r="AP37" s="2824">
        <f t="shared" si="5"/>
        <v>6.9554216951964634</v>
      </c>
      <c r="AQ37" s="2829" t="str">
        <f t="shared" si="6"/>
        <v>2019/20</v>
      </c>
      <c r="AR37" s="2830">
        <f>'Cost and rev series'!D36</f>
        <v>1.999285785193635</v>
      </c>
      <c r="AS37" s="2826">
        <f>'Cost and rev series'!F36</f>
        <v>2.9462716452876094</v>
      </c>
      <c r="AT37" s="2826">
        <f t="shared" si="7"/>
        <v>0.94698586009397445</v>
      </c>
      <c r="AU37" s="2827">
        <f t="shared" si="27"/>
        <v>1.1064226588940038</v>
      </c>
      <c r="AV37" s="2822">
        <f t="shared" si="22"/>
        <v>72.179587545571678</v>
      </c>
      <c r="AW37" s="2823">
        <f t="shared" si="8"/>
        <v>71.3980643373541</v>
      </c>
      <c r="AX37" s="2823">
        <f t="shared" si="9"/>
        <v>71.289549645032054</v>
      </c>
      <c r="AY37" s="2823">
        <f t="shared" si="10"/>
        <v>71.362568612988568</v>
      </c>
      <c r="AZ37" s="2823">
        <f t="shared" si="11"/>
        <v>71.134244034682766</v>
      </c>
      <c r="BA37" s="2823">
        <f t="shared" si="12"/>
        <v>71.257106078963702</v>
      </c>
      <c r="BB37" s="2823">
        <f t="shared" si="13"/>
        <v>71.364518263255633</v>
      </c>
      <c r="BC37" s="2823">
        <f t="shared" si="14"/>
        <v>71.31887858146149</v>
      </c>
      <c r="BD37" s="2824">
        <f t="shared" si="15"/>
        <v>71.223549189351047</v>
      </c>
      <c r="BE37" s="2823"/>
      <c r="BF37" s="2825">
        <f t="shared" si="16"/>
        <v>2019</v>
      </c>
      <c r="BG37" s="2819">
        <f t="shared" si="23"/>
        <v>39.123743000226</v>
      </c>
      <c r="BH37" s="2820">
        <f t="shared" si="23"/>
        <v>6.8712737578612391</v>
      </c>
      <c r="BI37" s="2820">
        <f t="shared" si="23"/>
        <v>-7.2652334092476567E-2</v>
      </c>
      <c r="BJ37" s="2828">
        <f t="shared" si="23"/>
        <v>5.1789590409823962E-4</v>
      </c>
      <c r="BK37" s="2819">
        <f t="shared" si="23"/>
        <v>46.948491600271197</v>
      </c>
      <c r="BL37" s="2820">
        <f t="shared" si="23"/>
        <v>8.2423423721421258</v>
      </c>
      <c r="BM37" s="2820">
        <f t="shared" si="23"/>
        <v>-8.71828009109719E-2</v>
      </c>
      <c r="BN37" s="2828">
        <f t="shared" si="23"/>
        <v>6.2147508491788741E-4</v>
      </c>
      <c r="BO37" s="2822">
        <f t="shared" si="24"/>
        <v>5.1853420042623268</v>
      </c>
      <c r="BP37" s="2823">
        <f t="shared" si="18"/>
        <v>6.2192242678234289</v>
      </c>
      <c r="BQ37" s="2824">
        <f t="shared" si="19"/>
        <v>6.0945458706242341</v>
      </c>
    </row>
    <row r="38" spans="1:69" ht="13.5" customHeight="1">
      <c r="A38" s="2822"/>
      <c r="B38" s="714">
        <v>2020</v>
      </c>
      <c r="C38" s="64"/>
      <c r="D38" s="2307">
        <v>28.809381943772554</v>
      </c>
      <c r="E38" s="2243">
        <v>79.076658722491189</v>
      </c>
      <c r="F38" s="2243">
        <v>62.174342091282483</v>
      </c>
      <c r="G38" s="2243">
        <v>70.766412424115231</v>
      </c>
      <c r="H38" s="2243">
        <v>91.281569871764376</v>
      </c>
      <c r="I38" s="2243">
        <v>41.523415293862968</v>
      </c>
      <c r="J38" s="2530">
        <v>53.887920656720866</v>
      </c>
      <c r="K38" s="2816">
        <f t="shared" si="0"/>
        <v>38.189750548604096</v>
      </c>
      <c r="L38" s="2817">
        <f t="shared" si="0"/>
        <v>6.7215894826190103</v>
      </c>
      <c r="M38" s="2817">
        <f t="shared" si="0"/>
        <v>-7.103448758642128E-2</v>
      </c>
      <c r="N38" s="2818">
        <f t="shared" si="0"/>
        <v>5.061102318500287E-4</v>
      </c>
      <c r="O38" s="2819">
        <f t="shared" si="1"/>
        <v>45.827700658324915</v>
      </c>
      <c r="P38" s="2820">
        <f t="shared" si="1"/>
        <v>8.0618052408159393</v>
      </c>
      <c r="Q38" s="2820">
        <f t="shared" si="1"/>
        <v>-8.5241385103705533E-2</v>
      </c>
      <c r="R38" s="2821">
        <f t="shared" si="1"/>
        <v>6.0733227822003439E-4</v>
      </c>
      <c r="S38" s="2819">
        <f t="shared" si="26"/>
        <v>4.9205531138927485</v>
      </c>
      <c r="T38" s="2828">
        <f t="shared" si="26"/>
        <v>135.946</v>
      </c>
      <c r="U38" s="2822">
        <f t="shared" si="2"/>
        <v>16.060155717946138</v>
      </c>
      <c r="V38" s="2823">
        <f t="shared" si="2"/>
        <v>11.3918527985062</v>
      </c>
      <c r="W38" s="2823">
        <f t="shared" si="2"/>
        <v>11.982829954382128</v>
      </c>
      <c r="X38" s="2823">
        <f t="shared" si="2"/>
        <v>11.610540517456126</v>
      </c>
      <c r="Y38" s="2823">
        <f t="shared" si="2"/>
        <v>11.282754982323487</v>
      </c>
      <c r="Z38" s="2823">
        <f t="shared" si="2"/>
        <v>13.758856311766984</v>
      </c>
      <c r="AA38" s="2824">
        <f t="shared" si="2"/>
        <v>12.515382434717921</v>
      </c>
      <c r="AB38" s="2822">
        <f t="shared" si="3"/>
        <v>7.7008489702963736</v>
      </c>
      <c r="AC38" s="2823">
        <f t="shared" si="3"/>
        <v>5.6984568122717079</v>
      </c>
      <c r="AD38" s="2823">
        <f t="shared" si="3"/>
        <v>5.846795309604774</v>
      </c>
      <c r="AE38" s="2823">
        <f t="shared" si="3"/>
        <v>5.7186196357846724</v>
      </c>
      <c r="AF38" s="2823">
        <f t="shared" si="3"/>
        <v>5.8433753976047642</v>
      </c>
      <c r="AG38" s="2823">
        <f t="shared" si="3"/>
        <v>6.6731097203775578</v>
      </c>
      <c r="AH38" s="2824">
        <f t="shared" si="3"/>
        <v>6.0823875204543931</v>
      </c>
      <c r="AI38" s="2825">
        <f>'A1.3.4'!$J$27/100</f>
        <v>0.1205924519584583</v>
      </c>
      <c r="AJ38" s="2822">
        <f t="shared" si="5"/>
        <v>8.708918267668345</v>
      </c>
      <c r="AK38" s="2823">
        <f t="shared" si="5"/>
        <v>6.3850373942221701</v>
      </c>
      <c r="AL38" s="2823">
        <f t="shared" si="5"/>
        <v>6.5867547727205231</v>
      </c>
      <c r="AM38" s="2823">
        <f t="shared" si="5"/>
        <v>6.4291408216506749</v>
      </c>
      <c r="AN38" s="2823">
        <f t="shared" si="5"/>
        <v>6.4993235188587759</v>
      </c>
      <c r="AO38" s="2823">
        <f t="shared" si="5"/>
        <v>7.5275972757894971</v>
      </c>
      <c r="AP38" s="2824">
        <f t="shared" si="5"/>
        <v>6.8581581506017244</v>
      </c>
      <c r="AQ38" s="2829" t="str">
        <f t="shared" si="6"/>
        <v>2020/21</v>
      </c>
      <c r="AR38" s="2830">
        <f>'Cost and rev series'!D37</f>
        <v>1.8421066460050639</v>
      </c>
      <c r="AS38" s="2826">
        <f>'Cost and rev series'!F37</f>
        <v>2.8252532257498899</v>
      </c>
      <c r="AT38" s="2826">
        <f t="shared" si="7"/>
        <v>0.983146579744826</v>
      </c>
      <c r="AU38" s="2827">
        <f t="shared" si="27"/>
        <v>1.1171036599913675</v>
      </c>
      <c r="AV38" s="2822">
        <f t="shared" si="22"/>
        <v>70.572215127004256</v>
      </c>
      <c r="AW38" s="2823">
        <f t="shared" si="8"/>
        <v>69.656814947484378</v>
      </c>
      <c r="AX38" s="2823">
        <f t="shared" si="9"/>
        <v>69.562928826117613</v>
      </c>
      <c r="AY38" s="2823">
        <f t="shared" si="10"/>
        <v>69.630624516649362</v>
      </c>
      <c r="AZ38" s="2823">
        <f t="shared" si="11"/>
        <v>69.44204154431732</v>
      </c>
      <c r="BA38" s="2823">
        <f t="shared" si="12"/>
        <v>69.536206511007549</v>
      </c>
      <c r="BB38" s="2823">
        <f t="shared" si="13"/>
        <v>69.618530265387264</v>
      </c>
      <c r="BC38" s="2823">
        <f t="shared" si="14"/>
        <v>69.583550714615086</v>
      </c>
      <c r="BD38" s="2824">
        <f t="shared" si="15"/>
        <v>69.511403254443238</v>
      </c>
      <c r="BE38" s="2823"/>
      <c r="BF38" s="2825">
        <f t="shared" si="16"/>
        <v>2020</v>
      </c>
      <c r="BG38" s="2819">
        <f t="shared" si="23"/>
        <v>38.157011343463836</v>
      </c>
      <c r="BH38" s="2820">
        <f t="shared" si="23"/>
        <v>6.7168796408914027</v>
      </c>
      <c r="BI38" s="2820">
        <f t="shared" si="23"/>
        <v>-7.0971266180414105E-2</v>
      </c>
      <c r="BJ38" s="2828">
        <f t="shared" si="23"/>
        <v>5.056648268388377E-4</v>
      </c>
      <c r="BK38" s="2819">
        <f t="shared" si="23"/>
        <v>45.788413612156603</v>
      </c>
      <c r="BL38" s="2820">
        <f t="shared" si="23"/>
        <v>8.0559759301955598</v>
      </c>
      <c r="BM38" s="2820">
        <f t="shared" si="23"/>
        <v>-8.5165519416496915E-2</v>
      </c>
      <c r="BN38" s="2828">
        <f t="shared" si="23"/>
        <v>6.0679779220660529E-4</v>
      </c>
      <c r="BO38" s="2822">
        <f t="shared" si="24"/>
        <v>5.0688707863045668</v>
      </c>
      <c r="BP38" s="2823">
        <f t="shared" si="18"/>
        <v>6.0783653046913573</v>
      </c>
      <c r="BQ38" s="2824">
        <f t="shared" si="19"/>
        <v>5.9566278854804713</v>
      </c>
    </row>
    <row r="39" spans="1:69" ht="13.5" customHeight="1">
      <c r="A39" s="2822"/>
      <c r="B39" s="2547">
        <v>2021</v>
      </c>
      <c r="C39" s="64"/>
      <c r="D39" s="2531">
        <f>D38*(D$43/D$38)^(1/5)</f>
        <v>28.691462102919303</v>
      </c>
      <c r="E39" s="2258">
        <f t="shared" ref="E39:J42" si="28">E38*(E$43/E$38)^(1/5)</f>
        <v>79.124693589163513</v>
      </c>
      <c r="F39" s="2258">
        <f t="shared" si="28"/>
        <v>62.192101698683722</v>
      </c>
      <c r="G39" s="2258">
        <f t="shared" si="28"/>
        <v>70.713175954213455</v>
      </c>
      <c r="H39" s="2258">
        <f t="shared" si="28"/>
        <v>91.300204841199132</v>
      </c>
      <c r="I39" s="2258">
        <f t="shared" si="28"/>
        <v>41.47413666581744</v>
      </c>
      <c r="J39" s="2532">
        <f t="shared" si="28"/>
        <v>53.844200695391251</v>
      </c>
      <c r="K39" s="2816">
        <f t="shared" si="0"/>
        <v>37.367051355910121</v>
      </c>
      <c r="L39" s="2817">
        <f t="shared" si="0"/>
        <v>6.5956271660193666</v>
      </c>
      <c r="M39" s="2817">
        <f t="shared" si="0"/>
        <v>-6.9613149359018647E-2</v>
      </c>
      <c r="N39" s="2818">
        <f t="shared" si="0"/>
        <v>4.957474072638877E-4</v>
      </c>
      <c r="O39" s="2819">
        <f t="shared" si="1"/>
        <v>44.840461627092139</v>
      </c>
      <c r="P39" s="2820">
        <f t="shared" si="1"/>
        <v>7.9089978634637745</v>
      </c>
      <c r="Q39" s="2820">
        <f t="shared" si="1"/>
        <v>-8.3535779230822366E-2</v>
      </c>
      <c r="R39" s="2821">
        <f t="shared" si="1"/>
        <v>5.9489688871666507E-4</v>
      </c>
      <c r="S39" s="2819">
        <f t="shared" si="26"/>
        <v>4.9009063859352606</v>
      </c>
      <c r="T39" s="2828">
        <f t="shared" si="26"/>
        <v>135.94600000000003</v>
      </c>
      <c r="U39" s="2822">
        <f t="shared" si="2"/>
        <v>15.947909054990703</v>
      </c>
      <c r="V39" s="2823">
        <f t="shared" si="2"/>
        <v>11.282527526237578</v>
      </c>
      <c r="W39" s="2823">
        <f t="shared" si="2"/>
        <v>11.871363150265767</v>
      </c>
      <c r="X39" s="2823">
        <f t="shared" si="2"/>
        <v>11.503808932641007</v>
      </c>
      <c r="Y39" s="2823">
        <f t="shared" si="2"/>
        <v>11.171530701865418</v>
      </c>
      <c r="Z39" s="2823">
        <f t="shared" si="2"/>
        <v>13.640947786831815</v>
      </c>
      <c r="AA39" s="2824">
        <f t="shared" si="2"/>
        <v>12.404326741150715</v>
      </c>
      <c r="AB39" s="2822">
        <f t="shared" si="3"/>
        <v>7.564803688098702</v>
      </c>
      <c r="AC39" s="2823">
        <f t="shared" si="3"/>
        <v>5.5904423641418743</v>
      </c>
      <c r="AD39" s="2823">
        <f t="shared" si="3"/>
        <v>5.7357078843369091</v>
      </c>
      <c r="AE39" s="2823">
        <f t="shared" si="3"/>
        <v>5.6107296909848872</v>
      </c>
      <c r="AF39" s="2823">
        <f t="shared" si="3"/>
        <v>5.7321945091863062</v>
      </c>
      <c r="AG39" s="2823">
        <f t="shared" si="3"/>
        <v>6.5488749126227592</v>
      </c>
      <c r="AH39" s="2824">
        <f t="shared" si="3"/>
        <v>5.9685860782041846</v>
      </c>
      <c r="AI39" s="2825">
        <f>'A1.3.4'!$J$27/100</f>
        <v>0.1205924519584583</v>
      </c>
      <c r="AJ39" s="2822">
        <f t="shared" si="5"/>
        <v>8.5757429193183192</v>
      </c>
      <c r="AK39" s="2823">
        <f t="shared" si="5"/>
        <v>6.2768648705953538</v>
      </c>
      <c r="AL39" s="2823">
        <f t="shared" si="5"/>
        <v>6.4756215972270965</v>
      </c>
      <c r="AM39" s="2823">
        <f t="shared" si="5"/>
        <v>6.3213905663216909</v>
      </c>
      <c r="AN39" s="2823">
        <f t="shared" si="5"/>
        <v>6.3881373976878661</v>
      </c>
      <c r="AO39" s="2823">
        <f t="shared" si="5"/>
        <v>7.4041253699917009</v>
      </c>
      <c r="AP39" s="2824">
        <f t="shared" si="5"/>
        <v>6.7446878249176612</v>
      </c>
      <c r="AQ39" s="2829" t="str">
        <f t="shared" si="6"/>
        <v>2021/22</v>
      </c>
      <c r="AR39" s="2830">
        <f>'Cost and rev series'!D38</f>
        <v>1.9386047923892562</v>
      </c>
      <c r="AS39" s="2826">
        <f>'Cost and rev series'!F38</f>
        <v>3.0531233946185665</v>
      </c>
      <c r="AT39" s="2826">
        <f t="shared" si="7"/>
        <v>1.1145186022293103</v>
      </c>
      <c r="AU39" s="2827">
        <f t="shared" si="27"/>
        <v>1.1293172155154449</v>
      </c>
      <c r="AV39" s="2822">
        <f t="shared" si="22"/>
        <v>68.79017613372244</v>
      </c>
      <c r="AW39" s="2823">
        <f t="shared" si="8"/>
        <v>67.785397993786077</v>
      </c>
      <c r="AX39" s="2823">
        <f t="shared" si="9"/>
        <v>67.698751638360847</v>
      </c>
      <c r="AY39" s="2823">
        <f t="shared" si="10"/>
        <v>67.772480732633809</v>
      </c>
      <c r="AZ39" s="2823">
        <f t="shared" si="11"/>
        <v>67.612922697406603</v>
      </c>
      <c r="BA39" s="2823">
        <f t="shared" si="12"/>
        <v>67.681880402765287</v>
      </c>
      <c r="BB39" s="2823">
        <f t="shared" si="13"/>
        <v>67.7421667002926</v>
      </c>
      <c r="BC39" s="2823">
        <f t="shared" si="14"/>
        <v>67.716550915139081</v>
      </c>
      <c r="BD39" s="2824">
        <f t="shared" si="15"/>
        <v>67.670995034819924</v>
      </c>
      <c r="BE39" s="2823"/>
      <c r="BF39" s="2825">
        <f t="shared" si="16"/>
        <v>2021</v>
      </c>
      <c r="BG39" s="2819">
        <f t="shared" si="23"/>
        <v>37.396331022282375</v>
      </c>
      <c r="BH39" s="2820">
        <f t="shared" si="23"/>
        <v>6.6018617461010818</v>
      </c>
      <c r="BI39" s="2820">
        <f t="shared" si="23"/>
        <v>-6.9673167964506844E-2</v>
      </c>
      <c r="BJ39" s="2828">
        <f t="shared" si="23"/>
        <v>4.9616298948542792E-4</v>
      </c>
      <c r="BK39" s="2819">
        <f t="shared" si="23"/>
        <v>44.875597226738847</v>
      </c>
      <c r="BL39" s="2820">
        <f t="shared" si="23"/>
        <v>7.9163693711752234</v>
      </c>
      <c r="BM39" s="2820">
        <f t="shared" si="23"/>
        <v>-8.3607801557408212E-2</v>
      </c>
      <c r="BN39" s="2828">
        <f t="shared" si="23"/>
        <v>5.9539558738251348E-4</v>
      </c>
      <c r="BO39" s="2822">
        <f t="shared" si="24"/>
        <v>4.9833689112934225</v>
      </c>
      <c r="BP39" s="2823">
        <f t="shared" si="18"/>
        <v>5.9741779694060329</v>
      </c>
      <c r="BQ39" s="2824">
        <f t="shared" si="19"/>
        <v>5.8546938756655829</v>
      </c>
    </row>
    <row r="40" spans="1:69" ht="13.5" customHeight="1">
      <c r="A40" s="2822"/>
      <c r="B40" s="2547">
        <v>2022</v>
      </c>
      <c r="C40" s="64"/>
      <c r="D40" s="2531">
        <f>D39*(D$43/D$38)^(1/5)</f>
        <v>28.574024920419987</v>
      </c>
      <c r="E40" s="2258">
        <f t="shared" si="28"/>
        <v>79.172757634463935</v>
      </c>
      <c r="F40" s="2258">
        <f t="shared" si="28"/>
        <v>62.209866378975875</v>
      </c>
      <c r="G40" s="2258">
        <f t="shared" si="28"/>
        <v>70.659979533278843</v>
      </c>
      <c r="H40" s="2258">
        <f t="shared" si="28"/>
        <v>91.318843614929619</v>
      </c>
      <c r="I40" s="2258">
        <f t="shared" si="28"/>
        <v>41.42491652003222</v>
      </c>
      <c r="J40" s="2532">
        <f t="shared" si="28"/>
        <v>53.800516204627122</v>
      </c>
      <c r="K40" s="2816">
        <f t="shared" si="0"/>
        <v>36.661470828705163</v>
      </c>
      <c r="L40" s="2817">
        <f t="shared" si="0"/>
        <v>6.4946031697465827</v>
      </c>
      <c r="M40" s="2817">
        <f t="shared" si="0"/>
        <v>-6.8431885553568786E-2</v>
      </c>
      <c r="N40" s="2818">
        <f t="shared" si="0"/>
        <v>4.8704691156390778E-4</v>
      </c>
      <c r="O40" s="2819">
        <f t="shared" si="1"/>
        <v>43.993764994446195</v>
      </c>
      <c r="P40" s="2820">
        <f t="shared" si="1"/>
        <v>7.7856765169574045</v>
      </c>
      <c r="Q40" s="2820">
        <f t="shared" si="1"/>
        <v>-8.2118262664282543E-2</v>
      </c>
      <c r="R40" s="2821">
        <f t="shared" si="1"/>
        <v>5.8445629387668928E-4</v>
      </c>
      <c r="S40" s="2819">
        <f t="shared" si="26"/>
        <v>4.8766083809777845</v>
      </c>
      <c r="T40" s="2828">
        <f t="shared" si="26"/>
        <v>135.946</v>
      </c>
      <c r="U40" s="2822">
        <f t="shared" si="2"/>
        <v>15.854211272131483</v>
      </c>
      <c r="V40" s="2823">
        <f t="shared" si="2"/>
        <v>11.186376219938118</v>
      </c>
      <c r="W40" s="2823">
        <f t="shared" si="2"/>
        <v>11.773577112919472</v>
      </c>
      <c r="X40" s="2823">
        <f t="shared" si="2"/>
        <v>11.410349377109711</v>
      </c>
      <c r="Y40" s="2823">
        <f t="shared" si="2"/>
        <v>11.073801678349408</v>
      </c>
      <c r="Z40" s="2823">
        <f t="shared" si="2"/>
        <v>13.538965277901529</v>
      </c>
      <c r="AA40" s="2824">
        <f t="shared" si="2"/>
        <v>12.307582416790451</v>
      </c>
      <c r="AB40" s="2822">
        <f t="shared" si="3"/>
        <v>7.4560629914928143</v>
      </c>
      <c r="AC40" s="2823">
        <f t="shared" si="3"/>
        <v>5.5033774937225006</v>
      </c>
      <c r="AD40" s="2823">
        <f t="shared" si="3"/>
        <v>5.6461787440865994</v>
      </c>
      <c r="AE40" s="2823">
        <f t="shared" si="3"/>
        <v>5.5239064535922964</v>
      </c>
      <c r="AF40" s="2823">
        <f t="shared" si="3"/>
        <v>5.6423494334995157</v>
      </c>
      <c r="AG40" s="2823">
        <f t="shared" si="3"/>
        <v>6.4488873564515998</v>
      </c>
      <c r="AH40" s="2824">
        <f t="shared" si="3"/>
        <v>5.8770978619597827</v>
      </c>
      <c r="AI40" s="2825">
        <f>'A1.3.4'!$J$27/100</f>
        <v>0.1205924519584583</v>
      </c>
      <c r="AJ40" s="2822">
        <f t="shared" si="5"/>
        <v>8.468816284565742</v>
      </c>
      <c r="AK40" s="2823">
        <f t="shared" si="5"/>
        <v>6.1887042445936373</v>
      </c>
      <c r="AL40" s="2823">
        <f t="shared" si="5"/>
        <v>6.3850967375104135</v>
      </c>
      <c r="AM40" s="2823">
        <f t="shared" si="5"/>
        <v>6.2337670390527773</v>
      </c>
      <c r="AN40" s="2823">
        <f t="shared" si="5"/>
        <v>6.2973415774012373</v>
      </c>
      <c r="AO40" s="2823">
        <f t="shared" si="5"/>
        <v>7.303897237575776</v>
      </c>
      <c r="AP40" s="2824">
        <f t="shared" si="5"/>
        <v>6.6525657617078089</v>
      </c>
      <c r="AQ40" s="2829" t="str">
        <f t="shared" si="6"/>
        <v>2022/23</v>
      </c>
      <c r="AR40" s="2830">
        <f>'Cost and rev series'!D39</f>
        <v>1.9542187516043725</v>
      </c>
      <c r="AS40" s="2826">
        <f>'Cost and rev series'!F39</f>
        <v>3.0676888923704837</v>
      </c>
      <c r="AT40" s="2826">
        <f t="shared" si="7"/>
        <v>1.1134701407661112</v>
      </c>
      <c r="AU40" s="2827">
        <f t="shared" si="27"/>
        <v>1.1416508002785548</v>
      </c>
      <c r="AV40" s="2822">
        <f t="shared" si="22"/>
        <v>67.262039259895417</v>
      </c>
      <c r="AW40" s="2823">
        <f t="shared" si="8"/>
        <v>66.175230979479608</v>
      </c>
      <c r="AX40" s="2823">
        <f t="shared" si="9"/>
        <v>66.094993709145996</v>
      </c>
      <c r="AY40" s="2823">
        <f t="shared" si="10"/>
        <v>66.174981671364222</v>
      </c>
      <c r="AZ40" s="2823">
        <f t="shared" si="11"/>
        <v>66.040312970472286</v>
      </c>
      <c r="BA40" s="2823">
        <f t="shared" si="12"/>
        <v>66.086499481644267</v>
      </c>
      <c r="BB40" s="2823">
        <f t="shared" si="13"/>
        <v>66.126878054854885</v>
      </c>
      <c r="BC40" s="2823">
        <f t="shared" si="14"/>
        <v>66.109721107113955</v>
      </c>
      <c r="BD40" s="2824">
        <f t="shared" si="15"/>
        <v>66.089281918643209</v>
      </c>
      <c r="BE40" s="2823"/>
      <c r="BF40" s="2825">
        <f t="shared" si="16"/>
        <v>2022</v>
      </c>
      <c r="BG40" s="2819">
        <f t="shared" si="23"/>
        <v>36.69806464258069</v>
      </c>
      <c r="BH40" s="2820">
        <f t="shared" si="23"/>
        <v>6.5024499292308944</v>
      </c>
      <c r="BI40" s="2820">
        <f t="shared" si="23"/>
        <v>-6.8507788601450348E-2</v>
      </c>
      <c r="BJ40" s="2828">
        <f t="shared" si="23"/>
        <v>4.8757072813014157E-4</v>
      </c>
      <c r="BK40" s="2819">
        <f t="shared" si="23"/>
        <v>44.037677571096822</v>
      </c>
      <c r="BL40" s="2820">
        <f t="shared" si="23"/>
        <v>7.7949558287124603</v>
      </c>
      <c r="BM40" s="2820">
        <f t="shared" si="23"/>
        <v>-8.2209346321740401E-2</v>
      </c>
      <c r="BN40" s="2828">
        <f t="shared" si="23"/>
        <v>5.8508487375616989E-4</v>
      </c>
      <c r="BO40" s="2822">
        <f t="shared" si="24"/>
        <v>4.9100804541799548</v>
      </c>
      <c r="BP40" s="2823">
        <f t="shared" si="18"/>
        <v>5.8841124586513356</v>
      </c>
      <c r="BQ40" s="2824">
        <f t="shared" si="19"/>
        <v>5.7666515509461203</v>
      </c>
    </row>
    <row r="41" spans="1:69" ht="13.5" customHeight="1">
      <c r="A41" s="2822"/>
      <c r="B41" s="2547">
        <v>2023</v>
      </c>
      <c r="C41" s="64"/>
      <c r="D41" s="2531">
        <f>D40*(D$43/D$38)^(1/5)</f>
        <v>28.45706842070302</v>
      </c>
      <c r="E41" s="2258">
        <f t="shared" si="28"/>
        <v>79.220850876116927</v>
      </c>
      <c r="F41" s="2258">
        <f t="shared" si="28"/>
        <v>62.227636133607973</v>
      </c>
      <c r="G41" s="2258">
        <f t="shared" si="28"/>
        <v>70.606823131183177</v>
      </c>
      <c r="H41" s="2258">
        <f t="shared" si="28"/>
        <v>91.337486193732474</v>
      </c>
      <c r="I41" s="2258">
        <f t="shared" si="28"/>
        <v>41.375754787102473</v>
      </c>
      <c r="J41" s="2532">
        <f t="shared" si="28"/>
        <v>53.75686715565076</v>
      </c>
      <c r="K41" s="2816">
        <f t="shared" si="0"/>
        <v>36.102265557002305</v>
      </c>
      <c r="L41" s="2817">
        <f t="shared" si="0"/>
        <v>6.4249662114110464</v>
      </c>
      <c r="M41" s="2817">
        <f t="shared" si="0"/>
        <v>-6.7554233939645145E-2</v>
      </c>
      <c r="N41" s="2818">
        <f t="shared" si="0"/>
        <v>4.8044168212886312E-4</v>
      </c>
      <c r="O41" s="2819">
        <f t="shared" si="1"/>
        <v>43.322718668402757</v>
      </c>
      <c r="P41" s="2820">
        <f t="shared" si="1"/>
        <v>7.6994724174712568</v>
      </c>
      <c r="Q41" s="2820">
        <f t="shared" si="1"/>
        <v>-8.1065080727574179E-2</v>
      </c>
      <c r="R41" s="2821">
        <f t="shared" si="1"/>
        <v>5.765300185546357E-4</v>
      </c>
      <c r="S41" s="2819">
        <f t="shared" si="26"/>
        <v>4.8466421921185425</v>
      </c>
      <c r="T41" s="2828">
        <f t="shared" si="26"/>
        <v>135.94599999999997</v>
      </c>
      <c r="U41" s="2822">
        <f t="shared" si="2"/>
        <v>15.784165499272387</v>
      </c>
      <c r="V41" s="2823">
        <f t="shared" si="2"/>
        <v>11.106884055382849</v>
      </c>
      <c r="W41" s="2823">
        <f t="shared" si="2"/>
        <v>11.693093051999195</v>
      </c>
      <c r="X41" s="2823">
        <f t="shared" si="2"/>
        <v>11.33368452698727</v>
      </c>
      <c r="Y41" s="2823">
        <f t="shared" si="2"/>
        <v>10.993131192813731</v>
      </c>
      <c r="Z41" s="2823">
        <f t="shared" si="2"/>
        <v>13.457184985583082</v>
      </c>
      <c r="AA41" s="2824">
        <f t="shared" si="2"/>
        <v>12.228974231110616</v>
      </c>
      <c r="AB41" s="2822">
        <f t="shared" si="3"/>
        <v>7.3818632865754541</v>
      </c>
      <c r="AC41" s="2823">
        <f t="shared" si="3"/>
        <v>5.4425574557292826</v>
      </c>
      <c r="AD41" s="2823">
        <f t="shared" si="3"/>
        <v>5.5836663838261833</v>
      </c>
      <c r="AE41" s="2823">
        <f t="shared" si="3"/>
        <v>5.4634901772973645</v>
      </c>
      <c r="AF41" s="2823">
        <f t="shared" si="3"/>
        <v>5.579229151129609</v>
      </c>
      <c r="AG41" s="2823">
        <f t="shared" si="3"/>
        <v>6.3793915293263188</v>
      </c>
      <c r="AH41" s="2824">
        <f t="shared" si="3"/>
        <v>5.813625636792854</v>
      </c>
      <c r="AI41" s="2825">
        <f>'A1.3.4'!$J$27/100</f>
        <v>0.1205924519584583</v>
      </c>
      <c r="AJ41" s="2822">
        <f t="shared" si="5"/>
        <v>8.3951175125005584</v>
      </c>
      <c r="AK41" s="2823">
        <f t="shared" si="5"/>
        <v>6.1256324890750236</v>
      </c>
      <c r="AL41" s="2823">
        <f t="shared" si="5"/>
        <v>6.320417125801562</v>
      </c>
      <c r="AM41" s="2823">
        <f t="shared" si="5"/>
        <v>6.1713913073991584</v>
      </c>
      <c r="AN41" s="2823">
        <f t="shared" si="5"/>
        <v>6.2321048729992006</v>
      </c>
      <c r="AO41" s="2823">
        <f t="shared" si="5"/>
        <v>7.2329199966718534</v>
      </c>
      <c r="AP41" s="2824">
        <f t="shared" si="5"/>
        <v>6.5872682539498815</v>
      </c>
      <c r="AQ41" s="2829" t="str">
        <f t="shared" si="6"/>
        <v>2023/24</v>
      </c>
      <c r="AR41" s="2830">
        <f>'Cost and rev series'!D40</f>
        <v>1.996615266823909</v>
      </c>
      <c r="AS41" s="2826">
        <f>'Cost and rev series'!F40</f>
        <v>3.0684521704596222</v>
      </c>
      <c r="AT41" s="2826">
        <f t="shared" si="7"/>
        <v>1.0718369036357132</v>
      </c>
      <c r="AU41" s="2827">
        <f t="shared" si="27"/>
        <v>1.1536478989626893</v>
      </c>
      <c r="AV41" s="2822">
        <f t="shared" si="22"/>
        <v>65.942827935864912</v>
      </c>
      <c r="AW41" s="2823">
        <f t="shared" si="8"/>
        <v>64.780312650383664</v>
      </c>
      <c r="AX41" s="2823">
        <f t="shared" si="9"/>
        <v>64.706327647511543</v>
      </c>
      <c r="AY41" s="2823">
        <f t="shared" si="10"/>
        <v>64.792583546021476</v>
      </c>
      <c r="AZ41" s="2823">
        <f t="shared" si="11"/>
        <v>64.679386927296079</v>
      </c>
      <c r="BA41" s="2823">
        <f t="shared" si="12"/>
        <v>64.704329024732417</v>
      </c>
      <c r="BB41" s="2823">
        <f t="shared" si="13"/>
        <v>64.726134661958596</v>
      </c>
      <c r="BC41" s="2823">
        <f t="shared" si="14"/>
        <v>64.716869397027224</v>
      </c>
      <c r="BD41" s="2824">
        <f t="shared" si="15"/>
        <v>64.721269110514413</v>
      </c>
      <c r="BE41" s="2823"/>
      <c r="BF41" s="2825">
        <f t="shared" si="16"/>
        <v>2023</v>
      </c>
      <c r="BG41" s="2819">
        <f t="shared" si="23"/>
        <v>36.072478799353021</v>
      </c>
      <c r="BH41" s="2820">
        <f t="shared" si="23"/>
        <v>6.4210172876019866</v>
      </c>
      <c r="BI41" s="2820">
        <f t="shared" si="23"/>
        <v>-6.7506336924291005E-2</v>
      </c>
      <c r="BJ41" s="2828">
        <f t="shared" si="23"/>
        <v>4.800841555016893E-4</v>
      </c>
      <c r="BK41" s="2819">
        <f t="shared" si="23"/>
        <v>43.286974559223623</v>
      </c>
      <c r="BL41" s="2820">
        <f t="shared" si="23"/>
        <v>7.6946176133521167</v>
      </c>
      <c r="BM41" s="2820">
        <f t="shared" si="23"/>
        <v>-8.1007604309149189E-2</v>
      </c>
      <c r="BN41" s="2828">
        <f t="shared" si="23"/>
        <v>5.7610098660202714E-4</v>
      </c>
      <c r="BO41" s="2822">
        <f t="shared" si="24"/>
        <v>4.8504658150308897</v>
      </c>
      <c r="BP41" s="2823">
        <f t="shared" si="18"/>
        <v>5.8099558462668011</v>
      </c>
      <c r="BQ41" s="2824">
        <f t="shared" si="19"/>
        <v>5.694248590770365</v>
      </c>
    </row>
    <row r="42" spans="1:69" ht="13.5" customHeight="1">
      <c r="A42" s="2822"/>
      <c r="B42" s="2547">
        <v>2024</v>
      </c>
      <c r="C42" s="64"/>
      <c r="D42" s="2531">
        <f>D41*(D$43/D$38)^(1/5)</f>
        <v>28.340590636283046</v>
      </c>
      <c r="E42" s="2258">
        <f t="shared" si="28"/>
        <v>79.268973331857723</v>
      </c>
      <c r="F42" s="2258">
        <f t="shared" si="28"/>
        <v>62.24541096402946</v>
      </c>
      <c r="G42" s="2258">
        <f t="shared" si="28"/>
        <v>70.553706717820916</v>
      </c>
      <c r="H42" s="2258">
        <f t="shared" si="28"/>
        <v>91.356132578384489</v>
      </c>
      <c r="I42" s="2258">
        <f t="shared" si="28"/>
        <v>41.326651397705746</v>
      </c>
      <c r="J42" s="2532">
        <f t="shared" si="28"/>
        <v>53.713253519707777</v>
      </c>
      <c r="K42" s="2816">
        <f t="shared" si="0"/>
        <v>35.423913254702327</v>
      </c>
      <c r="L42" s="2817">
        <f t="shared" si="0"/>
        <v>6.339533557839272</v>
      </c>
      <c r="M42" s="2817">
        <f t="shared" si="0"/>
        <v>-6.6484994264304903E-2</v>
      </c>
      <c r="N42" s="2818">
        <f t="shared" si="0"/>
        <v>4.724063461851233E-4</v>
      </c>
      <c r="O42" s="2819">
        <f t="shared" si="1"/>
        <v>42.508695905642782</v>
      </c>
      <c r="P42" s="2820">
        <f t="shared" si="1"/>
        <v>7.5938491015085496</v>
      </c>
      <c r="Q42" s="2820">
        <f t="shared" si="1"/>
        <v>-7.9781993117165884E-2</v>
      </c>
      <c r="R42" s="2821">
        <f t="shared" si="1"/>
        <v>5.66887615422148E-4</v>
      </c>
      <c r="S42" s="2819">
        <f t="shared" si="26"/>
        <v>4.8106630556428884</v>
      </c>
      <c r="T42" s="2828">
        <f t="shared" si="26"/>
        <v>135.946</v>
      </c>
      <c r="U42" s="2822">
        <f t="shared" si="2"/>
        <v>15.692205276359928</v>
      </c>
      <c r="V42" s="2823">
        <f t="shared" si="2"/>
        <v>11.0102765876665</v>
      </c>
      <c r="W42" s="2823">
        <f t="shared" si="2"/>
        <v>11.595278339992515</v>
      </c>
      <c r="X42" s="2823">
        <f t="shared" si="2"/>
        <v>11.239918758277906</v>
      </c>
      <c r="Y42" s="2823">
        <f t="shared" si="2"/>
        <v>10.894905739853742</v>
      </c>
      <c r="Z42" s="2823">
        <f t="shared" si="2"/>
        <v>13.35613015194707</v>
      </c>
      <c r="AA42" s="2824">
        <f t="shared" si="2"/>
        <v>12.132475867470543</v>
      </c>
      <c r="AB42" s="2822">
        <f t="shared" si="3"/>
        <v>7.2880209593236973</v>
      </c>
      <c r="AC42" s="2823">
        <f t="shared" si="3"/>
        <v>5.3679494495061544</v>
      </c>
      <c r="AD42" s="2823">
        <f t="shared" si="3"/>
        <v>5.5071081833708062</v>
      </c>
      <c r="AE42" s="2823">
        <f t="shared" si="3"/>
        <v>5.3893026450897334</v>
      </c>
      <c r="AF42" s="2823">
        <f t="shared" si="3"/>
        <v>5.5017939883751783</v>
      </c>
      <c r="AG42" s="2823">
        <f t="shared" si="3"/>
        <v>6.293511847902586</v>
      </c>
      <c r="AH42" s="2824">
        <f t="shared" si="3"/>
        <v>5.7354343538816535</v>
      </c>
      <c r="AI42" s="2825">
        <f>'A1.3.4'!$J$27/100</f>
        <v>0.1205924519584583</v>
      </c>
      <c r="AJ42" s="2822">
        <f t="shared" si="5"/>
        <v>8.3015021528259183</v>
      </c>
      <c r="AK42" s="2823">
        <f t="shared" si="5"/>
        <v>6.0483715138486618</v>
      </c>
      <c r="AL42" s="2823">
        <f t="shared" si="5"/>
        <v>6.2412955504981298</v>
      </c>
      <c r="AM42" s="2823">
        <f t="shared" si="5"/>
        <v>6.0948427876467601</v>
      </c>
      <c r="AN42" s="2823">
        <f t="shared" si="5"/>
        <v>6.1521625581719546</v>
      </c>
      <c r="AO42" s="2823">
        <f t="shared" si="5"/>
        <v>7.1452103064339996</v>
      </c>
      <c r="AP42" s="2824">
        <f t="shared" si="5"/>
        <v>6.5068692752853856</v>
      </c>
      <c r="AQ42" s="2829" t="str">
        <f t="shared" si="6"/>
        <v>2024/25</v>
      </c>
      <c r="AR42" s="2830">
        <f>'Cost and rev series'!D41</f>
        <v>2.2999999999999998</v>
      </c>
      <c r="AS42" s="2826">
        <f>'Cost and rev series'!F41</f>
        <v>3.1148556716196927</v>
      </c>
      <c r="AT42" s="2826">
        <f t="shared" si="7"/>
        <v>0.81485567161969286</v>
      </c>
      <c r="AU42" s="2827">
        <f t="shared" si="27"/>
        <v>1.1628371123891008</v>
      </c>
      <c r="AV42" s="2822">
        <f t="shared" si="22"/>
        <v>64.645401564661327</v>
      </c>
      <c r="AW42" s="2823">
        <f t="shared" si="8"/>
        <v>63.414965559384491</v>
      </c>
      <c r="AX42" s="2823">
        <f t="shared" si="9"/>
        <v>63.348856914113021</v>
      </c>
      <c r="AY42" s="2823">
        <f t="shared" si="10"/>
        <v>63.440748236826202</v>
      </c>
      <c r="AZ42" s="2823">
        <f t="shared" si="11"/>
        <v>63.346057783771379</v>
      </c>
      <c r="BA42" s="2823">
        <f t="shared" si="12"/>
        <v>63.349363592770182</v>
      </c>
      <c r="BB42" s="2823">
        <f t="shared" si="13"/>
        <v>63.352253697419592</v>
      </c>
      <c r="BC42" s="2823">
        <f t="shared" si="14"/>
        <v>63.351025685370303</v>
      </c>
      <c r="BD42" s="2824">
        <f t="shared" si="15"/>
        <v>63.383164127141285</v>
      </c>
      <c r="BE42" s="2823"/>
      <c r="BF42" s="2825">
        <f t="shared" si="16"/>
        <v>2024</v>
      </c>
      <c r="BG42" s="2819">
        <f t="shared" si="23"/>
        <v>35.38665149370317</v>
      </c>
      <c r="BH42" s="2820">
        <f t="shared" si="23"/>
        <v>6.3350861093900175</v>
      </c>
      <c r="BI42" s="2820">
        <f t="shared" si="23"/>
        <v>-6.6421504411412327E-2</v>
      </c>
      <c r="BJ42" s="2828">
        <f t="shared" si="23"/>
        <v>4.7194138269614937E-4</v>
      </c>
      <c r="BK42" s="2819">
        <f t="shared" si="23"/>
        <v>42.463981792443796</v>
      </c>
      <c r="BL42" s="2820">
        <f t="shared" si="23"/>
        <v>7.5882574845522894</v>
      </c>
      <c r="BM42" s="2820">
        <f t="shared" si="23"/>
        <v>-7.9705805293694781E-2</v>
      </c>
      <c r="BN42" s="2828">
        <f t="shared" si="23"/>
        <v>5.6632965923537925E-4</v>
      </c>
      <c r="BO42" s="2822">
        <f t="shared" si="24"/>
        <v>4.7877822107833223</v>
      </c>
      <c r="BP42" s="2823">
        <f t="shared" si="18"/>
        <v>5.7314928062242565</v>
      </c>
      <c r="BQ42" s="2824">
        <f t="shared" si="19"/>
        <v>5.6176884315808575</v>
      </c>
    </row>
    <row r="43" spans="1:69" ht="13.5" customHeight="1">
      <c r="A43" s="2822"/>
      <c r="B43" s="714">
        <v>2025</v>
      </c>
      <c r="C43" s="64"/>
      <c r="D43" s="2307">
        <v>28.224589607727825</v>
      </c>
      <c r="E43" s="2243">
        <v>79.317125019432311</v>
      </c>
      <c r="F43" s="2243">
        <v>62.263190871690199</v>
      </c>
      <c r="G43" s="2243">
        <v>70.500630263109187</v>
      </c>
      <c r="H43" s="2243">
        <v>91.374782769662616</v>
      </c>
      <c r="I43" s="2243">
        <v>41.277606282601838</v>
      </c>
      <c r="J43" s="2530">
        <v>53.669675268067124</v>
      </c>
      <c r="K43" s="2816">
        <f t="shared" si="0"/>
        <v>34.596513908405726</v>
      </c>
      <c r="L43" s="2817">
        <f t="shared" si="0"/>
        <v>6.2363111104704805</v>
      </c>
      <c r="M43" s="2817">
        <f t="shared" si="0"/>
        <v>-6.5161795177394344E-2</v>
      </c>
      <c r="N43" s="2818">
        <f t="shared" si="0"/>
        <v>4.6251115628548784E-4</v>
      </c>
      <c r="O43" s="2819">
        <f t="shared" si="1"/>
        <v>41.515816690086865</v>
      </c>
      <c r="P43" s="2820">
        <f t="shared" si="1"/>
        <v>7.4658593177208017</v>
      </c>
      <c r="Q43" s="2820">
        <f t="shared" si="1"/>
        <v>-7.8194154212873207E-2</v>
      </c>
      <c r="R43" s="2821">
        <f t="shared" si="1"/>
        <v>5.550133875425853E-4</v>
      </c>
      <c r="S43" s="2819">
        <f t="shared" si="26"/>
        <v>4.7647556695081192</v>
      </c>
      <c r="T43" s="2828">
        <f t="shared" si="26"/>
        <v>135.946</v>
      </c>
      <c r="U43" s="2822">
        <f t="shared" si="2"/>
        <v>15.572689067060637</v>
      </c>
      <c r="V43" s="2823">
        <f t="shared" si="2"/>
        <v>10.892508475463044</v>
      </c>
      <c r="W43" s="2823">
        <f t="shared" si="2"/>
        <v>11.475963139461303</v>
      </c>
      <c r="X43" s="2823">
        <f t="shared" si="2"/>
        <v>11.1249774522942</v>
      </c>
      <c r="Y43" s="2823">
        <f t="shared" si="2"/>
        <v>10.774996629971049</v>
      </c>
      <c r="Z43" s="2823">
        <f t="shared" si="2"/>
        <v>13.230988152446161</v>
      </c>
      <c r="AA43" s="2824">
        <f t="shared" si="2"/>
        <v>12.013719950166291</v>
      </c>
      <c r="AB43" s="2822">
        <f t="shared" si="3"/>
        <v>7.1719097991630747</v>
      </c>
      <c r="AC43" s="2823">
        <f t="shared" si="3"/>
        <v>5.278843095298587</v>
      </c>
      <c r="AD43" s="2823">
        <f t="shared" si="3"/>
        <v>5.4156443672314865</v>
      </c>
      <c r="AE43" s="2823">
        <f t="shared" si="3"/>
        <v>5.3005983429350518</v>
      </c>
      <c r="AF43" s="2823">
        <f t="shared" si="3"/>
        <v>5.4092335472290474</v>
      </c>
      <c r="AG43" s="2823">
        <f t="shared" si="3"/>
        <v>6.189617185493427</v>
      </c>
      <c r="AH43" s="2824">
        <f t="shared" si="3"/>
        <v>5.6414271901339061</v>
      </c>
      <c r="AI43" s="2825">
        <f>'A1.3.4'!$J$27/100</f>
        <v>0.1205924519584583</v>
      </c>
      <c r="AJ43" s="2822">
        <f t="shared" si="5"/>
        <v>8.1849803694406233</v>
      </c>
      <c r="AK43" s="2823">
        <f t="shared" si="5"/>
        <v>5.9558087679669303</v>
      </c>
      <c r="AL43" s="2823">
        <f t="shared" si="5"/>
        <v>6.1464730676245543</v>
      </c>
      <c r="AM43" s="2823">
        <f t="shared" si="5"/>
        <v>6.0029745008682935</v>
      </c>
      <c r="AN43" s="2823">
        <f t="shared" si="5"/>
        <v>6.056304074005082</v>
      </c>
      <c r="AO43" s="2823">
        <f t="shared" si="5"/>
        <v>7.0387533755473584</v>
      </c>
      <c r="AP43" s="2824">
        <f t="shared" si="5"/>
        <v>6.4098775986633427</v>
      </c>
      <c r="AQ43" s="2829" t="str">
        <f t="shared" si="6"/>
        <v>2025/26</v>
      </c>
      <c r="AR43" s="2830">
        <f>'Cost and rev series'!D42</f>
        <v>2.2999999999999998</v>
      </c>
      <c r="AS43" s="2826">
        <f>'Cost and rev series'!F42</f>
        <v>3.1931171503448681</v>
      </c>
      <c r="AT43" s="2826">
        <f t="shared" si="7"/>
        <v>0.89311715034486827</v>
      </c>
      <c r="AU43" s="2827">
        <f t="shared" si="27"/>
        <v>1.1729891140326221</v>
      </c>
      <c r="AV43" s="2822">
        <f t="shared" si="22"/>
        <v>63.284443421278318</v>
      </c>
      <c r="AW43" s="2823">
        <f t="shared" si="8"/>
        <v>62.004334817475481</v>
      </c>
      <c r="AX43" s="2823">
        <f t="shared" si="9"/>
        <v>61.950576184293965</v>
      </c>
      <c r="AY43" s="2823">
        <f t="shared" si="10"/>
        <v>62.045710787069865</v>
      </c>
      <c r="AZ43" s="2823">
        <f t="shared" si="11"/>
        <v>61.962559816931318</v>
      </c>
      <c r="BA43" s="2823">
        <f t="shared" si="12"/>
        <v>61.942206681374472</v>
      </c>
      <c r="BB43" s="2823">
        <f t="shared" si="13"/>
        <v>61.924412945643091</v>
      </c>
      <c r="BC43" s="2823">
        <f t="shared" si="14"/>
        <v>61.93197354449007</v>
      </c>
      <c r="BD43" s="2824">
        <f t="shared" si="15"/>
        <v>61.999801443407996</v>
      </c>
      <c r="BE43" s="2823"/>
      <c r="BF43" s="2825">
        <f t="shared" si="16"/>
        <v>2025</v>
      </c>
      <c r="BG43" s="2819">
        <f t="shared" si="23"/>
        <v>34.657618577559568</v>
      </c>
      <c r="BH43" s="2820">
        <f t="shared" si="23"/>
        <v>6.2485072824868411</v>
      </c>
      <c r="BI43" s="2820">
        <f t="shared" si="23"/>
        <v>-6.5278359627972127E-2</v>
      </c>
      <c r="BJ43" s="2828">
        <f t="shared" si="23"/>
        <v>4.6333536124685935E-4</v>
      </c>
      <c r="BK43" s="2819">
        <f t="shared" si="23"/>
        <v>41.589142293071475</v>
      </c>
      <c r="BL43" s="2820">
        <f t="shared" si="23"/>
        <v>7.4803008948416307</v>
      </c>
      <c r="BM43" s="2820">
        <f t="shared" si="23"/>
        <v>-7.8334031553566552E-2</v>
      </c>
      <c r="BN43" s="2828">
        <f t="shared" si="23"/>
        <v>5.560024334962312E-4</v>
      </c>
      <c r="BO43" s="2822">
        <f t="shared" si="24"/>
        <v>4.7254038004760606</v>
      </c>
      <c r="BP43" s="2823">
        <f t="shared" si="18"/>
        <v>5.652576716428694</v>
      </c>
      <c r="BQ43" s="2824">
        <f t="shared" si="19"/>
        <v>5.5407666611044935</v>
      </c>
    </row>
    <row r="44" spans="1:69" ht="13.5" customHeight="1">
      <c r="A44" s="2822"/>
      <c r="B44" s="2547">
        <v>2026</v>
      </c>
      <c r="C44" s="64"/>
      <c r="D44" s="2531">
        <f>D43*(D$48/D$43)^(1/5)</f>
        <v>28.113938411879307</v>
      </c>
      <c r="E44" s="2258">
        <f t="shared" ref="E44:J47" si="29">E43*(E$48/E$43)^(1/5)</f>
        <v>79.19214617272138</v>
      </c>
      <c r="F44" s="2258">
        <f t="shared" si="29"/>
        <v>62.207316687682933</v>
      </c>
      <c r="G44" s="2258">
        <f t="shared" si="29"/>
        <v>70.389632547788864</v>
      </c>
      <c r="H44" s="2258">
        <f t="shared" si="29"/>
        <v>91.205942469211863</v>
      </c>
      <c r="I44" s="2258">
        <f t="shared" si="29"/>
        <v>41.215741937873403</v>
      </c>
      <c r="J44" s="2532">
        <f t="shared" si="29"/>
        <v>53.599936037498324</v>
      </c>
      <c r="K44" s="2816">
        <f t="shared" ref="K44:N59" si="30">IF(ISERROR(VLOOKUP($B44,Av_car_cost_work,1,0)),"",VLOOKUP($B44,Av_car_cost_work,K$22,0))</f>
        <v>34.013533238724492</v>
      </c>
      <c r="L44" s="2817">
        <f t="shared" si="30"/>
        <v>6.1818733511671304</v>
      </c>
      <c r="M44" s="2817">
        <f t="shared" si="30"/>
        <v>-6.4304853892794944E-2</v>
      </c>
      <c r="N44" s="2818">
        <f t="shared" si="30"/>
        <v>4.5591278623133849E-4</v>
      </c>
      <c r="O44" s="2819">
        <f t="shared" ref="O44:R59" si="31">IF(ISERROR(VLOOKUP($B44,av_car_cost_nonwork,1,0)),"",VLOOKUP($B44,av_car_cost_nonwork,O$22,0))</f>
        <v>40.816239886469376</v>
      </c>
      <c r="P44" s="2820">
        <f t="shared" si="31"/>
        <v>7.3956358424163708</v>
      </c>
      <c r="Q44" s="2820">
        <f t="shared" si="31"/>
        <v>-7.7165824671353939E-2</v>
      </c>
      <c r="R44" s="2821">
        <f t="shared" si="31"/>
        <v>5.470953434776061E-4</v>
      </c>
      <c r="S44" s="2819">
        <f t="shared" si="26"/>
        <v>4.7084072434548103</v>
      </c>
      <c r="T44" s="2828">
        <f t="shared" si="26"/>
        <v>135.94600000000003</v>
      </c>
      <c r="U44" s="2822">
        <f t="shared" ref="U44:AA70" si="32">$K44/D44+$L44+$M44*D44+$N44*D44^2+$S44+$T44/D44</f>
        <v>15.488151691573826</v>
      </c>
      <c r="V44" s="2823">
        <f t="shared" si="32"/>
        <v>10.803217362497586</v>
      </c>
      <c r="W44" s="2823">
        <f t="shared" si="32"/>
        <v>11.386463795344831</v>
      </c>
      <c r="X44" s="2823">
        <f t="shared" si="32"/>
        <v>11.037350303207186</v>
      </c>
      <c r="Y44" s="2823">
        <f t="shared" si="32"/>
        <v>10.681287169614327</v>
      </c>
      <c r="Z44" s="2823">
        <f t="shared" si="32"/>
        <v>13.138040223478896</v>
      </c>
      <c r="AA44" s="2824">
        <f t="shared" si="32"/>
        <v>11.924251209381746</v>
      </c>
      <c r="AB44" s="2822">
        <f t="shared" ref="AB44:AH70" si="33">$O44/D44+$P44+$Q44*D44+$R44*D44^2</f>
        <v>7.1104363065856404</v>
      </c>
      <c r="AC44" s="2823">
        <f t="shared" si="33"/>
        <v>5.2311678070161953</v>
      </c>
      <c r="AD44" s="2823">
        <f t="shared" si="33"/>
        <v>5.368611754074772</v>
      </c>
      <c r="AE44" s="2823">
        <f t="shared" si="33"/>
        <v>5.2545168274505301</v>
      </c>
      <c r="AF44" s="2823">
        <f t="shared" si="33"/>
        <v>5.3561971203175753</v>
      </c>
      <c r="AG44" s="2823">
        <f t="shared" si="33"/>
        <v>6.1348674904424758</v>
      </c>
      <c r="AH44" s="2824">
        <f t="shared" si="33"/>
        <v>5.5928297839639178</v>
      </c>
      <c r="AI44" s="2825">
        <f>'A1.3.4'!$J$27/100</f>
        <v>0.1205924519584583</v>
      </c>
      <c r="AJ44" s="2822">
        <f t="shared" ref="AJ44:AP70" si="34">U44*$AI44+AB44*(1-$AI44)</f>
        <v>8.1207255466714656</v>
      </c>
      <c r="AK44" s="2823">
        <f t="shared" si="34"/>
        <v>5.9031149253457347</v>
      </c>
      <c r="AL44" s="2823">
        <f t="shared" si="34"/>
        <v>6.0943192872547423</v>
      </c>
      <c r="AM44" s="2823">
        <f t="shared" si="34"/>
        <v>5.9518828955594794</v>
      </c>
      <c r="AN44" s="2823">
        <f t="shared" si="34"/>
        <v>5.9983627862618585</v>
      </c>
      <c r="AO44" s="2823">
        <f t="shared" si="34"/>
        <v>6.9793972618079563</v>
      </c>
      <c r="AP44" s="2824">
        <f t="shared" si="34"/>
        <v>6.356351418037371</v>
      </c>
      <c r="AQ44" s="2829" t="str">
        <f t="shared" si="6"/>
        <v>2026/27</v>
      </c>
      <c r="AR44" s="2830">
        <f>'Cost and rev series'!D43</f>
        <v>2.2999999999999998</v>
      </c>
      <c r="AS44" s="2826">
        <f>'Cost and rev series'!F43</f>
        <v>3.1911952970247741</v>
      </c>
      <c r="AT44" s="2826">
        <f t="shared" si="7"/>
        <v>0.89119529702477429</v>
      </c>
      <c r="AU44" s="2827">
        <f t="shared" si="27"/>
        <v>1.183207710141001</v>
      </c>
      <c r="AV44" s="2822">
        <f t="shared" si="22"/>
        <v>62.18222133933368</v>
      </c>
      <c r="AW44" s="2823">
        <f t="shared" si="8"/>
        <v>60.864072970807889</v>
      </c>
      <c r="AX44" s="2823">
        <f t="shared" si="9"/>
        <v>60.83372778142143</v>
      </c>
      <c r="AY44" s="2823">
        <f t="shared" si="10"/>
        <v>60.92555528785482</v>
      </c>
      <c r="AZ44" s="2823">
        <f t="shared" si="11"/>
        <v>60.8481749625426</v>
      </c>
      <c r="BA44" s="2823">
        <f t="shared" si="12"/>
        <v>60.795227672540491</v>
      </c>
      <c r="BB44" s="2823">
        <f t="shared" si="13"/>
        <v>60.748938486122093</v>
      </c>
      <c r="BC44" s="2823">
        <f t="shared" si="14"/>
        <v>60.76860686687958</v>
      </c>
      <c r="BD44" s="2824">
        <f t="shared" si="15"/>
        <v>60.890193762699404</v>
      </c>
      <c r="BE44" s="2823"/>
      <c r="BF44" s="2825">
        <f t="shared" si="16"/>
        <v>2026</v>
      </c>
      <c r="BG44" s="2819">
        <f t="shared" si="23"/>
        <v>33.97188685488419</v>
      </c>
      <c r="BH44" s="2820">
        <f t="shared" si="23"/>
        <v>6.1750728047847581</v>
      </c>
      <c r="BI44" s="2820">
        <f t="shared" si="23"/>
        <v>-6.422715731367637E-2</v>
      </c>
      <c r="BJ44" s="2828">
        <f t="shared" si="23"/>
        <v>4.5535971360998335E-4</v>
      </c>
      <c r="BK44" s="2819">
        <f t="shared" si="23"/>
        <v>40.766264225861015</v>
      </c>
      <c r="BL44" s="2820">
        <f t="shared" si="23"/>
        <v>7.3873979296467862</v>
      </c>
      <c r="BM44" s="2820">
        <f t="shared" si="23"/>
        <v>-7.7072588776411641E-2</v>
      </c>
      <c r="BN44" s="2828">
        <f t="shared" si="23"/>
        <v>5.4643165633197998E-4</v>
      </c>
      <c r="BO44" s="2822">
        <f t="shared" si="24"/>
        <v>4.6745330169858414</v>
      </c>
      <c r="BP44" s="2823">
        <f t="shared" si="18"/>
        <v>5.5867501842880856</v>
      </c>
      <c r="BQ44" s="2824">
        <f t="shared" si="19"/>
        <v>5.4767436793645095</v>
      </c>
    </row>
    <row r="45" spans="1:69" ht="13.5" customHeight="1">
      <c r="A45" s="2822"/>
      <c r="B45" s="2547">
        <v>2027</v>
      </c>
      <c r="C45" s="64"/>
      <c r="D45" s="2531">
        <f>D44*(D$48/D$43)^(1/5)</f>
        <v>28.003721011076628</v>
      </c>
      <c r="E45" s="2258">
        <f t="shared" si="29"/>
        <v>79.067364253371608</v>
      </c>
      <c r="F45" s="2258">
        <f t="shared" si="29"/>
        <v>62.151492644447366</v>
      </c>
      <c r="G45" s="2258">
        <f t="shared" si="29"/>
        <v>70.278809589669436</v>
      </c>
      <c r="H45" s="2258">
        <f t="shared" si="29"/>
        <v>91.03741414812994</v>
      </c>
      <c r="I45" s="2258">
        <f t="shared" si="29"/>
        <v>41.153970311630687</v>
      </c>
      <c r="J45" s="2532">
        <f t="shared" si="29"/>
        <v>53.530287427196114</v>
      </c>
      <c r="K45" s="2816">
        <f t="shared" si="30"/>
        <v>33.263967033682036</v>
      </c>
      <c r="L45" s="2817">
        <f t="shared" si="30"/>
        <v>6.1002334063342909</v>
      </c>
      <c r="M45" s="2817">
        <f t="shared" si="30"/>
        <v>-6.3137126291721218E-2</v>
      </c>
      <c r="N45" s="2818">
        <f t="shared" si="30"/>
        <v>4.4710212569176863E-4</v>
      </c>
      <c r="O45" s="2819">
        <f t="shared" si="31"/>
        <v>39.916760440418443</v>
      </c>
      <c r="P45" s="2820">
        <f t="shared" si="31"/>
        <v>7.2924607160336041</v>
      </c>
      <c r="Q45" s="2820">
        <f t="shared" si="31"/>
        <v>-7.5764551550065465E-2</v>
      </c>
      <c r="R45" s="2821">
        <f t="shared" si="31"/>
        <v>5.365225508301224E-4</v>
      </c>
      <c r="S45" s="2819">
        <f t="shared" si="26"/>
        <v>4.6434404804148057</v>
      </c>
      <c r="T45" s="2828">
        <f t="shared" si="26"/>
        <v>135.946</v>
      </c>
      <c r="U45" s="2822">
        <f t="shared" si="32"/>
        <v>15.368630767808916</v>
      </c>
      <c r="V45" s="2823">
        <f t="shared" si="32"/>
        <v>10.686786324859789</v>
      </c>
      <c r="W45" s="2823">
        <f t="shared" si="32"/>
        <v>11.269217611118682</v>
      </c>
      <c r="X45" s="2823">
        <f t="shared" si="32"/>
        <v>10.922454278408464</v>
      </c>
      <c r="Y45" s="2823">
        <f t="shared" si="32"/>
        <v>10.560016985827051</v>
      </c>
      <c r="Z45" s="2823">
        <f t="shared" si="32"/>
        <v>13.014196309955302</v>
      </c>
      <c r="AA45" s="2824">
        <f t="shared" si="32"/>
        <v>11.80610639542201</v>
      </c>
      <c r="AB45" s="2822">
        <f t="shared" si="33"/>
        <v>7.0169259978296168</v>
      </c>
      <c r="AC45" s="2823">
        <f t="shared" si="33"/>
        <v>5.1609524624790541</v>
      </c>
      <c r="AD45" s="2823">
        <f t="shared" si="33"/>
        <v>5.2983137949671359</v>
      </c>
      <c r="AE45" s="2823">
        <f t="shared" si="33"/>
        <v>5.1857398831125874</v>
      </c>
      <c r="AF45" s="2823">
        <f t="shared" si="33"/>
        <v>5.28011468297961</v>
      </c>
      <c r="AG45" s="2823">
        <f t="shared" si="33"/>
        <v>6.0530666858114204</v>
      </c>
      <c r="AH45" s="2824">
        <f t="shared" si="33"/>
        <v>5.519848920224673</v>
      </c>
      <c r="AI45" s="2825">
        <f>'A1.3.4'!$J$27/100</f>
        <v>0.1205924519584583</v>
      </c>
      <c r="AJ45" s="2822">
        <f t="shared" si="34"/>
        <v>8.0240785540745723</v>
      </c>
      <c r="AK45" s="2823">
        <f t="shared" si="34"/>
        <v>5.8273263170586258</v>
      </c>
      <c r="AL45" s="2823">
        <f t="shared" si="34"/>
        <v>6.0183597265649666</v>
      </c>
      <c r="AM45" s="2823">
        <f t="shared" si="34"/>
        <v>5.8775443382267021</v>
      </c>
      <c r="AN45" s="2823">
        <f t="shared" si="34"/>
        <v>5.9168310477810939</v>
      </c>
      <c r="AO45" s="2823">
        <f t="shared" si="34"/>
        <v>6.8925263755875923</v>
      </c>
      <c r="AP45" s="2824">
        <f t="shared" si="34"/>
        <v>6.2779241228009077</v>
      </c>
      <c r="AQ45" s="2829" t="str">
        <f t="shared" si="6"/>
        <v>2027/28</v>
      </c>
      <c r="AR45" s="2830">
        <f>'Cost and rev series'!D44</f>
        <v>2.2999999999999998</v>
      </c>
      <c r="AS45" s="2826">
        <f>'Cost and rev series'!F44</f>
        <v>3.1909055833639122</v>
      </c>
      <c r="AT45" s="2826">
        <f t="shared" si="7"/>
        <v>0.89090558336391235</v>
      </c>
      <c r="AU45" s="2827">
        <f t="shared" si="27"/>
        <v>1.1935119755881554</v>
      </c>
      <c r="AV45" s="2822">
        <f t="shared" si="22"/>
        <v>60.864068729009723</v>
      </c>
      <c r="AW45" s="2823">
        <f t="shared" si="8"/>
        <v>59.515974062034964</v>
      </c>
      <c r="AX45" s="2823">
        <f t="shared" si="9"/>
        <v>59.509148333672755</v>
      </c>
      <c r="AY45" s="2823">
        <f t="shared" si="10"/>
        <v>59.597282814768818</v>
      </c>
      <c r="AZ45" s="2823">
        <f t="shared" si="11"/>
        <v>59.52485849164276</v>
      </c>
      <c r="BA45" s="2823">
        <f t="shared" si="12"/>
        <v>59.440052204023978</v>
      </c>
      <c r="BB45" s="2823">
        <f t="shared" si="13"/>
        <v>59.365910278027769</v>
      </c>
      <c r="BC45" s="2823">
        <f t="shared" si="14"/>
        <v>59.397413351281308</v>
      </c>
      <c r="BD45" s="2824">
        <f t="shared" si="15"/>
        <v>59.572146614527163</v>
      </c>
      <c r="BE45" s="2823"/>
      <c r="BF45" s="2825">
        <f t="shared" si="16"/>
        <v>2027</v>
      </c>
      <c r="BG45" s="2819">
        <f t="shared" ref="BG45:BN72" si="35">K45*0.5+K44*0.25+K46*0.25</f>
        <v>33.239030616870792</v>
      </c>
      <c r="BH45" s="2820">
        <f t="shared" si="35"/>
        <v>6.0950642533936534</v>
      </c>
      <c r="BI45" s="2820">
        <f t="shared" si="35"/>
        <v>-6.3087922373974675E-2</v>
      </c>
      <c r="BJ45" s="2828">
        <f t="shared" si="35"/>
        <v>4.4675766798449442E-4</v>
      </c>
      <c r="BK45" s="2819">
        <f t="shared" si="35"/>
        <v>39.886836740244945</v>
      </c>
      <c r="BL45" s="2820">
        <f t="shared" si="35"/>
        <v>7.2863493507894344</v>
      </c>
      <c r="BM45" s="2820">
        <f t="shared" si="35"/>
        <v>-7.5705506848769616E-2</v>
      </c>
      <c r="BN45" s="2828">
        <f t="shared" si="35"/>
        <v>5.361092015813934E-4</v>
      </c>
      <c r="BO45" s="2822">
        <f t="shared" si="24"/>
        <v>4.6190687785253592</v>
      </c>
      <c r="BP45" s="2823">
        <f t="shared" si="18"/>
        <v>5.5151547809474817</v>
      </c>
      <c r="BQ45" s="2824">
        <f t="shared" si="19"/>
        <v>5.4070935727497451</v>
      </c>
    </row>
    <row r="46" spans="1:69" ht="13.5" customHeight="1">
      <c r="A46" s="2822"/>
      <c r="B46" s="2547">
        <v>2028</v>
      </c>
      <c r="C46" s="64"/>
      <c r="D46" s="2531">
        <f>D45*(D$48/D$43)^(1/5)</f>
        <v>27.893935704677148</v>
      </c>
      <c r="E46" s="2258">
        <f t="shared" si="29"/>
        <v>78.942778951087405</v>
      </c>
      <c r="F46" s="2258">
        <f t="shared" si="29"/>
        <v>62.095718696987809</v>
      </c>
      <c r="G46" s="2258">
        <f t="shared" si="29"/>
        <v>70.168161113609401</v>
      </c>
      <c r="H46" s="2258">
        <f t="shared" si="29"/>
        <v>90.869197229948298</v>
      </c>
      <c r="I46" s="2258">
        <f t="shared" si="29"/>
        <v>41.092291264912909</v>
      </c>
      <c r="J46" s="2532">
        <f t="shared" si="29"/>
        <v>53.460729319407072</v>
      </c>
      <c r="K46" s="2816">
        <f t="shared" si="30"/>
        <v>32.414655161394592</v>
      </c>
      <c r="L46" s="2817">
        <f t="shared" si="30"/>
        <v>5.9979168497388997</v>
      </c>
      <c r="M46" s="2817">
        <f t="shared" si="30"/>
        <v>-6.1772583019661348E-2</v>
      </c>
      <c r="N46" s="2818">
        <f t="shared" si="30"/>
        <v>4.3691363432310211E-4</v>
      </c>
      <c r="O46" s="2819">
        <f t="shared" si="31"/>
        <v>38.897586193673504</v>
      </c>
      <c r="P46" s="2820">
        <f t="shared" si="31"/>
        <v>7.1648401286741574</v>
      </c>
      <c r="Q46" s="2820">
        <f t="shared" si="31"/>
        <v>-7.4127099623593609E-2</v>
      </c>
      <c r="R46" s="2821">
        <f t="shared" si="31"/>
        <v>5.2429636118772258E-4</v>
      </c>
      <c r="S46" s="2819">
        <f t="shared" si="26"/>
        <v>4.574498445011943</v>
      </c>
      <c r="T46" s="2828">
        <f t="shared" si="26"/>
        <v>135.946</v>
      </c>
      <c r="U46" s="2822">
        <f t="shared" si="32"/>
        <v>15.225028951082987</v>
      </c>
      <c r="V46" s="2823">
        <f t="shared" si="32"/>
        <v>10.55143752597043</v>
      </c>
      <c r="W46" s="2823">
        <f t="shared" si="32"/>
        <v>11.132596733875017</v>
      </c>
      <c r="X46" s="2823">
        <f t="shared" si="32"/>
        <v>10.788510126496551</v>
      </c>
      <c r="Y46" s="2823">
        <f t="shared" si="32"/>
        <v>10.419658597805293</v>
      </c>
      <c r="Z46" s="2823">
        <f t="shared" si="32"/>
        <v>12.868935139618504</v>
      </c>
      <c r="AA46" s="2824">
        <f t="shared" si="32"/>
        <v>11.667968558150637</v>
      </c>
      <c r="AB46" s="2822">
        <f t="shared" si="33"/>
        <v>6.8995655309184434</v>
      </c>
      <c r="AC46" s="2823">
        <f t="shared" si="33"/>
        <v>5.0731674737404875</v>
      </c>
      <c r="AD46" s="2823">
        <f t="shared" si="33"/>
        <v>5.2099008885533351</v>
      </c>
      <c r="AE46" s="2823">
        <f t="shared" si="33"/>
        <v>5.0992362231987594</v>
      </c>
      <c r="AF46" s="2823">
        <f t="shared" si="33"/>
        <v>5.1862570709570655</v>
      </c>
      <c r="AG46" s="2823">
        <f t="shared" si="33"/>
        <v>5.950693055559853</v>
      </c>
      <c r="AH46" s="2824">
        <f t="shared" si="33"/>
        <v>5.4280080760900606</v>
      </c>
      <c r="AI46" s="2825">
        <f>'A1.3.4'!$J$27/100</f>
        <v>0.1205924519584583</v>
      </c>
      <c r="AJ46" s="2822">
        <f t="shared" si="34"/>
        <v>7.9035535784465383</v>
      </c>
      <c r="AK46" s="2823">
        <f t="shared" si="34"/>
        <v>5.7338054918294885</v>
      </c>
      <c r="AL46" s="2823">
        <f t="shared" si="34"/>
        <v>5.9241333027448508</v>
      </c>
      <c r="AM46" s="2823">
        <f t="shared" si="34"/>
        <v>5.7853197130607086</v>
      </c>
      <c r="AN46" s="2823">
        <f t="shared" si="34"/>
        <v>5.8173657931628329</v>
      </c>
      <c r="AO46" s="2823">
        <f t="shared" si="34"/>
        <v>6.7849808317186806</v>
      </c>
      <c r="AP46" s="2824">
        <f t="shared" si="34"/>
        <v>6.1805002107456293</v>
      </c>
      <c r="AQ46" s="2829" t="str">
        <f t="shared" si="6"/>
        <v>2028/29</v>
      </c>
      <c r="AR46" s="2830">
        <f>'Cost and rev series'!D45</f>
        <v>2.2999999999999998</v>
      </c>
      <c r="AS46" s="2826">
        <f>'Cost and rev series'!F45</f>
        <v>3.1919506553920041</v>
      </c>
      <c r="AT46" s="2826">
        <f t="shared" si="7"/>
        <v>0.89195065539200424</v>
      </c>
      <c r="AU46" s="2827">
        <f t="shared" si="27"/>
        <v>1.2039181709825255</v>
      </c>
      <c r="AV46" s="2822">
        <f t="shared" si="22"/>
        <v>59.537067670247055</v>
      </c>
      <c r="AW46" s="2823">
        <f t="shared" si="8"/>
        <v>58.161682846249505</v>
      </c>
      <c r="AX46" s="2823">
        <f t="shared" si="9"/>
        <v>58.17706557049992</v>
      </c>
      <c r="AY46" s="2823">
        <f t="shared" si="10"/>
        <v>58.261737545585881</v>
      </c>
      <c r="AZ46" s="2823">
        <f t="shared" si="11"/>
        <v>58.194081088889561</v>
      </c>
      <c r="BA46" s="2823">
        <f t="shared" si="12"/>
        <v>58.079161904157402</v>
      </c>
      <c r="BB46" s="2823">
        <f t="shared" si="13"/>
        <v>57.978693767546375</v>
      </c>
      <c r="BC46" s="2823">
        <f t="shared" si="14"/>
        <v>58.021382907662137</v>
      </c>
      <c r="BD46" s="2824">
        <f t="shared" si="15"/>
        <v>58.246260363789062</v>
      </c>
      <c r="BE46" s="2823"/>
      <c r="BF46" s="2825">
        <f t="shared" si="16"/>
        <v>2028</v>
      </c>
      <c r="BG46" s="2819">
        <f t="shared" si="35"/>
        <v>32.483026125516062</v>
      </c>
      <c r="BH46" s="2820">
        <f t="shared" si="35"/>
        <v>6.0108108836111711</v>
      </c>
      <c r="BI46" s="2820">
        <f t="shared" si="35"/>
        <v>-6.1897280958882459E-2</v>
      </c>
      <c r="BJ46" s="2828">
        <f t="shared" si="35"/>
        <v>4.3780745121261211E-4</v>
      </c>
      <c r="BK46" s="2819">
        <f t="shared" si="35"/>
        <v>38.979631350619272</v>
      </c>
      <c r="BL46" s="2820">
        <f t="shared" si="35"/>
        <v>7.1801519215207854</v>
      </c>
      <c r="BM46" s="2820">
        <f t="shared" si="35"/>
        <v>-7.4276737150658939E-2</v>
      </c>
      <c r="BN46" s="2828">
        <f t="shared" si="35"/>
        <v>5.2536894145513457E-4</v>
      </c>
      <c r="BO46" s="2822">
        <f t="shared" si="24"/>
        <v>4.5606178707002769</v>
      </c>
      <c r="BP46" s="2823">
        <f t="shared" si="18"/>
        <v>5.4399203060277133</v>
      </c>
      <c r="BQ46" s="2824">
        <f t="shared" si="19"/>
        <v>5.3338830693385342</v>
      </c>
    </row>
    <row r="47" spans="1:69" ht="13.5" customHeight="1">
      <c r="A47" s="2822"/>
      <c r="B47" s="2547">
        <v>2029</v>
      </c>
      <c r="C47" s="64"/>
      <c r="D47" s="2531">
        <f>D46*(D$48/D$43)^(1/5)</f>
        <v>27.784580798705399</v>
      </c>
      <c r="E47" s="2258">
        <f t="shared" si="29"/>
        <v>78.818389956062106</v>
      </c>
      <c r="F47" s="2258">
        <f t="shared" si="29"/>
        <v>62.039994800348964</v>
      </c>
      <c r="G47" s="2258">
        <f t="shared" si="29"/>
        <v>70.057686844900431</v>
      </c>
      <c r="H47" s="2258">
        <f t="shared" si="29"/>
        <v>90.701291139263532</v>
      </c>
      <c r="I47" s="2258">
        <f t="shared" si="29"/>
        <v>41.030704658967558</v>
      </c>
      <c r="J47" s="2532">
        <f t="shared" si="29"/>
        <v>53.391261596530789</v>
      </c>
      <c r="K47" s="2816">
        <f t="shared" si="30"/>
        <v>31.83882714559304</v>
      </c>
      <c r="L47" s="2817">
        <f t="shared" si="30"/>
        <v>5.9471764286325932</v>
      </c>
      <c r="M47" s="2817">
        <f t="shared" si="30"/>
        <v>-6.0906831504485906E-2</v>
      </c>
      <c r="N47" s="2818">
        <f t="shared" si="30"/>
        <v>4.3030041051247568E-4</v>
      </c>
      <c r="O47" s="2819">
        <f t="shared" si="31"/>
        <v>38.206592574711649</v>
      </c>
      <c r="P47" s="2820">
        <f t="shared" si="31"/>
        <v>7.0984667127012235</v>
      </c>
      <c r="Q47" s="2820">
        <f t="shared" si="31"/>
        <v>-7.3088197805383087E-2</v>
      </c>
      <c r="R47" s="2821">
        <f t="shared" si="31"/>
        <v>5.1636049261497073E-4</v>
      </c>
      <c r="S47" s="2819">
        <f t="shared" si="26"/>
        <v>4.5015533628012756</v>
      </c>
      <c r="T47" s="2828">
        <f t="shared" si="26"/>
        <v>135.946</v>
      </c>
      <c r="U47" s="2822">
        <f t="shared" si="32"/>
        <v>15.127418410486815</v>
      </c>
      <c r="V47" s="2823">
        <f t="shared" si="32"/>
        <v>10.450075520435639</v>
      </c>
      <c r="W47" s="2823">
        <f t="shared" si="32"/>
        <v>11.030742062365917</v>
      </c>
      <c r="X47" s="2823">
        <f t="shared" si="32"/>
        <v>10.688639107947406</v>
      </c>
      <c r="Y47" s="2823">
        <f t="shared" si="32"/>
        <v>10.314225848725673</v>
      </c>
      <c r="Z47" s="2823">
        <f t="shared" si="32"/>
        <v>12.763348816245529</v>
      </c>
      <c r="AA47" s="2824">
        <f t="shared" si="32"/>
        <v>11.566015316606331</v>
      </c>
      <c r="AB47" s="2822">
        <f t="shared" si="33"/>
        <v>6.8414638199794897</v>
      </c>
      <c r="AC47" s="2823">
        <f t="shared" si="33"/>
        <v>5.0303209632259307</v>
      </c>
      <c r="AD47" s="2823">
        <f t="shared" si="33"/>
        <v>5.1673647764307544</v>
      </c>
      <c r="AE47" s="2823">
        <f t="shared" si="33"/>
        <v>5.057774016187631</v>
      </c>
      <c r="AF47" s="2823">
        <f t="shared" si="33"/>
        <v>5.138463549709984</v>
      </c>
      <c r="AG47" s="2823">
        <f t="shared" si="33"/>
        <v>5.9000797758304282</v>
      </c>
      <c r="AH47" s="2824">
        <f t="shared" si="33"/>
        <v>5.3837430526978691</v>
      </c>
      <c r="AI47" s="2825">
        <f>'A1.3.4'!$J$27/100</f>
        <v>0.1205924519584583</v>
      </c>
      <c r="AJ47" s="2822">
        <f t="shared" si="34"/>
        <v>7.8406874008652121</v>
      </c>
      <c r="AK47" s="2823">
        <f t="shared" si="34"/>
        <v>5.6839024542928778</v>
      </c>
      <c r="AL47" s="2823">
        <f t="shared" si="34"/>
        <v>5.8744438200992066</v>
      </c>
      <c r="AM47" s="2823">
        <f t="shared" si="34"/>
        <v>5.7368138442502321</v>
      </c>
      <c r="AN47" s="2823">
        <f t="shared" si="34"/>
        <v>5.7626214161024336</v>
      </c>
      <c r="AO47" s="2823">
        <f t="shared" si="34"/>
        <v>6.727738217864661</v>
      </c>
      <c r="AP47" s="2824">
        <f t="shared" si="34"/>
        <v>6.1292784236773592</v>
      </c>
      <c r="AQ47" s="2829" t="str">
        <f t="shared" si="6"/>
        <v>2029/30</v>
      </c>
      <c r="AR47" s="2830">
        <f>'Cost and rev series'!D46</f>
        <v>2.2999999999999998</v>
      </c>
      <c r="AS47" s="2826">
        <f>'Cost and rev series'!F46</f>
        <v>3.1941012555954513</v>
      </c>
      <c r="AT47" s="2826">
        <f t="shared" si="7"/>
        <v>0.89410125559545151</v>
      </c>
      <c r="AU47" s="2827">
        <f t="shared" si="27"/>
        <v>1.2144404070363835</v>
      </c>
      <c r="AV47" s="2822">
        <f t="shared" si="22"/>
        <v>58.503682626314657</v>
      </c>
      <c r="AW47" s="2823">
        <f t="shared" si="8"/>
        <v>57.115609751083738</v>
      </c>
      <c r="AX47" s="2823">
        <f t="shared" si="9"/>
        <v>57.148208192354637</v>
      </c>
      <c r="AY47" s="2823">
        <f t="shared" si="10"/>
        <v>57.232139093084527</v>
      </c>
      <c r="AZ47" s="2823">
        <f t="shared" si="11"/>
        <v>57.159006895253135</v>
      </c>
      <c r="BA47" s="2823">
        <f t="shared" si="12"/>
        <v>57.021227150937143</v>
      </c>
      <c r="BB47" s="2823">
        <f t="shared" si="13"/>
        <v>56.900773162280373</v>
      </c>
      <c r="BC47" s="2823">
        <f t="shared" si="14"/>
        <v>56.951954336458797</v>
      </c>
      <c r="BD47" s="2824">
        <f t="shared" si="15"/>
        <v>57.220927997978244</v>
      </c>
      <c r="BE47" s="2823"/>
      <c r="BF47" s="2825">
        <f t="shared" si="16"/>
        <v>2029</v>
      </c>
      <c r="BG47" s="2819">
        <f t="shared" si="35"/>
        <v>31.799806876572326</v>
      </c>
      <c r="BH47" s="2820">
        <f t="shared" si="35"/>
        <v>5.9419276538430648</v>
      </c>
      <c r="BI47" s="2820">
        <f t="shared" si="35"/>
        <v>-6.0827464090525224E-2</v>
      </c>
      <c r="BJ47" s="2828">
        <f t="shared" si="35"/>
        <v>4.2974963799760087E-4</v>
      </c>
      <c r="BK47" s="2819">
        <f t="shared" si="35"/>
        <v>38.159768251886788</v>
      </c>
      <c r="BL47" s="2820">
        <f t="shared" si="35"/>
        <v>7.0918619304562762</v>
      </c>
      <c r="BM47" s="2820">
        <f t="shared" si="35"/>
        <v>-7.2992956908630252E-2</v>
      </c>
      <c r="BN47" s="2828">
        <f t="shared" si="35"/>
        <v>5.15699565597121E-4</v>
      </c>
      <c r="BO47" s="2822">
        <f t="shared" si="24"/>
        <v>4.5149279137254101</v>
      </c>
      <c r="BP47" s="2823">
        <f t="shared" si="18"/>
        <v>5.3794622423150917</v>
      </c>
      <c r="BQ47" s="2824">
        <f t="shared" si="19"/>
        <v>5.2752059278282033</v>
      </c>
    </row>
    <row r="48" spans="1:69" ht="13.5" customHeight="1">
      <c r="A48" s="2822"/>
      <c r="B48" s="714">
        <v>2030</v>
      </c>
      <c r="C48" s="64"/>
      <c r="D48" s="2307">
        <v>27.675654605826949</v>
      </c>
      <c r="E48" s="2243">
        <v>78.694196958977173</v>
      </c>
      <c r="F48" s="2243">
        <v>61.984320909615882</v>
      </c>
      <c r="G48" s="2243">
        <v>69.947386509266707</v>
      </c>
      <c r="H48" s="2243">
        <v>90.533695301735463</v>
      </c>
      <c r="I48" s="2243">
        <v>40.969210355250084</v>
      </c>
      <c r="J48" s="2530">
        <v>53.321884141119661</v>
      </c>
      <c r="K48" s="2816">
        <f t="shared" si="30"/>
        <v>31.106918053708618</v>
      </c>
      <c r="L48" s="2817">
        <f t="shared" si="30"/>
        <v>5.8754409083681738</v>
      </c>
      <c r="M48" s="2817">
        <f t="shared" si="30"/>
        <v>-5.9723610333467722E-2</v>
      </c>
      <c r="N48" s="2818">
        <f t="shared" si="30"/>
        <v>4.214840966423499E-4</v>
      </c>
      <c r="O48" s="2819">
        <f t="shared" si="31"/>
        <v>37.328301664450343</v>
      </c>
      <c r="P48" s="2820">
        <f t="shared" si="31"/>
        <v>7.0056741677484977</v>
      </c>
      <c r="Q48" s="2820">
        <f t="shared" si="31"/>
        <v>-7.1668332400161266E-2</v>
      </c>
      <c r="R48" s="2821">
        <f t="shared" si="31"/>
        <v>5.0578091597081986E-4</v>
      </c>
      <c r="S48" s="2819">
        <f t="shared" si="26"/>
        <v>4.421521986431598</v>
      </c>
      <c r="T48" s="2828">
        <f t="shared" si="26"/>
        <v>135.946</v>
      </c>
      <c r="U48" s="2822">
        <f t="shared" si="32"/>
        <v>15.003001556409345</v>
      </c>
      <c r="V48" s="2823">
        <f t="shared" si="32"/>
        <v>10.330029347053046</v>
      </c>
      <c r="W48" s="2823">
        <f t="shared" si="32"/>
        <v>10.909484444551641</v>
      </c>
      <c r="X48" s="2823">
        <f t="shared" si="32"/>
        <v>10.569886403413516</v>
      </c>
      <c r="Y48" s="2823">
        <f t="shared" si="32"/>
        <v>10.189796508593851</v>
      </c>
      <c r="Z48" s="2823">
        <f t="shared" si="32"/>
        <v>12.635108264868668</v>
      </c>
      <c r="AA48" s="2824">
        <f t="shared" si="32"/>
        <v>11.443675643909332</v>
      </c>
      <c r="AB48" s="2822">
        <f t="shared" si="33"/>
        <v>6.7583824803421448</v>
      </c>
      <c r="AC48" s="2823">
        <f t="shared" si="33"/>
        <v>4.9723268474144557</v>
      </c>
      <c r="AD48" s="2823">
        <f t="shared" si="33"/>
        <v>5.1088215522815119</v>
      </c>
      <c r="AE48" s="2823">
        <f t="shared" si="33"/>
        <v>5.0009265477919245</v>
      </c>
      <c r="AF48" s="2823">
        <f t="shared" si="33"/>
        <v>5.07514650990887</v>
      </c>
      <c r="AG48" s="2823">
        <f t="shared" si="33"/>
        <v>5.8295510212886521</v>
      </c>
      <c r="AH48" s="2824">
        <f t="shared" si="33"/>
        <v>5.3222876891116346</v>
      </c>
      <c r="AI48" s="2825">
        <f>'A1.3.4'!$J$27/100</f>
        <v>0.1205924519584583</v>
      </c>
      <c r="AJ48" s="2822">
        <f t="shared" si="34"/>
        <v>7.7526213101885677</v>
      </c>
      <c r="AK48" s="2823">
        <f t="shared" si="34"/>
        <v>5.6184253287098347</v>
      </c>
      <c r="AL48" s="2823">
        <f t="shared" si="34"/>
        <v>5.8083377134448098</v>
      </c>
      <c r="AM48" s="2823">
        <f t="shared" si="34"/>
        <v>5.6725010716395552</v>
      </c>
      <c r="AN48" s="2823">
        <f t="shared" si="34"/>
        <v>5.6919346941596176</v>
      </c>
      <c r="AO48" s="2823">
        <f t="shared" si="34"/>
        <v>6.6502498562356136</v>
      </c>
      <c r="AP48" s="2824">
        <f t="shared" si="34"/>
        <v>6.060480871969661</v>
      </c>
      <c r="AQ48" s="2829" t="str">
        <f t="shared" si="6"/>
        <v>2030/31</v>
      </c>
      <c r="AR48" s="2830">
        <f>'Cost and rev series'!D47</f>
        <v>2.2999999999999998</v>
      </c>
      <c r="AS48" s="2826">
        <f>'Cost and rev series'!F47</f>
        <v>3.1968628295085231</v>
      </c>
      <c r="AT48" s="2826">
        <f t="shared" si="7"/>
        <v>0.89686282950852325</v>
      </c>
      <c r="AU48" s="2827">
        <f t="shared" si="27"/>
        <v>1.2250873910024065</v>
      </c>
      <c r="AV48" s="2822">
        <f t="shared" si="22"/>
        <v>57.260404580933972</v>
      </c>
      <c r="AW48" s="2823">
        <f t="shared" si="8"/>
        <v>55.879394640535914</v>
      </c>
      <c r="AX48" s="2823">
        <f t="shared" si="9"/>
        <v>55.927463479788614</v>
      </c>
      <c r="AY48" s="2823">
        <f t="shared" si="10"/>
        <v>56.012069816340578</v>
      </c>
      <c r="AZ48" s="2823">
        <f t="shared" si="11"/>
        <v>55.924437105969801</v>
      </c>
      <c r="BA48" s="2823">
        <f t="shared" si="12"/>
        <v>55.767414415545801</v>
      </c>
      <c r="BB48" s="2823">
        <f t="shared" si="13"/>
        <v>55.630137274663532</v>
      </c>
      <c r="BC48" s="2823">
        <f t="shared" si="14"/>
        <v>55.688466644546281</v>
      </c>
      <c r="BD48" s="2824">
        <f t="shared" si="15"/>
        <v>56.000970740730303</v>
      </c>
      <c r="BE48" s="2823"/>
      <c r="BF48" s="2825">
        <f t="shared" si="16"/>
        <v>2030</v>
      </c>
      <c r="BG48" s="2819">
        <f t="shared" si="35"/>
        <v>31.059625638250253</v>
      </c>
      <c r="BH48" s="2820">
        <f t="shared" si="35"/>
        <v>5.8649489766315011</v>
      </c>
      <c r="BI48" s="2820">
        <f t="shared" si="35"/>
        <v>-5.962433974784169E-2</v>
      </c>
      <c r="BJ48" s="2828">
        <f t="shared" si="35"/>
        <v>4.2080130367841157E-4</v>
      </c>
      <c r="BK48" s="2819">
        <f t="shared" si="35"/>
        <v>37.271550765900301</v>
      </c>
      <c r="BL48" s="2820">
        <f t="shared" si="35"/>
        <v>6.9933015921473016</v>
      </c>
      <c r="BM48" s="2820">
        <f t="shared" si="35"/>
        <v>-7.1549207697410022E-2</v>
      </c>
      <c r="BN48" s="2828">
        <f t="shared" si="35"/>
        <v>5.0496156441409386E-4</v>
      </c>
      <c r="BO48" s="2822">
        <f t="shared" si="24"/>
        <v>4.4645919496949125</v>
      </c>
      <c r="BP48" s="2823">
        <f t="shared" si="18"/>
        <v>5.3128731598233951</v>
      </c>
      <c r="BQ48" s="2824">
        <f t="shared" si="19"/>
        <v>5.2105768487437132</v>
      </c>
    </row>
    <row r="49" spans="1:69" ht="13.5" customHeight="1">
      <c r="A49" s="2822"/>
      <c r="B49" s="2547">
        <v>2031</v>
      </c>
      <c r="C49" s="64"/>
      <c r="D49" s="2531">
        <f>D48*(D$53/D$48)^(1/5)</f>
        <v>27.54478245575028</v>
      </c>
      <c r="E49" s="2258">
        <f t="shared" ref="E49:J52" si="36">E48*(E$53/E$48)^(1/5)</f>
        <v>78.532039135106089</v>
      </c>
      <c r="F49" s="2258">
        <f t="shared" si="36"/>
        <v>61.910918604107053</v>
      </c>
      <c r="G49" s="2258">
        <f t="shared" si="36"/>
        <v>69.798276905405231</v>
      </c>
      <c r="H49" s="2258">
        <f t="shared" si="36"/>
        <v>90.294896078756338</v>
      </c>
      <c r="I49" s="2258">
        <f t="shared" si="36"/>
        <v>40.894177855284411</v>
      </c>
      <c r="J49" s="2532">
        <f t="shared" si="36"/>
        <v>53.234329429735631</v>
      </c>
      <c r="K49" s="2816">
        <f t="shared" si="30"/>
        <v>30.185839299990739</v>
      </c>
      <c r="L49" s="2817">
        <f t="shared" si="30"/>
        <v>5.7617376611570634</v>
      </c>
      <c r="M49" s="2817">
        <f t="shared" si="30"/>
        <v>-5.8143306819945381E-2</v>
      </c>
      <c r="N49" s="2818">
        <f t="shared" si="30"/>
        <v>4.099366109164708E-4</v>
      </c>
      <c r="O49" s="2819">
        <f t="shared" si="31"/>
        <v>36.223007159988882</v>
      </c>
      <c r="P49" s="2820">
        <f t="shared" si="31"/>
        <v>6.8633913203909893</v>
      </c>
      <c r="Q49" s="2820">
        <f t="shared" si="31"/>
        <v>-6.9771968183934455E-2</v>
      </c>
      <c r="R49" s="2821">
        <f t="shared" si="31"/>
        <v>4.9192393309976489E-4</v>
      </c>
      <c r="S49" s="2819">
        <f t="shared" si="26"/>
        <v>4.3427459090371077</v>
      </c>
      <c r="T49" s="2828">
        <f t="shared" si="26"/>
        <v>135.94600000000003</v>
      </c>
      <c r="U49" s="2822">
        <f t="shared" si="32"/>
        <v>14.845299950781786</v>
      </c>
      <c r="V49" s="2823">
        <f t="shared" si="32"/>
        <v>10.182031218213162</v>
      </c>
      <c r="W49" s="2823">
        <f t="shared" si="32"/>
        <v>10.759450719049537</v>
      </c>
      <c r="X49" s="2823">
        <f t="shared" si="32"/>
        <v>10.423480968045242</v>
      </c>
      <c r="Y49" s="2823">
        <f t="shared" si="32"/>
        <v>10.03660261693606</v>
      </c>
      <c r="Z49" s="2823">
        <f t="shared" si="32"/>
        <v>12.474793141663737</v>
      </c>
      <c r="AA49" s="2824">
        <f t="shared" si="32"/>
        <v>11.2917455886803</v>
      </c>
      <c r="AB49" s="2822">
        <f t="shared" si="33"/>
        <v>6.6298264711785038</v>
      </c>
      <c r="AC49" s="2823">
        <f t="shared" si="33"/>
        <v>4.8791409201557387</v>
      </c>
      <c r="AD49" s="2823">
        <f t="shared" si="33"/>
        <v>5.0143530381028061</v>
      </c>
      <c r="AE49" s="2823">
        <f t="shared" si="33"/>
        <v>4.908949984595484</v>
      </c>
      <c r="AF49" s="2823">
        <f t="shared" si="33"/>
        <v>4.9752406967333922</v>
      </c>
      <c r="AG49" s="2823">
        <f t="shared" si="33"/>
        <v>5.7185592433074541</v>
      </c>
      <c r="AH49" s="2824">
        <f t="shared" si="33"/>
        <v>5.2236320890586478</v>
      </c>
      <c r="AI49" s="2825">
        <f>'A1.3.4'!$J$27/100</f>
        <v>0.1205924519584583</v>
      </c>
      <c r="AJ49" s="2822">
        <f t="shared" si="34"/>
        <v>7.620550562083551</v>
      </c>
      <c r="AK49" s="2823">
        <f t="shared" si="34"/>
        <v>5.5186294636652029</v>
      </c>
      <c r="AL49" s="2823">
        <f t="shared" si="34"/>
        <v>5.7071684541890253</v>
      </c>
      <c r="AM49" s="2823">
        <f t="shared" si="34"/>
        <v>5.5739607972905789</v>
      </c>
      <c r="AN49" s="2823">
        <f t="shared" si="34"/>
        <v>5.5856027409398026</v>
      </c>
      <c r="AO49" s="2823">
        <f t="shared" si="34"/>
        <v>6.5333100551150922</v>
      </c>
      <c r="AP49" s="2824">
        <f t="shared" si="34"/>
        <v>5.9554007747402444</v>
      </c>
      <c r="AQ49" s="2829" t="str">
        <f t="shared" si="6"/>
        <v>2031/32</v>
      </c>
      <c r="AR49" s="2830">
        <f>'Cost and rev series'!D48</f>
        <v>2.2999999999999998</v>
      </c>
      <c r="AS49" s="2826">
        <f>'Cost and rev series'!F48</f>
        <v>3.1898994999834596</v>
      </c>
      <c r="AT49" s="2826">
        <f t="shared" si="7"/>
        <v>0.88989949998345974</v>
      </c>
      <c r="AU49" s="2827">
        <f t="shared" si="27"/>
        <v>1.2357443280179399</v>
      </c>
      <c r="AV49" s="2822">
        <f t="shared" si="22"/>
        <v>55.8565164056767</v>
      </c>
      <c r="AW49" s="2823">
        <f t="shared" si="8"/>
        <v>54.470274616363213</v>
      </c>
      <c r="AX49" s="2823">
        <f t="shared" si="9"/>
        <v>54.535466468845186</v>
      </c>
      <c r="AY49" s="2823">
        <f t="shared" si="10"/>
        <v>54.620866417427187</v>
      </c>
      <c r="AZ49" s="2823">
        <f t="shared" si="11"/>
        <v>54.522981664392262</v>
      </c>
      <c r="BA49" s="2823">
        <f t="shared" si="12"/>
        <v>54.3422296817362</v>
      </c>
      <c r="BB49" s="2823">
        <f t="shared" si="13"/>
        <v>54.184207198992972</v>
      </c>
      <c r="BC49" s="2823">
        <f t="shared" si="14"/>
        <v>54.251351311891021</v>
      </c>
      <c r="BD49" s="2824">
        <f t="shared" si="15"/>
        <v>54.611367533491524</v>
      </c>
      <c r="BE49" s="2823"/>
      <c r="BF49" s="2825">
        <f t="shared" si="16"/>
        <v>2031</v>
      </c>
      <c r="BG49" s="2819">
        <f t="shared" si="35"/>
        <v>30.230913238937291</v>
      </c>
      <c r="BH49" s="2820">
        <f t="shared" si="35"/>
        <v>5.7689215185015215</v>
      </c>
      <c r="BI49" s="2820">
        <f t="shared" si="35"/>
        <v>-5.8220641094444095E-2</v>
      </c>
      <c r="BJ49" s="2828">
        <f t="shared" si="35"/>
        <v>4.1050170148112657E-4</v>
      </c>
      <c r="BK49" s="2819">
        <f t="shared" si="35"/>
        <v>36.277095886724751</v>
      </c>
      <c r="BL49" s="2820">
        <f t="shared" si="35"/>
        <v>6.8720547384307373</v>
      </c>
      <c r="BM49" s="2820">
        <f t="shared" si="35"/>
        <v>-6.9864769313332922E-2</v>
      </c>
      <c r="BN49" s="2828">
        <f t="shared" si="35"/>
        <v>4.9260204177735184E-4</v>
      </c>
      <c r="BO49" s="2822">
        <f t="shared" si="24"/>
        <v>4.4007867689300051</v>
      </c>
      <c r="BP49" s="2823">
        <f t="shared" si="18"/>
        <v>5.2302930389449163</v>
      </c>
      <c r="BQ49" s="2824">
        <f t="shared" si="19"/>
        <v>5.1302608439289035</v>
      </c>
    </row>
    <row r="50" spans="1:69" ht="13.5" customHeight="1">
      <c r="A50" s="2822"/>
      <c r="B50" s="2547">
        <v>2032</v>
      </c>
      <c r="C50" s="64"/>
      <c r="D50" s="2531">
        <f>D49*(D$53/D$48)^(1/5)</f>
        <v>27.414529171601433</v>
      </c>
      <c r="E50" s="2258">
        <f t="shared" si="36"/>
        <v>78.370215454804153</v>
      </c>
      <c r="F50" s="2258">
        <f t="shared" si="36"/>
        <v>61.837603222168163</v>
      </c>
      <c r="G50" s="2258">
        <f t="shared" si="36"/>
        <v>69.649485164369992</v>
      </c>
      <c r="H50" s="2258">
        <f t="shared" si="36"/>
        <v>90.056726732517646</v>
      </c>
      <c r="I50" s="2258">
        <f t="shared" si="36"/>
        <v>40.81928277256457</v>
      </c>
      <c r="J50" s="2532">
        <f t="shared" si="36"/>
        <v>53.146918483479354</v>
      </c>
      <c r="K50" s="2816">
        <f t="shared" si="30"/>
        <v>29.445056302059072</v>
      </c>
      <c r="L50" s="2817">
        <f t="shared" si="30"/>
        <v>5.6767698433237843</v>
      </c>
      <c r="M50" s="2817">
        <f t="shared" si="30"/>
        <v>-5.6872340404417916E-2</v>
      </c>
      <c r="N50" s="2818">
        <f t="shared" si="30"/>
        <v>4.0064948744921477E-4</v>
      </c>
      <c r="O50" s="2819">
        <f t="shared" si="31"/>
        <v>35.334067562470892</v>
      </c>
      <c r="P50" s="2820">
        <f t="shared" si="31"/>
        <v>6.7557621451924721</v>
      </c>
      <c r="Q50" s="2820">
        <f t="shared" si="31"/>
        <v>-6.8246808485301499E-2</v>
      </c>
      <c r="R50" s="2821">
        <f t="shared" si="31"/>
        <v>4.8077938493905771E-4</v>
      </c>
      <c r="S50" s="2819">
        <f t="shared" ref="S50:T65" si="37">IF(ISERROR(VLOOKUP($B50,Non_fuel_op_cost,1,0)),S49,VLOOKUP($B50,Non_fuel_op_cost,S$22,1))</f>
        <v>4.265396615277627</v>
      </c>
      <c r="T50" s="2828">
        <f t="shared" si="37"/>
        <v>135.94600000000003</v>
      </c>
      <c r="U50" s="2822">
        <f t="shared" si="32"/>
        <v>14.717119598272197</v>
      </c>
      <c r="V50" s="2823">
        <f t="shared" si="32"/>
        <v>10.056195780854594</v>
      </c>
      <c r="W50" s="2823">
        <f t="shared" si="32"/>
        <v>10.631959753616078</v>
      </c>
      <c r="X50" s="2823">
        <f t="shared" si="32"/>
        <v>10.299228179692438</v>
      </c>
      <c r="Y50" s="2823">
        <f t="shared" si="32"/>
        <v>9.906303584017774</v>
      </c>
      <c r="Z50" s="2823">
        <f t="shared" si="32"/>
        <v>12.340033453937121</v>
      </c>
      <c r="AA50" s="2824">
        <f t="shared" si="32"/>
        <v>11.163208806335062</v>
      </c>
      <c r="AB50" s="2822">
        <f t="shared" si="33"/>
        <v>6.5350219167727479</v>
      </c>
      <c r="AC50" s="2823">
        <f t="shared" si="33"/>
        <v>4.8110004005457636</v>
      </c>
      <c r="AD50" s="2823">
        <f t="shared" si="33"/>
        <v>4.9453911529844046</v>
      </c>
      <c r="AE50" s="2823">
        <f t="shared" si="33"/>
        <v>4.8420049705290404</v>
      </c>
      <c r="AF50" s="2823">
        <f t="shared" si="33"/>
        <v>4.9012551275044594</v>
      </c>
      <c r="AG50" s="2823">
        <f t="shared" si="33"/>
        <v>5.6366795994704093</v>
      </c>
      <c r="AH50" s="2824">
        <f t="shared" si="33"/>
        <v>5.1514991570636006</v>
      </c>
      <c r="AI50" s="2825">
        <f>'A1.3.4'!$J$27/100</f>
        <v>0.1205924519584583</v>
      </c>
      <c r="AJ50" s="2822">
        <f t="shared" si="34"/>
        <v>7.5217211383483837</v>
      </c>
      <c r="AK50" s="2823">
        <f t="shared" si="34"/>
        <v>5.4435313724583843</v>
      </c>
      <c r="AL50" s="2823">
        <f t="shared" si="34"/>
        <v>5.6311484037645574</v>
      </c>
      <c r="AM50" s="2823">
        <f t="shared" si="34"/>
        <v>5.5001048982066614</v>
      </c>
      <c r="AN50" s="2823">
        <f t="shared" si="34"/>
        <v>5.5048261930462976</v>
      </c>
      <c r="AO50" s="2823">
        <f t="shared" si="34"/>
        <v>6.4450534771257333</v>
      </c>
      <c r="AP50" s="2824">
        <f t="shared" si="34"/>
        <v>5.8764659641315697</v>
      </c>
      <c r="AQ50" s="2829" t="str">
        <f t="shared" si="6"/>
        <v>2032/33</v>
      </c>
      <c r="AR50" s="2830">
        <f>'Cost and rev series'!D49</f>
        <v>2.2999999999999998</v>
      </c>
      <c r="AS50" s="2826">
        <f>'Cost and rev series'!F49</f>
        <v>3.1836166272005428</v>
      </c>
      <c r="AT50" s="2826">
        <f t="shared" si="7"/>
        <v>0.88361662720054301</v>
      </c>
      <c r="AU50" s="2827">
        <f t="shared" si="27"/>
        <v>1.2464180742076312</v>
      </c>
      <c r="AV50" s="2822">
        <f t="shared" si="22"/>
        <v>54.673060710725657</v>
      </c>
      <c r="AW50" s="2823">
        <f t="shared" si="8"/>
        <v>53.282822217837953</v>
      </c>
      <c r="AX50" s="2823">
        <f t="shared" si="9"/>
        <v>53.361604747295651</v>
      </c>
      <c r="AY50" s="2823">
        <f t="shared" si="10"/>
        <v>53.449212227575067</v>
      </c>
      <c r="AZ50" s="2823">
        <f t="shared" si="11"/>
        <v>53.338768093308545</v>
      </c>
      <c r="BA50" s="2823">
        <f t="shared" si="12"/>
        <v>53.138488235190415</v>
      </c>
      <c r="BB50" s="2823">
        <f t="shared" si="13"/>
        <v>52.963393500636329</v>
      </c>
      <c r="BC50" s="2823">
        <f t="shared" si="14"/>
        <v>53.037791652219951</v>
      </c>
      <c r="BD50" s="2824">
        <f t="shared" si="15"/>
        <v>53.43922422765111</v>
      </c>
      <c r="BE50" s="2823"/>
      <c r="BF50" s="2825">
        <f t="shared" si="16"/>
        <v>2032</v>
      </c>
      <c r="BG50" s="2819">
        <f t="shared" si="35"/>
        <v>29.459468740654309</v>
      </c>
      <c r="BH50" s="2820">
        <f t="shared" si="35"/>
        <v>5.6784739982319712</v>
      </c>
      <c r="BI50" s="2820">
        <f t="shared" si="35"/>
        <v>-5.6891349518564283E-2</v>
      </c>
      <c r="BJ50" s="2828">
        <f t="shared" si="35"/>
        <v>4.0080182268248431E-4</v>
      </c>
      <c r="BK50" s="2819">
        <f t="shared" si="35"/>
        <v>35.351362488785171</v>
      </c>
      <c r="BL50" s="2820">
        <f t="shared" si="35"/>
        <v>6.757852801520885</v>
      </c>
      <c r="BM50" s="2820">
        <f t="shared" si="35"/>
        <v>-6.8269619422277147E-2</v>
      </c>
      <c r="BN50" s="2828">
        <f t="shared" si="35"/>
        <v>4.8096218721898118E-4</v>
      </c>
      <c r="BO50" s="2822">
        <f t="shared" si="24"/>
        <v>4.3412793653580266</v>
      </c>
      <c r="BP50" s="2823">
        <f t="shared" si="18"/>
        <v>5.1532192420721508</v>
      </c>
      <c r="BQ50" s="2824">
        <f t="shared" si="19"/>
        <v>5.0553054214963469</v>
      </c>
    </row>
    <row r="51" spans="1:69" ht="13.5" customHeight="1">
      <c r="A51" s="2822"/>
      <c r="B51" s="2547">
        <v>2033</v>
      </c>
      <c r="C51" s="64"/>
      <c r="D51" s="2531">
        <f>D50*(D$53/D$48)^(1/5)</f>
        <v>27.284891826898061</v>
      </c>
      <c r="E51" s="2258">
        <f t="shared" si="36"/>
        <v>78.208725229532732</v>
      </c>
      <c r="F51" s="2258">
        <f t="shared" si="36"/>
        <v>61.764374660863666</v>
      </c>
      <c r="G51" s="2258">
        <f t="shared" si="36"/>
        <v>69.50101060856025</v>
      </c>
      <c r="H51" s="2258">
        <f t="shared" si="36"/>
        <v>89.819185601603976</v>
      </c>
      <c r="I51" s="2258">
        <f t="shared" si="36"/>
        <v>40.744524855419634</v>
      </c>
      <c r="J51" s="2532">
        <f t="shared" si="36"/>
        <v>53.059651066288012</v>
      </c>
      <c r="K51" s="2816">
        <f t="shared" si="30"/>
        <v>28.761923058508359</v>
      </c>
      <c r="L51" s="2817">
        <f t="shared" si="30"/>
        <v>5.5986186451232527</v>
      </c>
      <c r="M51" s="2817">
        <f t="shared" si="30"/>
        <v>-5.5677410445475924E-2</v>
      </c>
      <c r="N51" s="2818">
        <f t="shared" si="30"/>
        <v>3.9197170491503711E-4</v>
      </c>
      <c r="O51" s="2819">
        <f t="shared" si="31"/>
        <v>34.51430767021003</v>
      </c>
      <c r="P51" s="2820">
        <f t="shared" si="31"/>
        <v>6.656495595307609</v>
      </c>
      <c r="Q51" s="2820">
        <f t="shared" si="31"/>
        <v>-6.6812892534571108E-2</v>
      </c>
      <c r="R51" s="2821">
        <f t="shared" si="31"/>
        <v>4.7036604589804448E-4</v>
      </c>
      <c r="S51" s="2819">
        <f t="shared" si="37"/>
        <v>4.1896679723243926</v>
      </c>
      <c r="T51" s="2828">
        <f t="shared" si="37"/>
        <v>135.94599999999997</v>
      </c>
      <c r="U51" s="2822">
        <f t="shared" si="32"/>
        <v>14.597541824051877</v>
      </c>
      <c r="V51" s="2823">
        <f t="shared" si="32"/>
        <v>9.937367741887579</v>
      </c>
      <c r="W51" s="2823">
        <f t="shared" si="32"/>
        <v>10.511428731734732</v>
      </c>
      <c r="X51" s="2823">
        <f t="shared" si="32"/>
        <v>10.181890426556663</v>
      </c>
      <c r="Y51" s="2823">
        <f t="shared" si="32"/>
        <v>9.7833854085562972</v>
      </c>
      <c r="Z51" s="2823">
        <f t="shared" si="32"/>
        <v>12.212910966442383</v>
      </c>
      <c r="AA51" s="2824">
        <f t="shared" si="32"/>
        <v>11.041793909484408</v>
      </c>
      <c r="AB51" s="2822">
        <f t="shared" si="33"/>
        <v>6.4486446593461197</v>
      </c>
      <c r="AC51" s="2823">
        <f t="shared" si="33"/>
        <v>4.7494978028694552</v>
      </c>
      <c r="AD51" s="2823">
        <f t="shared" si="33"/>
        <v>4.8830153969635068</v>
      </c>
      <c r="AE51" s="2823">
        <f t="shared" si="33"/>
        <v>4.7815852329393884</v>
      </c>
      <c r="AF51" s="2823">
        <f t="shared" si="33"/>
        <v>4.8343518515952608</v>
      </c>
      <c r="AG51" s="2823">
        <f t="shared" si="33"/>
        <v>5.5621890671296725</v>
      </c>
      <c r="AH51" s="2824">
        <f t="shared" si="33"/>
        <v>5.0861420988912371</v>
      </c>
      <c r="AI51" s="2825">
        <f>'A1.3.4'!$J$27/100</f>
        <v>0.1205924519584583</v>
      </c>
      <c r="AJ51" s="2822">
        <f t="shared" si="34"/>
        <v>7.4313401491953162</v>
      </c>
      <c r="AK51" s="2823">
        <f t="shared" si="34"/>
        <v>5.3751157592572287</v>
      </c>
      <c r="AL51" s="2823">
        <f t="shared" si="34"/>
        <v>5.5617595616392519</v>
      </c>
      <c r="AM51" s="2823">
        <f t="shared" si="34"/>
        <v>5.4328212775616933</v>
      </c>
      <c r="AN51" s="2823">
        <f t="shared" si="34"/>
        <v>5.4311679430538824</v>
      </c>
      <c r="AO51" s="2823">
        <f t="shared" si="34"/>
        <v>6.3642159282616078</v>
      </c>
      <c r="AP51" s="2824">
        <f t="shared" si="34"/>
        <v>5.8043487537414995</v>
      </c>
      <c r="AQ51" s="2829" t="str">
        <f t="shared" si="6"/>
        <v>2033/34</v>
      </c>
      <c r="AR51" s="2830">
        <f>'Cost and rev series'!D50</f>
        <v>2.2999999999999998</v>
      </c>
      <c r="AS51" s="2826">
        <f>'Cost and rev series'!F50</f>
        <v>3.1779191161284488</v>
      </c>
      <c r="AT51" s="2826">
        <f t="shared" si="7"/>
        <v>0.87791911612844897</v>
      </c>
      <c r="AU51" s="2827">
        <f t="shared" si="27"/>
        <v>1.2571145967299666</v>
      </c>
      <c r="AV51" s="2822">
        <f t="shared" si="22"/>
        <v>53.523755781169214</v>
      </c>
      <c r="AW51" s="2823">
        <f t="shared" si="8"/>
        <v>52.13495659889491</v>
      </c>
      <c r="AX51" s="2823">
        <f t="shared" si="9"/>
        <v>52.224752156348416</v>
      </c>
      <c r="AY51" s="2823">
        <f t="shared" si="10"/>
        <v>52.315398000027216</v>
      </c>
      <c r="AZ51" s="2823">
        <f t="shared" si="11"/>
        <v>52.19009944707431</v>
      </c>
      <c r="BA51" s="2823">
        <f t="shared" si="12"/>
        <v>51.973852852038398</v>
      </c>
      <c r="BB51" s="2823">
        <f t="shared" si="13"/>
        <v>51.784799192265439</v>
      </c>
      <c r="BC51" s="2823">
        <f t="shared" si="14"/>
        <v>51.865128522973457</v>
      </c>
      <c r="BD51" s="2824">
        <f t="shared" si="15"/>
        <v>52.303116504912964</v>
      </c>
      <c r="BE51" s="2823"/>
      <c r="BF51" s="2825">
        <f t="shared" si="16"/>
        <v>2033</v>
      </c>
      <c r="BG51" s="2819">
        <f t="shared" si="35"/>
        <v>28.744160890232145</v>
      </c>
      <c r="BH51" s="2820">
        <f t="shared" si="35"/>
        <v>5.5948032768869975</v>
      </c>
      <c r="BI51" s="2820">
        <f t="shared" si="35"/>
        <v>-5.5636940518261194E-2</v>
      </c>
      <c r="BJ51" s="2828">
        <f t="shared" si="35"/>
        <v>3.9169946546962966E-4</v>
      </c>
      <c r="BK51" s="2819">
        <f t="shared" si="35"/>
        <v>34.492993068278572</v>
      </c>
      <c r="BL51" s="2820">
        <f t="shared" si="35"/>
        <v>6.6519484291819992</v>
      </c>
      <c r="BM51" s="2820">
        <f t="shared" si="35"/>
        <v>-6.6764328621913421E-2</v>
      </c>
      <c r="BN51" s="2828">
        <f t="shared" si="35"/>
        <v>4.7003935856355553E-4</v>
      </c>
      <c r="BO51" s="2822">
        <f t="shared" si="24"/>
        <v>4.2872214819964132</v>
      </c>
      <c r="BP51" s="2823">
        <f t="shared" si="18"/>
        <v>5.0828502753132971</v>
      </c>
      <c r="BQ51" s="2824">
        <f t="shared" si="19"/>
        <v>4.9869034482784649</v>
      </c>
    </row>
    <row r="52" spans="1:69" ht="13.5" customHeight="1">
      <c r="A52" s="2822"/>
      <c r="B52" s="2547">
        <v>2034</v>
      </c>
      <c r="C52" s="64"/>
      <c r="D52" s="2531">
        <f>D51*(D$53/D$48)^(1/5)</f>
        <v>27.155867508996518</v>
      </c>
      <c r="E52" s="2258">
        <f t="shared" si="36"/>
        <v>78.047567772172016</v>
      </c>
      <c r="F52" s="2258">
        <f t="shared" si="36"/>
        <v>61.691232817379898</v>
      </c>
      <c r="G52" s="2258">
        <f t="shared" si="36"/>
        <v>69.352852561819759</v>
      </c>
      <c r="H52" s="2258">
        <f t="shared" si="36"/>
        <v>89.582271028982206</v>
      </c>
      <c r="I52" s="2258">
        <f t="shared" si="36"/>
        <v>40.669903852639578</v>
      </c>
      <c r="J52" s="2532">
        <f t="shared" si="36"/>
        <v>52.972526942486397</v>
      </c>
      <c r="K52" s="2816">
        <f t="shared" si="30"/>
        <v>28.00774114185279</v>
      </c>
      <c r="L52" s="2817">
        <f t="shared" si="30"/>
        <v>5.5052059739777004</v>
      </c>
      <c r="M52" s="2817">
        <f t="shared" si="30"/>
        <v>-5.4320600777674991E-2</v>
      </c>
      <c r="N52" s="2818">
        <f t="shared" si="30"/>
        <v>3.8220496459922951E-4</v>
      </c>
      <c r="O52" s="2819">
        <f t="shared" si="31"/>
        <v>33.609289370223337</v>
      </c>
      <c r="P52" s="2820">
        <f t="shared" si="31"/>
        <v>6.5390403809203033</v>
      </c>
      <c r="Q52" s="2820">
        <f t="shared" si="31"/>
        <v>-6.5184720933209997E-2</v>
      </c>
      <c r="R52" s="2821">
        <f t="shared" si="31"/>
        <v>4.5864595751907546E-4</v>
      </c>
      <c r="S52" s="2819">
        <f t="shared" si="37"/>
        <v>4.1149485279560913</v>
      </c>
      <c r="T52" s="2828">
        <f t="shared" si="37"/>
        <v>135.94599999999997</v>
      </c>
      <c r="U52" s="2822">
        <f t="shared" si="32"/>
        <v>14.464392164620854</v>
      </c>
      <c r="V52" s="2823">
        <f t="shared" si="32"/>
        <v>9.8094257291115827</v>
      </c>
      <c r="W52" s="2823">
        <f t="shared" si="32"/>
        <v>10.381299050944394</v>
      </c>
      <c r="X52" s="2823">
        <f t="shared" si="32"/>
        <v>10.055254139207236</v>
      </c>
      <c r="Y52" s="2823">
        <f t="shared" si="32"/>
        <v>9.6513831716174483</v>
      </c>
      <c r="Z52" s="2823">
        <f t="shared" si="32"/>
        <v>12.0744520700471</v>
      </c>
      <c r="AA52" s="2824">
        <f t="shared" si="32"/>
        <v>10.910227185588429</v>
      </c>
      <c r="AB52" s="2822">
        <f t="shared" si="33"/>
        <v>6.344760871409985</v>
      </c>
      <c r="AC52" s="2823">
        <f t="shared" si="33"/>
        <v>4.6759636261406516</v>
      </c>
      <c r="AD52" s="2823">
        <f t="shared" si="33"/>
        <v>4.8080316066381323</v>
      </c>
      <c r="AE52" s="2823">
        <f t="shared" si="33"/>
        <v>4.7089106296655849</v>
      </c>
      <c r="AF52" s="2823">
        <f t="shared" si="33"/>
        <v>4.7554490968085545</v>
      </c>
      <c r="AG52" s="2823">
        <f t="shared" si="33"/>
        <v>5.472995454628605</v>
      </c>
      <c r="AH52" s="2824">
        <f t="shared" si="33"/>
        <v>5.0075086098025947</v>
      </c>
      <c r="AI52" s="2825">
        <f>'A1.3.4'!$J$27/100</f>
        <v>0.1205924519584583</v>
      </c>
      <c r="AJ52" s="2822">
        <f t="shared" si="34"/>
        <v>7.3239271180569112</v>
      </c>
      <c r="AK52" s="2823">
        <f t="shared" si="34"/>
        <v>5.2950204081737402</v>
      </c>
      <c r="AL52" s="2823">
        <f t="shared" si="34"/>
        <v>5.4801255931672754</v>
      </c>
      <c r="AM52" s="2823">
        <f t="shared" si="34"/>
        <v>5.3536393024934021</v>
      </c>
      <c r="AN52" s="2823">
        <f t="shared" si="34"/>
        <v>5.3458617915167252</v>
      </c>
      <c r="AO52" s="2823">
        <f t="shared" si="34"/>
        <v>6.2690812943793075</v>
      </c>
      <c r="AP52" s="2824">
        <f t="shared" si="34"/>
        <v>5.7193319160773477</v>
      </c>
      <c r="AQ52" s="2829" t="str">
        <f t="shared" si="6"/>
        <v>2034/35</v>
      </c>
      <c r="AR52" s="2830">
        <f>'Cost and rev series'!D114</f>
        <v>2.2999999999999998</v>
      </c>
      <c r="AS52" s="2826">
        <f>'Cost and rev series'!F51</f>
        <v>3.1727288026266329</v>
      </c>
      <c r="AT52" s="2826">
        <f t="shared" si="7"/>
        <v>0.8727288026266331</v>
      </c>
      <c r="AU52" s="2827">
        <f t="shared" si="27"/>
        <v>1.2678391335507742</v>
      </c>
      <c r="AV52" s="2822">
        <f t="shared" si="22"/>
        <v>52.355913555087994</v>
      </c>
      <c r="AW52" s="2823">
        <f t="shared" si="8"/>
        <v>50.974506818564947</v>
      </c>
      <c r="AX52" s="2823">
        <f t="shared" si="9"/>
        <v>51.073365715588764</v>
      </c>
      <c r="AY52" s="2823">
        <f t="shared" si="10"/>
        <v>51.167537556358695</v>
      </c>
      <c r="AZ52" s="2823">
        <f t="shared" si="11"/>
        <v>51.025580611369939</v>
      </c>
      <c r="BA52" s="2823">
        <f t="shared" si="12"/>
        <v>50.796314504894255</v>
      </c>
      <c r="BB52" s="2823">
        <f t="shared" si="13"/>
        <v>50.595878532785996</v>
      </c>
      <c r="BC52" s="2823">
        <f t="shared" si="14"/>
        <v>50.681044233934564</v>
      </c>
      <c r="BD52" s="2824">
        <f t="shared" si="15"/>
        <v>51.151566707844758</v>
      </c>
      <c r="BE52" s="2823"/>
      <c r="BF52" s="2825">
        <f t="shared" si="16"/>
        <v>2034</v>
      </c>
      <c r="BG52" s="2819">
        <f t="shared" si="35"/>
        <v>28.048393628756319</v>
      </c>
      <c r="BH52" s="2820">
        <f t="shared" si="35"/>
        <v>5.5118026734365522</v>
      </c>
      <c r="BI52" s="2820">
        <f t="shared" si="35"/>
        <v>-5.4393548105318795E-2</v>
      </c>
      <c r="BJ52" s="2828">
        <f t="shared" si="35"/>
        <v>3.8273048447478523E-4</v>
      </c>
      <c r="BK52" s="2819">
        <f t="shared" si="35"/>
        <v>33.658072354507581</v>
      </c>
      <c r="BL52" s="2820">
        <f t="shared" si="35"/>
        <v>6.5470092381075951</v>
      </c>
      <c r="BM52" s="2820">
        <f t="shared" si="35"/>
        <v>-6.5272257726382552E-2</v>
      </c>
      <c r="BN52" s="2828">
        <f t="shared" si="35"/>
        <v>4.5927658136974228E-4</v>
      </c>
      <c r="BO52" s="2822">
        <f t="shared" si="24"/>
        <v>4.2339040744209386</v>
      </c>
      <c r="BP52" s="2823">
        <f t="shared" si="18"/>
        <v>5.0135309192888595</v>
      </c>
      <c r="BQ52" s="2824">
        <f t="shared" si="19"/>
        <v>4.9195138064536001</v>
      </c>
    </row>
    <row r="53" spans="1:69" ht="13.5" customHeight="1">
      <c r="A53" s="2822"/>
      <c r="B53" s="714">
        <v>2035</v>
      </c>
      <c r="C53" s="2672"/>
      <c r="D53" s="2307">
        <v>27.027453319026417</v>
      </c>
      <c r="E53" s="2243">
        <v>77.886742397018054</v>
      </c>
      <c r="F53" s="2243">
        <v>61.618177589024953</v>
      </c>
      <c r="G53" s="2243">
        <v>69.20501034943365</v>
      </c>
      <c r="H53" s="2243">
        <v>89.345981361989956</v>
      </c>
      <c r="I53" s="2243">
        <v>40.595419513474475</v>
      </c>
      <c r="J53" s="2530">
        <v>52.885545876786296</v>
      </c>
      <c r="K53" s="2816">
        <f t="shared" si="30"/>
        <v>27.416169172811337</v>
      </c>
      <c r="L53" s="2817">
        <f t="shared" si="30"/>
        <v>5.4381801006675543</v>
      </c>
      <c r="M53" s="2817">
        <f t="shared" si="30"/>
        <v>-5.3255580420449276E-2</v>
      </c>
      <c r="N53" s="2818">
        <f t="shared" si="30"/>
        <v>3.7454030378564478E-4</v>
      </c>
      <c r="O53" s="2819">
        <f t="shared" si="31"/>
        <v>32.899403007373607</v>
      </c>
      <c r="P53" s="2820">
        <f t="shared" si="31"/>
        <v>6.4534605952821673</v>
      </c>
      <c r="Q53" s="2820">
        <f t="shared" si="31"/>
        <v>-6.3906696504539132E-2</v>
      </c>
      <c r="R53" s="2821">
        <f t="shared" si="31"/>
        <v>4.494483645427737E-4</v>
      </c>
      <c r="S53" s="2819">
        <f t="shared" si="37"/>
        <v>4.0425633889616162</v>
      </c>
      <c r="T53" s="2828">
        <f t="shared" si="37"/>
        <v>135.94599999999997</v>
      </c>
      <c r="U53" s="2822">
        <f t="shared" si="32"/>
        <v>14.359281111560334</v>
      </c>
      <c r="V53" s="2823">
        <f t="shared" si="32"/>
        <v>9.7023626800782079</v>
      </c>
      <c r="W53" s="2823">
        <f t="shared" si="32"/>
        <v>10.272487152673309</v>
      </c>
      <c r="X53" s="2823">
        <f t="shared" si="32"/>
        <v>9.9495429782971172</v>
      </c>
      <c r="Y53" s="2823">
        <f t="shared" si="32"/>
        <v>9.5408380453432322</v>
      </c>
      <c r="Z53" s="2823">
        <f t="shared" si="32"/>
        <v>11.960201571666099</v>
      </c>
      <c r="AA53" s="2824">
        <f t="shared" si="32"/>
        <v>10.800813451729818</v>
      </c>
      <c r="AB53" s="2822">
        <f t="shared" si="33"/>
        <v>6.2717985447806059</v>
      </c>
      <c r="AC53" s="2823">
        <f t="shared" si="33"/>
        <v>4.6248854172636182</v>
      </c>
      <c r="AD53" s="2823">
        <f t="shared" si="33"/>
        <v>4.7560355474939531</v>
      </c>
      <c r="AE53" s="2823">
        <f t="shared" si="33"/>
        <v>4.6587455708240135</v>
      </c>
      <c r="AF53" s="2823">
        <f t="shared" si="33"/>
        <v>4.699692276375794</v>
      </c>
      <c r="AG53" s="2823">
        <f t="shared" si="33"/>
        <v>5.4102485457476988</v>
      </c>
      <c r="AH53" s="2824">
        <f t="shared" si="33"/>
        <v>4.9528604968090439</v>
      </c>
      <c r="AI53" s="2825">
        <f>'A1.3.4'!$J$27/100</f>
        <v>0.1205924519584583</v>
      </c>
      <c r="AJ53" s="2822">
        <f t="shared" si="34"/>
        <v>7.2470878976798598</v>
      </c>
      <c r="AK53" s="2823">
        <f t="shared" si="34"/>
        <v>5.2371908501497515</v>
      </c>
      <c r="AL53" s="2823">
        <f t="shared" si="34"/>
        <v>5.4212779726727049</v>
      </c>
      <c r="AM53" s="2823">
        <f t="shared" si="34"/>
        <v>5.2967758030066499</v>
      </c>
      <c r="AN53" s="2823">
        <f t="shared" si="34"/>
        <v>5.2834979149438936</v>
      </c>
      <c r="AO53" s="2823">
        <f t="shared" si="34"/>
        <v>6.2001234413559221</v>
      </c>
      <c r="AP53" s="2824">
        <f t="shared" si="34"/>
        <v>5.6580794825806526</v>
      </c>
      <c r="AQ53" s="2829" t="str">
        <f t="shared" si="6"/>
        <v>2035/36</v>
      </c>
      <c r="AR53" s="2830">
        <f>AR52</f>
        <v>2.2999999999999998</v>
      </c>
      <c r="AS53" s="2826">
        <f>'Cost and rev series'!F52</f>
        <v>3.1679808460061833</v>
      </c>
      <c r="AT53" s="2826">
        <f>AT52</f>
        <v>0.8727288026266331</v>
      </c>
      <c r="AU53" s="2827">
        <f t="shared" si="27"/>
        <v>1.2785963191200718</v>
      </c>
      <c r="AV53" s="3180">
        <f t="shared" si="22"/>
        <v>51.565954625909605</v>
      </c>
      <c r="AW53" s="2823">
        <f t="shared" si="8"/>
        <v>50.168382827127857</v>
      </c>
      <c r="AX53" s="2823">
        <f t="shared" si="9"/>
        <v>50.276162794991841</v>
      </c>
      <c r="AY53" s="2823">
        <f t="shared" si="10"/>
        <v>50.373662073934184</v>
      </c>
      <c r="AZ53" s="2823">
        <f t="shared" si="11"/>
        <v>50.225150495701975</v>
      </c>
      <c r="BA53" s="2823">
        <f t="shared" si="12"/>
        <v>49.980155205800095</v>
      </c>
      <c r="BB53" s="2823">
        <f t="shared" si="13"/>
        <v>49.765967989694374</v>
      </c>
      <c r="BC53" s="2823">
        <f t="shared" si="14"/>
        <v>49.856976625743251</v>
      </c>
      <c r="BD53" s="2824">
        <f t="shared" si="15"/>
        <v>50.357048887212834</v>
      </c>
      <c r="BE53" s="2823"/>
      <c r="BF53" s="2825">
        <f t="shared" si="16"/>
        <v>2035</v>
      </c>
      <c r="BG53" s="2819">
        <f t="shared" si="35"/>
        <v>27.596327357231146</v>
      </c>
      <c r="BH53" s="2820">
        <f t="shared" si="35"/>
        <v>5.4598740227401876</v>
      </c>
      <c r="BI53" s="2820">
        <f t="shared" si="35"/>
        <v>-5.3583590694441505E-2</v>
      </c>
      <c r="BJ53" s="2828">
        <f t="shared" si="35"/>
        <v>3.7689269397269656E-4</v>
      </c>
      <c r="BK53" s="2819">
        <f t="shared" si="35"/>
        <v>33.115592828677379</v>
      </c>
      <c r="BL53" s="2820">
        <f t="shared" si="35"/>
        <v>6.4809055607889379</v>
      </c>
      <c r="BM53" s="2820">
        <f t="shared" si="35"/>
        <v>-6.4300308833329808E-2</v>
      </c>
      <c r="BN53" s="2828">
        <f t="shared" si="35"/>
        <v>4.5227123276723585E-4</v>
      </c>
      <c r="BO53" s="2822">
        <f t="shared" si="24"/>
        <v>4.2020128611664216</v>
      </c>
      <c r="BP53" s="2823">
        <f t="shared" si="18"/>
        <v>4.9714721669004183</v>
      </c>
      <c r="BQ53" s="2824">
        <f t="shared" si="19"/>
        <v>4.8786811825397027</v>
      </c>
    </row>
    <row r="54" spans="1:69" ht="13.5" customHeight="1">
      <c r="A54" s="2822"/>
      <c r="B54" s="2547">
        <v>2036</v>
      </c>
      <c r="C54" s="64"/>
      <c r="D54" s="2531">
        <f t="shared" ref="D54:J57" si="38">D53*(D$58/D$53)^(1/5)</f>
        <v>26.924688680634816</v>
      </c>
      <c r="E54" s="2258">
        <f t="shared" si="38"/>
        <v>77.698393388843527</v>
      </c>
      <c r="F54" s="2258">
        <f t="shared" si="38"/>
        <v>61.529888945337504</v>
      </c>
      <c r="G54" s="2258">
        <f t="shared" si="38"/>
        <v>69.034306405247577</v>
      </c>
      <c r="H54" s="2258">
        <f t="shared" si="38"/>
        <v>89.094560277708396</v>
      </c>
      <c r="I54" s="2258">
        <f t="shared" si="38"/>
        <v>40.516980195391007</v>
      </c>
      <c r="J54" s="2532">
        <f t="shared" si="38"/>
        <v>52.795328195015337</v>
      </c>
      <c r="K54" s="2816">
        <f t="shared" si="30"/>
        <v>27.545229941449129</v>
      </c>
      <c r="L54" s="2817">
        <f t="shared" si="30"/>
        <v>5.4579299156479424</v>
      </c>
      <c r="M54" s="2817">
        <f t="shared" si="30"/>
        <v>-5.3502601159192462E-2</v>
      </c>
      <c r="N54" s="2818">
        <f t="shared" si="30"/>
        <v>3.7628520372026718E-4</v>
      </c>
      <c r="O54" s="2819">
        <f t="shared" si="31"/>
        <v>33.054275929738957</v>
      </c>
      <c r="P54" s="2820">
        <f t="shared" si="31"/>
        <v>6.4776606716711127</v>
      </c>
      <c r="Q54" s="2820">
        <f t="shared" si="31"/>
        <v>-6.4203121391030959E-2</v>
      </c>
      <c r="R54" s="2821">
        <f t="shared" si="31"/>
        <v>4.5154224446432062E-4</v>
      </c>
      <c r="S54" s="2819">
        <f t="shared" si="37"/>
        <v>4.0425633889616162</v>
      </c>
      <c r="T54" s="2828">
        <f t="shared" si="37"/>
        <v>135.94599999999997</v>
      </c>
      <c r="U54" s="2822">
        <f t="shared" si="32"/>
        <v>14.404904077410766</v>
      </c>
      <c r="V54" s="2823">
        <f t="shared" si="32"/>
        <v>9.7192538466046869</v>
      </c>
      <c r="W54" s="2823">
        <f t="shared" si="32"/>
        <v>10.290175230642374</v>
      </c>
      <c r="X54" s="2823">
        <f t="shared" si="32"/>
        <v>9.9685147109297478</v>
      </c>
      <c r="Y54" s="2823">
        <f t="shared" si="32"/>
        <v>9.5556250123149393</v>
      </c>
      <c r="Z54" s="2823">
        <f t="shared" si="32"/>
        <v>11.985577635875895</v>
      </c>
      <c r="AA54" s="2824">
        <f t="shared" si="32"/>
        <v>10.821342039136546</v>
      </c>
      <c r="AB54" s="2822">
        <f t="shared" si="33"/>
        <v>6.3040088908869674</v>
      </c>
      <c r="AC54" s="2823">
        <f t="shared" si="33"/>
        <v>4.640577784953118</v>
      </c>
      <c r="AD54" s="2823">
        <f t="shared" si="33"/>
        <v>4.7739626422467278</v>
      </c>
      <c r="AE54" s="2823">
        <f t="shared" si="33"/>
        <v>4.6761830198466985</v>
      </c>
      <c r="AF54" s="2823">
        <f t="shared" si="33"/>
        <v>4.7127843739102282</v>
      </c>
      <c r="AG54" s="2823">
        <f t="shared" si="33"/>
        <v>5.4334203399531198</v>
      </c>
      <c r="AH54" s="2824">
        <f t="shared" si="33"/>
        <v>4.9727239321147909</v>
      </c>
      <c r="AI54" s="2825">
        <f>'A1.3.4'!$J$27/100</f>
        <v>0.1205924519584583</v>
      </c>
      <c r="AJ54" s="2822">
        <f t="shared" si="34"/>
        <v>7.2809157044883452</v>
      </c>
      <c r="AK54" s="2823">
        <f t="shared" si="34"/>
        <v>5.253027783930408</v>
      </c>
      <c r="AL54" s="2823">
        <f t="shared" si="34"/>
        <v>5.4391762438054734</v>
      </c>
      <c r="AM54" s="2823">
        <f t="shared" si="34"/>
        <v>5.3143982750518584</v>
      </c>
      <c r="AN54" s="2823">
        <f t="shared" si="34"/>
        <v>5.2967944009395183</v>
      </c>
      <c r="AO54" s="2823">
        <f t="shared" si="34"/>
        <v>6.2235610538859492</v>
      </c>
      <c r="AP54" s="2824">
        <f t="shared" si="34"/>
        <v>5.6780231302091817</v>
      </c>
      <c r="AQ54" s="2829" t="str">
        <f t="shared" si="6"/>
        <v>2036/37</v>
      </c>
      <c r="AR54" s="2830">
        <f t="shared" ref="AR54:AT69" si="39">AR53</f>
        <v>2.2999999999999998</v>
      </c>
      <c r="AS54" s="2826">
        <f>'Cost and rev series'!F53</f>
        <v>3.1636210062499535</v>
      </c>
      <c r="AT54" s="2826">
        <f t="shared" si="39"/>
        <v>0.8727288026266331</v>
      </c>
      <c r="AU54" s="2827">
        <f t="shared" si="27"/>
        <v>1.2893902843175888</v>
      </c>
      <c r="AV54" s="3180">
        <f t="shared" si="22"/>
        <v>51.336898382892365</v>
      </c>
      <c r="AW54" s="2823">
        <f t="shared" si="8"/>
        <v>49.864545345904602</v>
      </c>
      <c r="AX54" s="2823">
        <f t="shared" si="9"/>
        <v>49.985524170328134</v>
      </c>
      <c r="AY54" s="2823">
        <f t="shared" si="10"/>
        <v>50.083795027991954</v>
      </c>
      <c r="AZ54" s="2823">
        <f t="shared" si="11"/>
        <v>49.958205326651481</v>
      </c>
      <c r="BA54" s="2823">
        <f t="shared" si="12"/>
        <v>49.685164888607048</v>
      </c>
      <c r="BB54" s="2823">
        <f t="shared" si="13"/>
        <v>49.446459192132473</v>
      </c>
      <c r="BC54" s="2823">
        <f t="shared" si="14"/>
        <v>49.547885786343976</v>
      </c>
      <c r="BD54" s="2824">
        <f t="shared" si="15"/>
        <v>50.076963629464409</v>
      </c>
      <c r="BE54" s="2823"/>
      <c r="BF54" s="2825">
        <f t="shared" si="16"/>
        <v>2036</v>
      </c>
      <c r="BG54" s="2819">
        <f t="shared" si="35"/>
        <v>27.51996077488317</v>
      </c>
      <c r="BH54" s="2820">
        <f t="shared" si="35"/>
        <v>5.4534843294117783</v>
      </c>
      <c r="BI54" s="2820">
        <f t="shared" si="35"/>
        <v>-5.345390323634111E-2</v>
      </c>
      <c r="BJ54" s="2828">
        <f t="shared" si="35"/>
        <v>3.7594191365717994E-4</v>
      </c>
      <c r="BK54" s="2819">
        <f t="shared" si="35"/>
        <v>33.023952929859803</v>
      </c>
      <c r="BL54" s="2820">
        <f t="shared" si="35"/>
        <v>6.4723115042031676</v>
      </c>
      <c r="BM54" s="2820">
        <f t="shared" si="35"/>
        <v>-6.4144683883609332E-2</v>
      </c>
      <c r="BN54" s="2828">
        <f t="shared" si="35"/>
        <v>4.5113029638861585E-4</v>
      </c>
      <c r="BO54" s="2822">
        <f t="shared" si="24"/>
        <v>4.2005059091340966</v>
      </c>
      <c r="BP54" s="2823">
        <f t="shared" si="18"/>
        <v>4.9687373998699504</v>
      </c>
      <c r="BQ54" s="2824">
        <f t="shared" si="19"/>
        <v>4.8760944807304121</v>
      </c>
    </row>
    <row r="55" spans="1:69" ht="13.5" customHeight="1">
      <c r="A55" s="2822"/>
      <c r="B55" s="2547">
        <v>2037</v>
      </c>
      <c r="C55" s="64"/>
      <c r="D55" s="2531">
        <f t="shared" si="38"/>
        <v>26.822314777203665</v>
      </c>
      <c r="E55" s="2258">
        <f t="shared" si="38"/>
        <v>77.510499854191053</v>
      </c>
      <c r="F55" s="2258">
        <f t="shared" si="38"/>
        <v>61.441726804654671</v>
      </c>
      <c r="G55" s="2258">
        <f t="shared" si="38"/>
        <v>68.864023526478775</v>
      </c>
      <c r="H55" s="2258">
        <f t="shared" si="38"/>
        <v>88.843846696558572</v>
      </c>
      <c r="I55" s="2258">
        <f t="shared" si="38"/>
        <v>40.438692439397428</v>
      </c>
      <c r="J55" s="2532">
        <f t="shared" si="38"/>
        <v>52.705264415978462</v>
      </c>
      <c r="K55" s="2816">
        <f t="shared" si="30"/>
        <v>27.573214043823086</v>
      </c>
      <c r="L55" s="2817">
        <f>IF(ISERROR(VLOOKUP($B55,Av_car_cost_work,1,0)),"",VLOOKUP($B55,Av_car_cost_work,L$22,0))</f>
        <v>5.459897385683675</v>
      </c>
      <c r="M55" s="2817">
        <f t="shared" si="30"/>
        <v>-5.3554830206530249E-2</v>
      </c>
      <c r="N55" s="2818">
        <f t="shared" si="30"/>
        <v>3.7665694340254045E-4</v>
      </c>
      <c r="O55" s="2819">
        <f t="shared" si="31"/>
        <v>33.087856852587706</v>
      </c>
      <c r="P55" s="2820">
        <f t="shared" si="31"/>
        <v>6.4804640781882785</v>
      </c>
      <c r="Q55" s="2820">
        <f t="shared" si="31"/>
        <v>-6.4265796247836293E-2</v>
      </c>
      <c r="R55" s="2821">
        <f t="shared" si="31"/>
        <v>4.5198833208304852E-4</v>
      </c>
      <c r="S55" s="2819">
        <f t="shared" si="37"/>
        <v>4.0425633889616162</v>
      </c>
      <c r="T55" s="2828">
        <f t="shared" si="37"/>
        <v>135.94599999999997</v>
      </c>
      <c r="U55" s="2822">
        <f t="shared" si="32"/>
        <v>14.433364149531673</v>
      </c>
      <c r="V55" s="2823">
        <f t="shared" si="32"/>
        <v>9.7239474485713053</v>
      </c>
      <c r="W55" s="2823">
        <f t="shared" si="32"/>
        <v>10.295242545604985</v>
      </c>
      <c r="X55" s="2823">
        <f t="shared" si="32"/>
        <v>9.9751855760793013</v>
      </c>
      <c r="Y55" s="2823">
        <f t="shared" si="32"/>
        <v>9.5580069915267902</v>
      </c>
      <c r="Z55" s="2823">
        <f t="shared" si="32"/>
        <v>11.996348564150612</v>
      </c>
      <c r="AA55" s="2824">
        <f t="shared" si="32"/>
        <v>10.828655318690799</v>
      </c>
      <c r="AB55" s="2822">
        <f t="shared" si="33"/>
        <v>6.3154779803013481</v>
      </c>
      <c r="AC55" s="2823">
        <f t="shared" si="33"/>
        <v>4.6415629112538506</v>
      </c>
      <c r="AD55" s="2823">
        <f t="shared" si="33"/>
        <v>4.7766815144526111</v>
      </c>
      <c r="AE55" s="2823">
        <f t="shared" si="33"/>
        <v>4.6787871585222103</v>
      </c>
      <c r="AF55" s="2823">
        <f t="shared" si="33"/>
        <v>4.710918089884542</v>
      </c>
      <c r="AG55" s="2823">
        <f t="shared" si="33"/>
        <v>5.438993053740429</v>
      </c>
      <c r="AH55" s="2824">
        <f t="shared" si="33"/>
        <v>4.9766621345851707</v>
      </c>
      <c r="AI55" s="2825">
        <f>'A1.3.4'!$J$27/100</f>
        <v>0.1205924519584583</v>
      </c>
      <c r="AJ55" s="2822">
        <f t="shared" si="34"/>
        <v>7.2944337781684894</v>
      </c>
      <c r="AK55" s="2823">
        <f t="shared" si="34"/>
        <v>5.2544601244047175</v>
      </c>
      <c r="AL55" s="2823">
        <f t="shared" si="34"/>
        <v>5.4421783204816734</v>
      </c>
      <c r="AM55" s="2823">
        <f t="shared" si="34"/>
        <v>5.3174928302443192</v>
      </c>
      <c r="AN55" s="2823">
        <f t="shared" si="34"/>
        <v>5.2954404253942116</v>
      </c>
      <c r="AO55" s="2823">
        <f t="shared" si="34"/>
        <v>6.2297606331041013</v>
      </c>
      <c r="AP55" s="2824">
        <f t="shared" si="34"/>
        <v>5.6823683415006538</v>
      </c>
      <c r="AQ55" s="2829" t="str">
        <f t="shared" si="6"/>
        <v>2037/38</v>
      </c>
      <c r="AR55" s="2830">
        <f t="shared" si="39"/>
        <v>2.2999999999999998</v>
      </c>
      <c r="AS55" s="2826">
        <f>'Cost and rev series'!F54</f>
        <v>3.1596035627261707</v>
      </c>
      <c r="AT55" s="2826">
        <f t="shared" si="39"/>
        <v>0.8727288026266331</v>
      </c>
      <c r="AU55" s="2827">
        <f t="shared" si="27"/>
        <v>1.3002247367334629</v>
      </c>
      <c r="AV55" s="3180">
        <f t="shared" si="22"/>
        <v>51.047143310974597</v>
      </c>
      <c r="AW55" s="2823">
        <f t="shared" si="8"/>
        <v>49.506227592201959</v>
      </c>
      <c r="AX55" s="2823">
        <f t="shared" si="9"/>
        <v>49.639816005730836</v>
      </c>
      <c r="AY55" s="2823">
        <f t="shared" si="10"/>
        <v>49.739113068553685</v>
      </c>
      <c r="AZ55" s="2823">
        <f t="shared" si="11"/>
        <v>49.634206095407599</v>
      </c>
      <c r="BA55" s="2823">
        <f t="shared" si="12"/>
        <v>49.334492565225496</v>
      </c>
      <c r="BB55" s="2823">
        <f t="shared" si="13"/>
        <v>49.072467908814218</v>
      </c>
      <c r="BC55" s="2823">
        <f t="shared" si="14"/>
        <v>49.183802782224198</v>
      </c>
      <c r="BD55" s="2824">
        <f t="shared" si="15"/>
        <v>49.741049884132217</v>
      </c>
      <c r="BE55" s="2823"/>
      <c r="BF55" s="2825">
        <f t="shared" si="16"/>
        <v>2037</v>
      </c>
      <c r="BG55" s="2819">
        <f t="shared" si="35"/>
        <v>27.599341530115801</v>
      </c>
      <c r="BH55" s="2820">
        <f t="shared" si="35"/>
        <v>5.4654141615367378</v>
      </c>
      <c r="BI55" s="2820">
        <f t="shared" si="35"/>
        <v>-5.3606433727945595E-2</v>
      </c>
      <c r="BJ55" s="2828">
        <f t="shared" si="35"/>
        <v>3.7701809887863294E-4</v>
      </c>
      <c r="BK55" s="2819">
        <f t="shared" si="35"/>
        <v>33.119209836138971</v>
      </c>
      <c r="BL55" s="2820">
        <f t="shared" si="35"/>
        <v>6.4869735985933819</v>
      </c>
      <c r="BM55" s="2820">
        <f t="shared" si="35"/>
        <v>-6.4327720473534716E-2</v>
      </c>
      <c r="BN55" s="2828">
        <f t="shared" si="35"/>
        <v>4.5242171865435954E-4</v>
      </c>
      <c r="BO55" s="2822">
        <f t="shared" si="24"/>
        <v>4.2110250600643875</v>
      </c>
      <c r="BP55" s="2823">
        <f t="shared" si="18"/>
        <v>4.9817066768265619</v>
      </c>
      <c r="BQ55" s="2824">
        <f t="shared" si="19"/>
        <v>4.8887682909819032</v>
      </c>
    </row>
    <row r="56" spans="1:69" ht="13.5" customHeight="1">
      <c r="A56" s="2822"/>
      <c r="B56" s="2547">
        <v>2038</v>
      </c>
      <c r="C56" s="64"/>
      <c r="D56" s="2531">
        <f t="shared" si="38"/>
        <v>26.720330123068138</v>
      </c>
      <c r="E56" s="2258">
        <f t="shared" si="38"/>
        <v>77.323060691615325</v>
      </c>
      <c r="F56" s="2258">
        <f t="shared" si="38"/>
        <v>61.3536909857186</v>
      </c>
      <c r="G56" s="2258">
        <f t="shared" si="38"/>
        <v>68.69416067450986</v>
      </c>
      <c r="H56" s="2258">
        <f t="shared" si="38"/>
        <v>88.593838627614844</v>
      </c>
      <c r="I56" s="2258">
        <f t="shared" si="38"/>
        <v>40.360555952642301</v>
      </c>
      <c r="J56" s="2532">
        <f t="shared" si="38"/>
        <v>52.61535427713234</v>
      </c>
      <c r="K56" s="2816">
        <f t="shared" si="30"/>
        <v>27.705708091367917</v>
      </c>
      <c r="L56" s="2817">
        <f t="shared" si="30"/>
        <v>5.4839319591316587</v>
      </c>
      <c r="M56" s="2817">
        <f t="shared" si="30"/>
        <v>-5.3813473339529433E-2</v>
      </c>
      <c r="N56" s="2818">
        <f t="shared" si="30"/>
        <v>3.784733049891838E-4</v>
      </c>
      <c r="O56" s="2819">
        <f t="shared" si="31"/>
        <v>33.246849709641502</v>
      </c>
      <c r="P56" s="2820">
        <f t="shared" si="31"/>
        <v>6.5093055663258585</v>
      </c>
      <c r="Q56" s="2820">
        <f t="shared" si="31"/>
        <v>-6.4576168007435319E-2</v>
      </c>
      <c r="R56" s="2821">
        <f t="shared" si="31"/>
        <v>4.5416796598702047E-4</v>
      </c>
      <c r="S56" s="2819">
        <f t="shared" si="37"/>
        <v>4.0425633889616162</v>
      </c>
      <c r="T56" s="2828">
        <f t="shared" si="37"/>
        <v>135.94599999999997</v>
      </c>
      <c r="U56" s="2822">
        <f t="shared" si="32"/>
        <v>14.483416452700165</v>
      </c>
      <c r="V56" s="2823">
        <f t="shared" si="32"/>
        <v>9.744777188697892</v>
      </c>
      <c r="W56" s="2823">
        <f t="shared" si="32"/>
        <v>10.31686691380499</v>
      </c>
      <c r="X56" s="2823">
        <f t="shared" si="32"/>
        <v>9.9981204161803099</v>
      </c>
      <c r="Y56" s="2823">
        <f t="shared" si="32"/>
        <v>9.57675347864771</v>
      </c>
      <c r="Z56" s="2823">
        <f t="shared" si="32"/>
        <v>12.025820653615689</v>
      </c>
      <c r="AA56" s="2824">
        <f t="shared" si="32"/>
        <v>10.853177885251945</v>
      </c>
      <c r="AB56" s="2822">
        <f t="shared" si="33"/>
        <v>6.3523270406204722</v>
      </c>
      <c r="AC56" s="2823">
        <f t="shared" si="33"/>
        <v>4.6614566230576875</v>
      </c>
      <c r="AD56" s="2823">
        <f t="shared" si="33"/>
        <v>4.7988209492465401</v>
      </c>
      <c r="AE56" s="2823">
        <f t="shared" si="33"/>
        <v>4.7004511755952194</v>
      </c>
      <c r="AF56" s="2823">
        <f t="shared" si="33"/>
        <v>4.7282321915332037</v>
      </c>
      <c r="AG56" s="2823">
        <f t="shared" si="33"/>
        <v>5.4665496279658461</v>
      </c>
      <c r="AH56" s="2824">
        <f t="shared" si="33"/>
        <v>5.0008000161231845</v>
      </c>
      <c r="AI56" s="2825">
        <f>'A1.3.4'!$J$27/100</f>
        <v>0.1205924519584583</v>
      </c>
      <c r="AJ56" s="2822">
        <f t="shared" si="34"/>
        <v>7.3328750499166215</v>
      </c>
      <c r="AK56" s="2823">
        <f t="shared" si="34"/>
        <v>5.2744667141590966</v>
      </c>
      <c r="AL56" s="2823">
        <f t="shared" si="34"/>
        <v>5.4642556421321196</v>
      </c>
      <c r="AM56" s="2823">
        <f t="shared" si="34"/>
        <v>5.3393100989822795</v>
      </c>
      <c r="AN56" s="2823">
        <f t="shared" si="34"/>
        <v>5.312927261919123</v>
      </c>
      <c r="AO56" s="2823">
        <f t="shared" si="34"/>
        <v>6.2575482040090327</v>
      </c>
      <c r="AP56" s="2824">
        <f t="shared" si="34"/>
        <v>5.7065526131488395</v>
      </c>
      <c r="AQ56" s="2829" t="str">
        <f t="shared" si="6"/>
        <v>2038/39</v>
      </c>
      <c r="AR56" s="2830">
        <f t="shared" si="39"/>
        <v>2.2999999999999998</v>
      </c>
      <c r="AS56" s="2826">
        <f>'Cost and rev series'!F55</f>
        <v>3.1558897047307659</v>
      </c>
      <c r="AT56" s="2826">
        <f t="shared" si="39"/>
        <v>0.8727288026266331</v>
      </c>
      <c r="AU56" s="2827">
        <f t="shared" si="27"/>
        <v>1.3111030257462337</v>
      </c>
      <c r="AV56" s="3180">
        <f t="shared" si="22"/>
        <v>50.885995341017718</v>
      </c>
      <c r="AW56" s="2823">
        <f t="shared" si="8"/>
        <v>49.278283519420569</v>
      </c>
      <c r="AX56" s="2823">
        <f t="shared" si="9"/>
        <v>49.423469082227705</v>
      </c>
      <c r="AY56" s="2823">
        <f t="shared" si="10"/>
        <v>49.524660620317071</v>
      </c>
      <c r="AZ56" s="2823">
        <f t="shared" si="11"/>
        <v>49.437706079335285</v>
      </c>
      <c r="BA56" s="2823">
        <f t="shared" si="12"/>
        <v>49.112645156793356</v>
      </c>
      <c r="BB56" s="2823">
        <f t="shared" si="13"/>
        <v>48.828460533930205</v>
      </c>
      <c r="BC56" s="2823">
        <f t="shared" si="14"/>
        <v>48.949211227566721</v>
      </c>
      <c r="BD56" s="2824">
        <f t="shared" si="15"/>
        <v>49.534079409921752</v>
      </c>
      <c r="BE56" s="2823"/>
      <c r="BF56" s="2825">
        <f t="shared" si="16"/>
        <v>2038</v>
      </c>
      <c r="BG56" s="2819">
        <f t="shared" si="35"/>
        <v>27.702778490701661</v>
      </c>
      <c r="BH56" s="2820">
        <f t="shared" si="35"/>
        <v>5.4834005261828498</v>
      </c>
      <c r="BI56" s="2820">
        <f t="shared" si="35"/>
        <v>-5.3807754432840429E-2</v>
      </c>
      <c r="BJ56" s="2828">
        <f t="shared" si="35"/>
        <v>3.7843314307841876E-4</v>
      </c>
      <c r="BK56" s="2819">
        <f t="shared" si="35"/>
        <v>33.243334188841992</v>
      </c>
      <c r="BL56" s="2820">
        <f t="shared" si="35"/>
        <v>6.5086678467872874</v>
      </c>
      <c r="BM56" s="2820">
        <f t="shared" si="35"/>
        <v>-6.4569305319408521E-2</v>
      </c>
      <c r="BN56" s="2828">
        <f t="shared" si="35"/>
        <v>4.541197716941024E-4</v>
      </c>
      <c r="BO56" s="2822">
        <f t="shared" si="24"/>
        <v>4.2264466071551858</v>
      </c>
      <c r="BP56" s="2823">
        <f t="shared" si="18"/>
        <v>5.0003231439540903</v>
      </c>
      <c r="BQ56" s="2824">
        <f t="shared" si="19"/>
        <v>4.9069994748683907</v>
      </c>
    </row>
    <row r="57" spans="1:69" ht="13.5" customHeight="1">
      <c r="A57" s="2822"/>
      <c r="B57" s="2547">
        <v>2039</v>
      </c>
      <c r="C57" s="64"/>
      <c r="D57" s="2531">
        <f t="shared" si="38"/>
        <v>26.618733238212236</v>
      </c>
      <c r="E57" s="2258">
        <f t="shared" si="38"/>
        <v>77.136074802334619</v>
      </c>
      <c r="F57" s="2258">
        <f t="shared" si="38"/>
        <v>61.265781307531157</v>
      </c>
      <c r="G57" s="2258">
        <f t="shared" si="38"/>
        <v>68.524716813285337</v>
      </c>
      <c r="H57" s="2258">
        <f t="shared" si="38"/>
        <v>88.344534085554073</v>
      </c>
      <c r="I57" s="2258">
        <f t="shared" si="38"/>
        <v>40.28257044284004</v>
      </c>
      <c r="J57" s="2532">
        <f t="shared" si="38"/>
        <v>52.525597516381495</v>
      </c>
      <c r="K57" s="2816">
        <f t="shared" si="30"/>
        <v>27.826483736247717</v>
      </c>
      <c r="L57" s="2817">
        <f t="shared" si="30"/>
        <v>5.5058408007844033</v>
      </c>
      <c r="M57" s="2817">
        <f t="shared" si="30"/>
        <v>-5.4049240845772603E-2</v>
      </c>
      <c r="N57" s="2818">
        <f t="shared" si="30"/>
        <v>3.801290189327668E-4</v>
      </c>
      <c r="O57" s="2819">
        <f t="shared" si="31"/>
        <v>33.391780483497257</v>
      </c>
      <c r="P57" s="2820">
        <f t="shared" si="31"/>
        <v>6.5355961763091521</v>
      </c>
      <c r="Q57" s="2820">
        <f t="shared" si="31"/>
        <v>-6.4859089014927124E-2</v>
      </c>
      <c r="R57" s="2821">
        <f t="shared" si="31"/>
        <v>4.5615482271932014E-4</v>
      </c>
      <c r="S57" s="2819">
        <f t="shared" si="37"/>
        <v>4.0425633889616162</v>
      </c>
      <c r="T57" s="2828">
        <f t="shared" si="37"/>
        <v>135.94599999999997</v>
      </c>
      <c r="U57" s="2822">
        <f t="shared" si="32"/>
        <v>14.531552257637053</v>
      </c>
      <c r="V57" s="2823">
        <f t="shared" si="32"/>
        <v>9.7641790057100213</v>
      </c>
      <c r="W57" s="2823">
        <f t="shared" si="32"/>
        <v>10.3369956787568</v>
      </c>
      <c r="X57" s="2823">
        <f t="shared" si="32"/>
        <v>10.019619887072729</v>
      </c>
      <c r="Y57" s="2823">
        <f t="shared" si="32"/>
        <v>9.5940567530042173</v>
      </c>
      <c r="Z57" s="2823">
        <f t="shared" si="32"/>
        <v>12.053583370390303</v>
      </c>
      <c r="AA57" s="2824">
        <f t="shared" si="32"/>
        <v>10.876143717819605</v>
      </c>
      <c r="AB57" s="2822">
        <f t="shared" si="33"/>
        <v>6.3867877023030086</v>
      </c>
      <c r="AC57" s="2823">
        <f t="shared" si="33"/>
        <v>4.6796244594014631</v>
      </c>
      <c r="AD57" s="2823">
        <f t="shared" si="33"/>
        <v>4.8191601934872814</v>
      </c>
      <c r="AE57" s="2823">
        <f t="shared" si="33"/>
        <v>4.7203782648191606</v>
      </c>
      <c r="AF57" s="2823">
        <f t="shared" si="33"/>
        <v>4.7437998153744001</v>
      </c>
      <c r="AG57" s="2823">
        <f t="shared" si="33"/>
        <v>5.4920398352320081</v>
      </c>
      <c r="AH57" s="2824">
        <f t="shared" si="33"/>
        <v>5.0230607785842212</v>
      </c>
      <c r="AI57" s="2825">
        <f>'A1.3.4'!$J$27/100</f>
        <v>0.1205924519584583</v>
      </c>
      <c r="AJ57" s="2822">
        <f t="shared" si="34"/>
        <v>7.3689848306550836</v>
      </c>
      <c r="AK57" s="2823">
        <f t="shared" si="34"/>
        <v>5.2927833592573386</v>
      </c>
      <c r="AL57" s="2823">
        <f t="shared" si="34"/>
        <v>5.4845695041593228</v>
      </c>
      <c r="AM57" s="2823">
        <f t="shared" si="34"/>
        <v>5.3594268055670362</v>
      </c>
      <c r="AN57" s="2823">
        <f t="shared" si="34"/>
        <v>5.3287041921117035</v>
      </c>
      <c r="AO57" s="2823">
        <f t="shared" si="34"/>
        <v>6.2833124587689175</v>
      </c>
      <c r="AP57" s="2824">
        <f t="shared" si="34"/>
        <v>5.7288984017428355</v>
      </c>
      <c r="AQ57" s="2829" t="str">
        <f t="shared" si="6"/>
        <v>2039/40</v>
      </c>
      <c r="AR57" s="2830">
        <f t="shared" si="39"/>
        <v>2.2999999999999998</v>
      </c>
      <c r="AS57" s="2826">
        <f>'Cost and rev series'!F56</f>
        <v>3.0737174726705581</v>
      </c>
      <c r="AT57" s="2826">
        <f t="shared" si="39"/>
        <v>0.8727288026266331</v>
      </c>
      <c r="AU57" s="2827">
        <f t="shared" si="27"/>
        <v>1.3210191872270853</v>
      </c>
      <c r="AV57" s="3180">
        <f t="shared" si="22"/>
        <v>50.748760169861377</v>
      </c>
      <c r="AW57" s="2823">
        <f t="shared" si="8"/>
        <v>49.074516140862627</v>
      </c>
      <c r="AX57" s="2823">
        <f t="shared" si="9"/>
        <v>49.231058518010997</v>
      </c>
      <c r="AY57" s="2823">
        <f t="shared" si="10"/>
        <v>49.334364608433503</v>
      </c>
      <c r="AZ57" s="2823">
        <f t="shared" si="11"/>
        <v>49.264806057746362</v>
      </c>
      <c r="BA57" s="2823">
        <f t="shared" si="12"/>
        <v>48.914702494822286</v>
      </c>
      <c r="BB57" s="2823">
        <f t="shared" si="13"/>
        <v>48.608624335028139</v>
      </c>
      <c r="BC57" s="2823">
        <f t="shared" si="14"/>
        <v>48.738677642380821</v>
      </c>
      <c r="BD57" s="2824">
        <f t="shared" si="15"/>
        <v>49.350970232755103</v>
      </c>
      <c r="BE57" s="2823"/>
      <c r="BF57" s="2825">
        <f t="shared" si="16"/>
        <v>2039</v>
      </c>
      <c r="BG57" s="2819">
        <f t="shared" si="35"/>
        <v>27.823813556693651</v>
      </c>
      <c r="BH57" s="2820">
        <f t="shared" si="35"/>
        <v>5.5053564271253546</v>
      </c>
      <c r="BI57" s="2820">
        <f t="shared" si="35"/>
        <v>-5.404402835797914E-2</v>
      </c>
      <c r="BJ57" s="2828">
        <f t="shared" si="35"/>
        <v>3.8009241342737757E-4</v>
      </c>
      <c r="BK57" s="2819">
        <f t="shared" si="35"/>
        <v>33.388576268032381</v>
      </c>
      <c r="BL57" s="2820">
        <f t="shared" si="35"/>
        <v>6.5350149279182936</v>
      </c>
      <c r="BM57" s="2820">
        <f t="shared" si="35"/>
        <v>-6.4852834029574966E-2</v>
      </c>
      <c r="BN57" s="2828">
        <f t="shared" si="35"/>
        <v>4.5611089611285305E-4</v>
      </c>
      <c r="BO57" s="2822">
        <f t="shared" si="24"/>
        <v>4.245032223279364</v>
      </c>
      <c r="BP57" s="2823">
        <f t="shared" si="18"/>
        <v>5.022625883303105</v>
      </c>
      <c r="BQ57" s="2824">
        <f t="shared" si="19"/>
        <v>4.9288539572134908</v>
      </c>
    </row>
    <row r="58" spans="1:69" ht="13.5" customHeight="1">
      <c r="A58" s="2822"/>
      <c r="B58" s="714">
        <v>2040</v>
      </c>
      <c r="C58" s="2672"/>
      <c r="D58" s="2307">
        <v>26.517522648247343</v>
      </c>
      <c r="E58" s="2243">
        <v>76.949541090224329</v>
      </c>
      <c r="F58" s="2243">
        <v>61.177997589353531</v>
      </c>
      <c r="G58" s="2243">
        <v>68.355690909305295</v>
      </c>
      <c r="H58" s="2243">
        <v>88.095931090639851</v>
      </c>
      <c r="I58" s="2243">
        <v>40.204735618269822</v>
      </c>
      <c r="J58" s="2530">
        <v>52.435993872077582</v>
      </c>
      <c r="K58" s="2816">
        <f t="shared" si="30"/>
        <v>27.936578662911252</v>
      </c>
      <c r="L58" s="2817">
        <f t="shared" si="30"/>
        <v>5.525812147800953</v>
      </c>
      <c r="M58" s="2817">
        <f t="shared" si="30"/>
        <v>-5.4264158400841908E-2</v>
      </c>
      <c r="N58" s="2818">
        <f t="shared" si="30"/>
        <v>3.8163831085479287E-4</v>
      </c>
      <c r="O58" s="2819">
        <f t="shared" si="31"/>
        <v>33.5238943954935</v>
      </c>
      <c r="P58" s="2820">
        <f t="shared" si="31"/>
        <v>6.5595617927290117</v>
      </c>
      <c r="Q58" s="2820">
        <f t="shared" si="31"/>
        <v>-6.5116990081010295E-2</v>
      </c>
      <c r="R58" s="2821">
        <f t="shared" si="31"/>
        <v>4.5796597302575145E-4</v>
      </c>
      <c r="S58" s="2819">
        <f t="shared" si="37"/>
        <v>4.0425633889616162</v>
      </c>
      <c r="T58" s="2828">
        <f t="shared" si="37"/>
        <v>135.94599999999997</v>
      </c>
      <c r="U58" s="2822">
        <f t="shared" si="32"/>
        <v>14.5779462666644</v>
      </c>
      <c r="V58" s="2823">
        <f t="shared" si="32"/>
        <v>9.7822831997386377</v>
      </c>
      <c r="W58" s="2823">
        <f t="shared" si="32"/>
        <v>10.355761755948873</v>
      </c>
      <c r="X58" s="2823">
        <f t="shared" si="32"/>
        <v>10.039813904345246</v>
      </c>
      <c r="Y58" s="2823">
        <f t="shared" si="32"/>
        <v>9.6100521983980514</v>
      </c>
      <c r="Z58" s="2823">
        <f t="shared" si="32"/>
        <v>12.079788364421637</v>
      </c>
      <c r="AA58" s="2824">
        <f t="shared" si="32"/>
        <v>10.897691044922876</v>
      </c>
      <c r="AB58" s="2822">
        <f t="shared" si="33"/>
        <v>6.4190692699690217</v>
      </c>
      <c r="AC58" s="2823">
        <f t="shared" si="33"/>
        <v>4.6962227504616596</v>
      </c>
      <c r="AD58" s="2823">
        <f t="shared" si="33"/>
        <v>4.8378587379169291</v>
      </c>
      <c r="AE58" s="2823">
        <f t="shared" si="33"/>
        <v>4.7387242890833008</v>
      </c>
      <c r="AF58" s="2823">
        <f t="shared" si="33"/>
        <v>4.7577833807061669</v>
      </c>
      <c r="AG58" s="2823">
        <f t="shared" si="33"/>
        <v>5.5156456262043205</v>
      </c>
      <c r="AH58" s="2824">
        <f t="shared" si="33"/>
        <v>5.0436102807583918</v>
      </c>
      <c r="AI58" s="2825">
        <f>'A1.3.4'!$J$27/100</f>
        <v>0.1205924519584583</v>
      </c>
      <c r="AJ58" s="2822">
        <f t="shared" si="34"/>
        <v>7.4029682522279803</v>
      </c>
      <c r="AK58" s="2823">
        <f t="shared" si="34"/>
        <v>5.3095632508489086</v>
      </c>
      <c r="AL58" s="2823">
        <f t="shared" si="34"/>
        <v>5.5032761925303779</v>
      </c>
      <c r="AM58" s="2823">
        <f t="shared" si="34"/>
        <v>5.3779956838392593</v>
      </c>
      <c r="AN58" s="2823">
        <f t="shared" si="34"/>
        <v>5.3429303749932018</v>
      </c>
      <c r="AO58" s="2823">
        <f t="shared" si="34"/>
        <v>6.3072316940112554</v>
      </c>
      <c r="AP58" s="2824">
        <f t="shared" si="34"/>
        <v>5.7495682340718322</v>
      </c>
      <c r="AQ58" s="2829" t="str">
        <f t="shared" si="6"/>
        <v>2040/41</v>
      </c>
      <c r="AR58" s="2830">
        <f t="shared" si="39"/>
        <v>2.2999999999999998</v>
      </c>
      <c r="AS58" s="2826">
        <f>'Cost and rev series'!F57</f>
        <v>3</v>
      </c>
      <c r="AT58" s="2826">
        <f t="shared" si="39"/>
        <v>0.8727288026266331</v>
      </c>
      <c r="AU58" s="2827">
        <f t="shared" si="27"/>
        <v>1.3300584192022464</v>
      </c>
      <c r="AV58" s="3180">
        <f t="shared" si="22"/>
        <v>50.632259398339478</v>
      </c>
      <c r="AW58" s="2823">
        <f t="shared" si="8"/>
        <v>48.895737258614332</v>
      </c>
      <c r="AX58" s="2823">
        <f t="shared" si="9"/>
        <v>49.06365811080169</v>
      </c>
      <c r="AY58" s="2823">
        <f t="shared" si="10"/>
        <v>49.169143711345782</v>
      </c>
      <c r="AZ58" s="2823">
        <f t="shared" si="11"/>
        <v>49.116244660401598</v>
      </c>
      <c r="BA58" s="2823">
        <f t="shared" si="12"/>
        <v>48.741590748383047</v>
      </c>
      <c r="BB58" s="2823">
        <f t="shared" si="13"/>
        <v>48.414049437484742</v>
      </c>
      <c r="BC58" s="2823">
        <f t="shared" si="14"/>
        <v>48.553222486635356</v>
      </c>
      <c r="BD58" s="2824">
        <f t="shared" si="15"/>
        <v>49.192376549079746</v>
      </c>
      <c r="BE58" s="2823"/>
      <c r="BF58" s="2825">
        <f t="shared" si="16"/>
        <v>2040</v>
      </c>
      <c r="BG58" s="2819">
        <f t="shared" si="35"/>
        <v>27.936766997341024</v>
      </c>
      <c r="BH58" s="2820">
        <f t="shared" si="35"/>
        <v>5.5258463118843153</v>
      </c>
      <c r="BI58" s="2820">
        <f t="shared" si="35"/>
        <v>-5.426452605061842E-2</v>
      </c>
      <c r="BJ58" s="2828">
        <f t="shared" si="35"/>
        <v>3.8164089273246991E-4</v>
      </c>
      <c r="BK58" s="2819">
        <f t="shared" si="35"/>
        <v>33.524120396809231</v>
      </c>
      <c r="BL58" s="2820">
        <f t="shared" si="35"/>
        <v>6.5596027896290456</v>
      </c>
      <c r="BM58" s="2820">
        <f t="shared" si="35"/>
        <v>-6.5117431260742112E-2</v>
      </c>
      <c r="BN58" s="2828">
        <f t="shared" si="35"/>
        <v>4.5796907127896387E-4</v>
      </c>
      <c r="BO58" s="2822">
        <f t="shared" si="24"/>
        <v>4.2625447978210964</v>
      </c>
      <c r="BP58" s="2823">
        <f t="shared" si="18"/>
        <v>5.0436409727531819</v>
      </c>
      <c r="BQ58" s="2824">
        <f t="shared" si="19"/>
        <v>4.9494466698027493</v>
      </c>
    </row>
    <row r="59" spans="1:69" ht="13.5" customHeight="1">
      <c r="A59" s="2822"/>
      <c r="B59" s="2547">
        <v>2041</v>
      </c>
      <c r="C59" s="64"/>
      <c r="D59" s="2531">
        <f t="shared" ref="D59:J62" si="40">D58*(D$63/D$58)^(1/5)</f>
        <v>26.438898631464077</v>
      </c>
      <c r="E59" s="2258">
        <f t="shared" si="40"/>
        <v>76.764532433744066</v>
      </c>
      <c r="F59" s="2258">
        <f t="shared" si="40"/>
        <v>61.085364037453225</v>
      </c>
      <c r="G59" s="2258">
        <f t="shared" si="40"/>
        <v>68.184145866420735</v>
      </c>
      <c r="H59" s="2258">
        <f t="shared" si="40"/>
        <v>87.864062293308407</v>
      </c>
      <c r="I59" s="2258">
        <f t="shared" si="40"/>
        <v>40.128529912010151</v>
      </c>
      <c r="J59" s="2532">
        <f t="shared" si="40"/>
        <v>52.349274411508119</v>
      </c>
      <c r="K59" s="2816">
        <f t="shared" si="30"/>
        <v>28.047426927293891</v>
      </c>
      <c r="L59" s="2817">
        <f t="shared" si="30"/>
        <v>5.5459201511509502</v>
      </c>
      <c r="M59" s="2817">
        <f t="shared" si="30"/>
        <v>-5.4480546555017273E-2</v>
      </c>
      <c r="N59" s="2818">
        <f t="shared" si="30"/>
        <v>3.8315793028752688E-4</v>
      </c>
      <c r="O59" s="2819">
        <f t="shared" si="31"/>
        <v>33.656912312752667</v>
      </c>
      <c r="P59" s="2820">
        <f t="shared" si="31"/>
        <v>6.5836913967490069</v>
      </c>
      <c r="Q59" s="2820">
        <f t="shared" si="31"/>
        <v>-6.5376655866020733E-2</v>
      </c>
      <c r="R59" s="2821">
        <f t="shared" si="31"/>
        <v>4.5978951634503232E-4</v>
      </c>
      <c r="S59" s="2819">
        <f t="shared" si="37"/>
        <v>4.0425633889616162</v>
      </c>
      <c r="T59" s="2828">
        <f t="shared" si="37"/>
        <v>135.94599999999997</v>
      </c>
      <c r="U59" s="2822">
        <f t="shared" si="32"/>
        <v>14.618644091915137</v>
      </c>
      <c r="V59" s="2823">
        <f t="shared" si="32"/>
        <v>9.8004980632501582</v>
      </c>
      <c r="W59" s="2823">
        <f t="shared" si="32"/>
        <v>10.374903230047593</v>
      </c>
      <c r="X59" s="2823">
        <f t="shared" si="32"/>
        <v>10.060259832200328</v>
      </c>
      <c r="Y59" s="2823">
        <f t="shared" si="32"/>
        <v>9.62606128304928</v>
      </c>
      <c r="Z59" s="2823">
        <f t="shared" si="32"/>
        <v>12.105962176953646</v>
      </c>
      <c r="AA59" s="2824">
        <f t="shared" si="32"/>
        <v>10.91916840672247</v>
      </c>
      <c r="AB59" s="2822">
        <f t="shared" si="33"/>
        <v>6.4496119052204071</v>
      </c>
      <c r="AC59" s="2823">
        <f t="shared" si="33"/>
        <v>4.7129711492367612</v>
      </c>
      <c r="AD59" s="2823">
        <f t="shared" si="33"/>
        <v>4.8567847635948</v>
      </c>
      <c r="AE59" s="2823">
        <f t="shared" si="33"/>
        <v>4.7572550280257442</v>
      </c>
      <c r="AF59" s="2823">
        <f t="shared" si="33"/>
        <v>4.7721075014680512</v>
      </c>
      <c r="AG59" s="2823">
        <f t="shared" si="33"/>
        <v>5.5393486322793626</v>
      </c>
      <c r="AH59" s="2824">
        <f t="shared" si="33"/>
        <v>5.0642293562659697</v>
      </c>
      <c r="AI59" s="2825">
        <f>'A1.3.4'!$J$27/100</f>
        <v>0.1205924519584583</v>
      </c>
      <c r="AJ59" s="2822">
        <f t="shared" si="34"/>
        <v>7.4347355267414912</v>
      </c>
      <c r="AK59" s="2823">
        <f t="shared" si="34"/>
        <v>5.3264884942022857</v>
      </c>
      <c r="AL59" s="2823">
        <f t="shared" si="34"/>
        <v>5.5222281996615905</v>
      </c>
      <c r="AM59" s="2823">
        <f t="shared" si="34"/>
        <v>5.3967573801086424</v>
      </c>
      <c r="AN59" s="2823">
        <f t="shared" si="34"/>
        <v>5.3574576896819632</v>
      </c>
      <c r="AO59" s="2823">
        <f t="shared" si="34"/>
        <v>6.3312326606952576</v>
      </c>
      <c r="AP59" s="2824">
        <f t="shared" si="34"/>
        <v>5.7702908124278469</v>
      </c>
      <c r="AQ59" s="2829" t="str">
        <f t="shared" si="6"/>
        <v>2041/42</v>
      </c>
      <c r="AR59" s="2830">
        <f t="shared" si="39"/>
        <v>2.2999999999999998</v>
      </c>
      <c r="AS59" s="2826">
        <f>'Cost and rev series'!F58</f>
        <v>3</v>
      </c>
      <c r="AT59" s="2826">
        <f t="shared" si="39"/>
        <v>0.8727288026266331</v>
      </c>
      <c r="AU59" s="2827">
        <f t="shared" si="27"/>
        <v>1.3391595032046082</v>
      </c>
      <c r="AV59" s="3180">
        <f t="shared" si="22"/>
        <v>50.504101756798789</v>
      </c>
      <c r="AW59" s="2823">
        <f t="shared" si="8"/>
        <v>48.718459408402758</v>
      </c>
      <c r="AX59" s="2823">
        <f t="shared" si="9"/>
        <v>48.898190385885677</v>
      </c>
      <c r="AY59" s="2823">
        <f t="shared" si="10"/>
        <v>49.005556315228894</v>
      </c>
      <c r="AZ59" s="2823">
        <f t="shared" si="11"/>
        <v>48.968226862639341</v>
      </c>
      <c r="BA59" s="2823">
        <f t="shared" si="12"/>
        <v>48.570116946951778</v>
      </c>
      <c r="BB59" s="2823">
        <f t="shared" si="13"/>
        <v>48.222069216812343</v>
      </c>
      <c r="BC59" s="2823">
        <f t="shared" si="14"/>
        <v>48.36995549021281</v>
      </c>
      <c r="BD59" s="2824">
        <f t="shared" si="15"/>
        <v>49.034309336051166</v>
      </c>
      <c r="BE59" s="2823"/>
      <c r="BF59" s="2825">
        <f t="shared" si="16"/>
        <v>2041</v>
      </c>
      <c r="BG59" s="2819">
        <f t="shared" si="35"/>
        <v>28.047616550424557</v>
      </c>
      <c r="BH59" s="2820">
        <f t="shared" si="35"/>
        <v>5.5459545490061428</v>
      </c>
      <c r="BI59" s="2820">
        <f t="shared" si="35"/>
        <v>-5.4480916720481415E-2</v>
      </c>
      <c r="BJ59" s="2828">
        <f t="shared" si="35"/>
        <v>3.8316052983201101E-4</v>
      </c>
      <c r="BK59" s="2819">
        <f t="shared" si="35"/>
        <v>33.657139860509467</v>
      </c>
      <c r="BL59" s="2820">
        <f t="shared" si="35"/>
        <v>6.5837326741752396</v>
      </c>
      <c r="BM59" s="2820">
        <f t="shared" si="35"/>
        <v>-6.5377100064577698E-2</v>
      </c>
      <c r="BN59" s="2828">
        <f t="shared" si="35"/>
        <v>4.5979263579841326E-4</v>
      </c>
      <c r="BO59" s="2822">
        <f t="shared" si="24"/>
        <v>4.279727550224707</v>
      </c>
      <c r="BP59" s="2823">
        <f t="shared" si="18"/>
        <v>5.0642602756375172</v>
      </c>
      <c r="BQ59" s="2824">
        <f t="shared" si="19"/>
        <v>4.9696515506383347</v>
      </c>
    </row>
    <row r="60" spans="1:69" ht="13.5" customHeight="1">
      <c r="A60" s="2822"/>
      <c r="B60" s="2547">
        <v>2042</v>
      </c>
      <c r="C60" s="64"/>
      <c r="D60" s="2531">
        <f t="shared" si="40"/>
        <v>26.3605077335923</v>
      </c>
      <c r="E60" s="2258">
        <f t="shared" si="40"/>
        <v>76.57996859087136</v>
      </c>
      <c r="F60" s="2258">
        <f t="shared" si="40"/>
        <v>60.99287074798837</v>
      </c>
      <c r="G60" s="2258">
        <f t="shared" si="40"/>
        <v>68.013031331974418</v>
      </c>
      <c r="H60" s="2258">
        <f t="shared" si="40"/>
        <v>87.632803775458768</v>
      </c>
      <c r="I60" s="2258">
        <f t="shared" si="40"/>
        <v>40.052468649174301</v>
      </c>
      <c r="J60" s="2532">
        <f t="shared" si="40"/>
        <v>52.262698368928589</v>
      </c>
      <c r="K60" s="2816">
        <f t="shared" ref="K60:N78" si="41">IF(ISERROR(VLOOKUP($B60,Av_car_cost_work,1,0)),"",VLOOKUP($B60,Av_car_cost_work,K$22,0))</f>
        <v>28.159033684199194</v>
      </c>
      <c r="L60" s="2817">
        <f t="shared" si="41"/>
        <v>5.5661657459217189</v>
      </c>
      <c r="M60" s="2817">
        <f t="shared" si="41"/>
        <v>-5.4698415371049178E-2</v>
      </c>
      <c r="N60" s="2818">
        <f t="shared" si="41"/>
        <v>3.8468794789819753E-4</v>
      </c>
      <c r="O60" s="2819">
        <f t="shared" ref="O60:R78" si="42">IF(ISERROR(VLOOKUP($B60,av_car_cost_nonwork,1,0)),"",VLOOKUP($B60,av_car_cost_nonwork,O$22,0))</f>
        <v>33.790840421039036</v>
      </c>
      <c r="P60" s="2820">
        <f t="shared" si="42"/>
        <v>6.6079861104739308</v>
      </c>
      <c r="Q60" s="2820">
        <f t="shared" si="42"/>
        <v>-6.5638098445259002E-2</v>
      </c>
      <c r="R60" s="2821">
        <f t="shared" si="42"/>
        <v>4.6162553747783704E-4</v>
      </c>
      <c r="S60" s="2819">
        <f t="shared" si="37"/>
        <v>4.0425633889616162</v>
      </c>
      <c r="T60" s="2828">
        <f t="shared" si="37"/>
        <v>135.94599999999997</v>
      </c>
      <c r="U60" s="2822">
        <f t="shared" si="32"/>
        <v>14.659574172220523</v>
      </c>
      <c r="V60" s="2823">
        <f t="shared" si="32"/>
        <v>9.8188491916103242</v>
      </c>
      <c r="W60" s="2823">
        <f t="shared" si="32"/>
        <v>10.394165947885469</v>
      </c>
      <c r="X60" s="2823">
        <f t="shared" si="32"/>
        <v>10.080849927926268</v>
      </c>
      <c r="Y60" s="2823">
        <f t="shared" si="32"/>
        <v>9.6422118017727048</v>
      </c>
      <c r="Z60" s="2823">
        <f t="shared" si="32"/>
        <v>12.132290479234083</v>
      </c>
      <c r="AA60" s="2824">
        <f t="shared" si="32"/>
        <v>10.940778103792681</v>
      </c>
      <c r="AB60" s="2822">
        <f t="shared" si="33"/>
        <v>6.4803788415809489</v>
      </c>
      <c r="AC60" s="2823">
        <f t="shared" si="33"/>
        <v>4.729870751677784</v>
      </c>
      <c r="AD60" s="2823">
        <f t="shared" si="33"/>
        <v>4.8758501495820887</v>
      </c>
      <c r="AE60" s="2823">
        <f t="shared" si="33"/>
        <v>4.7759436619589977</v>
      </c>
      <c r="AF60" s="2823">
        <f t="shared" si="33"/>
        <v>4.7865884471502209</v>
      </c>
      <c r="AG60" s="2823">
        <f t="shared" si="33"/>
        <v>5.5632223928644589</v>
      </c>
      <c r="AH60" s="2824">
        <f t="shared" si="33"/>
        <v>5.0849986966128151</v>
      </c>
      <c r="AI60" s="2825">
        <f>'A1.3.4'!$J$27/100</f>
        <v>0.1205924519584583</v>
      </c>
      <c r="AJ60" s="2822">
        <f t="shared" si="34"/>
        <v>7.4667280615499489</v>
      </c>
      <c r="AK60" s="2823">
        <f t="shared" si="34"/>
        <v>5.3435631397129795</v>
      </c>
      <c r="AL60" s="2823">
        <f t="shared" si="34"/>
        <v>5.5413173823805915</v>
      </c>
      <c r="AM60" s="2823">
        <f t="shared" si="34"/>
        <v>5.4156753159817805</v>
      </c>
      <c r="AN60" s="2823">
        <f t="shared" si="34"/>
        <v>5.3721399732709019</v>
      </c>
      <c r="AO60" s="2823">
        <f t="shared" si="34"/>
        <v>6.3554024204818296</v>
      </c>
      <c r="AP60" s="2824">
        <f t="shared" si="34"/>
        <v>5.7911614934524831</v>
      </c>
      <c r="AQ60" s="2829" t="str">
        <f t="shared" si="6"/>
        <v>2042/43</v>
      </c>
      <c r="AR60" s="2830">
        <f t="shared" si="39"/>
        <v>2.2999999999999998</v>
      </c>
      <c r="AS60" s="2826">
        <f>'Cost and rev series'!F59</f>
        <v>3</v>
      </c>
      <c r="AT60" s="2826">
        <f t="shared" si="39"/>
        <v>0.8727288026266331</v>
      </c>
      <c r="AU60" s="2827">
        <f t="shared" si="27"/>
        <v>1.3483228624640731</v>
      </c>
      <c r="AV60" s="3180">
        <f t="shared" ref="AV60:AV77" si="43">(AJ60*0.75+AJ61*0.25)/(AJ$28*0.75+AJ$29*0.25)*100/GDP_deflator_to_RPI_conversion</f>
        <v>50.376868617932374</v>
      </c>
      <c r="AW60" s="2823">
        <f t="shared" ref="AW60:AW77" si="44">(AK60*0.75+AK61*0.25)/(AK$28*0.75+AK$29*0.25)*100/GDP_deflator_to_RPI_conversion</f>
        <v>48.542691152845698</v>
      </c>
      <c r="AX60" s="2823">
        <f t="shared" ref="AX60:AX77" si="45">(AL60*0.75+AL61*0.25)/(AL$28*0.75+AL$29*0.25)*100/GDP_deflator_to_RPI_conversion</f>
        <v>48.733913160934527</v>
      </c>
      <c r="AY60" s="2823">
        <f t="shared" ref="AY60:AY77" si="46">(AM60*0.75+AM61*0.25)/(AM$28*0.75+AM$29*0.25)*100/GDP_deflator_to_RPI_conversion</f>
        <v>48.843331717572013</v>
      </c>
      <c r="AZ60" s="2823">
        <f t="shared" ref="AZ60:AZ77" si="47">($AO60*0.75+$AO61*0.25)/($AO$28*0.75+$AO$29*0.25)*100/GDP_deflator_to_RPI_conversion</f>
        <v>48.821250222753648</v>
      </c>
      <c r="BA60" s="2823">
        <f t="shared" ref="BA60:BA77" si="48">(($AN60*0.75+$AN61*0.25)*BA$24+($AO60*0.75+$AO61*0.25)*BA$25)/(($AN$28*0.75+$AN$29*0.25)*BA$24+($AO$28*0.75+$AO$29*0.25)*BA$25)*100/GDP_deflator_to_RPI_conversion</f>
        <v>48.40006100009672</v>
      </c>
      <c r="BB60" s="2823">
        <f t="shared" ref="BB60:BB77" si="49">(($AN60*0.75+$AN61*0.25)*BB$24+($AO60*0.75+$AO61*0.25)*BB$25)/(($AN$28*0.75+$AN$29*0.25)*BB$24+($AO$28*0.75+$AO$29*0.25)*BB$25)*100/GDP_deflator_to_RPI_conversion</f>
        <v>48.031836177934849</v>
      </c>
      <c r="BC60" s="2823">
        <f t="shared" ref="BC60:BC77" si="50">(($AN60*0.75+$AN61*0.25)*BC$24+($AO60*0.75+$AO61*0.25)*BC$25)/(($AN$28*0.75+$AN$29*0.25)*BC$24+($AO$28*0.75+$AO$29*0.25)*BC$25)*100/GDP_deflator_to_RPI_conversion</f>
        <v>48.188295743699733</v>
      </c>
      <c r="BD60" s="2824">
        <f t="shared" ref="BD60:BD77" si="51">(AP60*0.75+AP61*0.25)/(AP$28*0.75+AP$29*0.25)*100/GDP_deflator_to_RPI_conversion</f>
        <v>48.877369684442058</v>
      </c>
      <c r="BE60" s="2823"/>
      <c r="BF60" s="2825">
        <f t="shared" si="16"/>
        <v>2042</v>
      </c>
      <c r="BG60" s="2819">
        <f t="shared" si="35"/>
        <v>28.159224604848838</v>
      </c>
      <c r="BH60" s="2820">
        <f t="shared" si="35"/>
        <v>5.5662003791483556</v>
      </c>
      <c r="BI60" s="2820">
        <f t="shared" si="35"/>
        <v>-5.4698788069414819E-2</v>
      </c>
      <c r="BJ60" s="2828">
        <f t="shared" si="35"/>
        <v>3.846905652303761E-4</v>
      </c>
      <c r="BK60" s="2819">
        <f t="shared" si="35"/>
        <v>33.7910695258186</v>
      </c>
      <c r="BL60" s="2820">
        <f t="shared" si="35"/>
        <v>6.6080276703458942</v>
      </c>
      <c r="BM60" s="2820">
        <f t="shared" si="35"/>
        <v>-6.5638545683297772E-2</v>
      </c>
      <c r="BN60" s="2828">
        <f t="shared" si="35"/>
        <v>4.6162867827645134E-4</v>
      </c>
      <c r="BO60" s="2822">
        <f t="shared" si="24"/>
        <v>4.2970355247584013</v>
      </c>
      <c r="BP60" s="2823">
        <f t="shared" si="18"/>
        <v>5.0850298450779494</v>
      </c>
      <c r="BQ60" s="2824">
        <f t="shared" si="19"/>
        <v>4.9900036778612771</v>
      </c>
    </row>
    <row r="61" spans="1:69" ht="13.5" customHeight="1">
      <c r="A61" s="2822"/>
      <c r="B61" s="2547">
        <v>2043</v>
      </c>
      <c r="C61" s="64"/>
      <c r="D61" s="2531">
        <f t="shared" si="40"/>
        <v>26.282349263438288</v>
      </c>
      <c r="E61" s="2258">
        <f t="shared" si="40"/>
        <v>76.395848492147366</v>
      </c>
      <c r="F61" s="2258">
        <f t="shared" si="40"/>
        <v>60.90051750857856</v>
      </c>
      <c r="G61" s="2258">
        <f t="shared" si="40"/>
        <v>67.842346225564881</v>
      </c>
      <c r="H61" s="2258">
        <f t="shared" si="40"/>
        <v>87.402153930833222</v>
      </c>
      <c r="I61" s="2258">
        <f t="shared" si="40"/>
        <v>39.976551555978276</v>
      </c>
      <c r="J61" s="2532">
        <f t="shared" si="40"/>
        <v>52.176265507152102</v>
      </c>
      <c r="K61" s="2816">
        <f t="shared" si="41"/>
        <v>28.271404123703064</v>
      </c>
      <c r="L61" s="2817">
        <f t="shared" si="41"/>
        <v>5.586549873599032</v>
      </c>
      <c r="M61" s="2817">
        <f t="shared" si="41"/>
        <v>-5.4917774980543649E-2</v>
      </c>
      <c r="N61" s="2818">
        <f t="shared" si="41"/>
        <v>3.8622843483758246E-4</v>
      </c>
      <c r="O61" s="2819">
        <f t="shared" si="42"/>
        <v>33.925684948443674</v>
      </c>
      <c r="P61" s="2820">
        <f t="shared" si="42"/>
        <v>6.6324470636867066</v>
      </c>
      <c r="Q61" s="2820">
        <f t="shared" si="42"/>
        <v>-6.5901329976652379E-2</v>
      </c>
      <c r="R61" s="2821">
        <f t="shared" si="42"/>
        <v>4.634741218050989E-4</v>
      </c>
      <c r="S61" s="2819">
        <f t="shared" si="37"/>
        <v>4.0425633889616162</v>
      </c>
      <c r="T61" s="2828">
        <f t="shared" si="37"/>
        <v>135.94599999999997</v>
      </c>
      <c r="U61" s="2822">
        <f t="shared" si="32"/>
        <v>14.700738121340367</v>
      </c>
      <c r="V61" s="2823">
        <f t="shared" si="32"/>
        <v>9.8373374406106997</v>
      </c>
      <c r="W61" s="2823">
        <f t="shared" si="32"/>
        <v>10.413550757340996</v>
      </c>
      <c r="X61" s="2823">
        <f t="shared" si="32"/>
        <v>10.101585125514761</v>
      </c>
      <c r="Y61" s="2823">
        <f t="shared" si="32"/>
        <v>9.658504542056761</v>
      </c>
      <c r="Z61" s="2823">
        <f t="shared" si="32"/>
        <v>12.158774357700533</v>
      </c>
      <c r="AA61" s="2824">
        <f t="shared" si="32"/>
        <v>10.962521066767989</v>
      </c>
      <c r="AB61" s="2822">
        <f t="shared" si="33"/>
        <v>6.5113718537729071</v>
      </c>
      <c r="AC61" s="2823">
        <f t="shared" si="33"/>
        <v>4.7469225550565053</v>
      </c>
      <c r="AD61" s="2823">
        <f t="shared" si="33"/>
        <v>4.8950559040337795</v>
      </c>
      <c r="AE61" s="2823">
        <f t="shared" si="33"/>
        <v>4.7947912736666414</v>
      </c>
      <c r="AF61" s="2823">
        <f t="shared" si="33"/>
        <v>4.8012271287069872</v>
      </c>
      <c r="AG61" s="2823">
        <f t="shared" si="33"/>
        <v>5.5872681838956835</v>
      </c>
      <c r="AH61" s="2824">
        <f t="shared" si="33"/>
        <v>5.1059194044174738</v>
      </c>
      <c r="AI61" s="2825">
        <f>'A1.3.4'!$J$27/100</f>
        <v>0.1205924519584583</v>
      </c>
      <c r="AJ61" s="2822">
        <f t="shared" si="34"/>
        <v>7.4989476119647556</v>
      </c>
      <c r="AK61" s="2823">
        <f t="shared" si="34"/>
        <v>5.3607881675913207</v>
      </c>
      <c r="AL61" s="2823">
        <f t="shared" si="34"/>
        <v>5.5605447295142296</v>
      </c>
      <c r="AM61" s="2823">
        <f t="shared" si="34"/>
        <v>5.4347505562990781</v>
      </c>
      <c r="AN61" s="2823">
        <f t="shared" si="34"/>
        <v>5.3869781218252744</v>
      </c>
      <c r="AO61" s="2823">
        <f t="shared" si="34"/>
        <v>6.3797422264549573</v>
      </c>
      <c r="AP61" s="2824">
        <f t="shared" si="34"/>
        <v>5.8121813590243061</v>
      </c>
      <c r="AQ61" s="2829" t="str">
        <f t="shared" si="6"/>
        <v>2043/44</v>
      </c>
      <c r="AR61" s="2830">
        <f t="shared" si="39"/>
        <v>2.2999999999999998</v>
      </c>
      <c r="AS61" s="2826">
        <f>'Cost and rev series'!F60</f>
        <v>3</v>
      </c>
      <c r="AT61" s="2826">
        <f t="shared" si="39"/>
        <v>0.8727288026266331</v>
      </c>
      <c r="AU61" s="2827">
        <f t="shared" si="27"/>
        <v>1.357548923106545</v>
      </c>
      <c r="AV61" s="3180">
        <f t="shared" si="43"/>
        <v>50.250554770795169</v>
      </c>
      <c r="AW61" s="2823">
        <f t="shared" si="44"/>
        <v>48.368419786550646</v>
      </c>
      <c r="AX61" s="2823">
        <f t="shared" si="45"/>
        <v>48.570818336565424</v>
      </c>
      <c r="AY61" s="2823">
        <f t="shared" si="46"/>
        <v>48.682458917164588</v>
      </c>
      <c r="AZ61" s="2823">
        <f t="shared" si="47"/>
        <v>48.675308175230732</v>
      </c>
      <c r="BA61" s="2823">
        <f t="shared" si="48"/>
        <v>48.231411267026644</v>
      </c>
      <c r="BB61" s="2823">
        <f t="shared" si="49"/>
        <v>47.843334242997912</v>
      </c>
      <c r="BC61" s="2823">
        <f t="shared" si="50"/>
        <v>48.008229054559983</v>
      </c>
      <c r="BD61" s="2824">
        <f t="shared" si="51"/>
        <v>48.721550144044514</v>
      </c>
      <c r="BE61" s="2823"/>
      <c r="BF61" s="2825">
        <f t="shared" si="16"/>
        <v>2043</v>
      </c>
      <c r="BG61" s="2819">
        <f t="shared" si="35"/>
        <v>28.271596350750116</v>
      </c>
      <c r="BH61" s="2820">
        <f t="shared" si="35"/>
        <v>5.5865847438076681</v>
      </c>
      <c r="BI61" s="2820">
        <f t="shared" si="35"/>
        <v>-5.4918150229142496E-2</v>
      </c>
      <c r="BJ61" s="2828">
        <f t="shared" si="35"/>
        <v>3.8623107007916991E-4</v>
      </c>
      <c r="BK61" s="2819">
        <f t="shared" si="35"/>
        <v>33.925915620900142</v>
      </c>
      <c r="BL61" s="2820">
        <f t="shared" si="35"/>
        <v>6.6324889079370717</v>
      </c>
      <c r="BM61" s="2820">
        <f t="shared" si="35"/>
        <v>-6.5901780274970984E-2</v>
      </c>
      <c r="BN61" s="2828">
        <f t="shared" si="35"/>
        <v>4.6347728409500382E-4</v>
      </c>
      <c r="BO61" s="2822">
        <f t="shared" si="24"/>
        <v>4.3144696402817591</v>
      </c>
      <c r="BP61" s="2823">
        <f t="shared" si="18"/>
        <v>5.1059507837059819</v>
      </c>
      <c r="BQ61" s="2824">
        <f t="shared" si="19"/>
        <v>5.0105041319415706</v>
      </c>
    </row>
    <row r="62" spans="1:69" ht="13.5" customHeight="1">
      <c r="A62" s="2822"/>
      <c r="B62" s="2547">
        <v>2044</v>
      </c>
      <c r="C62" s="64"/>
      <c r="D62" s="2531">
        <f t="shared" si="40"/>
        <v>26.204422531857695</v>
      </c>
      <c r="E62" s="2258">
        <f t="shared" si="40"/>
        <v>76.212171070684505</v>
      </c>
      <c r="F62" s="2258">
        <f t="shared" si="40"/>
        <v>60.808304107164979</v>
      </c>
      <c r="G62" s="2258">
        <f t="shared" si="40"/>
        <v>67.672089469502026</v>
      </c>
      <c r="H62" s="2258">
        <f t="shared" si="40"/>
        <v>87.17211115740173</v>
      </c>
      <c r="I62" s="2258">
        <f t="shared" si="40"/>
        <v>39.900778359157023</v>
      </c>
      <c r="J62" s="2532">
        <f t="shared" si="40"/>
        <v>52.089975589384018</v>
      </c>
      <c r="K62" s="2816">
        <f t="shared" si="41"/>
        <v>28.384543471395141</v>
      </c>
      <c r="L62" s="2817">
        <f t="shared" si="41"/>
        <v>5.6070734821108932</v>
      </c>
      <c r="M62" s="2817">
        <f t="shared" si="41"/>
        <v>-5.5138635584433507E-2</v>
      </c>
      <c r="N62" s="2818">
        <f t="shared" si="41"/>
        <v>3.8777946274331707E-4</v>
      </c>
      <c r="O62" s="2819">
        <f t="shared" si="42"/>
        <v>34.061452165674169</v>
      </c>
      <c r="P62" s="2820">
        <f t="shared" si="42"/>
        <v>6.6570753939009411</v>
      </c>
      <c r="Q62" s="2820">
        <f t="shared" si="42"/>
        <v>-6.6166362701320203E-2</v>
      </c>
      <c r="R62" s="2821">
        <f t="shared" si="42"/>
        <v>4.653353552919805E-4</v>
      </c>
      <c r="S62" s="2819">
        <f t="shared" si="37"/>
        <v>4.0425633889616162</v>
      </c>
      <c r="T62" s="2828">
        <f t="shared" si="37"/>
        <v>135.94599999999997</v>
      </c>
      <c r="U62" s="2822">
        <f t="shared" si="32"/>
        <v>14.742137565538055</v>
      </c>
      <c r="V62" s="2823">
        <f t="shared" si="32"/>
        <v>9.8559636736393532</v>
      </c>
      <c r="W62" s="2823">
        <f t="shared" si="32"/>
        <v>10.433058512714794</v>
      </c>
      <c r="X62" s="2823">
        <f t="shared" si="32"/>
        <v>10.122466366987767</v>
      </c>
      <c r="Y62" s="2823">
        <f t="shared" si="32"/>
        <v>9.6749402994101796</v>
      </c>
      <c r="Z62" s="2823">
        <f t="shared" si="32"/>
        <v>12.185414906965429</v>
      </c>
      <c r="AA62" s="2824">
        <f t="shared" si="32"/>
        <v>10.984398233312108</v>
      </c>
      <c r="AB62" s="2822">
        <f t="shared" si="33"/>
        <v>6.5425927310417187</v>
      </c>
      <c r="AC62" s="2823">
        <f t="shared" si="33"/>
        <v>4.7641275656889883</v>
      </c>
      <c r="AD62" s="2823">
        <f t="shared" si="33"/>
        <v>4.9144030427973107</v>
      </c>
      <c r="AE62" s="2823">
        <f t="shared" si="33"/>
        <v>4.8137989554729561</v>
      </c>
      <c r="AF62" s="2823">
        <f t="shared" si="33"/>
        <v>4.8160244666272209</v>
      </c>
      <c r="AG62" s="2823">
        <f t="shared" si="33"/>
        <v>5.6114872910661715</v>
      </c>
      <c r="AH62" s="2824">
        <f t="shared" si="33"/>
        <v>5.1269925907101692</v>
      </c>
      <c r="AI62" s="2825">
        <f>'A1.3.4'!$J$27/100</f>
        <v>0.1205924519584583</v>
      </c>
      <c r="AJ62" s="2822">
        <f t="shared" si="34"/>
        <v>7.531395947576943</v>
      </c>
      <c r="AK62" s="2823">
        <f t="shared" si="34"/>
        <v>5.3781645669173361</v>
      </c>
      <c r="AL62" s="2823">
        <f t="shared" si="34"/>
        <v>5.5799112374286182</v>
      </c>
      <c r="AM62" s="2823">
        <f t="shared" si="34"/>
        <v>5.4539841752594898</v>
      </c>
      <c r="AN62" s="2823">
        <f t="shared" si="34"/>
        <v>5.401973040762293</v>
      </c>
      <c r="AO62" s="2823">
        <f t="shared" si="34"/>
        <v>6.4042533412648854</v>
      </c>
      <c r="AP62" s="2824">
        <f t="shared" si="34"/>
        <v>5.8333514992668469</v>
      </c>
      <c r="AQ62" s="2829" t="str">
        <f t="shared" si="6"/>
        <v>2044/45</v>
      </c>
      <c r="AR62" s="2830">
        <f t="shared" si="39"/>
        <v>2.2999999999999998</v>
      </c>
      <c r="AS62" s="2826">
        <f>'Cost and rev series'!F61</f>
        <v>3</v>
      </c>
      <c r="AT62" s="2826">
        <f t="shared" si="39"/>
        <v>0.8727288026266331</v>
      </c>
      <c r="AU62" s="2827">
        <f t="shared" si="27"/>
        <v>1.3668381141737456</v>
      </c>
      <c r="AV62" s="3180">
        <f t="shared" si="43"/>
        <v>50.125155037926291</v>
      </c>
      <c r="AW62" s="2823">
        <f t="shared" si="44"/>
        <v>48.195632729006121</v>
      </c>
      <c r="AX62" s="2823">
        <f t="shared" si="45"/>
        <v>48.408897872220059</v>
      </c>
      <c r="AY62" s="2823">
        <f t="shared" si="46"/>
        <v>48.522927018033862</v>
      </c>
      <c r="AZ62" s="2823">
        <f t="shared" si="47"/>
        <v>48.530394198135099</v>
      </c>
      <c r="BA62" s="2823">
        <f t="shared" si="48"/>
        <v>48.064156218997319</v>
      </c>
      <c r="BB62" s="2823">
        <f t="shared" si="49"/>
        <v>47.656547506053215</v>
      </c>
      <c r="BC62" s="2823">
        <f t="shared" si="50"/>
        <v>47.829741376729267</v>
      </c>
      <c r="BD62" s="2824">
        <f t="shared" si="51"/>
        <v>48.566843316941664</v>
      </c>
      <c r="BE62" s="2823"/>
      <c r="BF62" s="2825">
        <f t="shared" si="16"/>
        <v>2044</v>
      </c>
      <c r="BG62" s="2819">
        <f t="shared" si="35"/>
        <v>28.384737013778775</v>
      </c>
      <c r="BH62" s="2820">
        <f t="shared" si="35"/>
        <v>5.607108590923108</v>
      </c>
      <c r="BI62" s="2820">
        <f t="shared" si="35"/>
        <v>-5.5139013400715808E-2</v>
      </c>
      <c r="BJ62" s="2828">
        <f t="shared" si="35"/>
        <v>3.8778211601686054E-4</v>
      </c>
      <c r="BK62" s="2819">
        <f t="shared" si="35"/>
        <v>34.061684416534526</v>
      </c>
      <c r="BL62" s="2820">
        <f t="shared" si="35"/>
        <v>6.6571175244755985</v>
      </c>
      <c r="BM62" s="2820">
        <f t="shared" si="35"/>
        <v>-6.6166816080858976E-2</v>
      </c>
      <c r="BN62" s="2828">
        <f t="shared" si="35"/>
        <v>4.6533853922023268E-4</v>
      </c>
      <c r="BO62" s="2822">
        <f t="shared" si="24"/>
        <v>4.3320308226641728</v>
      </c>
      <c r="BP62" s="2823">
        <f t="shared" si="18"/>
        <v>5.1270242025648756</v>
      </c>
      <c r="BQ62" s="2824">
        <f t="shared" si="19"/>
        <v>5.0311540015919078</v>
      </c>
    </row>
    <row r="63" spans="1:69" ht="13.5" customHeight="1">
      <c r="A63" s="2822"/>
      <c r="B63" s="714">
        <v>2045</v>
      </c>
      <c r="C63" s="2672"/>
      <c r="D63" s="2307">
        <v>26.126726851749471</v>
      </c>
      <c r="E63" s="2243">
        <v>76.028935262160331</v>
      </c>
      <c r="F63" s="2243">
        <v>60.716230332009886</v>
      </c>
      <c r="G63" s="2243">
        <v>67.50225998880029</v>
      </c>
      <c r="H63" s="2243">
        <v>86.942673857350783</v>
      </c>
      <c r="I63" s="2243">
        <v>39.825148785963449</v>
      </c>
      <c r="J63" s="2530">
        <v>52.003828379221332</v>
      </c>
      <c r="K63" s="2816">
        <f t="shared" si="41"/>
        <v>28.498456988621747</v>
      </c>
      <c r="L63" s="2817">
        <f t="shared" si="41"/>
        <v>5.6277375258716118</v>
      </c>
      <c r="M63" s="2817">
        <f t="shared" si="41"/>
        <v>-5.5361007453452585E-2</v>
      </c>
      <c r="N63" s="2818">
        <f t="shared" si="41"/>
        <v>3.8934110374322557E-4</v>
      </c>
      <c r="O63" s="2819">
        <f t="shared" si="42"/>
        <v>34.198148386346098</v>
      </c>
      <c r="P63" s="2820">
        <f t="shared" si="42"/>
        <v>6.6818722464138016</v>
      </c>
      <c r="Q63" s="2820">
        <f t="shared" si="42"/>
        <v>-6.6433208944143105E-2</v>
      </c>
      <c r="R63" s="2821">
        <f t="shared" si="42"/>
        <v>4.6720932449187077E-4</v>
      </c>
      <c r="S63" s="2819">
        <f t="shared" si="37"/>
        <v>4.0425633889616162</v>
      </c>
      <c r="T63" s="2828">
        <f t="shared" si="37"/>
        <v>135.94599999999997</v>
      </c>
      <c r="U63" s="2822">
        <f t="shared" si="32"/>
        <v>14.783774143680791</v>
      </c>
      <c r="V63" s="2823">
        <f t="shared" si="32"/>
        <v>9.8747287617331381</v>
      </c>
      <c r="W63" s="2823">
        <f t="shared" si="32"/>
        <v>10.452690074776868</v>
      </c>
      <c r="X63" s="2823">
        <f t="shared" si="32"/>
        <v>10.143494602453554</v>
      </c>
      <c r="Y63" s="2823">
        <f t="shared" si="32"/>
        <v>9.6915198774121869</v>
      </c>
      <c r="Z63" s="2823">
        <f t="shared" si="32"/>
        <v>12.212213229877138</v>
      </c>
      <c r="AA63" s="2824">
        <f t="shared" si="32"/>
        <v>11.006410548169905</v>
      </c>
      <c r="AB63" s="2822">
        <f t="shared" si="33"/>
        <v>6.5740432772748356</v>
      </c>
      <c r="AC63" s="2823">
        <f t="shared" si="33"/>
        <v>4.7814867989981442</v>
      </c>
      <c r="AD63" s="2823">
        <f t="shared" si="33"/>
        <v>4.9338925894692487</v>
      </c>
      <c r="AE63" s="2823">
        <f t="shared" si="33"/>
        <v>4.8329678093099266</v>
      </c>
      <c r="AF63" s="2823">
        <f t="shared" si="33"/>
        <v>4.8309813909943378</v>
      </c>
      <c r="AG63" s="2823">
        <f t="shared" si="33"/>
        <v>5.6358810098992933</v>
      </c>
      <c r="AH63" s="2824">
        <f t="shared" si="33"/>
        <v>5.1482193749950245</v>
      </c>
      <c r="AI63" s="2825">
        <f>'A1.3.4'!$J$27/100</f>
        <v>0.1205924519584583</v>
      </c>
      <c r="AJ63" s="2822">
        <f t="shared" si="34"/>
        <v>7.5640748523737686</v>
      </c>
      <c r="AK63" s="2823">
        <f t="shared" si="34"/>
        <v>5.3956933357020676</v>
      </c>
      <c r="AL63" s="2823">
        <f t="shared" si="34"/>
        <v>5.5994179100846688</v>
      </c>
      <c r="AM63" s="2823">
        <f t="shared" si="34"/>
        <v>5.4733772564862049</v>
      </c>
      <c r="AN63" s="2823">
        <f t="shared" si="34"/>
        <v>5.4171256449099197</v>
      </c>
      <c r="AO63" s="2823">
        <f t="shared" si="34"/>
        <v>6.4289370371998338</v>
      </c>
      <c r="AP63" s="2824">
        <f t="shared" si="34"/>
        <v>5.854673012609581</v>
      </c>
      <c r="AQ63" s="2829" t="str">
        <f t="shared" si="6"/>
        <v>2045/46</v>
      </c>
      <c r="AR63" s="2830">
        <f t="shared" si="39"/>
        <v>2.2999999999999998</v>
      </c>
      <c r="AS63" s="2826">
        <f>'Cost and rev series'!F62</f>
        <v>3</v>
      </c>
      <c r="AT63" s="2826">
        <f t="shared" si="39"/>
        <v>0.8727288026266331</v>
      </c>
      <c r="AU63" s="2827">
        <f t="shared" si="27"/>
        <v>1.3761908676431653</v>
      </c>
      <c r="AV63" s="3180">
        <f t="shared" si="43"/>
        <v>49.998877600940332</v>
      </c>
      <c r="AW63" s="2823">
        <f t="shared" si="44"/>
        <v>48.02421873635258</v>
      </c>
      <c r="AX63" s="2823">
        <f t="shared" si="45"/>
        <v>48.247872956640755</v>
      </c>
      <c r="AY63" s="2823">
        <f t="shared" si="46"/>
        <v>48.364393480365209</v>
      </c>
      <c r="AZ63" s="2823">
        <f t="shared" si="47"/>
        <v>48.385879388689943</v>
      </c>
      <c r="BA63" s="2823">
        <f t="shared" si="48"/>
        <v>47.89810177218677</v>
      </c>
      <c r="BB63" s="2823">
        <f t="shared" si="49"/>
        <v>47.471662023898794</v>
      </c>
      <c r="BC63" s="2823">
        <f t="shared" si="50"/>
        <v>47.652857244390177</v>
      </c>
      <c r="BD63" s="2824">
        <f t="shared" si="51"/>
        <v>48.412925083249618</v>
      </c>
      <c r="BE63" s="2823"/>
      <c r="BF63" s="2825">
        <f t="shared" si="16"/>
        <v>2045</v>
      </c>
      <c r="BG63" s="2819">
        <f t="shared" si="35"/>
        <v>28.498651855342324</v>
      </c>
      <c r="BH63" s="2820">
        <f t="shared" si="35"/>
        <v>5.6277728749200788</v>
      </c>
      <c r="BI63" s="2820">
        <f t="shared" si="35"/>
        <v>-5.5361387854988064E-2</v>
      </c>
      <c r="BJ63" s="2828">
        <f t="shared" si="35"/>
        <v>3.8934377517211107E-4</v>
      </c>
      <c r="BK63" s="2819">
        <f t="shared" si="35"/>
        <v>34.198382226410793</v>
      </c>
      <c r="BL63" s="2820">
        <f t="shared" si="35"/>
        <v>6.6819146652719628</v>
      </c>
      <c r="BM63" s="2820">
        <f t="shared" si="35"/>
        <v>-6.6433665425985666E-2</v>
      </c>
      <c r="BN63" s="2828">
        <f t="shared" si="35"/>
        <v>4.6721253020653341E-4</v>
      </c>
      <c r="BO63" s="2822">
        <f t="shared" si="24"/>
        <v>4.3497200048367022</v>
      </c>
      <c r="BP63" s="2823">
        <f t="shared" si="18"/>
        <v>5.1482512211719111</v>
      </c>
      <c r="BQ63" s="2824">
        <f t="shared" si="19"/>
        <v>5.0519543838286793</v>
      </c>
    </row>
    <row r="64" spans="1:69" ht="13.5" customHeight="1">
      <c r="A64" s="2822"/>
      <c r="B64" s="2547">
        <v>2046</v>
      </c>
      <c r="C64" s="64"/>
      <c r="D64" s="2531">
        <f t="shared" ref="D64:J67" si="52">D63*(D$68/D$63)^(1/5)</f>
        <v>26.058662765431958</v>
      </c>
      <c r="E64" s="2258">
        <f t="shared" si="52"/>
        <v>75.856411366067363</v>
      </c>
      <c r="F64" s="2258">
        <f t="shared" si="52"/>
        <v>60.629710847529999</v>
      </c>
      <c r="G64" s="2258">
        <f t="shared" si="52"/>
        <v>67.343229560191659</v>
      </c>
      <c r="H64" s="2258">
        <f t="shared" si="52"/>
        <v>86.732137515071628</v>
      </c>
      <c r="I64" s="2258">
        <f t="shared" si="52"/>
        <v>39.755137276237669</v>
      </c>
      <c r="J64" s="2532">
        <f t="shared" si="52"/>
        <v>51.922061331785677</v>
      </c>
      <c r="K64" s="2816">
        <f t="shared" si="41"/>
        <v>28.613149972730668</v>
      </c>
      <c r="L64" s="2817">
        <f t="shared" si="41"/>
        <v>5.6485429658261976</v>
      </c>
      <c r="M64" s="2817">
        <f t="shared" si="41"/>
        <v>-5.5584900928613554E-2</v>
      </c>
      <c r="N64" s="2818">
        <f t="shared" si="41"/>
        <v>3.9091343045867625E-4</v>
      </c>
      <c r="O64" s="2819">
        <f t="shared" si="42"/>
        <v>34.3357799672768</v>
      </c>
      <c r="P64" s="2820">
        <f t="shared" si="42"/>
        <v>6.7068387743593059</v>
      </c>
      <c r="Q64" s="2820">
        <f t="shared" si="42"/>
        <v>-6.6701881114336267E-2</v>
      </c>
      <c r="R64" s="2821">
        <f t="shared" si="42"/>
        <v>4.6909611655041148E-4</v>
      </c>
      <c r="S64" s="2819">
        <f t="shared" si="37"/>
        <v>4.0425633889616162</v>
      </c>
      <c r="T64" s="2828">
        <f t="shared" si="37"/>
        <v>135.94599999999997</v>
      </c>
      <c r="U64" s="2822">
        <f t="shared" si="32"/>
        <v>14.823039363837664</v>
      </c>
      <c r="V64" s="2823">
        <f t="shared" si="32"/>
        <v>9.8933779877211627</v>
      </c>
      <c r="W64" s="2823">
        <f t="shared" si="32"/>
        <v>10.472159564097822</v>
      </c>
      <c r="X64" s="2823">
        <f t="shared" si="32"/>
        <v>10.164263869653052</v>
      </c>
      <c r="Y64" s="2823">
        <f t="shared" si="32"/>
        <v>9.7080672857804817</v>
      </c>
      <c r="Z64" s="2823">
        <f t="shared" si="32"/>
        <v>12.238466170217546</v>
      </c>
      <c r="AA64" s="2824">
        <f t="shared" si="32"/>
        <v>11.028236737695931</v>
      </c>
      <c r="AB64" s="2822">
        <f t="shared" si="33"/>
        <v>6.6048524950639917</v>
      </c>
      <c r="AC64" s="2823">
        <f t="shared" si="33"/>
        <v>4.798985803737966</v>
      </c>
      <c r="AD64" s="2823">
        <f t="shared" si="33"/>
        <v>4.9534218071739913</v>
      </c>
      <c r="AE64" s="2823">
        <f t="shared" si="33"/>
        <v>4.852183827668255</v>
      </c>
      <c r="AF64" s="2823">
        <f t="shared" si="33"/>
        <v>4.846283560752692</v>
      </c>
      <c r="AG64" s="2823">
        <f t="shared" si="33"/>
        <v>5.6601706990961196</v>
      </c>
      <c r="AH64" s="2824">
        <f t="shared" si="33"/>
        <v>5.169470668151348</v>
      </c>
      <c r="AI64" s="2825">
        <f>'A1.3.4'!$J$27/100</f>
        <v>0.1205924519584583</v>
      </c>
      <c r="AJ64" s="2822">
        <f t="shared" si="34"/>
        <v>7.5959038002222137</v>
      </c>
      <c r="AK64" s="2823">
        <f t="shared" si="34"/>
        <v>5.4133310484425055</v>
      </c>
      <c r="AL64" s="2823">
        <f t="shared" si="34"/>
        <v>5.6189399249971581</v>
      </c>
      <c r="AM64" s="2823">
        <f t="shared" si="34"/>
        <v>5.4927805849307925</v>
      </c>
      <c r="AN64" s="2823">
        <f t="shared" si="34"/>
        <v>5.4325779810455197</v>
      </c>
      <c r="AO64" s="2823">
        <f t="shared" si="34"/>
        <v>6.4534634796658743</v>
      </c>
      <c r="AP64" s="2824">
        <f t="shared" si="34"/>
        <v>5.8759936339287488</v>
      </c>
      <c r="AQ64" s="2829" t="str">
        <f t="shared" si="6"/>
        <v>2046/47</v>
      </c>
      <c r="AR64" s="2830">
        <f t="shared" si="39"/>
        <v>2.2999999999999998</v>
      </c>
      <c r="AS64" s="2826">
        <f>'Cost and rev series'!F63</f>
        <v>3</v>
      </c>
      <c r="AT64" s="2826">
        <f t="shared" si="39"/>
        <v>0.8727288026266331</v>
      </c>
      <c r="AU64" s="2827">
        <f t="shared" si="27"/>
        <v>1.3856076184481532</v>
      </c>
      <c r="AV64" s="3180">
        <f t="shared" si="43"/>
        <v>49.8681885110217</v>
      </c>
      <c r="AW64" s="2823">
        <f t="shared" si="44"/>
        <v>47.853962176052029</v>
      </c>
      <c r="AX64" s="2823">
        <f t="shared" si="45"/>
        <v>48.087199406592788</v>
      </c>
      <c r="AY64" s="2823">
        <f t="shared" si="46"/>
        <v>48.206185673558366</v>
      </c>
      <c r="AZ64" s="2823">
        <f t="shared" si="47"/>
        <v>48.240527988249781</v>
      </c>
      <c r="BA64" s="2823">
        <f t="shared" si="48"/>
        <v>47.73286644915008</v>
      </c>
      <c r="BB64" s="2823">
        <f t="shared" si="49"/>
        <v>47.289043174721996</v>
      </c>
      <c r="BC64" s="2823">
        <f t="shared" si="50"/>
        <v>47.47762469507056</v>
      </c>
      <c r="BD64" s="2824">
        <f t="shared" si="51"/>
        <v>48.25916187293074</v>
      </c>
      <c r="BE64" s="2823"/>
      <c r="BF64" s="2825">
        <f t="shared" si="16"/>
        <v>2046</v>
      </c>
      <c r="BG64" s="2819">
        <f t="shared" si="35"/>
        <v>28.613346172850108</v>
      </c>
      <c r="BH64" s="2820">
        <f t="shared" si="35"/>
        <v>5.6485785567547611</v>
      </c>
      <c r="BI64" s="2820">
        <f t="shared" si="35"/>
        <v>-5.5585283933092089E-2</v>
      </c>
      <c r="BJ64" s="2828">
        <f t="shared" si="35"/>
        <v>3.9091612016713373E-4</v>
      </c>
      <c r="BK64" s="2819">
        <f t="shared" si="35"/>
        <v>34.336015407420128</v>
      </c>
      <c r="BL64" s="2820">
        <f t="shared" si="35"/>
        <v>6.7068814834735822</v>
      </c>
      <c r="BM64" s="2820">
        <f t="shared" si="35"/>
        <v>-6.6702340719710498E-2</v>
      </c>
      <c r="BN64" s="2828">
        <f t="shared" si="35"/>
        <v>4.6909934420056047E-4</v>
      </c>
      <c r="BO64" s="2822">
        <f t="shared" si="24"/>
        <v>4.3674296117952309</v>
      </c>
      <c r="BP64" s="2823">
        <f t="shared" si="18"/>
        <v>5.1695027495221462</v>
      </c>
      <c r="BQ64" s="2824">
        <f t="shared" si="19"/>
        <v>5.0727787831936428</v>
      </c>
    </row>
    <row r="65" spans="1:69" ht="13.5" customHeight="1">
      <c r="A65" s="2822"/>
      <c r="B65" s="2547">
        <v>2047</v>
      </c>
      <c r="C65" s="64"/>
      <c r="D65" s="2531">
        <f t="shared" si="52"/>
        <v>25.990775996383174</v>
      </c>
      <c r="E65" s="2258">
        <f t="shared" si="52"/>
        <v>75.68427895901236</v>
      </c>
      <c r="F65" s="2258">
        <f t="shared" si="52"/>
        <v>60.543314651685684</v>
      </c>
      <c r="G65" s="2258">
        <f t="shared" si="52"/>
        <v>67.184573795738388</v>
      </c>
      <c r="H65" s="2258">
        <f t="shared" si="52"/>
        <v>86.522110997823773</v>
      </c>
      <c r="I65" s="2258">
        <f t="shared" si="52"/>
        <v>39.685248844808982</v>
      </c>
      <c r="J65" s="2532">
        <f t="shared" si="52"/>
        <v>51.840422848924106</v>
      </c>
      <c r="K65" s="2816">
        <f t="shared" si="41"/>
        <v>28.728627757317348</v>
      </c>
      <c r="L65" s="2817">
        <f t="shared" si="41"/>
        <v>5.6694907694950372</v>
      </c>
      <c r="M65" s="2817">
        <f t="shared" si="41"/>
        <v>-5.5810326421688636E-2</v>
      </c>
      <c r="N65" s="2818">
        <f t="shared" si="41"/>
        <v>3.9249651600795684E-4</v>
      </c>
      <c r="O65" s="2819">
        <f t="shared" si="42"/>
        <v>34.474353308780813</v>
      </c>
      <c r="P65" s="2820">
        <f t="shared" si="42"/>
        <v>6.7319761387619135</v>
      </c>
      <c r="Q65" s="2820">
        <f t="shared" si="42"/>
        <v>-6.6972391706026355E-2</v>
      </c>
      <c r="R65" s="2821">
        <f t="shared" si="42"/>
        <v>4.7099581920954827E-4</v>
      </c>
      <c r="S65" s="2819">
        <f t="shared" si="37"/>
        <v>4.0425633889616162</v>
      </c>
      <c r="T65" s="2828">
        <f t="shared" si="37"/>
        <v>135.94599999999997</v>
      </c>
      <c r="U65" s="2822">
        <f t="shared" si="32"/>
        <v>14.862527191994072</v>
      </c>
      <c r="V65" s="2823">
        <f t="shared" si="32"/>
        <v>9.9121633164676446</v>
      </c>
      <c r="W65" s="2823">
        <f t="shared" si="32"/>
        <v>10.491752558945141</v>
      </c>
      <c r="X65" s="2823">
        <f t="shared" si="32"/>
        <v>10.185176923917918</v>
      </c>
      <c r="Y65" s="2823">
        <f t="shared" si="32"/>
        <v>9.7247519404658451</v>
      </c>
      <c r="Z65" s="2823">
        <f t="shared" si="32"/>
        <v>12.264875005574151</v>
      </c>
      <c r="AA65" s="2824">
        <f t="shared" si="32"/>
        <v>11.050197919075066</v>
      </c>
      <c r="AB65" s="2822">
        <f t="shared" si="33"/>
        <v>6.635886243937394</v>
      </c>
      <c r="AC65" s="2823">
        <f t="shared" si="33"/>
        <v>4.8166370328173773</v>
      </c>
      <c r="AD65" s="2823">
        <f t="shared" si="33"/>
        <v>4.9730937600944225</v>
      </c>
      <c r="AE65" s="2823">
        <f t="shared" si="33"/>
        <v>4.8715589132345132</v>
      </c>
      <c r="AF65" s="2823">
        <f t="shared" si="33"/>
        <v>4.8617393698190092</v>
      </c>
      <c r="AG65" s="2823">
        <f t="shared" si="33"/>
        <v>5.6846347582492402</v>
      </c>
      <c r="AH65" s="2824">
        <f t="shared" si="33"/>
        <v>5.1908761717903182</v>
      </c>
      <c r="AI65" s="2825">
        <f>'A1.3.4'!$J$27/100</f>
        <v>0.1205924519584583</v>
      </c>
      <c r="AJ65" s="2822">
        <f t="shared" si="34"/>
        <v>7.6279570472454052</v>
      </c>
      <c r="AK65" s="2823">
        <f t="shared" si="34"/>
        <v>5.4311190413815345</v>
      </c>
      <c r="AL65" s="2823">
        <f t="shared" si="34"/>
        <v>5.638602356169951</v>
      </c>
      <c r="AM65" s="2823">
        <f t="shared" si="34"/>
        <v>5.5123411379134515</v>
      </c>
      <c r="AN65" s="2823">
        <f t="shared" si="34"/>
        <v>5.4481819796181172</v>
      </c>
      <c r="AO65" s="2823">
        <f t="shared" si="34"/>
        <v>6.4781620641498838</v>
      </c>
      <c r="AP65" s="2824">
        <f t="shared" si="34"/>
        <v>5.8974661481089043</v>
      </c>
      <c r="AQ65" s="2829" t="str">
        <f t="shared" si="6"/>
        <v>2047/48</v>
      </c>
      <c r="AR65" s="2830">
        <f t="shared" si="39"/>
        <v>2.2999999999999998</v>
      </c>
      <c r="AS65" s="2826">
        <f>'Cost and rev series'!F64</f>
        <v>3</v>
      </c>
      <c r="AT65" s="2826">
        <f t="shared" si="39"/>
        <v>0.8727288026266331</v>
      </c>
      <c r="AU65" s="2827">
        <f t="shared" si="27"/>
        <v>1.3950888044981409</v>
      </c>
      <c r="AV65" s="2822">
        <f t="shared" si="43"/>
        <v>49.738430288390902</v>
      </c>
      <c r="AW65" s="2823">
        <f t="shared" si="44"/>
        <v>47.685122265914444</v>
      </c>
      <c r="AX65" s="2823">
        <f t="shared" si="45"/>
        <v>47.927675965474947</v>
      </c>
      <c r="AY65" s="2823">
        <f t="shared" si="46"/>
        <v>48.049266080284525</v>
      </c>
      <c r="AZ65" s="2823">
        <f t="shared" si="47"/>
        <v>48.096196611398142</v>
      </c>
      <c r="BA65" s="2823">
        <f t="shared" si="48"/>
        <v>47.568957977087734</v>
      </c>
      <c r="BB65" s="2823">
        <f t="shared" si="49"/>
        <v>47.108019420466675</v>
      </c>
      <c r="BC65" s="2823">
        <f t="shared" si="50"/>
        <v>47.303873263208224</v>
      </c>
      <c r="BD65" s="2824">
        <f t="shared" si="51"/>
        <v>48.106492728659035</v>
      </c>
      <c r="BE65" s="2823"/>
      <c r="BF65" s="2825">
        <f t="shared" si="16"/>
        <v>2047</v>
      </c>
      <c r="BG65" s="2819">
        <f t="shared" si="35"/>
        <v>28.728825299959603</v>
      </c>
      <c r="BH65" s="2820">
        <f t="shared" si="35"/>
        <v>5.6695266039587917</v>
      </c>
      <c r="BI65" s="2820">
        <f t="shared" si="35"/>
        <v>-5.581071204692116E-2</v>
      </c>
      <c r="BJ65" s="2828">
        <f t="shared" si="35"/>
        <v>3.9249922412106658E-4</v>
      </c>
      <c r="BK65" s="2819">
        <f t="shared" si="35"/>
        <v>34.47459035995152</v>
      </c>
      <c r="BL65" s="2820">
        <f t="shared" si="35"/>
        <v>6.7320191401184184</v>
      </c>
      <c r="BM65" s="2820">
        <f t="shared" si="35"/>
        <v>-6.6972854456305395E-2</v>
      </c>
      <c r="BN65" s="2828">
        <f t="shared" si="35"/>
        <v>4.7099906894527993E-4</v>
      </c>
      <c r="BO65" s="2822">
        <f t="shared" si="24"/>
        <v>4.3852677289611224</v>
      </c>
      <c r="BP65" s="2823">
        <f t="shared" si="18"/>
        <v>5.190908490121215</v>
      </c>
      <c r="BQ65" s="2824">
        <f t="shared" si="19"/>
        <v>5.0937542953352413</v>
      </c>
    </row>
    <row r="66" spans="1:69" ht="13.5" customHeight="1">
      <c r="A66" s="2822"/>
      <c r="B66" s="2547">
        <v>2048</v>
      </c>
      <c r="C66" s="64"/>
      <c r="D66" s="2531">
        <f t="shared" si="52"/>
        <v>25.923066082664743</v>
      </c>
      <c r="E66" s="2258">
        <f t="shared" si="52"/>
        <v>75.512537152633357</v>
      </c>
      <c r="F66" s="2258">
        <f t="shared" si="52"/>
        <v>60.45704156879296</v>
      </c>
      <c r="G66" s="2258">
        <f t="shared" si="52"/>
        <v>67.026291812758899</v>
      </c>
      <c r="H66" s="2258">
        <f t="shared" si="52"/>
        <v>86.312593071038592</v>
      </c>
      <c r="I66" s="2258">
        <f t="shared" si="52"/>
        <v>39.615483275309153</v>
      </c>
      <c r="J66" s="2532">
        <f t="shared" si="52"/>
        <v>51.758912728491012</v>
      </c>
      <c r="K66" s="2816">
        <f t="shared" si="41"/>
        <v>28.844895712473054</v>
      </c>
      <c r="L66" s="2817">
        <f t="shared" si="41"/>
        <v>5.690581911018894</v>
      </c>
      <c r="M66" s="2817">
        <f t="shared" si="41"/>
        <v>-5.6037294415693842E-2</v>
      </c>
      <c r="N66" s="2818">
        <f t="shared" si="41"/>
        <v>3.9409043400967639E-4</v>
      </c>
      <c r="O66" s="2819">
        <f t="shared" si="42"/>
        <v>34.613874854967662</v>
      </c>
      <c r="P66" s="2820">
        <f t="shared" si="42"/>
        <v>6.7572855085905417</v>
      </c>
      <c r="Q66" s="2820">
        <f t="shared" si="42"/>
        <v>-6.7244753298832616E-2</v>
      </c>
      <c r="R66" s="2821">
        <f t="shared" si="42"/>
        <v>4.7290852081161168E-4</v>
      </c>
      <c r="S66" s="2819">
        <f t="shared" ref="S66:T78" si="53">IF(ISERROR(VLOOKUP($B66,Non_fuel_op_cost,1,0)),S65,VLOOKUP($B66,Non_fuel_op_cost,S$22,1))</f>
        <v>4.0425633889616162</v>
      </c>
      <c r="T66" s="2828">
        <f t="shared" si="53"/>
        <v>135.94599999999997</v>
      </c>
      <c r="U66" s="2822">
        <f t="shared" si="32"/>
        <v>14.90223917982383</v>
      </c>
      <c r="V66" s="2823">
        <f t="shared" si="32"/>
        <v>9.9310856272340171</v>
      </c>
      <c r="W66" s="2823">
        <f t="shared" si="32"/>
        <v>10.511469926607202</v>
      </c>
      <c r="X66" s="2823">
        <f t="shared" si="32"/>
        <v>10.206234719444742</v>
      </c>
      <c r="Y66" s="2823">
        <f t="shared" si="32"/>
        <v>9.7415746559983045</v>
      </c>
      <c r="Z66" s="2823">
        <f t="shared" si="32"/>
        <v>12.29144083652252</v>
      </c>
      <c r="AA66" s="2824">
        <f t="shared" si="32"/>
        <v>11.072295045069954</v>
      </c>
      <c r="AB66" s="2822">
        <f t="shared" si="33"/>
        <v>6.6671462746381582</v>
      </c>
      <c r="AC66" s="2823">
        <f t="shared" si="33"/>
        <v>4.8344415161071739</v>
      </c>
      <c r="AD66" s="2823">
        <f t="shared" si="33"/>
        <v>4.9929094811688017</v>
      </c>
      <c r="AE66" s="2823">
        <f t="shared" si="33"/>
        <v>4.8910941792181566</v>
      </c>
      <c r="AF66" s="2823">
        <f t="shared" si="33"/>
        <v>4.8773497687909702</v>
      </c>
      <c r="AG66" s="2823">
        <f t="shared" si="33"/>
        <v>5.7092744856766142</v>
      </c>
      <c r="AH66" s="2824">
        <f t="shared" si="33"/>
        <v>5.2124370169755503</v>
      </c>
      <c r="AI66" s="2825">
        <f>'A1.3.4'!$J$27/100</f>
        <v>0.1205924519584583</v>
      </c>
      <c r="AJ66" s="2822">
        <f t="shared" si="34"/>
        <v>7.6602363201802026</v>
      </c>
      <c r="AK66" s="2823">
        <f t="shared" si="34"/>
        <v>5.4490583262275969</v>
      </c>
      <c r="AL66" s="2823">
        <f t="shared" si="34"/>
        <v>5.6584062165651803</v>
      </c>
      <c r="AM66" s="2823">
        <f t="shared" si="34"/>
        <v>5.5320600094678856</v>
      </c>
      <c r="AN66" s="2823">
        <f t="shared" si="34"/>
        <v>5.463938574816658</v>
      </c>
      <c r="AO66" s="2823">
        <f t="shared" si="34"/>
        <v>6.5030340651235807</v>
      </c>
      <c r="AP66" s="2824">
        <f t="shared" si="34"/>
        <v>5.9190916647119103</v>
      </c>
      <c r="AQ66" s="2829" t="str">
        <f t="shared" si="6"/>
        <v>2048/49</v>
      </c>
      <c r="AR66" s="2830">
        <f t="shared" si="39"/>
        <v>2.2999999999999998</v>
      </c>
      <c r="AS66" s="2826">
        <f>'Cost and rev series'!F65</f>
        <v>3</v>
      </c>
      <c r="AT66" s="2826">
        <f t="shared" si="39"/>
        <v>0.8727288026266331</v>
      </c>
      <c r="AU66" s="2827">
        <f t="shared" si="27"/>
        <v>1.4046348666990083</v>
      </c>
      <c r="AV66" s="2822">
        <f t="shared" si="43"/>
        <v>49.609597561462365</v>
      </c>
      <c r="AW66" s="2823">
        <f t="shared" si="44"/>
        <v>47.517687473688369</v>
      </c>
      <c r="AX66" s="2823">
        <f t="shared" si="45"/>
        <v>47.769294863173378</v>
      </c>
      <c r="AY66" s="2823">
        <f t="shared" si="46"/>
        <v>47.893624659447454</v>
      </c>
      <c r="AZ66" s="2823">
        <f t="shared" si="47"/>
        <v>47.952878820221663</v>
      </c>
      <c r="BA66" s="2823">
        <f t="shared" si="48"/>
        <v>47.406365912761544</v>
      </c>
      <c r="BB66" s="2823">
        <f t="shared" si="49"/>
        <v>46.928576816238049</v>
      </c>
      <c r="BC66" s="2823">
        <f t="shared" si="50"/>
        <v>47.131590491770218</v>
      </c>
      <c r="BD66" s="2824">
        <f t="shared" si="51"/>
        <v>47.954910451510713</v>
      </c>
      <c r="BE66" s="2823"/>
      <c r="BF66" s="2825">
        <f t="shared" si="16"/>
        <v>2048</v>
      </c>
      <c r="BG66" s="2819">
        <f t="shared" si="35"/>
        <v>28.845094606824492</v>
      </c>
      <c r="BH66" s="2820">
        <f t="shared" si="35"/>
        <v>5.6906179906842578</v>
      </c>
      <c r="BI66" s="2820">
        <f t="shared" si="35"/>
        <v>-5.6037682679613204E-2</v>
      </c>
      <c r="BJ66" s="2828">
        <f t="shared" si="35"/>
        <v>3.9409316065337438E-4</v>
      </c>
      <c r="BK66" s="2819">
        <f t="shared" si="35"/>
        <v>34.614113528189392</v>
      </c>
      <c r="BL66" s="2820">
        <f t="shared" si="35"/>
        <v>6.7573288041889779</v>
      </c>
      <c r="BM66" s="2820">
        <f t="shared" si="35"/>
        <v>-6.7245219215535848E-2</v>
      </c>
      <c r="BN66" s="2828">
        <f t="shared" si="35"/>
        <v>4.7291179278404925E-4</v>
      </c>
      <c r="BO66" s="2822">
        <f t="shared" si="24"/>
        <v>4.4032352988984353</v>
      </c>
      <c r="BP66" s="2823">
        <f t="shared" si="18"/>
        <v>5.2124695740459908</v>
      </c>
      <c r="BQ66" s="2824">
        <f t="shared" si="19"/>
        <v>5.1148820285971217</v>
      </c>
    </row>
    <row r="67" spans="1:69" ht="13.5" customHeight="1">
      <c r="A67" s="2822"/>
      <c r="B67" s="2547">
        <v>2049</v>
      </c>
      <c r="C67" s="64"/>
      <c r="D67" s="2531">
        <f t="shared" si="52"/>
        <v>25.855532563541701</v>
      </c>
      <c r="E67" s="2258">
        <f t="shared" si="52"/>
        <v>75.341185060584252</v>
      </c>
      <c r="F67" s="2258">
        <f t="shared" si="52"/>
        <v>60.370891423418186</v>
      </c>
      <c r="G67" s="2258">
        <f t="shared" si="52"/>
        <v>66.868382730651149</v>
      </c>
      <c r="H67" s="2258">
        <f t="shared" si="52"/>
        <v>86.103582503137019</v>
      </c>
      <c r="I67" s="2258">
        <f t="shared" si="52"/>
        <v>39.5458403517503</v>
      </c>
      <c r="J67" s="2532">
        <f t="shared" si="52"/>
        <v>51.67753076865862</v>
      </c>
      <c r="K67" s="2816">
        <f t="shared" si="41"/>
        <v>28.961959245034521</v>
      </c>
      <c r="L67" s="2817">
        <f t="shared" si="41"/>
        <v>5.7118173712042051</v>
      </c>
      <c r="M67" s="2817">
        <f t="shared" si="41"/>
        <v>-5.6265815465376498E-2</v>
      </c>
      <c r="N67" s="2818">
        <f t="shared" si="41"/>
        <v>3.9569525858618778E-4</v>
      </c>
      <c r="O67" s="2819">
        <f t="shared" si="42"/>
        <v>34.754351094041425</v>
      </c>
      <c r="P67" s="2820">
        <f t="shared" si="42"/>
        <v>6.7827680608129146</v>
      </c>
      <c r="Q67" s="2820">
        <f t="shared" si="42"/>
        <v>-6.7518978558451806E-2</v>
      </c>
      <c r="R67" s="2821">
        <f t="shared" si="42"/>
        <v>4.748343103034253E-4</v>
      </c>
      <c r="S67" s="2819">
        <f t="shared" si="53"/>
        <v>4.0425633889616162</v>
      </c>
      <c r="T67" s="2828">
        <f t="shared" si="53"/>
        <v>135.94599999999997</v>
      </c>
      <c r="U67" s="2822">
        <f t="shared" si="32"/>
        <v>14.942176890877221</v>
      </c>
      <c r="V67" s="2823">
        <f t="shared" si="32"/>
        <v>9.9501458068389237</v>
      </c>
      <c r="W67" s="2823">
        <f t="shared" si="32"/>
        <v>10.531312540890724</v>
      </c>
      <c r="X67" s="2823">
        <f t="shared" si="32"/>
        <v>10.227438218406306</v>
      </c>
      <c r="Y67" s="2823">
        <f t="shared" si="32"/>
        <v>9.7585362546147536</v>
      </c>
      <c r="Z67" s="2823">
        <f t="shared" si="32"/>
        <v>12.318164771869354</v>
      </c>
      <c r="AA67" s="2824">
        <f t="shared" si="32"/>
        <v>11.094529075599365</v>
      </c>
      <c r="AB67" s="2822">
        <f t="shared" si="33"/>
        <v>6.6986343518705498</v>
      </c>
      <c r="AC67" s="2823">
        <f t="shared" si="33"/>
        <v>4.8524002924893939</v>
      </c>
      <c r="AD67" s="2823">
        <f t="shared" si="33"/>
        <v>5.0128700111462674</v>
      </c>
      <c r="AE67" s="2823">
        <f t="shared" si="33"/>
        <v>4.9107907483249127</v>
      </c>
      <c r="AF67" s="2823">
        <f t="shared" si="33"/>
        <v>4.8931157174493585</v>
      </c>
      <c r="AG67" s="2823">
        <f t="shared" si="33"/>
        <v>5.7340911895341602</v>
      </c>
      <c r="AH67" s="2824">
        <f t="shared" si="33"/>
        <v>5.2341543433387017</v>
      </c>
      <c r="AI67" s="2825">
        <f>'A1.3.4'!$J$27/100</f>
        <v>0.1205924519584583</v>
      </c>
      <c r="AJ67" s="2822">
        <f t="shared" si="34"/>
        <v>7.6927433594732202</v>
      </c>
      <c r="AK67" s="2823">
        <f t="shared" si="34"/>
        <v>5.467149923525036</v>
      </c>
      <c r="AL67" s="2823">
        <f t="shared" si="34"/>
        <v>5.6783525267999888</v>
      </c>
      <c r="AM67" s="2823">
        <f t="shared" si="34"/>
        <v>5.5519383029407621</v>
      </c>
      <c r="AN67" s="2823">
        <f t="shared" si="34"/>
        <v>5.4798487098351734</v>
      </c>
      <c r="AO67" s="2823">
        <f t="shared" si="34"/>
        <v>6.528080766702872</v>
      </c>
      <c r="AP67" s="2824">
        <f t="shared" si="34"/>
        <v>5.9408713016974088</v>
      </c>
      <c r="AQ67" s="2829" t="str">
        <f t="shared" si="6"/>
        <v>2049/50</v>
      </c>
      <c r="AR67" s="2830">
        <f t="shared" si="39"/>
        <v>2.2999999999999998</v>
      </c>
      <c r="AS67" s="2826">
        <f>'Cost and rev series'!F66</f>
        <v>3</v>
      </c>
      <c r="AT67" s="2826">
        <f t="shared" si="39"/>
        <v>0.8727288026266331</v>
      </c>
      <c r="AU67" s="2827">
        <f t="shared" si="27"/>
        <v>1.4142462489735863</v>
      </c>
      <c r="AV67" s="2822">
        <f t="shared" si="43"/>
        <v>49.481684992405597</v>
      </c>
      <c r="AW67" s="2823">
        <f t="shared" si="44"/>
        <v>47.351646375955745</v>
      </c>
      <c r="AX67" s="2823">
        <f t="shared" si="45"/>
        <v>47.61204838513838</v>
      </c>
      <c r="AY67" s="2823">
        <f t="shared" si="46"/>
        <v>47.739251461536902</v>
      </c>
      <c r="AZ67" s="2823">
        <f t="shared" si="47"/>
        <v>47.810568219121969</v>
      </c>
      <c r="BA67" s="2823">
        <f t="shared" si="48"/>
        <v>47.245079907932642</v>
      </c>
      <c r="BB67" s="2823">
        <f t="shared" si="49"/>
        <v>46.750701558199978</v>
      </c>
      <c r="BC67" s="2823">
        <f t="shared" si="50"/>
        <v>46.960764045211583</v>
      </c>
      <c r="BD67" s="2824">
        <f t="shared" si="51"/>
        <v>47.804407892490467</v>
      </c>
      <c r="BE67" s="2823"/>
      <c r="BF67" s="2825">
        <f t="shared" si="16"/>
        <v>2049</v>
      </c>
      <c r="BG67" s="2819">
        <f t="shared" si="35"/>
        <v>28.962159500344377</v>
      </c>
      <c r="BH67" s="2820">
        <f t="shared" si="35"/>
        <v>5.7118536977489995</v>
      </c>
      <c r="BI67" s="2820">
        <f t="shared" si="35"/>
        <v>-5.6266206386038228E-2</v>
      </c>
      <c r="BJ67" s="2828">
        <f t="shared" si="35"/>
        <v>3.9569800388727174E-4</v>
      </c>
      <c r="BK67" s="2819">
        <f t="shared" si="35"/>
        <v>34.754591400413247</v>
      </c>
      <c r="BL67" s="2820">
        <f t="shared" si="35"/>
        <v>6.7828116526666671</v>
      </c>
      <c r="BM67" s="2820">
        <f t="shared" si="35"/>
        <v>-6.7519447663245871E-2</v>
      </c>
      <c r="BN67" s="2828">
        <f t="shared" si="35"/>
        <v>4.7483760466472609E-4</v>
      </c>
      <c r="BO67" s="2822">
        <f t="shared" si="24"/>
        <v>4.4213332713113518</v>
      </c>
      <c r="BP67" s="2823">
        <f t="shared" si="18"/>
        <v>5.23418714094149</v>
      </c>
      <c r="BQ67" s="2824">
        <f t="shared" si="19"/>
        <v>5.1361630997188712</v>
      </c>
    </row>
    <row r="68" spans="1:69" ht="13.5" customHeight="1">
      <c r="A68" s="2822"/>
      <c r="B68" s="714">
        <v>2050</v>
      </c>
      <c r="C68" s="2672"/>
      <c r="D68" s="2307">
        <v>25.788174979479372</v>
      </c>
      <c r="E68" s="2243">
        <v>75.170221798530207</v>
      </c>
      <c r="F68" s="2243">
        <v>60.284864040377727</v>
      </c>
      <c r="G68" s="2243">
        <v>66.710845670887736</v>
      </c>
      <c r="H68" s="2243">
        <v>85.895078065522341</v>
      </c>
      <c r="I68" s="2243">
        <v>39.476319858524271</v>
      </c>
      <c r="J68" s="2530">
        <v>51.596276767916478</v>
      </c>
      <c r="K68" s="2816">
        <f t="shared" si="41"/>
        <v>29.079823798835406</v>
      </c>
      <c r="L68" s="2817">
        <f t="shared" si="41"/>
        <v>5.7331981375686905</v>
      </c>
      <c r="M68" s="2817">
        <f t="shared" si="41"/>
        <v>-5.6495900197706062E-2</v>
      </c>
      <c r="N68" s="2818">
        <f t="shared" si="41"/>
        <v>3.9731106436703494E-4</v>
      </c>
      <c r="O68" s="2819">
        <f t="shared" si="42"/>
        <v>34.89578855860249</v>
      </c>
      <c r="P68" s="2820">
        <f t="shared" si="42"/>
        <v>6.8084249804502974</v>
      </c>
      <c r="Q68" s="2820">
        <f t="shared" si="42"/>
        <v>-6.7795080237247271E-2</v>
      </c>
      <c r="R68" s="2821">
        <f t="shared" si="42"/>
        <v>4.7677327724044192E-4</v>
      </c>
      <c r="S68" s="2819">
        <f t="shared" si="53"/>
        <v>4.0425633889616162</v>
      </c>
      <c r="T68" s="2828">
        <f t="shared" si="53"/>
        <v>135.94599999999997</v>
      </c>
      <c r="U68" s="2822">
        <f t="shared" si="32"/>
        <v>14.982341900674749</v>
      </c>
      <c r="V68" s="2823">
        <f t="shared" si="32"/>
        <v>9.9693447497114747</v>
      </c>
      <c r="W68" s="2823">
        <f t="shared" si="32"/>
        <v>10.551281282168691</v>
      </c>
      <c r="X68" s="2823">
        <f t="shared" si="32"/>
        <v>10.248788391008432</v>
      </c>
      <c r="Y68" s="2823">
        <f t="shared" si="32"/>
        <v>9.7756375663103388</v>
      </c>
      <c r="Z68" s="2823">
        <f t="shared" si="32"/>
        <v>12.34504792871379</v>
      </c>
      <c r="AA68" s="2824">
        <f t="shared" si="32"/>
        <v>11.116900977790962</v>
      </c>
      <c r="AB68" s="2822">
        <f t="shared" si="33"/>
        <v>6.7303522544117156</v>
      </c>
      <c r="AC68" s="2823">
        <f t="shared" si="33"/>
        <v>4.8705144099210909</v>
      </c>
      <c r="AD68" s="2823">
        <f t="shared" si="33"/>
        <v>5.0329763986443075</v>
      </c>
      <c r="AE68" s="2823">
        <f t="shared" si="33"/>
        <v>4.9306497528248254</v>
      </c>
      <c r="AF68" s="2823">
        <f t="shared" si="33"/>
        <v>4.9090381848195506</v>
      </c>
      <c r="AG68" s="2823">
        <f t="shared" si="33"/>
        <v>5.7590861878892543</v>
      </c>
      <c r="AH68" s="2824">
        <f t="shared" si="33"/>
        <v>5.2560292991427939</v>
      </c>
      <c r="AI68" s="2825">
        <f>'A1.3.4'!$J$27/100</f>
        <v>0.1205924519584583</v>
      </c>
      <c r="AJ68" s="2822">
        <f t="shared" si="34"/>
        <v>7.725479919390386</v>
      </c>
      <c r="AK68" s="2823">
        <f t="shared" si="34"/>
        <v>5.4853948627165927</v>
      </c>
      <c r="AL68" s="2823">
        <f t="shared" si="34"/>
        <v>5.6984423152028478</v>
      </c>
      <c r="AM68" s="2823">
        <f t="shared" si="34"/>
        <v>5.5719771310584036</v>
      </c>
      <c r="AN68" s="2823">
        <f t="shared" si="34"/>
        <v>5.4959133369330422</v>
      </c>
      <c r="AO68" s="2823">
        <f t="shared" si="34"/>
        <v>6.5533034627198816</v>
      </c>
      <c r="AP68" s="2824">
        <f t="shared" si="34"/>
        <v>5.9628061854848617</v>
      </c>
      <c r="AQ68" s="2829" t="str">
        <f t="shared" si="6"/>
        <v>2050/51</v>
      </c>
      <c r="AR68" s="2830">
        <f t="shared" si="39"/>
        <v>2.2999999999999998</v>
      </c>
      <c r="AS68" s="2826">
        <f>'Cost and rev series'!F67</f>
        <v>3</v>
      </c>
      <c r="AT68" s="2826">
        <f t="shared" si="39"/>
        <v>0.8727288026266331</v>
      </c>
      <c r="AU68" s="2827">
        <f t="shared" si="27"/>
        <v>1.4239233982823012</v>
      </c>
      <c r="AV68" s="2822">
        <f t="shared" si="43"/>
        <v>49.341930101510179</v>
      </c>
      <c r="AW68" s="2823">
        <f t="shared" si="44"/>
        <v>47.185060609573846</v>
      </c>
      <c r="AX68" s="2823">
        <f t="shared" si="45"/>
        <v>47.451611006449028</v>
      </c>
      <c r="AY68" s="2823">
        <f t="shared" si="46"/>
        <v>47.580901405329811</v>
      </c>
      <c r="AZ68" s="2823">
        <f t="shared" si="47"/>
        <v>47.661402464206446</v>
      </c>
      <c r="BA68" s="2823">
        <f t="shared" si="48"/>
        <v>47.082375944473121</v>
      </c>
      <c r="BB68" s="2823">
        <f t="shared" si="49"/>
        <v>46.576161811284123</v>
      </c>
      <c r="BC68" s="2823">
        <f t="shared" si="50"/>
        <v>46.791253349648649</v>
      </c>
      <c r="BD68" s="2824">
        <f t="shared" si="51"/>
        <v>47.648918111944226</v>
      </c>
      <c r="BE68" s="2823"/>
      <c r="BF68" s="2825">
        <f t="shared" si="16"/>
        <v>2050</v>
      </c>
      <c r="BG68" s="2819">
        <f t="shared" si="35"/>
        <v>29.080025424416199</v>
      </c>
      <c r="BH68" s="2820">
        <f t="shared" si="35"/>
        <v>5.7332347126822167</v>
      </c>
      <c r="BI68" s="2820">
        <f t="shared" si="35"/>
        <v>-5.6496293793289229E-2</v>
      </c>
      <c r="BJ68" s="2828">
        <f t="shared" si="35"/>
        <v>3.9731382845317026E-4</v>
      </c>
      <c r="BK68" s="2819">
        <f t="shared" si="35"/>
        <v>34.896030509299436</v>
      </c>
      <c r="BL68" s="2820">
        <f t="shared" si="35"/>
        <v>6.8084688705865286</v>
      </c>
      <c r="BM68" s="2820">
        <f t="shared" si="35"/>
        <v>-6.779555255194708E-2</v>
      </c>
      <c r="BN68" s="2828">
        <f t="shared" si="35"/>
        <v>4.767765941438044E-4</v>
      </c>
      <c r="BO68" s="2822">
        <f t="shared" si="24"/>
        <v>4.4395626030969364</v>
      </c>
      <c r="BP68" s="2823">
        <f t="shared" si="18"/>
        <v>5.2560623390841918</v>
      </c>
      <c r="BQ68" s="2824">
        <f t="shared" si="19"/>
        <v>5.1575986338980551</v>
      </c>
    </row>
    <row r="69" spans="1:69">
      <c r="A69" s="2835"/>
      <c r="B69" s="2836">
        <v>2051</v>
      </c>
      <c r="C69" s="2837"/>
      <c r="D69" s="2838">
        <f t="shared" ref="D69:J78" si="54">D68</f>
        <v>25.788174979479372</v>
      </c>
      <c r="E69" s="2839">
        <f t="shared" si="54"/>
        <v>75.170221798530207</v>
      </c>
      <c r="F69" s="2839">
        <f t="shared" si="54"/>
        <v>60.284864040377727</v>
      </c>
      <c r="G69" s="2839">
        <f t="shared" si="54"/>
        <v>66.710845670887736</v>
      </c>
      <c r="H69" s="2839">
        <f t="shared" si="54"/>
        <v>85.895078065522341</v>
      </c>
      <c r="I69" s="2839">
        <f t="shared" si="54"/>
        <v>39.476319858524271</v>
      </c>
      <c r="J69" s="2840">
        <f t="shared" si="54"/>
        <v>51.596276767916478</v>
      </c>
      <c r="K69" s="2841">
        <f t="shared" si="41"/>
        <v>29.198494854959463</v>
      </c>
      <c r="L69" s="2842">
        <f t="shared" si="41"/>
        <v>5.7547252043872827</v>
      </c>
      <c r="M69" s="2842">
        <f t="shared" si="41"/>
        <v>-5.6727559312368281E-2</v>
      </c>
      <c r="N69" s="2843">
        <f t="shared" si="41"/>
        <v>3.989379264924235E-4</v>
      </c>
      <c r="O69" s="2841">
        <f t="shared" si="42"/>
        <v>35.038193825951353</v>
      </c>
      <c r="P69" s="2842">
        <f t="shared" si="42"/>
        <v>6.8342574606326085</v>
      </c>
      <c r="Q69" s="2842">
        <f t="shared" si="42"/>
        <v>-6.8073071174841931E-2</v>
      </c>
      <c r="R69" s="2843">
        <f t="shared" si="42"/>
        <v>4.7872551179090831E-4</v>
      </c>
      <c r="S69" s="2841">
        <f t="shared" si="53"/>
        <v>4.0425633889616162</v>
      </c>
      <c r="T69" s="2844">
        <f t="shared" si="53"/>
        <v>135.94599999999997</v>
      </c>
      <c r="U69" s="2845">
        <f t="shared" si="32"/>
        <v>15.003578576260226</v>
      </c>
      <c r="V69" s="2846">
        <f t="shared" si="32"/>
        <v>9.9842293329013554</v>
      </c>
      <c r="W69" s="2846">
        <f t="shared" si="32"/>
        <v>10.566723763562852</v>
      </c>
      <c r="X69" s="2846">
        <f t="shared" si="32"/>
        <v>10.263880253977394</v>
      </c>
      <c r="Y69" s="2846">
        <f t="shared" si="32"/>
        <v>9.7906507678556558</v>
      </c>
      <c r="Z69" s="2846">
        <f t="shared" si="32"/>
        <v>12.362971348048616</v>
      </c>
      <c r="AA69" s="2847">
        <f t="shared" si="32"/>
        <v>11.133106282381799</v>
      </c>
      <c r="AB69" s="2845">
        <f t="shared" si="33"/>
        <v>6.7558362651142883</v>
      </c>
      <c r="AC69" s="2846">
        <f t="shared" si="33"/>
        <v>4.8883759097489481</v>
      </c>
      <c r="AD69" s="2846">
        <f t="shared" si="33"/>
        <v>5.0515073763172991</v>
      </c>
      <c r="AE69" s="2846">
        <f t="shared" si="33"/>
        <v>4.9487599883875788</v>
      </c>
      <c r="AF69" s="2846">
        <f t="shared" si="33"/>
        <v>4.9270540266739316</v>
      </c>
      <c r="AG69" s="2846">
        <f t="shared" si="33"/>
        <v>5.7805942910910471</v>
      </c>
      <c r="AH69" s="2847">
        <f t="shared" si="33"/>
        <v>5.2754756646517977</v>
      </c>
      <c r="AI69" s="2848">
        <f>'A1.3.4'!$J$27/100</f>
        <v>0.1205924519584583</v>
      </c>
      <c r="AJ69" s="2845">
        <f t="shared" si="34"/>
        <v>7.7504517335368988</v>
      </c>
      <c r="AK69" s="2846">
        <f t="shared" si="34"/>
        <v>5.5028973688678002</v>
      </c>
      <c r="AL69" s="2846">
        <f t="shared" si="34"/>
        <v>5.7166008435367104</v>
      </c>
      <c r="AM69" s="2846">
        <f t="shared" si="34"/>
        <v>5.5897233736691474</v>
      </c>
      <c r="AN69" s="2846">
        <f t="shared" si="34"/>
        <v>5.5135670830302033</v>
      </c>
      <c r="AO69" s="2846">
        <f t="shared" si="34"/>
        <v>6.5743792801046608</v>
      </c>
      <c r="AP69" s="2847">
        <f t="shared" si="34"/>
        <v>5.9818617035107975</v>
      </c>
      <c r="AQ69" s="2849" t="str">
        <f t="shared" si="6"/>
        <v>2051/52</v>
      </c>
      <c r="AR69" s="2832">
        <f t="shared" si="39"/>
        <v>2.2999999999999998</v>
      </c>
      <c r="AS69" s="2833">
        <f>'Cost and rev series'!F68</f>
        <v>3</v>
      </c>
      <c r="AT69" s="2833">
        <f t="shared" si="39"/>
        <v>0.8727288026266331</v>
      </c>
      <c r="AU69" s="2834">
        <f t="shared" si="27"/>
        <v>1.4336667646439594</v>
      </c>
      <c r="AV69" s="2845">
        <f t="shared" si="43"/>
        <v>49.165148203905012</v>
      </c>
      <c r="AW69" s="2846">
        <f t="shared" si="44"/>
        <v>47.0140542381641</v>
      </c>
      <c r="AX69" s="2846">
        <f t="shared" si="45"/>
        <v>47.279442096495387</v>
      </c>
      <c r="AY69" s="2846">
        <f t="shared" si="46"/>
        <v>47.408184550949343</v>
      </c>
      <c r="AZ69" s="2846">
        <f t="shared" si="47"/>
        <v>47.48986814640493</v>
      </c>
      <c r="BA69" s="2846">
        <f t="shared" si="48"/>
        <v>46.912840520201662</v>
      </c>
      <c r="BB69" s="2846">
        <f t="shared" si="49"/>
        <v>46.408373920365939</v>
      </c>
      <c r="BC69" s="2846">
        <f t="shared" si="50"/>
        <v>46.622722927827724</v>
      </c>
      <c r="BD69" s="2847">
        <f t="shared" si="51"/>
        <v>47.476466497181576</v>
      </c>
      <c r="BE69" s="2823"/>
      <c r="BF69" s="2848">
        <f t="shared" si="16"/>
        <v>2051</v>
      </c>
      <c r="BG69" s="2841">
        <f t="shared" si="35"/>
        <v>29.198697860187441</v>
      </c>
      <c r="BH69" s="2842">
        <f t="shared" si="35"/>
        <v>5.7547620297704043</v>
      </c>
      <c r="BI69" s="2842">
        <f t="shared" si="35"/>
        <v>-5.6727955601176355E-2</v>
      </c>
      <c r="BJ69" s="2844">
        <f t="shared" si="35"/>
        <v>3.989407094921493E-4</v>
      </c>
      <c r="BK69" s="2841">
        <f t="shared" si="35"/>
        <v>35.038437432224924</v>
      </c>
      <c r="BL69" s="2842">
        <f t="shared" si="35"/>
        <v>6.8343016510923533</v>
      </c>
      <c r="BM69" s="2842">
        <f t="shared" si="35"/>
        <v>-6.8073546721411637E-2</v>
      </c>
      <c r="BN69" s="2844">
        <f t="shared" si="35"/>
        <v>4.7872885139057923E-4</v>
      </c>
      <c r="BO69" s="2845">
        <f t="shared" si="24"/>
        <v>4.4557680960875699</v>
      </c>
      <c r="BP69" s="2846">
        <f t="shared" si="18"/>
        <v>5.2755089306729515</v>
      </c>
      <c r="BQ69" s="2847">
        <f t="shared" si="19"/>
        <v>5.1766543734598276</v>
      </c>
    </row>
    <row r="70" spans="1:69">
      <c r="A70" s="2835"/>
      <c r="B70" s="2836">
        <v>2052</v>
      </c>
      <c r="C70" s="2837"/>
      <c r="D70" s="2838">
        <f t="shared" si="54"/>
        <v>25.788174979479372</v>
      </c>
      <c r="E70" s="2839">
        <f t="shared" si="54"/>
        <v>75.170221798530207</v>
      </c>
      <c r="F70" s="2839">
        <f t="shared" si="54"/>
        <v>60.284864040377727</v>
      </c>
      <c r="G70" s="2839">
        <f t="shared" si="54"/>
        <v>66.710845670887736</v>
      </c>
      <c r="H70" s="2839">
        <f t="shared" si="54"/>
        <v>85.895078065522341</v>
      </c>
      <c r="I70" s="2839">
        <f t="shared" si="54"/>
        <v>39.476319858524271</v>
      </c>
      <c r="J70" s="2840">
        <f t="shared" si="54"/>
        <v>51.596276767916478</v>
      </c>
      <c r="K70" s="2841">
        <f t="shared" si="41"/>
        <v>29.317977931995426</v>
      </c>
      <c r="L70" s="2842">
        <f t="shared" si="41"/>
        <v>5.7763995727383612</v>
      </c>
      <c r="M70" s="2842">
        <f t="shared" si="41"/>
        <v>-5.6960803582262805E-2</v>
      </c>
      <c r="N70" s="2843">
        <f t="shared" si="41"/>
        <v>4.0057592061671531E-4</v>
      </c>
      <c r="O70" s="2841">
        <f t="shared" si="42"/>
        <v>35.181573518394515</v>
      </c>
      <c r="P70" s="2842">
        <f t="shared" si="42"/>
        <v>6.8602667026539006</v>
      </c>
      <c r="Q70" s="2842">
        <f t="shared" si="42"/>
        <v>-6.8352964298715374E-2</v>
      </c>
      <c r="R70" s="2843">
        <f t="shared" si="42"/>
        <v>4.8069110474005836E-4</v>
      </c>
      <c r="S70" s="2841">
        <f t="shared" si="53"/>
        <v>4.0425633889616162</v>
      </c>
      <c r="T70" s="2844">
        <f t="shared" si="53"/>
        <v>135.94599999999997</v>
      </c>
      <c r="U70" s="2845">
        <f t="shared" si="32"/>
        <v>15.024960566341401</v>
      </c>
      <c r="V70" s="2846">
        <f t="shared" si="32"/>
        <v>9.9992157656340837</v>
      </c>
      <c r="W70" s="2846">
        <f t="shared" si="32"/>
        <v>10.582271911985124</v>
      </c>
      <c r="X70" s="2846">
        <f t="shared" si="32"/>
        <v>10.279075384825912</v>
      </c>
      <c r="Y70" s="2846">
        <f t="shared" si="32"/>
        <v>9.8057666990303201</v>
      </c>
      <c r="Z70" s="2846">
        <f t="shared" si="32"/>
        <v>12.3810174105265</v>
      </c>
      <c r="AA70" s="2847">
        <f t="shared" si="32"/>
        <v>11.149422473709819</v>
      </c>
      <c r="AB70" s="2845">
        <f t="shared" si="33"/>
        <v>6.7814946532116966</v>
      </c>
      <c r="AC70" s="2846">
        <f t="shared" si="33"/>
        <v>4.9063596290282199</v>
      </c>
      <c r="AD70" s="2846">
        <f t="shared" si="33"/>
        <v>5.0701651544240267</v>
      </c>
      <c r="AE70" s="2846">
        <f t="shared" si="33"/>
        <v>4.9669941454057982</v>
      </c>
      <c r="AF70" s="2846">
        <f t="shared" si="33"/>
        <v>4.9451931440835244</v>
      </c>
      <c r="AG70" s="2846">
        <f t="shared" si="33"/>
        <v>5.802249566064507</v>
      </c>
      <c r="AH70" s="2847">
        <f t="shared" si="33"/>
        <v>5.29505509424542</v>
      </c>
      <c r="AI70" s="2848">
        <f>'A1.3.4'!$J$27/100</f>
        <v>0.1205924519584583</v>
      </c>
      <c r="AJ70" s="2845">
        <f t="shared" si="34"/>
        <v>7.7755944203119798</v>
      </c>
      <c r="AK70" s="2846">
        <f t="shared" si="34"/>
        <v>5.5205196380132024</v>
      </c>
      <c r="AL70" s="2846">
        <f t="shared" si="34"/>
        <v>5.7348836237751062</v>
      </c>
      <c r="AM70" s="2846">
        <f t="shared" si="34"/>
        <v>5.607591047069997</v>
      </c>
      <c r="AN70" s="2846">
        <f t="shared" si="34"/>
        <v>5.5313416269989988</v>
      </c>
      <c r="AO70" s="2846">
        <f t="shared" si="34"/>
        <v>6.5955993112936406</v>
      </c>
      <c r="AP70" s="2847">
        <f t="shared" si="34"/>
        <v>6.0010476112006463</v>
      </c>
      <c r="AQ70" s="2849" t="str">
        <f t="shared" si="6"/>
        <v>2052/53</v>
      </c>
      <c r="AR70" s="2832">
        <f t="shared" ref="AR70:AT77" si="55">AR69</f>
        <v>2.2999999999999998</v>
      </c>
      <c r="AS70" s="2833">
        <f>'Cost and rev series'!F69</f>
        <v>3</v>
      </c>
      <c r="AT70" s="2833">
        <f t="shared" si="55"/>
        <v>0.8727288026266331</v>
      </c>
      <c r="AU70" s="2834">
        <f t="shared" si="27"/>
        <v>1.443476801156675</v>
      </c>
      <c r="AV70" s="2845">
        <f t="shared" si="43"/>
        <v>48.989567736671916</v>
      </c>
      <c r="AW70" s="2846">
        <f t="shared" si="44"/>
        <v>46.844210045977526</v>
      </c>
      <c r="AX70" s="2846">
        <f t="shared" si="45"/>
        <v>47.108443266512317</v>
      </c>
      <c r="AY70" s="2846">
        <f t="shared" si="46"/>
        <v>47.236641500433635</v>
      </c>
      <c r="AZ70" s="2846">
        <f t="shared" si="47"/>
        <v>47.319499595811791</v>
      </c>
      <c r="BA70" s="2846">
        <f t="shared" si="48"/>
        <v>46.744457278425287</v>
      </c>
      <c r="BB70" s="2846">
        <f t="shared" si="49"/>
        <v>46.241726335502563</v>
      </c>
      <c r="BC70" s="2846">
        <f t="shared" si="50"/>
        <v>46.455337858388113</v>
      </c>
      <c r="BD70" s="2847">
        <f t="shared" si="51"/>
        <v>47.305186883684314</v>
      </c>
      <c r="BE70" s="2823"/>
      <c r="BF70" s="2848">
        <f t="shared" si="16"/>
        <v>2052</v>
      </c>
      <c r="BG70" s="2841">
        <f t="shared" si="35"/>
        <v>29.318182326310975</v>
      </c>
      <c r="BH70" s="2842">
        <f t="shared" si="35"/>
        <v>5.7764366501035749</v>
      </c>
      <c r="BI70" s="2842">
        <f t="shared" si="35"/>
        <v>-5.6961202582724496E-2</v>
      </c>
      <c r="BJ70" s="2844">
        <f t="shared" si="35"/>
        <v>4.0057872265944987E-4</v>
      </c>
      <c r="BK70" s="2841">
        <f t="shared" si="35"/>
        <v>35.181818791573178</v>
      </c>
      <c r="BL70" s="2842">
        <f t="shared" si="35"/>
        <v>6.8603111954921587</v>
      </c>
      <c r="BM70" s="2842">
        <f t="shared" si="35"/>
        <v>-6.8353443099269398E-2</v>
      </c>
      <c r="BN70" s="2844">
        <f t="shared" si="35"/>
        <v>4.8069446719133986E-4</v>
      </c>
      <c r="BO70" s="2845">
        <f t="shared" si="24"/>
        <v>4.4720844771045325</v>
      </c>
      <c r="BP70" s="2846">
        <f t="shared" si="18"/>
        <v>5.2950885878933081</v>
      </c>
      <c r="BQ70" s="2847">
        <f t="shared" si="19"/>
        <v>5.1958405042013993</v>
      </c>
    </row>
    <row r="71" spans="1:69">
      <c r="A71" s="2835"/>
      <c r="B71" s="2836">
        <v>2053</v>
      </c>
      <c r="C71" s="2837"/>
      <c r="D71" s="2838">
        <f t="shared" si="54"/>
        <v>25.788174979479372</v>
      </c>
      <c r="E71" s="2839">
        <f t="shared" si="54"/>
        <v>75.170221798530207</v>
      </c>
      <c r="F71" s="2839">
        <f t="shared" si="54"/>
        <v>60.284864040377727</v>
      </c>
      <c r="G71" s="2839">
        <f t="shared" si="54"/>
        <v>66.710845670887736</v>
      </c>
      <c r="H71" s="2839">
        <f t="shared" si="54"/>
        <v>85.895078065522341</v>
      </c>
      <c r="I71" s="2839">
        <f t="shared" si="54"/>
        <v>39.476319858524271</v>
      </c>
      <c r="J71" s="2840">
        <f t="shared" si="54"/>
        <v>51.596276767916478</v>
      </c>
      <c r="K71" s="2841">
        <f t="shared" si="41"/>
        <v>29.438278586293599</v>
      </c>
      <c r="L71" s="2842">
        <f t="shared" si="41"/>
        <v>5.7982222505502943</v>
      </c>
      <c r="M71" s="2842">
        <f t="shared" si="41"/>
        <v>-5.7195643854004094E-2</v>
      </c>
      <c r="N71" s="2843">
        <f t="shared" si="41"/>
        <v>4.0222512291194536E-4</v>
      </c>
      <c r="O71" s="2841">
        <f t="shared" si="42"/>
        <v>35.325934303552323</v>
      </c>
      <c r="P71" s="2842">
        <f t="shared" si="42"/>
        <v>6.8864539160282217</v>
      </c>
      <c r="Q71" s="2842">
        <f t="shared" si="42"/>
        <v>-6.8634772624804913E-2</v>
      </c>
      <c r="R71" s="2843">
        <f t="shared" si="42"/>
        <v>4.8267014749433438E-4</v>
      </c>
      <c r="S71" s="2841">
        <f t="shared" si="53"/>
        <v>4.0425633889616162</v>
      </c>
      <c r="T71" s="2844">
        <f t="shared" si="53"/>
        <v>135.94599999999997</v>
      </c>
      <c r="U71" s="2845">
        <f t="shared" ref="U71:AA78" si="56">$K71/D71+$L71+$M71*D71+$N71*D71^2+$S71+$T71/D71</f>
        <v>15.04648886525011</v>
      </c>
      <c r="V71" s="2846">
        <f t="shared" si="56"/>
        <v>10.014304744827347</v>
      </c>
      <c r="W71" s="2846">
        <f t="shared" si="56"/>
        <v>10.597926450474802</v>
      </c>
      <c r="X71" s="2846">
        <f t="shared" si="56"/>
        <v>10.294374490176812</v>
      </c>
      <c r="Y71" s="2846">
        <f t="shared" si="56"/>
        <v>9.8209860627741126</v>
      </c>
      <c r="Z71" s="2846">
        <f t="shared" si="56"/>
        <v>12.399186955347828</v>
      </c>
      <c r="AA71" s="2847">
        <f t="shared" si="56"/>
        <v>11.165850310530793</v>
      </c>
      <c r="AB71" s="2845">
        <f t="shared" ref="AB71:AH78" si="57">$O71/D71+$P71+$Q71*D71+$R71*D71^2</f>
        <v>6.8073286119021468</v>
      </c>
      <c r="AC71" s="2846">
        <f t="shared" si="57"/>
        <v>4.9244664040601371</v>
      </c>
      <c r="AD71" s="2846">
        <f t="shared" si="57"/>
        <v>5.0889506006116427</v>
      </c>
      <c r="AE71" s="2846">
        <f t="shared" si="57"/>
        <v>4.9853530718268804</v>
      </c>
      <c r="AF71" s="2846">
        <f t="shared" si="57"/>
        <v>4.9634563805760781</v>
      </c>
      <c r="AG71" s="2846">
        <f t="shared" si="57"/>
        <v>5.8240530198501004</v>
      </c>
      <c r="AH71" s="2847">
        <f t="shared" si="57"/>
        <v>5.314768498430591</v>
      </c>
      <c r="AI71" s="2848">
        <f>'A1.3.4'!$J$27/100</f>
        <v>0.1205924519584583</v>
      </c>
      <c r="AJ71" s="2845">
        <f t="shared" ref="AJ71:AP78" si="58">U71*$AI71+AB71*(1-$AI71)</f>
        <v>7.8009091489320506</v>
      </c>
      <c r="AK71" s="2846">
        <f t="shared" si="58"/>
        <v>5.5382624896454269</v>
      </c>
      <c r="AL71" s="2846">
        <f t="shared" si="58"/>
        <v>5.7532915061265735</v>
      </c>
      <c r="AM71" s="2846">
        <f t="shared" si="58"/>
        <v>5.6255809821656708</v>
      </c>
      <c r="AN71" s="2846">
        <f t="shared" si="58"/>
        <v>5.5492377954133305</v>
      </c>
      <c r="AO71" s="2846">
        <f t="shared" si="58"/>
        <v>6.6169645430870387</v>
      </c>
      <c r="AP71" s="2847">
        <f t="shared" si="58"/>
        <v>6.0203648007612944</v>
      </c>
      <c r="AQ71" s="2849" t="str">
        <f t="shared" si="6"/>
        <v>2053/54</v>
      </c>
      <c r="AR71" s="2832">
        <f t="shared" si="55"/>
        <v>2.2999999999999998</v>
      </c>
      <c r="AS71" s="2833">
        <f>'Cost and rev series'!F70</f>
        <v>3</v>
      </c>
      <c r="AT71" s="2833">
        <f t="shared" si="55"/>
        <v>0.8727288026266331</v>
      </c>
      <c r="AU71" s="2834">
        <f t="shared" si="27"/>
        <v>1.4533539640189399</v>
      </c>
      <c r="AV71" s="2845">
        <f t="shared" si="43"/>
        <v>48.81518053475012</v>
      </c>
      <c r="AW71" s="2846">
        <f t="shared" si="44"/>
        <v>46.675520134708734</v>
      </c>
      <c r="AX71" s="2846">
        <f t="shared" si="45"/>
        <v>46.938606564500006</v>
      </c>
      <c r="AY71" s="2846">
        <f t="shared" si="46"/>
        <v>47.06626427647479</v>
      </c>
      <c r="AZ71" s="2846">
        <f t="shared" si="47"/>
        <v>47.150288889737219</v>
      </c>
      <c r="BA71" s="2846">
        <f t="shared" si="48"/>
        <v>46.577218388777467</v>
      </c>
      <c r="BB71" s="2846">
        <f t="shared" si="49"/>
        <v>46.076211307041163</v>
      </c>
      <c r="BC71" s="2846">
        <f t="shared" si="50"/>
        <v>46.289090357381589</v>
      </c>
      <c r="BD71" s="2847">
        <f t="shared" si="51"/>
        <v>47.135071306395261</v>
      </c>
      <c r="BE71" s="2823"/>
      <c r="BF71" s="2848">
        <f t="shared" si="16"/>
        <v>2053</v>
      </c>
      <c r="BG71" s="2841">
        <f t="shared" si="35"/>
        <v>29.438484379201736</v>
      </c>
      <c r="BH71" s="2842">
        <f t="shared" si="35"/>
        <v>5.7982595816218199</v>
      </c>
      <c r="BI71" s="2842">
        <f t="shared" si="35"/>
        <v>-5.7196045584674227E-2</v>
      </c>
      <c r="BJ71" s="2844">
        <f t="shared" si="35"/>
        <v>4.0222794412799292E-4</v>
      </c>
      <c r="BK71" s="2841">
        <f t="shared" si="35"/>
        <v>35.326181255042087</v>
      </c>
      <c r="BL71" s="2842">
        <f t="shared" si="35"/>
        <v>6.8864987133140518</v>
      </c>
      <c r="BM71" s="2842">
        <f t="shared" si="35"/>
        <v>-6.8635254701609083E-2</v>
      </c>
      <c r="BN71" s="2844">
        <f t="shared" si="35"/>
        <v>4.8267353295359145E-4</v>
      </c>
      <c r="BO71" s="2845">
        <f t="shared" si="24"/>
        <v>4.488512504912423</v>
      </c>
      <c r="BP71" s="2846">
        <f t="shared" si="18"/>
        <v>5.3148022212627755</v>
      </c>
      <c r="BQ71" s="2847">
        <f t="shared" si="19"/>
        <v>5.2151579183400276</v>
      </c>
    </row>
    <row r="72" spans="1:69">
      <c r="A72" s="2835"/>
      <c r="B72" s="2836">
        <v>2054</v>
      </c>
      <c r="C72" s="2837"/>
      <c r="D72" s="2838">
        <f t="shared" si="54"/>
        <v>25.788174979479372</v>
      </c>
      <c r="E72" s="2839">
        <f t="shared" si="54"/>
        <v>75.170221798530207</v>
      </c>
      <c r="F72" s="2839">
        <f t="shared" si="54"/>
        <v>60.284864040377727</v>
      </c>
      <c r="G72" s="2839">
        <f t="shared" si="54"/>
        <v>66.710845670887736</v>
      </c>
      <c r="H72" s="2839">
        <f t="shared" si="54"/>
        <v>85.895078065522341</v>
      </c>
      <c r="I72" s="2839">
        <f t="shared" si="54"/>
        <v>39.476319858524271</v>
      </c>
      <c r="J72" s="2840">
        <f t="shared" si="54"/>
        <v>51.596276767916478</v>
      </c>
      <c r="K72" s="2841">
        <f t="shared" si="41"/>
        <v>29.559402412224316</v>
      </c>
      <c r="L72" s="2842">
        <f t="shared" si="41"/>
        <v>5.8201942526483315</v>
      </c>
      <c r="M72" s="2842">
        <f t="shared" si="41"/>
        <v>-5.7432091048425921E-2</v>
      </c>
      <c r="N72" s="2843">
        <f t="shared" si="41"/>
        <v>4.038856100713657E-4</v>
      </c>
      <c r="O72" s="2841">
        <f t="shared" si="42"/>
        <v>35.47128289466918</v>
      </c>
      <c r="P72" s="2842">
        <f t="shared" si="42"/>
        <v>6.9128203185458652</v>
      </c>
      <c r="Q72" s="2842">
        <f t="shared" si="42"/>
        <v>-6.8918509258111105E-2</v>
      </c>
      <c r="R72" s="2843">
        <f t="shared" si="42"/>
        <v>4.8466273208563876E-4</v>
      </c>
      <c r="S72" s="2841">
        <f t="shared" si="53"/>
        <v>4.0425633889616162</v>
      </c>
      <c r="T72" s="2844">
        <f t="shared" si="53"/>
        <v>135.94599999999997</v>
      </c>
      <c r="U72" s="2845">
        <f t="shared" si="56"/>
        <v>15.068164474122026</v>
      </c>
      <c r="V72" s="2846">
        <f t="shared" si="56"/>
        <v>10.029496972167582</v>
      </c>
      <c r="W72" s="2846">
        <f t="shared" si="56"/>
        <v>10.613688107018664</v>
      </c>
      <c r="X72" s="2846">
        <f t="shared" si="56"/>
        <v>10.309778281488082</v>
      </c>
      <c r="Y72" s="2846">
        <f t="shared" si="56"/>
        <v>9.8363095668367784</v>
      </c>
      <c r="Z72" s="2846">
        <f t="shared" si="56"/>
        <v>12.417480827455323</v>
      </c>
      <c r="AA72" s="2847">
        <f t="shared" si="56"/>
        <v>11.182390556792384</v>
      </c>
      <c r="AB72" s="2845">
        <f t="shared" si="57"/>
        <v>6.8333393425484461</v>
      </c>
      <c r="AC72" s="2846">
        <f t="shared" si="57"/>
        <v>4.94269707686842</v>
      </c>
      <c r="AD72" s="2846">
        <f t="shared" si="57"/>
        <v>5.107864588464273</v>
      </c>
      <c r="AE72" s="2846">
        <f t="shared" si="57"/>
        <v>5.0038376214004012</v>
      </c>
      <c r="AF72" s="2846">
        <f t="shared" si="57"/>
        <v>4.9818445854512774</v>
      </c>
      <c r="AG72" s="2846">
        <f t="shared" si="57"/>
        <v>5.846005666379094</v>
      </c>
      <c r="AH72" s="2847">
        <f t="shared" si="57"/>
        <v>5.3346167939444964</v>
      </c>
      <c r="AI72" s="2848">
        <f>'A1.3.4'!$J$27/100</f>
        <v>0.1205924519584583</v>
      </c>
      <c r="AJ72" s="2845">
        <f t="shared" si="58"/>
        <v>7.8263970966140386</v>
      </c>
      <c r="AK72" s="2846">
        <f t="shared" si="58"/>
        <v>5.5561267488645756</v>
      </c>
      <c r="AL72" s="2846">
        <f t="shared" si="58"/>
        <v>5.7718253466172937</v>
      </c>
      <c r="AM72" s="2846">
        <f t="shared" si="58"/>
        <v>5.6436940155464548</v>
      </c>
      <c r="AN72" s="2846">
        <f t="shared" si="58"/>
        <v>5.5672564205030266</v>
      </c>
      <c r="AO72" s="2846">
        <f t="shared" si="58"/>
        <v>6.6384759690373816</v>
      </c>
      <c r="AP72" s="2847">
        <f t="shared" si="58"/>
        <v>6.0398141705046635</v>
      </c>
      <c r="AQ72" s="2849" t="str">
        <f t="shared" si="6"/>
        <v>2054/55</v>
      </c>
      <c r="AR72" s="2832">
        <f t="shared" si="55"/>
        <v>2.2999999999999998</v>
      </c>
      <c r="AS72" s="2833">
        <f>'Cost and rev series'!F71</f>
        <v>3</v>
      </c>
      <c r="AT72" s="2833">
        <f t="shared" si="55"/>
        <v>0.8727288026266331</v>
      </c>
      <c r="AU72" s="2834">
        <f t="shared" si="27"/>
        <v>1.4632987125508392</v>
      </c>
      <c r="AV72" s="2845">
        <f t="shared" si="43"/>
        <v>48.641978488569521</v>
      </c>
      <c r="AW72" s="2846">
        <f t="shared" si="44"/>
        <v>46.507976659730112</v>
      </c>
      <c r="AX72" s="2846">
        <f t="shared" si="45"/>
        <v>46.769924092501356</v>
      </c>
      <c r="AY72" s="2846">
        <f t="shared" si="46"/>
        <v>46.897044955979744</v>
      </c>
      <c r="AZ72" s="2846">
        <f t="shared" si="47"/>
        <v>46.98222815933503</v>
      </c>
      <c r="BA72" s="2846">
        <f t="shared" si="48"/>
        <v>46.411116074107845</v>
      </c>
      <c r="BB72" s="2846">
        <f t="shared" si="49"/>
        <v>45.911821137996483</v>
      </c>
      <c r="BC72" s="2846">
        <f t="shared" si="50"/>
        <v>46.123972693760557</v>
      </c>
      <c r="BD72" s="2847">
        <f t="shared" si="51"/>
        <v>46.966111854388764</v>
      </c>
      <c r="BE72" s="2823"/>
      <c r="BF72" s="2848">
        <f t="shared" si="16"/>
        <v>2054</v>
      </c>
      <c r="BG72" s="2841">
        <f t="shared" si="35"/>
        <v>29.559609613295066</v>
      </c>
      <c r="BH72" s="2842">
        <f t="shared" si="35"/>
        <v>5.8202318391621848</v>
      </c>
      <c r="BI72" s="2842">
        <f t="shared" si="35"/>
        <v>-5.743249552798628E-2</v>
      </c>
      <c r="BJ72" s="2844">
        <f t="shared" si="35"/>
        <v>4.0388845059192188E-4</v>
      </c>
      <c r="BK72" s="2841">
        <f t="shared" si="35"/>
        <v>35.471531535954085</v>
      </c>
      <c r="BL72" s="2842">
        <f t="shared" si="35"/>
        <v>6.9128654223624899</v>
      </c>
      <c r="BM72" s="2842">
        <f t="shared" si="35"/>
        <v>-6.891899463358353E-2</v>
      </c>
      <c r="BN72" s="2844">
        <f t="shared" si="35"/>
        <v>4.8466614071030628E-4</v>
      </c>
      <c r="BO72" s="2845">
        <f t="shared" si="24"/>
        <v>4.505052943467776</v>
      </c>
      <c r="BP72" s="2846">
        <f t="shared" si="18"/>
        <v>5.3346507475292002</v>
      </c>
      <c r="BQ72" s="2847">
        <f t="shared" si="19"/>
        <v>5.234607514198081</v>
      </c>
    </row>
    <row r="73" spans="1:69">
      <c r="A73" s="2835"/>
      <c r="B73" s="2836">
        <v>2055</v>
      </c>
      <c r="C73" s="2837"/>
      <c r="D73" s="2838">
        <f t="shared" si="54"/>
        <v>25.788174979479372</v>
      </c>
      <c r="E73" s="2839">
        <f t="shared" si="54"/>
        <v>75.170221798530207</v>
      </c>
      <c r="F73" s="2839">
        <f t="shared" si="54"/>
        <v>60.284864040377727</v>
      </c>
      <c r="G73" s="2839">
        <f t="shared" si="54"/>
        <v>66.710845670887736</v>
      </c>
      <c r="H73" s="2839">
        <f t="shared" si="54"/>
        <v>85.895078065522341</v>
      </c>
      <c r="I73" s="2839">
        <f t="shared" si="54"/>
        <v>39.476319858524271</v>
      </c>
      <c r="J73" s="2840">
        <f t="shared" si="54"/>
        <v>51.596276767916478</v>
      </c>
      <c r="K73" s="2841">
        <f t="shared" si="41"/>
        <v>29.681355042438035</v>
      </c>
      <c r="L73" s="2842">
        <f t="shared" si="41"/>
        <v>5.8423166008017811</v>
      </c>
      <c r="M73" s="2842">
        <f t="shared" si="41"/>
        <v>-5.7670156161089163E-2</v>
      </c>
      <c r="N73" s="2843">
        <f t="shared" si="41"/>
        <v>4.0555745931301088E-4</v>
      </c>
      <c r="O73" s="2841">
        <f t="shared" si="42"/>
        <v>35.617626050925644</v>
      </c>
      <c r="P73" s="2842">
        <f t="shared" si="42"/>
        <v>6.9393671363300058</v>
      </c>
      <c r="Q73" s="2842">
        <f t="shared" si="42"/>
        <v>-6.9204187393306985E-2</v>
      </c>
      <c r="R73" s="2843">
        <f t="shared" si="42"/>
        <v>4.8666895117561299E-4</v>
      </c>
      <c r="S73" s="2841">
        <f t="shared" si="53"/>
        <v>4.0425633889616162</v>
      </c>
      <c r="T73" s="2844">
        <f t="shared" si="53"/>
        <v>135.94599999999997</v>
      </c>
      <c r="U73" s="2845">
        <f t="shared" si="56"/>
        <v>15.089988400943213</v>
      </c>
      <c r="V73" s="2846">
        <f t="shared" si="56"/>
        <v>10.044793154142601</v>
      </c>
      <c r="W73" s="2846">
        <f t="shared" si="56"/>
        <v>10.629557614584819</v>
      </c>
      <c r="X73" s="2846">
        <f t="shared" si="56"/>
        <v>10.325287475085938</v>
      </c>
      <c r="Y73" s="2846">
        <f t="shared" si="56"/>
        <v>9.8517379238109211</v>
      </c>
      <c r="Z73" s="2846">
        <f t="shared" si="56"/>
        <v>12.43589987757333</v>
      </c>
      <c r="AA73" s="2847">
        <f t="shared" si="56"/>
        <v>11.199043981669643</v>
      </c>
      <c r="AB73" s="2845">
        <f t="shared" si="57"/>
        <v>6.8595280547338708</v>
      </c>
      <c r="AC73" s="2846">
        <f t="shared" si="57"/>
        <v>4.9610524952384427</v>
      </c>
      <c r="AD73" s="2846">
        <f t="shared" si="57"/>
        <v>5.1269079975436611</v>
      </c>
      <c r="AE73" s="2846">
        <f t="shared" si="57"/>
        <v>5.0224486537178308</v>
      </c>
      <c r="AF73" s="2846">
        <f t="shared" si="57"/>
        <v>5.0003586138202483</v>
      </c>
      <c r="AG73" s="2846">
        <f t="shared" si="57"/>
        <v>5.8681085265207047</v>
      </c>
      <c r="AH73" s="2847">
        <f t="shared" si="57"/>
        <v>5.3546009037972109</v>
      </c>
      <c r="AI73" s="2848">
        <f>'A1.3.4'!$J$27/100</f>
        <v>0.1205924519584583</v>
      </c>
      <c r="AJ73" s="2845">
        <f t="shared" si="58"/>
        <v>7.8520594486301176</v>
      </c>
      <c r="AK73" s="2846">
        <f t="shared" si="58"/>
        <v>5.5741132464166041</v>
      </c>
      <c r="AL73" s="2846">
        <f t="shared" si="58"/>
        <v>5.7904860071309265</v>
      </c>
      <c r="AM73" s="2846">
        <f t="shared" si="58"/>
        <v>5.6619309895271126</v>
      </c>
      <c r="AN73" s="2846">
        <f t="shared" si="58"/>
        <v>5.5853983401925573</v>
      </c>
      <c r="AO73" s="2846">
        <f t="shared" si="58"/>
        <v>6.660134589495696</v>
      </c>
      <c r="AP73" s="2847">
        <f t="shared" si="58"/>
        <v>6.0593966248894864</v>
      </c>
      <c r="AQ73" s="2849" t="str">
        <f t="shared" si="6"/>
        <v>2055/56</v>
      </c>
      <c r="AR73" s="2832">
        <f t="shared" si="55"/>
        <v>2.2999999999999998</v>
      </c>
      <c r="AS73" s="2833">
        <f>'Cost and rev series'!F72</f>
        <v>3</v>
      </c>
      <c r="AT73" s="2833">
        <f t="shared" si="55"/>
        <v>0.8727288026266331</v>
      </c>
      <c r="AU73" s="2834">
        <f t="shared" si="27"/>
        <v>1.4733115092154103</v>
      </c>
      <c r="AV73" s="2845">
        <f t="shared" si="43"/>
        <v>48.469953543673647</v>
      </c>
      <c r="AW73" s="2846">
        <f t="shared" si="44"/>
        <v>46.341571829727066</v>
      </c>
      <c r="AX73" s="2846">
        <f t="shared" si="45"/>
        <v>46.602388006234747</v>
      </c>
      <c r="AY73" s="2846">
        <f t="shared" si="46"/>
        <v>46.728975669701697</v>
      </c>
      <c r="AZ73" s="2846">
        <f t="shared" si="47"/>
        <v>46.815309589236534</v>
      </c>
      <c r="BA73" s="2846">
        <f t="shared" si="48"/>
        <v>46.246142610120458</v>
      </c>
      <c r="BB73" s="2846">
        <f t="shared" si="49"/>
        <v>45.748548183692904</v>
      </c>
      <c r="BC73" s="2846">
        <f t="shared" si="50"/>
        <v>45.959977189018495</v>
      </c>
      <c r="BD73" s="2847">
        <f t="shared" si="51"/>
        <v>46.798300670502705</v>
      </c>
      <c r="BE73" s="2823"/>
      <c r="BF73" s="2848">
        <f t="shared" si="16"/>
        <v>2055</v>
      </c>
      <c r="BG73" s="2841">
        <f t="shared" ref="BG73:BN77" si="59">K73*0.5+K72*0.25+K74*0.25</f>
        <v>29.681563661306924</v>
      </c>
      <c r="BH73" s="2842">
        <f t="shared" si="59"/>
        <v>5.8423544445058555</v>
      </c>
      <c r="BI73" s="2842">
        <f t="shared" si="59"/>
        <v>-5.7670563408349328E-2</v>
      </c>
      <c r="BJ73" s="2844">
        <f t="shared" si="59"/>
        <v>4.0556031927016902E-4</v>
      </c>
      <c r="BK73" s="2841">
        <f t="shared" si="59"/>
        <v>35.617876393568309</v>
      </c>
      <c r="BL73" s="2842">
        <f t="shared" si="59"/>
        <v>6.9394125487748948</v>
      </c>
      <c r="BM73" s="2842">
        <f t="shared" si="59"/>
        <v>-6.9204676090019193E-2</v>
      </c>
      <c r="BN73" s="2844">
        <f t="shared" si="59"/>
        <v>4.8667238312420278E-4</v>
      </c>
      <c r="BO73" s="2845">
        <f t="shared" si="24"/>
        <v>4.521706561954594</v>
      </c>
      <c r="BP73" s="2846">
        <f t="shared" si="18"/>
        <v>5.3546350897133808</v>
      </c>
      <c r="BQ73" s="2847">
        <f t="shared" si="19"/>
        <v>5.2541901962448003</v>
      </c>
    </row>
    <row r="74" spans="1:69">
      <c r="A74" s="2835"/>
      <c r="B74" s="2836">
        <v>2056</v>
      </c>
      <c r="C74" s="2837"/>
      <c r="D74" s="2838">
        <f t="shared" si="54"/>
        <v>25.788174979479372</v>
      </c>
      <c r="E74" s="2839">
        <f t="shared" si="54"/>
        <v>75.170221798530207</v>
      </c>
      <c r="F74" s="2839">
        <f t="shared" si="54"/>
        <v>60.284864040377727</v>
      </c>
      <c r="G74" s="2839">
        <f t="shared" si="54"/>
        <v>66.710845670887736</v>
      </c>
      <c r="H74" s="2839">
        <f t="shared" si="54"/>
        <v>85.895078065522341</v>
      </c>
      <c r="I74" s="2839">
        <f t="shared" si="54"/>
        <v>39.476319858524271</v>
      </c>
      <c r="J74" s="2840">
        <f t="shared" si="54"/>
        <v>51.596276767916478</v>
      </c>
      <c r="K74" s="2841">
        <f t="shared" si="41"/>
        <v>29.804142148127312</v>
      </c>
      <c r="L74" s="2842">
        <f t="shared" si="41"/>
        <v>5.8645903237715276</v>
      </c>
      <c r="M74" s="2842">
        <f t="shared" si="41"/>
        <v>-5.7909850262793085E-2</v>
      </c>
      <c r="N74" s="2843">
        <f t="shared" si="41"/>
        <v>4.0724074838328873E-4</v>
      </c>
      <c r="O74" s="2841">
        <f t="shared" si="42"/>
        <v>35.76497057775277</v>
      </c>
      <c r="P74" s="2842">
        <f t="shared" si="42"/>
        <v>6.9660956038937014</v>
      </c>
      <c r="Q74" s="2842">
        <f t="shared" si="42"/>
        <v>-6.9491820315351699E-2</v>
      </c>
      <c r="R74" s="2843">
        <f t="shared" si="42"/>
        <v>4.8868889805994654E-4</v>
      </c>
      <c r="S74" s="2841">
        <f t="shared" si="53"/>
        <v>4.0425633889616162</v>
      </c>
      <c r="T74" s="2844">
        <f t="shared" si="53"/>
        <v>135.94599999999997</v>
      </c>
      <c r="U74" s="2845">
        <f t="shared" si="56"/>
        <v>15.111961660596995</v>
      </c>
      <c r="V74" s="2846">
        <f t="shared" si="56"/>
        <v>10.060194002074436</v>
      </c>
      <c r="W74" s="2846">
        <f t="shared" si="56"/>
        <v>10.6455357111568</v>
      </c>
      <c r="X74" s="2846">
        <f t="shared" si="56"/>
        <v>10.340902792198147</v>
      </c>
      <c r="Y74" s="2846">
        <f t="shared" si="56"/>
        <v>9.8672718511651389</v>
      </c>
      <c r="Z74" s="2846">
        <f t="shared" si="56"/>
        <v>12.454444962247372</v>
      </c>
      <c r="AA74" s="2847">
        <f t="shared" si="56"/>
        <v>11.215811359600803</v>
      </c>
      <c r="AB74" s="2845">
        <f t="shared" si="57"/>
        <v>6.8858959663184098</v>
      </c>
      <c r="AC74" s="2846">
        <f t="shared" si="57"/>
        <v>4.9795335127566442</v>
      </c>
      <c r="AD74" s="2846">
        <f t="shared" si="57"/>
        <v>5.1460817134300392</v>
      </c>
      <c r="AE74" s="2846">
        <f t="shared" si="57"/>
        <v>5.0411870342524825</v>
      </c>
      <c r="AF74" s="2846">
        <f t="shared" si="57"/>
        <v>5.018999326645309</v>
      </c>
      <c r="AG74" s="2846">
        <f t="shared" si="57"/>
        <v>5.8903626281295542</v>
      </c>
      <c r="AH74" s="2847">
        <f t="shared" si="57"/>
        <v>5.3747217573146013</v>
      </c>
      <c r="AI74" s="2848">
        <f>'A1.3.4'!$J$27/100</f>
        <v>0.1205924519584583</v>
      </c>
      <c r="AJ74" s="2845">
        <f t="shared" si="58"/>
        <v>7.8778973983628218</v>
      </c>
      <c r="AK74" s="2846">
        <f t="shared" si="58"/>
        <v>5.5922228187319369</v>
      </c>
      <c r="AL74" s="2846">
        <f t="shared" si="58"/>
        <v>5.8092743554486557</v>
      </c>
      <c r="AM74" s="2846">
        <f t="shared" si="58"/>
        <v>5.6802927521860305</v>
      </c>
      <c r="AN74" s="2846">
        <f t="shared" si="58"/>
        <v>5.6036643981399799</v>
      </c>
      <c r="AO74" s="2846">
        <f t="shared" si="58"/>
        <v>6.6819414116580225</v>
      </c>
      <c r="AP74" s="2847">
        <f t="shared" si="58"/>
        <v>6.0791130745633506</v>
      </c>
      <c r="AQ74" s="2849" t="str">
        <f t="shared" si="6"/>
        <v>2056/57</v>
      </c>
      <c r="AR74" s="2832">
        <f t="shared" si="55"/>
        <v>2.2999999999999998</v>
      </c>
      <c r="AS74" s="2833">
        <f>'Cost and rev series'!F73</f>
        <v>3</v>
      </c>
      <c r="AT74" s="2833">
        <f t="shared" si="55"/>
        <v>0.8727288026266331</v>
      </c>
      <c r="AU74" s="2834">
        <f t="shared" si="27"/>
        <v>1.4833928196401496</v>
      </c>
      <c r="AV74" s="2845">
        <f t="shared" si="43"/>
        <v>48.299097700345023</v>
      </c>
      <c r="AW74" s="2846">
        <f t="shared" si="44"/>
        <v>46.176297906335677</v>
      </c>
      <c r="AX74" s="2846">
        <f t="shared" si="45"/>
        <v>46.43599051472917</v>
      </c>
      <c r="AY74" s="2846">
        <f t="shared" si="46"/>
        <v>46.562048601874046</v>
      </c>
      <c r="AZ74" s="2846">
        <f t="shared" si="47"/>
        <v>46.649525417187235</v>
      </c>
      <c r="BA74" s="2846">
        <f t="shared" si="48"/>
        <v>46.082290325014505</v>
      </c>
      <c r="BB74" s="2846">
        <f t="shared" si="49"/>
        <v>45.586384851408823</v>
      </c>
      <c r="BC74" s="2846">
        <f t="shared" si="50"/>
        <v>45.797096216832919</v>
      </c>
      <c r="BD74" s="2847">
        <f t="shared" si="51"/>
        <v>46.631629950973156</v>
      </c>
      <c r="BE74" s="2823"/>
      <c r="BF74" s="2848">
        <f t="shared" si="16"/>
        <v>2056</v>
      </c>
      <c r="BG74" s="2841">
        <f t="shared" si="59"/>
        <v>29.804352194495795</v>
      </c>
      <c r="BH74" s="2842">
        <f t="shared" si="59"/>
        <v>5.8646284264256803</v>
      </c>
      <c r="BI74" s="2842">
        <f t="shared" si="59"/>
        <v>-5.7910260296691413E-2</v>
      </c>
      <c r="BJ74" s="2844">
        <f t="shared" si="59"/>
        <v>4.0724362791004639E-4</v>
      </c>
      <c r="BK74" s="2841">
        <f t="shared" si="59"/>
        <v>35.765222633394949</v>
      </c>
      <c r="BL74" s="2842">
        <f t="shared" si="59"/>
        <v>6.9661413270786845</v>
      </c>
      <c r="BM74" s="2842">
        <f t="shared" si="59"/>
        <v>-6.9492312356029678E-2</v>
      </c>
      <c r="BN74" s="2844">
        <f t="shared" si="59"/>
        <v>4.886923534920556E-4</v>
      </c>
      <c r="BO74" s="2845">
        <f t="shared" si="24"/>
        <v>4.5384741348201079</v>
      </c>
      <c r="BP74" s="2846">
        <f t="shared" si="18"/>
        <v>5.3747561771519994</v>
      </c>
      <c r="BQ74" s="2847">
        <f t="shared" si="19"/>
        <v>5.2739068751383691</v>
      </c>
    </row>
    <row r="75" spans="1:69">
      <c r="A75" s="2835"/>
      <c r="B75" s="2836">
        <v>2057</v>
      </c>
      <c r="C75" s="2837"/>
      <c r="D75" s="2838">
        <f t="shared" si="54"/>
        <v>25.788174979479372</v>
      </c>
      <c r="E75" s="2839">
        <f t="shared" si="54"/>
        <v>75.170221798530207</v>
      </c>
      <c r="F75" s="2839">
        <f t="shared" si="54"/>
        <v>60.284864040377727</v>
      </c>
      <c r="G75" s="2839">
        <f t="shared" si="54"/>
        <v>66.710845670887736</v>
      </c>
      <c r="H75" s="2839">
        <f t="shared" si="54"/>
        <v>85.895078065522341</v>
      </c>
      <c r="I75" s="2839">
        <f t="shared" si="54"/>
        <v>39.476319858524271</v>
      </c>
      <c r="J75" s="2840">
        <f t="shared" si="54"/>
        <v>51.596276767916478</v>
      </c>
      <c r="K75" s="2841">
        <f t="shared" si="41"/>
        <v>29.927769439290518</v>
      </c>
      <c r="L75" s="2842">
        <f t="shared" si="41"/>
        <v>5.8870164573578823</v>
      </c>
      <c r="M75" s="2842">
        <f t="shared" si="41"/>
        <v>-5.8151184500090311E-2</v>
      </c>
      <c r="N75" s="2843">
        <f t="shared" si="41"/>
        <v>4.0893555556059712E-4</v>
      </c>
      <c r="O75" s="2841">
        <f t="shared" si="42"/>
        <v>35.913323327148618</v>
      </c>
      <c r="P75" s="2842">
        <f t="shared" si="42"/>
        <v>6.9930069641973276</v>
      </c>
      <c r="Q75" s="2842">
        <f t="shared" si="42"/>
        <v>-6.9781421400108373E-2</v>
      </c>
      <c r="R75" s="2843">
        <f t="shared" si="42"/>
        <v>4.9072266667271646E-4</v>
      </c>
      <c r="S75" s="2841">
        <f t="shared" si="53"/>
        <v>4.0425633889616162</v>
      </c>
      <c r="T75" s="2844">
        <f t="shared" si="53"/>
        <v>135.94599999999997</v>
      </c>
      <c r="U75" s="2845">
        <f t="shared" si="56"/>
        <v>15.134085274911167</v>
      </c>
      <c r="V75" s="2846">
        <f t="shared" si="56"/>
        <v>10.075700232152434</v>
      </c>
      <c r="W75" s="2846">
        <f t="shared" si="56"/>
        <v>10.66162313976789</v>
      </c>
      <c r="X75" s="2846">
        <f t="shared" si="56"/>
        <v>10.356624958987569</v>
      </c>
      <c r="Y75" s="2846">
        <f t="shared" si="56"/>
        <v>9.8829120712774028</v>
      </c>
      <c r="Z75" s="2846">
        <f t="shared" si="56"/>
        <v>12.473116943883996</v>
      </c>
      <c r="AA75" s="2847">
        <f t="shared" si="56"/>
        <v>11.23269347032328</v>
      </c>
      <c r="AB75" s="2845">
        <f t="shared" si="57"/>
        <v>6.9124443034954179</v>
      </c>
      <c r="AC75" s="2846">
        <f t="shared" si="57"/>
        <v>4.9981409888502402</v>
      </c>
      <c r="AD75" s="2846">
        <f t="shared" si="57"/>
        <v>5.1653866277633451</v>
      </c>
      <c r="AE75" s="2846">
        <f t="shared" si="57"/>
        <v>5.0600536343997859</v>
      </c>
      <c r="AF75" s="2846">
        <f t="shared" si="57"/>
        <v>5.0377675907800246</v>
      </c>
      <c r="AG75" s="2846">
        <f t="shared" si="57"/>
        <v>5.9127690060935016</v>
      </c>
      <c r="AH75" s="2847">
        <f t="shared" si="57"/>
        <v>5.394980290181576</v>
      </c>
      <c r="AI75" s="2848">
        <f>'A1.3.4'!$J$27/100</f>
        <v>0.1205924519584583</v>
      </c>
      <c r="AJ75" s="2845">
        <f t="shared" si="58"/>
        <v>7.9039121473605647</v>
      </c>
      <c r="AK75" s="2846">
        <f t="shared" si="58"/>
        <v>5.6104563079643857</v>
      </c>
      <c r="AL75" s="2846">
        <f t="shared" si="58"/>
        <v>5.8281912652895782</v>
      </c>
      <c r="AM75" s="2846">
        <f t="shared" si="58"/>
        <v>5.6987801574046859</v>
      </c>
      <c r="AN75" s="2846">
        <f t="shared" si="58"/>
        <v>5.6220554437761949</v>
      </c>
      <c r="AO75" s="2846">
        <f t="shared" si="58"/>
        <v>6.7038974496122732</v>
      </c>
      <c r="AP75" s="2847">
        <f t="shared" si="58"/>
        <v>6.0989644364050744</v>
      </c>
      <c r="AQ75" s="2849" t="str">
        <f t="shared" si="6"/>
        <v>2057/58</v>
      </c>
      <c r="AR75" s="2832">
        <f t="shared" si="55"/>
        <v>2.2999999999999998</v>
      </c>
      <c r="AS75" s="2833">
        <f>'Cost and rev series'!F74</f>
        <v>3</v>
      </c>
      <c r="AT75" s="2833">
        <f t="shared" si="55"/>
        <v>0.8727288026266331</v>
      </c>
      <c r="AU75" s="2834">
        <f t="shared" si="27"/>
        <v>1.4935431126386651</v>
      </c>
      <c r="AV75" s="2845">
        <f t="shared" si="43"/>
        <v>48.129403013233215</v>
      </c>
      <c r="AW75" s="2846">
        <f t="shared" si="44"/>
        <v>46.012147203782895</v>
      </c>
      <c r="AX75" s="2846">
        <f t="shared" si="45"/>
        <v>46.27072387996197</v>
      </c>
      <c r="AY75" s="2846">
        <f t="shared" si="46"/>
        <v>46.39625598984717</v>
      </c>
      <c r="AZ75" s="2846">
        <f t="shared" si="47"/>
        <v>46.484867933685869</v>
      </c>
      <c r="BA75" s="2846">
        <f t="shared" si="48"/>
        <v>45.919551599127743</v>
      </c>
      <c r="BB75" s="2846">
        <f t="shared" si="49"/>
        <v>45.425323600023802</v>
      </c>
      <c r="BC75" s="2846">
        <f t="shared" si="50"/>
        <v>45.635322202710768</v>
      </c>
      <c r="BD75" s="2847">
        <f t="shared" si="51"/>
        <v>46.466091945071462</v>
      </c>
      <c r="BE75" s="2823"/>
      <c r="BF75" s="2848">
        <f t="shared" si="16"/>
        <v>2057</v>
      </c>
      <c r="BG75" s="2841">
        <f t="shared" si="59"/>
        <v>29.927980922926423</v>
      </c>
      <c r="BH75" s="2842">
        <f t="shared" si="59"/>
        <v>5.887054820734007</v>
      </c>
      <c r="BI75" s="2842">
        <f t="shared" si="59"/>
        <v>-5.8151597339694674E-2</v>
      </c>
      <c r="BJ75" s="2844">
        <f t="shared" si="59"/>
        <v>4.089384547908613E-4</v>
      </c>
      <c r="BK75" s="2841">
        <f t="shared" si="59"/>
        <v>35.913577107511706</v>
      </c>
      <c r="BL75" s="2842">
        <f t="shared" si="59"/>
        <v>6.9930530002486782</v>
      </c>
      <c r="BM75" s="2842">
        <f t="shared" si="59"/>
        <v>-6.9781916807633612E-2</v>
      </c>
      <c r="BN75" s="2844">
        <f t="shared" si="59"/>
        <v>4.9072614574903353E-4</v>
      </c>
      <c r="BO75" s="2845">
        <f t="shared" si="24"/>
        <v>4.555356441810801</v>
      </c>
      <c r="BP75" s="2846">
        <f t="shared" si="18"/>
        <v>5.3950149455408312</v>
      </c>
      <c r="BQ75" s="2847">
        <f t="shared" si="19"/>
        <v>5.2937584677682565</v>
      </c>
    </row>
    <row r="76" spans="1:69">
      <c r="A76" s="2835"/>
      <c r="B76" s="2836">
        <v>2058</v>
      </c>
      <c r="C76" s="2837"/>
      <c r="D76" s="2838">
        <f t="shared" si="54"/>
        <v>25.788174979479372</v>
      </c>
      <c r="E76" s="2839">
        <f t="shared" si="54"/>
        <v>75.170221798530207</v>
      </c>
      <c r="F76" s="2839">
        <f t="shared" si="54"/>
        <v>60.284864040377727</v>
      </c>
      <c r="G76" s="2839">
        <f t="shared" si="54"/>
        <v>66.710845670887736</v>
      </c>
      <c r="H76" s="2839">
        <f t="shared" si="54"/>
        <v>85.895078065522341</v>
      </c>
      <c r="I76" s="2839">
        <f t="shared" si="54"/>
        <v>39.476319858524271</v>
      </c>
      <c r="J76" s="2840">
        <f t="shared" si="54"/>
        <v>51.596276767916478</v>
      </c>
      <c r="K76" s="2841">
        <f t="shared" si="41"/>
        <v>30.052242664997355</v>
      </c>
      <c r="L76" s="2842">
        <f t="shared" si="41"/>
        <v>5.9095960444487377</v>
      </c>
      <c r="M76" s="2842">
        <f t="shared" si="41"/>
        <v>-5.8394170095805012E-2</v>
      </c>
      <c r="N76" s="2843">
        <f t="shared" si="41"/>
        <v>4.1064195965896227E-4</v>
      </c>
      <c r="O76" s="2841">
        <f t="shared" si="42"/>
        <v>36.062691197996827</v>
      </c>
      <c r="P76" s="2842">
        <f t="shared" si="42"/>
        <v>7.0201024687063542</v>
      </c>
      <c r="Q76" s="2842">
        <f t="shared" si="42"/>
        <v>-7.0073004114966003E-2</v>
      </c>
      <c r="R76" s="2843">
        <f t="shared" si="42"/>
        <v>4.9277035159075468E-4</v>
      </c>
      <c r="S76" s="2841">
        <f t="shared" si="53"/>
        <v>4.0425633889616162</v>
      </c>
      <c r="T76" s="2844">
        <f t="shared" si="53"/>
        <v>135.94599999999997</v>
      </c>
      <c r="U76" s="2845">
        <f t="shared" si="56"/>
        <v>15.156360272705497</v>
      </c>
      <c r="V76" s="2846">
        <f t="shared" si="56"/>
        <v>10.091312565466545</v>
      </c>
      <c r="W76" s="2846">
        <f t="shared" si="56"/>
        <v>10.677820648535651</v>
      </c>
      <c r="X76" s="2846">
        <f t="shared" si="56"/>
        <v>10.372454706585909</v>
      </c>
      <c r="Y76" s="2846">
        <f t="shared" si="56"/>
        <v>9.8986593114686343</v>
      </c>
      <c r="Z76" s="2846">
        <f t="shared" si="56"/>
        <v>12.491916690790859</v>
      </c>
      <c r="AA76" s="2847">
        <f t="shared" si="56"/>
        <v>11.249691098909942</v>
      </c>
      <c r="AB76" s="2845">
        <f t="shared" si="57"/>
        <v>6.9391743008486113</v>
      </c>
      <c r="AC76" s="2846">
        <f t="shared" si="57"/>
        <v>5.0168757888271758</v>
      </c>
      <c r="AD76" s="2846">
        <f t="shared" si="57"/>
        <v>5.1848236382846604</v>
      </c>
      <c r="AE76" s="2846">
        <f t="shared" si="57"/>
        <v>5.0790493315177976</v>
      </c>
      <c r="AF76" s="2846">
        <f t="shared" si="57"/>
        <v>5.056664279009504</v>
      </c>
      <c r="AG76" s="2846">
        <f t="shared" si="57"/>
        <v>5.9353287023817378</v>
      </c>
      <c r="AH76" s="2847">
        <f t="shared" si="57"/>
        <v>5.4153774444855678</v>
      </c>
      <c r="AI76" s="2848">
        <f>'A1.3.4'!$J$27/100</f>
        <v>0.1205924519584583</v>
      </c>
      <c r="AJ76" s="2845">
        <f t="shared" si="58"/>
        <v>7.9301049053934802</v>
      </c>
      <c r="AK76" s="2846">
        <f t="shared" si="58"/>
        <v>5.6288145620302936</v>
      </c>
      <c r="AL76" s="2846">
        <f t="shared" si="58"/>
        <v>5.8472376163513076</v>
      </c>
      <c r="AM76" s="2846">
        <f t="shared" si="58"/>
        <v>5.717394064907344</v>
      </c>
      <c r="AN76" s="2846">
        <f t="shared" si="58"/>
        <v>5.6405723323444255</v>
      </c>
      <c r="AO76" s="2846">
        <f t="shared" si="58"/>
        <v>6.7260037243853699</v>
      </c>
      <c r="AP76" s="2847">
        <f t="shared" si="58"/>
        <v>6.1189516335673169</v>
      </c>
      <c r="AQ76" s="2849" t="str">
        <f t="shared" si="6"/>
        <v>2058/59</v>
      </c>
      <c r="AR76" s="2832">
        <f t="shared" si="55"/>
        <v>2.2999999999999998</v>
      </c>
      <c r="AS76" s="2833">
        <f>'Cost and rev series'!F75</f>
        <v>3</v>
      </c>
      <c r="AT76" s="2833">
        <f t="shared" si="55"/>
        <v>0.8727288026266331</v>
      </c>
      <c r="AU76" s="2834">
        <f t="shared" si="27"/>
        <v>1.5037628602324784</v>
      </c>
      <c r="AV76" s="2845">
        <f t="shared" si="43"/>
        <v>47.960861590985253</v>
      </c>
      <c r="AW76" s="2846">
        <f t="shared" si="44"/>
        <v>45.849112088529004</v>
      </c>
      <c r="AX76" s="2846">
        <f t="shared" si="45"/>
        <v>46.106580416499021</v>
      </c>
      <c r="AY76" s="2846">
        <f t="shared" si="46"/>
        <v>46.23159012372728</v>
      </c>
      <c r="AZ76" s="2846">
        <f t="shared" si="47"/>
        <v>46.321329481625753</v>
      </c>
      <c r="BA76" s="2846">
        <f t="shared" si="48"/>
        <v>45.757918864581946</v>
      </c>
      <c r="BB76" s="2846">
        <f t="shared" si="49"/>
        <v>45.265356939667591</v>
      </c>
      <c r="BC76" s="2846">
        <f t="shared" si="50"/>
        <v>45.474647623636017</v>
      </c>
      <c r="BD76" s="2847">
        <f t="shared" si="51"/>
        <v>46.301678954743878</v>
      </c>
      <c r="BE76" s="2823"/>
      <c r="BF76" s="2848">
        <f t="shared" si="16"/>
        <v>2058</v>
      </c>
      <c r="BG76" s="2841">
        <f t="shared" si="59"/>
        <v>30.052455595735367</v>
      </c>
      <c r="BH76" s="2842">
        <f t="shared" si="59"/>
        <v>5.909634670330858</v>
      </c>
      <c r="BI76" s="2842">
        <f t="shared" si="59"/>
        <v>-5.8394585760313804E-2</v>
      </c>
      <c r="BJ76" s="2844">
        <f t="shared" si="59"/>
        <v>4.106448787275567E-4</v>
      </c>
      <c r="BK76" s="2841">
        <f t="shared" si="59"/>
        <v>36.062946714882443</v>
      </c>
      <c r="BL76" s="2842">
        <f t="shared" si="59"/>
        <v>7.0201488197648985</v>
      </c>
      <c r="BM76" s="2842">
        <f t="shared" si="59"/>
        <v>-7.0073502912376559E-2</v>
      </c>
      <c r="BN76" s="2844">
        <f t="shared" si="59"/>
        <v>4.9277385447306799E-4</v>
      </c>
      <c r="BO76" s="2845">
        <f t="shared" si="24"/>
        <v>4.5723542680086657</v>
      </c>
      <c r="BP76" s="2846">
        <f t="shared" si="18"/>
        <v>5.4154123369782692</v>
      </c>
      <c r="BQ76" s="2847">
        <f t="shared" si="19"/>
        <v>5.3137458972978617</v>
      </c>
    </row>
    <row r="77" spans="1:69">
      <c r="A77" s="2835"/>
      <c r="B77" s="2836">
        <v>2059</v>
      </c>
      <c r="C77" s="2837"/>
      <c r="D77" s="2838">
        <f t="shared" si="54"/>
        <v>25.788174979479372</v>
      </c>
      <c r="E77" s="2839">
        <f t="shared" si="54"/>
        <v>75.170221798530207</v>
      </c>
      <c r="F77" s="2839">
        <f t="shared" si="54"/>
        <v>60.284864040377727</v>
      </c>
      <c r="G77" s="2839">
        <f t="shared" si="54"/>
        <v>66.710845670887736</v>
      </c>
      <c r="H77" s="2839">
        <f t="shared" si="54"/>
        <v>85.895078065522341</v>
      </c>
      <c r="I77" s="2839">
        <f t="shared" si="54"/>
        <v>39.476319858524271</v>
      </c>
      <c r="J77" s="2840">
        <f t="shared" si="54"/>
        <v>51.596276767916478</v>
      </c>
      <c r="K77" s="2841">
        <f t="shared" si="41"/>
        <v>30.177567613656244</v>
      </c>
      <c r="L77" s="2842">
        <f t="shared" si="41"/>
        <v>5.9323301350680735</v>
      </c>
      <c r="M77" s="2842">
        <f t="shared" si="41"/>
        <v>-5.8638818349554887E-2</v>
      </c>
      <c r="N77" s="2843">
        <f t="shared" si="41"/>
        <v>4.1236004003170513E-4</v>
      </c>
      <c r="O77" s="2841">
        <f t="shared" si="42"/>
        <v>36.213081136387487</v>
      </c>
      <c r="P77" s="2842">
        <f t="shared" si="42"/>
        <v>7.047383377449556</v>
      </c>
      <c r="Q77" s="2842">
        <f t="shared" si="42"/>
        <v>-7.036658201946587E-2</v>
      </c>
      <c r="R77" s="2843">
        <f t="shared" si="42"/>
        <v>4.9483204803804615E-4</v>
      </c>
      <c r="S77" s="2841">
        <f t="shared" si="53"/>
        <v>4.0425633889616162</v>
      </c>
      <c r="T77" s="2844">
        <f t="shared" si="53"/>
        <v>135.94599999999997</v>
      </c>
      <c r="U77" s="2845">
        <f t="shared" si="56"/>
        <v>15.178787689839568</v>
      </c>
      <c r="V77" s="2846">
        <f t="shared" si="56"/>
        <v>10.107031728040871</v>
      </c>
      <c r="W77" s="2846">
        <f t="shared" si="56"/>
        <v>10.69412899069674</v>
      </c>
      <c r="X77" s="2846">
        <f t="shared" si="56"/>
        <v>10.388392771127737</v>
      </c>
      <c r="Y77" s="2846">
        <f t="shared" si="56"/>
        <v>9.9145143040365404</v>
      </c>
      <c r="Z77" s="2846">
        <f t="shared" si="56"/>
        <v>12.510845077217123</v>
      </c>
      <c r="AA77" s="2847">
        <f t="shared" si="56"/>
        <v>11.2668050358056</v>
      </c>
      <c r="AB77" s="2845">
        <f t="shared" si="57"/>
        <v>6.9660872014094979</v>
      </c>
      <c r="AC77" s="2846">
        <f t="shared" si="57"/>
        <v>5.035738783916365</v>
      </c>
      <c r="AD77" s="2846">
        <f t="shared" si="57"/>
        <v>5.2043936488779661</v>
      </c>
      <c r="AE77" s="2846">
        <f t="shared" si="57"/>
        <v>5.0981750089679903</v>
      </c>
      <c r="AF77" s="2846">
        <f t="shared" si="57"/>
        <v>5.0756902700909912</v>
      </c>
      <c r="AG77" s="2846">
        <f t="shared" si="57"/>
        <v>5.9580427660932553</v>
      </c>
      <c r="AH77" s="2847">
        <f t="shared" si="57"/>
        <v>5.4359141687603572</v>
      </c>
      <c r="AI77" s="2848">
        <f>'A1.3.4'!$J$27/100</f>
        <v>0.1205924519584583</v>
      </c>
      <c r="AJ77" s="2845">
        <f t="shared" si="58"/>
        <v>7.9564768905097081</v>
      </c>
      <c r="AK77" s="2846">
        <f t="shared" si="58"/>
        <v>5.6472984346479684</v>
      </c>
      <c r="AL77" s="2846">
        <f t="shared" si="58"/>
        <v>5.8664142943508972</v>
      </c>
      <c r="AM77" s="2846">
        <f t="shared" si="58"/>
        <v>5.736135340301022</v>
      </c>
      <c r="AN77" s="2846">
        <f t="shared" si="58"/>
        <v>5.6592159249400034</v>
      </c>
      <c r="AO77" s="2846">
        <f t="shared" si="58"/>
        <v>6.7482612639907353</v>
      </c>
      <c r="AP77" s="2847">
        <f t="shared" si="58"/>
        <v>6.1390755955195235</v>
      </c>
      <c r="AQ77" s="2849" t="str">
        <f t="shared" si="6"/>
        <v>2059/60</v>
      </c>
      <c r="AR77" s="2832">
        <f t="shared" si="55"/>
        <v>2.2999999999999998</v>
      </c>
      <c r="AS77" s="2833">
        <f>'Cost and rev series'!F76</f>
        <v>3</v>
      </c>
      <c r="AT77" s="2833">
        <f t="shared" si="55"/>
        <v>0.8727288026266331</v>
      </c>
      <c r="AU77" s="2834">
        <f t="shared" si="27"/>
        <v>1.5140525376729748</v>
      </c>
      <c r="AV77" s="2845">
        <f t="shared" si="43"/>
        <v>47.793465595878772</v>
      </c>
      <c r="AW77" s="2846">
        <f t="shared" si="44"/>
        <v>45.687184978912761</v>
      </c>
      <c r="AX77" s="2846">
        <f t="shared" si="45"/>
        <v>45.943552491137268</v>
      </c>
      <c r="AY77" s="2846">
        <f t="shared" si="46"/>
        <v>46.068043346017895</v>
      </c>
      <c r="AZ77" s="2846">
        <f t="shared" si="47"/>
        <v>46.158902455938879</v>
      </c>
      <c r="BA77" s="2846">
        <f t="shared" si="48"/>
        <v>45.597384604931115</v>
      </c>
      <c r="BB77" s="2846">
        <f t="shared" si="49"/>
        <v>45.106477431372049</v>
      </c>
      <c r="BC77" s="2846">
        <f t="shared" si="50"/>
        <v>45.315065007720044</v>
      </c>
      <c r="BD77" s="2847">
        <f t="shared" si="51"/>
        <v>46.138383334253447</v>
      </c>
      <c r="BE77" s="2823"/>
      <c r="BF77" s="2848">
        <f t="shared" si="16"/>
        <v>2059</v>
      </c>
      <c r="BG77" s="2841">
        <f t="shared" si="59"/>
        <v>30.177782001398327</v>
      </c>
      <c r="BH77" s="2842">
        <f t="shared" si="59"/>
        <v>5.9323690252524175</v>
      </c>
      <c r="BI77" s="2842">
        <f t="shared" si="59"/>
        <v>-5.8639236858297861E-2</v>
      </c>
      <c r="BJ77" s="2844">
        <f t="shared" si="59"/>
        <v>4.1236297907437604E-4</v>
      </c>
      <c r="BK77" s="2841">
        <f t="shared" si="59"/>
        <v>36.213338401677987</v>
      </c>
      <c r="BL77" s="2842">
        <f t="shared" si="59"/>
        <v>7.0474300456707688</v>
      </c>
      <c r="BM77" s="2842">
        <f t="shared" si="59"/>
        <v>-7.0367084229957438E-2</v>
      </c>
      <c r="BN77" s="2844">
        <f t="shared" si="59"/>
        <v>4.9483557488925122E-4</v>
      </c>
      <c r="BO77" s="2845">
        <f t="shared" si="24"/>
        <v>4.5894684038677083</v>
      </c>
      <c r="BP77" s="2846">
        <f t="shared" si="18"/>
        <v>5.435949300009117</v>
      </c>
      <c r="BQ77" s="2847">
        <f t="shared" si="19"/>
        <v>5.3338700932074321</v>
      </c>
    </row>
    <row r="78" spans="1:69">
      <c r="A78" s="2835"/>
      <c r="B78" s="2836">
        <v>2060</v>
      </c>
      <c r="C78" s="2837"/>
      <c r="D78" s="2838">
        <f t="shared" si="54"/>
        <v>25.788174979479372</v>
      </c>
      <c r="E78" s="2839">
        <f t="shared" si="54"/>
        <v>75.170221798530207</v>
      </c>
      <c r="F78" s="2839">
        <f t="shared" si="54"/>
        <v>60.284864040377727</v>
      </c>
      <c r="G78" s="2839">
        <f t="shared" si="54"/>
        <v>66.710845670887736</v>
      </c>
      <c r="H78" s="2839">
        <f t="shared" si="54"/>
        <v>85.895078065522341</v>
      </c>
      <c r="I78" s="2839">
        <f t="shared" si="54"/>
        <v>39.476319858524271</v>
      </c>
      <c r="J78" s="2840">
        <f t="shared" si="54"/>
        <v>51.596276767916478</v>
      </c>
      <c r="K78" s="2841">
        <f t="shared" si="41"/>
        <v>30.303750113283471</v>
      </c>
      <c r="L78" s="2842">
        <f t="shared" si="41"/>
        <v>5.9552197864247844</v>
      </c>
      <c r="M78" s="2842">
        <f t="shared" si="41"/>
        <v>-5.8885140638276663E-2</v>
      </c>
      <c r="N78" s="2843">
        <f t="shared" si="41"/>
        <v>4.1408987657513157E-4</v>
      </c>
      <c r="O78" s="2841">
        <f t="shared" si="42"/>
        <v>36.364500135940162</v>
      </c>
      <c r="P78" s="2842">
        <f t="shared" si="42"/>
        <v>7.074850959077609</v>
      </c>
      <c r="Q78" s="2842">
        <f t="shared" si="42"/>
        <v>-7.0662168765931996E-2</v>
      </c>
      <c r="R78" s="2843">
        <f t="shared" si="42"/>
        <v>4.9690785189015791E-4</v>
      </c>
      <c r="S78" s="2841">
        <f t="shared" si="53"/>
        <v>4.0425633889616162</v>
      </c>
      <c r="T78" s="2844">
        <f t="shared" si="53"/>
        <v>135.94599999999997</v>
      </c>
      <c r="U78" s="2845">
        <f t="shared" si="56"/>
        <v>15.201368569260973</v>
      </c>
      <c r="V78" s="2846">
        <f t="shared" si="56"/>
        <v>10.122858450867415</v>
      </c>
      <c r="W78" s="2846">
        <f t="shared" si="56"/>
        <v>10.710548924641923</v>
      </c>
      <c r="X78" s="2846">
        <f t="shared" si="56"/>
        <v>10.404439893784712</v>
      </c>
      <c r="Y78" s="2846">
        <f t="shared" si="56"/>
        <v>9.9304777862896643</v>
      </c>
      <c r="Z78" s="2846">
        <f t="shared" si="56"/>
        <v>12.529902983394106</v>
      </c>
      <c r="AA78" s="2847">
        <f t="shared" si="56"/>
        <v>11.284036076863789</v>
      </c>
      <c r="AB78" s="2845">
        <f t="shared" si="57"/>
        <v>6.9931842567151818</v>
      </c>
      <c r="AC78" s="2846">
        <f t="shared" si="57"/>
        <v>5.0547308513082188</v>
      </c>
      <c r="AD78" s="2846">
        <f t="shared" si="57"/>
        <v>5.2240975696121854</v>
      </c>
      <c r="AE78" s="2846">
        <f t="shared" si="57"/>
        <v>5.1174315561563581</v>
      </c>
      <c r="AF78" s="2846">
        <f t="shared" si="57"/>
        <v>5.0948464487947387</v>
      </c>
      <c r="AG78" s="2846">
        <f t="shared" si="57"/>
        <v>5.9809122535056325</v>
      </c>
      <c r="AH78" s="2847">
        <f t="shared" si="57"/>
        <v>5.4565914180301851</v>
      </c>
      <c r="AI78" s="2848">
        <f>'A1.3.4'!$J$27/100</f>
        <v>0.1205924519584583</v>
      </c>
      <c r="AJ78" s="2845">
        <f t="shared" si="58"/>
        <v>7.9830293290920311</v>
      </c>
      <c r="AK78" s="2846">
        <f t="shared" si="58"/>
        <v>5.6659087853773986</v>
      </c>
      <c r="AL78" s="2846">
        <f t="shared" si="58"/>
        <v>5.8857221910660282</v>
      </c>
      <c r="AM78" s="2846">
        <f t="shared" si="58"/>
        <v>5.7550048551157742</v>
      </c>
      <c r="AN78" s="2846">
        <f t="shared" si="58"/>
        <v>5.6779870885504113</v>
      </c>
      <c r="AO78" s="2846">
        <f t="shared" si="58"/>
        <v>6.7706711034760971</v>
      </c>
      <c r="AP78" s="2847">
        <f t="shared" si="58"/>
        <v>6.159337258091151</v>
      </c>
      <c r="AQ78" s="2849"/>
      <c r="AR78" s="2832"/>
      <c r="AS78" s="2833"/>
      <c r="AT78" s="2833"/>
      <c r="AU78" s="2834"/>
      <c r="AV78" s="2845"/>
      <c r="AW78" s="2846"/>
      <c r="AX78" s="2846"/>
      <c r="AY78" s="2846"/>
      <c r="AZ78" s="2846"/>
      <c r="BA78" s="2846"/>
      <c r="BB78" s="2846"/>
      <c r="BC78" s="2846"/>
      <c r="BD78" s="2847"/>
      <c r="BE78" s="2831"/>
      <c r="BF78" s="2848">
        <f t="shared" si="16"/>
        <v>2060</v>
      </c>
      <c r="BG78" s="2841">
        <f t="shared" ref="BG78:BN78" si="60">K78</f>
        <v>30.303750113283471</v>
      </c>
      <c r="BH78" s="2842">
        <f t="shared" si="60"/>
        <v>5.9552197864247844</v>
      </c>
      <c r="BI78" s="2842">
        <f t="shared" si="60"/>
        <v>-5.8885140638276663E-2</v>
      </c>
      <c r="BJ78" s="2844">
        <f t="shared" si="60"/>
        <v>4.1408987657513157E-4</v>
      </c>
      <c r="BK78" s="2841">
        <f t="shared" si="60"/>
        <v>36.364500135940162</v>
      </c>
      <c r="BL78" s="2842">
        <f t="shared" si="60"/>
        <v>7.074850959077609</v>
      </c>
      <c r="BM78" s="2842">
        <f t="shared" si="60"/>
        <v>-7.0662168765931996E-2</v>
      </c>
      <c r="BN78" s="2844">
        <f t="shared" si="60"/>
        <v>4.9690785189015791E-4</v>
      </c>
      <c r="BO78" s="2845">
        <f>BG78/$J78+BH78+BI78*$J78+BJ78*$J78^2</f>
        <v>4.6066701688852643</v>
      </c>
      <c r="BP78" s="2846">
        <f t="shared" si="18"/>
        <v>5.4565914180301851</v>
      </c>
      <c r="BQ78" s="2847">
        <f t="shared" si="19"/>
        <v>5.354097330624203</v>
      </c>
    </row>
    <row r="79" spans="1:69" ht="13.8" thickBot="1">
      <c r="A79" s="2571"/>
      <c r="B79" s="2850"/>
      <c r="C79" s="2851"/>
      <c r="D79" s="2571"/>
      <c r="E79" s="2850"/>
      <c r="F79" s="2850"/>
      <c r="G79" s="2850"/>
      <c r="H79" s="2850"/>
      <c r="I79" s="2850"/>
      <c r="J79" s="2851"/>
      <c r="K79" s="2571"/>
      <c r="L79" s="2850"/>
      <c r="M79" s="2850"/>
      <c r="N79" s="2851"/>
      <c r="O79" s="2571"/>
      <c r="P79" s="2850"/>
      <c r="Q79" s="2850"/>
      <c r="R79" s="2851"/>
      <c r="S79" s="2571"/>
      <c r="T79" s="2851"/>
      <c r="U79" s="2571"/>
      <c r="V79" s="2850"/>
      <c r="W79" s="2850"/>
      <c r="X79" s="2850"/>
      <c r="Y79" s="2850"/>
      <c r="Z79" s="2850"/>
      <c r="AA79" s="2851"/>
      <c r="AB79" s="2571"/>
      <c r="AC79" s="2850"/>
      <c r="AD79" s="2850"/>
      <c r="AE79" s="2850"/>
      <c r="AF79" s="2850"/>
      <c r="AG79" s="2850"/>
      <c r="AH79" s="2851"/>
      <c r="AI79" s="2852"/>
      <c r="AJ79" s="2571"/>
      <c r="AK79" s="2850"/>
      <c r="AL79" s="2850"/>
      <c r="AM79" s="2850"/>
      <c r="AN79" s="2850"/>
      <c r="AO79" s="2850"/>
      <c r="AP79" s="2851"/>
      <c r="AQ79" s="2852"/>
      <c r="AR79" s="2571"/>
      <c r="AS79" s="2850"/>
      <c r="AT79" s="2850"/>
      <c r="AU79" s="2851"/>
      <c r="AV79" s="2571"/>
      <c r="AW79" s="2850"/>
      <c r="AX79" s="2850"/>
      <c r="AY79" s="2850"/>
      <c r="AZ79" s="2850"/>
      <c r="BA79" s="2850"/>
      <c r="BB79" s="2850"/>
      <c r="BC79" s="2850"/>
      <c r="BD79" s="2851"/>
      <c r="BE79" s="2557"/>
      <c r="BF79" s="2852"/>
      <c r="BG79" s="2853"/>
      <c r="BH79" s="2854"/>
      <c r="BI79" s="2854"/>
      <c r="BJ79" s="2855"/>
      <c r="BK79" s="2853"/>
      <c r="BL79" s="2854"/>
      <c r="BM79" s="2854"/>
      <c r="BN79" s="2855"/>
      <c r="BO79" s="2571"/>
      <c r="BP79" s="2850"/>
      <c r="BQ79" s="2851"/>
    </row>
    <row r="80" spans="1:69" ht="13.8" thickTop="1">
      <c r="A80" s="2557"/>
      <c r="B80" s="2557"/>
      <c r="C80" s="2557"/>
      <c r="D80" s="2557"/>
      <c r="E80" s="2557"/>
      <c r="F80" s="2557"/>
      <c r="G80" s="2557"/>
      <c r="H80" s="2557"/>
      <c r="I80" s="2557"/>
      <c r="J80" s="2557"/>
      <c r="K80" s="2557"/>
      <c r="L80" s="2557"/>
      <c r="M80" s="2557"/>
      <c r="N80" s="2557"/>
      <c r="O80" s="2557"/>
      <c r="P80" s="2557"/>
      <c r="Q80" s="2557"/>
      <c r="R80" s="2557"/>
      <c r="S80" s="2557"/>
      <c r="T80" s="2557"/>
      <c r="U80" s="2557"/>
      <c r="V80" s="2557"/>
      <c r="W80" s="2557"/>
      <c r="X80" s="2557"/>
      <c r="Y80" s="2557"/>
      <c r="Z80" s="2557"/>
      <c r="AA80" s="2557"/>
      <c r="AB80" s="2557"/>
      <c r="AC80" s="2557"/>
      <c r="AD80" s="2557"/>
      <c r="AE80" s="2557"/>
      <c r="AF80" s="2557"/>
      <c r="AG80" s="2557"/>
      <c r="AH80" s="2557"/>
      <c r="AI80" s="2557"/>
      <c r="AJ80" s="2557"/>
      <c r="AK80" s="2557"/>
      <c r="AL80" s="2557"/>
      <c r="AM80" s="2557"/>
      <c r="AN80" s="2557"/>
      <c r="AO80" s="2557"/>
      <c r="AP80" s="2557"/>
      <c r="AQ80" s="2557"/>
      <c r="AR80" s="2557"/>
      <c r="AS80" s="2557"/>
      <c r="AT80" s="2557"/>
      <c r="AU80" s="2557"/>
      <c r="AV80" s="2557"/>
      <c r="AW80" s="2557"/>
      <c r="AX80" s="2557"/>
      <c r="AY80" s="2557"/>
      <c r="AZ80" s="2557"/>
      <c r="BA80" s="2557"/>
      <c r="BB80" s="2557"/>
      <c r="BC80" s="2557"/>
      <c r="BD80" s="2557"/>
      <c r="BE80" s="2557"/>
      <c r="BF80" s="2557"/>
      <c r="BG80" s="2820"/>
      <c r="BH80" s="2820"/>
      <c r="BI80" s="2820"/>
      <c r="BJ80" s="2820"/>
      <c r="BK80" s="2820"/>
      <c r="BL80" s="2820"/>
      <c r="BM80" s="2820"/>
      <c r="BN80" s="2820"/>
      <c r="BO80" s="2557"/>
      <c r="BP80" s="2557"/>
      <c r="BQ80" s="2557"/>
    </row>
    <row r="81" spans="1:69">
      <c r="A81" s="2557"/>
      <c r="B81" s="2557"/>
      <c r="C81" s="2557"/>
      <c r="D81" s="2557"/>
      <c r="E81" s="2557"/>
      <c r="F81" s="2557"/>
      <c r="G81" s="2557"/>
      <c r="H81" s="2557"/>
      <c r="I81" s="2557"/>
      <c r="J81" s="2557"/>
      <c r="K81" s="2557"/>
      <c r="L81" s="2557"/>
      <c r="M81" s="2557"/>
      <c r="N81" s="2557"/>
      <c r="O81" s="2557"/>
      <c r="P81" s="2557"/>
      <c r="Q81" s="2557"/>
      <c r="R81" s="2557"/>
      <c r="S81" s="2557"/>
      <c r="T81" s="2557"/>
      <c r="U81" s="2557"/>
      <c r="V81" s="2557"/>
      <c r="W81" s="2557"/>
      <c r="X81" s="2557"/>
      <c r="Y81" s="2557"/>
      <c r="Z81" s="2557"/>
      <c r="AA81" s="2557"/>
      <c r="AB81" s="2557"/>
      <c r="AC81" s="2557"/>
      <c r="AD81" s="2557"/>
      <c r="AE81" s="2557"/>
      <c r="AF81" s="2557"/>
      <c r="AG81" s="2557"/>
      <c r="AH81" s="2557"/>
      <c r="AI81" s="2557"/>
      <c r="AJ81" s="2557"/>
      <c r="AK81" s="2557"/>
      <c r="AL81" s="2557"/>
      <c r="AM81" s="2557"/>
      <c r="AN81" s="2557"/>
      <c r="AO81" s="2557"/>
      <c r="AP81" s="2557"/>
      <c r="AQ81" s="2557"/>
      <c r="AR81" s="2557"/>
      <c r="AS81" s="2557"/>
      <c r="AT81" s="2557"/>
      <c r="AU81" s="2557"/>
      <c r="AV81" s="2557"/>
      <c r="AW81" s="2557"/>
      <c r="AX81" s="2557"/>
      <c r="AY81" s="2557"/>
      <c r="AZ81" s="2557"/>
      <c r="BA81" s="2557"/>
      <c r="BB81" s="2557"/>
      <c r="BC81" s="2557"/>
      <c r="BD81" s="2557"/>
      <c r="BE81" s="2557"/>
      <c r="BF81" s="2557"/>
      <c r="BG81" s="2820"/>
      <c r="BH81" s="2820"/>
      <c r="BI81" s="2820"/>
      <c r="BJ81" s="2820"/>
      <c r="BK81" s="2820"/>
      <c r="BL81" s="2820"/>
      <c r="BM81" s="2820"/>
      <c r="BN81" s="2820"/>
      <c r="BO81" s="2557"/>
      <c r="BP81" s="2557"/>
      <c r="BQ81" s="2557"/>
    </row>
    <row r="82" spans="1:69">
      <c r="BG82" s="2820"/>
      <c r="BH82" s="2820"/>
      <c r="BI82" s="2820"/>
      <c r="BJ82" s="2820"/>
      <c r="BK82" s="2820"/>
      <c r="BL82" s="2820"/>
      <c r="BM82" s="2820"/>
      <c r="BN82" s="2820"/>
    </row>
    <row r="83" spans="1:69">
      <c r="BG83" s="2820"/>
      <c r="BH83" s="2820"/>
      <c r="BI83" s="2820"/>
      <c r="BJ83" s="2820"/>
      <c r="BK83" s="2820"/>
      <c r="BL83" s="2820"/>
      <c r="BM83" s="2820"/>
      <c r="BN83" s="2820"/>
    </row>
    <row r="84" spans="1:69">
      <c r="BG84" s="335"/>
      <c r="BH84" s="335"/>
      <c r="BI84" s="335"/>
      <c r="BJ84" s="335"/>
      <c r="BK84" s="335"/>
      <c r="BL84" s="335"/>
      <c r="BM84" s="335"/>
      <c r="BN84" s="335"/>
    </row>
  </sheetData>
  <sheetProtection sheet="1" objects="1" scenarios="1"/>
  <mergeCells count="41">
    <mergeCell ref="AP26:AP27"/>
    <mergeCell ref="AV26:AV27"/>
    <mergeCell ref="AW26:AW27"/>
    <mergeCell ref="BD26:BD27"/>
    <mergeCell ref="AX26:AX27"/>
    <mergeCell ref="AY26:AY27"/>
    <mergeCell ref="AZ26:AZ27"/>
    <mergeCell ref="BA26:BA27"/>
    <mergeCell ref="BB26:BB27"/>
    <mergeCell ref="BC26:BC27"/>
    <mergeCell ref="AK26:AK27"/>
    <mergeCell ref="AL26:AL27"/>
    <mergeCell ref="AM26:AM27"/>
    <mergeCell ref="AN26:AN27"/>
    <mergeCell ref="AO26:AO27"/>
    <mergeCell ref="BK24:BN24"/>
    <mergeCell ref="U26:U27"/>
    <mergeCell ref="V26:V27"/>
    <mergeCell ref="W26:W27"/>
    <mergeCell ref="X26:X27"/>
    <mergeCell ref="Y26:Y27"/>
    <mergeCell ref="Z26:Z27"/>
    <mergeCell ref="AA26:AA27"/>
    <mergeCell ref="AB26:AB27"/>
    <mergeCell ref="AC26:AC27"/>
    <mergeCell ref="AD26:AD27"/>
    <mergeCell ref="AE26:AE27"/>
    <mergeCell ref="AF26:AF27"/>
    <mergeCell ref="AG26:AG27"/>
    <mergeCell ref="AH26:AH27"/>
    <mergeCell ref="AJ26:AJ27"/>
    <mergeCell ref="A11:B11"/>
    <mergeCell ref="K24:N24"/>
    <mergeCell ref="O24:R24"/>
    <mergeCell ref="S24:T24"/>
    <mergeCell ref="BG24:BJ24"/>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M4: Forecasting &amp; Uncertainty" display="WebTAG Unit M 4"/>
  </hyperlinks>
  <pageMargins left="0.75" right="0.75" top="1" bottom="1" header="0.5" footer="0.5"/>
  <pageSetup paperSize="9" orientation="portrait" r:id="rId2"/>
  <headerFooter alignWithMargins="0"/>
  <drawing r:id="rId3"/>
  <legacyDrawing r:id="rId4"/>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tabColor rgb="FF008000"/>
  </sheetPr>
  <dimension ref="A1:AL126"/>
  <sheetViews>
    <sheetView showGridLines="0" zoomScale="55" zoomScaleNormal="55" workbookViewId="0">
      <selection activeCell="E31" sqref="E31"/>
    </sheetView>
  </sheetViews>
  <sheetFormatPr defaultColWidth="12.88671875" defaultRowHeight="13.2"/>
  <cols>
    <col min="1" max="8" width="12.88671875" style="33" customWidth="1"/>
    <col min="9" max="9" width="14.44140625" style="33" customWidth="1"/>
    <col min="10" max="16384" width="12.88671875" style="33"/>
  </cols>
  <sheetData>
    <row r="1" spans="1:38" ht="54.9" customHeight="1">
      <c r="A1" s="3569"/>
      <c r="B1" s="3569"/>
      <c r="C1" s="112"/>
    </row>
    <row r="2" spans="1:38" ht="5.0999999999999996" customHeight="1">
      <c r="C2" s="111"/>
    </row>
    <row r="3" spans="1:38" s="20" customFormat="1" ht="20.100000000000001" customHeight="1">
      <c r="A3" s="83" t="s">
        <v>2341</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1631</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30">
        <f>Audit!C12</f>
        <v>43586</v>
      </c>
      <c r="B8" s="3631"/>
      <c r="E8" s="2560" t="s">
        <v>1634</v>
      </c>
      <c r="F8" s="24"/>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2528" t="s">
        <v>1636</v>
      </c>
      <c r="I9" s="27"/>
      <c r="J9" s="27"/>
      <c r="K9" s="27"/>
      <c r="L9" s="27"/>
      <c r="M9" s="27"/>
      <c r="N9" s="27"/>
      <c r="O9" s="27"/>
      <c r="P9" s="27"/>
      <c r="Q9" s="27"/>
      <c r="R9" s="27"/>
      <c r="S9" s="55"/>
      <c r="W9" s="26"/>
      <c r="X9" s="26"/>
      <c r="Y9" s="26"/>
      <c r="Z9" s="26"/>
      <c r="AA9" s="31"/>
      <c r="AB9" s="26"/>
      <c r="AL9" s="87"/>
    </row>
    <row r="10" spans="1:38" s="38" customFormat="1" ht="13.5" customHeight="1" thickBot="1">
      <c r="A10" s="3570" t="s">
        <v>1306</v>
      </c>
      <c r="B10" s="3610"/>
      <c r="E10" s="113"/>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570" t="s">
        <v>2211</v>
      </c>
      <c r="B11" s="3581"/>
      <c r="E11" s="113" t="s">
        <v>1207</v>
      </c>
      <c r="I11" s="68"/>
      <c r="J11" s="68"/>
      <c r="K11" s="68"/>
      <c r="L11" s="68"/>
      <c r="M11" s="68"/>
      <c r="N11" s="68"/>
      <c r="O11" s="68"/>
      <c r="P11" s="68"/>
      <c r="Q11" s="68"/>
      <c r="R11" s="68"/>
      <c r="S11" s="107"/>
      <c r="W11" s="26"/>
      <c r="X11" s="26"/>
      <c r="Y11" s="26"/>
      <c r="Z11" s="26"/>
      <c r="AA11" s="31"/>
      <c r="AB11" s="26"/>
      <c r="AL11" s="87"/>
    </row>
    <row r="12" spans="1:38" s="38" customFormat="1" ht="13.5" customHeight="1">
      <c r="A12" s="2417"/>
      <c r="B12" s="2417"/>
      <c r="E12" s="113" t="s">
        <v>1505</v>
      </c>
      <c r="I12" s="33"/>
      <c r="J12" s="27"/>
      <c r="K12" s="27"/>
      <c r="L12" s="27"/>
      <c r="M12" s="27"/>
      <c r="N12" s="27"/>
      <c r="O12" s="27"/>
      <c r="P12" s="27"/>
      <c r="Q12" s="68"/>
      <c r="R12" s="68"/>
      <c r="S12" s="107"/>
      <c r="W12" s="26"/>
      <c r="X12" s="26"/>
      <c r="Y12" s="26"/>
      <c r="Z12" s="26"/>
      <c r="AA12" s="31"/>
      <c r="AB12" s="26"/>
      <c r="AL12" s="87"/>
    </row>
    <row r="13" spans="1:38" s="38" customFormat="1" ht="13.5" customHeight="1">
      <c r="A13" s="172" t="s">
        <v>252</v>
      </c>
      <c r="B13" s="194"/>
      <c r="E13" s="113" t="s">
        <v>1506</v>
      </c>
      <c r="F13" s="33"/>
      <c r="G13" s="33"/>
      <c r="I13" s="33"/>
      <c r="J13" s="27"/>
      <c r="K13" s="27"/>
      <c r="L13" s="27"/>
      <c r="M13" s="27"/>
      <c r="N13" s="27"/>
      <c r="O13" s="27"/>
      <c r="P13" s="2247"/>
      <c r="Q13" s="27"/>
      <c r="R13" s="27"/>
      <c r="S13" s="55"/>
      <c r="W13" s="26"/>
      <c r="X13" s="26"/>
      <c r="Y13" s="26"/>
      <c r="Z13" s="26"/>
      <c r="AA13" s="31"/>
      <c r="AB13" s="26"/>
      <c r="AL13" s="87"/>
    </row>
    <row r="14" spans="1:38" ht="13.5" customHeight="1">
      <c r="A14" s="2445"/>
      <c r="B14" s="2446"/>
      <c r="C14" s="82"/>
      <c r="E14" s="2554" t="s">
        <v>1532</v>
      </c>
      <c r="G14" s="2299"/>
      <c r="H14" s="38"/>
      <c r="P14" s="27"/>
      <c r="Q14" s="27"/>
      <c r="R14" s="27"/>
      <c r="S14" s="55"/>
      <c r="W14" s="72"/>
      <c r="X14" s="72"/>
      <c r="Y14" s="72"/>
      <c r="Z14" s="96"/>
      <c r="AA14" s="31"/>
      <c r="AB14" s="26"/>
    </row>
    <row r="15" spans="1:38" ht="13.5" customHeight="1">
      <c r="A15" s="2452"/>
      <c r="B15" s="2446"/>
      <c r="C15" s="7"/>
      <c r="E15" s="113"/>
      <c r="F15" s="2299"/>
      <c r="I15" s="26"/>
      <c r="J15" s="26"/>
      <c r="K15" s="429"/>
      <c r="L15" s="429"/>
      <c r="M15" s="429"/>
      <c r="N15" s="429"/>
      <c r="O15" s="2246"/>
      <c r="P15" s="27"/>
      <c r="Q15" s="27"/>
      <c r="R15" s="27"/>
      <c r="S15" s="55"/>
      <c r="U15" s="25"/>
      <c r="W15" s="56"/>
      <c r="X15" s="72"/>
      <c r="Y15" s="72"/>
      <c r="Z15" s="96"/>
      <c r="AA15" s="31"/>
      <c r="AB15" s="26"/>
    </row>
    <row r="16" spans="1:38" ht="13.5" customHeight="1">
      <c r="A16" s="2453"/>
      <c r="B16" s="2454"/>
      <c r="C16" s="7"/>
      <c r="E16" s="113"/>
      <c r="F16" s="2251"/>
      <c r="I16" s="26"/>
      <c r="J16" s="429"/>
      <c r="K16" s="429"/>
      <c r="L16" s="429"/>
      <c r="M16" s="429"/>
      <c r="N16" s="2246"/>
      <c r="O16" s="26"/>
      <c r="P16" s="26"/>
      <c r="Q16" s="26"/>
      <c r="R16" s="26"/>
      <c r="S16" s="147"/>
      <c r="U16" s="25"/>
      <c r="W16" s="26"/>
      <c r="X16" s="26"/>
      <c r="Y16" s="26"/>
      <c r="Z16" s="26"/>
      <c r="AA16" s="26"/>
      <c r="AB16" s="26"/>
    </row>
    <row r="17" spans="1:35" ht="13.5" customHeight="1">
      <c r="A17" s="169" t="s">
        <v>253</v>
      </c>
      <c r="B17" s="170"/>
      <c r="C17" s="82"/>
      <c r="E17" s="113"/>
      <c r="F17" s="1496"/>
      <c r="I17" s="27"/>
      <c r="J17" s="27"/>
      <c r="K17" s="27"/>
      <c r="L17" s="27"/>
      <c r="M17" s="27"/>
      <c r="N17" s="27"/>
      <c r="O17" s="27"/>
      <c r="P17" s="27"/>
      <c r="Q17" s="27"/>
      <c r="R17" s="27"/>
      <c r="S17" s="55"/>
      <c r="U17" s="25"/>
    </row>
    <row r="18" spans="1:35" ht="13.5" customHeight="1">
      <c r="A18" s="2424"/>
      <c r="B18" s="2424"/>
      <c r="C18" s="38"/>
      <c r="E18" s="2554"/>
      <c r="I18" s="27"/>
      <c r="J18" s="691"/>
      <c r="K18" s="691"/>
      <c r="L18" s="691"/>
      <c r="M18" s="691"/>
      <c r="N18" s="2243"/>
      <c r="O18" s="27"/>
      <c r="P18" s="27"/>
      <c r="Q18" s="27"/>
      <c r="R18" s="27"/>
      <c r="S18" s="55"/>
      <c r="U18" s="25"/>
    </row>
    <row r="19" spans="1:35" ht="13.5" customHeight="1">
      <c r="A19" s="2424"/>
      <c r="B19" s="2424"/>
      <c r="E19" s="2554" t="s">
        <v>2390</v>
      </c>
      <c r="F19" s="29"/>
      <c r="G19" s="32"/>
      <c r="H19" s="26"/>
      <c r="I19" s="31"/>
      <c r="J19" s="26"/>
      <c r="K19" s="72"/>
      <c r="L19" s="72"/>
      <c r="M19" s="72"/>
      <c r="N19" s="72"/>
      <c r="O19" s="96"/>
      <c r="P19" s="31"/>
      <c r="Q19" s="26"/>
      <c r="R19" s="26"/>
      <c r="S19" s="147"/>
      <c r="U19" s="25"/>
    </row>
    <row r="20" spans="1:35" ht="13.5" customHeight="1" thickBot="1">
      <c r="A20" s="2424"/>
      <c r="B20" s="2424"/>
      <c r="E20" s="162" t="s">
        <v>2340</v>
      </c>
      <c r="F20" s="163"/>
      <c r="G20" s="164"/>
      <c r="H20" s="13"/>
      <c r="I20" s="165"/>
      <c r="J20" s="13"/>
      <c r="K20" s="166"/>
      <c r="L20" s="166"/>
      <c r="M20" s="166"/>
      <c r="N20" s="166"/>
      <c r="O20" s="167"/>
      <c r="P20" s="165"/>
      <c r="Q20" s="13"/>
      <c r="R20" s="13"/>
      <c r="S20" s="168"/>
      <c r="U20" s="25"/>
    </row>
    <row r="21" spans="1:35" ht="13.5" customHeight="1" thickTop="1">
      <c r="A21" s="2424"/>
      <c r="B21" s="2424"/>
      <c r="E21" s="95"/>
      <c r="F21" s="29"/>
      <c r="G21" s="32"/>
      <c r="H21" s="26"/>
      <c r="I21" s="31"/>
      <c r="J21" s="26"/>
      <c r="K21" s="72"/>
      <c r="L21" s="72"/>
      <c r="M21" s="72"/>
      <c r="N21" s="72"/>
      <c r="O21" s="96"/>
      <c r="P21" s="31"/>
      <c r="Q21" s="26"/>
      <c r="R21" s="26"/>
      <c r="S21" s="26"/>
      <c r="U21" s="25"/>
    </row>
    <row r="22" spans="1:35" ht="13.5" customHeight="1" thickBot="1">
      <c r="B22" s="27"/>
      <c r="C22" s="27"/>
      <c r="D22" s="69"/>
      <c r="E22" s="37"/>
      <c r="F22" s="37"/>
      <c r="G22" s="37"/>
      <c r="H22" s="37"/>
      <c r="I22" s="37"/>
      <c r="J22" s="27"/>
      <c r="K22" s="2547"/>
      <c r="L22" s="2547"/>
      <c r="M22" s="2547"/>
      <c r="N22" s="2547"/>
      <c r="O22" s="2547"/>
      <c r="P22" s="2547"/>
      <c r="Q22" s="2547"/>
      <c r="R22" s="2547"/>
      <c r="S22" s="27"/>
      <c r="T22" s="27"/>
      <c r="U22" s="27"/>
      <c r="V22" s="27"/>
      <c r="W22" s="27"/>
      <c r="X22" s="27"/>
      <c r="Y22" s="27"/>
      <c r="Z22" s="27"/>
      <c r="AA22" s="27"/>
    </row>
    <row r="23" spans="1:35" ht="13.5" customHeight="1" thickTop="1" thickBot="1">
      <c r="A23" s="2684" t="s">
        <v>1658</v>
      </c>
      <c r="B23" s="88"/>
      <c r="C23" s="126"/>
      <c r="D23" s="823" t="s">
        <v>1623</v>
      </c>
      <c r="E23" s="277"/>
      <c r="F23" s="277"/>
      <c r="G23" s="151"/>
      <c r="H23" s="151"/>
      <c r="I23" s="151"/>
      <c r="J23" s="151"/>
      <c r="K23" s="151"/>
      <c r="L23" s="151"/>
      <c r="M23" s="151"/>
      <c r="N23" s="151"/>
      <c r="O23" s="151"/>
      <c r="P23" s="151"/>
      <c r="Q23" s="151"/>
      <c r="R23" s="151"/>
      <c r="S23" s="152"/>
      <c r="T23" s="823" t="s">
        <v>1629</v>
      </c>
      <c r="U23" s="277"/>
      <c r="V23" s="277"/>
      <c r="W23" s="151"/>
      <c r="X23" s="151"/>
      <c r="Y23" s="151"/>
      <c r="Z23" s="151"/>
      <c r="AA23" s="151"/>
      <c r="AB23" s="151"/>
      <c r="AC23" s="151"/>
      <c r="AD23" s="151"/>
      <c r="AE23" s="151"/>
      <c r="AF23" s="151"/>
      <c r="AG23" s="151"/>
      <c r="AH23" s="151"/>
      <c r="AI23" s="152"/>
    </row>
    <row r="24" spans="1:35" s="38" customFormat="1" ht="13.5" customHeight="1" thickTop="1">
      <c r="A24" s="2241"/>
      <c r="B24" s="2669" t="s">
        <v>1637</v>
      </c>
      <c r="C24" s="2244"/>
      <c r="D24" s="2548" t="s">
        <v>1632</v>
      </c>
      <c r="E24" s="470"/>
      <c r="F24" s="470"/>
      <c r="G24" s="470"/>
      <c r="H24" s="470"/>
      <c r="I24" s="470"/>
      <c r="J24" s="470"/>
      <c r="K24" s="2549"/>
      <c r="L24" s="2553" t="s">
        <v>1529</v>
      </c>
      <c r="M24" s="470"/>
      <c r="N24" s="470"/>
      <c r="O24" s="470"/>
      <c r="P24" s="470"/>
      <c r="Q24" s="470"/>
      <c r="R24" s="470"/>
      <c r="S24" s="1068"/>
      <c r="T24" s="2548" t="s">
        <v>1633</v>
      </c>
      <c r="U24" s="470"/>
      <c r="V24" s="470"/>
      <c r="W24" s="470"/>
      <c r="X24" s="470"/>
      <c r="Y24" s="470"/>
      <c r="Z24" s="470"/>
      <c r="AA24" s="2549"/>
      <c r="AB24" s="2553" t="s">
        <v>1529</v>
      </c>
      <c r="AC24" s="470"/>
      <c r="AD24" s="470"/>
      <c r="AE24" s="470"/>
      <c r="AF24" s="470"/>
      <c r="AG24" s="470"/>
      <c r="AH24" s="470"/>
      <c r="AI24" s="1068"/>
    </row>
    <row r="25" spans="1:35" s="27" customFormat="1" ht="13.5" customHeight="1">
      <c r="A25" s="104"/>
      <c r="B25" s="105"/>
      <c r="C25" s="287"/>
      <c r="D25" s="3872" t="s">
        <v>919</v>
      </c>
      <c r="E25" s="3872" t="s">
        <v>920</v>
      </c>
      <c r="F25" s="3872" t="s">
        <v>4</v>
      </c>
      <c r="G25" s="3872" t="s">
        <v>0</v>
      </c>
      <c r="H25" s="3872" t="s">
        <v>1665</v>
      </c>
      <c r="I25" s="3872" t="s">
        <v>1666</v>
      </c>
      <c r="J25" s="3872" t="s">
        <v>1667</v>
      </c>
      <c r="K25" s="3874" t="s">
        <v>72</v>
      </c>
      <c r="L25" s="2550"/>
      <c r="M25" s="2551"/>
      <c r="N25" s="2551"/>
      <c r="O25" s="2551"/>
      <c r="P25" s="2551"/>
      <c r="Q25" s="2551"/>
      <c r="R25" s="2551" t="s">
        <v>1530</v>
      </c>
      <c r="S25" s="2610"/>
      <c r="T25" s="3872" t="s">
        <v>919</v>
      </c>
      <c r="U25" s="3872" t="s">
        <v>920</v>
      </c>
      <c r="V25" s="3872" t="s">
        <v>4</v>
      </c>
      <c r="W25" s="3872" t="s">
        <v>0</v>
      </c>
      <c r="X25" s="3872" t="s">
        <v>1665</v>
      </c>
      <c r="Y25" s="3872" t="s">
        <v>1666</v>
      </c>
      <c r="Z25" s="3872" t="s">
        <v>1667</v>
      </c>
      <c r="AA25" s="3874" t="s">
        <v>72</v>
      </c>
      <c r="AB25" s="2550"/>
      <c r="AC25" s="2551"/>
      <c r="AD25" s="2551"/>
      <c r="AE25" s="2551"/>
      <c r="AF25" s="2551"/>
      <c r="AG25" s="2551"/>
      <c r="AH25" s="2551" t="s">
        <v>1530</v>
      </c>
      <c r="AI25" s="2610"/>
    </row>
    <row r="26" spans="1:35" s="27" customFormat="1" ht="13.5" customHeight="1" thickBot="1">
      <c r="A26" s="464"/>
      <c r="B26" s="659"/>
      <c r="C26" s="393"/>
      <c r="D26" s="3873"/>
      <c r="E26" s="3873"/>
      <c r="F26" s="3873"/>
      <c r="G26" s="3873"/>
      <c r="H26" s="3873"/>
      <c r="I26" s="3873"/>
      <c r="J26" s="3873"/>
      <c r="K26" s="3875"/>
      <c r="L26" s="2615" t="s">
        <v>1521</v>
      </c>
      <c r="M26" s="2616" t="s">
        <v>1522</v>
      </c>
      <c r="N26" s="2616" t="s">
        <v>1523</v>
      </c>
      <c r="O26" s="2616" t="s">
        <v>1524</v>
      </c>
      <c r="P26" s="2616" t="s">
        <v>1525</v>
      </c>
      <c r="Q26" s="2616" t="s">
        <v>1526</v>
      </c>
      <c r="R26" s="2616" t="s">
        <v>1531</v>
      </c>
      <c r="S26" s="2617" t="s">
        <v>1527</v>
      </c>
      <c r="T26" s="3873"/>
      <c r="U26" s="3873"/>
      <c r="V26" s="3873"/>
      <c r="W26" s="3873"/>
      <c r="X26" s="3873"/>
      <c r="Y26" s="3873"/>
      <c r="Z26" s="3873"/>
      <c r="AA26" s="3875"/>
      <c r="AB26" s="2615" t="s">
        <v>1521</v>
      </c>
      <c r="AC26" s="2616" t="s">
        <v>1522</v>
      </c>
      <c r="AD26" s="2616" t="s">
        <v>1523</v>
      </c>
      <c r="AE26" s="2616" t="s">
        <v>1524</v>
      </c>
      <c r="AF26" s="2616" t="s">
        <v>1525</v>
      </c>
      <c r="AG26" s="2616" t="s">
        <v>1526</v>
      </c>
      <c r="AH26" s="2616" t="s">
        <v>1531</v>
      </c>
      <c r="AI26" s="2617" t="s">
        <v>1527</v>
      </c>
    </row>
    <row r="27" spans="1:35" ht="13.5" customHeight="1" thickTop="1">
      <c r="A27" s="90"/>
      <c r="B27" s="2667" t="s">
        <v>7</v>
      </c>
      <c r="C27" s="42"/>
      <c r="D27" s="73">
        <f>'Car and bus journey time'!T27</f>
        <v>100</v>
      </c>
      <c r="E27" s="73">
        <f>'Car and bus journey time'!U27</f>
        <v>100</v>
      </c>
      <c r="F27" s="73">
        <f>'Car and bus journey time'!V27</f>
        <v>100</v>
      </c>
      <c r="G27" s="73">
        <f>'Car and bus journey time'!W27</f>
        <v>100</v>
      </c>
      <c r="H27" s="73">
        <f>'Car and bus journey time'!Y27</f>
        <v>100</v>
      </c>
      <c r="I27" s="73">
        <f>'Car and bus journey time'!Z27</f>
        <v>100</v>
      </c>
      <c r="J27" s="73">
        <f>'Car and bus journey time'!AA27</f>
        <v>100</v>
      </c>
      <c r="K27" s="73">
        <f>'Car and bus journey time'!AB27</f>
        <v>100</v>
      </c>
      <c r="L27" s="672">
        <f>F27</f>
        <v>100</v>
      </c>
      <c r="M27" s="65">
        <f>E27</f>
        <v>100</v>
      </c>
      <c r="N27" s="65">
        <f>J27</f>
        <v>100</v>
      </c>
      <c r="O27" s="65">
        <f>F27</f>
        <v>100</v>
      </c>
      <c r="P27" s="65">
        <f>J27</f>
        <v>100</v>
      </c>
      <c r="Q27" s="65">
        <f>F27</f>
        <v>100</v>
      </c>
      <c r="R27" s="65">
        <f>F27</f>
        <v>100</v>
      </c>
      <c r="S27" s="76">
        <f>J27</f>
        <v>100</v>
      </c>
      <c r="T27" s="73">
        <f>'Car and bus journey time'!AC27</f>
        <v>100</v>
      </c>
      <c r="U27" s="73">
        <f>'Car and bus journey time'!AD27</f>
        <v>100</v>
      </c>
      <c r="V27" s="73">
        <f>'Car and bus journey time'!AE27</f>
        <v>100</v>
      </c>
      <c r="W27" s="73">
        <f>'Car and bus journey time'!AF27</f>
        <v>100</v>
      </c>
      <c r="X27" s="73">
        <f>'Car and bus journey time'!AH27</f>
        <v>100</v>
      </c>
      <c r="Y27" s="73">
        <f>'Car and bus journey time'!AI27</f>
        <v>100</v>
      </c>
      <c r="Z27" s="73">
        <f>'Car and bus journey time'!AJ27</f>
        <v>100</v>
      </c>
      <c r="AA27" s="73">
        <f>'Car and bus journey time'!AK27</f>
        <v>100</v>
      </c>
      <c r="AB27" s="672">
        <f>V27</f>
        <v>100</v>
      </c>
      <c r="AC27" s="65">
        <f>U27</f>
        <v>100</v>
      </c>
      <c r="AD27" s="65">
        <f>Z27</f>
        <v>100</v>
      </c>
      <c r="AE27" s="65">
        <f>V27</f>
        <v>100</v>
      </c>
      <c r="AF27" s="65">
        <f>Z27</f>
        <v>100</v>
      </c>
      <c r="AG27" s="65">
        <f>V27</f>
        <v>100</v>
      </c>
      <c r="AH27" s="65">
        <f>V27</f>
        <v>100</v>
      </c>
      <c r="AI27" s="76">
        <f>Z27</f>
        <v>100</v>
      </c>
    </row>
    <row r="28" spans="1:35" ht="13.5" customHeight="1">
      <c r="A28" s="90"/>
      <c r="B28" s="2667" t="s">
        <v>8</v>
      </c>
      <c r="C28" s="42"/>
      <c r="D28" s="73">
        <f>'Car and bus journey time'!T28</f>
        <v>100.56190145552726</v>
      </c>
      <c r="E28" s="73">
        <f>'Car and bus journey time'!U28</f>
        <v>100.15595227744998</v>
      </c>
      <c r="F28" s="73">
        <f>'Car and bus journey time'!V28</f>
        <v>100.06803899353496</v>
      </c>
      <c r="G28" s="73">
        <f>'Car and bus journey time'!W28</f>
        <v>100.06121939712737</v>
      </c>
      <c r="H28" s="73">
        <f>'Car and bus journey time'!Y28</f>
        <v>100.07732265354059</v>
      </c>
      <c r="I28" s="73">
        <f>'Car and bus journey time'!Z28</f>
        <v>100.05204980565125</v>
      </c>
      <c r="J28" s="73">
        <f>'Car and bus journey time'!AA28</f>
        <v>100.06457177332544</v>
      </c>
      <c r="K28" s="73">
        <f>'Car and bus journey time'!AB28</f>
        <v>100.08597352037378</v>
      </c>
      <c r="L28" s="672">
        <f>F28</f>
        <v>100.06803899353496</v>
      </c>
      <c r="M28" s="65">
        <f>E28</f>
        <v>100.15595227744998</v>
      </c>
      <c r="N28" s="65">
        <f>J28</f>
        <v>100.06457177332544</v>
      </c>
      <c r="O28" s="65">
        <f>F28</f>
        <v>100.06803899353496</v>
      </c>
      <c r="P28" s="65">
        <f>J28</f>
        <v>100.06457177332544</v>
      </c>
      <c r="Q28" s="65">
        <f>F28</f>
        <v>100.06803899353496</v>
      </c>
      <c r="R28" s="65">
        <f>F28</f>
        <v>100.06803899353496</v>
      </c>
      <c r="S28" s="76">
        <f>J28</f>
        <v>100.06457177332544</v>
      </c>
      <c r="T28" s="73">
        <f>'Car and bus journey time'!AC28</f>
        <v>100.77523990587626</v>
      </c>
      <c r="U28" s="73">
        <f>'Car and bus journey time'!AD28</f>
        <v>100.18560433358465</v>
      </c>
      <c r="V28" s="73">
        <f>'Car and bus journey time'!AE28</f>
        <v>100.15314239669428</v>
      </c>
      <c r="W28" s="73">
        <f>'Car and bus journey time'!AF28</f>
        <v>100.21284724351929</v>
      </c>
      <c r="X28" s="73">
        <f>'Car and bus journey time'!AH28</f>
        <v>100.14022609444562</v>
      </c>
      <c r="Y28" s="73">
        <f>'Car and bus journey time'!AI28</f>
        <v>100.07872960857181</v>
      </c>
      <c r="Z28" s="73">
        <f>'Car and bus journey time'!AJ28</f>
        <v>100.1091272859979</v>
      </c>
      <c r="AA28" s="73">
        <f>'Car and bus journey time'!AK28</f>
        <v>100.39682783455493</v>
      </c>
      <c r="AB28" s="672">
        <f>V28</f>
        <v>100.15314239669428</v>
      </c>
      <c r="AC28" s="65">
        <f>U28</f>
        <v>100.18560433358465</v>
      </c>
      <c r="AD28" s="65">
        <f>Z28</f>
        <v>100.1091272859979</v>
      </c>
      <c r="AE28" s="65">
        <f>V28</f>
        <v>100.15314239669428</v>
      </c>
      <c r="AF28" s="65">
        <f>Z28</f>
        <v>100.1091272859979</v>
      </c>
      <c r="AG28" s="65">
        <f>V28</f>
        <v>100.15314239669428</v>
      </c>
      <c r="AH28" s="65">
        <f>V28</f>
        <v>100.15314239669428</v>
      </c>
      <c r="AI28" s="76">
        <f>Z28</f>
        <v>100.1091272859979</v>
      </c>
    </row>
    <row r="29" spans="1:35" ht="13.5" customHeight="1">
      <c r="A29" s="90"/>
      <c r="B29" s="2667" t="s">
        <v>1251</v>
      </c>
      <c r="C29" s="42"/>
      <c r="D29" s="73">
        <f>'Car and bus journey time'!T29</f>
        <v>101.12696024351173</v>
      </c>
      <c r="E29" s="73">
        <f>'Car and bus journey time'!U29</f>
        <v>100.31214776602833</v>
      </c>
      <c r="F29" s="73">
        <f>'Car and bus journey time'!V29</f>
        <v>100.13612428011633</v>
      </c>
      <c r="G29" s="73">
        <f>'Car and bus journey time'!W29</f>
        <v>100.12247627240059</v>
      </c>
      <c r="H29" s="73">
        <f>'Car and bus journey time'!Y29</f>
        <v>100.15471111155365</v>
      </c>
      <c r="I29" s="73">
        <f>'Car and bus journey time'!Z29</f>
        <v>100.10413102133711</v>
      </c>
      <c r="J29" s="73">
        <f>'Car and bus journey time'!AA29</f>
        <v>100.12919199813804</v>
      </c>
      <c r="K29" s="73">
        <f>'Car and bus journey time'!AB29</f>
        <v>100.1720209552096</v>
      </c>
      <c r="L29" s="672">
        <f>F29</f>
        <v>100.13612428011633</v>
      </c>
      <c r="M29" s="65">
        <f>E29</f>
        <v>100.31214776602833</v>
      </c>
      <c r="N29" s="65">
        <f>J29</f>
        <v>100.12919199813804</v>
      </c>
      <c r="O29" s="65">
        <f>F29</f>
        <v>100.13612428011633</v>
      </c>
      <c r="P29" s="65">
        <f>J29</f>
        <v>100.12919199813804</v>
      </c>
      <c r="Q29" s="65">
        <f>F29</f>
        <v>100.13612428011633</v>
      </c>
      <c r="R29" s="65">
        <f>F29</f>
        <v>100.13612428011633</v>
      </c>
      <c r="S29" s="76">
        <f>J29</f>
        <v>100.12919199813804</v>
      </c>
      <c r="T29" s="73">
        <f>'Car and bus journey time'!AC29</f>
        <v>101.55648978086917</v>
      </c>
      <c r="U29" s="73">
        <f>'Car and bus journey time'!AD29</f>
        <v>100.37155315685578</v>
      </c>
      <c r="V29" s="73">
        <f>'Car and bus journey time'!AE29</f>
        <v>100.30651931932519</v>
      </c>
      <c r="W29" s="73">
        <f>'Car and bus journey time'!AF29</f>
        <v>100.42614752652932</v>
      </c>
      <c r="X29" s="73">
        <f>'Car and bus journey time'!AH29</f>
        <v>100.28068465887965</v>
      </c>
      <c r="Y29" s="73">
        <f>'Car and bus journey time'!AI29</f>
        <v>100.15754668126482</v>
      </c>
      <c r="Z29" s="73">
        <f>'Car and bus journey time'!AJ29</f>
        <v>100.21841371243339</v>
      </c>
      <c r="AA29" s="73">
        <f>'Car and bus journey time'!AK29</f>
        <v>100.79523039241265</v>
      </c>
      <c r="AB29" s="672">
        <f>V29</f>
        <v>100.30651931932519</v>
      </c>
      <c r="AC29" s="65">
        <f>U29</f>
        <v>100.37155315685578</v>
      </c>
      <c r="AD29" s="65">
        <f>Z29</f>
        <v>100.21841371243339</v>
      </c>
      <c r="AE29" s="65">
        <f>V29</f>
        <v>100.30651931932519</v>
      </c>
      <c r="AF29" s="65">
        <f>Z29</f>
        <v>100.21841371243339</v>
      </c>
      <c r="AG29" s="65">
        <f>V29</f>
        <v>100.30651931932519</v>
      </c>
      <c r="AH29" s="65">
        <f>V29</f>
        <v>100.30651931932519</v>
      </c>
      <c r="AI29" s="76">
        <f>Z29</f>
        <v>100.21841371243339</v>
      </c>
    </row>
    <row r="30" spans="1:35" s="24" customFormat="1" ht="13.5" customHeight="1">
      <c r="A30" s="91"/>
      <c r="B30" s="2667" t="s">
        <v>1252</v>
      </c>
      <c r="C30" s="45"/>
      <c r="D30" s="73">
        <f>'Car and bus journey time'!T30</f>
        <v>101.69519410505048</v>
      </c>
      <c r="E30" s="73">
        <f>'Car and bus journey time'!U30</f>
        <v>100.46858684502841</v>
      </c>
      <c r="F30" s="73">
        <f>'Car and bus journey time'!V30</f>
        <v>100.20425589124142</v>
      </c>
      <c r="G30" s="73">
        <f>'Car and bus journey time'!W30</f>
        <v>100.18377064876356</v>
      </c>
      <c r="H30" s="73">
        <f>'Car and bus journey time'!Y30</f>
        <v>100.23216543310896</v>
      </c>
      <c r="I30" s="73">
        <f>'Car and bus journey time'!Z30</f>
        <v>100.15624366928313</v>
      </c>
      <c r="J30" s="73">
        <f>'Car and bus journey time'!AA30</f>
        <v>100.19386071491867</v>
      </c>
      <c r="K30" s="73">
        <f>'Car and bus journey time'!AB30</f>
        <v>100.25814236805439</v>
      </c>
      <c r="L30" s="672">
        <f>F30</f>
        <v>100.20425589124142</v>
      </c>
      <c r="M30" s="65">
        <f>E30</f>
        <v>100.46858684502841</v>
      </c>
      <c r="N30" s="65">
        <f>J30</f>
        <v>100.19386071491867</v>
      </c>
      <c r="O30" s="65">
        <f>F30</f>
        <v>100.20425589124142</v>
      </c>
      <c r="P30" s="65">
        <f>J30</f>
        <v>100.19386071491867</v>
      </c>
      <c r="Q30" s="65">
        <f>F30</f>
        <v>100.20425589124142</v>
      </c>
      <c r="R30" s="65">
        <f>F30</f>
        <v>100.20425589124142</v>
      </c>
      <c r="S30" s="76">
        <f>J30</f>
        <v>100.19386071491867</v>
      </c>
      <c r="T30" s="73">
        <f>'Car and bus journey time'!AC30</f>
        <v>102.34379621665761</v>
      </c>
      <c r="U30" s="73">
        <f>'Car and bus journey time'!AD30</f>
        <v>100.55784710920112</v>
      </c>
      <c r="V30" s="73">
        <f>'Car and bus journey time'!AE30</f>
        <v>100.46013112705141</v>
      </c>
      <c r="W30" s="73">
        <f>'Car and bus journey time'!AF30</f>
        <v>100.63990181331212</v>
      </c>
      <c r="X30" s="73">
        <f>'Car and bus journey time'!AH30</f>
        <v>100.42137610378627</v>
      </c>
      <c r="Y30" s="73">
        <f>'Car and bus journey time'!AI30</f>
        <v>100.23645134702129</v>
      </c>
      <c r="Z30" s="73">
        <f>'Car and bus journey time'!AJ30</f>
        <v>100.32785954741466</v>
      </c>
      <c r="AA30" s="73">
        <f>'Car and bus journey time'!AK30</f>
        <v>101.19521392251355</v>
      </c>
      <c r="AB30" s="672">
        <f>V30</f>
        <v>100.46013112705141</v>
      </c>
      <c r="AC30" s="65">
        <f>U30</f>
        <v>100.55784710920112</v>
      </c>
      <c r="AD30" s="65">
        <f>Z30</f>
        <v>100.32785954741466</v>
      </c>
      <c r="AE30" s="65">
        <f>V30</f>
        <v>100.46013112705141</v>
      </c>
      <c r="AF30" s="65">
        <f>Z30</f>
        <v>100.32785954741466</v>
      </c>
      <c r="AG30" s="65">
        <f>V30</f>
        <v>100.46013112705141</v>
      </c>
      <c r="AH30" s="65">
        <f>V30</f>
        <v>100.46013112705141</v>
      </c>
      <c r="AI30" s="76">
        <f>Z30</f>
        <v>100.32785954741466</v>
      </c>
    </row>
    <row r="31" spans="1:35" ht="13.5" customHeight="1">
      <c r="A31" s="90"/>
      <c r="B31" s="2667" t="s">
        <v>1253</v>
      </c>
      <c r="C31" s="42"/>
      <c r="D31" s="73">
        <f>'Car and bus journey time'!T31</f>
        <v>102.26662088092799</v>
      </c>
      <c r="E31" s="73">
        <f>'Car and bus journey time'!U31</f>
        <v>100.62526989433502</v>
      </c>
      <c r="F31" s="73">
        <f>'Car and bus journey time'!V31</f>
        <v>100.27243385842904</v>
      </c>
      <c r="G31" s="73">
        <f>'Car and bus journey time'!W31</f>
        <v>100.24510254917421</v>
      </c>
      <c r="H31" s="73">
        <f>'Car and bus journey time'!Y31</f>
        <v>100.30968567733085</v>
      </c>
      <c r="I31" s="73">
        <f>'Car and bus journey time'!Z31</f>
        <v>100.20838777173286</v>
      </c>
      <c r="J31" s="73">
        <f>'Car and bus journey time'!AA31</f>
        <v>100.25857796418423</v>
      </c>
      <c r="K31" s="73">
        <f>'Car and bus journey time'!AB31</f>
        <v>100.34433782250953</v>
      </c>
      <c r="L31" s="672">
        <f>F31</f>
        <v>100.27243385842904</v>
      </c>
      <c r="M31" s="65">
        <f>E31</f>
        <v>100.62526989433502</v>
      </c>
      <c r="N31" s="65">
        <f>J31</f>
        <v>100.25857796418423</v>
      </c>
      <c r="O31" s="65">
        <f>F31</f>
        <v>100.27243385842904</v>
      </c>
      <c r="P31" s="65">
        <f>J31</f>
        <v>100.25857796418423</v>
      </c>
      <c r="Q31" s="65">
        <f>F31</f>
        <v>100.27243385842904</v>
      </c>
      <c r="R31" s="65">
        <f>F31</f>
        <v>100.27243385842904</v>
      </c>
      <c r="S31" s="76">
        <f>J31</f>
        <v>100.25857796418423</v>
      </c>
      <c r="T31" s="73">
        <f>'Car and bus journey time'!AC31</f>
        <v>103.13720616611783</v>
      </c>
      <c r="U31" s="73">
        <f>'Car and bus journey time'!AD31</f>
        <v>100.74448683119523</v>
      </c>
      <c r="V31" s="73">
        <f>'Car and bus journey time'!AE31</f>
        <v>100.61397817958155</v>
      </c>
      <c r="W31" s="73">
        <f>'Car and bus journey time'!AF31</f>
        <v>100.85411107020228</v>
      </c>
      <c r="X31" s="73">
        <f>'Car and bus journey time'!AH31</f>
        <v>100.56230084038936</v>
      </c>
      <c r="Y31" s="73">
        <f>'Car and bus journey time'!AI31</f>
        <v>100.31544373500161</v>
      </c>
      <c r="Z31" s="73">
        <f>'Car and bus journey time'!AJ31</f>
        <v>100.43746505952601</v>
      </c>
      <c r="AA31" s="73">
        <f>'Car and bus journey time'!AK31</f>
        <v>101.5967846985955</v>
      </c>
      <c r="AB31" s="672">
        <f>V31</f>
        <v>100.61397817958155</v>
      </c>
      <c r="AC31" s="65">
        <f>U31</f>
        <v>100.74448683119523</v>
      </c>
      <c r="AD31" s="65">
        <f>Z31</f>
        <v>100.43746505952601</v>
      </c>
      <c r="AE31" s="65">
        <f>V31</f>
        <v>100.61397817958155</v>
      </c>
      <c r="AF31" s="65">
        <f>Z31</f>
        <v>100.43746505952601</v>
      </c>
      <c r="AG31" s="65">
        <f>V31</f>
        <v>100.61397817958155</v>
      </c>
      <c r="AH31" s="65">
        <f>V31</f>
        <v>100.61397817958155</v>
      </c>
      <c r="AI31" s="76">
        <f>Z31</f>
        <v>100.43746505952601</v>
      </c>
    </row>
    <row r="32" spans="1:35" ht="13.5" customHeight="1">
      <c r="A32" s="90"/>
      <c r="B32" s="2667" t="str">
        <f>'Car and bus journey time'!S32</f>
        <v>2015/16</v>
      </c>
      <c r="C32" s="42"/>
      <c r="D32" s="73">
        <f>'Car and bus journey time'!T32</f>
        <v>102.8335036436588</v>
      </c>
      <c r="E32" s="73">
        <f>'Car and bus journey time'!U32</f>
        <v>100.76344848901115</v>
      </c>
      <c r="F32" s="73">
        <f>'Car and bus journey time'!V32</f>
        <v>100.32850124435389</v>
      </c>
      <c r="G32" s="73">
        <f>'Car and bus journey time'!W32</f>
        <v>100.29157463983285</v>
      </c>
      <c r="H32" s="73">
        <f>'Car and bus journey time'!Y32</f>
        <v>100.38754497729605</v>
      </c>
      <c r="I32" s="73">
        <f>'Car and bus journey time'!Z32</f>
        <v>100.25319605433496</v>
      </c>
      <c r="J32" s="73">
        <f>'Car and bus journey time'!AA32</f>
        <v>100.31976207323974</v>
      </c>
      <c r="K32" s="73">
        <f>'Car and bus journey time'!AB32</f>
        <v>100.42119504873466</v>
      </c>
      <c r="L32" s="672">
        <f t="shared" ref="L32:L51" si="0">F32</f>
        <v>100.32850124435389</v>
      </c>
      <c r="M32" s="65">
        <f t="shared" ref="M32:M51" si="1">E32</f>
        <v>100.76344848901115</v>
      </c>
      <c r="N32" s="65">
        <f t="shared" ref="N32:N51" si="2">J32</f>
        <v>100.31976207323974</v>
      </c>
      <c r="O32" s="65">
        <f t="shared" ref="O32:O51" si="3">F32</f>
        <v>100.32850124435389</v>
      </c>
      <c r="P32" s="65">
        <f t="shared" ref="P32:P51" si="4">J32</f>
        <v>100.31976207323974</v>
      </c>
      <c r="Q32" s="65">
        <f t="shared" ref="Q32:Q51" si="5">F32</f>
        <v>100.32850124435389</v>
      </c>
      <c r="R32" s="65">
        <f t="shared" ref="R32:R51" si="6">F32</f>
        <v>100.32850124435389</v>
      </c>
      <c r="S32" s="76">
        <f t="shared" ref="S32:S51" si="7">J32</f>
        <v>100.31976207323974</v>
      </c>
      <c r="T32" s="73">
        <f>'Car and bus journey time'!AC32</f>
        <v>103.98583828716703</v>
      </c>
      <c r="U32" s="73">
        <f>'Car and bus journey time'!AD32</f>
        <v>100.92240941172179</v>
      </c>
      <c r="V32" s="73">
        <f>'Car and bus journey time'!AE32</f>
        <v>100.76078496525921</v>
      </c>
      <c r="W32" s="73">
        <f>'Car and bus journey time'!AF32</f>
        <v>101.05617497978618</v>
      </c>
      <c r="X32" s="73">
        <f>'Car and bus journey time'!AH32</f>
        <v>100.6987063418777</v>
      </c>
      <c r="Y32" s="73">
        <f>'Car and bus journey time'!AI32</f>
        <v>100.37625700733498</v>
      </c>
      <c r="Z32" s="73">
        <f>'Car and bus journey time'!AJ32</f>
        <v>100.53564352704285</v>
      </c>
      <c r="AA32" s="73">
        <f>'Car and bus journey time'!AK32</f>
        <v>102.01799681005564</v>
      </c>
      <c r="AB32" s="672">
        <f t="shared" ref="AB32:AB51" si="8">V32</f>
        <v>100.76078496525921</v>
      </c>
      <c r="AC32" s="65">
        <f t="shared" ref="AC32:AC51" si="9">U32</f>
        <v>100.92240941172179</v>
      </c>
      <c r="AD32" s="65">
        <f t="shared" ref="AD32:AD51" si="10">Z32</f>
        <v>100.53564352704285</v>
      </c>
      <c r="AE32" s="65">
        <f t="shared" ref="AE32:AE51" si="11">V32</f>
        <v>100.76078496525921</v>
      </c>
      <c r="AF32" s="65">
        <f t="shared" ref="AF32:AF51" si="12">Z32</f>
        <v>100.53564352704285</v>
      </c>
      <c r="AG32" s="65">
        <f t="shared" ref="AG32:AG51" si="13">V32</f>
        <v>100.76078496525921</v>
      </c>
      <c r="AH32" s="65">
        <f t="shared" ref="AH32:AH51" si="14">V32</f>
        <v>100.76078496525921</v>
      </c>
      <c r="AI32" s="76">
        <f t="shared" ref="AI32:AI51" si="15">Z32</f>
        <v>100.53564352704285</v>
      </c>
    </row>
    <row r="33" spans="1:35" ht="13.5" customHeight="1">
      <c r="A33" s="90"/>
      <c r="B33" s="2667" t="str">
        <f>'Car and bus journey time'!S33</f>
        <v>2016/17</v>
      </c>
      <c r="C33" s="42"/>
      <c r="D33" s="73">
        <f>'Car and bus journey time'!T33</f>
        <v>103.38026589095917</v>
      </c>
      <c r="E33" s="73">
        <f>'Car and bus journey time'!U33</f>
        <v>100.84558087793962</v>
      </c>
      <c r="F33" s="73">
        <f>'Car and bus journey time'!V33</f>
        <v>100.34813349249585</v>
      </c>
      <c r="G33" s="73">
        <f>'Car and bus journey time'!W33</f>
        <v>100.2933828415192</v>
      </c>
      <c r="H33" s="73">
        <f>'Car and bus journey time'!Y33</f>
        <v>100.46629579629251</v>
      </c>
      <c r="I33" s="73">
        <f>'Car and bus journey time'!Z33</f>
        <v>100.2759326294632</v>
      </c>
      <c r="J33" s="73">
        <f>'Car and bus journey time'!AA33</f>
        <v>100.37025209167132</v>
      </c>
      <c r="K33" s="73">
        <f>'Car and bus journey time'!AB33</f>
        <v>100.46987678846378</v>
      </c>
      <c r="L33" s="672">
        <f t="shared" si="0"/>
        <v>100.34813349249585</v>
      </c>
      <c r="M33" s="65">
        <f t="shared" si="1"/>
        <v>100.84558087793962</v>
      </c>
      <c r="N33" s="65">
        <f t="shared" si="2"/>
        <v>100.37025209167132</v>
      </c>
      <c r="O33" s="65">
        <f t="shared" si="3"/>
        <v>100.34813349249585</v>
      </c>
      <c r="P33" s="65">
        <f t="shared" si="4"/>
        <v>100.37025209167132</v>
      </c>
      <c r="Q33" s="65">
        <f t="shared" si="5"/>
        <v>100.34813349249585</v>
      </c>
      <c r="R33" s="65">
        <f t="shared" si="6"/>
        <v>100.34813349249585</v>
      </c>
      <c r="S33" s="76">
        <f t="shared" si="7"/>
        <v>100.37025209167132</v>
      </c>
      <c r="T33" s="73">
        <f>'Car and bus journey time'!AC33</f>
        <v>104.98873663802404</v>
      </c>
      <c r="U33" s="73">
        <f>'Car and bus journey time'!AD33</f>
        <v>101.07345800038723</v>
      </c>
      <c r="V33" s="73">
        <f>'Car and bus journey time'!AE33</f>
        <v>100.88597991837136</v>
      </c>
      <c r="W33" s="73">
        <f>'Car and bus journey time'!AF33</f>
        <v>101.22084458580052</v>
      </c>
      <c r="X33" s="73">
        <f>'Car and bus journey time'!AH33</f>
        <v>100.82109736679448</v>
      </c>
      <c r="Y33" s="73">
        <f>'Car and bus journey time'!AI33</f>
        <v>100.38235801653398</v>
      </c>
      <c r="Z33" s="73">
        <f>'Car and bus journey time'!AJ33</f>
        <v>100.59922662380241</v>
      </c>
      <c r="AA33" s="73">
        <f>'Car and bus journey time'!AK33</f>
        <v>102.49510818548337</v>
      </c>
      <c r="AB33" s="672">
        <f t="shared" si="8"/>
        <v>100.88597991837136</v>
      </c>
      <c r="AC33" s="65">
        <f t="shared" si="9"/>
        <v>101.07345800038723</v>
      </c>
      <c r="AD33" s="65">
        <f t="shared" si="10"/>
        <v>100.59922662380241</v>
      </c>
      <c r="AE33" s="65">
        <f t="shared" si="11"/>
        <v>100.88597991837136</v>
      </c>
      <c r="AF33" s="65">
        <f t="shared" si="12"/>
        <v>100.59922662380241</v>
      </c>
      <c r="AG33" s="65">
        <f t="shared" si="13"/>
        <v>100.88597991837136</v>
      </c>
      <c r="AH33" s="65">
        <f t="shared" si="14"/>
        <v>100.88597991837136</v>
      </c>
      <c r="AI33" s="76">
        <f t="shared" si="15"/>
        <v>100.59922662380241</v>
      </c>
    </row>
    <row r="34" spans="1:35" ht="13.5" customHeight="1">
      <c r="A34" s="90"/>
      <c r="B34" s="2667" t="str">
        <f>'Car and bus journey time'!S34</f>
        <v>2017/18</v>
      </c>
      <c r="C34" s="42"/>
      <c r="D34" s="73">
        <f>'Car and bus journey time'!T34</f>
        <v>103.92993525456384</v>
      </c>
      <c r="E34" s="73">
        <f>'Car and bus journey time'!U34</f>
        <v>100.92778021306152</v>
      </c>
      <c r="F34" s="73">
        <f>'Car and bus journey time'!V34</f>
        <v>100.36776958226969</v>
      </c>
      <c r="G34" s="73">
        <f>'Car and bus journey time'!W34</f>
        <v>100.29519107580643</v>
      </c>
      <c r="H34" s="73">
        <f>'Car and bus journey time'!Y34</f>
        <v>100.5451377522252</v>
      </c>
      <c r="I34" s="73">
        <f>'Car and bus journey time'!Z34</f>
        <v>100.29869546123169</v>
      </c>
      <c r="J34" s="73">
        <f>'Car and bus journey time'!AA34</f>
        <v>100.42080051305977</v>
      </c>
      <c r="K34" s="73">
        <f>'Car and bus journey time'!AB34</f>
        <v>100.51858212790989</v>
      </c>
      <c r="L34" s="672">
        <f t="shared" si="0"/>
        <v>100.36776958226969</v>
      </c>
      <c r="M34" s="65">
        <f t="shared" si="1"/>
        <v>100.92778021306152</v>
      </c>
      <c r="N34" s="65">
        <f t="shared" si="2"/>
        <v>100.42080051305977</v>
      </c>
      <c r="O34" s="65">
        <f t="shared" si="3"/>
        <v>100.36776958226969</v>
      </c>
      <c r="P34" s="65">
        <f t="shared" si="4"/>
        <v>100.42080051305977</v>
      </c>
      <c r="Q34" s="65">
        <f t="shared" si="5"/>
        <v>100.36776958226969</v>
      </c>
      <c r="R34" s="65">
        <f t="shared" si="6"/>
        <v>100.36776958226969</v>
      </c>
      <c r="S34" s="76">
        <f t="shared" si="7"/>
        <v>100.42080051305977</v>
      </c>
      <c r="T34" s="73">
        <f>'Car and bus journey time'!AC34</f>
        <v>106.00130750889647</v>
      </c>
      <c r="U34" s="73">
        <f>'Car and bus journey time'!AD34</f>
        <v>101.22473266050964</v>
      </c>
      <c r="V34" s="73">
        <f>'Car and bus journey time'!AE34</f>
        <v>101.01133042581247</v>
      </c>
      <c r="W34" s="73">
        <f>'Car and bus journey time'!AF34</f>
        <v>101.38578251860586</v>
      </c>
      <c r="X34" s="73">
        <f>'Car and bus journey time'!AH34</f>
        <v>100.94376384545009</v>
      </c>
      <c r="Y34" s="73">
        <f>'Car and bus journey time'!AI34</f>
        <v>100.38854977110738</v>
      </c>
      <c r="Z34" s="73">
        <f>'Car and bus journey time'!AJ34</f>
        <v>100.66299176717415</v>
      </c>
      <c r="AA34" s="73">
        <f>'Car and bus journey time'!AK34</f>
        <v>102.97445088549777</v>
      </c>
      <c r="AB34" s="672">
        <f t="shared" si="8"/>
        <v>101.01133042581247</v>
      </c>
      <c r="AC34" s="65">
        <f t="shared" si="9"/>
        <v>101.22473266050964</v>
      </c>
      <c r="AD34" s="65">
        <f t="shared" si="10"/>
        <v>100.66299176717415</v>
      </c>
      <c r="AE34" s="65">
        <f t="shared" si="11"/>
        <v>101.01133042581247</v>
      </c>
      <c r="AF34" s="65">
        <f t="shared" si="12"/>
        <v>100.66299176717415</v>
      </c>
      <c r="AG34" s="65">
        <f t="shared" si="13"/>
        <v>101.01133042581247</v>
      </c>
      <c r="AH34" s="65">
        <f t="shared" si="14"/>
        <v>101.01133042581247</v>
      </c>
      <c r="AI34" s="76">
        <f t="shared" si="15"/>
        <v>100.66299176717415</v>
      </c>
    </row>
    <row r="35" spans="1:35" s="24" customFormat="1" ht="13.5" customHeight="1">
      <c r="A35" s="91"/>
      <c r="B35" s="2667" t="str">
        <f>'Car and bus journey time'!S35</f>
        <v>2018/19</v>
      </c>
      <c r="C35" s="45"/>
      <c r="D35" s="73">
        <f>'Car and bus journey time'!T35</f>
        <v>104.48252719151154</v>
      </c>
      <c r="E35" s="73">
        <f>'Car and bus journey time'!U35</f>
        <v>101.01004654894474</v>
      </c>
      <c r="F35" s="73">
        <f>'Car and bus journey time'!V35</f>
        <v>100.38740951442713</v>
      </c>
      <c r="G35" s="73">
        <f>'Car and bus journey time'!W35</f>
        <v>100.29699934269513</v>
      </c>
      <c r="H35" s="73">
        <f>'Car and bus journey time'!Y35</f>
        <v>100.62407095059476</v>
      </c>
      <c r="I35" s="73">
        <f>'Car and bus journey time'!Z35</f>
        <v>100.32148458003527</v>
      </c>
      <c r="J35" s="73">
        <f>'Car and bus journey time'!AA35</f>
        <v>100.47140740501261</v>
      </c>
      <c r="K35" s="73">
        <f>'Car and bus journey time'!AB35</f>
        <v>100.56731107851355</v>
      </c>
      <c r="L35" s="672">
        <f t="shared" si="0"/>
        <v>100.38740951442713</v>
      </c>
      <c r="M35" s="65">
        <f t="shared" si="1"/>
        <v>101.01004654894474</v>
      </c>
      <c r="N35" s="65">
        <f t="shared" si="2"/>
        <v>100.47140740501261</v>
      </c>
      <c r="O35" s="65">
        <f t="shared" si="3"/>
        <v>100.38740951442713</v>
      </c>
      <c r="P35" s="65">
        <f t="shared" si="4"/>
        <v>100.47140740501261</v>
      </c>
      <c r="Q35" s="65">
        <f t="shared" si="5"/>
        <v>100.38740951442713</v>
      </c>
      <c r="R35" s="65">
        <f t="shared" si="6"/>
        <v>100.38740951442713</v>
      </c>
      <c r="S35" s="76">
        <f t="shared" si="7"/>
        <v>100.47140740501261</v>
      </c>
      <c r="T35" s="73">
        <f>'Car and bus journey time'!AC35</f>
        <v>107.02364418704855</v>
      </c>
      <c r="U35" s="73">
        <f>'Car and bus journey time'!AD35</f>
        <v>101.37623373044575</v>
      </c>
      <c r="V35" s="73">
        <f>'Car and bus journey time'!AE35</f>
        <v>101.1368366808582</v>
      </c>
      <c r="W35" s="73">
        <f>'Car and bus journey time'!AF35</f>
        <v>101.5509892154369</v>
      </c>
      <c r="X35" s="73">
        <f>'Car and bus journey time'!AH35</f>
        <v>101.06670631359115</v>
      </c>
      <c r="Y35" s="73">
        <f>'Car and bus journey time'!AI35</f>
        <v>100.39483241991414</v>
      </c>
      <c r="Z35" s="73">
        <f>'Car and bus journey time'!AJ35</f>
        <v>100.7269392972554</v>
      </c>
      <c r="AA35" s="73">
        <f>'Car and bus journey time'!AK35</f>
        <v>103.45603534541785</v>
      </c>
      <c r="AB35" s="672">
        <f t="shared" si="8"/>
        <v>101.1368366808582</v>
      </c>
      <c r="AC35" s="65">
        <f t="shared" si="9"/>
        <v>101.37623373044575</v>
      </c>
      <c r="AD35" s="65">
        <f t="shared" si="10"/>
        <v>100.7269392972554</v>
      </c>
      <c r="AE35" s="65">
        <f t="shared" si="11"/>
        <v>101.1368366808582</v>
      </c>
      <c r="AF35" s="65">
        <f t="shared" si="12"/>
        <v>100.7269392972554</v>
      </c>
      <c r="AG35" s="65">
        <f t="shared" si="13"/>
        <v>101.1368366808582</v>
      </c>
      <c r="AH35" s="65">
        <f t="shared" si="14"/>
        <v>101.1368366808582</v>
      </c>
      <c r="AI35" s="76">
        <f t="shared" si="15"/>
        <v>100.7269392972554</v>
      </c>
    </row>
    <row r="36" spans="1:35" ht="13.5" customHeight="1">
      <c r="A36" s="90"/>
      <c r="B36" s="2667" t="str">
        <f>'Car and bus journey time'!S36</f>
        <v>2019/20</v>
      </c>
      <c r="C36" s="42"/>
      <c r="D36" s="73">
        <f>'Car and bus journey time'!T36</f>
        <v>105.03805724102548</v>
      </c>
      <c r="E36" s="73">
        <f>'Car and bus journey time'!U36</f>
        <v>101.09237994020164</v>
      </c>
      <c r="F36" s="73">
        <f>'Car and bus journey time'!V36</f>
        <v>100.40705328972004</v>
      </c>
      <c r="G36" s="73">
        <f>'Car and bus journey time'!W36</f>
        <v>100.29880764218584</v>
      </c>
      <c r="H36" s="73">
        <f>'Car and bus journey time'!Y36</f>
        <v>100.70309549702385</v>
      </c>
      <c r="I36" s="73">
        <f>'Car and bus journey time'!Z36</f>
        <v>100.34430001630388</v>
      </c>
      <c r="J36" s="73">
        <f>'Car and bus journey time'!AA36</f>
        <v>100.52207283521564</v>
      </c>
      <c r="K36" s="73">
        <f>'Car and bus journey time'!AB36</f>
        <v>100.61606365172086</v>
      </c>
      <c r="L36" s="672">
        <f t="shared" si="0"/>
        <v>100.40705328972004</v>
      </c>
      <c r="M36" s="65">
        <f t="shared" si="1"/>
        <v>101.09237994020164</v>
      </c>
      <c r="N36" s="65">
        <f t="shared" si="2"/>
        <v>100.52207283521564</v>
      </c>
      <c r="O36" s="65">
        <f t="shared" si="3"/>
        <v>100.40705328972004</v>
      </c>
      <c r="P36" s="65">
        <f t="shared" si="4"/>
        <v>100.52207283521564</v>
      </c>
      <c r="Q36" s="65">
        <f t="shared" si="5"/>
        <v>100.40705328972004</v>
      </c>
      <c r="R36" s="65">
        <f t="shared" si="6"/>
        <v>100.40705328972004</v>
      </c>
      <c r="S36" s="76">
        <f t="shared" si="7"/>
        <v>100.52207283521564</v>
      </c>
      <c r="T36" s="73">
        <f>'Car and bus journey time'!AC36</f>
        <v>108.05584085945968</v>
      </c>
      <c r="U36" s="73">
        <f>'Car and bus journey time'!AD36</f>
        <v>101.52796154905867</v>
      </c>
      <c r="V36" s="73">
        <f>'Car and bus journey time'!AE36</f>
        <v>101.26249887702447</v>
      </c>
      <c r="W36" s="73">
        <f>'Car and bus journey time'!AF36</f>
        <v>101.71646511424089</v>
      </c>
      <c r="X36" s="73">
        <f>'Car and bus journey time'!AH36</f>
        <v>101.18992530803663</v>
      </c>
      <c r="Y36" s="73">
        <f>'Car and bus journey time'!AI36</f>
        <v>100.40120611212267</v>
      </c>
      <c r="Z36" s="73">
        <f>'Car and bus journey time'!AJ36</f>
        <v>100.79106955482999</v>
      </c>
      <c r="AA36" s="73">
        <f>'Car and bus journey time'!AK36</f>
        <v>103.93987204936583</v>
      </c>
      <c r="AB36" s="672">
        <f t="shared" si="8"/>
        <v>101.26249887702447</v>
      </c>
      <c r="AC36" s="65">
        <f t="shared" si="9"/>
        <v>101.52796154905867</v>
      </c>
      <c r="AD36" s="65">
        <f t="shared" si="10"/>
        <v>100.79106955482999</v>
      </c>
      <c r="AE36" s="65">
        <f t="shared" si="11"/>
        <v>101.26249887702447</v>
      </c>
      <c r="AF36" s="65">
        <f t="shared" si="12"/>
        <v>100.79106955482999</v>
      </c>
      <c r="AG36" s="65">
        <f t="shared" si="13"/>
        <v>101.26249887702447</v>
      </c>
      <c r="AH36" s="65">
        <f t="shared" si="14"/>
        <v>101.26249887702447</v>
      </c>
      <c r="AI36" s="76">
        <f t="shared" si="15"/>
        <v>100.79106955482999</v>
      </c>
    </row>
    <row r="37" spans="1:35" ht="13.5" customHeight="1">
      <c r="A37" s="90"/>
      <c r="B37" s="2667" t="str">
        <f>'Car and bus journey time'!S37</f>
        <v>2020/21</v>
      </c>
      <c r="C37" s="42"/>
      <c r="D37" s="73">
        <f>'Car and bus journey time'!T37</f>
        <v>105.56471856164823</v>
      </c>
      <c r="E37" s="73">
        <f>'Car and bus journey time'!U37</f>
        <v>101.13881560598948</v>
      </c>
      <c r="F37" s="73">
        <f>'Car and bus journey time'!V37</f>
        <v>100.41461915935569</v>
      </c>
      <c r="G37" s="73">
        <f>'Car and bus journey time'!W37</f>
        <v>100.31904164937752</v>
      </c>
      <c r="H37" s="73">
        <f>'Car and bus journey time'!Y37</f>
        <v>100.78107655221611</v>
      </c>
      <c r="I37" s="73">
        <f>'Car and bus journey time'!Z37</f>
        <v>100.36316290080526</v>
      </c>
      <c r="J37" s="73">
        <f>'Car and bus journey time'!AA37</f>
        <v>100.57022706929462</v>
      </c>
      <c r="K37" s="73">
        <f>'Car and bus journey time'!AB37</f>
        <v>100.67307314552185</v>
      </c>
      <c r="L37" s="672">
        <f t="shared" si="0"/>
        <v>100.41461915935569</v>
      </c>
      <c r="M37" s="65">
        <f t="shared" si="1"/>
        <v>101.13881560598948</v>
      </c>
      <c r="N37" s="65">
        <f t="shared" si="2"/>
        <v>100.57022706929462</v>
      </c>
      <c r="O37" s="65">
        <f t="shared" si="3"/>
        <v>100.41461915935569</v>
      </c>
      <c r="P37" s="65">
        <f t="shared" si="4"/>
        <v>100.57022706929462</v>
      </c>
      <c r="Q37" s="65">
        <f t="shared" si="5"/>
        <v>100.41461915935569</v>
      </c>
      <c r="R37" s="65">
        <f t="shared" si="6"/>
        <v>100.41461915935569</v>
      </c>
      <c r="S37" s="76">
        <f t="shared" si="7"/>
        <v>100.57022706929462</v>
      </c>
      <c r="T37" s="73">
        <f>'Car and bus journey time'!AC37</f>
        <v>109.02585898070384</v>
      </c>
      <c r="U37" s="73">
        <f>'Car and bus journey time'!AD37</f>
        <v>101.66255351168883</v>
      </c>
      <c r="V37" s="73">
        <f>'Car and bus journey time'!AE37</f>
        <v>101.37679285641461</v>
      </c>
      <c r="W37" s="73">
        <f>'Car and bus journey time'!AF37</f>
        <v>101.89907679855227</v>
      </c>
      <c r="X37" s="73">
        <f>'Car and bus journey time'!AH37</f>
        <v>101.31796418880334</v>
      </c>
      <c r="Y37" s="73">
        <f>'Car and bus journey time'!AI37</f>
        <v>100.42161248886303</v>
      </c>
      <c r="Z37" s="73">
        <f>'Car and bus journey time'!AJ37</f>
        <v>100.86467861610535</v>
      </c>
      <c r="AA37" s="73">
        <f>'Car and bus journey time'!AK37</f>
        <v>104.3743188705858</v>
      </c>
      <c r="AB37" s="672">
        <f t="shared" si="8"/>
        <v>101.37679285641461</v>
      </c>
      <c r="AC37" s="65">
        <f t="shared" si="9"/>
        <v>101.66255351168883</v>
      </c>
      <c r="AD37" s="65">
        <f t="shared" si="10"/>
        <v>100.86467861610535</v>
      </c>
      <c r="AE37" s="65">
        <f t="shared" si="11"/>
        <v>101.37679285641461</v>
      </c>
      <c r="AF37" s="65">
        <f t="shared" si="12"/>
        <v>100.86467861610535</v>
      </c>
      <c r="AG37" s="65">
        <f t="shared" si="13"/>
        <v>101.37679285641461</v>
      </c>
      <c r="AH37" s="65">
        <f t="shared" si="14"/>
        <v>101.37679285641461</v>
      </c>
      <c r="AI37" s="76">
        <f t="shared" si="15"/>
        <v>100.86467861610535</v>
      </c>
    </row>
    <row r="38" spans="1:35" ht="13.5" customHeight="1">
      <c r="A38" s="90"/>
      <c r="B38" s="2667" t="str">
        <f>'Car and bus journey time'!S38</f>
        <v>2021/22</v>
      </c>
      <c r="C38" s="42"/>
      <c r="D38" s="73">
        <f>'Car and bus journey time'!T38</f>
        <v>105.99858194469421</v>
      </c>
      <c r="E38" s="73">
        <f>'Car and bus journey time'!U38</f>
        <v>101.07741644849946</v>
      </c>
      <c r="F38" s="73">
        <f>'Car and bus journey time'!V38</f>
        <v>100.3859447109144</v>
      </c>
      <c r="G38" s="73">
        <f>'Car and bus journey time'!W38</f>
        <v>100.39456691845609</v>
      </c>
      <c r="H38" s="73">
        <f>'Car and bus journey time'!Y38</f>
        <v>100.85574589522284</v>
      </c>
      <c r="I38" s="73">
        <f>'Car and bus journey time'!Z38</f>
        <v>100.37011665792545</v>
      </c>
      <c r="J38" s="73">
        <f>'Car and bus journey time'!AA38</f>
        <v>100.61073194741319</v>
      </c>
      <c r="K38" s="73">
        <f>'Car and bus journey time'!AB38</f>
        <v>100.75481682094114</v>
      </c>
      <c r="L38" s="672">
        <f t="shared" si="0"/>
        <v>100.3859447109144</v>
      </c>
      <c r="M38" s="65">
        <f t="shared" si="1"/>
        <v>101.07741644849946</v>
      </c>
      <c r="N38" s="65">
        <f t="shared" si="2"/>
        <v>100.61073194741319</v>
      </c>
      <c r="O38" s="65">
        <f t="shared" si="3"/>
        <v>100.3859447109144</v>
      </c>
      <c r="P38" s="65">
        <f t="shared" si="4"/>
        <v>100.61073194741319</v>
      </c>
      <c r="Q38" s="65">
        <f t="shared" si="5"/>
        <v>100.3859447109144</v>
      </c>
      <c r="R38" s="65">
        <f t="shared" si="6"/>
        <v>100.3859447109144</v>
      </c>
      <c r="S38" s="76">
        <f t="shared" si="7"/>
        <v>100.61073194741319</v>
      </c>
      <c r="T38" s="73">
        <f>'Car and bus journey time'!AC38</f>
        <v>109.78832712016755</v>
      </c>
      <c r="U38" s="73">
        <f>'Car and bus journey time'!AD38</f>
        <v>101.74524396067835</v>
      </c>
      <c r="V38" s="73">
        <f>'Car and bus journey time'!AE38</f>
        <v>101.45664671309085</v>
      </c>
      <c r="W38" s="73">
        <f>'Car and bus journey time'!AF38</f>
        <v>102.13262313679215</v>
      </c>
      <c r="X38" s="73">
        <f>'Car and bus journey time'!AH38</f>
        <v>101.45990377119929</v>
      </c>
      <c r="Y38" s="73">
        <f>'Car and bus journey time'!AI38</f>
        <v>100.48393184698934</v>
      </c>
      <c r="Z38" s="73">
        <f>'Car and bus journey time'!AJ38</f>
        <v>100.96635420507241</v>
      </c>
      <c r="AA38" s="73">
        <f>'Car and bus journey time'!AK38</f>
        <v>104.65570025600699</v>
      </c>
      <c r="AB38" s="672">
        <f t="shared" si="8"/>
        <v>101.45664671309085</v>
      </c>
      <c r="AC38" s="65">
        <f t="shared" si="9"/>
        <v>101.74524396067835</v>
      </c>
      <c r="AD38" s="65">
        <f t="shared" si="10"/>
        <v>100.96635420507241</v>
      </c>
      <c r="AE38" s="65">
        <f t="shared" si="11"/>
        <v>101.45664671309085</v>
      </c>
      <c r="AF38" s="65">
        <f t="shared" si="12"/>
        <v>100.96635420507241</v>
      </c>
      <c r="AG38" s="65">
        <f t="shared" si="13"/>
        <v>101.45664671309085</v>
      </c>
      <c r="AH38" s="65">
        <f t="shared" si="14"/>
        <v>101.45664671309085</v>
      </c>
      <c r="AI38" s="76">
        <f t="shared" si="15"/>
        <v>100.96635420507241</v>
      </c>
    </row>
    <row r="39" spans="1:35" ht="13.5" customHeight="1">
      <c r="A39" s="90"/>
      <c r="B39" s="2667" t="str">
        <f>'Car and bus journey time'!S39</f>
        <v>2022/23</v>
      </c>
      <c r="C39" s="42"/>
      <c r="D39" s="73">
        <f>'Car and bus journey time'!T39</f>
        <v>106.43422847496696</v>
      </c>
      <c r="E39" s="73">
        <f>'Car and bus journey time'!U39</f>
        <v>101.01605456509175</v>
      </c>
      <c r="F39" s="73">
        <f>'Car and bus journey time'!V39</f>
        <v>100.35727845076281</v>
      </c>
      <c r="G39" s="73">
        <f>'Car and bus journey time'!W39</f>
        <v>100.47014904679261</v>
      </c>
      <c r="H39" s="73">
        <f>'Car and bus journey time'!Y39</f>
        <v>100.93051315904604</v>
      </c>
      <c r="I39" s="73">
        <f>'Car and bus journey time'!Z39</f>
        <v>100.3771015975837</v>
      </c>
      <c r="J39" s="73">
        <f>'Car and bus journey time'!AA39</f>
        <v>100.65130107496314</v>
      </c>
      <c r="K39" s="73">
        <f>'Car and bus journey time'!AB39</f>
        <v>100.83662686990267</v>
      </c>
      <c r="L39" s="672">
        <f t="shared" si="0"/>
        <v>100.35727845076281</v>
      </c>
      <c r="M39" s="65">
        <f t="shared" si="1"/>
        <v>101.01605456509175</v>
      </c>
      <c r="N39" s="65">
        <f t="shared" si="2"/>
        <v>100.65130107496314</v>
      </c>
      <c r="O39" s="65">
        <f t="shared" si="3"/>
        <v>100.35727845076281</v>
      </c>
      <c r="P39" s="65">
        <f t="shared" si="4"/>
        <v>100.65130107496314</v>
      </c>
      <c r="Q39" s="65">
        <f t="shared" si="5"/>
        <v>100.35727845076281</v>
      </c>
      <c r="R39" s="65">
        <f t="shared" si="6"/>
        <v>100.35727845076281</v>
      </c>
      <c r="S39" s="76">
        <f t="shared" si="7"/>
        <v>100.65130107496314</v>
      </c>
      <c r="T39" s="73">
        <f>'Car and bus journey time'!AC39</f>
        <v>110.55612755115489</v>
      </c>
      <c r="U39" s="73">
        <f>'Car and bus journey time'!AD39</f>
        <v>101.82800166855637</v>
      </c>
      <c r="V39" s="73">
        <f>'Car and bus journey time'!AE39</f>
        <v>101.53656347014346</v>
      </c>
      <c r="W39" s="73">
        <f>'Car and bus journey time'!AF39</f>
        <v>102.36670474869511</v>
      </c>
      <c r="X39" s="73">
        <f>'Car and bus journey time'!AH39</f>
        <v>101.60210001192762</v>
      </c>
      <c r="Y39" s="73">
        <f>'Car and bus journey time'!AI39</f>
        <v>100.54633135081824</v>
      </c>
      <c r="Z39" s="73">
        <f>'Car and bus journey time'!AJ39</f>
        <v>101.06819718983289</v>
      </c>
      <c r="AA39" s="73">
        <f>'Car and bus journey time'!AK39</f>
        <v>104.93784021389048</v>
      </c>
      <c r="AB39" s="672">
        <f t="shared" si="8"/>
        <v>101.53656347014346</v>
      </c>
      <c r="AC39" s="65">
        <f t="shared" si="9"/>
        <v>101.82800166855637</v>
      </c>
      <c r="AD39" s="65">
        <f t="shared" si="10"/>
        <v>101.06819718983289</v>
      </c>
      <c r="AE39" s="65">
        <f t="shared" si="11"/>
        <v>101.53656347014346</v>
      </c>
      <c r="AF39" s="65">
        <f t="shared" si="12"/>
        <v>101.06819718983289</v>
      </c>
      <c r="AG39" s="65">
        <f t="shared" si="13"/>
        <v>101.53656347014346</v>
      </c>
      <c r="AH39" s="65">
        <f t="shared" si="14"/>
        <v>101.53656347014346</v>
      </c>
      <c r="AI39" s="76">
        <f t="shared" si="15"/>
        <v>101.06819718983289</v>
      </c>
    </row>
    <row r="40" spans="1:35" ht="13.5" customHeight="1">
      <c r="A40" s="90"/>
      <c r="B40" s="2667" t="str">
        <f>'Car and bus journey time'!S40</f>
        <v>2023/24</v>
      </c>
      <c r="C40" s="42"/>
      <c r="D40" s="73">
        <f>'Car and bus journey time'!T40</f>
        <v>106.87166548107301</v>
      </c>
      <c r="E40" s="73">
        <f>'Car and bus journey time'!U40</f>
        <v>100.95472993313813</v>
      </c>
      <c r="F40" s="73">
        <f>'Car and bus journey time'!V40</f>
        <v>100.32862037656267</v>
      </c>
      <c r="G40" s="73">
        <f>'Car and bus journey time'!W40</f>
        <v>100.54578807719369</v>
      </c>
      <c r="H40" s="73">
        <f>'Car and bus journey time'!Y40</f>
        <v>101.00537845815516</v>
      </c>
      <c r="I40" s="73">
        <f>'Car and bus journey time'!Z40</f>
        <v>100.38411775215216</v>
      </c>
      <c r="J40" s="73">
        <f>'Car and bus journey time'!AA40</f>
        <v>100.6919345249935</v>
      </c>
      <c r="K40" s="73">
        <f>'Car and bus journey time'!AB40</f>
        <v>100.91850334629984</v>
      </c>
      <c r="L40" s="672">
        <f t="shared" si="0"/>
        <v>100.32862037656267</v>
      </c>
      <c r="M40" s="65">
        <f t="shared" si="1"/>
        <v>100.95472993313813</v>
      </c>
      <c r="N40" s="65">
        <f t="shared" si="2"/>
        <v>100.6919345249935</v>
      </c>
      <c r="O40" s="65">
        <f t="shared" si="3"/>
        <v>100.32862037656267</v>
      </c>
      <c r="P40" s="65">
        <f t="shared" si="4"/>
        <v>100.6919345249935</v>
      </c>
      <c r="Q40" s="65">
        <f t="shared" si="5"/>
        <v>100.32862037656267</v>
      </c>
      <c r="R40" s="65">
        <f t="shared" si="6"/>
        <v>100.32862037656267</v>
      </c>
      <c r="S40" s="76">
        <f t="shared" si="7"/>
        <v>100.6919345249935</v>
      </c>
      <c r="T40" s="73">
        <f>'Car and bus journey time'!AC40</f>
        <v>111.32929756484091</v>
      </c>
      <c r="U40" s="73">
        <f>'Car and bus journey time'!AD40</f>
        <v>101.91082669003011</v>
      </c>
      <c r="V40" s="73">
        <f>'Car and bus journey time'!AE40</f>
        <v>101.61654317711867</v>
      </c>
      <c r="W40" s="73">
        <f>'Car and bus journey time'!AF40</f>
        <v>102.6013228610751</v>
      </c>
      <c r="X40" s="73">
        <f>'Car and bus journey time'!AH40</f>
        <v>101.74455339909004</v>
      </c>
      <c r="Y40" s="73">
        <f>'Car and bus journey time'!AI40</f>
        <v>100.60881114229794</v>
      </c>
      <c r="Z40" s="73">
        <f>'Car and bus journey time'!AJ40</f>
        <v>101.17020788343854</v>
      </c>
      <c r="AA40" s="73">
        <f>'Car and bus journey time'!AK40</f>
        <v>105.22074078926198</v>
      </c>
      <c r="AB40" s="672">
        <f t="shared" si="8"/>
        <v>101.61654317711867</v>
      </c>
      <c r="AC40" s="65">
        <f t="shared" si="9"/>
        <v>101.91082669003011</v>
      </c>
      <c r="AD40" s="65">
        <f t="shared" si="10"/>
        <v>101.17020788343854</v>
      </c>
      <c r="AE40" s="65">
        <f t="shared" si="11"/>
        <v>101.61654317711867</v>
      </c>
      <c r="AF40" s="65">
        <f t="shared" si="12"/>
        <v>101.17020788343854</v>
      </c>
      <c r="AG40" s="65">
        <f t="shared" si="13"/>
        <v>101.61654317711867</v>
      </c>
      <c r="AH40" s="65">
        <f t="shared" si="14"/>
        <v>101.61654317711867</v>
      </c>
      <c r="AI40" s="76">
        <f t="shared" si="15"/>
        <v>101.17020788343854</v>
      </c>
    </row>
    <row r="41" spans="1:35" ht="13.5" customHeight="1">
      <c r="A41" s="90"/>
      <c r="B41" s="2667" t="str">
        <f>'Car and bus journey time'!S41</f>
        <v>2024/25</v>
      </c>
      <c r="C41" s="42"/>
      <c r="D41" s="73">
        <f>'Car and bus journey time'!T41</f>
        <v>107.31090032173903</v>
      </c>
      <c r="E41" s="73">
        <f>'Car and bus journey time'!U41</f>
        <v>100.89344253002403</v>
      </c>
      <c r="F41" s="73">
        <f>'Car and bus journey time'!V41</f>
        <v>100.29997048597646</v>
      </c>
      <c r="G41" s="73">
        <f>'Car and bus journey time'!W41</f>
        <v>100.62148405249802</v>
      </c>
      <c r="H41" s="73">
        <f>'Car and bus journey time'!Y41</f>
        <v>101.08034190715598</v>
      </c>
      <c r="I41" s="73">
        <f>'Car and bus journey time'!Z41</f>
        <v>100.39116515404254</v>
      </c>
      <c r="J41" s="73">
        <f>'Car and bus journey time'!AA41</f>
        <v>100.73263237064067</v>
      </c>
      <c r="K41" s="73">
        <f>'Car and bus journey time'!AB41</f>
        <v>101.00044630406985</v>
      </c>
      <c r="L41" s="672">
        <f t="shared" si="0"/>
        <v>100.29997048597646</v>
      </c>
      <c r="M41" s="65">
        <f t="shared" si="1"/>
        <v>100.89344253002403</v>
      </c>
      <c r="N41" s="65">
        <f t="shared" si="2"/>
        <v>100.73263237064067</v>
      </c>
      <c r="O41" s="65">
        <f t="shared" si="3"/>
        <v>100.29997048597646</v>
      </c>
      <c r="P41" s="65">
        <f t="shared" si="4"/>
        <v>100.73263237064067</v>
      </c>
      <c r="Q41" s="65">
        <f t="shared" si="5"/>
        <v>100.29997048597646</v>
      </c>
      <c r="R41" s="65">
        <f t="shared" si="6"/>
        <v>100.29997048597646</v>
      </c>
      <c r="S41" s="76">
        <f t="shared" si="7"/>
        <v>100.73263237064067</v>
      </c>
      <c r="T41" s="73">
        <f>'Car and bus journey time'!AC41</f>
        <v>112.10787471319517</v>
      </c>
      <c r="U41" s="73">
        <f>'Car and bus journey time'!AD41</f>
        <v>101.99371907985109</v>
      </c>
      <c r="V41" s="73">
        <f>'Car and bus journey time'!AE41</f>
        <v>101.69658588360176</v>
      </c>
      <c r="W41" s="73">
        <f>'Car and bus journey time'!AF41</f>
        <v>102.83647870355779</v>
      </c>
      <c r="X41" s="73">
        <f>'Car and bus journey time'!AH41</f>
        <v>101.88726442172427</v>
      </c>
      <c r="Y41" s="73">
        <f>'Car and bus journey time'!AI41</f>
        <v>100.67137136364563</v>
      </c>
      <c r="Z41" s="73">
        <f>'Car and bus journey time'!AJ41</f>
        <v>101.27238659953977</v>
      </c>
      <c r="AA41" s="73">
        <f>'Car and bus journey time'!AK41</f>
        <v>105.50440403266039</v>
      </c>
      <c r="AB41" s="672">
        <f t="shared" si="8"/>
        <v>101.69658588360176</v>
      </c>
      <c r="AC41" s="65">
        <f t="shared" si="9"/>
        <v>101.99371907985109</v>
      </c>
      <c r="AD41" s="65">
        <f t="shared" si="10"/>
        <v>101.27238659953977</v>
      </c>
      <c r="AE41" s="65">
        <f t="shared" si="11"/>
        <v>101.69658588360176</v>
      </c>
      <c r="AF41" s="65">
        <f t="shared" si="12"/>
        <v>101.27238659953977</v>
      </c>
      <c r="AG41" s="65">
        <f t="shared" si="13"/>
        <v>101.69658588360176</v>
      </c>
      <c r="AH41" s="65">
        <f t="shared" si="14"/>
        <v>101.69658588360176</v>
      </c>
      <c r="AI41" s="76">
        <f t="shared" si="15"/>
        <v>101.27238659953977</v>
      </c>
    </row>
    <row r="42" spans="1:35" ht="13.5" customHeight="1">
      <c r="A42" s="90"/>
      <c r="B42" s="2667" t="str">
        <f>'Car and bus journey time'!S42</f>
        <v>2025/26</v>
      </c>
      <c r="C42" s="42"/>
      <c r="D42" s="73">
        <f>'Car and bus journey time'!T42</f>
        <v>107.74725488728964</v>
      </c>
      <c r="E42" s="73">
        <f>'Car and bus journey time'!U42</f>
        <v>100.88728658979147</v>
      </c>
      <c r="F42" s="73">
        <f>'Car and bus journey time'!V42</f>
        <v>100.30100503231934</v>
      </c>
      <c r="G42" s="73">
        <f>'Car and bus journey time'!W42</f>
        <v>100.71797809030237</v>
      </c>
      <c r="H42" s="73">
        <f>'Car and bus journey time'!Y42</f>
        <v>101.17740281697726</v>
      </c>
      <c r="I42" s="73">
        <f>'Car and bus journey time'!Z42</f>
        <v>100.44119653476649</v>
      </c>
      <c r="J42" s="73">
        <f>'Car and bus journey time'!AA42</f>
        <v>100.80596552747103</v>
      </c>
      <c r="K42" s="73">
        <f>'Car and bus journey time'!AB42</f>
        <v>101.09481403054453</v>
      </c>
      <c r="L42" s="672">
        <f t="shared" si="0"/>
        <v>100.30100503231934</v>
      </c>
      <c r="M42" s="65">
        <f t="shared" si="1"/>
        <v>100.88728658979147</v>
      </c>
      <c r="N42" s="65">
        <f t="shared" si="2"/>
        <v>100.80596552747103</v>
      </c>
      <c r="O42" s="65">
        <f t="shared" si="3"/>
        <v>100.30100503231934</v>
      </c>
      <c r="P42" s="65">
        <f t="shared" si="4"/>
        <v>100.80596552747103</v>
      </c>
      <c r="Q42" s="65">
        <f t="shared" si="5"/>
        <v>100.30100503231934</v>
      </c>
      <c r="R42" s="65">
        <f t="shared" si="6"/>
        <v>100.30100503231934</v>
      </c>
      <c r="S42" s="76">
        <f t="shared" si="7"/>
        <v>100.80596552747103</v>
      </c>
      <c r="T42" s="73">
        <f>'Car and bus journey time'!AC42</f>
        <v>112.88103248881629</v>
      </c>
      <c r="U42" s="73">
        <f>'Car and bus journey time'!AD42</f>
        <v>102.1019843874641</v>
      </c>
      <c r="V42" s="73">
        <f>'Car and bus journey time'!AE42</f>
        <v>101.78688111906071</v>
      </c>
      <c r="W42" s="73">
        <f>'Car and bus journey time'!AF42</f>
        <v>103.08045231707706</v>
      </c>
      <c r="X42" s="73">
        <f>'Car and bus journey time'!AH42</f>
        <v>102.04032064691904</v>
      </c>
      <c r="Y42" s="73">
        <f>'Car and bus journey time'!AI42</f>
        <v>100.75736155528581</v>
      </c>
      <c r="Z42" s="73">
        <f>'Car and bus journey time'!AJ42</f>
        <v>101.39152749280578</v>
      </c>
      <c r="AA42" s="73">
        <f>'Car and bus journey time'!AK42</f>
        <v>105.78939633032923</v>
      </c>
      <c r="AB42" s="672">
        <f t="shared" si="8"/>
        <v>101.78688111906071</v>
      </c>
      <c r="AC42" s="65">
        <f t="shared" si="9"/>
        <v>102.1019843874641</v>
      </c>
      <c r="AD42" s="65">
        <f t="shared" si="10"/>
        <v>101.39152749280578</v>
      </c>
      <c r="AE42" s="65">
        <f t="shared" si="11"/>
        <v>101.78688111906071</v>
      </c>
      <c r="AF42" s="65">
        <f t="shared" si="12"/>
        <v>101.39152749280578</v>
      </c>
      <c r="AG42" s="65">
        <f t="shared" si="13"/>
        <v>101.78688111906071</v>
      </c>
      <c r="AH42" s="65">
        <f t="shared" si="14"/>
        <v>101.78688111906071</v>
      </c>
      <c r="AI42" s="76">
        <f t="shared" si="15"/>
        <v>101.39152749280578</v>
      </c>
    </row>
    <row r="43" spans="1:35" ht="13.5" customHeight="1">
      <c r="A43" s="90"/>
      <c r="B43" s="2667" t="str">
        <f>'Car and bus journey time'!S43</f>
        <v>2026/27</v>
      </c>
      <c r="C43" s="42"/>
      <c r="D43" s="73">
        <f>'Car and bus journey time'!T43</f>
        <v>108.17132790146529</v>
      </c>
      <c r="E43" s="73">
        <f>'Car and bus journey time'!U43</f>
        <v>101.04650410485023</v>
      </c>
      <c r="F43" s="73">
        <f>'Car and bus journey time'!V43</f>
        <v>100.39109470520178</v>
      </c>
      <c r="G43" s="73">
        <f>'Car and bus journey time'!W43</f>
        <v>100.87680070458602</v>
      </c>
      <c r="H43" s="73">
        <f>'Car and bus journey time'!Y43</f>
        <v>101.34060153564394</v>
      </c>
      <c r="I43" s="73">
        <f>'Car and bus journey time'!Z43</f>
        <v>100.62018968709295</v>
      </c>
      <c r="J43" s="73">
        <f>'Car and bus journey time'!AA43</f>
        <v>100.97713299317184</v>
      </c>
      <c r="K43" s="73">
        <f>'Car and bus journey time'!AB43</f>
        <v>101.22634916036361</v>
      </c>
      <c r="L43" s="672">
        <f t="shared" si="0"/>
        <v>100.39109470520178</v>
      </c>
      <c r="M43" s="65">
        <f t="shared" si="1"/>
        <v>101.04650410485023</v>
      </c>
      <c r="N43" s="65">
        <f t="shared" si="2"/>
        <v>100.97713299317184</v>
      </c>
      <c r="O43" s="65">
        <f t="shared" si="3"/>
        <v>100.39109470520178</v>
      </c>
      <c r="P43" s="65">
        <f t="shared" si="4"/>
        <v>100.97713299317184</v>
      </c>
      <c r="Q43" s="65">
        <f t="shared" si="5"/>
        <v>100.39109470520178</v>
      </c>
      <c r="R43" s="65">
        <f t="shared" si="6"/>
        <v>100.39109470520178</v>
      </c>
      <c r="S43" s="76">
        <f t="shared" si="7"/>
        <v>100.97713299317184</v>
      </c>
      <c r="T43" s="73">
        <f>'Car and bus journey time'!AC43</f>
        <v>113.62693255782501</v>
      </c>
      <c r="U43" s="73">
        <f>'Car and bus journey time'!AD43</f>
        <v>102.28629992176505</v>
      </c>
      <c r="V43" s="73">
        <f>'Car and bus journey time'!AE43</f>
        <v>101.90782802654891</v>
      </c>
      <c r="W43" s="73">
        <f>'Car and bus journey time'!AF43</f>
        <v>103.34984316426461</v>
      </c>
      <c r="X43" s="73">
        <f>'Car and bus journey time'!AH43</f>
        <v>102.22391599713356</v>
      </c>
      <c r="Y43" s="73">
        <f>'Car and bus journey time'!AI43</f>
        <v>100.91352199780313</v>
      </c>
      <c r="Z43" s="73">
        <f>'Car and bus journey time'!AJ43</f>
        <v>101.56124899434209</v>
      </c>
      <c r="AA43" s="73">
        <f>'Car and bus journey time'!AK43</f>
        <v>106.07685145902224</v>
      </c>
      <c r="AB43" s="672">
        <f t="shared" si="8"/>
        <v>101.90782802654891</v>
      </c>
      <c r="AC43" s="65">
        <f t="shared" si="9"/>
        <v>102.28629992176505</v>
      </c>
      <c r="AD43" s="65">
        <f t="shared" si="10"/>
        <v>101.56124899434209</v>
      </c>
      <c r="AE43" s="65">
        <f t="shared" si="11"/>
        <v>101.90782802654891</v>
      </c>
      <c r="AF43" s="65">
        <f t="shared" si="12"/>
        <v>101.56124899434209</v>
      </c>
      <c r="AG43" s="65">
        <f t="shared" si="13"/>
        <v>101.90782802654891</v>
      </c>
      <c r="AH43" s="65">
        <f t="shared" si="14"/>
        <v>101.90782802654891</v>
      </c>
      <c r="AI43" s="76">
        <f t="shared" si="15"/>
        <v>101.56124899434209</v>
      </c>
    </row>
    <row r="44" spans="1:35" ht="13.5" customHeight="1">
      <c r="A44" s="90"/>
      <c r="B44" s="2667" t="str">
        <f>'Car and bus journey time'!S44</f>
        <v>2027/28</v>
      </c>
      <c r="C44" s="42"/>
      <c r="D44" s="73">
        <f>'Car and bus journey time'!T44</f>
        <v>108.5970699875958</v>
      </c>
      <c r="E44" s="73">
        <f>'Car and bus journey time'!U44</f>
        <v>101.20597289257134</v>
      </c>
      <c r="F44" s="73">
        <f>'Car and bus journey time'!V44</f>
        <v>100.4812652960088</v>
      </c>
      <c r="G44" s="73">
        <f>'Car and bus journey time'!W44</f>
        <v>101.03587376693552</v>
      </c>
      <c r="H44" s="73">
        <f>'Car and bus journey time'!Y44</f>
        <v>101.50406619260917</v>
      </c>
      <c r="I44" s="73">
        <f>'Car and bus journey time'!Z44</f>
        <v>100.79950376925149</v>
      </c>
      <c r="J44" s="73">
        <f>'Car and bus journey time'!AA44</f>
        <v>101.14859414198489</v>
      </c>
      <c r="K44" s="73">
        <f>'Car and bus journey time'!AB44</f>
        <v>101.35805543140827</v>
      </c>
      <c r="L44" s="672">
        <f t="shared" si="0"/>
        <v>100.4812652960088</v>
      </c>
      <c r="M44" s="65">
        <f t="shared" si="1"/>
        <v>101.20597289257134</v>
      </c>
      <c r="N44" s="65">
        <f t="shared" si="2"/>
        <v>101.14859414198489</v>
      </c>
      <c r="O44" s="65">
        <f t="shared" si="3"/>
        <v>100.4812652960088</v>
      </c>
      <c r="P44" s="65">
        <f t="shared" si="4"/>
        <v>101.14859414198489</v>
      </c>
      <c r="Q44" s="65">
        <f t="shared" si="5"/>
        <v>100.4812652960088</v>
      </c>
      <c r="R44" s="65">
        <f t="shared" si="6"/>
        <v>100.4812652960088</v>
      </c>
      <c r="S44" s="76">
        <f t="shared" si="7"/>
        <v>101.14859414198489</v>
      </c>
      <c r="T44" s="73">
        <f>'Car and bus journey time'!AC44</f>
        <v>114.37776141691187</v>
      </c>
      <c r="U44" s="73">
        <f>'Car and bus journey time'!AD44</f>
        <v>102.47094818433166</v>
      </c>
      <c r="V44" s="73">
        <f>'Car and bus journey time'!AE44</f>
        <v>102.02891864759107</v>
      </c>
      <c r="W44" s="73">
        <f>'Car and bus journey time'!AF44</f>
        <v>103.61993803851955</v>
      </c>
      <c r="X44" s="73">
        <f>'Car and bus journey time'!AH44</f>
        <v>102.40784759791954</v>
      </c>
      <c r="Y44" s="73">
        <f>'Car and bus journey time'!AI44</f>
        <v>101.06992872948351</v>
      </c>
      <c r="Z44" s="73">
        <f>'Car and bus journey time'!AJ44</f>
        <v>101.73126125291363</v>
      </c>
      <c r="AA44" s="73">
        <f>'Car and bus journey time'!AK44</f>
        <v>106.36508767215163</v>
      </c>
      <c r="AB44" s="672">
        <f t="shared" si="8"/>
        <v>102.02891864759107</v>
      </c>
      <c r="AC44" s="65">
        <f t="shared" si="9"/>
        <v>102.47094818433166</v>
      </c>
      <c r="AD44" s="65">
        <f t="shared" si="10"/>
        <v>101.73126125291363</v>
      </c>
      <c r="AE44" s="65">
        <f t="shared" si="11"/>
        <v>102.02891864759107</v>
      </c>
      <c r="AF44" s="65">
        <f t="shared" si="12"/>
        <v>101.73126125291363</v>
      </c>
      <c r="AG44" s="65">
        <f t="shared" si="13"/>
        <v>102.02891864759107</v>
      </c>
      <c r="AH44" s="65">
        <f t="shared" si="14"/>
        <v>102.02891864759107</v>
      </c>
      <c r="AI44" s="76">
        <f t="shared" si="15"/>
        <v>101.73126125291363</v>
      </c>
    </row>
    <row r="45" spans="1:35" ht="13.5" customHeight="1">
      <c r="A45" s="90"/>
      <c r="B45" s="2667" t="str">
        <f>'Car and bus journey time'!S45</f>
        <v>2028/29</v>
      </c>
      <c r="C45" s="42"/>
      <c r="D45" s="73">
        <f>'Car and bus journey time'!T45</f>
        <v>109.02448771483589</v>
      </c>
      <c r="E45" s="73">
        <f>'Car and bus journey time'!U45</f>
        <v>101.36569334950639</v>
      </c>
      <c r="F45" s="73">
        <f>'Car and bus journey time'!V45</f>
        <v>100.57151687742034</v>
      </c>
      <c r="G45" s="73">
        <f>'Car and bus journey time'!W45</f>
        <v>101.19519767228347</v>
      </c>
      <c r="H45" s="73">
        <f>'Car and bus journey time'!Y45</f>
        <v>101.66779722587928</v>
      </c>
      <c r="I45" s="73">
        <f>'Car and bus journey time'!Z45</f>
        <v>100.97913935970355</v>
      </c>
      <c r="J45" s="73">
        <f>'Car and bus journey time'!AA45</f>
        <v>101.32034948278026</v>
      </c>
      <c r="K45" s="73">
        <f>'Car and bus journey time'!AB45</f>
        <v>101.48993306635154</v>
      </c>
      <c r="L45" s="672">
        <f t="shared" si="0"/>
        <v>100.57151687742034</v>
      </c>
      <c r="M45" s="65">
        <f t="shared" si="1"/>
        <v>101.36569334950639</v>
      </c>
      <c r="N45" s="65">
        <f t="shared" si="2"/>
        <v>101.32034948278026</v>
      </c>
      <c r="O45" s="65">
        <f t="shared" si="3"/>
        <v>100.57151687742034</v>
      </c>
      <c r="P45" s="65">
        <f t="shared" si="4"/>
        <v>101.32034948278026</v>
      </c>
      <c r="Q45" s="65">
        <f t="shared" si="5"/>
        <v>100.57151687742034</v>
      </c>
      <c r="R45" s="65">
        <f t="shared" si="6"/>
        <v>100.57151687742034</v>
      </c>
      <c r="S45" s="76">
        <f t="shared" si="7"/>
        <v>101.32034948278026</v>
      </c>
      <c r="T45" s="73">
        <f>'Car and bus journey time'!AC45</f>
        <v>115.13355163474488</v>
      </c>
      <c r="U45" s="73">
        <f>'Car and bus journey time'!AD45</f>
        <v>102.65592977580835</v>
      </c>
      <c r="V45" s="73">
        <f>'Car and bus journey time'!AE45</f>
        <v>102.15015315295291</v>
      </c>
      <c r="W45" s="73">
        <f>'Car and bus journey time'!AF45</f>
        <v>103.89073877974889</v>
      </c>
      <c r="X45" s="73">
        <f>'Car and bus journey time'!AH45</f>
        <v>102.59211607446588</v>
      </c>
      <c r="Y45" s="73">
        <f>'Car and bus journey time'!AI45</f>
        <v>101.22658214658227</v>
      </c>
      <c r="Z45" s="73">
        <f>'Car and bus journey time'!AJ45</f>
        <v>101.90156477793747</v>
      </c>
      <c r="AA45" s="73">
        <f>'Car and bus journey time'!AK45</f>
        <v>106.65410709211096</v>
      </c>
      <c r="AB45" s="672">
        <f t="shared" si="8"/>
        <v>102.15015315295291</v>
      </c>
      <c r="AC45" s="65">
        <f t="shared" si="9"/>
        <v>102.65592977580835</v>
      </c>
      <c r="AD45" s="65">
        <f t="shared" si="10"/>
        <v>101.90156477793747</v>
      </c>
      <c r="AE45" s="65">
        <f t="shared" si="11"/>
        <v>102.15015315295291</v>
      </c>
      <c r="AF45" s="65">
        <f t="shared" si="12"/>
        <v>101.90156477793747</v>
      </c>
      <c r="AG45" s="65">
        <f t="shared" si="13"/>
        <v>102.15015315295291</v>
      </c>
      <c r="AH45" s="65">
        <f t="shared" si="14"/>
        <v>102.15015315295291</v>
      </c>
      <c r="AI45" s="76">
        <f t="shared" si="15"/>
        <v>101.90156477793747</v>
      </c>
    </row>
    <row r="46" spans="1:35" ht="13.5" customHeight="1">
      <c r="A46" s="90"/>
      <c r="B46" s="2667" t="str">
        <f>'Car and bus journey time'!S46</f>
        <v>2029/30</v>
      </c>
      <c r="C46" s="42"/>
      <c r="D46" s="73">
        <f>'Car and bus journey time'!T46</f>
        <v>109.45358767819503</v>
      </c>
      <c r="E46" s="73">
        <f>'Car and bus journey time'!U46</f>
        <v>101.52566587283269</v>
      </c>
      <c r="F46" s="73">
        <f>'Car and bus journey time'!V46</f>
        <v>100.66184952218158</v>
      </c>
      <c r="G46" s="73">
        <f>'Car and bus journey time'!W46</f>
        <v>101.35477281618532</v>
      </c>
      <c r="H46" s="73">
        <f>'Car and bus journey time'!Y46</f>
        <v>101.83179507419018</v>
      </c>
      <c r="I46" s="73">
        <f>'Car and bus journey time'!Z46</f>
        <v>101.15909703795805</v>
      </c>
      <c r="J46" s="73">
        <f>'Car and bus journey time'!AA46</f>
        <v>101.49239952531779</v>
      </c>
      <c r="K46" s="73">
        <f>'Car and bus journey time'!AB46</f>
        <v>101.6219822881561</v>
      </c>
      <c r="L46" s="672">
        <f t="shared" si="0"/>
        <v>100.66184952218158</v>
      </c>
      <c r="M46" s="65">
        <f t="shared" si="1"/>
        <v>101.52566587283269</v>
      </c>
      <c r="N46" s="65">
        <f t="shared" si="2"/>
        <v>101.49239952531779</v>
      </c>
      <c r="O46" s="65">
        <f t="shared" si="3"/>
        <v>100.66184952218158</v>
      </c>
      <c r="P46" s="65">
        <f t="shared" si="4"/>
        <v>101.49239952531779</v>
      </c>
      <c r="Q46" s="65">
        <f t="shared" si="5"/>
        <v>100.66184952218158</v>
      </c>
      <c r="R46" s="65">
        <f t="shared" si="6"/>
        <v>100.66184952218158</v>
      </c>
      <c r="S46" s="76">
        <f t="shared" si="7"/>
        <v>101.49239952531779</v>
      </c>
      <c r="T46" s="73">
        <f>'Car and bus journey time'!AC46</f>
        <v>115.89433599520049</v>
      </c>
      <c r="U46" s="73">
        <f>'Car and bus journey time'!AD46</f>
        <v>102.84124529792382</v>
      </c>
      <c r="V46" s="73">
        <f>'Car and bus journey time'!AE46</f>
        <v>102.27153171360301</v>
      </c>
      <c r="W46" s="73">
        <f>'Car and bus journey time'!AF46</f>
        <v>104.16224723266802</v>
      </c>
      <c r="X46" s="73">
        <f>'Car and bus journey time'!AH46</f>
        <v>102.77672205313826</v>
      </c>
      <c r="Y46" s="73">
        <f>'Car and bus journey time'!AI46</f>
        <v>101.3834826460064</v>
      </c>
      <c r="Z46" s="73">
        <f>'Car and bus journey time'!AJ46</f>
        <v>102.07216007974186</v>
      </c>
      <c r="AA46" s="73">
        <f>'Car and bus journey time'!AK46</f>
        <v>106.94391184706078</v>
      </c>
      <c r="AB46" s="672">
        <f t="shared" si="8"/>
        <v>102.27153171360301</v>
      </c>
      <c r="AC46" s="65">
        <f t="shared" si="9"/>
        <v>102.84124529792382</v>
      </c>
      <c r="AD46" s="65">
        <f t="shared" si="10"/>
        <v>102.07216007974186</v>
      </c>
      <c r="AE46" s="65">
        <f t="shared" si="11"/>
        <v>102.27153171360301</v>
      </c>
      <c r="AF46" s="65">
        <f t="shared" si="12"/>
        <v>102.07216007974186</v>
      </c>
      <c r="AG46" s="65">
        <f t="shared" si="13"/>
        <v>102.27153171360301</v>
      </c>
      <c r="AH46" s="65">
        <f t="shared" si="14"/>
        <v>102.27153171360301</v>
      </c>
      <c r="AI46" s="76">
        <f t="shared" si="15"/>
        <v>102.07216007974186</v>
      </c>
    </row>
    <row r="47" spans="1:35" ht="13.5" customHeight="1">
      <c r="A47" s="90"/>
      <c r="B47" s="2667" t="str">
        <f>'Car and bus journey time'!S47</f>
        <v>2030/31</v>
      </c>
      <c r="C47" s="42"/>
      <c r="D47" s="73">
        <f>'Car and bus journey time'!T47</f>
        <v>109.90675543606135</v>
      </c>
      <c r="E47" s="73">
        <f>'Car and bus journey time'!U47</f>
        <v>101.69825835145765</v>
      </c>
      <c r="F47" s="73">
        <f>'Car and bus journey time'!V47</f>
        <v>100.75950119429567</v>
      </c>
      <c r="G47" s="73">
        <f>'Car and bus journey time'!W47</f>
        <v>101.52879054214307</v>
      </c>
      <c r="H47" s="73">
        <f>'Car and bus journey time'!Y47</f>
        <v>102.00831986984751</v>
      </c>
      <c r="I47" s="73">
        <f>'Car and bus journey time'!Z47</f>
        <v>101.35717602412402</v>
      </c>
      <c r="J47" s="73">
        <f>'Car and bus journey time'!AA47</f>
        <v>101.67979903135654</v>
      </c>
      <c r="K47" s="73">
        <f>'Car and bus journey time'!AB47</f>
        <v>101.76294109627746</v>
      </c>
      <c r="L47" s="672">
        <f t="shared" si="0"/>
        <v>100.75950119429567</v>
      </c>
      <c r="M47" s="65">
        <f t="shared" si="1"/>
        <v>101.69825835145765</v>
      </c>
      <c r="N47" s="65">
        <f t="shared" si="2"/>
        <v>101.67979903135654</v>
      </c>
      <c r="O47" s="65">
        <f t="shared" si="3"/>
        <v>100.75950119429567</v>
      </c>
      <c r="P47" s="65">
        <f t="shared" si="4"/>
        <v>101.67979903135654</v>
      </c>
      <c r="Q47" s="65">
        <f t="shared" si="5"/>
        <v>100.75950119429567</v>
      </c>
      <c r="R47" s="65">
        <f t="shared" si="6"/>
        <v>100.75950119429567</v>
      </c>
      <c r="S47" s="76">
        <f t="shared" si="7"/>
        <v>101.67979903135654</v>
      </c>
      <c r="T47" s="73">
        <f>'Car and bus journey time'!AC47</f>
        <v>116.69044824662154</v>
      </c>
      <c r="U47" s="73">
        <f>'Car and bus journey time'!AD47</f>
        <v>103.03735111744632</v>
      </c>
      <c r="V47" s="73">
        <f>'Car and bus journey time'!AE47</f>
        <v>102.39941805827119</v>
      </c>
      <c r="W47" s="73">
        <f>'Car and bus journey time'!AF47</f>
        <v>104.45056428073936</v>
      </c>
      <c r="X47" s="73">
        <f>'Car and bus journey time'!AH47</f>
        <v>102.97308122352811</v>
      </c>
      <c r="Y47" s="73">
        <f>'Car and bus journey time'!AI47</f>
        <v>101.55387105610578</v>
      </c>
      <c r="Z47" s="73">
        <f>'Car and bus journey time'!AJ47</f>
        <v>102.25538582164326</v>
      </c>
      <c r="AA47" s="73">
        <f>'Car and bus journey time'!AK47</f>
        <v>107.24861104267434</v>
      </c>
      <c r="AB47" s="672">
        <f t="shared" si="8"/>
        <v>102.39941805827119</v>
      </c>
      <c r="AC47" s="65">
        <f t="shared" si="9"/>
        <v>103.03735111744632</v>
      </c>
      <c r="AD47" s="65">
        <f t="shared" si="10"/>
        <v>102.25538582164326</v>
      </c>
      <c r="AE47" s="65">
        <f t="shared" si="11"/>
        <v>102.39941805827119</v>
      </c>
      <c r="AF47" s="65">
        <f t="shared" si="12"/>
        <v>102.25538582164326</v>
      </c>
      <c r="AG47" s="65">
        <f t="shared" si="13"/>
        <v>102.39941805827119</v>
      </c>
      <c r="AH47" s="65">
        <f t="shared" si="14"/>
        <v>102.39941805827119</v>
      </c>
      <c r="AI47" s="76">
        <f t="shared" si="15"/>
        <v>102.25538582164326</v>
      </c>
    </row>
    <row r="48" spans="1:35" ht="13.5" customHeight="1">
      <c r="A48" s="90"/>
      <c r="B48" s="2667" t="str">
        <f>'Car and bus journey time'!S48</f>
        <v>2031/32</v>
      </c>
      <c r="C48" s="42"/>
      <c r="D48" s="73">
        <f>'Car and bus journey time'!T48</f>
        <v>110.42894991753798</v>
      </c>
      <c r="E48" s="73">
        <f>'Car and bus journey time'!U48</f>
        <v>101.9082512212134</v>
      </c>
      <c r="F48" s="73">
        <f>'Car and bus journey time'!V48</f>
        <v>100.87896283137579</v>
      </c>
      <c r="G48" s="73">
        <f>'Car and bus journey time'!W48</f>
        <v>101.74568583540071</v>
      </c>
      <c r="H48" s="73">
        <f>'Car and bus journey time'!Y48</f>
        <v>102.22193984663299</v>
      </c>
      <c r="I48" s="73">
        <f>'Car and bus journey time'!Z48</f>
        <v>101.60905226592718</v>
      </c>
      <c r="J48" s="73">
        <f>'Car and bus journey time'!AA48</f>
        <v>101.91272039652752</v>
      </c>
      <c r="K48" s="73">
        <f>'Car and bus journey time'!AB48</f>
        <v>101.9303110064974</v>
      </c>
      <c r="L48" s="672">
        <f t="shared" si="0"/>
        <v>100.87896283137579</v>
      </c>
      <c r="M48" s="65">
        <f t="shared" si="1"/>
        <v>101.9082512212134</v>
      </c>
      <c r="N48" s="65">
        <f t="shared" si="2"/>
        <v>101.91272039652752</v>
      </c>
      <c r="O48" s="65">
        <f t="shared" si="3"/>
        <v>100.87896283137579</v>
      </c>
      <c r="P48" s="65">
        <f t="shared" si="4"/>
        <v>101.91272039652752</v>
      </c>
      <c r="Q48" s="65">
        <f t="shared" si="5"/>
        <v>100.87896283137579</v>
      </c>
      <c r="R48" s="65">
        <f t="shared" si="6"/>
        <v>100.87896283137579</v>
      </c>
      <c r="S48" s="76">
        <f t="shared" si="7"/>
        <v>101.91272039652752</v>
      </c>
      <c r="T48" s="73">
        <f>'Car and bus journey time'!AC48</f>
        <v>117.58295508106829</v>
      </c>
      <c r="U48" s="73">
        <f>'Car and bus journey time'!AD48</f>
        <v>103.26520136224786</v>
      </c>
      <c r="V48" s="73">
        <f>'Car and bus journey time'!AE48</f>
        <v>102.54655617868154</v>
      </c>
      <c r="W48" s="73">
        <f>'Car and bus journey time'!AF48</f>
        <v>104.78798392617226</v>
      </c>
      <c r="X48" s="73">
        <f>'Car and bus journey time'!AH48</f>
        <v>103.2040696986535</v>
      </c>
      <c r="Y48" s="73">
        <f>'Car and bus journey time'!AI48</f>
        <v>101.76427602467895</v>
      </c>
      <c r="Z48" s="73">
        <f>'Car and bus journey time'!AJ48</f>
        <v>102.47596520560913</v>
      </c>
      <c r="AA48" s="73">
        <f>'Car and bus journey time'!AK48</f>
        <v>107.59650485447018</v>
      </c>
      <c r="AB48" s="672">
        <f t="shared" si="8"/>
        <v>102.54655617868154</v>
      </c>
      <c r="AC48" s="65">
        <f t="shared" si="9"/>
        <v>103.26520136224786</v>
      </c>
      <c r="AD48" s="65">
        <f t="shared" si="10"/>
        <v>102.47596520560913</v>
      </c>
      <c r="AE48" s="65">
        <f t="shared" si="11"/>
        <v>102.54655617868154</v>
      </c>
      <c r="AF48" s="65">
        <f t="shared" si="12"/>
        <v>102.47596520560913</v>
      </c>
      <c r="AG48" s="65">
        <f t="shared" si="13"/>
        <v>102.54655617868154</v>
      </c>
      <c r="AH48" s="65">
        <f t="shared" si="14"/>
        <v>102.54655617868154</v>
      </c>
      <c r="AI48" s="76">
        <f t="shared" si="15"/>
        <v>102.47596520560913</v>
      </c>
    </row>
    <row r="49" spans="1:35" ht="13.5" customHeight="1">
      <c r="A49" s="90"/>
      <c r="B49" s="2667" t="str">
        <f>'Car and bus journey time'!S49</f>
        <v>2032/33</v>
      </c>
      <c r="C49" s="42"/>
      <c r="D49" s="73">
        <f>'Car and bus journey time'!T49</f>
        <v>110.95362547559091</v>
      </c>
      <c r="E49" s="73">
        <f>'Car and bus journey time'!U49</f>
        <v>102.11867769726746</v>
      </c>
      <c r="F49" s="73">
        <f>'Car and bus journey time'!V49</f>
        <v>100.99856610356292</v>
      </c>
      <c r="G49" s="73">
        <f>'Car and bus journey time'!W49</f>
        <v>101.96304448065914</v>
      </c>
      <c r="H49" s="73">
        <f>'Car and bus journey time'!Y49</f>
        <v>102.43602173829342</v>
      </c>
      <c r="I49" s="73">
        <f>'Car and bus journey time'!Z49</f>
        <v>101.86156494947092</v>
      </c>
      <c r="J49" s="73">
        <f>'Car and bus journey time'!AA49</f>
        <v>102.14619173040769</v>
      </c>
      <c r="K49" s="73">
        <f>'Car and bus journey time'!AB49</f>
        <v>102.09795619066824</v>
      </c>
      <c r="L49" s="672">
        <f t="shared" si="0"/>
        <v>100.99856610356292</v>
      </c>
      <c r="M49" s="65">
        <f t="shared" si="1"/>
        <v>102.11867769726746</v>
      </c>
      <c r="N49" s="65">
        <f t="shared" si="2"/>
        <v>102.14619173040769</v>
      </c>
      <c r="O49" s="65">
        <f t="shared" si="3"/>
        <v>100.99856610356292</v>
      </c>
      <c r="P49" s="65">
        <f t="shared" si="4"/>
        <v>102.14619173040769</v>
      </c>
      <c r="Q49" s="65">
        <f t="shared" si="5"/>
        <v>100.99856610356292</v>
      </c>
      <c r="R49" s="65">
        <f t="shared" si="6"/>
        <v>100.99856610356292</v>
      </c>
      <c r="S49" s="76">
        <f t="shared" si="7"/>
        <v>102.14619173040769</v>
      </c>
      <c r="T49" s="73">
        <f>'Car and bus journey time'!AC49</f>
        <v>118.48228825358728</v>
      </c>
      <c r="U49" s="73">
        <f>'Car and bus journey time'!AD49</f>
        <v>103.49355546058882</v>
      </c>
      <c r="V49" s="73">
        <f>'Car and bus journey time'!AE49</f>
        <v>102.69390572242698</v>
      </c>
      <c r="W49" s="73">
        <f>'Car and bus journey time'!AF49</f>
        <v>105.1264935802414</v>
      </c>
      <c r="X49" s="73">
        <f>'Car and bus journey time'!AH49</f>
        <v>103.43557914023773</v>
      </c>
      <c r="Y49" s="73">
        <f>'Car and bus journey time'!AI49</f>
        <v>101.97511895133448</v>
      </c>
      <c r="Z49" s="73">
        <f>'Car and bus journey time'!AJ49</f>
        <v>102.69702357864992</v>
      </c>
      <c r="AA49" s="73">
        <f>'Car and bus journey time'!AK49</f>
        <v>107.94552716670171</v>
      </c>
      <c r="AB49" s="672">
        <f t="shared" si="8"/>
        <v>102.69390572242698</v>
      </c>
      <c r="AC49" s="65">
        <f t="shared" si="9"/>
        <v>103.49355546058882</v>
      </c>
      <c r="AD49" s="65">
        <f t="shared" si="10"/>
        <v>102.69702357864992</v>
      </c>
      <c r="AE49" s="65">
        <f t="shared" si="11"/>
        <v>102.69390572242698</v>
      </c>
      <c r="AF49" s="65">
        <f t="shared" si="12"/>
        <v>102.69702357864992</v>
      </c>
      <c r="AG49" s="65">
        <f t="shared" si="13"/>
        <v>102.69390572242698</v>
      </c>
      <c r="AH49" s="65">
        <f t="shared" si="14"/>
        <v>102.69390572242698</v>
      </c>
      <c r="AI49" s="76">
        <f t="shared" si="15"/>
        <v>102.69702357864992</v>
      </c>
    </row>
    <row r="50" spans="1:35" ht="13.5" customHeight="1">
      <c r="A50" s="90"/>
      <c r="B50" s="2667" t="str">
        <f>'Car and bus journey time'!S50</f>
        <v>2033/34</v>
      </c>
      <c r="C50" s="42"/>
      <c r="D50" s="73">
        <f>'Car and bus journey time'!T50</f>
        <v>111.48079389843537</v>
      </c>
      <c r="E50" s="73">
        <f>'Car and bus journey time'!U50</f>
        <v>102.32953867495702</v>
      </c>
      <c r="F50" s="73">
        <f>'Car and bus journey time'!V50</f>
        <v>101.1183111787813</v>
      </c>
      <c r="G50" s="73">
        <f>'Car and bus journey time'!W50</f>
        <v>102.18086746777422</v>
      </c>
      <c r="H50" s="73">
        <f>'Car and bus journey time'!Y50</f>
        <v>102.65056657738396</v>
      </c>
      <c r="I50" s="73">
        <f>'Car and bus journey time'!Z50</f>
        <v>102.11471570346066</v>
      </c>
      <c r="J50" s="73">
        <f>'Car and bus journey time'!AA50</f>
        <v>102.38021436632714</v>
      </c>
      <c r="K50" s="73">
        <f>'Car and bus journey time'!AB50</f>
        <v>102.26587710153407</v>
      </c>
      <c r="L50" s="672">
        <f t="shared" si="0"/>
        <v>101.1183111787813</v>
      </c>
      <c r="M50" s="65">
        <f t="shared" si="1"/>
        <v>102.32953867495702</v>
      </c>
      <c r="N50" s="65">
        <f t="shared" si="2"/>
        <v>102.38021436632714</v>
      </c>
      <c r="O50" s="65">
        <f t="shared" si="3"/>
        <v>101.1183111787813</v>
      </c>
      <c r="P50" s="65">
        <f t="shared" si="4"/>
        <v>102.38021436632714</v>
      </c>
      <c r="Q50" s="65">
        <f t="shared" si="5"/>
        <v>101.1183111787813</v>
      </c>
      <c r="R50" s="65">
        <f t="shared" si="6"/>
        <v>101.1183111787813</v>
      </c>
      <c r="S50" s="76">
        <f t="shared" si="7"/>
        <v>102.38021436632714</v>
      </c>
      <c r="T50" s="73">
        <f>'Car and bus journey time'!AC50</f>
        <v>119.38849997542185</v>
      </c>
      <c r="U50" s="73">
        <f>'Car and bus journey time'!AD50</f>
        <v>103.72241452665894</v>
      </c>
      <c r="V50" s="73">
        <f>'Car and bus journey time'!AE50</f>
        <v>102.84146699330252</v>
      </c>
      <c r="W50" s="73">
        <f>'Car and bus journey time'!AF50</f>
        <v>105.46609676413721</v>
      </c>
      <c r="X50" s="73">
        <f>'Car and bus journey time'!AH50</f>
        <v>103.66761072917576</v>
      </c>
      <c r="Y50" s="73">
        <f>'Car and bus journey time'!AI50</f>
        <v>102.18640075230219</v>
      </c>
      <c r="Z50" s="73">
        <f>'Car and bus journey time'!AJ50</f>
        <v>102.91856198781922</v>
      </c>
      <c r="AA50" s="73">
        <f>'Car and bus journey time'!AK50</f>
        <v>108.29568164000669</v>
      </c>
      <c r="AB50" s="672">
        <f t="shared" si="8"/>
        <v>102.84146699330252</v>
      </c>
      <c r="AC50" s="65">
        <f t="shared" si="9"/>
        <v>103.72241452665894</v>
      </c>
      <c r="AD50" s="65">
        <f t="shared" si="10"/>
        <v>102.91856198781922</v>
      </c>
      <c r="AE50" s="65">
        <f t="shared" si="11"/>
        <v>102.84146699330252</v>
      </c>
      <c r="AF50" s="65">
        <f t="shared" si="12"/>
        <v>102.91856198781922</v>
      </c>
      <c r="AG50" s="65">
        <f t="shared" si="13"/>
        <v>102.84146699330252</v>
      </c>
      <c r="AH50" s="65">
        <f t="shared" si="14"/>
        <v>102.84146699330252</v>
      </c>
      <c r="AI50" s="76">
        <f t="shared" si="15"/>
        <v>102.91856198781922</v>
      </c>
    </row>
    <row r="51" spans="1:35" ht="13.5" customHeight="1">
      <c r="A51" s="90"/>
      <c r="B51" s="2667" t="str">
        <f>'Car and bus journey time'!S51</f>
        <v>2034/35</v>
      </c>
      <c r="C51" s="42"/>
      <c r="D51" s="73">
        <f>'Car and bus journey time'!T51</f>
        <v>112.01046703029547</v>
      </c>
      <c r="E51" s="73">
        <f>'Car and bus journey time'!U51</f>
        <v>102.54083505146794</v>
      </c>
      <c r="F51" s="73">
        <f>'Car and bus journey time'!V51</f>
        <v>101.23819822515424</v>
      </c>
      <c r="G51" s="73">
        <f>'Car and bus journey time'!W51</f>
        <v>102.39915578871643</v>
      </c>
      <c r="H51" s="73">
        <f>'Car and bus journey time'!Y51</f>
        <v>102.86557539884372</v>
      </c>
      <c r="I51" s="73">
        <f>'Car and bus journey time'!Z51</f>
        <v>102.36850616080926</v>
      </c>
      <c r="J51" s="73">
        <f>'Car and bus journey time'!AA51</f>
        <v>102.61478964091997</v>
      </c>
      <c r="K51" s="73">
        <f>'Car and bus journey time'!AB51</f>
        <v>102.43407419258372</v>
      </c>
      <c r="L51" s="672">
        <f t="shared" si="0"/>
        <v>101.23819822515424</v>
      </c>
      <c r="M51" s="65">
        <f t="shared" si="1"/>
        <v>102.54083505146794</v>
      </c>
      <c r="N51" s="65">
        <f t="shared" si="2"/>
        <v>102.61478964091997</v>
      </c>
      <c r="O51" s="65">
        <f t="shared" si="3"/>
        <v>101.23819822515424</v>
      </c>
      <c r="P51" s="65">
        <f t="shared" si="4"/>
        <v>102.61478964091997</v>
      </c>
      <c r="Q51" s="65">
        <f t="shared" si="5"/>
        <v>101.23819822515424</v>
      </c>
      <c r="R51" s="65">
        <f t="shared" si="6"/>
        <v>101.23819822515424</v>
      </c>
      <c r="S51" s="76">
        <f t="shared" si="7"/>
        <v>102.61478964091997</v>
      </c>
      <c r="T51" s="73">
        <f>'Car and bus journey time'!AC51</f>
        <v>120.30164285715294</v>
      </c>
      <c r="U51" s="73">
        <f>'Car and bus journey time'!AD51</f>
        <v>103.95177967711166</v>
      </c>
      <c r="V51" s="73">
        <f>'Car and bus journey time'!AE51</f>
        <v>102.98924029553966</v>
      </c>
      <c r="W51" s="73">
        <f>'Car and bus journey time'!AF51</f>
        <v>105.80679701042503</v>
      </c>
      <c r="X51" s="73">
        <f>'Car and bus journey time'!AH51</f>
        <v>103.90016564905153</v>
      </c>
      <c r="Y51" s="73">
        <f>'Car and bus journey time'!AI51</f>
        <v>102.39812234573908</v>
      </c>
      <c r="Z51" s="73">
        <f>'Car and bus journey time'!AJ51</f>
        <v>103.1405814824744</v>
      </c>
      <c r="AA51" s="73">
        <f>'Car and bus journey time'!AK51</f>
        <v>108.64697194689734</v>
      </c>
      <c r="AB51" s="672">
        <f t="shared" si="8"/>
        <v>102.98924029553966</v>
      </c>
      <c r="AC51" s="65">
        <f t="shared" si="9"/>
        <v>103.95177967711166</v>
      </c>
      <c r="AD51" s="65">
        <f t="shared" si="10"/>
        <v>103.1405814824744</v>
      </c>
      <c r="AE51" s="65">
        <f t="shared" si="11"/>
        <v>102.98924029553966</v>
      </c>
      <c r="AF51" s="65">
        <f t="shared" si="12"/>
        <v>103.1405814824744</v>
      </c>
      <c r="AG51" s="65">
        <f t="shared" si="13"/>
        <v>102.98924029553966</v>
      </c>
      <c r="AH51" s="65">
        <f t="shared" si="14"/>
        <v>102.98924029553966</v>
      </c>
      <c r="AI51" s="76">
        <f t="shared" si="15"/>
        <v>103.1405814824744</v>
      </c>
    </row>
    <row r="52" spans="1:35" ht="13.5" customHeight="1">
      <c r="A52" s="90"/>
      <c r="B52" s="2667" t="s">
        <v>1979</v>
      </c>
      <c r="C52" s="42"/>
      <c r="D52" s="73">
        <f>'Car and bus journey time'!T52</f>
        <v>112.51639501039764</v>
      </c>
      <c r="E52" s="73">
        <f>'Car and bus journey time'!U52</f>
        <v>102.7617912311122</v>
      </c>
      <c r="F52" s="73">
        <f>'Car and bus journey time'!V52</f>
        <v>101.36454215135487</v>
      </c>
      <c r="G52" s="73">
        <f>'Car and bus journey time'!W52</f>
        <v>102.62653720979438</v>
      </c>
      <c r="H52" s="73">
        <f>'Car and bus journey time'!Y52</f>
        <v>103.08428452888559</v>
      </c>
      <c r="I52" s="73">
        <f>'Car and bus journey time'!Z52</f>
        <v>102.62710029658911</v>
      </c>
      <c r="J52" s="73">
        <f>'Car and bus journey time'!AA52</f>
        <v>102.85362190598694</v>
      </c>
      <c r="K52" s="73">
        <f>'Car and bus journey time'!AB52</f>
        <v>102.6041918448352</v>
      </c>
      <c r="L52" s="672">
        <f t="shared" ref="L52:L67" si="16">F52</f>
        <v>101.36454215135487</v>
      </c>
      <c r="M52" s="65">
        <f t="shared" ref="M52:M67" si="17">E52</f>
        <v>102.7617912311122</v>
      </c>
      <c r="N52" s="65">
        <f t="shared" ref="N52:N67" si="18">J52</f>
        <v>102.85362190598694</v>
      </c>
      <c r="O52" s="65">
        <f t="shared" ref="O52:O67" si="19">F52</f>
        <v>101.36454215135487</v>
      </c>
      <c r="P52" s="65">
        <f t="shared" ref="P52:P67" si="20">J52</f>
        <v>102.85362190598694</v>
      </c>
      <c r="Q52" s="65">
        <f t="shared" ref="Q52:Q67" si="21">F52</f>
        <v>101.36454215135487</v>
      </c>
      <c r="R52" s="65">
        <f t="shared" ref="R52:R67" si="22">F52</f>
        <v>101.36454215135487</v>
      </c>
      <c r="S52" s="76">
        <f t="shared" ref="S52:S67" si="23">J52</f>
        <v>102.85362190598694</v>
      </c>
      <c r="T52" s="73">
        <f>'Car and bus journey time'!AC52</f>
        <v>121.17097636666985</v>
      </c>
      <c r="U52" s="73">
        <f>'Car and bus journey time'!AD52</f>
        <v>104.18383680476137</v>
      </c>
      <c r="V52" s="73">
        <f>'Car and bus journey time'!AE52</f>
        <v>103.13615917954921</v>
      </c>
      <c r="W52" s="73">
        <f>'Car and bus journey time'!AF52</f>
        <v>106.15292272901695</v>
      </c>
      <c r="X52" s="73">
        <f>'Car and bus journey time'!AH52</f>
        <v>104.13466928264236</v>
      </c>
      <c r="Y52" s="73">
        <f>'Car and bus journey time'!AI52</f>
        <v>102.61182469666269</v>
      </c>
      <c r="Z52" s="73">
        <f>'Car and bus journey time'!AJ52</f>
        <v>103.36456589539856</v>
      </c>
      <c r="AA52" s="73">
        <f>'Car and bus journey time'!AK52</f>
        <v>108.990529002382</v>
      </c>
      <c r="AB52" s="672">
        <f t="shared" ref="AB52:AB67" si="24">V52</f>
        <v>103.13615917954921</v>
      </c>
      <c r="AC52" s="65">
        <f t="shared" ref="AC52:AC67" si="25">U52</f>
        <v>104.18383680476137</v>
      </c>
      <c r="AD52" s="65">
        <f t="shared" ref="AD52:AD67" si="26">Z52</f>
        <v>103.36456589539856</v>
      </c>
      <c r="AE52" s="65">
        <f t="shared" ref="AE52:AE67" si="27">V52</f>
        <v>103.13615917954921</v>
      </c>
      <c r="AF52" s="65">
        <f t="shared" ref="AF52:AF67" si="28">Z52</f>
        <v>103.36456589539856</v>
      </c>
      <c r="AG52" s="65">
        <f t="shared" ref="AG52:AG67" si="29">V52</f>
        <v>103.13615917954921</v>
      </c>
      <c r="AH52" s="65">
        <f t="shared" ref="AH52:AH67" si="30">V52</f>
        <v>103.13615917954921</v>
      </c>
      <c r="AI52" s="76">
        <f t="shared" ref="AI52:AI67" si="31">Z52</f>
        <v>103.36456589539856</v>
      </c>
    </row>
    <row r="53" spans="1:35" ht="13.5" customHeight="1">
      <c r="A53" s="90"/>
      <c r="B53" s="2667" t="s">
        <v>1980</v>
      </c>
      <c r="C53" s="42"/>
      <c r="D53" s="73">
        <f>'Car and bus journey time'!T53</f>
        <v>112.94584126262805</v>
      </c>
      <c r="E53" s="73">
        <f>'Car and bus journey time'!U53</f>
        <v>103.01089652933571</v>
      </c>
      <c r="F53" s="73">
        <f>'Car and bus journey time'!V53</f>
        <v>101.50998915439583</v>
      </c>
      <c r="G53" s="73">
        <f>'Car and bus journey time'!W53</f>
        <v>102.88030603274791</v>
      </c>
      <c r="H53" s="73">
        <f>'Car and bus journey time'!Y53</f>
        <v>103.31318027098631</v>
      </c>
      <c r="I53" s="73">
        <f>'Car and bus journey time'!Z53</f>
        <v>102.89884631761907</v>
      </c>
      <c r="J53" s="73">
        <f>'Car and bus journey time'!AA53</f>
        <v>103.10413684890769</v>
      </c>
      <c r="K53" s="73">
        <f>'Car and bus journey time'!AB53</f>
        <v>102.77952387978404</v>
      </c>
      <c r="L53" s="672">
        <f t="shared" si="16"/>
        <v>101.50998915439583</v>
      </c>
      <c r="M53" s="65">
        <f t="shared" si="17"/>
        <v>103.01089652933571</v>
      </c>
      <c r="N53" s="65">
        <f t="shared" si="18"/>
        <v>103.10413684890769</v>
      </c>
      <c r="O53" s="65">
        <f t="shared" si="19"/>
        <v>101.50998915439583</v>
      </c>
      <c r="P53" s="65">
        <f t="shared" si="20"/>
        <v>103.10413684890769</v>
      </c>
      <c r="Q53" s="65">
        <f t="shared" si="21"/>
        <v>101.50998915439583</v>
      </c>
      <c r="R53" s="65">
        <f t="shared" si="22"/>
        <v>101.50998915439583</v>
      </c>
      <c r="S53" s="76">
        <f t="shared" si="23"/>
        <v>103.10413684890769</v>
      </c>
      <c r="T53" s="73">
        <f>'Car and bus journey time'!AC53</f>
        <v>121.89427513892706</v>
      </c>
      <c r="U53" s="73">
        <f>'Car and bus journey time'!AD53</f>
        <v>104.42296642449512</v>
      </c>
      <c r="V53" s="73">
        <f>'Car and bus journey time'!AE53</f>
        <v>103.28008742042496</v>
      </c>
      <c r="W53" s="73">
        <f>'Car and bus journey time'!AF53</f>
        <v>106.51315585492294</v>
      </c>
      <c r="X53" s="73">
        <f>'Car and bus journey time'!AH53</f>
        <v>104.37397763623149</v>
      </c>
      <c r="Y53" s="73">
        <f>'Car and bus journey time'!AI53</f>
        <v>102.83059525985574</v>
      </c>
      <c r="Z53" s="73">
        <f>'Car and bus journey time'!AJ53</f>
        <v>103.59348827651471</v>
      </c>
      <c r="AA53" s="73">
        <f>'Car and bus journey time'!AK53</f>
        <v>109.30855629228577</v>
      </c>
      <c r="AB53" s="672">
        <f t="shared" si="24"/>
        <v>103.28008742042496</v>
      </c>
      <c r="AC53" s="65">
        <f t="shared" si="25"/>
        <v>104.42296642449512</v>
      </c>
      <c r="AD53" s="65">
        <f t="shared" si="26"/>
        <v>103.59348827651471</v>
      </c>
      <c r="AE53" s="65">
        <f t="shared" si="27"/>
        <v>103.28008742042496</v>
      </c>
      <c r="AF53" s="65">
        <f t="shared" si="28"/>
        <v>103.59348827651471</v>
      </c>
      <c r="AG53" s="65">
        <f t="shared" si="29"/>
        <v>103.28008742042496</v>
      </c>
      <c r="AH53" s="65">
        <f t="shared" si="30"/>
        <v>103.28008742042496</v>
      </c>
      <c r="AI53" s="76">
        <f t="shared" si="31"/>
        <v>103.59348827651471</v>
      </c>
    </row>
    <row r="54" spans="1:35" ht="13.5" customHeight="1">
      <c r="A54" s="90"/>
      <c r="B54" s="2667" t="s">
        <v>1981</v>
      </c>
      <c r="C54" s="42"/>
      <c r="D54" s="73">
        <f>'Car and bus journey time'!T54</f>
        <v>113.376926601176</v>
      </c>
      <c r="E54" s="73">
        <f>'Car and bus journey time'!U54</f>
        <v>103.26060568477948</v>
      </c>
      <c r="F54" s="73">
        <f>'Car and bus journey time'!V54</f>
        <v>101.6556448579374</v>
      </c>
      <c r="G54" s="73">
        <f>'Car and bus journey time'!W54</f>
        <v>103.13470236021685</v>
      </c>
      <c r="H54" s="73">
        <f>'Car and bus journey time'!Y54</f>
        <v>103.54260191031388</v>
      </c>
      <c r="I54" s="73">
        <f>'Car and bus journey time'!Z54</f>
        <v>103.17132461173696</v>
      </c>
      <c r="J54" s="73">
        <f>'Car and bus journey time'!AA54</f>
        <v>103.35528181162566</v>
      </c>
      <c r="K54" s="73">
        <f>'Car and bus journey time'!AB54</f>
        <v>102.95515552551804</v>
      </c>
      <c r="L54" s="672">
        <f t="shared" si="16"/>
        <v>101.6556448579374</v>
      </c>
      <c r="M54" s="65">
        <f t="shared" si="17"/>
        <v>103.26060568477948</v>
      </c>
      <c r="N54" s="65">
        <f t="shared" si="18"/>
        <v>103.35528181162566</v>
      </c>
      <c r="O54" s="65">
        <f t="shared" si="19"/>
        <v>101.6556448579374</v>
      </c>
      <c r="P54" s="65">
        <f t="shared" si="20"/>
        <v>103.35528181162566</v>
      </c>
      <c r="Q54" s="65">
        <f t="shared" si="21"/>
        <v>101.6556448579374</v>
      </c>
      <c r="R54" s="65">
        <f t="shared" si="22"/>
        <v>101.6556448579374</v>
      </c>
      <c r="S54" s="76">
        <f t="shared" si="23"/>
        <v>103.35528181162566</v>
      </c>
      <c r="T54" s="73">
        <f>'Car and bus journey time'!AC54</f>
        <v>122.62189145594317</v>
      </c>
      <c r="U54" s="73">
        <f>'Car and bus journey time'!AD54</f>
        <v>104.66264491031774</v>
      </c>
      <c r="V54" s="73">
        <f>'Car and bus journey time'!AE54</f>
        <v>103.42421651557613</v>
      </c>
      <c r="W54" s="73">
        <f>'Car and bus journey time'!AF54</f>
        <v>106.87461144274204</v>
      </c>
      <c r="X54" s="73">
        <f>'Car and bus journey time'!AH54</f>
        <v>104.61383860678906</v>
      </c>
      <c r="Y54" s="73">
        <f>'Car and bus journey time'!AI54</f>
        <v>103.04983417349156</v>
      </c>
      <c r="Z54" s="73">
        <f>'Car and bus journey time'!AJ54</f>
        <v>103.82292066096863</v>
      </c>
      <c r="AA54" s="73">
        <f>'Car and bus journey time'!AK54</f>
        <v>109.62751156518078</v>
      </c>
      <c r="AB54" s="672">
        <f t="shared" si="24"/>
        <v>103.42421651557613</v>
      </c>
      <c r="AC54" s="65">
        <f t="shared" si="25"/>
        <v>104.66264491031774</v>
      </c>
      <c r="AD54" s="65">
        <f t="shared" si="26"/>
        <v>103.82292066096863</v>
      </c>
      <c r="AE54" s="65">
        <f t="shared" si="27"/>
        <v>103.42421651557613</v>
      </c>
      <c r="AF54" s="65">
        <f t="shared" si="28"/>
        <v>103.82292066096863</v>
      </c>
      <c r="AG54" s="65">
        <f t="shared" si="29"/>
        <v>103.42421651557613</v>
      </c>
      <c r="AH54" s="65">
        <f t="shared" si="30"/>
        <v>103.42421651557613</v>
      </c>
      <c r="AI54" s="76">
        <f t="shared" si="31"/>
        <v>103.82292066096863</v>
      </c>
    </row>
    <row r="55" spans="1:35" ht="13.5" customHeight="1">
      <c r="A55" s="90"/>
      <c r="B55" s="2667" t="s">
        <v>1982</v>
      </c>
      <c r="C55" s="42"/>
      <c r="D55" s="73">
        <f>'Car and bus journey time'!T55</f>
        <v>113.80965728201392</v>
      </c>
      <c r="E55" s="73">
        <f>'Car and bus journey time'!U55</f>
        <v>103.51092016125642</v>
      </c>
      <c r="F55" s="73">
        <f>'Car and bus journey time'!V55</f>
        <v>101.80150956144199</v>
      </c>
      <c r="G55" s="73">
        <f>'Car and bus journey time'!W55</f>
        <v>103.38972774385724</v>
      </c>
      <c r="H55" s="73">
        <f>'Car and bus journey time'!Y55</f>
        <v>103.77255069854125</v>
      </c>
      <c r="I55" s="73">
        <f>'Car and bus journey time'!Z55</f>
        <v>103.44453717843565</v>
      </c>
      <c r="J55" s="73">
        <f>'Car and bus journey time'!AA55</f>
        <v>103.60705842311057</v>
      </c>
      <c r="K55" s="73">
        <f>'Car and bus journey time'!AB55</f>
        <v>103.13108729401795</v>
      </c>
      <c r="L55" s="672">
        <f t="shared" si="16"/>
        <v>101.80150956144199</v>
      </c>
      <c r="M55" s="65">
        <f t="shared" si="17"/>
        <v>103.51092016125642</v>
      </c>
      <c r="N55" s="65">
        <f t="shared" si="18"/>
        <v>103.60705842311057</v>
      </c>
      <c r="O55" s="65">
        <f t="shared" si="19"/>
        <v>101.80150956144199</v>
      </c>
      <c r="P55" s="65">
        <f t="shared" si="20"/>
        <v>103.60705842311057</v>
      </c>
      <c r="Q55" s="65">
        <f t="shared" si="21"/>
        <v>101.80150956144199</v>
      </c>
      <c r="R55" s="65">
        <f t="shared" si="22"/>
        <v>101.80150956144199</v>
      </c>
      <c r="S55" s="76">
        <f t="shared" si="23"/>
        <v>103.60705842311057</v>
      </c>
      <c r="T55" s="73">
        <f>'Car and bus journey time'!AC55</f>
        <v>123.35385109018391</v>
      </c>
      <c r="U55" s="73">
        <f>'Car and bus journey time'!AD55</f>
        <v>104.90287352202297</v>
      </c>
      <c r="V55" s="73">
        <f>'Car and bus journey time'!AE55</f>
        <v>103.56854674529825</v>
      </c>
      <c r="W55" s="73">
        <f>'Car and bus journey time'!AF55</f>
        <v>107.23729364093539</v>
      </c>
      <c r="X55" s="73">
        <f>'Car and bus journey time'!AH55</f>
        <v>104.85425347620657</v>
      </c>
      <c r="Y55" s="73">
        <f>'Car and bus journey time'!AI55</f>
        <v>103.26954244471955</v>
      </c>
      <c r="Z55" s="73">
        <f>'Car and bus journey time'!AJ55</f>
        <v>104.05286419171451</v>
      </c>
      <c r="AA55" s="73">
        <f>'Car and bus journey time'!AK55</f>
        <v>109.9473975288612</v>
      </c>
      <c r="AB55" s="672">
        <f t="shared" si="24"/>
        <v>103.56854674529825</v>
      </c>
      <c r="AC55" s="65">
        <f t="shared" si="25"/>
        <v>104.90287352202297</v>
      </c>
      <c r="AD55" s="65">
        <f t="shared" si="26"/>
        <v>104.05286419171451</v>
      </c>
      <c r="AE55" s="65">
        <f t="shared" si="27"/>
        <v>103.56854674529825</v>
      </c>
      <c r="AF55" s="65">
        <f t="shared" si="28"/>
        <v>104.05286419171451</v>
      </c>
      <c r="AG55" s="65">
        <f t="shared" si="29"/>
        <v>103.56854674529825</v>
      </c>
      <c r="AH55" s="65">
        <f t="shared" si="30"/>
        <v>103.56854674529825</v>
      </c>
      <c r="AI55" s="76">
        <f t="shared" si="31"/>
        <v>104.05286419171451</v>
      </c>
    </row>
    <row r="56" spans="1:35" ht="13.5" customHeight="1">
      <c r="A56" s="90"/>
      <c r="B56" s="2667" t="s">
        <v>1983</v>
      </c>
      <c r="C56" s="42"/>
      <c r="D56" s="73">
        <f>'Car and bus journey time'!T56</f>
        <v>114.24403958499187</v>
      </c>
      <c r="E56" s="73">
        <f>'Car and bus journey time'!U56</f>
        <v>103.76184142612782</v>
      </c>
      <c r="F56" s="73">
        <f>'Car and bus journey time'!V56</f>
        <v>101.94758356480153</v>
      </c>
      <c r="G56" s="73">
        <f>'Car and bus journey time'!W56</f>
        <v>103.6453837391619</v>
      </c>
      <c r="H56" s="73">
        <f>'Car and bus journey time'!Y56</f>
        <v>104.00302789042367</v>
      </c>
      <c r="I56" s="73">
        <f>'Car and bus journey time'!Z56</f>
        <v>103.71848602272095</v>
      </c>
      <c r="J56" s="73">
        <f>'Car and bus journey time'!AA56</f>
        <v>103.85946831664069</v>
      </c>
      <c r="K56" s="73">
        <f>'Car and bus journey time'!AB56</f>
        <v>103.30731969813931</v>
      </c>
      <c r="L56" s="672">
        <f t="shared" si="16"/>
        <v>101.94758356480153</v>
      </c>
      <c r="M56" s="65">
        <f t="shared" si="17"/>
        <v>103.76184142612782</v>
      </c>
      <c r="N56" s="65">
        <f t="shared" si="18"/>
        <v>103.85946831664069</v>
      </c>
      <c r="O56" s="65">
        <f t="shared" si="19"/>
        <v>101.94758356480153</v>
      </c>
      <c r="P56" s="65">
        <f t="shared" si="20"/>
        <v>103.85946831664069</v>
      </c>
      <c r="Q56" s="65">
        <f t="shared" si="21"/>
        <v>101.94758356480153</v>
      </c>
      <c r="R56" s="65">
        <f t="shared" si="22"/>
        <v>101.94758356480153</v>
      </c>
      <c r="S56" s="76">
        <f t="shared" si="23"/>
        <v>103.85946831664069</v>
      </c>
      <c r="T56" s="73">
        <f>'Car and bus journey time'!AC56</f>
        <v>124.0901799679569</v>
      </c>
      <c r="U56" s="73">
        <f>'Car and bus journey time'!AD56</f>
        <v>105.14365352229601</v>
      </c>
      <c r="V56" s="73">
        <f>'Car and bus journey time'!AE56</f>
        <v>103.71307839027797</v>
      </c>
      <c r="W56" s="73">
        <f>'Car and bus journey time'!AF56</f>
        <v>107.60120661204205</v>
      </c>
      <c r="X56" s="73">
        <f>'Car and bus journey time'!AH56</f>
        <v>105.09522352936153</v>
      </c>
      <c r="Y56" s="73">
        <f>'Car and bus journey time'!AI56</f>
        <v>103.48972108286543</v>
      </c>
      <c r="Z56" s="73">
        <f>'Car and bus journey time'!AJ56</f>
        <v>104.28332001428319</v>
      </c>
      <c r="AA56" s="73">
        <f>'Car and bus journey time'!AK56</f>
        <v>110.26821689902235</v>
      </c>
      <c r="AB56" s="672">
        <f t="shared" si="24"/>
        <v>103.71307839027797</v>
      </c>
      <c r="AC56" s="65">
        <f t="shared" si="25"/>
        <v>105.14365352229601</v>
      </c>
      <c r="AD56" s="65">
        <f t="shared" si="26"/>
        <v>104.28332001428319</v>
      </c>
      <c r="AE56" s="65">
        <f t="shared" si="27"/>
        <v>103.71307839027797</v>
      </c>
      <c r="AF56" s="65">
        <f t="shared" si="28"/>
        <v>104.28332001428319</v>
      </c>
      <c r="AG56" s="65">
        <f t="shared" si="29"/>
        <v>103.71307839027797</v>
      </c>
      <c r="AH56" s="65">
        <f t="shared" si="30"/>
        <v>103.71307839027797</v>
      </c>
      <c r="AI56" s="76">
        <f t="shared" si="31"/>
        <v>104.28332001428319</v>
      </c>
    </row>
    <row r="57" spans="1:35" ht="13.5" customHeight="1">
      <c r="A57" s="90"/>
      <c r="B57" s="2667" t="s">
        <v>1984</v>
      </c>
      <c r="C57" s="42"/>
      <c r="D57" s="73">
        <f>'Car and bus journey time'!T57</f>
        <v>114.65593565831023</v>
      </c>
      <c r="E57" s="73">
        <f>'Car and bus journey time'!U57</f>
        <v>104.01300649029572</v>
      </c>
      <c r="F57" s="73">
        <f>'Car and bus journey time'!V57</f>
        <v>102.09594837912333</v>
      </c>
      <c r="G57" s="73">
        <f>'Car and bus journey time'!W57</f>
        <v>103.90279250133622</v>
      </c>
      <c r="H57" s="73">
        <f>'Car and bus journey time'!Y57</f>
        <v>104.23184792160657</v>
      </c>
      <c r="I57" s="73">
        <f>'Car and bus journey time'!Z57</f>
        <v>103.98916153787248</v>
      </c>
      <c r="J57" s="73">
        <f>'Car and bus journey time'!AA57</f>
        <v>104.10940564591233</v>
      </c>
      <c r="K57" s="73">
        <f>'Car and bus journey time'!AB57</f>
        <v>103.48250170237401</v>
      </c>
      <c r="L57" s="672">
        <f t="shared" si="16"/>
        <v>102.09594837912333</v>
      </c>
      <c r="M57" s="65">
        <f t="shared" si="17"/>
        <v>104.01300649029572</v>
      </c>
      <c r="N57" s="65">
        <f t="shared" si="18"/>
        <v>104.10940564591233</v>
      </c>
      <c r="O57" s="65">
        <f t="shared" si="19"/>
        <v>102.09594837912333</v>
      </c>
      <c r="P57" s="65">
        <f t="shared" si="20"/>
        <v>104.10940564591233</v>
      </c>
      <c r="Q57" s="65">
        <f t="shared" si="21"/>
        <v>102.09594837912333</v>
      </c>
      <c r="R57" s="65">
        <f t="shared" si="22"/>
        <v>102.09594837912333</v>
      </c>
      <c r="S57" s="76">
        <f t="shared" si="23"/>
        <v>104.10940564591233</v>
      </c>
      <c r="T57" s="73">
        <f>'Car and bus journey time'!AC57</f>
        <v>124.783207864556</v>
      </c>
      <c r="U57" s="73">
        <f>'Car and bus journey time'!AD57</f>
        <v>105.38327146553073</v>
      </c>
      <c r="V57" s="73">
        <f>'Car and bus journey time'!AE57</f>
        <v>103.85573343137324</v>
      </c>
      <c r="W57" s="73">
        <f>'Car and bus journey time'!AF57</f>
        <v>107.96513343012906</v>
      </c>
      <c r="X57" s="73">
        <f>'Car and bus journey time'!AH57</f>
        <v>105.3339272189006</v>
      </c>
      <c r="Y57" s="73">
        <f>'Car and bus journey time'!AI57</f>
        <v>103.70743110069411</v>
      </c>
      <c r="Z57" s="73">
        <f>'Car and bus journey time'!AJ57</f>
        <v>104.51140719190522</v>
      </c>
      <c r="AA57" s="73">
        <f>'Car and bus journey time'!AK57</f>
        <v>110.57880803207306</v>
      </c>
      <c r="AB57" s="672">
        <f t="shared" si="24"/>
        <v>103.85573343137324</v>
      </c>
      <c r="AC57" s="65">
        <f t="shared" si="25"/>
        <v>105.38327146553073</v>
      </c>
      <c r="AD57" s="65">
        <f t="shared" si="26"/>
        <v>104.51140719190522</v>
      </c>
      <c r="AE57" s="65">
        <f t="shared" si="27"/>
        <v>103.85573343137324</v>
      </c>
      <c r="AF57" s="65">
        <f t="shared" si="28"/>
        <v>104.51140719190522</v>
      </c>
      <c r="AG57" s="65">
        <f t="shared" si="29"/>
        <v>103.85573343137324</v>
      </c>
      <c r="AH57" s="65">
        <f t="shared" si="30"/>
        <v>103.85573343137324</v>
      </c>
      <c r="AI57" s="76">
        <f t="shared" si="31"/>
        <v>104.51140719190522</v>
      </c>
    </row>
    <row r="58" spans="1:35" ht="13.5" customHeight="1">
      <c r="A58" s="90"/>
      <c r="B58" s="2667" t="s">
        <v>1985</v>
      </c>
      <c r="C58" s="42"/>
      <c r="D58" s="73">
        <f>'Car and bus journey time'!T58</f>
        <v>114.99689956664687</v>
      </c>
      <c r="E58" s="73">
        <f>'Car and bus journey time'!U58</f>
        <v>104.26368614634463</v>
      </c>
      <c r="F58" s="73">
        <f>'Car and bus journey time'!V58</f>
        <v>102.25077286911393</v>
      </c>
      <c r="G58" s="73">
        <f>'Car and bus journey time'!W58</f>
        <v>104.16420237556692</v>
      </c>
      <c r="H58" s="73">
        <f>'Car and bus journey time'!Y58</f>
        <v>104.45462752654973</v>
      </c>
      <c r="I58" s="73">
        <f>'Car and bus journey time'!Z58</f>
        <v>104.24852090376233</v>
      </c>
      <c r="J58" s="73">
        <f>'Car and bus journey time'!AA58</f>
        <v>104.35064079461429</v>
      </c>
      <c r="K58" s="73">
        <f>'Car and bus journey time'!AB58</f>
        <v>103.65392617438228</v>
      </c>
      <c r="L58" s="672">
        <f t="shared" si="16"/>
        <v>102.25077286911393</v>
      </c>
      <c r="M58" s="65">
        <f t="shared" si="17"/>
        <v>104.26368614634463</v>
      </c>
      <c r="N58" s="65">
        <f t="shared" si="18"/>
        <v>104.35064079461429</v>
      </c>
      <c r="O58" s="65">
        <f t="shared" si="19"/>
        <v>102.25077286911393</v>
      </c>
      <c r="P58" s="65">
        <f t="shared" si="20"/>
        <v>104.35064079461429</v>
      </c>
      <c r="Q58" s="65">
        <f t="shared" si="21"/>
        <v>102.25077286911393</v>
      </c>
      <c r="R58" s="65">
        <f t="shared" si="22"/>
        <v>102.25077286911393</v>
      </c>
      <c r="S58" s="76">
        <f t="shared" si="23"/>
        <v>104.35064079461429</v>
      </c>
      <c r="T58" s="73">
        <f>'Car and bus journey time'!AC58</f>
        <v>125.3370719890867</v>
      </c>
      <c r="U58" s="73">
        <f>'Car and bus journey time'!AD58</f>
        <v>105.61829143806334</v>
      </c>
      <c r="V58" s="73">
        <f>'Car and bus journey time'!AE58</f>
        <v>103.9923499154219</v>
      </c>
      <c r="W58" s="73">
        <f>'Car and bus journey time'!AF58</f>
        <v>108.3266278484323</v>
      </c>
      <c r="X58" s="73">
        <f>'Car and bus journey time'!AH58</f>
        <v>105.56470754449259</v>
      </c>
      <c r="Y58" s="73">
        <f>'Car and bus journey time'!AI58</f>
        <v>103.91678134820697</v>
      </c>
      <c r="Z58" s="73">
        <f>'Car and bus journey time'!AJ58</f>
        <v>104.73135031462728</v>
      </c>
      <c r="AA58" s="73">
        <f>'Car and bus journey time'!AK58</f>
        <v>110.85678428294605</v>
      </c>
      <c r="AB58" s="672">
        <f t="shared" si="24"/>
        <v>103.9923499154219</v>
      </c>
      <c r="AC58" s="65">
        <f t="shared" si="25"/>
        <v>105.61829143806334</v>
      </c>
      <c r="AD58" s="65">
        <f t="shared" si="26"/>
        <v>104.73135031462728</v>
      </c>
      <c r="AE58" s="65">
        <f t="shared" si="27"/>
        <v>103.9923499154219</v>
      </c>
      <c r="AF58" s="65">
        <f t="shared" si="28"/>
        <v>104.73135031462728</v>
      </c>
      <c r="AG58" s="65">
        <f t="shared" si="29"/>
        <v>103.9923499154219</v>
      </c>
      <c r="AH58" s="65">
        <f t="shared" si="30"/>
        <v>103.9923499154219</v>
      </c>
      <c r="AI58" s="76">
        <f t="shared" si="31"/>
        <v>104.73135031462728</v>
      </c>
    </row>
    <row r="59" spans="1:35" ht="13.5" customHeight="1">
      <c r="A59" s="90"/>
      <c r="B59" s="2667" t="s">
        <v>1986</v>
      </c>
      <c r="C59" s="42"/>
      <c r="D59" s="73">
        <f>'Car and bus journey time'!T59</f>
        <v>115.33887743371247</v>
      </c>
      <c r="E59" s="73">
        <f>'Car and bus journey time'!U59</f>
        <v>104.51496996039333</v>
      </c>
      <c r="F59" s="73">
        <f>'Car and bus journey time'!V59</f>
        <v>102.40583214435391</v>
      </c>
      <c r="G59" s="73">
        <f>'Car and bus journey time'!W59</f>
        <v>104.42626993300996</v>
      </c>
      <c r="H59" s="73">
        <f>'Car and bus journey time'!Y59</f>
        <v>104.67789574811634</v>
      </c>
      <c r="I59" s="73">
        <f>'Car and bus journey time'!Z59</f>
        <v>104.50853610107266</v>
      </c>
      <c r="J59" s="73">
        <f>'Car and bus journey time'!AA59</f>
        <v>104.59244892462452</v>
      </c>
      <c r="K59" s="73">
        <f>'Car and bus journey time'!AB59</f>
        <v>103.82563462048392</v>
      </c>
      <c r="L59" s="672">
        <f t="shared" si="16"/>
        <v>102.40583214435391</v>
      </c>
      <c r="M59" s="65">
        <f t="shared" si="17"/>
        <v>104.51496996039333</v>
      </c>
      <c r="N59" s="65">
        <f t="shared" si="18"/>
        <v>104.59244892462452</v>
      </c>
      <c r="O59" s="65">
        <f t="shared" si="19"/>
        <v>102.40583214435391</v>
      </c>
      <c r="P59" s="65">
        <f t="shared" si="20"/>
        <v>104.59244892462452</v>
      </c>
      <c r="Q59" s="65">
        <f t="shared" si="21"/>
        <v>102.40583214435391</v>
      </c>
      <c r="R59" s="65">
        <f t="shared" si="22"/>
        <v>102.40583214435391</v>
      </c>
      <c r="S59" s="76">
        <f t="shared" si="23"/>
        <v>104.59244892462452</v>
      </c>
      <c r="T59" s="73">
        <f>'Car and bus journey time'!AC59</f>
        <v>125.89339450103738</v>
      </c>
      <c r="U59" s="73">
        <f>'Car and bus journey time'!AD59</f>
        <v>105.85383553920498</v>
      </c>
      <c r="V59" s="73">
        <f>'Car and bus journey time'!AE59</f>
        <v>104.12914611091348</v>
      </c>
      <c r="W59" s="73">
        <f>'Car and bus journey time'!AF59</f>
        <v>108.68933264095841</v>
      </c>
      <c r="X59" s="73">
        <f>'Car and bus journey time'!AH59</f>
        <v>105.79599640086231</v>
      </c>
      <c r="Y59" s="73">
        <f>'Car and bus journey time'!AI59</f>
        <v>104.12655630096059</v>
      </c>
      <c r="Z59" s="73">
        <f>'Car and bus journey time'!AJ59</f>
        <v>104.95175957750457</v>
      </c>
      <c r="AA59" s="73">
        <f>'Car and bus journey time'!AK59</f>
        <v>111.13545931867144</v>
      </c>
      <c r="AB59" s="672">
        <f t="shared" si="24"/>
        <v>104.12914611091348</v>
      </c>
      <c r="AC59" s="65">
        <f t="shared" si="25"/>
        <v>105.85383553920498</v>
      </c>
      <c r="AD59" s="65">
        <f t="shared" si="26"/>
        <v>104.95175957750457</v>
      </c>
      <c r="AE59" s="65">
        <f t="shared" si="27"/>
        <v>104.12914611091348</v>
      </c>
      <c r="AF59" s="65">
        <f t="shared" si="28"/>
        <v>104.95175957750457</v>
      </c>
      <c r="AG59" s="65">
        <f t="shared" si="29"/>
        <v>104.12914611091348</v>
      </c>
      <c r="AH59" s="65">
        <f t="shared" si="30"/>
        <v>104.12914611091348</v>
      </c>
      <c r="AI59" s="76">
        <f t="shared" si="31"/>
        <v>104.95175957750457</v>
      </c>
    </row>
    <row r="60" spans="1:35" ht="13.5" customHeight="1">
      <c r="A60" s="90"/>
      <c r="B60" s="2667" t="s">
        <v>1987</v>
      </c>
      <c r="C60" s="42"/>
      <c r="D60" s="73">
        <f>'Car and bus journey time'!T60</f>
        <v>115.68187227481823</v>
      </c>
      <c r="E60" s="73">
        <f>'Car and bus journey time'!U60</f>
        <v>104.76685938851089</v>
      </c>
      <c r="F60" s="73">
        <f>'Car and bus journey time'!V60</f>
        <v>102.56112656088585</v>
      </c>
      <c r="G60" s="73">
        <f>'Car and bus journey time'!W60</f>
        <v>104.68899682833586</v>
      </c>
      <c r="H60" s="73">
        <f>'Car and bus journey time'!Y60</f>
        <v>104.90165368718995</v>
      </c>
      <c r="I60" s="73">
        <f>'Car and bus journey time'!Z60</f>
        <v>104.76920880618765</v>
      </c>
      <c r="J60" s="73">
        <f>'Car and bus journey time'!AA60</f>
        <v>104.83483142718325</v>
      </c>
      <c r="K60" s="73">
        <f>'Car and bus journey time'!AB60</f>
        <v>103.99762751109773</v>
      </c>
      <c r="L60" s="672">
        <f t="shared" si="16"/>
        <v>102.56112656088585</v>
      </c>
      <c r="M60" s="65">
        <f t="shared" si="17"/>
        <v>104.76685938851089</v>
      </c>
      <c r="N60" s="65">
        <f t="shared" si="18"/>
        <v>104.83483142718325</v>
      </c>
      <c r="O60" s="65">
        <f t="shared" si="19"/>
        <v>102.56112656088585</v>
      </c>
      <c r="P60" s="65">
        <f t="shared" si="20"/>
        <v>104.83483142718325</v>
      </c>
      <c r="Q60" s="65">
        <f t="shared" si="21"/>
        <v>102.56112656088585</v>
      </c>
      <c r="R60" s="65">
        <f t="shared" si="22"/>
        <v>102.56112656088585</v>
      </c>
      <c r="S60" s="76">
        <f t="shared" si="23"/>
        <v>104.83483142718325</v>
      </c>
      <c r="T60" s="73">
        <f>'Car and bus journey time'!AC60</f>
        <v>126.45218631223365</v>
      </c>
      <c r="U60" s="73">
        <f>'Car and bus journey time'!AD60</f>
        <v>106.08990493783845</v>
      </c>
      <c r="V60" s="73">
        <f>'Car and bus journey time'!AE60</f>
        <v>104.26612225424854</v>
      </c>
      <c r="W60" s="73">
        <f>'Car and bus journey time'!AF60</f>
        <v>109.05325186034453</v>
      </c>
      <c r="X60" s="73">
        <f>'Car and bus journey time'!AH60</f>
        <v>106.02779491452274</v>
      </c>
      <c r="Y60" s="73">
        <f>'Car and bus journey time'!AI60</f>
        <v>104.33675682521199</v>
      </c>
      <c r="Z60" s="73">
        <f>'Car and bus journey time'!AJ60</f>
        <v>105.17263597543851</v>
      </c>
      <c r="AA60" s="73">
        <f>'Car and bus journey time'!AK60</f>
        <v>111.41483489587509</v>
      </c>
      <c r="AB60" s="672">
        <f t="shared" si="24"/>
        <v>104.26612225424854</v>
      </c>
      <c r="AC60" s="65">
        <f t="shared" si="25"/>
        <v>106.08990493783845</v>
      </c>
      <c r="AD60" s="65">
        <f t="shared" si="26"/>
        <v>105.17263597543851</v>
      </c>
      <c r="AE60" s="65">
        <f t="shared" si="27"/>
        <v>104.26612225424854</v>
      </c>
      <c r="AF60" s="65">
        <f t="shared" si="28"/>
        <v>105.17263597543851</v>
      </c>
      <c r="AG60" s="65">
        <f t="shared" si="29"/>
        <v>104.26612225424854</v>
      </c>
      <c r="AH60" s="65">
        <f t="shared" si="30"/>
        <v>104.26612225424854</v>
      </c>
      <c r="AI60" s="76">
        <f t="shared" si="31"/>
        <v>105.17263597543851</v>
      </c>
    </row>
    <row r="61" spans="1:35" ht="13.5" customHeight="1">
      <c r="A61" s="90"/>
      <c r="B61" s="2667" t="s">
        <v>1988</v>
      </c>
      <c r="C61" s="42"/>
      <c r="D61" s="73">
        <f>'Car and bus journey time'!T61</f>
        <v>116.02588711424244</v>
      </c>
      <c r="E61" s="73">
        <f>'Car and bus journey time'!U61</f>
        <v>105.01935589027565</v>
      </c>
      <c r="F61" s="73">
        <f>'Car and bus journey time'!V61</f>
        <v>102.7166564752923</v>
      </c>
      <c r="G61" s="73">
        <f>'Car and bus journey time'!W61</f>
        <v>104.95238472037813</v>
      </c>
      <c r="H61" s="73">
        <f>'Car and bus journey time'!Y61</f>
        <v>105.12590244720133</v>
      </c>
      <c r="I61" s="73">
        <f>'Car and bus journey time'!Z61</f>
        <v>105.03054069981221</v>
      </c>
      <c r="J61" s="73">
        <f>'Car and bus journey time'!AA61</f>
        <v>105.07778969697263</v>
      </c>
      <c r="K61" s="73">
        <f>'Car and bus journey time'!AB61</f>
        <v>104.16990531742169</v>
      </c>
      <c r="L61" s="672">
        <f t="shared" si="16"/>
        <v>102.7166564752923</v>
      </c>
      <c r="M61" s="65">
        <f t="shared" si="17"/>
        <v>105.01935589027565</v>
      </c>
      <c r="N61" s="65">
        <f t="shared" si="18"/>
        <v>105.07778969697263</v>
      </c>
      <c r="O61" s="65">
        <f t="shared" si="19"/>
        <v>102.7166564752923</v>
      </c>
      <c r="P61" s="65">
        <f t="shared" si="20"/>
        <v>105.07778969697263</v>
      </c>
      <c r="Q61" s="65">
        <f t="shared" si="21"/>
        <v>102.7166564752923</v>
      </c>
      <c r="R61" s="65">
        <f t="shared" si="22"/>
        <v>102.7166564752923</v>
      </c>
      <c r="S61" s="76">
        <f t="shared" si="23"/>
        <v>105.07778969697263</v>
      </c>
      <c r="T61" s="73">
        <f>'Car and bus journey time'!AC61</f>
        <v>127.01345838293439</v>
      </c>
      <c r="U61" s="73">
        <f>'Car and bus journey time'!AD61</f>
        <v>106.32650080545325</v>
      </c>
      <c r="V61" s="73">
        <f>'Car and bus journey time'!AE61</f>
        <v>104.40327858213847</v>
      </c>
      <c r="W61" s="73">
        <f>'Car and bus journey time'!AF61</f>
        <v>109.41838957279732</v>
      </c>
      <c r="X61" s="73">
        <f>'Car and bus journey time'!AH61</f>
        <v>106.26010421449436</v>
      </c>
      <c r="Y61" s="73">
        <f>'Car and bus journey time'!AI61</f>
        <v>104.54738378899523</v>
      </c>
      <c r="Z61" s="73">
        <f>'Car and bus journey time'!AJ61</f>
        <v>105.39398050546855</v>
      </c>
      <c r="AA61" s="73">
        <f>'Car and bus journey time'!AK61</f>
        <v>111.69491277559871</v>
      </c>
      <c r="AB61" s="672">
        <f t="shared" si="24"/>
        <v>104.40327858213847</v>
      </c>
      <c r="AC61" s="65">
        <f t="shared" si="25"/>
        <v>106.32650080545325</v>
      </c>
      <c r="AD61" s="65">
        <f t="shared" si="26"/>
        <v>105.39398050546855</v>
      </c>
      <c r="AE61" s="65">
        <f t="shared" si="27"/>
        <v>104.40327858213847</v>
      </c>
      <c r="AF61" s="65">
        <f t="shared" si="28"/>
        <v>105.39398050546855</v>
      </c>
      <c r="AG61" s="65">
        <f t="shared" si="29"/>
        <v>104.40327858213847</v>
      </c>
      <c r="AH61" s="65">
        <f t="shared" si="30"/>
        <v>104.40327858213847</v>
      </c>
      <c r="AI61" s="76">
        <f t="shared" si="31"/>
        <v>105.39398050546855</v>
      </c>
    </row>
    <row r="62" spans="1:35" ht="13.5" customHeight="1">
      <c r="A62" s="90"/>
      <c r="B62" s="2667" t="s">
        <v>1989</v>
      </c>
      <c r="C62" s="42"/>
      <c r="D62" s="73">
        <f>'Car and bus journey time'!T62</f>
        <v>116.36040575991338</v>
      </c>
      <c r="E62" s="73">
        <f>'Car and bus journey time'!U62</f>
        <v>105.26889087854241</v>
      </c>
      <c r="F62" s="73">
        <f>'Car and bus journey time'!V62</f>
        <v>102.87012273388814</v>
      </c>
      <c r="G62" s="73">
        <f>'Car and bus journey time'!W62</f>
        <v>105.21237602114067</v>
      </c>
      <c r="H62" s="73">
        <f>'Car and bus journey time'!Y62</f>
        <v>105.34638619521266</v>
      </c>
      <c r="I62" s="73">
        <f>'Car and bus journey time'!Z62</f>
        <v>105.28734682284966</v>
      </c>
      <c r="J62" s="73">
        <f>'Car and bus journey time'!AA62</f>
        <v>105.31659913012703</v>
      </c>
      <c r="K62" s="73">
        <f>'Car and bus journey time'!AB62</f>
        <v>104.34033685354377</v>
      </c>
      <c r="L62" s="672">
        <f t="shared" si="16"/>
        <v>102.87012273388814</v>
      </c>
      <c r="M62" s="65">
        <f t="shared" si="17"/>
        <v>105.26889087854241</v>
      </c>
      <c r="N62" s="65">
        <f t="shared" si="18"/>
        <v>105.31659913012703</v>
      </c>
      <c r="O62" s="65">
        <f t="shared" si="19"/>
        <v>102.87012273388814</v>
      </c>
      <c r="P62" s="65">
        <f t="shared" si="20"/>
        <v>105.31659913012703</v>
      </c>
      <c r="Q62" s="65">
        <f t="shared" si="21"/>
        <v>102.87012273388814</v>
      </c>
      <c r="R62" s="65">
        <f t="shared" si="22"/>
        <v>102.87012273388814</v>
      </c>
      <c r="S62" s="76">
        <f t="shared" si="23"/>
        <v>105.31659913012703</v>
      </c>
      <c r="T62" s="73">
        <f>'Car and bus journey time'!AC62</f>
        <v>127.54832180125848</v>
      </c>
      <c r="U62" s="73">
        <f>'Car and bus journey time'!AD62</f>
        <v>106.55971843936578</v>
      </c>
      <c r="V62" s="73">
        <f>'Car and bus journey time'!AE62</f>
        <v>104.53647737899152</v>
      </c>
      <c r="W62" s="73">
        <f>'Car and bus journey time'!AF62</f>
        <v>109.77574927451505</v>
      </c>
      <c r="X62" s="73">
        <f>'Car and bus journey time'!AH62</f>
        <v>106.48734897452212</v>
      </c>
      <c r="Y62" s="73">
        <f>'Car and bus journey time'!AI62</f>
        <v>104.75431191195239</v>
      </c>
      <c r="Z62" s="73">
        <f>'Car and bus journey time'!AJ62</f>
        <v>105.6109511303879</v>
      </c>
      <c r="AA62" s="73">
        <f>'Car and bus journey time'!AK62</f>
        <v>111.9657193902067</v>
      </c>
      <c r="AB62" s="672">
        <f t="shared" si="24"/>
        <v>104.53647737899152</v>
      </c>
      <c r="AC62" s="65">
        <f t="shared" si="25"/>
        <v>106.55971843936578</v>
      </c>
      <c r="AD62" s="65">
        <f t="shared" si="26"/>
        <v>105.6109511303879</v>
      </c>
      <c r="AE62" s="65">
        <f t="shared" si="27"/>
        <v>104.53647737899152</v>
      </c>
      <c r="AF62" s="65">
        <f t="shared" si="28"/>
        <v>105.6109511303879</v>
      </c>
      <c r="AG62" s="65">
        <f t="shared" si="29"/>
        <v>104.53647737899152</v>
      </c>
      <c r="AH62" s="65">
        <f t="shared" si="30"/>
        <v>104.53647737899152</v>
      </c>
      <c r="AI62" s="76">
        <f t="shared" si="31"/>
        <v>105.6109511303879</v>
      </c>
    </row>
    <row r="63" spans="1:35" ht="13.5" customHeight="1">
      <c r="A63" s="90"/>
      <c r="B63" s="2667" t="s">
        <v>1990</v>
      </c>
      <c r="C63" s="42"/>
      <c r="D63" s="73">
        <f>'Car and bus journey time'!T63</f>
        <v>116.66433404559999</v>
      </c>
      <c r="E63" s="73">
        <f>'Car and bus journey time'!U63</f>
        <v>105.50830899580752</v>
      </c>
      <c r="F63" s="73">
        <f>'Car and bus journey time'!V63</f>
        <v>103.01691990416823</v>
      </c>
      <c r="G63" s="73">
        <f>'Car and bus journey time'!W63</f>
        <v>105.46083409722118</v>
      </c>
      <c r="H63" s="73">
        <f>'Car and bus journey time'!Y63</f>
        <v>105.55457405322323</v>
      </c>
      <c r="I63" s="73">
        <f>'Car and bus journey time'!Z63</f>
        <v>105.52923029531524</v>
      </c>
      <c r="J63" s="73">
        <f>'Car and bus journey time'!AA63</f>
        <v>105.54178739685977</v>
      </c>
      <c r="K63" s="73">
        <f>'Car and bus journey time'!AB63</f>
        <v>104.50465238829192</v>
      </c>
      <c r="L63" s="672">
        <f t="shared" si="16"/>
        <v>103.01691990416823</v>
      </c>
      <c r="M63" s="65">
        <f t="shared" si="17"/>
        <v>105.50830899580752</v>
      </c>
      <c r="N63" s="65">
        <f t="shared" si="18"/>
        <v>105.54178739685977</v>
      </c>
      <c r="O63" s="65">
        <f t="shared" si="19"/>
        <v>103.01691990416823</v>
      </c>
      <c r="P63" s="65">
        <f t="shared" si="20"/>
        <v>105.54178739685977</v>
      </c>
      <c r="Q63" s="65">
        <f t="shared" si="21"/>
        <v>103.01691990416823</v>
      </c>
      <c r="R63" s="65">
        <f t="shared" si="22"/>
        <v>103.01691990416823</v>
      </c>
      <c r="S63" s="76">
        <f t="shared" si="23"/>
        <v>105.54178739685977</v>
      </c>
      <c r="T63" s="73">
        <f>'Car and bus journey time'!AC63</f>
        <v>127.9987574481066</v>
      </c>
      <c r="U63" s="73">
        <f>'Car and bus journey time'!AD63</f>
        <v>106.78173041434971</v>
      </c>
      <c r="V63" s="73">
        <f>'Car and bus journey time'!AE63</f>
        <v>104.65743274579008</v>
      </c>
      <c r="W63" s="73">
        <f>'Car and bus journey time'!AF63</f>
        <v>110.10727657338151</v>
      </c>
      <c r="X63" s="73">
        <f>'Car and bus journey time'!AH63</f>
        <v>106.69835376942179</v>
      </c>
      <c r="Y63" s="73">
        <f>'Car and bus journey time'!AI63</f>
        <v>104.94927348493562</v>
      </c>
      <c r="Z63" s="73">
        <f>'Car and bus journey time'!AJ63</f>
        <v>105.81384285869237</v>
      </c>
      <c r="AA63" s="73">
        <f>'Car and bus journey time'!AK63</f>
        <v>112.2072592476638</v>
      </c>
      <c r="AB63" s="672">
        <f t="shared" si="24"/>
        <v>104.65743274579008</v>
      </c>
      <c r="AC63" s="65">
        <f t="shared" si="25"/>
        <v>106.78173041434971</v>
      </c>
      <c r="AD63" s="65">
        <f t="shared" si="26"/>
        <v>105.81384285869237</v>
      </c>
      <c r="AE63" s="65">
        <f t="shared" si="27"/>
        <v>104.65743274579008</v>
      </c>
      <c r="AF63" s="65">
        <f t="shared" si="28"/>
        <v>105.81384285869237</v>
      </c>
      <c r="AG63" s="65">
        <f t="shared" si="29"/>
        <v>104.65743274579008</v>
      </c>
      <c r="AH63" s="65">
        <f t="shared" si="30"/>
        <v>104.65743274579008</v>
      </c>
      <c r="AI63" s="76">
        <f t="shared" si="31"/>
        <v>105.81384285869237</v>
      </c>
    </row>
    <row r="64" spans="1:35" ht="13.5" customHeight="1">
      <c r="A64" s="90"/>
      <c r="B64" s="2667" t="s">
        <v>1991</v>
      </c>
      <c r="C64" s="42"/>
      <c r="D64" s="73">
        <f>'Car and bus journey time'!T64</f>
        <v>116.96905617866314</v>
      </c>
      <c r="E64" s="73">
        <f>'Car and bus journey time'!U64</f>
        <v>105.74827163324755</v>
      </c>
      <c r="F64" s="73">
        <f>'Car and bus journey time'!V64</f>
        <v>103.16392655615816</v>
      </c>
      <c r="G64" s="73">
        <f>'Car and bus journey time'!W64</f>
        <v>105.70987890480519</v>
      </c>
      <c r="H64" s="73">
        <f>'Car and bus journey time'!Y64</f>
        <v>105.76318356365661</v>
      </c>
      <c r="I64" s="73">
        <f>'Car and bus journey time'!Z64</f>
        <v>105.77167680666952</v>
      </c>
      <c r="J64" s="73">
        <f>'Car and bus journey time'!AA64</f>
        <v>105.76746864956263</v>
      </c>
      <c r="K64" s="73">
        <f>'Car and bus journey time'!AB64</f>
        <v>104.6692266877304</v>
      </c>
      <c r="L64" s="672">
        <f t="shared" si="16"/>
        <v>103.16392655615816</v>
      </c>
      <c r="M64" s="65">
        <f t="shared" si="17"/>
        <v>105.74827163324755</v>
      </c>
      <c r="N64" s="65">
        <f t="shared" si="18"/>
        <v>105.76746864956263</v>
      </c>
      <c r="O64" s="65">
        <f t="shared" si="19"/>
        <v>103.16392655615816</v>
      </c>
      <c r="P64" s="65">
        <f t="shared" si="20"/>
        <v>105.76746864956263</v>
      </c>
      <c r="Q64" s="65">
        <f t="shared" si="21"/>
        <v>103.16392655615816</v>
      </c>
      <c r="R64" s="65">
        <f t="shared" si="22"/>
        <v>103.16392655615816</v>
      </c>
      <c r="S64" s="76">
        <f t="shared" si="23"/>
        <v>105.76746864956263</v>
      </c>
      <c r="T64" s="73">
        <f>'Car and bus journey time'!AC64</f>
        <v>128.4507838040216</v>
      </c>
      <c r="U64" s="73">
        <f>'Car and bus journey time'!AD64</f>
        <v>107.00420494045292</v>
      </c>
      <c r="V64" s="73">
        <f>'Car and bus journey time'!AE64</f>
        <v>104.77852806565696</v>
      </c>
      <c r="W64" s="73">
        <f>'Car and bus journey time'!AF64</f>
        <v>110.43980509838964</v>
      </c>
      <c r="X64" s="73">
        <f>'Car and bus journey time'!AH64</f>
        <v>106.90977810265142</v>
      </c>
      <c r="Y64" s="73">
        <f>'Car and bus journey time'!AI64</f>
        <v>105.14459894219645</v>
      </c>
      <c r="Z64" s="73">
        <f>'Car and bus journey time'!AJ64</f>
        <v>106.01712598104038</v>
      </c>
      <c r="AA64" s="73">
        <f>'Car and bus journey time'!AK64</f>
        <v>112.44932017088156</v>
      </c>
      <c r="AB64" s="672">
        <f t="shared" si="24"/>
        <v>104.77852806565696</v>
      </c>
      <c r="AC64" s="65">
        <f t="shared" si="25"/>
        <v>107.00420494045292</v>
      </c>
      <c r="AD64" s="65">
        <f t="shared" si="26"/>
        <v>106.01712598104038</v>
      </c>
      <c r="AE64" s="65">
        <f t="shared" si="27"/>
        <v>104.77852806565696</v>
      </c>
      <c r="AF64" s="65">
        <f t="shared" si="28"/>
        <v>106.01712598104038</v>
      </c>
      <c r="AG64" s="65">
        <f t="shared" si="29"/>
        <v>104.77852806565696</v>
      </c>
      <c r="AH64" s="65">
        <f t="shared" si="30"/>
        <v>104.77852806565696</v>
      </c>
      <c r="AI64" s="76">
        <f t="shared" si="31"/>
        <v>106.01712598104038</v>
      </c>
    </row>
    <row r="65" spans="1:35" ht="13.5" customHeight="1">
      <c r="A65" s="90"/>
      <c r="B65" s="2667" t="s">
        <v>1992</v>
      </c>
      <c r="C65" s="42"/>
      <c r="D65" s="73">
        <f>'Car and bus journey time'!T65</f>
        <v>117.27457423259733</v>
      </c>
      <c r="E65" s="73">
        <f>'Car and bus journey time'!U65</f>
        <v>105.98878002929099</v>
      </c>
      <c r="F65" s="73">
        <f>'Car and bus journey time'!V65</f>
        <v>103.31114298879143</v>
      </c>
      <c r="G65" s="73">
        <f>'Car and bus journey time'!W65</f>
        <v>105.95951182945385</v>
      </c>
      <c r="H65" s="73">
        <f>'Car and bus journey time'!Y65</f>
        <v>105.97221560262726</v>
      </c>
      <c r="I65" s="73">
        <f>'Car and bus journey time'!Z65</f>
        <v>106.01468768117974</v>
      </c>
      <c r="J65" s="73">
        <f>'Car and bus journey time'!AA65</f>
        <v>105.99364399045609</v>
      </c>
      <c r="K65" s="73">
        <f>'Car and bus journey time'!AB65</f>
        <v>104.83406015936283</v>
      </c>
      <c r="L65" s="672">
        <f t="shared" si="16"/>
        <v>103.31114298879143</v>
      </c>
      <c r="M65" s="65">
        <f t="shared" si="17"/>
        <v>105.98878002929099</v>
      </c>
      <c r="N65" s="65">
        <f t="shared" si="18"/>
        <v>105.99364399045609</v>
      </c>
      <c r="O65" s="65">
        <f t="shared" si="19"/>
        <v>103.31114298879143</v>
      </c>
      <c r="P65" s="65">
        <f t="shared" si="20"/>
        <v>105.99364399045609</v>
      </c>
      <c r="Q65" s="65">
        <f t="shared" si="21"/>
        <v>103.31114298879143</v>
      </c>
      <c r="R65" s="65">
        <f t="shared" si="22"/>
        <v>103.31114298879143</v>
      </c>
      <c r="S65" s="76">
        <f t="shared" si="23"/>
        <v>105.99364399045609</v>
      </c>
      <c r="T65" s="73">
        <f>'Car and bus journey time'!AC65</f>
        <v>128.90440648657687</v>
      </c>
      <c r="U65" s="73">
        <f>'Car and bus journey time'!AD65</f>
        <v>107.22714298137814</v>
      </c>
      <c r="V65" s="73">
        <f>'Car and bus journey time'!AE65</f>
        <v>104.89976350052667</v>
      </c>
      <c r="W65" s="73">
        <f>'Car and bus journey time'!AF65</f>
        <v>110.77333787328369</v>
      </c>
      <c r="X65" s="73">
        <f>'Car and bus journey time'!AH65</f>
        <v>107.12162281107204</v>
      </c>
      <c r="Y65" s="73">
        <f>'Car and bus journey time'!AI65</f>
        <v>105.34028896497966</v>
      </c>
      <c r="Z65" s="73">
        <f>'Car and bus journey time'!AJ65</f>
        <v>106.22080125559772</v>
      </c>
      <c r="AA65" s="73">
        <f>'Car and bus journey time'!AK65</f>
        <v>112.69190328393748</v>
      </c>
      <c r="AB65" s="672">
        <f t="shared" si="24"/>
        <v>104.89976350052667</v>
      </c>
      <c r="AC65" s="65">
        <f t="shared" si="25"/>
        <v>107.22714298137814</v>
      </c>
      <c r="AD65" s="65">
        <f t="shared" si="26"/>
        <v>106.22080125559772</v>
      </c>
      <c r="AE65" s="65">
        <f t="shared" si="27"/>
        <v>104.89976350052667</v>
      </c>
      <c r="AF65" s="65">
        <f t="shared" si="28"/>
        <v>106.22080125559772</v>
      </c>
      <c r="AG65" s="65">
        <f t="shared" si="29"/>
        <v>104.89976350052667</v>
      </c>
      <c r="AH65" s="65">
        <f t="shared" si="30"/>
        <v>104.89976350052667</v>
      </c>
      <c r="AI65" s="76">
        <f t="shared" si="31"/>
        <v>106.22080125559772</v>
      </c>
    </row>
    <row r="66" spans="1:35" ht="13.5" customHeight="1">
      <c r="A66" s="90"/>
      <c r="B66" s="2667" t="s">
        <v>1993</v>
      </c>
      <c r="C66" s="42"/>
      <c r="D66" s="73">
        <f>'Car and bus journey time'!T66</f>
        <v>117.58089028631311</v>
      </c>
      <c r="E66" s="73">
        <f>'Car and bus journey time'!U66</f>
        <v>106.22983542518301</v>
      </c>
      <c r="F66" s="73">
        <f>'Car and bus journey time'!V66</f>
        <v>103.45856950142804</v>
      </c>
      <c r="G66" s="73">
        <f>'Car and bus journey time'!W66</f>
        <v>106.20973426000032</v>
      </c>
      <c r="H66" s="73">
        <f>'Car and bus journey time'!Y66</f>
        <v>106.18167104811688</v>
      </c>
      <c r="I66" s="73">
        <f>'Car and bus journey time'!Z66</f>
        <v>106.25826424625295</v>
      </c>
      <c r="J66" s="73">
        <f>'Car and bus journey time'!AA66</f>
        <v>106.22031452426985</v>
      </c>
      <c r="K66" s="73">
        <f>'Car and bus journey time'!AB66</f>
        <v>104.99915321133449</v>
      </c>
      <c r="L66" s="672">
        <f t="shared" si="16"/>
        <v>103.45856950142804</v>
      </c>
      <c r="M66" s="65">
        <f t="shared" si="17"/>
        <v>106.22983542518301</v>
      </c>
      <c r="N66" s="65">
        <f t="shared" si="18"/>
        <v>106.22031452426985</v>
      </c>
      <c r="O66" s="65">
        <f t="shared" si="19"/>
        <v>103.45856950142804</v>
      </c>
      <c r="P66" s="65">
        <f t="shared" si="20"/>
        <v>106.22031452426985</v>
      </c>
      <c r="Q66" s="65">
        <f t="shared" si="21"/>
        <v>103.45856950142804</v>
      </c>
      <c r="R66" s="65">
        <f t="shared" si="22"/>
        <v>103.45856950142804</v>
      </c>
      <c r="S66" s="76">
        <f t="shared" si="23"/>
        <v>106.22031452426985</v>
      </c>
      <c r="T66" s="73">
        <f>'Car and bus journey time'!AC66</f>
        <v>129.35963113318439</v>
      </c>
      <c r="U66" s="73">
        <f>'Car and bus journey time'!AD66</f>
        <v>107.45054550283588</v>
      </c>
      <c r="V66" s="73">
        <f>'Car and bus journey time'!AE66</f>
        <v>105.02113921252136</v>
      </c>
      <c r="W66" s="73">
        <f>'Car and bus journey time'!AF66</f>
        <v>111.10787793093988</v>
      </c>
      <c r="X66" s="73">
        <f>'Car and bus journey time'!AH66</f>
        <v>107.3338887332193</v>
      </c>
      <c r="Y66" s="73">
        <f>'Car and bus journey time'!AI66</f>
        <v>105.53634423580964</v>
      </c>
      <c r="Z66" s="73">
        <f>'Car and bus journey time'!AJ66</f>
        <v>106.42486944200506</v>
      </c>
      <c r="AA66" s="73">
        <f>'Car and bus journey time'!AK66</f>
        <v>112.93500971333405</v>
      </c>
      <c r="AB66" s="672">
        <f t="shared" si="24"/>
        <v>105.02113921252136</v>
      </c>
      <c r="AC66" s="65">
        <f t="shared" si="25"/>
        <v>107.45054550283588</v>
      </c>
      <c r="AD66" s="65">
        <f t="shared" si="26"/>
        <v>106.42486944200506</v>
      </c>
      <c r="AE66" s="65">
        <f t="shared" si="27"/>
        <v>105.02113921252136</v>
      </c>
      <c r="AF66" s="65">
        <f t="shared" si="28"/>
        <v>106.42486944200506</v>
      </c>
      <c r="AG66" s="65">
        <f t="shared" si="29"/>
        <v>105.02113921252136</v>
      </c>
      <c r="AH66" s="65">
        <f t="shared" si="30"/>
        <v>105.02113921252136</v>
      </c>
      <c r="AI66" s="76">
        <f t="shared" si="31"/>
        <v>106.42486944200506</v>
      </c>
    </row>
    <row r="67" spans="1:35" ht="13.5" customHeight="1" thickBot="1">
      <c r="A67" s="92"/>
      <c r="B67" s="2711" t="s">
        <v>1994</v>
      </c>
      <c r="C67" s="94"/>
      <c r="D67" s="78">
        <f>'Car and bus journey time'!T67</f>
        <v>117.81107708023441</v>
      </c>
      <c r="E67" s="78">
        <f>'Car and bus journey time'!U67</f>
        <v>106.41093518405982</v>
      </c>
      <c r="F67" s="78">
        <f>'Car and bus journey time'!V67</f>
        <v>103.56925768233505</v>
      </c>
      <c r="G67" s="78">
        <f>'Car and bus journey time'!W67</f>
        <v>106.39773326692877</v>
      </c>
      <c r="H67" s="78">
        <f>'Car and bus journey time'!Y67</f>
        <v>106.33900116939124</v>
      </c>
      <c r="I67" s="78">
        <f>'Car and bus journey time'!Z67</f>
        <v>106.44126543199457</v>
      </c>
      <c r="J67" s="78">
        <f>'Car and bus journey time'!AA67</f>
        <v>106.39059643750097</v>
      </c>
      <c r="K67" s="77">
        <f>'Car and bus journey time'!AB67</f>
        <v>105.12311918664359</v>
      </c>
      <c r="L67" s="2552">
        <f t="shared" si="16"/>
        <v>103.56925768233505</v>
      </c>
      <c r="M67" s="1616">
        <f t="shared" si="17"/>
        <v>106.41093518405982</v>
      </c>
      <c r="N67" s="1616">
        <f t="shared" si="18"/>
        <v>106.39059643750097</v>
      </c>
      <c r="O67" s="1616">
        <f t="shared" si="19"/>
        <v>103.56925768233505</v>
      </c>
      <c r="P67" s="1616">
        <f t="shared" si="20"/>
        <v>106.39059643750097</v>
      </c>
      <c r="Q67" s="1616">
        <f t="shared" si="21"/>
        <v>103.56925768233505</v>
      </c>
      <c r="R67" s="1616">
        <f t="shared" si="22"/>
        <v>103.56925768233505</v>
      </c>
      <c r="S67" s="77">
        <f t="shared" si="23"/>
        <v>106.39059643750097</v>
      </c>
      <c r="T67" s="78">
        <f>'Car and bus journey time'!AC67</f>
        <v>129.70195310749614</v>
      </c>
      <c r="U67" s="78">
        <f>'Car and bus journey time'!AD67</f>
        <v>107.61835907227409</v>
      </c>
      <c r="V67" s="78">
        <f>'Car and bus journey time'!AE67</f>
        <v>105.11224997085469</v>
      </c>
      <c r="W67" s="78">
        <f>'Car and bus journey time'!AF67</f>
        <v>111.35935085312623</v>
      </c>
      <c r="X67" s="78">
        <f>'Car and bus journey time'!AH67</f>
        <v>107.49332546183869</v>
      </c>
      <c r="Y67" s="78">
        <f>'Car and bus journey time'!AI67</f>
        <v>105.68359142930382</v>
      </c>
      <c r="Z67" s="78">
        <f>'Car and bus journey time'!AJ67</f>
        <v>106.57814191566676</v>
      </c>
      <c r="AA67" s="78">
        <f>'Car and bus journey time'!AK67</f>
        <v>113.11763437683486</v>
      </c>
      <c r="AB67" s="2552">
        <f t="shared" si="24"/>
        <v>105.11224997085469</v>
      </c>
      <c r="AC67" s="1616">
        <f t="shared" si="25"/>
        <v>107.61835907227409</v>
      </c>
      <c r="AD67" s="1616">
        <f t="shared" si="26"/>
        <v>106.57814191566676</v>
      </c>
      <c r="AE67" s="1616">
        <f t="shared" si="27"/>
        <v>105.11224997085469</v>
      </c>
      <c r="AF67" s="1616">
        <f t="shared" si="28"/>
        <v>106.57814191566676</v>
      </c>
      <c r="AG67" s="1616">
        <f t="shared" si="29"/>
        <v>105.11224997085469</v>
      </c>
      <c r="AH67" s="1616">
        <f t="shared" si="30"/>
        <v>105.11224997085469</v>
      </c>
      <c r="AI67" s="77">
        <f t="shared" si="31"/>
        <v>106.57814191566676</v>
      </c>
    </row>
    <row r="68" spans="1:35" ht="13.5" customHeight="1" thickTop="1"/>
    <row r="69" spans="1:35" ht="13.5" customHeight="1"/>
    <row r="70" spans="1:35" ht="13.5" customHeight="1"/>
    <row r="71" spans="1:35" ht="13.5" customHeight="1"/>
    <row r="72" spans="1:35" ht="13.5" customHeight="1"/>
    <row r="73" spans="1:35" ht="13.5" customHeight="1"/>
    <row r="74" spans="1:35" ht="13.5" customHeight="1"/>
    <row r="75" spans="1:35" ht="13.5" customHeight="1"/>
    <row r="76" spans="1:35" ht="13.5" customHeight="1"/>
    <row r="77" spans="1:35" ht="13.5" customHeight="1"/>
    <row r="78" spans="1:35" ht="13.5" customHeight="1"/>
    <row r="79" spans="1:35" ht="13.5" customHeight="1"/>
    <row r="80" spans="1:35"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sheetData>
  <sheetProtection sheet="1" objects="1" scenarios="1"/>
  <mergeCells count="22">
    <mergeCell ref="A11:B11"/>
    <mergeCell ref="A1:B1"/>
    <mergeCell ref="A7:B7"/>
    <mergeCell ref="A8:B8"/>
    <mergeCell ref="A9:B9"/>
    <mergeCell ref="A10:B10"/>
    <mergeCell ref="D25:D26"/>
    <mergeCell ref="E25:E26"/>
    <mergeCell ref="F25:F26"/>
    <mergeCell ref="W25:W26"/>
    <mergeCell ref="J25:J26"/>
    <mergeCell ref="I25:I26"/>
    <mergeCell ref="G25:G26"/>
    <mergeCell ref="H25:H26"/>
    <mergeCell ref="AA25:AA26"/>
    <mergeCell ref="K25:K26"/>
    <mergeCell ref="T25:T26"/>
    <mergeCell ref="U25:U26"/>
    <mergeCell ref="V25:V26"/>
    <mergeCell ref="Y25:Y26"/>
    <mergeCell ref="Z25:Z26"/>
    <mergeCell ref="X25:X26"/>
  </mergeCells>
  <hyperlinks>
    <hyperlink ref="A10" location="Contents!A1" display="Contents"/>
    <hyperlink ref="A10:B10" location="Contents!A1" tooltip="Contents page" display="Contents"/>
    <hyperlink ref="A11:B11" r:id="rId1" tooltip="Unit M4: Forecasting &amp; Uncertainty" display="WebTAG Unit M 4"/>
  </hyperlinks>
  <pageMargins left="0.75" right="0.75" top="1" bottom="1" header="0.5" footer="0.5"/>
  <pageSetup paperSize="8" scale="79" fitToWidth="2" fitToHeight="0" orientation="landscape" r:id="rId2"/>
  <headerFooter alignWithMargins="0"/>
  <colBreaks count="1" manualBreakCount="1">
    <brk id="19" max="1048575" man="1"/>
  </colBreaks>
  <drawing r:id="rId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tabColor indexed="10"/>
  </sheetPr>
  <dimension ref="A1:AP191"/>
  <sheetViews>
    <sheetView showGridLines="0" zoomScale="85" zoomScaleNormal="85" workbookViewId="0">
      <selection activeCell="E23" sqref="E23:F23"/>
    </sheetView>
  </sheetViews>
  <sheetFormatPr defaultColWidth="12.88671875" defaultRowHeight="13.2"/>
  <cols>
    <col min="1" max="16384" width="12.88671875" style="33"/>
  </cols>
  <sheetData>
    <row r="1" spans="1:42" ht="54.9" customHeight="1">
      <c r="A1" s="3569"/>
      <c r="B1" s="3569"/>
      <c r="C1" s="112"/>
    </row>
    <row r="2" spans="1:42" ht="5.0999999999999996" customHeight="1">
      <c r="C2" s="111"/>
    </row>
    <row r="3" spans="1:42" s="20" customFormat="1" ht="20.100000000000001" customHeight="1">
      <c r="A3" s="83" t="s">
        <v>2342</v>
      </c>
      <c r="B3" s="83"/>
      <c r="C3" s="83"/>
      <c r="D3" s="83"/>
      <c r="E3" s="83"/>
      <c r="F3" s="83"/>
      <c r="G3" s="83"/>
      <c r="H3" s="83"/>
      <c r="I3" s="83"/>
      <c r="J3" s="83"/>
      <c r="K3" s="83"/>
      <c r="L3" s="83"/>
      <c r="M3" s="83"/>
      <c r="N3" s="83"/>
      <c r="O3" s="83"/>
      <c r="P3" s="83"/>
      <c r="Q3" s="83"/>
      <c r="R3" s="83"/>
      <c r="S3" s="83"/>
      <c r="W3" s="83"/>
      <c r="X3" s="83"/>
      <c r="Y3" s="83"/>
      <c r="Z3" s="83"/>
      <c r="AA3" s="83"/>
      <c r="AB3" s="83"/>
      <c r="AC3" s="46"/>
      <c r="AD3" s="83"/>
      <c r="AP3" s="150"/>
    </row>
    <row r="4" spans="1:42" s="20" customFormat="1" ht="20.100000000000001" customHeight="1" thickBot="1">
      <c r="A4" s="109" t="s">
        <v>1622</v>
      </c>
      <c r="B4" s="109"/>
      <c r="C4" s="109"/>
      <c r="D4" s="109"/>
      <c r="E4" s="109"/>
      <c r="F4" s="109"/>
      <c r="G4" s="109"/>
      <c r="H4" s="109"/>
      <c r="I4" s="109"/>
      <c r="J4" s="109"/>
      <c r="K4" s="109"/>
      <c r="L4" s="109"/>
      <c r="M4" s="109"/>
      <c r="N4" s="109"/>
      <c r="O4" s="109"/>
      <c r="P4" s="109"/>
      <c r="Q4" s="109"/>
      <c r="R4" s="109"/>
      <c r="S4" s="109"/>
      <c r="W4" s="83"/>
      <c r="X4" s="83"/>
      <c r="Y4" s="83"/>
      <c r="Z4" s="83"/>
      <c r="AA4" s="83"/>
      <c r="AB4" s="83"/>
      <c r="AC4" s="46"/>
      <c r="AD4" s="83"/>
      <c r="AP4" s="150"/>
    </row>
    <row r="5" spans="1:42"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26"/>
      <c r="AB5" s="26"/>
      <c r="AC5" s="31"/>
      <c r="AD5" s="26"/>
      <c r="AP5" s="87"/>
    </row>
    <row r="6" spans="1:42"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26"/>
      <c r="AB6" s="26"/>
      <c r="AC6" s="31"/>
      <c r="AD6" s="26"/>
      <c r="AP6" s="87"/>
    </row>
    <row r="7" spans="1:42"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26"/>
      <c r="AB7" s="26"/>
      <c r="AC7" s="31"/>
      <c r="AD7" s="26"/>
      <c r="AP7" s="87"/>
    </row>
    <row r="8" spans="1:42" s="38" customFormat="1" ht="13.5" customHeight="1">
      <c r="A8" s="3646">
        <f>Audit!C12</f>
        <v>43586</v>
      </c>
      <c r="B8" s="3645"/>
      <c r="E8" s="2560" t="s">
        <v>1634</v>
      </c>
      <c r="F8" s="24"/>
      <c r="G8" s="27"/>
      <c r="H8" s="27"/>
      <c r="I8" s="27"/>
      <c r="J8" s="27"/>
      <c r="K8" s="27"/>
      <c r="L8" s="27"/>
      <c r="M8" s="27"/>
      <c r="N8" s="27"/>
      <c r="O8" s="27"/>
      <c r="P8" s="27"/>
      <c r="Q8" s="27"/>
      <c r="R8" s="27"/>
      <c r="S8" s="55"/>
      <c r="W8" s="26"/>
      <c r="X8" s="26"/>
      <c r="Y8" s="26"/>
      <c r="Z8" s="26"/>
      <c r="AA8" s="26"/>
      <c r="AB8" s="26"/>
      <c r="AC8" s="31"/>
      <c r="AD8" s="26"/>
      <c r="AP8" s="87"/>
    </row>
    <row r="9" spans="1:42" s="38" customFormat="1" ht="13.5" customHeight="1" thickBot="1">
      <c r="A9" s="3642" t="s">
        <v>1149</v>
      </c>
      <c r="B9" s="3643"/>
      <c r="E9" s="2528" t="s">
        <v>1636</v>
      </c>
      <c r="I9" s="27"/>
      <c r="J9" s="27"/>
      <c r="K9" s="27"/>
      <c r="L9" s="27"/>
      <c r="M9" s="27"/>
      <c r="N9" s="27"/>
      <c r="O9" s="27"/>
      <c r="P9" s="27"/>
      <c r="Q9" s="27"/>
      <c r="R9" s="27"/>
      <c r="S9" s="55"/>
      <c r="W9" s="26"/>
      <c r="X9" s="26"/>
      <c r="Y9" s="26"/>
      <c r="Z9" s="26"/>
      <c r="AA9" s="26"/>
      <c r="AB9" s="26"/>
      <c r="AC9" s="31"/>
      <c r="AD9" s="26"/>
      <c r="AP9" s="87"/>
    </row>
    <row r="10" spans="1:42" s="38" customFormat="1" ht="13.5" customHeight="1" thickBot="1">
      <c r="A10" s="3611" t="s">
        <v>1306</v>
      </c>
      <c r="B10" s="3612"/>
      <c r="E10" s="113"/>
      <c r="I10" s="26"/>
      <c r="J10" s="26"/>
      <c r="K10" s="26"/>
      <c r="L10" s="26"/>
      <c r="M10" s="26"/>
      <c r="N10" s="26"/>
      <c r="O10" s="26"/>
      <c r="P10" s="26"/>
      <c r="Q10" s="26"/>
      <c r="R10" s="26"/>
      <c r="S10" s="147"/>
      <c r="W10" s="26"/>
      <c r="X10" s="26"/>
      <c r="Y10" s="26"/>
      <c r="Z10" s="26"/>
      <c r="AA10" s="26"/>
      <c r="AB10" s="26"/>
      <c r="AC10" s="31"/>
      <c r="AD10" s="26"/>
      <c r="AP10" s="87"/>
    </row>
    <row r="11" spans="1:42" s="38" customFormat="1" ht="13.5" customHeight="1" thickBot="1">
      <c r="A11" s="3570" t="s">
        <v>2211</v>
      </c>
      <c r="B11" s="3581"/>
      <c r="E11" s="113" t="s">
        <v>1207</v>
      </c>
      <c r="I11" s="68"/>
      <c r="J11" s="68"/>
      <c r="K11" s="68"/>
      <c r="L11" s="68"/>
      <c r="M11" s="68"/>
      <c r="N11" s="68"/>
      <c r="O11" s="68"/>
      <c r="P11" s="68"/>
      <c r="Q11" s="68"/>
      <c r="R11" s="68"/>
      <c r="S11" s="107"/>
      <c r="W11" s="26"/>
      <c r="X11" s="26"/>
      <c r="Y11" s="26"/>
      <c r="Z11" s="26"/>
      <c r="AA11" s="26"/>
      <c r="AB11" s="26"/>
      <c r="AC11" s="31"/>
      <c r="AD11" s="26"/>
      <c r="AP11" s="87"/>
    </row>
    <row r="12" spans="1:42" s="38" customFormat="1" ht="13.5" customHeight="1">
      <c r="A12" s="15"/>
      <c r="B12" s="15"/>
      <c r="E12" s="113" t="s">
        <v>1505</v>
      </c>
      <c r="I12" s="68"/>
      <c r="J12" s="68"/>
      <c r="K12" s="68"/>
      <c r="L12" s="68"/>
      <c r="M12" s="68"/>
      <c r="N12" s="68"/>
      <c r="O12" s="68"/>
      <c r="P12" s="68"/>
      <c r="Q12" s="68"/>
      <c r="R12" s="68"/>
      <c r="S12" s="107"/>
      <c r="W12" s="26"/>
      <c r="X12" s="26"/>
      <c r="Y12" s="26"/>
      <c r="Z12" s="26"/>
      <c r="AA12" s="26"/>
      <c r="AB12" s="26"/>
      <c r="AC12" s="31"/>
      <c r="AD12" s="26"/>
      <c r="AP12" s="87"/>
    </row>
    <row r="13" spans="1:42" s="38" customFormat="1" ht="13.5" customHeight="1">
      <c r="A13" s="172" t="s">
        <v>252</v>
      </c>
      <c r="B13" s="179"/>
      <c r="E13" s="113" t="s">
        <v>1506</v>
      </c>
      <c r="I13" s="27"/>
      <c r="J13" s="26"/>
      <c r="K13" s="26"/>
      <c r="L13" s="26"/>
      <c r="M13" s="27"/>
      <c r="N13" s="24" t="s">
        <v>1675</v>
      </c>
      <c r="O13" s="27"/>
      <c r="P13" s="27"/>
      <c r="Q13" s="27"/>
      <c r="R13" s="27"/>
      <c r="S13" s="55"/>
      <c r="W13" s="26"/>
      <c r="X13" s="26"/>
      <c r="Y13" s="26"/>
      <c r="Z13" s="26"/>
      <c r="AA13" s="26"/>
      <c r="AB13" s="26"/>
      <c r="AC13" s="31"/>
      <c r="AD13" s="26"/>
      <c r="AP13" s="87"/>
    </row>
    <row r="14" spans="1:42" ht="13.5" customHeight="1">
      <c r="A14" s="38" t="s">
        <v>12</v>
      </c>
      <c r="B14" s="3312">
        <f>'User Parameters'!L16</f>
        <v>2010</v>
      </c>
      <c r="C14" s="82"/>
      <c r="E14" s="2554" t="s">
        <v>1532</v>
      </c>
      <c r="I14" s="27"/>
      <c r="J14" s="27"/>
      <c r="K14" s="27"/>
      <c r="L14" s="27"/>
      <c r="M14" s="27"/>
      <c r="O14" s="2557" t="s">
        <v>1676</v>
      </c>
      <c r="P14" s="27"/>
      <c r="Q14" s="27"/>
      <c r="R14" s="27"/>
      <c r="S14" s="55"/>
      <c r="W14" s="72"/>
      <c r="X14" s="72"/>
      <c r="Y14" s="72"/>
      <c r="Z14" s="72"/>
      <c r="AA14" s="72"/>
      <c r="AB14" s="96"/>
      <c r="AC14" s="31"/>
      <c r="AD14" s="26"/>
    </row>
    <row r="15" spans="1:42" ht="15" customHeight="1">
      <c r="A15" s="95"/>
      <c r="B15" s="32"/>
      <c r="C15" s="7"/>
      <c r="E15" s="113"/>
      <c r="I15" s="27"/>
      <c r="J15" s="27"/>
      <c r="K15" s="27"/>
      <c r="L15" s="27"/>
      <c r="M15" s="27"/>
      <c r="N15" s="2694"/>
      <c r="O15" s="2555" t="s">
        <v>1679</v>
      </c>
      <c r="P15" s="2555" t="s">
        <v>1679</v>
      </c>
      <c r="Q15" s="2555" t="s">
        <v>1679</v>
      </c>
      <c r="R15" s="27"/>
      <c r="S15" s="55"/>
      <c r="U15" s="25"/>
      <c r="W15" s="56"/>
      <c r="X15" s="72"/>
      <c r="Y15" s="72"/>
      <c r="Z15" s="72"/>
      <c r="AA15" s="72"/>
      <c r="AB15" s="96"/>
      <c r="AC15" s="31"/>
      <c r="AD15" s="26"/>
    </row>
    <row r="16" spans="1:42" ht="13.5" customHeight="1">
      <c r="B16" s="27"/>
      <c r="C16" s="7"/>
      <c r="E16" s="113"/>
      <c r="I16" s="26"/>
      <c r="J16" s="26"/>
      <c r="K16" s="26"/>
      <c r="L16" s="26"/>
      <c r="M16" s="26"/>
      <c r="N16" s="2694" t="s">
        <v>1677</v>
      </c>
      <c r="O16" s="2557" t="s">
        <v>1672</v>
      </c>
      <c r="P16" s="2557" t="s">
        <v>1673</v>
      </c>
      <c r="Q16" s="2557" t="s">
        <v>1674</v>
      </c>
      <c r="R16" s="26"/>
      <c r="S16" s="147"/>
      <c r="U16" s="25"/>
      <c r="W16" s="26"/>
      <c r="X16" s="26"/>
      <c r="Y16" s="26"/>
      <c r="Z16" s="26"/>
      <c r="AA16" s="26"/>
      <c r="AB16" s="26"/>
      <c r="AC16" s="26"/>
      <c r="AD16" s="26"/>
    </row>
    <row r="17" spans="1:41" ht="13.5" customHeight="1">
      <c r="A17" s="169" t="s">
        <v>253</v>
      </c>
      <c r="B17" s="170"/>
      <c r="C17" s="82"/>
      <c r="E17" s="113"/>
      <c r="I17" s="27"/>
      <c r="J17" s="27"/>
      <c r="K17" s="27"/>
      <c r="L17" s="27"/>
      <c r="M17" s="27"/>
      <c r="N17" s="2694" t="s">
        <v>1678</v>
      </c>
      <c r="O17" s="2695">
        <v>0.51</v>
      </c>
      <c r="P17" s="2695">
        <v>0.9</v>
      </c>
      <c r="Q17" s="2695">
        <v>0.74</v>
      </c>
      <c r="R17" s="27"/>
      <c r="S17" s="55"/>
      <c r="U17" s="25"/>
    </row>
    <row r="18" spans="1:41" ht="13.5" customHeight="1">
      <c r="C18" s="38"/>
      <c r="E18" s="149"/>
      <c r="I18" s="27"/>
      <c r="J18" s="27"/>
      <c r="K18" s="27"/>
      <c r="L18" s="27"/>
      <c r="M18" s="27"/>
      <c r="N18" s="2694" t="s">
        <v>6</v>
      </c>
      <c r="O18" s="2695">
        <v>0.49</v>
      </c>
      <c r="P18" s="2695">
        <v>0.1</v>
      </c>
      <c r="Q18" s="2695">
        <v>0.26</v>
      </c>
      <c r="R18" s="27"/>
      <c r="S18" s="55"/>
      <c r="U18" s="25"/>
    </row>
    <row r="19" spans="1:41" ht="13.5" customHeight="1">
      <c r="E19" s="161"/>
      <c r="F19" s="29"/>
      <c r="G19" s="32"/>
      <c r="H19" s="26"/>
      <c r="I19" s="31"/>
      <c r="J19" s="26"/>
      <c r="K19" s="72"/>
      <c r="L19" s="72"/>
      <c r="M19" s="72"/>
      <c r="N19" s="2694" t="s">
        <v>1133</v>
      </c>
      <c r="O19" s="2695">
        <v>1</v>
      </c>
      <c r="P19" s="2695">
        <v>1</v>
      </c>
      <c r="Q19" s="2695">
        <v>1</v>
      </c>
      <c r="R19" s="26"/>
      <c r="S19" s="147"/>
      <c r="U19" s="25"/>
    </row>
    <row r="20" spans="1:41" ht="13.5" customHeight="1" thickBot="1">
      <c r="E20" s="2668" t="s">
        <v>1663</v>
      </c>
      <c r="F20" s="163"/>
      <c r="G20" s="164"/>
      <c r="H20" s="13"/>
      <c r="I20" s="165"/>
      <c r="J20" s="13"/>
      <c r="K20" s="166"/>
      <c r="L20" s="166"/>
      <c r="M20" s="166"/>
      <c r="N20" s="93"/>
      <c r="O20" s="165"/>
      <c r="P20" s="165"/>
      <c r="Q20" s="13"/>
      <c r="R20" s="13"/>
      <c r="S20" s="168"/>
      <c r="U20" s="25"/>
    </row>
    <row r="21" spans="1:41" ht="13.5" customHeight="1" thickTop="1">
      <c r="E21" s="95"/>
      <c r="F21" s="29"/>
      <c r="G21" s="32"/>
      <c r="H21" s="26"/>
      <c r="I21" s="31"/>
      <c r="J21" s="26"/>
      <c r="K21" s="72"/>
      <c r="L21" s="72"/>
      <c r="M21" s="72"/>
      <c r="N21" s="72"/>
      <c r="O21" s="96"/>
      <c r="P21" s="31"/>
      <c r="Q21" s="26"/>
      <c r="R21" s="26"/>
      <c r="S21" s="26"/>
      <c r="U21" s="25"/>
    </row>
    <row r="22" spans="1:41" ht="13.5" customHeight="1" thickBot="1">
      <c r="B22" s="27"/>
      <c r="C22" s="27"/>
      <c r="D22" s="69"/>
      <c r="E22" s="37"/>
      <c r="F22" s="37"/>
      <c r="G22" s="37"/>
      <c r="H22" s="37"/>
      <c r="I22" s="37"/>
      <c r="J22" s="37"/>
      <c r="K22" s="37"/>
      <c r="L22" s="37"/>
      <c r="M22" s="37"/>
      <c r="N22" s="37"/>
      <c r="O22" s="37"/>
      <c r="P22" s="37"/>
      <c r="Q22" s="37"/>
      <c r="R22" s="37"/>
      <c r="S22" s="37"/>
    </row>
    <row r="23" spans="1:41" ht="13.5" customHeight="1" thickTop="1" thickBot="1">
      <c r="A23" s="2684" t="s">
        <v>1658</v>
      </c>
      <c r="B23" s="88"/>
      <c r="C23" s="88"/>
      <c r="D23" s="125" t="s">
        <v>1623</v>
      </c>
      <c r="E23" s="151"/>
      <c r="F23" s="151"/>
      <c r="G23" s="151"/>
      <c r="H23" s="151"/>
      <c r="I23" s="151"/>
      <c r="J23" s="152"/>
      <c r="K23" s="125" t="s">
        <v>1629</v>
      </c>
      <c r="L23" s="151"/>
      <c r="M23" s="151"/>
      <c r="N23" s="151"/>
      <c r="O23" s="151"/>
      <c r="P23" s="151"/>
      <c r="Q23" s="152"/>
      <c r="R23" s="151"/>
      <c r="S23" s="152"/>
      <c r="T23" s="125" t="s">
        <v>1623</v>
      </c>
      <c r="U23" s="151"/>
      <c r="V23" s="151"/>
      <c r="W23" s="151"/>
      <c r="X23" s="151"/>
      <c r="Y23" s="151"/>
      <c r="Z23" s="151"/>
      <c r="AA23" s="151"/>
      <c r="AB23" s="152"/>
      <c r="AC23" s="125" t="s">
        <v>1629</v>
      </c>
      <c r="AD23" s="151"/>
      <c r="AE23" s="151"/>
      <c r="AF23" s="151"/>
      <c r="AG23" s="151"/>
      <c r="AH23" s="151"/>
      <c r="AI23" s="151"/>
      <c r="AJ23" s="151"/>
      <c r="AK23" s="152"/>
    </row>
    <row r="24" spans="1:41" ht="13.5" customHeight="1" thickTop="1">
      <c r="A24" s="99"/>
      <c r="B24" s="1152" t="s">
        <v>1450</v>
      </c>
      <c r="C24" s="100"/>
      <c r="D24" s="2652"/>
      <c r="E24" s="1152"/>
      <c r="F24" s="1152"/>
      <c r="G24" s="1152" t="s">
        <v>1625</v>
      </c>
      <c r="H24" s="1152"/>
      <c r="I24" s="1152"/>
      <c r="J24" s="812"/>
      <c r="K24" s="2652"/>
      <c r="L24" s="1152"/>
      <c r="M24" s="1152"/>
      <c r="N24" s="1152" t="s">
        <v>1625</v>
      </c>
      <c r="O24" s="1152"/>
      <c r="P24" s="1152"/>
      <c r="Q24" s="812"/>
      <c r="R24" s="416" t="s">
        <v>1630</v>
      </c>
      <c r="S24" s="1068"/>
      <c r="T24" s="2652"/>
      <c r="U24" s="1152"/>
      <c r="V24" s="1152"/>
      <c r="W24" s="1152" t="s">
        <v>1625</v>
      </c>
      <c r="X24" s="1152"/>
      <c r="Y24" s="1152"/>
      <c r="Z24" s="1152"/>
      <c r="AA24" s="1152"/>
      <c r="AB24" s="812"/>
      <c r="AC24" s="2652"/>
      <c r="AD24" s="1152"/>
      <c r="AE24" s="1152"/>
      <c r="AF24" s="1152" t="s">
        <v>1625</v>
      </c>
      <c r="AG24" s="1152"/>
      <c r="AH24" s="1152"/>
      <c r="AI24" s="1152"/>
      <c r="AJ24" s="1152"/>
      <c r="AK24" s="812"/>
    </row>
    <row r="25" spans="1:41" s="27" customFormat="1" ht="13.5" customHeight="1">
      <c r="A25" s="104"/>
      <c r="B25" s="105"/>
      <c r="C25" s="105"/>
      <c r="D25" s="2651" t="s">
        <v>919</v>
      </c>
      <c r="E25" s="917" t="s">
        <v>1624</v>
      </c>
      <c r="F25" s="917" t="s">
        <v>4</v>
      </c>
      <c r="G25" s="917" t="s">
        <v>1626</v>
      </c>
      <c r="H25" s="917" t="s">
        <v>1627</v>
      </c>
      <c r="I25" s="917" t="s">
        <v>6</v>
      </c>
      <c r="J25" s="2653" t="s">
        <v>72</v>
      </c>
      <c r="K25" s="2651" t="s">
        <v>919</v>
      </c>
      <c r="L25" s="917" t="s">
        <v>1624</v>
      </c>
      <c r="M25" s="917" t="s">
        <v>4</v>
      </c>
      <c r="N25" s="917" t="s">
        <v>1626</v>
      </c>
      <c r="O25" s="917" t="s">
        <v>1627</v>
      </c>
      <c r="P25" s="917" t="s">
        <v>6</v>
      </c>
      <c r="Q25" s="2653" t="s">
        <v>72</v>
      </c>
      <c r="R25" s="154"/>
      <c r="S25" s="156"/>
      <c r="T25" s="2651" t="s">
        <v>919</v>
      </c>
      <c r="U25" s="917" t="s">
        <v>1624</v>
      </c>
      <c r="V25" s="917" t="s">
        <v>4</v>
      </c>
      <c r="W25" s="917" t="s">
        <v>1626</v>
      </c>
      <c r="X25" s="917" t="s">
        <v>1828</v>
      </c>
      <c r="Y25" s="917" t="s">
        <v>1627</v>
      </c>
      <c r="Z25" s="917" t="s">
        <v>1627</v>
      </c>
      <c r="AA25" s="917" t="s">
        <v>1627</v>
      </c>
      <c r="AB25" s="2653" t="s">
        <v>72</v>
      </c>
      <c r="AC25" s="2651" t="s">
        <v>919</v>
      </c>
      <c r="AD25" s="917" t="s">
        <v>1624</v>
      </c>
      <c r="AE25" s="917" t="s">
        <v>4</v>
      </c>
      <c r="AF25" s="917" t="s">
        <v>1626</v>
      </c>
      <c r="AG25" s="917" t="s">
        <v>1828</v>
      </c>
      <c r="AH25" s="917" t="s">
        <v>1627</v>
      </c>
      <c r="AI25" s="917" t="s">
        <v>1627</v>
      </c>
      <c r="AJ25" s="917" t="s">
        <v>1627</v>
      </c>
      <c r="AK25" s="2653" t="s">
        <v>72</v>
      </c>
    </row>
    <row r="26" spans="1:41" s="27" customFormat="1" ht="13.5" customHeight="1" thickBot="1">
      <c r="A26" s="464"/>
      <c r="B26" s="659"/>
      <c r="C26" s="659"/>
      <c r="D26" s="3207"/>
      <c r="E26" s="3208" t="s">
        <v>919</v>
      </c>
      <c r="F26" s="3208"/>
      <c r="G26" s="3208" t="s">
        <v>919</v>
      </c>
      <c r="H26" s="3208" t="s">
        <v>1628</v>
      </c>
      <c r="I26" s="3208"/>
      <c r="J26" s="3209"/>
      <c r="K26" s="3207"/>
      <c r="L26" s="3208" t="s">
        <v>919</v>
      </c>
      <c r="M26" s="3208"/>
      <c r="N26" s="3208" t="s">
        <v>919</v>
      </c>
      <c r="O26" s="3208" t="s">
        <v>1628</v>
      </c>
      <c r="P26" s="3208"/>
      <c r="Q26" s="3209"/>
      <c r="R26" s="3210"/>
      <c r="S26" s="3211"/>
      <c r="T26" s="3207"/>
      <c r="U26" s="3208" t="s">
        <v>919</v>
      </c>
      <c r="V26" s="3208"/>
      <c r="W26" s="3208" t="s">
        <v>919</v>
      </c>
      <c r="X26" s="3208" t="s">
        <v>1829</v>
      </c>
      <c r="Y26" s="3208" t="s">
        <v>1672</v>
      </c>
      <c r="Z26" s="3208" t="s">
        <v>1673</v>
      </c>
      <c r="AA26" s="3208" t="s">
        <v>1674</v>
      </c>
      <c r="AB26" s="3209"/>
      <c r="AC26" s="3207"/>
      <c r="AD26" s="3208" t="s">
        <v>919</v>
      </c>
      <c r="AE26" s="3208"/>
      <c r="AF26" s="3208" t="s">
        <v>919</v>
      </c>
      <c r="AG26" s="3208" t="s">
        <v>1829</v>
      </c>
      <c r="AH26" s="3208" t="s">
        <v>1672</v>
      </c>
      <c r="AI26" s="3208" t="s">
        <v>1673</v>
      </c>
      <c r="AJ26" s="3208" t="s">
        <v>1674</v>
      </c>
      <c r="AK26" s="3209"/>
      <c r="AL26" s="68"/>
      <c r="AM26" s="68"/>
      <c r="AN26" s="68"/>
      <c r="AO26" s="68"/>
    </row>
    <row r="27" spans="1:41" ht="13.5" customHeight="1" thickTop="1">
      <c r="A27" s="90"/>
      <c r="B27" s="714">
        <v>2010</v>
      </c>
      <c r="C27" s="2647"/>
      <c r="D27" s="2648">
        <v>118.32761670075931</v>
      </c>
      <c r="E27" s="2649">
        <v>44.98845917043257</v>
      </c>
      <c r="F27" s="2649">
        <v>57.648695634014331</v>
      </c>
      <c r="G27" s="2649">
        <v>50.711588646488877</v>
      </c>
      <c r="H27" s="2649">
        <v>39.355910262696611</v>
      </c>
      <c r="I27" s="2649">
        <v>85.79284871754875</v>
      </c>
      <c r="J27" s="2650">
        <v>66.357889338066258</v>
      </c>
      <c r="K27" s="2648">
        <v>118.99327293521768</v>
      </c>
      <c r="L27" s="2649">
        <v>50.314401198050561</v>
      </c>
      <c r="M27" s="2649">
        <v>65.702777971104695</v>
      </c>
      <c r="N27" s="2649">
        <v>59.074345416063444</v>
      </c>
      <c r="O27" s="2649">
        <v>43.342952098770489</v>
      </c>
      <c r="P27" s="2649">
        <v>93.551426196783709</v>
      </c>
      <c r="Q27" s="2650">
        <v>79.885231833927676</v>
      </c>
      <c r="S27" s="75" t="s">
        <v>7</v>
      </c>
      <c r="T27" s="2660">
        <f t="shared" ref="T27:T58" si="0">(D27*0.75+D28*0.25)/(D$27*0.75+D$28*0.25)*100</f>
        <v>100</v>
      </c>
      <c r="U27" s="2661">
        <f t="shared" ref="U27:U58" si="1">(E27*0.75+E28*0.25)/(E$27*0.75+E$28*0.25)*100</f>
        <v>100</v>
      </c>
      <c r="V27" s="2661">
        <f t="shared" ref="V27:V58" si="2">(F27*0.75+F28*0.25)/(F$27*0.75+F$28*0.25)*100</f>
        <v>100</v>
      </c>
      <c r="W27" s="2661">
        <f t="shared" ref="W27:W58" si="3">(G27*0.75+G28*0.25)/(G$27*0.75+G$28*0.25)*100</f>
        <v>100</v>
      </c>
      <c r="X27" s="2661">
        <f t="shared" ref="X27:X58" si="4">($I27*0.75+$I28*0.25)/($I$27*0.75+$I$28*0.25)*100</f>
        <v>100</v>
      </c>
      <c r="Y27" s="2661">
        <f t="shared" ref="Y27:Y58" si="5">(($H27*0.75+$H28*0.25)*O$17+($I27*0.75+$I28*0.25)*O$18)/(($H$27*0.75+$H$28*0.25)*O$17+($I$27*0.75+$I$28*0.25)*O$18)*100</f>
        <v>100</v>
      </c>
      <c r="Z27" s="2661">
        <f t="shared" ref="Z27:Z58" si="6">(($H27*0.75+$H28*0.25)*P$17+($I27*0.75+$I28*0.25)*P$18)/(($H$27*0.75+$H$28*0.25)*P$17+($I$27*0.75+$I$28*0.25)*P$18)*100</f>
        <v>100</v>
      </c>
      <c r="AA27" s="2661">
        <f t="shared" ref="AA27:AA58" si="7">(($H27*0.75+$H28*0.25)*Q$17+($I27*0.75+$I28*0.25)*Q$18)/(($H$27*0.75+$H$28*0.25)*Q$17+($I$27*0.75+$I$28*0.25)*Q$18)*100</f>
        <v>100</v>
      </c>
      <c r="AB27" s="2662">
        <f t="shared" ref="AB27:AB58" si="8">(J27*0.75+J28*0.25)/(J$27*0.75+J$28*0.25)*100</f>
        <v>100</v>
      </c>
      <c r="AC27" s="2660">
        <f t="shared" ref="AC27:AC58" si="9">(K27*0.75+K28*0.25)/(K$27*0.75+K$28*0.25)*100</f>
        <v>100</v>
      </c>
      <c r="AD27" s="2661">
        <f t="shared" ref="AD27:AD58" si="10">(L27*0.75+L28*0.25)/(L$27*0.75+L$28*0.25)*100</f>
        <v>100</v>
      </c>
      <c r="AE27" s="2661">
        <f t="shared" ref="AE27:AE58" si="11">(M27*0.75+M28*0.25)/(M$27*0.75+M$28*0.25)*100</f>
        <v>100</v>
      </c>
      <c r="AF27" s="2661">
        <f t="shared" ref="AF27:AF58" si="12">(N27*0.75+N28*0.25)/(N$27*0.75+N$28*0.25)*100</f>
        <v>100</v>
      </c>
      <c r="AG27" s="2661">
        <f t="shared" ref="AG27:AG58" si="13">($P27*0.75+$P28*0.25)/($P$27*0.75+$P$28*0.25)*100</f>
        <v>100</v>
      </c>
      <c r="AH27" s="2661">
        <f t="shared" ref="AH27:AH58" si="14">(($O27*0.75+$O28*0.25)*O$17+($P27*0.75+$P28*0.25)*O$18)/(($O$27*0.75+$O$28*0.25)*O$17+($P$27*0.75+$P$28*0.25)*O$18)*100</f>
        <v>100</v>
      </c>
      <c r="AI27" s="2661">
        <f t="shared" ref="AI27:AI58" si="15">(($O27*0.75+$O28*0.25)*P$17+($P27*0.75+$P28*0.25)*P$18)/(($O$27*0.75+$O$28*0.25)*P$17+($P$27*0.75+$P$28*0.25)*P$18)*100</f>
        <v>100</v>
      </c>
      <c r="AJ27" s="2661">
        <f t="shared" ref="AJ27:AJ58" si="16">(($O27*0.75+$O28*0.25)*Q$17+($P27*0.75+$P28*0.25)*Q$18)/(($O$27*0.75+$O$28*0.25)*Q$17+($P$27*0.75+$P$28*0.25)*Q$18)*100</f>
        <v>100</v>
      </c>
      <c r="AK27" s="2662">
        <f t="shared" ref="AK27:AK58" si="17">(Q27*0.75+Q28*0.25)/(Q$27*0.75+Q$28*0.25)*100</f>
        <v>100</v>
      </c>
    </row>
    <row r="28" spans="1:41" ht="13.5" customHeight="1">
      <c r="A28" s="90"/>
      <c r="B28" s="2547">
        <v>2011</v>
      </c>
      <c r="C28" s="2647"/>
      <c r="D28" s="117">
        <f t="shared" ref="D28:Q31" si="18">D27*(D$32/D$27)^(1/5)</f>
        <v>118.99250130129157</v>
      </c>
      <c r="E28" s="73">
        <f t="shared" si="18"/>
        <v>45.0586196970985</v>
      </c>
      <c r="F28" s="73">
        <f t="shared" si="18"/>
        <v>57.687919226309745</v>
      </c>
      <c r="G28" s="73">
        <f t="shared" si="18"/>
        <v>50.742633975331977</v>
      </c>
      <c r="H28" s="73">
        <f t="shared" si="18"/>
        <v>39.372369716653836</v>
      </c>
      <c r="I28" s="73">
        <f t="shared" si="18"/>
        <v>85.873725967197416</v>
      </c>
      <c r="J28" s="74">
        <f t="shared" si="18"/>
        <v>66.414939551575927</v>
      </c>
      <c r="K28" s="117">
        <f t="shared" si="18"/>
        <v>119.91575627231975</v>
      </c>
      <c r="L28" s="73">
        <f t="shared" si="18"/>
        <v>50.407786907091314</v>
      </c>
      <c r="M28" s="73">
        <f t="shared" si="18"/>
        <v>65.803396779984354</v>
      </c>
      <c r="N28" s="73">
        <f t="shared" si="18"/>
        <v>59.200083531908597</v>
      </c>
      <c r="O28" s="73">
        <f t="shared" si="18"/>
        <v>43.366359718392765</v>
      </c>
      <c r="P28" s="73">
        <f t="shared" si="18"/>
        <v>93.72149312423538</v>
      </c>
      <c r="Q28" s="74">
        <f t="shared" si="18"/>
        <v>80.202238669543448</v>
      </c>
      <c r="S28" s="75" t="s">
        <v>8</v>
      </c>
      <c r="T28" s="2660">
        <f t="shared" si="0"/>
        <v>100.56190145552726</v>
      </c>
      <c r="U28" s="2661">
        <f t="shared" si="1"/>
        <v>100.15595227744998</v>
      </c>
      <c r="V28" s="2661">
        <f t="shared" si="2"/>
        <v>100.06803899353496</v>
      </c>
      <c r="W28" s="2661">
        <f t="shared" si="3"/>
        <v>100.06121939712737</v>
      </c>
      <c r="X28" s="2661">
        <f t="shared" si="4"/>
        <v>100.09427038600261</v>
      </c>
      <c r="Y28" s="2661">
        <f t="shared" si="5"/>
        <v>100.07732265354059</v>
      </c>
      <c r="Z28" s="2661">
        <f t="shared" si="6"/>
        <v>100.05204980565125</v>
      </c>
      <c r="AA28" s="2661">
        <f t="shared" si="7"/>
        <v>100.06457177332544</v>
      </c>
      <c r="AB28" s="2662">
        <f t="shared" si="8"/>
        <v>100.08597352037378</v>
      </c>
      <c r="AC28" s="2660">
        <f t="shared" si="9"/>
        <v>100.77523990587626</v>
      </c>
      <c r="AD28" s="2661">
        <f t="shared" si="10"/>
        <v>100.18560433358465</v>
      </c>
      <c r="AE28" s="2661">
        <f t="shared" si="11"/>
        <v>100.15314239669428</v>
      </c>
      <c r="AF28" s="2661">
        <f t="shared" si="12"/>
        <v>100.21284724351929</v>
      </c>
      <c r="AG28" s="2661">
        <f t="shared" si="13"/>
        <v>100.18178977527712</v>
      </c>
      <c r="AH28" s="2661">
        <f t="shared" si="14"/>
        <v>100.14022609444562</v>
      </c>
      <c r="AI28" s="2661">
        <f t="shared" si="15"/>
        <v>100.07872960857181</v>
      </c>
      <c r="AJ28" s="2661">
        <f t="shared" si="16"/>
        <v>100.1091272859979</v>
      </c>
      <c r="AK28" s="2662">
        <f t="shared" si="17"/>
        <v>100.39682783455493</v>
      </c>
    </row>
    <row r="29" spans="1:41" ht="13.5" customHeight="1">
      <c r="A29" s="90"/>
      <c r="B29" s="2547">
        <v>2012</v>
      </c>
      <c r="C29" s="2647"/>
      <c r="D29" s="117">
        <f t="shared" si="18"/>
        <v>119.6611218980718</v>
      </c>
      <c r="E29" s="73">
        <f t="shared" si="18"/>
        <v>45.12888964070364</v>
      </c>
      <c r="F29" s="73">
        <f t="shared" si="18"/>
        <v>57.727169505942584</v>
      </c>
      <c r="G29" s="73">
        <f t="shared" si="18"/>
        <v>50.773698309938226</v>
      </c>
      <c r="H29" s="73">
        <f t="shared" si="18"/>
        <v>39.388836054294423</v>
      </c>
      <c r="I29" s="73">
        <f t="shared" si="18"/>
        <v>85.954679460141506</v>
      </c>
      <c r="J29" s="74">
        <f t="shared" si="18"/>
        <v>66.472038813162541</v>
      </c>
      <c r="K29" s="117">
        <f t="shared" si="18"/>
        <v>120.8453910683761</v>
      </c>
      <c r="L29" s="73">
        <f t="shared" si="18"/>
        <v>50.501345944054997</v>
      </c>
      <c r="M29" s="73">
        <f t="shared" si="18"/>
        <v>65.904169678919459</v>
      </c>
      <c r="N29" s="73">
        <f t="shared" si="18"/>
        <v>59.326089277867382</v>
      </c>
      <c r="O29" s="73">
        <f t="shared" si="18"/>
        <v>43.389779979439538</v>
      </c>
      <c r="P29" s="73">
        <f t="shared" si="18"/>
        <v>93.891869215972292</v>
      </c>
      <c r="Q29" s="74">
        <f t="shared" si="18"/>
        <v>80.520503476520389</v>
      </c>
      <c r="S29" s="75" t="s">
        <v>1251</v>
      </c>
      <c r="T29" s="2660">
        <f t="shared" si="0"/>
        <v>101.12696024351173</v>
      </c>
      <c r="U29" s="2661">
        <f t="shared" si="1"/>
        <v>100.31214776602833</v>
      </c>
      <c r="V29" s="2661">
        <f t="shared" si="2"/>
        <v>100.13612428011633</v>
      </c>
      <c r="W29" s="2661">
        <f t="shared" si="3"/>
        <v>100.12247627240059</v>
      </c>
      <c r="X29" s="2661">
        <f t="shared" si="4"/>
        <v>100.18862964106199</v>
      </c>
      <c r="Y29" s="2661">
        <f t="shared" si="5"/>
        <v>100.15471111155365</v>
      </c>
      <c r="Z29" s="2661">
        <f t="shared" si="6"/>
        <v>100.10413102133711</v>
      </c>
      <c r="AA29" s="2661">
        <f t="shared" si="7"/>
        <v>100.12919199813804</v>
      </c>
      <c r="AB29" s="2662">
        <f t="shared" si="8"/>
        <v>100.1720209552096</v>
      </c>
      <c r="AC29" s="2660">
        <f t="shared" si="9"/>
        <v>101.55648978086917</v>
      </c>
      <c r="AD29" s="2661">
        <f t="shared" si="10"/>
        <v>100.37155315685578</v>
      </c>
      <c r="AE29" s="2661">
        <f t="shared" si="11"/>
        <v>100.30651931932519</v>
      </c>
      <c r="AF29" s="2661">
        <f t="shared" si="12"/>
        <v>100.42614752652932</v>
      </c>
      <c r="AG29" s="2661">
        <f t="shared" si="13"/>
        <v>100.3639100257782</v>
      </c>
      <c r="AH29" s="2661">
        <f t="shared" si="14"/>
        <v>100.28068465887965</v>
      </c>
      <c r="AI29" s="2661">
        <f t="shared" si="15"/>
        <v>100.15754668126482</v>
      </c>
      <c r="AJ29" s="2661">
        <f t="shared" si="16"/>
        <v>100.21841371243339</v>
      </c>
      <c r="AK29" s="2662">
        <f t="shared" si="17"/>
        <v>100.79523039241265</v>
      </c>
    </row>
    <row r="30" spans="1:41" s="24" customFormat="1" ht="13.5" customHeight="1">
      <c r="A30" s="91"/>
      <c r="B30" s="2547">
        <v>2013</v>
      </c>
      <c r="C30" s="2647"/>
      <c r="D30" s="117">
        <f t="shared" si="18"/>
        <v>120.33349948371729</v>
      </c>
      <c r="E30" s="73">
        <f t="shared" si="18"/>
        <v>45.199269171886193</v>
      </c>
      <c r="F30" s="73">
        <f t="shared" si="18"/>
        <v>57.766446491070646</v>
      </c>
      <c r="G30" s="73">
        <f t="shared" si="18"/>
        <v>50.80478166194284</v>
      </c>
      <c r="H30" s="73">
        <f t="shared" si="18"/>
        <v>39.40530927849727</v>
      </c>
      <c r="I30" s="73">
        <f t="shared" si="18"/>
        <v>86.035709268255886</v>
      </c>
      <c r="J30" s="74">
        <f t="shared" si="18"/>
        <v>66.52918716499444</v>
      </c>
      <c r="K30" s="117">
        <f t="shared" si="18"/>
        <v>121.78223276435038</v>
      </c>
      <c r="L30" s="73">
        <f t="shared" si="18"/>
        <v>50.595078630645737</v>
      </c>
      <c r="M30" s="73">
        <f t="shared" si="18"/>
        <v>66.005096903887207</v>
      </c>
      <c r="N30" s="73">
        <f t="shared" si="18"/>
        <v>59.452363223583113</v>
      </c>
      <c r="O30" s="73">
        <f t="shared" si="18"/>
        <v>43.413212888737881</v>
      </c>
      <c r="P30" s="73">
        <f t="shared" si="18"/>
        <v>94.062555034023489</v>
      </c>
      <c r="Q30" s="74">
        <f t="shared" si="18"/>
        <v>80.840031246839004</v>
      </c>
      <c r="S30" s="75" t="s">
        <v>1252</v>
      </c>
      <c r="T30" s="2660">
        <f t="shared" si="0"/>
        <v>101.69519410505048</v>
      </c>
      <c r="U30" s="2661">
        <f t="shared" si="1"/>
        <v>100.46858684502841</v>
      </c>
      <c r="V30" s="2661">
        <f t="shared" si="2"/>
        <v>100.20425589124142</v>
      </c>
      <c r="W30" s="2661">
        <f t="shared" si="3"/>
        <v>100.18377064876356</v>
      </c>
      <c r="X30" s="2661">
        <f t="shared" si="4"/>
        <v>100.28307784895532</v>
      </c>
      <c r="Y30" s="2661">
        <f t="shared" si="5"/>
        <v>100.23216543310896</v>
      </c>
      <c r="Z30" s="2661">
        <f t="shared" si="6"/>
        <v>100.15624366928313</v>
      </c>
      <c r="AA30" s="2661">
        <f t="shared" si="7"/>
        <v>100.19386071491867</v>
      </c>
      <c r="AB30" s="2662">
        <f t="shared" si="8"/>
        <v>100.25814236805439</v>
      </c>
      <c r="AC30" s="2660">
        <f t="shared" si="9"/>
        <v>102.34379621665761</v>
      </c>
      <c r="AD30" s="2661">
        <f t="shared" si="10"/>
        <v>100.55784710920112</v>
      </c>
      <c r="AE30" s="2661">
        <f t="shared" si="11"/>
        <v>100.46013112705141</v>
      </c>
      <c r="AF30" s="2661">
        <f t="shared" si="12"/>
        <v>100.63990181331212</v>
      </c>
      <c r="AG30" s="2661">
        <f t="shared" si="13"/>
        <v>100.54636135227338</v>
      </c>
      <c r="AH30" s="2661">
        <f t="shared" si="14"/>
        <v>100.42137610378627</v>
      </c>
      <c r="AI30" s="2661">
        <f t="shared" si="15"/>
        <v>100.23645134702129</v>
      </c>
      <c r="AJ30" s="2661">
        <f t="shared" si="16"/>
        <v>100.32785954741466</v>
      </c>
      <c r="AK30" s="2662">
        <f t="shared" si="17"/>
        <v>101.19521392251355</v>
      </c>
    </row>
    <row r="31" spans="1:41" ht="13.5" customHeight="1">
      <c r="A31" s="90"/>
      <c r="B31" s="2547">
        <v>2014</v>
      </c>
      <c r="C31" s="82"/>
      <c r="D31" s="117">
        <f t="shared" si="18"/>
        <v>121.00965516880315</v>
      </c>
      <c r="E31" s="73">
        <f t="shared" si="18"/>
        <v>45.269758461550488</v>
      </c>
      <c r="F31" s="73">
        <f t="shared" si="18"/>
        <v>57.805750199864079</v>
      </c>
      <c r="G31" s="73">
        <f t="shared" si="18"/>
        <v>50.835884042988162</v>
      </c>
      <c r="H31" s="73">
        <f t="shared" si="18"/>
        <v>39.421789392142472</v>
      </c>
      <c r="I31" s="73">
        <f t="shared" si="18"/>
        <v>86.11681546348315</v>
      </c>
      <c r="J31" s="74">
        <f t="shared" si="18"/>
        <v>66.586384649276255</v>
      </c>
      <c r="K31" s="117">
        <f t="shared" si="18"/>
        <v>122.72633723100675</v>
      </c>
      <c r="L31" s="73">
        <f t="shared" si="18"/>
        <v>50.688985289164776</v>
      </c>
      <c r="M31" s="73">
        <f t="shared" si="18"/>
        <v>66.106178691226191</v>
      </c>
      <c r="N31" s="73">
        <f t="shared" si="18"/>
        <v>59.578905939911586</v>
      </c>
      <c r="O31" s="73">
        <f t="shared" si="18"/>
        <v>43.436658453118561</v>
      </c>
      <c r="P31" s="73">
        <f t="shared" si="18"/>
        <v>94.233551141439762</v>
      </c>
      <c r="Q31" s="74">
        <f t="shared" si="18"/>
        <v>81.160826992289373</v>
      </c>
      <c r="S31" s="75" t="s">
        <v>1253</v>
      </c>
      <c r="T31" s="2660">
        <f t="shared" si="0"/>
        <v>102.26662088092799</v>
      </c>
      <c r="U31" s="2661">
        <f t="shared" si="1"/>
        <v>100.62526989433502</v>
      </c>
      <c r="V31" s="2661">
        <f t="shared" si="2"/>
        <v>100.27243385842904</v>
      </c>
      <c r="W31" s="2661">
        <f t="shared" si="3"/>
        <v>100.24510254917421</v>
      </c>
      <c r="X31" s="2661">
        <f t="shared" si="4"/>
        <v>100.37761509353884</v>
      </c>
      <c r="Y31" s="2661">
        <f t="shared" si="5"/>
        <v>100.30968567733085</v>
      </c>
      <c r="Z31" s="2661">
        <f t="shared" si="6"/>
        <v>100.20838777173286</v>
      </c>
      <c r="AA31" s="2661">
        <f t="shared" si="7"/>
        <v>100.25857796418423</v>
      </c>
      <c r="AB31" s="2662">
        <f t="shared" si="8"/>
        <v>100.34433782250953</v>
      </c>
      <c r="AC31" s="2660">
        <f t="shared" si="9"/>
        <v>103.13720616611783</v>
      </c>
      <c r="AD31" s="2661">
        <f t="shared" si="10"/>
        <v>100.74448683119523</v>
      </c>
      <c r="AE31" s="2661">
        <f t="shared" si="11"/>
        <v>100.61397817958155</v>
      </c>
      <c r="AF31" s="2661">
        <f t="shared" si="12"/>
        <v>100.85411107020228</v>
      </c>
      <c r="AG31" s="2661">
        <f t="shared" si="13"/>
        <v>100.72914435662499</v>
      </c>
      <c r="AH31" s="2661">
        <f t="shared" si="14"/>
        <v>100.56230084038936</v>
      </c>
      <c r="AI31" s="2661">
        <f t="shared" si="15"/>
        <v>100.31544373500161</v>
      </c>
      <c r="AJ31" s="2661">
        <f t="shared" si="16"/>
        <v>100.43746505952601</v>
      </c>
      <c r="AK31" s="2662">
        <f t="shared" si="17"/>
        <v>101.5967846985955</v>
      </c>
    </row>
    <row r="32" spans="1:41" ht="13.5" customHeight="1">
      <c r="A32" s="90"/>
      <c r="B32" s="32">
        <v>2015</v>
      </c>
      <c r="C32" s="2647"/>
      <c r="D32" s="2648">
        <v>121.68961018252507</v>
      </c>
      <c r="E32" s="2649">
        <v>45.340357680867356</v>
      </c>
      <c r="F32" s="2649">
        <v>57.845080650505395</v>
      </c>
      <c r="G32" s="2649">
        <v>50.86700546472364</v>
      </c>
      <c r="H32" s="2649">
        <v>39.438276398111334</v>
      </c>
      <c r="I32" s="2649">
        <v>86.197998117833748</v>
      </c>
      <c r="J32" s="2650">
        <v>66.643631308248843</v>
      </c>
      <c r="K32" s="2648">
        <v>123.67776077224181</v>
      </c>
      <c r="L32" s="2649">
        <v>50.783066242511573</v>
      </c>
      <c r="M32" s="2649">
        <v>66.207415277636912</v>
      </c>
      <c r="N32" s="2649">
        <v>59.705717998923603</v>
      </c>
      <c r="O32" s="2649">
        <v>43.460116679416032</v>
      </c>
      <c r="P32" s="2649">
        <v>94.404858102295407</v>
      </c>
      <c r="Q32" s="2650">
        <v>81.482895744549765</v>
      </c>
      <c r="S32" s="75" t="str">
        <f t="shared" ref="S32:S52" si="19">B32&amp;"/"&amp;RIGHT(B33,2)</f>
        <v>2015/16</v>
      </c>
      <c r="T32" s="2660">
        <f t="shared" si="0"/>
        <v>102.8335036436588</v>
      </c>
      <c r="U32" s="2661">
        <f t="shared" si="1"/>
        <v>100.76344848901115</v>
      </c>
      <c r="V32" s="2661">
        <f t="shared" si="2"/>
        <v>100.32850124435389</v>
      </c>
      <c r="W32" s="2661">
        <f t="shared" si="3"/>
        <v>100.29157463983285</v>
      </c>
      <c r="X32" s="2661">
        <f t="shared" si="4"/>
        <v>100.47763809275632</v>
      </c>
      <c r="Y32" s="2661">
        <f t="shared" si="5"/>
        <v>100.38754497729605</v>
      </c>
      <c r="Z32" s="2661">
        <f t="shared" si="6"/>
        <v>100.25319605433496</v>
      </c>
      <c r="AA32" s="2661">
        <f t="shared" si="7"/>
        <v>100.31976207323974</v>
      </c>
      <c r="AB32" s="2662">
        <f t="shared" si="8"/>
        <v>100.42119504873466</v>
      </c>
      <c r="AC32" s="2660">
        <f t="shared" si="9"/>
        <v>103.98583828716703</v>
      </c>
      <c r="AD32" s="2661">
        <f t="shared" si="10"/>
        <v>100.92240941172179</v>
      </c>
      <c r="AE32" s="2661">
        <f t="shared" si="11"/>
        <v>100.76078496525921</v>
      </c>
      <c r="AF32" s="2661">
        <f t="shared" si="12"/>
        <v>101.05617497978618</v>
      </c>
      <c r="AG32" s="2661">
        <f t="shared" si="13"/>
        <v>100.91664044062864</v>
      </c>
      <c r="AH32" s="2661">
        <f t="shared" si="14"/>
        <v>100.6987063418777</v>
      </c>
      <c r="AI32" s="2661">
        <f t="shared" si="15"/>
        <v>100.37625700733498</v>
      </c>
      <c r="AJ32" s="2661">
        <f t="shared" si="16"/>
        <v>100.53564352704285</v>
      </c>
      <c r="AK32" s="2662">
        <f t="shared" si="17"/>
        <v>102.01799681005564</v>
      </c>
    </row>
    <row r="33" spans="1:37" ht="13.5" customHeight="1">
      <c r="A33" s="90"/>
      <c r="B33" s="2647">
        <v>2016</v>
      </c>
      <c r="C33" s="2647"/>
      <c r="D33" s="117">
        <f>D32*(D$37/D$32)^(1/5)</f>
        <v>122.33662970805892</v>
      </c>
      <c r="E33" s="73">
        <f t="shared" ref="E33:K36" si="20">E32*(E$37/E$32)^(1/5)</f>
        <v>45.377314652339088</v>
      </c>
      <c r="F33" s="73">
        <f t="shared" si="20"/>
        <v>57.856399756871369</v>
      </c>
      <c r="G33" s="73">
        <f t="shared" si="20"/>
        <v>50.867922568731537</v>
      </c>
      <c r="H33" s="73">
        <f t="shared" si="20"/>
        <v>39.438303166553801</v>
      </c>
      <c r="I33" s="73">
        <f t="shared" si="20"/>
        <v>86.297781372238362</v>
      </c>
      <c r="J33" s="74">
        <f t="shared" si="20"/>
        <v>66.675938511049779</v>
      </c>
      <c r="K33" s="117">
        <f>K32*(K$37/K$32)^(1/5)</f>
        <v>124.87057918251064</v>
      </c>
      <c r="L33" s="73">
        <f t="shared" ref="L33:Q33" si="21">L32*(L$37/L$32)^(1/5)</f>
        <v>50.859072260686794</v>
      </c>
      <c r="M33" s="73">
        <f t="shared" si="21"/>
        <v>66.289677779405039</v>
      </c>
      <c r="N33" s="73">
        <f t="shared" si="21"/>
        <v>59.803007620875469</v>
      </c>
      <c r="O33" s="73">
        <f t="shared" si="21"/>
        <v>43.442492666138378</v>
      </c>
      <c r="P33" s="73">
        <f t="shared" si="21"/>
        <v>94.592877131151766</v>
      </c>
      <c r="Q33" s="74">
        <f t="shared" si="21"/>
        <v>81.863969845964448</v>
      </c>
      <c r="S33" s="75" t="str">
        <f t="shared" si="19"/>
        <v>2016/17</v>
      </c>
      <c r="T33" s="2660">
        <f t="shared" si="0"/>
        <v>103.38026589095917</v>
      </c>
      <c r="U33" s="2661">
        <f t="shared" si="1"/>
        <v>100.84558087793962</v>
      </c>
      <c r="V33" s="2661">
        <f t="shared" si="2"/>
        <v>100.34813349249585</v>
      </c>
      <c r="W33" s="2661">
        <f t="shared" si="3"/>
        <v>100.2933828415192</v>
      </c>
      <c r="X33" s="2661">
        <f t="shared" si="4"/>
        <v>100.59395153323875</v>
      </c>
      <c r="Y33" s="2661">
        <f t="shared" si="5"/>
        <v>100.46629579629251</v>
      </c>
      <c r="Z33" s="2661">
        <f t="shared" si="6"/>
        <v>100.2759326294632</v>
      </c>
      <c r="AA33" s="2661">
        <f t="shared" si="7"/>
        <v>100.37025209167132</v>
      </c>
      <c r="AB33" s="2662">
        <f t="shared" si="8"/>
        <v>100.46987678846378</v>
      </c>
      <c r="AC33" s="2660">
        <f t="shared" si="9"/>
        <v>104.98873663802404</v>
      </c>
      <c r="AD33" s="2661">
        <f t="shared" si="10"/>
        <v>101.07345800038723</v>
      </c>
      <c r="AE33" s="2661">
        <f t="shared" si="11"/>
        <v>100.88597991837136</v>
      </c>
      <c r="AF33" s="2661">
        <f t="shared" si="12"/>
        <v>101.22084458580052</v>
      </c>
      <c r="AG33" s="2661">
        <f t="shared" si="13"/>
        <v>101.11762849476598</v>
      </c>
      <c r="AH33" s="2661">
        <f t="shared" si="14"/>
        <v>100.82109736679448</v>
      </c>
      <c r="AI33" s="2661">
        <f t="shared" si="15"/>
        <v>100.38235801653398</v>
      </c>
      <c r="AJ33" s="2661">
        <f t="shared" si="16"/>
        <v>100.59922662380241</v>
      </c>
      <c r="AK33" s="2662">
        <f t="shared" si="17"/>
        <v>102.49510818548337</v>
      </c>
    </row>
    <row r="34" spans="1:37" ht="13.5" customHeight="1">
      <c r="A34" s="90"/>
      <c r="B34" s="2647">
        <v>2017</v>
      </c>
      <c r="C34" s="2647"/>
      <c r="D34" s="117">
        <f>D33*(D$37/D$32)^(1/5)</f>
        <v>122.98708941444136</v>
      </c>
      <c r="E34" s="73">
        <f t="shared" si="20"/>
        <v>45.414301747475697</v>
      </c>
      <c r="F34" s="73">
        <f t="shared" si="20"/>
        <v>57.867721078156357</v>
      </c>
      <c r="G34" s="73">
        <f t="shared" si="20"/>
        <v>50.868839689274317</v>
      </c>
      <c r="H34" s="73">
        <f t="shared" si="20"/>
        <v>39.438329935014437</v>
      </c>
      <c r="I34" s="73">
        <f t="shared" si="20"/>
        <v>86.397680136261258</v>
      </c>
      <c r="J34" s="74">
        <f t="shared" si="20"/>
        <v>66.708261375592613</v>
      </c>
      <c r="K34" s="117">
        <f t="shared" si="20"/>
        <v>126.07490180947123</v>
      </c>
      <c r="L34" s="73">
        <f t="shared" ref="L34:Q34" si="22">L33*(L$37/L$32)^(1/5)</f>
        <v>50.935192035577124</v>
      </c>
      <c r="M34" s="73">
        <f t="shared" si="22"/>
        <v>66.372042492068559</v>
      </c>
      <c r="N34" s="73">
        <f t="shared" si="22"/>
        <v>59.900455774888535</v>
      </c>
      <c r="O34" s="73">
        <f t="shared" si="22"/>
        <v>43.424875799777666</v>
      </c>
      <c r="P34" s="73">
        <f t="shared" si="22"/>
        <v>94.781270623313532</v>
      </c>
      <c r="Q34" s="74">
        <f t="shared" si="22"/>
        <v>82.246826130860001</v>
      </c>
      <c r="S34" s="75" t="str">
        <f t="shared" si="19"/>
        <v>2017/18</v>
      </c>
      <c r="T34" s="2660">
        <f t="shared" si="0"/>
        <v>103.92993525456384</v>
      </c>
      <c r="U34" s="2661">
        <f t="shared" si="1"/>
        <v>100.92778021306152</v>
      </c>
      <c r="V34" s="2661">
        <f t="shared" si="2"/>
        <v>100.36776958226969</v>
      </c>
      <c r="W34" s="2661">
        <f t="shared" si="3"/>
        <v>100.29519107580643</v>
      </c>
      <c r="X34" s="2661">
        <f t="shared" si="4"/>
        <v>100.71039961876953</v>
      </c>
      <c r="Y34" s="2661">
        <f t="shared" si="5"/>
        <v>100.5451377522252</v>
      </c>
      <c r="Z34" s="2661">
        <f t="shared" si="6"/>
        <v>100.29869546123169</v>
      </c>
      <c r="AA34" s="2661">
        <f t="shared" si="7"/>
        <v>100.42080051305977</v>
      </c>
      <c r="AB34" s="2662">
        <f t="shared" si="8"/>
        <v>100.51858212790989</v>
      </c>
      <c r="AC34" s="2660">
        <f t="shared" si="9"/>
        <v>106.00130750889647</v>
      </c>
      <c r="AD34" s="2661">
        <f t="shared" si="10"/>
        <v>101.22473266050964</v>
      </c>
      <c r="AE34" s="2661">
        <f t="shared" si="11"/>
        <v>101.01133042581247</v>
      </c>
      <c r="AF34" s="2661">
        <f t="shared" si="12"/>
        <v>101.38578251860586</v>
      </c>
      <c r="AG34" s="2661">
        <f t="shared" si="13"/>
        <v>101.31901684163734</v>
      </c>
      <c r="AH34" s="2661">
        <f t="shared" si="14"/>
        <v>100.94376384545009</v>
      </c>
      <c r="AI34" s="2661">
        <f t="shared" si="15"/>
        <v>100.38854977110738</v>
      </c>
      <c r="AJ34" s="2661">
        <f t="shared" si="16"/>
        <v>100.66299176717415</v>
      </c>
      <c r="AK34" s="2662">
        <f t="shared" si="17"/>
        <v>102.97445088549777</v>
      </c>
    </row>
    <row r="35" spans="1:37" s="24" customFormat="1" ht="13.5" customHeight="1">
      <c r="A35" s="91"/>
      <c r="B35" s="2647">
        <v>2018</v>
      </c>
      <c r="C35" s="2647"/>
      <c r="D35" s="117">
        <f>D34*(D$37/D$32)^(1/5)</f>
        <v>123.64100759299716</v>
      </c>
      <c r="E35" s="73">
        <f t="shared" si="20"/>
        <v>45.45131899083102</v>
      </c>
      <c r="F35" s="73">
        <f t="shared" si="20"/>
        <v>57.87904461479377</v>
      </c>
      <c r="G35" s="73">
        <f t="shared" si="20"/>
        <v>50.869756826352273</v>
      </c>
      <c r="H35" s="73">
        <f t="shared" si="20"/>
        <v>39.438356703493248</v>
      </c>
      <c r="I35" s="73">
        <f t="shared" si="20"/>
        <v>86.497694543616987</v>
      </c>
      <c r="J35" s="74">
        <f t="shared" si="20"/>
        <v>66.740599909469779</v>
      </c>
      <c r="K35" s="117">
        <f t="shared" si="20"/>
        <v>127.29083960630854</v>
      </c>
      <c r="L35" s="73">
        <f t="shared" ref="L35:Q35" si="23">L34*(L$37/L$32)^(1/5)</f>
        <v>51.011425737440007</v>
      </c>
      <c r="M35" s="73">
        <f t="shared" si="23"/>
        <v>66.45450954262418</v>
      </c>
      <c r="N35" s="73">
        <f t="shared" si="23"/>
        <v>59.998062719288541</v>
      </c>
      <c r="O35" s="73">
        <f t="shared" si="23"/>
        <v>43.407266077435665</v>
      </c>
      <c r="P35" s="73">
        <f t="shared" si="23"/>
        <v>94.970039324571005</v>
      </c>
      <c r="Q35" s="74">
        <f t="shared" si="23"/>
        <v>82.63147293404046</v>
      </c>
      <c r="S35" s="75" t="str">
        <f t="shared" si="19"/>
        <v>2018/19</v>
      </c>
      <c r="T35" s="2660">
        <f t="shared" si="0"/>
        <v>104.48252719151154</v>
      </c>
      <c r="U35" s="2661">
        <f t="shared" si="1"/>
        <v>101.01004654894474</v>
      </c>
      <c r="V35" s="2661">
        <f t="shared" si="2"/>
        <v>100.38740951442713</v>
      </c>
      <c r="W35" s="2661">
        <f t="shared" si="3"/>
        <v>100.29699934269513</v>
      </c>
      <c r="X35" s="2661">
        <f t="shared" si="4"/>
        <v>100.82698250521443</v>
      </c>
      <c r="Y35" s="2661">
        <f t="shared" si="5"/>
        <v>100.62407095059476</v>
      </c>
      <c r="Z35" s="2661">
        <f t="shared" si="6"/>
        <v>100.32148458003527</v>
      </c>
      <c r="AA35" s="2661">
        <f t="shared" si="7"/>
        <v>100.47140740501261</v>
      </c>
      <c r="AB35" s="2662">
        <f t="shared" si="8"/>
        <v>100.56731107851355</v>
      </c>
      <c r="AC35" s="2660">
        <f t="shared" si="9"/>
        <v>107.02364418704855</v>
      </c>
      <c r="AD35" s="2661">
        <f t="shared" si="10"/>
        <v>101.37623373044575</v>
      </c>
      <c r="AE35" s="2661">
        <f t="shared" si="11"/>
        <v>101.1368366808582</v>
      </c>
      <c r="AF35" s="2661">
        <f t="shared" si="12"/>
        <v>101.5509892154369</v>
      </c>
      <c r="AG35" s="2661">
        <f t="shared" si="13"/>
        <v>101.52080627847543</v>
      </c>
      <c r="AH35" s="2661">
        <f t="shared" si="14"/>
        <v>101.06670631359115</v>
      </c>
      <c r="AI35" s="2661">
        <f t="shared" si="15"/>
        <v>100.39483241991414</v>
      </c>
      <c r="AJ35" s="2661">
        <f t="shared" si="16"/>
        <v>100.7269392972554</v>
      </c>
      <c r="AK35" s="2662">
        <f t="shared" si="17"/>
        <v>103.45603534541785</v>
      </c>
    </row>
    <row r="36" spans="1:37" ht="13.5" customHeight="1">
      <c r="A36" s="90"/>
      <c r="B36" s="82">
        <v>2019</v>
      </c>
      <c r="C36" s="82"/>
      <c r="D36" s="117">
        <f>D35*(D$37/D$32)^(1/5)</f>
        <v>124.29840263230543</v>
      </c>
      <c r="E36" s="73">
        <f t="shared" si="20"/>
        <v>45.488366406978898</v>
      </c>
      <c r="F36" s="73">
        <f t="shared" si="20"/>
        <v>57.890370367217109</v>
      </c>
      <c r="G36" s="73">
        <f t="shared" si="20"/>
        <v>50.870673979965702</v>
      </c>
      <c r="H36" s="73">
        <f t="shared" si="20"/>
        <v>39.438383471990228</v>
      </c>
      <c r="I36" s="73">
        <f t="shared" si="20"/>
        <v>86.597824728174857</v>
      </c>
      <c r="J36" s="74">
        <f t="shared" si="20"/>
        <v>66.772954120277376</v>
      </c>
      <c r="K36" s="117">
        <f t="shared" si="20"/>
        <v>128.5185045963029</v>
      </c>
      <c r="L36" s="73">
        <f t="shared" ref="L36:Q36" si="24">L35*(L$37/L$32)^(1/5)</f>
        <v>51.087773536787701</v>
      </c>
      <c r="M36" s="73">
        <f t="shared" si="24"/>
        <v>66.537079058226411</v>
      </c>
      <c r="N36" s="73">
        <f t="shared" si="24"/>
        <v>60.095828712822176</v>
      </c>
      <c r="O36" s="73">
        <f t="shared" si="24"/>
        <v>43.389663496215313</v>
      </c>
      <c r="P36" s="73">
        <f t="shared" si="24"/>
        <v>95.159183982199821</v>
      </c>
      <c r="Q36" s="74">
        <f t="shared" si="24"/>
        <v>83.017918629289539</v>
      </c>
      <c r="S36" s="75" t="str">
        <f t="shared" si="19"/>
        <v>2019/20</v>
      </c>
      <c r="T36" s="2660">
        <f t="shared" si="0"/>
        <v>105.03805724102548</v>
      </c>
      <c r="U36" s="2661">
        <f t="shared" si="1"/>
        <v>101.09237994020164</v>
      </c>
      <c r="V36" s="2661">
        <f t="shared" si="2"/>
        <v>100.40705328972004</v>
      </c>
      <c r="W36" s="2661">
        <f t="shared" si="3"/>
        <v>100.29880764218584</v>
      </c>
      <c r="X36" s="2661">
        <f t="shared" si="4"/>
        <v>100.94370034861973</v>
      </c>
      <c r="Y36" s="2661">
        <f t="shared" si="5"/>
        <v>100.70309549702385</v>
      </c>
      <c r="Z36" s="2661">
        <f t="shared" si="6"/>
        <v>100.34430001630388</v>
      </c>
      <c r="AA36" s="2661">
        <f t="shared" si="7"/>
        <v>100.52207283521564</v>
      </c>
      <c r="AB36" s="2662">
        <f t="shared" si="8"/>
        <v>100.61606365172086</v>
      </c>
      <c r="AC36" s="2660">
        <f t="shared" si="9"/>
        <v>108.05584085945968</v>
      </c>
      <c r="AD36" s="2661">
        <f t="shared" si="10"/>
        <v>101.52796154905867</v>
      </c>
      <c r="AE36" s="2661">
        <f t="shared" si="11"/>
        <v>101.26249887702447</v>
      </c>
      <c r="AF36" s="2661">
        <f t="shared" si="12"/>
        <v>101.71646511424089</v>
      </c>
      <c r="AG36" s="2661">
        <f t="shared" si="13"/>
        <v>101.72299760410097</v>
      </c>
      <c r="AH36" s="2661">
        <f t="shared" si="14"/>
        <v>101.18992530803663</v>
      </c>
      <c r="AI36" s="2661">
        <f t="shared" si="15"/>
        <v>100.40120611212267</v>
      </c>
      <c r="AJ36" s="2661">
        <f t="shared" si="16"/>
        <v>100.79106955482999</v>
      </c>
      <c r="AK36" s="2662">
        <f t="shared" si="17"/>
        <v>103.93987204936583</v>
      </c>
    </row>
    <row r="37" spans="1:37" ht="13.5" customHeight="1">
      <c r="A37" s="90"/>
      <c r="B37" s="32">
        <v>2020</v>
      </c>
      <c r="C37" s="82"/>
      <c r="D37" s="2648">
        <v>124.95929301871668</v>
      </c>
      <c r="E37" s="2649">
        <v>45.525444020513206</v>
      </c>
      <c r="F37" s="2649">
        <v>57.901698335859976</v>
      </c>
      <c r="G37" s="2649">
        <v>50.871591150114881</v>
      </c>
      <c r="H37" s="2649">
        <v>39.438410240505384</v>
      </c>
      <c r="I37" s="2649">
        <v>86.698070823959156</v>
      </c>
      <c r="J37" s="2650">
        <v>66.805324015615184</v>
      </c>
      <c r="K37" s="2648">
        <v>129.75800988315063</v>
      </c>
      <c r="L37" s="2649">
        <v>51.164235604387663</v>
      </c>
      <c r="M37" s="2649">
        <v>66.619751166187712</v>
      </c>
      <c r="N37" s="2649">
        <v>60.193754014657749</v>
      </c>
      <c r="O37" s="2649">
        <v>43.372068053220744</v>
      </c>
      <c r="P37" s="2649">
        <v>95.348705344963875</v>
      </c>
      <c r="Q37" s="2650">
        <v>83.406171629552958</v>
      </c>
      <c r="S37" s="75" t="str">
        <f t="shared" si="19"/>
        <v>2020/21</v>
      </c>
      <c r="T37" s="2660">
        <f t="shared" si="0"/>
        <v>105.56471856164823</v>
      </c>
      <c r="U37" s="2661">
        <f t="shared" si="1"/>
        <v>101.13881560598948</v>
      </c>
      <c r="V37" s="2661">
        <f t="shared" si="2"/>
        <v>100.41461915935569</v>
      </c>
      <c r="W37" s="2661">
        <f t="shared" si="3"/>
        <v>100.31904164937752</v>
      </c>
      <c r="X37" s="2661">
        <f t="shared" si="4"/>
        <v>101.06132548923119</v>
      </c>
      <c r="Y37" s="2661">
        <f t="shared" si="5"/>
        <v>100.78107655221611</v>
      </c>
      <c r="Z37" s="2661">
        <f t="shared" si="6"/>
        <v>100.36316290080526</v>
      </c>
      <c r="AA37" s="2661">
        <f t="shared" si="7"/>
        <v>100.57022706929462</v>
      </c>
      <c r="AB37" s="2662">
        <f t="shared" si="8"/>
        <v>100.67307314552185</v>
      </c>
      <c r="AC37" s="2660">
        <f t="shared" si="9"/>
        <v>109.02585898070384</v>
      </c>
      <c r="AD37" s="2661">
        <f t="shared" si="10"/>
        <v>101.66255351168883</v>
      </c>
      <c r="AE37" s="2661">
        <f t="shared" si="11"/>
        <v>101.37679285641461</v>
      </c>
      <c r="AF37" s="2661">
        <f t="shared" si="12"/>
        <v>101.89907679855227</v>
      </c>
      <c r="AG37" s="2661">
        <f t="shared" si="13"/>
        <v>101.92378215449219</v>
      </c>
      <c r="AH37" s="2661">
        <f t="shared" si="14"/>
        <v>101.31796418880334</v>
      </c>
      <c r="AI37" s="2661">
        <f t="shared" si="15"/>
        <v>100.42161248886303</v>
      </c>
      <c r="AJ37" s="2661">
        <f t="shared" si="16"/>
        <v>100.86467861610535</v>
      </c>
      <c r="AK37" s="2662">
        <f t="shared" si="17"/>
        <v>104.3743188705858</v>
      </c>
    </row>
    <row r="38" spans="1:37" ht="13.5" customHeight="1">
      <c r="A38" s="90"/>
      <c r="B38" s="82">
        <v>2021</v>
      </c>
      <c r="C38" s="82"/>
      <c r="D38" s="117">
        <f>D37*(D$42/D$37)^(1/5)</f>
        <v>125.47286670461129</v>
      </c>
      <c r="E38" s="73">
        <f t="shared" ref="E38:K41" si="25">E37*(E$42/E$37)^(1/5)</f>
        <v>45.497806521591841</v>
      </c>
      <c r="F38" s="73">
        <f t="shared" si="25"/>
        <v>57.885163898170568</v>
      </c>
      <c r="G38" s="73">
        <f t="shared" si="25"/>
        <v>50.909889867356377</v>
      </c>
      <c r="H38" s="73">
        <f t="shared" si="25"/>
        <v>39.430360602822034</v>
      </c>
      <c r="I38" s="73">
        <f t="shared" si="25"/>
        <v>86.801083504339317</v>
      </c>
      <c r="J38" s="74">
        <f t="shared" si="25"/>
        <v>66.859568040874251</v>
      </c>
      <c r="K38" s="117">
        <f>K37*(K$42/K$37)^(1/5)</f>
        <v>130.66546752027534</v>
      </c>
      <c r="L38" s="73">
        <f t="shared" ref="L38:Q38" si="26">L37*(L$42/L$37)^(1/5)</f>
        <v>51.205851651478646</v>
      </c>
      <c r="M38" s="73">
        <f t="shared" si="26"/>
        <v>66.67222712159662</v>
      </c>
      <c r="N38" s="73">
        <f t="shared" si="26"/>
        <v>60.331714350283029</v>
      </c>
      <c r="O38" s="73">
        <f t="shared" si="26"/>
        <v>43.385205598833075</v>
      </c>
      <c r="P38" s="73">
        <f t="shared" si="26"/>
        <v>95.531829966682508</v>
      </c>
      <c r="Q38" s="74">
        <f t="shared" si="26"/>
        <v>83.63102525618983</v>
      </c>
      <c r="S38" s="75" t="str">
        <f t="shared" si="19"/>
        <v>2021/22</v>
      </c>
      <c r="T38" s="2660">
        <f t="shared" si="0"/>
        <v>105.99858194469421</v>
      </c>
      <c r="U38" s="2661">
        <f t="shared" si="1"/>
        <v>101.07741644849946</v>
      </c>
      <c r="V38" s="2661">
        <f t="shared" si="2"/>
        <v>100.3859447109144</v>
      </c>
      <c r="W38" s="2661">
        <f t="shared" si="3"/>
        <v>100.39456691845609</v>
      </c>
      <c r="X38" s="2661">
        <f t="shared" si="4"/>
        <v>101.1814042628703</v>
      </c>
      <c r="Y38" s="2661">
        <f t="shared" si="5"/>
        <v>100.85574589522284</v>
      </c>
      <c r="Z38" s="2661">
        <f t="shared" si="6"/>
        <v>100.37011665792545</v>
      </c>
      <c r="AA38" s="2661">
        <f t="shared" si="7"/>
        <v>100.61073194741319</v>
      </c>
      <c r="AB38" s="2662">
        <f t="shared" si="8"/>
        <v>100.75481682094114</v>
      </c>
      <c r="AC38" s="2660">
        <f t="shared" si="9"/>
        <v>109.78832712016755</v>
      </c>
      <c r="AD38" s="2661">
        <f t="shared" si="10"/>
        <v>101.74524396067835</v>
      </c>
      <c r="AE38" s="2661">
        <f t="shared" si="11"/>
        <v>101.45664671309085</v>
      </c>
      <c r="AF38" s="2661">
        <f t="shared" si="12"/>
        <v>102.13262313679215</v>
      </c>
      <c r="AG38" s="2661">
        <f t="shared" si="13"/>
        <v>102.11953472379712</v>
      </c>
      <c r="AH38" s="2661">
        <f t="shared" si="14"/>
        <v>101.45990377119929</v>
      </c>
      <c r="AI38" s="2661">
        <f t="shared" si="15"/>
        <v>100.48393184698934</v>
      </c>
      <c r="AJ38" s="2661">
        <f t="shared" si="16"/>
        <v>100.96635420507241</v>
      </c>
      <c r="AK38" s="2662">
        <f t="shared" si="17"/>
        <v>104.65570025600699</v>
      </c>
    </row>
    <row r="39" spans="1:37" ht="13.5" customHeight="1">
      <c r="A39" s="90"/>
      <c r="B39" s="82">
        <v>2022</v>
      </c>
      <c r="C39" s="82"/>
      <c r="D39" s="117">
        <f>D38*(D$42/D$37)^(1/5)</f>
        <v>125.988551141331</v>
      </c>
      <c r="E39" s="73">
        <f t="shared" si="25"/>
        <v>45.470185800790119</v>
      </c>
      <c r="F39" s="73">
        <f t="shared" si="25"/>
        <v>57.868634182063388</v>
      </c>
      <c r="G39" s="73">
        <f t="shared" si="25"/>
        <v>50.948217417817141</v>
      </c>
      <c r="H39" s="73">
        <f t="shared" si="25"/>
        <v>39.422312608122425</v>
      </c>
      <c r="I39" s="73">
        <f t="shared" si="25"/>
        <v>86.904218582048713</v>
      </c>
      <c r="J39" s="74">
        <f t="shared" si="25"/>
        <v>66.913856110740838</v>
      </c>
      <c r="K39" s="117">
        <f t="shared" si="25"/>
        <v>131.57927142738305</v>
      </c>
      <c r="L39" s="73">
        <f t="shared" ref="L39:Q39" si="27">L38*(L$42/L$37)^(1/5)</f>
        <v>51.247501548296007</v>
      </c>
      <c r="M39" s="73">
        <f t="shared" si="27"/>
        <v>66.724744411982741</v>
      </c>
      <c r="N39" s="73">
        <f t="shared" si="27"/>
        <v>60.469990882406059</v>
      </c>
      <c r="O39" s="73">
        <f t="shared" si="27"/>
        <v>43.398347123852254</v>
      </c>
      <c r="P39" s="73">
        <f t="shared" si="27"/>
        <v>95.715306293513009</v>
      </c>
      <c r="Q39" s="74">
        <f t="shared" si="27"/>
        <v>83.856485062830217</v>
      </c>
      <c r="S39" s="75" t="str">
        <f t="shared" si="19"/>
        <v>2022/23</v>
      </c>
      <c r="T39" s="2660">
        <f t="shared" si="0"/>
        <v>106.43422847496696</v>
      </c>
      <c r="U39" s="2661">
        <f t="shared" si="1"/>
        <v>101.01605456509175</v>
      </c>
      <c r="V39" s="2661">
        <f t="shared" si="2"/>
        <v>100.35727845076281</v>
      </c>
      <c r="W39" s="2661">
        <f t="shared" si="3"/>
        <v>100.47014904679261</v>
      </c>
      <c r="X39" s="2661">
        <f t="shared" si="4"/>
        <v>101.30162571138339</v>
      </c>
      <c r="Y39" s="2661">
        <f t="shared" si="5"/>
        <v>100.93051315904604</v>
      </c>
      <c r="Z39" s="2661">
        <f t="shared" si="6"/>
        <v>100.3771015975837</v>
      </c>
      <c r="AA39" s="2661">
        <f t="shared" si="7"/>
        <v>100.65130107496314</v>
      </c>
      <c r="AB39" s="2662">
        <f t="shared" si="8"/>
        <v>100.83662686990267</v>
      </c>
      <c r="AC39" s="2660">
        <f t="shared" si="9"/>
        <v>110.55612755115489</v>
      </c>
      <c r="AD39" s="2661">
        <f t="shared" si="10"/>
        <v>101.82800166855637</v>
      </c>
      <c r="AE39" s="2661">
        <f t="shared" si="11"/>
        <v>101.53656347014346</v>
      </c>
      <c r="AF39" s="2661">
        <f t="shared" si="12"/>
        <v>102.36670474869511</v>
      </c>
      <c r="AG39" s="2661">
        <f t="shared" si="13"/>
        <v>102.31566325117167</v>
      </c>
      <c r="AH39" s="2661">
        <f t="shared" si="14"/>
        <v>101.60210001192762</v>
      </c>
      <c r="AI39" s="2661">
        <f t="shared" si="15"/>
        <v>100.54633135081824</v>
      </c>
      <c r="AJ39" s="2661">
        <f t="shared" si="16"/>
        <v>101.06819718983289</v>
      </c>
      <c r="AK39" s="2662">
        <f t="shared" si="17"/>
        <v>104.93784021389048</v>
      </c>
    </row>
    <row r="40" spans="1:37" ht="13.5" customHeight="1">
      <c r="A40" s="90"/>
      <c r="B40" s="82">
        <v>2023</v>
      </c>
      <c r="C40" s="82"/>
      <c r="D40" s="117">
        <f>D39*(D$42/D$37)^(1/5)</f>
        <v>126.50635500390955</v>
      </c>
      <c r="E40" s="73">
        <f t="shared" si="25"/>
        <v>45.442581847922412</v>
      </c>
      <c r="F40" s="73">
        <f t="shared" si="25"/>
        <v>57.852109186190141</v>
      </c>
      <c r="G40" s="73">
        <f t="shared" si="25"/>
        <v>50.986573823204289</v>
      </c>
      <c r="H40" s="73">
        <f t="shared" si="25"/>
        <v>39.414266256071215</v>
      </c>
      <c r="I40" s="73">
        <f t="shared" si="25"/>
        <v>87.007476202517083</v>
      </c>
      <c r="J40" s="74">
        <f t="shared" si="25"/>
        <v>66.968188260977911</v>
      </c>
      <c r="K40" s="117">
        <f t="shared" si="25"/>
        <v>132.4994659868681</v>
      </c>
      <c r="L40" s="73">
        <f t="shared" ref="L40:Q40" si="28">L39*(L$42/L$37)^(1/5)</f>
        <v>51.289185322372489</v>
      </c>
      <c r="M40" s="73">
        <f t="shared" si="28"/>
        <v>66.777303069905372</v>
      </c>
      <c r="N40" s="73">
        <f t="shared" si="28"/>
        <v>60.608584335729518</v>
      </c>
      <c r="O40" s="73">
        <f t="shared" si="28"/>
        <v>43.411492629483661</v>
      </c>
      <c r="P40" s="73">
        <f t="shared" si="28"/>
        <v>95.899135000932461</v>
      </c>
      <c r="Q40" s="74">
        <f t="shared" si="28"/>
        <v>84.082552683667004</v>
      </c>
      <c r="S40" s="75" t="str">
        <f t="shared" si="19"/>
        <v>2023/24</v>
      </c>
      <c r="T40" s="2660">
        <f t="shared" si="0"/>
        <v>106.87166548107301</v>
      </c>
      <c r="U40" s="2661">
        <f t="shared" si="1"/>
        <v>100.95472993313813</v>
      </c>
      <c r="V40" s="2661">
        <f t="shared" si="2"/>
        <v>100.32862037656267</v>
      </c>
      <c r="W40" s="2661">
        <f t="shared" si="3"/>
        <v>100.54578807719369</v>
      </c>
      <c r="X40" s="2661">
        <f t="shared" si="4"/>
        <v>101.42199000429351</v>
      </c>
      <c r="Y40" s="2661">
        <f t="shared" si="5"/>
        <v>101.00537845815516</v>
      </c>
      <c r="Z40" s="2661">
        <f t="shared" si="6"/>
        <v>100.38411775215216</v>
      </c>
      <c r="AA40" s="2661">
        <f t="shared" si="7"/>
        <v>100.6919345249935</v>
      </c>
      <c r="AB40" s="2662">
        <f t="shared" si="8"/>
        <v>100.91850334629984</v>
      </c>
      <c r="AC40" s="2660">
        <f t="shared" si="9"/>
        <v>111.32929756484091</v>
      </c>
      <c r="AD40" s="2661">
        <f t="shared" si="10"/>
        <v>101.91082669003011</v>
      </c>
      <c r="AE40" s="2661">
        <f t="shared" si="11"/>
        <v>101.61654317711867</v>
      </c>
      <c r="AF40" s="2661">
        <f t="shared" si="12"/>
        <v>102.6013228610751</v>
      </c>
      <c r="AG40" s="2661">
        <f t="shared" si="13"/>
        <v>102.51216845867263</v>
      </c>
      <c r="AH40" s="2661">
        <f t="shared" si="14"/>
        <v>101.74455339909004</v>
      </c>
      <c r="AI40" s="2661">
        <f t="shared" si="15"/>
        <v>100.60881114229794</v>
      </c>
      <c r="AJ40" s="2661">
        <f t="shared" si="16"/>
        <v>101.17020788343854</v>
      </c>
      <c r="AK40" s="2662">
        <f t="shared" si="17"/>
        <v>105.22074078926198</v>
      </c>
    </row>
    <row r="41" spans="1:37" ht="13.5" customHeight="1">
      <c r="A41" s="90"/>
      <c r="B41" s="82">
        <v>2024</v>
      </c>
      <c r="C41" s="82"/>
      <c r="D41" s="117">
        <f>D40*(D$42/D$37)^(1/5)</f>
        <v>127.0262870030344</v>
      </c>
      <c r="E41" s="73">
        <f t="shared" si="25"/>
        <v>45.414994652809277</v>
      </c>
      <c r="F41" s="73">
        <f t="shared" si="25"/>
        <v>57.835588909202905</v>
      </c>
      <c r="G41" s="73">
        <f t="shared" si="25"/>
        <v>51.02495910524128</v>
      </c>
      <c r="H41" s="73">
        <f t="shared" si="25"/>
        <v>39.406221546333128</v>
      </c>
      <c r="I41" s="73">
        <f t="shared" si="25"/>
        <v>87.110856511346938</v>
      </c>
      <c r="J41" s="74">
        <f t="shared" si="25"/>
        <v>67.022564527377483</v>
      </c>
      <c r="K41" s="117">
        <f t="shared" si="25"/>
        <v>133.42609589151141</v>
      </c>
      <c r="L41" s="73">
        <f t="shared" ref="L41:Q41" si="29">L40*(L$42/L$37)^(1/5)</f>
        <v>51.330903001263231</v>
      </c>
      <c r="M41" s="73">
        <f t="shared" si="29"/>
        <v>66.82990312794945</v>
      </c>
      <c r="N41" s="73">
        <f t="shared" si="29"/>
        <v>60.747495436617065</v>
      </c>
      <c r="O41" s="73">
        <f t="shared" si="29"/>
        <v>43.424642116933036</v>
      </c>
      <c r="P41" s="73">
        <f t="shared" si="29"/>
        <v>96.083316765715253</v>
      </c>
      <c r="Q41" s="74">
        <f t="shared" si="29"/>
        <v>84.309229757298681</v>
      </c>
      <c r="S41" s="75" t="str">
        <f t="shared" si="19"/>
        <v>2024/25</v>
      </c>
      <c r="T41" s="2660">
        <f t="shared" si="0"/>
        <v>107.31090032173903</v>
      </c>
      <c r="U41" s="2661">
        <f t="shared" si="1"/>
        <v>100.89344253002403</v>
      </c>
      <c r="V41" s="2661">
        <f t="shared" si="2"/>
        <v>100.29997048597646</v>
      </c>
      <c r="W41" s="2661">
        <f t="shared" si="3"/>
        <v>100.62148405249802</v>
      </c>
      <c r="X41" s="2661">
        <f t="shared" si="4"/>
        <v>101.54249731132512</v>
      </c>
      <c r="Y41" s="2661">
        <f t="shared" si="5"/>
        <v>101.08034190715598</v>
      </c>
      <c r="Z41" s="2661">
        <f t="shared" si="6"/>
        <v>100.39116515404254</v>
      </c>
      <c r="AA41" s="2661">
        <f t="shared" si="7"/>
        <v>100.73263237064067</v>
      </c>
      <c r="AB41" s="2662">
        <f t="shared" si="8"/>
        <v>101.00044630406985</v>
      </c>
      <c r="AC41" s="2660">
        <f t="shared" si="9"/>
        <v>112.10787471319517</v>
      </c>
      <c r="AD41" s="2661">
        <f t="shared" si="10"/>
        <v>101.99371907985109</v>
      </c>
      <c r="AE41" s="2661">
        <f t="shared" si="11"/>
        <v>101.69658588360176</v>
      </c>
      <c r="AF41" s="2661">
        <f t="shared" si="12"/>
        <v>102.83647870355779</v>
      </c>
      <c r="AG41" s="2661">
        <f t="shared" si="13"/>
        <v>102.70905106974359</v>
      </c>
      <c r="AH41" s="2661">
        <f t="shared" si="14"/>
        <v>101.88726442172427</v>
      </c>
      <c r="AI41" s="2661">
        <f t="shared" si="15"/>
        <v>100.67137136364563</v>
      </c>
      <c r="AJ41" s="2661">
        <f t="shared" si="16"/>
        <v>101.27238659953977</v>
      </c>
      <c r="AK41" s="2662">
        <f t="shared" si="17"/>
        <v>105.50440403266039</v>
      </c>
    </row>
    <row r="42" spans="1:37" ht="13.5" customHeight="1">
      <c r="A42" s="90"/>
      <c r="B42" s="32">
        <v>2025</v>
      </c>
      <c r="C42" s="82"/>
      <c r="D42" s="2648">
        <v>127.5483558851934</v>
      </c>
      <c r="E42" s="2649">
        <v>45.387424205277448</v>
      </c>
      <c r="F42" s="2649">
        <v>57.81907334975417</v>
      </c>
      <c r="G42" s="2649">
        <v>51.063373285667907</v>
      </c>
      <c r="H42" s="2649">
        <v>39.398178478572952</v>
      </c>
      <c r="I42" s="2649">
        <v>87.21435965431381</v>
      </c>
      <c r="J42" s="2650">
        <v>67.076984945760628</v>
      </c>
      <c r="K42" s="2648">
        <v>134.35920614665108</v>
      </c>
      <c r="L42" s="2649">
        <v>51.372654612545752</v>
      </c>
      <c r="M42" s="2649">
        <v>66.882544618725603</v>
      </c>
      <c r="N42" s="2649">
        <v>60.886724913097162</v>
      </c>
      <c r="O42" s="2649">
        <v>43.437795587406455</v>
      </c>
      <c r="P42" s="2649">
        <v>96.267852265935588</v>
      </c>
      <c r="Q42" s="2650">
        <v>84.536517926741212</v>
      </c>
      <c r="S42" s="75" t="str">
        <f t="shared" si="19"/>
        <v>2025/26</v>
      </c>
      <c r="T42" s="2660">
        <f t="shared" si="0"/>
        <v>107.74725488728964</v>
      </c>
      <c r="U42" s="2661">
        <f t="shared" si="1"/>
        <v>100.88728658979147</v>
      </c>
      <c r="V42" s="2661">
        <f t="shared" si="2"/>
        <v>100.30100503231934</v>
      </c>
      <c r="W42" s="2661">
        <f t="shared" si="3"/>
        <v>100.71797809030237</v>
      </c>
      <c r="X42" s="2661">
        <f t="shared" si="4"/>
        <v>101.67109577799181</v>
      </c>
      <c r="Y42" s="2661">
        <f t="shared" si="5"/>
        <v>101.17740281697726</v>
      </c>
      <c r="Z42" s="2661">
        <f t="shared" si="6"/>
        <v>100.44119653476649</v>
      </c>
      <c r="AA42" s="2661">
        <f t="shared" si="7"/>
        <v>100.80596552747103</v>
      </c>
      <c r="AB42" s="2662">
        <f t="shared" si="8"/>
        <v>101.09481403054453</v>
      </c>
      <c r="AC42" s="2660">
        <f t="shared" si="9"/>
        <v>112.88103248881629</v>
      </c>
      <c r="AD42" s="2661">
        <f t="shared" si="10"/>
        <v>102.1019843874641</v>
      </c>
      <c r="AE42" s="2661">
        <f t="shared" si="11"/>
        <v>101.78688111906071</v>
      </c>
      <c r="AF42" s="2661">
        <f t="shared" si="12"/>
        <v>103.08045231707706</v>
      </c>
      <c r="AG42" s="2661">
        <f t="shared" si="13"/>
        <v>102.9074352705729</v>
      </c>
      <c r="AH42" s="2661">
        <f t="shared" si="14"/>
        <v>102.04032064691904</v>
      </c>
      <c r="AI42" s="2661">
        <f t="shared" si="15"/>
        <v>100.75736155528581</v>
      </c>
      <c r="AJ42" s="2661">
        <f t="shared" si="16"/>
        <v>101.39152749280578</v>
      </c>
      <c r="AK42" s="2662">
        <f t="shared" si="17"/>
        <v>105.78939633032923</v>
      </c>
    </row>
    <row r="43" spans="1:37" ht="13.5" customHeight="1">
      <c r="A43" s="90"/>
      <c r="B43" s="82">
        <v>2026</v>
      </c>
      <c r="C43" s="82"/>
      <c r="D43" s="117">
        <f>D42*(D$47/D$42)^(1/5)</f>
        <v>128.05036232415057</v>
      </c>
      <c r="E43" s="73">
        <f t="shared" ref="E43:K46" si="30">E42*(E$47/E$42)^(1/5)</f>
        <v>45.459053378200537</v>
      </c>
      <c r="F43" s="73">
        <f t="shared" si="30"/>
        <v>57.871006043776205</v>
      </c>
      <c r="G43" s="73">
        <f t="shared" si="30"/>
        <v>51.143895339358266</v>
      </c>
      <c r="H43" s="73">
        <f t="shared" si="30"/>
        <v>39.47111232598953</v>
      </c>
      <c r="I43" s="73">
        <f t="shared" si="30"/>
        <v>87.345267384157836</v>
      </c>
      <c r="J43" s="74">
        <f t="shared" si="30"/>
        <v>67.164259253620244</v>
      </c>
      <c r="K43" s="117">
        <f>K42*(K$47/K$42)^(1/5)</f>
        <v>135.24703060154053</v>
      </c>
      <c r="L43" s="73">
        <f t="shared" ref="L43:Q43" si="31">L42*(L$47/L$42)^(1/5)</f>
        <v>51.465393047946158</v>
      </c>
      <c r="M43" s="73">
        <f t="shared" si="31"/>
        <v>66.962016912675892</v>
      </c>
      <c r="N43" s="73">
        <f t="shared" si="31"/>
        <v>61.045846512179409</v>
      </c>
      <c r="O43" s="73">
        <f t="shared" si="31"/>
        <v>43.500685172391854</v>
      </c>
      <c r="P43" s="73">
        <f t="shared" si="31"/>
        <v>96.456948148089168</v>
      </c>
      <c r="Q43" s="74">
        <f t="shared" si="31"/>
        <v>84.766223894284593</v>
      </c>
      <c r="S43" s="75" t="str">
        <f t="shared" si="19"/>
        <v>2026/27</v>
      </c>
      <c r="T43" s="2660">
        <f t="shared" si="0"/>
        <v>108.17132790146529</v>
      </c>
      <c r="U43" s="2661">
        <f t="shared" si="1"/>
        <v>101.04650410485023</v>
      </c>
      <c r="V43" s="2661">
        <f t="shared" si="2"/>
        <v>100.39109470520178</v>
      </c>
      <c r="W43" s="2661">
        <f t="shared" si="3"/>
        <v>100.87680070458602</v>
      </c>
      <c r="X43" s="2661">
        <f t="shared" si="4"/>
        <v>101.82370289901871</v>
      </c>
      <c r="Y43" s="2661">
        <f t="shared" si="5"/>
        <v>101.34060153564394</v>
      </c>
      <c r="Z43" s="2661">
        <f t="shared" si="6"/>
        <v>100.62018968709295</v>
      </c>
      <c r="AA43" s="2661">
        <f t="shared" si="7"/>
        <v>100.97713299317184</v>
      </c>
      <c r="AB43" s="2662">
        <f t="shared" si="8"/>
        <v>101.22634916036361</v>
      </c>
      <c r="AC43" s="2660">
        <f t="shared" si="9"/>
        <v>113.62693255782501</v>
      </c>
      <c r="AD43" s="2661">
        <f t="shared" si="10"/>
        <v>102.28629992176505</v>
      </c>
      <c r="AE43" s="2661">
        <f t="shared" si="11"/>
        <v>101.90782802654891</v>
      </c>
      <c r="AF43" s="2661">
        <f t="shared" si="12"/>
        <v>103.34984316426461</v>
      </c>
      <c r="AG43" s="2661">
        <f t="shared" si="13"/>
        <v>103.10957307457105</v>
      </c>
      <c r="AH43" s="2661">
        <f t="shared" si="14"/>
        <v>102.22391599713356</v>
      </c>
      <c r="AI43" s="2661">
        <f t="shared" si="15"/>
        <v>100.91352199780313</v>
      </c>
      <c r="AJ43" s="2661">
        <f t="shared" si="16"/>
        <v>101.56124899434209</v>
      </c>
      <c r="AK43" s="2662">
        <f t="shared" si="17"/>
        <v>106.07685145902224</v>
      </c>
    </row>
    <row r="44" spans="1:37" ht="13.5" customHeight="1">
      <c r="A44" s="90"/>
      <c r="B44" s="82">
        <v>2027</v>
      </c>
      <c r="C44" s="82"/>
      <c r="D44" s="117">
        <f>D43*(D$47/D$42)^(1/5)</f>
        <v>128.55434456642567</v>
      </c>
      <c r="E44" s="73">
        <f t="shared" si="30"/>
        <v>45.530795594295903</v>
      </c>
      <c r="F44" s="73">
        <f t="shared" si="30"/>
        <v>57.922985383386838</v>
      </c>
      <c r="G44" s="73">
        <f t="shared" si="30"/>
        <v>51.224544368622574</v>
      </c>
      <c r="H44" s="73">
        <f t="shared" si="30"/>
        <v>39.544181188432297</v>
      </c>
      <c r="I44" s="73">
        <f t="shared" si="30"/>
        <v>87.476371604967355</v>
      </c>
      <c r="J44" s="74">
        <f t="shared" si="30"/>
        <v>67.251647114657871</v>
      </c>
      <c r="K44" s="117">
        <f t="shared" si="30"/>
        <v>136.14072166047822</v>
      </c>
      <c r="L44" s="73">
        <f t="shared" ref="L44:Q44" si="32">L43*(L$47/L$42)^(1/5)</f>
        <v>51.558298895707587</v>
      </c>
      <c r="M44" s="73">
        <f t="shared" si="32"/>
        <v>67.041583638522297</v>
      </c>
      <c r="N44" s="73">
        <f t="shared" si="32"/>
        <v>61.205383960255517</v>
      </c>
      <c r="O44" s="73">
        <f t="shared" si="32"/>
        <v>43.563665809417216</v>
      </c>
      <c r="P44" s="73">
        <f t="shared" si="32"/>
        <v>96.646415465273293</v>
      </c>
      <c r="Q44" s="74">
        <f t="shared" si="32"/>
        <v>84.996554027961366</v>
      </c>
      <c r="S44" s="75" t="str">
        <f t="shared" si="19"/>
        <v>2027/28</v>
      </c>
      <c r="T44" s="2660">
        <f t="shared" si="0"/>
        <v>108.5970699875958</v>
      </c>
      <c r="U44" s="2661">
        <f t="shared" si="1"/>
        <v>101.20597289257134</v>
      </c>
      <c r="V44" s="2661">
        <f t="shared" si="2"/>
        <v>100.4812652960088</v>
      </c>
      <c r="W44" s="2661">
        <f t="shared" si="3"/>
        <v>101.03587376693552</v>
      </c>
      <c r="X44" s="2661">
        <f t="shared" si="4"/>
        <v>101.97653908154251</v>
      </c>
      <c r="Y44" s="2661">
        <f t="shared" si="5"/>
        <v>101.50406619260917</v>
      </c>
      <c r="Z44" s="2661">
        <f t="shared" si="6"/>
        <v>100.79950376925149</v>
      </c>
      <c r="AA44" s="2661">
        <f t="shared" si="7"/>
        <v>101.14859414198489</v>
      </c>
      <c r="AB44" s="2662">
        <f t="shared" si="8"/>
        <v>101.35805543140827</v>
      </c>
      <c r="AC44" s="2660">
        <f t="shared" si="9"/>
        <v>114.37776141691187</v>
      </c>
      <c r="AD44" s="2661">
        <f t="shared" si="10"/>
        <v>102.47094818433166</v>
      </c>
      <c r="AE44" s="2661">
        <f t="shared" si="11"/>
        <v>102.02891864759107</v>
      </c>
      <c r="AF44" s="2661">
        <f t="shared" si="12"/>
        <v>103.61993803851955</v>
      </c>
      <c r="AG44" s="2661">
        <f t="shared" si="13"/>
        <v>103.31210793143219</v>
      </c>
      <c r="AH44" s="2661">
        <f t="shared" si="14"/>
        <v>102.40784759791954</v>
      </c>
      <c r="AI44" s="2661">
        <f t="shared" si="15"/>
        <v>101.06992872948351</v>
      </c>
      <c r="AJ44" s="2661">
        <f t="shared" si="16"/>
        <v>101.73126125291363</v>
      </c>
      <c r="AK44" s="2662">
        <f t="shared" si="17"/>
        <v>106.36508767215163</v>
      </c>
    </row>
    <row r="45" spans="1:37" ht="13.5" customHeight="1">
      <c r="A45" s="90"/>
      <c r="B45" s="82">
        <v>2028</v>
      </c>
      <c r="C45" s="82"/>
      <c r="D45" s="117">
        <f>D44*(D$47/D$42)^(1/5)</f>
        <v>129.0603103884105</v>
      </c>
      <c r="E45" s="73">
        <f t="shared" si="30"/>
        <v>45.602651031965138</v>
      </c>
      <c r="F45" s="73">
        <f t="shared" si="30"/>
        <v>57.975011410482807</v>
      </c>
      <c r="G45" s="73">
        <f t="shared" si="30"/>
        <v>51.305320573689151</v>
      </c>
      <c r="H45" s="73">
        <f t="shared" si="30"/>
        <v>39.617385315840856</v>
      </c>
      <c r="I45" s="73">
        <f t="shared" si="30"/>
        <v>87.607672611672996</v>
      </c>
      <c r="J45" s="74">
        <f t="shared" si="30"/>
        <v>67.339148676618308</v>
      </c>
      <c r="K45" s="117">
        <f t="shared" si="30"/>
        <v>137.04031808905896</v>
      </c>
      <c r="L45" s="73">
        <f t="shared" ref="L45:Q45" si="33">L44*(L$47/L$42)^(1/5)</f>
        <v>51.65137245804452</v>
      </c>
      <c r="M45" s="73">
        <f t="shared" si="33"/>
        <v>67.121244908472264</v>
      </c>
      <c r="N45" s="73">
        <f t="shared" si="33"/>
        <v>61.365338344106831</v>
      </c>
      <c r="O45" s="73">
        <f t="shared" si="33"/>
        <v>43.626737630308405</v>
      </c>
      <c r="P45" s="73">
        <f t="shared" si="33"/>
        <v>96.83625494708599</v>
      </c>
      <c r="Q45" s="74">
        <f t="shared" si="33"/>
        <v>85.227510023780425</v>
      </c>
      <c r="S45" s="75" t="str">
        <f t="shared" si="19"/>
        <v>2028/29</v>
      </c>
      <c r="T45" s="2660">
        <f t="shared" si="0"/>
        <v>109.02448771483589</v>
      </c>
      <c r="U45" s="2661">
        <f t="shared" si="1"/>
        <v>101.36569334950639</v>
      </c>
      <c r="V45" s="2661">
        <f t="shared" si="2"/>
        <v>100.57151687742034</v>
      </c>
      <c r="W45" s="2661">
        <f t="shared" si="3"/>
        <v>101.19519767228347</v>
      </c>
      <c r="X45" s="2661">
        <f t="shared" si="4"/>
        <v>102.12960466938182</v>
      </c>
      <c r="Y45" s="2661">
        <f t="shared" si="5"/>
        <v>101.66779722587928</v>
      </c>
      <c r="Z45" s="2661">
        <f t="shared" si="6"/>
        <v>100.97913935970355</v>
      </c>
      <c r="AA45" s="2661">
        <f t="shared" si="7"/>
        <v>101.32034948278026</v>
      </c>
      <c r="AB45" s="2662">
        <f t="shared" si="8"/>
        <v>101.48993306635154</v>
      </c>
      <c r="AC45" s="2660">
        <f t="shared" si="9"/>
        <v>115.13355163474488</v>
      </c>
      <c r="AD45" s="2661">
        <f t="shared" si="10"/>
        <v>102.65592977580835</v>
      </c>
      <c r="AE45" s="2661">
        <f t="shared" si="11"/>
        <v>102.15015315295291</v>
      </c>
      <c r="AF45" s="2661">
        <f t="shared" si="12"/>
        <v>103.89073877974889</v>
      </c>
      <c r="AG45" s="2661">
        <f t="shared" si="13"/>
        <v>103.51504062107477</v>
      </c>
      <c r="AH45" s="2661">
        <f t="shared" si="14"/>
        <v>102.59211607446588</v>
      </c>
      <c r="AI45" s="2661">
        <f t="shared" si="15"/>
        <v>101.22658214658227</v>
      </c>
      <c r="AJ45" s="2661">
        <f t="shared" si="16"/>
        <v>101.90156477793747</v>
      </c>
      <c r="AK45" s="2662">
        <f t="shared" si="17"/>
        <v>106.65410709211096</v>
      </c>
    </row>
    <row r="46" spans="1:37" ht="13.5" customHeight="1">
      <c r="A46" s="90"/>
      <c r="B46" s="82">
        <v>2029</v>
      </c>
      <c r="C46" s="82"/>
      <c r="D46" s="117">
        <f>D45*(D$47/D$42)^(1/5)</f>
        <v>129.56826759710327</v>
      </c>
      <c r="E46" s="73">
        <f t="shared" si="30"/>
        <v>45.674619869891394</v>
      </c>
      <c r="F46" s="73">
        <f t="shared" si="30"/>
        <v>58.027084166998499</v>
      </c>
      <c r="G46" s="73">
        <f t="shared" si="30"/>
        <v>51.386224155102077</v>
      </c>
      <c r="H46" s="73">
        <f t="shared" si="30"/>
        <v>39.690724958617508</v>
      </c>
      <c r="I46" s="73">
        <f t="shared" si="30"/>
        <v>87.739170699648071</v>
      </c>
      <c r="J46" s="74">
        <f t="shared" si="30"/>
        <v>67.426764087438571</v>
      </c>
      <c r="K46" s="117">
        <f>K45*(K$47/K$42)^(1/5)</f>
        <v>137.94585890903446</v>
      </c>
      <c r="L46" s="73">
        <f t="shared" ref="L46:Q46" si="34">L45*(L$47/L$42)^(1/5)</f>
        <v>51.744614037717007</v>
      </c>
      <c r="M46" s="73">
        <f t="shared" si="34"/>
        <v>67.201000834866576</v>
      </c>
      <c r="N46" s="73">
        <f t="shared" si="34"/>
        <v>61.525710753354893</v>
      </c>
      <c r="O46" s="73">
        <f t="shared" si="34"/>
        <v>43.689900767082143</v>
      </c>
      <c r="P46" s="73">
        <f t="shared" si="34"/>
        <v>97.026467324558411</v>
      </c>
      <c r="Q46" s="74">
        <f t="shared" si="34"/>
        <v>85.459093582359117</v>
      </c>
      <c r="S46" s="75" t="str">
        <f t="shared" si="19"/>
        <v>2029/30</v>
      </c>
      <c r="T46" s="2660">
        <f t="shared" si="0"/>
        <v>109.45358767819503</v>
      </c>
      <c r="U46" s="2661">
        <f t="shared" si="1"/>
        <v>101.52566587283269</v>
      </c>
      <c r="V46" s="2661">
        <f t="shared" si="2"/>
        <v>100.66184952218158</v>
      </c>
      <c r="W46" s="2661">
        <f t="shared" si="3"/>
        <v>101.35477281618532</v>
      </c>
      <c r="X46" s="2661">
        <f t="shared" si="4"/>
        <v>102.2829000068713</v>
      </c>
      <c r="Y46" s="2661">
        <f t="shared" si="5"/>
        <v>101.83179507419018</v>
      </c>
      <c r="Z46" s="2661">
        <f t="shared" si="6"/>
        <v>101.15909703795805</v>
      </c>
      <c r="AA46" s="2661">
        <f t="shared" si="7"/>
        <v>101.49239952531779</v>
      </c>
      <c r="AB46" s="2662">
        <f t="shared" si="8"/>
        <v>101.6219822881561</v>
      </c>
      <c r="AC46" s="2660">
        <f t="shared" si="9"/>
        <v>115.89433599520049</v>
      </c>
      <c r="AD46" s="2661">
        <f t="shared" si="10"/>
        <v>102.84124529792382</v>
      </c>
      <c r="AE46" s="2661">
        <f t="shared" si="11"/>
        <v>102.27153171360301</v>
      </c>
      <c r="AF46" s="2661">
        <f t="shared" si="12"/>
        <v>104.16224723266802</v>
      </c>
      <c r="AG46" s="2661">
        <f t="shared" si="13"/>
        <v>103.71837192494901</v>
      </c>
      <c r="AH46" s="2661">
        <f t="shared" si="14"/>
        <v>102.77672205313826</v>
      </c>
      <c r="AI46" s="2661">
        <f t="shared" si="15"/>
        <v>101.3834826460064</v>
      </c>
      <c r="AJ46" s="2661">
        <f t="shared" si="16"/>
        <v>102.07216007974186</v>
      </c>
      <c r="AK46" s="2662">
        <f t="shared" si="17"/>
        <v>106.94391184706078</v>
      </c>
    </row>
    <row r="47" spans="1:37" ht="13.5" customHeight="1">
      <c r="A47" s="90"/>
      <c r="B47" s="32">
        <v>2030</v>
      </c>
      <c r="C47" s="82"/>
      <c r="D47" s="2648">
        <v>130.07822403022911</v>
      </c>
      <c r="E47" s="2649">
        <v>45.746702287039781</v>
      </c>
      <c r="F47" s="2649">
        <v>58.079203694905971</v>
      </c>
      <c r="G47" s="2649">
        <v>51.467255313721665</v>
      </c>
      <c r="H47" s="2649">
        <v>39.764200367628106</v>
      </c>
      <c r="I47" s="2649">
        <v>87.870866164709227</v>
      </c>
      <c r="J47" s="2650">
        <v>67.514493495248175</v>
      </c>
      <c r="K47" s="2648">
        <v>138.85738340000606</v>
      </c>
      <c r="L47" s="2649">
        <v>51.838023938031604</v>
      </c>
      <c r="M47" s="2649">
        <v>67.280851530179518</v>
      </c>
      <c r="N47" s="2649">
        <v>61.686502280468872</v>
      </c>
      <c r="O47" s="2649">
        <v>43.753155351946283</v>
      </c>
      <c r="P47" s="2649">
        <v>97.217053330157654</v>
      </c>
      <c r="Q47" s="2650">
        <v>85.691306408935787</v>
      </c>
      <c r="S47" s="75" t="str">
        <f t="shared" si="19"/>
        <v>2030/31</v>
      </c>
      <c r="T47" s="2660">
        <f t="shared" si="0"/>
        <v>109.90675543606135</v>
      </c>
      <c r="U47" s="2661">
        <f t="shared" si="1"/>
        <v>101.69825835145765</v>
      </c>
      <c r="V47" s="2661">
        <f t="shared" si="2"/>
        <v>100.75950119429567</v>
      </c>
      <c r="W47" s="2661">
        <f t="shared" si="3"/>
        <v>101.52879054214307</v>
      </c>
      <c r="X47" s="2661">
        <f t="shared" si="4"/>
        <v>102.44497076649061</v>
      </c>
      <c r="Y47" s="2661">
        <f t="shared" si="5"/>
        <v>102.00831986984751</v>
      </c>
      <c r="Z47" s="2661">
        <f t="shared" si="6"/>
        <v>101.35717602412402</v>
      </c>
      <c r="AA47" s="2661">
        <f t="shared" si="7"/>
        <v>101.67979903135654</v>
      </c>
      <c r="AB47" s="2662">
        <f t="shared" si="8"/>
        <v>101.76294109627746</v>
      </c>
      <c r="AC47" s="2660">
        <f t="shared" si="9"/>
        <v>116.69044824662154</v>
      </c>
      <c r="AD47" s="2661">
        <f t="shared" si="10"/>
        <v>103.03735111744632</v>
      </c>
      <c r="AE47" s="2661">
        <f t="shared" si="11"/>
        <v>102.39941805827119</v>
      </c>
      <c r="AF47" s="2661">
        <f t="shared" si="12"/>
        <v>104.45056428073936</v>
      </c>
      <c r="AG47" s="2661">
        <f t="shared" si="13"/>
        <v>103.93228397460221</v>
      </c>
      <c r="AH47" s="2661">
        <f t="shared" si="14"/>
        <v>102.97308122352811</v>
      </c>
      <c r="AI47" s="2661">
        <f t="shared" si="15"/>
        <v>101.55387105610578</v>
      </c>
      <c r="AJ47" s="2661">
        <f t="shared" si="16"/>
        <v>102.25538582164326</v>
      </c>
      <c r="AK47" s="2662">
        <f t="shared" si="17"/>
        <v>107.24861104267434</v>
      </c>
    </row>
    <row r="48" spans="1:37" ht="13.5" customHeight="1">
      <c r="A48" s="90"/>
      <c r="B48" s="82">
        <v>2031</v>
      </c>
      <c r="C48" s="82"/>
      <c r="D48" s="117">
        <f>D47*(D$52/D$47)^(1/5)</f>
        <v>130.6962582036461</v>
      </c>
      <c r="E48" s="73">
        <f t="shared" ref="E48:K51" si="35">E47*(E$52/E$47)^(1/5)</f>
        <v>45.841162914496337</v>
      </c>
      <c r="F48" s="73">
        <f t="shared" si="35"/>
        <v>58.148063074631601</v>
      </c>
      <c r="G48" s="73">
        <f t="shared" si="35"/>
        <v>51.577204475676872</v>
      </c>
      <c r="H48" s="73">
        <f t="shared" si="35"/>
        <v>39.869363123913836</v>
      </c>
      <c r="I48" s="73">
        <f t="shared" si="35"/>
        <v>88.032091334360985</v>
      </c>
      <c r="J48" s="74">
        <f t="shared" si="35"/>
        <v>67.625534848742021</v>
      </c>
      <c r="K48" s="117">
        <f>K47*(K$52/K$47)^(1/5)</f>
        <v>139.9194340267718</v>
      </c>
      <c r="L48" s="73">
        <f t="shared" ref="L48:Q48" si="36">L47*(L$52/L$47)^(1/5)</f>
        <v>51.952655247126934</v>
      </c>
      <c r="M48" s="73">
        <f t="shared" si="36"/>
        <v>67.37752764632819</v>
      </c>
      <c r="N48" s="73">
        <f t="shared" si="36"/>
        <v>61.885775859034986</v>
      </c>
      <c r="O48" s="73">
        <f t="shared" si="36"/>
        <v>43.84073228672549</v>
      </c>
      <c r="P48" s="73">
        <f t="shared" si="36"/>
        <v>97.446130200039619</v>
      </c>
      <c r="Q48" s="74">
        <f t="shared" si="36"/>
        <v>85.96927248173192</v>
      </c>
      <c r="S48" s="75" t="str">
        <f t="shared" si="19"/>
        <v>2031/32</v>
      </c>
      <c r="T48" s="2660">
        <f t="shared" si="0"/>
        <v>110.42894991753798</v>
      </c>
      <c r="U48" s="2661">
        <f t="shared" si="1"/>
        <v>101.9082512212134</v>
      </c>
      <c r="V48" s="2661">
        <f t="shared" si="2"/>
        <v>100.87896283137579</v>
      </c>
      <c r="W48" s="2661">
        <f t="shared" si="3"/>
        <v>101.74568583540071</v>
      </c>
      <c r="X48" s="2661">
        <f t="shared" si="4"/>
        <v>102.63293645424014</v>
      </c>
      <c r="Y48" s="2661">
        <f t="shared" si="5"/>
        <v>102.22193984663299</v>
      </c>
      <c r="Z48" s="2661">
        <f t="shared" si="6"/>
        <v>101.60905226592718</v>
      </c>
      <c r="AA48" s="2661">
        <f t="shared" si="7"/>
        <v>101.91272039652752</v>
      </c>
      <c r="AB48" s="2662">
        <f t="shared" si="8"/>
        <v>101.9303110064974</v>
      </c>
      <c r="AC48" s="2660">
        <f t="shared" si="9"/>
        <v>117.58295508106829</v>
      </c>
      <c r="AD48" s="2661">
        <f t="shared" si="10"/>
        <v>103.26520136224786</v>
      </c>
      <c r="AE48" s="2661">
        <f t="shared" si="11"/>
        <v>102.54655617868154</v>
      </c>
      <c r="AF48" s="2661">
        <f t="shared" si="12"/>
        <v>104.78798392617226</v>
      </c>
      <c r="AG48" s="2661">
        <f t="shared" si="13"/>
        <v>104.17718424134586</v>
      </c>
      <c r="AH48" s="2661">
        <f t="shared" si="14"/>
        <v>103.2040696986535</v>
      </c>
      <c r="AI48" s="2661">
        <f t="shared" si="15"/>
        <v>101.76427602467895</v>
      </c>
      <c r="AJ48" s="2661">
        <f t="shared" si="16"/>
        <v>102.47596520560913</v>
      </c>
      <c r="AK48" s="2662">
        <f t="shared" si="17"/>
        <v>107.59650485447018</v>
      </c>
    </row>
    <row r="49" spans="1:37" ht="13.5" customHeight="1">
      <c r="A49" s="90"/>
      <c r="B49" s="82">
        <v>2032</v>
      </c>
      <c r="C49" s="82"/>
      <c r="D49" s="117">
        <f>D48*(D$52/D$47)^(1/5)</f>
        <v>131.31722881198414</v>
      </c>
      <c r="E49" s="73">
        <f t="shared" si="35"/>
        <v>45.935818590113598</v>
      </c>
      <c r="F49" s="73">
        <f t="shared" si="35"/>
        <v>58.217004094839105</v>
      </c>
      <c r="G49" s="73">
        <f t="shared" si="35"/>
        <v>51.687388521309884</v>
      </c>
      <c r="H49" s="73">
        <f t="shared" si="35"/>
        <v>39.974803999845058</v>
      </c>
      <c r="I49" s="73">
        <f t="shared" si="35"/>
        <v>88.19361231941167</v>
      </c>
      <c r="J49" s="74">
        <f t="shared" si="35"/>
        <v>67.736758832387522</v>
      </c>
      <c r="K49" s="117">
        <f t="shared" si="35"/>
        <v>140.98960774721965</v>
      </c>
      <c r="L49" s="73">
        <f t="shared" ref="L49:Q49" si="37">L48*(L$52/L$47)^(1/5)</f>
        <v>52.067540044608329</v>
      </c>
      <c r="M49" s="73">
        <f t="shared" si="37"/>
        <v>67.474342676762589</v>
      </c>
      <c r="N49" s="73">
        <f t="shared" si="37"/>
        <v>62.085693175820104</v>
      </c>
      <c r="O49" s="73">
        <f t="shared" si="37"/>
        <v>43.928484516736404</v>
      </c>
      <c r="P49" s="73">
        <f t="shared" si="37"/>
        <v>97.675746853946265</v>
      </c>
      <c r="Q49" s="74">
        <f t="shared" si="37"/>
        <v>86.248140222863654</v>
      </c>
      <c r="S49" s="75" t="str">
        <f t="shared" si="19"/>
        <v>2032/33</v>
      </c>
      <c r="T49" s="2660">
        <f t="shared" si="0"/>
        <v>110.95362547559091</v>
      </c>
      <c r="U49" s="2661">
        <f t="shared" si="1"/>
        <v>102.11867769726746</v>
      </c>
      <c r="V49" s="2661">
        <f t="shared" si="2"/>
        <v>100.99856610356292</v>
      </c>
      <c r="W49" s="2661">
        <f t="shared" si="3"/>
        <v>101.96304448065914</v>
      </c>
      <c r="X49" s="2661">
        <f t="shared" si="4"/>
        <v>102.82124702080127</v>
      </c>
      <c r="Y49" s="2661">
        <f t="shared" si="5"/>
        <v>102.43602173829342</v>
      </c>
      <c r="Z49" s="2661">
        <f t="shared" si="6"/>
        <v>101.86156494947092</v>
      </c>
      <c r="AA49" s="2661">
        <f t="shared" si="7"/>
        <v>102.14619173040769</v>
      </c>
      <c r="AB49" s="2662">
        <f t="shared" si="8"/>
        <v>102.09795619066824</v>
      </c>
      <c r="AC49" s="2660">
        <f t="shared" si="9"/>
        <v>118.48228825358728</v>
      </c>
      <c r="AD49" s="2661">
        <f t="shared" si="10"/>
        <v>103.49355546058882</v>
      </c>
      <c r="AE49" s="2661">
        <f t="shared" si="11"/>
        <v>102.69390572242698</v>
      </c>
      <c r="AF49" s="2661">
        <f t="shared" si="12"/>
        <v>105.1264935802414</v>
      </c>
      <c r="AG49" s="2661">
        <f t="shared" si="13"/>
        <v>104.42266157748847</v>
      </c>
      <c r="AH49" s="2661">
        <f t="shared" si="14"/>
        <v>103.43557914023773</v>
      </c>
      <c r="AI49" s="2661">
        <f t="shared" si="15"/>
        <v>101.97511895133448</v>
      </c>
      <c r="AJ49" s="2661">
        <f t="shared" si="16"/>
        <v>102.69702357864992</v>
      </c>
      <c r="AK49" s="2662">
        <f t="shared" si="17"/>
        <v>107.94552716670171</v>
      </c>
    </row>
    <row r="50" spans="1:37" ht="13.5" customHeight="1">
      <c r="A50" s="90"/>
      <c r="B50" s="82">
        <v>2033</v>
      </c>
      <c r="C50" s="82"/>
      <c r="D50" s="117">
        <f>D49*(D$52/D$47)^(1/5)</f>
        <v>131.94114980697992</v>
      </c>
      <c r="E50" s="73">
        <f t="shared" si="35"/>
        <v>46.030669716639103</v>
      </c>
      <c r="F50" s="73">
        <f t="shared" si="35"/>
        <v>58.286026852322379</v>
      </c>
      <c r="G50" s="73">
        <f t="shared" si="35"/>
        <v>51.797807952401172</v>
      </c>
      <c r="H50" s="73">
        <f t="shared" si="35"/>
        <v>40.080523730953438</v>
      </c>
      <c r="I50" s="73">
        <f t="shared" si="35"/>
        <v>88.355429662622385</v>
      </c>
      <c r="J50" s="74">
        <f t="shared" si="35"/>
        <v>67.848165746557214</v>
      </c>
      <c r="K50" s="117">
        <f t="shared" si="35"/>
        <v>142.06796669082757</v>
      </c>
      <c r="L50" s="73">
        <f t="shared" ref="L50:Q50" si="38">L49*(L$52/L$47)^(1/5)</f>
        <v>52.182678891023883</v>
      </c>
      <c r="M50" s="73">
        <f t="shared" si="38"/>
        <v>67.571296821089192</v>
      </c>
      <c r="N50" s="73">
        <f t="shared" si="38"/>
        <v>62.28625631037184</v>
      </c>
      <c r="O50" s="73">
        <f t="shared" si="38"/>
        <v>44.016412392852438</v>
      </c>
      <c r="P50" s="73">
        <f t="shared" si="38"/>
        <v>97.905904563794721</v>
      </c>
      <c r="Q50" s="74">
        <f t="shared" si="38"/>
        <v>86.527912557169202</v>
      </c>
      <c r="S50" s="75" t="str">
        <f t="shared" si="19"/>
        <v>2033/34</v>
      </c>
      <c r="T50" s="2660">
        <f t="shared" si="0"/>
        <v>111.48079389843537</v>
      </c>
      <c r="U50" s="2661">
        <f t="shared" si="1"/>
        <v>102.32953867495702</v>
      </c>
      <c r="V50" s="2661">
        <f t="shared" si="2"/>
        <v>101.1183111787813</v>
      </c>
      <c r="W50" s="2661">
        <f t="shared" si="3"/>
        <v>102.18086746777422</v>
      </c>
      <c r="X50" s="2661">
        <f t="shared" si="4"/>
        <v>103.00990309895646</v>
      </c>
      <c r="Y50" s="2661">
        <f t="shared" si="5"/>
        <v>102.65056657738396</v>
      </c>
      <c r="Z50" s="2661">
        <f t="shared" si="6"/>
        <v>102.11471570346066</v>
      </c>
      <c r="AA50" s="2661">
        <f t="shared" si="7"/>
        <v>102.38021436632714</v>
      </c>
      <c r="AB50" s="2662">
        <f t="shared" si="8"/>
        <v>102.26587710153407</v>
      </c>
      <c r="AC50" s="2660">
        <f t="shared" si="9"/>
        <v>119.38849997542185</v>
      </c>
      <c r="AD50" s="2661">
        <f t="shared" si="10"/>
        <v>103.72241452665894</v>
      </c>
      <c r="AE50" s="2661">
        <f t="shared" si="11"/>
        <v>102.84146699330252</v>
      </c>
      <c r="AF50" s="2661">
        <f t="shared" si="12"/>
        <v>105.46609676413721</v>
      </c>
      <c r="AG50" s="2661">
        <f t="shared" si="13"/>
        <v>104.66871734280446</v>
      </c>
      <c r="AH50" s="2661">
        <f t="shared" si="14"/>
        <v>103.66761072917576</v>
      </c>
      <c r="AI50" s="2661">
        <f t="shared" si="15"/>
        <v>102.18640075230219</v>
      </c>
      <c r="AJ50" s="2661">
        <f t="shared" si="16"/>
        <v>102.91856198781922</v>
      </c>
      <c r="AK50" s="2662">
        <f t="shared" si="17"/>
        <v>108.29568164000669</v>
      </c>
    </row>
    <row r="51" spans="1:37" ht="13.5" customHeight="1">
      <c r="A51" s="90"/>
      <c r="B51" s="82">
        <v>2034</v>
      </c>
      <c r="C51" s="82"/>
      <c r="D51" s="117">
        <f>D50*(D$52/D$47)^(1/5)</f>
        <v>132.56803520665829</v>
      </c>
      <c r="E51" s="73">
        <f t="shared" si="35"/>
        <v>46.12571669765201</v>
      </c>
      <c r="F51" s="73">
        <f t="shared" si="35"/>
        <v>58.355131443990096</v>
      </c>
      <c r="G51" s="73">
        <f t="shared" si="35"/>
        <v>51.90846327180315</v>
      </c>
      <c r="H51" s="73">
        <f t="shared" si="35"/>
        <v>40.18652305471587</v>
      </c>
      <c r="I51" s="73">
        <f t="shared" si="35"/>
        <v>88.517543907750095</v>
      </c>
      <c r="J51" s="74">
        <f t="shared" si="35"/>
        <v>67.959755892117641</v>
      </c>
      <c r="K51" s="117">
        <f t="shared" si="35"/>
        <v>143.15457346227075</v>
      </c>
      <c r="L51" s="73">
        <f t="shared" ref="L51:Q51" si="39">L50*(L$52/L$47)^(1/5)</f>
        <v>52.298072348161256</v>
      </c>
      <c r="M51" s="73">
        <f t="shared" si="39"/>
        <v>67.66839027920129</v>
      </c>
      <c r="N51" s="73">
        <f t="shared" si="39"/>
        <v>62.487467348955626</v>
      </c>
      <c r="O51" s="73">
        <f t="shared" si="39"/>
        <v>44.104516266649327</v>
      </c>
      <c r="P51" s="73">
        <f t="shared" si="39"/>
        <v>98.136604604499198</v>
      </c>
      <c r="Q51" s="74">
        <f t="shared" si="39"/>
        <v>86.808592418974357</v>
      </c>
      <c r="S51" s="75" t="str">
        <f t="shared" si="19"/>
        <v>2034/35</v>
      </c>
      <c r="T51" s="2660">
        <f t="shared" si="0"/>
        <v>112.01046703029547</v>
      </c>
      <c r="U51" s="2661">
        <f t="shared" si="1"/>
        <v>102.54083505146794</v>
      </c>
      <c r="V51" s="2661">
        <f t="shared" si="2"/>
        <v>101.23819822515424</v>
      </c>
      <c r="W51" s="2661">
        <f t="shared" si="3"/>
        <v>102.39915578871643</v>
      </c>
      <c r="X51" s="2661">
        <f t="shared" si="4"/>
        <v>103.19890532264924</v>
      </c>
      <c r="Y51" s="2661">
        <f t="shared" si="5"/>
        <v>102.86557539884372</v>
      </c>
      <c r="Z51" s="2661">
        <f t="shared" si="6"/>
        <v>102.36850616080926</v>
      </c>
      <c r="AA51" s="2661">
        <f t="shared" si="7"/>
        <v>102.61478964091997</v>
      </c>
      <c r="AB51" s="2662">
        <f t="shared" si="8"/>
        <v>102.43407419258372</v>
      </c>
      <c r="AC51" s="2660">
        <f t="shared" si="9"/>
        <v>120.30164285715294</v>
      </c>
      <c r="AD51" s="2661">
        <f t="shared" si="10"/>
        <v>103.95177967711166</v>
      </c>
      <c r="AE51" s="2661">
        <f t="shared" si="11"/>
        <v>102.98924029553966</v>
      </c>
      <c r="AF51" s="2661">
        <f t="shared" si="12"/>
        <v>105.80679701042503</v>
      </c>
      <c r="AG51" s="2661">
        <f t="shared" si="13"/>
        <v>104.91535290027214</v>
      </c>
      <c r="AH51" s="2661">
        <f t="shared" si="14"/>
        <v>103.90016564905153</v>
      </c>
      <c r="AI51" s="2661">
        <f t="shared" si="15"/>
        <v>102.39812234573908</v>
      </c>
      <c r="AJ51" s="2661">
        <f t="shared" si="16"/>
        <v>103.1405814824744</v>
      </c>
      <c r="AK51" s="2662">
        <f t="shared" si="17"/>
        <v>108.64697194689734</v>
      </c>
    </row>
    <row r="52" spans="1:37" ht="13.5" customHeight="1">
      <c r="A52" s="90"/>
      <c r="B52" s="32">
        <v>2035</v>
      </c>
      <c r="C52" s="82"/>
      <c r="D52" s="2648">
        <v>133.19789909564736</v>
      </c>
      <c r="E52" s="2649">
        <v>46.220959937564785</v>
      </c>
      <c r="F52" s="2649">
        <v>58.424317966865829</v>
      </c>
      <c r="G52" s="2649">
        <v>52.019354983442483</v>
      </c>
      <c r="H52" s="2649">
        <v>40.292802710559641</v>
      </c>
      <c r="I52" s="2649">
        <v>88.679955599549459</v>
      </c>
      <c r="J52" s="2650">
        <v>68.071529570430172</v>
      </c>
      <c r="K52" s="2648">
        <v>144.24949114505625</v>
      </c>
      <c r="L52" s="2649">
        <v>52.413720979050389</v>
      </c>
      <c r="M52" s="2649">
        <v>67.765623251279365</v>
      </c>
      <c r="N52" s="2649">
        <v>62.689328384576434</v>
      </c>
      <c r="O52" s="2649">
        <v>44.192796490406494</v>
      </c>
      <c r="P52" s="2649">
        <v>98.367848253978053</v>
      </c>
      <c r="Q52" s="2650">
        <v>87.090182752123354</v>
      </c>
      <c r="S52" s="75" t="str">
        <f t="shared" si="19"/>
        <v>2035/36</v>
      </c>
      <c r="T52" s="2660">
        <f t="shared" si="0"/>
        <v>112.51639501039764</v>
      </c>
      <c r="U52" s="2661">
        <f t="shared" si="1"/>
        <v>102.7617912311122</v>
      </c>
      <c r="V52" s="2661">
        <f t="shared" si="2"/>
        <v>101.36454215135487</v>
      </c>
      <c r="W52" s="2661">
        <f t="shared" si="3"/>
        <v>102.62653720979438</v>
      </c>
      <c r="X52" s="2661">
        <f t="shared" si="4"/>
        <v>103.39086794555222</v>
      </c>
      <c r="Y52" s="2661">
        <f t="shared" si="5"/>
        <v>103.08428452888559</v>
      </c>
      <c r="Z52" s="2661">
        <f t="shared" si="6"/>
        <v>102.62710029658911</v>
      </c>
      <c r="AA52" s="2661">
        <f t="shared" si="7"/>
        <v>102.85362190598694</v>
      </c>
      <c r="AB52" s="2662">
        <f t="shared" si="8"/>
        <v>102.6041918448352</v>
      </c>
      <c r="AC52" s="2660">
        <f t="shared" si="9"/>
        <v>121.17097636666985</v>
      </c>
      <c r="AD52" s="2661">
        <f t="shared" si="10"/>
        <v>104.18383680476137</v>
      </c>
      <c r="AE52" s="2661">
        <f t="shared" si="11"/>
        <v>103.13615917954921</v>
      </c>
      <c r="AF52" s="2661">
        <f t="shared" si="12"/>
        <v>106.15292272901695</v>
      </c>
      <c r="AG52" s="2661">
        <f t="shared" si="13"/>
        <v>105.16391551400437</v>
      </c>
      <c r="AH52" s="2661">
        <f t="shared" si="14"/>
        <v>104.13466928264236</v>
      </c>
      <c r="AI52" s="2661">
        <f t="shared" si="15"/>
        <v>102.61182469666269</v>
      </c>
      <c r="AJ52" s="2661">
        <f t="shared" si="16"/>
        <v>103.36456589539856</v>
      </c>
      <c r="AK52" s="2662">
        <f t="shared" si="17"/>
        <v>108.990529002382</v>
      </c>
    </row>
    <row r="53" spans="1:37" ht="13.5" customHeight="1">
      <c r="A53" s="90"/>
      <c r="B53" s="82">
        <f t="shared" ref="B53:B91" si="40">B52+1</f>
        <v>2036</v>
      </c>
      <c r="C53" s="82"/>
      <c r="D53" s="117">
        <f t="shared" ref="D53:Q56" si="41">D52*(D$57/D$52)^(1/5)</f>
        <v>133.7062813502184</v>
      </c>
      <c r="E53" s="73">
        <f t="shared" si="41"/>
        <v>46.333004364500958</v>
      </c>
      <c r="F53" s="73">
        <f t="shared" si="41"/>
        <v>58.50815045673496</v>
      </c>
      <c r="G53" s="73">
        <f t="shared" si="41"/>
        <v>52.147985363496744</v>
      </c>
      <c r="H53" s="73">
        <f t="shared" si="41"/>
        <v>40.406507297177001</v>
      </c>
      <c r="I53" s="73">
        <f t="shared" si="41"/>
        <v>88.851636588886677</v>
      </c>
      <c r="J53" s="74">
        <f t="shared" si="41"/>
        <v>68.187851521678638</v>
      </c>
      <c r="K53" s="117">
        <f t="shared" si="41"/>
        <v>145.11055113625596</v>
      </c>
      <c r="L53" s="73">
        <f t="shared" si="41"/>
        <v>52.534024411434416</v>
      </c>
      <c r="M53" s="73">
        <f t="shared" si="41"/>
        <v>67.860191315709869</v>
      </c>
      <c r="N53" s="73">
        <f t="shared" si="41"/>
        <v>62.902066499970317</v>
      </c>
      <c r="O53" s="73">
        <f t="shared" si="41"/>
        <v>44.284004541268473</v>
      </c>
      <c r="P53" s="73">
        <f t="shared" si="41"/>
        <v>98.604675508895482</v>
      </c>
      <c r="Q53" s="74">
        <f t="shared" si="41"/>
        <v>87.344306253049524</v>
      </c>
      <c r="S53" s="75" t="str">
        <f t="shared" ref="S53:S116" si="42">B53&amp;"/"&amp;RIGHT(B54,2)</f>
        <v>2036/37</v>
      </c>
      <c r="T53" s="2660">
        <f t="shared" si="0"/>
        <v>112.94584126262805</v>
      </c>
      <c r="U53" s="2661">
        <f t="shared" si="1"/>
        <v>103.01089652933571</v>
      </c>
      <c r="V53" s="2661">
        <f t="shared" si="2"/>
        <v>101.50998915439583</v>
      </c>
      <c r="W53" s="2661">
        <f t="shared" si="3"/>
        <v>102.88030603274791</v>
      </c>
      <c r="X53" s="2661">
        <f t="shared" si="4"/>
        <v>103.59102869639291</v>
      </c>
      <c r="Y53" s="2661">
        <f t="shared" si="5"/>
        <v>103.31318027098631</v>
      </c>
      <c r="Z53" s="2661">
        <f t="shared" si="6"/>
        <v>102.89884631761907</v>
      </c>
      <c r="AA53" s="2661">
        <f t="shared" si="7"/>
        <v>103.10413684890769</v>
      </c>
      <c r="AB53" s="2662">
        <f t="shared" si="8"/>
        <v>102.77952387978404</v>
      </c>
      <c r="AC53" s="2660">
        <f t="shared" si="9"/>
        <v>121.89427513892706</v>
      </c>
      <c r="AD53" s="2661">
        <f t="shared" si="10"/>
        <v>104.42296642449512</v>
      </c>
      <c r="AE53" s="2661">
        <f t="shared" si="11"/>
        <v>103.28008742042496</v>
      </c>
      <c r="AF53" s="2661">
        <f t="shared" si="12"/>
        <v>106.51315585492294</v>
      </c>
      <c r="AG53" s="2661">
        <f t="shared" si="13"/>
        <v>105.41710476099537</v>
      </c>
      <c r="AH53" s="2661">
        <f t="shared" si="14"/>
        <v>104.37397763623149</v>
      </c>
      <c r="AI53" s="2661">
        <f t="shared" si="15"/>
        <v>102.83059525985574</v>
      </c>
      <c r="AJ53" s="2661">
        <f t="shared" si="16"/>
        <v>103.59348827651471</v>
      </c>
      <c r="AK53" s="2662">
        <f t="shared" si="17"/>
        <v>109.30855629228577</v>
      </c>
    </row>
    <row r="54" spans="1:37" ht="13.5" customHeight="1">
      <c r="A54" s="90"/>
      <c r="B54" s="82">
        <f t="shared" si="40"/>
        <v>2037</v>
      </c>
      <c r="C54" s="82"/>
      <c r="D54" s="117">
        <f t="shared" si="41"/>
        <v>134.21660396960391</v>
      </c>
      <c r="E54" s="73">
        <f t="shared" si="41"/>
        <v>46.445320398812321</v>
      </c>
      <c r="F54" s="73">
        <f t="shared" si="41"/>
        <v>58.592103237034557</v>
      </c>
      <c r="G54" s="73">
        <f t="shared" si="41"/>
        <v>52.276933813136417</v>
      </c>
      <c r="H54" s="73">
        <f t="shared" si="41"/>
        <v>40.520532753333036</v>
      </c>
      <c r="I54" s="73">
        <f t="shared" si="41"/>
        <v>89.023649946027874</v>
      </c>
      <c r="J54" s="74">
        <f t="shared" si="41"/>
        <v>68.304372246135642</v>
      </c>
      <c r="K54" s="117">
        <f t="shared" si="41"/>
        <v>145.97675100214471</v>
      </c>
      <c r="L54" s="73">
        <f t="shared" si="41"/>
        <v>52.654603972198053</v>
      </c>
      <c r="M54" s="73">
        <f t="shared" si="41"/>
        <v>67.954891351461242</v>
      </c>
      <c r="N54" s="73">
        <f t="shared" si="41"/>
        <v>63.115526548536998</v>
      </c>
      <c r="O54" s="73">
        <f t="shared" si="41"/>
        <v>44.375400833409643</v>
      </c>
      <c r="P54" s="73">
        <f t="shared" si="41"/>
        <v>98.84207294146411</v>
      </c>
      <c r="Q54" s="74">
        <f t="shared" si="41"/>
        <v>87.599171269858218</v>
      </c>
      <c r="S54" s="75" t="str">
        <f t="shared" si="42"/>
        <v>2037/38</v>
      </c>
      <c r="T54" s="2660">
        <f t="shared" si="0"/>
        <v>113.376926601176</v>
      </c>
      <c r="U54" s="2661">
        <f t="shared" si="1"/>
        <v>103.26060568477948</v>
      </c>
      <c r="V54" s="2661">
        <f t="shared" si="2"/>
        <v>101.6556448579374</v>
      </c>
      <c r="W54" s="2661">
        <f t="shared" si="3"/>
        <v>103.13470236021685</v>
      </c>
      <c r="X54" s="2661">
        <f t="shared" si="4"/>
        <v>103.79157695076242</v>
      </c>
      <c r="Y54" s="2661">
        <f t="shared" si="5"/>
        <v>103.54260191031388</v>
      </c>
      <c r="Z54" s="2661">
        <f t="shared" si="6"/>
        <v>103.17132461173696</v>
      </c>
      <c r="AA54" s="2661">
        <f t="shared" si="7"/>
        <v>103.35528181162566</v>
      </c>
      <c r="AB54" s="2662">
        <f t="shared" si="8"/>
        <v>102.95515552551804</v>
      </c>
      <c r="AC54" s="2660">
        <f t="shared" si="9"/>
        <v>122.62189145594317</v>
      </c>
      <c r="AD54" s="2661">
        <f t="shared" si="10"/>
        <v>104.66264491031774</v>
      </c>
      <c r="AE54" s="2661">
        <f t="shared" si="11"/>
        <v>103.42421651557613</v>
      </c>
      <c r="AF54" s="2661">
        <f t="shared" si="12"/>
        <v>106.87461144274204</v>
      </c>
      <c r="AG54" s="2661">
        <f t="shared" si="13"/>
        <v>105.67090357824134</v>
      </c>
      <c r="AH54" s="2661">
        <f t="shared" si="14"/>
        <v>104.61383860678906</v>
      </c>
      <c r="AI54" s="2661">
        <f t="shared" si="15"/>
        <v>103.04983417349156</v>
      </c>
      <c r="AJ54" s="2661">
        <f t="shared" si="16"/>
        <v>103.82292066096863</v>
      </c>
      <c r="AK54" s="2662">
        <f t="shared" si="17"/>
        <v>109.62751156518078</v>
      </c>
    </row>
    <row r="55" spans="1:37" ht="13.5" customHeight="1">
      <c r="A55" s="90"/>
      <c r="B55" s="82">
        <f t="shared" si="40"/>
        <v>2038</v>
      </c>
      <c r="C55" s="82"/>
      <c r="D55" s="117">
        <f t="shared" si="41"/>
        <v>134.7288743596792</v>
      </c>
      <c r="E55" s="73">
        <f t="shared" si="41"/>
        <v>46.557908698903475</v>
      </c>
      <c r="F55" s="73">
        <f t="shared" si="41"/>
        <v>58.676176480368191</v>
      </c>
      <c r="G55" s="73">
        <f t="shared" si="41"/>
        <v>52.406201118865127</v>
      </c>
      <c r="H55" s="73">
        <f t="shared" si="41"/>
        <v>40.634879984508032</v>
      </c>
      <c r="I55" s="73">
        <f t="shared" si="41"/>
        <v>89.195996314424363</v>
      </c>
      <c r="J55" s="74">
        <f t="shared" si="41"/>
        <v>68.421092083468693</v>
      </c>
      <c r="K55" s="117">
        <f t="shared" si="41"/>
        <v>146.84812142387375</v>
      </c>
      <c r="L55" s="73">
        <f t="shared" si="41"/>
        <v>52.775460295129392</v>
      </c>
      <c r="M55" s="73">
        <f t="shared" si="41"/>
        <v>68.04972354270167</v>
      </c>
      <c r="N55" s="73">
        <f t="shared" si="41"/>
        <v>63.329710980178348</v>
      </c>
      <c r="O55" s="73">
        <f t="shared" si="41"/>
        <v>44.466985755334939</v>
      </c>
      <c r="P55" s="73">
        <f t="shared" si="41"/>
        <v>99.080041924425245</v>
      </c>
      <c r="Q55" s="74">
        <f t="shared" si="41"/>
        <v>87.854779966244664</v>
      </c>
      <c r="S55" s="75" t="str">
        <f t="shared" si="42"/>
        <v>2038/39</v>
      </c>
      <c r="T55" s="2660">
        <f t="shared" si="0"/>
        <v>113.80965728201392</v>
      </c>
      <c r="U55" s="2661">
        <f t="shared" si="1"/>
        <v>103.51092016125642</v>
      </c>
      <c r="V55" s="2661">
        <f t="shared" si="2"/>
        <v>101.80150956144199</v>
      </c>
      <c r="W55" s="2661">
        <f t="shared" si="3"/>
        <v>103.38972774385724</v>
      </c>
      <c r="X55" s="2661">
        <f t="shared" si="4"/>
        <v>103.99251345885274</v>
      </c>
      <c r="Y55" s="2661">
        <f t="shared" si="5"/>
        <v>103.77255069854125</v>
      </c>
      <c r="Z55" s="2661">
        <f t="shared" si="6"/>
        <v>103.44453717843565</v>
      </c>
      <c r="AA55" s="2661">
        <f t="shared" si="7"/>
        <v>103.60705842311057</v>
      </c>
      <c r="AB55" s="2662">
        <f t="shared" si="8"/>
        <v>103.13108729401795</v>
      </c>
      <c r="AC55" s="2660">
        <f t="shared" si="9"/>
        <v>123.35385109018391</v>
      </c>
      <c r="AD55" s="2661">
        <f t="shared" si="10"/>
        <v>104.90287352202297</v>
      </c>
      <c r="AE55" s="2661">
        <f t="shared" si="11"/>
        <v>103.56854674529825</v>
      </c>
      <c r="AF55" s="2661">
        <f t="shared" si="12"/>
        <v>107.23729364093539</v>
      </c>
      <c r="AG55" s="2661">
        <f t="shared" si="13"/>
        <v>105.92531343332389</v>
      </c>
      <c r="AH55" s="2661">
        <f t="shared" si="14"/>
        <v>104.85425347620657</v>
      </c>
      <c r="AI55" s="2661">
        <f t="shared" si="15"/>
        <v>103.26954244471955</v>
      </c>
      <c r="AJ55" s="2661">
        <f t="shared" si="16"/>
        <v>104.05286419171451</v>
      </c>
      <c r="AK55" s="2662">
        <f t="shared" si="17"/>
        <v>109.9473975288612</v>
      </c>
    </row>
    <row r="56" spans="1:37" ht="13.5" customHeight="1">
      <c r="A56" s="90"/>
      <c r="B56" s="82">
        <f t="shared" si="40"/>
        <v>2039</v>
      </c>
      <c r="C56" s="82"/>
      <c r="D56" s="117">
        <f t="shared" si="41"/>
        <v>135.243099954586</v>
      </c>
      <c r="E56" s="73">
        <f t="shared" si="41"/>
        <v>46.670769924775065</v>
      </c>
      <c r="F56" s="73">
        <f t="shared" si="41"/>
        <v>58.760370359587107</v>
      </c>
      <c r="G56" s="73">
        <f t="shared" si="41"/>
        <v>52.535788069131335</v>
      </c>
      <c r="H56" s="73">
        <f t="shared" si="41"/>
        <v>40.749549898737492</v>
      </c>
      <c r="I56" s="73">
        <f t="shared" si="41"/>
        <v>89.368676338773142</v>
      </c>
      <c r="J56" s="74">
        <f t="shared" si="41"/>
        <v>68.538011373925741</v>
      </c>
      <c r="K56" s="117">
        <f t="shared" si="41"/>
        <v>147.72469326573753</v>
      </c>
      <c r="L56" s="73">
        <f t="shared" si="41"/>
        <v>52.896594015471223</v>
      </c>
      <c r="M56" s="73">
        <f t="shared" si="41"/>
        <v>68.144688073856372</v>
      </c>
      <c r="N56" s="73">
        <f t="shared" si="41"/>
        <v>63.544622253110042</v>
      </c>
      <c r="O56" s="73">
        <f t="shared" si="41"/>
        <v>44.558759696351146</v>
      </c>
      <c r="P56" s="73">
        <f t="shared" si="41"/>
        <v>99.318583833825159</v>
      </c>
      <c r="Q56" s="74">
        <f t="shared" si="41"/>
        <v>88.111134512217603</v>
      </c>
      <c r="S56" s="75" t="str">
        <f t="shared" si="42"/>
        <v>2039/40</v>
      </c>
      <c r="T56" s="2660">
        <f t="shared" si="0"/>
        <v>114.24403958499187</v>
      </c>
      <c r="U56" s="2661">
        <f t="shared" si="1"/>
        <v>103.76184142612782</v>
      </c>
      <c r="V56" s="2661">
        <f t="shared" si="2"/>
        <v>101.94758356480153</v>
      </c>
      <c r="W56" s="2661">
        <f t="shared" si="3"/>
        <v>103.6453837391619</v>
      </c>
      <c r="X56" s="2661">
        <f t="shared" si="4"/>
        <v>104.19383897230811</v>
      </c>
      <c r="Y56" s="2661">
        <f t="shared" si="5"/>
        <v>104.00302789042367</v>
      </c>
      <c r="Z56" s="2661">
        <f t="shared" si="6"/>
        <v>103.71848602272095</v>
      </c>
      <c r="AA56" s="2661">
        <f t="shared" si="7"/>
        <v>103.85946831664069</v>
      </c>
      <c r="AB56" s="2662">
        <f t="shared" si="8"/>
        <v>103.30731969813931</v>
      </c>
      <c r="AC56" s="2660">
        <f t="shared" si="9"/>
        <v>124.0901799679569</v>
      </c>
      <c r="AD56" s="2661">
        <f t="shared" si="10"/>
        <v>105.14365352229601</v>
      </c>
      <c r="AE56" s="2661">
        <f t="shared" si="11"/>
        <v>103.71307839027797</v>
      </c>
      <c r="AF56" s="2661">
        <f t="shared" si="12"/>
        <v>107.60120661204205</v>
      </c>
      <c r="AG56" s="2661">
        <f t="shared" si="13"/>
        <v>106.18033579735801</v>
      </c>
      <c r="AH56" s="2661">
        <f t="shared" si="14"/>
        <v>105.09522352936153</v>
      </c>
      <c r="AI56" s="2661">
        <f t="shared" si="15"/>
        <v>103.48972108286543</v>
      </c>
      <c r="AJ56" s="2661">
        <f t="shared" si="16"/>
        <v>104.28332001428319</v>
      </c>
      <c r="AK56" s="2662">
        <f t="shared" si="17"/>
        <v>110.26821689902235</v>
      </c>
    </row>
    <row r="57" spans="1:37" ht="13.5" customHeight="1">
      <c r="A57" s="90"/>
      <c r="B57" s="32">
        <f t="shared" si="40"/>
        <v>2040</v>
      </c>
      <c r="C57" s="82"/>
      <c r="D57" s="2648">
        <v>135.75928821684025</v>
      </c>
      <c r="E57" s="2649">
        <v>46.783904738027658</v>
      </c>
      <c r="F57" s="2649">
        <v>58.844685047790577</v>
      </c>
      <c r="G57" s="2649">
        <v>52.665695454333125</v>
      </c>
      <c r="H57" s="2649">
        <v>40.864543406619354</v>
      </c>
      <c r="I57" s="2649">
        <v>89.541690665019303</v>
      </c>
      <c r="J57" s="2650">
        <v>68.655130458336131</v>
      </c>
      <c r="K57" s="2648">
        <v>148.60649757626692</v>
      </c>
      <c r="L57" s="2649">
        <v>53.018005769924407</v>
      </c>
      <c r="M57" s="2649">
        <v>68.239785129607924</v>
      </c>
      <c r="N57" s="2649">
        <v>63.760262833889804</v>
      </c>
      <c r="O57" s="2649">
        <v>44.65072304656848</v>
      </c>
      <c r="P57" s="2649">
        <v>99.557700049022998</v>
      </c>
      <c r="Q57" s="2650">
        <v>88.368237084117709</v>
      </c>
      <c r="S57" s="75" t="str">
        <f t="shared" si="42"/>
        <v>2040/41</v>
      </c>
      <c r="T57" s="2660">
        <f t="shared" si="0"/>
        <v>114.65593565831023</v>
      </c>
      <c r="U57" s="2661">
        <f t="shared" si="1"/>
        <v>104.01300649029572</v>
      </c>
      <c r="V57" s="2661">
        <f t="shared" si="2"/>
        <v>102.09594837912333</v>
      </c>
      <c r="W57" s="2661">
        <f t="shared" si="3"/>
        <v>103.90279250133622</v>
      </c>
      <c r="X57" s="2661">
        <f t="shared" si="4"/>
        <v>104.39459111231095</v>
      </c>
      <c r="Y57" s="2661">
        <f t="shared" si="5"/>
        <v>104.23184792160657</v>
      </c>
      <c r="Z57" s="2661">
        <f t="shared" si="6"/>
        <v>103.98916153787248</v>
      </c>
      <c r="AA57" s="2661">
        <f t="shared" si="7"/>
        <v>104.10940564591233</v>
      </c>
      <c r="AB57" s="2662">
        <f t="shared" si="8"/>
        <v>103.48250170237401</v>
      </c>
      <c r="AC57" s="2660">
        <f t="shared" si="9"/>
        <v>124.783207864556</v>
      </c>
      <c r="AD57" s="2661">
        <f t="shared" si="10"/>
        <v>105.38327146553073</v>
      </c>
      <c r="AE57" s="2661">
        <f t="shared" si="11"/>
        <v>103.85573343137324</v>
      </c>
      <c r="AF57" s="2661">
        <f t="shared" si="12"/>
        <v>107.96513343012906</v>
      </c>
      <c r="AG57" s="2661">
        <f t="shared" si="13"/>
        <v>106.43322849718042</v>
      </c>
      <c r="AH57" s="2661">
        <f t="shared" si="14"/>
        <v>105.3339272189006</v>
      </c>
      <c r="AI57" s="2661">
        <f t="shared" si="15"/>
        <v>103.70743110069411</v>
      </c>
      <c r="AJ57" s="2661">
        <f t="shared" si="16"/>
        <v>104.51140719190522</v>
      </c>
      <c r="AK57" s="2662">
        <f t="shared" si="17"/>
        <v>110.57880803207306</v>
      </c>
    </row>
    <row r="58" spans="1:37" ht="13.5" customHeight="1">
      <c r="A58" s="90"/>
      <c r="B58" s="82">
        <f t="shared" si="40"/>
        <v>2041</v>
      </c>
      <c r="C58" s="82"/>
      <c r="D58" s="117">
        <f t="shared" ref="D58:Q61" si="43">D57*(D$62/D$57)^(1/5)</f>
        <v>136.16300929100566</v>
      </c>
      <c r="E58" s="73">
        <f t="shared" si="43"/>
        <v>46.896657686375967</v>
      </c>
      <c r="F58" s="73">
        <f t="shared" si="43"/>
        <v>58.933920698135388</v>
      </c>
      <c r="G58" s="73">
        <f t="shared" si="43"/>
        <v>52.798197502579917</v>
      </c>
      <c r="H58" s="73">
        <f t="shared" si="43"/>
        <v>40.972382860952358</v>
      </c>
      <c r="I58" s="73">
        <f t="shared" si="43"/>
        <v>89.711733968169838</v>
      </c>
      <c r="J58" s="74">
        <f t="shared" si="43"/>
        <v>68.768861468853515</v>
      </c>
      <c r="K58" s="117">
        <f t="shared" si="43"/>
        <v>149.2661040176159</v>
      </c>
      <c r="L58" s="73">
        <f t="shared" si="43"/>
        <v>53.136243608686669</v>
      </c>
      <c r="M58" s="73">
        <f t="shared" si="43"/>
        <v>68.329550799818151</v>
      </c>
      <c r="N58" s="73">
        <f t="shared" si="43"/>
        <v>63.973748228588242</v>
      </c>
      <c r="O58" s="73">
        <f t="shared" si="43"/>
        <v>44.737696703035724</v>
      </c>
      <c r="P58" s="73">
        <f t="shared" si="43"/>
        <v>99.787120399999395</v>
      </c>
      <c r="Q58" s="74">
        <f t="shared" si="43"/>
        <v>88.590379750312607</v>
      </c>
      <c r="S58" s="75" t="str">
        <f t="shared" si="42"/>
        <v>2041/42</v>
      </c>
      <c r="T58" s="2660">
        <f t="shared" si="0"/>
        <v>114.99689956664687</v>
      </c>
      <c r="U58" s="2661">
        <f t="shared" si="1"/>
        <v>104.26368614634463</v>
      </c>
      <c r="V58" s="2661">
        <f t="shared" si="2"/>
        <v>102.25077286911393</v>
      </c>
      <c r="W58" s="2661">
        <f t="shared" si="3"/>
        <v>104.16420237556692</v>
      </c>
      <c r="X58" s="2661">
        <f t="shared" si="4"/>
        <v>104.59284067597171</v>
      </c>
      <c r="Y58" s="2661">
        <f t="shared" si="5"/>
        <v>104.45462752654973</v>
      </c>
      <c r="Z58" s="2661">
        <f t="shared" si="6"/>
        <v>104.24852090376233</v>
      </c>
      <c r="AA58" s="2661">
        <f t="shared" si="7"/>
        <v>104.35064079461429</v>
      </c>
      <c r="AB58" s="2662">
        <f t="shared" si="8"/>
        <v>103.65392617438228</v>
      </c>
      <c r="AC58" s="2660">
        <f t="shared" si="9"/>
        <v>125.3370719890867</v>
      </c>
      <c r="AD58" s="2661">
        <f t="shared" si="10"/>
        <v>105.61829143806334</v>
      </c>
      <c r="AE58" s="2661">
        <f t="shared" si="11"/>
        <v>103.9923499154219</v>
      </c>
      <c r="AF58" s="2661">
        <f t="shared" si="12"/>
        <v>108.3266278484323</v>
      </c>
      <c r="AG58" s="2661">
        <f t="shared" si="13"/>
        <v>106.67849278738953</v>
      </c>
      <c r="AH58" s="2661">
        <f t="shared" si="14"/>
        <v>105.56470754449259</v>
      </c>
      <c r="AI58" s="2661">
        <f t="shared" si="15"/>
        <v>103.91678134820697</v>
      </c>
      <c r="AJ58" s="2661">
        <f t="shared" si="16"/>
        <v>104.73135031462728</v>
      </c>
      <c r="AK58" s="2662">
        <f t="shared" si="17"/>
        <v>110.85678428294605</v>
      </c>
    </row>
    <row r="59" spans="1:37" ht="13.5" customHeight="1">
      <c r="A59" s="90"/>
      <c r="B59" s="82">
        <f t="shared" si="40"/>
        <v>2042</v>
      </c>
      <c r="C59" s="82"/>
      <c r="D59" s="117">
        <f t="shared" si="43"/>
        <v>136.56793095120733</v>
      </c>
      <c r="E59" s="73">
        <f t="shared" si="43"/>
        <v>47.009682378338503</v>
      </c>
      <c r="F59" s="73">
        <f t="shared" si="43"/>
        <v>59.023291670834055</v>
      </c>
      <c r="G59" s="73">
        <f t="shared" si="43"/>
        <v>52.931032913799292</v>
      </c>
      <c r="H59" s="73">
        <f t="shared" si="43"/>
        <v>41.080506898127631</v>
      </c>
      <c r="I59" s="73">
        <f t="shared" si="43"/>
        <v>89.882100190451467</v>
      </c>
      <c r="J59" s="74">
        <f t="shared" si="43"/>
        <v>68.882780881063056</v>
      </c>
      <c r="K59" s="117">
        <f t="shared" si="43"/>
        <v>149.92863819540014</v>
      </c>
      <c r="L59" s="73">
        <f t="shared" si="43"/>
        <v>53.25474513497003</v>
      </c>
      <c r="M59" s="73">
        <f t="shared" si="43"/>
        <v>68.419434551812103</v>
      </c>
      <c r="N59" s="73">
        <f t="shared" si="43"/>
        <v>64.187948426076446</v>
      </c>
      <c r="O59" s="73">
        <f t="shared" si="43"/>
        <v>44.824839772592007</v>
      </c>
      <c r="P59" s="73">
        <f t="shared" si="43"/>
        <v>100.01706942628083</v>
      </c>
      <c r="Q59" s="74">
        <f t="shared" si="43"/>
        <v>88.813080845257161</v>
      </c>
      <c r="S59" s="75" t="str">
        <f t="shared" si="42"/>
        <v>2042/43</v>
      </c>
      <c r="T59" s="2660">
        <f t="shared" ref="T59:T90" si="44">(D59*0.75+D60*0.25)/(D$27*0.75+D$28*0.25)*100</f>
        <v>115.33887743371247</v>
      </c>
      <c r="U59" s="2661">
        <f t="shared" ref="U59:U90" si="45">(E59*0.75+E60*0.25)/(E$27*0.75+E$28*0.25)*100</f>
        <v>104.51496996039333</v>
      </c>
      <c r="V59" s="2661">
        <f t="shared" ref="V59:V90" si="46">(F59*0.75+F60*0.25)/(F$27*0.75+F$28*0.25)*100</f>
        <v>102.40583214435391</v>
      </c>
      <c r="W59" s="2661">
        <f t="shared" ref="W59:W90" si="47">(G59*0.75+G60*0.25)/(G$27*0.75+G$28*0.25)*100</f>
        <v>104.42626993300996</v>
      </c>
      <c r="X59" s="2661">
        <f t="shared" ref="X59:X90" si="48">($I59*0.75+$I60*0.25)/($I$27*0.75+$I$28*0.25)*100</f>
        <v>104.79146672359659</v>
      </c>
      <c r="Y59" s="2661">
        <f t="shared" ref="Y59:Y90" si="49">(($H59*0.75+$H60*0.25)*O$17+($I59*0.75+$I60*0.25)*O$18)/(($H$27*0.75+$H$28*0.25)*O$17+($I$27*0.75+$I$28*0.25)*O$18)*100</f>
        <v>104.67789574811634</v>
      </c>
      <c r="Z59" s="2661">
        <f t="shared" ref="Z59:Z90" si="50">(($H59*0.75+$H60*0.25)*P$17+($I59*0.75+$I60*0.25)*P$18)/(($H$27*0.75+$H$28*0.25)*P$17+($I$27*0.75+$I$28*0.25)*P$18)*100</f>
        <v>104.50853610107266</v>
      </c>
      <c r="AA59" s="2661">
        <f t="shared" ref="AA59:AA90" si="51">(($H59*0.75+$H60*0.25)*Q$17+($I59*0.75+$I60*0.25)*Q$18)/(($H$27*0.75+$H$28*0.25)*Q$17+($I$27*0.75+$I$28*0.25)*Q$18)*100</f>
        <v>104.59244892462452</v>
      </c>
      <c r="AB59" s="2662">
        <f t="shared" ref="AB59:AB90" si="52">(J59*0.75+J60*0.25)/(J$27*0.75+J$28*0.25)*100</f>
        <v>103.82563462048392</v>
      </c>
      <c r="AC59" s="2660">
        <f t="shared" ref="AC59:AC90" si="53">(K59*0.75+K60*0.25)/(K$27*0.75+K$28*0.25)*100</f>
        <v>125.89339450103738</v>
      </c>
      <c r="AD59" s="2661">
        <f t="shared" ref="AD59:AD90" si="54">(L59*0.75+L60*0.25)/(L$27*0.75+L$28*0.25)*100</f>
        <v>105.85383553920498</v>
      </c>
      <c r="AE59" s="2661">
        <f t="shared" ref="AE59:AE90" si="55">(M59*0.75+M60*0.25)/(M$27*0.75+M$28*0.25)*100</f>
        <v>104.12914611091348</v>
      </c>
      <c r="AF59" s="2661">
        <f t="shared" ref="AF59:AF90" si="56">(N59*0.75+N60*0.25)/(N$27*0.75+N$28*0.25)*100</f>
        <v>108.68933264095841</v>
      </c>
      <c r="AG59" s="2661">
        <f t="shared" ref="AG59:AG90" si="57">($P59*0.75+$P60*0.25)/($P$27*0.75+$P$28*0.25)*100</f>
        <v>106.92432226361149</v>
      </c>
      <c r="AH59" s="2661">
        <f t="shared" ref="AH59:AH90" si="58">(($O59*0.75+$O60*0.25)*O$17+($P59*0.75+$P60*0.25)*O$18)/(($O$27*0.75+$O$28*0.25)*O$17+($P$27*0.75+$P$28*0.25)*O$18)*100</f>
        <v>105.79599640086231</v>
      </c>
      <c r="AI59" s="2661">
        <f t="shared" ref="AI59:AI90" si="59">(($O59*0.75+$O60*0.25)*P$17+($P59*0.75+$P60*0.25)*P$18)/(($O$27*0.75+$O$28*0.25)*P$17+($P$27*0.75+$P$28*0.25)*P$18)*100</f>
        <v>104.12655630096059</v>
      </c>
      <c r="AJ59" s="2661">
        <f t="shared" ref="AJ59:AJ90" si="60">(($O59*0.75+$O60*0.25)*Q$17+($P59*0.75+$P60*0.25)*Q$18)/(($O$27*0.75+$O$28*0.25)*Q$17+($P$27*0.75+$P$28*0.25)*Q$18)*100</f>
        <v>104.95175957750457</v>
      </c>
      <c r="AK59" s="2662">
        <f t="shared" ref="AK59:AK90" si="61">(Q59*0.75+Q60*0.25)/(Q$27*0.75+Q$28*0.25)*100</f>
        <v>111.13545931867144</v>
      </c>
    </row>
    <row r="60" spans="1:37" ht="13.5" customHeight="1">
      <c r="A60" s="90"/>
      <c r="B60" s="82">
        <f t="shared" si="40"/>
        <v>2043</v>
      </c>
      <c r="C60" s="82"/>
      <c r="D60" s="117">
        <f t="shared" si="43"/>
        <v>136.97405676774892</v>
      </c>
      <c r="E60" s="73">
        <f t="shared" si="43"/>
        <v>47.122979468839091</v>
      </c>
      <c r="F60" s="73">
        <f t="shared" si="43"/>
        <v>59.112798171097602</v>
      </c>
      <c r="G60" s="73">
        <f t="shared" si="43"/>
        <v>53.064202526701841</v>
      </c>
      <c r="H60" s="73">
        <f t="shared" si="43"/>
        <v>41.188916269144848</v>
      </c>
      <c r="I60" s="73">
        <f t="shared" si="43"/>
        <v>90.052789945100727</v>
      </c>
      <c r="J60" s="74">
        <f t="shared" si="43"/>
        <v>68.996889007062549</v>
      </c>
      <c r="K60" s="117">
        <f t="shared" si="43"/>
        <v>150.5941131047029</v>
      </c>
      <c r="L60" s="73">
        <f t="shared" si="43"/>
        <v>53.373510936835892</v>
      </c>
      <c r="M60" s="73">
        <f t="shared" si="43"/>
        <v>68.509436540919822</v>
      </c>
      <c r="N60" s="73">
        <f t="shared" si="43"/>
        <v>64.402865819693915</v>
      </c>
      <c r="O60" s="73">
        <f t="shared" si="43"/>
        <v>44.912152585231446</v>
      </c>
      <c r="P60" s="73">
        <f t="shared" si="43"/>
        <v>100.24754834614448</v>
      </c>
      <c r="Q60" s="74">
        <f t="shared" si="43"/>
        <v>89.036341772745942</v>
      </c>
      <c r="S60" s="75" t="str">
        <f t="shared" si="42"/>
        <v>2043/44</v>
      </c>
      <c r="T60" s="2660">
        <f t="shared" si="44"/>
        <v>115.68187227481823</v>
      </c>
      <c r="U60" s="2661">
        <f t="shared" si="45"/>
        <v>104.76685938851089</v>
      </c>
      <c r="V60" s="2661">
        <f t="shared" si="46"/>
        <v>102.56112656088585</v>
      </c>
      <c r="W60" s="2661">
        <f t="shared" si="47"/>
        <v>104.68899682833586</v>
      </c>
      <c r="X60" s="2661">
        <f t="shared" si="48"/>
        <v>104.99046997014385</v>
      </c>
      <c r="Y60" s="2661">
        <f t="shared" si="49"/>
        <v>104.90165368718995</v>
      </c>
      <c r="Z60" s="2661">
        <f t="shared" si="50"/>
        <v>104.76920880618765</v>
      </c>
      <c r="AA60" s="2661">
        <f t="shared" si="51"/>
        <v>104.83483142718325</v>
      </c>
      <c r="AB60" s="2662">
        <f t="shared" si="52"/>
        <v>103.99762751109773</v>
      </c>
      <c r="AC60" s="2660">
        <f t="shared" si="53"/>
        <v>126.45218631223365</v>
      </c>
      <c r="AD60" s="2661">
        <f t="shared" si="54"/>
        <v>106.08990493783845</v>
      </c>
      <c r="AE60" s="2661">
        <f t="shared" si="55"/>
        <v>104.26612225424854</v>
      </c>
      <c r="AF60" s="2661">
        <f t="shared" si="56"/>
        <v>109.05325186034453</v>
      </c>
      <c r="AG60" s="2661">
        <f t="shared" si="57"/>
        <v>107.17071822825865</v>
      </c>
      <c r="AH60" s="2661">
        <f t="shared" si="58"/>
        <v>106.02779491452274</v>
      </c>
      <c r="AI60" s="2661">
        <f t="shared" si="59"/>
        <v>104.33675682521199</v>
      </c>
      <c r="AJ60" s="2661">
        <f t="shared" si="60"/>
        <v>105.17263597543851</v>
      </c>
      <c r="AK60" s="2662">
        <f t="shared" si="61"/>
        <v>111.41483489587509</v>
      </c>
    </row>
    <row r="61" spans="1:37" ht="13.5" customHeight="1">
      <c r="A61" s="90"/>
      <c r="B61" s="82">
        <f t="shared" si="40"/>
        <v>2044</v>
      </c>
      <c r="C61" s="82"/>
      <c r="D61" s="117">
        <f t="shared" si="43"/>
        <v>137.38139032155146</v>
      </c>
      <c r="E61" s="73">
        <f t="shared" si="43"/>
        <v>47.236549614379967</v>
      </c>
      <c r="F61" s="73">
        <f t="shared" si="43"/>
        <v>59.202440404448254</v>
      </c>
      <c r="G61" s="73">
        <f t="shared" si="43"/>
        <v>53.197707182108275</v>
      </c>
      <c r="H61" s="73">
        <f t="shared" si="43"/>
        <v>41.297611726985515</v>
      </c>
      <c r="I61" s="73">
        <f t="shared" si="43"/>
        <v>90.223803846518706</v>
      </c>
      <c r="J61" s="74">
        <f t="shared" si="43"/>
        <v>69.111186159466783</v>
      </c>
      <c r="K61" s="117">
        <f t="shared" si="43"/>
        <v>151.26254179828757</v>
      </c>
      <c r="L61" s="73">
        <f t="shared" si="43"/>
        <v>53.492541603657109</v>
      </c>
      <c r="M61" s="73">
        <f t="shared" si="43"/>
        <v>68.599556922675731</v>
      </c>
      <c r="N61" s="73">
        <f t="shared" si="43"/>
        <v>64.618502810793643</v>
      </c>
      <c r="O61" s="73">
        <f t="shared" si="43"/>
        <v>44.999635471590942</v>
      </c>
      <c r="P61" s="73">
        <f t="shared" si="43"/>
        <v>100.47855838067493</v>
      </c>
      <c r="Q61" s="74">
        <f t="shared" si="43"/>
        <v>89.260163940102416</v>
      </c>
      <c r="S61" s="75" t="str">
        <f t="shared" si="42"/>
        <v>2044/45</v>
      </c>
      <c r="T61" s="2660">
        <f t="shared" si="44"/>
        <v>116.02588711424244</v>
      </c>
      <c r="U61" s="2661">
        <f t="shared" si="45"/>
        <v>105.01935589027565</v>
      </c>
      <c r="V61" s="2661">
        <f t="shared" si="46"/>
        <v>102.7166564752923</v>
      </c>
      <c r="W61" s="2661">
        <f t="shared" si="47"/>
        <v>104.95238472037813</v>
      </c>
      <c r="X61" s="2661">
        <f t="shared" si="48"/>
        <v>105.18985113192957</v>
      </c>
      <c r="Y61" s="2661">
        <f t="shared" si="49"/>
        <v>105.12590244720133</v>
      </c>
      <c r="Z61" s="2661">
        <f t="shared" si="50"/>
        <v>105.03054069981221</v>
      </c>
      <c r="AA61" s="2661">
        <f t="shared" si="51"/>
        <v>105.07778969697263</v>
      </c>
      <c r="AB61" s="2662">
        <f t="shared" si="52"/>
        <v>104.16990531742169</v>
      </c>
      <c r="AC61" s="2660">
        <f t="shared" si="53"/>
        <v>127.01345838293439</v>
      </c>
      <c r="AD61" s="2661">
        <f t="shared" si="54"/>
        <v>106.32650080545325</v>
      </c>
      <c r="AE61" s="2661">
        <f t="shared" si="55"/>
        <v>104.40327858213847</v>
      </c>
      <c r="AF61" s="2661">
        <f t="shared" si="56"/>
        <v>109.41838957279732</v>
      </c>
      <c r="AG61" s="2661">
        <f t="shared" si="57"/>
        <v>107.41768198674457</v>
      </c>
      <c r="AH61" s="2661">
        <f t="shared" si="58"/>
        <v>106.26010421449436</v>
      </c>
      <c r="AI61" s="2661">
        <f t="shared" si="59"/>
        <v>104.54738378899523</v>
      </c>
      <c r="AJ61" s="2661">
        <f t="shared" si="60"/>
        <v>105.39398050546855</v>
      </c>
      <c r="AK61" s="2662">
        <f t="shared" si="61"/>
        <v>111.69491277559871</v>
      </c>
    </row>
    <row r="62" spans="1:37" ht="13.5" customHeight="1">
      <c r="A62" s="90"/>
      <c r="B62" s="32">
        <f t="shared" si="40"/>
        <v>2045</v>
      </c>
      <c r="C62" s="82"/>
      <c r="D62" s="2648">
        <v>137.78993520418499</v>
      </c>
      <c r="E62" s="2649">
        <v>47.350393473045564</v>
      </c>
      <c r="F62" s="2649">
        <v>59.292218576719883</v>
      </c>
      <c r="G62" s="2649">
        <v>53.331547722954731</v>
      </c>
      <c r="H62" s="2649">
        <v>41.406594026618251</v>
      </c>
      <c r="I62" s="2649">
        <v>90.395142510273203</v>
      </c>
      <c r="J62" s="2650">
        <v>69.225672651408431</v>
      </c>
      <c r="K62" s="2648">
        <v>151.93393738685376</v>
      </c>
      <c r="L62" s="2649">
        <v>53.611837726120925</v>
      </c>
      <c r="M62" s="2649">
        <v>68.68979585281879</v>
      </c>
      <c r="N62" s="2649">
        <v>64.834861808768991</v>
      </c>
      <c r="O62" s="2649">
        <v>45.08728876295141</v>
      </c>
      <c r="P62" s="2649">
        <v>100.71010075377062</v>
      </c>
      <c r="Q62" s="2650">
        <v>89.484548758187827</v>
      </c>
      <c r="S62" s="75" t="str">
        <f t="shared" si="42"/>
        <v>2045/46</v>
      </c>
      <c r="T62" s="2660">
        <f t="shared" si="44"/>
        <v>116.36040575991338</v>
      </c>
      <c r="U62" s="2661">
        <f t="shared" si="45"/>
        <v>105.26889087854241</v>
      </c>
      <c r="V62" s="2661">
        <f t="shared" si="46"/>
        <v>102.87012273388814</v>
      </c>
      <c r="W62" s="2661">
        <f t="shared" si="47"/>
        <v>105.21237602114067</v>
      </c>
      <c r="X62" s="2661">
        <f t="shared" si="48"/>
        <v>105.38597743921943</v>
      </c>
      <c r="Y62" s="2661">
        <f t="shared" si="49"/>
        <v>105.34638619521266</v>
      </c>
      <c r="Z62" s="2661">
        <f t="shared" si="50"/>
        <v>105.28734682284966</v>
      </c>
      <c r="AA62" s="2661">
        <f t="shared" si="51"/>
        <v>105.31659913012703</v>
      </c>
      <c r="AB62" s="2662">
        <f t="shared" si="52"/>
        <v>104.34033685354377</v>
      </c>
      <c r="AC62" s="2660">
        <f t="shared" si="53"/>
        <v>127.54832180125848</v>
      </c>
      <c r="AD62" s="2661">
        <f t="shared" si="54"/>
        <v>106.55971843936578</v>
      </c>
      <c r="AE62" s="2661">
        <f t="shared" si="55"/>
        <v>104.53647737899152</v>
      </c>
      <c r="AF62" s="2661">
        <f t="shared" si="56"/>
        <v>109.77574927451505</v>
      </c>
      <c r="AG62" s="2661">
        <f t="shared" si="57"/>
        <v>107.65865816909303</v>
      </c>
      <c r="AH62" s="2661">
        <f t="shared" si="58"/>
        <v>106.48734897452212</v>
      </c>
      <c r="AI62" s="2661">
        <f t="shared" si="59"/>
        <v>104.75431191195239</v>
      </c>
      <c r="AJ62" s="2661">
        <f t="shared" si="60"/>
        <v>105.6109511303879</v>
      </c>
      <c r="AK62" s="2662">
        <f t="shared" si="61"/>
        <v>111.9657193902067</v>
      </c>
    </row>
    <row r="63" spans="1:37" ht="13.5" customHeight="1">
      <c r="A63" s="90"/>
      <c r="B63" s="82">
        <f t="shared" si="40"/>
        <v>2046</v>
      </c>
      <c r="C63" s="82"/>
      <c r="D63" s="117">
        <f t="shared" ref="D63:Q66" si="62">D62*(D$67/D$62)^(1/5)</f>
        <v>138.14983648261372</v>
      </c>
      <c r="E63" s="73">
        <f t="shared" si="62"/>
        <v>47.458084757360119</v>
      </c>
      <c r="F63" s="73">
        <f t="shared" si="62"/>
        <v>59.376829440159867</v>
      </c>
      <c r="G63" s="73">
        <f t="shared" si="62"/>
        <v>53.457489691406991</v>
      </c>
      <c r="H63" s="73">
        <f t="shared" si="62"/>
        <v>41.507105706629453</v>
      </c>
      <c r="I63" s="73">
        <f t="shared" si="62"/>
        <v>90.554334525006951</v>
      </c>
      <c r="J63" s="74">
        <f t="shared" si="62"/>
        <v>69.334689487687001</v>
      </c>
      <c r="K63" s="117">
        <f t="shared" si="62"/>
        <v>152.47049059585376</v>
      </c>
      <c r="L63" s="73">
        <f t="shared" si="62"/>
        <v>53.723535374635894</v>
      </c>
      <c r="M63" s="73">
        <f t="shared" si="62"/>
        <v>68.769274324458635</v>
      </c>
      <c r="N63" s="73">
        <f t="shared" si="62"/>
        <v>65.03066577048088</v>
      </c>
      <c r="O63" s="73">
        <f t="shared" si="62"/>
        <v>45.168969278544466</v>
      </c>
      <c r="P63" s="73">
        <f t="shared" si="62"/>
        <v>100.91763007679894</v>
      </c>
      <c r="Q63" s="74">
        <f t="shared" si="62"/>
        <v>89.677590747016026</v>
      </c>
      <c r="S63" s="75" t="str">
        <f t="shared" si="42"/>
        <v>2046/47</v>
      </c>
      <c r="T63" s="2660">
        <f t="shared" si="44"/>
        <v>116.66433404559999</v>
      </c>
      <c r="U63" s="2661">
        <f t="shared" si="45"/>
        <v>105.50830899580752</v>
      </c>
      <c r="V63" s="2661">
        <f t="shared" si="46"/>
        <v>103.01691990416823</v>
      </c>
      <c r="W63" s="2661">
        <f t="shared" si="47"/>
        <v>105.46083409722118</v>
      </c>
      <c r="X63" s="2661">
        <f t="shared" si="48"/>
        <v>105.57156933727225</v>
      </c>
      <c r="Y63" s="2661">
        <f t="shared" si="49"/>
        <v>105.55457405322323</v>
      </c>
      <c r="Z63" s="2661">
        <f t="shared" si="50"/>
        <v>105.52923029531524</v>
      </c>
      <c r="AA63" s="2661">
        <f t="shared" si="51"/>
        <v>105.54178739685977</v>
      </c>
      <c r="AB63" s="2662">
        <f t="shared" si="52"/>
        <v>104.50465238829192</v>
      </c>
      <c r="AC63" s="2660">
        <f t="shared" si="53"/>
        <v>127.9987574481066</v>
      </c>
      <c r="AD63" s="2661">
        <f t="shared" si="54"/>
        <v>106.78173041434971</v>
      </c>
      <c r="AE63" s="2661">
        <f t="shared" si="55"/>
        <v>104.65743274579008</v>
      </c>
      <c r="AF63" s="2661">
        <f t="shared" si="56"/>
        <v>110.10727657338151</v>
      </c>
      <c r="AG63" s="2661">
        <f t="shared" si="57"/>
        <v>107.88050610967443</v>
      </c>
      <c r="AH63" s="2661">
        <f t="shared" si="58"/>
        <v>106.69835376942179</v>
      </c>
      <c r="AI63" s="2661">
        <f t="shared" si="59"/>
        <v>104.94927348493562</v>
      </c>
      <c r="AJ63" s="2661">
        <f t="shared" si="60"/>
        <v>105.81384285869237</v>
      </c>
      <c r="AK63" s="2662">
        <f t="shared" si="61"/>
        <v>112.2072592476638</v>
      </c>
    </row>
    <row r="64" spans="1:37" ht="13.5" customHeight="1">
      <c r="A64" s="90"/>
      <c r="B64" s="82">
        <f t="shared" si="40"/>
        <v>2047</v>
      </c>
      <c r="C64" s="82"/>
      <c r="D64" s="117">
        <f t="shared" si="62"/>
        <v>138.51067780742554</v>
      </c>
      <c r="E64" s="73">
        <f t="shared" si="62"/>
        <v>47.566020969158203</v>
      </c>
      <c r="F64" s="73">
        <f t="shared" si="62"/>
        <v>59.461561044539962</v>
      </c>
      <c r="G64" s="73">
        <f t="shared" si="62"/>
        <v>53.583729070680704</v>
      </c>
      <c r="H64" s="73">
        <f t="shared" si="62"/>
        <v>41.607861371881562</v>
      </c>
      <c r="I64" s="73">
        <f t="shared" si="62"/>
        <v>90.713806887742265</v>
      </c>
      <c r="J64" s="74">
        <f t="shared" si="62"/>
        <v>69.44387800406831</v>
      </c>
      <c r="K64" s="117">
        <f t="shared" si="62"/>
        <v>153.0089386372463</v>
      </c>
      <c r="L64" s="73">
        <f t="shared" si="62"/>
        <v>53.835465739752507</v>
      </c>
      <c r="M64" s="73">
        <f t="shared" si="62"/>
        <v>68.848844757755614</v>
      </c>
      <c r="N64" s="73">
        <f t="shared" si="62"/>
        <v>65.227061068247977</v>
      </c>
      <c r="O64" s="73">
        <f t="shared" si="62"/>
        <v>45.250797767253907</v>
      </c>
      <c r="P64" s="73">
        <f t="shared" si="62"/>
        <v>101.12558704729852</v>
      </c>
      <c r="Q64" s="74">
        <f t="shared" si="62"/>
        <v>89.871049178794081</v>
      </c>
      <c r="S64" s="75" t="str">
        <f t="shared" si="42"/>
        <v>2047/48</v>
      </c>
      <c r="T64" s="2660">
        <f t="shared" si="44"/>
        <v>116.96905617866314</v>
      </c>
      <c r="U64" s="2661">
        <f t="shared" si="45"/>
        <v>105.74827163324755</v>
      </c>
      <c r="V64" s="2661">
        <f t="shared" si="46"/>
        <v>103.16392655615816</v>
      </c>
      <c r="W64" s="2661">
        <f t="shared" si="47"/>
        <v>105.70987890480519</v>
      </c>
      <c r="X64" s="2661">
        <f t="shared" si="48"/>
        <v>105.7574880753227</v>
      </c>
      <c r="Y64" s="2661">
        <f t="shared" si="49"/>
        <v>105.76318356365661</v>
      </c>
      <c r="Z64" s="2661">
        <f t="shared" si="50"/>
        <v>105.77167680666952</v>
      </c>
      <c r="AA64" s="2661">
        <f t="shared" si="51"/>
        <v>105.76746864956263</v>
      </c>
      <c r="AB64" s="2662">
        <f t="shared" si="52"/>
        <v>104.6692266877304</v>
      </c>
      <c r="AC64" s="2660">
        <f t="shared" si="53"/>
        <v>128.4507838040216</v>
      </c>
      <c r="AD64" s="2661">
        <f t="shared" si="54"/>
        <v>107.00420494045292</v>
      </c>
      <c r="AE64" s="2661">
        <f t="shared" si="55"/>
        <v>104.77852806565696</v>
      </c>
      <c r="AF64" s="2661">
        <f t="shared" si="56"/>
        <v>110.43980509838964</v>
      </c>
      <c r="AG64" s="2661">
        <f t="shared" si="57"/>
        <v>108.10281120353622</v>
      </c>
      <c r="AH64" s="2661">
        <f t="shared" si="58"/>
        <v>106.90977810265142</v>
      </c>
      <c r="AI64" s="2661">
        <f t="shared" si="59"/>
        <v>105.14459894219645</v>
      </c>
      <c r="AJ64" s="2661">
        <f t="shared" si="60"/>
        <v>106.01712598104038</v>
      </c>
      <c r="AK64" s="2662">
        <f t="shared" si="61"/>
        <v>112.44932017088156</v>
      </c>
    </row>
    <row r="65" spans="1:37" ht="13.5" customHeight="1">
      <c r="A65" s="90"/>
      <c r="B65" s="82">
        <f t="shared" si="40"/>
        <v>2048</v>
      </c>
      <c r="C65" s="82"/>
      <c r="D65" s="117">
        <f t="shared" si="62"/>
        <v>138.87246163398046</v>
      </c>
      <c r="E65" s="73">
        <f t="shared" si="62"/>
        <v>47.674202665490199</v>
      </c>
      <c r="F65" s="73">
        <f t="shared" si="62"/>
        <v>59.546413562159252</v>
      </c>
      <c r="G65" s="73">
        <f t="shared" si="62"/>
        <v>53.710266563108839</v>
      </c>
      <c r="H65" s="73">
        <f t="shared" si="62"/>
        <v>41.708861614632092</v>
      </c>
      <c r="I65" s="73">
        <f t="shared" si="62"/>
        <v>90.873560092191127</v>
      </c>
      <c r="J65" s="74">
        <f t="shared" si="62"/>
        <v>69.553238470914778</v>
      </c>
      <c r="K65" s="117">
        <f t="shared" si="62"/>
        <v>153.54928820261341</v>
      </c>
      <c r="L65" s="73">
        <f t="shared" si="62"/>
        <v>53.947629306324458</v>
      </c>
      <c r="M65" s="73">
        <f t="shared" si="62"/>
        <v>68.928507259115207</v>
      </c>
      <c r="N65" s="73">
        <f t="shared" si="62"/>
        <v>65.424049487929594</v>
      </c>
      <c r="O65" s="73">
        <f t="shared" si="62"/>
        <v>45.332774497149089</v>
      </c>
      <c r="P65" s="73">
        <f t="shared" si="62"/>
        <v>101.33397254650559</v>
      </c>
      <c r="Q65" s="74">
        <f t="shared" si="62"/>
        <v>90.064924951900267</v>
      </c>
      <c r="S65" s="75" t="str">
        <f t="shared" si="42"/>
        <v>2048/49</v>
      </c>
      <c r="T65" s="2660">
        <f t="shared" si="44"/>
        <v>117.27457423259733</v>
      </c>
      <c r="U65" s="2661">
        <f t="shared" si="45"/>
        <v>105.98878002929099</v>
      </c>
      <c r="V65" s="2661">
        <f t="shared" si="46"/>
        <v>103.31114298879143</v>
      </c>
      <c r="W65" s="2661">
        <f t="shared" si="47"/>
        <v>105.95951182945385</v>
      </c>
      <c r="X65" s="2661">
        <f t="shared" si="48"/>
        <v>105.94373422895842</v>
      </c>
      <c r="Y65" s="2661">
        <f t="shared" si="49"/>
        <v>105.97221560262726</v>
      </c>
      <c r="Z65" s="2661">
        <f t="shared" si="50"/>
        <v>106.01468768117974</v>
      </c>
      <c r="AA65" s="2661">
        <f t="shared" si="51"/>
        <v>105.99364399045609</v>
      </c>
      <c r="AB65" s="2662">
        <f t="shared" si="52"/>
        <v>104.83406015936283</v>
      </c>
      <c r="AC65" s="2660">
        <f t="shared" si="53"/>
        <v>128.90440648657687</v>
      </c>
      <c r="AD65" s="2661">
        <f t="shared" si="54"/>
        <v>107.22714298137814</v>
      </c>
      <c r="AE65" s="2661">
        <f t="shared" si="55"/>
        <v>104.89976350052667</v>
      </c>
      <c r="AF65" s="2661">
        <f t="shared" si="56"/>
        <v>110.77333787328369</v>
      </c>
      <c r="AG65" s="2661">
        <f t="shared" si="57"/>
        <v>108.32557439271599</v>
      </c>
      <c r="AH65" s="2661">
        <f t="shared" si="58"/>
        <v>107.12162281107204</v>
      </c>
      <c r="AI65" s="2661">
        <f t="shared" si="59"/>
        <v>105.34028896497966</v>
      </c>
      <c r="AJ65" s="2661">
        <f t="shared" si="60"/>
        <v>106.22080125559772</v>
      </c>
      <c r="AK65" s="2662">
        <f t="shared" si="61"/>
        <v>112.69190328393748</v>
      </c>
    </row>
    <row r="66" spans="1:37" ht="13.5" customHeight="1">
      <c r="A66" s="90"/>
      <c r="B66" s="82">
        <f t="shared" si="40"/>
        <v>2049</v>
      </c>
      <c r="C66" s="82"/>
      <c r="D66" s="117">
        <f t="shared" si="62"/>
        <v>139.23519042405175</v>
      </c>
      <c r="E66" s="73">
        <f t="shared" si="62"/>
        <v>47.782630404673434</v>
      </c>
      <c r="F66" s="73">
        <f t="shared" si="62"/>
        <v>59.6313871655627</v>
      </c>
      <c r="G66" s="73">
        <f t="shared" si="62"/>
        <v>53.837102872682919</v>
      </c>
      <c r="H66" s="73">
        <f t="shared" si="62"/>
        <v>41.810107028576219</v>
      </c>
      <c r="I66" s="73">
        <f t="shared" si="62"/>
        <v>91.03359463293495</v>
      </c>
      <c r="J66" s="74">
        <f t="shared" si="62"/>
        <v>69.662771159014625</v>
      </c>
      <c r="K66" s="117">
        <f t="shared" si="62"/>
        <v>154.09154600716832</v>
      </c>
      <c r="L66" s="73">
        <f t="shared" si="62"/>
        <v>54.060026560215597</v>
      </c>
      <c r="M66" s="73">
        <f t="shared" si="62"/>
        <v>69.008261935066045</v>
      </c>
      <c r="N66" s="73">
        <f t="shared" si="62"/>
        <v>65.621632820778444</v>
      </c>
      <c r="O66" s="73">
        <f t="shared" si="62"/>
        <v>45.414899736785003</v>
      </c>
      <c r="P66" s="73">
        <f t="shared" si="62"/>
        <v>101.5427874574723</v>
      </c>
      <c r="Q66" s="74">
        <f t="shared" si="62"/>
        <v>90.259218966650906</v>
      </c>
      <c r="S66" s="75" t="str">
        <f t="shared" si="42"/>
        <v>2049/50</v>
      </c>
      <c r="T66" s="2660">
        <f t="shared" si="44"/>
        <v>117.58089028631311</v>
      </c>
      <c r="U66" s="2661">
        <f t="shared" si="45"/>
        <v>106.22983542518301</v>
      </c>
      <c r="V66" s="2661">
        <f t="shared" si="46"/>
        <v>103.45856950142804</v>
      </c>
      <c r="W66" s="2661">
        <f t="shared" si="47"/>
        <v>106.20973426000032</v>
      </c>
      <c r="X66" s="2661">
        <f t="shared" si="48"/>
        <v>106.13030837478057</v>
      </c>
      <c r="Y66" s="2661">
        <f t="shared" si="49"/>
        <v>106.18167104811688</v>
      </c>
      <c r="Z66" s="2661">
        <f t="shared" si="50"/>
        <v>106.25826424625295</v>
      </c>
      <c r="AA66" s="2661">
        <f t="shared" si="51"/>
        <v>106.22031452426985</v>
      </c>
      <c r="AB66" s="2662">
        <f t="shared" si="52"/>
        <v>104.99915321133449</v>
      </c>
      <c r="AC66" s="2660">
        <f t="shared" si="53"/>
        <v>129.35963113318439</v>
      </c>
      <c r="AD66" s="2661">
        <f t="shared" si="54"/>
        <v>107.45054550283588</v>
      </c>
      <c r="AE66" s="2661">
        <f t="shared" si="55"/>
        <v>105.02113921252136</v>
      </c>
      <c r="AF66" s="2661">
        <f t="shared" si="56"/>
        <v>111.10787793093988</v>
      </c>
      <c r="AG66" s="2661">
        <f t="shared" si="57"/>
        <v>108.54879662119276</v>
      </c>
      <c r="AH66" s="2661">
        <f t="shared" si="58"/>
        <v>107.3338887332193</v>
      </c>
      <c r="AI66" s="2661">
        <f t="shared" si="59"/>
        <v>105.53634423580964</v>
      </c>
      <c r="AJ66" s="2661">
        <f t="shared" si="60"/>
        <v>106.42486944200506</v>
      </c>
      <c r="AK66" s="2662">
        <f t="shared" si="61"/>
        <v>112.93500971333405</v>
      </c>
    </row>
    <row r="67" spans="1:37" ht="13.5" customHeight="1">
      <c r="A67" s="90"/>
      <c r="B67" s="32">
        <f t="shared" si="40"/>
        <v>2050</v>
      </c>
      <c r="C67" s="82"/>
      <c r="D67" s="2648">
        <v>139.59886664584278</v>
      </c>
      <c r="E67" s="2649">
        <v>47.891304746295035</v>
      </c>
      <c r="F67" s="2649">
        <v>59.71648202754151</v>
      </c>
      <c r="G67" s="2649">
        <v>53.964238705056943</v>
      </c>
      <c r="H67" s="2649">
        <v>41.911598208850265</v>
      </c>
      <c r="I67" s="2649">
        <v>91.193911005426159</v>
      </c>
      <c r="J67" s="2650">
        <v>69.772476339582454</v>
      </c>
      <c r="K67" s="2648">
        <v>154.63571878983907</v>
      </c>
      <c r="L67" s="2649">
        <v>54.172657988302042</v>
      </c>
      <c r="M67" s="2649">
        <v>69.088108892260024</v>
      </c>
      <c r="N67" s="2649">
        <v>65.819812863456818</v>
      </c>
      <c r="O67" s="2649">
        <v>45.497173755203171</v>
      </c>
      <c r="P67" s="2649">
        <v>101.75203266507047</v>
      </c>
      <c r="Q67" s="2650">
        <v>90.453932125304561</v>
      </c>
      <c r="S67" s="2663" t="str">
        <f t="shared" si="42"/>
        <v>2050/51</v>
      </c>
      <c r="T67" s="2664">
        <f t="shared" si="44"/>
        <v>117.81107708023441</v>
      </c>
      <c r="U67" s="2665">
        <f t="shared" si="45"/>
        <v>106.41093518405982</v>
      </c>
      <c r="V67" s="2665">
        <f t="shared" si="46"/>
        <v>103.56925768233505</v>
      </c>
      <c r="W67" s="2665">
        <f t="shared" si="47"/>
        <v>106.39773326692877</v>
      </c>
      <c r="X67" s="2665">
        <f t="shared" si="48"/>
        <v>106.2704237233268</v>
      </c>
      <c r="Y67" s="2665">
        <f t="shared" si="49"/>
        <v>106.33900116939124</v>
      </c>
      <c r="Z67" s="2665">
        <f t="shared" si="50"/>
        <v>106.44126543199457</v>
      </c>
      <c r="AA67" s="2665">
        <f t="shared" si="51"/>
        <v>106.39059643750097</v>
      </c>
      <c r="AB67" s="2666">
        <f t="shared" si="52"/>
        <v>105.12311918664359</v>
      </c>
      <c r="AC67" s="2664">
        <f t="shared" si="53"/>
        <v>129.70195310749614</v>
      </c>
      <c r="AD67" s="2665">
        <f t="shared" si="54"/>
        <v>107.61835907227409</v>
      </c>
      <c r="AE67" s="2665">
        <f t="shared" si="55"/>
        <v>105.11224997085469</v>
      </c>
      <c r="AF67" s="2665">
        <f t="shared" si="56"/>
        <v>111.35935085312623</v>
      </c>
      <c r="AG67" s="2665">
        <f t="shared" si="57"/>
        <v>108.7164719010111</v>
      </c>
      <c r="AH67" s="2665">
        <f t="shared" si="58"/>
        <v>107.49332546183869</v>
      </c>
      <c r="AI67" s="2665">
        <f t="shared" si="59"/>
        <v>105.68359142930382</v>
      </c>
      <c r="AJ67" s="2665">
        <f t="shared" si="60"/>
        <v>106.57814191566676</v>
      </c>
      <c r="AK67" s="2666">
        <f t="shared" si="61"/>
        <v>113.11763437683486</v>
      </c>
    </row>
    <row r="68" spans="1:37" ht="13.5" customHeight="1">
      <c r="A68" s="90"/>
      <c r="B68" s="82">
        <f t="shared" si="40"/>
        <v>2051</v>
      </c>
      <c r="C68" s="82"/>
      <c r="D68" s="2654">
        <f t="shared" ref="D68:D117" si="63">D67</f>
        <v>139.59886664584278</v>
      </c>
      <c r="E68" s="2655">
        <f t="shared" ref="E68:J68" si="64">E67</f>
        <v>47.891304746295035</v>
      </c>
      <c r="F68" s="2655">
        <f t="shared" si="64"/>
        <v>59.71648202754151</v>
      </c>
      <c r="G68" s="2655">
        <f t="shared" si="64"/>
        <v>53.964238705056943</v>
      </c>
      <c r="H68" s="2655">
        <f t="shared" si="64"/>
        <v>41.911598208850265</v>
      </c>
      <c r="I68" s="2655">
        <f t="shared" si="64"/>
        <v>91.193911005426159</v>
      </c>
      <c r="J68" s="2656">
        <f t="shared" si="64"/>
        <v>69.772476339582454</v>
      </c>
      <c r="K68" s="2654">
        <f t="shared" ref="K68:K117" si="65">K67</f>
        <v>154.63571878983907</v>
      </c>
      <c r="L68" s="2655">
        <f t="shared" ref="L68:L116" si="66">L67</f>
        <v>54.172657988302042</v>
      </c>
      <c r="M68" s="2655">
        <f t="shared" ref="M68:M116" si="67">M67</f>
        <v>69.088108892260024</v>
      </c>
      <c r="N68" s="2655">
        <f t="shared" ref="N68:N116" si="68">N67</f>
        <v>65.819812863456818</v>
      </c>
      <c r="O68" s="2655">
        <f t="shared" ref="O68:O116" si="69">O67</f>
        <v>45.497173755203171</v>
      </c>
      <c r="P68" s="2655">
        <f t="shared" ref="P68:P116" si="70">P67</f>
        <v>101.75203266507047</v>
      </c>
      <c r="Q68" s="2656">
        <f t="shared" ref="Q68:Q116" si="71">Q67</f>
        <v>90.453932125304561</v>
      </c>
      <c r="R68" s="75"/>
      <c r="S68" s="2663" t="str">
        <f t="shared" si="42"/>
        <v>2051/52</v>
      </c>
      <c r="T68" s="2664">
        <f t="shared" si="44"/>
        <v>117.81107708023441</v>
      </c>
      <c r="U68" s="2665">
        <f t="shared" si="45"/>
        <v>106.41093518405982</v>
      </c>
      <c r="V68" s="2665">
        <f t="shared" si="46"/>
        <v>103.56925768233505</v>
      </c>
      <c r="W68" s="2665">
        <f t="shared" si="47"/>
        <v>106.39773326692877</v>
      </c>
      <c r="X68" s="2665">
        <f t="shared" si="48"/>
        <v>106.2704237233268</v>
      </c>
      <c r="Y68" s="2665">
        <f t="shared" si="49"/>
        <v>106.33900116939124</v>
      </c>
      <c r="Z68" s="2665">
        <f t="shared" si="50"/>
        <v>106.44126543199457</v>
      </c>
      <c r="AA68" s="2665">
        <f t="shared" si="51"/>
        <v>106.39059643750097</v>
      </c>
      <c r="AB68" s="2666">
        <f t="shared" si="52"/>
        <v>105.12311918664359</v>
      </c>
      <c r="AC68" s="2664">
        <f t="shared" si="53"/>
        <v>129.70195310749614</v>
      </c>
      <c r="AD68" s="2665">
        <f t="shared" si="54"/>
        <v>107.61835907227409</v>
      </c>
      <c r="AE68" s="2665">
        <f t="shared" si="55"/>
        <v>105.11224997085469</v>
      </c>
      <c r="AF68" s="2665">
        <f t="shared" si="56"/>
        <v>111.35935085312623</v>
      </c>
      <c r="AG68" s="2665">
        <f t="shared" si="57"/>
        <v>108.7164719010111</v>
      </c>
      <c r="AH68" s="2665">
        <f t="shared" si="58"/>
        <v>107.49332546183869</v>
      </c>
      <c r="AI68" s="2665">
        <f t="shared" si="59"/>
        <v>105.68359142930382</v>
      </c>
      <c r="AJ68" s="2665">
        <f t="shared" si="60"/>
        <v>106.57814191566676</v>
      </c>
      <c r="AK68" s="2666">
        <f t="shared" si="61"/>
        <v>113.11763437683486</v>
      </c>
    </row>
    <row r="69" spans="1:37" ht="13.5" customHeight="1">
      <c r="A69" s="90"/>
      <c r="B69" s="82">
        <f t="shared" si="40"/>
        <v>2052</v>
      </c>
      <c r="C69" s="82"/>
      <c r="D69" s="2654">
        <f t="shared" si="63"/>
        <v>139.59886664584278</v>
      </c>
      <c r="E69" s="2655">
        <f t="shared" ref="E69:E117" si="72">E68</f>
        <v>47.891304746295035</v>
      </c>
      <c r="F69" s="2655">
        <f t="shared" ref="F69:F117" si="73">F68</f>
        <v>59.71648202754151</v>
      </c>
      <c r="G69" s="2655">
        <f t="shared" ref="G69:G117" si="74">G68</f>
        <v>53.964238705056943</v>
      </c>
      <c r="H69" s="2655">
        <f t="shared" ref="H69:H117" si="75">H68</f>
        <v>41.911598208850265</v>
      </c>
      <c r="I69" s="2655">
        <f t="shared" ref="I69:I117" si="76">I68</f>
        <v>91.193911005426159</v>
      </c>
      <c r="J69" s="2656">
        <f t="shared" ref="J69:J117" si="77">J68</f>
        <v>69.772476339582454</v>
      </c>
      <c r="K69" s="2654">
        <f t="shared" si="65"/>
        <v>154.63571878983907</v>
      </c>
      <c r="L69" s="2655">
        <f t="shared" si="66"/>
        <v>54.172657988302042</v>
      </c>
      <c r="M69" s="2655">
        <f t="shared" si="67"/>
        <v>69.088108892260024</v>
      </c>
      <c r="N69" s="2655">
        <f t="shared" si="68"/>
        <v>65.819812863456818</v>
      </c>
      <c r="O69" s="2655">
        <f t="shared" si="69"/>
        <v>45.497173755203171</v>
      </c>
      <c r="P69" s="2655">
        <f t="shared" si="70"/>
        <v>101.75203266507047</v>
      </c>
      <c r="Q69" s="2656">
        <f t="shared" si="71"/>
        <v>90.453932125304561</v>
      </c>
      <c r="R69" s="75"/>
      <c r="S69" s="2663" t="str">
        <f t="shared" si="42"/>
        <v>2052/53</v>
      </c>
      <c r="T69" s="2664">
        <f t="shared" si="44"/>
        <v>117.81107708023441</v>
      </c>
      <c r="U69" s="2665">
        <f t="shared" si="45"/>
        <v>106.41093518405982</v>
      </c>
      <c r="V69" s="2665">
        <f t="shared" si="46"/>
        <v>103.56925768233505</v>
      </c>
      <c r="W69" s="2665">
        <f t="shared" si="47"/>
        <v>106.39773326692877</v>
      </c>
      <c r="X69" s="2665">
        <f t="shared" si="48"/>
        <v>106.2704237233268</v>
      </c>
      <c r="Y69" s="2665">
        <f t="shared" si="49"/>
        <v>106.33900116939124</v>
      </c>
      <c r="Z69" s="2665">
        <f t="shared" si="50"/>
        <v>106.44126543199457</v>
      </c>
      <c r="AA69" s="2665">
        <f t="shared" si="51"/>
        <v>106.39059643750097</v>
      </c>
      <c r="AB69" s="2666">
        <f t="shared" si="52"/>
        <v>105.12311918664359</v>
      </c>
      <c r="AC69" s="2664">
        <f t="shared" si="53"/>
        <v>129.70195310749614</v>
      </c>
      <c r="AD69" s="2665">
        <f t="shared" si="54"/>
        <v>107.61835907227409</v>
      </c>
      <c r="AE69" s="2665">
        <f t="shared" si="55"/>
        <v>105.11224997085469</v>
      </c>
      <c r="AF69" s="2665">
        <f t="shared" si="56"/>
        <v>111.35935085312623</v>
      </c>
      <c r="AG69" s="2665">
        <f t="shared" si="57"/>
        <v>108.7164719010111</v>
      </c>
      <c r="AH69" s="2665">
        <f t="shared" si="58"/>
        <v>107.49332546183869</v>
      </c>
      <c r="AI69" s="2665">
        <f t="shared" si="59"/>
        <v>105.68359142930382</v>
      </c>
      <c r="AJ69" s="2665">
        <f t="shared" si="60"/>
        <v>106.57814191566676</v>
      </c>
      <c r="AK69" s="2666">
        <f t="shared" si="61"/>
        <v>113.11763437683486</v>
      </c>
    </row>
    <row r="70" spans="1:37" ht="13.5" customHeight="1">
      <c r="A70" s="90"/>
      <c r="B70" s="82">
        <f t="shared" si="40"/>
        <v>2053</v>
      </c>
      <c r="C70" s="82"/>
      <c r="D70" s="2654">
        <f t="shared" si="63"/>
        <v>139.59886664584278</v>
      </c>
      <c r="E70" s="2655">
        <f t="shared" si="72"/>
        <v>47.891304746295035</v>
      </c>
      <c r="F70" s="2655">
        <f t="shared" si="73"/>
        <v>59.71648202754151</v>
      </c>
      <c r="G70" s="2655">
        <f t="shared" si="74"/>
        <v>53.964238705056943</v>
      </c>
      <c r="H70" s="2655">
        <f t="shared" si="75"/>
        <v>41.911598208850265</v>
      </c>
      <c r="I70" s="2655">
        <f t="shared" si="76"/>
        <v>91.193911005426159</v>
      </c>
      <c r="J70" s="2656">
        <f t="shared" si="77"/>
        <v>69.772476339582454</v>
      </c>
      <c r="K70" s="2654">
        <f t="shared" si="65"/>
        <v>154.63571878983907</v>
      </c>
      <c r="L70" s="2655">
        <f t="shared" si="66"/>
        <v>54.172657988302042</v>
      </c>
      <c r="M70" s="2655">
        <f t="shared" si="67"/>
        <v>69.088108892260024</v>
      </c>
      <c r="N70" s="2655">
        <f t="shared" si="68"/>
        <v>65.819812863456818</v>
      </c>
      <c r="O70" s="2655">
        <f t="shared" si="69"/>
        <v>45.497173755203171</v>
      </c>
      <c r="P70" s="2655">
        <f t="shared" si="70"/>
        <v>101.75203266507047</v>
      </c>
      <c r="Q70" s="2656">
        <f t="shared" si="71"/>
        <v>90.453932125304561</v>
      </c>
      <c r="R70" s="75"/>
      <c r="S70" s="2663" t="str">
        <f t="shared" si="42"/>
        <v>2053/54</v>
      </c>
      <c r="T70" s="2664">
        <f t="shared" si="44"/>
        <v>117.81107708023441</v>
      </c>
      <c r="U70" s="2665">
        <f t="shared" si="45"/>
        <v>106.41093518405982</v>
      </c>
      <c r="V70" s="2665">
        <f t="shared" si="46"/>
        <v>103.56925768233505</v>
      </c>
      <c r="W70" s="2665">
        <f t="shared" si="47"/>
        <v>106.39773326692877</v>
      </c>
      <c r="X70" s="2665">
        <f t="shared" si="48"/>
        <v>106.2704237233268</v>
      </c>
      <c r="Y70" s="2665">
        <f t="shared" si="49"/>
        <v>106.33900116939124</v>
      </c>
      <c r="Z70" s="2665">
        <f t="shared" si="50"/>
        <v>106.44126543199457</v>
      </c>
      <c r="AA70" s="2665">
        <f t="shared" si="51"/>
        <v>106.39059643750097</v>
      </c>
      <c r="AB70" s="2666">
        <f t="shared" si="52"/>
        <v>105.12311918664359</v>
      </c>
      <c r="AC70" s="2664">
        <f t="shared" si="53"/>
        <v>129.70195310749614</v>
      </c>
      <c r="AD70" s="2665">
        <f t="shared" si="54"/>
        <v>107.61835907227409</v>
      </c>
      <c r="AE70" s="2665">
        <f t="shared" si="55"/>
        <v>105.11224997085469</v>
      </c>
      <c r="AF70" s="2665">
        <f t="shared" si="56"/>
        <v>111.35935085312623</v>
      </c>
      <c r="AG70" s="2665">
        <f t="shared" si="57"/>
        <v>108.7164719010111</v>
      </c>
      <c r="AH70" s="2665">
        <f t="shared" si="58"/>
        <v>107.49332546183869</v>
      </c>
      <c r="AI70" s="2665">
        <f t="shared" si="59"/>
        <v>105.68359142930382</v>
      </c>
      <c r="AJ70" s="2665">
        <f t="shared" si="60"/>
        <v>106.57814191566676</v>
      </c>
      <c r="AK70" s="2666">
        <f t="shared" si="61"/>
        <v>113.11763437683486</v>
      </c>
    </row>
    <row r="71" spans="1:37" ht="13.5" customHeight="1">
      <c r="A71" s="90"/>
      <c r="B71" s="82">
        <f t="shared" si="40"/>
        <v>2054</v>
      </c>
      <c r="C71" s="82"/>
      <c r="D71" s="2654">
        <f t="shared" si="63"/>
        <v>139.59886664584278</v>
      </c>
      <c r="E71" s="2655">
        <f t="shared" si="72"/>
        <v>47.891304746295035</v>
      </c>
      <c r="F71" s="2655">
        <f t="shared" si="73"/>
        <v>59.71648202754151</v>
      </c>
      <c r="G71" s="2655">
        <f t="shared" si="74"/>
        <v>53.964238705056943</v>
      </c>
      <c r="H71" s="2655">
        <f t="shared" si="75"/>
        <v>41.911598208850265</v>
      </c>
      <c r="I71" s="2655">
        <f t="shared" si="76"/>
        <v>91.193911005426159</v>
      </c>
      <c r="J71" s="2656">
        <f t="shared" si="77"/>
        <v>69.772476339582454</v>
      </c>
      <c r="K71" s="2654">
        <f t="shared" si="65"/>
        <v>154.63571878983907</v>
      </c>
      <c r="L71" s="2655">
        <f t="shared" si="66"/>
        <v>54.172657988302042</v>
      </c>
      <c r="M71" s="2655">
        <f t="shared" si="67"/>
        <v>69.088108892260024</v>
      </c>
      <c r="N71" s="2655">
        <f t="shared" si="68"/>
        <v>65.819812863456818</v>
      </c>
      <c r="O71" s="2655">
        <f t="shared" si="69"/>
        <v>45.497173755203171</v>
      </c>
      <c r="P71" s="2655">
        <f t="shared" si="70"/>
        <v>101.75203266507047</v>
      </c>
      <c r="Q71" s="2656">
        <f t="shared" si="71"/>
        <v>90.453932125304561</v>
      </c>
      <c r="R71" s="75"/>
      <c r="S71" s="2663" t="str">
        <f t="shared" si="42"/>
        <v>2054/55</v>
      </c>
      <c r="T71" s="2664">
        <f t="shared" si="44"/>
        <v>117.81107708023441</v>
      </c>
      <c r="U71" s="2665">
        <f t="shared" si="45"/>
        <v>106.41093518405982</v>
      </c>
      <c r="V71" s="2665">
        <f t="shared" si="46"/>
        <v>103.56925768233505</v>
      </c>
      <c r="W71" s="2665">
        <f t="shared" si="47"/>
        <v>106.39773326692877</v>
      </c>
      <c r="X71" s="2665">
        <f t="shared" si="48"/>
        <v>106.2704237233268</v>
      </c>
      <c r="Y71" s="2665">
        <f t="shared" si="49"/>
        <v>106.33900116939124</v>
      </c>
      <c r="Z71" s="2665">
        <f t="shared" si="50"/>
        <v>106.44126543199457</v>
      </c>
      <c r="AA71" s="2665">
        <f t="shared" si="51"/>
        <v>106.39059643750097</v>
      </c>
      <c r="AB71" s="2666">
        <f t="shared" si="52"/>
        <v>105.12311918664359</v>
      </c>
      <c r="AC71" s="2664">
        <f t="shared" si="53"/>
        <v>129.70195310749614</v>
      </c>
      <c r="AD71" s="2665">
        <f t="shared" si="54"/>
        <v>107.61835907227409</v>
      </c>
      <c r="AE71" s="2665">
        <f t="shared" si="55"/>
        <v>105.11224997085469</v>
      </c>
      <c r="AF71" s="2665">
        <f t="shared" si="56"/>
        <v>111.35935085312623</v>
      </c>
      <c r="AG71" s="2665">
        <f t="shared" si="57"/>
        <v>108.7164719010111</v>
      </c>
      <c r="AH71" s="2665">
        <f t="shared" si="58"/>
        <v>107.49332546183869</v>
      </c>
      <c r="AI71" s="2665">
        <f t="shared" si="59"/>
        <v>105.68359142930382</v>
      </c>
      <c r="AJ71" s="2665">
        <f t="shared" si="60"/>
        <v>106.57814191566676</v>
      </c>
      <c r="AK71" s="2666">
        <f t="shared" si="61"/>
        <v>113.11763437683486</v>
      </c>
    </row>
    <row r="72" spans="1:37" ht="13.5" customHeight="1">
      <c r="A72" s="90"/>
      <c r="B72" s="82">
        <f t="shared" si="40"/>
        <v>2055</v>
      </c>
      <c r="C72" s="82"/>
      <c r="D72" s="2654">
        <f t="shared" si="63"/>
        <v>139.59886664584278</v>
      </c>
      <c r="E72" s="2655">
        <f t="shared" si="72"/>
        <v>47.891304746295035</v>
      </c>
      <c r="F72" s="2655">
        <f t="shared" si="73"/>
        <v>59.71648202754151</v>
      </c>
      <c r="G72" s="2655">
        <f t="shared" si="74"/>
        <v>53.964238705056943</v>
      </c>
      <c r="H72" s="2655">
        <f t="shared" si="75"/>
        <v>41.911598208850265</v>
      </c>
      <c r="I72" s="2655">
        <f t="shared" si="76"/>
        <v>91.193911005426159</v>
      </c>
      <c r="J72" s="2656">
        <f t="shared" si="77"/>
        <v>69.772476339582454</v>
      </c>
      <c r="K72" s="2654">
        <f t="shared" si="65"/>
        <v>154.63571878983907</v>
      </c>
      <c r="L72" s="2655">
        <f t="shared" si="66"/>
        <v>54.172657988302042</v>
      </c>
      <c r="M72" s="2655">
        <f t="shared" si="67"/>
        <v>69.088108892260024</v>
      </c>
      <c r="N72" s="2655">
        <f t="shared" si="68"/>
        <v>65.819812863456818</v>
      </c>
      <c r="O72" s="2655">
        <f t="shared" si="69"/>
        <v>45.497173755203171</v>
      </c>
      <c r="P72" s="2655">
        <f t="shared" si="70"/>
        <v>101.75203266507047</v>
      </c>
      <c r="Q72" s="2656">
        <f t="shared" si="71"/>
        <v>90.453932125304561</v>
      </c>
      <c r="R72" s="75"/>
      <c r="S72" s="2663" t="str">
        <f t="shared" si="42"/>
        <v>2055/56</v>
      </c>
      <c r="T72" s="2664">
        <f t="shared" si="44"/>
        <v>117.81107708023441</v>
      </c>
      <c r="U72" s="2665">
        <f t="shared" si="45"/>
        <v>106.41093518405982</v>
      </c>
      <c r="V72" s="2665">
        <f t="shared" si="46"/>
        <v>103.56925768233505</v>
      </c>
      <c r="W72" s="2665">
        <f t="shared" si="47"/>
        <v>106.39773326692877</v>
      </c>
      <c r="X72" s="2665">
        <f t="shared" si="48"/>
        <v>106.2704237233268</v>
      </c>
      <c r="Y72" s="2665">
        <f t="shared" si="49"/>
        <v>106.33900116939124</v>
      </c>
      <c r="Z72" s="2665">
        <f t="shared" si="50"/>
        <v>106.44126543199457</v>
      </c>
      <c r="AA72" s="2665">
        <f t="shared" si="51"/>
        <v>106.39059643750097</v>
      </c>
      <c r="AB72" s="2666">
        <f t="shared" si="52"/>
        <v>105.12311918664359</v>
      </c>
      <c r="AC72" s="2664">
        <f t="shared" si="53"/>
        <v>129.70195310749614</v>
      </c>
      <c r="AD72" s="2665">
        <f t="shared" si="54"/>
        <v>107.61835907227409</v>
      </c>
      <c r="AE72" s="2665">
        <f t="shared" si="55"/>
        <v>105.11224997085469</v>
      </c>
      <c r="AF72" s="2665">
        <f t="shared" si="56"/>
        <v>111.35935085312623</v>
      </c>
      <c r="AG72" s="2665">
        <f t="shared" si="57"/>
        <v>108.7164719010111</v>
      </c>
      <c r="AH72" s="2665">
        <f t="shared" si="58"/>
        <v>107.49332546183869</v>
      </c>
      <c r="AI72" s="2665">
        <f t="shared" si="59"/>
        <v>105.68359142930382</v>
      </c>
      <c r="AJ72" s="2665">
        <f t="shared" si="60"/>
        <v>106.57814191566676</v>
      </c>
      <c r="AK72" s="2666">
        <f t="shared" si="61"/>
        <v>113.11763437683486</v>
      </c>
    </row>
    <row r="73" spans="1:37" ht="13.5" customHeight="1">
      <c r="A73" s="90"/>
      <c r="B73" s="82">
        <f t="shared" si="40"/>
        <v>2056</v>
      </c>
      <c r="C73" s="82"/>
      <c r="D73" s="2654">
        <f t="shared" si="63"/>
        <v>139.59886664584278</v>
      </c>
      <c r="E73" s="2655">
        <f t="shared" si="72"/>
        <v>47.891304746295035</v>
      </c>
      <c r="F73" s="2655">
        <f t="shared" si="73"/>
        <v>59.71648202754151</v>
      </c>
      <c r="G73" s="2655">
        <f t="shared" si="74"/>
        <v>53.964238705056943</v>
      </c>
      <c r="H73" s="2655">
        <f t="shared" si="75"/>
        <v>41.911598208850265</v>
      </c>
      <c r="I73" s="2655">
        <f t="shared" si="76"/>
        <v>91.193911005426159</v>
      </c>
      <c r="J73" s="2656">
        <f t="shared" si="77"/>
        <v>69.772476339582454</v>
      </c>
      <c r="K73" s="2654">
        <f t="shared" si="65"/>
        <v>154.63571878983907</v>
      </c>
      <c r="L73" s="2655">
        <f t="shared" si="66"/>
        <v>54.172657988302042</v>
      </c>
      <c r="M73" s="2655">
        <f t="shared" si="67"/>
        <v>69.088108892260024</v>
      </c>
      <c r="N73" s="2655">
        <f t="shared" si="68"/>
        <v>65.819812863456818</v>
      </c>
      <c r="O73" s="2655">
        <f t="shared" si="69"/>
        <v>45.497173755203171</v>
      </c>
      <c r="P73" s="2655">
        <f t="shared" si="70"/>
        <v>101.75203266507047</v>
      </c>
      <c r="Q73" s="2656">
        <f t="shared" si="71"/>
        <v>90.453932125304561</v>
      </c>
      <c r="R73" s="75"/>
      <c r="S73" s="2663" t="str">
        <f t="shared" si="42"/>
        <v>2056/57</v>
      </c>
      <c r="T73" s="2664">
        <f t="shared" si="44"/>
        <v>117.81107708023441</v>
      </c>
      <c r="U73" s="2665">
        <f t="shared" si="45"/>
        <v>106.41093518405982</v>
      </c>
      <c r="V73" s="2665">
        <f t="shared" si="46"/>
        <v>103.56925768233505</v>
      </c>
      <c r="W73" s="2665">
        <f t="shared" si="47"/>
        <v>106.39773326692877</v>
      </c>
      <c r="X73" s="2665">
        <f t="shared" si="48"/>
        <v>106.2704237233268</v>
      </c>
      <c r="Y73" s="2665">
        <f t="shared" si="49"/>
        <v>106.33900116939124</v>
      </c>
      <c r="Z73" s="2665">
        <f t="shared" si="50"/>
        <v>106.44126543199457</v>
      </c>
      <c r="AA73" s="2665">
        <f t="shared" si="51"/>
        <v>106.39059643750097</v>
      </c>
      <c r="AB73" s="2666">
        <f t="shared" si="52"/>
        <v>105.12311918664359</v>
      </c>
      <c r="AC73" s="2664">
        <f t="shared" si="53"/>
        <v>129.70195310749614</v>
      </c>
      <c r="AD73" s="2665">
        <f t="shared" si="54"/>
        <v>107.61835907227409</v>
      </c>
      <c r="AE73" s="2665">
        <f t="shared" si="55"/>
        <v>105.11224997085469</v>
      </c>
      <c r="AF73" s="2665">
        <f t="shared" si="56"/>
        <v>111.35935085312623</v>
      </c>
      <c r="AG73" s="2665">
        <f t="shared" si="57"/>
        <v>108.7164719010111</v>
      </c>
      <c r="AH73" s="2665">
        <f t="shared" si="58"/>
        <v>107.49332546183869</v>
      </c>
      <c r="AI73" s="2665">
        <f t="shared" si="59"/>
        <v>105.68359142930382</v>
      </c>
      <c r="AJ73" s="2665">
        <f t="shared" si="60"/>
        <v>106.57814191566676</v>
      </c>
      <c r="AK73" s="2666">
        <f t="shared" si="61"/>
        <v>113.11763437683486</v>
      </c>
    </row>
    <row r="74" spans="1:37" ht="13.5" customHeight="1">
      <c r="A74" s="90"/>
      <c r="B74" s="82">
        <f t="shared" si="40"/>
        <v>2057</v>
      </c>
      <c r="C74" s="82"/>
      <c r="D74" s="2654">
        <f t="shared" si="63"/>
        <v>139.59886664584278</v>
      </c>
      <c r="E74" s="2655">
        <f t="shared" si="72"/>
        <v>47.891304746295035</v>
      </c>
      <c r="F74" s="2655">
        <f t="shared" si="73"/>
        <v>59.71648202754151</v>
      </c>
      <c r="G74" s="2655">
        <f t="shared" si="74"/>
        <v>53.964238705056943</v>
      </c>
      <c r="H74" s="2655">
        <f t="shared" si="75"/>
        <v>41.911598208850265</v>
      </c>
      <c r="I74" s="2655">
        <f t="shared" si="76"/>
        <v>91.193911005426159</v>
      </c>
      <c r="J74" s="2656">
        <f t="shared" si="77"/>
        <v>69.772476339582454</v>
      </c>
      <c r="K74" s="2654">
        <f t="shared" si="65"/>
        <v>154.63571878983907</v>
      </c>
      <c r="L74" s="2655">
        <f t="shared" si="66"/>
        <v>54.172657988302042</v>
      </c>
      <c r="M74" s="2655">
        <f t="shared" si="67"/>
        <v>69.088108892260024</v>
      </c>
      <c r="N74" s="2655">
        <f t="shared" si="68"/>
        <v>65.819812863456818</v>
      </c>
      <c r="O74" s="2655">
        <f t="shared" si="69"/>
        <v>45.497173755203171</v>
      </c>
      <c r="P74" s="2655">
        <f t="shared" si="70"/>
        <v>101.75203266507047</v>
      </c>
      <c r="Q74" s="2656">
        <f t="shared" si="71"/>
        <v>90.453932125304561</v>
      </c>
      <c r="R74" s="75"/>
      <c r="S74" s="2663" t="str">
        <f t="shared" si="42"/>
        <v>2057/58</v>
      </c>
      <c r="T74" s="2664">
        <f t="shared" si="44"/>
        <v>117.81107708023441</v>
      </c>
      <c r="U74" s="2665">
        <f t="shared" si="45"/>
        <v>106.41093518405982</v>
      </c>
      <c r="V74" s="2665">
        <f t="shared" si="46"/>
        <v>103.56925768233505</v>
      </c>
      <c r="W74" s="2665">
        <f t="shared" si="47"/>
        <v>106.39773326692877</v>
      </c>
      <c r="X74" s="2665">
        <f t="shared" si="48"/>
        <v>106.2704237233268</v>
      </c>
      <c r="Y74" s="2665">
        <f t="shared" si="49"/>
        <v>106.33900116939124</v>
      </c>
      <c r="Z74" s="2665">
        <f t="shared" si="50"/>
        <v>106.44126543199457</v>
      </c>
      <c r="AA74" s="2665">
        <f t="shared" si="51"/>
        <v>106.39059643750097</v>
      </c>
      <c r="AB74" s="2666">
        <f t="shared" si="52"/>
        <v>105.12311918664359</v>
      </c>
      <c r="AC74" s="2664">
        <f t="shared" si="53"/>
        <v>129.70195310749614</v>
      </c>
      <c r="AD74" s="2665">
        <f t="shared" si="54"/>
        <v>107.61835907227409</v>
      </c>
      <c r="AE74" s="2665">
        <f t="shared" si="55"/>
        <v>105.11224997085469</v>
      </c>
      <c r="AF74" s="2665">
        <f t="shared" si="56"/>
        <v>111.35935085312623</v>
      </c>
      <c r="AG74" s="2665">
        <f t="shared" si="57"/>
        <v>108.7164719010111</v>
      </c>
      <c r="AH74" s="2665">
        <f t="shared" si="58"/>
        <v>107.49332546183869</v>
      </c>
      <c r="AI74" s="2665">
        <f t="shared" si="59"/>
        <v>105.68359142930382</v>
      </c>
      <c r="AJ74" s="2665">
        <f t="shared" si="60"/>
        <v>106.57814191566676</v>
      </c>
      <c r="AK74" s="2666">
        <f t="shared" si="61"/>
        <v>113.11763437683486</v>
      </c>
    </row>
    <row r="75" spans="1:37" ht="13.5" customHeight="1">
      <c r="A75" s="90"/>
      <c r="B75" s="82">
        <f t="shared" si="40"/>
        <v>2058</v>
      </c>
      <c r="C75" s="82"/>
      <c r="D75" s="2654">
        <f t="shared" si="63"/>
        <v>139.59886664584278</v>
      </c>
      <c r="E75" s="2655">
        <f t="shared" si="72"/>
        <v>47.891304746295035</v>
      </c>
      <c r="F75" s="2655">
        <f t="shared" si="73"/>
        <v>59.71648202754151</v>
      </c>
      <c r="G75" s="2655">
        <f t="shared" si="74"/>
        <v>53.964238705056943</v>
      </c>
      <c r="H75" s="2655">
        <f t="shared" si="75"/>
        <v>41.911598208850265</v>
      </c>
      <c r="I75" s="2655">
        <f t="shared" si="76"/>
        <v>91.193911005426159</v>
      </c>
      <c r="J75" s="2656">
        <f t="shared" si="77"/>
        <v>69.772476339582454</v>
      </c>
      <c r="K75" s="2654">
        <f t="shared" si="65"/>
        <v>154.63571878983907</v>
      </c>
      <c r="L75" s="2655">
        <f t="shared" si="66"/>
        <v>54.172657988302042</v>
      </c>
      <c r="M75" s="2655">
        <f t="shared" si="67"/>
        <v>69.088108892260024</v>
      </c>
      <c r="N75" s="2655">
        <f t="shared" si="68"/>
        <v>65.819812863456818</v>
      </c>
      <c r="O75" s="2655">
        <f t="shared" si="69"/>
        <v>45.497173755203171</v>
      </c>
      <c r="P75" s="2655">
        <f t="shared" si="70"/>
        <v>101.75203266507047</v>
      </c>
      <c r="Q75" s="2656">
        <f t="shared" si="71"/>
        <v>90.453932125304561</v>
      </c>
      <c r="R75" s="75"/>
      <c r="S75" s="2663" t="str">
        <f t="shared" si="42"/>
        <v>2058/59</v>
      </c>
      <c r="T75" s="2664">
        <f t="shared" si="44"/>
        <v>117.81107708023441</v>
      </c>
      <c r="U75" s="2665">
        <f t="shared" si="45"/>
        <v>106.41093518405982</v>
      </c>
      <c r="V75" s="2665">
        <f t="shared" si="46"/>
        <v>103.56925768233505</v>
      </c>
      <c r="W75" s="2665">
        <f t="shared" si="47"/>
        <v>106.39773326692877</v>
      </c>
      <c r="X75" s="2665">
        <f t="shared" si="48"/>
        <v>106.2704237233268</v>
      </c>
      <c r="Y75" s="2665">
        <f t="shared" si="49"/>
        <v>106.33900116939124</v>
      </c>
      <c r="Z75" s="2665">
        <f t="shared" si="50"/>
        <v>106.44126543199457</v>
      </c>
      <c r="AA75" s="2665">
        <f t="shared" si="51"/>
        <v>106.39059643750097</v>
      </c>
      <c r="AB75" s="2666">
        <f t="shared" si="52"/>
        <v>105.12311918664359</v>
      </c>
      <c r="AC75" s="2664">
        <f t="shared" si="53"/>
        <v>129.70195310749614</v>
      </c>
      <c r="AD75" s="2665">
        <f t="shared" si="54"/>
        <v>107.61835907227409</v>
      </c>
      <c r="AE75" s="2665">
        <f t="shared" si="55"/>
        <v>105.11224997085469</v>
      </c>
      <c r="AF75" s="2665">
        <f t="shared" si="56"/>
        <v>111.35935085312623</v>
      </c>
      <c r="AG75" s="2665">
        <f t="shared" si="57"/>
        <v>108.7164719010111</v>
      </c>
      <c r="AH75" s="2665">
        <f t="shared" si="58"/>
        <v>107.49332546183869</v>
      </c>
      <c r="AI75" s="2665">
        <f t="shared" si="59"/>
        <v>105.68359142930382</v>
      </c>
      <c r="AJ75" s="2665">
        <f t="shared" si="60"/>
        <v>106.57814191566676</v>
      </c>
      <c r="AK75" s="2666">
        <f t="shared" si="61"/>
        <v>113.11763437683486</v>
      </c>
    </row>
    <row r="76" spans="1:37" ht="13.5" customHeight="1">
      <c r="A76" s="90"/>
      <c r="B76" s="82">
        <f t="shared" si="40"/>
        <v>2059</v>
      </c>
      <c r="C76" s="82"/>
      <c r="D76" s="2654">
        <f t="shared" si="63"/>
        <v>139.59886664584278</v>
      </c>
      <c r="E76" s="2655">
        <f t="shared" si="72"/>
        <v>47.891304746295035</v>
      </c>
      <c r="F76" s="2655">
        <f t="shared" si="73"/>
        <v>59.71648202754151</v>
      </c>
      <c r="G76" s="2655">
        <f t="shared" si="74"/>
        <v>53.964238705056943</v>
      </c>
      <c r="H76" s="2655">
        <f t="shared" si="75"/>
        <v>41.911598208850265</v>
      </c>
      <c r="I76" s="2655">
        <f t="shared" si="76"/>
        <v>91.193911005426159</v>
      </c>
      <c r="J76" s="2656">
        <f t="shared" si="77"/>
        <v>69.772476339582454</v>
      </c>
      <c r="K76" s="2654">
        <f t="shared" si="65"/>
        <v>154.63571878983907</v>
      </c>
      <c r="L76" s="2655">
        <f t="shared" si="66"/>
        <v>54.172657988302042</v>
      </c>
      <c r="M76" s="2655">
        <f t="shared" si="67"/>
        <v>69.088108892260024</v>
      </c>
      <c r="N76" s="2655">
        <f t="shared" si="68"/>
        <v>65.819812863456818</v>
      </c>
      <c r="O76" s="2655">
        <f t="shared" si="69"/>
        <v>45.497173755203171</v>
      </c>
      <c r="P76" s="2655">
        <f t="shared" si="70"/>
        <v>101.75203266507047</v>
      </c>
      <c r="Q76" s="2656">
        <f t="shared" si="71"/>
        <v>90.453932125304561</v>
      </c>
      <c r="R76" s="75"/>
      <c r="S76" s="2663" t="str">
        <f t="shared" si="42"/>
        <v>2059/60</v>
      </c>
      <c r="T76" s="2664">
        <f t="shared" si="44"/>
        <v>117.81107708023441</v>
      </c>
      <c r="U76" s="2665">
        <f t="shared" si="45"/>
        <v>106.41093518405982</v>
      </c>
      <c r="V76" s="2665">
        <f t="shared" si="46"/>
        <v>103.56925768233505</v>
      </c>
      <c r="W76" s="2665">
        <f t="shared" si="47"/>
        <v>106.39773326692877</v>
      </c>
      <c r="X76" s="2665">
        <f t="shared" si="48"/>
        <v>106.2704237233268</v>
      </c>
      <c r="Y76" s="2665">
        <f t="shared" si="49"/>
        <v>106.33900116939124</v>
      </c>
      <c r="Z76" s="2665">
        <f t="shared" si="50"/>
        <v>106.44126543199457</v>
      </c>
      <c r="AA76" s="2665">
        <f t="shared" si="51"/>
        <v>106.39059643750097</v>
      </c>
      <c r="AB76" s="2666">
        <f t="shared" si="52"/>
        <v>105.12311918664359</v>
      </c>
      <c r="AC76" s="2664">
        <f t="shared" si="53"/>
        <v>129.70195310749614</v>
      </c>
      <c r="AD76" s="2665">
        <f t="shared" si="54"/>
        <v>107.61835907227409</v>
      </c>
      <c r="AE76" s="2665">
        <f t="shared" si="55"/>
        <v>105.11224997085469</v>
      </c>
      <c r="AF76" s="2665">
        <f t="shared" si="56"/>
        <v>111.35935085312623</v>
      </c>
      <c r="AG76" s="2665">
        <f t="shared" si="57"/>
        <v>108.7164719010111</v>
      </c>
      <c r="AH76" s="2665">
        <f t="shared" si="58"/>
        <v>107.49332546183869</v>
      </c>
      <c r="AI76" s="2665">
        <f t="shared" si="59"/>
        <v>105.68359142930382</v>
      </c>
      <c r="AJ76" s="2665">
        <f t="shared" si="60"/>
        <v>106.57814191566676</v>
      </c>
      <c r="AK76" s="2666">
        <f t="shared" si="61"/>
        <v>113.11763437683486</v>
      </c>
    </row>
    <row r="77" spans="1:37" ht="13.5" customHeight="1">
      <c r="A77" s="90"/>
      <c r="B77" s="82">
        <f t="shared" si="40"/>
        <v>2060</v>
      </c>
      <c r="C77" s="82"/>
      <c r="D77" s="2654">
        <f t="shared" si="63"/>
        <v>139.59886664584278</v>
      </c>
      <c r="E77" s="2655">
        <f t="shared" si="72"/>
        <v>47.891304746295035</v>
      </c>
      <c r="F77" s="2655">
        <f t="shared" si="73"/>
        <v>59.71648202754151</v>
      </c>
      <c r="G77" s="2655">
        <f t="shared" si="74"/>
        <v>53.964238705056943</v>
      </c>
      <c r="H77" s="2655">
        <f t="shared" si="75"/>
        <v>41.911598208850265</v>
      </c>
      <c r="I77" s="2655">
        <f t="shared" si="76"/>
        <v>91.193911005426159</v>
      </c>
      <c r="J77" s="2656">
        <f t="shared" si="77"/>
        <v>69.772476339582454</v>
      </c>
      <c r="K77" s="2654">
        <f t="shared" si="65"/>
        <v>154.63571878983907</v>
      </c>
      <c r="L77" s="2655">
        <f t="shared" si="66"/>
        <v>54.172657988302042</v>
      </c>
      <c r="M77" s="2655">
        <f t="shared" si="67"/>
        <v>69.088108892260024</v>
      </c>
      <c r="N77" s="2655">
        <f t="shared" si="68"/>
        <v>65.819812863456818</v>
      </c>
      <c r="O77" s="2655">
        <f t="shared" si="69"/>
        <v>45.497173755203171</v>
      </c>
      <c r="P77" s="2655">
        <f t="shared" si="70"/>
        <v>101.75203266507047</v>
      </c>
      <c r="Q77" s="2656">
        <f t="shared" si="71"/>
        <v>90.453932125304561</v>
      </c>
      <c r="R77" s="75"/>
      <c r="S77" s="2663" t="str">
        <f t="shared" si="42"/>
        <v>2060/61</v>
      </c>
      <c r="T77" s="2664">
        <f t="shared" si="44"/>
        <v>117.81107708023441</v>
      </c>
      <c r="U77" s="2665">
        <f t="shared" si="45"/>
        <v>106.41093518405982</v>
      </c>
      <c r="V77" s="2665">
        <f t="shared" si="46"/>
        <v>103.56925768233505</v>
      </c>
      <c r="W77" s="2665">
        <f t="shared" si="47"/>
        <v>106.39773326692877</v>
      </c>
      <c r="X77" s="2665">
        <f t="shared" si="48"/>
        <v>106.2704237233268</v>
      </c>
      <c r="Y77" s="2665">
        <f t="shared" si="49"/>
        <v>106.33900116939124</v>
      </c>
      <c r="Z77" s="2665">
        <f t="shared" si="50"/>
        <v>106.44126543199457</v>
      </c>
      <c r="AA77" s="2665">
        <f t="shared" si="51"/>
        <v>106.39059643750097</v>
      </c>
      <c r="AB77" s="2666">
        <f t="shared" si="52"/>
        <v>105.12311918664359</v>
      </c>
      <c r="AC77" s="2664">
        <f t="shared" si="53"/>
        <v>129.70195310749614</v>
      </c>
      <c r="AD77" s="2665">
        <f t="shared" si="54"/>
        <v>107.61835907227409</v>
      </c>
      <c r="AE77" s="2665">
        <f t="shared" si="55"/>
        <v>105.11224997085469</v>
      </c>
      <c r="AF77" s="2665">
        <f t="shared" si="56"/>
        <v>111.35935085312623</v>
      </c>
      <c r="AG77" s="2665">
        <f t="shared" si="57"/>
        <v>108.7164719010111</v>
      </c>
      <c r="AH77" s="2665">
        <f t="shared" si="58"/>
        <v>107.49332546183869</v>
      </c>
      <c r="AI77" s="2665">
        <f t="shared" si="59"/>
        <v>105.68359142930382</v>
      </c>
      <c r="AJ77" s="2665">
        <f t="shared" si="60"/>
        <v>106.57814191566676</v>
      </c>
      <c r="AK77" s="2666">
        <f t="shared" si="61"/>
        <v>113.11763437683486</v>
      </c>
    </row>
    <row r="78" spans="1:37" ht="13.5" customHeight="1">
      <c r="A78" s="90"/>
      <c r="B78" s="82">
        <f t="shared" si="40"/>
        <v>2061</v>
      </c>
      <c r="C78" s="82"/>
      <c r="D78" s="2654">
        <f t="shared" si="63"/>
        <v>139.59886664584278</v>
      </c>
      <c r="E78" s="2655">
        <f t="shared" si="72"/>
        <v>47.891304746295035</v>
      </c>
      <c r="F78" s="2655">
        <f t="shared" si="73"/>
        <v>59.71648202754151</v>
      </c>
      <c r="G78" s="2655">
        <f t="shared" si="74"/>
        <v>53.964238705056943</v>
      </c>
      <c r="H78" s="2655">
        <f t="shared" si="75"/>
        <v>41.911598208850265</v>
      </c>
      <c r="I78" s="2655">
        <f t="shared" si="76"/>
        <v>91.193911005426159</v>
      </c>
      <c r="J78" s="2656">
        <f t="shared" si="77"/>
        <v>69.772476339582454</v>
      </c>
      <c r="K78" s="2654">
        <f t="shared" si="65"/>
        <v>154.63571878983907</v>
      </c>
      <c r="L78" s="2655">
        <f t="shared" si="66"/>
        <v>54.172657988302042</v>
      </c>
      <c r="M78" s="2655">
        <f t="shared" si="67"/>
        <v>69.088108892260024</v>
      </c>
      <c r="N78" s="2655">
        <f t="shared" si="68"/>
        <v>65.819812863456818</v>
      </c>
      <c r="O78" s="2655">
        <f t="shared" si="69"/>
        <v>45.497173755203171</v>
      </c>
      <c r="P78" s="2655">
        <f t="shared" si="70"/>
        <v>101.75203266507047</v>
      </c>
      <c r="Q78" s="2656">
        <f t="shared" si="71"/>
        <v>90.453932125304561</v>
      </c>
      <c r="R78" s="75"/>
      <c r="S78" s="2663" t="str">
        <f t="shared" si="42"/>
        <v>2061/62</v>
      </c>
      <c r="T78" s="2664">
        <f t="shared" si="44"/>
        <v>117.81107708023441</v>
      </c>
      <c r="U78" s="2665">
        <f t="shared" si="45"/>
        <v>106.41093518405982</v>
      </c>
      <c r="V78" s="2665">
        <f t="shared" si="46"/>
        <v>103.56925768233505</v>
      </c>
      <c r="W78" s="2665">
        <f t="shared" si="47"/>
        <v>106.39773326692877</v>
      </c>
      <c r="X78" s="2665">
        <f t="shared" si="48"/>
        <v>106.2704237233268</v>
      </c>
      <c r="Y78" s="2665">
        <f t="shared" si="49"/>
        <v>106.33900116939124</v>
      </c>
      <c r="Z78" s="2665">
        <f t="shared" si="50"/>
        <v>106.44126543199457</v>
      </c>
      <c r="AA78" s="2665">
        <f t="shared" si="51"/>
        <v>106.39059643750097</v>
      </c>
      <c r="AB78" s="2666">
        <f t="shared" si="52"/>
        <v>105.12311918664359</v>
      </c>
      <c r="AC78" s="2664">
        <f t="shared" si="53"/>
        <v>129.70195310749614</v>
      </c>
      <c r="AD78" s="2665">
        <f t="shared" si="54"/>
        <v>107.61835907227409</v>
      </c>
      <c r="AE78" s="2665">
        <f t="shared" si="55"/>
        <v>105.11224997085469</v>
      </c>
      <c r="AF78" s="2665">
        <f t="shared" si="56"/>
        <v>111.35935085312623</v>
      </c>
      <c r="AG78" s="2665">
        <f t="shared" si="57"/>
        <v>108.7164719010111</v>
      </c>
      <c r="AH78" s="2665">
        <f t="shared" si="58"/>
        <v>107.49332546183869</v>
      </c>
      <c r="AI78" s="2665">
        <f t="shared" si="59"/>
        <v>105.68359142930382</v>
      </c>
      <c r="AJ78" s="2665">
        <f t="shared" si="60"/>
        <v>106.57814191566676</v>
      </c>
      <c r="AK78" s="2666">
        <f t="shared" si="61"/>
        <v>113.11763437683486</v>
      </c>
    </row>
    <row r="79" spans="1:37" ht="13.5" customHeight="1">
      <c r="A79" s="90"/>
      <c r="B79" s="82">
        <f t="shared" si="40"/>
        <v>2062</v>
      </c>
      <c r="C79" s="82"/>
      <c r="D79" s="2654">
        <f t="shared" si="63"/>
        <v>139.59886664584278</v>
      </c>
      <c r="E79" s="2655">
        <f t="shared" si="72"/>
        <v>47.891304746295035</v>
      </c>
      <c r="F79" s="2655">
        <f t="shared" si="73"/>
        <v>59.71648202754151</v>
      </c>
      <c r="G79" s="2655">
        <f t="shared" si="74"/>
        <v>53.964238705056943</v>
      </c>
      <c r="H79" s="2655">
        <f t="shared" si="75"/>
        <v>41.911598208850265</v>
      </c>
      <c r="I79" s="2655">
        <f t="shared" si="76"/>
        <v>91.193911005426159</v>
      </c>
      <c r="J79" s="2656">
        <f t="shared" si="77"/>
        <v>69.772476339582454</v>
      </c>
      <c r="K79" s="2654">
        <f t="shared" si="65"/>
        <v>154.63571878983907</v>
      </c>
      <c r="L79" s="2655">
        <f t="shared" si="66"/>
        <v>54.172657988302042</v>
      </c>
      <c r="M79" s="2655">
        <f t="shared" si="67"/>
        <v>69.088108892260024</v>
      </c>
      <c r="N79" s="2655">
        <f t="shared" si="68"/>
        <v>65.819812863456818</v>
      </c>
      <c r="O79" s="2655">
        <f t="shared" si="69"/>
        <v>45.497173755203171</v>
      </c>
      <c r="P79" s="2655">
        <f t="shared" si="70"/>
        <v>101.75203266507047</v>
      </c>
      <c r="Q79" s="2656">
        <f t="shared" si="71"/>
        <v>90.453932125304561</v>
      </c>
      <c r="R79" s="75"/>
      <c r="S79" s="2663" t="str">
        <f t="shared" si="42"/>
        <v>2062/63</v>
      </c>
      <c r="T79" s="2664">
        <f t="shared" si="44"/>
        <v>117.81107708023441</v>
      </c>
      <c r="U79" s="2665">
        <f t="shared" si="45"/>
        <v>106.41093518405982</v>
      </c>
      <c r="V79" s="2665">
        <f t="shared" si="46"/>
        <v>103.56925768233505</v>
      </c>
      <c r="W79" s="2665">
        <f t="shared" si="47"/>
        <v>106.39773326692877</v>
      </c>
      <c r="X79" s="2665">
        <f t="shared" si="48"/>
        <v>106.2704237233268</v>
      </c>
      <c r="Y79" s="2665">
        <f t="shared" si="49"/>
        <v>106.33900116939124</v>
      </c>
      <c r="Z79" s="2665">
        <f t="shared" si="50"/>
        <v>106.44126543199457</v>
      </c>
      <c r="AA79" s="2665">
        <f t="shared" si="51"/>
        <v>106.39059643750097</v>
      </c>
      <c r="AB79" s="2666">
        <f t="shared" si="52"/>
        <v>105.12311918664359</v>
      </c>
      <c r="AC79" s="2664">
        <f t="shared" si="53"/>
        <v>129.70195310749614</v>
      </c>
      <c r="AD79" s="2665">
        <f t="shared" si="54"/>
        <v>107.61835907227409</v>
      </c>
      <c r="AE79" s="2665">
        <f t="shared" si="55"/>
        <v>105.11224997085469</v>
      </c>
      <c r="AF79" s="2665">
        <f t="shared" si="56"/>
        <v>111.35935085312623</v>
      </c>
      <c r="AG79" s="2665">
        <f t="shared" si="57"/>
        <v>108.7164719010111</v>
      </c>
      <c r="AH79" s="2665">
        <f t="shared" si="58"/>
        <v>107.49332546183869</v>
      </c>
      <c r="AI79" s="2665">
        <f t="shared" si="59"/>
        <v>105.68359142930382</v>
      </c>
      <c r="AJ79" s="2665">
        <f t="shared" si="60"/>
        <v>106.57814191566676</v>
      </c>
      <c r="AK79" s="2666">
        <f t="shared" si="61"/>
        <v>113.11763437683486</v>
      </c>
    </row>
    <row r="80" spans="1:37" ht="13.5" customHeight="1">
      <c r="A80" s="90"/>
      <c r="B80" s="82">
        <f t="shared" si="40"/>
        <v>2063</v>
      </c>
      <c r="C80" s="82"/>
      <c r="D80" s="2654">
        <f t="shared" si="63"/>
        <v>139.59886664584278</v>
      </c>
      <c r="E80" s="2655">
        <f t="shared" si="72"/>
        <v>47.891304746295035</v>
      </c>
      <c r="F80" s="2655">
        <f t="shared" si="73"/>
        <v>59.71648202754151</v>
      </c>
      <c r="G80" s="2655">
        <f t="shared" si="74"/>
        <v>53.964238705056943</v>
      </c>
      <c r="H80" s="2655">
        <f t="shared" si="75"/>
        <v>41.911598208850265</v>
      </c>
      <c r="I80" s="2655">
        <f t="shared" si="76"/>
        <v>91.193911005426159</v>
      </c>
      <c r="J80" s="2656">
        <f t="shared" si="77"/>
        <v>69.772476339582454</v>
      </c>
      <c r="K80" s="2654">
        <f t="shared" si="65"/>
        <v>154.63571878983907</v>
      </c>
      <c r="L80" s="2655">
        <f t="shared" si="66"/>
        <v>54.172657988302042</v>
      </c>
      <c r="M80" s="2655">
        <f t="shared" si="67"/>
        <v>69.088108892260024</v>
      </c>
      <c r="N80" s="2655">
        <f t="shared" si="68"/>
        <v>65.819812863456818</v>
      </c>
      <c r="O80" s="2655">
        <f t="shared" si="69"/>
        <v>45.497173755203171</v>
      </c>
      <c r="P80" s="2655">
        <f t="shared" si="70"/>
        <v>101.75203266507047</v>
      </c>
      <c r="Q80" s="2656">
        <f t="shared" si="71"/>
        <v>90.453932125304561</v>
      </c>
      <c r="R80" s="75"/>
      <c r="S80" s="2663" t="str">
        <f t="shared" si="42"/>
        <v>2063/64</v>
      </c>
      <c r="T80" s="2664">
        <f t="shared" si="44"/>
        <v>117.81107708023441</v>
      </c>
      <c r="U80" s="2665">
        <f t="shared" si="45"/>
        <v>106.41093518405982</v>
      </c>
      <c r="V80" s="2665">
        <f t="shared" si="46"/>
        <v>103.56925768233505</v>
      </c>
      <c r="W80" s="2665">
        <f t="shared" si="47"/>
        <v>106.39773326692877</v>
      </c>
      <c r="X80" s="2665">
        <f t="shared" si="48"/>
        <v>106.2704237233268</v>
      </c>
      <c r="Y80" s="2665">
        <f t="shared" si="49"/>
        <v>106.33900116939124</v>
      </c>
      <c r="Z80" s="2665">
        <f t="shared" si="50"/>
        <v>106.44126543199457</v>
      </c>
      <c r="AA80" s="2665">
        <f t="shared" si="51"/>
        <v>106.39059643750097</v>
      </c>
      <c r="AB80" s="2666">
        <f t="shared" si="52"/>
        <v>105.12311918664359</v>
      </c>
      <c r="AC80" s="2664">
        <f t="shared" si="53"/>
        <v>129.70195310749614</v>
      </c>
      <c r="AD80" s="2665">
        <f t="shared" si="54"/>
        <v>107.61835907227409</v>
      </c>
      <c r="AE80" s="2665">
        <f t="shared" si="55"/>
        <v>105.11224997085469</v>
      </c>
      <c r="AF80" s="2665">
        <f t="shared" si="56"/>
        <v>111.35935085312623</v>
      </c>
      <c r="AG80" s="2665">
        <f t="shared" si="57"/>
        <v>108.7164719010111</v>
      </c>
      <c r="AH80" s="2665">
        <f t="shared" si="58"/>
        <v>107.49332546183869</v>
      </c>
      <c r="AI80" s="2665">
        <f t="shared" si="59"/>
        <v>105.68359142930382</v>
      </c>
      <c r="AJ80" s="2665">
        <f t="shared" si="60"/>
        <v>106.57814191566676</v>
      </c>
      <c r="AK80" s="2666">
        <f t="shared" si="61"/>
        <v>113.11763437683486</v>
      </c>
    </row>
    <row r="81" spans="1:37" ht="13.5" customHeight="1">
      <c r="A81" s="90"/>
      <c r="B81" s="82">
        <f t="shared" si="40"/>
        <v>2064</v>
      </c>
      <c r="C81" s="82"/>
      <c r="D81" s="2654">
        <f t="shared" si="63"/>
        <v>139.59886664584278</v>
      </c>
      <c r="E81" s="2655">
        <f t="shared" si="72"/>
        <v>47.891304746295035</v>
      </c>
      <c r="F81" s="2655">
        <f t="shared" si="73"/>
        <v>59.71648202754151</v>
      </c>
      <c r="G81" s="2655">
        <f t="shared" si="74"/>
        <v>53.964238705056943</v>
      </c>
      <c r="H81" s="2655">
        <f t="shared" si="75"/>
        <v>41.911598208850265</v>
      </c>
      <c r="I81" s="2655">
        <f t="shared" si="76"/>
        <v>91.193911005426159</v>
      </c>
      <c r="J81" s="2656">
        <f t="shared" si="77"/>
        <v>69.772476339582454</v>
      </c>
      <c r="K81" s="2654">
        <f t="shared" si="65"/>
        <v>154.63571878983907</v>
      </c>
      <c r="L81" s="2655">
        <f t="shared" si="66"/>
        <v>54.172657988302042</v>
      </c>
      <c r="M81" s="2655">
        <f t="shared" si="67"/>
        <v>69.088108892260024</v>
      </c>
      <c r="N81" s="2655">
        <f t="shared" si="68"/>
        <v>65.819812863456818</v>
      </c>
      <c r="O81" s="2655">
        <f t="shared" si="69"/>
        <v>45.497173755203171</v>
      </c>
      <c r="P81" s="2655">
        <f t="shared" si="70"/>
        <v>101.75203266507047</v>
      </c>
      <c r="Q81" s="2656">
        <f t="shared" si="71"/>
        <v>90.453932125304561</v>
      </c>
      <c r="R81" s="75"/>
      <c r="S81" s="2663" t="str">
        <f t="shared" si="42"/>
        <v>2064/65</v>
      </c>
      <c r="T81" s="2664">
        <f t="shared" si="44"/>
        <v>117.81107708023441</v>
      </c>
      <c r="U81" s="2665">
        <f t="shared" si="45"/>
        <v>106.41093518405982</v>
      </c>
      <c r="V81" s="2665">
        <f t="shared" si="46"/>
        <v>103.56925768233505</v>
      </c>
      <c r="W81" s="2665">
        <f t="shared" si="47"/>
        <v>106.39773326692877</v>
      </c>
      <c r="X81" s="2665">
        <f t="shared" si="48"/>
        <v>106.2704237233268</v>
      </c>
      <c r="Y81" s="2665">
        <f t="shared" si="49"/>
        <v>106.33900116939124</v>
      </c>
      <c r="Z81" s="2665">
        <f t="shared" si="50"/>
        <v>106.44126543199457</v>
      </c>
      <c r="AA81" s="2665">
        <f t="shared" si="51"/>
        <v>106.39059643750097</v>
      </c>
      <c r="AB81" s="2666">
        <f t="shared" si="52"/>
        <v>105.12311918664359</v>
      </c>
      <c r="AC81" s="2664">
        <f t="shared" si="53"/>
        <v>129.70195310749614</v>
      </c>
      <c r="AD81" s="2665">
        <f t="shared" si="54"/>
        <v>107.61835907227409</v>
      </c>
      <c r="AE81" s="2665">
        <f t="shared" si="55"/>
        <v>105.11224997085469</v>
      </c>
      <c r="AF81" s="2665">
        <f t="shared" si="56"/>
        <v>111.35935085312623</v>
      </c>
      <c r="AG81" s="2665">
        <f t="shared" si="57"/>
        <v>108.7164719010111</v>
      </c>
      <c r="AH81" s="2665">
        <f t="shared" si="58"/>
        <v>107.49332546183869</v>
      </c>
      <c r="AI81" s="2665">
        <f t="shared" si="59"/>
        <v>105.68359142930382</v>
      </c>
      <c r="AJ81" s="2665">
        <f t="shared" si="60"/>
        <v>106.57814191566676</v>
      </c>
      <c r="AK81" s="2666">
        <f t="shared" si="61"/>
        <v>113.11763437683486</v>
      </c>
    </row>
    <row r="82" spans="1:37" ht="13.5" customHeight="1">
      <c r="A82" s="90"/>
      <c r="B82" s="82">
        <f t="shared" si="40"/>
        <v>2065</v>
      </c>
      <c r="C82" s="82"/>
      <c r="D82" s="2654">
        <f t="shared" si="63"/>
        <v>139.59886664584278</v>
      </c>
      <c r="E82" s="2655">
        <f t="shared" si="72"/>
        <v>47.891304746295035</v>
      </c>
      <c r="F82" s="2655">
        <f t="shared" si="73"/>
        <v>59.71648202754151</v>
      </c>
      <c r="G82" s="2655">
        <f t="shared" si="74"/>
        <v>53.964238705056943</v>
      </c>
      <c r="H82" s="2655">
        <f t="shared" si="75"/>
        <v>41.911598208850265</v>
      </c>
      <c r="I82" s="2655">
        <f t="shared" si="76"/>
        <v>91.193911005426159</v>
      </c>
      <c r="J82" s="2656">
        <f t="shared" si="77"/>
        <v>69.772476339582454</v>
      </c>
      <c r="K82" s="2654">
        <f t="shared" si="65"/>
        <v>154.63571878983907</v>
      </c>
      <c r="L82" s="2655">
        <f t="shared" si="66"/>
        <v>54.172657988302042</v>
      </c>
      <c r="M82" s="2655">
        <f t="shared" si="67"/>
        <v>69.088108892260024</v>
      </c>
      <c r="N82" s="2655">
        <f t="shared" si="68"/>
        <v>65.819812863456818</v>
      </c>
      <c r="O82" s="2655">
        <f t="shared" si="69"/>
        <v>45.497173755203171</v>
      </c>
      <c r="P82" s="2655">
        <f t="shared" si="70"/>
        <v>101.75203266507047</v>
      </c>
      <c r="Q82" s="2656">
        <f t="shared" si="71"/>
        <v>90.453932125304561</v>
      </c>
      <c r="R82" s="75"/>
      <c r="S82" s="2663" t="str">
        <f t="shared" si="42"/>
        <v>2065/66</v>
      </c>
      <c r="T82" s="2664">
        <f t="shared" si="44"/>
        <v>117.81107708023441</v>
      </c>
      <c r="U82" s="2665">
        <f t="shared" si="45"/>
        <v>106.41093518405982</v>
      </c>
      <c r="V82" s="2665">
        <f t="shared" si="46"/>
        <v>103.56925768233505</v>
      </c>
      <c r="W82" s="2665">
        <f t="shared" si="47"/>
        <v>106.39773326692877</v>
      </c>
      <c r="X82" s="2665">
        <f t="shared" si="48"/>
        <v>106.2704237233268</v>
      </c>
      <c r="Y82" s="2665">
        <f t="shared" si="49"/>
        <v>106.33900116939124</v>
      </c>
      <c r="Z82" s="2665">
        <f t="shared" si="50"/>
        <v>106.44126543199457</v>
      </c>
      <c r="AA82" s="2665">
        <f t="shared" si="51"/>
        <v>106.39059643750097</v>
      </c>
      <c r="AB82" s="2666">
        <f t="shared" si="52"/>
        <v>105.12311918664359</v>
      </c>
      <c r="AC82" s="2664">
        <f t="shared" si="53"/>
        <v>129.70195310749614</v>
      </c>
      <c r="AD82" s="2665">
        <f t="shared" si="54"/>
        <v>107.61835907227409</v>
      </c>
      <c r="AE82" s="2665">
        <f t="shared" si="55"/>
        <v>105.11224997085469</v>
      </c>
      <c r="AF82" s="2665">
        <f t="shared" si="56"/>
        <v>111.35935085312623</v>
      </c>
      <c r="AG82" s="2665">
        <f t="shared" si="57"/>
        <v>108.7164719010111</v>
      </c>
      <c r="AH82" s="2665">
        <f t="shared" si="58"/>
        <v>107.49332546183869</v>
      </c>
      <c r="AI82" s="2665">
        <f t="shared" si="59"/>
        <v>105.68359142930382</v>
      </c>
      <c r="AJ82" s="2665">
        <f t="shared" si="60"/>
        <v>106.57814191566676</v>
      </c>
      <c r="AK82" s="2666">
        <f t="shared" si="61"/>
        <v>113.11763437683486</v>
      </c>
    </row>
    <row r="83" spans="1:37" ht="13.5" customHeight="1">
      <c r="A83" s="90"/>
      <c r="B83" s="82">
        <f t="shared" si="40"/>
        <v>2066</v>
      </c>
      <c r="C83" s="82"/>
      <c r="D83" s="2654">
        <f t="shared" si="63"/>
        <v>139.59886664584278</v>
      </c>
      <c r="E83" s="2655">
        <f t="shared" si="72"/>
        <v>47.891304746295035</v>
      </c>
      <c r="F83" s="2655">
        <f t="shared" si="73"/>
        <v>59.71648202754151</v>
      </c>
      <c r="G83" s="2655">
        <f t="shared" si="74"/>
        <v>53.964238705056943</v>
      </c>
      <c r="H83" s="2655">
        <f t="shared" si="75"/>
        <v>41.911598208850265</v>
      </c>
      <c r="I83" s="2655">
        <f t="shared" si="76"/>
        <v>91.193911005426159</v>
      </c>
      <c r="J83" s="2656">
        <f t="shared" si="77"/>
        <v>69.772476339582454</v>
      </c>
      <c r="K83" s="2654">
        <f t="shared" si="65"/>
        <v>154.63571878983907</v>
      </c>
      <c r="L83" s="2655">
        <f t="shared" si="66"/>
        <v>54.172657988302042</v>
      </c>
      <c r="M83" s="2655">
        <f t="shared" si="67"/>
        <v>69.088108892260024</v>
      </c>
      <c r="N83" s="2655">
        <f t="shared" si="68"/>
        <v>65.819812863456818</v>
      </c>
      <c r="O83" s="2655">
        <f t="shared" si="69"/>
        <v>45.497173755203171</v>
      </c>
      <c r="P83" s="2655">
        <f t="shared" si="70"/>
        <v>101.75203266507047</v>
      </c>
      <c r="Q83" s="2656">
        <f t="shared" si="71"/>
        <v>90.453932125304561</v>
      </c>
      <c r="R83" s="75"/>
      <c r="S83" s="2663" t="str">
        <f t="shared" si="42"/>
        <v>2066/67</v>
      </c>
      <c r="T83" s="2664">
        <f t="shared" si="44"/>
        <v>117.81107708023441</v>
      </c>
      <c r="U83" s="2665">
        <f t="shared" si="45"/>
        <v>106.41093518405982</v>
      </c>
      <c r="V83" s="2665">
        <f t="shared" si="46"/>
        <v>103.56925768233505</v>
      </c>
      <c r="W83" s="2665">
        <f t="shared" si="47"/>
        <v>106.39773326692877</v>
      </c>
      <c r="X83" s="2665">
        <f t="shared" si="48"/>
        <v>106.2704237233268</v>
      </c>
      <c r="Y83" s="2665">
        <f t="shared" si="49"/>
        <v>106.33900116939124</v>
      </c>
      <c r="Z83" s="2665">
        <f t="shared" si="50"/>
        <v>106.44126543199457</v>
      </c>
      <c r="AA83" s="2665">
        <f t="shared" si="51"/>
        <v>106.39059643750097</v>
      </c>
      <c r="AB83" s="2666">
        <f t="shared" si="52"/>
        <v>105.12311918664359</v>
      </c>
      <c r="AC83" s="2664">
        <f t="shared" si="53"/>
        <v>129.70195310749614</v>
      </c>
      <c r="AD83" s="2665">
        <f t="shared" si="54"/>
        <v>107.61835907227409</v>
      </c>
      <c r="AE83" s="2665">
        <f t="shared" si="55"/>
        <v>105.11224997085469</v>
      </c>
      <c r="AF83" s="2665">
        <f t="shared" si="56"/>
        <v>111.35935085312623</v>
      </c>
      <c r="AG83" s="2665">
        <f t="shared" si="57"/>
        <v>108.7164719010111</v>
      </c>
      <c r="AH83" s="2665">
        <f t="shared" si="58"/>
        <v>107.49332546183869</v>
      </c>
      <c r="AI83" s="2665">
        <f t="shared" si="59"/>
        <v>105.68359142930382</v>
      </c>
      <c r="AJ83" s="2665">
        <f t="shared" si="60"/>
        <v>106.57814191566676</v>
      </c>
      <c r="AK83" s="2666">
        <f t="shared" si="61"/>
        <v>113.11763437683486</v>
      </c>
    </row>
    <row r="84" spans="1:37" ht="13.5" customHeight="1">
      <c r="A84" s="90"/>
      <c r="B84" s="82">
        <f t="shared" si="40"/>
        <v>2067</v>
      </c>
      <c r="C84" s="82"/>
      <c r="D84" s="2654">
        <f t="shared" si="63"/>
        <v>139.59886664584278</v>
      </c>
      <c r="E84" s="2655">
        <f t="shared" si="72"/>
        <v>47.891304746295035</v>
      </c>
      <c r="F84" s="2655">
        <f t="shared" si="73"/>
        <v>59.71648202754151</v>
      </c>
      <c r="G84" s="2655">
        <f t="shared" si="74"/>
        <v>53.964238705056943</v>
      </c>
      <c r="H84" s="2655">
        <f t="shared" si="75"/>
        <v>41.911598208850265</v>
      </c>
      <c r="I84" s="2655">
        <f t="shared" si="76"/>
        <v>91.193911005426159</v>
      </c>
      <c r="J84" s="2656">
        <f t="shared" si="77"/>
        <v>69.772476339582454</v>
      </c>
      <c r="K84" s="2654">
        <f t="shared" si="65"/>
        <v>154.63571878983907</v>
      </c>
      <c r="L84" s="2655">
        <f t="shared" si="66"/>
        <v>54.172657988302042</v>
      </c>
      <c r="M84" s="2655">
        <f t="shared" si="67"/>
        <v>69.088108892260024</v>
      </c>
      <c r="N84" s="2655">
        <f t="shared" si="68"/>
        <v>65.819812863456818</v>
      </c>
      <c r="O84" s="2655">
        <f t="shared" si="69"/>
        <v>45.497173755203171</v>
      </c>
      <c r="P84" s="2655">
        <f t="shared" si="70"/>
        <v>101.75203266507047</v>
      </c>
      <c r="Q84" s="2656">
        <f t="shared" si="71"/>
        <v>90.453932125304561</v>
      </c>
      <c r="R84" s="75"/>
      <c r="S84" s="2663" t="str">
        <f t="shared" si="42"/>
        <v>2067/68</v>
      </c>
      <c r="T84" s="2664">
        <f t="shared" si="44"/>
        <v>117.81107708023441</v>
      </c>
      <c r="U84" s="2665">
        <f t="shared" si="45"/>
        <v>106.41093518405982</v>
      </c>
      <c r="V84" s="2665">
        <f t="shared" si="46"/>
        <v>103.56925768233505</v>
      </c>
      <c r="W84" s="2665">
        <f t="shared" si="47"/>
        <v>106.39773326692877</v>
      </c>
      <c r="X84" s="2665">
        <f t="shared" si="48"/>
        <v>106.2704237233268</v>
      </c>
      <c r="Y84" s="2665">
        <f t="shared" si="49"/>
        <v>106.33900116939124</v>
      </c>
      <c r="Z84" s="2665">
        <f t="shared" si="50"/>
        <v>106.44126543199457</v>
      </c>
      <c r="AA84" s="2665">
        <f t="shared" si="51"/>
        <v>106.39059643750097</v>
      </c>
      <c r="AB84" s="2666">
        <f t="shared" si="52"/>
        <v>105.12311918664359</v>
      </c>
      <c r="AC84" s="2664">
        <f t="shared" si="53"/>
        <v>129.70195310749614</v>
      </c>
      <c r="AD84" s="2665">
        <f t="shared" si="54"/>
        <v>107.61835907227409</v>
      </c>
      <c r="AE84" s="2665">
        <f t="shared" si="55"/>
        <v>105.11224997085469</v>
      </c>
      <c r="AF84" s="2665">
        <f t="shared" si="56"/>
        <v>111.35935085312623</v>
      </c>
      <c r="AG84" s="2665">
        <f t="shared" si="57"/>
        <v>108.7164719010111</v>
      </c>
      <c r="AH84" s="2665">
        <f t="shared" si="58"/>
        <v>107.49332546183869</v>
      </c>
      <c r="AI84" s="2665">
        <f t="shared" si="59"/>
        <v>105.68359142930382</v>
      </c>
      <c r="AJ84" s="2665">
        <f t="shared" si="60"/>
        <v>106.57814191566676</v>
      </c>
      <c r="AK84" s="2666">
        <f t="shared" si="61"/>
        <v>113.11763437683486</v>
      </c>
    </row>
    <row r="85" spans="1:37" ht="13.5" customHeight="1">
      <c r="A85" s="90"/>
      <c r="B85" s="82">
        <f t="shared" si="40"/>
        <v>2068</v>
      </c>
      <c r="C85" s="82"/>
      <c r="D85" s="2654">
        <f t="shared" si="63"/>
        <v>139.59886664584278</v>
      </c>
      <c r="E85" s="2655">
        <f t="shared" si="72"/>
        <v>47.891304746295035</v>
      </c>
      <c r="F85" s="2655">
        <f t="shared" si="73"/>
        <v>59.71648202754151</v>
      </c>
      <c r="G85" s="2655">
        <f t="shared" si="74"/>
        <v>53.964238705056943</v>
      </c>
      <c r="H85" s="2655">
        <f t="shared" si="75"/>
        <v>41.911598208850265</v>
      </c>
      <c r="I85" s="2655">
        <f t="shared" si="76"/>
        <v>91.193911005426159</v>
      </c>
      <c r="J85" s="2656">
        <f t="shared" si="77"/>
        <v>69.772476339582454</v>
      </c>
      <c r="K85" s="2654">
        <f t="shared" si="65"/>
        <v>154.63571878983907</v>
      </c>
      <c r="L85" s="2655">
        <f t="shared" si="66"/>
        <v>54.172657988302042</v>
      </c>
      <c r="M85" s="2655">
        <f t="shared" si="67"/>
        <v>69.088108892260024</v>
      </c>
      <c r="N85" s="2655">
        <f t="shared" si="68"/>
        <v>65.819812863456818</v>
      </c>
      <c r="O85" s="2655">
        <f t="shared" si="69"/>
        <v>45.497173755203171</v>
      </c>
      <c r="P85" s="2655">
        <f t="shared" si="70"/>
        <v>101.75203266507047</v>
      </c>
      <c r="Q85" s="2656">
        <f t="shared" si="71"/>
        <v>90.453932125304561</v>
      </c>
      <c r="R85" s="75"/>
      <c r="S85" s="2663" t="str">
        <f t="shared" si="42"/>
        <v>2068/69</v>
      </c>
      <c r="T85" s="2664">
        <f t="shared" si="44"/>
        <v>117.81107708023441</v>
      </c>
      <c r="U85" s="2665">
        <f t="shared" si="45"/>
        <v>106.41093518405982</v>
      </c>
      <c r="V85" s="2665">
        <f t="shared" si="46"/>
        <v>103.56925768233505</v>
      </c>
      <c r="W85" s="2665">
        <f t="shared" si="47"/>
        <v>106.39773326692877</v>
      </c>
      <c r="X85" s="2665">
        <f t="shared" si="48"/>
        <v>106.2704237233268</v>
      </c>
      <c r="Y85" s="2665">
        <f t="shared" si="49"/>
        <v>106.33900116939124</v>
      </c>
      <c r="Z85" s="2665">
        <f t="shared" si="50"/>
        <v>106.44126543199457</v>
      </c>
      <c r="AA85" s="2665">
        <f t="shared" si="51"/>
        <v>106.39059643750097</v>
      </c>
      <c r="AB85" s="2666">
        <f t="shared" si="52"/>
        <v>105.12311918664359</v>
      </c>
      <c r="AC85" s="2664">
        <f t="shared" si="53"/>
        <v>129.70195310749614</v>
      </c>
      <c r="AD85" s="2665">
        <f t="shared" si="54"/>
        <v>107.61835907227409</v>
      </c>
      <c r="AE85" s="2665">
        <f t="shared" si="55"/>
        <v>105.11224997085469</v>
      </c>
      <c r="AF85" s="2665">
        <f t="shared" si="56"/>
        <v>111.35935085312623</v>
      </c>
      <c r="AG85" s="2665">
        <f t="shared" si="57"/>
        <v>108.7164719010111</v>
      </c>
      <c r="AH85" s="2665">
        <f t="shared" si="58"/>
        <v>107.49332546183869</v>
      </c>
      <c r="AI85" s="2665">
        <f t="shared" si="59"/>
        <v>105.68359142930382</v>
      </c>
      <c r="AJ85" s="2665">
        <f t="shared" si="60"/>
        <v>106.57814191566676</v>
      </c>
      <c r="AK85" s="2666">
        <f t="shared" si="61"/>
        <v>113.11763437683486</v>
      </c>
    </row>
    <row r="86" spans="1:37" ht="13.5" customHeight="1">
      <c r="A86" s="90"/>
      <c r="B86" s="82">
        <f t="shared" si="40"/>
        <v>2069</v>
      </c>
      <c r="C86" s="82"/>
      <c r="D86" s="2654">
        <f t="shared" si="63"/>
        <v>139.59886664584278</v>
      </c>
      <c r="E86" s="2655">
        <f t="shared" si="72"/>
        <v>47.891304746295035</v>
      </c>
      <c r="F86" s="2655">
        <f t="shared" si="73"/>
        <v>59.71648202754151</v>
      </c>
      <c r="G86" s="2655">
        <f t="shared" si="74"/>
        <v>53.964238705056943</v>
      </c>
      <c r="H86" s="2655">
        <f t="shared" si="75"/>
        <v>41.911598208850265</v>
      </c>
      <c r="I86" s="2655">
        <f t="shared" si="76"/>
        <v>91.193911005426159</v>
      </c>
      <c r="J86" s="2656">
        <f t="shared" si="77"/>
        <v>69.772476339582454</v>
      </c>
      <c r="K86" s="2654">
        <f t="shared" si="65"/>
        <v>154.63571878983907</v>
      </c>
      <c r="L86" s="2655">
        <f t="shared" si="66"/>
        <v>54.172657988302042</v>
      </c>
      <c r="M86" s="2655">
        <f t="shared" si="67"/>
        <v>69.088108892260024</v>
      </c>
      <c r="N86" s="2655">
        <f t="shared" si="68"/>
        <v>65.819812863456818</v>
      </c>
      <c r="O86" s="2655">
        <f t="shared" si="69"/>
        <v>45.497173755203171</v>
      </c>
      <c r="P86" s="2655">
        <f t="shared" si="70"/>
        <v>101.75203266507047</v>
      </c>
      <c r="Q86" s="2656">
        <f t="shared" si="71"/>
        <v>90.453932125304561</v>
      </c>
      <c r="R86" s="75"/>
      <c r="S86" s="2663" t="str">
        <f t="shared" si="42"/>
        <v>2069/70</v>
      </c>
      <c r="T86" s="2664">
        <f t="shared" si="44"/>
        <v>117.81107708023441</v>
      </c>
      <c r="U86" s="2665">
        <f t="shared" si="45"/>
        <v>106.41093518405982</v>
      </c>
      <c r="V86" s="2665">
        <f t="shared" si="46"/>
        <v>103.56925768233505</v>
      </c>
      <c r="W86" s="2665">
        <f t="shared" si="47"/>
        <v>106.39773326692877</v>
      </c>
      <c r="X86" s="2665">
        <f t="shared" si="48"/>
        <v>106.2704237233268</v>
      </c>
      <c r="Y86" s="2665">
        <f t="shared" si="49"/>
        <v>106.33900116939124</v>
      </c>
      <c r="Z86" s="2665">
        <f t="shared" si="50"/>
        <v>106.44126543199457</v>
      </c>
      <c r="AA86" s="2665">
        <f t="shared" si="51"/>
        <v>106.39059643750097</v>
      </c>
      <c r="AB86" s="2666">
        <f t="shared" si="52"/>
        <v>105.12311918664359</v>
      </c>
      <c r="AC86" s="2664">
        <f t="shared" si="53"/>
        <v>129.70195310749614</v>
      </c>
      <c r="AD86" s="2665">
        <f t="shared" si="54"/>
        <v>107.61835907227409</v>
      </c>
      <c r="AE86" s="2665">
        <f t="shared" si="55"/>
        <v>105.11224997085469</v>
      </c>
      <c r="AF86" s="2665">
        <f t="shared" si="56"/>
        <v>111.35935085312623</v>
      </c>
      <c r="AG86" s="2665">
        <f t="shared" si="57"/>
        <v>108.7164719010111</v>
      </c>
      <c r="AH86" s="2665">
        <f t="shared" si="58"/>
        <v>107.49332546183869</v>
      </c>
      <c r="AI86" s="2665">
        <f t="shared" si="59"/>
        <v>105.68359142930382</v>
      </c>
      <c r="AJ86" s="2665">
        <f t="shared" si="60"/>
        <v>106.57814191566676</v>
      </c>
      <c r="AK86" s="2666">
        <f t="shared" si="61"/>
        <v>113.11763437683486</v>
      </c>
    </row>
    <row r="87" spans="1:37" ht="13.5" customHeight="1">
      <c r="A87" s="90"/>
      <c r="B87" s="82">
        <f t="shared" si="40"/>
        <v>2070</v>
      </c>
      <c r="C87" s="82"/>
      <c r="D87" s="2654">
        <f t="shared" si="63"/>
        <v>139.59886664584278</v>
      </c>
      <c r="E87" s="2655">
        <f t="shared" si="72"/>
        <v>47.891304746295035</v>
      </c>
      <c r="F87" s="2655">
        <f t="shared" si="73"/>
        <v>59.71648202754151</v>
      </c>
      <c r="G87" s="2655">
        <f t="shared" si="74"/>
        <v>53.964238705056943</v>
      </c>
      <c r="H87" s="2655">
        <f t="shared" si="75"/>
        <v>41.911598208850265</v>
      </c>
      <c r="I87" s="2655">
        <f t="shared" si="76"/>
        <v>91.193911005426159</v>
      </c>
      <c r="J87" s="2656">
        <f t="shared" si="77"/>
        <v>69.772476339582454</v>
      </c>
      <c r="K87" s="2654">
        <f t="shared" si="65"/>
        <v>154.63571878983907</v>
      </c>
      <c r="L87" s="2655">
        <f t="shared" si="66"/>
        <v>54.172657988302042</v>
      </c>
      <c r="M87" s="2655">
        <f t="shared" si="67"/>
        <v>69.088108892260024</v>
      </c>
      <c r="N87" s="2655">
        <f t="shared" si="68"/>
        <v>65.819812863456818</v>
      </c>
      <c r="O87" s="2655">
        <f t="shared" si="69"/>
        <v>45.497173755203171</v>
      </c>
      <c r="P87" s="2655">
        <f t="shared" si="70"/>
        <v>101.75203266507047</v>
      </c>
      <c r="Q87" s="2656">
        <f t="shared" si="71"/>
        <v>90.453932125304561</v>
      </c>
      <c r="R87" s="75"/>
      <c r="S87" s="2663" t="str">
        <f t="shared" si="42"/>
        <v>2070/71</v>
      </c>
      <c r="T87" s="2664">
        <f t="shared" si="44"/>
        <v>117.81107708023441</v>
      </c>
      <c r="U87" s="2665">
        <f t="shared" si="45"/>
        <v>106.41093518405982</v>
      </c>
      <c r="V87" s="2665">
        <f t="shared" si="46"/>
        <v>103.56925768233505</v>
      </c>
      <c r="W87" s="2665">
        <f t="shared" si="47"/>
        <v>106.39773326692877</v>
      </c>
      <c r="X87" s="2665">
        <f t="shared" si="48"/>
        <v>106.2704237233268</v>
      </c>
      <c r="Y87" s="2665">
        <f t="shared" si="49"/>
        <v>106.33900116939124</v>
      </c>
      <c r="Z87" s="2665">
        <f t="shared" si="50"/>
        <v>106.44126543199457</v>
      </c>
      <c r="AA87" s="2665">
        <f t="shared" si="51"/>
        <v>106.39059643750097</v>
      </c>
      <c r="AB87" s="2666">
        <f t="shared" si="52"/>
        <v>105.12311918664359</v>
      </c>
      <c r="AC87" s="2664">
        <f t="shared" si="53"/>
        <v>129.70195310749614</v>
      </c>
      <c r="AD87" s="2665">
        <f t="shared" si="54"/>
        <v>107.61835907227409</v>
      </c>
      <c r="AE87" s="2665">
        <f t="shared" si="55"/>
        <v>105.11224997085469</v>
      </c>
      <c r="AF87" s="2665">
        <f t="shared" si="56"/>
        <v>111.35935085312623</v>
      </c>
      <c r="AG87" s="2665">
        <f t="shared" si="57"/>
        <v>108.7164719010111</v>
      </c>
      <c r="AH87" s="2665">
        <f t="shared" si="58"/>
        <v>107.49332546183869</v>
      </c>
      <c r="AI87" s="2665">
        <f t="shared" si="59"/>
        <v>105.68359142930382</v>
      </c>
      <c r="AJ87" s="2665">
        <f t="shared" si="60"/>
        <v>106.57814191566676</v>
      </c>
      <c r="AK87" s="2666">
        <f t="shared" si="61"/>
        <v>113.11763437683486</v>
      </c>
    </row>
    <row r="88" spans="1:37" ht="13.5" customHeight="1">
      <c r="A88" s="90"/>
      <c r="B88" s="82">
        <f t="shared" si="40"/>
        <v>2071</v>
      </c>
      <c r="C88" s="82"/>
      <c r="D88" s="2654">
        <f t="shared" si="63"/>
        <v>139.59886664584278</v>
      </c>
      <c r="E88" s="2655">
        <f t="shared" si="72"/>
        <v>47.891304746295035</v>
      </c>
      <c r="F88" s="2655">
        <f t="shared" si="73"/>
        <v>59.71648202754151</v>
      </c>
      <c r="G88" s="2655">
        <f t="shared" si="74"/>
        <v>53.964238705056943</v>
      </c>
      <c r="H88" s="2655">
        <f t="shared" si="75"/>
        <v>41.911598208850265</v>
      </c>
      <c r="I88" s="2655">
        <f t="shared" si="76"/>
        <v>91.193911005426159</v>
      </c>
      <c r="J88" s="2656">
        <f t="shared" si="77"/>
        <v>69.772476339582454</v>
      </c>
      <c r="K88" s="2654">
        <f t="shared" si="65"/>
        <v>154.63571878983907</v>
      </c>
      <c r="L88" s="2655">
        <f t="shared" si="66"/>
        <v>54.172657988302042</v>
      </c>
      <c r="M88" s="2655">
        <f t="shared" si="67"/>
        <v>69.088108892260024</v>
      </c>
      <c r="N88" s="2655">
        <f t="shared" si="68"/>
        <v>65.819812863456818</v>
      </c>
      <c r="O88" s="2655">
        <f t="shared" si="69"/>
        <v>45.497173755203171</v>
      </c>
      <c r="P88" s="2655">
        <f t="shared" si="70"/>
        <v>101.75203266507047</v>
      </c>
      <c r="Q88" s="2656">
        <f t="shared" si="71"/>
        <v>90.453932125304561</v>
      </c>
      <c r="R88" s="75"/>
      <c r="S88" s="2663" t="str">
        <f t="shared" si="42"/>
        <v>2071/72</v>
      </c>
      <c r="T88" s="2664">
        <f t="shared" si="44"/>
        <v>117.81107708023441</v>
      </c>
      <c r="U88" s="2665">
        <f t="shared" si="45"/>
        <v>106.41093518405982</v>
      </c>
      <c r="V88" s="2665">
        <f t="shared" si="46"/>
        <v>103.56925768233505</v>
      </c>
      <c r="W88" s="2665">
        <f t="shared" si="47"/>
        <v>106.39773326692877</v>
      </c>
      <c r="X88" s="2665">
        <f t="shared" si="48"/>
        <v>106.2704237233268</v>
      </c>
      <c r="Y88" s="2665">
        <f t="shared" si="49"/>
        <v>106.33900116939124</v>
      </c>
      <c r="Z88" s="2665">
        <f t="shared" si="50"/>
        <v>106.44126543199457</v>
      </c>
      <c r="AA88" s="2665">
        <f t="shared" si="51"/>
        <v>106.39059643750097</v>
      </c>
      <c r="AB88" s="2666">
        <f t="shared" si="52"/>
        <v>105.12311918664359</v>
      </c>
      <c r="AC88" s="2664">
        <f t="shared" si="53"/>
        <v>129.70195310749614</v>
      </c>
      <c r="AD88" s="2665">
        <f t="shared" si="54"/>
        <v>107.61835907227409</v>
      </c>
      <c r="AE88" s="2665">
        <f t="shared" si="55"/>
        <v>105.11224997085469</v>
      </c>
      <c r="AF88" s="2665">
        <f t="shared" si="56"/>
        <v>111.35935085312623</v>
      </c>
      <c r="AG88" s="2665">
        <f t="shared" si="57"/>
        <v>108.7164719010111</v>
      </c>
      <c r="AH88" s="2665">
        <f t="shared" si="58"/>
        <v>107.49332546183869</v>
      </c>
      <c r="AI88" s="2665">
        <f t="shared" si="59"/>
        <v>105.68359142930382</v>
      </c>
      <c r="AJ88" s="2665">
        <f t="shared" si="60"/>
        <v>106.57814191566676</v>
      </c>
      <c r="AK88" s="2666">
        <f t="shared" si="61"/>
        <v>113.11763437683486</v>
      </c>
    </row>
    <row r="89" spans="1:37" ht="13.5" customHeight="1">
      <c r="A89" s="90"/>
      <c r="B89" s="82">
        <f t="shared" si="40"/>
        <v>2072</v>
      </c>
      <c r="C89" s="82"/>
      <c r="D89" s="2654">
        <f t="shared" si="63"/>
        <v>139.59886664584278</v>
      </c>
      <c r="E89" s="2655">
        <f t="shared" si="72"/>
        <v>47.891304746295035</v>
      </c>
      <c r="F89" s="2655">
        <f t="shared" si="73"/>
        <v>59.71648202754151</v>
      </c>
      <c r="G89" s="2655">
        <f t="shared" si="74"/>
        <v>53.964238705056943</v>
      </c>
      <c r="H89" s="2655">
        <f t="shared" si="75"/>
        <v>41.911598208850265</v>
      </c>
      <c r="I89" s="2655">
        <f t="shared" si="76"/>
        <v>91.193911005426159</v>
      </c>
      <c r="J89" s="2656">
        <f t="shared" si="77"/>
        <v>69.772476339582454</v>
      </c>
      <c r="K89" s="2654">
        <f t="shared" si="65"/>
        <v>154.63571878983907</v>
      </c>
      <c r="L89" s="2655">
        <f t="shared" si="66"/>
        <v>54.172657988302042</v>
      </c>
      <c r="M89" s="2655">
        <f t="shared" si="67"/>
        <v>69.088108892260024</v>
      </c>
      <c r="N89" s="2655">
        <f t="shared" si="68"/>
        <v>65.819812863456818</v>
      </c>
      <c r="O89" s="2655">
        <f t="shared" si="69"/>
        <v>45.497173755203171</v>
      </c>
      <c r="P89" s="2655">
        <f t="shared" si="70"/>
        <v>101.75203266507047</v>
      </c>
      <c r="Q89" s="2656">
        <f t="shared" si="71"/>
        <v>90.453932125304561</v>
      </c>
      <c r="R89" s="75"/>
      <c r="S89" s="2663" t="str">
        <f t="shared" si="42"/>
        <v>2072/73</v>
      </c>
      <c r="T89" s="2664">
        <f t="shared" si="44"/>
        <v>117.81107708023441</v>
      </c>
      <c r="U89" s="2665">
        <f t="shared" si="45"/>
        <v>106.41093518405982</v>
      </c>
      <c r="V89" s="2665">
        <f t="shared" si="46"/>
        <v>103.56925768233505</v>
      </c>
      <c r="W89" s="2665">
        <f t="shared" si="47"/>
        <v>106.39773326692877</v>
      </c>
      <c r="X89" s="2665">
        <f t="shared" si="48"/>
        <v>106.2704237233268</v>
      </c>
      <c r="Y89" s="2665">
        <f t="shared" si="49"/>
        <v>106.33900116939124</v>
      </c>
      <c r="Z89" s="2665">
        <f t="shared" si="50"/>
        <v>106.44126543199457</v>
      </c>
      <c r="AA89" s="2665">
        <f t="shared" si="51"/>
        <v>106.39059643750097</v>
      </c>
      <c r="AB89" s="2666">
        <f t="shared" si="52"/>
        <v>105.12311918664359</v>
      </c>
      <c r="AC89" s="2664">
        <f t="shared" si="53"/>
        <v>129.70195310749614</v>
      </c>
      <c r="AD89" s="2665">
        <f t="shared" si="54"/>
        <v>107.61835907227409</v>
      </c>
      <c r="AE89" s="2665">
        <f t="shared" si="55"/>
        <v>105.11224997085469</v>
      </c>
      <c r="AF89" s="2665">
        <f t="shared" si="56"/>
        <v>111.35935085312623</v>
      </c>
      <c r="AG89" s="2665">
        <f t="shared" si="57"/>
        <v>108.7164719010111</v>
      </c>
      <c r="AH89" s="2665">
        <f t="shared" si="58"/>
        <v>107.49332546183869</v>
      </c>
      <c r="AI89" s="2665">
        <f t="shared" si="59"/>
        <v>105.68359142930382</v>
      </c>
      <c r="AJ89" s="2665">
        <f t="shared" si="60"/>
        <v>106.57814191566676</v>
      </c>
      <c r="AK89" s="2666">
        <f t="shared" si="61"/>
        <v>113.11763437683486</v>
      </c>
    </row>
    <row r="90" spans="1:37" ht="13.5" customHeight="1">
      <c r="A90" s="90"/>
      <c r="B90" s="82">
        <f t="shared" si="40"/>
        <v>2073</v>
      </c>
      <c r="C90" s="82"/>
      <c r="D90" s="2654">
        <f t="shared" si="63"/>
        <v>139.59886664584278</v>
      </c>
      <c r="E90" s="2655">
        <f t="shared" si="72"/>
        <v>47.891304746295035</v>
      </c>
      <c r="F90" s="2655">
        <f t="shared" si="73"/>
        <v>59.71648202754151</v>
      </c>
      <c r="G90" s="2655">
        <f t="shared" si="74"/>
        <v>53.964238705056943</v>
      </c>
      <c r="H90" s="2655">
        <f t="shared" si="75"/>
        <v>41.911598208850265</v>
      </c>
      <c r="I90" s="2655">
        <f t="shared" si="76"/>
        <v>91.193911005426159</v>
      </c>
      <c r="J90" s="2656">
        <f t="shared" si="77"/>
        <v>69.772476339582454</v>
      </c>
      <c r="K90" s="2654">
        <f t="shared" si="65"/>
        <v>154.63571878983907</v>
      </c>
      <c r="L90" s="2655">
        <f t="shared" si="66"/>
        <v>54.172657988302042</v>
      </c>
      <c r="M90" s="2655">
        <f t="shared" si="67"/>
        <v>69.088108892260024</v>
      </c>
      <c r="N90" s="2655">
        <f t="shared" si="68"/>
        <v>65.819812863456818</v>
      </c>
      <c r="O90" s="2655">
        <f t="shared" si="69"/>
        <v>45.497173755203171</v>
      </c>
      <c r="P90" s="2655">
        <f t="shared" si="70"/>
        <v>101.75203266507047</v>
      </c>
      <c r="Q90" s="2656">
        <f t="shared" si="71"/>
        <v>90.453932125304561</v>
      </c>
      <c r="R90" s="75"/>
      <c r="S90" s="2663" t="str">
        <f t="shared" si="42"/>
        <v>2073/74</v>
      </c>
      <c r="T90" s="2664">
        <f t="shared" si="44"/>
        <v>117.81107708023441</v>
      </c>
      <c r="U90" s="2665">
        <f t="shared" si="45"/>
        <v>106.41093518405982</v>
      </c>
      <c r="V90" s="2665">
        <f t="shared" si="46"/>
        <v>103.56925768233505</v>
      </c>
      <c r="W90" s="2665">
        <f t="shared" si="47"/>
        <v>106.39773326692877</v>
      </c>
      <c r="X90" s="2665">
        <f t="shared" si="48"/>
        <v>106.2704237233268</v>
      </c>
      <c r="Y90" s="2665">
        <f t="shared" si="49"/>
        <v>106.33900116939124</v>
      </c>
      <c r="Z90" s="2665">
        <f t="shared" si="50"/>
        <v>106.44126543199457</v>
      </c>
      <c r="AA90" s="2665">
        <f t="shared" si="51"/>
        <v>106.39059643750097</v>
      </c>
      <c r="AB90" s="2666">
        <f t="shared" si="52"/>
        <v>105.12311918664359</v>
      </c>
      <c r="AC90" s="2664">
        <f t="shared" si="53"/>
        <v>129.70195310749614</v>
      </c>
      <c r="AD90" s="2665">
        <f t="shared" si="54"/>
        <v>107.61835907227409</v>
      </c>
      <c r="AE90" s="2665">
        <f t="shared" si="55"/>
        <v>105.11224997085469</v>
      </c>
      <c r="AF90" s="2665">
        <f t="shared" si="56"/>
        <v>111.35935085312623</v>
      </c>
      <c r="AG90" s="2665">
        <f t="shared" si="57"/>
        <v>108.7164719010111</v>
      </c>
      <c r="AH90" s="2665">
        <f t="shared" si="58"/>
        <v>107.49332546183869</v>
      </c>
      <c r="AI90" s="2665">
        <f t="shared" si="59"/>
        <v>105.68359142930382</v>
      </c>
      <c r="AJ90" s="2665">
        <f t="shared" si="60"/>
        <v>106.57814191566676</v>
      </c>
      <c r="AK90" s="2666">
        <f t="shared" si="61"/>
        <v>113.11763437683486</v>
      </c>
    </row>
    <row r="91" spans="1:37" ht="13.5" customHeight="1">
      <c r="A91" s="90"/>
      <c r="B91" s="82">
        <f t="shared" si="40"/>
        <v>2074</v>
      </c>
      <c r="C91" s="82"/>
      <c r="D91" s="2654">
        <f t="shared" si="63"/>
        <v>139.59886664584278</v>
      </c>
      <c r="E91" s="2655">
        <f t="shared" si="72"/>
        <v>47.891304746295035</v>
      </c>
      <c r="F91" s="2655">
        <f t="shared" si="73"/>
        <v>59.71648202754151</v>
      </c>
      <c r="G91" s="2655">
        <f t="shared" si="74"/>
        <v>53.964238705056943</v>
      </c>
      <c r="H91" s="2655">
        <f t="shared" si="75"/>
        <v>41.911598208850265</v>
      </c>
      <c r="I91" s="2655">
        <f t="shared" si="76"/>
        <v>91.193911005426159</v>
      </c>
      <c r="J91" s="2656">
        <f t="shared" si="77"/>
        <v>69.772476339582454</v>
      </c>
      <c r="K91" s="2654">
        <f t="shared" si="65"/>
        <v>154.63571878983907</v>
      </c>
      <c r="L91" s="2655">
        <f t="shared" si="66"/>
        <v>54.172657988302042</v>
      </c>
      <c r="M91" s="2655">
        <f t="shared" si="67"/>
        <v>69.088108892260024</v>
      </c>
      <c r="N91" s="2655">
        <f t="shared" si="68"/>
        <v>65.819812863456818</v>
      </c>
      <c r="O91" s="2655">
        <f t="shared" si="69"/>
        <v>45.497173755203171</v>
      </c>
      <c r="P91" s="2655">
        <f t="shared" si="70"/>
        <v>101.75203266507047</v>
      </c>
      <c r="Q91" s="2656">
        <f t="shared" si="71"/>
        <v>90.453932125304561</v>
      </c>
      <c r="R91" s="75"/>
      <c r="S91" s="2663" t="str">
        <f t="shared" si="42"/>
        <v>2074/75</v>
      </c>
      <c r="T91" s="2664">
        <f t="shared" ref="T91:T116" si="78">(D91*0.75+D92*0.25)/(D$27*0.75+D$28*0.25)*100</f>
        <v>117.81107708023441</v>
      </c>
      <c r="U91" s="2665">
        <f t="shared" ref="U91:U116" si="79">(E91*0.75+E92*0.25)/(E$27*0.75+E$28*0.25)*100</f>
        <v>106.41093518405982</v>
      </c>
      <c r="V91" s="2665">
        <f t="shared" ref="V91:V116" si="80">(F91*0.75+F92*0.25)/(F$27*0.75+F$28*0.25)*100</f>
        <v>103.56925768233505</v>
      </c>
      <c r="W91" s="2665">
        <f t="shared" ref="W91:W116" si="81">(G91*0.75+G92*0.25)/(G$27*0.75+G$28*0.25)*100</f>
        <v>106.39773326692877</v>
      </c>
      <c r="X91" s="2665">
        <f t="shared" ref="X91:X116" si="82">($I91*0.75+$I92*0.25)/($I$27*0.75+$I$28*0.25)*100</f>
        <v>106.2704237233268</v>
      </c>
      <c r="Y91" s="2665">
        <f t="shared" ref="Y91:Y116" si="83">(($H91*0.75+$H92*0.25)*O$17+($I91*0.75+$I92*0.25)*O$18)/(($H$27*0.75+$H$28*0.25)*O$17+($I$27*0.75+$I$28*0.25)*O$18)*100</f>
        <v>106.33900116939124</v>
      </c>
      <c r="Z91" s="2665">
        <f t="shared" ref="Z91:Z116" si="84">(($H91*0.75+$H92*0.25)*P$17+($I91*0.75+$I92*0.25)*P$18)/(($H$27*0.75+$H$28*0.25)*P$17+($I$27*0.75+$I$28*0.25)*P$18)*100</f>
        <v>106.44126543199457</v>
      </c>
      <c r="AA91" s="2665">
        <f t="shared" ref="AA91:AA116" si="85">(($H91*0.75+$H92*0.25)*Q$17+($I91*0.75+$I92*0.25)*Q$18)/(($H$27*0.75+$H$28*0.25)*Q$17+($I$27*0.75+$I$28*0.25)*Q$18)*100</f>
        <v>106.39059643750097</v>
      </c>
      <c r="AB91" s="2666">
        <f t="shared" ref="AB91:AB116" si="86">(J91*0.75+J92*0.25)/(J$27*0.75+J$28*0.25)*100</f>
        <v>105.12311918664359</v>
      </c>
      <c r="AC91" s="2664">
        <f t="shared" ref="AC91:AC116" si="87">(K91*0.75+K92*0.25)/(K$27*0.75+K$28*0.25)*100</f>
        <v>129.70195310749614</v>
      </c>
      <c r="AD91" s="2665">
        <f t="shared" ref="AD91:AD116" si="88">(L91*0.75+L92*0.25)/(L$27*0.75+L$28*0.25)*100</f>
        <v>107.61835907227409</v>
      </c>
      <c r="AE91" s="2665">
        <f t="shared" ref="AE91:AE116" si="89">(M91*0.75+M92*0.25)/(M$27*0.75+M$28*0.25)*100</f>
        <v>105.11224997085469</v>
      </c>
      <c r="AF91" s="2665">
        <f t="shared" ref="AF91:AF116" si="90">(N91*0.75+N92*0.25)/(N$27*0.75+N$28*0.25)*100</f>
        <v>111.35935085312623</v>
      </c>
      <c r="AG91" s="2665">
        <f t="shared" ref="AG91:AG116" si="91">($P91*0.75+$P92*0.25)/($P$27*0.75+$P$28*0.25)*100</f>
        <v>108.7164719010111</v>
      </c>
      <c r="AH91" s="2665">
        <f t="shared" ref="AH91:AH116" si="92">(($O91*0.75+$O92*0.25)*O$17+($P91*0.75+$P92*0.25)*O$18)/(($O$27*0.75+$O$28*0.25)*O$17+($P$27*0.75+$P$28*0.25)*O$18)*100</f>
        <v>107.49332546183869</v>
      </c>
      <c r="AI91" s="2665">
        <f t="shared" ref="AI91:AI116" si="93">(($O91*0.75+$O92*0.25)*P$17+($P91*0.75+$P92*0.25)*P$18)/(($O$27*0.75+$O$28*0.25)*P$17+($P$27*0.75+$P$28*0.25)*P$18)*100</f>
        <v>105.68359142930382</v>
      </c>
      <c r="AJ91" s="2665">
        <f t="shared" ref="AJ91:AJ116" si="94">(($O91*0.75+$O92*0.25)*Q$17+($P91*0.75+$P92*0.25)*Q$18)/(($O$27*0.75+$O$28*0.25)*Q$17+($P$27*0.75+$P$28*0.25)*Q$18)*100</f>
        <v>106.57814191566676</v>
      </c>
      <c r="AK91" s="2666">
        <f t="shared" ref="AK91:AK116" si="95">(Q91*0.75+Q92*0.25)/(Q$27*0.75+Q$28*0.25)*100</f>
        <v>113.11763437683486</v>
      </c>
    </row>
    <row r="92" spans="1:37" ht="13.5" customHeight="1">
      <c r="A92" s="90"/>
      <c r="B92" s="82">
        <f t="shared" ref="B92:B117" si="96">B91+1</f>
        <v>2075</v>
      </c>
      <c r="C92" s="82"/>
      <c r="D92" s="2654">
        <f t="shared" si="63"/>
        <v>139.59886664584278</v>
      </c>
      <c r="E92" s="2655">
        <f t="shared" si="72"/>
        <v>47.891304746295035</v>
      </c>
      <c r="F92" s="2655">
        <f t="shared" si="73"/>
        <v>59.71648202754151</v>
      </c>
      <c r="G92" s="2655">
        <f t="shared" si="74"/>
        <v>53.964238705056943</v>
      </c>
      <c r="H92" s="2655">
        <f t="shared" si="75"/>
        <v>41.911598208850265</v>
      </c>
      <c r="I92" s="2655">
        <f t="shared" si="76"/>
        <v>91.193911005426159</v>
      </c>
      <c r="J92" s="2656">
        <f t="shared" si="77"/>
        <v>69.772476339582454</v>
      </c>
      <c r="K92" s="2654">
        <f t="shared" si="65"/>
        <v>154.63571878983907</v>
      </c>
      <c r="L92" s="2655">
        <f t="shared" si="66"/>
        <v>54.172657988302042</v>
      </c>
      <c r="M92" s="2655">
        <f t="shared" si="67"/>
        <v>69.088108892260024</v>
      </c>
      <c r="N92" s="2655">
        <f t="shared" si="68"/>
        <v>65.819812863456818</v>
      </c>
      <c r="O92" s="2655">
        <f t="shared" si="69"/>
        <v>45.497173755203171</v>
      </c>
      <c r="P92" s="2655">
        <f t="shared" si="70"/>
        <v>101.75203266507047</v>
      </c>
      <c r="Q92" s="2656">
        <f t="shared" si="71"/>
        <v>90.453932125304561</v>
      </c>
      <c r="R92" s="75"/>
      <c r="S92" s="2663" t="str">
        <f t="shared" si="42"/>
        <v>2075/76</v>
      </c>
      <c r="T92" s="2664">
        <f t="shared" si="78"/>
        <v>117.81107708023441</v>
      </c>
      <c r="U92" s="2665">
        <f t="shared" si="79"/>
        <v>106.41093518405982</v>
      </c>
      <c r="V92" s="2665">
        <f t="shared" si="80"/>
        <v>103.56925768233505</v>
      </c>
      <c r="W92" s="2665">
        <f t="shared" si="81"/>
        <v>106.39773326692877</v>
      </c>
      <c r="X92" s="2665">
        <f t="shared" si="82"/>
        <v>106.2704237233268</v>
      </c>
      <c r="Y92" s="2665">
        <f t="shared" si="83"/>
        <v>106.33900116939124</v>
      </c>
      <c r="Z92" s="2665">
        <f t="shared" si="84"/>
        <v>106.44126543199457</v>
      </c>
      <c r="AA92" s="2665">
        <f t="shared" si="85"/>
        <v>106.39059643750097</v>
      </c>
      <c r="AB92" s="2666">
        <f t="shared" si="86"/>
        <v>105.12311918664359</v>
      </c>
      <c r="AC92" s="2664">
        <f t="shared" si="87"/>
        <v>129.70195310749614</v>
      </c>
      <c r="AD92" s="2665">
        <f t="shared" si="88"/>
        <v>107.61835907227409</v>
      </c>
      <c r="AE92" s="2665">
        <f t="shared" si="89"/>
        <v>105.11224997085469</v>
      </c>
      <c r="AF92" s="2665">
        <f t="shared" si="90"/>
        <v>111.35935085312623</v>
      </c>
      <c r="AG92" s="2665">
        <f t="shared" si="91"/>
        <v>108.7164719010111</v>
      </c>
      <c r="AH92" s="2665">
        <f t="shared" si="92"/>
        <v>107.49332546183869</v>
      </c>
      <c r="AI92" s="2665">
        <f t="shared" si="93"/>
        <v>105.68359142930382</v>
      </c>
      <c r="AJ92" s="2665">
        <f t="shared" si="94"/>
        <v>106.57814191566676</v>
      </c>
      <c r="AK92" s="2666">
        <f t="shared" si="95"/>
        <v>113.11763437683486</v>
      </c>
    </row>
    <row r="93" spans="1:37" ht="13.5" customHeight="1">
      <c r="A93" s="90"/>
      <c r="B93" s="82">
        <f t="shared" si="96"/>
        <v>2076</v>
      </c>
      <c r="C93" s="82"/>
      <c r="D93" s="2654">
        <f t="shared" si="63"/>
        <v>139.59886664584278</v>
      </c>
      <c r="E93" s="2655">
        <f t="shared" si="72"/>
        <v>47.891304746295035</v>
      </c>
      <c r="F93" s="2655">
        <f t="shared" si="73"/>
        <v>59.71648202754151</v>
      </c>
      <c r="G93" s="2655">
        <f t="shared" si="74"/>
        <v>53.964238705056943</v>
      </c>
      <c r="H93" s="2655">
        <f t="shared" si="75"/>
        <v>41.911598208850265</v>
      </c>
      <c r="I93" s="2655">
        <f t="shared" si="76"/>
        <v>91.193911005426159</v>
      </c>
      <c r="J93" s="2656">
        <f t="shared" si="77"/>
        <v>69.772476339582454</v>
      </c>
      <c r="K93" s="2654">
        <f t="shared" si="65"/>
        <v>154.63571878983907</v>
      </c>
      <c r="L93" s="2655">
        <f t="shared" si="66"/>
        <v>54.172657988302042</v>
      </c>
      <c r="M93" s="2655">
        <f t="shared" si="67"/>
        <v>69.088108892260024</v>
      </c>
      <c r="N93" s="2655">
        <f t="shared" si="68"/>
        <v>65.819812863456818</v>
      </c>
      <c r="O93" s="2655">
        <f t="shared" si="69"/>
        <v>45.497173755203171</v>
      </c>
      <c r="P93" s="2655">
        <f t="shared" si="70"/>
        <v>101.75203266507047</v>
      </c>
      <c r="Q93" s="2656">
        <f t="shared" si="71"/>
        <v>90.453932125304561</v>
      </c>
      <c r="R93" s="75"/>
      <c r="S93" s="2663" t="str">
        <f t="shared" si="42"/>
        <v>2076/77</v>
      </c>
      <c r="T93" s="2664">
        <f t="shared" si="78"/>
        <v>117.81107708023441</v>
      </c>
      <c r="U93" s="2665">
        <f t="shared" si="79"/>
        <v>106.41093518405982</v>
      </c>
      <c r="V93" s="2665">
        <f t="shared" si="80"/>
        <v>103.56925768233505</v>
      </c>
      <c r="W93" s="2665">
        <f t="shared" si="81"/>
        <v>106.39773326692877</v>
      </c>
      <c r="X93" s="2665">
        <f t="shared" si="82"/>
        <v>106.2704237233268</v>
      </c>
      <c r="Y93" s="2665">
        <f t="shared" si="83"/>
        <v>106.33900116939124</v>
      </c>
      <c r="Z93" s="2665">
        <f t="shared" si="84"/>
        <v>106.44126543199457</v>
      </c>
      <c r="AA93" s="2665">
        <f t="shared" si="85"/>
        <v>106.39059643750097</v>
      </c>
      <c r="AB93" s="2666">
        <f t="shared" si="86"/>
        <v>105.12311918664359</v>
      </c>
      <c r="AC93" s="2664">
        <f t="shared" si="87"/>
        <v>129.70195310749614</v>
      </c>
      <c r="AD93" s="2665">
        <f t="shared" si="88"/>
        <v>107.61835907227409</v>
      </c>
      <c r="AE93" s="2665">
        <f t="shared" si="89"/>
        <v>105.11224997085469</v>
      </c>
      <c r="AF93" s="2665">
        <f t="shared" si="90"/>
        <v>111.35935085312623</v>
      </c>
      <c r="AG93" s="2665">
        <f t="shared" si="91"/>
        <v>108.7164719010111</v>
      </c>
      <c r="AH93" s="2665">
        <f t="shared" si="92"/>
        <v>107.49332546183869</v>
      </c>
      <c r="AI93" s="2665">
        <f t="shared" si="93"/>
        <v>105.68359142930382</v>
      </c>
      <c r="AJ93" s="2665">
        <f t="shared" si="94"/>
        <v>106.57814191566676</v>
      </c>
      <c r="AK93" s="2666">
        <f t="shared" si="95"/>
        <v>113.11763437683486</v>
      </c>
    </row>
    <row r="94" spans="1:37" ht="13.5" customHeight="1">
      <c r="A94" s="90"/>
      <c r="B94" s="82">
        <f t="shared" si="96"/>
        <v>2077</v>
      </c>
      <c r="C94" s="82"/>
      <c r="D94" s="2654">
        <f t="shared" si="63"/>
        <v>139.59886664584278</v>
      </c>
      <c r="E94" s="2655">
        <f t="shared" si="72"/>
        <v>47.891304746295035</v>
      </c>
      <c r="F94" s="2655">
        <f t="shared" si="73"/>
        <v>59.71648202754151</v>
      </c>
      <c r="G94" s="2655">
        <f t="shared" si="74"/>
        <v>53.964238705056943</v>
      </c>
      <c r="H94" s="2655">
        <f t="shared" si="75"/>
        <v>41.911598208850265</v>
      </c>
      <c r="I94" s="2655">
        <f t="shared" si="76"/>
        <v>91.193911005426159</v>
      </c>
      <c r="J94" s="2656">
        <f t="shared" si="77"/>
        <v>69.772476339582454</v>
      </c>
      <c r="K94" s="2654">
        <f t="shared" si="65"/>
        <v>154.63571878983907</v>
      </c>
      <c r="L94" s="2655">
        <f t="shared" si="66"/>
        <v>54.172657988302042</v>
      </c>
      <c r="M94" s="2655">
        <f t="shared" si="67"/>
        <v>69.088108892260024</v>
      </c>
      <c r="N94" s="2655">
        <f t="shared" si="68"/>
        <v>65.819812863456818</v>
      </c>
      <c r="O94" s="2655">
        <f t="shared" si="69"/>
        <v>45.497173755203171</v>
      </c>
      <c r="P94" s="2655">
        <f t="shared" si="70"/>
        <v>101.75203266507047</v>
      </c>
      <c r="Q94" s="2656">
        <f t="shared" si="71"/>
        <v>90.453932125304561</v>
      </c>
      <c r="R94" s="75"/>
      <c r="S94" s="2663" t="str">
        <f t="shared" si="42"/>
        <v>2077/78</v>
      </c>
      <c r="T94" s="2664">
        <f t="shared" si="78"/>
        <v>117.81107708023441</v>
      </c>
      <c r="U94" s="2665">
        <f t="shared" si="79"/>
        <v>106.41093518405982</v>
      </c>
      <c r="V94" s="2665">
        <f t="shared" si="80"/>
        <v>103.56925768233505</v>
      </c>
      <c r="W94" s="2665">
        <f t="shared" si="81"/>
        <v>106.39773326692877</v>
      </c>
      <c r="X94" s="2665">
        <f t="shared" si="82"/>
        <v>106.2704237233268</v>
      </c>
      <c r="Y94" s="2665">
        <f t="shared" si="83"/>
        <v>106.33900116939124</v>
      </c>
      <c r="Z94" s="2665">
        <f t="shared" si="84"/>
        <v>106.44126543199457</v>
      </c>
      <c r="AA94" s="2665">
        <f t="shared" si="85"/>
        <v>106.39059643750097</v>
      </c>
      <c r="AB94" s="2666">
        <f t="shared" si="86"/>
        <v>105.12311918664359</v>
      </c>
      <c r="AC94" s="2664">
        <f t="shared" si="87"/>
        <v>129.70195310749614</v>
      </c>
      <c r="AD94" s="2665">
        <f t="shared" si="88"/>
        <v>107.61835907227409</v>
      </c>
      <c r="AE94" s="2665">
        <f t="shared" si="89"/>
        <v>105.11224997085469</v>
      </c>
      <c r="AF94" s="2665">
        <f t="shared" si="90"/>
        <v>111.35935085312623</v>
      </c>
      <c r="AG94" s="2665">
        <f t="shared" si="91"/>
        <v>108.7164719010111</v>
      </c>
      <c r="AH94" s="2665">
        <f t="shared" si="92"/>
        <v>107.49332546183869</v>
      </c>
      <c r="AI94" s="2665">
        <f t="shared" si="93"/>
        <v>105.68359142930382</v>
      </c>
      <c r="AJ94" s="2665">
        <f t="shared" si="94"/>
        <v>106.57814191566676</v>
      </c>
      <c r="AK94" s="2666">
        <f t="shared" si="95"/>
        <v>113.11763437683486</v>
      </c>
    </row>
    <row r="95" spans="1:37" ht="13.5" customHeight="1">
      <c r="A95" s="90"/>
      <c r="B95" s="82">
        <f t="shared" si="96"/>
        <v>2078</v>
      </c>
      <c r="C95" s="82"/>
      <c r="D95" s="2654">
        <f t="shared" si="63"/>
        <v>139.59886664584278</v>
      </c>
      <c r="E95" s="2655">
        <f t="shared" si="72"/>
        <v>47.891304746295035</v>
      </c>
      <c r="F95" s="2655">
        <f t="shared" si="73"/>
        <v>59.71648202754151</v>
      </c>
      <c r="G95" s="2655">
        <f t="shared" si="74"/>
        <v>53.964238705056943</v>
      </c>
      <c r="H95" s="2655">
        <f t="shared" si="75"/>
        <v>41.911598208850265</v>
      </c>
      <c r="I95" s="2655">
        <f t="shared" si="76"/>
        <v>91.193911005426159</v>
      </c>
      <c r="J95" s="2656">
        <f t="shared" si="77"/>
        <v>69.772476339582454</v>
      </c>
      <c r="K95" s="2654">
        <f t="shared" si="65"/>
        <v>154.63571878983907</v>
      </c>
      <c r="L95" s="2655">
        <f t="shared" si="66"/>
        <v>54.172657988302042</v>
      </c>
      <c r="M95" s="2655">
        <f t="shared" si="67"/>
        <v>69.088108892260024</v>
      </c>
      <c r="N95" s="2655">
        <f t="shared" si="68"/>
        <v>65.819812863456818</v>
      </c>
      <c r="O95" s="2655">
        <f t="shared" si="69"/>
        <v>45.497173755203171</v>
      </c>
      <c r="P95" s="2655">
        <f t="shared" si="70"/>
        <v>101.75203266507047</v>
      </c>
      <c r="Q95" s="2656">
        <f t="shared" si="71"/>
        <v>90.453932125304561</v>
      </c>
      <c r="R95" s="75"/>
      <c r="S95" s="2663" t="str">
        <f t="shared" si="42"/>
        <v>2078/79</v>
      </c>
      <c r="T95" s="2664">
        <f t="shared" si="78"/>
        <v>117.81107708023441</v>
      </c>
      <c r="U95" s="2665">
        <f t="shared" si="79"/>
        <v>106.41093518405982</v>
      </c>
      <c r="V95" s="2665">
        <f t="shared" si="80"/>
        <v>103.56925768233505</v>
      </c>
      <c r="W95" s="2665">
        <f t="shared" si="81"/>
        <v>106.39773326692877</v>
      </c>
      <c r="X95" s="2665">
        <f t="shared" si="82"/>
        <v>106.2704237233268</v>
      </c>
      <c r="Y95" s="2665">
        <f t="shared" si="83"/>
        <v>106.33900116939124</v>
      </c>
      <c r="Z95" s="2665">
        <f t="shared" si="84"/>
        <v>106.44126543199457</v>
      </c>
      <c r="AA95" s="2665">
        <f t="shared" si="85"/>
        <v>106.39059643750097</v>
      </c>
      <c r="AB95" s="2666">
        <f t="shared" si="86"/>
        <v>105.12311918664359</v>
      </c>
      <c r="AC95" s="2664">
        <f t="shared" si="87"/>
        <v>129.70195310749614</v>
      </c>
      <c r="AD95" s="2665">
        <f t="shared" si="88"/>
        <v>107.61835907227409</v>
      </c>
      <c r="AE95" s="2665">
        <f t="shared" si="89"/>
        <v>105.11224997085469</v>
      </c>
      <c r="AF95" s="2665">
        <f t="shared" si="90"/>
        <v>111.35935085312623</v>
      </c>
      <c r="AG95" s="2665">
        <f t="shared" si="91"/>
        <v>108.7164719010111</v>
      </c>
      <c r="AH95" s="2665">
        <f t="shared" si="92"/>
        <v>107.49332546183869</v>
      </c>
      <c r="AI95" s="2665">
        <f t="shared" si="93"/>
        <v>105.68359142930382</v>
      </c>
      <c r="AJ95" s="2665">
        <f t="shared" si="94"/>
        <v>106.57814191566676</v>
      </c>
      <c r="AK95" s="2666">
        <f t="shared" si="95"/>
        <v>113.11763437683486</v>
      </c>
    </row>
    <row r="96" spans="1:37" ht="13.5" customHeight="1">
      <c r="A96" s="90"/>
      <c r="B96" s="82">
        <f t="shared" si="96"/>
        <v>2079</v>
      </c>
      <c r="C96" s="82"/>
      <c r="D96" s="2654">
        <f t="shared" si="63"/>
        <v>139.59886664584278</v>
      </c>
      <c r="E96" s="2655">
        <f t="shared" si="72"/>
        <v>47.891304746295035</v>
      </c>
      <c r="F96" s="2655">
        <f t="shared" si="73"/>
        <v>59.71648202754151</v>
      </c>
      <c r="G96" s="2655">
        <f t="shared" si="74"/>
        <v>53.964238705056943</v>
      </c>
      <c r="H96" s="2655">
        <f t="shared" si="75"/>
        <v>41.911598208850265</v>
      </c>
      <c r="I96" s="2655">
        <f t="shared" si="76"/>
        <v>91.193911005426159</v>
      </c>
      <c r="J96" s="2656">
        <f t="shared" si="77"/>
        <v>69.772476339582454</v>
      </c>
      <c r="K96" s="2654">
        <f t="shared" si="65"/>
        <v>154.63571878983907</v>
      </c>
      <c r="L96" s="2655">
        <f t="shared" si="66"/>
        <v>54.172657988302042</v>
      </c>
      <c r="M96" s="2655">
        <f t="shared" si="67"/>
        <v>69.088108892260024</v>
      </c>
      <c r="N96" s="2655">
        <f t="shared" si="68"/>
        <v>65.819812863456818</v>
      </c>
      <c r="O96" s="2655">
        <f t="shared" si="69"/>
        <v>45.497173755203171</v>
      </c>
      <c r="P96" s="2655">
        <f t="shared" si="70"/>
        <v>101.75203266507047</v>
      </c>
      <c r="Q96" s="2656">
        <f t="shared" si="71"/>
        <v>90.453932125304561</v>
      </c>
      <c r="R96" s="75"/>
      <c r="S96" s="2663" t="str">
        <f t="shared" si="42"/>
        <v>2079/80</v>
      </c>
      <c r="T96" s="2664">
        <f t="shared" si="78"/>
        <v>117.81107708023441</v>
      </c>
      <c r="U96" s="2665">
        <f t="shared" si="79"/>
        <v>106.41093518405982</v>
      </c>
      <c r="V96" s="2665">
        <f t="shared" si="80"/>
        <v>103.56925768233505</v>
      </c>
      <c r="W96" s="2665">
        <f t="shared" si="81"/>
        <v>106.39773326692877</v>
      </c>
      <c r="X96" s="2665">
        <f t="shared" si="82"/>
        <v>106.2704237233268</v>
      </c>
      <c r="Y96" s="2665">
        <f t="shared" si="83"/>
        <v>106.33900116939124</v>
      </c>
      <c r="Z96" s="2665">
        <f t="shared" si="84"/>
        <v>106.44126543199457</v>
      </c>
      <c r="AA96" s="2665">
        <f t="shared" si="85"/>
        <v>106.39059643750097</v>
      </c>
      <c r="AB96" s="2666">
        <f t="shared" si="86"/>
        <v>105.12311918664359</v>
      </c>
      <c r="AC96" s="2664">
        <f t="shared" si="87"/>
        <v>129.70195310749614</v>
      </c>
      <c r="AD96" s="2665">
        <f t="shared" si="88"/>
        <v>107.61835907227409</v>
      </c>
      <c r="AE96" s="2665">
        <f t="shared" si="89"/>
        <v>105.11224997085469</v>
      </c>
      <c r="AF96" s="2665">
        <f t="shared" si="90"/>
        <v>111.35935085312623</v>
      </c>
      <c r="AG96" s="2665">
        <f t="shared" si="91"/>
        <v>108.7164719010111</v>
      </c>
      <c r="AH96" s="2665">
        <f t="shared" si="92"/>
        <v>107.49332546183869</v>
      </c>
      <c r="AI96" s="2665">
        <f t="shared" si="93"/>
        <v>105.68359142930382</v>
      </c>
      <c r="AJ96" s="2665">
        <f t="shared" si="94"/>
        <v>106.57814191566676</v>
      </c>
      <c r="AK96" s="2666">
        <f t="shared" si="95"/>
        <v>113.11763437683486</v>
      </c>
    </row>
    <row r="97" spans="1:37" ht="13.5" customHeight="1">
      <c r="A97" s="90"/>
      <c r="B97" s="82">
        <f t="shared" si="96"/>
        <v>2080</v>
      </c>
      <c r="C97" s="82"/>
      <c r="D97" s="2654">
        <f t="shared" si="63"/>
        <v>139.59886664584278</v>
      </c>
      <c r="E97" s="2655">
        <f t="shared" si="72"/>
        <v>47.891304746295035</v>
      </c>
      <c r="F97" s="2655">
        <f t="shared" si="73"/>
        <v>59.71648202754151</v>
      </c>
      <c r="G97" s="2655">
        <f t="shared" si="74"/>
        <v>53.964238705056943</v>
      </c>
      <c r="H97" s="2655">
        <f t="shared" si="75"/>
        <v>41.911598208850265</v>
      </c>
      <c r="I97" s="2655">
        <f t="shared" si="76"/>
        <v>91.193911005426159</v>
      </c>
      <c r="J97" s="2656">
        <f t="shared" si="77"/>
        <v>69.772476339582454</v>
      </c>
      <c r="K97" s="2654">
        <f t="shared" si="65"/>
        <v>154.63571878983907</v>
      </c>
      <c r="L97" s="2655">
        <f t="shared" si="66"/>
        <v>54.172657988302042</v>
      </c>
      <c r="M97" s="2655">
        <f t="shared" si="67"/>
        <v>69.088108892260024</v>
      </c>
      <c r="N97" s="2655">
        <f t="shared" si="68"/>
        <v>65.819812863456818</v>
      </c>
      <c r="O97" s="2655">
        <f t="shared" si="69"/>
        <v>45.497173755203171</v>
      </c>
      <c r="P97" s="2655">
        <f t="shared" si="70"/>
        <v>101.75203266507047</v>
      </c>
      <c r="Q97" s="2656">
        <f t="shared" si="71"/>
        <v>90.453932125304561</v>
      </c>
      <c r="R97" s="75"/>
      <c r="S97" s="2663" t="str">
        <f t="shared" si="42"/>
        <v>2080/81</v>
      </c>
      <c r="T97" s="2664">
        <f t="shared" si="78"/>
        <v>117.81107708023441</v>
      </c>
      <c r="U97" s="2665">
        <f t="shared" si="79"/>
        <v>106.41093518405982</v>
      </c>
      <c r="V97" s="2665">
        <f t="shared" si="80"/>
        <v>103.56925768233505</v>
      </c>
      <c r="W97" s="2665">
        <f t="shared" si="81"/>
        <v>106.39773326692877</v>
      </c>
      <c r="X97" s="2665">
        <f t="shared" si="82"/>
        <v>106.2704237233268</v>
      </c>
      <c r="Y97" s="2665">
        <f t="shared" si="83"/>
        <v>106.33900116939124</v>
      </c>
      <c r="Z97" s="2665">
        <f t="shared" si="84"/>
        <v>106.44126543199457</v>
      </c>
      <c r="AA97" s="2665">
        <f t="shared" si="85"/>
        <v>106.39059643750097</v>
      </c>
      <c r="AB97" s="2666">
        <f t="shared" si="86"/>
        <v>105.12311918664359</v>
      </c>
      <c r="AC97" s="2664">
        <f t="shared" si="87"/>
        <v>129.70195310749614</v>
      </c>
      <c r="AD97" s="2665">
        <f t="shared" si="88"/>
        <v>107.61835907227409</v>
      </c>
      <c r="AE97" s="2665">
        <f t="shared" si="89"/>
        <v>105.11224997085469</v>
      </c>
      <c r="AF97" s="2665">
        <f t="shared" si="90"/>
        <v>111.35935085312623</v>
      </c>
      <c r="AG97" s="2665">
        <f t="shared" si="91"/>
        <v>108.7164719010111</v>
      </c>
      <c r="AH97" s="2665">
        <f t="shared" si="92"/>
        <v>107.49332546183869</v>
      </c>
      <c r="AI97" s="2665">
        <f t="shared" si="93"/>
        <v>105.68359142930382</v>
      </c>
      <c r="AJ97" s="2665">
        <f t="shared" si="94"/>
        <v>106.57814191566676</v>
      </c>
      <c r="AK97" s="2666">
        <f t="shared" si="95"/>
        <v>113.11763437683486</v>
      </c>
    </row>
    <row r="98" spans="1:37" ht="13.5" customHeight="1">
      <c r="A98" s="90"/>
      <c r="B98" s="82">
        <f t="shared" si="96"/>
        <v>2081</v>
      </c>
      <c r="C98" s="82"/>
      <c r="D98" s="2654">
        <f t="shared" si="63"/>
        <v>139.59886664584278</v>
      </c>
      <c r="E98" s="2655">
        <f t="shared" si="72"/>
        <v>47.891304746295035</v>
      </c>
      <c r="F98" s="2655">
        <f t="shared" si="73"/>
        <v>59.71648202754151</v>
      </c>
      <c r="G98" s="2655">
        <f t="shared" si="74"/>
        <v>53.964238705056943</v>
      </c>
      <c r="H98" s="2655">
        <f t="shared" si="75"/>
        <v>41.911598208850265</v>
      </c>
      <c r="I98" s="2655">
        <f t="shared" si="76"/>
        <v>91.193911005426159</v>
      </c>
      <c r="J98" s="2656">
        <f t="shared" si="77"/>
        <v>69.772476339582454</v>
      </c>
      <c r="K98" s="2654">
        <f t="shared" si="65"/>
        <v>154.63571878983907</v>
      </c>
      <c r="L98" s="2655">
        <f t="shared" si="66"/>
        <v>54.172657988302042</v>
      </c>
      <c r="M98" s="2655">
        <f t="shared" si="67"/>
        <v>69.088108892260024</v>
      </c>
      <c r="N98" s="2655">
        <f t="shared" si="68"/>
        <v>65.819812863456818</v>
      </c>
      <c r="O98" s="2655">
        <f t="shared" si="69"/>
        <v>45.497173755203171</v>
      </c>
      <c r="P98" s="2655">
        <f t="shared" si="70"/>
        <v>101.75203266507047</v>
      </c>
      <c r="Q98" s="2656">
        <f t="shared" si="71"/>
        <v>90.453932125304561</v>
      </c>
      <c r="R98" s="75"/>
      <c r="S98" s="2663" t="str">
        <f t="shared" si="42"/>
        <v>2081/82</v>
      </c>
      <c r="T98" s="2664">
        <f t="shared" si="78"/>
        <v>117.81107708023441</v>
      </c>
      <c r="U98" s="2665">
        <f t="shared" si="79"/>
        <v>106.41093518405982</v>
      </c>
      <c r="V98" s="2665">
        <f t="shared" si="80"/>
        <v>103.56925768233505</v>
      </c>
      <c r="W98" s="2665">
        <f t="shared" si="81"/>
        <v>106.39773326692877</v>
      </c>
      <c r="X98" s="2665">
        <f t="shared" si="82"/>
        <v>106.2704237233268</v>
      </c>
      <c r="Y98" s="2665">
        <f t="shared" si="83"/>
        <v>106.33900116939124</v>
      </c>
      <c r="Z98" s="2665">
        <f t="shared" si="84"/>
        <v>106.44126543199457</v>
      </c>
      <c r="AA98" s="2665">
        <f t="shared" si="85"/>
        <v>106.39059643750097</v>
      </c>
      <c r="AB98" s="2666">
        <f t="shared" si="86"/>
        <v>105.12311918664359</v>
      </c>
      <c r="AC98" s="2664">
        <f t="shared" si="87"/>
        <v>129.70195310749614</v>
      </c>
      <c r="AD98" s="2665">
        <f t="shared" si="88"/>
        <v>107.61835907227409</v>
      </c>
      <c r="AE98" s="2665">
        <f t="shared" si="89"/>
        <v>105.11224997085469</v>
      </c>
      <c r="AF98" s="2665">
        <f t="shared" si="90"/>
        <v>111.35935085312623</v>
      </c>
      <c r="AG98" s="2665">
        <f t="shared" si="91"/>
        <v>108.7164719010111</v>
      </c>
      <c r="AH98" s="2665">
        <f t="shared" si="92"/>
        <v>107.49332546183869</v>
      </c>
      <c r="AI98" s="2665">
        <f t="shared" si="93"/>
        <v>105.68359142930382</v>
      </c>
      <c r="AJ98" s="2665">
        <f t="shared" si="94"/>
        <v>106.57814191566676</v>
      </c>
      <c r="AK98" s="2666">
        <f t="shared" si="95"/>
        <v>113.11763437683486</v>
      </c>
    </row>
    <row r="99" spans="1:37" ht="13.5" customHeight="1">
      <c r="A99" s="90"/>
      <c r="B99" s="82">
        <f t="shared" si="96"/>
        <v>2082</v>
      </c>
      <c r="C99" s="82"/>
      <c r="D99" s="2654">
        <f t="shared" si="63"/>
        <v>139.59886664584278</v>
      </c>
      <c r="E99" s="2655">
        <f t="shared" si="72"/>
        <v>47.891304746295035</v>
      </c>
      <c r="F99" s="2655">
        <f t="shared" si="73"/>
        <v>59.71648202754151</v>
      </c>
      <c r="G99" s="2655">
        <f t="shared" si="74"/>
        <v>53.964238705056943</v>
      </c>
      <c r="H99" s="2655">
        <f t="shared" si="75"/>
        <v>41.911598208850265</v>
      </c>
      <c r="I99" s="2655">
        <f t="shared" si="76"/>
        <v>91.193911005426159</v>
      </c>
      <c r="J99" s="2656">
        <f t="shared" si="77"/>
        <v>69.772476339582454</v>
      </c>
      <c r="K99" s="2654">
        <f t="shared" si="65"/>
        <v>154.63571878983907</v>
      </c>
      <c r="L99" s="2655">
        <f t="shared" si="66"/>
        <v>54.172657988302042</v>
      </c>
      <c r="M99" s="2655">
        <f t="shared" si="67"/>
        <v>69.088108892260024</v>
      </c>
      <c r="N99" s="2655">
        <f t="shared" si="68"/>
        <v>65.819812863456818</v>
      </c>
      <c r="O99" s="2655">
        <f t="shared" si="69"/>
        <v>45.497173755203171</v>
      </c>
      <c r="P99" s="2655">
        <f t="shared" si="70"/>
        <v>101.75203266507047</v>
      </c>
      <c r="Q99" s="2656">
        <f t="shared" si="71"/>
        <v>90.453932125304561</v>
      </c>
      <c r="R99" s="75"/>
      <c r="S99" s="2663" t="str">
        <f t="shared" si="42"/>
        <v>2082/83</v>
      </c>
      <c r="T99" s="2664">
        <f t="shared" si="78"/>
        <v>117.81107708023441</v>
      </c>
      <c r="U99" s="2665">
        <f t="shared" si="79"/>
        <v>106.41093518405982</v>
      </c>
      <c r="V99" s="2665">
        <f t="shared" si="80"/>
        <v>103.56925768233505</v>
      </c>
      <c r="W99" s="2665">
        <f t="shared" si="81"/>
        <v>106.39773326692877</v>
      </c>
      <c r="X99" s="2665">
        <f t="shared" si="82"/>
        <v>106.2704237233268</v>
      </c>
      <c r="Y99" s="2665">
        <f t="shared" si="83"/>
        <v>106.33900116939124</v>
      </c>
      <c r="Z99" s="2665">
        <f t="shared" si="84"/>
        <v>106.44126543199457</v>
      </c>
      <c r="AA99" s="2665">
        <f t="shared" si="85"/>
        <v>106.39059643750097</v>
      </c>
      <c r="AB99" s="2666">
        <f t="shared" si="86"/>
        <v>105.12311918664359</v>
      </c>
      <c r="AC99" s="2664">
        <f t="shared" si="87"/>
        <v>129.70195310749614</v>
      </c>
      <c r="AD99" s="2665">
        <f t="shared" si="88"/>
        <v>107.61835907227409</v>
      </c>
      <c r="AE99" s="2665">
        <f t="shared" si="89"/>
        <v>105.11224997085469</v>
      </c>
      <c r="AF99" s="2665">
        <f t="shared" si="90"/>
        <v>111.35935085312623</v>
      </c>
      <c r="AG99" s="2665">
        <f t="shared" si="91"/>
        <v>108.7164719010111</v>
      </c>
      <c r="AH99" s="2665">
        <f t="shared" si="92"/>
        <v>107.49332546183869</v>
      </c>
      <c r="AI99" s="2665">
        <f t="shared" si="93"/>
        <v>105.68359142930382</v>
      </c>
      <c r="AJ99" s="2665">
        <f t="shared" si="94"/>
        <v>106.57814191566676</v>
      </c>
      <c r="AK99" s="2666">
        <f t="shared" si="95"/>
        <v>113.11763437683486</v>
      </c>
    </row>
    <row r="100" spans="1:37" ht="13.5" customHeight="1">
      <c r="A100" s="90"/>
      <c r="B100" s="82">
        <f t="shared" si="96"/>
        <v>2083</v>
      </c>
      <c r="C100" s="82"/>
      <c r="D100" s="2654">
        <f t="shared" si="63"/>
        <v>139.59886664584278</v>
      </c>
      <c r="E100" s="2655">
        <f t="shared" si="72"/>
        <v>47.891304746295035</v>
      </c>
      <c r="F100" s="2655">
        <f t="shared" si="73"/>
        <v>59.71648202754151</v>
      </c>
      <c r="G100" s="2655">
        <f t="shared" si="74"/>
        <v>53.964238705056943</v>
      </c>
      <c r="H100" s="2655">
        <f t="shared" si="75"/>
        <v>41.911598208850265</v>
      </c>
      <c r="I100" s="2655">
        <f t="shared" si="76"/>
        <v>91.193911005426159</v>
      </c>
      <c r="J100" s="2656">
        <f t="shared" si="77"/>
        <v>69.772476339582454</v>
      </c>
      <c r="K100" s="2654">
        <f t="shared" si="65"/>
        <v>154.63571878983907</v>
      </c>
      <c r="L100" s="2655">
        <f t="shared" si="66"/>
        <v>54.172657988302042</v>
      </c>
      <c r="M100" s="2655">
        <f t="shared" si="67"/>
        <v>69.088108892260024</v>
      </c>
      <c r="N100" s="2655">
        <f t="shared" si="68"/>
        <v>65.819812863456818</v>
      </c>
      <c r="O100" s="2655">
        <f t="shared" si="69"/>
        <v>45.497173755203171</v>
      </c>
      <c r="P100" s="2655">
        <f t="shared" si="70"/>
        <v>101.75203266507047</v>
      </c>
      <c r="Q100" s="2656">
        <f t="shared" si="71"/>
        <v>90.453932125304561</v>
      </c>
      <c r="R100" s="75"/>
      <c r="S100" s="2663" t="str">
        <f t="shared" si="42"/>
        <v>2083/84</v>
      </c>
      <c r="T100" s="2664">
        <f t="shared" si="78"/>
        <v>117.81107708023441</v>
      </c>
      <c r="U100" s="2665">
        <f t="shared" si="79"/>
        <v>106.41093518405982</v>
      </c>
      <c r="V100" s="2665">
        <f t="shared" si="80"/>
        <v>103.56925768233505</v>
      </c>
      <c r="W100" s="2665">
        <f t="shared" si="81"/>
        <v>106.39773326692877</v>
      </c>
      <c r="X100" s="2665">
        <f t="shared" si="82"/>
        <v>106.2704237233268</v>
      </c>
      <c r="Y100" s="2665">
        <f t="shared" si="83"/>
        <v>106.33900116939124</v>
      </c>
      <c r="Z100" s="2665">
        <f t="shared" si="84"/>
        <v>106.44126543199457</v>
      </c>
      <c r="AA100" s="2665">
        <f t="shared" si="85"/>
        <v>106.39059643750097</v>
      </c>
      <c r="AB100" s="2666">
        <f t="shared" si="86"/>
        <v>105.12311918664359</v>
      </c>
      <c r="AC100" s="2664">
        <f t="shared" si="87"/>
        <v>129.70195310749614</v>
      </c>
      <c r="AD100" s="2665">
        <f t="shared" si="88"/>
        <v>107.61835907227409</v>
      </c>
      <c r="AE100" s="2665">
        <f t="shared" si="89"/>
        <v>105.11224997085469</v>
      </c>
      <c r="AF100" s="2665">
        <f t="shared" si="90"/>
        <v>111.35935085312623</v>
      </c>
      <c r="AG100" s="2665">
        <f t="shared" si="91"/>
        <v>108.7164719010111</v>
      </c>
      <c r="AH100" s="2665">
        <f t="shared" si="92"/>
        <v>107.49332546183869</v>
      </c>
      <c r="AI100" s="2665">
        <f t="shared" si="93"/>
        <v>105.68359142930382</v>
      </c>
      <c r="AJ100" s="2665">
        <f t="shared" si="94"/>
        <v>106.57814191566676</v>
      </c>
      <c r="AK100" s="2666">
        <f t="shared" si="95"/>
        <v>113.11763437683486</v>
      </c>
    </row>
    <row r="101" spans="1:37" ht="13.5" customHeight="1">
      <c r="A101" s="90"/>
      <c r="B101" s="82">
        <f t="shared" si="96"/>
        <v>2084</v>
      </c>
      <c r="C101" s="82"/>
      <c r="D101" s="2654">
        <f t="shared" si="63"/>
        <v>139.59886664584278</v>
      </c>
      <c r="E101" s="2655">
        <f t="shared" si="72"/>
        <v>47.891304746295035</v>
      </c>
      <c r="F101" s="2655">
        <f t="shared" si="73"/>
        <v>59.71648202754151</v>
      </c>
      <c r="G101" s="2655">
        <f t="shared" si="74"/>
        <v>53.964238705056943</v>
      </c>
      <c r="H101" s="2655">
        <f t="shared" si="75"/>
        <v>41.911598208850265</v>
      </c>
      <c r="I101" s="2655">
        <f t="shared" si="76"/>
        <v>91.193911005426159</v>
      </c>
      <c r="J101" s="2656">
        <f t="shared" si="77"/>
        <v>69.772476339582454</v>
      </c>
      <c r="K101" s="2654">
        <f t="shared" si="65"/>
        <v>154.63571878983907</v>
      </c>
      <c r="L101" s="2655">
        <f t="shared" si="66"/>
        <v>54.172657988302042</v>
      </c>
      <c r="M101" s="2655">
        <f t="shared" si="67"/>
        <v>69.088108892260024</v>
      </c>
      <c r="N101" s="2655">
        <f t="shared" si="68"/>
        <v>65.819812863456818</v>
      </c>
      <c r="O101" s="2655">
        <f t="shared" si="69"/>
        <v>45.497173755203171</v>
      </c>
      <c r="P101" s="2655">
        <f t="shared" si="70"/>
        <v>101.75203266507047</v>
      </c>
      <c r="Q101" s="2656">
        <f t="shared" si="71"/>
        <v>90.453932125304561</v>
      </c>
      <c r="R101" s="75"/>
      <c r="S101" s="2663" t="str">
        <f t="shared" si="42"/>
        <v>2084/85</v>
      </c>
      <c r="T101" s="2664">
        <f t="shared" si="78"/>
        <v>117.81107708023441</v>
      </c>
      <c r="U101" s="2665">
        <f t="shared" si="79"/>
        <v>106.41093518405982</v>
      </c>
      <c r="V101" s="2665">
        <f t="shared" si="80"/>
        <v>103.56925768233505</v>
      </c>
      <c r="W101" s="2665">
        <f t="shared" si="81"/>
        <v>106.39773326692877</v>
      </c>
      <c r="X101" s="2665">
        <f t="shared" si="82"/>
        <v>106.2704237233268</v>
      </c>
      <c r="Y101" s="2665">
        <f t="shared" si="83"/>
        <v>106.33900116939124</v>
      </c>
      <c r="Z101" s="2665">
        <f t="shared" si="84"/>
        <v>106.44126543199457</v>
      </c>
      <c r="AA101" s="2665">
        <f t="shared" si="85"/>
        <v>106.39059643750097</v>
      </c>
      <c r="AB101" s="2666">
        <f t="shared" si="86"/>
        <v>105.12311918664359</v>
      </c>
      <c r="AC101" s="2664">
        <f t="shared" si="87"/>
        <v>129.70195310749614</v>
      </c>
      <c r="AD101" s="2665">
        <f t="shared" si="88"/>
        <v>107.61835907227409</v>
      </c>
      <c r="AE101" s="2665">
        <f t="shared" si="89"/>
        <v>105.11224997085469</v>
      </c>
      <c r="AF101" s="2665">
        <f t="shared" si="90"/>
        <v>111.35935085312623</v>
      </c>
      <c r="AG101" s="2665">
        <f t="shared" si="91"/>
        <v>108.7164719010111</v>
      </c>
      <c r="AH101" s="2665">
        <f t="shared" si="92"/>
        <v>107.49332546183869</v>
      </c>
      <c r="AI101" s="2665">
        <f t="shared" si="93"/>
        <v>105.68359142930382</v>
      </c>
      <c r="AJ101" s="2665">
        <f t="shared" si="94"/>
        <v>106.57814191566676</v>
      </c>
      <c r="AK101" s="2666">
        <f t="shared" si="95"/>
        <v>113.11763437683486</v>
      </c>
    </row>
    <row r="102" spans="1:37" ht="13.5" customHeight="1">
      <c r="A102" s="90"/>
      <c r="B102" s="82">
        <f t="shared" si="96"/>
        <v>2085</v>
      </c>
      <c r="C102" s="82"/>
      <c r="D102" s="2654">
        <f t="shared" si="63"/>
        <v>139.59886664584278</v>
      </c>
      <c r="E102" s="2655">
        <f t="shared" si="72"/>
        <v>47.891304746295035</v>
      </c>
      <c r="F102" s="2655">
        <f t="shared" si="73"/>
        <v>59.71648202754151</v>
      </c>
      <c r="G102" s="2655">
        <f t="shared" si="74"/>
        <v>53.964238705056943</v>
      </c>
      <c r="H102" s="2655">
        <f t="shared" si="75"/>
        <v>41.911598208850265</v>
      </c>
      <c r="I102" s="2655">
        <f t="shared" si="76"/>
        <v>91.193911005426159</v>
      </c>
      <c r="J102" s="2656">
        <f t="shared" si="77"/>
        <v>69.772476339582454</v>
      </c>
      <c r="K102" s="2654">
        <f t="shared" si="65"/>
        <v>154.63571878983907</v>
      </c>
      <c r="L102" s="2655">
        <f t="shared" si="66"/>
        <v>54.172657988302042</v>
      </c>
      <c r="M102" s="2655">
        <f t="shared" si="67"/>
        <v>69.088108892260024</v>
      </c>
      <c r="N102" s="2655">
        <f t="shared" si="68"/>
        <v>65.819812863456818</v>
      </c>
      <c r="O102" s="2655">
        <f t="shared" si="69"/>
        <v>45.497173755203171</v>
      </c>
      <c r="P102" s="2655">
        <f t="shared" si="70"/>
        <v>101.75203266507047</v>
      </c>
      <c r="Q102" s="2656">
        <f t="shared" si="71"/>
        <v>90.453932125304561</v>
      </c>
      <c r="R102" s="75"/>
      <c r="S102" s="2663" t="str">
        <f t="shared" si="42"/>
        <v>2085/86</v>
      </c>
      <c r="T102" s="2664">
        <f t="shared" si="78"/>
        <v>117.81107708023441</v>
      </c>
      <c r="U102" s="2665">
        <f t="shared" si="79"/>
        <v>106.41093518405982</v>
      </c>
      <c r="V102" s="2665">
        <f t="shared" si="80"/>
        <v>103.56925768233505</v>
      </c>
      <c r="W102" s="2665">
        <f t="shared" si="81"/>
        <v>106.39773326692877</v>
      </c>
      <c r="X102" s="2665">
        <f t="shared" si="82"/>
        <v>106.2704237233268</v>
      </c>
      <c r="Y102" s="2665">
        <f t="shared" si="83"/>
        <v>106.33900116939124</v>
      </c>
      <c r="Z102" s="2665">
        <f t="shared" si="84"/>
        <v>106.44126543199457</v>
      </c>
      <c r="AA102" s="2665">
        <f t="shared" si="85"/>
        <v>106.39059643750097</v>
      </c>
      <c r="AB102" s="2666">
        <f t="shared" si="86"/>
        <v>105.12311918664359</v>
      </c>
      <c r="AC102" s="2664">
        <f t="shared" si="87"/>
        <v>129.70195310749614</v>
      </c>
      <c r="AD102" s="2665">
        <f t="shared" si="88"/>
        <v>107.61835907227409</v>
      </c>
      <c r="AE102" s="2665">
        <f t="shared" si="89"/>
        <v>105.11224997085469</v>
      </c>
      <c r="AF102" s="2665">
        <f t="shared" si="90"/>
        <v>111.35935085312623</v>
      </c>
      <c r="AG102" s="2665">
        <f t="shared" si="91"/>
        <v>108.7164719010111</v>
      </c>
      <c r="AH102" s="2665">
        <f t="shared" si="92"/>
        <v>107.49332546183869</v>
      </c>
      <c r="AI102" s="2665">
        <f t="shared" si="93"/>
        <v>105.68359142930382</v>
      </c>
      <c r="AJ102" s="2665">
        <f t="shared" si="94"/>
        <v>106.57814191566676</v>
      </c>
      <c r="AK102" s="2666">
        <f t="shared" si="95"/>
        <v>113.11763437683486</v>
      </c>
    </row>
    <row r="103" spans="1:37" ht="13.5" customHeight="1">
      <c r="A103" s="90"/>
      <c r="B103" s="82">
        <f t="shared" si="96"/>
        <v>2086</v>
      </c>
      <c r="C103" s="82"/>
      <c r="D103" s="2654">
        <f t="shared" si="63"/>
        <v>139.59886664584278</v>
      </c>
      <c r="E103" s="2655">
        <f t="shared" si="72"/>
        <v>47.891304746295035</v>
      </c>
      <c r="F103" s="2655">
        <f t="shared" si="73"/>
        <v>59.71648202754151</v>
      </c>
      <c r="G103" s="2655">
        <f t="shared" si="74"/>
        <v>53.964238705056943</v>
      </c>
      <c r="H103" s="2655">
        <f t="shared" si="75"/>
        <v>41.911598208850265</v>
      </c>
      <c r="I103" s="2655">
        <f t="shared" si="76"/>
        <v>91.193911005426159</v>
      </c>
      <c r="J103" s="2656">
        <f t="shared" si="77"/>
        <v>69.772476339582454</v>
      </c>
      <c r="K103" s="2654">
        <f t="shared" si="65"/>
        <v>154.63571878983907</v>
      </c>
      <c r="L103" s="2655">
        <f t="shared" si="66"/>
        <v>54.172657988302042</v>
      </c>
      <c r="M103" s="2655">
        <f t="shared" si="67"/>
        <v>69.088108892260024</v>
      </c>
      <c r="N103" s="2655">
        <f t="shared" si="68"/>
        <v>65.819812863456818</v>
      </c>
      <c r="O103" s="2655">
        <f t="shared" si="69"/>
        <v>45.497173755203171</v>
      </c>
      <c r="P103" s="2655">
        <f t="shared" si="70"/>
        <v>101.75203266507047</v>
      </c>
      <c r="Q103" s="2656">
        <f t="shared" si="71"/>
        <v>90.453932125304561</v>
      </c>
      <c r="R103" s="75"/>
      <c r="S103" s="2663" t="str">
        <f t="shared" si="42"/>
        <v>2086/87</v>
      </c>
      <c r="T103" s="2664">
        <f t="shared" si="78"/>
        <v>117.81107708023441</v>
      </c>
      <c r="U103" s="2665">
        <f t="shared" si="79"/>
        <v>106.41093518405982</v>
      </c>
      <c r="V103" s="2665">
        <f t="shared" si="80"/>
        <v>103.56925768233505</v>
      </c>
      <c r="W103" s="2665">
        <f t="shared" si="81"/>
        <v>106.39773326692877</v>
      </c>
      <c r="X103" s="2665">
        <f t="shared" si="82"/>
        <v>106.2704237233268</v>
      </c>
      <c r="Y103" s="2665">
        <f t="shared" si="83"/>
        <v>106.33900116939124</v>
      </c>
      <c r="Z103" s="2665">
        <f t="shared" si="84"/>
        <v>106.44126543199457</v>
      </c>
      <c r="AA103" s="2665">
        <f t="shared" si="85"/>
        <v>106.39059643750097</v>
      </c>
      <c r="AB103" s="2666">
        <f t="shared" si="86"/>
        <v>105.12311918664359</v>
      </c>
      <c r="AC103" s="2664">
        <f t="shared" si="87"/>
        <v>129.70195310749614</v>
      </c>
      <c r="AD103" s="2665">
        <f t="shared" si="88"/>
        <v>107.61835907227409</v>
      </c>
      <c r="AE103" s="2665">
        <f t="shared" si="89"/>
        <v>105.11224997085469</v>
      </c>
      <c r="AF103" s="2665">
        <f t="shared" si="90"/>
        <v>111.35935085312623</v>
      </c>
      <c r="AG103" s="2665">
        <f t="shared" si="91"/>
        <v>108.7164719010111</v>
      </c>
      <c r="AH103" s="2665">
        <f t="shared" si="92"/>
        <v>107.49332546183869</v>
      </c>
      <c r="AI103" s="2665">
        <f t="shared" si="93"/>
        <v>105.68359142930382</v>
      </c>
      <c r="AJ103" s="2665">
        <f t="shared" si="94"/>
        <v>106.57814191566676</v>
      </c>
      <c r="AK103" s="2666">
        <f t="shared" si="95"/>
        <v>113.11763437683486</v>
      </c>
    </row>
    <row r="104" spans="1:37" ht="13.5" customHeight="1">
      <c r="A104" s="90"/>
      <c r="B104" s="82">
        <f t="shared" si="96"/>
        <v>2087</v>
      </c>
      <c r="C104" s="82"/>
      <c r="D104" s="2654">
        <f t="shared" si="63"/>
        <v>139.59886664584278</v>
      </c>
      <c r="E104" s="2655">
        <f t="shared" si="72"/>
        <v>47.891304746295035</v>
      </c>
      <c r="F104" s="2655">
        <f t="shared" si="73"/>
        <v>59.71648202754151</v>
      </c>
      <c r="G104" s="2655">
        <f t="shared" si="74"/>
        <v>53.964238705056943</v>
      </c>
      <c r="H104" s="2655">
        <f t="shared" si="75"/>
        <v>41.911598208850265</v>
      </c>
      <c r="I104" s="2655">
        <f t="shared" si="76"/>
        <v>91.193911005426159</v>
      </c>
      <c r="J104" s="2656">
        <f t="shared" si="77"/>
        <v>69.772476339582454</v>
      </c>
      <c r="K104" s="2654">
        <f t="shared" si="65"/>
        <v>154.63571878983907</v>
      </c>
      <c r="L104" s="2655">
        <f t="shared" si="66"/>
        <v>54.172657988302042</v>
      </c>
      <c r="M104" s="2655">
        <f t="shared" si="67"/>
        <v>69.088108892260024</v>
      </c>
      <c r="N104" s="2655">
        <f t="shared" si="68"/>
        <v>65.819812863456818</v>
      </c>
      <c r="O104" s="2655">
        <f t="shared" si="69"/>
        <v>45.497173755203171</v>
      </c>
      <c r="P104" s="2655">
        <f t="shared" si="70"/>
        <v>101.75203266507047</v>
      </c>
      <c r="Q104" s="2656">
        <f t="shared" si="71"/>
        <v>90.453932125304561</v>
      </c>
      <c r="R104" s="75"/>
      <c r="S104" s="2663" t="str">
        <f t="shared" si="42"/>
        <v>2087/88</v>
      </c>
      <c r="T104" s="2664">
        <f t="shared" si="78"/>
        <v>117.81107708023441</v>
      </c>
      <c r="U104" s="2665">
        <f t="shared" si="79"/>
        <v>106.41093518405982</v>
      </c>
      <c r="V104" s="2665">
        <f t="shared" si="80"/>
        <v>103.56925768233505</v>
      </c>
      <c r="W104" s="2665">
        <f t="shared" si="81"/>
        <v>106.39773326692877</v>
      </c>
      <c r="X104" s="2665">
        <f t="shared" si="82"/>
        <v>106.2704237233268</v>
      </c>
      <c r="Y104" s="2665">
        <f t="shared" si="83"/>
        <v>106.33900116939124</v>
      </c>
      <c r="Z104" s="2665">
        <f t="shared" si="84"/>
        <v>106.44126543199457</v>
      </c>
      <c r="AA104" s="2665">
        <f t="shared" si="85"/>
        <v>106.39059643750097</v>
      </c>
      <c r="AB104" s="2666">
        <f t="shared" si="86"/>
        <v>105.12311918664359</v>
      </c>
      <c r="AC104" s="2664">
        <f t="shared" si="87"/>
        <v>129.70195310749614</v>
      </c>
      <c r="AD104" s="2665">
        <f t="shared" si="88"/>
        <v>107.61835907227409</v>
      </c>
      <c r="AE104" s="2665">
        <f t="shared" si="89"/>
        <v>105.11224997085469</v>
      </c>
      <c r="AF104" s="2665">
        <f t="shared" si="90"/>
        <v>111.35935085312623</v>
      </c>
      <c r="AG104" s="2665">
        <f t="shared" si="91"/>
        <v>108.7164719010111</v>
      </c>
      <c r="AH104" s="2665">
        <f t="shared" si="92"/>
        <v>107.49332546183869</v>
      </c>
      <c r="AI104" s="2665">
        <f t="shared" si="93"/>
        <v>105.68359142930382</v>
      </c>
      <c r="AJ104" s="2665">
        <f t="shared" si="94"/>
        <v>106.57814191566676</v>
      </c>
      <c r="AK104" s="2666">
        <f t="shared" si="95"/>
        <v>113.11763437683486</v>
      </c>
    </row>
    <row r="105" spans="1:37" ht="13.5" customHeight="1">
      <c r="A105" s="90"/>
      <c r="B105" s="82">
        <f t="shared" si="96"/>
        <v>2088</v>
      </c>
      <c r="C105" s="82"/>
      <c r="D105" s="2654">
        <f t="shared" si="63"/>
        <v>139.59886664584278</v>
      </c>
      <c r="E105" s="2655">
        <f t="shared" si="72"/>
        <v>47.891304746295035</v>
      </c>
      <c r="F105" s="2655">
        <f t="shared" si="73"/>
        <v>59.71648202754151</v>
      </c>
      <c r="G105" s="2655">
        <f t="shared" si="74"/>
        <v>53.964238705056943</v>
      </c>
      <c r="H105" s="2655">
        <f t="shared" si="75"/>
        <v>41.911598208850265</v>
      </c>
      <c r="I105" s="2655">
        <f t="shared" si="76"/>
        <v>91.193911005426159</v>
      </c>
      <c r="J105" s="2656">
        <f t="shared" si="77"/>
        <v>69.772476339582454</v>
      </c>
      <c r="K105" s="2654">
        <f t="shared" si="65"/>
        <v>154.63571878983907</v>
      </c>
      <c r="L105" s="2655">
        <f t="shared" si="66"/>
        <v>54.172657988302042</v>
      </c>
      <c r="M105" s="2655">
        <f t="shared" si="67"/>
        <v>69.088108892260024</v>
      </c>
      <c r="N105" s="2655">
        <f t="shared" si="68"/>
        <v>65.819812863456818</v>
      </c>
      <c r="O105" s="2655">
        <f t="shared" si="69"/>
        <v>45.497173755203171</v>
      </c>
      <c r="P105" s="2655">
        <f t="shared" si="70"/>
        <v>101.75203266507047</v>
      </c>
      <c r="Q105" s="2656">
        <f t="shared" si="71"/>
        <v>90.453932125304561</v>
      </c>
      <c r="R105" s="75"/>
      <c r="S105" s="2663" t="str">
        <f t="shared" si="42"/>
        <v>2088/89</v>
      </c>
      <c r="T105" s="2664">
        <f t="shared" si="78"/>
        <v>117.81107708023441</v>
      </c>
      <c r="U105" s="2665">
        <f t="shared" si="79"/>
        <v>106.41093518405982</v>
      </c>
      <c r="V105" s="2665">
        <f t="shared" si="80"/>
        <v>103.56925768233505</v>
      </c>
      <c r="W105" s="2665">
        <f t="shared" si="81"/>
        <v>106.39773326692877</v>
      </c>
      <c r="X105" s="2665">
        <f t="shared" si="82"/>
        <v>106.2704237233268</v>
      </c>
      <c r="Y105" s="2665">
        <f t="shared" si="83"/>
        <v>106.33900116939124</v>
      </c>
      <c r="Z105" s="2665">
        <f t="shared" si="84"/>
        <v>106.44126543199457</v>
      </c>
      <c r="AA105" s="2665">
        <f t="shared" si="85"/>
        <v>106.39059643750097</v>
      </c>
      <c r="AB105" s="2666">
        <f t="shared" si="86"/>
        <v>105.12311918664359</v>
      </c>
      <c r="AC105" s="2664">
        <f t="shared" si="87"/>
        <v>129.70195310749614</v>
      </c>
      <c r="AD105" s="2665">
        <f t="shared" si="88"/>
        <v>107.61835907227409</v>
      </c>
      <c r="AE105" s="2665">
        <f t="shared" si="89"/>
        <v>105.11224997085469</v>
      </c>
      <c r="AF105" s="2665">
        <f t="shared" si="90"/>
        <v>111.35935085312623</v>
      </c>
      <c r="AG105" s="2665">
        <f t="shared" si="91"/>
        <v>108.7164719010111</v>
      </c>
      <c r="AH105" s="2665">
        <f t="shared" si="92"/>
        <v>107.49332546183869</v>
      </c>
      <c r="AI105" s="2665">
        <f t="shared" si="93"/>
        <v>105.68359142930382</v>
      </c>
      <c r="AJ105" s="2665">
        <f t="shared" si="94"/>
        <v>106.57814191566676</v>
      </c>
      <c r="AK105" s="2666">
        <f t="shared" si="95"/>
        <v>113.11763437683486</v>
      </c>
    </row>
    <row r="106" spans="1:37" ht="13.5" customHeight="1">
      <c r="A106" s="90"/>
      <c r="B106" s="82">
        <f t="shared" si="96"/>
        <v>2089</v>
      </c>
      <c r="C106" s="82"/>
      <c r="D106" s="2654">
        <f t="shared" si="63"/>
        <v>139.59886664584278</v>
      </c>
      <c r="E106" s="2655">
        <f t="shared" si="72"/>
        <v>47.891304746295035</v>
      </c>
      <c r="F106" s="2655">
        <f t="shared" si="73"/>
        <v>59.71648202754151</v>
      </c>
      <c r="G106" s="2655">
        <f t="shared" si="74"/>
        <v>53.964238705056943</v>
      </c>
      <c r="H106" s="2655">
        <f t="shared" si="75"/>
        <v>41.911598208850265</v>
      </c>
      <c r="I106" s="2655">
        <f t="shared" si="76"/>
        <v>91.193911005426159</v>
      </c>
      <c r="J106" s="2656">
        <f t="shared" si="77"/>
        <v>69.772476339582454</v>
      </c>
      <c r="K106" s="2654">
        <f t="shared" si="65"/>
        <v>154.63571878983907</v>
      </c>
      <c r="L106" s="2655">
        <f t="shared" si="66"/>
        <v>54.172657988302042</v>
      </c>
      <c r="M106" s="2655">
        <f t="shared" si="67"/>
        <v>69.088108892260024</v>
      </c>
      <c r="N106" s="2655">
        <f t="shared" si="68"/>
        <v>65.819812863456818</v>
      </c>
      <c r="O106" s="2655">
        <f t="shared" si="69"/>
        <v>45.497173755203171</v>
      </c>
      <c r="P106" s="2655">
        <f t="shared" si="70"/>
        <v>101.75203266507047</v>
      </c>
      <c r="Q106" s="2656">
        <f t="shared" si="71"/>
        <v>90.453932125304561</v>
      </c>
      <c r="R106" s="75"/>
      <c r="S106" s="2663" t="str">
        <f t="shared" si="42"/>
        <v>2089/90</v>
      </c>
      <c r="T106" s="2664">
        <f t="shared" si="78"/>
        <v>117.81107708023441</v>
      </c>
      <c r="U106" s="2665">
        <f t="shared" si="79"/>
        <v>106.41093518405982</v>
      </c>
      <c r="V106" s="2665">
        <f t="shared" si="80"/>
        <v>103.56925768233505</v>
      </c>
      <c r="W106" s="2665">
        <f t="shared" si="81"/>
        <v>106.39773326692877</v>
      </c>
      <c r="X106" s="2665">
        <f t="shared" si="82"/>
        <v>106.2704237233268</v>
      </c>
      <c r="Y106" s="2665">
        <f t="shared" si="83"/>
        <v>106.33900116939124</v>
      </c>
      <c r="Z106" s="2665">
        <f t="shared" si="84"/>
        <v>106.44126543199457</v>
      </c>
      <c r="AA106" s="2665">
        <f t="shared" si="85"/>
        <v>106.39059643750097</v>
      </c>
      <c r="AB106" s="2666">
        <f t="shared" si="86"/>
        <v>105.12311918664359</v>
      </c>
      <c r="AC106" s="2664">
        <f t="shared" si="87"/>
        <v>129.70195310749614</v>
      </c>
      <c r="AD106" s="2665">
        <f t="shared" si="88"/>
        <v>107.61835907227409</v>
      </c>
      <c r="AE106" s="2665">
        <f t="shared" si="89"/>
        <v>105.11224997085469</v>
      </c>
      <c r="AF106" s="2665">
        <f t="shared" si="90"/>
        <v>111.35935085312623</v>
      </c>
      <c r="AG106" s="2665">
        <f t="shared" si="91"/>
        <v>108.7164719010111</v>
      </c>
      <c r="AH106" s="2665">
        <f t="shared" si="92"/>
        <v>107.49332546183869</v>
      </c>
      <c r="AI106" s="2665">
        <f t="shared" si="93"/>
        <v>105.68359142930382</v>
      </c>
      <c r="AJ106" s="2665">
        <f t="shared" si="94"/>
        <v>106.57814191566676</v>
      </c>
      <c r="AK106" s="2666">
        <f t="shared" si="95"/>
        <v>113.11763437683486</v>
      </c>
    </row>
    <row r="107" spans="1:37" ht="13.5" customHeight="1">
      <c r="A107" s="90"/>
      <c r="B107" s="82">
        <f t="shared" si="96"/>
        <v>2090</v>
      </c>
      <c r="C107" s="82"/>
      <c r="D107" s="2654">
        <f t="shared" si="63"/>
        <v>139.59886664584278</v>
      </c>
      <c r="E107" s="2655">
        <f t="shared" si="72"/>
        <v>47.891304746295035</v>
      </c>
      <c r="F107" s="2655">
        <f t="shared" si="73"/>
        <v>59.71648202754151</v>
      </c>
      <c r="G107" s="2655">
        <f t="shared" si="74"/>
        <v>53.964238705056943</v>
      </c>
      <c r="H107" s="2655">
        <f t="shared" si="75"/>
        <v>41.911598208850265</v>
      </c>
      <c r="I107" s="2655">
        <f t="shared" si="76"/>
        <v>91.193911005426159</v>
      </c>
      <c r="J107" s="2656">
        <f t="shared" si="77"/>
        <v>69.772476339582454</v>
      </c>
      <c r="K107" s="2654">
        <f t="shared" si="65"/>
        <v>154.63571878983907</v>
      </c>
      <c r="L107" s="2655">
        <f t="shared" si="66"/>
        <v>54.172657988302042</v>
      </c>
      <c r="M107" s="2655">
        <f t="shared" si="67"/>
        <v>69.088108892260024</v>
      </c>
      <c r="N107" s="2655">
        <f t="shared" si="68"/>
        <v>65.819812863456818</v>
      </c>
      <c r="O107" s="2655">
        <f t="shared" si="69"/>
        <v>45.497173755203171</v>
      </c>
      <c r="P107" s="2655">
        <f t="shared" si="70"/>
        <v>101.75203266507047</v>
      </c>
      <c r="Q107" s="2656">
        <f t="shared" si="71"/>
        <v>90.453932125304561</v>
      </c>
      <c r="R107" s="75"/>
      <c r="S107" s="2663" t="str">
        <f t="shared" si="42"/>
        <v>2090/91</v>
      </c>
      <c r="T107" s="2664">
        <f t="shared" si="78"/>
        <v>117.81107708023441</v>
      </c>
      <c r="U107" s="2665">
        <f t="shared" si="79"/>
        <v>106.41093518405982</v>
      </c>
      <c r="V107" s="2665">
        <f t="shared" si="80"/>
        <v>103.56925768233505</v>
      </c>
      <c r="W107" s="2665">
        <f t="shared" si="81"/>
        <v>106.39773326692877</v>
      </c>
      <c r="X107" s="2665">
        <f t="shared" si="82"/>
        <v>106.2704237233268</v>
      </c>
      <c r="Y107" s="2665">
        <f t="shared" si="83"/>
        <v>106.33900116939124</v>
      </c>
      <c r="Z107" s="2665">
        <f t="shared" si="84"/>
        <v>106.44126543199457</v>
      </c>
      <c r="AA107" s="2665">
        <f t="shared" si="85"/>
        <v>106.39059643750097</v>
      </c>
      <c r="AB107" s="2666">
        <f t="shared" si="86"/>
        <v>105.12311918664359</v>
      </c>
      <c r="AC107" s="2664">
        <f t="shared" si="87"/>
        <v>129.70195310749614</v>
      </c>
      <c r="AD107" s="2665">
        <f t="shared" si="88"/>
        <v>107.61835907227409</v>
      </c>
      <c r="AE107" s="2665">
        <f t="shared" si="89"/>
        <v>105.11224997085469</v>
      </c>
      <c r="AF107" s="2665">
        <f t="shared" si="90"/>
        <v>111.35935085312623</v>
      </c>
      <c r="AG107" s="2665">
        <f t="shared" si="91"/>
        <v>108.7164719010111</v>
      </c>
      <c r="AH107" s="2665">
        <f t="shared" si="92"/>
        <v>107.49332546183869</v>
      </c>
      <c r="AI107" s="2665">
        <f t="shared" si="93"/>
        <v>105.68359142930382</v>
      </c>
      <c r="AJ107" s="2665">
        <f t="shared" si="94"/>
        <v>106.57814191566676</v>
      </c>
      <c r="AK107" s="2666">
        <f t="shared" si="95"/>
        <v>113.11763437683486</v>
      </c>
    </row>
    <row r="108" spans="1:37" ht="13.5" customHeight="1">
      <c r="A108" s="90"/>
      <c r="B108" s="82">
        <f t="shared" si="96"/>
        <v>2091</v>
      </c>
      <c r="C108" s="82"/>
      <c r="D108" s="2654">
        <f t="shared" si="63"/>
        <v>139.59886664584278</v>
      </c>
      <c r="E108" s="2655">
        <f t="shared" si="72"/>
        <v>47.891304746295035</v>
      </c>
      <c r="F108" s="2655">
        <f t="shared" si="73"/>
        <v>59.71648202754151</v>
      </c>
      <c r="G108" s="2655">
        <f t="shared" si="74"/>
        <v>53.964238705056943</v>
      </c>
      <c r="H108" s="2655">
        <f t="shared" si="75"/>
        <v>41.911598208850265</v>
      </c>
      <c r="I108" s="2655">
        <f t="shared" si="76"/>
        <v>91.193911005426159</v>
      </c>
      <c r="J108" s="2656">
        <f t="shared" si="77"/>
        <v>69.772476339582454</v>
      </c>
      <c r="K108" s="2654">
        <f t="shared" si="65"/>
        <v>154.63571878983907</v>
      </c>
      <c r="L108" s="2655">
        <f t="shared" si="66"/>
        <v>54.172657988302042</v>
      </c>
      <c r="M108" s="2655">
        <f t="shared" si="67"/>
        <v>69.088108892260024</v>
      </c>
      <c r="N108" s="2655">
        <f t="shared" si="68"/>
        <v>65.819812863456818</v>
      </c>
      <c r="O108" s="2655">
        <f t="shared" si="69"/>
        <v>45.497173755203171</v>
      </c>
      <c r="P108" s="2655">
        <f t="shared" si="70"/>
        <v>101.75203266507047</v>
      </c>
      <c r="Q108" s="2656">
        <f t="shared" si="71"/>
        <v>90.453932125304561</v>
      </c>
      <c r="R108" s="75"/>
      <c r="S108" s="2663" t="str">
        <f t="shared" si="42"/>
        <v>2091/92</v>
      </c>
      <c r="T108" s="2664">
        <f t="shared" si="78"/>
        <v>117.81107708023441</v>
      </c>
      <c r="U108" s="2665">
        <f t="shared" si="79"/>
        <v>106.41093518405982</v>
      </c>
      <c r="V108" s="2665">
        <f t="shared" si="80"/>
        <v>103.56925768233505</v>
      </c>
      <c r="W108" s="2665">
        <f t="shared" si="81"/>
        <v>106.39773326692877</v>
      </c>
      <c r="X108" s="2665">
        <f t="shared" si="82"/>
        <v>106.2704237233268</v>
      </c>
      <c r="Y108" s="2665">
        <f t="shared" si="83"/>
        <v>106.33900116939124</v>
      </c>
      <c r="Z108" s="2665">
        <f t="shared" si="84"/>
        <v>106.44126543199457</v>
      </c>
      <c r="AA108" s="2665">
        <f t="shared" si="85"/>
        <v>106.39059643750097</v>
      </c>
      <c r="AB108" s="2666">
        <f t="shared" si="86"/>
        <v>105.12311918664359</v>
      </c>
      <c r="AC108" s="2664">
        <f t="shared" si="87"/>
        <v>129.70195310749614</v>
      </c>
      <c r="AD108" s="2665">
        <f t="shared" si="88"/>
        <v>107.61835907227409</v>
      </c>
      <c r="AE108" s="2665">
        <f t="shared" si="89"/>
        <v>105.11224997085469</v>
      </c>
      <c r="AF108" s="2665">
        <f t="shared" si="90"/>
        <v>111.35935085312623</v>
      </c>
      <c r="AG108" s="2665">
        <f t="shared" si="91"/>
        <v>108.7164719010111</v>
      </c>
      <c r="AH108" s="2665">
        <f t="shared" si="92"/>
        <v>107.49332546183869</v>
      </c>
      <c r="AI108" s="2665">
        <f t="shared" si="93"/>
        <v>105.68359142930382</v>
      </c>
      <c r="AJ108" s="2665">
        <f t="shared" si="94"/>
        <v>106.57814191566676</v>
      </c>
      <c r="AK108" s="2666">
        <f t="shared" si="95"/>
        <v>113.11763437683486</v>
      </c>
    </row>
    <row r="109" spans="1:37" ht="13.5" customHeight="1">
      <c r="A109" s="90"/>
      <c r="B109" s="82">
        <f t="shared" si="96"/>
        <v>2092</v>
      </c>
      <c r="C109" s="82"/>
      <c r="D109" s="2654">
        <f t="shared" si="63"/>
        <v>139.59886664584278</v>
      </c>
      <c r="E109" s="2655">
        <f t="shared" si="72"/>
        <v>47.891304746295035</v>
      </c>
      <c r="F109" s="2655">
        <f t="shared" si="73"/>
        <v>59.71648202754151</v>
      </c>
      <c r="G109" s="2655">
        <f t="shared" si="74"/>
        <v>53.964238705056943</v>
      </c>
      <c r="H109" s="2655">
        <f t="shared" si="75"/>
        <v>41.911598208850265</v>
      </c>
      <c r="I109" s="2655">
        <f t="shared" si="76"/>
        <v>91.193911005426159</v>
      </c>
      <c r="J109" s="2656">
        <f t="shared" si="77"/>
        <v>69.772476339582454</v>
      </c>
      <c r="K109" s="2654">
        <f t="shared" si="65"/>
        <v>154.63571878983907</v>
      </c>
      <c r="L109" s="2655">
        <f t="shared" si="66"/>
        <v>54.172657988302042</v>
      </c>
      <c r="M109" s="2655">
        <f t="shared" si="67"/>
        <v>69.088108892260024</v>
      </c>
      <c r="N109" s="2655">
        <f t="shared" si="68"/>
        <v>65.819812863456818</v>
      </c>
      <c r="O109" s="2655">
        <f t="shared" si="69"/>
        <v>45.497173755203171</v>
      </c>
      <c r="P109" s="2655">
        <f t="shared" si="70"/>
        <v>101.75203266507047</v>
      </c>
      <c r="Q109" s="2656">
        <f t="shared" si="71"/>
        <v>90.453932125304561</v>
      </c>
      <c r="R109" s="75"/>
      <c r="S109" s="2663" t="str">
        <f t="shared" si="42"/>
        <v>2092/93</v>
      </c>
      <c r="T109" s="2664">
        <f t="shared" si="78"/>
        <v>117.81107708023441</v>
      </c>
      <c r="U109" s="2665">
        <f t="shared" si="79"/>
        <v>106.41093518405982</v>
      </c>
      <c r="V109" s="2665">
        <f t="shared" si="80"/>
        <v>103.56925768233505</v>
      </c>
      <c r="W109" s="2665">
        <f t="shared" si="81"/>
        <v>106.39773326692877</v>
      </c>
      <c r="X109" s="2665">
        <f t="shared" si="82"/>
        <v>106.2704237233268</v>
      </c>
      <c r="Y109" s="2665">
        <f t="shared" si="83"/>
        <v>106.33900116939124</v>
      </c>
      <c r="Z109" s="2665">
        <f t="shared" si="84"/>
        <v>106.44126543199457</v>
      </c>
      <c r="AA109" s="2665">
        <f t="shared" si="85"/>
        <v>106.39059643750097</v>
      </c>
      <c r="AB109" s="2666">
        <f t="shared" si="86"/>
        <v>105.12311918664359</v>
      </c>
      <c r="AC109" s="2664">
        <f t="shared" si="87"/>
        <v>129.70195310749614</v>
      </c>
      <c r="AD109" s="2665">
        <f t="shared" si="88"/>
        <v>107.61835907227409</v>
      </c>
      <c r="AE109" s="2665">
        <f t="shared" si="89"/>
        <v>105.11224997085469</v>
      </c>
      <c r="AF109" s="2665">
        <f t="shared" si="90"/>
        <v>111.35935085312623</v>
      </c>
      <c r="AG109" s="2665">
        <f t="shared" si="91"/>
        <v>108.7164719010111</v>
      </c>
      <c r="AH109" s="2665">
        <f t="shared" si="92"/>
        <v>107.49332546183869</v>
      </c>
      <c r="AI109" s="2665">
        <f t="shared" si="93"/>
        <v>105.68359142930382</v>
      </c>
      <c r="AJ109" s="2665">
        <f t="shared" si="94"/>
        <v>106.57814191566676</v>
      </c>
      <c r="AK109" s="2666">
        <f t="shared" si="95"/>
        <v>113.11763437683486</v>
      </c>
    </row>
    <row r="110" spans="1:37" ht="13.5" customHeight="1">
      <c r="A110" s="90"/>
      <c r="B110" s="82">
        <f t="shared" si="96"/>
        <v>2093</v>
      </c>
      <c r="C110" s="82"/>
      <c r="D110" s="2654">
        <f t="shared" si="63"/>
        <v>139.59886664584278</v>
      </c>
      <c r="E110" s="2655">
        <f t="shared" si="72"/>
        <v>47.891304746295035</v>
      </c>
      <c r="F110" s="2655">
        <f t="shared" si="73"/>
        <v>59.71648202754151</v>
      </c>
      <c r="G110" s="2655">
        <f t="shared" si="74"/>
        <v>53.964238705056943</v>
      </c>
      <c r="H110" s="2655">
        <f t="shared" si="75"/>
        <v>41.911598208850265</v>
      </c>
      <c r="I110" s="2655">
        <f t="shared" si="76"/>
        <v>91.193911005426159</v>
      </c>
      <c r="J110" s="2656">
        <f t="shared" si="77"/>
        <v>69.772476339582454</v>
      </c>
      <c r="K110" s="2654">
        <f t="shared" si="65"/>
        <v>154.63571878983907</v>
      </c>
      <c r="L110" s="2655">
        <f t="shared" si="66"/>
        <v>54.172657988302042</v>
      </c>
      <c r="M110" s="2655">
        <f t="shared" si="67"/>
        <v>69.088108892260024</v>
      </c>
      <c r="N110" s="2655">
        <f t="shared" si="68"/>
        <v>65.819812863456818</v>
      </c>
      <c r="O110" s="2655">
        <f t="shared" si="69"/>
        <v>45.497173755203171</v>
      </c>
      <c r="P110" s="2655">
        <f t="shared" si="70"/>
        <v>101.75203266507047</v>
      </c>
      <c r="Q110" s="2656">
        <f t="shared" si="71"/>
        <v>90.453932125304561</v>
      </c>
      <c r="R110" s="75"/>
      <c r="S110" s="2663" t="str">
        <f t="shared" si="42"/>
        <v>2093/94</v>
      </c>
      <c r="T110" s="2664">
        <f t="shared" si="78"/>
        <v>117.81107708023441</v>
      </c>
      <c r="U110" s="2665">
        <f t="shared" si="79"/>
        <v>106.41093518405982</v>
      </c>
      <c r="V110" s="2665">
        <f t="shared" si="80"/>
        <v>103.56925768233505</v>
      </c>
      <c r="W110" s="2665">
        <f t="shared" si="81"/>
        <v>106.39773326692877</v>
      </c>
      <c r="X110" s="2665">
        <f t="shared" si="82"/>
        <v>106.2704237233268</v>
      </c>
      <c r="Y110" s="2665">
        <f t="shared" si="83"/>
        <v>106.33900116939124</v>
      </c>
      <c r="Z110" s="2665">
        <f t="shared" si="84"/>
        <v>106.44126543199457</v>
      </c>
      <c r="AA110" s="2665">
        <f t="shared" si="85"/>
        <v>106.39059643750097</v>
      </c>
      <c r="AB110" s="2666">
        <f t="shared" si="86"/>
        <v>105.12311918664359</v>
      </c>
      <c r="AC110" s="2664">
        <f t="shared" si="87"/>
        <v>129.70195310749614</v>
      </c>
      <c r="AD110" s="2665">
        <f t="shared" si="88"/>
        <v>107.61835907227409</v>
      </c>
      <c r="AE110" s="2665">
        <f t="shared" si="89"/>
        <v>105.11224997085469</v>
      </c>
      <c r="AF110" s="2665">
        <f t="shared" si="90"/>
        <v>111.35935085312623</v>
      </c>
      <c r="AG110" s="2665">
        <f t="shared" si="91"/>
        <v>108.7164719010111</v>
      </c>
      <c r="AH110" s="2665">
        <f t="shared" si="92"/>
        <v>107.49332546183869</v>
      </c>
      <c r="AI110" s="2665">
        <f t="shared" si="93"/>
        <v>105.68359142930382</v>
      </c>
      <c r="AJ110" s="2665">
        <f t="shared" si="94"/>
        <v>106.57814191566676</v>
      </c>
      <c r="AK110" s="2666">
        <f t="shared" si="95"/>
        <v>113.11763437683486</v>
      </c>
    </row>
    <row r="111" spans="1:37" ht="13.5" customHeight="1">
      <c r="A111" s="90"/>
      <c r="B111" s="82">
        <f t="shared" si="96"/>
        <v>2094</v>
      </c>
      <c r="C111" s="82"/>
      <c r="D111" s="2654">
        <f t="shared" si="63"/>
        <v>139.59886664584278</v>
      </c>
      <c r="E111" s="2655">
        <f t="shared" si="72"/>
        <v>47.891304746295035</v>
      </c>
      <c r="F111" s="2655">
        <f t="shared" si="73"/>
        <v>59.71648202754151</v>
      </c>
      <c r="G111" s="2655">
        <f t="shared" si="74"/>
        <v>53.964238705056943</v>
      </c>
      <c r="H111" s="2655">
        <f t="shared" si="75"/>
        <v>41.911598208850265</v>
      </c>
      <c r="I111" s="2655">
        <f t="shared" si="76"/>
        <v>91.193911005426159</v>
      </c>
      <c r="J111" s="2656">
        <f t="shared" si="77"/>
        <v>69.772476339582454</v>
      </c>
      <c r="K111" s="2654">
        <f t="shared" si="65"/>
        <v>154.63571878983907</v>
      </c>
      <c r="L111" s="2655">
        <f t="shared" si="66"/>
        <v>54.172657988302042</v>
      </c>
      <c r="M111" s="2655">
        <f t="shared" si="67"/>
        <v>69.088108892260024</v>
      </c>
      <c r="N111" s="2655">
        <f t="shared" si="68"/>
        <v>65.819812863456818</v>
      </c>
      <c r="O111" s="2655">
        <f t="shared" si="69"/>
        <v>45.497173755203171</v>
      </c>
      <c r="P111" s="2655">
        <f t="shared" si="70"/>
        <v>101.75203266507047</v>
      </c>
      <c r="Q111" s="2656">
        <f t="shared" si="71"/>
        <v>90.453932125304561</v>
      </c>
      <c r="R111" s="75"/>
      <c r="S111" s="2663" t="str">
        <f t="shared" si="42"/>
        <v>2094/95</v>
      </c>
      <c r="T111" s="2664">
        <f t="shared" si="78"/>
        <v>117.81107708023441</v>
      </c>
      <c r="U111" s="2665">
        <f t="shared" si="79"/>
        <v>106.41093518405982</v>
      </c>
      <c r="V111" s="2665">
        <f t="shared" si="80"/>
        <v>103.56925768233505</v>
      </c>
      <c r="W111" s="2665">
        <f t="shared" si="81"/>
        <v>106.39773326692877</v>
      </c>
      <c r="X111" s="2665">
        <f t="shared" si="82"/>
        <v>106.2704237233268</v>
      </c>
      <c r="Y111" s="2665">
        <f t="shared" si="83"/>
        <v>106.33900116939124</v>
      </c>
      <c r="Z111" s="2665">
        <f t="shared" si="84"/>
        <v>106.44126543199457</v>
      </c>
      <c r="AA111" s="2665">
        <f t="shared" si="85"/>
        <v>106.39059643750097</v>
      </c>
      <c r="AB111" s="2666">
        <f t="shared" si="86"/>
        <v>105.12311918664359</v>
      </c>
      <c r="AC111" s="2664">
        <f t="shared" si="87"/>
        <v>129.70195310749614</v>
      </c>
      <c r="AD111" s="2665">
        <f t="shared" si="88"/>
        <v>107.61835907227409</v>
      </c>
      <c r="AE111" s="2665">
        <f t="shared" si="89"/>
        <v>105.11224997085469</v>
      </c>
      <c r="AF111" s="2665">
        <f t="shared" si="90"/>
        <v>111.35935085312623</v>
      </c>
      <c r="AG111" s="2665">
        <f t="shared" si="91"/>
        <v>108.7164719010111</v>
      </c>
      <c r="AH111" s="2665">
        <f t="shared" si="92"/>
        <v>107.49332546183869</v>
      </c>
      <c r="AI111" s="2665">
        <f t="shared" si="93"/>
        <v>105.68359142930382</v>
      </c>
      <c r="AJ111" s="2665">
        <f t="shared" si="94"/>
        <v>106.57814191566676</v>
      </c>
      <c r="AK111" s="2666">
        <f t="shared" si="95"/>
        <v>113.11763437683486</v>
      </c>
    </row>
    <row r="112" spans="1:37" ht="13.5" customHeight="1">
      <c r="A112" s="90"/>
      <c r="B112" s="82">
        <f t="shared" si="96"/>
        <v>2095</v>
      </c>
      <c r="C112" s="82"/>
      <c r="D112" s="2654">
        <f t="shared" si="63"/>
        <v>139.59886664584278</v>
      </c>
      <c r="E112" s="2655">
        <f t="shared" si="72"/>
        <v>47.891304746295035</v>
      </c>
      <c r="F112" s="2655">
        <f t="shared" si="73"/>
        <v>59.71648202754151</v>
      </c>
      <c r="G112" s="2655">
        <f t="shared" si="74"/>
        <v>53.964238705056943</v>
      </c>
      <c r="H112" s="2655">
        <f t="shared" si="75"/>
        <v>41.911598208850265</v>
      </c>
      <c r="I112" s="2655">
        <f t="shared" si="76"/>
        <v>91.193911005426159</v>
      </c>
      <c r="J112" s="2656">
        <f t="shared" si="77"/>
        <v>69.772476339582454</v>
      </c>
      <c r="K112" s="2654">
        <f t="shared" si="65"/>
        <v>154.63571878983907</v>
      </c>
      <c r="L112" s="2655">
        <f t="shared" si="66"/>
        <v>54.172657988302042</v>
      </c>
      <c r="M112" s="2655">
        <f t="shared" si="67"/>
        <v>69.088108892260024</v>
      </c>
      <c r="N112" s="2655">
        <f t="shared" si="68"/>
        <v>65.819812863456818</v>
      </c>
      <c r="O112" s="2655">
        <f t="shared" si="69"/>
        <v>45.497173755203171</v>
      </c>
      <c r="P112" s="2655">
        <f t="shared" si="70"/>
        <v>101.75203266507047</v>
      </c>
      <c r="Q112" s="2656">
        <f t="shared" si="71"/>
        <v>90.453932125304561</v>
      </c>
      <c r="R112" s="75"/>
      <c r="S112" s="2663" t="str">
        <f t="shared" si="42"/>
        <v>2095/96</v>
      </c>
      <c r="T112" s="2664">
        <f t="shared" si="78"/>
        <v>117.81107708023441</v>
      </c>
      <c r="U112" s="2665">
        <f t="shared" si="79"/>
        <v>106.41093518405982</v>
      </c>
      <c r="V112" s="2665">
        <f t="shared" si="80"/>
        <v>103.56925768233505</v>
      </c>
      <c r="W112" s="2665">
        <f t="shared" si="81"/>
        <v>106.39773326692877</v>
      </c>
      <c r="X112" s="2665">
        <f t="shared" si="82"/>
        <v>106.2704237233268</v>
      </c>
      <c r="Y112" s="2665">
        <f t="shared" si="83"/>
        <v>106.33900116939124</v>
      </c>
      <c r="Z112" s="2665">
        <f t="shared" si="84"/>
        <v>106.44126543199457</v>
      </c>
      <c r="AA112" s="2665">
        <f t="shared" si="85"/>
        <v>106.39059643750097</v>
      </c>
      <c r="AB112" s="2666">
        <f t="shared" si="86"/>
        <v>105.12311918664359</v>
      </c>
      <c r="AC112" s="2664">
        <f t="shared" si="87"/>
        <v>129.70195310749614</v>
      </c>
      <c r="AD112" s="2665">
        <f t="shared" si="88"/>
        <v>107.61835907227409</v>
      </c>
      <c r="AE112" s="2665">
        <f t="shared" si="89"/>
        <v>105.11224997085469</v>
      </c>
      <c r="AF112" s="2665">
        <f t="shared" si="90"/>
        <v>111.35935085312623</v>
      </c>
      <c r="AG112" s="2665">
        <f t="shared" si="91"/>
        <v>108.7164719010111</v>
      </c>
      <c r="AH112" s="2665">
        <f t="shared" si="92"/>
        <v>107.49332546183869</v>
      </c>
      <c r="AI112" s="2665">
        <f t="shared" si="93"/>
        <v>105.68359142930382</v>
      </c>
      <c r="AJ112" s="2665">
        <f t="shared" si="94"/>
        <v>106.57814191566676</v>
      </c>
      <c r="AK112" s="2666">
        <f t="shared" si="95"/>
        <v>113.11763437683486</v>
      </c>
    </row>
    <row r="113" spans="1:37" ht="13.5" customHeight="1">
      <c r="A113" s="90"/>
      <c r="B113" s="82">
        <f t="shared" si="96"/>
        <v>2096</v>
      </c>
      <c r="C113" s="82"/>
      <c r="D113" s="2654">
        <f t="shared" si="63"/>
        <v>139.59886664584278</v>
      </c>
      <c r="E113" s="2655">
        <f t="shared" si="72"/>
        <v>47.891304746295035</v>
      </c>
      <c r="F113" s="2655">
        <f t="shared" si="73"/>
        <v>59.71648202754151</v>
      </c>
      <c r="G113" s="2655">
        <f t="shared" si="74"/>
        <v>53.964238705056943</v>
      </c>
      <c r="H113" s="2655">
        <f t="shared" si="75"/>
        <v>41.911598208850265</v>
      </c>
      <c r="I113" s="2655">
        <f t="shared" si="76"/>
        <v>91.193911005426159</v>
      </c>
      <c r="J113" s="2656">
        <f t="shared" si="77"/>
        <v>69.772476339582454</v>
      </c>
      <c r="K113" s="2654">
        <f t="shared" si="65"/>
        <v>154.63571878983907</v>
      </c>
      <c r="L113" s="2655">
        <f t="shared" si="66"/>
        <v>54.172657988302042</v>
      </c>
      <c r="M113" s="2655">
        <f t="shared" si="67"/>
        <v>69.088108892260024</v>
      </c>
      <c r="N113" s="2655">
        <f t="shared" si="68"/>
        <v>65.819812863456818</v>
      </c>
      <c r="O113" s="2655">
        <f t="shared" si="69"/>
        <v>45.497173755203171</v>
      </c>
      <c r="P113" s="2655">
        <f t="shared" si="70"/>
        <v>101.75203266507047</v>
      </c>
      <c r="Q113" s="2656">
        <f t="shared" si="71"/>
        <v>90.453932125304561</v>
      </c>
      <c r="R113" s="75"/>
      <c r="S113" s="2663" t="str">
        <f t="shared" si="42"/>
        <v>2096/97</v>
      </c>
      <c r="T113" s="2664">
        <f t="shared" si="78"/>
        <v>117.81107708023441</v>
      </c>
      <c r="U113" s="2665">
        <f t="shared" si="79"/>
        <v>106.41093518405982</v>
      </c>
      <c r="V113" s="2665">
        <f t="shared" si="80"/>
        <v>103.56925768233505</v>
      </c>
      <c r="W113" s="2665">
        <f t="shared" si="81"/>
        <v>106.39773326692877</v>
      </c>
      <c r="X113" s="2665">
        <f t="shared" si="82"/>
        <v>106.2704237233268</v>
      </c>
      <c r="Y113" s="2665">
        <f t="shared" si="83"/>
        <v>106.33900116939124</v>
      </c>
      <c r="Z113" s="2665">
        <f t="shared" si="84"/>
        <v>106.44126543199457</v>
      </c>
      <c r="AA113" s="2665">
        <f t="shared" si="85"/>
        <v>106.39059643750097</v>
      </c>
      <c r="AB113" s="2666">
        <f t="shared" si="86"/>
        <v>105.12311918664359</v>
      </c>
      <c r="AC113" s="2664">
        <f t="shared" si="87"/>
        <v>129.70195310749614</v>
      </c>
      <c r="AD113" s="2665">
        <f t="shared" si="88"/>
        <v>107.61835907227409</v>
      </c>
      <c r="AE113" s="2665">
        <f t="shared" si="89"/>
        <v>105.11224997085469</v>
      </c>
      <c r="AF113" s="2665">
        <f t="shared" si="90"/>
        <v>111.35935085312623</v>
      </c>
      <c r="AG113" s="2665">
        <f t="shared" si="91"/>
        <v>108.7164719010111</v>
      </c>
      <c r="AH113" s="2665">
        <f t="shared" si="92"/>
        <v>107.49332546183869</v>
      </c>
      <c r="AI113" s="2665">
        <f t="shared" si="93"/>
        <v>105.68359142930382</v>
      </c>
      <c r="AJ113" s="2665">
        <f t="shared" si="94"/>
        <v>106.57814191566676</v>
      </c>
      <c r="AK113" s="2666">
        <f t="shared" si="95"/>
        <v>113.11763437683486</v>
      </c>
    </row>
    <row r="114" spans="1:37" ht="13.5" customHeight="1">
      <c r="A114" s="90"/>
      <c r="B114" s="82">
        <f t="shared" si="96"/>
        <v>2097</v>
      </c>
      <c r="C114" s="82"/>
      <c r="D114" s="2654">
        <f t="shared" si="63"/>
        <v>139.59886664584278</v>
      </c>
      <c r="E114" s="2655">
        <f t="shared" si="72"/>
        <v>47.891304746295035</v>
      </c>
      <c r="F114" s="2655">
        <f t="shared" si="73"/>
        <v>59.71648202754151</v>
      </c>
      <c r="G114" s="2655">
        <f t="shared" si="74"/>
        <v>53.964238705056943</v>
      </c>
      <c r="H114" s="2655">
        <f t="shared" si="75"/>
        <v>41.911598208850265</v>
      </c>
      <c r="I114" s="2655">
        <f t="shared" si="76"/>
        <v>91.193911005426159</v>
      </c>
      <c r="J114" s="2656">
        <f t="shared" si="77"/>
        <v>69.772476339582454</v>
      </c>
      <c r="K114" s="2654">
        <f t="shared" si="65"/>
        <v>154.63571878983907</v>
      </c>
      <c r="L114" s="2655">
        <f t="shared" si="66"/>
        <v>54.172657988302042</v>
      </c>
      <c r="M114" s="2655">
        <f t="shared" si="67"/>
        <v>69.088108892260024</v>
      </c>
      <c r="N114" s="2655">
        <f t="shared" si="68"/>
        <v>65.819812863456818</v>
      </c>
      <c r="O114" s="2655">
        <f t="shared" si="69"/>
        <v>45.497173755203171</v>
      </c>
      <c r="P114" s="2655">
        <f t="shared" si="70"/>
        <v>101.75203266507047</v>
      </c>
      <c r="Q114" s="2656">
        <f t="shared" si="71"/>
        <v>90.453932125304561</v>
      </c>
      <c r="R114" s="75"/>
      <c r="S114" s="2663" t="str">
        <f t="shared" si="42"/>
        <v>2097/98</v>
      </c>
      <c r="T114" s="2664">
        <f t="shared" si="78"/>
        <v>117.81107708023441</v>
      </c>
      <c r="U114" s="2665">
        <f t="shared" si="79"/>
        <v>106.41093518405982</v>
      </c>
      <c r="V114" s="2665">
        <f t="shared" si="80"/>
        <v>103.56925768233505</v>
      </c>
      <c r="W114" s="2665">
        <f t="shared" si="81"/>
        <v>106.39773326692877</v>
      </c>
      <c r="X114" s="2665">
        <f t="shared" si="82"/>
        <v>106.2704237233268</v>
      </c>
      <c r="Y114" s="2665">
        <f t="shared" si="83"/>
        <v>106.33900116939124</v>
      </c>
      <c r="Z114" s="2665">
        <f t="shared" si="84"/>
        <v>106.44126543199457</v>
      </c>
      <c r="AA114" s="2665">
        <f t="shared" si="85"/>
        <v>106.39059643750097</v>
      </c>
      <c r="AB114" s="2666">
        <f t="shared" si="86"/>
        <v>105.12311918664359</v>
      </c>
      <c r="AC114" s="2664">
        <f t="shared" si="87"/>
        <v>129.70195310749614</v>
      </c>
      <c r="AD114" s="2665">
        <f t="shared" si="88"/>
        <v>107.61835907227409</v>
      </c>
      <c r="AE114" s="2665">
        <f t="shared" si="89"/>
        <v>105.11224997085469</v>
      </c>
      <c r="AF114" s="2665">
        <f t="shared" si="90"/>
        <v>111.35935085312623</v>
      </c>
      <c r="AG114" s="2665">
        <f t="shared" si="91"/>
        <v>108.7164719010111</v>
      </c>
      <c r="AH114" s="2665">
        <f t="shared" si="92"/>
        <v>107.49332546183869</v>
      </c>
      <c r="AI114" s="2665">
        <f t="shared" si="93"/>
        <v>105.68359142930382</v>
      </c>
      <c r="AJ114" s="2665">
        <f t="shared" si="94"/>
        <v>106.57814191566676</v>
      </c>
      <c r="AK114" s="2666">
        <f t="shared" si="95"/>
        <v>113.11763437683486</v>
      </c>
    </row>
    <row r="115" spans="1:37" ht="13.5" customHeight="1">
      <c r="A115" s="90"/>
      <c r="B115" s="82">
        <f t="shared" si="96"/>
        <v>2098</v>
      </c>
      <c r="C115" s="82"/>
      <c r="D115" s="2654">
        <f t="shared" si="63"/>
        <v>139.59886664584278</v>
      </c>
      <c r="E115" s="2655">
        <f t="shared" si="72"/>
        <v>47.891304746295035</v>
      </c>
      <c r="F115" s="2655">
        <f t="shared" si="73"/>
        <v>59.71648202754151</v>
      </c>
      <c r="G115" s="2655">
        <f t="shared" si="74"/>
        <v>53.964238705056943</v>
      </c>
      <c r="H115" s="2655">
        <f t="shared" si="75"/>
        <v>41.911598208850265</v>
      </c>
      <c r="I115" s="2655">
        <f t="shared" si="76"/>
        <v>91.193911005426159</v>
      </c>
      <c r="J115" s="2656">
        <f t="shared" si="77"/>
        <v>69.772476339582454</v>
      </c>
      <c r="K115" s="2654">
        <f t="shared" si="65"/>
        <v>154.63571878983907</v>
      </c>
      <c r="L115" s="2655">
        <f t="shared" si="66"/>
        <v>54.172657988302042</v>
      </c>
      <c r="M115" s="2655">
        <f t="shared" si="67"/>
        <v>69.088108892260024</v>
      </c>
      <c r="N115" s="2655">
        <f t="shared" si="68"/>
        <v>65.819812863456818</v>
      </c>
      <c r="O115" s="2655">
        <f t="shared" si="69"/>
        <v>45.497173755203171</v>
      </c>
      <c r="P115" s="2655">
        <f t="shared" si="70"/>
        <v>101.75203266507047</v>
      </c>
      <c r="Q115" s="2656">
        <f t="shared" si="71"/>
        <v>90.453932125304561</v>
      </c>
      <c r="R115" s="75"/>
      <c r="S115" s="2663" t="str">
        <f t="shared" si="42"/>
        <v>2098/99</v>
      </c>
      <c r="T115" s="2664">
        <f t="shared" si="78"/>
        <v>117.81107708023441</v>
      </c>
      <c r="U115" s="2665">
        <f t="shared" si="79"/>
        <v>106.41093518405982</v>
      </c>
      <c r="V115" s="2665">
        <f t="shared" si="80"/>
        <v>103.56925768233505</v>
      </c>
      <c r="W115" s="2665">
        <f t="shared" si="81"/>
        <v>106.39773326692877</v>
      </c>
      <c r="X115" s="2665">
        <f t="shared" si="82"/>
        <v>106.2704237233268</v>
      </c>
      <c r="Y115" s="2665">
        <f t="shared" si="83"/>
        <v>106.33900116939124</v>
      </c>
      <c r="Z115" s="2665">
        <f t="shared" si="84"/>
        <v>106.44126543199457</v>
      </c>
      <c r="AA115" s="2665">
        <f t="shared" si="85"/>
        <v>106.39059643750097</v>
      </c>
      <c r="AB115" s="2666">
        <f t="shared" si="86"/>
        <v>105.12311918664359</v>
      </c>
      <c r="AC115" s="2664">
        <f t="shared" si="87"/>
        <v>129.70195310749614</v>
      </c>
      <c r="AD115" s="2665">
        <f t="shared" si="88"/>
        <v>107.61835907227409</v>
      </c>
      <c r="AE115" s="2665">
        <f t="shared" si="89"/>
        <v>105.11224997085469</v>
      </c>
      <c r="AF115" s="2665">
        <f t="shared" si="90"/>
        <v>111.35935085312623</v>
      </c>
      <c r="AG115" s="2665">
        <f t="shared" si="91"/>
        <v>108.7164719010111</v>
      </c>
      <c r="AH115" s="2665">
        <f t="shared" si="92"/>
        <v>107.49332546183869</v>
      </c>
      <c r="AI115" s="2665">
        <f t="shared" si="93"/>
        <v>105.68359142930382</v>
      </c>
      <c r="AJ115" s="2665">
        <f t="shared" si="94"/>
        <v>106.57814191566676</v>
      </c>
      <c r="AK115" s="2666">
        <f t="shared" si="95"/>
        <v>113.11763437683486</v>
      </c>
    </row>
    <row r="116" spans="1:37" ht="13.5" customHeight="1">
      <c r="A116" s="90"/>
      <c r="B116" s="82">
        <f t="shared" si="96"/>
        <v>2099</v>
      </c>
      <c r="C116" s="82"/>
      <c r="D116" s="2654">
        <f t="shared" si="63"/>
        <v>139.59886664584278</v>
      </c>
      <c r="E116" s="2655">
        <f t="shared" si="72"/>
        <v>47.891304746295035</v>
      </c>
      <c r="F116" s="2655">
        <f t="shared" si="73"/>
        <v>59.71648202754151</v>
      </c>
      <c r="G116" s="2655">
        <f t="shared" si="74"/>
        <v>53.964238705056943</v>
      </c>
      <c r="H116" s="2655">
        <f t="shared" si="75"/>
        <v>41.911598208850265</v>
      </c>
      <c r="I116" s="2655">
        <f t="shared" si="76"/>
        <v>91.193911005426159</v>
      </c>
      <c r="J116" s="2656">
        <f t="shared" si="77"/>
        <v>69.772476339582454</v>
      </c>
      <c r="K116" s="2654">
        <f t="shared" si="65"/>
        <v>154.63571878983907</v>
      </c>
      <c r="L116" s="2655">
        <f t="shared" si="66"/>
        <v>54.172657988302042</v>
      </c>
      <c r="M116" s="2655">
        <f t="shared" si="67"/>
        <v>69.088108892260024</v>
      </c>
      <c r="N116" s="2655">
        <f t="shared" si="68"/>
        <v>65.819812863456818</v>
      </c>
      <c r="O116" s="2655">
        <f t="shared" si="69"/>
        <v>45.497173755203171</v>
      </c>
      <c r="P116" s="2655">
        <f t="shared" si="70"/>
        <v>101.75203266507047</v>
      </c>
      <c r="Q116" s="2656">
        <f t="shared" si="71"/>
        <v>90.453932125304561</v>
      </c>
      <c r="R116" s="75"/>
      <c r="S116" s="2663" t="str">
        <f t="shared" si="42"/>
        <v>2099/00</v>
      </c>
      <c r="T116" s="2664">
        <f t="shared" si="78"/>
        <v>117.81107708023441</v>
      </c>
      <c r="U116" s="2665">
        <f t="shared" si="79"/>
        <v>106.41093518405982</v>
      </c>
      <c r="V116" s="2665">
        <f t="shared" si="80"/>
        <v>103.56925768233505</v>
      </c>
      <c r="W116" s="2665">
        <f t="shared" si="81"/>
        <v>106.39773326692877</v>
      </c>
      <c r="X116" s="2665">
        <f t="shared" si="82"/>
        <v>106.2704237233268</v>
      </c>
      <c r="Y116" s="2665">
        <f t="shared" si="83"/>
        <v>106.33900116939124</v>
      </c>
      <c r="Z116" s="2665">
        <f t="shared" si="84"/>
        <v>106.44126543199457</v>
      </c>
      <c r="AA116" s="2665">
        <f t="shared" si="85"/>
        <v>106.39059643750097</v>
      </c>
      <c r="AB116" s="2666">
        <f t="shared" si="86"/>
        <v>105.12311918664359</v>
      </c>
      <c r="AC116" s="2664">
        <f t="shared" si="87"/>
        <v>129.70195310749614</v>
      </c>
      <c r="AD116" s="2665">
        <f t="shared" si="88"/>
        <v>107.61835907227409</v>
      </c>
      <c r="AE116" s="2665">
        <f t="shared" si="89"/>
        <v>105.11224997085469</v>
      </c>
      <c r="AF116" s="2665">
        <f t="shared" si="90"/>
        <v>111.35935085312623</v>
      </c>
      <c r="AG116" s="2665">
        <f t="shared" si="91"/>
        <v>108.7164719010111</v>
      </c>
      <c r="AH116" s="2665">
        <f t="shared" si="92"/>
        <v>107.49332546183869</v>
      </c>
      <c r="AI116" s="2665">
        <f t="shared" si="93"/>
        <v>105.68359142930382</v>
      </c>
      <c r="AJ116" s="2665">
        <f t="shared" si="94"/>
        <v>106.57814191566676</v>
      </c>
      <c r="AK116" s="2666">
        <f t="shared" si="95"/>
        <v>113.11763437683486</v>
      </c>
    </row>
    <row r="117" spans="1:37" ht="13.5" customHeight="1" thickBot="1">
      <c r="A117" s="92"/>
      <c r="B117" s="93">
        <f t="shared" si="96"/>
        <v>2100</v>
      </c>
      <c r="C117" s="93"/>
      <c r="D117" s="2657">
        <f t="shared" si="63"/>
        <v>139.59886664584278</v>
      </c>
      <c r="E117" s="2658">
        <f t="shared" si="72"/>
        <v>47.891304746295035</v>
      </c>
      <c r="F117" s="2658">
        <f t="shared" si="73"/>
        <v>59.71648202754151</v>
      </c>
      <c r="G117" s="2658">
        <f t="shared" si="74"/>
        <v>53.964238705056943</v>
      </c>
      <c r="H117" s="2658">
        <f t="shared" si="75"/>
        <v>41.911598208850265</v>
      </c>
      <c r="I117" s="2658">
        <f t="shared" si="76"/>
        <v>91.193911005426159</v>
      </c>
      <c r="J117" s="2659">
        <f t="shared" si="77"/>
        <v>69.772476339582454</v>
      </c>
      <c r="K117" s="2657">
        <f t="shared" si="65"/>
        <v>154.63571878983907</v>
      </c>
      <c r="L117" s="2658">
        <f t="shared" ref="L117:Q117" si="97">L116</f>
        <v>54.172657988302042</v>
      </c>
      <c r="M117" s="2658">
        <f t="shared" si="97"/>
        <v>69.088108892260024</v>
      </c>
      <c r="N117" s="2658">
        <f t="shared" si="97"/>
        <v>65.819812863456818</v>
      </c>
      <c r="O117" s="2658">
        <f t="shared" si="97"/>
        <v>45.497173755203171</v>
      </c>
      <c r="P117" s="2658">
        <f t="shared" si="97"/>
        <v>101.75203266507047</v>
      </c>
      <c r="Q117" s="2659">
        <f t="shared" si="97"/>
        <v>90.453932125304561</v>
      </c>
      <c r="R117" s="1616"/>
      <c r="S117" s="77"/>
      <c r="T117" s="92"/>
      <c r="U117" s="37"/>
      <c r="V117" s="37"/>
      <c r="W117" s="37"/>
      <c r="X117" s="37"/>
      <c r="Y117" s="37"/>
      <c r="Z117" s="37"/>
      <c r="AA117" s="37"/>
      <c r="AB117" s="37"/>
      <c r="AC117" s="92"/>
      <c r="AD117" s="37"/>
      <c r="AE117" s="37"/>
      <c r="AF117" s="37"/>
      <c r="AG117" s="37"/>
      <c r="AH117" s="37"/>
      <c r="AI117" s="37"/>
      <c r="AJ117" s="37"/>
      <c r="AK117" s="1385"/>
    </row>
    <row r="118" spans="1:37" ht="13.5" customHeight="1" thickTop="1" thickBot="1"/>
    <row r="119" spans="1:37" ht="13.5" customHeight="1" thickBot="1">
      <c r="D119" s="528" t="s">
        <v>1489</v>
      </c>
    </row>
    <row r="120" spans="1:37" ht="13.5" customHeight="1"/>
    <row r="121" spans="1:37" ht="13.5" customHeight="1"/>
    <row r="122" spans="1:37" ht="13.5" customHeight="1"/>
    <row r="123" spans="1:37" ht="13.5" customHeight="1"/>
    <row r="124" spans="1:37" ht="13.5" customHeight="1"/>
    <row r="125" spans="1:37" ht="13.5" customHeight="1"/>
    <row r="126" spans="1:37" ht="13.5" customHeight="1"/>
    <row r="127" spans="1:37" ht="13.5" customHeight="1"/>
    <row r="128" spans="1:37"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sheetData>
  <sheetProtection sheet="1" objects="1" scenarios="1"/>
  <mergeCells count="6">
    <mergeCell ref="A11:B11"/>
    <mergeCell ref="A1:B1"/>
    <mergeCell ref="A7:B7"/>
    <mergeCell ref="A8:B8"/>
    <mergeCell ref="A9:B9"/>
    <mergeCell ref="A10:B10"/>
  </mergeCells>
  <hyperlinks>
    <hyperlink ref="D119" location="'TABLE TEMPLATE'!D29" tooltip="Top of this page" display="Top"/>
    <hyperlink ref="A10" location="Contents!A1" display="Contents"/>
    <hyperlink ref="A10:B10" location="Contents!A1" tooltip="Contents page" display="Contents"/>
    <hyperlink ref="A11:B11" r:id="rId1" tooltip="Unit M4: Forecasting &amp; Uncertainty" display="WebTAG Unit M 4"/>
  </hyperlinks>
  <pageMargins left="0.15748031496062992" right="0.15748031496062992" top="0.59055118110236227" bottom="0.39370078740157483" header="0.11811023622047245" footer="0.11811023622047245"/>
  <pageSetup paperSize="9" scale="83" pageOrder="overThenDown" orientation="landscape" r:id="rId2"/>
  <headerFooter alignWithMargins="0"/>
  <drawing r:id="rId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tabColor rgb="FF008000"/>
  </sheetPr>
  <dimension ref="A1:IV121"/>
  <sheetViews>
    <sheetView showGridLines="0" topLeftCell="A7" zoomScale="70" zoomScaleNormal="70" workbookViewId="0">
      <selection activeCell="A9" sqref="A9:B9"/>
    </sheetView>
  </sheetViews>
  <sheetFormatPr defaultColWidth="12.88671875" defaultRowHeight="13.2"/>
  <cols>
    <col min="1" max="1" width="12.88671875" style="33" customWidth="1"/>
    <col min="2" max="2" width="51.109375" style="33" bestFit="1" customWidth="1"/>
    <col min="3" max="3" width="18.44140625" style="33" customWidth="1"/>
    <col min="4" max="4" width="16.109375" style="33" customWidth="1"/>
    <col min="5" max="5" width="15.109375" style="33" customWidth="1"/>
    <col min="6" max="6" width="17.6640625" style="33" customWidth="1"/>
    <col min="7" max="7" width="16.109375" style="33" customWidth="1"/>
    <col min="8" max="8" width="12.88671875" style="33" customWidth="1"/>
    <col min="9" max="9" width="14.44140625" style="33" customWidth="1"/>
    <col min="10" max="10" width="51.109375" style="33" bestFit="1" customWidth="1"/>
    <col min="11" max="11" width="18.44140625" style="33" customWidth="1"/>
    <col min="12" max="15" width="12.88671875" style="33"/>
    <col min="16" max="16" width="18" style="33" customWidth="1"/>
    <col min="17" max="17" width="42.5546875" style="33" bestFit="1" customWidth="1"/>
    <col min="18" max="18" width="44.33203125" style="33" bestFit="1" customWidth="1"/>
    <col min="19" max="19" width="36.88671875" style="33" bestFit="1" customWidth="1"/>
    <col min="20" max="16384" width="12.88671875" style="33"/>
  </cols>
  <sheetData>
    <row r="1" spans="1:38" ht="54.9" customHeight="1">
      <c r="A1" s="3569"/>
      <c r="B1" s="3569"/>
      <c r="C1" s="112"/>
    </row>
    <row r="2" spans="1:38" ht="5.0999999999999996" customHeight="1">
      <c r="C2" s="111"/>
    </row>
    <row r="3" spans="1:38" s="20" customFormat="1" ht="20.100000000000001" customHeight="1">
      <c r="A3" s="83" t="s">
        <v>2210</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1631</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8" customFormat="1" ht="9.9" customHeight="1" thickTop="1" thickBot="1">
      <c r="B5" s="85"/>
      <c r="C5" s="85"/>
      <c r="D5" s="86"/>
      <c r="E5" s="85"/>
      <c r="F5" s="85"/>
      <c r="G5" s="86"/>
      <c r="H5" s="85"/>
      <c r="I5" s="86"/>
      <c r="J5" s="86"/>
      <c r="K5" s="86"/>
      <c r="L5" s="86"/>
      <c r="M5" s="86"/>
      <c r="N5" s="86"/>
      <c r="O5" s="86"/>
      <c r="P5" s="86"/>
      <c r="Q5" s="86"/>
      <c r="R5" s="86"/>
      <c r="S5" s="86"/>
      <c r="W5" s="26"/>
      <c r="X5" s="26"/>
      <c r="Y5" s="26"/>
      <c r="Z5" s="26"/>
      <c r="AA5" s="31"/>
      <c r="AB5" s="26"/>
      <c r="AL5" s="87"/>
    </row>
    <row r="6" spans="1:38" s="38" customFormat="1" ht="13.5" customHeight="1" thickTop="1" thickBot="1">
      <c r="A6" s="169" t="s">
        <v>10</v>
      </c>
      <c r="B6" s="169"/>
      <c r="E6" s="122" t="s">
        <v>255</v>
      </c>
      <c r="F6" s="175"/>
      <c r="G6" s="175"/>
      <c r="H6" s="175"/>
      <c r="I6" s="175"/>
      <c r="J6" s="175"/>
      <c r="K6" s="175"/>
      <c r="L6" s="175"/>
      <c r="M6" s="175"/>
      <c r="N6" s="175"/>
      <c r="O6" s="175"/>
      <c r="P6" s="175"/>
      <c r="Q6" s="175"/>
      <c r="R6" s="175"/>
      <c r="S6" s="176"/>
      <c r="W6" s="26"/>
      <c r="X6" s="26"/>
      <c r="Y6" s="26"/>
      <c r="Z6" s="26"/>
      <c r="AA6" s="31"/>
      <c r="AB6" s="26"/>
      <c r="AL6" s="87"/>
    </row>
    <row r="7" spans="1:38" s="3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26"/>
      <c r="X7" s="26"/>
      <c r="Y7" s="26"/>
      <c r="Z7" s="26"/>
      <c r="AA7" s="31"/>
      <c r="AB7" s="26"/>
      <c r="AL7" s="87"/>
    </row>
    <row r="8" spans="1:38" s="38" customFormat="1" ht="13.5" customHeight="1">
      <c r="A8" s="3630">
        <f>Audit!C12</f>
        <v>43586</v>
      </c>
      <c r="B8" s="3631"/>
      <c r="E8" s="2560" t="s">
        <v>2003</v>
      </c>
      <c r="F8"/>
      <c r="G8" s="27"/>
      <c r="H8" s="27"/>
      <c r="I8" s="27"/>
      <c r="J8" s="27"/>
      <c r="K8" s="27"/>
      <c r="L8" s="27"/>
      <c r="M8" s="27"/>
      <c r="N8" s="27"/>
      <c r="O8" s="27"/>
      <c r="P8" s="27"/>
      <c r="Q8" s="27"/>
      <c r="R8" s="27"/>
      <c r="S8" s="55"/>
      <c r="W8" s="26"/>
      <c r="X8" s="26"/>
      <c r="Y8" s="26"/>
      <c r="Z8" s="26"/>
      <c r="AA8" s="31"/>
      <c r="AB8" s="26"/>
      <c r="AL8" s="87"/>
    </row>
    <row r="9" spans="1:38" s="38" customFormat="1" ht="13.5" customHeight="1" thickBot="1">
      <c r="A9" s="3642" t="s">
        <v>1149</v>
      </c>
      <c r="B9" s="3643"/>
      <c r="E9" s="2053" t="s">
        <v>2004</v>
      </c>
      <c r="F9"/>
      <c r="I9" s="27"/>
      <c r="J9" s="27"/>
      <c r="K9" s="27"/>
      <c r="L9" s="27"/>
      <c r="M9" s="27"/>
      <c r="N9" s="27"/>
      <c r="O9" s="27"/>
      <c r="P9" s="27"/>
      <c r="Q9" s="27"/>
      <c r="R9" s="27"/>
      <c r="S9" s="55"/>
      <c r="W9" s="26"/>
      <c r="X9" s="26"/>
      <c r="Y9" s="26"/>
      <c r="Z9" s="26"/>
      <c r="AA9" s="31"/>
      <c r="AB9" s="26"/>
      <c r="AL9" s="87"/>
    </row>
    <row r="10" spans="1:38" s="38" customFormat="1" ht="13.5" customHeight="1" thickBot="1">
      <c r="A10" s="3570" t="s">
        <v>1306</v>
      </c>
      <c r="B10" s="3610"/>
      <c r="E10" s="2528" t="s">
        <v>2002</v>
      </c>
      <c r="F10"/>
      <c r="I10" s="26"/>
      <c r="J10" s="26"/>
      <c r="K10" s="26"/>
      <c r="L10" s="26"/>
      <c r="M10" s="26"/>
      <c r="N10" s="26"/>
      <c r="O10" s="26"/>
      <c r="P10" s="26"/>
      <c r="Q10" s="26"/>
      <c r="R10" s="26"/>
      <c r="S10" s="147"/>
      <c r="W10" s="26"/>
      <c r="X10" s="26"/>
      <c r="Y10" s="26"/>
      <c r="Z10" s="26"/>
      <c r="AA10" s="31"/>
      <c r="AB10" s="26"/>
      <c r="AL10" s="87"/>
    </row>
    <row r="11" spans="1:38" s="38" customFormat="1" ht="13.5" customHeight="1" thickBot="1">
      <c r="A11" s="3570" t="s">
        <v>2211</v>
      </c>
      <c r="B11" s="3581"/>
      <c r="E11" s="2560"/>
      <c r="F11"/>
      <c r="I11" s="68"/>
      <c r="J11" s="68"/>
      <c r="K11" s="68"/>
      <c r="L11" s="68"/>
      <c r="M11" s="68"/>
      <c r="N11" s="68"/>
      <c r="O11" s="68"/>
      <c r="P11" s="68"/>
      <c r="Q11" s="68"/>
      <c r="R11" s="68"/>
      <c r="S11" s="107"/>
      <c r="W11" s="26"/>
      <c r="X11" s="26"/>
      <c r="Y11" s="26"/>
      <c r="Z11" s="26"/>
      <c r="AA11" s="31"/>
      <c r="AB11" s="26"/>
      <c r="AL11" s="87"/>
    </row>
    <row r="12" spans="1:38" s="38" customFormat="1" ht="13.5" customHeight="1">
      <c r="A12" s="2417"/>
      <c r="B12" s="2417"/>
      <c r="E12" s="2560"/>
      <c r="F12"/>
      <c r="I12" s="33"/>
      <c r="J12" s="27"/>
      <c r="K12" s="27"/>
      <c r="L12" s="27"/>
      <c r="M12" s="27"/>
      <c r="N12" s="27"/>
      <c r="O12" s="27"/>
      <c r="P12" s="27"/>
      <c r="Q12" s="68"/>
      <c r="R12" s="68"/>
      <c r="S12" s="107"/>
      <c r="W12" s="26"/>
      <c r="X12" s="26"/>
      <c r="Y12" s="26"/>
      <c r="Z12" s="26"/>
      <c r="AA12" s="31"/>
      <c r="AB12" s="26"/>
      <c r="AL12" s="87"/>
    </row>
    <row r="13" spans="1:38" s="38" customFormat="1" ht="13.5" customHeight="1">
      <c r="A13" s="172" t="s">
        <v>252</v>
      </c>
      <c r="B13" s="194"/>
      <c r="E13" s="113"/>
      <c r="F13" s="33"/>
      <c r="G13" s="33"/>
      <c r="I13" s="33"/>
      <c r="J13" s="27"/>
      <c r="K13" s="27"/>
      <c r="L13" s="27"/>
      <c r="M13" s="27"/>
      <c r="N13" s="27"/>
      <c r="O13" s="27"/>
      <c r="P13" s="2247"/>
      <c r="Q13" s="27"/>
      <c r="R13" s="27"/>
      <c r="S13" s="55"/>
      <c r="W13" s="26"/>
      <c r="X13" s="26"/>
      <c r="Y13" s="26"/>
      <c r="Z13" s="26"/>
      <c r="AA13" s="31"/>
      <c r="AB13" s="26"/>
      <c r="AL13" s="87"/>
    </row>
    <row r="14" spans="1:38" ht="13.5" customHeight="1">
      <c r="A14" s="2445"/>
      <c r="B14" s="2446"/>
      <c r="C14" s="82"/>
      <c r="E14" s="2554"/>
      <c r="G14" s="2299"/>
      <c r="H14" s="38"/>
      <c r="P14" s="27"/>
      <c r="Q14" s="27"/>
      <c r="R14" s="27"/>
      <c r="S14" s="55"/>
      <c r="W14" s="72"/>
      <c r="X14" s="72"/>
      <c r="Y14" s="72"/>
      <c r="Z14" s="96"/>
      <c r="AA14" s="31"/>
      <c r="AB14" s="26"/>
    </row>
    <row r="15" spans="1:38" ht="13.5" customHeight="1">
      <c r="A15" s="2452"/>
      <c r="B15" s="2446"/>
      <c r="C15" s="7"/>
      <c r="E15" s="113"/>
      <c r="F15" s="2299"/>
      <c r="I15" s="26"/>
      <c r="J15" s="26"/>
      <c r="K15" s="429"/>
      <c r="L15" s="429"/>
      <c r="M15" s="429"/>
      <c r="N15" s="429"/>
      <c r="O15" s="2246"/>
      <c r="P15" s="27"/>
      <c r="Q15" s="27"/>
      <c r="R15" s="27"/>
      <c r="S15" s="55"/>
      <c r="U15" s="25"/>
      <c r="W15" s="56"/>
      <c r="X15" s="72"/>
      <c r="Y15" s="72"/>
      <c r="Z15" s="96"/>
      <c r="AA15" s="31"/>
      <c r="AB15" s="26"/>
    </row>
    <row r="16" spans="1:38" ht="13.5" customHeight="1">
      <c r="A16" s="2453"/>
      <c r="B16" s="2454"/>
      <c r="C16" s="7"/>
      <c r="E16" s="113"/>
      <c r="F16" s="2251"/>
      <c r="I16" s="26"/>
      <c r="J16" s="429"/>
      <c r="K16" s="429"/>
      <c r="L16" s="429"/>
      <c r="M16" s="429"/>
      <c r="N16" s="2246"/>
      <c r="O16" s="26"/>
      <c r="P16" s="26"/>
      <c r="Q16" s="26"/>
      <c r="R16" s="26"/>
      <c r="S16" s="147"/>
      <c r="U16" s="25"/>
      <c r="W16" s="26"/>
      <c r="X16" s="26"/>
      <c r="Y16" s="26"/>
      <c r="Z16" s="26"/>
      <c r="AA16" s="26"/>
      <c r="AB16" s="26"/>
    </row>
    <row r="17" spans="1:256" ht="13.5" customHeight="1">
      <c r="A17" s="169" t="s">
        <v>253</v>
      </c>
      <c r="B17" s="170"/>
      <c r="C17" s="82"/>
      <c r="E17" s="113"/>
      <c r="F17" s="1496"/>
      <c r="I17" s="27"/>
      <c r="J17" s="27"/>
      <c r="K17" s="27"/>
      <c r="L17" s="27"/>
      <c r="M17" s="27"/>
      <c r="N17" s="27"/>
      <c r="O17" s="27"/>
      <c r="P17" s="27"/>
      <c r="Q17" s="27"/>
      <c r="R17" s="27"/>
      <c r="S17" s="55"/>
      <c r="U17" s="25"/>
    </row>
    <row r="18" spans="1:256" ht="13.5" customHeight="1">
      <c r="A18" s="2424"/>
      <c r="B18" s="2424"/>
      <c r="C18" s="38"/>
      <c r="E18" s="2554"/>
      <c r="I18" s="27"/>
      <c r="J18" s="691"/>
      <c r="K18" s="691"/>
      <c r="L18" s="691"/>
      <c r="M18" s="691"/>
      <c r="N18" s="2243"/>
      <c r="O18" s="27"/>
      <c r="P18" s="27"/>
      <c r="Q18" s="27"/>
      <c r="R18" s="27"/>
      <c r="S18" s="55"/>
      <c r="U18" s="25"/>
    </row>
    <row r="19" spans="1:256" ht="13.5" customHeight="1">
      <c r="A19" s="2424"/>
      <c r="B19" s="2424"/>
      <c r="E19" s="2554" t="s">
        <v>2390</v>
      </c>
      <c r="F19" s="29"/>
      <c r="G19" s="32"/>
      <c r="H19" s="26"/>
      <c r="I19" s="31"/>
      <c r="J19" s="26"/>
      <c r="K19" s="72"/>
      <c r="L19" s="72"/>
      <c r="M19" s="72"/>
      <c r="N19" s="72"/>
      <c r="O19" s="96"/>
      <c r="P19" s="31"/>
      <c r="Q19" s="26"/>
      <c r="R19" s="26"/>
      <c r="S19" s="147"/>
      <c r="U19" s="25"/>
    </row>
    <row r="20" spans="1:256" ht="13.5" customHeight="1" thickBot="1">
      <c r="A20" s="2424"/>
      <c r="B20" s="2424"/>
      <c r="E20" s="162" t="s">
        <v>2340</v>
      </c>
      <c r="F20" s="163"/>
      <c r="G20" s="164"/>
      <c r="H20" s="13"/>
      <c r="I20" s="165"/>
      <c r="J20" s="13"/>
      <c r="K20" s="166"/>
      <c r="L20" s="166"/>
      <c r="M20" s="166"/>
      <c r="N20" s="166"/>
      <c r="O20" s="167"/>
      <c r="P20" s="165"/>
      <c r="Q20" s="13"/>
      <c r="R20" s="13"/>
      <c r="S20" s="168"/>
      <c r="U20" s="25"/>
    </row>
    <row r="21" spans="1:256" ht="13.5" customHeight="1" thickTop="1"/>
    <row r="22" spans="1:256" ht="13.5" customHeight="1"/>
    <row r="23" spans="1:256" ht="13.5" customHeight="1"/>
    <row r="24" spans="1:256" s="38" customFormat="1" ht="13.5" customHeight="1">
      <c r="A24" s="33"/>
      <c r="B24" s="33"/>
      <c r="C24" s="33"/>
      <c r="D24" s="33"/>
      <c r="E24" s="33"/>
      <c r="F24" s="33"/>
      <c r="G24" s="33"/>
      <c r="H24" s="33"/>
      <c r="I24" s="33"/>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c r="CV24" s="33"/>
      <c r="CW24" s="33"/>
      <c r="CX24" s="33"/>
      <c r="CY24" s="33"/>
      <c r="CZ24" s="33"/>
      <c r="DA24" s="33"/>
      <c r="DB24" s="33"/>
      <c r="DC24" s="33"/>
      <c r="DD24" s="33"/>
      <c r="DE24" s="33"/>
      <c r="DF24" s="33"/>
      <c r="DG24" s="33"/>
      <c r="DH24" s="33"/>
      <c r="DI24" s="33"/>
      <c r="DJ24" s="33"/>
      <c r="DK24" s="33"/>
      <c r="DL24" s="33"/>
      <c r="DM24" s="33"/>
      <c r="DN24" s="33"/>
      <c r="DO24" s="33"/>
      <c r="DP24" s="33"/>
      <c r="DQ24" s="33"/>
      <c r="DR24" s="33"/>
      <c r="DS24" s="33"/>
      <c r="DT24" s="33"/>
      <c r="DU24" s="33"/>
      <c r="DV24" s="33"/>
      <c r="DW24" s="33"/>
      <c r="DX24" s="33"/>
      <c r="DY24" s="33"/>
      <c r="DZ24" s="33"/>
      <c r="EA24" s="33"/>
      <c r="EB24" s="33"/>
      <c r="EC24" s="33"/>
      <c r="ED24" s="33"/>
      <c r="EE24" s="33"/>
      <c r="EF24" s="33"/>
      <c r="EG24" s="33"/>
      <c r="EH24" s="33"/>
      <c r="EI24" s="33"/>
      <c r="EJ24" s="33"/>
      <c r="EK24" s="33"/>
      <c r="EL24" s="33"/>
      <c r="EM24" s="33"/>
      <c r="EN24" s="33"/>
      <c r="EO24" s="33"/>
      <c r="EP24" s="33"/>
      <c r="EQ24" s="33"/>
      <c r="ER24" s="33"/>
      <c r="ES24" s="33"/>
      <c r="ET24" s="33"/>
      <c r="EU24" s="33"/>
      <c r="EV24" s="33"/>
      <c r="EW24" s="33"/>
      <c r="EX24" s="33"/>
      <c r="EY24" s="33"/>
      <c r="EZ24" s="33"/>
      <c r="FA24" s="33"/>
      <c r="FB24" s="33"/>
      <c r="FC24" s="33"/>
      <c r="FD24" s="33"/>
      <c r="FE24" s="33"/>
      <c r="FF24" s="33"/>
      <c r="FG24" s="33"/>
      <c r="FH24" s="33"/>
      <c r="FI24" s="33"/>
      <c r="FJ24" s="33"/>
      <c r="FK24" s="33"/>
      <c r="FL24" s="33"/>
      <c r="FM24" s="33"/>
      <c r="FN24" s="33"/>
      <c r="FO24" s="33"/>
      <c r="FP24" s="33"/>
      <c r="FQ24" s="33"/>
      <c r="FR24" s="33"/>
      <c r="FS24" s="33"/>
      <c r="FT24" s="33"/>
      <c r="FU24" s="33"/>
      <c r="FV24" s="33"/>
      <c r="FW24" s="33"/>
      <c r="FX24" s="33"/>
      <c r="FY24" s="33"/>
      <c r="FZ24" s="33"/>
      <c r="GA24" s="33"/>
      <c r="GB24" s="33"/>
      <c r="GC24" s="33"/>
      <c r="GD24" s="33"/>
      <c r="GE24" s="33"/>
      <c r="GF24" s="33"/>
      <c r="GG24" s="33"/>
      <c r="GH24" s="33"/>
      <c r="GI24" s="33"/>
      <c r="GJ24" s="33"/>
      <c r="GK24" s="33"/>
      <c r="GL24" s="33"/>
      <c r="GM24" s="33"/>
      <c r="GN24" s="33"/>
      <c r="GO24" s="33"/>
      <c r="GP24" s="33"/>
      <c r="GQ24" s="33"/>
      <c r="GR24" s="33"/>
      <c r="GS24" s="33"/>
      <c r="GT24" s="33"/>
      <c r="GU24" s="33"/>
      <c r="GV24" s="33"/>
      <c r="GW24" s="33"/>
      <c r="GX24" s="33"/>
      <c r="GY24" s="33"/>
      <c r="GZ24" s="33"/>
      <c r="HA24" s="33"/>
      <c r="HB24" s="33"/>
      <c r="HC24" s="33"/>
      <c r="HD24" s="33"/>
      <c r="HE24" s="33"/>
      <c r="HF24" s="33"/>
      <c r="HG24" s="33"/>
      <c r="HH24" s="33"/>
      <c r="HI24" s="33"/>
      <c r="HJ24" s="33"/>
      <c r="HK24" s="33"/>
      <c r="HL24" s="33"/>
      <c r="HM24" s="33"/>
      <c r="HN24" s="33"/>
      <c r="HO24" s="33"/>
      <c r="HP24" s="33"/>
      <c r="HQ24" s="33"/>
      <c r="HR24" s="33"/>
      <c r="HS24" s="33"/>
      <c r="HT24" s="33"/>
      <c r="HU24" s="33"/>
      <c r="HV24" s="33"/>
      <c r="HW24" s="33"/>
      <c r="HX24" s="33"/>
      <c r="HY24" s="33"/>
      <c r="HZ24" s="33"/>
      <c r="IA24" s="33"/>
      <c r="IB24" s="33"/>
      <c r="IC24" s="33"/>
      <c r="ID24" s="33"/>
      <c r="IE24" s="33"/>
      <c r="IF24" s="33"/>
      <c r="IG24" s="33"/>
      <c r="IH24" s="33"/>
      <c r="II24" s="33"/>
      <c r="IJ24" s="33"/>
      <c r="IK24" s="33"/>
      <c r="IL24" s="33"/>
      <c r="IM24" s="33"/>
      <c r="IN24" s="33"/>
      <c r="IO24" s="33"/>
      <c r="IP24" s="33"/>
      <c r="IQ24" s="33"/>
      <c r="IR24" s="33"/>
      <c r="IS24" s="33"/>
      <c r="IT24" s="33"/>
      <c r="IU24" s="33"/>
      <c r="IV24" s="33"/>
    </row>
    <row r="25" spans="1:256" s="27" customFormat="1" ht="13.5" customHeight="1" thickBot="1">
      <c r="A25" s="33"/>
      <c r="B25" s="33"/>
      <c r="C25" s="33"/>
      <c r="D25" s="33"/>
      <c r="E25" s="33"/>
      <c r="F25" s="33"/>
      <c r="G25" s="33"/>
      <c r="H25" s="33"/>
      <c r="I25" s="33"/>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c r="CV25" s="33"/>
      <c r="CW25" s="33"/>
      <c r="CX25" s="33"/>
      <c r="CY25" s="33"/>
      <c r="CZ25" s="33"/>
      <c r="DA25" s="33"/>
      <c r="DB25" s="33"/>
      <c r="DC25" s="33"/>
      <c r="DD25" s="33"/>
      <c r="DE25" s="33"/>
      <c r="DF25" s="33"/>
      <c r="DG25" s="33"/>
      <c r="DH25" s="33"/>
      <c r="DI25" s="33"/>
      <c r="DJ25" s="33"/>
      <c r="DK25" s="33"/>
      <c r="DL25" s="33"/>
      <c r="DM25" s="33"/>
      <c r="DN25" s="33"/>
      <c r="DO25" s="33"/>
      <c r="DP25" s="33"/>
      <c r="DQ25" s="33"/>
      <c r="DR25" s="33"/>
      <c r="DS25" s="33"/>
      <c r="DT25" s="33"/>
      <c r="DU25" s="33"/>
      <c r="DV25" s="33"/>
      <c r="DW25" s="33"/>
      <c r="DX25" s="33"/>
      <c r="DY25" s="33"/>
      <c r="DZ25" s="33"/>
      <c r="EA25" s="33"/>
      <c r="EB25" s="33"/>
      <c r="EC25" s="33"/>
      <c r="ED25" s="33"/>
      <c r="EE25" s="33"/>
      <c r="EF25" s="33"/>
      <c r="EG25" s="33"/>
      <c r="EH25" s="33"/>
      <c r="EI25" s="33"/>
      <c r="EJ25" s="33"/>
      <c r="EK25" s="33"/>
      <c r="EL25" s="33"/>
      <c r="EM25" s="33"/>
      <c r="EN25" s="33"/>
      <c r="EO25" s="33"/>
      <c r="EP25" s="33"/>
      <c r="EQ25" s="33"/>
      <c r="ER25" s="33"/>
      <c r="ES25" s="33"/>
      <c r="ET25" s="33"/>
      <c r="EU25" s="33"/>
      <c r="EV25" s="33"/>
      <c r="EW25" s="33"/>
      <c r="EX25" s="33"/>
      <c r="EY25" s="33"/>
      <c r="EZ25" s="33"/>
      <c r="FA25" s="33"/>
      <c r="FB25" s="33"/>
      <c r="FC25" s="33"/>
      <c r="FD25" s="33"/>
      <c r="FE25" s="33"/>
      <c r="FF25" s="33"/>
      <c r="FG25" s="33"/>
      <c r="FH25" s="33"/>
      <c r="FI25" s="33"/>
      <c r="FJ25" s="33"/>
      <c r="FK25" s="33"/>
      <c r="FL25" s="33"/>
      <c r="FM25" s="33"/>
      <c r="FN25" s="33"/>
      <c r="FO25" s="33"/>
      <c r="FP25" s="33"/>
      <c r="FQ25" s="33"/>
      <c r="FR25" s="33"/>
      <c r="FS25" s="33"/>
      <c r="FT25" s="33"/>
      <c r="FU25" s="33"/>
      <c r="FV25" s="33"/>
      <c r="FW25" s="33"/>
      <c r="FX25" s="33"/>
      <c r="FY25" s="33"/>
      <c r="FZ25" s="33"/>
      <c r="GA25" s="33"/>
      <c r="GB25" s="33"/>
      <c r="GC25" s="33"/>
      <c r="GD25" s="33"/>
      <c r="GE25" s="33"/>
      <c r="GF25" s="33"/>
      <c r="GG25" s="33"/>
      <c r="GH25" s="33"/>
      <c r="GI25" s="33"/>
      <c r="GJ25" s="33"/>
      <c r="GK25" s="33"/>
      <c r="GL25" s="33"/>
      <c r="GM25" s="33"/>
      <c r="GN25" s="33"/>
      <c r="GO25" s="33"/>
      <c r="GP25" s="33"/>
      <c r="GQ25" s="33"/>
      <c r="GR25" s="33"/>
      <c r="GS25" s="33"/>
      <c r="GT25" s="33"/>
      <c r="GU25" s="33"/>
      <c r="GV25" s="33"/>
      <c r="GW25" s="33"/>
      <c r="GX25" s="33"/>
      <c r="GY25" s="33"/>
      <c r="GZ25" s="33"/>
      <c r="HA25" s="33"/>
      <c r="HB25" s="33"/>
      <c r="HC25" s="33"/>
      <c r="HD25" s="33"/>
      <c r="HE25" s="33"/>
      <c r="HF25" s="33"/>
      <c r="HG25" s="33"/>
      <c r="HH25" s="33"/>
      <c r="HI25" s="33"/>
      <c r="HJ25" s="33"/>
      <c r="HK25" s="33"/>
      <c r="HL25" s="33"/>
      <c r="HM25" s="33"/>
      <c r="HN25" s="33"/>
      <c r="HO25" s="33"/>
      <c r="HP25" s="33"/>
      <c r="HQ25" s="33"/>
      <c r="HR25" s="33"/>
      <c r="HS25" s="33"/>
      <c r="HT25" s="33"/>
      <c r="HU25" s="33"/>
      <c r="HV25" s="33"/>
      <c r="HW25" s="33"/>
      <c r="HX25" s="33"/>
      <c r="HY25" s="33"/>
      <c r="HZ25" s="33"/>
      <c r="IA25" s="33"/>
      <c r="IB25" s="33"/>
      <c r="IC25" s="33"/>
      <c r="ID25" s="33"/>
      <c r="IE25" s="33"/>
      <c r="IF25" s="33"/>
      <c r="IG25" s="33"/>
      <c r="IH25" s="33"/>
      <c r="II25" s="33"/>
      <c r="IJ25" s="33"/>
      <c r="IK25" s="33"/>
      <c r="IL25" s="33"/>
      <c r="IM25" s="33"/>
      <c r="IN25" s="33"/>
      <c r="IO25" s="33"/>
      <c r="IP25" s="33"/>
      <c r="IQ25" s="33"/>
      <c r="IR25" s="33"/>
      <c r="IS25" s="33"/>
      <c r="IT25" s="33"/>
      <c r="IU25" s="33"/>
      <c r="IV25" s="33"/>
    </row>
    <row r="26" spans="1:256" s="27" customFormat="1" ht="13.5" customHeight="1" thickTop="1" thickBot="1">
      <c r="A26" s="33"/>
      <c r="B26" s="33"/>
      <c r="C26" s="2557"/>
      <c r="D26" s="1986"/>
      <c r="E26" s="1986"/>
      <c r="F26" s="1986"/>
      <c r="G26" s="3184"/>
      <c r="H26" s="2555"/>
      <c r="I26" s="2555"/>
      <c r="J26" s="2555"/>
      <c r="K26" s="2555"/>
      <c r="L26" s="3184"/>
      <c r="M26" s="3184"/>
      <c r="N26" s="2555"/>
      <c r="O26" s="3898" t="s">
        <v>2005</v>
      </c>
      <c r="P26" s="3883" t="s">
        <v>2006</v>
      </c>
      <c r="Q26" s="3883" t="s">
        <v>2007</v>
      </c>
      <c r="R26" s="3883" t="s">
        <v>2008</v>
      </c>
      <c r="S26" s="3890" t="s">
        <v>2009</v>
      </c>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c r="CV26" s="33"/>
      <c r="CW26" s="33"/>
      <c r="CX26" s="33"/>
      <c r="CY26" s="33"/>
      <c r="CZ26" s="33"/>
      <c r="DA26" s="33"/>
      <c r="DB26" s="33"/>
      <c r="DC26" s="33"/>
      <c r="DD26" s="33"/>
      <c r="DE26" s="33"/>
      <c r="DF26" s="33"/>
      <c r="DG26" s="33"/>
      <c r="DH26" s="33"/>
      <c r="DI26" s="33"/>
      <c r="DJ26" s="33"/>
      <c r="DK26" s="33"/>
      <c r="DL26" s="33"/>
      <c r="DM26" s="33"/>
      <c r="DN26" s="33"/>
      <c r="DO26" s="33"/>
      <c r="DP26" s="33"/>
      <c r="DQ26" s="33"/>
      <c r="DR26" s="33"/>
      <c r="DS26" s="33"/>
      <c r="DT26" s="33"/>
      <c r="DU26" s="33"/>
      <c r="DV26" s="33"/>
      <c r="DW26" s="33"/>
      <c r="DX26" s="33"/>
      <c r="DY26" s="33"/>
      <c r="DZ26" s="33"/>
      <c r="EA26" s="33"/>
      <c r="EB26" s="33"/>
      <c r="EC26" s="33"/>
      <c r="ED26" s="33"/>
      <c r="EE26" s="33"/>
      <c r="EF26" s="33"/>
      <c r="EG26" s="33"/>
      <c r="EH26" s="33"/>
      <c r="EI26" s="33"/>
      <c r="EJ26" s="33"/>
      <c r="EK26" s="33"/>
      <c r="EL26" s="33"/>
      <c r="EM26" s="33"/>
      <c r="EN26" s="33"/>
      <c r="EO26" s="33"/>
      <c r="EP26" s="33"/>
      <c r="EQ26" s="33"/>
      <c r="ER26" s="33"/>
      <c r="ES26" s="33"/>
      <c r="ET26" s="33"/>
      <c r="EU26" s="33"/>
      <c r="EV26" s="33"/>
      <c r="EW26" s="33"/>
      <c r="EX26" s="33"/>
      <c r="EY26" s="33"/>
      <c r="EZ26" s="33"/>
      <c r="FA26" s="33"/>
      <c r="FB26" s="33"/>
      <c r="FC26" s="33"/>
      <c r="FD26" s="33"/>
      <c r="FE26" s="33"/>
      <c r="FF26" s="33"/>
      <c r="FG26" s="33"/>
      <c r="FH26" s="33"/>
      <c r="FI26" s="33"/>
      <c r="FJ26" s="33"/>
      <c r="FK26" s="33"/>
      <c r="FL26" s="33"/>
      <c r="FM26" s="33"/>
      <c r="FN26" s="33"/>
      <c r="FO26" s="33"/>
      <c r="FP26" s="33"/>
      <c r="FQ26" s="33"/>
      <c r="FR26" s="33"/>
      <c r="FS26" s="33"/>
      <c r="FT26" s="33"/>
      <c r="FU26" s="33"/>
      <c r="FV26" s="33"/>
      <c r="FW26" s="33"/>
      <c r="FX26" s="33"/>
      <c r="FY26" s="33"/>
      <c r="FZ26" s="33"/>
      <c r="GA26" s="33"/>
      <c r="GB26" s="33"/>
      <c r="GC26" s="33"/>
      <c r="GD26" s="33"/>
      <c r="GE26" s="33"/>
      <c r="GF26" s="33"/>
      <c r="GG26" s="33"/>
      <c r="GH26" s="33"/>
      <c r="GI26" s="33"/>
      <c r="GJ26" s="33"/>
      <c r="GK26" s="33"/>
      <c r="GL26" s="33"/>
      <c r="GM26" s="33"/>
      <c r="GN26" s="33"/>
      <c r="GO26" s="33"/>
      <c r="GP26" s="33"/>
      <c r="GQ26" s="33"/>
      <c r="GR26" s="33"/>
      <c r="GS26" s="33"/>
      <c r="GT26" s="33"/>
      <c r="GU26" s="33"/>
      <c r="GV26" s="33"/>
      <c r="GW26" s="33"/>
      <c r="GX26" s="33"/>
      <c r="GY26" s="33"/>
      <c r="GZ26" s="33"/>
      <c r="HA26" s="33"/>
      <c r="HB26" s="33"/>
      <c r="HC26" s="33"/>
      <c r="HD26" s="33"/>
      <c r="HE26" s="33"/>
      <c r="HF26" s="33"/>
      <c r="HG26" s="33"/>
      <c r="HH26" s="33"/>
      <c r="HI26" s="33"/>
      <c r="HJ26" s="33"/>
      <c r="HK26" s="33"/>
      <c r="HL26" s="33"/>
      <c r="HM26" s="33"/>
      <c r="HN26" s="33"/>
      <c r="HO26" s="33"/>
      <c r="HP26" s="33"/>
      <c r="HQ26" s="33"/>
      <c r="HR26" s="33"/>
      <c r="HS26" s="33"/>
      <c r="HT26" s="33"/>
      <c r="HU26" s="33"/>
      <c r="HV26" s="33"/>
      <c r="HW26" s="33"/>
      <c r="HX26" s="33"/>
      <c r="HY26" s="33"/>
      <c r="HZ26" s="33"/>
      <c r="IA26" s="33"/>
      <c r="IB26" s="33"/>
      <c r="IC26" s="33"/>
      <c r="ID26" s="33"/>
      <c r="IE26" s="33"/>
      <c r="IF26" s="33"/>
      <c r="IG26" s="33"/>
      <c r="IH26" s="33"/>
      <c r="II26" s="33"/>
      <c r="IJ26" s="33"/>
      <c r="IK26" s="33"/>
      <c r="IL26" s="33"/>
      <c r="IM26" s="33"/>
      <c r="IN26" s="33"/>
      <c r="IO26" s="33"/>
      <c r="IP26" s="33"/>
      <c r="IQ26" s="33"/>
      <c r="IR26" s="33"/>
      <c r="IS26" s="33"/>
      <c r="IT26" s="33"/>
      <c r="IU26" s="33"/>
      <c r="IV26" s="33"/>
    </row>
    <row r="27" spans="1:256" ht="13.8" thickTop="1">
      <c r="B27" s="3835" t="s">
        <v>2010</v>
      </c>
      <c r="C27" s="3836"/>
      <c r="D27" s="3836" t="s">
        <v>2011</v>
      </c>
      <c r="E27" s="3836"/>
      <c r="F27" s="3836" t="s">
        <v>2012</v>
      </c>
      <c r="G27" s="3837"/>
      <c r="H27" s="2555"/>
      <c r="I27" s="2555"/>
      <c r="J27" s="3835" t="s">
        <v>2013</v>
      </c>
      <c r="K27" s="3836"/>
      <c r="L27" s="3896" t="s">
        <v>2011</v>
      </c>
      <c r="M27" s="3886" t="s">
        <v>2012</v>
      </c>
      <c r="N27" s="2555"/>
      <c r="O27" s="3899"/>
      <c r="P27" s="3884"/>
      <c r="Q27" s="3884"/>
      <c r="R27" s="3884"/>
      <c r="S27" s="3891"/>
    </row>
    <row r="28" spans="1:256" ht="13.8" thickBot="1">
      <c r="B28" s="3893"/>
      <c r="C28" s="3894"/>
      <c r="D28" s="1158" t="s">
        <v>2014</v>
      </c>
      <c r="E28" s="1158" t="s">
        <v>2015</v>
      </c>
      <c r="F28" s="1158" t="s">
        <v>2014</v>
      </c>
      <c r="G28" s="759" t="s">
        <v>2015</v>
      </c>
      <c r="H28" s="2557"/>
      <c r="I28" s="2557"/>
      <c r="J28" s="3893"/>
      <c r="K28" s="3894"/>
      <c r="L28" s="3897"/>
      <c r="M28" s="3887"/>
      <c r="N28" s="2557"/>
      <c r="O28" s="3900"/>
      <c r="P28" s="3885"/>
      <c r="Q28" s="3885"/>
      <c r="R28" s="3885"/>
      <c r="S28" s="3892"/>
    </row>
    <row r="29" spans="1:256" ht="27" thickTop="1">
      <c r="B29" s="3190"/>
      <c r="C29" s="3188" t="s">
        <v>2016</v>
      </c>
      <c r="D29" s="3189">
        <v>6.1800000000000001E-2</v>
      </c>
      <c r="E29" s="3189">
        <v>1.1900000000000001E-2</v>
      </c>
      <c r="F29" s="3189">
        <v>2.6700000000000002E-2</v>
      </c>
      <c r="G29" s="3191">
        <v>2.06E-2</v>
      </c>
      <c r="H29" s="3186"/>
      <c r="I29" s="2563"/>
      <c r="J29" s="3190"/>
      <c r="K29" s="3188" t="s">
        <v>2016</v>
      </c>
      <c r="L29" s="3189">
        <v>8.7900000000000006E-2</v>
      </c>
      <c r="M29" s="3191">
        <v>7.9000000000000001E-2</v>
      </c>
      <c r="N29" s="2557"/>
      <c r="O29" s="3198" t="s">
        <v>2017</v>
      </c>
      <c r="P29" s="3199" t="s">
        <v>2018</v>
      </c>
      <c r="Q29" s="3189">
        <v>1</v>
      </c>
      <c r="R29" s="3189">
        <v>0</v>
      </c>
      <c r="S29" s="3191">
        <v>0</v>
      </c>
    </row>
    <row r="30" spans="1:256" s="24" customFormat="1" ht="26.4">
      <c r="A30" s="33"/>
      <c r="B30" s="3895" t="s">
        <v>2019</v>
      </c>
      <c r="C30" s="3187" t="s">
        <v>2020</v>
      </c>
      <c r="D30" s="3185">
        <v>-7.9000000000000008E-3</v>
      </c>
      <c r="E30" s="3185" t="s">
        <v>2021</v>
      </c>
      <c r="F30" s="3185">
        <v>-1.2699999999999999E-2</v>
      </c>
      <c r="G30" s="3192" t="s">
        <v>2021</v>
      </c>
      <c r="H30" s="2555"/>
      <c r="I30" s="2555"/>
      <c r="J30" s="3895" t="s">
        <v>2019</v>
      </c>
      <c r="K30" s="3187" t="s">
        <v>2020</v>
      </c>
      <c r="L30" s="3185" t="s">
        <v>2021</v>
      </c>
      <c r="M30" s="3192" t="s">
        <v>2021</v>
      </c>
      <c r="N30" s="2555"/>
      <c r="O30" s="3196" t="s">
        <v>2017</v>
      </c>
      <c r="P30" s="3187" t="s">
        <v>2022</v>
      </c>
      <c r="Q30" s="3185">
        <v>1</v>
      </c>
      <c r="R30" s="3185">
        <v>0.2</v>
      </c>
      <c r="S30" s="3192">
        <v>0</v>
      </c>
      <c r="T30" s="33"/>
      <c r="U30" s="33"/>
      <c r="V30" s="33"/>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33"/>
      <c r="CG30" s="33"/>
      <c r="CH30" s="33"/>
      <c r="CI30" s="33"/>
      <c r="CJ30" s="33"/>
      <c r="CK30" s="33"/>
      <c r="CL30" s="33"/>
      <c r="CM30" s="33"/>
      <c r="CN30" s="33"/>
      <c r="CO30" s="33"/>
      <c r="CP30" s="33"/>
      <c r="CQ30" s="33"/>
      <c r="CR30" s="33"/>
      <c r="CS30" s="33"/>
      <c r="CT30" s="33"/>
      <c r="CU30" s="33"/>
      <c r="CV30" s="33"/>
      <c r="CW30" s="33"/>
      <c r="CX30" s="33"/>
      <c r="CY30" s="33"/>
      <c r="CZ30" s="33"/>
      <c r="DA30" s="33"/>
      <c r="DB30" s="33"/>
      <c r="DC30" s="33"/>
      <c r="DD30" s="33"/>
      <c r="DE30" s="33"/>
      <c r="DF30" s="33"/>
      <c r="DG30" s="33"/>
      <c r="DH30" s="33"/>
      <c r="DI30" s="33"/>
      <c r="DJ30" s="33"/>
      <c r="DK30" s="33"/>
      <c r="DL30" s="33"/>
      <c r="DM30" s="33"/>
      <c r="DN30" s="33"/>
      <c r="DO30" s="33"/>
      <c r="DP30" s="33"/>
      <c r="DQ30" s="33"/>
      <c r="DR30" s="33"/>
      <c r="DS30" s="33"/>
      <c r="DT30" s="33"/>
      <c r="DU30" s="33"/>
      <c r="DV30" s="33"/>
      <c r="DW30" s="33"/>
      <c r="DX30" s="33"/>
      <c r="DY30" s="33"/>
      <c r="DZ30" s="33"/>
      <c r="EA30" s="33"/>
      <c r="EB30" s="33"/>
      <c r="EC30" s="33"/>
      <c r="ED30" s="33"/>
      <c r="EE30" s="33"/>
      <c r="EF30" s="33"/>
      <c r="EG30" s="33"/>
      <c r="EH30" s="33"/>
      <c r="EI30" s="33"/>
      <c r="EJ30" s="33"/>
      <c r="EK30" s="33"/>
      <c r="EL30" s="33"/>
      <c r="EM30" s="33"/>
      <c r="EN30" s="33"/>
      <c r="EO30" s="33"/>
      <c r="EP30" s="33"/>
      <c r="EQ30" s="33"/>
      <c r="ER30" s="33"/>
      <c r="ES30" s="33"/>
      <c r="ET30" s="33"/>
      <c r="EU30" s="33"/>
      <c r="EV30" s="33"/>
      <c r="EW30" s="33"/>
      <c r="EX30" s="33"/>
      <c r="EY30" s="33"/>
      <c r="EZ30" s="33"/>
      <c r="FA30" s="33"/>
      <c r="FB30" s="33"/>
      <c r="FC30" s="33"/>
      <c r="FD30" s="33"/>
      <c r="FE30" s="33"/>
      <c r="FF30" s="33"/>
      <c r="FG30" s="33"/>
      <c r="FH30" s="33"/>
      <c r="FI30" s="33"/>
      <c r="FJ30" s="33"/>
      <c r="FK30" s="33"/>
      <c r="FL30" s="33"/>
      <c r="FM30" s="33"/>
      <c r="FN30" s="33"/>
      <c r="FO30" s="33"/>
      <c r="FP30" s="33"/>
      <c r="FQ30" s="33"/>
      <c r="FR30" s="33"/>
      <c r="FS30" s="33"/>
      <c r="FT30" s="33"/>
      <c r="FU30" s="33"/>
      <c r="FV30" s="33"/>
      <c r="FW30" s="33"/>
      <c r="FX30" s="33"/>
      <c r="FY30" s="33"/>
      <c r="FZ30" s="33"/>
      <c r="GA30" s="33"/>
      <c r="GB30" s="33"/>
      <c r="GC30" s="33"/>
      <c r="GD30" s="33"/>
      <c r="GE30" s="33"/>
      <c r="GF30" s="33"/>
      <c r="GG30" s="33"/>
      <c r="GH30" s="33"/>
      <c r="GI30" s="33"/>
      <c r="GJ30" s="33"/>
      <c r="GK30" s="33"/>
      <c r="GL30" s="33"/>
      <c r="GM30" s="33"/>
      <c r="GN30" s="33"/>
      <c r="GO30" s="33"/>
      <c r="GP30" s="33"/>
      <c r="GQ30" s="33"/>
      <c r="GR30" s="33"/>
      <c r="GS30" s="33"/>
      <c r="GT30" s="33"/>
      <c r="GU30" s="33"/>
      <c r="GV30" s="33"/>
      <c r="GW30" s="33"/>
      <c r="GX30" s="33"/>
      <c r="GY30" s="33"/>
      <c r="GZ30" s="33"/>
      <c r="HA30" s="33"/>
      <c r="HB30" s="33"/>
      <c r="HC30" s="33"/>
      <c r="HD30" s="33"/>
      <c r="HE30" s="33"/>
      <c r="HF30" s="33"/>
      <c r="HG30" s="33"/>
      <c r="HH30" s="33"/>
      <c r="HI30" s="33"/>
      <c r="HJ30" s="33"/>
      <c r="HK30" s="33"/>
      <c r="HL30" s="33"/>
      <c r="HM30" s="33"/>
      <c r="HN30" s="33"/>
      <c r="HO30" s="33"/>
      <c r="HP30" s="33"/>
      <c r="HQ30" s="33"/>
      <c r="HR30" s="33"/>
      <c r="HS30" s="33"/>
      <c r="HT30" s="33"/>
      <c r="HU30" s="33"/>
      <c r="HV30" s="33"/>
      <c r="HW30" s="33"/>
      <c r="HX30" s="33"/>
      <c r="HY30" s="33"/>
      <c r="HZ30" s="33"/>
      <c r="IA30" s="33"/>
      <c r="IB30" s="33"/>
      <c r="IC30" s="33"/>
      <c r="ID30" s="33"/>
      <c r="IE30" s="33"/>
      <c r="IF30" s="33"/>
      <c r="IG30" s="33"/>
      <c r="IH30" s="33"/>
      <c r="II30" s="33"/>
      <c r="IJ30" s="33"/>
      <c r="IK30" s="33"/>
      <c r="IL30" s="33"/>
      <c r="IM30" s="33"/>
      <c r="IN30" s="33"/>
      <c r="IO30" s="33"/>
      <c r="IP30" s="33"/>
      <c r="IQ30" s="33"/>
      <c r="IR30" s="33"/>
      <c r="IS30" s="33"/>
      <c r="IT30" s="33"/>
      <c r="IU30" s="33"/>
      <c r="IV30" s="33"/>
    </row>
    <row r="31" spans="1:256" ht="26.4">
      <c r="B31" s="3895"/>
      <c r="C31" s="3187" t="s">
        <v>2023</v>
      </c>
      <c r="D31" s="3185">
        <v>4.9399999999999999E-2</v>
      </c>
      <c r="E31" s="3185">
        <v>-2.3E-3</v>
      </c>
      <c r="F31" s="3185">
        <v>1.0999999999999999E-2</v>
      </c>
      <c r="G31" s="3192">
        <v>-8.0000000000000002E-3</v>
      </c>
      <c r="H31" s="3186"/>
      <c r="I31" s="2555"/>
      <c r="J31" s="3895"/>
      <c r="K31" s="3187" t="s">
        <v>2023</v>
      </c>
      <c r="L31" s="3185">
        <v>4.2000000000000003E-2</v>
      </c>
      <c r="M31" s="3192">
        <v>-1.21E-2</v>
      </c>
      <c r="N31" s="2555"/>
      <c r="O31" s="3196" t="s">
        <v>2017</v>
      </c>
      <c r="P31" s="3187" t="s">
        <v>2024</v>
      </c>
      <c r="Q31" s="3185">
        <v>1</v>
      </c>
      <c r="R31" s="3185">
        <v>0</v>
      </c>
      <c r="S31" s="3192">
        <v>0</v>
      </c>
    </row>
    <row r="32" spans="1:256" ht="26.4">
      <c r="B32" s="3895"/>
      <c r="C32" s="3187" t="s">
        <v>2025</v>
      </c>
      <c r="D32" s="3185">
        <v>-2.3E-3</v>
      </c>
      <c r="E32" s="3185">
        <v>1.5E-3</v>
      </c>
      <c r="F32" s="3185">
        <v>9.1999999999999998E-3</v>
      </c>
      <c r="G32" s="3192">
        <v>4.4000000000000003E-3</v>
      </c>
      <c r="H32" s="3186"/>
      <c r="I32" s="2555"/>
      <c r="J32" s="3895"/>
      <c r="K32" s="3187" t="s">
        <v>2025</v>
      </c>
      <c r="L32" s="3185">
        <v>3.8E-3</v>
      </c>
      <c r="M32" s="3192">
        <v>1.9300000000000001E-2</v>
      </c>
      <c r="N32" s="2555"/>
      <c r="O32" s="3196" t="s">
        <v>2017</v>
      </c>
      <c r="P32" s="3187" t="s">
        <v>2026</v>
      </c>
      <c r="Q32" s="3185">
        <v>1</v>
      </c>
      <c r="R32" s="3185">
        <v>0.25</v>
      </c>
      <c r="S32" s="3192">
        <v>0</v>
      </c>
    </row>
    <row r="33" spans="2:19" ht="26.4">
      <c r="B33" s="3895"/>
      <c r="C33" s="3187" t="s">
        <v>2027</v>
      </c>
      <c r="D33" s="3185">
        <v>-1.9E-2</v>
      </c>
      <c r="E33" s="3185">
        <v>1E-4</v>
      </c>
      <c r="F33" s="3185">
        <v>-1E-3</v>
      </c>
      <c r="G33" s="3192">
        <v>1.1999999999999999E-3</v>
      </c>
      <c r="H33" s="3186"/>
      <c r="I33" s="2555"/>
      <c r="J33" s="3895"/>
      <c r="K33" s="3187" t="s">
        <v>2027</v>
      </c>
      <c r="L33" s="3185">
        <v>-2.7E-2</v>
      </c>
      <c r="M33" s="3192">
        <v>-8.5000000000000006E-3</v>
      </c>
      <c r="N33" s="2555"/>
      <c r="O33" s="3196" t="s">
        <v>2017</v>
      </c>
      <c r="P33" s="3187" t="s">
        <v>2028</v>
      </c>
      <c r="Q33" s="3185">
        <v>1</v>
      </c>
      <c r="R33" s="3185">
        <v>0.1</v>
      </c>
      <c r="S33" s="3192">
        <v>0</v>
      </c>
    </row>
    <row r="34" spans="2:19">
      <c r="B34" s="3895"/>
      <c r="C34" s="3187" t="s">
        <v>2029</v>
      </c>
      <c r="D34" s="3185">
        <v>-1.7000000000000001E-2</v>
      </c>
      <c r="E34" s="3185">
        <v>-2.3E-3</v>
      </c>
      <c r="F34" s="3185">
        <v>-9.7000000000000003E-3</v>
      </c>
      <c r="G34" s="3192">
        <v>-4.5999999999999999E-3</v>
      </c>
      <c r="H34" s="3186"/>
      <c r="I34" s="2555"/>
      <c r="J34" s="3895"/>
      <c r="K34" s="3187" t="s">
        <v>2029</v>
      </c>
      <c r="L34" s="3185">
        <v>-5.9299999999999999E-2</v>
      </c>
      <c r="M34" s="3192">
        <v>-4.5600000000000002E-2</v>
      </c>
      <c r="N34" s="2555"/>
      <c r="O34" s="3196" t="s">
        <v>2030</v>
      </c>
      <c r="P34" s="3187" t="s">
        <v>2031</v>
      </c>
      <c r="Q34" s="3185">
        <v>0</v>
      </c>
      <c r="R34" s="3185">
        <v>1</v>
      </c>
      <c r="S34" s="3192">
        <v>-0.18</v>
      </c>
    </row>
    <row r="35" spans="2:19" ht="26.4">
      <c r="B35" s="3895" t="s">
        <v>2032</v>
      </c>
      <c r="C35" s="3187" t="s">
        <v>2033</v>
      </c>
      <c r="D35" s="3185">
        <v>-1.8599999999999998E-2</v>
      </c>
      <c r="E35" s="3185">
        <v>1.1900000000000001E-2</v>
      </c>
      <c r="F35" s="3185">
        <v>1.8100000000000002E-2</v>
      </c>
      <c r="G35" s="3192">
        <v>3.0300000000000001E-2</v>
      </c>
      <c r="H35" s="2555"/>
      <c r="I35" s="2555"/>
      <c r="J35" s="3895" t="s">
        <v>2032</v>
      </c>
      <c r="K35" s="3187" t="s">
        <v>2033</v>
      </c>
      <c r="L35" s="3185">
        <v>3.1199999999999999E-2</v>
      </c>
      <c r="M35" s="3192">
        <v>8.3599999999999994E-2</v>
      </c>
      <c r="N35" s="2555"/>
      <c r="O35" s="3196" t="s">
        <v>2030</v>
      </c>
      <c r="P35" s="3187" t="s">
        <v>2034</v>
      </c>
      <c r="Q35" s="3185">
        <v>0</v>
      </c>
      <c r="R35" s="3185">
        <v>1</v>
      </c>
      <c r="S35" s="3192">
        <v>-0.23</v>
      </c>
    </row>
    <row r="36" spans="2:19" ht="39.6">
      <c r="B36" s="3895"/>
      <c r="C36" s="3187" t="s">
        <v>2035</v>
      </c>
      <c r="D36" s="3185">
        <v>1.55E-2</v>
      </c>
      <c r="E36" s="3185">
        <v>1.47E-2</v>
      </c>
      <c r="F36" s="3185">
        <v>3.1399999999999997E-2</v>
      </c>
      <c r="G36" s="3192">
        <v>3.0099999999999998E-2</v>
      </c>
      <c r="H36" s="3186"/>
      <c r="I36" s="2555"/>
      <c r="J36" s="3895"/>
      <c r="K36" s="3187" t="s">
        <v>2035</v>
      </c>
      <c r="L36" s="3185">
        <v>4.8300000000000003E-2</v>
      </c>
      <c r="M36" s="3192">
        <v>8.5400000000000004E-2</v>
      </c>
      <c r="N36" s="2555"/>
      <c r="O36" s="3196" t="s">
        <v>2030</v>
      </c>
      <c r="P36" s="3187" t="s">
        <v>2036</v>
      </c>
      <c r="Q36" s="3185">
        <v>0</v>
      </c>
      <c r="R36" s="3185">
        <v>2.5</v>
      </c>
      <c r="S36" s="3192">
        <v>-0.23</v>
      </c>
    </row>
    <row r="37" spans="2:19" ht="52.8">
      <c r="B37" s="3895"/>
      <c r="C37" s="3187" t="s">
        <v>2037</v>
      </c>
      <c r="D37" s="3185">
        <v>7.3000000000000001E-3</v>
      </c>
      <c r="E37" s="3185">
        <v>0.01</v>
      </c>
      <c r="F37" s="3185">
        <v>2.5000000000000001E-2</v>
      </c>
      <c r="G37" s="3192">
        <v>1.4800000000000001E-2</v>
      </c>
      <c r="H37" s="3186"/>
      <c r="I37" s="2555"/>
      <c r="J37" s="3895"/>
      <c r="K37" s="3187" t="s">
        <v>2037</v>
      </c>
      <c r="L37" s="3185">
        <v>4.1300000000000003E-2</v>
      </c>
      <c r="M37" s="3192">
        <v>4.2000000000000003E-2</v>
      </c>
      <c r="N37" s="2555"/>
      <c r="O37" s="3196" t="s">
        <v>2030</v>
      </c>
      <c r="P37" s="3187" t="s">
        <v>2038</v>
      </c>
      <c r="Q37" s="3185">
        <v>0</v>
      </c>
      <c r="R37" s="3185">
        <v>1.2</v>
      </c>
      <c r="S37" s="3192">
        <v>-0.23</v>
      </c>
    </row>
    <row r="38" spans="2:19" ht="40.200000000000003" thickBot="1">
      <c r="B38" s="3895"/>
      <c r="C38" s="3187" t="s">
        <v>2039</v>
      </c>
      <c r="D38" s="3185">
        <v>3.8E-3</v>
      </c>
      <c r="E38" s="3185">
        <v>-6.4000000000000003E-3</v>
      </c>
      <c r="F38" s="3185">
        <v>4.1000000000000003E-3</v>
      </c>
      <c r="G38" s="3192">
        <v>-1.5100000000000001E-2</v>
      </c>
      <c r="H38" s="3186"/>
      <c r="I38" s="24"/>
      <c r="J38" s="3895"/>
      <c r="K38" s="3187" t="s">
        <v>2039</v>
      </c>
      <c r="L38" s="3185">
        <v>5.8200000000000002E-2</v>
      </c>
      <c r="M38" s="3192">
        <v>5.4999999999999997E-3</v>
      </c>
      <c r="N38" s="24"/>
      <c r="O38" s="3197" t="s">
        <v>2030</v>
      </c>
      <c r="P38" s="3193" t="s">
        <v>2040</v>
      </c>
      <c r="Q38" s="3194">
        <v>0</v>
      </c>
      <c r="R38" s="3194">
        <v>2.7</v>
      </c>
      <c r="S38" s="3195">
        <v>-0.23</v>
      </c>
    </row>
    <row r="39" spans="2:19" ht="27.6" thickTop="1" thickBot="1">
      <c r="B39" s="3895"/>
      <c r="C39" s="3187" t="s">
        <v>2041</v>
      </c>
      <c r="D39" s="3185">
        <v>-2.3300000000000001E-2</v>
      </c>
      <c r="E39" s="3185">
        <v>-7.1000000000000004E-3</v>
      </c>
      <c r="F39" s="3185">
        <v>-1.32E-2</v>
      </c>
      <c r="G39" s="3192">
        <v>-1.32E-2</v>
      </c>
      <c r="H39" s="3186"/>
      <c r="I39" s="2555"/>
      <c r="J39" s="3895"/>
      <c r="K39" s="3187" t="s">
        <v>2041</v>
      </c>
      <c r="L39" s="3185">
        <v>-5.04E-2</v>
      </c>
      <c r="M39" s="3192">
        <v>-5.0500000000000003E-2</v>
      </c>
      <c r="N39" s="2555"/>
      <c r="O39" s="24"/>
      <c r="P39" s="24"/>
      <c r="Q39" s="24"/>
      <c r="R39" s="24"/>
      <c r="S39" s="24"/>
    </row>
    <row r="40" spans="2:19" ht="40.799999999999997" thickTop="1" thickBot="1">
      <c r="B40" s="3895"/>
      <c r="C40" s="3187" t="s">
        <v>2042</v>
      </c>
      <c r="D40" s="3185">
        <v>-1.6999999999999999E-3</v>
      </c>
      <c r="E40" s="3185">
        <v>-6.4999999999999997E-3</v>
      </c>
      <c r="F40" s="3185">
        <v>-5.4000000000000003E-3</v>
      </c>
      <c r="G40" s="3192">
        <v>-1.6400000000000001E-2</v>
      </c>
      <c r="H40" s="3186"/>
      <c r="I40" s="2555"/>
      <c r="J40" s="3895"/>
      <c r="K40" s="3187" t="s">
        <v>2042</v>
      </c>
      <c r="L40" s="3185">
        <v>-4.3400000000000001E-2</v>
      </c>
      <c r="M40" s="3192">
        <v>-5.79E-2</v>
      </c>
      <c r="N40" s="2555"/>
      <c r="O40" s="3203" t="s">
        <v>2005</v>
      </c>
      <c r="P40" s="3204" t="s">
        <v>2006</v>
      </c>
      <c r="Q40" s="3205" t="s">
        <v>2043</v>
      </c>
      <c r="R40" s="2555"/>
      <c r="S40" s="2555"/>
    </row>
    <row r="41" spans="2:19" ht="27" thickTop="1">
      <c r="B41" s="3895"/>
      <c r="C41" s="3187" t="s">
        <v>2044</v>
      </c>
      <c r="D41" s="3185">
        <v>2.2599999999999999E-2</v>
      </c>
      <c r="E41" s="3185">
        <v>-7.6E-3</v>
      </c>
      <c r="F41" s="3185">
        <v>-7.4999999999999997E-3</v>
      </c>
      <c r="G41" s="3192">
        <v>-1.72E-2</v>
      </c>
      <c r="H41" s="3186"/>
      <c r="I41" s="2555"/>
      <c r="J41" s="3895"/>
      <c r="K41" s="3187" t="s">
        <v>2044</v>
      </c>
      <c r="L41" s="3185">
        <v>-3.27E-2</v>
      </c>
      <c r="M41" s="3192">
        <v>-6.0600000000000001E-2</v>
      </c>
      <c r="N41" s="2555"/>
      <c r="O41" s="3198" t="s">
        <v>2017</v>
      </c>
      <c r="P41" s="3199" t="s">
        <v>2018</v>
      </c>
      <c r="Q41" s="3202">
        <v>0.7</v>
      </c>
      <c r="R41" s="2555"/>
      <c r="S41" s="2555"/>
    </row>
    <row r="42" spans="2:19" ht="26.4">
      <c r="B42" s="3895"/>
      <c r="C42" s="3187" t="s">
        <v>2045</v>
      </c>
      <c r="D42" s="3185">
        <v>-2.5499999999999998E-2</v>
      </c>
      <c r="E42" s="3185">
        <v>-7.1000000000000004E-3</v>
      </c>
      <c r="F42" s="3185">
        <v>-0.02</v>
      </c>
      <c r="G42" s="3192">
        <v>-1.34E-2</v>
      </c>
      <c r="H42" s="3186"/>
      <c r="I42" s="2555"/>
      <c r="J42" s="3895"/>
      <c r="K42" s="3187" t="s">
        <v>2045</v>
      </c>
      <c r="L42" s="3185">
        <v>-4.6800000000000001E-2</v>
      </c>
      <c r="M42" s="3192">
        <v>-4.99E-2</v>
      </c>
      <c r="N42" s="2555"/>
      <c r="O42" s="3196" t="s">
        <v>2017</v>
      </c>
      <c r="P42" s="3187" t="s">
        <v>2046</v>
      </c>
      <c r="Q42" s="3200">
        <v>1.05</v>
      </c>
      <c r="R42" s="2555"/>
      <c r="S42" s="2555"/>
    </row>
    <row r="43" spans="2:19" ht="26.4">
      <c r="B43" s="3895"/>
      <c r="C43" s="3187" t="s">
        <v>2047</v>
      </c>
      <c r="D43" s="3185">
        <v>6.1999999999999998E-3</v>
      </c>
      <c r="E43" s="3185">
        <v>-6.7000000000000002E-3</v>
      </c>
      <c r="F43" s="3185">
        <v>-6.4999999999999997E-3</v>
      </c>
      <c r="G43" s="3192">
        <v>-1.5599999999999999E-2</v>
      </c>
      <c r="H43" s="3186"/>
      <c r="I43" s="2555"/>
      <c r="J43" s="3895"/>
      <c r="K43" s="3187" t="s">
        <v>2047</v>
      </c>
      <c r="L43" s="3185">
        <v>-3.2599999999999997E-2</v>
      </c>
      <c r="M43" s="3192">
        <v>-5.4800000000000001E-2</v>
      </c>
      <c r="N43" s="2555"/>
      <c r="O43" s="3196" t="s">
        <v>2017</v>
      </c>
      <c r="P43" s="3187" t="s">
        <v>2048</v>
      </c>
      <c r="Q43" s="3200">
        <v>1.05</v>
      </c>
      <c r="R43" s="2555"/>
      <c r="S43" s="2555"/>
    </row>
    <row r="44" spans="2:19" ht="39.6">
      <c r="B44" s="3888" t="s">
        <v>2049</v>
      </c>
      <c r="C44" s="3187" t="s">
        <v>2050</v>
      </c>
      <c r="D44" s="3185">
        <v>-1.67E-2</v>
      </c>
      <c r="E44" s="3185">
        <v>-7.9000000000000008E-3</v>
      </c>
      <c r="F44" s="3185">
        <v>-1.14E-2</v>
      </c>
      <c r="G44" s="3192">
        <v>-3.3E-3</v>
      </c>
      <c r="H44" s="2555"/>
      <c r="I44" s="2555"/>
      <c r="J44" s="3888" t="s">
        <v>2049</v>
      </c>
      <c r="K44" s="3187" t="s">
        <v>2050</v>
      </c>
      <c r="L44" s="3185">
        <v>-4.2599999999999999E-2</v>
      </c>
      <c r="M44" s="3192">
        <v>-3.9399999999999998E-2</v>
      </c>
      <c r="N44" s="2555"/>
      <c r="O44" s="3196" t="s">
        <v>2017</v>
      </c>
      <c r="P44" s="3187" t="s">
        <v>2051</v>
      </c>
      <c r="Q44" s="3200">
        <v>1.25</v>
      </c>
      <c r="R44" s="2555"/>
      <c r="S44" s="2555"/>
    </row>
    <row r="45" spans="2:19" ht="26.4">
      <c r="B45" s="3888"/>
      <c r="C45" s="3187" t="s">
        <v>2052</v>
      </c>
      <c r="D45" s="3185">
        <v>-1.7299999999999999E-2</v>
      </c>
      <c r="E45" s="3185">
        <v>-8.0000000000000002E-3</v>
      </c>
      <c r="F45" s="3185">
        <v>-6.8999999999999999E-3</v>
      </c>
      <c r="G45" s="3192">
        <v>-1.0999999999999999E-2</v>
      </c>
      <c r="H45" s="3186"/>
      <c r="I45" s="2555"/>
      <c r="J45" s="3888"/>
      <c r="K45" s="3187" t="s">
        <v>2052</v>
      </c>
      <c r="L45" s="3185">
        <v>-2.8400000000000002E-2</v>
      </c>
      <c r="M45" s="3192">
        <v>-2.1000000000000001E-2</v>
      </c>
      <c r="N45" s="2555"/>
      <c r="O45" s="3196" t="s">
        <v>2017</v>
      </c>
      <c r="P45" s="3187" t="s">
        <v>2053</v>
      </c>
      <c r="Q45" s="3200">
        <v>1</v>
      </c>
      <c r="R45" s="2555"/>
      <c r="S45" s="2555"/>
    </row>
    <row r="46" spans="2:19" ht="52.8">
      <c r="B46" s="3888"/>
      <c r="C46" s="3187" t="s">
        <v>2054</v>
      </c>
      <c r="D46" s="3185">
        <v>-2.0999999999999999E-3</v>
      </c>
      <c r="E46" s="3185">
        <v>-5.4999999999999997E-3</v>
      </c>
      <c r="F46" s="3185">
        <v>-8.9999999999999993E-3</v>
      </c>
      <c r="G46" s="3192">
        <v>-1.43E-2</v>
      </c>
      <c r="H46" s="3186"/>
      <c r="I46" s="2555"/>
      <c r="J46" s="3888"/>
      <c r="K46" s="3187" t="s">
        <v>2054</v>
      </c>
      <c r="L46" s="3185">
        <v>-2.06E-2</v>
      </c>
      <c r="M46" s="3192">
        <v>-5.3499999999999999E-2</v>
      </c>
      <c r="N46" s="2555"/>
      <c r="O46" s="3196" t="s">
        <v>2017</v>
      </c>
      <c r="P46" s="3187" t="s">
        <v>2055</v>
      </c>
      <c r="Q46" s="3200">
        <v>0.9</v>
      </c>
      <c r="R46" s="2555"/>
      <c r="S46" s="2555"/>
    </row>
    <row r="47" spans="2:19" ht="92.4">
      <c r="B47" s="3888"/>
      <c r="C47" s="3187" t="s">
        <v>2056</v>
      </c>
      <c r="D47" s="3185">
        <v>8.0000000000000004E-4</v>
      </c>
      <c r="E47" s="3185">
        <v>1.0500000000000001E-2</v>
      </c>
      <c r="F47" s="3185">
        <v>2.1100000000000001E-2</v>
      </c>
      <c r="G47" s="3192">
        <v>2.6800000000000001E-2</v>
      </c>
      <c r="H47" s="3186"/>
      <c r="I47" s="2555"/>
      <c r="J47" s="3888"/>
      <c r="K47" s="3187" t="s">
        <v>2056</v>
      </c>
      <c r="L47" s="3185">
        <v>7.6999999999999999E-2</v>
      </c>
      <c r="M47" s="3192">
        <v>0.1205</v>
      </c>
      <c r="N47" s="2555"/>
      <c r="O47" s="3196" t="s">
        <v>2017</v>
      </c>
      <c r="P47" s="3187" t="s">
        <v>2057</v>
      </c>
      <c r="Q47" s="3200">
        <v>0.7</v>
      </c>
      <c r="R47" s="2555"/>
      <c r="S47" s="2555"/>
    </row>
    <row r="48" spans="2:19" ht="66">
      <c r="B48" s="3888"/>
      <c r="C48" s="3187" t="s">
        <v>2058</v>
      </c>
      <c r="D48" s="3185">
        <v>-2.7000000000000001E-3</v>
      </c>
      <c r="E48" s="3185">
        <v>6.9999999999999999E-4</v>
      </c>
      <c r="F48" s="3185">
        <v>4.1999999999999997E-3</v>
      </c>
      <c r="G48" s="3192">
        <v>-5.8999999999999999E-3</v>
      </c>
      <c r="H48" s="3186"/>
      <c r="I48" s="2555"/>
      <c r="J48" s="3888"/>
      <c r="K48" s="3187" t="s">
        <v>2058</v>
      </c>
      <c r="L48" s="3185">
        <v>-2.2000000000000001E-3</v>
      </c>
      <c r="M48" s="3192">
        <v>-1.34E-2</v>
      </c>
      <c r="N48" s="2555"/>
      <c r="O48" s="3196" t="s">
        <v>2017</v>
      </c>
      <c r="P48" s="3187" t="s">
        <v>2059</v>
      </c>
      <c r="Q48" s="3200">
        <v>1.1000000000000001</v>
      </c>
      <c r="R48" s="2555"/>
      <c r="S48" s="2555"/>
    </row>
    <row r="49" spans="2:19" ht="39.6">
      <c r="B49" s="3888"/>
      <c r="C49" s="3187" t="s">
        <v>2060</v>
      </c>
      <c r="D49" s="3185">
        <v>5.0000000000000001E-3</v>
      </c>
      <c r="E49" s="3185">
        <v>1.5E-3</v>
      </c>
      <c r="F49" s="3185">
        <v>0</v>
      </c>
      <c r="G49" s="3192">
        <v>2.8999999999999998E-3</v>
      </c>
      <c r="H49" s="3186"/>
      <c r="I49" s="2555"/>
      <c r="J49" s="3888"/>
      <c r="K49" s="3187" t="s">
        <v>2060</v>
      </c>
      <c r="L49" s="3185">
        <v>4.3E-3</v>
      </c>
      <c r="M49" s="3192">
        <v>4.7999999999999996E-3</v>
      </c>
      <c r="N49" s="2555"/>
      <c r="O49" s="3196" t="s">
        <v>2017</v>
      </c>
      <c r="P49" s="3187" t="s">
        <v>2061</v>
      </c>
      <c r="Q49" s="3200">
        <v>0.9</v>
      </c>
      <c r="R49" s="2555"/>
      <c r="S49" s="2555"/>
    </row>
    <row r="50" spans="2:19">
      <c r="B50" s="3888" t="s">
        <v>2062</v>
      </c>
      <c r="C50" s="3187" t="s">
        <v>2063</v>
      </c>
      <c r="D50" s="3185">
        <v>2.23E-2</v>
      </c>
      <c r="E50" s="3185">
        <v>1.9E-3</v>
      </c>
      <c r="F50" s="3185">
        <v>2.3999999999999998E-3</v>
      </c>
      <c r="G50" s="3192">
        <v>-2.3999999999999998E-3</v>
      </c>
      <c r="H50" s="2555"/>
      <c r="I50" s="2555"/>
      <c r="J50" s="3888" t="s">
        <v>2062</v>
      </c>
      <c r="K50" s="3187" t="s">
        <v>2063</v>
      </c>
      <c r="L50" s="3185">
        <v>9.4500000000000001E-2</v>
      </c>
      <c r="M50" s="3192">
        <v>9.7999999999999997E-3</v>
      </c>
      <c r="N50" s="2555"/>
      <c r="O50" s="3196" t="s">
        <v>2030</v>
      </c>
      <c r="P50" s="3187" t="s">
        <v>2031</v>
      </c>
      <c r="Q50" s="3200">
        <v>0.5</v>
      </c>
      <c r="R50" s="2555"/>
      <c r="S50" s="2555"/>
    </row>
    <row r="51" spans="2:19" ht="13.8" thickBot="1">
      <c r="B51" s="3888"/>
      <c r="C51" s="3187" t="s">
        <v>2064</v>
      </c>
      <c r="D51" s="3185">
        <v>5.0000000000000001E-4</v>
      </c>
      <c r="E51" s="3185">
        <v>1E-4</v>
      </c>
      <c r="F51" s="3185">
        <v>-2.0000000000000001E-4</v>
      </c>
      <c r="G51" s="3192">
        <v>-1.8E-3</v>
      </c>
      <c r="H51" s="3186"/>
      <c r="I51" s="2555"/>
      <c r="J51" s="3888"/>
      <c r="K51" s="3187" t="s">
        <v>2064</v>
      </c>
      <c r="L51" s="3185">
        <v>2.23E-2</v>
      </c>
      <c r="M51" s="3192">
        <v>4.1000000000000003E-3</v>
      </c>
      <c r="N51" s="2555"/>
      <c r="O51" s="3197" t="s">
        <v>2030</v>
      </c>
      <c r="P51" s="3193" t="s">
        <v>2065</v>
      </c>
      <c r="Q51" s="3201">
        <v>0</v>
      </c>
      <c r="R51" s="2555"/>
      <c r="S51" s="2555"/>
    </row>
    <row r="52" spans="2:19" ht="13.8" thickTop="1">
      <c r="B52" s="3888"/>
      <c r="C52" s="3187" t="s">
        <v>2066</v>
      </c>
      <c r="D52" s="3185">
        <v>-9.7999999999999997E-3</v>
      </c>
      <c r="E52" s="3185">
        <v>-4.0000000000000002E-4</v>
      </c>
      <c r="F52" s="3185">
        <v>5.9999999999999995E-4</v>
      </c>
      <c r="G52" s="3192">
        <v>2E-3</v>
      </c>
      <c r="H52" s="3186"/>
      <c r="I52" s="2555"/>
      <c r="J52" s="3888"/>
      <c r="K52" s="3187" t="s">
        <v>2066</v>
      </c>
      <c r="L52" s="3185">
        <v>-2.41E-2</v>
      </c>
      <c r="M52" s="3192">
        <v>2.2000000000000001E-3</v>
      </c>
      <c r="N52" s="2555"/>
      <c r="O52" s="2555"/>
      <c r="P52" s="2555"/>
      <c r="Q52" s="2555"/>
      <c r="R52" s="2555"/>
      <c r="S52" s="2555"/>
    </row>
    <row r="53" spans="2:19" ht="13.8" thickBot="1">
      <c r="B53" s="3889"/>
      <c r="C53" s="3193" t="s">
        <v>2067</v>
      </c>
      <c r="D53" s="3194">
        <v>-1.44E-2</v>
      </c>
      <c r="E53" s="3194">
        <v>-8.9999999999999998E-4</v>
      </c>
      <c r="F53" s="3194">
        <v>-4.4999999999999997E-3</v>
      </c>
      <c r="G53" s="3195">
        <v>1.6000000000000001E-3</v>
      </c>
      <c r="H53" s="3186"/>
      <c r="I53" s="2555"/>
      <c r="J53" s="3889"/>
      <c r="K53" s="3193" t="s">
        <v>2067</v>
      </c>
      <c r="L53" s="3194">
        <v>-3.8800000000000001E-2</v>
      </c>
      <c r="M53" s="3195">
        <v>-1.8100000000000002E-2</v>
      </c>
      <c r="N53" s="2555"/>
      <c r="O53" s="2555"/>
      <c r="P53" s="2555"/>
      <c r="Q53" s="2555"/>
      <c r="R53" s="2555"/>
      <c r="S53" s="2555"/>
    </row>
    <row r="54" spans="2:19" ht="13.5" customHeight="1" thickTop="1"/>
    <row r="55" spans="2:19" ht="13.5" customHeight="1"/>
    <row r="56" spans="2:19" ht="13.5" customHeight="1"/>
    <row r="57" spans="2:19" ht="13.5" customHeight="1"/>
    <row r="58" spans="2:19" ht="13.5" customHeight="1"/>
    <row r="59" spans="2:19" ht="13.5" customHeight="1"/>
    <row r="60" spans="2:19" ht="13.5" customHeight="1"/>
    <row r="61" spans="2:19" ht="13.5" customHeight="1"/>
    <row r="62" spans="2:19" ht="13.5" customHeight="1"/>
    <row r="63" spans="2:19" ht="13.5" customHeight="1"/>
    <row r="64" spans="2:19"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sheetData>
  <sheetProtection sheet="1" objects="1" scenarios="1"/>
  <mergeCells count="25">
    <mergeCell ref="B44:B49"/>
    <mergeCell ref="J44:J49"/>
    <mergeCell ref="B50:B53"/>
    <mergeCell ref="J50:J53"/>
    <mergeCell ref="S26:S28"/>
    <mergeCell ref="B27:C28"/>
    <mergeCell ref="D27:E27"/>
    <mergeCell ref="F27:G27"/>
    <mergeCell ref="J27:K28"/>
    <mergeCell ref="B30:B34"/>
    <mergeCell ref="J30:J34"/>
    <mergeCell ref="B35:B43"/>
    <mergeCell ref="L27:L28"/>
    <mergeCell ref="O26:O28"/>
    <mergeCell ref="J35:J43"/>
    <mergeCell ref="Q26:Q28"/>
    <mergeCell ref="R26:R28"/>
    <mergeCell ref="A1:B1"/>
    <mergeCell ref="A7:B7"/>
    <mergeCell ref="A8:B8"/>
    <mergeCell ref="A9:B9"/>
    <mergeCell ref="A10:B10"/>
    <mergeCell ref="A11:B11"/>
    <mergeCell ref="M27:M28"/>
    <mergeCell ref="P26:P28"/>
  </mergeCells>
  <hyperlinks>
    <hyperlink ref="A10" location="Contents!A1" display="Contents"/>
    <hyperlink ref="A10:B10" location="Contents!A1" tooltip="Contents page" display="Contents"/>
    <hyperlink ref="A11:B11" r:id="rId1" tooltip="Unit M4: Forecasting &amp; Uncertainty" display="WebTAG Unit M 4"/>
    <hyperlink ref="E9" r:id="rId2"/>
  </hyperlinks>
  <pageMargins left="0.75" right="0.75" top="1" bottom="1" header="0.5" footer="0.5"/>
  <pageSetup paperSize="8" scale="79" fitToWidth="2" fitToHeight="0" orientation="landscape" r:id="rId3"/>
  <headerFooter alignWithMargins="0"/>
  <colBreaks count="1" manualBreakCount="1">
    <brk id="19" max="1048575" man="1"/>
  </colBreaks>
  <drawing r:id="rId4"/>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tabColor rgb="FF008000"/>
  </sheetPr>
  <dimension ref="A1:IV121"/>
  <sheetViews>
    <sheetView showGridLines="0" topLeftCell="A3" zoomScale="70" zoomScaleNormal="70" workbookViewId="0">
      <selection activeCell="A7" sqref="A7:B7"/>
    </sheetView>
  </sheetViews>
  <sheetFormatPr defaultColWidth="12.88671875" defaultRowHeight="13.2"/>
  <cols>
    <col min="1" max="1" width="12.88671875" style="3313" customWidth="1"/>
    <col min="2" max="2" width="49.33203125" style="3313" customWidth="1"/>
    <col min="3" max="3" width="18.44140625" style="3313" customWidth="1"/>
    <col min="4" max="4" width="16.109375" style="3313" customWidth="1"/>
    <col min="5" max="5" width="15.109375" style="3313" customWidth="1"/>
    <col min="6" max="6" width="17.6640625" style="3313" customWidth="1"/>
    <col min="7" max="7" width="16.109375" style="3313" customWidth="1"/>
    <col min="8" max="8" width="12.88671875" style="3313" customWidth="1"/>
    <col min="9" max="9" width="14.44140625" style="3313" customWidth="1"/>
    <col min="10" max="10" width="51.109375" style="3313" bestFit="1" customWidth="1"/>
    <col min="11" max="11" width="18.44140625" style="3313" customWidth="1"/>
    <col min="12" max="15" width="12.88671875" style="3313"/>
    <col min="16" max="16" width="18" style="3313" customWidth="1"/>
    <col min="17" max="17" width="42.5546875" style="3313" bestFit="1" customWidth="1"/>
    <col min="18" max="18" width="44.33203125" style="3313" bestFit="1" customWidth="1"/>
    <col min="19" max="19" width="36.88671875" style="3313" bestFit="1" customWidth="1"/>
    <col min="20" max="16384" width="12.88671875" style="3313"/>
  </cols>
  <sheetData>
    <row r="1" spans="1:38" ht="54.9" customHeight="1">
      <c r="A1" s="3569"/>
      <c r="B1" s="3569"/>
      <c r="C1" s="112"/>
    </row>
    <row r="2" spans="1:38" ht="5.0999999999999996" customHeight="1">
      <c r="C2" s="111"/>
    </row>
    <row r="3" spans="1:38" s="20" customFormat="1" ht="20.100000000000001" customHeight="1">
      <c r="A3" s="83" t="s">
        <v>2210</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2490</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318" customFormat="1" ht="9.9" customHeight="1" thickTop="1" thickBot="1">
      <c r="B5" s="85"/>
      <c r="C5" s="85"/>
      <c r="D5" s="86"/>
      <c r="E5" s="85"/>
      <c r="F5" s="85"/>
      <c r="G5" s="86"/>
      <c r="H5" s="85"/>
      <c r="I5" s="86"/>
      <c r="J5" s="86"/>
      <c r="K5" s="86"/>
      <c r="L5" s="86"/>
      <c r="M5" s="86"/>
      <c r="N5" s="86"/>
      <c r="O5" s="86"/>
      <c r="P5" s="86"/>
      <c r="Q5" s="86"/>
      <c r="R5" s="86"/>
      <c r="S5" s="86"/>
      <c r="W5" s="3319"/>
      <c r="X5" s="3319"/>
      <c r="Y5" s="3319"/>
      <c r="Z5" s="3319"/>
      <c r="AA5" s="3314"/>
      <c r="AB5" s="3319"/>
      <c r="AL5" s="87"/>
    </row>
    <row r="6" spans="1:38" s="3318" customFormat="1" ht="13.5" customHeight="1" thickTop="1" thickBot="1">
      <c r="A6" s="169" t="s">
        <v>10</v>
      </c>
      <c r="B6" s="169"/>
      <c r="E6" s="3321" t="s">
        <v>255</v>
      </c>
      <c r="F6" s="175"/>
      <c r="G6" s="175"/>
      <c r="H6" s="175"/>
      <c r="I6" s="175"/>
      <c r="J6" s="175"/>
      <c r="K6" s="175"/>
      <c r="L6" s="175"/>
      <c r="M6" s="175"/>
      <c r="N6" s="175"/>
      <c r="O6" s="175"/>
      <c r="P6" s="175"/>
      <c r="Q6" s="175"/>
      <c r="R6" s="175"/>
      <c r="S6" s="176"/>
      <c r="W6" s="3319"/>
      <c r="X6" s="3319"/>
      <c r="Y6" s="3319"/>
      <c r="Z6" s="3319"/>
      <c r="AA6" s="3314"/>
      <c r="AB6" s="3319"/>
      <c r="AL6" s="87"/>
    </row>
    <row r="7" spans="1:38" s="331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3319"/>
      <c r="X7" s="3319"/>
      <c r="Y7" s="3319"/>
      <c r="Z7" s="3319"/>
      <c r="AA7" s="3314"/>
      <c r="AB7" s="3319"/>
      <c r="AL7" s="87"/>
    </row>
    <row r="8" spans="1:38" s="3318" customFormat="1" ht="13.5" customHeight="1">
      <c r="A8" s="3630">
        <f>Audit!C12</f>
        <v>43586</v>
      </c>
      <c r="B8" s="3631"/>
      <c r="E8" s="2560" t="s">
        <v>2205</v>
      </c>
      <c r="F8"/>
      <c r="G8" s="27"/>
      <c r="H8" s="27"/>
      <c r="I8" s="27"/>
      <c r="J8" s="27"/>
      <c r="K8" s="27"/>
      <c r="L8" s="27"/>
      <c r="M8" s="27"/>
      <c r="N8" s="27"/>
      <c r="O8" s="27"/>
      <c r="P8" s="27"/>
      <c r="Q8" s="27"/>
      <c r="R8" s="27"/>
      <c r="S8" s="55"/>
      <c r="W8" s="3319"/>
      <c r="X8" s="3319"/>
      <c r="Y8" s="3319"/>
      <c r="Z8" s="3319"/>
      <c r="AA8" s="3314"/>
      <c r="AB8" s="3319"/>
      <c r="AL8" s="87"/>
    </row>
    <row r="9" spans="1:38" s="3318" customFormat="1" ht="13.5" customHeight="1" thickBot="1">
      <c r="A9" s="3642" t="s">
        <v>1149</v>
      </c>
      <c r="B9" s="3643"/>
      <c r="E9" s="3336" t="s">
        <v>2206</v>
      </c>
      <c r="F9" s="3334"/>
      <c r="G9" s="3335"/>
      <c r="H9" s="3335"/>
      <c r="I9" s="27"/>
      <c r="J9" s="27"/>
      <c r="K9" s="27"/>
      <c r="L9" s="27"/>
      <c r="M9" s="27"/>
      <c r="N9" s="27"/>
      <c r="O9" s="27"/>
      <c r="P9" s="27"/>
      <c r="Q9" s="27"/>
      <c r="R9" s="27"/>
      <c r="S9" s="55"/>
      <c r="W9" s="3319"/>
      <c r="X9" s="3319"/>
      <c r="Y9" s="3319"/>
      <c r="Z9" s="3319"/>
      <c r="AA9" s="3314"/>
      <c r="AB9" s="3319"/>
      <c r="AL9" s="87"/>
    </row>
    <row r="10" spans="1:38" s="3318" customFormat="1" ht="13.5" customHeight="1" thickBot="1">
      <c r="A10" s="3570" t="s">
        <v>1306</v>
      </c>
      <c r="B10" s="3610"/>
      <c r="E10" s="2528" t="s">
        <v>2002</v>
      </c>
      <c r="F10"/>
      <c r="I10" s="3319"/>
      <c r="J10" s="3319"/>
      <c r="K10" s="3319"/>
      <c r="L10" s="3319"/>
      <c r="M10" s="3319"/>
      <c r="N10" s="3319"/>
      <c r="O10" s="3319"/>
      <c r="P10" s="3319"/>
      <c r="Q10" s="3319"/>
      <c r="R10" s="3319"/>
      <c r="S10" s="147"/>
      <c r="W10" s="3319"/>
      <c r="X10" s="3319"/>
      <c r="Y10" s="3319"/>
      <c r="Z10" s="3319"/>
      <c r="AA10" s="3314"/>
      <c r="AB10" s="3319"/>
      <c r="AL10" s="87"/>
    </row>
    <row r="11" spans="1:38" s="3318" customFormat="1" ht="13.5" customHeight="1" thickBot="1">
      <c r="A11" s="3570" t="s">
        <v>2211</v>
      </c>
      <c r="B11" s="3581"/>
      <c r="E11" s="2560"/>
      <c r="F11"/>
      <c r="I11" s="3317"/>
      <c r="J11" s="3317"/>
      <c r="K11" s="3317"/>
      <c r="L11" s="3317"/>
      <c r="M11" s="3317"/>
      <c r="N11" s="3317"/>
      <c r="O11" s="3317"/>
      <c r="P11" s="3317"/>
      <c r="Q11" s="3317"/>
      <c r="R11" s="3317"/>
      <c r="S11" s="107"/>
      <c r="W11" s="3319"/>
      <c r="X11" s="3319"/>
      <c r="Y11" s="3319"/>
      <c r="Z11" s="3319"/>
      <c r="AA11" s="3314"/>
      <c r="AB11" s="3319"/>
      <c r="AL11" s="87"/>
    </row>
    <row r="12" spans="1:38" s="3318" customFormat="1" ht="13.5" customHeight="1">
      <c r="A12" s="3322"/>
      <c r="B12" s="3322"/>
      <c r="E12" s="2560"/>
      <c r="F12"/>
      <c r="I12" s="3313"/>
      <c r="J12" s="27"/>
      <c r="K12" s="27"/>
      <c r="L12" s="27"/>
      <c r="M12" s="27"/>
      <c r="N12" s="27"/>
      <c r="O12" s="27"/>
      <c r="P12" s="27"/>
      <c r="Q12" s="3317"/>
      <c r="R12" s="3317"/>
      <c r="S12" s="107"/>
      <c r="W12" s="3319"/>
      <c r="X12" s="3319"/>
      <c r="Y12" s="3319"/>
      <c r="Z12" s="3319"/>
      <c r="AA12" s="3314"/>
      <c r="AB12" s="3319"/>
      <c r="AL12" s="87"/>
    </row>
    <row r="13" spans="1:38" s="3318" customFormat="1" ht="13.5" customHeight="1">
      <c r="A13" s="3315" t="s">
        <v>252</v>
      </c>
      <c r="B13" s="194"/>
      <c r="E13" s="113"/>
      <c r="F13" s="3313"/>
      <c r="G13" s="3313"/>
      <c r="I13" s="3313"/>
      <c r="J13" s="27"/>
      <c r="K13" s="27"/>
      <c r="L13" s="27"/>
      <c r="M13" s="27"/>
      <c r="N13" s="27"/>
      <c r="O13" s="27"/>
      <c r="P13" s="2247"/>
      <c r="Q13" s="27"/>
      <c r="R13" s="27"/>
      <c r="S13" s="55"/>
      <c r="W13" s="3319"/>
      <c r="X13" s="3319"/>
      <c r="Y13" s="3319"/>
      <c r="Z13" s="3319"/>
      <c r="AA13" s="3314"/>
      <c r="AB13" s="3319"/>
      <c r="AL13" s="87"/>
    </row>
    <row r="14" spans="1:38" ht="13.5" customHeight="1">
      <c r="A14" s="2445"/>
      <c r="B14" s="2446"/>
      <c r="C14" s="82"/>
      <c r="E14" s="2554"/>
      <c r="G14" s="2299"/>
      <c r="H14" s="3318"/>
      <c r="P14" s="27"/>
      <c r="Q14" s="27"/>
      <c r="R14" s="27"/>
      <c r="S14" s="55"/>
      <c r="W14" s="72"/>
      <c r="X14" s="72"/>
      <c r="Y14" s="72"/>
      <c r="Z14" s="96"/>
      <c r="AA14" s="3314"/>
      <c r="AB14" s="3319"/>
    </row>
    <row r="15" spans="1:38" ht="13.5" customHeight="1">
      <c r="A15" s="2452"/>
      <c r="B15" s="2446"/>
      <c r="C15" s="7"/>
      <c r="E15" s="113"/>
      <c r="F15" s="2299"/>
      <c r="I15" s="3319"/>
      <c r="J15" s="3319"/>
      <c r="K15" s="429"/>
      <c r="L15" s="429"/>
      <c r="M15" s="429"/>
      <c r="N15" s="429"/>
      <c r="O15" s="2246"/>
      <c r="P15" s="27"/>
      <c r="Q15" s="27"/>
      <c r="R15" s="27"/>
      <c r="S15" s="55"/>
      <c r="U15" s="25"/>
      <c r="W15" s="56"/>
      <c r="X15" s="72"/>
      <c r="Y15" s="72"/>
      <c r="Z15" s="96"/>
      <c r="AA15" s="3314"/>
      <c r="AB15" s="3319"/>
    </row>
    <row r="16" spans="1:38" ht="13.5" customHeight="1">
      <c r="A16" s="2453"/>
      <c r="B16" s="2454"/>
      <c r="C16" s="7"/>
      <c r="E16" s="113"/>
      <c r="F16" s="2251"/>
      <c r="I16" s="3319"/>
      <c r="J16" s="429"/>
      <c r="K16" s="429"/>
      <c r="L16" s="429"/>
      <c r="M16" s="429"/>
      <c r="N16" s="2246"/>
      <c r="O16" s="3319"/>
      <c r="P16" s="3319"/>
      <c r="Q16" s="3319"/>
      <c r="R16" s="3319"/>
      <c r="S16" s="147"/>
      <c r="U16" s="25"/>
      <c r="W16" s="3319"/>
      <c r="X16" s="3319"/>
      <c r="Y16" s="3319"/>
      <c r="Z16" s="3319"/>
      <c r="AA16" s="3319"/>
      <c r="AB16" s="3319"/>
    </row>
    <row r="17" spans="1:256" ht="13.5" customHeight="1">
      <c r="A17" s="169" t="s">
        <v>253</v>
      </c>
      <c r="B17" s="170"/>
      <c r="C17" s="82"/>
      <c r="E17" s="113"/>
      <c r="F17" s="1496"/>
      <c r="I17" s="27"/>
      <c r="J17" s="27"/>
      <c r="K17" s="27"/>
      <c r="L17" s="27"/>
      <c r="M17" s="27"/>
      <c r="N17" s="27"/>
      <c r="O17" s="27"/>
      <c r="P17" s="27"/>
      <c r="Q17" s="27"/>
      <c r="R17" s="27"/>
      <c r="S17" s="55"/>
      <c r="U17" s="25"/>
    </row>
    <row r="18" spans="1:256" ht="13.5" customHeight="1">
      <c r="A18" s="2424"/>
      <c r="B18" s="2424"/>
      <c r="C18" s="3318"/>
      <c r="E18" s="2554"/>
      <c r="I18" s="27"/>
      <c r="J18" s="691"/>
      <c r="K18" s="691"/>
      <c r="L18" s="691"/>
      <c r="M18" s="691"/>
      <c r="N18" s="2243"/>
      <c r="O18" s="27"/>
      <c r="P18" s="27"/>
      <c r="Q18" s="27"/>
      <c r="R18" s="27"/>
      <c r="S18" s="55"/>
      <c r="U18" s="25"/>
    </row>
    <row r="19" spans="1:256" ht="13.5" customHeight="1">
      <c r="A19" s="2424"/>
      <c r="B19" s="2424"/>
      <c r="E19" s="2554" t="s">
        <v>2391</v>
      </c>
      <c r="F19" s="29"/>
      <c r="G19" s="32"/>
      <c r="H19" s="3319"/>
      <c r="I19" s="3314"/>
      <c r="J19" s="3319"/>
      <c r="K19" s="72"/>
      <c r="L19" s="72"/>
      <c r="M19" s="72"/>
      <c r="N19" s="72"/>
      <c r="O19" s="96"/>
      <c r="P19" s="3314"/>
      <c r="Q19" s="3319"/>
      <c r="R19" s="3319"/>
      <c r="S19" s="147"/>
      <c r="U19" s="25"/>
    </row>
    <row r="20" spans="1:256" ht="13.5" customHeight="1" thickBot="1">
      <c r="A20" s="2424"/>
      <c r="B20" s="2424"/>
      <c r="E20" s="2677" t="s">
        <v>2193</v>
      </c>
      <c r="F20" s="163"/>
      <c r="G20" s="164"/>
      <c r="H20" s="13"/>
      <c r="I20" s="165"/>
      <c r="J20" s="13"/>
      <c r="K20" s="166"/>
      <c r="L20" s="166"/>
      <c r="M20" s="166"/>
      <c r="N20" s="166"/>
      <c r="O20" s="167"/>
      <c r="P20" s="165"/>
      <c r="Q20" s="13"/>
      <c r="R20" s="13"/>
      <c r="S20" s="168"/>
      <c r="U20" s="25"/>
    </row>
    <row r="21" spans="1:256" ht="13.5" customHeight="1" thickTop="1"/>
    <row r="22" spans="1:256" ht="13.5" customHeight="1"/>
    <row r="23" spans="1:256" ht="13.5" customHeight="1"/>
    <row r="24" spans="1:256" s="3318" customFormat="1" ht="13.5" customHeight="1">
      <c r="A24" s="3313"/>
      <c r="B24" s="3313"/>
      <c r="C24" s="3313"/>
      <c r="D24" s="3313"/>
      <c r="E24" s="3313"/>
      <c r="F24" s="3313"/>
      <c r="G24" s="3313"/>
      <c r="H24" s="3313"/>
      <c r="I24" s="3313"/>
      <c r="J24" s="3313"/>
      <c r="K24" s="3313"/>
      <c r="L24" s="3313"/>
      <c r="M24" s="3313"/>
      <c r="N24" s="3313"/>
      <c r="O24" s="3313"/>
      <c r="P24" s="3313"/>
      <c r="Q24" s="3313"/>
      <c r="R24" s="3313"/>
      <c r="S24" s="3313"/>
      <c r="T24" s="3313"/>
      <c r="U24" s="3313"/>
      <c r="V24" s="3313"/>
      <c r="W24" s="3313"/>
      <c r="X24" s="3313"/>
      <c r="Y24" s="3313"/>
      <c r="Z24" s="3313"/>
      <c r="AA24" s="3313"/>
      <c r="AB24" s="3313"/>
      <c r="AC24" s="3313"/>
      <c r="AD24" s="3313"/>
      <c r="AE24" s="3313"/>
      <c r="AF24" s="3313"/>
      <c r="AG24" s="3313"/>
      <c r="AH24" s="3313"/>
      <c r="AI24" s="3313"/>
      <c r="AJ24" s="3313"/>
      <c r="AK24" s="3313"/>
      <c r="AL24" s="3313"/>
      <c r="AM24" s="3313"/>
      <c r="AN24" s="3313"/>
      <c r="AO24" s="3313"/>
      <c r="AP24" s="3313"/>
      <c r="AQ24" s="3313"/>
      <c r="AR24" s="3313"/>
      <c r="AS24" s="3313"/>
      <c r="AT24" s="3313"/>
      <c r="AU24" s="3313"/>
      <c r="AV24" s="3313"/>
      <c r="AW24" s="3313"/>
      <c r="AX24" s="3313"/>
      <c r="AY24" s="3313"/>
      <c r="AZ24" s="3313"/>
      <c r="BA24" s="3313"/>
      <c r="BB24" s="3313"/>
      <c r="BC24" s="3313"/>
      <c r="BD24" s="3313"/>
      <c r="BE24" s="3313"/>
      <c r="BF24" s="3313"/>
      <c r="BG24" s="3313"/>
      <c r="BH24" s="3313"/>
      <c r="BI24" s="3313"/>
      <c r="BJ24" s="3313"/>
      <c r="BK24" s="3313"/>
      <c r="BL24" s="3313"/>
      <c r="BM24" s="3313"/>
      <c r="BN24" s="3313"/>
      <c r="BO24" s="3313"/>
      <c r="BP24" s="3313"/>
      <c r="BQ24" s="3313"/>
      <c r="BR24" s="3313"/>
      <c r="BS24" s="3313"/>
      <c r="BT24" s="3313"/>
      <c r="BU24" s="3313"/>
      <c r="BV24" s="3313"/>
      <c r="BW24" s="3313"/>
      <c r="BX24" s="3313"/>
      <c r="BY24" s="3313"/>
      <c r="BZ24" s="3313"/>
      <c r="CA24" s="3313"/>
      <c r="CB24" s="3313"/>
      <c r="CC24" s="3313"/>
      <c r="CD24" s="3313"/>
      <c r="CE24" s="3313"/>
      <c r="CF24" s="3313"/>
      <c r="CG24" s="3313"/>
      <c r="CH24" s="3313"/>
      <c r="CI24" s="3313"/>
      <c r="CJ24" s="3313"/>
      <c r="CK24" s="3313"/>
      <c r="CL24" s="3313"/>
      <c r="CM24" s="3313"/>
      <c r="CN24" s="3313"/>
      <c r="CO24" s="3313"/>
      <c r="CP24" s="3313"/>
      <c r="CQ24" s="3313"/>
      <c r="CR24" s="3313"/>
      <c r="CS24" s="3313"/>
      <c r="CT24" s="3313"/>
      <c r="CU24" s="3313"/>
      <c r="CV24" s="3313"/>
      <c r="CW24" s="3313"/>
      <c r="CX24" s="3313"/>
      <c r="CY24" s="3313"/>
      <c r="CZ24" s="3313"/>
      <c r="DA24" s="3313"/>
      <c r="DB24" s="3313"/>
      <c r="DC24" s="3313"/>
      <c r="DD24" s="3313"/>
      <c r="DE24" s="3313"/>
      <c r="DF24" s="3313"/>
      <c r="DG24" s="3313"/>
      <c r="DH24" s="3313"/>
      <c r="DI24" s="3313"/>
      <c r="DJ24" s="3313"/>
      <c r="DK24" s="3313"/>
      <c r="DL24" s="3313"/>
      <c r="DM24" s="3313"/>
      <c r="DN24" s="3313"/>
      <c r="DO24" s="3313"/>
      <c r="DP24" s="3313"/>
      <c r="DQ24" s="3313"/>
      <c r="DR24" s="3313"/>
      <c r="DS24" s="3313"/>
      <c r="DT24" s="3313"/>
      <c r="DU24" s="3313"/>
      <c r="DV24" s="3313"/>
      <c r="DW24" s="3313"/>
      <c r="DX24" s="3313"/>
      <c r="DY24" s="3313"/>
      <c r="DZ24" s="3313"/>
      <c r="EA24" s="3313"/>
      <c r="EB24" s="3313"/>
      <c r="EC24" s="3313"/>
      <c r="ED24" s="3313"/>
      <c r="EE24" s="3313"/>
      <c r="EF24" s="3313"/>
      <c r="EG24" s="3313"/>
      <c r="EH24" s="3313"/>
      <c r="EI24" s="3313"/>
      <c r="EJ24" s="3313"/>
      <c r="EK24" s="3313"/>
      <c r="EL24" s="3313"/>
      <c r="EM24" s="3313"/>
      <c r="EN24" s="3313"/>
      <c r="EO24" s="3313"/>
      <c r="EP24" s="3313"/>
      <c r="EQ24" s="3313"/>
      <c r="ER24" s="3313"/>
      <c r="ES24" s="3313"/>
      <c r="ET24" s="3313"/>
      <c r="EU24" s="3313"/>
      <c r="EV24" s="3313"/>
      <c r="EW24" s="3313"/>
      <c r="EX24" s="3313"/>
      <c r="EY24" s="3313"/>
      <c r="EZ24" s="3313"/>
      <c r="FA24" s="3313"/>
      <c r="FB24" s="3313"/>
      <c r="FC24" s="3313"/>
      <c r="FD24" s="3313"/>
      <c r="FE24" s="3313"/>
      <c r="FF24" s="3313"/>
      <c r="FG24" s="3313"/>
      <c r="FH24" s="3313"/>
      <c r="FI24" s="3313"/>
      <c r="FJ24" s="3313"/>
      <c r="FK24" s="3313"/>
      <c r="FL24" s="3313"/>
      <c r="FM24" s="3313"/>
      <c r="FN24" s="3313"/>
      <c r="FO24" s="3313"/>
      <c r="FP24" s="3313"/>
      <c r="FQ24" s="3313"/>
      <c r="FR24" s="3313"/>
      <c r="FS24" s="3313"/>
      <c r="FT24" s="3313"/>
      <c r="FU24" s="3313"/>
      <c r="FV24" s="3313"/>
      <c r="FW24" s="3313"/>
      <c r="FX24" s="3313"/>
      <c r="FY24" s="3313"/>
      <c r="FZ24" s="3313"/>
      <c r="GA24" s="3313"/>
      <c r="GB24" s="3313"/>
      <c r="GC24" s="3313"/>
      <c r="GD24" s="3313"/>
      <c r="GE24" s="3313"/>
      <c r="GF24" s="3313"/>
      <c r="GG24" s="3313"/>
      <c r="GH24" s="3313"/>
      <c r="GI24" s="3313"/>
      <c r="GJ24" s="3313"/>
      <c r="GK24" s="3313"/>
      <c r="GL24" s="3313"/>
      <c r="GM24" s="3313"/>
      <c r="GN24" s="3313"/>
      <c r="GO24" s="3313"/>
      <c r="GP24" s="3313"/>
      <c r="GQ24" s="3313"/>
      <c r="GR24" s="3313"/>
      <c r="GS24" s="3313"/>
      <c r="GT24" s="3313"/>
      <c r="GU24" s="3313"/>
      <c r="GV24" s="3313"/>
      <c r="GW24" s="3313"/>
      <c r="GX24" s="3313"/>
      <c r="GY24" s="3313"/>
      <c r="GZ24" s="3313"/>
      <c r="HA24" s="3313"/>
      <c r="HB24" s="3313"/>
      <c r="HC24" s="3313"/>
      <c r="HD24" s="3313"/>
      <c r="HE24" s="3313"/>
      <c r="HF24" s="3313"/>
      <c r="HG24" s="3313"/>
      <c r="HH24" s="3313"/>
      <c r="HI24" s="3313"/>
      <c r="HJ24" s="3313"/>
      <c r="HK24" s="3313"/>
      <c r="HL24" s="3313"/>
      <c r="HM24" s="3313"/>
      <c r="HN24" s="3313"/>
      <c r="HO24" s="3313"/>
      <c r="HP24" s="3313"/>
      <c r="HQ24" s="3313"/>
      <c r="HR24" s="3313"/>
      <c r="HS24" s="3313"/>
      <c r="HT24" s="3313"/>
      <c r="HU24" s="3313"/>
      <c r="HV24" s="3313"/>
      <c r="HW24" s="3313"/>
      <c r="HX24" s="3313"/>
      <c r="HY24" s="3313"/>
      <c r="HZ24" s="3313"/>
      <c r="IA24" s="3313"/>
      <c r="IB24" s="3313"/>
      <c r="IC24" s="3313"/>
      <c r="ID24" s="3313"/>
      <c r="IE24" s="3313"/>
      <c r="IF24" s="3313"/>
      <c r="IG24" s="3313"/>
      <c r="IH24" s="3313"/>
      <c r="II24" s="3313"/>
      <c r="IJ24" s="3313"/>
      <c r="IK24" s="3313"/>
      <c r="IL24" s="3313"/>
      <c r="IM24" s="3313"/>
      <c r="IN24" s="3313"/>
      <c r="IO24" s="3313"/>
      <c r="IP24" s="3313"/>
      <c r="IQ24" s="3313"/>
      <c r="IR24" s="3313"/>
      <c r="IS24" s="3313"/>
      <c r="IT24" s="3313"/>
      <c r="IU24" s="3313"/>
      <c r="IV24" s="3313"/>
    </row>
    <row r="25" spans="1:256" s="27" customFormat="1" ht="13.5" customHeight="1" thickBot="1">
      <c r="A25" s="3313"/>
      <c r="B25" s="3313"/>
      <c r="C25" s="3313"/>
      <c r="D25" s="3313"/>
      <c r="E25" s="3313"/>
      <c r="F25" s="3313"/>
      <c r="G25" s="3313"/>
      <c r="H25" s="3313"/>
      <c r="I25" s="3313"/>
      <c r="J25" s="3313"/>
      <c r="K25" s="3313"/>
      <c r="L25" s="3313"/>
      <c r="M25" s="3313"/>
      <c r="N25" s="3313"/>
      <c r="O25" s="3313"/>
      <c r="P25" s="3313"/>
      <c r="Q25" s="3313"/>
      <c r="R25" s="3313"/>
      <c r="S25" s="3313"/>
      <c r="T25" s="3313"/>
      <c r="U25" s="3313"/>
      <c r="V25" s="3313"/>
      <c r="W25" s="3313"/>
      <c r="X25" s="3313"/>
      <c r="Y25" s="3313"/>
      <c r="Z25" s="3313"/>
      <c r="AA25" s="3313"/>
      <c r="AB25" s="3313"/>
      <c r="AC25" s="3313"/>
      <c r="AD25" s="3313"/>
      <c r="AE25" s="3313"/>
      <c r="AF25" s="3313"/>
      <c r="AG25" s="3313"/>
      <c r="AH25" s="3313"/>
      <c r="AI25" s="3313"/>
      <c r="AJ25" s="3313"/>
      <c r="AK25" s="3313"/>
      <c r="AL25" s="3313"/>
      <c r="AM25" s="3313"/>
      <c r="AN25" s="3313"/>
      <c r="AO25" s="3313"/>
      <c r="AP25" s="3313"/>
      <c r="AQ25" s="3313"/>
      <c r="AR25" s="3313"/>
      <c r="AS25" s="3313"/>
      <c r="AT25" s="3313"/>
      <c r="AU25" s="3313"/>
      <c r="AV25" s="3313"/>
      <c r="AW25" s="3313"/>
      <c r="AX25" s="3313"/>
      <c r="AY25" s="3313"/>
      <c r="AZ25" s="3313"/>
      <c r="BA25" s="3313"/>
      <c r="BB25" s="3313"/>
      <c r="BC25" s="3313"/>
      <c r="BD25" s="3313"/>
      <c r="BE25" s="3313"/>
      <c r="BF25" s="3313"/>
      <c r="BG25" s="3313"/>
      <c r="BH25" s="3313"/>
      <c r="BI25" s="3313"/>
      <c r="BJ25" s="3313"/>
      <c r="BK25" s="3313"/>
      <c r="BL25" s="3313"/>
      <c r="BM25" s="3313"/>
      <c r="BN25" s="3313"/>
      <c r="BO25" s="3313"/>
      <c r="BP25" s="3313"/>
      <c r="BQ25" s="3313"/>
      <c r="BR25" s="3313"/>
      <c r="BS25" s="3313"/>
      <c r="BT25" s="3313"/>
      <c r="BU25" s="3313"/>
      <c r="BV25" s="3313"/>
      <c r="BW25" s="3313"/>
      <c r="BX25" s="3313"/>
      <c r="BY25" s="3313"/>
      <c r="BZ25" s="3313"/>
      <c r="CA25" s="3313"/>
      <c r="CB25" s="3313"/>
      <c r="CC25" s="3313"/>
      <c r="CD25" s="3313"/>
      <c r="CE25" s="3313"/>
      <c r="CF25" s="3313"/>
      <c r="CG25" s="3313"/>
      <c r="CH25" s="3313"/>
      <c r="CI25" s="3313"/>
      <c r="CJ25" s="3313"/>
      <c r="CK25" s="3313"/>
      <c r="CL25" s="3313"/>
      <c r="CM25" s="3313"/>
      <c r="CN25" s="3313"/>
      <c r="CO25" s="3313"/>
      <c r="CP25" s="3313"/>
      <c r="CQ25" s="3313"/>
      <c r="CR25" s="3313"/>
      <c r="CS25" s="3313"/>
      <c r="CT25" s="3313"/>
      <c r="CU25" s="3313"/>
      <c r="CV25" s="3313"/>
      <c r="CW25" s="3313"/>
      <c r="CX25" s="3313"/>
      <c r="CY25" s="3313"/>
      <c r="CZ25" s="3313"/>
      <c r="DA25" s="3313"/>
      <c r="DB25" s="3313"/>
      <c r="DC25" s="3313"/>
      <c r="DD25" s="3313"/>
      <c r="DE25" s="3313"/>
      <c r="DF25" s="3313"/>
      <c r="DG25" s="3313"/>
      <c r="DH25" s="3313"/>
      <c r="DI25" s="3313"/>
      <c r="DJ25" s="3313"/>
      <c r="DK25" s="3313"/>
      <c r="DL25" s="3313"/>
      <c r="DM25" s="3313"/>
      <c r="DN25" s="3313"/>
      <c r="DO25" s="3313"/>
      <c r="DP25" s="3313"/>
      <c r="DQ25" s="3313"/>
      <c r="DR25" s="3313"/>
      <c r="DS25" s="3313"/>
      <c r="DT25" s="3313"/>
      <c r="DU25" s="3313"/>
      <c r="DV25" s="3313"/>
      <c r="DW25" s="3313"/>
      <c r="DX25" s="3313"/>
      <c r="DY25" s="3313"/>
      <c r="DZ25" s="3313"/>
      <c r="EA25" s="3313"/>
      <c r="EB25" s="3313"/>
      <c r="EC25" s="3313"/>
      <c r="ED25" s="3313"/>
      <c r="EE25" s="3313"/>
      <c r="EF25" s="3313"/>
      <c r="EG25" s="3313"/>
      <c r="EH25" s="3313"/>
      <c r="EI25" s="3313"/>
      <c r="EJ25" s="3313"/>
      <c r="EK25" s="3313"/>
      <c r="EL25" s="3313"/>
      <c r="EM25" s="3313"/>
      <c r="EN25" s="3313"/>
      <c r="EO25" s="3313"/>
      <c r="EP25" s="3313"/>
      <c r="EQ25" s="3313"/>
      <c r="ER25" s="3313"/>
      <c r="ES25" s="3313"/>
      <c r="ET25" s="3313"/>
      <c r="EU25" s="3313"/>
      <c r="EV25" s="3313"/>
      <c r="EW25" s="3313"/>
      <c r="EX25" s="3313"/>
      <c r="EY25" s="3313"/>
      <c r="EZ25" s="3313"/>
      <c r="FA25" s="3313"/>
      <c r="FB25" s="3313"/>
      <c r="FC25" s="3313"/>
      <c r="FD25" s="3313"/>
      <c r="FE25" s="3313"/>
      <c r="FF25" s="3313"/>
      <c r="FG25" s="3313"/>
      <c r="FH25" s="3313"/>
      <c r="FI25" s="3313"/>
      <c r="FJ25" s="3313"/>
      <c r="FK25" s="3313"/>
      <c r="FL25" s="3313"/>
      <c r="FM25" s="3313"/>
      <c r="FN25" s="3313"/>
      <c r="FO25" s="3313"/>
      <c r="FP25" s="3313"/>
      <c r="FQ25" s="3313"/>
      <c r="FR25" s="3313"/>
      <c r="FS25" s="3313"/>
      <c r="FT25" s="3313"/>
      <c r="FU25" s="3313"/>
      <c r="FV25" s="3313"/>
      <c r="FW25" s="3313"/>
      <c r="FX25" s="3313"/>
      <c r="FY25" s="3313"/>
      <c r="FZ25" s="3313"/>
      <c r="GA25" s="3313"/>
      <c r="GB25" s="3313"/>
      <c r="GC25" s="3313"/>
      <c r="GD25" s="3313"/>
      <c r="GE25" s="3313"/>
      <c r="GF25" s="3313"/>
      <c r="GG25" s="3313"/>
      <c r="GH25" s="3313"/>
      <c r="GI25" s="3313"/>
      <c r="GJ25" s="3313"/>
      <c r="GK25" s="3313"/>
      <c r="GL25" s="3313"/>
      <c r="GM25" s="3313"/>
      <c r="GN25" s="3313"/>
      <c r="GO25" s="3313"/>
      <c r="GP25" s="3313"/>
      <c r="GQ25" s="3313"/>
      <c r="GR25" s="3313"/>
      <c r="GS25" s="3313"/>
      <c r="GT25" s="3313"/>
      <c r="GU25" s="3313"/>
      <c r="GV25" s="3313"/>
      <c r="GW25" s="3313"/>
      <c r="GX25" s="3313"/>
      <c r="GY25" s="3313"/>
      <c r="GZ25" s="3313"/>
      <c r="HA25" s="3313"/>
      <c r="HB25" s="3313"/>
      <c r="HC25" s="3313"/>
      <c r="HD25" s="3313"/>
      <c r="HE25" s="3313"/>
      <c r="HF25" s="3313"/>
      <c r="HG25" s="3313"/>
      <c r="HH25" s="3313"/>
      <c r="HI25" s="3313"/>
      <c r="HJ25" s="3313"/>
      <c r="HK25" s="3313"/>
      <c r="HL25" s="3313"/>
      <c r="HM25" s="3313"/>
      <c r="HN25" s="3313"/>
      <c r="HO25" s="3313"/>
      <c r="HP25" s="3313"/>
      <c r="HQ25" s="3313"/>
      <c r="HR25" s="3313"/>
      <c r="HS25" s="3313"/>
      <c r="HT25" s="3313"/>
      <c r="HU25" s="3313"/>
      <c r="HV25" s="3313"/>
      <c r="HW25" s="3313"/>
      <c r="HX25" s="3313"/>
      <c r="HY25" s="3313"/>
      <c r="HZ25" s="3313"/>
      <c r="IA25" s="3313"/>
      <c r="IB25" s="3313"/>
      <c r="IC25" s="3313"/>
      <c r="ID25" s="3313"/>
      <c r="IE25" s="3313"/>
      <c r="IF25" s="3313"/>
      <c r="IG25" s="3313"/>
      <c r="IH25" s="3313"/>
      <c r="II25" s="3313"/>
      <c r="IJ25" s="3313"/>
      <c r="IK25" s="3313"/>
      <c r="IL25" s="3313"/>
      <c r="IM25" s="3313"/>
      <c r="IN25" s="3313"/>
      <c r="IO25" s="3313"/>
      <c r="IP25" s="3313"/>
      <c r="IQ25" s="3313"/>
      <c r="IR25" s="3313"/>
      <c r="IS25" s="3313"/>
      <c r="IT25" s="3313"/>
      <c r="IU25" s="3313"/>
      <c r="IV25" s="3313"/>
    </row>
    <row r="26" spans="1:256" s="27" customFormat="1" ht="13.5" customHeight="1" thickTop="1" thickBot="1">
      <c r="A26" s="3313"/>
      <c r="B26" s="3327" t="s">
        <v>2207</v>
      </c>
      <c r="C26" s="3327"/>
      <c r="D26" s="3320"/>
      <c r="E26" s="3320"/>
      <c r="F26" s="3313"/>
      <c r="G26" s="3313"/>
      <c r="H26" s="3313"/>
      <c r="I26" s="3320"/>
      <c r="J26" s="3320"/>
      <c r="K26" s="3320"/>
      <c r="L26" s="3320"/>
      <c r="M26" s="3320"/>
      <c r="N26" s="3320"/>
      <c r="O26" s="3320"/>
      <c r="P26" s="3320"/>
      <c r="Q26" s="3320"/>
      <c r="R26" s="3320"/>
      <c r="S26" s="3320"/>
      <c r="T26" s="3313"/>
      <c r="U26" s="3313"/>
      <c r="V26" s="3313"/>
      <c r="W26" s="3313"/>
      <c r="X26" s="3313"/>
      <c r="Y26" s="3313"/>
      <c r="Z26" s="3313"/>
      <c r="AA26" s="3313"/>
      <c r="AB26" s="3313"/>
      <c r="AC26" s="3313"/>
      <c r="AD26" s="3313"/>
      <c r="AE26" s="3313"/>
      <c r="AF26" s="3313"/>
      <c r="AG26" s="3313"/>
      <c r="AH26" s="3313"/>
      <c r="AI26" s="3313"/>
      <c r="AJ26" s="3313"/>
      <c r="AK26" s="3313"/>
      <c r="AL26" s="3313"/>
      <c r="AM26" s="3313"/>
      <c r="AN26" s="3313"/>
      <c r="AO26" s="3313"/>
      <c r="AP26" s="3313"/>
      <c r="AQ26" s="3313"/>
      <c r="AR26" s="3313"/>
      <c r="AS26" s="3313"/>
      <c r="AT26" s="3313"/>
      <c r="AU26" s="3313"/>
      <c r="AV26" s="3313"/>
      <c r="AW26" s="3313"/>
      <c r="AX26" s="3313"/>
      <c r="AY26" s="3313"/>
      <c r="AZ26" s="3313"/>
      <c r="BA26" s="3313"/>
      <c r="BB26" s="3313"/>
      <c r="BC26" s="3313"/>
      <c r="BD26" s="3313"/>
      <c r="BE26" s="3313"/>
      <c r="BF26" s="3313"/>
      <c r="BG26" s="3313"/>
      <c r="BH26" s="3313"/>
      <c r="BI26" s="3313"/>
      <c r="BJ26" s="3313"/>
      <c r="BK26" s="3313"/>
      <c r="BL26" s="3313"/>
      <c r="BM26" s="3313"/>
      <c r="BN26" s="3313"/>
      <c r="BO26" s="3313"/>
      <c r="BP26" s="3313"/>
      <c r="BQ26" s="3313"/>
      <c r="BR26" s="3313"/>
      <c r="BS26" s="3313"/>
      <c r="BT26" s="3313"/>
      <c r="BU26" s="3313"/>
      <c r="BV26" s="3313"/>
      <c r="BW26" s="3313"/>
      <c r="BX26" s="3313"/>
      <c r="BY26" s="3313"/>
      <c r="BZ26" s="3313"/>
      <c r="CA26" s="3313"/>
      <c r="CB26" s="3313"/>
      <c r="CC26" s="3313"/>
      <c r="CD26" s="3313"/>
      <c r="CE26" s="3313"/>
      <c r="CF26" s="3313"/>
      <c r="CG26" s="3313"/>
      <c r="CH26" s="3313"/>
      <c r="CI26" s="3313"/>
      <c r="CJ26" s="3313"/>
      <c r="CK26" s="3313"/>
      <c r="CL26" s="3313"/>
      <c r="CM26" s="3313"/>
      <c r="CN26" s="3313"/>
      <c r="CO26" s="3313"/>
      <c r="CP26" s="3313"/>
      <c r="CQ26" s="3313"/>
      <c r="CR26" s="3313"/>
      <c r="CS26" s="3313"/>
      <c r="CT26" s="3313"/>
      <c r="CU26" s="3313"/>
      <c r="CV26" s="3313"/>
      <c r="CW26" s="3313"/>
      <c r="CX26" s="3313"/>
      <c r="CY26" s="3313"/>
      <c r="CZ26" s="3313"/>
      <c r="DA26" s="3313"/>
      <c r="DB26" s="3313"/>
      <c r="DC26" s="3313"/>
      <c r="DD26" s="3313"/>
      <c r="DE26" s="3313"/>
      <c r="DF26" s="3313"/>
      <c r="DG26" s="3313"/>
      <c r="DH26" s="3313"/>
      <c r="DI26" s="3313"/>
      <c r="DJ26" s="3313"/>
      <c r="DK26" s="3313"/>
      <c r="DL26" s="3313"/>
      <c r="DM26" s="3313"/>
      <c r="DN26" s="3313"/>
      <c r="DO26" s="3313"/>
      <c r="DP26" s="3313"/>
      <c r="DQ26" s="3313"/>
      <c r="DR26" s="3313"/>
      <c r="DS26" s="3313"/>
      <c r="DT26" s="3313"/>
      <c r="DU26" s="3313"/>
      <c r="DV26" s="3313"/>
      <c r="DW26" s="3313"/>
      <c r="DX26" s="3313"/>
      <c r="DY26" s="3313"/>
      <c r="DZ26" s="3313"/>
      <c r="EA26" s="3313"/>
      <c r="EB26" s="3313"/>
      <c r="EC26" s="3313"/>
      <c r="ED26" s="3313"/>
      <c r="EE26" s="3313"/>
      <c r="EF26" s="3313"/>
      <c r="EG26" s="3313"/>
      <c r="EH26" s="3313"/>
      <c r="EI26" s="3313"/>
      <c r="EJ26" s="3313"/>
      <c r="EK26" s="3313"/>
      <c r="EL26" s="3313"/>
      <c r="EM26" s="3313"/>
      <c r="EN26" s="3313"/>
      <c r="EO26" s="3313"/>
      <c r="EP26" s="3313"/>
      <c r="EQ26" s="3313"/>
      <c r="ER26" s="3313"/>
      <c r="ES26" s="3313"/>
      <c r="ET26" s="3313"/>
      <c r="EU26" s="3313"/>
      <c r="EV26" s="3313"/>
      <c r="EW26" s="3313"/>
      <c r="EX26" s="3313"/>
      <c r="EY26" s="3313"/>
      <c r="EZ26" s="3313"/>
      <c r="FA26" s="3313"/>
      <c r="FB26" s="3313"/>
      <c r="FC26" s="3313"/>
      <c r="FD26" s="3313"/>
      <c r="FE26" s="3313"/>
      <c r="FF26" s="3313"/>
      <c r="FG26" s="3313"/>
      <c r="FH26" s="3313"/>
      <c r="FI26" s="3313"/>
      <c r="FJ26" s="3313"/>
      <c r="FK26" s="3313"/>
      <c r="FL26" s="3313"/>
      <c r="FM26" s="3313"/>
      <c r="FN26" s="3313"/>
      <c r="FO26" s="3313"/>
      <c r="FP26" s="3313"/>
      <c r="FQ26" s="3313"/>
      <c r="FR26" s="3313"/>
      <c r="FS26" s="3313"/>
      <c r="FT26" s="3313"/>
      <c r="FU26" s="3313"/>
      <c r="FV26" s="3313"/>
      <c r="FW26" s="3313"/>
      <c r="FX26" s="3313"/>
      <c r="FY26" s="3313"/>
      <c r="FZ26" s="3313"/>
      <c r="GA26" s="3313"/>
      <c r="GB26" s="3313"/>
      <c r="GC26" s="3313"/>
      <c r="GD26" s="3313"/>
      <c r="GE26" s="3313"/>
      <c r="GF26" s="3313"/>
      <c r="GG26" s="3313"/>
      <c r="GH26" s="3313"/>
      <c r="GI26" s="3313"/>
      <c r="GJ26" s="3313"/>
      <c r="GK26" s="3313"/>
      <c r="GL26" s="3313"/>
      <c r="GM26" s="3313"/>
      <c r="GN26" s="3313"/>
      <c r="GO26" s="3313"/>
      <c r="GP26" s="3313"/>
      <c r="GQ26" s="3313"/>
      <c r="GR26" s="3313"/>
      <c r="GS26" s="3313"/>
      <c r="GT26" s="3313"/>
      <c r="GU26" s="3313"/>
      <c r="GV26" s="3313"/>
      <c r="GW26" s="3313"/>
      <c r="GX26" s="3313"/>
      <c r="GY26" s="3313"/>
      <c r="GZ26" s="3313"/>
      <c r="HA26" s="3313"/>
      <c r="HB26" s="3313"/>
      <c r="HC26" s="3313"/>
      <c r="HD26" s="3313"/>
      <c r="HE26" s="3313"/>
      <c r="HF26" s="3313"/>
      <c r="HG26" s="3313"/>
      <c r="HH26" s="3313"/>
      <c r="HI26" s="3313"/>
      <c r="HJ26" s="3313"/>
      <c r="HK26" s="3313"/>
      <c r="HL26" s="3313"/>
      <c r="HM26" s="3313"/>
      <c r="HN26" s="3313"/>
      <c r="HO26" s="3313"/>
      <c r="HP26" s="3313"/>
      <c r="HQ26" s="3313"/>
      <c r="HR26" s="3313"/>
      <c r="HS26" s="3313"/>
      <c r="HT26" s="3313"/>
      <c r="HU26" s="3313"/>
      <c r="HV26" s="3313"/>
      <c r="HW26" s="3313"/>
      <c r="HX26" s="3313"/>
      <c r="HY26" s="3313"/>
      <c r="HZ26" s="3313"/>
      <c r="IA26" s="3313"/>
      <c r="IB26" s="3313"/>
      <c r="IC26" s="3313"/>
      <c r="ID26" s="3313"/>
      <c r="IE26" s="3313"/>
      <c r="IF26" s="3313"/>
      <c r="IG26" s="3313"/>
      <c r="IH26" s="3313"/>
      <c r="II26" s="3313"/>
      <c r="IJ26" s="3313"/>
      <c r="IK26" s="3313"/>
      <c r="IL26" s="3313"/>
      <c r="IM26" s="3313"/>
      <c r="IN26" s="3313"/>
      <c r="IO26" s="3313"/>
      <c r="IP26" s="3313"/>
      <c r="IQ26" s="3313"/>
      <c r="IR26" s="3313"/>
      <c r="IS26" s="3313"/>
      <c r="IT26" s="3313"/>
      <c r="IU26" s="3313"/>
      <c r="IV26" s="3313"/>
    </row>
    <row r="27" spans="1:256" ht="13.8" thickTop="1">
      <c r="B27" s="3326" t="s">
        <v>2194</v>
      </c>
      <c r="C27" s="3337">
        <f>'Journeys per season'!C26</f>
        <v>8.5</v>
      </c>
      <c r="D27" s="3323"/>
      <c r="E27" s="3320"/>
      <c r="I27" s="3320"/>
      <c r="J27" s="3320"/>
      <c r="K27" s="3320"/>
      <c r="L27" s="3320"/>
      <c r="M27" s="3320"/>
      <c r="N27" s="3320"/>
      <c r="O27" s="3320"/>
      <c r="P27" s="3320"/>
      <c r="Q27" s="3320"/>
      <c r="R27" s="3320"/>
      <c r="S27" s="3320"/>
    </row>
    <row r="28" spans="1:256">
      <c r="B28" s="3326" t="s">
        <v>2195</v>
      </c>
      <c r="C28" s="3338">
        <f>'Journeys per season'!C27</f>
        <v>37</v>
      </c>
      <c r="D28" s="3324"/>
      <c r="E28" s="3320"/>
      <c r="I28" s="3320"/>
      <c r="J28" s="3320"/>
      <c r="K28" s="3320"/>
      <c r="L28" s="3320"/>
      <c r="M28" s="3320"/>
      <c r="N28" s="3320"/>
      <c r="O28" s="3320"/>
      <c r="P28" s="3320"/>
      <c r="Q28" s="3320"/>
      <c r="R28" s="3320"/>
      <c r="S28" s="3320"/>
    </row>
    <row r="29" spans="1:256">
      <c r="B29" s="3326" t="s">
        <v>1367</v>
      </c>
      <c r="C29" s="3338">
        <f>'Journeys per season'!C28</f>
        <v>378.24741799739905</v>
      </c>
      <c r="D29" s="3324"/>
      <c r="E29" s="3320"/>
      <c r="I29" s="3320"/>
      <c r="J29" s="3320"/>
      <c r="K29" s="3320"/>
      <c r="L29" s="3320"/>
      <c r="M29" s="3320"/>
      <c r="N29" s="3320"/>
      <c r="O29" s="3320"/>
      <c r="P29" s="3320"/>
      <c r="Q29" s="3320"/>
      <c r="R29" s="3320"/>
      <c r="S29" s="3320"/>
    </row>
    <row r="30" spans="1:256" s="24" customFormat="1">
      <c r="A30" s="3313"/>
      <c r="B30" s="3320"/>
      <c r="C30" s="3320"/>
      <c r="D30" s="3320"/>
      <c r="E30" s="3320"/>
      <c r="F30" s="3313"/>
      <c r="G30" s="3313"/>
      <c r="H30" s="3313"/>
      <c r="I30" s="3320"/>
      <c r="J30" s="3320"/>
      <c r="K30" s="3320"/>
      <c r="L30" s="3320"/>
      <c r="M30" s="3320"/>
      <c r="N30" s="3320"/>
      <c r="O30" s="3320"/>
      <c r="P30" s="3320"/>
      <c r="Q30" s="3320"/>
      <c r="R30" s="3320"/>
      <c r="S30" s="3320"/>
      <c r="T30" s="3313"/>
      <c r="U30" s="3313"/>
      <c r="V30" s="3313"/>
      <c r="W30" s="3313"/>
      <c r="X30" s="3313"/>
      <c r="Y30" s="3313"/>
      <c r="Z30" s="3313"/>
      <c r="AA30" s="3313"/>
      <c r="AB30" s="3313"/>
      <c r="AC30" s="3313"/>
      <c r="AD30" s="3313"/>
      <c r="AE30" s="3313"/>
      <c r="AF30" s="3313"/>
      <c r="AG30" s="3313"/>
      <c r="AH30" s="3313"/>
      <c r="AI30" s="3313"/>
      <c r="AJ30" s="3313"/>
      <c r="AK30" s="3313"/>
      <c r="AL30" s="3313"/>
      <c r="AM30" s="3313"/>
      <c r="AN30" s="3313"/>
      <c r="AO30" s="3313"/>
      <c r="AP30" s="3313"/>
      <c r="AQ30" s="3313"/>
      <c r="AR30" s="3313"/>
      <c r="AS30" s="3313"/>
      <c r="AT30" s="3313"/>
      <c r="AU30" s="3313"/>
      <c r="AV30" s="3313"/>
      <c r="AW30" s="3313"/>
      <c r="AX30" s="3313"/>
      <c r="AY30" s="3313"/>
      <c r="AZ30" s="3313"/>
      <c r="BA30" s="3313"/>
      <c r="BB30" s="3313"/>
      <c r="BC30" s="3313"/>
      <c r="BD30" s="3313"/>
      <c r="BE30" s="3313"/>
      <c r="BF30" s="3313"/>
      <c r="BG30" s="3313"/>
      <c r="BH30" s="3313"/>
      <c r="BI30" s="3313"/>
      <c r="BJ30" s="3313"/>
      <c r="BK30" s="3313"/>
      <c r="BL30" s="3313"/>
      <c r="BM30" s="3313"/>
      <c r="BN30" s="3313"/>
      <c r="BO30" s="3313"/>
      <c r="BP30" s="3313"/>
      <c r="BQ30" s="3313"/>
      <c r="BR30" s="3313"/>
      <c r="BS30" s="3313"/>
      <c r="BT30" s="3313"/>
      <c r="BU30" s="3313"/>
      <c r="BV30" s="3313"/>
      <c r="BW30" s="3313"/>
      <c r="BX30" s="3313"/>
      <c r="BY30" s="3313"/>
      <c r="BZ30" s="3313"/>
      <c r="CA30" s="3313"/>
      <c r="CB30" s="3313"/>
      <c r="CC30" s="3313"/>
      <c r="CD30" s="3313"/>
      <c r="CE30" s="3313"/>
      <c r="CF30" s="3313"/>
      <c r="CG30" s="3313"/>
      <c r="CH30" s="3313"/>
      <c r="CI30" s="3313"/>
      <c r="CJ30" s="3313"/>
      <c r="CK30" s="3313"/>
      <c r="CL30" s="3313"/>
      <c r="CM30" s="3313"/>
      <c r="CN30" s="3313"/>
      <c r="CO30" s="3313"/>
      <c r="CP30" s="3313"/>
      <c r="CQ30" s="3313"/>
      <c r="CR30" s="3313"/>
      <c r="CS30" s="3313"/>
      <c r="CT30" s="3313"/>
      <c r="CU30" s="3313"/>
      <c r="CV30" s="3313"/>
      <c r="CW30" s="3313"/>
      <c r="CX30" s="3313"/>
      <c r="CY30" s="3313"/>
      <c r="CZ30" s="3313"/>
      <c r="DA30" s="3313"/>
      <c r="DB30" s="3313"/>
      <c r="DC30" s="3313"/>
      <c r="DD30" s="3313"/>
      <c r="DE30" s="3313"/>
      <c r="DF30" s="3313"/>
      <c r="DG30" s="3313"/>
      <c r="DH30" s="3313"/>
      <c r="DI30" s="3313"/>
      <c r="DJ30" s="3313"/>
      <c r="DK30" s="3313"/>
      <c r="DL30" s="3313"/>
      <c r="DM30" s="3313"/>
      <c r="DN30" s="3313"/>
      <c r="DO30" s="3313"/>
      <c r="DP30" s="3313"/>
      <c r="DQ30" s="3313"/>
      <c r="DR30" s="3313"/>
      <c r="DS30" s="3313"/>
      <c r="DT30" s="3313"/>
      <c r="DU30" s="3313"/>
      <c r="DV30" s="3313"/>
      <c r="DW30" s="3313"/>
      <c r="DX30" s="3313"/>
      <c r="DY30" s="3313"/>
      <c r="DZ30" s="3313"/>
      <c r="EA30" s="3313"/>
      <c r="EB30" s="3313"/>
      <c r="EC30" s="3313"/>
      <c r="ED30" s="3313"/>
      <c r="EE30" s="3313"/>
      <c r="EF30" s="3313"/>
      <c r="EG30" s="3313"/>
      <c r="EH30" s="3313"/>
      <c r="EI30" s="3313"/>
      <c r="EJ30" s="3313"/>
      <c r="EK30" s="3313"/>
      <c r="EL30" s="3313"/>
      <c r="EM30" s="3313"/>
      <c r="EN30" s="3313"/>
      <c r="EO30" s="3313"/>
      <c r="EP30" s="3313"/>
      <c r="EQ30" s="3313"/>
      <c r="ER30" s="3313"/>
      <c r="ES30" s="3313"/>
      <c r="ET30" s="3313"/>
      <c r="EU30" s="3313"/>
      <c r="EV30" s="3313"/>
      <c r="EW30" s="3313"/>
      <c r="EX30" s="3313"/>
      <c r="EY30" s="3313"/>
      <c r="EZ30" s="3313"/>
      <c r="FA30" s="3313"/>
      <c r="FB30" s="3313"/>
      <c r="FC30" s="3313"/>
      <c r="FD30" s="3313"/>
      <c r="FE30" s="3313"/>
      <c r="FF30" s="3313"/>
      <c r="FG30" s="3313"/>
      <c r="FH30" s="3313"/>
      <c r="FI30" s="3313"/>
      <c r="FJ30" s="3313"/>
      <c r="FK30" s="3313"/>
      <c r="FL30" s="3313"/>
      <c r="FM30" s="3313"/>
      <c r="FN30" s="3313"/>
      <c r="FO30" s="3313"/>
      <c r="FP30" s="3313"/>
      <c r="FQ30" s="3313"/>
      <c r="FR30" s="3313"/>
      <c r="FS30" s="3313"/>
      <c r="FT30" s="3313"/>
      <c r="FU30" s="3313"/>
      <c r="FV30" s="3313"/>
      <c r="FW30" s="3313"/>
      <c r="FX30" s="3313"/>
      <c r="FY30" s="3313"/>
      <c r="FZ30" s="3313"/>
      <c r="GA30" s="3313"/>
      <c r="GB30" s="3313"/>
      <c r="GC30" s="3313"/>
      <c r="GD30" s="3313"/>
      <c r="GE30" s="3313"/>
      <c r="GF30" s="3313"/>
      <c r="GG30" s="3313"/>
      <c r="GH30" s="3313"/>
      <c r="GI30" s="3313"/>
      <c r="GJ30" s="3313"/>
      <c r="GK30" s="3313"/>
      <c r="GL30" s="3313"/>
      <c r="GM30" s="3313"/>
      <c r="GN30" s="3313"/>
      <c r="GO30" s="3313"/>
      <c r="GP30" s="3313"/>
      <c r="GQ30" s="3313"/>
      <c r="GR30" s="3313"/>
      <c r="GS30" s="3313"/>
      <c r="GT30" s="3313"/>
      <c r="GU30" s="3313"/>
      <c r="GV30" s="3313"/>
      <c r="GW30" s="3313"/>
      <c r="GX30" s="3313"/>
      <c r="GY30" s="3313"/>
      <c r="GZ30" s="3313"/>
      <c r="HA30" s="3313"/>
      <c r="HB30" s="3313"/>
      <c r="HC30" s="3313"/>
      <c r="HD30" s="3313"/>
      <c r="HE30" s="3313"/>
      <c r="HF30" s="3313"/>
      <c r="HG30" s="3313"/>
      <c r="HH30" s="3313"/>
      <c r="HI30" s="3313"/>
      <c r="HJ30" s="3313"/>
      <c r="HK30" s="3313"/>
      <c r="HL30" s="3313"/>
      <c r="HM30" s="3313"/>
      <c r="HN30" s="3313"/>
      <c r="HO30" s="3313"/>
      <c r="HP30" s="3313"/>
      <c r="HQ30" s="3313"/>
      <c r="HR30" s="3313"/>
      <c r="HS30" s="3313"/>
      <c r="HT30" s="3313"/>
      <c r="HU30" s="3313"/>
      <c r="HV30" s="3313"/>
      <c r="HW30" s="3313"/>
      <c r="HX30" s="3313"/>
      <c r="HY30" s="3313"/>
      <c r="HZ30" s="3313"/>
      <c r="IA30" s="3313"/>
      <c r="IB30" s="3313"/>
      <c r="IC30" s="3313"/>
      <c r="ID30" s="3313"/>
      <c r="IE30" s="3313"/>
      <c r="IF30" s="3313"/>
      <c r="IG30" s="3313"/>
      <c r="IH30" s="3313"/>
      <c r="II30" s="3313"/>
      <c r="IJ30" s="3313"/>
      <c r="IK30" s="3313"/>
      <c r="IL30" s="3313"/>
      <c r="IM30" s="3313"/>
      <c r="IN30" s="3313"/>
      <c r="IO30" s="3313"/>
      <c r="IP30" s="3313"/>
      <c r="IQ30" s="3313"/>
      <c r="IR30" s="3313"/>
      <c r="IS30" s="3313"/>
      <c r="IT30" s="3313"/>
      <c r="IU30" s="3313"/>
      <c r="IV30" s="3313"/>
    </row>
    <row r="31" spans="1:256" ht="13.8" thickBot="1">
      <c r="B31" s="3320"/>
      <c r="C31" s="3320"/>
      <c r="D31" s="3320"/>
      <c r="E31" s="3320"/>
      <c r="I31" s="3320"/>
      <c r="J31" s="3320"/>
      <c r="K31" s="3320"/>
      <c r="L31" s="3320"/>
      <c r="M31" s="3320"/>
      <c r="N31" s="3320"/>
      <c r="O31" s="3320"/>
      <c r="P31" s="3320"/>
      <c r="Q31" s="3320"/>
      <c r="R31" s="3320"/>
      <c r="S31" s="3320"/>
    </row>
    <row r="32" spans="1:256" ht="13.8" thickTop="1">
      <c r="B32" s="3328" t="s">
        <v>2207</v>
      </c>
      <c r="C32" s="3328" t="s">
        <v>2196</v>
      </c>
      <c r="D32" s="3328"/>
      <c r="E32" s="3328"/>
      <c r="I32" s="3320"/>
      <c r="J32" s="3320"/>
      <c r="K32" s="3320"/>
      <c r="L32" s="3320"/>
      <c r="M32" s="3320"/>
      <c r="N32" s="3320"/>
      <c r="O32" s="3320"/>
      <c r="P32" s="3320"/>
      <c r="Q32" s="3320"/>
      <c r="R32" s="3320"/>
      <c r="S32" s="3320"/>
    </row>
    <row r="33" spans="2:19">
      <c r="B33" s="3329" t="s">
        <v>2197</v>
      </c>
      <c r="C33" s="3329" t="s">
        <v>2198</v>
      </c>
      <c r="D33" s="3329" t="s">
        <v>2199</v>
      </c>
      <c r="E33" s="3329" t="s">
        <v>2200</v>
      </c>
      <c r="I33" s="3320"/>
      <c r="J33" s="3320"/>
      <c r="K33" s="3320"/>
      <c r="L33" s="3320"/>
      <c r="M33" s="3320"/>
      <c r="N33" s="3320"/>
      <c r="O33" s="3320"/>
      <c r="P33" s="3320"/>
      <c r="Q33" s="3320"/>
      <c r="R33" s="3320"/>
      <c r="S33" s="3320"/>
    </row>
    <row r="34" spans="2:19">
      <c r="B34" s="3333" t="s">
        <v>2201</v>
      </c>
      <c r="C34" s="3337">
        <f>'Journeys per season'!C33</f>
        <v>8.760394606053362</v>
      </c>
      <c r="D34" s="3337">
        <f>'Journeys per season'!D33</f>
        <v>8.2851470319661846</v>
      </c>
      <c r="E34" s="3337">
        <f>'Journeys per season'!E33</f>
        <v>8.2851470319661846</v>
      </c>
      <c r="I34" s="3320"/>
      <c r="J34" s="3320"/>
      <c r="K34" s="3320"/>
      <c r="L34" s="3320"/>
      <c r="M34" s="3320"/>
      <c r="N34" s="3320"/>
      <c r="O34" s="3320"/>
      <c r="P34" s="3320"/>
      <c r="Q34" s="3320"/>
      <c r="R34" s="3320"/>
      <c r="S34" s="3320"/>
    </row>
    <row r="35" spans="2:19">
      <c r="B35" s="3333" t="s">
        <v>2202</v>
      </c>
      <c r="C35" s="3338">
        <f>'Journeys per season'!C34</f>
        <v>6.8156441976912596</v>
      </c>
      <c r="D35" s="3338">
        <f>'Journeys per season'!D34</f>
        <v>6.8156441976912596</v>
      </c>
      <c r="E35" s="3338">
        <f>'Journeys per season'!E34</f>
        <v>5.1448565954721426</v>
      </c>
      <c r="I35" s="3320"/>
      <c r="J35" s="3320"/>
      <c r="K35" s="3320"/>
      <c r="L35" s="3320"/>
      <c r="M35" s="3320"/>
      <c r="N35" s="3320"/>
      <c r="O35" s="3320"/>
      <c r="P35" s="3320"/>
      <c r="Q35" s="3320"/>
      <c r="R35" s="3320"/>
      <c r="S35" s="3320"/>
    </row>
    <row r="36" spans="2:19">
      <c r="B36" s="3333" t="s">
        <v>2203</v>
      </c>
      <c r="C36" s="3338">
        <f>'Journeys per season'!C35</f>
        <v>8.8311932781885769</v>
      </c>
      <c r="D36" s="3338">
        <f>'Journeys per season'!D35</f>
        <v>8.2129243067384952</v>
      </c>
      <c r="E36" s="3338">
        <f>'Journeys per season'!E35</f>
        <v>8.2129243067384952</v>
      </c>
      <c r="I36" s="3320"/>
      <c r="J36" s="3320"/>
      <c r="K36" s="3320"/>
      <c r="L36" s="3320"/>
      <c r="M36" s="3320"/>
      <c r="N36" s="3320"/>
      <c r="O36" s="3320"/>
      <c r="P36" s="3320"/>
      <c r="Q36" s="3320"/>
      <c r="R36" s="3320"/>
      <c r="S36" s="3320"/>
    </row>
    <row r="37" spans="2:19">
      <c r="B37" s="3333" t="s">
        <v>2204</v>
      </c>
      <c r="C37" s="3337">
        <f>'Journeys per season'!C36</f>
        <v>8.7202330217674859</v>
      </c>
      <c r="D37" s="3337">
        <f>'Journeys per season'!D36</f>
        <v>7.8611904808294462</v>
      </c>
      <c r="E37" s="3337">
        <f>'Journeys per season'!E36</f>
        <v>5.1503147224856471</v>
      </c>
      <c r="I37" s="3320"/>
      <c r="J37" s="3320"/>
      <c r="K37" s="3320"/>
      <c r="L37" s="3320"/>
      <c r="M37" s="3320"/>
      <c r="N37" s="3320"/>
      <c r="O37" s="3320"/>
      <c r="P37" s="3320"/>
      <c r="Q37" s="3320"/>
      <c r="R37" s="3320"/>
      <c r="S37" s="3320"/>
    </row>
    <row r="38" spans="2:19">
      <c r="B38" s="3333" t="s">
        <v>1862</v>
      </c>
      <c r="C38" s="3338">
        <f>'Journeys per season'!C37</f>
        <v>8.7166513339466434</v>
      </c>
      <c r="D38" s="3338">
        <f>'Journeys per season'!D37</f>
        <v>8.1512667364956144</v>
      </c>
      <c r="E38" s="3338">
        <f>'Journeys per season'!E37</f>
        <v>8.1512667364956144</v>
      </c>
      <c r="I38" s="3320"/>
      <c r="J38" s="3320"/>
      <c r="K38" s="3320"/>
      <c r="L38" s="3320"/>
      <c r="M38" s="3320"/>
      <c r="N38" s="3320"/>
      <c r="O38" s="3320"/>
      <c r="P38" s="3320"/>
      <c r="Q38" s="3320"/>
      <c r="R38" s="3320"/>
      <c r="S38" s="3320"/>
    </row>
    <row r="39" spans="2:19">
      <c r="B39" s="3333" t="s">
        <v>1627</v>
      </c>
      <c r="C39" s="3338">
        <f>'Journeys per season'!C38</f>
        <v>8.3261892509397519</v>
      </c>
      <c r="D39" s="3338">
        <f>'Journeys per season'!D38</f>
        <v>8.238187665866759</v>
      </c>
      <c r="E39" s="3338">
        <f>'Journeys per season'!E38</f>
        <v>8.238187665866759</v>
      </c>
      <c r="I39" s="3320"/>
      <c r="J39" s="3320"/>
      <c r="K39" s="3320"/>
      <c r="L39" s="3320"/>
      <c r="M39" s="3320"/>
      <c r="N39" s="3320"/>
      <c r="O39" s="3320"/>
      <c r="P39" s="3320"/>
      <c r="Q39" s="3320"/>
      <c r="R39" s="3320"/>
      <c r="S39" s="3320"/>
    </row>
    <row r="40" spans="2:19">
      <c r="B40" s="2699"/>
      <c r="C40" s="3105"/>
      <c r="D40" s="3105"/>
      <c r="E40" s="3105"/>
      <c r="I40" s="3320"/>
      <c r="J40" s="3320"/>
      <c r="K40" s="3320"/>
      <c r="L40" s="3320"/>
      <c r="M40" s="3320"/>
      <c r="N40" s="3320"/>
      <c r="O40" s="3320"/>
      <c r="P40" s="3320"/>
      <c r="Q40" s="3320"/>
      <c r="R40" s="3320"/>
      <c r="S40" s="3320"/>
    </row>
    <row r="41" spans="2:19" ht="13.8" thickBot="1">
      <c r="B41" s="2699"/>
      <c r="C41" s="3105"/>
      <c r="D41" s="3105"/>
      <c r="E41" s="3105"/>
      <c r="I41" s="3320"/>
      <c r="J41" s="3320"/>
      <c r="K41" s="3320"/>
      <c r="L41" s="3320"/>
      <c r="M41" s="3320"/>
      <c r="N41" s="3320"/>
      <c r="O41" s="3320"/>
      <c r="P41" s="3320"/>
      <c r="Q41" s="3320"/>
      <c r="R41" s="3320"/>
      <c r="S41" s="3320"/>
    </row>
    <row r="42" spans="2:19" ht="14.4" thickTop="1" thickBot="1">
      <c r="B42" s="3327" t="s">
        <v>2207</v>
      </c>
      <c r="C42" s="3327" t="s">
        <v>2196</v>
      </c>
      <c r="D42" s="3327"/>
      <c r="E42" s="3327"/>
      <c r="I42" s="3320"/>
      <c r="J42" s="3320"/>
      <c r="K42" s="3320"/>
      <c r="L42" s="3320"/>
      <c r="M42" s="3320"/>
      <c r="N42" s="3320"/>
      <c r="O42" s="3320"/>
      <c r="P42" s="3320"/>
      <c r="Q42" s="3320"/>
      <c r="R42" s="3320"/>
      <c r="S42" s="3320"/>
    </row>
    <row r="43" spans="2:19" ht="13.8" thickTop="1">
      <c r="B43" s="3329" t="s">
        <v>2197</v>
      </c>
      <c r="C43" s="3329" t="s">
        <v>2198</v>
      </c>
      <c r="D43" s="3329" t="s">
        <v>2199</v>
      </c>
      <c r="E43" s="3329" t="s">
        <v>2200</v>
      </c>
      <c r="I43" s="3320"/>
      <c r="J43" s="3320"/>
      <c r="K43" s="3320"/>
      <c r="L43" s="3320"/>
      <c r="M43" s="3320"/>
      <c r="N43" s="3320"/>
      <c r="O43" s="3320"/>
      <c r="P43" s="3320"/>
      <c r="Q43" s="3320"/>
      <c r="R43" s="3320"/>
      <c r="S43" s="3320"/>
    </row>
    <row r="44" spans="2:19">
      <c r="B44" s="3325" t="s">
        <v>2201</v>
      </c>
      <c r="C44" s="3337">
        <f>'Journeys per season'!C43</f>
        <v>42.038561181964937</v>
      </c>
      <c r="D44" s="3337">
        <f>'Journeys per season'!D43</f>
        <v>31.533283455214438</v>
      </c>
      <c r="E44" s="3337">
        <f>'Journeys per season'!E43</f>
        <v>31.533283455214438</v>
      </c>
      <c r="I44" s="3320"/>
      <c r="J44" s="3320"/>
      <c r="K44" s="3320"/>
      <c r="L44" s="3320"/>
      <c r="M44" s="3320"/>
      <c r="N44" s="3320"/>
      <c r="O44" s="3320"/>
      <c r="P44" s="3320"/>
      <c r="Q44" s="3320"/>
      <c r="R44" s="3320"/>
      <c r="S44" s="3320"/>
    </row>
    <row r="45" spans="2:19">
      <c r="B45" s="3325" t="s">
        <v>2202</v>
      </c>
      <c r="C45" s="3338">
        <f>'Journeys per season'!C44</f>
        <v>28.73641499232664</v>
      </c>
      <c r="D45" s="3338">
        <f>'Journeys per season'!D44</f>
        <v>28.73641499232664</v>
      </c>
      <c r="E45" s="3338">
        <f>'Journeys per season'!E44</f>
        <v>22.041437713643521</v>
      </c>
      <c r="I45" s="3320"/>
      <c r="J45" s="3320"/>
      <c r="K45" s="3320"/>
      <c r="L45" s="3320"/>
      <c r="M45" s="3320"/>
      <c r="N45" s="3320"/>
      <c r="O45" s="3320"/>
      <c r="P45" s="3320"/>
      <c r="Q45" s="3320"/>
      <c r="R45" s="3320"/>
      <c r="S45" s="3320"/>
    </row>
    <row r="46" spans="2:19">
      <c r="B46" s="3325" t="s">
        <v>2203</v>
      </c>
      <c r="C46" s="3338">
        <f>'Journeys per season'!C45</f>
        <v>37.777282993222542</v>
      </c>
      <c r="D46" s="3338">
        <f>'Journeys per season'!D45</f>
        <v>37.777282993222542</v>
      </c>
      <c r="E46" s="3338">
        <f>'Journeys per season'!E45</f>
        <v>37.777282993222542</v>
      </c>
      <c r="I46" s="3320"/>
      <c r="J46" s="3320"/>
      <c r="K46" s="3320"/>
      <c r="L46" s="3320"/>
      <c r="M46" s="3320"/>
      <c r="N46" s="3320"/>
      <c r="O46" s="3320"/>
      <c r="P46" s="3320"/>
      <c r="Q46" s="3320"/>
      <c r="R46" s="3320"/>
      <c r="S46" s="3320"/>
    </row>
    <row r="47" spans="2:19">
      <c r="B47" s="3325" t="s">
        <v>2204</v>
      </c>
      <c r="C47" s="3337">
        <f>'Journeys per season'!C46</f>
        <v>33.347716030580877</v>
      </c>
      <c r="D47" s="3337">
        <f>'Journeys per season'!D46</f>
        <v>33.347716030580877</v>
      </c>
      <c r="E47" s="3337">
        <f>'Journeys per season'!E46</f>
        <v>33.347716030580877</v>
      </c>
      <c r="I47" s="3320"/>
      <c r="J47" s="3320"/>
      <c r="K47" s="3320"/>
      <c r="L47" s="3320"/>
      <c r="M47" s="3320"/>
      <c r="N47" s="3320"/>
      <c r="O47" s="3320"/>
      <c r="P47" s="3320"/>
      <c r="Q47" s="3320"/>
      <c r="R47" s="3320"/>
      <c r="S47" s="3320"/>
    </row>
    <row r="48" spans="2:19">
      <c r="B48" s="3325" t="s">
        <v>1862</v>
      </c>
      <c r="C48" s="3338">
        <f>'Journeys per season'!C47</f>
        <v>36.957563076471978</v>
      </c>
      <c r="D48" s="3338">
        <f>'Journeys per season'!D47</f>
        <v>36.957563076471978</v>
      </c>
      <c r="E48" s="3338">
        <f>'Journeys per season'!E47</f>
        <v>36.957563076471978</v>
      </c>
      <c r="I48" s="3320"/>
      <c r="J48" s="3320"/>
      <c r="K48" s="3320"/>
      <c r="L48" s="3320"/>
      <c r="M48" s="3320"/>
      <c r="N48" s="3320"/>
      <c r="O48" s="3320"/>
      <c r="P48" s="3320"/>
      <c r="Q48" s="3320"/>
      <c r="R48" s="3320"/>
      <c r="S48" s="3320"/>
    </row>
    <row r="49" spans="2:19">
      <c r="B49" s="3325" t="s">
        <v>1627</v>
      </c>
      <c r="C49" s="3338">
        <f>'Journeys per season'!C48</f>
        <v>38.768089693897217</v>
      </c>
      <c r="D49" s="3338">
        <f>'Journeys per season'!D48</f>
        <v>38.768089693897217</v>
      </c>
      <c r="E49" s="3338">
        <f>'Journeys per season'!E48</f>
        <v>38.768089693897217</v>
      </c>
      <c r="I49" s="3320"/>
      <c r="J49" s="3320"/>
      <c r="K49" s="3320"/>
      <c r="L49" s="3320"/>
      <c r="M49" s="3320"/>
      <c r="N49" s="3320"/>
      <c r="O49" s="3320"/>
      <c r="P49" s="3320"/>
      <c r="Q49" s="3320"/>
      <c r="R49" s="3320"/>
      <c r="S49" s="3320"/>
    </row>
    <row r="50" spans="2:19" ht="13.8" thickBot="1">
      <c r="B50" s="3316"/>
      <c r="C50" s="3320"/>
      <c r="D50" s="3320"/>
      <c r="E50" s="3320"/>
      <c r="I50" s="3320"/>
      <c r="J50" s="3320"/>
      <c r="K50" s="3320"/>
      <c r="L50" s="3320"/>
      <c r="M50" s="3320"/>
      <c r="N50" s="3320"/>
      <c r="O50" s="3320"/>
      <c r="P50" s="3320"/>
      <c r="Q50" s="3320"/>
      <c r="R50" s="3320"/>
      <c r="S50" s="3320"/>
    </row>
    <row r="51" spans="2:19" ht="14.4" thickTop="1" thickBot="1">
      <c r="B51" s="3327" t="s">
        <v>2207</v>
      </c>
      <c r="C51" s="3327" t="s">
        <v>2196</v>
      </c>
      <c r="D51" s="3327"/>
      <c r="E51" s="3327"/>
      <c r="I51" s="3320"/>
      <c r="J51" s="3320"/>
      <c r="K51" s="3320"/>
      <c r="L51" s="3320"/>
      <c r="M51" s="3320"/>
      <c r="N51" s="3320"/>
      <c r="O51" s="3320"/>
      <c r="P51" s="3320"/>
      <c r="Q51" s="3320"/>
      <c r="R51" s="3320"/>
      <c r="S51" s="3320"/>
    </row>
    <row r="52" spans="2:19" ht="13.8" thickTop="1">
      <c r="B52" s="3329" t="s">
        <v>2197</v>
      </c>
      <c r="C52" s="3329" t="s">
        <v>2198</v>
      </c>
      <c r="D52" s="3329" t="s">
        <v>2199</v>
      </c>
      <c r="E52" s="3329" t="s">
        <v>2200</v>
      </c>
      <c r="I52" s="3320"/>
      <c r="J52" s="3320"/>
      <c r="K52" s="3320"/>
      <c r="L52" s="3320"/>
      <c r="M52" s="3320"/>
      <c r="N52" s="3320"/>
      <c r="O52" s="3320"/>
      <c r="P52" s="3320"/>
      <c r="Q52" s="3320"/>
      <c r="R52" s="3320"/>
      <c r="S52" s="3320"/>
    </row>
    <row r="53" spans="2:19">
      <c r="B53" s="3325" t="s">
        <v>2201</v>
      </c>
      <c r="C53" s="3337">
        <f>'Journeys per season'!C52</f>
        <v>448.87113023805995</v>
      </c>
      <c r="D53" s="3337">
        <f>'Journeys per season'!D52</f>
        <v>305.70060438723766</v>
      </c>
      <c r="E53" s="3337">
        <f>'Journeys per season'!E52</f>
        <v>305.70060438723766</v>
      </c>
      <c r="I53" s="3320"/>
      <c r="J53" s="3320"/>
      <c r="K53" s="3320"/>
      <c r="L53" s="3320"/>
      <c r="M53" s="3320"/>
      <c r="N53" s="3320"/>
      <c r="O53" s="3320"/>
      <c r="P53" s="3320"/>
      <c r="Q53" s="3320"/>
      <c r="R53" s="3320"/>
      <c r="S53" s="3320"/>
    </row>
    <row r="54" spans="2:19" ht="13.5" customHeight="1">
      <c r="B54" s="3325" t="s">
        <v>2202</v>
      </c>
      <c r="C54" s="3338">
        <f>'Journeys per season'!C53</f>
        <v>270.78845073235959</v>
      </c>
      <c r="D54" s="3338">
        <f>'Journeys per season'!D53</f>
        <v>270.78845073235959</v>
      </c>
      <c r="E54" s="3338">
        <f>'Journeys per season'!E53</f>
        <v>196.72132318404849</v>
      </c>
    </row>
    <row r="55" spans="2:19" ht="13.5" customHeight="1">
      <c r="B55" s="3325" t="s">
        <v>2203</v>
      </c>
      <c r="C55" s="3338">
        <f>'Journeys per season'!C54</f>
        <v>408.01929917090177</v>
      </c>
      <c r="D55" s="3338">
        <f>'Journeys per season'!D54</f>
        <v>408.01929917090177</v>
      </c>
      <c r="E55" s="3338">
        <f>'Journeys per season'!E54</f>
        <v>408.01929917090177</v>
      </c>
    </row>
    <row r="56" spans="2:19" ht="13.5" customHeight="1">
      <c r="B56" s="3325" t="s">
        <v>2204</v>
      </c>
      <c r="C56" s="3337">
        <f>'Journeys per season'!C55</f>
        <v>324.66149924135721</v>
      </c>
      <c r="D56" s="3337">
        <f>'Journeys per season'!D55</f>
        <v>324.66149924135721</v>
      </c>
      <c r="E56" s="3337">
        <f>'Journeys per season'!E55</f>
        <v>324.66149924135721</v>
      </c>
    </row>
    <row r="57" spans="2:19" ht="13.5" customHeight="1">
      <c r="B57" s="3325" t="s">
        <v>1862</v>
      </c>
      <c r="C57" s="3338">
        <f>'Journeys per season'!C56</f>
        <v>351.3800209690686</v>
      </c>
      <c r="D57" s="3338">
        <f>'Journeys per season'!D56</f>
        <v>351.3800209690686</v>
      </c>
      <c r="E57" s="3338">
        <f>'Journeys per season'!E56</f>
        <v>351.3800209690686</v>
      </c>
    </row>
    <row r="58" spans="2:19" ht="13.5" customHeight="1">
      <c r="B58" s="3325" t="s">
        <v>1627</v>
      </c>
      <c r="C58" s="3338">
        <f>'Journeys per season'!C57</f>
        <v>338.49115217451555</v>
      </c>
      <c r="D58" s="3338">
        <f>'Journeys per season'!D57</f>
        <v>338.49115217451555</v>
      </c>
      <c r="E58" s="3338">
        <f>'Journeys per season'!E57</f>
        <v>338.49115217451555</v>
      </c>
    </row>
    <row r="59" spans="2:19" ht="13.5" customHeight="1"/>
    <row r="60" spans="2:19" ht="13.5" customHeight="1"/>
    <row r="61" spans="2:19" ht="13.5" customHeight="1"/>
    <row r="62" spans="2:19" ht="13.5" customHeight="1"/>
    <row r="63" spans="2:19" ht="13.5" customHeight="1"/>
    <row r="64" spans="2:19"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M4: Forecasting &amp; Uncertainty" display="WebTAG Unit M 4"/>
    <hyperlink ref="E9" r:id="rId2"/>
  </hyperlinks>
  <pageMargins left="0.75" right="0.75" top="1" bottom="1" header="0.5" footer="0.5"/>
  <pageSetup paperSize="8" scale="79" fitToWidth="2" fitToHeight="0" orientation="landscape" r:id="rId3"/>
  <headerFooter alignWithMargins="0"/>
  <colBreaks count="1" manualBreakCount="1">
    <brk id="19" max="1048575" man="1"/>
  </colBreaks>
  <drawing r:id="rId4"/>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tabColor rgb="FFFF0000"/>
  </sheetPr>
  <dimension ref="A1:IV87"/>
  <sheetViews>
    <sheetView showGridLines="0" topLeftCell="A4" zoomScale="70" zoomScaleNormal="70" workbookViewId="0">
      <selection activeCell="E23" sqref="E23:F23"/>
    </sheetView>
  </sheetViews>
  <sheetFormatPr defaultColWidth="12.88671875" defaultRowHeight="13.2"/>
  <cols>
    <col min="1" max="1" width="12.88671875" style="3313" customWidth="1"/>
    <col min="2" max="2" width="51" style="3313" customWidth="1"/>
    <col min="3" max="3" width="18.44140625" style="3313" customWidth="1"/>
    <col min="4" max="4" width="16.109375" style="3313" customWidth="1"/>
    <col min="5" max="5" width="15.109375" style="3313" customWidth="1"/>
    <col min="6" max="6" width="17.6640625" style="3313" customWidth="1"/>
    <col min="7" max="7" width="16.109375" style="3313" customWidth="1"/>
    <col min="8" max="8" width="12.88671875" style="3313" customWidth="1"/>
    <col min="9" max="9" width="14.44140625" style="3313" customWidth="1"/>
    <col min="10" max="10" width="51.109375" style="3313" bestFit="1" customWidth="1"/>
    <col min="11" max="11" width="18.44140625" style="3313" customWidth="1"/>
    <col min="12" max="15" width="12.88671875" style="3313"/>
    <col min="16" max="16" width="18" style="3313" customWidth="1"/>
    <col min="17" max="17" width="42.5546875" style="3313" bestFit="1" customWidth="1"/>
    <col min="18" max="18" width="44.33203125" style="3313" bestFit="1" customWidth="1"/>
    <col min="19" max="19" width="36.88671875" style="3313" bestFit="1" customWidth="1"/>
    <col min="20" max="16384" width="12.88671875" style="3313"/>
  </cols>
  <sheetData>
    <row r="1" spans="1:38" ht="54.9" customHeight="1">
      <c r="A1" s="3569"/>
      <c r="B1" s="3569"/>
      <c r="C1" s="112"/>
    </row>
    <row r="2" spans="1:38" ht="5.0999999999999996" customHeight="1">
      <c r="C2" s="111"/>
    </row>
    <row r="3" spans="1:38" s="20" customFormat="1" ht="20.100000000000001" customHeight="1">
      <c r="A3" s="83" t="s">
        <v>2210</v>
      </c>
      <c r="B3" s="83"/>
      <c r="C3" s="83"/>
      <c r="D3" s="83"/>
      <c r="E3" s="83"/>
      <c r="F3" s="83"/>
      <c r="G3" s="83"/>
      <c r="H3" s="83"/>
      <c r="I3" s="83"/>
      <c r="J3" s="83"/>
      <c r="K3" s="83"/>
      <c r="L3" s="83"/>
      <c r="M3" s="83"/>
      <c r="N3" s="83"/>
      <c r="O3" s="83"/>
      <c r="P3" s="83"/>
      <c r="Q3" s="83"/>
      <c r="R3" s="83"/>
      <c r="S3" s="83"/>
      <c r="W3" s="83"/>
      <c r="X3" s="83"/>
      <c r="Y3" s="83"/>
      <c r="Z3" s="83"/>
      <c r="AA3" s="46"/>
      <c r="AB3" s="83"/>
      <c r="AL3" s="150"/>
    </row>
    <row r="4" spans="1:38" s="20" customFormat="1" ht="20.100000000000001" customHeight="1" thickBot="1">
      <c r="A4" s="109" t="s">
        <v>1631</v>
      </c>
      <c r="B4" s="109"/>
      <c r="C4" s="109"/>
      <c r="D4" s="109"/>
      <c r="E4" s="109"/>
      <c r="F4" s="109"/>
      <c r="G4" s="109"/>
      <c r="H4" s="109"/>
      <c r="I4" s="109"/>
      <c r="J4" s="109"/>
      <c r="K4" s="109"/>
      <c r="L4" s="109"/>
      <c r="M4" s="109"/>
      <c r="N4" s="109"/>
      <c r="O4" s="109"/>
      <c r="P4" s="109"/>
      <c r="Q4" s="109"/>
      <c r="R4" s="109"/>
      <c r="S4" s="109"/>
      <c r="W4" s="83"/>
      <c r="X4" s="83"/>
      <c r="Y4" s="83"/>
      <c r="Z4" s="83"/>
      <c r="AA4" s="46"/>
      <c r="AB4" s="83"/>
      <c r="AL4" s="150"/>
    </row>
    <row r="5" spans="1:38" s="3318" customFormat="1" ht="9.9" customHeight="1" thickTop="1" thickBot="1">
      <c r="B5" s="85"/>
      <c r="C5" s="85"/>
      <c r="D5" s="86"/>
      <c r="E5" s="85"/>
      <c r="F5" s="85"/>
      <c r="G5" s="86"/>
      <c r="H5" s="85"/>
      <c r="I5" s="86"/>
      <c r="J5" s="86"/>
      <c r="K5" s="86"/>
      <c r="L5" s="86"/>
      <c r="M5" s="86"/>
      <c r="N5" s="86"/>
      <c r="O5" s="86"/>
      <c r="P5" s="86"/>
      <c r="Q5" s="86"/>
      <c r="R5" s="86"/>
      <c r="S5" s="86"/>
      <c r="W5" s="3319"/>
      <c r="X5" s="3319"/>
      <c r="Y5" s="3319"/>
      <c r="Z5" s="3319"/>
      <c r="AA5" s="3314"/>
      <c r="AB5" s="3319"/>
      <c r="AL5" s="87"/>
    </row>
    <row r="6" spans="1:38" s="3318" customFormat="1" ht="13.5" customHeight="1" thickTop="1" thickBot="1">
      <c r="A6" s="169" t="s">
        <v>10</v>
      </c>
      <c r="B6" s="169"/>
      <c r="E6" s="3321" t="s">
        <v>255</v>
      </c>
      <c r="F6" s="175"/>
      <c r="G6" s="175"/>
      <c r="H6" s="175"/>
      <c r="I6" s="175"/>
      <c r="J6" s="175"/>
      <c r="K6" s="175"/>
      <c r="L6" s="175"/>
      <c r="M6" s="175"/>
      <c r="N6" s="175"/>
      <c r="O6" s="175"/>
      <c r="P6" s="175"/>
      <c r="Q6" s="175"/>
      <c r="R6" s="175"/>
      <c r="S6" s="176"/>
      <c r="W6" s="3319"/>
      <c r="X6" s="3319"/>
      <c r="Y6" s="3319"/>
      <c r="Z6" s="3319"/>
      <c r="AA6" s="3314"/>
      <c r="AB6" s="3319"/>
      <c r="AL6" s="87"/>
    </row>
    <row r="7" spans="1:38" s="3318" customFormat="1" ht="13.5" customHeight="1" thickTop="1">
      <c r="A7" s="3644" t="str">
        <f>Audit!A12</f>
        <v>May 2019 v1.12</v>
      </c>
      <c r="B7" s="3645"/>
      <c r="E7" s="1687" t="s">
        <v>11</v>
      </c>
      <c r="F7" s="158"/>
      <c r="G7" s="159"/>
      <c r="H7" s="159"/>
      <c r="I7" s="159"/>
      <c r="J7" s="159"/>
      <c r="K7" s="159"/>
      <c r="L7" s="159"/>
      <c r="M7" s="159"/>
      <c r="N7" s="159"/>
      <c r="O7" s="159"/>
      <c r="P7" s="159"/>
      <c r="Q7" s="159"/>
      <c r="R7" s="159"/>
      <c r="S7" s="160"/>
      <c r="W7" s="3319"/>
      <c r="X7" s="3319"/>
      <c r="Y7" s="3319"/>
      <c r="Z7" s="3319"/>
      <c r="AA7" s="3314"/>
      <c r="AB7" s="3319"/>
      <c r="AL7" s="87"/>
    </row>
    <row r="8" spans="1:38" s="3318" customFormat="1" ht="13.5" customHeight="1">
      <c r="A8" s="3630">
        <f>Audit!C12</f>
        <v>43586</v>
      </c>
      <c r="B8" s="3631"/>
      <c r="E8" s="2560" t="s">
        <v>2205</v>
      </c>
      <c r="F8"/>
      <c r="G8" s="27"/>
      <c r="H8" s="27"/>
      <c r="I8" s="27"/>
      <c r="J8" s="27"/>
      <c r="K8" s="27"/>
      <c r="L8" s="27"/>
      <c r="M8" s="27"/>
      <c r="N8" s="27"/>
      <c r="O8" s="27"/>
      <c r="P8" s="27"/>
      <c r="Q8" s="27"/>
      <c r="R8" s="27"/>
      <c r="S8" s="55"/>
      <c r="W8" s="3319"/>
      <c r="X8" s="3319"/>
      <c r="Y8" s="3319"/>
      <c r="Z8" s="3319"/>
      <c r="AA8" s="3314"/>
      <c r="AB8" s="3319"/>
      <c r="AL8" s="87"/>
    </row>
    <row r="9" spans="1:38" s="3318" customFormat="1" ht="13.5" customHeight="1" thickBot="1">
      <c r="A9" s="3642" t="s">
        <v>1149</v>
      </c>
      <c r="B9" s="3643"/>
      <c r="E9" s="3336" t="s">
        <v>2206</v>
      </c>
      <c r="F9"/>
      <c r="I9" s="27"/>
      <c r="J9" s="27"/>
      <c r="K9" s="27"/>
      <c r="L9" s="27"/>
      <c r="M9" s="27"/>
      <c r="N9" s="27"/>
      <c r="O9" s="27"/>
      <c r="P9" s="27"/>
      <c r="Q9" s="27"/>
      <c r="R9" s="27"/>
      <c r="S9" s="55"/>
      <c r="W9" s="3319"/>
      <c r="X9" s="3319"/>
      <c r="Y9" s="3319"/>
      <c r="Z9" s="3319"/>
      <c r="AA9" s="3314"/>
      <c r="AB9" s="3319"/>
      <c r="AL9" s="87"/>
    </row>
    <row r="10" spans="1:38" s="3318" customFormat="1" ht="13.5" customHeight="1" thickBot="1">
      <c r="A10" s="3570" t="s">
        <v>1306</v>
      </c>
      <c r="B10" s="3610"/>
      <c r="E10" s="2528" t="s">
        <v>2002</v>
      </c>
      <c r="F10"/>
      <c r="I10" s="3319"/>
      <c r="J10" s="3319"/>
      <c r="K10" s="3319"/>
      <c r="L10" s="3319"/>
      <c r="M10" s="3319"/>
      <c r="N10" s="3319"/>
      <c r="O10" s="3319"/>
      <c r="P10" s="3319"/>
      <c r="Q10" s="3319"/>
      <c r="R10" s="3319"/>
      <c r="S10" s="147"/>
      <c r="W10" s="3319"/>
      <c r="X10" s="3319"/>
      <c r="Y10" s="3319"/>
      <c r="Z10" s="3319"/>
      <c r="AA10" s="3314"/>
      <c r="AB10" s="3319"/>
      <c r="AL10" s="87"/>
    </row>
    <row r="11" spans="1:38" s="3318" customFormat="1" ht="13.5" customHeight="1" thickBot="1">
      <c r="A11" s="3570" t="s">
        <v>2211</v>
      </c>
      <c r="B11" s="3581"/>
      <c r="E11" s="2560"/>
      <c r="F11"/>
      <c r="I11" s="3317"/>
      <c r="J11" s="3317"/>
      <c r="K11" s="3317"/>
      <c r="L11" s="3317"/>
      <c r="M11" s="3317"/>
      <c r="N11" s="3317"/>
      <c r="O11" s="3317"/>
      <c r="P11" s="3317"/>
      <c r="Q11" s="3317"/>
      <c r="R11" s="3317"/>
      <c r="S11" s="107"/>
      <c r="W11" s="3319"/>
      <c r="X11" s="3319"/>
      <c r="Y11" s="3319"/>
      <c r="Z11" s="3319"/>
      <c r="AA11" s="3314"/>
      <c r="AB11" s="3319"/>
      <c r="AL11" s="87"/>
    </row>
    <row r="12" spans="1:38" s="3318" customFormat="1" ht="13.5" customHeight="1">
      <c r="A12" s="3322"/>
      <c r="B12" s="3322"/>
      <c r="E12" s="2560"/>
      <c r="F12"/>
      <c r="I12" s="3313"/>
      <c r="J12" s="27"/>
      <c r="K12" s="27"/>
      <c r="L12" s="27"/>
      <c r="M12" s="27"/>
      <c r="N12" s="27"/>
      <c r="O12" s="27"/>
      <c r="P12" s="27"/>
      <c r="Q12" s="3317"/>
      <c r="R12" s="3317"/>
      <c r="S12" s="107"/>
      <c r="W12" s="3319"/>
      <c r="X12" s="3319"/>
      <c r="Y12" s="3319"/>
      <c r="Z12" s="3319"/>
      <c r="AA12" s="3314"/>
      <c r="AB12" s="3319"/>
      <c r="AL12" s="87"/>
    </row>
    <row r="13" spans="1:38" s="3318" customFormat="1" ht="13.5" customHeight="1">
      <c r="A13" s="3315" t="s">
        <v>252</v>
      </c>
      <c r="B13" s="194"/>
      <c r="E13" s="113"/>
      <c r="F13" s="3313"/>
      <c r="G13" s="3313"/>
      <c r="I13" s="3313"/>
      <c r="J13" s="27"/>
      <c r="K13" s="27"/>
      <c r="L13" s="27"/>
      <c r="M13" s="27"/>
      <c r="N13" s="27"/>
      <c r="O13" s="27"/>
      <c r="P13" s="2247"/>
      <c r="Q13" s="27"/>
      <c r="R13" s="27"/>
      <c r="S13" s="55"/>
      <c r="W13" s="3319"/>
      <c r="X13" s="3319"/>
      <c r="Y13" s="3319"/>
      <c r="Z13" s="3319"/>
      <c r="AA13" s="3314"/>
      <c r="AB13" s="3319"/>
      <c r="AL13" s="87"/>
    </row>
    <row r="14" spans="1:38" ht="13.5" customHeight="1">
      <c r="A14" s="2445"/>
      <c r="B14" s="2446"/>
      <c r="C14" s="82"/>
      <c r="E14" s="2554"/>
      <c r="G14" s="2299"/>
      <c r="H14" s="3318"/>
      <c r="P14" s="27"/>
      <c r="Q14" s="27"/>
      <c r="R14" s="27"/>
      <c r="S14" s="55"/>
      <c r="W14" s="72"/>
      <c r="X14" s="72"/>
      <c r="Y14" s="72"/>
      <c r="Z14" s="96"/>
      <c r="AA14" s="3314"/>
      <c r="AB14" s="3319"/>
    </row>
    <row r="15" spans="1:38" ht="13.5" customHeight="1">
      <c r="A15" s="2452"/>
      <c r="B15" s="2446"/>
      <c r="C15" s="7"/>
      <c r="E15" s="113"/>
      <c r="F15" s="2299"/>
      <c r="I15" s="3319"/>
      <c r="J15" s="3319"/>
      <c r="K15" s="429"/>
      <c r="L15" s="429"/>
      <c r="M15" s="429"/>
      <c r="N15" s="429"/>
      <c r="O15" s="2246"/>
      <c r="P15" s="27"/>
      <c r="Q15" s="27"/>
      <c r="R15" s="27"/>
      <c r="S15" s="55"/>
      <c r="U15" s="25"/>
      <c r="W15" s="56"/>
      <c r="X15" s="72"/>
      <c r="Y15" s="72"/>
      <c r="Z15" s="96"/>
      <c r="AA15" s="3314"/>
      <c r="AB15" s="3319"/>
    </row>
    <row r="16" spans="1:38" ht="13.5" customHeight="1">
      <c r="A16" s="2453"/>
      <c r="B16" s="2454"/>
      <c r="C16" s="7"/>
      <c r="E16" s="113"/>
      <c r="F16" s="2251"/>
      <c r="I16" s="3319"/>
      <c r="J16" s="429"/>
      <c r="K16" s="429"/>
      <c r="L16" s="429"/>
      <c r="M16" s="429"/>
      <c r="N16" s="2246"/>
      <c r="O16" s="3319"/>
      <c r="P16" s="3319"/>
      <c r="Q16" s="3319"/>
      <c r="R16" s="3319"/>
      <c r="S16" s="147"/>
      <c r="U16" s="25"/>
      <c r="W16" s="3319"/>
      <c r="X16" s="3319"/>
      <c r="Y16" s="3319"/>
      <c r="Z16" s="3319"/>
      <c r="AA16" s="3319"/>
      <c r="AB16" s="3319"/>
    </row>
    <row r="17" spans="1:256" ht="13.5" customHeight="1">
      <c r="A17" s="169" t="s">
        <v>253</v>
      </c>
      <c r="B17" s="170"/>
      <c r="C17" s="82"/>
      <c r="E17" s="113"/>
      <c r="F17" s="1496"/>
      <c r="I17" s="27"/>
      <c r="J17" s="27"/>
      <c r="K17" s="27"/>
      <c r="L17" s="27"/>
      <c r="M17" s="27"/>
      <c r="N17" s="27"/>
      <c r="O17" s="27"/>
      <c r="P17" s="27"/>
      <c r="Q17" s="27"/>
      <c r="R17" s="27"/>
      <c r="S17" s="55"/>
      <c r="U17" s="25"/>
    </row>
    <row r="18" spans="1:256" ht="13.5" customHeight="1">
      <c r="A18" s="2424"/>
      <c r="B18" s="2424"/>
      <c r="C18" s="3318"/>
      <c r="E18" s="2554"/>
      <c r="I18" s="27"/>
      <c r="J18" s="691"/>
      <c r="K18" s="691"/>
      <c r="L18" s="691"/>
      <c r="M18" s="691"/>
      <c r="N18" s="2243"/>
      <c r="O18" s="27"/>
      <c r="P18" s="27"/>
      <c r="Q18" s="27"/>
      <c r="R18" s="27"/>
      <c r="S18" s="55"/>
      <c r="U18" s="25"/>
    </row>
    <row r="19" spans="1:256" ht="13.5" customHeight="1">
      <c r="A19" s="2424"/>
      <c r="B19" s="2424"/>
      <c r="E19" s="2554" t="s">
        <v>2391</v>
      </c>
      <c r="F19" s="29"/>
      <c r="G19" s="32"/>
      <c r="H19" s="3319"/>
      <c r="I19" s="3314"/>
      <c r="J19" s="3319"/>
      <c r="K19" s="72"/>
      <c r="L19" s="72"/>
      <c r="M19" s="72"/>
      <c r="N19" s="72"/>
      <c r="O19" s="96"/>
      <c r="P19" s="3314"/>
      <c r="Q19" s="3319"/>
      <c r="R19" s="3319"/>
      <c r="S19" s="147"/>
      <c r="U19" s="25"/>
    </row>
    <row r="20" spans="1:256" ht="13.5" customHeight="1" thickBot="1">
      <c r="A20" s="2424"/>
      <c r="B20" s="2424"/>
      <c r="E20" s="2677" t="s">
        <v>2193</v>
      </c>
      <c r="F20" s="163"/>
      <c r="G20" s="164"/>
      <c r="H20" s="13"/>
      <c r="I20" s="165"/>
      <c r="J20" s="13"/>
      <c r="K20" s="166"/>
      <c r="L20" s="166"/>
      <c r="M20" s="166"/>
      <c r="N20" s="166"/>
      <c r="O20" s="167"/>
      <c r="P20" s="165"/>
      <c r="Q20" s="13"/>
      <c r="R20" s="13"/>
      <c r="S20" s="168"/>
      <c r="U20" s="25"/>
    </row>
    <row r="21" spans="1:256" ht="13.5" customHeight="1" thickTop="1"/>
    <row r="22" spans="1:256" ht="13.5" customHeight="1"/>
    <row r="23" spans="1:256" ht="13.5" customHeight="1"/>
    <row r="24" spans="1:256" s="3318" customFormat="1" ht="13.5" customHeight="1" thickBot="1">
      <c r="A24" s="3313"/>
      <c r="B24" s="3313"/>
      <c r="C24" s="3313"/>
      <c r="D24" s="3313"/>
      <c r="E24" s="3313"/>
      <c r="F24" s="3313"/>
      <c r="G24" s="3313"/>
      <c r="H24" s="3313"/>
      <c r="I24" s="3313"/>
      <c r="J24" s="3313"/>
      <c r="K24" s="3313"/>
      <c r="L24" s="3313"/>
      <c r="M24" s="3313"/>
      <c r="N24" s="3313"/>
      <c r="O24" s="3313"/>
      <c r="P24" s="3313"/>
      <c r="Q24" s="3313"/>
      <c r="R24" s="3313"/>
      <c r="S24" s="3313"/>
      <c r="T24" s="3313"/>
      <c r="U24" s="3313"/>
      <c r="V24" s="3313"/>
      <c r="W24" s="3313"/>
      <c r="X24" s="3313"/>
      <c r="Y24" s="3313"/>
      <c r="Z24" s="3313"/>
      <c r="AA24" s="3313"/>
      <c r="AB24" s="3313"/>
      <c r="AC24" s="3313"/>
      <c r="AD24" s="3313"/>
      <c r="AE24" s="3313"/>
      <c r="AF24" s="3313"/>
      <c r="AG24" s="3313"/>
      <c r="AH24" s="3313"/>
      <c r="AI24" s="3313"/>
      <c r="AJ24" s="3313"/>
      <c r="AK24" s="3313"/>
      <c r="AL24" s="3313"/>
      <c r="AM24" s="3313"/>
      <c r="AN24" s="3313"/>
      <c r="AO24" s="3313"/>
      <c r="AP24" s="3313"/>
      <c r="AQ24" s="3313"/>
      <c r="AR24" s="3313"/>
      <c r="AS24" s="3313"/>
      <c r="AT24" s="3313"/>
      <c r="AU24" s="3313"/>
      <c r="AV24" s="3313"/>
      <c r="AW24" s="3313"/>
      <c r="AX24" s="3313"/>
      <c r="AY24" s="3313"/>
      <c r="AZ24" s="3313"/>
      <c r="BA24" s="3313"/>
      <c r="BB24" s="3313"/>
      <c r="BC24" s="3313"/>
      <c r="BD24" s="3313"/>
      <c r="BE24" s="3313"/>
      <c r="BF24" s="3313"/>
      <c r="BG24" s="3313"/>
      <c r="BH24" s="3313"/>
      <c r="BI24" s="3313"/>
      <c r="BJ24" s="3313"/>
      <c r="BK24" s="3313"/>
      <c r="BL24" s="3313"/>
      <c r="BM24" s="3313"/>
      <c r="BN24" s="3313"/>
      <c r="BO24" s="3313"/>
      <c r="BP24" s="3313"/>
      <c r="BQ24" s="3313"/>
      <c r="BR24" s="3313"/>
      <c r="BS24" s="3313"/>
      <c r="BT24" s="3313"/>
      <c r="BU24" s="3313"/>
      <c r="BV24" s="3313"/>
      <c r="BW24" s="3313"/>
      <c r="BX24" s="3313"/>
      <c r="BY24" s="3313"/>
      <c r="BZ24" s="3313"/>
      <c r="CA24" s="3313"/>
      <c r="CB24" s="3313"/>
      <c r="CC24" s="3313"/>
      <c r="CD24" s="3313"/>
      <c r="CE24" s="3313"/>
      <c r="CF24" s="3313"/>
      <c r="CG24" s="3313"/>
      <c r="CH24" s="3313"/>
      <c r="CI24" s="3313"/>
      <c r="CJ24" s="3313"/>
      <c r="CK24" s="3313"/>
      <c r="CL24" s="3313"/>
      <c r="CM24" s="3313"/>
      <c r="CN24" s="3313"/>
      <c r="CO24" s="3313"/>
      <c r="CP24" s="3313"/>
      <c r="CQ24" s="3313"/>
      <c r="CR24" s="3313"/>
      <c r="CS24" s="3313"/>
      <c r="CT24" s="3313"/>
      <c r="CU24" s="3313"/>
      <c r="CV24" s="3313"/>
      <c r="CW24" s="3313"/>
      <c r="CX24" s="3313"/>
      <c r="CY24" s="3313"/>
      <c r="CZ24" s="3313"/>
      <c r="DA24" s="3313"/>
      <c r="DB24" s="3313"/>
      <c r="DC24" s="3313"/>
      <c r="DD24" s="3313"/>
      <c r="DE24" s="3313"/>
      <c r="DF24" s="3313"/>
      <c r="DG24" s="3313"/>
      <c r="DH24" s="3313"/>
      <c r="DI24" s="3313"/>
      <c r="DJ24" s="3313"/>
      <c r="DK24" s="3313"/>
      <c r="DL24" s="3313"/>
      <c r="DM24" s="3313"/>
      <c r="DN24" s="3313"/>
      <c r="DO24" s="3313"/>
      <c r="DP24" s="3313"/>
      <c r="DQ24" s="3313"/>
      <c r="DR24" s="3313"/>
      <c r="DS24" s="3313"/>
      <c r="DT24" s="3313"/>
      <c r="DU24" s="3313"/>
      <c r="DV24" s="3313"/>
      <c r="DW24" s="3313"/>
      <c r="DX24" s="3313"/>
      <c r="DY24" s="3313"/>
      <c r="DZ24" s="3313"/>
      <c r="EA24" s="3313"/>
      <c r="EB24" s="3313"/>
      <c r="EC24" s="3313"/>
      <c r="ED24" s="3313"/>
      <c r="EE24" s="3313"/>
      <c r="EF24" s="3313"/>
      <c r="EG24" s="3313"/>
      <c r="EH24" s="3313"/>
      <c r="EI24" s="3313"/>
      <c r="EJ24" s="3313"/>
      <c r="EK24" s="3313"/>
      <c r="EL24" s="3313"/>
      <c r="EM24" s="3313"/>
      <c r="EN24" s="3313"/>
      <c r="EO24" s="3313"/>
      <c r="EP24" s="3313"/>
      <c r="EQ24" s="3313"/>
      <c r="ER24" s="3313"/>
      <c r="ES24" s="3313"/>
      <c r="ET24" s="3313"/>
      <c r="EU24" s="3313"/>
      <c r="EV24" s="3313"/>
      <c r="EW24" s="3313"/>
      <c r="EX24" s="3313"/>
      <c r="EY24" s="3313"/>
      <c r="EZ24" s="3313"/>
      <c r="FA24" s="3313"/>
      <c r="FB24" s="3313"/>
      <c r="FC24" s="3313"/>
      <c r="FD24" s="3313"/>
      <c r="FE24" s="3313"/>
      <c r="FF24" s="3313"/>
      <c r="FG24" s="3313"/>
      <c r="FH24" s="3313"/>
      <c r="FI24" s="3313"/>
      <c r="FJ24" s="3313"/>
      <c r="FK24" s="3313"/>
      <c r="FL24" s="3313"/>
      <c r="FM24" s="3313"/>
      <c r="FN24" s="3313"/>
      <c r="FO24" s="3313"/>
      <c r="FP24" s="3313"/>
      <c r="FQ24" s="3313"/>
      <c r="FR24" s="3313"/>
      <c r="FS24" s="3313"/>
      <c r="FT24" s="3313"/>
      <c r="FU24" s="3313"/>
      <c r="FV24" s="3313"/>
      <c r="FW24" s="3313"/>
      <c r="FX24" s="3313"/>
      <c r="FY24" s="3313"/>
      <c r="FZ24" s="3313"/>
      <c r="GA24" s="3313"/>
      <c r="GB24" s="3313"/>
      <c r="GC24" s="3313"/>
      <c r="GD24" s="3313"/>
      <c r="GE24" s="3313"/>
      <c r="GF24" s="3313"/>
      <c r="GG24" s="3313"/>
      <c r="GH24" s="3313"/>
      <c r="GI24" s="3313"/>
      <c r="GJ24" s="3313"/>
      <c r="GK24" s="3313"/>
      <c r="GL24" s="3313"/>
      <c r="GM24" s="3313"/>
      <c r="GN24" s="3313"/>
      <c r="GO24" s="3313"/>
      <c r="GP24" s="3313"/>
      <c r="GQ24" s="3313"/>
      <c r="GR24" s="3313"/>
      <c r="GS24" s="3313"/>
      <c r="GT24" s="3313"/>
      <c r="GU24" s="3313"/>
      <c r="GV24" s="3313"/>
      <c r="GW24" s="3313"/>
      <c r="GX24" s="3313"/>
      <c r="GY24" s="3313"/>
      <c r="GZ24" s="3313"/>
      <c r="HA24" s="3313"/>
      <c r="HB24" s="3313"/>
      <c r="HC24" s="3313"/>
      <c r="HD24" s="3313"/>
      <c r="HE24" s="3313"/>
      <c r="HF24" s="3313"/>
      <c r="HG24" s="3313"/>
      <c r="HH24" s="3313"/>
      <c r="HI24" s="3313"/>
      <c r="HJ24" s="3313"/>
      <c r="HK24" s="3313"/>
      <c r="HL24" s="3313"/>
      <c r="HM24" s="3313"/>
      <c r="HN24" s="3313"/>
      <c r="HO24" s="3313"/>
      <c r="HP24" s="3313"/>
      <c r="HQ24" s="3313"/>
      <c r="HR24" s="3313"/>
      <c r="HS24" s="3313"/>
      <c r="HT24" s="3313"/>
      <c r="HU24" s="3313"/>
      <c r="HV24" s="3313"/>
      <c r="HW24" s="3313"/>
      <c r="HX24" s="3313"/>
      <c r="HY24" s="3313"/>
      <c r="HZ24" s="3313"/>
      <c r="IA24" s="3313"/>
      <c r="IB24" s="3313"/>
      <c r="IC24" s="3313"/>
      <c r="ID24" s="3313"/>
      <c r="IE24" s="3313"/>
      <c r="IF24" s="3313"/>
      <c r="IG24" s="3313"/>
      <c r="IH24" s="3313"/>
      <c r="II24" s="3313"/>
      <c r="IJ24" s="3313"/>
      <c r="IK24" s="3313"/>
      <c r="IL24" s="3313"/>
      <c r="IM24" s="3313"/>
      <c r="IN24" s="3313"/>
      <c r="IO24" s="3313"/>
      <c r="IP24" s="3313"/>
      <c r="IQ24" s="3313"/>
      <c r="IR24" s="3313"/>
      <c r="IS24" s="3313"/>
      <c r="IT24" s="3313"/>
      <c r="IU24" s="3313"/>
      <c r="IV24" s="3313"/>
    </row>
    <row r="25" spans="1:256" s="27" customFormat="1" ht="13.5" customHeight="1" thickTop="1" thickBot="1">
      <c r="A25" s="3313"/>
      <c r="B25" s="3327" t="s">
        <v>2208</v>
      </c>
      <c r="C25" s="3327"/>
      <c r="D25" s="3320"/>
      <c r="E25" s="3320"/>
      <c r="F25" s="3313"/>
      <c r="G25" s="3313"/>
      <c r="H25" s="3313"/>
      <c r="I25" s="3313"/>
      <c r="J25" s="3313"/>
      <c r="K25" s="3313"/>
      <c r="L25" s="3313"/>
      <c r="M25" s="3313"/>
      <c r="N25" s="3313"/>
      <c r="O25" s="3313"/>
      <c r="P25" s="3313"/>
      <c r="Q25" s="3313"/>
      <c r="R25" s="3313"/>
      <c r="S25" s="3313"/>
      <c r="T25" s="3313"/>
      <c r="U25" s="3313"/>
      <c r="V25" s="3313"/>
      <c r="W25" s="3313"/>
      <c r="X25" s="3313"/>
      <c r="Y25" s="3313"/>
      <c r="Z25" s="3313"/>
      <c r="AA25" s="3313"/>
      <c r="AB25" s="3313"/>
      <c r="AC25" s="3313"/>
      <c r="AD25" s="3313"/>
      <c r="AE25" s="3313"/>
      <c r="AF25" s="3313"/>
      <c r="AG25" s="3313"/>
      <c r="AH25" s="3313"/>
      <c r="AI25" s="3313"/>
      <c r="AJ25" s="3313"/>
      <c r="AK25" s="3313"/>
      <c r="AL25" s="3313"/>
      <c r="AM25" s="3313"/>
      <c r="AN25" s="3313"/>
      <c r="AO25" s="3313"/>
      <c r="AP25" s="3313"/>
      <c r="AQ25" s="3313"/>
      <c r="AR25" s="3313"/>
      <c r="AS25" s="3313"/>
      <c r="AT25" s="3313"/>
      <c r="AU25" s="3313"/>
      <c r="AV25" s="3313"/>
      <c r="AW25" s="3313"/>
      <c r="AX25" s="3313"/>
      <c r="AY25" s="3313"/>
      <c r="AZ25" s="3313"/>
      <c r="BA25" s="3313"/>
      <c r="BB25" s="3313"/>
      <c r="BC25" s="3313"/>
      <c r="BD25" s="3313"/>
      <c r="BE25" s="3313"/>
      <c r="BF25" s="3313"/>
      <c r="BG25" s="3313"/>
      <c r="BH25" s="3313"/>
      <c r="BI25" s="3313"/>
      <c r="BJ25" s="3313"/>
      <c r="BK25" s="3313"/>
      <c r="BL25" s="3313"/>
      <c r="BM25" s="3313"/>
      <c r="BN25" s="3313"/>
      <c r="BO25" s="3313"/>
      <c r="BP25" s="3313"/>
      <c r="BQ25" s="3313"/>
      <c r="BR25" s="3313"/>
      <c r="BS25" s="3313"/>
      <c r="BT25" s="3313"/>
      <c r="BU25" s="3313"/>
      <c r="BV25" s="3313"/>
      <c r="BW25" s="3313"/>
      <c r="BX25" s="3313"/>
      <c r="BY25" s="3313"/>
      <c r="BZ25" s="3313"/>
      <c r="CA25" s="3313"/>
      <c r="CB25" s="3313"/>
      <c r="CC25" s="3313"/>
      <c r="CD25" s="3313"/>
      <c r="CE25" s="3313"/>
      <c r="CF25" s="3313"/>
      <c r="CG25" s="3313"/>
      <c r="CH25" s="3313"/>
      <c r="CI25" s="3313"/>
      <c r="CJ25" s="3313"/>
      <c r="CK25" s="3313"/>
      <c r="CL25" s="3313"/>
      <c r="CM25" s="3313"/>
      <c r="CN25" s="3313"/>
      <c r="CO25" s="3313"/>
      <c r="CP25" s="3313"/>
      <c r="CQ25" s="3313"/>
      <c r="CR25" s="3313"/>
      <c r="CS25" s="3313"/>
      <c r="CT25" s="3313"/>
      <c r="CU25" s="3313"/>
      <c r="CV25" s="3313"/>
      <c r="CW25" s="3313"/>
      <c r="CX25" s="3313"/>
      <c r="CY25" s="3313"/>
      <c r="CZ25" s="3313"/>
      <c r="DA25" s="3313"/>
      <c r="DB25" s="3313"/>
      <c r="DC25" s="3313"/>
      <c r="DD25" s="3313"/>
      <c r="DE25" s="3313"/>
      <c r="DF25" s="3313"/>
      <c r="DG25" s="3313"/>
      <c r="DH25" s="3313"/>
      <c r="DI25" s="3313"/>
      <c r="DJ25" s="3313"/>
      <c r="DK25" s="3313"/>
      <c r="DL25" s="3313"/>
      <c r="DM25" s="3313"/>
      <c r="DN25" s="3313"/>
      <c r="DO25" s="3313"/>
      <c r="DP25" s="3313"/>
      <c r="DQ25" s="3313"/>
      <c r="DR25" s="3313"/>
      <c r="DS25" s="3313"/>
      <c r="DT25" s="3313"/>
      <c r="DU25" s="3313"/>
      <c r="DV25" s="3313"/>
      <c r="DW25" s="3313"/>
      <c r="DX25" s="3313"/>
      <c r="DY25" s="3313"/>
      <c r="DZ25" s="3313"/>
      <c r="EA25" s="3313"/>
      <c r="EB25" s="3313"/>
      <c r="EC25" s="3313"/>
      <c r="ED25" s="3313"/>
      <c r="EE25" s="3313"/>
      <c r="EF25" s="3313"/>
      <c r="EG25" s="3313"/>
      <c r="EH25" s="3313"/>
      <c r="EI25" s="3313"/>
      <c r="EJ25" s="3313"/>
      <c r="EK25" s="3313"/>
      <c r="EL25" s="3313"/>
      <c r="EM25" s="3313"/>
      <c r="EN25" s="3313"/>
      <c r="EO25" s="3313"/>
      <c r="EP25" s="3313"/>
      <c r="EQ25" s="3313"/>
      <c r="ER25" s="3313"/>
      <c r="ES25" s="3313"/>
      <c r="ET25" s="3313"/>
      <c r="EU25" s="3313"/>
      <c r="EV25" s="3313"/>
      <c r="EW25" s="3313"/>
      <c r="EX25" s="3313"/>
      <c r="EY25" s="3313"/>
      <c r="EZ25" s="3313"/>
      <c r="FA25" s="3313"/>
      <c r="FB25" s="3313"/>
      <c r="FC25" s="3313"/>
      <c r="FD25" s="3313"/>
      <c r="FE25" s="3313"/>
      <c r="FF25" s="3313"/>
      <c r="FG25" s="3313"/>
      <c r="FH25" s="3313"/>
      <c r="FI25" s="3313"/>
      <c r="FJ25" s="3313"/>
      <c r="FK25" s="3313"/>
      <c r="FL25" s="3313"/>
      <c r="FM25" s="3313"/>
      <c r="FN25" s="3313"/>
      <c r="FO25" s="3313"/>
      <c r="FP25" s="3313"/>
      <c r="FQ25" s="3313"/>
      <c r="FR25" s="3313"/>
      <c r="FS25" s="3313"/>
      <c r="FT25" s="3313"/>
      <c r="FU25" s="3313"/>
      <c r="FV25" s="3313"/>
      <c r="FW25" s="3313"/>
      <c r="FX25" s="3313"/>
      <c r="FY25" s="3313"/>
      <c r="FZ25" s="3313"/>
      <c r="GA25" s="3313"/>
      <c r="GB25" s="3313"/>
      <c r="GC25" s="3313"/>
      <c r="GD25" s="3313"/>
      <c r="GE25" s="3313"/>
      <c r="GF25" s="3313"/>
      <c r="GG25" s="3313"/>
      <c r="GH25" s="3313"/>
      <c r="GI25" s="3313"/>
      <c r="GJ25" s="3313"/>
      <c r="GK25" s="3313"/>
      <c r="GL25" s="3313"/>
      <c r="GM25" s="3313"/>
      <c r="GN25" s="3313"/>
      <c r="GO25" s="3313"/>
      <c r="GP25" s="3313"/>
      <c r="GQ25" s="3313"/>
      <c r="GR25" s="3313"/>
      <c r="GS25" s="3313"/>
      <c r="GT25" s="3313"/>
      <c r="GU25" s="3313"/>
      <c r="GV25" s="3313"/>
      <c r="GW25" s="3313"/>
      <c r="GX25" s="3313"/>
      <c r="GY25" s="3313"/>
      <c r="GZ25" s="3313"/>
      <c r="HA25" s="3313"/>
      <c r="HB25" s="3313"/>
      <c r="HC25" s="3313"/>
      <c r="HD25" s="3313"/>
      <c r="HE25" s="3313"/>
      <c r="HF25" s="3313"/>
      <c r="HG25" s="3313"/>
      <c r="HH25" s="3313"/>
      <c r="HI25" s="3313"/>
      <c r="HJ25" s="3313"/>
      <c r="HK25" s="3313"/>
      <c r="HL25" s="3313"/>
      <c r="HM25" s="3313"/>
      <c r="HN25" s="3313"/>
      <c r="HO25" s="3313"/>
      <c r="HP25" s="3313"/>
      <c r="HQ25" s="3313"/>
      <c r="HR25" s="3313"/>
      <c r="HS25" s="3313"/>
      <c r="HT25" s="3313"/>
      <c r="HU25" s="3313"/>
      <c r="HV25" s="3313"/>
      <c r="HW25" s="3313"/>
      <c r="HX25" s="3313"/>
      <c r="HY25" s="3313"/>
      <c r="HZ25" s="3313"/>
      <c r="IA25" s="3313"/>
      <c r="IB25" s="3313"/>
      <c r="IC25" s="3313"/>
      <c r="ID25" s="3313"/>
      <c r="IE25" s="3313"/>
      <c r="IF25" s="3313"/>
      <c r="IG25" s="3313"/>
      <c r="IH25" s="3313"/>
      <c r="II25" s="3313"/>
      <c r="IJ25" s="3313"/>
      <c r="IK25" s="3313"/>
      <c r="IL25" s="3313"/>
      <c r="IM25" s="3313"/>
      <c r="IN25" s="3313"/>
      <c r="IO25" s="3313"/>
      <c r="IP25" s="3313"/>
      <c r="IQ25" s="3313"/>
      <c r="IR25" s="3313"/>
      <c r="IS25" s="3313"/>
      <c r="IT25" s="3313"/>
      <c r="IU25" s="3313"/>
      <c r="IV25" s="3313"/>
    </row>
    <row r="26" spans="1:256" ht="13.5" customHeight="1" thickTop="1">
      <c r="B26" s="3330" t="s">
        <v>2194</v>
      </c>
      <c r="C26" s="3332">
        <v>8.5</v>
      </c>
      <c r="D26" s="3323"/>
      <c r="E26" s="3320"/>
    </row>
    <row r="27" spans="1:256" ht="13.5" customHeight="1">
      <c r="B27" s="3330" t="s">
        <v>2195</v>
      </c>
      <c r="C27" s="3331">
        <v>37</v>
      </c>
      <c r="D27" s="3324"/>
      <c r="E27" s="3320"/>
    </row>
    <row r="28" spans="1:256" ht="13.5" customHeight="1">
      <c r="B28" s="3330" t="s">
        <v>1367</v>
      </c>
      <c r="C28" s="3331">
        <v>378.24741799739905</v>
      </c>
      <c r="D28" s="3324"/>
      <c r="E28" s="3320"/>
    </row>
    <row r="29" spans="1:256" ht="13.5" customHeight="1">
      <c r="B29" s="3320"/>
      <c r="C29" s="3320"/>
      <c r="D29" s="3320"/>
      <c r="E29" s="3320"/>
    </row>
    <row r="30" spans="1:256" ht="13.5" customHeight="1" thickBot="1">
      <c r="B30" s="3320"/>
      <c r="C30" s="3320"/>
      <c r="D30" s="3320"/>
      <c r="E30" s="3320"/>
    </row>
    <row r="31" spans="1:256" ht="13.5" customHeight="1" thickTop="1">
      <c r="B31" s="3328" t="s">
        <v>2209</v>
      </c>
      <c r="C31" s="3328" t="s">
        <v>2196</v>
      </c>
      <c r="D31" s="3328"/>
      <c r="E31" s="3328"/>
    </row>
    <row r="32" spans="1:256" ht="13.5" customHeight="1">
      <c r="B32" s="3329" t="s">
        <v>2197</v>
      </c>
      <c r="C32" s="3329" t="s">
        <v>2198</v>
      </c>
      <c r="D32" s="3329" t="s">
        <v>2199</v>
      </c>
      <c r="E32" s="3329" t="s">
        <v>2200</v>
      </c>
    </row>
    <row r="33" spans="2:5" ht="13.5" customHeight="1">
      <c r="B33" s="3333" t="s">
        <v>2201</v>
      </c>
      <c r="C33" s="3331">
        <v>8.760394606053362</v>
      </c>
      <c r="D33" s="3331">
        <v>8.2851470319661846</v>
      </c>
      <c r="E33" s="3331">
        <v>8.2851470319661846</v>
      </c>
    </row>
    <row r="34" spans="2:5" ht="13.5" customHeight="1">
      <c r="B34" s="3333" t="s">
        <v>2202</v>
      </c>
      <c r="C34" s="3331">
        <v>6.8156441976912596</v>
      </c>
      <c r="D34" s="3331">
        <v>6.8156441976912596</v>
      </c>
      <c r="E34" s="3331">
        <v>5.1448565954721426</v>
      </c>
    </row>
    <row r="35" spans="2:5" ht="13.5" customHeight="1">
      <c r="B35" s="3333" t="s">
        <v>2203</v>
      </c>
      <c r="C35" s="3331">
        <v>8.8311932781885769</v>
      </c>
      <c r="D35" s="3331">
        <v>8.2129243067384952</v>
      </c>
      <c r="E35" s="3331">
        <v>8.2129243067384952</v>
      </c>
    </row>
    <row r="36" spans="2:5" ht="13.5" customHeight="1">
      <c r="B36" s="3333" t="s">
        <v>2204</v>
      </c>
      <c r="C36" s="3331">
        <v>8.7202330217674859</v>
      </c>
      <c r="D36" s="3331">
        <v>7.8611904808294462</v>
      </c>
      <c r="E36" s="3331">
        <v>5.1503147224856471</v>
      </c>
    </row>
    <row r="37" spans="2:5" ht="13.5" customHeight="1">
      <c r="B37" s="3333" t="s">
        <v>1862</v>
      </c>
      <c r="C37" s="3331">
        <v>8.7166513339466434</v>
      </c>
      <c r="D37" s="3331">
        <v>8.1512667364956144</v>
      </c>
      <c r="E37" s="3331">
        <v>8.1512667364956144</v>
      </c>
    </row>
    <row r="38" spans="2:5" ht="13.5" customHeight="1">
      <c r="B38" s="3333" t="s">
        <v>1627</v>
      </c>
      <c r="C38" s="3331">
        <v>8.3261892509397519</v>
      </c>
      <c r="D38" s="3331">
        <v>8.238187665866759</v>
      </c>
      <c r="E38" s="3331">
        <v>8.238187665866759</v>
      </c>
    </row>
    <row r="39" spans="2:5" ht="13.5" customHeight="1">
      <c r="B39" s="2699"/>
      <c r="C39" s="3105"/>
      <c r="D39" s="3105"/>
      <c r="E39" s="3105"/>
    </row>
    <row r="40" spans="2:5" ht="13.5" customHeight="1" thickBot="1">
      <c r="B40" s="2699"/>
      <c r="C40" s="3105"/>
      <c r="D40" s="3105"/>
      <c r="E40" s="3105"/>
    </row>
    <row r="41" spans="2:5" ht="13.5" customHeight="1" thickTop="1" thickBot="1">
      <c r="B41" s="3327" t="s">
        <v>2207</v>
      </c>
      <c r="C41" s="3327" t="s">
        <v>2196</v>
      </c>
      <c r="D41" s="3327"/>
      <c r="E41" s="3327"/>
    </row>
    <row r="42" spans="2:5" ht="13.5" customHeight="1" thickTop="1">
      <c r="B42" s="3329" t="s">
        <v>2197</v>
      </c>
      <c r="C42" s="3329" t="s">
        <v>2198</v>
      </c>
      <c r="D42" s="3329" t="s">
        <v>2199</v>
      </c>
      <c r="E42" s="3329" t="s">
        <v>2200</v>
      </c>
    </row>
    <row r="43" spans="2:5" ht="13.5" customHeight="1">
      <c r="B43" s="3325" t="s">
        <v>2201</v>
      </c>
      <c r="C43" s="3331">
        <v>42.038561181964937</v>
      </c>
      <c r="D43" s="3331">
        <v>31.533283455214438</v>
      </c>
      <c r="E43" s="3331">
        <v>31.533283455214438</v>
      </c>
    </row>
    <row r="44" spans="2:5" ht="13.5" customHeight="1">
      <c r="B44" s="3325" t="s">
        <v>2202</v>
      </c>
      <c r="C44" s="3331">
        <v>28.73641499232664</v>
      </c>
      <c r="D44" s="3331">
        <v>28.73641499232664</v>
      </c>
      <c r="E44" s="3331">
        <v>22.041437713643521</v>
      </c>
    </row>
    <row r="45" spans="2:5" ht="13.5" customHeight="1">
      <c r="B45" s="3325" t="s">
        <v>2203</v>
      </c>
      <c r="C45" s="3331">
        <v>37.777282993222542</v>
      </c>
      <c r="D45" s="3331">
        <v>37.777282993222542</v>
      </c>
      <c r="E45" s="3331">
        <v>37.777282993222542</v>
      </c>
    </row>
    <row r="46" spans="2:5" ht="13.5" customHeight="1">
      <c r="B46" s="3325" t="s">
        <v>2204</v>
      </c>
      <c r="C46" s="3331">
        <v>33.347716030580877</v>
      </c>
      <c r="D46" s="3331">
        <v>33.347716030580877</v>
      </c>
      <c r="E46" s="3331">
        <v>33.347716030580877</v>
      </c>
    </row>
    <row r="47" spans="2:5" ht="13.5" customHeight="1">
      <c r="B47" s="3325" t="s">
        <v>1862</v>
      </c>
      <c r="C47" s="3331">
        <v>36.957563076471978</v>
      </c>
      <c r="D47" s="3331">
        <v>36.957563076471978</v>
      </c>
      <c r="E47" s="3331">
        <v>36.957563076471978</v>
      </c>
    </row>
    <row r="48" spans="2:5" ht="13.5" customHeight="1">
      <c r="B48" s="3325" t="s">
        <v>1627</v>
      </c>
      <c r="C48" s="3331">
        <v>38.768089693897217</v>
      </c>
      <c r="D48" s="3331">
        <v>38.768089693897217</v>
      </c>
      <c r="E48" s="3331">
        <v>38.768089693897217</v>
      </c>
    </row>
    <row r="49" spans="2:5" ht="13.5" customHeight="1" thickBot="1">
      <c r="B49" s="3316"/>
      <c r="C49" s="3320"/>
      <c r="D49" s="3320"/>
      <c r="E49" s="3320"/>
    </row>
    <row r="50" spans="2:5" ht="13.5" customHeight="1" thickTop="1" thickBot="1">
      <c r="B50" s="3327" t="s">
        <v>2207</v>
      </c>
      <c r="C50" s="3327" t="s">
        <v>2196</v>
      </c>
      <c r="D50" s="3327"/>
      <c r="E50" s="3327"/>
    </row>
    <row r="51" spans="2:5" ht="13.5" customHeight="1" thickTop="1">
      <c r="B51" s="3329" t="s">
        <v>2197</v>
      </c>
      <c r="C51" s="3329" t="s">
        <v>2198</v>
      </c>
      <c r="D51" s="3329" t="s">
        <v>2199</v>
      </c>
      <c r="E51" s="3329" t="s">
        <v>2200</v>
      </c>
    </row>
    <row r="52" spans="2:5" ht="13.5" customHeight="1">
      <c r="B52" s="3325" t="s">
        <v>2201</v>
      </c>
      <c r="C52" s="3331">
        <v>448.87113023805995</v>
      </c>
      <c r="D52" s="3331">
        <v>305.70060438723766</v>
      </c>
      <c r="E52" s="3331">
        <v>305.70060438723766</v>
      </c>
    </row>
    <row r="53" spans="2:5" ht="13.5" customHeight="1">
      <c r="B53" s="3325" t="s">
        <v>2202</v>
      </c>
      <c r="C53" s="3331">
        <v>270.78845073235959</v>
      </c>
      <c r="D53" s="3331">
        <v>270.78845073235959</v>
      </c>
      <c r="E53" s="3331">
        <v>196.72132318404849</v>
      </c>
    </row>
    <row r="54" spans="2:5" ht="13.5" customHeight="1">
      <c r="B54" s="3325" t="s">
        <v>2203</v>
      </c>
      <c r="C54" s="3331">
        <v>408.01929917090177</v>
      </c>
      <c r="D54" s="3331">
        <v>408.01929917090177</v>
      </c>
      <c r="E54" s="3331">
        <v>408.01929917090177</v>
      </c>
    </row>
    <row r="55" spans="2:5" ht="13.5" customHeight="1">
      <c r="B55" s="3325" t="s">
        <v>2204</v>
      </c>
      <c r="C55" s="3331">
        <v>324.66149924135721</v>
      </c>
      <c r="D55" s="3331">
        <v>324.66149924135721</v>
      </c>
      <c r="E55" s="3331">
        <v>324.66149924135721</v>
      </c>
    </row>
    <row r="56" spans="2:5" ht="13.5" customHeight="1">
      <c r="B56" s="3325" t="s">
        <v>1862</v>
      </c>
      <c r="C56" s="3331">
        <v>351.3800209690686</v>
      </c>
      <c r="D56" s="3331">
        <v>351.3800209690686</v>
      </c>
      <c r="E56" s="3331">
        <v>351.3800209690686</v>
      </c>
    </row>
    <row r="57" spans="2:5" ht="13.5" customHeight="1">
      <c r="B57" s="3325" t="s">
        <v>1627</v>
      </c>
      <c r="C57" s="3331">
        <v>338.49115217451555</v>
      </c>
      <c r="D57" s="3331">
        <v>338.49115217451555</v>
      </c>
      <c r="E57" s="3331">
        <v>338.49115217451555</v>
      </c>
    </row>
    <row r="58" spans="2:5" ht="13.5" customHeight="1"/>
    <row r="59" spans="2:5" ht="13.5" customHeight="1"/>
    <row r="60" spans="2:5" ht="13.5" customHeight="1"/>
    <row r="61" spans="2:5" ht="13.5" customHeight="1"/>
    <row r="62" spans="2:5" ht="13.5" customHeight="1"/>
    <row r="63" spans="2:5" ht="13.5" customHeight="1"/>
    <row r="64" spans="2:5"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sheetData>
  <sheetProtection sheet="1" objects="1" scenarios="1"/>
  <mergeCells count="6">
    <mergeCell ref="A11:B11"/>
    <mergeCell ref="A1:B1"/>
    <mergeCell ref="A7:B7"/>
    <mergeCell ref="A8:B8"/>
    <mergeCell ref="A9:B9"/>
    <mergeCell ref="A10:B10"/>
  </mergeCells>
  <hyperlinks>
    <hyperlink ref="A10" location="Contents!A1" display="Contents"/>
    <hyperlink ref="A10:B10" location="Contents!A1" tooltip="Contents page" display="Contents"/>
    <hyperlink ref="A11:B11" r:id="rId1" tooltip="Unit M4: Forecasting &amp; Uncertainty" display="WebTAG Unit M 4"/>
    <hyperlink ref="E9" r:id="rId2"/>
  </hyperlinks>
  <pageMargins left="0.75" right="0.75" top="1" bottom="1" header="0.5" footer="0.5"/>
  <pageSetup paperSize="8" scale="79" fitToWidth="2" fitToHeight="0" orientation="landscape" r:id="rId3"/>
  <headerFooter alignWithMargins="0"/>
  <colBreaks count="1" manualBreakCount="1">
    <brk id="19" max="1048575" man="1"/>
  </colBreaks>
  <drawing r:id="rId4"/>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008000"/>
    <pageSetUpPr fitToPage="1"/>
  </sheetPr>
  <dimension ref="A1:S40"/>
  <sheetViews>
    <sheetView showGridLines="0" zoomScale="85" zoomScaleNormal="85" workbookViewId="0">
      <pane xSplit="3" ySplit="24" topLeftCell="D25" activePane="bottomRight" state="frozen"/>
      <selection activeCell="A9" sqref="A9"/>
      <selection pane="topRight" activeCell="A9" sqref="A9"/>
      <selection pane="bottomLeft" activeCell="A9" sqref="A9"/>
      <selection pane="bottomRight" activeCell="B15" sqref="B15"/>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529" t="s">
        <v>95</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13"/>
      <c r="F7" s="29"/>
      <c r="G7" s="26"/>
      <c r="H7" s="26"/>
      <c r="I7" s="26"/>
      <c r="J7" s="26"/>
      <c r="K7" s="26"/>
      <c r="L7" s="26"/>
      <c r="M7" s="26"/>
      <c r="N7" s="26"/>
      <c r="O7" s="26"/>
      <c r="P7" s="26"/>
      <c r="Q7" s="26"/>
      <c r="R7" s="26"/>
      <c r="S7" s="147"/>
    </row>
    <row r="8" spans="1:19" s="38" customFormat="1" ht="13.5" customHeight="1">
      <c r="A8" s="3630">
        <f>Audit!C12</f>
        <v>43586</v>
      </c>
      <c r="B8" s="3631"/>
      <c r="C8" s="321"/>
      <c r="D8" s="321"/>
      <c r="E8" s="113"/>
      <c r="F8" s="315"/>
      <c r="G8" s="26"/>
      <c r="H8" s="26"/>
      <c r="I8" s="26"/>
      <c r="J8" s="26"/>
      <c r="K8" s="26"/>
      <c r="L8" s="26"/>
      <c r="M8" s="26"/>
      <c r="N8" s="26"/>
      <c r="O8" s="26"/>
      <c r="P8" s="26"/>
      <c r="Q8" s="26"/>
      <c r="R8" s="26"/>
      <c r="S8" s="147"/>
    </row>
    <row r="9" spans="1:19" s="38" customFormat="1" ht="13.5" customHeight="1" thickBot="1">
      <c r="A9" s="172" t="s">
        <v>14</v>
      </c>
      <c r="B9" s="173"/>
      <c r="D9" s="321"/>
      <c r="E9" s="180" t="s">
        <v>778</v>
      </c>
      <c r="F9" s="1556" t="s">
        <v>462</v>
      </c>
      <c r="G9" s="26"/>
      <c r="H9" s="26"/>
      <c r="I9" s="26"/>
      <c r="J9" s="26"/>
      <c r="K9" s="315"/>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c r="G11" s="26"/>
      <c r="H11" s="26"/>
      <c r="I11" s="26"/>
      <c r="J11" s="26"/>
      <c r="K11" s="26"/>
      <c r="L11" s="26"/>
      <c r="M11" s="26"/>
      <c r="N11" s="26"/>
      <c r="O11" s="26"/>
      <c r="P11" s="26"/>
      <c r="Q11" s="26"/>
      <c r="R11" s="26"/>
      <c r="S11" s="147"/>
    </row>
    <row r="12" spans="1:19" s="38" customFormat="1" ht="13.5" customHeight="1">
      <c r="A12" s="3901"/>
      <c r="B12" s="3901"/>
      <c r="D12" s="321"/>
      <c r="E12" s="113"/>
      <c r="F12" s="53"/>
      <c r="G12" s="53"/>
      <c r="H12" s="53"/>
      <c r="I12" s="53"/>
      <c r="J12" s="53"/>
      <c r="K12" s="53"/>
      <c r="L12" s="53"/>
      <c r="M12" s="53"/>
      <c r="N12" s="53"/>
      <c r="O12" s="53"/>
      <c r="P12" s="53"/>
      <c r="Q12" s="53"/>
      <c r="R12" s="53"/>
      <c r="S12" s="379"/>
    </row>
    <row r="13" spans="1:19" s="38" customFormat="1" ht="13.5" customHeight="1">
      <c r="A13" s="3642" t="s">
        <v>252</v>
      </c>
      <c r="B13" s="3689"/>
      <c r="D13" s="321"/>
      <c r="E13" s="113"/>
      <c r="F13" s="26"/>
      <c r="G13" s="26"/>
      <c r="H13" s="26"/>
      <c r="I13" s="26"/>
      <c r="J13" s="26"/>
      <c r="K13" s="26"/>
      <c r="L13" s="26"/>
      <c r="M13" s="26"/>
      <c r="N13" s="26"/>
      <c r="O13" s="26"/>
      <c r="P13" s="26"/>
      <c r="Q13" s="26"/>
      <c r="R13" s="26"/>
      <c r="S13" s="147"/>
    </row>
    <row r="14" spans="1:19" s="38" customFormat="1" ht="13.5" customHeight="1">
      <c r="A14" s="2440"/>
      <c r="B14" s="2440"/>
      <c r="C14" s="321"/>
      <c r="D14" s="321"/>
      <c r="E14" s="114"/>
      <c r="F14" s="26"/>
      <c r="G14" s="26"/>
      <c r="H14" s="26"/>
      <c r="I14" s="26"/>
      <c r="J14" s="26"/>
      <c r="K14" s="26"/>
      <c r="L14" s="26"/>
      <c r="M14" s="26"/>
      <c r="N14" s="26"/>
      <c r="O14" s="26"/>
      <c r="P14" s="26"/>
      <c r="Q14" s="26"/>
      <c r="R14" s="26"/>
      <c r="S14" s="147"/>
    </row>
    <row r="15" spans="1:19" s="38" customFormat="1" ht="13.5" customHeight="1">
      <c r="A15" s="2445" t="s">
        <v>799</v>
      </c>
      <c r="B15" s="2450">
        <f>'User Parameters'!L13</f>
        <v>2010</v>
      </c>
      <c r="C15" s="321"/>
      <c r="D15" s="321"/>
      <c r="E15" s="113"/>
      <c r="F15" s="26"/>
      <c r="G15" s="26"/>
      <c r="H15" s="26"/>
      <c r="I15" s="26"/>
      <c r="J15" s="26"/>
      <c r="K15" s="26"/>
      <c r="L15" s="26"/>
      <c r="M15" s="26"/>
      <c r="N15" s="26"/>
      <c r="O15" s="26"/>
      <c r="P15" s="26"/>
      <c r="Q15" s="26"/>
      <c r="R15" s="26"/>
      <c r="S15" s="147"/>
    </row>
    <row r="16" spans="1:19" s="38" customFormat="1" ht="13.5" customHeight="1">
      <c r="A16" s="2443" t="s">
        <v>54</v>
      </c>
      <c r="B16" s="2450">
        <f>'User Parameters'!L19</f>
        <v>2010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2422"/>
      <c r="B19" s="2422"/>
      <c r="C19" s="321"/>
      <c r="D19" s="321"/>
      <c r="E19" s="113"/>
      <c r="F19" s="26"/>
      <c r="G19" s="26"/>
      <c r="H19" s="26"/>
      <c r="I19" s="26"/>
      <c r="J19" s="26"/>
      <c r="K19" s="26"/>
      <c r="L19" s="26"/>
      <c r="M19" s="26"/>
      <c r="N19" s="26"/>
      <c r="O19" s="26"/>
      <c r="P19" s="26"/>
      <c r="Q19" s="26"/>
      <c r="R19" s="26"/>
      <c r="S19" s="147"/>
    </row>
    <row r="20" spans="1:19" s="38" customFormat="1" ht="13.5" customHeight="1" thickBot="1">
      <c r="A20" s="2423"/>
      <c r="B20" s="2422"/>
      <c r="C20" s="714"/>
      <c r="D20" s="412"/>
      <c r="E20" s="381" t="s">
        <v>2392</v>
      </c>
      <c r="F20" s="163"/>
      <c r="G20" s="163"/>
      <c r="H20" s="163"/>
      <c r="I20" s="163"/>
      <c r="J20" s="163"/>
      <c r="K20" s="163"/>
      <c r="L20" s="163"/>
      <c r="M20" s="163"/>
      <c r="N20" s="163"/>
      <c r="O20" s="163"/>
      <c r="P20" s="163"/>
      <c r="Q20" s="163"/>
      <c r="R20" s="163"/>
      <c r="S20" s="382"/>
    </row>
    <row r="21" spans="1:19" s="38" customFormat="1" ht="13.5" customHeight="1" thickTop="1">
      <c r="A21" s="2423"/>
      <c r="B21" s="2422"/>
      <c r="C21" s="714"/>
    </row>
    <row r="22" spans="1:19" s="38" customFormat="1" ht="13.5" customHeight="1" thickBot="1"/>
    <row r="23" spans="1:19" ht="13.5" customHeight="1" thickTop="1" thickBot="1">
      <c r="A23" s="625" t="s">
        <v>1077</v>
      </c>
      <c r="B23" s="626"/>
      <c r="C23" s="626"/>
      <c r="D23" s="800"/>
    </row>
    <row r="24" spans="1:19" ht="13.5" customHeight="1" thickTop="1" thickBot="1">
      <c r="A24" s="1135" t="s">
        <v>1078</v>
      </c>
      <c r="B24" s="807"/>
      <c r="C24" s="808"/>
      <c r="D24" s="1136" t="s">
        <v>1043</v>
      </c>
    </row>
    <row r="25" spans="1:19" ht="13.5" customHeight="1" thickTop="1">
      <c r="A25" s="623" t="s">
        <v>782</v>
      </c>
      <c r="B25" s="609"/>
      <c r="C25" s="624"/>
      <c r="D25" s="1992">
        <f>'A4.1.1'!G27</f>
        <v>1554395.290539701</v>
      </c>
    </row>
    <row r="26" spans="1:19" ht="13.5" customHeight="1">
      <c r="A26" s="623" t="s">
        <v>783</v>
      </c>
      <c r="B26" s="609"/>
      <c r="C26" s="624"/>
      <c r="D26" s="1993">
        <f>'A4.1.1'!G28</f>
        <v>174670.50234257852</v>
      </c>
    </row>
    <row r="27" spans="1:19" ht="13.5" customHeight="1" thickBot="1">
      <c r="A27" s="619" t="s">
        <v>784</v>
      </c>
      <c r="B27" s="627"/>
      <c r="C27" s="620"/>
      <c r="D27" s="1994">
        <f>'A4.1.1'!G29</f>
        <v>13465.327345236914</v>
      </c>
    </row>
    <row r="28" spans="1:19" ht="13.5" customHeight="1" thickTop="1" thickBot="1"/>
    <row r="29" spans="1:19" ht="13.5" customHeight="1" thickTop="1" thickBot="1">
      <c r="A29" s="625" t="s">
        <v>1079</v>
      </c>
      <c r="B29" s="626"/>
      <c r="C29" s="626"/>
      <c r="D29" s="626"/>
      <c r="E29" s="626"/>
      <c r="F29" s="626"/>
      <c r="G29" s="626"/>
      <c r="H29" s="626"/>
      <c r="I29" s="626"/>
      <c r="J29" s="800"/>
    </row>
    <row r="30" spans="1:19" ht="13.5" customHeight="1" thickTop="1" thickBot="1">
      <c r="A30" s="628" t="s">
        <v>1078</v>
      </c>
      <c r="B30" s="1096"/>
      <c r="C30" s="630"/>
      <c r="D30" s="2373" t="s">
        <v>800</v>
      </c>
      <c r="E30" s="232" t="s">
        <v>1080</v>
      </c>
      <c r="F30" s="39"/>
      <c r="G30" s="40"/>
      <c r="H30" s="39" t="s">
        <v>1081</v>
      </c>
      <c r="I30" s="39"/>
      <c r="J30" s="40"/>
    </row>
    <row r="31" spans="1:19" ht="13.5" customHeight="1" thickTop="1" thickBot="1">
      <c r="A31" s="984"/>
      <c r="B31" s="1098"/>
      <c r="C31" s="1100"/>
      <c r="D31" s="2372" t="s">
        <v>416</v>
      </c>
      <c r="E31" s="2374" t="s">
        <v>788</v>
      </c>
      <c r="F31" s="2374" t="s">
        <v>789</v>
      </c>
      <c r="G31" s="2375" t="s">
        <v>787</v>
      </c>
      <c r="H31" s="2374" t="s">
        <v>788</v>
      </c>
      <c r="I31" s="2374" t="s">
        <v>789</v>
      </c>
      <c r="J31" s="2375" t="s">
        <v>787</v>
      </c>
    </row>
    <row r="32" spans="1:19" ht="13.5" customHeight="1" thickTop="1">
      <c r="A32" s="621" t="s">
        <v>782</v>
      </c>
      <c r="B32" s="801"/>
      <c r="C32" s="622"/>
      <c r="D32" s="2385">
        <f>'Accident costs'!J36</f>
        <v>285.15323023375936</v>
      </c>
      <c r="E32" s="2376">
        <f>'Accident costs'!D36</f>
        <v>7432.4862949097051</v>
      </c>
      <c r="F32" s="2376">
        <f>'Accident costs'!E36</f>
        <v>12605.514170104589</v>
      </c>
      <c r="G32" s="2376">
        <f>'Accident costs'!F36</f>
        <v>16034.971530664034</v>
      </c>
      <c r="H32" s="2377">
        <f>'Accident costs'!G36</f>
        <v>16719.309247642806</v>
      </c>
      <c r="I32" s="2376">
        <f>'Accident costs'!H36</f>
        <v>17169.05047066457</v>
      </c>
      <c r="J32" s="2378">
        <f>'Accident costs'!I36</f>
        <v>17368.821628954422</v>
      </c>
    </row>
    <row r="33" spans="1:10" ht="13.5" customHeight="1">
      <c r="A33" s="623" t="s">
        <v>783</v>
      </c>
      <c r="B33" s="609"/>
      <c r="C33" s="624"/>
      <c r="D33" s="2386">
        <f>'Accident costs'!J37</f>
        <v>177.40449056527777</v>
      </c>
      <c r="E33" s="2379">
        <f>'Accident costs'!D37</f>
        <v>3983.4382544105329</v>
      </c>
      <c r="F33" s="2379">
        <f>'Accident costs'!E37</f>
        <v>5746.5994489856848</v>
      </c>
      <c r="G33" s="2379">
        <f>'Accident costs'!F37</f>
        <v>13681.91319568164</v>
      </c>
      <c r="H33" s="2380">
        <f>'Accident costs'!G37</f>
        <v>1846.0903960938933</v>
      </c>
      <c r="I33" s="2379">
        <f>'Accident costs'!H37</f>
        <v>2305.0518264213429</v>
      </c>
      <c r="J33" s="2381">
        <f>'Accident costs'!I37</f>
        <v>2434.134728700938</v>
      </c>
    </row>
    <row r="34" spans="1:10" ht="13.5" customHeight="1">
      <c r="A34" s="623" t="s">
        <v>784</v>
      </c>
      <c r="B34" s="609"/>
      <c r="C34" s="624"/>
      <c r="D34" s="2386">
        <f>'Accident costs'!J38</f>
        <v>107.74873966848159</v>
      </c>
      <c r="E34" s="2379">
        <f>'Accident costs'!D38</f>
        <v>2349.7932216591093</v>
      </c>
      <c r="F34" s="2379">
        <f>'Accident costs'!E38</f>
        <v>3809.2988771685418</v>
      </c>
      <c r="G34" s="2379">
        <f>'Accident costs'!F38</f>
        <v>6922.0402453691222</v>
      </c>
      <c r="H34" s="2380">
        <f>'Accident costs'!G38</f>
        <v>477.40184493882032</v>
      </c>
      <c r="I34" s="2379">
        <f>'Accident costs'!H38</f>
        <v>654.63471870366141</v>
      </c>
      <c r="J34" s="2381">
        <f>'Accident costs'!I38</f>
        <v>546.04116599225597</v>
      </c>
    </row>
    <row r="35" spans="1:10" ht="13.5" customHeight="1" thickBot="1">
      <c r="A35" s="619" t="s">
        <v>417</v>
      </c>
      <c r="B35" s="627"/>
      <c r="C35" s="620"/>
      <c r="D35" s="2387">
        <f>'Accident costs'!J39</f>
        <v>51.153442064834699</v>
      </c>
      <c r="E35" s="2382">
        <f>'Accident costs'!D39</f>
        <v>1680.444990385208</v>
      </c>
      <c r="F35" s="2382">
        <f>'Accident costs'!E39</f>
        <v>2511.9605167157124</v>
      </c>
      <c r="G35" s="2382">
        <f>'Accident costs'!F39</f>
        <v>2414.0071170170932</v>
      </c>
      <c r="H35" s="2383">
        <f>'Accident costs'!G39</f>
        <v>35.186078504102369</v>
      </c>
      <c r="I35" s="2382">
        <f>'Accident costs'!H39</f>
        <v>19.719048449267103</v>
      </c>
      <c r="J35" s="2384">
        <f>'Accident costs'!I39</f>
        <v>16.576894136092328</v>
      </c>
    </row>
    <row r="36" spans="1:10" ht="13.5" customHeight="1" thickTop="1" thickBot="1">
      <c r="D36" s="868"/>
      <c r="E36" s="868"/>
      <c r="F36" s="868"/>
    </row>
    <row r="37" spans="1:10" ht="13.5" customHeight="1" thickTop="1" thickBot="1">
      <c r="A37" s="625" t="s">
        <v>1587</v>
      </c>
      <c r="B37" s="626"/>
      <c r="C37" s="626"/>
      <c r="D37" s="626"/>
      <c r="E37" s="626"/>
      <c r="F37" s="800"/>
    </row>
    <row r="38" spans="1:10" ht="13.5" customHeight="1" thickTop="1" thickBot="1">
      <c r="A38" s="1135"/>
      <c r="B38" s="807"/>
      <c r="C38" s="808"/>
      <c r="D38" s="2613" t="s">
        <v>788</v>
      </c>
      <c r="E38" s="2613" t="s">
        <v>789</v>
      </c>
      <c r="F38" s="1136" t="s">
        <v>1589</v>
      </c>
    </row>
    <row r="39" spans="1:10" ht="13.5" customHeight="1" thickTop="1" thickBot="1">
      <c r="A39" s="960" t="s">
        <v>1588</v>
      </c>
      <c r="B39" s="627"/>
      <c r="C39" s="620"/>
      <c r="D39" s="2611">
        <f>'Accident data'!F30</f>
        <v>17.7</v>
      </c>
      <c r="E39" s="2611">
        <f>'Accident data'!I30</f>
        <v>7.8</v>
      </c>
      <c r="F39" s="2612">
        <f>'Accident data'!L30</f>
        <v>7.6</v>
      </c>
    </row>
    <row r="40" spans="1:10" ht="13.5" customHeight="1" thickTop="1"/>
  </sheetData>
  <sheetProtection sheet="1" objects="1" scenarios="1"/>
  <mergeCells count="8">
    <mergeCell ref="A12:B12"/>
    <mergeCell ref="A18:B18"/>
    <mergeCell ref="E6:S6"/>
    <mergeCell ref="A7:B7"/>
    <mergeCell ref="A8:B8"/>
    <mergeCell ref="A11:B11"/>
    <mergeCell ref="A13:B13"/>
    <mergeCell ref="A10:B10"/>
  </mergeCells>
  <phoneticPr fontId="0" type="noConversion"/>
  <hyperlinks>
    <hyperlink ref="F9" r:id="rId1"/>
    <hyperlink ref="A10" location="Contents!A1" display="Contents"/>
    <hyperlink ref="A10:B10" location="Contents!A1" tooltip="Contents page" display="Contents"/>
  </hyperlinks>
  <pageMargins left="0.75" right="0.75" top="1" bottom="1" header="0.5" footer="0.5"/>
  <pageSetup paperSize="9" scale="54" fitToHeight="0" orientation="landscape" r:id="rId2"/>
  <headerFooter alignWithMargins="0"/>
  <drawing r:id="rId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008000"/>
    <pageSetUpPr fitToPage="1"/>
  </sheetPr>
  <dimension ref="A1:S117"/>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B15" sqref="B15"/>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1056</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c r="F7" s="2523"/>
      <c r="G7" s="26"/>
      <c r="H7" s="26"/>
      <c r="I7" s="26"/>
      <c r="J7" s="26"/>
      <c r="K7" s="26"/>
      <c r="L7" s="26"/>
      <c r="M7" s="26"/>
      <c r="N7" s="26"/>
      <c r="O7" s="26"/>
      <c r="P7" s="26"/>
      <c r="Q7" s="26"/>
      <c r="R7" s="26"/>
      <c r="S7" s="147"/>
    </row>
    <row r="8" spans="1:19" s="38" customFormat="1" ht="13.5" customHeight="1">
      <c r="A8" s="3630">
        <f>Audit!C12</f>
        <v>43586</v>
      </c>
      <c r="B8" s="3631"/>
      <c r="C8" s="321"/>
      <c r="D8" s="321"/>
      <c r="E8" s="113" t="s">
        <v>1503</v>
      </c>
      <c r="F8" s="1998"/>
      <c r="G8" s="97"/>
      <c r="H8" s="97"/>
      <c r="I8" s="97"/>
      <c r="J8" s="97"/>
      <c r="K8" s="97"/>
      <c r="L8" s="97"/>
      <c r="M8" s="97"/>
      <c r="N8" s="97"/>
      <c r="O8" s="26"/>
      <c r="P8" s="26"/>
      <c r="Q8" s="26"/>
      <c r="R8" s="26"/>
      <c r="S8" s="147"/>
    </row>
    <row r="9" spans="1:19" s="38" customFormat="1" ht="13.5" customHeight="1" thickBot="1">
      <c r="A9" s="172" t="s">
        <v>14</v>
      </c>
      <c r="B9" s="173"/>
      <c r="D9" s="321"/>
      <c r="E9" s="113" t="s">
        <v>1502</v>
      </c>
      <c r="F9" s="97"/>
      <c r="G9" s="97"/>
      <c r="H9" s="97"/>
      <c r="I9" s="97"/>
      <c r="J9" s="97"/>
      <c r="K9" s="1998"/>
      <c r="L9" s="97"/>
      <c r="M9" s="97"/>
      <c r="N9" s="97"/>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c r="G11" s="26"/>
      <c r="H11" s="26"/>
      <c r="I11" s="26"/>
      <c r="J11" s="26"/>
      <c r="K11" s="26"/>
      <c r="L11" s="26"/>
      <c r="M11" s="26"/>
      <c r="N11" s="26"/>
      <c r="O11" s="26"/>
      <c r="P11" s="26"/>
      <c r="Q11" s="26"/>
      <c r="R11" s="26"/>
      <c r="S11" s="147"/>
    </row>
    <row r="12" spans="1:19" s="38" customFormat="1" ht="13.5" customHeight="1">
      <c r="A12" s="3901"/>
      <c r="B12" s="3901"/>
      <c r="D12" s="321"/>
      <c r="E12" s="113"/>
      <c r="F12" s="53"/>
      <c r="G12" s="53"/>
      <c r="H12" s="53"/>
      <c r="I12" s="53"/>
      <c r="J12" s="53"/>
      <c r="K12" s="53"/>
      <c r="L12" s="53"/>
      <c r="M12" s="53"/>
      <c r="N12" s="53"/>
      <c r="O12" s="53"/>
      <c r="P12" s="53"/>
      <c r="Q12" s="53"/>
      <c r="R12" s="53"/>
      <c r="S12" s="379"/>
    </row>
    <row r="13" spans="1:19" s="38" customFormat="1" ht="13.5" customHeight="1">
      <c r="A13" s="3642" t="s">
        <v>252</v>
      </c>
      <c r="B13" s="3689"/>
      <c r="D13" s="321"/>
      <c r="E13" s="113"/>
      <c r="F13" s="26"/>
      <c r="G13" s="26"/>
      <c r="H13" s="26"/>
      <c r="I13" s="26"/>
      <c r="J13" s="26"/>
      <c r="K13" s="26"/>
      <c r="L13" s="26"/>
      <c r="M13" s="26"/>
      <c r="N13" s="26"/>
      <c r="O13" s="26"/>
      <c r="P13" s="26"/>
      <c r="Q13" s="26"/>
      <c r="R13" s="26"/>
      <c r="S13" s="147"/>
    </row>
    <row r="14" spans="1:19" s="38" customFormat="1" ht="13.5" customHeight="1">
      <c r="A14" s="2440"/>
      <c r="B14" s="2455"/>
      <c r="C14" s="321"/>
      <c r="D14" s="321"/>
      <c r="E14" s="114"/>
      <c r="F14" s="26"/>
      <c r="G14" s="26"/>
      <c r="H14" s="26"/>
      <c r="I14" s="26"/>
      <c r="J14" s="26"/>
      <c r="K14" s="26"/>
      <c r="L14" s="26"/>
      <c r="M14" s="26"/>
      <c r="N14" s="26"/>
      <c r="O14" s="26"/>
      <c r="P14" s="26"/>
      <c r="Q14" s="26"/>
      <c r="R14" s="26"/>
      <c r="S14" s="147"/>
    </row>
    <row r="15" spans="1:19" s="38" customFormat="1" ht="13.5" customHeight="1">
      <c r="A15" s="2441" t="s">
        <v>751</v>
      </c>
      <c r="B15" s="2450">
        <f>'User Parameters'!L16</f>
        <v>2010</v>
      </c>
      <c r="C15" s="321"/>
      <c r="D15" s="321"/>
      <c r="E15" s="113"/>
      <c r="F15" s="26"/>
      <c r="G15" s="26"/>
      <c r="H15" s="26"/>
      <c r="I15" s="26"/>
      <c r="J15" s="26"/>
      <c r="K15" s="26"/>
      <c r="L15" s="26"/>
      <c r="M15" s="26"/>
      <c r="N15" s="26"/>
      <c r="O15" s="26"/>
      <c r="P15" s="26"/>
      <c r="Q15" s="26"/>
      <c r="R15" s="26"/>
      <c r="S15" s="147"/>
    </row>
    <row r="16" spans="1:19" s="38" customFormat="1" ht="13.5" customHeight="1">
      <c r="A16" s="2445"/>
      <c r="B16" s="2446"/>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c r="E22" s="13"/>
    </row>
    <row r="23" spans="1:19" ht="13.5" customHeight="1" thickTop="1" thickBot="1">
      <c r="A23" s="122" t="s">
        <v>1056</v>
      </c>
      <c r="B23" s="626"/>
      <c r="C23" s="378"/>
      <c r="D23" s="626"/>
      <c r="E23" s="800"/>
    </row>
    <row r="24" spans="1:19" ht="13.5" customHeight="1" thickTop="1">
      <c r="A24" s="1140" t="s">
        <v>418</v>
      </c>
      <c r="B24" s="2103"/>
      <c r="C24" s="2104"/>
      <c r="D24" s="1140" t="s">
        <v>1045</v>
      </c>
      <c r="E24" s="282"/>
    </row>
    <row r="25" spans="1:19" ht="13.5" customHeight="1" thickBot="1">
      <c r="A25" s="2105"/>
      <c r="B25" s="2099"/>
      <c r="C25" s="1100"/>
      <c r="D25" s="1015" t="s">
        <v>1044</v>
      </c>
      <c r="E25" s="633"/>
    </row>
    <row r="26" spans="1:19" ht="13.5" customHeight="1" thickTop="1">
      <c r="A26" s="2101" t="str">
        <f>CONCATENATE($B$15," - ")</f>
        <v xml:space="preserve">2010 - </v>
      </c>
      <c r="B26" s="2522">
        <f>$B$15+1</f>
        <v>2011</v>
      </c>
      <c r="C26" s="622"/>
      <c r="D26" s="2096">
        <f>100*(VLOOKUP('COBALT 2'!$B26,'Annual Parameters'!$B$33:$W$143,15,FALSE)/VLOOKUP('COBALT 2'!$B26-1,'Annual Parameters'!$B$33:$W$143,15,FALSE)-1)</f>
        <v>0.80058250433276967</v>
      </c>
      <c r="E26" s="1177"/>
    </row>
    <row r="27" spans="1:19" ht="13.5" customHeight="1">
      <c r="A27" s="2101" t="str">
        <f>CONCATENATE($B27-1," - ")</f>
        <v xml:space="preserve">2011 - </v>
      </c>
      <c r="B27" s="820">
        <f>B26+1</f>
        <v>2012</v>
      </c>
      <c r="C27" s="624"/>
      <c r="D27" s="2097">
        <f>100*(VLOOKUP('COBALT 2'!$B27,'Annual Parameters'!$B$33:$W$143,15,FALSE)/VLOOKUP('COBALT 2'!$B27-1,'Annual Parameters'!$B$33:$W$143,15,FALSE)-1)</f>
        <v>0.77839046801291278</v>
      </c>
      <c r="E27" s="1177"/>
    </row>
    <row r="28" spans="1:19" ht="13.5" customHeight="1">
      <c r="A28" s="2101" t="str">
        <f t="shared" ref="A28:A91" si="0">CONCATENATE($B28-1," - ")</f>
        <v xml:space="preserve">2012 - </v>
      </c>
      <c r="B28" s="820">
        <f t="shared" ref="B28:B91" si="1">B27+1</f>
        <v>2013</v>
      </c>
      <c r="C28" s="624"/>
      <c r="D28" s="2097">
        <f>100*(VLOOKUP('COBALT 2'!$B28,'Annual Parameters'!$B$33:$W$143,15,FALSE)/VLOOKUP('COBALT 2'!$B28-1,'Annual Parameters'!$B$33:$W$143,15,FALSE)-1)</f>
        <v>1.4084475328974166</v>
      </c>
      <c r="E28" s="1177"/>
    </row>
    <row r="29" spans="1:19" ht="13.5" customHeight="1">
      <c r="A29" s="2101" t="str">
        <f t="shared" si="0"/>
        <v xml:space="preserve">2013 - </v>
      </c>
      <c r="B29" s="820">
        <f t="shared" si="1"/>
        <v>2014</v>
      </c>
      <c r="C29" s="624"/>
      <c r="D29" s="2097">
        <f>100*(VLOOKUP('COBALT 2'!$B29,'Annual Parameters'!$B$33:$W$143,15,FALSE)/VLOOKUP('COBALT 2'!$B29-1,'Annual Parameters'!$B$33:$W$143,15,FALSE)-1)</f>
        <v>2.1648988193043284</v>
      </c>
      <c r="E29" s="1177"/>
    </row>
    <row r="30" spans="1:19" ht="13.5" customHeight="1">
      <c r="A30" s="2101" t="str">
        <f t="shared" si="0"/>
        <v xml:space="preserve">2014 - </v>
      </c>
      <c r="B30" s="820">
        <f t="shared" si="1"/>
        <v>2015</v>
      </c>
      <c r="C30" s="624"/>
      <c r="D30" s="2097">
        <f>100*(VLOOKUP('COBALT 2'!$B30,'Annual Parameters'!$B$33:$W$143,15,FALSE)/VLOOKUP('COBALT 2'!$B30-1,'Annual Parameters'!$B$33:$W$143,15,FALSE)-1)</f>
        <v>1.5424022197388032</v>
      </c>
      <c r="E30" s="1177"/>
    </row>
    <row r="31" spans="1:19" ht="13.5" customHeight="1">
      <c r="A31" s="2101" t="str">
        <f t="shared" si="0"/>
        <v xml:space="preserve">2015 - </v>
      </c>
      <c r="B31" s="820">
        <f t="shared" si="1"/>
        <v>2016</v>
      </c>
      <c r="C31" s="624"/>
      <c r="D31" s="2097">
        <f>100*(VLOOKUP('COBALT 2'!$B31,'Annual Parameters'!$B$33:$W$143,15,FALSE)/VLOOKUP('COBALT 2'!$B31-1,'Annual Parameters'!$B$33:$W$143,15,FALSE)-1)</f>
        <v>0.95494895943426528</v>
      </c>
      <c r="E31" s="1177"/>
    </row>
    <row r="32" spans="1:19" ht="13.5" customHeight="1">
      <c r="A32" s="2101" t="str">
        <f t="shared" si="0"/>
        <v xml:space="preserve">2016 - </v>
      </c>
      <c r="B32" s="820">
        <f t="shared" si="1"/>
        <v>2017</v>
      </c>
      <c r="C32" s="624"/>
      <c r="D32" s="2097">
        <f>100*(VLOOKUP('COBALT 2'!$B32,'Annual Parameters'!$B$33:$W$143,15,FALSE)/VLOOKUP('COBALT 2'!$B32-1,'Annual Parameters'!$B$33:$W$143,15,FALSE)-1)</f>
        <v>1.2183752435892092</v>
      </c>
      <c r="E32" s="1177"/>
    </row>
    <row r="33" spans="1:5" ht="13.5" customHeight="1">
      <c r="A33" s="2101" t="str">
        <f t="shared" si="0"/>
        <v xml:space="preserve">2017 - </v>
      </c>
      <c r="B33" s="820">
        <f t="shared" si="1"/>
        <v>2018</v>
      </c>
      <c r="C33" s="624"/>
      <c r="D33" s="2097">
        <f>100*(VLOOKUP('COBALT 2'!$B33,'Annual Parameters'!$B$33:$W$143,15,FALSE)/VLOOKUP('COBALT 2'!$B33-1,'Annual Parameters'!$B$33:$W$143,15,FALSE)-1)</f>
        <v>0.76580277382549689</v>
      </c>
      <c r="E33" s="1177"/>
    </row>
    <row r="34" spans="1:5" ht="13.5" customHeight="1">
      <c r="A34" s="2101" t="str">
        <f t="shared" si="0"/>
        <v xml:space="preserve">2018 - </v>
      </c>
      <c r="B34" s="820">
        <f t="shared" si="1"/>
        <v>2019</v>
      </c>
      <c r="C34" s="624"/>
      <c r="D34" s="2097">
        <f>100*(VLOOKUP('COBALT 2'!$B34,'Annual Parameters'!$B$33:$W$143,15,FALSE)/VLOOKUP('COBALT 2'!$B34-1,'Annual Parameters'!$B$33:$W$143,15,FALSE)-1)</f>
        <v>0.62039941220886075</v>
      </c>
      <c r="E34" s="1177"/>
    </row>
    <row r="35" spans="1:5" ht="13.5" customHeight="1">
      <c r="A35" s="2101" t="str">
        <f t="shared" si="0"/>
        <v xml:space="preserve">2019 - </v>
      </c>
      <c r="B35" s="820">
        <f t="shared" si="1"/>
        <v>2020</v>
      </c>
      <c r="C35" s="624"/>
      <c r="D35" s="2097">
        <f>100*(VLOOKUP('COBALT 2'!$B35,'Annual Parameters'!$B$33:$W$143,15,FALSE)/VLOOKUP('COBALT 2'!$B35-1,'Annual Parameters'!$B$33:$W$143,15,FALSE)-1)</f>
        <v>0.86260875258592495</v>
      </c>
      <c r="E35" s="1177"/>
    </row>
    <row r="36" spans="1:5" ht="13.5" customHeight="1">
      <c r="A36" s="2101" t="str">
        <f t="shared" si="0"/>
        <v xml:space="preserve">2020 - </v>
      </c>
      <c r="B36" s="820">
        <f t="shared" si="1"/>
        <v>2021</v>
      </c>
      <c r="C36" s="624"/>
      <c r="D36" s="2097">
        <f>100*(VLOOKUP('COBALT 2'!$B36,'Annual Parameters'!$B$33:$W$143,15,FALSE)/VLOOKUP('COBALT 2'!$B36-1,'Annual Parameters'!$B$33:$W$143,15,FALSE)-1)</f>
        <v>1.0521215941118101</v>
      </c>
      <c r="E36" s="1177"/>
    </row>
    <row r="37" spans="1:5" ht="13.5" customHeight="1">
      <c r="A37" s="2101" t="str">
        <f t="shared" si="0"/>
        <v xml:space="preserve">2021 - </v>
      </c>
      <c r="B37" s="820">
        <f t="shared" si="1"/>
        <v>2022</v>
      </c>
      <c r="C37" s="624"/>
      <c r="D37" s="2097">
        <f>100*(VLOOKUP('COBALT 2'!$B37,'Annual Parameters'!$B$33:$W$143,15,FALSE)/VLOOKUP('COBALT 2'!$B37-1,'Annual Parameters'!$B$33:$W$143,15,FALSE)-1)</f>
        <v>1.0853277228143998</v>
      </c>
      <c r="E37" s="1177"/>
    </row>
    <row r="38" spans="1:5" ht="13.5" customHeight="1">
      <c r="A38" s="2101" t="str">
        <f t="shared" si="0"/>
        <v xml:space="preserve">2022 - </v>
      </c>
      <c r="B38" s="820">
        <f t="shared" si="1"/>
        <v>2023</v>
      </c>
      <c r="C38" s="624"/>
      <c r="D38" s="2097">
        <f>100*(VLOOKUP('COBALT 2'!$B38,'Annual Parameters'!$B$33:$W$143,15,FALSE)/VLOOKUP('COBALT 2'!$B38-1,'Annual Parameters'!$B$33:$W$143,15,FALSE)-1)</f>
        <v>1.1070472229489425</v>
      </c>
      <c r="E38" s="1177"/>
    </row>
    <row r="39" spans="1:5" ht="13.5" customHeight="1">
      <c r="A39" s="2101" t="str">
        <f t="shared" si="0"/>
        <v xml:space="preserve">2023 - </v>
      </c>
      <c r="B39" s="820">
        <f t="shared" si="1"/>
        <v>2024</v>
      </c>
      <c r="C39" s="624"/>
      <c r="D39" s="2097">
        <f>100*(VLOOKUP('COBALT 2'!$B39,'Annual Parameters'!$B$33:$W$143,15,FALSE)/VLOOKUP('COBALT 2'!$B39-1,'Annual Parameters'!$B$33:$W$143,15,FALSE)-1)</f>
        <v>1.2742878930694479</v>
      </c>
      <c r="E39" s="1177"/>
    </row>
    <row r="40" spans="1:5" ht="13.5" customHeight="1">
      <c r="A40" s="2101" t="str">
        <f t="shared" si="0"/>
        <v xml:space="preserve">2024 - </v>
      </c>
      <c r="B40" s="820">
        <f t="shared" si="1"/>
        <v>2025</v>
      </c>
      <c r="C40" s="624"/>
      <c r="D40" s="2097">
        <f>100*(VLOOKUP('COBALT 2'!$B40,'Annual Parameters'!$B$33:$W$143,15,FALSE)/VLOOKUP('COBALT 2'!$B40-1,'Annual Parameters'!$B$33:$W$143,15,FALSE)-1)</f>
        <v>1.4221989952976521</v>
      </c>
      <c r="E40" s="1177"/>
    </row>
    <row r="41" spans="1:5" ht="13.5" customHeight="1">
      <c r="A41" s="2101" t="str">
        <f t="shared" si="0"/>
        <v xml:space="preserve">2025 - </v>
      </c>
      <c r="B41" s="820">
        <f t="shared" si="1"/>
        <v>2026</v>
      </c>
      <c r="C41" s="624"/>
      <c r="D41" s="2097">
        <f>100*(VLOOKUP('COBALT 2'!$B41,'Annual Parameters'!$B$33:$W$143,15,FALSE)/VLOOKUP('COBALT 2'!$B41-1,'Annual Parameters'!$B$33:$W$143,15,FALSE)-1)</f>
        <v>1.5448368383301991</v>
      </c>
      <c r="E41" s="1177"/>
    </row>
    <row r="42" spans="1:5" ht="13.5" customHeight="1">
      <c r="A42" s="2101" t="str">
        <f t="shared" si="0"/>
        <v xml:space="preserve">2026 - </v>
      </c>
      <c r="B42" s="820">
        <f t="shared" si="1"/>
        <v>2027</v>
      </c>
      <c r="C42" s="624"/>
      <c r="D42" s="2097">
        <f>100*(VLOOKUP('COBALT 2'!$B42,'Annual Parameters'!$B$33:$W$143,15,FALSE)/VLOOKUP('COBALT 2'!$B42-1,'Annual Parameters'!$B$33:$W$143,15,FALSE)-1)</f>
        <v>1.6558182951084577</v>
      </c>
      <c r="E42" s="1177"/>
    </row>
    <row r="43" spans="1:5" ht="13.5" customHeight="1">
      <c r="A43" s="2101" t="str">
        <f t="shared" si="0"/>
        <v xml:space="preserve">2027 - </v>
      </c>
      <c r="B43" s="820">
        <f t="shared" si="1"/>
        <v>2028</v>
      </c>
      <c r="C43" s="624"/>
      <c r="D43" s="2097">
        <f>100*(VLOOKUP('COBALT 2'!$B43,'Annual Parameters'!$B$33:$W$143,15,FALSE)/VLOOKUP('COBALT 2'!$B43-1,'Annual Parameters'!$B$33:$W$143,15,FALSE)-1)</f>
        <v>1.7582618428034547</v>
      </c>
      <c r="E43" s="1177"/>
    </row>
    <row r="44" spans="1:5" ht="13.5" customHeight="1">
      <c r="A44" s="2101" t="str">
        <f t="shared" si="0"/>
        <v xml:space="preserve">2028 - </v>
      </c>
      <c r="B44" s="820">
        <f t="shared" si="1"/>
        <v>2029</v>
      </c>
      <c r="C44" s="624"/>
      <c r="D44" s="2097">
        <f>100*(VLOOKUP('COBALT 2'!$B44,'Annual Parameters'!$B$33:$W$143,15,FALSE)/VLOOKUP('COBALT 2'!$B44-1,'Annual Parameters'!$B$33:$W$143,15,FALSE)-1)</f>
        <v>1.8049262815257761</v>
      </c>
      <c r="E44" s="1177"/>
    </row>
    <row r="45" spans="1:5" ht="13.5" customHeight="1">
      <c r="A45" s="2101" t="str">
        <f t="shared" si="0"/>
        <v xml:space="preserve">2029 - </v>
      </c>
      <c r="B45" s="820">
        <f t="shared" si="1"/>
        <v>2030</v>
      </c>
      <c r="C45" s="624"/>
      <c r="D45" s="2097">
        <f>100*(VLOOKUP('COBALT 2'!$B45,'Annual Parameters'!$B$33:$W$143,15,FALSE)/VLOOKUP('COBALT 2'!$B45-1,'Annual Parameters'!$B$33:$W$143,15,FALSE)-1)</f>
        <v>1.8994142374122225</v>
      </c>
      <c r="E45" s="1177"/>
    </row>
    <row r="46" spans="1:5" ht="13.5" customHeight="1">
      <c r="A46" s="2101" t="str">
        <f t="shared" si="0"/>
        <v xml:space="preserve">2030 - </v>
      </c>
      <c r="B46" s="820">
        <f t="shared" si="1"/>
        <v>2031</v>
      </c>
      <c r="C46" s="624"/>
      <c r="D46" s="2097">
        <f>100*(VLOOKUP('COBALT 2'!$B46,'Annual Parameters'!$B$33:$W$143,15,FALSE)/VLOOKUP('COBALT 2'!$B46-1,'Annual Parameters'!$B$33:$W$143,15,FALSE)-1)</f>
        <v>1.8941727639551598</v>
      </c>
      <c r="E46" s="1177"/>
    </row>
    <row r="47" spans="1:5" ht="13.5" customHeight="1">
      <c r="A47" s="2101" t="str">
        <f t="shared" si="0"/>
        <v xml:space="preserve">2031 - </v>
      </c>
      <c r="B47" s="820">
        <f t="shared" si="1"/>
        <v>2032</v>
      </c>
      <c r="C47" s="624"/>
      <c r="D47" s="2097">
        <f>100*(VLOOKUP('COBALT 2'!$B47,'Annual Parameters'!$B$33:$W$143,15,FALSE)/VLOOKUP('COBALT 2'!$B47-1,'Annual Parameters'!$B$33:$W$143,15,FALSE)-1)</f>
        <v>1.8853478072067054</v>
      </c>
      <c r="E47" s="1177"/>
    </row>
    <row r="48" spans="1:5" ht="13.5" customHeight="1">
      <c r="A48" s="2101" t="str">
        <f t="shared" si="0"/>
        <v xml:space="preserve">2032 - </v>
      </c>
      <c r="B48" s="820">
        <f t="shared" si="1"/>
        <v>2033</v>
      </c>
      <c r="C48" s="624"/>
      <c r="D48" s="2097">
        <f>100*(VLOOKUP('COBALT 2'!$B48,'Annual Parameters'!$B$33:$W$143,15,FALSE)/VLOOKUP('COBALT 2'!$B48-1,'Annual Parameters'!$B$33:$W$143,15,FALSE)-1)</f>
        <v>1.8694028559056441</v>
      </c>
      <c r="E48" s="1177"/>
    </row>
    <row r="49" spans="1:5" ht="13.5" customHeight="1">
      <c r="A49" s="2101" t="str">
        <f t="shared" si="0"/>
        <v xml:space="preserve">2033 - </v>
      </c>
      <c r="B49" s="820">
        <f t="shared" si="1"/>
        <v>2034</v>
      </c>
      <c r="C49" s="624"/>
      <c r="D49" s="2097">
        <f>100*(VLOOKUP('COBALT 2'!$B49,'Annual Parameters'!$B$33:$W$143,15,FALSE)/VLOOKUP('COBALT 2'!$B49-1,'Annual Parameters'!$B$33:$W$143,15,FALSE)-1)</f>
        <v>1.8797941377877825</v>
      </c>
      <c r="E49" s="1177"/>
    </row>
    <row r="50" spans="1:5" ht="13.5" customHeight="1">
      <c r="A50" s="2101" t="str">
        <f t="shared" si="0"/>
        <v xml:space="preserve">2034 - </v>
      </c>
      <c r="B50" s="820">
        <f t="shared" si="1"/>
        <v>2035</v>
      </c>
      <c r="C50" s="624"/>
      <c r="D50" s="2097">
        <f>100*(VLOOKUP('COBALT 2'!$B50,'Annual Parameters'!$B$33:$W$143,15,FALSE)/VLOOKUP('COBALT 2'!$B50-1,'Annual Parameters'!$B$33:$W$143,15,FALSE)-1)</f>
        <v>1.9095651824820647</v>
      </c>
      <c r="E50" s="1177"/>
    </row>
    <row r="51" spans="1:5" ht="13.5" customHeight="1">
      <c r="A51" s="2101" t="str">
        <f t="shared" si="0"/>
        <v xml:space="preserve">2035 - </v>
      </c>
      <c r="B51" s="820">
        <f t="shared" si="1"/>
        <v>2036</v>
      </c>
      <c r="C51" s="624"/>
      <c r="D51" s="2097">
        <f>100*(VLOOKUP('COBALT 2'!$B51,'Annual Parameters'!$B$33:$W$143,15,FALSE)/VLOOKUP('COBALT 2'!$B51-1,'Annual Parameters'!$B$33:$W$143,15,FALSE)-1)</f>
        <v>1.9699236270078968</v>
      </c>
      <c r="E51" s="1177"/>
    </row>
    <row r="52" spans="1:5" ht="13.5" customHeight="1">
      <c r="A52" s="2101" t="str">
        <f t="shared" si="0"/>
        <v xml:space="preserve">2036 - </v>
      </c>
      <c r="B52" s="820">
        <f t="shared" si="1"/>
        <v>2037</v>
      </c>
      <c r="C52" s="624"/>
      <c r="D52" s="2097">
        <f>100*(VLOOKUP('COBALT 2'!$B52,'Annual Parameters'!$B$33:$W$143,15,FALSE)/VLOOKUP('COBALT 2'!$B52-1,'Annual Parameters'!$B$33:$W$143,15,FALSE)-1)</f>
        <v>1.982834315661397</v>
      </c>
      <c r="E52" s="1177"/>
    </row>
    <row r="53" spans="1:5" ht="13.5" customHeight="1">
      <c r="A53" s="2101" t="str">
        <f t="shared" si="0"/>
        <v xml:space="preserve">2037 - </v>
      </c>
      <c r="B53" s="820">
        <f t="shared" si="1"/>
        <v>2038</v>
      </c>
      <c r="C53" s="624"/>
      <c r="D53" s="2097">
        <f>100*(VLOOKUP('COBALT 2'!$B53,'Annual Parameters'!$B$33:$W$143,15,FALSE)/VLOOKUP('COBALT 2'!$B53-1,'Annual Parameters'!$B$33:$W$143,15,FALSE)-1)</f>
        <v>1.9850456969122021</v>
      </c>
      <c r="E53" s="1177"/>
    </row>
    <row r="54" spans="1:5" ht="13.5" customHeight="1">
      <c r="A54" s="2101" t="str">
        <f t="shared" si="0"/>
        <v xml:space="preserve">2038 - </v>
      </c>
      <c r="B54" s="820">
        <f t="shared" si="1"/>
        <v>2039</v>
      </c>
      <c r="C54" s="624"/>
      <c r="D54" s="2097">
        <f>100*(VLOOKUP('COBALT 2'!$B54,'Annual Parameters'!$B$33:$W$143,15,FALSE)/VLOOKUP('COBALT 2'!$B54-1,'Annual Parameters'!$B$33:$W$143,15,FALSE)-1)</f>
        <v>1.9696159925507883</v>
      </c>
      <c r="E54" s="1177"/>
    </row>
    <row r="55" spans="1:5" ht="13.5" customHeight="1">
      <c r="A55" s="2101" t="str">
        <f t="shared" si="0"/>
        <v xml:space="preserve">2039 - </v>
      </c>
      <c r="B55" s="820">
        <f t="shared" si="1"/>
        <v>2040</v>
      </c>
      <c r="C55" s="624"/>
      <c r="D55" s="2097">
        <f>100*(VLOOKUP('COBALT 2'!$B55,'Annual Parameters'!$B$33:$W$143,15,FALSE)/VLOOKUP('COBALT 2'!$B55-1,'Annual Parameters'!$B$33:$W$143,15,FALSE)-1)</f>
        <v>1.9460626310843887</v>
      </c>
      <c r="E55" s="1177"/>
    </row>
    <row r="56" spans="1:5" ht="13.5" customHeight="1">
      <c r="A56" s="2101" t="str">
        <f t="shared" si="0"/>
        <v xml:space="preserve">2040 - </v>
      </c>
      <c r="B56" s="820">
        <f t="shared" si="1"/>
        <v>2041</v>
      </c>
      <c r="C56" s="624"/>
      <c r="D56" s="2097">
        <f>100*(VLOOKUP('COBALT 2'!$B56,'Annual Parameters'!$B$33:$W$143,15,FALSE)/VLOOKUP('COBALT 2'!$B56-1,'Annual Parameters'!$B$33:$W$143,15,FALSE)-1)</f>
        <v>1.9509663200319549</v>
      </c>
      <c r="E56" s="1177"/>
    </row>
    <row r="57" spans="1:5" ht="13.5" customHeight="1">
      <c r="A57" s="2101" t="str">
        <f t="shared" si="0"/>
        <v xml:space="preserve">2041 - </v>
      </c>
      <c r="B57" s="820">
        <f t="shared" si="1"/>
        <v>2042</v>
      </c>
      <c r="C57" s="624"/>
      <c r="D57" s="2097">
        <f>100*(VLOOKUP('COBALT 2'!$B57,'Annual Parameters'!$B$33:$W$143,15,FALSE)/VLOOKUP('COBALT 2'!$B57-1,'Annual Parameters'!$B$33:$W$143,15,FALSE)-1)</f>
        <v>1.9514537465697535</v>
      </c>
      <c r="E57" s="1177"/>
    </row>
    <row r="58" spans="1:5" ht="13.5" customHeight="1">
      <c r="A58" s="2101" t="str">
        <f t="shared" si="0"/>
        <v xml:space="preserve">2042 - </v>
      </c>
      <c r="B58" s="820">
        <f t="shared" si="1"/>
        <v>2043</v>
      </c>
      <c r="C58" s="624"/>
      <c r="D58" s="2097">
        <f>100*(VLOOKUP('COBALT 2'!$B58,'Annual Parameters'!$B$33:$W$143,15,FALSE)/VLOOKUP('COBALT 2'!$B58-1,'Annual Parameters'!$B$33:$W$143,15,FALSE)-1)</f>
        <v>1.9383821636312248</v>
      </c>
      <c r="E58" s="1177"/>
    </row>
    <row r="59" spans="1:5" ht="13.5" customHeight="1">
      <c r="A59" s="2101" t="str">
        <f t="shared" si="0"/>
        <v xml:space="preserve">2043 - </v>
      </c>
      <c r="B59" s="820">
        <f t="shared" si="1"/>
        <v>2044</v>
      </c>
      <c r="C59" s="624"/>
      <c r="D59" s="2097">
        <f>100*(VLOOKUP('COBALT 2'!$B59,'Annual Parameters'!$B$33:$W$143,15,FALSE)/VLOOKUP('COBALT 2'!$B59-1,'Annual Parameters'!$B$33:$W$143,15,FALSE)-1)</f>
        <v>1.9166450565248905</v>
      </c>
      <c r="E59" s="1177"/>
    </row>
    <row r="60" spans="1:5" ht="13.5" customHeight="1">
      <c r="A60" s="2101" t="str">
        <f t="shared" si="0"/>
        <v xml:space="preserve">2044 - </v>
      </c>
      <c r="B60" s="820">
        <f t="shared" si="1"/>
        <v>2045</v>
      </c>
      <c r="C60" s="624"/>
      <c r="D60" s="2097">
        <f>100*(VLOOKUP('COBALT 2'!$B60,'Annual Parameters'!$B$33:$W$143,15,FALSE)/VLOOKUP('COBALT 2'!$B60-1,'Annual Parameters'!$B$33:$W$143,15,FALSE)-1)</f>
        <v>1.9064443319437574</v>
      </c>
      <c r="E60" s="1177"/>
    </row>
    <row r="61" spans="1:5" ht="13.5" customHeight="1">
      <c r="A61" s="2101" t="str">
        <f t="shared" si="0"/>
        <v xml:space="preserve">2045 - </v>
      </c>
      <c r="B61" s="820">
        <f t="shared" si="1"/>
        <v>2046</v>
      </c>
      <c r="C61" s="624"/>
      <c r="D61" s="2097">
        <f>100*(VLOOKUP('COBALT 2'!$B61,'Annual Parameters'!$B$33:$W$143,15,FALSE)/VLOOKUP('COBALT 2'!$B61-1,'Annual Parameters'!$B$33:$W$143,15,FALSE)-1)</f>
        <v>1.9003907232110429</v>
      </c>
      <c r="E61" s="1177"/>
    </row>
    <row r="62" spans="1:5" ht="13.5" customHeight="1">
      <c r="A62" s="2101" t="str">
        <f t="shared" si="0"/>
        <v xml:space="preserve">2046 - </v>
      </c>
      <c r="B62" s="820">
        <f t="shared" si="1"/>
        <v>2047</v>
      </c>
      <c r="C62" s="624"/>
      <c r="D62" s="2097">
        <f>100*(VLOOKUP('COBALT 2'!$B62,'Annual Parameters'!$B$33:$W$143,15,FALSE)/VLOOKUP('COBALT 2'!$B62-1,'Annual Parameters'!$B$33:$W$143,15,FALSE)-1)</f>
        <v>1.880667696640681</v>
      </c>
      <c r="E62" s="1177"/>
    </row>
    <row r="63" spans="1:5" ht="13.5" customHeight="1">
      <c r="A63" s="2101" t="str">
        <f t="shared" si="0"/>
        <v xml:space="preserve">2047 - </v>
      </c>
      <c r="B63" s="820">
        <f t="shared" si="1"/>
        <v>2048</v>
      </c>
      <c r="C63" s="624"/>
      <c r="D63" s="2097">
        <f>100*(VLOOKUP('COBALT 2'!$B63,'Annual Parameters'!$B$33:$W$143,15,FALSE)/VLOOKUP('COBALT 2'!$B63-1,'Annual Parameters'!$B$33:$W$143,15,FALSE)-1)</f>
        <v>1.8701076160242414</v>
      </c>
      <c r="E63" s="1177"/>
    </row>
    <row r="64" spans="1:5" ht="13.5" customHeight="1">
      <c r="A64" s="2101" t="str">
        <f t="shared" si="0"/>
        <v xml:space="preserve">2048 - </v>
      </c>
      <c r="B64" s="820">
        <f t="shared" si="1"/>
        <v>2049</v>
      </c>
      <c r="C64" s="624"/>
      <c r="D64" s="2097">
        <f>100*(VLOOKUP('COBALT 2'!$B64,'Annual Parameters'!$B$33:$W$143,15,FALSE)/VLOOKUP('COBALT 2'!$B64-1,'Annual Parameters'!$B$33:$W$143,15,FALSE)-1)</f>
        <v>1.8735569154004761</v>
      </c>
      <c r="E64" s="1177"/>
    </row>
    <row r="65" spans="1:5" ht="13.5" customHeight="1">
      <c r="A65" s="2101" t="str">
        <f t="shared" si="0"/>
        <v xml:space="preserve">2049 - </v>
      </c>
      <c r="B65" s="820">
        <f t="shared" si="1"/>
        <v>2050</v>
      </c>
      <c r="C65" s="624"/>
      <c r="D65" s="2097">
        <f>100*(VLOOKUP('COBALT 2'!$B65,'Annual Parameters'!$B$33:$W$143,15,FALSE)/VLOOKUP('COBALT 2'!$B65-1,'Annual Parameters'!$B$33:$W$143,15,FALSE)-1)</f>
        <v>1.8940926161115756</v>
      </c>
      <c r="E65" s="1177"/>
    </row>
    <row r="66" spans="1:5" ht="13.5" customHeight="1">
      <c r="A66" s="2101" t="str">
        <f t="shared" si="0"/>
        <v xml:space="preserve">2050 - </v>
      </c>
      <c r="B66" s="820">
        <f t="shared" si="1"/>
        <v>2051</v>
      </c>
      <c r="C66" s="624"/>
      <c r="D66" s="2097">
        <f>100*(VLOOKUP('COBALT 2'!$B66,'Annual Parameters'!$B$33:$W$143,15,FALSE)/VLOOKUP('COBALT 2'!$B66-1,'Annual Parameters'!$B$33:$W$143,15,FALSE)-1)</f>
        <v>1.9779393506988541</v>
      </c>
      <c r="E66" s="1177"/>
    </row>
    <row r="67" spans="1:5" ht="13.5" customHeight="1">
      <c r="A67" s="2101" t="str">
        <f t="shared" si="0"/>
        <v xml:space="preserve">2051 - </v>
      </c>
      <c r="B67" s="820">
        <f t="shared" si="1"/>
        <v>2052</v>
      </c>
      <c r="C67" s="624"/>
      <c r="D67" s="2097">
        <f>100*(VLOOKUP('COBALT 2'!$B67,'Annual Parameters'!$B$33:$W$143,15,FALSE)/VLOOKUP('COBALT 2'!$B67-1,'Annual Parameters'!$B$33:$W$143,15,FALSE)-1)</f>
        <v>1.9871078305460976</v>
      </c>
      <c r="E67" s="1177"/>
    </row>
    <row r="68" spans="1:5" ht="13.5" customHeight="1">
      <c r="A68" s="2101" t="str">
        <f t="shared" si="0"/>
        <v xml:space="preserve">2052 - </v>
      </c>
      <c r="B68" s="820">
        <f t="shared" si="1"/>
        <v>2053</v>
      </c>
      <c r="C68" s="624"/>
      <c r="D68" s="2097">
        <f>100*(VLOOKUP('COBALT 2'!$B68,'Annual Parameters'!$B$33:$W$143,15,FALSE)/VLOOKUP('COBALT 2'!$B68-1,'Annual Parameters'!$B$33:$W$143,15,FALSE)-1)</f>
        <v>1.9898843799685872</v>
      </c>
      <c r="E68" s="1177"/>
    </row>
    <row r="69" spans="1:5" ht="13.5" customHeight="1">
      <c r="A69" s="2101" t="str">
        <f t="shared" si="0"/>
        <v xml:space="preserve">2053 - </v>
      </c>
      <c r="B69" s="820">
        <f t="shared" si="1"/>
        <v>2054</v>
      </c>
      <c r="C69" s="624"/>
      <c r="D69" s="2097">
        <f>100*(VLOOKUP('COBALT 2'!$B69,'Annual Parameters'!$B$33:$W$143,15,FALSE)/VLOOKUP('COBALT 2'!$B69-1,'Annual Parameters'!$B$33:$W$143,15,FALSE)-1)</f>
        <v>1.9752101543303535</v>
      </c>
      <c r="E69" s="1177"/>
    </row>
    <row r="70" spans="1:5" ht="13.5" customHeight="1">
      <c r="A70" s="2101" t="str">
        <f t="shared" si="0"/>
        <v xml:space="preserve">2054 - </v>
      </c>
      <c r="B70" s="820">
        <f t="shared" si="1"/>
        <v>2055</v>
      </c>
      <c r="C70" s="624"/>
      <c r="D70" s="2097">
        <f>100*(VLOOKUP('COBALT 2'!$B70,'Annual Parameters'!$B$33:$W$143,15,FALSE)/VLOOKUP('COBALT 2'!$B70-1,'Annual Parameters'!$B$33:$W$143,15,FALSE)-1)</f>
        <v>1.9485431664965969</v>
      </c>
      <c r="E70" s="1177"/>
    </row>
    <row r="71" spans="1:5" ht="13.5" customHeight="1">
      <c r="A71" s="2101" t="str">
        <f t="shared" si="0"/>
        <v xml:space="preserve">2055 - </v>
      </c>
      <c r="B71" s="820">
        <f t="shared" si="1"/>
        <v>2056</v>
      </c>
      <c r="C71" s="624"/>
      <c r="D71" s="2097">
        <f>100*(VLOOKUP('COBALT 2'!$B71,'Annual Parameters'!$B$33:$W$143,15,FALSE)/VLOOKUP('COBALT 2'!$B71-1,'Annual Parameters'!$B$33:$W$143,15,FALSE)-1)</f>
        <v>1.9614069709075643</v>
      </c>
      <c r="E71" s="1177"/>
    </row>
    <row r="72" spans="1:5" ht="13.5" customHeight="1">
      <c r="A72" s="2101" t="str">
        <f t="shared" si="0"/>
        <v xml:space="preserve">2056 - </v>
      </c>
      <c r="B72" s="820">
        <f t="shared" si="1"/>
        <v>2057</v>
      </c>
      <c r="C72" s="624"/>
      <c r="D72" s="2097">
        <f>100*(VLOOKUP('COBALT 2'!$B72,'Annual Parameters'!$B$33:$W$143,15,FALSE)/VLOOKUP('COBALT 2'!$B72-1,'Annual Parameters'!$B$33:$W$143,15,FALSE)-1)</f>
        <v>1.964566917745092</v>
      </c>
      <c r="E72" s="1177"/>
    </row>
    <row r="73" spans="1:5" ht="13.5" customHeight="1">
      <c r="A73" s="2101" t="str">
        <f t="shared" si="0"/>
        <v xml:space="preserve">2057 - </v>
      </c>
      <c r="B73" s="820">
        <f t="shared" si="1"/>
        <v>2058</v>
      </c>
      <c r="C73" s="624"/>
      <c r="D73" s="2097">
        <f>100*(VLOOKUP('COBALT 2'!$B73,'Annual Parameters'!$B$33:$W$143,15,FALSE)/VLOOKUP('COBALT 2'!$B73-1,'Annual Parameters'!$B$33:$W$143,15,FALSE)-1)</f>
        <v>1.9725343741519019</v>
      </c>
      <c r="E73" s="1177"/>
    </row>
    <row r="74" spans="1:5" ht="13.5" customHeight="1">
      <c r="A74" s="2101" t="str">
        <f t="shared" si="0"/>
        <v xml:space="preserve">2058 - </v>
      </c>
      <c r="B74" s="820">
        <f t="shared" si="1"/>
        <v>2059</v>
      </c>
      <c r="C74" s="624"/>
      <c r="D74" s="2097">
        <f>100*(VLOOKUP('COBALT 2'!$B74,'Annual Parameters'!$B$33:$W$143,15,FALSE)/VLOOKUP('COBALT 2'!$B74-1,'Annual Parameters'!$B$33:$W$143,15,FALSE)-1)</f>
        <v>1.9720316329457699</v>
      </c>
      <c r="E74" s="1177"/>
    </row>
    <row r="75" spans="1:5" ht="13.5" customHeight="1">
      <c r="A75" s="2101" t="str">
        <f t="shared" si="0"/>
        <v xml:space="preserve">2059 - </v>
      </c>
      <c r="B75" s="820">
        <f t="shared" si="1"/>
        <v>2060</v>
      </c>
      <c r="C75" s="624"/>
      <c r="D75" s="2097">
        <f>100*(VLOOKUP('COBALT 2'!$B75,'Annual Parameters'!$B$33:$W$143,15,FALSE)/VLOOKUP('COBALT 2'!$B75-1,'Annual Parameters'!$B$33:$W$143,15,FALSE)-1)</f>
        <v>1.9848382731371128</v>
      </c>
      <c r="E75" s="1177"/>
    </row>
    <row r="76" spans="1:5" ht="13.5" customHeight="1">
      <c r="A76" s="2101" t="str">
        <f t="shared" si="0"/>
        <v xml:space="preserve">2060 - </v>
      </c>
      <c r="B76" s="820">
        <f t="shared" si="1"/>
        <v>2061</v>
      </c>
      <c r="C76" s="624"/>
      <c r="D76" s="2097">
        <f>100*(VLOOKUP('COBALT 2'!$B76,'Annual Parameters'!$B$33:$W$143,15,FALSE)/VLOOKUP('COBALT 2'!$B76-1,'Annual Parameters'!$B$33:$W$143,15,FALSE)-1)</f>
        <v>2.0084651060446213</v>
      </c>
      <c r="E76" s="1177"/>
    </row>
    <row r="77" spans="1:5" ht="13.5" customHeight="1">
      <c r="A77" s="2101" t="str">
        <f t="shared" si="0"/>
        <v xml:space="preserve">2061 - </v>
      </c>
      <c r="B77" s="820">
        <f t="shared" si="1"/>
        <v>2062</v>
      </c>
      <c r="C77" s="624"/>
      <c r="D77" s="2097">
        <f>100*(VLOOKUP('COBALT 2'!$B77,'Annual Parameters'!$B$33:$W$143,15,FALSE)/VLOOKUP('COBALT 2'!$B77-1,'Annual Parameters'!$B$33:$W$143,15,FALSE)-1)</f>
        <v>2.0222962465220595</v>
      </c>
      <c r="E77" s="1177"/>
    </row>
    <row r="78" spans="1:5" ht="13.5" customHeight="1">
      <c r="A78" s="2101" t="str">
        <f t="shared" si="0"/>
        <v xml:space="preserve">2062 - </v>
      </c>
      <c r="B78" s="820">
        <f t="shared" si="1"/>
        <v>2063</v>
      </c>
      <c r="C78" s="624"/>
      <c r="D78" s="2097">
        <f>100*(VLOOKUP('COBALT 2'!$B78,'Annual Parameters'!$B$33:$W$143,15,FALSE)/VLOOKUP('COBALT 2'!$B78-1,'Annual Parameters'!$B$33:$W$143,15,FALSE)-1)</f>
        <v>2.038163502538981</v>
      </c>
      <c r="E78" s="1177"/>
    </row>
    <row r="79" spans="1:5" ht="13.5" customHeight="1">
      <c r="A79" s="2101" t="str">
        <f t="shared" si="0"/>
        <v xml:space="preserve">2063 - </v>
      </c>
      <c r="B79" s="820">
        <f t="shared" si="1"/>
        <v>2064</v>
      </c>
      <c r="C79" s="624"/>
      <c r="D79" s="2097">
        <f>100*(VLOOKUP('COBALT 2'!$B79,'Annual Parameters'!$B$33:$W$143,15,FALSE)/VLOOKUP('COBALT 2'!$B79-1,'Annual Parameters'!$B$33:$W$143,15,FALSE)-1)</f>
        <v>2.0642932181481166</v>
      </c>
      <c r="E79" s="1177"/>
    </row>
    <row r="80" spans="1:5" ht="13.5" customHeight="1">
      <c r="A80" s="2101" t="str">
        <f t="shared" si="0"/>
        <v xml:space="preserve">2064 - </v>
      </c>
      <c r="B80" s="820">
        <f t="shared" si="1"/>
        <v>2065</v>
      </c>
      <c r="C80" s="624"/>
      <c r="D80" s="2097">
        <f>100*(VLOOKUP('COBALT 2'!$B80,'Annual Parameters'!$B$33:$W$143,15,FALSE)/VLOOKUP('COBALT 2'!$B80-1,'Annual Parameters'!$B$33:$W$143,15,FALSE)-1)</f>
        <v>2.1330710130972319</v>
      </c>
      <c r="E80" s="1177"/>
    </row>
    <row r="81" spans="1:5" ht="13.5" customHeight="1">
      <c r="A81" s="2101" t="str">
        <f t="shared" si="0"/>
        <v xml:space="preserve">2065 - </v>
      </c>
      <c r="B81" s="820">
        <f t="shared" si="1"/>
        <v>2066</v>
      </c>
      <c r="C81" s="624"/>
      <c r="D81" s="2097">
        <f>100*(VLOOKUP('COBALT 2'!$B81,'Annual Parameters'!$B$33:$W$143,15,FALSE)/VLOOKUP('COBALT 2'!$B81-1,'Annual Parameters'!$B$33:$W$143,15,FALSE)-1)</f>
        <v>2.1451555603588135</v>
      </c>
      <c r="E81" s="1177"/>
    </row>
    <row r="82" spans="1:5" ht="13.5" customHeight="1">
      <c r="A82" s="2101" t="str">
        <f t="shared" si="0"/>
        <v xml:space="preserve">2066 - </v>
      </c>
      <c r="B82" s="820">
        <f t="shared" si="1"/>
        <v>2067</v>
      </c>
      <c r="C82" s="624"/>
      <c r="D82" s="2097">
        <f>100*(VLOOKUP('COBALT 2'!$B82,'Annual Parameters'!$B$33:$W$143,15,FALSE)/VLOOKUP('COBALT 2'!$B82-1,'Annual Parameters'!$B$33:$W$143,15,FALSE)-1)</f>
        <v>2.1371750981442617</v>
      </c>
      <c r="E82" s="1177"/>
    </row>
    <row r="83" spans="1:5" ht="13.5" customHeight="1">
      <c r="A83" s="2101" t="str">
        <f t="shared" si="0"/>
        <v xml:space="preserve">2067 - </v>
      </c>
      <c r="B83" s="820">
        <f t="shared" si="1"/>
        <v>2068</v>
      </c>
      <c r="C83" s="624"/>
      <c r="D83" s="2097">
        <f>100*(VLOOKUP('COBALT 2'!$B83,'Annual Parameters'!$B$33:$W$143,15,FALSE)/VLOOKUP('COBALT 2'!$B83-1,'Annual Parameters'!$B$33:$W$143,15,FALSE)-1)</f>
        <v>2.124755027139269</v>
      </c>
      <c r="E83" s="1177"/>
    </row>
    <row r="84" spans="1:5" ht="13.5" customHeight="1">
      <c r="A84" s="2101" t="str">
        <f t="shared" si="0"/>
        <v xml:space="preserve">2068 - </v>
      </c>
      <c r="B84" s="820">
        <f t="shared" si="1"/>
        <v>2069</v>
      </c>
      <c r="C84" s="624"/>
      <c r="D84" s="2097">
        <f>100*(VLOOKUP('COBALT 2'!$B84,'Annual Parameters'!$B$33:$W$143,15,FALSE)/VLOOKUP('COBALT 2'!$B84-1,'Annual Parameters'!$B$33:$W$143,15,FALSE)-1)</f>
        <v>2.1199836445181308</v>
      </c>
      <c r="E84" s="1177"/>
    </row>
    <row r="85" spans="1:5" ht="13.5" customHeight="1">
      <c r="A85" s="2101" t="str">
        <f t="shared" si="0"/>
        <v xml:space="preserve">2069 - </v>
      </c>
      <c r="B85" s="820">
        <f t="shared" si="1"/>
        <v>2070</v>
      </c>
      <c r="C85" s="624"/>
      <c r="D85" s="2097">
        <f>100*(VLOOKUP('COBALT 2'!$B85,'Annual Parameters'!$B$33:$W$143,15,FALSE)/VLOOKUP('COBALT 2'!$B85-1,'Annual Parameters'!$B$33:$W$143,15,FALSE)-1)</f>
        <v>2.1154660865163821</v>
      </c>
      <c r="E85" s="1177"/>
    </row>
    <row r="86" spans="1:5" ht="13.5" customHeight="1">
      <c r="A86" s="2101" t="str">
        <f t="shared" si="0"/>
        <v xml:space="preserve">2070 - </v>
      </c>
      <c r="B86" s="820">
        <f t="shared" si="1"/>
        <v>2071</v>
      </c>
      <c r="C86" s="624"/>
      <c r="D86" s="2097">
        <f>100*(VLOOKUP('COBALT 2'!$B86,'Annual Parameters'!$B$33:$W$143,15,FALSE)/VLOOKUP('COBALT 2'!$B86-1,'Annual Parameters'!$B$33:$W$143,15,FALSE)-1)</f>
        <v>2.111383299998737</v>
      </c>
      <c r="E86" s="1177"/>
    </row>
    <row r="87" spans="1:5" ht="13.5" customHeight="1">
      <c r="A87" s="2101" t="str">
        <f t="shared" si="0"/>
        <v xml:space="preserve">2071 - </v>
      </c>
      <c r="B87" s="820">
        <f t="shared" si="1"/>
        <v>2072</v>
      </c>
      <c r="C87" s="624"/>
      <c r="D87" s="2097">
        <f>100*(VLOOKUP('COBALT 2'!$B87,'Annual Parameters'!$B$33:$W$143,15,FALSE)/VLOOKUP('COBALT 2'!$B87-1,'Annual Parameters'!$B$33:$W$143,15,FALSE)-1)</f>
        <v>2.1078683161233736</v>
      </c>
      <c r="E87" s="1177"/>
    </row>
    <row r="88" spans="1:5" ht="13.5" customHeight="1">
      <c r="A88" s="2101" t="str">
        <f t="shared" si="0"/>
        <v xml:space="preserve">2072 - </v>
      </c>
      <c r="B88" s="820">
        <f t="shared" si="1"/>
        <v>2073</v>
      </c>
      <c r="C88" s="624"/>
      <c r="D88" s="2097">
        <f>100*(VLOOKUP('COBALT 2'!$B88,'Annual Parameters'!$B$33:$W$143,15,FALSE)/VLOOKUP('COBALT 2'!$B88-1,'Annual Parameters'!$B$33:$W$143,15,FALSE)-1)</f>
        <v>2.1050303055114572</v>
      </c>
      <c r="E88" s="1177"/>
    </row>
    <row r="89" spans="1:5" ht="13.5" customHeight="1">
      <c r="A89" s="2101" t="str">
        <f t="shared" si="0"/>
        <v xml:space="preserve">2073 - </v>
      </c>
      <c r="B89" s="820">
        <f t="shared" si="1"/>
        <v>2074</v>
      </c>
      <c r="C89" s="624"/>
      <c r="D89" s="2097">
        <f>100*(VLOOKUP('COBALT 2'!$B89,'Annual Parameters'!$B$33:$W$143,15,FALSE)/VLOOKUP('COBALT 2'!$B89-1,'Annual Parameters'!$B$33:$W$143,15,FALSE)-1)</f>
        <v>2.102934030538739</v>
      </c>
      <c r="E89" s="1177"/>
    </row>
    <row r="90" spans="1:5" ht="13.5" customHeight="1">
      <c r="A90" s="2101" t="str">
        <f t="shared" si="0"/>
        <v xml:space="preserve">2074 - </v>
      </c>
      <c r="B90" s="820">
        <f t="shared" si="1"/>
        <v>2075</v>
      </c>
      <c r="C90" s="624"/>
      <c r="D90" s="2097">
        <f>100*(VLOOKUP('COBALT 2'!$B90,'Annual Parameters'!$B$33:$W$143,15,FALSE)/VLOOKUP('COBALT 2'!$B90-1,'Annual Parameters'!$B$33:$W$143,15,FALSE)-1)</f>
        <v>2.1015978391015322</v>
      </c>
      <c r="E90" s="1177"/>
    </row>
    <row r="91" spans="1:5" ht="13.5" customHeight="1">
      <c r="A91" s="2101" t="str">
        <f t="shared" si="0"/>
        <v xml:space="preserve">2075 - </v>
      </c>
      <c r="B91" s="820">
        <f t="shared" si="1"/>
        <v>2076</v>
      </c>
      <c r="C91" s="624"/>
      <c r="D91" s="2097">
        <f>100*(VLOOKUP('COBALT 2'!$B91,'Annual Parameters'!$B$33:$W$143,15,FALSE)/VLOOKUP('COBALT 2'!$B91-1,'Annual Parameters'!$B$33:$W$143,15,FALSE)-1)</f>
        <v>2.100981339932062</v>
      </c>
      <c r="E91" s="1177"/>
    </row>
    <row r="92" spans="1:5" ht="13.5" customHeight="1">
      <c r="A92" s="2101" t="str">
        <f t="shared" ref="A92:A115" si="2">CONCATENATE($B92-1," - ")</f>
        <v xml:space="preserve">2076 - </v>
      </c>
      <c r="B92" s="820">
        <f t="shared" ref="B92:B115" si="3">B91+1</f>
        <v>2077</v>
      </c>
      <c r="C92" s="624"/>
      <c r="D92" s="2097">
        <f>100*(VLOOKUP('COBALT 2'!$B92,'Annual Parameters'!$B$33:$W$143,15,FALSE)/VLOOKUP('COBALT 2'!$B92-1,'Annual Parameters'!$B$33:$W$143,15,FALSE)-1)</f>
        <v>2.1010069712185775</v>
      </c>
      <c r="E92" s="1177"/>
    </row>
    <row r="93" spans="1:5" ht="13.5" customHeight="1">
      <c r="A93" s="2101" t="str">
        <f t="shared" si="2"/>
        <v xml:space="preserve">2077 - </v>
      </c>
      <c r="B93" s="820">
        <f t="shared" si="3"/>
        <v>2078</v>
      </c>
      <c r="C93" s="624"/>
      <c r="D93" s="2097">
        <f>100*(VLOOKUP('COBALT 2'!$B93,'Annual Parameters'!$B$33:$W$143,15,FALSE)/VLOOKUP('COBALT 2'!$B93-1,'Annual Parameters'!$B$33:$W$143,15,FALSE)-1)</f>
        <v>2.1015656977503072</v>
      </c>
      <c r="E93" s="1177"/>
    </row>
    <row r="94" spans="1:5" ht="13.5" customHeight="1">
      <c r="A94" s="2101" t="str">
        <f t="shared" si="2"/>
        <v xml:space="preserve">2078 - </v>
      </c>
      <c r="B94" s="820">
        <f t="shared" si="3"/>
        <v>2079</v>
      </c>
      <c r="C94" s="624"/>
      <c r="D94" s="2097">
        <f>100*(VLOOKUP('COBALT 2'!$B94,'Annual Parameters'!$B$33:$W$143,15,FALSE)/VLOOKUP('COBALT 2'!$B94-1,'Annual Parameters'!$B$33:$W$143,15,FALSE)-1)</f>
        <v>2.1025497008937633</v>
      </c>
      <c r="E94" s="1177"/>
    </row>
    <row r="95" spans="1:5" ht="13.5" customHeight="1">
      <c r="A95" s="2101" t="str">
        <f t="shared" si="2"/>
        <v xml:space="preserve">2079 - </v>
      </c>
      <c r="B95" s="820">
        <f t="shared" si="3"/>
        <v>2080</v>
      </c>
      <c r="C95" s="624"/>
      <c r="D95" s="2097">
        <f>100*(VLOOKUP('COBALT 2'!$B95,'Annual Parameters'!$B$33:$W$143,15,FALSE)/VLOOKUP('COBALT 2'!$B95-1,'Annual Parameters'!$B$33:$W$143,15,FALSE)-1)</f>
        <v>2.1037443261065381</v>
      </c>
      <c r="E95" s="1177"/>
    </row>
    <row r="96" spans="1:5" ht="13.5" customHeight="1">
      <c r="A96" s="2101" t="str">
        <f t="shared" si="2"/>
        <v xml:space="preserve">2080 - </v>
      </c>
      <c r="B96" s="820">
        <f t="shared" si="3"/>
        <v>2081</v>
      </c>
      <c r="C96" s="624"/>
      <c r="D96" s="2097">
        <f>100*(VLOOKUP('COBALT 2'!$B96,'Annual Parameters'!$B$33:$W$143,15,FALSE)/VLOOKUP('COBALT 2'!$B96-1,'Annual Parameters'!$B$33:$W$143,15,FALSE)-1)</f>
        <v>2.1050899875604712</v>
      </c>
      <c r="E96" s="1177"/>
    </row>
    <row r="97" spans="1:5" ht="13.5" customHeight="1">
      <c r="A97" s="2101" t="str">
        <f t="shared" si="2"/>
        <v xml:space="preserve">2081 - </v>
      </c>
      <c r="B97" s="820">
        <f t="shared" si="3"/>
        <v>2082</v>
      </c>
      <c r="C97" s="624"/>
      <c r="D97" s="2097">
        <f>100*(VLOOKUP('COBALT 2'!$B97,'Annual Parameters'!$B$33:$W$143,15,FALSE)/VLOOKUP('COBALT 2'!$B97-1,'Annual Parameters'!$B$33:$W$143,15,FALSE)-1)</f>
        <v>2.1063472696115193</v>
      </c>
      <c r="E97" s="1177"/>
    </row>
    <row r="98" spans="1:5" ht="13.5" customHeight="1">
      <c r="A98" s="2101" t="str">
        <f t="shared" si="2"/>
        <v xml:space="preserve">2082 - </v>
      </c>
      <c r="B98" s="820">
        <f t="shared" si="3"/>
        <v>2083</v>
      </c>
      <c r="C98" s="624"/>
      <c r="D98" s="2097">
        <f>100*(VLOOKUP('COBALT 2'!$B98,'Annual Parameters'!$B$33:$W$143,15,FALSE)/VLOOKUP('COBALT 2'!$B98-1,'Annual Parameters'!$B$33:$W$143,15,FALSE)-1)</f>
        <v>2.1075015960079879</v>
      </c>
      <c r="E98" s="1177"/>
    </row>
    <row r="99" spans="1:5" ht="13.5" customHeight="1">
      <c r="A99" s="2101" t="str">
        <f t="shared" si="2"/>
        <v xml:space="preserve">2083 - </v>
      </c>
      <c r="B99" s="820">
        <f t="shared" si="3"/>
        <v>2084</v>
      </c>
      <c r="C99" s="624"/>
      <c r="D99" s="2097">
        <f>100*(VLOOKUP('COBALT 2'!$B99,'Annual Parameters'!$B$33:$W$143,15,FALSE)/VLOOKUP('COBALT 2'!$B99-1,'Annual Parameters'!$B$33:$W$143,15,FALSE)-1)</f>
        <v>2.1084021653894558</v>
      </c>
      <c r="E99" s="1177"/>
    </row>
    <row r="100" spans="1:5" ht="13.5" customHeight="1">
      <c r="A100" s="2101" t="str">
        <f t="shared" si="2"/>
        <v xml:space="preserve">2084 - </v>
      </c>
      <c r="B100" s="820">
        <f t="shared" si="3"/>
        <v>2085</v>
      </c>
      <c r="C100" s="624"/>
      <c r="D100" s="2097">
        <f>100*(VLOOKUP('COBALT 2'!$B100,'Annual Parameters'!$B$33:$W$143,15,FALSE)/VLOOKUP('COBALT 2'!$B100-1,'Annual Parameters'!$B$33:$W$143,15,FALSE)-1)</f>
        <v>2.1089811978433959</v>
      </c>
      <c r="E100" s="1177"/>
    </row>
    <row r="101" spans="1:5" ht="13.5" customHeight="1">
      <c r="A101" s="2101" t="str">
        <f t="shared" si="2"/>
        <v xml:space="preserve">2085 - </v>
      </c>
      <c r="B101" s="820">
        <f t="shared" si="3"/>
        <v>2086</v>
      </c>
      <c r="C101" s="624"/>
      <c r="D101" s="2097">
        <f>100*(VLOOKUP('COBALT 2'!$B101,'Annual Parameters'!$B$33:$W$143,15,FALSE)/VLOOKUP('COBALT 2'!$B101-1,'Annual Parameters'!$B$33:$W$143,15,FALSE)-1)</f>
        <v>2.1092071781714683</v>
      </c>
      <c r="E101" s="1177"/>
    </row>
    <row r="102" spans="1:5" ht="13.5" customHeight="1">
      <c r="A102" s="2101" t="str">
        <f t="shared" si="2"/>
        <v xml:space="preserve">2086 - </v>
      </c>
      <c r="B102" s="820">
        <f t="shared" si="3"/>
        <v>2087</v>
      </c>
      <c r="C102" s="624"/>
      <c r="D102" s="2097">
        <f>100*(VLOOKUP('COBALT 2'!$B102,'Annual Parameters'!$B$33:$W$143,15,FALSE)/VLOOKUP('COBALT 2'!$B102-1,'Annual Parameters'!$B$33:$W$143,15,FALSE)-1)</f>
        <v>2.1090388059712639</v>
      </c>
      <c r="E102" s="1177"/>
    </row>
    <row r="103" spans="1:5" ht="13.5" customHeight="1">
      <c r="A103" s="2101" t="str">
        <f t="shared" si="2"/>
        <v xml:space="preserve">2087 - </v>
      </c>
      <c r="B103" s="820">
        <f t="shared" si="3"/>
        <v>2088</v>
      </c>
      <c r="C103" s="624"/>
      <c r="D103" s="2097">
        <f>100*(VLOOKUP('COBALT 2'!$B103,'Annual Parameters'!$B$33:$W$143,15,FALSE)/VLOOKUP('COBALT 2'!$B103-1,'Annual Parameters'!$B$33:$W$143,15,FALSE)-1)</f>
        <v>2.1085338149681387</v>
      </c>
      <c r="E103" s="1177"/>
    </row>
    <row r="104" spans="1:5" ht="13.5" customHeight="1">
      <c r="A104" s="2101" t="str">
        <f t="shared" si="2"/>
        <v xml:space="preserve">2088 - </v>
      </c>
      <c r="B104" s="820">
        <f t="shared" si="3"/>
        <v>2089</v>
      </c>
      <c r="C104" s="624"/>
      <c r="D104" s="2097">
        <f>100*(VLOOKUP('COBALT 2'!$B104,'Annual Parameters'!$B$33:$W$143,15,FALSE)/VLOOKUP('COBALT 2'!$B104-1,'Annual Parameters'!$B$33:$W$143,15,FALSE)-1)</f>
        <v>2.107657288462117</v>
      </c>
      <c r="E104" s="1177"/>
    </row>
    <row r="105" spans="1:5" ht="13.5" customHeight="1">
      <c r="A105" s="2101" t="str">
        <f t="shared" si="2"/>
        <v xml:space="preserve">2089 - </v>
      </c>
      <c r="B105" s="820">
        <f t="shared" si="3"/>
        <v>2090</v>
      </c>
      <c r="C105" s="624"/>
      <c r="D105" s="2097">
        <f>100*(VLOOKUP('COBALT 2'!$B105,'Annual Parameters'!$B$33:$W$143,15,FALSE)/VLOOKUP('COBALT 2'!$B105-1,'Annual Parameters'!$B$33:$W$143,15,FALSE)-1)</f>
        <v>2.1065609917909178</v>
      </c>
      <c r="E105" s="1177"/>
    </row>
    <row r="106" spans="1:5" ht="13.5" customHeight="1">
      <c r="A106" s="2101" t="str">
        <f t="shared" si="2"/>
        <v xml:space="preserve">2090 - </v>
      </c>
      <c r="B106" s="820">
        <f t="shared" si="3"/>
        <v>2091</v>
      </c>
      <c r="C106" s="624"/>
      <c r="D106" s="2097">
        <f>100*(VLOOKUP('COBALT 2'!$B106,'Annual Parameters'!$B$33:$W$143,15,FALSE)/VLOOKUP('COBALT 2'!$B106-1,'Annual Parameters'!$B$33:$W$143,15,FALSE)-1)</f>
        <v>2.1052242978962799</v>
      </c>
      <c r="E106" s="1177"/>
    </row>
    <row r="107" spans="1:5" ht="13.5" customHeight="1">
      <c r="A107" s="2101" t="str">
        <f t="shared" si="2"/>
        <v xml:space="preserve">2091 - </v>
      </c>
      <c r="B107" s="820">
        <f t="shared" si="3"/>
        <v>2092</v>
      </c>
      <c r="C107" s="624"/>
      <c r="D107" s="2097">
        <f>100*(VLOOKUP('COBALT 2'!$B107,'Annual Parameters'!$B$33:$W$143,15,FALSE)/VLOOKUP('COBALT 2'!$B107-1,'Annual Parameters'!$B$33:$W$143,15,FALSE)-1)</f>
        <v>2.1037195492258798</v>
      </c>
      <c r="E107" s="1177"/>
    </row>
    <row r="108" spans="1:5" ht="13.5" customHeight="1">
      <c r="A108" s="2101" t="str">
        <f t="shared" si="2"/>
        <v xml:space="preserve">2092 - </v>
      </c>
      <c r="B108" s="820">
        <f t="shared" si="3"/>
        <v>2093</v>
      </c>
      <c r="C108" s="624"/>
      <c r="D108" s="2097">
        <f>100*(VLOOKUP('COBALT 2'!$B108,'Annual Parameters'!$B$33:$W$143,15,FALSE)/VLOOKUP('COBALT 2'!$B108-1,'Annual Parameters'!$B$33:$W$143,15,FALSE)-1)</f>
        <v>2.1021808490321314</v>
      </c>
      <c r="E108" s="1177"/>
    </row>
    <row r="109" spans="1:5" ht="13.5" customHeight="1">
      <c r="A109" s="2101" t="str">
        <f t="shared" si="2"/>
        <v xml:space="preserve">2093 - </v>
      </c>
      <c r="B109" s="820">
        <f t="shared" si="3"/>
        <v>2094</v>
      </c>
      <c r="C109" s="624"/>
      <c r="D109" s="2097">
        <f>100*(VLOOKUP('COBALT 2'!$B109,'Annual Parameters'!$B$33:$W$143,15,FALSE)/VLOOKUP('COBALT 2'!$B109-1,'Annual Parameters'!$B$33:$W$143,15,FALSE)-1)</f>
        <v>2.1006884351425281</v>
      </c>
      <c r="E109" s="1177"/>
    </row>
    <row r="110" spans="1:5" ht="13.5" customHeight="1">
      <c r="A110" s="2101" t="str">
        <f t="shared" si="2"/>
        <v xml:space="preserve">2094 - </v>
      </c>
      <c r="B110" s="820">
        <f t="shared" si="3"/>
        <v>2095</v>
      </c>
      <c r="C110" s="624"/>
      <c r="D110" s="2097">
        <f>100*(VLOOKUP('COBALT 2'!$B110,'Annual Parameters'!$B$33:$W$143,15,FALSE)/VLOOKUP('COBALT 2'!$B110-1,'Annual Parameters'!$B$33:$W$143,15,FALSE)-1)</f>
        <v>2.0993527608937246</v>
      </c>
      <c r="E110" s="1177"/>
    </row>
    <row r="111" spans="1:5" ht="13.5" customHeight="1">
      <c r="A111" s="2101" t="str">
        <f t="shared" si="2"/>
        <v xml:space="preserve">2095 - </v>
      </c>
      <c r="B111" s="820">
        <f t="shared" si="3"/>
        <v>2096</v>
      </c>
      <c r="C111" s="624"/>
      <c r="D111" s="2097">
        <f>100*(VLOOKUP('COBALT 2'!$B111,'Annual Parameters'!$B$33:$W$143,15,FALSE)/VLOOKUP('COBALT 2'!$B111-1,'Annual Parameters'!$B$33:$W$143,15,FALSE)-1)</f>
        <v>2.0981898886833772</v>
      </c>
      <c r="E111" s="1177"/>
    </row>
    <row r="112" spans="1:5" ht="13.5" customHeight="1">
      <c r="A112" s="2101" t="str">
        <f t="shared" si="2"/>
        <v xml:space="preserve">2096 - </v>
      </c>
      <c r="B112" s="820">
        <f t="shared" si="3"/>
        <v>2097</v>
      </c>
      <c r="C112" s="624"/>
      <c r="D112" s="2097">
        <f>100*(VLOOKUP('COBALT 2'!$B112,'Annual Parameters'!$B$33:$W$143,15,FALSE)/VLOOKUP('COBALT 2'!$B112-1,'Annual Parameters'!$B$33:$W$143,15,FALSE)-1)</f>
        <v>2.0973284121684532</v>
      </c>
      <c r="E112" s="1177"/>
    </row>
    <row r="113" spans="1:5" ht="13.5" customHeight="1">
      <c r="A113" s="2101" t="str">
        <f t="shared" si="2"/>
        <v xml:space="preserve">2097 - </v>
      </c>
      <c r="B113" s="820">
        <f t="shared" si="3"/>
        <v>2098</v>
      </c>
      <c r="C113" s="624"/>
      <c r="D113" s="2097">
        <f>100*(VLOOKUP('COBALT 2'!$B113,'Annual Parameters'!$B$33:$W$143,15,FALSE)/VLOOKUP('COBALT 2'!$B113-1,'Annual Parameters'!$B$33:$W$143,15,FALSE)-1)</f>
        <v>2.0968262058471465</v>
      </c>
      <c r="E113" s="1177"/>
    </row>
    <row r="114" spans="1:5" ht="13.5" customHeight="1">
      <c r="A114" s="2101" t="str">
        <f t="shared" si="2"/>
        <v xml:space="preserve">2098 - </v>
      </c>
      <c r="B114" s="820">
        <f t="shared" si="3"/>
        <v>2099</v>
      </c>
      <c r="C114" s="624"/>
      <c r="D114" s="2097">
        <f>100*(VLOOKUP('COBALT 2'!$B114,'Annual Parameters'!$B$33:$W$143,15,FALSE)/VLOOKUP('COBALT 2'!$B114-1,'Annual Parameters'!$B$33:$W$143,15,FALSE)-1)</f>
        <v>2.0966405982583591</v>
      </c>
      <c r="E114" s="1177"/>
    </row>
    <row r="115" spans="1:5" ht="13.5" customHeight="1" thickBot="1">
      <c r="A115" s="2102" t="str">
        <f t="shared" si="2"/>
        <v xml:space="preserve">2099 - </v>
      </c>
      <c r="B115" s="2100">
        <f t="shared" si="3"/>
        <v>2100</v>
      </c>
      <c r="C115" s="620"/>
      <c r="D115" s="2098">
        <f>100*(VLOOKUP('COBALT 2'!$B115,'Annual Parameters'!$B$33:$W$143,15,FALSE)/VLOOKUP('COBALT 2'!$B115-1,'Annual Parameters'!$B$33:$W$143,15,FALSE)-1)</f>
        <v>2.0968757427431983</v>
      </c>
      <c r="E115" s="1179"/>
    </row>
    <row r="116" spans="1:5" ht="13.5" customHeight="1" thickTop="1" thickBot="1"/>
    <row r="117" spans="1:5" ht="13.5" customHeight="1" thickBot="1">
      <c r="D117" s="2431" t="s">
        <v>1489</v>
      </c>
    </row>
  </sheetData>
  <sheetProtection sheet="1" objects="1" scenarios="1"/>
  <mergeCells count="10">
    <mergeCell ref="A18:B18"/>
    <mergeCell ref="A19:B19"/>
    <mergeCell ref="A20:B20"/>
    <mergeCell ref="E6:S6"/>
    <mergeCell ref="A7:B7"/>
    <mergeCell ref="A8:B8"/>
    <mergeCell ref="A11:B11"/>
    <mergeCell ref="A13:B13"/>
    <mergeCell ref="A10:B10"/>
    <mergeCell ref="A12:B12"/>
  </mergeCells>
  <phoneticPr fontId="8" type="noConversion"/>
  <hyperlinks>
    <hyperlink ref="A10" location="Contents!A1" display="Contents"/>
    <hyperlink ref="A10:B10" location="Contents!A1" tooltip="Contents page" display="Contents"/>
    <hyperlink ref="D117" location="'COBALT 2'!D26" tooltip="Top of this page" display="Top"/>
  </hyperlinks>
  <pageMargins left="0.75" right="0.75" top="1" bottom="1" header="0.5" footer="0.5"/>
  <pageSetup paperSize="9" scale="54" fitToHeight="0" orientation="landscape" r:id="rId1"/>
  <headerFooter alignWithMargins="0"/>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008000"/>
    <pageSetUpPr fitToPage="1"/>
  </sheetPr>
  <dimension ref="A1:S53"/>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8" width="12.88671875" style="599"/>
    <col min="19" max="19" width="43" style="599" customWidth="1"/>
    <col min="20"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1008</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1704</v>
      </c>
      <c r="F7" s="1556"/>
      <c r="G7" s="26"/>
      <c r="H7" s="26"/>
      <c r="I7" s="26"/>
      <c r="J7" s="26"/>
      <c r="K7" s="26"/>
      <c r="L7" s="26"/>
      <c r="M7" s="26"/>
      <c r="N7" s="26"/>
      <c r="O7" s="26"/>
      <c r="P7" s="26"/>
      <c r="Q7" s="26"/>
      <c r="R7" s="26"/>
      <c r="S7" s="147"/>
    </row>
    <row r="8" spans="1:19" s="38" customFormat="1" ht="13.5" customHeight="1">
      <c r="A8" s="3630">
        <f>Audit!C12</f>
        <v>43586</v>
      </c>
      <c r="B8" s="3631"/>
      <c r="C8" s="321"/>
      <c r="D8" s="321"/>
      <c r="E8" s="1359" t="s">
        <v>1681</v>
      </c>
      <c r="F8" s="315"/>
      <c r="G8" s="26"/>
      <c r="H8" s="26"/>
      <c r="I8" s="26"/>
      <c r="J8" s="26"/>
      <c r="K8" s="26"/>
      <c r="L8" s="26"/>
      <c r="M8" s="26"/>
      <c r="N8" s="26"/>
      <c r="O8" s="26"/>
      <c r="P8" s="26"/>
      <c r="Q8" s="26"/>
      <c r="R8" s="26"/>
      <c r="S8" s="147"/>
    </row>
    <row r="9" spans="1:19" s="38" customFormat="1" ht="13.5" customHeight="1" thickBot="1">
      <c r="A9" s="172" t="s">
        <v>14</v>
      </c>
      <c r="B9" s="173"/>
      <c r="D9" s="321"/>
      <c r="E9" s="113" t="s">
        <v>1682</v>
      </c>
      <c r="F9" s="26"/>
      <c r="G9" s="26"/>
      <c r="H9" s="26"/>
      <c r="I9" s="26"/>
      <c r="J9" s="26"/>
      <c r="K9" s="315"/>
      <c r="L9" s="26"/>
      <c r="M9" s="26"/>
      <c r="N9" s="26"/>
      <c r="O9" s="26"/>
      <c r="P9" s="26"/>
      <c r="Q9" s="26"/>
      <c r="R9" s="26"/>
      <c r="S9" s="147"/>
    </row>
    <row r="10" spans="1:19" s="38" customFormat="1" ht="13.5" customHeight="1" thickBot="1">
      <c r="A10" s="3570" t="s">
        <v>1306</v>
      </c>
      <c r="B10" s="3610"/>
      <c r="D10" s="321"/>
      <c r="E10" s="113"/>
      <c r="F10" s="26" t="s">
        <v>330</v>
      </c>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t="s">
        <v>331</v>
      </c>
      <c r="G11" s="26"/>
      <c r="H11" s="26"/>
      <c r="I11" s="26"/>
      <c r="J11" s="26"/>
      <c r="K11" s="26"/>
      <c r="L11" s="26"/>
      <c r="M11" s="26"/>
      <c r="N11" s="26"/>
      <c r="O11" s="26"/>
      <c r="P11" s="26"/>
      <c r="Q11" s="26"/>
      <c r="R11" s="26"/>
      <c r="S11" s="147"/>
    </row>
    <row r="12" spans="1:19" s="38" customFormat="1" ht="13.5" customHeight="1">
      <c r="A12" s="3901"/>
      <c r="B12" s="3901"/>
      <c r="D12" s="321"/>
      <c r="E12" s="113"/>
      <c r="F12" s="26" t="s">
        <v>332</v>
      </c>
      <c r="G12" s="53"/>
      <c r="H12" s="53"/>
      <c r="I12" s="53"/>
      <c r="J12" s="53"/>
      <c r="K12" s="53"/>
      <c r="L12" s="53"/>
      <c r="M12" s="53"/>
      <c r="N12" s="53"/>
      <c r="O12" s="53"/>
      <c r="P12" s="53"/>
      <c r="Q12" s="53"/>
      <c r="R12" s="53"/>
      <c r="S12" s="379"/>
    </row>
    <row r="13" spans="1:19" s="38" customFormat="1" ht="13.5" customHeight="1">
      <c r="A13" s="3642" t="s">
        <v>252</v>
      </c>
      <c r="B13" s="3689"/>
      <c r="D13" s="321"/>
      <c r="E13" s="1359" t="s">
        <v>1683</v>
      </c>
      <c r="F13" s="26"/>
      <c r="G13" s="26"/>
      <c r="H13" s="26"/>
      <c r="I13" s="26"/>
      <c r="J13" s="26"/>
      <c r="K13" s="26"/>
      <c r="L13" s="26"/>
      <c r="M13" s="26"/>
      <c r="N13" s="26"/>
      <c r="O13" s="26"/>
      <c r="P13" s="26"/>
      <c r="Q13" s="26"/>
      <c r="R13" s="26"/>
      <c r="S13" s="147"/>
    </row>
    <row r="14" spans="1:19" s="38" customFormat="1" ht="13.5" customHeight="1">
      <c r="A14" s="2440"/>
      <c r="B14" s="2440"/>
      <c r="C14" s="321"/>
      <c r="D14" s="321"/>
      <c r="E14" s="113" t="s">
        <v>1684</v>
      </c>
      <c r="F14" s="26"/>
      <c r="G14" s="26"/>
      <c r="H14" s="26"/>
      <c r="I14" s="26"/>
      <c r="J14" s="26"/>
      <c r="K14" s="26"/>
      <c r="L14" s="26"/>
      <c r="M14" s="26"/>
      <c r="N14" s="26"/>
      <c r="O14" s="26"/>
      <c r="P14" s="26"/>
      <c r="Q14" s="26"/>
      <c r="R14" s="26"/>
      <c r="S14" s="147"/>
    </row>
    <row r="15" spans="1:19" s="38" customFormat="1" ht="13.5" customHeight="1">
      <c r="A15" s="2441"/>
      <c r="B15" s="2442"/>
      <c r="C15" s="321"/>
      <c r="D15" s="321"/>
      <c r="E15" s="113" t="s">
        <v>1685</v>
      </c>
      <c r="F15" s="26"/>
      <c r="G15" s="26"/>
      <c r="H15" s="26"/>
      <c r="I15" s="26"/>
      <c r="J15" s="26"/>
      <c r="K15" s="26"/>
      <c r="L15" s="26"/>
      <c r="M15" s="26"/>
      <c r="N15" s="26"/>
      <c r="O15" s="26"/>
      <c r="P15" s="26"/>
      <c r="Q15" s="26"/>
      <c r="R15" s="26"/>
      <c r="S15" s="147"/>
    </row>
    <row r="16" spans="1:19" s="38" customFormat="1" ht="13.5" customHeight="1">
      <c r="A16" s="2443" t="s">
        <v>370</v>
      </c>
      <c r="B16" s="2444">
        <v>2009</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2422"/>
      <c r="B19" s="2422"/>
      <c r="C19" s="321"/>
      <c r="D19" s="321"/>
      <c r="E19" s="113"/>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09"/>
      <c r="B21" s="2409"/>
      <c r="C21" s="321"/>
      <c r="D21" s="72"/>
      <c r="E21" s="26"/>
      <c r="F21" s="29"/>
      <c r="G21" s="29"/>
      <c r="H21" s="29"/>
      <c r="I21" s="29"/>
      <c r="J21" s="29"/>
      <c r="K21" s="29"/>
      <c r="L21" s="29"/>
      <c r="M21" s="29"/>
      <c r="N21" s="29"/>
      <c r="O21" s="29"/>
      <c r="P21" s="29"/>
      <c r="Q21" s="29"/>
      <c r="R21" s="29"/>
      <c r="S21" s="29"/>
    </row>
    <row r="22" spans="1:19" s="38" customFormat="1" ht="13.5" customHeight="1" thickBot="1">
      <c r="C22" s="13"/>
      <c r="G22" s="13"/>
      <c r="M22" s="13"/>
      <c r="N22" s="1155"/>
      <c r="O22" s="50"/>
    </row>
    <row r="23" spans="1:19" s="38" customFormat="1" ht="13.5" customHeight="1" thickTop="1" thickBot="1">
      <c r="A23" s="174" t="s">
        <v>90</v>
      </c>
      <c r="B23" s="362"/>
      <c r="C23" s="362"/>
      <c r="D23" s="328"/>
      <c r="E23" s="328"/>
      <c r="F23" s="328"/>
      <c r="G23" s="225"/>
      <c r="I23" s="174" t="s">
        <v>1007</v>
      </c>
      <c r="J23" s="328"/>
      <c r="K23" s="328"/>
      <c r="L23" s="328"/>
      <c r="M23" s="1021"/>
      <c r="N23" s="378"/>
      <c r="P23" s="3903" t="s">
        <v>91</v>
      </c>
      <c r="Q23" s="3904"/>
    </row>
    <row r="24" spans="1:19" s="38" customFormat="1" ht="13.5" customHeight="1" thickTop="1">
      <c r="A24" s="1035" t="s">
        <v>583</v>
      </c>
      <c r="B24" s="809" t="s">
        <v>420</v>
      </c>
      <c r="C24" s="709"/>
      <c r="D24" s="1152" t="s">
        <v>477</v>
      </c>
      <c r="E24" s="1153" t="s">
        <v>468</v>
      </c>
      <c r="F24" s="231" t="s">
        <v>210</v>
      </c>
      <c r="G24" s="709"/>
      <c r="I24" s="1035" t="s">
        <v>583</v>
      </c>
      <c r="J24" s="1047" t="s">
        <v>420</v>
      </c>
      <c r="K24" s="1152" t="s">
        <v>477</v>
      </c>
      <c r="L24" s="1153" t="s">
        <v>468</v>
      </c>
      <c r="M24" s="231" t="s">
        <v>210</v>
      </c>
      <c r="N24" s="1154"/>
      <c r="P24" s="3905"/>
      <c r="Q24" s="3906"/>
    </row>
    <row r="25" spans="1:19" s="38" customFormat="1" ht="13.5" customHeight="1" thickBot="1">
      <c r="A25" s="660" t="s">
        <v>629</v>
      </c>
      <c r="B25" s="513" t="s">
        <v>211</v>
      </c>
      <c r="C25" s="710"/>
      <c r="D25" s="659" t="s">
        <v>478</v>
      </c>
      <c r="E25" s="392" t="s">
        <v>470</v>
      </c>
      <c r="F25" s="706"/>
      <c r="G25" s="710"/>
      <c r="I25" s="660" t="s">
        <v>629</v>
      </c>
      <c r="J25" s="525" t="s">
        <v>211</v>
      </c>
      <c r="K25" s="659" t="s">
        <v>478</v>
      </c>
      <c r="L25" s="392" t="s">
        <v>470</v>
      </c>
      <c r="M25" s="706"/>
      <c r="N25" s="710"/>
      <c r="P25" s="3905"/>
      <c r="Q25" s="3906"/>
    </row>
    <row r="26" spans="1:19" s="38" customFormat="1" ht="13.5" customHeight="1" thickTop="1" thickBot="1">
      <c r="A26" s="671">
        <v>1</v>
      </c>
      <c r="B26" s="113" t="s">
        <v>479</v>
      </c>
      <c r="C26" s="147"/>
      <c r="D26" s="939">
        <v>6.3E-2</v>
      </c>
      <c r="E26" s="855">
        <v>0.95599999999999996</v>
      </c>
      <c r="F26" s="26" t="s">
        <v>1058</v>
      </c>
      <c r="G26" s="147"/>
      <c r="I26" s="671">
        <v>1</v>
      </c>
      <c r="J26" s="460" t="s">
        <v>479</v>
      </c>
      <c r="K26" s="939">
        <v>0.08</v>
      </c>
      <c r="L26" s="855">
        <v>0.95599999999999996</v>
      </c>
      <c r="M26" s="26" t="s">
        <v>1058</v>
      </c>
      <c r="N26" s="147"/>
      <c r="P26" s="3907"/>
      <c r="Q26" s="3908"/>
    </row>
    <row r="27" spans="1:19" s="38" customFormat="1" ht="13.5" customHeight="1" thickTop="1">
      <c r="A27" s="671">
        <v>2</v>
      </c>
      <c r="B27" s="113" t="s">
        <v>479</v>
      </c>
      <c r="C27" s="147"/>
      <c r="D27" s="939">
        <v>6.3E-2</v>
      </c>
      <c r="E27" s="855">
        <v>0.95599999999999996</v>
      </c>
      <c r="F27" s="26" t="s">
        <v>1058</v>
      </c>
      <c r="G27" s="147"/>
      <c r="I27" s="671">
        <v>2</v>
      </c>
      <c r="J27" s="460" t="s">
        <v>479</v>
      </c>
      <c r="K27" s="939">
        <v>6.7000000000000004E-2</v>
      </c>
      <c r="L27" s="855">
        <v>0.95599999999999996</v>
      </c>
      <c r="M27" s="26" t="s">
        <v>1058</v>
      </c>
      <c r="N27" s="147"/>
      <c r="P27" s="3909" t="s">
        <v>418</v>
      </c>
      <c r="Q27" s="3911" t="s">
        <v>469</v>
      </c>
    </row>
    <row r="28" spans="1:19" s="38" customFormat="1" ht="13.5" customHeight="1" thickBot="1">
      <c r="A28" s="671">
        <v>3</v>
      </c>
      <c r="B28" s="113" t="s">
        <v>479</v>
      </c>
      <c r="C28" s="147"/>
      <c r="D28" s="939">
        <v>7.4999999999999997E-2</v>
      </c>
      <c r="E28" s="855">
        <v>0.95599999999999996</v>
      </c>
      <c r="F28" s="26" t="s">
        <v>1058</v>
      </c>
      <c r="G28" s="147"/>
      <c r="I28" s="671">
        <v>3</v>
      </c>
      <c r="J28" s="460" t="s">
        <v>479</v>
      </c>
      <c r="K28" s="939">
        <v>7.9000000000000001E-2</v>
      </c>
      <c r="L28" s="855">
        <v>0.95599999999999996</v>
      </c>
      <c r="M28" s="26" t="s">
        <v>1058</v>
      </c>
      <c r="N28" s="147"/>
      <c r="P28" s="3910"/>
      <c r="Q28" s="3912"/>
    </row>
    <row r="29" spans="1:19" s="38" customFormat="1" ht="13.5" customHeight="1" thickTop="1">
      <c r="A29" s="671">
        <v>4</v>
      </c>
      <c r="B29" s="113" t="s">
        <v>936</v>
      </c>
      <c r="C29" s="147"/>
      <c r="D29" s="939">
        <v>0.17499999999999999</v>
      </c>
      <c r="E29" s="855">
        <v>0.96399999999999997</v>
      </c>
      <c r="F29" s="26" t="s">
        <v>480</v>
      </c>
      <c r="G29" s="147"/>
      <c r="I29" s="671">
        <v>4</v>
      </c>
      <c r="J29" s="460" t="s">
        <v>936</v>
      </c>
      <c r="K29" s="939">
        <v>0.53200000000000003</v>
      </c>
      <c r="L29" s="855">
        <v>0.95899999999999996</v>
      </c>
      <c r="M29" s="26" t="s">
        <v>480</v>
      </c>
      <c r="N29" s="147"/>
      <c r="O29" s="460"/>
      <c r="P29" s="147" t="s">
        <v>1686</v>
      </c>
      <c r="Q29" s="425">
        <v>1</v>
      </c>
    </row>
    <row r="30" spans="1:19" s="38" customFormat="1" ht="13.5" customHeight="1">
      <c r="A30" s="671">
        <v>4</v>
      </c>
      <c r="B30" s="113" t="s">
        <v>213</v>
      </c>
      <c r="C30" s="147"/>
      <c r="D30" s="939">
        <v>0.14299999999999999</v>
      </c>
      <c r="E30" s="855">
        <v>0.95799999999999996</v>
      </c>
      <c r="F30" s="26" t="s">
        <v>480</v>
      </c>
      <c r="G30" s="147"/>
      <c r="I30" s="671">
        <v>4</v>
      </c>
      <c r="J30" s="460" t="s">
        <v>213</v>
      </c>
      <c r="K30" s="939">
        <v>0.24399999999999999</v>
      </c>
      <c r="L30" s="855">
        <v>0.95499999999999996</v>
      </c>
      <c r="M30" s="26" t="s">
        <v>480</v>
      </c>
      <c r="N30" s="147"/>
      <c r="O30" s="460"/>
      <c r="P30" s="147" t="s">
        <v>1687</v>
      </c>
      <c r="Q30" s="425">
        <v>0.5</v>
      </c>
    </row>
    <row r="31" spans="1:19" s="38" customFormat="1" ht="13.5" customHeight="1">
      <c r="A31" s="671">
        <v>5</v>
      </c>
      <c r="B31" s="113" t="s">
        <v>936</v>
      </c>
      <c r="C31" s="147"/>
      <c r="D31" s="939">
        <v>0.17499999999999999</v>
      </c>
      <c r="E31" s="855">
        <v>0.96399999999999997</v>
      </c>
      <c r="F31" s="26" t="s">
        <v>481</v>
      </c>
      <c r="G31" s="147"/>
      <c r="I31" s="671">
        <v>5</v>
      </c>
      <c r="J31" s="460" t="s">
        <v>936</v>
      </c>
      <c r="K31" s="939">
        <v>0.53200000000000003</v>
      </c>
      <c r="L31" s="855">
        <v>0.95899999999999996</v>
      </c>
      <c r="M31" s="26" t="s">
        <v>481</v>
      </c>
      <c r="N31" s="147"/>
      <c r="O31" s="460"/>
      <c r="P31" s="147" t="s">
        <v>1688</v>
      </c>
      <c r="Q31" s="425">
        <v>0.25</v>
      </c>
    </row>
    <row r="32" spans="1:19" s="38" customFormat="1" ht="13.5" customHeight="1" thickBot="1">
      <c r="A32" s="671">
        <v>5</v>
      </c>
      <c r="B32" s="113" t="s">
        <v>213</v>
      </c>
      <c r="C32" s="147"/>
      <c r="D32" s="939">
        <v>0.14299999999999999</v>
      </c>
      <c r="E32" s="855">
        <v>0.95799999999999996</v>
      </c>
      <c r="F32" s="26" t="s">
        <v>481</v>
      </c>
      <c r="G32" s="147"/>
      <c r="I32" s="671">
        <v>5</v>
      </c>
      <c r="J32" s="460" t="s">
        <v>213</v>
      </c>
      <c r="K32" s="939">
        <v>0.24399999999999999</v>
      </c>
      <c r="L32" s="855">
        <v>0.95499999999999996</v>
      </c>
      <c r="M32" s="26" t="s">
        <v>481</v>
      </c>
      <c r="N32" s="147"/>
      <c r="O32" s="460"/>
      <c r="P32" s="168" t="s">
        <v>1689</v>
      </c>
      <c r="Q32" s="433">
        <v>0</v>
      </c>
    </row>
    <row r="33" spans="1:14" s="38" customFormat="1" ht="13.5" customHeight="1" thickTop="1">
      <c r="A33" s="671">
        <v>6</v>
      </c>
      <c r="B33" s="113" t="s">
        <v>936</v>
      </c>
      <c r="C33" s="147"/>
      <c r="D33" s="939">
        <v>0.20599999999999999</v>
      </c>
      <c r="E33" s="855">
        <v>0.96399999999999997</v>
      </c>
      <c r="F33" s="26" t="s">
        <v>316</v>
      </c>
      <c r="G33" s="147"/>
      <c r="I33" s="671">
        <v>6</v>
      </c>
      <c r="J33" s="460" t="s">
        <v>936</v>
      </c>
      <c r="K33" s="939">
        <v>0.86299999999999999</v>
      </c>
      <c r="L33" s="855">
        <v>0.95899999999999996</v>
      </c>
      <c r="M33" s="26" t="s">
        <v>316</v>
      </c>
      <c r="N33" s="147"/>
    </row>
    <row r="34" spans="1:14" s="38" customFormat="1" ht="13.5" customHeight="1">
      <c r="A34" s="671">
        <v>6</v>
      </c>
      <c r="B34" s="113" t="s">
        <v>213</v>
      </c>
      <c r="C34" s="147"/>
      <c r="D34" s="939">
        <v>8.2000000000000003E-2</v>
      </c>
      <c r="E34" s="855">
        <v>0.95799999999999996</v>
      </c>
      <c r="F34" s="26" t="s">
        <v>316</v>
      </c>
      <c r="G34" s="147"/>
      <c r="I34" s="671">
        <v>6</v>
      </c>
      <c r="J34" s="460" t="s">
        <v>213</v>
      </c>
      <c r="K34" s="1167">
        <v>0.16300000000000001</v>
      </c>
      <c r="L34" s="855">
        <v>0.95499999999999996</v>
      </c>
      <c r="M34" s="26" t="s">
        <v>316</v>
      </c>
      <c r="N34" s="147"/>
    </row>
    <row r="35" spans="1:14" s="38" customFormat="1" ht="13.5" customHeight="1">
      <c r="A35" s="671">
        <v>7</v>
      </c>
      <c r="B35" s="113" t="s">
        <v>936</v>
      </c>
      <c r="C35" s="147"/>
      <c r="D35" s="939">
        <v>0.20599999999999999</v>
      </c>
      <c r="E35" s="855">
        <v>0.96399999999999997</v>
      </c>
      <c r="F35" s="26" t="s">
        <v>317</v>
      </c>
      <c r="G35" s="147"/>
      <c r="I35" s="671">
        <v>7</v>
      </c>
      <c r="J35" s="460" t="s">
        <v>936</v>
      </c>
      <c r="K35" s="939">
        <v>0.86299999999999999</v>
      </c>
      <c r="L35" s="855">
        <v>0.95899999999999996</v>
      </c>
      <c r="M35" s="26" t="s">
        <v>318</v>
      </c>
      <c r="N35" s="147"/>
    </row>
    <row r="36" spans="1:14" s="38" customFormat="1" ht="13.5" customHeight="1">
      <c r="A36" s="671">
        <v>7</v>
      </c>
      <c r="B36" s="113" t="s">
        <v>213</v>
      </c>
      <c r="C36" s="147"/>
      <c r="D36" s="939">
        <v>8.2000000000000003E-2</v>
      </c>
      <c r="E36" s="855">
        <v>0.95799999999999996</v>
      </c>
      <c r="F36" s="26" t="s">
        <v>317</v>
      </c>
      <c r="G36" s="147"/>
      <c r="I36" s="671">
        <v>7</v>
      </c>
      <c r="J36" s="460" t="s">
        <v>213</v>
      </c>
      <c r="K36" s="939">
        <v>0.16300000000000001</v>
      </c>
      <c r="L36" s="855">
        <v>0.95499999999999996</v>
      </c>
      <c r="M36" s="26" t="s">
        <v>318</v>
      </c>
      <c r="N36" s="147"/>
    </row>
    <row r="37" spans="1:14" s="38" customFormat="1" ht="13.5" customHeight="1">
      <c r="A37" s="671">
        <v>8</v>
      </c>
      <c r="B37" s="113" t="s">
        <v>936</v>
      </c>
      <c r="C37" s="147"/>
      <c r="D37" s="939">
        <v>0.20599999999999999</v>
      </c>
      <c r="E37" s="855">
        <v>0.96399999999999997</v>
      </c>
      <c r="F37" s="26" t="s">
        <v>319</v>
      </c>
      <c r="G37" s="147"/>
      <c r="I37" s="671">
        <v>8</v>
      </c>
      <c r="J37" s="460" t="s">
        <v>936</v>
      </c>
      <c r="K37" s="939">
        <v>0.86299999999999999</v>
      </c>
      <c r="L37" s="855">
        <v>0.95899999999999996</v>
      </c>
      <c r="M37" s="26" t="s">
        <v>319</v>
      </c>
      <c r="N37" s="147"/>
    </row>
    <row r="38" spans="1:14" s="38" customFormat="1" ht="13.5" customHeight="1">
      <c r="A38" s="671">
        <v>8</v>
      </c>
      <c r="B38" s="113" t="s">
        <v>213</v>
      </c>
      <c r="C38" s="147"/>
      <c r="D38" s="939">
        <v>0.14299999999999999</v>
      </c>
      <c r="E38" s="855">
        <v>0.95799999999999996</v>
      </c>
      <c r="F38" s="26" t="s">
        <v>319</v>
      </c>
      <c r="G38" s="147"/>
      <c r="I38" s="671">
        <v>8</v>
      </c>
      <c r="J38" s="460" t="s">
        <v>213</v>
      </c>
      <c r="K38" s="939">
        <v>0.24399999999999999</v>
      </c>
      <c r="L38" s="855">
        <v>0.95499999999999996</v>
      </c>
      <c r="M38" s="26" t="s">
        <v>319</v>
      </c>
      <c r="N38" s="147"/>
    </row>
    <row r="39" spans="1:14" s="38" customFormat="1" ht="13.5" customHeight="1">
      <c r="A39" s="671">
        <v>9</v>
      </c>
      <c r="B39" s="113" t="s">
        <v>936</v>
      </c>
      <c r="C39" s="147"/>
      <c r="D39" s="939">
        <v>0.19500000000000001</v>
      </c>
      <c r="E39" s="855">
        <v>0.95699999999999996</v>
      </c>
      <c r="F39" s="26" t="s">
        <v>939</v>
      </c>
      <c r="G39" s="147"/>
      <c r="I39" s="671">
        <v>9</v>
      </c>
      <c r="J39" s="460" t="s">
        <v>936</v>
      </c>
      <c r="K39" s="939">
        <v>0.55900000000000005</v>
      </c>
      <c r="L39" s="855">
        <v>0.95099999999999996</v>
      </c>
      <c r="M39" s="26" t="s">
        <v>939</v>
      </c>
      <c r="N39" s="147"/>
    </row>
    <row r="40" spans="1:14" s="38" customFormat="1" ht="13.5" customHeight="1">
      <c r="A40" s="671">
        <v>9</v>
      </c>
      <c r="B40" s="113" t="s">
        <v>213</v>
      </c>
      <c r="C40" s="147"/>
      <c r="D40" s="939">
        <v>0.16300000000000001</v>
      </c>
      <c r="E40" s="855">
        <v>0.93500000000000005</v>
      </c>
      <c r="F40" s="26" t="s">
        <v>939</v>
      </c>
      <c r="G40" s="147"/>
      <c r="I40" s="671">
        <v>9</v>
      </c>
      <c r="J40" s="460" t="s">
        <v>213</v>
      </c>
      <c r="K40" s="939">
        <v>0.23300000000000001</v>
      </c>
      <c r="L40" s="855">
        <v>0.93300000000000005</v>
      </c>
      <c r="M40" s="26" t="s">
        <v>939</v>
      </c>
      <c r="N40" s="147"/>
    </row>
    <row r="41" spans="1:14" s="38" customFormat="1" ht="13.5" customHeight="1">
      <c r="A41" s="671">
        <v>10</v>
      </c>
      <c r="B41" s="113" t="s">
        <v>936</v>
      </c>
      <c r="C41" s="147"/>
      <c r="D41" s="939">
        <v>0.14799999999999999</v>
      </c>
      <c r="E41" s="855">
        <v>0.96499999999999997</v>
      </c>
      <c r="F41" s="26" t="s">
        <v>320</v>
      </c>
      <c r="G41" s="147"/>
      <c r="I41" s="671">
        <v>10</v>
      </c>
      <c r="J41" s="460" t="s">
        <v>936</v>
      </c>
      <c r="K41" s="939">
        <v>0.55300000000000005</v>
      </c>
      <c r="L41" s="855">
        <v>0.96699999999999997</v>
      </c>
      <c r="M41" s="26" t="s">
        <v>320</v>
      </c>
      <c r="N41" s="147"/>
    </row>
    <row r="42" spans="1:14" s="38" customFormat="1" ht="13.5" customHeight="1">
      <c r="A42" s="671">
        <v>10</v>
      </c>
      <c r="B42" s="113" t="s">
        <v>213</v>
      </c>
      <c r="C42" s="147"/>
      <c r="D42" s="939">
        <v>7.6999999999999999E-2</v>
      </c>
      <c r="E42" s="855">
        <v>0.96</v>
      </c>
      <c r="F42" s="26" t="s">
        <v>320</v>
      </c>
      <c r="G42" s="147"/>
      <c r="I42" s="671">
        <v>10</v>
      </c>
      <c r="J42" s="460" t="s">
        <v>213</v>
      </c>
      <c r="K42" s="939">
        <v>0.107</v>
      </c>
      <c r="L42" s="855">
        <v>0.95599999999999996</v>
      </c>
      <c r="M42" s="26" t="s">
        <v>320</v>
      </c>
      <c r="N42" s="147"/>
    </row>
    <row r="43" spans="1:14" s="38" customFormat="1" ht="13.5" customHeight="1">
      <c r="A43" s="671">
        <v>11</v>
      </c>
      <c r="B43" s="113" t="s">
        <v>936</v>
      </c>
      <c r="C43" s="147"/>
      <c r="D43" s="939">
        <v>0.154</v>
      </c>
      <c r="E43" s="855">
        <v>0.96499999999999997</v>
      </c>
      <c r="F43" s="26" t="s">
        <v>804</v>
      </c>
      <c r="G43" s="147"/>
      <c r="I43" s="671">
        <v>11</v>
      </c>
      <c r="J43" s="460" t="s">
        <v>936</v>
      </c>
      <c r="K43" s="939">
        <v>0.59899999999999998</v>
      </c>
      <c r="L43" s="855">
        <v>0.96699999999999997</v>
      </c>
      <c r="M43" s="26" t="s">
        <v>804</v>
      </c>
      <c r="N43" s="147"/>
    </row>
    <row r="44" spans="1:14" s="38" customFormat="1" ht="13.5" customHeight="1">
      <c r="A44" s="671">
        <v>11</v>
      </c>
      <c r="B44" s="113" t="s">
        <v>213</v>
      </c>
      <c r="C44" s="147"/>
      <c r="D44" s="939">
        <v>5.8999999999999997E-2</v>
      </c>
      <c r="E44" s="855">
        <v>0.96</v>
      </c>
      <c r="F44" s="26" t="s">
        <v>804</v>
      </c>
      <c r="G44" s="147"/>
      <c r="I44" s="671">
        <v>11</v>
      </c>
      <c r="J44" s="460" t="s">
        <v>213</v>
      </c>
      <c r="K44" s="939">
        <v>7.1999999999999995E-2</v>
      </c>
      <c r="L44" s="855">
        <v>0.95599999999999996</v>
      </c>
      <c r="M44" s="26" t="s">
        <v>804</v>
      </c>
      <c r="N44" s="147"/>
    </row>
    <row r="45" spans="1:14" s="38" customFormat="1" ht="13.5" customHeight="1">
      <c r="A45" s="671">
        <v>12</v>
      </c>
      <c r="B45" s="113" t="s">
        <v>936</v>
      </c>
      <c r="C45" s="147"/>
      <c r="D45" s="939">
        <v>0.154</v>
      </c>
      <c r="E45" s="855">
        <v>0.96499999999999997</v>
      </c>
      <c r="F45" s="26" t="s">
        <v>805</v>
      </c>
      <c r="G45" s="147"/>
      <c r="I45" s="671">
        <v>12</v>
      </c>
      <c r="J45" s="460" t="s">
        <v>936</v>
      </c>
      <c r="K45" s="939">
        <v>0.59899999999999998</v>
      </c>
      <c r="L45" s="855">
        <v>0.96699999999999997</v>
      </c>
      <c r="M45" s="26" t="s">
        <v>805</v>
      </c>
      <c r="N45" s="147"/>
    </row>
    <row r="46" spans="1:14" s="38" customFormat="1" ht="13.5" customHeight="1">
      <c r="A46" s="671">
        <v>12</v>
      </c>
      <c r="B46" s="113" t="s">
        <v>213</v>
      </c>
      <c r="C46" s="147"/>
      <c r="D46" s="939">
        <v>7.6999999999999999E-2</v>
      </c>
      <c r="E46" s="855">
        <v>0.96</v>
      </c>
      <c r="F46" s="26" t="s">
        <v>805</v>
      </c>
      <c r="G46" s="147"/>
      <c r="I46" s="671">
        <v>12</v>
      </c>
      <c r="J46" s="460" t="s">
        <v>213</v>
      </c>
      <c r="K46" s="939">
        <v>0.107</v>
      </c>
      <c r="L46" s="855">
        <v>0.95599999999999996</v>
      </c>
      <c r="M46" s="26" t="s">
        <v>805</v>
      </c>
      <c r="N46" s="147"/>
    </row>
    <row r="47" spans="1:14" s="38" customFormat="1" ht="13.5" customHeight="1">
      <c r="A47" s="671">
        <v>13</v>
      </c>
      <c r="B47" s="113" t="s">
        <v>936</v>
      </c>
      <c r="C47" s="147"/>
      <c r="D47" s="939">
        <v>0.184</v>
      </c>
      <c r="E47" s="855">
        <v>0.94899999999999995</v>
      </c>
      <c r="F47" s="26" t="s">
        <v>806</v>
      </c>
      <c r="G47" s="147"/>
      <c r="I47" s="671">
        <v>13</v>
      </c>
      <c r="J47" s="460" t="s">
        <v>936</v>
      </c>
      <c r="K47" s="939">
        <v>0.62</v>
      </c>
      <c r="L47" s="855">
        <v>0.95099999999999996</v>
      </c>
      <c r="M47" s="26" t="s">
        <v>806</v>
      </c>
      <c r="N47" s="147"/>
    </row>
    <row r="48" spans="1:14" s="38" customFormat="1" ht="13.5" customHeight="1">
      <c r="A48" s="671">
        <v>13</v>
      </c>
      <c r="B48" s="113" t="s">
        <v>213</v>
      </c>
      <c r="C48" s="147"/>
      <c r="D48" s="939">
        <v>0.10100000000000001</v>
      </c>
      <c r="E48" s="855">
        <v>0.95599999999999996</v>
      </c>
      <c r="F48" s="26" t="s">
        <v>806</v>
      </c>
      <c r="G48" s="147"/>
      <c r="I48" s="671">
        <v>13</v>
      </c>
      <c r="J48" s="460" t="s">
        <v>213</v>
      </c>
      <c r="K48" s="939">
        <v>0.123</v>
      </c>
      <c r="L48" s="855">
        <v>0.94599999999999995</v>
      </c>
      <c r="M48" s="26" t="s">
        <v>806</v>
      </c>
      <c r="N48" s="147"/>
    </row>
    <row r="49" spans="1:14" s="38" customFormat="1" ht="13.5" customHeight="1">
      <c r="A49" s="671">
        <v>14</v>
      </c>
      <c r="B49" s="113" t="s">
        <v>936</v>
      </c>
      <c r="C49" s="147"/>
      <c r="D49" s="939">
        <v>0.184</v>
      </c>
      <c r="E49" s="855">
        <v>0.94899999999999995</v>
      </c>
      <c r="F49" s="26" t="s">
        <v>807</v>
      </c>
      <c r="G49" s="147"/>
      <c r="I49" s="671">
        <v>14</v>
      </c>
      <c r="J49" s="460" t="s">
        <v>936</v>
      </c>
      <c r="K49" s="939">
        <v>0.62</v>
      </c>
      <c r="L49" s="855">
        <v>0.95099999999999996</v>
      </c>
      <c r="M49" s="26" t="s">
        <v>808</v>
      </c>
      <c r="N49" s="147"/>
    </row>
    <row r="50" spans="1:14" s="38" customFormat="1" ht="13.5" customHeight="1">
      <c r="A50" s="671">
        <v>14</v>
      </c>
      <c r="B50" s="113" t="s">
        <v>213</v>
      </c>
      <c r="C50" s="147"/>
      <c r="D50" s="939">
        <v>0.10100000000000001</v>
      </c>
      <c r="E50" s="855">
        <v>0.95599999999999996</v>
      </c>
      <c r="F50" s="26" t="s">
        <v>807</v>
      </c>
      <c r="G50" s="147"/>
      <c r="I50" s="671">
        <v>14</v>
      </c>
      <c r="J50" s="460" t="s">
        <v>213</v>
      </c>
      <c r="K50" s="939">
        <v>0.123</v>
      </c>
      <c r="L50" s="855">
        <v>0.94599999999999995</v>
      </c>
      <c r="M50" s="26" t="s">
        <v>808</v>
      </c>
      <c r="N50" s="147"/>
    </row>
    <row r="51" spans="1:14" s="38" customFormat="1" ht="13.5" customHeight="1">
      <c r="A51" s="671">
        <v>15</v>
      </c>
      <c r="B51" s="113" t="s">
        <v>936</v>
      </c>
      <c r="C51" s="147"/>
      <c r="D51" s="939">
        <v>0.184</v>
      </c>
      <c r="E51" s="855">
        <v>0.94899999999999995</v>
      </c>
      <c r="F51" s="26" t="s">
        <v>809</v>
      </c>
      <c r="G51" s="147"/>
      <c r="I51" s="671">
        <v>15</v>
      </c>
      <c r="J51" s="460" t="s">
        <v>936</v>
      </c>
      <c r="K51" s="939">
        <v>0.62</v>
      </c>
      <c r="L51" s="855">
        <v>0.95099999999999996</v>
      </c>
      <c r="M51" s="26" t="s">
        <v>809</v>
      </c>
      <c r="N51" s="147"/>
    </row>
    <row r="52" spans="1:14" s="38" customFormat="1" ht="13.5" customHeight="1" thickBot="1">
      <c r="A52" s="863">
        <v>15</v>
      </c>
      <c r="B52" s="381" t="s">
        <v>213</v>
      </c>
      <c r="C52" s="168"/>
      <c r="D52" s="1166">
        <v>0.10100000000000001</v>
      </c>
      <c r="E52" s="1175">
        <v>0.95599999999999996</v>
      </c>
      <c r="F52" s="13" t="s">
        <v>809</v>
      </c>
      <c r="G52" s="168"/>
      <c r="I52" s="863">
        <v>15</v>
      </c>
      <c r="J52" s="461" t="s">
        <v>213</v>
      </c>
      <c r="K52" s="1166">
        <v>0.123</v>
      </c>
      <c r="L52" s="1175">
        <v>0.94599999999999995</v>
      </c>
      <c r="M52" s="13" t="s">
        <v>809</v>
      </c>
      <c r="N52" s="168"/>
    </row>
    <row r="53" spans="1:14" ht="13.5" customHeight="1" thickTop="1"/>
  </sheetData>
  <sheetProtection sheet="1" objects="1" scenarios="1"/>
  <mergeCells count="12">
    <mergeCell ref="P23:Q26"/>
    <mergeCell ref="P27:P28"/>
    <mergeCell ref="Q27:Q28"/>
    <mergeCell ref="E6:S6"/>
    <mergeCell ref="A18:B18"/>
    <mergeCell ref="A20:B20"/>
    <mergeCell ref="A7:B7"/>
    <mergeCell ref="A8:B8"/>
    <mergeCell ref="A11:B11"/>
    <mergeCell ref="A12:B12"/>
    <mergeCell ref="A13:B13"/>
    <mergeCell ref="A10:B10"/>
  </mergeCells>
  <phoneticPr fontId="8" type="noConversion"/>
  <hyperlinks>
    <hyperlink ref="A10" location="Contents!A1" display="Contents"/>
    <hyperlink ref="A10:B10" location="Contents!A1" tooltip="Contents page" display="Contents"/>
  </hyperlinks>
  <pageMargins left="0.75" right="0.75" top="1" bottom="1" header="0.5" footer="0.5"/>
  <pageSetup paperSize="9" scale="54" fitToHeight="0" orientation="landscape" r:id="rId1"/>
  <headerFooter alignWithMargins="0"/>
  <drawing r:id="rId2"/>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008000"/>
    <pageSetUpPr fitToPage="1"/>
  </sheetPr>
  <dimension ref="A1:S75"/>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1011</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778</v>
      </c>
      <c r="F7" s="2699" t="s">
        <v>1691</v>
      </c>
      <c r="G7" s="26"/>
      <c r="H7" s="26"/>
      <c r="I7" s="26"/>
      <c r="J7" s="26"/>
      <c r="K7" s="26"/>
      <c r="L7" s="26"/>
      <c r="M7" s="26"/>
      <c r="N7" s="26"/>
      <c r="O7" s="26"/>
      <c r="P7" s="26"/>
      <c r="Q7" s="26"/>
      <c r="R7" s="26"/>
      <c r="S7" s="147"/>
    </row>
    <row r="8" spans="1:19" s="38" customFormat="1" ht="13.5" customHeight="1">
      <c r="A8" s="3630">
        <f>Audit!C12</f>
        <v>43586</v>
      </c>
      <c r="B8" s="3631"/>
      <c r="C8" s="321"/>
      <c r="D8" s="321"/>
      <c r="E8" s="2528" t="s">
        <v>1690</v>
      </c>
      <c r="F8" s="315"/>
      <c r="G8" s="26"/>
      <c r="H8" s="26"/>
      <c r="I8" s="26"/>
      <c r="J8" s="26"/>
      <c r="K8" s="26"/>
      <c r="L8" s="26"/>
      <c r="M8" s="26"/>
      <c r="N8" s="26"/>
      <c r="O8" s="26"/>
      <c r="P8" s="26"/>
      <c r="Q8" s="26"/>
      <c r="R8" s="26"/>
      <c r="S8" s="147"/>
    </row>
    <row r="9" spans="1:19" s="38" customFormat="1" ht="13.5" customHeight="1" thickBot="1">
      <c r="A9" s="172" t="s">
        <v>14</v>
      </c>
      <c r="B9" s="173"/>
      <c r="D9" s="321"/>
      <c r="E9" s="2528" t="s">
        <v>612</v>
      </c>
      <c r="F9" s="26"/>
      <c r="G9" s="26"/>
      <c r="H9" s="26"/>
      <c r="I9" s="26"/>
      <c r="J9" s="26"/>
      <c r="K9" s="315"/>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c r="G11" s="26"/>
      <c r="H11" s="26"/>
      <c r="I11" s="26"/>
      <c r="J11" s="26"/>
      <c r="K11" s="26"/>
      <c r="L11" s="26"/>
      <c r="M11" s="26"/>
      <c r="N11" s="26"/>
      <c r="O11" s="26"/>
      <c r="P11" s="26"/>
      <c r="Q11" s="26"/>
      <c r="R11" s="26"/>
      <c r="S11" s="147"/>
    </row>
    <row r="12" spans="1:19" s="38" customFormat="1" ht="13.5" customHeight="1">
      <c r="A12" s="2422"/>
      <c r="B12" s="2422"/>
      <c r="D12" s="321"/>
      <c r="E12" s="113"/>
      <c r="F12" s="26"/>
      <c r="G12" s="26"/>
      <c r="H12" s="26"/>
      <c r="I12" s="26"/>
      <c r="J12" s="26"/>
      <c r="K12" s="26"/>
      <c r="L12" s="26"/>
      <c r="M12" s="26"/>
      <c r="N12" s="26"/>
      <c r="O12" s="26"/>
      <c r="P12" s="26"/>
      <c r="Q12" s="26"/>
      <c r="R12" s="26"/>
      <c r="S12" s="147"/>
    </row>
    <row r="13" spans="1:19" s="38" customFormat="1" ht="13.5" customHeight="1">
      <c r="A13" s="3642" t="s">
        <v>252</v>
      </c>
      <c r="B13" s="3689"/>
      <c r="C13" s="321"/>
      <c r="D13" s="321"/>
      <c r="E13" s="114"/>
      <c r="F13" s="26"/>
      <c r="G13" s="26"/>
      <c r="H13" s="26"/>
      <c r="I13" s="26"/>
      <c r="J13" s="26"/>
      <c r="K13" s="26"/>
      <c r="L13" s="26"/>
      <c r="M13" s="26"/>
      <c r="N13" s="26"/>
      <c r="O13" s="26"/>
      <c r="P13" s="26"/>
      <c r="Q13" s="26"/>
      <c r="R13" s="26"/>
      <c r="S13" s="147"/>
    </row>
    <row r="14" spans="1:19" s="38" customFormat="1" ht="13.5" customHeight="1">
      <c r="A14" s="2445"/>
      <c r="B14" s="2446"/>
      <c r="C14" s="321"/>
      <c r="D14" s="321"/>
      <c r="E14" s="113"/>
      <c r="F14" s="26"/>
      <c r="G14" s="26"/>
      <c r="H14" s="26"/>
      <c r="I14" s="26"/>
      <c r="J14" s="26"/>
      <c r="K14" s="26"/>
      <c r="L14" s="26"/>
      <c r="M14" s="26"/>
      <c r="N14" s="26"/>
      <c r="O14" s="26"/>
      <c r="P14" s="26"/>
      <c r="Q14" s="26"/>
      <c r="R14" s="26"/>
      <c r="S14" s="147"/>
    </row>
    <row r="15" spans="1:19" s="38" customFormat="1" ht="13.5" customHeight="1">
      <c r="A15" s="2441"/>
      <c r="B15" s="2447"/>
      <c r="C15" s="321"/>
      <c r="D15" s="321"/>
      <c r="E15" s="113"/>
      <c r="F15" s="26"/>
      <c r="G15" s="26"/>
      <c r="H15" s="26"/>
      <c r="I15" s="26"/>
      <c r="J15" s="26"/>
      <c r="K15" s="26"/>
      <c r="L15" s="26"/>
      <c r="M15" s="26"/>
      <c r="N15" s="26"/>
      <c r="O15" s="26"/>
      <c r="P15" s="26"/>
      <c r="Q15" s="26"/>
      <c r="R15" s="26"/>
      <c r="S15" s="147"/>
    </row>
    <row r="16" spans="1:19" s="38" customFormat="1" ht="13.5" customHeight="1">
      <c r="A16" s="2448" t="s">
        <v>370</v>
      </c>
      <c r="B16" s="2449">
        <v>2009</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c r="F19" s="26"/>
      <c r="G19" s="26"/>
      <c r="H19" s="26"/>
      <c r="I19" s="26"/>
      <c r="J19" s="26"/>
      <c r="K19" s="26"/>
      <c r="L19" s="26"/>
      <c r="M19" s="26"/>
      <c r="N19" s="26"/>
      <c r="O19" s="26"/>
      <c r="P19" s="26"/>
      <c r="Q19" s="26"/>
      <c r="R19" s="26"/>
      <c r="S19" s="147"/>
    </row>
    <row r="20" spans="1:19" s="38" customFormat="1" ht="13.5" customHeight="1" thickBot="1">
      <c r="A20" s="2422"/>
      <c r="B20" s="2422"/>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c r="C22" s="26"/>
      <c r="G22" s="26"/>
      <c r="H22" s="13"/>
      <c r="I22" s="26"/>
      <c r="Q22" s="26"/>
    </row>
    <row r="23" spans="1:19" ht="13.5" customHeight="1" thickTop="1" thickBot="1">
      <c r="A23" s="1138" t="s">
        <v>92</v>
      </c>
      <c r="B23" s="760"/>
      <c r="C23" s="626"/>
      <c r="D23" s="760"/>
      <c r="E23" s="760"/>
      <c r="F23" s="760"/>
      <c r="G23" s="626"/>
      <c r="H23" s="800"/>
      <c r="I23" s="2108"/>
      <c r="Q23" s="609"/>
    </row>
    <row r="24" spans="1:19" ht="13.5" customHeight="1" thickTop="1">
      <c r="A24" s="1139" t="s">
        <v>419</v>
      </c>
      <c r="B24" s="1096" t="s">
        <v>420</v>
      </c>
      <c r="C24" s="785"/>
      <c r="D24" s="1140" t="s">
        <v>421</v>
      </c>
      <c r="E24" s="416"/>
      <c r="F24" s="417"/>
      <c r="G24" s="1096" t="s">
        <v>210</v>
      </c>
      <c r="H24" s="825"/>
      <c r="I24" s="609"/>
    </row>
    <row r="25" spans="1:19" ht="13.5" customHeight="1" thickBot="1">
      <c r="A25" s="1145"/>
      <c r="B25" s="828" t="s">
        <v>211</v>
      </c>
      <c r="C25" s="785"/>
      <c r="D25" s="1142" t="s">
        <v>782</v>
      </c>
      <c r="E25" s="1143" t="s">
        <v>783</v>
      </c>
      <c r="F25" s="1144" t="s">
        <v>784</v>
      </c>
      <c r="G25" s="634"/>
      <c r="H25" s="636"/>
      <c r="I25" s="609"/>
    </row>
    <row r="26" spans="1:19" ht="13.5" customHeight="1" thickTop="1">
      <c r="A26" s="866" t="s">
        <v>212</v>
      </c>
      <c r="B26" s="609" t="s">
        <v>213</v>
      </c>
      <c r="C26" s="622"/>
      <c r="D26" s="1176">
        <v>1.9E-2</v>
      </c>
      <c r="E26" s="1180">
        <v>0.104</v>
      </c>
      <c r="F26" s="1181">
        <v>0.877</v>
      </c>
      <c r="G26" s="609" t="s">
        <v>1058</v>
      </c>
      <c r="H26" s="624"/>
      <c r="I26" s="609"/>
    </row>
    <row r="27" spans="1:19" ht="13.5" customHeight="1">
      <c r="A27" s="866" t="s">
        <v>935</v>
      </c>
      <c r="B27" s="609" t="s">
        <v>936</v>
      </c>
      <c r="D27" s="1176">
        <v>1.4E-2</v>
      </c>
      <c r="E27" s="1180">
        <v>0.14499999999999999</v>
      </c>
      <c r="F27" s="1181">
        <v>0.84099999999999997</v>
      </c>
      <c r="G27" s="609" t="s">
        <v>937</v>
      </c>
      <c r="H27" s="624"/>
      <c r="I27" s="609"/>
    </row>
    <row r="28" spans="1:19" ht="13.5" customHeight="1">
      <c r="A28" s="866" t="s">
        <v>935</v>
      </c>
      <c r="B28" s="609" t="s">
        <v>213</v>
      </c>
      <c r="D28" s="1176">
        <v>4.5999999999999999E-2</v>
      </c>
      <c r="E28" s="1180">
        <v>0.20599999999999999</v>
      </c>
      <c r="F28" s="1181">
        <v>0.748</v>
      </c>
      <c r="G28" s="609" t="s">
        <v>937</v>
      </c>
      <c r="H28" s="624"/>
      <c r="I28" s="609"/>
    </row>
    <row r="29" spans="1:19" ht="13.5" customHeight="1">
      <c r="A29" s="866" t="s">
        <v>938</v>
      </c>
      <c r="B29" s="609" t="s">
        <v>936</v>
      </c>
      <c r="D29" s="1176">
        <v>0.01</v>
      </c>
      <c r="E29" s="1180">
        <v>0.14499999999999999</v>
      </c>
      <c r="F29" s="1181">
        <v>0.84599999999999997</v>
      </c>
      <c r="G29" s="609" t="s">
        <v>939</v>
      </c>
      <c r="H29" s="624"/>
      <c r="I29" s="609"/>
    </row>
    <row r="30" spans="1:19" ht="13.5" customHeight="1">
      <c r="A30" s="866" t="s">
        <v>938</v>
      </c>
      <c r="B30" s="609" t="s">
        <v>213</v>
      </c>
      <c r="D30" s="1176">
        <v>2.5999999999999999E-2</v>
      </c>
      <c r="E30" s="1180">
        <v>0.193</v>
      </c>
      <c r="F30" s="1181">
        <v>0.78</v>
      </c>
      <c r="G30" s="609" t="s">
        <v>939</v>
      </c>
      <c r="H30" s="624"/>
      <c r="I30" s="609"/>
    </row>
    <row r="31" spans="1:19" ht="13.5" customHeight="1">
      <c r="A31" s="866" t="s">
        <v>940</v>
      </c>
      <c r="B31" s="609" t="s">
        <v>936</v>
      </c>
      <c r="D31" s="1176">
        <v>1.7000000000000001E-2</v>
      </c>
      <c r="E31" s="1180">
        <v>0.13500000000000001</v>
      </c>
      <c r="F31" s="1181">
        <v>0.84899999999999998</v>
      </c>
      <c r="G31" s="609" t="s">
        <v>941</v>
      </c>
      <c r="H31" s="624"/>
      <c r="I31" s="609"/>
    </row>
    <row r="32" spans="1:19" ht="13.5" customHeight="1" thickBot="1">
      <c r="A32" s="867" t="s">
        <v>940</v>
      </c>
      <c r="B32" s="627" t="s">
        <v>213</v>
      </c>
      <c r="C32" s="620"/>
      <c r="D32" s="1178">
        <v>2.8000000000000001E-2</v>
      </c>
      <c r="E32" s="1182">
        <v>0.13500000000000001</v>
      </c>
      <c r="F32" s="1183">
        <v>0.83699999999999997</v>
      </c>
      <c r="G32" s="627" t="s">
        <v>941</v>
      </c>
      <c r="H32" s="620"/>
      <c r="I32" s="609"/>
    </row>
    <row r="33" spans="1:17" ht="13.5" customHeight="1" thickTop="1" thickBot="1">
      <c r="G33" s="1045"/>
      <c r="H33" s="1045"/>
      <c r="I33" s="609"/>
    </row>
    <row r="34" spans="1:17" ht="13.5" customHeight="1" thickTop="1" thickBot="1">
      <c r="A34" s="1138" t="s">
        <v>1009</v>
      </c>
      <c r="B34" s="760"/>
      <c r="C34" s="626"/>
      <c r="D34" s="760"/>
      <c r="E34" s="760"/>
      <c r="F34" s="626"/>
      <c r="G34" s="762"/>
      <c r="H34" s="1048"/>
      <c r="I34" s="609"/>
    </row>
    <row r="35" spans="1:17" ht="13.5" customHeight="1" thickTop="1">
      <c r="A35" s="1139" t="s">
        <v>419</v>
      </c>
      <c r="B35" s="1096" t="s">
        <v>420</v>
      </c>
      <c r="C35" s="785"/>
      <c r="D35" s="1140" t="s">
        <v>421</v>
      </c>
      <c r="E35" s="416"/>
      <c r="F35" s="417"/>
      <c r="G35" s="1078" t="s">
        <v>210</v>
      </c>
      <c r="H35" s="825"/>
      <c r="I35" s="609"/>
    </row>
    <row r="36" spans="1:17" ht="13.5" customHeight="1" thickBot="1">
      <c r="A36" s="1145"/>
      <c r="B36" s="828" t="s">
        <v>211</v>
      </c>
      <c r="C36" s="636"/>
      <c r="D36" s="1142" t="s">
        <v>782</v>
      </c>
      <c r="E36" s="1143" t="s">
        <v>783</v>
      </c>
      <c r="F36" s="1144" t="s">
        <v>784</v>
      </c>
      <c r="G36" s="634"/>
      <c r="H36" s="636"/>
      <c r="I36" s="609"/>
    </row>
    <row r="37" spans="1:17" ht="13.5" customHeight="1" thickTop="1">
      <c r="A37" s="866" t="s">
        <v>212</v>
      </c>
      <c r="B37" s="609" t="s">
        <v>213</v>
      </c>
      <c r="D37" s="1184">
        <v>1.7999999999999999E-2</v>
      </c>
      <c r="E37" s="1185">
        <v>0.10100000000000001</v>
      </c>
      <c r="F37" s="1186">
        <v>0.88200000000000001</v>
      </c>
      <c r="G37" s="609" t="s">
        <v>1058</v>
      </c>
      <c r="H37" s="624"/>
      <c r="I37" s="609"/>
    </row>
    <row r="38" spans="1:17" ht="13.5" customHeight="1">
      <c r="A38" s="866" t="s">
        <v>935</v>
      </c>
      <c r="B38" s="609" t="s">
        <v>936</v>
      </c>
      <c r="D38" s="1184">
        <v>8.0000000000000002E-3</v>
      </c>
      <c r="E38" s="1185">
        <v>0.122</v>
      </c>
      <c r="F38" s="1186">
        <v>0.86899999999999999</v>
      </c>
      <c r="G38" s="609" t="s">
        <v>937</v>
      </c>
      <c r="H38" s="624"/>
      <c r="I38" s="609"/>
    </row>
    <row r="39" spans="1:17" ht="13.5" customHeight="1">
      <c r="A39" s="866" t="s">
        <v>935</v>
      </c>
      <c r="B39" s="609" t="s">
        <v>213</v>
      </c>
      <c r="D39" s="1184">
        <v>3.4000000000000002E-2</v>
      </c>
      <c r="E39" s="1185">
        <v>0.187</v>
      </c>
      <c r="F39" s="1186">
        <v>0.77900000000000003</v>
      </c>
      <c r="G39" s="609" t="s">
        <v>937</v>
      </c>
      <c r="H39" s="624"/>
      <c r="I39" s="609"/>
    </row>
    <row r="40" spans="1:17" ht="13.5" customHeight="1">
      <c r="A40" s="866" t="s">
        <v>938</v>
      </c>
      <c r="B40" s="609" t="s">
        <v>936</v>
      </c>
      <c r="D40" s="1184">
        <v>7.0000000000000001E-3</v>
      </c>
      <c r="E40" s="1185">
        <v>0.126</v>
      </c>
      <c r="F40" s="1186">
        <v>0.86699999999999999</v>
      </c>
      <c r="G40" s="609" t="s">
        <v>939</v>
      </c>
      <c r="H40" s="624"/>
      <c r="I40" s="609"/>
    </row>
    <row r="41" spans="1:17" ht="13.5" customHeight="1">
      <c r="A41" s="866" t="s">
        <v>938</v>
      </c>
      <c r="B41" s="609" t="s">
        <v>213</v>
      </c>
      <c r="D41" s="1184">
        <v>2.4E-2</v>
      </c>
      <c r="E41" s="1185">
        <v>0.187</v>
      </c>
      <c r="F41" s="1186">
        <v>0.78900000000000003</v>
      </c>
      <c r="G41" s="609" t="s">
        <v>939</v>
      </c>
      <c r="H41" s="624"/>
      <c r="I41" s="609"/>
    </row>
    <row r="42" spans="1:17" ht="13.5" customHeight="1">
      <c r="A42" s="866" t="s">
        <v>940</v>
      </c>
      <c r="B42" s="609" t="s">
        <v>936</v>
      </c>
      <c r="D42" s="1184">
        <v>8.9999999999999993E-3</v>
      </c>
      <c r="E42" s="1185">
        <v>0.104</v>
      </c>
      <c r="F42" s="1186">
        <v>0.88700000000000001</v>
      </c>
      <c r="G42" s="609" t="s">
        <v>941</v>
      </c>
      <c r="H42" s="624"/>
      <c r="I42" s="609"/>
    </row>
    <row r="43" spans="1:17" ht="13.5" customHeight="1" thickBot="1">
      <c r="A43" s="867" t="s">
        <v>940</v>
      </c>
      <c r="B43" s="627" t="s">
        <v>213</v>
      </c>
      <c r="C43" s="620"/>
      <c r="D43" s="1187">
        <v>2.3E-2</v>
      </c>
      <c r="E43" s="1188">
        <v>0.127</v>
      </c>
      <c r="F43" s="1189">
        <v>0.85</v>
      </c>
      <c r="G43" s="627" t="s">
        <v>941</v>
      </c>
      <c r="H43" s="620"/>
      <c r="I43" s="609"/>
    </row>
    <row r="44" spans="1:17" ht="13.5" customHeight="1" thickTop="1">
      <c r="A44" s="609"/>
      <c r="B44" s="609"/>
      <c r="C44" s="609"/>
      <c r="D44" s="1191"/>
      <c r="E44" s="1191"/>
      <c r="F44" s="1191"/>
      <c r="G44" s="609"/>
      <c r="H44" s="609"/>
      <c r="I44" s="609"/>
      <c r="Q44" s="609"/>
    </row>
    <row r="45" spans="1:17" ht="13.5" customHeight="1">
      <c r="A45" s="609"/>
      <c r="B45" s="609"/>
      <c r="C45" s="609"/>
      <c r="D45" s="1191"/>
      <c r="E45" s="1191"/>
      <c r="F45" s="1191"/>
      <c r="G45" s="609"/>
      <c r="H45" s="609"/>
      <c r="I45" s="609"/>
    </row>
    <row r="46" spans="1:17" ht="13.5" customHeight="1">
      <c r="A46" s="609"/>
      <c r="B46" s="609"/>
      <c r="C46" s="609"/>
      <c r="D46" s="1191"/>
      <c r="E46" s="1191"/>
      <c r="F46" s="1191"/>
      <c r="G46" s="609"/>
      <c r="H46" s="609"/>
      <c r="I46" s="609"/>
    </row>
    <row r="47" spans="1:17" ht="13.5" customHeight="1">
      <c r="A47" s="609"/>
      <c r="B47" s="609"/>
      <c r="C47" s="609"/>
      <c r="D47" s="1191"/>
      <c r="E47" s="1191"/>
      <c r="F47" s="1191"/>
      <c r="G47" s="609"/>
      <c r="H47" s="609"/>
      <c r="I47" s="609"/>
    </row>
    <row r="48" spans="1:17" ht="13.5" customHeight="1">
      <c r="A48" s="609"/>
      <c r="B48" s="609"/>
      <c r="C48" s="609"/>
      <c r="D48" s="1191"/>
      <c r="E48" s="1191"/>
      <c r="F48" s="1191"/>
      <c r="G48" s="609"/>
      <c r="H48" s="609"/>
      <c r="I48" s="609"/>
    </row>
    <row r="49" spans="1:9" ht="13.5" customHeight="1">
      <c r="A49" s="609"/>
      <c r="B49" s="609"/>
      <c r="C49" s="609"/>
      <c r="D49" s="1191"/>
      <c r="E49" s="1191"/>
      <c r="F49" s="1191"/>
      <c r="G49" s="609"/>
      <c r="H49" s="609"/>
      <c r="I49" s="609"/>
    </row>
    <row r="50" spans="1:9" ht="13.5" customHeight="1">
      <c r="A50" s="609"/>
      <c r="B50" s="609"/>
      <c r="C50" s="609"/>
      <c r="D50" s="1191"/>
      <c r="E50" s="1191"/>
      <c r="F50" s="1191"/>
      <c r="G50" s="609"/>
      <c r="H50" s="609"/>
      <c r="I50" s="609"/>
    </row>
    <row r="51" spans="1:9" ht="13.5" customHeight="1">
      <c r="A51" s="609"/>
      <c r="B51" s="609"/>
      <c r="C51" s="609"/>
      <c r="D51" s="1191"/>
      <c r="E51" s="1191"/>
      <c r="F51" s="1191"/>
      <c r="G51" s="609"/>
      <c r="H51" s="609"/>
      <c r="I51" s="609"/>
    </row>
    <row r="52" spans="1:9" ht="13.5" customHeight="1">
      <c r="A52" s="609"/>
      <c r="B52" s="609"/>
      <c r="C52" s="609"/>
      <c r="D52" s="1191"/>
      <c r="E52" s="1191"/>
      <c r="F52" s="1191"/>
      <c r="G52" s="609"/>
      <c r="H52" s="609"/>
      <c r="I52" s="609"/>
    </row>
    <row r="53" spans="1:9" ht="13.5" customHeight="1">
      <c r="A53" s="609"/>
      <c r="B53" s="609"/>
      <c r="C53" s="609"/>
      <c r="D53" s="1191"/>
      <c r="E53" s="1191"/>
      <c r="F53" s="1191"/>
      <c r="G53" s="609"/>
      <c r="H53" s="609"/>
      <c r="I53" s="609"/>
    </row>
    <row r="54" spans="1:9" ht="13.5" customHeight="1">
      <c r="A54" s="609"/>
      <c r="B54" s="609"/>
      <c r="C54" s="609"/>
      <c r="D54" s="1191"/>
      <c r="E54" s="1191"/>
      <c r="F54" s="1191"/>
      <c r="G54" s="609"/>
      <c r="H54" s="609"/>
      <c r="I54" s="609"/>
    </row>
    <row r="55" spans="1:9" ht="13.5" customHeight="1">
      <c r="A55" s="609"/>
      <c r="B55" s="609"/>
      <c r="C55" s="609"/>
      <c r="D55" s="1191"/>
      <c r="E55" s="1191"/>
      <c r="F55" s="1191"/>
      <c r="G55" s="609"/>
      <c r="H55" s="609"/>
      <c r="I55" s="609"/>
    </row>
    <row r="56" spans="1:9" ht="13.5" customHeight="1">
      <c r="A56" s="609"/>
      <c r="B56" s="609"/>
      <c r="C56" s="609"/>
      <c r="D56" s="1191"/>
      <c r="E56" s="1191"/>
      <c r="F56" s="1191"/>
      <c r="G56" s="609"/>
      <c r="H56" s="609"/>
      <c r="I56" s="609"/>
    </row>
    <row r="57" spans="1:9" ht="13.5" customHeight="1">
      <c r="A57" s="609"/>
      <c r="B57" s="609"/>
      <c r="C57" s="609"/>
      <c r="D57" s="1191"/>
      <c r="E57" s="1191"/>
      <c r="F57" s="1191"/>
      <c r="G57" s="609"/>
      <c r="H57" s="609"/>
      <c r="I57" s="609"/>
    </row>
    <row r="58" spans="1:9" ht="13.5" customHeight="1">
      <c r="A58" s="609"/>
      <c r="B58" s="609"/>
      <c r="C58" s="609"/>
      <c r="D58" s="1191"/>
      <c r="E58" s="1191"/>
      <c r="F58" s="1191"/>
      <c r="G58" s="609"/>
      <c r="H58" s="609"/>
      <c r="I58" s="609"/>
    </row>
    <row r="59" spans="1:9" ht="13.5" customHeight="1">
      <c r="A59" s="609"/>
      <c r="B59" s="609"/>
      <c r="C59" s="609"/>
      <c r="D59" s="1191"/>
      <c r="E59" s="1191"/>
      <c r="F59" s="1191"/>
      <c r="G59" s="609"/>
      <c r="H59" s="609"/>
      <c r="I59" s="609"/>
    </row>
    <row r="60" spans="1:9" ht="13.5" customHeight="1">
      <c r="A60" s="609"/>
      <c r="B60" s="609"/>
      <c r="C60" s="609"/>
      <c r="D60" s="1191"/>
      <c r="E60" s="1191"/>
      <c r="F60" s="1191"/>
      <c r="G60" s="609"/>
      <c r="H60" s="609"/>
      <c r="I60" s="609"/>
    </row>
    <row r="61" spans="1:9" ht="13.5" customHeight="1">
      <c r="A61" s="609"/>
      <c r="B61" s="609"/>
      <c r="C61" s="609"/>
      <c r="D61" s="1191"/>
      <c r="E61" s="1191"/>
      <c r="F61" s="1191"/>
      <c r="G61" s="609"/>
      <c r="H61" s="609"/>
      <c r="I61" s="609"/>
    </row>
    <row r="62" spans="1:9" ht="13.5" customHeight="1">
      <c r="A62" s="609"/>
      <c r="B62" s="609"/>
      <c r="C62" s="609"/>
      <c r="D62" s="1191"/>
      <c r="E62" s="1191"/>
      <c r="F62" s="1191"/>
      <c r="G62" s="609"/>
      <c r="H62" s="609"/>
      <c r="I62" s="609"/>
    </row>
    <row r="63" spans="1:9" ht="13.5" customHeight="1">
      <c r="A63" s="609"/>
      <c r="B63" s="609"/>
      <c r="C63" s="609"/>
      <c r="D63" s="1191"/>
      <c r="E63" s="1191"/>
      <c r="F63" s="1191"/>
      <c r="G63" s="609"/>
      <c r="H63" s="609"/>
      <c r="I63" s="609"/>
    </row>
    <row r="64" spans="1:9" ht="13.5" customHeight="1">
      <c r="A64" s="609"/>
      <c r="B64" s="609"/>
      <c r="C64" s="609"/>
      <c r="D64" s="1191"/>
      <c r="E64" s="1191"/>
      <c r="F64" s="1191"/>
      <c r="G64" s="609"/>
      <c r="H64" s="609"/>
      <c r="I64" s="609"/>
    </row>
    <row r="65" spans="1:9" ht="13.5" customHeight="1">
      <c r="A65" s="609"/>
      <c r="B65" s="609"/>
      <c r="C65" s="609"/>
      <c r="D65" s="1191"/>
      <c r="E65" s="1191"/>
      <c r="F65" s="1191"/>
      <c r="G65" s="609"/>
      <c r="H65" s="609"/>
      <c r="I65" s="609"/>
    </row>
    <row r="66" spans="1:9" ht="13.5" customHeight="1">
      <c r="A66" s="609"/>
      <c r="B66" s="609"/>
      <c r="C66" s="609"/>
      <c r="D66" s="1191"/>
      <c r="E66" s="1191"/>
      <c r="F66" s="1191"/>
      <c r="G66" s="609"/>
      <c r="H66" s="609"/>
      <c r="I66" s="609"/>
    </row>
    <row r="67" spans="1:9" ht="13.5" customHeight="1">
      <c r="A67" s="609"/>
      <c r="B67" s="609"/>
      <c r="C67" s="609"/>
      <c r="D67" s="1191"/>
      <c r="E67" s="1191"/>
      <c r="F67" s="1191"/>
      <c r="G67" s="609"/>
      <c r="H67" s="609"/>
      <c r="I67" s="609"/>
    </row>
    <row r="68" spans="1:9" ht="13.5" customHeight="1">
      <c r="A68" s="609"/>
      <c r="B68" s="609"/>
      <c r="C68" s="609"/>
      <c r="D68" s="1191"/>
      <c r="E68" s="1191"/>
      <c r="F68" s="1191"/>
      <c r="G68" s="609"/>
      <c r="H68" s="609"/>
      <c r="I68" s="609"/>
    </row>
    <row r="69" spans="1:9" ht="13.5" customHeight="1">
      <c r="A69" s="609"/>
      <c r="B69" s="609"/>
      <c r="C69" s="609"/>
      <c r="D69" s="1191"/>
      <c r="E69" s="1191"/>
      <c r="F69" s="1191"/>
      <c r="G69" s="609"/>
      <c r="H69" s="609"/>
      <c r="I69" s="609"/>
    </row>
    <row r="70" spans="1:9" ht="13.5" customHeight="1">
      <c r="A70" s="609"/>
      <c r="B70" s="609"/>
      <c r="C70" s="609"/>
      <c r="D70" s="1191"/>
      <c r="E70" s="1191"/>
      <c r="F70" s="1191"/>
      <c r="G70" s="609"/>
      <c r="H70" s="609"/>
      <c r="I70" s="609"/>
    </row>
    <row r="71" spans="1:9" ht="13.5" customHeight="1">
      <c r="A71" s="609"/>
      <c r="B71" s="609"/>
      <c r="C71" s="609"/>
      <c r="D71" s="1191"/>
      <c r="E71" s="1191"/>
      <c r="F71" s="1191"/>
      <c r="G71" s="609"/>
      <c r="H71" s="609"/>
      <c r="I71" s="609"/>
    </row>
    <row r="72" spans="1:9" ht="13.5" customHeight="1">
      <c r="A72" s="609"/>
      <c r="B72" s="609"/>
      <c r="C72" s="609"/>
      <c r="D72" s="1191"/>
      <c r="E72" s="1191"/>
      <c r="F72" s="1191"/>
      <c r="G72" s="609"/>
      <c r="H72" s="609"/>
      <c r="I72" s="609"/>
    </row>
    <row r="73" spans="1:9" ht="13.5" customHeight="1">
      <c r="A73" s="609"/>
      <c r="B73" s="609"/>
      <c r="C73" s="609"/>
      <c r="D73" s="1191"/>
      <c r="E73" s="1191"/>
      <c r="F73" s="1191"/>
      <c r="G73" s="609"/>
      <c r="H73" s="609"/>
      <c r="I73" s="609"/>
    </row>
    <row r="74" spans="1:9" ht="13.5" customHeight="1">
      <c r="A74" s="609"/>
      <c r="B74" s="609"/>
      <c r="C74" s="609"/>
      <c r="D74" s="609"/>
      <c r="E74" s="609"/>
      <c r="F74" s="609"/>
      <c r="G74" s="609"/>
      <c r="H74" s="609"/>
      <c r="I74" s="609"/>
    </row>
    <row r="75" spans="1:9" ht="13.5" customHeight="1">
      <c r="A75" s="609"/>
      <c r="B75" s="31"/>
      <c r="C75" s="609"/>
      <c r="D75" s="607"/>
      <c r="E75" s="609"/>
      <c r="F75" s="609"/>
      <c r="G75" s="609"/>
      <c r="H75" s="609"/>
      <c r="I75" s="609"/>
    </row>
  </sheetData>
  <sheetProtection sheet="1" objects="1" scenarios="1"/>
  <mergeCells count="8">
    <mergeCell ref="A18:B18"/>
    <mergeCell ref="A19:B19"/>
    <mergeCell ref="E6:S6"/>
    <mergeCell ref="A7:B7"/>
    <mergeCell ref="A8:B8"/>
    <mergeCell ref="A11:B11"/>
    <mergeCell ref="A13:B13"/>
    <mergeCell ref="A10:B10"/>
  </mergeCells>
  <phoneticPr fontId="8" type="noConversion"/>
  <hyperlinks>
    <hyperlink ref="A10" location="Contents!A1" display="Contents"/>
    <hyperlink ref="A10:B10" location="Contents!A1" tooltip="Contents page" display="Contents"/>
  </hyperlinks>
  <pageMargins left="0.75" right="0.75" top="1" bottom="1" header="0.5" footer="0.5"/>
  <pageSetup paperSize="9" scale="54" fitToHeight="0" orientation="landscape" r:id="rId1"/>
  <headerFooter alignWithMargins="0"/>
  <drawing r:id="rId2"/>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008000"/>
    <pageSetUpPr fitToPage="1"/>
  </sheetPr>
  <dimension ref="A1:S51"/>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1012</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1693</v>
      </c>
      <c r="F7" s="1556"/>
      <c r="G7" s="26"/>
      <c r="H7" s="26"/>
      <c r="I7" s="26"/>
      <c r="J7" s="26"/>
      <c r="K7" s="26"/>
      <c r="L7" s="26"/>
      <c r="M7" s="26"/>
      <c r="N7" s="26"/>
      <c r="O7" s="26"/>
      <c r="P7" s="26"/>
      <c r="Q7" s="26"/>
      <c r="R7" s="26"/>
      <c r="S7" s="147"/>
    </row>
    <row r="8" spans="1:19" s="38" customFormat="1" ht="13.5" customHeight="1">
      <c r="A8" s="3630">
        <f>Audit!C12</f>
        <v>43586</v>
      </c>
      <c r="B8" s="3631"/>
      <c r="C8" s="321"/>
      <c r="D8" s="321"/>
      <c r="E8" s="113" t="s">
        <v>1692</v>
      </c>
      <c r="F8" s="315"/>
      <c r="G8" s="26"/>
      <c r="H8" s="26"/>
      <c r="I8" s="26"/>
      <c r="J8" s="26"/>
      <c r="K8" s="26"/>
      <c r="L8" s="26"/>
      <c r="M8" s="26"/>
      <c r="N8" s="26"/>
      <c r="O8" s="26"/>
      <c r="P8" s="26"/>
      <c r="Q8" s="26"/>
      <c r="R8" s="26"/>
      <c r="S8" s="147"/>
    </row>
    <row r="9" spans="1:19" s="38" customFormat="1" ht="13.5" customHeight="1" thickBot="1">
      <c r="A9" s="172" t="s">
        <v>14</v>
      </c>
      <c r="B9" s="173"/>
      <c r="D9" s="321"/>
      <c r="E9" s="113"/>
      <c r="F9" s="26"/>
      <c r="G9" s="26"/>
      <c r="H9" s="26"/>
      <c r="I9" s="26"/>
      <c r="J9" s="26"/>
      <c r="K9" s="315"/>
      <c r="L9" s="26"/>
      <c r="M9" s="26"/>
      <c r="N9" s="26"/>
      <c r="O9" s="26"/>
      <c r="P9" s="26"/>
      <c r="Q9" s="26"/>
      <c r="R9" s="26"/>
      <c r="S9" s="147"/>
    </row>
    <row r="10" spans="1:19" s="38" customFormat="1" ht="13.5" customHeight="1" thickBot="1">
      <c r="A10" s="3570" t="s">
        <v>1306</v>
      </c>
      <c r="B10" s="3610"/>
      <c r="D10" s="321"/>
      <c r="E10" s="113" t="s">
        <v>1208</v>
      </c>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c r="G11" s="26"/>
      <c r="H11" s="26"/>
      <c r="I11" s="26"/>
      <c r="J11" s="26"/>
      <c r="K11" s="26"/>
      <c r="L11" s="26"/>
      <c r="M11" s="26"/>
      <c r="N11" s="26"/>
      <c r="O11" s="26"/>
      <c r="P11" s="26"/>
      <c r="Q11" s="26"/>
      <c r="R11" s="26"/>
      <c r="S11" s="147"/>
    </row>
    <row r="12" spans="1:19" s="38" customFormat="1" ht="13.5" customHeight="1">
      <c r="A12" s="3901"/>
      <c r="B12" s="3901"/>
      <c r="D12" s="321"/>
      <c r="E12" s="113"/>
      <c r="F12" s="53"/>
      <c r="G12" s="53"/>
      <c r="H12" s="53"/>
      <c r="I12" s="53"/>
      <c r="J12" s="53"/>
      <c r="K12" s="53"/>
      <c r="L12" s="53"/>
      <c r="M12" s="53"/>
      <c r="N12" s="53"/>
      <c r="O12" s="53"/>
      <c r="P12" s="53"/>
      <c r="Q12" s="53"/>
      <c r="R12" s="53"/>
      <c r="S12" s="379"/>
    </row>
    <row r="13" spans="1:19" s="38" customFormat="1" ht="13.5" customHeight="1">
      <c r="A13" s="3642" t="s">
        <v>252</v>
      </c>
      <c r="B13" s="3689"/>
      <c r="D13" s="321"/>
      <c r="E13" s="113"/>
      <c r="F13" s="26"/>
      <c r="G13" s="26"/>
      <c r="H13" s="26"/>
      <c r="I13" s="26"/>
      <c r="J13" s="26"/>
      <c r="K13" s="26"/>
      <c r="L13" s="26"/>
      <c r="M13" s="26"/>
      <c r="N13" s="26"/>
      <c r="O13" s="26"/>
      <c r="P13" s="26"/>
      <c r="Q13" s="26"/>
      <c r="R13" s="26"/>
      <c r="S13" s="147"/>
    </row>
    <row r="14" spans="1:19" s="38" customFormat="1" ht="13.5" customHeight="1">
      <c r="A14" s="2440"/>
      <c r="B14" s="2440"/>
      <c r="C14" s="321"/>
      <c r="D14" s="321"/>
      <c r="E14" s="114"/>
      <c r="F14" s="26"/>
      <c r="G14" s="26"/>
      <c r="H14" s="26"/>
      <c r="I14" s="26"/>
      <c r="J14" s="26"/>
      <c r="K14" s="26"/>
      <c r="L14" s="26"/>
      <c r="M14" s="26"/>
      <c r="N14" s="26"/>
      <c r="O14" s="26"/>
      <c r="P14" s="26"/>
      <c r="Q14" s="26"/>
      <c r="R14" s="26"/>
      <c r="S14" s="147"/>
    </row>
    <row r="15" spans="1:19" s="38" customFormat="1" ht="13.5" customHeight="1">
      <c r="A15" s="2441"/>
      <c r="B15" s="2442"/>
      <c r="C15" s="321"/>
      <c r="D15" s="321"/>
      <c r="E15" s="113"/>
      <c r="F15" s="26"/>
      <c r="G15" s="26"/>
      <c r="H15" s="26"/>
      <c r="I15" s="26"/>
      <c r="J15" s="26"/>
      <c r="K15" s="26"/>
      <c r="L15" s="26"/>
      <c r="M15" s="26"/>
      <c r="N15" s="26"/>
      <c r="O15" s="26"/>
      <c r="P15" s="26"/>
      <c r="Q15" s="26"/>
      <c r="R15" s="26"/>
      <c r="S15" s="147"/>
    </row>
    <row r="16" spans="1:19" s="38" customFormat="1" ht="13.5" customHeight="1">
      <c r="A16" s="2443" t="s">
        <v>370</v>
      </c>
      <c r="B16" s="2444">
        <v>2009</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2422"/>
      <c r="B19" s="2422"/>
      <c r="C19" s="321"/>
      <c r="D19" s="321"/>
      <c r="E19" s="113"/>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c r="C22" s="13"/>
    </row>
    <row r="23" spans="1:19" s="38" customFormat="1" ht="13.5" customHeight="1" thickTop="1" thickBot="1">
      <c r="A23" s="122" t="s">
        <v>93</v>
      </c>
      <c r="B23" s="362"/>
      <c r="C23" s="362"/>
      <c r="D23" s="362"/>
      <c r="E23" s="362"/>
      <c r="F23" s="362"/>
      <c r="G23" s="362"/>
      <c r="H23" s="378"/>
      <c r="I23" s="26"/>
      <c r="J23" s="174" t="s">
        <v>1013</v>
      </c>
      <c r="K23" s="328"/>
      <c r="L23" s="328"/>
      <c r="M23" s="328"/>
      <c r="N23" s="328"/>
      <c r="O23" s="328"/>
      <c r="P23" s="225"/>
    </row>
    <row r="24" spans="1:19" s="38" customFormat="1" ht="13.5" customHeight="1" thickTop="1">
      <c r="A24" s="1047" t="s">
        <v>419</v>
      </c>
      <c r="B24" s="172" t="s">
        <v>420</v>
      </c>
      <c r="C24" s="709"/>
      <c r="D24" s="281" t="s">
        <v>810</v>
      </c>
      <c r="E24" s="281"/>
      <c r="F24" s="282"/>
      <c r="G24" s="172" t="s">
        <v>210</v>
      </c>
      <c r="H24" s="1154"/>
      <c r="I24" s="26"/>
      <c r="J24" s="1013" t="s">
        <v>419</v>
      </c>
      <c r="K24" s="709" t="s">
        <v>420</v>
      </c>
      <c r="L24" s="416" t="s">
        <v>810</v>
      </c>
      <c r="M24" s="416"/>
      <c r="N24" s="417"/>
      <c r="O24" s="231" t="s">
        <v>210</v>
      </c>
      <c r="P24" s="438"/>
    </row>
    <row r="25" spans="1:19" s="38" customFormat="1" ht="13.5" customHeight="1" thickBot="1">
      <c r="A25" s="525"/>
      <c r="B25" s="513" t="s">
        <v>211</v>
      </c>
      <c r="C25" s="710"/>
      <c r="D25" s="764" t="s">
        <v>782</v>
      </c>
      <c r="E25" s="1158" t="s">
        <v>783</v>
      </c>
      <c r="F25" s="759" t="s">
        <v>784</v>
      </c>
      <c r="G25" s="706"/>
      <c r="H25" s="710"/>
      <c r="I25" s="26"/>
      <c r="J25" s="1017"/>
      <c r="K25" s="710" t="s">
        <v>211</v>
      </c>
      <c r="L25" s="764" t="s">
        <v>782</v>
      </c>
      <c r="M25" s="1158" t="s">
        <v>783</v>
      </c>
      <c r="N25" s="759" t="s">
        <v>784</v>
      </c>
      <c r="O25" s="706"/>
      <c r="P25" s="439"/>
    </row>
    <row r="26" spans="1:19" s="38" customFormat="1" ht="13.5" customHeight="1" thickTop="1">
      <c r="A26" s="1160" t="s">
        <v>813</v>
      </c>
      <c r="B26" s="940" t="s">
        <v>814</v>
      </c>
      <c r="C26" s="941"/>
      <c r="D26" s="939">
        <v>2.1000000000000001E-2</v>
      </c>
      <c r="E26" s="939">
        <v>0.129</v>
      </c>
      <c r="F26" s="425">
        <v>1.464</v>
      </c>
      <c r="G26" s="26" t="s">
        <v>1058</v>
      </c>
      <c r="H26" s="147"/>
      <c r="I26" s="26"/>
      <c r="J26" s="1162" t="s">
        <v>813</v>
      </c>
      <c r="K26" s="147" t="s">
        <v>814</v>
      </c>
      <c r="L26" s="1167">
        <v>0.02</v>
      </c>
      <c r="M26" s="1168">
        <v>0.123</v>
      </c>
      <c r="N26" s="425">
        <v>1.4550000000000001</v>
      </c>
      <c r="O26" s="26" t="s">
        <v>1058</v>
      </c>
      <c r="P26" s="147"/>
    </row>
    <row r="27" spans="1:19" s="38" customFormat="1" ht="13.5" customHeight="1">
      <c r="A27" s="1160" t="s">
        <v>815</v>
      </c>
      <c r="B27" s="940" t="s">
        <v>816</v>
      </c>
      <c r="C27" s="941"/>
      <c r="D27" s="939">
        <v>1.4999999999999999E-2</v>
      </c>
      <c r="E27" s="939">
        <v>0.16200000000000001</v>
      </c>
      <c r="F27" s="425">
        <v>1.1539999999999999</v>
      </c>
      <c r="G27" s="26" t="s">
        <v>937</v>
      </c>
      <c r="H27" s="147"/>
      <c r="I27" s="26"/>
      <c r="J27" s="1162" t="s">
        <v>815</v>
      </c>
      <c r="K27" s="147" t="s">
        <v>816</v>
      </c>
      <c r="L27" s="939">
        <v>8.9999999999999993E-3</v>
      </c>
      <c r="M27" s="939">
        <v>0.13200000000000001</v>
      </c>
      <c r="N27" s="425">
        <v>1.1759999999999999</v>
      </c>
      <c r="O27" s="26" t="s">
        <v>937</v>
      </c>
      <c r="P27" s="147"/>
    </row>
    <row r="28" spans="1:19" s="38" customFormat="1" ht="13.5" customHeight="1">
      <c r="A28" s="1160" t="s">
        <v>815</v>
      </c>
      <c r="B28" s="940" t="s">
        <v>213</v>
      </c>
      <c r="C28" s="941"/>
      <c r="D28" s="939">
        <v>5.1999999999999998E-2</v>
      </c>
      <c r="E28" s="939">
        <v>0.27400000000000002</v>
      </c>
      <c r="F28" s="425">
        <v>1.2509999999999999</v>
      </c>
      <c r="G28" s="26" t="s">
        <v>937</v>
      </c>
      <c r="H28" s="147"/>
      <c r="I28" s="26"/>
      <c r="J28" s="1162" t="s">
        <v>815</v>
      </c>
      <c r="K28" s="147" t="s">
        <v>213</v>
      </c>
      <c r="L28" s="939">
        <v>3.7999999999999999E-2</v>
      </c>
      <c r="M28" s="939">
        <v>0.23799999999999999</v>
      </c>
      <c r="N28" s="425">
        <v>1.3</v>
      </c>
      <c r="O28" s="26" t="s">
        <v>937</v>
      </c>
      <c r="P28" s="147"/>
    </row>
    <row r="29" spans="1:19" s="38" customFormat="1" ht="13.5" customHeight="1">
      <c r="A29" s="1160" t="s">
        <v>938</v>
      </c>
      <c r="B29" s="940" t="s">
        <v>816</v>
      </c>
      <c r="C29" s="941"/>
      <c r="D29" s="939">
        <v>0.01</v>
      </c>
      <c r="E29" s="939">
        <v>0.156</v>
      </c>
      <c r="F29" s="425">
        <v>1.071</v>
      </c>
      <c r="G29" s="26" t="s">
        <v>939</v>
      </c>
      <c r="H29" s="147"/>
      <c r="I29" s="26"/>
      <c r="J29" s="1162" t="s">
        <v>938</v>
      </c>
      <c r="K29" s="147" t="s">
        <v>816</v>
      </c>
      <c r="L29" s="939">
        <v>7.0000000000000001E-3</v>
      </c>
      <c r="M29" s="939">
        <v>0.13400000000000001</v>
      </c>
      <c r="N29" s="425">
        <v>1.1319999999999999</v>
      </c>
      <c r="O29" s="26" t="s">
        <v>939</v>
      </c>
      <c r="P29" s="147"/>
    </row>
    <row r="30" spans="1:19" s="38" customFormat="1" ht="13.5" customHeight="1">
      <c r="A30" s="1160" t="s">
        <v>938</v>
      </c>
      <c r="B30" s="940" t="s">
        <v>213</v>
      </c>
      <c r="C30" s="941"/>
      <c r="D30" s="939">
        <v>2.8000000000000001E-2</v>
      </c>
      <c r="E30" s="939">
        <v>0.23</v>
      </c>
      <c r="F30" s="425">
        <v>1.1779999999999999</v>
      </c>
      <c r="G30" s="26" t="s">
        <v>939</v>
      </c>
      <c r="H30" s="147"/>
      <c r="I30" s="26"/>
      <c r="J30" s="1162" t="s">
        <v>938</v>
      </c>
      <c r="K30" s="147" t="s">
        <v>213</v>
      </c>
      <c r="L30" s="939">
        <v>2.5999999999999999E-2</v>
      </c>
      <c r="M30" s="939">
        <v>0.222</v>
      </c>
      <c r="N30" s="425">
        <v>1.218</v>
      </c>
      <c r="O30" s="26" t="s">
        <v>939</v>
      </c>
      <c r="P30" s="147"/>
    </row>
    <row r="31" spans="1:19" s="38" customFormat="1" ht="13.5" customHeight="1">
      <c r="A31" s="1160" t="s">
        <v>1075</v>
      </c>
      <c r="B31" s="940" t="s">
        <v>816</v>
      </c>
      <c r="C31" s="941"/>
      <c r="D31" s="939">
        <v>1.7999999999999999E-2</v>
      </c>
      <c r="E31" s="939">
        <v>0.14799999999999999</v>
      </c>
      <c r="F31" s="425">
        <v>1.1830000000000001</v>
      </c>
      <c r="G31" s="26" t="s">
        <v>941</v>
      </c>
      <c r="H31" s="147"/>
      <c r="I31" s="26"/>
      <c r="J31" s="1162" t="s">
        <v>1075</v>
      </c>
      <c r="K31" s="147" t="s">
        <v>816</v>
      </c>
      <c r="L31" s="939">
        <v>8.9999999999999993E-3</v>
      </c>
      <c r="M31" s="939">
        <v>0.112</v>
      </c>
      <c r="N31" s="425">
        <v>1.238</v>
      </c>
      <c r="O31" s="26" t="s">
        <v>941</v>
      </c>
      <c r="P31" s="147"/>
    </row>
    <row r="32" spans="1:19" s="38" customFormat="1" ht="13.5" customHeight="1" thickBot="1">
      <c r="A32" s="1161" t="s">
        <v>1075</v>
      </c>
      <c r="B32" s="1165" t="s">
        <v>213</v>
      </c>
      <c r="C32" s="943"/>
      <c r="D32" s="1166">
        <v>3.1E-2</v>
      </c>
      <c r="E32" s="1166">
        <v>0.161</v>
      </c>
      <c r="F32" s="433">
        <v>1.3280000000000001</v>
      </c>
      <c r="G32" s="13" t="s">
        <v>941</v>
      </c>
      <c r="H32" s="168"/>
      <c r="I32" s="26"/>
      <c r="J32" s="1163" t="s">
        <v>1075</v>
      </c>
      <c r="K32" s="168" t="s">
        <v>213</v>
      </c>
      <c r="L32" s="1166">
        <v>2.5000000000000001E-2</v>
      </c>
      <c r="M32" s="1166">
        <v>0.151</v>
      </c>
      <c r="N32" s="433">
        <v>1.2969999999999999</v>
      </c>
      <c r="O32" s="13" t="s">
        <v>941</v>
      </c>
      <c r="P32" s="168"/>
    </row>
    <row r="33" spans="1:16" s="38" customFormat="1" ht="13.5" customHeight="1" thickTop="1" thickBot="1">
      <c r="B33" s="720"/>
      <c r="D33" s="38" t="s">
        <v>1694</v>
      </c>
      <c r="F33" s="147"/>
      <c r="I33" s="26"/>
      <c r="J33" s="26"/>
      <c r="L33" s="38" t="s">
        <v>1694</v>
      </c>
    </row>
    <row r="34" spans="1:16" s="38" customFormat="1" ht="13.5" customHeight="1" thickTop="1" thickBot="1">
      <c r="A34" s="174" t="s">
        <v>687</v>
      </c>
      <c r="B34" s="748"/>
      <c r="C34" s="362"/>
      <c r="D34" s="328"/>
      <c r="E34" s="328"/>
      <c r="F34" s="328"/>
      <c r="G34" s="328"/>
      <c r="H34" s="225"/>
      <c r="I34" s="26"/>
      <c r="J34" s="174" t="s">
        <v>1014</v>
      </c>
      <c r="K34" s="328"/>
      <c r="L34" s="328"/>
      <c r="M34" s="328"/>
      <c r="N34" s="328"/>
      <c r="O34" s="328"/>
      <c r="P34" s="225"/>
    </row>
    <row r="35" spans="1:16" s="38" customFormat="1" ht="13.5" customHeight="1" thickTop="1">
      <c r="A35" s="1047" t="s">
        <v>419</v>
      </c>
      <c r="B35" s="231" t="s">
        <v>420</v>
      </c>
      <c r="C35" s="169"/>
      <c r="D35" s="1140" t="s">
        <v>811</v>
      </c>
      <c r="E35" s="416"/>
      <c r="F35" s="417"/>
      <c r="G35" s="231" t="s">
        <v>210</v>
      </c>
      <c r="H35" s="438"/>
      <c r="I35" s="26"/>
      <c r="J35" s="1013" t="s">
        <v>419</v>
      </c>
      <c r="K35" s="231" t="s">
        <v>420</v>
      </c>
      <c r="L35" s="1140" t="s">
        <v>811</v>
      </c>
      <c r="M35" s="416"/>
      <c r="N35" s="417"/>
      <c r="O35" s="231" t="s">
        <v>210</v>
      </c>
      <c r="P35" s="438"/>
    </row>
    <row r="36" spans="1:16" s="38" customFormat="1" ht="13.5" customHeight="1" thickBot="1">
      <c r="A36" s="525"/>
      <c r="B36" s="706" t="s">
        <v>211</v>
      </c>
      <c r="C36" s="710"/>
      <c r="D36" s="1157" t="s">
        <v>782</v>
      </c>
      <c r="E36" s="1158" t="s">
        <v>783</v>
      </c>
      <c r="F36" s="759" t="s">
        <v>784</v>
      </c>
      <c r="G36" s="706"/>
      <c r="H36" s="439"/>
      <c r="I36" s="26"/>
      <c r="J36" s="1017"/>
      <c r="K36" s="706" t="s">
        <v>211</v>
      </c>
      <c r="L36" s="1157" t="s">
        <v>782</v>
      </c>
      <c r="M36" s="1158" t="s">
        <v>783</v>
      </c>
      <c r="N36" s="759" t="s">
        <v>784</v>
      </c>
      <c r="O36" s="706"/>
      <c r="P36" s="439"/>
    </row>
    <row r="37" spans="1:16" s="38" customFormat="1" ht="13.5" customHeight="1" thickTop="1">
      <c r="A37" s="1160" t="s">
        <v>813</v>
      </c>
      <c r="B37" s="26" t="s">
        <v>814</v>
      </c>
      <c r="D37" s="1169">
        <v>0.97799999999999998</v>
      </c>
      <c r="E37" s="939">
        <v>0.97899999999999998</v>
      </c>
      <c r="F37" s="1170">
        <v>1.002</v>
      </c>
      <c r="G37" s="26" t="s">
        <v>1058</v>
      </c>
      <c r="H37" s="147"/>
      <c r="I37" s="26"/>
      <c r="J37" s="1162" t="s">
        <v>813</v>
      </c>
      <c r="K37" s="26" t="s">
        <v>814</v>
      </c>
      <c r="L37" s="1169">
        <v>0.97799999999999998</v>
      </c>
      <c r="M37" s="939">
        <v>0.97899999999999998</v>
      </c>
      <c r="N37" s="1170">
        <v>1.002</v>
      </c>
      <c r="O37" s="26" t="s">
        <v>1058</v>
      </c>
      <c r="P37" s="147"/>
    </row>
    <row r="38" spans="1:16" s="38" customFormat="1" ht="13.5" customHeight="1">
      <c r="A38" s="1160" t="s">
        <v>815</v>
      </c>
      <c r="B38" s="26" t="s">
        <v>816</v>
      </c>
      <c r="D38" s="805">
        <v>0.97099999999999997</v>
      </c>
      <c r="E38" s="939">
        <v>0.995</v>
      </c>
      <c r="F38" s="1170">
        <v>1.0009999999999999</v>
      </c>
      <c r="G38" s="26" t="s">
        <v>937</v>
      </c>
      <c r="H38" s="147"/>
      <c r="I38" s="26"/>
      <c r="J38" s="1162" t="s">
        <v>815</v>
      </c>
      <c r="K38" s="26" t="s">
        <v>816</v>
      </c>
      <c r="L38" s="805">
        <v>0.97099999999999997</v>
      </c>
      <c r="M38" s="939">
        <v>0.995</v>
      </c>
      <c r="N38" s="1170">
        <v>1.0009999999999999</v>
      </c>
      <c r="O38" s="26" t="s">
        <v>937</v>
      </c>
      <c r="P38" s="147"/>
    </row>
    <row r="39" spans="1:16" s="38" customFormat="1" ht="13.5" customHeight="1">
      <c r="A39" s="1160" t="s">
        <v>815</v>
      </c>
      <c r="B39" s="26" t="s">
        <v>213</v>
      </c>
      <c r="D39" s="805">
        <v>0.97899999999999998</v>
      </c>
      <c r="E39" s="939">
        <v>0.98299999999999998</v>
      </c>
      <c r="F39" s="1170">
        <v>1.002</v>
      </c>
      <c r="G39" s="26" t="s">
        <v>937</v>
      </c>
      <c r="H39" s="147"/>
      <c r="I39" s="26"/>
      <c r="J39" s="1162" t="s">
        <v>815</v>
      </c>
      <c r="K39" s="26" t="s">
        <v>213</v>
      </c>
      <c r="L39" s="805">
        <v>0.97899999999999998</v>
      </c>
      <c r="M39" s="939">
        <v>0.98299999999999998</v>
      </c>
      <c r="N39" s="425">
        <v>1.002</v>
      </c>
      <c r="O39" s="26" t="s">
        <v>937</v>
      </c>
      <c r="P39" s="147"/>
    </row>
    <row r="40" spans="1:16" s="38" customFormat="1" ht="13.5" customHeight="1">
      <c r="A40" s="1160" t="s">
        <v>938</v>
      </c>
      <c r="B40" s="26" t="s">
        <v>816</v>
      </c>
      <c r="D40" s="805">
        <v>0.98499999999999999</v>
      </c>
      <c r="E40" s="939">
        <v>0.997</v>
      </c>
      <c r="F40" s="1170">
        <v>1.0009999999999999</v>
      </c>
      <c r="G40" s="26" t="s">
        <v>939</v>
      </c>
      <c r="H40" s="147"/>
      <c r="I40" s="26"/>
      <c r="J40" s="1162" t="s">
        <v>938</v>
      </c>
      <c r="K40" s="26" t="s">
        <v>816</v>
      </c>
      <c r="L40" s="805">
        <v>0.98499999999999999</v>
      </c>
      <c r="M40" s="939">
        <v>0.997</v>
      </c>
      <c r="N40" s="425">
        <v>1.0009999999999999</v>
      </c>
      <c r="O40" s="26" t="s">
        <v>939</v>
      </c>
      <c r="P40" s="147"/>
    </row>
    <row r="41" spans="1:16" s="38" customFormat="1" ht="13.5" customHeight="1">
      <c r="A41" s="1160" t="s">
        <v>938</v>
      </c>
      <c r="B41" s="26" t="s">
        <v>213</v>
      </c>
      <c r="D41" s="805">
        <v>0.98699999999999999</v>
      </c>
      <c r="E41" s="939">
        <v>0.98899999999999999</v>
      </c>
      <c r="F41" s="1170">
        <v>0.998</v>
      </c>
      <c r="G41" s="26" t="s">
        <v>939</v>
      </c>
      <c r="H41" s="147"/>
      <c r="I41" s="26"/>
      <c r="J41" s="1162" t="s">
        <v>938</v>
      </c>
      <c r="K41" s="26" t="s">
        <v>213</v>
      </c>
      <c r="L41" s="805">
        <v>0.98699999999999999</v>
      </c>
      <c r="M41" s="939">
        <v>0.98899999999999999</v>
      </c>
      <c r="N41" s="425">
        <v>0.998</v>
      </c>
      <c r="O41" s="26" t="s">
        <v>939</v>
      </c>
      <c r="P41" s="147"/>
    </row>
    <row r="42" spans="1:16" s="38" customFormat="1" ht="13.5" customHeight="1">
      <c r="A42" s="1160" t="s">
        <v>1075</v>
      </c>
      <c r="B42" s="26" t="s">
        <v>816</v>
      </c>
      <c r="D42" s="805">
        <v>0.998</v>
      </c>
      <c r="E42" s="939">
        <v>0.99</v>
      </c>
      <c r="F42" s="1170">
        <v>1.002</v>
      </c>
      <c r="G42" s="26" t="s">
        <v>941</v>
      </c>
      <c r="H42" s="147"/>
      <c r="I42" s="26"/>
      <c r="J42" s="1162" t="s">
        <v>1075</v>
      </c>
      <c r="K42" s="26" t="s">
        <v>816</v>
      </c>
      <c r="L42" s="805">
        <v>0.998</v>
      </c>
      <c r="M42" s="939">
        <v>0.99</v>
      </c>
      <c r="N42" s="425">
        <v>1.002</v>
      </c>
      <c r="O42" s="26" t="s">
        <v>941</v>
      </c>
      <c r="P42" s="147"/>
    </row>
    <row r="43" spans="1:16" s="38" customFormat="1" ht="13.5" customHeight="1" thickBot="1">
      <c r="A43" s="1161" t="s">
        <v>1075</v>
      </c>
      <c r="B43" s="381" t="s">
        <v>213</v>
      </c>
      <c r="C43" s="168"/>
      <c r="D43" s="1020">
        <v>0.98399999999999999</v>
      </c>
      <c r="E43" s="1166">
        <v>0.98499999999999999</v>
      </c>
      <c r="F43" s="1171">
        <v>0.998</v>
      </c>
      <c r="G43" s="13" t="s">
        <v>941</v>
      </c>
      <c r="H43" s="168"/>
      <c r="I43" s="26"/>
      <c r="J43" s="1163" t="s">
        <v>1075</v>
      </c>
      <c r="K43" s="13" t="s">
        <v>213</v>
      </c>
      <c r="L43" s="1020">
        <v>0.98399999999999999</v>
      </c>
      <c r="M43" s="1166">
        <v>0.98499999999999999</v>
      </c>
      <c r="N43" s="433">
        <v>0.998</v>
      </c>
      <c r="O43" s="13" t="s">
        <v>941</v>
      </c>
      <c r="P43" s="168"/>
    </row>
    <row r="44" spans="1:16" s="38" customFormat="1" ht="13.5" customHeight="1" thickTop="1" thickBot="1"/>
    <row r="45" spans="1:16" s="38" customFormat="1" ht="13.5" customHeight="1" thickTop="1">
      <c r="A45" s="174" t="s">
        <v>688</v>
      </c>
      <c r="B45" s="328"/>
      <c r="C45" s="328"/>
      <c r="D45" s="1164"/>
    </row>
    <row r="46" spans="1:16" s="38" customFormat="1" ht="13.5" customHeight="1" thickBot="1">
      <c r="A46" s="836" t="s">
        <v>1112</v>
      </c>
      <c r="B46" s="751"/>
      <c r="C46" s="751"/>
      <c r="D46" s="228"/>
    </row>
    <row r="47" spans="1:16" s="38" customFormat="1" ht="13.5" customHeight="1" thickTop="1">
      <c r="A47" s="230" t="s">
        <v>418</v>
      </c>
      <c r="B47" s="231"/>
      <c r="C47" s="709"/>
      <c r="D47" s="3913" t="s">
        <v>469</v>
      </c>
    </row>
    <row r="48" spans="1:16" s="38" customFormat="1" ht="13.5" customHeight="1" thickBot="1">
      <c r="A48" s="513"/>
      <c r="B48" s="706"/>
      <c r="C48" s="710"/>
      <c r="D48" s="3871"/>
    </row>
    <row r="49" spans="1:4" ht="13.5" customHeight="1" thickTop="1">
      <c r="A49" s="677" t="s">
        <v>1695</v>
      </c>
      <c r="B49" s="38"/>
      <c r="C49" s="147"/>
      <c r="D49" s="425">
        <v>1</v>
      </c>
    </row>
    <row r="50" spans="1:4" ht="13.5" customHeight="1" thickBot="1">
      <c r="A50" s="461" t="s">
        <v>1696</v>
      </c>
      <c r="B50" s="13"/>
      <c r="C50" s="168"/>
      <c r="D50" s="433">
        <v>0</v>
      </c>
    </row>
    <row r="51" spans="1:4" ht="13.5" customHeight="1" thickTop="1"/>
  </sheetData>
  <sheetProtection sheet="1" objects="1" scenarios="1"/>
  <mergeCells count="10">
    <mergeCell ref="A18:B18"/>
    <mergeCell ref="A20:B20"/>
    <mergeCell ref="D47:D48"/>
    <mergeCell ref="E6:S6"/>
    <mergeCell ref="A7:B7"/>
    <mergeCell ref="A8:B8"/>
    <mergeCell ref="A11:B11"/>
    <mergeCell ref="A13:B13"/>
    <mergeCell ref="A10:B10"/>
    <mergeCell ref="A12:B12"/>
  </mergeCells>
  <phoneticPr fontId="8" type="noConversion"/>
  <hyperlinks>
    <hyperlink ref="A10" location="Contents!A1" display="Contents"/>
    <hyperlink ref="A10:B10" location="Contents!A1" tooltip="Contents page" display="Contents"/>
  </hyperlinks>
  <pageMargins left="0.75" right="0.75" top="1" bottom="1" header="0.5" footer="0.5"/>
  <pageSetup paperSize="9" scale="54" fitToHeight="0" orientation="landscape" r:id="rId1"/>
  <headerFooter alignWithMargins="0"/>
  <drawing r:id="rId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indexed="17"/>
    <pageSetUpPr fitToPage="1"/>
  </sheetPr>
  <dimension ref="A1:S123"/>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96</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778</v>
      </c>
      <c r="F7" s="1556" t="s">
        <v>613</v>
      </c>
      <c r="G7" s="26"/>
      <c r="H7" s="26"/>
      <c r="I7" s="26"/>
      <c r="J7" s="26"/>
      <c r="K7" s="26"/>
      <c r="L7" s="26"/>
      <c r="M7" s="26"/>
      <c r="N7" s="26"/>
      <c r="O7" s="26"/>
      <c r="P7" s="26"/>
      <c r="Q7" s="26"/>
      <c r="R7" s="26"/>
      <c r="S7" s="147"/>
    </row>
    <row r="8" spans="1:19" s="38" customFormat="1" ht="13.5" customHeight="1">
      <c r="A8" s="3630">
        <f>Audit!C12</f>
        <v>43586</v>
      </c>
      <c r="B8" s="3631"/>
      <c r="C8" s="321"/>
      <c r="D8" s="321"/>
      <c r="E8" s="113" t="s">
        <v>614</v>
      </c>
      <c r="F8" s="315"/>
      <c r="G8" s="26"/>
      <c r="H8" s="26"/>
      <c r="I8" s="26"/>
      <c r="J8" s="26"/>
      <c r="K8" s="26"/>
      <c r="L8" s="26"/>
      <c r="M8" s="26"/>
      <c r="N8" s="26"/>
      <c r="O8" s="26"/>
      <c r="P8" s="26"/>
      <c r="Q8" s="26"/>
      <c r="R8" s="26"/>
      <c r="S8" s="147"/>
    </row>
    <row r="9" spans="1:19" s="38" customFormat="1" ht="13.5" customHeight="1" thickBot="1">
      <c r="A9" s="172" t="s">
        <v>14</v>
      </c>
      <c r="B9" s="173"/>
      <c r="D9" s="321"/>
      <c r="E9" s="113" t="s">
        <v>615</v>
      </c>
      <c r="F9" s="26"/>
      <c r="G9" s="26"/>
      <c r="H9" s="26"/>
      <c r="I9" s="26"/>
      <c r="J9" s="26"/>
      <c r="K9" s="315"/>
      <c r="L9" s="26"/>
      <c r="M9" s="26"/>
      <c r="N9" s="26"/>
      <c r="O9" s="26"/>
      <c r="P9" s="26"/>
      <c r="Q9" s="26"/>
      <c r="R9" s="26"/>
      <c r="S9" s="147"/>
    </row>
    <row r="10" spans="1:19" s="38" customFormat="1" ht="13.5" customHeight="1" thickBot="1">
      <c r="A10" s="3570" t="s">
        <v>1306</v>
      </c>
      <c r="B10" s="3610"/>
      <c r="D10" s="321"/>
      <c r="E10" s="1359" t="s">
        <v>616</v>
      </c>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t="s">
        <v>617</v>
      </c>
      <c r="F11" s="26"/>
      <c r="G11" s="26"/>
      <c r="H11" s="26"/>
      <c r="I11" s="26"/>
      <c r="J11" s="26"/>
      <c r="K11" s="26"/>
      <c r="L11" s="26"/>
      <c r="M11" s="26"/>
      <c r="N11" s="26"/>
      <c r="O11" s="26"/>
      <c r="P11" s="26"/>
      <c r="Q11" s="26"/>
      <c r="R11" s="26"/>
      <c r="S11" s="147"/>
    </row>
    <row r="12" spans="1:19" s="38" customFormat="1" ht="13.5" customHeight="1">
      <c r="A12" s="3901"/>
      <c r="B12" s="3901"/>
      <c r="D12" s="321"/>
      <c r="E12" s="113"/>
      <c r="F12" s="53"/>
      <c r="G12" s="53"/>
      <c r="H12" s="53"/>
      <c r="I12" s="53"/>
      <c r="J12" s="53"/>
      <c r="K12" s="53"/>
      <c r="L12" s="53"/>
      <c r="M12" s="53"/>
      <c r="N12" s="53"/>
      <c r="O12" s="53"/>
      <c r="P12" s="53"/>
      <c r="Q12" s="53"/>
      <c r="R12" s="53"/>
      <c r="S12" s="379"/>
    </row>
    <row r="13" spans="1:19" s="38" customFormat="1" ht="13.5" customHeight="1">
      <c r="A13" s="3642" t="s">
        <v>252</v>
      </c>
      <c r="B13" s="3689"/>
      <c r="D13" s="321"/>
      <c r="E13" s="113" t="s">
        <v>618</v>
      </c>
      <c r="F13" s="26" t="s">
        <v>619</v>
      </c>
      <c r="G13" s="26"/>
      <c r="H13" s="26"/>
      <c r="I13" s="26"/>
      <c r="J13" s="26"/>
      <c r="K13" s="26"/>
      <c r="L13" s="26"/>
      <c r="M13" s="26"/>
      <c r="N13" s="26"/>
      <c r="O13" s="26"/>
      <c r="P13" s="26"/>
      <c r="Q13" s="26"/>
      <c r="R13" s="26"/>
      <c r="S13" s="147"/>
    </row>
    <row r="14" spans="1:19" s="38" customFormat="1" ht="13.5" customHeight="1">
      <c r="A14" s="2440"/>
      <c r="B14" s="2440"/>
      <c r="C14" s="321"/>
      <c r="D14" s="321"/>
      <c r="E14" s="114"/>
      <c r="F14" s="26"/>
      <c r="G14" s="26"/>
      <c r="H14" s="26"/>
      <c r="I14" s="26"/>
      <c r="J14" s="26"/>
      <c r="K14" s="26"/>
      <c r="L14" s="26"/>
      <c r="M14" s="26"/>
      <c r="N14" s="26"/>
      <c r="O14" s="26"/>
      <c r="P14" s="26"/>
      <c r="Q14" s="26"/>
      <c r="R14" s="26"/>
      <c r="S14" s="147"/>
    </row>
    <row r="15" spans="1:19" s="38" customFormat="1" ht="13.5" customHeight="1">
      <c r="A15" s="2445"/>
      <c r="B15" s="2446"/>
      <c r="C15" s="321"/>
      <c r="D15" s="321"/>
      <c r="E15" s="113"/>
      <c r="F15" s="26"/>
      <c r="G15" s="26"/>
      <c r="H15" s="26"/>
      <c r="I15" s="26"/>
      <c r="J15" s="26"/>
      <c r="K15" s="26"/>
      <c r="L15" s="26"/>
      <c r="M15" s="26"/>
      <c r="N15" s="26"/>
      <c r="O15" s="26"/>
      <c r="P15" s="26"/>
      <c r="Q15" s="26"/>
      <c r="R15" s="26"/>
      <c r="S15" s="147"/>
    </row>
    <row r="16" spans="1:19" s="38" customFormat="1" ht="13.5" customHeight="1">
      <c r="A16" s="2448" t="s">
        <v>370</v>
      </c>
      <c r="B16" s="2449">
        <v>1997</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c r="C22" s="13"/>
      <c r="J22" s="13"/>
    </row>
    <row r="23" spans="1:19" ht="13.5" customHeight="1" thickTop="1" thickBot="1">
      <c r="A23" s="1138" t="s">
        <v>96</v>
      </c>
      <c r="B23" s="626"/>
      <c r="C23" s="626"/>
      <c r="D23" s="760"/>
      <c r="E23" s="760"/>
      <c r="F23" s="760"/>
      <c r="G23" s="760"/>
      <c r="H23" s="760"/>
      <c r="I23" s="760"/>
      <c r="J23" s="800"/>
    </row>
    <row r="24" spans="1:19" ht="13.5" customHeight="1" thickTop="1">
      <c r="A24" s="1139" t="s">
        <v>623</v>
      </c>
      <c r="B24" s="1151" t="s">
        <v>420</v>
      </c>
      <c r="C24" s="900"/>
      <c r="D24" s="1146" t="s">
        <v>624</v>
      </c>
      <c r="E24" s="1147" t="s">
        <v>625</v>
      </c>
      <c r="F24" s="1148" t="s">
        <v>626</v>
      </c>
      <c r="G24" s="1146" t="s">
        <v>627</v>
      </c>
      <c r="H24" s="1147" t="s">
        <v>628</v>
      </c>
      <c r="I24" s="1096" t="s">
        <v>943</v>
      </c>
      <c r="J24" s="1079"/>
    </row>
    <row r="25" spans="1:19" ht="13.5" customHeight="1" thickBot="1">
      <c r="A25" s="1141" t="s">
        <v>629</v>
      </c>
      <c r="B25" s="1149" t="s">
        <v>211</v>
      </c>
      <c r="C25" s="1100"/>
      <c r="D25" s="1036" t="s">
        <v>630</v>
      </c>
      <c r="E25" s="1150" t="s">
        <v>631</v>
      </c>
      <c r="F25" s="635"/>
      <c r="G25" s="1141" t="s">
        <v>632</v>
      </c>
      <c r="H25" s="1150" t="s">
        <v>633</v>
      </c>
      <c r="I25" s="1098"/>
      <c r="J25" s="1100"/>
    </row>
    <row r="26" spans="1:19" ht="13.5" customHeight="1" thickTop="1">
      <c r="A26" s="613">
        <v>1</v>
      </c>
      <c r="B26" s="609" t="s">
        <v>213</v>
      </c>
      <c r="D26" s="1176">
        <v>0.19500000000000001</v>
      </c>
      <c r="E26" s="1177">
        <v>0.46</v>
      </c>
      <c r="F26" s="614">
        <v>3</v>
      </c>
      <c r="G26" s="613" t="s">
        <v>634</v>
      </c>
      <c r="H26" s="612" t="s">
        <v>635</v>
      </c>
      <c r="I26" s="609" t="s">
        <v>636</v>
      </c>
      <c r="J26" s="624"/>
    </row>
    <row r="27" spans="1:19" ht="13.5" customHeight="1">
      <c r="A27" s="613">
        <v>2</v>
      </c>
      <c r="B27" s="609" t="s">
        <v>1454</v>
      </c>
      <c r="D27" s="1176">
        <v>0.19500000000000001</v>
      </c>
      <c r="E27" s="1177">
        <v>0.46</v>
      </c>
      <c r="F27" s="614">
        <v>3</v>
      </c>
      <c r="G27" s="613" t="s">
        <v>634</v>
      </c>
      <c r="H27" s="612" t="s">
        <v>635</v>
      </c>
      <c r="I27" s="609" t="s">
        <v>636</v>
      </c>
      <c r="J27" s="624"/>
    </row>
    <row r="28" spans="1:19" ht="13.5" customHeight="1">
      <c r="A28" s="613">
        <v>3</v>
      </c>
      <c r="B28" s="609" t="s">
        <v>213</v>
      </c>
      <c r="D28" s="1176">
        <v>0.19500000000000001</v>
      </c>
      <c r="E28" s="1177">
        <v>0.46</v>
      </c>
      <c r="F28" s="614">
        <v>3</v>
      </c>
      <c r="G28" s="613" t="s">
        <v>1455</v>
      </c>
      <c r="H28" s="612" t="s">
        <v>635</v>
      </c>
      <c r="I28" s="609" t="s">
        <v>636</v>
      </c>
      <c r="J28" s="624"/>
    </row>
    <row r="29" spans="1:19" ht="13.5" customHeight="1">
      <c r="A29" s="613">
        <v>4</v>
      </c>
      <c r="B29" s="609" t="s">
        <v>1454</v>
      </c>
      <c r="D29" s="1176">
        <v>0.19500000000000001</v>
      </c>
      <c r="E29" s="1177">
        <v>0.46</v>
      </c>
      <c r="F29" s="614">
        <v>3</v>
      </c>
      <c r="G29" s="613" t="s">
        <v>1455</v>
      </c>
      <c r="H29" s="612" t="s">
        <v>635</v>
      </c>
      <c r="I29" s="609" t="s">
        <v>636</v>
      </c>
      <c r="J29" s="624"/>
    </row>
    <row r="30" spans="1:19" ht="13.5" customHeight="1">
      <c r="A30" s="613">
        <v>5</v>
      </c>
      <c r="B30" s="609" t="s">
        <v>213</v>
      </c>
      <c r="D30" s="1176">
        <v>0.36099999999999999</v>
      </c>
      <c r="E30" s="1177">
        <v>0.44</v>
      </c>
      <c r="F30" s="614">
        <v>4</v>
      </c>
      <c r="G30" s="613" t="s">
        <v>634</v>
      </c>
      <c r="H30" s="612" t="s">
        <v>1456</v>
      </c>
      <c r="I30" s="609" t="s">
        <v>636</v>
      </c>
      <c r="J30" s="624"/>
    </row>
    <row r="31" spans="1:19" ht="13.5" customHeight="1">
      <c r="A31" s="613">
        <v>6</v>
      </c>
      <c r="B31" s="609" t="s">
        <v>1454</v>
      </c>
      <c r="D31" s="1176">
        <v>0.36099999999999999</v>
      </c>
      <c r="E31" s="1177">
        <v>0.44</v>
      </c>
      <c r="F31" s="614">
        <v>4</v>
      </c>
      <c r="G31" s="613" t="s">
        <v>634</v>
      </c>
      <c r="H31" s="612" t="s">
        <v>1456</v>
      </c>
      <c r="I31" s="609" t="s">
        <v>636</v>
      </c>
      <c r="J31" s="624"/>
    </row>
    <row r="32" spans="1:19" ht="13.5" customHeight="1">
      <c r="A32" s="613">
        <v>7</v>
      </c>
      <c r="B32" s="609" t="s">
        <v>213</v>
      </c>
      <c r="D32" s="1176">
        <v>0.24</v>
      </c>
      <c r="E32" s="1177">
        <v>0.71</v>
      </c>
      <c r="F32" s="614">
        <v>4</v>
      </c>
      <c r="G32" s="613" t="s">
        <v>1455</v>
      </c>
      <c r="H32" s="612" t="s">
        <v>635</v>
      </c>
      <c r="I32" s="609" t="s">
        <v>636</v>
      </c>
      <c r="J32" s="624"/>
    </row>
    <row r="33" spans="1:10" ht="13.5" customHeight="1">
      <c r="A33" s="613">
        <v>8</v>
      </c>
      <c r="B33" s="609" t="s">
        <v>1454</v>
      </c>
      <c r="D33" s="1176">
        <v>0.24</v>
      </c>
      <c r="E33" s="1177">
        <v>0.71</v>
      </c>
      <c r="F33" s="614">
        <v>4</v>
      </c>
      <c r="G33" s="613" t="s">
        <v>1455</v>
      </c>
      <c r="H33" s="612" t="s">
        <v>635</v>
      </c>
      <c r="I33" s="609" t="s">
        <v>636</v>
      </c>
      <c r="J33" s="624"/>
    </row>
    <row r="34" spans="1:10" ht="13.5" customHeight="1">
      <c r="A34" s="613">
        <v>9</v>
      </c>
      <c r="B34" s="609" t="s">
        <v>213</v>
      </c>
      <c r="D34" s="1176">
        <v>0.36099999999999999</v>
      </c>
      <c r="E34" s="1177">
        <v>0.44</v>
      </c>
      <c r="F34" s="614">
        <v>5</v>
      </c>
      <c r="G34" s="613" t="s">
        <v>634</v>
      </c>
      <c r="H34" s="612" t="s">
        <v>1456</v>
      </c>
      <c r="I34" s="609" t="s">
        <v>636</v>
      </c>
      <c r="J34" s="624"/>
    </row>
    <row r="35" spans="1:10" ht="13.5" customHeight="1">
      <c r="A35" s="613">
        <v>10</v>
      </c>
      <c r="B35" s="609" t="s">
        <v>1454</v>
      </c>
      <c r="D35" s="1176">
        <v>0.36099999999999999</v>
      </c>
      <c r="E35" s="1177">
        <v>0.44</v>
      </c>
      <c r="F35" s="614">
        <v>5</v>
      </c>
      <c r="G35" s="613" t="s">
        <v>634</v>
      </c>
      <c r="H35" s="612" t="s">
        <v>1456</v>
      </c>
      <c r="I35" s="609" t="s">
        <v>636</v>
      </c>
      <c r="J35" s="624"/>
    </row>
    <row r="36" spans="1:10" ht="13.5" customHeight="1">
      <c r="A36" s="613">
        <v>11</v>
      </c>
      <c r="B36" s="609" t="s">
        <v>213</v>
      </c>
      <c r="D36" s="1176">
        <v>0.36099999999999999</v>
      </c>
      <c r="E36" s="1177">
        <v>0.44</v>
      </c>
      <c r="F36" s="614">
        <v>5</v>
      </c>
      <c r="G36" s="613" t="s">
        <v>1455</v>
      </c>
      <c r="H36" s="612" t="s">
        <v>1456</v>
      </c>
      <c r="I36" s="609" t="s">
        <v>636</v>
      </c>
      <c r="J36" s="624"/>
    </row>
    <row r="37" spans="1:10" ht="13.5" customHeight="1">
      <c r="A37" s="613">
        <v>12</v>
      </c>
      <c r="B37" s="609" t="s">
        <v>1454</v>
      </c>
      <c r="D37" s="1176">
        <v>0.36099999999999999</v>
      </c>
      <c r="E37" s="1177">
        <v>0.44</v>
      </c>
      <c r="F37" s="614">
        <v>5</v>
      </c>
      <c r="G37" s="613" t="s">
        <v>1455</v>
      </c>
      <c r="H37" s="612" t="s">
        <v>1456</v>
      </c>
      <c r="I37" s="609" t="s">
        <v>636</v>
      </c>
      <c r="J37" s="624"/>
    </row>
    <row r="38" spans="1:10" ht="13.5" customHeight="1">
      <c r="A38" s="613">
        <v>13</v>
      </c>
      <c r="B38" s="609" t="s">
        <v>213</v>
      </c>
      <c r="D38" s="1176">
        <v>0.19500000000000001</v>
      </c>
      <c r="E38" s="1177">
        <v>0.46</v>
      </c>
      <c r="F38" s="614">
        <v>3</v>
      </c>
      <c r="G38" s="613" t="s">
        <v>634</v>
      </c>
      <c r="H38" s="612" t="s">
        <v>635</v>
      </c>
      <c r="I38" s="609" t="s">
        <v>1457</v>
      </c>
      <c r="J38" s="624"/>
    </row>
    <row r="39" spans="1:10" ht="13.5" customHeight="1">
      <c r="A39" s="613">
        <v>14</v>
      </c>
      <c r="B39" s="609" t="s">
        <v>1454</v>
      </c>
      <c r="D39" s="1176">
        <v>0.19500000000000001</v>
      </c>
      <c r="E39" s="1177">
        <v>0.46</v>
      </c>
      <c r="F39" s="614">
        <v>3</v>
      </c>
      <c r="G39" s="613" t="s">
        <v>634</v>
      </c>
      <c r="H39" s="612" t="s">
        <v>635</v>
      </c>
      <c r="I39" s="609" t="s">
        <v>1457</v>
      </c>
      <c r="J39" s="624"/>
    </row>
    <row r="40" spans="1:10" ht="13.5" customHeight="1">
      <c r="A40" s="613">
        <v>15</v>
      </c>
      <c r="B40" s="609" t="s">
        <v>213</v>
      </c>
      <c r="D40" s="1176">
        <v>0.19500000000000001</v>
      </c>
      <c r="E40" s="1177">
        <v>0.46</v>
      </c>
      <c r="F40" s="614">
        <v>3</v>
      </c>
      <c r="G40" s="613" t="s">
        <v>1455</v>
      </c>
      <c r="H40" s="612" t="s">
        <v>635</v>
      </c>
      <c r="I40" s="820" t="s">
        <v>1457</v>
      </c>
      <c r="J40" s="624"/>
    </row>
    <row r="41" spans="1:10" ht="13.5" customHeight="1">
      <c r="A41" s="613">
        <v>16</v>
      </c>
      <c r="B41" s="609" t="s">
        <v>1454</v>
      </c>
      <c r="D41" s="1176">
        <v>0.19500000000000001</v>
      </c>
      <c r="E41" s="1177">
        <v>0.46</v>
      </c>
      <c r="F41" s="614">
        <v>3</v>
      </c>
      <c r="G41" s="613" t="s">
        <v>1455</v>
      </c>
      <c r="H41" s="612" t="s">
        <v>635</v>
      </c>
      <c r="I41" s="820" t="s">
        <v>1457</v>
      </c>
      <c r="J41" s="624"/>
    </row>
    <row r="42" spans="1:10" ht="13.5" customHeight="1">
      <c r="A42" s="613">
        <v>17</v>
      </c>
      <c r="B42" s="609" t="s">
        <v>213</v>
      </c>
      <c r="D42" s="1176">
        <v>0.36099999999999999</v>
      </c>
      <c r="E42" s="1177">
        <v>0.44</v>
      </c>
      <c r="F42" s="614">
        <v>4</v>
      </c>
      <c r="G42" s="613" t="s">
        <v>634</v>
      </c>
      <c r="H42" s="612" t="s">
        <v>1456</v>
      </c>
      <c r="I42" s="820" t="s">
        <v>1457</v>
      </c>
      <c r="J42" s="624"/>
    </row>
    <row r="43" spans="1:10" ht="13.5" customHeight="1">
      <c r="A43" s="613">
        <v>18</v>
      </c>
      <c r="B43" s="609" t="s">
        <v>1454</v>
      </c>
      <c r="D43" s="1176">
        <v>0.36099999999999999</v>
      </c>
      <c r="E43" s="1177">
        <v>0.44</v>
      </c>
      <c r="F43" s="614">
        <v>4</v>
      </c>
      <c r="G43" s="613" t="s">
        <v>634</v>
      </c>
      <c r="H43" s="612" t="s">
        <v>1456</v>
      </c>
      <c r="I43" s="820" t="s">
        <v>1457</v>
      </c>
      <c r="J43" s="624"/>
    </row>
    <row r="44" spans="1:10" ht="13.5" customHeight="1">
      <c r="A44" s="613">
        <v>19</v>
      </c>
      <c r="B44" s="609" t="s">
        <v>213</v>
      </c>
      <c r="D44" s="1176">
        <v>0.24</v>
      </c>
      <c r="E44" s="1177">
        <v>0.71</v>
      </c>
      <c r="F44" s="614">
        <v>4</v>
      </c>
      <c r="G44" s="613" t="s">
        <v>1455</v>
      </c>
      <c r="H44" s="612" t="s">
        <v>635</v>
      </c>
      <c r="I44" s="820" t="s">
        <v>1457</v>
      </c>
      <c r="J44" s="624"/>
    </row>
    <row r="45" spans="1:10" ht="13.5" customHeight="1">
      <c r="A45" s="613">
        <v>20</v>
      </c>
      <c r="B45" s="609" t="s">
        <v>1454</v>
      </c>
      <c r="D45" s="1176">
        <v>0.24</v>
      </c>
      <c r="E45" s="1177">
        <v>0.71</v>
      </c>
      <c r="F45" s="614">
        <v>4</v>
      </c>
      <c r="G45" s="613" t="s">
        <v>1455</v>
      </c>
      <c r="H45" s="612" t="s">
        <v>635</v>
      </c>
      <c r="I45" s="820" t="s">
        <v>1457</v>
      </c>
      <c r="J45" s="624"/>
    </row>
    <row r="46" spans="1:10" ht="13.5" customHeight="1">
      <c r="A46" s="613">
        <v>21</v>
      </c>
      <c r="B46" s="609" t="s">
        <v>213</v>
      </c>
      <c r="D46" s="1176">
        <v>0.36099999999999999</v>
      </c>
      <c r="E46" s="1177">
        <v>0.44</v>
      </c>
      <c r="F46" s="614">
        <v>5</v>
      </c>
      <c r="G46" s="613" t="s">
        <v>634</v>
      </c>
      <c r="H46" s="612" t="s">
        <v>1456</v>
      </c>
      <c r="I46" s="820" t="s">
        <v>1457</v>
      </c>
      <c r="J46" s="624"/>
    </row>
    <row r="47" spans="1:10" ht="13.5" customHeight="1">
      <c r="A47" s="613">
        <v>22</v>
      </c>
      <c r="B47" s="609" t="s">
        <v>1454</v>
      </c>
      <c r="D47" s="1176">
        <v>0.36099999999999999</v>
      </c>
      <c r="E47" s="1177">
        <v>0.44</v>
      </c>
      <c r="F47" s="614">
        <v>5</v>
      </c>
      <c r="G47" s="613" t="s">
        <v>634</v>
      </c>
      <c r="H47" s="612" t="s">
        <v>1456</v>
      </c>
      <c r="I47" s="820" t="s">
        <v>1457</v>
      </c>
      <c r="J47" s="624"/>
    </row>
    <row r="48" spans="1:10" ht="13.5" customHeight="1">
      <c r="A48" s="613">
        <v>23</v>
      </c>
      <c r="B48" s="609" t="s">
        <v>213</v>
      </c>
      <c r="D48" s="1176">
        <v>0.36099999999999999</v>
      </c>
      <c r="E48" s="1177">
        <v>0.44</v>
      </c>
      <c r="F48" s="614">
        <v>5</v>
      </c>
      <c r="G48" s="613" t="s">
        <v>1455</v>
      </c>
      <c r="H48" s="612" t="s">
        <v>1456</v>
      </c>
      <c r="I48" s="820" t="s">
        <v>1457</v>
      </c>
      <c r="J48" s="624"/>
    </row>
    <row r="49" spans="1:10" ht="13.5" customHeight="1">
      <c r="A49" s="613">
        <v>24</v>
      </c>
      <c r="B49" s="609" t="s">
        <v>1454</v>
      </c>
      <c r="D49" s="1176">
        <v>0.36099999999999999</v>
      </c>
      <c r="E49" s="1177">
        <v>0.44</v>
      </c>
      <c r="F49" s="614">
        <v>5</v>
      </c>
      <c r="G49" s="613" t="s">
        <v>1455</v>
      </c>
      <c r="H49" s="612" t="s">
        <v>1456</v>
      </c>
      <c r="I49" s="609" t="s">
        <v>1457</v>
      </c>
      <c r="J49" s="624"/>
    </row>
    <row r="50" spans="1:10" ht="13.5" customHeight="1">
      <c r="A50" s="613">
        <v>25</v>
      </c>
      <c r="B50" s="609" t="s">
        <v>213</v>
      </c>
      <c r="D50" s="1176">
        <v>0.19500000000000001</v>
      </c>
      <c r="E50" s="1177">
        <v>0.46</v>
      </c>
      <c r="F50" s="614">
        <v>3</v>
      </c>
      <c r="G50" s="613" t="s">
        <v>634</v>
      </c>
      <c r="H50" s="612" t="s">
        <v>635</v>
      </c>
      <c r="I50" s="609" t="s">
        <v>1458</v>
      </c>
      <c r="J50" s="624"/>
    </row>
    <row r="51" spans="1:10" ht="13.5" customHeight="1">
      <c r="A51" s="613">
        <v>26</v>
      </c>
      <c r="B51" s="609" t="s">
        <v>1454</v>
      </c>
      <c r="D51" s="1176">
        <v>0.19500000000000001</v>
      </c>
      <c r="E51" s="1177">
        <v>0.46</v>
      </c>
      <c r="F51" s="614">
        <v>3</v>
      </c>
      <c r="G51" s="613" t="s">
        <v>634</v>
      </c>
      <c r="H51" s="612" t="s">
        <v>635</v>
      </c>
      <c r="I51" s="609" t="s">
        <v>1458</v>
      </c>
      <c r="J51" s="624"/>
    </row>
    <row r="52" spans="1:10" ht="13.5" customHeight="1">
      <c r="A52" s="613">
        <v>27</v>
      </c>
      <c r="B52" s="609" t="s">
        <v>213</v>
      </c>
      <c r="D52" s="1176">
        <v>0.19500000000000001</v>
      </c>
      <c r="E52" s="1177">
        <v>0.46</v>
      </c>
      <c r="F52" s="614">
        <v>3</v>
      </c>
      <c r="G52" s="613" t="s">
        <v>1455</v>
      </c>
      <c r="H52" s="612" t="s">
        <v>635</v>
      </c>
      <c r="I52" s="609" t="s">
        <v>1458</v>
      </c>
      <c r="J52" s="624"/>
    </row>
    <row r="53" spans="1:10" ht="13.5" customHeight="1">
      <c r="A53" s="613">
        <v>28</v>
      </c>
      <c r="B53" s="609" t="s">
        <v>1454</v>
      </c>
      <c r="D53" s="1176">
        <v>0.19500000000000001</v>
      </c>
      <c r="E53" s="1177">
        <v>0.46</v>
      </c>
      <c r="F53" s="614">
        <v>3</v>
      </c>
      <c r="G53" s="613" t="s">
        <v>1455</v>
      </c>
      <c r="H53" s="612" t="s">
        <v>635</v>
      </c>
      <c r="I53" s="609" t="s">
        <v>1458</v>
      </c>
      <c r="J53" s="624"/>
    </row>
    <row r="54" spans="1:10" ht="13.5" customHeight="1">
      <c r="A54" s="613">
        <v>29</v>
      </c>
      <c r="B54" s="609" t="s">
        <v>213</v>
      </c>
      <c r="D54" s="1176">
        <v>0.36099999999999999</v>
      </c>
      <c r="E54" s="1177">
        <v>0.44</v>
      </c>
      <c r="F54" s="614">
        <v>4</v>
      </c>
      <c r="G54" s="613" t="s">
        <v>634</v>
      </c>
      <c r="H54" s="612" t="s">
        <v>1456</v>
      </c>
      <c r="I54" s="609" t="s">
        <v>1458</v>
      </c>
      <c r="J54" s="624"/>
    </row>
    <row r="55" spans="1:10" ht="13.5" customHeight="1">
      <c r="A55" s="613">
        <v>30</v>
      </c>
      <c r="B55" s="609" t="s">
        <v>1454</v>
      </c>
      <c r="D55" s="1176">
        <v>0.36099999999999999</v>
      </c>
      <c r="E55" s="1177">
        <v>0.44</v>
      </c>
      <c r="F55" s="614">
        <v>4</v>
      </c>
      <c r="G55" s="613" t="s">
        <v>634</v>
      </c>
      <c r="H55" s="612" t="s">
        <v>1456</v>
      </c>
      <c r="I55" s="609" t="s">
        <v>1458</v>
      </c>
      <c r="J55" s="624"/>
    </row>
    <row r="56" spans="1:10" ht="13.5" customHeight="1">
      <c r="A56" s="613">
        <v>31</v>
      </c>
      <c r="B56" s="609" t="s">
        <v>213</v>
      </c>
      <c r="D56" s="1176">
        <v>0.24</v>
      </c>
      <c r="E56" s="1177">
        <v>0.71</v>
      </c>
      <c r="F56" s="614">
        <v>4</v>
      </c>
      <c r="G56" s="613" t="s">
        <v>1455</v>
      </c>
      <c r="H56" s="612" t="s">
        <v>635</v>
      </c>
      <c r="I56" s="609" t="s">
        <v>1458</v>
      </c>
      <c r="J56" s="624"/>
    </row>
    <row r="57" spans="1:10" ht="13.5" customHeight="1">
      <c r="A57" s="613">
        <v>32</v>
      </c>
      <c r="B57" s="609" t="s">
        <v>1454</v>
      </c>
      <c r="D57" s="1176">
        <v>0.24</v>
      </c>
      <c r="E57" s="1177">
        <v>0.71</v>
      </c>
      <c r="F57" s="614">
        <v>4</v>
      </c>
      <c r="G57" s="613" t="s">
        <v>1455</v>
      </c>
      <c r="H57" s="612" t="s">
        <v>635</v>
      </c>
      <c r="I57" s="609" t="s">
        <v>1458</v>
      </c>
      <c r="J57" s="624"/>
    </row>
    <row r="58" spans="1:10" ht="13.5" customHeight="1">
      <c r="A58" s="613">
        <v>33</v>
      </c>
      <c r="B58" s="609" t="s">
        <v>213</v>
      </c>
      <c r="D58" s="1176">
        <v>0.36099999999999999</v>
      </c>
      <c r="E58" s="1177">
        <v>0.44</v>
      </c>
      <c r="F58" s="614">
        <v>5</v>
      </c>
      <c r="G58" s="613" t="s">
        <v>634</v>
      </c>
      <c r="H58" s="612" t="s">
        <v>1456</v>
      </c>
      <c r="I58" s="609" t="s">
        <v>1458</v>
      </c>
      <c r="J58" s="624"/>
    </row>
    <row r="59" spans="1:10" ht="13.5" customHeight="1">
      <c r="A59" s="613">
        <v>34</v>
      </c>
      <c r="B59" s="609" t="s">
        <v>1454</v>
      </c>
      <c r="D59" s="1176">
        <v>0.36099999999999999</v>
      </c>
      <c r="E59" s="1177">
        <v>0.44</v>
      </c>
      <c r="F59" s="614">
        <v>5</v>
      </c>
      <c r="G59" s="613" t="s">
        <v>634</v>
      </c>
      <c r="H59" s="612" t="s">
        <v>1456</v>
      </c>
      <c r="I59" s="609" t="s">
        <v>1458</v>
      </c>
      <c r="J59" s="624"/>
    </row>
    <row r="60" spans="1:10" ht="13.5" customHeight="1">
      <c r="A60" s="613">
        <v>35</v>
      </c>
      <c r="B60" s="609" t="s">
        <v>213</v>
      </c>
      <c r="D60" s="1176">
        <v>0.36099999999999999</v>
      </c>
      <c r="E60" s="1177">
        <v>0.44</v>
      </c>
      <c r="F60" s="614">
        <v>5</v>
      </c>
      <c r="G60" s="613" t="s">
        <v>1455</v>
      </c>
      <c r="H60" s="612" t="s">
        <v>1456</v>
      </c>
      <c r="I60" s="609" t="s">
        <v>1458</v>
      </c>
      <c r="J60" s="624"/>
    </row>
    <row r="61" spans="1:10" ht="13.5" customHeight="1">
      <c r="A61" s="613">
        <v>36</v>
      </c>
      <c r="B61" s="609" t="s">
        <v>1454</v>
      </c>
      <c r="D61" s="1176">
        <v>0.36099999999999999</v>
      </c>
      <c r="E61" s="1177">
        <v>0.44</v>
      </c>
      <c r="F61" s="614">
        <v>5</v>
      </c>
      <c r="G61" s="613" t="s">
        <v>1455</v>
      </c>
      <c r="H61" s="612" t="s">
        <v>1456</v>
      </c>
      <c r="I61" s="609" t="s">
        <v>1458</v>
      </c>
      <c r="J61" s="624"/>
    </row>
    <row r="62" spans="1:10" ht="13.5" customHeight="1">
      <c r="A62" s="613">
        <v>37</v>
      </c>
      <c r="B62" s="609" t="s">
        <v>213</v>
      </c>
      <c r="D62" s="1176">
        <v>0.223</v>
      </c>
      <c r="E62" s="1177">
        <v>0.61</v>
      </c>
      <c r="F62" s="614">
        <v>3</v>
      </c>
      <c r="G62" s="613" t="s">
        <v>634</v>
      </c>
      <c r="H62" s="612" t="s">
        <v>1456</v>
      </c>
      <c r="I62" s="609" t="s">
        <v>1459</v>
      </c>
      <c r="J62" s="624"/>
    </row>
    <row r="63" spans="1:10" ht="13.5" customHeight="1">
      <c r="A63" s="613">
        <v>38</v>
      </c>
      <c r="B63" s="609" t="s">
        <v>1454</v>
      </c>
      <c r="D63" s="1176">
        <v>0.223</v>
      </c>
      <c r="E63" s="1177">
        <v>0.61</v>
      </c>
      <c r="F63" s="614">
        <v>3</v>
      </c>
      <c r="G63" s="613" t="s">
        <v>634</v>
      </c>
      <c r="H63" s="612" t="s">
        <v>1456</v>
      </c>
      <c r="I63" s="609" t="s">
        <v>1459</v>
      </c>
      <c r="J63" s="624"/>
    </row>
    <row r="64" spans="1:10" ht="13.5" customHeight="1">
      <c r="A64" s="613">
        <v>39</v>
      </c>
      <c r="B64" s="609" t="s">
        <v>213</v>
      </c>
      <c r="D64" s="1176">
        <v>0.49399999999999999</v>
      </c>
      <c r="E64" s="1177">
        <v>0.42</v>
      </c>
      <c r="F64" s="614">
        <v>3</v>
      </c>
      <c r="G64" s="613" t="s">
        <v>1455</v>
      </c>
      <c r="H64" s="612" t="s">
        <v>635</v>
      </c>
      <c r="I64" s="609" t="s">
        <v>1459</v>
      </c>
      <c r="J64" s="624"/>
    </row>
    <row r="65" spans="1:10" ht="13.5" customHeight="1">
      <c r="A65" s="613">
        <v>40</v>
      </c>
      <c r="B65" s="609" t="s">
        <v>1454</v>
      </c>
      <c r="D65" s="1176">
        <v>0.29099999999999998</v>
      </c>
      <c r="E65" s="1177">
        <v>0.51</v>
      </c>
      <c r="F65" s="614">
        <v>3</v>
      </c>
      <c r="G65" s="613" t="s">
        <v>1455</v>
      </c>
      <c r="H65" s="612" t="s">
        <v>635</v>
      </c>
      <c r="I65" s="609" t="s">
        <v>1459</v>
      </c>
      <c r="J65" s="624"/>
    </row>
    <row r="66" spans="1:10" ht="13.5" customHeight="1">
      <c r="A66" s="613">
        <v>41</v>
      </c>
      <c r="B66" s="609" t="s">
        <v>213</v>
      </c>
      <c r="D66" s="1176">
        <v>1.3779999999999999</v>
      </c>
      <c r="E66" s="1177">
        <v>0.2</v>
      </c>
      <c r="F66" s="614">
        <v>4</v>
      </c>
      <c r="G66" s="613" t="s">
        <v>634</v>
      </c>
      <c r="H66" s="612" t="s">
        <v>635</v>
      </c>
      <c r="I66" s="609" t="s">
        <v>1459</v>
      </c>
      <c r="J66" s="624"/>
    </row>
    <row r="67" spans="1:10" ht="13.5" customHeight="1">
      <c r="A67" s="613">
        <v>42</v>
      </c>
      <c r="B67" s="609" t="s">
        <v>1454</v>
      </c>
      <c r="D67" s="1176">
        <v>1.3779999999999999</v>
      </c>
      <c r="E67" s="1177">
        <v>0.2</v>
      </c>
      <c r="F67" s="614">
        <v>4</v>
      </c>
      <c r="G67" s="613" t="s">
        <v>634</v>
      </c>
      <c r="H67" s="612" t="s">
        <v>635</v>
      </c>
      <c r="I67" s="609" t="s">
        <v>1459</v>
      </c>
      <c r="J67" s="624"/>
    </row>
    <row r="68" spans="1:10" ht="13.5" customHeight="1">
      <c r="A68" s="613">
        <v>43</v>
      </c>
      <c r="B68" s="609" t="s">
        <v>213</v>
      </c>
      <c r="D68" s="1176">
        <v>0.49399999999999999</v>
      </c>
      <c r="E68" s="1177">
        <v>0.42</v>
      </c>
      <c r="F68" s="614">
        <v>4</v>
      </c>
      <c r="G68" s="613" t="s">
        <v>1455</v>
      </c>
      <c r="H68" s="612" t="s">
        <v>635</v>
      </c>
      <c r="I68" s="609" t="s">
        <v>1459</v>
      </c>
      <c r="J68" s="624"/>
    </row>
    <row r="69" spans="1:10" ht="13.5" customHeight="1">
      <c r="A69" s="613">
        <v>44</v>
      </c>
      <c r="B69" s="609" t="s">
        <v>1454</v>
      </c>
      <c r="D69" s="1176">
        <v>0.29099999999999998</v>
      </c>
      <c r="E69" s="1177">
        <v>0.51</v>
      </c>
      <c r="F69" s="614">
        <v>4</v>
      </c>
      <c r="G69" s="613" t="s">
        <v>1455</v>
      </c>
      <c r="H69" s="612" t="s">
        <v>635</v>
      </c>
      <c r="I69" s="609" t="s">
        <v>1459</v>
      </c>
      <c r="J69" s="624"/>
    </row>
    <row r="70" spans="1:10" ht="13.5" customHeight="1">
      <c r="A70" s="613">
        <v>45</v>
      </c>
      <c r="B70" s="609" t="s">
        <v>213</v>
      </c>
      <c r="D70" s="1176">
        <v>0.254</v>
      </c>
      <c r="E70" s="1177">
        <v>0.62</v>
      </c>
      <c r="F70" s="864" t="s">
        <v>1460</v>
      </c>
      <c r="G70" s="613" t="s">
        <v>634</v>
      </c>
      <c r="H70" s="612" t="s">
        <v>1456</v>
      </c>
      <c r="I70" s="609" t="s">
        <v>1459</v>
      </c>
      <c r="J70" s="624"/>
    </row>
    <row r="71" spans="1:10" ht="13.5" customHeight="1">
      <c r="A71" s="613">
        <v>46</v>
      </c>
      <c r="B71" s="609" t="s">
        <v>1454</v>
      </c>
      <c r="D71" s="1176">
        <v>0.254</v>
      </c>
      <c r="E71" s="1177">
        <v>0.62</v>
      </c>
      <c r="F71" s="864" t="s">
        <v>1460</v>
      </c>
      <c r="G71" s="613" t="s">
        <v>634</v>
      </c>
      <c r="H71" s="612" t="s">
        <v>1456</v>
      </c>
      <c r="I71" s="609" t="s">
        <v>1459</v>
      </c>
      <c r="J71" s="624"/>
    </row>
    <row r="72" spans="1:10" ht="13.5" customHeight="1">
      <c r="A72" s="613">
        <v>47</v>
      </c>
      <c r="B72" s="609" t="s">
        <v>213</v>
      </c>
      <c r="D72" s="1176">
        <v>0.23799999999999999</v>
      </c>
      <c r="E72" s="1177">
        <v>0.85</v>
      </c>
      <c r="F72" s="864" t="s">
        <v>1460</v>
      </c>
      <c r="G72" s="613" t="s">
        <v>1455</v>
      </c>
      <c r="H72" s="612" t="s">
        <v>1456</v>
      </c>
      <c r="I72" s="609" t="s">
        <v>1459</v>
      </c>
      <c r="J72" s="624"/>
    </row>
    <row r="73" spans="1:10" ht="13.5" customHeight="1">
      <c r="A73" s="613">
        <v>48</v>
      </c>
      <c r="B73" s="609" t="s">
        <v>1454</v>
      </c>
      <c r="D73" s="1176">
        <v>0.16</v>
      </c>
      <c r="E73" s="1177">
        <v>0.97</v>
      </c>
      <c r="F73" s="864" t="s">
        <v>1460</v>
      </c>
      <c r="G73" s="613" t="s">
        <v>1455</v>
      </c>
      <c r="H73" s="612" t="s">
        <v>1456</v>
      </c>
      <c r="I73" s="609" t="s">
        <v>1459</v>
      </c>
      <c r="J73" s="624"/>
    </row>
    <row r="74" spans="1:10" ht="13.5" customHeight="1">
      <c r="A74" s="613">
        <v>49</v>
      </c>
      <c r="B74" s="609" t="s">
        <v>213</v>
      </c>
      <c r="D74" s="1176">
        <v>3.3000000000000002E-2</v>
      </c>
      <c r="E74" s="1177">
        <v>0.76</v>
      </c>
      <c r="F74" s="614">
        <v>3</v>
      </c>
      <c r="G74" s="613" t="s">
        <v>634</v>
      </c>
      <c r="H74" s="612" t="s">
        <v>635</v>
      </c>
      <c r="I74" s="609" t="s">
        <v>1461</v>
      </c>
      <c r="J74" s="624"/>
    </row>
    <row r="75" spans="1:10" ht="13.5" customHeight="1">
      <c r="A75" s="613">
        <v>50</v>
      </c>
      <c r="B75" s="609" t="s">
        <v>1454</v>
      </c>
      <c r="D75" s="1176">
        <v>3.3000000000000002E-2</v>
      </c>
      <c r="E75" s="1177">
        <v>0.76</v>
      </c>
      <c r="F75" s="614">
        <v>3</v>
      </c>
      <c r="G75" s="613" t="s">
        <v>634</v>
      </c>
      <c r="H75" s="612" t="s">
        <v>635</v>
      </c>
      <c r="I75" s="609" t="s">
        <v>1461</v>
      </c>
      <c r="J75" s="624"/>
    </row>
    <row r="76" spans="1:10" ht="13.5" customHeight="1">
      <c r="A76" s="613">
        <v>51</v>
      </c>
      <c r="B76" s="609" t="s">
        <v>213</v>
      </c>
      <c r="D76" s="1176">
        <v>3.3000000000000002E-2</v>
      </c>
      <c r="E76" s="1177">
        <v>0.76</v>
      </c>
      <c r="F76" s="614">
        <v>3</v>
      </c>
      <c r="G76" s="613" t="s">
        <v>1455</v>
      </c>
      <c r="H76" s="612" t="s">
        <v>635</v>
      </c>
      <c r="I76" s="609" t="s">
        <v>1461</v>
      </c>
      <c r="J76" s="624"/>
    </row>
    <row r="77" spans="1:10" ht="13.5" customHeight="1">
      <c r="A77" s="613">
        <v>52</v>
      </c>
      <c r="B77" s="609" t="s">
        <v>1454</v>
      </c>
      <c r="D77" s="1176">
        <v>3.3000000000000002E-2</v>
      </c>
      <c r="E77" s="1177">
        <v>0.76</v>
      </c>
      <c r="F77" s="614">
        <v>3</v>
      </c>
      <c r="G77" s="613" t="s">
        <v>1455</v>
      </c>
      <c r="H77" s="612" t="s">
        <v>635</v>
      </c>
      <c r="I77" s="609" t="s">
        <v>1461</v>
      </c>
      <c r="J77" s="624"/>
    </row>
    <row r="78" spans="1:10" ht="13.5" customHeight="1">
      <c r="A78" s="613">
        <v>53</v>
      </c>
      <c r="B78" s="609" t="s">
        <v>213</v>
      </c>
      <c r="D78" s="1176">
        <v>2.4E-2</v>
      </c>
      <c r="E78" s="1177">
        <v>0.89</v>
      </c>
      <c r="F78" s="614">
        <v>4</v>
      </c>
      <c r="G78" s="613" t="s">
        <v>634</v>
      </c>
      <c r="H78" s="612" t="s">
        <v>635</v>
      </c>
      <c r="I78" s="609" t="s">
        <v>1461</v>
      </c>
      <c r="J78" s="624"/>
    </row>
    <row r="79" spans="1:10" ht="13.5" customHeight="1">
      <c r="A79" s="613">
        <v>54</v>
      </c>
      <c r="B79" s="609" t="s">
        <v>1454</v>
      </c>
      <c r="D79" s="1176">
        <v>4.8000000000000001E-2</v>
      </c>
      <c r="E79" s="1177">
        <v>0.74</v>
      </c>
      <c r="F79" s="614">
        <v>4</v>
      </c>
      <c r="G79" s="613" t="s">
        <v>634</v>
      </c>
      <c r="H79" s="612" t="s">
        <v>635</v>
      </c>
      <c r="I79" s="609" t="s">
        <v>1461</v>
      </c>
      <c r="J79" s="624"/>
    </row>
    <row r="80" spans="1:10" ht="13.5" customHeight="1">
      <c r="A80" s="613">
        <v>55</v>
      </c>
      <c r="B80" s="609" t="s">
        <v>213</v>
      </c>
      <c r="D80" s="1176">
        <v>6.3E-2</v>
      </c>
      <c r="E80" s="1177">
        <v>0.69</v>
      </c>
      <c r="F80" s="614">
        <v>4</v>
      </c>
      <c r="G80" s="613" t="s">
        <v>1455</v>
      </c>
      <c r="H80" s="612" t="s">
        <v>635</v>
      </c>
      <c r="I80" s="609" t="s">
        <v>1461</v>
      </c>
      <c r="J80" s="624"/>
    </row>
    <row r="81" spans="1:10" ht="13.5" customHeight="1">
      <c r="A81" s="613">
        <v>56</v>
      </c>
      <c r="B81" s="609" t="s">
        <v>1454</v>
      </c>
      <c r="D81" s="1176">
        <v>2.1999999999999999E-2</v>
      </c>
      <c r="E81" s="1177">
        <v>0.85</v>
      </c>
      <c r="F81" s="614">
        <v>4</v>
      </c>
      <c r="G81" s="613" t="s">
        <v>1455</v>
      </c>
      <c r="H81" s="612" t="s">
        <v>635</v>
      </c>
      <c r="I81" s="609" t="s">
        <v>1461</v>
      </c>
      <c r="J81" s="624"/>
    </row>
    <row r="82" spans="1:10" ht="13.5" customHeight="1">
      <c r="A82" s="613">
        <v>57</v>
      </c>
      <c r="B82" s="609" t="s">
        <v>213</v>
      </c>
      <c r="D82" s="1176">
        <v>7.0000000000000001E-3</v>
      </c>
      <c r="E82" s="1177">
        <v>1.77</v>
      </c>
      <c r="F82" s="864" t="s">
        <v>1460</v>
      </c>
      <c r="G82" s="613" t="s">
        <v>634</v>
      </c>
      <c r="H82" s="612" t="s">
        <v>1456</v>
      </c>
      <c r="I82" s="609" t="s">
        <v>1461</v>
      </c>
      <c r="J82" s="624"/>
    </row>
    <row r="83" spans="1:10" ht="13.5" customHeight="1">
      <c r="A83" s="613">
        <v>58</v>
      </c>
      <c r="B83" s="609" t="s">
        <v>1454</v>
      </c>
      <c r="D83" s="1176">
        <v>1.4E-2</v>
      </c>
      <c r="E83" s="1177">
        <v>1.53</v>
      </c>
      <c r="F83" s="864" t="s">
        <v>1460</v>
      </c>
      <c r="G83" s="613" t="s">
        <v>634</v>
      </c>
      <c r="H83" s="612" t="s">
        <v>1456</v>
      </c>
      <c r="I83" s="609" t="s">
        <v>1461</v>
      </c>
      <c r="J83" s="624"/>
    </row>
    <row r="84" spans="1:10" ht="13.5" customHeight="1">
      <c r="A84" s="613">
        <v>59</v>
      </c>
      <c r="B84" s="609" t="s">
        <v>213</v>
      </c>
      <c r="D84" s="1176">
        <v>1.9E-2</v>
      </c>
      <c r="E84" s="1177">
        <v>1.42</v>
      </c>
      <c r="F84" s="864" t="s">
        <v>1460</v>
      </c>
      <c r="G84" s="613" t="s">
        <v>1455</v>
      </c>
      <c r="H84" s="612" t="s">
        <v>1456</v>
      </c>
      <c r="I84" s="609" t="s">
        <v>1461</v>
      </c>
      <c r="J84" s="624"/>
    </row>
    <row r="85" spans="1:10" ht="13.5" customHeight="1">
      <c r="A85" s="613">
        <v>60</v>
      </c>
      <c r="B85" s="609" t="s">
        <v>1454</v>
      </c>
      <c r="D85" s="1176">
        <v>6.0000000000000001E-3</v>
      </c>
      <c r="E85" s="1177">
        <v>1.73</v>
      </c>
      <c r="F85" s="864" t="s">
        <v>1460</v>
      </c>
      <c r="G85" s="613" t="s">
        <v>1455</v>
      </c>
      <c r="H85" s="612" t="s">
        <v>1456</v>
      </c>
      <c r="I85" s="609" t="s">
        <v>1461</v>
      </c>
      <c r="J85" s="624"/>
    </row>
    <row r="86" spans="1:10" ht="13.5" customHeight="1">
      <c r="A86" s="613">
        <v>61</v>
      </c>
      <c r="B86" s="609" t="s">
        <v>213</v>
      </c>
      <c r="D86" s="1176">
        <v>3.3000000000000002E-2</v>
      </c>
      <c r="E86" s="1177">
        <v>0.76</v>
      </c>
      <c r="F86" s="614">
        <v>3</v>
      </c>
      <c r="G86" s="613" t="s">
        <v>634</v>
      </c>
      <c r="H86" s="612" t="s">
        <v>635</v>
      </c>
      <c r="I86" s="609" t="s">
        <v>289</v>
      </c>
      <c r="J86" s="624"/>
    </row>
    <row r="87" spans="1:10" ht="13.5" customHeight="1">
      <c r="A87" s="613">
        <v>62</v>
      </c>
      <c r="B87" s="609" t="s">
        <v>1454</v>
      </c>
      <c r="D87" s="1176">
        <v>3.3000000000000002E-2</v>
      </c>
      <c r="E87" s="1177">
        <v>0.76</v>
      </c>
      <c r="F87" s="614">
        <v>3</v>
      </c>
      <c r="G87" s="613" t="s">
        <v>634</v>
      </c>
      <c r="H87" s="612" t="s">
        <v>635</v>
      </c>
      <c r="I87" s="609" t="s">
        <v>289</v>
      </c>
      <c r="J87" s="624"/>
    </row>
    <row r="88" spans="1:10" ht="13.5" customHeight="1">
      <c r="A88" s="613">
        <v>63</v>
      </c>
      <c r="B88" s="609" t="s">
        <v>213</v>
      </c>
      <c r="D88" s="1176">
        <v>3.3000000000000002E-2</v>
      </c>
      <c r="E88" s="1177">
        <v>0.76</v>
      </c>
      <c r="F88" s="614">
        <v>3</v>
      </c>
      <c r="G88" s="613" t="s">
        <v>1455</v>
      </c>
      <c r="H88" s="612" t="s">
        <v>635</v>
      </c>
      <c r="I88" s="609" t="s">
        <v>289</v>
      </c>
      <c r="J88" s="624"/>
    </row>
    <row r="89" spans="1:10" ht="13.5" customHeight="1">
      <c r="A89" s="613">
        <v>64</v>
      </c>
      <c r="B89" s="609" t="s">
        <v>1454</v>
      </c>
      <c r="D89" s="1176">
        <v>3.3000000000000002E-2</v>
      </c>
      <c r="E89" s="1177">
        <v>0.76</v>
      </c>
      <c r="F89" s="614">
        <v>3</v>
      </c>
      <c r="G89" s="613" t="s">
        <v>1455</v>
      </c>
      <c r="H89" s="612" t="s">
        <v>635</v>
      </c>
      <c r="I89" s="609" t="s">
        <v>289</v>
      </c>
      <c r="J89" s="624"/>
    </row>
    <row r="90" spans="1:10" ht="13.5" customHeight="1">
      <c r="A90" s="613">
        <v>65</v>
      </c>
      <c r="B90" s="609" t="s">
        <v>213</v>
      </c>
      <c r="D90" s="1176">
        <v>0.10100000000000001</v>
      </c>
      <c r="E90" s="1177">
        <v>0.66</v>
      </c>
      <c r="F90" s="614">
        <v>4</v>
      </c>
      <c r="G90" s="613" t="s">
        <v>634</v>
      </c>
      <c r="H90" s="612" t="s">
        <v>635</v>
      </c>
      <c r="I90" s="609" t="s">
        <v>289</v>
      </c>
      <c r="J90" s="624"/>
    </row>
    <row r="91" spans="1:10" ht="13.5" customHeight="1">
      <c r="A91" s="613">
        <v>66</v>
      </c>
      <c r="B91" s="609" t="s">
        <v>1454</v>
      </c>
      <c r="D91" s="1176">
        <v>0.26300000000000001</v>
      </c>
      <c r="E91" s="1177">
        <v>0.54</v>
      </c>
      <c r="F91" s="614">
        <v>4</v>
      </c>
      <c r="G91" s="613" t="s">
        <v>634</v>
      </c>
      <c r="H91" s="612" t="s">
        <v>635</v>
      </c>
      <c r="I91" s="609" t="s">
        <v>289</v>
      </c>
      <c r="J91" s="624"/>
    </row>
    <row r="92" spans="1:10" ht="13.5" customHeight="1">
      <c r="A92" s="613">
        <v>67</v>
      </c>
      <c r="B92" s="609" t="s">
        <v>213</v>
      </c>
      <c r="D92" s="1176">
        <v>0.10100000000000001</v>
      </c>
      <c r="E92" s="1177">
        <v>0.66</v>
      </c>
      <c r="F92" s="614">
        <v>4</v>
      </c>
      <c r="G92" s="613" t="s">
        <v>1455</v>
      </c>
      <c r="H92" s="612" t="s">
        <v>635</v>
      </c>
      <c r="I92" s="609" t="s">
        <v>289</v>
      </c>
      <c r="J92" s="624"/>
    </row>
    <row r="93" spans="1:10" ht="13.5" customHeight="1">
      <c r="A93" s="613">
        <v>68</v>
      </c>
      <c r="B93" s="609" t="s">
        <v>1454</v>
      </c>
      <c r="D93" s="1176">
        <v>0.26300000000000001</v>
      </c>
      <c r="E93" s="1177">
        <v>0.54</v>
      </c>
      <c r="F93" s="614">
        <v>4</v>
      </c>
      <c r="G93" s="613" t="s">
        <v>1455</v>
      </c>
      <c r="H93" s="612" t="s">
        <v>635</v>
      </c>
      <c r="I93" s="609" t="s">
        <v>289</v>
      </c>
      <c r="J93" s="624"/>
    </row>
    <row r="94" spans="1:10" ht="13.5" customHeight="1">
      <c r="A94" s="613">
        <v>69</v>
      </c>
      <c r="B94" s="609" t="s">
        <v>213</v>
      </c>
      <c r="D94" s="1176">
        <v>4.3999999999999997E-2</v>
      </c>
      <c r="E94" s="1177">
        <v>1.28</v>
      </c>
      <c r="F94" s="864" t="s">
        <v>1460</v>
      </c>
      <c r="G94" s="613" t="s">
        <v>634</v>
      </c>
      <c r="H94" s="612" t="s">
        <v>1456</v>
      </c>
      <c r="I94" s="609" t="s">
        <v>289</v>
      </c>
      <c r="J94" s="624"/>
    </row>
    <row r="95" spans="1:10" ht="13.5" customHeight="1">
      <c r="A95" s="613">
        <v>70</v>
      </c>
      <c r="B95" s="609" t="s">
        <v>1454</v>
      </c>
      <c r="D95" s="1176">
        <v>9.5000000000000001E-2</v>
      </c>
      <c r="E95" s="1177">
        <v>1.1399999999999999</v>
      </c>
      <c r="F95" s="864" t="s">
        <v>1460</v>
      </c>
      <c r="G95" s="613" t="s">
        <v>634</v>
      </c>
      <c r="H95" s="612" t="s">
        <v>1456</v>
      </c>
      <c r="I95" s="609" t="s">
        <v>289</v>
      </c>
      <c r="J95" s="624"/>
    </row>
    <row r="96" spans="1:10" ht="13.5" customHeight="1">
      <c r="A96" s="613">
        <v>71</v>
      </c>
      <c r="B96" s="609" t="s">
        <v>213</v>
      </c>
      <c r="D96" s="1176">
        <v>4.3999999999999997E-2</v>
      </c>
      <c r="E96" s="1177">
        <v>1.28</v>
      </c>
      <c r="F96" s="864" t="s">
        <v>1460</v>
      </c>
      <c r="G96" s="613" t="s">
        <v>1455</v>
      </c>
      <c r="H96" s="612" t="s">
        <v>1456</v>
      </c>
      <c r="I96" s="609" t="s">
        <v>289</v>
      </c>
      <c r="J96" s="624"/>
    </row>
    <row r="97" spans="1:10" ht="13.5" customHeight="1">
      <c r="A97" s="613">
        <v>72</v>
      </c>
      <c r="B97" s="609" t="s">
        <v>1454</v>
      </c>
      <c r="D97" s="1176">
        <v>9.5000000000000001E-2</v>
      </c>
      <c r="E97" s="1177">
        <v>1.1399999999999999</v>
      </c>
      <c r="F97" s="864" t="s">
        <v>1460</v>
      </c>
      <c r="G97" s="613" t="s">
        <v>1455</v>
      </c>
      <c r="H97" s="612" t="s">
        <v>1456</v>
      </c>
      <c r="I97" s="609" t="s">
        <v>289</v>
      </c>
      <c r="J97" s="624"/>
    </row>
    <row r="98" spans="1:10" ht="13.5" customHeight="1">
      <c r="A98" s="613">
        <v>73</v>
      </c>
      <c r="B98" s="609" t="s">
        <v>213</v>
      </c>
      <c r="D98" s="1176">
        <v>1.2E-2</v>
      </c>
      <c r="E98" s="1177">
        <v>1.04</v>
      </c>
      <c r="F98" s="614">
        <v>3</v>
      </c>
      <c r="G98" s="613" t="s">
        <v>634</v>
      </c>
      <c r="H98" s="612" t="s">
        <v>635</v>
      </c>
      <c r="I98" s="609" t="s">
        <v>290</v>
      </c>
      <c r="J98" s="624"/>
    </row>
    <row r="99" spans="1:10" ht="13.5" customHeight="1">
      <c r="A99" s="613">
        <v>74</v>
      </c>
      <c r="B99" s="609" t="s">
        <v>1454</v>
      </c>
      <c r="D99" s="1176">
        <v>1.2E-2</v>
      </c>
      <c r="E99" s="1177">
        <v>1.04</v>
      </c>
      <c r="F99" s="614">
        <v>3</v>
      </c>
      <c r="G99" s="613" t="s">
        <v>634</v>
      </c>
      <c r="H99" s="612" t="s">
        <v>635</v>
      </c>
      <c r="I99" s="609" t="s">
        <v>290</v>
      </c>
      <c r="J99" s="624"/>
    </row>
    <row r="100" spans="1:10" ht="13.5" customHeight="1">
      <c r="A100" s="613">
        <v>75</v>
      </c>
      <c r="B100" s="609" t="s">
        <v>213</v>
      </c>
      <c r="D100" s="1176">
        <v>1.2E-2</v>
      </c>
      <c r="E100" s="1177">
        <v>1.04</v>
      </c>
      <c r="F100" s="614">
        <v>3</v>
      </c>
      <c r="G100" s="613" t="s">
        <v>1455</v>
      </c>
      <c r="H100" s="612" t="s">
        <v>635</v>
      </c>
      <c r="I100" s="609" t="s">
        <v>290</v>
      </c>
      <c r="J100" s="624"/>
    </row>
    <row r="101" spans="1:10" ht="13.5" customHeight="1">
      <c r="A101" s="613">
        <v>76</v>
      </c>
      <c r="B101" s="609" t="s">
        <v>1454</v>
      </c>
      <c r="D101" s="1176">
        <v>1.2E-2</v>
      </c>
      <c r="E101" s="1177">
        <v>1.04</v>
      </c>
      <c r="F101" s="614">
        <v>3</v>
      </c>
      <c r="G101" s="613" t="s">
        <v>1455</v>
      </c>
      <c r="H101" s="612" t="s">
        <v>635</v>
      </c>
      <c r="I101" s="609" t="s">
        <v>290</v>
      </c>
      <c r="J101" s="624"/>
    </row>
    <row r="102" spans="1:10" ht="13.5" customHeight="1">
      <c r="A102" s="613">
        <v>77</v>
      </c>
      <c r="B102" s="609" t="s">
        <v>213</v>
      </c>
      <c r="D102" s="1176">
        <v>7.0000000000000007E-2</v>
      </c>
      <c r="E102" s="1177">
        <v>0.64</v>
      </c>
      <c r="F102" s="614">
        <v>4</v>
      </c>
      <c r="G102" s="613" t="s">
        <v>634</v>
      </c>
      <c r="H102" s="612" t="s">
        <v>635</v>
      </c>
      <c r="I102" s="609" t="s">
        <v>290</v>
      </c>
      <c r="J102" s="624"/>
    </row>
    <row r="103" spans="1:10" ht="13.5" customHeight="1">
      <c r="A103" s="613">
        <v>78</v>
      </c>
      <c r="B103" s="609" t="s">
        <v>1454</v>
      </c>
      <c r="D103" s="1176">
        <v>7.0000000000000007E-2</v>
      </c>
      <c r="E103" s="1177">
        <v>0.64</v>
      </c>
      <c r="F103" s="614">
        <v>4</v>
      </c>
      <c r="G103" s="613" t="s">
        <v>634</v>
      </c>
      <c r="H103" s="612" t="s">
        <v>635</v>
      </c>
      <c r="I103" s="609" t="s">
        <v>290</v>
      </c>
      <c r="J103" s="624"/>
    </row>
    <row r="104" spans="1:10" ht="13.5" customHeight="1">
      <c r="A104" s="613">
        <v>79</v>
      </c>
      <c r="B104" s="609" t="s">
        <v>213</v>
      </c>
      <c r="D104" s="1176">
        <v>7.0000000000000007E-2</v>
      </c>
      <c r="E104" s="1177">
        <v>0.64</v>
      </c>
      <c r="F104" s="614">
        <v>4</v>
      </c>
      <c r="G104" s="613" t="s">
        <v>1455</v>
      </c>
      <c r="H104" s="612" t="s">
        <v>635</v>
      </c>
      <c r="I104" s="609" t="s">
        <v>290</v>
      </c>
      <c r="J104" s="624"/>
    </row>
    <row r="105" spans="1:10" ht="13.5" customHeight="1">
      <c r="A105" s="613">
        <v>80</v>
      </c>
      <c r="B105" s="609" t="s">
        <v>1454</v>
      </c>
      <c r="D105" s="1176">
        <v>7.0000000000000007E-2</v>
      </c>
      <c r="E105" s="1177">
        <v>0.64</v>
      </c>
      <c r="F105" s="614">
        <v>4</v>
      </c>
      <c r="G105" s="613" t="s">
        <v>1455</v>
      </c>
      <c r="H105" s="612" t="s">
        <v>635</v>
      </c>
      <c r="I105" s="609" t="s">
        <v>290</v>
      </c>
      <c r="J105" s="624"/>
    </row>
    <row r="106" spans="1:10" ht="13.5" customHeight="1">
      <c r="A106" s="613">
        <v>81</v>
      </c>
      <c r="B106" s="609" t="s">
        <v>213</v>
      </c>
      <c r="D106" s="1176">
        <v>1.2999999999999999E-2</v>
      </c>
      <c r="E106" s="1177">
        <v>1.47</v>
      </c>
      <c r="F106" s="864" t="s">
        <v>1460</v>
      </c>
      <c r="G106" s="613" t="s">
        <v>634</v>
      </c>
      <c r="H106" s="612" t="s">
        <v>1456</v>
      </c>
      <c r="I106" s="609" t="s">
        <v>290</v>
      </c>
      <c r="J106" s="624"/>
    </row>
    <row r="107" spans="1:10" ht="13.5" customHeight="1">
      <c r="A107" s="613">
        <v>82</v>
      </c>
      <c r="B107" s="609" t="s">
        <v>1454</v>
      </c>
      <c r="D107" s="1176">
        <v>1.2999999999999999E-2</v>
      </c>
      <c r="E107" s="1177">
        <v>1.47</v>
      </c>
      <c r="F107" s="864" t="s">
        <v>1460</v>
      </c>
      <c r="G107" s="613" t="s">
        <v>634</v>
      </c>
      <c r="H107" s="612" t="s">
        <v>1456</v>
      </c>
      <c r="I107" s="609" t="s">
        <v>290</v>
      </c>
      <c r="J107" s="624"/>
    </row>
    <row r="108" spans="1:10" ht="13.5" customHeight="1">
      <c r="A108" s="613">
        <v>83</v>
      </c>
      <c r="B108" s="609" t="s">
        <v>213</v>
      </c>
      <c r="D108" s="1176">
        <v>1.2999999999999999E-2</v>
      </c>
      <c r="E108" s="1177">
        <v>1.47</v>
      </c>
      <c r="F108" s="864" t="s">
        <v>1460</v>
      </c>
      <c r="G108" s="613" t="s">
        <v>1455</v>
      </c>
      <c r="H108" s="612" t="s">
        <v>1456</v>
      </c>
      <c r="I108" s="609" t="s">
        <v>290</v>
      </c>
      <c r="J108" s="624"/>
    </row>
    <row r="109" spans="1:10" ht="13.5" customHeight="1">
      <c r="A109" s="613">
        <v>84</v>
      </c>
      <c r="B109" s="609" t="s">
        <v>1454</v>
      </c>
      <c r="D109" s="1176">
        <v>1.2999999999999999E-2</v>
      </c>
      <c r="E109" s="1177">
        <v>1.47</v>
      </c>
      <c r="F109" s="864" t="s">
        <v>1460</v>
      </c>
      <c r="G109" s="613" t="s">
        <v>1455</v>
      </c>
      <c r="H109" s="612" t="s">
        <v>1456</v>
      </c>
      <c r="I109" s="609" t="s">
        <v>290</v>
      </c>
      <c r="J109" s="624"/>
    </row>
    <row r="110" spans="1:10" ht="13.5" customHeight="1">
      <c r="A110" s="613">
        <v>85</v>
      </c>
      <c r="B110" s="609" t="s">
        <v>213</v>
      </c>
      <c r="D110" s="1176">
        <v>3.3000000000000002E-2</v>
      </c>
      <c r="E110" s="1177">
        <v>0.76</v>
      </c>
      <c r="F110" s="614">
        <v>3</v>
      </c>
      <c r="G110" s="613" t="s">
        <v>634</v>
      </c>
      <c r="H110" s="612" t="s">
        <v>635</v>
      </c>
      <c r="I110" s="609" t="s">
        <v>466</v>
      </c>
      <c r="J110" s="624"/>
    </row>
    <row r="111" spans="1:10" ht="13.5" customHeight="1">
      <c r="A111" s="613">
        <v>86</v>
      </c>
      <c r="B111" s="609" t="s">
        <v>1454</v>
      </c>
      <c r="D111" s="1176">
        <v>3.3000000000000002E-2</v>
      </c>
      <c r="E111" s="1177">
        <v>0.76</v>
      </c>
      <c r="F111" s="614">
        <v>3</v>
      </c>
      <c r="G111" s="613" t="s">
        <v>634</v>
      </c>
      <c r="H111" s="612" t="s">
        <v>635</v>
      </c>
      <c r="I111" s="609" t="s">
        <v>466</v>
      </c>
      <c r="J111" s="624"/>
    </row>
    <row r="112" spans="1:10" ht="13.5" customHeight="1">
      <c r="A112" s="613">
        <v>87</v>
      </c>
      <c r="B112" s="609" t="s">
        <v>213</v>
      </c>
      <c r="D112" s="1176">
        <v>3.3000000000000002E-2</v>
      </c>
      <c r="E112" s="1177">
        <v>0.76</v>
      </c>
      <c r="F112" s="614">
        <v>3</v>
      </c>
      <c r="G112" s="613" t="s">
        <v>1455</v>
      </c>
      <c r="H112" s="612" t="s">
        <v>635</v>
      </c>
      <c r="I112" s="609" t="s">
        <v>466</v>
      </c>
      <c r="J112" s="624"/>
    </row>
    <row r="113" spans="1:10" ht="13.5" customHeight="1">
      <c r="A113" s="613">
        <v>88</v>
      </c>
      <c r="B113" s="609" t="s">
        <v>1454</v>
      </c>
      <c r="D113" s="1176">
        <v>3.3000000000000002E-2</v>
      </c>
      <c r="E113" s="1177">
        <v>0.76</v>
      </c>
      <c r="F113" s="614">
        <v>3</v>
      </c>
      <c r="G113" s="613" t="s">
        <v>1455</v>
      </c>
      <c r="H113" s="612" t="s">
        <v>635</v>
      </c>
      <c r="I113" s="609" t="s">
        <v>466</v>
      </c>
      <c r="J113" s="624"/>
    </row>
    <row r="114" spans="1:10" ht="13.5" customHeight="1">
      <c r="A114" s="613">
        <v>89</v>
      </c>
      <c r="B114" s="609" t="s">
        <v>213</v>
      </c>
      <c r="D114" s="1176">
        <v>2.4E-2</v>
      </c>
      <c r="E114" s="1177">
        <v>0.89</v>
      </c>
      <c r="F114" s="614">
        <v>4</v>
      </c>
      <c r="G114" s="613" t="s">
        <v>634</v>
      </c>
      <c r="H114" s="612" t="s">
        <v>635</v>
      </c>
      <c r="I114" s="609" t="s">
        <v>466</v>
      </c>
      <c r="J114" s="624"/>
    </row>
    <row r="115" spans="1:10" ht="13.5" customHeight="1">
      <c r="A115" s="613">
        <v>90</v>
      </c>
      <c r="B115" s="609" t="s">
        <v>1454</v>
      </c>
      <c r="D115" s="1176">
        <v>4.8000000000000001E-2</v>
      </c>
      <c r="E115" s="1177">
        <v>0.74</v>
      </c>
      <c r="F115" s="614">
        <v>4</v>
      </c>
      <c r="G115" s="613" t="s">
        <v>634</v>
      </c>
      <c r="H115" s="612" t="s">
        <v>635</v>
      </c>
      <c r="I115" s="609" t="s">
        <v>466</v>
      </c>
      <c r="J115" s="624"/>
    </row>
    <row r="116" spans="1:10" ht="13.5" customHeight="1">
      <c r="A116" s="613">
        <v>91</v>
      </c>
      <c r="B116" s="609" t="s">
        <v>213</v>
      </c>
      <c r="D116" s="1176">
        <v>6.3E-2</v>
      </c>
      <c r="E116" s="1177">
        <v>0.69</v>
      </c>
      <c r="F116" s="614">
        <v>4</v>
      </c>
      <c r="G116" s="613" t="s">
        <v>1455</v>
      </c>
      <c r="H116" s="612" t="s">
        <v>635</v>
      </c>
      <c r="I116" s="609" t="s">
        <v>466</v>
      </c>
      <c r="J116" s="624"/>
    </row>
    <row r="117" spans="1:10" ht="13.5" customHeight="1">
      <c r="A117" s="613">
        <v>92</v>
      </c>
      <c r="B117" s="609" t="s">
        <v>1454</v>
      </c>
      <c r="D117" s="1176">
        <v>2.1999999999999999E-2</v>
      </c>
      <c r="E117" s="1177">
        <v>0.85</v>
      </c>
      <c r="F117" s="614">
        <v>4</v>
      </c>
      <c r="G117" s="613" t="s">
        <v>1455</v>
      </c>
      <c r="H117" s="612" t="s">
        <v>635</v>
      </c>
      <c r="I117" s="609" t="s">
        <v>466</v>
      </c>
      <c r="J117" s="624"/>
    </row>
    <row r="118" spans="1:10" ht="13.5" customHeight="1">
      <c r="A118" s="613">
        <v>93</v>
      </c>
      <c r="B118" s="609" t="s">
        <v>213</v>
      </c>
      <c r="D118" s="1176">
        <v>7.0000000000000001E-3</v>
      </c>
      <c r="E118" s="1177">
        <v>1.77</v>
      </c>
      <c r="F118" s="864" t="s">
        <v>1460</v>
      </c>
      <c r="G118" s="613" t="s">
        <v>634</v>
      </c>
      <c r="H118" s="612" t="s">
        <v>1456</v>
      </c>
      <c r="I118" s="609" t="s">
        <v>466</v>
      </c>
      <c r="J118" s="624"/>
    </row>
    <row r="119" spans="1:10" ht="13.5" customHeight="1">
      <c r="A119" s="613">
        <v>94</v>
      </c>
      <c r="B119" s="609" t="s">
        <v>1454</v>
      </c>
      <c r="D119" s="1176">
        <v>1.4E-2</v>
      </c>
      <c r="E119" s="1177">
        <v>1.53</v>
      </c>
      <c r="F119" s="864" t="s">
        <v>1460</v>
      </c>
      <c r="G119" s="613" t="s">
        <v>634</v>
      </c>
      <c r="H119" s="612" t="s">
        <v>1456</v>
      </c>
      <c r="I119" s="609" t="s">
        <v>466</v>
      </c>
      <c r="J119" s="624"/>
    </row>
    <row r="120" spans="1:10" ht="13.5" customHeight="1">
      <c r="A120" s="613">
        <v>95</v>
      </c>
      <c r="B120" s="609" t="s">
        <v>213</v>
      </c>
      <c r="D120" s="1176">
        <v>1.9E-2</v>
      </c>
      <c r="E120" s="1177">
        <v>1.42</v>
      </c>
      <c r="F120" s="864" t="s">
        <v>1460</v>
      </c>
      <c r="G120" s="613" t="s">
        <v>1455</v>
      </c>
      <c r="H120" s="612" t="s">
        <v>1456</v>
      </c>
      <c r="I120" s="609" t="s">
        <v>466</v>
      </c>
      <c r="J120" s="624"/>
    </row>
    <row r="121" spans="1:10" ht="13.5" customHeight="1" thickBot="1">
      <c r="A121" s="616">
        <v>96</v>
      </c>
      <c r="B121" s="627" t="s">
        <v>1454</v>
      </c>
      <c r="C121" s="620"/>
      <c r="D121" s="1178">
        <v>6.0000000000000001E-3</v>
      </c>
      <c r="E121" s="1179">
        <v>1.73</v>
      </c>
      <c r="F121" s="865" t="s">
        <v>1460</v>
      </c>
      <c r="G121" s="616" t="s">
        <v>1455</v>
      </c>
      <c r="H121" s="615" t="s">
        <v>1456</v>
      </c>
      <c r="I121" s="619" t="s">
        <v>466</v>
      </c>
      <c r="J121" s="620"/>
    </row>
    <row r="122" spans="1:10" ht="13.5" customHeight="1" thickTop="1" thickBot="1"/>
    <row r="123" spans="1:10" ht="13.5" customHeight="1" thickBot="1">
      <c r="B123" s="31"/>
      <c r="D123" s="2431" t="s">
        <v>1489</v>
      </c>
    </row>
  </sheetData>
  <sheetProtection sheet="1" objects="1" scenarios="1"/>
  <mergeCells count="10">
    <mergeCell ref="A18:B18"/>
    <mergeCell ref="A19:B19"/>
    <mergeCell ref="A20:B20"/>
    <mergeCell ref="E6:S6"/>
    <mergeCell ref="A7:B7"/>
    <mergeCell ref="A8:B8"/>
    <mergeCell ref="A11:B11"/>
    <mergeCell ref="A13:B13"/>
    <mergeCell ref="A10:B10"/>
    <mergeCell ref="A12:B12"/>
  </mergeCells>
  <phoneticPr fontId="8" type="noConversion"/>
  <hyperlinks>
    <hyperlink ref="F7" r:id="rId1" display="Table 3/2, 3/3 COBA Manual"/>
    <hyperlink ref="A10" location="Contents!A1" display="Contents"/>
    <hyperlink ref="A10:B10" location="Contents!A1" tooltip="Contents page" display="Contents"/>
    <hyperlink ref="D123" location="'COBALT 4'!D26" tooltip="Top of this page" display="Top"/>
  </hyperlinks>
  <pageMargins left="0.75" right="0.75" top="1" bottom="1" header="0.5" footer="0.5"/>
  <pageSetup paperSize="9" scale="54" fitToHeight="0" orientation="landscape" r:id="rId2"/>
  <headerFooter alignWithMargins="0"/>
  <drawing r:id="rId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008000"/>
    <pageSetUpPr fitToPage="1"/>
  </sheetPr>
  <dimension ref="A1:S31"/>
  <sheetViews>
    <sheetView showGridLines="0" zoomScale="85" zoomScaleNormal="85" workbookViewId="0">
      <pane xSplit="3" ySplit="26" topLeftCell="D27"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1015</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778</v>
      </c>
      <c r="F7" s="1556" t="s">
        <v>620</v>
      </c>
      <c r="G7" s="26"/>
      <c r="H7" s="26"/>
      <c r="I7" s="26"/>
      <c r="J7" s="26"/>
      <c r="K7" s="26"/>
      <c r="L7" s="26"/>
      <c r="M7" s="26"/>
      <c r="N7" s="26"/>
      <c r="O7" s="26"/>
      <c r="P7" s="26"/>
      <c r="Q7" s="26"/>
      <c r="R7" s="26"/>
      <c r="S7" s="147"/>
    </row>
    <row r="8" spans="1:19" s="38" customFormat="1" ht="13.5" customHeight="1">
      <c r="A8" s="3630">
        <f>Audit!C12</f>
        <v>43586</v>
      </c>
      <c r="B8" s="3631"/>
      <c r="C8" s="321"/>
      <c r="D8" s="321"/>
      <c r="E8" s="113" t="s">
        <v>312</v>
      </c>
      <c r="F8" s="315"/>
      <c r="G8" s="26"/>
      <c r="H8" s="26"/>
      <c r="I8" s="26"/>
      <c r="J8" s="26"/>
      <c r="K8" s="26"/>
      <c r="L8" s="26"/>
      <c r="M8" s="26"/>
      <c r="N8" s="26"/>
      <c r="O8" s="26"/>
      <c r="P8" s="26"/>
      <c r="Q8" s="26"/>
      <c r="R8" s="26"/>
      <c r="S8" s="147"/>
    </row>
    <row r="9" spans="1:19" s="38" customFormat="1" ht="13.5" customHeight="1" thickBot="1">
      <c r="A9" s="172" t="s">
        <v>14</v>
      </c>
      <c r="B9" s="173"/>
      <c r="D9" s="321"/>
      <c r="E9" s="113" t="s">
        <v>313</v>
      </c>
      <c r="F9" s="26"/>
      <c r="G9" s="26"/>
      <c r="H9" s="26"/>
      <c r="I9" s="26"/>
      <c r="J9" s="26"/>
      <c r="K9" s="315"/>
      <c r="L9" s="26"/>
      <c r="M9" s="26"/>
      <c r="N9" s="26"/>
      <c r="O9" s="26"/>
      <c r="P9" s="26"/>
      <c r="Q9" s="26"/>
      <c r="R9" s="26"/>
      <c r="S9" s="147"/>
    </row>
    <row r="10" spans="1:19" s="38" customFormat="1" ht="13.5" customHeight="1" thickBot="1">
      <c r="A10" s="3570" t="s">
        <v>1306</v>
      </c>
      <c r="B10" s="3610"/>
      <c r="D10" s="321"/>
      <c r="E10" s="113" t="s">
        <v>314</v>
      </c>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t="s">
        <v>621</v>
      </c>
      <c r="F11" s="26"/>
      <c r="G11" s="26"/>
      <c r="H11" s="26"/>
      <c r="I11" s="26"/>
      <c r="J11" s="26"/>
      <c r="K11" s="26"/>
      <c r="L11" s="26"/>
      <c r="M11" s="26"/>
      <c r="N11" s="26"/>
      <c r="O11" s="26"/>
      <c r="P11" s="26"/>
      <c r="Q11" s="26"/>
      <c r="R11" s="26"/>
      <c r="S11" s="147"/>
    </row>
    <row r="12" spans="1:19" s="38" customFormat="1" ht="13.5" customHeight="1">
      <c r="A12" s="3901"/>
      <c r="B12" s="3901"/>
      <c r="D12" s="321"/>
      <c r="E12" s="113" t="s">
        <v>622</v>
      </c>
      <c r="F12" s="53"/>
      <c r="G12" s="53"/>
      <c r="H12" s="53"/>
      <c r="I12" s="53"/>
      <c r="J12" s="53"/>
      <c r="K12" s="53"/>
      <c r="L12" s="53"/>
      <c r="M12" s="53"/>
      <c r="N12" s="53"/>
      <c r="O12" s="53"/>
      <c r="P12" s="53"/>
      <c r="Q12" s="53"/>
      <c r="R12" s="53"/>
      <c r="S12" s="379"/>
    </row>
    <row r="13" spans="1:19" s="38" customFormat="1" ht="13.5" customHeight="1">
      <c r="A13" s="3642" t="s">
        <v>252</v>
      </c>
      <c r="B13" s="3689"/>
      <c r="D13" s="321"/>
      <c r="E13" s="1359" t="s">
        <v>1376</v>
      </c>
      <c r="F13" s="26"/>
      <c r="G13" s="26"/>
      <c r="H13" s="26"/>
      <c r="I13" s="26"/>
      <c r="J13" s="26"/>
      <c r="K13" s="26"/>
      <c r="L13" s="26"/>
      <c r="M13" s="26"/>
      <c r="N13" s="26"/>
      <c r="O13" s="26"/>
      <c r="P13" s="26"/>
      <c r="Q13" s="26"/>
      <c r="R13" s="26"/>
      <c r="S13" s="147"/>
    </row>
    <row r="14" spans="1:19" s="38" customFormat="1" ht="13.5" customHeight="1">
      <c r="A14" s="2440"/>
      <c r="B14" s="2440"/>
      <c r="C14" s="321"/>
      <c r="D14" s="321"/>
      <c r="E14" s="113" t="s">
        <v>1377</v>
      </c>
      <c r="F14" s="26"/>
      <c r="G14" s="26"/>
      <c r="H14" s="26"/>
      <c r="I14" s="26"/>
      <c r="J14" s="26"/>
      <c r="K14" s="26"/>
      <c r="L14" s="26"/>
      <c r="M14" s="26"/>
      <c r="N14" s="26"/>
      <c r="O14" s="26"/>
      <c r="P14" s="26"/>
      <c r="Q14" s="26"/>
      <c r="R14" s="26"/>
      <c r="S14" s="147"/>
    </row>
    <row r="15" spans="1:19" s="38" customFormat="1" ht="13.5" customHeight="1">
      <c r="A15" s="2441"/>
      <c r="B15" s="2442"/>
      <c r="C15" s="321"/>
      <c r="D15" s="321"/>
      <c r="E15" s="113" t="s">
        <v>297</v>
      </c>
      <c r="F15" s="26"/>
      <c r="G15" s="26"/>
      <c r="H15" s="26"/>
      <c r="I15" s="26"/>
      <c r="J15" s="26"/>
      <c r="K15" s="26"/>
      <c r="L15" s="26"/>
      <c r="M15" s="26"/>
      <c r="N15" s="26"/>
      <c r="O15" s="26"/>
      <c r="P15" s="26"/>
      <c r="Q15" s="26"/>
      <c r="R15" s="26"/>
      <c r="S15" s="147"/>
    </row>
    <row r="16" spans="1:19" s="38" customFormat="1" ht="13.5" customHeight="1">
      <c r="A16" s="2443" t="s">
        <v>370</v>
      </c>
      <c r="B16" s="2444">
        <v>2000</v>
      </c>
      <c r="C16" s="321"/>
      <c r="D16" s="321"/>
      <c r="E16" s="113" t="s">
        <v>298</v>
      </c>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113"/>
      <c r="F17" s="26"/>
      <c r="G17" s="26"/>
      <c r="H17" s="26"/>
      <c r="I17" s="26"/>
      <c r="J17" s="26"/>
      <c r="K17" s="26"/>
      <c r="L17" s="26"/>
      <c r="M17" s="26"/>
      <c r="N17" s="26"/>
      <c r="O17" s="26"/>
      <c r="P17" s="26"/>
      <c r="Q17" s="26"/>
      <c r="R17" s="26"/>
      <c r="S17" s="147"/>
    </row>
    <row r="18" spans="1:19" s="38" customFormat="1" ht="13.5" customHeight="1">
      <c r="A18" s="2422"/>
      <c r="B18" s="2422"/>
      <c r="C18" s="321"/>
      <c r="D18" s="321"/>
      <c r="E18" s="207"/>
      <c r="F18" s="26"/>
      <c r="G18" s="26"/>
      <c r="H18" s="26"/>
      <c r="I18" s="26"/>
      <c r="J18" s="26"/>
      <c r="K18" s="26"/>
      <c r="L18" s="26"/>
      <c r="M18" s="26"/>
      <c r="N18" s="26"/>
      <c r="O18" s="26"/>
      <c r="P18" s="26"/>
      <c r="Q18" s="26"/>
      <c r="R18" s="26"/>
      <c r="S18" s="147"/>
    </row>
    <row r="19" spans="1:19" s="38" customFormat="1" ht="13.5" customHeight="1">
      <c r="A19" s="3653"/>
      <c r="B19" s="3653"/>
      <c r="C19" s="321"/>
      <c r="D19" s="321"/>
      <c r="E19" s="113"/>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row r="23" spans="1:19" s="38" customFormat="1" ht="13.5" customHeight="1" thickTop="1">
      <c r="A23" s="174" t="s">
        <v>88</v>
      </c>
      <c r="B23" s="328"/>
      <c r="C23" s="328"/>
      <c r="D23" s="328"/>
      <c r="E23" s="225"/>
      <c r="G23" s="3917" t="s">
        <v>89</v>
      </c>
      <c r="H23" s="3918"/>
    </row>
    <row r="24" spans="1:19" s="38" customFormat="1" ht="13.5" customHeight="1" thickBot="1">
      <c r="A24" s="226"/>
      <c r="B24" s="751"/>
      <c r="C24" s="751"/>
      <c r="D24" s="751"/>
      <c r="E24" s="228"/>
      <c r="G24" s="3919"/>
      <c r="H24" s="3920"/>
    </row>
    <row r="25" spans="1:19" s="38" customFormat="1" ht="13.5" customHeight="1" thickTop="1">
      <c r="A25" s="809" t="s">
        <v>467</v>
      </c>
      <c r="B25" s="169"/>
      <c r="C25" s="169"/>
      <c r="D25" s="279" t="s">
        <v>420</v>
      </c>
      <c r="E25" s="287" t="s">
        <v>468</v>
      </c>
      <c r="G25" s="3915" t="s">
        <v>418</v>
      </c>
      <c r="H25" s="3799" t="s">
        <v>469</v>
      </c>
    </row>
    <row r="26" spans="1:19" s="38" customFormat="1" ht="13.5" customHeight="1" thickBot="1">
      <c r="A26" s="809"/>
      <c r="B26" s="169"/>
      <c r="C26" s="169"/>
      <c r="D26" s="392" t="s">
        <v>211</v>
      </c>
      <c r="E26" s="393" t="s">
        <v>470</v>
      </c>
      <c r="G26" s="3916"/>
      <c r="H26" s="3914"/>
    </row>
    <row r="27" spans="1:19" s="38" customFormat="1" ht="13.5" customHeight="1" thickTop="1">
      <c r="A27" s="793" t="s">
        <v>471</v>
      </c>
      <c r="B27" s="348"/>
      <c r="C27" s="380"/>
      <c r="D27" s="460" t="s">
        <v>1454</v>
      </c>
      <c r="E27" s="425">
        <v>0.99099999999999999</v>
      </c>
      <c r="G27" s="460" t="s">
        <v>472</v>
      </c>
      <c r="H27" s="425">
        <v>1</v>
      </c>
    </row>
    <row r="28" spans="1:19" s="38" customFormat="1" ht="13.5" customHeight="1">
      <c r="A28" s="113" t="s">
        <v>471</v>
      </c>
      <c r="B28" s="26"/>
      <c r="C28" s="147"/>
      <c r="D28" s="460" t="s">
        <v>213</v>
      </c>
      <c r="E28" s="425">
        <v>0.98399999999999999</v>
      </c>
      <c r="G28" s="460" t="s">
        <v>473</v>
      </c>
      <c r="H28" s="425">
        <v>0.5</v>
      </c>
    </row>
    <row r="29" spans="1:19" s="38" customFormat="1" ht="13.5" customHeight="1">
      <c r="A29" s="113" t="s">
        <v>474</v>
      </c>
      <c r="B29" s="26"/>
      <c r="C29" s="147"/>
      <c r="D29" s="460" t="s">
        <v>1454</v>
      </c>
      <c r="E29" s="425">
        <v>0.97599999999999998</v>
      </c>
      <c r="G29" s="460" t="s">
        <v>475</v>
      </c>
      <c r="H29" s="425">
        <v>0.25</v>
      </c>
    </row>
    <row r="30" spans="1:19" s="38" customFormat="1" ht="13.5" customHeight="1" thickBot="1">
      <c r="A30" s="381" t="s">
        <v>474</v>
      </c>
      <c r="B30" s="13"/>
      <c r="C30" s="168"/>
      <c r="D30" s="461" t="s">
        <v>213</v>
      </c>
      <c r="E30" s="433">
        <v>0.996</v>
      </c>
      <c r="G30" s="461" t="s">
        <v>476</v>
      </c>
      <c r="H30" s="433">
        <v>0</v>
      </c>
    </row>
    <row r="31" spans="1:19" ht="13.5" customHeight="1" thickTop="1"/>
  </sheetData>
  <sheetProtection sheet="1" objects="1" scenarios="1"/>
  <mergeCells count="12">
    <mergeCell ref="H25:H26"/>
    <mergeCell ref="G25:G26"/>
    <mergeCell ref="G23:H24"/>
    <mergeCell ref="E6:S6"/>
    <mergeCell ref="A19:B19"/>
    <mergeCell ref="A20:B20"/>
    <mergeCell ref="A7:B7"/>
    <mergeCell ref="A8:B8"/>
    <mergeCell ref="A11:B11"/>
    <mergeCell ref="A12:B12"/>
    <mergeCell ref="A13:B13"/>
    <mergeCell ref="A10:B10"/>
  </mergeCells>
  <phoneticPr fontId="8" type="noConversion"/>
  <hyperlinks>
    <hyperlink ref="F7" r:id="rId1"/>
    <hyperlink ref="A10" location="Contents!A1" display="Contents"/>
    <hyperlink ref="A10:B10" location="Contents!A1" tooltip="Contents page" display="Contents"/>
  </hyperlinks>
  <pageMargins left="0.75" right="0.75" top="1" bottom="1" header="0.5" footer="0.5"/>
  <pageSetup paperSize="9" scale="51" fitToHeight="0" orientation="landscape" r:id="rId2"/>
  <headerFooter alignWithMargins="0"/>
  <drawing r:id="rId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tabColor indexed="17"/>
    <pageSetUpPr fitToPage="1"/>
  </sheetPr>
  <dimension ref="A1:S75"/>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1010</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778</v>
      </c>
      <c r="F7" s="1556" t="s">
        <v>1467</v>
      </c>
      <c r="G7" s="26"/>
      <c r="H7" s="26"/>
      <c r="I7" s="26"/>
      <c r="J7" s="26"/>
      <c r="K7" s="26"/>
      <c r="L7" s="26"/>
      <c r="M7" s="26"/>
      <c r="N7" s="26"/>
      <c r="O7" s="26"/>
      <c r="P7" s="26"/>
      <c r="Q7" s="26"/>
      <c r="R7" s="26"/>
      <c r="S7" s="147"/>
    </row>
    <row r="8" spans="1:19" s="38" customFormat="1" ht="13.5" customHeight="1">
      <c r="A8" s="3630">
        <f>Audit!C12</f>
        <v>43586</v>
      </c>
      <c r="B8" s="3631"/>
      <c r="C8" s="321"/>
      <c r="D8" s="321"/>
      <c r="E8" s="113" t="s">
        <v>694</v>
      </c>
      <c r="F8" s="315"/>
      <c r="G8" s="26"/>
      <c r="H8" s="26"/>
      <c r="I8" s="26"/>
      <c r="J8" s="26"/>
      <c r="K8" s="26"/>
      <c r="L8" s="26"/>
      <c r="M8" s="26"/>
      <c r="N8" s="26"/>
      <c r="O8" s="26"/>
      <c r="P8" s="26"/>
      <c r="Q8" s="26"/>
      <c r="R8" s="26"/>
      <c r="S8" s="147"/>
    </row>
    <row r="9" spans="1:19" s="38" customFormat="1" ht="13.5" customHeight="1" thickBot="1">
      <c r="A9" s="172" t="s">
        <v>14</v>
      </c>
      <c r="B9" s="173"/>
      <c r="D9" s="321"/>
      <c r="E9" s="113" t="s">
        <v>612</v>
      </c>
      <c r="F9" s="26"/>
      <c r="G9" s="26"/>
      <c r="H9" s="26"/>
      <c r="I9" s="26"/>
      <c r="J9" s="26"/>
      <c r="K9" s="315"/>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c r="G11" s="26"/>
      <c r="H11" s="26"/>
      <c r="I11" s="26"/>
      <c r="J11" s="26"/>
      <c r="K11" s="26"/>
      <c r="L11" s="26"/>
      <c r="M11" s="26"/>
      <c r="N11" s="26"/>
      <c r="O11" s="26"/>
      <c r="P11" s="26"/>
      <c r="Q11" s="26"/>
      <c r="R11" s="26"/>
      <c r="S11" s="147"/>
    </row>
    <row r="12" spans="1:19" s="38" customFormat="1" ht="13.5" customHeight="1">
      <c r="A12" s="2422"/>
      <c r="B12" s="2422"/>
      <c r="D12" s="321"/>
      <c r="E12" s="113"/>
      <c r="F12" s="26"/>
      <c r="G12" s="26"/>
      <c r="H12" s="26"/>
      <c r="I12" s="26"/>
      <c r="J12" s="26"/>
      <c r="K12" s="26"/>
      <c r="L12" s="26"/>
      <c r="M12" s="26"/>
      <c r="N12" s="26"/>
      <c r="O12" s="26"/>
      <c r="P12" s="26"/>
      <c r="Q12" s="26"/>
      <c r="R12" s="26"/>
      <c r="S12" s="147"/>
    </row>
    <row r="13" spans="1:19" s="38" customFormat="1" ht="13.5" customHeight="1">
      <c r="A13" s="3642" t="s">
        <v>252</v>
      </c>
      <c r="B13" s="3689"/>
      <c r="C13" s="321"/>
      <c r="D13" s="321"/>
      <c r="E13" s="114"/>
      <c r="F13" s="26"/>
      <c r="G13" s="26"/>
      <c r="H13" s="26"/>
      <c r="I13" s="26"/>
      <c r="J13" s="26"/>
      <c r="K13" s="26"/>
      <c r="L13" s="26"/>
      <c r="M13" s="26"/>
      <c r="N13" s="26"/>
      <c r="O13" s="26"/>
      <c r="P13" s="26"/>
      <c r="Q13" s="26"/>
      <c r="R13" s="26"/>
      <c r="S13" s="147"/>
    </row>
    <row r="14" spans="1:19" s="38" customFormat="1" ht="13.5" customHeight="1">
      <c r="A14" s="2445"/>
      <c r="B14" s="2446"/>
      <c r="C14" s="321"/>
      <c r="D14" s="321"/>
      <c r="E14" s="113"/>
      <c r="F14" s="26"/>
      <c r="G14" s="26"/>
      <c r="H14" s="26"/>
      <c r="I14" s="26"/>
      <c r="J14" s="26"/>
      <c r="K14" s="26"/>
      <c r="L14" s="26"/>
      <c r="M14" s="26"/>
      <c r="N14" s="26"/>
      <c r="O14" s="26"/>
      <c r="P14" s="26"/>
      <c r="Q14" s="26"/>
      <c r="R14" s="26"/>
      <c r="S14" s="147"/>
    </row>
    <row r="15" spans="1:19" s="38" customFormat="1" ht="13.5" customHeight="1">
      <c r="A15" s="2441"/>
      <c r="B15" s="2447"/>
      <c r="C15" s="321"/>
      <c r="D15" s="321"/>
      <c r="E15" s="113"/>
      <c r="F15" s="26"/>
      <c r="G15" s="26"/>
      <c r="H15" s="26"/>
      <c r="I15" s="26"/>
      <c r="J15" s="26"/>
      <c r="K15" s="26"/>
      <c r="L15" s="26"/>
      <c r="M15" s="26"/>
      <c r="N15" s="26"/>
      <c r="O15" s="26"/>
      <c r="P15" s="26"/>
      <c r="Q15" s="26"/>
      <c r="R15" s="26"/>
      <c r="S15" s="147"/>
    </row>
    <row r="16" spans="1:19" s="38" customFormat="1" ht="13.5" customHeight="1">
      <c r="A16" s="2448" t="s">
        <v>370</v>
      </c>
      <c r="B16" s="2449">
        <v>2000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3653"/>
      <c r="B19" s="3653"/>
      <c r="C19" s="321"/>
      <c r="D19" s="321"/>
      <c r="E19" s="113"/>
      <c r="F19" s="26"/>
      <c r="G19" s="26"/>
      <c r="H19" s="26"/>
      <c r="I19" s="26"/>
      <c r="J19" s="26"/>
      <c r="K19" s="26"/>
      <c r="L19" s="26"/>
      <c r="M19" s="26"/>
      <c r="N19" s="26"/>
      <c r="O19" s="26"/>
      <c r="P19" s="26"/>
      <c r="Q19" s="26"/>
      <c r="R19" s="26"/>
      <c r="S19" s="147"/>
    </row>
    <row r="20" spans="1:19" s="38" customFormat="1" ht="13.5" customHeight="1" thickBot="1">
      <c r="A20" s="2422"/>
      <c r="B20" s="2422"/>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c r="C22" s="13"/>
      <c r="G22" s="13"/>
      <c r="H22" s="13"/>
      <c r="I22" s="13"/>
      <c r="Q22" s="26"/>
    </row>
    <row r="23" spans="1:19" ht="13.5" customHeight="1" thickTop="1" thickBot="1">
      <c r="A23" s="1138" t="s">
        <v>689</v>
      </c>
      <c r="B23" s="760"/>
      <c r="C23" s="626"/>
      <c r="D23" s="760"/>
      <c r="E23" s="760"/>
      <c r="F23" s="760"/>
      <c r="G23" s="626"/>
      <c r="H23" s="626"/>
      <c r="I23" s="800"/>
      <c r="K23" s="2107"/>
      <c r="L23" s="2108"/>
      <c r="M23" s="2108"/>
      <c r="N23" s="2108"/>
      <c r="O23" s="2108"/>
      <c r="P23" s="2108"/>
      <c r="Q23" s="2108"/>
    </row>
    <row r="24" spans="1:19" ht="13.5" customHeight="1" thickTop="1">
      <c r="A24" s="1139" t="s">
        <v>623</v>
      </c>
      <c r="B24" s="1096" t="s">
        <v>420</v>
      </c>
      <c r="C24" s="900"/>
      <c r="D24" s="1140" t="s">
        <v>421</v>
      </c>
      <c r="E24" s="416"/>
      <c r="F24" s="417"/>
      <c r="G24" s="1078" t="s">
        <v>943</v>
      </c>
      <c r="H24" s="794"/>
      <c r="I24" s="825"/>
      <c r="K24" s="331"/>
      <c r="L24" s="331"/>
      <c r="M24" s="35"/>
      <c r="N24" s="35"/>
      <c r="O24" s="35"/>
      <c r="P24" s="331"/>
      <c r="Q24" s="609"/>
    </row>
    <row r="25" spans="1:19" ht="13.5" customHeight="1" thickBot="1">
      <c r="A25" s="1141" t="s">
        <v>629</v>
      </c>
      <c r="B25" s="1098" t="s">
        <v>211</v>
      </c>
      <c r="C25" s="1100"/>
      <c r="D25" s="1142" t="s">
        <v>782</v>
      </c>
      <c r="E25" s="1143" t="s">
        <v>783</v>
      </c>
      <c r="F25" s="1144" t="s">
        <v>784</v>
      </c>
      <c r="G25" s="828"/>
      <c r="H25" s="828"/>
      <c r="I25" s="636"/>
      <c r="K25" s="609"/>
      <c r="L25" s="609"/>
      <c r="M25" s="614"/>
      <c r="N25" s="614"/>
      <c r="O25" s="614"/>
      <c r="P25" s="609"/>
      <c r="Q25" s="609"/>
    </row>
    <row r="26" spans="1:19" ht="13.5" customHeight="1" thickTop="1">
      <c r="A26" s="623" t="s">
        <v>944</v>
      </c>
      <c r="B26" s="609" t="s">
        <v>936</v>
      </c>
      <c r="D26" s="1190">
        <v>7.1999999999999998E-3</v>
      </c>
      <c r="E26" s="1191">
        <v>0.124</v>
      </c>
      <c r="F26" s="1192">
        <v>0.86880000000000002</v>
      </c>
      <c r="G26" s="609" t="s">
        <v>292</v>
      </c>
      <c r="H26" s="609"/>
      <c r="I26" s="624"/>
      <c r="K26" s="2106"/>
      <c r="L26" s="609"/>
      <c r="M26" s="1180"/>
      <c r="N26" s="1180"/>
      <c r="O26" s="1180"/>
      <c r="P26" s="609"/>
      <c r="Q26" s="609"/>
    </row>
    <row r="27" spans="1:19" ht="13.5" customHeight="1">
      <c r="A27" s="623" t="s">
        <v>293</v>
      </c>
      <c r="B27" s="609" t="s">
        <v>213</v>
      </c>
      <c r="D27" s="1190">
        <v>2.4299999999999999E-2</v>
      </c>
      <c r="E27" s="1191">
        <v>0.1883</v>
      </c>
      <c r="F27" s="1192">
        <v>0.78739999999999999</v>
      </c>
      <c r="G27" s="609"/>
      <c r="H27" s="609"/>
      <c r="I27" s="624"/>
      <c r="K27" s="2106"/>
      <c r="L27" s="609"/>
      <c r="M27" s="1180"/>
      <c r="N27" s="1180"/>
      <c r="O27" s="1180"/>
      <c r="P27" s="609"/>
      <c r="Q27" s="609"/>
    </row>
    <row r="28" spans="1:19" ht="13.5" customHeight="1">
      <c r="A28" s="623" t="s">
        <v>215</v>
      </c>
      <c r="B28" s="609" t="s">
        <v>936</v>
      </c>
      <c r="D28" s="1190">
        <v>6.0000000000000001E-3</v>
      </c>
      <c r="E28" s="1191">
        <v>0.1162</v>
      </c>
      <c r="F28" s="1192">
        <v>0.87780000000000002</v>
      </c>
      <c r="G28" s="609" t="s">
        <v>216</v>
      </c>
      <c r="H28" s="609"/>
      <c r="I28" s="624"/>
      <c r="K28" s="2106"/>
      <c r="L28" s="609"/>
      <c r="M28" s="1180"/>
      <c r="N28" s="1180"/>
      <c r="O28" s="1180"/>
      <c r="P28" s="609"/>
      <c r="Q28" s="609"/>
    </row>
    <row r="29" spans="1:19" ht="13.5" customHeight="1">
      <c r="A29" s="623" t="s">
        <v>217</v>
      </c>
      <c r="B29" s="609" t="s">
        <v>213</v>
      </c>
      <c r="D29" s="1190">
        <v>2.7099999999999999E-2</v>
      </c>
      <c r="E29" s="1191">
        <v>0.2064</v>
      </c>
      <c r="F29" s="1192">
        <v>0.76649999999999996</v>
      </c>
      <c r="G29" s="609"/>
      <c r="H29" s="609"/>
      <c r="I29" s="624"/>
      <c r="K29" s="2106"/>
      <c r="L29" s="609"/>
      <c r="M29" s="1180"/>
      <c r="N29" s="1180"/>
      <c r="O29" s="1180"/>
      <c r="P29" s="609"/>
      <c r="Q29" s="609"/>
    </row>
    <row r="30" spans="1:19" ht="13.5" customHeight="1">
      <c r="A30" s="623" t="s">
        <v>218</v>
      </c>
      <c r="B30" s="609" t="s">
        <v>936</v>
      </c>
      <c r="D30" s="1190">
        <v>6.0000000000000001E-3</v>
      </c>
      <c r="E30" s="1191">
        <v>0.1162</v>
      </c>
      <c r="F30" s="1192">
        <v>0.87780000000000002</v>
      </c>
      <c r="G30" s="609" t="s">
        <v>219</v>
      </c>
      <c r="H30" s="609"/>
      <c r="I30" s="624"/>
      <c r="K30" s="2106"/>
      <c r="L30" s="609"/>
      <c r="M30" s="1180"/>
      <c r="N30" s="1180"/>
      <c r="O30" s="1180"/>
      <c r="P30" s="609"/>
      <c r="Q30" s="609"/>
    </row>
    <row r="31" spans="1:19" ht="13.5" customHeight="1">
      <c r="A31" s="623" t="s">
        <v>220</v>
      </c>
      <c r="B31" s="609" t="s">
        <v>213</v>
      </c>
      <c r="D31" s="1190">
        <v>2.7099999999999999E-2</v>
      </c>
      <c r="E31" s="1191">
        <v>0.2064</v>
      </c>
      <c r="F31" s="1192">
        <v>0.76649999999999996</v>
      </c>
      <c r="G31" s="609"/>
      <c r="H31" s="609"/>
      <c r="I31" s="624"/>
      <c r="K31" s="2106"/>
      <c r="L31" s="609"/>
      <c r="M31" s="1180"/>
      <c r="N31" s="1180"/>
      <c r="O31" s="1180"/>
      <c r="P31" s="609"/>
      <c r="Q31" s="609"/>
    </row>
    <row r="32" spans="1:19" ht="13.5" customHeight="1">
      <c r="A32" s="623" t="s">
        <v>221</v>
      </c>
      <c r="B32" s="609" t="s">
        <v>936</v>
      </c>
      <c r="D32" s="1190">
        <v>7.1999999999999998E-3</v>
      </c>
      <c r="E32" s="1191">
        <v>0.124</v>
      </c>
      <c r="F32" s="1192">
        <v>0.86880000000000002</v>
      </c>
      <c r="G32" s="609" t="s">
        <v>222</v>
      </c>
      <c r="H32" s="609"/>
      <c r="I32" s="624"/>
      <c r="K32" s="2106"/>
      <c r="L32" s="609"/>
      <c r="M32" s="1180"/>
      <c r="N32" s="1180"/>
      <c r="O32" s="1180"/>
      <c r="P32" s="609"/>
      <c r="Q32" s="609"/>
    </row>
    <row r="33" spans="1:17" ht="13.5" customHeight="1">
      <c r="A33" s="623" t="s">
        <v>223</v>
      </c>
      <c r="B33" s="609" t="s">
        <v>213</v>
      </c>
      <c r="D33" s="1190">
        <v>2.4299999999999999E-2</v>
      </c>
      <c r="E33" s="1191">
        <v>0.1883</v>
      </c>
      <c r="F33" s="1192">
        <v>0.78739999999999999</v>
      </c>
      <c r="G33" s="609"/>
      <c r="H33" s="609"/>
      <c r="I33" s="624"/>
      <c r="K33" s="609"/>
      <c r="L33" s="609"/>
      <c r="M33" s="609"/>
      <c r="N33" s="609"/>
      <c r="O33" s="609"/>
      <c r="P33" s="609"/>
      <c r="Q33" s="609"/>
    </row>
    <row r="34" spans="1:17" ht="13.5" customHeight="1">
      <c r="A34" s="623" t="s">
        <v>224</v>
      </c>
      <c r="B34" s="609" t="s">
        <v>936</v>
      </c>
      <c r="D34" s="1190">
        <v>6.0000000000000001E-3</v>
      </c>
      <c r="E34" s="1191">
        <v>0.1162</v>
      </c>
      <c r="F34" s="1192">
        <v>0.87780000000000002</v>
      </c>
      <c r="G34" s="609" t="s">
        <v>225</v>
      </c>
      <c r="H34" s="609"/>
      <c r="I34" s="624"/>
      <c r="K34" s="2107"/>
      <c r="L34" s="2108"/>
      <c r="M34" s="2108"/>
      <c r="N34" s="2108"/>
      <c r="O34" s="2108"/>
      <c r="P34" s="2108"/>
      <c r="Q34" s="2108"/>
    </row>
    <row r="35" spans="1:17" ht="13.5" customHeight="1">
      <c r="A35" s="623" t="s">
        <v>226</v>
      </c>
      <c r="B35" s="609" t="s">
        <v>213</v>
      </c>
      <c r="D35" s="1190">
        <v>2.7099999999999999E-2</v>
      </c>
      <c r="E35" s="1191">
        <v>0.2064</v>
      </c>
      <c r="F35" s="1192">
        <v>0.76649999999999996</v>
      </c>
      <c r="G35" s="609"/>
      <c r="H35" s="609"/>
      <c r="I35" s="624"/>
      <c r="K35" s="331"/>
      <c r="L35" s="331"/>
      <c r="M35" s="35"/>
      <c r="N35" s="35"/>
      <c r="O35" s="35"/>
      <c r="P35" s="331"/>
      <c r="Q35" s="609"/>
    </row>
    <row r="36" spans="1:17" ht="13.5" customHeight="1">
      <c r="A36" s="623" t="s">
        <v>227</v>
      </c>
      <c r="B36" s="609" t="s">
        <v>936</v>
      </c>
      <c r="D36" s="1190">
        <v>6.0000000000000001E-3</v>
      </c>
      <c r="E36" s="1191">
        <v>0.1162</v>
      </c>
      <c r="F36" s="1192">
        <v>0.87780000000000002</v>
      </c>
      <c r="G36" s="609" t="s">
        <v>228</v>
      </c>
      <c r="H36" s="609"/>
      <c r="I36" s="624"/>
      <c r="K36" s="609"/>
      <c r="L36" s="609"/>
      <c r="M36" s="614"/>
      <c r="N36" s="614"/>
      <c r="O36" s="614"/>
      <c r="P36" s="609"/>
      <c r="Q36" s="609"/>
    </row>
    <row r="37" spans="1:17" ht="13.5" customHeight="1">
      <c r="A37" s="623" t="s">
        <v>229</v>
      </c>
      <c r="B37" s="609" t="s">
        <v>213</v>
      </c>
      <c r="D37" s="1190">
        <v>2.7099999999999999E-2</v>
      </c>
      <c r="E37" s="1191">
        <v>0.2064</v>
      </c>
      <c r="F37" s="1192">
        <v>0.76649999999999996</v>
      </c>
      <c r="G37" s="609"/>
      <c r="H37" s="609"/>
      <c r="I37" s="624"/>
      <c r="K37" s="2106"/>
      <c r="L37" s="609"/>
      <c r="M37" s="1185"/>
      <c r="N37" s="1185"/>
      <c r="O37" s="1185"/>
      <c r="P37" s="609"/>
      <c r="Q37" s="609"/>
    </row>
    <row r="38" spans="1:17" ht="13.5" customHeight="1">
      <c r="A38" s="623" t="s">
        <v>230</v>
      </c>
      <c r="B38" s="609" t="s">
        <v>936</v>
      </c>
      <c r="D38" s="1190">
        <v>7.1999999999999998E-3</v>
      </c>
      <c r="E38" s="1191">
        <v>0.124</v>
      </c>
      <c r="F38" s="1192">
        <v>0.86880000000000002</v>
      </c>
      <c r="G38" s="609" t="s">
        <v>231</v>
      </c>
      <c r="H38" s="609"/>
      <c r="I38" s="624"/>
      <c r="K38" s="2106"/>
      <c r="L38" s="609"/>
      <c r="M38" s="1185"/>
      <c r="N38" s="1185"/>
      <c r="O38" s="1185"/>
      <c r="P38" s="609"/>
      <c r="Q38" s="609"/>
    </row>
    <row r="39" spans="1:17" ht="13.5" customHeight="1">
      <c r="A39" s="623" t="s">
        <v>232</v>
      </c>
      <c r="B39" s="609" t="s">
        <v>213</v>
      </c>
      <c r="D39" s="1190">
        <v>2.4299999999999999E-2</v>
      </c>
      <c r="E39" s="1191">
        <v>0.1883</v>
      </c>
      <c r="F39" s="1192">
        <v>0.78739999999999999</v>
      </c>
      <c r="G39" s="609"/>
      <c r="H39" s="609"/>
      <c r="I39" s="624"/>
      <c r="K39" s="2106"/>
      <c r="L39" s="609"/>
      <c r="M39" s="1185"/>
      <c r="N39" s="1185"/>
      <c r="O39" s="1185"/>
      <c r="P39" s="609"/>
      <c r="Q39" s="609"/>
    </row>
    <row r="40" spans="1:17" ht="13.5" customHeight="1">
      <c r="A40" s="623" t="s">
        <v>233</v>
      </c>
      <c r="B40" s="609" t="s">
        <v>936</v>
      </c>
      <c r="D40" s="1190">
        <v>6.0000000000000001E-3</v>
      </c>
      <c r="E40" s="1191">
        <v>0.1162</v>
      </c>
      <c r="F40" s="1192">
        <v>0.87780000000000002</v>
      </c>
      <c r="G40" s="609" t="s">
        <v>234</v>
      </c>
      <c r="H40" s="609"/>
      <c r="I40" s="624"/>
      <c r="K40" s="2106"/>
      <c r="L40" s="609"/>
      <c r="M40" s="1185"/>
      <c r="N40" s="1185"/>
      <c r="O40" s="1185"/>
      <c r="P40" s="609"/>
      <c r="Q40" s="609"/>
    </row>
    <row r="41" spans="1:17" ht="13.5" customHeight="1">
      <c r="A41" s="623" t="s">
        <v>235</v>
      </c>
      <c r="B41" s="609" t="s">
        <v>213</v>
      </c>
      <c r="D41" s="1190">
        <v>2.7099999999999999E-2</v>
      </c>
      <c r="E41" s="1191">
        <v>0.2064</v>
      </c>
      <c r="F41" s="1192">
        <v>0.76649999999999996</v>
      </c>
      <c r="G41" s="609"/>
      <c r="H41" s="609"/>
      <c r="I41" s="624"/>
      <c r="K41" s="2106"/>
      <c r="L41" s="609"/>
      <c r="M41" s="1185"/>
      <c r="N41" s="1185"/>
      <c r="O41" s="1185"/>
      <c r="P41" s="609"/>
      <c r="Q41" s="609"/>
    </row>
    <row r="42" spans="1:17" ht="13.5" customHeight="1">
      <c r="A42" s="623" t="s">
        <v>236</v>
      </c>
      <c r="B42" s="609" t="s">
        <v>936</v>
      </c>
      <c r="D42" s="1190">
        <v>6.0000000000000001E-3</v>
      </c>
      <c r="E42" s="1191">
        <v>0.1162</v>
      </c>
      <c r="F42" s="1192">
        <v>0.87780000000000002</v>
      </c>
      <c r="G42" s="609" t="s">
        <v>237</v>
      </c>
      <c r="H42" s="609"/>
      <c r="I42" s="624"/>
      <c r="K42" s="2106"/>
      <c r="L42" s="609"/>
      <c r="M42" s="1185"/>
      <c r="N42" s="1185"/>
      <c r="O42" s="1185"/>
      <c r="P42" s="609"/>
      <c r="Q42" s="609"/>
    </row>
    <row r="43" spans="1:17" ht="13.5" customHeight="1">
      <c r="A43" s="623" t="s">
        <v>238</v>
      </c>
      <c r="B43" s="609" t="s">
        <v>213</v>
      </c>
      <c r="D43" s="1190">
        <v>2.7099999999999999E-2</v>
      </c>
      <c r="E43" s="1191">
        <v>0.2064</v>
      </c>
      <c r="F43" s="1192">
        <v>0.76649999999999996</v>
      </c>
      <c r="G43" s="609"/>
      <c r="H43" s="609"/>
      <c r="I43" s="624"/>
      <c r="K43" s="2106"/>
      <c r="L43" s="609"/>
      <c r="M43" s="1185"/>
      <c r="N43" s="1185"/>
      <c r="O43" s="1185"/>
      <c r="P43" s="609"/>
      <c r="Q43" s="609"/>
    </row>
    <row r="44" spans="1:17" ht="13.5" customHeight="1">
      <c r="A44" s="623" t="s">
        <v>239</v>
      </c>
      <c r="B44" s="609" t="s">
        <v>936</v>
      </c>
      <c r="D44" s="1190">
        <v>6.0000000000000001E-3</v>
      </c>
      <c r="E44" s="1191">
        <v>0.1066</v>
      </c>
      <c r="F44" s="1192">
        <v>0.88739999999999997</v>
      </c>
      <c r="G44" s="609" t="s">
        <v>240</v>
      </c>
      <c r="H44" s="609"/>
      <c r="I44" s="624"/>
      <c r="Q44" s="609"/>
    </row>
    <row r="45" spans="1:17" ht="13.5" customHeight="1">
      <c r="A45" s="623" t="s">
        <v>241</v>
      </c>
      <c r="B45" s="609" t="s">
        <v>213</v>
      </c>
      <c r="D45" s="1190">
        <v>9.1999999999999998E-3</v>
      </c>
      <c r="E45" s="1191">
        <v>0.1171</v>
      </c>
      <c r="F45" s="1192">
        <v>0.87370000000000003</v>
      </c>
      <c r="G45" s="609"/>
      <c r="H45" s="609"/>
      <c r="I45" s="624"/>
    </row>
    <row r="46" spans="1:17" ht="13.5" customHeight="1">
      <c r="A46" s="623" t="s">
        <v>242</v>
      </c>
      <c r="B46" s="609" t="s">
        <v>936</v>
      </c>
      <c r="D46" s="1190">
        <v>6.0000000000000001E-3</v>
      </c>
      <c r="E46" s="1191">
        <v>0.1069</v>
      </c>
      <c r="F46" s="1192">
        <v>0.8871</v>
      </c>
      <c r="G46" s="609" t="s">
        <v>243</v>
      </c>
      <c r="H46" s="609"/>
      <c r="I46" s="624"/>
    </row>
    <row r="47" spans="1:17" ht="13.5" customHeight="1">
      <c r="A47" s="623" t="s">
        <v>244</v>
      </c>
      <c r="B47" s="609" t="s">
        <v>213</v>
      </c>
      <c r="D47" s="1190">
        <v>8.8000000000000005E-3</v>
      </c>
      <c r="E47" s="1191">
        <v>0.1153</v>
      </c>
      <c r="F47" s="1192">
        <v>0.87590000000000001</v>
      </c>
      <c r="G47" s="609"/>
      <c r="H47" s="609"/>
      <c r="I47" s="624"/>
    </row>
    <row r="48" spans="1:17" ht="13.5" customHeight="1">
      <c r="A48" s="623" t="s">
        <v>245</v>
      </c>
      <c r="B48" s="609" t="s">
        <v>936</v>
      </c>
      <c r="D48" s="1190">
        <v>6.0000000000000001E-3</v>
      </c>
      <c r="E48" s="1191">
        <v>0.1069</v>
      </c>
      <c r="F48" s="1192">
        <v>0.8871</v>
      </c>
      <c r="G48" s="609" t="s">
        <v>246</v>
      </c>
      <c r="H48" s="609"/>
      <c r="I48" s="624"/>
    </row>
    <row r="49" spans="1:9" ht="13.5" customHeight="1">
      <c r="A49" s="623" t="s">
        <v>247</v>
      </c>
      <c r="B49" s="609" t="s">
        <v>213</v>
      </c>
      <c r="D49" s="1190">
        <v>8.8000000000000005E-3</v>
      </c>
      <c r="E49" s="1191">
        <v>0.1153</v>
      </c>
      <c r="F49" s="1192">
        <v>0.87590000000000001</v>
      </c>
      <c r="G49" s="609"/>
      <c r="H49" s="609"/>
      <c r="I49" s="624"/>
    </row>
    <row r="50" spans="1:9" ht="13.5" customHeight="1">
      <c r="A50" s="623" t="s">
        <v>1462</v>
      </c>
      <c r="B50" s="609" t="s">
        <v>936</v>
      </c>
      <c r="D50" s="1190">
        <v>2.7000000000000001E-3</v>
      </c>
      <c r="E50" s="1191">
        <v>7.46E-2</v>
      </c>
      <c r="F50" s="1192">
        <v>0.92269999999999996</v>
      </c>
      <c r="G50" s="609" t="s">
        <v>1463</v>
      </c>
      <c r="H50" s="609"/>
      <c r="I50" s="624"/>
    </row>
    <row r="51" spans="1:9" ht="13.5" customHeight="1">
      <c r="A51" s="623" t="s">
        <v>1464</v>
      </c>
      <c r="B51" s="609" t="s">
        <v>213</v>
      </c>
      <c r="D51" s="1190">
        <v>5.5999999999999999E-3</v>
      </c>
      <c r="E51" s="1191">
        <v>9.1200000000000003E-2</v>
      </c>
      <c r="F51" s="1192">
        <v>0.9032</v>
      </c>
      <c r="G51" s="609"/>
      <c r="H51" s="609"/>
      <c r="I51" s="624"/>
    </row>
    <row r="52" spans="1:9" ht="13.5" customHeight="1">
      <c r="A52" s="623" t="s">
        <v>1465</v>
      </c>
      <c r="B52" s="609" t="s">
        <v>936</v>
      </c>
      <c r="D52" s="1190">
        <v>2.7000000000000001E-3</v>
      </c>
      <c r="E52" s="1191">
        <v>7.46E-2</v>
      </c>
      <c r="F52" s="1192">
        <v>0.92269999999999996</v>
      </c>
      <c r="G52" s="609" t="s">
        <v>983</v>
      </c>
      <c r="H52" s="609"/>
      <c r="I52" s="624"/>
    </row>
    <row r="53" spans="1:9" ht="13.5" customHeight="1">
      <c r="A53" s="623" t="s">
        <v>984</v>
      </c>
      <c r="B53" s="609" t="s">
        <v>213</v>
      </c>
      <c r="D53" s="1190">
        <v>5.5999999999999999E-3</v>
      </c>
      <c r="E53" s="1191">
        <v>9.1200000000000003E-2</v>
      </c>
      <c r="F53" s="1192">
        <v>0.9032</v>
      </c>
      <c r="G53" s="609"/>
      <c r="H53" s="609"/>
      <c r="I53" s="624"/>
    </row>
    <row r="54" spans="1:9" ht="13.5" customHeight="1">
      <c r="A54" s="623" t="s">
        <v>985</v>
      </c>
      <c r="B54" s="609" t="s">
        <v>936</v>
      </c>
      <c r="D54" s="1190">
        <v>2.7000000000000001E-3</v>
      </c>
      <c r="E54" s="1191">
        <v>7.46E-2</v>
      </c>
      <c r="F54" s="1192">
        <v>0.92269999999999996</v>
      </c>
      <c r="G54" s="609" t="s">
        <v>986</v>
      </c>
      <c r="H54" s="609"/>
      <c r="I54" s="624"/>
    </row>
    <row r="55" spans="1:9" ht="13.5" customHeight="1">
      <c r="A55" s="623" t="s">
        <v>987</v>
      </c>
      <c r="B55" s="609" t="s">
        <v>213</v>
      </c>
      <c r="D55" s="1190">
        <v>5.5999999999999999E-3</v>
      </c>
      <c r="E55" s="1191">
        <v>9.1200000000000003E-2</v>
      </c>
      <c r="F55" s="1192">
        <v>0.9032</v>
      </c>
      <c r="G55" s="609"/>
      <c r="H55" s="609"/>
      <c r="I55" s="624"/>
    </row>
    <row r="56" spans="1:9" ht="13.5" customHeight="1">
      <c r="A56" s="623" t="s">
        <v>988</v>
      </c>
      <c r="B56" s="609" t="s">
        <v>936</v>
      </c>
      <c r="D56" s="1190">
        <v>2.7000000000000001E-3</v>
      </c>
      <c r="E56" s="1191">
        <v>7.46E-2</v>
      </c>
      <c r="F56" s="1192">
        <v>0.92269999999999996</v>
      </c>
      <c r="G56" s="609" t="s">
        <v>989</v>
      </c>
      <c r="H56" s="609"/>
      <c r="I56" s="624"/>
    </row>
    <row r="57" spans="1:9" ht="13.5" customHeight="1">
      <c r="A57" s="623" t="s">
        <v>990</v>
      </c>
      <c r="B57" s="609" t="s">
        <v>213</v>
      </c>
      <c r="D57" s="1190">
        <v>5.5999999999999999E-3</v>
      </c>
      <c r="E57" s="1191">
        <v>9.1200000000000003E-2</v>
      </c>
      <c r="F57" s="1192">
        <v>0.9032</v>
      </c>
      <c r="G57" s="609"/>
      <c r="H57" s="609"/>
      <c r="I57" s="624"/>
    </row>
    <row r="58" spans="1:9" ht="13.5" customHeight="1">
      <c r="A58" s="623" t="s">
        <v>991</v>
      </c>
      <c r="B58" s="609" t="s">
        <v>936</v>
      </c>
      <c r="D58" s="1190">
        <v>2.7000000000000001E-3</v>
      </c>
      <c r="E58" s="1191">
        <v>7.46E-2</v>
      </c>
      <c r="F58" s="1192">
        <v>0.92269999999999996</v>
      </c>
      <c r="G58" s="609" t="s">
        <v>486</v>
      </c>
      <c r="H58" s="609"/>
      <c r="I58" s="624"/>
    </row>
    <row r="59" spans="1:9" ht="13.5" customHeight="1">
      <c r="A59" s="623" t="s">
        <v>487</v>
      </c>
      <c r="B59" s="609" t="s">
        <v>213</v>
      </c>
      <c r="D59" s="1190">
        <v>5.5999999999999999E-3</v>
      </c>
      <c r="E59" s="1191">
        <v>9.1200000000000003E-2</v>
      </c>
      <c r="F59" s="1192">
        <v>0.9032</v>
      </c>
      <c r="G59" s="609"/>
      <c r="H59" s="609"/>
      <c r="I59" s="624"/>
    </row>
    <row r="60" spans="1:9" ht="13.5" customHeight="1">
      <c r="A60" s="623" t="s">
        <v>488</v>
      </c>
      <c r="B60" s="609" t="s">
        <v>936</v>
      </c>
      <c r="D60" s="1190">
        <v>2.7000000000000001E-3</v>
      </c>
      <c r="E60" s="1191">
        <v>7.46E-2</v>
      </c>
      <c r="F60" s="1192">
        <v>0.92269999999999996</v>
      </c>
      <c r="G60" s="609" t="s">
        <v>489</v>
      </c>
      <c r="H60" s="609"/>
      <c r="I60" s="624"/>
    </row>
    <row r="61" spans="1:9" ht="13.5" customHeight="1">
      <c r="A61" s="623" t="s">
        <v>490</v>
      </c>
      <c r="B61" s="609" t="s">
        <v>213</v>
      </c>
      <c r="D61" s="1190">
        <v>5.5999999999999999E-3</v>
      </c>
      <c r="E61" s="1191">
        <v>9.1200000000000003E-2</v>
      </c>
      <c r="F61" s="1192">
        <v>0.9032</v>
      </c>
      <c r="G61" s="609"/>
      <c r="H61" s="609"/>
      <c r="I61" s="624"/>
    </row>
    <row r="62" spans="1:9" ht="13.5" customHeight="1">
      <c r="A62" s="623" t="s">
        <v>491</v>
      </c>
      <c r="B62" s="609" t="s">
        <v>936</v>
      </c>
      <c r="D62" s="1190">
        <v>2.8E-3</v>
      </c>
      <c r="E62" s="1191">
        <v>8.6800000000000002E-2</v>
      </c>
      <c r="F62" s="1192">
        <v>0.91039999999999999</v>
      </c>
      <c r="G62" s="609" t="s">
        <v>193</v>
      </c>
      <c r="H62" s="609"/>
      <c r="I62" s="624"/>
    </row>
    <row r="63" spans="1:9" ht="13.5" customHeight="1">
      <c r="A63" s="623" t="s">
        <v>194</v>
      </c>
      <c r="B63" s="609" t="s">
        <v>213</v>
      </c>
      <c r="D63" s="1190">
        <v>5.5999999999999999E-3</v>
      </c>
      <c r="E63" s="1191">
        <v>9.1200000000000003E-2</v>
      </c>
      <c r="F63" s="1192">
        <v>0.9032</v>
      </c>
      <c r="G63" s="609"/>
      <c r="H63" s="609"/>
      <c r="I63" s="624"/>
    </row>
    <row r="64" spans="1:9" ht="13.5" customHeight="1">
      <c r="A64" s="623" t="s">
        <v>195</v>
      </c>
      <c r="B64" s="609" t="s">
        <v>936</v>
      </c>
      <c r="D64" s="1190">
        <v>2.8E-3</v>
      </c>
      <c r="E64" s="1191">
        <v>8.6800000000000002E-2</v>
      </c>
      <c r="F64" s="1192">
        <v>0.91039999999999999</v>
      </c>
      <c r="G64" s="609" t="s">
        <v>196</v>
      </c>
      <c r="H64" s="609"/>
      <c r="I64" s="624"/>
    </row>
    <row r="65" spans="1:9" ht="13.5" customHeight="1">
      <c r="A65" s="623" t="s">
        <v>197</v>
      </c>
      <c r="B65" s="609" t="s">
        <v>213</v>
      </c>
      <c r="D65" s="1190">
        <v>5.5999999999999999E-3</v>
      </c>
      <c r="E65" s="1191">
        <v>9.1200000000000003E-2</v>
      </c>
      <c r="F65" s="1192">
        <v>0.9032</v>
      </c>
      <c r="G65" s="609"/>
      <c r="H65" s="609"/>
      <c r="I65" s="624"/>
    </row>
    <row r="66" spans="1:9" ht="13.5" customHeight="1">
      <c r="A66" s="623" t="s">
        <v>198</v>
      </c>
      <c r="B66" s="609" t="s">
        <v>936</v>
      </c>
      <c r="D66" s="1190">
        <v>2.8E-3</v>
      </c>
      <c r="E66" s="1191">
        <v>8.6800000000000002E-2</v>
      </c>
      <c r="F66" s="1192">
        <v>0.91039999999999999</v>
      </c>
      <c r="G66" s="609" t="s">
        <v>199</v>
      </c>
      <c r="H66" s="609"/>
      <c r="I66" s="624"/>
    </row>
    <row r="67" spans="1:9" ht="13.5" customHeight="1">
      <c r="A67" s="623" t="s">
        <v>200</v>
      </c>
      <c r="B67" s="609" t="s">
        <v>213</v>
      </c>
      <c r="D67" s="1190">
        <v>5.5999999999999999E-3</v>
      </c>
      <c r="E67" s="1191">
        <v>9.1200000000000003E-2</v>
      </c>
      <c r="F67" s="1192">
        <v>0.9032</v>
      </c>
      <c r="G67" s="609"/>
      <c r="H67" s="609"/>
      <c r="I67" s="624"/>
    </row>
    <row r="68" spans="1:9" ht="13.5" customHeight="1">
      <c r="A68" s="623" t="s">
        <v>201</v>
      </c>
      <c r="B68" s="609" t="s">
        <v>936</v>
      </c>
      <c r="D68" s="1190">
        <v>3.0999999999999999E-3</v>
      </c>
      <c r="E68" s="1191">
        <v>6.4299999999999996E-2</v>
      </c>
      <c r="F68" s="1192">
        <v>0.93259999999999998</v>
      </c>
      <c r="G68" s="609" t="s">
        <v>202</v>
      </c>
      <c r="H68" s="609"/>
      <c r="I68" s="624"/>
    </row>
    <row r="69" spans="1:9" ht="13.5" customHeight="1">
      <c r="A69" s="623" t="s">
        <v>203</v>
      </c>
      <c r="B69" s="609" t="s">
        <v>213</v>
      </c>
      <c r="D69" s="1190">
        <v>3.8999999999999998E-3</v>
      </c>
      <c r="E69" s="1191">
        <v>6.2399999999999997E-2</v>
      </c>
      <c r="F69" s="1192">
        <v>0.93369999999999997</v>
      </c>
      <c r="G69" s="609"/>
      <c r="H69" s="609"/>
      <c r="I69" s="624"/>
    </row>
    <row r="70" spans="1:9" ht="13.5" customHeight="1">
      <c r="A70" s="623" t="s">
        <v>204</v>
      </c>
      <c r="B70" s="609" t="s">
        <v>936</v>
      </c>
      <c r="D70" s="1190">
        <v>3.0999999999999999E-3</v>
      </c>
      <c r="E70" s="1191">
        <v>6.4299999999999996E-2</v>
      </c>
      <c r="F70" s="1192">
        <v>0.93259999999999998</v>
      </c>
      <c r="G70" s="609" t="s">
        <v>205</v>
      </c>
      <c r="H70" s="609"/>
      <c r="I70" s="624"/>
    </row>
    <row r="71" spans="1:9" ht="13.5" customHeight="1">
      <c r="A71" s="623" t="s">
        <v>206</v>
      </c>
      <c r="B71" s="609" t="s">
        <v>213</v>
      </c>
      <c r="D71" s="1190">
        <v>3.8999999999999998E-3</v>
      </c>
      <c r="E71" s="1191">
        <v>6.2399999999999997E-2</v>
      </c>
      <c r="F71" s="1192">
        <v>0.93369999999999997</v>
      </c>
      <c r="G71" s="609"/>
      <c r="H71" s="609"/>
      <c r="I71" s="624"/>
    </row>
    <row r="72" spans="1:9" ht="13.5" customHeight="1">
      <c r="A72" s="623" t="s">
        <v>207</v>
      </c>
      <c r="B72" s="609" t="s">
        <v>936</v>
      </c>
      <c r="D72" s="1190">
        <v>3.0999999999999999E-3</v>
      </c>
      <c r="E72" s="1191">
        <v>6.4299999999999996E-2</v>
      </c>
      <c r="F72" s="1192">
        <v>0.93259999999999998</v>
      </c>
      <c r="G72" s="609" t="s">
        <v>208</v>
      </c>
      <c r="H72" s="609"/>
      <c r="I72" s="624"/>
    </row>
    <row r="73" spans="1:9" ht="13.5" customHeight="1" thickBot="1">
      <c r="A73" s="619" t="s">
        <v>209</v>
      </c>
      <c r="B73" s="627" t="s">
        <v>213</v>
      </c>
      <c r="C73" s="620"/>
      <c r="D73" s="1193">
        <v>3.8999999999999998E-3</v>
      </c>
      <c r="E73" s="1194">
        <v>6.2399999999999997E-2</v>
      </c>
      <c r="F73" s="1195">
        <v>0.93369999999999997</v>
      </c>
      <c r="G73" s="627"/>
      <c r="H73" s="627"/>
      <c r="I73" s="620"/>
    </row>
    <row r="74" spans="1:9" ht="13.5" customHeight="1" thickTop="1" thickBot="1"/>
    <row r="75" spans="1:9" ht="13.5" customHeight="1" thickBot="1">
      <c r="B75" s="31"/>
      <c r="D75" s="2431" t="s">
        <v>1489</v>
      </c>
    </row>
  </sheetData>
  <sheetProtection sheet="1" objects="1" scenarios="1"/>
  <mergeCells count="8">
    <mergeCell ref="A11:B11"/>
    <mergeCell ref="A13:B13"/>
    <mergeCell ref="A18:B18"/>
    <mergeCell ref="A19:B19"/>
    <mergeCell ref="E6:S6"/>
    <mergeCell ref="A7:B7"/>
    <mergeCell ref="A8:B8"/>
    <mergeCell ref="A10:B10"/>
  </mergeCells>
  <phoneticPr fontId="8" type="noConversion"/>
  <hyperlinks>
    <hyperlink ref="F7" r:id="rId1" display="Table 3/2, 3/3 COBA Manual"/>
    <hyperlink ref="A10" location="Contents!A1" display="Contents"/>
    <hyperlink ref="A10:B10" location="Contents!A1" tooltip="Contents page" display="Contents"/>
    <hyperlink ref="D75" location="'COBALT 3'!D26" tooltip="Top of this page" display="Top"/>
  </hyperlinks>
  <pageMargins left="0.75" right="0.75" top="1" bottom="1" header="0.5" footer="0.5"/>
  <pageSetup paperSize="9" scale="54" fitToHeight="0" orientation="landscape" r:id="rId2"/>
  <headerFooter alignWithMargins="0"/>
  <drawing r:id="rId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indexed="17"/>
    <pageSetUpPr fitToPage="1"/>
  </sheetPr>
  <dimension ref="A1:S123"/>
  <sheetViews>
    <sheetView showGridLines="0" zoomScale="85" zoomScaleNormal="85" workbookViewId="0">
      <pane xSplit="3" ySplit="25" topLeftCell="D26" activePane="bottomRight" state="frozen"/>
      <selection activeCell="A9" sqref="A9"/>
      <selection pane="topRight" activeCell="A9" sqref="A9"/>
      <selection pane="bottomLeft" activeCell="A9" sqref="A9"/>
      <selection pane="bottomRight" activeCell="A9" sqref="A9"/>
    </sheetView>
  </sheetViews>
  <sheetFormatPr defaultColWidth="12.88671875" defaultRowHeight="13.5" customHeight="1"/>
  <cols>
    <col min="1" max="16384" width="12.88671875" style="599"/>
  </cols>
  <sheetData>
    <row r="1" spans="1:19" s="38" customFormat="1" ht="54.9" customHeight="1">
      <c r="A1" s="28"/>
    </row>
    <row r="2" spans="1:19" s="300" customFormat="1" ht="5.0999999999999996" customHeight="1">
      <c r="D2" s="83"/>
    </row>
    <row r="3" spans="1:19" s="300" customFormat="1" ht="20.100000000000001" customHeight="1">
      <c r="A3" s="426" t="s">
        <v>2343</v>
      </c>
      <c r="C3" s="46"/>
      <c r="D3" s="83"/>
    </row>
    <row r="4" spans="1:19" s="26" customFormat="1" ht="20.100000000000001" customHeight="1" thickBot="1">
      <c r="A4" s="109" t="s">
        <v>690</v>
      </c>
      <c r="B4" s="446"/>
      <c r="C4" s="446"/>
      <c r="D4" s="446"/>
      <c r="E4" s="446"/>
      <c r="F4" s="446"/>
      <c r="G4" s="446"/>
      <c r="H4" s="446"/>
      <c r="I4" s="446"/>
      <c r="J4" s="446"/>
      <c r="K4" s="446"/>
      <c r="L4" s="446"/>
      <c r="M4" s="446"/>
      <c r="N4" s="446"/>
      <c r="O4" s="446"/>
      <c r="P4" s="446"/>
      <c r="Q4" s="446"/>
      <c r="R4" s="446"/>
      <c r="S4" s="446"/>
    </row>
    <row r="5" spans="1:19" s="38" customFormat="1" ht="9.9" customHeight="1" thickTop="1" thickBot="1"/>
    <row r="6" spans="1:19" s="38" customFormat="1" ht="13.5" customHeight="1" thickTop="1">
      <c r="A6" s="169" t="s">
        <v>10</v>
      </c>
      <c r="B6" s="169"/>
      <c r="E6" s="3626" t="s">
        <v>255</v>
      </c>
      <c r="F6" s="3649"/>
      <c r="G6" s="3649"/>
      <c r="H6" s="3649"/>
      <c r="I6" s="3649"/>
      <c r="J6" s="3649"/>
      <c r="K6" s="3649"/>
      <c r="L6" s="3649"/>
      <c r="M6" s="3649"/>
      <c r="N6" s="3649"/>
      <c r="O6" s="3649"/>
      <c r="P6" s="3649"/>
      <c r="Q6" s="3649"/>
      <c r="R6" s="3649"/>
      <c r="S6" s="3650"/>
    </row>
    <row r="7" spans="1:19" s="38" customFormat="1" ht="13.5" customHeight="1">
      <c r="A7" s="3636" t="str">
        <f>Audit!A12</f>
        <v>May 2019 v1.12</v>
      </c>
      <c r="B7" s="3637"/>
      <c r="E7" s="180" t="s">
        <v>778</v>
      </c>
      <c r="F7" s="1556" t="s">
        <v>311</v>
      </c>
      <c r="G7" s="26"/>
      <c r="H7" s="26"/>
      <c r="I7" s="26"/>
      <c r="J7" s="26"/>
      <c r="K7" s="26"/>
      <c r="L7" s="26"/>
      <c r="M7" s="26"/>
      <c r="N7" s="26"/>
      <c r="O7" s="26"/>
      <c r="P7" s="26"/>
      <c r="Q7" s="26"/>
      <c r="R7" s="26"/>
      <c r="S7" s="147"/>
    </row>
    <row r="8" spans="1:19" s="38" customFormat="1" ht="13.5" customHeight="1">
      <c r="A8" s="3630">
        <f>Audit!C12</f>
        <v>43586</v>
      </c>
      <c r="B8" s="3631"/>
      <c r="C8" s="321"/>
      <c r="D8" s="321"/>
      <c r="E8" s="113"/>
      <c r="F8" s="315"/>
      <c r="G8" s="26"/>
      <c r="H8" s="26"/>
      <c r="I8" s="26"/>
      <c r="J8" s="26"/>
      <c r="K8" s="26"/>
      <c r="L8" s="26"/>
      <c r="M8" s="26"/>
      <c r="N8" s="26"/>
      <c r="O8" s="26"/>
      <c r="P8" s="26"/>
      <c r="Q8" s="26"/>
      <c r="R8" s="26"/>
      <c r="S8" s="147"/>
    </row>
    <row r="9" spans="1:19" s="38" customFormat="1" ht="13.5" customHeight="1" thickBot="1">
      <c r="A9" s="172" t="s">
        <v>14</v>
      </c>
      <c r="B9" s="173"/>
      <c r="D9" s="321"/>
      <c r="E9" s="113" t="s">
        <v>1208</v>
      </c>
      <c r="F9" s="26"/>
      <c r="G9" s="26"/>
      <c r="H9" s="26"/>
      <c r="I9" s="26"/>
      <c r="J9" s="26"/>
      <c r="K9" s="315"/>
      <c r="L9" s="26"/>
      <c r="M9" s="26"/>
      <c r="N9" s="26"/>
      <c r="O9" s="26"/>
      <c r="P9" s="26"/>
      <c r="Q9" s="26"/>
      <c r="R9" s="26"/>
      <c r="S9" s="147"/>
    </row>
    <row r="10" spans="1:19" s="38" customFormat="1" ht="13.5" customHeight="1" thickBot="1">
      <c r="A10" s="3570" t="s">
        <v>1306</v>
      </c>
      <c r="B10" s="3610"/>
      <c r="D10" s="321"/>
      <c r="E10" s="113"/>
      <c r="F10" s="26"/>
      <c r="G10" s="26"/>
      <c r="H10" s="26"/>
      <c r="I10" s="26"/>
      <c r="J10" s="26"/>
      <c r="K10" s="26"/>
      <c r="L10" s="26"/>
      <c r="M10" s="26"/>
      <c r="N10" s="26"/>
      <c r="O10" s="26"/>
      <c r="P10" s="26"/>
      <c r="Q10" s="26"/>
      <c r="R10" s="26"/>
      <c r="S10" s="147"/>
    </row>
    <row r="11" spans="1:19" s="38" customFormat="1" ht="13.5" customHeight="1" thickBot="1">
      <c r="A11" s="3822" t="s">
        <v>544</v>
      </c>
      <c r="B11" s="3902"/>
      <c r="D11" s="321"/>
      <c r="E11" s="113"/>
      <c r="F11" s="26"/>
      <c r="G11" s="26"/>
      <c r="H11" s="26"/>
      <c r="I11" s="26"/>
      <c r="J11" s="26"/>
      <c r="K11" s="26"/>
      <c r="L11" s="26"/>
      <c r="M11" s="26"/>
      <c r="N11" s="26"/>
      <c r="O11" s="26"/>
      <c r="P11" s="26"/>
      <c r="Q11" s="26"/>
      <c r="R11" s="26"/>
      <c r="S11" s="147"/>
    </row>
    <row r="12" spans="1:19" s="38" customFormat="1" ht="13.5" customHeight="1">
      <c r="A12" s="3901"/>
      <c r="B12" s="3901"/>
      <c r="D12" s="321"/>
      <c r="E12" s="113"/>
      <c r="F12" s="53"/>
      <c r="G12" s="53"/>
      <c r="H12" s="53"/>
      <c r="I12" s="53"/>
      <c r="J12" s="53"/>
      <c r="K12" s="53"/>
      <c r="L12" s="53"/>
      <c r="M12" s="53"/>
      <c r="N12" s="53"/>
      <c r="O12" s="53"/>
      <c r="P12" s="53"/>
      <c r="Q12" s="53"/>
      <c r="R12" s="53"/>
      <c r="S12" s="379"/>
    </row>
    <row r="13" spans="1:19" s="38" customFormat="1" ht="13.5" customHeight="1">
      <c r="A13" s="3642" t="s">
        <v>252</v>
      </c>
      <c r="B13" s="3689"/>
      <c r="D13" s="321"/>
      <c r="E13" s="113"/>
      <c r="F13" s="26"/>
      <c r="G13" s="26"/>
      <c r="H13" s="26"/>
      <c r="I13" s="26"/>
      <c r="J13" s="26"/>
      <c r="K13" s="26"/>
      <c r="L13" s="26"/>
      <c r="M13" s="26"/>
      <c r="N13" s="26"/>
      <c r="O13" s="26"/>
      <c r="P13" s="26"/>
      <c r="Q13" s="26"/>
      <c r="R13" s="26"/>
      <c r="S13" s="147"/>
    </row>
    <row r="14" spans="1:19" s="38" customFormat="1" ht="13.5" customHeight="1">
      <c r="A14" s="2440"/>
      <c r="B14" s="2440"/>
      <c r="C14" s="321"/>
      <c r="D14" s="321"/>
      <c r="E14" s="114"/>
      <c r="F14" s="26"/>
      <c r="G14" s="26"/>
      <c r="H14" s="26"/>
      <c r="I14" s="26"/>
      <c r="J14" s="26"/>
      <c r="K14" s="26"/>
      <c r="L14" s="26"/>
      <c r="M14" s="26"/>
      <c r="N14" s="26"/>
      <c r="O14" s="26"/>
      <c r="P14" s="26"/>
      <c r="Q14" s="26"/>
      <c r="R14" s="26"/>
      <c r="S14" s="147"/>
    </row>
    <row r="15" spans="1:19" s="38" customFormat="1" ht="13.5" customHeight="1">
      <c r="A15" s="2441"/>
      <c r="B15" s="2442"/>
      <c r="C15" s="321"/>
      <c r="D15" s="321"/>
      <c r="E15" s="113"/>
      <c r="F15" s="26"/>
      <c r="G15" s="26"/>
      <c r="H15" s="26"/>
      <c r="I15" s="26"/>
      <c r="J15" s="26"/>
      <c r="K15" s="26"/>
      <c r="L15" s="26"/>
      <c r="M15" s="26"/>
      <c r="N15" s="26"/>
      <c r="O15" s="26"/>
      <c r="P15" s="26"/>
      <c r="Q15" s="26"/>
      <c r="R15" s="26"/>
      <c r="S15" s="147"/>
    </row>
    <row r="16" spans="1:19" s="38" customFormat="1" ht="13.5" customHeight="1">
      <c r="A16" s="2443" t="s">
        <v>370</v>
      </c>
      <c r="B16" s="2444">
        <v>2000</v>
      </c>
      <c r="C16" s="321"/>
      <c r="D16" s="321"/>
      <c r="E16" s="113"/>
      <c r="F16" s="26"/>
      <c r="G16" s="26"/>
      <c r="H16" s="26"/>
      <c r="I16" s="26"/>
      <c r="J16" s="26"/>
      <c r="K16" s="26"/>
      <c r="L16" s="26"/>
      <c r="M16" s="26"/>
      <c r="N16" s="26"/>
      <c r="O16" s="26"/>
      <c r="P16" s="26"/>
      <c r="Q16" s="26"/>
      <c r="R16" s="26"/>
      <c r="S16" s="147"/>
    </row>
    <row r="17" spans="1:19" s="38" customFormat="1" ht="13.5" customHeight="1">
      <c r="A17" s="169" t="s">
        <v>253</v>
      </c>
      <c r="B17" s="170"/>
      <c r="C17" s="321"/>
      <c r="D17" s="321"/>
      <c r="E17" s="207"/>
      <c r="F17" s="26"/>
      <c r="G17" s="26"/>
      <c r="H17" s="26"/>
      <c r="I17" s="26"/>
      <c r="J17" s="26"/>
      <c r="K17" s="26"/>
      <c r="L17" s="26"/>
      <c r="M17" s="26"/>
      <c r="N17" s="26"/>
      <c r="O17" s="26"/>
      <c r="P17" s="26"/>
      <c r="Q17" s="26"/>
      <c r="R17" s="26"/>
      <c r="S17" s="147"/>
    </row>
    <row r="18" spans="1:19" s="38" customFormat="1" ht="13.5" customHeight="1">
      <c r="A18" s="3653"/>
      <c r="B18" s="3653"/>
      <c r="C18" s="321"/>
      <c r="D18" s="321"/>
      <c r="E18" s="113"/>
      <c r="F18" s="26"/>
      <c r="G18" s="26"/>
      <c r="H18" s="26"/>
      <c r="I18" s="26"/>
      <c r="J18" s="26"/>
      <c r="K18" s="26"/>
      <c r="L18" s="26"/>
      <c r="M18" s="26"/>
      <c r="N18" s="26"/>
      <c r="O18" s="26"/>
      <c r="P18" s="26"/>
      <c r="Q18" s="26"/>
      <c r="R18" s="26"/>
      <c r="S18" s="147"/>
    </row>
    <row r="19" spans="1:19" s="38" customFormat="1" ht="13.5" customHeight="1">
      <c r="A19" s="2422"/>
      <c r="B19" s="2422"/>
      <c r="C19" s="321"/>
      <c r="D19" s="321"/>
      <c r="E19" s="113"/>
      <c r="F19" s="26"/>
      <c r="G19" s="26"/>
      <c r="H19" s="26"/>
      <c r="I19" s="26"/>
      <c r="J19" s="26"/>
      <c r="K19" s="26"/>
      <c r="L19" s="26"/>
      <c r="M19" s="26"/>
      <c r="N19" s="26"/>
      <c r="O19" s="26"/>
      <c r="P19" s="26"/>
      <c r="Q19" s="26"/>
      <c r="R19" s="26"/>
      <c r="S19" s="147"/>
    </row>
    <row r="20" spans="1:19" s="38" customFormat="1" ht="13.5" customHeight="1" thickBot="1">
      <c r="A20" s="3653"/>
      <c r="B20" s="3653"/>
      <c r="C20" s="321"/>
      <c r="D20" s="412"/>
      <c r="E20" s="381"/>
      <c r="F20" s="163"/>
      <c r="G20" s="163"/>
      <c r="H20" s="163"/>
      <c r="I20" s="163"/>
      <c r="J20" s="163"/>
      <c r="K20" s="163"/>
      <c r="L20" s="163"/>
      <c r="M20" s="163"/>
      <c r="N20" s="163"/>
      <c r="O20" s="163"/>
      <c r="P20" s="163"/>
      <c r="Q20" s="163"/>
      <c r="R20" s="163"/>
      <c r="S20" s="382"/>
    </row>
    <row r="21" spans="1:19" s="38" customFormat="1" ht="13.5" customHeight="1" thickTop="1">
      <c r="A21" s="2422"/>
      <c r="B21" s="2422"/>
    </row>
    <row r="22" spans="1:19" s="38" customFormat="1" ht="13.5" customHeight="1" thickBot="1">
      <c r="A22" s="13"/>
      <c r="B22" s="13"/>
      <c r="F22" s="13"/>
      <c r="G22" s="13"/>
      <c r="H22" s="13"/>
    </row>
    <row r="23" spans="1:19" ht="13.5" customHeight="1" thickTop="1" thickBot="1">
      <c r="A23" s="122" t="s">
        <v>691</v>
      </c>
      <c r="B23" s="626"/>
      <c r="C23" s="362"/>
      <c r="D23" s="328"/>
      <c r="E23" s="328"/>
      <c r="F23" s="1021"/>
      <c r="G23" s="328"/>
      <c r="H23" s="800"/>
      <c r="I23" s="734"/>
      <c r="J23" s="667" t="s">
        <v>692</v>
      </c>
      <c r="K23" s="328"/>
      <c r="L23" s="328"/>
      <c r="M23" s="328"/>
      <c r="N23" s="225"/>
      <c r="O23" s="38"/>
      <c r="P23" s="3924" t="s">
        <v>693</v>
      </c>
      <c r="Q23" s="3925"/>
      <c r="R23" s="1156"/>
    </row>
    <row r="24" spans="1:19" ht="13.5" customHeight="1" thickTop="1">
      <c r="A24" s="3922" t="s">
        <v>942</v>
      </c>
      <c r="B24" s="900"/>
      <c r="C24" s="785"/>
      <c r="D24" s="1140" t="s">
        <v>810</v>
      </c>
      <c r="E24" s="416"/>
      <c r="F24" s="417"/>
      <c r="G24" s="231" t="s">
        <v>943</v>
      </c>
      <c r="H24" s="1154"/>
      <c r="I24" s="734"/>
      <c r="J24" s="709" t="s">
        <v>467</v>
      </c>
      <c r="K24" s="709" t="s">
        <v>420</v>
      </c>
      <c r="L24" s="416" t="s">
        <v>811</v>
      </c>
      <c r="M24" s="416"/>
      <c r="N24" s="1159"/>
      <c r="O24" s="38"/>
      <c r="P24" s="3926"/>
      <c r="Q24" s="3927"/>
    </row>
    <row r="25" spans="1:19" ht="13.5" customHeight="1" thickBot="1">
      <c r="A25" s="3923"/>
      <c r="B25" s="1098"/>
      <c r="C25" s="636"/>
      <c r="D25" s="1157" t="s">
        <v>782</v>
      </c>
      <c r="E25" s="1158" t="s">
        <v>783</v>
      </c>
      <c r="F25" s="759" t="s">
        <v>784</v>
      </c>
      <c r="G25" s="706"/>
      <c r="H25" s="710"/>
      <c r="I25" s="734"/>
      <c r="J25" s="710"/>
      <c r="K25" s="710" t="s">
        <v>211</v>
      </c>
      <c r="L25" s="1049" t="s">
        <v>782</v>
      </c>
      <c r="M25" s="1050" t="s">
        <v>783</v>
      </c>
      <c r="N25" s="1051" t="s">
        <v>784</v>
      </c>
      <c r="O25" s="38"/>
      <c r="P25" s="3928"/>
      <c r="Q25" s="3929"/>
    </row>
    <row r="26" spans="1:19" ht="13.5" customHeight="1" thickTop="1">
      <c r="A26" s="671">
        <v>1</v>
      </c>
      <c r="D26" s="1172">
        <v>2.6499999999999999E-2</v>
      </c>
      <c r="E26" s="1168">
        <v>0.24129999999999999</v>
      </c>
      <c r="F26" s="1170">
        <v>1.355</v>
      </c>
      <c r="G26" s="26" t="s">
        <v>636</v>
      </c>
      <c r="H26" s="147"/>
      <c r="I26" s="734"/>
      <c r="J26" s="147" t="s">
        <v>471</v>
      </c>
      <c r="K26" s="147" t="s">
        <v>1454</v>
      </c>
      <c r="L26" s="939">
        <v>0.94899999999999995</v>
      </c>
      <c r="M26" s="939">
        <v>0.96199999999999997</v>
      </c>
      <c r="N26" s="1170">
        <v>1.01</v>
      </c>
      <c r="O26" s="38"/>
      <c r="P26" s="3909" t="s">
        <v>418</v>
      </c>
      <c r="Q26" s="3815" t="s">
        <v>469</v>
      </c>
    </row>
    <row r="27" spans="1:19" ht="13.5" customHeight="1" thickBot="1">
      <c r="A27" s="671">
        <v>2</v>
      </c>
      <c r="D27" s="1172">
        <v>7.4999999999999997E-3</v>
      </c>
      <c r="E27" s="1168">
        <v>0.13500000000000001</v>
      </c>
      <c r="F27" s="1170">
        <v>1.1439999999999999</v>
      </c>
      <c r="G27" s="26" t="s">
        <v>636</v>
      </c>
      <c r="H27" s="147"/>
      <c r="I27" s="734"/>
      <c r="J27" s="147" t="s">
        <v>471</v>
      </c>
      <c r="K27" s="147" t="s">
        <v>213</v>
      </c>
      <c r="L27" s="939">
        <v>0.96099999999999997</v>
      </c>
      <c r="M27" s="939">
        <v>0.95899999999999996</v>
      </c>
      <c r="N27" s="425">
        <v>1.0109999999999999</v>
      </c>
      <c r="O27" s="38"/>
      <c r="P27" s="3910"/>
      <c r="Q27" s="3921"/>
    </row>
    <row r="28" spans="1:19" ht="13.5" customHeight="1" thickTop="1">
      <c r="A28" s="671">
        <v>3</v>
      </c>
      <c r="D28" s="1172">
        <v>2.6499999999999999E-2</v>
      </c>
      <c r="E28" s="1168">
        <v>0.24129999999999999</v>
      </c>
      <c r="F28" s="1170">
        <v>1.355</v>
      </c>
      <c r="G28" s="26" t="s">
        <v>636</v>
      </c>
      <c r="H28" s="147"/>
      <c r="I28" s="734"/>
      <c r="J28" s="147" t="s">
        <v>474</v>
      </c>
      <c r="K28" s="147" t="s">
        <v>1454</v>
      </c>
      <c r="L28" s="939">
        <v>0.96799999999999997</v>
      </c>
      <c r="M28" s="939">
        <v>0.95799999999999996</v>
      </c>
      <c r="N28" s="425">
        <v>1.006</v>
      </c>
      <c r="O28" s="38"/>
      <c r="P28" s="460" t="s">
        <v>472</v>
      </c>
      <c r="Q28" s="425">
        <v>1</v>
      </c>
    </row>
    <row r="29" spans="1:19" ht="13.5" customHeight="1" thickBot="1">
      <c r="A29" s="671">
        <v>4</v>
      </c>
      <c r="D29" s="1172">
        <v>7.4999999999999997E-3</v>
      </c>
      <c r="E29" s="1168">
        <v>0.13500000000000001</v>
      </c>
      <c r="F29" s="1170">
        <v>1.1439999999999999</v>
      </c>
      <c r="G29" s="26" t="s">
        <v>636</v>
      </c>
      <c r="H29" s="147"/>
      <c r="I29" s="734"/>
      <c r="J29" s="168" t="s">
        <v>474</v>
      </c>
      <c r="K29" s="168" t="s">
        <v>213</v>
      </c>
      <c r="L29" s="1166">
        <v>0.97599999999999998</v>
      </c>
      <c r="M29" s="1166">
        <v>0.97199999999999998</v>
      </c>
      <c r="N29" s="433">
        <v>1.0109999999999999</v>
      </c>
      <c r="O29" s="38"/>
      <c r="P29" s="461" t="s">
        <v>812</v>
      </c>
      <c r="Q29" s="433">
        <v>0</v>
      </c>
    </row>
    <row r="30" spans="1:19" ht="13.5" customHeight="1" thickTop="1">
      <c r="A30" s="671">
        <v>5</v>
      </c>
      <c r="D30" s="1172">
        <v>2.9499999999999998E-2</v>
      </c>
      <c r="E30" s="1168">
        <v>0.27929999999999999</v>
      </c>
      <c r="F30" s="1170">
        <v>1.4590000000000001</v>
      </c>
      <c r="G30" s="26" t="s">
        <v>636</v>
      </c>
      <c r="H30" s="147"/>
      <c r="I30" s="38"/>
      <c r="J30" s="38"/>
      <c r="K30" s="38"/>
      <c r="L30" s="38"/>
      <c r="M30" s="38"/>
      <c r="N30" s="38"/>
      <c r="O30" s="38"/>
    </row>
    <row r="31" spans="1:19" ht="13.5" customHeight="1">
      <c r="A31" s="671">
        <v>6</v>
      </c>
      <c r="D31" s="1172">
        <v>6.1999999999999998E-3</v>
      </c>
      <c r="E31" s="1168">
        <v>0.12920000000000001</v>
      </c>
      <c r="F31" s="1170">
        <v>1.244</v>
      </c>
      <c r="G31" s="26" t="s">
        <v>636</v>
      </c>
      <c r="H31" s="147"/>
      <c r="I31" s="38"/>
      <c r="J31" s="38"/>
      <c r="K31" s="38"/>
      <c r="L31" s="38"/>
      <c r="M31" s="38"/>
      <c r="N31" s="38"/>
      <c r="O31" s="38"/>
      <c r="P31" s="608"/>
      <c r="Q31" s="608"/>
    </row>
    <row r="32" spans="1:19" ht="13.5" customHeight="1">
      <c r="A32" s="671">
        <v>7</v>
      </c>
      <c r="D32" s="1172">
        <v>2.9499999999999998E-2</v>
      </c>
      <c r="E32" s="1168">
        <v>0.27929999999999999</v>
      </c>
      <c r="F32" s="1170">
        <v>1.4590000000000001</v>
      </c>
      <c r="G32" s="26" t="s">
        <v>636</v>
      </c>
      <c r="H32" s="147"/>
      <c r="I32" s="38"/>
      <c r="J32" s="38"/>
      <c r="K32" s="38"/>
      <c r="L32" s="38"/>
      <c r="M32" s="38"/>
      <c r="N32" s="38"/>
      <c r="O32" s="38"/>
    </row>
    <row r="33" spans="1:15" ht="13.5" customHeight="1">
      <c r="A33" s="671">
        <v>8</v>
      </c>
      <c r="D33" s="1172">
        <v>6.1999999999999998E-3</v>
      </c>
      <c r="E33" s="1168">
        <v>0.12920000000000001</v>
      </c>
      <c r="F33" s="1170">
        <v>1.244</v>
      </c>
      <c r="G33" s="26" t="s">
        <v>636</v>
      </c>
      <c r="H33" s="147"/>
      <c r="I33" s="38"/>
      <c r="J33" s="38"/>
      <c r="K33" s="38"/>
      <c r="L33" s="38"/>
      <c r="M33" s="38"/>
      <c r="N33" s="38"/>
      <c r="O33" s="38"/>
    </row>
    <row r="34" spans="1:15" ht="13.5" customHeight="1">
      <c r="A34" s="671">
        <v>9</v>
      </c>
      <c r="D34" s="1172">
        <v>2.9499999999999998E-2</v>
      </c>
      <c r="E34" s="1168">
        <v>0.27929999999999999</v>
      </c>
      <c r="F34" s="1170">
        <v>1.4590000000000001</v>
      </c>
      <c r="G34" s="26" t="s">
        <v>636</v>
      </c>
      <c r="H34" s="147"/>
      <c r="I34" s="38"/>
      <c r="J34" s="38"/>
      <c r="K34" s="38"/>
      <c r="L34" s="38"/>
      <c r="M34" s="38"/>
      <c r="N34" s="38"/>
      <c r="O34" s="38"/>
    </row>
    <row r="35" spans="1:15" ht="13.5" customHeight="1">
      <c r="A35" s="671">
        <v>10</v>
      </c>
      <c r="D35" s="1172">
        <v>6.1999999999999998E-3</v>
      </c>
      <c r="E35" s="1168">
        <v>0.12920000000000001</v>
      </c>
      <c r="F35" s="1170">
        <v>1.244</v>
      </c>
      <c r="G35" s="26" t="s">
        <v>636</v>
      </c>
      <c r="H35" s="147"/>
      <c r="I35" s="38"/>
      <c r="J35" s="38"/>
      <c r="K35" s="38"/>
      <c r="L35" s="38"/>
      <c r="M35" s="38"/>
      <c r="N35" s="38"/>
      <c r="O35" s="38"/>
    </row>
    <row r="36" spans="1:15" ht="13.5" customHeight="1">
      <c r="A36" s="671">
        <v>11</v>
      </c>
      <c r="D36" s="1172">
        <v>2.9499999999999998E-2</v>
      </c>
      <c r="E36" s="1168">
        <v>0.27929999999999999</v>
      </c>
      <c r="F36" s="1170">
        <v>1.4590000000000001</v>
      </c>
      <c r="G36" s="26" t="s">
        <v>636</v>
      </c>
      <c r="H36" s="147"/>
      <c r="I36" s="38"/>
      <c r="J36" s="38"/>
      <c r="K36" s="38"/>
      <c r="L36" s="38"/>
      <c r="M36" s="38"/>
      <c r="N36" s="38"/>
      <c r="O36" s="38"/>
    </row>
    <row r="37" spans="1:15" ht="13.5" customHeight="1">
      <c r="A37" s="671">
        <v>12</v>
      </c>
      <c r="D37" s="1172">
        <v>6.1999999999999998E-3</v>
      </c>
      <c r="E37" s="1168">
        <v>0.12920000000000001</v>
      </c>
      <c r="F37" s="1170">
        <v>1.244</v>
      </c>
      <c r="G37" s="26" t="s">
        <v>636</v>
      </c>
      <c r="H37" s="147"/>
      <c r="I37" s="38"/>
      <c r="J37" s="38"/>
      <c r="K37" s="38"/>
      <c r="L37" s="38"/>
      <c r="M37" s="38"/>
      <c r="N37" s="38"/>
      <c r="O37" s="38"/>
    </row>
    <row r="38" spans="1:15" ht="13.5" customHeight="1">
      <c r="A38" s="671">
        <v>13</v>
      </c>
      <c r="D38" s="1172">
        <v>2.6499999999999999E-2</v>
      </c>
      <c r="E38" s="1168">
        <v>0.24129999999999999</v>
      </c>
      <c r="F38" s="1170">
        <v>1.355</v>
      </c>
      <c r="G38" s="26" t="s">
        <v>1457</v>
      </c>
      <c r="H38" s="147"/>
      <c r="I38" s="38"/>
      <c r="J38" s="38"/>
      <c r="K38" s="38"/>
      <c r="L38" s="38"/>
      <c r="M38" s="38"/>
      <c r="N38" s="38"/>
      <c r="O38" s="38"/>
    </row>
    <row r="39" spans="1:15" ht="13.5" customHeight="1">
      <c r="A39" s="671">
        <v>14</v>
      </c>
      <c r="D39" s="1172">
        <v>7.4999999999999997E-3</v>
      </c>
      <c r="E39" s="1168">
        <v>0.13500000000000001</v>
      </c>
      <c r="F39" s="1170">
        <v>1.1439999999999999</v>
      </c>
      <c r="G39" s="26" t="s">
        <v>1457</v>
      </c>
      <c r="H39" s="147"/>
      <c r="I39" s="38"/>
      <c r="J39" s="38"/>
      <c r="K39" s="38"/>
      <c r="L39" s="38"/>
      <c r="M39" s="38"/>
      <c r="N39" s="38"/>
      <c r="O39" s="38"/>
    </row>
    <row r="40" spans="1:15" ht="13.5" customHeight="1">
      <c r="A40" s="671">
        <v>15</v>
      </c>
      <c r="D40" s="1172">
        <v>2.6499999999999999E-2</v>
      </c>
      <c r="E40" s="1168">
        <v>0.24129999999999999</v>
      </c>
      <c r="F40" s="1170">
        <v>1.355</v>
      </c>
      <c r="G40" s="56" t="s">
        <v>1457</v>
      </c>
      <c r="H40" s="147"/>
      <c r="I40" s="38"/>
      <c r="J40" s="38"/>
      <c r="K40" s="38"/>
      <c r="L40" s="38"/>
      <c r="M40" s="38"/>
      <c r="N40" s="38"/>
      <c r="O40" s="38"/>
    </row>
    <row r="41" spans="1:15" ht="13.5" customHeight="1">
      <c r="A41" s="671">
        <v>16</v>
      </c>
      <c r="D41" s="1172">
        <v>7.4999999999999997E-3</v>
      </c>
      <c r="E41" s="1168">
        <v>0.13500000000000001</v>
      </c>
      <c r="F41" s="1170">
        <v>1.1439999999999999</v>
      </c>
      <c r="G41" s="56" t="s">
        <v>1457</v>
      </c>
      <c r="H41" s="147"/>
      <c r="I41" s="38"/>
      <c r="J41" s="38"/>
      <c r="K41" s="38"/>
      <c r="L41" s="38"/>
      <c r="M41" s="38"/>
      <c r="N41" s="38"/>
      <c r="O41" s="38"/>
    </row>
    <row r="42" spans="1:15" ht="13.5" customHeight="1">
      <c r="A42" s="671">
        <v>17</v>
      </c>
      <c r="D42" s="1172">
        <v>2.9499999999999998E-2</v>
      </c>
      <c r="E42" s="1168">
        <v>0.27929999999999999</v>
      </c>
      <c r="F42" s="1170">
        <v>1.4590000000000001</v>
      </c>
      <c r="G42" s="56" t="s">
        <v>1457</v>
      </c>
      <c r="H42" s="147"/>
      <c r="I42" s="38"/>
      <c r="J42" s="38"/>
      <c r="K42" s="38"/>
      <c r="L42" s="38"/>
      <c r="M42" s="38"/>
      <c r="N42" s="38"/>
      <c r="O42" s="38"/>
    </row>
    <row r="43" spans="1:15" ht="13.5" customHeight="1">
      <c r="A43" s="671">
        <v>18</v>
      </c>
      <c r="D43" s="1172">
        <v>6.1999999999999998E-3</v>
      </c>
      <c r="E43" s="1168">
        <v>0.12920000000000001</v>
      </c>
      <c r="F43" s="1170">
        <v>1.244</v>
      </c>
      <c r="G43" s="56" t="s">
        <v>1457</v>
      </c>
      <c r="H43" s="147"/>
      <c r="I43" s="38"/>
      <c r="J43" s="38"/>
      <c r="K43" s="38"/>
      <c r="L43" s="38"/>
      <c r="M43" s="38"/>
      <c r="N43" s="38"/>
      <c r="O43" s="38"/>
    </row>
    <row r="44" spans="1:15" ht="13.5" customHeight="1">
      <c r="A44" s="671">
        <v>19</v>
      </c>
      <c r="D44" s="1172">
        <v>2.9499999999999998E-2</v>
      </c>
      <c r="E44" s="1168">
        <v>0.27929999999999999</v>
      </c>
      <c r="F44" s="1170">
        <v>1.4590000000000001</v>
      </c>
      <c r="G44" s="56" t="s">
        <v>1457</v>
      </c>
      <c r="H44" s="147"/>
      <c r="I44" s="38"/>
      <c r="J44" s="38"/>
      <c r="K44" s="38"/>
      <c r="L44" s="38"/>
      <c r="M44" s="38"/>
      <c r="N44" s="38"/>
      <c r="O44" s="38"/>
    </row>
    <row r="45" spans="1:15" ht="13.5" customHeight="1">
      <c r="A45" s="671">
        <v>20</v>
      </c>
      <c r="D45" s="1172">
        <v>6.1999999999999998E-3</v>
      </c>
      <c r="E45" s="1168">
        <v>0.12920000000000001</v>
      </c>
      <c r="F45" s="1170">
        <v>1.244</v>
      </c>
      <c r="G45" s="56" t="s">
        <v>1457</v>
      </c>
      <c r="H45" s="147"/>
      <c r="I45" s="38"/>
      <c r="J45" s="38"/>
      <c r="K45" s="38"/>
      <c r="L45" s="38"/>
      <c r="M45" s="38"/>
      <c r="N45" s="38"/>
      <c r="O45" s="38"/>
    </row>
    <row r="46" spans="1:15" ht="13.5" customHeight="1">
      <c r="A46" s="671">
        <v>21</v>
      </c>
      <c r="D46" s="1172">
        <v>2.9499999999999998E-2</v>
      </c>
      <c r="E46" s="1168">
        <v>0.27929999999999999</v>
      </c>
      <c r="F46" s="1170">
        <v>1.4590000000000001</v>
      </c>
      <c r="G46" s="56" t="s">
        <v>1457</v>
      </c>
      <c r="H46" s="147"/>
      <c r="I46" s="38"/>
      <c r="J46" s="38"/>
      <c r="K46" s="38"/>
      <c r="L46" s="38"/>
      <c r="M46" s="38"/>
      <c r="N46" s="38"/>
      <c r="O46" s="38"/>
    </row>
    <row r="47" spans="1:15" ht="13.5" customHeight="1">
      <c r="A47" s="671">
        <v>22</v>
      </c>
      <c r="D47" s="1172">
        <v>6.1999999999999998E-3</v>
      </c>
      <c r="E47" s="1168">
        <v>0.12920000000000001</v>
      </c>
      <c r="F47" s="1170">
        <v>1.244</v>
      </c>
      <c r="G47" s="56" t="s">
        <v>1457</v>
      </c>
      <c r="H47" s="147"/>
      <c r="I47" s="38"/>
      <c r="J47" s="38"/>
      <c r="K47" s="38"/>
      <c r="L47" s="38"/>
      <c r="M47" s="38"/>
      <c r="N47" s="38"/>
      <c r="O47" s="38"/>
    </row>
    <row r="48" spans="1:15" ht="13.5" customHeight="1">
      <c r="A48" s="671">
        <v>23</v>
      </c>
      <c r="D48" s="1172">
        <v>2.9499999999999998E-2</v>
      </c>
      <c r="E48" s="1168">
        <v>0.27929999999999999</v>
      </c>
      <c r="F48" s="1170">
        <v>1.4590000000000001</v>
      </c>
      <c r="G48" s="56" t="s">
        <v>1457</v>
      </c>
      <c r="H48" s="147"/>
      <c r="I48" s="38"/>
      <c r="J48" s="38"/>
      <c r="K48" s="38"/>
      <c r="L48" s="38"/>
      <c r="M48" s="38"/>
      <c r="N48" s="38"/>
      <c r="O48" s="38"/>
    </row>
    <row r="49" spans="1:15" ht="13.5" customHeight="1">
      <c r="A49" s="671">
        <v>24</v>
      </c>
      <c r="D49" s="1172">
        <v>6.1999999999999998E-3</v>
      </c>
      <c r="E49" s="1168">
        <v>0.12920000000000001</v>
      </c>
      <c r="F49" s="1170">
        <v>1.244</v>
      </c>
      <c r="G49" s="26" t="s">
        <v>1457</v>
      </c>
      <c r="H49" s="147"/>
      <c r="I49" s="38"/>
      <c r="J49" s="38"/>
      <c r="K49" s="38"/>
      <c r="L49" s="38"/>
      <c r="M49" s="38"/>
      <c r="N49" s="38"/>
      <c r="O49" s="38"/>
    </row>
    <row r="50" spans="1:15" ht="13.5" customHeight="1">
      <c r="A50" s="671">
        <v>25</v>
      </c>
      <c r="D50" s="1172">
        <v>2.6499999999999999E-2</v>
      </c>
      <c r="E50" s="1168">
        <v>0.24129999999999999</v>
      </c>
      <c r="F50" s="1170">
        <v>1.355</v>
      </c>
      <c r="G50" s="26" t="s">
        <v>1458</v>
      </c>
      <c r="H50" s="147"/>
      <c r="I50" s="38"/>
      <c r="J50" s="38"/>
      <c r="K50" s="38"/>
      <c r="L50" s="38"/>
      <c r="M50" s="38"/>
      <c r="N50" s="38"/>
      <c r="O50" s="38"/>
    </row>
    <row r="51" spans="1:15" ht="13.5" customHeight="1">
      <c r="A51" s="671">
        <v>26</v>
      </c>
      <c r="D51" s="1172">
        <v>7.4999999999999997E-3</v>
      </c>
      <c r="E51" s="1168">
        <v>0.13500000000000001</v>
      </c>
      <c r="F51" s="1170">
        <v>1.1439999999999999</v>
      </c>
      <c r="G51" s="26" t="s">
        <v>1458</v>
      </c>
      <c r="H51" s="147"/>
      <c r="I51" s="38"/>
      <c r="J51" s="38"/>
      <c r="K51" s="38"/>
      <c r="L51" s="38"/>
      <c r="M51" s="38"/>
      <c r="N51" s="38"/>
      <c r="O51" s="38"/>
    </row>
    <row r="52" spans="1:15" ht="13.5" customHeight="1">
      <c r="A52" s="671">
        <v>27</v>
      </c>
      <c r="D52" s="1172">
        <v>2.6499999999999999E-2</v>
      </c>
      <c r="E52" s="1168">
        <v>0.24129999999999999</v>
      </c>
      <c r="F52" s="1170">
        <v>1.355</v>
      </c>
      <c r="G52" s="26" t="s">
        <v>1458</v>
      </c>
      <c r="H52" s="147"/>
      <c r="I52" s="38"/>
      <c r="J52" s="38"/>
      <c r="K52" s="38"/>
      <c r="L52" s="38"/>
      <c r="M52" s="38"/>
      <c r="N52" s="38"/>
      <c r="O52" s="38"/>
    </row>
    <row r="53" spans="1:15" ht="13.5" customHeight="1">
      <c r="A53" s="671">
        <v>28</v>
      </c>
      <c r="D53" s="1172">
        <v>7.4999999999999997E-3</v>
      </c>
      <c r="E53" s="1168">
        <v>0.13500000000000001</v>
      </c>
      <c r="F53" s="1170">
        <v>1.1439999999999999</v>
      </c>
      <c r="G53" s="26" t="s">
        <v>1458</v>
      </c>
      <c r="H53" s="147"/>
      <c r="I53" s="38"/>
      <c r="J53" s="38"/>
      <c r="K53" s="38"/>
      <c r="L53" s="38"/>
      <c r="M53" s="38"/>
      <c r="N53" s="38"/>
      <c r="O53" s="38"/>
    </row>
    <row r="54" spans="1:15" ht="13.5" customHeight="1">
      <c r="A54" s="671">
        <v>29</v>
      </c>
      <c r="D54" s="1172">
        <v>2.9499999999999998E-2</v>
      </c>
      <c r="E54" s="1168">
        <v>0.27929999999999999</v>
      </c>
      <c r="F54" s="1170">
        <v>1.4590000000000001</v>
      </c>
      <c r="G54" s="26" t="s">
        <v>1458</v>
      </c>
      <c r="H54" s="147"/>
      <c r="I54" s="38"/>
      <c r="J54" s="38"/>
      <c r="K54" s="38"/>
      <c r="L54" s="38"/>
      <c r="M54" s="38"/>
      <c r="N54" s="38"/>
      <c r="O54" s="38"/>
    </row>
    <row r="55" spans="1:15" ht="13.5" customHeight="1">
      <c r="A55" s="671">
        <v>30</v>
      </c>
      <c r="D55" s="1172">
        <v>6.1999999999999998E-3</v>
      </c>
      <c r="E55" s="1168">
        <v>0.12920000000000001</v>
      </c>
      <c r="F55" s="1170">
        <v>1.244</v>
      </c>
      <c r="G55" s="26" t="s">
        <v>1458</v>
      </c>
      <c r="H55" s="147"/>
      <c r="I55" s="38"/>
      <c r="J55" s="38"/>
      <c r="K55" s="38"/>
      <c r="L55" s="38"/>
      <c r="M55" s="38"/>
      <c r="N55" s="38"/>
      <c r="O55" s="38"/>
    </row>
    <row r="56" spans="1:15" ht="13.5" customHeight="1">
      <c r="A56" s="671">
        <v>31</v>
      </c>
      <c r="D56" s="1172">
        <v>2.9499999999999998E-2</v>
      </c>
      <c r="E56" s="1168">
        <v>0.27929999999999999</v>
      </c>
      <c r="F56" s="1170">
        <v>1.4590000000000001</v>
      </c>
      <c r="G56" s="26" t="s">
        <v>1458</v>
      </c>
      <c r="H56" s="147"/>
      <c r="I56" s="38"/>
      <c r="J56" s="38"/>
      <c r="K56" s="38"/>
      <c r="L56" s="38"/>
      <c r="M56" s="38"/>
      <c r="N56" s="38"/>
      <c r="O56" s="38"/>
    </row>
    <row r="57" spans="1:15" ht="13.5" customHeight="1">
      <c r="A57" s="671">
        <v>32</v>
      </c>
      <c r="D57" s="1172">
        <v>6.1999999999999998E-3</v>
      </c>
      <c r="E57" s="1168">
        <v>0.12920000000000001</v>
      </c>
      <c r="F57" s="1170">
        <v>1.244</v>
      </c>
      <c r="G57" s="26" t="s">
        <v>1458</v>
      </c>
      <c r="H57" s="147"/>
      <c r="I57" s="38"/>
      <c r="J57" s="38"/>
      <c r="K57" s="38"/>
      <c r="L57" s="38"/>
      <c r="M57" s="38"/>
      <c r="N57" s="38"/>
      <c r="O57" s="38"/>
    </row>
    <row r="58" spans="1:15" ht="13.5" customHeight="1">
      <c r="A58" s="671">
        <v>33</v>
      </c>
      <c r="D58" s="1172">
        <v>2.9499999999999998E-2</v>
      </c>
      <c r="E58" s="1168">
        <v>0.27929999999999999</v>
      </c>
      <c r="F58" s="1170">
        <v>1.4590000000000001</v>
      </c>
      <c r="G58" s="26" t="s">
        <v>1458</v>
      </c>
      <c r="H58" s="147"/>
      <c r="I58" s="38"/>
      <c r="J58" s="38"/>
      <c r="K58" s="38"/>
      <c r="L58" s="38"/>
      <c r="M58" s="38"/>
      <c r="N58" s="38"/>
      <c r="O58" s="38"/>
    </row>
    <row r="59" spans="1:15" ht="13.5" customHeight="1">
      <c r="A59" s="671">
        <v>34</v>
      </c>
      <c r="D59" s="1172">
        <v>6.1999999999999998E-3</v>
      </c>
      <c r="E59" s="1168">
        <v>0.12920000000000001</v>
      </c>
      <c r="F59" s="1170">
        <v>1.244</v>
      </c>
      <c r="G59" s="26" t="s">
        <v>1458</v>
      </c>
      <c r="H59" s="147"/>
      <c r="I59" s="38"/>
      <c r="J59" s="38"/>
      <c r="K59" s="38"/>
      <c r="L59" s="38"/>
      <c r="M59" s="38"/>
      <c r="N59" s="38"/>
      <c r="O59" s="38"/>
    </row>
    <row r="60" spans="1:15" ht="13.5" customHeight="1">
      <c r="A60" s="671">
        <v>35</v>
      </c>
      <c r="D60" s="1172">
        <v>2.9499999999999998E-2</v>
      </c>
      <c r="E60" s="1168">
        <v>0.27929999999999999</v>
      </c>
      <c r="F60" s="1170">
        <v>1.4590000000000001</v>
      </c>
      <c r="G60" s="26" t="s">
        <v>1458</v>
      </c>
      <c r="H60" s="147"/>
      <c r="I60" s="38"/>
      <c r="J60" s="38"/>
      <c r="K60" s="38"/>
      <c r="L60" s="38"/>
      <c r="M60" s="38"/>
      <c r="N60" s="38"/>
      <c r="O60" s="38"/>
    </row>
    <row r="61" spans="1:15" ht="13.5" customHeight="1">
      <c r="A61" s="671">
        <v>36</v>
      </c>
      <c r="D61" s="1172">
        <v>6.1999999999999998E-3</v>
      </c>
      <c r="E61" s="1168">
        <v>0.12920000000000001</v>
      </c>
      <c r="F61" s="1170">
        <v>1.244</v>
      </c>
      <c r="G61" s="26" t="s">
        <v>1458</v>
      </c>
      <c r="H61" s="147"/>
      <c r="I61" s="38"/>
      <c r="J61" s="38"/>
      <c r="K61" s="38"/>
      <c r="L61" s="38"/>
      <c r="M61" s="38"/>
      <c r="N61" s="38"/>
      <c r="O61" s="38"/>
    </row>
    <row r="62" spans="1:15" ht="13.5" customHeight="1">
      <c r="A62" s="671">
        <v>37</v>
      </c>
      <c r="D62" s="1172">
        <v>9.1999999999999998E-3</v>
      </c>
      <c r="E62" s="1168">
        <v>0.16309999999999999</v>
      </c>
      <c r="F62" s="1170">
        <v>1.444</v>
      </c>
      <c r="G62" s="26" t="s">
        <v>1459</v>
      </c>
      <c r="H62" s="147"/>
      <c r="I62" s="38"/>
      <c r="J62" s="38"/>
      <c r="K62" s="38"/>
      <c r="L62" s="38"/>
      <c r="M62" s="38"/>
      <c r="N62" s="38"/>
      <c r="O62" s="38"/>
    </row>
    <row r="63" spans="1:15" ht="13.5" customHeight="1">
      <c r="A63" s="671">
        <v>38</v>
      </c>
      <c r="D63" s="1172">
        <v>6.4000000000000003E-3</v>
      </c>
      <c r="E63" s="1168">
        <v>0.1157</v>
      </c>
      <c r="F63" s="1170">
        <v>1.214</v>
      </c>
      <c r="G63" s="26" t="s">
        <v>1459</v>
      </c>
      <c r="H63" s="147"/>
      <c r="I63" s="38"/>
      <c r="J63" s="38"/>
      <c r="K63" s="38"/>
      <c r="L63" s="38"/>
      <c r="M63" s="38"/>
      <c r="N63" s="38"/>
      <c r="O63" s="38"/>
    </row>
    <row r="64" spans="1:15" ht="13.5" customHeight="1">
      <c r="A64" s="671">
        <v>39</v>
      </c>
      <c r="D64" s="1172">
        <v>9.1999999999999998E-3</v>
      </c>
      <c r="E64" s="1168">
        <v>0.16309999999999999</v>
      </c>
      <c r="F64" s="1170">
        <v>1.444</v>
      </c>
      <c r="G64" s="26" t="s">
        <v>1459</v>
      </c>
      <c r="H64" s="147"/>
      <c r="I64" s="38"/>
      <c r="J64" s="38"/>
      <c r="K64" s="38"/>
      <c r="L64" s="38"/>
      <c r="M64" s="38"/>
      <c r="N64" s="38"/>
      <c r="O64" s="38"/>
    </row>
    <row r="65" spans="1:15" ht="13.5" customHeight="1">
      <c r="A65" s="671">
        <v>40</v>
      </c>
      <c r="D65" s="1172">
        <v>6.4000000000000003E-3</v>
      </c>
      <c r="E65" s="1168">
        <v>0.1157</v>
      </c>
      <c r="F65" s="1170">
        <v>1.214</v>
      </c>
      <c r="G65" s="26" t="s">
        <v>1459</v>
      </c>
      <c r="H65" s="147"/>
      <c r="I65" s="38"/>
      <c r="J65" s="38"/>
      <c r="K65" s="38"/>
      <c r="L65" s="38"/>
      <c r="M65" s="38"/>
      <c r="N65" s="38"/>
      <c r="O65" s="38"/>
    </row>
    <row r="66" spans="1:15" ht="13.5" customHeight="1">
      <c r="A66" s="671">
        <v>41</v>
      </c>
      <c r="D66" s="1172">
        <v>9.4999999999999998E-3</v>
      </c>
      <c r="E66" s="1168">
        <v>0.14230000000000001</v>
      </c>
      <c r="F66" s="1170">
        <v>1.4670000000000001</v>
      </c>
      <c r="G66" s="26" t="s">
        <v>1459</v>
      </c>
      <c r="H66" s="147"/>
      <c r="I66" s="38"/>
      <c r="J66" s="38"/>
      <c r="K66" s="38"/>
      <c r="L66" s="38"/>
      <c r="M66" s="38"/>
      <c r="N66" s="38"/>
      <c r="O66" s="38"/>
    </row>
    <row r="67" spans="1:15" ht="13.5" customHeight="1">
      <c r="A67" s="671">
        <v>42</v>
      </c>
      <c r="D67" s="1172">
        <v>6.1000000000000004E-3</v>
      </c>
      <c r="E67" s="1168">
        <v>0.1177</v>
      </c>
      <c r="F67" s="1170">
        <v>1.2529999999999999</v>
      </c>
      <c r="G67" s="26" t="s">
        <v>1459</v>
      </c>
      <c r="H67" s="147"/>
      <c r="I67" s="38"/>
      <c r="J67" s="38"/>
      <c r="K67" s="38"/>
      <c r="L67" s="38"/>
      <c r="M67" s="38"/>
      <c r="N67" s="38"/>
      <c r="O67" s="38"/>
    </row>
    <row r="68" spans="1:15" ht="13.5" customHeight="1">
      <c r="A68" s="671">
        <v>43</v>
      </c>
      <c r="D68" s="1172">
        <v>9.4999999999999998E-3</v>
      </c>
      <c r="E68" s="1168">
        <v>0.14230000000000001</v>
      </c>
      <c r="F68" s="1170">
        <v>1.4670000000000001</v>
      </c>
      <c r="G68" s="26" t="s">
        <v>1459</v>
      </c>
      <c r="H68" s="147"/>
      <c r="I68" s="38"/>
      <c r="J68" s="38"/>
      <c r="K68" s="38"/>
      <c r="L68" s="38"/>
      <c r="M68" s="38"/>
      <c r="N68" s="38"/>
      <c r="O68" s="38"/>
    </row>
    <row r="69" spans="1:15" ht="13.5" customHeight="1">
      <c r="A69" s="671">
        <v>44</v>
      </c>
      <c r="D69" s="1172">
        <v>6.1000000000000004E-3</v>
      </c>
      <c r="E69" s="1168">
        <v>0.1177</v>
      </c>
      <c r="F69" s="1170">
        <v>1.2529999999999999</v>
      </c>
      <c r="G69" s="26" t="s">
        <v>1459</v>
      </c>
      <c r="H69" s="147"/>
      <c r="I69" s="38"/>
      <c r="J69" s="38"/>
      <c r="K69" s="38"/>
      <c r="L69" s="38"/>
      <c r="M69" s="38"/>
      <c r="N69" s="38"/>
      <c r="O69" s="38"/>
    </row>
    <row r="70" spans="1:15" ht="13.5" customHeight="1">
      <c r="A70" s="671">
        <v>45</v>
      </c>
      <c r="D70" s="1172">
        <v>9.4999999999999998E-3</v>
      </c>
      <c r="E70" s="1168">
        <v>0.14230000000000001</v>
      </c>
      <c r="F70" s="1170">
        <v>1.4670000000000001</v>
      </c>
      <c r="G70" s="26" t="s">
        <v>1459</v>
      </c>
      <c r="H70" s="147"/>
      <c r="I70" s="38"/>
      <c r="J70" s="38"/>
      <c r="K70" s="38"/>
      <c r="L70" s="38"/>
      <c r="M70" s="38"/>
      <c r="N70" s="38"/>
      <c r="O70" s="38"/>
    </row>
    <row r="71" spans="1:15" ht="13.5" customHeight="1">
      <c r="A71" s="671">
        <v>46</v>
      </c>
      <c r="D71" s="1172">
        <v>6.1000000000000004E-3</v>
      </c>
      <c r="E71" s="1168">
        <v>0.1177</v>
      </c>
      <c r="F71" s="1170">
        <v>1.2529999999999999</v>
      </c>
      <c r="G71" s="26" t="s">
        <v>1459</v>
      </c>
      <c r="H71" s="147"/>
      <c r="I71" s="38"/>
      <c r="J71" s="38"/>
      <c r="K71" s="38"/>
      <c r="L71" s="38"/>
      <c r="M71" s="38"/>
      <c r="N71" s="38"/>
      <c r="O71" s="38"/>
    </row>
    <row r="72" spans="1:15" ht="13.5" customHeight="1">
      <c r="A72" s="671">
        <v>47</v>
      </c>
      <c r="D72" s="1172">
        <v>9.4999999999999998E-3</v>
      </c>
      <c r="E72" s="1168">
        <v>0.14230000000000001</v>
      </c>
      <c r="F72" s="1170">
        <v>1.4670000000000001</v>
      </c>
      <c r="G72" s="26" t="s">
        <v>1459</v>
      </c>
      <c r="H72" s="147"/>
      <c r="I72" s="38"/>
      <c r="J72" s="38"/>
      <c r="K72" s="38"/>
      <c r="L72" s="38"/>
      <c r="M72" s="38"/>
      <c r="N72" s="38"/>
      <c r="O72" s="38"/>
    </row>
    <row r="73" spans="1:15" ht="13.5" customHeight="1">
      <c r="A73" s="671">
        <v>48</v>
      </c>
      <c r="D73" s="1172">
        <v>6.1000000000000004E-3</v>
      </c>
      <c r="E73" s="1168">
        <v>0.1177</v>
      </c>
      <c r="F73" s="1170">
        <v>1.2529999999999999</v>
      </c>
      <c r="G73" s="26" t="s">
        <v>1459</v>
      </c>
      <c r="H73" s="147"/>
      <c r="I73" s="38"/>
      <c r="J73" s="38"/>
      <c r="K73" s="38"/>
      <c r="L73" s="38"/>
      <c r="M73" s="38"/>
      <c r="N73" s="38"/>
      <c r="O73" s="38"/>
    </row>
    <row r="74" spans="1:15" ht="13.5" customHeight="1">
      <c r="A74" s="671">
        <v>49</v>
      </c>
      <c r="D74" s="1172">
        <v>6.0000000000000001E-3</v>
      </c>
      <c r="E74" s="1168">
        <v>0.1019</v>
      </c>
      <c r="F74" s="1170">
        <v>1.214</v>
      </c>
      <c r="G74" s="26" t="s">
        <v>1461</v>
      </c>
      <c r="H74" s="147"/>
      <c r="I74" s="38"/>
      <c r="J74" s="38"/>
      <c r="K74" s="38"/>
      <c r="L74" s="38"/>
      <c r="M74" s="38"/>
      <c r="N74" s="38"/>
      <c r="O74" s="38"/>
    </row>
    <row r="75" spans="1:15" ht="13.5" customHeight="1">
      <c r="A75" s="671">
        <v>50</v>
      </c>
      <c r="D75" s="1172">
        <v>2.7000000000000001E-3</v>
      </c>
      <c r="E75" s="1168">
        <v>8.0600000000000005E-2</v>
      </c>
      <c r="F75" s="1170">
        <v>1.163</v>
      </c>
      <c r="G75" s="26" t="s">
        <v>1461</v>
      </c>
      <c r="H75" s="147"/>
      <c r="I75" s="38"/>
      <c r="J75" s="38"/>
      <c r="K75" s="38"/>
      <c r="L75" s="38"/>
      <c r="M75" s="38"/>
      <c r="N75" s="38"/>
      <c r="O75" s="38"/>
    </row>
    <row r="76" spans="1:15" ht="13.5" customHeight="1">
      <c r="A76" s="671">
        <v>51</v>
      </c>
      <c r="D76" s="1172">
        <v>6.0000000000000001E-3</v>
      </c>
      <c r="E76" s="1168">
        <v>0.1019</v>
      </c>
      <c r="F76" s="1170">
        <v>1.214</v>
      </c>
      <c r="G76" s="26" t="s">
        <v>1461</v>
      </c>
      <c r="H76" s="147"/>
      <c r="I76" s="38"/>
      <c r="J76" s="38"/>
      <c r="K76" s="38"/>
      <c r="L76" s="38"/>
      <c r="M76" s="38"/>
      <c r="N76" s="38"/>
      <c r="O76" s="38"/>
    </row>
    <row r="77" spans="1:15" ht="13.5" customHeight="1">
      <c r="A77" s="671">
        <v>52</v>
      </c>
      <c r="D77" s="1172">
        <v>2.7000000000000001E-3</v>
      </c>
      <c r="E77" s="1168">
        <v>8.0600000000000005E-2</v>
      </c>
      <c r="F77" s="1170">
        <v>1.163</v>
      </c>
      <c r="G77" s="26" t="s">
        <v>1461</v>
      </c>
      <c r="H77" s="147"/>
      <c r="I77" s="38"/>
      <c r="J77" s="38"/>
      <c r="K77" s="38"/>
      <c r="L77" s="38"/>
      <c r="M77" s="38"/>
      <c r="N77" s="38"/>
      <c r="O77" s="38"/>
    </row>
    <row r="78" spans="1:15" ht="13.5" customHeight="1">
      <c r="A78" s="671">
        <v>53</v>
      </c>
      <c r="D78" s="1172">
        <v>6.0000000000000001E-3</v>
      </c>
      <c r="E78" s="1168">
        <v>0.1019</v>
      </c>
      <c r="F78" s="1170">
        <v>1.214</v>
      </c>
      <c r="G78" s="26" t="s">
        <v>1461</v>
      </c>
      <c r="H78" s="147"/>
      <c r="I78" s="38"/>
      <c r="J78" s="38"/>
      <c r="K78" s="38"/>
      <c r="L78" s="38"/>
      <c r="M78" s="38"/>
      <c r="N78" s="38"/>
      <c r="O78" s="38"/>
    </row>
    <row r="79" spans="1:15" ht="13.5" customHeight="1">
      <c r="A79" s="671">
        <v>54</v>
      </c>
      <c r="D79" s="1172">
        <v>2.7000000000000001E-3</v>
      </c>
      <c r="E79" s="1168">
        <v>8.0600000000000005E-2</v>
      </c>
      <c r="F79" s="1170">
        <v>1.163</v>
      </c>
      <c r="G79" s="26" t="s">
        <v>1461</v>
      </c>
      <c r="H79" s="147"/>
      <c r="I79" s="38"/>
      <c r="J79" s="38"/>
      <c r="K79" s="38"/>
      <c r="L79" s="38"/>
      <c r="M79" s="38"/>
      <c r="N79" s="38"/>
      <c r="O79" s="38"/>
    </row>
    <row r="80" spans="1:15" ht="13.5" customHeight="1">
      <c r="A80" s="671">
        <v>55</v>
      </c>
      <c r="D80" s="1172">
        <v>6.0000000000000001E-3</v>
      </c>
      <c r="E80" s="1168">
        <v>0.1019</v>
      </c>
      <c r="F80" s="1170">
        <v>1.214</v>
      </c>
      <c r="G80" s="26" t="s">
        <v>1461</v>
      </c>
      <c r="H80" s="147"/>
      <c r="I80" s="38"/>
      <c r="J80" s="38"/>
      <c r="K80" s="38"/>
      <c r="L80" s="38"/>
      <c r="M80" s="38"/>
      <c r="N80" s="38"/>
      <c r="O80" s="38"/>
    </row>
    <row r="81" spans="1:15" ht="13.5" customHeight="1">
      <c r="A81" s="671">
        <v>56</v>
      </c>
      <c r="D81" s="1172">
        <v>2.7000000000000001E-3</v>
      </c>
      <c r="E81" s="1168">
        <v>8.0600000000000005E-2</v>
      </c>
      <c r="F81" s="1170">
        <v>1.163</v>
      </c>
      <c r="G81" s="26" t="s">
        <v>1461</v>
      </c>
      <c r="H81" s="147"/>
      <c r="I81" s="38"/>
      <c r="J81" s="38"/>
      <c r="K81" s="38"/>
      <c r="L81" s="38"/>
      <c r="M81" s="38"/>
      <c r="N81" s="38"/>
      <c r="O81" s="38"/>
    </row>
    <row r="82" spans="1:15" ht="13.5" customHeight="1">
      <c r="A82" s="671">
        <v>57</v>
      </c>
      <c r="D82" s="1172">
        <v>6.0000000000000001E-3</v>
      </c>
      <c r="E82" s="1168">
        <v>0.1019</v>
      </c>
      <c r="F82" s="1170">
        <v>1.214</v>
      </c>
      <c r="G82" s="26" t="s">
        <v>1461</v>
      </c>
      <c r="H82" s="147"/>
      <c r="I82" s="38"/>
      <c r="J82" s="38"/>
      <c r="K82" s="38"/>
      <c r="L82" s="38"/>
      <c r="M82" s="38"/>
      <c r="N82" s="38"/>
      <c r="O82" s="38"/>
    </row>
    <row r="83" spans="1:15" ht="13.5" customHeight="1">
      <c r="A83" s="671">
        <v>58</v>
      </c>
      <c r="D83" s="1172">
        <v>2.7000000000000001E-3</v>
      </c>
      <c r="E83" s="1168">
        <v>8.0600000000000005E-2</v>
      </c>
      <c r="F83" s="1170">
        <v>1.163</v>
      </c>
      <c r="G83" s="26" t="s">
        <v>1461</v>
      </c>
      <c r="H83" s="147"/>
      <c r="I83" s="38"/>
      <c r="J83" s="38"/>
      <c r="K83" s="38"/>
      <c r="L83" s="38"/>
      <c r="M83" s="38"/>
      <c r="N83" s="38"/>
      <c r="O83" s="38"/>
    </row>
    <row r="84" spans="1:15" ht="13.5" customHeight="1">
      <c r="A84" s="671">
        <v>59</v>
      </c>
      <c r="D84" s="1172">
        <v>6.0000000000000001E-3</v>
      </c>
      <c r="E84" s="1168">
        <v>0.1019</v>
      </c>
      <c r="F84" s="1170">
        <v>1.214</v>
      </c>
      <c r="G84" s="26" t="s">
        <v>1461</v>
      </c>
      <c r="H84" s="147"/>
      <c r="I84" s="38"/>
      <c r="J84" s="38"/>
      <c r="K84" s="38"/>
      <c r="L84" s="38"/>
      <c r="M84" s="38"/>
      <c r="N84" s="38"/>
      <c r="O84" s="38"/>
    </row>
    <row r="85" spans="1:15" ht="13.5" customHeight="1">
      <c r="A85" s="671">
        <v>60</v>
      </c>
      <c r="D85" s="1172">
        <v>2.7000000000000001E-3</v>
      </c>
      <c r="E85" s="1168">
        <v>8.0600000000000005E-2</v>
      </c>
      <c r="F85" s="1170">
        <v>1.163</v>
      </c>
      <c r="G85" s="26" t="s">
        <v>1461</v>
      </c>
      <c r="H85" s="147"/>
      <c r="I85" s="38"/>
      <c r="J85" s="38"/>
      <c r="K85" s="38"/>
      <c r="L85" s="38"/>
      <c r="M85" s="38"/>
      <c r="N85" s="38"/>
      <c r="O85" s="38"/>
    </row>
    <row r="86" spans="1:15" ht="13.5" customHeight="1">
      <c r="A86" s="671">
        <v>61</v>
      </c>
      <c r="D86" s="1172">
        <v>6.0000000000000001E-3</v>
      </c>
      <c r="E86" s="1168">
        <v>0.1019</v>
      </c>
      <c r="F86" s="1170">
        <v>1.214</v>
      </c>
      <c r="G86" s="26" t="s">
        <v>289</v>
      </c>
      <c r="H86" s="147"/>
      <c r="I86" s="38"/>
      <c r="J86" s="38"/>
      <c r="K86" s="38"/>
      <c r="L86" s="38"/>
      <c r="M86" s="38"/>
      <c r="N86" s="38"/>
      <c r="O86" s="38"/>
    </row>
    <row r="87" spans="1:15" ht="13.5" customHeight="1">
      <c r="A87" s="671">
        <v>62</v>
      </c>
      <c r="D87" s="1172">
        <v>2.7000000000000001E-3</v>
      </c>
      <c r="E87" s="1168">
        <v>8.0600000000000005E-2</v>
      </c>
      <c r="F87" s="1170">
        <v>1.163</v>
      </c>
      <c r="G87" s="26" t="s">
        <v>289</v>
      </c>
      <c r="H87" s="147"/>
      <c r="I87" s="38"/>
      <c r="J87" s="38"/>
      <c r="K87" s="38"/>
      <c r="L87" s="38"/>
      <c r="M87" s="38"/>
      <c r="N87" s="38"/>
      <c r="O87" s="38"/>
    </row>
    <row r="88" spans="1:15" ht="13.5" customHeight="1">
      <c r="A88" s="671">
        <v>63</v>
      </c>
      <c r="D88" s="1172">
        <v>6.0000000000000001E-3</v>
      </c>
      <c r="E88" s="1168">
        <v>0.1019</v>
      </c>
      <c r="F88" s="1170">
        <v>1.214</v>
      </c>
      <c r="G88" s="26" t="s">
        <v>289</v>
      </c>
      <c r="H88" s="147"/>
      <c r="I88" s="38"/>
      <c r="J88" s="38"/>
      <c r="K88" s="38"/>
      <c r="L88" s="38"/>
      <c r="M88" s="38"/>
      <c r="N88" s="38"/>
      <c r="O88" s="38"/>
    </row>
    <row r="89" spans="1:15" ht="13.5" customHeight="1">
      <c r="A89" s="671">
        <v>64</v>
      </c>
      <c r="D89" s="1172">
        <v>2.7000000000000001E-3</v>
      </c>
      <c r="E89" s="1168">
        <v>8.0600000000000005E-2</v>
      </c>
      <c r="F89" s="1170">
        <v>1.163</v>
      </c>
      <c r="G89" s="26" t="s">
        <v>289</v>
      </c>
      <c r="H89" s="147"/>
      <c r="I89" s="38"/>
      <c r="J89" s="38"/>
      <c r="K89" s="38"/>
      <c r="L89" s="38"/>
      <c r="M89" s="38"/>
      <c r="N89" s="38"/>
      <c r="O89" s="38"/>
    </row>
    <row r="90" spans="1:15" ht="13.5" customHeight="1">
      <c r="A90" s="671">
        <v>65</v>
      </c>
      <c r="D90" s="1172">
        <v>6.0000000000000001E-3</v>
      </c>
      <c r="E90" s="1168">
        <v>0.1019</v>
      </c>
      <c r="F90" s="1170">
        <v>1.214</v>
      </c>
      <c r="G90" s="26" t="s">
        <v>289</v>
      </c>
      <c r="H90" s="147"/>
      <c r="I90" s="38"/>
      <c r="J90" s="38"/>
      <c r="K90" s="38"/>
      <c r="L90" s="38"/>
      <c r="M90" s="38"/>
      <c r="N90" s="38"/>
      <c r="O90" s="38"/>
    </row>
    <row r="91" spans="1:15" ht="13.5" customHeight="1">
      <c r="A91" s="671">
        <v>66</v>
      </c>
      <c r="D91" s="1172">
        <v>2.7000000000000001E-3</v>
      </c>
      <c r="E91" s="1168">
        <v>8.0600000000000005E-2</v>
      </c>
      <c r="F91" s="1170">
        <v>1.163</v>
      </c>
      <c r="G91" s="26" t="s">
        <v>289</v>
      </c>
      <c r="H91" s="147"/>
      <c r="I91" s="38"/>
      <c r="J91" s="38"/>
      <c r="K91" s="38"/>
      <c r="L91" s="38"/>
      <c r="M91" s="38"/>
      <c r="N91" s="38"/>
      <c r="O91" s="38"/>
    </row>
    <row r="92" spans="1:15" ht="13.5" customHeight="1">
      <c r="A92" s="671">
        <v>67</v>
      </c>
      <c r="D92" s="1172">
        <v>6.0000000000000001E-3</v>
      </c>
      <c r="E92" s="1168">
        <v>0.1019</v>
      </c>
      <c r="F92" s="1170">
        <v>1.214</v>
      </c>
      <c r="G92" s="26" t="s">
        <v>289</v>
      </c>
      <c r="H92" s="147"/>
      <c r="I92" s="38"/>
      <c r="J92" s="38"/>
      <c r="K92" s="38"/>
      <c r="L92" s="38"/>
      <c r="M92" s="38"/>
      <c r="N92" s="38"/>
      <c r="O92" s="38"/>
    </row>
    <row r="93" spans="1:15" ht="13.5" customHeight="1">
      <c r="A93" s="671">
        <v>68</v>
      </c>
      <c r="D93" s="1172">
        <v>2.7000000000000001E-3</v>
      </c>
      <c r="E93" s="1168">
        <v>8.0600000000000005E-2</v>
      </c>
      <c r="F93" s="1170">
        <v>1.163</v>
      </c>
      <c r="G93" s="26" t="s">
        <v>289</v>
      </c>
      <c r="H93" s="147"/>
      <c r="I93" s="38"/>
      <c r="J93" s="38"/>
      <c r="K93" s="38"/>
      <c r="L93" s="38"/>
      <c r="M93" s="38"/>
      <c r="N93" s="38"/>
      <c r="O93" s="38"/>
    </row>
    <row r="94" spans="1:15" ht="13.5" customHeight="1">
      <c r="A94" s="671">
        <v>69</v>
      </c>
      <c r="D94" s="1172">
        <v>6.0000000000000001E-3</v>
      </c>
      <c r="E94" s="1168">
        <v>0.1019</v>
      </c>
      <c r="F94" s="1170">
        <v>1.214</v>
      </c>
      <c r="G94" s="26" t="s">
        <v>289</v>
      </c>
      <c r="H94" s="147"/>
      <c r="I94" s="38"/>
      <c r="J94" s="38"/>
      <c r="K94" s="38"/>
      <c r="L94" s="38"/>
      <c r="M94" s="38"/>
      <c r="N94" s="38"/>
      <c r="O94" s="38"/>
    </row>
    <row r="95" spans="1:15" ht="13.5" customHeight="1">
      <c r="A95" s="671">
        <v>70</v>
      </c>
      <c r="D95" s="1172">
        <v>2.7000000000000001E-3</v>
      </c>
      <c r="E95" s="1168">
        <v>8.0600000000000005E-2</v>
      </c>
      <c r="F95" s="1170">
        <v>1.163</v>
      </c>
      <c r="G95" s="26" t="s">
        <v>289</v>
      </c>
      <c r="H95" s="147"/>
      <c r="I95" s="38"/>
      <c r="J95" s="38"/>
      <c r="K95" s="38"/>
      <c r="L95" s="38"/>
      <c r="M95" s="38"/>
      <c r="N95" s="38"/>
      <c r="O95" s="38"/>
    </row>
    <row r="96" spans="1:15" ht="13.5" customHeight="1">
      <c r="A96" s="671">
        <v>71</v>
      </c>
      <c r="D96" s="1172">
        <v>6.0000000000000001E-3</v>
      </c>
      <c r="E96" s="1168">
        <v>0.1019</v>
      </c>
      <c r="F96" s="1170">
        <v>1.214</v>
      </c>
      <c r="G96" s="26" t="s">
        <v>289</v>
      </c>
      <c r="H96" s="147"/>
      <c r="I96" s="38"/>
      <c r="J96" s="38"/>
      <c r="K96" s="38"/>
      <c r="L96" s="38"/>
      <c r="M96" s="38"/>
      <c r="N96" s="38"/>
      <c r="O96" s="38"/>
    </row>
    <row r="97" spans="1:15" ht="13.5" customHeight="1">
      <c r="A97" s="671">
        <v>72</v>
      </c>
      <c r="D97" s="1172">
        <v>2.7000000000000001E-3</v>
      </c>
      <c r="E97" s="1168">
        <v>8.0600000000000005E-2</v>
      </c>
      <c r="F97" s="1170">
        <v>1.163</v>
      </c>
      <c r="G97" s="26" t="s">
        <v>289</v>
      </c>
      <c r="H97" s="147"/>
      <c r="I97" s="38"/>
      <c r="J97" s="38"/>
      <c r="K97" s="38"/>
      <c r="L97" s="38"/>
      <c r="M97" s="38"/>
      <c r="N97" s="38"/>
      <c r="O97" s="38"/>
    </row>
    <row r="98" spans="1:15" ht="13.5" customHeight="1">
      <c r="A98" s="671">
        <v>73</v>
      </c>
      <c r="D98" s="1172">
        <v>6.0000000000000001E-3</v>
      </c>
      <c r="E98" s="1168">
        <v>0.1019</v>
      </c>
      <c r="F98" s="1170">
        <v>1.214</v>
      </c>
      <c r="G98" s="26" t="s">
        <v>290</v>
      </c>
      <c r="H98" s="147"/>
      <c r="I98" s="38"/>
      <c r="J98" s="38"/>
      <c r="K98" s="38"/>
      <c r="L98" s="38"/>
      <c r="M98" s="38"/>
      <c r="N98" s="38"/>
      <c r="O98" s="38"/>
    </row>
    <row r="99" spans="1:15" ht="13.5" customHeight="1">
      <c r="A99" s="671">
        <v>74</v>
      </c>
      <c r="D99" s="1172">
        <v>2.8E-3</v>
      </c>
      <c r="E99" s="1168">
        <v>9.6500000000000002E-2</v>
      </c>
      <c r="F99" s="1170">
        <v>1.1819999999999999</v>
      </c>
      <c r="G99" s="26" t="s">
        <v>290</v>
      </c>
      <c r="H99" s="147"/>
      <c r="I99" s="38"/>
      <c r="J99" s="38"/>
      <c r="K99" s="38"/>
      <c r="L99" s="38"/>
      <c r="M99" s="38"/>
      <c r="N99" s="38"/>
      <c r="O99" s="38"/>
    </row>
    <row r="100" spans="1:15" ht="13.5" customHeight="1">
      <c r="A100" s="671">
        <v>75</v>
      </c>
      <c r="D100" s="1172">
        <v>6.0000000000000001E-3</v>
      </c>
      <c r="E100" s="1168">
        <v>0.1019</v>
      </c>
      <c r="F100" s="1170">
        <v>1.214</v>
      </c>
      <c r="G100" s="26" t="s">
        <v>290</v>
      </c>
      <c r="H100" s="147"/>
      <c r="I100" s="38"/>
      <c r="J100" s="38"/>
      <c r="K100" s="38"/>
      <c r="L100" s="38"/>
      <c r="M100" s="38"/>
      <c r="N100" s="38"/>
      <c r="O100" s="38"/>
    </row>
    <row r="101" spans="1:15" ht="13.5" customHeight="1">
      <c r="A101" s="671">
        <v>76</v>
      </c>
      <c r="D101" s="1172">
        <v>2.8E-3</v>
      </c>
      <c r="E101" s="1168">
        <v>9.6500000000000002E-2</v>
      </c>
      <c r="F101" s="1170">
        <v>1.1819999999999999</v>
      </c>
      <c r="G101" s="26" t="s">
        <v>290</v>
      </c>
      <c r="H101" s="147"/>
      <c r="I101" s="38"/>
      <c r="J101" s="38"/>
      <c r="K101" s="38"/>
      <c r="L101" s="38"/>
      <c r="M101" s="38"/>
      <c r="N101" s="38"/>
      <c r="O101" s="38"/>
    </row>
    <row r="102" spans="1:15" ht="13.5" customHeight="1">
      <c r="A102" s="671">
        <v>77</v>
      </c>
      <c r="D102" s="1172">
        <v>6.0000000000000001E-3</v>
      </c>
      <c r="E102" s="1168">
        <v>0.1019</v>
      </c>
      <c r="F102" s="1170">
        <v>1.214</v>
      </c>
      <c r="G102" s="26" t="s">
        <v>290</v>
      </c>
      <c r="H102" s="147"/>
      <c r="I102" s="38"/>
      <c r="J102" s="38"/>
      <c r="K102" s="38"/>
      <c r="L102" s="38"/>
      <c r="M102" s="38"/>
      <c r="N102" s="38"/>
      <c r="O102" s="38"/>
    </row>
    <row r="103" spans="1:15" ht="13.5" customHeight="1">
      <c r="A103" s="671">
        <v>78</v>
      </c>
      <c r="D103" s="1172">
        <v>2.8E-3</v>
      </c>
      <c r="E103" s="1168">
        <v>9.6500000000000002E-2</v>
      </c>
      <c r="F103" s="1170">
        <v>1.1819999999999999</v>
      </c>
      <c r="G103" s="26" t="s">
        <v>290</v>
      </c>
      <c r="H103" s="147"/>
      <c r="I103" s="38"/>
      <c r="J103" s="38"/>
      <c r="K103" s="38"/>
      <c r="L103" s="38"/>
      <c r="M103" s="38"/>
      <c r="N103" s="38"/>
      <c r="O103" s="38"/>
    </row>
    <row r="104" spans="1:15" ht="13.5" customHeight="1">
      <c r="A104" s="671">
        <v>79</v>
      </c>
      <c r="D104" s="1172">
        <v>6.0000000000000001E-3</v>
      </c>
      <c r="E104" s="1168">
        <v>0.1019</v>
      </c>
      <c r="F104" s="1170">
        <v>1.214</v>
      </c>
      <c r="G104" s="26" t="s">
        <v>290</v>
      </c>
      <c r="H104" s="147"/>
      <c r="I104" s="38"/>
      <c r="J104" s="38"/>
      <c r="K104" s="38"/>
      <c r="L104" s="38"/>
      <c r="M104" s="38"/>
      <c r="N104" s="38"/>
      <c r="O104" s="38"/>
    </row>
    <row r="105" spans="1:15" ht="13.5" customHeight="1">
      <c r="A105" s="671">
        <v>80</v>
      </c>
      <c r="D105" s="1172">
        <v>2.8E-3</v>
      </c>
      <c r="E105" s="1168">
        <v>9.6500000000000002E-2</v>
      </c>
      <c r="F105" s="1170">
        <v>1.1819999999999999</v>
      </c>
      <c r="G105" s="26" t="s">
        <v>290</v>
      </c>
      <c r="H105" s="147"/>
      <c r="I105" s="38"/>
      <c r="J105" s="38"/>
      <c r="K105" s="38"/>
      <c r="L105" s="38"/>
      <c r="M105" s="38"/>
      <c r="N105" s="38"/>
      <c r="O105" s="38"/>
    </row>
    <row r="106" spans="1:15" ht="13.5" customHeight="1">
      <c r="A106" s="671">
        <v>81</v>
      </c>
      <c r="D106" s="1172">
        <v>6.0000000000000001E-3</v>
      </c>
      <c r="E106" s="1168">
        <v>0.1019</v>
      </c>
      <c r="F106" s="1170">
        <v>1.214</v>
      </c>
      <c r="G106" s="26" t="s">
        <v>290</v>
      </c>
      <c r="H106" s="147"/>
      <c r="I106" s="38"/>
      <c r="J106" s="38"/>
      <c r="K106" s="38"/>
      <c r="L106" s="38"/>
      <c r="M106" s="38"/>
      <c r="N106" s="38"/>
      <c r="O106" s="38"/>
    </row>
    <row r="107" spans="1:15" ht="13.5" customHeight="1">
      <c r="A107" s="671">
        <v>82</v>
      </c>
      <c r="D107" s="1172">
        <v>2.8E-3</v>
      </c>
      <c r="E107" s="1168">
        <v>9.6500000000000002E-2</v>
      </c>
      <c r="F107" s="1170">
        <v>1.1819999999999999</v>
      </c>
      <c r="G107" s="26" t="s">
        <v>290</v>
      </c>
      <c r="H107" s="147"/>
      <c r="I107" s="38"/>
      <c r="J107" s="38"/>
      <c r="K107" s="38"/>
      <c r="L107" s="38"/>
      <c r="M107" s="38"/>
      <c r="N107" s="38"/>
      <c r="O107" s="38"/>
    </row>
    <row r="108" spans="1:15" ht="13.5" customHeight="1">
      <c r="A108" s="671">
        <v>83</v>
      </c>
      <c r="D108" s="1172">
        <v>6.0000000000000001E-3</v>
      </c>
      <c r="E108" s="1168">
        <v>0.1019</v>
      </c>
      <c r="F108" s="1170">
        <v>1.214</v>
      </c>
      <c r="G108" s="26" t="s">
        <v>290</v>
      </c>
      <c r="H108" s="147"/>
      <c r="I108" s="38"/>
      <c r="J108" s="38"/>
      <c r="K108" s="38"/>
      <c r="L108" s="38"/>
      <c r="M108" s="38"/>
      <c r="N108" s="38"/>
      <c r="O108" s="38"/>
    </row>
    <row r="109" spans="1:15" ht="13.5" customHeight="1">
      <c r="A109" s="671">
        <v>84</v>
      </c>
      <c r="D109" s="1172">
        <v>2.8E-3</v>
      </c>
      <c r="E109" s="1168">
        <v>9.6500000000000002E-2</v>
      </c>
      <c r="F109" s="1170">
        <v>1.1819999999999999</v>
      </c>
      <c r="G109" s="26" t="s">
        <v>290</v>
      </c>
      <c r="H109" s="147"/>
      <c r="I109" s="38"/>
      <c r="J109" s="38"/>
      <c r="K109" s="38"/>
      <c r="L109" s="38"/>
      <c r="M109" s="38"/>
      <c r="N109" s="38"/>
      <c r="O109" s="38"/>
    </row>
    <row r="110" spans="1:15" ht="13.5" customHeight="1">
      <c r="A110" s="671">
        <v>85</v>
      </c>
      <c r="D110" s="1172">
        <v>3.8999999999999998E-3</v>
      </c>
      <c r="E110" s="1168">
        <v>7.0300000000000001E-2</v>
      </c>
      <c r="F110" s="1170">
        <v>1.258</v>
      </c>
      <c r="G110" s="26" t="s">
        <v>466</v>
      </c>
      <c r="H110" s="147"/>
      <c r="I110" s="38"/>
      <c r="J110" s="38"/>
      <c r="K110" s="38"/>
      <c r="L110" s="38"/>
      <c r="M110" s="38"/>
      <c r="N110" s="38"/>
      <c r="O110" s="38"/>
    </row>
    <row r="111" spans="1:15" ht="13.5" customHeight="1">
      <c r="A111" s="671">
        <v>86</v>
      </c>
      <c r="D111" s="1172">
        <v>3.0999999999999999E-3</v>
      </c>
      <c r="E111" s="1168">
        <v>7.0499999999999993E-2</v>
      </c>
      <c r="F111" s="1170">
        <v>1.2210000000000001</v>
      </c>
      <c r="G111" s="26" t="s">
        <v>466</v>
      </c>
      <c r="H111" s="147"/>
      <c r="I111" s="38"/>
      <c r="J111" s="38"/>
      <c r="K111" s="38"/>
      <c r="L111" s="38"/>
      <c r="M111" s="38"/>
      <c r="N111" s="38"/>
      <c r="O111" s="38"/>
    </row>
    <row r="112" spans="1:15" ht="13.5" customHeight="1">
      <c r="A112" s="671">
        <v>87</v>
      </c>
      <c r="D112" s="1172">
        <v>3.8999999999999998E-3</v>
      </c>
      <c r="E112" s="1168">
        <v>7.0300000000000001E-2</v>
      </c>
      <c r="F112" s="1170">
        <v>1.258</v>
      </c>
      <c r="G112" s="26" t="s">
        <v>466</v>
      </c>
      <c r="H112" s="147"/>
      <c r="I112" s="38"/>
      <c r="J112" s="38"/>
      <c r="K112" s="38"/>
      <c r="L112" s="38"/>
      <c r="M112" s="38"/>
      <c r="N112" s="38"/>
      <c r="O112" s="38"/>
    </row>
    <row r="113" spans="1:15" ht="13.5" customHeight="1">
      <c r="A113" s="671">
        <v>88</v>
      </c>
      <c r="D113" s="1172">
        <v>3.0999999999999999E-3</v>
      </c>
      <c r="E113" s="1168">
        <v>7.0499999999999993E-2</v>
      </c>
      <c r="F113" s="1170">
        <v>1.2210000000000001</v>
      </c>
      <c r="G113" s="26" t="s">
        <v>466</v>
      </c>
      <c r="H113" s="147"/>
      <c r="I113" s="38"/>
      <c r="J113" s="38"/>
      <c r="K113" s="38"/>
      <c r="L113" s="38"/>
      <c r="M113" s="38"/>
      <c r="N113" s="38"/>
      <c r="O113" s="38"/>
    </row>
    <row r="114" spans="1:15" ht="13.5" customHeight="1">
      <c r="A114" s="671">
        <v>89</v>
      </c>
      <c r="D114" s="1172">
        <v>3.8999999999999998E-3</v>
      </c>
      <c r="E114" s="1168">
        <v>7.0300000000000001E-2</v>
      </c>
      <c r="F114" s="1170">
        <v>1.258</v>
      </c>
      <c r="G114" s="26" t="s">
        <v>466</v>
      </c>
      <c r="H114" s="147"/>
      <c r="I114" s="38"/>
      <c r="J114" s="38"/>
      <c r="K114" s="38"/>
      <c r="L114" s="38"/>
      <c r="M114" s="38"/>
      <c r="N114" s="38"/>
      <c r="O114" s="38"/>
    </row>
    <row r="115" spans="1:15" ht="13.5" customHeight="1">
      <c r="A115" s="671">
        <v>90</v>
      </c>
      <c r="D115" s="1172">
        <v>3.0999999999999999E-3</v>
      </c>
      <c r="E115" s="1168">
        <v>7.0499999999999993E-2</v>
      </c>
      <c r="F115" s="1170">
        <v>1.2210000000000001</v>
      </c>
      <c r="G115" s="26" t="s">
        <v>466</v>
      </c>
      <c r="H115" s="147"/>
      <c r="I115" s="38"/>
      <c r="J115" s="38"/>
      <c r="K115" s="38"/>
      <c r="L115" s="38"/>
      <c r="M115" s="38"/>
      <c r="N115" s="38"/>
      <c r="O115" s="38"/>
    </row>
    <row r="116" spans="1:15" ht="13.5" customHeight="1">
      <c r="A116" s="671">
        <v>91</v>
      </c>
      <c r="D116" s="1172">
        <v>3.8999999999999998E-3</v>
      </c>
      <c r="E116" s="1168">
        <v>7.0300000000000001E-2</v>
      </c>
      <c r="F116" s="1170">
        <v>1.258</v>
      </c>
      <c r="G116" s="26" t="s">
        <v>466</v>
      </c>
      <c r="H116" s="147"/>
      <c r="I116" s="38"/>
      <c r="J116" s="38"/>
      <c r="K116" s="38"/>
      <c r="L116" s="38"/>
      <c r="M116" s="38"/>
      <c r="N116" s="38"/>
      <c r="O116" s="38"/>
    </row>
    <row r="117" spans="1:15" ht="13.5" customHeight="1">
      <c r="A117" s="671">
        <v>92</v>
      </c>
      <c r="D117" s="1172">
        <v>3.0999999999999999E-3</v>
      </c>
      <c r="E117" s="1168">
        <v>7.0499999999999993E-2</v>
      </c>
      <c r="F117" s="1170">
        <v>1.2210000000000001</v>
      </c>
      <c r="G117" s="26" t="s">
        <v>466</v>
      </c>
      <c r="H117" s="147"/>
      <c r="I117" s="38"/>
      <c r="J117" s="38"/>
      <c r="K117" s="38"/>
      <c r="L117" s="38"/>
      <c r="M117" s="38"/>
      <c r="N117" s="38"/>
      <c r="O117" s="38"/>
    </row>
    <row r="118" spans="1:15" ht="13.5" customHeight="1">
      <c r="A118" s="671">
        <v>93</v>
      </c>
      <c r="D118" s="1172">
        <v>3.8999999999999998E-3</v>
      </c>
      <c r="E118" s="1168">
        <v>7.0300000000000001E-2</v>
      </c>
      <c r="F118" s="1170">
        <v>1.258</v>
      </c>
      <c r="G118" s="26" t="s">
        <v>466</v>
      </c>
      <c r="H118" s="147"/>
      <c r="I118" s="38"/>
      <c r="J118" s="38"/>
      <c r="K118" s="38"/>
      <c r="L118" s="38"/>
      <c r="M118" s="38"/>
      <c r="N118" s="38"/>
      <c r="O118" s="38"/>
    </row>
    <row r="119" spans="1:15" ht="13.5" customHeight="1">
      <c r="A119" s="671">
        <v>94</v>
      </c>
      <c r="D119" s="1172">
        <v>3.0999999999999999E-3</v>
      </c>
      <c r="E119" s="1168">
        <v>7.0499999999999993E-2</v>
      </c>
      <c r="F119" s="1170">
        <v>1.2210000000000001</v>
      </c>
      <c r="G119" s="26" t="s">
        <v>466</v>
      </c>
      <c r="H119" s="147"/>
      <c r="I119" s="38"/>
      <c r="J119" s="38"/>
      <c r="K119" s="38"/>
      <c r="L119" s="38"/>
      <c r="M119" s="38"/>
      <c r="N119" s="38"/>
      <c r="O119" s="38"/>
    </row>
    <row r="120" spans="1:15" ht="13.5" customHeight="1">
      <c r="A120" s="671">
        <v>95</v>
      </c>
      <c r="D120" s="1172">
        <v>3.8999999999999998E-3</v>
      </c>
      <c r="E120" s="1168">
        <v>7.0300000000000001E-2</v>
      </c>
      <c r="F120" s="1170">
        <v>1.258</v>
      </c>
      <c r="G120" s="26" t="s">
        <v>466</v>
      </c>
      <c r="H120" s="147"/>
      <c r="I120" s="38"/>
      <c r="J120" s="38"/>
      <c r="K120" s="38"/>
      <c r="L120" s="38"/>
      <c r="M120" s="38"/>
      <c r="N120" s="38"/>
      <c r="O120" s="38"/>
    </row>
    <row r="121" spans="1:15" ht="13.5" customHeight="1" thickBot="1">
      <c r="A121" s="863">
        <v>96</v>
      </c>
      <c r="B121" s="627"/>
      <c r="C121" s="620"/>
      <c r="D121" s="1173">
        <v>3.0999999999999999E-3</v>
      </c>
      <c r="E121" s="1174">
        <v>7.0499999999999993E-2</v>
      </c>
      <c r="F121" s="1171">
        <v>1.2210000000000001</v>
      </c>
      <c r="G121" s="381" t="s">
        <v>466</v>
      </c>
      <c r="H121" s="168"/>
      <c r="I121" s="38"/>
      <c r="J121" s="38"/>
      <c r="K121" s="38"/>
      <c r="L121" s="38"/>
      <c r="M121" s="38"/>
      <c r="N121" s="38"/>
      <c r="O121" s="38"/>
    </row>
    <row r="122" spans="1:15" ht="13.5" customHeight="1" thickTop="1" thickBot="1"/>
    <row r="123" spans="1:15" ht="13.5" customHeight="1" thickBot="1">
      <c r="B123" s="31"/>
      <c r="D123" s="2431" t="s">
        <v>1489</v>
      </c>
    </row>
  </sheetData>
  <sheetProtection sheet="1" objects="1" scenarios="1"/>
  <mergeCells count="13">
    <mergeCell ref="E6:S6"/>
    <mergeCell ref="A7:B7"/>
    <mergeCell ref="A8:B8"/>
    <mergeCell ref="P23:Q25"/>
    <mergeCell ref="A11:B11"/>
    <mergeCell ref="A12:B12"/>
    <mergeCell ref="A13:B13"/>
    <mergeCell ref="A10:B10"/>
    <mergeCell ref="P26:P27"/>
    <mergeCell ref="Q26:Q27"/>
    <mergeCell ref="A18:B18"/>
    <mergeCell ref="A20:B20"/>
    <mergeCell ref="A24:A25"/>
  </mergeCells>
  <phoneticPr fontId="8" type="noConversion"/>
  <hyperlinks>
    <hyperlink ref="F7" r:id="rId1" display="Table 3/2, 3/3 COBA Manual"/>
    <hyperlink ref="A10" location="Contents!A1" display="Contents"/>
    <hyperlink ref="A10:B10" location="Contents!A1" tooltip="Contents page" display="Contents"/>
    <hyperlink ref="D123" location="'COBALT 7'!D26" tooltip="Top of this page" display="Top"/>
  </hyperlinks>
  <pageMargins left="0.75" right="0.75" top="1" bottom="1" header="0.5" footer="0.5"/>
  <pageSetup paperSize="9" scale="54" fitToHeight="0" orientation="landscape" r:id="rId2"/>
  <headerFooter alignWithMargins="0"/>
  <drawing r:id="rId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indexed="10"/>
  </sheetPr>
  <dimension ref="A1:P239"/>
  <sheetViews>
    <sheetView showGridLines="0" zoomScale="75" zoomScaleNormal="100" zoomScaleSheetLayoutView="75" workbookViewId="0">
      <selection activeCell="E23" sqref="E23:F23"/>
    </sheetView>
  </sheetViews>
  <sheetFormatPr defaultColWidth="12.88671875" defaultRowHeight="13.2"/>
  <cols>
    <col min="1" max="1" width="3.6640625" style="1" customWidth="1"/>
    <col min="2" max="2" width="9.109375" style="1" customWidth="1"/>
    <col min="3" max="3" width="10.6640625" style="1" customWidth="1"/>
    <col min="4" max="4" width="17.33203125" style="1" customWidth="1"/>
    <col min="5" max="5" width="9.109375" style="1" customWidth="1"/>
    <col min="6" max="6" width="13.44140625" style="1" customWidth="1"/>
    <col min="7" max="7" width="9.109375" style="1" customWidth="1"/>
    <col min="8" max="8" width="10" style="1" customWidth="1"/>
    <col min="9" max="9" width="72.6640625" style="1" customWidth="1"/>
    <col min="10" max="10" width="9.109375" style="1" customWidth="1"/>
    <col min="11" max="11" width="20.44140625" style="1297" customWidth="1"/>
    <col min="12" max="16384" width="12.88671875" style="1"/>
  </cols>
  <sheetData>
    <row r="1" spans="1:15" ht="54.9" customHeight="1"/>
    <row r="2" spans="1:15" ht="5.0999999999999996" customHeight="1"/>
    <row r="3" spans="1:15" ht="20.100000000000001" customHeight="1">
      <c r="A3" s="20" t="s">
        <v>2344</v>
      </c>
    </row>
    <row r="4" spans="1:15" ht="20.100000000000001" customHeight="1" thickBot="1">
      <c r="A4" s="235" t="s">
        <v>38</v>
      </c>
      <c r="B4" s="1265"/>
      <c r="C4" s="1265"/>
      <c r="D4" s="1265"/>
      <c r="E4" s="1265"/>
      <c r="F4" s="1265"/>
      <c r="G4" s="1265"/>
      <c r="H4" s="1265"/>
      <c r="I4" s="1265"/>
      <c r="J4" s="1265"/>
      <c r="K4" s="1298"/>
      <c r="L4" s="1265"/>
      <c r="M4" s="1265"/>
      <c r="N4" s="1265"/>
    </row>
    <row r="5" spans="1:15" ht="9.9" customHeight="1" thickTop="1" thickBot="1">
      <c r="M5" s="15"/>
      <c r="N5" s="17"/>
    </row>
    <row r="6" spans="1:15" ht="15" customHeight="1" thickBot="1">
      <c r="A6" s="3936" t="s">
        <v>1306</v>
      </c>
      <c r="B6" s="3937"/>
      <c r="C6" s="2095" t="s">
        <v>54</v>
      </c>
      <c r="D6" s="2094">
        <f>'Default Pars'!L19</f>
        <v>2010</v>
      </c>
      <c r="M6" s="15"/>
      <c r="N6" s="17"/>
    </row>
    <row r="7" spans="1:15" ht="12.9" customHeight="1" thickBot="1">
      <c r="M7" s="15"/>
      <c r="N7" s="17"/>
    </row>
    <row r="8" spans="1:15" ht="15" customHeight="1" thickTop="1" thickBot="1">
      <c r="B8" s="1258" t="s">
        <v>162</v>
      </c>
      <c r="C8" s="1259"/>
      <c r="D8" s="1260"/>
      <c r="H8" s="1038" t="s">
        <v>2393</v>
      </c>
      <c r="I8" s="469"/>
      <c r="K8" s="1258" t="s">
        <v>162</v>
      </c>
      <c r="L8" s="2356"/>
      <c r="M8" s="2356"/>
      <c r="N8" s="2369"/>
      <c r="O8" s="15"/>
    </row>
    <row r="9" spans="1:15" ht="15" customHeight="1" thickTop="1" thickBot="1">
      <c r="B9" s="1267" t="s">
        <v>85</v>
      </c>
      <c r="C9" s="1268"/>
      <c r="D9" s="1269" t="s">
        <v>2394</v>
      </c>
      <c r="H9" s="705" t="s">
        <v>40</v>
      </c>
      <c r="I9" s="1266" t="s">
        <v>41</v>
      </c>
      <c r="K9" s="2357" t="s">
        <v>774</v>
      </c>
      <c r="L9" s="2355" t="s">
        <v>540</v>
      </c>
      <c r="M9" s="2358"/>
      <c r="N9" s="2359" t="s">
        <v>541</v>
      </c>
      <c r="O9" s="2321"/>
    </row>
    <row r="10" spans="1:15" ht="15" customHeight="1" thickTop="1" thickBot="1">
      <c r="B10" s="1270" t="s">
        <v>39</v>
      </c>
      <c r="C10" s="1271" t="s">
        <v>40</v>
      </c>
      <c r="D10" s="1996"/>
      <c r="K10" s="2344"/>
      <c r="N10" s="5"/>
      <c r="O10" s="1297"/>
    </row>
    <row r="11" spans="1:15" ht="20.100000000000001" customHeight="1" thickTop="1" thickBot="1">
      <c r="B11" s="1272" t="s">
        <v>535</v>
      </c>
      <c r="C11" s="1997" t="s">
        <v>42</v>
      </c>
      <c r="D11" s="1261" t="s">
        <v>392</v>
      </c>
      <c r="K11" s="2345"/>
      <c r="L11" s="7"/>
      <c r="M11" s="15"/>
      <c r="N11" s="2360"/>
    </row>
    <row r="12" spans="1:15" ht="9.9" customHeight="1">
      <c r="A12" s="5"/>
      <c r="B12" s="1688"/>
      <c r="C12" s="1995"/>
      <c r="D12" s="2090"/>
      <c r="H12" s="2325"/>
      <c r="I12" s="2005"/>
      <c r="K12" s="2345"/>
      <c r="L12" s="7"/>
      <c r="M12" s="15"/>
      <c r="N12" s="2360"/>
    </row>
    <row r="13" spans="1:15" s="15" customFormat="1" ht="18" customHeight="1" thickBot="1">
      <c r="B13" s="1273" t="s">
        <v>535</v>
      </c>
      <c r="C13" s="1274" t="s">
        <v>42</v>
      </c>
      <c r="D13" s="2091"/>
      <c r="H13" s="2007" t="s">
        <v>966</v>
      </c>
      <c r="I13" s="2320" t="str">
        <f>CONCATENATE("Values of time per person (work &amp; non-work), (",D6," values)")</f>
        <v>Values of time per person (work &amp; non-work), (2010 values)</v>
      </c>
      <c r="J13" s="41"/>
      <c r="K13" s="2347" t="s">
        <v>774</v>
      </c>
      <c r="L13" s="2353" t="s">
        <v>1291</v>
      </c>
      <c r="N13" s="2361" t="s">
        <v>1293</v>
      </c>
    </row>
    <row r="14" spans="1:15" s="15" customFormat="1" ht="9.9" customHeight="1" thickBot="1">
      <c r="A14" s="2418"/>
      <c r="B14" s="2439"/>
      <c r="C14" s="1274"/>
      <c r="D14" s="2091"/>
      <c r="H14" s="2324"/>
      <c r="J14" s="41"/>
      <c r="K14" s="30"/>
      <c r="N14" s="2360"/>
    </row>
    <row r="15" spans="1:15" s="15" customFormat="1" ht="20.100000000000001" customHeight="1" thickBot="1">
      <c r="A15" s="2418"/>
      <c r="B15" s="2439" t="s">
        <v>535</v>
      </c>
      <c r="C15" s="1275" t="s">
        <v>42</v>
      </c>
      <c r="D15" s="1292" t="s">
        <v>391</v>
      </c>
      <c r="H15" s="2006" t="s">
        <v>967</v>
      </c>
      <c r="I15" s="2005" t="s">
        <v>393</v>
      </c>
      <c r="K15" s="3934" t="s">
        <v>774</v>
      </c>
      <c r="L15" s="3932" t="s">
        <v>1291</v>
      </c>
      <c r="M15" s="3930" t="s">
        <v>1292</v>
      </c>
      <c r="N15" s="2360"/>
    </row>
    <row r="16" spans="1:15" s="15" customFormat="1" ht="9.9" customHeight="1" thickBot="1">
      <c r="A16" s="2418"/>
      <c r="B16" s="2439"/>
      <c r="C16" s="1274"/>
      <c r="D16" s="1999"/>
      <c r="E16" s="2045"/>
      <c r="H16" s="2007"/>
      <c r="I16" s="2320"/>
      <c r="K16" s="3935"/>
      <c r="L16" s="3933"/>
      <c r="M16" s="3931"/>
      <c r="N16" s="2360"/>
    </row>
    <row r="17" spans="1:14" s="15" customFormat="1" ht="9.9" customHeight="1" thickBot="1">
      <c r="B17" s="1273"/>
      <c r="C17" s="1274"/>
      <c r="D17" s="1999"/>
      <c r="H17" s="17"/>
      <c r="K17" s="354"/>
      <c r="N17" s="2360"/>
    </row>
    <row r="18" spans="1:14" s="15" customFormat="1" ht="24.9" customHeight="1" thickBot="1">
      <c r="B18" s="1273" t="s">
        <v>535</v>
      </c>
      <c r="C18" s="1275">
        <v>4</v>
      </c>
      <c r="D18" s="1292" t="s">
        <v>301</v>
      </c>
      <c r="H18" s="2002" t="s">
        <v>968</v>
      </c>
      <c r="I18" s="2003" t="s">
        <v>673</v>
      </c>
      <c r="K18" s="354"/>
      <c r="N18" s="2360"/>
    </row>
    <row r="19" spans="1:14" s="15" customFormat="1" ht="9.9" customHeight="1" thickBot="1">
      <c r="B19" s="1273"/>
      <c r="C19" s="1274"/>
      <c r="D19" s="1999"/>
      <c r="F19" s="2044"/>
      <c r="H19" s="17"/>
      <c r="K19" s="354"/>
      <c r="N19" s="2360"/>
    </row>
    <row r="20" spans="1:14" s="15" customFormat="1" ht="20.100000000000001" customHeight="1" thickBot="1">
      <c r="B20" s="1273" t="s">
        <v>535</v>
      </c>
      <c r="C20" s="1275">
        <v>5</v>
      </c>
      <c r="D20" s="1292" t="s">
        <v>302</v>
      </c>
      <c r="F20" s="60"/>
      <c r="H20" s="3940" t="s">
        <v>972</v>
      </c>
      <c r="I20" s="3943" t="s">
        <v>671</v>
      </c>
      <c r="K20" s="354"/>
      <c r="N20" s="2360"/>
    </row>
    <row r="21" spans="1:14" s="15" customFormat="1" ht="45" customHeight="1" thickBot="1">
      <c r="B21" s="1273" t="s">
        <v>535</v>
      </c>
      <c r="C21" s="1274">
        <v>9</v>
      </c>
      <c r="D21" s="1999"/>
      <c r="F21" s="2337" t="s">
        <v>401</v>
      </c>
      <c r="H21" s="3941"/>
      <c r="I21" s="3944"/>
      <c r="K21" s="354"/>
      <c r="L21" s="2353" t="s">
        <v>1291</v>
      </c>
      <c r="M21" s="2354" t="s">
        <v>1292</v>
      </c>
      <c r="N21" s="2360"/>
    </row>
    <row r="22" spans="1:14" s="15" customFormat="1" ht="9.9" customHeight="1" thickBot="1">
      <c r="B22" s="1273"/>
      <c r="C22" s="1274"/>
      <c r="D22" s="1999"/>
      <c r="F22" s="60"/>
      <c r="H22" s="3941"/>
      <c r="I22" s="3944"/>
      <c r="K22" s="354"/>
      <c r="N22" s="2360"/>
    </row>
    <row r="23" spans="1:14" s="15" customFormat="1" ht="24.9" customHeight="1" thickBot="1">
      <c r="B23" s="1273" t="s">
        <v>535</v>
      </c>
      <c r="C23" s="1275">
        <v>6</v>
      </c>
      <c r="D23" s="1292" t="s">
        <v>303</v>
      </c>
      <c r="F23" s="2025" t="s">
        <v>969</v>
      </c>
      <c r="H23" s="3942"/>
      <c r="I23" s="3945"/>
      <c r="K23" s="354"/>
      <c r="N23" s="2361" t="s">
        <v>1293</v>
      </c>
    </row>
    <row r="24" spans="1:14" s="15" customFormat="1" ht="9.9" customHeight="1" thickBot="1">
      <c r="B24" s="1273"/>
      <c r="C24" s="1274"/>
      <c r="D24" s="1999"/>
      <c r="F24" s="60"/>
      <c r="H24" s="17"/>
      <c r="K24" s="354"/>
      <c r="N24" s="2360"/>
    </row>
    <row r="25" spans="1:14" s="15" customFormat="1" ht="18" customHeight="1" thickBot="1">
      <c r="B25" s="1273" t="s">
        <v>535</v>
      </c>
      <c r="C25" s="1274">
        <v>9</v>
      </c>
      <c r="D25" s="1999"/>
      <c r="H25" s="2002" t="s">
        <v>971</v>
      </c>
      <c r="I25" s="2003" t="str">
        <f>CONCATENATE("Market price values of time per vehicle based on distance travelled, (",D6," values)")</f>
        <v>Market price values of time per vehicle based on distance travelled, (2010 values)</v>
      </c>
      <c r="K25" s="354"/>
      <c r="L25" s="2353" t="s">
        <v>1291</v>
      </c>
      <c r="N25" s="2361" t="s">
        <v>1293</v>
      </c>
    </row>
    <row r="26" spans="1:14" s="15" customFormat="1" ht="9.9" customHeight="1" thickBot="1">
      <c r="B26" s="1273"/>
      <c r="C26" s="1274"/>
      <c r="D26" s="1999"/>
      <c r="H26" s="17"/>
      <c r="K26" s="354"/>
      <c r="N26" s="2360"/>
    </row>
    <row r="27" spans="1:14" s="15" customFormat="1" ht="30" customHeight="1" thickBot="1">
      <c r="B27" s="1273" t="s">
        <v>535</v>
      </c>
      <c r="C27" s="1275" t="s">
        <v>659</v>
      </c>
      <c r="D27" s="1292" t="s">
        <v>304</v>
      </c>
      <c r="H27" s="2004" t="s">
        <v>970</v>
      </c>
      <c r="I27" s="2005" t="s">
        <v>534</v>
      </c>
      <c r="K27" s="354"/>
      <c r="N27" s="2360"/>
    </row>
    <row r="28" spans="1:14" s="15" customFormat="1" ht="9.9" customHeight="1" thickBot="1">
      <c r="B28" s="1273"/>
      <c r="C28" s="1274"/>
      <c r="D28" s="1999"/>
      <c r="H28" s="2007"/>
      <c r="I28" s="2320"/>
      <c r="J28" s="41"/>
      <c r="K28" s="30"/>
      <c r="N28" s="2360"/>
    </row>
    <row r="29" spans="1:14" s="15" customFormat="1" ht="20.100000000000001" customHeight="1" thickBot="1">
      <c r="A29" s="41"/>
      <c r="D29" s="1292" t="s">
        <v>305</v>
      </c>
      <c r="J29" s="41"/>
      <c r="K29" s="354"/>
      <c r="N29" s="2360"/>
    </row>
    <row r="30" spans="1:14" s="15" customFormat="1" ht="9.9" customHeight="1" thickBot="1">
      <c r="B30" s="1273"/>
      <c r="C30" s="1274"/>
      <c r="D30" s="1999"/>
      <c r="H30" s="2326"/>
      <c r="I30" s="336"/>
      <c r="J30" s="41"/>
      <c r="K30" s="354"/>
      <c r="N30" s="2360"/>
    </row>
    <row r="31" spans="1:14" s="15" customFormat="1" ht="20.100000000000001" customHeight="1" thickBot="1">
      <c r="B31" s="1273" t="s">
        <v>535</v>
      </c>
      <c r="C31" s="1275">
        <v>13</v>
      </c>
      <c r="D31" s="1261" t="s">
        <v>430</v>
      </c>
      <c r="H31" s="2332" t="s">
        <v>976</v>
      </c>
      <c r="I31" s="2009" t="s">
        <v>803</v>
      </c>
      <c r="J31" s="41"/>
      <c r="K31" s="354"/>
      <c r="N31" s="2360"/>
    </row>
    <row r="32" spans="1:14" s="15" customFormat="1" ht="9.9" customHeight="1" thickBot="1">
      <c r="B32" s="1273"/>
      <c r="C32" s="1275"/>
      <c r="D32" s="2027"/>
      <c r="H32" s="2000"/>
      <c r="I32" s="2001"/>
      <c r="J32" s="41"/>
      <c r="K32" s="354"/>
      <c r="N32" s="2360"/>
    </row>
    <row r="33" spans="2:14" s="15" customFormat="1" ht="30" customHeight="1" thickBot="1">
      <c r="B33" s="1273" t="s">
        <v>535</v>
      </c>
      <c r="C33" s="1275">
        <v>10</v>
      </c>
      <c r="D33" s="2025" t="s">
        <v>130</v>
      </c>
      <c r="H33" s="2002" t="s">
        <v>977</v>
      </c>
      <c r="I33" s="2003" t="s">
        <v>1177</v>
      </c>
      <c r="J33" s="41"/>
      <c r="K33" s="2346"/>
      <c r="M33" s="2354" t="s">
        <v>1292</v>
      </c>
      <c r="N33" s="2360"/>
    </row>
    <row r="34" spans="2:14" s="15" customFormat="1" ht="9.9" customHeight="1" thickBot="1">
      <c r="B34" s="1273"/>
      <c r="C34" s="1274"/>
      <c r="D34" s="1999"/>
      <c r="H34" s="17"/>
      <c r="K34" s="354"/>
      <c r="N34" s="2360"/>
    </row>
    <row r="35" spans="2:14" s="15" customFormat="1" ht="30" customHeight="1" thickBot="1">
      <c r="B35" s="1273" t="s">
        <v>535</v>
      </c>
      <c r="C35" s="1274">
        <v>10</v>
      </c>
      <c r="D35" s="2330"/>
      <c r="H35" s="2008" t="s">
        <v>974</v>
      </c>
      <c r="I35" s="2009" t="s">
        <v>670</v>
      </c>
      <c r="J35" s="41"/>
      <c r="N35" s="2360"/>
    </row>
    <row r="36" spans="2:14" s="15" customFormat="1" ht="9.9" customHeight="1" thickBot="1">
      <c r="B36" s="1273"/>
      <c r="C36" s="1274"/>
      <c r="D36" s="1999"/>
      <c r="H36" s="17"/>
      <c r="J36" s="41"/>
      <c r="K36" s="30"/>
      <c r="N36" s="2362"/>
    </row>
    <row r="37" spans="2:14" s="15" customFormat="1" ht="30" customHeight="1" thickBot="1">
      <c r="B37" s="1273" t="s">
        <v>535</v>
      </c>
      <c r="C37" s="1275" t="s">
        <v>657</v>
      </c>
      <c r="D37" s="1292" t="s">
        <v>300</v>
      </c>
      <c r="H37" s="2002" t="s">
        <v>973</v>
      </c>
      <c r="I37" s="2003" t="s">
        <v>394</v>
      </c>
      <c r="J37" s="41"/>
      <c r="K37" s="2347" t="s">
        <v>774</v>
      </c>
      <c r="L37" s="2353" t="s">
        <v>1291</v>
      </c>
      <c r="M37" s="2368" t="s">
        <v>1292</v>
      </c>
      <c r="N37" s="2360"/>
    </row>
    <row r="38" spans="2:14" s="15" customFormat="1" ht="9.9" customHeight="1" thickBot="1">
      <c r="B38" s="1273"/>
      <c r="C38" s="1274"/>
      <c r="D38" s="1999"/>
      <c r="H38" s="17"/>
      <c r="K38" s="354"/>
      <c r="N38" s="2360"/>
    </row>
    <row r="39" spans="2:14" s="15" customFormat="1" ht="39.9" customHeight="1" thickBot="1">
      <c r="B39" s="1273" t="s">
        <v>535</v>
      </c>
      <c r="C39" s="1274" t="s">
        <v>658</v>
      </c>
      <c r="D39" s="1999"/>
      <c r="H39" s="2002" t="s">
        <v>99</v>
      </c>
      <c r="I39" s="2003" t="s">
        <v>674</v>
      </c>
      <c r="K39" s="354"/>
      <c r="L39" s="2353" t="s">
        <v>1291</v>
      </c>
      <c r="M39" s="2354" t="s">
        <v>1292</v>
      </c>
      <c r="N39" s="2360"/>
    </row>
    <row r="40" spans="2:14" s="15" customFormat="1" ht="9.9" customHeight="1" thickBot="1">
      <c r="B40" s="1273"/>
      <c r="C40" s="1274"/>
      <c r="D40" s="1999"/>
      <c r="H40" s="17"/>
      <c r="I40" s="2327"/>
      <c r="K40" s="354"/>
      <c r="N40" s="2360"/>
    </row>
    <row r="41" spans="2:14" s="15" customFormat="1" ht="30" customHeight="1">
      <c r="B41" s="1273" t="s">
        <v>535</v>
      </c>
      <c r="C41" s="1274" t="s">
        <v>279</v>
      </c>
      <c r="D41" s="1999"/>
      <c r="H41" s="3940" t="s">
        <v>101</v>
      </c>
      <c r="I41" s="3943" t="s">
        <v>675</v>
      </c>
      <c r="K41" s="354"/>
      <c r="L41" s="2353" t="s">
        <v>1291</v>
      </c>
      <c r="M41" s="2354" t="s">
        <v>1292</v>
      </c>
      <c r="N41" s="2360"/>
    </row>
    <row r="42" spans="2:14" s="15" customFormat="1" ht="9.9" customHeight="1" thickBot="1">
      <c r="B42" s="1273"/>
      <c r="C42" s="1274"/>
      <c r="D42" s="1999"/>
      <c r="H42" s="3946"/>
      <c r="I42" s="3945"/>
      <c r="K42" s="354"/>
      <c r="N42" s="2360"/>
    </row>
    <row r="43" spans="2:14" s="15" customFormat="1" ht="9.9" customHeight="1" thickBot="1">
      <c r="B43" s="1273"/>
      <c r="C43" s="1274"/>
      <c r="D43" s="1999"/>
      <c r="H43" s="17"/>
      <c r="K43" s="354"/>
      <c r="N43" s="2360"/>
    </row>
    <row r="44" spans="2:14" s="15" customFormat="1" ht="9.9" customHeight="1">
      <c r="B44" s="1273"/>
      <c r="C44" s="1275"/>
      <c r="D44" s="3938" t="s">
        <v>1073</v>
      </c>
      <c r="H44" s="3940" t="s">
        <v>975</v>
      </c>
      <c r="I44" s="3943" t="s">
        <v>1180</v>
      </c>
      <c r="K44" s="354"/>
      <c r="N44" s="2360"/>
    </row>
    <row r="45" spans="2:14" s="15" customFormat="1" ht="18" customHeight="1" thickBot="1">
      <c r="B45" s="1273" t="s">
        <v>535</v>
      </c>
      <c r="C45" s="1275">
        <v>12</v>
      </c>
      <c r="D45" s="3939"/>
      <c r="H45" s="3941"/>
      <c r="I45" s="3944"/>
      <c r="K45" s="354"/>
      <c r="N45" s="2360"/>
    </row>
    <row r="46" spans="2:14" s="15" customFormat="1" ht="9.9" customHeight="1" thickBot="1">
      <c r="B46" s="1273"/>
      <c r="C46" s="1274"/>
      <c r="D46" s="2092"/>
      <c r="H46" s="3942"/>
      <c r="I46" s="3945"/>
      <c r="K46" s="354"/>
      <c r="N46" s="2360"/>
    </row>
    <row r="47" spans="2:14" s="15" customFormat="1" ht="9.9" customHeight="1" thickBot="1">
      <c r="B47" s="1273"/>
      <c r="C47" s="1274"/>
      <c r="D47" s="1999"/>
      <c r="H47" s="17"/>
      <c r="K47" s="354"/>
      <c r="N47" s="2360"/>
    </row>
    <row r="48" spans="2:14" s="15" customFormat="1" ht="30" customHeight="1" thickBot="1">
      <c r="B48" s="1273" t="s">
        <v>535</v>
      </c>
      <c r="C48" s="1275">
        <v>15</v>
      </c>
      <c r="D48" s="1291" t="s">
        <v>547</v>
      </c>
      <c r="H48" s="2002" t="s">
        <v>103</v>
      </c>
      <c r="I48" s="2003" t="str">
        <f>CONCATENATE("Non-fuel resource Vehicle Operating Costs, (",D6," values)")</f>
        <v>Non-fuel resource Vehicle Operating Costs, (2010 values)</v>
      </c>
      <c r="J48" s="41"/>
      <c r="K48" s="2347" t="s">
        <v>774</v>
      </c>
      <c r="L48" s="2353" t="s">
        <v>1291</v>
      </c>
      <c r="N48" s="2361" t="s">
        <v>1293</v>
      </c>
    </row>
    <row r="49" spans="1:14" s="15" customFormat="1" ht="9.9" customHeight="1" thickBot="1">
      <c r="B49" s="1273"/>
      <c r="C49" s="1274"/>
      <c r="D49" s="1999"/>
      <c r="H49" s="17"/>
      <c r="J49" s="41"/>
      <c r="K49" s="30"/>
      <c r="N49" s="2360"/>
    </row>
    <row r="50" spans="1:14" s="15" customFormat="1" ht="30" customHeight="1" thickBot="1">
      <c r="B50" s="1276" t="s">
        <v>535</v>
      </c>
      <c r="C50" s="1277">
        <v>16</v>
      </c>
      <c r="D50" s="2093"/>
      <c r="H50" s="2002" t="s">
        <v>104</v>
      </c>
      <c r="I50" s="2003" t="s">
        <v>672</v>
      </c>
      <c r="J50" s="41"/>
      <c r="K50" s="30"/>
      <c r="L50" s="2353" t="s">
        <v>1291</v>
      </c>
      <c r="M50" s="2354" t="s">
        <v>1292</v>
      </c>
      <c r="N50" s="2360"/>
    </row>
    <row r="51" spans="1:14" s="15" customFormat="1" ht="9.9" customHeight="1" thickTop="1" thickBot="1">
      <c r="B51" s="2331"/>
      <c r="C51" s="2331"/>
      <c r="D51" s="2027"/>
      <c r="H51" s="17"/>
      <c r="J51" s="41"/>
      <c r="K51" s="30"/>
      <c r="N51" s="2360"/>
    </row>
    <row r="52" spans="1:14" s="15" customFormat="1" ht="30" customHeight="1" thickTop="1" thickBot="1">
      <c r="B52" s="1295"/>
      <c r="D52" s="1291" t="s">
        <v>1398</v>
      </c>
      <c r="H52" s="2328"/>
      <c r="I52" s="2329" t="s">
        <v>892</v>
      </c>
      <c r="J52" s="41"/>
      <c r="K52" s="30"/>
      <c r="L52" s="2353" t="s">
        <v>1291</v>
      </c>
      <c r="M52" s="2354" t="s">
        <v>1292</v>
      </c>
      <c r="N52" s="2360"/>
    </row>
    <row r="53" spans="1:14" s="15" customFormat="1" ht="9.9" customHeight="1" thickBot="1">
      <c r="A53" s="41"/>
      <c r="B53" s="1275"/>
      <c r="C53" s="1275"/>
      <c r="D53" s="1999"/>
      <c r="F53" s="29"/>
      <c r="H53" s="17"/>
      <c r="J53" s="41"/>
      <c r="K53" s="30"/>
      <c r="N53" s="2360"/>
    </row>
    <row r="54" spans="1:14" s="15" customFormat="1" ht="18" customHeight="1" thickBot="1">
      <c r="A54" s="41"/>
      <c r="B54" s="1275"/>
      <c r="C54" s="1275"/>
      <c r="D54" s="1999"/>
      <c r="H54" s="2002" t="s">
        <v>1172</v>
      </c>
      <c r="I54" s="2003" t="s">
        <v>381</v>
      </c>
      <c r="J54" s="41"/>
      <c r="K54" s="30"/>
      <c r="L54" s="2353" t="s">
        <v>1291</v>
      </c>
      <c r="N54" s="2360"/>
    </row>
    <row r="55" spans="1:14" s="15" customFormat="1" ht="9.9" customHeight="1" thickBot="1">
      <c r="A55" s="41"/>
      <c r="B55" s="1275"/>
      <c r="C55" s="1275"/>
      <c r="D55" s="1999"/>
      <c r="H55" s="17"/>
      <c r="J55" s="41"/>
      <c r="K55" s="30"/>
      <c r="N55" s="2360"/>
    </row>
    <row r="56" spans="1:14" s="15" customFormat="1" ht="30" customHeight="1" thickBot="1">
      <c r="A56" s="41"/>
      <c r="B56" s="2335" t="s">
        <v>1113</v>
      </c>
      <c r="C56" s="2336">
        <v>1</v>
      </c>
      <c r="D56" s="2093"/>
      <c r="H56" s="2008" t="s">
        <v>536</v>
      </c>
      <c r="I56" s="2009" t="s">
        <v>1051</v>
      </c>
      <c r="J56" s="41"/>
      <c r="K56" s="2347" t="s">
        <v>774</v>
      </c>
      <c r="M56" s="2354" t="s">
        <v>1292</v>
      </c>
      <c r="N56" s="2360"/>
    </row>
    <row r="57" spans="1:14" s="15" customFormat="1" ht="15" customHeight="1" thickTop="1" thickBot="1">
      <c r="B57" s="30"/>
      <c r="C57" s="30"/>
      <c r="D57" s="2027"/>
      <c r="H57" s="17"/>
      <c r="J57" s="41"/>
      <c r="K57" s="305"/>
      <c r="N57" s="2360"/>
    </row>
    <row r="58" spans="1:14" s="7" customFormat="1" ht="30" customHeight="1" thickTop="1" thickBot="1">
      <c r="B58" s="1279" t="s">
        <v>1307</v>
      </c>
      <c r="C58" s="1280">
        <v>1</v>
      </c>
      <c r="D58" s="1262" t="s">
        <v>1074</v>
      </c>
      <c r="H58" s="2002" t="s">
        <v>107</v>
      </c>
      <c r="I58" s="2010" t="s">
        <v>26</v>
      </c>
      <c r="J58" s="41"/>
      <c r="K58" s="2347" t="s">
        <v>774</v>
      </c>
      <c r="L58" s="2353" t="s">
        <v>1291</v>
      </c>
      <c r="M58" s="15"/>
      <c r="N58" s="2361" t="s">
        <v>1293</v>
      </c>
    </row>
    <row r="59" spans="1:14" s="7" customFormat="1" ht="9.9" customHeight="1" thickBot="1">
      <c r="B59" s="1281" t="s">
        <v>1307</v>
      </c>
      <c r="C59" s="1282">
        <v>2</v>
      </c>
      <c r="D59" s="2090"/>
      <c r="H59" s="61"/>
      <c r="I59" s="15"/>
      <c r="J59" s="5"/>
      <c r="K59" s="6"/>
      <c r="M59" s="15"/>
      <c r="N59" s="2360"/>
    </row>
    <row r="60" spans="1:14" s="7" customFormat="1" ht="15" customHeight="1" thickBot="1">
      <c r="B60" s="1281" t="s">
        <v>1308</v>
      </c>
      <c r="C60" s="1282">
        <v>4</v>
      </c>
      <c r="D60" s="1263" t="s">
        <v>853</v>
      </c>
      <c r="J60" s="41"/>
      <c r="M60" s="15"/>
      <c r="N60" s="2360"/>
    </row>
    <row r="61" spans="1:14" s="7" customFormat="1" ht="9.9" customHeight="1" thickBot="1">
      <c r="B61" s="1281"/>
      <c r="C61" s="1282"/>
      <c r="D61" s="1999"/>
      <c r="H61" s="17"/>
      <c r="I61" s="15"/>
      <c r="J61" s="5"/>
      <c r="K61" s="6"/>
      <c r="M61" s="15"/>
      <c r="N61" s="2360"/>
    </row>
    <row r="62" spans="1:14" s="7" customFormat="1" ht="30" customHeight="1" thickBot="1">
      <c r="B62" s="1281" t="s">
        <v>1308</v>
      </c>
      <c r="C62" s="1283">
        <v>5</v>
      </c>
      <c r="D62" s="1261" t="s">
        <v>854</v>
      </c>
      <c r="H62" s="2002" t="s">
        <v>959</v>
      </c>
      <c r="I62" s="2003" t="s">
        <v>27</v>
      </c>
      <c r="J62" s="41"/>
      <c r="K62" s="2347" t="s">
        <v>774</v>
      </c>
      <c r="L62" s="2353" t="s">
        <v>1291</v>
      </c>
      <c r="M62" s="15"/>
      <c r="N62" s="2361" t="s">
        <v>1293</v>
      </c>
    </row>
    <row r="63" spans="1:14" s="7" customFormat="1" ht="9.9" customHeight="1" thickBot="1">
      <c r="B63" s="1281"/>
      <c r="C63" s="1282"/>
      <c r="D63" s="2011"/>
      <c r="H63" s="17"/>
      <c r="I63" s="15"/>
      <c r="J63" s="41"/>
      <c r="K63" s="120"/>
      <c r="M63" s="15"/>
      <c r="N63" s="2360"/>
    </row>
    <row r="64" spans="1:14" s="7" customFormat="1" ht="15" customHeight="1" thickBot="1">
      <c r="B64" s="1281" t="s">
        <v>1308</v>
      </c>
      <c r="C64" s="1283">
        <v>2</v>
      </c>
      <c r="D64" s="1261" t="s">
        <v>876</v>
      </c>
      <c r="H64" s="17"/>
      <c r="I64" s="15"/>
      <c r="J64" s="41"/>
      <c r="K64" s="2346"/>
      <c r="M64" s="15"/>
      <c r="N64" s="2360"/>
    </row>
    <row r="65" spans="1:16" s="15" customFormat="1" ht="9.9" customHeight="1" thickBot="1">
      <c r="B65" s="1281"/>
      <c r="C65" s="1282"/>
      <c r="D65" s="2091"/>
      <c r="H65" s="17"/>
      <c r="J65" s="41"/>
      <c r="K65" s="354"/>
      <c r="N65" s="2360"/>
    </row>
    <row r="66" spans="1:16" s="7" customFormat="1" ht="30" customHeight="1" thickBot="1">
      <c r="B66" s="1281" t="s">
        <v>1309</v>
      </c>
      <c r="C66" s="1283">
        <v>1</v>
      </c>
      <c r="D66" s="1261" t="s">
        <v>1316</v>
      </c>
      <c r="H66" s="2008" t="s">
        <v>960</v>
      </c>
      <c r="I66" s="2009" t="s">
        <v>343</v>
      </c>
      <c r="J66" s="5"/>
      <c r="K66" s="2345"/>
      <c r="M66" s="2368" t="s">
        <v>1292</v>
      </c>
      <c r="N66" s="2360"/>
    </row>
    <row r="67" spans="1:16" s="7" customFormat="1" ht="15" customHeight="1" thickBot="1">
      <c r="B67" s="1281"/>
      <c r="C67" s="1282"/>
      <c r="D67" s="1999"/>
      <c r="H67" s="17"/>
      <c r="I67" s="15"/>
      <c r="J67" s="5"/>
      <c r="K67" s="2345"/>
      <c r="M67" s="15"/>
      <c r="N67" s="2360"/>
    </row>
    <row r="68" spans="1:16" s="7" customFormat="1" ht="30" customHeight="1" thickBot="1">
      <c r="B68" s="1284" t="s">
        <v>1309</v>
      </c>
      <c r="C68" s="1285" t="s">
        <v>344</v>
      </c>
      <c r="D68" s="1299" t="s">
        <v>161</v>
      </c>
      <c r="E68" s="19"/>
      <c r="G68" s="2350"/>
      <c r="H68" s="2002" t="s">
        <v>961</v>
      </c>
      <c r="I68" s="2003" t="s">
        <v>345</v>
      </c>
      <c r="J68" s="41"/>
      <c r="K68" s="2347" t="s">
        <v>774</v>
      </c>
      <c r="L68" s="2353" t="s">
        <v>1291</v>
      </c>
      <c r="M68" s="2368" t="s">
        <v>1292</v>
      </c>
      <c r="N68" s="2360"/>
    </row>
    <row r="69" spans="1:16" s="7" customFormat="1" ht="15" customHeight="1" thickTop="1" thickBot="1">
      <c r="B69" s="1228"/>
      <c r="C69" s="1228"/>
      <c r="D69" s="1296"/>
      <c r="J69" s="5"/>
      <c r="K69" s="6"/>
      <c r="N69" s="5"/>
      <c r="O69" s="6"/>
      <c r="P69" s="6"/>
    </row>
    <row r="70" spans="1:16" s="7" customFormat="1" ht="30" customHeight="1" thickTop="1" thickBot="1">
      <c r="A70" s="5"/>
      <c r="B70" s="1286" t="s">
        <v>1310</v>
      </c>
      <c r="C70" s="1287">
        <v>1</v>
      </c>
      <c r="D70" s="2333" t="s">
        <v>61</v>
      </c>
      <c r="H70" s="2002" t="s">
        <v>118</v>
      </c>
      <c r="I70" s="2003" t="s">
        <v>1311</v>
      </c>
      <c r="J70" s="5"/>
      <c r="K70" s="2347" t="s">
        <v>774</v>
      </c>
      <c r="L70" s="2353" t="s">
        <v>1291</v>
      </c>
      <c r="N70" s="2361" t="s">
        <v>1293</v>
      </c>
      <c r="O70" s="6"/>
      <c r="P70" s="6"/>
    </row>
    <row r="71" spans="1:16" s="7" customFormat="1" ht="9.9" customHeight="1" thickBot="1">
      <c r="B71" s="1286"/>
      <c r="C71" s="1287"/>
      <c r="D71" s="16"/>
      <c r="H71" s="17"/>
      <c r="I71" s="15"/>
      <c r="J71" s="5"/>
      <c r="K71" s="6"/>
      <c r="N71" s="5"/>
      <c r="O71" s="6"/>
      <c r="P71" s="6"/>
    </row>
    <row r="72" spans="1:16" s="7" customFormat="1" ht="30" customHeight="1" thickBot="1">
      <c r="B72" s="1286" t="s">
        <v>1310</v>
      </c>
      <c r="C72" s="1287">
        <v>2</v>
      </c>
      <c r="D72" s="1264" t="s">
        <v>538</v>
      </c>
      <c r="H72" s="2002" t="s">
        <v>119</v>
      </c>
      <c r="I72" s="2003" t="s">
        <v>1277</v>
      </c>
      <c r="J72" s="41"/>
      <c r="K72" s="120"/>
      <c r="L72" s="2353" t="s">
        <v>1291</v>
      </c>
      <c r="N72" s="2361" t="s">
        <v>1293</v>
      </c>
      <c r="O72" s="6"/>
      <c r="P72" s="6"/>
    </row>
    <row r="73" spans="1:16" s="7" customFormat="1" ht="9.9" customHeight="1" thickBot="1">
      <c r="B73" s="19"/>
      <c r="D73" s="64"/>
      <c r="H73" s="17"/>
      <c r="I73" s="15"/>
      <c r="J73" s="5"/>
      <c r="K73" s="30"/>
      <c r="N73" s="5"/>
      <c r="O73" s="6"/>
      <c r="P73" s="6"/>
    </row>
    <row r="74" spans="1:16" s="7" customFormat="1" ht="39.9" customHeight="1" thickBot="1">
      <c r="B74" s="1286" t="s">
        <v>1310</v>
      </c>
      <c r="C74" s="1287">
        <v>3</v>
      </c>
      <c r="D74" s="1264" t="s">
        <v>62</v>
      </c>
      <c r="H74" s="2002" t="s">
        <v>120</v>
      </c>
      <c r="I74" s="2003" t="s">
        <v>1350</v>
      </c>
      <c r="J74" s="41"/>
      <c r="K74" s="120"/>
      <c r="L74" s="2353" t="s">
        <v>1291</v>
      </c>
      <c r="N74" s="2361" t="s">
        <v>1293</v>
      </c>
      <c r="O74" s="6"/>
      <c r="P74" s="6"/>
    </row>
    <row r="75" spans="1:16" s="7" customFormat="1" ht="9.9" customHeight="1" thickBot="1">
      <c r="B75" s="1288"/>
      <c r="C75" s="1289"/>
      <c r="D75" s="16"/>
      <c r="H75" s="1986"/>
      <c r="J75" s="5"/>
      <c r="K75" s="6"/>
      <c r="N75" s="5"/>
      <c r="O75" s="6"/>
      <c r="P75" s="6"/>
    </row>
    <row r="76" spans="1:16" s="7" customFormat="1" ht="30" customHeight="1" thickBot="1">
      <c r="B76" s="1286" t="s">
        <v>1310</v>
      </c>
      <c r="C76" s="1287">
        <v>4</v>
      </c>
      <c r="D76" s="1264" t="s">
        <v>539</v>
      </c>
      <c r="H76" s="2002" t="s">
        <v>121</v>
      </c>
      <c r="I76" s="2003" t="s">
        <v>1278</v>
      </c>
      <c r="J76" s="5"/>
      <c r="K76" s="2347" t="s">
        <v>774</v>
      </c>
      <c r="L76" s="2353" t="s">
        <v>1291</v>
      </c>
      <c r="N76" s="2361" t="s">
        <v>1293</v>
      </c>
      <c r="O76" s="6"/>
      <c r="P76" s="6"/>
    </row>
    <row r="77" spans="1:16" s="7" customFormat="1" ht="9.9" customHeight="1" thickBot="1">
      <c r="B77" s="1288"/>
      <c r="C77" s="1289"/>
      <c r="D77" s="1294"/>
      <c r="J77" s="5"/>
      <c r="K77" s="6"/>
      <c r="N77" s="5"/>
      <c r="O77" s="6"/>
      <c r="P77" s="6"/>
    </row>
    <row r="78" spans="1:16" s="7" customFormat="1" ht="30" customHeight="1" thickBot="1">
      <c r="B78" s="1286" t="s">
        <v>1310</v>
      </c>
      <c r="C78" s="1287">
        <v>5</v>
      </c>
      <c r="D78" s="1261" t="s">
        <v>584</v>
      </c>
      <c r="H78" s="2002" t="s">
        <v>97</v>
      </c>
      <c r="I78" s="2003" t="s">
        <v>1312</v>
      </c>
      <c r="J78" s="41"/>
      <c r="K78" s="2347" t="s">
        <v>774</v>
      </c>
      <c r="L78" s="2353" t="s">
        <v>1291</v>
      </c>
      <c r="N78" s="2361" t="s">
        <v>1293</v>
      </c>
      <c r="O78" s="6"/>
      <c r="P78" s="6"/>
    </row>
    <row r="79" spans="1:16" s="7" customFormat="1" ht="9.9" customHeight="1" thickBot="1">
      <c r="B79" s="1286"/>
      <c r="C79" s="1287"/>
      <c r="D79" s="2334"/>
      <c r="H79" s="17"/>
      <c r="I79" s="15"/>
      <c r="J79" s="41"/>
      <c r="K79" s="120"/>
      <c r="N79" s="5"/>
      <c r="O79" s="6"/>
      <c r="P79" s="6"/>
    </row>
    <row r="80" spans="1:16" s="15" customFormat="1" ht="9.9" customHeight="1" thickBot="1">
      <c r="B80" s="1286"/>
      <c r="C80" s="1287"/>
      <c r="D80" s="62"/>
      <c r="H80" s="17"/>
      <c r="J80" s="41"/>
      <c r="K80" s="30"/>
      <c r="N80" s="41"/>
      <c r="O80" s="30"/>
      <c r="P80" s="30"/>
    </row>
    <row r="81" spans="1:16" s="15" customFormat="1" ht="15" customHeight="1" thickBot="1">
      <c r="B81" s="1286" t="s">
        <v>447</v>
      </c>
      <c r="C81" s="1287">
        <v>4</v>
      </c>
      <c r="D81" s="1264" t="s">
        <v>340</v>
      </c>
      <c r="E81" s="7"/>
      <c r="F81" s="7"/>
      <c r="G81" s="7"/>
      <c r="H81" s="2002" t="s">
        <v>123</v>
      </c>
      <c r="I81" s="2003" t="s">
        <v>448</v>
      </c>
      <c r="J81" s="41"/>
      <c r="K81" s="2347" t="s">
        <v>774</v>
      </c>
      <c r="L81" s="2353" t="s">
        <v>1291</v>
      </c>
      <c r="N81" s="2361" t="s">
        <v>1293</v>
      </c>
      <c r="O81" s="30"/>
      <c r="P81" s="30"/>
    </row>
    <row r="82" spans="1:16" s="15" customFormat="1" ht="9.9" customHeight="1" thickBot="1">
      <c r="B82" s="1288"/>
      <c r="C82" s="1289"/>
      <c r="D82" s="41"/>
      <c r="J82" s="41"/>
      <c r="K82" s="30"/>
      <c r="N82" s="41"/>
      <c r="O82" s="30"/>
      <c r="P82" s="30"/>
    </row>
    <row r="83" spans="1:16" s="15" customFormat="1" ht="15" customHeight="1" thickBot="1">
      <c r="B83" s="1286" t="s">
        <v>447</v>
      </c>
      <c r="C83" s="1290">
        <v>5</v>
      </c>
      <c r="D83" s="1292" t="s">
        <v>371</v>
      </c>
      <c r="H83" s="2002" t="s">
        <v>124</v>
      </c>
      <c r="I83" s="2003" t="s">
        <v>1300</v>
      </c>
      <c r="J83" s="41"/>
      <c r="K83" s="2347" t="s">
        <v>774</v>
      </c>
      <c r="L83" s="2353" t="s">
        <v>1291</v>
      </c>
      <c r="N83" s="2361" t="s">
        <v>1293</v>
      </c>
      <c r="O83" s="30"/>
      <c r="P83" s="30"/>
    </row>
    <row r="84" spans="1:16" s="15" customFormat="1" ht="9.9" customHeight="1" thickBot="1">
      <c r="A84" s="41"/>
      <c r="B84" s="1290"/>
      <c r="C84" s="1287"/>
      <c r="D84" s="1999"/>
      <c r="H84" s="17"/>
      <c r="J84" s="41"/>
      <c r="K84" s="2027"/>
      <c r="N84" s="41"/>
      <c r="O84" s="30"/>
      <c r="P84" s="30"/>
    </row>
    <row r="85" spans="1:16" s="15" customFormat="1" ht="15" customHeight="1" thickBot="1">
      <c r="A85" s="41"/>
      <c r="B85" s="1290" t="s">
        <v>275</v>
      </c>
      <c r="C85" s="1287">
        <v>2</v>
      </c>
      <c r="D85" s="1264" t="s">
        <v>160</v>
      </c>
      <c r="E85" s="7"/>
      <c r="F85" s="7"/>
      <c r="G85" s="7"/>
      <c r="H85" s="2002" t="s">
        <v>126</v>
      </c>
      <c r="I85" s="2003" t="str">
        <f>CONCATENATE("Option &amp; non-use values (",D6," values / prices)")</f>
        <v>Option &amp; non-use values (2010 values / prices)</v>
      </c>
      <c r="J85" s="41"/>
      <c r="K85" s="2347" t="s">
        <v>774</v>
      </c>
      <c r="L85" s="2353" t="s">
        <v>1291</v>
      </c>
      <c r="N85" s="2361" t="s">
        <v>1293</v>
      </c>
      <c r="O85" s="30"/>
      <c r="P85" s="30"/>
    </row>
    <row r="86" spans="1:16" s="15" customFormat="1" ht="12" customHeight="1" thickBot="1">
      <c r="A86" s="41"/>
      <c r="B86" s="1290"/>
      <c r="C86" s="1287"/>
      <c r="D86" s="2349"/>
      <c r="H86" s="17"/>
      <c r="J86" s="41"/>
      <c r="K86" s="2027"/>
      <c r="N86" s="41"/>
      <c r="O86" s="30"/>
      <c r="P86" s="30"/>
    </row>
    <row r="87" spans="1:16" s="15" customFormat="1" ht="15" customHeight="1" thickBot="1">
      <c r="A87" s="41"/>
      <c r="B87" s="1290" t="s">
        <v>545</v>
      </c>
      <c r="C87" s="2348">
        <v>1</v>
      </c>
      <c r="D87" s="1299" t="s">
        <v>171</v>
      </c>
      <c r="E87" s="7"/>
      <c r="F87" s="7"/>
      <c r="G87" s="7"/>
      <c r="H87" s="2002" t="s">
        <v>669</v>
      </c>
      <c r="I87" s="2003" t="s">
        <v>1313</v>
      </c>
      <c r="J87" s="357"/>
      <c r="K87" s="2365"/>
      <c r="L87" s="306"/>
      <c r="M87" s="306"/>
      <c r="N87" s="357"/>
      <c r="O87" s="30"/>
      <c r="P87" s="30"/>
    </row>
    <row r="88" spans="1:16" s="15" customFormat="1" ht="15" customHeight="1" thickTop="1" thickBot="1">
      <c r="B88" s="2020"/>
      <c r="C88" s="2020"/>
      <c r="D88" s="120"/>
      <c r="H88" s="2023"/>
      <c r="I88" s="2024"/>
      <c r="J88" s="2021"/>
      <c r="K88" s="2022"/>
      <c r="L88" s="2021"/>
      <c r="M88" s="2021"/>
      <c r="N88" s="2352"/>
      <c r="O88" s="30"/>
      <c r="P88" s="30"/>
    </row>
    <row r="89" spans="1:16" s="15" customFormat="1" ht="15" customHeight="1" thickTop="1" thickBot="1">
      <c r="A89" s="41"/>
      <c r="B89" s="2026" t="s">
        <v>877</v>
      </c>
      <c r="C89" s="1290"/>
      <c r="D89" s="1261" t="s">
        <v>1004</v>
      </c>
      <c r="H89" s="2002" t="s">
        <v>1024</v>
      </c>
      <c r="I89" s="2003" t="s">
        <v>1017</v>
      </c>
      <c r="J89" s="41"/>
      <c r="K89" s="120"/>
      <c r="N89" s="41"/>
      <c r="O89" s="30"/>
      <c r="P89" s="30"/>
    </row>
    <row r="90" spans="1:16" s="15" customFormat="1" ht="9.9" customHeight="1" thickBot="1">
      <c r="A90" s="41"/>
      <c r="B90" s="1290"/>
      <c r="C90" s="1287"/>
      <c r="D90" s="211"/>
      <c r="H90" s="17"/>
      <c r="J90" s="41"/>
      <c r="K90" s="120"/>
      <c r="N90" s="41"/>
      <c r="O90" s="30"/>
      <c r="P90" s="30"/>
    </row>
    <row r="91" spans="1:16" s="15" customFormat="1" ht="15" customHeight="1" thickBot="1">
      <c r="A91" s="41"/>
      <c r="B91" s="2026" t="s">
        <v>877</v>
      </c>
      <c r="C91" s="1290"/>
      <c r="D91" s="1261" t="s">
        <v>1005</v>
      </c>
      <c r="H91" s="2002" t="s">
        <v>1025</v>
      </c>
      <c r="I91" s="2003" t="s">
        <v>1283</v>
      </c>
      <c r="J91" s="41"/>
      <c r="K91" s="2347" t="s">
        <v>774</v>
      </c>
      <c r="L91" s="2353" t="s">
        <v>1291</v>
      </c>
      <c r="N91" s="41"/>
      <c r="O91" s="30"/>
      <c r="P91" s="30"/>
    </row>
    <row r="92" spans="1:16" s="15" customFormat="1" ht="9.9" customHeight="1" thickBot="1">
      <c r="A92" s="41"/>
      <c r="B92" s="1290"/>
      <c r="C92" s="1287"/>
      <c r="D92" s="211"/>
      <c r="H92" s="17"/>
      <c r="J92" s="41"/>
      <c r="K92" s="120"/>
      <c r="N92" s="41"/>
      <c r="O92" s="30"/>
      <c r="P92" s="30"/>
    </row>
    <row r="93" spans="1:16" s="15" customFormat="1" ht="15" customHeight="1" thickBot="1">
      <c r="A93" s="41"/>
      <c r="B93" s="2026" t="s">
        <v>877</v>
      </c>
      <c r="C93" s="1290"/>
      <c r="D93" s="1261" t="s">
        <v>1031</v>
      </c>
      <c r="H93" s="2002" t="s">
        <v>1026</v>
      </c>
      <c r="I93" s="2003" t="s">
        <v>1284</v>
      </c>
      <c r="J93" s="41"/>
      <c r="K93" s="120"/>
      <c r="N93" s="41"/>
      <c r="O93" s="30"/>
      <c r="P93" s="30"/>
    </row>
    <row r="94" spans="1:16" s="15" customFormat="1" ht="9.9" customHeight="1" thickBot="1">
      <c r="A94" s="41"/>
      <c r="B94" s="1290"/>
      <c r="C94" s="1287"/>
      <c r="D94" s="211"/>
      <c r="H94" s="17"/>
      <c r="J94" s="41"/>
      <c r="K94" s="120"/>
      <c r="N94" s="41"/>
      <c r="O94" s="30"/>
      <c r="P94" s="30"/>
    </row>
    <row r="95" spans="1:16" s="15" customFormat="1" ht="15" customHeight="1" thickBot="1">
      <c r="A95" s="41"/>
      <c r="B95" s="2026" t="s">
        <v>877</v>
      </c>
      <c r="C95" s="1290"/>
      <c r="D95" s="1261" t="s">
        <v>1006</v>
      </c>
      <c r="H95" s="2002" t="s">
        <v>1027</v>
      </c>
      <c r="I95" s="2003" t="s">
        <v>1282</v>
      </c>
      <c r="J95" s="41"/>
      <c r="K95" s="2347" t="s">
        <v>774</v>
      </c>
      <c r="L95" s="2353" t="s">
        <v>1291</v>
      </c>
      <c r="N95" s="41"/>
      <c r="O95" s="30"/>
      <c r="P95" s="30"/>
    </row>
    <row r="96" spans="1:16" s="15" customFormat="1" ht="13.8" thickBot="1">
      <c r="A96" s="41"/>
      <c r="B96" s="2084"/>
      <c r="C96" s="382"/>
      <c r="D96" s="357"/>
      <c r="H96" s="306"/>
      <c r="I96" s="306"/>
      <c r="J96" s="357"/>
      <c r="K96" s="356"/>
      <c r="L96" s="306"/>
      <c r="M96" s="306"/>
      <c r="N96" s="357"/>
      <c r="O96" s="30"/>
      <c r="P96" s="30"/>
    </row>
    <row r="97" spans="2:16" s="15" customFormat="1" ht="15" customHeight="1" thickTop="1" thickBot="1">
      <c r="B97" s="1290"/>
      <c r="C97" s="2020"/>
      <c r="D97" s="2085"/>
      <c r="H97" s="30"/>
      <c r="J97" s="2021"/>
      <c r="K97" s="2367"/>
      <c r="L97" s="2021"/>
      <c r="M97" s="2021"/>
      <c r="N97" s="2352"/>
      <c r="O97" s="30"/>
      <c r="P97" s="30"/>
    </row>
    <row r="98" spans="2:16" s="15" customFormat="1" ht="20.100000000000001" customHeight="1" thickTop="1" thickBot="1">
      <c r="B98" s="2028"/>
      <c r="C98" s="1290"/>
      <c r="D98" s="2351"/>
      <c r="H98" s="2338" t="s">
        <v>63</v>
      </c>
      <c r="I98" s="2086" t="s">
        <v>912</v>
      </c>
      <c r="J98" s="41"/>
      <c r="K98" s="2366"/>
      <c r="L98" s="2363" t="s">
        <v>1291</v>
      </c>
      <c r="N98" s="2364" t="s">
        <v>1293</v>
      </c>
      <c r="O98" s="30"/>
      <c r="P98" s="30"/>
    </row>
    <row r="99" spans="2:16" s="15" customFormat="1" ht="9.9" customHeight="1" thickBot="1">
      <c r="B99" s="1286"/>
      <c r="C99" s="1290"/>
      <c r="D99" s="41"/>
      <c r="H99" s="2027"/>
      <c r="J99" s="41"/>
      <c r="K99" s="30"/>
      <c r="N99" s="41"/>
      <c r="O99" s="30"/>
      <c r="P99" s="30"/>
    </row>
    <row r="100" spans="2:16" s="15" customFormat="1" ht="15" customHeight="1" thickBot="1">
      <c r="B100" s="1286"/>
      <c r="C100" s="1290"/>
      <c r="D100" s="41"/>
      <c r="H100" s="2338" t="s">
        <v>64</v>
      </c>
      <c r="I100" s="2086" t="s">
        <v>913</v>
      </c>
      <c r="J100" s="41"/>
      <c r="K100" s="2347" t="s">
        <v>774</v>
      </c>
      <c r="N100" s="41"/>
      <c r="O100" s="30"/>
      <c r="P100" s="30"/>
    </row>
    <row r="101" spans="2:16" s="15" customFormat="1" ht="9.9" customHeight="1" thickBot="1">
      <c r="B101" s="1286"/>
      <c r="C101" s="1290"/>
      <c r="D101" s="41"/>
      <c r="H101" s="2027"/>
      <c r="J101" s="41"/>
      <c r="K101" s="30"/>
      <c r="N101" s="41"/>
      <c r="O101" s="30"/>
      <c r="P101" s="30"/>
    </row>
    <row r="102" spans="2:16" s="15" customFormat="1" ht="15" customHeight="1" thickBot="1">
      <c r="B102" s="1286"/>
      <c r="C102" s="1290"/>
      <c r="D102" s="41"/>
      <c r="H102" s="2338" t="s">
        <v>65</v>
      </c>
      <c r="I102" s="2086" t="s">
        <v>861</v>
      </c>
      <c r="J102" s="41"/>
      <c r="K102" s="30"/>
      <c r="N102" s="41"/>
      <c r="O102" s="30"/>
      <c r="P102" s="30"/>
    </row>
    <row r="103" spans="2:16" s="15" customFormat="1" ht="9.9" customHeight="1" thickBot="1">
      <c r="B103" s="1286"/>
      <c r="C103" s="1290"/>
      <c r="D103" s="41"/>
      <c r="H103" s="2027"/>
      <c r="J103" s="41"/>
      <c r="K103" s="30"/>
      <c r="N103" s="41"/>
      <c r="O103" s="30"/>
      <c r="P103" s="30"/>
    </row>
    <row r="104" spans="2:16" s="15" customFormat="1" ht="15" customHeight="1" thickBot="1">
      <c r="B104" s="1286"/>
      <c r="C104" s="1290"/>
      <c r="D104" s="41"/>
      <c r="H104" s="2338" t="s">
        <v>66</v>
      </c>
      <c r="I104" s="2086" t="s">
        <v>862</v>
      </c>
      <c r="J104" s="41"/>
      <c r="K104" s="30"/>
      <c r="N104" s="41"/>
      <c r="O104" s="30"/>
      <c r="P104" s="30"/>
    </row>
    <row r="105" spans="2:16" s="15" customFormat="1" ht="9.9" customHeight="1" thickBot="1">
      <c r="B105" s="1286"/>
      <c r="C105" s="1290"/>
      <c r="D105" s="41"/>
      <c r="H105" s="2027"/>
      <c r="J105" s="41"/>
      <c r="K105" s="30"/>
      <c r="N105" s="41"/>
      <c r="O105" s="30"/>
      <c r="P105" s="30"/>
    </row>
    <row r="106" spans="2:16" s="15" customFormat="1" ht="15" customHeight="1" thickBot="1">
      <c r="B106" s="1286"/>
      <c r="C106" s="1290"/>
      <c r="D106" s="41"/>
      <c r="H106" s="2338" t="s">
        <v>662</v>
      </c>
      <c r="I106" s="2086" t="s">
        <v>863</v>
      </c>
      <c r="J106" s="41"/>
      <c r="K106" s="30"/>
      <c r="N106" s="41"/>
      <c r="O106" s="30"/>
      <c r="P106" s="30"/>
    </row>
    <row r="107" spans="2:16" s="15" customFormat="1" ht="9.9" customHeight="1" thickBot="1">
      <c r="B107" s="1286"/>
      <c r="C107" s="1290"/>
      <c r="D107" s="41"/>
      <c r="H107" s="2027"/>
      <c r="J107" s="41"/>
      <c r="K107" s="30"/>
      <c r="N107" s="41"/>
      <c r="O107" s="30"/>
      <c r="P107" s="30"/>
    </row>
    <row r="108" spans="2:16" s="15" customFormat="1" ht="15" customHeight="1" thickBot="1">
      <c r="B108" s="1286"/>
      <c r="C108" s="1290"/>
      <c r="D108" s="41"/>
      <c r="H108" s="2338" t="s">
        <v>663</v>
      </c>
      <c r="I108" s="2086" t="s">
        <v>864</v>
      </c>
      <c r="J108" s="41"/>
      <c r="K108" s="30"/>
      <c r="N108" s="41"/>
      <c r="O108" s="30"/>
      <c r="P108" s="30"/>
    </row>
    <row r="109" spans="2:16" s="15" customFormat="1" ht="9.9" customHeight="1" thickBot="1">
      <c r="B109" s="1286"/>
      <c r="C109" s="1290"/>
      <c r="D109" s="41"/>
      <c r="H109" s="2027"/>
      <c r="J109" s="41"/>
      <c r="K109" s="30"/>
      <c r="N109" s="41"/>
      <c r="O109" s="30"/>
      <c r="P109" s="30"/>
    </row>
    <row r="110" spans="2:16" s="15" customFormat="1" ht="15" customHeight="1" thickBot="1">
      <c r="B110" s="1286"/>
      <c r="C110" s="1290"/>
      <c r="D110" s="41"/>
      <c r="H110" s="2338" t="s">
        <v>664</v>
      </c>
      <c r="I110" s="2086" t="s">
        <v>1015</v>
      </c>
      <c r="J110" s="41"/>
      <c r="K110" s="30"/>
      <c r="N110" s="41"/>
      <c r="O110" s="30"/>
      <c r="P110" s="30"/>
    </row>
    <row r="111" spans="2:16" s="15" customFormat="1" ht="9.9" customHeight="1" thickBot="1">
      <c r="B111" s="1286"/>
      <c r="C111" s="1290"/>
      <c r="D111" s="41"/>
      <c r="H111" s="2027"/>
      <c r="J111" s="41"/>
      <c r="K111" s="30"/>
      <c r="N111" s="41"/>
      <c r="O111" s="30"/>
      <c r="P111" s="30"/>
    </row>
    <row r="112" spans="2:16" s="15" customFormat="1" ht="15" customHeight="1" thickBot="1">
      <c r="B112" s="1286"/>
      <c r="C112" s="1290"/>
      <c r="D112" s="41"/>
      <c r="H112" s="2338" t="s">
        <v>665</v>
      </c>
      <c r="I112" s="2086" t="s">
        <v>1010</v>
      </c>
      <c r="J112" s="41"/>
      <c r="K112" s="30"/>
      <c r="N112" s="41"/>
      <c r="O112" s="30"/>
      <c r="P112" s="30"/>
    </row>
    <row r="113" spans="2:16" s="15" customFormat="1" ht="9.9" customHeight="1" thickBot="1">
      <c r="B113" s="1286"/>
      <c r="C113" s="1290"/>
      <c r="D113" s="41"/>
      <c r="H113" s="2027"/>
      <c r="J113" s="41"/>
      <c r="K113" s="30"/>
      <c r="N113" s="41"/>
      <c r="O113" s="30"/>
      <c r="P113" s="30"/>
    </row>
    <row r="114" spans="2:16" s="15" customFormat="1" ht="15" customHeight="1" thickBot="1">
      <c r="B114" s="1286"/>
      <c r="C114" s="1290"/>
      <c r="D114" s="41"/>
      <c r="H114" s="2338" t="s">
        <v>865</v>
      </c>
      <c r="I114" s="2086" t="s">
        <v>690</v>
      </c>
      <c r="J114" s="41"/>
      <c r="K114" s="30"/>
      <c r="N114" s="41"/>
      <c r="O114" s="30"/>
      <c r="P114" s="30"/>
    </row>
    <row r="115" spans="2:16" s="15" customFormat="1" ht="15" customHeight="1" thickBot="1">
      <c r="B115" s="2018"/>
      <c r="C115" s="2019"/>
      <c r="D115" s="357"/>
      <c r="E115" s="306"/>
      <c r="F115" s="306"/>
      <c r="G115" s="306"/>
      <c r="H115" s="2294"/>
      <c r="I115" s="2294"/>
      <c r="J115" s="357"/>
      <c r="K115" s="356"/>
      <c r="L115" s="306"/>
      <c r="M115" s="306"/>
      <c r="N115" s="357"/>
      <c r="O115" s="30"/>
      <c r="P115" s="30"/>
    </row>
    <row r="116" spans="2:16" s="15" customFormat="1" ht="14.4" thickTop="1" thickBot="1">
      <c r="K116" s="30"/>
      <c r="O116" s="30"/>
      <c r="P116" s="30"/>
    </row>
    <row r="117" spans="2:16" s="15" customFormat="1" ht="13.8" thickBot="1">
      <c r="B117" s="528" t="s">
        <v>1489</v>
      </c>
      <c r="K117" s="30"/>
      <c r="O117" s="30"/>
      <c r="P117" s="30"/>
    </row>
    <row r="118" spans="2:16" s="15" customFormat="1" ht="13.5" customHeight="1">
      <c r="K118" s="30"/>
    </row>
    <row r="119" spans="2:16" s="15" customFormat="1" ht="13.5" customHeight="1">
      <c r="K119" s="30"/>
    </row>
    <row r="120" spans="2:16" s="15" customFormat="1" ht="13.5" customHeight="1">
      <c r="K120" s="30"/>
    </row>
    <row r="121" spans="2:16" s="15" customFormat="1" ht="13.5" customHeight="1">
      <c r="K121" s="30"/>
    </row>
    <row r="122" spans="2:16" s="15" customFormat="1" ht="13.5" customHeight="1">
      <c r="K122" s="30"/>
    </row>
    <row r="123" spans="2:16" s="15" customFormat="1" ht="13.5" customHeight="1">
      <c r="K123" s="30"/>
    </row>
    <row r="124" spans="2:16" s="15" customFormat="1" ht="13.5" customHeight="1">
      <c r="K124" s="30"/>
    </row>
    <row r="125" spans="2:16" ht="13.5" customHeight="1"/>
    <row r="126" spans="2:16" ht="13.5" customHeight="1"/>
    <row r="127" spans="2:16" ht="13.5" customHeight="1"/>
    <row r="128" spans="2:16" ht="13.5" customHeight="1"/>
    <row r="129" spans="2:9" ht="13.5" customHeight="1">
      <c r="B129" s="15"/>
      <c r="C129" s="15"/>
      <c r="D129" s="57"/>
      <c r="E129" s="15"/>
      <c r="F129" s="15"/>
      <c r="G129" s="15"/>
      <c r="H129" s="15"/>
      <c r="I129" s="15"/>
    </row>
    <row r="130" spans="2:9" ht="13.5" customHeight="1">
      <c r="B130" s="15"/>
      <c r="C130" s="15"/>
      <c r="E130" s="15"/>
      <c r="F130" s="15"/>
      <c r="G130" s="15"/>
      <c r="H130" s="15"/>
      <c r="I130" s="15"/>
    </row>
    <row r="131" spans="2:9" ht="13.5" customHeight="1">
      <c r="B131" s="15"/>
      <c r="C131" s="15"/>
      <c r="D131" s="15"/>
      <c r="E131" s="15"/>
      <c r="F131" s="15"/>
      <c r="G131" s="15"/>
      <c r="H131" s="15"/>
      <c r="I131" s="15"/>
    </row>
    <row r="132" spans="2:9" ht="13.5" customHeight="1">
      <c r="B132" s="15"/>
      <c r="C132" s="15"/>
      <c r="D132" s="58"/>
      <c r="E132" s="15"/>
      <c r="F132" s="15"/>
      <c r="G132" s="15"/>
      <c r="H132" s="15"/>
      <c r="I132" s="15"/>
    </row>
    <row r="133" spans="2:9" ht="13.5" customHeight="1">
      <c r="B133" s="15"/>
      <c r="C133" s="15"/>
      <c r="D133" s="58"/>
      <c r="E133" s="15"/>
      <c r="F133" s="15"/>
      <c r="G133" s="15"/>
      <c r="H133" s="15"/>
      <c r="I133" s="15"/>
    </row>
    <row r="134" spans="2:9" ht="13.5" customHeight="1">
      <c r="B134" s="15"/>
      <c r="C134" s="15"/>
      <c r="D134" s="58"/>
      <c r="E134" s="15"/>
      <c r="F134" s="15"/>
      <c r="G134" s="15"/>
      <c r="H134" s="15"/>
      <c r="I134" s="18"/>
    </row>
    <row r="135" spans="2:9" ht="13.5" customHeight="1">
      <c r="B135" s="15"/>
      <c r="C135" s="15"/>
      <c r="D135" s="58"/>
      <c r="E135" s="15"/>
      <c r="F135" s="15"/>
      <c r="G135" s="15"/>
      <c r="H135" s="15"/>
      <c r="I135" s="18"/>
    </row>
    <row r="136" spans="2:9" ht="13.5" customHeight="1">
      <c r="B136" s="15"/>
      <c r="C136" s="15"/>
      <c r="D136" s="58"/>
      <c r="E136" s="15"/>
      <c r="F136" s="15"/>
      <c r="G136" s="15"/>
      <c r="H136" s="15"/>
      <c r="I136" s="18"/>
    </row>
    <row r="137" spans="2:9" ht="13.5" customHeight="1">
      <c r="B137" s="15"/>
      <c r="C137" s="15"/>
      <c r="D137" s="58"/>
      <c r="E137" s="15"/>
      <c r="F137" s="15"/>
      <c r="G137" s="15"/>
      <c r="H137" s="15"/>
      <c r="I137" s="18"/>
    </row>
    <row r="138" spans="2:9" ht="13.5" customHeight="1">
      <c r="B138" s="15"/>
      <c r="C138" s="15"/>
      <c r="D138" s="58"/>
      <c r="E138" s="15"/>
      <c r="F138" s="15"/>
      <c r="G138" s="15"/>
      <c r="H138" s="15"/>
      <c r="I138" s="18"/>
    </row>
    <row r="139" spans="2:9" ht="13.5" customHeight="1">
      <c r="B139" s="15"/>
      <c r="C139" s="15"/>
      <c r="E139" s="15"/>
      <c r="F139" s="15"/>
      <c r="G139" s="15"/>
      <c r="H139" s="15"/>
      <c r="I139" s="18"/>
    </row>
    <row r="140" spans="2:9" ht="13.5" customHeight="1">
      <c r="B140" s="15"/>
      <c r="C140" s="15"/>
      <c r="E140" s="15"/>
      <c r="F140" s="15"/>
      <c r="G140" s="15"/>
      <c r="H140" s="15"/>
      <c r="I140" s="18"/>
    </row>
    <row r="141" spans="2:9" ht="13.5" customHeight="1">
      <c r="B141" s="15"/>
      <c r="C141" s="15"/>
      <c r="E141" s="15"/>
      <c r="F141" s="15"/>
      <c r="G141" s="15"/>
      <c r="H141" s="15"/>
      <c r="I141" s="18"/>
    </row>
    <row r="142" spans="2:9" ht="13.5" customHeight="1">
      <c r="B142" s="15"/>
      <c r="C142" s="15"/>
      <c r="E142" s="15"/>
      <c r="F142" s="15"/>
      <c r="G142" s="15"/>
      <c r="H142" s="15"/>
      <c r="I142" s="18"/>
    </row>
    <row r="143" spans="2:9" ht="13.5" customHeight="1">
      <c r="B143" s="15"/>
      <c r="C143" s="15"/>
      <c r="E143" s="15"/>
      <c r="F143" s="15"/>
      <c r="G143" s="15"/>
      <c r="H143" s="15"/>
      <c r="I143" s="18"/>
    </row>
    <row r="144" spans="2:9" ht="13.5" customHeight="1">
      <c r="B144" s="15"/>
      <c r="C144" s="15"/>
      <c r="D144" s="59"/>
      <c r="E144" s="15"/>
      <c r="F144" s="15"/>
      <c r="G144" s="15"/>
      <c r="H144" s="15"/>
      <c r="I144" s="15"/>
    </row>
    <row r="145" spans="2:9" ht="13.5" customHeight="1">
      <c r="B145" s="15"/>
      <c r="C145" s="15"/>
      <c r="D145" s="59"/>
      <c r="E145" s="15"/>
      <c r="F145" s="15"/>
      <c r="G145" s="15"/>
      <c r="H145" s="15"/>
      <c r="I145" s="15"/>
    </row>
    <row r="146" spans="2:9" ht="13.5" customHeight="1"/>
    <row r="147" spans="2:9" ht="13.5" customHeight="1"/>
    <row r="148" spans="2:9" ht="13.5" customHeight="1">
      <c r="H148" s="7"/>
      <c r="I148" s="7"/>
    </row>
    <row r="149" spans="2:9" ht="13.5" customHeight="1">
      <c r="H149" s="7"/>
      <c r="I149" s="7"/>
    </row>
    <row r="150" spans="2:9" ht="13.5" customHeight="1"/>
    <row r="151" spans="2:9" ht="13.5" customHeight="1"/>
    <row r="152" spans="2:9" ht="13.5" customHeight="1"/>
    <row r="153" spans="2:9" ht="13.5" customHeight="1"/>
    <row r="154" spans="2:9" ht="13.5" customHeight="1"/>
    <row r="155" spans="2:9" ht="13.5" customHeight="1"/>
    <row r="156" spans="2:9" ht="13.5" customHeight="1"/>
    <row r="157" spans="2:9" ht="13.5" customHeight="1"/>
    <row r="158" spans="2:9" ht="13.5" customHeight="1"/>
    <row r="159" spans="2:9" ht="13.5" customHeight="1"/>
    <row r="160" spans="2:9"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sheetData>
  <sheetProtection sheet="1" objects="1" scenarios="1"/>
  <mergeCells count="11">
    <mergeCell ref="M15:M16"/>
    <mergeCell ref="L15:L16"/>
    <mergeCell ref="K15:K16"/>
    <mergeCell ref="A6:B6"/>
    <mergeCell ref="D44:D45"/>
    <mergeCell ref="H44:H46"/>
    <mergeCell ref="I44:I46"/>
    <mergeCell ref="I20:I23"/>
    <mergeCell ref="I41:I42"/>
    <mergeCell ref="H41:H42"/>
    <mergeCell ref="H20:H23"/>
  </mergeCells>
  <phoneticPr fontId="8" type="noConversion"/>
  <hyperlinks>
    <hyperlink ref="D15" location="'Source VoT'!A1" tooltip="Source VoT" display="Source VoT"/>
    <hyperlink ref="D87" location="'Discount %'!A1" display="Discount %"/>
    <hyperlink ref="H58" location="'2.2 Env Noise'!A1" display="'2.2 Env Noise'!A1"/>
    <hyperlink ref="H62" location="A2.3.4!A1" display="A 2.3.4"/>
    <hyperlink ref="H66" location="'2.4 Env CO2'!A1" display="A 2.4.1"/>
    <hyperlink ref="H68" location="'2.4 CO2 costs'!A1" display="A 2.4.2"/>
    <hyperlink ref="H70" location="A3.1.1!A1" display="A 3.1.1"/>
    <hyperlink ref="H56" location="M4.2!A1" display="M 4.2.1"/>
    <hyperlink ref="H13" location="A1.2.1!A1" display="A 1.2.1"/>
    <hyperlink ref="H15" location="A1.2.2!A1" display="A 1.2.2"/>
    <hyperlink ref="H18" location="A1.2.3!A1" display="A 1.2.3"/>
    <hyperlink ref="H27" location="A1.2.4!A1" display="A 1.2.4"/>
    <hyperlink ref="H25" location="A1.2.5!A1" display="A 1.2.5"/>
    <hyperlink ref="H20" location="A1.2.6!A1" display="A 1.2.6"/>
    <hyperlink ref="H35" location="A1.2.7!A1" display="A 1.2.7"/>
    <hyperlink ref="H37" location="A1.2.8!A1" display="A 1.2.8"/>
    <hyperlink ref="H44" location="A1.2.9!A1" display="A 1.2.9"/>
    <hyperlink ref="H39" location="A1.2.11!A1" display="A 1.2.11"/>
    <hyperlink ref="H41" location="A1.2.12!A1" display="A 1.2.12"/>
    <hyperlink ref="H48" location="A1.2.13!A1" display="A 1.2.13"/>
    <hyperlink ref="H50" location="A1.2.14!A1" display="A 1.2.14"/>
    <hyperlink ref="H58:H59" location="A2.2.1!A1" display="A 2.2.1"/>
    <hyperlink ref="H72" location="A3.1.2!A1" display="A 3.1.2"/>
    <hyperlink ref="D18" location="VoT2!A1" tooltip="VoT 2" display="VoT 2"/>
    <hyperlink ref="D27" location="VoT5!A1" tooltip="VoT 5" display="VoT 5"/>
    <hyperlink ref="D58" location="Noise!A1" tooltip="Noise" display="Noise"/>
    <hyperlink ref="D68" location="GHG!A1" tooltip="GHG" display="GHG"/>
    <hyperlink ref="D85" location="'Option values'!A1" display="Option values"/>
    <hyperlink ref="D81" location="'Walk &amp; cycle'!A1" display="Walk &amp; Cycle"/>
    <hyperlink ref="H85" location="A3.3.1!A1" display="A 3.3.1"/>
    <hyperlink ref="H81" location="A3.8.1!A1" display="A 3.8.1"/>
    <hyperlink ref="H83" location="A3.8.2!A1" display="A 3.8.2"/>
    <hyperlink ref="B117" location="'Flow chart'!A1" tooltip="Top of this page" display="Top"/>
    <hyperlink ref="H78" location="A3.1.5!A1" display="A  3.1.5"/>
    <hyperlink ref="H74" location="A3.1.3!A1" display="A 3.1.3"/>
    <hyperlink ref="H76" location="A3.1.4!A1" display="A 3.1.4"/>
    <hyperlink ref="D11" location="'Indirect tax correction'!A1" tooltip="Indirect tax correction" display="Indirect tax"/>
    <hyperlink ref="D20" location="VoT3!A1" tooltip="VoT 3" display="VoT 3"/>
    <hyperlink ref="D23" location="VoT4!A1" tooltip="VoT  4" display="VoT  4"/>
    <hyperlink ref="D29" location="VoT6!A1" tooltip="VoT 6" display="VoT 6"/>
    <hyperlink ref="D33" location="'Fuel consumption'!A1" tooltip="Fuel consumption" display="Fuel consumption"/>
    <hyperlink ref="D37" location="'VoC Fuel'!A1" tooltip="VoC Fuel" display="VoC Fuel"/>
    <hyperlink ref="D31" location="'VoC Efficiency'!A1" tooltip="VoC efficiency" display="VoC efficiency"/>
    <hyperlink ref="D44:D45" location="'VoC Mileage %'!A1" tooltip="VoC Mileage %" display="VoC Mileage %"/>
    <hyperlink ref="D48" location="'VoC Non-Fuel'!A1" tooltip="VoC Non-Fuel" display="VoC Non-Fuel"/>
    <hyperlink ref="D60" location="'NOx damage'!A1" tooltip="NOx damage" display="NOx damage"/>
    <hyperlink ref="D62" location="'NOx damage'!A1" tooltip="NOx abatement" display="NOx abatement"/>
    <hyperlink ref="D64" location="'PM10 damage'!A1" tooltip="PM10 damage" display="PM10 damage"/>
    <hyperlink ref="D66" location="'CO2'!A1" tooltip="CO2" display="CO2"/>
    <hyperlink ref="H54" location="M4.2.2!A1" display="M 4.2.2"/>
    <hyperlink ref="D52" location="'Adjustment Factors'!A1" display="Adjustment Factors"/>
    <hyperlink ref="I52" location="'Car speeds'!A1" display="Car speeds"/>
    <hyperlink ref="H33" location="A1.3.11!A1" display="A 1.3.11"/>
    <hyperlink ref="H31" location="A1.3.10!A1" display="A 1.3.10"/>
    <hyperlink ref="D70" location="'Casualty costs'!A1" display="Casualty costs"/>
    <hyperlink ref="D72" location="'Casualty data'!A1" display="Casualty data"/>
    <hyperlink ref="D74" location="'Accident costs'!A1" display="Accident costs"/>
    <hyperlink ref="D76" location="'Accident data'!A1" display="Accident data"/>
    <hyperlink ref="D78" location="Rail!A1" display="Rail"/>
    <hyperlink ref="D83" location="Walking!A1" display="Walking"/>
    <hyperlink ref="D89" location="'Total - Traffic %'!A1" display="Total traffic %"/>
    <hyperlink ref="D91" location="'Car - MECs'!A1" display="Car MECs"/>
    <hyperlink ref="D93" location="'Car Traffic Shares'!A1" display="Car Traffic Shares"/>
    <hyperlink ref="D95" location="'MECs - time of day'!A1" display="MECs Time of day"/>
    <hyperlink ref="F23" location="A1.3.3.2!A1" display="A 1.3.3.2"/>
    <hyperlink ref="F21" location="'Forecast occupancies'!A1" display="Forecast occupancies"/>
    <hyperlink ref="H87" location="A1.1.1!A1" display="A 1.1.1"/>
    <hyperlink ref="H89" location="A5.4.1!A1" display="A 5.4.1"/>
    <hyperlink ref="H91" location="A5.4.2!A1" display="A 5.4.2"/>
    <hyperlink ref="H93" location="A5.4.3!A1" display="A 5.4.3"/>
    <hyperlink ref="H95" location="A5.4.4!A1" display="A 5.4.4"/>
    <hyperlink ref="H98" location="'COBALT 1'!A1" display="COBALT 1"/>
    <hyperlink ref="H100" location="'COBALT 2'!A1" display="COBALT 2"/>
    <hyperlink ref="H102" location="'COBALT 3'!A1" display="COBALT 3"/>
    <hyperlink ref="H104" location="'COBALT 4'!A1" display="COBALT 4"/>
    <hyperlink ref="H106" location="'COBALT 5'!A1" display="COBALT 5"/>
    <hyperlink ref="H108" location="'COBALT 6'!A1" display="COBALT 6"/>
    <hyperlink ref="H110" location="'COBALT 7'!A1" display="COBALT 7"/>
    <hyperlink ref="H112" location="'COBALT 8'!A1" display="COBALT 8"/>
    <hyperlink ref="H114" location="'COBALT 9'!A1" display="COBALT 9"/>
    <hyperlink ref="K13" location="'Annual Parameters Source'!A1" display="Annual / Default Parameters"/>
    <hyperlink ref="A6" location="Contents!A1" display="Contents"/>
    <hyperlink ref="K15" location="'Annual Parameters Source'!A1" display="Annual / Default Parameters"/>
    <hyperlink ref="K37" location="'Annual Parameters Source'!A1" display="Annual / Default Parameters"/>
    <hyperlink ref="K48" location="'Annual Parameters Source'!A1" display="Annual / Default Parameters"/>
    <hyperlink ref="K56" location="'Annual Parameters Source'!A1" display="Annual / Default Parameters"/>
    <hyperlink ref="K58" location="'Annual Parameters Source'!A1" display="Annual / Default Parameters"/>
    <hyperlink ref="K62" location="'Annual Parameters Source'!A1" display="Annual / Default Parameters"/>
    <hyperlink ref="K68" location="'Annual Parameters Source'!A1" display="Annual / Default Parameters"/>
    <hyperlink ref="K70" location="'Annual Parameters Source'!A1" display="Annual / Default Parameters"/>
    <hyperlink ref="K76" location="'Annual Parameters Source'!A1" display="Annual / Default Parameters"/>
    <hyperlink ref="K78" location="'Annual Parameters Source'!A1" display="Annual / Default Parameters"/>
    <hyperlink ref="K85" location="'Annual Parameters Source'!A1" display="Annual / Default Parameters"/>
    <hyperlink ref="K81" location="'Annual Parameters Source'!A1" display="Annual / Default Parameters"/>
    <hyperlink ref="K83" location="'Annual Parameters Source'!A1" display="Annual / Default Parameters"/>
    <hyperlink ref="K91" location="'Annual Parameters Source'!A1" display="Annual / Default Parameters"/>
    <hyperlink ref="K95" location="'Annual Parameters Source'!A1" display="Annual / Default Parameters"/>
    <hyperlink ref="K100" location="'Annual Parameters Source'!A1" display="Annual / Default Parameters"/>
    <hyperlink ref="L9:M9" location="'User Parameters'!A1" display="User Parameters"/>
    <hyperlink ref="L9" location="'User Parameters'!A1" tooltip="User Parameters" display="User Parameters"/>
    <hyperlink ref="N9:O9" location="'Default Pars'!A1" tooltip="Default Parameters" display="Default Pars"/>
    <hyperlink ref="K9" location="'Annual Parameters Source'!A1" display="Annual / Default Parameters"/>
  </hyperlinks>
  <pageMargins left="0.35433070866141736" right="0.35433070866141736" top="0.59055118110236227" bottom="0.59055118110236227" header="0.31496062992125984" footer="0.31496062992125984"/>
  <pageSetup paperSize="9" scale="62" orientation="portrait" r:id="rId1"/>
  <headerFooter alignWithMargins="0"/>
  <rowBreaks count="1" manualBreakCount="1">
    <brk id="56" max="16383" man="1"/>
  </rowBreaks>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lc_EmailTo xmlns="15ff3d39-6e7b-4d70-9b7c-8d9fe85d0f29" xsi:nil="true"/>
    <TaxCatchAll xmlns="15ff3d39-6e7b-4d70-9b7c-8d9fe85d0f29"/>
    <dlc_EmailSubject xmlns="15ff3d39-6e7b-4d70-9b7c-8d9fe85d0f29" xsi:nil="true"/>
    <dlc_EmailCC xmlns="15ff3d39-6e7b-4d70-9b7c-8d9fe85d0f29" xsi:nil="true"/>
    <lab66271e8ec4d9dbba2573eb272ae37 xmlns="19bacc13-5c53-42c2-9b67-0e23e62f8b76">
      <Terms xmlns="http://schemas.microsoft.com/office/infopath/2007/PartnerControls"/>
    </lab66271e8ec4d9dbba2573eb272ae37>
    <dlc_EmailBCC xmlns="15ff3d39-6e7b-4d70-9b7c-8d9fe85d0f29" xsi:nil="true"/>
    <dlc_EmailFrom xmlns="15ff3d39-6e7b-4d70-9b7c-8d9fe85d0f29" xsi:nil="true"/>
    <c46fa6100ae34764a6ba18faef27c2ff xmlns="19bacc13-5c53-42c2-9b67-0e23e62f8b76">
      <Terms xmlns="http://schemas.microsoft.com/office/infopath/2007/PartnerControls"/>
    </c46fa6100ae34764a6ba18faef27c2ff>
    <Security_x0020_Classification xmlns="15ff3d39-6e7b-4d70-9b7c-8d9fe85d0f29">Official</Security_x0020_Classification>
    <dlc_EmailReceivedUTC xmlns="15ff3d39-6e7b-4d70-9b7c-8d9fe85d0f29" xsi:nil="true"/>
    <dlc_EmailSentUTC xmlns="15ff3d39-6e7b-4d70-9b7c-8d9fe85d0f29" xsi:nil="true"/>
    <SharedWithUsers xmlns="19bacc13-5c53-42c2-9b67-0e23e62f8b76">
      <UserInfo>
        <DisplayName>Iven Stead</DisplayName>
        <AccountId>298</AccountId>
        <AccountType/>
      </UserInfo>
      <UserInfo>
        <DisplayName>Marco Arcuri</DisplayName>
        <AccountId>770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44592C143895C48B96BCC229E2F2091" ma:contentTypeVersion="11" ma:contentTypeDescription="Create a new document." ma:contentTypeScope="" ma:versionID="63fb3f5c421613d5cdc5bcd61f0934ad">
  <xsd:schema xmlns:xsd="http://www.w3.org/2001/XMLSchema" xmlns:xs="http://www.w3.org/2001/XMLSchema" xmlns:p="http://schemas.microsoft.com/office/2006/metadata/properties" xmlns:ns3="19bacc13-5c53-42c2-9b67-0e23e62f8b76" xmlns:ns4="15ff3d39-6e7b-4d70-9b7c-8d9fe85d0f29" xmlns:ns5="b9ee2987-dfb6-4309-b297-c26bcde995fd" targetNamespace="http://schemas.microsoft.com/office/2006/metadata/properties" ma:root="true" ma:fieldsID="7b0b5e2d20779c327eff1bd15af2ef52" ns3:_="" ns4:_="" ns5:_="">
    <xsd:import namespace="19bacc13-5c53-42c2-9b67-0e23e62f8b76"/>
    <xsd:import namespace="15ff3d39-6e7b-4d70-9b7c-8d9fe85d0f29"/>
    <xsd:import namespace="b9ee2987-dfb6-4309-b297-c26bcde995fd"/>
    <xsd:element name="properties">
      <xsd:complexType>
        <xsd:sequence>
          <xsd:element name="documentManagement">
            <xsd:complexType>
              <xsd:all>
                <xsd:element ref="ns3:lab66271e8ec4d9dbba2573eb272ae37" minOccurs="0"/>
                <xsd:element ref="ns4:TaxCatchAll" minOccurs="0"/>
                <xsd:element ref="ns4:TaxCatchAllLabel" minOccurs="0"/>
                <xsd:element ref="ns3:c46fa6100ae34764a6ba18faef27c2ff" minOccurs="0"/>
                <xsd:element ref="ns4:Security_x0020_Classification" minOccurs="0"/>
                <xsd:element ref="ns5:MediaServiceMetadata" minOccurs="0"/>
                <xsd:element ref="ns5:MediaServiceFastMetadata" minOccurs="0"/>
                <xsd:element ref="ns5:MediaServiceDateTaken" minOccurs="0"/>
                <xsd:element ref="ns5:MediaServiceAutoTags" minOccurs="0"/>
                <xsd:element ref="ns5:MediaServiceGenerationTime" minOccurs="0"/>
                <xsd:element ref="ns5:MediaServiceEventHashCode" minOccurs="0"/>
                <xsd:element ref="ns5:MediaServiceOCR" minOccurs="0"/>
                <xsd:element ref="ns5:MediaServiceLocation" minOccurs="0"/>
                <xsd:element ref="ns3:SharedWithUsers" minOccurs="0"/>
                <xsd:element ref="ns3:SharedWithDetails" minOccurs="0"/>
                <xsd:element ref="ns4:dlc_EmailBCC" minOccurs="0"/>
                <xsd:element ref="ns4:dlc_EmailCC" minOccurs="0"/>
                <xsd:element ref="ns4:dlc_EmailReceivedUTC" minOccurs="0"/>
                <xsd:element ref="ns4:dlc_EmailSentUTC" minOccurs="0"/>
                <xsd:element ref="ns4:dlc_EmailFrom" minOccurs="0"/>
                <xsd:element ref="ns4:dlc_EmailSubject" minOccurs="0"/>
                <xsd:element ref="ns4:dlc_EmailT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bacc13-5c53-42c2-9b67-0e23e62f8b76" elementFormDefault="qualified">
    <xsd:import namespace="http://schemas.microsoft.com/office/2006/documentManagement/types"/>
    <xsd:import namespace="http://schemas.microsoft.com/office/infopath/2007/PartnerControls"/>
    <xsd:element name="lab66271e8ec4d9dbba2573eb272ae37" ma:index="9" nillable="true" ma:taxonomy="true" ma:internalName="lab66271e8ec4d9dbba2573eb272ae37" ma:taxonomyFieldName="FinancialYear" ma:displayName="Financial Year" ma:fieldId="{5ab66271-e8ec-4d9d-bba2-573eb272ae37}" ma:sspId="5de26ec3-896b-4bef-bed1-ad194f885b2b" ma:termSetId="ad0d7153-16bc-4f62-8559-37863dc2e057" ma:anchorId="00000000-0000-0000-0000-000000000000" ma:open="false" ma:isKeyword="false">
      <xsd:complexType>
        <xsd:sequence>
          <xsd:element ref="pc:Terms" minOccurs="0" maxOccurs="1"/>
        </xsd:sequence>
      </xsd:complexType>
    </xsd:element>
    <xsd:element name="c46fa6100ae34764a6ba18faef27c2ff" ma:index="13" nillable="true" ma:taxonomy="true" ma:internalName="c46fa6100ae34764a6ba18faef27c2ff" ma:taxonomyFieldName="CustomTag" ma:displayName="Custom Tag" ma:default="" ma:fieldId="{c46fa610-0ae3-4764-a6ba-18faef27c2ff}" ma:sspId="5de26ec3-896b-4bef-bed1-ad194f885b2b" ma:termSetId="6d5f1bb2-68a2-4a06-b957-5ebea0306e02" ma:anchorId="00000000-0000-0000-0000-000000000000" ma:open="true" ma:isKeyword="false">
      <xsd:complexType>
        <xsd:sequence>
          <xsd:element ref="pc:Terms" minOccurs="0" maxOccurs="1"/>
        </xsd:sequence>
      </xsd:complexType>
    </xsd:element>
    <xsd:element name="SharedWithUsers" ma:index="2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ff3d39-6e7b-4d70-9b7c-8d9fe85d0f29"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02f931e0-1939-4ef8-9bd9-236a94715d50}" ma:internalName="TaxCatchAll" ma:showField="CatchAllData" ma:web="19bacc13-5c53-42c2-9b67-0e23e62f8b76">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02f931e0-1939-4ef8-9bd9-236a94715d50}" ma:internalName="TaxCatchAllLabel" ma:readOnly="true" ma:showField="CatchAllDataLabel" ma:web="19bacc13-5c53-42c2-9b67-0e23e62f8b76">
      <xsd:complexType>
        <xsd:complexContent>
          <xsd:extension base="dms:MultiChoiceLookup">
            <xsd:sequence>
              <xsd:element name="Value" type="dms:Lookup" maxOccurs="unbounded" minOccurs="0" nillable="true"/>
            </xsd:sequence>
          </xsd:extension>
        </xsd:complexContent>
      </xsd:complexType>
    </xsd:element>
    <xsd:element name="Security_x0020_Classification" ma:index="15" nillable="true" ma:displayName="Security Classification" ma:default="Official" ma:format="Dropdown" ma:internalName="Security_x0020_Classification">
      <xsd:simpleType>
        <xsd:restriction base="dms:Choice">
          <xsd:enumeration value="Official Sensitive"/>
          <xsd:enumeration value="Official"/>
        </xsd:restriction>
      </xsd:simpleType>
    </xsd:element>
    <xsd:element name="dlc_EmailBCC" ma:index="26" nillable="true" ma:displayName="BCC" ma:description="" ma:internalName="dlc_EmailBCC">
      <xsd:simpleType>
        <xsd:restriction base="dms:Note">
          <xsd:maxLength value="1024"/>
        </xsd:restriction>
      </xsd:simpleType>
    </xsd:element>
    <xsd:element name="dlc_EmailCC" ma:index="27" nillable="true" ma:displayName="CC" ma:description="" ma:internalName="dlc_EmailCC">
      <xsd:simpleType>
        <xsd:restriction base="dms:Note">
          <xsd:maxLength value="1024"/>
        </xsd:restriction>
      </xsd:simpleType>
    </xsd:element>
    <xsd:element name="dlc_EmailReceivedUTC" ma:index="28" nillable="true" ma:displayName="Date Received" ma:description="" ma:indexed="true" ma:internalName="dlc_EmailReceivedUTC">
      <xsd:simpleType>
        <xsd:restriction base="dms:DateTime"/>
      </xsd:simpleType>
    </xsd:element>
    <xsd:element name="dlc_EmailSentUTC" ma:index="29" nillable="true" ma:displayName="Date Sent" ma:description="" ma:internalName="dlc_EmailSentUTC">
      <xsd:simpleType>
        <xsd:restriction base="dms:DateTime"/>
      </xsd:simpleType>
    </xsd:element>
    <xsd:element name="dlc_EmailFrom" ma:index="30" nillable="true" ma:displayName="From" ma:description="" ma:internalName="dlc_EmailFrom">
      <xsd:simpleType>
        <xsd:restriction base="dms:Text">
          <xsd:maxLength value="255"/>
        </xsd:restriction>
      </xsd:simpleType>
    </xsd:element>
    <xsd:element name="dlc_EmailSubject" ma:index="31" nillable="true" ma:displayName="Subject" ma:description="" ma:internalName="dlc_EmailSubject">
      <xsd:simpleType>
        <xsd:restriction base="dms:Note"/>
      </xsd:simpleType>
    </xsd:element>
    <xsd:element name="dlc_EmailTo" ma:index="32" nillable="true" ma:displayName="To" ma:description="" ma:internalName="dlc_EmailTo">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9ee2987-dfb6-4309-b297-c26bcde995fd" elementFormDefault="qualified">
    <xsd:import namespace="http://schemas.microsoft.com/office/2006/documentManagement/types"/>
    <xsd:import namespace="http://schemas.microsoft.com/office/infopath/2007/PartnerControls"/>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MediaServiceAutoTags" ma:index="19" nillable="true" ma:displayName="Tags" ma:internalName="MediaServiceAutoTags"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CR" ma:index="22" nillable="true" ma:displayName="Extracted Text" ma:internalName="MediaServiceOCR" ma:readOnly="true">
      <xsd:simpleType>
        <xsd:restriction base="dms:Note">
          <xsd:maxLength value="255"/>
        </xsd:restriction>
      </xsd:simpleType>
    </xsd:element>
    <xsd:element name="MediaServiceLocation" ma:index="23"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ma:index="8" ma:displayName="Subject"/>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2C6196-E380-4A21-AACF-E2A4609E4C6C}">
  <ds:schemaRefs>
    <ds:schemaRef ds:uri="http://schemas.microsoft.com/sharepoint/v3/contenttype/forms"/>
  </ds:schemaRefs>
</ds:datastoreItem>
</file>

<file path=customXml/itemProps2.xml><?xml version="1.0" encoding="utf-8"?>
<ds:datastoreItem xmlns:ds="http://schemas.openxmlformats.org/officeDocument/2006/customXml" ds:itemID="{2A539025-E571-408C-8014-D77F06C50D2D}">
  <ds:schemaRefs>
    <ds:schemaRef ds:uri="http://www.w3.org/XML/1998/namespace"/>
    <ds:schemaRef ds:uri="http://schemas.microsoft.com/office/2006/metadata/properties"/>
    <ds:schemaRef ds:uri="b9ee2987-dfb6-4309-b297-c26bcde995fd"/>
    <ds:schemaRef ds:uri="http://purl.org/dc/terms/"/>
    <ds:schemaRef ds:uri="http://schemas.openxmlformats.org/package/2006/metadata/core-properties"/>
    <ds:schemaRef ds:uri="http://purl.org/dc/dcmitype/"/>
    <ds:schemaRef ds:uri="http://schemas.microsoft.com/office/2006/documentManagement/types"/>
    <ds:schemaRef ds:uri="http://purl.org/dc/elements/1.1/"/>
    <ds:schemaRef ds:uri="http://schemas.microsoft.com/office/infopath/2007/PartnerControls"/>
    <ds:schemaRef ds:uri="15ff3d39-6e7b-4d70-9b7c-8d9fe85d0f29"/>
    <ds:schemaRef ds:uri="19bacc13-5c53-42c2-9b67-0e23e62f8b76"/>
  </ds:schemaRefs>
</ds:datastoreItem>
</file>

<file path=customXml/itemProps3.xml><?xml version="1.0" encoding="utf-8"?>
<ds:datastoreItem xmlns:ds="http://schemas.openxmlformats.org/officeDocument/2006/customXml" ds:itemID="{D53617A5-E57A-4A44-B97E-78DAB0AE68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bacc13-5c53-42c2-9b67-0e23e62f8b76"/>
    <ds:schemaRef ds:uri="15ff3d39-6e7b-4d70-9b7c-8d9fe85d0f29"/>
    <ds:schemaRef ds:uri="b9ee2987-dfb6-4309-b297-c26bcde995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118</vt:i4>
      </vt:variant>
      <vt:variant>
        <vt:lpstr>Named Ranges</vt:lpstr>
      </vt:variant>
      <vt:variant>
        <vt:i4>24</vt:i4>
      </vt:variant>
    </vt:vector>
  </HeadingPairs>
  <TitlesOfParts>
    <vt:vector size="142" baseType="lpstr">
      <vt:lpstr>Cover</vt:lpstr>
      <vt:lpstr>Contents</vt:lpstr>
      <vt:lpstr>User Parameters</vt:lpstr>
      <vt:lpstr>Default Pars</vt:lpstr>
      <vt:lpstr>Audit</vt:lpstr>
      <vt:lpstr>Development versions</vt:lpstr>
      <vt:lpstr>TAG1</vt:lpstr>
      <vt:lpstr>Annual Parameters</vt:lpstr>
      <vt:lpstr>Annual Parameters Source</vt:lpstr>
      <vt:lpstr>TABLE TEMPLATE</vt:lpstr>
      <vt:lpstr>Discount %</vt:lpstr>
      <vt:lpstr>A1.1.1</vt:lpstr>
      <vt:lpstr>Source VoT</vt:lpstr>
      <vt:lpstr>A1.3.1</vt:lpstr>
      <vt:lpstr>A1.3.2</vt:lpstr>
      <vt:lpstr>Indirect tax correction</vt:lpstr>
      <vt:lpstr>A1.3.3</vt:lpstr>
      <vt:lpstr>A1.3.3.2</vt:lpstr>
      <vt:lpstr>Forecast occupancies</vt:lpstr>
      <vt:lpstr>VoT2</vt:lpstr>
      <vt:lpstr>VoT3</vt:lpstr>
      <vt:lpstr>VoT4</vt:lpstr>
      <vt:lpstr>A1.3.4</vt:lpstr>
      <vt:lpstr>VoT5</vt:lpstr>
      <vt:lpstr>VoT6</vt:lpstr>
      <vt:lpstr>A1.3.5</vt:lpstr>
      <vt:lpstr>A1.3.6</vt:lpstr>
      <vt:lpstr>A1.3.7</vt:lpstr>
      <vt:lpstr>VoC Fuel</vt:lpstr>
      <vt:lpstr>Electricity</vt:lpstr>
      <vt:lpstr>A1.3.8</vt:lpstr>
      <vt:lpstr>Fuel consumption</vt:lpstr>
      <vt:lpstr>A1.3.9</vt:lpstr>
      <vt:lpstr>VoC Mileage %</vt:lpstr>
      <vt:lpstr>A1.3.10</vt:lpstr>
      <vt:lpstr>VoC Efficiency</vt:lpstr>
      <vt:lpstr>A1.3.11</vt:lpstr>
      <vt:lpstr>A1.3.12</vt:lpstr>
      <vt:lpstr>A1.3.13</vt:lpstr>
      <vt:lpstr>A1.3.14</vt:lpstr>
      <vt:lpstr>VoC Non-Fuel</vt:lpstr>
      <vt:lpstr>A1.3.15</vt:lpstr>
      <vt:lpstr>Bus Social Impacts</vt:lpstr>
      <vt:lpstr>A1.3.16</vt:lpstr>
      <vt:lpstr>A1.3.17</vt:lpstr>
      <vt:lpstr>A1.3.18</vt:lpstr>
      <vt:lpstr>A3.1</vt:lpstr>
      <vt:lpstr>Noise</vt:lpstr>
      <vt:lpstr>A3.2</vt:lpstr>
      <vt:lpstr>NOx damage</vt:lpstr>
      <vt:lpstr>PM Emissions</vt:lpstr>
      <vt:lpstr>NO2 concentration</vt:lpstr>
      <vt:lpstr>PM2.5 concentration</vt:lpstr>
      <vt:lpstr>NOx abatement</vt:lpstr>
      <vt:lpstr>PM conversion</vt:lpstr>
      <vt:lpstr>A3.3</vt:lpstr>
      <vt:lpstr>CO2</vt:lpstr>
      <vt:lpstr>A3.4</vt:lpstr>
      <vt:lpstr>A3.5</vt:lpstr>
      <vt:lpstr>AQ emits</vt:lpstr>
      <vt:lpstr>GHG</vt:lpstr>
      <vt:lpstr>Casualty data</vt:lpstr>
      <vt:lpstr>Casualty costs</vt:lpstr>
      <vt:lpstr>A4.1.1</vt:lpstr>
      <vt:lpstr>A4.1.2</vt:lpstr>
      <vt:lpstr>A4.1.3</vt:lpstr>
      <vt:lpstr>Accident data</vt:lpstr>
      <vt:lpstr>Accident costs</vt:lpstr>
      <vt:lpstr>A4.1.4</vt:lpstr>
      <vt:lpstr>A4.1.5</vt:lpstr>
      <vt:lpstr>Rail</vt:lpstr>
      <vt:lpstr>A4.1.6</vt:lpstr>
      <vt:lpstr>Cycling</vt:lpstr>
      <vt:lpstr>A4.1.7</vt:lpstr>
      <vt:lpstr>Walking</vt:lpstr>
      <vt:lpstr>A4.1.8</vt:lpstr>
      <vt:lpstr>Option values</vt:lpstr>
      <vt:lpstr>A5.3.1</vt:lpstr>
      <vt:lpstr>A5.3.2</vt:lpstr>
      <vt:lpstr>JP TT splits</vt:lpstr>
      <vt:lpstr>Cost and rev series</vt:lpstr>
      <vt:lpstr>A5.4.1</vt:lpstr>
      <vt:lpstr>Total - Traffic %</vt:lpstr>
      <vt:lpstr>A5.4.2</vt:lpstr>
      <vt:lpstr>All - MECs</vt:lpstr>
      <vt:lpstr>A5.4.3</vt:lpstr>
      <vt:lpstr>Car Traffic Shares</vt:lpstr>
      <vt:lpstr>A5.4.4</vt:lpstr>
      <vt:lpstr>MECs - time of day</vt:lpstr>
      <vt:lpstr>A5.4.5</vt:lpstr>
      <vt:lpstr>A5.4.6</vt:lpstr>
      <vt:lpstr>A5.4.7</vt:lpstr>
      <vt:lpstr>Diversion Factors</vt:lpstr>
      <vt:lpstr>M2.1</vt:lpstr>
      <vt:lpstr>M2.2</vt:lpstr>
      <vt:lpstr>Income segmented VTTS</vt:lpstr>
      <vt:lpstr>M3.2.1</vt:lpstr>
      <vt:lpstr>Soft bus</vt:lpstr>
      <vt:lpstr>M4.2.1</vt:lpstr>
      <vt:lpstr>Adjustment Factors</vt:lpstr>
      <vt:lpstr>M4.2.2</vt:lpstr>
      <vt:lpstr>Car costs (CPI)</vt:lpstr>
      <vt:lpstr>Car costs (RPI)</vt:lpstr>
      <vt:lpstr>M4.2.3</vt:lpstr>
      <vt:lpstr>Car and bus journey time</vt:lpstr>
      <vt:lpstr>M4.2.4</vt:lpstr>
      <vt:lpstr>M4.2.5</vt:lpstr>
      <vt:lpstr>Journeys per season</vt:lpstr>
      <vt:lpstr>COBALT 1</vt:lpstr>
      <vt:lpstr>COBALT 2</vt:lpstr>
      <vt:lpstr>COBALT 3</vt:lpstr>
      <vt:lpstr>COBALT 4</vt:lpstr>
      <vt:lpstr>COBALT 5</vt:lpstr>
      <vt:lpstr>COBALT 6</vt:lpstr>
      <vt:lpstr>COBALT 7</vt:lpstr>
      <vt:lpstr>COBALT 8</vt:lpstr>
      <vt:lpstr>COBALT 9</vt:lpstr>
      <vt:lpstr>Flow chart</vt:lpstr>
      <vt:lpstr>A3.3!_ftnref1</vt:lpstr>
      <vt:lpstr>'CO2'!_ftnref1</vt:lpstr>
      <vt:lpstr>A4.1.8!_Ref146439190</vt:lpstr>
      <vt:lpstr>A4.1.6!_Ref153618364</vt:lpstr>
      <vt:lpstr>'Source VoT'!_Ref309291343</vt:lpstr>
      <vt:lpstr>A3.3!_Ref319071040</vt:lpstr>
      <vt:lpstr>'CO2'!_Ref319071040</vt:lpstr>
      <vt:lpstr>'Fuel consumption'!_Ref531880143</vt:lpstr>
      <vt:lpstr>Av_car_cost_CPI</vt:lpstr>
      <vt:lpstr>av_car_cost_nonwork</vt:lpstr>
      <vt:lpstr>Av_car_cost_work</vt:lpstr>
      <vt:lpstr>Electricity</vt:lpstr>
      <vt:lpstr>'Car costs (CPI)'!GDP_deflator_to_CPI_conversion</vt:lpstr>
      <vt:lpstr>'Car costs (RPI)'!GDP_deflator_to_RPI_conversion</vt:lpstr>
      <vt:lpstr>Init_Yr</vt:lpstr>
      <vt:lpstr>Non_fuel_op_cost</vt:lpstr>
      <vt:lpstr>Parameters</vt:lpstr>
      <vt:lpstr>Price_Yr</vt:lpstr>
      <vt:lpstr>A1.3.2!Print_Area</vt:lpstr>
      <vt:lpstr>A1.3.6!Print_Area</vt:lpstr>
      <vt:lpstr>A5.3.1!Print_Area</vt:lpstr>
      <vt:lpstr>A5.4.2!Print_Area</vt:lpstr>
      <vt:lpstr>A5.4.4!Print_Area</vt:lpstr>
      <vt:lpstr>M4.2.2!Print_Area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TAG data book</dc:title>
  <dc:creator>DfT</dc:creator>
  <cp:keywords>tag, databook</cp:keywords>
  <cp:lastModifiedBy>Standalone</cp:lastModifiedBy>
  <dcterms:created xsi:type="dcterms:W3CDTF">2015-12-16T16:59:17Z</dcterms:created>
  <dcterms:modified xsi:type="dcterms:W3CDTF">2019-07-11T09:04:15Z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0x010100A44592C143895C48B96BCC229E2F2091</vt:lpwstr>
  </property>
  <property fmtid="{D5CDD505-2E9C-101B-9397-08002B2CF9AE}" pid="3" name="CustomTag">
    <vt:lpwstr/>
  </property>
  <property fmtid="{D5CDD505-2E9C-101B-9397-08002B2CF9AE}" pid="4" name="FinancialYear">
    <vt:lpwstr/>
  </property>
</Properties>
</file>